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8" activeTab="7"/>
  </bookViews>
  <sheets>
    <sheet name="Dashboard" sheetId="1" r:id="rId1"/>
    <sheet name="Trend" sheetId="2" r:id="rId2"/>
    <sheet name="Momentum" sheetId="3" r:id="rId3"/>
    <sheet name="Volatility" sheetId="4" r:id="rId4"/>
    <sheet name="Support &amp; Resistance" sheetId="5" r:id="rId5"/>
    <sheet name="Matrix" sheetId="6" r:id="rId6"/>
    <sheet name="Outlook" sheetId="7" r:id="rId7"/>
    <sheet name="Data" sheetId="8" r:id="rId8"/>
    <sheet name="Read Me" sheetId="9" r:id="rId9"/>
    <sheet name="ChartData" sheetId="10" state="hidden" r:id="rId10"/>
    <sheet name="Metrics" sheetId="11" state="hidden" r:id="rId11"/>
    <sheet name="Calc_Daily" sheetId="12" state="hidden" r:id="rId12"/>
    <sheet name="Calc_Weekly" sheetId="13" state="hidden" r:id="rId13"/>
    <sheet name="Calc_Monthly" sheetId="14" state="hidden" r:id="rId14"/>
  </sheets>
  <definedNames>
    <definedName name="AsOfDate">Metrics!$C$50</definedName>
    <definedName name="CurrentPrice">Metrics!$C$4</definedName>
    <definedName name="MomentumStatus">Metrics!$C$78</definedName>
    <definedName name="RetDay">Metrics!$C$52</definedName>
    <definedName name="RetMonth">Metrics!$C$54</definedName>
    <definedName name="RetWeek">Metrics!$C$53</definedName>
    <definedName name="RetYTD">Metrics!$C$55</definedName>
    <definedName name="TrendStatus">Metrics!$C$77</definedName>
    <definedName name="VolatilityStatus">Metrics!$C$79</definedName>
  </definedNames>
  <calcPr calcId="124519" fullCalcOnLoad="1"/>
</workbook>
</file>

<file path=xl/sharedStrings.xml><?xml version="1.0" encoding="utf-8"?>
<sst xmlns="http://schemas.openxmlformats.org/spreadsheetml/2006/main" count="410" uniqueCount="265">
  <si>
    <t>Date</t>
  </si>
  <si>
    <t>Open</t>
  </si>
  <si>
    <t>High</t>
  </si>
  <si>
    <t>Low</t>
  </si>
  <si>
    <t>Close</t>
  </si>
  <si>
    <t>INPUT SHEET — paste your gold OHLC history here.</t>
  </si>
  <si>
    <t>Columns must stay in this order: Date | Open | High | Low | Close. Dates oldest→newest (top to bottom). To use your own data: select the sample rows below the header and paste over them; the table and every other sheet update automatically. The engine supports up to 2,000 daily rows. The data shipped here is SAMPLE data — replace it. See the 'Read Me' sheet for details.</t>
  </si>
  <si>
    <t>close</t>
  </si>
  <si>
    <t>open</t>
  </si>
  <si>
    <t>high</t>
  </si>
  <si>
    <t>low</t>
  </si>
  <si>
    <t>close1</t>
  </si>
  <si>
    <t>close5</t>
  </si>
  <si>
    <t>close21</t>
  </si>
  <si>
    <t>ema20</t>
  </si>
  <si>
    <t>ema50</t>
  </si>
  <si>
    <t>ema100</t>
  </si>
  <si>
    <t>ema200</t>
  </si>
  <si>
    <t>ema20_5</t>
  </si>
  <si>
    <t>ema50_5</t>
  </si>
  <si>
    <t>ema100_5</t>
  </si>
  <si>
    <t>ema200_5</t>
  </si>
  <si>
    <t>rsi</t>
  </si>
  <si>
    <t>macd</t>
  </si>
  <si>
    <t>macd_sig</t>
  </si>
  <si>
    <t>macd_hist</t>
  </si>
  <si>
    <t>stoch_k</t>
  </si>
  <si>
    <t>stoch_d</t>
  </si>
  <si>
    <t>srsi_k</t>
  </si>
  <si>
    <t>srsi_d</t>
  </si>
  <si>
    <t>adx</t>
  </si>
  <si>
    <t>plus_di</t>
  </si>
  <si>
    <t>minus_di</t>
  </si>
  <si>
    <t>atr</t>
  </si>
  <si>
    <t>bb_up</t>
  </si>
  <si>
    <t>bb_mid</t>
  </si>
  <si>
    <t>bb_low</t>
  </si>
  <si>
    <t>bb_pctb</t>
  </si>
  <si>
    <t>bb_bw</t>
  </si>
  <si>
    <t>don_up</t>
  </si>
  <si>
    <t>don_low</t>
  </si>
  <si>
    <t>don_mid</t>
  </si>
  <si>
    <t>hv</t>
  </si>
  <si>
    <t>tenkan</t>
  </si>
  <si>
    <t>kijun</t>
  </si>
  <si>
    <t>senkouA_now</t>
  </si>
  <si>
    <t>senkouB_now</t>
  </si>
  <si>
    <t>fib_hh</t>
  </si>
  <si>
    <t>fib_ll</t>
  </si>
  <si>
    <t>reg_slope</t>
  </si>
  <si>
    <t>reg_mid</t>
  </si>
  <si>
    <t>reg_steyx</t>
  </si>
  <si>
    <t>hv_avg</t>
  </si>
  <si>
    <t>lastdate</t>
  </si>
  <si>
    <t>ytdbase</t>
  </si>
  <si>
    <t>ret_d</t>
  </si>
  <si>
    <t>ret_w</t>
  </si>
  <si>
    <t>ret_m</t>
  </si>
  <si>
    <t>ret_ytd</t>
  </si>
  <si>
    <t>pp</t>
  </si>
  <si>
    <t>piv_r1</t>
  </si>
  <si>
    <t>piv_s1</t>
  </si>
  <si>
    <t>piv_r2</t>
  </si>
  <si>
    <t>piv_s2</t>
  </si>
  <si>
    <t>piv_r3</t>
  </si>
  <si>
    <t>piv_s3</t>
  </si>
  <si>
    <t>res1</t>
  </si>
  <si>
    <t>res2</t>
  </si>
  <si>
    <t>res3</t>
  </si>
  <si>
    <t>sup1</t>
  </si>
  <si>
    <t>sup2</t>
  </si>
  <si>
    <t>sup3</t>
  </si>
  <si>
    <t>fib_dir</t>
  </si>
  <si>
    <t>fib_0000</t>
  </si>
  <si>
    <t>fib_0236</t>
  </si>
  <si>
    <t>fib_0382</t>
  </si>
  <si>
    <t>fib_0500</t>
  </si>
  <si>
    <t>fib_0618</t>
  </si>
  <si>
    <t>fib_0786</t>
  </si>
  <si>
    <t>fib_1000</t>
  </si>
  <si>
    <t>trend_status</t>
  </si>
  <si>
    <t>mom_status</t>
  </si>
  <si>
    <t>vol_status</t>
  </si>
  <si>
    <t>RSI</t>
  </si>
  <si>
    <t>MACD</t>
  </si>
  <si>
    <t>Stochastic</t>
  </si>
  <si>
    <t>Stoch RSI</t>
  </si>
  <si>
    <t>ADX/DMI</t>
  </si>
  <si>
    <t>EMA20</t>
  </si>
  <si>
    <t>EMA50</t>
  </si>
  <si>
    <t>EMA100</t>
  </si>
  <si>
    <t>EMA200</t>
  </si>
  <si>
    <t>Ichimoku</t>
  </si>
  <si>
    <t>Bollinger Bands</t>
  </si>
  <si>
    <t>Donchian Channel</t>
  </si>
  <si>
    <t>Fibonacci</t>
  </si>
  <si>
    <t>Regression Channel</t>
  </si>
  <si>
    <t>score_avg</t>
  </si>
  <si>
    <t>score100</t>
  </si>
  <si>
    <t>bias</t>
  </si>
  <si>
    <t>n_bull</t>
  </si>
  <si>
    <t>n_neu</t>
  </si>
  <si>
    <t>n_bear</t>
  </si>
  <si>
    <t>pct_bull</t>
  </si>
  <si>
    <t>pct_neu</t>
  </si>
  <si>
    <t>pct_bear</t>
  </si>
  <si>
    <t>expvol</t>
  </si>
  <si>
    <t>biasstr</t>
  </si>
  <si>
    <t>target</t>
  </si>
  <si>
    <t>conf</t>
  </si>
  <si>
    <t>RSI70</t>
  </si>
  <si>
    <t>RSI30</t>
  </si>
  <si>
    <t>Signal</t>
  </si>
  <si>
    <t>Hist</t>
  </si>
  <si>
    <t>BBup</t>
  </si>
  <si>
    <t>BBmid</t>
  </si>
  <si>
    <t>BBlow</t>
  </si>
  <si>
    <t>ATR</t>
  </si>
  <si>
    <t>HV</t>
  </si>
  <si>
    <t>DonUp</t>
  </si>
  <si>
    <t>DonLow</t>
  </si>
  <si>
    <t>GOLD TECHNICAL ANALYSIS  —  WORKBOOK GUIDE</t>
  </si>
  <si>
    <t>Institutional-style, fully self-updating technical model for gold (XAU).</t>
  </si>
  <si>
    <t>Dashboard</t>
  </si>
  <si>
    <t>Trend</t>
  </si>
  <si>
    <t>Momentum</t>
  </si>
  <si>
    <t>Volatility</t>
  </si>
  <si>
    <t>S &amp; R</t>
  </si>
  <si>
    <t>Matrix</t>
  </si>
  <si>
    <t>Outlook</t>
  </si>
  <si>
    <t>Data</t>
  </si>
  <si>
    <t>Read Me</t>
  </si>
  <si>
    <t>HOW TO USE</t>
  </si>
  <si>
    <t>1.  Open the 'Data' sheet — it is the ONLY place you enter anything.</t>
  </si>
  <si>
    <t>2.  Paste your gold price history with columns in this exact order:  Date | Open | High | Low | Close.</t>
  </si>
  <si>
    <t>3.  Keep dates sorted oldest → newest (top to bottom). Daily bars are expected.</t>
  </si>
  <si>
    <t>4.  Replace the shipped SAMPLE data: select the sample rows under the header and paste over them.</t>
  </si>
  <si>
    <t>5.  Everything else (Dashboard, Trend, Momentum, Volatility, Support &amp; Resistance, Matrix, Outlook)</t>
  </si>
  <si>
    <t xml:space="preserve">      recalculates automatically. No buttons, no macros, no manual steps.</t>
  </si>
  <si>
    <t>WHAT IS CALCULATED</t>
  </si>
  <si>
    <t>EMA 20 / 50 / 100 / 200, price-vs-MA position, EMA slope, composite trend score.</t>
  </si>
  <si>
    <t>RSI(14), MACD(12,26,9), Stochastic %K/%D (14,3), Stochastic-RSI(14).</t>
  </si>
  <si>
    <t>ATR(14), Bollinger Bands(20,2), 20-bar historical volatility (annualised), volatility regime.</t>
  </si>
  <si>
    <t>Support / Resistance</t>
  </si>
  <si>
    <t>Fractal swing highs/lows, classic pivots, Fibonacci retracements, Donchian(20).</t>
  </si>
  <si>
    <t>Multi-Timeframe Matrix</t>
  </si>
  <si>
    <t>14 indicators classified Bearish→Bullish on Daily, Weekly and Monthly resampled data.</t>
  </si>
  <si>
    <t>1-week / 1-month / 3-month bias, target, expected range and confidence.</t>
  </si>
  <si>
    <t>METHOD NOTES &amp; ASSUMPTIONS</t>
  </si>
  <si>
    <t>• Weekly and monthly series are resampled from your daily data inside the hidden engine (week = Mon–Fri grouping).</t>
  </si>
  <si>
    <t>• RSI / ATR / ADX use simple-moving-average smoothing (Cutler's method) for clean, stable spreadsheet formulas.</t>
  </si>
  <si>
    <t>• EMAs are seeded from the first available price and converge as history grows; supply ample history for EMA200.</t>
  </si>
  <si>
    <t>• An EMA is only classified once its timeframe has enough bars (EMA20→20, 50→50, 100→100, 200→200); otherwise it</t>
  </si>
  <si>
    <t xml:space="preserve">   scores Neutral, so under-warmed Weekly/Monthly EMAs cannot inflate bias.</t>
  </si>
  <si>
    <t>• Ichimoku cloud uses the standard 9/26/52 settings; the cloud is read 26 bars back for the price-vs-cloud signal.</t>
  </si>
  <si>
    <t>• Classification maps each indicator to a -2..+2 score; a horizon score (0–100) is the rescaled average of 14 indicators.</t>
  </si>
  <si>
    <t>• Trend Status uses the same daily EMA composite as the Trend Score: |score| ≥ 50 ⇒ up/down trend, else SIDEWAYS.</t>
  </si>
  <si>
    <t>• Outlook targets/ranges are derived from horizon bias and historical volatility (±1σ scaled by horizon).</t>
  </si>
  <si>
    <t>• Engine capacity: up to 2,000 daily / 440 weekly / 120 monthly bars. Hidden engine sheets</t>
  </si>
  <si>
    <t xml:space="preserve">   (Calc_Daily/Weekly/Monthly, ChartData, Metrics) can be unhidden to inspect every formula.</t>
  </si>
  <si>
    <t>• Hidden sheets are right-clickable → Unhide. Do not delete them; the visible sheets read from them.</t>
  </si>
  <si>
    <t>DISCLAIMER — For research and educational purposes only. Technical analysis is not investment advice. Markets involve risk; validate all figures before relying on them.</t>
  </si>
  <si>
    <t>GOLD  —  TECHNICAL ANALYSIS DASHBOARD</t>
  </si>
  <si>
    <t>MARKET SNAPSHOT</t>
  </si>
  <si>
    <t>CURRENT PRICE</t>
  </si>
  <si>
    <t>DAILY</t>
  </si>
  <si>
    <t>WEEKLY</t>
  </si>
  <si>
    <t>MONTHLY</t>
  </si>
  <si>
    <t>YTD</t>
  </si>
  <si>
    <t>MARKET REGIME</t>
  </si>
  <si>
    <t>TREND</t>
  </si>
  <si>
    <t>MOMENTUM</t>
  </si>
  <si>
    <t>VOLATILITY</t>
  </si>
  <si>
    <t>KEY LEVELS</t>
  </si>
  <si>
    <t>OUTLOOK</t>
  </si>
  <si>
    <t>Resistance 3</t>
  </si>
  <si>
    <t>Resistance 2</t>
  </si>
  <si>
    <t>Resistance 1</t>
  </si>
  <si>
    <t>Support 1</t>
  </si>
  <si>
    <t>Support 2</t>
  </si>
  <si>
    <t>Support 3</t>
  </si>
  <si>
    <t>Horizon</t>
  </si>
  <si>
    <t>Bias</t>
  </si>
  <si>
    <t>Target</t>
  </si>
  <si>
    <t>1W</t>
  </si>
  <si>
    <t>1M</t>
  </si>
  <si>
    <t>3M</t>
  </si>
  <si>
    <t>Moving-average structure and trend strength (daily).</t>
  </si>
  <si>
    <t>MOVING AVERAGES (DAILY)</t>
  </si>
  <si>
    <t>Moving Average</t>
  </si>
  <si>
    <t>Value</t>
  </si>
  <si>
    <t>Price vs MA</t>
  </si>
  <si>
    <t>Position</t>
  </si>
  <si>
    <t>TREND SCORE</t>
  </si>
  <si>
    <t>Composite (-100 bearish … +100 bullish)</t>
  </si>
  <si>
    <t>Trend status</t>
  </si>
  <si>
    <t>Oscillators across timeframes (RSI, MACD, Stochastic, Stoch-RSI).</t>
  </si>
  <si>
    <t>DAILY READINGS</t>
  </si>
  <si>
    <t>Indicator</t>
  </si>
  <si>
    <t>State</t>
  </si>
  <si>
    <t>RSI (14)</t>
  </si>
  <si>
    <t>MACD signal</t>
  </si>
  <si>
    <t>Stochastic %K</t>
  </si>
  <si>
    <t>Stoch-RSI %K</t>
  </si>
  <si>
    <t>MULTI-TIMEFRAME SIGNAL</t>
  </si>
  <si>
    <t>Daily</t>
  </si>
  <si>
    <t>Weekly</t>
  </si>
  <si>
    <t>Monthly</t>
  </si>
  <si>
    <t>ATR, Bollinger Bands, historical volatility and regime.</t>
  </si>
  <si>
    <t>Metric</t>
  </si>
  <si>
    <t>ATR (14)</t>
  </si>
  <si>
    <t>ATR % of price</t>
  </si>
  <si>
    <t>Bollinger bandwidth</t>
  </si>
  <si>
    <t>Bollinger %B</t>
  </si>
  <si>
    <t>Hist. vol (ann.)</t>
  </si>
  <si>
    <t>VOLATILITY REGIME</t>
  </si>
  <si>
    <t>Current regime</t>
  </si>
  <si>
    <t>HV vs 100-bar average</t>
  </si>
  <si>
    <t>SUPPORT &amp; RESISTANCE</t>
  </si>
  <si>
    <t>Swing levels, pivots, Fibonacci retracements and Donchian channel.</t>
  </si>
  <si>
    <t>SWING LEVELS</t>
  </si>
  <si>
    <t>Level</t>
  </si>
  <si>
    <t>Price</t>
  </si>
  <si>
    <t>Current price</t>
  </si>
  <si>
    <t>CLASSIC PIVOTS</t>
  </si>
  <si>
    <t>R3</t>
  </si>
  <si>
    <t>R2</t>
  </si>
  <si>
    <t>R1</t>
  </si>
  <si>
    <t>Pivot (PP)</t>
  </si>
  <si>
    <t>S1</t>
  </si>
  <si>
    <t>S2</t>
  </si>
  <si>
    <t>S3</t>
  </si>
  <si>
    <t>DONCHIAN (20)</t>
  </si>
  <si>
    <t>Upper</t>
  </si>
  <si>
    <t>Mid</t>
  </si>
  <si>
    <t>Lower</t>
  </si>
  <si>
    <t>FIBONACCI RETRACEMENT (recent major swing)</t>
  </si>
  <si>
    <t>Ratio</t>
  </si>
  <si>
    <t>0.0%</t>
  </si>
  <si>
    <t>23.6%</t>
  </si>
  <si>
    <t>38.2%</t>
  </si>
  <si>
    <t>50.0%</t>
  </si>
  <si>
    <t>61.8%</t>
  </si>
  <si>
    <t>78.6%</t>
  </si>
  <si>
    <t>100.0%</t>
  </si>
  <si>
    <t>Swing highs/lows use a confirmed 4-bar fractal. Resistance/Support pick the nearest confirmed swing levels above/below the current price. Fibonacci spans the most recent major swing within the last 100 bars; direction is detected automatically.</t>
  </si>
  <si>
    <t>MULTI-TIMEFRAME INDICATOR MATRIX</t>
  </si>
  <si>
    <t>14 indicators classified Bearish → Bullish on each timeframe.</t>
  </si>
  <si>
    <t>INDICATOR MATRIX</t>
  </si>
  <si>
    <t>HORIZON SCORE</t>
  </si>
  <si>
    <t>Score</t>
  </si>
  <si>
    <t>SIGNAL BREAKDOWN</t>
  </si>
  <si>
    <t>Bullish</t>
  </si>
  <si>
    <t>Neutral</t>
  </si>
  <si>
    <t>Bearish</t>
  </si>
  <si>
    <t>Forward view derived from the indicator matrix and volatility.</t>
  </si>
  <si>
    <t>DIRECTIONAL OUTLOOK</t>
  </si>
  <si>
    <t>Target Price</t>
  </si>
  <si>
    <t>Expected Range</t>
  </si>
  <si>
    <t>Confidence</t>
  </si>
  <si>
    <t>1 Week</t>
  </si>
  <si>
    <t>1 Month</t>
  </si>
  <si>
    <t>3 Months</t>
  </si>
  <si>
    <t>METHOD</t>
  </si>
  <si>
    <t>Bias for each horizon comes from the matrix horizon score (1 Week ← Daily, 1 Month ← Weekly, 3 Months ← Monthly). The target applies a volatility-scaled drift in the direction of bias; the expected range is a ±1-sigma band using annualised historical volatility scaled to the horizon (5 / 21 / 63 trading days). Confidence reflects how far the horizon score sits from neutral (50). All figures recompute automatically from the Data sheet.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</si>
</sst>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0.00%"/>
    <numFmt numFmtId="166" formatCode="0.00"/>
    <numFmt numFmtId="167" formatCode="0%"/>
    <numFmt numFmtId="168" formatCode="yyyy-mm-dd"/>
  </numFmts>
  <fonts count="22">
    <font>
      <sz val="11"/>
      <color theme="1"/>
      <name val="Calibri"/>
      <family val="2"/>
      <scheme val="minor"/>
    </font>
    <font>
      <sz val="11"/>
      <color rgb="FFE6EDF3"/>
      <name val="Segoe UI"/>
      <family val="2"/>
    </font>
    <font>
      <b/>
      <sz val="20"/>
      <color rgb="FFE8B923"/>
      <name val="Segoe UI"/>
      <family val="2"/>
    </font>
    <font>
      <i/>
      <sz val="10"/>
      <color rgb="FF8A97A6"/>
      <name val="Segoe UI"/>
      <family val="2"/>
    </font>
    <font>
      <b/>
      <sz val="9"/>
      <color rgb="FFE8B923"/>
      <name val="Calibri"/>
      <family val="2"/>
      <scheme val="minor"/>
    </font>
    <font>
      <b/>
      <sz val="11"/>
      <color rgb="FFE8B923"/>
      <name val="Segoe UI"/>
      <family val="2"/>
    </font>
    <font>
      <sz val="9"/>
      <color rgb="FF8A97A6"/>
      <name val="Calibri"/>
      <family val="2"/>
      <scheme val="minor"/>
    </font>
    <font>
      <b/>
      <sz val="22"/>
      <color rgb="FFE8B923"/>
      <name val="Calibri"/>
      <family val="2"/>
      <scheme val="minor"/>
    </font>
    <font>
      <b/>
      <sz val="16"/>
      <color rgb="FFE6EDF3"/>
      <name val="Calibri"/>
      <family val="2"/>
      <scheme val="minor"/>
    </font>
    <font>
      <b/>
      <sz val="14"/>
      <color rgb="FFE6EDF3"/>
      <name val="Calibri"/>
      <family val="2"/>
      <scheme val="minor"/>
    </font>
    <font>
      <sz val="10"/>
      <color rgb="FFF6465D"/>
      <name val="Calibri"/>
      <family val="2"/>
      <scheme val="minor"/>
    </font>
    <font>
      <sz val="10"/>
      <color rgb="FFE6EDF3"/>
      <name val="Calibri"/>
      <family val="2"/>
      <scheme val="minor"/>
    </font>
    <font>
      <b/>
      <sz val="10"/>
      <color rgb="FFE8B923"/>
      <name val="Calibri"/>
      <family val="2"/>
      <scheme val="minor"/>
    </font>
    <font>
      <sz val="10"/>
      <color rgb="FF2EBD85"/>
      <name val="Calibri"/>
      <family val="2"/>
      <scheme val="minor"/>
    </font>
    <font>
      <b/>
      <sz val="18"/>
      <color rgb="FFE8B923"/>
      <name val="Calibri"/>
      <family val="2"/>
      <scheme val="minor"/>
    </font>
    <font>
      <b/>
      <sz val="9"/>
      <color rgb="FFE6EDF3"/>
      <name val="Calibri"/>
      <family val="2"/>
      <scheme val="minor"/>
    </font>
    <font>
      <sz val="10"/>
      <color rgb="FFF6465D"/>
      <name val="Calibri"/>
      <family val="2"/>
      <scheme val="minor"/>
    </font>
    <font>
      <sz val="10"/>
      <color rgb="FF2EBD85"/>
      <name val="Calibri"/>
      <family val="2"/>
      <scheme val="minor"/>
    </font>
    <font>
      <i/>
      <sz val="9"/>
      <color rgb="FF8A97A6"/>
      <name val="Calibri"/>
      <family val="2"/>
      <scheme val="minor"/>
    </font>
    <font>
      <b/>
      <sz val="14"/>
      <color rgb="FFE8B923"/>
      <name val="Segoe UI"/>
      <family val="2"/>
    </font>
    <font>
      <i/>
      <sz val="11"/>
      <color rgb="FF8A97A6"/>
      <name val="Segoe UI"/>
      <family val="2"/>
    </font>
    <font>
      <b/>
      <sz val="11"/>
      <color rgb="FFE8B92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0F14"/>
        <bgColor indexed="64"/>
      </patternFill>
    </fill>
    <fill>
      <patternFill patternType="solid">
        <fgColor rgb="FF3A2F0C"/>
        <bgColor indexed="64"/>
      </patternFill>
    </fill>
    <fill>
      <patternFill patternType="solid">
        <fgColor rgb="FF1B2531"/>
        <bgColor indexed="64"/>
      </patternFill>
    </fill>
    <fill>
      <patternFill patternType="solid">
        <fgColor rgb="FF141A22"/>
        <bgColor indexed="64"/>
      </patternFill>
    </fill>
  </fills>
  <borders count="3">
    <border>
      <left/>
      <right/>
      <top/>
      <bottom/>
      <diagonal/>
    </border>
    <border>
      <left style="thin">
        <color rgb="FF5A4A12"/>
      </left>
      <right style="thin">
        <color rgb="FF5A4A12"/>
      </right>
      <top style="thin">
        <color rgb="FF5A4A12"/>
      </top>
      <bottom style="thin">
        <color rgb="FF5A4A12"/>
      </bottom>
      <diagonal/>
    </border>
    <border>
      <left style="thin">
        <color rgb="FF2A3340"/>
      </left>
      <right style="thin">
        <color rgb="FF2A3340"/>
      </right>
      <top style="thin">
        <color rgb="FF2A3340"/>
      </top>
      <bottom style="thin">
        <color rgb="FF2A334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164" fontId="7" fillId="5" borderId="2" xfId="0" applyNumberFormat="1" applyFont="1" applyFill="1" applyBorder="1" applyAlignment="1">
      <alignment horizontal="left" vertical="center" indent="1"/>
    </xf>
    <xf numFmtId="165" fontId="8" fillId="5" borderId="2" xfId="0" applyNumberFormat="1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indent="1"/>
    </xf>
    <xf numFmtId="164" fontId="11" fillId="5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 indent="1"/>
    </xf>
    <xf numFmtId="0" fontId="12" fillId="4" borderId="2" xfId="0" applyFont="1" applyFill="1" applyBorder="1" applyAlignment="1">
      <alignment horizontal="left" vertical="center" indent="1"/>
    </xf>
    <xf numFmtId="0" fontId="11" fillId="5" borderId="2" xfId="0" applyFont="1" applyFill="1" applyBorder="1" applyAlignment="1">
      <alignment horizontal="left" vertical="center" indent="1"/>
    </xf>
    <xf numFmtId="165" fontId="11" fillId="5" borderId="2" xfId="0" applyNumberFormat="1" applyFont="1" applyFill="1" applyBorder="1" applyAlignment="1">
      <alignment horizontal="center" vertical="center"/>
    </xf>
    <xf numFmtId="1" fontId="14" fillId="5" borderId="2" xfId="0" applyNumberFormat="1" applyFont="1" applyFill="1" applyBorder="1" applyAlignment="1">
      <alignment horizontal="center" vertical="center"/>
    </xf>
    <xf numFmtId="166" fontId="11" fillId="5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0" fontId="12" fillId="5" borderId="2" xfId="0" applyFont="1" applyFill="1" applyBorder="1" applyAlignment="1">
      <alignment horizontal="left" vertical="center" indent="1"/>
    </xf>
    <xf numFmtId="0" fontId="17" fillId="5" borderId="2" xfId="0" applyFont="1" applyFill="1" applyBorder="1" applyAlignment="1">
      <alignment horizontal="left" vertical="center" indent="1"/>
    </xf>
    <xf numFmtId="0" fontId="18" fillId="2" borderId="0" xfId="0" applyFont="1" applyFill="1" applyAlignment="1">
      <alignment vertical="top" wrapText="1"/>
    </xf>
    <xf numFmtId="0" fontId="19" fillId="2" borderId="0" xfId="0" applyFont="1" applyFill="1"/>
    <xf numFmtId="168" fontId="0" fillId="0" borderId="0" xfId="0" applyNumberFormat="1"/>
    <xf numFmtId="164" fontId="0" fillId="0" borderId="0" xfId="0" applyNumberFormat="1"/>
    <xf numFmtId="0" fontId="20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 wrapText="1"/>
    </xf>
    <xf numFmtId="0" fontId="21" fillId="2" borderId="0" xfId="0" applyFont="1" applyFill="1" applyAlignment="1">
      <alignment vertical="top"/>
    </xf>
  </cellXfs>
  <cellStyles count="1">
    <cellStyle name="Normal" xfId="0" builtinId="0"/>
  </cellStyles>
  <dxfs count="8">
    <dxf>
      <font>
        <b/>
        <color rgb="FF3DDC97"/>
      </font>
    </dxf>
    <dxf>
      <font>
        <b/>
        <color rgb="FFFF6B7E"/>
      </font>
    </dxf>
    <dxf>
      <font>
        <b/>
        <color rgb="FF7EE2B8"/>
      </font>
      <fill>
        <patternFill>
          <bgColor rgb="FF10362B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  <dxf>
      <font>
        <b/>
        <color rgb="FFFF93A4"/>
      </font>
      <fill>
        <patternFill>
          <bgColor rgb="FF3A141C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  <dxf>
      <font>
        <color rgb="FF9AA7B4"/>
      </font>
      <fill>
        <patternFill>
          <bgColor rgb="FF222B35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  <dxf>
      <font>
        <b/>
        <color rgb="FFE8B923"/>
      </font>
      <fill>
        <patternFill>
          <bgColor rgb="FF3A2F0C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  <dxf>
      <font>
        <color rgb="FF7FC8A9"/>
      </font>
      <fill>
        <patternFill>
          <bgColor rgb="FF13241D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  <dxf>
      <font>
        <color rgb="FFE58FA0"/>
      </font>
      <fill>
        <patternFill>
          <bgColor rgb="FF2A1820"/>
        </patternFill>
      </fill>
      <border>
        <left style="thin">
          <color rgb="FF2A3340"/>
        </left>
        <right style="thin">
          <color rgb="FF2A3340"/>
        </right>
        <top style="thin">
          <color rgb="FF2A3340"/>
        </top>
        <bottom style="thin">
          <color rgb="FF2A334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Price &amp; Moving Averages (recent)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2225">
              <a:solidFill>
                <a:srgbClr val="E6EDF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ChartData!$E$2:$E$181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tx>
            <c:v>EMA20</c:v>
          </c:tx>
          <c:spPr>
            <a:ln w="15875">
              <a:solidFill>
                <a:srgbClr val="E8B92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ChartData!$F$2:$F$181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EMA50</c:v>
          </c:tx>
          <c:spPr>
            <a:ln w="15875">
              <a:solidFill>
                <a:srgbClr val="4FA3FF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ChartData!$G$2:$G$181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3"/>
          <c:order val="3"/>
          <c:tx>
            <c:v>EMA200</c:v>
          </c:tx>
          <c:spPr>
            <a:ln w="15875">
              <a:solidFill>
                <a:srgbClr val="FF7CA8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ChartData!$I$2:$I$181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Gold — Candlestick (recent)</a:t>
            </a:r>
          </a:p>
        </c:rich>
      </c:tx>
      <c:layout/>
    </c:title>
    <c:plotArea>
      <c:layout/>
      <c:stockChart>
        <c:ser>
          <c:idx val="0"/>
          <c:order val="0"/>
          <c:spPr>
            <a:ln>
              <a:noFill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ChartData!$B$2:$B$181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ChartData!$C$2:$C$181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spPr>
            <a:ln>
              <a:noFill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ChartData!$D$2:$D$181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3"/>
          <c:order val="3"/>
          <c:spPr>
            <a:ln>
              <a:noFill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ChartData!$E$2:$E$181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hiLowLines>
          <c:spPr>
            <a:ln>
              <a:solidFill>
                <a:srgbClr val="8A97A6"/>
              </a:solidFill>
            </a:ln>
          </c:spPr>
        </c:hiLowLines>
        <c:upDownBars>
          <c:gapWidth val="150"/>
          <c:upBars>
            <c:spPr>
              <a:solidFill>
                <a:srgbClr val="2EBD85"/>
              </a:solidFill>
              <a:ln>
                <a:solidFill>
                  <a:srgbClr val="2EBD85"/>
                </a:solidFill>
              </a:ln>
            </c:spPr>
          </c:upBars>
          <c:downBars>
            <c:spPr>
              <a:solidFill>
                <a:srgbClr val="F6465D"/>
              </a:solidFill>
              <a:ln>
                <a:solidFill>
                  <a:srgbClr val="F6465D"/>
                </a:solidFill>
              </a:ln>
            </c:spPr>
          </c:downBars>
        </c:upDownBars>
        <c:axId val="50020001"/>
        <c:axId val="50020002"/>
      </c:stockChart>
      <c:dateAx>
        <c:axId val="50020001"/>
        <c:scaling>
          <c:orientation val="minMax"/>
        </c:scaling>
        <c:axPos val="b"/>
        <c:numFmt formatCode="dd/mm/yyyy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Price vs Moving Averages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2225">
              <a:solidFill>
                <a:srgbClr val="E6EDF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ChartData!$E$2:$E$181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tx>
            <c:v>EMA20</c:v>
          </c:tx>
          <c:spPr>
            <a:ln w="12700">
              <a:solidFill>
                <a:srgbClr val="E8B92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ChartData!$F$2:$F$181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EMA50</c:v>
          </c:tx>
          <c:spPr>
            <a:ln w="12700">
              <a:solidFill>
                <a:srgbClr val="4FA3FF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ChartData!$G$2:$G$181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3"/>
          <c:order val="3"/>
          <c:tx>
            <c:v>EMA100</c:v>
          </c:tx>
          <c:spPr>
            <a:ln w="12700">
              <a:solidFill>
                <a:srgbClr val="B07CFF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ChartData!$H$2:$H$181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4"/>
          <c:order val="4"/>
          <c:tx>
            <c:v>EMA200</c:v>
          </c:tx>
          <c:spPr>
            <a:ln w="12700">
              <a:solidFill>
                <a:srgbClr val="FF7CA8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ChartData!$I$2:$I$181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RSI (14)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RSI</c:v>
          </c:tx>
          <c:spPr>
            <a:ln w="19050">
              <a:solidFill>
                <a:srgbClr val="E8B92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ChartData!$J$2:$J$181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tx>
            <c:v>RSI70</c:v>
          </c:tx>
          <c:spPr>
            <a:ln w="12700">
              <a:solidFill>
                <a:srgbClr val="F6465D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ChartData!$K$2:$K$181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RSI30</c:v>
          </c:tx>
          <c:spPr>
            <a:ln w="12700">
              <a:solidFill>
                <a:srgbClr val="2EBD85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ChartData!$L$2:$L$181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MACD (12,26,9)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Hist</c:v>
          </c:tx>
          <c:spPr>
            <a:solidFill>
              <a:srgbClr val="5B6675"/>
            </a:solidFill>
            <a:ln>
              <a:noFill/>
            </a:ln>
          </c:spP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ChartData!$O$2:$O$181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MACD</c:v>
          </c:tx>
          <c:spPr>
            <a:ln w="19050">
              <a:solidFill>
                <a:srgbClr val="E8B92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ChartData!$M$2:$M$181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Signal</c:v>
          </c:tx>
          <c:spPr>
            <a:ln w="15875">
              <a:solidFill>
                <a:srgbClr val="4FA3FF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ChartData!$N$2:$N$181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Bollinger Bands (20, 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BBup</c:v>
          </c:tx>
          <c:spPr>
            <a:ln w="12700">
              <a:solidFill>
                <a:srgbClr val="6F7B8A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ChartData!$P$2:$P$181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tx>
            <c:v>Close</c:v>
          </c:tx>
          <c:spPr>
            <a:ln w="19050">
              <a:solidFill>
                <a:srgbClr val="E6EDF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ChartData!$E$2:$E$181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BBmid</c:v>
          </c:tx>
          <c:spPr>
            <a:ln w="12700">
              <a:solidFill>
                <a:srgbClr val="E8B923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ChartData!$Q$2:$Q$181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3"/>
          <c:order val="3"/>
          <c:tx>
            <c:v>BBlow</c:v>
          </c:tx>
          <c:spPr>
            <a:ln w="12700">
              <a:solidFill>
                <a:srgbClr val="6F7B8A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ChartData!$R$2:$R$181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ATR (14) &amp; Historical Volatility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ATR</c:v>
          </c:tx>
          <c:spPr>
            <a:ln w="19050">
              <a:solidFill>
                <a:srgbClr val="E8B92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ChartData!$S$2:$S$181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1"/>
          <c:order val="1"/>
          <c:tx>
            <c:v>HV</c:v>
          </c:tx>
          <c:spPr>
            <a:ln w="15875">
              <a:solidFill>
                <a:srgbClr val="4FA3FF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ChartData!$T$2:$T$181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70003"/>
        <c:axId val="50070004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valAx>
        <c:axId val="5007000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70003"/>
        <c:crosses val="max"/>
        <c:crossBetween val="between"/>
      </c:valAx>
      <c:catAx>
        <c:axId val="50070003"/>
        <c:scaling>
          <c:orientation val="minMax"/>
        </c:scaling>
        <c:delete val="1"/>
        <c:axPos val="b"/>
        <c:numFmt formatCode="General" sourceLinked="1"/>
        <c:tickLblPos val="none"/>
        <c:crossAx val="50070004"/>
        <c:crosses val="autoZero"/>
        <c:auto val="1"/>
        <c:lblAlgn val="ctr"/>
        <c:lblOffset val="100"/>
      </c:cat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Price &amp; Donchian(20)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DonUp</c:v>
          </c:tx>
          <c:spPr>
            <a:ln w="12700">
              <a:solidFill>
                <a:srgbClr val="F6465D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ChartData!$U$2:$U$181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1"/>
          <c:order val="1"/>
          <c:tx>
            <c:v>Close</c:v>
          </c:tx>
          <c:spPr>
            <a:ln w="19050">
              <a:solidFill>
                <a:srgbClr val="E6EDF3"/>
              </a:solidFill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ChartData!$E$2:$E$181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ser>
          <c:idx val="2"/>
          <c:order val="2"/>
          <c:tx>
            <c:v>DonLow</c:v>
          </c:tx>
          <c:spPr>
            <a:ln w="12700">
              <a:solidFill>
                <a:srgbClr val="2EBD85"/>
              </a:solidFill>
              <a:prstDash val="dash"/>
            </a:ln>
          </c:spPr>
          <c:marker>
            <c:symbol val="none"/>
          </c:marker>
          <c:cat>
            <c:numRef>
              <c:f>ChartData!$A$2:$A$181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cat>
          <c:val>
            <c:numRef>
              <c:f>ChartData!$V$2:$V$181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Bullish / Neutral / Bearish share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Matrix!$H$13</c:f>
              <c:strCache>
                <c:ptCount val="1"/>
                <c:pt idx="0">
                  <c:v>Bullish</c:v>
                </c:pt>
              </c:strCache>
            </c:strRef>
          </c:tx>
          <c:spPr>
            <a:solidFill>
              <a:srgbClr val="2EBD85"/>
            </a:solidFill>
            <a:ln>
              <a:noFill/>
            </a:ln>
          </c:spPr>
          <c:cat>
            <c:strRef>
              <c:f>Matrix!$G$14:$G$16</c:f>
              <c:strCache>
                <c:ptCount val="3"/>
                <c:pt idx="0">
                  <c:v>Daily</c:v>
                </c:pt>
                <c:pt idx="1">
                  <c:v>Weekly</c:v>
                </c:pt>
                <c:pt idx="2">
                  <c:v>Monthly</c:v>
                </c:pt>
              </c:strCache>
            </c:strRef>
          </c:cat>
          <c:val>
            <c:numRef>
              <c:f>Matrix!$H$14:$H$16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Matrix!$I$13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9AA7B4"/>
            </a:solidFill>
            <a:ln>
              <a:noFill/>
            </a:ln>
          </c:spPr>
          <c:cat>
            <c:strRef>
              <c:f>Matrix!$G$14:$G$16</c:f>
              <c:strCache>
                <c:ptCount val="3"/>
                <c:pt idx="0">
                  <c:v>Daily</c:v>
                </c:pt>
                <c:pt idx="1">
                  <c:v>Weekly</c:v>
                </c:pt>
                <c:pt idx="2">
                  <c:v>Monthly</c:v>
                </c:pt>
              </c:strCache>
            </c:strRef>
          </c:cat>
          <c:val>
            <c:numRef>
              <c:f>Matrix!$I$14:$I$16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Matrix!$J$13</c:f>
              <c:strCache>
                <c:ptCount val="1"/>
                <c:pt idx="0">
                  <c:v>Bearish</c:v>
                </c:pt>
              </c:strCache>
            </c:strRef>
          </c:tx>
          <c:spPr>
            <a:solidFill>
              <a:srgbClr val="F6465D"/>
            </a:solidFill>
            <a:ln>
              <a:noFill/>
            </a:ln>
          </c:spPr>
          <c:cat>
            <c:strRef>
              <c:f>Matrix!$G$14:$G$16</c:f>
              <c:strCache>
                <c:ptCount val="3"/>
                <c:pt idx="0">
                  <c:v>Daily</c:v>
                </c:pt>
                <c:pt idx="1">
                  <c:v>Weekly</c:v>
                </c:pt>
                <c:pt idx="2">
                  <c:v>Monthly</c:v>
                </c:pt>
              </c:strCache>
            </c:strRef>
          </c:cat>
          <c:val>
            <c:numRef>
              <c:f>Matrix!$J$14:$J$16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0%" sourceLinked="0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E6EDF3"/>
                </a:solidFill>
                <a:latin typeface="Segoe UI"/>
              </a:defRPr>
            </a:pPr>
            <a:r>
              <a:rPr lang="en-US" sz="1100" b="1" baseline="0">
                <a:solidFill>
                  <a:srgbClr val="E6EDF3"/>
                </a:solidFill>
                <a:latin typeface="Segoe UI"/>
              </a:rPr>
              <a:t>Projected target &amp; expected range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Outlook!$B$19</c:f>
              <c:strCache>
                <c:ptCount val="1"/>
                <c:pt idx="0">
                  <c:v>High</c:v>
                </c:pt>
              </c:strCache>
            </c:strRef>
          </c:tx>
          <c:spPr>
            <a:ln w="22225">
              <a:solidFill>
                <a:srgbClr val="F6465D"/>
              </a:solidFill>
            </a:ln>
          </c:spPr>
          <c:marker>
            <c:symbol val="circle"/>
            <c:size val="6"/>
            <c:spPr>
              <a:solidFill>
                <a:srgbClr val="F6465D"/>
              </a:solidFill>
            </c:spPr>
          </c:marker>
          <c:cat>
            <c:strRef>
              <c:f>Outlook!$C$18:$E$18</c:f>
              <c:strCache>
                <c:ptCount val="3"/>
                <c:pt idx="0">
                  <c:v>1 Week</c:v>
                </c:pt>
                <c:pt idx="1">
                  <c:v>1 Month</c:v>
                </c:pt>
                <c:pt idx="2">
                  <c:v>3 Months</c:v>
                </c:pt>
              </c:strCache>
            </c:strRef>
          </c:cat>
          <c:val>
            <c:numRef>
              <c:f>Outlook!$C$19:$E$19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Outlook!$B$20</c:f>
              <c:strCache>
                <c:ptCount val="1"/>
                <c:pt idx="0">
                  <c:v>Target</c:v>
                </c:pt>
              </c:strCache>
            </c:strRef>
          </c:tx>
          <c:spPr>
            <a:ln w="22225">
              <a:solidFill>
                <a:srgbClr val="E8B923"/>
              </a:solidFill>
            </a:ln>
          </c:spPr>
          <c:marker>
            <c:symbol val="circle"/>
            <c:size val="6"/>
            <c:spPr>
              <a:solidFill>
                <a:srgbClr val="E8B923"/>
              </a:solidFill>
            </c:spPr>
          </c:marker>
          <c:cat>
            <c:strRef>
              <c:f>Outlook!$C$18:$E$18</c:f>
              <c:strCache>
                <c:ptCount val="3"/>
                <c:pt idx="0">
                  <c:v>1 Week</c:v>
                </c:pt>
                <c:pt idx="1">
                  <c:v>1 Month</c:v>
                </c:pt>
                <c:pt idx="2">
                  <c:v>3 Months</c:v>
                </c:pt>
              </c:strCache>
            </c:strRef>
          </c:cat>
          <c:val>
            <c:numRef>
              <c:f>Outlook!$C$20:$E$20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Outlook!$B$21</c:f>
              <c:strCache>
                <c:ptCount val="1"/>
                <c:pt idx="0">
                  <c:v>Low</c:v>
                </c:pt>
              </c:strCache>
            </c:strRef>
          </c:tx>
          <c:spPr>
            <a:ln w="22225">
              <a:solidFill>
                <a:srgbClr val="2EBD85"/>
              </a:solidFill>
            </a:ln>
          </c:spPr>
          <c:marker>
            <c:symbol val="circle"/>
            <c:size val="6"/>
            <c:spPr>
              <a:solidFill>
                <a:srgbClr val="2EBD85"/>
              </a:solidFill>
            </c:spPr>
          </c:marker>
          <c:cat>
            <c:strRef>
              <c:f>Outlook!$C$18:$E$18</c:f>
              <c:strCache>
                <c:ptCount val="3"/>
                <c:pt idx="0">
                  <c:v>1 Week</c:v>
                </c:pt>
                <c:pt idx="1">
                  <c:v>1 Month</c:v>
                </c:pt>
                <c:pt idx="2">
                  <c:v>3 Months</c:v>
                </c:pt>
              </c:strCache>
            </c:strRef>
          </c:cat>
          <c:val>
            <c:numRef>
              <c:f>Outlook!$C$21:$E$21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>
          <c:spPr>
            <a:ln>
              <a:solidFill>
                <a:srgbClr val="2A3340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A3340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7A6"/>
                </a:solidFill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141A22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8A97A6"/>
              </a:solidFill>
            </a:defRPr>
          </a:pPr>
          <a:endParaRPr lang="en-US"/>
        </a:p>
      </c:txPr>
    </c:legend>
  </c:chart>
  <c:spPr>
    <a:solidFill>
      <a:srgbClr val="10161D"/>
    </a:solidFill>
    <a:ln>
      <a:solidFill>
        <a:srgbClr val="2A334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19</xdr:row>
      <xdr:rowOff>57150</xdr:rowOff>
    </xdr:from>
    <xdr:to>
      <xdr:col>6</xdr:col>
      <xdr:colOff>66675</xdr:colOff>
      <xdr:row>31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11</xdr:col>
      <xdr:colOff>819150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11</xdr:col>
      <xdr:colOff>819150</xdr:colOff>
      <xdr:row>32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11</xdr:col>
      <xdr:colOff>819150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11</xdr:col>
      <xdr:colOff>819150</xdr:colOff>
      <xdr:row>32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11</xdr:col>
      <xdr:colOff>819150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11</xdr:col>
      <xdr:colOff>819150</xdr:colOff>
      <xdr:row>32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17</xdr:col>
      <xdr:colOff>514350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10</xdr:col>
      <xdr:colOff>819150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17</xdr:col>
      <xdr:colOff>381000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ata" displayName="tblData" ref="A1:E341" totalsRowShown="0">
  <autoFilter ref="A1:E341"/>
  <tableColumns count="5">
    <tableColumn id="1" name="Date"/>
    <tableColumn id="2" name="Open"/>
    <tableColumn id="3" name="High"/>
    <tableColumn id="4" name="Low"/>
    <tableColumn id="5" name="Close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8B923"/>
  </sheetPr>
  <dimension ref="A1:BZ2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12" width="13.28515625" customWidth="1"/>
    <col min="13" max="78" width="9.140625" style="1"/>
  </cols>
  <sheetData>
    <row r="1" spans="2:11">
      <c r="B1" s="2" t="s">
        <v>162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>
        <f>"XAU  ·  As of "&amp;TEXT(AsOfDate,"dd mmm yyyy")&amp;"  ·  Auto-updating workbook"</f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1" ht="22" customHeight="1">
      <c r="B5" s="5" t="s">
        <v>163</v>
      </c>
      <c r="C5" s="5"/>
      <c r="D5" s="5"/>
      <c r="E5" s="5"/>
      <c r="F5" s="5"/>
      <c r="G5" s="5"/>
      <c r="H5" s="5"/>
      <c r="I5" s="5"/>
      <c r="J5" s="5"/>
      <c r="K5" s="5"/>
    </row>
    <row r="6" spans="2:11">
      <c r="B6" s="6" t="s">
        <v>164</v>
      </c>
      <c r="C6" s="6"/>
      <c r="D6" s="6" t="s">
        <v>165</v>
      </c>
      <c r="E6" s="6"/>
      <c r="F6" s="6" t="s">
        <v>166</v>
      </c>
      <c r="G6" s="6"/>
      <c r="H6" s="6" t="s">
        <v>167</v>
      </c>
      <c r="I6" s="6"/>
      <c r="J6" s="6" t="s">
        <v>168</v>
      </c>
      <c r="K6" s="6"/>
    </row>
    <row r="7" spans="2:11" ht="22" customHeight="1">
      <c r="B7" s="7">
        <f>CurrentPrice</f>
        <v>0</v>
      </c>
      <c r="C7" s="7"/>
      <c r="D7" s="8">
        <f>RetDay</f>
        <v>0</v>
      </c>
      <c r="E7" s="8"/>
      <c r="F7" s="8">
        <f>RetWeek</f>
        <v>0</v>
      </c>
      <c r="G7" s="8"/>
      <c r="H7" s="8">
        <f>RetMonth</f>
        <v>0</v>
      </c>
      <c r="I7" s="8"/>
      <c r="J7" s="8">
        <f>RetYTD</f>
        <v>0</v>
      </c>
      <c r="K7" s="8"/>
    </row>
    <row r="8" spans="2:11" ht="14" customHeight="1">
      <c r="B8" s="7"/>
      <c r="C8" s="7"/>
      <c r="D8" s="8"/>
      <c r="E8" s="8"/>
      <c r="F8" s="8"/>
      <c r="G8" s="8"/>
      <c r="H8" s="8"/>
      <c r="I8" s="8"/>
      <c r="J8" s="8"/>
      <c r="K8" s="8"/>
    </row>
    <row r="10" spans="2:11" ht="22" customHeight="1">
      <c r="B10" s="5" t="s">
        <v>169</v>
      </c>
      <c r="C10" s="5"/>
      <c r="D10" s="5"/>
      <c r="E10" s="5"/>
      <c r="F10" s="5"/>
      <c r="G10" s="5"/>
      <c r="H10" s="5"/>
      <c r="I10" s="5"/>
      <c r="J10" s="5"/>
      <c r="K10" s="5"/>
    </row>
    <row r="11" spans="2:11">
      <c r="B11" s="6" t="s">
        <v>170</v>
      </c>
      <c r="C11" s="6"/>
      <c r="D11" s="6"/>
      <c r="E11" s="6" t="s">
        <v>171</v>
      </c>
      <c r="F11" s="6"/>
      <c r="G11" s="6"/>
      <c r="H11" s="6" t="s">
        <v>172</v>
      </c>
      <c r="I11" s="6"/>
      <c r="J11" s="6"/>
      <c r="K11" s="6"/>
    </row>
    <row r="12" spans="2:11" ht="24" customHeight="1">
      <c r="B12" s="9">
        <f>TrendStatus</f>
        <v>0</v>
      </c>
      <c r="C12" s="9"/>
      <c r="D12" s="9"/>
      <c r="E12" s="9">
        <f>MomentumStatus</f>
        <v>0</v>
      </c>
      <c r="F12" s="9"/>
      <c r="G12" s="9"/>
      <c r="H12" s="9">
        <f>VolatilityStatus</f>
        <v>0</v>
      </c>
      <c r="I12" s="9"/>
      <c r="J12" s="9"/>
      <c r="K12" s="9"/>
    </row>
    <row r="14" spans="2:11" ht="22" customHeight="1">
      <c r="B14" s="5" t="s">
        <v>173</v>
      </c>
      <c r="C14" s="5"/>
      <c r="D14" s="5"/>
      <c r="E14" s="5"/>
      <c r="F14" s="5"/>
      <c r="G14" s="5" t="s">
        <v>174</v>
      </c>
      <c r="H14" s="5"/>
      <c r="I14" s="5"/>
      <c r="J14" s="5"/>
      <c r="K14" s="5"/>
    </row>
    <row r="15" spans="2:11">
      <c r="B15" s="10" t="s">
        <v>175</v>
      </c>
      <c r="C15" s="10"/>
      <c r="D15" s="11">
        <f>IFERROR(Metrics!$C$65,"-")</f>
        <v>0</v>
      </c>
      <c r="E15" s="11"/>
      <c r="F15" s="11"/>
      <c r="G15" s="12" t="s">
        <v>181</v>
      </c>
      <c r="H15" s="12" t="s">
        <v>182</v>
      </c>
      <c r="I15" s="12"/>
      <c r="J15" s="12" t="s">
        <v>183</v>
      </c>
      <c r="K15" s="12"/>
    </row>
    <row r="16" spans="2:11">
      <c r="B16" s="10" t="s">
        <v>176</v>
      </c>
      <c r="C16" s="10"/>
      <c r="D16" s="11">
        <f>IFERROR(Metrics!$C$64,"-")</f>
        <v>0</v>
      </c>
      <c r="E16" s="11"/>
      <c r="F16" s="11"/>
      <c r="G16" s="13" t="s">
        <v>184</v>
      </c>
      <c r="H16" s="13">
        <f>Metrics!$C$98</f>
        <v>0</v>
      </c>
      <c r="I16" s="13"/>
      <c r="J16" s="11">
        <f>IFERROR(Metrics!$C$108,"-")</f>
        <v>0</v>
      </c>
      <c r="K16" s="11"/>
    </row>
    <row r="17" spans="2:11">
      <c r="B17" s="10" t="s">
        <v>177</v>
      </c>
      <c r="C17" s="10"/>
      <c r="D17" s="11">
        <f>IFERROR(Metrics!$C$63,"-")</f>
        <v>0</v>
      </c>
      <c r="E17" s="11"/>
      <c r="F17" s="11"/>
      <c r="G17" s="13" t="s">
        <v>185</v>
      </c>
      <c r="H17" s="13">
        <f>Metrics!$D$98</f>
        <v>0</v>
      </c>
      <c r="I17" s="13"/>
      <c r="J17" s="11">
        <f>IFERROR(Metrics!$D$108,"-")</f>
        <v>0</v>
      </c>
      <c r="K17" s="11"/>
    </row>
    <row r="18" spans="2:11">
      <c r="B18" s="14" t="s">
        <v>178</v>
      </c>
      <c r="C18" s="14"/>
      <c r="D18" s="11">
        <f>IFERROR(Metrics!$C$66,"-")</f>
        <v>0</v>
      </c>
      <c r="E18" s="11"/>
      <c r="F18" s="11"/>
      <c r="G18" s="13" t="s">
        <v>186</v>
      </c>
      <c r="H18" s="13">
        <f>Metrics!$E$98</f>
        <v>0</v>
      </c>
      <c r="I18" s="13"/>
      <c r="J18" s="11">
        <f>IFERROR(Metrics!$E$108,"-")</f>
        <v>0</v>
      </c>
      <c r="K18" s="11"/>
    </row>
    <row r="19" spans="2:11">
      <c r="B19" s="14" t="s">
        <v>179</v>
      </c>
      <c r="C19" s="14"/>
      <c r="D19" s="11">
        <f>IFERROR(Metrics!$C$67,"-")</f>
        <v>0</v>
      </c>
      <c r="E19" s="11"/>
      <c r="F19" s="11"/>
    </row>
    <row r="20" spans="2:11">
      <c r="B20" s="14" t="s">
        <v>180</v>
      </c>
      <c r="C20" s="14"/>
      <c r="D20" s="11">
        <f>IFERROR(Metrics!$C$68,"-")</f>
        <v>0</v>
      </c>
      <c r="E20" s="11"/>
      <c r="F20" s="11"/>
    </row>
  </sheetData>
  <mergeCells count="42">
    <mergeCell ref="B1:K1"/>
    <mergeCell ref="B2:K2"/>
    <mergeCell ref="B5:K5"/>
    <mergeCell ref="B6:C6"/>
    <mergeCell ref="B7:C8"/>
    <mergeCell ref="D6:E6"/>
    <mergeCell ref="D7:E8"/>
    <mergeCell ref="F6:G6"/>
    <mergeCell ref="F7:G8"/>
    <mergeCell ref="H6:I6"/>
    <mergeCell ref="H7:I8"/>
    <mergeCell ref="J6:K6"/>
    <mergeCell ref="J7:K8"/>
    <mergeCell ref="B10:K10"/>
    <mergeCell ref="B11:D11"/>
    <mergeCell ref="B12:D12"/>
    <mergeCell ref="E11:G11"/>
    <mergeCell ref="E12:G12"/>
    <mergeCell ref="H11:K11"/>
    <mergeCell ref="H12:K12"/>
    <mergeCell ref="B14:F14"/>
    <mergeCell ref="G14:K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H15:I15"/>
    <mergeCell ref="J15:K15"/>
    <mergeCell ref="H16:I16"/>
    <mergeCell ref="J16:K16"/>
    <mergeCell ref="H17:I17"/>
    <mergeCell ref="J17:K17"/>
    <mergeCell ref="H18:I18"/>
    <mergeCell ref="J18:K18"/>
  </mergeCells>
  <conditionalFormatting sqref="B12:D12">
    <cfRule type="containsText" dxfId="2" priority="9" operator="containsText" text="UP">
      <formula>NOT(ISERROR(SEARCH("UP",B12)))</formula>
    </cfRule>
    <cfRule type="containsText" dxfId="3" priority="10" operator="containsText" text="DOWN">
      <formula>NOT(ISERROR(SEARCH("DOWN",B12)))</formula>
    </cfRule>
    <cfRule type="containsText" dxfId="4" priority="11" operator="containsText" text="SIDE">
      <formula>NOT(ISERROR(SEARCH("SIDE",B12)))</formula>
    </cfRule>
  </conditionalFormatting>
  <conditionalFormatting sqref="D7:E8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E12:G12">
    <cfRule type="containsText" dxfId="2" priority="12" operator="containsText" text="BULL">
      <formula>NOT(ISERROR(SEARCH("BULL",E12)))</formula>
    </cfRule>
    <cfRule type="containsText" dxfId="3" priority="13" operator="containsText" text="BEAR">
      <formula>NOT(ISERROR(SEARCH("BEAR",E12)))</formula>
    </cfRule>
    <cfRule type="containsText" dxfId="4" priority="14" operator="containsText" text="NEUTRAL">
      <formula>NOT(ISERROR(SEARCH("NEUTRAL",E12)))</formula>
    </cfRule>
  </conditionalFormatting>
  <conditionalFormatting sqref="F7:G8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H12:K12">
    <cfRule type="containsText" dxfId="5" priority="15" operator="containsText" text="HIGH">
      <formula>NOT(ISERROR(SEARCH("HIGH",H12)))</formula>
    </cfRule>
    <cfRule type="containsText" dxfId="2" priority="16" operator="containsText" text="LOW">
      <formula>NOT(ISERROR(SEARCH("LOW",H12)))</formula>
    </cfRule>
    <cfRule type="containsText" dxfId="4" priority="17" operator="containsText" text="NORMAL">
      <formula>NOT(ISERROR(SEARCH("NORMAL",H12)))</formula>
    </cfRule>
  </conditionalFormatting>
  <conditionalFormatting sqref="H16:I16">
    <cfRule type="containsText" dxfId="2" priority="18" operator="containsText" text="BULL">
      <formula>NOT(ISERROR(SEARCH("BULL",H16)))</formula>
    </cfRule>
    <cfRule type="containsText" dxfId="3" priority="19" operator="containsText" text="BEAR">
      <formula>NOT(ISERROR(SEARCH("BEAR",H16)))</formula>
    </cfRule>
    <cfRule type="containsText" dxfId="4" priority="20" operator="containsText" text="NEUTRAL">
      <formula>NOT(ISERROR(SEARCH("NEUTRAL",H16)))</formula>
    </cfRule>
  </conditionalFormatting>
  <conditionalFormatting sqref="H17:I17">
    <cfRule type="containsText" dxfId="2" priority="21" operator="containsText" text="BULL">
      <formula>NOT(ISERROR(SEARCH("BULL",H17)))</formula>
    </cfRule>
    <cfRule type="containsText" dxfId="3" priority="22" operator="containsText" text="BEAR">
      <formula>NOT(ISERROR(SEARCH("BEAR",H17)))</formula>
    </cfRule>
    <cfRule type="containsText" dxfId="4" priority="23" operator="containsText" text="NEUTRAL">
      <formula>NOT(ISERROR(SEARCH("NEUTRAL",H17)))</formula>
    </cfRule>
  </conditionalFormatting>
  <conditionalFormatting sqref="H18:I18">
    <cfRule type="containsText" dxfId="2" priority="24" operator="containsText" text="BULL">
      <formula>NOT(ISERROR(SEARCH("BULL",H18)))</formula>
    </cfRule>
    <cfRule type="containsText" dxfId="3" priority="25" operator="containsText" text="BEAR">
      <formula>NOT(ISERROR(SEARCH("BEAR",H18)))</formula>
    </cfRule>
    <cfRule type="containsText" dxfId="4" priority="26" operator="containsText" text="NEUTRAL">
      <formula>NOT(ISERROR(SEARCH("NEUTRAL",H18)))</formula>
    </cfRule>
  </conditionalFormatting>
  <conditionalFormatting sqref="H7:I8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J7:K8">
    <cfRule type="cellIs" dxfId="0" priority="7" operator="greaterThan">
      <formula>0</formula>
    </cfRule>
    <cfRule type="cellIs" dxfId="1" priority="8" operator="lessThan">
      <formula>0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FA3FF"/>
  </sheetPr>
  <dimension ref="A1:BZ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12" width="13.7109375" customWidth="1"/>
    <col min="13" max="78" width="9.140625" style="1"/>
  </cols>
  <sheetData>
    <row r="1" spans="2:11">
      <c r="B1" s="2" t="s">
        <v>170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 t="s">
        <v>187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1" ht="22" customHeight="1">
      <c r="B5" s="5" t="s">
        <v>188</v>
      </c>
      <c r="C5" s="5"/>
      <c r="D5" s="5"/>
      <c r="E5" s="5"/>
      <c r="F5" s="5"/>
      <c r="G5" s="5"/>
    </row>
    <row r="6" spans="2:11">
      <c r="B6" s="15" t="s">
        <v>189</v>
      </c>
      <c r="C6" s="12" t="s">
        <v>190</v>
      </c>
      <c r="D6" s="12" t="s">
        <v>191</v>
      </c>
      <c r="E6" s="12" t="s">
        <v>192</v>
      </c>
      <c r="F6" s="12"/>
      <c r="G6" s="12"/>
    </row>
    <row r="7" spans="2:11">
      <c r="B7" s="16" t="s">
        <v>88</v>
      </c>
      <c r="C7" s="11">
        <f>IFERROR(Metrics!$C$11,"-")</f>
        <v>0</v>
      </c>
      <c r="D7" s="17">
        <f>IFERROR(Metrics!$C$4/Metrics!$C$11-1,"-")</f>
        <v>0</v>
      </c>
      <c r="E7" s="13">
        <f>IF(Metrics!$C$4&gt;Metrics!$C$11,"Above","Below")</f>
        <v>0</v>
      </c>
      <c r="F7" s="13"/>
      <c r="G7" s="13"/>
    </row>
    <row r="8" spans="2:11">
      <c r="B8" s="16" t="s">
        <v>89</v>
      </c>
      <c r="C8" s="11">
        <f>IFERROR(Metrics!$C$12,"-")</f>
        <v>0</v>
      </c>
      <c r="D8" s="17">
        <f>IFERROR(Metrics!$C$4/Metrics!$C$12-1,"-")</f>
        <v>0</v>
      </c>
      <c r="E8" s="13">
        <f>IF(Metrics!$C$4&gt;Metrics!$C$12,"Above","Below")</f>
        <v>0</v>
      </c>
      <c r="F8" s="13"/>
      <c r="G8" s="13"/>
    </row>
    <row r="9" spans="2:11">
      <c r="B9" s="16" t="s">
        <v>90</v>
      </c>
      <c r="C9" s="11">
        <f>IFERROR(Metrics!$C$13,"-")</f>
        <v>0</v>
      </c>
      <c r="D9" s="17">
        <f>IFERROR(Metrics!$C$4/Metrics!$C$13-1,"-")</f>
        <v>0</v>
      </c>
      <c r="E9" s="13">
        <f>IF(Metrics!$C$4&gt;Metrics!$C$13,"Above","Below")</f>
        <v>0</v>
      </c>
      <c r="F9" s="13"/>
      <c r="G9" s="13"/>
    </row>
    <row r="10" spans="2:11">
      <c r="B10" s="16" t="s">
        <v>91</v>
      </c>
      <c r="C10" s="11">
        <f>IFERROR(Metrics!$C$14,"-")</f>
        <v>0</v>
      </c>
      <c r="D10" s="17">
        <f>IFERROR(Metrics!$C$4/Metrics!$C$14-1,"-")</f>
        <v>0</v>
      </c>
      <c r="E10" s="13">
        <f>IF(Metrics!$C$4&gt;Metrics!$C$14,"Above","Below")</f>
        <v>0</v>
      </c>
      <c r="F10" s="13"/>
      <c r="G10" s="13"/>
    </row>
    <row r="12" spans="2:11" ht="22" customHeight="1">
      <c r="B12" s="5" t="s">
        <v>193</v>
      </c>
      <c r="C12" s="5"/>
      <c r="D12" s="5"/>
      <c r="E12" s="5"/>
      <c r="F12" s="5"/>
      <c r="G12" s="5"/>
    </row>
    <row r="13" spans="2:11">
      <c r="B13" s="6" t="s">
        <v>194</v>
      </c>
      <c r="C13" s="6"/>
      <c r="D13" s="6"/>
      <c r="E13" s="18">
        <f>ROUND(AVERAGE(Metrics!$C$86:$C$89)/2*100,0)</f>
        <v>0</v>
      </c>
      <c r="F13" s="18"/>
      <c r="G13" s="18"/>
    </row>
    <row r="14" spans="2:11">
      <c r="B14" s="6" t="s">
        <v>195</v>
      </c>
      <c r="C14" s="6"/>
      <c r="D14" s="6"/>
      <c r="E14" s="9">
        <f>TrendStatus</f>
        <v>0</v>
      </c>
      <c r="F14" s="9"/>
      <c r="G14" s="9"/>
    </row>
  </sheetData>
  <mergeCells count="13">
    <mergeCell ref="B1:K1"/>
    <mergeCell ref="B2:K2"/>
    <mergeCell ref="B5:G5"/>
    <mergeCell ref="E6:G6"/>
    <mergeCell ref="E7:G7"/>
    <mergeCell ref="E8:G8"/>
    <mergeCell ref="E9:G9"/>
    <mergeCell ref="E10:G10"/>
    <mergeCell ref="B12:G12"/>
    <mergeCell ref="B13:D13"/>
    <mergeCell ref="E13:G13"/>
    <mergeCell ref="B14:D14"/>
    <mergeCell ref="E14:G14"/>
  </mergeCells>
  <conditionalFormatting sqref="D10"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D7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D8">
    <cfRule type="cellIs" dxfId="0" priority="6" operator="greaterThan">
      <formula>0</formula>
    </cfRule>
    <cfRule type="cellIs" dxfId="1" priority="7" operator="lessThan">
      <formula>0</formula>
    </cfRule>
  </conditionalFormatting>
  <conditionalFormatting sqref="D9">
    <cfRule type="cellIs" dxfId="0" priority="11" operator="greaterThan">
      <formula>0</formula>
    </cfRule>
    <cfRule type="cellIs" dxfId="1" priority="12" operator="lessThan">
      <formula>0</formula>
    </cfRule>
  </conditionalFormatting>
  <conditionalFormatting sqref="E10:G10">
    <cfRule type="containsText" dxfId="2" priority="18" operator="containsText" text="UP">
      <formula>NOT(ISERROR(SEARCH("UP",E10)))</formula>
    </cfRule>
    <cfRule type="containsText" dxfId="3" priority="19" operator="containsText" text="DOWN">
      <formula>NOT(ISERROR(SEARCH("DOWN",E10)))</formula>
    </cfRule>
    <cfRule type="containsText" dxfId="4" priority="20" operator="containsText" text="SIDE">
      <formula>NOT(ISERROR(SEARCH("SIDE",E10)))</formula>
    </cfRule>
  </conditionalFormatting>
  <conditionalFormatting sqref="E14:G14">
    <cfRule type="containsText" dxfId="2" priority="21" operator="containsText" text="UP">
      <formula>NOT(ISERROR(SEARCH("UP",E14)))</formula>
    </cfRule>
    <cfRule type="containsText" dxfId="3" priority="22" operator="containsText" text="DOWN">
      <formula>NOT(ISERROR(SEARCH("DOWN",E14)))</formula>
    </cfRule>
    <cfRule type="containsText" dxfId="4" priority="23" operator="containsText" text="SIDE">
      <formula>NOT(ISERROR(SEARCH("SIDE",E14)))</formula>
    </cfRule>
  </conditionalFormatting>
  <conditionalFormatting sqref="E7:G7">
    <cfRule type="containsText" dxfId="2" priority="3" operator="containsText" text="UP">
      <formula>NOT(ISERROR(SEARCH("UP",E7)))</formula>
    </cfRule>
    <cfRule type="containsText" dxfId="3" priority="4" operator="containsText" text="DOWN">
      <formula>NOT(ISERROR(SEARCH("DOWN",E7)))</formula>
    </cfRule>
    <cfRule type="containsText" dxfId="4" priority="5" operator="containsText" text="SIDE">
      <formula>NOT(ISERROR(SEARCH("SIDE",E7)))</formula>
    </cfRule>
  </conditionalFormatting>
  <conditionalFormatting sqref="E8:G8">
    <cfRule type="containsText" dxfId="2" priority="8" operator="containsText" text="UP">
      <formula>NOT(ISERROR(SEARCH("UP",E8)))</formula>
    </cfRule>
    <cfRule type="containsText" dxfId="3" priority="9" operator="containsText" text="DOWN">
      <formula>NOT(ISERROR(SEARCH("DOWN",E8)))</formula>
    </cfRule>
    <cfRule type="containsText" dxfId="4" priority="10" operator="containsText" text="SIDE">
      <formula>NOT(ISERROR(SEARCH("SIDE",E8)))</formula>
    </cfRule>
  </conditionalFormatting>
  <conditionalFormatting sqref="E9:G9">
    <cfRule type="containsText" dxfId="2" priority="13" operator="containsText" text="UP">
      <formula>NOT(ISERROR(SEARCH("UP",E9)))</formula>
    </cfRule>
    <cfRule type="containsText" dxfId="3" priority="14" operator="containsText" text="DOWN">
      <formula>NOT(ISERROR(SEARCH("DOWN",E9)))</formula>
    </cfRule>
    <cfRule type="containsText" dxfId="4" priority="15" operator="containsText" text="SIDE">
      <formula>NOT(ISERROR(SEARCH("SIDE",E9)))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07CFF"/>
  </sheetPr>
  <dimension ref="A1:BZ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12" width="13.7109375" customWidth="1"/>
    <col min="13" max="78" width="9.140625" style="1"/>
  </cols>
  <sheetData>
    <row r="1" spans="2:11">
      <c r="B1" s="2" t="s">
        <v>171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 t="s">
        <v>196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1" ht="22" customHeight="1">
      <c r="B5" s="5" t="s">
        <v>197</v>
      </c>
      <c r="C5" s="5"/>
      <c r="D5" s="5"/>
      <c r="E5" s="5"/>
      <c r="F5" s="5"/>
      <c r="G5" s="5"/>
    </row>
    <row r="6" spans="2:11">
      <c r="B6" s="15" t="s">
        <v>198</v>
      </c>
      <c r="C6" s="15"/>
      <c r="D6" s="12" t="s">
        <v>190</v>
      </c>
      <c r="E6" s="12"/>
      <c r="F6" s="12" t="s">
        <v>199</v>
      </c>
      <c r="G6" s="12"/>
    </row>
    <row r="7" spans="2:11">
      <c r="B7" s="16" t="s">
        <v>200</v>
      </c>
      <c r="C7" s="16"/>
      <c r="D7" s="19">
        <f>IFERROR(Metrics!$C$19,"-")</f>
        <v>0</v>
      </c>
      <c r="E7" s="19"/>
      <c r="F7" s="13">
        <f>IF(Metrics!$C$19="","-",IF(Metrics!$C$19&gt;=70,"Overbought",IF(Metrics!$C$19&lt;=30,"Oversold","Neutral")))</f>
        <v>0</v>
      </c>
      <c r="G7" s="13"/>
    </row>
    <row r="8" spans="2:11">
      <c r="B8" s="16" t="s">
        <v>84</v>
      </c>
      <c r="C8" s="16"/>
      <c r="D8" s="19">
        <f>IFERROR(Metrics!$C$20,"-")</f>
        <v>0</v>
      </c>
      <c r="E8" s="19"/>
      <c r="F8" s="13">
        <f>IF(Metrics!$C$22="","-",IF(Metrics!$C$22&gt;0,"Bullish","Bearish"))</f>
        <v>0</v>
      </c>
      <c r="G8" s="13"/>
    </row>
    <row r="9" spans="2:11">
      <c r="B9" s="16" t="s">
        <v>201</v>
      </c>
      <c r="C9" s="16"/>
      <c r="D9" s="19">
        <f>IFERROR(Metrics!$C$21,"-")</f>
        <v>0</v>
      </c>
      <c r="E9" s="19"/>
      <c r="F9" s="13">
        <f>""</f>
        <v>0</v>
      </c>
      <c r="G9" s="13"/>
    </row>
    <row r="10" spans="2:11">
      <c r="B10" s="16" t="s">
        <v>202</v>
      </c>
      <c r="C10" s="16"/>
      <c r="D10" s="19">
        <f>IFERROR(Metrics!$C$23,"-")</f>
        <v>0</v>
      </c>
      <c r="E10" s="19"/>
      <c r="F10" s="13">
        <f>IF(Metrics!$C$23="","-",IF(Metrics!$C$23&gt;=80,"Overbought",IF(Metrics!$C$23&lt;=20,"Oversold","Neutral")))</f>
        <v>0</v>
      </c>
      <c r="G10" s="13"/>
    </row>
    <row r="11" spans="2:11">
      <c r="B11" s="16" t="s">
        <v>203</v>
      </c>
      <c r="C11" s="16"/>
      <c r="D11" s="19">
        <f>IFERROR(Metrics!$C$25,"-")</f>
        <v>0</v>
      </c>
      <c r="E11" s="19"/>
      <c r="F11" s="13">
        <f>IF(Metrics!$C$25="","-",IF(Metrics!$C$25&gt;=80,"Overbought",IF(Metrics!$C$25&lt;=20,"Oversold","Neutral")))</f>
        <v>0</v>
      </c>
      <c r="G11" s="13"/>
    </row>
    <row r="13" spans="2:11" ht="22" customHeight="1">
      <c r="B13" s="5" t="s">
        <v>204</v>
      </c>
      <c r="C13" s="5"/>
      <c r="D13" s="5"/>
      <c r="E13" s="5"/>
      <c r="F13" s="5"/>
      <c r="G13" s="5"/>
    </row>
    <row r="14" spans="2:11">
      <c r="B14" s="15" t="s">
        <v>198</v>
      </c>
      <c r="C14" s="15"/>
      <c r="D14" s="12" t="s">
        <v>205</v>
      </c>
      <c r="E14" s="12" t="s">
        <v>206</v>
      </c>
      <c r="F14" s="12" t="s">
        <v>207</v>
      </c>
      <c r="G14" s="12"/>
    </row>
    <row r="15" spans="2:11">
      <c r="B15" s="16" t="s">
        <v>83</v>
      </c>
      <c r="C15" s="16"/>
      <c r="D15" s="20">
        <f>CHOOSE(Metrics!$C$81+3,"Bearish","Slightly Bearish","Neutral","Slightly Bullish","Bullish")</f>
        <v>0</v>
      </c>
      <c r="E15" s="20">
        <f>CHOOSE(Metrics!$D$81+3,"Bearish","Slightly Bearish","Neutral","Slightly Bullish","Bullish")</f>
        <v>0</v>
      </c>
      <c r="F15" s="20">
        <f>CHOOSE(Metrics!$E$81+3,"Bearish","Slightly Bearish","Neutral","Slightly Bullish","Bullish")</f>
        <v>0</v>
      </c>
      <c r="G15" s="20"/>
    </row>
    <row r="16" spans="2:11">
      <c r="B16" s="16" t="s">
        <v>84</v>
      </c>
      <c r="C16" s="16"/>
      <c r="D16" s="20">
        <f>CHOOSE(Metrics!$C$82+3,"Bearish","Slightly Bearish","Neutral","Slightly Bullish","Bullish")</f>
        <v>0</v>
      </c>
      <c r="E16" s="20">
        <f>CHOOSE(Metrics!$D$82+3,"Bearish","Slightly Bearish","Neutral","Slightly Bullish","Bullish")</f>
        <v>0</v>
      </c>
      <c r="F16" s="20">
        <f>CHOOSE(Metrics!$E$82+3,"Bearish","Slightly Bearish","Neutral","Slightly Bullish","Bullish")</f>
        <v>0</v>
      </c>
      <c r="G16" s="20"/>
    </row>
    <row r="17" spans="2:7">
      <c r="B17" s="16" t="s">
        <v>85</v>
      </c>
      <c r="C17" s="16"/>
      <c r="D17" s="20">
        <f>CHOOSE(Metrics!$C$83+3,"Bearish","Slightly Bearish","Neutral","Slightly Bullish","Bullish")</f>
        <v>0</v>
      </c>
      <c r="E17" s="20">
        <f>CHOOSE(Metrics!$D$83+3,"Bearish","Slightly Bearish","Neutral","Slightly Bullish","Bullish")</f>
        <v>0</v>
      </c>
      <c r="F17" s="20">
        <f>CHOOSE(Metrics!$E$83+3,"Bearish","Slightly Bearish","Neutral","Slightly Bullish","Bullish")</f>
        <v>0</v>
      </c>
      <c r="G17" s="20"/>
    </row>
    <row r="18" spans="2:7">
      <c r="B18" s="16" t="s">
        <v>86</v>
      </c>
      <c r="C18" s="16"/>
      <c r="D18" s="20">
        <f>CHOOSE(Metrics!$C$84+3,"Bearish","Slightly Bearish","Neutral","Slightly Bullish","Bullish")</f>
        <v>0</v>
      </c>
      <c r="E18" s="20">
        <f>CHOOSE(Metrics!$D$84+3,"Bearish","Slightly Bearish","Neutral","Slightly Bullish","Bullish")</f>
        <v>0</v>
      </c>
      <c r="F18" s="20">
        <f>CHOOSE(Metrics!$E$84+3,"Bearish","Slightly Bearish","Neutral","Slightly Bullish","Bullish")</f>
        <v>0</v>
      </c>
      <c r="G18" s="20"/>
    </row>
  </sheetData>
  <mergeCells count="32">
    <mergeCell ref="B1:K1"/>
    <mergeCell ref="B2:K2"/>
    <mergeCell ref="B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</mergeCells>
  <conditionalFormatting sqref="D15:G15">
    <cfRule type="expression" dxfId="2" priority="16">
      <formula>EXACT(D15,"Bullish")</formula>
    </cfRule>
    <cfRule type="expression" dxfId="6" priority="17">
      <formula>EXACT(D15,"Slightly Bullish")</formula>
    </cfRule>
    <cfRule type="expression" dxfId="4" priority="18">
      <formula>EXACT(D15,"Neutral")</formula>
    </cfRule>
    <cfRule type="expression" dxfId="7" priority="19">
      <formula>EXACT(D15,"Slightly Bearish")</formula>
    </cfRule>
    <cfRule type="expression" dxfId="3" priority="20">
      <formula>EXACT(D15,"Bearish")</formula>
    </cfRule>
  </conditionalFormatting>
  <conditionalFormatting sqref="D16:G16">
    <cfRule type="expression" dxfId="2" priority="21">
      <formula>EXACT(D16,"Bullish")</formula>
    </cfRule>
    <cfRule type="expression" dxfId="6" priority="22">
      <formula>EXACT(D16,"Slightly Bullish")</formula>
    </cfRule>
    <cfRule type="expression" dxfId="4" priority="23">
      <formula>EXACT(D16,"Neutral")</formula>
    </cfRule>
    <cfRule type="expression" dxfId="7" priority="24">
      <formula>EXACT(D16,"Slightly Bearish")</formula>
    </cfRule>
    <cfRule type="expression" dxfId="3" priority="25">
      <formula>EXACT(D16,"Bearish")</formula>
    </cfRule>
  </conditionalFormatting>
  <conditionalFormatting sqref="D17:G17">
    <cfRule type="expression" dxfId="2" priority="26">
      <formula>EXACT(D17,"Bullish")</formula>
    </cfRule>
    <cfRule type="expression" dxfId="6" priority="27">
      <formula>EXACT(D17,"Slightly Bullish")</formula>
    </cfRule>
    <cfRule type="expression" dxfId="4" priority="28">
      <formula>EXACT(D17,"Neutral")</formula>
    </cfRule>
    <cfRule type="expression" dxfId="7" priority="29">
      <formula>EXACT(D17,"Slightly Bearish")</formula>
    </cfRule>
    <cfRule type="expression" dxfId="3" priority="30">
      <formula>EXACT(D17,"Bearish")</formula>
    </cfRule>
  </conditionalFormatting>
  <conditionalFormatting sqref="D18:G18">
    <cfRule type="expression" dxfId="2" priority="31">
      <formula>EXACT(D18,"Bullish")</formula>
    </cfRule>
    <cfRule type="expression" dxfId="6" priority="32">
      <formula>EXACT(D18,"Slightly Bullish")</formula>
    </cfRule>
    <cfRule type="expression" dxfId="4" priority="33">
      <formula>EXACT(D18,"Neutral")</formula>
    </cfRule>
    <cfRule type="expression" dxfId="7" priority="34">
      <formula>EXACT(D18,"Slightly Bearish")</formula>
    </cfRule>
    <cfRule type="expression" dxfId="3" priority="35">
      <formula>EXACT(D18,"Bearish")</formula>
    </cfRule>
  </conditionalFormatting>
  <conditionalFormatting sqref="F10:G10">
    <cfRule type="containsText" dxfId="2" priority="10" operator="containsText" text="BULL">
      <formula>NOT(ISERROR(SEARCH("BULL",F10)))</formula>
    </cfRule>
    <cfRule type="containsText" dxfId="3" priority="11" operator="containsText" text="BEAR">
      <formula>NOT(ISERROR(SEARCH("BEAR",F10)))</formula>
    </cfRule>
    <cfRule type="containsText" dxfId="4" priority="12" operator="containsText" text="NEUTRAL">
      <formula>NOT(ISERROR(SEARCH("NEUTRAL",F10)))</formula>
    </cfRule>
  </conditionalFormatting>
  <conditionalFormatting sqref="F11:G11">
    <cfRule type="containsText" dxfId="2" priority="13" operator="containsText" text="BULL">
      <formula>NOT(ISERROR(SEARCH("BULL",F11)))</formula>
    </cfRule>
    <cfRule type="containsText" dxfId="3" priority="14" operator="containsText" text="BEAR">
      <formula>NOT(ISERROR(SEARCH("BEAR",F11)))</formula>
    </cfRule>
    <cfRule type="containsText" dxfId="4" priority="15" operator="containsText" text="NEUTRAL">
      <formula>NOT(ISERROR(SEARCH("NEUTRAL",F11)))</formula>
    </cfRule>
  </conditionalFormatting>
  <conditionalFormatting sqref="F7:G7">
    <cfRule type="containsText" dxfId="2" priority="1" operator="containsText" text="BULL">
      <formula>NOT(ISERROR(SEARCH("BULL",F7)))</formula>
    </cfRule>
    <cfRule type="containsText" dxfId="3" priority="2" operator="containsText" text="BEAR">
      <formula>NOT(ISERROR(SEARCH("BEAR",F7)))</formula>
    </cfRule>
    <cfRule type="containsText" dxfId="4" priority="3" operator="containsText" text="NEUTRAL">
      <formula>NOT(ISERROR(SEARCH("NEUTRAL",F7)))</formula>
    </cfRule>
  </conditionalFormatting>
  <conditionalFormatting sqref="F8:G8">
    <cfRule type="containsText" dxfId="2" priority="4" operator="containsText" text="BULL">
      <formula>NOT(ISERROR(SEARCH("BULL",F8)))</formula>
    </cfRule>
    <cfRule type="containsText" dxfId="3" priority="5" operator="containsText" text="BEAR">
      <formula>NOT(ISERROR(SEARCH("BEAR",F8)))</formula>
    </cfRule>
    <cfRule type="containsText" dxfId="4" priority="6" operator="containsText" text="NEUTRAL">
      <formula>NOT(ISERROR(SEARCH("NEUTRAL",F8)))</formula>
    </cfRule>
  </conditionalFormatting>
  <conditionalFormatting sqref="F9:G9">
    <cfRule type="containsText" dxfId="2" priority="7" operator="containsText" text="BULL">
      <formula>NOT(ISERROR(SEARCH("BULL",F9)))</formula>
    </cfRule>
    <cfRule type="containsText" dxfId="3" priority="8" operator="containsText" text="BEAR">
      <formula>NOT(ISERROR(SEARCH("BEAR",F9)))</formula>
    </cfRule>
    <cfRule type="containsText" dxfId="4" priority="9" operator="containsText" text="NEUTRAL">
      <formula>NOT(ISERROR(SEARCH("NEUTRAL",F9)))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BD85"/>
  </sheetPr>
  <dimension ref="A1:BZ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12" width="13.7109375" customWidth="1"/>
    <col min="13" max="78" width="9.140625" style="1"/>
  </cols>
  <sheetData>
    <row r="1" spans="2:11">
      <c r="B1" s="2" t="s">
        <v>172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 t="s">
        <v>208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1" ht="22" customHeight="1">
      <c r="B5" s="5" t="s">
        <v>197</v>
      </c>
      <c r="C5" s="5"/>
      <c r="D5" s="5"/>
      <c r="E5" s="5"/>
      <c r="F5" s="5"/>
      <c r="G5" s="5"/>
    </row>
    <row r="6" spans="2:11">
      <c r="B6" s="15" t="s">
        <v>209</v>
      </c>
      <c r="C6" s="15"/>
      <c r="D6" s="15"/>
      <c r="E6" s="12" t="s">
        <v>190</v>
      </c>
      <c r="F6" s="12"/>
      <c r="G6" s="12"/>
    </row>
    <row r="7" spans="2:11">
      <c r="B7" s="16" t="s">
        <v>210</v>
      </c>
      <c r="C7" s="16"/>
      <c r="D7" s="16"/>
      <c r="E7" s="19">
        <f>IFERROR(Metrics!$C$30,"-")</f>
        <v>0</v>
      </c>
      <c r="F7" s="19"/>
      <c r="G7" s="19"/>
    </row>
    <row r="8" spans="2:11">
      <c r="B8" s="16" t="s">
        <v>211</v>
      </c>
      <c r="C8" s="16"/>
      <c r="D8" s="16"/>
      <c r="E8" s="17">
        <f>IFERROR(Metrics!$C$30/Metrics!$C$4,"-")</f>
        <v>0</v>
      </c>
      <c r="F8" s="17"/>
      <c r="G8" s="17"/>
    </row>
    <row r="9" spans="2:11">
      <c r="B9" s="16" t="s">
        <v>212</v>
      </c>
      <c r="C9" s="16"/>
      <c r="D9" s="16"/>
      <c r="E9" s="17">
        <f>IFERROR(Metrics!$C$35,"-")</f>
        <v>0</v>
      </c>
      <c r="F9" s="17"/>
      <c r="G9" s="17"/>
    </row>
    <row r="10" spans="2:11">
      <c r="B10" s="16" t="s">
        <v>213</v>
      </c>
      <c r="C10" s="16"/>
      <c r="D10" s="16"/>
      <c r="E10" s="17">
        <f>IFERROR(Metrics!$C$34,"-")</f>
        <v>0</v>
      </c>
      <c r="F10" s="17"/>
      <c r="G10" s="17"/>
    </row>
    <row r="11" spans="2:11">
      <c r="B11" s="16" t="s">
        <v>214</v>
      </c>
      <c r="C11" s="16"/>
      <c r="D11" s="16"/>
      <c r="E11" s="17">
        <f>IFERROR(Metrics!$C$39,"-")</f>
        <v>0</v>
      </c>
      <c r="F11" s="17"/>
      <c r="G11" s="17"/>
    </row>
    <row r="13" spans="2:11" ht="22" customHeight="1">
      <c r="B13" s="5" t="s">
        <v>215</v>
      </c>
      <c r="C13" s="5"/>
      <c r="D13" s="5"/>
      <c r="E13" s="5"/>
      <c r="F13" s="5"/>
      <c r="G13" s="5"/>
    </row>
    <row r="14" spans="2:11">
      <c r="B14" s="6" t="s">
        <v>216</v>
      </c>
      <c r="C14" s="6"/>
      <c r="D14" s="6"/>
      <c r="E14" s="9">
        <f>VolatilityStatus</f>
        <v>0</v>
      </c>
      <c r="F14" s="9"/>
      <c r="G14" s="9"/>
    </row>
    <row r="15" spans="2:11">
      <c r="B15" s="6" t="s">
        <v>217</v>
      </c>
      <c r="C15" s="6"/>
      <c r="D15" s="6"/>
      <c r="E15" s="21">
        <f>IFERROR(Metrics!$C$39/Metrics!$C$49-1,"-")</f>
        <v>0</v>
      </c>
      <c r="F15" s="21"/>
      <c r="G15" s="21"/>
    </row>
  </sheetData>
  <mergeCells count="20">
    <mergeCell ref="B1:K1"/>
    <mergeCell ref="B2:K2"/>
    <mergeCell ref="B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3:G13"/>
    <mergeCell ref="B14:D14"/>
    <mergeCell ref="E14:G14"/>
    <mergeCell ref="B15:D15"/>
    <mergeCell ref="E15:G15"/>
  </mergeCells>
  <conditionalFormatting sqref="E14:G14">
    <cfRule type="containsText" dxfId="5" priority="1" operator="containsText" text="HIGH">
      <formula>NOT(ISERROR(SEARCH("HIGH",E14)))</formula>
    </cfRule>
    <cfRule type="containsText" dxfId="2" priority="2" operator="containsText" text="LOW">
      <formula>NOT(ISERROR(SEARCH("LOW",E14)))</formula>
    </cfRule>
    <cfRule type="containsText" dxfId="4" priority="3" operator="containsText" text="NORMAL">
      <formula>NOT(ISERROR(SEARCH("NORMAL",E14)))</formula>
    </cfRule>
  </conditionalFormatting>
  <conditionalFormatting sqref="E15:G15">
    <cfRule type="cellIs" dxfId="0" priority="4" operator="greaterThan">
      <formula>0</formula>
    </cfRule>
    <cfRule type="cellIs" dxfId="1" priority="5" operator="lessThan">
      <formula>0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6465D"/>
  </sheetPr>
  <dimension ref="A1:BZ2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12" width="13.7109375" customWidth="1"/>
    <col min="13" max="78" width="9.140625" style="1"/>
  </cols>
  <sheetData>
    <row r="1" spans="2:11">
      <c r="B1" s="2" t="s">
        <v>218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 t="s">
        <v>219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1" ht="22" customHeight="1">
      <c r="B5" s="5" t="s">
        <v>220</v>
      </c>
      <c r="C5" s="5"/>
      <c r="D5" s="5"/>
      <c r="F5" s="5" t="s">
        <v>224</v>
      </c>
      <c r="G5" s="5"/>
      <c r="H5" s="5"/>
      <c r="J5" s="5" t="s">
        <v>232</v>
      </c>
      <c r="K5" s="5"/>
    </row>
    <row r="6" spans="2:11">
      <c r="B6" s="15" t="s">
        <v>221</v>
      </c>
      <c r="C6" s="15"/>
      <c r="D6" s="12" t="s">
        <v>222</v>
      </c>
      <c r="F6" s="15" t="s">
        <v>221</v>
      </c>
      <c r="G6" s="15"/>
      <c r="H6" s="12" t="s">
        <v>222</v>
      </c>
    </row>
    <row r="7" spans="2:11">
      <c r="B7" s="22" t="s">
        <v>175</v>
      </c>
      <c r="C7" s="22"/>
      <c r="D7" s="11">
        <f>IFERROR(Metrics!$C$65,"-")</f>
        <v>0</v>
      </c>
      <c r="F7" s="22" t="s">
        <v>225</v>
      </c>
      <c r="G7" s="22"/>
      <c r="H7" s="11">
        <f>IFERROR(Metrics!$C$61,"-")</f>
        <v>0</v>
      </c>
      <c r="J7" s="16" t="s">
        <v>233</v>
      </c>
      <c r="K7" s="11">
        <f>IFERROR(Metrics!$C$36,"-")</f>
        <v>0</v>
      </c>
    </row>
    <row r="8" spans="2:11">
      <c r="B8" s="22" t="s">
        <v>176</v>
      </c>
      <c r="C8" s="22"/>
      <c r="D8" s="11">
        <f>IFERROR(Metrics!$C$64,"-")</f>
        <v>0</v>
      </c>
      <c r="F8" s="22" t="s">
        <v>226</v>
      </c>
      <c r="G8" s="22"/>
      <c r="H8" s="11">
        <f>IFERROR(Metrics!$C$59,"-")</f>
        <v>0</v>
      </c>
      <c r="J8" s="16" t="s">
        <v>234</v>
      </c>
      <c r="K8" s="11">
        <f>IFERROR(Metrics!$C$38,"-")</f>
        <v>0</v>
      </c>
    </row>
    <row r="9" spans="2:11">
      <c r="B9" s="22" t="s">
        <v>177</v>
      </c>
      <c r="C9" s="22"/>
      <c r="D9" s="11">
        <f>IFERROR(Metrics!$C$63,"-")</f>
        <v>0</v>
      </c>
      <c r="F9" s="22" t="s">
        <v>227</v>
      </c>
      <c r="G9" s="22"/>
      <c r="H9" s="11">
        <f>IFERROR(Metrics!$C$57,"-")</f>
        <v>0</v>
      </c>
      <c r="J9" s="16" t="s">
        <v>235</v>
      </c>
      <c r="K9" s="11">
        <f>IFERROR(Metrics!$C$37,"-")</f>
        <v>0</v>
      </c>
    </row>
    <row r="10" spans="2:11">
      <c r="B10" s="23" t="s">
        <v>223</v>
      </c>
      <c r="C10" s="23"/>
      <c r="D10" s="11">
        <f>IFERROR(Metrics!$C$4,"-")</f>
        <v>0</v>
      </c>
      <c r="F10" s="23" t="s">
        <v>228</v>
      </c>
      <c r="G10" s="23"/>
      <c r="H10" s="11">
        <f>IFERROR(Metrics!$C$56,"-")</f>
        <v>0</v>
      </c>
    </row>
    <row r="11" spans="2:11">
      <c r="B11" s="24" t="s">
        <v>178</v>
      </c>
      <c r="C11" s="24"/>
      <c r="D11" s="11">
        <f>IFERROR(Metrics!$C$66,"-")</f>
        <v>0</v>
      </c>
      <c r="F11" s="24" t="s">
        <v>229</v>
      </c>
      <c r="G11" s="24"/>
      <c r="H11" s="11">
        <f>IFERROR(Metrics!$C$58,"-")</f>
        <v>0</v>
      </c>
    </row>
    <row r="12" spans="2:11">
      <c r="B12" s="24" t="s">
        <v>179</v>
      </c>
      <c r="C12" s="24"/>
      <c r="D12" s="11">
        <f>IFERROR(Metrics!$C$67,"-")</f>
        <v>0</v>
      </c>
      <c r="F12" s="24" t="s">
        <v>230</v>
      </c>
      <c r="G12" s="24"/>
      <c r="H12" s="11">
        <f>IFERROR(Metrics!$C$60,"-")</f>
        <v>0</v>
      </c>
    </row>
    <row r="13" spans="2:11">
      <c r="B13" s="24" t="s">
        <v>180</v>
      </c>
      <c r="C13" s="24"/>
      <c r="D13" s="11">
        <f>IFERROR(Metrics!$C$68,"-")</f>
        <v>0</v>
      </c>
      <c r="F13" s="24" t="s">
        <v>231</v>
      </c>
      <c r="G13" s="24"/>
      <c r="H13" s="11">
        <f>IFERROR(Metrics!$C$62,"-")</f>
        <v>0</v>
      </c>
    </row>
    <row r="15" spans="2:11" ht="22" customHeight="1">
      <c r="B15" s="5" t="s">
        <v>236</v>
      </c>
      <c r="C15" s="5"/>
      <c r="D15" s="5"/>
      <c r="E15" s="5"/>
    </row>
    <row r="16" spans="2:11">
      <c r="B16" s="15" t="s">
        <v>237</v>
      </c>
      <c r="C16" s="15"/>
      <c r="D16" s="12" t="s">
        <v>222</v>
      </c>
      <c r="E16" s="12"/>
    </row>
    <row r="17" spans="2:5">
      <c r="B17" s="16" t="s">
        <v>238</v>
      </c>
      <c r="C17" s="16"/>
      <c r="D17" s="11">
        <f>IFERROR(Metrics!$C$70,"-")</f>
        <v>0</v>
      </c>
      <c r="E17" s="11"/>
    </row>
    <row r="18" spans="2:5">
      <c r="B18" s="16" t="s">
        <v>239</v>
      </c>
      <c r="C18" s="16"/>
      <c r="D18" s="11">
        <f>IFERROR(Metrics!$C$71,"-")</f>
        <v>0</v>
      </c>
      <c r="E18" s="11"/>
    </row>
    <row r="19" spans="2:5">
      <c r="B19" s="16" t="s">
        <v>240</v>
      </c>
      <c r="C19" s="16"/>
      <c r="D19" s="11">
        <f>IFERROR(Metrics!$C$72,"-")</f>
        <v>0</v>
      </c>
      <c r="E19" s="11"/>
    </row>
    <row r="20" spans="2:5">
      <c r="B20" s="16" t="s">
        <v>241</v>
      </c>
      <c r="C20" s="16"/>
      <c r="D20" s="11">
        <f>IFERROR(Metrics!$C$73,"-")</f>
        <v>0</v>
      </c>
      <c r="E20" s="11"/>
    </row>
    <row r="21" spans="2:5">
      <c r="B21" s="16" t="s">
        <v>242</v>
      </c>
      <c r="C21" s="16"/>
      <c r="D21" s="11">
        <f>IFERROR(Metrics!$C$74,"-")</f>
        <v>0</v>
      </c>
      <c r="E21" s="11"/>
    </row>
    <row r="22" spans="2:5">
      <c r="B22" s="16" t="s">
        <v>243</v>
      </c>
      <c r="C22" s="16"/>
      <c r="D22" s="11">
        <f>IFERROR(Metrics!$C$75,"-")</f>
        <v>0</v>
      </c>
      <c r="E22" s="11"/>
    </row>
    <row r="23" spans="2:5">
      <c r="B23" s="16" t="s">
        <v>244</v>
      </c>
      <c r="C23" s="16"/>
      <c r="D23" s="11">
        <f>IFERROR(Metrics!$C$76,"-")</f>
        <v>0</v>
      </c>
      <c r="E23" s="11"/>
    </row>
    <row r="25" spans="2:5">
      <c r="B25" s="25" t="s">
        <v>245</v>
      </c>
      <c r="C25" s="25"/>
      <c r="D25" s="25"/>
      <c r="E25" s="25"/>
    </row>
    <row r="26" spans="2:5">
      <c r="B26" s="25"/>
      <c r="C26" s="25"/>
      <c r="D26" s="25"/>
      <c r="E26" s="25"/>
    </row>
    <row r="27" spans="2:5">
      <c r="B27" s="25"/>
      <c r="C27" s="25"/>
      <c r="D27" s="25"/>
      <c r="E27" s="25"/>
    </row>
  </sheetData>
  <mergeCells count="39">
    <mergeCell ref="B1:K1"/>
    <mergeCell ref="B2:K2"/>
    <mergeCell ref="B5:D5"/>
    <mergeCell ref="B6:C6"/>
    <mergeCell ref="B7:C7"/>
    <mergeCell ref="B8:C8"/>
    <mergeCell ref="B9:C9"/>
    <mergeCell ref="B10:C10"/>
    <mergeCell ref="B11:C11"/>
    <mergeCell ref="B12:C12"/>
    <mergeCell ref="B13:C13"/>
    <mergeCell ref="F5:H5"/>
    <mergeCell ref="F6:G6"/>
    <mergeCell ref="F7:G7"/>
    <mergeCell ref="F8:G8"/>
    <mergeCell ref="F9:G9"/>
    <mergeCell ref="F10:G10"/>
    <mergeCell ref="F11:G11"/>
    <mergeCell ref="F12:G12"/>
    <mergeCell ref="F13:G13"/>
    <mergeCell ref="J5:K5"/>
    <mergeCell ref="B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5:E27"/>
  </mergeCells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8B923"/>
  </sheetPr>
  <dimension ref="A1:BZ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22.7109375" customWidth="1"/>
    <col min="3" max="13" width="13.7109375" customWidth="1"/>
    <col min="14" max="78" width="9.140625" style="1"/>
  </cols>
  <sheetData>
    <row r="1" spans="2:10">
      <c r="B1" s="2" t="s">
        <v>246</v>
      </c>
      <c r="C1" s="2"/>
      <c r="D1" s="2"/>
      <c r="E1" s="2"/>
      <c r="F1" s="2"/>
      <c r="G1" s="2"/>
      <c r="H1" s="2"/>
      <c r="I1" s="2"/>
    </row>
    <row r="2" spans="2:10">
      <c r="B2" s="3" t="s">
        <v>247</v>
      </c>
      <c r="C2" s="3"/>
      <c r="D2" s="3"/>
      <c r="E2" s="3"/>
      <c r="F2" s="3"/>
      <c r="G2" s="3"/>
      <c r="H2" s="3"/>
      <c r="I2" s="3"/>
    </row>
    <row r="3" spans="2:10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0" ht="22" customHeight="1">
      <c r="B5" s="5" t="s">
        <v>248</v>
      </c>
      <c r="C5" s="5"/>
      <c r="D5" s="5"/>
      <c r="E5" s="5"/>
      <c r="G5" s="5" t="s">
        <v>249</v>
      </c>
      <c r="H5" s="5"/>
      <c r="I5" s="5"/>
      <c r="J5" s="5"/>
    </row>
    <row r="6" spans="2:10">
      <c r="B6" s="15" t="s">
        <v>198</v>
      </c>
      <c r="C6" s="12" t="s">
        <v>205</v>
      </c>
      <c r="D6" s="12" t="s">
        <v>206</v>
      </c>
      <c r="E6" s="12" t="s">
        <v>207</v>
      </c>
      <c r="G6" s="12" t="s">
        <v>181</v>
      </c>
      <c r="H6" s="12" t="s">
        <v>250</v>
      </c>
      <c r="I6" s="12" t="s">
        <v>182</v>
      </c>
      <c r="J6" s="12"/>
    </row>
    <row r="7" spans="2:10">
      <c r="B7" s="16" t="s">
        <v>83</v>
      </c>
      <c r="C7" s="20">
        <f>CHOOSE(Metrics!$C$81+3,"Bearish","Slightly Bearish","Neutral","Slightly Bullish","Bullish")</f>
        <v>0</v>
      </c>
      <c r="D7" s="20">
        <f>CHOOSE(Metrics!$D$81+3,"Bearish","Slightly Bearish","Neutral","Slightly Bullish","Bullish")</f>
        <v>0</v>
      </c>
      <c r="E7" s="20">
        <f>CHOOSE(Metrics!$E$81+3,"Bearish","Slightly Bearish","Neutral","Slightly Bullish","Bullish")</f>
        <v>0</v>
      </c>
      <c r="G7" s="13" t="s">
        <v>205</v>
      </c>
      <c r="H7" s="13">
        <f>Metrics!$C$97&amp;"/100"</f>
        <v>0</v>
      </c>
      <c r="I7" s="13">
        <f>Metrics!$C$98</f>
        <v>0</v>
      </c>
      <c r="J7" s="13"/>
    </row>
    <row r="8" spans="2:10">
      <c r="B8" s="16" t="s">
        <v>84</v>
      </c>
      <c r="C8" s="20">
        <f>CHOOSE(Metrics!$C$82+3,"Bearish","Slightly Bearish","Neutral","Slightly Bullish","Bullish")</f>
        <v>0</v>
      </c>
      <c r="D8" s="20">
        <f>CHOOSE(Metrics!$D$82+3,"Bearish","Slightly Bearish","Neutral","Slightly Bullish","Bullish")</f>
        <v>0</v>
      </c>
      <c r="E8" s="20">
        <f>CHOOSE(Metrics!$E$82+3,"Bearish","Slightly Bearish","Neutral","Slightly Bullish","Bullish")</f>
        <v>0</v>
      </c>
      <c r="G8" s="13" t="s">
        <v>206</v>
      </c>
      <c r="H8" s="13">
        <f>Metrics!$D$97&amp;"/100"</f>
        <v>0</v>
      </c>
      <c r="I8" s="13">
        <f>Metrics!$D$98</f>
        <v>0</v>
      </c>
      <c r="J8" s="13"/>
    </row>
    <row r="9" spans="2:10">
      <c r="B9" s="16" t="s">
        <v>85</v>
      </c>
      <c r="C9" s="20">
        <f>CHOOSE(Metrics!$C$83+3,"Bearish","Slightly Bearish","Neutral","Slightly Bullish","Bullish")</f>
        <v>0</v>
      </c>
      <c r="D9" s="20">
        <f>CHOOSE(Metrics!$D$83+3,"Bearish","Slightly Bearish","Neutral","Slightly Bullish","Bullish")</f>
        <v>0</v>
      </c>
      <c r="E9" s="20">
        <f>CHOOSE(Metrics!$E$83+3,"Bearish","Slightly Bearish","Neutral","Slightly Bullish","Bullish")</f>
        <v>0</v>
      </c>
      <c r="G9" s="13" t="s">
        <v>207</v>
      </c>
      <c r="H9" s="13">
        <f>Metrics!$E$97&amp;"/100"</f>
        <v>0</v>
      </c>
      <c r="I9" s="13">
        <f>Metrics!$E$98</f>
        <v>0</v>
      </c>
      <c r="J9" s="13"/>
    </row>
    <row r="10" spans="2:10">
      <c r="B10" s="16" t="s">
        <v>86</v>
      </c>
      <c r="C10" s="20">
        <f>CHOOSE(Metrics!$C$84+3,"Bearish","Slightly Bearish","Neutral","Slightly Bullish","Bullish")</f>
        <v>0</v>
      </c>
      <c r="D10" s="20">
        <f>CHOOSE(Metrics!$D$84+3,"Bearish","Slightly Bearish","Neutral","Slightly Bullish","Bullish")</f>
        <v>0</v>
      </c>
      <c r="E10" s="20">
        <f>CHOOSE(Metrics!$E$84+3,"Bearish","Slightly Bearish","Neutral","Slightly Bullish","Bullish")</f>
        <v>0</v>
      </c>
    </row>
    <row r="11" spans="2:10">
      <c r="B11" s="16" t="s">
        <v>87</v>
      </c>
      <c r="C11" s="20">
        <f>CHOOSE(Metrics!$C$85+3,"Bearish","Slightly Bearish","Neutral","Slightly Bullish","Bullish")</f>
        <v>0</v>
      </c>
      <c r="D11" s="20">
        <f>CHOOSE(Metrics!$D$85+3,"Bearish","Slightly Bearish","Neutral","Slightly Bullish","Bullish")</f>
        <v>0</v>
      </c>
      <c r="E11" s="20">
        <f>CHOOSE(Metrics!$E$85+3,"Bearish","Slightly Bearish","Neutral","Slightly Bullish","Bullish")</f>
        <v>0</v>
      </c>
    </row>
    <row r="12" spans="2:10" ht="22" customHeight="1">
      <c r="B12" s="16" t="s">
        <v>88</v>
      </c>
      <c r="C12" s="20">
        <f>CHOOSE(Metrics!$C$86+3,"Bearish","Slightly Bearish","Neutral","Slightly Bullish","Bullish")</f>
        <v>0</v>
      </c>
      <c r="D12" s="20">
        <f>CHOOSE(Metrics!$D$86+3,"Bearish","Slightly Bearish","Neutral","Slightly Bullish","Bullish")</f>
        <v>0</v>
      </c>
      <c r="E12" s="20">
        <f>CHOOSE(Metrics!$E$86+3,"Bearish","Slightly Bearish","Neutral","Slightly Bullish","Bullish")</f>
        <v>0</v>
      </c>
      <c r="G12" s="5" t="s">
        <v>251</v>
      </c>
      <c r="H12" s="5"/>
      <c r="I12" s="5"/>
      <c r="J12" s="5"/>
    </row>
    <row r="13" spans="2:10">
      <c r="B13" s="16" t="s">
        <v>89</v>
      </c>
      <c r="C13" s="20">
        <f>CHOOSE(Metrics!$C$87+3,"Bearish","Slightly Bearish","Neutral","Slightly Bullish","Bullish")</f>
        <v>0</v>
      </c>
      <c r="D13" s="20">
        <f>CHOOSE(Metrics!$D$87+3,"Bearish","Slightly Bearish","Neutral","Slightly Bullish","Bullish")</f>
        <v>0</v>
      </c>
      <c r="E13" s="20">
        <f>CHOOSE(Metrics!$E$87+3,"Bearish","Slightly Bearish","Neutral","Slightly Bullish","Bullish")</f>
        <v>0</v>
      </c>
      <c r="G13" s="12"/>
      <c r="H13" s="12" t="s">
        <v>252</v>
      </c>
      <c r="I13" s="12" t="s">
        <v>253</v>
      </c>
      <c r="J13" s="12" t="s">
        <v>254</v>
      </c>
    </row>
    <row r="14" spans="2:10">
      <c r="B14" s="16" t="s">
        <v>90</v>
      </c>
      <c r="C14" s="20">
        <f>CHOOSE(Metrics!$C$88+3,"Bearish","Slightly Bearish","Neutral","Slightly Bullish","Bullish")</f>
        <v>0</v>
      </c>
      <c r="D14" s="20">
        <f>CHOOSE(Metrics!$D$88+3,"Bearish","Slightly Bearish","Neutral","Slightly Bullish","Bullish")</f>
        <v>0</v>
      </c>
      <c r="E14" s="20">
        <f>CHOOSE(Metrics!$E$88+3,"Bearish","Slightly Bearish","Neutral","Slightly Bullish","Bullish")</f>
        <v>0</v>
      </c>
      <c r="G14" s="16" t="s">
        <v>205</v>
      </c>
      <c r="H14" s="17">
        <f>Metrics!$C$102</f>
        <v>0</v>
      </c>
      <c r="I14" s="17">
        <f>Metrics!$C$103</f>
        <v>0</v>
      </c>
      <c r="J14" s="17">
        <f>Metrics!$C$104</f>
        <v>0</v>
      </c>
    </row>
    <row r="15" spans="2:10">
      <c r="B15" s="16" t="s">
        <v>91</v>
      </c>
      <c r="C15" s="20">
        <f>CHOOSE(Metrics!$C$89+3,"Bearish","Slightly Bearish","Neutral","Slightly Bullish","Bullish")</f>
        <v>0</v>
      </c>
      <c r="D15" s="20">
        <f>CHOOSE(Metrics!$D$89+3,"Bearish","Slightly Bearish","Neutral","Slightly Bullish","Bullish")</f>
        <v>0</v>
      </c>
      <c r="E15" s="20">
        <f>CHOOSE(Metrics!$E$89+3,"Bearish","Slightly Bearish","Neutral","Slightly Bullish","Bullish")</f>
        <v>0</v>
      </c>
      <c r="G15" s="16" t="s">
        <v>206</v>
      </c>
      <c r="H15" s="17">
        <f>Metrics!$D$102</f>
        <v>0</v>
      </c>
      <c r="I15" s="17">
        <f>Metrics!$D$103</f>
        <v>0</v>
      </c>
      <c r="J15" s="17">
        <f>Metrics!$D$104</f>
        <v>0</v>
      </c>
    </row>
    <row r="16" spans="2:10">
      <c r="B16" s="16" t="s">
        <v>92</v>
      </c>
      <c r="C16" s="20">
        <f>CHOOSE(Metrics!$C$90+3,"Bearish","Slightly Bearish","Neutral","Slightly Bullish","Bullish")</f>
        <v>0</v>
      </c>
      <c r="D16" s="20">
        <f>CHOOSE(Metrics!$D$90+3,"Bearish","Slightly Bearish","Neutral","Slightly Bullish","Bullish")</f>
        <v>0</v>
      </c>
      <c r="E16" s="20">
        <f>CHOOSE(Metrics!$E$90+3,"Bearish","Slightly Bearish","Neutral","Slightly Bullish","Bullish")</f>
        <v>0</v>
      </c>
      <c r="G16" s="16" t="s">
        <v>207</v>
      </c>
      <c r="H16" s="17">
        <f>Metrics!$E$102</f>
        <v>0</v>
      </c>
      <c r="I16" s="17">
        <f>Metrics!$E$103</f>
        <v>0</v>
      </c>
      <c r="J16" s="17">
        <f>Metrics!$E$104</f>
        <v>0</v>
      </c>
    </row>
    <row r="17" spans="2:5">
      <c r="B17" s="16" t="s">
        <v>93</v>
      </c>
      <c r="C17" s="20">
        <f>CHOOSE(Metrics!$C$91+3,"Bearish","Slightly Bearish","Neutral","Slightly Bullish","Bullish")</f>
        <v>0</v>
      </c>
      <c r="D17" s="20">
        <f>CHOOSE(Metrics!$D$91+3,"Bearish","Slightly Bearish","Neutral","Slightly Bullish","Bullish")</f>
        <v>0</v>
      </c>
      <c r="E17" s="20">
        <f>CHOOSE(Metrics!$E$91+3,"Bearish","Slightly Bearish","Neutral","Slightly Bullish","Bullish")</f>
        <v>0</v>
      </c>
    </row>
    <row r="18" spans="2:5">
      <c r="B18" s="16" t="s">
        <v>94</v>
      </c>
      <c r="C18" s="20">
        <f>CHOOSE(Metrics!$C$92+3,"Bearish","Slightly Bearish","Neutral","Slightly Bullish","Bullish")</f>
        <v>0</v>
      </c>
      <c r="D18" s="20">
        <f>CHOOSE(Metrics!$D$92+3,"Bearish","Slightly Bearish","Neutral","Slightly Bullish","Bullish")</f>
        <v>0</v>
      </c>
      <c r="E18" s="20">
        <f>CHOOSE(Metrics!$E$92+3,"Bearish","Slightly Bearish","Neutral","Slightly Bullish","Bullish")</f>
        <v>0</v>
      </c>
    </row>
    <row r="19" spans="2:5">
      <c r="B19" s="16" t="s">
        <v>95</v>
      </c>
      <c r="C19" s="20">
        <f>CHOOSE(Metrics!$C$93+3,"Bearish","Slightly Bearish","Neutral","Slightly Bullish","Bullish")</f>
        <v>0</v>
      </c>
      <c r="D19" s="20">
        <f>CHOOSE(Metrics!$D$93+3,"Bearish","Slightly Bearish","Neutral","Slightly Bullish","Bullish")</f>
        <v>0</v>
      </c>
      <c r="E19" s="20">
        <f>CHOOSE(Metrics!$E$93+3,"Bearish","Slightly Bearish","Neutral","Slightly Bullish","Bullish")</f>
        <v>0</v>
      </c>
    </row>
    <row r="20" spans="2:5">
      <c r="B20" s="16" t="s">
        <v>96</v>
      </c>
      <c r="C20" s="20">
        <f>CHOOSE(Metrics!$C$94+3,"Bearish","Slightly Bearish","Neutral","Slightly Bullish","Bullish")</f>
        <v>0</v>
      </c>
      <c r="D20" s="20">
        <f>CHOOSE(Metrics!$D$94+3,"Bearish","Slightly Bearish","Neutral","Slightly Bullish","Bullish")</f>
        <v>0</v>
      </c>
      <c r="E20" s="20">
        <f>CHOOSE(Metrics!$E$94+3,"Bearish","Slightly Bearish","Neutral","Slightly Bullish","Bullish")</f>
        <v>0</v>
      </c>
    </row>
  </sheetData>
  <mergeCells count="9">
    <mergeCell ref="B1:I1"/>
    <mergeCell ref="B2:I2"/>
    <mergeCell ref="B5:E5"/>
    <mergeCell ref="G5:J5"/>
    <mergeCell ref="I6:J6"/>
    <mergeCell ref="I7:J7"/>
    <mergeCell ref="I8:J8"/>
    <mergeCell ref="I9:J9"/>
    <mergeCell ref="G12:J12"/>
  </mergeCells>
  <conditionalFormatting sqref="C7:E20">
    <cfRule type="expression" dxfId="2" priority="1">
      <formula>EXACT(C7,"Bullish")</formula>
    </cfRule>
    <cfRule type="expression" dxfId="6" priority="2">
      <formula>EXACT(C7,"Slightly Bullish")</formula>
    </cfRule>
    <cfRule type="expression" dxfId="4" priority="3">
      <formula>EXACT(C7,"Neutral")</formula>
    </cfRule>
    <cfRule type="expression" dxfId="7" priority="4">
      <formula>EXACT(C7,"Slightly Bearish")</formula>
    </cfRule>
    <cfRule type="expression" dxfId="3" priority="5">
      <formula>EXACT(C7,"Bearish")</formula>
    </cfRule>
  </conditionalFormatting>
  <conditionalFormatting sqref="I7:J7">
    <cfRule type="containsText" dxfId="2" priority="6" operator="containsText" text="BULL">
      <formula>NOT(ISERROR(SEARCH("BULL",I7)))</formula>
    </cfRule>
    <cfRule type="containsText" dxfId="3" priority="7" operator="containsText" text="BEAR">
      <formula>NOT(ISERROR(SEARCH("BEAR",I7)))</formula>
    </cfRule>
    <cfRule type="containsText" dxfId="4" priority="8" operator="containsText" text="NEUTRAL">
      <formula>NOT(ISERROR(SEARCH("NEUTRAL",I7)))</formula>
    </cfRule>
  </conditionalFormatting>
  <conditionalFormatting sqref="I8:J8">
    <cfRule type="containsText" dxfId="2" priority="9" operator="containsText" text="BULL">
      <formula>NOT(ISERROR(SEARCH("BULL",I8)))</formula>
    </cfRule>
    <cfRule type="containsText" dxfId="3" priority="10" operator="containsText" text="BEAR">
      <formula>NOT(ISERROR(SEARCH("BEAR",I8)))</formula>
    </cfRule>
    <cfRule type="containsText" dxfId="4" priority="11" operator="containsText" text="NEUTRAL">
      <formula>NOT(ISERROR(SEARCH("NEUTRAL",I8)))</formula>
    </cfRule>
  </conditionalFormatting>
  <conditionalFormatting sqref="I9:J9">
    <cfRule type="containsText" dxfId="2" priority="12" operator="containsText" text="BULL">
      <formula>NOT(ISERROR(SEARCH("BULL",I9)))</formula>
    </cfRule>
    <cfRule type="containsText" dxfId="3" priority="13" operator="containsText" text="BEAR">
      <formula>NOT(ISERROR(SEARCH("BEAR",I9)))</formula>
    </cfRule>
    <cfRule type="containsText" dxfId="4" priority="14" operator="containsText" text="NEUTRAL">
      <formula>NOT(ISERROR(SEARCH("NEUTRAL",I9)))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8B923"/>
  </sheetPr>
  <dimension ref="A1:BZ2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12.7109375" customWidth="1"/>
    <col min="3" max="12" width="15.7109375" customWidth="1"/>
    <col min="13" max="78" width="9.140625" style="1"/>
  </cols>
  <sheetData>
    <row r="1" spans="2:10">
      <c r="B1" s="2" t="s">
        <v>174</v>
      </c>
      <c r="C1" s="2"/>
      <c r="D1" s="2"/>
      <c r="E1" s="2"/>
      <c r="F1" s="2"/>
      <c r="G1" s="2"/>
      <c r="H1" s="2"/>
      <c r="I1" s="2"/>
      <c r="J1" s="2"/>
    </row>
    <row r="2" spans="2:10">
      <c r="B2" s="3" t="s">
        <v>255</v>
      </c>
      <c r="C2" s="3"/>
      <c r="D2" s="3"/>
      <c r="E2" s="3"/>
      <c r="F2" s="3"/>
      <c r="G2" s="3"/>
      <c r="H2" s="3"/>
      <c r="I2" s="3"/>
      <c r="J2" s="3"/>
    </row>
    <row r="3" spans="2:10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0" ht="22" customHeight="1">
      <c r="B5" s="5" t="s">
        <v>256</v>
      </c>
      <c r="C5" s="5"/>
      <c r="D5" s="5"/>
      <c r="E5" s="5"/>
      <c r="F5" s="5"/>
      <c r="G5" s="5"/>
      <c r="H5" s="5"/>
      <c r="I5" s="5"/>
      <c r="J5" s="5"/>
    </row>
    <row r="6" spans="2:10">
      <c r="B6" s="12" t="s">
        <v>181</v>
      </c>
      <c r="C6" s="12" t="s">
        <v>182</v>
      </c>
      <c r="D6" s="12"/>
      <c r="E6" s="12" t="s">
        <v>257</v>
      </c>
      <c r="F6" s="12"/>
      <c r="G6" s="12" t="s">
        <v>258</v>
      </c>
      <c r="H6" s="12"/>
      <c r="I6" s="12" t="s">
        <v>259</v>
      </c>
      <c r="J6" s="12"/>
    </row>
    <row r="7" spans="2:10" ht="22" customHeight="1">
      <c r="B7" s="16" t="s">
        <v>260</v>
      </c>
      <c r="C7" s="13">
        <f>Metrics!$C$98</f>
        <v>0</v>
      </c>
      <c r="D7" s="13"/>
      <c r="E7" s="11">
        <f>IFERROR(Metrics!$C$108,"-")</f>
        <v>0</v>
      </c>
      <c r="F7" s="11"/>
      <c r="G7" s="13">
        <f>IFERROR(TEXT(Metrics!$C$109,"#,##0")&amp;"  -  "&amp;TEXT(Metrics!$C$110,"#,##0"),"-")</f>
        <v>0</v>
      </c>
      <c r="H7" s="13"/>
      <c r="I7" s="13">
        <f>IFERROR(TEXT(Metrics!$C$111/100,"0%")&amp;"  ("&amp;IF(Metrics!$C$111&gt;=66,"High",IF(Metrics!$C$111&gt;=40,"Medium","Low"))&amp;")","-")</f>
        <v>0</v>
      </c>
      <c r="J7" s="13"/>
    </row>
    <row r="8" spans="2:10" ht="22" customHeight="1">
      <c r="B8" s="16" t="s">
        <v>261</v>
      </c>
      <c r="C8" s="13">
        <f>Metrics!$D$98</f>
        <v>0</v>
      </c>
      <c r="D8" s="13"/>
      <c r="E8" s="11">
        <f>IFERROR(Metrics!$D$108,"-")</f>
        <v>0</v>
      </c>
      <c r="F8" s="11"/>
      <c r="G8" s="13">
        <f>IFERROR(TEXT(Metrics!$D$109,"#,##0")&amp;"  -  "&amp;TEXT(Metrics!$D$110,"#,##0"),"-")</f>
        <v>0</v>
      </c>
      <c r="H8" s="13"/>
      <c r="I8" s="13">
        <f>IFERROR(TEXT(Metrics!$D$111/100,"0%")&amp;"  ("&amp;IF(Metrics!$D$111&gt;=66,"High",IF(Metrics!$D$111&gt;=40,"Medium","Low"))&amp;")","-")</f>
        <v>0</v>
      </c>
      <c r="J8" s="13"/>
    </row>
    <row r="9" spans="2:10" ht="22" customHeight="1">
      <c r="B9" s="16" t="s">
        <v>262</v>
      </c>
      <c r="C9" s="13">
        <f>Metrics!$E$98</f>
        <v>0</v>
      </c>
      <c r="D9" s="13"/>
      <c r="E9" s="11">
        <f>IFERROR(Metrics!$E$108,"-")</f>
        <v>0</v>
      </c>
      <c r="F9" s="11"/>
      <c r="G9" s="13">
        <f>IFERROR(TEXT(Metrics!$E$109,"#,##0")&amp;"  -  "&amp;TEXT(Metrics!$E$110,"#,##0"),"-")</f>
        <v>0</v>
      </c>
      <c r="H9" s="13"/>
      <c r="I9" s="13">
        <f>IFERROR(TEXT(Metrics!$E$111/100,"0%")&amp;"  ("&amp;IF(Metrics!$E$111&gt;=66,"High",IF(Metrics!$E$111&gt;=40,"Medium","Low"))&amp;")","-")</f>
        <v>0</v>
      </c>
      <c r="J9" s="13"/>
    </row>
    <row r="12" spans="2:10" ht="22" customHeight="1">
      <c r="B12" s="5" t="s">
        <v>263</v>
      </c>
      <c r="C12" s="5"/>
      <c r="D12" s="5"/>
      <c r="E12" s="5"/>
      <c r="F12" s="5"/>
      <c r="G12" s="5"/>
      <c r="H12" s="5"/>
      <c r="I12" s="5"/>
      <c r="J12" s="5"/>
    </row>
    <row r="13" spans="2:10">
      <c r="B13" s="25" t="s">
        <v>264</v>
      </c>
      <c r="C13" s="25"/>
      <c r="D13" s="25"/>
      <c r="E13" s="25"/>
      <c r="F13" s="25"/>
      <c r="G13" s="25"/>
      <c r="H13" s="25"/>
      <c r="I13" s="25"/>
      <c r="J13" s="25"/>
    </row>
    <row r="14" spans="2:10">
      <c r="B14" s="25"/>
      <c r="C14" s="25"/>
      <c r="D14" s="25"/>
      <c r="E14" s="25"/>
      <c r="F14" s="25"/>
      <c r="G14" s="25"/>
      <c r="H14" s="25"/>
      <c r="I14" s="25"/>
      <c r="J14" s="25"/>
    </row>
    <row r="15" spans="2:10">
      <c r="B15" s="25"/>
      <c r="C15" s="25"/>
      <c r="D15" s="25"/>
      <c r="E15" s="25"/>
      <c r="F15" s="25"/>
      <c r="G15" s="25"/>
      <c r="H15" s="25"/>
      <c r="I15" s="25"/>
      <c r="J15" s="25"/>
    </row>
    <row r="16" spans="2:10">
      <c r="B16" s="25"/>
      <c r="C16" s="25"/>
      <c r="D16" s="25"/>
      <c r="E16" s="25"/>
      <c r="F16" s="25"/>
      <c r="G16" s="25"/>
      <c r="H16" s="25"/>
      <c r="I16" s="25"/>
      <c r="J16" s="25"/>
    </row>
    <row r="18" spans="2:5">
      <c r="B18" s="12"/>
      <c r="C18" s="12" t="s">
        <v>260</v>
      </c>
      <c r="D18" s="12" t="s">
        <v>261</v>
      </c>
      <c r="E18" s="12" t="s">
        <v>262</v>
      </c>
    </row>
    <row r="19" spans="2:5">
      <c r="B19" s="16" t="s">
        <v>2</v>
      </c>
      <c r="C19" s="11">
        <f>IFERROR(Metrics!$C$110,"-")</f>
        <v>0</v>
      </c>
      <c r="D19" s="11">
        <f>IFERROR(Metrics!$D$110,"-")</f>
        <v>0</v>
      </c>
      <c r="E19" s="11">
        <f>IFERROR(Metrics!$E$110,"-")</f>
        <v>0</v>
      </c>
    </row>
    <row r="20" spans="2:5">
      <c r="B20" s="16" t="s">
        <v>183</v>
      </c>
      <c r="C20" s="11">
        <f>IFERROR(Metrics!$C$108,"-")</f>
        <v>0</v>
      </c>
      <c r="D20" s="11">
        <f>IFERROR(Metrics!$D$108,"-")</f>
        <v>0</v>
      </c>
      <c r="E20" s="11">
        <f>IFERROR(Metrics!$E$108,"-")</f>
        <v>0</v>
      </c>
    </row>
    <row r="21" spans="2:5">
      <c r="B21" s="16" t="s">
        <v>3</v>
      </c>
      <c r="C21" s="11">
        <f>IFERROR(Metrics!$C$109,"-")</f>
        <v>0</v>
      </c>
      <c r="D21" s="11">
        <f>IFERROR(Metrics!$D$109,"-")</f>
        <v>0</v>
      </c>
      <c r="E21" s="11">
        <f>IFERROR(Metrics!$E$109,"-")</f>
        <v>0</v>
      </c>
    </row>
  </sheetData>
  <mergeCells count="21">
    <mergeCell ref="B1:J1"/>
    <mergeCell ref="B2:J2"/>
    <mergeCell ref="B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B12:J12"/>
    <mergeCell ref="B13:J16"/>
  </mergeCells>
  <conditionalFormatting sqref="C7:D7">
    <cfRule type="containsText" dxfId="2" priority="1" operator="containsText" text="BULL">
      <formula>NOT(ISERROR(SEARCH("BULL",C7)))</formula>
    </cfRule>
    <cfRule type="containsText" dxfId="3" priority="2" operator="containsText" text="BEAR">
      <formula>NOT(ISERROR(SEARCH("BEAR",C7)))</formula>
    </cfRule>
    <cfRule type="containsText" dxfId="4" priority="3" operator="containsText" text="NEUTRAL">
      <formula>NOT(ISERROR(SEARCH("NEUTRAL",C7)))</formula>
    </cfRule>
  </conditionalFormatting>
  <conditionalFormatting sqref="C8:D8">
    <cfRule type="containsText" dxfId="2" priority="4" operator="containsText" text="BULL">
      <formula>NOT(ISERROR(SEARCH("BULL",C8)))</formula>
    </cfRule>
    <cfRule type="containsText" dxfId="3" priority="5" operator="containsText" text="BEAR">
      <formula>NOT(ISERROR(SEARCH("BEAR",C8)))</formula>
    </cfRule>
    <cfRule type="containsText" dxfId="4" priority="6" operator="containsText" text="NEUTRAL">
      <formula>NOT(ISERROR(SEARCH("NEUTRAL",C8)))</formula>
    </cfRule>
  </conditionalFormatting>
  <conditionalFormatting sqref="C9:D9">
    <cfRule type="containsText" dxfId="2" priority="7" operator="containsText" text="BULL">
      <formula>NOT(ISERROR(SEARCH("BULL",C9)))</formula>
    </cfRule>
    <cfRule type="containsText" dxfId="3" priority="8" operator="containsText" text="BEAR">
      <formula>NOT(ISERROR(SEARCH("BEAR",C9)))</formula>
    </cfRule>
    <cfRule type="containsText" dxfId="4" priority="9" operator="containsText" text="NEUTRAL">
      <formula>NOT(ISERROR(SEARCH("NEUTRAL",C9)))</formula>
    </cfRule>
  </conditionalFormatting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8B923"/>
  </sheetPr>
  <dimension ref="A1:CA3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5" width="12.7109375" customWidth="1"/>
    <col min="6" max="6" width="9.140625" style="1"/>
    <col min="7" max="7" width="64.7109375" customWidth="1"/>
    <col min="8" max="79" width="9.140625" style="1"/>
  </cols>
  <sheetData>
    <row r="1" spans="1:7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G1" s="26" t="s">
        <v>5</v>
      </c>
    </row>
    <row r="2" spans="1:7">
      <c r="A2" s="27">
        <v>45712</v>
      </c>
      <c r="B2" s="28">
        <v>1852.84</v>
      </c>
      <c r="C2" s="28">
        <v>1854.52</v>
      </c>
      <c r="D2" s="28">
        <v>1843.92</v>
      </c>
      <c r="E2" s="28">
        <v>1846.25</v>
      </c>
      <c r="G2" s="29" t="s">
        <v>6</v>
      </c>
    </row>
    <row r="3" spans="1:7">
      <c r="A3" s="27">
        <v>45713</v>
      </c>
      <c r="B3" s="28">
        <v>1845.07</v>
      </c>
      <c r="C3" s="28">
        <v>1853.27</v>
      </c>
      <c r="D3" s="28">
        <v>1827.63</v>
      </c>
      <c r="E3" s="28">
        <v>1830.74</v>
      </c>
    </row>
    <row r="4" spans="1:7">
      <c r="A4" s="27">
        <v>45714</v>
      </c>
      <c r="B4" s="28">
        <v>1832.11</v>
      </c>
      <c r="C4" s="28">
        <v>1852.52</v>
      </c>
      <c r="D4" s="28">
        <v>1830.75</v>
      </c>
      <c r="E4" s="28">
        <v>1849.6</v>
      </c>
    </row>
    <row r="5" spans="1:7">
      <c r="A5" s="27">
        <v>45715</v>
      </c>
      <c r="B5" s="28">
        <v>1854.35</v>
      </c>
      <c r="C5" s="28">
        <v>1858.11</v>
      </c>
      <c r="D5" s="28">
        <v>1817.65</v>
      </c>
      <c r="E5" s="28">
        <v>1821.29</v>
      </c>
    </row>
    <row r="6" spans="1:7">
      <c r="A6" s="27">
        <v>45716</v>
      </c>
      <c r="B6" s="28">
        <v>1811.78</v>
      </c>
      <c r="C6" s="28">
        <v>1818.23</v>
      </c>
      <c r="D6" s="28">
        <v>1789.61</v>
      </c>
      <c r="E6" s="28">
        <v>1792.97</v>
      </c>
    </row>
    <row r="7" spans="1:7">
      <c r="A7" s="27">
        <v>45719</v>
      </c>
      <c r="B7" s="28">
        <v>1792.72</v>
      </c>
      <c r="C7" s="28">
        <v>1802.65</v>
      </c>
      <c r="D7" s="28">
        <v>1788.12</v>
      </c>
      <c r="E7" s="28">
        <v>1798.9</v>
      </c>
    </row>
    <row r="8" spans="1:7">
      <c r="A8" s="27">
        <v>45720</v>
      </c>
      <c r="B8" s="28">
        <v>1801.03</v>
      </c>
      <c r="C8" s="28">
        <v>1809.68</v>
      </c>
      <c r="D8" s="28">
        <v>1788.66</v>
      </c>
      <c r="E8" s="28">
        <v>1804.91</v>
      </c>
    </row>
    <row r="9" spans="1:7">
      <c r="A9" s="27">
        <v>45721</v>
      </c>
      <c r="B9" s="28">
        <v>1811.4</v>
      </c>
      <c r="C9" s="28">
        <v>1819.71</v>
      </c>
      <c r="D9" s="28">
        <v>1806.04</v>
      </c>
      <c r="E9" s="28">
        <v>1815.2</v>
      </c>
    </row>
    <row r="10" spans="1:7">
      <c r="A10" s="27">
        <v>45722</v>
      </c>
      <c r="B10" s="28">
        <v>1814.62</v>
      </c>
      <c r="C10" s="28">
        <v>1819.21</v>
      </c>
      <c r="D10" s="28">
        <v>1808.2</v>
      </c>
      <c r="E10" s="28">
        <v>1810</v>
      </c>
    </row>
    <row r="11" spans="1:7">
      <c r="A11" s="27">
        <v>45723</v>
      </c>
      <c r="B11" s="28">
        <v>1804.81</v>
      </c>
      <c r="C11" s="28">
        <v>1808.57</v>
      </c>
      <c r="D11" s="28">
        <v>1794.24</v>
      </c>
      <c r="E11" s="28">
        <v>1803.05</v>
      </c>
    </row>
    <row r="12" spans="1:7">
      <c r="A12" s="27">
        <v>45726</v>
      </c>
      <c r="B12" s="28">
        <v>1804.37</v>
      </c>
      <c r="C12" s="28">
        <v>1807.45</v>
      </c>
      <c r="D12" s="28">
        <v>1779.31</v>
      </c>
      <c r="E12" s="28">
        <v>1789.98</v>
      </c>
    </row>
    <row r="13" spans="1:7">
      <c r="A13" s="27">
        <v>45727</v>
      </c>
      <c r="B13" s="28">
        <v>1797.01</v>
      </c>
      <c r="C13" s="28">
        <v>1811.48</v>
      </c>
      <c r="D13" s="28">
        <v>1789.21</v>
      </c>
      <c r="E13" s="28">
        <v>1791.52</v>
      </c>
    </row>
    <row r="14" spans="1:7">
      <c r="A14" s="27">
        <v>45728</v>
      </c>
      <c r="B14" s="28">
        <v>1787.13</v>
      </c>
      <c r="C14" s="28">
        <v>1793.99</v>
      </c>
      <c r="D14" s="28">
        <v>1786.69</v>
      </c>
      <c r="E14" s="28">
        <v>1790.43</v>
      </c>
    </row>
    <row r="15" spans="1:7">
      <c r="A15" s="27">
        <v>45729</v>
      </c>
      <c r="B15" s="28">
        <v>1794.88</v>
      </c>
      <c r="C15" s="28">
        <v>1799.69</v>
      </c>
      <c r="D15" s="28">
        <v>1759.71</v>
      </c>
      <c r="E15" s="28">
        <v>1766.39</v>
      </c>
    </row>
    <row r="16" spans="1:7">
      <c r="A16" s="27">
        <v>45730</v>
      </c>
      <c r="B16" s="28">
        <v>1768.32</v>
      </c>
      <c r="C16" s="28">
        <v>1792.31</v>
      </c>
      <c r="D16" s="28">
        <v>1759.13</v>
      </c>
      <c r="E16" s="28">
        <v>1791.45</v>
      </c>
    </row>
    <row r="17" spans="1:5">
      <c r="A17" s="27">
        <v>45733</v>
      </c>
      <c r="B17" s="28">
        <v>1788.17</v>
      </c>
      <c r="C17" s="28">
        <v>1805.94</v>
      </c>
      <c r="D17" s="28">
        <v>1779.12</v>
      </c>
      <c r="E17" s="28">
        <v>1802.68</v>
      </c>
    </row>
    <row r="18" spans="1:5">
      <c r="A18" s="27">
        <v>45734</v>
      </c>
      <c r="B18" s="28">
        <v>1799.81</v>
      </c>
      <c r="C18" s="28">
        <v>1809.09</v>
      </c>
      <c r="D18" s="28">
        <v>1772.37</v>
      </c>
      <c r="E18" s="28">
        <v>1786.9</v>
      </c>
    </row>
    <row r="19" spans="1:5">
      <c r="A19" s="27">
        <v>45735</v>
      </c>
      <c r="B19" s="28">
        <v>1788.18</v>
      </c>
      <c r="C19" s="28">
        <v>1798.5</v>
      </c>
      <c r="D19" s="28">
        <v>1758.95</v>
      </c>
      <c r="E19" s="28">
        <v>1763.03</v>
      </c>
    </row>
    <row r="20" spans="1:5">
      <c r="A20" s="27">
        <v>45736</v>
      </c>
      <c r="B20" s="28">
        <v>1749.76</v>
      </c>
      <c r="C20" s="28">
        <v>1752.26</v>
      </c>
      <c r="D20" s="28">
        <v>1727.08</v>
      </c>
      <c r="E20" s="28">
        <v>1732.18</v>
      </c>
    </row>
    <row r="21" spans="1:5">
      <c r="A21" s="27">
        <v>45737</v>
      </c>
      <c r="B21" s="28">
        <v>1737.27</v>
      </c>
      <c r="C21" s="28">
        <v>1744.93</v>
      </c>
      <c r="D21" s="28">
        <v>1713.46</v>
      </c>
      <c r="E21" s="28">
        <v>1714.54</v>
      </c>
    </row>
    <row r="22" spans="1:5">
      <c r="A22" s="27">
        <v>45740</v>
      </c>
      <c r="B22" s="28">
        <v>1716.78</v>
      </c>
      <c r="C22" s="28">
        <v>1730.2</v>
      </c>
      <c r="D22" s="28">
        <v>1712.53</v>
      </c>
      <c r="E22" s="28">
        <v>1719.24</v>
      </c>
    </row>
    <row r="23" spans="1:5">
      <c r="A23" s="27">
        <v>45741</v>
      </c>
      <c r="B23" s="28">
        <v>1722.06</v>
      </c>
      <c r="C23" s="28">
        <v>1739.26</v>
      </c>
      <c r="D23" s="28">
        <v>1713.23</v>
      </c>
      <c r="E23" s="28">
        <v>1728.42</v>
      </c>
    </row>
    <row r="24" spans="1:5">
      <c r="A24" s="27">
        <v>45742</v>
      </c>
      <c r="B24" s="28">
        <v>1731.17</v>
      </c>
      <c r="C24" s="28">
        <v>1758.65</v>
      </c>
      <c r="D24" s="28">
        <v>1726.78</v>
      </c>
      <c r="E24" s="28">
        <v>1744.87</v>
      </c>
    </row>
    <row r="25" spans="1:5">
      <c r="A25" s="27">
        <v>45743</v>
      </c>
      <c r="B25" s="28">
        <v>1735.42</v>
      </c>
      <c r="C25" s="28">
        <v>1760.89</v>
      </c>
      <c r="D25" s="28">
        <v>1728.34</v>
      </c>
      <c r="E25" s="28">
        <v>1759.59</v>
      </c>
    </row>
    <row r="26" spans="1:5">
      <c r="A26" s="27">
        <v>45744</v>
      </c>
      <c r="B26" s="28">
        <v>1768.11</v>
      </c>
      <c r="C26" s="28">
        <v>1772.02</v>
      </c>
      <c r="D26" s="28">
        <v>1737.46</v>
      </c>
      <c r="E26" s="28">
        <v>1738.51</v>
      </c>
    </row>
    <row r="27" spans="1:5">
      <c r="A27" s="27">
        <v>45747</v>
      </c>
      <c r="B27" s="28">
        <v>1741.9</v>
      </c>
      <c r="C27" s="28">
        <v>1745.42</v>
      </c>
      <c r="D27" s="28">
        <v>1733.92</v>
      </c>
      <c r="E27" s="28">
        <v>1744.58</v>
      </c>
    </row>
    <row r="28" spans="1:5">
      <c r="A28" s="27">
        <v>45748</v>
      </c>
      <c r="B28" s="28">
        <v>1742.41</v>
      </c>
      <c r="C28" s="28">
        <v>1749.67</v>
      </c>
      <c r="D28" s="28">
        <v>1734.16</v>
      </c>
      <c r="E28" s="28">
        <v>1734.34</v>
      </c>
    </row>
    <row r="29" spans="1:5">
      <c r="A29" s="27">
        <v>45749</v>
      </c>
      <c r="B29" s="28">
        <v>1739.27</v>
      </c>
      <c r="C29" s="28">
        <v>1749.47</v>
      </c>
      <c r="D29" s="28">
        <v>1717.52</v>
      </c>
      <c r="E29" s="28">
        <v>1720.58</v>
      </c>
    </row>
    <row r="30" spans="1:5">
      <c r="A30" s="27">
        <v>45750</v>
      </c>
      <c r="B30" s="28">
        <v>1719.89</v>
      </c>
      <c r="C30" s="28">
        <v>1720.91</v>
      </c>
      <c r="D30" s="28">
        <v>1696.83</v>
      </c>
      <c r="E30" s="28">
        <v>1698.85</v>
      </c>
    </row>
    <row r="31" spans="1:5">
      <c r="A31" s="27">
        <v>45751</v>
      </c>
      <c r="B31" s="28">
        <v>1693.63</v>
      </c>
      <c r="C31" s="28">
        <v>1731.05</v>
      </c>
      <c r="D31" s="28">
        <v>1685.04</v>
      </c>
      <c r="E31" s="28">
        <v>1722.37</v>
      </c>
    </row>
    <row r="32" spans="1:5">
      <c r="A32" s="27">
        <v>45754</v>
      </c>
      <c r="B32" s="28">
        <v>1725.63</v>
      </c>
      <c r="C32" s="28">
        <v>1733.42</v>
      </c>
      <c r="D32" s="28">
        <v>1704.34</v>
      </c>
      <c r="E32" s="28">
        <v>1710.22</v>
      </c>
    </row>
    <row r="33" spans="1:5">
      <c r="A33" s="27">
        <v>45755</v>
      </c>
      <c r="B33" s="28">
        <v>1710.95</v>
      </c>
      <c r="C33" s="28">
        <v>1717.57</v>
      </c>
      <c r="D33" s="28">
        <v>1707.01</v>
      </c>
      <c r="E33" s="28">
        <v>1716.52</v>
      </c>
    </row>
    <row r="34" spans="1:5">
      <c r="A34" s="27">
        <v>45756</v>
      </c>
      <c r="B34" s="28">
        <v>1717.95</v>
      </c>
      <c r="C34" s="28">
        <v>1721.89</v>
      </c>
      <c r="D34" s="28">
        <v>1714.33</v>
      </c>
      <c r="E34" s="28">
        <v>1714.34</v>
      </c>
    </row>
    <row r="35" spans="1:5">
      <c r="A35" s="27">
        <v>45757</v>
      </c>
      <c r="B35" s="28">
        <v>1717.25</v>
      </c>
      <c r="C35" s="28">
        <v>1741.41</v>
      </c>
      <c r="D35" s="28">
        <v>1715.02</v>
      </c>
      <c r="E35" s="28">
        <v>1727.52</v>
      </c>
    </row>
    <row r="36" spans="1:5">
      <c r="A36" s="27">
        <v>45758</v>
      </c>
      <c r="B36" s="28">
        <v>1725.59</v>
      </c>
      <c r="C36" s="28">
        <v>1725.68</v>
      </c>
      <c r="D36" s="28">
        <v>1714.84</v>
      </c>
      <c r="E36" s="28">
        <v>1721.2</v>
      </c>
    </row>
    <row r="37" spans="1:5">
      <c r="A37" s="27">
        <v>45761</v>
      </c>
      <c r="B37" s="28">
        <v>1723.2</v>
      </c>
      <c r="C37" s="28">
        <v>1735.86</v>
      </c>
      <c r="D37" s="28">
        <v>1698.79</v>
      </c>
      <c r="E37" s="28">
        <v>1716.39</v>
      </c>
    </row>
    <row r="38" spans="1:5">
      <c r="A38" s="27">
        <v>45762</v>
      </c>
      <c r="B38" s="28">
        <v>1717.65</v>
      </c>
      <c r="C38" s="28">
        <v>1720.39</v>
      </c>
      <c r="D38" s="28">
        <v>1697.22</v>
      </c>
      <c r="E38" s="28">
        <v>1698.85</v>
      </c>
    </row>
    <row r="39" spans="1:5">
      <c r="A39" s="27">
        <v>45763</v>
      </c>
      <c r="B39" s="28">
        <v>1702.19</v>
      </c>
      <c r="C39" s="28">
        <v>1704.11</v>
      </c>
      <c r="D39" s="28">
        <v>1689.04</v>
      </c>
      <c r="E39" s="28">
        <v>1692.58</v>
      </c>
    </row>
    <row r="40" spans="1:5">
      <c r="A40" s="27">
        <v>45764</v>
      </c>
      <c r="B40" s="28">
        <v>1694.38</v>
      </c>
      <c r="C40" s="28">
        <v>1736.64</v>
      </c>
      <c r="D40" s="28">
        <v>1693.71</v>
      </c>
      <c r="E40" s="28">
        <v>1732.8</v>
      </c>
    </row>
    <row r="41" spans="1:5">
      <c r="A41" s="27">
        <v>45765</v>
      </c>
      <c r="B41" s="28">
        <v>1732.47</v>
      </c>
      <c r="C41" s="28">
        <v>1751.38</v>
      </c>
      <c r="D41" s="28">
        <v>1726.41</v>
      </c>
      <c r="E41" s="28">
        <v>1729.78</v>
      </c>
    </row>
    <row r="42" spans="1:5">
      <c r="A42" s="27">
        <v>45768</v>
      </c>
      <c r="B42" s="28">
        <v>1723.73</v>
      </c>
      <c r="C42" s="28">
        <v>1747.6</v>
      </c>
      <c r="D42" s="28">
        <v>1717.15</v>
      </c>
      <c r="E42" s="28">
        <v>1747.13</v>
      </c>
    </row>
    <row r="43" spans="1:5">
      <c r="A43" s="27">
        <v>45769</v>
      </c>
      <c r="B43" s="28">
        <v>1754.97</v>
      </c>
      <c r="C43" s="28">
        <v>1774.1</v>
      </c>
      <c r="D43" s="28">
        <v>1752.49</v>
      </c>
      <c r="E43" s="28">
        <v>1762.11</v>
      </c>
    </row>
    <row r="44" spans="1:5">
      <c r="A44" s="27">
        <v>45770</v>
      </c>
      <c r="B44" s="28">
        <v>1765.41</v>
      </c>
      <c r="C44" s="28">
        <v>1773.12</v>
      </c>
      <c r="D44" s="28">
        <v>1738.26</v>
      </c>
      <c r="E44" s="28">
        <v>1757.11</v>
      </c>
    </row>
    <row r="45" spans="1:5">
      <c r="A45" s="27">
        <v>45771</v>
      </c>
      <c r="B45" s="28">
        <v>1749.5</v>
      </c>
      <c r="C45" s="28">
        <v>1780.94</v>
      </c>
      <c r="D45" s="28">
        <v>1739.06</v>
      </c>
      <c r="E45" s="28">
        <v>1776.09</v>
      </c>
    </row>
    <row r="46" spans="1:5">
      <c r="A46" s="27">
        <v>45772</v>
      </c>
      <c r="B46" s="28">
        <v>1782.47</v>
      </c>
      <c r="C46" s="28">
        <v>1783.53</v>
      </c>
      <c r="D46" s="28">
        <v>1778.41</v>
      </c>
      <c r="E46" s="28">
        <v>1779.77</v>
      </c>
    </row>
    <row r="47" spans="1:5">
      <c r="A47" s="27">
        <v>45775</v>
      </c>
      <c r="B47" s="28">
        <v>1780.53</v>
      </c>
      <c r="C47" s="28">
        <v>1794.65</v>
      </c>
      <c r="D47" s="28">
        <v>1769.61</v>
      </c>
      <c r="E47" s="28">
        <v>1794.02</v>
      </c>
    </row>
    <row r="48" spans="1:5">
      <c r="A48" s="27">
        <v>45776</v>
      </c>
      <c r="B48" s="28">
        <v>1792.44</v>
      </c>
      <c r="C48" s="28">
        <v>1832.61</v>
      </c>
      <c r="D48" s="28">
        <v>1784.21</v>
      </c>
      <c r="E48" s="28">
        <v>1812.7</v>
      </c>
    </row>
    <row r="49" spans="1:5">
      <c r="A49" s="27">
        <v>45777</v>
      </c>
      <c r="B49" s="28">
        <v>1811.26</v>
      </c>
      <c r="C49" s="28">
        <v>1830.22</v>
      </c>
      <c r="D49" s="28">
        <v>1806.15</v>
      </c>
      <c r="E49" s="28">
        <v>1829.25</v>
      </c>
    </row>
    <row r="50" spans="1:5">
      <c r="A50" s="27">
        <v>45778</v>
      </c>
      <c r="B50" s="28">
        <v>1832.76</v>
      </c>
      <c r="C50" s="28">
        <v>1845.05</v>
      </c>
      <c r="D50" s="28">
        <v>1821.69</v>
      </c>
      <c r="E50" s="28">
        <v>1833.85</v>
      </c>
    </row>
    <row r="51" spans="1:5">
      <c r="A51" s="27">
        <v>45779</v>
      </c>
      <c r="B51" s="28">
        <v>1828.56</v>
      </c>
      <c r="C51" s="28">
        <v>1852.91</v>
      </c>
      <c r="D51" s="28">
        <v>1817.81</v>
      </c>
      <c r="E51" s="28">
        <v>1845.33</v>
      </c>
    </row>
    <row r="52" spans="1:5">
      <c r="A52" s="27">
        <v>45782</v>
      </c>
      <c r="B52" s="28">
        <v>1849.47</v>
      </c>
      <c r="C52" s="28">
        <v>1879.42</v>
      </c>
      <c r="D52" s="28">
        <v>1842.53</v>
      </c>
      <c r="E52" s="28">
        <v>1868.41</v>
      </c>
    </row>
    <row r="53" spans="1:5">
      <c r="A53" s="27">
        <v>45783</v>
      </c>
      <c r="B53" s="28">
        <v>1862.03</v>
      </c>
      <c r="C53" s="28">
        <v>1874.91</v>
      </c>
      <c r="D53" s="28">
        <v>1850.2</v>
      </c>
      <c r="E53" s="28">
        <v>1869.18</v>
      </c>
    </row>
    <row r="54" spans="1:5">
      <c r="A54" s="27">
        <v>45784</v>
      </c>
      <c r="B54" s="28">
        <v>1877.95</v>
      </c>
      <c r="C54" s="28">
        <v>1885.37</v>
      </c>
      <c r="D54" s="28">
        <v>1852.86</v>
      </c>
      <c r="E54" s="28">
        <v>1854.18</v>
      </c>
    </row>
    <row r="55" spans="1:5">
      <c r="A55" s="27">
        <v>45785</v>
      </c>
      <c r="B55" s="28">
        <v>1862.02</v>
      </c>
      <c r="C55" s="28">
        <v>1862.74</v>
      </c>
      <c r="D55" s="28">
        <v>1816.11</v>
      </c>
      <c r="E55" s="28">
        <v>1820.5</v>
      </c>
    </row>
    <row r="56" spans="1:5">
      <c r="A56" s="27">
        <v>45786</v>
      </c>
      <c r="B56" s="28">
        <v>1822.74</v>
      </c>
      <c r="C56" s="28">
        <v>1839.11</v>
      </c>
      <c r="D56" s="28">
        <v>1815.3</v>
      </c>
      <c r="E56" s="28">
        <v>1828.15</v>
      </c>
    </row>
    <row r="57" spans="1:5">
      <c r="A57" s="27">
        <v>45789</v>
      </c>
      <c r="B57" s="28">
        <v>1836.33</v>
      </c>
      <c r="C57" s="28">
        <v>1859.47</v>
      </c>
      <c r="D57" s="28">
        <v>1835</v>
      </c>
      <c r="E57" s="28">
        <v>1848.73</v>
      </c>
    </row>
    <row r="58" spans="1:5">
      <c r="A58" s="27">
        <v>45790</v>
      </c>
      <c r="B58" s="28">
        <v>1854.39</v>
      </c>
      <c r="C58" s="28">
        <v>1855.24</v>
      </c>
      <c r="D58" s="28">
        <v>1835.53</v>
      </c>
      <c r="E58" s="28">
        <v>1836.44</v>
      </c>
    </row>
    <row r="59" spans="1:5">
      <c r="A59" s="27">
        <v>45791</v>
      </c>
      <c r="B59" s="28">
        <v>1834.99</v>
      </c>
      <c r="C59" s="28">
        <v>1879.31</v>
      </c>
      <c r="D59" s="28">
        <v>1832.15</v>
      </c>
      <c r="E59" s="28">
        <v>1862.2</v>
      </c>
    </row>
    <row r="60" spans="1:5">
      <c r="A60" s="27">
        <v>45792</v>
      </c>
      <c r="B60" s="28">
        <v>1866.78</v>
      </c>
      <c r="C60" s="28">
        <v>1869.15</v>
      </c>
      <c r="D60" s="28">
        <v>1825.95</v>
      </c>
      <c r="E60" s="28">
        <v>1830.43</v>
      </c>
    </row>
    <row r="61" spans="1:5">
      <c r="A61" s="27">
        <v>45793</v>
      </c>
      <c r="B61" s="28">
        <v>1835</v>
      </c>
      <c r="C61" s="28">
        <v>1835.58</v>
      </c>
      <c r="D61" s="28">
        <v>1821.28</v>
      </c>
      <c r="E61" s="28">
        <v>1830.99</v>
      </c>
    </row>
    <row r="62" spans="1:5">
      <c r="A62" s="27">
        <v>45796</v>
      </c>
      <c r="B62" s="28">
        <v>1836.71</v>
      </c>
      <c r="C62" s="28">
        <v>1847.67</v>
      </c>
      <c r="D62" s="28">
        <v>1818.87</v>
      </c>
      <c r="E62" s="28">
        <v>1830.66</v>
      </c>
    </row>
    <row r="63" spans="1:5">
      <c r="A63" s="27">
        <v>45797</v>
      </c>
      <c r="B63" s="28">
        <v>1835.5</v>
      </c>
      <c r="C63" s="28">
        <v>1849.27</v>
      </c>
      <c r="D63" s="28">
        <v>1811.85</v>
      </c>
      <c r="E63" s="28">
        <v>1819.74</v>
      </c>
    </row>
    <row r="64" spans="1:5">
      <c r="A64" s="27">
        <v>45798</v>
      </c>
      <c r="B64" s="28">
        <v>1825.58</v>
      </c>
      <c r="C64" s="28">
        <v>1834.58</v>
      </c>
      <c r="D64" s="28">
        <v>1786.74</v>
      </c>
      <c r="E64" s="28">
        <v>1786.84</v>
      </c>
    </row>
    <row r="65" spans="1:5">
      <c r="A65" s="27">
        <v>45799</v>
      </c>
      <c r="B65" s="28">
        <v>1786.68</v>
      </c>
      <c r="C65" s="28">
        <v>1790.91</v>
      </c>
      <c r="D65" s="28">
        <v>1782.62</v>
      </c>
      <c r="E65" s="28">
        <v>1784.29</v>
      </c>
    </row>
    <row r="66" spans="1:5">
      <c r="A66" s="27">
        <v>45800</v>
      </c>
      <c r="B66" s="28">
        <v>1784.53</v>
      </c>
      <c r="C66" s="28">
        <v>1819.5</v>
      </c>
      <c r="D66" s="28">
        <v>1777.38</v>
      </c>
      <c r="E66" s="28">
        <v>1815.64</v>
      </c>
    </row>
    <row r="67" spans="1:5">
      <c r="A67" s="27">
        <v>45803</v>
      </c>
      <c r="B67" s="28">
        <v>1808.79</v>
      </c>
      <c r="C67" s="28">
        <v>1816.98</v>
      </c>
      <c r="D67" s="28">
        <v>1801.02</v>
      </c>
      <c r="E67" s="28">
        <v>1812.95</v>
      </c>
    </row>
    <row r="68" spans="1:5">
      <c r="A68" s="27">
        <v>45804</v>
      </c>
      <c r="B68" s="28">
        <v>1809.7</v>
      </c>
      <c r="C68" s="28">
        <v>1817</v>
      </c>
      <c r="D68" s="28">
        <v>1779.87</v>
      </c>
      <c r="E68" s="28">
        <v>1785.53</v>
      </c>
    </row>
    <row r="69" spans="1:5">
      <c r="A69" s="27">
        <v>45805</v>
      </c>
      <c r="B69" s="28">
        <v>1789.85</v>
      </c>
      <c r="C69" s="28">
        <v>1791.04</v>
      </c>
      <c r="D69" s="28">
        <v>1777.95</v>
      </c>
      <c r="E69" s="28">
        <v>1786.38</v>
      </c>
    </row>
    <row r="70" spans="1:5">
      <c r="A70" s="27">
        <v>45806</v>
      </c>
      <c r="B70" s="28">
        <v>1782.96</v>
      </c>
      <c r="C70" s="28">
        <v>1789.54</v>
      </c>
      <c r="D70" s="28">
        <v>1756.75</v>
      </c>
      <c r="E70" s="28">
        <v>1760.74</v>
      </c>
    </row>
    <row r="71" spans="1:5">
      <c r="A71" s="27">
        <v>45807</v>
      </c>
      <c r="B71" s="28">
        <v>1756.67</v>
      </c>
      <c r="C71" s="28">
        <v>1767.43</v>
      </c>
      <c r="D71" s="28">
        <v>1745.59</v>
      </c>
      <c r="E71" s="28">
        <v>1746.41</v>
      </c>
    </row>
    <row r="72" spans="1:5">
      <c r="A72" s="27">
        <v>45810</v>
      </c>
      <c r="B72" s="28">
        <v>1748.32</v>
      </c>
      <c r="C72" s="28">
        <v>1764.82</v>
      </c>
      <c r="D72" s="28">
        <v>1725.37</v>
      </c>
      <c r="E72" s="28">
        <v>1727.64</v>
      </c>
    </row>
    <row r="73" spans="1:5">
      <c r="A73" s="27">
        <v>45811</v>
      </c>
      <c r="B73" s="28">
        <v>1717.6</v>
      </c>
      <c r="C73" s="28">
        <v>1722.8</v>
      </c>
      <c r="D73" s="28">
        <v>1715.71</v>
      </c>
      <c r="E73" s="28">
        <v>1717.82</v>
      </c>
    </row>
    <row r="74" spans="1:5">
      <c r="A74" s="27">
        <v>45812</v>
      </c>
      <c r="B74" s="28">
        <v>1713.32</v>
      </c>
      <c r="C74" s="28">
        <v>1715.32</v>
      </c>
      <c r="D74" s="28">
        <v>1679.4</v>
      </c>
      <c r="E74" s="28">
        <v>1682.49</v>
      </c>
    </row>
    <row r="75" spans="1:5">
      <c r="A75" s="27">
        <v>45813</v>
      </c>
      <c r="B75" s="28">
        <v>1686.27</v>
      </c>
      <c r="C75" s="28">
        <v>1700.2</v>
      </c>
      <c r="D75" s="28">
        <v>1684.06</v>
      </c>
      <c r="E75" s="28">
        <v>1695.68</v>
      </c>
    </row>
    <row r="76" spans="1:5">
      <c r="A76" s="27">
        <v>45814</v>
      </c>
      <c r="B76" s="28">
        <v>1699.04</v>
      </c>
      <c r="C76" s="28">
        <v>1721.09</v>
      </c>
      <c r="D76" s="28">
        <v>1684.88</v>
      </c>
      <c r="E76" s="28">
        <v>1717.99</v>
      </c>
    </row>
    <row r="77" spans="1:5">
      <c r="A77" s="27">
        <v>45817</v>
      </c>
      <c r="B77" s="28">
        <v>1724.75</v>
      </c>
      <c r="C77" s="28">
        <v>1735.43</v>
      </c>
      <c r="D77" s="28">
        <v>1721.51</v>
      </c>
      <c r="E77" s="28">
        <v>1733.38</v>
      </c>
    </row>
    <row r="78" spans="1:5">
      <c r="A78" s="27">
        <v>45818</v>
      </c>
      <c r="B78" s="28">
        <v>1724.26</v>
      </c>
      <c r="C78" s="28">
        <v>1769.64</v>
      </c>
      <c r="D78" s="28">
        <v>1707.54</v>
      </c>
      <c r="E78" s="28">
        <v>1766.33</v>
      </c>
    </row>
    <row r="79" spans="1:5">
      <c r="A79" s="27">
        <v>45819</v>
      </c>
      <c r="B79" s="28">
        <v>1769.99</v>
      </c>
      <c r="C79" s="28">
        <v>1783.34</v>
      </c>
      <c r="D79" s="28">
        <v>1750.69</v>
      </c>
      <c r="E79" s="28">
        <v>1751.53</v>
      </c>
    </row>
    <row r="80" spans="1:5">
      <c r="A80" s="27">
        <v>45820</v>
      </c>
      <c r="B80" s="28">
        <v>1756.28</v>
      </c>
      <c r="C80" s="28">
        <v>1767.98</v>
      </c>
      <c r="D80" s="28">
        <v>1755.66</v>
      </c>
      <c r="E80" s="28">
        <v>1761.6</v>
      </c>
    </row>
    <row r="81" spans="1:5">
      <c r="A81" s="27">
        <v>45821</v>
      </c>
      <c r="B81" s="28">
        <v>1765.97</v>
      </c>
      <c r="C81" s="28">
        <v>1767.46</v>
      </c>
      <c r="D81" s="28">
        <v>1764.59</v>
      </c>
      <c r="E81" s="28">
        <v>1767.21</v>
      </c>
    </row>
    <row r="82" spans="1:5">
      <c r="A82" s="27">
        <v>45824</v>
      </c>
      <c r="B82" s="28">
        <v>1765.31</v>
      </c>
      <c r="C82" s="28">
        <v>1771.61</v>
      </c>
      <c r="D82" s="28">
        <v>1750.23</v>
      </c>
      <c r="E82" s="28">
        <v>1750.94</v>
      </c>
    </row>
    <row r="83" spans="1:5">
      <c r="A83" s="27">
        <v>45825</v>
      </c>
      <c r="B83" s="28">
        <v>1746.52</v>
      </c>
      <c r="C83" s="28">
        <v>1765.15</v>
      </c>
      <c r="D83" s="28">
        <v>1729.58</v>
      </c>
      <c r="E83" s="28">
        <v>1737.5</v>
      </c>
    </row>
    <row r="84" spans="1:5">
      <c r="A84" s="27">
        <v>45826</v>
      </c>
      <c r="B84" s="28">
        <v>1724.04</v>
      </c>
      <c r="C84" s="28">
        <v>1753.1</v>
      </c>
      <c r="D84" s="28">
        <v>1720.72</v>
      </c>
      <c r="E84" s="28">
        <v>1748.75</v>
      </c>
    </row>
    <row r="85" spans="1:5">
      <c r="A85" s="27">
        <v>45827</v>
      </c>
      <c r="B85" s="28">
        <v>1751</v>
      </c>
      <c r="C85" s="28">
        <v>1778.15</v>
      </c>
      <c r="D85" s="28">
        <v>1747.34</v>
      </c>
      <c r="E85" s="28">
        <v>1777.67</v>
      </c>
    </row>
    <row r="86" spans="1:5">
      <c r="A86" s="27">
        <v>45828</v>
      </c>
      <c r="B86" s="28">
        <v>1783.19</v>
      </c>
      <c r="C86" s="28">
        <v>1785.5</v>
      </c>
      <c r="D86" s="28">
        <v>1740.93</v>
      </c>
      <c r="E86" s="28">
        <v>1745.83</v>
      </c>
    </row>
    <row r="87" spans="1:5">
      <c r="A87" s="27">
        <v>45831</v>
      </c>
      <c r="B87" s="28">
        <v>1755.34</v>
      </c>
      <c r="C87" s="28">
        <v>1778.59</v>
      </c>
      <c r="D87" s="28">
        <v>1750.66</v>
      </c>
      <c r="E87" s="28">
        <v>1768.66</v>
      </c>
    </row>
    <row r="88" spans="1:5">
      <c r="A88" s="27">
        <v>45832</v>
      </c>
      <c r="B88" s="28">
        <v>1769.64</v>
      </c>
      <c r="C88" s="28">
        <v>1777.1</v>
      </c>
      <c r="D88" s="28">
        <v>1762.74</v>
      </c>
      <c r="E88" s="28">
        <v>1774.28</v>
      </c>
    </row>
    <row r="89" spans="1:5">
      <c r="A89" s="27">
        <v>45833</v>
      </c>
      <c r="B89" s="28">
        <v>1779.81</v>
      </c>
      <c r="C89" s="28">
        <v>1819.76</v>
      </c>
      <c r="D89" s="28">
        <v>1770.23</v>
      </c>
      <c r="E89" s="28">
        <v>1811.1</v>
      </c>
    </row>
    <row r="90" spans="1:5">
      <c r="A90" s="27">
        <v>45834</v>
      </c>
      <c r="B90" s="28">
        <v>1816.49</v>
      </c>
      <c r="C90" s="28">
        <v>1854.79</v>
      </c>
      <c r="D90" s="28">
        <v>1810.6</v>
      </c>
      <c r="E90" s="28">
        <v>1841.38</v>
      </c>
    </row>
    <row r="91" spans="1:5">
      <c r="A91" s="27">
        <v>45835</v>
      </c>
      <c r="B91" s="28">
        <v>1842.82</v>
      </c>
      <c r="C91" s="28">
        <v>1858.74</v>
      </c>
      <c r="D91" s="28">
        <v>1821.45</v>
      </c>
      <c r="E91" s="28">
        <v>1826.92</v>
      </c>
    </row>
    <row r="92" spans="1:5">
      <c r="A92" s="27">
        <v>45838</v>
      </c>
      <c r="B92" s="28">
        <v>1829.79</v>
      </c>
      <c r="C92" s="28">
        <v>1835.11</v>
      </c>
      <c r="D92" s="28">
        <v>1825.72</v>
      </c>
      <c r="E92" s="28">
        <v>1826.63</v>
      </c>
    </row>
    <row r="93" spans="1:5">
      <c r="A93" s="27">
        <v>45839</v>
      </c>
      <c r="B93" s="28">
        <v>1828.69</v>
      </c>
      <c r="C93" s="28">
        <v>1840.02</v>
      </c>
      <c r="D93" s="28">
        <v>1827.16</v>
      </c>
      <c r="E93" s="28">
        <v>1835.34</v>
      </c>
    </row>
    <row r="94" spans="1:5">
      <c r="A94" s="27">
        <v>45840</v>
      </c>
      <c r="B94" s="28">
        <v>1839.69</v>
      </c>
      <c r="C94" s="28">
        <v>1840.05</v>
      </c>
      <c r="D94" s="28">
        <v>1824.38</v>
      </c>
      <c r="E94" s="28">
        <v>1830.43</v>
      </c>
    </row>
    <row r="95" spans="1:5">
      <c r="A95" s="27">
        <v>45841</v>
      </c>
      <c r="B95" s="28">
        <v>1830.43</v>
      </c>
      <c r="C95" s="28">
        <v>1831.23</v>
      </c>
      <c r="D95" s="28">
        <v>1819.16</v>
      </c>
      <c r="E95" s="28">
        <v>1820.31</v>
      </c>
    </row>
    <row r="96" spans="1:5">
      <c r="A96" s="27">
        <v>45842</v>
      </c>
      <c r="B96" s="28">
        <v>1821.27</v>
      </c>
      <c r="C96" s="28">
        <v>1822.24</v>
      </c>
      <c r="D96" s="28">
        <v>1811.86</v>
      </c>
      <c r="E96" s="28">
        <v>1821.03</v>
      </c>
    </row>
    <row r="97" spans="1:5">
      <c r="A97" s="27">
        <v>45845</v>
      </c>
      <c r="B97" s="28">
        <v>1826.79</v>
      </c>
      <c r="C97" s="28">
        <v>1832.24</v>
      </c>
      <c r="D97" s="28">
        <v>1825.41</v>
      </c>
      <c r="E97" s="28">
        <v>1829.06</v>
      </c>
    </row>
    <row r="98" spans="1:5">
      <c r="A98" s="27">
        <v>45846</v>
      </c>
      <c r="B98" s="28">
        <v>1823.77</v>
      </c>
      <c r="C98" s="28">
        <v>1851.51</v>
      </c>
      <c r="D98" s="28">
        <v>1823.33</v>
      </c>
      <c r="E98" s="28">
        <v>1837.57</v>
      </c>
    </row>
    <row r="99" spans="1:5">
      <c r="A99" s="27">
        <v>45847</v>
      </c>
      <c r="B99" s="28">
        <v>1841.65</v>
      </c>
      <c r="C99" s="28">
        <v>1849.64</v>
      </c>
      <c r="D99" s="28">
        <v>1802.97</v>
      </c>
      <c r="E99" s="28">
        <v>1822.13</v>
      </c>
    </row>
    <row r="100" spans="1:5">
      <c r="A100" s="27">
        <v>45848</v>
      </c>
      <c r="B100" s="28">
        <v>1830.77</v>
      </c>
      <c r="C100" s="28">
        <v>1833.57</v>
      </c>
      <c r="D100" s="28">
        <v>1795.06</v>
      </c>
      <c r="E100" s="28">
        <v>1804.94</v>
      </c>
    </row>
    <row r="101" spans="1:5">
      <c r="A101" s="27">
        <v>45849</v>
      </c>
      <c r="B101" s="28">
        <v>1807.76</v>
      </c>
      <c r="C101" s="28">
        <v>1811.36</v>
      </c>
      <c r="D101" s="28">
        <v>1791.35</v>
      </c>
      <c r="E101" s="28">
        <v>1792.62</v>
      </c>
    </row>
    <row r="102" spans="1:5">
      <c r="A102" s="27">
        <v>45852</v>
      </c>
      <c r="B102" s="28">
        <v>1796.42</v>
      </c>
      <c r="C102" s="28">
        <v>1818.95</v>
      </c>
      <c r="D102" s="28">
        <v>1792.13</v>
      </c>
      <c r="E102" s="28">
        <v>1818.79</v>
      </c>
    </row>
    <row r="103" spans="1:5">
      <c r="A103" s="27">
        <v>45853</v>
      </c>
      <c r="B103" s="28">
        <v>1824.1</v>
      </c>
      <c r="C103" s="28">
        <v>1855.92</v>
      </c>
      <c r="D103" s="28">
        <v>1816.2</v>
      </c>
      <c r="E103" s="28">
        <v>1848.35</v>
      </c>
    </row>
    <row r="104" spans="1:5">
      <c r="A104" s="27">
        <v>45854</v>
      </c>
      <c r="B104" s="28">
        <v>1852.4</v>
      </c>
      <c r="C104" s="28">
        <v>1854.6</v>
      </c>
      <c r="D104" s="28">
        <v>1838.59</v>
      </c>
      <c r="E104" s="28">
        <v>1846.48</v>
      </c>
    </row>
    <row r="105" spans="1:5">
      <c r="A105" s="27">
        <v>45855</v>
      </c>
      <c r="B105" s="28">
        <v>1851.52</v>
      </c>
      <c r="C105" s="28">
        <v>1859.29</v>
      </c>
      <c r="D105" s="28">
        <v>1832.66</v>
      </c>
      <c r="E105" s="28">
        <v>1857.71</v>
      </c>
    </row>
    <row r="106" spans="1:5">
      <c r="A106" s="27">
        <v>45856</v>
      </c>
      <c r="B106" s="28">
        <v>1856.51</v>
      </c>
      <c r="C106" s="28">
        <v>1881.16</v>
      </c>
      <c r="D106" s="28">
        <v>1837.24</v>
      </c>
      <c r="E106" s="28">
        <v>1880.48</v>
      </c>
    </row>
    <row r="107" spans="1:5">
      <c r="A107" s="27">
        <v>45859</v>
      </c>
      <c r="B107" s="28">
        <v>1885.42</v>
      </c>
      <c r="C107" s="28">
        <v>1892.81</v>
      </c>
      <c r="D107" s="28">
        <v>1875.06</v>
      </c>
      <c r="E107" s="28">
        <v>1875.11</v>
      </c>
    </row>
    <row r="108" spans="1:5">
      <c r="A108" s="27">
        <v>45860</v>
      </c>
      <c r="B108" s="28">
        <v>1876.16</v>
      </c>
      <c r="C108" s="28">
        <v>1878.86</v>
      </c>
      <c r="D108" s="28">
        <v>1846.79</v>
      </c>
      <c r="E108" s="28">
        <v>1855.17</v>
      </c>
    </row>
    <row r="109" spans="1:5">
      <c r="A109" s="27">
        <v>45861</v>
      </c>
      <c r="B109" s="28">
        <v>1855.31</v>
      </c>
      <c r="C109" s="28">
        <v>1876.16</v>
      </c>
      <c r="D109" s="28">
        <v>1851.3</v>
      </c>
      <c r="E109" s="28">
        <v>1869.77</v>
      </c>
    </row>
    <row r="110" spans="1:5">
      <c r="A110" s="27">
        <v>45862</v>
      </c>
      <c r="B110" s="28">
        <v>1870.08</v>
      </c>
      <c r="C110" s="28">
        <v>1876.01</v>
      </c>
      <c r="D110" s="28">
        <v>1864.95</v>
      </c>
      <c r="E110" s="28">
        <v>1874.18</v>
      </c>
    </row>
    <row r="111" spans="1:5">
      <c r="A111" s="27">
        <v>45863</v>
      </c>
      <c r="B111" s="28">
        <v>1870.65</v>
      </c>
      <c r="C111" s="28">
        <v>1870.69</v>
      </c>
      <c r="D111" s="28">
        <v>1845.38</v>
      </c>
      <c r="E111" s="28">
        <v>1856.25</v>
      </c>
    </row>
    <row r="112" spans="1:5">
      <c r="A112" s="27">
        <v>45866</v>
      </c>
      <c r="B112" s="28">
        <v>1845.1</v>
      </c>
      <c r="C112" s="28">
        <v>1854.37</v>
      </c>
      <c r="D112" s="28">
        <v>1840.9</v>
      </c>
      <c r="E112" s="28">
        <v>1849.32</v>
      </c>
    </row>
    <row r="113" spans="1:5">
      <c r="A113" s="27">
        <v>45867</v>
      </c>
      <c r="B113" s="28">
        <v>1849.02</v>
      </c>
      <c r="C113" s="28">
        <v>1861.77</v>
      </c>
      <c r="D113" s="28">
        <v>1838.54</v>
      </c>
      <c r="E113" s="28">
        <v>1860.04</v>
      </c>
    </row>
    <row r="114" spans="1:5">
      <c r="A114" s="27">
        <v>45868</v>
      </c>
      <c r="B114" s="28">
        <v>1862.92</v>
      </c>
      <c r="C114" s="28">
        <v>1901.66</v>
      </c>
      <c r="D114" s="28">
        <v>1856.35</v>
      </c>
      <c r="E114" s="28">
        <v>1893.38</v>
      </c>
    </row>
    <row r="115" spans="1:5">
      <c r="A115" s="27">
        <v>45869</v>
      </c>
      <c r="B115" s="28">
        <v>1883.07</v>
      </c>
      <c r="C115" s="28">
        <v>1896.71</v>
      </c>
      <c r="D115" s="28">
        <v>1876.03</v>
      </c>
      <c r="E115" s="28">
        <v>1890.81</v>
      </c>
    </row>
    <row r="116" spans="1:5">
      <c r="A116" s="27">
        <v>45870</v>
      </c>
      <c r="B116" s="28">
        <v>1890.51</v>
      </c>
      <c r="C116" s="28">
        <v>1895.28</v>
      </c>
      <c r="D116" s="28">
        <v>1844.68</v>
      </c>
      <c r="E116" s="28">
        <v>1857.77</v>
      </c>
    </row>
    <row r="117" spans="1:5">
      <c r="A117" s="27">
        <v>45873</v>
      </c>
      <c r="B117" s="28">
        <v>1851.84</v>
      </c>
      <c r="C117" s="28">
        <v>1856.51</v>
      </c>
      <c r="D117" s="28">
        <v>1816.31</v>
      </c>
      <c r="E117" s="28">
        <v>1826.56</v>
      </c>
    </row>
    <row r="118" spans="1:5">
      <c r="A118" s="27">
        <v>45874</v>
      </c>
      <c r="B118" s="28">
        <v>1827.93</v>
      </c>
      <c r="C118" s="28">
        <v>1832.57</v>
      </c>
      <c r="D118" s="28">
        <v>1822.71</v>
      </c>
      <c r="E118" s="28">
        <v>1827.84</v>
      </c>
    </row>
    <row r="119" spans="1:5">
      <c r="A119" s="27">
        <v>45875</v>
      </c>
      <c r="B119" s="28">
        <v>1834.24</v>
      </c>
      <c r="C119" s="28">
        <v>1864.6</v>
      </c>
      <c r="D119" s="28">
        <v>1830.53</v>
      </c>
      <c r="E119" s="28">
        <v>1854.86</v>
      </c>
    </row>
    <row r="120" spans="1:5">
      <c r="A120" s="27">
        <v>45876</v>
      </c>
      <c r="B120" s="28">
        <v>1848.88</v>
      </c>
      <c r="C120" s="28">
        <v>1849.48</v>
      </c>
      <c r="D120" s="28">
        <v>1836.97</v>
      </c>
      <c r="E120" s="28">
        <v>1837.01</v>
      </c>
    </row>
    <row r="121" spans="1:5">
      <c r="A121" s="27">
        <v>45877</v>
      </c>
      <c r="B121" s="28">
        <v>1828.29</v>
      </c>
      <c r="C121" s="28">
        <v>1855.47</v>
      </c>
      <c r="D121" s="28">
        <v>1828.12</v>
      </c>
      <c r="E121" s="28">
        <v>1846.33</v>
      </c>
    </row>
    <row r="122" spans="1:5">
      <c r="A122" s="27">
        <v>45880</v>
      </c>
      <c r="B122" s="28">
        <v>1844.6</v>
      </c>
      <c r="C122" s="28">
        <v>1845.07</v>
      </c>
      <c r="D122" s="28">
        <v>1837.97</v>
      </c>
      <c r="E122" s="28">
        <v>1843.57</v>
      </c>
    </row>
    <row r="123" spans="1:5">
      <c r="A123" s="27">
        <v>45881</v>
      </c>
      <c r="B123" s="28">
        <v>1845.53</v>
      </c>
      <c r="C123" s="28">
        <v>1857.29</v>
      </c>
      <c r="D123" s="28">
        <v>1840.57</v>
      </c>
      <c r="E123" s="28">
        <v>1856.63</v>
      </c>
    </row>
    <row r="124" spans="1:5">
      <c r="A124" s="27">
        <v>45882</v>
      </c>
      <c r="B124" s="28">
        <v>1841.54</v>
      </c>
      <c r="C124" s="28">
        <v>1861.59</v>
      </c>
      <c r="D124" s="28">
        <v>1841.26</v>
      </c>
      <c r="E124" s="28">
        <v>1854.31</v>
      </c>
    </row>
    <row r="125" spans="1:5">
      <c r="A125" s="27">
        <v>45883</v>
      </c>
      <c r="B125" s="28">
        <v>1855.42</v>
      </c>
      <c r="C125" s="28">
        <v>1856.51</v>
      </c>
      <c r="D125" s="28">
        <v>1818.65</v>
      </c>
      <c r="E125" s="28">
        <v>1828.73</v>
      </c>
    </row>
    <row r="126" spans="1:5">
      <c r="A126" s="27">
        <v>45884</v>
      </c>
      <c r="B126" s="28">
        <v>1827.01</v>
      </c>
      <c r="C126" s="28">
        <v>1830.37</v>
      </c>
      <c r="D126" s="28">
        <v>1820.65</v>
      </c>
      <c r="E126" s="28">
        <v>1825.11</v>
      </c>
    </row>
    <row r="127" spans="1:5">
      <c r="A127" s="27">
        <v>45887</v>
      </c>
      <c r="B127" s="28">
        <v>1820.46</v>
      </c>
      <c r="C127" s="28">
        <v>1826.27</v>
      </c>
      <c r="D127" s="28">
        <v>1819.98</v>
      </c>
      <c r="E127" s="28">
        <v>1825.21</v>
      </c>
    </row>
    <row r="128" spans="1:5">
      <c r="A128" s="27">
        <v>45888</v>
      </c>
      <c r="B128" s="28">
        <v>1826.83</v>
      </c>
      <c r="C128" s="28">
        <v>1844.04</v>
      </c>
      <c r="D128" s="28">
        <v>1816.93</v>
      </c>
      <c r="E128" s="28">
        <v>1838.73</v>
      </c>
    </row>
    <row r="129" spans="1:5">
      <c r="A129" s="27">
        <v>45889</v>
      </c>
      <c r="B129" s="28">
        <v>1834.65</v>
      </c>
      <c r="C129" s="28">
        <v>1842.81</v>
      </c>
      <c r="D129" s="28">
        <v>1832.11</v>
      </c>
      <c r="E129" s="28">
        <v>1832.96</v>
      </c>
    </row>
    <row r="130" spans="1:5">
      <c r="A130" s="27">
        <v>45890</v>
      </c>
      <c r="B130" s="28">
        <v>1833.54</v>
      </c>
      <c r="C130" s="28">
        <v>1837.37</v>
      </c>
      <c r="D130" s="28">
        <v>1822.14</v>
      </c>
      <c r="E130" s="28">
        <v>1825.15</v>
      </c>
    </row>
    <row r="131" spans="1:5">
      <c r="A131" s="27">
        <v>45891</v>
      </c>
      <c r="B131" s="28">
        <v>1823.39</v>
      </c>
      <c r="C131" s="28">
        <v>1874.88</v>
      </c>
      <c r="D131" s="28">
        <v>1822.51</v>
      </c>
      <c r="E131" s="28">
        <v>1866.65</v>
      </c>
    </row>
    <row r="132" spans="1:5">
      <c r="A132" s="27">
        <v>45894</v>
      </c>
      <c r="B132" s="28">
        <v>1853.39</v>
      </c>
      <c r="C132" s="28">
        <v>1892.98</v>
      </c>
      <c r="D132" s="28">
        <v>1851.56</v>
      </c>
      <c r="E132" s="28">
        <v>1887.3</v>
      </c>
    </row>
    <row r="133" spans="1:5">
      <c r="A133" s="27">
        <v>45895</v>
      </c>
      <c r="B133" s="28">
        <v>1900.58</v>
      </c>
      <c r="C133" s="28">
        <v>1903.03</v>
      </c>
      <c r="D133" s="28">
        <v>1889.17</v>
      </c>
      <c r="E133" s="28">
        <v>1898.9</v>
      </c>
    </row>
    <row r="134" spans="1:5">
      <c r="A134" s="27">
        <v>45896</v>
      </c>
      <c r="B134" s="28">
        <v>1904.3</v>
      </c>
      <c r="C134" s="28">
        <v>1917.44</v>
      </c>
      <c r="D134" s="28">
        <v>1903.11</v>
      </c>
      <c r="E134" s="28">
        <v>1913.54</v>
      </c>
    </row>
    <row r="135" spans="1:5">
      <c r="A135" s="27">
        <v>45897</v>
      </c>
      <c r="B135" s="28">
        <v>1907.36</v>
      </c>
      <c r="C135" s="28">
        <v>1932.67</v>
      </c>
      <c r="D135" s="28">
        <v>1899.6</v>
      </c>
      <c r="E135" s="28">
        <v>1923.58</v>
      </c>
    </row>
    <row r="136" spans="1:5">
      <c r="A136" s="27">
        <v>45898</v>
      </c>
      <c r="B136" s="28">
        <v>1935.86</v>
      </c>
      <c r="C136" s="28">
        <v>1937.59</v>
      </c>
      <c r="D136" s="28">
        <v>1928.76</v>
      </c>
      <c r="E136" s="28">
        <v>1928.91</v>
      </c>
    </row>
    <row r="137" spans="1:5">
      <c r="A137" s="27">
        <v>45901</v>
      </c>
      <c r="B137" s="28">
        <v>1929.07</v>
      </c>
      <c r="C137" s="28">
        <v>1957.43</v>
      </c>
      <c r="D137" s="28">
        <v>1927.07</v>
      </c>
      <c r="E137" s="28">
        <v>1951.13</v>
      </c>
    </row>
    <row r="138" spans="1:5">
      <c r="A138" s="27">
        <v>45902</v>
      </c>
      <c r="B138" s="28">
        <v>1955.29</v>
      </c>
      <c r="C138" s="28">
        <v>1968.8</v>
      </c>
      <c r="D138" s="28">
        <v>1941.58</v>
      </c>
      <c r="E138" s="28">
        <v>1962.73</v>
      </c>
    </row>
    <row r="139" spans="1:5">
      <c r="A139" s="27">
        <v>45903</v>
      </c>
      <c r="B139" s="28">
        <v>1962.84</v>
      </c>
      <c r="C139" s="28">
        <v>1997</v>
      </c>
      <c r="D139" s="28">
        <v>1959.47</v>
      </c>
      <c r="E139" s="28">
        <v>1994.85</v>
      </c>
    </row>
    <row r="140" spans="1:5">
      <c r="A140" s="27">
        <v>45904</v>
      </c>
      <c r="B140" s="28">
        <v>1990.64</v>
      </c>
      <c r="C140" s="28">
        <v>2028.1</v>
      </c>
      <c r="D140" s="28">
        <v>1986.82</v>
      </c>
      <c r="E140" s="28">
        <v>2022.64</v>
      </c>
    </row>
    <row r="141" spans="1:5">
      <c r="A141" s="27">
        <v>45905</v>
      </c>
      <c r="B141" s="28">
        <v>2027.01</v>
      </c>
      <c r="C141" s="28">
        <v>2037.82</v>
      </c>
      <c r="D141" s="28">
        <v>2010.07</v>
      </c>
      <c r="E141" s="28">
        <v>2010.16</v>
      </c>
    </row>
    <row r="142" spans="1:5">
      <c r="A142" s="27">
        <v>45908</v>
      </c>
      <c r="B142" s="28">
        <v>2015.06</v>
      </c>
      <c r="C142" s="28">
        <v>2015.45</v>
      </c>
      <c r="D142" s="28">
        <v>1995.58</v>
      </c>
      <c r="E142" s="28">
        <v>1998.06</v>
      </c>
    </row>
    <row r="143" spans="1:5">
      <c r="A143" s="27">
        <v>45909</v>
      </c>
      <c r="B143" s="28">
        <v>2004.85</v>
      </c>
      <c r="C143" s="28">
        <v>2032.2</v>
      </c>
      <c r="D143" s="28">
        <v>1986.54</v>
      </c>
      <c r="E143" s="28">
        <v>2027.99</v>
      </c>
    </row>
    <row r="144" spans="1:5">
      <c r="A144" s="27">
        <v>45910</v>
      </c>
      <c r="B144" s="28">
        <v>2032.77</v>
      </c>
      <c r="C144" s="28">
        <v>2038.04</v>
      </c>
      <c r="D144" s="28">
        <v>2028.5</v>
      </c>
      <c r="E144" s="28">
        <v>2028.86</v>
      </c>
    </row>
    <row r="145" spans="1:5">
      <c r="A145" s="27">
        <v>45911</v>
      </c>
      <c r="B145" s="28">
        <v>2039.77</v>
      </c>
      <c r="C145" s="28">
        <v>2050.91</v>
      </c>
      <c r="D145" s="28">
        <v>1986.51</v>
      </c>
      <c r="E145" s="28">
        <v>1996.21</v>
      </c>
    </row>
    <row r="146" spans="1:5">
      <c r="A146" s="27">
        <v>45912</v>
      </c>
      <c r="B146" s="28">
        <v>1986.53</v>
      </c>
      <c r="C146" s="28">
        <v>1995.87</v>
      </c>
      <c r="D146" s="28">
        <v>1965.04</v>
      </c>
      <c r="E146" s="28">
        <v>1968.66</v>
      </c>
    </row>
    <row r="147" spans="1:5">
      <c r="A147" s="27">
        <v>45915</v>
      </c>
      <c r="B147" s="28">
        <v>1966.81</v>
      </c>
      <c r="C147" s="28">
        <v>1969.27</v>
      </c>
      <c r="D147" s="28">
        <v>1958.25</v>
      </c>
      <c r="E147" s="28">
        <v>1968.31</v>
      </c>
    </row>
    <row r="148" spans="1:5">
      <c r="A148" s="27">
        <v>45916</v>
      </c>
      <c r="B148" s="28">
        <v>1959.84</v>
      </c>
      <c r="C148" s="28">
        <v>1970.11</v>
      </c>
      <c r="D148" s="28">
        <v>1957.42</v>
      </c>
      <c r="E148" s="28">
        <v>1969.55</v>
      </c>
    </row>
    <row r="149" spans="1:5">
      <c r="A149" s="27">
        <v>45917</v>
      </c>
      <c r="B149" s="28">
        <v>1968.18</v>
      </c>
      <c r="C149" s="28">
        <v>1986.26</v>
      </c>
      <c r="D149" s="28">
        <v>1966.93</v>
      </c>
      <c r="E149" s="28">
        <v>1979.11</v>
      </c>
    </row>
    <row r="150" spans="1:5">
      <c r="A150" s="27">
        <v>45918</v>
      </c>
      <c r="B150" s="28">
        <v>1988.43</v>
      </c>
      <c r="C150" s="28">
        <v>1994.54</v>
      </c>
      <c r="D150" s="28">
        <v>1969.9</v>
      </c>
      <c r="E150" s="28">
        <v>1970.81</v>
      </c>
    </row>
    <row r="151" spans="1:5">
      <c r="A151" s="27">
        <v>45919</v>
      </c>
      <c r="B151" s="28">
        <v>1966.66</v>
      </c>
      <c r="C151" s="28">
        <v>1974.03</v>
      </c>
      <c r="D151" s="28">
        <v>1960.02</v>
      </c>
      <c r="E151" s="28">
        <v>1962.79</v>
      </c>
    </row>
    <row r="152" spans="1:5">
      <c r="A152" s="27">
        <v>45922</v>
      </c>
      <c r="B152" s="28">
        <v>1965.83</v>
      </c>
      <c r="C152" s="28">
        <v>1973.56</v>
      </c>
      <c r="D152" s="28">
        <v>1949.33</v>
      </c>
      <c r="E152" s="28">
        <v>1969.08</v>
      </c>
    </row>
    <row r="153" spans="1:5">
      <c r="A153" s="27">
        <v>45923</v>
      </c>
      <c r="B153" s="28">
        <v>1969.16</v>
      </c>
      <c r="C153" s="28">
        <v>1991.17</v>
      </c>
      <c r="D153" s="28">
        <v>1942.11</v>
      </c>
      <c r="E153" s="28">
        <v>1956.72</v>
      </c>
    </row>
    <row r="154" spans="1:5">
      <c r="A154" s="27">
        <v>45924</v>
      </c>
      <c r="B154" s="28">
        <v>1957.72</v>
      </c>
      <c r="C154" s="28">
        <v>1958.93</v>
      </c>
      <c r="D154" s="28">
        <v>1944.66</v>
      </c>
      <c r="E154" s="28">
        <v>1947.83</v>
      </c>
    </row>
    <row r="155" spans="1:5">
      <c r="A155" s="27">
        <v>45925</v>
      </c>
      <c r="B155" s="28">
        <v>1949.97</v>
      </c>
      <c r="C155" s="28">
        <v>1950.39</v>
      </c>
      <c r="D155" s="28">
        <v>1938.2</v>
      </c>
      <c r="E155" s="28">
        <v>1944.2</v>
      </c>
    </row>
    <row r="156" spans="1:5">
      <c r="A156" s="27">
        <v>45926</v>
      </c>
      <c r="B156" s="28">
        <v>1939.04</v>
      </c>
      <c r="C156" s="28">
        <v>1939.06</v>
      </c>
      <c r="D156" s="28">
        <v>1902.43</v>
      </c>
      <c r="E156" s="28">
        <v>1910.32</v>
      </c>
    </row>
    <row r="157" spans="1:5">
      <c r="A157" s="27">
        <v>45929</v>
      </c>
      <c r="B157" s="28">
        <v>1913.92</v>
      </c>
      <c r="C157" s="28">
        <v>1918.9</v>
      </c>
      <c r="D157" s="28">
        <v>1887.41</v>
      </c>
      <c r="E157" s="28">
        <v>1892.21</v>
      </c>
    </row>
    <row r="158" spans="1:5">
      <c r="A158" s="27">
        <v>45930</v>
      </c>
      <c r="B158" s="28">
        <v>1893.95</v>
      </c>
      <c r="C158" s="28">
        <v>1910.3</v>
      </c>
      <c r="D158" s="28">
        <v>1893.16</v>
      </c>
      <c r="E158" s="28">
        <v>1906.43</v>
      </c>
    </row>
    <row r="159" spans="1:5">
      <c r="A159" s="27">
        <v>45931</v>
      </c>
      <c r="B159" s="28">
        <v>1906.26</v>
      </c>
      <c r="C159" s="28">
        <v>1909.72</v>
      </c>
      <c r="D159" s="28">
        <v>1877.84</v>
      </c>
      <c r="E159" s="28">
        <v>1881.83</v>
      </c>
    </row>
    <row r="160" spans="1:5">
      <c r="A160" s="27">
        <v>45932</v>
      </c>
      <c r="B160" s="28">
        <v>1886.06</v>
      </c>
      <c r="C160" s="28">
        <v>1892.69</v>
      </c>
      <c r="D160" s="28">
        <v>1875.99</v>
      </c>
      <c r="E160" s="28">
        <v>1880.8</v>
      </c>
    </row>
    <row r="161" spans="1:5">
      <c r="A161" s="27">
        <v>45933</v>
      </c>
      <c r="B161" s="28">
        <v>1877.68</v>
      </c>
      <c r="C161" s="28">
        <v>1916.27</v>
      </c>
      <c r="D161" s="28">
        <v>1876.55</v>
      </c>
      <c r="E161" s="28">
        <v>1915.14</v>
      </c>
    </row>
    <row r="162" spans="1:5">
      <c r="A162" s="27">
        <v>45936</v>
      </c>
      <c r="B162" s="28">
        <v>1916.96</v>
      </c>
      <c r="C162" s="28">
        <v>1951.13</v>
      </c>
      <c r="D162" s="28">
        <v>1911.67</v>
      </c>
      <c r="E162" s="28">
        <v>1944.15</v>
      </c>
    </row>
    <row r="163" spans="1:5">
      <c r="A163" s="27">
        <v>45937</v>
      </c>
      <c r="B163" s="28">
        <v>1944.09</v>
      </c>
      <c r="C163" s="28">
        <v>1958.44</v>
      </c>
      <c r="D163" s="28">
        <v>1932.89</v>
      </c>
      <c r="E163" s="28">
        <v>1944.63</v>
      </c>
    </row>
    <row r="164" spans="1:5">
      <c r="A164" s="27">
        <v>45938</v>
      </c>
      <c r="B164" s="28">
        <v>1934.45</v>
      </c>
      <c r="C164" s="28">
        <v>1967.94</v>
      </c>
      <c r="D164" s="28">
        <v>1933.44</v>
      </c>
      <c r="E164" s="28">
        <v>1962.1</v>
      </c>
    </row>
    <row r="165" spans="1:5">
      <c r="A165" s="27">
        <v>45939</v>
      </c>
      <c r="B165" s="28">
        <v>1964.26</v>
      </c>
      <c r="C165" s="28">
        <v>1983.09</v>
      </c>
      <c r="D165" s="28">
        <v>1962.59</v>
      </c>
      <c r="E165" s="28">
        <v>1971.27</v>
      </c>
    </row>
    <row r="166" spans="1:5">
      <c r="A166" s="27">
        <v>45940</v>
      </c>
      <c r="B166" s="28">
        <v>1967.87</v>
      </c>
      <c r="C166" s="28">
        <v>2008.4</v>
      </c>
      <c r="D166" s="28">
        <v>1957.17</v>
      </c>
      <c r="E166" s="28">
        <v>2000.22</v>
      </c>
    </row>
    <row r="167" spans="1:5">
      <c r="A167" s="27">
        <v>45943</v>
      </c>
      <c r="B167" s="28">
        <v>2002.23</v>
      </c>
      <c r="C167" s="28">
        <v>2015.79</v>
      </c>
      <c r="D167" s="28">
        <v>1974.54</v>
      </c>
      <c r="E167" s="28">
        <v>1977.94</v>
      </c>
    </row>
    <row r="168" spans="1:5">
      <c r="A168" s="27">
        <v>45944</v>
      </c>
      <c r="B168" s="28">
        <v>1991.24</v>
      </c>
      <c r="C168" s="28">
        <v>1995.38</v>
      </c>
      <c r="D168" s="28">
        <v>1978</v>
      </c>
      <c r="E168" s="28">
        <v>1983.35</v>
      </c>
    </row>
    <row r="169" spans="1:5">
      <c r="A169" s="27">
        <v>45945</v>
      </c>
      <c r="B169" s="28">
        <v>1986.62</v>
      </c>
      <c r="C169" s="28">
        <v>2002.22</v>
      </c>
      <c r="D169" s="28">
        <v>1977.32</v>
      </c>
      <c r="E169" s="28">
        <v>1994.13</v>
      </c>
    </row>
    <row r="170" spans="1:5">
      <c r="A170" s="27">
        <v>45946</v>
      </c>
      <c r="B170" s="28">
        <v>1995.61</v>
      </c>
      <c r="C170" s="28">
        <v>2010.91</v>
      </c>
      <c r="D170" s="28">
        <v>1994</v>
      </c>
      <c r="E170" s="28">
        <v>2000.45</v>
      </c>
    </row>
    <row r="171" spans="1:5">
      <c r="A171" s="27">
        <v>45947</v>
      </c>
      <c r="B171" s="28">
        <v>2003.21</v>
      </c>
      <c r="C171" s="28">
        <v>2004.15</v>
      </c>
      <c r="D171" s="28">
        <v>1990.28</v>
      </c>
      <c r="E171" s="28">
        <v>1990.96</v>
      </c>
    </row>
    <row r="172" spans="1:5">
      <c r="A172" s="27">
        <v>45950</v>
      </c>
      <c r="B172" s="28">
        <v>1997.26</v>
      </c>
      <c r="C172" s="28">
        <v>2008.37</v>
      </c>
      <c r="D172" s="28">
        <v>1982.17</v>
      </c>
      <c r="E172" s="28">
        <v>1985.08</v>
      </c>
    </row>
    <row r="173" spans="1:5">
      <c r="A173" s="27">
        <v>45951</v>
      </c>
      <c r="B173" s="28">
        <v>1980.57</v>
      </c>
      <c r="C173" s="28">
        <v>2002.48</v>
      </c>
      <c r="D173" s="28">
        <v>1974.63</v>
      </c>
      <c r="E173" s="28">
        <v>2001.9</v>
      </c>
    </row>
    <row r="174" spans="1:5">
      <c r="A174" s="27">
        <v>45952</v>
      </c>
      <c r="B174" s="28">
        <v>1999.61</v>
      </c>
      <c r="C174" s="28">
        <v>2032.32</v>
      </c>
      <c r="D174" s="28">
        <v>1998.03</v>
      </c>
      <c r="E174" s="28">
        <v>2031.72</v>
      </c>
    </row>
    <row r="175" spans="1:5">
      <c r="A175" s="27">
        <v>45953</v>
      </c>
      <c r="B175" s="28">
        <v>2031.82</v>
      </c>
      <c r="C175" s="28">
        <v>2037.31</v>
      </c>
      <c r="D175" s="28">
        <v>2000.83</v>
      </c>
      <c r="E175" s="28">
        <v>2003.81</v>
      </c>
    </row>
    <row r="176" spans="1:5">
      <c r="A176" s="27">
        <v>45954</v>
      </c>
      <c r="B176" s="28">
        <v>1991.96</v>
      </c>
      <c r="C176" s="28">
        <v>1992.27</v>
      </c>
      <c r="D176" s="28">
        <v>1981.14</v>
      </c>
      <c r="E176" s="28">
        <v>1983.21</v>
      </c>
    </row>
    <row r="177" spans="1:5">
      <c r="A177" s="27">
        <v>45957</v>
      </c>
      <c r="B177" s="28">
        <v>1988.5</v>
      </c>
      <c r="C177" s="28">
        <v>1990.68</v>
      </c>
      <c r="D177" s="28">
        <v>1968.9</v>
      </c>
      <c r="E177" s="28">
        <v>1973.68</v>
      </c>
    </row>
    <row r="178" spans="1:5">
      <c r="A178" s="27">
        <v>45958</v>
      </c>
      <c r="B178" s="28">
        <v>1964.42</v>
      </c>
      <c r="C178" s="28">
        <v>1988.83</v>
      </c>
      <c r="D178" s="28">
        <v>1964.26</v>
      </c>
      <c r="E178" s="28">
        <v>1983.45</v>
      </c>
    </row>
    <row r="179" spans="1:5">
      <c r="A179" s="27">
        <v>45959</v>
      </c>
      <c r="B179" s="28">
        <v>1982.49</v>
      </c>
      <c r="C179" s="28">
        <v>2002.78</v>
      </c>
      <c r="D179" s="28">
        <v>1977.29</v>
      </c>
      <c r="E179" s="28">
        <v>2000.31</v>
      </c>
    </row>
    <row r="180" spans="1:5">
      <c r="A180" s="27">
        <v>45960</v>
      </c>
      <c r="B180" s="28">
        <v>2010.32</v>
      </c>
      <c r="C180" s="28">
        <v>2015.84</v>
      </c>
      <c r="D180" s="28">
        <v>1987.86</v>
      </c>
      <c r="E180" s="28">
        <v>2006.86</v>
      </c>
    </row>
    <row r="181" spans="1:5">
      <c r="A181" s="27">
        <v>45961</v>
      </c>
      <c r="B181" s="28">
        <v>2006.96</v>
      </c>
      <c r="C181" s="28">
        <v>2008.35</v>
      </c>
      <c r="D181" s="28">
        <v>1987.24</v>
      </c>
      <c r="E181" s="28">
        <v>1995.42</v>
      </c>
    </row>
    <row r="182" spans="1:5">
      <c r="A182" s="27">
        <v>45964</v>
      </c>
      <c r="B182" s="28">
        <v>1982.88</v>
      </c>
      <c r="C182" s="28">
        <v>1987.69</v>
      </c>
      <c r="D182" s="28">
        <v>1966.62</v>
      </c>
      <c r="E182" s="28">
        <v>1972.9</v>
      </c>
    </row>
    <row r="183" spans="1:5">
      <c r="A183" s="27">
        <v>45965</v>
      </c>
      <c r="B183" s="28">
        <v>1988.53</v>
      </c>
      <c r="C183" s="28">
        <v>1990.16</v>
      </c>
      <c r="D183" s="28">
        <v>1983.4</v>
      </c>
      <c r="E183" s="28">
        <v>1985.41</v>
      </c>
    </row>
    <row r="184" spans="1:5">
      <c r="A184" s="27">
        <v>45966</v>
      </c>
      <c r="B184" s="28">
        <v>1987.61</v>
      </c>
      <c r="C184" s="28">
        <v>2017.15</v>
      </c>
      <c r="D184" s="28">
        <v>1977.77</v>
      </c>
      <c r="E184" s="28">
        <v>2003.82</v>
      </c>
    </row>
    <row r="185" spans="1:5">
      <c r="A185" s="27">
        <v>45967</v>
      </c>
      <c r="B185" s="28">
        <v>1983.22</v>
      </c>
      <c r="C185" s="28">
        <v>2003.98</v>
      </c>
      <c r="D185" s="28">
        <v>1980.26</v>
      </c>
      <c r="E185" s="28">
        <v>1997.48</v>
      </c>
    </row>
    <row r="186" spans="1:5">
      <c r="A186" s="27">
        <v>45968</v>
      </c>
      <c r="B186" s="28">
        <v>2010.44</v>
      </c>
      <c r="C186" s="28">
        <v>2015.95</v>
      </c>
      <c r="D186" s="28">
        <v>2008.39</v>
      </c>
      <c r="E186" s="28">
        <v>2015.9</v>
      </c>
    </row>
    <row r="187" spans="1:5">
      <c r="A187" s="27">
        <v>45971</v>
      </c>
      <c r="B187" s="28">
        <v>2010.84</v>
      </c>
      <c r="C187" s="28">
        <v>2015.91</v>
      </c>
      <c r="D187" s="28">
        <v>2002.03</v>
      </c>
      <c r="E187" s="28">
        <v>2007.16</v>
      </c>
    </row>
    <row r="188" spans="1:5">
      <c r="A188" s="27">
        <v>45972</v>
      </c>
      <c r="B188" s="28">
        <v>2007.56</v>
      </c>
      <c r="C188" s="28">
        <v>2010.06</v>
      </c>
      <c r="D188" s="28">
        <v>2000.22</v>
      </c>
      <c r="E188" s="28">
        <v>2008.67</v>
      </c>
    </row>
    <row r="189" spans="1:5">
      <c r="A189" s="27">
        <v>45973</v>
      </c>
      <c r="B189" s="28">
        <v>2007.81</v>
      </c>
      <c r="C189" s="28">
        <v>2024.29</v>
      </c>
      <c r="D189" s="28">
        <v>2006.59</v>
      </c>
      <c r="E189" s="28">
        <v>2018.92</v>
      </c>
    </row>
    <row r="190" spans="1:5">
      <c r="A190" s="27">
        <v>45974</v>
      </c>
      <c r="B190" s="28">
        <v>2027.75</v>
      </c>
      <c r="C190" s="28">
        <v>2031.53</v>
      </c>
      <c r="D190" s="28">
        <v>1990.08</v>
      </c>
      <c r="E190" s="28">
        <v>1997.73</v>
      </c>
    </row>
    <row r="191" spans="1:5">
      <c r="A191" s="27">
        <v>45975</v>
      </c>
      <c r="B191" s="28">
        <v>1999.8</v>
      </c>
      <c r="C191" s="28">
        <v>2031.75</v>
      </c>
      <c r="D191" s="28">
        <v>1986.92</v>
      </c>
      <c r="E191" s="28">
        <v>2019.12</v>
      </c>
    </row>
    <row r="192" spans="1:5">
      <c r="A192" s="27">
        <v>45978</v>
      </c>
      <c r="B192" s="28">
        <v>2024.52</v>
      </c>
      <c r="C192" s="28">
        <v>2027.94</v>
      </c>
      <c r="D192" s="28">
        <v>2023.31</v>
      </c>
      <c r="E192" s="28">
        <v>2026.33</v>
      </c>
    </row>
    <row r="193" spans="1:5">
      <c r="A193" s="27">
        <v>45979</v>
      </c>
      <c r="B193" s="28">
        <v>2032.25</v>
      </c>
      <c r="C193" s="28">
        <v>2032.49</v>
      </c>
      <c r="D193" s="28">
        <v>1995.26</v>
      </c>
      <c r="E193" s="28">
        <v>1997.55</v>
      </c>
    </row>
    <row r="194" spans="1:5">
      <c r="A194" s="27">
        <v>45980</v>
      </c>
      <c r="B194" s="28">
        <v>1998.02</v>
      </c>
      <c r="C194" s="28">
        <v>2010.44</v>
      </c>
      <c r="D194" s="28">
        <v>1995.05</v>
      </c>
      <c r="E194" s="28">
        <v>2005.02</v>
      </c>
    </row>
    <row r="195" spans="1:5">
      <c r="A195" s="27">
        <v>45981</v>
      </c>
      <c r="B195" s="28">
        <v>1992.19</v>
      </c>
      <c r="C195" s="28">
        <v>2008.52</v>
      </c>
      <c r="D195" s="28">
        <v>1986.81</v>
      </c>
      <c r="E195" s="28">
        <v>2005.13</v>
      </c>
    </row>
    <row r="196" spans="1:5">
      <c r="A196" s="27">
        <v>45982</v>
      </c>
      <c r="B196" s="28">
        <v>2002.94</v>
      </c>
      <c r="C196" s="28">
        <v>2032.55</v>
      </c>
      <c r="D196" s="28">
        <v>1990.25</v>
      </c>
      <c r="E196" s="28">
        <v>2031.56</v>
      </c>
    </row>
    <row r="197" spans="1:5">
      <c r="A197" s="27">
        <v>45985</v>
      </c>
      <c r="B197" s="28">
        <v>2036.04</v>
      </c>
      <c r="C197" s="28">
        <v>2049.71</v>
      </c>
      <c r="D197" s="28">
        <v>2025.77</v>
      </c>
      <c r="E197" s="28">
        <v>2026.1</v>
      </c>
    </row>
    <row r="198" spans="1:5">
      <c r="A198" s="27">
        <v>45986</v>
      </c>
      <c r="B198" s="28">
        <v>2021.78</v>
      </c>
      <c r="C198" s="28">
        <v>2052.37</v>
      </c>
      <c r="D198" s="28">
        <v>2021.16</v>
      </c>
      <c r="E198" s="28">
        <v>2050.67</v>
      </c>
    </row>
    <row r="199" spans="1:5">
      <c r="A199" s="27">
        <v>45987</v>
      </c>
      <c r="B199" s="28">
        <v>2057.63</v>
      </c>
      <c r="C199" s="28">
        <v>2077.3</v>
      </c>
      <c r="D199" s="28">
        <v>2048.27</v>
      </c>
      <c r="E199" s="28">
        <v>2053.73</v>
      </c>
    </row>
    <row r="200" spans="1:5">
      <c r="A200" s="27">
        <v>45988</v>
      </c>
      <c r="B200" s="28">
        <v>2056.8</v>
      </c>
      <c r="C200" s="28">
        <v>2065.48</v>
      </c>
      <c r="D200" s="28">
        <v>2039.3</v>
      </c>
      <c r="E200" s="28">
        <v>2043.36</v>
      </c>
    </row>
    <row r="201" spans="1:5">
      <c r="A201" s="27">
        <v>45989</v>
      </c>
      <c r="B201" s="28">
        <v>2041.66</v>
      </c>
      <c r="C201" s="28">
        <v>2059.68</v>
      </c>
      <c r="D201" s="28">
        <v>2029.01</v>
      </c>
      <c r="E201" s="28">
        <v>2055.31</v>
      </c>
    </row>
    <row r="202" spans="1:5">
      <c r="A202" s="27">
        <v>45992</v>
      </c>
      <c r="B202" s="28">
        <v>2045.81</v>
      </c>
      <c r="C202" s="28">
        <v>2076.8</v>
      </c>
      <c r="D202" s="28">
        <v>2041.26</v>
      </c>
      <c r="E202" s="28">
        <v>2071.03</v>
      </c>
    </row>
    <row r="203" spans="1:5">
      <c r="A203" s="27">
        <v>45993</v>
      </c>
      <c r="B203" s="28">
        <v>2076.37</v>
      </c>
      <c r="C203" s="28">
        <v>2077.05</v>
      </c>
      <c r="D203" s="28">
        <v>2060.7</v>
      </c>
      <c r="E203" s="28">
        <v>2063.98</v>
      </c>
    </row>
    <row r="204" spans="1:5">
      <c r="A204" s="27">
        <v>45994</v>
      </c>
      <c r="B204" s="28">
        <v>2073.79</v>
      </c>
      <c r="C204" s="28">
        <v>2075.55</v>
      </c>
      <c r="D204" s="28">
        <v>2070.76</v>
      </c>
      <c r="E204" s="28">
        <v>2075.49</v>
      </c>
    </row>
    <row r="205" spans="1:5">
      <c r="A205" s="27">
        <v>45995</v>
      </c>
      <c r="B205" s="28">
        <v>2077.16</v>
      </c>
      <c r="C205" s="28">
        <v>2111.71</v>
      </c>
      <c r="D205" s="28">
        <v>2056.47</v>
      </c>
      <c r="E205" s="28">
        <v>2100.92</v>
      </c>
    </row>
    <row r="206" spans="1:5">
      <c r="A206" s="27">
        <v>45996</v>
      </c>
      <c r="B206" s="28">
        <v>2088.45</v>
      </c>
      <c r="C206" s="28">
        <v>2146.66</v>
      </c>
      <c r="D206" s="28">
        <v>2084.96</v>
      </c>
      <c r="E206" s="28">
        <v>2146.32</v>
      </c>
    </row>
    <row r="207" spans="1:5">
      <c r="A207" s="27">
        <v>45999</v>
      </c>
      <c r="B207" s="28">
        <v>2150.63</v>
      </c>
      <c r="C207" s="28">
        <v>2169.33</v>
      </c>
      <c r="D207" s="28">
        <v>2141.57</v>
      </c>
      <c r="E207" s="28">
        <v>2166.97</v>
      </c>
    </row>
    <row r="208" spans="1:5">
      <c r="A208" s="27">
        <v>46000</v>
      </c>
      <c r="B208" s="28">
        <v>2173.7</v>
      </c>
      <c r="C208" s="28">
        <v>2183.17</v>
      </c>
      <c r="D208" s="28">
        <v>2161.04</v>
      </c>
      <c r="E208" s="28">
        <v>2169.96</v>
      </c>
    </row>
    <row r="209" spans="1:5">
      <c r="A209" s="27">
        <v>46001</v>
      </c>
      <c r="B209" s="28">
        <v>2157.38</v>
      </c>
      <c r="C209" s="28">
        <v>2172.58</v>
      </c>
      <c r="D209" s="28">
        <v>2153.62</v>
      </c>
      <c r="E209" s="28">
        <v>2170.32</v>
      </c>
    </row>
    <row r="210" spans="1:5">
      <c r="A210" s="27">
        <v>46002</v>
      </c>
      <c r="B210" s="28">
        <v>2165.76</v>
      </c>
      <c r="C210" s="28">
        <v>2188.2</v>
      </c>
      <c r="D210" s="28">
        <v>2162.34</v>
      </c>
      <c r="E210" s="28">
        <v>2180.51</v>
      </c>
    </row>
    <row r="211" spans="1:5">
      <c r="A211" s="27">
        <v>46003</v>
      </c>
      <c r="B211" s="28">
        <v>2176.16</v>
      </c>
      <c r="C211" s="28">
        <v>2180.45</v>
      </c>
      <c r="D211" s="28">
        <v>2169.63</v>
      </c>
      <c r="E211" s="28">
        <v>2180.34</v>
      </c>
    </row>
    <row r="212" spans="1:5">
      <c r="A212" s="27">
        <v>46006</v>
      </c>
      <c r="B212" s="28">
        <v>2191.52</v>
      </c>
      <c r="C212" s="28">
        <v>2212.82</v>
      </c>
      <c r="D212" s="28">
        <v>2187.84</v>
      </c>
      <c r="E212" s="28">
        <v>2205.91</v>
      </c>
    </row>
    <row r="213" spans="1:5">
      <c r="A213" s="27">
        <v>46007</v>
      </c>
      <c r="B213" s="28">
        <v>2218.52</v>
      </c>
      <c r="C213" s="28">
        <v>2224.95</v>
      </c>
      <c r="D213" s="28">
        <v>2155.06</v>
      </c>
      <c r="E213" s="28">
        <v>2155.35</v>
      </c>
    </row>
    <row r="214" spans="1:5">
      <c r="A214" s="27">
        <v>46008</v>
      </c>
      <c r="B214" s="28">
        <v>2146.58</v>
      </c>
      <c r="C214" s="28">
        <v>2170.97</v>
      </c>
      <c r="D214" s="28">
        <v>2146.36</v>
      </c>
      <c r="E214" s="28">
        <v>2166.94</v>
      </c>
    </row>
    <row r="215" spans="1:5">
      <c r="A215" s="27">
        <v>46009</v>
      </c>
      <c r="B215" s="28">
        <v>2168.84</v>
      </c>
      <c r="C215" s="28">
        <v>2179.21</v>
      </c>
      <c r="D215" s="28">
        <v>2114.61</v>
      </c>
      <c r="E215" s="28">
        <v>2130.53</v>
      </c>
    </row>
    <row r="216" spans="1:5">
      <c r="A216" s="27">
        <v>46010</v>
      </c>
      <c r="B216" s="28">
        <v>2131.87</v>
      </c>
      <c r="C216" s="28">
        <v>2151.87</v>
      </c>
      <c r="D216" s="28">
        <v>2128.1</v>
      </c>
      <c r="E216" s="28">
        <v>2147.79</v>
      </c>
    </row>
    <row r="217" spans="1:5">
      <c r="A217" s="27">
        <v>46013</v>
      </c>
      <c r="B217" s="28">
        <v>2146.35</v>
      </c>
      <c r="C217" s="28">
        <v>2183.03</v>
      </c>
      <c r="D217" s="28">
        <v>2142.83</v>
      </c>
      <c r="E217" s="28">
        <v>2175.43</v>
      </c>
    </row>
    <row r="218" spans="1:5">
      <c r="A218" s="27">
        <v>46014</v>
      </c>
      <c r="B218" s="28">
        <v>2170.13</v>
      </c>
      <c r="C218" s="28">
        <v>2192.35</v>
      </c>
      <c r="D218" s="28">
        <v>2155.1</v>
      </c>
      <c r="E218" s="28">
        <v>2191.4</v>
      </c>
    </row>
    <row r="219" spans="1:5">
      <c r="A219" s="27">
        <v>46015</v>
      </c>
      <c r="B219" s="28">
        <v>2190.36</v>
      </c>
      <c r="C219" s="28">
        <v>2211.66</v>
      </c>
      <c r="D219" s="28">
        <v>2183.44</v>
      </c>
      <c r="E219" s="28">
        <v>2201.58</v>
      </c>
    </row>
    <row r="220" spans="1:5">
      <c r="A220" s="27">
        <v>46016</v>
      </c>
      <c r="B220" s="28">
        <v>2207.79</v>
      </c>
      <c r="C220" s="28">
        <v>2211.56</v>
      </c>
      <c r="D220" s="28">
        <v>2201.89</v>
      </c>
      <c r="E220" s="28">
        <v>2206.52</v>
      </c>
    </row>
    <row r="221" spans="1:5">
      <c r="A221" s="27">
        <v>46017</v>
      </c>
      <c r="B221" s="28">
        <v>2215.48</v>
      </c>
      <c r="C221" s="28">
        <v>2218.95</v>
      </c>
      <c r="D221" s="28">
        <v>2201.67</v>
      </c>
      <c r="E221" s="28">
        <v>2206.52</v>
      </c>
    </row>
    <row r="222" spans="1:5">
      <c r="A222" s="27">
        <v>46020</v>
      </c>
      <c r="B222" s="28">
        <v>2206.95</v>
      </c>
      <c r="C222" s="28">
        <v>2228.59</v>
      </c>
      <c r="D222" s="28">
        <v>2201.86</v>
      </c>
      <c r="E222" s="28">
        <v>2226.11</v>
      </c>
    </row>
    <row r="223" spans="1:5">
      <c r="A223" s="27">
        <v>46021</v>
      </c>
      <c r="B223" s="28">
        <v>2230.28</v>
      </c>
      <c r="C223" s="28">
        <v>2233.43</v>
      </c>
      <c r="D223" s="28">
        <v>2210.82</v>
      </c>
      <c r="E223" s="28">
        <v>2221.57</v>
      </c>
    </row>
    <row r="224" spans="1:5">
      <c r="A224" s="27">
        <v>46022</v>
      </c>
      <c r="B224" s="28">
        <v>2222.77</v>
      </c>
      <c r="C224" s="28">
        <v>2240.41</v>
      </c>
      <c r="D224" s="28">
        <v>2215.89</v>
      </c>
      <c r="E224" s="28">
        <v>2231.48</v>
      </c>
    </row>
    <row r="225" spans="1:5">
      <c r="A225" s="27">
        <v>46023</v>
      </c>
      <c r="B225" s="28">
        <v>2229.24</v>
      </c>
      <c r="C225" s="28">
        <v>2236.33</v>
      </c>
      <c r="D225" s="28">
        <v>2214.67</v>
      </c>
      <c r="E225" s="28">
        <v>2226.43</v>
      </c>
    </row>
    <row r="226" spans="1:5">
      <c r="A226" s="27">
        <v>46024</v>
      </c>
      <c r="B226" s="28">
        <v>2229.36</v>
      </c>
      <c r="C226" s="28">
        <v>2237.18</v>
      </c>
      <c r="D226" s="28">
        <v>2192.32</v>
      </c>
      <c r="E226" s="28">
        <v>2212.8</v>
      </c>
    </row>
    <row r="227" spans="1:5">
      <c r="A227" s="27">
        <v>46027</v>
      </c>
      <c r="B227" s="28">
        <v>2220.75</v>
      </c>
      <c r="C227" s="28">
        <v>2226.5</v>
      </c>
      <c r="D227" s="28">
        <v>2196.18</v>
      </c>
      <c r="E227" s="28">
        <v>2203.33</v>
      </c>
    </row>
    <row r="228" spans="1:5">
      <c r="A228" s="27">
        <v>46028</v>
      </c>
      <c r="B228" s="28">
        <v>2186.6</v>
      </c>
      <c r="C228" s="28">
        <v>2255.08</v>
      </c>
      <c r="D228" s="28">
        <v>2182.22</v>
      </c>
      <c r="E228" s="28">
        <v>2251.17</v>
      </c>
    </row>
    <row r="229" spans="1:5">
      <c r="A229" s="27">
        <v>46029</v>
      </c>
      <c r="B229" s="28">
        <v>2246.66</v>
      </c>
      <c r="C229" s="28">
        <v>2269.45</v>
      </c>
      <c r="D229" s="28">
        <v>2245.94</v>
      </c>
      <c r="E229" s="28">
        <v>2250.08</v>
      </c>
    </row>
    <row r="230" spans="1:5">
      <c r="A230" s="27">
        <v>46030</v>
      </c>
      <c r="B230" s="28">
        <v>2255.85</v>
      </c>
      <c r="C230" s="28">
        <v>2271.39</v>
      </c>
      <c r="D230" s="28">
        <v>2205.89</v>
      </c>
      <c r="E230" s="28">
        <v>2216.09</v>
      </c>
    </row>
    <row r="231" spans="1:5">
      <c r="A231" s="27">
        <v>46031</v>
      </c>
      <c r="B231" s="28">
        <v>2217.05</v>
      </c>
      <c r="C231" s="28">
        <v>2228.23</v>
      </c>
      <c r="D231" s="28">
        <v>2203.8</v>
      </c>
      <c r="E231" s="28">
        <v>2204.84</v>
      </c>
    </row>
    <row r="232" spans="1:5">
      <c r="A232" s="27">
        <v>46034</v>
      </c>
      <c r="B232" s="28">
        <v>2193.65</v>
      </c>
      <c r="C232" s="28">
        <v>2204.03</v>
      </c>
      <c r="D232" s="28">
        <v>2170.32</v>
      </c>
      <c r="E232" s="28">
        <v>2176.77</v>
      </c>
    </row>
    <row r="233" spans="1:5">
      <c r="A233" s="27">
        <v>46035</v>
      </c>
      <c r="B233" s="28">
        <v>2182.39</v>
      </c>
      <c r="C233" s="28">
        <v>2186.72</v>
      </c>
      <c r="D233" s="28">
        <v>2155.23</v>
      </c>
      <c r="E233" s="28">
        <v>2160.83</v>
      </c>
    </row>
    <row r="234" spans="1:5">
      <c r="A234" s="27">
        <v>46036</v>
      </c>
      <c r="B234" s="28">
        <v>2158.87</v>
      </c>
      <c r="C234" s="28">
        <v>2166.64</v>
      </c>
      <c r="D234" s="28">
        <v>2109.59</v>
      </c>
      <c r="E234" s="28">
        <v>2115.8</v>
      </c>
    </row>
    <row r="235" spans="1:5">
      <c r="A235" s="27">
        <v>46037</v>
      </c>
      <c r="B235" s="28">
        <v>2100.26</v>
      </c>
      <c r="C235" s="28">
        <v>2135.88</v>
      </c>
      <c r="D235" s="28">
        <v>2096.12</v>
      </c>
      <c r="E235" s="28">
        <v>2134.44</v>
      </c>
    </row>
    <row r="236" spans="1:5">
      <c r="A236" s="27">
        <v>46038</v>
      </c>
      <c r="B236" s="28">
        <v>2128.34</v>
      </c>
      <c r="C236" s="28">
        <v>2190.57</v>
      </c>
      <c r="D236" s="28">
        <v>2128.04</v>
      </c>
      <c r="E236" s="28">
        <v>2187.69</v>
      </c>
    </row>
    <row r="237" spans="1:5">
      <c r="A237" s="27">
        <v>46041</v>
      </c>
      <c r="B237" s="28">
        <v>2184.79</v>
      </c>
      <c r="C237" s="28">
        <v>2217.2</v>
      </c>
      <c r="D237" s="28">
        <v>2177.9</v>
      </c>
      <c r="E237" s="28">
        <v>2207.07</v>
      </c>
    </row>
    <row r="238" spans="1:5">
      <c r="A238" s="27">
        <v>46042</v>
      </c>
      <c r="B238" s="28">
        <v>2203.58</v>
      </c>
      <c r="C238" s="28">
        <v>2214.96</v>
      </c>
      <c r="D238" s="28">
        <v>2197.49</v>
      </c>
      <c r="E238" s="28">
        <v>2213.56</v>
      </c>
    </row>
    <row r="239" spans="1:5">
      <c r="A239" s="27">
        <v>46043</v>
      </c>
      <c r="B239" s="28">
        <v>2220.83</v>
      </c>
      <c r="C239" s="28">
        <v>2223.52</v>
      </c>
      <c r="D239" s="28">
        <v>2176.22</v>
      </c>
      <c r="E239" s="28">
        <v>2181.09</v>
      </c>
    </row>
    <row r="240" spans="1:5">
      <c r="A240" s="27">
        <v>46044</v>
      </c>
      <c r="B240" s="28">
        <v>2187.58</v>
      </c>
      <c r="C240" s="28">
        <v>2196.14</v>
      </c>
      <c r="D240" s="28">
        <v>2185.17</v>
      </c>
      <c r="E240" s="28">
        <v>2186.14</v>
      </c>
    </row>
    <row r="241" spans="1:5">
      <c r="A241" s="27">
        <v>46045</v>
      </c>
      <c r="B241" s="28">
        <v>2189.59</v>
      </c>
      <c r="C241" s="28">
        <v>2201.19</v>
      </c>
      <c r="D241" s="28">
        <v>2171.14</v>
      </c>
      <c r="E241" s="28">
        <v>2198.24</v>
      </c>
    </row>
    <row r="242" spans="1:5">
      <c r="A242" s="27">
        <v>46048</v>
      </c>
      <c r="B242" s="28">
        <v>2200.41</v>
      </c>
      <c r="C242" s="28">
        <v>2225.36</v>
      </c>
      <c r="D242" s="28">
        <v>2197.96</v>
      </c>
      <c r="E242" s="28">
        <v>2225.24</v>
      </c>
    </row>
    <row r="243" spans="1:5">
      <c r="A243" s="27">
        <v>46049</v>
      </c>
      <c r="B243" s="28">
        <v>2222.4</v>
      </c>
      <c r="C243" s="28">
        <v>2240.86</v>
      </c>
      <c r="D243" s="28">
        <v>2215.83</v>
      </c>
      <c r="E243" s="28">
        <v>2231.71</v>
      </c>
    </row>
    <row r="244" spans="1:5">
      <c r="A244" s="27">
        <v>46050</v>
      </c>
      <c r="B244" s="28">
        <v>2227.61</v>
      </c>
      <c r="C244" s="28">
        <v>2237.94</v>
      </c>
      <c r="D244" s="28">
        <v>2214.33</v>
      </c>
      <c r="E244" s="28">
        <v>2219.98</v>
      </c>
    </row>
    <row r="245" spans="1:5">
      <c r="A245" s="27">
        <v>46051</v>
      </c>
      <c r="B245" s="28">
        <v>2224.38</v>
      </c>
      <c r="C245" s="28">
        <v>2233.4</v>
      </c>
      <c r="D245" s="28">
        <v>2190.31</v>
      </c>
      <c r="E245" s="28">
        <v>2193.4</v>
      </c>
    </row>
    <row r="246" spans="1:5">
      <c r="A246" s="27">
        <v>46052</v>
      </c>
      <c r="B246" s="28">
        <v>2194.74</v>
      </c>
      <c r="C246" s="28">
        <v>2229.61</v>
      </c>
      <c r="D246" s="28">
        <v>2194.32</v>
      </c>
      <c r="E246" s="28">
        <v>2223.11</v>
      </c>
    </row>
    <row r="247" spans="1:5">
      <c r="A247" s="27">
        <v>46055</v>
      </c>
      <c r="B247" s="28">
        <v>2211.58</v>
      </c>
      <c r="C247" s="28">
        <v>2232.55</v>
      </c>
      <c r="D247" s="28">
        <v>2210.14</v>
      </c>
      <c r="E247" s="28">
        <v>2227.13</v>
      </c>
    </row>
    <row r="248" spans="1:5">
      <c r="A248" s="27">
        <v>46056</v>
      </c>
      <c r="B248" s="28">
        <v>2227.67</v>
      </c>
      <c r="C248" s="28">
        <v>2234.21</v>
      </c>
      <c r="D248" s="28">
        <v>2211.31</v>
      </c>
      <c r="E248" s="28">
        <v>2218.12</v>
      </c>
    </row>
    <row r="249" spans="1:5">
      <c r="A249" s="27">
        <v>46057</v>
      </c>
      <c r="B249" s="28">
        <v>2222.03</v>
      </c>
      <c r="C249" s="28">
        <v>2240.76</v>
      </c>
      <c r="D249" s="28">
        <v>2221.87</v>
      </c>
      <c r="E249" s="28">
        <v>2238.18</v>
      </c>
    </row>
    <row r="250" spans="1:5">
      <c r="A250" s="27">
        <v>46058</v>
      </c>
      <c r="B250" s="28">
        <v>2236.08</v>
      </c>
      <c r="C250" s="28">
        <v>2237.68</v>
      </c>
      <c r="D250" s="28">
        <v>2217.91</v>
      </c>
      <c r="E250" s="28">
        <v>2233.31</v>
      </c>
    </row>
    <row r="251" spans="1:5">
      <c r="A251" s="27">
        <v>46059</v>
      </c>
      <c r="B251" s="28">
        <v>2233.15</v>
      </c>
      <c r="C251" s="28">
        <v>2241.85</v>
      </c>
      <c r="D251" s="28">
        <v>2226.93</v>
      </c>
      <c r="E251" s="28">
        <v>2227.15</v>
      </c>
    </row>
    <row r="252" spans="1:5">
      <c r="A252" s="27">
        <v>46062</v>
      </c>
      <c r="B252" s="28">
        <v>2226.05</v>
      </c>
      <c r="C252" s="28">
        <v>2257.57</v>
      </c>
      <c r="D252" s="28">
        <v>2202.84</v>
      </c>
      <c r="E252" s="28">
        <v>2238.98</v>
      </c>
    </row>
    <row r="253" spans="1:5">
      <c r="A253" s="27">
        <v>46063</v>
      </c>
      <c r="B253" s="28">
        <v>2226.75</v>
      </c>
      <c r="C253" s="28">
        <v>2244.25</v>
      </c>
      <c r="D253" s="28">
        <v>2203.11</v>
      </c>
      <c r="E253" s="28">
        <v>2235.48</v>
      </c>
    </row>
    <row r="254" spans="1:5">
      <c r="A254" s="27">
        <v>46064</v>
      </c>
      <c r="B254" s="28">
        <v>2236.34</v>
      </c>
      <c r="C254" s="28">
        <v>2240.99</v>
      </c>
      <c r="D254" s="28">
        <v>2181.21</v>
      </c>
      <c r="E254" s="28">
        <v>2183.85</v>
      </c>
    </row>
    <row r="255" spans="1:5">
      <c r="A255" s="27">
        <v>46065</v>
      </c>
      <c r="B255" s="28">
        <v>2169.2</v>
      </c>
      <c r="C255" s="28">
        <v>2203.69</v>
      </c>
      <c r="D255" s="28">
        <v>2165.98</v>
      </c>
      <c r="E255" s="28">
        <v>2196.2</v>
      </c>
    </row>
    <row r="256" spans="1:5">
      <c r="A256" s="27">
        <v>46066</v>
      </c>
      <c r="B256" s="28">
        <v>2192.33</v>
      </c>
      <c r="C256" s="28">
        <v>2203.17</v>
      </c>
      <c r="D256" s="28">
        <v>2188.08</v>
      </c>
      <c r="E256" s="28">
        <v>2197.56</v>
      </c>
    </row>
    <row r="257" spans="1:5">
      <c r="A257" s="27">
        <v>46069</v>
      </c>
      <c r="B257" s="28">
        <v>2194.2</v>
      </c>
      <c r="C257" s="28">
        <v>2222.9</v>
      </c>
      <c r="D257" s="28">
        <v>2193.92</v>
      </c>
      <c r="E257" s="28">
        <v>2203.1</v>
      </c>
    </row>
    <row r="258" spans="1:5">
      <c r="A258" s="27">
        <v>46070</v>
      </c>
      <c r="B258" s="28">
        <v>2208.09</v>
      </c>
      <c r="C258" s="28">
        <v>2215.96</v>
      </c>
      <c r="D258" s="28">
        <v>2207.8</v>
      </c>
      <c r="E258" s="28">
        <v>2208.22</v>
      </c>
    </row>
    <row r="259" spans="1:5">
      <c r="A259" s="27">
        <v>46071</v>
      </c>
      <c r="B259" s="28">
        <v>2209.18</v>
      </c>
      <c r="C259" s="28">
        <v>2233.14</v>
      </c>
      <c r="D259" s="28">
        <v>2191.58</v>
      </c>
      <c r="E259" s="28">
        <v>2222.09</v>
      </c>
    </row>
    <row r="260" spans="1:5">
      <c r="A260" s="27">
        <v>46072</v>
      </c>
      <c r="B260" s="28">
        <v>2209.32</v>
      </c>
      <c r="C260" s="28">
        <v>2216.9</v>
      </c>
      <c r="D260" s="28">
        <v>2190.39</v>
      </c>
      <c r="E260" s="28">
        <v>2203.88</v>
      </c>
    </row>
    <row r="261" spans="1:5">
      <c r="A261" s="27">
        <v>46073</v>
      </c>
      <c r="B261" s="28">
        <v>2209.26</v>
      </c>
      <c r="C261" s="28">
        <v>2229.66</v>
      </c>
      <c r="D261" s="28">
        <v>2202.96</v>
      </c>
      <c r="E261" s="28">
        <v>2224.16</v>
      </c>
    </row>
    <row r="262" spans="1:5">
      <c r="A262" s="27">
        <v>46076</v>
      </c>
      <c r="B262" s="28">
        <v>2218.09</v>
      </c>
      <c r="C262" s="28">
        <v>2260.18</v>
      </c>
      <c r="D262" s="28">
        <v>2209.24</v>
      </c>
      <c r="E262" s="28">
        <v>2243.91</v>
      </c>
    </row>
    <row r="263" spans="1:5">
      <c r="A263" s="27">
        <v>46077</v>
      </c>
      <c r="B263" s="28">
        <v>2256.89</v>
      </c>
      <c r="C263" s="28">
        <v>2304.9</v>
      </c>
      <c r="D263" s="28">
        <v>2250.31</v>
      </c>
      <c r="E263" s="28">
        <v>2298.59</v>
      </c>
    </row>
    <row r="264" spans="1:5">
      <c r="A264" s="27">
        <v>46078</v>
      </c>
      <c r="B264" s="28">
        <v>2293.43</v>
      </c>
      <c r="C264" s="28">
        <v>2316.65</v>
      </c>
      <c r="D264" s="28">
        <v>2292.71</v>
      </c>
      <c r="E264" s="28">
        <v>2304.57</v>
      </c>
    </row>
    <row r="265" spans="1:5">
      <c r="A265" s="27">
        <v>46079</v>
      </c>
      <c r="B265" s="28">
        <v>2313.64</v>
      </c>
      <c r="C265" s="28">
        <v>2319.03</v>
      </c>
      <c r="D265" s="28">
        <v>2279.8</v>
      </c>
      <c r="E265" s="28">
        <v>2281.82</v>
      </c>
    </row>
    <row r="266" spans="1:5">
      <c r="A266" s="27">
        <v>46080</v>
      </c>
      <c r="B266" s="28">
        <v>2279.67</v>
      </c>
      <c r="C266" s="28">
        <v>2285.43</v>
      </c>
      <c r="D266" s="28">
        <v>2273.36</v>
      </c>
      <c r="E266" s="28">
        <v>2282.46</v>
      </c>
    </row>
    <row r="267" spans="1:5">
      <c r="A267" s="27">
        <v>46083</v>
      </c>
      <c r="B267" s="28">
        <v>2267.39</v>
      </c>
      <c r="C267" s="28">
        <v>2278.88</v>
      </c>
      <c r="D267" s="28">
        <v>2236.9</v>
      </c>
      <c r="E267" s="28">
        <v>2243.71</v>
      </c>
    </row>
    <row r="268" spans="1:5">
      <c r="A268" s="27">
        <v>46084</v>
      </c>
      <c r="B268" s="28">
        <v>2244.08</v>
      </c>
      <c r="C268" s="28">
        <v>2249.11</v>
      </c>
      <c r="D268" s="28">
        <v>2243.01</v>
      </c>
      <c r="E268" s="28">
        <v>2244.12</v>
      </c>
    </row>
    <row r="269" spans="1:5">
      <c r="A269" s="27">
        <v>46085</v>
      </c>
      <c r="B269" s="28">
        <v>2239.35</v>
      </c>
      <c r="C269" s="28">
        <v>2258.33</v>
      </c>
      <c r="D269" s="28">
        <v>2226.65</v>
      </c>
      <c r="E269" s="28">
        <v>2228.16</v>
      </c>
    </row>
    <row r="270" spans="1:5">
      <c r="A270" s="27">
        <v>46086</v>
      </c>
      <c r="B270" s="28">
        <v>2231.7</v>
      </c>
      <c r="C270" s="28">
        <v>2240.43</v>
      </c>
      <c r="D270" s="28">
        <v>2230.15</v>
      </c>
      <c r="E270" s="28">
        <v>2239.34</v>
      </c>
    </row>
    <row r="271" spans="1:5">
      <c r="A271" s="27">
        <v>46087</v>
      </c>
      <c r="B271" s="28">
        <v>2239.44</v>
      </c>
      <c r="C271" s="28">
        <v>2266.92</v>
      </c>
      <c r="D271" s="28">
        <v>2234.23</v>
      </c>
      <c r="E271" s="28">
        <v>2260.25</v>
      </c>
    </row>
    <row r="272" spans="1:5">
      <c r="A272" s="27">
        <v>46090</v>
      </c>
      <c r="B272" s="28">
        <v>2269.13</v>
      </c>
      <c r="C272" s="28">
        <v>2274.33</v>
      </c>
      <c r="D272" s="28">
        <v>2262.49</v>
      </c>
      <c r="E272" s="28">
        <v>2265.74</v>
      </c>
    </row>
    <row r="273" spans="1:5">
      <c r="A273" s="27">
        <v>46091</v>
      </c>
      <c r="B273" s="28">
        <v>2260.33</v>
      </c>
      <c r="C273" s="28">
        <v>2274.4</v>
      </c>
      <c r="D273" s="28">
        <v>2233.49</v>
      </c>
      <c r="E273" s="28">
        <v>2249.31</v>
      </c>
    </row>
    <row r="274" spans="1:5">
      <c r="A274" s="27">
        <v>46092</v>
      </c>
      <c r="B274" s="28">
        <v>2253.15</v>
      </c>
      <c r="C274" s="28">
        <v>2263.75</v>
      </c>
      <c r="D274" s="28">
        <v>2243.43</v>
      </c>
      <c r="E274" s="28">
        <v>2250.7</v>
      </c>
    </row>
    <row r="275" spans="1:5">
      <c r="A275" s="27">
        <v>46093</v>
      </c>
      <c r="B275" s="28">
        <v>2242.19</v>
      </c>
      <c r="C275" s="28">
        <v>2283.36</v>
      </c>
      <c r="D275" s="28">
        <v>2238.13</v>
      </c>
      <c r="E275" s="28">
        <v>2277.54</v>
      </c>
    </row>
    <row r="276" spans="1:5">
      <c r="A276" s="27">
        <v>46094</v>
      </c>
      <c r="B276" s="28">
        <v>2278.25</v>
      </c>
      <c r="C276" s="28">
        <v>2317.66</v>
      </c>
      <c r="D276" s="28">
        <v>2275.01</v>
      </c>
      <c r="E276" s="28">
        <v>2309.73</v>
      </c>
    </row>
    <row r="277" spans="1:5">
      <c r="A277" s="27">
        <v>46097</v>
      </c>
      <c r="B277" s="28">
        <v>2303.79</v>
      </c>
      <c r="C277" s="28">
        <v>2317.62</v>
      </c>
      <c r="D277" s="28">
        <v>2290.45</v>
      </c>
      <c r="E277" s="28">
        <v>2296.2</v>
      </c>
    </row>
    <row r="278" spans="1:5">
      <c r="A278" s="27">
        <v>46098</v>
      </c>
      <c r="B278" s="28">
        <v>2311.14</v>
      </c>
      <c r="C278" s="28">
        <v>2322.09</v>
      </c>
      <c r="D278" s="28">
        <v>2294.47</v>
      </c>
      <c r="E278" s="28">
        <v>2297.56</v>
      </c>
    </row>
    <row r="279" spans="1:5">
      <c r="A279" s="27">
        <v>46099</v>
      </c>
      <c r="B279" s="28">
        <v>2300.39</v>
      </c>
      <c r="C279" s="28">
        <v>2315.31</v>
      </c>
      <c r="D279" s="28">
        <v>2279.46</v>
      </c>
      <c r="E279" s="28">
        <v>2285.16</v>
      </c>
    </row>
    <row r="280" spans="1:5">
      <c r="A280" s="27">
        <v>46100</v>
      </c>
      <c r="B280" s="28">
        <v>2285.83</v>
      </c>
      <c r="C280" s="28">
        <v>2318.41</v>
      </c>
      <c r="D280" s="28">
        <v>2283.99</v>
      </c>
      <c r="E280" s="28">
        <v>2313.64</v>
      </c>
    </row>
    <row r="281" spans="1:5">
      <c r="A281" s="27">
        <v>46101</v>
      </c>
      <c r="B281" s="28">
        <v>2322.68</v>
      </c>
      <c r="C281" s="28">
        <v>2337.27</v>
      </c>
      <c r="D281" s="28">
        <v>2322.1</v>
      </c>
      <c r="E281" s="28">
        <v>2323.97</v>
      </c>
    </row>
    <row r="282" spans="1:5">
      <c r="A282" s="27">
        <v>46104</v>
      </c>
      <c r="B282" s="28">
        <v>2319.99</v>
      </c>
      <c r="C282" s="28">
        <v>2333.08</v>
      </c>
      <c r="D282" s="28">
        <v>2312.69</v>
      </c>
      <c r="E282" s="28">
        <v>2330.21</v>
      </c>
    </row>
    <row r="283" spans="1:5">
      <c r="A283" s="27">
        <v>46105</v>
      </c>
      <c r="B283" s="28">
        <v>2334.61</v>
      </c>
      <c r="C283" s="28">
        <v>2378.99</v>
      </c>
      <c r="D283" s="28">
        <v>2320.13</v>
      </c>
      <c r="E283" s="28">
        <v>2375.89</v>
      </c>
    </row>
    <row r="284" spans="1:5">
      <c r="A284" s="27">
        <v>46106</v>
      </c>
      <c r="B284" s="28">
        <v>2376.44</v>
      </c>
      <c r="C284" s="28">
        <v>2421.1</v>
      </c>
      <c r="D284" s="28">
        <v>2365.81</v>
      </c>
      <c r="E284" s="28">
        <v>2420.77</v>
      </c>
    </row>
    <row r="285" spans="1:5">
      <c r="A285" s="27">
        <v>46107</v>
      </c>
      <c r="B285" s="28">
        <v>2412.82</v>
      </c>
      <c r="C285" s="28">
        <v>2421.12</v>
      </c>
      <c r="D285" s="28">
        <v>2408.32</v>
      </c>
      <c r="E285" s="28">
        <v>2420.43</v>
      </c>
    </row>
    <row r="286" spans="1:5">
      <c r="A286" s="27">
        <v>46108</v>
      </c>
      <c r="B286" s="28">
        <v>2422.46</v>
      </c>
      <c r="C286" s="28">
        <v>2430.72</v>
      </c>
      <c r="D286" s="28">
        <v>2408.27</v>
      </c>
      <c r="E286" s="28">
        <v>2422.12</v>
      </c>
    </row>
    <row r="287" spans="1:5">
      <c r="A287" s="27">
        <v>46111</v>
      </c>
      <c r="B287" s="28">
        <v>2408.94</v>
      </c>
      <c r="C287" s="28">
        <v>2410.75</v>
      </c>
      <c r="D287" s="28">
        <v>2400.74</v>
      </c>
      <c r="E287" s="28">
        <v>2408.1</v>
      </c>
    </row>
    <row r="288" spans="1:5">
      <c r="A288" s="27">
        <v>46112</v>
      </c>
      <c r="B288" s="28">
        <v>2405.53</v>
      </c>
      <c r="C288" s="28">
        <v>2408.34</v>
      </c>
      <c r="D288" s="28">
        <v>2374.78</v>
      </c>
      <c r="E288" s="28">
        <v>2386.06</v>
      </c>
    </row>
    <row r="289" spans="1:5">
      <c r="A289" s="27">
        <v>46113</v>
      </c>
      <c r="B289" s="28">
        <v>2396.3</v>
      </c>
      <c r="C289" s="28">
        <v>2402.84</v>
      </c>
      <c r="D289" s="28">
        <v>2382.45</v>
      </c>
      <c r="E289" s="28">
        <v>2383.9</v>
      </c>
    </row>
    <row r="290" spans="1:5">
      <c r="A290" s="27">
        <v>46114</v>
      </c>
      <c r="B290" s="28">
        <v>2383.04</v>
      </c>
      <c r="C290" s="28">
        <v>2388.2</v>
      </c>
      <c r="D290" s="28">
        <v>2376.06</v>
      </c>
      <c r="E290" s="28">
        <v>2387.75</v>
      </c>
    </row>
    <row r="291" spans="1:5">
      <c r="A291" s="27">
        <v>46115</v>
      </c>
      <c r="B291" s="28">
        <v>2370.59</v>
      </c>
      <c r="C291" s="28">
        <v>2386.81</v>
      </c>
      <c r="D291" s="28">
        <v>2362.15</v>
      </c>
      <c r="E291" s="28">
        <v>2386.6</v>
      </c>
    </row>
    <row r="292" spans="1:5">
      <c r="A292" s="27">
        <v>46118</v>
      </c>
      <c r="B292" s="28">
        <v>2382.24</v>
      </c>
      <c r="C292" s="28">
        <v>2403.8</v>
      </c>
      <c r="D292" s="28">
        <v>2361.49</v>
      </c>
      <c r="E292" s="28">
        <v>2402.38</v>
      </c>
    </row>
    <row r="293" spans="1:5">
      <c r="A293" s="27">
        <v>46119</v>
      </c>
      <c r="B293" s="28">
        <v>2394.29</v>
      </c>
      <c r="C293" s="28">
        <v>2407.8</v>
      </c>
      <c r="D293" s="28">
        <v>2356.76</v>
      </c>
      <c r="E293" s="28">
        <v>2379.55</v>
      </c>
    </row>
    <row r="294" spans="1:5">
      <c r="A294" s="27">
        <v>46120</v>
      </c>
      <c r="B294" s="28">
        <v>2382.16</v>
      </c>
      <c r="C294" s="28">
        <v>2388.24</v>
      </c>
      <c r="D294" s="28">
        <v>2320.93</v>
      </c>
      <c r="E294" s="28">
        <v>2338.4</v>
      </c>
    </row>
    <row r="295" spans="1:5">
      <c r="A295" s="27">
        <v>46121</v>
      </c>
      <c r="B295" s="28">
        <v>2342.74</v>
      </c>
      <c r="C295" s="28">
        <v>2350</v>
      </c>
      <c r="D295" s="28">
        <v>2303.23</v>
      </c>
      <c r="E295" s="28">
        <v>2306.62</v>
      </c>
    </row>
    <row r="296" spans="1:5">
      <c r="A296" s="27">
        <v>46122</v>
      </c>
      <c r="B296" s="28">
        <v>2316.02</v>
      </c>
      <c r="C296" s="28">
        <v>2334.01</v>
      </c>
      <c r="D296" s="28">
        <v>2305.24</v>
      </c>
      <c r="E296" s="28">
        <v>2314.8</v>
      </c>
    </row>
    <row r="297" spans="1:5">
      <c r="A297" s="27">
        <v>46125</v>
      </c>
      <c r="B297" s="28">
        <v>2316.08</v>
      </c>
      <c r="C297" s="28">
        <v>2335.6</v>
      </c>
      <c r="D297" s="28">
        <v>2302.84</v>
      </c>
      <c r="E297" s="28">
        <v>2318.88</v>
      </c>
    </row>
    <row r="298" spans="1:5">
      <c r="A298" s="27">
        <v>46126</v>
      </c>
      <c r="B298" s="28">
        <v>2322.07</v>
      </c>
      <c r="C298" s="28">
        <v>2324.74</v>
      </c>
      <c r="D298" s="28">
        <v>2312.49</v>
      </c>
      <c r="E298" s="28">
        <v>2312.98</v>
      </c>
    </row>
    <row r="299" spans="1:5">
      <c r="A299" s="27">
        <v>46127</v>
      </c>
      <c r="B299" s="28">
        <v>2303.79</v>
      </c>
      <c r="C299" s="28">
        <v>2308.71</v>
      </c>
      <c r="D299" s="28">
        <v>2288.71</v>
      </c>
      <c r="E299" s="28">
        <v>2302.94</v>
      </c>
    </row>
    <row r="300" spans="1:5">
      <c r="A300" s="27">
        <v>46128</v>
      </c>
      <c r="B300" s="28">
        <v>2306.65</v>
      </c>
      <c r="C300" s="28">
        <v>2342.04</v>
      </c>
      <c r="D300" s="28">
        <v>2293.77</v>
      </c>
      <c r="E300" s="28">
        <v>2330.8</v>
      </c>
    </row>
    <row r="301" spans="1:5">
      <c r="A301" s="27">
        <v>46129</v>
      </c>
      <c r="B301" s="28">
        <v>2317.49</v>
      </c>
      <c r="C301" s="28">
        <v>2368.89</v>
      </c>
      <c r="D301" s="28">
        <v>2309.99</v>
      </c>
      <c r="E301" s="28">
        <v>2351.57</v>
      </c>
    </row>
    <row r="302" spans="1:5">
      <c r="A302" s="27">
        <v>46132</v>
      </c>
      <c r="B302" s="28">
        <v>2342.9</v>
      </c>
      <c r="C302" s="28">
        <v>2404.19</v>
      </c>
      <c r="D302" s="28">
        <v>2338.94</v>
      </c>
      <c r="E302" s="28">
        <v>2399.1</v>
      </c>
    </row>
    <row r="303" spans="1:5">
      <c r="A303" s="27">
        <v>46133</v>
      </c>
      <c r="B303" s="28">
        <v>2400.33</v>
      </c>
      <c r="C303" s="28">
        <v>2414.8</v>
      </c>
      <c r="D303" s="28">
        <v>2385.98</v>
      </c>
      <c r="E303" s="28">
        <v>2404.66</v>
      </c>
    </row>
    <row r="304" spans="1:5">
      <c r="A304" s="27">
        <v>46134</v>
      </c>
      <c r="B304" s="28">
        <v>2394.63</v>
      </c>
      <c r="C304" s="28">
        <v>2399.97</v>
      </c>
      <c r="D304" s="28">
        <v>2371.65</v>
      </c>
      <c r="E304" s="28">
        <v>2377.41</v>
      </c>
    </row>
    <row r="305" spans="1:5">
      <c r="A305" s="27">
        <v>46135</v>
      </c>
      <c r="B305" s="28">
        <v>2379.31</v>
      </c>
      <c r="C305" s="28">
        <v>2386.97</v>
      </c>
      <c r="D305" s="28">
        <v>2372.87</v>
      </c>
      <c r="E305" s="28">
        <v>2386.67</v>
      </c>
    </row>
    <row r="306" spans="1:5">
      <c r="A306" s="27">
        <v>46136</v>
      </c>
      <c r="B306" s="28">
        <v>2393.5</v>
      </c>
      <c r="C306" s="28">
        <v>2400.81</v>
      </c>
      <c r="D306" s="28">
        <v>2376.67</v>
      </c>
      <c r="E306" s="28">
        <v>2377.63</v>
      </c>
    </row>
    <row r="307" spans="1:5">
      <c r="A307" s="27">
        <v>46139</v>
      </c>
      <c r="B307" s="28">
        <v>2388.73</v>
      </c>
      <c r="C307" s="28">
        <v>2394.41</v>
      </c>
      <c r="D307" s="28">
        <v>2365.15</v>
      </c>
      <c r="E307" s="28">
        <v>2371.3</v>
      </c>
    </row>
    <row r="308" spans="1:5">
      <c r="A308" s="27">
        <v>46140</v>
      </c>
      <c r="B308" s="28">
        <v>2369.41</v>
      </c>
      <c r="C308" s="28">
        <v>2406.31</v>
      </c>
      <c r="D308" s="28">
        <v>2358.84</v>
      </c>
      <c r="E308" s="28">
        <v>2398.39</v>
      </c>
    </row>
    <row r="309" spans="1:5">
      <c r="A309" s="27">
        <v>46141</v>
      </c>
      <c r="B309" s="28">
        <v>2399.83</v>
      </c>
      <c r="C309" s="28">
        <v>2437.92</v>
      </c>
      <c r="D309" s="28">
        <v>2393.4</v>
      </c>
      <c r="E309" s="28">
        <v>2422.54</v>
      </c>
    </row>
    <row r="310" spans="1:5">
      <c r="A310" s="27">
        <v>46142</v>
      </c>
      <c r="B310" s="28">
        <v>2431.87</v>
      </c>
      <c r="C310" s="28">
        <v>2438.48</v>
      </c>
      <c r="D310" s="28">
        <v>2401.47</v>
      </c>
      <c r="E310" s="28">
        <v>2403.05</v>
      </c>
    </row>
    <row r="311" spans="1:5">
      <c r="A311" s="27">
        <v>46143</v>
      </c>
      <c r="B311" s="28">
        <v>2400.66</v>
      </c>
      <c r="C311" s="28">
        <v>2412.99</v>
      </c>
      <c r="D311" s="28">
        <v>2395.35</v>
      </c>
      <c r="E311" s="28">
        <v>2410.49</v>
      </c>
    </row>
    <row r="312" spans="1:5">
      <c r="A312" s="27">
        <v>46146</v>
      </c>
      <c r="B312" s="28">
        <v>2410.53</v>
      </c>
      <c r="C312" s="28">
        <v>2428.94</v>
      </c>
      <c r="D312" s="28">
        <v>2383.99</v>
      </c>
      <c r="E312" s="28">
        <v>2426.89</v>
      </c>
    </row>
    <row r="313" spans="1:5">
      <c r="A313" s="27">
        <v>46147</v>
      </c>
      <c r="B313" s="28">
        <v>2427.12</v>
      </c>
      <c r="C313" s="28">
        <v>2472.3</v>
      </c>
      <c r="D313" s="28">
        <v>2426.2</v>
      </c>
      <c r="E313" s="28">
        <v>2454.8</v>
      </c>
    </row>
    <row r="314" spans="1:5">
      <c r="A314" s="27">
        <v>46148</v>
      </c>
      <c r="B314" s="28">
        <v>2462.7</v>
      </c>
      <c r="C314" s="28">
        <v>2477.39</v>
      </c>
      <c r="D314" s="28">
        <v>2447.46</v>
      </c>
      <c r="E314" s="28">
        <v>2466.7</v>
      </c>
    </row>
    <row r="315" spans="1:5">
      <c r="A315" s="27">
        <v>46149</v>
      </c>
      <c r="B315" s="28">
        <v>2484.49</v>
      </c>
      <c r="C315" s="28">
        <v>2485.94</v>
      </c>
      <c r="D315" s="28">
        <v>2457.26</v>
      </c>
      <c r="E315" s="28">
        <v>2463.96</v>
      </c>
    </row>
    <row r="316" spans="1:5">
      <c r="A316" s="27">
        <v>46150</v>
      </c>
      <c r="B316" s="28">
        <v>2455.72</v>
      </c>
      <c r="C316" s="28">
        <v>2467.15</v>
      </c>
      <c r="D316" s="28">
        <v>2446.82</v>
      </c>
      <c r="E316" s="28">
        <v>2456.37</v>
      </c>
    </row>
    <row r="317" spans="1:5">
      <c r="A317" s="27">
        <v>46153</v>
      </c>
      <c r="B317" s="28">
        <v>2462.7</v>
      </c>
      <c r="C317" s="28">
        <v>2499.25</v>
      </c>
      <c r="D317" s="28">
        <v>2446.32</v>
      </c>
      <c r="E317" s="28">
        <v>2493.54</v>
      </c>
    </row>
    <row r="318" spans="1:5">
      <c r="A318" s="27">
        <v>46154</v>
      </c>
      <c r="B318" s="28">
        <v>2488.49</v>
      </c>
      <c r="C318" s="28">
        <v>2496.61</v>
      </c>
      <c r="D318" s="28">
        <v>2473.39</v>
      </c>
      <c r="E318" s="28">
        <v>2479.16</v>
      </c>
    </row>
    <row r="319" spans="1:5">
      <c r="A319" s="27">
        <v>46155</v>
      </c>
      <c r="B319" s="28">
        <v>2477.16</v>
      </c>
      <c r="C319" s="28">
        <v>2489.61</v>
      </c>
      <c r="D319" s="28">
        <v>2475.72</v>
      </c>
      <c r="E319" s="28">
        <v>2487.89</v>
      </c>
    </row>
    <row r="320" spans="1:5">
      <c r="A320" s="27">
        <v>46156</v>
      </c>
      <c r="B320" s="28">
        <v>2493.51</v>
      </c>
      <c r="C320" s="28">
        <v>2503.49</v>
      </c>
      <c r="D320" s="28">
        <v>2486.67</v>
      </c>
      <c r="E320" s="28">
        <v>2493.92</v>
      </c>
    </row>
    <row r="321" spans="1:5">
      <c r="A321" s="27">
        <v>46157</v>
      </c>
      <c r="B321" s="28">
        <v>2504.63</v>
      </c>
      <c r="C321" s="28">
        <v>2505.77</v>
      </c>
      <c r="D321" s="28">
        <v>2448.58</v>
      </c>
      <c r="E321" s="28">
        <v>2459.46</v>
      </c>
    </row>
    <row r="322" spans="1:5">
      <c r="A322" s="27">
        <v>46160</v>
      </c>
      <c r="B322" s="28">
        <v>2457.03</v>
      </c>
      <c r="C322" s="28">
        <v>2457.29</v>
      </c>
      <c r="D322" s="28">
        <v>2408.37</v>
      </c>
      <c r="E322" s="28">
        <v>2422.34</v>
      </c>
    </row>
    <row r="323" spans="1:5">
      <c r="A323" s="27">
        <v>46161</v>
      </c>
      <c r="B323" s="28">
        <v>2427.61</v>
      </c>
      <c r="C323" s="28">
        <v>2438.08</v>
      </c>
      <c r="D323" s="28">
        <v>2396.08</v>
      </c>
      <c r="E323" s="28">
        <v>2411.46</v>
      </c>
    </row>
    <row r="324" spans="1:5">
      <c r="A324" s="27">
        <v>46162</v>
      </c>
      <c r="B324" s="28">
        <v>2401.34</v>
      </c>
      <c r="C324" s="28">
        <v>2406.34</v>
      </c>
      <c r="D324" s="28">
        <v>2383.71</v>
      </c>
      <c r="E324" s="28">
        <v>2392.71</v>
      </c>
    </row>
    <row r="325" spans="1:5">
      <c r="A325" s="27">
        <v>46163</v>
      </c>
      <c r="B325" s="28">
        <v>2383.39</v>
      </c>
      <c r="C325" s="28">
        <v>2405.57</v>
      </c>
      <c r="D325" s="28">
        <v>2375.83</v>
      </c>
      <c r="E325" s="28">
        <v>2398.06</v>
      </c>
    </row>
    <row r="326" spans="1:5">
      <c r="A326" s="27">
        <v>46164</v>
      </c>
      <c r="B326" s="28">
        <v>2394.56</v>
      </c>
      <c r="C326" s="28">
        <v>2414.6</v>
      </c>
      <c r="D326" s="28">
        <v>2386.99</v>
      </c>
      <c r="E326" s="28">
        <v>2411.67</v>
      </c>
    </row>
    <row r="327" spans="1:5">
      <c r="A327" s="27">
        <v>46167</v>
      </c>
      <c r="B327" s="28">
        <v>2398.37</v>
      </c>
      <c r="C327" s="28">
        <v>2403.01</v>
      </c>
      <c r="D327" s="28">
        <v>2393.75</v>
      </c>
      <c r="E327" s="28">
        <v>2399.86</v>
      </c>
    </row>
    <row r="328" spans="1:5">
      <c r="A328" s="27">
        <v>46168</v>
      </c>
      <c r="B328" s="28">
        <v>2406.27</v>
      </c>
      <c r="C328" s="28">
        <v>2411.92</v>
      </c>
      <c r="D328" s="28">
        <v>2400.34</v>
      </c>
      <c r="E328" s="28">
        <v>2401.13</v>
      </c>
    </row>
    <row r="329" spans="1:5">
      <c r="A329" s="27">
        <v>46169</v>
      </c>
      <c r="B329" s="28">
        <v>2405.25</v>
      </c>
      <c r="C329" s="28">
        <v>2420.6</v>
      </c>
      <c r="D329" s="28">
        <v>2392.73</v>
      </c>
      <c r="E329" s="28">
        <v>2395.14</v>
      </c>
    </row>
    <row r="330" spans="1:5">
      <c r="A330" s="27">
        <v>46170</v>
      </c>
      <c r="B330" s="28">
        <v>2406.15</v>
      </c>
      <c r="C330" s="28">
        <v>2451.06</v>
      </c>
      <c r="D330" s="28">
        <v>2400.5</v>
      </c>
      <c r="E330" s="28">
        <v>2443.33</v>
      </c>
    </row>
    <row r="331" spans="1:5">
      <c r="A331" s="27">
        <v>46171</v>
      </c>
      <c r="B331" s="28">
        <v>2442.01</v>
      </c>
      <c r="C331" s="28">
        <v>2486.89</v>
      </c>
      <c r="D331" s="28">
        <v>2431.63</v>
      </c>
      <c r="E331" s="28">
        <v>2485.78</v>
      </c>
    </row>
    <row r="332" spans="1:5">
      <c r="A332" s="27">
        <v>46174</v>
      </c>
      <c r="B332" s="28">
        <v>2495.82</v>
      </c>
      <c r="C332" s="28">
        <v>2503.29</v>
      </c>
      <c r="D332" s="28">
        <v>2491.6</v>
      </c>
      <c r="E332" s="28">
        <v>2497.97</v>
      </c>
    </row>
    <row r="333" spans="1:5">
      <c r="A333" s="27">
        <v>46175</v>
      </c>
      <c r="B333" s="28">
        <v>2499.24</v>
      </c>
      <c r="C333" s="28">
        <v>2513.48</v>
      </c>
      <c r="D333" s="28">
        <v>2483.74</v>
      </c>
      <c r="E333" s="28">
        <v>2494.21</v>
      </c>
    </row>
    <row r="334" spans="1:5">
      <c r="A334" s="27">
        <v>46176</v>
      </c>
      <c r="B334" s="28">
        <v>2485.95</v>
      </c>
      <c r="C334" s="28">
        <v>2493.43</v>
      </c>
      <c r="D334" s="28">
        <v>2477.31</v>
      </c>
      <c r="E334" s="28">
        <v>2485.5</v>
      </c>
    </row>
    <row r="335" spans="1:5">
      <c r="A335" s="27">
        <v>46177</v>
      </c>
      <c r="B335" s="28">
        <v>2493.41</v>
      </c>
      <c r="C335" s="28">
        <v>2520.4</v>
      </c>
      <c r="D335" s="28">
        <v>2484.17</v>
      </c>
      <c r="E335" s="28">
        <v>2506.78</v>
      </c>
    </row>
    <row r="336" spans="1:5">
      <c r="A336" s="27">
        <v>46178</v>
      </c>
      <c r="B336" s="28">
        <v>2502.43</v>
      </c>
      <c r="C336" s="28">
        <v>2544.07</v>
      </c>
      <c r="D336" s="28">
        <v>2494.97</v>
      </c>
      <c r="E336" s="28">
        <v>2529.03</v>
      </c>
    </row>
    <row r="337" spans="1:5">
      <c r="A337" s="27">
        <v>46181</v>
      </c>
      <c r="B337" s="28">
        <v>2531.63</v>
      </c>
      <c r="C337" s="28">
        <v>2535.26</v>
      </c>
      <c r="D337" s="28">
        <v>2494.45</v>
      </c>
      <c r="E337" s="28">
        <v>2514.86</v>
      </c>
    </row>
    <row r="338" spans="1:5">
      <c r="A338" s="27">
        <v>46182</v>
      </c>
      <c r="B338" s="28">
        <v>2503.31</v>
      </c>
      <c r="C338" s="28">
        <v>2530.59</v>
      </c>
      <c r="D338" s="28">
        <v>2491.22</v>
      </c>
      <c r="E338" s="28">
        <v>2521.45</v>
      </c>
    </row>
    <row r="339" spans="1:5">
      <c r="A339" s="27">
        <v>46183</v>
      </c>
      <c r="B339" s="28">
        <v>2515</v>
      </c>
      <c r="C339" s="28">
        <v>2520.46</v>
      </c>
      <c r="D339" s="28">
        <v>2492.9</v>
      </c>
      <c r="E339" s="28">
        <v>2505.91</v>
      </c>
    </row>
    <row r="340" spans="1:5">
      <c r="A340" s="27">
        <v>46184</v>
      </c>
      <c r="B340" s="28">
        <v>2510.44</v>
      </c>
      <c r="C340" s="28">
        <v>2530.52</v>
      </c>
      <c r="D340" s="28">
        <v>2494.9</v>
      </c>
      <c r="E340" s="28">
        <v>2527.29</v>
      </c>
    </row>
    <row r="341" spans="1:5">
      <c r="A341" s="27">
        <v>46185</v>
      </c>
      <c r="B341" s="28">
        <v>2523.11</v>
      </c>
      <c r="C341" s="28">
        <v>2532.97</v>
      </c>
      <c r="D341" s="28">
        <v>2510.7</v>
      </c>
      <c r="E341" s="28">
        <v>2515.82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8B923"/>
  </sheetPr>
  <dimension ref="A1:BZ35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11" width="12.7109375" customWidth="1"/>
    <col min="12" max="78" width="9.140625" style="1"/>
  </cols>
  <sheetData>
    <row r="1" spans="2:10">
      <c r="B1" s="2" t="s">
        <v>121</v>
      </c>
      <c r="C1" s="2"/>
      <c r="D1" s="2"/>
      <c r="E1" s="2"/>
      <c r="F1" s="2"/>
      <c r="G1" s="2"/>
      <c r="H1" s="2"/>
      <c r="I1" s="2"/>
      <c r="J1" s="2"/>
    </row>
    <row r="2" spans="2:10">
      <c r="B2" s="3" t="s">
        <v>122</v>
      </c>
      <c r="C2" s="3"/>
      <c r="D2" s="3"/>
      <c r="E2" s="3"/>
      <c r="F2" s="3"/>
      <c r="G2" s="3"/>
      <c r="H2" s="3"/>
      <c r="I2" s="3"/>
      <c r="J2" s="3"/>
    </row>
    <row r="3" spans="2:10" ht="18" customHeight="1"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</row>
    <row r="5" spans="2:10" ht="22" customHeight="1">
      <c r="B5" s="5" t="s">
        <v>132</v>
      </c>
      <c r="C5" s="5"/>
      <c r="D5" s="5"/>
      <c r="E5" s="5"/>
      <c r="F5" s="5"/>
      <c r="G5" s="5"/>
      <c r="H5" s="5"/>
      <c r="I5" s="5"/>
      <c r="J5" s="5"/>
    </row>
    <row r="6" spans="2:10">
      <c r="B6" s="30" t="s">
        <v>133</v>
      </c>
      <c r="C6" s="30"/>
      <c r="D6" s="30"/>
      <c r="E6" s="30"/>
      <c r="F6" s="30"/>
      <c r="G6" s="30"/>
      <c r="H6" s="30"/>
      <c r="I6" s="30"/>
      <c r="J6" s="30"/>
    </row>
    <row r="7" spans="2:10">
      <c r="B7" s="30" t="s">
        <v>134</v>
      </c>
      <c r="C7" s="30"/>
      <c r="D7" s="30"/>
      <c r="E7" s="30"/>
      <c r="F7" s="30"/>
      <c r="G7" s="30"/>
      <c r="H7" s="30"/>
      <c r="I7" s="30"/>
      <c r="J7" s="30"/>
    </row>
    <row r="8" spans="2:10">
      <c r="B8" s="30" t="s">
        <v>135</v>
      </c>
      <c r="C8" s="30"/>
      <c r="D8" s="30"/>
      <c r="E8" s="30"/>
      <c r="F8" s="30"/>
      <c r="G8" s="30"/>
      <c r="H8" s="30"/>
      <c r="I8" s="30"/>
      <c r="J8" s="30"/>
    </row>
    <row r="9" spans="2:10">
      <c r="B9" s="30" t="s">
        <v>136</v>
      </c>
      <c r="C9" s="30"/>
      <c r="D9" s="30"/>
      <c r="E9" s="30"/>
      <c r="F9" s="30"/>
      <c r="G9" s="30"/>
      <c r="H9" s="30"/>
      <c r="I9" s="30"/>
      <c r="J9" s="30"/>
    </row>
    <row r="10" spans="2:10">
      <c r="B10" s="30" t="s">
        <v>137</v>
      </c>
      <c r="C10" s="30"/>
      <c r="D10" s="30"/>
      <c r="E10" s="30"/>
      <c r="F10" s="30"/>
      <c r="G10" s="30"/>
      <c r="H10" s="30"/>
      <c r="I10" s="30"/>
      <c r="J10" s="30"/>
    </row>
    <row r="11" spans="2:10">
      <c r="B11" s="30" t="s">
        <v>138</v>
      </c>
      <c r="C11" s="30"/>
      <c r="D11" s="30"/>
      <c r="E11" s="30"/>
      <c r="F11" s="30"/>
      <c r="G11" s="30"/>
      <c r="H11" s="30"/>
      <c r="I11" s="30"/>
      <c r="J11" s="30"/>
    </row>
    <row r="13" spans="2:10" ht="22" customHeight="1">
      <c r="B13" s="5" t="s">
        <v>139</v>
      </c>
      <c r="C13" s="5"/>
      <c r="D13" s="5"/>
      <c r="E13" s="5"/>
      <c r="F13" s="5"/>
      <c r="G13" s="5"/>
      <c r="H13" s="5"/>
      <c r="I13" s="5"/>
      <c r="J13" s="5"/>
    </row>
    <row r="14" spans="2:10" ht="28" customHeight="1">
      <c r="B14" s="31" t="s">
        <v>124</v>
      </c>
      <c r="C14" s="31"/>
      <c r="D14" s="30" t="s">
        <v>140</v>
      </c>
      <c r="E14" s="30"/>
      <c r="F14" s="30"/>
      <c r="G14" s="30"/>
      <c r="H14" s="30"/>
      <c r="I14" s="30"/>
      <c r="J14" s="30"/>
    </row>
    <row r="15" spans="2:10" ht="28" customHeight="1">
      <c r="B15" s="31" t="s">
        <v>125</v>
      </c>
      <c r="C15" s="31"/>
      <c r="D15" s="30" t="s">
        <v>141</v>
      </c>
      <c r="E15" s="30"/>
      <c r="F15" s="30"/>
      <c r="G15" s="30"/>
      <c r="H15" s="30"/>
      <c r="I15" s="30"/>
      <c r="J15" s="30"/>
    </row>
    <row r="16" spans="2:10" ht="28" customHeight="1">
      <c r="B16" s="31" t="s">
        <v>126</v>
      </c>
      <c r="C16" s="31"/>
      <c r="D16" s="30" t="s">
        <v>142</v>
      </c>
      <c r="E16" s="30"/>
      <c r="F16" s="30"/>
      <c r="G16" s="30"/>
      <c r="H16" s="30"/>
      <c r="I16" s="30"/>
      <c r="J16" s="30"/>
    </row>
    <row r="17" spans="2:10" ht="28" customHeight="1">
      <c r="B17" s="31" t="s">
        <v>143</v>
      </c>
      <c r="C17" s="31"/>
      <c r="D17" s="30" t="s">
        <v>144</v>
      </c>
      <c r="E17" s="30"/>
      <c r="F17" s="30"/>
      <c r="G17" s="30"/>
      <c r="H17" s="30"/>
      <c r="I17" s="30"/>
      <c r="J17" s="30"/>
    </row>
    <row r="18" spans="2:10" ht="28" customHeight="1">
      <c r="B18" s="31" t="s">
        <v>145</v>
      </c>
      <c r="C18" s="31"/>
      <c r="D18" s="30" t="s">
        <v>146</v>
      </c>
      <c r="E18" s="30"/>
      <c r="F18" s="30"/>
      <c r="G18" s="30"/>
      <c r="H18" s="30"/>
      <c r="I18" s="30"/>
      <c r="J18" s="30"/>
    </row>
    <row r="19" spans="2:10" ht="28" customHeight="1">
      <c r="B19" s="31" t="s">
        <v>129</v>
      </c>
      <c r="C19" s="31"/>
      <c r="D19" s="30" t="s">
        <v>147</v>
      </c>
      <c r="E19" s="30"/>
      <c r="F19" s="30"/>
      <c r="G19" s="30"/>
      <c r="H19" s="30"/>
      <c r="I19" s="30"/>
      <c r="J19" s="30"/>
    </row>
    <row r="21" spans="2:10" ht="22" customHeight="1">
      <c r="B21" s="5" t="s">
        <v>148</v>
      </c>
      <c r="C21" s="5"/>
      <c r="D21" s="5"/>
      <c r="E21" s="5"/>
      <c r="F21" s="5"/>
      <c r="G21" s="5"/>
      <c r="H21" s="5"/>
      <c r="I21" s="5"/>
      <c r="J21" s="5"/>
    </row>
    <row r="22" spans="2:10" ht="14" customHeight="1">
      <c r="B22" s="25" t="s">
        <v>149</v>
      </c>
      <c r="C22" s="25"/>
      <c r="D22" s="25"/>
      <c r="E22" s="25"/>
      <c r="F22" s="25"/>
      <c r="G22" s="25"/>
      <c r="H22" s="25"/>
      <c r="I22" s="25"/>
      <c r="J22" s="25"/>
    </row>
    <row r="23" spans="2:10" ht="14" customHeight="1">
      <c r="B23" s="25" t="s">
        <v>150</v>
      </c>
      <c r="C23" s="25"/>
      <c r="D23" s="25"/>
      <c r="E23" s="25"/>
      <c r="F23" s="25"/>
      <c r="G23" s="25"/>
      <c r="H23" s="25"/>
      <c r="I23" s="25"/>
      <c r="J23" s="25"/>
    </row>
    <row r="24" spans="2:10" ht="14" customHeight="1">
      <c r="B24" s="25" t="s">
        <v>151</v>
      </c>
      <c r="C24" s="25"/>
      <c r="D24" s="25"/>
      <c r="E24" s="25"/>
      <c r="F24" s="25"/>
      <c r="G24" s="25"/>
      <c r="H24" s="25"/>
      <c r="I24" s="25"/>
      <c r="J24" s="25"/>
    </row>
    <row r="25" spans="2:10" ht="14" customHeight="1">
      <c r="B25" s="25" t="s">
        <v>152</v>
      </c>
      <c r="C25" s="25"/>
      <c r="D25" s="25"/>
      <c r="E25" s="25"/>
      <c r="F25" s="25"/>
      <c r="G25" s="25"/>
      <c r="H25" s="25"/>
      <c r="I25" s="25"/>
      <c r="J25" s="25"/>
    </row>
    <row r="26" spans="2:10" ht="14" customHeight="1">
      <c r="B26" s="25" t="s">
        <v>153</v>
      </c>
      <c r="C26" s="25"/>
      <c r="D26" s="25"/>
      <c r="E26" s="25"/>
      <c r="F26" s="25"/>
      <c r="G26" s="25"/>
      <c r="H26" s="25"/>
      <c r="I26" s="25"/>
      <c r="J26" s="25"/>
    </row>
    <row r="27" spans="2:10" ht="14" customHeight="1">
      <c r="B27" s="25" t="s">
        <v>154</v>
      </c>
      <c r="C27" s="25"/>
      <c r="D27" s="25"/>
      <c r="E27" s="25"/>
      <c r="F27" s="25"/>
      <c r="G27" s="25"/>
      <c r="H27" s="25"/>
      <c r="I27" s="25"/>
      <c r="J27" s="25"/>
    </row>
    <row r="28" spans="2:10" ht="14" customHeight="1">
      <c r="B28" s="25" t="s">
        <v>155</v>
      </c>
      <c r="C28" s="25"/>
      <c r="D28" s="25"/>
      <c r="E28" s="25"/>
      <c r="F28" s="25"/>
      <c r="G28" s="25"/>
      <c r="H28" s="25"/>
      <c r="I28" s="25"/>
      <c r="J28" s="25"/>
    </row>
    <row r="29" spans="2:10" ht="14" customHeight="1">
      <c r="B29" s="25" t="s">
        <v>156</v>
      </c>
      <c r="C29" s="25"/>
      <c r="D29" s="25"/>
      <c r="E29" s="25"/>
      <c r="F29" s="25"/>
      <c r="G29" s="25"/>
      <c r="H29" s="25"/>
      <c r="I29" s="25"/>
      <c r="J29" s="25"/>
    </row>
    <row r="30" spans="2:10" ht="14" customHeight="1">
      <c r="B30" s="25" t="s">
        <v>157</v>
      </c>
      <c r="C30" s="25"/>
      <c r="D30" s="25"/>
      <c r="E30" s="25"/>
      <c r="F30" s="25"/>
      <c r="G30" s="25"/>
      <c r="H30" s="25"/>
      <c r="I30" s="25"/>
      <c r="J30" s="25"/>
    </row>
    <row r="31" spans="2:10" ht="14" customHeight="1">
      <c r="B31" s="25" t="s">
        <v>158</v>
      </c>
      <c r="C31" s="25"/>
      <c r="D31" s="25"/>
      <c r="E31" s="25"/>
      <c r="F31" s="25"/>
      <c r="G31" s="25"/>
      <c r="H31" s="25"/>
      <c r="I31" s="25"/>
      <c r="J31" s="25"/>
    </row>
    <row r="32" spans="2:10" ht="14" customHeight="1">
      <c r="B32" s="25" t="s">
        <v>159</v>
      </c>
      <c r="C32" s="25"/>
      <c r="D32" s="25"/>
      <c r="E32" s="25"/>
      <c r="F32" s="25"/>
      <c r="G32" s="25"/>
      <c r="H32" s="25"/>
      <c r="I32" s="25"/>
      <c r="J32" s="25"/>
    </row>
    <row r="33" spans="2:10" ht="14" customHeight="1">
      <c r="B33" s="25" t="s">
        <v>160</v>
      </c>
      <c r="C33" s="25"/>
      <c r="D33" s="25"/>
      <c r="E33" s="25"/>
      <c r="F33" s="25"/>
      <c r="G33" s="25"/>
      <c r="H33" s="25"/>
      <c r="I33" s="25"/>
      <c r="J33" s="25"/>
    </row>
    <row r="35" spans="2:10" ht="28" customHeight="1">
      <c r="B35" s="25" t="s">
        <v>161</v>
      </c>
      <c r="C35" s="25"/>
      <c r="D35" s="25"/>
      <c r="E35" s="25"/>
      <c r="F35" s="25"/>
      <c r="G35" s="25"/>
      <c r="H35" s="25"/>
      <c r="I35" s="25"/>
      <c r="J35" s="25"/>
    </row>
  </sheetData>
  <mergeCells count="36">
    <mergeCell ref="B1:J1"/>
    <mergeCell ref="B2:J2"/>
    <mergeCell ref="B5:J5"/>
    <mergeCell ref="B6:J6"/>
    <mergeCell ref="B7:J7"/>
    <mergeCell ref="B8:J8"/>
    <mergeCell ref="B9:J9"/>
    <mergeCell ref="B10:J10"/>
    <mergeCell ref="B11:J11"/>
    <mergeCell ref="B13:J13"/>
    <mergeCell ref="B14:C14"/>
    <mergeCell ref="D14:J14"/>
    <mergeCell ref="B15:C15"/>
    <mergeCell ref="D15:J15"/>
    <mergeCell ref="B16:C16"/>
    <mergeCell ref="D16:J16"/>
    <mergeCell ref="B17:C17"/>
    <mergeCell ref="D17:J17"/>
    <mergeCell ref="B18:C18"/>
    <mergeCell ref="D18:J18"/>
    <mergeCell ref="B19:C19"/>
    <mergeCell ref="D19:J19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5:J35"/>
  </mergeCells>
  <hyperlinks>
    <hyperlink ref="B3" location="'Dashboard'!A1" display="Dashboard"/>
    <hyperlink ref="C3" location="'Trend'!A1" display="Trend"/>
    <hyperlink ref="D3" location="'Momentum'!A1" display="Momentum"/>
    <hyperlink ref="E3" location="'Volatility'!A1" display="Volatility"/>
    <hyperlink ref="F3" location="'Support &amp; Resistance'!A1" display="S &amp; R"/>
    <hyperlink ref="G3" location="'Matrix'!A1" display="Matrix"/>
    <hyperlink ref="H3" location="'Outlook'!A1" display="Outlook"/>
    <hyperlink ref="I3" location="'Data'!A1" display="Data"/>
    <hyperlink ref="J3" location="'Read Me'!A1" display="Read M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81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88</v>
      </c>
      <c r="G1" t="s">
        <v>89</v>
      </c>
      <c r="H1" t="s">
        <v>90</v>
      </c>
      <c r="I1" t="s">
        <v>91</v>
      </c>
      <c r="J1" t="s">
        <v>83</v>
      </c>
      <c r="K1" t="s">
        <v>110</v>
      </c>
      <c r="L1" t="s">
        <v>111</v>
      </c>
      <c r="M1" t="s">
        <v>84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</row>
    <row r="2" spans="1:22">
      <c r="A2" s="27">
        <f>IF((Metrics!$H$1-180+1)&lt;1,"",INDEX(Calc_Daily!$A$2:$A$2001,(Metrics!$H$1-180+1)))</f>
        <v>0</v>
      </c>
      <c r="B2">
        <f>IF((Metrics!$H$1-180+1)&lt;1,"",INDEX(Calc_Daily!$B$2:$B$2001,(Metrics!$H$1-180+1)))</f>
        <v>0</v>
      </c>
      <c r="C2">
        <f>IF((Metrics!$H$1-180+1)&lt;1,"",INDEX(Calc_Daily!$C$2:$C$2001,(Metrics!$H$1-180+1)))</f>
        <v>0</v>
      </c>
      <c r="D2">
        <f>IF((Metrics!$H$1-180+1)&lt;1,"",INDEX(Calc_Daily!$D$2:$D$2001,(Metrics!$H$1-180+1)))</f>
        <v>0</v>
      </c>
      <c r="E2">
        <f>IF((Metrics!$H$1-180+1)&lt;1,"",INDEX(Calc_Daily!$E$2:$E$2001,(Metrics!$H$1-180+1)))</f>
        <v>0</v>
      </c>
      <c r="F2">
        <f>IF((Metrics!$H$1-180+1)&lt;1,"",INDEX(Calc_Daily!$H$2:$H$2001,(Metrics!$H$1-180+1)))</f>
        <v>0</v>
      </c>
      <c r="G2">
        <f>IF((Metrics!$H$1-180+1)&lt;1,"",INDEX(Calc_Daily!$I$2:$I$2001,(Metrics!$H$1-180+1)))</f>
        <v>0</v>
      </c>
      <c r="H2">
        <f>IF((Metrics!$H$1-180+1)&lt;1,"",INDEX(Calc_Daily!$J$2:$J$2001,(Metrics!$H$1-180+1)))</f>
        <v>0</v>
      </c>
      <c r="I2">
        <f>IF((Metrics!$H$1-180+1)&lt;1,"",INDEX(Calc_Daily!$K$2:$K$2001,(Metrics!$H$1-180+1)))</f>
        <v>0</v>
      </c>
      <c r="J2">
        <f>IF((Metrics!$H$1-180+1)&lt;1,"",INDEX(Calc_Daily!$N$2:$N$2001,(Metrics!$H$1-180+1)))</f>
        <v>0</v>
      </c>
      <c r="K2">
        <f>IF((Metrics!$H$1-180+1)&lt;1,"",70)</f>
        <v>0</v>
      </c>
      <c r="L2">
        <f>IF((Metrics!$H$1-180+1)&lt;1,"",30)</f>
        <v>0</v>
      </c>
      <c r="M2">
        <f>IF((Metrics!$H$1-180+1)&lt;1,"",INDEX(Calc_Daily!$Q$2:$Q$2001,(Metrics!$H$1-180+1)))</f>
        <v>0</v>
      </c>
      <c r="N2">
        <f>IF((Metrics!$H$1-180+1)&lt;1,"",INDEX(Calc_Daily!$R$2:$R$2001,(Metrics!$H$1-180+1)))</f>
        <v>0</v>
      </c>
      <c r="O2">
        <f>IF((Metrics!$H$1-180+1)&lt;1,"",INDEX(Calc_Daily!$S$2:$S$2001,(Metrics!$H$1-180+1)))</f>
        <v>0</v>
      </c>
      <c r="P2">
        <f>IF((Metrics!$H$1-180+1)&lt;1,"",INDEX(Calc_Daily!$AM$2:$AM$2001,(Metrics!$H$1-180+1)))</f>
        <v>0</v>
      </c>
      <c r="Q2">
        <f>IF((Metrics!$H$1-180+1)&lt;1,"",INDEX(Calc_Daily!$AK$2:$AK$2001,(Metrics!$H$1-180+1)))</f>
        <v>0</v>
      </c>
      <c r="R2">
        <f>IF((Metrics!$H$1-180+1)&lt;1,"",INDEX(Calc_Daily!$AN$2:$AN$2001,(Metrics!$H$1-180+1)))</f>
        <v>0</v>
      </c>
      <c r="S2">
        <f>IF((Metrics!$H$1-180+1)&lt;1,"",INDEX(Calc_Daily!$AD$2:$AD$2001,(Metrics!$H$1-180+1)))</f>
        <v>0</v>
      </c>
      <c r="T2">
        <f>IF((Metrics!$H$1-180+1)&lt;1,"",INDEX(Calc_Daily!$AT$2:$AT$2001,(Metrics!$H$1-180+1)))</f>
        <v>0</v>
      </c>
      <c r="U2">
        <f>IF((Metrics!$H$1-180+1)&lt;1,"",INDEX(Calc_Daily!$AQ$2:$AQ$2001,(Metrics!$H$1-180+1)))</f>
        <v>0</v>
      </c>
      <c r="V2">
        <f>IF((Metrics!$H$1-180+1)&lt;1,"",INDEX(Calc_Daily!$AR$2:$AR$2001,(Metrics!$H$1-180+1)))</f>
        <v>0</v>
      </c>
    </row>
    <row r="3" spans="1:22">
      <c r="A3" s="27">
        <f>IF((Metrics!$H$1-180+2)&lt;1,"",INDEX(Calc_Daily!$A$2:$A$2001,(Metrics!$H$1-180+2)))</f>
        <v>0</v>
      </c>
      <c r="B3">
        <f>IF((Metrics!$H$1-180+2)&lt;1,"",INDEX(Calc_Daily!$B$2:$B$2001,(Metrics!$H$1-180+2)))</f>
        <v>0</v>
      </c>
      <c r="C3">
        <f>IF((Metrics!$H$1-180+2)&lt;1,"",INDEX(Calc_Daily!$C$2:$C$2001,(Metrics!$H$1-180+2)))</f>
        <v>0</v>
      </c>
      <c r="D3">
        <f>IF((Metrics!$H$1-180+2)&lt;1,"",INDEX(Calc_Daily!$D$2:$D$2001,(Metrics!$H$1-180+2)))</f>
        <v>0</v>
      </c>
      <c r="E3">
        <f>IF((Metrics!$H$1-180+2)&lt;1,"",INDEX(Calc_Daily!$E$2:$E$2001,(Metrics!$H$1-180+2)))</f>
        <v>0</v>
      </c>
      <c r="F3">
        <f>IF((Metrics!$H$1-180+2)&lt;1,"",INDEX(Calc_Daily!$H$2:$H$2001,(Metrics!$H$1-180+2)))</f>
        <v>0</v>
      </c>
      <c r="G3">
        <f>IF((Metrics!$H$1-180+2)&lt;1,"",INDEX(Calc_Daily!$I$2:$I$2001,(Metrics!$H$1-180+2)))</f>
        <v>0</v>
      </c>
      <c r="H3">
        <f>IF((Metrics!$H$1-180+2)&lt;1,"",INDEX(Calc_Daily!$J$2:$J$2001,(Metrics!$H$1-180+2)))</f>
        <v>0</v>
      </c>
      <c r="I3">
        <f>IF((Metrics!$H$1-180+2)&lt;1,"",INDEX(Calc_Daily!$K$2:$K$2001,(Metrics!$H$1-180+2)))</f>
        <v>0</v>
      </c>
      <c r="J3">
        <f>IF((Metrics!$H$1-180+2)&lt;1,"",INDEX(Calc_Daily!$N$2:$N$2001,(Metrics!$H$1-180+2)))</f>
        <v>0</v>
      </c>
      <c r="K3">
        <f>IF((Metrics!$H$1-180+2)&lt;1,"",70)</f>
        <v>0</v>
      </c>
      <c r="L3">
        <f>IF((Metrics!$H$1-180+2)&lt;1,"",30)</f>
        <v>0</v>
      </c>
      <c r="M3">
        <f>IF((Metrics!$H$1-180+2)&lt;1,"",INDEX(Calc_Daily!$Q$2:$Q$2001,(Metrics!$H$1-180+2)))</f>
        <v>0</v>
      </c>
      <c r="N3">
        <f>IF((Metrics!$H$1-180+2)&lt;1,"",INDEX(Calc_Daily!$R$2:$R$2001,(Metrics!$H$1-180+2)))</f>
        <v>0</v>
      </c>
      <c r="O3">
        <f>IF((Metrics!$H$1-180+2)&lt;1,"",INDEX(Calc_Daily!$S$2:$S$2001,(Metrics!$H$1-180+2)))</f>
        <v>0</v>
      </c>
      <c r="P3">
        <f>IF((Metrics!$H$1-180+2)&lt;1,"",INDEX(Calc_Daily!$AM$2:$AM$2001,(Metrics!$H$1-180+2)))</f>
        <v>0</v>
      </c>
      <c r="Q3">
        <f>IF((Metrics!$H$1-180+2)&lt;1,"",INDEX(Calc_Daily!$AK$2:$AK$2001,(Metrics!$H$1-180+2)))</f>
        <v>0</v>
      </c>
      <c r="R3">
        <f>IF((Metrics!$H$1-180+2)&lt;1,"",INDEX(Calc_Daily!$AN$2:$AN$2001,(Metrics!$H$1-180+2)))</f>
        <v>0</v>
      </c>
      <c r="S3">
        <f>IF((Metrics!$H$1-180+2)&lt;1,"",INDEX(Calc_Daily!$AD$2:$AD$2001,(Metrics!$H$1-180+2)))</f>
        <v>0</v>
      </c>
      <c r="T3">
        <f>IF((Metrics!$H$1-180+2)&lt;1,"",INDEX(Calc_Daily!$AT$2:$AT$2001,(Metrics!$H$1-180+2)))</f>
        <v>0</v>
      </c>
      <c r="U3">
        <f>IF((Metrics!$H$1-180+2)&lt;1,"",INDEX(Calc_Daily!$AQ$2:$AQ$2001,(Metrics!$H$1-180+2)))</f>
        <v>0</v>
      </c>
      <c r="V3">
        <f>IF((Metrics!$H$1-180+2)&lt;1,"",INDEX(Calc_Daily!$AR$2:$AR$2001,(Metrics!$H$1-180+2)))</f>
        <v>0</v>
      </c>
    </row>
    <row r="4" spans="1:22">
      <c r="A4" s="27">
        <f>IF((Metrics!$H$1-180+3)&lt;1,"",INDEX(Calc_Daily!$A$2:$A$2001,(Metrics!$H$1-180+3)))</f>
        <v>0</v>
      </c>
      <c r="B4">
        <f>IF((Metrics!$H$1-180+3)&lt;1,"",INDEX(Calc_Daily!$B$2:$B$2001,(Metrics!$H$1-180+3)))</f>
        <v>0</v>
      </c>
      <c r="C4">
        <f>IF((Metrics!$H$1-180+3)&lt;1,"",INDEX(Calc_Daily!$C$2:$C$2001,(Metrics!$H$1-180+3)))</f>
        <v>0</v>
      </c>
      <c r="D4">
        <f>IF((Metrics!$H$1-180+3)&lt;1,"",INDEX(Calc_Daily!$D$2:$D$2001,(Metrics!$H$1-180+3)))</f>
        <v>0</v>
      </c>
      <c r="E4">
        <f>IF((Metrics!$H$1-180+3)&lt;1,"",INDEX(Calc_Daily!$E$2:$E$2001,(Metrics!$H$1-180+3)))</f>
        <v>0</v>
      </c>
      <c r="F4">
        <f>IF((Metrics!$H$1-180+3)&lt;1,"",INDEX(Calc_Daily!$H$2:$H$2001,(Metrics!$H$1-180+3)))</f>
        <v>0</v>
      </c>
      <c r="G4">
        <f>IF((Metrics!$H$1-180+3)&lt;1,"",INDEX(Calc_Daily!$I$2:$I$2001,(Metrics!$H$1-180+3)))</f>
        <v>0</v>
      </c>
      <c r="H4">
        <f>IF((Metrics!$H$1-180+3)&lt;1,"",INDEX(Calc_Daily!$J$2:$J$2001,(Metrics!$H$1-180+3)))</f>
        <v>0</v>
      </c>
      <c r="I4">
        <f>IF((Metrics!$H$1-180+3)&lt;1,"",INDEX(Calc_Daily!$K$2:$K$2001,(Metrics!$H$1-180+3)))</f>
        <v>0</v>
      </c>
      <c r="J4">
        <f>IF((Metrics!$H$1-180+3)&lt;1,"",INDEX(Calc_Daily!$N$2:$N$2001,(Metrics!$H$1-180+3)))</f>
        <v>0</v>
      </c>
      <c r="K4">
        <f>IF((Metrics!$H$1-180+3)&lt;1,"",70)</f>
        <v>0</v>
      </c>
      <c r="L4">
        <f>IF((Metrics!$H$1-180+3)&lt;1,"",30)</f>
        <v>0</v>
      </c>
      <c r="M4">
        <f>IF((Metrics!$H$1-180+3)&lt;1,"",INDEX(Calc_Daily!$Q$2:$Q$2001,(Metrics!$H$1-180+3)))</f>
        <v>0</v>
      </c>
      <c r="N4">
        <f>IF((Metrics!$H$1-180+3)&lt;1,"",INDEX(Calc_Daily!$R$2:$R$2001,(Metrics!$H$1-180+3)))</f>
        <v>0</v>
      </c>
      <c r="O4">
        <f>IF((Metrics!$H$1-180+3)&lt;1,"",INDEX(Calc_Daily!$S$2:$S$2001,(Metrics!$H$1-180+3)))</f>
        <v>0</v>
      </c>
      <c r="P4">
        <f>IF((Metrics!$H$1-180+3)&lt;1,"",INDEX(Calc_Daily!$AM$2:$AM$2001,(Metrics!$H$1-180+3)))</f>
        <v>0</v>
      </c>
      <c r="Q4">
        <f>IF((Metrics!$H$1-180+3)&lt;1,"",INDEX(Calc_Daily!$AK$2:$AK$2001,(Metrics!$H$1-180+3)))</f>
        <v>0</v>
      </c>
      <c r="R4">
        <f>IF((Metrics!$H$1-180+3)&lt;1,"",INDEX(Calc_Daily!$AN$2:$AN$2001,(Metrics!$H$1-180+3)))</f>
        <v>0</v>
      </c>
      <c r="S4">
        <f>IF((Metrics!$H$1-180+3)&lt;1,"",INDEX(Calc_Daily!$AD$2:$AD$2001,(Metrics!$H$1-180+3)))</f>
        <v>0</v>
      </c>
      <c r="T4">
        <f>IF((Metrics!$H$1-180+3)&lt;1,"",INDEX(Calc_Daily!$AT$2:$AT$2001,(Metrics!$H$1-180+3)))</f>
        <v>0</v>
      </c>
      <c r="U4">
        <f>IF((Metrics!$H$1-180+3)&lt;1,"",INDEX(Calc_Daily!$AQ$2:$AQ$2001,(Metrics!$H$1-180+3)))</f>
        <v>0</v>
      </c>
      <c r="V4">
        <f>IF((Metrics!$H$1-180+3)&lt;1,"",INDEX(Calc_Daily!$AR$2:$AR$2001,(Metrics!$H$1-180+3)))</f>
        <v>0</v>
      </c>
    </row>
    <row r="5" spans="1:22">
      <c r="A5" s="27">
        <f>IF((Metrics!$H$1-180+4)&lt;1,"",INDEX(Calc_Daily!$A$2:$A$2001,(Metrics!$H$1-180+4)))</f>
        <v>0</v>
      </c>
      <c r="B5">
        <f>IF((Metrics!$H$1-180+4)&lt;1,"",INDEX(Calc_Daily!$B$2:$B$2001,(Metrics!$H$1-180+4)))</f>
        <v>0</v>
      </c>
      <c r="C5">
        <f>IF((Metrics!$H$1-180+4)&lt;1,"",INDEX(Calc_Daily!$C$2:$C$2001,(Metrics!$H$1-180+4)))</f>
        <v>0</v>
      </c>
      <c r="D5">
        <f>IF((Metrics!$H$1-180+4)&lt;1,"",INDEX(Calc_Daily!$D$2:$D$2001,(Metrics!$H$1-180+4)))</f>
        <v>0</v>
      </c>
      <c r="E5">
        <f>IF((Metrics!$H$1-180+4)&lt;1,"",INDEX(Calc_Daily!$E$2:$E$2001,(Metrics!$H$1-180+4)))</f>
        <v>0</v>
      </c>
      <c r="F5">
        <f>IF((Metrics!$H$1-180+4)&lt;1,"",INDEX(Calc_Daily!$H$2:$H$2001,(Metrics!$H$1-180+4)))</f>
        <v>0</v>
      </c>
      <c r="G5">
        <f>IF((Metrics!$H$1-180+4)&lt;1,"",INDEX(Calc_Daily!$I$2:$I$2001,(Metrics!$H$1-180+4)))</f>
        <v>0</v>
      </c>
      <c r="H5">
        <f>IF((Metrics!$H$1-180+4)&lt;1,"",INDEX(Calc_Daily!$J$2:$J$2001,(Metrics!$H$1-180+4)))</f>
        <v>0</v>
      </c>
      <c r="I5">
        <f>IF((Metrics!$H$1-180+4)&lt;1,"",INDEX(Calc_Daily!$K$2:$K$2001,(Metrics!$H$1-180+4)))</f>
        <v>0</v>
      </c>
      <c r="J5">
        <f>IF((Metrics!$H$1-180+4)&lt;1,"",INDEX(Calc_Daily!$N$2:$N$2001,(Metrics!$H$1-180+4)))</f>
        <v>0</v>
      </c>
      <c r="K5">
        <f>IF((Metrics!$H$1-180+4)&lt;1,"",70)</f>
        <v>0</v>
      </c>
      <c r="L5">
        <f>IF((Metrics!$H$1-180+4)&lt;1,"",30)</f>
        <v>0</v>
      </c>
      <c r="M5">
        <f>IF((Metrics!$H$1-180+4)&lt;1,"",INDEX(Calc_Daily!$Q$2:$Q$2001,(Metrics!$H$1-180+4)))</f>
        <v>0</v>
      </c>
      <c r="N5">
        <f>IF((Metrics!$H$1-180+4)&lt;1,"",INDEX(Calc_Daily!$R$2:$R$2001,(Metrics!$H$1-180+4)))</f>
        <v>0</v>
      </c>
      <c r="O5">
        <f>IF((Metrics!$H$1-180+4)&lt;1,"",INDEX(Calc_Daily!$S$2:$S$2001,(Metrics!$H$1-180+4)))</f>
        <v>0</v>
      </c>
      <c r="P5">
        <f>IF((Metrics!$H$1-180+4)&lt;1,"",INDEX(Calc_Daily!$AM$2:$AM$2001,(Metrics!$H$1-180+4)))</f>
        <v>0</v>
      </c>
      <c r="Q5">
        <f>IF((Metrics!$H$1-180+4)&lt;1,"",INDEX(Calc_Daily!$AK$2:$AK$2001,(Metrics!$H$1-180+4)))</f>
        <v>0</v>
      </c>
      <c r="R5">
        <f>IF((Metrics!$H$1-180+4)&lt;1,"",INDEX(Calc_Daily!$AN$2:$AN$2001,(Metrics!$H$1-180+4)))</f>
        <v>0</v>
      </c>
      <c r="S5">
        <f>IF((Metrics!$H$1-180+4)&lt;1,"",INDEX(Calc_Daily!$AD$2:$AD$2001,(Metrics!$H$1-180+4)))</f>
        <v>0</v>
      </c>
      <c r="T5">
        <f>IF((Metrics!$H$1-180+4)&lt;1,"",INDEX(Calc_Daily!$AT$2:$AT$2001,(Metrics!$H$1-180+4)))</f>
        <v>0</v>
      </c>
      <c r="U5">
        <f>IF((Metrics!$H$1-180+4)&lt;1,"",INDEX(Calc_Daily!$AQ$2:$AQ$2001,(Metrics!$H$1-180+4)))</f>
        <v>0</v>
      </c>
      <c r="V5">
        <f>IF((Metrics!$H$1-180+4)&lt;1,"",INDEX(Calc_Daily!$AR$2:$AR$2001,(Metrics!$H$1-180+4)))</f>
        <v>0</v>
      </c>
    </row>
    <row r="6" spans="1:22">
      <c r="A6" s="27">
        <f>IF((Metrics!$H$1-180+5)&lt;1,"",INDEX(Calc_Daily!$A$2:$A$2001,(Metrics!$H$1-180+5)))</f>
        <v>0</v>
      </c>
      <c r="B6">
        <f>IF((Metrics!$H$1-180+5)&lt;1,"",INDEX(Calc_Daily!$B$2:$B$2001,(Metrics!$H$1-180+5)))</f>
        <v>0</v>
      </c>
      <c r="C6">
        <f>IF((Metrics!$H$1-180+5)&lt;1,"",INDEX(Calc_Daily!$C$2:$C$2001,(Metrics!$H$1-180+5)))</f>
        <v>0</v>
      </c>
      <c r="D6">
        <f>IF((Metrics!$H$1-180+5)&lt;1,"",INDEX(Calc_Daily!$D$2:$D$2001,(Metrics!$H$1-180+5)))</f>
        <v>0</v>
      </c>
      <c r="E6">
        <f>IF((Metrics!$H$1-180+5)&lt;1,"",INDEX(Calc_Daily!$E$2:$E$2001,(Metrics!$H$1-180+5)))</f>
        <v>0</v>
      </c>
      <c r="F6">
        <f>IF((Metrics!$H$1-180+5)&lt;1,"",INDEX(Calc_Daily!$H$2:$H$2001,(Metrics!$H$1-180+5)))</f>
        <v>0</v>
      </c>
      <c r="G6">
        <f>IF((Metrics!$H$1-180+5)&lt;1,"",INDEX(Calc_Daily!$I$2:$I$2001,(Metrics!$H$1-180+5)))</f>
        <v>0</v>
      </c>
      <c r="H6">
        <f>IF((Metrics!$H$1-180+5)&lt;1,"",INDEX(Calc_Daily!$J$2:$J$2001,(Metrics!$H$1-180+5)))</f>
        <v>0</v>
      </c>
      <c r="I6">
        <f>IF((Metrics!$H$1-180+5)&lt;1,"",INDEX(Calc_Daily!$K$2:$K$2001,(Metrics!$H$1-180+5)))</f>
        <v>0</v>
      </c>
      <c r="J6">
        <f>IF((Metrics!$H$1-180+5)&lt;1,"",INDEX(Calc_Daily!$N$2:$N$2001,(Metrics!$H$1-180+5)))</f>
        <v>0</v>
      </c>
      <c r="K6">
        <f>IF((Metrics!$H$1-180+5)&lt;1,"",70)</f>
        <v>0</v>
      </c>
      <c r="L6">
        <f>IF((Metrics!$H$1-180+5)&lt;1,"",30)</f>
        <v>0</v>
      </c>
      <c r="M6">
        <f>IF((Metrics!$H$1-180+5)&lt;1,"",INDEX(Calc_Daily!$Q$2:$Q$2001,(Metrics!$H$1-180+5)))</f>
        <v>0</v>
      </c>
      <c r="N6">
        <f>IF((Metrics!$H$1-180+5)&lt;1,"",INDEX(Calc_Daily!$R$2:$R$2001,(Metrics!$H$1-180+5)))</f>
        <v>0</v>
      </c>
      <c r="O6">
        <f>IF((Metrics!$H$1-180+5)&lt;1,"",INDEX(Calc_Daily!$S$2:$S$2001,(Metrics!$H$1-180+5)))</f>
        <v>0</v>
      </c>
      <c r="P6">
        <f>IF((Metrics!$H$1-180+5)&lt;1,"",INDEX(Calc_Daily!$AM$2:$AM$2001,(Metrics!$H$1-180+5)))</f>
        <v>0</v>
      </c>
      <c r="Q6">
        <f>IF((Metrics!$H$1-180+5)&lt;1,"",INDEX(Calc_Daily!$AK$2:$AK$2001,(Metrics!$H$1-180+5)))</f>
        <v>0</v>
      </c>
      <c r="R6">
        <f>IF((Metrics!$H$1-180+5)&lt;1,"",INDEX(Calc_Daily!$AN$2:$AN$2001,(Metrics!$H$1-180+5)))</f>
        <v>0</v>
      </c>
      <c r="S6">
        <f>IF((Metrics!$H$1-180+5)&lt;1,"",INDEX(Calc_Daily!$AD$2:$AD$2001,(Metrics!$H$1-180+5)))</f>
        <v>0</v>
      </c>
      <c r="T6">
        <f>IF((Metrics!$H$1-180+5)&lt;1,"",INDEX(Calc_Daily!$AT$2:$AT$2001,(Metrics!$H$1-180+5)))</f>
        <v>0</v>
      </c>
      <c r="U6">
        <f>IF((Metrics!$H$1-180+5)&lt;1,"",INDEX(Calc_Daily!$AQ$2:$AQ$2001,(Metrics!$H$1-180+5)))</f>
        <v>0</v>
      </c>
      <c r="V6">
        <f>IF((Metrics!$H$1-180+5)&lt;1,"",INDEX(Calc_Daily!$AR$2:$AR$2001,(Metrics!$H$1-180+5)))</f>
        <v>0</v>
      </c>
    </row>
    <row r="7" spans="1:22">
      <c r="A7" s="27">
        <f>IF((Metrics!$H$1-180+6)&lt;1,"",INDEX(Calc_Daily!$A$2:$A$2001,(Metrics!$H$1-180+6)))</f>
        <v>0</v>
      </c>
      <c r="B7">
        <f>IF((Metrics!$H$1-180+6)&lt;1,"",INDEX(Calc_Daily!$B$2:$B$2001,(Metrics!$H$1-180+6)))</f>
        <v>0</v>
      </c>
      <c r="C7">
        <f>IF((Metrics!$H$1-180+6)&lt;1,"",INDEX(Calc_Daily!$C$2:$C$2001,(Metrics!$H$1-180+6)))</f>
        <v>0</v>
      </c>
      <c r="D7">
        <f>IF((Metrics!$H$1-180+6)&lt;1,"",INDEX(Calc_Daily!$D$2:$D$2001,(Metrics!$H$1-180+6)))</f>
        <v>0</v>
      </c>
      <c r="E7">
        <f>IF((Metrics!$H$1-180+6)&lt;1,"",INDEX(Calc_Daily!$E$2:$E$2001,(Metrics!$H$1-180+6)))</f>
        <v>0</v>
      </c>
      <c r="F7">
        <f>IF((Metrics!$H$1-180+6)&lt;1,"",INDEX(Calc_Daily!$H$2:$H$2001,(Metrics!$H$1-180+6)))</f>
        <v>0</v>
      </c>
      <c r="G7">
        <f>IF((Metrics!$H$1-180+6)&lt;1,"",INDEX(Calc_Daily!$I$2:$I$2001,(Metrics!$H$1-180+6)))</f>
        <v>0</v>
      </c>
      <c r="H7">
        <f>IF((Metrics!$H$1-180+6)&lt;1,"",INDEX(Calc_Daily!$J$2:$J$2001,(Metrics!$H$1-180+6)))</f>
        <v>0</v>
      </c>
      <c r="I7">
        <f>IF((Metrics!$H$1-180+6)&lt;1,"",INDEX(Calc_Daily!$K$2:$K$2001,(Metrics!$H$1-180+6)))</f>
        <v>0</v>
      </c>
      <c r="J7">
        <f>IF((Metrics!$H$1-180+6)&lt;1,"",INDEX(Calc_Daily!$N$2:$N$2001,(Metrics!$H$1-180+6)))</f>
        <v>0</v>
      </c>
      <c r="K7">
        <f>IF((Metrics!$H$1-180+6)&lt;1,"",70)</f>
        <v>0</v>
      </c>
      <c r="L7">
        <f>IF((Metrics!$H$1-180+6)&lt;1,"",30)</f>
        <v>0</v>
      </c>
      <c r="M7">
        <f>IF((Metrics!$H$1-180+6)&lt;1,"",INDEX(Calc_Daily!$Q$2:$Q$2001,(Metrics!$H$1-180+6)))</f>
        <v>0</v>
      </c>
      <c r="N7">
        <f>IF((Metrics!$H$1-180+6)&lt;1,"",INDEX(Calc_Daily!$R$2:$R$2001,(Metrics!$H$1-180+6)))</f>
        <v>0</v>
      </c>
      <c r="O7">
        <f>IF((Metrics!$H$1-180+6)&lt;1,"",INDEX(Calc_Daily!$S$2:$S$2001,(Metrics!$H$1-180+6)))</f>
        <v>0</v>
      </c>
      <c r="P7">
        <f>IF((Metrics!$H$1-180+6)&lt;1,"",INDEX(Calc_Daily!$AM$2:$AM$2001,(Metrics!$H$1-180+6)))</f>
        <v>0</v>
      </c>
      <c r="Q7">
        <f>IF((Metrics!$H$1-180+6)&lt;1,"",INDEX(Calc_Daily!$AK$2:$AK$2001,(Metrics!$H$1-180+6)))</f>
        <v>0</v>
      </c>
      <c r="R7">
        <f>IF((Metrics!$H$1-180+6)&lt;1,"",INDEX(Calc_Daily!$AN$2:$AN$2001,(Metrics!$H$1-180+6)))</f>
        <v>0</v>
      </c>
      <c r="S7">
        <f>IF((Metrics!$H$1-180+6)&lt;1,"",INDEX(Calc_Daily!$AD$2:$AD$2001,(Metrics!$H$1-180+6)))</f>
        <v>0</v>
      </c>
      <c r="T7">
        <f>IF((Metrics!$H$1-180+6)&lt;1,"",INDEX(Calc_Daily!$AT$2:$AT$2001,(Metrics!$H$1-180+6)))</f>
        <v>0</v>
      </c>
      <c r="U7">
        <f>IF((Metrics!$H$1-180+6)&lt;1,"",INDEX(Calc_Daily!$AQ$2:$AQ$2001,(Metrics!$H$1-180+6)))</f>
        <v>0</v>
      </c>
      <c r="V7">
        <f>IF((Metrics!$H$1-180+6)&lt;1,"",INDEX(Calc_Daily!$AR$2:$AR$2001,(Metrics!$H$1-180+6)))</f>
        <v>0</v>
      </c>
    </row>
    <row r="8" spans="1:22">
      <c r="A8" s="27">
        <f>IF((Metrics!$H$1-180+7)&lt;1,"",INDEX(Calc_Daily!$A$2:$A$2001,(Metrics!$H$1-180+7)))</f>
        <v>0</v>
      </c>
      <c r="B8">
        <f>IF((Metrics!$H$1-180+7)&lt;1,"",INDEX(Calc_Daily!$B$2:$B$2001,(Metrics!$H$1-180+7)))</f>
        <v>0</v>
      </c>
      <c r="C8">
        <f>IF((Metrics!$H$1-180+7)&lt;1,"",INDEX(Calc_Daily!$C$2:$C$2001,(Metrics!$H$1-180+7)))</f>
        <v>0</v>
      </c>
      <c r="D8">
        <f>IF((Metrics!$H$1-180+7)&lt;1,"",INDEX(Calc_Daily!$D$2:$D$2001,(Metrics!$H$1-180+7)))</f>
        <v>0</v>
      </c>
      <c r="E8">
        <f>IF((Metrics!$H$1-180+7)&lt;1,"",INDEX(Calc_Daily!$E$2:$E$2001,(Metrics!$H$1-180+7)))</f>
        <v>0</v>
      </c>
      <c r="F8">
        <f>IF((Metrics!$H$1-180+7)&lt;1,"",INDEX(Calc_Daily!$H$2:$H$2001,(Metrics!$H$1-180+7)))</f>
        <v>0</v>
      </c>
      <c r="G8">
        <f>IF((Metrics!$H$1-180+7)&lt;1,"",INDEX(Calc_Daily!$I$2:$I$2001,(Metrics!$H$1-180+7)))</f>
        <v>0</v>
      </c>
      <c r="H8">
        <f>IF((Metrics!$H$1-180+7)&lt;1,"",INDEX(Calc_Daily!$J$2:$J$2001,(Metrics!$H$1-180+7)))</f>
        <v>0</v>
      </c>
      <c r="I8">
        <f>IF((Metrics!$H$1-180+7)&lt;1,"",INDEX(Calc_Daily!$K$2:$K$2001,(Metrics!$H$1-180+7)))</f>
        <v>0</v>
      </c>
      <c r="J8">
        <f>IF((Metrics!$H$1-180+7)&lt;1,"",INDEX(Calc_Daily!$N$2:$N$2001,(Metrics!$H$1-180+7)))</f>
        <v>0</v>
      </c>
      <c r="K8">
        <f>IF((Metrics!$H$1-180+7)&lt;1,"",70)</f>
        <v>0</v>
      </c>
      <c r="L8">
        <f>IF((Metrics!$H$1-180+7)&lt;1,"",30)</f>
        <v>0</v>
      </c>
      <c r="M8">
        <f>IF((Metrics!$H$1-180+7)&lt;1,"",INDEX(Calc_Daily!$Q$2:$Q$2001,(Metrics!$H$1-180+7)))</f>
        <v>0</v>
      </c>
      <c r="N8">
        <f>IF((Metrics!$H$1-180+7)&lt;1,"",INDEX(Calc_Daily!$R$2:$R$2001,(Metrics!$H$1-180+7)))</f>
        <v>0</v>
      </c>
      <c r="O8">
        <f>IF((Metrics!$H$1-180+7)&lt;1,"",INDEX(Calc_Daily!$S$2:$S$2001,(Metrics!$H$1-180+7)))</f>
        <v>0</v>
      </c>
      <c r="P8">
        <f>IF((Metrics!$H$1-180+7)&lt;1,"",INDEX(Calc_Daily!$AM$2:$AM$2001,(Metrics!$H$1-180+7)))</f>
        <v>0</v>
      </c>
      <c r="Q8">
        <f>IF((Metrics!$H$1-180+7)&lt;1,"",INDEX(Calc_Daily!$AK$2:$AK$2001,(Metrics!$H$1-180+7)))</f>
        <v>0</v>
      </c>
      <c r="R8">
        <f>IF((Metrics!$H$1-180+7)&lt;1,"",INDEX(Calc_Daily!$AN$2:$AN$2001,(Metrics!$H$1-180+7)))</f>
        <v>0</v>
      </c>
      <c r="S8">
        <f>IF((Metrics!$H$1-180+7)&lt;1,"",INDEX(Calc_Daily!$AD$2:$AD$2001,(Metrics!$H$1-180+7)))</f>
        <v>0</v>
      </c>
      <c r="T8">
        <f>IF((Metrics!$H$1-180+7)&lt;1,"",INDEX(Calc_Daily!$AT$2:$AT$2001,(Metrics!$H$1-180+7)))</f>
        <v>0</v>
      </c>
      <c r="U8">
        <f>IF((Metrics!$H$1-180+7)&lt;1,"",INDEX(Calc_Daily!$AQ$2:$AQ$2001,(Metrics!$H$1-180+7)))</f>
        <v>0</v>
      </c>
      <c r="V8">
        <f>IF((Metrics!$H$1-180+7)&lt;1,"",INDEX(Calc_Daily!$AR$2:$AR$2001,(Metrics!$H$1-180+7)))</f>
        <v>0</v>
      </c>
    </row>
    <row r="9" spans="1:22">
      <c r="A9" s="27">
        <f>IF((Metrics!$H$1-180+8)&lt;1,"",INDEX(Calc_Daily!$A$2:$A$2001,(Metrics!$H$1-180+8)))</f>
        <v>0</v>
      </c>
      <c r="B9">
        <f>IF((Metrics!$H$1-180+8)&lt;1,"",INDEX(Calc_Daily!$B$2:$B$2001,(Metrics!$H$1-180+8)))</f>
        <v>0</v>
      </c>
      <c r="C9">
        <f>IF((Metrics!$H$1-180+8)&lt;1,"",INDEX(Calc_Daily!$C$2:$C$2001,(Metrics!$H$1-180+8)))</f>
        <v>0</v>
      </c>
      <c r="D9">
        <f>IF((Metrics!$H$1-180+8)&lt;1,"",INDEX(Calc_Daily!$D$2:$D$2001,(Metrics!$H$1-180+8)))</f>
        <v>0</v>
      </c>
      <c r="E9">
        <f>IF((Metrics!$H$1-180+8)&lt;1,"",INDEX(Calc_Daily!$E$2:$E$2001,(Metrics!$H$1-180+8)))</f>
        <v>0</v>
      </c>
      <c r="F9">
        <f>IF((Metrics!$H$1-180+8)&lt;1,"",INDEX(Calc_Daily!$H$2:$H$2001,(Metrics!$H$1-180+8)))</f>
        <v>0</v>
      </c>
      <c r="G9">
        <f>IF((Metrics!$H$1-180+8)&lt;1,"",INDEX(Calc_Daily!$I$2:$I$2001,(Metrics!$H$1-180+8)))</f>
        <v>0</v>
      </c>
      <c r="H9">
        <f>IF((Metrics!$H$1-180+8)&lt;1,"",INDEX(Calc_Daily!$J$2:$J$2001,(Metrics!$H$1-180+8)))</f>
        <v>0</v>
      </c>
      <c r="I9">
        <f>IF((Metrics!$H$1-180+8)&lt;1,"",INDEX(Calc_Daily!$K$2:$K$2001,(Metrics!$H$1-180+8)))</f>
        <v>0</v>
      </c>
      <c r="J9">
        <f>IF((Metrics!$H$1-180+8)&lt;1,"",INDEX(Calc_Daily!$N$2:$N$2001,(Metrics!$H$1-180+8)))</f>
        <v>0</v>
      </c>
      <c r="K9">
        <f>IF((Metrics!$H$1-180+8)&lt;1,"",70)</f>
        <v>0</v>
      </c>
      <c r="L9">
        <f>IF((Metrics!$H$1-180+8)&lt;1,"",30)</f>
        <v>0</v>
      </c>
      <c r="M9">
        <f>IF((Metrics!$H$1-180+8)&lt;1,"",INDEX(Calc_Daily!$Q$2:$Q$2001,(Metrics!$H$1-180+8)))</f>
        <v>0</v>
      </c>
      <c r="N9">
        <f>IF((Metrics!$H$1-180+8)&lt;1,"",INDEX(Calc_Daily!$R$2:$R$2001,(Metrics!$H$1-180+8)))</f>
        <v>0</v>
      </c>
      <c r="O9">
        <f>IF((Metrics!$H$1-180+8)&lt;1,"",INDEX(Calc_Daily!$S$2:$S$2001,(Metrics!$H$1-180+8)))</f>
        <v>0</v>
      </c>
      <c r="P9">
        <f>IF((Metrics!$H$1-180+8)&lt;1,"",INDEX(Calc_Daily!$AM$2:$AM$2001,(Metrics!$H$1-180+8)))</f>
        <v>0</v>
      </c>
      <c r="Q9">
        <f>IF((Metrics!$H$1-180+8)&lt;1,"",INDEX(Calc_Daily!$AK$2:$AK$2001,(Metrics!$H$1-180+8)))</f>
        <v>0</v>
      </c>
      <c r="R9">
        <f>IF((Metrics!$H$1-180+8)&lt;1,"",INDEX(Calc_Daily!$AN$2:$AN$2001,(Metrics!$H$1-180+8)))</f>
        <v>0</v>
      </c>
      <c r="S9">
        <f>IF((Metrics!$H$1-180+8)&lt;1,"",INDEX(Calc_Daily!$AD$2:$AD$2001,(Metrics!$H$1-180+8)))</f>
        <v>0</v>
      </c>
      <c r="T9">
        <f>IF((Metrics!$H$1-180+8)&lt;1,"",INDEX(Calc_Daily!$AT$2:$AT$2001,(Metrics!$H$1-180+8)))</f>
        <v>0</v>
      </c>
      <c r="U9">
        <f>IF((Metrics!$H$1-180+8)&lt;1,"",INDEX(Calc_Daily!$AQ$2:$AQ$2001,(Metrics!$H$1-180+8)))</f>
        <v>0</v>
      </c>
      <c r="V9">
        <f>IF((Metrics!$H$1-180+8)&lt;1,"",INDEX(Calc_Daily!$AR$2:$AR$2001,(Metrics!$H$1-180+8)))</f>
        <v>0</v>
      </c>
    </row>
    <row r="10" spans="1:22">
      <c r="A10" s="27">
        <f>IF((Metrics!$H$1-180+9)&lt;1,"",INDEX(Calc_Daily!$A$2:$A$2001,(Metrics!$H$1-180+9)))</f>
        <v>0</v>
      </c>
      <c r="B10">
        <f>IF((Metrics!$H$1-180+9)&lt;1,"",INDEX(Calc_Daily!$B$2:$B$2001,(Metrics!$H$1-180+9)))</f>
        <v>0</v>
      </c>
      <c r="C10">
        <f>IF((Metrics!$H$1-180+9)&lt;1,"",INDEX(Calc_Daily!$C$2:$C$2001,(Metrics!$H$1-180+9)))</f>
        <v>0</v>
      </c>
      <c r="D10">
        <f>IF((Metrics!$H$1-180+9)&lt;1,"",INDEX(Calc_Daily!$D$2:$D$2001,(Metrics!$H$1-180+9)))</f>
        <v>0</v>
      </c>
      <c r="E10">
        <f>IF((Metrics!$H$1-180+9)&lt;1,"",INDEX(Calc_Daily!$E$2:$E$2001,(Metrics!$H$1-180+9)))</f>
        <v>0</v>
      </c>
      <c r="F10">
        <f>IF((Metrics!$H$1-180+9)&lt;1,"",INDEX(Calc_Daily!$H$2:$H$2001,(Metrics!$H$1-180+9)))</f>
        <v>0</v>
      </c>
      <c r="G10">
        <f>IF((Metrics!$H$1-180+9)&lt;1,"",INDEX(Calc_Daily!$I$2:$I$2001,(Metrics!$H$1-180+9)))</f>
        <v>0</v>
      </c>
      <c r="H10">
        <f>IF((Metrics!$H$1-180+9)&lt;1,"",INDEX(Calc_Daily!$J$2:$J$2001,(Metrics!$H$1-180+9)))</f>
        <v>0</v>
      </c>
      <c r="I10">
        <f>IF((Metrics!$H$1-180+9)&lt;1,"",INDEX(Calc_Daily!$K$2:$K$2001,(Metrics!$H$1-180+9)))</f>
        <v>0</v>
      </c>
      <c r="J10">
        <f>IF((Metrics!$H$1-180+9)&lt;1,"",INDEX(Calc_Daily!$N$2:$N$2001,(Metrics!$H$1-180+9)))</f>
        <v>0</v>
      </c>
      <c r="K10">
        <f>IF((Metrics!$H$1-180+9)&lt;1,"",70)</f>
        <v>0</v>
      </c>
      <c r="L10">
        <f>IF((Metrics!$H$1-180+9)&lt;1,"",30)</f>
        <v>0</v>
      </c>
      <c r="M10">
        <f>IF((Metrics!$H$1-180+9)&lt;1,"",INDEX(Calc_Daily!$Q$2:$Q$2001,(Metrics!$H$1-180+9)))</f>
        <v>0</v>
      </c>
      <c r="N10">
        <f>IF((Metrics!$H$1-180+9)&lt;1,"",INDEX(Calc_Daily!$R$2:$R$2001,(Metrics!$H$1-180+9)))</f>
        <v>0</v>
      </c>
      <c r="O10">
        <f>IF((Metrics!$H$1-180+9)&lt;1,"",INDEX(Calc_Daily!$S$2:$S$2001,(Metrics!$H$1-180+9)))</f>
        <v>0</v>
      </c>
      <c r="P10">
        <f>IF((Metrics!$H$1-180+9)&lt;1,"",INDEX(Calc_Daily!$AM$2:$AM$2001,(Metrics!$H$1-180+9)))</f>
        <v>0</v>
      </c>
      <c r="Q10">
        <f>IF((Metrics!$H$1-180+9)&lt;1,"",INDEX(Calc_Daily!$AK$2:$AK$2001,(Metrics!$H$1-180+9)))</f>
        <v>0</v>
      </c>
      <c r="R10">
        <f>IF((Metrics!$H$1-180+9)&lt;1,"",INDEX(Calc_Daily!$AN$2:$AN$2001,(Metrics!$H$1-180+9)))</f>
        <v>0</v>
      </c>
      <c r="S10">
        <f>IF((Metrics!$H$1-180+9)&lt;1,"",INDEX(Calc_Daily!$AD$2:$AD$2001,(Metrics!$H$1-180+9)))</f>
        <v>0</v>
      </c>
      <c r="T10">
        <f>IF((Metrics!$H$1-180+9)&lt;1,"",INDEX(Calc_Daily!$AT$2:$AT$2001,(Metrics!$H$1-180+9)))</f>
        <v>0</v>
      </c>
      <c r="U10">
        <f>IF((Metrics!$H$1-180+9)&lt;1,"",INDEX(Calc_Daily!$AQ$2:$AQ$2001,(Metrics!$H$1-180+9)))</f>
        <v>0</v>
      </c>
      <c r="V10">
        <f>IF((Metrics!$H$1-180+9)&lt;1,"",INDEX(Calc_Daily!$AR$2:$AR$2001,(Metrics!$H$1-180+9)))</f>
        <v>0</v>
      </c>
    </row>
    <row r="11" spans="1:22">
      <c r="A11" s="27">
        <f>IF((Metrics!$H$1-180+10)&lt;1,"",INDEX(Calc_Daily!$A$2:$A$2001,(Metrics!$H$1-180+10)))</f>
        <v>0</v>
      </c>
      <c r="B11">
        <f>IF((Metrics!$H$1-180+10)&lt;1,"",INDEX(Calc_Daily!$B$2:$B$2001,(Metrics!$H$1-180+10)))</f>
        <v>0</v>
      </c>
      <c r="C11">
        <f>IF((Metrics!$H$1-180+10)&lt;1,"",INDEX(Calc_Daily!$C$2:$C$2001,(Metrics!$H$1-180+10)))</f>
        <v>0</v>
      </c>
      <c r="D11">
        <f>IF((Metrics!$H$1-180+10)&lt;1,"",INDEX(Calc_Daily!$D$2:$D$2001,(Metrics!$H$1-180+10)))</f>
        <v>0</v>
      </c>
      <c r="E11">
        <f>IF((Metrics!$H$1-180+10)&lt;1,"",INDEX(Calc_Daily!$E$2:$E$2001,(Metrics!$H$1-180+10)))</f>
        <v>0</v>
      </c>
      <c r="F11">
        <f>IF((Metrics!$H$1-180+10)&lt;1,"",INDEX(Calc_Daily!$H$2:$H$2001,(Metrics!$H$1-180+10)))</f>
        <v>0</v>
      </c>
      <c r="G11">
        <f>IF((Metrics!$H$1-180+10)&lt;1,"",INDEX(Calc_Daily!$I$2:$I$2001,(Metrics!$H$1-180+10)))</f>
        <v>0</v>
      </c>
      <c r="H11">
        <f>IF((Metrics!$H$1-180+10)&lt;1,"",INDEX(Calc_Daily!$J$2:$J$2001,(Metrics!$H$1-180+10)))</f>
        <v>0</v>
      </c>
      <c r="I11">
        <f>IF((Metrics!$H$1-180+10)&lt;1,"",INDEX(Calc_Daily!$K$2:$K$2001,(Metrics!$H$1-180+10)))</f>
        <v>0</v>
      </c>
      <c r="J11">
        <f>IF((Metrics!$H$1-180+10)&lt;1,"",INDEX(Calc_Daily!$N$2:$N$2001,(Metrics!$H$1-180+10)))</f>
        <v>0</v>
      </c>
      <c r="K11">
        <f>IF((Metrics!$H$1-180+10)&lt;1,"",70)</f>
        <v>0</v>
      </c>
      <c r="L11">
        <f>IF((Metrics!$H$1-180+10)&lt;1,"",30)</f>
        <v>0</v>
      </c>
      <c r="M11">
        <f>IF((Metrics!$H$1-180+10)&lt;1,"",INDEX(Calc_Daily!$Q$2:$Q$2001,(Metrics!$H$1-180+10)))</f>
        <v>0</v>
      </c>
      <c r="N11">
        <f>IF((Metrics!$H$1-180+10)&lt;1,"",INDEX(Calc_Daily!$R$2:$R$2001,(Metrics!$H$1-180+10)))</f>
        <v>0</v>
      </c>
      <c r="O11">
        <f>IF((Metrics!$H$1-180+10)&lt;1,"",INDEX(Calc_Daily!$S$2:$S$2001,(Metrics!$H$1-180+10)))</f>
        <v>0</v>
      </c>
      <c r="P11">
        <f>IF((Metrics!$H$1-180+10)&lt;1,"",INDEX(Calc_Daily!$AM$2:$AM$2001,(Metrics!$H$1-180+10)))</f>
        <v>0</v>
      </c>
      <c r="Q11">
        <f>IF((Metrics!$H$1-180+10)&lt;1,"",INDEX(Calc_Daily!$AK$2:$AK$2001,(Metrics!$H$1-180+10)))</f>
        <v>0</v>
      </c>
      <c r="R11">
        <f>IF((Metrics!$H$1-180+10)&lt;1,"",INDEX(Calc_Daily!$AN$2:$AN$2001,(Metrics!$H$1-180+10)))</f>
        <v>0</v>
      </c>
      <c r="S11">
        <f>IF((Metrics!$H$1-180+10)&lt;1,"",INDEX(Calc_Daily!$AD$2:$AD$2001,(Metrics!$H$1-180+10)))</f>
        <v>0</v>
      </c>
      <c r="T11">
        <f>IF((Metrics!$H$1-180+10)&lt;1,"",INDEX(Calc_Daily!$AT$2:$AT$2001,(Metrics!$H$1-180+10)))</f>
        <v>0</v>
      </c>
      <c r="U11">
        <f>IF((Metrics!$H$1-180+10)&lt;1,"",INDEX(Calc_Daily!$AQ$2:$AQ$2001,(Metrics!$H$1-180+10)))</f>
        <v>0</v>
      </c>
      <c r="V11">
        <f>IF((Metrics!$H$1-180+10)&lt;1,"",INDEX(Calc_Daily!$AR$2:$AR$2001,(Metrics!$H$1-180+10)))</f>
        <v>0</v>
      </c>
    </row>
    <row r="12" spans="1:22">
      <c r="A12" s="27">
        <f>IF((Metrics!$H$1-180+11)&lt;1,"",INDEX(Calc_Daily!$A$2:$A$2001,(Metrics!$H$1-180+11)))</f>
        <v>0</v>
      </c>
      <c r="B12">
        <f>IF((Metrics!$H$1-180+11)&lt;1,"",INDEX(Calc_Daily!$B$2:$B$2001,(Metrics!$H$1-180+11)))</f>
        <v>0</v>
      </c>
      <c r="C12">
        <f>IF((Metrics!$H$1-180+11)&lt;1,"",INDEX(Calc_Daily!$C$2:$C$2001,(Metrics!$H$1-180+11)))</f>
        <v>0</v>
      </c>
      <c r="D12">
        <f>IF((Metrics!$H$1-180+11)&lt;1,"",INDEX(Calc_Daily!$D$2:$D$2001,(Metrics!$H$1-180+11)))</f>
        <v>0</v>
      </c>
      <c r="E12">
        <f>IF((Metrics!$H$1-180+11)&lt;1,"",INDEX(Calc_Daily!$E$2:$E$2001,(Metrics!$H$1-180+11)))</f>
        <v>0</v>
      </c>
      <c r="F12">
        <f>IF((Metrics!$H$1-180+11)&lt;1,"",INDEX(Calc_Daily!$H$2:$H$2001,(Metrics!$H$1-180+11)))</f>
        <v>0</v>
      </c>
      <c r="G12">
        <f>IF((Metrics!$H$1-180+11)&lt;1,"",INDEX(Calc_Daily!$I$2:$I$2001,(Metrics!$H$1-180+11)))</f>
        <v>0</v>
      </c>
      <c r="H12">
        <f>IF((Metrics!$H$1-180+11)&lt;1,"",INDEX(Calc_Daily!$J$2:$J$2001,(Metrics!$H$1-180+11)))</f>
        <v>0</v>
      </c>
      <c r="I12">
        <f>IF((Metrics!$H$1-180+11)&lt;1,"",INDEX(Calc_Daily!$K$2:$K$2001,(Metrics!$H$1-180+11)))</f>
        <v>0</v>
      </c>
      <c r="J12">
        <f>IF((Metrics!$H$1-180+11)&lt;1,"",INDEX(Calc_Daily!$N$2:$N$2001,(Metrics!$H$1-180+11)))</f>
        <v>0</v>
      </c>
      <c r="K12">
        <f>IF((Metrics!$H$1-180+11)&lt;1,"",70)</f>
        <v>0</v>
      </c>
      <c r="L12">
        <f>IF((Metrics!$H$1-180+11)&lt;1,"",30)</f>
        <v>0</v>
      </c>
      <c r="M12">
        <f>IF((Metrics!$H$1-180+11)&lt;1,"",INDEX(Calc_Daily!$Q$2:$Q$2001,(Metrics!$H$1-180+11)))</f>
        <v>0</v>
      </c>
      <c r="N12">
        <f>IF((Metrics!$H$1-180+11)&lt;1,"",INDEX(Calc_Daily!$R$2:$R$2001,(Metrics!$H$1-180+11)))</f>
        <v>0</v>
      </c>
      <c r="O12">
        <f>IF((Metrics!$H$1-180+11)&lt;1,"",INDEX(Calc_Daily!$S$2:$S$2001,(Metrics!$H$1-180+11)))</f>
        <v>0</v>
      </c>
      <c r="P12">
        <f>IF((Metrics!$H$1-180+11)&lt;1,"",INDEX(Calc_Daily!$AM$2:$AM$2001,(Metrics!$H$1-180+11)))</f>
        <v>0</v>
      </c>
      <c r="Q12">
        <f>IF((Metrics!$H$1-180+11)&lt;1,"",INDEX(Calc_Daily!$AK$2:$AK$2001,(Metrics!$H$1-180+11)))</f>
        <v>0</v>
      </c>
      <c r="R12">
        <f>IF((Metrics!$H$1-180+11)&lt;1,"",INDEX(Calc_Daily!$AN$2:$AN$2001,(Metrics!$H$1-180+11)))</f>
        <v>0</v>
      </c>
      <c r="S12">
        <f>IF((Metrics!$H$1-180+11)&lt;1,"",INDEX(Calc_Daily!$AD$2:$AD$2001,(Metrics!$H$1-180+11)))</f>
        <v>0</v>
      </c>
      <c r="T12">
        <f>IF((Metrics!$H$1-180+11)&lt;1,"",INDEX(Calc_Daily!$AT$2:$AT$2001,(Metrics!$H$1-180+11)))</f>
        <v>0</v>
      </c>
      <c r="U12">
        <f>IF((Metrics!$H$1-180+11)&lt;1,"",INDEX(Calc_Daily!$AQ$2:$AQ$2001,(Metrics!$H$1-180+11)))</f>
        <v>0</v>
      </c>
      <c r="V12">
        <f>IF((Metrics!$H$1-180+11)&lt;1,"",INDEX(Calc_Daily!$AR$2:$AR$2001,(Metrics!$H$1-180+11)))</f>
        <v>0</v>
      </c>
    </row>
    <row r="13" spans="1:22">
      <c r="A13" s="27">
        <f>IF((Metrics!$H$1-180+12)&lt;1,"",INDEX(Calc_Daily!$A$2:$A$2001,(Metrics!$H$1-180+12)))</f>
        <v>0</v>
      </c>
      <c r="B13">
        <f>IF((Metrics!$H$1-180+12)&lt;1,"",INDEX(Calc_Daily!$B$2:$B$2001,(Metrics!$H$1-180+12)))</f>
        <v>0</v>
      </c>
      <c r="C13">
        <f>IF((Metrics!$H$1-180+12)&lt;1,"",INDEX(Calc_Daily!$C$2:$C$2001,(Metrics!$H$1-180+12)))</f>
        <v>0</v>
      </c>
      <c r="D13">
        <f>IF((Metrics!$H$1-180+12)&lt;1,"",INDEX(Calc_Daily!$D$2:$D$2001,(Metrics!$H$1-180+12)))</f>
        <v>0</v>
      </c>
      <c r="E13">
        <f>IF((Metrics!$H$1-180+12)&lt;1,"",INDEX(Calc_Daily!$E$2:$E$2001,(Metrics!$H$1-180+12)))</f>
        <v>0</v>
      </c>
      <c r="F13">
        <f>IF((Metrics!$H$1-180+12)&lt;1,"",INDEX(Calc_Daily!$H$2:$H$2001,(Metrics!$H$1-180+12)))</f>
        <v>0</v>
      </c>
      <c r="G13">
        <f>IF((Metrics!$H$1-180+12)&lt;1,"",INDEX(Calc_Daily!$I$2:$I$2001,(Metrics!$H$1-180+12)))</f>
        <v>0</v>
      </c>
      <c r="H13">
        <f>IF((Metrics!$H$1-180+12)&lt;1,"",INDEX(Calc_Daily!$J$2:$J$2001,(Metrics!$H$1-180+12)))</f>
        <v>0</v>
      </c>
      <c r="I13">
        <f>IF((Metrics!$H$1-180+12)&lt;1,"",INDEX(Calc_Daily!$K$2:$K$2001,(Metrics!$H$1-180+12)))</f>
        <v>0</v>
      </c>
      <c r="J13">
        <f>IF((Metrics!$H$1-180+12)&lt;1,"",INDEX(Calc_Daily!$N$2:$N$2001,(Metrics!$H$1-180+12)))</f>
        <v>0</v>
      </c>
      <c r="K13">
        <f>IF((Metrics!$H$1-180+12)&lt;1,"",70)</f>
        <v>0</v>
      </c>
      <c r="L13">
        <f>IF((Metrics!$H$1-180+12)&lt;1,"",30)</f>
        <v>0</v>
      </c>
      <c r="M13">
        <f>IF((Metrics!$H$1-180+12)&lt;1,"",INDEX(Calc_Daily!$Q$2:$Q$2001,(Metrics!$H$1-180+12)))</f>
        <v>0</v>
      </c>
      <c r="N13">
        <f>IF((Metrics!$H$1-180+12)&lt;1,"",INDEX(Calc_Daily!$R$2:$R$2001,(Metrics!$H$1-180+12)))</f>
        <v>0</v>
      </c>
      <c r="O13">
        <f>IF((Metrics!$H$1-180+12)&lt;1,"",INDEX(Calc_Daily!$S$2:$S$2001,(Metrics!$H$1-180+12)))</f>
        <v>0</v>
      </c>
      <c r="P13">
        <f>IF((Metrics!$H$1-180+12)&lt;1,"",INDEX(Calc_Daily!$AM$2:$AM$2001,(Metrics!$H$1-180+12)))</f>
        <v>0</v>
      </c>
      <c r="Q13">
        <f>IF((Metrics!$H$1-180+12)&lt;1,"",INDEX(Calc_Daily!$AK$2:$AK$2001,(Metrics!$H$1-180+12)))</f>
        <v>0</v>
      </c>
      <c r="R13">
        <f>IF((Metrics!$H$1-180+12)&lt;1,"",INDEX(Calc_Daily!$AN$2:$AN$2001,(Metrics!$H$1-180+12)))</f>
        <v>0</v>
      </c>
      <c r="S13">
        <f>IF((Metrics!$H$1-180+12)&lt;1,"",INDEX(Calc_Daily!$AD$2:$AD$2001,(Metrics!$H$1-180+12)))</f>
        <v>0</v>
      </c>
      <c r="T13">
        <f>IF((Metrics!$H$1-180+12)&lt;1,"",INDEX(Calc_Daily!$AT$2:$AT$2001,(Metrics!$H$1-180+12)))</f>
        <v>0</v>
      </c>
      <c r="U13">
        <f>IF((Metrics!$H$1-180+12)&lt;1,"",INDEX(Calc_Daily!$AQ$2:$AQ$2001,(Metrics!$H$1-180+12)))</f>
        <v>0</v>
      </c>
      <c r="V13">
        <f>IF((Metrics!$H$1-180+12)&lt;1,"",INDEX(Calc_Daily!$AR$2:$AR$2001,(Metrics!$H$1-180+12)))</f>
        <v>0</v>
      </c>
    </row>
    <row r="14" spans="1:22">
      <c r="A14" s="27">
        <f>IF((Metrics!$H$1-180+13)&lt;1,"",INDEX(Calc_Daily!$A$2:$A$2001,(Metrics!$H$1-180+13)))</f>
        <v>0</v>
      </c>
      <c r="B14">
        <f>IF((Metrics!$H$1-180+13)&lt;1,"",INDEX(Calc_Daily!$B$2:$B$2001,(Metrics!$H$1-180+13)))</f>
        <v>0</v>
      </c>
      <c r="C14">
        <f>IF((Metrics!$H$1-180+13)&lt;1,"",INDEX(Calc_Daily!$C$2:$C$2001,(Metrics!$H$1-180+13)))</f>
        <v>0</v>
      </c>
      <c r="D14">
        <f>IF((Metrics!$H$1-180+13)&lt;1,"",INDEX(Calc_Daily!$D$2:$D$2001,(Metrics!$H$1-180+13)))</f>
        <v>0</v>
      </c>
      <c r="E14">
        <f>IF((Metrics!$H$1-180+13)&lt;1,"",INDEX(Calc_Daily!$E$2:$E$2001,(Metrics!$H$1-180+13)))</f>
        <v>0</v>
      </c>
      <c r="F14">
        <f>IF((Metrics!$H$1-180+13)&lt;1,"",INDEX(Calc_Daily!$H$2:$H$2001,(Metrics!$H$1-180+13)))</f>
        <v>0</v>
      </c>
      <c r="G14">
        <f>IF((Metrics!$H$1-180+13)&lt;1,"",INDEX(Calc_Daily!$I$2:$I$2001,(Metrics!$H$1-180+13)))</f>
        <v>0</v>
      </c>
      <c r="H14">
        <f>IF((Metrics!$H$1-180+13)&lt;1,"",INDEX(Calc_Daily!$J$2:$J$2001,(Metrics!$H$1-180+13)))</f>
        <v>0</v>
      </c>
      <c r="I14">
        <f>IF((Metrics!$H$1-180+13)&lt;1,"",INDEX(Calc_Daily!$K$2:$K$2001,(Metrics!$H$1-180+13)))</f>
        <v>0</v>
      </c>
      <c r="J14">
        <f>IF((Metrics!$H$1-180+13)&lt;1,"",INDEX(Calc_Daily!$N$2:$N$2001,(Metrics!$H$1-180+13)))</f>
        <v>0</v>
      </c>
      <c r="K14">
        <f>IF((Metrics!$H$1-180+13)&lt;1,"",70)</f>
        <v>0</v>
      </c>
      <c r="L14">
        <f>IF((Metrics!$H$1-180+13)&lt;1,"",30)</f>
        <v>0</v>
      </c>
      <c r="M14">
        <f>IF((Metrics!$H$1-180+13)&lt;1,"",INDEX(Calc_Daily!$Q$2:$Q$2001,(Metrics!$H$1-180+13)))</f>
        <v>0</v>
      </c>
      <c r="N14">
        <f>IF((Metrics!$H$1-180+13)&lt;1,"",INDEX(Calc_Daily!$R$2:$R$2001,(Metrics!$H$1-180+13)))</f>
        <v>0</v>
      </c>
      <c r="O14">
        <f>IF((Metrics!$H$1-180+13)&lt;1,"",INDEX(Calc_Daily!$S$2:$S$2001,(Metrics!$H$1-180+13)))</f>
        <v>0</v>
      </c>
      <c r="P14">
        <f>IF((Metrics!$H$1-180+13)&lt;1,"",INDEX(Calc_Daily!$AM$2:$AM$2001,(Metrics!$H$1-180+13)))</f>
        <v>0</v>
      </c>
      <c r="Q14">
        <f>IF((Metrics!$H$1-180+13)&lt;1,"",INDEX(Calc_Daily!$AK$2:$AK$2001,(Metrics!$H$1-180+13)))</f>
        <v>0</v>
      </c>
      <c r="R14">
        <f>IF((Metrics!$H$1-180+13)&lt;1,"",INDEX(Calc_Daily!$AN$2:$AN$2001,(Metrics!$H$1-180+13)))</f>
        <v>0</v>
      </c>
      <c r="S14">
        <f>IF((Metrics!$H$1-180+13)&lt;1,"",INDEX(Calc_Daily!$AD$2:$AD$2001,(Metrics!$H$1-180+13)))</f>
        <v>0</v>
      </c>
      <c r="T14">
        <f>IF((Metrics!$H$1-180+13)&lt;1,"",INDEX(Calc_Daily!$AT$2:$AT$2001,(Metrics!$H$1-180+13)))</f>
        <v>0</v>
      </c>
      <c r="U14">
        <f>IF((Metrics!$H$1-180+13)&lt;1,"",INDEX(Calc_Daily!$AQ$2:$AQ$2001,(Metrics!$H$1-180+13)))</f>
        <v>0</v>
      </c>
      <c r="V14">
        <f>IF((Metrics!$H$1-180+13)&lt;1,"",INDEX(Calc_Daily!$AR$2:$AR$2001,(Metrics!$H$1-180+13)))</f>
        <v>0</v>
      </c>
    </row>
    <row r="15" spans="1:22">
      <c r="A15" s="27">
        <f>IF((Metrics!$H$1-180+14)&lt;1,"",INDEX(Calc_Daily!$A$2:$A$2001,(Metrics!$H$1-180+14)))</f>
        <v>0</v>
      </c>
      <c r="B15">
        <f>IF((Metrics!$H$1-180+14)&lt;1,"",INDEX(Calc_Daily!$B$2:$B$2001,(Metrics!$H$1-180+14)))</f>
        <v>0</v>
      </c>
      <c r="C15">
        <f>IF((Metrics!$H$1-180+14)&lt;1,"",INDEX(Calc_Daily!$C$2:$C$2001,(Metrics!$H$1-180+14)))</f>
        <v>0</v>
      </c>
      <c r="D15">
        <f>IF((Metrics!$H$1-180+14)&lt;1,"",INDEX(Calc_Daily!$D$2:$D$2001,(Metrics!$H$1-180+14)))</f>
        <v>0</v>
      </c>
      <c r="E15">
        <f>IF((Metrics!$H$1-180+14)&lt;1,"",INDEX(Calc_Daily!$E$2:$E$2001,(Metrics!$H$1-180+14)))</f>
        <v>0</v>
      </c>
      <c r="F15">
        <f>IF((Metrics!$H$1-180+14)&lt;1,"",INDEX(Calc_Daily!$H$2:$H$2001,(Metrics!$H$1-180+14)))</f>
        <v>0</v>
      </c>
      <c r="G15">
        <f>IF((Metrics!$H$1-180+14)&lt;1,"",INDEX(Calc_Daily!$I$2:$I$2001,(Metrics!$H$1-180+14)))</f>
        <v>0</v>
      </c>
      <c r="H15">
        <f>IF((Metrics!$H$1-180+14)&lt;1,"",INDEX(Calc_Daily!$J$2:$J$2001,(Metrics!$H$1-180+14)))</f>
        <v>0</v>
      </c>
      <c r="I15">
        <f>IF((Metrics!$H$1-180+14)&lt;1,"",INDEX(Calc_Daily!$K$2:$K$2001,(Metrics!$H$1-180+14)))</f>
        <v>0</v>
      </c>
      <c r="J15">
        <f>IF((Metrics!$H$1-180+14)&lt;1,"",INDEX(Calc_Daily!$N$2:$N$2001,(Metrics!$H$1-180+14)))</f>
        <v>0</v>
      </c>
      <c r="K15">
        <f>IF((Metrics!$H$1-180+14)&lt;1,"",70)</f>
        <v>0</v>
      </c>
      <c r="L15">
        <f>IF((Metrics!$H$1-180+14)&lt;1,"",30)</f>
        <v>0</v>
      </c>
      <c r="M15">
        <f>IF((Metrics!$H$1-180+14)&lt;1,"",INDEX(Calc_Daily!$Q$2:$Q$2001,(Metrics!$H$1-180+14)))</f>
        <v>0</v>
      </c>
      <c r="N15">
        <f>IF((Metrics!$H$1-180+14)&lt;1,"",INDEX(Calc_Daily!$R$2:$R$2001,(Metrics!$H$1-180+14)))</f>
        <v>0</v>
      </c>
      <c r="O15">
        <f>IF((Metrics!$H$1-180+14)&lt;1,"",INDEX(Calc_Daily!$S$2:$S$2001,(Metrics!$H$1-180+14)))</f>
        <v>0</v>
      </c>
      <c r="P15">
        <f>IF((Metrics!$H$1-180+14)&lt;1,"",INDEX(Calc_Daily!$AM$2:$AM$2001,(Metrics!$H$1-180+14)))</f>
        <v>0</v>
      </c>
      <c r="Q15">
        <f>IF((Metrics!$H$1-180+14)&lt;1,"",INDEX(Calc_Daily!$AK$2:$AK$2001,(Metrics!$H$1-180+14)))</f>
        <v>0</v>
      </c>
      <c r="R15">
        <f>IF((Metrics!$H$1-180+14)&lt;1,"",INDEX(Calc_Daily!$AN$2:$AN$2001,(Metrics!$H$1-180+14)))</f>
        <v>0</v>
      </c>
      <c r="S15">
        <f>IF((Metrics!$H$1-180+14)&lt;1,"",INDEX(Calc_Daily!$AD$2:$AD$2001,(Metrics!$H$1-180+14)))</f>
        <v>0</v>
      </c>
      <c r="T15">
        <f>IF((Metrics!$H$1-180+14)&lt;1,"",INDEX(Calc_Daily!$AT$2:$AT$2001,(Metrics!$H$1-180+14)))</f>
        <v>0</v>
      </c>
      <c r="U15">
        <f>IF((Metrics!$H$1-180+14)&lt;1,"",INDEX(Calc_Daily!$AQ$2:$AQ$2001,(Metrics!$H$1-180+14)))</f>
        <v>0</v>
      </c>
      <c r="V15">
        <f>IF((Metrics!$H$1-180+14)&lt;1,"",INDEX(Calc_Daily!$AR$2:$AR$2001,(Metrics!$H$1-180+14)))</f>
        <v>0</v>
      </c>
    </row>
    <row r="16" spans="1:22">
      <c r="A16" s="27">
        <f>IF((Metrics!$H$1-180+15)&lt;1,"",INDEX(Calc_Daily!$A$2:$A$2001,(Metrics!$H$1-180+15)))</f>
        <v>0</v>
      </c>
      <c r="B16">
        <f>IF((Metrics!$H$1-180+15)&lt;1,"",INDEX(Calc_Daily!$B$2:$B$2001,(Metrics!$H$1-180+15)))</f>
        <v>0</v>
      </c>
      <c r="C16">
        <f>IF((Metrics!$H$1-180+15)&lt;1,"",INDEX(Calc_Daily!$C$2:$C$2001,(Metrics!$H$1-180+15)))</f>
        <v>0</v>
      </c>
      <c r="D16">
        <f>IF((Metrics!$H$1-180+15)&lt;1,"",INDEX(Calc_Daily!$D$2:$D$2001,(Metrics!$H$1-180+15)))</f>
        <v>0</v>
      </c>
      <c r="E16">
        <f>IF((Metrics!$H$1-180+15)&lt;1,"",INDEX(Calc_Daily!$E$2:$E$2001,(Metrics!$H$1-180+15)))</f>
        <v>0</v>
      </c>
      <c r="F16">
        <f>IF((Metrics!$H$1-180+15)&lt;1,"",INDEX(Calc_Daily!$H$2:$H$2001,(Metrics!$H$1-180+15)))</f>
        <v>0</v>
      </c>
      <c r="G16">
        <f>IF((Metrics!$H$1-180+15)&lt;1,"",INDEX(Calc_Daily!$I$2:$I$2001,(Metrics!$H$1-180+15)))</f>
        <v>0</v>
      </c>
      <c r="H16">
        <f>IF((Metrics!$H$1-180+15)&lt;1,"",INDEX(Calc_Daily!$J$2:$J$2001,(Metrics!$H$1-180+15)))</f>
        <v>0</v>
      </c>
      <c r="I16">
        <f>IF((Metrics!$H$1-180+15)&lt;1,"",INDEX(Calc_Daily!$K$2:$K$2001,(Metrics!$H$1-180+15)))</f>
        <v>0</v>
      </c>
      <c r="J16">
        <f>IF((Metrics!$H$1-180+15)&lt;1,"",INDEX(Calc_Daily!$N$2:$N$2001,(Metrics!$H$1-180+15)))</f>
        <v>0</v>
      </c>
      <c r="K16">
        <f>IF((Metrics!$H$1-180+15)&lt;1,"",70)</f>
        <v>0</v>
      </c>
      <c r="L16">
        <f>IF((Metrics!$H$1-180+15)&lt;1,"",30)</f>
        <v>0</v>
      </c>
      <c r="M16">
        <f>IF((Metrics!$H$1-180+15)&lt;1,"",INDEX(Calc_Daily!$Q$2:$Q$2001,(Metrics!$H$1-180+15)))</f>
        <v>0</v>
      </c>
      <c r="N16">
        <f>IF((Metrics!$H$1-180+15)&lt;1,"",INDEX(Calc_Daily!$R$2:$R$2001,(Metrics!$H$1-180+15)))</f>
        <v>0</v>
      </c>
      <c r="O16">
        <f>IF((Metrics!$H$1-180+15)&lt;1,"",INDEX(Calc_Daily!$S$2:$S$2001,(Metrics!$H$1-180+15)))</f>
        <v>0</v>
      </c>
      <c r="P16">
        <f>IF((Metrics!$H$1-180+15)&lt;1,"",INDEX(Calc_Daily!$AM$2:$AM$2001,(Metrics!$H$1-180+15)))</f>
        <v>0</v>
      </c>
      <c r="Q16">
        <f>IF((Metrics!$H$1-180+15)&lt;1,"",INDEX(Calc_Daily!$AK$2:$AK$2001,(Metrics!$H$1-180+15)))</f>
        <v>0</v>
      </c>
      <c r="R16">
        <f>IF((Metrics!$H$1-180+15)&lt;1,"",INDEX(Calc_Daily!$AN$2:$AN$2001,(Metrics!$H$1-180+15)))</f>
        <v>0</v>
      </c>
      <c r="S16">
        <f>IF((Metrics!$H$1-180+15)&lt;1,"",INDEX(Calc_Daily!$AD$2:$AD$2001,(Metrics!$H$1-180+15)))</f>
        <v>0</v>
      </c>
      <c r="T16">
        <f>IF((Metrics!$H$1-180+15)&lt;1,"",INDEX(Calc_Daily!$AT$2:$AT$2001,(Metrics!$H$1-180+15)))</f>
        <v>0</v>
      </c>
      <c r="U16">
        <f>IF((Metrics!$H$1-180+15)&lt;1,"",INDEX(Calc_Daily!$AQ$2:$AQ$2001,(Metrics!$H$1-180+15)))</f>
        <v>0</v>
      </c>
      <c r="V16">
        <f>IF((Metrics!$H$1-180+15)&lt;1,"",INDEX(Calc_Daily!$AR$2:$AR$2001,(Metrics!$H$1-180+15)))</f>
        <v>0</v>
      </c>
    </row>
    <row r="17" spans="1:22">
      <c r="A17" s="27">
        <f>IF((Metrics!$H$1-180+16)&lt;1,"",INDEX(Calc_Daily!$A$2:$A$2001,(Metrics!$H$1-180+16)))</f>
        <v>0</v>
      </c>
      <c r="B17">
        <f>IF((Metrics!$H$1-180+16)&lt;1,"",INDEX(Calc_Daily!$B$2:$B$2001,(Metrics!$H$1-180+16)))</f>
        <v>0</v>
      </c>
      <c r="C17">
        <f>IF((Metrics!$H$1-180+16)&lt;1,"",INDEX(Calc_Daily!$C$2:$C$2001,(Metrics!$H$1-180+16)))</f>
        <v>0</v>
      </c>
      <c r="D17">
        <f>IF((Metrics!$H$1-180+16)&lt;1,"",INDEX(Calc_Daily!$D$2:$D$2001,(Metrics!$H$1-180+16)))</f>
        <v>0</v>
      </c>
      <c r="E17">
        <f>IF((Metrics!$H$1-180+16)&lt;1,"",INDEX(Calc_Daily!$E$2:$E$2001,(Metrics!$H$1-180+16)))</f>
        <v>0</v>
      </c>
      <c r="F17">
        <f>IF((Metrics!$H$1-180+16)&lt;1,"",INDEX(Calc_Daily!$H$2:$H$2001,(Metrics!$H$1-180+16)))</f>
        <v>0</v>
      </c>
      <c r="G17">
        <f>IF((Metrics!$H$1-180+16)&lt;1,"",INDEX(Calc_Daily!$I$2:$I$2001,(Metrics!$H$1-180+16)))</f>
        <v>0</v>
      </c>
      <c r="H17">
        <f>IF((Metrics!$H$1-180+16)&lt;1,"",INDEX(Calc_Daily!$J$2:$J$2001,(Metrics!$H$1-180+16)))</f>
        <v>0</v>
      </c>
      <c r="I17">
        <f>IF((Metrics!$H$1-180+16)&lt;1,"",INDEX(Calc_Daily!$K$2:$K$2001,(Metrics!$H$1-180+16)))</f>
        <v>0</v>
      </c>
      <c r="J17">
        <f>IF((Metrics!$H$1-180+16)&lt;1,"",INDEX(Calc_Daily!$N$2:$N$2001,(Metrics!$H$1-180+16)))</f>
        <v>0</v>
      </c>
      <c r="K17">
        <f>IF((Metrics!$H$1-180+16)&lt;1,"",70)</f>
        <v>0</v>
      </c>
      <c r="L17">
        <f>IF((Metrics!$H$1-180+16)&lt;1,"",30)</f>
        <v>0</v>
      </c>
      <c r="M17">
        <f>IF((Metrics!$H$1-180+16)&lt;1,"",INDEX(Calc_Daily!$Q$2:$Q$2001,(Metrics!$H$1-180+16)))</f>
        <v>0</v>
      </c>
      <c r="N17">
        <f>IF((Metrics!$H$1-180+16)&lt;1,"",INDEX(Calc_Daily!$R$2:$R$2001,(Metrics!$H$1-180+16)))</f>
        <v>0</v>
      </c>
      <c r="O17">
        <f>IF((Metrics!$H$1-180+16)&lt;1,"",INDEX(Calc_Daily!$S$2:$S$2001,(Metrics!$H$1-180+16)))</f>
        <v>0</v>
      </c>
      <c r="P17">
        <f>IF((Metrics!$H$1-180+16)&lt;1,"",INDEX(Calc_Daily!$AM$2:$AM$2001,(Metrics!$H$1-180+16)))</f>
        <v>0</v>
      </c>
      <c r="Q17">
        <f>IF((Metrics!$H$1-180+16)&lt;1,"",INDEX(Calc_Daily!$AK$2:$AK$2001,(Metrics!$H$1-180+16)))</f>
        <v>0</v>
      </c>
      <c r="R17">
        <f>IF((Metrics!$H$1-180+16)&lt;1,"",INDEX(Calc_Daily!$AN$2:$AN$2001,(Metrics!$H$1-180+16)))</f>
        <v>0</v>
      </c>
      <c r="S17">
        <f>IF((Metrics!$H$1-180+16)&lt;1,"",INDEX(Calc_Daily!$AD$2:$AD$2001,(Metrics!$H$1-180+16)))</f>
        <v>0</v>
      </c>
      <c r="T17">
        <f>IF((Metrics!$H$1-180+16)&lt;1,"",INDEX(Calc_Daily!$AT$2:$AT$2001,(Metrics!$H$1-180+16)))</f>
        <v>0</v>
      </c>
      <c r="U17">
        <f>IF((Metrics!$H$1-180+16)&lt;1,"",INDEX(Calc_Daily!$AQ$2:$AQ$2001,(Metrics!$H$1-180+16)))</f>
        <v>0</v>
      </c>
      <c r="V17">
        <f>IF((Metrics!$H$1-180+16)&lt;1,"",INDEX(Calc_Daily!$AR$2:$AR$2001,(Metrics!$H$1-180+16)))</f>
        <v>0</v>
      </c>
    </row>
    <row r="18" spans="1:22">
      <c r="A18" s="27">
        <f>IF((Metrics!$H$1-180+17)&lt;1,"",INDEX(Calc_Daily!$A$2:$A$2001,(Metrics!$H$1-180+17)))</f>
        <v>0</v>
      </c>
      <c r="B18">
        <f>IF((Metrics!$H$1-180+17)&lt;1,"",INDEX(Calc_Daily!$B$2:$B$2001,(Metrics!$H$1-180+17)))</f>
        <v>0</v>
      </c>
      <c r="C18">
        <f>IF((Metrics!$H$1-180+17)&lt;1,"",INDEX(Calc_Daily!$C$2:$C$2001,(Metrics!$H$1-180+17)))</f>
        <v>0</v>
      </c>
      <c r="D18">
        <f>IF((Metrics!$H$1-180+17)&lt;1,"",INDEX(Calc_Daily!$D$2:$D$2001,(Metrics!$H$1-180+17)))</f>
        <v>0</v>
      </c>
      <c r="E18">
        <f>IF((Metrics!$H$1-180+17)&lt;1,"",INDEX(Calc_Daily!$E$2:$E$2001,(Metrics!$H$1-180+17)))</f>
        <v>0</v>
      </c>
      <c r="F18">
        <f>IF((Metrics!$H$1-180+17)&lt;1,"",INDEX(Calc_Daily!$H$2:$H$2001,(Metrics!$H$1-180+17)))</f>
        <v>0</v>
      </c>
      <c r="G18">
        <f>IF((Metrics!$H$1-180+17)&lt;1,"",INDEX(Calc_Daily!$I$2:$I$2001,(Metrics!$H$1-180+17)))</f>
        <v>0</v>
      </c>
      <c r="H18">
        <f>IF((Metrics!$H$1-180+17)&lt;1,"",INDEX(Calc_Daily!$J$2:$J$2001,(Metrics!$H$1-180+17)))</f>
        <v>0</v>
      </c>
      <c r="I18">
        <f>IF((Metrics!$H$1-180+17)&lt;1,"",INDEX(Calc_Daily!$K$2:$K$2001,(Metrics!$H$1-180+17)))</f>
        <v>0</v>
      </c>
      <c r="J18">
        <f>IF((Metrics!$H$1-180+17)&lt;1,"",INDEX(Calc_Daily!$N$2:$N$2001,(Metrics!$H$1-180+17)))</f>
        <v>0</v>
      </c>
      <c r="K18">
        <f>IF((Metrics!$H$1-180+17)&lt;1,"",70)</f>
        <v>0</v>
      </c>
      <c r="L18">
        <f>IF((Metrics!$H$1-180+17)&lt;1,"",30)</f>
        <v>0</v>
      </c>
      <c r="M18">
        <f>IF((Metrics!$H$1-180+17)&lt;1,"",INDEX(Calc_Daily!$Q$2:$Q$2001,(Metrics!$H$1-180+17)))</f>
        <v>0</v>
      </c>
      <c r="N18">
        <f>IF((Metrics!$H$1-180+17)&lt;1,"",INDEX(Calc_Daily!$R$2:$R$2001,(Metrics!$H$1-180+17)))</f>
        <v>0</v>
      </c>
      <c r="O18">
        <f>IF((Metrics!$H$1-180+17)&lt;1,"",INDEX(Calc_Daily!$S$2:$S$2001,(Metrics!$H$1-180+17)))</f>
        <v>0</v>
      </c>
      <c r="P18">
        <f>IF((Metrics!$H$1-180+17)&lt;1,"",INDEX(Calc_Daily!$AM$2:$AM$2001,(Metrics!$H$1-180+17)))</f>
        <v>0</v>
      </c>
      <c r="Q18">
        <f>IF((Metrics!$H$1-180+17)&lt;1,"",INDEX(Calc_Daily!$AK$2:$AK$2001,(Metrics!$H$1-180+17)))</f>
        <v>0</v>
      </c>
      <c r="R18">
        <f>IF((Metrics!$H$1-180+17)&lt;1,"",INDEX(Calc_Daily!$AN$2:$AN$2001,(Metrics!$H$1-180+17)))</f>
        <v>0</v>
      </c>
      <c r="S18">
        <f>IF((Metrics!$H$1-180+17)&lt;1,"",INDEX(Calc_Daily!$AD$2:$AD$2001,(Metrics!$H$1-180+17)))</f>
        <v>0</v>
      </c>
      <c r="T18">
        <f>IF((Metrics!$H$1-180+17)&lt;1,"",INDEX(Calc_Daily!$AT$2:$AT$2001,(Metrics!$H$1-180+17)))</f>
        <v>0</v>
      </c>
      <c r="U18">
        <f>IF((Metrics!$H$1-180+17)&lt;1,"",INDEX(Calc_Daily!$AQ$2:$AQ$2001,(Metrics!$H$1-180+17)))</f>
        <v>0</v>
      </c>
      <c r="V18">
        <f>IF((Metrics!$H$1-180+17)&lt;1,"",INDEX(Calc_Daily!$AR$2:$AR$2001,(Metrics!$H$1-180+17)))</f>
        <v>0</v>
      </c>
    </row>
    <row r="19" spans="1:22">
      <c r="A19" s="27">
        <f>IF((Metrics!$H$1-180+18)&lt;1,"",INDEX(Calc_Daily!$A$2:$A$2001,(Metrics!$H$1-180+18)))</f>
        <v>0</v>
      </c>
      <c r="B19">
        <f>IF((Metrics!$H$1-180+18)&lt;1,"",INDEX(Calc_Daily!$B$2:$B$2001,(Metrics!$H$1-180+18)))</f>
        <v>0</v>
      </c>
      <c r="C19">
        <f>IF((Metrics!$H$1-180+18)&lt;1,"",INDEX(Calc_Daily!$C$2:$C$2001,(Metrics!$H$1-180+18)))</f>
        <v>0</v>
      </c>
      <c r="D19">
        <f>IF((Metrics!$H$1-180+18)&lt;1,"",INDEX(Calc_Daily!$D$2:$D$2001,(Metrics!$H$1-180+18)))</f>
        <v>0</v>
      </c>
      <c r="E19">
        <f>IF((Metrics!$H$1-180+18)&lt;1,"",INDEX(Calc_Daily!$E$2:$E$2001,(Metrics!$H$1-180+18)))</f>
        <v>0</v>
      </c>
      <c r="F19">
        <f>IF((Metrics!$H$1-180+18)&lt;1,"",INDEX(Calc_Daily!$H$2:$H$2001,(Metrics!$H$1-180+18)))</f>
        <v>0</v>
      </c>
      <c r="G19">
        <f>IF((Metrics!$H$1-180+18)&lt;1,"",INDEX(Calc_Daily!$I$2:$I$2001,(Metrics!$H$1-180+18)))</f>
        <v>0</v>
      </c>
      <c r="H19">
        <f>IF((Metrics!$H$1-180+18)&lt;1,"",INDEX(Calc_Daily!$J$2:$J$2001,(Metrics!$H$1-180+18)))</f>
        <v>0</v>
      </c>
      <c r="I19">
        <f>IF((Metrics!$H$1-180+18)&lt;1,"",INDEX(Calc_Daily!$K$2:$K$2001,(Metrics!$H$1-180+18)))</f>
        <v>0</v>
      </c>
      <c r="J19">
        <f>IF((Metrics!$H$1-180+18)&lt;1,"",INDEX(Calc_Daily!$N$2:$N$2001,(Metrics!$H$1-180+18)))</f>
        <v>0</v>
      </c>
      <c r="K19">
        <f>IF((Metrics!$H$1-180+18)&lt;1,"",70)</f>
        <v>0</v>
      </c>
      <c r="L19">
        <f>IF((Metrics!$H$1-180+18)&lt;1,"",30)</f>
        <v>0</v>
      </c>
      <c r="M19">
        <f>IF((Metrics!$H$1-180+18)&lt;1,"",INDEX(Calc_Daily!$Q$2:$Q$2001,(Metrics!$H$1-180+18)))</f>
        <v>0</v>
      </c>
      <c r="N19">
        <f>IF((Metrics!$H$1-180+18)&lt;1,"",INDEX(Calc_Daily!$R$2:$R$2001,(Metrics!$H$1-180+18)))</f>
        <v>0</v>
      </c>
      <c r="O19">
        <f>IF((Metrics!$H$1-180+18)&lt;1,"",INDEX(Calc_Daily!$S$2:$S$2001,(Metrics!$H$1-180+18)))</f>
        <v>0</v>
      </c>
      <c r="P19">
        <f>IF((Metrics!$H$1-180+18)&lt;1,"",INDEX(Calc_Daily!$AM$2:$AM$2001,(Metrics!$H$1-180+18)))</f>
        <v>0</v>
      </c>
      <c r="Q19">
        <f>IF((Metrics!$H$1-180+18)&lt;1,"",INDEX(Calc_Daily!$AK$2:$AK$2001,(Metrics!$H$1-180+18)))</f>
        <v>0</v>
      </c>
      <c r="R19">
        <f>IF((Metrics!$H$1-180+18)&lt;1,"",INDEX(Calc_Daily!$AN$2:$AN$2001,(Metrics!$H$1-180+18)))</f>
        <v>0</v>
      </c>
      <c r="S19">
        <f>IF((Metrics!$H$1-180+18)&lt;1,"",INDEX(Calc_Daily!$AD$2:$AD$2001,(Metrics!$H$1-180+18)))</f>
        <v>0</v>
      </c>
      <c r="T19">
        <f>IF((Metrics!$H$1-180+18)&lt;1,"",INDEX(Calc_Daily!$AT$2:$AT$2001,(Metrics!$H$1-180+18)))</f>
        <v>0</v>
      </c>
      <c r="U19">
        <f>IF((Metrics!$H$1-180+18)&lt;1,"",INDEX(Calc_Daily!$AQ$2:$AQ$2001,(Metrics!$H$1-180+18)))</f>
        <v>0</v>
      </c>
      <c r="V19">
        <f>IF((Metrics!$H$1-180+18)&lt;1,"",INDEX(Calc_Daily!$AR$2:$AR$2001,(Metrics!$H$1-180+18)))</f>
        <v>0</v>
      </c>
    </row>
    <row r="20" spans="1:22">
      <c r="A20" s="27">
        <f>IF((Metrics!$H$1-180+19)&lt;1,"",INDEX(Calc_Daily!$A$2:$A$2001,(Metrics!$H$1-180+19)))</f>
        <v>0</v>
      </c>
      <c r="B20">
        <f>IF((Metrics!$H$1-180+19)&lt;1,"",INDEX(Calc_Daily!$B$2:$B$2001,(Metrics!$H$1-180+19)))</f>
        <v>0</v>
      </c>
      <c r="C20">
        <f>IF((Metrics!$H$1-180+19)&lt;1,"",INDEX(Calc_Daily!$C$2:$C$2001,(Metrics!$H$1-180+19)))</f>
        <v>0</v>
      </c>
      <c r="D20">
        <f>IF((Metrics!$H$1-180+19)&lt;1,"",INDEX(Calc_Daily!$D$2:$D$2001,(Metrics!$H$1-180+19)))</f>
        <v>0</v>
      </c>
      <c r="E20">
        <f>IF((Metrics!$H$1-180+19)&lt;1,"",INDEX(Calc_Daily!$E$2:$E$2001,(Metrics!$H$1-180+19)))</f>
        <v>0</v>
      </c>
      <c r="F20">
        <f>IF((Metrics!$H$1-180+19)&lt;1,"",INDEX(Calc_Daily!$H$2:$H$2001,(Metrics!$H$1-180+19)))</f>
        <v>0</v>
      </c>
      <c r="G20">
        <f>IF((Metrics!$H$1-180+19)&lt;1,"",INDEX(Calc_Daily!$I$2:$I$2001,(Metrics!$H$1-180+19)))</f>
        <v>0</v>
      </c>
      <c r="H20">
        <f>IF((Metrics!$H$1-180+19)&lt;1,"",INDEX(Calc_Daily!$J$2:$J$2001,(Metrics!$H$1-180+19)))</f>
        <v>0</v>
      </c>
      <c r="I20">
        <f>IF((Metrics!$H$1-180+19)&lt;1,"",INDEX(Calc_Daily!$K$2:$K$2001,(Metrics!$H$1-180+19)))</f>
        <v>0</v>
      </c>
      <c r="J20">
        <f>IF((Metrics!$H$1-180+19)&lt;1,"",INDEX(Calc_Daily!$N$2:$N$2001,(Metrics!$H$1-180+19)))</f>
        <v>0</v>
      </c>
      <c r="K20">
        <f>IF((Metrics!$H$1-180+19)&lt;1,"",70)</f>
        <v>0</v>
      </c>
      <c r="L20">
        <f>IF((Metrics!$H$1-180+19)&lt;1,"",30)</f>
        <v>0</v>
      </c>
      <c r="M20">
        <f>IF((Metrics!$H$1-180+19)&lt;1,"",INDEX(Calc_Daily!$Q$2:$Q$2001,(Metrics!$H$1-180+19)))</f>
        <v>0</v>
      </c>
      <c r="N20">
        <f>IF((Metrics!$H$1-180+19)&lt;1,"",INDEX(Calc_Daily!$R$2:$R$2001,(Metrics!$H$1-180+19)))</f>
        <v>0</v>
      </c>
      <c r="O20">
        <f>IF((Metrics!$H$1-180+19)&lt;1,"",INDEX(Calc_Daily!$S$2:$S$2001,(Metrics!$H$1-180+19)))</f>
        <v>0</v>
      </c>
      <c r="P20">
        <f>IF((Metrics!$H$1-180+19)&lt;1,"",INDEX(Calc_Daily!$AM$2:$AM$2001,(Metrics!$H$1-180+19)))</f>
        <v>0</v>
      </c>
      <c r="Q20">
        <f>IF((Metrics!$H$1-180+19)&lt;1,"",INDEX(Calc_Daily!$AK$2:$AK$2001,(Metrics!$H$1-180+19)))</f>
        <v>0</v>
      </c>
      <c r="R20">
        <f>IF((Metrics!$H$1-180+19)&lt;1,"",INDEX(Calc_Daily!$AN$2:$AN$2001,(Metrics!$H$1-180+19)))</f>
        <v>0</v>
      </c>
      <c r="S20">
        <f>IF((Metrics!$H$1-180+19)&lt;1,"",INDEX(Calc_Daily!$AD$2:$AD$2001,(Metrics!$H$1-180+19)))</f>
        <v>0</v>
      </c>
      <c r="T20">
        <f>IF((Metrics!$H$1-180+19)&lt;1,"",INDEX(Calc_Daily!$AT$2:$AT$2001,(Metrics!$H$1-180+19)))</f>
        <v>0</v>
      </c>
      <c r="U20">
        <f>IF((Metrics!$H$1-180+19)&lt;1,"",INDEX(Calc_Daily!$AQ$2:$AQ$2001,(Metrics!$H$1-180+19)))</f>
        <v>0</v>
      </c>
      <c r="V20">
        <f>IF((Metrics!$H$1-180+19)&lt;1,"",INDEX(Calc_Daily!$AR$2:$AR$2001,(Metrics!$H$1-180+19)))</f>
        <v>0</v>
      </c>
    </row>
    <row r="21" spans="1:22">
      <c r="A21" s="27">
        <f>IF((Metrics!$H$1-180+20)&lt;1,"",INDEX(Calc_Daily!$A$2:$A$2001,(Metrics!$H$1-180+20)))</f>
        <v>0</v>
      </c>
      <c r="B21">
        <f>IF((Metrics!$H$1-180+20)&lt;1,"",INDEX(Calc_Daily!$B$2:$B$2001,(Metrics!$H$1-180+20)))</f>
        <v>0</v>
      </c>
      <c r="C21">
        <f>IF((Metrics!$H$1-180+20)&lt;1,"",INDEX(Calc_Daily!$C$2:$C$2001,(Metrics!$H$1-180+20)))</f>
        <v>0</v>
      </c>
      <c r="D21">
        <f>IF((Metrics!$H$1-180+20)&lt;1,"",INDEX(Calc_Daily!$D$2:$D$2001,(Metrics!$H$1-180+20)))</f>
        <v>0</v>
      </c>
      <c r="E21">
        <f>IF((Metrics!$H$1-180+20)&lt;1,"",INDEX(Calc_Daily!$E$2:$E$2001,(Metrics!$H$1-180+20)))</f>
        <v>0</v>
      </c>
      <c r="F21">
        <f>IF((Metrics!$H$1-180+20)&lt;1,"",INDEX(Calc_Daily!$H$2:$H$2001,(Metrics!$H$1-180+20)))</f>
        <v>0</v>
      </c>
      <c r="G21">
        <f>IF((Metrics!$H$1-180+20)&lt;1,"",INDEX(Calc_Daily!$I$2:$I$2001,(Metrics!$H$1-180+20)))</f>
        <v>0</v>
      </c>
      <c r="H21">
        <f>IF((Metrics!$H$1-180+20)&lt;1,"",INDEX(Calc_Daily!$J$2:$J$2001,(Metrics!$H$1-180+20)))</f>
        <v>0</v>
      </c>
      <c r="I21">
        <f>IF((Metrics!$H$1-180+20)&lt;1,"",INDEX(Calc_Daily!$K$2:$K$2001,(Metrics!$H$1-180+20)))</f>
        <v>0</v>
      </c>
      <c r="J21">
        <f>IF((Metrics!$H$1-180+20)&lt;1,"",INDEX(Calc_Daily!$N$2:$N$2001,(Metrics!$H$1-180+20)))</f>
        <v>0</v>
      </c>
      <c r="K21">
        <f>IF((Metrics!$H$1-180+20)&lt;1,"",70)</f>
        <v>0</v>
      </c>
      <c r="L21">
        <f>IF((Metrics!$H$1-180+20)&lt;1,"",30)</f>
        <v>0</v>
      </c>
      <c r="M21">
        <f>IF((Metrics!$H$1-180+20)&lt;1,"",INDEX(Calc_Daily!$Q$2:$Q$2001,(Metrics!$H$1-180+20)))</f>
        <v>0</v>
      </c>
      <c r="N21">
        <f>IF((Metrics!$H$1-180+20)&lt;1,"",INDEX(Calc_Daily!$R$2:$R$2001,(Metrics!$H$1-180+20)))</f>
        <v>0</v>
      </c>
      <c r="O21">
        <f>IF((Metrics!$H$1-180+20)&lt;1,"",INDEX(Calc_Daily!$S$2:$S$2001,(Metrics!$H$1-180+20)))</f>
        <v>0</v>
      </c>
      <c r="P21">
        <f>IF((Metrics!$H$1-180+20)&lt;1,"",INDEX(Calc_Daily!$AM$2:$AM$2001,(Metrics!$H$1-180+20)))</f>
        <v>0</v>
      </c>
      <c r="Q21">
        <f>IF((Metrics!$H$1-180+20)&lt;1,"",INDEX(Calc_Daily!$AK$2:$AK$2001,(Metrics!$H$1-180+20)))</f>
        <v>0</v>
      </c>
      <c r="R21">
        <f>IF((Metrics!$H$1-180+20)&lt;1,"",INDEX(Calc_Daily!$AN$2:$AN$2001,(Metrics!$H$1-180+20)))</f>
        <v>0</v>
      </c>
      <c r="S21">
        <f>IF((Metrics!$H$1-180+20)&lt;1,"",INDEX(Calc_Daily!$AD$2:$AD$2001,(Metrics!$H$1-180+20)))</f>
        <v>0</v>
      </c>
      <c r="T21">
        <f>IF((Metrics!$H$1-180+20)&lt;1,"",INDEX(Calc_Daily!$AT$2:$AT$2001,(Metrics!$H$1-180+20)))</f>
        <v>0</v>
      </c>
      <c r="U21">
        <f>IF((Metrics!$H$1-180+20)&lt;1,"",INDEX(Calc_Daily!$AQ$2:$AQ$2001,(Metrics!$H$1-180+20)))</f>
        <v>0</v>
      </c>
      <c r="V21">
        <f>IF((Metrics!$H$1-180+20)&lt;1,"",INDEX(Calc_Daily!$AR$2:$AR$2001,(Metrics!$H$1-180+20)))</f>
        <v>0</v>
      </c>
    </row>
    <row r="22" spans="1:22">
      <c r="A22" s="27">
        <f>IF((Metrics!$H$1-180+21)&lt;1,"",INDEX(Calc_Daily!$A$2:$A$2001,(Metrics!$H$1-180+21)))</f>
        <v>0</v>
      </c>
      <c r="B22">
        <f>IF((Metrics!$H$1-180+21)&lt;1,"",INDEX(Calc_Daily!$B$2:$B$2001,(Metrics!$H$1-180+21)))</f>
        <v>0</v>
      </c>
      <c r="C22">
        <f>IF((Metrics!$H$1-180+21)&lt;1,"",INDEX(Calc_Daily!$C$2:$C$2001,(Metrics!$H$1-180+21)))</f>
        <v>0</v>
      </c>
      <c r="D22">
        <f>IF((Metrics!$H$1-180+21)&lt;1,"",INDEX(Calc_Daily!$D$2:$D$2001,(Metrics!$H$1-180+21)))</f>
        <v>0</v>
      </c>
      <c r="E22">
        <f>IF((Metrics!$H$1-180+21)&lt;1,"",INDEX(Calc_Daily!$E$2:$E$2001,(Metrics!$H$1-180+21)))</f>
        <v>0</v>
      </c>
      <c r="F22">
        <f>IF((Metrics!$H$1-180+21)&lt;1,"",INDEX(Calc_Daily!$H$2:$H$2001,(Metrics!$H$1-180+21)))</f>
        <v>0</v>
      </c>
      <c r="G22">
        <f>IF((Metrics!$H$1-180+21)&lt;1,"",INDEX(Calc_Daily!$I$2:$I$2001,(Metrics!$H$1-180+21)))</f>
        <v>0</v>
      </c>
      <c r="H22">
        <f>IF((Metrics!$H$1-180+21)&lt;1,"",INDEX(Calc_Daily!$J$2:$J$2001,(Metrics!$H$1-180+21)))</f>
        <v>0</v>
      </c>
      <c r="I22">
        <f>IF((Metrics!$H$1-180+21)&lt;1,"",INDEX(Calc_Daily!$K$2:$K$2001,(Metrics!$H$1-180+21)))</f>
        <v>0</v>
      </c>
      <c r="J22">
        <f>IF((Metrics!$H$1-180+21)&lt;1,"",INDEX(Calc_Daily!$N$2:$N$2001,(Metrics!$H$1-180+21)))</f>
        <v>0</v>
      </c>
      <c r="K22">
        <f>IF((Metrics!$H$1-180+21)&lt;1,"",70)</f>
        <v>0</v>
      </c>
      <c r="L22">
        <f>IF((Metrics!$H$1-180+21)&lt;1,"",30)</f>
        <v>0</v>
      </c>
      <c r="M22">
        <f>IF((Metrics!$H$1-180+21)&lt;1,"",INDEX(Calc_Daily!$Q$2:$Q$2001,(Metrics!$H$1-180+21)))</f>
        <v>0</v>
      </c>
      <c r="N22">
        <f>IF((Metrics!$H$1-180+21)&lt;1,"",INDEX(Calc_Daily!$R$2:$R$2001,(Metrics!$H$1-180+21)))</f>
        <v>0</v>
      </c>
      <c r="O22">
        <f>IF((Metrics!$H$1-180+21)&lt;1,"",INDEX(Calc_Daily!$S$2:$S$2001,(Metrics!$H$1-180+21)))</f>
        <v>0</v>
      </c>
      <c r="P22">
        <f>IF((Metrics!$H$1-180+21)&lt;1,"",INDEX(Calc_Daily!$AM$2:$AM$2001,(Metrics!$H$1-180+21)))</f>
        <v>0</v>
      </c>
      <c r="Q22">
        <f>IF((Metrics!$H$1-180+21)&lt;1,"",INDEX(Calc_Daily!$AK$2:$AK$2001,(Metrics!$H$1-180+21)))</f>
        <v>0</v>
      </c>
      <c r="R22">
        <f>IF((Metrics!$H$1-180+21)&lt;1,"",INDEX(Calc_Daily!$AN$2:$AN$2001,(Metrics!$H$1-180+21)))</f>
        <v>0</v>
      </c>
      <c r="S22">
        <f>IF((Metrics!$H$1-180+21)&lt;1,"",INDEX(Calc_Daily!$AD$2:$AD$2001,(Metrics!$H$1-180+21)))</f>
        <v>0</v>
      </c>
      <c r="T22">
        <f>IF((Metrics!$H$1-180+21)&lt;1,"",INDEX(Calc_Daily!$AT$2:$AT$2001,(Metrics!$H$1-180+21)))</f>
        <v>0</v>
      </c>
      <c r="U22">
        <f>IF((Metrics!$H$1-180+21)&lt;1,"",INDEX(Calc_Daily!$AQ$2:$AQ$2001,(Metrics!$H$1-180+21)))</f>
        <v>0</v>
      </c>
      <c r="V22">
        <f>IF((Metrics!$H$1-180+21)&lt;1,"",INDEX(Calc_Daily!$AR$2:$AR$2001,(Metrics!$H$1-180+21)))</f>
        <v>0</v>
      </c>
    </row>
    <row r="23" spans="1:22">
      <c r="A23" s="27">
        <f>IF((Metrics!$H$1-180+22)&lt;1,"",INDEX(Calc_Daily!$A$2:$A$2001,(Metrics!$H$1-180+22)))</f>
        <v>0</v>
      </c>
      <c r="B23">
        <f>IF((Metrics!$H$1-180+22)&lt;1,"",INDEX(Calc_Daily!$B$2:$B$2001,(Metrics!$H$1-180+22)))</f>
        <v>0</v>
      </c>
      <c r="C23">
        <f>IF((Metrics!$H$1-180+22)&lt;1,"",INDEX(Calc_Daily!$C$2:$C$2001,(Metrics!$H$1-180+22)))</f>
        <v>0</v>
      </c>
      <c r="D23">
        <f>IF((Metrics!$H$1-180+22)&lt;1,"",INDEX(Calc_Daily!$D$2:$D$2001,(Metrics!$H$1-180+22)))</f>
        <v>0</v>
      </c>
      <c r="E23">
        <f>IF((Metrics!$H$1-180+22)&lt;1,"",INDEX(Calc_Daily!$E$2:$E$2001,(Metrics!$H$1-180+22)))</f>
        <v>0</v>
      </c>
      <c r="F23">
        <f>IF((Metrics!$H$1-180+22)&lt;1,"",INDEX(Calc_Daily!$H$2:$H$2001,(Metrics!$H$1-180+22)))</f>
        <v>0</v>
      </c>
      <c r="G23">
        <f>IF((Metrics!$H$1-180+22)&lt;1,"",INDEX(Calc_Daily!$I$2:$I$2001,(Metrics!$H$1-180+22)))</f>
        <v>0</v>
      </c>
      <c r="H23">
        <f>IF((Metrics!$H$1-180+22)&lt;1,"",INDEX(Calc_Daily!$J$2:$J$2001,(Metrics!$H$1-180+22)))</f>
        <v>0</v>
      </c>
      <c r="I23">
        <f>IF((Metrics!$H$1-180+22)&lt;1,"",INDEX(Calc_Daily!$K$2:$K$2001,(Metrics!$H$1-180+22)))</f>
        <v>0</v>
      </c>
      <c r="J23">
        <f>IF((Metrics!$H$1-180+22)&lt;1,"",INDEX(Calc_Daily!$N$2:$N$2001,(Metrics!$H$1-180+22)))</f>
        <v>0</v>
      </c>
      <c r="K23">
        <f>IF((Metrics!$H$1-180+22)&lt;1,"",70)</f>
        <v>0</v>
      </c>
      <c r="L23">
        <f>IF((Metrics!$H$1-180+22)&lt;1,"",30)</f>
        <v>0</v>
      </c>
      <c r="M23">
        <f>IF((Metrics!$H$1-180+22)&lt;1,"",INDEX(Calc_Daily!$Q$2:$Q$2001,(Metrics!$H$1-180+22)))</f>
        <v>0</v>
      </c>
      <c r="N23">
        <f>IF((Metrics!$H$1-180+22)&lt;1,"",INDEX(Calc_Daily!$R$2:$R$2001,(Metrics!$H$1-180+22)))</f>
        <v>0</v>
      </c>
      <c r="O23">
        <f>IF((Metrics!$H$1-180+22)&lt;1,"",INDEX(Calc_Daily!$S$2:$S$2001,(Metrics!$H$1-180+22)))</f>
        <v>0</v>
      </c>
      <c r="P23">
        <f>IF((Metrics!$H$1-180+22)&lt;1,"",INDEX(Calc_Daily!$AM$2:$AM$2001,(Metrics!$H$1-180+22)))</f>
        <v>0</v>
      </c>
      <c r="Q23">
        <f>IF((Metrics!$H$1-180+22)&lt;1,"",INDEX(Calc_Daily!$AK$2:$AK$2001,(Metrics!$H$1-180+22)))</f>
        <v>0</v>
      </c>
      <c r="R23">
        <f>IF((Metrics!$H$1-180+22)&lt;1,"",INDEX(Calc_Daily!$AN$2:$AN$2001,(Metrics!$H$1-180+22)))</f>
        <v>0</v>
      </c>
      <c r="S23">
        <f>IF((Metrics!$H$1-180+22)&lt;1,"",INDEX(Calc_Daily!$AD$2:$AD$2001,(Metrics!$H$1-180+22)))</f>
        <v>0</v>
      </c>
      <c r="T23">
        <f>IF((Metrics!$H$1-180+22)&lt;1,"",INDEX(Calc_Daily!$AT$2:$AT$2001,(Metrics!$H$1-180+22)))</f>
        <v>0</v>
      </c>
      <c r="U23">
        <f>IF((Metrics!$H$1-180+22)&lt;1,"",INDEX(Calc_Daily!$AQ$2:$AQ$2001,(Metrics!$H$1-180+22)))</f>
        <v>0</v>
      </c>
      <c r="V23">
        <f>IF((Metrics!$H$1-180+22)&lt;1,"",INDEX(Calc_Daily!$AR$2:$AR$2001,(Metrics!$H$1-180+22)))</f>
        <v>0</v>
      </c>
    </row>
    <row r="24" spans="1:22">
      <c r="A24" s="27">
        <f>IF((Metrics!$H$1-180+23)&lt;1,"",INDEX(Calc_Daily!$A$2:$A$2001,(Metrics!$H$1-180+23)))</f>
        <v>0</v>
      </c>
      <c r="B24">
        <f>IF((Metrics!$H$1-180+23)&lt;1,"",INDEX(Calc_Daily!$B$2:$B$2001,(Metrics!$H$1-180+23)))</f>
        <v>0</v>
      </c>
      <c r="C24">
        <f>IF((Metrics!$H$1-180+23)&lt;1,"",INDEX(Calc_Daily!$C$2:$C$2001,(Metrics!$H$1-180+23)))</f>
        <v>0</v>
      </c>
      <c r="D24">
        <f>IF((Metrics!$H$1-180+23)&lt;1,"",INDEX(Calc_Daily!$D$2:$D$2001,(Metrics!$H$1-180+23)))</f>
        <v>0</v>
      </c>
      <c r="E24">
        <f>IF((Metrics!$H$1-180+23)&lt;1,"",INDEX(Calc_Daily!$E$2:$E$2001,(Metrics!$H$1-180+23)))</f>
        <v>0</v>
      </c>
      <c r="F24">
        <f>IF((Metrics!$H$1-180+23)&lt;1,"",INDEX(Calc_Daily!$H$2:$H$2001,(Metrics!$H$1-180+23)))</f>
        <v>0</v>
      </c>
      <c r="G24">
        <f>IF((Metrics!$H$1-180+23)&lt;1,"",INDEX(Calc_Daily!$I$2:$I$2001,(Metrics!$H$1-180+23)))</f>
        <v>0</v>
      </c>
      <c r="H24">
        <f>IF((Metrics!$H$1-180+23)&lt;1,"",INDEX(Calc_Daily!$J$2:$J$2001,(Metrics!$H$1-180+23)))</f>
        <v>0</v>
      </c>
      <c r="I24">
        <f>IF((Metrics!$H$1-180+23)&lt;1,"",INDEX(Calc_Daily!$K$2:$K$2001,(Metrics!$H$1-180+23)))</f>
        <v>0</v>
      </c>
      <c r="J24">
        <f>IF((Metrics!$H$1-180+23)&lt;1,"",INDEX(Calc_Daily!$N$2:$N$2001,(Metrics!$H$1-180+23)))</f>
        <v>0</v>
      </c>
      <c r="K24">
        <f>IF((Metrics!$H$1-180+23)&lt;1,"",70)</f>
        <v>0</v>
      </c>
      <c r="L24">
        <f>IF((Metrics!$H$1-180+23)&lt;1,"",30)</f>
        <v>0</v>
      </c>
      <c r="M24">
        <f>IF((Metrics!$H$1-180+23)&lt;1,"",INDEX(Calc_Daily!$Q$2:$Q$2001,(Metrics!$H$1-180+23)))</f>
        <v>0</v>
      </c>
      <c r="N24">
        <f>IF((Metrics!$H$1-180+23)&lt;1,"",INDEX(Calc_Daily!$R$2:$R$2001,(Metrics!$H$1-180+23)))</f>
        <v>0</v>
      </c>
      <c r="O24">
        <f>IF((Metrics!$H$1-180+23)&lt;1,"",INDEX(Calc_Daily!$S$2:$S$2001,(Metrics!$H$1-180+23)))</f>
        <v>0</v>
      </c>
      <c r="P24">
        <f>IF((Metrics!$H$1-180+23)&lt;1,"",INDEX(Calc_Daily!$AM$2:$AM$2001,(Metrics!$H$1-180+23)))</f>
        <v>0</v>
      </c>
      <c r="Q24">
        <f>IF((Metrics!$H$1-180+23)&lt;1,"",INDEX(Calc_Daily!$AK$2:$AK$2001,(Metrics!$H$1-180+23)))</f>
        <v>0</v>
      </c>
      <c r="R24">
        <f>IF((Metrics!$H$1-180+23)&lt;1,"",INDEX(Calc_Daily!$AN$2:$AN$2001,(Metrics!$H$1-180+23)))</f>
        <v>0</v>
      </c>
      <c r="S24">
        <f>IF((Metrics!$H$1-180+23)&lt;1,"",INDEX(Calc_Daily!$AD$2:$AD$2001,(Metrics!$H$1-180+23)))</f>
        <v>0</v>
      </c>
      <c r="T24">
        <f>IF((Metrics!$H$1-180+23)&lt;1,"",INDEX(Calc_Daily!$AT$2:$AT$2001,(Metrics!$H$1-180+23)))</f>
        <v>0</v>
      </c>
      <c r="U24">
        <f>IF((Metrics!$H$1-180+23)&lt;1,"",INDEX(Calc_Daily!$AQ$2:$AQ$2001,(Metrics!$H$1-180+23)))</f>
        <v>0</v>
      </c>
      <c r="V24">
        <f>IF((Metrics!$H$1-180+23)&lt;1,"",INDEX(Calc_Daily!$AR$2:$AR$2001,(Metrics!$H$1-180+23)))</f>
        <v>0</v>
      </c>
    </row>
    <row r="25" spans="1:22">
      <c r="A25" s="27">
        <f>IF((Metrics!$H$1-180+24)&lt;1,"",INDEX(Calc_Daily!$A$2:$A$2001,(Metrics!$H$1-180+24)))</f>
        <v>0</v>
      </c>
      <c r="B25">
        <f>IF((Metrics!$H$1-180+24)&lt;1,"",INDEX(Calc_Daily!$B$2:$B$2001,(Metrics!$H$1-180+24)))</f>
        <v>0</v>
      </c>
      <c r="C25">
        <f>IF((Metrics!$H$1-180+24)&lt;1,"",INDEX(Calc_Daily!$C$2:$C$2001,(Metrics!$H$1-180+24)))</f>
        <v>0</v>
      </c>
      <c r="D25">
        <f>IF((Metrics!$H$1-180+24)&lt;1,"",INDEX(Calc_Daily!$D$2:$D$2001,(Metrics!$H$1-180+24)))</f>
        <v>0</v>
      </c>
      <c r="E25">
        <f>IF((Metrics!$H$1-180+24)&lt;1,"",INDEX(Calc_Daily!$E$2:$E$2001,(Metrics!$H$1-180+24)))</f>
        <v>0</v>
      </c>
      <c r="F25">
        <f>IF((Metrics!$H$1-180+24)&lt;1,"",INDEX(Calc_Daily!$H$2:$H$2001,(Metrics!$H$1-180+24)))</f>
        <v>0</v>
      </c>
      <c r="G25">
        <f>IF((Metrics!$H$1-180+24)&lt;1,"",INDEX(Calc_Daily!$I$2:$I$2001,(Metrics!$H$1-180+24)))</f>
        <v>0</v>
      </c>
      <c r="H25">
        <f>IF((Metrics!$H$1-180+24)&lt;1,"",INDEX(Calc_Daily!$J$2:$J$2001,(Metrics!$H$1-180+24)))</f>
        <v>0</v>
      </c>
      <c r="I25">
        <f>IF((Metrics!$H$1-180+24)&lt;1,"",INDEX(Calc_Daily!$K$2:$K$2001,(Metrics!$H$1-180+24)))</f>
        <v>0</v>
      </c>
      <c r="J25">
        <f>IF((Metrics!$H$1-180+24)&lt;1,"",INDEX(Calc_Daily!$N$2:$N$2001,(Metrics!$H$1-180+24)))</f>
        <v>0</v>
      </c>
      <c r="K25">
        <f>IF((Metrics!$H$1-180+24)&lt;1,"",70)</f>
        <v>0</v>
      </c>
      <c r="L25">
        <f>IF((Metrics!$H$1-180+24)&lt;1,"",30)</f>
        <v>0</v>
      </c>
      <c r="M25">
        <f>IF((Metrics!$H$1-180+24)&lt;1,"",INDEX(Calc_Daily!$Q$2:$Q$2001,(Metrics!$H$1-180+24)))</f>
        <v>0</v>
      </c>
      <c r="N25">
        <f>IF((Metrics!$H$1-180+24)&lt;1,"",INDEX(Calc_Daily!$R$2:$R$2001,(Metrics!$H$1-180+24)))</f>
        <v>0</v>
      </c>
      <c r="O25">
        <f>IF((Metrics!$H$1-180+24)&lt;1,"",INDEX(Calc_Daily!$S$2:$S$2001,(Metrics!$H$1-180+24)))</f>
        <v>0</v>
      </c>
      <c r="P25">
        <f>IF((Metrics!$H$1-180+24)&lt;1,"",INDEX(Calc_Daily!$AM$2:$AM$2001,(Metrics!$H$1-180+24)))</f>
        <v>0</v>
      </c>
      <c r="Q25">
        <f>IF((Metrics!$H$1-180+24)&lt;1,"",INDEX(Calc_Daily!$AK$2:$AK$2001,(Metrics!$H$1-180+24)))</f>
        <v>0</v>
      </c>
      <c r="R25">
        <f>IF((Metrics!$H$1-180+24)&lt;1,"",INDEX(Calc_Daily!$AN$2:$AN$2001,(Metrics!$H$1-180+24)))</f>
        <v>0</v>
      </c>
      <c r="S25">
        <f>IF((Metrics!$H$1-180+24)&lt;1,"",INDEX(Calc_Daily!$AD$2:$AD$2001,(Metrics!$H$1-180+24)))</f>
        <v>0</v>
      </c>
      <c r="T25">
        <f>IF((Metrics!$H$1-180+24)&lt;1,"",INDEX(Calc_Daily!$AT$2:$AT$2001,(Metrics!$H$1-180+24)))</f>
        <v>0</v>
      </c>
      <c r="U25">
        <f>IF((Metrics!$H$1-180+24)&lt;1,"",INDEX(Calc_Daily!$AQ$2:$AQ$2001,(Metrics!$H$1-180+24)))</f>
        <v>0</v>
      </c>
      <c r="V25">
        <f>IF((Metrics!$H$1-180+24)&lt;1,"",INDEX(Calc_Daily!$AR$2:$AR$2001,(Metrics!$H$1-180+24)))</f>
        <v>0</v>
      </c>
    </row>
    <row r="26" spans="1:22">
      <c r="A26" s="27">
        <f>IF((Metrics!$H$1-180+25)&lt;1,"",INDEX(Calc_Daily!$A$2:$A$2001,(Metrics!$H$1-180+25)))</f>
        <v>0</v>
      </c>
      <c r="B26">
        <f>IF((Metrics!$H$1-180+25)&lt;1,"",INDEX(Calc_Daily!$B$2:$B$2001,(Metrics!$H$1-180+25)))</f>
        <v>0</v>
      </c>
      <c r="C26">
        <f>IF((Metrics!$H$1-180+25)&lt;1,"",INDEX(Calc_Daily!$C$2:$C$2001,(Metrics!$H$1-180+25)))</f>
        <v>0</v>
      </c>
      <c r="D26">
        <f>IF((Metrics!$H$1-180+25)&lt;1,"",INDEX(Calc_Daily!$D$2:$D$2001,(Metrics!$H$1-180+25)))</f>
        <v>0</v>
      </c>
      <c r="E26">
        <f>IF((Metrics!$H$1-180+25)&lt;1,"",INDEX(Calc_Daily!$E$2:$E$2001,(Metrics!$H$1-180+25)))</f>
        <v>0</v>
      </c>
      <c r="F26">
        <f>IF((Metrics!$H$1-180+25)&lt;1,"",INDEX(Calc_Daily!$H$2:$H$2001,(Metrics!$H$1-180+25)))</f>
        <v>0</v>
      </c>
      <c r="G26">
        <f>IF((Metrics!$H$1-180+25)&lt;1,"",INDEX(Calc_Daily!$I$2:$I$2001,(Metrics!$H$1-180+25)))</f>
        <v>0</v>
      </c>
      <c r="H26">
        <f>IF((Metrics!$H$1-180+25)&lt;1,"",INDEX(Calc_Daily!$J$2:$J$2001,(Metrics!$H$1-180+25)))</f>
        <v>0</v>
      </c>
      <c r="I26">
        <f>IF((Metrics!$H$1-180+25)&lt;1,"",INDEX(Calc_Daily!$K$2:$K$2001,(Metrics!$H$1-180+25)))</f>
        <v>0</v>
      </c>
      <c r="J26">
        <f>IF((Metrics!$H$1-180+25)&lt;1,"",INDEX(Calc_Daily!$N$2:$N$2001,(Metrics!$H$1-180+25)))</f>
        <v>0</v>
      </c>
      <c r="K26">
        <f>IF((Metrics!$H$1-180+25)&lt;1,"",70)</f>
        <v>0</v>
      </c>
      <c r="L26">
        <f>IF((Metrics!$H$1-180+25)&lt;1,"",30)</f>
        <v>0</v>
      </c>
      <c r="M26">
        <f>IF((Metrics!$H$1-180+25)&lt;1,"",INDEX(Calc_Daily!$Q$2:$Q$2001,(Metrics!$H$1-180+25)))</f>
        <v>0</v>
      </c>
      <c r="N26">
        <f>IF((Metrics!$H$1-180+25)&lt;1,"",INDEX(Calc_Daily!$R$2:$R$2001,(Metrics!$H$1-180+25)))</f>
        <v>0</v>
      </c>
      <c r="O26">
        <f>IF((Metrics!$H$1-180+25)&lt;1,"",INDEX(Calc_Daily!$S$2:$S$2001,(Metrics!$H$1-180+25)))</f>
        <v>0</v>
      </c>
      <c r="P26">
        <f>IF((Metrics!$H$1-180+25)&lt;1,"",INDEX(Calc_Daily!$AM$2:$AM$2001,(Metrics!$H$1-180+25)))</f>
        <v>0</v>
      </c>
      <c r="Q26">
        <f>IF((Metrics!$H$1-180+25)&lt;1,"",INDEX(Calc_Daily!$AK$2:$AK$2001,(Metrics!$H$1-180+25)))</f>
        <v>0</v>
      </c>
      <c r="R26">
        <f>IF((Metrics!$H$1-180+25)&lt;1,"",INDEX(Calc_Daily!$AN$2:$AN$2001,(Metrics!$H$1-180+25)))</f>
        <v>0</v>
      </c>
      <c r="S26">
        <f>IF((Metrics!$H$1-180+25)&lt;1,"",INDEX(Calc_Daily!$AD$2:$AD$2001,(Metrics!$H$1-180+25)))</f>
        <v>0</v>
      </c>
      <c r="T26">
        <f>IF((Metrics!$H$1-180+25)&lt;1,"",INDEX(Calc_Daily!$AT$2:$AT$2001,(Metrics!$H$1-180+25)))</f>
        <v>0</v>
      </c>
      <c r="U26">
        <f>IF((Metrics!$H$1-180+25)&lt;1,"",INDEX(Calc_Daily!$AQ$2:$AQ$2001,(Metrics!$H$1-180+25)))</f>
        <v>0</v>
      </c>
      <c r="V26">
        <f>IF((Metrics!$H$1-180+25)&lt;1,"",INDEX(Calc_Daily!$AR$2:$AR$2001,(Metrics!$H$1-180+25)))</f>
        <v>0</v>
      </c>
    </row>
    <row r="27" spans="1:22">
      <c r="A27" s="27">
        <f>IF((Metrics!$H$1-180+26)&lt;1,"",INDEX(Calc_Daily!$A$2:$A$2001,(Metrics!$H$1-180+26)))</f>
        <v>0</v>
      </c>
      <c r="B27">
        <f>IF((Metrics!$H$1-180+26)&lt;1,"",INDEX(Calc_Daily!$B$2:$B$2001,(Metrics!$H$1-180+26)))</f>
        <v>0</v>
      </c>
      <c r="C27">
        <f>IF((Metrics!$H$1-180+26)&lt;1,"",INDEX(Calc_Daily!$C$2:$C$2001,(Metrics!$H$1-180+26)))</f>
        <v>0</v>
      </c>
      <c r="D27">
        <f>IF((Metrics!$H$1-180+26)&lt;1,"",INDEX(Calc_Daily!$D$2:$D$2001,(Metrics!$H$1-180+26)))</f>
        <v>0</v>
      </c>
      <c r="E27">
        <f>IF((Metrics!$H$1-180+26)&lt;1,"",INDEX(Calc_Daily!$E$2:$E$2001,(Metrics!$H$1-180+26)))</f>
        <v>0</v>
      </c>
      <c r="F27">
        <f>IF((Metrics!$H$1-180+26)&lt;1,"",INDEX(Calc_Daily!$H$2:$H$2001,(Metrics!$H$1-180+26)))</f>
        <v>0</v>
      </c>
      <c r="G27">
        <f>IF((Metrics!$H$1-180+26)&lt;1,"",INDEX(Calc_Daily!$I$2:$I$2001,(Metrics!$H$1-180+26)))</f>
        <v>0</v>
      </c>
      <c r="H27">
        <f>IF((Metrics!$H$1-180+26)&lt;1,"",INDEX(Calc_Daily!$J$2:$J$2001,(Metrics!$H$1-180+26)))</f>
        <v>0</v>
      </c>
      <c r="I27">
        <f>IF((Metrics!$H$1-180+26)&lt;1,"",INDEX(Calc_Daily!$K$2:$K$2001,(Metrics!$H$1-180+26)))</f>
        <v>0</v>
      </c>
      <c r="J27">
        <f>IF((Metrics!$H$1-180+26)&lt;1,"",INDEX(Calc_Daily!$N$2:$N$2001,(Metrics!$H$1-180+26)))</f>
        <v>0</v>
      </c>
      <c r="K27">
        <f>IF((Metrics!$H$1-180+26)&lt;1,"",70)</f>
        <v>0</v>
      </c>
      <c r="L27">
        <f>IF((Metrics!$H$1-180+26)&lt;1,"",30)</f>
        <v>0</v>
      </c>
      <c r="M27">
        <f>IF((Metrics!$H$1-180+26)&lt;1,"",INDEX(Calc_Daily!$Q$2:$Q$2001,(Metrics!$H$1-180+26)))</f>
        <v>0</v>
      </c>
      <c r="N27">
        <f>IF((Metrics!$H$1-180+26)&lt;1,"",INDEX(Calc_Daily!$R$2:$R$2001,(Metrics!$H$1-180+26)))</f>
        <v>0</v>
      </c>
      <c r="O27">
        <f>IF((Metrics!$H$1-180+26)&lt;1,"",INDEX(Calc_Daily!$S$2:$S$2001,(Metrics!$H$1-180+26)))</f>
        <v>0</v>
      </c>
      <c r="P27">
        <f>IF((Metrics!$H$1-180+26)&lt;1,"",INDEX(Calc_Daily!$AM$2:$AM$2001,(Metrics!$H$1-180+26)))</f>
        <v>0</v>
      </c>
      <c r="Q27">
        <f>IF((Metrics!$H$1-180+26)&lt;1,"",INDEX(Calc_Daily!$AK$2:$AK$2001,(Metrics!$H$1-180+26)))</f>
        <v>0</v>
      </c>
      <c r="R27">
        <f>IF((Metrics!$H$1-180+26)&lt;1,"",INDEX(Calc_Daily!$AN$2:$AN$2001,(Metrics!$H$1-180+26)))</f>
        <v>0</v>
      </c>
      <c r="S27">
        <f>IF((Metrics!$H$1-180+26)&lt;1,"",INDEX(Calc_Daily!$AD$2:$AD$2001,(Metrics!$H$1-180+26)))</f>
        <v>0</v>
      </c>
      <c r="T27">
        <f>IF((Metrics!$H$1-180+26)&lt;1,"",INDEX(Calc_Daily!$AT$2:$AT$2001,(Metrics!$H$1-180+26)))</f>
        <v>0</v>
      </c>
      <c r="U27">
        <f>IF((Metrics!$H$1-180+26)&lt;1,"",INDEX(Calc_Daily!$AQ$2:$AQ$2001,(Metrics!$H$1-180+26)))</f>
        <v>0</v>
      </c>
      <c r="V27">
        <f>IF((Metrics!$H$1-180+26)&lt;1,"",INDEX(Calc_Daily!$AR$2:$AR$2001,(Metrics!$H$1-180+26)))</f>
        <v>0</v>
      </c>
    </row>
    <row r="28" spans="1:22">
      <c r="A28" s="27">
        <f>IF((Metrics!$H$1-180+27)&lt;1,"",INDEX(Calc_Daily!$A$2:$A$2001,(Metrics!$H$1-180+27)))</f>
        <v>0</v>
      </c>
      <c r="B28">
        <f>IF((Metrics!$H$1-180+27)&lt;1,"",INDEX(Calc_Daily!$B$2:$B$2001,(Metrics!$H$1-180+27)))</f>
        <v>0</v>
      </c>
      <c r="C28">
        <f>IF((Metrics!$H$1-180+27)&lt;1,"",INDEX(Calc_Daily!$C$2:$C$2001,(Metrics!$H$1-180+27)))</f>
        <v>0</v>
      </c>
      <c r="D28">
        <f>IF((Metrics!$H$1-180+27)&lt;1,"",INDEX(Calc_Daily!$D$2:$D$2001,(Metrics!$H$1-180+27)))</f>
        <v>0</v>
      </c>
      <c r="E28">
        <f>IF((Metrics!$H$1-180+27)&lt;1,"",INDEX(Calc_Daily!$E$2:$E$2001,(Metrics!$H$1-180+27)))</f>
        <v>0</v>
      </c>
      <c r="F28">
        <f>IF((Metrics!$H$1-180+27)&lt;1,"",INDEX(Calc_Daily!$H$2:$H$2001,(Metrics!$H$1-180+27)))</f>
        <v>0</v>
      </c>
      <c r="G28">
        <f>IF((Metrics!$H$1-180+27)&lt;1,"",INDEX(Calc_Daily!$I$2:$I$2001,(Metrics!$H$1-180+27)))</f>
        <v>0</v>
      </c>
      <c r="H28">
        <f>IF((Metrics!$H$1-180+27)&lt;1,"",INDEX(Calc_Daily!$J$2:$J$2001,(Metrics!$H$1-180+27)))</f>
        <v>0</v>
      </c>
      <c r="I28">
        <f>IF((Metrics!$H$1-180+27)&lt;1,"",INDEX(Calc_Daily!$K$2:$K$2001,(Metrics!$H$1-180+27)))</f>
        <v>0</v>
      </c>
      <c r="J28">
        <f>IF((Metrics!$H$1-180+27)&lt;1,"",INDEX(Calc_Daily!$N$2:$N$2001,(Metrics!$H$1-180+27)))</f>
        <v>0</v>
      </c>
      <c r="K28">
        <f>IF((Metrics!$H$1-180+27)&lt;1,"",70)</f>
        <v>0</v>
      </c>
      <c r="L28">
        <f>IF((Metrics!$H$1-180+27)&lt;1,"",30)</f>
        <v>0</v>
      </c>
      <c r="M28">
        <f>IF((Metrics!$H$1-180+27)&lt;1,"",INDEX(Calc_Daily!$Q$2:$Q$2001,(Metrics!$H$1-180+27)))</f>
        <v>0</v>
      </c>
      <c r="N28">
        <f>IF((Metrics!$H$1-180+27)&lt;1,"",INDEX(Calc_Daily!$R$2:$R$2001,(Metrics!$H$1-180+27)))</f>
        <v>0</v>
      </c>
      <c r="O28">
        <f>IF((Metrics!$H$1-180+27)&lt;1,"",INDEX(Calc_Daily!$S$2:$S$2001,(Metrics!$H$1-180+27)))</f>
        <v>0</v>
      </c>
      <c r="P28">
        <f>IF((Metrics!$H$1-180+27)&lt;1,"",INDEX(Calc_Daily!$AM$2:$AM$2001,(Metrics!$H$1-180+27)))</f>
        <v>0</v>
      </c>
      <c r="Q28">
        <f>IF((Metrics!$H$1-180+27)&lt;1,"",INDEX(Calc_Daily!$AK$2:$AK$2001,(Metrics!$H$1-180+27)))</f>
        <v>0</v>
      </c>
      <c r="R28">
        <f>IF((Metrics!$H$1-180+27)&lt;1,"",INDEX(Calc_Daily!$AN$2:$AN$2001,(Metrics!$H$1-180+27)))</f>
        <v>0</v>
      </c>
      <c r="S28">
        <f>IF((Metrics!$H$1-180+27)&lt;1,"",INDEX(Calc_Daily!$AD$2:$AD$2001,(Metrics!$H$1-180+27)))</f>
        <v>0</v>
      </c>
      <c r="T28">
        <f>IF((Metrics!$H$1-180+27)&lt;1,"",INDEX(Calc_Daily!$AT$2:$AT$2001,(Metrics!$H$1-180+27)))</f>
        <v>0</v>
      </c>
      <c r="U28">
        <f>IF((Metrics!$H$1-180+27)&lt;1,"",INDEX(Calc_Daily!$AQ$2:$AQ$2001,(Metrics!$H$1-180+27)))</f>
        <v>0</v>
      </c>
      <c r="V28">
        <f>IF((Metrics!$H$1-180+27)&lt;1,"",INDEX(Calc_Daily!$AR$2:$AR$2001,(Metrics!$H$1-180+27)))</f>
        <v>0</v>
      </c>
    </row>
    <row r="29" spans="1:22">
      <c r="A29" s="27">
        <f>IF((Metrics!$H$1-180+28)&lt;1,"",INDEX(Calc_Daily!$A$2:$A$2001,(Metrics!$H$1-180+28)))</f>
        <v>0</v>
      </c>
      <c r="B29">
        <f>IF((Metrics!$H$1-180+28)&lt;1,"",INDEX(Calc_Daily!$B$2:$B$2001,(Metrics!$H$1-180+28)))</f>
        <v>0</v>
      </c>
      <c r="C29">
        <f>IF((Metrics!$H$1-180+28)&lt;1,"",INDEX(Calc_Daily!$C$2:$C$2001,(Metrics!$H$1-180+28)))</f>
        <v>0</v>
      </c>
      <c r="D29">
        <f>IF((Metrics!$H$1-180+28)&lt;1,"",INDEX(Calc_Daily!$D$2:$D$2001,(Metrics!$H$1-180+28)))</f>
        <v>0</v>
      </c>
      <c r="E29">
        <f>IF((Metrics!$H$1-180+28)&lt;1,"",INDEX(Calc_Daily!$E$2:$E$2001,(Metrics!$H$1-180+28)))</f>
        <v>0</v>
      </c>
      <c r="F29">
        <f>IF((Metrics!$H$1-180+28)&lt;1,"",INDEX(Calc_Daily!$H$2:$H$2001,(Metrics!$H$1-180+28)))</f>
        <v>0</v>
      </c>
      <c r="G29">
        <f>IF((Metrics!$H$1-180+28)&lt;1,"",INDEX(Calc_Daily!$I$2:$I$2001,(Metrics!$H$1-180+28)))</f>
        <v>0</v>
      </c>
      <c r="H29">
        <f>IF((Metrics!$H$1-180+28)&lt;1,"",INDEX(Calc_Daily!$J$2:$J$2001,(Metrics!$H$1-180+28)))</f>
        <v>0</v>
      </c>
      <c r="I29">
        <f>IF((Metrics!$H$1-180+28)&lt;1,"",INDEX(Calc_Daily!$K$2:$K$2001,(Metrics!$H$1-180+28)))</f>
        <v>0</v>
      </c>
      <c r="J29">
        <f>IF((Metrics!$H$1-180+28)&lt;1,"",INDEX(Calc_Daily!$N$2:$N$2001,(Metrics!$H$1-180+28)))</f>
        <v>0</v>
      </c>
      <c r="K29">
        <f>IF((Metrics!$H$1-180+28)&lt;1,"",70)</f>
        <v>0</v>
      </c>
      <c r="L29">
        <f>IF((Metrics!$H$1-180+28)&lt;1,"",30)</f>
        <v>0</v>
      </c>
      <c r="M29">
        <f>IF((Metrics!$H$1-180+28)&lt;1,"",INDEX(Calc_Daily!$Q$2:$Q$2001,(Metrics!$H$1-180+28)))</f>
        <v>0</v>
      </c>
      <c r="N29">
        <f>IF((Metrics!$H$1-180+28)&lt;1,"",INDEX(Calc_Daily!$R$2:$R$2001,(Metrics!$H$1-180+28)))</f>
        <v>0</v>
      </c>
      <c r="O29">
        <f>IF((Metrics!$H$1-180+28)&lt;1,"",INDEX(Calc_Daily!$S$2:$S$2001,(Metrics!$H$1-180+28)))</f>
        <v>0</v>
      </c>
      <c r="P29">
        <f>IF((Metrics!$H$1-180+28)&lt;1,"",INDEX(Calc_Daily!$AM$2:$AM$2001,(Metrics!$H$1-180+28)))</f>
        <v>0</v>
      </c>
      <c r="Q29">
        <f>IF((Metrics!$H$1-180+28)&lt;1,"",INDEX(Calc_Daily!$AK$2:$AK$2001,(Metrics!$H$1-180+28)))</f>
        <v>0</v>
      </c>
      <c r="R29">
        <f>IF((Metrics!$H$1-180+28)&lt;1,"",INDEX(Calc_Daily!$AN$2:$AN$2001,(Metrics!$H$1-180+28)))</f>
        <v>0</v>
      </c>
      <c r="S29">
        <f>IF((Metrics!$H$1-180+28)&lt;1,"",INDEX(Calc_Daily!$AD$2:$AD$2001,(Metrics!$H$1-180+28)))</f>
        <v>0</v>
      </c>
      <c r="T29">
        <f>IF((Metrics!$H$1-180+28)&lt;1,"",INDEX(Calc_Daily!$AT$2:$AT$2001,(Metrics!$H$1-180+28)))</f>
        <v>0</v>
      </c>
      <c r="U29">
        <f>IF((Metrics!$H$1-180+28)&lt;1,"",INDEX(Calc_Daily!$AQ$2:$AQ$2001,(Metrics!$H$1-180+28)))</f>
        <v>0</v>
      </c>
      <c r="V29">
        <f>IF((Metrics!$H$1-180+28)&lt;1,"",INDEX(Calc_Daily!$AR$2:$AR$2001,(Metrics!$H$1-180+28)))</f>
        <v>0</v>
      </c>
    </row>
    <row r="30" spans="1:22">
      <c r="A30" s="27">
        <f>IF((Metrics!$H$1-180+29)&lt;1,"",INDEX(Calc_Daily!$A$2:$A$2001,(Metrics!$H$1-180+29)))</f>
        <v>0</v>
      </c>
      <c r="B30">
        <f>IF((Metrics!$H$1-180+29)&lt;1,"",INDEX(Calc_Daily!$B$2:$B$2001,(Metrics!$H$1-180+29)))</f>
        <v>0</v>
      </c>
      <c r="C30">
        <f>IF((Metrics!$H$1-180+29)&lt;1,"",INDEX(Calc_Daily!$C$2:$C$2001,(Metrics!$H$1-180+29)))</f>
        <v>0</v>
      </c>
      <c r="D30">
        <f>IF((Metrics!$H$1-180+29)&lt;1,"",INDEX(Calc_Daily!$D$2:$D$2001,(Metrics!$H$1-180+29)))</f>
        <v>0</v>
      </c>
      <c r="E30">
        <f>IF((Metrics!$H$1-180+29)&lt;1,"",INDEX(Calc_Daily!$E$2:$E$2001,(Metrics!$H$1-180+29)))</f>
        <v>0</v>
      </c>
      <c r="F30">
        <f>IF((Metrics!$H$1-180+29)&lt;1,"",INDEX(Calc_Daily!$H$2:$H$2001,(Metrics!$H$1-180+29)))</f>
        <v>0</v>
      </c>
      <c r="G30">
        <f>IF((Metrics!$H$1-180+29)&lt;1,"",INDEX(Calc_Daily!$I$2:$I$2001,(Metrics!$H$1-180+29)))</f>
        <v>0</v>
      </c>
      <c r="H30">
        <f>IF((Metrics!$H$1-180+29)&lt;1,"",INDEX(Calc_Daily!$J$2:$J$2001,(Metrics!$H$1-180+29)))</f>
        <v>0</v>
      </c>
      <c r="I30">
        <f>IF((Metrics!$H$1-180+29)&lt;1,"",INDEX(Calc_Daily!$K$2:$K$2001,(Metrics!$H$1-180+29)))</f>
        <v>0</v>
      </c>
      <c r="J30">
        <f>IF((Metrics!$H$1-180+29)&lt;1,"",INDEX(Calc_Daily!$N$2:$N$2001,(Metrics!$H$1-180+29)))</f>
        <v>0</v>
      </c>
      <c r="K30">
        <f>IF((Metrics!$H$1-180+29)&lt;1,"",70)</f>
        <v>0</v>
      </c>
      <c r="L30">
        <f>IF((Metrics!$H$1-180+29)&lt;1,"",30)</f>
        <v>0</v>
      </c>
      <c r="M30">
        <f>IF((Metrics!$H$1-180+29)&lt;1,"",INDEX(Calc_Daily!$Q$2:$Q$2001,(Metrics!$H$1-180+29)))</f>
        <v>0</v>
      </c>
      <c r="N30">
        <f>IF((Metrics!$H$1-180+29)&lt;1,"",INDEX(Calc_Daily!$R$2:$R$2001,(Metrics!$H$1-180+29)))</f>
        <v>0</v>
      </c>
      <c r="O30">
        <f>IF((Metrics!$H$1-180+29)&lt;1,"",INDEX(Calc_Daily!$S$2:$S$2001,(Metrics!$H$1-180+29)))</f>
        <v>0</v>
      </c>
      <c r="P30">
        <f>IF((Metrics!$H$1-180+29)&lt;1,"",INDEX(Calc_Daily!$AM$2:$AM$2001,(Metrics!$H$1-180+29)))</f>
        <v>0</v>
      </c>
      <c r="Q30">
        <f>IF((Metrics!$H$1-180+29)&lt;1,"",INDEX(Calc_Daily!$AK$2:$AK$2001,(Metrics!$H$1-180+29)))</f>
        <v>0</v>
      </c>
      <c r="R30">
        <f>IF((Metrics!$H$1-180+29)&lt;1,"",INDEX(Calc_Daily!$AN$2:$AN$2001,(Metrics!$H$1-180+29)))</f>
        <v>0</v>
      </c>
      <c r="S30">
        <f>IF((Metrics!$H$1-180+29)&lt;1,"",INDEX(Calc_Daily!$AD$2:$AD$2001,(Metrics!$H$1-180+29)))</f>
        <v>0</v>
      </c>
      <c r="T30">
        <f>IF((Metrics!$H$1-180+29)&lt;1,"",INDEX(Calc_Daily!$AT$2:$AT$2001,(Metrics!$H$1-180+29)))</f>
        <v>0</v>
      </c>
      <c r="U30">
        <f>IF((Metrics!$H$1-180+29)&lt;1,"",INDEX(Calc_Daily!$AQ$2:$AQ$2001,(Metrics!$H$1-180+29)))</f>
        <v>0</v>
      </c>
      <c r="V30">
        <f>IF((Metrics!$H$1-180+29)&lt;1,"",INDEX(Calc_Daily!$AR$2:$AR$2001,(Metrics!$H$1-180+29)))</f>
        <v>0</v>
      </c>
    </row>
    <row r="31" spans="1:22">
      <c r="A31" s="27">
        <f>IF((Metrics!$H$1-180+30)&lt;1,"",INDEX(Calc_Daily!$A$2:$A$2001,(Metrics!$H$1-180+30)))</f>
        <v>0</v>
      </c>
      <c r="B31">
        <f>IF((Metrics!$H$1-180+30)&lt;1,"",INDEX(Calc_Daily!$B$2:$B$2001,(Metrics!$H$1-180+30)))</f>
        <v>0</v>
      </c>
      <c r="C31">
        <f>IF((Metrics!$H$1-180+30)&lt;1,"",INDEX(Calc_Daily!$C$2:$C$2001,(Metrics!$H$1-180+30)))</f>
        <v>0</v>
      </c>
      <c r="D31">
        <f>IF((Metrics!$H$1-180+30)&lt;1,"",INDEX(Calc_Daily!$D$2:$D$2001,(Metrics!$H$1-180+30)))</f>
        <v>0</v>
      </c>
      <c r="E31">
        <f>IF((Metrics!$H$1-180+30)&lt;1,"",INDEX(Calc_Daily!$E$2:$E$2001,(Metrics!$H$1-180+30)))</f>
        <v>0</v>
      </c>
      <c r="F31">
        <f>IF((Metrics!$H$1-180+30)&lt;1,"",INDEX(Calc_Daily!$H$2:$H$2001,(Metrics!$H$1-180+30)))</f>
        <v>0</v>
      </c>
      <c r="G31">
        <f>IF((Metrics!$H$1-180+30)&lt;1,"",INDEX(Calc_Daily!$I$2:$I$2001,(Metrics!$H$1-180+30)))</f>
        <v>0</v>
      </c>
      <c r="H31">
        <f>IF((Metrics!$H$1-180+30)&lt;1,"",INDEX(Calc_Daily!$J$2:$J$2001,(Metrics!$H$1-180+30)))</f>
        <v>0</v>
      </c>
      <c r="I31">
        <f>IF((Metrics!$H$1-180+30)&lt;1,"",INDEX(Calc_Daily!$K$2:$K$2001,(Metrics!$H$1-180+30)))</f>
        <v>0</v>
      </c>
      <c r="J31">
        <f>IF((Metrics!$H$1-180+30)&lt;1,"",INDEX(Calc_Daily!$N$2:$N$2001,(Metrics!$H$1-180+30)))</f>
        <v>0</v>
      </c>
      <c r="K31">
        <f>IF((Metrics!$H$1-180+30)&lt;1,"",70)</f>
        <v>0</v>
      </c>
      <c r="L31">
        <f>IF((Metrics!$H$1-180+30)&lt;1,"",30)</f>
        <v>0</v>
      </c>
      <c r="M31">
        <f>IF((Metrics!$H$1-180+30)&lt;1,"",INDEX(Calc_Daily!$Q$2:$Q$2001,(Metrics!$H$1-180+30)))</f>
        <v>0</v>
      </c>
      <c r="N31">
        <f>IF((Metrics!$H$1-180+30)&lt;1,"",INDEX(Calc_Daily!$R$2:$R$2001,(Metrics!$H$1-180+30)))</f>
        <v>0</v>
      </c>
      <c r="O31">
        <f>IF((Metrics!$H$1-180+30)&lt;1,"",INDEX(Calc_Daily!$S$2:$S$2001,(Metrics!$H$1-180+30)))</f>
        <v>0</v>
      </c>
      <c r="P31">
        <f>IF((Metrics!$H$1-180+30)&lt;1,"",INDEX(Calc_Daily!$AM$2:$AM$2001,(Metrics!$H$1-180+30)))</f>
        <v>0</v>
      </c>
      <c r="Q31">
        <f>IF((Metrics!$H$1-180+30)&lt;1,"",INDEX(Calc_Daily!$AK$2:$AK$2001,(Metrics!$H$1-180+30)))</f>
        <v>0</v>
      </c>
      <c r="R31">
        <f>IF((Metrics!$H$1-180+30)&lt;1,"",INDEX(Calc_Daily!$AN$2:$AN$2001,(Metrics!$H$1-180+30)))</f>
        <v>0</v>
      </c>
      <c r="S31">
        <f>IF((Metrics!$H$1-180+30)&lt;1,"",INDEX(Calc_Daily!$AD$2:$AD$2001,(Metrics!$H$1-180+30)))</f>
        <v>0</v>
      </c>
      <c r="T31">
        <f>IF((Metrics!$H$1-180+30)&lt;1,"",INDEX(Calc_Daily!$AT$2:$AT$2001,(Metrics!$H$1-180+30)))</f>
        <v>0</v>
      </c>
      <c r="U31">
        <f>IF((Metrics!$H$1-180+30)&lt;1,"",INDEX(Calc_Daily!$AQ$2:$AQ$2001,(Metrics!$H$1-180+30)))</f>
        <v>0</v>
      </c>
      <c r="V31">
        <f>IF((Metrics!$H$1-180+30)&lt;1,"",INDEX(Calc_Daily!$AR$2:$AR$2001,(Metrics!$H$1-180+30)))</f>
        <v>0</v>
      </c>
    </row>
    <row r="32" spans="1:22">
      <c r="A32" s="27">
        <f>IF((Metrics!$H$1-180+31)&lt;1,"",INDEX(Calc_Daily!$A$2:$A$2001,(Metrics!$H$1-180+31)))</f>
        <v>0</v>
      </c>
      <c r="B32">
        <f>IF((Metrics!$H$1-180+31)&lt;1,"",INDEX(Calc_Daily!$B$2:$B$2001,(Metrics!$H$1-180+31)))</f>
        <v>0</v>
      </c>
      <c r="C32">
        <f>IF((Metrics!$H$1-180+31)&lt;1,"",INDEX(Calc_Daily!$C$2:$C$2001,(Metrics!$H$1-180+31)))</f>
        <v>0</v>
      </c>
      <c r="D32">
        <f>IF((Metrics!$H$1-180+31)&lt;1,"",INDEX(Calc_Daily!$D$2:$D$2001,(Metrics!$H$1-180+31)))</f>
        <v>0</v>
      </c>
      <c r="E32">
        <f>IF((Metrics!$H$1-180+31)&lt;1,"",INDEX(Calc_Daily!$E$2:$E$2001,(Metrics!$H$1-180+31)))</f>
        <v>0</v>
      </c>
      <c r="F32">
        <f>IF((Metrics!$H$1-180+31)&lt;1,"",INDEX(Calc_Daily!$H$2:$H$2001,(Metrics!$H$1-180+31)))</f>
        <v>0</v>
      </c>
      <c r="G32">
        <f>IF((Metrics!$H$1-180+31)&lt;1,"",INDEX(Calc_Daily!$I$2:$I$2001,(Metrics!$H$1-180+31)))</f>
        <v>0</v>
      </c>
      <c r="H32">
        <f>IF((Metrics!$H$1-180+31)&lt;1,"",INDEX(Calc_Daily!$J$2:$J$2001,(Metrics!$H$1-180+31)))</f>
        <v>0</v>
      </c>
      <c r="I32">
        <f>IF((Metrics!$H$1-180+31)&lt;1,"",INDEX(Calc_Daily!$K$2:$K$2001,(Metrics!$H$1-180+31)))</f>
        <v>0</v>
      </c>
      <c r="J32">
        <f>IF((Metrics!$H$1-180+31)&lt;1,"",INDEX(Calc_Daily!$N$2:$N$2001,(Metrics!$H$1-180+31)))</f>
        <v>0</v>
      </c>
      <c r="K32">
        <f>IF((Metrics!$H$1-180+31)&lt;1,"",70)</f>
        <v>0</v>
      </c>
      <c r="L32">
        <f>IF((Metrics!$H$1-180+31)&lt;1,"",30)</f>
        <v>0</v>
      </c>
      <c r="M32">
        <f>IF((Metrics!$H$1-180+31)&lt;1,"",INDEX(Calc_Daily!$Q$2:$Q$2001,(Metrics!$H$1-180+31)))</f>
        <v>0</v>
      </c>
      <c r="N32">
        <f>IF((Metrics!$H$1-180+31)&lt;1,"",INDEX(Calc_Daily!$R$2:$R$2001,(Metrics!$H$1-180+31)))</f>
        <v>0</v>
      </c>
      <c r="O32">
        <f>IF((Metrics!$H$1-180+31)&lt;1,"",INDEX(Calc_Daily!$S$2:$S$2001,(Metrics!$H$1-180+31)))</f>
        <v>0</v>
      </c>
      <c r="P32">
        <f>IF((Metrics!$H$1-180+31)&lt;1,"",INDEX(Calc_Daily!$AM$2:$AM$2001,(Metrics!$H$1-180+31)))</f>
        <v>0</v>
      </c>
      <c r="Q32">
        <f>IF((Metrics!$H$1-180+31)&lt;1,"",INDEX(Calc_Daily!$AK$2:$AK$2001,(Metrics!$H$1-180+31)))</f>
        <v>0</v>
      </c>
      <c r="R32">
        <f>IF((Metrics!$H$1-180+31)&lt;1,"",INDEX(Calc_Daily!$AN$2:$AN$2001,(Metrics!$H$1-180+31)))</f>
        <v>0</v>
      </c>
      <c r="S32">
        <f>IF((Metrics!$H$1-180+31)&lt;1,"",INDEX(Calc_Daily!$AD$2:$AD$2001,(Metrics!$H$1-180+31)))</f>
        <v>0</v>
      </c>
      <c r="T32">
        <f>IF((Metrics!$H$1-180+31)&lt;1,"",INDEX(Calc_Daily!$AT$2:$AT$2001,(Metrics!$H$1-180+31)))</f>
        <v>0</v>
      </c>
      <c r="U32">
        <f>IF((Metrics!$H$1-180+31)&lt;1,"",INDEX(Calc_Daily!$AQ$2:$AQ$2001,(Metrics!$H$1-180+31)))</f>
        <v>0</v>
      </c>
      <c r="V32">
        <f>IF((Metrics!$H$1-180+31)&lt;1,"",INDEX(Calc_Daily!$AR$2:$AR$2001,(Metrics!$H$1-180+31)))</f>
        <v>0</v>
      </c>
    </row>
    <row r="33" spans="1:22">
      <c r="A33" s="27">
        <f>IF((Metrics!$H$1-180+32)&lt;1,"",INDEX(Calc_Daily!$A$2:$A$2001,(Metrics!$H$1-180+32)))</f>
        <v>0</v>
      </c>
      <c r="B33">
        <f>IF((Metrics!$H$1-180+32)&lt;1,"",INDEX(Calc_Daily!$B$2:$B$2001,(Metrics!$H$1-180+32)))</f>
        <v>0</v>
      </c>
      <c r="C33">
        <f>IF((Metrics!$H$1-180+32)&lt;1,"",INDEX(Calc_Daily!$C$2:$C$2001,(Metrics!$H$1-180+32)))</f>
        <v>0</v>
      </c>
      <c r="D33">
        <f>IF((Metrics!$H$1-180+32)&lt;1,"",INDEX(Calc_Daily!$D$2:$D$2001,(Metrics!$H$1-180+32)))</f>
        <v>0</v>
      </c>
      <c r="E33">
        <f>IF((Metrics!$H$1-180+32)&lt;1,"",INDEX(Calc_Daily!$E$2:$E$2001,(Metrics!$H$1-180+32)))</f>
        <v>0</v>
      </c>
      <c r="F33">
        <f>IF((Metrics!$H$1-180+32)&lt;1,"",INDEX(Calc_Daily!$H$2:$H$2001,(Metrics!$H$1-180+32)))</f>
        <v>0</v>
      </c>
      <c r="G33">
        <f>IF((Metrics!$H$1-180+32)&lt;1,"",INDEX(Calc_Daily!$I$2:$I$2001,(Metrics!$H$1-180+32)))</f>
        <v>0</v>
      </c>
      <c r="H33">
        <f>IF((Metrics!$H$1-180+32)&lt;1,"",INDEX(Calc_Daily!$J$2:$J$2001,(Metrics!$H$1-180+32)))</f>
        <v>0</v>
      </c>
      <c r="I33">
        <f>IF((Metrics!$H$1-180+32)&lt;1,"",INDEX(Calc_Daily!$K$2:$K$2001,(Metrics!$H$1-180+32)))</f>
        <v>0</v>
      </c>
      <c r="J33">
        <f>IF((Metrics!$H$1-180+32)&lt;1,"",INDEX(Calc_Daily!$N$2:$N$2001,(Metrics!$H$1-180+32)))</f>
        <v>0</v>
      </c>
      <c r="K33">
        <f>IF((Metrics!$H$1-180+32)&lt;1,"",70)</f>
        <v>0</v>
      </c>
      <c r="L33">
        <f>IF((Metrics!$H$1-180+32)&lt;1,"",30)</f>
        <v>0</v>
      </c>
      <c r="M33">
        <f>IF((Metrics!$H$1-180+32)&lt;1,"",INDEX(Calc_Daily!$Q$2:$Q$2001,(Metrics!$H$1-180+32)))</f>
        <v>0</v>
      </c>
      <c r="N33">
        <f>IF((Metrics!$H$1-180+32)&lt;1,"",INDEX(Calc_Daily!$R$2:$R$2001,(Metrics!$H$1-180+32)))</f>
        <v>0</v>
      </c>
      <c r="O33">
        <f>IF((Metrics!$H$1-180+32)&lt;1,"",INDEX(Calc_Daily!$S$2:$S$2001,(Metrics!$H$1-180+32)))</f>
        <v>0</v>
      </c>
      <c r="P33">
        <f>IF((Metrics!$H$1-180+32)&lt;1,"",INDEX(Calc_Daily!$AM$2:$AM$2001,(Metrics!$H$1-180+32)))</f>
        <v>0</v>
      </c>
      <c r="Q33">
        <f>IF((Metrics!$H$1-180+32)&lt;1,"",INDEX(Calc_Daily!$AK$2:$AK$2001,(Metrics!$H$1-180+32)))</f>
        <v>0</v>
      </c>
      <c r="R33">
        <f>IF((Metrics!$H$1-180+32)&lt;1,"",INDEX(Calc_Daily!$AN$2:$AN$2001,(Metrics!$H$1-180+32)))</f>
        <v>0</v>
      </c>
      <c r="S33">
        <f>IF((Metrics!$H$1-180+32)&lt;1,"",INDEX(Calc_Daily!$AD$2:$AD$2001,(Metrics!$H$1-180+32)))</f>
        <v>0</v>
      </c>
      <c r="T33">
        <f>IF((Metrics!$H$1-180+32)&lt;1,"",INDEX(Calc_Daily!$AT$2:$AT$2001,(Metrics!$H$1-180+32)))</f>
        <v>0</v>
      </c>
      <c r="U33">
        <f>IF((Metrics!$H$1-180+32)&lt;1,"",INDEX(Calc_Daily!$AQ$2:$AQ$2001,(Metrics!$H$1-180+32)))</f>
        <v>0</v>
      </c>
      <c r="V33">
        <f>IF((Metrics!$H$1-180+32)&lt;1,"",INDEX(Calc_Daily!$AR$2:$AR$2001,(Metrics!$H$1-180+32)))</f>
        <v>0</v>
      </c>
    </row>
    <row r="34" spans="1:22">
      <c r="A34" s="27">
        <f>IF((Metrics!$H$1-180+33)&lt;1,"",INDEX(Calc_Daily!$A$2:$A$2001,(Metrics!$H$1-180+33)))</f>
        <v>0</v>
      </c>
      <c r="B34">
        <f>IF((Metrics!$H$1-180+33)&lt;1,"",INDEX(Calc_Daily!$B$2:$B$2001,(Metrics!$H$1-180+33)))</f>
        <v>0</v>
      </c>
      <c r="C34">
        <f>IF((Metrics!$H$1-180+33)&lt;1,"",INDEX(Calc_Daily!$C$2:$C$2001,(Metrics!$H$1-180+33)))</f>
        <v>0</v>
      </c>
      <c r="D34">
        <f>IF((Metrics!$H$1-180+33)&lt;1,"",INDEX(Calc_Daily!$D$2:$D$2001,(Metrics!$H$1-180+33)))</f>
        <v>0</v>
      </c>
      <c r="E34">
        <f>IF((Metrics!$H$1-180+33)&lt;1,"",INDEX(Calc_Daily!$E$2:$E$2001,(Metrics!$H$1-180+33)))</f>
        <v>0</v>
      </c>
      <c r="F34">
        <f>IF((Metrics!$H$1-180+33)&lt;1,"",INDEX(Calc_Daily!$H$2:$H$2001,(Metrics!$H$1-180+33)))</f>
        <v>0</v>
      </c>
      <c r="G34">
        <f>IF((Metrics!$H$1-180+33)&lt;1,"",INDEX(Calc_Daily!$I$2:$I$2001,(Metrics!$H$1-180+33)))</f>
        <v>0</v>
      </c>
      <c r="H34">
        <f>IF((Metrics!$H$1-180+33)&lt;1,"",INDEX(Calc_Daily!$J$2:$J$2001,(Metrics!$H$1-180+33)))</f>
        <v>0</v>
      </c>
      <c r="I34">
        <f>IF((Metrics!$H$1-180+33)&lt;1,"",INDEX(Calc_Daily!$K$2:$K$2001,(Metrics!$H$1-180+33)))</f>
        <v>0</v>
      </c>
      <c r="J34">
        <f>IF((Metrics!$H$1-180+33)&lt;1,"",INDEX(Calc_Daily!$N$2:$N$2001,(Metrics!$H$1-180+33)))</f>
        <v>0</v>
      </c>
      <c r="K34">
        <f>IF((Metrics!$H$1-180+33)&lt;1,"",70)</f>
        <v>0</v>
      </c>
      <c r="L34">
        <f>IF((Metrics!$H$1-180+33)&lt;1,"",30)</f>
        <v>0</v>
      </c>
      <c r="M34">
        <f>IF((Metrics!$H$1-180+33)&lt;1,"",INDEX(Calc_Daily!$Q$2:$Q$2001,(Metrics!$H$1-180+33)))</f>
        <v>0</v>
      </c>
      <c r="N34">
        <f>IF((Metrics!$H$1-180+33)&lt;1,"",INDEX(Calc_Daily!$R$2:$R$2001,(Metrics!$H$1-180+33)))</f>
        <v>0</v>
      </c>
      <c r="O34">
        <f>IF((Metrics!$H$1-180+33)&lt;1,"",INDEX(Calc_Daily!$S$2:$S$2001,(Metrics!$H$1-180+33)))</f>
        <v>0</v>
      </c>
      <c r="P34">
        <f>IF((Metrics!$H$1-180+33)&lt;1,"",INDEX(Calc_Daily!$AM$2:$AM$2001,(Metrics!$H$1-180+33)))</f>
        <v>0</v>
      </c>
      <c r="Q34">
        <f>IF((Metrics!$H$1-180+33)&lt;1,"",INDEX(Calc_Daily!$AK$2:$AK$2001,(Metrics!$H$1-180+33)))</f>
        <v>0</v>
      </c>
      <c r="R34">
        <f>IF((Metrics!$H$1-180+33)&lt;1,"",INDEX(Calc_Daily!$AN$2:$AN$2001,(Metrics!$H$1-180+33)))</f>
        <v>0</v>
      </c>
      <c r="S34">
        <f>IF((Metrics!$H$1-180+33)&lt;1,"",INDEX(Calc_Daily!$AD$2:$AD$2001,(Metrics!$H$1-180+33)))</f>
        <v>0</v>
      </c>
      <c r="T34">
        <f>IF((Metrics!$H$1-180+33)&lt;1,"",INDEX(Calc_Daily!$AT$2:$AT$2001,(Metrics!$H$1-180+33)))</f>
        <v>0</v>
      </c>
      <c r="U34">
        <f>IF((Metrics!$H$1-180+33)&lt;1,"",INDEX(Calc_Daily!$AQ$2:$AQ$2001,(Metrics!$H$1-180+33)))</f>
        <v>0</v>
      </c>
      <c r="V34">
        <f>IF((Metrics!$H$1-180+33)&lt;1,"",INDEX(Calc_Daily!$AR$2:$AR$2001,(Metrics!$H$1-180+33)))</f>
        <v>0</v>
      </c>
    </row>
    <row r="35" spans="1:22">
      <c r="A35" s="27">
        <f>IF((Metrics!$H$1-180+34)&lt;1,"",INDEX(Calc_Daily!$A$2:$A$2001,(Metrics!$H$1-180+34)))</f>
        <v>0</v>
      </c>
      <c r="B35">
        <f>IF((Metrics!$H$1-180+34)&lt;1,"",INDEX(Calc_Daily!$B$2:$B$2001,(Metrics!$H$1-180+34)))</f>
        <v>0</v>
      </c>
      <c r="C35">
        <f>IF((Metrics!$H$1-180+34)&lt;1,"",INDEX(Calc_Daily!$C$2:$C$2001,(Metrics!$H$1-180+34)))</f>
        <v>0</v>
      </c>
      <c r="D35">
        <f>IF((Metrics!$H$1-180+34)&lt;1,"",INDEX(Calc_Daily!$D$2:$D$2001,(Metrics!$H$1-180+34)))</f>
        <v>0</v>
      </c>
      <c r="E35">
        <f>IF((Metrics!$H$1-180+34)&lt;1,"",INDEX(Calc_Daily!$E$2:$E$2001,(Metrics!$H$1-180+34)))</f>
        <v>0</v>
      </c>
      <c r="F35">
        <f>IF((Metrics!$H$1-180+34)&lt;1,"",INDEX(Calc_Daily!$H$2:$H$2001,(Metrics!$H$1-180+34)))</f>
        <v>0</v>
      </c>
      <c r="G35">
        <f>IF((Metrics!$H$1-180+34)&lt;1,"",INDEX(Calc_Daily!$I$2:$I$2001,(Metrics!$H$1-180+34)))</f>
        <v>0</v>
      </c>
      <c r="H35">
        <f>IF((Metrics!$H$1-180+34)&lt;1,"",INDEX(Calc_Daily!$J$2:$J$2001,(Metrics!$H$1-180+34)))</f>
        <v>0</v>
      </c>
      <c r="I35">
        <f>IF((Metrics!$H$1-180+34)&lt;1,"",INDEX(Calc_Daily!$K$2:$K$2001,(Metrics!$H$1-180+34)))</f>
        <v>0</v>
      </c>
      <c r="J35">
        <f>IF((Metrics!$H$1-180+34)&lt;1,"",INDEX(Calc_Daily!$N$2:$N$2001,(Metrics!$H$1-180+34)))</f>
        <v>0</v>
      </c>
      <c r="K35">
        <f>IF((Metrics!$H$1-180+34)&lt;1,"",70)</f>
        <v>0</v>
      </c>
      <c r="L35">
        <f>IF((Metrics!$H$1-180+34)&lt;1,"",30)</f>
        <v>0</v>
      </c>
      <c r="M35">
        <f>IF((Metrics!$H$1-180+34)&lt;1,"",INDEX(Calc_Daily!$Q$2:$Q$2001,(Metrics!$H$1-180+34)))</f>
        <v>0</v>
      </c>
      <c r="N35">
        <f>IF((Metrics!$H$1-180+34)&lt;1,"",INDEX(Calc_Daily!$R$2:$R$2001,(Metrics!$H$1-180+34)))</f>
        <v>0</v>
      </c>
      <c r="O35">
        <f>IF((Metrics!$H$1-180+34)&lt;1,"",INDEX(Calc_Daily!$S$2:$S$2001,(Metrics!$H$1-180+34)))</f>
        <v>0</v>
      </c>
      <c r="P35">
        <f>IF((Metrics!$H$1-180+34)&lt;1,"",INDEX(Calc_Daily!$AM$2:$AM$2001,(Metrics!$H$1-180+34)))</f>
        <v>0</v>
      </c>
      <c r="Q35">
        <f>IF((Metrics!$H$1-180+34)&lt;1,"",INDEX(Calc_Daily!$AK$2:$AK$2001,(Metrics!$H$1-180+34)))</f>
        <v>0</v>
      </c>
      <c r="R35">
        <f>IF((Metrics!$H$1-180+34)&lt;1,"",INDEX(Calc_Daily!$AN$2:$AN$2001,(Metrics!$H$1-180+34)))</f>
        <v>0</v>
      </c>
      <c r="S35">
        <f>IF((Metrics!$H$1-180+34)&lt;1,"",INDEX(Calc_Daily!$AD$2:$AD$2001,(Metrics!$H$1-180+34)))</f>
        <v>0</v>
      </c>
      <c r="T35">
        <f>IF((Metrics!$H$1-180+34)&lt;1,"",INDEX(Calc_Daily!$AT$2:$AT$2001,(Metrics!$H$1-180+34)))</f>
        <v>0</v>
      </c>
      <c r="U35">
        <f>IF((Metrics!$H$1-180+34)&lt;1,"",INDEX(Calc_Daily!$AQ$2:$AQ$2001,(Metrics!$H$1-180+34)))</f>
        <v>0</v>
      </c>
      <c r="V35">
        <f>IF((Metrics!$H$1-180+34)&lt;1,"",INDEX(Calc_Daily!$AR$2:$AR$2001,(Metrics!$H$1-180+34)))</f>
        <v>0</v>
      </c>
    </row>
    <row r="36" spans="1:22">
      <c r="A36" s="27">
        <f>IF((Metrics!$H$1-180+35)&lt;1,"",INDEX(Calc_Daily!$A$2:$A$2001,(Metrics!$H$1-180+35)))</f>
        <v>0</v>
      </c>
      <c r="B36">
        <f>IF((Metrics!$H$1-180+35)&lt;1,"",INDEX(Calc_Daily!$B$2:$B$2001,(Metrics!$H$1-180+35)))</f>
        <v>0</v>
      </c>
      <c r="C36">
        <f>IF((Metrics!$H$1-180+35)&lt;1,"",INDEX(Calc_Daily!$C$2:$C$2001,(Metrics!$H$1-180+35)))</f>
        <v>0</v>
      </c>
      <c r="D36">
        <f>IF((Metrics!$H$1-180+35)&lt;1,"",INDEX(Calc_Daily!$D$2:$D$2001,(Metrics!$H$1-180+35)))</f>
        <v>0</v>
      </c>
      <c r="E36">
        <f>IF((Metrics!$H$1-180+35)&lt;1,"",INDEX(Calc_Daily!$E$2:$E$2001,(Metrics!$H$1-180+35)))</f>
        <v>0</v>
      </c>
      <c r="F36">
        <f>IF((Metrics!$H$1-180+35)&lt;1,"",INDEX(Calc_Daily!$H$2:$H$2001,(Metrics!$H$1-180+35)))</f>
        <v>0</v>
      </c>
      <c r="G36">
        <f>IF((Metrics!$H$1-180+35)&lt;1,"",INDEX(Calc_Daily!$I$2:$I$2001,(Metrics!$H$1-180+35)))</f>
        <v>0</v>
      </c>
      <c r="H36">
        <f>IF((Metrics!$H$1-180+35)&lt;1,"",INDEX(Calc_Daily!$J$2:$J$2001,(Metrics!$H$1-180+35)))</f>
        <v>0</v>
      </c>
      <c r="I36">
        <f>IF((Metrics!$H$1-180+35)&lt;1,"",INDEX(Calc_Daily!$K$2:$K$2001,(Metrics!$H$1-180+35)))</f>
        <v>0</v>
      </c>
      <c r="J36">
        <f>IF((Metrics!$H$1-180+35)&lt;1,"",INDEX(Calc_Daily!$N$2:$N$2001,(Metrics!$H$1-180+35)))</f>
        <v>0</v>
      </c>
      <c r="K36">
        <f>IF((Metrics!$H$1-180+35)&lt;1,"",70)</f>
        <v>0</v>
      </c>
      <c r="L36">
        <f>IF((Metrics!$H$1-180+35)&lt;1,"",30)</f>
        <v>0</v>
      </c>
      <c r="M36">
        <f>IF((Metrics!$H$1-180+35)&lt;1,"",INDEX(Calc_Daily!$Q$2:$Q$2001,(Metrics!$H$1-180+35)))</f>
        <v>0</v>
      </c>
      <c r="N36">
        <f>IF((Metrics!$H$1-180+35)&lt;1,"",INDEX(Calc_Daily!$R$2:$R$2001,(Metrics!$H$1-180+35)))</f>
        <v>0</v>
      </c>
      <c r="O36">
        <f>IF((Metrics!$H$1-180+35)&lt;1,"",INDEX(Calc_Daily!$S$2:$S$2001,(Metrics!$H$1-180+35)))</f>
        <v>0</v>
      </c>
      <c r="P36">
        <f>IF((Metrics!$H$1-180+35)&lt;1,"",INDEX(Calc_Daily!$AM$2:$AM$2001,(Metrics!$H$1-180+35)))</f>
        <v>0</v>
      </c>
      <c r="Q36">
        <f>IF((Metrics!$H$1-180+35)&lt;1,"",INDEX(Calc_Daily!$AK$2:$AK$2001,(Metrics!$H$1-180+35)))</f>
        <v>0</v>
      </c>
      <c r="R36">
        <f>IF((Metrics!$H$1-180+35)&lt;1,"",INDEX(Calc_Daily!$AN$2:$AN$2001,(Metrics!$H$1-180+35)))</f>
        <v>0</v>
      </c>
      <c r="S36">
        <f>IF((Metrics!$H$1-180+35)&lt;1,"",INDEX(Calc_Daily!$AD$2:$AD$2001,(Metrics!$H$1-180+35)))</f>
        <v>0</v>
      </c>
      <c r="T36">
        <f>IF((Metrics!$H$1-180+35)&lt;1,"",INDEX(Calc_Daily!$AT$2:$AT$2001,(Metrics!$H$1-180+35)))</f>
        <v>0</v>
      </c>
      <c r="U36">
        <f>IF((Metrics!$H$1-180+35)&lt;1,"",INDEX(Calc_Daily!$AQ$2:$AQ$2001,(Metrics!$H$1-180+35)))</f>
        <v>0</v>
      </c>
      <c r="V36">
        <f>IF((Metrics!$H$1-180+35)&lt;1,"",INDEX(Calc_Daily!$AR$2:$AR$2001,(Metrics!$H$1-180+35)))</f>
        <v>0</v>
      </c>
    </row>
    <row r="37" spans="1:22">
      <c r="A37" s="27">
        <f>IF((Metrics!$H$1-180+36)&lt;1,"",INDEX(Calc_Daily!$A$2:$A$2001,(Metrics!$H$1-180+36)))</f>
        <v>0</v>
      </c>
      <c r="B37">
        <f>IF((Metrics!$H$1-180+36)&lt;1,"",INDEX(Calc_Daily!$B$2:$B$2001,(Metrics!$H$1-180+36)))</f>
        <v>0</v>
      </c>
      <c r="C37">
        <f>IF((Metrics!$H$1-180+36)&lt;1,"",INDEX(Calc_Daily!$C$2:$C$2001,(Metrics!$H$1-180+36)))</f>
        <v>0</v>
      </c>
      <c r="D37">
        <f>IF((Metrics!$H$1-180+36)&lt;1,"",INDEX(Calc_Daily!$D$2:$D$2001,(Metrics!$H$1-180+36)))</f>
        <v>0</v>
      </c>
      <c r="E37">
        <f>IF((Metrics!$H$1-180+36)&lt;1,"",INDEX(Calc_Daily!$E$2:$E$2001,(Metrics!$H$1-180+36)))</f>
        <v>0</v>
      </c>
      <c r="F37">
        <f>IF((Metrics!$H$1-180+36)&lt;1,"",INDEX(Calc_Daily!$H$2:$H$2001,(Metrics!$H$1-180+36)))</f>
        <v>0</v>
      </c>
      <c r="G37">
        <f>IF((Metrics!$H$1-180+36)&lt;1,"",INDEX(Calc_Daily!$I$2:$I$2001,(Metrics!$H$1-180+36)))</f>
        <v>0</v>
      </c>
      <c r="H37">
        <f>IF((Metrics!$H$1-180+36)&lt;1,"",INDEX(Calc_Daily!$J$2:$J$2001,(Metrics!$H$1-180+36)))</f>
        <v>0</v>
      </c>
      <c r="I37">
        <f>IF((Metrics!$H$1-180+36)&lt;1,"",INDEX(Calc_Daily!$K$2:$K$2001,(Metrics!$H$1-180+36)))</f>
        <v>0</v>
      </c>
      <c r="J37">
        <f>IF((Metrics!$H$1-180+36)&lt;1,"",INDEX(Calc_Daily!$N$2:$N$2001,(Metrics!$H$1-180+36)))</f>
        <v>0</v>
      </c>
      <c r="K37">
        <f>IF((Metrics!$H$1-180+36)&lt;1,"",70)</f>
        <v>0</v>
      </c>
      <c r="L37">
        <f>IF((Metrics!$H$1-180+36)&lt;1,"",30)</f>
        <v>0</v>
      </c>
      <c r="M37">
        <f>IF((Metrics!$H$1-180+36)&lt;1,"",INDEX(Calc_Daily!$Q$2:$Q$2001,(Metrics!$H$1-180+36)))</f>
        <v>0</v>
      </c>
      <c r="N37">
        <f>IF((Metrics!$H$1-180+36)&lt;1,"",INDEX(Calc_Daily!$R$2:$R$2001,(Metrics!$H$1-180+36)))</f>
        <v>0</v>
      </c>
      <c r="O37">
        <f>IF((Metrics!$H$1-180+36)&lt;1,"",INDEX(Calc_Daily!$S$2:$S$2001,(Metrics!$H$1-180+36)))</f>
        <v>0</v>
      </c>
      <c r="P37">
        <f>IF((Metrics!$H$1-180+36)&lt;1,"",INDEX(Calc_Daily!$AM$2:$AM$2001,(Metrics!$H$1-180+36)))</f>
        <v>0</v>
      </c>
      <c r="Q37">
        <f>IF((Metrics!$H$1-180+36)&lt;1,"",INDEX(Calc_Daily!$AK$2:$AK$2001,(Metrics!$H$1-180+36)))</f>
        <v>0</v>
      </c>
      <c r="R37">
        <f>IF((Metrics!$H$1-180+36)&lt;1,"",INDEX(Calc_Daily!$AN$2:$AN$2001,(Metrics!$H$1-180+36)))</f>
        <v>0</v>
      </c>
      <c r="S37">
        <f>IF((Metrics!$H$1-180+36)&lt;1,"",INDEX(Calc_Daily!$AD$2:$AD$2001,(Metrics!$H$1-180+36)))</f>
        <v>0</v>
      </c>
      <c r="T37">
        <f>IF((Metrics!$H$1-180+36)&lt;1,"",INDEX(Calc_Daily!$AT$2:$AT$2001,(Metrics!$H$1-180+36)))</f>
        <v>0</v>
      </c>
      <c r="U37">
        <f>IF((Metrics!$H$1-180+36)&lt;1,"",INDEX(Calc_Daily!$AQ$2:$AQ$2001,(Metrics!$H$1-180+36)))</f>
        <v>0</v>
      </c>
      <c r="V37">
        <f>IF((Metrics!$H$1-180+36)&lt;1,"",INDEX(Calc_Daily!$AR$2:$AR$2001,(Metrics!$H$1-180+36)))</f>
        <v>0</v>
      </c>
    </row>
    <row r="38" spans="1:22">
      <c r="A38" s="27">
        <f>IF((Metrics!$H$1-180+37)&lt;1,"",INDEX(Calc_Daily!$A$2:$A$2001,(Metrics!$H$1-180+37)))</f>
        <v>0</v>
      </c>
      <c r="B38">
        <f>IF((Metrics!$H$1-180+37)&lt;1,"",INDEX(Calc_Daily!$B$2:$B$2001,(Metrics!$H$1-180+37)))</f>
        <v>0</v>
      </c>
      <c r="C38">
        <f>IF((Metrics!$H$1-180+37)&lt;1,"",INDEX(Calc_Daily!$C$2:$C$2001,(Metrics!$H$1-180+37)))</f>
        <v>0</v>
      </c>
      <c r="D38">
        <f>IF((Metrics!$H$1-180+37)&lt;1,"",INDEX(Calc_Daily!$D$2:$D$2001,(Metrics!$H$1-180+37)))</f>
        <v>0</v>
      </c>
      <c r="E38">
        <f>IF((Metrics!$H$1-180+37)&lt;1,"",INDEX(Calc_Daily!$E$2:$E$2001,(Metrics!$H$1-180+37)))</f>
        <v>0</v>
      </c>
      <c r="F38">
        <f>IF((Metrics!$H$1-180+37)&lt;1,"",INDEX(Calc_Daily!$H$2:$H$2001,(Metrics!$H$1-180+37)))</f>
        <v>0</v>
      </c>
      <c r="G38">
        <f>IF((Metrics!$H$1-180+37)&lt;1,"",INDEX(Calc_Daily!$I$2:$I$2001,(Metrics!$H$1-180+37)))</f>
        <v>0</v>
      </c>
      <c r="H38">
        <f>IF((Metrics!$H$1-180+37)&lt;1,"",INDEX(Calc_Daily!$J$2:$J$2001,(Metrics!$H$1-180+37)))</f>
        <v>0</v>
      </c>
      <c r="I38">
        <f>IF((Metrics!$H$1-180+37)&lt;1,"",INDEX(Calc_Daily!$K$2:$K$2001,(Metrics!$H$1-180+37)))</f>
        <v>0</v>
      </c>
      <c r="J38">
        <f>IF((Metrics!$H$1-180+37)&lt;1,"",INDEX(Calc_Daily!$N$2:$N$2001,(Metrics!$H$1-180+37)))</f>
        <v>0</v>
      </c>
      <c r="K38">
        <f>IF((Metrics!$H$1-180+37)&lt;1,"",70)</f>
        <v>0</v>
      </c>
      <c r="L38">
        <f>IF((Metrics!$H$1-180+37)&lt;1,"",30)</f>
        <v>0</v>
      </c>
      <c r="M38">
        <f>IF((Metrics!$H$1-180+37)&lt;1,"",INDEX(Calc_Daily!$Q$2:$Q$2001,(Metrics!$H$1-180+37)))</f>
        <v>0</v>
      </c>
      <c r="N38">
        <f>IF((Metrics!$H$1-180+37)&lt;1,"",INDEX(Calc_Daily!$R$2:$R$2001,(Metrics!$H$1-180+37)))</f>
        <v>0</v>
      </c>
      <c r="O38">
        <f>IF((Metrics!$H$1-180+37)&lt;1,"",INDEX(Calc_Daily!$S$2:$S$2001,(Metrics!$H$1-180+37)))</f>
        <v>0</v>
      </c>
      <c r="P38">
        <f>IF((Metrics!$H$1-180+37)&lt;1,"",INDEX(Calc_Daily!$AM$2:$AM$2001,(Metrics!$H$1-180+37)))</f>
        <v>0</v>
      </c>
      <c r="Q38">
        <f>IF((Metrics!$H$1-180+37)&lt;1,"",INDEX(Calc_Daily!$AK$2:$AK$2001,(Metrics!$H$1-180+37)))</f>
        <v>0</v>
      </c>
      <c r="R38">
        <f>IF((Metrics!$H$1-180+37)&lt;1,"",INDEX(Calc_Daily!$AN$2:$AN$2001,(Metrics!$H$1-180+37)))</f>
        <v>0</v>
      </c>
      <c r="S38">
        <f>IF((Metrics!$H$1-180+37)&lt;1,"",INDEX(Calc_Daily!$AD$2:$AD$2001,(Metrics!$H$1-180+37)))</f>
        <v>0</v>
      </c>
      <c r="T38">
        <f>IF((Metrics!$H$1-180+37)&lt;1,"",INDEX(Calc_Daily!$AT$2:$AT$2001,(Metrics!$H$1-180+37)))</f>
        <v>0</v>
      </c>
      <c r="U38">
        <f>IF((Metrics!$H$1-180+37)&lt;1,"",INDEX(Calc_Daily!$AQ$2:$AQ$2001,(Metrics!$H$1-180+37)))</f>
        <v>0</v>
      </c>
      <c r="V38">
        <f>IF((Metrics!$H$1-180+37)&lt;1,"",INDEX(Calc_Daily!$AR$2:$AR$2001,(Metrics!$H$1-180+37)))</f>
        <v>0</v>
      </c>
    </row>
    <row r="39" spans="1:22">
      <c r="A39" s="27">
        <f>IF((Metrics!$H$1-180+38)&lt;1,"",INDEX(Calc_Daily!$A$2:$A$2001,(Metrics!$H$1-180+38)))</f>
        <v>0</v>
      </c>
      <c r="B39">
        <f>IF((Metrics!$H$1-180+38)&lt;1,"",INDEX(Calc_Daily!$B$2:$B$2001,(Metrics!$H$1-180+38)))</f>
        <v>0</v>
      </c>
      <c r="C39">
        <f>IF((Metrics!$H$1-180+38)&lt;1,"",INDEX(Calc_Daily!$C$2:$C$2001,(Metrics!$H$1-180+38)))</f>
        <v>0</v>
      </c>
      <c r="D39">
        <f>IF((Metrics!$H$1-180+38)&lt;1,"",INDEX(Calc_Daily!$D$2:$D$2001,(Metrics!$H$1-180+38)))</f>
        <v>0</v>
      </c>
      <c r="E39">
        <f>IF((Metrics!$H$1-180+38)&lt;1,"",INDEX(Calc_Daily!$E$2:$E$2001,(Metrics!$H$1-180+38)))</f>
        <v>0</v>
      </c>
      <c r="F39">
        <f>IF((Metrics!$H$1-180+38)&lt;1,"",INDEX(Calc_Daily!$H$2:$H$2001,(Metrics!$H$1-180+38)))</f>
        <v>0</v>
      </c>
      <c r="G39">
        <f>IF((Metrics!$H$1-180+38)&lt;1,"",INDEX(Calc_Daily!$I$2:$I$2001,(Metrics!$H$1-180+38)))</f>
        <v>0</v>
      </c>
      <c r="H39">
        <f>IF((Metrics!$H$1-180+38)&lt;1,"",INDEX(Calc_Daily!$J$2:$J$2001,(Metrics!$H$1-180+38)))</f>
        <v>0</v>
      </c>
      <c r="I39">
        <f>IF((Metrics!$H$1-180+38)&lt;1,"",INDEX(Calc_Daily!$K$2:$K$2001,(Metrics!$H$1-180+38)))</f>
        <v>0</v>
      </c>
      <c r="J39">
        <f>IF((Metrics!$H$1-180+38)&lt;1,"",INDEX(Calc_Daily!$N$2:$N$2001,(Metrics!$H$1-180+38)))</f>
        <v>0</v>
      </c>
      <c r="K39">
        <f>IF((Metrics!$H$1-180+38)&lt;1,"",70)</f>
        <v>0</v>
      </c>
      <c r="L39">
        <f>IF((Metrics!$H$1-180+38)&lt;1,"",30)</f>
        <v>0</v>
      </c>
      <c r="M39">
        <f>IF((Metrics!$H$1-180+38)&lt;1,"",INDEX(Calc_Daily!$Q$2:$Q$2001,(Metrics!$H$1-180+38)))</f>
        <v>0</v>
      </c>
      <c r="N39">
        <f>IF((Metrics!$H$1-180+38)&lt;1,"",INDEX(Calc_Daily!$R$2:$R$2001,(Metrics!$H$1-180+38)))</f>
        <v>0</v>
      </c>
      <c r="O39">
        <f>IF((Metrics!$H$1-180+38)&lt;1,"",INDEX(Calc_Daily!$S$2:$S$2001,(Metrics!$H$1-180+38)))</f>
        <v>0</v>
      </c>
      <c r="P39">
        <f>IF((Metrics!$H$1-180+38)&lt;1,"",INDEX(Calc_Daily!$AM$2:$AM$2001,(Metrics!$H$1-180+38)))</f>
        <v>0</v>
      </c>
      <c r="Q39">
        <f>IF((Metrics!$H$1-180+38)&lt;1,"",INDEX(Calc_Daily!$AK$2:$AK$2001,(Metrics!$H$1-180+38)))</f>
        <v>0</v>
      </c>
      <c r="R39">
        <f>IF((Metrics!$H$1-180+38)&lt;1,"",INDEX(Calc_Daily!$AN$2:$AN$2001,(Metrics!$H$1-180+38)))</f>
        <v>0</v>
      </c>
      <c r="S39">
        <f>IF((Metrics!$H$1-180+38)&lt;1,"",INDEX(Calc_Daily!$AD$2:$AD$2001,(Metrics!$H$1-180+38)))</f>
        <v>0</v>
      </c>
      <c r="T39">
        <f>IF((Metrics!$H$1-180+38)&lt;1,"",INDEX(Calc_Daily!$AT$2:$AT$2001,(Metrics!$H$1-180+38)))</f>
        <v>0</v>
      </c>
      <c r="U39">
        <f>IF((Metrics!$H$1-180+38)&lt;1,"",INDEX(Calc_Daily!$AQ$2:$AQ$2001,(Metrics!$H$1-180+38)))</f>
        <v>0</v>
      </c>
      <c r="V39">
        <f>IF((Metrics!$H$1-180+38)&lt;1,"",INDEX(Calc_Daily!$AR$2:$AR$2001,(Metrics!$H$1-180+38)))</f>
        <v>0</v>
      </c>
    </row>
    <row r="40" spans="1:22">
      <c r="A40" s="27">
        <f>IF((Metrics!$H$1-180+39)&lt;1,"",INDEX(Calc_Daily!$A$2:$A$2001,(Metrics!$H$1-180+39)))</f>
        <v>0</v>
      </c>
      <c r="B40">
        <f>IF((Metrics!$H$1-180+39)&lt;1,"",INDEX(Calc_Daily!$B$2:$B$2001,(Metrics!$H$1-180+39)))</f>
        <v>0</v>
      </c>
      <c r="C40">
        <f>IF((Metrics!$H$1-180+39)&lt;1,"",INDEX(Calc_Daily!$C$2:$C$2001,(Metrics!$H$1-180+39)))</f>
        <v>0</v>
      </c>
      <c r="D40">
        <f>IF((Metrics!$H$1-180+39)&lt;1,"",INDEX(Calc_Daily!$D$2:$D$2001,(Metrics!$H$1-180+39)))</f>
        <v>0</v>
      </c>
      <c r="E40">
        <f>IF((Metrics!$H$1-180+39)&lt;1,"",INDEX(Calc_Daily!$E$2:$E$2001,(Metrics!$H$1-180+39)))</f>
        <v>0</v>
      </c>
      <c r="F40">
        <f>IF((Metrics!$H$1-180+39)&lt;1,"",INDEX(Calc_Daily!$H$2:$H$2001,(Metrics!$H$1-180+39)))</f>
        <v>0</v>
      </c>
      <c r="G40">
        <f>IF((Metrics!$H$1-180+39)&lt;1,"",INDEX(Calc_Daily!$I$2:$I$2001,(Metrics!$H$1-180+39)))</f>
        <v>0</v>
      </c>
      <c r="H40">
        <f>IF((Metrics!$H$1-180+39)&lt;1,"",INDEX(Calc_Daily!$J$2:$J$2001,(Metrics!$H$1-180+39)))</f>
        <v>0</v>
      </c>
      <c r="I40">
        <f>IF((Metrics!$H$1-180+39)&lt;1,"",INDEX(Calc_Daily!$K$2:$K$2001,(Metrics!$H$1-180+39)))</f>
        <v>0</v>
      </c>
      <c r="J40">
        <f>IF((Metrics!$H$1-180+39)&lt;1,"",INDEX(Calc_Daily!$N$2:$N$2001,(Metrics!$H$1-180+39)))</f>
        <v>0</v>
      </c>
      <c r="K40">
        <f>IF((Metrics!$H$1-180+39)&lt;1,"",70)</f>
        <v>0</v>
      </c>
      <c r="L40">
        <f>IF((Metrics!$H$1-180+39)&lt;1,"",30)</f>
        <v>0</v>
      </c>
      <c r="M40">
        <f>IF((Metrics!$H$1-180+39)&lt;1,"",INDEX(Calc_Daily!$Q$2:$Q$2001,(Metrics!$H$1-180+39)))</f>
        <v>0</v>
      </c>
      <c r="N40">
        <f>IF((Metrics!$H$1-180+39)&lt;1,"",INDEX(Calc_Daily!$R$2:$R$2001,(Metrics!$H$1-180+39)))</f>
        <v>0</v>
      </c>
      <c r="O40">
        <f>IF((Metrics!$H$1-180+39)&lt;1,"",INDEX(Calc_Daily!$S$2:$S$2001,(Metrics!$H$1-180+39)))</f>
        <v>0</v>
      </c>
      <c r="P40">
        <f>IF((Metrics!$H$1-180+39)&lt;1,"",INDEX(Calc_Daily!$AM$2:$AM$2001,(Metrics!$H$1-180+39)))</f>
        <v>0</v>
      </c>
      <c r="Q40">
        <f>IF((Metrics!$H$1-180+39)&lt;1,"",INDEX(Calc_Daily!$AK$2:$AK$2001,(Metrics!$H$1-180+39)))</f>
        <v>0</v>
      </c>
      <c r="R40">
        <f>IF((Metrics!$H$1-180+39)&lt;1,"",INDEX(Calc_Daily!$AN$2:$AN$2001,(Metrics!$H$1-180+39)))</f>
        <v>0</v>
      </c>
      <c r="S40">
        <f>IF((Metrics!$H$1-180+39)&lt;1,"",INDEX(Calc_Daily!$AD$2:$AD$2001,(Metrics!$H$1-180+39)))</f>
        <v>0</v>
      </c>
      <c r="T40">
        <f>IF((Metrics!$H$1-180+39)&lt;1,"",INDEX(Calc_Daily!$AT$2:$AT$2001,(Metrics!$H$1-180+39)))</f>
        <v>0</v>
      </c>
      <c r="U40">
        <f>IF((Metrics!$H$1-180+39)&lt;1,"",INDEX(Calc_Daily!$AQ$2:$AQ$2001,(Metrics!$H$1-180+39)))</f>
        <v>0</v>
      </c>
      <c r="V40">
        <f>IF((Metrics!$H$1-180+39)&lt;1,"",INDEX(Calc_Daily!$AR$2:$AR$2001,(Metrics!$H$1-180+39)))</f>
        <v>0</v>
      </c>
    </row>
    <row r="41" spans="1:22">
      <c r="A41" s="27">
        <f>IF((Metrics!$H$1-180+40)&lt;1,"",INDEX(Calc_Daily!$A$2:$A$2001,(Metrics!$H$1-180+40)))</f>
        <v>0</v>
      </c>
      <c r="B41">
        <f>IF((Metrics!$H$1-180+40)&lt;1,"",INDEX(Calc_Daily!$B$2:$B$2001,(Metrics!$H$1-180+40)))</f>
        <v>0</v>
      </c>
      <c r="C41">
        <f>IF((Metrics!$H$1-180+40)&lt;1,"",INDEX(Calc_Daily!$C$2:$C$2001,(Metrics!$H$1-180+40)))</f>
        <v>0</v>
      </c>
      <c r="D41">
        <f>IF((Metrics!$H$1-180+40)&lt;1,"",INDEX(Calc_Daily!$D$2:$D$2001,(Metrics!$H$1-180+40)))</f>
        <v>0</v>
      </c>
      <c r="E41">
        <f>IF((Metrics!$H$1-180+40)&lt;1,"",INDEX(Calc_Daily!$E$2:$E$2001,(Metrics!$H$1-180+40)))</f>
        <v>0</v>
      </c>
      <c r="F41">
        <f>IF((Metrics!$H$1-180+40)&lt;1,"",INDEX(Calc_Daily!$H$2:$H$2001,(Metrics!$H$1-180+40)))</f>
        <v>0</v>
      </c>
      <c r="G41">
        <f>IF((Metrics!$H$1-180+40)&lt;1,"",INDEX(Calc_Daily!$I$2:$I$2001,(Metrics!$H$1-180+40)))</f>
        <v>0</v>
      </c>
      <c r="H41">
        <f>IF((Metrics!$H$1-180+40)&lt;1,"",INDEX(Calc_Daily!$J$2:$J$2001,(Metrics!$H$1-180+40)))</f>
        <v>0</v>
      </c>
      <c r="I41">
        <f>IF((Metrics!$H$1-180+40)&lt;1,"",INDEX(Calc_Daily!$K$2:$K$2001,(Metrics!$H$1-180+40)))</f>
        <v>0</v>
      </c>
      <c r="J41">
        <f>IF((Metrics!$H$1-180+40)&lt;1,"",INDEX(Calc_Daily!$N$2:$N$2001,(Metrics!$H$1-180+40)))</f>
        <v>0</v>
      </c>
      <c r="K41">
        <f>IF((Metrics!$H$1-180+40)&lt;1,"",70)</f>
        <v>0</v>
      </c>
      <c r="L41">
        <f>IF((Metrics!$H$1-180+40)&lt;1,"",30)</f>
        <v>0</v>
      </c>
      <c r="M41">
        <f>IF((Metrics!$H$1-180+40)&lt;1,"",INDEX(Calc_Daily!$Q$2:$Q$2001,(Metrics!$H$1-180+40)))</f>
        <v>0</v>
      </c>
      <c r="N41">
        <f>IF((Metrics!$H$1-180+40)&lt;1,"",INDEX(Calc_Daily!$R$2:$R$2001,(Metrics!$H$1-180+40)))</f>
        <v>0</v>
      </c>
      <c r="O41">
        <f>IF((Metrics!$H$1-180+40)&lt;1,"",INDEX(Calc_Daily!$S$2:$S$2001,(Metrics!$H$1-180+40)))</f>
        <v>0</v>
      </c>
      <c r="P41">
        <f>IF((Metrics!$H$1-180+40)&lt;1,"",INDEX(Calc_Daily!$AM$2:$AM$2001,(Metrics!$H$1-180+40)))</f>
        <v>0</v>
      </c>
      <c r="Q41">
        <f>IF((Metrics!$H$1-180+40)&lt;1,"",INDEX(Calc_Daily!$AK$2:$AK$2001,(Metrics!$H$1-180+40)))</f>
        <v>0</v>
      </c>
      <c r="R41">
        <f>IF((Metrics!$H$1-180+40)&lt;1,"",INDEX(Calc_Daily!$AN$2:$AN$2001,(Metrics!$H$1-180+40)))</f>
        <v>0</v>
      </c>
      <c r="S41">
        <f>IF((Metrics!$H$1-180+40)&lt;1,"",INDEX(Calc_Daily!$AD$2:$AD$2001,(Metrics!$H$1-180+40)))</f>
        <v>0</v>
      </c>
      <c r="T41">
        <f>IF((Metrics!$H$1-180+40)&lt;1,"",INDEX(Calc_Daily!$AT$2:$AT$2001,(Metrics!$H$1-180+40)))</f>
        <v>0</v>
      </c>
      <c r="U41">
        <f>IF((Metrics!$H$1-180+40)&lt;1,"",INDEX(Calc_Daily!$AQ$2:$AQ$2001,(Metrics!$H$1-180+40)))</f>
        <v>0</v>
      </c>
      <c r="V41">
        <f>IF((Metrics!$H$1-180+40)&lt;1,"",INDEX(Calc_Daily!$AR$2:$AR$2001,(Metrics!$H$1-180+40)))</f>
        <v>0</v>
      </c>
    </row>
    <row r="42" spans="1:22">
      <c r="A42" s="27">
        <f>IF((Metrics!$H$1-180+41)&lt;1,"",INDEX(Calc_Daily!$A$2:$A$2001,(Metrics!$H$1-180+41)))</f>
        <v>0</v>
      </c>
      <c r="B42">
        <f>IF((Metrics!$H$1-180+41)&lt;1,"",INDEX(Calc_Daily!$B$2:$B$2001,(Metrics!$H$1-180+41)))</f>
        <v>0</v>
      </c>
      <c r="C42">
        <f>IF((Metrics!$H$1-180+41)&lt;1,"",INDEX(Calc_Daily!$C$2:$C$2001,(Metrics!$H$1-180+41)))</f>
        <v>0</v>
      </c>
      <c r="D42">
        <f>IF((Metrics!$H$1-180+41)&lt;1,"",INDEX(Calc_Daily!$D$2:$D$2001,(Metrics!$H$1-180+41)))</f>
        <v>0</v>
      </c>
      <c r="E42">
        <f>IF((Metrics!$H$1-180+41)&lt;1,"",INDEX(Calc_Daily!$E$2:$E$2001,(Metrics!$H$1-180+41)))</f>
        <v>0</v>
      </c>
      <c r="F42">
        <f>IF((Metrics!$H$1-180+41)&lt;1,"",INDEX(Calc_Daily!$H$2:$H$2001,(Metrics!$H$1-180+41)))</f>
        <v>0</v>
      </c>
      <c r="G42">
        <f>IF((Metrics!$H$1-180+41)&lt;1,"",INDEX(Calc_Daily!$I$2:$I$2001,(Metrics!$H$1-180+41)))</f>
        <v>0</v>
      </c>
      <c r="H42">
        <f>IF((Metrics!$H$1-180+41)&lt;1,"",INDEX(Calc_Daily!$J$2:$J$2001,(Metrics!$H$1-180+41)))</f>
        <v>0</v>
      </c>
      <c r="I42">
        <f>IF((Metrics!$H$1-180+41)&lt;1,"",INDEX(Calc_Daily!$K$2:$K$2001,(Metrics!$H$1-180+41)))</f>
        <v>0</v>
      </c>
      <c r="J42">
        <f>IF((Metrics!$H$1-180+41)&lt;1,"",INDEX(Calc_Daily!$N$2:$N$2001,(Metrics!$H$1-180+41)))</f>
        <v>0</v>
      </c>
      <c r="K42">
        <f>IF((Metrics!$H$1-180+41)&lt;1,"",70)</f>
        <v>0</v>
      </c>
      <c r="L42">
        <f>IF((Metrics!$H$1-180+41)&lt;1,"",30)</f>
        <v>0</v>
      </c>
      <c r="M42">
        <f>IF((Metrics!$H$1-180+41)&lt;1,"",INDEX(Calc_Daily!$Q$2:$Q$2001,(Metrics!$H$1-180+41)))</f>
        <v>0</v>
      </c>
      <c r="N42">
        <f>IF((Metrics!$H$1-180+41)&lt;1,"",INDEX(Calc_Daily!$R$2:$R$2001,(Metrics!$H$1-180+41)))</f>
        <v>0</v>
      </c>
      <c r="O42">
        <f>IF((Metrics!$H$1-180+41)&lt;1,"",INDEX(Calc_Daily!$S$2:$S$2001,(Metrics!$H$1-180+41)))</f>
        <v>0</v>
      </c>
      <c r="P42">
        <f>IF((Metrics!$H$1-180+41)&lt;1,"",INDEX(Calc_Daily!$AM$2:$AM$2001,(Metrics!$H$1-180+41)))</f>
        <v>0</v>
      </c>
      <c r="Q42">
        <f>IF((Metrics!$H$1-180+41)&lt;1,"",INDEX(Calc_Daily!$AK$2:$AK$2001,(Metrics!$H$1-180+41)))</f>
        <v>0</v>
      </c>
      <c r="R42">
        <f>IF((Metrics!$H$1-180+41)&lt;1,"",INDEX(Calc_Daily!$AN$2:$AN$2001,(Metrics!$H$1-180+41)))</f>
        <v>0</v>
      </c>
      <c r="S42">
        <f>IF((Metrics!$H$1-180+41)&lt;1,"",INDEX(Calc_Daily!$AD$2:$AD$2001,(Metrics!$H$1-180+41)))</f>
        <v>0</v>
      </c>
      <c r="T42">
        <f>IF((Metrics!$H$1-180+41)&lt;1,"",INDEX(Calc_Daily!$AT$2:$AT$2001,(Metrics!$H$1-180+41)))</f>
        <v>0</v>
      </c>
      <c r="U42">
        <f>IF((Metrics!$H$1-180+41)&lt;1,"",INDEX(Calc_Daily!$AQ$2:$AQ$2001,(Metrics!$H$1-180+41)))</f>
        <v>0</v>
      </c>
      <c r="V42">
        <f>IF((Metrics!$H$1-180+41)&lt;1,"",INDEX(Calc_Daily!$AR$2:$AR$2001,(Metrics!$H$1-180+41)))</f>
        <v>0</v>
      </c>
    </row>
    <row r="43" spans="1:22">
      <c r="A43" s="27">
        <f>IF((Metrics!$H$1-180+42)&lt;1,"",INDEX(Calc_Daily!$A$2:$A$2001,(Metrics!$H$1-180+42)))</f>
        <v>0</v>
      </c>
      <c r="B43">
        <f>IF((Metrics!$H$1-180+42)&lt;1,"",INDEX(Calc_Daily!$B$2:$B$2001,(Metrics!$H$1-180+42)))</f>
        <v>0</v>
      </c>
      <c r="C43">
        <f>IF((Metrics!$H$1-180+42)&lt;1,"",INDEX(Calc_Daily!$C$2:$C$2001,(Metrics!$H$1-180+42)))</f>
        <v>0</v>
      </c>
      <c r="D43">
        <f>IF((Metrics!$H$1-180+42)&lt;1,"",INDEX(Calc_Daily!$D$2:$D$2001,(Metrics!$H$1-180+42)))</f>
        <v>0</v>
      </c>
      <c r="E43">
        <f>IF((Metrics!$H$1-180+42)&lt;1,"",INDEX(Calc_Daily!$E$2:$E$2001,(Metrics!$H$1-180+42)))</f>
        <v>0</v>
      </c>
      <c r="F43">
        <f>IF((Metrics!$H$1-180+42)&lt;1,"",INDEX(Calc_Daily!$H$2:$H$2001,(Metrics!$H$1-180+42)))</f>
        <v>0</v>
      </c>
      <c r="G43">
        <f>IF((Metrics!$H$1-180+42)&lt;1,"",INDEX(Calc_Daily!$I$2:$I$2001,(Metrics!$H$1-180+42)))</f>
        <v>0</v>
      </c>
      <c r="H43">
        <f>IF((Metrics!$H$1-180+42)&lt;1,"",INDEX(Calc_Daily!$J$2:$J$2001,(Metrics!$H$1-180+42)))</f>
        <v>0</v>
      </c>
      <c r="I43">
        <f>IF((Metrics!$H$1-180+42)&lt;1,"",INDEX(Calc_Daily!$K$2:$K$2001,(Metrics!$H$1-180+42)))</f>
        <v>0</v>
      </c>
      <c r="J43">
        <f>IF((Metrics!$H$1-180+42)&lt;1,"",INDEX(Calc_Daily!$N$2:$N$2001,(Metrics!$H$1-180+42)))</f>
        <v>0</v>
      </c>
      <c r="K43">
        <f>IF((Metrics!$H$1-180+42)&lt;1,"",70)</f>
        <v>0</v>
      </c>
      <c r="L43">
        <f>IF((Metrics!$H$1-180+42)&lt;1,"",30)</f>
        <v>0</v>
      </c>
      <c r="M43">
        <f>IF((Metrics!$H$1-180+42)&lt;1,"",INDEX(Calc_Daily!$Q$2:$Q$2001,(Metrics!$H$1-180+42)))</f>
        <v>0</v>
      </c>
      <c r="N43">
        <f>IF((Metrics!$H$1-180+42)&lt;1,"",INDEX(Calc_Daily!$R$2:$R$2001,(Metrics!$H$1-180+42)))</f>
        <v>0</v>
      </c>
      <c r="O43">
        <f>IF((Metrics!$H$1-180+42)&lt;1,"",INDEX(Calc_Daily!$S$2:$S$2001,(Metrics!$H$1-180+42)))</f>
        <v>0</v>
      </c>
      <c r="P43">
        <f>IF((Metrics!$H$1-180+42)&lt;1,"",INDEX(Calc_Daily!$AM$2:$AM$2001,(Metrics!$H$1-180+42)))</f>
        <v>0</v>
      </c>
      <c r="Q43">
        <f>IF((Metrics!$H$1-180+42)&lt;1,"",INDEX(Calc_Daily!$AK$2:$AK$2001,(Metrics!$H$1-180+42)))</f>
        <v>0</v>
      </c>
      <c r="R43">
        <f>IF((Metrics!$H$1-180+42)&lt;1,"",INDEX(Calc_Daily!$AN$2:$AN$2001,(Metrics!$H$1-180+42)))</f>
        <v>0</v>
      </c>
      <c r="S43">
        <f>IF((Metrics!$H$1-180+42)&lt;1,"",INDEX(Calc_Daily!$AD$2:$AD$2001,(Metrics!$H$1-180+42)))</f>
        <v>0</v>
      </c>
      <c r="T43">
        <f>IF((Metrics!$H$1-180+42)&lt;1,"",INDEX(Calc_Daily!$AT$2:$AT$2001,(Metrics!$H$1-180+42)))</f>
        <v>0</v>
      </c>
      <c r="U43">
        <f>IF((Metrics!$H$1-180+42)&lt;1,"",INDEX(Calc_Daily!$AQ$2:$AQ$2001,(Metrics!$H$1-180+42)))</f>
        <v>0</v>
      </c>
      <c r="V43">
        <f>IF((Metrics!$H$1-180+42)&lt;1,"",INDEX(Calc_Daily!$AR$2:$AR$2001,(Metrics!$H$1-180+42)))</f>
        <v>0</v>
      </c>
    </row>
    <row r="44" spans="1:22">
      <c r="A44" s="27">
        <f>IF((Metrics!$H$1-180+43)&lt;1,"",INDEX(Calc_Daily!$A$2:$A$2001,(Metrics!$H$1-180+43)))</f>
        <v>0</v>
      </c>
      <c r="B44">
        <f>IF((Metrics!$H$1-180+43)&lt;1,"",INDEX(Calc_Daily!$B$2:$B$2001,(Metrics!$H$1-180+43)))</f>
        <v>0</v>
      </c>
      <c r="C44">
        <f>IF((Metrics!$H$1-180+43)&lt;1,"",INDEX(Calc_Daily!$C$2:$C$2001,(Metrics!$H$1-180+43)))</f>
        <v>0</v>
      </c>
      <c r="D44">
        <f>IF((Metrics!$H$1-180+43)&lt;1,"",INDEX(Calc_Daily!$D$2:$D$2001,(Metrics!$H$1-180+43)))</f>
        <v>0</v>
      </c>
      <c r="E44">
        <f>IF((Metrics!$H$1-180+43)&lt;1,"",INDEX(Calc_Daily!$E$2:$E$2001,(Metrics!$H$1-180+43)))</f>
        <v>0</v>
      </c>
      <c r="F44">
        <f>IF((Metrics!$H$1-180+43)&lt;1,"",INDEX(Calc_Daily!$H$2:$H$2001,(Metrics!$H$1-180+43)))</f>
        <v>0</v>
      </c>
      <c r="G44">
        <f>IF((Metrics!$H$1-180+43)&lt;1,"",INDEX(Calc_Daily!$I$2:$I$2001,(Metrics!$H$1-180+43)))</f>
        <v>0</v>
      </c>
      <c r="H44">
        <f>IF((Metrics!$H$1-180+43)&lt;1,"",INDEX(Calc_Daily!$J$2:$J$2001,(Metrics!$H$1-180+43)))</f>
        <v>0</v>
      </c>
      <c r="I44">
        <f>IF((Metrics!$H$1-180+43)&lt;1,"",INDEX(Calc_Daily!$K$2:$K$2001,(Metrics!$H$1-180+43)))</f>
        <v>0</v>
      </c>
      <c r="J44">
        <f>IF((Metrics!$H$1-180+43)&lt;1,"",INDEX(Calc_Daily!$N$2:$N$2001,(Metrics!$H$1-180+43)))</f>
        <v>0</v>
      </c>
      <c r="K44">
        <f>IF((Metrics!$H$1-180+43)&lt;1,"",70)</f>
        <v>0</v>
      </c>
      <c r="L44">
        <f>IF((Metrics!$H$1-180+43)&lt;1,"",30)</f>
        <v>0</v>
      </c>
      <c r="M44">
        <f>IF((Metrics!$H$1-180+43)&lt;1,"",INDEX(Calc_Daily!$Q$2:$Q$2001,(Metrics!$H$1-180+43)))</f>
        <v>0</v>
      </c>
      <c r="N44">
        <f>IF((Metrics!$H$1-180+43)&lt;1,"",INDEX(Calc_Daily!$R$2:$R$2001,(Metrics!$H$1-180+43)))</f>
        <v>0</v>
      </c>
      <c r="O44">
        <f>IF((Metrics!$H$1-180+43)&lt;1,"",INDEX(Calc_Daily!$S$2:$S$2001,(Metrics!$H$1-180+43)))</f>
        <v>0</v>
      </c>
      <c r="P44">
        <f>IF((Metrics!$H$1-180+43)&lt;1,"",INDEX(Calc_Daily!$AM$2:$AM$2001,(Metrics!$H$1-180+43)))</f>
        <v>0</v>
      </c>
      <c r="Q44">
        <f>IF((Metrics!$H$1-180+43)&lt;1,"",INDEX(Calc_Daily!$AK$2:$AK$2001,(Metrics!$H$1-180+43)))</f>
        <v>0</v>
      </c>
      <c r="R44">
        <f>IF((Metrics!$H$1-180+43)&lt;1,"",INDEX(Calc_Daily!$AN$2:$AN$2001,(Metrics!$H$1-180+43)))</f>
        <v>0</v>
      </c>
      <c r="S44">
        <f>IF((Metrics!$H$1-180+43)&lt;1,"",INDEX(Calc_Daily!$AD$2:$AD$2001,(Metrics!$H$1-180+43)))</f>
        <v>0</v>
      </c>
      <c r="T44">
        <f>IF((Metrics!$H$1-180+43)&lt;1,"",INDEX(Calc_Daily!$AT$2:$AT$2001,(Metrics!$H$1-180+43)))</f>
        <v>0</v>
      </c>
      <c r="U44">
        <f>IF((Metrics!$H$1-180+43)&lt;1,"",INDEX(Calc_Daily!$AQ$2:$AQ$2001,(Metrics!$H$1-180+43)))</f>
        <v>0</v>
      </c>
      <c r="V44">
        <f>IF((Metrics!$H$1-180+43)&lt;1,"",INDEX(Calc_Daily!$AR$2:$AR$2001,(Metrics!$H$1-180+43)))</f>
        <v>0</v>
      </c>
    </row>
    <row r="45" spans="1:22">
      <c r="A45" s="27">
        <f>IF((Metrics!$H$1-180+44)&lt;1,"",INDEX(Calc_Daily!$A$2:$A$2001,(Metrics!$H$1-180+44)))</f>
        <v>0</v>
      </c>
      <c r="B45">
        <f>IF((Metrics!$H$1-180+44)&lt;1,"",INDEX(Calc_Daily!$B$2:$B$2001,(Metrics!$H$1-180+44)))</f>
        <v>0</v>
      </c>
      <c r="C45">
        <f>IF((Metrics!$H$1-180+44)&lt;1,"",INDEX(Calc_Daily!$C$2:$C$2001,(Metrics!$H$1-180+44)))</f>
        <v>0</v>
      </c>
      <c r="D45">
        <f>IF((Metrics!$H$1-180+44)&lt;1,"",INDEX(Calc_Daily!$D$2:$D$2001,(Metrics!$H$1-180+44)))</f>
        <v>0</v>
      </c>
      <c r="E45">
        <f>IF((Metrics!$H$1-180+44)&lt;1,"",INDEX(Calc_Daily!$E$2:$E$2001,(Metrics!$H$1-180+44)))</f>
        <v>0</v>
      </c>
      <c r="F45">
        <f>IF((Metrics!$H$1-180+44)&lt;1,"",INDEX(Calc_Daily!$H$2:$H$2001,(Metrics!$H$1-180+44)))</f>
        <v>0</v>
      </c>
      <c r="G45">
        <f>IF((Metrics!$H$1-180+44)&lt;1,"",INDEX(Calc_Daily!$I$2:$I$2001,(Metrics!$H$1-180+44)))</f>
        <v>0</v>
      </c>
      <c r="H45">
        <f>IF((Metrics!$H$1-180+44)&lt;1,"",INDEX(Calc_Daily!$J$2:$J$2001,(Metrics!$H$1-180+44)))</f>
        <v>0</v>
      </c>
      <c r="I45">
        <f>IF((Metrics!$H$1-180+44)&lt;1,"",INDEX(Calc_Daily!$K$2:$K$2001,(Metrics!$H$1-180+44)))</f>
        <v>0</v>
      </c>
      <c r="J45">
        <f>IF((Metrics!$H$1-180+44)&lt;1,"",INDEX(Calc_Daily!$N$2:$N$2001,(Metrics!$H$1-180+44)))</f>
        <v>0</v>
      </c>
      <c r="K45">
        <f>IF((Metrics!$H$1-180+44)&lt;1,"",70)</f>
        <v>0</v>
      </c>
      <c r="L45">
        <f>IF((Metrics!$H$1-180+44)&lt;1,"",30)</f>
        <v>0</v>
      </c>
      <c r="M45">
        <f>IF((Metrics!$H$1-180+44)&lt;1,"",INDEX(Calc_Daily!$Q$2:$Q$2001,(Metrics!$H$1-180+44)))</f>
        <v>0</v>
      </c>
      <c r="N45">
        <f>IF((Metrics!$H$1-180+44)&lt;1,"",INDEX(Calc_Daily!$R$2:$R$2001,(Metrics!$H$1-180+44)))</f>
        <v>0</v>
      </c>
      <c r="O45">
        <f>IF((Metrics!$H$1-180+44)&lt;1,"",INDEX(Calc_Daily!$S$2:$S$2001,(Metrics!$H$1-180+44)))</f>
        <v>0</v>
      </c>
      <c r="P45">
        <f>IF((Metrics!$H$1-180+44)&lt;1,"",INDEX(Calc_Daily!$AM$2:$AM$2001,(Metrics!$H$1-180+44)))</f>
        <v>0</v>
      </c>
      <c r="Q45">
        <f>IF((Metrics!$H$1-180+44)&lt;1,"",INDEX(Calc_Daily!$AK$2:$AK$2001,(Metrics!$H$1-180+44)))</f>
        <v>0</v>
      </c>
      <c r="R45">
        <f>IF((Metrics!$H$1-180+44)&lt;1,"",INDEX(Calc_Daily!$AN$2:$AN$2001,(Metrics!$H$1-180+44)))</f>
        <v>0</v>
      </c>
      <c r="S45">
        <f>IF((Metrics!$H$1-180+44)&lt;1,"",INDEX(Calc_Daily!$AD$2:$AD$2001,(Metrics!$H$1-180+44)))</f>
        <v>0</v>
      </c>
      <c r="T45">
        <f>IF((Metrics!$H$1-180+44)&lt;1,"",INDEX(Calc_Daily!$AT$2:$AT$2001,(Metrics!$H$1-180+44)))</f>
        <v>0</v>
      </c>
      <c r="U45">
        <f>IF((Metrics!$H$1-180+44)&lt;1,"",INDEX(Calc_Daily!$AQ$2:$AQ$2001,(Metrics!$H$1-180+44)))</f>
        <v>0</v>
      </c>
      <c r="V45">
        <f>IF((Metrics!$H$1-180+44)&lt;1,"",INDEX(Calc_Daily!$AR$2:$AR$2001,(Metrics!$H$1-180+44)))</f>
        <v>0</v>
      </c>
    </row>
    <row r="46" spans="1:22">
      <c r="A46" s="27">
        <f>IF((Metrics!$H$1-180+45)&lt;1,"",INDEX(Calc_Daily!$A$2:$A$2001,(Metrics!$H$1-180+45)))</f>
        <v>0</v>
      </c>
      <c r="B46">
        <f>IF((Metrics!$H$1-180+45)&lt;1,"",INDEX(Calc_Daily!$B$2:$B$2001,(Metrics!$H$1-180+45)))</f>
        <v>0</v>
      </c>
      <c r="C46">
        <f>IF((Metrics!$H$1-180+45)&lt;1,"",INDEX(Calc_Daily!$C$2:$C$2001,(Metrics!$H$1-180+45)))</f>
        <v>0</v>
      </c>
      <c r="D46">
        <f>IF((Metrics!$H$1-180+45)&lt;1,"",INDEX(Calc_Daily!$D$2:$D$2001,(Metrics!$H$1-180+45)))</f>
        <v>0</v>
      </c>
      <c r="E46">
        <f>IF((Metrics!$H$1-180+45)&lt;1,"",INDEX(Calc_Daily!$E$2:$E$2001,(Metrics!$H$1-180+45)))</f>
        <v>0</v>
      </c>
      <c r="F46">
        <f>IF((Metrics!$H$1-180+45)&lt;1,"",INDEX(Calc_Daily!$H$2:$H$2001,(Metrics!$H$1-180+45)))</f>
        <v>0</v>
      </c>
      <c r="G46">
        <f>IF((Metrics!$H$1-180+45)&lt;1,"",INDEX(Calc_Daily!$I$2:$I$2001,(Metrics!$H$1-180+45)))</f>
        <v>0</v>
      </c>
      <c r="H46">
        <f>IF((Metrics!$H$1-180+45)&lt;1,"",INDEX(Calc_Daily!$J$2:$J$2001,(Metrics!$H$1-180+45)))</f>
        <v>0</v>
      </c>
      <c r="I46">
        <f>IF((Metrics!$H$1-180+45)&lt;1,"",INDEX(Calc_Daily!$K$2:$K$2001,(Metrics!$H$1-180+45)))</f>
        <v>0</v>
      </c>
      <c r="J46">
        <f>IF((Metrics!$H$1-180+45)&lt;1,"",INDEX(Calc_Daily!$N$2:$N$2001,(Metrics!$H$1-180+45)))</f>
        <v>0</v>
      </c>
      <c r="K46">
        <f>IF((Metrics!$H$1-180+45)&lt;1,"",70)</f>
        <v>0</v>
      </c>
      <c r="L46">
        <f>IF((Metrics!$H$1-180+45)&lt;1,"",30)</f>
        <v>0</v>
      </c>
      <c r="M46">
        <f>IF((Metrics!$H$1-180+45)&lt;1,"",INDEX(Calc_Daily!$Q$2:$Q$2001,(Metrics!$H$1-180+45)))</f>
        <v>0</v>
      </c>
      <c r="N46">
        <f>IF((Metrics!$H$1-180+45)&lt;1,"",INDEX(Calc_Daily!$R$2:$R$2001,(Metrics!$H$1-180+45)))</f>
        <v>0</v>
      </c>
      <c r="O46">
        <f>IF((Metrics!$H$1-180+45)&lt;1,"",INDEX(Calc_Daily!$S$2:$S$2001,(Metrics!$H$1-180+45)))</f>
        <v>0</v>
      </c>
      <c r="P46">
        <f>IF((Metrics!$H$1-180+45)&lt;1,"",INDEX(Calc_Daily!$AM$2:$AM$2001,(Metrics!$H$1-180+45)))</f>
        <v>0</v>
      </c>
      <c r="Q46">
        <f>IF((Metrics!$H$1-180+45)&lt;1,"",INDEX(Calc_Daily!$AK$2:$AK$2001,(Metrics!$H$1-180+45)))</f>
        <v>0</v>
      </c>
      <c r="R46">
        <f>IF((Metrics!$H$1-180+45)&lt;1,"",INDEX(Calc_Daily!$AN$2:$AN$2001,(Metrics!$H$1-180+45)))</f>
        <v>0</v>
      </c>
      <c r="S46">
        <f>IF((Metrics!$H$1-180+45)&lt;1,"",INDEX(Calc_Daily!$AD$2:$AD$2001,(Metrics!$H$1-180+45)))</f>
        <v>0</v>
      </c>
      <c r="T46">
        <f>IF((Metrics!$H$1-180+45)&lt;1,"",INDEX(Calc_Daily!$AT$2:$AT$2001,(Metrics!$H$1-180+45)))</f>
        <v>0</v>
      </c>
      <c r="U46">
        <f>IF((Metrics!$H$1-180+45)&lt;1,"",INDEX(Calc_Daily!$AQ$2:$AQ$2001,(Metrics!$H$1-180+45)))</f>
        <v>0</v>
      </c>
      <c r="V46">
        <f>IF((Metrics!$H$1-180+45)&lt;1,"",INDEX(Calc_Daily!$AR$2:$AR$2001,(Metrics!$H$1-180+45)))</f>
        <v>0</v>
      </c>
    </row>
    <row r="47" spans="1:22">
      <c r="A47" s="27">
        <f>IF((Metrics!$H$1-180+46)&lt;1,"",INDEX(Calc_Daily!$A$2:$A$2001,(Metrics!$H$1-180+46)))</f>
        <v>0</v>
      </c>
      <c r="B47">
        <f>IF((Metrics!$H$1-180+46)&lt;1,"",INDEX(Calc_Daily!$B$2:$B$2001,(Metrics!$H$1-180+46)))</f>
        <v>0</v>
      </c>
      <c r="C47">
        <f>IF((Metrics!$H$1-180+46)&lt;1,"",INDEX(Calc_Daily!$C$2:$C$2001,(Metrics!$H$1-180+46)))</f>
        <v>0</v>
      </c>
      <c r="D47">
        <f>IF((Metrics!$H$1-180+46)&lt;1,"",INDEX(Calc_Daily!$D$2:$D$2001,(Metrics!$H$1-180+46)))</f>
        <v>0</v>
      </c>
      <c r="E47">
        <f>IF((Metrics!$H$1-180+46)&lt;1,"",INDEX(Calc_Daily!$E$2:$E$2001,(Metrics!$H$1-180+46)))</f>
        <v>0</v>
      </c>
      <c r="F47">
        <f>IF((Metrics!$H$1-180+46)&lt;1,"",INDEX(Calc_Daily!$H$2:$H$2001,(Metrics!$H$1-180+46)))</f>
        <v>0</v>
      </c>
      <c r="G47">
        <f>IF((Metrics!$H$1-180+46)&lt;1,"",INDEX(Calc_Daily!$I$2:$I$2001,(Metrics!$H$1-180+46)))</f>
        <v>0</v>
      </c>
      <c r="H47">
        <f>IF((Metrics!$H$1-180+46)&lt;1,"",INDEX(Calc_Daily!$J$2:$J$2001,(Metrics!$H$1-180+46)))</f>
        <v>0</v>
      </c>
      <c r="I47">
        <f>IF((Metrics!$H$1-180+46)&lt;1,"",INDEX(Calc_Daily!$K$2:$K$2001,(Metrics!$H$1-180+46)))</f>
        <v>0</v>
      </c>
      <c r="J47">
        <f>IF((Metrics!$H$1-180+46)&lt;1,"",INDEX(Calc_Daily!$N$2:$N$2001,(Metrics!$H$1-180+46)))</f>
        <v>0</v>
      </c>
      <c r="K47">
        <f>IF((Metrics!$H$1-180+46)&lt;1,"",70)</f>
        <v>0</v>
      </c>
      <c r="L47">
        <f>IF((Metrics!$H$1-180+46)&lt;1,"",30)</f>
        <v>0</v>
      </c>
      <c r="M47">
        <f>IF((Metrics!$H$1-180+46)&lt;1,"",INDEX(Calc_Daily!$Q$2:$Q$2001,(Metrics!$H$1-180+46)))</f>
        <v>0</v>
      </c>
      <c r="N47">
        <f>IF((Metrics!$H$1-180+46)&lt;1,"",INDEX(Calc_Daily!$R$2:$R$2001,(Metrics!$H$1-180+46)))</f>
        <v>0</v>
      </c>
      <c r="O47">
        <f>IF((Metrics!$H$1-180+46)&lt;1,"",INDEX(Calc_Daily!$S$2:$S$2001,(Metrics!$H$1-180+46)))</f>
        <v>0</v>
      </c>
      <c r="P47">
        <f>IF((Metrics!$H$1-180+46)&lt;1,"",INDEX(Calc_Daily!$AM$2:$AM$2001,(Metrics!$H$1-180+46)))</f>
        <v>0</v>
      </c>
      <c r="Q47">
        <f>IF((Metrics!$H$1-180+46)&lt;1,"",INDEX(Calc_Daily!$AK$2:$AK$2001,(Metrics!$H$1-180+46)))</f>
        <v>0</v>
      </c>
      <c r="R47">
        <f>IF((Metrics!$H$1-180+46)&lt;1,"",INDEX(Calc_Daily!$AN$2:$AN$2001,(Metrics!$H$1-180+46)))</f>
        <v>0</v>
      </c>
      <c r="S47">
        <f>IF((Metrics!$H$1-180+46)&lt;1,"",INDEX(Calc_Daily!$AD$2:$AD$2001,(Metrics!$H$1-180+46)))</f>
        <v>0</v>
      </c>
      <c r="T47">
        <f>IF((Metrics!$H$1-180+46)&lt;1,"",INDEX(Calc_Daily!$AT$2:$AT$2001,(Metrics!$H$1-180+46)))</f>
        <v>0</v>
      </c>
      <c r="U47">
        <f>IF((Metrics!$H$1-180+46)&lt;1,"",INDEX(Calc_Daily!$AQ$2:$AQ$2001,(Metrics!$H$1-180+46)))</f>
        <v>0</v>
      </c>
      <c r="V47">
        <f>IF((Metrics!$H$1-180+46)&lt;1,"",INDEX(Calc_Daily!$AR$2:$AR$2001,(Metrics!$H$1-180+46)))</f>
        <v>0</v>
      </c>
    </row>
    <row r="48" spans="1:22">
      <c r="A48" s="27">
        <f>IF((Metrics!$H$1-180+47)&lt;1,"",INDEX(Calc_Daily!$A$2:$A$2001,(Metrics!$H$1-180+47)))</f>
        <v>0</v>
      </c>
      <c r="B48">
        <f>IF((Metrics!$H$1-180+47)&lt;1,"",INDEX(Calc_Daily!$B$2:$B$2001,(Metrics!$H$1-180+47)))</f>
        <v>0</v>
      </c>
      <c r="C48">
        <f>IF((Metrics!$H$1-180+47)&lt;1,"",INDEX(Calc_Daily!$C$2:$C$2001,(Metrics!$H$1-180+47)))</f>
        <v>0</v>
      </c>
      <c r="D48">
        <f>IF((Metrics!$H$1-180+47)&lt;1,"",INDEX(Calc_Daily!$D$2:$D$2001,(Metrics!$H$1-180+47)))</f>
        <v>0</v>
      </c>
      <c r="E48">
        <f>IF((Metrics!$H$1-180+47)&lt;1,"",INDEX(Calc_Daily!$E$2:$E$2001,(Metrics!$H$1-180+47)))</f>
        <v>0</v>
      </c>
      <c r="F48">
        <f>IF((Metrics!$H$1-180+47)&lt;1,"",INDEX(Calc_Daily!$H$2:$H$2001,(Metrics!$H$1-180+47)))</f>
        <v>0</v>
      </c>
      <c r="G48">
        <f>IF((Metrics!$H$1-180+47)&lt;1,"",INDEX(Calc_Daily!$I$2:$I$2001,(Metrics!$H$1-180+47)))</f>
        <v>0</v>
      </c>
      <c r="H48">
        <f>IF((Metrics!$H$1-180+47)&lt;1,"",INDEX(Calc_Daily!$J$2:$J$2001,(Metrics!$H$1-180+47)))</f>
        <v>0</v>
      </c>
      <c r="I48">
        <f>IF((Metrics!$H$1-180+47)&lt;1,"",INDEX(Calc_Daily!$K$2:$K$2001,(Metrics!$H$1-180+47)))</f>
        <v>0</v>
      </c>
      <c r="J48">
        <f>IF((Metrics!$H$1-180+47)&lt;1,"",INDEX(Calc_Daily!$N$2:$N$2001,(Metrics!$H$1-180+47)))</f>
        <v>0</v>
      </c>
      <c r="K48">
        <f>IF((Metrics!$H$1-180+47)&lt;1,"",70)</f>
        <v>0</v>
      </c>
      <c r="L48">
        <f>IF((Metrics!$H$1-180+47)&lt;1,"",30)</f>
        <v>0</v>
      </c>
      <c r="M48">
        <f>IF((Metrics!$H$1-180+47)&lt;1,"",INDEX(Calc_Daily!$Q$2:$Q$2001,(Metrics!$H$1-180+47)))</f>
        <v>0</v>
      </c>
      <c r="N48">
        <f>IF((Metrics!$H$1-180+47)&lt;1,"",INDEX(Calc_Daily!$R$2:$R$2001,(Metrics!$H$1-180+47)))</f>
        <v>0</v>
      </c>
      <c r="O48">
        <f>IF((Metrics!$H$1-180+47)&lt;1,"",INDEX(Calc_Daily!$S$2:$S$2001,(Metrics!$H$1-180+47)))</f>
        <v>0</v>
      </c>
      <c r="P48">
        <f>IF((Metrics!$H$1-180+47)&lt;1,"",INDEX(Calc_Daily!$AM$2:$AM$2001,(Metrics!$H$1-180+47)))</f>
        <v>0</v>
      </c>
      <c r="Q48">
        <f>IF((Metrics!$H$1-180+47)&lt;1,"",INDEX(Calc_Daily!$AK$2:$AK$2001,(Metrics!$H$1-180+47)))</f>
        <v>0</v>
      </c>
      <c r="R48">
        <f>IF((Metrics!$H$1-180+47)&lt;1,"",INDEX(Calc_Daily!$AN$2:$AN$2001,(Metrics!$H$1-180+47)))</f>
        <v>0</v>
      </c>
      <c r="S48">
        <f>IF((Metrics!$H$1-180+47)&lt;1,"",INDEX(Calc_Daily!$AD$2:$AD$2001,(Metrics!$H$1-180+47)))</f>
        <v>0</v>
      </c>
      <c r="T48">
        <f>IF((Metrics!$H$1-180+47)&lt;1,"",INDEX(Calc_Daily!$AT$2:$AT$2001,(Metrics!$H$1-180+47)))</f>
        <v>0</v>
      </c>
      <c r="U48">
        <f>IF((Metrics!$H$1-180+47)&lt;1,"",INDEX(Calc_Daily!$AQ$2:$AQ$2001,(Metrics!$H$1-180+47)))</f>
        <v>0</v>
      </c>
      <c r="V48">
        <f>IF((Metrics!$H$1-180+47)&lt;1,"",INDEX(Calc_Daily!$AR$2:$AR$2001,(Metrics!$H$1-180+47)))</f>
        <v>0</v>
      </c>
    </row>
    <row r="49" spans="1:22">
      <c r="A49" s="27">
        <f>IF((Metrics!$H$1-180+48)&lt;1,"",INDEX(Calc_Daily!$A$2:$A$2001,(Metrics!$H$1-180+48)))</f>
        <v>0</v>
      </c>
      <c r="B49">
        <f>IF((Metrics!$H$1-180+48)&lt;1,"",INDEX(Calc_Daily!$B$2:$B$2001,(Metrics!$H$1-180+48)))</f>
        <v>0</v>
      </c>
      <c r="C49">
        <f>IF((Metrics!$H$1-180+48)&lt;1,"",INDEX(Calc_Daily!$C$2:$C$2001,(Metrics!$H$1-180+48)))</f>
        <v>0</v>
      </c>
      <c r="D49">
        <f>IF((Metrics!$H$1-180+48)&lt;1,"",INDEX(Calc_Daily!$D$2:$D$2001,(Metrics!$H$1-180+48)))</f>
        <v>0</v>
      </c>
      <c r="E49">
        <f>IF((Metrics!$H$1-180+48)&lt;1,"",INDEX(Calc_Daily!$E$2:$E$2001,(Metrics!$H$1-180+48)))</f>
        <v>0</v>
      </c>
      <c r="F49">
        <f>IF((Metrics!$H$1-180+48)&lt;1,"",INDEX(Calc_Daily!$H$2:$H$2001,(Metrics!$H$1-180+48)))</f>
        <v>0</v>
      </c>
      <c r="G49">
        <f>IF((Metrics!$H$1-180+48)&lt;1,"",INDEX(Calc_Daily!$I$2:$I$2001,(Metrics!$H$1-180+48)))</f>
        <v>0</v>
      </c>
      <c r="H49">
        <f>IF((Metrics!$H$1-180+48)&lt;1,"",INDEX(Calc_Daily!$J$2:$J$2001,(Metrics!$H$1-180+48)))</f>
        <v>0</v>
      </c>
      <c r="I49">
        <f>IF((Metrics!$H$1-180+48)&lt;1,"",INDEX(Calc_Daily!$K$2:$K$2001,(Metrics!$H$1-180+48)))</f>
        <v>0</v>
      </c>
      <c r="J49">
        <f>IF((Metrics!$H$1-180+48)&lt;1,"",INDEX(Calc_Daily!$N$2:$N$2001,(Metrics!$H$1-180+48)))</f>
        <v>0</v>
      </c>
      <c r="K49">
        <f>IF((Metrics!$H$1-180+48)&lt;1,"",70)</f>
        <v>0</v>
      </c>
      <c r="L49">
        <f>IF((Metrics!$H$1-180+48)&lt;1,"",30)</f>
        <v>0</v>
      </c>
      <c r="M49">
        <f>IF((Metrics!$H$1-180+48)&lt;1,"",INDEX(Calc_Daily!$Q$2:$Q$2001,(Metrics!$H$1-180+48)))</f>
        <v>0</v>
      </c>
      <c r="N49">
        <f>IF((Metrics!$H$1-180+48)&lt;1,"",INDEX(Calc_Daily!$R$2:$R$2001,(Metrics!$H$1-180+48)))</f>
        <v>0</v>
      </c>
      <c r="O49">
        <f>IF((Metrics!$H$1-180+48)&lt;1,"",INDEX(Calc_Daily!$S$2:$S$2001,(Metrics!$H$1-180+48)))</f>
        <v>0</v>
      </c>
      <c r="P49">
        <f>IF((Metrics!$H$1-180+48)&lt;1,"",INDEX(Calc_Daily!$AM$2:$AM$2001,(Metrics!$H$1-180+48)))</f>
        <v>0</v>
      </c>
      <c r="Q49">
        <f>IF((Metrics!$H$1-180+48)&lt;1,"",INDEX(Calc_Daily!$AK$2:$AK$2001,(Metrics!$H$1-180+48)))</f>
        <v>0</v>
      </c>
      <c r="R49">
        <f>IF((Metrics!$H$1-180+48)&lt;1,"",INDEX(Calc_Daily!$AN$2:$AN$2001,(Metrics!$H$1-180+48)))</f>
        <v>0</v>
      </c>
      <c r="S49">
        <f>IF((Metrics!$H$1-180+48)&lt;1,"",INDEX(Calc_Daily!$AD$2:$AD$2001,(Metrics!$H$1-180+48)))</f>
        <v>0</v>
      </c>
      <c r="T49">
        <f>IF((Metrics!$H$1-180+48)&lt;1,"",INDEX(Calc_Daily!$AT$2:$AT$2001,(Metrics!$H$1-180+48)))</f>
        <v>0</v>
      </c>
      <c r="U49">
        <f>IF((Metrics!$H$1-180+48)&lt;1,"",INDEX(Calc_Daily!$AQ$2:$AQ$2001,(Metrics!$H$1-180+48)))</f>
        <v>0</v>
      </c>
      <c r="V49">
        <f>IF((Metrics!$H$1-180+48)&lt;1,"",INDEX(Calc_Daily!$AR$2:$AR$2001,(Metrics!$H$1-180+48)))</f>
        <v>0</v>
      </c>
    </row>
    <row r="50" spans="1:22">
      <c r="A50" s="27">
        <f>IF((Metrics!$H$1-180+49)&lt;1,"",INDEX(Calc_Daily!$A$2:$A$2001,(Metrics!$H$1-180+49)))</f>
        <v>0</v>
      </c>
      <c r="B50">
        <f>IF((Metrics!$H$1-180+49)&lt;1,"",INDEX(Calc_Daily!$B$2:$B$2001,(Metrics!$H$1-180+49)))</f>
        <v>0</v>
      </c>
      <c r="C50">
        <f>IF((Metrics!$H$1-180+49)&lt;1,"",INDEX(Calc_Daily!$C$2:$C$2001,(Metrics!$H$1-180+49)))</f>
        <v>0</v>
      </c>
      <c r="D50">
        <f>IF((Metrics!$H$1-180+49)&lt;1,"",INDEX(Calc_Daily!$D$2:$D$2001,(Metrics!$H$1-180+49)))</f>
        <v>0</v>
      </c>
      <c r="E50">
        <f>IF((Metrics!$H$1-180+49)&lt;1,"",INDEX(Calc_Daily!$E$2:$E$2001,(Metrics!$H$1-180+49)))</f>
        <v>0</v>
      </c>
      <c r="F50">
        <f>IF((Metrics!$H$1-180+49)&lt;1,"",INDEX(Calc_Daily!$H$2:$H$2001,(Metrics!$H$1-180+49)))</f>
        <v>0</v>
      </c>
      <c r="G50">
        <f>IF((Metrics!$H$1-180+49)&lt;1,"",INDEX(Calc_Daily!$I$2:$I$2001,(Metrics!$H$1-180+49)))</f>
        <v>0</v>
      </c>
      <c r="H50">
        <f>IF((Metrics!$H$1-180+49)&lt;1,"",INDEX(Calc_Daily!$J$2:$J$2001,(Metrics!$H$1-180+49)))</f>
        <v>0</v>
      </c>
      <c r="I50">
        <f>IF((Metrics!$H$1-180+49)&lt;1,"",INDEX(Calc_Daily!$K$2:$K$2001,(Metrics!$H$1-180+49)))</f>
        <v>0</v>
      </c>
      <c r="J50">
        <f>IF((Metrics!$H$1-180+49)&lt;1,"",INDEX(Calc_Daily!$N$2:$N$2001,(Metrics!$H$1-180+49)))</f>
        <v>0</v>
      </c>
      <c r="K50">
        <f>IF((Metrics!$H$1-180+49)&lt;1,"",70)</f>
        <v>0</v>
      </c>
      <c r="L50">
        <f>IF((Metrics!$H$1-180+49)&lt;1,"",30)</f>
        <v>0</v>
      </c>
      <c r="M50">
        <f>IF((Metrics!$H$1-180+49)&lt;1,"",INDEX(Calc_Daily!$Q$2:$Q$2001,(Metrics!$H$1-180+49)))</f>
        <v>0</v>
      </c>
      <c r="N50">
        <f>IF((Metrics!$H$1-180+49)&lt;1,"",INDEX(Calc_Daily!$R$2:$R$2001,(Metrics!$H$1-180+49)))</f>
        <v>0</v>
      </c>
      <c r="O50">
        <f>IF((Metrics!$H$1-180+49)&lt;1,"",INDEX(Calc_Daily!$S$2:$S$2001,(Metrics!$H$1-180+49)))</f>
        <v>0</v>
      </c>
      <c r="P50">
        <f>IF((Metrics!$H$1-180+49)&lt;1,"",INDEX(Calc_Daily!$AM$2:$AM$2001,(Metrics!$H$1-180+49)))</f>
        <v>0</v>
      </c>
      <c r="Q50">
        <f>IF((Metrics!$H$1-180+49)&lt;1,"",INDEX(Calc_Daily!$AK$2:$AK$2001,(Metrics!$H$1-180+49)))</f>
        <v>0</v>
      </c>
      <c r="R50">
        <f>IF((Metrics!$H$1-180+49)&lt;1,"",INDEX(Calc_Daily!$AN$2:$AN$2001,(Metrics!$H$1-180+49)))</f>
        <v>0</v>
      </c>
      <c r="S50">
        <f>IF((Metrics!$H$1-180+49)&lt;1,"",INDEX(Calc_Daily!$AD$2:$AD$2001,(Metrics!$H$1-180+49)))</f>
        <v>0</v>
      </c>
      <c r="T50">
        <f>IF((Metrics!$H$1-180+49)&lt;1,"",INDEX(Calc_Daily!$AT$2:$AT$2001,(Metrics!$H$1-180+49)))</f>
        <v>0</v>
      </c>
      <c r="U50">
        <f>IF((Metrics!$H$1-180+49)&lt;1,"",INDEX(Calc_Daily!$AQ$2:$AQ$2001,(Metrics!$H$1-180+49)))</f>
        <v>0</v>
      </c>
      <c r="V50">
        <f>IF((Metrics!$H$1-180+49)&lt;1,"",INDEX(Calc_Daily!$AR$2:$AR$2001,(Metrics!$H$1-180+49)))</f>
        <v>0</v>
      </c>
    </row>
    <row r="51" spans="1:22">
      <c r="A51" s="27">
        <f>IF((Metrics!$H$1-180+50)&lt;1,"",INDEX(Calc_Daily!$A$2:$A$2001,(Metrics!$H$1-180+50)))</f>
        <v>0</v>
      </c>
      <c r="B51">
        <f>IF((Metrics!$H$1-180+50)&lt;1,"",INDEX(Calc_Daily!$B$2:$B$2001,(Metrics!$H$1-180+50)))</f>
        <v>0</v>
      </c>
      <c r="C51">
        <f>IF((Metrics!$H$1-180+50)&lt;1,"",INDEX(Calc_Daily!$C$2:$C$2001,(Metrics!$H$1-180+50)))</f>
        <v>0</v>
      </c>
      <c r="D51">
        <f>IF((Metrics!$H$1-180+50)&lt;1,"",INDEX(Calc_Daily!$D$2:$D$2001,(Metrics!$H$1-180+50)))</f>
        <v>0</v>
      </c>
      <c r="E51">
        <f>IF((Metrics!$H$1-180+50)&lt;1,"",INDEX(Calc_Daily!$E$2:$E$2001,(Metrics!$H$1-180+50)))</f>
        <v>0</v>
      </c>
      <c r="F51">
        <f>IF((Metrics!$H$1-180+50)&lt;1,"",INDEX(Calc_Daily!$H$2:$H$2001,(Metrics!$H$1-180+50)))</f>
        <v>0</v>
      </c>
      <c r="G51">
        <f>IF((Metrics!$H$1-180+50)&lt;1,"",INDEX(Calc_Daily!$I$2:$I$2001,(Metrics!$H$1-180+50)))</f>
        <v>0</v>
      </c>
      <c r="H51">
        <f>IF((Metrics!$H$1-180+50)&lt;1,"",INDEX(Calc_Daily!$J$2:$J$2001,(Metrics!$H$1-180+50)))</f>
        <v>0</v>
      </c>
      <c r="I51">
        <f>IF((Metrics!$H$1-180+50)&lt;1,"",INDEX(Calc_Daily!$K$2:$K$2001,(Metrics!$H$1-180+50)))</f>
        <v>0</v>
      </c>
      <c r="J51">
        <f>IF((Metrics!$H$1-180+50)&lt;1,"",INDEX(Calc_Daily!$N$2:$N$2001,(Metrics!$H$1-180+50)))</f>
        <v>0</v>
      </c>
      <c r="K51">
        <f>IF((Metrics!$H$1-180+50)&lt;1,"",70)</f>
        <v>0</v>
      </c>
      <c r="L51">
        <f>IF((Metrics!$H$1-180+50)&lt;1,"",30)</f>
        <v>0</v>
      </c>
      <c r="M51">
        <f>IF((Metrics!$H$1-180+50)&lt;1,"",INDEX(Calc_Daily!$Q$2:$Q$2001,(Metrics!$H$1-180+50)))</f>
        <v>0</v>
      </c>
      <c r="N51">
        <f>IF((Metrics!$H$1-180+50)&lt;1,"",INDEX(Calc_Daily!$R$2:$R$2001,(Metrics!$H$1-180+50)))</f>
        <v>0</v>
      </c>
      <c r="O51">
        <f>IF((Metrics!$H$1-180+50)&lt;1,"",INDEX(Calc_Daily!$S$2:$S$2001,(Metrics!$H$1-180+50)))</f>
        <v>0</v>
      </c>
      <c r="P51">
        <f>IF((Metrics!$H$1-180+50)&lt;1,"",INDEX(Calc_Daily!$AM$2:$AM$2001,(Metrics!$H$1-180+50)))</f>
        <v>0</v>
      </c>
      <c r="Q51">
        <f>IF((Metrics!$H$1-180+50)&lt;1,"",INDEX(Calc_Daily!$AK$2:$AK$2001,(Metrics!$H$1-180+50)))</f>
        <v>0</v>
      </c>
      <c r="R51">
        <f>IF((Metrics!$H$1-180+50)&lt;1,"",INDEX(Calc_Daily!$AN$2:$AN$2001,(Metrics!$H$1-180+50)))</f>
        <v>0</v>
      </c>
      <c r="S51">
        <f>IF((Metrics!$H$1-180+50)&lt;1,"",INDEX(Calc_Daily!$AD$2:$AD$2001,(Metrics!$H$1-180+50)))</f>
        <v>0</v>
      </c>
      <c r="T51">
        <f>IF((Metrics!$H$1-180+50)&lt;1,"",INDEX(Calc_Daily!$AT$2:$AT$2001,(Metrics!$H$1-180+50)))</f>
        <v>0</v>
      </c>
      <c r="U51">
        <f>IF((Metrics!$H$1-180+50)&lt;1,"",INDEX(Calc_Daily!$AQ$2:$AQ$2001,(Metrics!$H$1-180+50)))</f>
        <v>0</v>
      </c>
      <c r="V51">
        <f>IF((Metrics!$H$1-180+50)&lt;1,"",INDEX(Calc_Daily!$AR$2:$AR$2001,(Metrics!$H$1-180+50)))</f>
        <v>0</v>
      </c>
    </row>
    <row r="52" spans="1:22">
      <c r="A52" s="27">
        <f>IF((Metrics!$H$1-180+51)&lt;1,"",INDEX(Calc_Daily!$A$2:$A$2001,(Metrics!$H$1-180+51)))</f>
        <v>0</v>
      </c>
      <c r="B52">
        <f>IF((Metrics!$H$1-180+51)&lt;1,"",INDEX(Calc_Daily!$B$2:$B$2001,(Metrics!$H$1-180+51)))</f>
        <v>0</v>
      </c>
      <c r="C52">
        <f>IF((Metrics!$H$1-180+51)&lt;1,"",INDEX(Calc_Daily!$C$2:$C$2001,(Metrics!$H$1-180+51)))</f>
        <v>0</v>
      </c>
      <c r="D52">
        <f>IF((Metrics!$H$1-180+51)&lt;1,"",INDEX(Calc_Daily!$D$2:$D$2001,(Metrics!$H$1-180+51)))</f>
        <v>0</v>
      </c>
      <c r="E52">
        <f>IF((Metrics!$H$1-180+51)&lt;1,"",INDEX(Calc_Daily!$E$2:$E$2001,(Metrics!$H$1-180+51)))</f>
        <v>0</v>
      </c>
      <c r="F52">
        <f>IF((Metrics!$H$1-180+51)&lt;1,"",INDEX(Calc_Daily!$H$2:$H$2001,(Metrics!$H$1-180+51)))</f>
        <v>0</v>
      </c>
      <c r="G52">
        <f>IF((Metrics!$H$1-180+51)&lt;1,"",INDEX(Calc_Daily!$I$2:$I$2001,(Metrics!$H$1-180+51)))</f>
        <v>0</v>
      </c>
      <c r="H52">
        <f>IF((Metrics!$H$1-180+51)&lt;1,"",INDEX(Calc_Daily!$J$2:$J$2001,(Metrics!$H$1-180+51)))</f>
        <v>0</v>
      </c>
      <c r="I52">
        <f>IF((Metrics!$H$1-180+51)&lt;1,"",INDEX(Calc_Daily!$K$2:$K$2001,(Metrics!$H$1-180+51)))</f>
        <v>0</v>
      </c>
      <c r="J52">
        <f>IF((Metrics!$H$1-180+51)&lt;1,"",INDEX(Calc_Daily!$N$2:$N$2001,(Metrics!$H$1-180+51)))</f>
        <v>0</v>
      </c>
      <c r="K52">
        <f>IF((Metrics!$H$1-180+51)&lt;1,"",70)</f>
        <v>0</v>
      </c>
      <c r="L52">
        <f>IF((Metrics!$H$1-180+51)&lt;1,"",30)</f>
        <v>0</v>
      </c>
      <c r="M52">
        <f>IF((Metrics!$H$1-180+51)&lt;1,"",INDEX(Calc_Daily!$Q$2:$Q$2001,(Metrics!$H$1-180+51)))</f>
        <v>0</v>
      </c>
      <c r="N52">
        <f>IF((Metrics!$H$1-180+51)&lt;1,"",INDEX(Calc_Daily!$R$2:$R$2001,(Metrics!$H$1-180+51)))</f>
        <v>0</v>
      </c>
      <c r="O52">
        <f>IF((Metrics!$H$1-180+51)&lt;1,"",INDEX(Calc_Daily!$S$2:$S$2001,(Metrics!$H$1-180+51)))</f>
        <v>0</v>
      </c>
      <c r="P52">
        <f>IF((Metrics!$H$1-180+51)&lt;1,"",INDEX(Calc_Daily!$AM$2:$AM$2001,(Metrics!$H$1-180+51)))</f>
        <v>0</v>
      </c>
      <c r="Q52">
        <f>IF((Metrics!$H$1-180+51)&lt;1,"",INDEX(Calc_Daily!$AK$2:$AK$2001,(Metrics!$H$1-180+51)))</f>
        <v>0</v>
      </c>
      <c r="R52">
        <f>IF((Metrics!$H$1-180+51)&lt;1,"",INDEX(Calc_Daily!$AN$2:$AN$2001,(Metrics!$H$1-180+51)))</f>
        <v>0</v>
      </c>
      <c r="S52">
        <f>IF((Metrics!$H$1-180+51)&lt;1,"",INDEX(Calc_Daily!$AD$2:$AD$2001,(Metrics!$H$1-180+51)))</f>
        <v>0</v>
      </c>
      <c r="T52">
        <f>IF((Metrics!$H$1-180+51)&lt;1,"",INDEX(Calc_Daily!$AT$2:$AT$2001,(Metrics!$H$1-180+51)))</f>
        <v>0</v>
      </c>
      <c r="U52">
        <f>IF((Metrics!$H$1-180+51)&lt;1,"",INDEX(Calc_Daily!$AQ$2:$AQ$2001,(Metrics!$H$1-180+51)))</f>
        <v>0</v>
      </c>
      <c r="V52">
        <f>IF((Metrics!$H$1-180+51)&lt;1,"",INDEX(Calc_Daily!$AR$2:$AR$2001,(Metrics!$H$1-180+51)))</f>
        <v>0</v>
      </c>
    </row>
    <row r="53" spans="1:22">
      <c r="A53" s="27">
        <f>IF((Metrics!$H$1-180+52)&lt;1,"",INDEX(Calc_Daily!$A$2:$A$2001,(Metrics!$H$1-180+52)))</f>
        <v>0</v>
      </c>
      <c r="B53">
        <f>IF((Metrics!$H$1-180+52)&lt;1,"",INDEX(Calc_Daily!$B$2:$B$2001,(Metrics!$H$1-180+52)))</f>
        <v>0</v>
      </c>
      <c r="C53">
        <f>IF((Metrics!$H$1-180+52)&lt;1,"",INDEX(Calc_Daily!$C$2:$C$2001,(Metrics!$H$1-180+52)))</f>
        <v>0</v>
      </c>
      <c r="D53">
        <f>IF((Metrics!$H$1-180+52)&lt;1,"",INDEX(Calc_Daily!$D$2:$D$2001,(Metrics!$H$1-180+52)))</f>
        <v>0</v>
      </c>
      <c r="E53">
        <f>IF((Metrics!$H$1-180+52)&lt;1,"",INDEX(Calc_Daily!$E$2:$E$2001,(Metrics!$H$1-180+52)))</f>
        <v>0</v>
      </c>
      <c r="F53">
        <f>IF((Metrics!$H$1-180+52)&lt;1,"",INDEX(Calc_Daily!$H$2:$H$2001,(Metrics!$H$1-180+52)))</f>
        <v>0</v>
      </c>
      <c r="G53">
        <f>IF((Metrics!$H$1-180+52)&lt;1,"",INDEX(Calc_Daily!$I$2:$I$2001,(Metrics!$H$1-180+52)))</f>
        <v>0</v>
      </c>
      <c r="H53">
        <f>IF((Metrics!$H$1-180+52)&lt;1,"",INDEX(Calc_Daily!$J$2:$J$2001,(Metrics!$H$1-180+52)))</f>
        <v>0</v>
      </c>
      <c r="I53">
        <f>IF((Metrics!$H$1-180+52)&lt;1,"",INDEX(Calc_Daily!$K$2:$K$2001,(Metrics!$H$1-180+52)))</f>
        <v>0</v>
      </c>
      <c r="J53">
        <f>IF((Metrics!$H$1-180+52)&lt;1,"",INDEX(Calc_Daily!$N$2:$N$2001,(Metrics!$H$1-180+52)))</f>
        <v>0</v>
      </c>
      <c r="K53">
        <f>IF((Metrics!$H$1-180+52)&lt;1,"",70)</f>
        <v>0</v>
      </c>
      <c r="L53">
        <f>IF((Metrics!$H$1-180+52)&lt;1,"",30)</f>
        <v>0</v>
      </c>
      <c r="M53">
        <f>IF((Metrics!$H$1-180+52)&lt;1,"",INDEX(Calc_Daily!$Q$2:$Q$2001,(Metrics!$H$1-180+52)))</f>
        <v>0</v>
      </c>
      <c r="N53">
        <f>IF((Metrics!$H$1-180+52)&lt;1,"",INDEX(Calc_Daily!$R$2:$R$2001,(Metrics!$H$1-180+52)))</f>
        <v>0</v>
      </c>
      <c r="O53">
        <f>IF((Metrics!$H$1-180+52)&lt;1,"",INDEX(Calc_Daily!$S$2:$S$2001,(Metrics!$H$1-180+52)))</f>
        <v>0</v>
      </c>
      <c r="P53">
        <f>IF((Metrics!$H$1-180+52)&lt;1,"",INDEX(Calc_Daily!$AM$2:$AM$2001,(Metrics!$H$1-180+52)))</f>
        <v>0</v>
      </c>
      <c r="Q53">
        <f>IF((Metrics!$H$1-180+52)&lt;1,"",INDEX(Calc_Daily!$AK$2:$AK$2001,(Metrics!$H$1-180+52)))</f>
        <v>0</v>
      </c>
      <c r="R53">
        <f>IF((Metrics!$H$1-180+52)&lt;1,"",INDEX(Calc_Daily!$AN$2:$AN$2001,(Metrics!$H$1-180+52)))</f>
        <v>0</v>
      </c>
      <c r="S53">
        <f>IF((Metrics!$H$1-180+52)&lt;1,"",INDEX(Calc_Daily!$AD$2:$AD$2001,(Metrics!$H$1-180+52)))</f>
        <v>0</v>
      </c>
      <c r="T53">
        <f>IF((Metrics!$H$1-180+52)&lt;1,"",INDEX(Calc_Daily!$AT$2:$AT$2001,(Metrics!$H$1-180+52)))</f>
        <v>0</v>
      </c>
      <c r="U53">
        <f>IF((Metrics!$H$1-180+52)&lt;1,"",INDEX(Calc_Daily!$AQ$2:$AQ$2001,(Metrics!$H$1-180+52)))</f>
        <v>0</v>
      </c>
      <c r="V53">
        <f>IF((Metrics!$H$1-180+52)&lt;1,"",INDEX(Calc_Daily!$AR$2:$AR$2001,(Metrics!$H$1-180+52)))</f>
        <v>0</v>
      </c>
    </row>
    <row r="54" spans="1:22">
      <c r="A54" s="27">
        <f>IF((Metrics!$H$1-180+53)&lt;1,"",INDEX(Calc_Daily!$A$2:$A$2001,(Metrics!$H$1-180+53)))</f>
        <v>0</v>
      </c>
      <c r="B54">
        <f>IF((Metrics!$H$1-180+53)&lt;1,"",INDEX(Calc_Daily!$B$2:$B$2001,(Metrics!$H$1-180+53)))</f>
        <v>0</v>
      </c>
      <c r="C54">
        <f>IF((Metrics!$H$1-180+53)&lt;1,"",INDEX(Calc_Daily!$C$2:$C$2001,(Metrics!$H$1-180+53)))</f>
        <v>0</v>
      </c>
      <c r="D54">
        <f>IF((Metrics!$H$1-180+53)&lt;1,"",INDEX(Calc_Daily!$D$2:$D$2001,(Metrics!$H$1-180+53)))</f>
        <v>0</v>
      </c>
      <c r="E54">
        <f>IF((Metrics!$H$1-180+53)&lt;1,"",INDEX(Calc_Daily!$E$2:$E$2001,(Metrics!$H$1-180+53)))</f>
        <v>0</v>
      </c>
      <c r="F54">
        <f>IF((Metrics!$H$1-180+53)&lt;1,"",INDEX(Calc_Daily!$H$2:$H$2001,(Metrics!$H$1-180+53)))</f>
        <v>0</v>
      </c>
      <c r="G54">
        <f>IF((Metrics!$H$1-180+53)&lt;1,"",INDEX(Calc_Daily!$I$2:$I$2001,(Metrics!$H$1-180+53)))</f>
        <v>0</v>
      </c>
      <c r="H54">
        <f>IF((Metrics!$H$1-180+53)&lt;1,"",INDEX(Calc_Daily!$J$2:$J$2001,(Metrics!$H$1-180+53)))</f>
        <v>0</v>
      </c>
      <c r="I54">
        <f>IF((Metrics!$H$1-180+53)&lt;1,"",INDEX(Calc_Daily!$K$2:$K$2001,(Metrics!$H$1-180+53)))</f>
        <v>0</v>
      </c>
      <c r="J54">
        <f>IF((Metrics!$H$1-180+53)&lt;1,"",INDEX(Calc_Daily!$N$2:$N$2001,(Metrics!$H$1-180+53)))</f>
        <v>0</v>
      </c>
      <c r="K54">
        <f>IF((Metrics!$H$1-180+53)&lt;1,"",70)</f>
        <v>0</v>
      </c>
      <c r="L54">
        <f>IF((Metrics!$H$1-180+53)&lt;1,"",30)</f>
        <v>0</v>
      </c>
      <c r="M54">
        <f>IF((Metrics!$H$1-180+53)&lt;1,"",INDEX(Calc_Daily!$Q$2:$Q$2001,(Metrics!$H$1-180+53)))</f>
        <v>0</v>
      </c>
      <c r="N54">
        <f>IF((Metrics!$H$1-180+53)&lt;1,"",INDEX(Calc_Daily!$R$2:$R$2001,(Metrics!$H$1-180+53)))</f>
        <v>0</v>
      </c>
      <c r="O54">
        <f>IF((Metrics!$H$1-180+53)&lt;1,"",INDEX(Calc_Daily!$S$2:$S$2001,(Metrics!$H$1-180+53)))</f>
        <v>0</v>
      </c>
      <c r="P54">
        <f>IF((Metrics!$H$1-180+53)&lt;1,"",INDEX(Calc_Daily!$AM$2:$AM$2001,(Metrics!$H$1-180+53)))</f>
        <v>0</v>
      </c>
      <c r="Q54">
        <f>IF((Metrics!$H$1-180+53)&lt;1,"",INDEX(Calc_Daily!$AK$2:$AK$2001,(Metrics!$H$1-180+53)))</f>
        <v>0</v>
      </c>
      <c r="R54">
        <f>IF((Metrics!$H$1-180+53)&lt;1,"",INDEX(Calc_Daily!$AN$2:$AN$2001,(Metrics!$H$1-180+53)))</f>
        <v>0</v>
      </c>
      <c r="S54">
        <f>IF((Metrics!$H$1-180+53)&lt;1,"",INDEX(Calc_Daily!$AD$2:$AD$2001,(Metrics!$H$1-180+53)))</f>
        <v>0</v>
      </c>
      <c r="T54">
        <f>IF((Metrics!$H$1-180+53)&lt;1,"",INDEX(Calc_Daily!$AT$2:$AT$2001,(Metrics!$H$1-180+53)))</f>
        <v>0</v>
      </c>
      <c r="U54">
        <f>IF((Metrics!$H$1-180+53)&lt;1,"",INDEX(Calc_Daily!$AQ$2:$AQ$2001,(Metrics!$H$1-180+53)))</f>
        <v>0</v>
      </c>
      <c r="V54">
        <f>IF((Metrics!$H$1-180+53)&lt;1,"",INDEX(Calc_Daily!$AR$2:$AR$2001,(Metrics!$H$1-180+53)))</f>
        <v>0</v>
      </c>
    </row>
    <row r="55" spans="1:22">
      <c r="A55" s="27">
        <f>IF((Metrics!$H$1-180+54)&lt;1,"",INDEX(Calc_Daily!$A$2:$A$2001,(Metrics!$H$1-180+54)))</f>
        <v>0</v>
      </c>
      <c r="B55">
        <f>IF((Metrics!$H$1-180+54)&lt;1,"",INDEX(Calc_Daily!$B$2:$B$2001,(Metrics!$H$1-180+54)))</f>
        <v>0</v>
      </c>
      <c r="C55">
        <f>IF((Metrics!$H$1-180+54)&lt;1,"",INDEX(Calc_Daily!$C$2:$C$2001,(Metrics!$H$1-180+54)))</f>
        <v>0</v>
      </c>
      <c r="D55">
        <f>IF((Metrics!$H$1-180+54)&lt;1,"",INDEX(Calc_Daily!$D$2:$D$2001,(Metrics!$H$1-180+54)))</f>
        <v>0</v>
      </c>
      <c r="E55">
        <f>IF((Metrics!$H$1-180+54)&lt;1,"",INDEX(Calc_Daily!$E$2:$E$2001,(Metrics!$H$1-180+54)))</f>
        <v>0</v>
      </c>
      <c r="F55">
        <f>IF((Metrics!$H$1-180+54)&lt;1,"",INDEX(Calc_Daily!$H$2:$H$2001,(Metrics!$H$1-180+54)))</f>
        <v>0</v>
      </c>
      <c r="G55">
        <f>IF((Metrics!$H$1-180+54)&lt;1,"",INDEX(Calc_Daily!$I$2:$I$2001,(Metrics!$H$1-180+54)))</f>
        <v>0</v>
      </c>
      <c r="H55">
        <f>IF((Metrics!$H$1-180+54)&lt;1,"",INDEX(Calc_Daily!$J$2:$J$2001,(Metrics!$H$1-180+54)))</f>
        <v>0</v>
      </c>
      <c r="I55">
        <f>IF((Metrics!$H$1-180+54)&lt;1,"",INDEX(Calc_Daily!$K$2:$K$2001,(Metrics!$H$1-180+54)))</f>
        <v>0</v>
      </c>
      <c r="J55">
        <f>IF((Metrics!$H$1-180+54)&lt;1,"",INDEX(Calc_Daily!$N$2:$N$2001,(Metrics!$H$1-180+54)))</f>
        <v>0</v>
      </c>
      <c r="K55">
        <f>IF((Metrics!$H$1-180+54)&lt;1,"",70)</f>
        <v>0</v>
      </c>
      <c r="L55">
        <f>IF((Metrics!$H$1-180+54)&lt;1,"",30)</f>
        <v>0</v>
      </c>
      <c r="M55">
        <f>IF((Metrics!$H$1-180+54)&lt;1,"",INDEX(Calc_Daily!$Q$2:$Q$2001,(Metrics!$H$1-180+54)))</f>
        <v>0</v>
      </c>
      <c r="N55">
        <f>IF((Metrics!$H$1-180+54)&lt;1,"",INDEX(Calc_Daily!$R$2:$R$2001,(Metrics!$H$1-180+54)))</f>
        <v>0</v>
      </c>
      <c r="O55">
        <f>IF((Metrics!$H$1-180+54)&lt;1,"",INDEX(Calc_Daily!$S$2:$S$2001,(Metrics!$H$1-180+54)))</f>
        <v>0</v>
      </c>
      <c r="P55">
        <f>IF((Metrics!$H$1-180+54)&lt;1,"",INDEX(Calc_Daily!$AM$2:$AM$2001,(Metrics!$H$1-180+54)))</f>
        <v>0</v>
      </c>
      <c r="Q55">
        <f>IF((Metrics!$H$1-180+54)&lt;1,"",INDEX(Calc_Daily!$AK$2:$AK$2001,(Metrics!$H$1-180+54)))</f>
        <v>0</v>
      </c>
      <c r="R55">
        <f>IF((Metrics!$H$1-180+54)&lt;1,"",INDEX(Calc_Daily!$AN$2:$AN$2001,(Metrics!$H$1-180+54)))</f>
        <v>0</v>
      </c>
      <c r="S55">
        <f>IF((Metrics!$H$1-180+54)&lt;1,"",INDEX(Calc_Daily!$AD$2:$AD$2001,(Metrics!$H$1-180+54)))</f>
        <v>0</v>
      </c>
      <c r="T55">
        <f>IF((Metrics!$H$1-180+54)&lt;1,"",INDEX(Calc_Daily!$AT$2:$AT$2001,(Metrics!$H$1-180+54)))</f>
        <v>0</v>
      </c>
      <c r="U55">
        <f>IF((Metrics!$H$1-180+54)&lt;1,"",INDEX(Calc_Daily!$AQ$2:$AQ$2001,(Metrics!$H$1-180+54)))</f>
        <v>0</v>
      </c>
      <c r="V55">
        <f>IF((Metrics!$H$1-180+54)&lt;1,"",INDEX(Calc_Daily!$AR$2:$AR$2001,(Metrics!$H$1-180+54)))</f>
        <v>0</v>
      </c>
    </row>
    <row r="56" spans="1:22">
      <c r="A56" s="27">
        <f>IF((Metrics!$H$1-180+55)&lt;1,"",INDEX(Calc_Daily!$A$2:$A$2001,(Metrics!$H$1-180+55)))</f>
        <v>0</v>
      </c>
      <c r="B56">
        <f>IF((Metrics!$H$1-180+55)&lt;1,"",INDEX(Calc_Daily!$B$2:$B$2001,(Metrics!$H$1-180+55)))</f>
        <v>0</v>
      </c>
      <c r="C56">
        <f>IF((Metrics!$H$1-180+55)&lt;1,"",INDEX(Calc_Daily!$C$2:$C$2001,(Metrics!$H$1-180+55)))</f>
        <v>0</v>
      </c>
      <c r="D56">
        <f>IF((Metrics!$H$1-180+55)&lt;1,"",INDEX(Calc_Daily!$D$2:$D$2001,(Metrics!$H$1-180+55)))</f>
        <v>0</v>
      </c>
      <c r="E56">
        <f>IF((Metrics!$H$1-180+55)&lt;1,"",INDEX(Calc_Daily!$E$2:$E$2001,(Metrics!$H$1-180+55)))</f>
        <v>0</v>
      </c>
      <c r="F56">
        <f>IF((Metrics!$H$1-180+55)&lt;1,"",INDEX(Calc_Daily!$H$2:$H$2001,(Metrics!$H$1-180+55)))</f>
        <v>0</v>
      </c>
      <c r="G56">
        <f>IF((Metrics!$H$1-180+55)&lt;1,"",INDEX(Calc_Daily!$I$2:$I$2001,(Metrics!$H$1-180+55)))</f>
        <v>0</v>
      </c>
      <c r="H56">
        <f>IF((Metrics!$H$1-180+55)&lt;1,"",INDEX(Calc_Daily!$J$2:$J$2001,(Metrics!$H$1-180+55)))</f>
        <v>0</v>
      </c>
      <c r="I56">
        <f>IF((Metrics!$H$1-180+55)&lt;1,"",INDEX(Calc_Daily!$K$2:$K$2001,(Metrics!$H$1-180+55)))</f>
        <v>0</v>
      </c>
      <c r="J56">
        <f>IF((Metrics!$H$1-180+55)&lt;1,"",INDEX(Calc_Daily!$N$2:$N$2001,(Metrics!$H$1-180+55)))</f>
        <v>0</v>
      </c>
      <c r="K56">
        <f>IF((Metrics!$H$1-180+55)&lt;1,"",70)</f>
        <v>0</v>
      </c>
      <c r="L56">
        <f>IF((Metrics!$H$1-180+55)&lt;1,"",30)</f>
        <v>0</v>
      </c>
      <c r="M56">
        <f>IF((Metrics!$H$1-180+55)&lt;1,"",INDEX(Calc_Daily!$Q$2:$Q$2001,(Metrics!$H$1-180+55)))</f>
        <v>0</v>
      </c>
      <c r="N56">
        <f>IF((Metrics!$H$1-180+55)&lt;1,"",INDEX(Calc_Daily!$R$2:$R$2001,(Metrics!$H$1-180+55)))</f>
        <v>0</v>
      </c>
      <c r="O56">
        <f>IF((Metrics!$H$1-180+55)&lt;1,"",INDEX(Calc_Daily!$S$2:$S$2001,(Metrics!$H$1-180+55)))</f>
        <v>0</v>
      </c>
      <c r="P56">
        <f>IF((Metrics!$H$1-180+55)&lt;1,"",INDEX(Calc_Daily!$AM$2:$AM$2001,(Metrics!$H$1-180+55)))</f>
        <v>0</v>
      </c>
      <c r="Q56">
        <f>IF((Metrics!$H$1-180+55)&lt;1,"",INDEX(Calc_Daily!$AK$2:$AK$2001,(Metrics!$H$1-180+55)))</f>
        <v>0</v>
      </c>
      <c r="R56">
        <f>IF((Metrics!$H$1-180+55)&lt;1,"",INDEX(Calc_Daily!$AN$2:$AN$2001,(Metrics!$H$1-180+55)))</f>
        <v>0</v>
      </c>
      <c r="S56">
        <f>IF((Metrics!$H$1-180+55)&lt;1,"",INDEX(Calc_Daily!$AD$2:$AD$2001,(Metrics!$H$1-180+55)))</f>
        <v>0</v>
      </c>
      <c r="T56">
        <f>IF((Metrics!$H$1-180+55)&lt;1,"",INDEX(Calc_Daily!$AT$2:$AT$2001,(Metrics!$H$1-180+55)))</f>
        <v>0</v>
      </c>
      <c r="U56">
        <f>IF((Metrics!$H$1-180+55)&lt;1,"",INDEX(Calc_Daily!$AQ$2:$AQ$2001,(Metrics!$H$1-180+55)))</f>
        <v>0</v>
      </c>
      <c r="V56">
        <f>IF((Metrics!$H$1-180+55)&lt;1,"",INDEX(Calc_Daily!$AR$2:$AR$2001,(Metrics!$H$1-180+55)))</f>
        <v>0</v>
      </c>
    </row>
    <row r="57" spans="1:22">
      <c r="A57" s="27">
        <f>IF((Metrics!$H$1-180+56)&lt;1,"",INDEX(Calc_Daily!$A$2:$A$2001,(Metrics!$H$1-180+56)))</f>
        <v>0</v>
      </c>
      <c r="B57">
        <f>IF((Metrics!$H$1-180+56)&lt;1,"",INDEX(Calc_Daily!$B$2:$B$2001,(Metrics!$H$1-180+56)))</f>
        <v>0</v>
      </c>
      <c r="C57">
        <f>IF((Metrics!$H$1-180+56)&lt;1,"",INDEX(Calc_Daily!$C$2:$C$2001,(Metrics!$H$1-180+56)))</f>
        <v>0</v>
      </c>
      <c r="D57">
        <f>IF((Metrics!$H$1-180+56)&lt;1,"",INDEX(Calc_Daily!$D$2:$D$2001,(Metrics!$H$1-180+56)))</f>
        <v>0</v>
      </c>
      <c r="E57">
        <f>IF((Metrics!$H$1-180+56)&lt;1,"",INDEX(Calc_Daily!$E$2:$E$2001,(Metrics!$H$1-180+56)))</f>
        <v>0</v>
      </c>
      <c r="F57">
        <f>IF((Metrics!$H$1-180+56)&lt;1,"",INDEX(Calc_Daily!$H$2:$H$2001,(Metrics!$H$1-180+56)))</f>
        <v>0</v>
      </c>
      <c r="G57">
        <f>IF((Metrics!$H$1-180+56)&lt;1,"",INDEX(Calc_Daily!$I$2:$I$2001,(Metrics!$H$1-180+56)))</f>
        <v>0</v>
      </c>
      <c r="H57">
        <f>IF((Metrics!$H$1-180+56)&lt;1,"",INDEX(Calc_Daily!$J$2:$J$2001,(Metrics!$H$1-180+56)))</f>
        <v>0</v>
      </c>
      <c r="I57">
        <f>IF((Metrics!$H$1-180+56)&lt;1,"",INDEX(Calc_Daily!$K$2:$K$2001,(Metrics!$H$1-180+56)))</f>
        <v>0</v>
      </c>
      <c r="J57">
        <f>IF((Metrics!$H$1-180+56)&lt;1,"",INDEX(Calc_Daily!$N$2:$N$2001,(Metrics!$H$1-180+56)))</f>
        <v>0</v>
      </c>
      <c r="K57">
        <f>IF((Metrics!$H$1-180+56)&lt;1,"",70)</f>
        <v>0</v>
      </c>
      <c r="L57">
        <f>IF((Metrics!$H$1-180+56)&lt;1,"",30)</f>
        <v>0</v>
      </c>
      <c r="M57">
        <f>IF((Metrics!$H$1-180+56)&lt;1,"",INDEX(Calc_Daily!$Q$2:$Q$2001,(Metrics!$H$1-180+56)))</f>
        <v>0</v>
      </c>
      <c r="N57">
        <f>IF((Metrics!$H$1-180+56)&lt;1,"",INDEX(Calc_Daily!$R$2:$R$2001,(Metrics!$H$1-180+56)))</f>
        <v>0</v>
      </c>
      <c r="O57">
        <f>IF((Metrics!$H$1-180+56)&lt;1,"",INDEX(Calc_Daily!$S$2:$S$2001,(Metrics!$H$1-180+56)))</f>
        <v>0</v>
      </c>
      <c r="P57">
        <f>IF((Metrics!$H$1-180+56)&lt;1,"",INDEX(Calc_Daily!$AM$2:$AM$2001,(Metrics!$H$1-180+56)))</f>
        <v>0</v>
      </c>
      <c r="Q57">
        <f>IF((Metrics!$H$1-180+56)&lt;1,"",INDEX(Calc_Daily!$AK$2:$AK$2001,(Metrics!$H$1-180+56)))</f>
        <v>0</v>
      </c>
      <c r="R57">
        <f>IF((Metrics!$H$1-180+56)&lt;1,"",INDEX(Calc_Daily!$AN$2:$AN$2001,(Metrics!$H$1-180+56)))</f>
        <v>0</v>
      </c>
      <c r="S57">
        <f>IF((Metrics!$H$1-180+56)&lt;1,"",INDEX(Calc_Daily!$AD$2:$AD$2001,(Metrics!$H$1-180+56)))</f>
        <v>0</v>
      </c>
      <c r="T57">
        <f>IF((Metrics!$H$1-180+56)&lt;1,"",INDEX(Calc_Daily!$AT$2:$AT$2001,(Metrics!$H$1-180+56)))</f>
        <v>0</v>
      </c>
      <c r="U57">
        <f>IF((Metrics!$H$1-180+56)&lt;1,"",INDEX(Calc_Daily!$AQ$2:$AQ$2001,(Metrics!$H$1-180+56)))</f>
        <v>0</v>
      </c>
      <c r="V57">
        <f>IF((Metrics!$H$1-180+56)&lt;1,"",INDEX(Calc_Daily!$AR$2:$AR$2001,(Metrics!$H$1-180+56)))</f>
        <v>0</v>
      </c>
    </row>
    <row r="58" spans="1:22">
      <c r="A58" s="27">
        <f>IF((Metrics!$H$1-180+57)&lt;1,"",INDEX(Calc_Daily!$A$2:$A$2001,(Metrics!$H$1-180+57)))</f>
        <v>0</v>
      </c>
      <c r="B58">
        <f>IF((Metrics!$H$1-180+57)&lt;1,"",INDEX(Calc_Daily!$B$2:$B$2001,(Metrics!$H$1-180+57)))</f>
        <v>0</v>
      </c>
      <c r="C58">
        <f>IF((Metrics!$H$1-180+57)&lt;1,"",INDEX(Calc_Daily!$C$2:$C$2001,(Metrics!$H$1-180+57)))</f>
        <v>0</v>
      </c>
      <c r="D58">
        <f>IF((Metrics!$H$1-180+57)&lt;1,"",INDEX(Calc_Daily!$D$2:$D$2001,(Metrics!$H$1-180+57)))</f>
        <v>0</v>
      </c>
      <c r="E58">
        <f>IF((Metrics!$H$1-180+57)&lt;1,"",INDEX(Calc_Daily!$E$2:$E$2001,(Metrics!$H$1-180+57)))</f>
        <v>0</v>
      </c>
      <c r="F58">
        <f>IF((Metrics!$H$1-180+57)&lt;1,"",INDEX(Calc_Daily!$H$2:$H$2001,(Metrics!$H$1-180+57)))</f>
        <v>0</v>
      </c>
      <c r="G58">
        <f>IF((Metrics!$H$1-180+57)&lt;1,"",INDEX(Calc_Daily!$I$2:$I$2001,(Metrics!$H$1-180+57)))</f>
        <v>0</v>
      </c>
      <c r="H58">
        <f>IF((Metrics!$H$1-180+57)&lt;1,"",INDEX(Calc_Daily!$J$2:$J$2001,(Metrics!$H$1-180+57)))</f>
        <v>0</v>
      </c>
      <c r="I58">
        <f>IF((Metrics!$H$1-180+57)&lt;1,"",INDEX(Calc_Daily!$K$2:$K$2001,(Metrics!$H$1-180+57)))</f>
        <v>0</v>
      </c>
      <c r="J58">
        <f>IF((Metrics!$H$1-180+57)&lt;1,"",INDEX(Calc_Daily!$N$2:$N$2001,(Metrics!$H$1-180+57)))</f>
        <v>0</v>
      </c>
      <c r="K58">
        <f>IF((Metrics!$H$1-180+57)&lt;1,"",70)</f>
        <v>0</v>
      </c>
      <c r="L58">
        <f>IF((Metrics!$H$1-180+57)&lt;1,"",30)</f>
        <v>0</v>
      </c>
      <c r="M58">
        <f>IF((Metrics!$H$1-180+57)&lt;1,"",INDEX(Calc_Daily!$Q$2:$Q$2001,(Metrics!$H$1-180+57)))</f>
        <v>0</v>
      </c>
      <c r="N58">
        <f>IF((Metrics!$H$1-180+57)&lt;1,"",INDEX(Calc_Daily!$R$2:$R$2001,(Metrics!$H$1-180+57)))</f>
        <v>0</v>
      </c>
      <c r="O58">
        <f>IF((Metrics!$H$1-180+57)&lt;1,"",INDEX(Calc_Daily!$S$2:$S$2001,(Metrics!$H$1-180+57)))</f>
        <v>0</v>
      </c>
      <c r="P58">
        <f>IF((Metrics!$H$1-180+57)&lt;1,"",INDEX(Calc_Daily!$AM$2:$AM$2001,(Metrics!$H$1-180+57)))</f>
        <v>0</v>
      </c>
      <c r="Q58">
        <f>IF((Metrics!$H$1-180+57)&lt;1,"",INDEX(Calc_Daily!$AK$2:$AK$2001,(Metrics!$H$1-180+57)))</f>
        <v>0</v>
      </c>
      <c r="R58">
        <f>IF((Metrics!$H$1-180+57)&lt;1,"",INDEX(Calc_Daily!$AN$2:$AN$2001,(Metrics!$H$1-180+57)))</f>
        <v>0</v>
      </c>
      <c r="S58">
        <f>IF((Metrics!$H$1-180+57)&lt;1,"",INDEX(Calc_Daily!$AD$2:$AD$2001,(Metrics!$H$1-180+57)))</f>
        <v>0</v>
      </c>
      <c r="T58">
        <f>IF((Metrics!$H$1-180+57)&lt;1,"",INDEX(Calc_Daily!$AT$2:$AT$2001,(Metrics!$H$1-180+57)))</f>
        <v>0</v>
      </c>
      <c r="U58">
        <f>IF((Metrics!$H$1-180+57)&lt;1,"",INDEX(Calc_Daily!$AQ$2:$AQ$2001,(Metrics!$H$1-180+57)))</f>
        <v>0</v>
      </c>
      <c r="V58">
        <f>IF((Metrics!$H$1-180+57)&lt;1,"",INDEX(Calc_Daily!$AR$2:$AR$2001,(Metrics!$H$1-180+57)))</f>
        <v>0</v>
      </c>
    </row>
    <row r="59" spans="1:22">
      <c r="A59" s="27">
        <f>IF((Metrics!$H$1-180+58)&lt;1,"",INDEX(Calc_Daily!$A$2:$A$2001,(Metrics!$H$1-180+58)))</f>
        <v>0</v>
      </c>
      <c r="B59">
        <f>IF((Metrics!$H$1-180+58)&lt;1,"",INDEX(Calc_Daily!$B$2:$B$2001,(Metrics!$H$1-180+58)))</f>
        <v>0</v>
      </c>
      <c r="C59">
        <f>IF((Metrics!$H$1-180+58)&lt;1,"",INDEX(Calc_Daily!$C$2:$C$2001,(Metrics!$H$1-180+58)))</f>
        <v>0</v>
      </c>
      <c r="D59">
        <f>IF((Metrics!$H$1-180+58)&lt;1,"",INDEX(Calc_Daily!$D$2:$D$2001,(Metrics!$H$1-180+58)))</f>
        <v>0</v>
      </c>
      <c r="E59">
        <f>IF((Metrics!$H$1-180+58)&lt;1,"",INDEX(Calc_Daily!$E$2:$E$2001,(Metrics!$H$1-180+58)))</f>
        <v>0</v>
      </c>
      <c r="F59">
        <f>IF((Metrics!$H$1-180+58)&lt;1,"",INDEX(Calc_Daily!$H$2:$H$2001,(Metrics!$H$1-180+58)))</f>
        <v>0</v>
      </c>
      <c r="G59">
        <f>IF((Metrics!$H$1-180+58)&lt;1,"",INDEX(Calc_Daily!$I$2:$I$2001,(Metrics!$H$1-180+58)))</f>
        <v>0</v>
      </c>
      <c r="H59">
        <f>IF((Metrics!$H$1-180+58)&lt;1,"",INDEX(Calc_Daily!$J$2:$J$2001,(Metrics!$H$1-180+58)))</f>
        <v>0</v>
      </c>
      <c r="I59">
        <f>IF((Metrics!$H$1-180+58)&lt;1,"",INDEX(Calc_Daily!$K$2:$K$2001,(Metrics!$H$1-180+58)))</f>
        <v>0</v>
      </c>
      <c r="J59">
        <f>IF((Metrics!$H$1-180+58)&lt;1,"",INDEX(Calc_Daily!$N$2:$N$2001,(Metrics!$H$1-180+58)))</f>
        <v>0</v>
      </c>
      <c r="K59">
        <f>IF((Metrics!$H$1-180+58)&lt;1,"",70)</f>
        <v>0</v>
      </c>
      <c r="L59">
        <f>IF((Metrics!$H$1-180+58)&lt;1,"",30)</f>
        <v>0</v>
      </c>
      <c r="M59">
        <f>IF((Metrics!$H$1-180+58)&lt;1,"",INDEX(Calc_Daily!$Q$2:$Q$2001,(Metrics!$H$1-180+58)))</f>
        <v>0</v>
      </c>
      <c r="N59">
        <f>IF((Metrics!$H$1-180+58)&lt;1,"",INDEX(Calc_Daily!$R$2:$R$2001,(Metrics!$H$1-180+58)))</f>
        <v>0</v>
      </c>
      <c r="O59">
        <f>IF((Metrics!$H$1-180+58)&lt;1,"",INDEX(Calc_Daily!$S$2:$S$2001,(Metrics!$H$1-180+58)))</f>
        <v>0</v>
      </c>
      <c r="P59">
        <f>IF((Metrics!$H$1-180+58)&lt;1,"",INDEX(Calc_Daily!$AM$2:$AM$2001,(Metrics!$H$1-180+58)))</f>
        <v>0</v>
      </c>
      <c r="Q59">
        <f>IF((Metrics!$H$1-180+58)&lt;1,"",INDEX(Calc_Daily!$AK$2:$AK$2001,(Metrics!$H$1-180+58)))</f>
        <v>0</v>
      </c>
      <c r="R59">
        <f>IF((Metrics!$H$1-180+58)&lt;1,"",INDEX(Calc_Daily!$AN$2:$AN$2001,(Metrics!$H$1-180+58)))</f>
        <v>0</v>
      </c>
      <c r="S59">
        <f>IF((Metrics!$H$1-180+58)&lt;1,"",INDEX(Calc_Daily!$AD$2:$AD$2001,(Metrics!$H$1-180+58)))</f>
        <v>0</v>
      </c>
      <c r="T59">
        <f>IF((Metrics!$H$1-180+58)&lt;1,"",INDEX(Calc_Daily!$AT$2:$AT$2001,(Metrics!$H$1-180+58)))</f>
        <v>0</v>
      </c>
      <c r="U59">
        <f>IF((Metrics!$H$1-180+58)&lt;1,"",INDEX(Calc_Daily!$AQ$2:$AQ$2001,(Metrics!$H$1-180+58)))</f>
        <v>0</v>
      </c>
      <c r="V59">
        <f>IF((Metrics!$H$1-180+58)&lt;1,"",INDEX(Calc_Daily!$AR$2:$AR$2001,(Metrics!$H$1-180+58)))</f>
        <v>0</v>
      </c>
    </row>
    <row r="60" spans="1:22">
      <c r="A60" s="27">
        <f>IF((Metrics!$H$1-180+59)&lt;1,"",INDEX(Calc_Daily!$A$2:$A$2001,(Metrics!$H$1-180+59)))</f>
        <v>0</v>
      </c>
      <c r="B60">
        <f>IF((Metrics!$H$1-180+59)&lt;1,"",INDEX(Calc_Daily!$B$2:$B$2001,(Metrics!$H$1-180+59)))</f>
        <v>0</v>
      </c>
      <c r="C60">
        <f>IF((Metrics!$H$1-180+59)&lt;1,"",INDEX(Calc_Daily!$C$2:$C$2001,(Metrics!$H$1-180+59)))</f>
        <v>0</v>
      </c>
      <c r="D60">
        <f>IF((Metrics!$H$1-180+59)&lt;1,"",INDEX(Calc_Daily!$D$2:$D$2001,(Metrics!$H$1-180+59)))</f>
        <v>0</v>
      </c>
      <c r="E60">
        <f>IF((Metrics!$H$1-180+59)&lt;1,"",INDEX(Calc_Daily!$E$2:$E$2001,(Metrics!$H$1-180+59)))</f>
        <v>0</v>
      </c>
      <c r="F60">
        <f>IF((Metrics!$H$1-180+59)&lt;1,"",INDEX(Calc_Daily!$H$2:$H$2001,(Metrics!$H$1-180+59)))</f>
        <v>0</v>
      </c>
      <c r="G60">
        <f>IF((Metrics!$H$1-180+59)&lt;1,"",INDEX(Calc_Daily!$I$2:$I$2001,(Metrics!$H$1-180+59)))</f>
        <v>0</v>
      </c>
      <c r="H60">
        <f>IF((Metrics!$H$1-180+59)&lt;1,"",INDEX(Calc_Daily!$J$2:$J$2001,(Metrics!$H$1-180+59)))</f>
        <v>0</v>
      </c>
      <c r="I60">
        <f>IF((Metrics!$H$1-180+59)&lt;1,"",INDEX(Calc_Daily!$K$2:$K$2001,(Metrics!$H$1-180+59)))</f>
        <v>0</v>
      </c>
      <c r="J60">
        <f>IF((Metrics!$H$1-180+59)&lt;1,"",INDEX(Calc_Daily!$N$2:$N$2001,(Metrics!$H$1-180+59)))</f>
        <v>0</v>
      </c>
      <c r="K60">
        <f>IF((Metrics!$H$1-180+59)&lt;1,"",70)</f>
        <v>0</v>
      </c>
      <c r="L60">
        <f>IF((Metrics!$H$1-180+59)&lt;1,"",30)</f>
        <v>0</v>
      </c>
      <c r="M60">
        <f>IF((Metrics!$H$1-180+59)&lt;1,"",INDEX(Calc_Daily!$Q$2:$Q$2001,(Metrics!$H$1-180+59)))</f>
        <v>0</v>
      </c>
      <c r="N60">
        <f>IF((Metrics!$H$1-180+59)&lt;1,"",INDEX(Calc_Daily!$R$2:$R$2001,(Metrics!$H$1-180+59)))</f>
        <v>0</v>
      </c>
      <c r="O60">
        <f>IF((Metrics!$H$1-180+59)&lt;1,"",INDEX(Calc_Daily!$S$2:$S$2001,(Metrics!$H$1-180+59)))</f>
        <v>0</v>
      </c>
      <c r="P60">
        <f>IF((Metrics!$H$1-180+59)&lt;1,"",INDEX(Calc_Daily!$AM$2:$AM$2001,(Metrics!$H$1-180+59)))</f>
        <v>0</v>
      </c>
      <c r="Q60">
        <f>IF((Metrics!$H$1-180+59)&lt;1,"",INDEX(Calc_Daily!$AK$2:$AK$2001,(Metrics!$H$1-180+59)))</f>
        <v>0</v>
      </c>
      <c r="R60">
        <f>IF((Metrics!$H$1-180+59)&lt;1,"",INDEX(Calc_Daily!$AN$2:$AN$2001,(Metrics!$H$1-180+59)))</f>
        <v>0</v>
      </c>
      <c r="S60">
        <f>IF((Metrics!$H$1-180+59)&lt;1,"",INDEX(Calc_Daily!$AD$2:$AD$2001,(Metrics!$H$1-180+59)))</f>
        <v>0</v>
      </c>
      <c r="T60">
        <f>IF((Metrics!$H$1-180+59)&lt;1,"",INDEX(Calc_Daily!$AT$2:$AT$2001,(Metrics!$H$1-180+59)))</f>
        <v>0</v>
      </c>
      <c r="U60">
        <f>IF((Metrics!$H$1-180+59)&lt;1,"",INDEX(Calc_Daily!$AQ$2:$AQ$2001,(Metrics!$H$1-180+59)))</f>
        <v>0</v>
      </c>
      <c r="V60">
        <f>IF((Metrics!$H$1-180+59)&lt;1,"",INDEX(Calc_Daily!$AR$2:$AR$2001,(Metrics!$H$1-180+59)))</f>
        <v>0</v>
      </c>
    </row>
    <row r="61" spans="1:22">
      <c r="A61" s="27">
        <f>IF((Metrics!$H$1-180+60)&lt;1,"",INDEX(Calc_Daily!$A$2:$A$2001,(Metrics!$H$1-180+60)))</f>
        <v>0</v>
      </c>
      <c r="B61">
        <f>IF((Metrics!$H$1-180+60)&lt;1,"",INDEX(Calc_Daily!$B$2:$B$2001,(Metrics!$H$1-180+60)))</f>
        <v>0</v>
      </c>
      <c r="C61">
        <f>IF((Metrics!$H$1-180+60)&lt;1,"",INDEX(Calc_Daily!$C$2:$C$2001,(Metrics!$H$1-180+60)))</f>
        <v>0</v>
      </c>
      <c r="D61">
        <f>IF((Metrics!$H$1-180+60)&lt;1,"",INDEX(Calc_Daily!$D$2:$D$2001,(Metrics!$H$1-180+60)))</f>
        <v>0</v>
      </c>
      <c r="E61">
        <f>IF((Metrics!$H$1-180+60)&lt;1,"",INDEX(Calc_Daily!$E$2:$E$2001,(Metrics!$H$1-180+60)))</f>
        <v>0</v>
      </c>
      <c r="F61">
        <f>IF((Metrics!$H$1-180+60)&lt;1,"",INDEX(Calc_Daily!$H$2:$H$2001,(Metrics!$H$1-180+60)))</f>
        <v>0</v>
      </c>
      <c r="G61">
        <f>IF((Metrics!$H$1-180+60)&lt;1,"",INDEX(Calc_Daily!$I$2:$I$2001,(Metrics!$H$1-180+60)))</f>
        <v>0</v>
      </c>
      <c r="H61">
        <f>IF((Metrics!$H$1-180+60)&lt;1,"",INDEX(Calc_Daily!$J$2:$J$2001,(Metrics!$H$1-180+60)))</f>
        <v>0</v>
      </c>
      <c r="I61">
        <f>IF((Metrics!$H$1-180+60)&lt;1,"",INDEX(Calc_Daily!$K$2:$K$2001,(Metrics!$H$1-180+60)))</f>
        <v>0</v>
      </c>
      <c r="J61">
        <f>IF((Metrics!$H$1-180+60)&lt;1,"",INDEX(Calc_Daily!$N$2:$N$2001,(Metrics!$H$1-180+60)))</f>
        <v>0</v>
      </c>
      <c r="K61">
        <f>IF((Metrics!$H$1-180+60)&lt;1,"",70)</f>
        <v>0</v>
      </c>
      <c r="L61">
        <f>IF((Metrics!$H$1-180+60)&lt;1,"",30)</f>
        <v>0</v>
      </c>
      <c r="M61">
        <f>IF((Metrics!$H$1-180+60)&lt;1,"",INDEX(Calc_Daily!$Q$2:$Q$2001,(Metrics!$H$1-180+60)))</f>
        <v>0</v>
      </c>
      <c r="N61">
        <f>IF((Metrics!$H$1-180+60)&lt;1,"",INDEX(Calc_Daily!$R$2:$R$2001,(Metrics!$H$1-180+60)))</f>
        <v>0</v>
      </c>
      <c r="O61">
        <f>IF((Metrics!$H$1-180+60)&lt;1,"",INDEX(Calc_Daily!$S$2:$S$2001,(Metrics!$H$1-180+60)))</f>
        <v>0</v>
      </c>
      <c r="P61">
        <f>IF((Metrics!$H$1-180+60)&lt;1,"",INDEX(Calc_Daily!$AM$2:$AM$2001,(Metrics!$H$1-180+60)))</f>
        <v>0</v>
      </c>
      <c r="Q61">
        <f>IF((Metrics!$H$1-180+60)&lt;1,"",INDEX(Calc_Daily!$AK$2:$AK$2001,(Metrics!$H$1-180+60)))</f>
        <v>0</v>
      </c>
      <c r="R61">
        <f>IF((Metrics!$H$1-180+60)&lt;1,"",INDEX(Calc_Daily!$AN$2:$AN$2001,(Metrics!$H$1-180+60)))</f>
        <v>0</v>
      </c>
      <c r="S61">
        <f>IF((Metrics!$H$1-180+60)&lt;1,"",INDEX(Calc_Daily!$AD$2:$AD$2001,(Metrics!$H$1-180+60)))</f>
        <v>0</v>
      </c>
      <c r="T61">
        <f>IF((Metrics!$H$1-180+60)&lt;1,"",INDEX(Calc_Daily!$AT$2:$AT$2001,(Metrics!$H$1-180+60)))</f>
        <v>0</v>
      </c>
      <c r="U61">
        <f>IF((Metrics!$H$1-180+60)&lt;1,"",INDEX(Calc_Daily!$AQ$2:$AQ$2001,(Metrics!$H$1-180+60)))</f>
        <v>0</v>
      </c>
      <c r="V61">
        <f>IF((Metrics!$H$1-180+60)&lt;1,"",INDEX(Calc_Daily!$AR$2:$AR$2001,(Metrics!$H$1-180+60)))</f>
        <v>0</v>
      </c>
    </row>
    <row r="62" spans="1:22">
      <c r="A62" s="27">
        <f>IF((Metrics!$H$1-180+61)&lt;1,"",INDEX(Calc_Daily!$A$2:$A$2001,(Metrics!$H$1-180+61)))</f>
        <v>0</v>
      </c>
      <c r="B62">
        <f>IF((Metrics!$H$1-180+61)&lt;1,"",INDEX(Calc_Daily!$B$2:$B$2001,(Metrics!$H$1-180+61)))</f>
        <v>0</v>
      </c>
      <c r="C62">
        <f>IF((Metrics!$H$1-180+61)&lt;1,"",INDEX(Calc_Daily!$C$2:$C$2001,(Metrics!$H$1-180+61)))</f>
        <v>0</v>
      </c>
      <c r="D62">
        <f>IF((Metrics!$H$1-180+61)&lt;1,"",INDEX(Calc_Daily!$D$2:$D$2001,(Metrics!$H$1-180+61)))</f>
        <v>0</v>
      </c>
      <c r="E62">
        <f>IF((Metrics!$H$1-180+61)&lt;1,"",INDEX(Calc_Daily!$E$2:$E$2001,(Metrics!$H$1-180+61)))</f>
        <v>0</v>
      </c>
      <c r="F62">
        <f>IF((Metrics!$H$1-180+61)&lt;1,"",INDEX(Calc_Daily!$H$2:$H$2001,(Metrics!$H$1-180+61)))</f>
        <v>0</v>
      </c>
      <c r="G62">
        <f>IF((Metrics!$H$1-180+61)&lt;1,"",INDEX(Calc_Daily!$I$2:$I$2001,(Metrics!$H$1-180+61)))</f>
        <v>0</v>
      </c>
      <c r="H62">
        <f>IF((Metrics!$H$1-180+61)&lt;1,"",INDEX(Calc_Daily!$J$2:$J$2001,(Metrics!$H$1-180+61)))</f>
        <v>0</v>
      </c>
      <c r="I62">
        <f>IF((Metrics!$H$1-180+61)&lt;1,"",INDEX(Calc_Daily!$K$2:$K$2001,(Metrics!$H$1-180+61)))</f>
        <v>0</v>
      </c>
      <c r="J62">
        <f>IF((Metrics!$H$1-180+61)&lt;1,"",INDEX(Calc_Daily!$N$2:$N$2001,(Metrics!$H$1-180+61)))</f>
        <v>0</v>
      </c>
      <c r="K62">
        <f>IF((Metrics!$H$1-180+61)&lt;1,"",70)</f>
        <v>0</v>
      </c>
      <c r="L62">
        <f>IF((Metrics!$H$1-180+61)&lt;1,"",30)</f>
        <v>0</v>
      </c>
      <c r="M62">
        <f>IF((Metrics!$H$1-180+61)&lt;1,"",INDEX(Calc_Daily!$Q$2:$Q$2001,(Metrics!$H$1-180+61)))</f>
        <v>0</v>
      </c>
      <c r="N62">
        <f>IF((Metrics!$H$1-180+61)&lt;1,"",INDEX(Calc_Daily!$R$2:$R$2001,(Metrics!$H$1-180+61)))</f>
        <v>0</v>
      </c>
      <c r="O62">
        <f>IF((Metrics!$H$1-180+61)&lt;1,"",INDEX(Calc_Daily!$S$2:$S$2001,(Metrics!$H$1-180+61)))</f>
        <v>0</v>
      </c>
      <c r="P62">
        <f>IF((Metrics!$H$1-180+61)&lt;1,"",INDEX(Calc_Daily!$AM$2:$AM$2001,(Metrics!$H$1-180+61)))</f>
        <v>0</v>
      </c>
      <c r="Q62">
        <f>IF((Metrics!$H$1-180+61)&lt;1,"",INDEX(Calc_Daily!$AK$2:$AK$2001,(Metrics!$H$1-180+61)))</f>
        <v>0</v>
      </c>
      <c r="R62">
        <f>IF((Metrics!$H$1-180+61)&lt;1,"",INDEX(Calc_Daily!$AN$2:$AN$2001,(Metrics!$H$1-180+61)))</f>
        <v>0</v>
      </c>
      <c r="S62">
        <f>IF((Metrics!$H$1-180+61)&lt;1,"",INDEX(Calc_Daily!$AD$2:$AD$2001,(Metrics!$H$1-180+61)))</f>
        <v>0</v>
      </c>
      <c r="T62">
        <f>IF((Metrics!$H$1-180+61)&lt;1,"",INDEX(Calc_Daily!$AT$2:$AT$2001,(Metrics!$H$1-180+61)))</f>
        <v>0</v>
      </c>
      <c r="U62">
        <f>IF((Metrics!$H$1-180+61)&lt;1,"",INDEX(Calc_Daily!$AQ$2:$AQ$2001,(Metrics!$H$1-180+61)))</f>
        <v>0</v>
      </c>
      <c r="V62">
        <f>IF((Metrics!$H$1-180+61)&lt;1,"",INDEX(Calc_Daily!$AR$2:$AR$2001,(Metrics!$H$1-180+61)))</f>
        <v>0</v>
      </c>
    </row>
    <row r="63" spans="1:22">
      <c r="A63" s="27">
        <f>IF((Metrics!$H$1-180+62)&lt;1,"",INDEX(Calc_Daily!$A$2:$A$2001,(Metrics!$H$1-180+62)))</f>
        <v>0</v>
      </c>
      <c r="B63">
        <f>IF((Metrics!$H$1-180+62)&lt;1,"",INDEX(Calc_Daily!$B$2:$B$2001,(Metrics!$H$1-180+62)))</f>
        <v>0</v>
      </c>
      <c r="C63">
        <f>IF((Metrics!$H$1-180+62)&lt;1,"",INDEX(Calc_Daily!$C$2:$C$2001,(Metrics!$H$1-180+62)))</f>
        <v>0</v>
      </c>
      <c r="D63">
        <f>IF((Metrics!$H$1-180+62)&lt;1,"",INDEX(Calc_Daily!$D$2:$D$2001,(Metrics!$H$1-180+62)))</f>
        <v>0</v>
      </c>
      <c r="E63">
        <f>IF((Metrics!$H$1-180+62)&lt;1,"",INDEX(Calc_Daily!$E$2:$E$2001,(Metrics!$H$1-180+62)))</f>
        <v>0</v>
      </c>
      <c r="F63">
        <f>IF((Metrics!$H$1-180+62)&lt;1,"",INDEX(Calc_Daily!$H$2:$H$2001,(Metrics!$H$1-180+62)))</f>
        <v>0</v>
      </c>
      <c r="G63">
        <f>IF((Metrics!$H$1-180+62)&lt;1,"",INDEX(Calc_Daily!$I$2:$I$2001,(Metrics!$H$1-180+62)))</f>
        <v>0</v>
      </c>
      <c r="H63">
        <f>IF((Metrics!$H$1-180+62)&lt;1,"",INDEX(Calc_Daily!$J$2:$J$2001,(Metrics!$H$1-180+62)))</f>
        <v>0</v>
      </c>
      <c r="I63">
        <f>IF((Metrics!$H$1-180+62)&lt;1,"",INDEX(Calc_Daily!$K$2:$K$2001,(Metrics!$H$1-180+62)))</f>
        <v>0</v>
      </c>
      <c r="J63">
        <f>IF((Metrics!$H$1-180+62)&lt;1,"",INDEX(Calc_Daily!$N$2:$N$2001,(Metrics!$H$1-180+62)))</f>
        <v>0</v>
      </c>
      <c r="K63">
        <f>IF((Metrics!$H$1-180+62)&lt;1,"",70)</f>
        <v>0</v>
      </c>
      <c r="L63">
        <f>IF((Metrics!$H$1-180+62)&lt;1,"",30)</f>
        <v>0</v>
      </c>
      <c r="M63">
        <f>IF((Metrics!$H$1-180+62)&lt;1,"",INDEX(Calc_Daily!$Q$2:$Q$2001,(Metrics!$H$1-180+62)))</f>
        <v>0</v>
      </c>
      <c r="N63">
        <f>IF((Metrics!$H$1-180+62)&lt;1,"",INDEX(Calc_Daily!$R$2:$R$2001,(Metrics!$H$1-180+62)))</f>
        <v>0</v>
      </c>
      <c r="O63">
        <f>IF((Metrics!$H$1-180+62)&lt;1,"",INDEX(Calc_Daily!$S$2:$S$2001,(Metrics!$H$1-180+62)))</f>
        <v>0</v>
      </c>
      <c r="P63">
        <f>IF((Metrics!$H$1-180+62)&lt;1,"",INDEX(Calc_Daily!$AM$2:$AM$2001,(Metrics!$H$1-180+62)))</f>
        <v>0</v>
      </c>
      <c r="Q63">
        <f>IF((Metrics!$H$1-180+62)&lt;1,"",INDEX(Calc_Daily!$AK$2:$AK$2001,(Metrics!$H$1-180+62)))</f>
        <v>0</v>
      </c>
      <c r="R63">
        <f>IF((Metrics!$H$1-180+62)&lt;1,"",INDEX(Calc_Daily!$AN$2:$AN$2001,(Metrics!$H$1-180+62)))</f>
        <v>0</v>
      </c>
      <c r="S63">
        <f>IF((Metrics!$H$1-180+62)&lt;1,"",INDEX(Calc_Daily!$AD$2:$AD$2001,(Metrics!$H$1-180+62)))</f>
        <v>0</v>
      </c>
      <c r="T63">
        <f>IF((Metrics!$H$1-180+62)&lt;1,"",INDEX(Calc_Daily!$AT$2:$AT$2001,(Metrics!$H$1-180+62)))</f>
        <v>0</v>
      </c>
      <c r="U63">
        <f>IF((Metrics!$H$1-180+62)&lt;1,"",INDEX(Calc_Daily!$AQ$2:$AQ$2001,(Metrics!$H$1-180+62)))</f>
        <v>0</v>
      </c>
      <c r="V63">
        <f>IF((Metrics!$H$1-180+62)&lt;1,"",INDEX(Calc_Daily!$AR$2:$AR$2001,(Metrics!$H$1-180+62)))</f>
        <v>0</v>
      </c>
    </row>
    <row r="64" spans="1:22">
      <c r="A64" s="27">
        <f>IF((Metrics!$H$1-180+63)&lt;1,"",INDEX(Calc_Daily!$A$2:$A$2001,(Metrics!$H$1-180+63)))</f>
        <v>0</v>
      </c>
      <c r="B64">
        <f>IF((Metrics!$H$1-180+63)&lt;1,"",INDEX(Calc_Daily!$B$2:$B$2001,(Metrics!$H$1-180+63)))</f>
        <v>0</v>
      </c>
      <c r="C64">
        <f>IF((Metrics!$H$1-180+63)&lt;1,"",INDEX(Calc_Daily!$C$2:$C$2001,(Metrics!$H$1-180+63)))</f>
        <v>0</v>
      </c>
      <c r="D64">
        <f>IF((Metrics!$H$1-180+63)&lt;1,"",INDEX(Calc_Daily!$D$2:$D$2001,(Metrics!$H$1-180+63)))</f>
        <v>0</v>
      </c>
      <c r="E64">
        <f>IF((Metrics!$H$1-180+63)&lt;1,"",INDEX(Calc_Daily!$E$2:$E$2001,(Metrics!$H$1-180+63)))</f>
        <v>0</v>
      </c>
      <c r="F64">
        <f>IF((Metrics!$H$1-180+63)&lt;1,"",INDEX(Calc_Daily!$H$2:$H$2001,(Metrics!$H$1-180+63)))</f>
        <v>0</v>
      </c>
      <c r="G64">
        <f>IF((Metrics!$H$1-180+63)&lt;1,"",INDEX(Calc_Daily!$I$2:$I$2001,(Metrics!$H$1-180+63)))</f>
        <v>0</v>
      </c>
      <c r="H64">
        <f>IF((Metrics!$H$1-180+63)&lt;1,"",INDEX(Calc_Daily!$J$2:$J$2001,(Metrics!$H$1-180+63)))</f>
        <v>0</v>
      </c>
      <c r="I64">
        <f>IF((Metrics!$H$1-180+63)&lt;1,"",INDEX(Calc_Daily!$K$2:$K$2001,(Metrics!$H$1-180+63)))</f>
        <v>0</v>
      </c>
      <c r="J64">
        <f>IF((Metrics!$H$1-180+63)&lt;1,"",INDEX(Calc_Daily!$N$2:$N$2001,(Metrics!$H$1-180+63)))</f>
        <v>0</v>
      </c>
      <c r="K64">
        <f>IF((Metrics!$H$1-180+63)&lt;1,"",70)</f>
        <v>0</v>
      </c>
      <c r="L64">
        <f>IF((Metrics!$H$1-180+63)&lt;1,"",30)</f>
        <v>0</v>
      </c>
      <c r="M64">
        <f>IF((Metrics!$H$1-180+63)&lt;1,"",INDEX(Calc_Daily!$Q$2:$Q$2001,(Metrics!$H$1-180+63)))</f>
        <v>0</v>
      </c>
      <c r="N64">
        <f>IF((Metrics!$H$1-180+63)&lt;1,"",INDEX(Calc_Daily!$R$2:$R$2001,(Metrics!$H$1-180+63)))</f>
        <v>0</v>
      </c>
      <c r="O64">
        <f>IF((Metrics!$H$1-180+63)&lt;1,"",INDEX(Calc_Daily!$S$2:$S$2001,(Metrics!$H$1-180+63)))</f>
        <v>0</v>
      </c>
      <c r="P64">
        <f>IF((Metrics!$H$1-180+63)&lt;1,"",INDEX(Calc_Daily!$AM$2:$AM$2001,(Metrics!$H$1-180+63)))</f>
        <v>0</v>
      </c>
      <c r="Q64">
        <f>IF((Metrics!$H$1-180+63)&lt;1,"",INDEX(Calc_Daily!$AK$2:$AK$2001,(Metrics!$H$1-180+63)))</f>
        <v>0</v>
      </c>
      <c r="R64">
        <f>IF((Metrics!$H$1-180+63)&lt;1,"",INDEX(Calc_Daily!$AN$2:$AN$2001,(Metrics!$H$1-180+63)))</f>
        <v>0</v>
      </c>
      <c r="S64">
        <f>IF((Metrics!$H$1-180+63)&lt;1,"",INDEX(Calc_Daily!$AD$2:$AD$2001,(Metrics!$H$1-180+63)))</f>
        <v>0</v>
      </c>
      <c r="T64">
        <f>IF((Metrics!$H$1-180+63)&lt;1,"",INDEX(Calc_Daily!$AT$2:$AT$2001,(Metrics!$H$1-180+63)))</f>
        <v>0</v>
      </c>
      <c r="U64">
        <f>IF((Metrics!$H$1-180+63)&lt;1,"",INDEX(Calc_Daily!$AQ$2:$AQ$2001,(Metrics!$H$1-180+63)))</f>
        <v>0</v>
      </c>
      <c r="V64">
        <f>IF((Metrics!$H$1-180+63)&lt;1,"",INDEX(Calc_Daily!$AR$2:$AR$2001,(Metrics!$H$1-180+63)))</f>
        <v>0</v>
      </c>
    </row>
    <row r="65" spans="1:22">
      <c r="A65" s="27">
        <f>IF((Metrics!$H$1-180+64)&lt;1,"",INDEX(Calc_Daily!$A$2:$A$2001,(Metrics!$H$1-180+64)))</f>
        <v>0</v>
      </c>
      <c r="B65">
        <f>IF((Metrics!$H$1-180+64)&lt;1,"",INDEX(Calc_Daily!$B$2:$B$2001,(Metrics!$H$1-180+64)))</f>
        <v>0</v>
      </c>
      <c r="C65">
        <f>IF((Metrics!$H$1-180+64)&lt;1,"",INDEX(Calc_Daily!$C$2:$C$2001,(Metrics!$H$1-180+64)))</f>
        <v>0</v>
      </c>
      <c r="D65">
        <f>IF((Metrics!$H$1-180+64)&lt;1,"",INDEX(Calc_Daily!$D$2:$D$2001,(Metrics!$H$1-180+64)))</f>
        <v>0</v>
      </c>
      <c r="E65">
        <f>IF((Metrics!$H$1-180+64)&lt;1,"",INDEX(Calc_Daily!$E$2:$E$2001,(Metrics!$H$1-180+64)))</f>
        <v>0</v>
      </c>
      <c r="F65">
        <f>IF((Metrics!$H$1-180+64)&lt;1,"",INDEX(Calc_Daily!$H$2:$H$2001,(Metrics!$H$1-180+64)))</f>
        <v>0</v>
      </c>
      <c r="G65">
        <f>IF((Metrics!$H$1-180+64)&lt;1,"",INDEX(Calc_Daily!$I$2:$I$2001,(Metrics!$H$1-180+64)))</f>
        <v>0</v>
      </c>
      <c r="H65">
        <f>IF((Metrics!$H$1-180+64)&lt;1,"",INDEX(Calc_Daily!$J$2:$J$2001,(Metrics!$H$1-180+64)))</f>
        <v>0</v>
      </c>
      <c r="I65">
        <f>IF((Metrics!$H$1-180+64)&lt;1,"",INDEX(Calc_Daily!$K$2:$K$2001,(Metrics!$H$1-180+64)))</f>
        <v>0</v>
      </c>
      <c r="J65">
        <f>IF((Metrics!$H$1-180+64)&lt;1,"",INDEX(Calc_Daily!$N$2:$N$2001,(Metrics!$H$1-180+64)))</f>
        <v>0</v>
      </c>
      <c r="K65">
        <f>IF((Metrics!$H$1-180+64)&lt;1,"",70)</f>
        <v>0</v>
      </c>
      <c r="L65">
        <f>IF((Metrics!$H$1-180+64)&lt;1,"",30)</f>
        <v>0</v>
      </c>
      <c r="M65">
        <f>IF((Metrics!$H$1-180+64)&lt;1,"",INDEX(Calc_Daily!$Q$2:$Q$2001,(Metrics!$H$1-180+64)))</f>
        <v>0</v>
      </c>
      <c r="N65">
        <f>IF((Metrics!$H$1-180+64)&lt;1,"",INDEX(Calc_Daily!$R$2:$R$2001,(Metrics!$H$1-180+64)))</f>
        <v>0</v>
      </c>
      <c r="O65">
        <f>IF((Metrics!$H$1-180+64)&lt;1,"",INDEX(Calc_Daily!$S$2:$S$2001,(Metrics!$H$1-180+64)))</f>
        <v>0</v>
      </c>
      <c r="P65">
        <f>IF((Metrics!$H$1-180+64)&lt;1,"",INDEX(Calc_Daily!$AM$2:$AM$2001,(Metrics!$H$1-180+64)))</f>
        <v>0</v>
      </c>
      <c r="Q65">
        <f>IF((Metrics!$H$1-180+64)&lt;1,"",INDEX(Calc_Daily!$AK$2:$AK$2001,(Metrics!$H$1-180+64)))</f>
        <v>0</v>
      </c>
      <c r="R65">
        <f>IF((Metrics!$H$1-180+64)&lt;1,"",INDEX(Calc_Daily!$AN$2:$AN$2001,(Metrics!$H$1-180+64)))</f>
        <v>0</v>
      </c>
      <c r="S65">
        <f>IF((Metrics!$H$1-180+64)&lt;1,"",INDEX(Calc_Daily!$AD$2:$AD$2001,(Metrics!$H$1-180+64)))</f>
        <v>0</v>
      </c>
      <c r="T65">
        <f>IF((Metrics!$H$1-180+64)&lt;1,"",INDEX(Calc_Daily!$AT$2:$AT$2001,(Metrics!$H$1-180+64)))</f>
        <v>0</v>
      </c>
      <c r="U65">
        <f>IF((Metrics!$H$1-180+64)&lt;1,"",INDEX(Calc_Daily!$AQ$2:$AQ$2001,(Metrics!$H$1-180+64)))</f>
        <v>0</v>
      </c>
      <c r="V65">
        <f>IF((Metrics!$H$1-180+64)&lt;1,"",INDEX(Calc_Daily!$AR$2:$AR$2001,(Metrics!$H$1-180+64)))</f>
        <v>0</v>
      </c>
    </row>
    <row r="66" spans="1:22">
      <c r="A66" s="27">
        <f>IF((Metrics!$H$1-180+65)&lt;1,"",INDEX(Calc_Daily!$A$2:$A$2001,(Metrics!$H$1-180+65)))</f>
        <v>0</v>
      </c>
      <c r="B66">
        <f>IF((Metrics!$H$1-180+65)&lt;1,"",INDEX(Calc_Daily!$B$2:$B$2001,(Metrics!$H$1-180+65)))</f>
        <v>0</v>
      </c>
      <c r="C66">
        <f>IF((Metrics!$H$1-180+65)&lt;1,"",INDEX(Calc_Daily!$C$2:$C$2001,(Metrics!$H$1-180+65)))</f>
        <v>0</v>
      </c>
      <c r="D66">
        <f>IF((Metrics!$H$1-180+65)&lt;1,"",INDEX(Calc_Daily!$D$2:$D$2001,(Metrics!$H$1-180+65)))</f>
        <v>0</v>
      </c>
      <c r="E66">
        <f>IF((Metrics!$H$1-180+65)&lt;1,"",INDEX(Calc_Daily!$E$2:$E$2001,(Metrics!$H$1-180+65)))</f>
        <v>0</v>
      </c>
      <c r="F66">
        <f>IF((Metrics!$H$1-180+65)&lt;1,"",INDEX(Calc_Daily!$H$2:$H$2001,(Metrics!$H$1-180+65)))</f>
        <v>0</v>
      </c>
      <c r="G66">
        <f>IF((Metrics!$H$1-180+65)&lt;1,"",INDEX(Calc_Daily!$I$2:$I$2001,(Metrics!$H$1-180+65)))</f>
        <v>0</v>
      </c>
      <c r="H66">
        <f>IF((Metrics!$H$1-180+65)&lt;1,"",INDEX(Calc_Daily!$J$2:$J$2001,(Metrics!$H$1-180+65)))</f>
        <v>0</v>
      </c>
      <c r="I66">
        <f>IF((Metrics!$H$1-180+65)&lt;1,"",INDEX(Calc_Daily!$K$2:$K$2001,(Metrics!$H$1-180+65)))</f>
        <v>0</v>
      </c>
      <c r="J66">
        <f>IF((Metrics!$H$1-180+65)&lt;1,"",INDEX(Calc_Daily!$N$2:$N$2001,(Metrics!$H$1-180+65)))</f>
        <v>0</v>
      </c>
      <c r="K66">
        <f>IF((Metrics!$H$1-180+65)&lt;1,"",70)</f>
        <v>0</v>
      </c>
      <c r="L66">
        <f>IF((Metrics!$H$1-180+65)&lt;1,"",30)</f>
        <v>0</v>
      </c>
      <c r="M66">
        <f>IF((Metrics!$H$1-180+65)&lt;1,"",INDEX(Calc_Daily!$Q$2:$Q$2001,(Metrics!$H$1-180+65)))</f>
        <v>0</v>
      </c>
      <c r="N66">
        <f>IF((Metrics!$H$1-180+65)&lt;1,"",INDEX(Calc_Daily!$R$2:$R$2001,(Metrics!$H$1-180+65)))</f>
        <v>0</v>
      </c>
      <c r="O66">
        <f>IF((Metrics!$H$1-180+65)&lt;1,"",INDEX(Calc_Daily!$S$2:$S$2001,(Metrics!$H$1-180+65)))</f>
        <v>0</v>
      </c>
      <c r="P66">
        <f>IF((Metrics!$H$1-180+65)&lt;1,"",INDEX(Calc_Daily!$AM$2:$AM$2001,(Metrics!$H$1-180+65)))</f>
        <v>0</v>
      </c>
      <c r="Q66">
        <f>IF((Metrics!$H$1-180+65)&lt;1,"",INDEX(Calc_Daily!$AK$2:$AK$2001,(Metrics!$H$1-180+65)))</f>
        <v>0</v>
      </c>
      <c r="R66">
        <f>IF((Metrics!$H$1-180+65)&lt;1,"",INDEX(Calc_Daily!$AN$2:$AN$2001,(Metrics!$H$1-180+65)))</f>
        <v>0</v>
      </c>
      <c r="S66">
        <f>IF((Metrics!$H$1-180+65)&lt;1,"",INDEX(Calc_Daily!$AD$2:$AD$2001,(Metrics!$H$1-180+65)))</f>
        <v>0</v>
      </c>
      <c r="T66">
        <f>IF((Metrics!$H$1-180+65)&lt;1,"",INDEX(Calc_Daily!$AT$2:$AT$2001,(Metrics!$H$1-180+65)))</f>
        <v>0</v>
      </c>
      <c r="U66">
        <f>IF((Metrics!$H$1-180+65)&lt;1,"",INDEX(Calc_Daily!$AQ$2:$AQ$2001,(Metrics!$H$1-180+65)))</f>
        <v>0</v>
      </c>
      <c r="V66">
        <f>IF((Metrics!$H$1-180+65)&lt;1,"",INDEX(Calc_Daily!$AR$2:$AR$2001,(Metrics!$H$1-180+65)))</f>
        <v>0</v>
      </c>
    </row>
    <row r="67" spans="1:22">
      <c r="A67" s="27">
        <f>IF((Metrics!$H$1-180+66)&lt;1,"",INDEX(Calc_Daily!$A$2:$A$2001,(Metrics!$H$1-180+66)))</f>
        <v>0</v>
      </c>
      <c r="B67">
        <f>IF((Metrics!$H$1-180+66)&lt;1,"",INDEX(Calc_Daily!$B$2:$B$2001,(Metrics!$H$1-180+66)))</f>
        <v>0</v>
      </c>
      <c r="C67">
        <f>IF((Metrics!$H$1-180+66)&lt;1,"",INDEX(Calc_Daily!$C$2:$C$2001,(Metrics!$H$1-180+66)))</f>
        <v>0</v>
      </c>
      <c r="D67">
        <f>IF((Metrics!$H$1-180+66)&lt;1,"",INDEX(Calc_Daily!$D$2:$D$2001,(Metrics!$H$1-180+66)))</f>
        <v>0</v>
      </c>
      <c r="E67">
        <f>IF((Metrics!$H$1-180+66)&lt;1,"",INDEX(Calc_Daily!$E$2:$E$2001,(Metrics!$H$1-180+66)))</f>
        <v>0</v>
      </c>
      <c r="F67">
        <f>IF((Metrics!$H$1-180+66)&lt;1,"",INDEX(Calc_Daily!$H$2:$H$2001,(Metrics!$H$1-180+66)))</f>
        <v>0</v>
      </c>
      <c r="G67">
        <f>IF((Metrics!$H$1-180+66)&lt;1,"",INDEX(Calc_Daily!$I$2:$I$2001,(Metrics!$H$1-180+66)))</f>
        <v>0</v>
      </c>
      <c r="H67">
        <f>IF((Metrics!$H$1-180+66)&lt;1,"",INDEX(Calc_Daily!$J$2:$J$2001,(Metrics!$H$1-180+66)))</f>
        <v>0</v>
      </c>
      <c r="I67">
        <f>IF((Metrics!$H$1-180+66)&lt;1,"",INDEX(Calc_Daily!$K$2:$K$2001,(Metrics!$H$1-180+66)))</f>
        <v>0</v>
      </c>
      <c r="J67">
        <f>IF((Metrics!$H$1-180+66)&lt;1,"",INDEX(Calc_Daily!$N$2:$N$2001,(Metrics!$H$1-180+66)))</f>
        <v>0</v>
      </c>
      <c r="K67">
        <f>IF((Metrics!$H$1-180+66)&lt;1,"",70)</f>
        <v>0</v>
      </c>
      <c r="L67">
        <f>IF((Metrics!$H$1-180+66)&lt;1,"",30)</f>
        <v>0</v>
      </c>
      <c r="M67">
        <f>IF((Metrics!$H$1-180+66)&lt;1,"",INDEX(Calc_Daily!$Q$2:$Q$2001,(Metrics!$H$1-180+66)))</f>
        <v>0</v>
      </c>
      <c r="N67">
        <f>IF((Metrics!$H$1-180+66)&lt;1,"",INDEX(Calc_Daily!$R$2:$R$2001,(Metrics!$H$1-180+66)))</f>
        <v>0</v>
      </c>
      <c r="O67">
        <f>IF((Metrics!$H$1-180+66)&lt;1,"",INDEX(Calc_Daily!$S$2:$S$2001,(Metrics!$H$1-180+66)))</f>
        <v>0</v>
      </c>
      <c r="P67">
        <f>IF((Metrics!$H$1-180+66)&lt;1,"",INDEX(Calc_Daily!$AM$2:$AM$2001,(Metrics!$H$1-180+66)))</f>
        <v>0</v>
      </c>
      <c r="Q67">
        <f>IF((Metrics!$H$1-180+66)&lt;1,"",INDEX(Calc_Daily!$AK$2:$AK$2001,(Metrics!$H$1-180+66)))</f>
        <v>0</v>
      </c>
      <c r="R67">
        <f>IF((Metrics!$H$1-180+66)&lt;1,"",INDEX(Calc_Daily!$AN$2:$AN$2001,(Metrics!$H$1-180+66)))</f>
        <v>0</v>
      </c>
      <c r="S67">
        <f>IF((Metrics!$H$1-180+66)&lt;1,"",INDEX(Calc_Daily!$AD$2:$AD$2001,(Metrics!$H$1-180+66)))</f>
        <v>0</v>
      </c>
      <c r="T67">
        <f>IF((Metrics!$H$1-180+66)&lt;1,"",INDEX(Calc_Daily!$AT$2:$AT$2001,(Metrics!$H$1-180+66)))</f>
        <v>0</v>
      </c>
      <c r="U67">
        <f>IF((Metrics!$H$1-180+66)&lt;1,"",INDEX(Calc_Daily!$AQ$2:$AQ$2001,(Metrics!$H$1-180+66)))</f>
        <v>0</v>
      </c>
      <c r="V67">
        <f>IF((Metrics!$H$1-180+66)&lt;1,"",INDEX(Calc_Daily!$AR$2:$AR$2001,(Metrics!$H$1-180+66)))</f>
        <v>0</v>
      </c>
    </row>
    <row r="68" spans="1:22">
      <c r="A68" s="27">
        <f>IF((Metrics!$H$1-180+67)&lt;1,"",INDEX(Calc_Daily!$A$2:$A$2001,(Metrics!$H$1-180+67)))</f>
        <v>0</v>
      </c>
      <c r="B68">
        <f>IF((Metrics!$H$1-180+67)&lt;1,"",INDEX(Calc_Daily!$B$2:$B$2001,(Metrics!$H$1-180+67)))</f>
        <v>0</v>
      </c>
      <c r="C68">
        <f>IF((Metrics!$H$1-180+67)&lt;1,"",INDEX(Calc_Daily!$C$2:$C$2001,(Metrics!$H$1-180+67)))</f>
        <v>0</v>
      </c>
      <c r="D68">
        <f>IF((Metrics!$H$1-180+67)&lt;1,"",INDEX(Calc_Daily!$D$2:$D$2001,(Metrics!$H$1-180+67)))</f>
        <v>0</v>
      </c>
      <c r="E68">
        <f>IF((Metrics!$H$1-180+67)&lt;1,"",INDEX(Calc_Daily!$E$2:$E$2001,(Metrics!$H$1-180+67)))</f>
        <v>0</v>
      </c>
      <c r="F68">
        <f>IF((Metrics!$H$1-180+67)&lt;1,"",INDEX(Calc_Daily!$H$2:$H$2001,(Metrics!$H$1-180+67)))</f>
        <v>0</v>
      </c>
      <c r="G68">
        <f>IF((Metrics!$H$1-180+67)&lt;1,"",INDEX(Calc_Daily!$I$2:$I$2001,(Metrics!$H$1-180+67)))</f>
        <v>0</v>
      </c>
      <c r="H68">
        <f>IF((Metrics!$H$1-180+67)&lt;1,"",INDEX(Calc_Daily!$J$2:$J$2001,(Metrics!$H$1-180+67)))</f>
        <v>0</v>
      </c>
      <c r="I68">
        <f>IF((Metrics!$H$1-180+67)&lt;1,"",INDEX(Calc_Daily!$K$2:$K$2001,(Metrics!$H$1-180+67)))</f>
        <v>0</v>
      </c>
      <c r="J68">
        <f>IF((Metrics!$H$1-180+67)&lt;1,"",INDEX(Calc_Daily!$N$2:$N$2001,(Metrics!$H$1-180+67)))</f>
        <v>0</v>
      </c>
      <c r="K68">
        <f>IF((Metrics!$H$1-180+67)&lt;1,"",70)</f>
        <v>0</v>
      </c>
      <c r="L68">
        <f>IF((Metrics!$H$1-180+67)&lt;1,"",30)</f>
        <v>0</v>
      </c>
      <c r="M68">
        <f>IF((Metrics!$H$1-180+67)&lt;1,"",INDEX(Calc_Daily!$Q$2:$Q$2001,(Metrics!$H$1-180+67)))</f>
        <v>0</v>
      </c>
      <c r="N68">
        <f>IF((Metrics!$H$1-180+67)&lt;1,"",INDEX(Calc_Daily!$R$2:$R$2001,(Metrics!$H$1-180+67)))</f>
        <v>0</v>
      </c>
      <c r="O68">
        <f>IF((Metrics!$H$1-180+67)&lt;1,"",INDEX(Calc_Daily!$S$2:$S$2001,(Metrics!$H$1-180+67)))</f>
        <v>0</v>
      </c>
      <c r="P68">
        <f>IF((Metrics!$H$1-180+67)&lt;1,"",INDEX(Calc_Daily!$AM$2:$AM$2001,(Metrics!$H$1-180+67)))</f>
        <v>0</v>
      </c>
      <c r="Q68">
        <f>IF((Metrics!$H$1-180+67)&lt;1,"",INDEX(Calc_Daily!$AK$2:$AK$2001,(Metrics!$H$1-180+67)))</f>
        <v>0</v>
      </c>
      <c r="R68">
        <f>IF((Metrics!$H$1-180+67)&lt;1,"",INDEX(Calc_Daily!$AN$2:$AN$2001,(Metrics!$H$1-180+67)))</f>
        <v>0</v>
      </c>
      <c r="S68">
        <f>IF((Metrics!$H$1-180+67)&lt;1,"",INDEX(Calc_Daily!$AD$2:$AD$2001,(Metrics!$H$1-180+67)))</f>
        <v>0</v>
      </c>
      <c r="T68">
        <f>IF((Metrics!$H$1-180+67)&lt;1,"",INDEX(Calc_Daily!$AT$2:$AT$2001,(Metrics!$H$1-180+67)))</f>
        <v>0</v>
      </c>
      <c r="U68">
        <f>IF((Metrics!$H$1-180+67)&lt;1,"",INDEX(Calc_Daily!$AQ$2:$AQ$2001,(Metrics!$H$1-180+67)))</f>
        <v>0</v>
      </c>
      <c r="V68">
        <f>IF((Metrics!$H$1-180+67)&lt;1,"",INDEX(Calc_Daily!$AR$2:$AR$2001,(Metrics!$H$1-180+67)))</f>
        <v>0</v>
      </c>
    </row>
    <row r="69" spans="1:22">
      <c r="A69" s="27">
        <f>IF((Metrics!$H$1-180+68)&lt;1,"",INDEX(Calc_Daily!$A$2:$A$2001,(Metrics!$H$1-180+68)))</f>
        <v>0</v>
      </c>
      <c r="B69">
        <f>IF((Metrics!$H$1-180+68)&lt;1,"",INDEX(Calc_Daily!$B$2:$B$2001,(Metrics!$H$1-180+68)))</f>
        <v>0</v>
      </c>
      <c r="C69">
        <f>IF((Metrics!$H$1-180+68)&lt;1,"",INDEX(Calc_Daily!$C$2:$C$2001,(Metrics!$H$1-180+68)))</f>
        <v>0</v>
      </c>
      <c r="D69">
        <f>IF((Metrics!$H$1-180+68)&lt;1,"",INDEX(Calc_Daily!$D$2:$D$2001,(Metrics!$H$1-180+68)))</f>
        <v>0</v>
      </c>
      <c r="E69">
        <f>IF((Metrics!$H$1-180+68)&lt;1,"",INDEX(Calc_Daily!$E$2:$E$2001,(Metrics!$H$1-180+68)))</f>
        <v>0</v>
      </c>
      <c r="F69">
        <f>IF((Metrics!$H$1-180+68)&lt;1,"",INDEX(Calc_Daily!$H$2:$H$2001,(Metrics!$H$1-180+68)))</f>
        <v>0</v>
      </c>
      <c r="G69">
        <f>IF((Metrics!$H$1-180+68)&lt;1,"",INDEX(Calc_Daily!$I$2:$I$2001,(Metrics!$H$1-180+68)))</f>
        <v>0</v>
      </c>
      <c r="H69">
        <f>IF((Metrics!$H$1-180+68)&lt;1,"",INDEX(Calc_Daily!$J$2:$J$2001,(Metrics!$H$1-180+68)))</f>
        <v>0</v>
      </c>
      <c r="I69">
        <f>IF((Metrics!$H$1-180+68)&lt;1,"",INDEX(Calc_Daily!$K$2:$K$2001,(Metrics!$H$1-180+68)))</f>
        <v>0</v>
      </c>
      <c r="J69">
        <f>IF((Metrics!$H$1-180+68)&lt;1,"",INDEX(Calc_Daily!$N$2:$N$2001,(Metrics!$H$1-180+68)))</f>
        <v>0</v>
      </c>
      <c r="K69">
        <f>IF((Metrics!$H$1-180+68)&lt;1,"",70)</f>
        <v>0</v>
      </c>
      <c r="L69">
        <f>IF((Metrics!$H$1-180+68)&lt;1,"",30)</f>
        <v>0</v>
      </c>
      <c r="M69">
        <f>IF((Metrics!$H$1-180+68)&lt;1,"",INDEX(Calc_Daily!$Q$2:$Q$2001,(Metrics!$H$1-180+68)))</f>
        <v>0</v>
      </c>
      <c r="N69">
        <f>IF((Metrics!$H$1-180+68)&lt;1,"",INDEX(Calc_Daily!$R$2:$R$2001,(Metrics!$H$1-180+68)))</f>
        <v>0</v>
      </c>
      <c r="O69">
        <f>IF((Metrics!$H$1-180+68)&lt;1,"",INDEX(Calc_Daily!$S$2:$S$2001,(Metrics!$H$1-180+68)))</f>
        <v>0</v>
      </c>
      <c r="P69">
        <f>IF((Metrics!$H$1-180+68)&lt;1,"",INDEX(Calc_Daily!$AM$2:$AM$2001,(Metrics!$H$1-180+68)))</f>
        <v>0</v>
      </c>
      <c r="Q69">
        <f>IF((Metrics!$H$1-180+68)&lt;1,"",INDEX(Calc_Daily!$AK$2:$AK$2001,(Metrics!$H$1-180+68)))</f>
        <v>0</v>
      </c>
      <c r="R69">
        <f>IF((Metrics!$H$1-180+68)&lt;1,"",INDEX(Calc_Daily!$AN$2:$AN$2001,(Metrics!$H$1-180+68)))</f>
        <v>0</v>
      </c>
      <c r="S69">
        <f>IF((Metrics!$H$1-180+68)&lt;1,"",INDEX(Calc_Daily!$AD$2:$AD$2001,(Metrics!$H$1-180+68)))</f>
        <v>0</v>
      </c>
      <c r="T69">
        <f>IF((Metrics!$H$1-180+68)&lt;1,"",INDEX(Calc_Daily!$AT$2:$AT$2001,(Metrics!$H$1-180+68)))</f>
        <v>0</v>
      </c>
      <c r="U69">
        <f>IF((Metrics!$H$1-180+68)&lt;1,"",INDEX(Calc_Daily!$AQ$2:$AQ$2001,(Metrics!$H$1-180+68)))</f>
        <v>0</v>
      </c>
      <c r="V69">
        <f>IF((Metrics!$H$1-180+68)&lt;1,"",INDEX(Calc_Daily!$AR$2:$AR$2001,(Metrics!$H$1-180+68)))</f>
        <v>0</v>
      </c>
    </row>
    <row r="70" spans="1:22">
      <c r="A70" s="27">
        <f>IF((Metrics!$H$1-180+69)&lt;1,"",INDEX(Calc_Daily!$A$2:$A$2001,(Metrics!$H$1-180+69)))</f>
        <v>0</v>
      </c>
      <c r="B70">
        <f>IF((Metrics!$H$1-180+69)&lt;1,"",INDEX(Calc_Daily!$B$2:$B$2001,(Metrics!$H$1-180+69)))</f>
        <v>0</v>
      </c>
      <c r="C70">
        <f>IF((Metrics!$H$1-180+69)&lt;1,"",INDEX(Calc_Daily!$C$2:$C$2001,(Metrics!$H$1-180+69)))</f>
        <v>0</v>
      </c>
      <c r="D70">
        <f>IF((Metrics!$H$1-180+69)&lt;1,"",INDEX(Calc_Daily!$D$2:$D$2001,(Metrics!$H$1-180+69)))</f>
        <v>0</v>
      </c>
      <c r="E70">
        <f>IF((Metrics!$H$1-180+69)&lt;1,"",INDEX(Calc_Daily!$E$2:$E$2001,(Metrics!$H$1-180+69)))</f>
        <v>0</v>
      </c>
      <c r="F70">
        <f>IF((Metrics!$H$1-180+69)&lt;1,"",INDEX(Calc_Daily!$H$2:$H$2001,(Metrics!$H$1-180+69)))</f>
        <v>0</v>
      </c>
      <c r="G70">
        <f>IF((Metrics!$H$1-180+69)&lt;1,"",INDEX(Calc_Daily!$I$2:$I$2001,(Metrics!$H$1-180+69)))</f>
        <v>0</v>
      </c>
      <c r="H70">
        <f>IF((Metrics!$H$1-180+69)&lt;1,"",INDEX(Calc_Daily!$J$2:$J$2001,(Metrics!$H$1-180+69)))</f>
        <v>0</v>
      </c>
      <c r="I70">
        <f>IF((Metrics!$H$1-180+69)&lt;1,"",INDEX(Calc_Daily!$K$2:$K$2001,(Metrics!$H$1-180+69)))</f>
        <v>0</v>
      </c>
      <c r="J70">
        <f>IF((Metrics!$H$1-180+69)&lt;1,"",INDEX(Calc_Daily!$N$2:$N$2001,(Metrics!$H$1-180+69)))</f>
        <v>0</v>
      </c>
      <c r="K70">
        <f>IF((Metrics!$H$1-180+69)&lt;1,"",70)</f>
        <v>0</v>
      </c>
      <c r="L70">
        <f>IF((Metrics!$H$1-180+69)&lt;1,"",30)</f>
        <v>0</v>
      </c>
      <c r="M70">
        <f>IF((Metrics!$H$1-180+69)&lt;1,"",INDEX(Calc_Daily!$Q$2:$Q$2001,(Metrics!$H$1-180+69)))</f>
        <v>0</v>
      </c>
      <c r="N70">
        <f>IF((Metrics!$H$1-180+69)&lt;1,"",INDEX(Calc_Daily!$R$2:$R$2001,(Metrics!$H$1-180+69)))</f>
        <v>0</v>
      </c>
      <c r="O70">
        <f>IF((Metrics!$H$1-180+69)&lt;1,"",INDEX(Calc_Daily!$S$2:$S$2001,(Metrics!$H$1-180+69)))</f>
        <v>0</v>
      </c>
      <c r="P70">
        <f>IF((Metrics!$H$1-180+69)&lt;1,"",INDEX(Calc_Daily!$AM$2:$AM$2001,(Metrics!$H$1-180+69)))</f>
        <v>0</v>
      </c>
      <c r="Q70">
        <f>IF((Metrics!$H$1-180+69)&lt;1,"",INDEX(Calc_Daily!$AK$2:$AK$2001,(Metrics!$H$1-180+69)))</f>
        <v>0</v>
      </c>
      <c r="R70">
        <f>IF((Metrics!$H$1-180+69)&lt;1,"",INDEX(Calc_Daily!$AN$2:$AN$2001,(Metrics!$H$1-180+69)))</f>
        <v>0</v>
      </c>
      <c r="S70">
        <f>IF((Metrics!$H$1-180+69)&lt;1,"",INDEX(Calc_Daily!$AD$2:$AD$2001,(Metrics!$H$1-180+69)))</f>
        <v>0</v>
      </c>
      <c r="T70">
        <f>IF((Metrics!$H$1-180+69)&lt;1,"",INDEX(Calc_Daily!$AT$2:$AT$2001,(Metrics!$H$1-180+69)))</f>
        <v>0</v>
      </c>
      <c r="U70">
        <f>IF((Metrics!$H$1-180+69)&lt;1,"",INDEX(Calc_Daily!$AQ$2:$AQ$2001,(Metrics!$H$1-180+69)))</f>
        <v>0</v>
      </c>
      <c r="V70">
        <f>IF((Metrics!$H$1-180+69)&lt;1,"",INDEX(Calc_Daily!$AR$2:$AR$2001,(Metrics!$H$1-180+69)))</f>
        <v>0</v>
      </c>
    </row>
    <row r="71" spans="1:22">
      <c r="A71" s="27">
        <f>IF((Metrics!$H$1-180+70)&lt;1,"",INDEX(Calc_Daily!$A$2:$A$2001,(Metrics!$H$1-180+70)))</f>
        <v>0</v>
      </c>
      <c r="B71">
        <f>IF((Metrics!$H$1-180+70)&lt;1,"",INDEX(Calc_Daily!$B$2:$B$2001,(Metrics!$H$1-180+70)))</f>
        <v>0</v>
      </c>
      <c r="C71">
        <f>IF((Metrics!$H$1-180+70)&lt;1,"",INDEX(Calc_Daily!$C$2:$C$2001,(Metrics!$H$1-180+70)))</f>
        <v>0</v>
      </c>
      <c r="D71">
        <f>IF((Metrics!$H$1-180+70)&lt;1,"",INDEX(Calc_Daily!$D$2:$D$2001,(Metrics!$H$1-180+70)))</f>
        <v>0</v>
      </c>
      <c r="E71">
        <f>IF((Metrics!$H$1-180+70)&lt;1,"",INDEX(Calc_Daily!$E$2:$E$2001,(Metrics!$H$1-180+70)))</f>
        <v>0</v>
      </c>
      <c r="F71">
        <f>IF((Metrics!$H$1-180+70)&lt;1,"",INDEX(Calc_Daily!$H$2:$H$2001,(Metrics!$H$1-180+70)))</f>
        <v>0</v>
      </c>
      <c r="G71">
        <f>IF((Metrics!$H$1-180+70)&lt;1,"",INDEX(Calc_Daily!$I$2:$I$2001,(Metrics!$H$1-180+70)))</f>
        <v>0</v>
      </c>
      <c r="H71">
        <f>IF((Metrics!$H$1-180+70)&lt;1,"",INDEX(Calc_Daily!$J$2:$J$2001,(Metrics!$H$1-180+70)))</f>
        <v>0</v>
      </c>
      <c r="I71">
        <f>IF((Metrics!$H$1-180+70)&lt;1,"",INDEX(Calc_Daily!$K$2:$K$2001,(Metrics!$H$1-180+70)))</f>
        <v>0</v>
      </c>
      <c r="J71">
        <f>IF((Metrics!$H$1-180+70)&lt;1,"",INDEX(Calc_Daily!$N$2:$N$2001,(Metrics!$H$1-180+70)))</f>
        <v>0</v>
      </c>
      <c r="K71">
        <f>IF((Metrics!$H$1-180+70)&lt;1,"",70)</f>
        <v>0</v>
      </c>
      <c r="L71">
        <f>IF((Metrics!$H$1-180+70)&lt;1,"",30)</f>
        <v>0</v>
      </c>
      <c r="M71">
        <f>IF((Metrics!$H$1-180+70)&lt;1,"",INDEX(Calc_Daily!$Q$2:$Q$2001,(Metrics!$H$1-180+70)))</f>
        <v>0</v>
      </c>
      <c r="N71">
        <f>IF((Metrics!$H$1-180+70)&lt;1,"",INDEX(Calc_Daily!$R$2:$R$2001,(Metrics!$H$1-180+70)))</f>
        <v>0</v>
      </c>
      <c r="O71">
        <f>IF((Metrics!$H$1-180+70)&lt;1,"",INDEX(Calc_Daily!$S$2:$S$2001,(Metrics!$H$1-180+70)))</f>
        <v>0</v>
      </c>
      <c r="P71">
        <f>IF((Metrics!$H$1-180+70)&lt;1,"",INDEX(Calc_Daily!$AM$2:$AM$2001,(Metrics!$H$1-180+70)))</f>
        <v>0</v>
      </c>
      <c r="Q71">
        <f>IF((Metrics!$H$1-180+70)&lt;1,"",INDEX(Calc_Daily!$AK$2:$AK$2001,(Metrics!$H$1-180+70)))</f>
        <v>0</v>
      </c>
      <c r="R71">
        <f>IF((Metrics!$H$1-180+70)&lt;1,"",INDEX(Calc_Daily!$AN$2:$AN$2001,(Metrics!$H$1-180+70)))</f>
        <v>0</v>
      </c>
      <c r="S71">
        <f>IF((Metrics!$H$1-180+70)&lt;1,"",INDEX(Calc_Daily!$AD$2:$AD$2001,(Metrics!$H$1-180+70)))</f>
        <v>0</v>
      </c>
      <c r="T71">
        <f>IF((Metrics!$H$1-180+70)&lt;1,"",INDEX(Calc_Daily!$AT$2:$AT$2001,(Metrics!$H$1-180+70)))</f>
        <v>0</v>
      </c>
      <c r="U71">
        <f>IF((Metrics!$H$1-180+70)&lt;1,"",INDEX(Calc_Daily!$AQ$2:$AQ$2001,(Metrics!$H$1-180+70)))</f>
        <v>0</v>
      </c>
      <c r="V71">
        <f>IF((Metrics!$H$1-180+70)&lt;1,"",INDEX(Calc_Daily!$AR$2:$AR$2001,(Metrics!$H$1-180+70)))</f>
        <v>0</v>
      </c>
    </row>
    <row r="72" spans="1:22">
      <c r="A72" s="27">
        <f>IF((Metrics!$H$1-180+71)&lt;1,"",INDEX(Calc_Daily!$A$2:$A$2001,(Metrics!$H$1-180+71)))</f>
        <v>0</v>
      </c>
      <c r="B72">
        <f>IF((Metrics!$H$1-180+71)&lt;1,"",INDEX(Calc_Daily!$B$2:$B$2001,(Metrics!$H$1-180+71)))</f>
        <v>0</v>
      </c>
      <c r="C72">
        <f>IF((Metrics!$H$1-180+71)&lt;1,"",INDEX(Calc_Daily!$C$2:$C$2001,(Metrics!$H$1-180+71)))</f>
        <v>0</v>
      </c>
      <c r="D72">
        <f>IF((Metrics!$H$1-180+71)&lt;1,"",INDEX(Calc_Daily!$D$2:$D$2001,(Metrics!$H$1-180+71)))</f>
        <v>0</v>
      </c>
      <c r="E72">
        <f>IF((Metrics!$H$1-180+71)&lt;1,"",INDEX(Calc_Daily!$E$2:$E$2001,(Metrics!$H$1-180+71)))</f>
        <v>0</v>
      </c>
      <c r="F72">
        <f>IF((Metrics!$H$1-180+71)&lt;1,"",INDEX(Calc_Daily!$H$2:$H$2001,(Metrics!$H$1-180+71)))</f>
        <v>0</v>
      </c>
      <c r="G72">
        <f>IF((Metrics!$H$1-180+71)&lt;1,"",INDEX(Calc_Daily!$I$2:$I$2001,(Metrics!$H$1-180+71)))</f>
        <v>0</v>
      </c>
      <c r="H72">
        <f>IF((Metrics!$H$1-180+71)&lt;1,"",INDEX(Calc_Daily!$J$2:$J$2001,(Metrics!$H$1-180+71)))</f>
        <v>0</v>
      </c>
      <c r="I72">
        <f>IF((Metrics!$H$1-180+71)&lt;1,"",INDEX(Calc_Daily!$K$2:$K$2001,(Metrics!$H$1-180+71)))</f>
        <v>0</v>
      </c>
      <c r="J72">
        <f>IF((Metrics!$H$1-180+71)&lt;1,"",INDEX(Calc_Daily!$N$2:$N$2001,(Metrics!$H$1-180+71)))</f>
        <v>0</v>
      </c>
      <c r="K72">
        <f>IF((Metrics!$H$1-180+71)&lt;1,"",70)</f>
        <v>0</v>
      </c>
      <c r="L72">
        <f>IF((Metrics!$H$1-180+71)&lt;1,"",30)</f>
        <v>0</v>
      </c>
      <c r="M72">
        <f>IF((Metrics!$H$1-180+71)&lt;1,"",INDEX(Calc_Daily!$Q$2:$Q$2001,(Metrics!$H$1-180+71)))</f>
        <v>0</v>
      </c>
      <c r="N72">
        <f>IF((Metrics!$H$1-180+71)&lt;1,"",INDEX(Calc_Daily!$R$2:$R$2001,(Metrics!$H$1-180+71)))</f>
        <v>0</v>
      </c>
      <c r="O72">
        <f>IF((Metrics!$H$1-180+71)&lt;1,"",INDEX(Calc_Daily!$S$2:$S$2001,(Metrics!$H$1-180+71)))</f>
        <v>0</v>
      </c>
      <c r="P72">
        <f>IF((Metrics!$H$1-180+71)&lt;1,"",INDEX(Calc_Daily!$AM$2:$AM$2001,(Metrics!$H$1-180+71)))</f>
        <v>0</v>
      </c>
      <c r="Q72">
        <f>IF((Metrics!$H$1-180+71)&lt;1,"",INDEX(Calc_Daily!$AK$2:$AK$2001,(Metrics!$H$1-180+71)))</f>
        <v>0</v>
      </c>
      <c r="R72">
        <f>IF((Metrics!$H$1-180+71)&lt;1,"",INDEX(Calc_Daily!$AN$2:$AN$2001,(Metrics!$H$1-180+71)))</f>
        <v>0</v>
      </c>
      <c r="S72">
        <f>IF((Metrics!$H$1-180+71)&lt;1,"",INDEX(Calc_Daily!$AD$2:$AD$2001,(Metrics!$H$1-180+71)))</f>
        <v>0</v>
      </c>
      <c r="T72">
        <f>IF((Metrics!$H$1-180+71)&lt;1,"",INDEX(Calc_Daily!$AT$2:$AT$2001,(Metrics!$H$1-180+71)))</f>
        <v>0</v>
      </c>
      <c r="U72">
        <f>IF((Metrics!$H$1-180+71)&lt;1,"",INDEX(Calc_Daily!$AQ$2:$AQ$2001,(Metrics!$H$1-180+71)))</f>
        <v>0</v>
      </c>
      <c r="V72">
        <f>IF((Metrics!$H$1-180+71)&lt;1,"",INDEX(Calc_Daily!$AR$2:$AR$2001,(Metrics!$H$1-180+71)))</f>
        <v>0</v>
      </c>
    </row>
    <row r="73" spans="1:22">
      <c r="A73" s="27">
        <f>IF((Metrics!$H$1-180+72)&lt;1,"",INDEX(Calc_Daily!$A$2:$A$2001,(Metrics!$H$1-180+72)))</f>
        <v>0</v>
      </c>
      <c r="B73">
        <f>IF((Metrics!$H$1-180+72)&lt;1,"",INDEX(Calc_Daily!$B$2:$B$2001,(Metrics!$H$1-180+72)))</f>
        <v>0</v>
      </c>
      <c r="C73">
        <f>IF((Metrics!$H$1-180+72)&lt;1,"",INDEX(Calc_Daily!$C$2:$C$2001,(Metrics!$H$1-180+72)))</f>
        <v>0</v>
      </c>
      <c r="D73">
        <f>IF((Metrics!$H$1-180+72)&lt;1,"",INDEX(Calc_Daily!$D$2:$D$2001,(Metrics!$H$1-180+72)))</f>
        <v>0</v>
      </c>
      <c r="E73">
        <f>IF((Metrics!$H$1-180+72)&lt;1,"",INDEX(Calc_Daily!$E$2:$E$2001,(Metrics!$H$1-180+72)))</f>
        <v>0</v>
      </c>
      <c r="F73">
        <f>IF((Metrics!$H$1-180+72)&lt;1,"",INDEX(Calc_Daily!$H$2:$H$2001,(Metrics!$H$1-180+72)))</f>
        <v>0</v>
      </c>
      <c r="G73">
        <f>IF((Metrics!$H$1-180+72)&lt;1,"",INDEX(Calc_Daily!$I$2:$I$2001,(Metrics!$H$1-180+72)))</f>
        <v>0</v>
      </c>
      <c r="H73">
        <f>IF((Metrics!$H$1-180+72)&lt;1,"",INDEX(Calc_Daily!$J$2:$J$2001,(Metrics!$H$1-180+72)))</f>
        <v>0</v>
      </c>
      <c r="I73">
        <f>IF((Metrics!$H$1-180+72)&lt;1,"",INDEX(Calc_Daily!$K$2:$K$2001,(Metrics!$H$1-180+72)))</f>
        <v>0</v>
      </c>
      <c r="J73">
        <f>IF((Metrics!$H$1-180+72)&lt;1,"",INDEX(Calc_Daily!$N$2:$N$2001,(Metrics!$H$1-180+72)))</f>
        <v>0</v>
      </c>
      <c r="K73">
        <f>IF((Metrics!$H$1-180+72)&lt;1,"",70)</f>
        <v>0</v>
      </c>
      <c r="L73">
        <f>IF((Metrics!$H$1-180+72)&lt;1,"",30)</f>
        <v>0</v>
      </c>
      <c r="M73">
        <f>IF((Metrics!$H$1-180+72)&lt;1,"",INDEX(Calc_Daily!$Q$2:$Q$2001,(Metrics!$H$1-180+72)))</f>
        <v>0</v>
      </c>
      <c r="N73">
        <f>IF((Metrics!$H$1-180+72)&lt;1,"",INDEX(Calc_Daily!$R$2:$R$2001,(Metrics!$H$1-180+72)))</f>
        <v>0</v>
      </c>
      <c r="O73">
        <f>IF((Metrics!$H$1-180+72)&lt;1,"",INDEX(Calc_Daily!$S$2:$S$2001,(Metrics!$H$1-180+72)))</f>
        <v>0</v>
      </c>
      <c r="P73">
        <f>IF((Metrics!$H$1-180+72)&lt;1,"",INDEX(Calc_Daily!$AM$2:$AM$2001,(Metrics!$H$1-180+72)))</f>
        <v>0</v>
      </c>
      <c r="Q73">
        <f>IF((Metrics!$H$1-180+72)&lt;1,"",INDEX(Calc_Daily!$AK$2:$AK$2001,(Metrics!$H$1-180+72)))</f>
        <v>0</v>
      </c>
      <c r="R73">
        <f>IF((Metrics!$H$1-180+72)&lt;1,"",INDEX(Calc_Daily!$AN$2:$AN$2001,(Metrics!$H$1-180+72)))</f>
        <v>0</v>
      </c>
      <c r="S73">
        <f>IF((Metrics!$H$1-180+72)&lt;1,"",INDEX(Calc_Daily!$AD$2:$AD$2001,(Metrics!$H$1-180+72)))</f>
        <v>0</v>
      </c>
      <c r="T73">
        <f>IF((Metrics!$H$1-180+72)&lt;1,"",INDEX(Calc_Daily!$AT$2:$AT$2001,(Metrics!$H$1-180+72)))</f>
        <v>0</v>
      </c>
      <c r="U73">
        <f>IF((Metrics!$H$1-180+72)&lt;1,"",INDEX(Calc_Daily!$AQ$2:$AQ$2001,(Metrics!$H$1-180+72)))</f>
        <v>0</v>
      </c>
      <c r="V73">
        <f>IF((Metrics!$H$1-180+72)&lt;1,"",INDEX(Calc_Daily!$AR$2:$AR$2001,(Metrics!$H$1-180+72)))</f>
        <v>0</v>
      </c>
    </row>
    <row r="74" spans="1:22">
      <c r="A74" s="27">
        <f>IF((Metrics!$H$1-180+73)&lt;1,"",INDEX(Calc_Daily!$A$2:$A$2001,(Metrics!$H$1-180+73)))</f>
        <v>0</v>
      </c>
      <c r="B74">
        <f>IF((Metrics!$H$1-180+73)&lt;1,"",INDEX(Calc_Daily!$B$2:$B$2001,(Metrics!$H$1-180+73)))</f>
        <v>0</v>
      </c>
      <c r="C74">
        <f>IF((Metrics!$H$1-180+73)&lt;1,"",INDEX(Calc_Daily!$C$2:$C$2001,(Metrics!$H$1-180+73)))</f>
        <v>0</v>
      </c>
      <c r="D74">
        <f>IF((Metrics!$H$1-180+73)&lt;1,"",INDEX(Calc_Daily!$D$2:$D$2001,(Metrics!$H$1-180+73)))</f>
        <v>0</v>
      </c>
      <c r="E74">
        <f>IF((Metrics!$H$1-180+73)&lt;1,"",INDEX(Calc_Daily!$E$2:$E$2001,(Metrics!$H$1-180+73)))</f>
        <v>0</v>
      </c>
      <c r="F74">
        <f>IF((Metrics!$H$1-180+73)&lt;1,"",INDEX(Calc_Daily!$H$2:$H$2001,(Metrics!$H$1-180+73)))</f>
        <v>0</v>
      </c>
      <c r="G74">
        <f>IF((Metrics!$H$1-180+73)&lt;1,"",INDEX(Calc_Daily!$I$2:$I$2001,(Metrics!$H$1-180+73)))</f>
        <v>0</v>
      </c>
      <c r="H74">
        <f>IF((Metrics!$H$1-180+73)&lt;1,"",INDEX(Calc_Daily!$J$2:$J$2001,(Metrics!$H$1-180+73)))</f>
        <v>0</v>
      </c>
      <c r="I74">
        <f>IF((Metrics!$H$1-180+73)&lt;1,"",INDEX(Calc_Daily!$K$2:$K$2001,(Metrics!$H$1-180+73)))</f>
        <v>0</v>
      </c>
      <c r="J74">
        <f>IF((Metrics!$H$1-180+73)&lt;1,"",INDEX(Calc_Daily!$N$2:$N$2001,(Metrics!$H$1-180+73)))</f>
        <v>0</v>
      </c>
      <c r="K74">
        <f>IF((Metrics!$H$1-180+73)&lt;1,"",70)</f>
        <v>0</v>
      </c>
      <c r="L74">
        <f>IF((Metrics!$H$1-180+73)&lt;1,"",30)</f>
        <v>0</v>
      </c>
      <c r="M74">
        <f>IF((Metrics!$H$1-180+73)&lt;1,"",INDEX(Calc_Daily!$Q$2:$Q$2001,(Metrics!$H$1-180+73)))</f>
        <v>0</v>
      </c>
      <c r="N74">
        <f>IF((Metrics!$H$1-180+73)&lt;1,"",INDEX(Calc_Daily!$R$2:$R$2001,(Metrics!$H$1-180+73)))</f>
        <v>0</v>
      </c>
      <c r="O74">
        <f>IF((Metrics!$H$1-180+73)&lt;1,"",INDEX(Calc_Daily!$S$2:$S$2001,(Metrics!$H$1-180+73)))</f>
        <v>0</v>
      </c>
      <c r="P74">
        <f>IF((Metrics!$H$1-180+73)&lt;1,"",INDEX(Calc_Daily!$AM$2:$AM$2001,(Metrics!$H$1-180+73)))</f>
        <v>0</v>
      </c>
      <c r="Q74">
        <f>IF((Metrics!$H$1-180+73)&lt;1,"",INDEX(Calc_Daily!$AK$2:$AK$2001,(Metrics!$H$1-180+73)))</f>
        <v>0</v>
      </c>
      <c r="R74">
        <f>IF((Metrics!$H$1-180+73)&lt;1,"",INDEX(Calc_Daily!$AN$2:$AN$2001,(Metrics!$H$1-180+73)))</f>
        <v>0</v>
      </c>
      <c r="S74">
        <f>IF((Metrics!$H$1-180+73)&lt;1,"",INDEX(Calc_Daily!$AD$2:$AD$2001,(Metrics!$H$1-180+73)))</f>
        <v>0</v>
      </c>
      <c r="T74">
        <f>IF((Metrics!$H$1-180+73)&lt;1,"",INDEX(Calc_Daily!$AT$2:$AT$2001,(Metrics!$H$1-180+73)))</f>
        <v>0</v>
      </c>
      <c r="U74">
        <f>IF((Metrics!$H$1-180+73)&lt;1,"",INDEX(Calc_Daily!$AQ$2:$AQ$2001,(Metrics!$H$1-180+73)))</f>
        <v>0</v>
      </c>
      <c r="V74">
        <f>IF((Metrics!$H$1-180+73)&lt;1,"",INDEX(Calc_Daily!$AR$2:$AR$2001,(Metrics!$H$1-180+73)))</f>
        <v>0</v>
      </c>
    </row>
    <row r="75" spans="1:22">
      <c r="A75" s="27">
        <f>IF((Metrics!$H$1-180+74)&lt;1,"",INDEX(Calc_Daily!$A$2:$A$2001,(Metrics!$H$1-180+74)))</f>
        <v>0</v>
      </c>
      <c r="B75">
        <f>IF((Metrics!$H$1-180+74)&lt;1,"",INDEX(Calc_Daily!$B$2:$B$2001,(Metrics!$H$1-180+74)))</f>
        <v>0</v>
      </c>
      <c r="C75">
        <f>IF((Metrics!$H$1-180+74)&lt;1,"",INDEX(Calc_Daily!$C$2:$C$2001,(Metrics!$H$1-180+74)))</f>
        <v>0</v>
      </c>
      <c r="D75">
        <f>IF((Metrics!$H$1-180+74)&lt;1,"",INDEX(Calc_Daily!$D$2:$D$2001,(Metrics!$H$1-180+74)))</f>
        <v>0</v>
      </c>
      <c r="E75">
        <f>IF((Metrics!$H$1-180+74)&lt;1,"",INDEX(Calc_Daily!$E$2:$E$2001,(Metrics!$H$1-180+74)))</f>
        <v>0</v>
      </c>
      <c r="F75">
        <f>IF((Metrics!$H$1-180+74)&lt;1,"",INDEX(Calc_Daily!$H$2:$H$2001,(Metrics!$H$1-180+74)))</f>
        <v>0</v>
      </c>
      <c r="G75">
        <f>IF((Metrics!$H$1-180+74)&lt;1,"",INDEX(Calc_Daily!$I$2:$I$2001,(Metrics!$H$1-180+74)))</f>
        <v>0</v>
      </c>
      <c r="H75">
        <f>IF((Metrics!$H$1-180+74)&lt;1,"",INDEX(Calc_Daily!$J$2:$J$2001,(Metrics!$H$1-180+74)))</f>
        <v>0</v>
      </c>
      <c r="I75">
        <f>IF((Metrics!$H$1-180+74)&lt;1,"",INDEX(Calc_Daily!$K$2:$K$2001,(Metrics!$H$1-180+74)))</f>
        <v>0</v>
      </c>
      <c r="J75">
        <f>IF((Metrics!$H$1-180+74)&lt;1,"",INDEX(Calc_Daily!$N$2:$N$2001,(Metrics!$H$1-180+74)))</f>
        <v>0</v>
      </c>
      <c r="K75">
        <f>IF((Metrics!$H$1-180+74)&lt;1,"",70)</f>
        <v>0</v>
      </c>
      <c r="L75">
        <f>IF((Metrics!$H$1-180+74)&lt;1,"",30)</f>
        <v>0</v>
      </c>
      <c r="M75">
        <f>IF((Metrics!$H$1-180+74)&lt;1,"",INDEX(Calc_Daily!$Q$2:$Q$2001,(Metrics!$H$1-180+74)))</f>
        <v>0</v>
      </c>
      <c r="N75">
        <f>IF((Metrics!$H$1-180+74)&lt;1,"",INDEX(Calc_Daily!$R$2:$R$2001,(Metrics!$H$1-180+74)))</f>
        <v>0</v>
      </c>
      <c r="O75">
        <f>IF((Metrics!$H$1-180+74)&lt;1,"",INDEX(Calc_Daily!$S$2:$S$2001,(Metrics!$H$1-180+74)))</f>
        <v>0</v>
      </c>
      <c r="P75">
        <f>IF((Metrics!$H$1-180+74)&lt;1,"",INDEX(Calc_Daily!$AM$2:$AM$2001,(Metrics!$H$1-180+74)))</f>
        <v>0</v>
      </c>
      <c r="Q75">
        <f>IF((Metrics!$H$1-180+74)&lt;1,"",INDEX(Calc_Daily!$AK$2:$AK$2001,(Metrics!$H$1-180+74)))</f>
        <v>0</v>
      </c>
      <c r="R75">
        <f>IF((Metrics!$H$1-180+74)&lt;1,"",INDEX(Calc_Daily!$AN$2:$AN$2001,(Metrics!$H$1-180+74)))</f>
        <v>0</v>
      </c>
      <c r="S75">
        <f>IF((Metrics!$H$1-180+74)&lt;1,"",INDEX(Calc_Daily!$AD$2:$AD$2001,(Metrics!$H$1-180+74)))</f>
        <v>0</v>
      </c>
      <c r="T75">
        <f>IF((Metrics!$H$1-180+74)&lt;1,"",INDEX(Calc_Daily!$AT$2:$AT$2001,(Metrics!$H$1-180+74)))</f>
        <v>0</v>
      </c>
      <c r="U75">
        <f>IF((Metrics!$H$1-180+74)&lt;1,"",INDEX(Calc_Daily!$AQ$2:$AQ$2001,(Metrics!$H$1-180+74)))</f>
        <v>0</v>
      </c>
      <c r="V75">
        <f>IF((Metrics!$H$1-180+74)&lt;1,"",INDEX(Calc_Daily!$AR$2:$AR$2001,(Metrics!$H$1-180+74)))</f>
        <v>0</v>
      </c>
    </row>
    <row r="76" spans="1:22">
      <c r="A76" s="27">
        <f>IF((Metrics!$H$1-180+75)&lt;1,"",INDEX(Calc_Daily!$A$2:$A$2001,(Metrics!$H$1-180+75)))</f>
        <v>0</v>
      </c>
      <c r="B76">
        <f>IF((Metrics!$H$1-180+75)&lt;1,"",INDEX(Calc_Daily!$B$2:$B$2001,(Metrics!$H$1-180+75)))</f>
        <v>0</v>
      </c>
      <c r="C76">
        <f>IF((Metrics!$H$1-180+75)&lt;1,"",INDEX(Calc_Daily!$C$2:$C$2001,(Metrics!$H$1-180+75)))</f>
        <v>0</v>
      </c>
      <c r="D76">
        <f>IF((Metrics!$H$1-180+75)&lt;1,"",INDEX(Calc_Daily!$D$2:$D$2001,(Metrics!$H$1-180+75)))</f>
        <v>0</v>
      </c>
      <c r="E76">
        <f>IF((Metrics!$H$1-180+75)&lt;1,"",INDEX(Calc_Daily!$E$2:$E$2001,(Metrics!$H$1-180+75)))</f>
        <v>0</v>
      </c>
      <c r="F76">
        <f>IF((Metrics!$H$1-180+75)&lt;1,"",INDEX(Calc_Daily!$H$2:$H$2001,(Metrics!$H$1-180+75)))</f>
        <v>0</v>
      </c>
      <c r="G76">
        <f>IF((Metrics!$H$1-180+75)&lt;1,"",INDEX(Calc_Daily!$I$2:$I$2001,(Metrics!$H$1-180+75)))</f>
        <v>0</v>
      </c>
      <c r="H76">
        <f>IF((Metrics!$H$1-180+75)&lt;1,"",INDEX(Calc_Daily!$J$2:$J$2001,(Metrics!$H$1-180+75)))</f>
        <v>0</v>
      </c>
      <c r="I76">
        <f>IF((Metrics!$H$1-180+75)&lt;1,"",INDEX(Calc_Daily!$K$2:$K$2001,(Metrics!$H$1-180+75)))</f>
        <v>0</v>
      </c>
      <c r="J76">
        <f>IF((Metrics!$H$1-180+75)&lt;1,"",INDEX(Calc_Daily!$N$2:$N$2001,(Metrics!$H$1-180+75)))</f>
        <v>0</v>
      </c>
      <c r="K76">
        <f>IF((Metrics!$H$1-180+75)&lt;1,"",70)</f>
        <v>0</v>
      </c>
      <c r="L76">
        <f>IF((Metrics!$H$1-180+75)&lt;1,"",30)</f>
        <v>0</v>
      </c>
      <c r="M76">
        <f>IF((Metrics!$H$1-180+75)&lt;1,"",INDEX(Calc_Daily!$Q$2:$Q$2001,(Metrics!$H$1-180+75)))</f>
        <v>0</v>
      </c>
      <c r="N76">
        <f>IF((Metrics!$H$1-180+75)&lt;1,"",INDEX(Calc_Daily!$R$2:$R$2001,(Metrics!$H$1-180+75)))</f>
        <v>0</v>
      </c>
      <c r="O76">
        <f>IF((Metrics!$H$1-180+75)&lt;1,"",INDEX(Calc_Daily!$S$2:$S$2001,(Metrics!$H$1-180+75)))</f>
        <v>0</v>
      </c>
      <c r="P76">
        <f>IF((Metrics!$H$1-180+75)&lt;1,"",INDEX(Calc_Daily!$AM$2:$AM$2001,(Metrics!$H$1-180+75)))</f>
        <v>0</v>
      </c>
      <c r="Q76">
        <f>IF((Metrics!$H$1-180+75)&lt;1,"",INDEX(Calc_Daily!$AK$2:$AK$2001,(Metrics!$H$1-180+75)))</f>
        <v>0</v>
      </c>
      <c r="R76">
        <f>IF((Metrics!$H$1-180+75)&lt;1,"",INDEX(Calc_Daily!$AN$2:$AN$2001,(Metrics!$H$1-180+75)))</f>
        <v>0</v>
      </c>
      <c r="S76">
        <f>IF((Metrics!$H$1-180+75)&lt;1,"",INDEX(Calc_Daily!$AD$2:$AD$2001,(Metrics!$H$1-180+75)))</f>
        <v>0</v>
      </c>
      <c r="T76">
        <f>IF((Metrics!$H$1-180+75)&lt;1,"",INDEX(Calc_Daily!$AT$2:$AT$2001,(Metrics!$H$1-180+75)))</f>
        <v>0</v>
      </c>
      <c r="U76">
        <f>IF((Metrics!$H$1-180+75)&lt;1,"",INDEX(Calc_Daily!$AQ$2:$AQ$2001,(Metrics!$H$1-180+75)))</f>
        <v>0</v>
      </c>
      <c r="V76">
        <f>IF((Metrics!$H$1-180+75)&lt;1,"",INDEX(Calc_Daily!$AR$2:$AR$2001,(Metrics!$H$1-180+75)))</f>
        <v>0</v>
      </c>
    </row>
    <row r="77" spans="1:22">
      <c r="A77" s="27">
        <f>IF((Metrics!$H$1-180+76)&lt;1,"",INDEX(Calc_Daily!$A$2:$A$2001,(Metrics!$H$1-180+76)))</f>
        <v>0</v>
      </c>
      <c r="B77">
        <f>IF((Metrics!$H$1-180+76)&lt;1,"",INDEX(Calc_Daily!$B$2:$B$2001,(Metrics!$H$1-180+76)))</f>
        <v>0</v>
      </c>
      <c r="C77">
        <f>IF((Metrics!$H$1-180+76)&lt;1,"",INDEX(Calc_Daily!$C$2:$C$2001,(Metrics!$H$1-180+76)))</f>
        <v>0</v>
      </c>
      <c r="D77">
        <f>IF((Metrics!$H$1-180+76)&lt;1,"",INDEX(Calc_Daily!$D$2:$D$2001,(Metrics!$H$1-180+76)))</f>
        <v>0</v>
      </c>
      <c r="E77">
        <f>IF((Metrics!$H$1-180+76)&lt;1,"",INDEX(Calc_Daily!$E$2:$E$2001,(Metrics!$H$1-180+76)))</f>
        <v>0</v>
      </c>
      <c r="F77">
        <f>IF((Metrics!$H$1-180+76)&lt;1,"",INDEX(Calc_Daily!$H$2:$H$2001,(Metrics!$H$1-180+76)))</f>
        <v>0</v>
      </c>
      <c r="G77">
        <f>IF((Metrics!$H$1-180+76)&lt;1,"",INDEX(Calc_Daily!$I$2:$I$2001,(Metrics!$H$1-180+76)))</f>
        <v>0</v>
      </c>
      <c r="H77">
        <f>IF((Metrics!$H$1-180+76)&lt;1,"",INDEX(Calc_Daily!$J$2:$J$2001,(Metrics!$H$1-180+76)))</f>
        <v>0</v>
      </c>
      <c r="I77">
        <f>IF((Metrics!$H$1-180+76)&lt;1,"",INDEX(Calc_Daily!$K$2:$K$2001,(Metrics!$H$1-180+76)))</f>
        <v>0</v>
      </c>
      <c r="J77">
        <f>IF((Metrics!$H$1-180+76)&lt;1,"",INDEX(Calc_Daily!$N$2:$N$2001,(Metrics!$H$1-180+76)))</f>
        <v>0</v>
      </c>
      <c r="K77">
        <f>IF((Metrics!$H$1-180+76)&lt;1,"",70)</f>
        <v>0</v>
      </c>
      <c r="L77">
        <f>IF((Metrics!$H$1-180+76)&lt;1,"",30)</f>
        <v>0</v>
      </c>
      <c r="M77">
        <f>IF((Metrics!$H$1-180+76)&lt;1,"",INDEX(Calc_Daily!$Q$2:$Q$2001,(Metrics!$H$1-180+76)))</f>
        <v>0</v>
      </c>
      <c r="N77">
        <f>IF((Metrics!$H$1-180+76)&lt;1,"",INDEX(Calc_Daily!$R$2:$R$2001,(Metrics!$H$1-180+76)))</f>
        <v>0</v>
      </c>
      <c r="O77">
        <f>IF((Metrics!$H$1-180+76)&lt;1,"",INDEX(Calc_Daily!$S$2:$S$2001,(Metrics!$H$1-180+76)))</f>
        <v>0</v>
      </c>
      <c r="P77">
        <f>IF((Metrics!$H$1-180+76)&lt;1,"",INDEX(Calc_Daily!$AM$2:$AM$2001,(Metrics!$H$1-180+76)))</f>
        <v>0</v>
      </c>
      <c r="Q77">
        <f>IF((Metrics!$H$1-180+76)&lt;1,"",INDEX(Calc_Daily!$AK$2:$AK$2001,(Metrics!$H$1-180+76)))</f>
        <v>0</v>
      </c>
      <c r="R77">
        <f>IF((Metrics!$H$1-180+76)&lt;1,"",INDEX(Calc_Daily!$AN$2:$AN$2001,(Metrics!$H$1-180+76)))</f>
        <v>0</v>
      </c>
      <c r="S77">
        <f>IF((Metrics!$H$1-180+76)&lt;1,"",INDEX(Calc_Daily!$AD$2:$AD$2001,(Metrics!$H$1-180+76)))</f>
        <v>0</v>
      </c>
      <c r="T77">
        <f>IF((Metrics!$H$1-180+76)&lt;1,"",INDEX(Calc_Daily!$AT$2:$AT$2001,(Metrics!$H$1-180+76)))</f>
        <v>0</v>
      </c>
      <c r="U77">
        <f>IF((Metrics!$H$1-180+76)&lt;1,"",INDEX(Calc_Daily!$AQ$2:$AQ$2001,(Metrics!$H$1-180+76)))</f>
        <v>0</v>
      </c>
      <c r="V77">
        <f>IF((Metrics!$H$1-180+76)&lt;1,"",INDEX(Calc_Daily!$AR$2:$AR$2001,(Metrics!$H$1-180+76)))</f>
        <v>0</v>
      </c>
    </row>
    <row r="78" spans="1:22">
      <c r="A78" s="27">
        <f>IF((Metrics!$H$1-180+77)&lt;1,"",INDEX(Calc_Daily!$A$2:$A$2001,(Metrics!$H$1-180+77)))</f>
        <v>0</v>
      </c>
      <c r="B78">
        <f>IF((Metrics!$H$1-180+77)&lt;1,"",INDEX(Calc_Daily!$B$2:$B$2001,(Metrics!$H$1-180+77)))</f>
        <v>0</v>
      </c>
      <c r="C78">
        <f>IF((Metrics!$H$1-180+77)&lt;1,"",INDEX(Calc_Daily!$C$2:$C$2001,(Metrics!$H$1-180+77)))</f>
        <v>0</v>
      </c>
      <c r="D78">
        <f>IF((Metrics!$H$1-180+77)&lt;1,"",INDEX(Calc_Daily!$D$2:$D$2001,(Metrics!$H$1-180+77)))</f>
        <v>0</v>
      </c>
      <c r="E78">
        <f>IF((Metrics!$H$1-180+77)&lt;1,"",INDEX(Calc_Daily!$E$2:$E$2001,(Metrics!$H$1-180+77)))</f>
        <v>0</v>
      </c>
      <c r="F78">
        <f>IF((Metrics!$H$1-180+77)&lt;1,"",INDEX(Calc_Daily!$H$2:$H$2001,(Metrics!$H$1-180+77)))</f>
        <v>0</v>
      </c>
      <c r="G78">
        <f>IF((Metrics!$H$1-180+77)&lt;1,"",INDEX(Calc_Daily!$I$2:$I$2001,(Metrics!$H$1-180+77)))</f>
        <v>0</v>
      </c>
      <c r="H78">
        <f>IF((Metrics!$H$1-180+77)&lt;1,"",INDEX(Calc_Daily!$J$2:$J$2001,(Metrics!$H$1-180+77)))</f>
        <v>0</v>
      </c>
      <c r="I78">
        <f>IF((Metrics!$H$1-180+77)&lt;1,"",INDEX(Calc_Daily!$K$2:$K$2001,(Metrics!$H$1-180+77)))</f>
        <v>0</v>
      </c>
      <c r="J78">
        <f>IF((Metrics!$H$1-180+77)&lt;1,"",INDEX(Calc_Daily!$N$2:$N$2001,(Metrics!$H$1-180+77)))</f>
        <v>0</v>
      </c>
      <c r="K78">
        <f>IF((Metrics!$H$1-180+77)&lt;1,"",70)</f>
        <v>0</v>
      </c>
      <c r="L78">
        <f>IF((Metrics!$H$1-180+77)&lt;1,"",30)</f>
        <v>0</v>
      </c>
      <c r="M78">
        <f>IF((Metrics!$H$1-180+77)&lt;1,"",INDEX(Calc_Daily!$Q$2:$Q$2001,(Metrics!$H$1-180+77)))</f>
        <v>0</v>
      </c>
      <c r="N78">
        <f>IF((Metrics!$H$1-180+77)&lt;1,"",INDEX(Calc_Daily!$R$2:$R$2001,(Metrics!$H$1-180+77)))</f>
        <v>0</v>
      </c>
      <c r="O78">
        <f>IF((Metrics!$H$1-180+77)&lt;1,"",INDEX(Calc_Daily!$S$2:$S$2001,(Metrics!$H$1-180+77)))</f>
        <v>0</v>
      </c>
      <c r="P78">
        <f>IF((Metrics!$H$1-180+77)&lt;1,"",INDEX(Calc_Daily!$AM$2:$AM$2001,(Metrics!$H$1-180+77)))</f>
        <v>0</v>
      </c>
      <c r="Q78">
        <f>IF((Metrics!$H$1-180+77)&lt;1,"",INDEX(Calc_Daily!$AK$2:$AK$2001,(Metrics!$H$1-180+77)))</f>
        <v>0</v>
      </c>
      <c r="R78">
        <f>IF((Metrics!$H$1-180+77)&lt;1,"",INDEX(Calc_Daily!$AN$2:$AN$2001,(Metrics!$H$1-180+77)))</f>
        <v>0</v>
      </c>
      <c r="S78">
        <f>IF((Metrics!$H$1-180+77)&lt;1,"",INDEX(Calc_Daily!$AD$2:$AD$2001,(Metrics!$H$1-180+77)))</f>
        <v>0</v>
      </c>
      <c r="T78">
        <f>IF((Metrics!$H$1-180+77)&lt;1,"",INDEX(Calc_Daily!$AT$2:$AT$2001,(Metrics!$H$1-180+77)))</f>
        <v>0</v>
      </c>
      <c r="U78">
        <f>IF((Metrics!$H$1-180+77)&lt;1,"",INDEX(Calc_Daily!$AQ$2:$AQ$2001,(Metrics!$H$1-180+77)))</f>
        <v>0</v>
      </c>
      <c r="V78">
        <f>IF((Metrics!$H$1-180+77)&lt;1,"",INDEX(Calc_Daily!$AR$2:$AR$2001,(Metrics!$H$1-180+77)))</f>
        <v>0</v>
      </c>
    </row>
    <row r="79" spans="1:22">
      <c r="A79" s="27">
        <f>IF((Metrics!$H$1-180+78)&lt;1,"",INDEX(Calc_Daily!$A$2:$A$2001,(Metrics!$H$1-180+78)))</f>
        <v>0</v>
      </c>
      <c r="B79">
        <f>IF((Metrics!$H$1-180+78)&lt;1,"",INDEX(Calc_Daily!$B$2:$B$2001,(Metrics!$H$1-180+78)))</f>
        <v>0</v>
      </c>
      <c r="C79">
        <f>IF((Metrics!$H$1-180+78)&lt;1,"",INDEX(Calc_Daily!$C$2:$C$2001,(Metrics!$H$1-180+78)))</f>
        <v>0</v>
      </c>
      <c r="D79">
        <f>IF((Metrics!$H$1-180+78)&lt;1,"",INDEX(Calc_Daily!$D$2:$D$2001,(Metrics!$H$1-180+78)))</f>
        <v>0</v>
      </c>
      <c r="E79">
        <f>IF((Metrics!$H$1-180+78)&lt;1,"",INDEX(Calc_Daily!$E$2:$E$2001,(Metrics!$H$1-180+78)))</f>
        <v>0</v>
      </c>
      <c r="F79">
        <f>IF((Metrics!$H$1-180+78)&lt;1,"",INDEX(Calc_Daily!$H$2:$H$2001,(Metrics!$H$1-180+78)))</f>
        <v>0</v>
      </c>
      <c r="G79">
        <f>IF((Metrics!$H$1-180+78)&lt;1,"",INDEX(Calc_Daily!$I$2:$I$2001,(Metrics!$H$1-180+78)))</f>
        <v>0</v>
      </c>
      <c r="H79">
        <f>IF((Metrics!$H$1-180+78)&lt;1,"",INDEX(Calc_Daily!$J$2:$J$2001,(Metrics!$H$1-180+78)))</f>
        <v>0</v>
      </c>
      <c r="I79">
        <f>IF((Metrics!$H$1-180+78)&lt;1,"",INDEX(Calc_Daily!$K$2:$K$2001,(Metrics!$H$1-180+78)))</f>
        <v>0</v>
      </c>
      <c r="J79">
        <f>IF((Metrics!$H$1-180+78)&lt;1,"",INDEX(Calc_Daily!$N$2:$N$2001,(Metrics!$H$1-180+78)))</f>
        <v>0</v>
      </c>
      <c r="K79">
        <f>IF((Metrics!$H$1-180+78)&lt;1,"",70)</f>
        <v>0</v>
      </c>
      <c r="L79">
        <f>IF((Metrics!$H$1-180+78)&lt;1,"",30)</f>
        <v>0</v>
      </c>
      <c r="M79">
        <f>IF((Metrics!$H$1-180+78)&lt;1,"",INDEX(Calc_Daily!$Q$2:$Q$2001,(Metrics!$H$1-180+78)))</f>
        <v>0</v>
      </c>
      <c r="N79">
        <f>IF((Metrics!$H$1-180+78)&lt;1,"",INDEX(Calc_Daily!$R$2:$R$2001,(Metrics!$H$1-180+78)))</f>
        <v>0</v>
      </c>
      <c r="O79">
        <f>IF((Metrics!$H$1-180+78)&lt;1,"",INDEX(Calc_Daily!$S$2:$S$2001,(Metrics!$H$1-180+78)))</f>
        <v>0</v>
      </c>
      <c r="P79">
        <f>IF((Metrics!$H$1-180+78)&lt;1,"",INDEX(Calc_Daily!$AM$2:$AM$2001,(Metrics!$H$1-180+78)))</f>
        <v>0</v>
      </c>
      <c r="Q79">
        <f>IF((Metrics!$H$1-180+78)&lt;1,"",INDEX(Calc_Daily!$AK$2:$AK$2001,(Metrics!$H$1-180+78)))</f>
        <v>0</v>
      </c>
      <c r="R79">
        <f>IF((Metrics!$H$1-180+78)&lt;1,"",INDEX(Calc_Daily!$AN$2:$AN$2001,(Metrics!$H$1-180+78)))</f>
        <v>0</v>
      </c>
      <c r="S79">
        <f>IF((Metrics!$H$1-180+78)&lt;1,"",INDEX(Calc_Daily!$AD$2:$AD$2001,(Metrics!$H$1-180+78)))</f>
        <v>0</v>
      </c>
      <c r="T79">
        <f>IF((Metrics!$H$1-180+78)&lt;1,"",INDEX(Calc_Daily!$AT$2:$AT$2001,(Metrics!$H$1-180+78)))</f>
        <v>0</v>
      </c>
      <c r="U79">
        <f>IF((Metrics!$H$1-180+78)&lt;1,"",INDEX(Calc_Daily!$AQ$2:$AQ$2001,(Metrics!$H$1-180+78)))</f>
        <v>0</v>
      </c>
      <c r="V79">
        <f>IF((Metrics!$H$1-180+78)&lt;1,"",INDEX(Calc_Daily!$AR$2:$AR$2001,(Metrics!$H$1-180+78)))</f>
        <v>0</v>
      </c>
    </row>
    <row r="80" spans="1:22">
      <c r="A80" s="27">
        <f>IF((Metrics!$H$1-180+79)&lt;1,"",INDEX(Calc_Daily!$A$2:$A$2001,(Metrics!$H$1-180+79)))</f>
        <v>0</v>
      </c>
      <c r="B80">
        <f>IF((Metrics!$H$1-180+79)&lt;1,"",INDEX(Calc_Daily!$B$2:$B$2001,(Metrics!$H$1-180+79)))</f>
        <v>0</v>
      </c>
      <c r="C80">
        <f>IF((Metrics!$H$1-180+79)&lt;1,"",INDEX(Calc_Daily!$C$2:$C$2001,(Metrics!$H$1-180+79)))</f>
        <v>0</v>
      </c>
      <c r="D80">
        <f>IF((Metrics!$H$1-180+79)&lt;1,"",INDEX(Calc_Daily!$D$2:$D$2001,(Metrics!$H$1-180+79)))</f>
        <v>0</v>
      </c>
      <c r="E80">
        <f>IF((Metrics!$H$1-180+79)&lt;1,"",INDEX(Calc_Daily!$E$2:$E$2001,(Metrics!$H$1-180+79)))</f>
        <v>0</v>
      </c>
      <c r="F80">
        <f>IF((Metrics!$H$1-180+79)&lt;1,"",INDEX(Calc_Daily!$H$2:$H$2001,(Metrics!$H$1-180+79)))</f>
        <v>0</v>
      </c>
      <c r="G80">
        <f>IF((Metrics!$H$1-180+79)&lt;1,"",INDEX(Calc_Daily!$I$2:$I$2001,(Metrics!$H$1-180+79)))</f>
        <v>0</v>
      </c>
      <c r="H80">
        <f>IF((Metrics!$H$1-180+79)&lt;1,"",INDEX(Calc_Daily!$J$2:$J$2001,(Metrics!$H$1-180+79)))</f>
        <v>0</v>
      </c>
      <c r="I80">
        <f>IF((Metrics!$H$1-180+79)&lt;1,"",INDEX(Calc_Daily!$K$2:$K$2001,(Metrics!$H$1-180+79)))</f>
        <v>0</v>
      </c>
      <c r="J80">
        <f>IF((Metrics!$H$1-180+79)&lt;1,"",INDEX(Calc_Daily!$N$2:$N$2001,(Metrics!$H$1-180+79)))</f>
        <v>0</v>
      </c>
      <c r="K80">
        <f>IF((Metrics!$H$1-180+79)&lt;1,"",70)</f>
        <v>0</v>
      </c>
      <c r="L80">
        <f>IF((Metrics!$H$1-180+79)&lt;1,"",30)</f>
        <v>0</v>
      </c>
      <c r="M80">
        <f>IF((Metrics!$H$1-180+79)&lt;1,"",INDEX(Calc_Daily!$Q$2:$Q$2001,(Metrics!$H$1-180+79)))</f>
        <v>0</v>
      </c>
      <c r="N80">
        <f>IF((Metrics!$H$1-180+79)&lt;1,"",INDEX(Calc_Daily!$R$2:$R$2001,(Metrics!$H$1-180+79)))</f>
        <v>0</v>
      </c>
      <c r="O80">
        <f>IF((Metrics!$H$1-180+79)&lt;1,"",INDEX(Calc_Daily!$S$2:$S$2001,(Metrics!$H$1-180+79)))</f>
        <v>0</v>
      </c>
      <c r="P80">
        <f>IF((Metrics!$H$1-180+79)&lt;1,"",INDEX(Calc_Daily!$AM$2:$AM$2001,(Metrics!$H$1-180+79)))</f>
        <v>0</v>
      </c>
      <c r="Q80">
        <f>IF((Metrics!$H$1-180+79)&lt;1,"",INDEX(Calc_Daily!$AK$2:$AK$2001,(Metrics!$H$1-180+79)))</f>
        <v>0</v>
      </c>
      <c r="R80">
        <f>IF((Metrics!$H$1-180+79)&lt;1,"",INDEX(Calc_Daily!$AN$2:$AN$2001,(Metrics!$H$1-180+79)))</f>
        <v>0</v>
      </c>
      <c r="S80">
        <f>IF((Metrics!$H$1-180+79)&lt;1,"",INDEX(Calc_Daily!$AD$2:$AD$2001,(Metrics!$H$1-180+79)))</f>
        <v>0</v>
      </c>
      <c r="T80">
        <f>IF((Metrics!$H$1-180+79)&lt;1,"",INDEX(Calc_Daily!$AT$2:$AT$2001,(Metrics!$H$1-180+79)))</f>
        <v>0</v>
      </c>
      <c r="U80">
        <f>IF((Metrics!$H$1-180+79)&lt;1,"",INDEX(Calc_Daily!$AQ$2:$AQ$2001,(Metrics!$H$1-180+79)))</f>
        <v>0</v>
      </c>
      <c r="V80">
        <f>IF((Metrics!$H$1-180+79)&lt;1,"",INDEX(Calc_Daily!$AR$2:$AR$2001,(Metrics!$H$1-180+79)))</f>
        <v>0</v>
      </c>
    </row>
    <row r="81" spans="1:22">
      <c r="A81" s="27">
        <f>IF((Metrics!$H$1-180+80)&lt;1,"",INDEX(Calc_Daily!$A$2:$A$2001,(Metrics!$H$1-180+80)))</f>
        <v>0</v>
      </c>
      <c r="B81">
        <f>IF((Metrics!$H$1-180+80)&lt;1,"",INDEX(Calc_Daily!$B$2:$B$2001,(Metrics!$H$1-180+80)))</f>
        <v>0</v>
      </c>
      <c r="C81">
        <f>IF((Metrics!$H$1-180+80)&lt;1,"",INDEX(Calc_Daily!$C$2:$C$2001,(Metrics!$H$1-180+80)))</f>
        <v>0</v>
      </c>
      <c r="D81">
        <f>IF((Metrics!$H$1-180+80)&lt;1,"",INDEX(Calc_Daily!$D$2:$D$2001,(Metrics!$H$1-180+80)))</f>
        <v>0</v>
      </c>
      <c r="E81">
        <f>IF((Metrics!$H$1-180+80)&lt;1,"",INDEX(Calc_Daily!$E$2:$E$2001,(Metrics!$H$1-180+80)))</f>
        <v>0</v>
      </c>
      <c r="F81">
        <f>IF((Metrics!$H$1-180+80)&lt;1,"",INDEX(Calc_Daily!$H$2:$H$2001,(Metrics!$H$1-180+80)))</f>
        <v>0</v>
      </c>
      <c r="G81">
        <f>IF((Metrics!$H$1-180+80)&lt;1,"",INDEX(Calc_Daily!$I$2:$I$2001,(Metrics!$H$1-180+80)))</f>
        <v>0</v>
      </c>
      <c r="H81">
        <f>IF((Metrics!$H$1-180+80)&lt;1,"",INDEX(Calc_Daily!$J$2:$J$2001,(Metrics!$H$1-180+80)))</f>
        <v>0</v>
      </c>
      <c r="I81">
        <f>IF((Metrics!$H$1-180+80)&lt;1,"",INDEX(Calc_Daily!$K$2:$K$2001,(Metrics!$H$1-180+80)))</f>
        <v>0</v>
      </c>
      <c r="J81">
        <f>IF((Metrics!$H$1-180+80)&lt;1,"",INDEX(Calc_Daily!$N$2:$N$2001,(Metrics!$H$1-180+80)))</f>
        <v>0</v>
      </c>
      <c r="K81">
        <f>IF((Metrics!$H$1-180+80)&lt;1,"",70)</f>
        <v>0</v>
      </c>
      <c r="L81">
        <f>IF((Metrics!$H$1-180+80)&lt;1,"",30)</f>
        <v>0</v>
      </c>
      <c r="M81">
        <f>IF((Metrics!$H$1-180+80)&lt;1,"",INDEX(Calc_Daily!$Q$2:$Q$2001,(Metrics!$H$1-180+80)))</f>
        <v>0</v>
      </c>
      <c r="N81">
        <f>IF((Metrics!$H$1-180+80)&lt;1,"",INDEX(Calc_Daily!$R$2:$R$2001,(Metrics!$H$1-180+80)))</f>
        <v>0</v>
      </c>
      <c r="O81">
        <f>IF((Metrics!$H$1-180+80)&lt;1,"",INDEX(Calc_Daily!$S$2:$S$2001,(Metrics!$H$1-180+80)))</f>
        <v>0</v>
      </c>
      <c r="P81">
        <f>IF((Metrics!$H$1-180+80)&lt;1,"",INDEX(Calc_Daily!$AM$2:$AM$2001,(Metrics!$H$1-180+80)))</f>
        <v>0</v>
      </c>
      <c r="Q81">
        <f>IF((Metrics!$H$1-180+80)&lt;1,"",INDEX(Calc_Daily!$AK$2:$AK$2001,(Metrics!$H$1-180+80)))</f>
        <v>0</v>
      </c>
      <c r="R81">
        <f>IF((Metrics!$H$1-180+80)&lt;1,"",INDEX(Calc_Daily!$AN$2:$AN$2001,(Metrics!$H$1-180+80)))</f>
        <v>0</v>
      </c>
      <c r="S81">
        <f>IF((Metrics!$H$1-180+80)&lt;1,"",INDEX(Calc_Daily!$AD$2:$AD$2001,(Metrics!$H$1-180+80)))</f>
        <v>0</v>
      </c>
      <c r="T81">
        <f>IF((Metrics!$H$1-180+80)&lt;1,"",INDEX(Calc_Daily!$AT$2:$AT$2001,(Metrics!$H$1-180+80)))</f>
        <v>0</v>
      </c>
      <c r="U81">
        <f>IF((Metrics!$H$1-180+80)&lt;1,"",INDEX(Calc_Daily!$AQ$2:$AQ$2001,(Metrics!$H$1-180+80)))</f>
        <v>0</v>
      </c>
      <c r="V81">
        <f>IF((Metrics!$H$1-180+80)&lt;1,"",INDEX(Calc_Daily!$AR$2:$AR$2001,(Metrics!$H$1-180+80)))</f>
        <v>0</v>
      </c>
    </row>
    <row r="82" spans="1:22">
      <c r="A82" s="27">
        <f>IF((Metrics!$H$1-180+81)&lt;1,"",INDEX(Calc_Daily!$A$2:$A$2001,(Metrics!$H$1-180+81)))</f>
        <v>0</v>
      </c>
      <c r="B82">
        <f>IF((Metrics!$H$1-180+81)&lt;1,"",INDEX(Calc_Daily!$B$2:$B$2001,(Metrics!$H$1-180+81)))</f>
        <v>0</v>
      </c>
      <c r="C82">
        <f>IF((Metrics!$H$1-180+81)&lt;1,"",INDEX(Calc_Daily!$C$2:$C$2001,(Metrics!$H$1-180+81)))</f>
        <v>0</v>
      </c>
      <c r="D82">
        <f>IF((Metrics!$H$1-180+81)&lt;1,"",INDEX(Calc_Daily!$D$2:$D$2001,(Metrics!$H$1-180+81)))</f>
        <v>0</v>
      </c>
      <c r="E82">
        <f>IF((Metrics!$H$1-180+81)&lt;1,"",INDEX(Calc_Daily!$E$2:$E$2001,(Metrics!$H$1-180+81)))</f>
        <v>0</v>
      </c>
      <c r="F82">
        <f>IF((Metrics!$H$1-180+81)&lt;1,"",INDEX(Calc_Daily!$H$2:$H$2001,(Metrics!$H$1-180+81)))</f>
        <v>0</v>
      </c>
      <c r="G82">
        <f>IF((Metrics!$H$1-180+81)&lt;1,"",INDEX(Calc_Daily!$I$2:$I$2001,(Metrics!$H$1-180+81)))</f>
        <v>0</v>
      </c>
      <c r="H82">
        <f>IF((Metrics!$H$1-180+81)&lt;1,"",INDEX(Calc_Daily!$J$2:$J$2001,(Metrics!$H$1-180+81)))</f>
        <v>0</v>
      </c>
      <c r="I82">
        <f>IF((Metrics!$H$1-180+81)&lt;1,"",INDEX(Calc_Daily!$K$2:$K$2001,(Metrics!$H$1-180+81)))</f>
        <v>0</v>
      </c>
      <c r="J82">
        <f>IF((Metrics!$H$1-180+81)&lt;1,"",INDEX(Calc_Daily!$N$2:$N$2001,(Metrics!$H$1-180+81)))</f>
        <v>0</v>
      </c>
      <c r="K82">
        <f>IF((Metrics!$H$1-180+81)&lt;1,"",70)</f>
        <v>0</v>
      </c>
      <c r="L82">
        <f>IF((Metrics!$H$1-180+81)&lt;1,"",30)</f>
        <v>0</v>
      </c>
      <c r="M82">
        <f>IF((Metrics!$H$1-180+81)&lt;1,"",INDEX(Calc_Daily!$Q$2:$Q$2001,(Metrics!$H$1-180+81)))</f>
        <v>0</v>
      </c>
      <c r="N82">
        <f>IF((Metrics!$H$1-180+81)&lt;1,"",INDEX(Calc_Daily!$R$2:$R$2001,(Metrics!$H$1-180+81)))</f>
        <v>0</v>
      </c>
      <c r="O82">
        <f>IF((Metrics!$H$1-180+81)&lt;1,"",INDEX(Calc_Daily!$S$2:$S$2001,(Metrics!$H$1-180+81)))</f>
        <v>0</v>
      </c>
      <c r="P82">
        <f>IF((Metrics!$H$1-180+81)&lt;1,"",INDEX(Calc_Daily!$AM$2:$AM$2001,(Metrics!$H$1-180+81)))</f>
        <v>0</v>
      </c>
      <c r="Q82">
        <f>IF((Metrics!$H$1-180+81)&lt;1,"",INDEX(Calc_Daily!$AK$2:$AK$2001,(Metrics!$H$1-180+81)))</f>
        <v>0</v>
      </c>
      <c r="R82">
        <f>IF((Metrics!$H$1-180+81)&lt;1,"",INDEX(Calc_Daily!$AN$2:$AN$2001,(Metrics!$H$1-180+81)))</f>
        <v>0</v>
      </c>
      <c r="S82">
        <f>IF((Metrics!$H$1-180+81)&lt;1,"",INDEX(Calc_Daily!$AD$2:$AD$2001,(Metrics!$H$1-180+81)))</f>
        <v>0</v>
      </c>
      <c r="T82">
        <f>IF((Metrics!$H$1-180+81)&lt;1,"",INDEX(Calc_Daily!$AT$2:$AT$2001,(Metrics!$H$1-180+81)))</f>
        <v>0</v>
      </c>
      <c r="U82">
        <f>IF((Metrics!$H$1-180+81)&lt;1,"",INDEX(Calc_Daily!$AQ$2:$AQ$2001,(Metrics!$H$1-180+81)))</f>
        <v>0</v>
      </c>
      <c r="V82">
        <f>IF((Metrics!$H$1-180+81)&lt;1,"",INDEX(Calc_Daily!$AR$2:$AR$2001,(Metrics!$H$1-180+81)))</f>
        <v>0</v>
      </c>
    </row>
    <row r="83" spans="1:22">
      <c r="A83" s="27">
        <f>IF((Metrics!$H$1-180+82)&lt;1,"",INDEX(Calc_Daily!$A$2:$A$2001,(Metrics!$H$1-180+82)))</f>
        <v>0</v>
      </c>
      <c r="B83">
        <f>IF((Metrics!$H$1-180+82)&lt;1,"",INDEX(Calc_Daily!$B$2:$B$2001,(Metrics!$H$1-180+82)))</f>
        <v>0</v>
      </c>
      <c r="C83">
        <f>IF((Metrics!$H$1-180+82)&lt;1,"",INDEX(Calc_Daily!$C$2:$C$2001,(Metrics!$H$1-180+82)))</f>
        <v>0</v>
      </c>
      <c r="D83">
        <f>IF((Metrics!$H$1-180+82)&lt;1,"",INDEX(Calc_Daily!$D$2:$D$2001,(Metrics!$H$1-180+82)))</f>
        <v>0</v>
      </c>
      <c r="E83">
        <f>IF((Metrics!$H$1-180+82)&lt;1,"",INDEX(Calc_Daily!$E$2:$E$2001,(Metrics!$H$1-180+82)))</f>
        <v>0</v>
      </c>
      <c r="F83">
        <f>IF((Metrics!$H$1-180+82)&lt;1,"",INDEX(Calc_Daily!$H$2:$H$2001,(Metrics!$H$1-180+82)))</f>
        <v>0</v>
      </c>
      <c r="G83">
        <f>IF((Metrics!$H$1-180+82)&lt;1,"",INDEX(Calc_Daily!$I$2:$I$2001,(Metrics!$H$1-180+82)))</f>
        <v>0</v>
      </c>
      <c r="H83">
        <f>IF((Metrics!$H$1-180+82)&lt;1,"",INDEX(Calc_Daily!$J$2:$J$2001,(Metrics!$H$1-180+82)))</f>
        <v>0</v>
      </c>
      <c r="I83">
        <f>IF((Metrics!$H$1-180+82)&lt;1,"",INDEX(Calc_Daily!$K$2:$K$2001,(Metrics!$H$1-180+82)))</f>
        <v>0</v>
      </c>
      <c r="J83">
        <f>IF((Metrics!$H$1-180+82)&lt;1,"",INDEX(Calc_Daily!$N$2:$N$2001,(Metrics!$H$1-180+82)))</f>
        <v>0</v>
      </c>
      <c r="K83">
        <f>IF((Metrics!$H$1-180+82)&lt;1,"",70)</f>
        <v>0</v>
      </c>
      <c r="L83">
        <f>IF((Metrics!$H$1-180+82)&lt;1,"",30)</f>
        <v>0</v>
      </c>
      <c r="M83">
        <f>IF((Metrics!$H$1-180+82)&lt;1,"",INDEX(Calc_Daily!$Q$2:$Q$2001,(Metrics!$H$1-180+82)))</f>
        <v>0</v>
      </c>
      <c r="N83">
        <f>IF((Metrics!$H$1-180+82)&lt;1,"",INDEX(Calc_Daily!$R$2:$R$2001,(Metrics!$H$1-180+82)))</f>
        <v>0</v>
      </c>
      <c r="O83">
        <f>IF((Metrics!$H$1-180+82)&lt;1,"",INDEX(Calc_Daily!$S$2:$S$2001,(Metrics!$H$1-180+82)))</f>
        <v>0</v>
      </c>
      <c r="P83">
        <f>IF((Metrics!$H$1-180+82)&lt;1,"",INDEX(Calc_Daily!$AM$2:$AM$2001,(Metrics!$H$1-180+82)))</f>
        <v>0</v>
      </c>
      <c r="Q83">
        <f>IF((Metrics!$H$1-180+82)&lt;1,"",INDEX(Calc_Daily!$AK$2:$AK$2001,(Metrics!$H$1-180+82)))</f>
        <v>0</v>
      </c>
      <c r="R83">
        <f>IF((Metrics!$H$1-180+82)&lt;1,"",INDEX(Calc_Daily!$AN$2:$AN$2001,(Metrics!$H$1-180+82)))</f>
        <v>0</v>
      </c>
      <c r="S83">
        <f>IF((Metrics!$H$1-180+82)&lt;1,"",INDEX(Calc_Daily!$AD$2:$AD$2001,(Metrics!$H$1-180+82)))</f>
        <v>0</v>
      </c>
      <c r="T83">
        <f>IF((Metrics!$H$1-180+82)&lt;1,"",INDEX(Calc_Daily!$AT$2:$AT$2001,(Metrics!$H$1-180+82)))</f>
        <v>0</v>
      </c>
      <c r="U83">
        <f>IF((Metrics!$H$1-180+82)&lt;1,"",INDEX(Calc_Daily!$AQ$2:$AQ$2001,(Metrics!$H$1-180+82)))</f>
        <v>0</v>
      </c>
      <c r="V83">
        <f>IF((Metrics!$H$1-180+82)&lt;1,"",INDEX(Calc_Daily!$AR$2:$AR$2001,(Metrics!$H$1-180+82)))</f>
        <v>0</v>
      </c>
    </row>
    <row r="84" spans="1:22">
      <c r="A84" s="27">
        <f>IF((Metrics!$H$1-180+83)&lt;1,"",INDEX(Calc_Daily!$A$2:$A$2001,(Metrics!$H$1-180+83)))</f>
        <v>0</v>
      </c>
      <c r="B84">
        <f>IF((Metrics!$H$1-180+83)&lt;1,"",INDEX(Calc_Daily!$B$2:$B$2001,(Metrics!$H$1-180+83)))</f>
        <v>0</v>
      </c>
      <c r="C84">
        <f>IF((Metrics!$H$1-180+83)&lt;1,"",INDEX(Calc_Daily!$C$2:$C$2001,(Metrics!$H$1-180+83)))</f>
        <v>0</v>
      </c>
      <c r="D84">
        <f>IF((Metrics!$H$1-180+83)&lt;1,"",INDEX(Calc_Daily!$D$2:$D$2001,(Metrics!$H$1-180+83)))</f>
        <v>0</v>
      </c>
      <c r="E84">
        <f>IF((Metrics!$H$1-180+83)&lt;1,"",INDEX(Calc_Daily!$E$2:$E$2001,(Metrics!$H$1-180+83)))</f>
        <v>0</v>
      </c>
      <c r="F84">
        <f>IF((Metrics!$H$1-180+83)&lt;1,"",INDEX(Calc_Daily!$H$2:$H$2001,(Metrics!$H$1-180+83)))</f>
        <v>0</v>
      </c>
      <c r="G84">
        <f>IF((Metrics!$H$1-180+83)&lt;1,"",INDEX(Calc_Daily!$I$2:$I$2001,(Metrics!$H$1-180+83)))</f>
        <v>0</v>
      </c>
      <c r="H84">
        <f>IF((Metrics!$H$1-180+83)&lt;1,"",INDEX(Calc_Daily!$J$2:$J$2001,(Metrics!$H$1-180+83)))</f>
        <v>0</v>
      </c>
      <c r="I84">
        <f>IF((Metrics!$H$1-180+83)&lt;1,"",INDEX(Calc_Daily!$K$2:$K$2001,(Metrics!$H$1-180+83)))</f>
        <v>0</v>
      </c>
      <c r="J84">
        <f>IF((Metrics!$H$1-180+83)&lt;1,"",INDEX(Calc_Daily!$N$2:$N$2001,(Metrics!$H$1-180+83)))</f>
        <v>0</v>
      </c>
      <c r="K84">
        <f>IF((Metrics!$H$1-180+83)&lt;1,"",70)</f>
        <v>0</v>
      </c>
      <c r="L84">
        <f>IF((Metrics!$H$1-180+83)&lt;1,"",30)</f>
        <v>0</v>
      </c>
      <c r="M84">
        <f>IF((Metrics!$H$1-180+83)&lt;1,"",INDEX(Calc_Daily!$Q$2:$Q$2001,(Metrics!$H$1-180+83)))</f>
        <v>0</v>
      </c>
      <c r="N84">
        <f>IF((Metrics!$H$1-180+83)&lt;1,"",INDEX(Calc_Daily!$R$2:$R$2001,(Metrics!$H$1-180+83)))</f>
        <v>0</v>
      </c>
      <c r="O84">
        <f>IF((Metrics!$H$1-180+83)&lt;1,"",INDEX(Calc_Daily!$S$2:$S$2001,(Metrics!$H$1-180+83)))</f>
        <v>0</v>
      </c>
      <c r="P84">
        <f>IF((Metrics!$H$1-180+83)&lt;1,"",INDEX(Calc_Daily!$AM$2:$AM$2001,(Metrics!$H$1-180+83)))</f>
        <v>0</v>
      </c>
      <c r="Q84">
        <f>IF((Metrics!$H$1-180+83)&lt;1,"",INDEX(Calc_Daily!$AK$2:$AK$2001,(Metrics!$H$1-180+83)))</f>
        <v>0</v>
      </c>
      <c r="R84">
        <f>IF((Metrics!$H$1-180+83)&lt;1,"",INDEX(Calc_Daily!$AN$2:$AN$2001,(Metrics!$H$1-180+83)))</f>
        <v>0</v>
      </c>
      <c r="S84">
        <f>IF((Metrics!$H$1-180+83)&lt;1,"",INDEX(Calc_Daily!$AD$2:$AD$2001,(Metrics!$H$1-180+83)))</f>
        <v>0</v>
      </c>
      <c r="T84">
        <f>IF((Metrics!$H$1-180+83)&lt;1,"",INDEX(Calc_Daily!$AT$2:$AT$2001,(Metrics!$H$1-180+83)))</f>
        <v>0</v>
      </c>
      <c r="U84">
        <f>IF((Metrics!$H$1-180+83)&lt;1,"",INDEX(Calc_Daily!$AQ$2:$AQ$2001,(Metrics!$H$1-180+83)))</f>
        <v>0</v>
      </c>
      <c r="V84">
        <f>IF((Metrics!$H$1-180+83)&lt;1,"",INDEX(Calc_Daily!$AR$2:$AR$2001,(Metrics!$H$1-180+83)))</f>
        <v>0</v>
      </c>
    </row>
    <row r="85" spans="1:22">
      <c r="A85" s="27">
        <f>IF((Metrics!$H$1-180+84)&lt;1,"",INDEX(Calc_Daily!$A$2:$A$2001,(Metrics!$H$1-180+84)))</f>
        <v>0</v>
      </c>
      <c r="B85">
        <f>IF((Metrics!$H$1-180+84)&lt;1,"",INDEX(Calc_Daily!$B$2:$B$2001,(Metrics!$H$1-180+84)))</f>
        <v>0</v>
      </c>
      <c r="C85">
        <f>IF((Metrics!$H$1-180+84)&lt;1,"",INDEX(Calc_Daily!$C$2:$C$2001,(Metrics!$H$1-180+84)))</f>
        <v>0</v>
      </c>
      <c r="D85">
        <f>IF((Metrics!$H$1-180+84)&lt;1,"",INDEX(Calc_Daily!$D$2:$D$2001,(Metrics!$H$1-180+84)))</f>
        <v>0</v>
      </c>
      <c r="E85">
        <f>IF((Metrics!$H$1-180+84)&lt;1,"",INDEX(Calc_Daily!$E$2:$E$2001,(Metrics!$H$1-180+84)))</f>
        <v>0</v>
      </c>
      <c r="F85">
        <f>IF((Metrics!$H$1-180+84)&lt;1,"",INDEX(Calc_Daily!$H$2:$H$2001,(Metrics!$H$1-180+84)))</f>
        <v>0</v>
      </c>
      <c r="G85">
        <f>IF((Metrics!$H$1-180+84)&lt;1,"",INDEX(Calc_Daily!$I$2:$I$2001,(Metrics!$H$1-180+84)))</f>
        <v>0</v>
      </c>
      <c r="H85">
        <f>IF((Metrics!$H$1-180+84)&lt;1,"",INDEX(Calc_Daily!$J$2:$J$2001,(Metrics!$H$1-180+84)))</f>
        <v>0</v>
      </c>
      <c r="I85">
        <f>IF((Metrics!$H$1-180+84)&lt;1,"",INDEX(Calc_Daily!$K$2:$K$2001,(Metrics!$H$1-180+84)))</f>
        <v>0</v>
      </c>
      <c r="J85">
        <f>IF((Metrics!$H$1-180+84)&lt;1,"",INDEX(Calc_Daily!$N$2:$N$2001,(Metrics!$H$1-180+84)))</f>
        <v>0</v>
      </c>
      <c r="K85">
        <f>IF((Metrics!$H$1-180+84)&lt;1,"",70)</f>
        <v>0</v>
      </c>
      <c r="L85">
        <f>IF((Metrics!$H$1-180+84)&lt;1,"",30)</f>
        <v>0</v>
      </c>
      <c r="M85">
        <f>IF((Metrics!$H$1-180+84)&lt;1,"",INDEX(Calc_Daily!$Q$2:$Q$2001,(Metrics!$H$1-180+84)))</f>
        <v>0</v>
      </c>
      <c r="N85">
        <f>IF((Metrics!$H$1-180+84)&lt;1,"",INDEX(Calc_Daily!$R$2:$R$2001,(Metrics!$H$1-180+84)))</f>
        <v>0</v>
      </c>
      <c r="O85">
        <f>IF((Metrics!$H$1-180+84)&lt;1,"",INDEX(Calc_Daily!$S$2:$S$2001,(Metrics!$H$1-180+84)))</f>
        <v>0</v>
      </c>
      <c r="P85">
        <f>IF((Metrics!$H$1-180+84)&lt;1,"",INDEX(Calc_Daily!$AM$2:$AM$2001,(Metrics!$H$1-180+84)))</f>
        <v>0</v>
      </c>
      <c r="Q85">
        <f>IF((Metrics!$H$1-180+84)&lt;1,"",INDEX(Calc_Daily!$AK$2:$AK$2001,(Metrics!$H$1-180+84)))</f>
        <v>0</v>
      </c>
      <c r="R85">
        <f>IF((Metrics!$H$1-180+84)&lt;1,"",INDEX(Calc_Daily!$AN$2:$AN$2001,(Metrics!$H$1-180+84)))</f>
        <v>0</v>
      </c>
      <c r="S85">
        <f>IF((Metrics!$H$1-180+84)&lt;1,"",INDEX(Calc_Daily!$AD$2:$AD$2001,(Metrics!$H$1-180+84)))</f>
        <v>0</v>
      </c>
      <c r="T85">
        <f>IF((Metrics!$H$1-180+84)&lt;1,"",INDEX(Calc_Daily!$AT$2:$AT$2001,(Metrics!$H$1-180+84)))</f>
        <v>0</v>
      </c>
      <c r="U85">
        <f>IF((Metrics!$H$1-180+84)&lt;1,"",INDEX(Calc_Daily!$AQ$2:$AQ$2001,(Metrics!$H$1-180+84)))</f>
        <v>0</v>
      </c>
      <c r="V85">
        <f>IF((Metrics!$H$1-180+84)&lt;1,"",INDEX(Calc_Daily!$AR$2:$AR$2001,(Metrics!$H$1-180+84)))</f>
        <v>0</v>
      </c>
    </row>
    <row r="86" spans="1:22">
      <c r="A86" s="27">
        <f>IF((Metrics!$H$1-180+85)&lt;1,"",INDEX(Calc_Daily!$A$2:$A$2001,(Metrics!$H$1-180+85)))</f>
        <v>0</v>
      </c>
      <c r="B86">
        <f>IF((Metrics!$H$1-180+85)&lt;1,"",INDEX(Calc_Daily!$B$2:$B$2001,(Metrics!$H$1-180+85)))</f>
        <v>0</v>
      </c>
      <c r="C86">
        <f>IF((Metrics!$H$1-180+85)&lt;1,"",INDEX(Calc_Daily!$C$2:$C$2001,(Metrics!$H$1-180+85)))</f>
        <v>0</v>
      </c>
      <c r="D86">
        <f>IF((Metrics!$H$1-180+85)&lt;1,"",INDEX(Calc_Daily!$D$2:$D$2001,(Metrics!$H$1-180+85)))</f>
        <v>0</v>
      </c>
      <c r="E86">
        <f>IF((Metrics!$H$1-180+85)&lt;1,"",INDEX(Calc_Daily!$E$2:$E$2001,(Metrics!$H$1-180+85)))</f>
        <v>0</v>
      </c>
      <c r="F86">
        <f>IF((Metrics!$H$1-180+85)&lt;1,"",INDEX(Calc_Daily!$H$2:$H$2001,(Metrics!$H$1-180+85)))</f>
        <v>0</v>
      </c>
      <c r="G86">
        <f>IF((Metrics!$H$1-180+85)&lt;1,"",INDEX(Calc_Daily!$I$2:$I$2001,(Metrics!$H$1-180+85)))</f>
        <v>0</v>
      </c>
      <c r="H86">
        <f>IF((Metrics!$H$1-180+85)&lt;1,"",INDEX(Calc_Daily!$J$2:$J$2001,(Metrics!$H$1-180+85)))</f>
        <v>0</v>
      </c>
      <c r="I86">
        <f>IF((Metrics!$H$1-180+85)&lt;1,"",INDEX(Calc_Daily!$K$2:$K$2001,(Metrics!$H$1-180+85)))</f>
        <v>0</v>
      </c>
      <c r="J86">
        <f>IF((Metrics!$H$1-180+85)&lt;1,"",INDEX(Calc_Daily!$N$2:$N$2001,(Metrics!$H$1-180+85)))</f>
        <v>0</v>
      </c>
      <c r="K86">
        <f>IF((Metrics!$H$1-180+85)&lt;1,"",70)</f>
        <v>0</v>
      </c>
      <c r="L86">
        <f>IF((Metrics!$H$1-180+85)&lt;1,"",30)</f>
        <v>0</v>
      </c>
      <c r="M86">
        <f>IF((Metrics!$H$1-180+85)&lt;1,"",INDEX(Calc_Daily!$Q$2:$Q$2001,(Metrics!$H$1-180+85)))</f>
        <v>0</v>
      </c>
      <c r="N86">
        <f>IF((Metrics!$H$1-180+85)&lt;1,"",INDEX(Calc_Daily!$R$2:$R$2001,(Metrics!$H$1-180+85)))</f>
        <v>0</v>
      </c>
      <c r="O86">
        <f>IF((Metrics!$H$1-180+85)&lt;1,"",INDEX(Calc_Daily!$S$2:$S$2001,(Metrics!$H$1-180+85)))</f>
        <v>0</v>
      </c>
      <c r="P86">
        <f>IF((Metrics!$H$1-180+85)&lt;1,"",INDEX(Calc_Daily!$AM$2:$AM$2001,(Metrics!$H$1-180+85)))</f>
        <v>0</v>
      </c>
      <c r="Q86">
        <f>IF((Metrics!$H$1-180+85)&lt;1,"",INDEX(Calc_Daily!$AK$2:$AK$2001,(Metrics!$H$1-180+85)))</f>
        <v>0</v>
      </c>
      <c r="R86">
        <f>IF((Metrics!$H$1-180+85)&lt;1,"",INDEX(Calc_Daily!$AN$2:$AN$2001,(Metrics!$H$1-180+85)))</f>
        <v>0</v>
      </c>
      <c r="S86">
        <f>IF((Metrics!$H$1-180+85)&lt;1,"",INDEX(Calc_Daily!$AD$2:$AD$2001,(Metrics!$H$1-180+85)))</f>
        <v>0</v>
      </c>
      <c r="T86">
        <f>IF((Metrics!$H$1-180+85)&lt;1,"",INDEX(Calc_Daily!$AT$2:$AT$2001,(Metrics!$H$1-180+85)))</f>
        <v>0</v>
      </c>
      <c r="U86">
        <f>IF((Metrics!$H$1-180+85)&lt;1,"",INDEX(Calc_Daily!$AQ$2:$AQ$2001,(Metrics!$H$1-180+85)))</f>
        <v>0</v>
      </c>
      <c r="V86">
        <f>IF((Metrics!$H$1-180+85)&lt;1,"",INDEX(Calc_Daily!$AR$2:$AR$2001,(Metrics!$H$1-180+85)))</f>
        <v>0</v>
      </c>
    </row>
    <row r="87" spans="1:22">
      <c r="A87" s="27">
        <f>IF((Metrics!$H$1-180+86)&lt;1,"",INDEX(Calc_Daily!$A$2:$A$2001,(Metrics!$H$1-180+86)))</f>
        <v>0</v>
      </c>
      <c r="B87">
        <f>IF((Metrics!$H$1-180+86)&lt;1,"",INDEX(Calc_Daily!$B$2:$B$2001,(Metrics!$H$1-180+86)))</f>
        <v>0</v>
      </c>
      <c r="C87">
        <f>IF((Metrics!$H$1-180+86)&lt;1,"",INDEX(Calc_Daily!$C$2:$C$2001,(Metrics!$H$1-180+86)))</f>
        <v>0</v>
      </c>
      <c r="D87">
        <f>IF((Metrics!$H$1-180+86)&lt;1,"",INDEX(Calc_Daily!$D$2:$D$2001,(Metrics!$H$1-180+86)))</f>
        <v>0</v>
      </c>
      <c r="E87">
        <f>IF((Metrics!$H$1-180+86)&lt;1,"",INDEX(Calc_Daily!$E$2:$E$2001,(Metrics!$H$1-180+86)))</f>
        <v>0</v>
      </c>
      <c r="F87">
        <f>IF((Metrics!$H$1-180+86)&lt;1,"",INDEX(Calc_Daily!$H$2:$H$2001,(Metrics!$H$1-180+86)))</f>
        <v>0</v>
      </c>
      <c r="G87">
        <f>IF((Metrics!$H$1-180+86)&lt;1,"",INDEX(Calc_Daily!$I$2:$I$2001,(Metrics!$H$1-180+86)))</f>
        <v>0</v>
      </c>
      <c r="H87">
        <f>IF((Metrics!$H$1-180+86)&lt;1,"",INDEX(Calc_Daily!$J$2:$J$2001,(Metrics!$H$1-180+86)))</f>
        <v>0</v>
      </c>
      <c r="I87">
        <f>IF((Metrics!$H$1-180+86)&lt;1,"",INDEX(Calc_Daily!$K$2:$K$2001,(Metrics!$H$1-180+86)))</f>
        <v>0</v>
      </c>
      <c r="J87">
        <f>IF((Metrics!$H$1-180+86)&lt;1,"",INDEX(Calc_Daily!$N$2:$N$2001,(Metrics!$H$1-180+86)))</f>
        <v>0</v>
      </c>
      <c r="K87">
        <f>IF((Metrics!$H$1-180+86)&lt;1,"",70)</f>
        <v>0</v>
      </c>
      <c r="L87">
        <f>IF((Metrics!$H$1-180+86)&lt;1,"",30)</f>
        <v>0</v>
      </c>
      <c r="M87">
        <f>IF((Metrics!$H$1-180+86)&lt;1,"",INDEX(Calc_Daily!$Q$2:$Q$2001,(Metrics!$H$1-180+86)))</f>
        <v>0</v>
      </c>
      <c r="N87">
        <f>IF((Metrics!$H$1-180+86)&lt;1,"",INDEX(Calc_Daily!$R$2:$R$2001,(Metrics!$H$1-180+86)))</f>
        <v>0</v>
      </c>
      <c r="O87">
        <f>IF((Metrics!$H$1-180+86)&lt;1,"",INDEX(Calc_Daily!$S$2:$S$2001,(Metrics!$H$1-180+86)))</f>
        <v>0</v>
      </c>
      <c r="P87">
        <f>IF((Metrics!$H$1-180+86)&lt;1,"",INDEX(Calc_Daily!$AM$2:$AM$2001,(Metrics!$H$1-180+86)))</f>
        <v>0</v>
      </c>
      <c r="Q87">
        <f>IF((Metrics!$H$1-180+86)&lt;1,"",INDEX(Calc_Daily!$AK$2:$AK$2001,(Metrics!$H$1-180+86)))</f>
        <v>0</v>
      </c>
      <c r="R87">
        <f>IF((Metrics!$H$1-180+86)&lt;1,"",INDEX(Calc_Daily!$AN$2:$AN$2001,(Metrics!$H$1-180+86)))</f>
        <v>0</v>
      </c>
      <c r="S87">
        <f>IF((Metrics!$H$1-180+86)&lt;1,"",INDEX(Calc_Daily!$AD$2:$AD$2001,(Metrics!$H$1-180+86)))</f>
        <v>0</v>
      </c>
      <c r="T87">
        <f>IF((Metrics!$H$1-180+86)&lt;1,"",INDEX(Calc_Daily!$AT$2:$AT$2001,(Metrics!$H$1-180+86)))</f>
        <v>0</v>
      </c>
      <c r="U87">
        <f>IF((Metrics!$H$1-180+86)&lt;1,"",INDEX(Calc_Daily!$AQ$2:$AQ$2001,(Metrics!$H$1-180+86)))</f>
        <v>0</v>
      </c>
      <c r="V87">
        <f>IF((Metrics!$H$1-180+86)&lt;1,"",INDEX(Calc_Daily!$AR$2:$AR$2001,(Metrics!$H$1-180+86)))</f>
        <v>0</v>
      </c>
    </row>
    <row r="88" spans="1:22">
      <c r="A88" s="27">
        <f>IF((Metrics!$H$1-180+87)&lt;1,"",INDEX(Calc_Daily!$A$2:$A$2001,(Metrics!$H$1-180+87)))</f>
        <v>0</v>
      </c>
      <c r="B88">
        <f>IF((Metrics!$H$1-180+87)&lt;1,"",INDEX(Calc_Daily!$B$2:$B$2001,(Metrics!$H$1-180+87)))</f>
        <v>0</v>
      </c>
      <c r="C88">
        <f>IF((Metrics!$H$1-180+87)&lt;1,"",INDEX(Calc_Daily!$C$2:$C$2001,(Metrics!$H$1-180+87)))</f>
        <v>0</v>
      </c>
      <c r="D88">
        <f>IF((Metrics!$H$1-180+87)&lt;1,"",INDEX(Calc_Daily!$D$2:$D$2001,(Metrics!$H$1-180+87)))</f>
        <v>0</v>
      </c>
      <c r="E88">
        <f>IF((Metrics!$H$1-180+87)&lt;1,"",INDEX(Calc_Daily!$E$2:$E$2001,(Metrics!$H$1-180+87)))</f>
        <v>0</v>
      </c>
      <c r="F88">
        <f>IF((Metrics!$H$1-180+87)&lt;1,"",INDEX(Calc_Daily!$H$2:$H$2001,(Metrics!$H$1-180+87)))</f>
        <v>0</v>
      </c>
      <c r="G88">
        <f>IF((Metrics!$H$1-180+87)&lt;1,"",INDEX(Calc_Daily!$I$2:$I$2001,(Metrics!$H$1-180+87)))</f>
        <v>0</v>
      </c>
      <c r="H88">
        <f>IF((Metrics!$H$1-180+87)&lt;1,"",INDEX(Calc_Daily!$J$2:$J$2001,(Metrics!$H$1-180+87)))</f>
        <v>0</v>
      </c>
      <c r="I88">
        <f>IF((Metrics!$H$1-180+87)&lt;1,"",INDEX(Calc_Daily!$K$2:$K$2001,(Metrics!$H$1-180+87)))</f>
        <v>0</v>
      </c>
      <c r="J88">
        <f>IF((Metrics!$H$1-180+87)&lt;1,"",INDEX(Calc_Daily!$N$2:$N$2001,(Metrics!$H$1-180+87)))</f>
        <v>0</v>
      </c>
      <c r="K88">
        <f>IF((Metrics!$H$1-180+87)&lt;1,"",70)</f>
        <v>0</v>
      </c>
      <c r="L88">
        <f>IF((Metrics!$H$1-180+87)&lt;1,"",30)</f>
        <v>0</v>
      </c>
      <c r="M88">
        <f>IF((Metrics!$H$1-180+87)&lt;1,"",INDEX(Calc_Daily!$Q$2:$Q$2001,(Metrics!$H$1-180+87)))</f>
        <v>0</v>
      </c>
      <c r="N88">
        <f>IF((Metrics!$H$1-180+87)&lt;1,"",INDEX(Calc_Daily!$R$2:$R$2001,(Metrics!$H$1-180+87)))</f>
        <v>0</v>
      </c>
      <c r="O88">
        <f>IF((Metrics!$H$1-180+87)&lt;1,"",INDEX(Calc_Daily!$S$2:$S$2001,(Metrics!$H$1-180+87)))</f>
        <v>0</v>
      </c>
      <c r="P88">
        <f>IF((Metrics!$H$1-180+87)&lt;1,"",INDEX(Calc_Daily!$AM$2:$AM$2001,(Metrics!$H$1-180+87)))</f>
        <v>0</v>
      </c>
      <c r="Q88">
        <f>IF((Metrics!$H$1-180+87)&lt;1,"",INDEX(Calc_Daily!$AK$2:$AK$2001,(Metrics!$H$1-180+87)))</f>
        <v>0</v>
      </c>
      <c r="R88">
        <f>IF((Metrics!$H$1-180+87)&lt;1,"",INDEX(Calc_Daily!$AN$2:$AN$2001,(Metrics!$H$1-180+87)))</f>
        <v>0</v>
      </c>
      <c r="S88">
        <f>IF((Metrics!$H$1-180+87)&lt;1,"",INDEX(Calc_Daily!$AD$2:$AD$2001,(Metrics!$H$1-180+87)))</f>
        <v>0</v>
      </c>
      <c r="T88">
        <f>IF((Metrics!$H$1-180+87)&lt;1,"",INDEX(Calc_Daily!$AT$2:$AT$2001,(Metrics!$H$1-180+87)))</f>
        <v>0</v>
      </c>
      <c r="U88">
        <f>IF((Metrics!$H$1-180+87)&lt;1,"",INDEX(Calc_Daily!$AQ$2:$AQ$2001,(Metrics!$H$1-180+87)))</f>
        <v>0</v>
      </c>
      <c r="V88">
        <f>IF((Metrics!$H$1-180+87)&lt;1,"",INDEX(Calc_Daily!$AR$2:$AR$2001,(Metrics!$H$1-180+87)))</f>
        <v>0</v>
      </c>
    </row>
    <row r="89" spans="1:22">
      <c r="A89" s="27">
        <f>IF((Metrics!$H$1-180+88)&lt;1,"",INDEX(Calc_Daily!$A$2:$A$2001,(Metrics!$H$1-180+88)))</f>
        <v>0</v>
      </c>
      <c r="B89">
        <f>IF((Metrics!$H$1-180+88)&lt;1,"",INDEX(Calc_Daily!$B$2:$B$2001,(Metrics!$H$1-180+88)))</f>
        <v>0</v>
      </c>
      <c r="C89">
        <f>IF((Metrics!$H$1-180+88)&lt;1,"",INDEX(Calc_Daily!$C$2:$C$2001,(Metrics!$H$1-180+88)))</f>
        <v>0</v>
      </c>
      <c r="D89">
        <f>IF((Metrics!$H$1-180+88)&lt;1,"",INDEX(Calc_Daily!$D$2:$D$2001,(Metrics!$H$1-180+88)))</f>
        <v>0</v>
      </c>
      <c r="E89">
        <f>IF((Metrics!$H$1-180+88)&lt;1,"",INDEX(Calc_Daily!$E$2:$E$2001,(Metrics!$H$1-180+88)))</f>
        <v>0</v>
      </c>
      <c r="F89">
        <f>IF((Metrics!$H$1-180+88)&lt;1,"",INDEX(Calc_Daily!$H$2:$H$2001,(Metrics!$H$1-180+88)))</f>
        <v>0</v>
      </c>
      <c r="G89">
        <f>IF((Metrics!$H$1-180+88)&lt;1,"",INDEX(Calc_Daily!$I$2:$I$2001,(Metrics!$H$1-180+88)))</f>
        <v>0</v>
      </c>
      <c r="H89">
        <f>IF((Metrics!$H$1-180+88)&lt;1,"",INDEX(Calc_Daily!$J$2:$J$2001,(Metrics!$H$1-180+88)))</f>
        <v>0</v>
      </c>
      <c r="I89">
        <f>IF((Metrics!$H$1-180+88)&lt;1,"",INDEX(Calc_Daily!$K$2:$K$2001,(Metrics!$H$1-180+88)))</f>
        <v>0</v>
      </c>
      <c r="J89">
        <f>IF((Metrics!$H$1-180+88)&lt;1,"",INDEX(Calc_Daily!$N$2:$N$2001,(Metrics!$H$1-180+88)))</f>
        <v>0</v>
      </c>
      <c r="K89">
        <f>IF((Metrics!$H$1-180+88)&lt;1,"",70)</f>
        <v>0</v>
      </c>
      <c r="L89">
        <f>IF((Metrics!$H$1-180+88)&lt;1,"",30)</f>
        <v>0</v>
      </c>
      <c r="M89">
        <f>IF((Metrics!$H$1-180+88)&lt;1,"",INDEX(Calc_Daily!$Q$2:$Q$2001,(Metrics!$H$1-180+88)))</f>
        <v>0</v>
      </c>
      <c r="N89">
        <f>IF((Metrics!$H$1-180+88)&lt;1,"",INDEX(Calc_Daily!$R$2:$R$2001,(Metrics!$H$1-180+88)))</f>
        <v>0</v>
      </c>
      <c r="O89">
        <f>IF((Metrics!$H$1-180+88)&lt;1,"",INDEX(Calc_Daily!$S$2:$S$2001,(Metrics!$H$1-180+88)))</f>
        <v>0</v>
      </c>
      <c r="P89">
        <f>IF((Metrics!$H$1-180+88)&lt;1,"",INDEX(Calc_Daily!$AM$2:$AM$2001,(Metrics!$H$1-180+88)))</f>
        <v>0</v>
      </c>
      <c r="Q89">
        <f>IF((Metrics!$H$1-180+88)&lt;1,"",INDEX(Calc_Daily!$AK$2:$AK$2001,(Metrics!$H$1-180+88)))</f>
        <v>0</v>
      </c>
      <c r="R89">
        <f>IF((Metrics!$H$1-180+88)&lt;1,"",INDEX(Calc_Daily!$AN$2:$AN$2001,(Metrics!$H$1-180+88)))</f>
        <v>0</v>
      </c>
      <c r="S89">
        <f>IF((Metrics!$H$1-180+88)&lt;1,"",INDEX(Calc_Daily!$AD$2:$AD$2001,(Metrics!$H$1-180+88)))</f>
        <v>0</v>
      </c>
      <c r="T89">
        <f>IF((Metrics!$H$1-180+88)&lt;1,"",INDEX(Calc_Daily!$AT$2:$AT$2001,(Metrics!$H$1-180+88)))</f>
        <v>0</v>
      </c>
      <c r="U89">
        <f>IF((Metrics!$H$1-180+88)&lt;1,"",INDEX(Calc_Daily!$AQ$2:$AQ$2001,(Metrics!$H$1-180+88)))</f>
        <v>0</v>
      </c>
      <c r="V89">
        <f>IF((Metrics!$H$1-180+88)&lt;1,"",INDEX(Calc_Daily!$AR$2:$AR$2001,(Metrics!$H$1-180+88)))</f>
        <v>0</v>
      </c>
    </row>
    <row r="90" spans="1:22">
      <c r="A90" s="27">
        <f>IF((Metrics!$H$1-180+89)&lt;1,"",INDEX(Calc_Daily!$A$2:$A$2001,(Metrics!$H$1-180+89)))</f>
        <v>0</v>
      </c>
      <c r="B90">
        <f>IF((Metrics!$H$1-180+89)&lt;1,"",INDEX(Calc_Daily!$B$2:$B$2001,(Metrics!$H$1-180+89)))</f>
        <v>0</v>
      </c>
      <c r="C90">
        <f>IF((Metrics!$H$1-180+89)&lt;1,"",INDEX(Calc_Daily!$C$2:$C$2001,(Metrics!$H$1-180+89)))</f>
        <v>0</v>
      </c>
      <c r="D90">
        <f>IF((Metrics!$H$1-180+89)&lt;1,"",INDEX(Calc_Daily!$D$2:$D$2001,(Metrics!$H$1-180+89)))</f>
        <v>0</v>
      </c>
      <c r="E90">
        <f>IF((Metrics!$H$1-180+89)&lt;1,"",INDEX(Calc_Daily!$E$2:$E$2001,(Metrics!$H$1-180+89)))</f>
        <v>0</v>
      </c>
      <c r="F90">
        <f>IF((Metrics!$H$1-180+89)&lt;1,"",INDEX(Calc_Daily!$H$2:$H$2001,(Metrics!$H$1-180+89)))</f>
        <v>0</v>
      </c>
      <c r="G90">
        <f>IF((Metrics!$H$1-180+89)&lt;1,"",INDEX(Calc_Daily!$I$2:$I$2001,(Metrics!$H$1-180+89)))</f>
        <v>0</v>
      </c>
      <c r="H90">
        <f>IF((Metrics!$H$1-180+89)&lt;1,"",INDEX(Calc_Daily!$J$2:$J$2001,(Metrics!$H$1-180+89)))</f>
        <v>0</v>
      </c>
      <c r="I90">
        <f>IF((Metrics!$H$1-180+89)&lt;1,"",INDEX(Calc_Daily!$K$2:$K$2001,(Metrics!$H$1-180+89)))</f>
        <v>0</v>
      </c>
      <c r="J90">
        <f>IF((Metrics!$H$1-180+89)&lt;1,"",INDEX(Calc_Daily!$N$2:$N$2001,(Metrics!$H$1-180+89)))</f>
        <v>0</v>
      </c>
      <c r="K90">
        <f>IF((Metrics!$H$1-180+89)&lt;1,"",70)</f>
        <v>0</v>
      </c>
      <c r="L90">
        <f>IF((Metrics!$H$1-180+89)&lt;1,"",30)</f>
        <v>0</v>
      </c>
      <c r="M90">
        <f>IF((Metrics!$H$1-180+89)&lt;1,"",INDEX(Calc_Daily!$Q$2:$Q$2001,(Metrics!$H$1-180+89)))</f>
        <v>0</v>
      </c>
      <c r="N90">
        <f>IF((Metrics!$H$1-180+89)&lt;1,"",INDEX(Calc_Daily!$R$2:$R$2001,(Metrics!$H$1-180+89)))</f>
        <v>0</v>
      </c>
      <c r="O90">
        <f>IF((Metrics!$H$1-180+89)&lt;1,"",INDEX(Calc_Daily!$S$2:$S$2001,(Metrics!$H$1-180+89)))</f>
        <v>0</v>
      </c>
      <c r="P90">
        <f>IF((Metrics!$H$1-180+89)&lt;1,"",INDEX(Calc_Daily!$AM$2:$AM$2001,(Metrics!$H$1-180+89)))</f>
        <v>0</v>
      </c>
      <c r="Q90">
        <f>IF((Metrics!$H$1-180+89)&lt;1,"",INDEX(Calc_Daily!$AK$2:$AK$2001,(Metrics!$H$1-180+89)))</f>
        <v>0</v>
      </c>
      <c r="R90">
        <f>IF((Metrics!$H$1-180+89)&lt;1,"",INDEX(Calc_Daily!$AN$2:$AN$2001,(Metrics!$H$1-180+89)))</f>
        <v>0</v>
      </c>
      <c r="S90">
        <f>IF((Metrics!$H$1-180+89)&lt;1,"",INDEX(Calc_Daily!$AD$2:$AD$2001,(Metrics!$H$1-180+89)))</f>
        <v>0</v>
      </c>
      <c r="T90">
        <f>IF((Metrics!$H$1-180+89)&lt;1,"",INDEX(Calc_Daily!$AT$2:$AT$2001,(Metrics!$H$1-180+89)))</f>
        <v>0</v>
      </c>
      <c r="U90">
        <f>IF((Metrics!$H$1-180+89)&lt;1,"",INDEX(Calc_Daily!$AQ$2:$AQ$2001,(Metrics!$H$1-180+89)))</f>
        <v>0</v>
      </c>
      <c r="V90">
        <f>IF((Metrics!$H$1-180+89)&lt;1,"",INDEX(Calc_Daily!$AR$2:$AR$2001,(Metrics!$H$1-180+89)))</f>
        <v>0</v>
      </c>
    </row>
    <row r="91" spans="1:22">
      <c r="A91" s="27">
        <f>IF((Metrics!$H$1-180+90)&lt;1,"",INDEX(Calc_Daily!$A$2:$A$2001,(Metrics!$H$1-180+90)))</f>
        <v>0</v>
      </c>
      <c r="B91">
        <f>IF((Metrics!$H$1-180+90)&lt;1,"",INDEX(Calc_Daily!$B$2:$B$2001,(Metrics!$H$1-180+90)))</f>
        <v>0</v>
      </c>
      <c r="C91">
        <f>IF((Metrics!$H$1-180+90)&lt;1,"",INDEX(Calc_Daily!$C$2:$C$2001,(Metrics!$H$1-180+90)))</f>
        <v>0</v>
      </c>
      <c r="D91">
        <f>IF((Metrics!$H$1-180+90)&lt;1,"",INDEX(Calc_Daily!$D$2:$D$2001,(Metrics!$H$1-180+90)))</f>
        <v>0</v>
      </c>
      <c r="E91">
        <f>IF((Metrics!$H$1-180+90)&lt;1,"",INDEX(Calc_Daily!$E$2:$E$2001,(Metrics!$H$1-180+90)))</f>
        <v>0</v>
      </c>
      <c r="F91">
        <f>IF((Metrics!$H$1-180+90)&lt;1,"",INDEX(Calc_Daily!$H$2:$H$2001,(Metrics!$H$1-180+90)))</f>
        <v>0</v>
      </c>
      <c r="G91">
        <f>IF((Metrics!$H$1-180+90)&lt;1,"",INDEX(Calc_Daily!$I$2:$I$2001,(Metrics!$H$1-180+90)))</f>
        <v>0</v>
      </c>
      <c r="H91">
        <f>IF((Metrics!$H$1-180+90)&lt;1,"",INDEX(Calc_Daily!$J$2:$J$2001,(Metrics!$H$1-180+90)))</f>
        <v>0</v>
      </c>
      <c r="I91">
        <f>IF((Metrics!$H$1-180+90)&lt;1,"",INDEX(Calc_Daily!$K$2:$K$2001,(Metrics!$H$1-180+90)))</f>
        <v>0</v>
      </c>
      <c r="J91">
        <f>IF((Metrics!$H$1-180+90)&lt;1,"",INDEX(Calc_Daily!$N$2:$N$2001,(Metrics!$H$1-180+90)))</f>
        <v>0</v>
      </c>
      <c r="K91">
        <f>IF((Metrics!$H$1-180+90)&lt;1,"",70)</f>
        <v>0</v>
      </c>
      <c r="L91">
        <f>IF((Metrics!$H$1-180+90)&lt;1,"",30)</f>
        <v>0</v>
      </c>
      <c r="M91">
        <f>IF((Metrics!$H$1-180+90)&lt;1,"",INDEX(Calc_Daily!$Q$2:$Q$2001,(Metrics!$H$1-180+90)))</f>
        <v>0</v>
      </c>
      <c r="N91">
        <f>IF((Metrics!$H$1-180+90)&lt;1,"",INDEX(Calc_Daily!$R$2:$R$2001,(Metrics!$H$1-180+90)))</f>
        <v>0</v>
      </c>
      <c r="O91">
        <f>IF((Metrics!$H$1-180+90)&lt;1,"",INDEX(Calc_Daily!$S$2:$S$2001,(Metrics!$H$1-180+90)))</f>
        <v>0</v>
      </c>
      <c r="P91">
        <f>IF((Metrics!$H$1-180+90)&lt;1,"",INDEX(Calc_Daily!$AM$2:$AM$2001,(Metrics!$H$1-180+90)))</f>
        <v>0</v>
      </c>
      <c r="Q91">
        <f>IF((Metrics!$H$1-180+90)&lt;1,"",INDEX(Calc_Daily!$AK$2:$AK$2001,(Metrics!$H$1-180+90)))</f>
        <v>0</v>
      </c>
      <c r="R91">
        <f>IF((Metrics!$H$1-180+90)&lt;1,"",INDEX(Calc_Daily!$AN$2:$AN$2001,(Metrics!$H$1-180+90)))</f>
        <v>0</v>
      </c>
      <c r="S91">
        <f>IF((Metrics!$H$1-180+90)&lt;1,"",INDEX(Calc_Daily!$AD$2:$AD$2001,(Metrics!$H$1-180+90)))</f>
        <v>0</v>
      </c>
      <c r="T91">
        <f>IF((Metrics!$H$1-180+90)&lt;1,"",INDEX(Calc_Daily!$AT$2:$AT$2001,(Metrics!$H$1-180+90)))</f>
        <v>0</v>
      </c>
      <c r="U91">
        <f>IF((Metrics!$H$1-180+90)&lt;1,"",INDEX(Calc_Daily!$AQ$2:$AQ$2001,(Metrics!$H$1-180+90)))</f>
        <v>0</v>
      </c>
      <c r="V91">
        <f>IF((Metrics!$H$1-180+90)&lt;1,"",INDEX(Calc_Daily!$AR$2:$AR$2001,(Metrics!$H$1-180+90)))</f>
        <v>0</v>
      </c>
    </row>
    <row r="92" spans="1:22">
      <c r="A92" s="27">
        <f>IF((Metrics!$H$1-180+91)&lt;1,"",INDEX(Calc_Daily!$A$2:$A$2001,(Metrics!$H$1-180+91)))</f>
        <v>0</v>
      </c>
      <c r="B92">
        <f>IF((Metrics!$H$1-180+91)&lt;1,"",INDEX(Calc_Daily!$B$2:$B$2001,(Metrics!$H$1-180+91)))</f>
        <v>0</v>
      </c>
      <c r="C92">
        <f>IF((Metrics!$H$1-180+91)&lt;1,"",INDEX(Calc_Daily!$C$2:$C$2001,(Metrics!$H$1-180+91)))</f>
        <v>0</v>
      </c>
      <c r="D92">
        <f>IF((Metrics!$H$1-180+91)&lt;1,"",INDEX(Calc_Daily!$D$2:$D$2001,(Metrics!$H$1-180+91)))</f>
        <v>0</v>
      </c>
      <c r="E92">
        <f>IF((Metrics!$H$1-180+91)&lt;1,"",INDEX(Calc_Daily!$E$2:$E$2001,(Metrics!$H$1-180+91)))</f>
        <v>0</v>
      </c>
      <c r="F92">
        <f>IF((Metrics!$H$1-180+91)&lt;1,"",INDEX(Calc_Daily!$H$2:$H$2001,(Metrics!$H$1-180+91)))</f>
        <v>0</v>
      </c>
      <c r="G92">
        <f>IF((Metrics!$H$1-180+91)&lt;1,"",INDEX(Calc_Daily!$I$2:$I$2001,(Metrics!$H$1-180+91)))</f>
        <v>0</v>
      </c>
      <c r="H92">
        <f>IF((Metrics!$H$1-180+91)&lt;1,"",INDEX(Calc_Daily!$J$2:$J$2001,(Metrics!$H$1-180+91)))</f>
        <v>0</v>
      </c>
      <c r="I92">
        <f>IF((Metrics!$H$1-180+91)&lt;1,"",INDEX(Calc_Daily!$K$2:$K$2001,(Metrics!$H$1-180+91)))</f>
        <v>0</v>
      </c>
      <c r="J92">
        <f>IF((Metrics!$H$1-180+91)&lt;1,"",INDEX(Calc_Daily!$N$2:$N$2001,(Metrics!$H$1-180+91)))</f>
        <v>0</v>
      </c>
      <c r="K92">
        <f>IF((Metrics!$H$1-180+91)&lt;1,"",70)</f>
        <v>0</v>
      </c>
      <c r="L92">
        <f>IF((Metrics!$H$1-180+91)&lt;1,"",30)</f>
        <v>0</v>
      </c>
      <c r="M92">
        <f>IF((Metrics!$H$1-180+91)&lt;1,"",INDEX(Calc_Daily!$Q$2:$Q$2001,(Metrics!$H$1-180+91)))</f>
        <v>0</v>
      </c>
      <c r="N92">
        <f>IF((Metrics!$H$1-180+91)&lt;1,"",INDEX(Calc_Daily!$R$2:$R$2001,(Metrics!$H$1-180+91)))</f>
        <v>0</v>
      </c>
      <c r="O92">
        <f>IF((Metrics!$H$1-180+91)&lt;1,"",INDEX(Calc_Daily!$S$2:$S$2001,(Metrics!$H$1-180+91)))</f>
        <v>0</v>
      </c>
      <c r="P92">
        <f>IF((Metrics!$H$1-180+91)&lt;1,"",INDEX(Calc_Daily!$AM$2:$AM$2001,(Metrics!$H$1-180+91)))</f>
        <v>0</v>
      </c>
      <c r="Q92">
        <f>IF((Metrics!$H$1-180+91)&lt;1,"",INDEX(Calc_Daily!$AK$2:$AK$2001,(Metrics!$H$1-180+91)))</f>
        <v>0</v>
      </c>
      <c r="R92">
        <f>IF((Metrics!$H$1-180+91)&lt;1,"",INDEX(Calc_Daily!$AN$2:$AN$2001,(Metrics!$H$1-180+91)))</f>
        <v>0</v>
      </c>
      <c r="S92">
        <f>IF((Metrics!$H$1-180+91)&lt;1,"",INDEX(Calc_Daily!$AD$2:$AD$2001,(Metrics!$H$1-180+91)))</f>
        <v>0</v>
      </c>
      <c r="T92">
        <f>IF((Metrics!$H$1-180+91)&lt;1,"",INDEX(Calc_Daily!$AT$2:$AT$2001,(Metrics!$H$1-180+91)))</f>
        <v>0</v>
      </c>
      <c r="U92">
        <f>IF((Metrics!$H$1-180+91)&lt;1,"",INDEX(Calc_Daily!$AQ$2:$AQ$2001,(Metrics!$H$1-180+91)))</f>
        <v>0</v>
      </c>
      <c r="V92">
        <f>IF((Metrics!$H$1-180+91)&lt;1,"",INDEX(Calc_Daily!$AR$2:$AR$2001,(Metrics!$H$1-180+91)))</f>
        <v>0</v>
      </c>
    </row>
    <row r="93" spans="1:22">
      <c r="A93" s="27">
        <f>IF((Metrics!$H$1-180+92)&lt;1,"",INDEX(Calc_Daily!$A$2:$A$2001,(Metrics!$H$1-180+92)))</f>
        <v>0</v>
      </c>
      <c r="B93">
        <f>IF((Metrics!$H$1-180+92)&lt;1,"",INDEX(Calc_Daily!$B$2:$B$2001,(Metrics!$H$1-180+92)))</f>
        <v>0</v>
      </c>
      <c r="C93">
        <f>IF((Metrics!$H$1-180+92)&lt;1,"",INDEX(Calc_Daily!$C$2:$C$2001,(Metrics!$H$1-180+92)))</f>
        <v>0</v>
      </c>
      <c r="D93">
        <f>IF((Metrics!$H$1-180+92)&lt;1,"",INDEX(Calc_Daily!$D$2:$D$2001,(Metrics!$H$1-180+92)))</f>
        <v>0</v>
      </c>
      <c r="E93">
        <f>IF((Metrics!$H$1-180+92)&lt;1,"",INDEX(Calc_Daily!$E$2:$E$2001,(Metrics!$H$1-180+92)))</f>
        <v>0</v>
      </c>
      <c r="F93">
        <f>IF((Metrics!$H$1-180+92)&lt;1,"",INDEX(Calc_Daily!$H$2:$H$2001,(Metrics!$H$1-180+92)))</f>
        <v>0</v>
      </c>
      <c r="G93">
        <f>IF((Metrics!$H$1-180+92)&lt;1,"",INDEX(Calc_Daily!$I$2:$I$2001,(Metrics!$H$1-180+92)))</f>
        <v>0</v>
      </c>
      <c r="H93">
        <f>IF((Metrics!$H$1-180+92)&lt;1,"",INDEX(Calc_Daily!$J$2:$J$2001,(Metrics!$H$1-180+92)))</f>
        <v>0</v>
      </c>
      <c r="I93">
        <f>IF((Metrics!$H$1-180+92)&lt;1,"",INDEX(Calc_Daily!$K$2:$K$2001,(Metrics!$H$1-180+92)))</f>
        <v>0</v>
      </c>
      <c r="J93">
        <f>IF((Metrics!$H$1-180+92)&lt;1,"",INDEX(Calc_Daily!$N$2:$N$2001,(Metrics!$H$1-180+92)))</f>
        <v>0</v>
      </c>
      <c r="K93">
        <f>IF((Metrics!$H$1-180+92)&lt;1,"",70)</f>
        <v>0</v>
      </c>
      <c r="L93">
        <f>IF((Metrics!$H$1-180+92)&lt;1,"",30)</f>
        <v>0</v>
      </c>
      <c r="M93">
        <f>IF((Metrics!$H$1-180+92)&lt;1,"",INDEX(Calc_Daily!$Q$2:$Q$2001,(Metrics!$H$1-180+92)))</f>
        <v>0</v>
      </c>
      <c r="N93">
        <f>IF((Metrics!$H$1-180+92)&lt;1,"",INDEX(Calc_Daily!$R$2:$R$2001,(Metrics!$H$1-180+92)))</f>
        <v>0</v>
      </c>
      <c r="O93">
        <f>IF((Metrics!$H$1-180+92)&lt;1,"",INDEX(Calc_Daily!$S$2:$S$2001,(Metrics!$H$1-180+92)))</f>
        <v>0</v>
      </c>
      <c r="P93">
        <f>IF((Metrics!$H$1-180+92)&lt;1,"",INDEX(Calc_Daily!$AM$2:$AM$2001,(Metrics!$H$1-180+92)))</f>
        <v>0</v>
      </c>
      <c r="Q93">
        <f>IF((Metrics!$H$1-180+92)&lt;1,"",INDEX(Calc_Daily!$AK$2:$AK$2001,(Metrics!$H$1-180+92)))</f>
        <v>0</v>
      </c>
      <c r="R93">
        <f>IF((Metrics!$H$1-180+92)&lt;1,"",INDEX(Calc_Daily!$AN$2:$AN$2001,(Metrics!$H$1-180+92)))</f>
        <v>0</v>
      </c>
      <c r="S93">
        <f>IF((Metrics!$H$1-180+92)&lt;1,"",INDEX(Calc_Daily!$AD$2:$AD$2001,(Metrics!$H$1-180+92)))</f>
        <v>0</v>
      </c>
      <c r="T93">
        <f>IF((Metrics!$H$1-180+92)&lt;1,"",INDEX(Calc_Daily!$AT$2:$AT$2001,(Metrics!$H$1-180+92)))</f>
        <v>0</v>
      </c>
      <c r="U93">
        <f>IF((Metrics!$H$1-180+92)&lt;1,"",INDEX(Calc_Daily!$AQ$2:$AQ$2001,(Metrics!$H$1-180+92)))</f>
        <v>0</v>
      </c>
      <c r="V93">
        <f>IF((Metrics!$H$1-180+92)&lt;1,"",INDEX(Calc_Daily!$AR$2:$AR$2001,(Metrics!$H$1-180+92)))</f>
        <v>0</v>
      </c>
    </row>
    <row r="94" spans="1:22">
      <c r="A94" s="27">
        <f>IF((Metrics!$H$1-180+93)&lt;1,"",INDEX(Calc_Daily!$A$2:$A$2001,(Metrics!$H$1-180+93)))</f>
        <v>0</v>
      </c>
      <c r="B94">
        <f>IF((Metrics!$H$1-180+93)&lt;1,"",INDEX(Calc_Daily!$B$2:$B$2001,(Metrics!$H$1-180+93)))</f>
        <v>0</v>
      </c>
      <c r="C94">
        <f>IF((Metrics!$H$1-180+93)&lt;1,"",INDEX(Calc_Daily!$C$2:$C$2001,(Metrics!$H$1-180+93)))</f>
        <v>0</v>
      </c>
      <c r="D94">
        <f>IF((Metrics!$H$1-180+93)&lt;1,"",INDEX(Calc_Daily!$D$2:$D$2001,(Metrics!$H$1-180+93)))</f>
        <v>0</v>
      </c>
      <c r="E94">
        <f>IF((Metrics!$H$1-180+93)&lt;1,"",INDEX(Calc_Daily!$E$2:$E$2001,(Metrics!$H$1-180+93)))</f>
        <v>0</v>
      </c>
      <c r="F94">
        <f>IF((Metrics!$H$1-180+93)&lt;1,"",INDEX(Calc_Daily!$H$2:$H$2001,(Metrics!$H$1-180+93)))</f>
        <v>0</v>
      </c>
      <c r="G94">
        <f>IF((Metrics!$H$1-180+93)&lt;1,"",INDEX(Calc_Daily!$I$2:$I$2001,(Metrics!$H$1-180+93)))</f>
        <v>0</v>
      </c>
      <c r="H94">
        <f>IF((Metrics!$H$1-180+93)&lt;1,"",INDEX(Calc_Daily!$J$2:$J$2001,(Metrics!$H$1-180+93)))</f>
        <v>0</v>
      </c>
      <c r="I94">
        <f>IF((Metrics!$H$1-180+93)&lt;1,"",INDEX(Calc_Daily!$K$2:$K$2001,(Metrics!$H$1-180+93)))</f>
        <v>0</v>
      </c>
      <c r="J94">
        <f>IF((Metrics!$H$1-180+93)&lt;1,"",INDEX(Calc_Daily!$N$2:$N$2001,(Metrics!$H$1-180+93)))</f>
        <v>0</v>
      </c>
      <c r="K94">
        <f>IF((Metrics!$H$1-180+93)&lt;1,"",70)</f>
        <v>0</v>
      </c>
      <c r="L94">
        <f>IF((Metrics!$H$1-180+93)&lt;1,"",30)</f>
        <v>0</v>
      </c>
      <c r="M94">
        <f>IF((Metrics!$H$1-180+93)&lt;1,"",INDEX(Calc_Daily!$Q$2:$Q$2001,(Metrics!$H$1-180+93)))</f>
        <v>0</v>
      </c>
      <c r="N94">
        <f>IF((Metrics!$H$1-180+93)&lt;1,"",INDEX(Calc_Daily!$R$2:$R$2001,(Metrics!$H$1-180+93)))</f>
        <v>0</v>
      </c>
      <c r="O94">
        <f>IF((Metrics!$H$1-180+93)&lt;1,"",INDEX(Calc_Daily!$S$2:$S$2001,(Metrics!$H$1-180+93)))</f>
        <v>0</v>
      </c>
      <c r="P94">
        <f>IF((Metrics!$H$1-180+93)&lt;1,"",INDEX(Calc_Daily!$AM$2:$AM$2001,(Metrics!$H$1-180+93)))</f>
        <v>0</v>
      </c>
      <c r="Q94">
        <f>IF((Metrics!$H$1-180+93)&lt;1,"",INDEX(Calc_Daily!$AK$2:$AK$2001,(Metrics!$H$1-180+93)))</f>
        <v>0</v>
      </c>
      <c r="R94">
        <f>IF((Metrics!$H$1-180+93)&lt;1,"",INDEX(Calc_Daily!$AN$2:$AN$2001,(Metrics!$H$1-180+93)))</f>
        <v>0</v>
      </c>
      <c r="S94">
        <f>IF((Metrics!$H$1-180+93)&lt;1,"",INDEX(Calc_Daily!$AD$2:$AD$2001,(Metrics!$H$1-180+93)))</f>
        <v>0</v>
      </c>
      <c r="T94">
        <f>IF((Metrics!$H$1-180+93)&lt;1,"",INDEX(Calc_Daily!$AT$2:$AT$2001,(Metrics!$H$1-180+93)))</f>
        <v>0</v>
      </c>
      <c r="U94">
        <f>IF((Metrics!$H$1-180+93)&lt;1,"",INDEX(Calc_Daily!$AQ$2:$AQ$2001,(Metrics!$H$1-180+93)))</f>
        <v>0</v>
      </c>
      <c r="V94">
        <f>IF((Metrics!$H$1-180+93)&lt;1,"",INDEX(Calc_Daily!$AR$2:$AR$2001,(Metrics!$H$1-180+93)))</f>
        <v>0</v>
      </c>
    </row>
    <row r="95" spans="1:22">
      <c r="A95" s="27">
        <f>IF((Metrics!$H$1-180+94)&lt;1,"",INDEX(Calc_Daily!$A$2:$A$2001,(Metrics!$H$1-180+94)))</f>
        <v>0</v>
      </c>
      <c r="B95">
        <f>IF((Metrics!$H$1-180+94)&lt;1,"",INDEX(Calc_Daily!$B$2:$B$2001,(Metrics!$H$1-180+94)))</f>
        <v>0</v>
      </c>
      <c r="C95">
        <f>IF((Metrics!$H$1-180+94)&lt;1,"",INDEX(Calc_Daily!$C$2:$C$2001,(Metrics!$H$1-180+94)))</f>
        <v>0</v>
      </c>
      <c r="D95">
        <f>IF((Metrics!$H$1-180+94)&lt;1,"",INDEX(Calc_Daily!$D$2:$D$2001,(Metrics!$H$1-180+94)))</f>
        <v>0</v>
      </c>
      <c r="E95">
        <f>IF((Metrics!$H$1-180+94)&lt;1,"",INDEX(Calc_Daily!$E$2:$E$2001,(Metrics!$H$1-180+94)))</f>
        <v>0</v>
      </c>
      <c r="F95">
        <f>IF((Metrics!$H$1-180+94)&lt;1,"",INDEX(Calc_Daily!$H$2:$H$2001,(Metrics!$H$1-180+94)))</f>
        <v>0</v>
      </c>
      <c r="G95">
        <f>IF((Metrics!$H$1-180+94)&lt;1,"",INDEX(Calc_Daily!$I$2:$I$2001,(Metrics!$H$1-180+94)))</f>
        <v>0</v>
      </c>
      <c r="H95">
        <f>IF((Metrics!$H$1-180+94)&lt;1,"",INDEX(Calc_Daily!$J$2:$J$2001,(Metrics!$H$1-180+94)))</f>
        <v>0</v>
      </c>
      <c r="I95">
        <f>IF((Metrics!$H$1-180+94)&lt;1,"",INDEX(Calc_Daily!$K$2:$K$2001,(Metrics!$H$1-180+94)))</f>
        <v>0</v>
      </c>
      <c r="J95">
        <f>IF((Metrics!$H$1-180+94)&lt;1,"",INDEX(Calc_Daily!$N$2:$N$2001,(Metrics!$H$1-180+94)))</f>
        <v>0</v>
      </c>
      <c r="K95">
        <f>IF((Metrics!$H$1-180+94)&lt;1,"",70)</f>
        <v>0</v>
      </c>
      <c r="L95">
        <f>IF((Metrics!$H$1-180+94)&lt;1,"",30)</f>
        <v>0</v>
      </c>
      <c r="M95">
        <f>IF((Metrics!$H$1-180+94)&lt;1,"",INDEX(Calc_Daily!$Q$2:$Q$2001,(Metrics!$H$1-180+94)))</f>
        <v>0</v>
      </c>
      <c r="N95">
        <f>IF((Metrics!$H$1-180+94)&lt;1,"",INDEX(Calc_Daily!$R$2:$R$2001,(Metrics!$H$1-180+94)))</f>
        <v>0</v>
      </c>
      <c r="O95">
        <f>IF((Metrics!$H$1-180+94)&lt;1,"",INDEX(Calc_Daily!$S$2:$S$2001,(Metrics!$H$1-180+94)))</f>
        <v>0</v>
      </c>
      <c r="P95">
        <f>IF((Metrics!$H$1-180+94)&lt;1,"",INDEX(Calc_Daily!$AM$2:$AM$2001,(Metrics!$H$1-180+94)))</f>
        <v>0</v>
      </c>
      <c r="Q95">
        <f>IF((Metrics!$H$1-180+94)&lt;1,"",INDEX(Calc_Daily!$AK$2:$AK$2001,(Metrics!$H$1-180+94)))</f>
        <v>0</v>
      </c>
      <c r="R95">
        <f>IF((Metrics!$H$1-180+94)&lt;1,"",INDEX(Calc_Daily!$AN$2:$AN$2001,(Metrics!$H$1-180+94)))</f>
        <v>0</v>
      </c>
      <c r="S95">
        <f>IF((Metrics!$H$1-180+94)&lt;1,"",INDEX(Calc_Daily!$AD$2:$AD$2001,(Metrics!$H$1-180+94)))</f>
        <v>0</v>
      </c>
      <c r="T95">
        <f>IF((Metrics!$H$1-180+94)&lt;1,"",INDEX(Calc_Daily!$AT$2:$AT$2001,(Metrics!$H$1-180+94)))</f>
        <v>0</v>
      </c>
      <c r="U95">
        <f>IF((Metrics!$H$1-180+94)&lt;1,"",INDEX(Calc_Daily!$AQ$2:$AQ$2001,(Metrics!$H$1-180+94)))</f>
        <v>0</v>
      </c>
      <c r="V95">
        <f>IF((Metrics!$H$1-180+94)&lt;1,"",INDEX(Calc_Daily!$AR$2:$AR$2001,(Metrics!$H$1-180+94)))</f>
        <v>0</v>
      </c>
    </row>
    <row r="96" spans="1:22">
      <c r="A96" s="27">
        <f>IF((Metrics!$H$1-180+95)&lt;1,"",INDEX(Calc_Daily!$A$2:$A$2001,(Metrics!$H$1-180+95)))</f>
        <v>0</v>
      </c>
      <c r="B96">
        <f>IF((Metrics!$H$1-180+95)&lt;1,"",INDEX(Calc_Daily!$B$2:$B$2001,(Metrics!$H$1-180+95)))</f>
        <v>0</v>
      </c>
      <c r="C96">
        <f>IF((Metrics!$H$1-180+95)&lt;1,"",INDEX(Calc_Daily!$C$2:$C$2001,(Metrics!$H$1-180+95)))</f>
        <v>0</v>
      </c>
      <c r="D96">
        <f>IF((Metrics!$H$1-180+95)&lt;1,"",INDEX(Calc_Daily!$D$2:$D$2001,(Metrics!$H$1-180+95)))</f>
        <v>0</v>
      </c>
      <c r="E96">
        <f>IF((Metrics!$H$1-180+95)&lt;1,"",INDEX(Calc_Daily!$E$2:$E$2001,(Metrics!$H$1-180+95)))</f>
        <v>0</v>
      </c>
      <c r="F96">
        <f>IF((Metrics!$H$1-180+95)&lt;1,"",INDEX(Calc_Daily!$H$2:$H$2001,(Metrics!$H$1-180+95)))</f>
        <v>0</v>
      </c>
      <c r="G96">
        <f>IF((Metrics!$H$1-180+95)&lt;1,"",INDEX(Calc_Daily!$I$2:$I$2001,(Metrics!$H$1-180+95)))</f>
        <v>0</v>
      </c>
      <c r="H96">
        <f>IF((Metrics!$H$1-180+95)&lt;1,"",INDEX(Calc_Daily!$J$2:$J$2001,(Metrics!$H$1-180+95)))</f>
        <v>0</v>
      </c>
      <c r="I96">
        <f>IF((Metrics!$H$1-180+95)&lt;1,"",INDEX(Calc_Daily!$K$2:$K$2001,(Metrics!$H$1-180+95)))</f>
        <v>0</v>
      </c>
      <c r="J96">
        <f>IF((Metrics!$H$1-180+95)&lt;1,"",INDEX(Calc_Daily!$N$2:$N$2001,(Metrics!$H$1-180+95)))</f>
        <v>0</v>
      </c>
      <c r="K96">
        <f>IF((Metrics!$H$1-180+95)&lt;1,"",70)</f>
        <v>0</v>
      </c>
      <c r="L96">
        <f>IF((Metrics!$H$1-180+95)&lt;1,"",30)</f>
        <v>0</v>
      </c>
      <c r="M96">
        <f>IF((Metrics!$H$1-180+95)&lt;1,"",INDEX(Calc_Daily!$Q$2:$Q$2001,(Metrics!$H$1-180+95)))</f>
        <v>0</v>
      </c>
      <c r="N96">
        <f>IF((Metrics!$H$1-180+95)&lt;1,"",INDEX(Calc_Daily!$R$2:$R$2001,(Metrics!$H$1-180+95)))</f>
        <v>0</v>
      </c>
      <c r="O96">
        <f>IF((Metrics!$H$1-180+95)&lt;1,"",INDEX(Calc_Daily!$S$2:$S$2001,(Metrics!$H$1-180+95)))</f>
        <v>0</v>
      </c>
      <c r="P96">
        <f>IF((Metrics!$H$1-180+95)&lt;1,"",INDEX(Calc_Daily!$AM$2:$AM$2001,(Metrics!$H$1-180+95)))</f>
        <v>0</v>
      </c>
      <c r="Q96">
        <f>IF((Metrics!$H$1-180+95)&lt;1,"",INDEX(Calc_Daily!$AK$2:$AK$2001,(Metrics!$H$1-180+95)))</f>
        <v>0</v>
      </c>
      <c r="R96">
        <f>IF((Metrics!$H$1-180+95)&lt;1,"",INDEX(Calc_Daily!$AN$2:$AN$2001,(Metrics!$H$1-180+95)))</f>
        <v>0</v>
      </c>
      <c r="S96">
        <f>IF((Metrics!$H$1-180+95)&lt;1,"",INDEX(Calc_Daily!$AD$2:$AD$2001,(Metrics!$H$1-180+95)))</f>
        <v>0</v>
      </c>
      <c r="T96">
        <f>IF((Metrics!$H$1-180+95)&lt;1,"",INDEX(Calc_Daily!$AT$2:$AT$2001,(Metrics!$H$1-180+95)))</f>
        <v>0</v>
      </c>
      <c r="U96">
        <f>IF((Metrics!$H$1-180+95)&lt;1,"",INDEX(Calc_Daily!$AQ$2:$AQ$2001,(Metrics!$H$1-180+95)))</f>
        <v>0</v>
      </c>
      <c r="V96">
        <f>IF((Metrics!$H$1-180+95)&lt;1,"",INDEX(Calc_Daily!$AR$2:$AR$2001,(Metrics!$H$1-180+95)))</f>
        <v>0</v>
      </c>
    </row>
    <row r="97" spans="1:22">
      <c r="A97" s="27">
        <f>IF((Metrics!$H$1-180+96)&lt;1,"",INDEX(Calc_Daily!$A$2:$A$2001,(Metrics!$H$1-180+96)))</f>
        <v>0</v>
      </c>
      <c r="B97">
        <f>IF((Metrics!$H$1-180+96)&lt;1,"",INDEX(Calc_Daily!$B$2:$B$2001,(Metrics!$H$1-180+96)))</f>
        <v>0</v>
      </c>
      <c r="C97">
        <f>IF((Metrics!$H$1-180+96)&lt;1,"",INDEX(Calc_Daily!$C$2:$C$2001,(Metrics!$H$1-180+96)))</f>
        <v>0</v>
      </c>
      <c r="D97">
        <f>IF((Metrics!$H$1-180+96)&lt;1,"",INDEX(Calc_Daily!$D$2:$D$2001,(Metrics!$H$1-180+96)))</f>
        <v>0</v>
      </c>
      <c r="E97">
        <f>IF((Metrics!$H$1-180+96)&lt;1,"",INDEX(Calc_Daily!$E$2:$E$2001,(Metrics!$H$1-180+96)))</f>
        <v>0</v>
      </c>
      <c r="F97">
        <f>IF((Metrics!$H$1-180+96)&lt;1,"",INDEX(Calc_Daily!$H$2:$H$2001,(Metrics!$H$1-180+96)))</f>
        <v>0</v>
      </c>
      <c r="G97">
        <f>IF((Metrics!$H$1-180+96)&lt;1,"",INDEX(Calc_Daily!$I$2:$I$2001,(Metrics!$H$1-180+96)))</f>
        <v>0</v>
      </c>
      <c r="H97">
        <f>IF((Metrics!$H$1-180+96)&lt;1,"",INDEX(Calc_Daily!$J$2:$J$2001,(Metrics!$H$1-180+96)))</f>
        <v>0</v>
      </c>
      <c r="I97">
        <f>IF((Metrics!$H$1-180+96)&lt;1,"",INDEX(Calc_Daily!$K$2:$K$2001,(Metrics!$H$1-180+96)))</f>
        <v>0</v>
      </c>
      <c r="J97">
        <f>IF((Metrics!$H$1-180+96)&lt;1,"",INDEX(Calc_Daily!$N$2:$N$2001,(Metrics!$H$1-180+96)))</f>
        <v>0</v>
      </c>
      <c r="K97">
        <f>IF((Metrics!$H$1-180+96)&lt;1,"",70)</f>
        <v>0</v>
      </c>
      <c r="L97">
        <f>IF((Metrics!$H$1-180+96)&lt;1,"",30)</f>
        <v>0</v>
      </c>
      <c r="M97">
        <f>IF((Metrics!$H$1-180+96)&lt;1,"",INDEX(Calc_Daily!$Q$2:$Q$2001,(Metrics!$H$1-180+96)))</f>
        <v>0</v>
      </c>
      <c r="N97">
        <f>IF((Metrics!$H$1-180+96)&lt;1,"",INDEX(Calc_Daily!$R$2:$R$2001,(Metrics!$H$1-180+96)))</f>
        <v>0</v>
      </c>
      <c r="O97">
        <f>IF((Metrics!$H$1-180+96)&lt;1,"",INDEX(Calc_Daily!$S$2:$S$2001,(Metrics!$H$1-180+96)))</f>
        <v>0</v>
      </c>
      <c r="P97">
        <f>IF((Metrics!$H$1-180+96)&lt;1,"",INDEX(Calc_Daily!$AM$2:$AM$2001,(Metrics!$H$1-180+96)))</f>
        <v>0</v>
      </c>
      <c r="Q97">
        <f>IF((Metrics!$H$1-180+96)&lt;1,"",INDEX(Calc_Daily!$AK$2:$AK$2001,(Metrics!$H$1-180+96)))</f>
        <v>0</v>
      </c>
      <c r="R97">
        <f>IF((Metrics!$H$1-180+96)&lt;1,"",INDEX(Calc_Daily!$AN$2:$AN$2001,(Metrics!$H$1-180+96)))</f>
        <v>0</v>
      </c>
      <c r="S97">
        <f>IF((Metrics!$H$1-180+96)&lt;1,"",INDEX(Calc_Daily!$AD$2:$AD$2001,(Metrics!$H$1-180+96)))</f>
        <v>0</v>
      </c>
      <c r="T97">
        <f>IF((Metrics!$H$1-180+96)&lt;1,"",INDEX(Calc_Daily!$AT$2:$AT$2001,(Metrics!$H$1-180+96)))</f>
        <v>0</v>
      </c>
      <c r="U97">
        <f>IF((Metrics!$H$1-180+96)&lt;1,"",INDEX(Calc_Daily!$AQ$2:$AQ$2001,(Metrics!$H$1-180+96)))</f>
        <v>0</v>
      </c>
      <c r="V97">
        <f>IF((Metrics!$H$1-180+96)&lt;1,"",INDEX(Calc_Daily!$AR$2:$AR$2001,(Metrics!$H$1-180+96)))</f>
        <v>0</v>
      </c>
    </row>
    <row r="98" spans="1:22">
      <c r="A98" s="27">
        <f>IF((Metrics!$H$1-180+97)&lt;1,"",INDEX(Calc_Daily!$A$2:$A$2001,(Metrics!$H$1-180+97)))</f>
        <v>0</v>
      </c>
      <c r="B98">
        <f>IF((Metrics!$H$1-180+97)&lt;1,"",INDEX(Calc_Daily!$B$2:$B$2001,(Metrics!$H$1-180+97)))</f>
        <v>0</v>
      </c>
      <c r="C98">
        <f>IF((Metrics!$H$1-180+97)&lt;1,"",INDEX(Calc_Daily!$C$2:$C$2001,(Metrics!$H$1-180+97)))</f>
        <v>0</v>
      </c>
      <c r="D98">
        <f>IF((Metrics!$H$1-180+97)&lt;1,"",INDEX(Calc_Daily!$D$2:$D$2001,(Metrics!$H$1-180+97)))</f>
        <v>0</v>
      </c>
      <c r="E98">
        <f>IF((Metrics!$H$1-180+97)&lt;1,"",INDEX(Calc_Daily!$E$2:$E$2001,(Metrics!$H$1-180+97)))</f>
        <v>0</v>
      </c>
      <c r="F98">
        <f>IF((Metrics!$H$1-180+97)&lt;1,"",INDEX(Calc_Daily!$H$2:$H$2001,(Metrics!$H$1-180+97)))</f>
        <v>0</v>
      </c>
      <c r="G98">
        <f>IF((Metrics!$H$1-180+97)&lt;1,"",INDEX(Calc_Daily!$I$2:$I$2001,(Metrics!$H$1-180+97)))</f>
        <v>0</v>
      </c>
      <c r="H98">
        <f>IF((Metrics!$H$1-180+97)&lt;1,"",INDEX(Calc_Daily!$J$2:$J$2001,(Metrics!$H$1-180+97)))</f>
        <v>0</v>
      </c>
      <c r="I98">
        <f>IF((Metrics!$H$1-180+97)&lt;1,"",INDEX(Calc_Daily!$K$2:$K$2001,(Metrics!$H$1-180+97)))</f>
        <v>0</v>
      </c>
      <c r="J98">
        <f>IF((Metrics!$H$1-180+97)&lt;1,"",INDEX(Calc_Daily!$N$2:$N$2001,(Metrics!$H$1-180+97)))</f>
        <v>0</v>
      </c>
      <c r="K98">
        <f>IF((Metrics!$H$1-180+97)&lt;1,"",70)</f>
        <v>0</v>
      </c>
      <c r="L98">
        <f>IF((Metrics!$H$1-180+97)&lt;1,"",30)</f>
        <v>0</v>
      </c>
      <c r="M98">
        <f>IF((Metrics!$H$1-180+97)&lt;1,"",INDEX(Calc_Daily!$Q$2:$Q$2001,(Metrics!$H$1-180+97)))</f>
        <v>0</v>
      </c>
      <c r="N98">
        <f>IF((Metrics!$H$1-180+97)&lt;1,"",INDEX(Calc_Daily!$R$2:$R$2001,(Metrics!$H$1-180+97)))</f>
        <v>0</v>
      </c>
      <c r="O98">
        <f>IF((Metrics!$H$1-180+97)&lt;1,"",INDEX(Calc_Daily!$S$2:$S$2001,(Metrics!$H$1-180+97)))</f>
        <v>0</v>
      </c>
      <c r="P98">
        <f>IF((Metrics!$H$1-180+97)&lt;1,"",INDEX(Calc_Daily!$AM$2:$AM$2001,(Metrics!$H$1-180+97)))</f>
        <v>0</v>
      </c>
      <c r="Q98">
        <f>IF((Metrics!$H$1-180+97)&lt;1,"",INDEX(Calc_Daily!$AK$2:$AK$2001,(Metrics!$H$1-180+97)))</f>
        <v>0</v>
      </c>
      <c r="R98">
        <f>IF((Metrics!$H$1-180+97)&lt;1,"",INDEX(Calc_Daily!$AN$2:$AN$2001,(Metrics!$H$1-180+97)))</f>
        <v>0</v>
      </c>
      <c r="S98">
        <f>IF((Metrics!$H$1-180+97)&lt;1,"",INDEX(Calc_Daily!$AD$2:$AD$2001,(Metrics!$H$1-180+97)))</f>
        <v>0</v>
      </c>
      <c r="T98">
        <f>IF((Metrics!$H$1-180+97)&lt;1,"",INDEX(Calc_Daily!$AT$2:$AT$2001,(Metrics!$H$1-180+97)))</f>
        <v>0</v>
      </c>
      <c r="U98">
        <f>IF((Metrics!$H$1-180+97)&lt;1,"",INDEX(Calc_Daily!$AQ$2:$AQ$2001,(Metrics!$H$1-180+97)))</f>
        <v>0</v>
      </c>
      <c r="V98">
        <f>IF((Metrics!$H$1-180+97)&lt;1,"",INDEX(Calc_Daily!$AR$2:$AR$2001,(Metrics!$H$1-180+97)))</f>
        <v>0</v>
      </c>
    </row>
    <row r="99" spans="1:22">
      <c r="A99" s="27">
        <f>IF((Metrics!$H$1-180+98)&lt;1,"",INDEX(Calc_Daily!$A$2:$A$2001,(Metrics!$H$1-180+98)))</f>
        <v>0</v>
      </c>
      <c r="B99">
        <f>IF((Metrics!$H$1-180+98)&lt;1,"",INDEX(Calc_Daily!$B$2:$B$2001,(Metrics!$H$1-180+98)))</f>
        <v>0</v>
      </c>
      <c r="C99">
        <f>IF((Metrics!$H$1-180+98)&lt;1,"",INDEX(Calc_Daily!$C$2:$C$2001,(Metrics!$H$1-180+98)))</f>
        <v>0</v>
      </c>
      <c r="D99">
        <f>IF((Metrics!$H$1-180+98)&lt;1,"",INDEX(Calc_Daily!$D$2:$D$2001,(Metrics!$H$1-180+98)))</f>
        <v>0</v>
      </c>
      <c r="E99">
        <f>IF((Metrics!$H$1-180+98)&lt;1,"",INDEX(Calc_Daily!$E$2:$E$2001,(Metrics!$H$1-180+98)))</f>
        <v>0</v>
      </c>
      <c r="F99">
        <f>IF((Metrics!$H$1-180+98)&lt;1,"",INDEX(Calc_Daily!$H$2:$H$2001,(Metrics!$H$1-180+98)))</f>
        <v>0</v>
      </c>
      <c r="G99">
        <f>IF((Metrics!$H$1-180+98)&lt;1,"",INDEX(Calc_Daily!$I$2:$I$2001,(Metrics!$H$1-180+98)))</f>
        <v>0</v>
      </c>
      <c r="H99">
        <f>IF((Metrics!$H$1-180+98)&lt;1,"",INDEX(Calc_Daily!$J$2:$J$2001,(Metrics!$H$1-180+98)))</f>
        <v>0</v>
      </c>
      <c r="I99">
        <f>IF((Metrics!$H$1-180+98)&lt;1,"",INDEX(Calc_Daily!$K$2:$K$2001,(Metrics!$H$1-180+98)))</f>
        <v>0</v>
      </c>
      <c r="J99">
        <f>IF((Metrics!$H$1-180+98)&lt;1,"",INDEX(Calc_Daily!$N$2:$N$2001,(Metrics!$H$1-180+98)))</f>
        <v>0</v>
      </c>
      <c r="K99">
        <f>IF((Metrics!$H$1-180+98)&lt;1,"",70)</f>
        <v>0</v>
      </c>
      <c r="L99">
        <f>IF((Metrics!$H$1-180+98)&lt;1,"",30)</f>
        <v>0</v>
      </c>
      <c r="M99">
        <f>IF((Metrics!$H$1-180+98)&lt;1,"",INDEX(Calc_Daily!$Q$2:$Q$2001,(Metrics!$H$1-180+98)))</f>
        <v>0</v>
      </c>
      <c r="N99">
        <f>IF((Metrics!$H$1-180+98)&lt;1,"",INDEX(Calc_Daily!$R$2:$R$2001,(Metrics!$H$1-180+98)))</f>
        <v>0</v>
      </c>
      <c r="O99">
        <f>IF((Metrics!$H$1-180+98)&lt;1,"",INDEX(Calc_Daily!$S$2:$S$2001,(Metrics!$H$1-180+98)))</f>
        <v>0</v>
      </c>
      <c r="P99">
        <f>IF((Metrics!$H$1-180+98)&lt;1,"",INDEX(Calc_Daily!$AM$2:$AM$2001,(Metrics!$H$1-180+98)))</f>
        <v>0</v>
      </c>
      <c r="Q99">
        <f>IF((Metrics!$H$1-180+98)&lt;1,"",INDEX(Calc_Daily!$AK$2:$AK$2001,(Metrics!$H$1-180+98)))</f>
        <v>0</v>
      </c>
      <c r="R99">
        <f>IF((Metrics!$H$1-180+98)&lt;1,"",INDEX(Calc_Daily!$AN$2:$AN$2001,(Metrics!$H$1-180+98)))</f>
        <v>0</v>
      </c>
      <c r="S99">
        <f>IF((Metrics!$H$1-180+98)&lt;1,"",INDEX(Calc_Daily!$AD$2:$AD$2001,(Metrics!$H$1-180+98)))</f>
        <v>0</v>
      </c>
      <c r="T99">
        <f>IF((Metrics!$H$1-180+98)&lt;1,"",INDEX(Calc_Daily!$AT$2:$AT$2001,(Metrics!$H$1-180+98)))</f>
        <v>0</v>
      </c>
      <c r="U99">
        <f>IF((Metrics!$H$1-180+98)&lt;1,"",INDEX(Calc_Daily!$AQ$2:$AQ$2001,(Metrics!$H$1-180+98)))</f>
        <v>0</v>
      </c>
      <c r="V99">
        <f>IF((Metrics!$H$1-180+98)&lt;1,"",INDEX(Calc_Daily!$AR$2:$AR$2001,(Metrics!$H$1-180+98)))</f>
        <v>0</v>
      </c>
    </row>
    <row r="100" spans="1:22">
      <c r="A100" s="27">
        <f>IF((Metrics!$H$1-180+99)&lt;1,"",INDEX(Calc_Daily!$A$2:$A$2001,(Metrics!$H$1-180+99)))</f>
        <v>0</v>
      </c>
      <c r="B100">
        <f>IF((Metrics!$H$1-180+99)&lt;1,"",INDEX(Calc_Daily!$B$2:$B$2001,(Metrics!$H$1-180+99)))</f>
        <v>0</v>
      </c>
      <c r="C100">
        <f>IF((Metrics!$H$1-180+99)&lt;1,"",INDEX(Calc_Daily!$C$2:$C$2001,(Metrics!$H$1-180+99)))</f>
        <v>0</v>
      </c>
      <c r="D100">
        <f>IF((Metrics!$H$1-180+99)&lt;1,"",INDEX(Calc_Daily!$D$2:$D$2001,(Metrics!$H$1-180+99)))</f>
        <v>0</v>
      </c>
      <c r="E100">
        <f>IF((Metrics!$H$1-180+99)&lt;1,"",INDEX(Calc_Daily!$E$2:$E$2001,(Metrics!$H$1-180+99)))</f>
        <v>0</v>
      </c>
      <c r="F100">
        <f>IF((Metrics!$H$1-180+99)&lt;1,"",INDEX(Calc_Daily!$H$2:$H$2001,(Metrics!$H$1-180+99)))</f>
        <v>0</v>
      </c>
      <c r="G100">
        <f>IF((Metrics!$H$1-180+99)&lt;1,"",INDEX(Calc_Daily!$I$2:$I$2001,(Metrics!$H$1-180+99)))</f>
        <v>0</v>
      </c>
      <c r="H100">
        <f>IF((Metrics!$H$1-180+99)&lt;1,"",INDEX(Calc_Daily!$J$2:$J$2001,(Metrics!$H$1-180+99)))</f>
        <v>0</v>
      </c>
      <c r="I100">
        <f>IF((Metrics!$H$1-180+99)&lt;1,"",INDEX(Calc_Daily!$K$2:$K$2001,(Metrics!$H$1-180+99)))</f>
        <v>0</v>
      </c>
      <c r="J100">
        <f>IF((Metrics!$H$1-180+99)&lt;1,"",INDEX(Calc_Daily!$N$2:$N$2001,(Metrics!$H$1-180+99)))</f>
        <v>0</v>
      </c>
      <c r="K100">
        <f>IF((Metrics!$H$1-180+99)&lt;1,"",70)</f>
        <v>0</v>
      </c>
      <c r="L100">
        <f>IF((Metrics!$H$1-180+99)&lt;1,"",30)</f>
        <v>0</v>
      </c>
      <c r="M100">
        <f>IF((Metrics!$H$1-180+99)&lt;1,"",INDEX(Calc_Daily!$Q$2:$Q$2001,(Metrics!$H$1-180+99)))</f>
        <v>0</v>
      </c>
      <c r="N100">
        <f>IF((Metrics!$H$1-180+99)&lt;1,"",INDEX(Calc_Daily!$R$2:$R$2001,(Metrics!$H$1-180+99)))</f>
        <v>0</v>
      </c>
      <c r="O100">
        <f>IF((Metrics!$H$1-180+99)&lt;1,"",INDEX(Calc_Daily!$S$2:$S$2001,(Metrics!$H$1-180+99)))</f>
        <v>0</v>
      </c>
      <c r="P100">
        <f>IF((Metrics!$H$1-180+99)&lt;1,"",INDEX(Calc_Daily!$AM$2:$AM$2001,(Metrics!$H$1-180+99)))</f>
        <v>0</v>
      </c>
      <c r="Q100">
        <f>IF((Metrics!$H$1-180+99)&lt;1,"",INDEX(Calc_Daily!$AK$2:$AK$2001,(Metrics!$H$1-180+99)))</f>
        <v>0</v>
      </c>
      <c r="R100">
        <f>IF((Metrics!$H$1-180+99)&lt;1,"",INDEX(Calc_Daily!$AN$2:$AN$2001,(Metrics!$H$1-180+99)))</f>
        <v>0</v>
      </c>
      <c r="S100">
        <f>IF((Metrics!$H$1-180+99)&lt;1,"",INDEX(Calc_Daily!$AD$2:$AD$2001,(Metrics!$H$1-180+99)))</f>
        <v>0</v>
      </c>
      <c r="T100">
        <f>IF((Metrics!$H$1-180+99)&lt;1,"",INDEX(Calc_Daily!$AT$2:$AT$2001,(Metrics!$H$1-180+99)))</f>
        <v>0</v>
      </c>
      <c r="U100">
        <f>IF((Metrics!$H$1-180+99)&lt;1,"",INDEX(Calc_Daily!$AQ$2:$AQ$2001,(Metrics!$H$1-180+99)))</f>
        <v>0</v>
      </c>
      <c r="V100">
        <f>IF((Metrics!$H$1-180+99)&lt;1,"",INDEX(Calc_Daily!$AR$2:$AR$2001,(Metrics!$H$1-180+99)))</f>
        <v>0</v>
      </c>
    </row>
    <row r="101" spans="1:22">
      <c r="A101" s="27">
        <f>IF((Metrics!$H$1-180+100)&lt;1,"",INDEX(Calc_Daily!$A$2:$A$2001,(Metrics!$H$1-180+100)))</f>
        <v>0</v>
      </c>
      <c r="B101">
        <f>IF((Metrics!$H$1-180+100)&lt;1,"",INDEX(Calc_Daily!$B$2:$B$2001,(Metrics!$H$1-180+100)))</f>
        <v>0</v>
      </c>
      <c r="C101">
        <f>IF((Metrics!$H$1-180+100)&lt;1,"",INDEX(Calc_Daily!$C$2:$C$2001,(Metrics!$H$1-180+100)))</f>
        <v>0</v>
      </c>
      <c r="D101">
        <f>IF((Metrics!$H$1-180+100)&lt;1,"",INDEX(Calc_Daily!$D$2:$D$2001,(Metrics!$H$1-180+100)))</f>
        <v>0</v>
      </c>
      <c r="E101">
        <f>IF((Metrics!$H$1-180+100)&lt;1,"",INDEX(Calc_Daily!$E$2:$E$2001,(Metrics!$H$1-180+100)))</f>
        <v>0</v>
      </c>
      <c r="F101">
        <f>IF((Metrics!$H$1-180+100)&lt;1,"",INDEX(Calc_Daily!$H$2:$H$2001,(Metrics!$H$1-180+100)))</f>
        <v>0</v>
      </c>
      <c r="G101">
        <f>IF((Metrics!$H$1-180+100)&lt;1,"",INDEX(Calc_Daily!$I$2:$I$2001,(Metrics!$H$1-180+100)))</f>
        <v>0</v>
      </c>
      <c r="H101">
        <f>IF((Metrics!$H$1-180+100)&lt;1,"",INDEX(Calc_Daily!$J$2:$J$2001,(Metrics!$H$1-180+100)))</f>
        <v>0</v>
      </c>
      <c r="I101">
        <f>IF((Metrics!$H$1-180+100)&lt;1,"",INDEX(Calc_Daily!$K$2:$K$2001,(Metrics!$H$1-180+100)))</f>
        <v>0</v>
      </c>
      <c r="J101">
        <f>IF((Metrics!$H$1-180+100)&lt;1,"",INDEX(Calc_Daily!$N$2:$N$2001,(Metrics!$H$1-180+100)))</f>
        <v>0</v>
      </c>
      <c r="K101">
        <f>IF((Metrics!$H$1-180+100)&lt;1,"",70)</f>
        <v>0</v>
      </c>
      <c r="L101">
        <f>IF((Metrics!$H$1-180+100)&lt;1,"",30)</f>
        <v>0</v>
      </c>
      <c r="M101">
        <f>IF((Metrics!$H$1-180+100)&lt;1,"",INDEX(Calc_Daily!$Q$2:$Q$2001,(Metrics!$H$1-180+100)))</f>
        <v>0</v>
      </c>
      <c r="N101">
        <f>IF((Metrics!$H$1-180+100)&lt;1,"",INDEX(Calc_Daily!$R$2:$R$2001,(Metrics!$H$1-180+100)))</f>
        <v>0</v>
      </c>
      <c r="O101">
        <f>IF((Metrics!$H$1-180+100)&lt;1,"",INDEX(Calc_Daily!$S$2:$S$2001,(Metrics!$H$1-180+100)))</f>
        <v>0</v>
      </c>
      <c r="P101">
        <f>IF((Metrics!$H$1-180+100)&lt;1,"",INDEX(Calc_Daily!$AM$2:$AM$2001,(Metrics!$H$1-180+100)))</f>
        <v>0</v>
      </c>
      <c r="Q101">
        <f>IF((Metrics!$H$1-180+100)&lt;1,"",INDEX(Calc_Daily!$AK$2:$AK$2001,(Metrics!$H$1-180+100)))</f>
        <v>0</v>
      </c>
      <c r="R101">
        <f>IF((Metrics!$H$1-180+100)&lt;1,"",INDEX(Calc_Daily!$AN$2:$AN$2001,(Metrics!$H$1-180+100)))</f>
        <v>0</v>
      </c>
      <c r="S101">
        <f>IF((Metrics!$H$1-180+100)&lt;1,"",INDEX(Calc_Daily!$AD$2:$AD$2001,(Metrics!$H$1-180+100)))</f>
        <v>0</v>
      </c>
      <c r="T101">
        <f>IF((Metrics!$H$1-180+100)&lt;1,"",INDEX(Calc_Daily!$AT$2:$AT$2001,(Metrics!$H$1-180+100)))</f>
        <v>0</v>
      </c>
      <c r="U101">
        <f>IF((Metrics!$H$1-180+100)&lt;1,"",INDEX(Calc_Daily!$AQ$2:$AQ$2001,(Metrics!$H$1-180+100)))</f>
        <v>0</v>
      </c>
      <c r="V101">
        <f>IF((Metrics!$H$1-180+100)&lt;1,"",INDEX(Calc_Daily!$AR$2:$AR$2001,(Metrics!$H$1-180+100)))</f>
        <v>0</v>
      </c>
    </row>
    <row r="102" spans="1:22">
      <c r="A102" s="27">
        <f>IF((Metrics!$H$1-180+101)&lt;1,"",INDEX(Calc_Daily!$A$2:$A$2001,(Metrics!$H$1-180+101)))</f>
        <v>0</v>
      </c>
      <c r="B102">
        <f>IF((Metrics!$H$1-180+101)&lt;1,"",INDEX(Calc_Daily!$B$2:$B$2001,(Metrics!$H$1-180+101)))</f>
        <v>0</v>
      </c>
      <c r="C102">
        <f>IF((Metrics!$H$1-180+101)&lt;1,"",INDEX(Calc_Daily!$C$2:$C$2001,(Metrics!$H$1-180+101)))</f>
        <v>0</v>
      </c>
      <c r="D102">
        <f>IF((Metrics!$H$1-180+101)&lt;1,"",INDEX(Calc_Daily!$D$2:$D$2001,(Metrics!$H$1-180+101)))</f>
        <v>0</v>
      </c>
      <c r="E102">
        <f>IF((Metrics!$H$1-180+101)&lt;1,"",INDEX(Calc_Daily!$E$2:$E$2001,(Metrics!$H$1-180+101)))</f>
        <v>0</v>
      </c>
      <c r="F102">
        <f>IF((Metrics!$H$1-180+101)&lt;1,"",INDEX(Calc_Daily!$H$2:$H$2001,(Metrics!$H$1-180+101)))</f>
        <v>0</v>
      </c>
      <c r="G102">
        <f>IF((Metrics!$H$1-180+101)&lt;1,"",INDEX(Calc_Daily!$I$2:$I$2001,(Metrics!$H$1-180+101)))</f>
        <v>0</v>
      </c>
      <c r="H102">
        <f>IF((Metrics!$H$1-180+101)&lt;1,"",INDEX(Calc_Daily!$J$2:$J$2001,(Metrics!$H$1-180+101)))</f>
        <v>0</v>
      </c>
      <c r="I102">
        <f>IF((Metrics!$H$1-180+101)&lt;1,"",INDEX(Calc_Daily!$K$2:$K$2001,(Metrics!$H$1-180+101)))</f>
        <v>0</v>
      </c>
      <c r="J102">
        <f>IF((Metrics!$H$1-180+101)&lt;1,"",INDEX(Calc_Daily!$N$2:$N$2001,(Metrics!$H$1-180+101)))</f>
        <v>0</v>
      </c>
      <c r="K102">
        <f>IF((Metrics!$H$1-180+101)&lt;1,"",70)</f>
        <v>0</v>
      </c>
      <c r="L102">
        <f>IF((Metrics!$H$1-180+101)&lt;1,"",30)</f>
        <v>0</v>
      </c>
      <c r="M102">
        <f>IF((Metrics!$H$1-180+101)&lt;1,"",INDEX(Calc_Daily!$Q$2:$Q$2001,(Metrics!$H$1-180+101)))</f>
        <v>0</v>
      </c>
      <c r="N102">
        <f>IF((Metrics!$H$1-180+101)&lt;1,"",INDEX(Calc_Daily!$R$2:$R$2001,(Metrics!$H$1-180+101)))</f>
        <v>0</v>
      </c>
      <c r="O102">
        <f>IF((Metrics!$H$1-180+101)&lt;1,"",INDEX(Calc_Daily!$S$2:$S$2001,(Metrics!$H$1-180+101)))</f>
        <v>0</v>
      </c>
      <c r="P102">
        <f>IF((Metrics!$H$1-180+101)&lt;1,"",INDEX(Calc_Daily!$AM$2:$AM$2001,(Metrics!$H$1-180+101)))</f>
        <v>0</v>
      </c>
      <c r="Q102">
        <f>IF((Metrics!$H$1-180+101)&lt;1,"",INDEX(Calc_Daily!$AK$2:$AK$2001,(Metrics!$H$1-180+101)))</f>
        <v>0</v>
      </c>
      <c r="R102">
        <f>IF((Metrics!$H$1-180+101)&lt;1,"",INDEX(Calc_Daily!$AN$2:$AN$2001,(Metrics!$H$1-180+101)))</f>
        <v>0</v>
      </c>
      <c r="S102">
        <f>IF((Metrics!$H$1-180+101)&lt;1,"",INDEX(Calc_Daily!$AD$2:$AD$2001,(Metrics!$H$1-180+101)))</f>
        <v>0</v>
      </c>
      <c r="T102">
        <f>IF((Metrics!$H$1-180+101)&lt;1,"",INDEX(Calc_Daily!$AT$2:$AT$2001,(Metrics!$H$1-180+101)))</f>
        <v>0</v>
      </c>
      <c r="U102">
        <f>IF((Metrics!$H$1-180+101)&lt;1,"",INDEX(Calc_Daily!$AQ$2:$AQ$2001,(Metrics!$H$1-180+101)))</f>
        <v>0</v>
      </c>
      <c r="V102">
        <f>IF((Metrics!$H$1-180+101)&lt;1,"",INDEX(Calc_Daily!$AR$2:$AR$2001,(Metrics!$H$1-180+101)))</f>
        <v>0</v>
      </c>
    </row>
    <row r="103" spans="1:22">
      <c r="A103" s="27">
        <f>IF((Metrics!$H$1-180+102)&lt;1,"",INDEX(Calc_Daily!$A$2:$A$2001,(Metrics!$H$1-180+102)))</f>
        <v>0</v>
      </c>
      <c r="B103">
        <f>IF((Metrics!$H$1-180+102)&lt;1,"",INDEX(Calc_Daily!$B$2:$B$2001,(Metrics!$H$1-180+102)))</f>
        <v>0</v>
      </c>
      <c r="C103">
        <f>IF((Metrics!$H$1-180+102)&lt;1,"",INDEX(Calc_Daily!$C$2:$C$2001,(Metrics!$H$1-180+102)))</f>
        <v>0</v>
      </c>
      <c r="D103">
        <f>IF((Metrics!$H$1-180+102)&lt;1,"",INDEX(Calc_Daily!$D$2:$D$2001,(Metrics!$H$1-180+102)))</f>
        <v>0</v>
      </c>
      <c r="E103">
        <f>IF((Metrics!$H$1-180+102)&lt;1,"",INDEX(Calc_Daily!$E$2:$E$2001,(Metrics!$H$1-180+102)))</f>
        <v>0</v>
      </c>
      <c r="F103">
        <f>IF((Metrics!$H$1-180+102)&lt;1,"",INDEX(Calc_Daily!$H$2:$H$2001,(Metrics!$H$1-180+102)))</f>
        <v>0</v>
      </c>
      <c r="G103">
        <f>IF((Metrics!$H$1-180+102)&lt;1,"",INDEX(Calc_Daily!$I$2:$I$2001,(Metrics!$H$1-180+102)))</f>
        <v>0</v>
      </c>
      <c r="H103">
        <f>IF((Metrics!$H$1-180+102)&lt;1,"",INDEX(Calc_Daily!$J$2:$J$2001,(Metrics!$H$1-180+102)))</f>
        <v>0</v>
      </c>
      <c r="I103">
        <f>IF((Metrics!$H$1-180+102)&lt;1,"",INDEX(Calc_Daily!$K$2:$K$2001,(Metrics!$H$1-180+102)))</f>
        <v>0</v>
      </c>
      <c r="J103">
        <f>IF((Metrics!$H$1-180+102)&lt;1,"",INDEX(Calc_Daily!$N$2:$N$2001,(Metrics!$H$1-180+102)))</f>
        <v>0</v>
      </c>
      <c r="K103">
        <f>IF((Metrics!$H$1-180+102)&lt;1,"",70)</f>
        <v>0</v>
      </c>
      <c r="L103">
        <f>IF((Metrics!$H$1-180+102)&lt;1,"",30)</f>
        <v>0</v>
      </c>
      <c r="M103">
        <f>IF((Metrics!$H$1-180+102)&lt;1,"",INDEX(Calc_Daily!$Q$2:$Q$2001,(Metrics!$H$1-180+102)))</f>
        <v>0</v>
      </c>
      <c r="N103">
        <f>IF((Metrics!$H$1-180+102)&lt;1,"",INDEX(Calc_Daily!$R$2:$R$2001,(Metrics!$H$1-180+102)))</f>
        <v>0</v>
      </c>
      <c r="O103">
        <f>IF((Metrics!$H$1-180+102)&lt;1,"",INDEX(Calc_Daily!$S$2:$S$2001,(Metrics!$H$1-180+102)))</f>
        <v>0</v>
      </c>
      <c r="P103">
        <f>IF((Metrics!$H$1-180+102)&lt;1,"",INDEX(Calc_Daily!$AM$2:$AM$2001,(Metrics!$H$1-180+102)))</f>
        <v>0</v>
      </c>
      <c r="Q103">
        <f>IF((Metrics!$H$1-180+102)&lt;1,"",INDEX(Calc_Daily!$AK$2:$AK$2001,(Metrics!$H$1-180+102)))</f>
        <v>0</v>
      </c>
      <c r="R103">
        <f>IF((Metrics!$H$1-180+102)&lt;1,"",INDEX(Calc_Daily!$AN$2:$AN$2001,(Metrics!$H$1-180+102)))</f>
        <v>0</v>
      </c>
      <c r="S103">
        <f>IF((Metrics!$H$1-180+102)&lt;1,"",INDEX(Calc_Daily!$AD$2:$AD$2001,(Metrics!$H$1-180+102)))</f>
        <v>0</v>
      </c>
      <c r="T103">
        <f>IF((Metrics!$H$1-180+102)&lt;1,"",INDEX(Calc_Daily!$AT$2:$AT$2001,(Metrics!$H$1-180+102)))</f>
        <v>0</v>
      </c>
      <c r="U103">
        <f>IF((Metrics!$H$1-180+102)&lt;1,"",INDEX(Calc_Daily!$AQ$2:$AQ$2001,(Metrics!$H$1-180+102)))</f>
        <v>0</v>
      </c>
      <c r="V103">
        <f>IF((Metrics!$H$1-180+102)&lt;1,"",INDEX(Calc_Daily!$AR$2:$AR$2001,(Metrics!$H$1-180+102)))</f>
        <v>0</v>
      </c>
    </row>
    <row r="104" spans="1:22">
      <c r="A104" s="27">
        <f>IF((Metrics!$H$1-180+103)&lt;1,"",INDEX(Calc_Daily!$A$2:$A$2001,(Metrics!$H$1-180+103)))</f>
        <v>0</v>
      </c>
      <c r="B104">
        <f>IF((Metrics!$H$1-180+103)&lt;1,"",INDEX(Calc_Daily!$B$2:$B$2001,(Metrics!$H$1-180+103)))</f>
        <v>0</v>
      </c>
      <c r="C104">
        <f>IF((Metrics!$H$1-180+103)&lt;1,"",INDEX(Calc_Daily!$C$2:$C$2001,(Metrics!$H$1-180+103)))</f>
        <v>0</v>
      </c>
      <c r="D104">
        <f>IF((Metrics!$H$1-180+103)&lt;1,"",INDEX(Calc_Daily!$D$2:$D$2001,(Metrics!$H$1-180+103)))</f>
        <v>0</v>
      </c>
      <c r="E104">
        <f>IF((Metrics!$H$1-180+103)&lt;1,"",INDEX(Calc_Daily!$E$2:$E$2001,(Metrics!$H$1-180+103)))</f>
        <v>0</v>
      </c>
      <c r="F104">
        <f>IF((Metrics!$H$1-180+103)&lt;1,"",INDEX(Calc_Daily!$H$2:$H$2001,(Metrics!$H$1-180+103)))</f>
        <v>0</v>
      </c>
      <c r="G104">
        <f>IF((Metrics!$H$1-180+103)&lt;1,"",INDEX(Calc_Daily!$I$2:$I$2001,(Metrics!$H$1-180+103)))</f>
        <v>0</v>
      </c>
      <c r="H104">
        <f>IF((Metrics!$H$1-180+103)&lt;1,"",INDEX(Calc_Daily!$J$2:$J$2001,(Metrics!$H$1-180+103)))</f>
        <v>0</v>
      </c>
      <c r="I104">
        <f>IF((Metrics!$H$1-180+103)&lt;1,"",INDEX(Calc_Daily!$K$2:$K$2001,(Metrics!$H$1-180+103)))</f>
        <v>0</v>
      </c>
      <c r="J104">
        <f>IF((Metrics!$H$1-180+103)&lt;1,"",INDEX(Calc_Daily!$N$2:$N$2001,(Metrics!$H$1-180+103)))</f>
        <v>0</v>
      </c>
      <c r="K104">
        <f>IF((Metrics!$H$1-180+103)&lt;1,"",70)</f>
        <v>0</v>
      </c>
      <c r="L104">
        <f>IF((Metrics!$H$1-180+103)&lt;1,"",30)</f>
        <v>0</v>
      </c>
      <c r="M104">
        <f>IF((Metrics!$H$1-180+103)&lt;1,"",INDEX(Calc_Daily!$Q$2:$Q$2001,(Metrics!$H$1-180+103)))</f>
        <v>0</v>
      </c>
      <c r="N104">
        <f>IF((Metrics!$H$1-180+103)&lt;1,"",INDEX(Calc_Daily!$R$2:$R$2001,(Metrics!$H$1-180+103)))</f>
        <v>0</v>
      </c>
      <c r="O104">
        <f>IF((Metrics!$H$1-180+103)&lt;1,"",INDEX(Calc_Daily!$S$2:$S$2001,(Metrics!$H$1-180+103)))</f>
        <v>0</v>
      </c>
      <c r="P104">
        <f>IF((Metrics!$H$1-180+103)&lt;1,"",INDEX(Calc_Daily!$AM$2:$AM$2001,(Metrics!$H$1-180+103)))</f>
        <v>0</v>
      </c>
      <c r="Q104">
        <f>IF((Metrics!$H$1-180+103)&lt;1,"",INDEX(Calc_Daily!$AK$2:$AK$2001,(Metrics!$H$1-180+103)))</f>
        <v>0</v>
      </c>
      <c r="R104">
        <f>IF((Metrics!$H$1-180+103)&lt;1,"",INDEX(Calc_Daily!$AN$2:$AN$2001,(Metrics!$H$1-180+103)))</f>
        <v>0</v>
      </c>
      <c r="S104">
        <f>IF((Metrics!$H$1-180+103)&lt;1,"",INDEX(Calc_Daily!$AD$2:$AD$2001,(Metrics!$H$1-180+103)))</f>
        <v>0</v>
      </c>
      <c r="T104">
        <f>IF((Metrics!$H$1-180+103)&lt;1,"",INDEX(Calc_Daily!$AT$2:$AT$2001,(Metrics!$H$1-180+103)))</f>
        <v>0</v>
      </c>
      <c r="U104">
        <f>IF((Metrics!$H$1-180+103)&lt;1,"",INDEX(Calc_Daily!$AQ$2:$AQ$2001,(Metrics!$H$1-180+103)))</f>
        <v>0</v>
      </c>
      <c r="V104">
        <f>IF((Metrics!$H$1-180+103)&lt;1,"",INDEX(Calc_Daily!$AR$2:$AR$2001,(Metrics!$H$1-180+103)))</f>
        <v>0</v>
      </c>
    </row>
    <row r="105" spans="1:22">
      <c r="A105" s="27">
        <f>IF((Metrics!$H$1-180+104)&lt;1,"",INDEX(Calc_Daily!$A$2:$A$2001,(Metrics!$H$1-180+104)))</f>
        <v>0</v>
      </c>
      <c r="B105">
        <f>IF((Metrics!$H$1-180+104)&lt;1,"",INDEX(Calc_Daily!$B$2:$B$2001,(Metrics!$H$1-180+104)))</f>
        <v>0</v>
      </c>
      <c r="C105">
        <f>IF((Metrics!$H$1-180+104)&lt;1,"",INDEX(Calc_Daily!$C$2:$C$2001,(Metrics!$H$1-180+104)))</f>
        <v>0</v>
      </c>
      <c r="D105">
        <f>IF((Metrics!$H$1-180+104)&lt;1,"",INDEX(Calc_Daily!$D$2:$D$2001,(Metrics!$H$1-180+104)))</f>
        <v>0</v>
      </c>
      <c r="E105">
        <f>IF((Metrics!$H$1-180+104)&lt;1,"",INDEX(Calc_Daily!$E$2:$E$2001,(Metrics!$H$1-180+104)))</f>
        <v>0</v>
      </c>
      <c r="F105">
        <f>IF((Metrics!$H$1-180+104)&lt;1,"",INDEX(Calc_Daily!$H$2:$H$2001,(Metrics!$H$1-180+104)))</f>
        <v>0</v>
      </c>
      <c r="G105">
        <f>IF((Metrics!$H$1-180+104)&lt;1,"",INDEX(Calc_Daily!$I$2:$I$2001,(Metrics!$H$1-180+104)))</f>
        <v>0</v>
      </c>
      <c r="H105">
        <f>IF((Metrics!$H$1-180+104)&lt;1,"",INDEX(Calc_Daily!$J$2:$J$2001,(Metrics!$H$1-180+104)))</f>
        <v>0</v>
      </c>
      <c r="I105">
        <f>IF((Metrics!$H$1-180+104)&lt;1,"",INDEX(Calc_Daily!$K$2:$K$2001,(Metrics!$H$1-180+104)))</f>
        <v>0</v>
      </c>
      <c r="J105">
        <f>IF((Metrics!$H$1-180+104)&lt;1,"",INDEX(Calc_Daily!$N$2:$N$2001,(Metrics!$H$1-180+104)))</f>
        <v>0</v>
      </c>
      <c r="K105">
        <f>IF((Metrics!$H$1-180+104)&lt;1,"",70)</f>
        <v>0</v>
      </c>
      <c r="L105">
        <f>IF((Metrics!$H$1-180+104)&lt;1,"",30)</f>
        <v>0</v>
      </c>
      <c r="M105">
        <f>IF((Metrics!$H$1-180+104)&lt;1,"",INDEX(Calc_Daily!$Q$2:$Q$2001,(Metrics!$H$1-180+104)))</f>
        <v>0</v>
      </c>
      <c r="N105">
        <f>IF((Metrics!$H$1-180+104)&lt;1,"",INDEX(Calc_Daily!$R$2:$R$2001,(Metrics!$H$1-180+104)))</f>
        <v>0</v>
      </c>
      <c r="O105">
        <f>IF((Metrics!$H$1-180+104)&lt;1,"",INDEX(Calc_Daily!$S$2:$S$2001,(Metrics!$H$1-180+104)))</f>
        <v>0</v>
      </c>
      <c r="P105">
        <f>IF((Metrics!$H$1-180+104)&lt;1,"",INDEX(Calc_Daily!$AM$2:$AM$2001,(Metrics!$H$1-180+104)))</f>
        <v>0</v>
      </c>
      <c r="Q105">
        <f>IF((Metrics!$H$1-180+104)&lt;1,"",INDEX(Calc_Daily!$AK$2:$AK$2001,(Metrics!$H$1-180+104)))</f>
        <v>0</v>
      </c>
      <c r="R105">
        <f>IF((Metrics!$H$1-180+104)&lt;1,"",INDEX(Calc_Daily!$AN$2:$AN$2001,(Metrics!$H$1-180+104)))</f>
        <v>0</v>
      </c>
      <c r="S105">
        <f>IF((Metrics!$H$1-180+104)&lt;1,"",INDEX(Calc_Daily!$AD$2:$AD$2001,(Metrics!$H$1-180+104)))</f>
        <v>0</v>
      </c>
      <c r="T105">
        <f>IF((Metrics!$H$1-180+104)&lt;1,"",INDEX(Calc_Daily!$AT$2:$AT$2001,(Metrics!$H$1-180+104)))</f>
        <v>0</v>
      </c>
      <c r="U105">
        <f>IF((Metrics!$H$1-180+104)&lt;1,"",INDEX(Calc_Daily!$AQ$2:$AQ$2001,(Metrics!$H$1-180+104)))</f>
        <v>0</v>
      </c>
      <c r="V105">
        <f>IF((Metrics!$H$1-180+104)&lt;1,"",INDEX(Calc_Daily!$AR$2:$AR$2001,(Metrics!$H$1-180+104)))</f>
        <v>0</v>
      </c>
    </row>
    <row r="106" spans="1:22">
      <c r="A106" s="27">
        <f>IF((Metrics!$H$1-180+105)&lt;1,"",INDEX(Calc_Daily!$A$2:$A$2001,(Metrics!$H$1-180+105)))</f>
        <v>0</v>
      </c>
      <c r="B106">
        <f>IF((Metrics!$H$1-180+105)&lt;1,"",INDEX(Calc_Daily!$B$2:$B$2001,(Metrics!$H$1-180+105)))</f>
        <v>0</v>
      </c>
      <c r="C106">
        <f>IF((Metrics!$H$1-180+105)&lt;1,"",INDEX(Calc_Daily!$C$2:$C$2001,(Metrics!$H$1-180+105)))</f>
        <v>0</v>
      </c>
      <c r="D106">
        <f>IF((Metrics!$H$1-180+105)&lt;1,"",INDEX(Calc_Daily!$D$2:$D$2001,(Metrics!$H$1-180+105)))</f>
        <v>0</v>
      </c>
      <c r="E106">
        <f>IF((Metrics!$H$1-180+105)&lt;1,"",INDEX(Calc_Daily!$E$2:$E$2001,(Metrics!$H$1-180+105)))</f>
        <v>0</v>
      </c>
      <c r="F106">
        <f>IF((Metrics!$H$1-180+105)&lt;1,"",INDEX(Calc_Daily!$H$2:$H$2001,(Metrics!$H$1-180+105)))</f>
        <v>0</v>
      </c>
      <c r="G106">
        <f>IF((Metrics!$H$1-180+105)&lt;1,"",INDEX(Calc_Daily!$I$2:$I$2001,(Metrics!$H$1-180+105)))</f>
        <v>0</v>
      </c>
      <c r="H106">
        <f>IF((Metrics!$H$1-180+105)&lt;1,"",INDEX(Calc_Daily!$J$2:$J$2001,(Metrics!$H$1-180+105)))</f>
        <v>0</v>
      </c>
      <c r="I106">
        <f>IF((Metrics!$H$1-180+105)&lt;1,"",INDEX(Calc_Daily!$K$2:$K$2001,(Metrics!$H$1-180+105)))</f>
        <v>0</v>
      </c>
      <c r="J106">
        <f>IF((Metrics!$H$1-180+105)&lt;1,"",INDEX(Calc_Daily!$N$2:$N$2001,(Metrics!$H$1-180+105)))</f>
        <v>0</v>
      </c>
      <c r="K106">
        <f>IF((Metrics!$H$1-180+105)&lt;1,"",70)</f>
        <v>0</v>
      </c>
      <c r="L106">
        <f>IF((Metrics!$H$1-180+105)&lt;1,"",30)</f>
        <v>0</v>
      </c>
      <c r="M106">
        <f>IF((Metrics!$H$1-180+105)&lt;1,"",INDEX(Calc_Daily!$Q$2:$Q$2001,(Metrics!$H$1-180+105)))</f>
        <v>0</v>
      </c>
      <c r="N106">
        <f>IF((Metrics!$H$1-180+105)&lt;1,"",INDEX(Calc_Daily!$R$2:$R$2001,(Metrics!$H$1-180+105)))</f>
        <v>0</v>
      </c>
      <c r="O106">
        <f>IF((Metrics!$H$1-180+105)&lt;1,"",INDEX(Calc_Daily!$S$2:$S$2001,(Metrics!$H$1-180+105)))</f>
        <v>0</v>
      </c>
      <c r="P106">
        <f>IF((Metrics!$H$1-180+105)&lt;1,"",INDEX(Calc_Daily!$AM$2:$AM$2001,(Metrics!$H$1-180+105)))</f>
        <v>0</v>
      </c>
      <c r="Q106">
        <f>IF((Metrics!$H$1-180+105)&lt;1,"",INDEX(Calc_Daily!$AK$2:$AK$2001,(Metrics!$H$1-180+105)))</f>
        <v>0</v>
      </c>
      <c r="R106">
        <f>IF((Metrics!$H$1-180+105)&lt;1,"",INDEX(Calc_Daily!$AN$2:$AN$2001,(Metrics!$H$1-180+105)))</f>
        <v>0</v>
      </c>
      <c r="S106">
        <f>IF((Metrics!$H$1-180+105)&lt;1,"",INDEX(Calc_Daily!$AD$2:$AD$2001,(Metrics!$H$1-180+105)))</f>
        <v>0</v>
      </c>
      <c r="T106">
        <f>IF((Metrics!$H$1-180+105)&lt;1,"",INDEX(Calc_Daily!$AT$2:$AT$2001,(Metrics!$H$1-180+105)))</f>
        <v>0</v>
      </c>
      <c r="U106">
        <f>IF((Metrics!$H$1-180+105)&lt;1,"",INDEX(Calc_Daily!$AQ$2:$AQ$2001,(Metrics!$H$1-180+105)))</f>
        <v>0</v>
      </c>
      <c r="V106">
        <f>IF((Metrics!$H$1-180+105)&lt;1,"",INDEX(Calc_Daily!$AR$2:$AR$2001,(Metrics!$H$1-180+105)))</f>
        <v>0</v>
      </c>
    </row>
    <row r="107" spans="1:22">
      <c r="A107" s="27">
        <f>IF((Metrics!$H$1-180+106)&lt;1,"",INDEX(Calc_Daily!$A$2:$A$2001,(Metrics!$H$1-180+106)))</f>
        <v>0</v>
      </c>
      <c r="B107">
        <f>IF((Metrics!$H$1-180+106)&lt;1,"",INDEX(Calc_Daily!$B$2:$B$2001,(Metrics!$H$1-180+106)))</f>
        <v>0</v>
      </c>
      <c r="C107">
        <f>IF((Metrics!$H$1-180+106)&lt;1,"",INDEX(Calc_Daily!$C$2:$C$2001,(Metrics!$H$1-180+106)))</f>
        <v>0</v>
      </c>
      <c r="D107">
        <f>IF((Metrics!$H$1-180+106)&lt;1,"",INDEX(Calc_Daily!$D$2:$D$2001,(Metrics!$H$1-180+106)))</f>
        <v>0</v>
      </c>
      <c r="E107">
        <f>IF((Metrics!$H$1-180+106)&lt;1,"",INDEX(Calc_Daily!$E$2:$E$2001,(Metrics!$H$1-180+106)))</f>
        <v>0</v>
      </c>
      <c r="F107">
        <f>IF((Metrics!$H$1-180+106)&lt;1,"",INDEX(Calc_Daily!$H$2:$H$2001,(Metrics!$H$1-180+106)))</f>
        <v>0</v>
      </c>
      <c r="G107">
        <f>IF((Metrics!$H$1-180+106)&lt;1,"",INDEX(Calc_Daily!$I$2:$I$2001,(Metrics!$H$1-180+106)))</f>
        <v>0</v>
      </c>
      <c r="H107">
        <f>IF((Metrics!$H$1-180+106)&lt;1,"",INDEX(Calc_Daily!$J$2:$J$2001,(Metrics!$H$1-180+106)))</f>
        <v>0</v>
      </c>
      <c r="I107">
        <f>IF((Metrics!$H$1-180+106)&lt;1,"",INDEX(Calc_Daily!$K$2:$K$2001,(Metrics!$H$1-180+106)))</f>
        <v>0</v>
      </c>
      <c r="J107">
        <f>IF((Metrics!$H$1-180+106)&lt;1,"",INDEX(Calc_Daily!$N$2:$N$2001,(Metrics!$H$1-180+106)))</f>
        <v>0</v>
      </c>
      <c r="K107">
        <f>IF((Metrics!$H$1-180+106)&lt;1,"",70)</f>
        <v>0</v>
      </c>
      <c r="L107">
        <f>IF((Metrics!$H$1-180+106)&lt;1,"",30)</f>
        <v>0</v>
      </c>
      <c r="M107">
        <f>IF((Metrics!$H$1-180+106)&lt;1,"",INDEX(Calc_Daily!$Q$2:$Q$2001,(Metrics!$H$1-180+106)))</f>
        <v>0</v>
      </c>
      <c r="N107">
        <f>IF((Metrics!$H$1-180+106)&lt;1,"",INDEX(Calc_Daily!$R$2:$R$2001,(Metrics!$H$1-180+106)))</f>
        <v>0</v>
      </c>
      <c r="O107">
        <f>IF((Metrics!$H$1-180+106)&lt;1,"",INDEX(Calc_Daily!$S$2:$S$2001,(Metrics!$H$1-180+106)))</f>
        <v>0</v>
      </c>
      <c r="P107">
        <f>IF((Metrics!$H$1-180+106)&lt;1,"",INDEX(Calc_Daily!$AM$2:$AM$2001,(Metrics!$H$1-180+106)))</f>
        <v>0</v>
      </c>
      <c r="Q107">
        <f>IF((Metrics!$H$1-180+106)&lt;1,"",INDEX(Calc_Daily!$AK$2:$AK$2001,(Metrics!$H$1-180+106)))</f>
        <v>0</v>
      </c>
      <c r="R107">
        <f>IF((Metrics!$H$1-180+106)&lt;1,"",INDEX(Calc_Daily!$AN$2:$AN$2001,(Metrics!$H$1-180+106)))</f>
        <v>0</v>
      </c>
      <c r="S107">
        <f>IF((Metrics!$H$1-180+106)&lt;1,"",INDEX(Calc_Daily!$AD$2:$AD$2001,(Metrics!$H$1-180+106)))</f>
        <v>0</v>
      </c>
      <c r="T107">
        <f>IF((Metrics!$H$1-180+106)&lt;1,"",INDEX(Calc_Daily!$AT$2:$AT$2001,(Metrics!$H$1-180+106)))</f>
        <v>0</v>
      </c>
      <c r="U107">
        <f>IF((Metrics!$H$1-180+106)&lt;1,"",INDEX(Calc_Daily!$AQ$2:$AQ$2001,(Metrics!$H$1-180+106)))</f>
        <v>0</v>
      </c>
      <c r="V107">
        <f>IF((Metrics!$H$1-180+106)&lt;1,"",INDEX(Calc_Daily!$AR$2:$AR$2001,(Metrics!$H$1-180+106)))</f>
        <v>0</v>
      </c>
    </row>
    <row r="108" spans="1:22">
      <c r="A108" s="27">
        <f>IF((Metrics!$H$1-180+107)&lt;1,"",INDEX(Calc_Daily!$A$2:$A$2001,(Metrics!$H$1-180+107)))</f>
        <v>0</v>
      </c>
      <c r="B108">
        <f>IF((Metrics!$H$1-180+107)&lt;1,"",INDEX(Calc_Daily!$B$2:$B$2001,(Metrics!$H$1-180+107)))</f>
        <v>0</v>
      </c>
      <c r="C108">
        <f>IF((Metrics!$H$1-180+107)&lt;1,"",INDEX(Calc_Daily!$C$2:$C$2001,(Metrics!$H$1-180+107)))</f>
        <v>0</v>
      </c>
      <c r="D108">
        <f>IF((Metrics!$H$1-180+107)&lt;1,"",INDEX(Calc_Daily!$D$2:$D$2001,(Metrics!$H$1-180+107)))</f>
        <v>0</v>
      </c>
      <c r="E108">
        <f>IF((Metrics!$H$1-180+107)&lt;1,"",INDEX(Calc_Daily!$E$2:$E$2001,(Metrics!$H$1-180+107)))</f>
        <v>0</v>
      </c>
      <c r="F108">
        <f>IF((Metrics!$H$1-180+107)&lt;1,"",INDEX(Calc_Daily!$H$2:$H$2001,(Metrics!$H$1-180+107)))</f>
        <v>0</v>
      </c>
      <c r="G108">
        <f>IF((Metrics!$H$1-180+107)&lt;1,"",INDEX(Calc_Daily!$I$2:$I$2001,(Metrics!$H$1-180+107)))</f>
        <v>0</v>
      </c>
      <c r="H108">
        <f>IF((Metrics!$H$1-180+107)&lt;1,"",INDEX(Calc_Daily!$J$2:$J$2001,(Metrics!$H$1-180+107)))</f>
        <v>0</v>
      </c>
      <c r="I108">
        <f>IF((Metrics!$H$1-180+107)&lt;1,"",INDEX(Calc_Daily!$K$2:$K$2001,(Metrics!$H$1-180+107)))</f>
        <v>0</v>
      </c>
      <c r="J108">
        <f>IF((Metrics!$H$1-180+107)&lt;1,"",INDEX(Calc_Daily!$N$2:$N$2001,(Metrics!$H$1-180+107)))</f>
        <v>0</v>
      </c>
      <c r="K108">
        <f>IF((Metrics!$H$1-180+107)&lt;1,"",70)</f>
        <v>0</v>
      </c>
      <c r="L108">
        <f>IF((Metrics!$H$1-180+107)&lt;1,"",30)</f>
        <v>0</v>
      </c>
      <c r="M108">
        <f>IF((Metrics!$H$1-180+107)&lt;1,"",INDEX(Calc_Daily!$Q$2:$Q$2001,(Metrics!$H$1-180+107)))</f>
        <v>0</v>
      </c>
      <c r="N108">
        <f>IF((Metrics!$H$1-180+107)&lt;1,"",INDEX(Calc_Daily!$R$2:$R$2001,(Metrics!$H$1-180+107)))</f>
        <v>0</v>
      </c>
      <c r="O108">
        <f>IF((Metrics!$H$1-180+107)&lt;1,"",INDEX(Calc_Daily!$S$2:$S$2001,(Metrics!$H$1-180+107)))</f>
        <v>0</v>
      </c>
      <c r="P108">
        <f>IF((Metrics!$H$1-180+107)&lt;1,"",INDEX(Calc_Daily!$AM$2:$AM$2001,(Metrics!$H$1-180+107)))</f>
        <v>0</v>
      </c>
      <c r="Q108">
        <f>IF((Metrics!$H$1-180+107)&lt;1,"",INDEX(Calc_Daily!$AK$2:$AK$2001,(Metrics!$H$1-180+107)))</f>
        <v>0</v>
      </c>
      <c r="R108">
        <f>IF((Metrics!$H$1-180+107)&lt;1,"",INDEX(Calc_Daily!$AN$2:$AN$2001,(Metrics!$H$1-180+107)))</f>
        <v>0</v>
      </c>
      <c r="S108">
        <f>IF((Metrics!$H$1-180+107)&lt;1,"",INDEX(Calc_Daily!$AD$2:$AD$2001,(Metrics!$H$1-180+107)))</f>
        <v>0</v>
      </c>
      <c r="T108">
        <f>IF((Metrics!$H$1-180+107)&lt;1,"",INDEX(Calc_Daily!$AT$2:$AT$2001,(Metrics!$H$1-180+107)))</f>
        <v>0</v>
      </c>
      <c r="U108">
        <f>IF((Metrics!$H$1-180+107)&lt;1,"",INDEX(Calc_Daily!$AQ$2:$AQ$2001,(Metrics!$H$1-180+107)))</f>
        <v>0</v>
      </c>
      <c r="V108">
        <f>IF((Metrics!$H$1-180+107)&lt;1,"",INDEX(Calc_Daily!$AR$2:$AR$2001,(Metrics!$H$1-180+107)))</f>
        <v>0</v>
      </c>
    </row>
    <row r="109" spans="1:22">
      <c r="A109" s="27">
        <f>IF((Metrics!$H$1-180+108)&lt;1,"",INDEX(Calc_Daily!$A$2:$A$2001,(Metrics!$H$1-180+108)))</f>
        <v>0</v>
      </c>
      <c r="B109">
        <f>IF((Metrics!$H$1-180+108)&lt;1,"",INDEX(Calc_Daily!$B$2:$B$2001,(Metrics!$H$1-180+108)))</f>
        <v>0</v>
      </c>
      <c r="C109">
        <f>IF((Metrics!$H$1-180+108)&lt;1,"",INDEX(Calc_Daily!$C$2:$C$2001,(Metrics!$H$1-180+108)))</f>
        <v>0</v>
      </c>
      <c r="D109">
        <f>IF((Metrics!$H$1-180+108)&lt;1,"",INDEX(Calc_Daily!$D$2:$D$2001,(Metrics!$H$1-180+108)))</f>
        <v>0</v>
      </c>
      <c r="E109">
        <f>IF((Metrics!$H$1-180+108)&lt;1,"",INDEX(Calc_Daily!$E$2:$E$2001,(Metrics!$H$1-180+108)))</f>
        <v>0</v>
      </c>
      <c r="F109">
        <f>IF((Metrics!$H$1-180+108)&lt;1,"",INDEX(Calc_Daily!$H$2:$H$2001,(Metrics!$H$1-180+108)))</f>
        <v>0</v>
      </c>
      <c r="G109">
        <f>IF((Metrics!$H$1-180+108)&lt;1,"",INDEX(Calc_Daily!$I$2:$I$2001,(Metrics!$H$1-180+108)))</f>
        <v>0</v>
      </c>
      <c r="H109">
        <f>IF((Metrics!$H$1-180+108)&lt;1,"",INDEX(Calc_Daily!$J$2:$J$2001,(Metrics!$H$1-180+108)))</f>
        <v>0</v>
      </c>
      <c r="I109">
        <f>IF((Metrics!$H$1-180+108)&lt;1,"",INDEX(Calc_Daily!$K$2:$K$2001,(Metrics!$H$1-180+108)))</f>
        <v>0</v>
      </c>
      <c r="J109">
        <f>IF((Metrics!$H$1-180+108)&lt;1,"",INDEX(Calc_Daily!$N$2:$N$2001,(Metrics!$H$1-180+108)))</f>
        <v>0</v>
      </c>
      <c r="K109">
        <f>IF((Metrics!$H$1-180+108)&lt;1,"",70)</f>
        <v>0</v>
      </c>
      <c r="L109">
        <f>IF((Metrics!$H$1-180+108)&lt;1,"",30)</f>
        <v>0</v>
      </c>
      <c r="M109">
        <f>IF((Metrics!$H$1-180+108)&lt;1,"",INDEX(Calc_Daily!$Q$2:$Q$2001,(Metrics!$H$1-180+108)))</f>
        <v>0</v>
      </c>
      <c r="N109">
        <f>IF((Metrics!$H$1-180+108)&lt;1,"",INDEX(Calc_Daily!$R$2:$R$2001,(Metrics!$H$1-180+108)))</f>
        <v>0</v>
      </c>
      <c r="O109">
        <f>IF((Metrics!$H$1-180+108)&lt;1,"",INDEX(Calc_Daily!$S$2:$S$2001,(Metrics!$H$1-180+108)))</f>
        <v>0</v>
      </c>
      <c r="P109">
        <f>IF((Metrics!$H$1-180+108)&lt;1,"",INDEX(Calc_Daily!$AM$2:$AM$2001,(Metrics!$H$1-180+108)))</f>
        <v>0</v>
      </c>
      <c r="Q109">
        <f>IF((Metrics!$H$1-180+108)&lt;1,"",INDEX(Calc_Daily!$AK$2:$AK$2001,(Metrics!$H$1-180+108)))</f>
        <v>0</v>
      </c>
      <c r="R109">
        <f>IF((Metrics!$H$1-180+108)&lt;1,"",INDEX(Calc_Daily!$AN$2:$AN$2001,(Metrics!$H$1-180+108)))</f>
        <v>0</v>
      </c>
      <c r="S109">
        <f>IF((Metrics!$H$1-180+108)&lt;1,"",INDEX(Calc_Daily!$AD$2:$AD$2001,(Metrics!$H$1-180+108)))</f>
        <v>0</v>
      </c>
      <c r="T109">
        <f>IF((Metrics!$H$1-180+108)&lt;1,"",INDEX(Calc_Daily!$AT$2:$AT$2001,(Metrics!$H$1-180+108)))</f>
        <v>0</v>
      </c>
      <c r="U109">
        <f>IF((Metrics!$H$1-180+108)&lt;1,"",INDEX(Calc_Daily!$AQ$2:$AQ$2001,(Metrics!$H$1-180+108)))</f>
        <v>0</v>
      </c>
      <c r="V109">
        <f>IF((Metrics!$H$1-180+108)&lt;1,"",INDEX(Calc_Daily!$AR$2:$AR$2001,(Metrics!$H$1-180+108)))</f>
        <v>0</v>
      </c>
    </row>
    <row r="110" spans="1:22">
      <c r="A110" s="27">
        <f>IF((Metrics!$H$1-180+109)&lt;1,"",INDEX(Calc_Daily!$A$2:$A$2001,(Metrics!$H$1-180+109)))</f>
        <v>0</v>
      </c>
      <c r="B110">
        <f>IF((Metrics!$H$1-180+109)&lt;1,"",INDEX(Calc_Daily!$B$2:$B$2001,(Metrics!$H$1-180+109)))</f>
        <v>0</v>
      </c>
      <c r="C110">
        <f>IF((Metrics!$H$1-180+109)&lt;1,"",INDEX(Calc_Daily!$C$2:$C$2001,(Metrics!$H$1-180+109)))</f>
        <v>0</v>
      </c>
      <c r="D110">
        <f>IF((Metrics!$H$1-180+109)&lt;1,"",INDEX(Calc_Daily!$D$2:$D$2001,(Metrics!$H$1-180+109)))</f>
        <v>0</v>
      </c>
      <c r="E110">
        <f>IF((Metrics!$H$1-180+109)&lt;1,"",INDEX(Calc_Daily!$E$2:$E$2001,(Metrics!$H$1-180+109)))</f>
        <v>0</v>
      </c>
      <c r="F110">
        <f>IF((Metrics!$H$1-180+109)&lt;1,"",INDEX(Calc_Daily!$H$2:$H$2001,(Metrics!$H$1-180+109)))</f>
        <v>0</v>
      </c>
      <c r="G110">
        <f>IF((Metrics!$H$1-180+109)&lt;1,"",INDEX(Calc_Daily!$I$2:$I$2001,(Metrics!$H$1-180+109)))</f>
        <v>0</v>
      </c>
      <c r="H110">
        <f>IF((Metrics!$H$1-180+109)&lt;1,"",INDEX(Calc_Daily!$J$2:$J$2001,(Metrics!$H$1-180+109)))</f>
        <v>0</v>
      </c>
      <c r="I110">
        <f>IF((Metrics!$H$1-180+109)&lt;1,"",INDEX(Calc_Daily!$K$2:$K$2001,(Metrics!$H$1-180+109)))</f>
        <v>0</v>
      </c>
      <c r="J110">
        <f>IF((Metrics!$H$1-180+109)&lt;1,"",INDEX(Calc_Daily!$N$2:$N$2001,(Metrics!$H$1-180+109)))</f>
        <v>0</v>
      </c>
      <c r="K110">
        <f>IF((Metrics!$H$1-180+109)&lt;1,"",70)</f>
        <v>0</v>
      </c>
      <c r="L110">
        <f>IF((Metrics!$H$1-180+109)&lt;1,"",30)</f>
        <v>0</v>
      </c>
      <c r="M110">
        <f>IF((Metrics!$H$1-180+109)&lt;1,"",INDEX(Calc_Daily!$Q$2:$Q$2001,(Metrics!$H$1-180+109)))</f>
        <v>0</v>
      </c>
      <c r="N110">
        <f>IF((Metrics!$H$1-180+109)&lt;1,"",INDEX(Calc_Daily!$R$2:$R$2001,(Metrics!$H$1-180+109)))</f>
        <v>0</v>
      </c>
      <c r="O110">
        <f>IF((Metrics!$H$1-180+109)&lt;1,"",INDEX(Calc_Daily!$S$2:$S$2001,(Metrics!$H$1-180+109)))</f>
        <v>0</v>
      </c>
      <c r="P110">
        <f>IF((Metrics!$H$1-180+109)&lt;1,"",INDEX(Calc_Daily!$AM$2:$AM$2001,(Metrics!$H$1-180+109)))</f>
        <v>0</v>
      </c>
      <c r="Q110">
        <f>IF((Metrics!$H$1-180+109)&lt;1,"",INDEX(Calc_Daily!$AK$2:$AK$2001,(Metrics!$H$1-180+109)))</f>
        <v>0</v>
      </c>
      <c r="R110">
        <f>IF((Metrics!$H$1-180+109)&lt;1,"",INDEX(Calc_Daily!$AN$2:$AN$2001,(Metrics!$H$1-180+109)))</f>
        <v>0</v>
      </c>
      <c r="S110">
        <f>IF((Metrics!$H$1-180+109)&lt;1,"",INDEX(Calc_Daily!$AD$2:$AD$2001,(Metrics!$H$1-180+109)))</f>
        <v>0</v>
      </c>
      <c r="T110">
        <f>IF((Metrics!$H$1-180+109)&lt;1,"",INDEX(Calc_Daily!$AT$2:$AT$2001,(Metrics!$H$1-180+109)))</f>
        <v>0</v>
      </c>
      <c r="U110">
        <f>IF((Metrics!$H$1-180+109)&lt;1,"",INDEX(Calc_Daily!$AQ$2:$AQ$2001,(Metrics!$H$1-180+109)))</f>
        <v>0</v>
      </c>
      <c r="V110">
        <f>IF((Metrics!$H$1-180+109)&lt;1,"",INDEX(Calc_Daily!$AR$2:$AR$2001,(Metrics!$H$1-180+109)))</f>
        <v>0</v>
      </c>
    </row>
    <row r="111" spans="1:22">
      <c r="A111" s="27">
        <f>IF((Metrics!$H$1-180+110)&lt;1,"",INDEX(Calc_Daily!$A$2:$A$2001,(Metrics!$H$1-180+110)))</f>
        <v>0</v>
      </c>
      <c r="B111">
        <f>IF((Metrics!$H$1-180+110)&lt;1,"",INDEX(Calc_Daily!$B$2:$B$2001,(Metrics!$H$1-180+110)))</f>
        <v>0</v>
      </c>
      <c r="C111">
        <f>IF((Metrics!$H$1-180+110)&lt;1,"",INDEX(Calc_Daily!$C$2:$C$2001,(Metrics!$H$1-180+110)))</f>
        <v>0</v>
      </c>
      <c r="D111">
        <f>IF((Metrics!$H$1-180+110)&lt;1,"",INDEX(Calc_Daily!$D$2:$D$2001,(Metrics!$H$1-180+110)))</f>
        <v>0</v>
      </c>
      <c r="E111">
        <f>IF((Metrics!$H$1-180+110)&lt;1,"",INDEX(Calc_Daily!$E$2:$E$2001,(Metrics!$H$1-180+110)))</f>
        <v>0</v>
      </c>
      <c r="F111">
        <f>IF((Metrics!$H$1-180+110)&lt;1,"",INDEX(Calc_Daily!$H$2:$H$2001,(Metrics!$H$1-180+110)))</f>
        <v>0</v>
      </c>
      <c r="G111">
        <f>IF((Metrics!$H$1-180+110)&lt;1,"",INDEX(Calc_Daily!$I$2:$I$2001,(Metrics!$H$1-180+110)))</f>
        <v>0</v>
      </c>
      <c r="H111">
        <f>IF((Metrics!$H$1-180+110)&lt;1,"",INDEX(Calc_Daily!$J$2:$J$2001,(Metrics!$H$1-180+110)))</f>
        <v>0</v>
      </c>
      <c r="I111">
        <f>IF((Metrics!$H$1-180+110)&lt;1,"",INDEX(Calc_Daily!$K$2:$K$2001,(Metrics!$H$1-180+110)))</f>
        <v>0</v>
      </c>
      <c r="J111">
        <f>IF((Metrics!$H$1-180+110)&lt;1,"",INDEX(Calc_Daily!$N$2:$N$2001,(Metrics!$H$1-180+110)))</f>
        <v>0</v>
      </c>
      <c r="K111">
        <f>IF((Metrics!$H$1-180+110)&lt;1,"",70)</f>
        <v>0</v>
      </c>
      <c r="L111">
        <f>IF((Metrics!$H$1-180+110)&lt;1,"",30)</f>
        <v>0</v>
      </c>
      <c r="M111">
        <f>IF((Metrics!$H$1-180+110)&lt;1,"",INDEX(Calc_Daily!$Q$2:$Q$2001,(Metrics!$H$1-180+110)))</f>
        <v>0</v>
      </c>
      <c r="N111">
        <f>IF((Metrics!$H$1-180+110)&lt;1,"",INDEX(Calc_Daily!$R$2:$R$2001,(Metrics!$H$1-180+110)))</f>
        <v>0</v>
      </c>
      <c r="O111">
        <f>IF((Metrics!$H$1-180+110)&lt;1,"",INDEX(Calc_Daily!$S$2:$S$2001,(Metrics!$H$1-180+110)))</f>
        <v>0</v>
      </c>
      <c r="P111">
        <f>IF((Metrics!$H$1-180+110)&lt;1,"",INDEX(Calc_Daily!$AM$2:$AM$2001,(Metrics!$H$1-180+110)))</f>
        <v>0</v>
      </c>
      <c r="Q111">
        <f>IF((Metrics!$H$1-180+110)&lt;1,"",INDEX(Calc_Daily!$AK$2:$AK$2001,(Metrics!$H$1-180+110)))</f>
        <v>0</v>
      </c>
      <c r="R111">
        <f>IF((Metrics!$H$1-180+110)&lt;1,"",INDEX(Calc_Daily!$AN$2:$AN$2001,(Metrics!$H$1-180+110)))</f>
        <v>0</v>
      </c>
      <c r="S111">
        <f>IF((Metrics!$H$1-180+110)&lt;1,"",INDEX(Calc_Daily!$AD$2:$AD$2001,(Metrics!$H$1-180+110)))</f>
        <v>0</v>
      </c>
      <c r="T111">
        <f>IF((Metrics!$H$1-180+110)&lt;1,"",INDEX(Calc_Daily!$AT$2:$AT$2001,(Metrics!$H$1-180+110)))</f>
        <v>0</v>
      </c>
      <c r="U111">
        <f>IF((Metrics!$H$1-180+110)&lt;1,"",INDEX(Calc_Daily!$AQ$2:$AQ$2001,(Metrics!$H$1-180+110)))</f>
        <v>0</v>
      </c>
      <c r="V111">
        <f>IF((Metrics!$H$1-180+110)&lt;1,"",INDEX(Calc_Daily!$AR$2:$AR$2001,(Metrics!$H$1-180+110)))</f>
        <v>0</v>
      </c>
    </row>
    <row r="112" spans="1:22">
      <c r="A112" s="27">
        <f>IF((Metrics!$H$1-180+111)&lt;1,"",INDEX(Calc_Daily!$A$2:$A$2001,(Metrics!$H$1-180+111)))</f>
        <v>0</v>
      </c>
      <c r="B112">
        <f>IF((Metrics!$H$1-180+111)&lt;1,"",INDEX(Calc_Daily!$B$2:$B$2001,(Metrics!$H$1-180+111)))</f>
        <v>0</v>
      </c>
      <c r="C112">
        <f>IF((Metrics!$H$1-180+111)&lt;1,"",INDEX(Calc_Daily!$C$2:$C$2001,(Metrics!$H$1-180+111)))</f>
        <v>0</v>
      </c>
      <c r="D112">
        <f>IF((Metrics!$H$1-180+111)&lt;1,"",INDEX(Calc_Daily!$D$2:$D$2001,(Metrics!$H$1-180+111)))</f>
        <v>0</v>
      </c>
      <c r="E112">
        <f>IF((Metrics!$H$1-180+111)&lt;1,"",INDEX(Calc_Daily!$E$2:$E$2001,(Metrics!$H$1-180+111)))</f>
        <v>0</v>
      </c>
      <c r="F112">
        <f>IF((Metrics!$H$1-180+111)&lt;1,"",INDEX(Calc_Daily!$H$2:$H$2001,(Metrics!$H$1-180+111)))</f>
        <v>0</v>
      </c>
      <c r="G112">
        <f>IF((Metrics!$H$1-180+111)&lt;1,"",INDEX(Calc_Daily!$I$2:$I$2001,(Metrics!$H$1-180+111)))</f>
        <v>0</v>
      </c>
      <c r="H112">
        <f>IF((Metrics!$H$1-180+111)&lt;1,"",INDEX(Calc_Daily!$J$2:$J$2001,(Metrics!$H$1-180+111)))</f>
        <v>0</v>
      </c>
      <c r="I112">
        <f>IF((Metrics!$H$1-180+111)&lt;1,"",INDEX(Calc_Daily!$K$2:$K$2001,(Metrics!$H$1-180+111)))</f>
        <v>0</v>
      </c>
      <c r="J112">
        <f>IF((Metrics!$H$1-180+111)&lt;1,"",INDEX(Calc_Daily!$N$2:$N$2001,(Metrics!$H$1-180+111)))</f>
        <v>0</v>
      </c>
      <c r="K112">
        <f>IF((Metrics!$H$1-180+111)&lt;1,"",70)</f>
        <v>0</v>
      </c>
      <c r="L112">
        <f>IF((Metrics!$H$1-180+111)&lt;1,"",30)</f>
        <v>0</v>
      </c>
      <c r="M112">
        <f>IF((Metrics!$H$1-180+111)&lt;1,"",INDEX(Calc_Daily!$Q$2:$Q$2001,(Metrics!$H$1-180+111)))</f>
        <v>0</v>
      </c>
      <c r="N112">
        <f>IF((Metrics!$H$1-180+111)&lt;1,"",INDEX(Calc_Daily!$R$2:$R$2001,(Metrics!$H$1-180+111)))</f>
        <v>0</v>
      </c>
      <c r="O112">
        <f>IF((Metrics!$H$1-180+111)&lt;1,"",INDEX(Calc_Daily!$S$2:$S$2001,(Metrics!$H$1-180+111)))</f>
        <v>0</v>
      </c>
      <c r="P112">
        <f>IF((Metrics!$H$1-180+111)&lt;1,"",INDEX(Calc_Daily!$AM$2:$AM$2001,(Metrics!$H$1-180+111)))</f>
        <v>0</v>
      </c>
      <c r="Q112">
        <f>IF((Metrics!$H$1-180+111)&lt;1,"",INDEX(Calc_Daily!$AK$2:$AK$2001,(Metrics!$H$1-180+111)))</f>
        <v>0</v>
      </c>
      <c r="R112">
        <f>IF((Metrics!$H$1-180+111)&lt;1,"",INDEX(Calc_Daily!$AN$2:$AN$2001,(Metrics!$H$1-180+111)))</f>
        <v>0</v>
      </c>
      <c r="S112">
        <f>IF((Metrics!$H$1-180+111)&lt;1,"",INDEX(Calc_Daily!$AD$2:$AD$2001,(Metrics!$H$1-180+111)))</f>
        <v>0</v>
      </c>
      <c r="T112">
        <f>IF((Metrics!$H$1-180+111)&lt;1,"",INDEX(Calc_Daily!$AT$2:$AT$2001,(Metrics!$H$1-180+111)))</f>
        <v>0</v>
      </c>
      <c r="U112">
        <f>IF((Metrics!$H$1-180+111)&lt;1,"",INDEX(Calc_Daily!$AQ$2:$AQ$2001,(Metrics!$H$1-180+111)))</f>
        <v>0</v>
      </c>
      <c r="V112">
        <f>IF((Metrics!$H$1-180+111)&lt;1,"",INDEX(Calc_Daily!$AR$2:$AR$2001,(Metrics!$H$1-180+111)))</f>
        <v>0</v>
      </c>
    </row>
    <row r="113" spans="1:22">
      <c r="A113" s="27">
        <f>IF((Metrics!$H$1-180+112)&lt;1,"",INDEX(Calc_Daily!$A$2:$A$2001,(Metrics!$H$1-180+112)))</f>
        <v>0</v>
      </c>
      <c r="B113">
        <f>IF((Metrics!$H$1-180+112)&lt;1,"",INDEX(Calc_Daily!$B$2:$B$2001,(Metrics!$H$1-180+112)))</f>
        <v>0</v>
      </c>
      <c r="C113">
        <f>IF((Metrics!$H$1-180+112)&lt;1,"",INDEX(Calc_Daily!$C$2:$C$2001,(Metrics!$H$1-180+112)))</f>
        <v>0</v>
      </c>
      <c r="D113">
        <f>IF((Metrics!$H$1-180+112)&lt;1,"",INDEX(Calc_Daily!$D$2:$D$2001,(Metrics!$H$1-180+112)))</f>
        <v>0</v>
      </c>
      <c r="E113">
        <f>IF((Metrics!$H$1-180+112)&lt;1,"",INDEX(Calc_Daily!$E$2:$E$2001,(Metrics!$H$1-180+112)))</f>
        <v>0</v>
      </c>
      <c r="F113">
        <f>IF((Metrics!$H$1-180+112)&lt;1,"",INDEX(Calc_Daily!$H$2:$H$2001,(Metrics!$H$1-180+112)))</f>
        <v>0</v>
      </c>
      <c r="G113">
        <f>IF((Metrics!$H$1-180+112)&lt;1,"",INDEX(Calc_Daily!$I$2:$I$2001,(Metrics!$H$1-180+112)))</f>
        <v>0</v>
      </c>
      <c r="H113">
        <f>IF((Metrics!$H$1-180+112)&lt;1,"",INDEX(Calc_Daily!$J$2:$J$2001,(Metrics!$H$1-180+112)))</f>
        <v>0</v>
      </c>
      <c r="I113">
        <f>IF((Metrics!$H$1-180+112)&lt;1,"",INDEX(Calc_Daily!$K$2:$K$2001,(Metrics!$H$1-180+112)))</f>
        <v>0</v>
      </c>
      <c r="J113">
        <f>IF((Metrics!$H$1-180+112)&lt;1,"",INDEX(Calc_Daily!$N$2:$N$2001,(Metrics!$H$1-180+112)))</f>
        <v>0</v>
      </c>
      <c r="K113">
        <f>IF((Metrics!$H$1-180+112)&lt;1,"",70)</f>
        <v>0</v>
      </c>
      <c r="L113">
        <f>IF((Metrics!$H$1-180+112)&lt;1,"",30)</f>
        <v>0</v>
      </c>
      <c r="M113">
        <f>IF((Metrics!$H$1-180+112)&lt;1,"",INDEX(Calc_Daily!$Q$2:$Q$2001,(Metrics!$H$1-180+112)))</f>
        <v>0</v>
      </c>
      <c r="N113">
        <f>IF((Metrics!$H$1-180+112)&lt;1,"",INDEX(Calc_Daily!$R$2:$R$2001,(Metrics!$H$1-180+112)))</f>
        <v>0</v>
      </c>
      <c r="O113">
        <f>IF((Metrics!$H$1-180+112)&lt;1,"",INDEX(Calc_Daily!$S$2:$S$2001,(Metrics!$H$1-180+112)))</f>
        <v>0</v>
      </c>
      <c r="P113">
        <f>IF((Metrics!$H$1-180+112)&lt;1,"",INDEX(Calc_Daily!$AM$2:$AM$2001,(Metrics!$H$1-180+112)))</f>
        <v>0</v>
      </c>
      <c r="Q113">
        <f>IF((Metrics!$H$1-180+112)&lt;1,"",INDEX(Calc_Daily!$AK$2:$AK$2001,(Metrics!$H$1-180+112)))</f>
        <v>0</v>
      </c>
      <c r="R113">
        <f>IF((Metrics!$H$1-180+112)&lt;1,"",INDEX(Calc_Daily!$AN$2:$AN$2001,(Metrics!$H$1-180+112)))</f>
        <v>0</v>
      </c>
      <c r="S113">
        <f>IF((Metrics!$H$1-180+112)&lt;1,"",INDEX(Calc_Daily!$AD$2:$AD$2001,(Metrics!$H$1-180+112)))</f>
        <v>0</v>
      </c>
      <c r="T113">
        <f>IF((Metrics!$H$1-180+112)&lt;1,"",INDEX(Calc_Daily!$AT$2:$AT$2001,(Metrics!$H$1-180+112)))</f>
        <v>0</v>
      </c>
      <c r="U113">
        <f>IF((Metrics!$H$1-180+112)&lt;1,"",INDEX(Calc_Daily!$AQ$2:$AQ$2001,(Metrics!$H$1-180+112)))</f>
        <v>0</v>
      </c>
      <c r="V113">
        <f>IF((Metrics!$H$1-180+112)&lt;1,"",INDEX(Calc_Daily!$AR$2:$AR$2001,(Metrics!$H$1-180+112)))</f>
        <v>0</v>
      </c>
    </row>
    <row r="114" spans="1:22">
      <c r="A114" s="27">
        <f>IF((Metrics!$H$1-180+113)&lt;1,"",INDEX(Calc_Daily!$A$2:$A$2001,(Metrics!$H$1-180+113)))</f>
        <v>0</v>
      </c>
      <c r="B114">
        <f>IF((Metrics!$H$1-180+113)&lt;1,"",INDEX(Calc_Daily!$B$2:$B$2001,(Metrics!$H$1-180+113)))</f>
        <v>0</v>
      </c>
      <c r="C114">
        <f>IF((Metrics!$H$1-180+113)&lt;1,"",INDEX(Calc_Daily!$C$2:$C$2001,(Metrics!$H$1-180+113)))</f>
        <v>0</v>
      </c>
      <c r="D114">
        <f>IF((Metrics!$H$1-180+113)&lt;1,"",INDEX(Calc_Daily!$D$2:$D$2001,(Metrics!$H$1-180+113)))</f>
        <v>0</v>
      </c>
      <c r="E114">
        <f>IF((Metrics!$H$1-180+113)&lt;1,"",INDEX(Calc_Daily!$E$2:$E$2001,(Metrics!$H$1-180+113)))</f>
        <v>0</v>
      </c>
      <c r="F114">
        <f>IF((Metrics!$H$1-180+113)&lt;1,"",INDEX(Calc_Daily!$H$2:$H$2001,(Metrics!$H$1-180+113)))</f>
        <v>0</v>
      </c>
      <c r="G114">
        <f>IF((Metrics!$H$1-180+113)&lt;1,"",INDEX(Calc_Daily!$I$2:$I$2001,(Metrics!$H$1-180+113)))</f>
        <v>0</v>
      </c>
      <c r="H114">
        <f>IF((Metrics!$H$1-180+113)&lt;1,"",INDEX(Calc_Daily!$J$2:$J$2001,(Metrics!$H$1-180+113)))</f>
        <v>0</v>
      </c>
      <c r="I114">
        <f>IF((Metrics!$H$1-180+113)&lt;1,"",INDEX(Calc_Daily!$K$2:$K$2001,(Metrics!$H$1-180+113)))</f>
        <v>0</v>
      </c>
      <c r="J114">
        <f>IF((Metrics!$H$1-180+113)&lt;1,"",INDEX(Calc_Daily!$N$2:$N$2001,(Metrics!$H$1-180+113)))</f>
        <v>0</v>
      </c>
      <c r="K114">
        <f>IF((Metrics!$H$1-180+113)&lt;1,"",70)</f>
        <v>0</v>
      </c>
      <c r="L114">
        <f>IF((Metrics!$H$1-180+113)&lt;1,"",30)</f>
        <v>0</v>
      </c>
      <c r="M114">
        <f>IF((Metrics!$H$1-180+113)&lt;1,"",INDEX(Calc_Daily!$Q$2:$Q$2001,(Metrics!$H$1-180+113)))</f>
        <v>0</v>
      </c>
      <c r="N114">
        <f>IF((Metrics!$H$1-180+113)&lt;1,"",INDEX(Calc_Daily!$R$2:$R$2001,(Metrics!$H$1-180+113)))</f>
        <v>0</v>
      </c>
      <c r="O114">
        <f>IF((Metrics!$H$1-180+113)&lt;1,"",INDEX(Calc_Daily!$S$2:$S$2001,(Metrics!$H$1-180+113)))</f>
        <v>0</v>
      </c>
      <c r="P114">
        <f>IF((Metrics!$H$1-180+113)&lt;1,"",INDEX(Calc_Daily!$AM$2:$AM$2001,(Metrics!$H$1-180+113)))</f>
        <v>0</v>
      </c>
      <c r="Q114">
        <f>IF((Metrics!$H$1-180+113)&lt;1,"",INDEX(Calc_Daily!$AK$2:$AK$2001,(Metrics!$H$1-180+113)))</f>
        <v>0</v>
      </c>
      <c r="R114">
        <f>IF((Metrics!$H$1-180+113)&lt;1,"",INDEX(Calc_Daily!$AN$2:$AN$2001,(Metrics!$H$1-180+113)))</f>
        <v>0</v>
      </c>
      <c r="S114">
        <f>IF((Metrics!$H$1-180+113)&lt;1,"",INDEX(Calc_Daily!$AD$2:$AD$2001,(Metrics!$H$1-180+113)))</f>
        <v>0</v>
      </c>
      <c r="T114">
        <f>IF((Metrics!$H$1-180+113)&lt;1,"",INDEX(Calc_Daily!$AT$2:$AT$2001,(Metrics!$H$1-180+113)))</f>
        <v>0</v>
      </c>
      <c r="U114">
        <f>IF((Metrics!$H$1-180+113)&lt;1,"",INDEX(Calc_Daily!$AQ$2:$AQ$2001,(Metrics!$H$1-180+113)))</f>
        <v>0</v>
      </c>
      <c r="V114">
        <f>IF((Metrics!$H$1-180+113)&lt;1,"",INDEX(Calc_Daily!$AR$2:$AR$2001,(Metrics!$H$1-180+113)))</f>
        <v>0</v>
      </c>
    </row>
    <row r="115" spans="1:22">
      <c r="A115" s="27">
        <f>IF((Metrics!$H$1-180+114)&lt;1,"",INDEX(Calc_Daily!$A$2:$A$2001,(Metrics!$H$1-180+114)))</f>
        <v>0</v>
      </c>
      <c r="B115">
        <f>IF((Metrics!$H$1-180+114)&lt;1,"",INDEX(Calc_Daily!$B$2:$B$2001,(Metrics!$H$1-180+114)))</f>
        <v>0</v>
      </c>
      <c r="C115">
        <f>IF((Metrics!$H$1-180+114)&lt;1,"",INDEX(Calc_Daily!$C$2:$C$2001,(Metrics!$H$1-180+114)))</f>
        <v>0</v>
      </c>
      <c r="D115">
        <f>IF((Metrics!$H$1-180+114)&lt;1,"",INDEX(Calc_Daily!$D$2:$D$2001,(Metrics!$H$1-180+114)))</f>
        <v>0</v>
      </c>
      <c r="E115">
        <f>IF((Metrics!$H$1-180+114)&lt;1,"",INDEX(Calc_Daily!$E$2:$E$2001,(Metrics!$H$1-180+114)))</f>
        <v>0</v>
      </c>
      <c r="F115">
        <f>IF((Metrics!$H$1-180+114)&lt;1,"",INDEX(Calc_Daily!$H$2:$H$2001,(Metrics!$H$1-180+114)))</f>
        <v>0</v>
      </c>
      <c r="G115">
        <f>IF((Metrics!$H$1-180+114)&lt;1,"",INDEX(Calc_Daily!$I$2:$I$2001,(Metrics!$H$1-180+114)))</f>
        <v>0</v>
      </c>
      <c r="H115">
        <f>IF((Metrics!$H$1-180+114)&lt;1,"",INDEX(Calc_Daily!$J$2:$J$2001,(Metrics!$H$1-180+114)))</f>
        <v>0</v>
      </c>
      <c r="I115">
        <f>IF((Metrics!$H$1-180+114)&lt;1,"",INDEX(Calc_Daily!$K$2:$K$2001,(Metrics!$H$1-180+114)))</f>
        <v>0</v>
      </c>
      <c r="J115">
        <f>IF((Metrics!$H$1-180+114)&lt;1,"",INDEX(Calc_Daily!$N$2:$N$2001,(Metrics!$H$1-180+114)))</f>
        <v>0</v>
      </c>
      <c r="K115">
        <f>IF((Metrics!$H$1-180+114)&lt;1,"",70)</f>
        <v>0</v>
      </c>
      <c r="L115">
        <f>IF((Metrics!$H$1-180+114)&lt;1,"",30)</f>
        <v>0</v>
      </c>
      <c r="M115">
        <f>IF((Metrics!$H$1-180+114)&lt;1,"",INDEX(Calc_Daily!$Q$2:$Q$2001,(Metrics!$H$1-180+114)))</f>
        <v>0</v>
      </c>
      <c r="N115">
        <f>IF((Metrics!$H$1-180+114)&lt;1,"",INDEX(Calc_Daily!$R$2:$R$2001,(Metrics!$H$1-180+114)))</f>
        <v>0</v>
      </c>
      <c r="O115">
        <f>IF((Metrics!$H$1-180+114)&lt;1,"",INDEX(Calc_Daily!$S$2:$S$2001,(Metrics!$H$1-180+114)))</f>
        <v>0</v>
      </c>
      <c r="P115">
        <f>IF((Metrics!$H$1-180+114)&lt;1,"",INDEX(Calc_Daily!$AM$2:$AM$2001,(Metrics!$H$1-180+114)))</f>
        <v>0</v>
      </c>
      <c r="Q115">
        <f>IF((Metrics!$H$1-180+114)&lt;1,"",INDEX(Calc_Daily!$AK$2:$AK$2001,(Metrics!$H$1-180+114)))</f>
        <v>0</v>
      </c>
      <c r="R115">
        <f>IF((Metrics!$H$1-180+114)&lt;1,"",INDEX(Calc_Daily!$AN$2:$AN$2001,(Metrics!$H$1-180+114)))</f>
        <v>0</v>
      </c>
      <c r="S115">
        <f>IF((Metrics!$H$1-180+114)&lt;1,"",INDEX(Calc_Daily!$AD$2:$AD$2001,(Metrics!$H$1-180+114)))</f>
        <v>0</v>
      </c>
      <c r="T115">
        <f>IF((Metrics!$H$1-180+114)&lt;1,"",INDEX(Calc_Daily!$AT$2:$AT$2001,(Metrics!$H$1-180+114)))</f>
        <v>0</v>
      </c>
      <c r="U115">
        <f>IF((Metrics!$H$1-180+114)&lt;1,"",INDEX(Calc_Daily!$AQ$2:$AQ$2001,(Metrics!$H$1-180+114)))</f>
        <v>0</v>
      </c>
      <c r="V115">
        <f>IF((Metrics!$H$1-180+114)&lt;1,"",INDEX(Calc_Daily!$AR$2:$AR$2001,(Metrics!$H$1-180+114)))</f>
        <v>0</v>
      </c>
    </row>
    <row r="116" spans="1:22">
      <c r="A116" s="27">
        <f>IF((Metrics!$H$1-180+115)&lt;1,"",INDEX(Calc_Daily!$A$2:$A$2001,(Metrics!$H$1-180+115)))</f>
        <v>0</v>
      </c>
      <c r="B116">
        <f>IF((Metrics!$H$1-180+115)&lt;1,"",INDEX(Calc_Daily!$B$2:$B$2001,(Metrics!$H$1-180+115)))</f>
        <v>0</v>
      </c>
      <c r="C116">
        <f>IF((Metrics!$H$1-180+115)&lt;1,"",INDEX(Calc_Daily!$C$2:$C$2001,(Metrics!$H$1-180+115)))</f>
        <v>0</v>
      </c>
      <c r="D116">
        <f>IF((Metrics!$H$1-180+115)&lt;1,"",INDEX(Calc_Daily!$D$2:$D$2001,(Metrics!$H$1-180+115)))</f>
        <v>0</v>
      </c>
      <c r="E116">
        <f>IF((Metrics!$H$1-180+115)&lt;1,"",INDEX(Calc_Daily!$E$2:$E$2001,(Metrics!$H$1-180+115)))</f>
        <v>0</v>
      </c>
      <c r="F116">
        <f>IF((Metrics!$H$1-180+115)&lt;1,"",INDEX(Calc_Daily!$H$2:$H$2001,(Metrics!$H$1-180+115)))</f>
        <v>0</v>
      </c>
      <c r="G116">
        <f>IF((Metrics!$H$1-180+115)&lt;1,"",INDEX(Calc_Daily!$I$2:$I$2001,(Metrics!$H$1-180+115)))</f>
        <v>0</v>
      </c>
      <c r="H116">
        <f>IF((Metrics!$H$1-180+115)&lt;1,"",INDEX(Calc_Daily!$J$2:$J$2001,(Metrics!$H$1-180+115)))</f>
        <v>0</v>
      </c>
      <c r="I116">
        <f>IF((Metrics!$H$1-180+115)&lt;1,"",INDEX(Calc_Daily!$K$2:$K$2001,(Metrics!$H$1-180+115)))</f>
        <v>0</v>
      </c>
      <c r="J116">
        <f>IF((Metrics!$H$1-180+115)&lt;1,"",INDEX(Calc_Daily!$N$2:$N$2001,(Metrics!$H$1-180+115)))</f>
        <v>0</v>
      </c>
      <c r="K116">
        <f>IF((Metrics!$H$1-180+115)&lt;1,"",70)</f>
        <v>0</v>
      </c>
      <c r="L116">
        <f>IF((Metrics!$H$1-180+115)&lt;1,"",30)</f>
        <v>0</v>
      </c>
      <c r="M116">
        <f>IF((Metrics!$H$1-180+115)&lt;1,"",INDEX(Calc_Daily!$Q$2:$Q$2001,(Metrics!$H$1-180+115)))</f>
        <v>0</v>
      </c>
      <c r="N116">
        <f>IF((Metrics!$H$1-180+115)&lt;1,"",INDEX(Calc_Daily!$R$2:$R$2001,(Metrics!$H$1-180+115)))</f>
        <v>0</v>
      </c>
      <c r="O116">
        <f>IF((Metrics!$H$1-180+115)&lt;1,"",INDEX(Calc_Daily!$S$2:$S$2001,(Metrics!$H$1-180+115)))</f>
        <v>0</v>
      </c>
      <c r="P116">
        <f>IF((Metrics!$H$1-180+115)&lt;1,"",INDEX(Calc_Daily!$AM$2:$AM$2001,(Metrics!$H$1-180+115)))</f>
        <v>0</v>
      </c>
      <c r="Q116">
        <f>IF((Metrics!$H$1-180+115)&lt;1,"",INDEX(Calc_Daily!$AK$2:$AK$2001,(Metrics!$H$1-180+115)))</f>
        <v>0</v>
      </c>
      <c r="R116">
        <f>IF((Metrics!$H$1-180+115)&lt;1,"",INDEX(Calc_Daily!$AN$2:$AN$2001,(Metrics!$H$1-180+115)))</f>
        <v>0</v>
      </c>
      <c r="S116">
        <f>IF((Metrics!$H$1-180+115)&lt;1,"",INDEX(Calc_Daily!$AD$2:$AD$2001,(Metrics!$H$1-180+115)))</f>
        <v>0</v>
      </c>
      <c r="T116">
        <f>IF((Metrics!$H$1-180+115)&lt;1,"",INDEX(Calc_Daily!$AT$2:$AT$2001,(Metrics!$H$1-180+115)))</f>
        <v>0</v>
      </c>
      <c r="U116">
        <f>IF((Metrics!$H$1-180+115)&lt;1,"",INDEX(Calc_Daily!$AQ$2:$AQ$2001,(Metrics!$H$1-180+115)))</f>
        <v>0</v>
      </c>
      <c r="V116">
        <f>IF((Metrics!$H$1-180+115)&lt;1,"",INDEX(Calc_Daily!$AR$2:$AR$2001,(Metrics!$H$1-180+115)))</f>
        <v>0</v>
      </c>
    </row>
    <row r="117" spans="1:22">
      <c r="A117" s="27">
        <f>IF((Metrics!$H$1-180+116)&lt;1,"",INDEX(Calc_Daily!$A$2:$A$2001,(Metrics!$H$1-180+116)))</f>
        <v>0</v>
      </c>
      <c r="B117">
        <f>IF((Metrics!$H$1-180+116)&lt;1,"",INDEX(Calc_Daily!$B$2:$B$2001,(Metrics!$H$1-180+116)))</f>
        <v>0</v>
      </c>
      <c r="C117">
        <f>IF((Metrics!$H$1-180+116)&lt;1,"",INDEX(Calc_Daily!$C$2:$C$2001,(Metrics!$H$1-180+116)))</f>
        <v>0</v>
      </c>
      <c r="D117">
        <f>IF((Metrics!$H$1-180+116)&lt;1,"",INDEX(Calc_Daily!$D$2:$D$2001,(Metrics!$H$1-180+116)))</f>
        <v>0</v>
      </c>
      <c r="E117">
        <f>IF((Metrics!$H$1-180+116)&lt;1,"",INDEX(Calc_Daily!$E$2:$E$2001,(Metrics!$H$1-180+116)))</f>
        <v>0</v>
      </c>
      <c r="F117">
        <f>IF((Metrics!$H$1-180+116)&lt;1,"",INDEX(Calc_Daily!$H$2:$H$2001,(Metrics!$H$1-180+116)))</f>
        <v>0</v>
      </c>
      <c r="G117">
        <f>IF((Metrics!$H$1-180+116)&lt;1,"",INDEX(Calc_Daily!$I$2:$I$2001,(Metrics!$H$1-180+116)))</f>
        <v>0</v>
      </c>
      <c r="H117">
        <f>IF((Metrics!$H$1-180+116)&lt;1,"",INDEX(Calc_Daily!$J$2:$J$2001,(Metrics!$H$1-180+116)))</f>
        <v>0</v>
      </c>
      <c r="I117">
        <f>IF((Metrics!$H$1-180+116)&lt;1,"",INDEX(Calc_Daily!$K$2:$K$2001,(Metrics!$H$1-180+116)))</f>
        <v>0</v>
      </c>
      <c r="J117">
        <f>IF((Metrics!$H$1-180+116)&lt;1,"",INDEX(Calc_Daily!$N$2:$N$2001,(Metrics!$H$1-180+116)))</f>
        <v>0</v>
      </c>
      <c r="K117">
        <f>IF((Metrics!$H$1-180+116)&lt;1,"",70)</f>
        <v>0</v>
      </c>
      <c r="L117">
        <f>IF((Metrics!$H$1-180+116)&lt;1,"",30)</f>
        <v>0</v>
      </c>
      <c r="M117">
        <f>IF((Metrics!$H$1-180+116)&lt;1,"",INDEX(Calc_Daily!$Q$2:$Q$2001,(Metrics!$H$1-180+116)))</f>
        <v>0</v>
      </c>
      <c r="N117">
        <f>IF((Metrics!$H$1-180+116)&lt;1,"",INDEX(Calc_Daily!$R$2:$R$2001,(Metrics!$H$1-180+116)))</f>
        <v>0</v>
      </c>
      <c r="O117">
        <f>IF((Metrics!$H$1-180+116)&lt;1,"",INDEX(Calc_Daily!$S$2:$S$2001,(Metrics!$H$1-180+116)))</f>
        <v>0</v>
      </c>
      <c r="P117">
        <f>IF((Metrics!$H$1-180+116)&lt;1,"",INDEX(Calc_Daily!$AM$2:$AM$2001,(Metrics!$H$1-180+116)))</f>
        <v>0</v>
      </c>
      <c r="Q117">
        <f>IF((Metrics!$H$1-180+116)&lt;1,"",INDEX(Calc_Daily!$AK$2:$AK$2001,(Metrics!$H$1-180+116)))</f>
        <v>0</v>
      </c>
      <c r="R117">
        <f>IF((Metrics!$H$1-180+116)&lt;1,"",INDEX(Calc_Daily!$AN$2:$AN$2001,(Metrics!$H$1-180+116)))</f>
        <v>0</v>
      </c>
      <c r="S117">
        <f>IF((Metrics!$H$1-180+116)&lt;1,"",INDEX(Calc_Daily!$AD$2:$AD$2001,(Metrics!$H$1-180+116)))</f>
        <v>0</v>
      </c>
      <c r="T117">
        <f>IF((Metrics!$H$1-180+116)&lt;1,"",INDEX(Calc_Daily!$AT$2:$AT$2001,(Metrics!$H$1-180+116)))</f>
        <v>0</v>
      </c>
      <c r="U117">
        <f>IF((Metrics!$H$1-180+116)&lt;1,"",INDEX(Calc_Daily!$AQ$2:$AQ$2001,(Metrics!$H$1-180+116)))</f>
        <v>0</v>
      </c>
      <c r="V117">
        <f>IF((Metrics!$H$1-180+116)&lt;1,"",INDEX(Calc_Daily!$AR$2:$AR$2001,(Metrics!$H$1-180+116)))</f>
        <v>0</v>
      </c>
    </row>
    <row r="118" spans="1:22">
      <c r="A118" s="27">
        <f>IF((Metrics!$H$1-180+117)&lt;1,"",INDEX(Calc_Daily!$A$2:$A$2001,(Metrics!$H$1-180+117)))</f>
        <v>0</v>
      </c>
      <c r="B118">
        <f>IF((Metrics!$H$1-180+117)&lt;1,"",INDEX(Calc_Daily!$B$2:$B$2001,(Metrics!$H$1-180+117)))</f>
        <v>0</v>
      </c>
      <c r="C118">
        <f>IF((Metrics!$H$1-180+117)&lt;1,"",INDEX(Calc_Daily!$C$2:$C$2001,(Metrics!$H$1-180+117)))</f>
        <v>0</v>
      </c>
      <c r="D118">
        <f>IF((Metrics!$H$1-180+117)&lt;1,"",INDEX(Calc_Daily!$D$2:$D$2001,(Metrics!$H$1-180+117)))</f>
        <v>0</v>
      </c>
      <c r="E118">
        <f>IF((Metrics!$H$1-180+117)&lt;1,"",INDEX(Calc_Daily!$E$2:$E$2001,(Metrics!$H$1-180+117)))</f>
        <v>0</v>
      </c>
      <c r="F118">
        <f>IF((Metrics!$H$1-180+117)&lt;1,"",INDEX(Calc_Daily!$H$2:$H$2001,(Metrics!$H$1-180+117)))</f>
        <v>0</v>
      </c>
      <c r="G118">
        <f>IF((Metrics!$H$1-180+117)&lt;1,"",INDEX(Calc_Daily!$I$2:$I$2001,(Metrics!$H$1-180+117)))</f>
        <v>0</v>
      </c>
      <c r="H118">
        <f>IF((Metrics!$H$1-180+117)&lt;1,"",INDEX(Calc_Daily!$J$2:$J$2001,(Metrics!$H$1-180+117)))</f>
        <v>0</v>
      </c>
      <c r="I118">
        <f>IF((Metrics!$H$1-180+117)&lt;1,"",INDEX(Calc_Daily!$K$2:$K$2001,(Metrics!$H$1-180+117)))</f>
        <v>0</v>
      </c>
      <c r="J118">
        <f>IF((Metrics!$H$1-180+117)&lt;1,"",INDEX(Calc_Daily!$N$2:$N$2001,(Metrics!$H$1-180+117)))</f>
        <v>0</v>
      </c>
      <c r="K118">
        <f>IF((Metrics!$H$1-180+117)&lt;1,"",70)</f>
        <v>0</v>
      </c>
      <c r="L118">
        <f>IF((Metrics!$H$1-180+117)&lt;1,"",30)</f>
        <v>0</v>
      </c>
      <c r="M118">
        <f>IF((Metrics!$H$1-180+117)&lt;1,"",INDEX(Calc_Daily!$Q$2:$Q$2001,(Metrics!$H$1-180+117)))</f>
        <v>0</v>
      </c>
      <c r="N118">
        <f>IF((Metrics!$H$1-180+117)&lt;1,"",INDEX(Calc_Daily!$R$2:$R$2001,(Metrics!$H$1-180+117)))</f>
        <v>0</v>
      </c>
      <c r="O118">
        <f>IF((Metrics!$H$1-180+117)&lt;1,"",INDEX(Calc_Daily!$S$2:$S$2001,(Metrics!$H$1-180+117)))</f>
        <v>0</v>
      </c>
      <c r="P118">
        <f>IF((Metrics!$H$1-180+117)&lt;1,"",INDEX(Calc_Daily!$AM$2:$AM$2001,(Metrics!$H$1-180+117)))</f>
        <v>0</v>
      </c>
      <c r="Q118">
        <f>IF((Metrics!$H$1-180+117)&lt;1,"",INDEX(Calc_Daily!$AK$2:$AK$2001,(Metrics!$H$1-180+117)))</f>
        <v>0</v>
      </c>
      <c r="R118">
        <f>IF((Metrics!$H$1-180+117)&lt;1,"",INDEX(Calc_Daily!$AN$2:$AN$2001,(Metrics!$H$1-180+117)))</f>
        <v>0</v>
      </c>
      <c r="S118">
        <f>IF((Metrics!$H$1-180+117)&lt;1,"",INDEX(Calc_Daily!$AD$2:$AD$2001,(Metrics!$H$1-180+117)))</f>
        <v>0</v>
      </c>
      <c r="T118">
        <f>IF((Metrics!$H$1-180+117)&lt;1,"",INDEX(Calc_Daily!$AT$2:$AT$2001,(Metrics!$H$1-180+117)))</f>
        <v>0</v>
      </c>
      <c r="U118">
        <f>IF((Metrics!$H$1-180+117)&lt;1,"",INDEX(Calc_Daily!$AQ$2:$AQ$2001,(Metrics!$H$1-180+117)))</f>
        <v>0</v>
      </c>
      <c r="V118">
        <f>IF((Metrics!$H$1-180+117)&lt;1,"",INDEX(Calc_Daily!$AR$2:$AR$2001,(Metrics!$H$1-180+117)))</f>
        <v>0</v>
      </c>
    </row>
    <row r="119" spans="1:22">
      <c r="A119" s="27">
        <f>IF((Metrics!$H$1-180+118)&lt;1,"",INDEX(Calc_Daily!$A$2:$A$2001,(Metrics!$H$1-180+118)))</f>
        <v>0</v>
      </c>
      <c r="B119">
        <f>IF((Metrics!$H$1-180+118)&lt;1,"",INDEX(Calc_Daily!$B$2:$B$2001,(Metrics!$H$1-180+118)))</f>
        <v>0</v>
      </c>
      <c r="C119">
        <f>IF((Metrics!$H$1-180+118)&lt;1,"",INDEX(Calc_Daily!$C$2:$C$2001,(Metrics!$H$1-180+118)))</f>
        <v>0</v>
      </c>
      <c r="D119">
        <f>IF((Metrics!$H$1-180+118)&lt;1,"",INDEX(Calc_Daily!$D$2:$D$2001,(Metrics!$H$1-180+118)))</f>
        <v>0</v>
      </c>
      <c r="E119">
        <f>IF((Metrics!$H$1-180+118)&lt;1,"",INDEX(Calc_Daily!$E$2:$E$2001,(Metrics!$H$1-180+118)))</f>
        <v>0</v>
      </c>
      <c r="F119">
        <f>IF((Metrics!$H$1-180+118)&lt;1,"",INDEX(Calc_Daily!$H$2:$H$2001,(Metrics!$H$1-180+118)))</f>
        <v>0</v>
      </c>
      <c r="G119">
        <f>IF((Metrics!$H$1-180+118)&lt;1,"",INDEX(Calc_Daily!$I$2:$I$2001,(Metrics!$H$1-180+118)))</f>
        <v>0</v>
      </c>
      <c r="H119">
        <f>IF((Metrics!$H$1-180+118)&lt;1,"",INDEX(Calc_Daily!$J$2:$J$2001,(Metrics!$H$1-180+118)))</f>
        <v>0</v>
      </c>
      <c r="I119">
        <f>IF((Metrics!$H$1-180+118)&lt;1,"",INDEX(Calc_Daily!$K$2:$K$2001,(Metrics!$H$1-180+118)))</f>
        <v>0</v>
      </c>
      <c r="J119">
        <f>IF((Metrics!$H$1-180+118)&lt;1,"",INDEX(Calc_Daily!$N$2:$N$2001,(Metrics!$H$1-180+118)))</f>
        <v>0</v>
      </c>
      <c r="K119">
        <f>IF((Metrics!$H$1-180+118)&lt;1,"",70)</f>
        <v>0</v>
      </c>
      <c r="L119">
        <f>IF((Metrics!$H$1-180+118)&lt;1,"",30)</f>
        <v>0</v>
      </c>
      <c r="M119">
        <f>IF((Metrics!$H$1-180+118)&lt;1,"",INDEX(Calc_Daily!$Q$2:$Q$2001,(Metrics!$H$1-180+118)))</f>
        <v>0</v>
      </c>
      <c r="N119">
        <f>IF((Metrics!$H$1-180+118)&lt;1,"",INDEX(Calc_Daily!$R$2:$R$2001,(Metrics!$H$1-180+118)))</f>
        <v>0</v>
      </c>
      <c r="O119">
        <f>IF((Metrics!$H$1-180+118)&lt;1,"",INDEX(Calc_Daily!$S$2:$S$2001,(Metrics!$H$1-180+118)))</f>
        <v>0</v>
      </c>
      <c r="P119">
        <f>IF((Metrics!$H$1-180+118)&lt;1,"",INDEX(Calc_Daily!$AM$2:$AM$2001,(Metrics!$H$1-180+118)))</f>
        <v>0</v>
      </c>
      <c r="Q119">
        <f>IF((Metrics!$H$1-180+118)&lt;1,"",INDEX(Calc_Daily!$AK$2:$AK$2001,(Metrics!$H$1-180+118)))</f>
        <v>0</v>
      </c>
      <c r="R119">
        <f>IF((Metrics!$H$1-180+118)&lt;1,"",INDEX(Calc_Daily!$AN$2:$AN$2001,(Metrics!$H$1-180+118)))</f>
        <v>0</v>
      </c>
      <c r="S119">
        <f>IF((Metrics!$H$1-180+118)&lt;1,"",INDEX(Calc_Daily!$AD$2:$AD$2001,(Metrics!$H$1-180+118)))</f>
        <v>0</v>
      </c>
      <c r="T119">
        <f>IF((Metrics!$H$1-180+118)&lt;1,"",INDEX(Calc_Daily!$AT$2:$AT$2001,(Metrics!$H$1-180+118)))</f>
        <v>0</v>
      </c>
      <c r="U119">
        <f>IF((Metrics!$H$1-180+118)&lt;1,"",INDEX(Calc_Daily!$AQ$2:$AQ$2001,(Metrics!$H$1-180+118)))</f>
        <v>0</v>
      </c>
      <c r="V119">
        <f>IF((Metrics!$H$1-180+118)&lt;1,"",INDEX(Calc_Daily!$AR$2:$AR$2001,(Metrics!$H$1-180+118)))</f>
        <v>0</v>
      </c>
    </row>
    <row r="120" spans="1:22">
      <c r="A120" s="27">
        <f>IF((Metrics!$H$1-180+119)&lt;1,"",INDEX(Calc_Daily!$A$2:$A$2001,(Metrics!$H$1-180+119)))</f>
        <v>0</v>
      </c>
      <c r="B120">
        <f>IF((Metrics!$H$1-180+119)&lt;1,"",INDEX(Calc_Daily!$B$2:$B$2001,(Metrics!$H$1-180+119)))</f>
        <v>0</v>
      </c>
      <c r="C120">
        <f>IF((Metrics!$H$1-180+119)&lt;1,"",INDEX(Calc_Daily!$C$2:$C$2001,(Metrics!$H$1-180+119)))</f>
        <v>0</v>
      </c>
      <c r="D120">
        <f>IF((Metrics!$H$1-180+119)&lt;1,"",INDEX(Calc_Daily!$D$2:$D$2001,(Metrics!$H$1-180+119)))</f>
        <v>0</v>
      </c>
      <c r="E120">
        <f>IF((Metrics!$H$1-180+119)&lt;1,"",INDEX(Calc_Daily!$E$2:$E$2001,(Metrics!$H$1-180+119)))</f>
        <v>0</v>
      </c>
      <c r="F120">
        <f>IF((Metrics!$H$1-180+119)&lt;1,"",INDEX(Calc_Daily!$H$2:$H$2001,(Metrics!$H$1-180+119)))</f>
        <v>0</v>
      </c>
      <c r="G120">
        <f>IF((Metrics!$H$1-180+119)&lt;1,"",INDEX(Calc_Daily!$I$2:$I$2001,(Metrics!$H$1-180+119)))</f>
        <v>0</v>
      </c>
      <c r="H120">
        <f>IF((Metrics!$H$1-180+119)&lt;1,"",INDEX(Calc_Daily!$J$2:$J$2001,(Metrics!$H$1-180+119)))</f>
        <v>0</v>
      </c>
      <c r="I120">
        <f>IF((Metrics!$H$1-180+119)&lt;1,"",INDEX(Calc_Daily!$K$2:$K$2001,(Metrics!$H$1-180+119)))</f>
        <v>0</v>
      </c>
      <c r="J120">
        <f>IF((Metrics!$H$1-180+119)&lt;1,"",INDEX(Calc_Daily!$N$2:$N$2001,(Metrics!$H$1-180+119)))</f>
        <v>0</v>
      </c>
      <c r="K120">
        <f>IF((Metrics!$H$1-180+119)&lt;1,"",70)</f>
        <v>0</v>
      </c>
      <c r="L120">
        <f>IF((Metrics!$H$1-180+119)&lt;1,"",30)</f>
        <v>0</v>
      </c>
      <c r="M120">
        <f>IF((Metrics!$H$1-180+119)&lt;1,"",INDEX(Calc_Daily!$Q$2:$Q$2001,(Metrics!$H$1-180+119)))</f>
        <v>0</v>
      </c>
      <c r="N120">
        <f>IF((Metrics!$H$1-180+119)&lt;1,"",INDEX(Calc_Daily!$R$2:$R$2001,(Metrics!$H$1-180+119)))</f>
        <v>0</v>
      </c>
      <c r="O120">
        <f>IF((Metrics!$H$1-180+119)&lt;1,"",INDEX(Calc_Daily!$S$2:$S$2001,(Metrics!$H$1-180+119)))</f>
        <v>0</v>
      </c>
      <c r="P120">
        <f>IF((Metrics!$H$1-180+119)&lt;1,"",INDEX(Calc_Daily!$AM$2:$AM$2001,(Metrics!$H$1-180+119)))</f>
        <v>0</v>
      </c>
      <c r="Q120">
        <f>IF((Metrics!$H$1-180+119)&lt;1,"",INDEX(Calc_Daily!$AK$2:$AK$2001,(Metrics!$H$1-180+119)))</f>
        <v>0</v>
      </c>
      <c r="R120">
        <f>IF((Metrics!$H$1-180+119)&lt;1,"",INDEX(Calc_Daily!$AN$2:$AN$2001,(Metrics!$H$1-180+119)))</f>
        <v>0</v>
      </c>
      <c r="S120">
        <f>IF((Metrics!$H$1-180+119)&lt;1,"",INDEX(Calc_Daily!$AD$2:$AD$2001,(Metrics!$H$1-180+119)))</f>
        <v>0</v>
      </c>
      <c r="T120">
        <f>IF((Metrics!$H$1-180+119)&lt;1,"",INDEX(Calc_Daily!$AT$2:$AT$2001,(Metrics!$H$1-180+119)))</f>
        <v>0</v>
      </c>
      <c r="U120">
        <f>IF((Metrics!$H$1-180+119)&lt;1,"",INDEX(Calc_Daily!$AQ$2:$AQ$2001,(Metrics!$H$1-180+119)))</f>
        <v>0</v>
      </c>
      <c r="V120">
        <f>IF((Metrics!$H$1-180+119)&lt;1,"",INDEX(Calc_Daily!$AR$2:$AR$2001,(Metrics!$H$1-180+119)))</f>
        <v>0</v>
      </c>
    </row>
    <row r="121" spans="1:22">
      <c r="A121" s="27">
        <f>IF((Metrics!$H$1-180+120)&lt;1,"",INDEX(Calc_Daily!$A$2:$A$2001,(Metrics!$H$1-180+120)))</f>
        <v>0</v>
      </c>
      <c r="B121">
        <f>IF((Metrics!$H$1-180+120)&lt;1,"",INDEX(Calc_Daily!$B$2:$B$2001,(Metrics!$H$1-180+120)))</f>
        <v>0</v>
      </c>
      <c r="C121">
        <f>IF((Metrics!$H$1-180+120)&lt;1,"",INDEX(Calc_Daily!$C$2:$C$2001,(Metrics!$H$1-180+120)))</f>
        <v>0</v>
      </c>
      <c r="D121">
        <f>IF((Metrics!$H$1-180+120)&lt;1,"",INDEX(Calc_Daily!$D$2:$D$2001,(Metrics!$H$1-180+120)))</f>
        <v>0</v>
      </c>
      <c r="E121">
        <f>IF((Metrics!$H$1-180+120)&lt;1,"",INDEX(Calc_Daily!$E$2:$E$2001,(Metrics!$H$1-180+120)))</f>
        <v>0</v>
      </c>
      <c r="F121">
        <f>IF((Metrics!$H$1-180+120)&lt;1,"",INDEX(Calc_Daily!$H$2:$H$2001,(Metrics!$H$1-180+120)))</f>
        <v>0</v>
      </c>
      <c r="G121">
        <f>IF((Metrics!$H$1-180+120)&lt;1,"",INDEX(Calc_Daily!$I$2:$I$2001,(Metrics!$H$1-180+120)))</f>
        <v>0</v>
      </c>
      <c r="H121">
        <f>IF((Metrics!$H$1-180+120)&lt;1,"",INDEX(Calc_Daily!$J$2:$J$2001,(Metrics!$H$1-180+120)))</f>
        <v>0</v>
      </c>
      <c r="I121">
        <f>IF((Metrics!$H$1-180+120)&lt;1,"",INDEX(Calc_Daily!$K$2:$K$2001,(Metrics!$H$1-180+120)))</f>
        <v>0</v>
      </c>
      <c r="J121">
        <f>IF((Metrics!$H$1-180+120)&lt;1,"",INDEX(Calc_Daily!$N$2:$N$2001,(Metrics!$H$1-180+120)))</f>
        <v>0</v>
      </c>
      <c r="K121">
        <f>IF((Metrics!$H$1-180+120)&lt;1,"",70)</f>
        <v>0</v>
      </c>
      <c r="L121">
        <f>IF((Metrics!$H$1-180+120)&lt;1,"",30)</f>
        <v>0</v>
      </c>
      <c r="M121">
        <f>IF((Metrics!$H$1-180+120)&lt;1,"",INDEX(Calc_Daily!$Q$2:$Q$2001,(Metrics!$H$1-180+120)))</f>
        <v>0</v>
      </c>
      <c r="N121">
        <f>IF((Metrics!$H$1-180+120)&lt;1,"",INDEX(Calc_Daily!$R$2:$R$2001,(Metrics!$H$1-180+120)))</f>
        <v>0</v>
      </c>
      <c r="O121">
        <f>IF((Metrics!$H$1-180+120)&lt;1,"",INDEX(Calc_Daily!$S$2:$S$2001,(Metrics!$H$1-180+120)))</f>
        <v>0</v>
      </c>
      <c r="P121">
        <f>IF((Metrics!$H$1-180+120)&lt;1,"",INDEX(Calc_Daily!$AM$2:$AM$2001,(Metrics!$H$1-180+120)))</f>
        <v>0</v>
      </c>
      <c r="Q121">
        <f>IF((Metrics!$H$1-180+120)&lt;1,"",INDEX(Calc_Daily!$AK$2:$AK$2001,(Metrics!$H$1-180+120)))</f>
        <v>0</v>
      </c>
      <c r="R121">
        <f>IF((Metrics!$H$1-180+120)&lt;1,"",INDEX(Calc_Daily!$AN$2:$AN$2001,(Metrics!$H$1-180+120)))</f>
        <v>0</v>
      </c>
      <c r="S121">
        <f>IF((Metrics!$H$1-180+120)&lt;1,"",INDEX(Calc_Daily!$AD$2:$AD$2001,(Metrics!$H$1-180+120)))</f>
        <v>0</v>
      </c>
      <c r="T121">
        <f>IF((Metrics!$H$1-180+120)&lt;1,"",INDEX(Calc_Daily!$AT$2:$AT$2001,(Metrics!$H$1-180+120)))</f>
        <v>0</v>
      </c>
      <c r="U121">
        <f>IF((Metrics!$H$1-180+120)&lt;1,"",INDEX(Calc_Daily!$AQ$2:$AQ$2001,(Metrics!$H$1-180+120)))</f>
        <v>0</v>
      </c>
      <c r="V121">
        <f>IF((Metrics!$H$1-180+120)&lt;1,"",INDEX(Calc_Daily!$AR$2:$AR$2001,(Metrics!$H$1-180+120)))</f>
        <v>0</v>
      </c>
    </row>
    <row r="122" spans="1:22">
      <c r="A122" s="27">
        <f>IF((Metrics!$H$1-180+121)&lt;1,"",INDEX(Calc_Daily!$A$2:$A$2001,(Metrics!$H$1-180+121)))</f>
        <v>0</v>
      </c>
      <c r="B122">
        <f>IF((Metrics!$H$1-180+121)&lt;1,"",INDEX(Calc_Daily!$B$2:$B$2001,(Metrics!$H$1-180+121)))</f>
        <v>0</v>
      </c>
      <c r="C122">
        <f>IF((Metrics!$H$1-180+121)&lt;1,"",INDEX(Calc_Daily!$C$2:$C$2001,(Metrics!$H$1-180+121)))</f>
        <v>0</v>
      </c>
      <c r="D122">
        <f>IF((Metrics!$H$1-180+121)&lt;1,"",INDEX(Calc_Daily!$D$2:$D$2001,(Metrics!$H$1-180+121)))</f>
        <v>0</v>
      </c>
      <c r="E122">
        <f>IF((Metrics!$H$1-180+121)&lt;1,"",INDEX(Calc_Daily!$E$2:$E$2001,(Metrics!$H$1-180+121)))</f>
        <v>0</v>
      </c>
      <c r="F122">
        <f>IF((Metrics!$H$1-180+121)&lt;1,"",INDEX(Calc_Daily!$H$2:$H$2001,(Metrics!$H$1-180+121)))</f>
        <v>0</v>
      </c>
      <c r="G122">
        <f>IF((Metrics!$H$1-180+121)&lt;1,"",INDEX(Calc_Daily!$I$2:$I$2001,(Metrics!$H$1-180+121)))</f>
        <v>0</v>
      </c>
      <c r="H122">
        <f>IF((Metrics!$H$1-180+121)&lt;1,"",INDEX(Calc_Daily!$J$2:$J$2001,(Metrics!$H$1-180+121)))</f>
        <v>0</v>
      </c>
      <c r="I122">
        <f>IF((Metrics!$H$1-180+121)&lt;1,"",INDEX(Calc_Daily!$K$2:$K$2001,(Metrics!$H$1-180+121)))</f>
        <v>0</v>
      </c>
      <c r="J122">
        <f>IF((Metrics!$H$1-180+121)&lt;1,"",INDEX(Calc_Daily!$N$2:$N$2001,(Metrics!$H$1-180+121)))</f>
        <v>0</v>
      </c>
      <c r="K122">
        <f>IF((Metrics!$H$1-180+121)&lt;1,"",70)</f>
        <v>0</v>
      </c>
      <c r="L122">
        <f>IF((Metrics!$H$1-180+121)&lt;1,"",30)</f>
        <v>0</v>
      </c>
      <c r="M122">
        <f>IF((Metrics!$H$1-180+121)&lt;1,"",INDEX(Calc_Daily!$Q$2:$Q$2001,(Metrics!$H$1-180+121)))</f>
        <v>0</v>
      </c>
      <c r="N122">
        <f>IF((Metrics!$H$1-180+121)&lt;1,"",INDEX(Calc_Daily!$R$2:$R$2001,(Metrics!$H$1-180+121)))</f>
        <v>0</v>
      </c>
      <c r="O122">
        <f>IF((Metrics!$H$1-180+121)&lt;1,"",INDEX(Calc_Daily!$S$2:$S$2001,(Metrics!$H$1-180+121)))</f>
        <v>0</v>
      </c>
      <c r="P122">
        <f>IF((Metrics!$H$1-180+121)&lt;1,"",INDEX(Calc_Daily!$AM$2:$AM$2001,(Metrics!$H$1-180+121)))</f>
        <v>0</v>
      </c>
      <c r="Q122">
        <f>IF((Metrics!$H$1-180+121)&lt;1,"",INDEX(Calc_Daily!$AK$2:$AK$2001,(Metrics!$H$1-180+121)))</f>
        <v>0</v>
      </c>
      <c r="R122">
        <f>IF((Metrics!$H$1-180+121)&lt;1,"",INDEX(Calc_Daily!$AN$2:$AN$2001,(Metrics!$H$1-180+121)))</f>
        <v>0</v>
      </c>
      <c r="S122">
        <f>IF((Metrics!$H$1-180+121)&lt;1,"",INDEX(Calc_Daily!$AD$2:$AD$2001,(Metrics!$H$1-180+121)))</f>
        <v>0</v>
      </c>
      <c r="T122">
        <f>IF((Metrics!$H$1-180+121)&lt;1,"",INDEX(Calc_Daily!$AT$2:$AT$2001,(Metrics!$H$1-180+121)))</f>
        <v>0</v>
      </c>
      <c r="U122">
        <f>IF((Metrics!$H$1-180+121)&lt;1,"",INDEX(Calc_Daily!$AQ$2:$AQ$2001,(Metrics!$H$1-180+121)))</f>
        <v>0</v>
      </c>
      <c r="V122">
        <f>IF((Metrics!$H$1-180+121)&lt;1,"",INDEX(Calc_Daily!$AR$2:$AR$2001,(Metrics!$H$1-180+121)))</f>
        <v>0</v>
      </c>
    </row>
    <row r="123" spans="1:22">
      <c r="A123" s="27">
        <f>IF((Metrics!$H$1-180+122)&lt;1,"",INDEX(Calc_Daily!$A$2:$A$2001,(Metrics!$H$1-180+122)))</f>
        <v>0</v>
      </c>
      <c r="B123">
        <f>IF((Metrics!$H$1-180+122)&lt;1,"",INDEX(Calc_Daily!$B$2:$B$2001,(Metrics!$H$1-180+122)))</f>
        <v>0</v>
      </c>
      <c r="C123">
        <f>IF((Metrics!$H$1-180+122)&lt;1,"",INDEX(Calc_Daily!$C$2:$C$2001,(Metrics!$H$1-180+122)))</f>
        <v>0</v>
      </c>
      <c r="D123">
        <f>IF((Metrics!$H$1-180+122)&lt;1,"",INDEX(Calc_Daily!$D$2:$D$2001,(Metrics!$H$1-180+122)))</f>
        <v>0</v>
      </c>
      <c r="E123">
        <f>IF((Metrics!$H$1-180+122)&lt;1,"",INDEX(Calc_Daily!$E$2:$E$2001,(Metrics!$H$1-180+122)))</f>
        <v>0</v>
      </c>
      <c r="F123">
        <f>IF((Metrics!$H$1-180+122)&lt;1,"",INDEX(Calc_Daily!$H$2:$H$2001,(Metrics!$H$1-180+122)))</f>
        <v>0</v>
      </c>
      <c r="G123">
        <f>IF((Metrics!$H$1-180+122)&lt;1,"",INDEX(Calc_Daily!$I$2:$I$2001,(Metrics!$H$1-180+122)))</f>
        <v>0</v>
      </c>
      <c r="H123">
        <f>IF((Metrics!$H$1-180+122)&lt;1,"",INDEX(Calc_Daily!$J$2:$J$2001,(Metrics!$H$1-180+122)))</f>
        <v>0</v>
      </c>
      <c r="I123">
        <f>IF((Metrics!$H$1-180+122)&lt;1,"",INDEX(Calc_Daily!$K$2:$K$2001,(Metrics!$H$1-180+122)))</f>
        <v>0</v>
      </c>
      <c r="J123">
        <f>IF((Metrics!$H$1-180+122)&lt;1,"",INDEX(Calc_Daily!$N$2:$N$2001,(Metrics!$H$1-180+122)))</f>
        <v>0</v>
      </c>
      <c r="K123">
        <f>IF((Metrics!$H$1-180+122)&lt;1,"",70)</f>
        <v>0</v>
      </c>
      <c r="L123">
        <f>IF((Metrics!$H$1-180+122)&lt;1,"",30)</f>
        <v>0</v>
      </c>
      <c r="M123">
        <f>IF((Metrics!$H$1-180+122)&lt;1,"",INDEX(Calc_Daily!$Q$2:$Q$2001,(Metrics!$H$1-180+122)))</f>
        <v>0</v>
      </c>
      <c r="N123">
        <f>IF((Metrics!$H$1-180+122)&lt;1,"",INDEX(Calc_Daily!$R$2:$R$2001,(Metrics!$H$1-180+122)))</f>
        <v>0</v>
      </c>
      <c r="O123">
        <f>IF((Metrics!$H$1-180+122)&lt;1,"",INDEX(Calc_Daily!$S$2:$S$2001,(Metrics!$H$1-180+122)))</f>
        <v>0</v>
      </c>
      <c r="P123">
        <f>IF((Metrics!$H$1-180+122)&lt;1,"",INDEX(Calc_Daily!$AM$2:$AM$2001,(Metrics!$H$1-180+122)))</f>
        <v>0</v>
      </c>
      <c r="Q123">
        <f>IF((Metrics!$H$1-180+122)&lt;1,"",INDEX(Calc_Daily!$AK$2:$AK$2001,(Metrics!$H$1-180+122)))</f>
        <v>0</v>
      </c>
      <c r="R123">
        <f>IF((Metrics!$H$1-180+122)&lt;1,"",INDEX(Calc_Daily!$AN$2:$AN$2001,(Metrics!$H$1-180+122)))</f>
        <v>0</v>
      </c>
      <c r="S123">
        <f>IF((Metrics!$H$1-180+122)&lt;1,"",INDEX(Calc_Daily!$AD$2:$AD$2001,(Metrics!$H$1-180+122)))</f>
        <v>0</v>
      </c>
      <c r="T123">
        <f>IF((Metrics!$H$1-180+122)&lt;1,"",INDEX(Calc_Daily!$AT$2:$AT$2001,(Metrics!$H$1-180+122)))</f>
        <v>0</v>
      </c>
      <c r="U123">
        <f>IF((Metrics!$H$1-180+122)&lt;1,"",INDEX(Calc_Daily!$AQ$2:$AQ$2001,(Metrics!$H$1-180+122)))</f>
        <v>0</v>
      </c>
      <c r="V123">
        <f>IF((Metrics!$H$1-180+122)&lt;1,"",INDEX(Calc_Daily!$AR$2:$AR$2001,(Metrics!$H$1-180+122)))</f>
        <v>0</v>
      </c>
    </row>
    <row r="124" spans="1:22">
      <c r="A124" s="27">
        <f>IF((Metrics!$H$1-180+123)&lt;1,"",INDEX(Calc_Daily!$A$2:$A$2001,(Metrics!$H$1-180+123)))</f>
        <v>0</v>
      </c>
      <c r="B124">
        <f>IF((Metrics!$H$1-180+123)&lt;1,"",INDEX(Calc_Daily!$B$2:$B$2001,(Metrics!$H$1-180+123)))</f>
        <v>0</v>
      </c>
      <c r="C124">
        <f>IF((Metrics!$H$1-180+123)&lt;1,"",INDEX(Calc_Daily!$C$2:$C$2001,(Metrics!$H$1-180+123)))</f>
        <v>0</v>
      </c>
      <c r="D124">
        <f>IF((Metrics!$H$1-180+123)&lt;1,"",INDEX(Calc_Daily!$D$2:$D$2001,(Metrics!$H$1-180+123)))</f>
        <v>0</v>
      </c>
      <c r="E124">
        <f>IF((Metrics!$H$1-180+123)&lt;1,"",INDEX(Calc_Daily!$E$2:$E$2001,(Metrics!$H$1-180+123)))</f>
        <v>0</v>
      </c>
      <c r="F124">
        <f>IF((Metrics!$H$1-180+123)&lt;1,"",INDEX(Calc_Daily!$H$2:$H$2001,(Metrics!$H$1-180+123)))</f>
        <v>0</v>
      </c>
      <c r="G124">
        <f>IF((Metrics!$H$1-180+123)&lt;1,"",INDEX(Calc_Daily!$I$2:$I$2001,(Metrics!$H$1-180+123)))</f>
        <v>0</v>
      </c>
      <c r="H124">
        <f>IF((Metrics!$H$1-180+123)&lt;1,"",INDEX(Calc_Daily!$J$2:$J$2001,(Metrics!$H$1-180+123)))</f>
        <v>0</v>
      </c>
      <c r="I124">
        <f>IF((Metrics!$H$1-180+123)&lt;1,"",INDEX(Calc_Daily!$K$2:$K$2001,(Metrics!$H$1-180+123)))</f>
        <v>0</v>
      </c>
      <c r="J124">
        <f>IF((Metrics!$H$1-180+123)&lt;1,"",INDEX(Calc_Daily!$N$2:$N$2001,(Metrics!$H$1-180+123)))</f>
        <v>0</v>
      </c>
      <c r="K124">
        <f>IF((Metrics!$H$1-180+123)&lt;1,"",70)</f>
        <v>0</v>
      </c>
      <c r="L124">
        <f>IF((Metrics!$H$1-180+123)&lt;1,"",30)</f>
        <v>0</v>
      </c>
      <c r="M124">
        <f>IF((Metrics!$H$1-180+123)&lt;1,"",INDEX(Calc_Daily!$Q$2:$Q$2001,(Metrics!$H$1-180+123)))</f>
        <v>0</v>
      </c>
      <c r="N124">
        <f>IF((Metrics!$H$1-180+123)&lt;1,"",INDEX(Calc_Daily!$R$2:$R$2001,(Metrics!$H$1-180+123)))</f>
        <v>0</v>
      </c>
      <c r="O124">
        <f>IF((Metrics!$H$1-180+123)&lt;1,"",INDEX(Calc_Daily!$S$2:$S$2001,(Metrics!$H$1-180+123)))</f>
        <v>0</v>
      </c>
      <c r="P124">
        <f>IF((Metrics!$H$1-180+123)&lt;1,"",INDEX(Calc_Daily!$AM$2:$AM$2001,(Metrics!$H$1-180+123)))</f>
        <v>0</v>
      </c>
      <c r="Q124">
        <f>IF((Metrics!$H$1-180+123)&lt;1,"",INDEX(Calc_Daily!$AK$2:$AK$2001,(Metrics!$H$1-180+123)))</f>
        <v>0</v>
      </c>
      <c r="R124">
        <f>IF((Metrics!$H$1-180+123)&lt;1,"",INDEX(Calc_Daily!$AN$2:$AN$2001,(Metrics!$H$1-180+123)))</f>
        <v>0</v>
      </c>
      <c r="S124">
        <f>IF((Metrics!$H$1-180+123)&lt;1,"",INDEX(Calc_Daily!$AD$2:$AD$2001,(Metrics!$H$1-180+123)))</f>
        <v>0</v>
      </c>
      <c r="T124">
        <f>IF((Metrics!$H$1-180+123)&lt;1,"",INDEX(Calc_Daily!$AT$2:$AT$2001,(Metrics!$H$1-180+123)))</f>
        <v>0</v>
      </c>
      <c r="U124">
        <f>IF((Metrics!$H$1-180+123)&lt;1,"",INDEX(Calc_Daily!$AQ$2:$AQ$2001,(Metrics!$H$1-180+123)))</f>
        <v>0</v>
      </c>
      <c r="V124">
        <f>IF((Metrics!$H$1-180+123)&lt;1,"",INDEX(Calc_Daily!$AR$2:$AR$2001,(Metrics!$H$1-180+123)))</f>
        <v>0</v>
      </c>
    </row>
    <row r="125" spans="1:22">
      <c r="A125" s="27">
        <f>IF((Metrics!$H$1-180+124)&lt;1,"",INDEX(Calc_Daily!$A$2:$A$2001,(Metrics!$H$1-180+124)))</f>
        <v>0</v>
      </c>
      <c r="B125">
        <f>IF((Metrics!$H$1-180+124)&lt;1,"",INDEX(Calc_Daily!$B$2:$B$2001,(Metrics!$H$1-180+124)))</f>
        <v>0</v>
      </c>
      <c r="C125">
        <f>IF((Metrics!$H$1-180+124)&lt;1,"",INDEX(Calc_Daily!$C$2:$C$2001,(Metrics!$H$1-180+124)))</f>
        <v>0</v>
      </c>
      <c r="D125">
        <f>IF((Metrics!$H$1-180+124)&lt;1,"",INDEX(Calc_Daily!$D$2:$D$2001,(Metrics!$H$1-180+124)))</f>
        <v>0</v>
      </c>
      <c r="E125">
        <f>IF((Metrics!$H$1-180+124)&lt;1,"",INDEX(Calc_Daily!$E$2:$E$2001,(Metrics!$H$1-180+124)))</f>
        <v>0</v>
      </c>
      <c r="F125">
        <f>IF((Metrics!$H$1-180+124)&lt;1,"",INDEX(Calc_Daily!$H$2:$H$2001,(Metrics!$H$1-180+124)))</f>
        <v>0</v>
      </c>
      <c r="G125">
        <f>IF((Metrics!$H$1-180+124)&lt;1,"",INDEX(Calc_Daily!$I$2:$I$2001,(Metrics!$H$1-180+124)))</f>
        <v>0</v>
      </c>
      <c r="H125">
        <f>IF((Metrics!$H$1-180+124)&lt;1,"",INDEX(Calc_Daily!$J$2:$J$2001,(Metrics!$H$1-180+124)))</f>
        <v>0</v>
      </c>
      <c r="I125">
        <f>IF((Metrics!$H$1-180+124)&lt;1,"",INDEX(Calc_Daily!$K$2:$K$2001,(Metrics!$H$1-180+124)))</f>
        <v>0</v>
      </c>
      <c r="J125">
        <f>IF((Metrics!$H$1-180+124)&lt;1,"",INDEX(Calc_Daily!$N$2:$N$2001,(Metrics!$H$1-180+124)))</f>
        <v>0</v>
      </c>
      <c r="K125">
        <f>IF((Metrics!$H$1-180+124)&lt;1,"",70)</f>
        <v>0</v>
      </c>
      <c r="L125">
        <f>IF((Metrics!$H$1-180+124)&lt;1,"",30)</f>
        <v>0</v>
      </c>
      <c r="M125">
        <f>IF((Metrics!$H$1-180+124)&lt;1,"",INDEX(Calc_Daily!$Q$2:$Q$2001,(Metrics!$H$1-180+124)))</f>
        <v>0</v>
      </c>
      <c r="N125">
        <f>IF((Metrics!$H$1-180+124)&lt;1,"",INDEX(Calc_Daily!$R$2:$R$2001,(Metrics!$H$1-180+124)))</f>
        <v>0</v>
      </c>
      <c r="O125">
        <f>IF((Metrics!$H$1-180+124)&lt;1,"",INDEX(Calc_Daily!$S$2:$S$2001,(Metrics!$H$1-180+124)))</f>
        <v>0</v>
      </c>
      <c r="P125">
        <f>IF((Metrics!$H$1-180+124)&lt;1,"",INDEX(Calc_Daily!$AM$2:$AM$2001,(Metrics!$H$1-180+124)))</f>
        <v>0</v>
      </c>
      <c r="Q125">
        <f>IF((Metrics!$H$1-180+124)&lt;1,"",INDEX(Calc_Daily!$AK$2:$AK$2001,(Metrics!$H$1-180+124)))</f>
        <v>0</v>
      </c>
      <c r="R125">
        <f>IF((Metrics!$H$1-180+124)&lt;1,"",INDEX(Calc_Daily!$AN$2:$AN$2001,(Metrics!$H$1-180+124)))</f>
        <v>0</v>
      </c>
      <c r="S125">
        <f>IF((Metrics!$H$1-180+124)&lt;1,"",INDEX(Calc_Daily!$AD$2:$AD$2001,(Metrics!$H$1-180+124)))</f>
        <v>0</v>
      </c>
      <c r="T125">
        <f>IF((Metrics!$H$1-180+124)&lt;1,"",INDEX(Calc_Daily!$AT$2:$AT$2001,(Metrics!$H$1-180+124)))</f>
        <v>0</v>
      </c>
      <c r="U125">
        <f>IF((Metrics!$H$1-180+124)&lt;1,"",INDEX(Calc_Daily!$AQ$2:$AQ$2001,(Metrics!$H$1-180+124)))</f>
        <v>0</v>
      </c>
      <c r="V125">
        <f>IF((Metrics!$H$1-180+124)&lt;1,"",INDEX(Calc_Daily!$AR$2:$AR$2001,(Metrics!$H$1-180+124)))</f>
        <v>0</v>
      </c>
    </row>
    <row r="126" spans="1:22">
      <c r="A126" s="27">
        <f>IF((Metrics!$H$1-180+125)&lt;1,"",INDEX(Calc_Daily!$A$2:$A$2001,(Metrics!$H$1-180+125)))</f>
        <v>0</v>
      </c>
      <c r="B126">
        <f>IF((Metrics!$H$1-180+125)&lt;1,"",INDEX(Calc_Daily!$B$2:$B$2001,(Metrics!$H$1-180+125)))</f>
        <v>0</v>
      </c>
      <c r="C126">
        <f>IF((Metrics!$H$1-180+125)&lt;1,"",INDEX(Calc_Daily!$C$2:$C$2001,(Metrics!$H$1-180+125)))</f>
        <v>0</v>
      </c>
      <c r="D126">
        <f>IF((Metrics!$H$1-180+125)&lt;1,"",INDEX(Calc_Daily!$D$2:$D$2001,(Metrics!$H$1-180+125)))</f>
        <v>0</v>
      </c>
      <c r="E126">
        <f>IF((Metrics!$H$1-180+125)&lt;1,"",INDEX(Calc_Daily!$E$2:$E$2001,(Metrics!$H$1-180+125)))</f>
        <v>0</v>
      </c>
      <c r="F126">
        <f>IF((Metrics!$H$1-180+125)&lt;1,"",INDEX(Calc_Daily!$H$2:$H$2001,(Metrics!$H$1-180+125)))</f>
        <v>0</v>
      </c>
      <c r="G126">
        <f>IF((Metrics!$H$1-180+125)&lt;1,"",INDEX(Calc_Daily!$I$2:$I$2001,(Metrics!$H$1-180+125)))</f>
        <v>0</v>
      </c>
      <c r="H126">
        <f>IF((Metrics!$H$1-180+125)&lt;1,"",INDEX(Calc_Daily!$J$2:$J$2001,(Metrics!$H$1-180+125)))</f>
        <v>0</v>
      </c>
      <c r="I126">
        <f>IF((Metrics!$H$1-180+125)&lt;1,"",INDEX(Calc_Daily!$K$2:$K$2001,(Metrics!$H$1-180+125)))</f>
        <v>0</v>
      </c>
      <c r="J126">
        <f>IF((Metrics!$H$1-180+125)&lt;1,"",INDEX(Calc_Daily!$N$2:$N$2001,(Metrics!$H$1-180+125)))</f>
        <v>0</v>
      </c>
      <c r="K126">
        <f>IF((Metrics!$H$1-180+125)&lt;1,"",70)</f>
        <v>0</v>
      </c>
      <c r="L126">
        <f>IF((Metrics!$H$1-180+125)&lt;1,"",30)</f>
        <v>0</v>
      </c>
      <c r="M126">
        <f>IF((Metrics!$H$1-180+125)&lt;1,"",INDEX(Calc_Daily!$Q$2:$Q$2001,(Metrics!$H$1-180+125)))</f>
        <v>0</v>
      </c>
      <c r="N126">
        <f>IF((Metrics!$H$1-180+125)&lt;1,"",INDEX(Calc_Daily!$R$2:$R$2001,(Metrics!$H$1-180+125)))</f>
        <v>0</v>
      </c>
      <c r="O126">
        <f>IF((Metrics!$H$1-180+125)&lt;1,"",INDEX(Calc_Daily!$S$2:$S$2001,(Metrics!$H$1-180+125)))</f>
        <v>0</v>
      </c>
      <c r="P126">
        <f>IF((Metrics!$H$1-180+125)&lt;1,"",INDEX(Calc_Daily!$AM$2:$AM$2001,(Metrics!$H$1-180+125)))</f>
        <v>0</v>
      </c>
      <c r="Q126">
        <f>IF((Metrics!$H$1-180+125)&lt;1,"",INDEX(Calc_Daily!$AK$2:$AK$2001,(Metrics!$H$1-180+125)))</f>
        <v>0</v>
      </c>
      <c r="R126">
        <f>IF((Metrics!$H$1-180+125)&lt;1,"",INDEX(Calc_Daily!$AN$2:$AN$2001,(Metrics!$H$1-180+125)))</f>
        <v>0</v>
      </c>
      <c r="S126">
        <f>IF((Metrics!$H$1-180+125)&lt;1,"",INDEX(Calc_Daily!$AD$2:$AD$2001,(Metrics!$H$1-180+125)))</f>
        <v>0</v>
      </c>
      <c r="T126">
        <f>IF((Metrics!$H$1-180+125)&lt;1,"",INDEX(Calc_Daily!$AT$2:$AT$2001,(Metrics!$H$1-180+125)))</f>
        <v>0</v>
      </c>
      <c r="U126">
        <f>IF((Metrics!$H$1-180+125)&lt;1,"",INDEX(Calc_Daily!$AQ$2:$AQ$2001,(Metrics!$H$1-180+125)))</f>
        <v>0</v>
      </c>
      <c r="V126">
        <f>IF((Metrics!$H$1-180+125)&lt;1,"",INDEX(Calc_Daily!$AR$2:$AR$2001,(Metrics!$H$1-180+125)))</f>
        <v>0</v>
      </c>
    </row>
    <row r="127" spans="1:22">
      <c r="A127" s="27">
        <f>IF((Metrics!$H$1-180+126)&lt;1,"",INDEX(Calc_Daily!$A$2:$A$2001,(Metrics!$H$1-180+126)))</f>
        <v>0</v>
      </c>
      <c r="B127">
        <f>IF((Metrics!$H$1-180+126)&lt;1,"",INDEX(Calc_Daily!$B$2:$B$2001,(Metrics!$H$1-180+126)))</f>
        <v>0</v>
      </c>
      <c r="C127">
        <f>IF((Metrics!$H$1-180+126)&lt;1,"",INDEX(Calc_Daily!$C$2:$C$2001,(Metrics!$H$1-180+126)))</f>
        <v>0</v>
      </c>
      <c r="D127">
        <f>IF((Metrics!$H$1-180+126)&lt;1,"",INDEX(Calc_Daily!$D$2:$D$2001,(Metrics!$H$1-180+126)))</f>
        <v>0</v>
      </c>
      <c r="E127">
        <f>IF((Metrics!$H$1-180+126)&lt;1,"",INDEX(Calc_Daily!$E$2:$E$2001,(Metrics!$H$1-180+126)))</f>
        <v>0</v>
      </c>
      <c r="F127">
        <f>IF((Metrics!$H$1-180+126)&lt;1,"",INDEX(Calc_Daily!$H$2:$H$2001,(Metrics!$H$1-180+126)))</f>
        <v>0</v>
      </c>
      <c r="G127">
        <f>IF((Metrics!$H$1-180+126)&lt;1,"",INDEX(Calc_Daily!$I$2:$I$2001,(Metrics!$H$1-180+126)))</f>
        <v>0</v>
      </c>
      <c r="H127">
        <f>IF((Metrics!$H$1-180+126)&lt;1,"",INDEX(Calc_Daily!$J$2:$J$2001,(Metrics!$H$1-180+126)))</f>
        <v>0</v>
      </c>
      <c r="I127">
        <f>IF((Metrics!$H$1-180+126)&lt;1,"",INDEX(Calc_Daily!$K$2:$K$2001,(Metrics!$H$1-180+126)))</f>
        <v>0</v>
      </c>
      <c r="J127">
        <f>IF((Metrics!$H$1-180+126)&lt;1,"",INDEX(Calc_Daily!$N$2:$N$2001,(Metrics!$H$1-180+126)))</f>
        <v>0</v>
      </c>
      <c r="K127">
        <f>IF((Metrics!$H$1-180+126)&lt;1,"",70)</f>
        <v>0</v>
      </c>
      <c r="L127">
        <f>IF((Metrics!$H$1-180+126)&lt;1,"",30)</f>
        <v>0</v>
      </c>
      <c r="M127">
        <f>IF((Metrics!$H$1-180+126)&lt;1,"",INDEX(Calc_Daily!$Q$2:$Q$2001,(Metrics!$H$1-180+126)))</f>
        <v>0</v>
      </c>
      <c r="N127">
        <f>IF((Metrics!$H$1-180+126)&lt;1,"",INDEX(Calc_Daily!$R$2:$R$2001,(Metrics!$H$1-180+126)))</f>
        <v>0</v>
      </c>
      <c r="O127">
        <f>IF((Metrics!$H$1-180+126)&lt;1,"",INDEX(Calc_Daily!$S$2:$S$2001,(Metrics!$H$1-180+126)))</f>
        <v>0</v>
      </c>
      <c r="P127">
        <f>IF((Metrics!$H$1-180+126)&lt;1,"",INDEX(Calc_Daily!$AM$2:$AM$2001,(Metrics!$H$1-180+126)))</f>
        <v>0</v>
      </c>
      <c r="Q127">
        <f>IF((Metrics!$H$1-180+126)&lt;1,"",INDEX(Calc_Daily!$AK$2:$AK$2001,(Metrics!$H$1-180+126)))</f>
        <v>0</v>
      </c>
      <c r="R127">
        <f>IF((Metrics!$H$1-180+126)&lt;1,"",INDEX(Calc_Daily!$AN$2:$AN$2001,(Metrics!$H$1-180+126)))</f>
        <v>0</v>
      </c>
      <c r="S127">
        <f>IF((Metrics!$H$1-180+126)&lt;1,"",INDEX(Calc_Daily!$AD$2:$AD$2001,(Metrics!$H$1-180+126)))</f>
        <v>0</v>
      </c>
      <c r="T127">
        <f>IF((Metrics!$H$1-180+126)&lt;1,"",INDEX(Calc_Daily!$AT$2:$AT$2001,(Metrics!$H$1-180+126)))</f>
        <v>0</v>
      </c>
      <c r="U127">
        <f>IF((Metrics!$H$1-180+126)&lt;1,"",INDEX(Calc_Daily!$AQ$2:$AQ$2001,(Metrics!$H$1-180+126)))</f>
        <v>0</v>
      </c>
      <c r="V127">
        <f>IF((Metrics!$H$1-180+126)&lt;1,"",INDEX(Calc_Daily!$AR$2:$AR$2001,(Metrics!$H$1-180+126)))</f>
        <v>0</v>
      </c>
    </row>
    <row r="128" spans="1:22">
      <c r="A128" s="27">
        <f>IF((Metrics!$H$1-180+127)&lt;1,"",INDEX(Calc_Daily!$A$2:$A$2001,(Metrics!$H$1-180+127)))</f>
        <v>0</v>
      </c>
      <c r="B128">
        <f>IF((Metrics!$H$1-180+127)&lt;1,"",INDEX(Calc_Daily!$B$2:$B$2001,(Metrics!$H$1-180+127)))</f>
        <v>0</v>
      </c>
      <c r="C128">
        <f>IF((Metrics!$H$1-180+127)&lt;1,"",INDEX(Calc_Daily!$C$2:$C$2001,(Metrics!$H$1-180+127)))</f>
        <v>0</v>
      </c>
      <c r="D128">
        <f>IF((Metrics!$H$1-180+127)&lt;1,"",INDEX(Calc_Daily!$D$2:$D$2001,(Metrics!$H$1-180+127)))</f>
        <v>0</v>
      </c>
      <c r="E128">
        <f>IF((Metrics!$H$1-180+127)&lt;1,"",INDEX(Calc_Daily!$E$2:$E$2001,(Metrics!$H$1-180+127)))</f>
        <v>0</v>
      </c>
      <c r="F128">
        <f>IF((Metrics!$H$1-180+127)&lt;1,"",INDEX(Calc_Daily!$H$2:$H$2001,(Metrics!$H$1-180+127)))</f>
        <v>0</v>
      </c>
      <c r="G128">
        <f>IF((Metrics!$H$1-180+127)&lt;1,"",INDEX(Calc_Daily!$I$2:$I$2001,(Metrics!$H$1-180+127)))</f>
        <v>0</v>
      </c>
      <c r="H128">
        <f>IF((Metrics!$H$1-180+127)&lt;1,"",INDEX(Calc_Daily!$J$2:$J$2001,(Metrics!$H$1-180+127)))</f>
        <v>0</v>
      </c>
      <c r="I128">
        <f>IF((Metrics!$H$1-180+127)&lt;1,"",INDEX(Calc_Daily!$K$2:$K$2001,(Metrics!$H$1-180+127)))</f>
        <v>0</v>
      </c>
      <c r="J128">
        <f>IF((Metrics!$H$1-180+127)&lt;1,"",INDEX(Calc_Daily!$N$2:$N$2001,(Metrics!$H$1-180+127)))</f>
        <v>0</v>
      </c>
      <c r="K128">
        <f>IF((Metrics!$H$1-180+127)&lt;1,"",70)</f>
        <v>0</v>
      </c>
      <c r="L128">
        <f>IF((Metrics!$H$1-180+127)&lt;1,"",30)</f>
        <v>0</v>
      </c>
      <c r="M128">
        <f>IF((Metrics!$H$1-180+127)&lt;1,"",INDEX(Calc_Daily!$Q$2:$Q$2001,(Metrics!$H$1-180+127)))</f>
        <v>0</v>
      </c>
      <c r="N128">
        <f>IF((Metrics!$H$1-180+127)&lt;1,"",INDEX(Calc_Daily!$R$2:$R$2001,(Metrics!$H$1-180+127)))</f>
        <v>0</v>
      </c>
      <c r="O128">
        <f>IF((Metrics!$H$1-180+127)&lt;1,"",INDEX(Calc_Daily!$S$2:$S$2001,(Metrics!$H$1-180+127)))</f>
        <v>0</v>
      </c>
      <c r="P128">
        <f>IF((Metrics!$H$1-180+127)&lt;1,"",INDEX(Calc_Daily!$AM$2:$AM$2001,(Metrics!$H$1-180+127)))</f>
        <v>0</v>
      </c>
      <c r="Q128">
        <f>IF((Metrics!$H$1-180+127)&lt;1,"",INDEX(Calc_Daily!$AK$2:$AK$2001,(Metrics!$H$1-180+127)))</f>
        <v>0</v>
      </c>
      <c r="R128">
        <f>IF((Metrics!$H$1-180+127)&lt;1,"",INDEX(Calc_Daily!$AN$2:$AN$2001,(Metrics!$H$1-180+127)))</f>
        <v>0</v>
      </c>
      <c r="S128">
        <f>IF((Metrics!$H$1-180+127)&lt;1,"",INDEX(Calc_Daily!$AD$2:$AD$2001,(Metrics!$H$1-180+127)))</f>
        <v>0</v>
      </c>
      <c r="T128">
        <f>IF((Metrics!$H$1-180+127)&lt;1,"",INDEX(Calc_Daily!$AT$2:$AT$2001,(Metrics!$H$1-180+127)))</f>
        <v>0</v>
      </c>
      <c r="U128">
        <f>IF((Metrics!$H$1-180+127)&lt;1,"",INDEX(Calc_Daily!$AQ$2:$AQ$2001,(Metrics!$H$1-180+127)))</f>
        <v>0</v>
      </c>
      <c r="V128">
        <f>IF((Metrics!$H$1-180+127)&lt;1,"",INDEX(Calc_Daily!$AR$2:$AR$2001,(Metrics!$H$1-180+127)))</f>
        <v>0</v>
      </c>
    </row>
    <row r="129" spans="1:22">
      <c r="A129" s="27">
        <f>IF((Metrics!$H$1-180+128)&lt;1,"",INDEX(Calc_Daily!$A$2:$A$2001,(Metrics!$H$1-180+128)))</f>
        <v>0</v>
      </c>
      <c r="B129">
        <f>IF((Metrics!$H$1-180+128)&lt;1,"",INDEX(Calc_Daily!$B$2:$B$2001,(Metrics!$H$1-180+128)))</f>
        <v>0</v>
      </c>
      <c r="C129">
        <f>IF((Metrics!$H$1-180+128)&lt;1,"",INDEX(Calc_Daily!$C$2:$C$2001,(Metrics!$H$1-180+128)))</f>
        <v>0</v>
      </c>
      <c r="D129">
        <f>IF((Metrics!$H$1-180+128)&lt;1,"",INDEX(Calc_Daily!$D$2:$D$2001,(Metrics!$H$1-180+128)))</f>
        <v>0</v>
      </c>
      <c r="E129">
        <f>IF((Metrics!$H$1-180+128)&lt;1,"",INDEX(Calc_Daily!$E$2:$E$2001,(Metrics!$H$1-180+128)))</f>
        <v>0</v>
      </c>
      <c r="F129">
        <f>IF((Metrics!$H$1-180+128)&lt;1,"",INDEX(Calc_Daily!$H$2:$H$2001,(Metrics!$H$1-180+128)))</f>
        <v>0</v>
      </c>
      <c r="G129">
        <f>IF((Metrics!$H$1-180+128)&lt;1,"",INDEX(Calc_Daily!$I$2:$I$2001,(Metrics!$H$1-180+128)))</f>
        <v>0</v>
      </c>
      <c r="H129">
        <f>IF((Metrics!$H$1-180+128)&lt;1,"",INDEX(Calc_Daily!$J$2:$J$2001,(Metrics!$H$1-180+128)))</f>
        <v>0</v>
      </c>
      <c r="I129">
        <f>IF((Metrics!$H$1-180+128)&lt;1,"",INDEX(Calc_Daily!$K$2:$K$2001,(Metrics!$H$1-180+128)))</f>
        <v>0</v>
      </c>
      <c r="J129">
        <f>IF((Metrics!$H$1-180+128)&lt;1,"",INDEX(Calc_Daily!$N$2:$N$2001,(Metrics!$H$1-180+128)))</f>
        <v>0</v>
      </c>
      <c r="K129">
        <f>IF((Metrics!$H$1-180+128)&lt;1,"",70)</f>
        <v>0</v>
      </c>
      <c r="L129">
        <f>IF((Metrics!$H$1-180+128)&lt;1,"",30)</f>
        <v>0</v>
      </c>
      <c r="M129">
        <f>IF((Metrics!$H$1-180+128)&lt;1,"",INDEX(Calc_Daily!$Q$2:$Q$2001,(Metrics!$H$1-180+128)))</f>
        <v>0</v>
      </c>
      <c r="N129">
        <f>IF((Metrics!$H$1-180+128)&lt;1,"",INDEX(Calc_Daily!$R$2:$R$2001,(Metrics!$H$1-180+128)))</f>
        <v>0</v>
      </c>
      <c r="O129">
        <f>IF((Metrics!$H$1-180+128)&lt;1,"",INDEX(Calc_Daily!$S$2:$S$2001,(Metrics!$H$1-180+128)))</f>
        <v>0</v>
      </c>
      <c r="P129">
        <f>IF((Metrics!$H$1-180+128)&lt;1,"",INDEX(Calc_Daily!$AM$2:$AM$2001,(Metrics!$H$1-180+128)))</f>
        <v>0</v>
      </c>
      <c r="Q129">
        <f>IF((Metrics!$H$1-180+128)&lt;1,"",INDEX(Calc_Daily!$AK$2:$AK$2001,(Metrics!$H$1-180+128)))</f>
        <v>0</v>
      </c>
      <c r="R129">
        <f>IF((Metrics!$H$1-180+128)&lt;1,"",INDEX(Calc_Daily!$AN$2:$AN$2001,(Metrics!$H$1-180+128)))</f>
        <v>0</v>
      </c>
      <c r="S129">
        <f>IF((Metrics!$H$1-180+128)&lt;1,"",INDEX(Calc_Daily!$AD$2:$AD$2001,(Metrics!$H$1-180+128)))</f>
        <v>0</v>
      </c>
      <c r="T129">
        <f>IF((Metrics!$H$1-180+128)&lt;1,"",INDEX(Calc_Daily!$AT$2:$AT$2001,(Metrics!$H$1-180+128)))</f>
        <v>0</v>
      </c>
      <c r="U129">
        <f>IF((Metrics!$H$1-180+128)&lt;1,"",INDEX(Calc_Daily!$AQ$2:$AQ$2001,(Metrics!$H$1-180+128)))</f>
        <v>0</v>
      </c>
      <c r="V129">
        <f>IF((Metrics!$H$1-180+128)&lt;1,"",INDEX(Calc_Daily!$AR$2:$AR$2001,(Metrics!$H$1-180+128)))</f>
        <v>0</v>
      </c>
    </row>
    <row r="130" spans="1:22">
      <c r="A130" s="27">
        <f>IF((Metrics!$H$1-180+129)&lt;1,"",INDEX(Calc_Daily!$A$2:$A$2001,(Metrics!$H$1-180+129)))</f>
        <v>0</v>
      </c>
      <c r="B130">
        <f>IF((Metrics!$H$1-180+129)&lt;1,"",INDEX(Calc_Daily!$B$2:$B$2001,(Metrics!$H$1-180+129)))</f>
        <v>0</v>
      </c>
      <c r="C130">
        <f>IF((Metrics!$H$1-180+129)&lt;1,"",INDEX(Calc_Daily!$C$2:$C$2001,(Metrics!$H$1-180+129)))</f>
        <v>0</v>
      </c>
      <c r="D130">
        <f>IF((Metrics!$H$1-180+129)&lt;1,"",INDEX(Calc_Daily!$D$2:$D$2001,(Metrics!$H$1-180+129)))</f>
        <v>0</v>
      </c>
      <c r="E130">
        <f>IF((Metrics!$H$1-180+129)&lt;1,"",INDEX(Calc_Daily!$E$2:$E$2001,(Metrics!$H$1-180+129)))</f>
        <v>0</v>
      </c>
      <c r="F130">
        <f>IF((Metrics!$H$1-180+129)&lt;1,"",INDEX(Calc_Daily!$H$2:$H$2001,(Metrics!$H$1-180+129)))</f>
        <v>0</v>
      </c>
      <c r="G130">
        <f>IF((Metrics!$H$1-180+129)&lt;1,"",INDEX(Calc_Daily!$I$2:$I$2001,(Metrics!$H$1-180+129)))</f>
        <v>0</v>
      </c>
      <c r="H130">
        <f>IF((Metrics!$H$1-180+129)&lt;1,"",INDEX(Calc_Daily!$J$2:$J$2001,(Metrics!$H$1-180+129)))</f>
        <v>0</v>
      </c>
      <c r="I130">
        <f>IF((Metrics!$H$1-180+129)&lt;1,"",INDEX(Calc_Daily!$K$2:$K$2001,(Metrics!$H$1-180+129)))</f>
        <v>0</v>
      </c>
      <c r="J130">
        <f>IF((Metrics!$H$1-180+129)&lt;1,"",INDEX(Calc_Daily!$N$2:$N$2001,(Metrics!$H$1-180+129)))</f>
        <v>0</v>
      </c>
      <c r="K130">
        <f>IF((Metrics!$H$1-180+129)&lt;1,"",70)</f>
        <v>0</v>
      </c>
      <c r="L130">
        <f>IF((Metrics!$H$1-180+129)&lt;1,"",30)</f>
        <v>0</v>
      </c>
      <c r="M130">
        <f>IF((Metrics!$H$1-180+129)&lt;1,"",INDEX(Calc_Daily!$Q$2:$Q$2001,(Metrics!$H$1-180+129)))</f>
        <v>0</v>
      </c>
      <c r="N130">
        <f>IF((Metrics!$H$1-180+129)&lt;1,"",INDEX(Calc_Daily!$R$2:$R$2001,(Metrics!$H$1-180+129)))</f>
        <v>0</v>
      </c>
      <c r="O130">
        <f>IF((Metrics!$H$1-180+129)&lt;1,"",INDEX(Calc_Daily!$S$2:$S$2001,(Metrics!$H$1-180+129)))</f>
        <v>0</v>
      </c>
      <c r="P130">
        <f>IF((Metrics!$H$1-180+129)&lt;1,"",INDEX(Calc_Daily!$AM$2:$AM$2001,(Metrics!$H$1-180+129)))</f>
        <v>0</v>
      </c>
      <c r="Q130">
        <f>IF((Metrics!$H$1-180+129)&lt;1,"",INDEX(Calc_Daily!$AK$2:$AK$2001,(Metrics!$H$1-180+129)))</f>
        <v>0</v>
      </c>
      <c r="R130">
        <f>IF((Metrics!$H$1-180+129)&lt;1,"",INDEX(Calc_Daily!$AN$2:$AN$2001,(Metrics!$H$1-180+129)))</f>
        <v>0</v>
      </c>
      <c r="S130">
        <f>IF((Metrics!$H$1-180+129)&lt;1,"",INDEX(Calc_Daily!$AD$2:$AD$2001,(Metrics!$H$1-180+129)))</f>
        <v>0</v>
      </c>
      <c r="T130">
        <f>IF((Metrics!$H$1-180+129)&lt;1,"",INDEX(Calc_Daily!$AT$2:$AT$2001,(Metrics!$H$1-180+129)))</f>
        <v>0</v>
      </c>
      <c r="U130">
        <f>IF((Metrics!$H$1-180+129)&lt;1,"",INDEX(Calc_Daily!$AQ$2:$AQ$2001,(Metrics!$H$1-180+129)))</f>
        <v>0</v>
      </c>
      <c r="V130">
        <f>IF((Metrics!$H$1-180+129)&lt;1,"",INDEX(Calc_Daily!$AR$2:$AR$2001,(Metrics!$H$1-180+129)))</f>
        <v>0</v>
      </c>
    </row>
    <row r="131" spans="1:22">
      <c r="A131" s="27">
        <f>IF((Metrics!$H$1-180+130)&lt;1,"",INDEX(Calc_Daily!$A$2:$A$2001,(Metrics!$H$1-180+130)))</f>
        <v>0</v>
      </c>
      <c r="B131">
        <f>IF((Metrics!$H$1-180+130)&lt;1,"",INDEX(Calc_Daily!$B$2:$B$2001,(Metrics!$H$1-180+130)))</f>
        <v>0</v>
      </c>
      <c r="C131">
        <f>IF((Metrics!$H$1-180+130)&lt;1,"",INDEX(Calc_Daily!$C$2:$C$2001,(Metrics!$H$1-180+130)))</f>
        <v>0</v>
      </c>
      <c r="D131">
        <f>IF((Metrics!$H$1-180+130)&lt;1,"",INDEX(Calc_Daily!$D$2:$D$2001,(Metrics!$H$1-180+130)))</f>
        <v>0</v>
      </c>
      <c r="E131">
        <f>IF((Metrics!$H$1-180+130)&lt;1,"",INDEX(Calc_Daily!$E$2:$E$2001,(Metrics!$H$1-180+130)))</f>
        <v>0</v>
      </c>
      <c r="F131">
        <f>IF((Metrics!$H$1-180+130)&lt;1,"",INDEX(Calc_Daily!$H$2:$H$2001,(Metrics!$H$1-180+130)))</f>
        <v>0</v>
      </c>
      <c r="G131">
        <f>IF((Metrics!$H$1-180+130)&lt;1,"",INDEX(Calc_Daily!$I$2:$I$2001,(Metrics!$H$1-180+130)))</f>
        <v>0</v>
      </c>
      <c r="H131">
        <f>IF((Metrics!$H$1-180+130)&lt;1,"",INDEX(Calc_Daily!$J$2:$J$2001,(Metrics!$H$1-180+130)))</f>
        <v>0</v>
      </c>
      <c r="I131">
        <f>IF((Metrics!$H$1-180+130)&lt;1,"",INDEX(Calc_Daily!$K$2:$K$2001,(Metrics!$H$1-180+130)))</f>
        <v>0</v>
      </c>
      <c r="J131">
        <f>IF((Metrics!$H$1-180+130)&lt;1,"",INDEX(Calc_Daily!$N$2:$N$2001,(Metrics!$H$1-180+130)))</f>
        <v>0</v>
      </c>
      <c r="K131">
        <f>IF((Metrics!$H$1-180+130)&lt;1,"",70)</f>
        <v>0</v>
      </c>
      <c r="L131">
        <f>IF((Metrics!$H$1-180+130)&lt;1,"",30)</f>
        <v>0</v>
      </c>
      <c r="M131">
        <f>IF((Metrics!$H$1-180+130)&lt;1,"",INDEX(Calc_Daily!$Q$2:$Q$2001,(Metrics!$H$1-180+130)))</f>
        <v>0</v>
      </c>
      <c r="N131">
        <f>IF((Metrics!$H$1-180+130)&lt;1,"",INDEX(Calc_Daily!$R$2:$R$2001,(Metrics!$H$1-180+130)))</f>
        <v>0</v>
      </c>
      <c r="O131">
        <f>IF((Metrics!$H$1-180+130)&lt;1,"",INDEX(Calc_Daily!$S$2:$S$2001,(Metrics!$H$1-180+130)))</f>
        <v>0</v>
      </c>
      <c r="P131">
        <f>IF((Metrics!$H$1-180+130)&lt;1,"",INDEX(Calc_Daily!$AM$2:$AM$2001,(Metrics!$H$1-180+130)))</f>
        <v>0</v>
      </c>
      <c r="Q131">
        <f>IF((Metrics!$H$1-180+130)&lt;1,"",INDEX(Calc_Daily!$AK$2:$AK$2001,(Metrics!$H$1-180+130)))</f>
        <v>0</v>
      </c>
      <c r="R131">
        <f>IF((Metrics!$H$1-180+130)&lt;1,"",INDEX(Calc_Daily!$AN$2:$AN$2001,(Metrics!$H$1-180+130)))</f>
        <v>0</v>
      </c>
      <c r="S131">
        <f>IF((Metrics!$H$1-180+130)&lt;1,"",INDEX(Calc_Daily!$AD$2:$AD$2001,(Metrics!$H$1-180+130)))</f>
        <v>0</v>
      </c>
      <c r="T131">
        <f>IF((Metrics!$H$1-180+130)&lt;1,"",INDEX(Calc_Daily!$AT$2:$AT$2001,(Metrics!$H$1-180+130)))</f>
        <v>0</v>
      </c>
      <c r="U131">
        <f>IF((Metrics!$H$1-180+130)&lt;1,"",INDEX(Calc_Daily!$AQ$2:$AQ$2001,(Metrics!$H$1-180+130)))</f>
        <v>0</v>
      </c>
      <c r="V131">
        <f>IF((Metrics!$H$1-180+130)&lt;1,"",INDEX(Calc_Daily!$AR$2:$AR$2001,(Metrics!$H$1-180+130)))</f>
        <v>0</v>
      </c>
    </row>
    <row r="132" spans="1:22">
      <c r="A132" s="27">
        <f>IF((Metrics!$H$1-180+131)&lt;1,"",INDEX(Calc_Daily!$A$2:$A$2001,(Metrics!$H$1-180+131)))</f>
        <v>0</v>
      </c>
      <c r="B132">
        <f>IF((Metrics!$H$1-180+131)&lt;1,"",INDEX(Calc_Daily!$B$2:$B$2001,(Metrics!$H$1-180+131)))</f>
        <v>0</v>
      </c>
      <c r="C132">
        <f>IF((Metrics!$H$1-180+131)&lt;1,"",INDEX(Calc_Daily!$C$2:$C$2001,(Metrics!$H$1-180+131)))</f>
        <v>0</v>
      </c>
      <c r="D132">
        <f>IF((Metrics!$H$1-180+131)&lt;1,"",INDEX(Calc_Daily!$D$2:$D$2001,(Metrics!$H$1-180+131)))</f>
        <v>0</v>
      </c>
      <c r="E132">
        <f>IF((Metrics!$H$1-180+131)&lt;1,"",INDEX(Calc_Daily!$E$2:$E$2001,(Metrics!$H$1-180+131)))</f>
        <v>0</v>
      </c>
      <c r="F132">
        <f>IF((Metrics!$H$1-180+131)&lt;1,"",INDEX(Calc_Daily!$H$2:$H$2001,(Metrics!$H$1-180+131)))</f>
        <v>0</v>
      </c>
      <c r="G132">
        <f>IF((Metrics!$H$1-180+131)&lt;1,"",INDEX(Calc_Daily!$I$2:$I$2001,(Metrics!$H$1-180+131)))</f>
        <v>0</v>
      </c>
      <c r="H132">
        <f>IF((Metrics!$H$1-180+131)&lt;1,"",INDEX(Calc_Daily!$J$2:$J$2001,(Metrics!$H$1-180+131)))</f>
        <v>0</v>
      </c>
      <c r="I132">
        <f>IF((Metrics!$H$1-180+131)&lt;1,"",INDEX(Calc_Daily!$K$2:$K$2001,(Metrics!$H$1-180+131)))</f>
        <v>0</v>
      </c>
      <c r="J132">
        <f>IF((Metrics!$H$1-180+131)&lt;1,"",INDEX(Calc_Daily!$N$2:$N$2001,(Metrics!$H$1-180+131)))</f>
        <v>0</v>
      </c>
      <c r="K132">
        <f>IF((Metrics!$H$1-180+131)&lt;1,"",70)</f>
        <v>0</v>
      </c>
      <c r="L132">
        <f>IF((Metrics!$H$1-180+131)&lt;1,"",30)</f>
        <v>0</v>
      </c>
      <c r="M132">
        <f>IF((Metrics!$H$1-180+131)&lt;1,"",INDEX(Calc_Daily!$Q$2:$Q$2001,(Metrics!$H$1-180+131)))</f>
        <v>0</v>
      </c>
      <c r="N132">
        <f>IF((Metrics!$H$1-180+131)&lt;1,"",INDEX(Calc_Daily!$R$2:$R$2001,(Metrics!$H$1-180+131)))</f>
        <v>0</v>
      </c>
      <c r="O132">
        <f>IF((Metrics!$H$1-180+131)&lt;1,"",INDEX(Calc_Daily!$S$2:$S$2001,(Metrics!$H$1-180+131)))</f>
        <v>0</v>
      </c>
      <c r="P132">
        <f>IF((Metrics!$H$1-180+131)&lt;1,"",INDEX(Calc_Daily!$AM$2:$AM$2001,(Metrics!$H$1-180+131)))</f>
        <v>0</v>
      </c>
      <c r="Q132">
        <f>IF((Metrics!$H$1-180+131)&lt;1,"",INDEX(Calc_Daily!$AK$2:$AK$2001,(Metrics!$H$1-180+131)))</f>
        <v>0</v>
      </c>
      <c r="R132">
        <f>IF((Metrics!$H$1-180+131)&lt;1,"",INDEX(Calc_Daily!$AN$2:$AN$2001,(Metrics!$H$1-180+131)))</f>
        <v>0</v>
      </c>
      <c r="S132">
        <f>IF((Metrics!$H$1-180+131)&lt;1,"",INDEX(Calc_Daily!$AD$2:$AD$2001,(Metrics!$H$1-180+131)))</f>
        <v>0</v>
      </c>
      <c r="T132">
        <f>IF((Metrics!$H$1-180+131)&lt;1,"",INDEX(Calc_Daily!$AT$2:$AT$2001,(Metrics!$H$1-180+131)))</f>
        <v>0</v>
      </c>
      <c r="U132">
        <f>IF((Metrics!$H$1-180+131)&lt;1,"",INDEX(Calc_Daily!$AQ$2:$AQ$2001,(Metrics!$H$1-180+131)))</f>
        <v>0</v>
      </c>
      <c r="V132">
        <f>IF((Metrics!$H$1-180+131)&lt;1,"",INDEX(Calc_Daily!$AR$2:$AR$2001,(Metrics!$H$1-180+131)))</f>
        <v>0</v>
      </c>
    </row>
    <row r="133" spans="1:22">
      <c r="A133" s="27">
        <f>IF((Metrics!$H$1-180+132)&lt;1,"",INDEX(Calc_Daily!$A$2:$A$2001,(Metrics!$H$1-180+132)))</f>
        <v>0</v>
      </c>
      <c r="B133">
        <f>IF((Metrics!$H$1-180+132)&lt;1,"",INDEX(Calc_Daily!$B$2:$B$2001,(Metrics!$H$1-180+132)))</f>
        <v>0</v>
      </c>
      <c r="C133">
        <f>IF((Metrics!$H$1-180+132)&lt;1,"",INDEX(Calc_Daily!$C$2:$C$2001,(Metrics!$H$1-180+132)))</f>
        <v>0</v>
      </c>
      <c r="D133">
        <f>IF((Metrics!$H$1-180+132)&lt;1,"",INDEX(Calc_Daily!$D$2:$D$2001,(Metrics!$H$1-180+132)))</f>
        <v>0</v>
      </c>
      <c r="E133">
        <f>IF((Metrics!$H$1-180+132)&lt;1,"",INDEX(Calc_Daily!$E$2:$E$2001,(Metrics!$H$1-180+132)))</f>
        <v>0</v>
      </c>
      <c r="F133">
        <f>IF((Metrics!$H$1-180+132)&lt;1,"",INDEX(Calc_Daily!$H$2:$H$2001,(Metrics!$H$1-180+132)))</f>
        <v>0</v>
      </c>
      <c r="G133">
        <f>IF((Metrics!$H$1-180+132)&lt;1,"",INDEX(Calc_Daily!$I$2:$I$2001,(Metrics!$H$1-180+132)))</f>
        <v>0</v>
      </c>
      <c r="H133">
        <f>IF((Metrics!$H$1-180+132)&lt;1,"",INDEX(Calc_Daily!$J$2:$J$2001,(Metrics!$H$1-180+132)))</f>
        <v>0</v>
      </c>
      <c r="I133">
        <f>IF((Metrics!$H$1-180+132)&lt;1,"",INDEX(Calc_Daily!$K$2:$K$2001,(Metrics!$H$1-180+132)))</f>
        <v>0</v>
      </c>
      <c r="J133">
        <f>IF((Metrics!$H$1-180+132)&lt;1,"",INDEX(Calc_Daily!$N$2:$N$2001,(Metrics!$H$1-180+132)))</f>
        <v>0</v>
      </c>
      <c r="K133">
        <f>IF((Metrics!$H$1-180+132)&lt;1,"",70)</f>
        <v>0</v>
      </c>
      <c r="L133">
        <f>IF((Metrics!$H$1-180+132)&lt;1,"",30)</f>
        <v>0</v>
      </c>
      <c r="M133">
        <f>IF((Metrics!$H$1-180+132)&lt;1,"",INDEX(Calc_Daily!$Q$2:$Q$2001,(Metrics!$H$1-180+132)))</f>
        <v>0</v>
      </c>
      <c r="N133">
        <f>IF((Metrics!$H$1-180+132)&lt;1,"",INDEX(Calc_Daily!$R$2:$R$2001,(Metrics!$H$1-180+132)))</f>
        <v>0</v>
      </c>
      <c r="O133">
        <f>IF((Metrics!$H$1-180+132)&lt;1,"",INDEX(Calc_Daily!$S$2:$S$2001,(Metrics!$H$1-180+132)))</f>
        <v>0</v>
      </c>
      <c r="P133">
        <f>IF((Metrics!$H$1-180+132)&lt;1,"",INDEX(Calc_Daily!$AM$2:$AM$2001,(Metrics!$H$1-180+132)))</f>
        <v>0</v>
      </c>
      <c r="Q133">
        <f>IF((Metrics!$H$1-180+132)&lt;1,"",INDEX(Calc_Daily!$AK$2:$AK$2001,(Metrics!$H$1-180+132)))</f>
        <v>0</v>
      </c>
      <c r="R133">
        <f>IF((Metrics!$H$1-180+132)&lt;1,"",INDEX(Calc_Daily!$AN$2:$AN$2001,(Metrics!$H$1-180+132)))</f>
        <v>0</v>
      </c>
      <c r="S133">
        <f>IF((Metrics!$H$1-180+132)&lt;1,"",INDEX(Calc_Daily!$AD$2:$AD$2001,(Metrics!$H$1-180+132)))</f>
        <v>0</v>
      </c>
      <c r="T133">
        <f>IF((Metrics!$H$1-180+132)&lt;1,"",INDEX(Calc_Daily!$AT$2:$AT$2001,(Metrics!$H$1-180+132)))</f>
        <v>0</v>
      </c>
      <c r="U133">
        <f>IF((Metrics!$H$1-180+132)&lt;1,"",INDEX(Calc_Daily!$AQ$2:$AQ$2001,(Metrics!$H$1-180+132)))</f>
        <v>0</v>
      </c>
      <c r="V133">
        <f>IF((Metrics!$H$1-180+132)&lt;1,"",INDEX(Calc_Daily!$AR$2:$AR$2001,(Metrics!$H$1-180+132)))</f>
        <v>0</v>
      </c>
    </row>
    <row r="134" spans="1:22">
      <c r="A134" s="27">
        <f>IF((Metrics!$H$1-180+133)&lt;1,"",INDEX(Calc_Daily!$A$2:$A$2001,(Metrics!$H$1-180+133)))</f>
        <v>0</v>
      </c>
      <c r="B134">
        <f>IF((Metrics!$H$1-180+133)&lt;1,"",INDEX(Calc_Daily!$B$2:$B$2001,(Metrics!$H$1-180+133)))</f>
        <v>0</v>
      </c>
      <c r="C134">
        <f>IF((Metrics!$H$1-180+133)&lt;1,"",INDEX(Calc_Daily!$C$2:$C$2001,(Metrics!$H$1-180+133)))</f>
        <v>0</v>
      </c>
      <c r="D134">
        <f>IF((Metrics!$H$1-180+133)&lt;1,"",INDEX(Calc_Daily!$D$2:$D$2001,(Metrics!$H$1-180+133)))</f>
        <v>0</v>
      </c>
      <c r="E134">
        <f>IF((Metrics!$H$1-180+133)&lt;1,"",INDEX(Calc_Daily!$E$2:$E$2001,(Metrics!$H$1-180+133)))</f>
        <v>0</v>
      </c>
      <c r="F134">
        <f>IF((Metrics!$H$1-180+133)&lt;1,"",INDEX(Calc_Daily!$H$2:$H$2001,(Metrics!$H$1-180+133)))</f>
        <v>0</v>
      </c>
      <c r="G134">
        <f>IF((Metrics!$H$1-180+133)&lt;1,"",INDEX(Calc_Daily!$I$2:$I$2001,(Metrics!$H$1-180+133)))</f>
        <v>0</v>
      </c>
      <c r="H134">
        <f>IF((Metrics!$H$1-180+133)&lt;1,"",INDEX(Calc_Daily!$J$2:$J$2001,(Metrics!$H$1-180+133)))</f>
        <v>0</v>
      </c>
      <c r="I134">
        <f>IF((Metrics!$H$1-180+133)&lt;1,"",INDEX(Calc_Daily!$K$2:$K$2001,(Metrics!$H$1-180+133)))</f>
        <v>0</v>
      </c>
      <c r="J134">
        <f>IF((Metrics!$H$1-180+133)&lt;1,"",INDEX(Calc_Daily!$N$2:$N$2001,(Metrics!$H$1-180+133)))</f>
        <v>0</v>
      </c>
      <c r="K134">
        <f>IF((Metrics!$H$1-180+133)&lt;1,"",70)</f>
        <v>0</v>
      </c>
      <c r="L134">
        <f>IF((Metrics!$H$1-180+133)&lt;1,"",30)</f>
        <v>0</v>
      </c>
      <c r="M134">
        <f>IF((Metrics!$H$1-180+133)&lt;1,"",INDEX(Calc_Daily!$Q$2:$Q$2001,(Metrics!$H$1-180+133)))</f>
        <v>0</v>
      </c>
      <c r="N134">
        <f>IF((Metrics!$H$1-180+133)&lt;1,"",INDEX(Calc_Daily!$R$2:$R$2001,(Metrics!$H$1-180+133)))</f>
        <v>0</v>
      </c>
      <c r="O134">
        <f>IF((Metrics!$H$1-180+133)&lt;1,"",INDEX(Calc_Daily!$S$2:$S$2001,(Metrics!$H$1-180+133)))</f>
        <v>0</v>
      </c>
      <c r="P134">
        <f>IF((Metrics!$H$1-180+133)&lt;1,"",INDEX(Calc_Daily!$AM$2:$AM$2001,(Metrics!$H$1-180+133)))</f>
        <v>0</v>
      </c>
      <c r="Q134">
        <f>IF((Metrics!$H$1-180+133)&lt;1,"",INDEX(Calc_Daily!$AK$2:$AK$2001,(Metrics!$H$1-180+133)))</f>
        <v>0</v>
      </c>
      <c r="R134">
        <f>IF((Metrics!$H$1-180+133)&lt;1,"",INDEX(Calc_Daily!$AN$2:$AN$2001,(Metrics!$H$1-180+133)))</f>
        <v>0</v>
      </c>
      <c r="S134">
        <f>IF((Metrics!$H$1-180+133)&lt;1,"",INDEX(Calc_Daily!$AD$2:$AD$2001,(Metrics!$H$1-180+133)))</f>
        <v>0</v>
      </c>
      <c r="T134">
        <f>IF((Metrics!$H$1-180+133)&lt;1,"",INDEX(Calc_Daily!$AT$2:$AT$2001,(Metrics!$H$1-180+133)))</f>
        <v>0</v>
      </c>
      <c r="U134">
        <f>IF((Metrics!$H$1-180+133)&lt;1,"",INDEX(Calc_Daily!$AQ$2:$AQ$2001,(Metrics!$H$1-180+133)))</f>
        <v>0</v>
      </c>
      <c r="V134">
        <f>IF((Metrics!$H$1-180+133)&lt;1,"",INDEX(Calc_Daily!$AR$2:$AR$2001,(Metrics!$H$1-180+133)))</f>
        <v>0</v>
      </c>
    </row>
    <row r="135" spans="1:22">
      <c r="A135" s="27">
        <f>IF((Metrics!$H$1-180+134)&lt;1,"",INDEX(Calc_Daily!$A$2:$A$2001,(Metrics!$H$1-180+134)))</f>
        <v>0</v>
      </c>
      <c r="B135">
        <f>IF((Metrics!$H$1-180+134)&lt;1,"",INDEX(Calc_Daily!$B$2:$B$2001,(Metrics!$H$1-180+134)))</f>
        <v>0</v>
      </c>
      <c r="C135">
        <f>IF((Metrics!$H$1-180+134)&lt;1,"",INDEX(Calc_Daily!$C$2:$C$2001,(Metrics!$H$1-180+134)))</f>
        <v>0</v>
      </c>
      <c r="D135">
        <f>IF((Metrics!$H$1-180+134)&lt;1,"",INDEX(Calc_Daily!$D$2:$D$2001,(Metrics!$H$1-180+134)))</f>
        <v>0</v>
      </c>
      <c r="E135">
        <f>IF((Metrics!$H$1-180+134)&lt;1,"",INDEX(Calc_Daily!$E$2:$E$2001,(Metrics!$H$1-180+134)))</f>
        <v>0</v>
      </c>
      <c r="F135">
        <f>IF((Metrics!$H$1-180+134)&lt;1,"",INDEX(Calc_Daily!$H$2:$H$2001,(Metrics!$H$1-180+134)))</f>
        <v>0</v>
      </c>
      <c r="G135">
        <f>IF((Metrics!$H$1-180+134)&lt;1,"",INDEX(Calc_Daily!$I$2:$I$2001,(Metrics!$H$1-180+134)))</f>
        <v>0</v>
      </c>
      <c r="H135">
        <f>IF((Metrics!$H$1-180+134)&lt;1,"",INDEX(Calc_Daily!$J$2:$J$2001,(Metrics!$H$1-180+134)))</f>
        <v>0</v>
      </c>
      <c r="I135">
        <f>IF((Metrics!$H$1-180+134)&lt;1,"",INDEX(Calc_Daily!$K$2:$K$2001,(Metrics!$H$1-180+134)))</f>
        <v>0</v>
      </c>
      <c r="J135">
        <f>IF((Metrics!$H$1-180+134)&lt;1,"",INDEX(Calc_Daily!$N$2:$N$2001,(Metrics!$H$1-180+134)))</f>
        <v>0</v>
      </c>
      <c r="K135">
        <f>IF((Metrics!$H$1-180+134)&lt;1,"",70)</f>
        <v>0</v>
      </c>
      <c r="L135">
        <f>IF((Metrics!$H$1-180+134)&lt;1,"",30)</f>
        <v>0</v>
      </c>
      <c r="M135">
        <f>IF((Metrics!$H$1-180+134)&lt;1,"",INDEX(Calc_Daily!$Q$2:$Q$2001,(Metrics!$H$1-180+134)))</f>
        <v>0</v>
      </c>
      <c r="N135">
        <f>IF((Metrics!$H$1-180+134)&lt;1,"",INDEX(Calc_Daily!$R$2:$R$2001,(Metrics!$H$1-180+134)))</f>
        <v>0</v>
      </c>
      <c r="O135">
        <f>IF((Metrics!$H$1-180+134)&lt;1,"",INDEX(Calc_Daily!$S$2:$S$2001,(Metrics!$H$1-180+134)))</f>
        <v>0</v>
      </c>
      <c r="P135">
        <f>IF((Metrics!$H$1-180+134)&lt;1,"",INDEX(Calc_Daily!$AM$2:$AM$2001,(Metrics!$H$1-180+134)))</f>
        <v>0</v>
      </c>
      <c r="Q135">
        <f>IF((Metrics!$H$1-180+134)&lt;1,"",INDEX(Calc_Daily!$AK$2:$AK$2001,(Metrics!$H$1-180+134)))</f>
        <v>0</v>
      </c>
      <c r="R135">
        <f>IF((Metrics!$H$1-180+134)&lt;1,"",INDEX(Calc_Daily!$AN$2:$AN$2001,(Metrics!$H$1-180+134)))</f>
        <v>0</v>
      </c>
      <c r="S135">
        <f>IF((Metrics!$H$1-180+134)&lt;1,"",INDEX(Calc_Daily!$AD$2:$AD$2001,(Metrics!$H$1-180+134)))</f>
        <v>0</v>
      </c>
      <c r="T135">
        <f>IF((Metrics!$H$1-180+134)&lt;1,"",INDEX(Calc_Daily!$AT$2:$AT$2001,(Metrics!$H$1-180+134)))</f>
        <v>0</v>
      </c>
      <c r="U135">
        <f>IF((Metrics!$H$1-180+134)&lt;1,"",INDEX(Calc_Daily!$AQ$2:$AQ$2001,(Metrics!$H$1-180+134)))</f>
        <v>0</v>
      </c>
      <c r="V135">
        <f>IF((Metrics!$H$1-180+134)&lt;1,"",INDEX(Calc_Daily!$AR$2:$AR$2001,(Metrics!$H$1-180+134)))</f>
        <v>0</v>
      </c>
    </row>
    <row r="136" spans="1:22">
      <c r="A136" s="27">
        <f>IF((Metrics!$H$1-180+135)&lt;1,"",INDEX(Calc_Daily!$A$2:$A$2001,(Metrics!$H$1-180+135)))</f>
        <v>0</v>
      </c>
      <c r="B136">
        <f>IF((Metrics!$H$1-180+135)&lt;1,"",INDEX(Calc_Daily!$B$2:$B$2001,(Metrics!$H$1-180+135)))</f>
        <v>0</v>
      </c>
      <c r="C136">
        <f>IF((Metrics!$H$1-180+135)&lt;1,"",INDEX(Calc_Daily!$C$2:$C$2001,(Metrics!$H$1-180+135)))</f>
        <v>0</v>
      </c>
      <c r="D136">
        <f>IF((Metrics!$H$1-180+135)&lt;1,"",INDEX(Calc_Daily!$D$2:$D$2001,(Metrics!$H$1-180+135)))</f>
        <v>0</v>
      </c>
      <c r="E136">
        <f>IF((Metrics!$H$1-180+135)&lt;1,"",INDEX(Calc_Daily!$E$2:$E$2001,(Metrics!$H$1-180+135)))</f>
        <v>0</v>
      </c>
      <c r="F136">
        <f>IF((Metrics!$H$1-180+135)&lt;1,"",INDEX(Calc_Daily!$H$2:$H$2001,(Metrics!$H$1-180+135)))</f>
        <v>0</v>
      </c>
      <c r="G136">
        <f>IF((Metrics!$H$1-180+135)&lt;1,"",INDEX(Calc_Daily!$I$2:$I$2001,(Metrics!$H$1-180+135)))</f>
        <v>0</v>
      </c>
      <c r="H136">
        <f>IF((Metrics!$H$1-180+135)&lt;1,"",INDEX(Calc_Daily!$J$2:$J$2001,(Metrics!$H$1-180+135)))</f>
        <v>0</v>
      </c>
      <c r="I136">
        <f>IF((Metrics!$H$1-180+135)&lt;1,"",INDEX(Calc_Daily!$K$2:$K$2001,(Metrics!$H$1-180+135)))</f>
        <v>0</v>
      </c>
      <c r="J136">
        <f>IF((Metrics!$H$1-180+135)&lt;1,"",INDEX(Calc_Daily!$N$2:$N$2001,(Metrics!$H$1-180+135)))</f>
        <v>0</v>
      </c>
      <c r="K136">
        <f>IF((Metrics!$H$1-180+135)&lt;1,"",70)</f>
        <v>0</v>
      </c>
      <c r="L136">
        <f>IF((Metrics!$H$1-180+135)&lt;1,"",30)</f>
        <v>0</v>
      </c>
      <c r="M136">
        <f>IF((Metrics!$H$1-180+135)&lt;1,"",INDEX(Calc_Daily!$Q$2:$Q$2001,(Metrics!$H$1-180+135)))</f>
        <v>0</v>
      </c>
      <c r="N136">
        <f>IF((Metrics!$H$1-180+135)&lt;1,"",INDEX(Calc_Daily!$R$2:$R$2001,(Metrics!$H$1-180+135)))</f>
        <v>0</v>
      </c>
      <c r="O136">
        <f>IF((Metrics!$H$1-180+135)&lt;1,"",INDEX(Calc_Daily!$S$2:$S$2001,(Metrics!$H$1-180+135)))</f>
        <v>0</v>
      </c>
      <c r="P136">
        <f>IF((Metrics!$H$1-180+135)&lt;1,"",INDEX(Calc_Daily!$AM$2:$AM$2001,(Metrics!$H$1-180+135)))</f>
        <v>0</v>
      </c>
      <c r="Q136">
        <f>IF((Metrics!$H$1-180+135)&lt;1,"",INDEX(Calc_Daily!$AK$2:$AK$2001,(Metrics!$H$1-180+135)))</f>
        <v>0</v>
      </c>
      <c r="R136">
        <f>IF((Metrics!$H$1-180+135)&lt;1,"",INDEX(Calc_Daily!$AN$2:$AN$2001,(Metrics!$H$1-180+135)))</f>
        <v>0</v>
      </c>
      <c r="S136">
        <f>IF((Metrics!$H$1-180+135)&lt;1,"",INDEX(Calc_Daily!$AD$2:$AD$2001,(Metrics!$H$1-180+135)))</f>
        <v>0</v>
      </c>
      <c r="T136">
        <f>IF((Metrics!$H$1-180+135)&lt;1,"",INDEX(Calc_Daily!$AT$2:$AT$2001,(Metrics!$H$1-180+135)))</f>
        <v>0</v>
      </c>
      <c r="U136">
        <f>IF((Metrics!$H$1-180+135)&lt;1,"",INDEX(Calc_Daily!$AQ$2:$AQ$2001,(Metrics!$H$1-180+135)))</f>
        <v>0</v>
      </c>
      <c r="V136">
        <f>IF((Metrics!$H$1-180+135)&lt;1,"",INDEX(Calc_Daily!$AR$2:$AR$2001,(Metrics!$H$1-180+135)))</f>
        <v>0</v>
      </c>
    </row>
    <row r="137" spans="1:22">
      <c r="A137" s="27">
        <f>IF((Metrics!$H$1-180+136)&lt;1,"",INDEX(Calc_Daily!$A$2:$A$2001,(Metrics!$H$1-180+136)))</f>
        <v>0</v>
      </c>
      <c r="B137">
        <f>IF((Metrics!$H$1-180+136)&lt;1,"",INDEX(Calc_Daily!$B$2:$B$2001,(Metrics!$H$1-180+136)))</f>
        <v>0</v>
      </c>
      <c r="C137">
        <f>IF((Metrics!$H$1-180+136)&lt;1,"",INDEX(Calc_Daily!$C$2:$C$2001,(Metrics!$H$1-180+136)))</f>
        <v>0</v>
      </c>
      <c r="D137">
        <f>IF((Metrics!$H$1-180+136)&lt;1,"",INDEX(Calc_Daily!$D$2:$D$2001,(Metrics!$H$1-180+136)))</f>
        <v>0</v>
      </c>
      <c r="E137">
        <f>IF((Metrics!$H$1-180+136)&lt;1,"",INDEX(Calc_Daily!$E$2:$E$2001,(Metrics!$H$1-180+136)))</f>
        <v>0</v>
      </c>
      <c r="F137">
        <f>IF((Metrics!$H$1-180+136)&lt;1,"",INDEX(Calc_Daily!$H$2:$H$2001,(Metrics!$H$1-180+136)))</f>
        <v>0</v>
      </c>
      <c r="G137">
        <f>IF((Metrics!$H$1-180+136)&lt;1,"",INDEX(Calc_Daily!$I$2:$I$2001,(Metrics!$H$1-180+136)))</f>
        <v>0</v>
      </c>
      <c r="H137">
        <f>IF((Metrics!$H$1-180+136)&lt;1,"",INDEX(Calc_Daily!$J$2:$J$2001,(Metrics!$H$1-180+136)))</f>
        <v>0</v>
      </c>
      <c r="I137">
        <f>IF((Metrics!$H$1-180+136)&lt;1,"",INDEX(Calc_Daily!$K$2:$K$2001,(Metrics!$H$1-180+136)))</f>
        <v>0</v>
      </c>
      <c r="J137">
        <f>IF((Metrics!$H$1-180+136)&lt;1,"",INDEX(Calc_Daily!$N$2:$N$2001,(Metrics!$H$1-180+136)))</f>
        <v>0</v>
      </c>
      <c r="K137">
        <f>IF((Metrics!$H$1-180+136)&lt;1,"",70)</f>
        <v>0</v>
      </c>
      <c r="L137">
        <f>IF((Metrics!$H$1-180+136)&lt;1,"",30)</f>
        <v>0</v>
      </c>
      <c r="M137">
        <f>IF((Metrics!$H$1-180+136)&lt;1,"",INDEX(Calc_Daily!$Q$2:$Q$2001,(Metrics!$H$1-180+136)))</f>
        <v>0</v>
      </c>
      <c r="N137">
        <f>IF((Metrics!$H$1-180+136)&lt;1,"",INDEX(Calc_Daily!$R$2:$R$2001,(Metrics!$H$1-180+136)))</f>
        <v>0</v>
      </c>
      <c r="O137">
        <f>IF((Metrics!$H$1-180+136)&lt;1,"",INDEX(Calc_Daily!$S$2:$S$2001,(Metrics!$H$1-180+136)))</f>
        <v>0</v>
      </c>
      <c r="P137">
        <f>IF((Metrics!$H$1-180+136)&lt;1,"",INDEX(Calc_Daily!$AM$2:$AM$2001,(Metrics!$H$1-180+136)))</f>
        <v>0</v>
      </c>
      <c r="Q137">
        <f>IF((Metrics!$H$1-180+136)&lt;1,"",INDEX(Calc_Daily!$AK$2:$AK$2001,(Metrics!$H$1-180+136)))</f>
        <v>0</v>
      </c>
      <c r="R137">
        <f>IF((Metrics!$H$1-180+136)&lt;1,"",INDEX(Calc_Daily!$AN$2:$AN$2001,(Metrics!$H$1-180+136)))</f>
        <v>0</v>
      </c>
      <c r="S137">
        <f>IF((Metrics!$H$1-180+136)&lt;1,"",INDEX(Calc_Daily!$AD$2:$AD$2001,(Metrics!$H$1-180+136)))</f>
        <v>0</v>
      </c>
      <c r="T137">
        <f>IF((Metrics!$H$1-180+136)&lt;1,"",INDEX(Calc_Daily!$AT$2:$AT$2001,(Metrics!$H$1-180+136)))</f>
        <v>0</v>
      </c>
      <c r="U137">
        <f>IF((Metrics!$H$1-180+136)&lt;1,"",INDEX(Calc_Daily!$AQ$2:$AQ$2001,(Metrics!$H$1-180+136)))</f>
        <v>0</v>
      </c>
      <c r="V137">
        <f>IF((Metrics!$H$1-180+136)&lt;1,"",INDEX(Calc_Daily!$AR$2:$AR$2001,(Metrics!$H$1-180+136)))</f>
        <v>0</v>
      </c>
    </row>
    <row r="138" spans="1:22">
      <c r="A138" s="27">
        <f>IF((Metrics!$H$1-180+137)&lt;1,"",INDEX(Calc_Daily!$A$2:$A$2001,(Metrics!$H$1-180+137)))</f>
        <v>0</v>
      </c>
      <c r="B138">
        <f>IF((Metrics!$H$1-180+137)&lt;1,"",INDEX(Calc_Daily!$B$2:$B$2001,(Metrics!$H$1-180+137)))</f>
        <v>0</v>
      </c>
      <c r="C138">
        <f>IF((Metrics!$H$1-180+137)&lt;1,"",INDEX(Calc_Daily!$C$2:$C$2001,(Metrics!$H$1-180+137)))</f>
        <v>0</v>
      </c>
      <c r="D138">
        <f>IF((Metrics!$H$1-180+137)&lt;1,"",INDEX(Calc_Daily!$D$2:$D$2001,(Metrics!$H$1-180+137)))</f>
        <v>0</v>
      </c>
      <c r="E138">
        <f>IF((Metrics!$H$1-180+137)&lt;1,"",INDEX(Calc_Daily!$E$2:$E$2001,(Metrics!$H$1-180+137)))</f>
        <v>0</v>
      </c>
      <c r="F138">
        <f>IF((Metrics!$H$1-180+137)&lt;1,"",INDEX(Calc_Daily!$H$2:$H$2001,(Metrics!$H$1-180+137)))</f>
        <v>0</v>
      </c>
      <c r="G138">
        <f>IF((Metrics!$H$1-180+137)&lt;1,"",INDEX(Calc_Daily!$I$2:$I$2001,(Metrics!$H$1-180+137)))</f>
        <v>0</v>
      </c>
      <c r="H138">
        <f>IF((Metrics!$H$1-180+137)&lt;1,"",INDEX(Calc_Daily!$J$2:$J$2001,(Metrics!$H$1-180+137)))</f>
        <v>0</v>
      </c>
      <c r="I138">
        <f>IF((Metrics!$H$1-180+137)&lt;1,"",INDEX(Calc_Daily!$K$2:$K$2001,(Metrics!$H$1-180+137)))</f>
        <v>0</v>
      </c>
      <c r="J138">
        <f>IF((Metrics!$H$1-180+137)&lt;1,"",INDEX(Calc_Daily!$N$2:$N$2001,(Metrics!$H$1-180+137)))</f>
        <v>0</v>
      </c>
      <c r="K138">
        <f>IF((Metrics!$H$1-180+137)&lt;1,"",70)</f>
        <v>0</v>
      </c>
      <c r="L138">
        <f>IF((Metrics!$H$1-180+137)&lt;1,"",30)</f>
        <v>0</v>
      </c>
      <c r="M138">
        <f>IF((Metrics!$H$1-180+137)&lt;1,"",INDEX(Calc_Daily!$Q$2:$Q$2001,(Metrics!$H$1-180+137)))</f>
        <v>0</v>
      </c>
      <c r="N138">
        <f>IF((Metrics!$H$1-180+137)&lt;1,"",INDEX(Calc_Daily!$R$2:$R$2001,(Metrics!$H$1-180+137)))</f>
        <v>0</v>
      </c>
      <c r="O138">
        <f>IF((Metrics!$H$1-180+137)&lt;1,"",INDEX(Calc_Daily!$S$2:$S$2001,(Metrics!$H$1-180+137)))</f>
        <v>0</v>
      </c>
      <c r="P138">
        <f>IF((Metrics!$H$1-180+137)&lt;1,"",INDEX(Calc_Daily!$AM$2:$AM$2001,(Metrics!$H$1-180+137)))</f>
        <v>0</v>
      </c>
      <c r="Q138">
        <f>IF((Metrics!$H$1-180+137)&lt;1,"",INDEX(Calc_Daily!$AK$2:$AK$2001,(Metrics!$H$1-180+137)))</f>
        <v>0</v>
      </c>
      <c r="R138">
        <f>IF((Metrics!$H$1-180+137)&lt;1,"",INDEX(Calc_Daily!$AN$2:$AN$2001,(Metrics!$H$1-180+137)))</f>
        <v>0</v>
      </c>
      <c r="S138">
        <f>IF((Metrics!$H$1-180+137)&lt;1,"",INDEX(Calc_Daily!$AD$2:$AD$2001,(Metrics!$H$1-180+137)))</f>
        <v>0</v>
      </c>
      <c r="T138">
        <f>IF((Metrics!$H$1-180+137)&lt;1,"",INDEX(Calc_Daily!$AT$2:$AT$2001,(Metrics!$H$1-180+137)))</f>
        <v>0</v>
      </c>
      <c r="U138">
        <f>IF((Metrics!$H$1-180+137)&lt;1,"",INDEX(Calc_Daily!$AQ$2:$AQ$2001,(Metrics!$H$1-180+137)))</f>
        <v>0</v>
      </c>
      <c r="V138">
        <f>IF((Metrics!$H$1-180+137)&lt;1,"",INDEX(Calc_Daily!$AR$2:$AR$2001,(Metrics!$H$1-180+137)))</f>
        <v>0</v>
      </c>
    </row>
    <row r="139" spans="1:22">
      <c r="A139" s="27">
        <f>IF((Metrics!$H$1-180+138)&lt;1,"",INDEX(Calc_Daily!$A$2:$A$2001,(Metrics!$H$1-180+138)))</f>
        <v>0</v>
      </c>
      <c r="B139">
        <f>IF((Metrics!$H$1-180+138)&lt;1,"",INDEX(Calc_Daily!$B$2:$B$2001,(Metrics!$H$1-180+138)))</f>
        <v>0</v>
      </c>
      <c r="C139">
        <f>IF((Metrics!$H$1-180+138)&lt;1,"",INDEX(Calc_Daily!$C$2:$C$2001,(Metrics!$H$1-180+138)))</f>
        <v>0</v>
      </c>
      <c r="D139">
        <f>IF((Metrics!$H$1-180+138)&lt;1,"",INDEX(Calc_Daily!$D$2:$D$2001,(Metrics!$H$1-180+138)))</f>
        <v>0</v>
      </c>
      <c r="E139">
        <f>IF((Metrics!$H$1-180+138)&lt;1,"",INDEX(Calc_Daily!$E$2:$E$2001,(Metrics!$H$1-180+138)))</f>
        <v>0</v>
      </c>
      <c r="F139">
        <f>IF((Metrics!$H$1-180+138)&lt;1,"",INDEX(Calc_Daily!$H$2:$H$2001,(Metrics!$H$1-180+138)))</f>
        <v>0</v>
      </c>
      <c r="G139">
        <f>IF((Metrics!$H$1-180+138)&lt;1,"",INDEX(Calc_Daily!$I$2:$I$2001,(Metrics!$H$1-180+138)))</f>
        <v>0</v>
      </c>
      <c r="H139">
        <f>IF((Metrics!$H$1-180+138)&lt;1,"",INDEX(Calc_Daily!$J$2:$J$2001,(Metrics!$H$1-180+138)))</f>
        <v>0</v>
      </c>
      <c r="I139">
        <f>IF((Metrics!$H$1-180+138)&lt;1,"",INDEX(Calc_Daily!$K$2:$K$2001,(Metrics!$H$1-180+138)))</f>
        <v>0</v>
      </c>
      <c r="J139">
        <f>IF((Metrics!$H$1-180+138)&lt;1,"",INDEX(Calc_Daily!$N$2:$N$2001,(Metrics!$H$1-180+138)))</f>
        <v>0</v>
      </c>
      <c r="K139">
        <f>IF((Metrics!$H$1-180+138)&lt;1,"",70)</f>
        <v>0</v>
      </c>
      <c r="L139">
        <f>IF((Metrics!$H$1-180+138)&lt;1,"",30)</f>
        <v>0</v>
      </c>
      <c r="M139">
        <f>IF((Metrics!$H$1-180+138)&lt;1,"",INDEX(Calc_Daily!$Q$2:$Q$2001,(Metrics!$H$1-180+138)))</f>
        <v>0</v>
      </c>
      <c r="N139">
        <f>IF((Metrics!$H$1-180+138)&lt;1,"",INDEX(Calc_Daily!$R$2:$R$2001,(Metrics!$H$1-180+138)))</f>
        <v>0</v>
      </c>
      <c r="O139">
        <f>IF((Metrics!$H$1-180+138)&lt;1,"",INDEX(Calc_Daily!$S$2:$S$2001,(Metrics!$H$1-180+138)))</f>
        <v>0</v>
      </c>
      <c r="P139">
        <f>IF((Metrics!$H$1-180+138)&lt;1,"",INDEX(Calc_Daily!$AM$2:$AM$2001,(Metrics!$H$1-180+138)))</f>
        <v>0</v>
      </c>
      <c r="Q139">
        <f>IF((Metrics!$H$1-180+138)&lt;1,"",INDEX(Calc_Daily!$AK$2:$AK$2001,(Metrics!$H$1-180+138)))</f>
        <v>0</v>
      </c>
      <c r="R139">
        <f>IF((Metrics!$H$1-180+138)&lt;1,"",INDEX(Calc_Daily!$AN$2:$AN$2001,(Metrics!$H$1-180+138)))</f>
        <v>0</v>
      </c>
      <c r="S139">
        <f>IF((Metrics!$H$1-180+138)&lt;1,"",INDEX(Calc_Daily!$AD$2:$AD$2001,(Metrics!$H$1-180+138)))</f>
        <v>0</v>
      </c>
      <c r="T139">
        <f>IF((Metrics!$H$1-180+138)&lt;1,"",INDEX(Calc_Daily!$AT$2:$AT$2001,(Metrics!$H$1-180+138)))</f>
        <v>0</v>
      </c>
      <c r="U139">
        <f>IF((Metrics!$H$1-180+138)&lt;1,"",INDEX(Calc_Daily!$AQ$2:$AQ$2001,(Metrics!$H$1-180+138)))</f>
        <v>0</v>
      </c>
      <c r="V139">
        <f>IF((Metrics!$H$1-180+138)&lt;1,"",INDEX(Calc_Daily!$AR$2:$AR$2001,(Metrics!$H$1-180+138)))</f>
        <v>0</v>
      </c>
    </row>
    <row r="140" spans="1:22">
      <c r="A140" s="27">
        <f>IF((Metrics!$H$1-180+139)&lt;1,"",INDEX(Calc_Daily!$A$2:$A$2001,(Metrics!$H$1-180+139)))</f>
        <v>0</v>
      </c>
      <c r="B140">
        <f>IF((Metrics!$H$1-180+139)&lt;1,"",INDEX(Calc_Daily!$B$2:$B$2001,(Metrics!$H$1-180+139)))</f>
        <v>0</v>
      </c>
      <c r="C140">
        <f>IF((Metrics!$H$1-180+139)&lt;1,"",INDEX(Calc_Daily!$C$2:$C$2001,(Metrics!$H$1-180+139)))</f>
        <v>0</v>
      </c>
      <c r="D140">
        <f>IF((Metrics!$H$1-180+139)&lt;1,"",INDEX(Calc_Daily!$D$2:$D$2001,(Metrics!$H$1-180+139)))</f>
        <v>0</v>
      </c>
      <c r="E140">
        <f>IF((Metrics!$H$1-180+139)&lt;1,"",INDEX(Calc_Daily!$E$2:$E$2001,(Metrics!$H$1-180+139)))</f>
        <v>0</v>
      </c>
      <c r="F140">
        <f>IF((Metrics!$H$1-180+139)&lt;1,"",INDEX(Calc_Daily!$H$2:$H$2001,(Metrics!$H$1-180+139)))</f>
        <v>0</v>
      </c>
      <c r="G140">
        <f>IF((Metrics!$H$1-180+139)&lt;1,"",INDEX(Calc_Daily!$I$2:$I$2001,(Metrics!$H$1-180+139)))</f>
        <v>0</v>
      </c>
      <c r="H140">
        <f>IF((Metrics!$H$1-180+139)&lt;1,"",INDEX(Calc_Daily!$J$2:$J$2001,(Metrics!$H$1-180+139)))</f>
        <v>0</v>
      </c>
      <c r="I140">
        <f>IF((Metrics!$H$1-180+139)&lt;1,"",INDEX(Calc_Daily!$K$2:$K$2001,(Metrics!$H$1-180+139)))</f>
        <v>0</v>
      </c>
      <c r="J140">
        <f>IF((Metrics!$H$1-180+139)&lt;1,"",INDEX(Calc_Daily!$N$2:$N$2001,(Metrics!$H$1-180+139)))</f>
        <v>0</v>
      </c>
      <c r="K140">
        <f>IF((Metrics!$H$1-180+139)&lt;1,"",70)</f>
        <v>0</v>
      </c>
      <c r="L140">
        <f>IF((Metrics!$H$1-180+139)&lt;1,"",30)</f>
        <v>0</v>
      </c>
      <c r="M140">
        <f>IF((Metrics!$H$1-180+139)&lt;1,"",INDEX(Calc_Daily!$Q$2:$Q$2001,(Metrics!$H$1-180+139)))</f>
        <v>0</v>
      </c>
      <c r="N140">
        <f>IF((Metrics!$H$1-180+139)&lt;1,"",INDEX(Calc_Daily!$R$2:$R$2001,(Metrics!$H$1-180+139)))</f>
        <v>0</v>
      </c>
      <c r="O140">
        <f>IF((Metrics!$H$1-180+139)&lt;1,"",INDEX(Calc_Daily!$S$2:$S$2001,(Metrics!$H$1-180+139)))</f>
        <v>0</v>
      </c>
      <c r="P140">
        <f>IF((Metrics!$H$1-180+139)&lt;1,"",INDEX(Calc_Daily!$AM$2:$AM$2001,(Metrics!$H$1-180+139)))</f>
        <v>0</v>
      </c>
      <c r="Q140">
        <f>IF((Metrics!$H$1-180+139)&lt;1,"",INDEX(Calc_Daily!$AK$2:$AK$2001,(Metrics!$H$1-180+139)))</f>
        <v>0</v>
      </c>
      <c r="R140">
        <f>IF((Metrics!$H$1-180+139)&lt;1,"",INDEX(Calc_Daily!$AN$2:$AN$2001,(Metrics!$H$1-180+139)))</f>
        <v>0</v>
      </c>
      <c r="S140">
        <f>IF((Metrics!$H$1-180+139)&lt;1,"",INDEX(Calc_Daily!$AD$2:$AD$2001,(Metrics!$H$1-180+139)))</f>
        <v>0</v>
      </c>
      <c r="T140">
        <f>IF((Metrics!$H$1-180+139)&lt;1,"",INDEX(Calc_Daily!$AT$2:$AT$2001,(Metrics!$H$1-180+139)))</f>
        <v>0</v>
      </c>
      <c r="U140">
        <f>IF((Metrics!$H$1-180+139)&lt;1,"",INDEX(Calc_Daily!$AQ$2:$AQ$2001,(Metrics!$H$1-180+139)))</f>
        <v>0</v>
      </c>
      <c r="V140">
        <f>IF((Metrics!$H$1-180+139)&lt;1,"",INDEX(Calc_Daily!$AR$2:$AR$2001,(Metrics!$H$1-180+139)))</f>
        <v>0</v>
      </c>
    </row>
    <row r="141" spans="1:22">
      <c r="A141" s="27">
        <f>IF((Metrics!$H$1-180+140)&lt;1,"",INDEX(Calc_Daily!$A$2:$A$2001,(Metrics!$H$1-180+140)))</f>
        <v>0</v>
      </c>
      <c r="B141">
        <f>IF((Metrics!$H$1-180+140)&lt;1,"",INDEX(Calc_Daily!$B$2:$B$2001,(Metrics!$H$1-180+140)))</f>
        <v>0</v>
      </c>
      <c r="C141">
        <f>IF((Metrics!$H$1-180+140)&lt;1,"",INDEX(Calc_Daily!$C$2:$C$2001,(Metrics!$H$1-180+140)))</f>
        <v>0</v>
      </c>
      <c r="D141">
        <f>IF((Metrics!$H$1-180+140)&lt;1,"",INDEX(Calc_Daily!$D$2:$D$2001,(Metrics!$H$1-180+140)))</f>
        <v>0</v>
      </c>
      <c r="E141">
        <f>IF((Metrics!$H$1-180+140)&lt;1,"",INDEX(Calc_Daily!$E$2:$E$2001,(Metrics!$H$1-180+140)))</f>
        <v>0</v>
      </c>
      <c r="F141">
        <f>IF((Metrics!$H$1-180+140)&lt;1,"",INDEX(Calc_Daily!$H$2:$H$2001,(Metrics!$H$1-180+140)))</f>
        <v>0</v>
      </c>
      <c r="G141">
        <f>IF((Metrics!$H$1-180+140)&lt;1,"",INDEX(Calc_Daily!$I$2:$I$2001,(Metrics!$H$1-180+140)))</f>
        <v>0</v>
      </c>
      <c r="H141">
        <f>IF((Metrics!$H$1-180+140)&lt;1,"",INDEX(Calc_Daily!$J$2:$J$2001,(Metrics!$H$1-180+140)))</f>
        <v>0</v>
      </c>
      <c r="I141">
        <f>IF((Metrics!$H$1-180+140)&lt;1,"",INDEX(Calc_Daily!$K$2:$K$2001,(Metrics!$H$1-180+140)))</f>
        <v>0</v>
      </c>
      <c r="J141">
        <f>IF((Metrics!$H$1-180+140)&lt;1,"",INDEX(Calc_Daily!$N$2:$N$2001,(Metrics!$H$1-180+140)))</f>
        <v>0</v>
      </c>
      <c r="K141">
        <f>IF((Metrics!$H$1-180+140)&lt;1,"",70)</f>
        <v>0</v>
      </c>
      <c r="L141">
        <f>IF((Metrics!$H$1-180+140)&lt;1,"",30)</f>
        <v>0</v>
      </c>
      <c r="M141">
        <f>IF((Metrics!$H$1-180+140)&lt;1,"",INDEX(Calc_Daily!$Q$2:$Q$2001,(Metrics!$H$1-180+140)))</f>
        <v>0</v>
      </c>
      <c r="N141">
        <f>IF((Metrics!$H$1-180+140)&lt;1,"",INDEX(Calc_Daily!$R$2:$R$2001,(Metrics!$H$1-180+140)))</f>
        <v>0</v>
      </c>
      <c r="O141">
        <f>IF((Metrics!$H$1-180+140)&lt;1,"",INDEX(Calc_Daily!$S$2:$S$2001,(Metrics!$H$1-180+140)))</f>
        <v>0</v>
      </c>
      <c r="P141">
        <f>IF((Metrics!$H$1-180+140)&lt;1,"",INDEX(Calc_Daily!$AM$2:$AM$2001,(Metrics!$H$1-180+140)))</f>
        <v>0</v>
      </c>
      <c r="Q141">
        <f>IF((Metrics!$H$1-180+140)&lt;1,"",INDEX(Calc_Daily!$AK$2:$AK$2001,(Metrics!$H$1-180+140)))</f>
        <v>0</v>
      </c>
      <c r="R141">
        <f>IF((Metrics!$H$1-180+140)&lt;1,"",INDEX(Calc_Daily!$AN$2:$AN$2001,(Metrics!$H$1-180+140)))</f>
        <v>0</v>
      </c>
      <c r="S141">
        <f>IF((Metrics!$H$1-180+140)&lt;1,"",INDEX(Calc_Daily!$AD$2:$AD$2001,(Metrics!$H$1-180+140)))</f>
        <v>0</v>
      </c>
      <c r="T141">
        <f>IF((Metrics!$H$1-180+140)&lt;1,"",INDEX(Calc_Daily!$AT$2:$AT$2001,(Metrics!$H$1-180+140)))</f>
        <v>0</v>
      </c>
      <c r="U141">
        <f>IF((Metrics!$H$1-180+140)&lt;1,"",INDEX(Calc_Daily!$AQ$2:$AQ$2001,(Metrics!$H$1-180+140)))</f>
        <v>0</v>
      </c>
      <c r="V141">
        <f>IF((Metrics!$H$1-180+140)&lt;1,"",INDEX(Calc_Daily!$AR$2:$AR$2001,(Metrics!$H$1-180+140)))</f>
        <v>0</v>
      </c>
    </row>
    <row r="142" spans="1:22">
      <c r="A142" s="27">
        <f>IF((Metrics!$H$1-180+141)&lt;1,"",INDEX(Calc_Daily!$A$2:$A$2001,(Metrics!$H$1-180+141)))</f>
        <v>0</v>
      </c>
      <c r="B142">
        <f>IF((Metrics!$H$1-180+141)&lt;1,"",INDEX(Calc_Daily!$B$2:$B$2001,(Metrics!$H$1-180+141)))</f>
        <v>0</v>
      </c>
      <c r="C142">
        <f>IF((Metrics!$H$1-180+141)&lt;1,"",INDEX(Calc_Daily!$C$2:$C$2001,(Metrics!$H$1-180+141)))</f>
        <v>0</v>
      </c>
      <c r="D142">
        <f>IF((Metrics!$H$1-180+141)&lt;1,"",INDEX(Calc_Daily!$D$2:$D$2001,(Metrics!$H$1-180+141)))</f>
        <v>0</v>
      </c>
      <c r="E142">
        <f>IF((Metrics!$H$1-180+141)&lt;1,"",INDEX(Calc_Daily!$E$2:$E$2001,(Metrics!$H$1-180+141)))</f>
        <v>0</v>
      </c>
      <c r="F142">
        <f>IF((Metrics!$H$1-180+141)&lt;1,"",INDEX(Calc_Daily!$H$2:$H$2001,(Metrics!$H$1-180+141)))</f>
        <v>0</v>
      </c>
      <c r="G142">
        <f>IF((Metrics!$H$1-180+141)&lt;1,"",INDEX(Calc_Daily!$I$2:$I$2001,(Metrics!$H$1-180+141)))</f>
        <v>0</v>
      </c>
      <c r="H142">
        <f>IF((Metrics!$H$1-180+141)&lt;1,"",INDEX(Calc_Daily!$J$2:$J$2001,(Metrics!$H$1-180+141)))</f>
        <v>0</v>
      </c>
      <c r="I142">
        <f>IF((Metrics!$H$1-180+141)&lt;1,"",INDEX(Calc_Daily!$K$2:$K$2001,(Metrics!$H$1-180+141)))</f>
        <v>0</v>
      </c>
      <c r="J142">
        <f>IF((Metrics!$H$1-180+141)&lt;1,"",INDEX(Calc_Daily!$N$2:$N$2001,(Metrics!$H$1-180+141)))</f>
        <v>0</v>
      </c>
      <c r="K142">
        <f>IF((Metrics!$H$1-180+141)&lt;1,"",70)</f>
        <v>0</v>
      </c>
      <c r="L142">
        <f>IF((Metrics!$H$1-180+141)&lt;1,"",30)</f>
        <v>0</v>
      </c>
      <c r="M142">
        <f>IF((Metrics!$H$1-180+141)&lt;1,"",INDEX(Calc_Daily!$Q$2:$Q$2001,(Metrics!$H$1-180+141)))</f>
        <v>0</v>
      </c>
      <c r="N142">
        <f>IF((Metrics!$H$1-180+141)&lt;1,"",INDEX(Calc_Daily!$R$2:$R$2001,(Metrics!$H$1-180+141)))</f>
        <v>0</v>
      </c>
      <c r="O142">
        <f>IF((Metrics!$H$1-180+141)&lt;1,"",INDEX(Calc_Daily!$S$2:$S$2001,(Metrics!$H$1-180+141)))</f>
        <v>0</v>
      </c>
      <c r="P142">
        <f>IF((Metrics!$H$1-180+141)&lt;1,"",INDEX(Calc_Daily!$AM$2:$AM$2001,(Metrics!$H$1-180+141)))</f>
        <v>0</v>
      </c>
      <c r="Q142">
        <f>IF((Metrics!$H$1-180+141)&lt;1,"",INDEX(Calc_Daily!$AK$2:$AK$2001,(Metrics!$H$1-180+141)))</f>
        <v>0</v>
      </c>
      <c r="R142">
        <f>IF((Metrics!$H$1-180+141)&lt;1,"",INDEX(Calc_Daily!$AN$2:$AN$2001,(Metrics!$H$1-180+141)))</f>
        <v>0</v>
      </c>
      <c r="S142">
        <f>IF((Metrics!$H$1-180+141)&lt;1,"",INDEX(Calc_Daily!$AD$2:$AD$2001,(Metrics!$H$1-180+141)))</f>
        <v>0</v>
      </c>
      <c r="T142">
        <f>IF((Metrics!$H$1-180+141)&lt;1,"",INDEX(Calc_Daily!$AT$2:$AT$2001,(Metrics!$H$1-180+141)))</f>
        <v>0</v>
      </c>
      <c r="U142">
        <f>IF((Metrics!$H$1-180+141)&lt;1,"",INDEX(Calc_Daily!$AQ$2:$AQ$2001,(Metrics!$H$1-180+141)))</f>
        <v>0</v>
      </c>
      <c r="V142">
        <f>IF((Metrics!$H$1-180+141)&lt;1,"",INDEX(Calc_Daily!$AR$2:$AR$2001,(Metrics!$H$1-180+141)))</f>
        <v>0</v>
      </c>
    </row>
    <row r="143" spans="1:22">
      <c r="A143" s="27">
        <f>IF((Metrics!$H$1-180+142)&lt;1,"",INDEX(Calc_Daily!$A$2:$A$2001,(Metrics!$H$1-180+142)))</f>
        <v>0</v>
      </c>
      <c r="B143">
        <f>IF((Metrics!$H$1-180+142)&lt;1,"",INDEX(Calc_Daily!$B$2:$B$2001,(Metrics!$H$1-180+142)))</f>
        <v>0</v>
      </c>
      <c r="C143">
        <f>IF((Metrics!$H$1-180+142)&lt;1,"",INDEX(Calc_Daily!$C$2:$C$2001,(Metrics!$H$1-180+142)))</f>
        <v>0</v>
      </c>
      <c r="D143">
        <f>IF((Metrics!$H$1-180+142)&lt;1,"",INDEX(Calc_Daily!$D$2:$D$2001,(Metrics!$H$1-180+142)))</f>
        <v>0</v>
      </c>
      <c r="E143">
        <f>IF((Metrics!$H$1-180+142)&lt;1,"",INDEX(Calc_Daily!$E$2:$E$2001,(Metrics!$H$1-180+142)))</f>
        <v>0</v>
      </c>
      <c r="F143">
        <f>IF((Metrics!$H$1-180+142)&lt;1,"",INDEX(Calc_Daily!$H$2:$H$2001,(Metrics!$H$1-180+142)))</f>
        <v>0</v>
      </c>
      <c r="G143">
        <f>IF((Metrics!$H$1-180+142)&lt;1,"",INDEX(Calc_Daily!$I$2:$I$2001,(Metrics!$H$1-180+142)))</f>
        <v>0</v>
      </c>
      <c r="H143">
        <f>IF((Metrics!$H$1-180+142)&lt;1,"",INDEX(Calc_Daily!$J$2:$J$2001,(Metrics!$H$1-180+142)))</f>
        <v>0</v>
      </c>
      <c r="I143">
        <f>IF((Metrics!$H$1-180+142)&lt;1,"",INDEX(Calc_Daily!$K$2:$K$2001,(Metrics!$H$1-180+142)))</f>
        <v>0</v>
      </c>
      <c r="J143">
        <f>IF((Metrics!$H$1-180+142)&lt;1,"",INDEX(Calc_Daily!$N$2:$N$2001,(Metrics!$H$1-180+142)))</f>
        <v>0</v>
      </c>
      <c r="K143">
        <f>IF((Metrics!$H$1-180+142)&lt;1,"",70)</f>
        <v>0</v>
      </c>
      <c r="L143">
        <f>IF((Metrics!$H$1-180+142)&lt;1,"",30)</f>
        <v>0</v>
      </c>
      <c r="M143">
        <f>IF((Metrics!$H$1-180+142)&lt;1,"",INDEX(Calc_Daily!$Q$2:$Q$2001,(Metrics!$H$1-180+142)))</f>
        <v>0</v>
      </c>
      <c r="N143">
        <f>IF((Metrics!$H$1-180+142)&lt;1,"",INDEX(Calc_Daily!$R$2:$R$2001,(Metrics!$H$1-180+142)))</f>
        <v>0</v>
      </c>
      <c r="O143">
        <f>IF((Metrics!$H$1-180+142)&lt;1,"",INDEX(Calc_Daily!$S$2:$S$2001,(Metrics!$H$1-180+142)))</f>
        <v>0</v>
      </c>
      <c r="P143">
        <f>IF((Metrics!$H$1-180+142)&lt;1,"",INDEX(Calc_Daily!$AM$2:$AM$2001,(Metrics!$H$1-180+142)))</f>
        <v>0</v>
      </c>
      <c r="Q143">
        <f>IF((Metrics!$H$1-180+142)&lt;1,"",INDEX(Calc_Daily!$AK$2:$AK$2001,(Metrics!$H$1-180+142)))</f>
        <v>0</v>
      </c>
      <c r="R143">
        <f>IF((Metrics!$H$1-180+142)&lt;1,"",INDEX(Calc_Daily!$AN$2:$AN$2001,(Metrics!$H$1-180+142)))</f>
        <v>0</v>
      </c>
      <c r="S143">
        <f>IF((Metrics!$H$1-180+142)&lt;1,"",INDEX(Calc_Daily!$AD$2:$AD$2001,(Metrics!$H$1-180+142)))</f>
        <v>0</v>
      </c>
      <c r="T143">
        <f>IF((Metrics!$H$1-180+142)&lt;1,"",INDEX(Calc_Daily!$AT$2:$AT$2001,(Metrics!$H$1-180+142)))</f>
        <v>0</v>
      </c>
      <c r="U143">
        <f>IF((Metrics!$H$1-180+142)&lt;1,"",INDEX(Calc_Daily!$AQ$2:$AQ$2001,(Metrics!$H$1-180+142)))</f>
        <v>0</v>
      </c>
      <c r="V143">
        <f>IF((Metrics!$H$1-180+142)&lt;1,"",INDEX(Calc_Daily!$AR$2:$AR$2001,(Metrics!$H$1-180+142)))</f>
        <v>0</v>
      </c>
    </row>
    <row r="144" spans="1:22">
      <c r="A144" s="27">
        <f>IF((Metrics!$H$1-180+143)&lt;1,"",INDEX(Calc_Daily!$A$2:$A$2001,(Metrics!$H$1-180+143)))</f>
        <v>0</v>
      </c>
      <c r="B144">
        <f>IF((Metrics!$H$1-180+143)&lt;1,"",INDEX(Calc_Daily!$B$2:$B$2001,(Metrics!$H$1-180+143)))</f>
        <v>0</v>
      </c>
      <c r="C144">
        <f>IF((Metrics!$H$1-180+143)&lt;1,"",INDEX(Calc_Daily!$C$2:$C$2001,(Metrics!$H$1-180+143)))</f>
        <v>0</v>
      </c>
      <c r="D144">
        <f>IF((Metrics!$H$1-180+143)&lt;1,"",INDEX(Calc_Daily!$D$2:$D$2001,(Metrics!$H$1-180+143)))</f>
        <v>0</v>
      </c>
      <c r="E144">
        <f>IF((Metrics!$H$1-180+143)&lt;1,"",INDEX(Calc_Daily!$E$2:$E$2001,(Metrics!$H$1-180+143)))</f>
        <v>0</v>
      </c>
      <c r="F144">
        <f>IF((Metrics!$H$1-180+143)&lt;1,"",INDEX(Calc_Daily!$H$2:$H$2001,(Metrics!$H$1-180+143)))</f>
        <v>0</v>
      </c>
      <c r="G144">
        <f>IF((Metrics!$H$1-180+143)&lt;1,"",INDEX(Calc_Daily!$I$2:$I$2001,(Metrics!$H$1-180+143)))</f>
        <v>0</v>
      </c>
      <c r="H144">
        <f>IF((Metrics!$H$1-180+143)&lt;1,"",INDEX(Calc_Daily!$J$2:$J$2001,(Metrics!$H$1-180+143)))</f>
        <v>0</v>
      </c>
      <c r="I144">
        <f>IF((Metrics!$H$1-180+143)&lt;1,"",INDEX(Calc_Daily!$K$2:$K$2001,(Metrics!$H$1-180+143)))</f>
        <v>0</v>
      </c>
      <c r="J144">
        <f>IF((Metrics!$H$1-180+143)&lt;1,"",INDEX(Calc_Daily!$N$2:$N$2001,(Metrics!$H$1-180+143)))</f>
        <v>0</v>
      </c>
      <c r="K144">
        <f>IF((Metrics!$H$1-180+143)&lt;1,"",70)</f>
        <v>0</v>
      </c>
      <c r="L144">
        <f>IF((Metrics!$H$1-180+143)&lt;1,"",30)</f>
        <v>0</v>
      </c>
      <c r="M144">
        <f>IF((Metrics!$H$1-180+143)&lt;1,"",INDEX(Calc_Daily!$Q$2:$Q$2001,(Metrics!$H$1-180+143)))</f>
        <v>0</v>
      </c>
      <c r="N144">
        <f>IF((Metrics!$H$1-180+143)&lt;1,"",INDEX(Calc_Daily!$R$2:$R$2001,(Metrics!$H$1-180+143)))</f>
        <v>0</v>
      </c>
      <c r="O144">
        <f>IF((Metrics!$H$1-180+143)&lt;1,"",INDEX(Calc_Daily!$S$2:$S$2001,(Metrics!$H$1-180+143)))</f>
        <v>0</v>
      </c>
      <c r="P144">
        <f>IF((Metrics!$H$1-180+143)&lt;1,"",INDEX(Calc_Daily!$AM$2:$AM$2001,(Metrics!$H$1-180+143)))</f>
        <v>0</v>
      </c>
      <c r="Q144">
        <f>IF((Metrics!$H$1-180+143)&lt;1,"",INDEX(Calc_Daily!$AK$2:$AK$2001,(Metrics!$H$1-180+143)))</f>
        <v>0</v>
      </c>
      <c r="R144">
        <f>IF((Metrics!$H$1-180+143)&lt;1,"",INDEX(Calc_Daily!$AN$2:$AN$2001,(Metrics!$H$1-180+143)))</f>
        <v>0</v>
      </c>
      <c r="S144">
        <f>IF((Metrics!$H$1-180+143)&lt;1,"",INDEX(Calc_Daily!$AD$2:$AD$2001,(Metrics!$H$1-180+143)))</f>
        <v>0</v>
      </c>
      <c r="T144">
        <f>IF((Metrics!$H$1-180+143)&lt;1,"",INDEX(Calc_Daily!$AT$2:$AT$2001,(Metrics!$H$1-180+143)))</f>
        <v>0</v>
      </c>
      <c r="U144">
        <f>IF((Metrics!$H$1-180+143)&lt;1,"",INDEX(Calc_Daily!$AQ$2:$AQ$2001,(Metrics!$H$1-180+143)))</f>
        <v>0</v>
      </c>
      <c r="V144">
        <f>IF((Metrics!$H$1-180+143)&lt;1,"",INDEX(Calc_Daily!$AR$2:$AR$2001,(Metrics!$H$1-180+143)))</f>
        <v>0</v>
      </c>
    </row>
    <row r="145" spans="1:22">
      <c r="A145" s="27">
        <f>IF((Metrics!$H$1-180+144)&lt;1,"",INDEX(Calc_Daily!$A$2:$A$2001,(Metrics!$H$1-180+144)))</f>
        <v>0</v>
      </c>
      <c r="B145">
        <f>IF((Metrics!$H$1-180+144)&lt;1,"",INDEX(Calc_Daily!$B$2:$B$2001,(Metrics!$H$1-180+144)))</f>
        <v>0</v>
      </c>
      <c r="C145">
        <f>IF((Metrics!$H$1-180+144)&lt;1,"",INDEX(Calc_Daily!$C$2:$C$2001,(Metrics!$H$1-180+144)))</f>
        <v>0</v>
      </c>
      <c r="D145">
        <f>IF((Metrics!$H$1-180+144)&lt;1,"",INDEX(Calc_Daily!$D$2:$D$2001,(Metrics!$H$1-180+144)))</f>
        <v>0</v>
      </c>
      <c r="E145">
        <f>IF((Metrics!$H$1-180+144)&lt;1,"",INDEX(Calc_Daily!$E$2:$E$2001,(Metrics!$H$1-180+144)))</f>
        <v>0</v>
      </c>
      <c r="F145">
        <f>IF((Metrics!$H$1-180+144)&lt;1,"",INDEX(Calc_Daily!$H$2:$H$2001,(Metrics!$H$1-180+144)))</f>
        <v>0</v>
      </c>
      <c r="G145">
        <f>IF((Metrics!$H$1-180+144)&lt;1,"",INDEX(Calc_Daily!$I$2:$I$2001,(Metrics!$H$1-180+144)))</f>
        <v>0</v>
      </c>
      <c r="H145">
        <f>IF((Metrics!$H$1-180+144)&lt;1,"",INDEX(Calc_Daily!$J$2:$J$2001,(Metrics!$H$1-180+144)))</f>
        <v>0</v>
      </c>
      <c r="I145">
        <f>IF((Metrics!$H$1-180+144)&lt;1,"",INDEX(Calc_Daily!$K$2:$K$2001,(Metrics!$H$1-180+144)))</f>
        <v>0</v>
      </c>
      <c r="J145">
        <f>IF((Metrics!$H$1-180+144)&lt;1,"",INDEX(Calc_Daily!$N$2:$N$2001,(Metrics!$H$1-180+144)))</f>
        <v>0</v>
      </c>
      <c r="K145">
        <f>IF((Metrics!$H$1-180+144)&lt;1,"",70)</f>
        <v>0</v>
      </c>
      <c r="L145">
        <f>IF((Metrics!$H$1-180+144)&lt;1,"",30)</f>
        <v>0</v>
      </c>
      <c r="M145">
        <f>IF((Metrics!$H$1-180+144)&lt;1,"",INDEX(Calc_Daily!$Q$2:$Q$2001,(Metrics!$H$1-180+144)))</f>
        <v>0</v>
      </c>
      <c r="N145">
        <f>IF((Metrics!$H$1-180+144)&lt;1,"",INDEX(Calc_Daily!$R$2:$R$2001,(Metrics!$H$1-180+144)))</f>
        <v>0</v>
      </c>
      <c r="O145">
        <f>IF((Metrics!$H$1-180+144)&lt;1,"",INDEX(Calc_Daily!$S$2:$S$2001,(Metrics!$H$1-180+144)))</f>
        <v>0</v>
      </c>
      <c r="P145">
        <f>IF((Metrics!$H$1-180+144)&lt;1,"",INDEX(Calc_Daily!$AM$2:$AM$2001,(Metrics!$H$1-180+144)))</f>
        <v>0</v>
      </c>
      <c r="Q145">
        <f>IF((Metrics!$H$1-180+144)&lt;1,"",INDEX(Calc_Daily!$AK$2:$AK$2001,(Metrics!$H$1-180+144)))</f>
        <v>0</v>
      </c>
      <c r="R145">
        <f>IF((Metrics!$H$1-180+144)&lt;1,"",INDEX(Calc_Daily!$AN$2:$AN$2001,(Metrics!$H$1-180+144)))</f>
        <v>0</v>
      </c>
      <c r="S145">
        <f>IF((Metrics!$H$1-180+144)&lt;1,"",INDEX(Calc_Daily!$AD$2:$AD$2001,(Metrics!$H$1-180+144)))</f>
        <v>0</v>
      </c>
      <c r="T145">
        <f>IF((Metrics!$H$1-180+144)&lt;1,"",INDEX(Calc_Daily!$AT$2:$AT$2001,(Metrics!$H$1-180+144)))</f>
        <v>0</v>
      </c>
      <c r="U145">
        <f>IF((Metrics!$H$1-180+144)&lt;1,"",INDEX(Calc_Daily!$AQ$2:$AQ$2001,(Metrics!$H$1-180+144)))</f>
        <v>0</v>
      </c>
      <c r="V145">
        <f>IF((Metrics!$H$1-180+144)&lt;1,"",INDEX(Calc_Daily!$AR$2:$AR$2001,(Metrics!$H$1-180+144)))</f>
        <v>0</v>
      </c>
    </row>
    <row r="146" spans="1:22">
      <c r="A146" s="27">
        <f>IF((Metrics!$H$1-180+145)&lt;1,"",INDEX(Calc_Daily!$A$2:$A$2001,(Metrics!$H$1-180+145)))</f>
        <v>0</v>
      </c>
      <c r="B146">
        <f>IF((Metrics!$H$1-180+145)&lt;1,"",INDEX(Calc_Daily!$B$2:$B$2001,(Metrics!$H$1-180+145)))</f>
        <v>0</v>
      </c>
      <c r="C146">
        <f>IF((Metrics!$H$1-180+145)&lt;1,"",INDEX(Calc_Daily!$C$2:$C$2001,(Metrics!$H$1-180+145)))</f>
        <v>0</v>
      </c>
      <c r="D146">
        <f>IF((Metrics!$H$1-180+145)&lt;1,"",INDEX(Calc_Daily!$D$2:$D$2001,(Metrics!$H$1-180+145)))</f>
        <v>0</v>
      </c>
      <c r="E146">
        <f>IF((Metrics!$H$1-180+145)&lt;1,"",INDEX(Calc_Daily!$E$2:$E$2001,(Metrics!$H$1-180+145)))</f>
        <v>0</v>
      </c>
      <c r="F146">
        <f>IF((Metrics!$H$1-180+145)&lt;1,"",INDEX(Calc_Daily!$H$2:$H$2001,(Metrics!$H$1-180+145)))</f>
        <v>0</v>
      </c>
      <c r="G146">
        <f>IF((Metrics!$H$1-180+145)&lt;1,"",INDEX(Calc_Daily!$I$2:$I$2001,(Metrics!$H$1-180+145)))</f>
        <v>0</v>
      </c>
      <c r="H146">
        <f>IF((Metrics!$H$1-180+145)&lt;1,"",INDEX(Calc_Daily!$J$2:$J$2001,(Metrics!$H$1-180+145)))</f>
        <v>0</v>
      </c>
      <c r="I146">
        <f>IF((Metrics!$H$1-180+145)&lt;1,"",INDEX(Calc_Daily!$K$2:$K$2001,(Metrics!$H$1-180+145)))</f>
        <v>0</v>
      </c>
      <c r="J146">
        <f>IF((Metrics!$H$1-180+145)&lt;1,"",INDEX(Calc_Daily!$N$2:$N$2001,(Metrics!$H$1-180+145)))</f>
        <v>0</v>
      </c>
      <c r="K146">
        <f>IF((Metrics!$H$1-180+145)&lt;1,"",70)</f>
        <v>0</v>
      </c>
      <c r="L146">
        <f>IF((Metrics!$H$1-180+145)&lt;1,"",30)</f>
        <v>0</v>
      </c>
      <c r="M146">
        <f>IF((Metrics!$H$1-180+145)&lt;1,"",INDEX(Calc_Daily!$Q$2:$Q$2001,(Metrics!$H$1-180+145)))</f>
        <v>0</v>
      </c>
      <c r="N146">
        <f>IF((Metrics!$H$1-180+145)&lt;1,"",INDEX(Calc_Daily!$R$2:$R$2001,(Metrics!$H$1-180+145)))</f>
        <v>0</v>
      </c>
      <c r="O146">
        <f>IF((Metrics!$H$1-180+145)&lt;1,"",INDEX(Calc_Daily!$S$2:$S$2001,(Metrics!$H$1-180+145)))</f>
        <v>0</v>
      </c>
      <c r="P146">
        <f>IF((Metrics!$H$1-180+145)&lt;1,"",INDEX(Calc_Daily!$AM$2:$AM$2001,(Metrics!$H$1-180+145)))</f>
        <v>0</v>
      </c>
      <c r="Q146">
        <f>IF((Metrics!$H$1-180+145)&lt;1,"",INDEX(Calc_Daily!$AK$2:$AK$2001,(Metrics!$H$1-180+145)))</f>
        <v>0</v>
      </c>
      <c r="R146">
        <f>IF((Metrics!$H$1-180+145)&lt;1,"",INDEX(Calc_Daily!$AN$2:$AN$2001,(Metrics!$H$1-180+145)))</f>
        <v>0</v>
      </c>
      <c r="S146">
        <f>IF((Metrics!$H$1-180+145)&lt;1,"",INDEX(Calc_Daily!$AD$2:$AD$2001,(Metrics!$H$1-180+145)))</f>
        <v>0</v>
      </c>
      <c r="T146">
        <f>IF((Metrics!$H$1-180+145)&lt;1,"",INDEX(Calc_Daily!$AT$2:$AT$2001,(Metrics!$H$1-180+145)))</f>
        <v>0</v>
      </c>
      <c r="U146">
        <f>IF((Metrics!$H$1-180+145)&lt;1,"",INDEX(Calc_Daily!$AQ$2:$AQ$2001,(Metrics!$H$1-180+145)))</f>
        <v>0</v>
      </c>
      <c r="V146">
        <f>IF((Metrics!$H$1-180+145)&lt;1,"",INDEX(Calc_Daily!$AR$2:$AR$2001,(Metrics!$H$1-180+145)))</f>
        <v>0</v>
      </c>
    </row>
    <row r="147" spans="1:22">
      <c r="A147" s="27">
        <f>IF((Metrics!$H$1-180+146)&lt;1,"",INDEX(Calc_Daily!$A$2:$A$2001,(Metrics!$H$1-180+146)))</f>
        <v>0</v>
      </c>
      <c r="B147">
        <f>IF((Metrics!$H$1-180+146)&lt;1,"",INDEX(Calc_Daily!$B$2:$B$2001,(Metrics!$H$1-180+146)))</f>
        <v>0</v>
      </c>
      <c r="C147">
        <f>IF((Metrics!$H$1-180+146)&lt;1,"",INDEX(Calc_Daily!$C$2:$C$2001,(Metrics!$H$1-180+146)))</f>
        <v>0</v>
      </c>
      <c r="D147">
        <f>IF((Metrics!$H$1-180+146)&lt;1,"",INDEX(Calc_Daily!$D$2:$D$2001,(Metrics!$H$1-180+146)))</f>
        <v>0</v>
      </c>
      <c r="E147">
        <f>IF((Metrics!$H$1-180+146)&lt;1,"",INDEX(Calc_Daily!$E$2:$E$2001,(Metrics!$H$1-180+146)))</f>
        <v>0</v>
      </c>
      <c r="F147">
        <f>IF((Metrics!$H$1-180+146)&lt;1,"",INDEX(Calc_Daily!$H$2:$H$2001,(Metrics!$H$1-180+146)))</f>
        <v>0</v>
      </c>
      <c r="G147">
        <f>IF((Metrics!$H$1-180+146)&lt;1,"",INDEX(Calc_Daily!$I$2:$I$2001,(Metrics!$H$1-180+146)))</f>
        <v>0</v>
      </c>
      <c r="H147">
        <f>IF((Metrics!$H$1-180+146)&lt;1,"",INDEX(Calc_Daily!$J$2:$J$2001,(Metrics!$H$1-180+146)))</f>
        <v>0</v>
      </c>
      <c r="I147">
        <f>IF((Metrics!$H$1-180+146)&lt;1,"",INDEX(Calc_Daily!$K$2:$K$2001,(Metrics!$H$1-180+146)))</f>
        <v>0</v>
      </c>
      <c r="J147">
        <f>IF((Metrics!$H$1-180+146)&lt;1,"",INDEX(Calc_Daily!$N$2:$N$2001,(Metrics!$H$1-180+146)))</f>
        <v>0</v>
      </c>
      <c r="K147">
        <f>IF((Metrics!$H$1-180+146)&lt;1,"",70)</f>
        <v>0</v>
      </c>
      <c r="L147">
        <f>IF((Metrics!$H$1-180+146)&lt;1,"",30)</f>
        <v>0</v>
      </c>
      <c r="M147">
        <f>IF((Metrics!$H$1-180+146)&lt;1,"",INDEX(Calc_Daily!$Q$2:$Q$2001,(Metrics!$H$1-180+146)))</f>
        <v>0</v>
      </c>
      <c r="N147">
        <f>IF((Metrics!$H$1-180+146)&lt;1,"",INDEX(Calc_Daily!$R$2:$R$2001,(Metrics!$H$1-180+146)))</f>
        <v>0</v>
      </c>
      <c r="O147">
        <f>IF((Metrics!$H$1-180+146)&lt;1,"",INDEX(Calc_Daily!$S$2:$S$2001,(Metrics!$H$1-180+146)))</f>
        <v>0</v>
      </c>
      <c r="P147">
        <f>IF((Metrics!$H$1-180+146)&lt;1,"",INDEX(Calc_Daily!$AM$2:$AM$2001,(Metrics!$H$1-180+146)))</f>
        <v>0</v>
      </c>
      <c r="Q147">
        <f>IF((Metrics!$H$1-180+146)&lt;1,"",INDEX(Calc_Daily!$AK$2:$AK$2001,(Metrics!$H$1-180+146)))</f>
        <v>0</v>
      </c>
      <c r="R147">
        <f>IF((Metrics!$H$1-180+146)&lt;1,"",INDEX(Calc_Daily!$AN$2:$AN$2001,(Metrics!$H$1-180+146)))</f>
        <v>0</v>
      </c>
      <c r="S147">
        <f>IF((Metrics!$H$1-180+146)&lt;1,"",INDEX(Calc_Daily!$AD$2:$AD$2001,(Metrics!$H$1-180+146)))</f>
        <v>0</v>
      </c>
      <c r="T147">
        <f>IF((Metrics!$H$1-180+146)&lt;1,"",INDEX(Calc_Daily!$AT$2:$AT$2001,(Metrics!$H$1-180+146)))</f>
        <v>0</v>
      </c>
      <c r="U147">
        <f>IF((Metrics!$H$1-180+146)&lt;1,"",INDEX(Calc_Daily!$AQ$2:$AQ$2001,(Metrics!$H$1-180+146)))</f>
        <v>0</v>
      </c>
      <c r="V147">
        <f>IF((Metrics!$H$1-180+146)&lt;1,"",INDEX(Calc_Daily!$AR$2:$AR$2001,(Metrics!$H$1-180+146)))</f>
        <v>0</v>
      </c>
    </row>
    <row r="148" spans="1:22">
      <c r="A148" s="27">
        <f>IF((Metrics!$H$1-180+147)&lt;1,"",INDEX(Calc_Daily!$A$2:$A$2001,(Metrics!$H$1-180+147)))</f>
        <v>0</v>
      </c>
      <c r="B148">
        <f>IF((Metrics!$H$1-180+147)&lt;1,"",INDEX(Calc_Daily!$B$2:$B$2001,(Metrics!$H$1-180+147)))</f>
        <v>0</v>
      </c>
      <c r="C148">
        <f>IF((Metrics!$H$1-180+147)&lt;1,"",INDEX(Calc_Daily!$C$2:$C$2001,(Metrics!$H$1-180+147)))</f>
        <v>0</v>
      </c>
      <c r="D148">
        <f>IF((Metrics!$H$1-180+147)&lt;1,"",INDEX(Calc_Daily!$D$2:$D$2001,(Metrics!$H$1-180+147)))</f>
        <v>0</v>
      </c>
      <c r="E148">
        <f>IF((Metrics!$H$1-180+147)&lt;1,"",INDEX(Calc_Daily!$E$2:$E$2001,(Metrics!$H$1-180+147)))</f>
        <v>0</v>
      </c>
      <c r="F148">
        <f>IF((Metrics!$H$1-180+147)&lt;1,"",INDEX(Calc_Daily!$H$2:$H$2001,(Metrics!$H$1-180+147)))</f>
        <v>0</v>
      </c>
      <c r="G148">
        <f>IF((Metrics!$H$1-180+147)&lt;1,"",INDEX(Calc_Daily!$I$2:$I$2001,(Metrics!$H$1-180+147)))</f>
        <v>0</v>
      </c>
      <c r="H148">
        <f>IF((Metrics!$H$1-180+147)&lt;1,"",INDEX(Calc_Daily!$J$2:$J$2001,(Metrics!$H$1-180+147)))</f>
        <v>0</v>
      </c>
      <c r="I148">
        <f>IF((Metrics!$H$1-180+147)&lt;1,"",INDEX(Calc_Daily!$K$2:$K$2001,(Metrics!$H$1-180+147)))</f>
        <v>0</v>
      </c>
      <c r="J148">
        <f>IF((Metrics!$H$1-180+147)&lt;1,"",INDEX(Calc_Daily!$N$2:$N$2001,(Metrics!$H$1-180+147)))</f>
        <v>0</v>
      </c>
      <c r="K148">
        <f>IF((Metrics!$H$1-180+147)&lt;1,"",70)</f>
        <v>0</v>
      </c>
      <c r="L148">
        <f>IF((Metrics!$H$1-180+147)&lt;1,"",30)</f>
        <v>0</v>
      </c>
      <c r="M148">
        <f>IF((Metrics!$H$1-180+147)&lt;1,"",INDEX(Calc_Daily!$Q$2:$Q$2001,(Metrics!$H$1-180+147)))</f>
        <v>0</v>
      </c>
      <c r="N148">
        <f>IF((Metrics!$H$1-180+147)&lt;1,"",INDEX(Calc_Daily!$R$2:$R$2001,(Metrics!$H$1-180+147)))</f>
        <v>0</v>
      </c>
      <c r="O148">
        <f>IF((Metrics!$H$1-180+147)&lt;1,"",INDEX(Calc_Daily!$S$2:$S$2001,(Metrics!$H$1-180+147)))</f>
        <v>0</v>
      </c>
      <c r="P148">
        <f>IF((Metrics!$H$1-180+147)&lt;1,"",INDEX(Calc_Daily!$AM$2:$AM$2001,(Metrics!$H$1-180+147)))</f>
        <v>0</v>
      </c>
      <c r="Q148">
        <f>IF((Metrics!$H$1-180+147)&lt;1,"",INDEX(Calc_Daily!$AK$2:$AK$2001,(Metrics!$H$1-180+147)))</f>
        <v>0</v>
      </c>
      <c r="R148">
        <f>IF((Metrics!$H$1-180+147)&lt;1,"",INDEX(Calc_Daily!$AN$2:$AN$2001,(Metrics!$H$1-180+147)))</f>
        <v>0</v>
      </c>
      <c r="S148">
        <f>IF((Metrics!$H$1-180+147)&lt;1,"",INDEX(Calc_Daily!$AD$2:$AD$2001,(Metrics!$H$1-180+147)))</f>
        <v>0</v>
      </c>
      <c r="T148">
        <f>IF((Metrics!$H$1-180+147)&lt;1,"",INDEX(Calc_Daily!$AT$2:$AT$2001,(Metrics!$H$1-180+147)))</f>
        <v>0</v>
      </c>
      <c r="U148">
        <f>IF((Metrics!$H$1-180+147)&lt;1,"",INDEX(Calc_Daily!$AQ$2:$AQ$2001,(Metrics!$H$1-180+147)))</f>
        <v>0</v>
      </c>
      <c r="V148">
        <f>IF((Metrics!$H$1-180+147)&lt;1,"",INDEX(Calc_Daily!$AR$2:$AR$2001,(Metrics!$H$1-180+147)))</f>
        <v>0</v>
      </c>
    </row>
    <row r="149" spans="1:22">
      <c r="A149" s="27">
        <f>IF((Metrics!$H$1-180+148)&lt;1,"",INDEX(Calc_Daily!$A$2:$A$2001,(Metrics!$H$1-180+148)))</f>
        <v>0</v>
      </c>
      <c r="B149">
        <f>IF((Metrics!$H$1-180+148)&lt;1,"",INDEX(Calc_Daily!$B$2:$B$2001,(Metrics!$H$1-180+148)))</f>
        <v>0</v>
      </c>
      <c r="C149">
        <f>IF((Metrics!$H$1-180+148)&lt;1,"",INDEX(Calc_Daily!$C$2:$C$2001,(Metrics!$H$1-180+148)))</f>
        <v>0</v>
      </c>
      <c r="D149">
        <f>IF((Metrics!$H$1-180+148)&lt;1,"",INDEX(Calc_Daily!$D$2:$D$2001,(Metrics!$H$1-180+148)))</f>
        <v>0</v>
      </c>
      <c r="E149">
        <f>IF((Metrics!$H$1-180+148)&lt;1,"",INDEX(Calc_Daily!$E$2:$E$2001,(Metrics!$H$1-180+148)))</f>
        <v>0</v>
      </c>
      <c r="F149">
        <f>IF((Metrics!$H$1-180+148)&lt;1,"",INDEX(Calc_Daily!$H$2:$H$2001,(Metrics!$H$1-180+148)))</f>
        <v>0</v>
      </c>
      <c r="G149">
        <f>IF((Metrics!$H$1-180+148)&lt;1,"",INDEX(Calc_Daily!$I$2:$I$2001,(Metrics!$H$1-180+148)))</f>
        <v>0</v>
      </c>
      <c r="H149">
        <f>IF((Metrics!$H$1-180+148)&lt;1,"",INDEX(Calc_Daily!$J$2:$J$2001,(Metrics!$H$1-180+148)))</f>
        <v>0</v>
      </c>
      <c r="I149">
        <f>IF((Metrics!$H$1-180+148)&lt;1,"",INDEX(Calc_Daily!$K$2:$K$2001,(Metrics!$H$1-180+148)))</f>
        <v>0</v>
      </c>
      <c r="J149">
        <f>IF((Metrics!$H$1-180+148)&lt;1,"",INDEX(Calc_Daily!$N$2:$N$2001,(Metrics!$H$1-180+148)))</f>
        <v>0</v>
      </c>
      <c r="K149">
        <f>IF((Metrics!$H$1-180+148)&lt;1,"",70)</f>
        <v>0</v>
      </c>
      <c r="L149">
        <f>IF((Metrics!$H$1-180+148)&lt;1,"",30)</f>
        <v>0</v>
      </c>
      <c r="M149">
        <f>IF((Metrics!$H$1-180+148)&lt;1,"",INDEX(Calc_Daily!$Q$2:$Q$2001,(Metrics!$H$1-180+148)))</f>
        <v>0</v>
      </c>
      <c r="N149">
        <f>IF((Metrics!$H$1-180+148)&lt;1,"",INDEX(Calc_Daily!$R$2:$R$2001,(Metrics!$H$1-180+148)))</f>
        <v>0</v>
      </c>
      <c r="O149">
        <f>IF((Metrics!$H$1-180+148)&lt;1,"",INDEX(Calc_Daily!$S$2:$S$2001,(Metrics!$H$1-180+148)))</f>
        <v>0</v>
      </c>
      <c r="P149">
        <f>IF((Metrics!$H$1-180+148)&lt;1,"",INDEX(Calc_Daily!$AM$2:$AM$2001,(Metrics!$H$1-180+148)))</f>
        <v>0</v>
      </c>
      <c r="Q149">
        <f>IF((Metrics!$H$1-180+148)&lt;1,"",INDEX(Calc_Daily!$AK$2:$AK$2001,(Metrics!$H$1-180+148)))</f>
        <v>0</v>
      </c>
      <c r="R149">
        <f>IF((Metrics!$H$1-180+148)&lt;1,"",INDEX(Calc_Daily!$AN$2:$AN$2001,(Metrics!$H$1-180+148)))</f>
        <v>0</v>
      </c>
      <c r="S149">
        <f>IF((Metrics!$H$1-180+148)&lt;1,"",INDEX(Calc_Daily!$AD$2:$AD$2001,(Metrics!$H$1-180+148)))</f>
        <v>0</v>
      </c>
      <c r="T149">
        <f>IF((Metrics!$H$1-180+148)&lt;1,"",INDEX(Calc_Daily!$AT$2:$AT$2001,(Metrics!$H$1-180+148)))</f>
        <v>0</v>
      </c>
      <c r="U149">
        <f>IF((Metrics!$H$1-180+148)&lt;1,"",INDEX(Calc_Daily!$AQ$2:$AQ$2001,(Metrics!$H$1-180+148)))</f>
        <v>0</v>
      </c>
      <c r="V149">
        <f>IF((Metrics!$H$1-180+148)&lt;1,"",INDEX(Calc_Daily!$AR$2:$AR$2001,(Metrics!$H$1-180+148)))</f>
        <v>0</v>
      </c>
    </row>
    <row r="150" spans="1:22">
      <c r="A150" s="27">
        <f>IF((Metrics!$H$1-180+149)&lt;1,"",INDEX(Calc_Daily!$A$2:$A$2001,(Metrics!$H$1-180+149)))</f>
        <v>0</v>
      </c>
      <c r="B150">
        <f>IF((Metrics!$H$1-180+149)&lt;1,"",INDEX(Calc_Daily!$B$2:$B$2001,(Metrics!$H$1-180+149)))</f>
        <v>0</v>
      </c>
      <c r="C150">
        <f>IF((Metrics!$H$1-180+149)&lt;1,"",INDEX(Calc_Daily!$C$2:$C$2001,(Metrics!$H$1-180+149)))</f>
        <v>0</v>
      </c>
      <c r="D150">
        <f>IF((Metrics!$H$1-180+149)&lt;1,"",INDEX(Calc_Daily!$D$2:$D$2001,(Metrics!$H$1-180+149)))</f>
        <v>0</v>
      </c>
      <c r="E150">
        <f>IF((Metrics!$H$1-180+149)&lt;1,"",INDEX(Calc_Daily!$E$2:$E$2001,(Metrics!$H$1-180+149)))</f>
        <v>0</v>
      </c>
      <c r="F150">
        <f>IF((Metrics!$H$1-180+149)&lt;1,"",INDEX(Calc_Daily!$H$2:$H$2001,(Metrics!$H$1-180+149)))</f>
        <v>0</v>
      </c>
      <c r="G150">
        <f>IF((Metrics!$H$1-180+149)&lt;1,"",INDEX(Calc_Daily!$I$2:$I$2001,(Metrics!$H$1-180+149)))</f>
        <v>0</v>
      </c>
      <c r="H150">
        <f>IF((Metrics!$H$1-180+149)&lt;1,"",INDEX(Calc_Daily!$J$2:$J$2001,(Metrics!$H$1-180+149)))</f>
        <v>0</v>
      </c>
      <c r="I150">
        <f>IF((Metrics!$H$1-180+149)&lt;1,"",INDEX(Calc_Daily!$K$2:$K$2001,(Metrics!$H$1-180+149)))</f>
        <v>0</v>
      </c>
      <c r="J150">
        <f>IF((Metrics!$H$1-180+149)&lt;1,"",INDEX(Calc_Daily!$N$2:$N$2001,(Metrics!$H$1-180+149)))</f>
        <v>0</v>
      </c>
      <c r="K150">
        <f>IF((Metrics!$H$1-180+149)&lt;1,"",70)</f>
        <v>0</v>
      </c>
      <c r="L150">
        <f>IF((Metrics!$H$1-180+149)&lt;1,"",30)</f>
        <v>0</v>
      </c>
      <c r="M150">
        <f>IF((Metrics!$H$1-180+149)&lt;1,"",INDEX(Calc_Daily!$Q$2:$Q$2001,(Metrics!$H$1-180+149)))</f>
        <v>0</v>
      </c>
      <c r="N150">
        <f>IF((Metrics!$H$1-180+149)&lt;1,"",INDEX(Calc_Daily!$R$2:$R$2001,(Metrics!$H$1-180+149)))</f>
        <v>0</v>
      </c>
      <c r="O150">
        <f>IF((Metrics!$H$1-180+149)&lt;1,"",INDEX(Calc_Daily!$S$2:$S$2001,(Metrics!$H$1-180+149)))</f>
        <v>0</v>
      </c>
      <c r="P150">
        <f>IF((Metrics!$H$1-180+149)&lt;1,"",INDEX(Calc_Daily!$AM$2:$AM$2001,(Metrics!$H$1-180+149)))</f>
        <v>0</v>
      </c>
      <c r="Q150">
        <f>IF((Metrics!$H$1-180+149)&lt;1,"",INDEX(Calc_Daily!$AK$2:$AK$2001,(Metrics!$H$1-180+149)))</f>
        <v>0</v>
      </c>
      <c r="R150">
        <f>IF((Metrics!$H$1-180+149)&lt;1,"",INDEX(Calc_Daily!$AN$2:$AN$2001,(Metrics!$H$1-180+149)))</f>
        <v>0</v>
      </c>
      <c r="S150">
        <f>IF((Metrics!$H$1-180+149)&lt;1,"",INDEX(Calc_Daily!$AD$2:$AD$2001,(Metrics!$H$1-180+149)))</f>
        <v>0</v>
      </c>
      <c r="T150">
        <f>IF((Metrics!$H$1-180+149)&lt;1,"",INDEX(Calc_Daily!$AT$2:$AT$2001,(Metrics!$H$1-180+149)))</f>
        <v>0</v>
      </c>
      <c r="U150">
        <f>IF((Metrics!$H$1-180+149)&lt;1,"",INDEX(Calc_Daily!$AQ$2:$AQ$2001,(Metrics!$H$1-180+149)))</f>
        <v>0</v>
      </c>
      <c r="V150">
        <f>IF((Metrics!$H$1-180+149)&lt;1,"",INDEX(Calc_Daily!$AR$2:$AR$2001,(Metrics!$H$1-180+149)))</f>
        <v>0</v>
      </c>
    </row>
    <row r="151" spans="1:22">
      <c r="A151" s="27">
        <f>IF((Metrics!$H$1-180+150)&lt;1,"",INDEX(Calc_Daily!$A$2:$A$2001,(Metrics!$H$1-180+150)))</f>
        <v>0</v>
      </c>
      <c r="B151">
        <f>IF((Metrics!$H$1-180+150)&lt;1,"",INDEX(Calc_Daily!$B$2:$B$2001,(Metrics!$H$1-180+150)))</f>
        <v>0</v>
      </c>
      <c r="C151">
        <f>IF((Metrics!$H$1-180+150)&lt;1,"",INDEX(Calc_Daily!$C$2:$C$2001,(Metrics!$H$1-180+150)))</f>
        <v>0</v>
      </c>
      <c r="D151">
        <f>IF((Metrics!$H$1-180+150)&lt;1,"",INDEX(Calc_Daily!$D$2:$D$2001,(Metrics!$H$1-180+150)))</f>
        <v>0</v>
      </c>
      <c r="E151">
        <f>IF((Metrics!$H$1-180+150)&lt;1,"",INDEX(Calc_Daily!$E$2:$E$2001,(Metrics!$H$1-180+150)))</f>
        <v>0</v>
      </c>
      <c r="F151">
        <f>IF((Metrics!$H$1-180+150)&lt;1,"",INDEX(Calc_Daily!$H$2:$H$2001,(Metrics!$H$1-180+150)))</f>
        <v>0</v>
      </c>
      <c r="G151">
        <f>IF((Metrics!$H$1-180+150)&lt;1,"",INDEX(Calc_Daily!$I$2:$I$2001,(Metrics!$H$1-180+150)))</f>
        <v>0</v>
      </c>
      <c r="H151">
        <f>IF((Metrics!$H$1-180+150)&lt;1,"",INDEX(Calc_Daily!$J$2:$J$2001,(Metrics!$H$1-180+150)))</f>
        <v>0</v>
      </c>
      <c r="I151">
        <f>IF((Metrics!$H$1-180+150)&lt;1,"",INDEX(Calc_Daily!$K$2:$K$2001,(Metrics!$H$1-180+150)))</f>
        <v>0</v>
      </c>
      <c r="J151">
        <f>IF((Metrics!$H$1-180+150)&lt;1,"",INDEX(Calc_Daily!$N$2:$N$2001,(Metrics!$H$1-180+150)))</f>
        <v>0</v>
      </c>
      <c r="K151">
        <f>IF((Metrics!$H$1-180+150)&lt;1,"",70)</f>
        <v>0</v>
      </c>
      <c r="L151">
        <f>IF((Metrics!$H$1-180+150)&lt;1,"",30)</f>
        <v>0</v>
      </c>
      <c r="M151">
        <f>IF((Metrics!$H$1-180+150)&lt;1,"",INDEX(Calc_Daily!$Q$2:$Q$2001,(Metrics!$H$1-180+150)))</f>
        <v>0</v>
      </c>
      <c r="N151">
        <f>IF((Metrics!$H$1-180+150)&lt;1,"",INDEX(Calc_Daily!$R$2:$R$2001,(Metrics!$H$1-180+150)))</f>
        <v>0</v>
      </c>
      <c r="O151">
        <f>IF((Metrics!$H$1-180+150)&lt;1,"",INDEX(Calc_Daily!$S$2:$S$2001,(Metrics!$H$1-180+150)))</f>
        <v>0</v>
      </c>
      <c r="P151">
        <f>IF((Metrics!$H$1-180+150)&lt;1,"",INDEX(Calc_Daily!$AM$2:$AM$2001,(Metrics!$H$1-180+150)))</f>
        <v>0</v>
      </c>
      <c r="Q151">
        <f>IF((Metrics!$H$1-180+150)&lt;1,"",INDEX(Calc_Daily!$AK$2:$AK$2001,(Metrics!$H$1-180+150)))</f>
        <v>0</v>
      </c>
      <c r="R151">
        <f>IF((Metrics!$H$1-180+150)&lt;1,"",INDEX(Calc_Daily!$AN$2:$AN$2001,(Metrics!$H$1-180+150)))</f>
        <v>0</v>
      </c>
      <c r="S151">
        <f>IF((Metrics!$H$1-180+150)&lt;1,"",INDEX(Calc_Daily!$AD$2:$AD$2001,(Metrics!$H$1-180+150)))</f>
        <v>0</v>
      </c>
      <c r="T151">
        <f>IF((Metrics!$H$1-180+150)&lt;1,"",INDEX(Calc_Daily!$AT$2:$AT$2001,(Metrics!$H$1-180+150)))</f>
        <v>0</v>
      </c>
      <c r="U151">
        <f>IF((Metrics!$H$1-180+150)&lt;1,"",INDEX(Calc_Daily!$AQ$2:$AQ$2001,(Metrics!$H$1-180+150)))</f>
        <v>0</v>
      </c>
      <c r="V151">
        <f>IF((Metrics!$H$1-180+150)&lt;1,"",INDEX(Calc_Daily!$AR$2:$AR$2001,(Metrics!$H$1-180+150)))</f>
        <v>0</v>
      </c>
    </row>
    <row r="152" spans="1:22">
      <c r="A152" s="27">
        <f>IF((Metrics!$H$1-180+151)&lt;1,"",INDEX(Calc_Daily!$A$2:$A$2001,(Metrics!$H$1-180+151)))</f>
        <v>0</v>
      </c>
      <c r="B152">
        <f>IF((Metrics!$H$1-180+151)&lt;1,"",INDEX(Calc_Daily!$B$2:$B$2001,(Metrics!$H$1-180+151)))</f>
        <v>0</v>
      </c>
      <c r="C152">
        <f>IF((Metrics!$H$1-180+151)&lt;1,"",INDEX(Calc_Daily!$C$2:$C$2001,(Metrics!$H$1-180+151)))</f>
        <v>0</v>
      </c>
      <c r="D152">
        <f>IF((Metrics!$H$1-180+151)&lt;1,"",INDEX(Calc_Daily!$D$2:$D$2001,(Metrics!$H$1-180+151)))</f>
        <v>0</v>
      </c>
      <c r="E152">
        <f>IF((Metrics!$H$1-180+151)&lt;1,"",INDEX(Calc_Daily!$E$2:$E$2001,(Metrics!$H$1-180+151)))</f>
        <v>0</v>
      </c>
      <c r="F152">
        <f>IF((Metrics!$H$1-180+151)&lt;1,"",INDEX(Calc_Daily!$H$2:$H$2001,(Metrics!$H$1-180+151)))</f>
        <v>0</v>
      </c>
      <c r="G152">
        <f>IF((Metrics!$H$1-180+151)&lt;1,"",INDEX(Calc_Daily!$I$2:$I$2001,(Metrics!$H$1-180+151)))</f>
        <v>0</v>
      </c>
      <c r="H152">
        <f>IF((Metrics!$H$1-180+151)&lt;1,"",INDEX(Calc_Daily!$J$2:$J$2001,(Metrics!$H$1-180+151)))</f>
        <v>0</v>
      </c>
      <c r="I152">
        <f>IF((Metrics!$H$1-180+151)&lt;1,"",INDEX(Calc_Daily!$K$2:$K$2001,(Metrics!$H$1-180+151)))</f>
        <v>0</v>
      </c>
      <c r="J152">
        <f>IF((Metrics!$H$1-180+151)&lt;1,"",INDEX(Calc_Daily!$N$2:$N$2001,(Metrics!$H$1-180+151)))</f>
        <v>0</v>
      </c>
      <c r="K152">
        <f>IF((Metrics!$H$1-180+151)&lt;1,"",70)</f>
        <v>0</v>
      </c>
      <c r="L152">
        <f>IF((Metrics!$H$1-180+151)&lt;1,"",30)</f>
        <v>0</v>
      </c>
      <c r="M152">
        <f>IF((Metrics!$H$1-180+151)&lt;1,"",INDEX(Calc_Daily!$Q$2:$Q$2001,(Metrics!$H$1-180+151)))</f>
        <v>0</v>
      </c>
      <c r="N152">
        <f>IF((Metrics!$H$1-180+151)&lt;1,"",INDEX(Calc_Daily!$R$2:$R$2001,(Metrics!$H$1-180+151)))</f>
        <v>0</v>
      </c>
      <c r="O152">
        <f>IF((Metrics!$H$1-180+151)&lt;1,"",INDEX(Calc_Daily!$S$2:$S$2001,(Metrics!$H$1-180+151)))</f>
        <v>0</v>
      </c>
      <c r="P152">
        <f>IF((Metrics!$H$1-180+151)&lt;1,"",INDEX(Calc_Daily!$AM$2:$AM$2001,(Metrics!$H$1-180+151)))</f>
        <v>0</v>
      </c>
      <c r="Q152">
        <f>IF((Metrics!$H$1-180+151)&lt;1,"",INDEX(Calc_Daily!$AK$2:$AK$2001,(Metrics!$H$1-180+151)))</f>
        <v>0</v>
      </c>
      <c r="R152">
        <f>IF((Metrics!$H$1-180+151)&lt;1,"",INDEX(Calc_Daily!$AN$2:$AN$2001,(Metrics!$H$1-180+151)))</f>
        <v>0</v>
      </c>
      <c r="S152">
        <f>IF((Metrics!$H$1-180+151)&lt;1,"",INDEX(Calc_Daily!$AD$2:$AD$2001,(Metrics!$H$1-180+151)))</f>
        <v>0</v>
      </c>
      <c r="T152">
        <f>IF((Metrics!$H$1-180+151)&lt;1,"",INDEX(Calc_Daily!$AT$2:$AT$2001,(Metrics!$H$1-180+151)))</f>
        <v>0</v>
      </c>
      <c r="U152">
        <f>IF((Metrics!$H$1-180+151)&lt;1,"",INDEX(Calc_Daily!$AQ$2:$AQ$2001,(Metrics!$H$1-180+151)))</f>
        <v>0</v>
      </c>
      <c r="V152">
        <f>IF((Metrics!$H$1-180+151)&lt;1,"",INDEX(Calc_Daily!$AR$2:$AR$2001,(Metrics!$H$1-180+151)))</f>
        <v>0</v>
      </c>
    </row>
    <row r="153" spans="1:22">
      <c r="A153" s="27">
        <f>IF((Metrics!$H$1-180+152)&lt;1,"",INDEX(Calc_Daily!$A$2:$A$2001,(Metrics!$H$1-180+152)))</f>
        <v>0</v>
      </c>
      <c r="B153">
        <f>IF((Metrics!$H$1-180+152)&lt;1,"",INDEX(Calc_Daily!$B$2:$B$2001,(Metrics!$H$1-180+152)))</f>
        <v>0</v>
      </c>
      <c r="C153">
        <f>IF((Metrics!$H$1-180+152)&lt;1,"",INDEX(Calc_Daily!$C$2:$C$2001,(Metrics!$H$1-180+152)))</f>
        <v>0</v>
      </c>
      <c r="D153">
        <f>IF((Metrics!$H$1-180+152)&lt;1,"",INDEX(Calc_Daily!$D$2:$D$2001,(Metrics!$H$1-180+152)))</f>
        <v>0</v>
      </c>
      <c r="E153">
        <f>IF((Metrics!$H$1-180+152)&lt;1,"",INDEX(Calc_Daily!$E$2:$E$2001,(Metrics!$H$1-180+152)))</f>
        <v>0</v>
      </c>
      <c r="F153">
        <f>IF((Metrics!$H$1-180+152)&lt;1,"",INDEX(Calc_Daily!$H$2:$H$2001,(Metrics!$H$1-180+152)))</f>
        <v>0</v>
      </c>
      <c r="G153">
        <f>IF((Metrics!$H$1-180+152)&lt;1,"",INDEX(Calc_Daily!$I$2:$I$2001,(Metrics!$H$1-180+152)))</f>
        <v>0</v>
      </c>
      <c r="H153">
        <f>IF((Metrics!$H$1-180+152)&lt;1,"",INDEX(Calc_Daily!$J$2:$J$2001,(Metrics!$H$1-180+152)))</f>
        <v>0</v>
      </c>
      <c r="I153">
        <f>IF((Metrics!$H$1-180+152)&lt;1,"",INDEX(Calc_Daily!$K$2:$K$2001,(Metrics!$H$1-180+152)))</f>
        <v>0</v>
      </c>
      <c r="J153">
        <f>IF((Metrics!$H$1-180+152)&lt;1,"",INDEX(Calc_Daily!$N$2:$N$2001,(Metrics!$H$1-180+152)))</f>
        <v>0</v>
      </c>
      <c r="K153">
        <f>IF((Metrics!$H$1-180+152)&lt;1,"",70)</f>
        <v>0</v>
      </c>
      <c r="L153">
        <f>IF((Metrics!$H$1-180+152)&lt;1,"",30)</f>
        <v>0</v>
      </c>
      <c r="M153">
        <f>IF((Metrics!$H$1-180+152)&lt;1,"",INDEX(Calc_Daily!$Q$2:$Q$2001,(Metrics!$H$1-180+152)))</f>
        <v>0</v>
      </c>
      <c r="N153">
        <f>IF((Metrics!$H$1-180+152)&lt;1,"",INDEX(Calc_Daily!$R$2:$R$2001,(Metrics!$H$1-180+152)))</f>
        <v>0</v>
      </c>
      <c r="O153">
        <f>IF((Metrics!$H$1-180+152)&lt;1,"",INDEX(Calc_Daily!$S$2:$S$2001,(Metrics!$H$1-180+152)))</f>
        <v>0</v>
      </c>
      <c r="P153">
        <f>IF((Metrics!$H$1-180+152)&lt;1,"",INDEX(Calc_Daily!$AM$2:$AM$2001,(Metrics!$H$1-180+152)))</f>
        <v>0</v>
      </c>
      <c r="Q153">
        <f>IF((Metrics!$H$1-180+152)&lt;1,"",INDEX(Calc_Daily!$AK$2:$AK$2001,(Metrics!$H$1-180+152)))</f>
        <v>0</v>
      </c>
      <c r="R153">
        <f>IF((Metrics!$H$1-180+152)&lt;1,"",INDEX(Calc_Daily!$AN$2:$AN$2001,(Metrics!$H$1-180+152)))</f>
        <v>0</v>
      </c>
      <c r="S153">
        <f>IF((Metrics!$H$1-180+152)&lt;1,"",INDEX(Calc_Daily!$AD$2:$AD$2001,(Metrics!$H$1-180+152)))</f>
        <v>0</v>
      </c>
      <c r="T153">
        <f>IF((Metrics!$H$1-180+152)&lt;1,"",INDEX(Calc_Daily!$AT$2:$AT$2001,(Metrics!$H$1-180+152)))</f>
        <v>0</v>
      </c>
      <c r="U153">
        <f>IF((Metrics!$H$1-180+152)&lt;1,"",INDEX(Calc_Daily!$AQ$2:$AQ$2001,(Metrics!$H$1-180+152)))</f>
        <v>0</v>
      </c>
      <c r="V153">
        <f>IF((Metrics!$H$1-180+152)&lt;1,"",INDEX(Calc_Daily!$AR$2:$AR$2001,(Metrics!$H$1-180+152)))</f>
        <v>0</v>
      </c>
    </row>
    <row r="154" spans="1:22">
      <c r="A154" s="27">
        <f>IF((Metrics!$H$1-180+153)&lt;1,"",INDEX(Calc_Daily!$A$2:$A$2001,(Metrics!$H$1-180+153)))</f>
        <v>0</v>
      </c>
      <c r="B154">
        <f>IF((Metrics!$H$1-180+153)&lt;1,"",INDEX(Calc_Daily!$B$2:$B$2001,(Metrics!$H$1-180+153)))</f>
        <v>0</v>
      </c>
      <c r="C154">
        <f>IF((Metrics!$H$1-180+153)&lt;1,"",INDEX(Calc_Daily!$C$2:$C$2001,(Metrics!$H$1-180+153)))</f>
        <v>0</v>
      </c>
      <c r="D154">
        <f>IF((Metrics!$H$1-180+153)&lt;1,"",INDEX(Calc_Daily!$D$2:$D$2001,(Metrics!$H$1-180+153)))</f>
        <v>0</v>
      </c>
      <c r="E154">
        <f>IF((Metrics!$H$1-180+153)&lt;1,"",INDEX(Calc_Daily!$E$2:$E$2001,(Metrics!$H$1-180+153)))</f>
        <v>0</v>
      </c>
      <c r="F154">
        <f>IF((Metrics!$H$1-180+153)&lt;1,"",INDEX(Calc_Daily!$H$2:$H$2001,(Metrics!$H$1-180+153)))</f>
        <v>0</v>
      </c>
      <c r="G154">
        <f>IF((Metrics!$H$1-180+153)&lt;1,"",INDEX(Calc_Daily!$I$2:$I$2001,(Metrics!$H$1-180+153)))</f>
        <v>0</v>
      </c>
      <c r="H154">
        <f>IF((Metrics!$H$1-180+153)&lt;1,"",INDEX(Calc_Daily!$J$2:$J$2001,(Metrics!$H$1-180+153)))</f>
        <v>0</v>
      </c>
      <c r="I154">
        <f>IF((Metrics!$H$1-180+153)&lt;1,"",INDEX(Calc_Daily!$K$2:$K$2001,(Metrics!$H$1-180+153)))</f>
        <v>0</v>
      </c>
      <c r="J154">
        <f>IF((Metrics!$H$1-180+153)&lt;1,"",INDEX(Calc_Daily!$N$2:$N$2001,(Metrics!$H$1-180+153)))</f>
        <v>0</v>
      </c>
      <c r="K154">
        <f>IF((Metrics!$H$1-180+153)&lt;1,"",70)</f>
        <v>0</v>
      </c>
      <c r="L154">
        <f>IF((Metrics!$H$1-180+153)&lt;1,"",30)</f>
        <v>0</v>
      </c>
      <c r="M154">
        <f>IF((Metrics!$H$1-180+153)&lt;1,"",INDEX(Calc_Daily!$Q$2:$Q$2001,(Metrics!$H$1-180+153)))</f>
        <v>0</v>
      </c>
      <c r="N154">
        <f>IF((Metrics!$H$1-180+153)&lt;1,"",INDEX(Calc_Daily!$R$2:$R$2001,(Metrics!$H$1-180+153)))</f>
        <v>0</v>
      </c>
      <c r="O154">
        <f>IF((Metrics!$H$1-180+153)&lt;1,"",INDEX(Calc_Daily!$S$2:$S$2001,(Metrics!$H$1-180+153)))</f>
        <v>0</v>
      </c>
      <c r="P154">
        <f>IF((Metrics!$H$1-180+153)&lt;1,"",INDEX(Calc_Daily!$AM$2:$AM$2001,(Metrics!$H$1-180+153)))</f>
        <v>0</v>
      </c>
      <c r="Q154">
        <f>IF((Metrics!$H$1-180+153)&lt;1,"",INDEX(Calc_Daily!$AK$2:$AK$2001,(Metrics!$H$1-180+153)))</f>
        <v>0</v>
      </c>
      <c r="R154">
        <f>IF((Metrics!$H$1-180+153)&lt;1,"",INDEX(Calc_Daily!$AN$2:$AN$2001,(Metrics!$H$1-180+153)))</f>
        <v>0</v>
      </c>
      <c r="S154">
        <f>IF((Metrics!$H$1-180+153)&lt;1,"",INDEX(Calc_Daily!$AD$2:$AD$2001,(Metrics!$H$1-180+153)))</f>
        <v>0</v>
      </c>
      <c r="T154">
        <f>IF((Metrics!$H$1-180+153)&lt;1,"",INDEX(Calc_Daily!$AT$2:$AT$2001,(Metrics!$H$1-180+153)))</f>
        <v>0</v>
      </c>
      <c r="U154">
        <f>IF((Metrics!$H$1-180+153)&lt;1,"",INDEX(Calc_Daily!$AQ$2:$AQ$2001,(Metrics!$H$1-180+153)))</f>
        <v>0</v>
      </c>
      <c r="V154">
        <f>IF((Metrics!$H$1-180+153)&lt;1,"",INDEX(Calc_Daily!$AR$2:$AR$2001,(Metrics!$H$1-180+153)))</f>
        <v>0</v>
      </c>
    </row>
    <row r="155" spans="1:22">
      <c r="A155" s="27">
        <f>IF((Metrics!$H$1-180+154)&lt;1,"",INDEX(Calc_Daily!$A$2:$A$2001,(Metrics!$H$1-180+154)))</f>
        <v>0</v>
      </c>
      <c r="B155">
        <f>IF((Metrics!$H$1-180+154)&lt;1,"",INDEX(Calc_Daily!$B$2:$B$2001,(Metrics!$H$1-180+154)))</f>
        <v>0</v>
      </c>
      <c r="C155">
        <f>IF((Metrics!$H$1-180+154)&lt;1,"",INDEX(Calc_Daily!$C$2:$C$2001,(Metrics!$H$1-180+154)))</f>
        <v>0</v>
      </c>
      <c r="D155">
        <f>IF((Metrics!$H$1-180+154)&lt;1,"",INDEX(Calc_Daily!$D$2:$D$2001,(Metrics!$H$1-180+154)))</f>
        <v>0</v>
      </c>
      <c r="E155">
        <f>IF((Metrics!$H$1-180+154)&lt;1,"",INDEX(Calc_Daily!$E$2:$E$2001,(Metrics!$H$1-180+154)))</f>
        <v>0</v>
      </c>
      <c r="F155">
        <f>IF((Metrics!$H$1-180+154)&lt;1,"",INDEX(Calc_Daily!$H$2:$H$2001,(Metrics!$H$1-180+154)))</f>
        <v>0</v>
      </c>
      <c r="G155">
        <f>IF((Metrics!$H$1-180+154)&lt;1,"",INDEX(Calc_Daily!$I$2:$I$2001,(Metrics!$H$1-180+154)))</f>
        <v>0</v>
      </c>
      <c r="H155">
        <f>IF((Metrics!$H$1-180+154)&lt;1,"",INDEX(Calc_Daily!$J$2:$J$2001,(Metrics!$H$1-180+154)))</f>
        <v>0</v>
      </c>
      <c r="I155">
        <f>IF((Metrics!$H$1-180+154)&lt;1,"",INDEX(Calc_Daily!$K$2:$K$2001,(Metrics!$H$1-180+154)))</f>
        <v>0</v>
      </c>
      <c r="J155">
        <f>IF((Metrics!$H$1-180+154)&lt;1,"",INDEX(Calc_Daily!$N$2:$N$2001,(Metrics!$H$1-180+154)))</f>
        <v>0</v>
      </c>
      <c r="K155">
        <f>IF((Metrics!$H$1-180+154)&lt;1,"",70)</f>
        <v>0</v>
      </c>
      <c r="L155">
        <f>IF((Metrics!$H$1-180+154)&lt;1,"",30)</f>
        <v>0</v>
      </c>
      <c r="M155">
        <f>IF((Metrics!$H$1-180+154)&lt;1,"",INDEX(Calc_Daily!$Q$2:$Q$2001,(Metrics!$H$1-180+154)))</f>
        <v>0</v>
      </c>
      <c r="N155">
        <f>IF((Metrics!$H$1-180+154)&lt;1,"",INDEX(Calc_Daily!$R$2:$R$2001,(Metrics!$H$1-180+154)))</f>
        <v>0</v>
      </c>
      <c r="O155">
        <f>IF((Metrics!$H$1-180+154)&lt;1,"",INDEX(Calc_Daily!$S$2:$S$2001,(Metrics!$H$1-180+154)))</f>
        <v>0</v>
      </c>
      <c r="P155">
        <f>IF((Metrics!$H$1-180+154)&lt;1,"",INDEX(Calc_Daily!$AM$2:$AM$2001,(Metrics!$H$1-180+154)))</f>
        <v>0</v>
      </c>
      <c r="Q155">
        <f>IF((Metrics!$H$1-180+154)&lt;1,"",INDEX(Calc_Daily!$AK$2:$AK$2001,(Metrics!$H$1-180+154)))</f>
        <v>0</v>
      </c>
      <c r="R155">
        <f>IF((Metrics!$H$1-180+154)&lt;1,"",INDEX(Calc_Daily!$AN$2:$AN$2001,(Metrics!$H$1-180+154)))</f>
        <v>0</v>
      </c>
      <c r="S155">
        <f>IF((Metrics!$H$1-180+154)&lt;1,"",INDEX(Calc_Daily!$AD$2:$AD$2001,(Metrics!$H$1-180+154)))</f>
        <v>0</v>
      </c>
      <c r="T155">
        <f>IF((Metrics!$H$1-180+154)&lt;1,"",INDEX(Calc_Daily!$AT$2:$AT$2001,(Metrics!$H$1-180+154)))</f>
        <v>0</v>
      </c>
      <c r="U155">
        <f>IF((Metrics!$H$1-180+154)&lt;1,"",INDEX(Calc_Daily!$AQ$2:$AQ$2001,(Metrics!$H$1-180+154)))</f>
        <v>0</v>
      </c>
      <c r="V155">
        <f>IF((Metrics!$H$1-180+154)&lt;1,"",INDEX(Calc_Daily!$AR$2:$AR$2001,(Metrics!$H$1-180+154)))</f>
        <v>0</v>
      </c>
    </row>
    <row r="156" spans="1:22">
      <c r="A156" s="27">
        <f>IF((Metrics!$H$1-180+155)&lt;1,"",INDEX(Calc_Daily!$A$2:$A$2001,(Metrics!$H$1-180+155)))</f>
        <v>0</v>
      </c>
      <c r="B156">
        <f>IF((Metrics!$H$1-180+155)&lt;1,"",INDEX(Calc_Daily!$B$2:$B$2001,(Metrics!$H$1-180+155)))</f>
        <v>0</v>
      </c>
      <c r="C156">
        <f>IF((Metrics!$H$1-180+155)&lt;1,"",INDEX(Calc_Daily!$C$2:$C$2001,(Metrics!$H$1-180+155)))</f>
        <v>0</v>
      </c>
      <c r="D156">
        <f>IF((Metrics!$H$1-180+155)&lt;1,"",INDEX(Calc_Daily!$D$2:$D$2001,(Metrics!$H$1-180+155)))</f>
        <v>0</v>
      </c>
      <c r="E156">
        <f>IF((Metrics!$H$1-180+155)&lt;1,"",INDEX(Calc_Daily!$E$2:$E$2001,(Metrics!$H$1-180+155)))</f>
        <v>0</v>
      </c>
      <c r="F156">
        <f>IF((Metrics!$H$1-180+155)&lt;1,"",INDEX(Calc_Daily!$H$2:$H$2001,(Metrics!$H$1-180+155)))</f>
        <v>0</v>
      </c>
      <c r="G156">
        <f>IF((Metrics!$H$1-180+155)&lt;1,"",INDEX(Calc_Daily!$I$2:$I$2001,(Metrics!$H$1-180+155)))</f>
        <v>0</v>
      </c>
      <c r="H156">
        <f>IF((Metrics!$H$1-180+155)&lt;1,"",INDEX(Calc_Daily!$J$2:$J$2001,(Metrics!$H$1-180+155)))</f>
        <v>0</v>
      </c>
      <c r="I156">
        <f>IF((Metrics!$H$1-180+155)&lt;1,"",INDEX(Calc_Daily!$K$2:$K$2001,(Metrics!$H$1-180+155)))</f>
        <v>0</v>
      </c>
      <c r="J156">
        <f>IF((Metrics!$H$1-180+155)&lt;1,"",INDEX(Calc_Daily!$N$2:$N$2001,(Metrics!$H$1-180+155)))</f>
        <v>0</v>
      </c>
      <c r="K156">
        <f>IF((Metrics!$H$1-180+155)&lt;1,"",70)</f>
        <v>0</v>
      </c>
      <c r="L156">
        <f>IF((Metrics!$H$1-180+155)&lt;1,"",30)</f>
        <v>0</v>
      </c>
      <c r="M156">
        <f>IF((Metrics!$H$1-180+155)&lt;1,"",INDEX(Calc_Daily!$Q$2:$Q$2001,(Metrics!$H$1-180+155)))</f>
        <v>0</v>
      </c>
      <c r="N156">
        <f>IF((Metrics!$H$1-180+155)&lt;1,"",INDEX(Calc_Daily!$R$2:$R$2001,(Metrics!$H$1-180+155)))</f>
        <v>0</v>
      </c>
      <c r="O156">
        <f>IF((Metrics!$H$1-180+155)&lt;1,"",INDEX(Calc_Daily!$S$2:$S$2001,(Metrics!$H$1-180+155)))</f>
        <v>0</v>
      </c>
      <c r="P156">
        <f>IF((Metrics!$H$1-180+155)&lt;1,"",INDEX(Calc_Daily!$AM$2:$AM$2001,(Metrics!$H$1-180+155)))</f>
        <v>0</v>
      </c>
      <c r="Q156">
        <f>IF((Metrics!$H$1-180+155)&lt;1,"",INDEX(Calc_Daily!$AK$2:$AK$2001,(Metrics!$H$1-180+155)))</f>
        <v>0</v>
      </c>
      <c r="R156">
        <f>IF((Metrics!$H$1-180+155)&lt;1,"",INDEX(Calc_Daily!$AN$2:$AN$2001,(Metrics!$H$1-180+155)))</f>
        <v>0</v>
      </c>
      <c r="S156">
        <f>IF((Metrics!$H$1-180+155)&lt;1,"",INDEX(Calc_Daily!$AD$2:$AD$2001,(Metrics!$H$1-180+155)))</f>
        <v>0</v>
      </c>
      <c r="T156">
        <f>IF((Metrics!$H$1-180+155)&lt;1,"",INDEX(Calc_Daily!$AT$2:$AT$2001,(Metrics!$H$1-180+155)))</f>
        <v>0</v>
      </c>
      <c r="U156">
        <f>IF((Metrics!$H$1-180+155)&lt;1,"",INDEX(Calc_Daily!$AQ$2:$AQ$2001,(Metrics!$H$1-180+155)))</f>
        <v>0</v>
      </c>
      <c r="V156">
        <f>IF((Metrics!$H$1-180+155)&lt;1,"",INDEX(Calc_Daily!$AR$2:$AR$2001,(Metrics!$H$1-180+155)))</f>
        <v>0</v>
      </c>
    </row>
    <row r="157" spans="1:22">
      <c r="A157" s="27">
        <f>IF((Metrics!$H$1-180+156)&lt;1,"",INDEX(Calc_Daily!$A$2:$A$2001,(Metrics!$H$1-180+156)))</f>
        <v>0</v>
      </c>
      <c r="B157">
        <f>IF((Metrics!$H$1-180+156)&lt;1,"",INDEX(Calc_Daily!$B$2:$B$2001,(Metrics!$H$1-180+156)))</f>
        <v>0</v>
      </c>
      <c r="C157">
        <f>IF((Metrics!$H$1-180+156)&lt;1,"",INDEX(Calc_Daily!$C$2:$C$2001,(Metrics!$H$1-180+156)))</f>
        <v>0</v>
      </c>
      <c r="D157">
        <f>IF((Metrics!$H$1-180+156)&lt;1,"",INDEX(Calc_Daily!$D$2:$D$2001,(Metrics!$H$1-180+156)))</f>
        <v>0</v>
      </c>
      <c r="E157">
        <f>IF((Metrics!$H$1-180+156)&lt;1,"",INDEX(Calc_Daily!$E$2:$E$2001,(Metrics!$H$1-180+156)))</f>
        <v>0</v>
      </c>
      <c r="F157">
        <f>IF((Metrics!$H$1-180+156)&lt;1,"",INDEX(Calc_Daily!$H$2:$H$2001,(Metrics!$H$1-180+156)))</f>
        <v>0</v>
      </c>
      <c r="G157">
        <f>IF((Metrics!$H$1-180+156)&lt;1,"",INDEX(Calc_Daily!$I$2:$I$2001,(Metrics!$H$1-180+156)))</f>
        <v>0</v>
      </c>
      <c r="H157">
        <f>IF((Metrics!$H$1-180+156)&lt;1,"",INDEX(Calc_Daily!$J$2:$J$2001,(Metrics!$H$1-180+156)))</f>
        <v>0</v>
      </c>
      <c r="I157">
        <f>IF((Metrics!$H$1-180+156)&lt;1,"",INDEX(Calc_Daily!$K$2:$K$2001,(Metrics!$H$1-180+156)))</f>
        <v>0</v>
      </c>
      <c r="J157">
        <f>IF((Metrics!$H$1-180+156)&lt;1,"",INDEX(Calc_Daily!$N$2:$N$2001,(Metrics!$H$1-180+156)))</f>
        <v>0</v>
      </c>
      <c r="K157">
        <f>IF((Metrics!$H$1-180+156)&lt;1,"",70)</f>
        <v>0</v>
      </c>
      <c r="L157">
        <f>IF((Metrics!$H$1-180+156)&lt;1,"",30)</f>
        <v>0</v>
      </c>
      <c r="M157">
        <f>IF((Metrics!$H$1-180+156)&lt;1,"",INDEX(Calc_Daily!$Q$2:$Q$2001,(Metrics!$H$1-180+156)))</f>
        <v>0</v>
      </c>
      <c r="N157">
        <f>IF((Metrics!$H$1-180+156)&lt;1,"",INDEX(Calc_Daily!$R$2:$R$2001,(Metrics!$H$1-180+156)))</f>
        <v>0</v>
      </c>
      <c r="O157">
        <f>IF((Metrics!$H$1-180+156)&lt;1,"",INDEX(Calc_Daily!$S$2:$S$2001,(Metrics!$H$1-180+156)))</f>
        <v>0</v>
      </c>
      <c r="P157">
        <f>IF((Metrics!$H$1-180+156)&lt;1,"",INDEX(Calc_Daily!$AM$2:$AM$2001,(Metrics!$H$1-180+156)))</f>
        <v>0</v>
      </c>
      <c r="Q157">
        <f>IF((Metrics!$H$1-180+156)&lt;1,"",INDEX(Calc_Daily!$AK$2:$AK$2001,(Metrics!$H$1-180+156)))</f>
        <v>0</v>
      </c>
      <c r="R157">
        <f>IF((Metrics!$H$1-180+156)&lt;1,"",INDEX(Calc_Daily!$AN$2:$AN$2001,(Metrics!$H$1-180+156)))</f>
        <v>0</v>
      </c>
      <c r="S157">
        <f>IF((Metrics!$H$1-180+156)&lt;1,"",INDEX(Calc_Daily!$AD$2:$AD$2001,(Metrics!$H$1-180+156)))</f>
        <v>0</v>
      </c>
      <c r="T157">
        <f>IF((Metrics!$H$1-180+156)&lt;1,"",INDEX(Calc_Daily!$AT$2:$AT$2001,(Metrics!$H$1-180+156)))</f>
        <v>0</v>
      </c>
      <c r="U157">
        <f>IF((Metrics!$H$1-180+156)&lt;1,"",INDEX(Calc_Daily!$AQ$2:$AQ$2001,(Metrics!$H$1-180+156)))</f>
        <v>0</v>
      </c>
      <c r="V157">
        <f>IF((Metrics!$H$1-180+156)&lt;1,"",INDEX(Calc_Daily!$AR$2:$AR$2001,(Metrics!$H$1-180+156)))</f>
        <v>0</v>
      </c>
    </row>
    <row r="158" spans="1:22">
      <c r="A158" s="27">
        <f>IF((Metrics!$H$1-180+157)&lt;1,"",INDEX(Calc_Daily!$A$2:$A$2001,(Metrics!$H$1-180+157)))</f>
        <v>0</v>
      </c>
      <c r="B158">
        <f>IF((Metrics!$H$1-180+157)&lt;1,"",INDEX(Calc_Daily!$B$2:$B$2001,(Metrics!$H$1-180+157)))</f>
        <v>0</v>
      </c>
      <c r="C158">
        <f>IF((Metrics!$H$1-180+157)&lt;1,"",INDEX(Calc_Daily!$C$2:$C$2001,(Metrics!$H$1-180+157)))</f>
        <v>0</v>
      </c>
      <c r="D158">
        <f>IF((Metrics!$H$1-180+157)&lt;1,"",INDEX(Calc_Daily!$D$2:$D$2001,(Metrics!$H$1-180+157)))</f>
        <v>0</v>
      </c>
      <c r="E158">
        <f>IF((Metrics!$H$1-180+157)&lt;1,"",INDEX(Calc_Daily!$E$2:$E$2001,(Metrics!$H$1-180+157)))</f>
        <v>0</v>
      </c>
      <c r="F158">
        <f>IF((Metrics!$H$1-180+157)&lt;1,"",INDEX(Calc_Daily!$H$2:$H$2001,(Metrics!$H$1-180+157)))</f>
        <v>0</v>
      </c>
      <c r="G158">
        <f>IF((Metrics!$H$1-180+157)&lt;1,"",INDEX(Calc_Daily!$I$2:$I$2001,(Metrics!$H$1-180+157)))</f>
        <v>0</v>
      </c>
      <c r="H158">
        <f>IF((Metrics!$H$1-180+157)&lt;1,"",INDEX(Calc_Daily!$J$2:$J$2001,(Metrics!$H$1-180+157)))</f>
        <v>0</v>
      </c>
      <c r="I158">
        <f>IF((Metrics!$H$1-180+157)&lt;1,"",INDEX(Calc_Daily!$K$2:$K$2001,(Metrics!$H$1-180+157)))</f>
        <v>0</v>
      </c>
      <c r="J158">
        <f>IF((Metrics!$H$1-180+157)&lt;1,"",INDEX(Calc_Daily!$N$2:$N$2001,(Metrics!$H$1-180+157)))</f>
        <v>0</v>
      </c>
      <c r="K158">
        <f>IF((Metrics!$H$1-180+157)&lt;1,"",70)</f>
        <v>0</v>
      </c>
      <c r="L158">
        <f>IF((Metrics!$H$1-180+157)&lt;1,"",30)</f>
        <v>0</v>
      </c>
      <c r="M158">
        <f>IF((Metrics!$H$1-180+157)&lt;1,"",INDEX(Calc_Daily!$Q$2:$Q$2001,(Metrics!$H$1-180+157)))</f>
        <v>0</v>
      </c>
      <c r="N158">
        <f>IF((Metrics!$H$1-180+157)&lt;1,"",INDEX(Calc_Daily!$R$2:$R$2001,(Metrics!$H$1-180+157)))</f>
        <v>0</v>
      </c>
      <c r="O158">
        <f>IF((Metrics!$H$1-180+157)&lt;1,"",INDEX(Calc_Daily!$S$2:$S$2001,(Metrics!$H$1-180+157)))</f>
        <v>0</v>
      </c>
      <c r="P158">
        <f>IF((Metrics!$H$1-180+157)&lt;1,"",INDEX(Calc_Daily!$AM$2:$AM$2001,(Metrics!$H$1-180+157)))</f>
        <v>0</v>
      </c>
      <c r="Q158">
        <f>IF((Metrics!$H$1-180+157)&lt;1,"",INDEX(Calc_Daily!$AK$2:$AK$2001,(Metrics!$H$1-180+157)))</f>
        <v>0</v>
      </c>
      <c r="R158">
        <f>IF((Metrics!$H$1-180+157)&lt;1,"",INDEX(Calc_Daily!$AN$2:$AN$2001,(Metrics!$H$1-180+157)))</f>
        <v>0</v>
      </c>
      <c r="S158">
        <f>IF((Metrics!$H$1-180+157)&lt;1,"",INDEX(Calc_Daily!$AD$2:$AD$2001,(Metrics!$H$1-180+157)))</f>
        <v>0</v>
      </c>
      <c r="T158">
        <f>IF((Metrics!$H$1-180+157)&lt;1,"",INDEX(Calc_Daily!$AT$2:$AT$2001,(Metrics!$H$1-180+157)))</f>
        <v>0</v>
      </c>
      <c r="U158">
        <f>IF((Metrics!$H$1-180+157)&lt;1,"",INDEX(Calc_Daily!$AQ$2:$AQ$2001,(Metrics!$H$1-180+157)))</f>
        <v>0</v>
      </c>
      <c r="V158">
        <f>IF((Metrics!$H$1-180+157)&lt;1,"",INDEX(Calc_Daily!$AR$2:$AR$2001,(Metrics!$H$1-180+157)))</f>
        <v>0</v>
      </c>
    </row>
    <row r="159" spans="1:22">
      <c r="A159" s="27">
        <f>IF((Metrics!$H$1-180+158)&lt;1,"",INDEX(Calc_Daily!$A$2:$A$2001,(Metrics!$H$1-180+158)))</f>
        <v>0</v>
      </c>
      <c r="B159">
        <f>IF((Metrics!$H$1-180+158)&lt;1,"",INDEX(Calc_Daily!$B$2:$B$2001,(Metrics!$H$1-180+158)))</f>
        <v>0</v>
      </c>
      <c r="C159">
        <f>IF((Metrics!$H$1-180+158)&lt;1,"",INDEX(Calc_Daily!$C$2:$C$2001,(Metrics!$H$1-180+158)))</f>
        <v>0</v>
      </c>
      <c r="D159">
        <f>IF((Metrics!$H$1-180+158)&lt;1,"",INDEX(Calc_Daily!$D$2:$D$2001,(Metrics!$H$1-180+158)))</f>
        <v>0</v>
      </c>
      <c r="E159">
        <f>IF((Metrics!$H$1-180+158)&lt;1,"",INDEX(Calc_Daily!$E$2:$E$2001,(Metrics!$H$1-180+158)))</f>
        <v>0</v>
      </c>
      <c r="F159">
        <f>IF((Metrics!$H$1-180+158)&lt;1,"",INDEX(Calc_Daily!$H$2:$H$2001,(Metrics!$H$1-180+158)))</f>
        <v>0</v>
      </c>
      <c r="G159">
        <f>IF((Metrics!$H$1-180+158)&lt;1,"",INDEX(Calc_Daily!$I$2:$I$2001,(Metrics!$H$1-180+158)))</f>
        <v>0</v>
      </c>
      <c r="H159">
        <f>IF((Metrics!$H$1-180+158)&lt;1,"",INDEX(Calc_Daily!$J$2:$J$2001,(Metrics!$H$1-180+158)))</f>
        <v>0</v>
      </c>
      <c r="I159">
        <f>IF((Metrics!$H$1-180+158)&lt;1,"",INDEX(Calc_Daily!$K$2:$K$2001,(Metrics!$H$1-180+158)))</f>
        <v>0</v>
      </c>
      <c r="J159">
        <f>IF((Metrics!$H$1-180+158)&lt;1,"",INDEX(Calc_Daily!$N$2:$N$2001,(Metrics!$H$1-180+158)))</f>
        <v>0</v>
      </c>
      <c r="K159">
        <f>IF((Metrics!$H$1-180+158)&lt;1,"",70)</f>
        <v>0</v>
      </c>
      <c r="L159">
        <f>IF((Metrics!$H$1-180+158)&lt;1,"",30)</f>
        <v>0</v>
      </c>
      <c r="M159">
        <f>IF((Metrics!$H$1-180+158)&lt;1,"",INDEX(Calc_Daily!$Q$2:$Q$2001,(Metrics!$H$1-180+158)))</f>
        <v>0</v>
      </c>
      <c r="N159">
        <f>IF((Metrics!$H$1-180+158)&lt;1,"",INDEX(Calc_Daily!$R$2:$R$2001,(Metrics!$H$1-180+158)))</f>
        <v>0</v>
      </c>
      <c r="O159">
        <f>IF((Metrics!$H$1-180+158)&lt;1,"",INDEX(Calc_Daily!$S$2:$S$2001,(Metrics!$H$1-180+158)))</f>
        <v>0</v>
      </c>
      <c r="P159">
        <f>IF((Metrics!$H$1-180+158)&lt;1,"",INDEX(Calc_Daily!$AM$2:$AM$2001,(Metrics!$H$1-180+158)))</f>
        <v>0</v>
      </c>
      <c r="Q159">
        <f>IF((Metrics!$H$1-180+158)&lt;1,"",INDEX(Calc_Daily!$AK$2:$AK$2001,(Metrics!$H$1-180+158)))</f>
        <v>0</v>
      </c>
      <c r="R159">
        <f>IF((Metrics!$H$1-180+158)&lt;1,"",INDEX(Calc_Daily!$AN$2:$AN$2001,(Metrics!$H$1-180+158)))</f>
        <v>0</v>
      </c>
      <c r="S159">
        <f>IF((Metrics!$H$1-180+158)&lt;1,"",INDEX(Calc_Daily!$AD$2:$AD$2001,(Metrics!$H$1-180+158)))</f>
        <v>0</v>
      </c>
      <c r="T159">
        <f>IF((Metrics!$H$1-180+158)&lt;1,"",INDEX(Calc_Daily!$AT$2:$AT$2001,(Metrics!$H$1-180+158)))</f>
        <v>0</v>
      </c>
      <c r="U159">
        <f>IF((Metrics!$H$1-180+158)&lt;1,"",INDEX(Calc_Daily!$AQ$2:$AQ$2001,(Metrics!$H$1-180+158)))</f>
        <v>0</v>
      </c>
      <c r="V159">
        <f>IF((Metrics!$H$1-180+158)&lt;1,"",INDEX(Calc_Daily!$AR$2:$AR$2001,(Metrics!$H$1-180+158)))</f>
        <v>0</v>
      </c>
    </row>
    <row r="160" spans="1:22">
      <c r="A160" s="27">
        <f>IF((Metrics!$H$1-180+159)&lt;1,"",INDEX(Calc_Daily!$A$2:$A$2001,(Metrics!$H$1-180+159)))</f>
        <v>0</v>
      </c>
      <c r="B160">
        <f>IF((Metrics!$H$1-180+159)&lt;1,"",INDEX(Calc_Daily!$B$2:$B$2001,(Metrics!$H$1-180+159)))</f>
        <v>0</v>
      </c>
      <c r="C160">
        <f>IF((Metrics!$H$1-180+159)&lt;1,"",INDEX(Calc_Daily!$C$2:$C$2001,(Metrics!$H$1-180+159)))</f>
        <v>0</v>
      </c>
      <c r="D160">
        <f>IF((Metrics!$H$1-180+159)&lt;1,"",INDEX(Calc_Daily!$D$2:$D$2001,(Metrics!$H$1-180+159)))</f>
        <v>0</v>
      </c>
      <c r="E160">
        <f>IF((Metrics!$H$1-180+159)&lt;1,"",INDEX(Calc_Daily!$E$2:$E$2001,(Metrics!$H$1-180+159)))</f>
        <v>0</v>
      </c>
      <c r="F160">
        <f>IF((Metrics!$H$1-180+159)&lt;1,"",INDEX(Calc_Daily!$H$2:$H$2001,(Metrics!$H$1-180+159)))</f>
        <v>0</v>
      </c>
      <c r="G160">
        <f>IF((Metrics!$H$1-180+159)&lt;1,"",INDEX(Calc_Daily!$I$2:$I$2001,(Metrics!$H$1-180+159)))</f>
        <v>0</v>
      </c>
      <c r="H160">
        <f>IF((Metrics!$H$1-180+159)&lt;1,"",INDEX(Calc_Daily!$J$2:$J$2001,(Metrics!$H$1-180+159)))</f>
        <v>0</v>
      </c>
      <c r="I160">
        <f>IF((Metrics!$H$1-180+159)&lt;1,"",INDEX(Calc_Daily!$K$2:$K$2001,(Metrics!$H$1-180+159)))</f>
        <v>0</v>
      </c>
      <c r="J160">
        <f>IF((Metrics!$H$1-180+159)&lt;1,"",INDEX(Calc_Daily!$N$2:$N$2001,(Metrics!$H$1-180+159)))</f>
        <v>0</v>
      </c>
      <c r="K160">
        <f>IF((Metrics!$H$1-180+159)&lt;1,"",70)</f>
        <v>0</v>
      </c>
      <c r="L160">
        <f>IF((Metrics!$H$1-180+159)&lt;1,"",30)</f>
        <v>0</v>
      </c>
      <c r="M160">
        <f>IF((Metrics!$H$1-180+159)&lt;1,"",INDEX(Calc_Daily!$Q$2:$Q$2001,(Metrics!$H$1-180+159)))</f>
        <v>0</v>
      </c>
      <c r="N160">
        <f>IF((Metrics!$H$1-180+159)&lt;1,"",INDEX(Calc_Daily!$R$2:$R$2001,(Metrics!$H$1-180+159)))</f>
        <v>0</v>
      </c>
      <c r="O160">
        <f>IF((Metrics!$H$1-180+159)&lt;1,"",INDEX(Calc_Daily!$S$2:$S$2001,(Metrics!$H$1-180+159)))</f>
        <v>0</v>
      </c>
      <c r="P160">
        <f>IF((Metrics!$H$1-180+159)&lt;1,"",INDEX(Calc_Daily!$AM$2:$AM$2001,(Metrics!$H$1-180+159)))</f>
        <v>0</v>
      </c>
      <c r="Q160">
        <f>IF((Metrics!$H$1-180+159)&lt;1,"",INDEX(Calc_Daily!$AK$2:$AK$2001,(Metrics!$H$1-180+159)))</f>
        <v>0</v>
      </c>
      <c r="R160">
        <f>IF((Metrics!$H$1-180+159)&lt;1,"",INDEX(Calc_Daily!$AN$2:$AN$2001,(Metrics!$H$1-180+159)))</f>
        <v>0</v>
      </c>
      <c r="S160">
        <f>IF((Metrics!$H$1-180+159)&lt;1,"",INDEX(Calc_Daily!$AD$2:$AD$2001,(Metrics!$H$1-180+159)))</f>
        <v>0</v>
      </c>
      <c r="T160">
        <f>IF((Metrics!$H$1-180+159)&lt;1,"",INDEX(Calc_Daily!$AT$2:$AT$2001,(Metrics!$H$1-180+159)))</f>
        <v>0</v>
      </c>
      <c r="U160">
        <f>IF((Metrics!$H$1-180+159)&lt;1,"",INDEX(Calc_Daily!$AQ$2:$AQ$2001,(Metrics!$H$1-180+159)))</f>
        <v>0</v>
      </c>
      <c r="V160">
        <f>IF((Metrics!$H$1-180+159)&lt;1,"",INDEX(Calc_Daily!$AR$2:$AR$2001,(Metrics!$H$1-180+159)))</f>
        <v>0</v>
      </c>
    </row>
    <row r="161" spans="1:22">
      <c r="A161" s="27">
        <f>IF((Metrics!$H$1-180+160)&lt;1,"",INDEX(Calc_Daily!$A$2:$A$2001,(Metrics!$H$1-180+160)))</f>
        <v>0</v>
      </c>
      <c r="B161">
        <f>IF((Metrics!$H$1-180+160)&lt;1,"",INDEX(Calc_Daily!$B$2:$B$2001,(Metrics!$H$1-180+160)))</f>
        <v>0</v>
      </c>
      <c r="C161">
        <f>IF((Metrics!$H$1-180+160)&lt;1,"",INDEX(Calc_Daily!$C$2:$C$2001,(Metrics!$H$1-180+160)))</f>
        <v>0</v>
      </c>
      <c r="D161">
        <f>IF((Metrics!$H$1-180+160)&lt;1,"",INDEX(Calc_Daily!$D$2:$D$2001,(Metrics!$H$1-180+160)))</f>
        <v>0</v>
      </c>
      <c r="E161">
        <f>IF((Metrics!$H$1-180+160)&lt;1,"",INDEX(Calc_Daily!$E$2:$E$2001,(Metrics!$H$1-180+160)))</f>
        <v>0</v>
      </c>
      <c r="F161">
        <f>IF((Metrics!$H$1-180+160)&lt;1,"",INDEX(Calc_Daily!$H$2:$H$2001,(Metrics!$H$1-180+160)))</f>
        <v>0</v>
      </c>
      <c r="G161">
        <f>IF((Metrics!$H$1-180+160)&lt;1,"",INDEX(Calc_Daily!$I$2:$I$2001,(Metrics!$H$1-180+160)))</f>
        <v>0</v>
      </c>
      <c r="H161">
        <f>IF((Metrics!$H$1-180+160)&lt;1,"",INDEX(Calc_Daily!$J$2:$J$2001,(Metrics!$H$1-180+160)))</f>
        <v>0</v>
      </c>
      <c r="I161">
        <f>IF((Metrics!$H$1-180+160)&lt;1,"",INDEX(Calc_Daily!$K$2:$K$2001,(Metrics!$H$1-180+160)))</f>
        <v>0</v>
      </c>
      <c r="J161">
        <f>IF((Metrics!$H$1-180+160)&lt;1,"",INDEX(Calc_Daily!$N$2:$N$2001,(Metrics!$H$1-180+160)))</f>
        <v>0</v>
      </c>
      <c r="K161">
        <f>IF((Metrics!$H$1-180+160)&lt;1,"",70)</f>
        <v>0</v>
      </c>
      <c r="L161">
        <f>IF((Metrics!$H$1-180+160)&lt;1,"",30)</f>
        <v>0</v>
      </c>
      <c r="M161">
        <f>IF((Metrics!$H$1-180+160)&lt;1,"",INDEX(Calc_Daily!$Q$2:$Q$2001,(Metrics!$H$1-180+160)))</f>
        <v>0</v>
      </c>
      <c r="N161">
        <f>IF((Metrics!$H$1-180+160)&lt;1,"",INDEX(Calc_Daily!$R$2:$R$2001,(Metrics!$H$1-180+160)))</f>
        <v>0</v>
      </c>
      <c r="O161">
        <f>IF((Metrics!$H$1-180+160)&lt;1,"",INDEX(Calc_Daily!$S$2:$S$2001,(Metrics!$H$1-180+160)))</f>
        <v>0</v>
      </c>
      <c r="P161">
        <f>IF((Metrics!$H$1-180+160)&lt;1,"",INDEX(Calc_Daily!$AM$2:$AM$2001,(Metrics!$H$1-180+160)))</f>
        <v>0</v>
      </c>
      <c r="Q161">
        <f>IF((Metrics!$H$1-180+160)&lt;1,"",INDEX(Calc_Daily!$AK$2:$AK$2001,(Metrics!$H$1-180+160)))</f>
        <v>0</v>
      </c>
      <c r="R161">
        <f>IF((Metrics!$H$1-180+160)&lt;1,"",INDEX(Calc_Daily!$AN$2:$AN$2001,(Metrics!$H$1-180+160)))</f>
        <v>0</v>
      </c>
      <c r="S161">
        <f>IF((Metrics!$H$1-180+160)&lt;1,"",INDEX(Calc_Daily!$AD$2:$AD$2001,(Metrics!$H$1-180+160)))</f>
        <v>0</v>
      </c>
      <c r="T161">
        <f>IF((Metrics!$H$1-180+160)&lt;1,"",INDEX(Calc_Daily!$AT$2:$AT$2001,(Metrics!$H$1-180+160)))</f>
        <v>0</v>
      </c>
      <c r="U161">
        <f>IF((Metrics!$H$1-180+160)&lt;1,"",INDEX(Calc_Daily!$AQ$2:$AQ$2001,(Metrics!$H$1-180+160)))</f>
        <v>0</v>
      </c>
      <c r="V161">
        <f>IF((Metrics!$H$1-180+160)&lt;1,"",INDEX(Calc_Daily!$AR$2:$AR$2001,(Metrics!$H$1-180+160)))</f>
        <v>0</v>
      </c>
    </row>
    <row r="162" spans="1:22">
      <c r="A162" s="27">
        <f>IF((Metrics!$H$1-180+161)&lt;1,"",INDEX(Calc_Daily!$A$2:$A$2001,(Metrics!$H$1-180+161)))</f>
        <v>0</v>
      </c>
      <c r="B162">
        <f>IF((Metrics!$H$1-180+161)&lt;1,"",INDEX(Calc_Daily!$B$2:$B$2001,(Metrics!$H$1-180+161)))</f>
        <v>0</v>
      </c>
      <c r="C162">
        <f>IF((Metrics!$H$1-180+161)&lt;1,"",INDEX(Calc_Daily!$C$2:$C$2001,(Metrics!$H$1-180+161)))</f>
        <v>0</v>
      </c>
      <c r="D162">
        <f>IF((Metrics!$H$1-180+161)&lt;1,"",INDEX(Calc_Daily!$D$2:$D$2001,(Metrics!$H$1-180+161)))</f>
        <v>0</v>
      </c>
      <c r="E162">
        <f>IF((Metrics!$H$1-180+161)&lt;1,"",INDEX(Calc_Daily!$E$2:$E$2001,(Metrics!$H$1-180+161)))</f>
        <v>0</v>
      </c>
      <c r="F162">
        <f>IF((Metrics!$H$1-180+161)&lt;1,"",INDEX(Calc_Daily!$H$2:$H$2001,(Metrics!$H$1-180+161)))</f>
        <v>0</v>
      </c>
      <c r="G162">
        <f>IF((Metrics!$H$1-180+161)&lt;1,"",INDEX(Calc_Daily!$I$2:$I$2001,(Metrics!$H$1-180+161)))</f>
        <v>0</v>
      </c>
      <c r="H162">
        <f>IF((Metrics!$H$1-180+161)&lt;1,"",INDEX(Calc_Daily!$J$2:$J$2001,(Metrics!$H$1-180+161)))</f>
        <v>0</v>
      </c>
      <c r="I162">
        <f>IF((Metrics!$H$1-180+161)&lt;1,"",INDEX(Calc_Daily!$K$2:$K$2001,(Metrics!$H$1-180+161)))</f>
        <v>0</v>
      </c>
      <c r="J162">
        <f>IF((Metrics!$H$1-180+161)&lt;1,"",INDEX(Calc_Daily!$N$2:$N$2001,(Metrics!$H$1-180+161)))</f>
        <v>0</v>
      </c>
      <c r="K162">
        <f>IF((Metrics!$H$1-180+161)&lt;1,"",70)</f>
        <v>0</v>
      </c>
      <c r="L162">
        <f>IF((Metrics!$H$1-180+161)&lt;1,"",30)</f>
        <v>0</v>
      </c>
      <c r="M162">
        <f>IF((Metrics!$H$1-180+161)&lt;1,"",INDEX(Calc_Daily!$Q$2:$Q$2001,(Metrics!$H$1-180+161)))</f>
        <v>0</v>
      </c>
      <c r="N162">
        <f>IF((Metrics!$H$1-180+161)&lt;1,"",INDEX(Calc_Daily!$R$2:$R$2001,(Metrics!$H$1-180+161)))</f>
        <v>0</v>
      </c>
      <c r="O162">
        <f>IF((Metrics!$H$1-180+161)&lt;1,"",INDEX(Calc_Daily!$S$2:$S$2001,(Metrics!$H$1-180+161)))</f>
        <v>0</v>
      </c>
      <c r="P162">
        <f>IF((Metrics!$H$1-180+161)&lt;1,"",INDEX(Calc_Daily!$AM$2:$AM$2001,(Metrics!$H$1-180+161)))</f>
        <v>0</v>
      </c>
      <c r="Q162">
        <f>IF((Metrics!$H$1-180+161)&lt;1,"",INDEX(Calc_Daily!$AK$2:$AK$2001,(Metrics!$H$1-180+161)))</f>
        <v>0</v>
      </c>
      <c r="R162">
        <f>IF((Metrics!$H$1-180+161)&lt;1,"",INDEX(Calc_Daily!$AN$2:$AN$2001,(Metrics!$H$1-180+161)))</f>
        <v>0</v>
      </c>
      <c r="S162">
        <f>IF((Metrics!$H$1-180+161)&lt;1,"",INDEX(Calc_Daily!$AD$2:$AD$2001,(Metrics!$H$1-180+161)))</f>
        <v>0</v>
      </c>
      <c r="T162">
        <f>IF((Metrics!$H$1-180+161)&lt;1,"",INDEX(Calc_Daily!$AT$2:$AT$2001,(Metrics!$H$1-180+161)))</f>
        <v>0</v>
      </c>
      <c r="U162">
        <f>IF((Metrics!$H$1-180+161)&lt;1,"",INDEX(Calc_Daily!$AQ$2:$AQ$2001,(Metrics!$H$1-180+161)))</f>
        <v>0</v>
      </c>
      <c r="V162">
        <f>IF((Metrics!$H$1-180+161)&lt;1,"",INDEX(Calc_Daily!$AR$2:$AR$2001,(Metrics!$H$1-180+161)))</f>
        <v>0</v>
      </c>
    </row>
    <row r="163" spans="1:22">
      <c r="A163" s="27">
        <f>IF((Metrics!$H$1-180+162)&lt;1,"",INDEX(Calc_Daily!$A$2:$A$2001,(Metrics!$H$1-180+162)))</f>
        <v>0</v>
      </c>
      <c r="B163">
        <f>IF((Metrics!$H$1-180+162)&lt;1,"",INDEX(Calc_Daily!$B$2:$B$2001,(Metrics!$H$1-180+162)))</f>
        <v>0</v>
      </c>
      <c r="C163">
        <f>IF((Metrics!$H$1-180+162)&lt;1,"",INDEX(Calc_Daily!$C$2:$C$2001,(Metrics!$H$1-180+162)))</f>
        <v>0</v>
      </c>
      <c r="D163">
        <f>IF((Metrics!$H$1-180+162)&lt;1,"",INDEX(Calc_Daily!$D$2:$D$2001,(Metrics!$H$1-180+162)))</f>
        <v>0</v>
      </c>
      <c r="E163">
        <f>IF((Metrics!$H$1-180+162)&lt;1,"",INDEX(Calc_Daily!$E$2:$E$2001,(Metrics!$H$1-180+162)))</f>
        <v>0</v>
      </c>
      <c r="F163">
        <f>IF((Metrics!$H$1-180+162)&lt;1,"",INDEX(Calc_Daily!$H$2:$H$2001,(Metrics!$H$1-180+162)))</f>
        <v>0</v>
      </c>
      <c r="G163">
        <f>IF((Metrics!$H$1-180+162)&lt;1,"",INDEX(Calc_Daily!$I$2:$I$2001,(Metrics!$H$1-180+162)))</f>
        <v>0</v>
      </c>
      <c r="H163">
        <f>IF((Metrics!$H$1-180+162)&lt;1,"",INDEX(Calc_Daily!$J$2:$J$2001,(Metrics!$H$1-180+162)))</f>
        <v>0</v>
      </c>
      <c r="I163">
        <f>IF((Metrics!$H$1-180+162)&lt;1,"",INDEX(Calc_Daily!$K$2:$K$2001,(Metrics!$H$1-180+162)))</f>
        <v>0</v>
      </c>
      <c r="J163">
        <f>IF((Metrics!$H$1-180+162)&lt;1,"",INDEX(Calc_Daily!$N$2:$N$2001,(Metrics!$H$1-180+162)))</f>
        <v>0</v>
      </c>
      <c r="K163">
        <f>IF((Metrics!$H$1-180+162)&lt;1,"",70)</f>
        <v>0</v>
      </c>
      <c r="L163">
        <f>IF((Metrics!$H$1-180+162)&lt;1,"",30)</f>
        <v>0</v>
      </c>
      <c r="M163">
        <f>IF((Metrics!$H$1-180+162)&lt;1,"",INDEX(Calc_Daily!$Q$2:$Q$2001,(Metrics!$H$1-180+162)))</f>
        <v>0</v>
      </c>
      <c r="N163">
        <f>IF((Metrics!$H$1-180+162)&lt;1,"",INDEX(Calc_Daily!$R$2:$R$2001,(Metrics!$H$1-180+162)))</f>
        <v>0</v>
      </c>
      <c r="O163">
        <f>IF((Metrics!$H$1-180+162)&lt;1,"",INDEX(Calc_Daily!$S$2:$S$2001,(Metrics!$H$1-180+162)))</f>
        <v>0</v>
      </c>
      <c r="P163">
        <f>IF((Metrics!$H$1-180+162)&lt;1,"",INDEX(Calc_Daily!$AM$2:$AM$2001,(Metrics!$H$1-180+162)))</f>
        <v>0</v>
      </c>
      <c r="Q163">
        <f>IF((Metrics!$H$1-180+162)&lt;1,"",INDEX(Calc_Daily!$AK$2:$AK$2001,(Metrics!$H$1-180+162)))</f>
        <v>0</v>
      </c>
      <c r="R163">
        <f>IF((Metrics!$H$1-180+162)&lt;1,"",INDEX(Calc_Daily!$AN$2:$AN$2001,(Metrics!$H$1-180+162)))</f>
        <v>0</v>
      </c>
      <c r="S163">
        <f>IF((Metrics!$H$1-180+162)&lt;1,"",INDEX(Calc_Daily!$AD$2:$AD$2001,(Metrics!$H$1-180+162)))</f>
        <v>0</v>
      </c>
      <c r="T163">
        <f>IF((Metrics!$H$1-180+162)&lt;1,"",INDEX(Calc_Daily!$AT$2:$AT$2001,(Metrics!$H$1-180+162)))</f>
        <v>0</v>
      </c>
      <c r="U163">
        <f>IF((Metrics!$H$1-180+162)&lt;1,"",INDEX(Calc_Daily!$AQ$2:$AQ$2001,(Metrics!$H$1-180+162)))</f>
        <v>0</v>
      </c>
      <c r="V163">
        <f>IF((Metrics!$H$1-180+162)&lt;1,"",INDEX(Calc_Daily!$AR$2:$AR$2001,(Metrics!$H$1-180+162)))</f>
        <v>0</v>
      </c>
    </row>
    <row r="164" spans="1:22">
      <c r="A164" s="27">
        <f>IF((Metrics!$H$1-180+163)&lt;1,"",INDEX(Calc_Daily!$A$2:$A$2001,(Metrics!$H$1-180+163)))</f>
        <v>0</v>
      </c>
      <c r="B164">
        <f>IF((Metrics!$H$1-180+163)&lt;1,"",INDEX(Calc_Daily!$B$2:$B$2001,(Metrics!$H$1-180+163)))</f>
        <v>0</v>
      </c>
      <c r="C164">
        <f>IF((Metrics!$H$1-180+163)&lt;1,"",INDEX(Calc_Daily!$C$2:$C$2001,(Metrics!$H$1-180+163)))</f>
        <v>0</v>
      </c>
      <c r="D164">
        <f>IF((Metrics!$H$1-180+163)&lt;1,"",INDEX(Calc_Daily!$D$2:$D$2001,(Metrics!$H$1-180+163)))</f>
        <v>0</v>
      </c>
      <c r="E164">
        <f>IF((Metrics!$H$1-180+163)&lt;1,"",INDEX(Calc_Daily!$E$2:$E$2001,(Metrics!$H$1-180+163)))</f>
        <v>0</v>
      </c>
      <c r="F164">
        <f>IF((Metrics!$H$1-180+163)&lt;1,"",INDEX(Calc_Daily!$H$2:$H$2001,(Metrics!$H$1-180+163)))</f>
        <v>0</v>
      </c>
      <c r="G164">
        <f>IF((Metrics!$H$1-180+163)&lt;1,"",INDEX(Calc_Daily!$I$2:$I$2001,(Metrics!$H$1-180+163)))</f>
        <v>0</v>
      </c>
      <c r="H164">
        <f>IF((Metrics!$H$1-180+163)&lt;1,"",INDEX(Calc_Daily!$J$2:$J$2001,(Metrics!$H$1-180+163)))</f>
        <v>0</v>
      </c>
      <c r="I164">
        <f>IF((Metrics!$H$1-180+163)&lt;1,"",INDEX(Calc_Daily!$K$2:$K$2001,(Metrics!$H$1-180+163)))</f>
        <v>0</v>
      </c>
      <c r="J164">
        <f>IF((Metrics!$H$1-180+163)&lt;1,"",INDEX(Calc_Daily!$N$2:$N$2001,(Metrics!$H$1-180+163)))</f>
        <v>0</v>
      </c>
      <c r="K164">
        <f>IF((Metrics!$H$1-180+163)&lt;1,"",70)</f>
        <v>0</v>
      </c>
      <c r="L164">
        <f>IF((Metrics!$H$1-180+163)&lt;1,"",30)</f>
        <v>0</v>
      </c>
      <c r="M164">
        <f>IF((Metrics!$H$1-180+163)&lt;1,"",INDEX(Calc_Daily!$Q$2:$Q$2001,(Metrics!$H$1-180+163)))</f>
        <v>0</v>
      </c>
      <c r="N164">
        <f>IF((Metrics!$H$1-180+163)&lt;1,"",INDEX(Calc_Daily!$R$2:$R$2001,(Metrics!$H$1-180+163)))</f>
        <v>0</v>
      </c>
      <c r="O164">
        <f>IF((Metrics!$H$1-180+163)&lt;1,"",INDEX(Calc_Daily!$S$2:$S$2001,(Metrics!$H$1-180+163)))</f>
        <v>0</v>
      </c>
      <c r="P164">
        <f>IF((Metrics!$H$1-180+163)&lt;1,"",INDEX(Calc_Daily!$AM$2:$AM$2001,(Metrics!$H$1-180+163)))</f>
        <v>0</v>
      </c>
      <c r="Q164">
        <f>IF((Metrics!$H$1-180+163)&lt;1,"",INDEX(Calc_Daily!$AK$2:$AK$2001,(Metrics!$H$1-180+163)))</f>
        <v>0</v>
      </c>
      <c r="R164">
        <f>IF((Metrics!$H$1-180+163)&lt;1,"",INDEX(Calc_Daily!$AN$2:$AN$2001,(Metrics!$H$1-180+163)))</f>
        <v>0</v>
      </c>
      <c r="S164">
        <f>IF((Metrics!$H$1-180+163)&lt;1,"",INDEX(Calc_Daily!$AD$2:$AD$2001,(Metrics!$H$1-180+163)))</f>
        <v>0</v>
      </c>
      <c r="T164">
        <f>IF((Metrics!$H$1-180+163)&lt;1,"",INDEX(Calc_Daily!$AT$2:$AT$2001,(Metrics!$H$1-180+163)))</f>
        <v>0</v>
      </c>
      <c r="U164">
        <f>IF((Metrics!$H$1-180+163)&lt;1,"",INDEX(Calc_Daily!$AQ$2:$AQ$2001,(Metrics!$H$1-180+163)))</f>
        <v>0</v>
      </c>
      <c r="V164">
        <f>IF((Metrics!$H$1-180+163)&lt;1,"",INDEX(Calc_Daily!$AR$2:$AR$2001,(Metrics!$H$1-180+163)))</f>
        <v>0</v>
      </c>
    </row>
    <row r="165" spans="1:22">
      <c r="A165" s="27">
        <f>IF((Metrics!$H$1-180+164)&lt;1,"",INDEX(Calc_Daily!$A$2:$A$2001,(Metrics!$H$1-180+164)))</f>
        <v>0</v>
      </c>
      <c r="B165">
        <f>IF((Metrics!$H$1-180+164)&lt;1,"",INDEX(Calc_Daily!$B$2:$B$2001,(Metrics!$H$1-180+164)))</f>
        <v>0</v>
      </c>
      <c r="C165">
        <f>IF((Metrics!$H$1-180+164)&lt;1,"",INDEX(Calc_Daily!$C$2:$C$2001,(Metrics!$H$1-180+164)))</f>
        <v>0</v>
      </c>
      <c r="D165">
        <f>IF((Metrics!$H$1-180+164)&lt;1,"",INDEX(Calc_Daily!$D$2:$D$2001,(Metrics!$H$1-180+164)))</f>
        <v>0</v>
      </c>
      <c r="E165">
        <f>IF((Metrics!$H$1-180+164)&lt;1,"",INDEX(Calc_Daily!$E$2:$E$2001,(Metrics!$H$1-180+164)))</f>
        <v>0</v>
      </c>
      <c r="F165">
        <f>IF((Metrics!$H$1-180+164)&lt;1,"",INDEX(Calc_Daily!$H$2:$H$2001,(Metrics!$H$1-180+164)))</f>
        <v>0</v>
      </c>
      <c r="G165">
        <f>IF((Metrics!$H$1-180+164)&lt;1,"",INDEX(Calc_Daily!$I$2:$I$2001,(Metrics!$H$1-180+164)))</f>
        <v>0</v>
      </c>
      <c r="H165">
        <f>IF((Metrics!$H$1-180+164)&lt;1,"",INDEX(Calc_Daily!$J$2:$J$2001,(Metrics!$H$1-180+164)))</f>
        <v>0</v>
      </c>
      <c r="I165">
        <f>IF((Metrics!$H$1-180+164)&lt;1,"",INDEX(Calc_Daily!$K$2:$K$2001,(Metrics!$H$1-180+164)))</f>
        <v>0</v>
      </c>
      <c r="J165">
        <f>IF((Metrics!$H$1-180+164)&lt;1,"",INDEX(Calc_Daily!$N$2:$N$2001,(Metrics!$H$1-180+164)))</f>
        <v>0</v>
      </c>
      <c r="K165">
        <f>IF((Metrics!$H$1-180+164)&lt;1,"",70)</f>
        <v>0</v>
      </c>
      <c r="L165">
        <f>IF((Metrics!$H$1-180+164)&lt;1,"",30)</f>
        <v>0</v>
      </c>
      <c r="M165">
        <f>IF((Metrics!$H$1-180+164)&lt;1,"",INDEX(Calc_Daily!$Q$2:$Q$2001,(Metrics!$H$1-180+164)))</f>
        <v>0</v>
      </c>
      <c r="N165">
        <f>IF((Metrics!$H$1-180+164)&lt;1,"",INDEX(Calc_Daily!$R$2:$R$2001,(Metrics!$H$1-180+164)))</f>
        <v>0</v>
      </c>
      <c r="O165">
        <f>IF((Metrics!$H$1-180+164)&lt;1,"",INDEX(Calc_Daily!$S$2:$S$2001,(Metrics!$H$1-180+164)))</f>
        <v>0</v>
      </c>
      <c r="P165">
        <f>IF((Metrics!$H$1-180+164)&lt;1,"",INDEX(Calc_Daily!$AM$2:$AM$2001,(Metrics!$H$1-180+164)))</f>
        <v>0</v>
      </c>
      <c r="Q165">
        <f>IF((Metrics!$H$1-180+164)&lt;1,"",INDEX(Calc_Daily!$AK$2:$AK$2001,(Metrics!$H$1-180+164)))</f>
        <v>0</v>
      </c>
      <c r="R165">
        <f>IF((Metrics!$H$1-180+164)&lt;1,"",INDEX(Calc_Daily!$AN$2:$AN$2001,(Metrics!$H$1-180+164)))</f>
        <v>0</v>
      </c>
      <c r="S165">
        <f>IF((Metrics!$H$1-180+164)&lt;1,"",INDEX(Calc_Daily!$AD$2:$AD$2001,(Metrics!$H$1-180+164)))</f>
        <v>0</v>
      </c>
      <c r="T165">
        <f>IF((Metrics!$H$1-180+164)&lt;1,"",INDEX(Calc_Daily!$AT$2:$AT$2001,(Metrics!$H$1-180+164)))</f>
        <v>0</v>
      </c>
      <c r="U165">
        <f>IF((Metrics!$H$1-180+164)&lt;1,"",INDEX(Calc_Daily!$AQ$2:$AQ$2001,(Metrics!$H$1-180+164)))</f>
        <v>0</v>
      </c>
      <c r="V165">
        <f>IF((Metrics!$H$1-180+164)&lt;1,"",INDEX(Calc_Daily!$AR$2:$AR$2001,(Metrics!$H$1-180+164)))</f>
        <v>0</v>
      </c>
    </row>
    <row r="166" spans="1:22">
      <c r="A166" s="27">
        <f>IF((Metrics!$H$1-180+165)&lt;1,"",INDEX(Calc_Daily!$A$2:$A$2001,(Metrics!$H$1-180+165)))</f>
        <v>0</v>
      </c>
      <c r="B166">
        <f>IF((Metrics!$H$1-180+165)&lt;1,"",INDEX(Calc_Daily!$B$2:$B$2001,(Metrics!$H$1-180+165)))</f>
        <v>0</v>
      </c>
      <c r="C166">
        <f>IF((Metrics!$H$1-180+165)&lt;1,"",INDEX(Calc_Daily!$C$2:$C$2001,(Metrics!$H$1-180+165)))</f>
        <v>0</v>
      </c>
      <c r="D166">
        <f>IF((Metrics!$H$1-180+165)&lt;1,"",INDEX(Calc_Daily!$D$2:$D$2001,(Metrics!$H$1-180+165)))</f>
        <v>0</v>
      </c>
      <c r="E166">
        <f>IF((Metrics!$H$1-180+165)&lt;1,"",INDEX(Calc_Daily!$E$2:$E$2001,(Metrics!$H$1-180+165)))</f>
        <v>0</v>
      </c>
      <c r="F166">
        <f>IF((Metrics!$H$1-180+165)&lt;1,"",INDEX(Calc_Daily!$H$2:$H$2001,(Metrics!$H$1-180+165)))</f>
        <v>0</v>
      </c>
      <c r="G166">
        <f>IF((Metrics!$H$1-180+165)&lt;1,"",INDEX(Calc_Daily!$I$2:$I$2001,(Metrics!$H$1-180+165)))</f>
        <v>0</v>
      </c>
      <c r="H166">
        <f>IF((Metrics!$H$1-180+165)&lt;1,"",INDEX(Calc_Daily!$J$2:$J$2001,(Metrics!$H$1-180+165)))</f>
        <v>0</v>
      </c>
      <c r="I166">
        <f>IF((Metrics!$H$1-180+165)&lt;1,"",INDEX(Calc_Daily!$K$2:$K$2001,(Metrics!$H$1-180+165)))</f>
        <v>0</v>
      </c>
      <c r="J166">
        <f>IF((Metrics!$H$1-180+165)&lt;1,"",INDEX(Calc_Daily!$N$2:$N$2001,(Metrics!$H$1-180+165)))</f>
        <v>0</v>
      </c>
      <c r="K166">
        <f>IF((Metrics!$H$1-180+165)&lt;1,"",70)</f>
        <v>0</v>
      </c>
      <c r="L166">
        <f>IF((Metrics!$H$1-180+165)&lt;1,"",30)</f>
        <v>0</v>
      </c>
      <c r="M166">
        <f>IF((Metrics!$H$1-180+165)&lt;1,"",INDEX(Calc_Daily!$Q$2:$Q$2001,(Metrics!$H$1-180+165)))</f>
        <v>0</v>
      </c>
      <c r="N166">
        <f>IF((Metrics!$H$1-180+165)&lt;1,"",INDEX(Calc_Daily!$R$2:$R$2001,(Metrics!$H$1-180+165)))</f>
        <v>0</v>
      </c>
      <c r="O166">
        <f>IF((Metrics!$H$1-180+165)&lt;1,"",INDEX(Calc_Daily!$S$2:$S$2001,(Metrics!$H$1-180+165)))</f>
        <v>0</v>
      </c>
      <c r="P166">
        <f>IF((Metrics!$H$1-180+165)&lt;1,"",INDEX(Calc_Daily!$AM$2:$AM$2001,(Metrics!$H$1-180+165)))</f>
        <v>0</v>
      </c>
      <c r="Q166">
        <f>IF((Metrics!$H$1-180+165)&lt;1,"",INDEX(Calc_Daily!$AK$2:$AK$2001,(Metrics!$H$1-180+165)))</f>
        <v>0</v>
      </c>
      <c r="R166">
        <f>IF((Metrics!$H$1-180+165)&lt;1,"",INDEX(Calc_Daily!$AN$2:$AN$2001,(Metrics!$H$1-180+165)))</f>
        <v>0</v>
      </c>
      <c r="S166">
        <f>IF((Metrics!$H$1-180+165)&lt;1,"",INDEX(Calc_Daily!$AD$2:$AD$2001,(Metrics!$H$1-180+165)))</f>
        <v>0</v>
      </c>
      <c r="T166">
        <f>IF((Metrics!$H$1-180+165)&lt;1,"",INDEX(Calc_Daily!$AT$2:$AT$2001,(Metrics!$H$1-180+165)))</f>
        <v>0</v>
      </c>
      <c r="U166">
        <f>IF((Metrics!$H$1-180+165)&lt;1,"",INDEX(Calc_Daily!$AQ$2:$AQ$2001,(Metrics!$H$1-180+165)))</f>
        <v>0</v>
      </c>
      <c r="V166">
        <f>IF((Metrics!$H$1-180+165)&lt;1,"",INDEX(Calc_Daily!$AR$2:$AR$2001,(Metrics!$H$1-180+165)))</f>
        <v>0</v>
      </c>
    </row>
    <row r="167" spans="1:22">
      <c r="A167" s="27">
        <f>IF((Metrics!$H$1-180+166)&lt;1,"",INDEX(Calc_Daily!$A$2:$A$2001,(Metrics!$H$1-180+166)))</f>
        <v>0</v>
      </c>
      <c r="B167">
        <f>IF((Metrics!$H$1-180+166)&lt;1,"",INDEX(Calc_Daily!$B$2:$B$2001,(Metrics!$H$1-180+166)))</f>
        <v>0</v>
      </c>
      <c r="C167">
        <f>IF((Metrics!$H$1-180+166)&lt;1,"",INDEX(Calc_Daily!$C$2:$C$2001,(Metrics!$H$1-180+166)))</f>
        <v>0</v>
      </c>
      <c r="D167">
        <f>IF((Metrics!$H$1-180+166)&lt;1,"",INDEX(Calc_Daily!$D$2:$D$2001,(Metrics!$H$1-180+166)))</f>
        <v>0</v>
      </c>
      <c r="E167">
        <f>IF((Metrics!$H$1-180+166)&lt;1,"",INDEX(Calc_Daily!$E$2:$E$2001,(Metrics!$H$1-180+166)))</f>
        <v>0</v>
      </c>
      <c r="F167">
        <f>IF((Metrics!$H$1-180+166)&lt;1,"",INDEX(Calc_Daily!$H$2:$H$2001,(Metrics!$H$1-180+166)))</f>
        <v>0</v>
      </c>
      <c r="G167">
        <f>IF((Metrics!$H$1-180+166)&lt;1,"",INDEX(Calc_Daily!$I$2:$I$2001,(Metrics!$H$1-180+166)))</f>
        <v>0</v>
      </c>
      <c r="H167">
        <f>IF((Metrics!$H$1-180+166)&lt;1,"",INDEX(Calc_Daily!$J$2:$J$2001,(Metrics!$H$1-180+166)))</f>
        <v>0</v>
      </c>
      <c r="I167">
        <f>IF((Metrics!$H$1-180+166)&lt;1,"",INDEX(Calc_Daily!$K$2:$K$2001,(Metrics!$H$1-180+166)))</f>
        <v>0</v>
      </c>
      <c r="J167">
        <f>IF((Metrics!$H$1-180+166)&lt;1,"",INDEX(Calc_Daily!$N$2:$N$2001,(Metrics!$H$1-180+166)))</f>
        <v>0</v>
      </c>
      <c r="K167">
        <f>IF((Metrics!$H$1-180+166)&lt;1,"",70)</f>
        <v>0</v>
      </c>
      <c r="L167">
        <f>IF((Metrics!$H$1-180+166)&lt;1,"",30)</f>
        <v>0</v>
      </c>
      <c r="M167">
        <f>IF((Metrics!$H$1-180+166)&lt;1,"",INDEX(Calc_Daily!$Q$2:$Q$2001,(Metrics!$H$1-180+166)))</f>
        <v>0</v>
      </c>
      <c r="N167">
        <f>IF((Metrics!$H$1-180+166)&lt;1,"",INDEX(Calc_Daily!$R$2:$R$2001,(Metrics!$H$1-180+166)))</f>
        <v>0</v>
      </c>
      <c r="O167">
        <f>IF((Metrics!$H$1-180+166)&lt;1,"",INDEX(Calc_Daily!$S$2:$S$2001,(Metrics!$H$1-180+166)))</f>
        <v>0</v>
      </c>
      <c r="P167">
        <f>IF((Metrics!$H$1-180+166)&lt;1,"",INDEX(Calc_Daily!$AM$2:$AM$2001,(Metrics!$H$1-180+166)))</f>
        <v>0</v>
      </c>
      <c r="Q167">
        <f>IF((Metrics!$H$1-180+166)&lt;1,"",INDEX(Calc_Daily!$AK$2:$AK$2001,(Metrics!$H$1-180+166)))</f>
        <v>0</v>
      </c>
      <c r="R167">
        <f>IF((Metrics!$H$1-180+166)&lt;1,"",INDEX(Calc_Daily!$AN$2:$AN$2001,(Metrics!$H$1-180+166)))</f>
        <v>0</v>
      </c>
      <c r="S167">
        <f>IF((Metrics!$H$1-180+166)&lt;1,"",INDEX(Calc_Daily!$AD$2:$AD$2001,(Metrics!$H$1-180+166)))</f>
        <v>0</v>
      </c>
      <c r="T167">
        <f>IF((Metrics!$H$1-180+166)&lt;1,"",INDEX(Calc_Daily!$AT$2:$AT$2001,(Metrics!$H$1-180+166)))</f>
        <v>0</v>
      </c>
      <c r="U167">
        <f>IF((Metrics!$H$1-180+166)&lt;1,"",INDEX(Calc_Daily!$AQ$2:$AQ$2001,(Metrics!$H$1-180+166)))</f>
        <v>0</v>
      </c>
      <c r="V167">
        <f>IF((Metrics!$H$1-180+166)&lt;1,"",INDEX(Calc_Daily!$AR$2:$AR$2001,(Metrics!$H$1-180+166)))</f>
        <v>0</v>
      </c>
    </row>
    <row r="168" spans="1:22">
      <c r="A168" s="27">
        <f>IF((Metrics!$H$1-180+167)&lt;1,"",INDEX(Calc_Daily!$A$2:$A$2001,(Metrics!$H$1-180+167)))</f>
        <v>0</v>
      </c>
      <c r="B168">
        <f>IF((Metrics!$H$1-180+167)&lt;1,"",INDEX(Calc_Daily!$B$2:$B$2001,(Metrics!$H$1-180+167)))</f>
        <v>0</v>
      </c>
      <c r="C168">
        <f>IF((Metrics!$H$1-180+167)&lt;1,"",INDEX(Calc_Daily!$C$2:$C$2001,(Metrics!$H$1-180+167)))</f>
        <v>0</v>
      </c>
      <c r="D168">
        <f>IF((Metrics!$H$1-180+167)&lt;1,"",INDEX(Calc_Daily!$D$2:$D$2001,(Metrics!$H$1-180+167)))</f>
        <v>0</v>
      </c>
      <c r="E168">
        <f>IF((Metrics!$H$1-180+167)&lt;1,"",INDEX(Calc_Daily!$E$2:$E$2001,(Metrics!$H$1-180+167)))</f>
        <v>0</v>
      </c>
      <c r="F168">
        <f>IF((Metrics!$H$1-180+167)&lt;1,"",INDEX(Calc_Daily!$H$2:$H$2001,(Metrics!$H$1-180+167)))</f>
        <v>0</v>
      </c>
      <c r="G168">
        <f>IF((Metrics!$H$1-180+167)&lt;1,"",INDEX(Calc_Daily!$I$2:$I$2001,(Metrics!$H$1-180+167)))</f>
        <v>0</v>
      </c>
      <c r="H168">
        <f>IF((Metrics!$H$1-180+167)&lt;1,"",INDEX(Calc_Daily!$J$2:$J$2001,(Metrics!$H$1-180+167)))</f>
        <v>0</v>
      </c>
      <c r="I168">
        <f>IF((Metrics!$H$1-180+167)&lt;1,"",INDEX(Calc_Daily!$K$2:$K$2001,(Metrics!$H$1-180+167)))</f>
        <v>0</v>
      </c>
      <c r="J168">
        <f>IF((Metrics!$H$1-180+167)&lt;1,"",INDEX(Calc_Daily!$N$2:$N$2001,(Metrics!$H$1-180+167)))</f>
        <v>0</v>
      </c>
      <c r="K168">
        <f>IF((Metrics!$H$1-180+167)&lt;1,"",70)</f>
        <v>0</v>
      </c>
      <c r="L168">
        <f>IF((Metrics!$H$1-180+167)&lt;1,"",30)</f>
        <v>0</v>
      </c>
      <c r="M168">
        <f>IF((Metrics!$H$1-180+167)&lt;1,"",INDEX(Calc_Daily!$Q$2:$Q$2001,(Metrics!$H$1-180+167)))</f>
        <v>0</v>
      </c>
      <c r="N168">
        <f>IF((Metrics!$H$1-180+167)&lt;1,"",INDEX(Calc_Daily!$R$2:$R$2001,(Metrics!$H$1-180+167)))</f>
        <v>0</v>
      </c>
      <c r="O168">
        <f>IF((Metrics!$H$1-180+167)&lt;1,"",INDEX(Calc_Daily!$S$2:$S$2001,(Metrics!$H$1-180+167)))</f>
        <v>0</v>
      </c>
      <c r="P168">
        <f>IF((Metrics!$H$1-180+167)&lt;1,"",INDEX(Calc_Daily!$AM$2:$AM$2001,(Metrics!$H$1-180+167)))</f>
        <v>0</v>
      </c>
      <c r="Q168">
        <f>IF((Metrics!$H$1-180+167)&lt;1,"",INDEX(Calc_Daily!$AK$2:$AK$2001,(Metrics!$H$1-180+167)))</f>
        <v>0</v>
      </c>
      <c r="R168">
        <f>IF((Metrics!$H$1-180+167)&lt;1,"",INDEX(Calc_Daily!$AN$2:$AN$2001,(Metrics!$H$1-180+167)))</f>
        <v>0</v>
      </c>
      <c r="S168">
        <f>IF((Metrics!$H$1-180+167)&lt;1,"",INDEX(Calc_Daily!$AD$2:$AD$2001,(Metrics!$H$1-180+167)))</f>
        <v>0</v>
      </c>
      <c r="T168">
        <f>IF((Metrics!$H$1-180+167)&lt;1,"",INDEX(Calc_Daily!$AT$2:$AT$2001,(Metrics!$H$1-180+167)))</f>
        <v>0</v>
      </c>
      <c r="U168">
        <f>IF((Metrics!$H$1-180+167)&lt;1,"",INDEX(Calc_Daily!$AQ$2:$AQ$2001,(Metrics!$H$1-180+167)))</f>
        <v>0</v>
      </c>
      <c r="V168">
        <f>IF((Metrics!$H$1-180+167)&lt;1,"",INDEX(Calc_Daily!$AR$2:$AR$2001,(Metrics!$H$1-180+167)))</f>
        <v>0</v>
      </c>
    </row>
    <row r="169" spans="1:22">
      <c r="A169" s="27">
        <f>IF((Metrics!$H$1-180+168)&lt;1,"",INDEX(Calc_Daily!$A$2:$A$2001,(Metrics!$H$1-180+168)))</f>
        <v>0</v>
      </c>
      <c r="B169">
        <f>IF((Metrics!$H$1-180+168)&lt;1,"",INDEX(Calc_Daily!$B$2:$B$2001,(Metrics!$H$1-180+168)))</f>
        <v>0</v>
      </c>
      <c r="C169">
        <f>IF((Metrics!$H$1-180+168)&lt;1,"",INDEX(Calc_Daily!$C$2:$C$2001,(Metrics!$H$1-180+168)))</f>
        <v>0</v>
      </c>
      <c r="D169">
        <f>IF((Metrics!$H$1-180+168)&lt;1,"",INDEX(Calc_Daily!$D$2:$D$2001,(Metrics!$H$1-180+168)))</f>
        <v>0</v>
      </c>
      <c r="E169">
        <f>IF((Metrics!$H$1-180+168)&lt;1,"",INDEX(Calc_Daily!$E$2:$E$2001,(Metrics!$H$1-180+168)))</f>
        <v>0</v>
      </c>
      <c r="F169">
        <f>IF((Metrics!$H$1-180+168)&lt;1,"",INDEX(Calc_Daily!$H$2:$H$2001,(Metrics!$H$1-180+168)))</f>
        <v>0</v>
      </c>
      <c r="G169">
        <f>IF((Metrics!$H$1-180+168)&lt;1,"",INDEX(Calc_Daily!$I$2:$I$2001,(Metrics!$H$1-180+168)))</f>
        <v>0</v>
      </c>
      <c r="H169">
        <f>IF((Metrics!$H$1-180+168)&lt;1,"",INDEX(Calc_Daily!$J$2:$J$2001,(Metrics!$H$1-180+168)))</f>
        <v>0</v>
      </c>
      <c r="I169">
        <f>IF((Metrics!$H$1-180+168)&lt;1,"",INDEX(Calc_Daily!$K$2:$K$2001,(Metrics!$H$1-180+168)))</f>
        <v>0</v>
      </c>
      <c r="J169">
        <f>IF((Metrics!$H$1-180+168)&lt;1,"",INDEX(Calc_Daily!$N$2:$N$2001,(Metrics!$H$1-180+168)))</f>
        <v>0</v>
      </c>
      <c r="K169">
        <f>IF((Metrics!$H$1-180+168)&lt;1,"",70)</f>
        <v>0</v>
      </c>
      <c r="L169">
        <f>IF((Metrics!$H$1-180+168)&lt;1,"",30)</f>
        <v>0</v>
      </c>
      <c r="M169">
        <f>IF((Metrics!$H$1-180+168)&lt;1,"",INDEX(Calc_Daily!$Q$2:$Q$2001,(Metrics!$H$1-180+168)))</f>
        <v>0</v>
      </c>
      <c r="N169">
        <f>IF((Metrics!$H$1-180+168)&lt;1,"",INDEX(Calc_Daily!$R$2:$R$2001,(Metrics!$H$1-180+168)))</f>
        <v>0</v>
      </c>
      <c r="O169">
        <f>IF((Metrics!$H$1-180+168)&lt;1,"",INDEX(Calc_Daily!$S$2:$S$2001,(Metrics!$H$1-180+168)))</f>
        <v>0</v>
      </c>
      <c r="P169">
        <f>IF((Metrics!$H$1-180+168)&lt;1,"",INDEX(Calc_Daily!$AM$2:$AM$2001,(Metrics!$H$1-180+168)))</f>
        <v>0</v>
      </c>
      <c r="Q169">
        <f>IF((Metrics!$H$1-180+168)&lt;1,"",INDEX(Calc_Daily!$AK$2:$AK$2001,(Metrics!$H$1-180+168)))</f>
        <v>0</v>
      </c>
      <c r="R169">
        <f>IF((Metrics!$H$1-180+168)&lt;1,"",INDEX(Calc_Daily!$AN$2:$AN$2001,(Metrics!$H$1-180+168)))</f>
        <v>0</v>
      </c>
      <c r="S169">
        <f>IF((Metrics!$H$1-180+168)&lt;1,"",INDEX(Calc_Daily!$AD$2:$AD$2001,(Metrics!$H$1-180+168)))</f>
        <v>0</v>
      </c>
      <c r="T169">
        <f>IF((Metrics!$H$1-180+168)&lt;1,"",INDEX(Calc_Daily!$AT$2:$AT$2001,(Metrics!$H$1-180+168)))</f>
        <v>0</v>
      </c>
      <c r="U169">
        <f>IF((Metrics!$H$1-180+168)&lt;1,"",INDEX(Calc_Daily!$AQ$2:$AQ$2001,(Metrics!$H$1-180+168)))</f>
        <v>0</v>
      </c>
      <c r="V169">
        <f>IF((Metrics!$H$1-180+168)&lt;1,"",INDEX(Calc_Daily!$AR$2:$AR$2001,(Metrics!$H$1-180+168)))</f>
        <v>0</v>
      </c>
    </row>
    <row r="170" spans="1:22">
      <c r="A170" s="27">
        <f>IF((Metrics!$H$1-180+169)&lt;1,"",INDEX(Calc_Daily!$A$2:$A$2001,(Metrics!$H$1-180+169)))</f>
        <v>0</v>
      </c>
      <c r="B170">
        <f>IF((Metrics!$H$1-180+169)&lt;1,"",INDEX(Calc_Daily!$B$2:$B$2001,(Metrics!$H$1-180+169)))</f>
        <v>0</v>
      </c>
      <c r="C170">
        <f>IF((Metrics!$H$1-180+169)&lt;1,"",INDEX(Calc_Daily!$C$2:$C$2001,(Metrics!$H$1-180+169)))</f>
        <v>0</v>
      </c>
      <c r="D170">
        <f>IF((Metrics!$H$1-180+169)&lt;1,"",INDEX(Calc_Daily!$D$2:$D$2001,(Metrics!$H$1-180+169)))</f>
        <v>0</v>
      </c>
      <c r="E170">
        <f>IF((Metrics!$H$1-180+169)&lt;1,"",INDEX(Calc_Daily!$E$2:$E$2001,(Metrics!$H$1-180+169)))</f>
        <v>0</v>
      </c>
      <c r="F170">
        <f>IF((Metrics!$H$1-180+169)&lt;1,"",INDEX(Calc_Daily!$H$2:$H$2001,(Metrics!$H$1-180+169)))</f>
        <v>0</v>
      </c>
      <c r="G170">
        <f>IF((Metrics!$H$1-180+169)&lt;1,"",INDEX(Calc_Daily!$I$2:$I$2001,(Metrics!$H$1-180+169)))</f>
        <v>0</v>
      </c>
      <c r="H170">
        <f>IF((Metrics!$H$1-180+169)&lt;1,"",INDEX(Calc_Daily!$J$2:$J$2001,(Metrics!$H$1-180+169)))</f>
        <v>0</v>
      </c>
      <c r="I170">
        <f>IF((Metrics!$H$1-180+169)&lt;1,"",INDEX(Calc_Daily!$K$2:$K$2001,(Metrics!$H$1-180+169)))</f>
        <v>0</v>
      </c>
      <c r="J170">
        <f>IF((Metrics!$H$1-180+169)&lt;1,"",INDEX(Calc_Daily!$N$2:$N$2001,(Metrics!$H$1-180+169)))</f>
        <v>0</v>
      </c>
      <c r="K170">
        <f>IF((Metrics!$H$1-180+169)&lt;1,"",70)</f>
        <v>0</v>
      </c>
      <c r="L170">
        <f>IF((Metrics!$H$1-180+169)&lt;1,"",30)</f>
        <v>0</v>
      </c>
      <c r="M170">
        <f>IF((Metrics!$H$1-180+169)&lt;1,"",INDEX(Calc_Daily!$Q$2:$Q$2001,(Metrics!$H$1-180+169)))</f>
        <v>0</v>
      </c>
      <c r="N170">
        <f>IF((Metrics!$H$1-180+169)&lt;1,"",INDEX(Calc_Daily!$R$2:$R$2001,(Metrics!$H$1-180+169)))</f>
        <v>0</v>
      </c>
      <c r="O170">
        <f>IF((Metrics!$H$1-180+169)&lt;1,"",INDEX(Calc_Daily!$S$2:$S$2001,(Metrics!$H$1-180+169)))</f>
        <v>0</v>
      </c>
      <c r="P170">
        <f>IF((Metrics!$H$1-180+169)&lt;1,"",INDEX(Calc_Daily!$AM$2:$AM$2001,(Metrics!$H$1-180+169)))</f>
        <v>0</v>
      </c>
      <c r="Q170">
        <f>IF((Metrics!$H$1-180+169)&lt;1,"",INDEX(Calc_Daily!$AK$2:$AK$2001,(Metrics!$H$1-180+169)))</f>
        <v>0</v>
      </c>
      <c r="R170">
        <f>IF((Metrics!$H$1-180+169)&lt;1,"",INDEX(Calc_Daily!$AN$2:$AN$2001,(Metrics!$H$1-180+169)))</f>
        <v>0</v>
      </c>
      <c r="S170">
        <f>IF((Metrics!$H$1-180+169)&lt;1,"",INDEX(Calc_Daily!$AD$2:$AD$2001,(Metrics!$H$1-180+169)))</f>
        <v>0</v>
      </c>
      <c r="T170">
        <f>IF((Metrics!$H$1-180+169)&lt;1,"",INDEX(Calc_Daily!$AT$2:$AT$2001,(Metrics!$H$1-180+169)))</f>
        <v>0</v>
      </c>
      <c r="U170">
        <f>IF((Metrics!$H$1-180+169)&lt;1,"",INDEX(Calc_Daily!$AQ$2:$AQ$2001,(Metrics!$H$1-180+169)))</f>
        <v>0</v>
      </c>
      <c r="V170">
        <f>IF((Metrics!$H$1-180+169)&lt;1,"",INDEX(Calc_Daily!$AR$2:$AR$2001,(Metrics!$H$1-180+169)))</f>
        <v>0</v>
      </c>
    </row>
    <row r="171" spans="1:22">
      <c r="A171" s="27">
        <f>IF((Metrics!$H$1-180+170)&lt;1,"",INDEX(Calc_Daily!$A$2:$A$2001,(Metrics!$H$1-180+170)))</f>
        <v>0</v>
      </c>
      <c r="B171">
        <f>IF((Metrics!$H$1-180+170)&lt;1,"",INDEX(Calc_Daily!$B$2:$B$2001,(Metrics!$H$1-180+170)))</f>
        <v>0</v>
      </c>
      <c r="C171">
        <f>IF((Metrics!$H$1-180+170)&lt;1,"",INDEX(Calc_Daily!$C$2:$C$2001,(Metrics!$H$1-180+170)))</f>
        <v>0</v>
      </c>
      <c r="D171">
        <f>IF((Metrics!$H$1-180+170)&lt;1,"",INDEX(Calc_Daily!$D$2:$D$2001,(Metrics!$H$1-180+170)))</f>
        <v>0</v>
      </c>
      <c r="E171">
        <f>IF((Metrics!$H$1-180+170)&lt;1,"",INDEX(Calc_Daily!$E$2:$E$2001,(Metrics!$H$1-180+170)))</f>
        <v>0</v>
      </c>
      <c r="F171">
        <f>IF((Metrics!$H$1-180+170)&lt;1,"",INDEX(Calc_Daily!$H$2:$H$2001,(Metrics!$H$1-180+170)))</f>
        <v>0</v>
      </c>
      <c r="G171">
        <f>IF((Metrics!$H$1-180+170)&lt;1,"",INDEX(Calc_Daily!$I$2:$I$2001,(Metrics!$H$1-180+170)))</f>
        <v>0</v>
      </c>
      <c r="H171">
        <f>IF((Metrics!$H$1-180+170)&lt;1,"",INDEX(Calc_Daily!$J$2:$J$2001,(Metrics!$H$1-180+170)))</f>
        <v>0</v>
      </c>
      <c r="I171">
        <f>IF((Metrics!$H$1-180+170)&lt;1,"",INDEX(Calc_Daily!$K$2:$K$2001,(Metrics!$H$1-180+170)))</f>
        <v>0</v>
      </c>
      <c r="J171">
        <f>IF((Metrics!$H$1-180+170)&lt;1,"",INDEX(Calc_Daily!$N$2:$N$2001,(Metrics!$H$1-180+170)))</f>
        <v>0</v>
      </c>
      <c r="K171">
        <f>IF((Metrics!$H$1-180+170)&lt;1,"",70)</f>
        <v>0</v>
      </c>
      <c r="L171">
        <f>IF((Metrics!$H$1-180+170)&lt;1,"",30)</f>
        <v>0</v>
      </c>
      <c r="M171">
        <f>IF((Metrics!$H$1-180+170)&lt;1,"",INDEX(Calc_Daily!$Q$2:$Q$2001,(Metrics!$H$1-180+170)))</f>
        <v>0</v>
      </c>
      <c r="N171">
        <f>IF((Metrics!$H$1-180+170)&lt;1,"",INDEX(Calc_Daily!$R$2:$R$2001,(Metrics!$H$1-180+170)))</f>
        <v>0</v>
      </c>
      <c r="O171">
        <f>IF((Metrics!$H$1-180+170)&lt;1,"",INDEX(Calc_Daily!$S$2:$S$2001,(Metrics!$H$1-180+170)))</f>
        <v>0</v>
      </c>
      <c r="P171">
        <f>IF((Metrics!$H$1-180+170)&lt;1,"",INDEX(Calc_Daily!$AM$2:$AM$2001,(Metrics!$H$1-180+170)))</f>
        <v>0</v>
      </c>
      <c r="Q171">
        <f>IF((Metrics!$H$1-180+170)&lt;1,"",INDEX(Calc_Daily!$AK$2:$AK$2001,(Metrics!$H$1-180+170)))</f>
        <v>0</v>
      </c>
      <c r="R171">
        <f>IF((Metrics!$H$1-180+170)&lt;1,"",INDEX(Calc_Daily!$AN$2:$AN$2001,(Metrics!$H$1-180+170)))</f>
        <v>0</v>
      </c>
      <c r="S171">
        <f>IF((Metrics!$H$1-180+170)&lt;1,"",INDEX(Calc_Daily!$AD$2:$AD$2001,(Metrics!$H$1-180+170)))</f>
        <v>0</v>
      </c>
      <c r="T171">
        <f>IF((Metrics!$H$1-180+170)&lt;1,"",INDEX(Calc_Daily!$AT$2:$AT$2001,(Metrics!$H$1-180+170)))</f>
        <v>0</v>
      </c>
      <c r="U171">
        <f>IF((Metrics!$H$1-180+170)&lt;1,"",INDEX(Calc_Daily!$AQ$2:$AQ$2001,(Metrics!$H$1-180+170)))</f>
        <v>0</v>
      </c>
      <c r="V171">
        <f>IF((Metrics!$H$1-180+170)&lt;1,"",INDEX(Calc_Daily!$AR$2:$AR$2001,(Metrics!$H$1-180+170)))</f>
        <v>0</v>
      </c>
    </row>
    <row r="172" spans="1:22">
      <c r="A172" s="27">
        <f>IF((Metrics!$H$1-180+171)&lt;1,"",INDEX(Calc_Daily!$A$2:$A$2001,(Metrics!$H$1-180+171)))</f>
        <v>0</v>
      </c>
      <c r="B172">
        <f>IF((Metrics!$H$1-180+171)&lt;1,"",INDEX(Calc_Daily!$B$2:$B$2001,(Metrics!$H$1-180+171)))</f>
        <v>0</v>
      </c>
      <c r="C172">
        <f>IF((Metrics!$H$1-180+171)&lt;1,"",INDEX(Calc_Daily!$C$2:$C$2001,(Metrics!$H$1-180+171)))</f>
        <v>0</v>
      </c>
      <c r="D172">
        <f>IF((Metrics!$H$1-180+171)&lt;1,"",INDEX(Calc_Daily!$D$2:$D$2001,(Metrics!$H$1-180+171)))</f>
        <v>0</v>
      </c>
      <c r="E172">
        <f>IF((Metrics!$H$1-180+171)&lt;1,"",INDEX(Calc_Daily!$E$2:$E$2001,(Metrics!$H$1-180+171)))</f>
        <v>0</v>
      </c>
      <c r="F172">
        <f>IF((Metrics!$H$1-180+171)&lt;1,"",INDEX(Calc_Daily!$H$2:$H$2001,(Metrics!$H$1-180+171)))</f>
        <v>0</v>
      </c>
      <c r="G172">
        <f>IF((Metrics!$H$1-180+171)&lt;1,"",INDEX(Calc_Daily!$I$2:$I$2001,(Metrics!$H$1-180+171)))</f>
        <v>0</v>
      </c>
      <c r="H172">
        <f>IF((Metrics!$H$1-180+171)&lt;1,"",INDEX(Calc_Daily!$J$2:$J$2001,(Metrics!$H$1-180+171)))</f>
        <v>0</v>
      </c>
      <c r="I172">
        <f>IF((Metrics!$H$1-180+171)&lt;1,"",INDEX(Calc_Daily!$K$2:$K$2001,(Metrics!$H$1-180+171)))</f>
        <v>0</v>
      </c>
      <c r="J172">
        <f>IF((Metrics!$H$1-180+171)&lt;1,"",INDEX(Calc_Daily!$N$2:$N$2001,(Metrics!$H$1-180+171)))</f>
        <v>0</v>
      </c>
      <c r="K172">
        <f>IF((Metrics!$H$1-180+171)&lt;1,"",70)</f>
        <v>0</v>
      </c>
      <c r="L172">
        <f>IF((Metrics!$H$1-180+171)&lt;1,"",30)</f>
        <v>0</v>
      </c>
      <c r="M172">
        <f>IF((Metrics!$H$1-180+171)&lt;1,"",INDEX(Calc_Daily!$Q$2:$Q$2001,(Metrics!$H$1-180+171)))</f>
        <v>0</v>
      </c>
      <c r="N172">
        <f>IF((Metrics!$H$1-180+171)&lt;1,"",INDEX(Calc_Daily!$R$2:$R$2001,(Metrics!$H$1-180+171)))</f>
        <v>0</v>
      </c>
      <c r="O172">
        <f>IF((Metrics!$H$1-180+171)&lt;1,"",INDEX(Calc_Daily!$S$2:$S$2001,(Metrics!$H$1-180+171)))</f>
        <v>0</v>
      </c>
      <c r="P172">
        <f>IF((Metrics!$H$1-180+171)&lt;1,"",INDEX(Calc_Daily!$AM$2:$AM$2001,(Metrics!$H$1-180+171)))</f>
        <v>0</v>
      </c>
      <c r="Q172">
        <f>IF((Metrics!$H$1-180+171)&lt;1,"",INDEX(Calc_Daily!$AK$2:$AK$2001,(Metrics!$H$1-180+171)))</f>
        <v>0</v>
      </c>
      <c r="R172">
        <f>IF((Metrics!$H$1-180+171)&lt;1,"",INDEX(Calc_Daily!$AN$2:$AN$2001,(Metrics!$H$1-180+171)))</f>
        <v>0</v>
      </c>
      <c r="S172">
        <f>IF((Metrics!$H$1-180+171)&lt;1,"",INDEX(Calc_Daily!$AD$2:$AD$2001,(Metrics!$H$1-180+171)))</f>
        <v>0</v>
      </c>
      <c r="T172">
        <f>IF((Metrics!$H$1-180+171)&lt;1,"",INDEX(Calc_Daily!$AT$2:$AT$2001,(Metrics!$H$1-180+171)))</f>
        <v>0</v>
      </c>
      <c r="U172">
        <f>IF((Metrics!$H$1-180+171)&lt;1,"",INDEX(Calc_Daily!$AQ$2:$AQ$2001,(Metrics!$H$1-180+171)))</f>
        <v>0</v>
      </c>
      <c r="V172">
        <f>IF((Metrics!$H$1-180+171)&lt;1,"",INDEX(Calc_Daily!$AR$2:$AR$2001,(Metrics!$H$1-180+171)))</f>
        <v>0</v>
      </c>
    </row>
    <row r="173" spans="1:22">
      <c r="A173" s="27">
        <f>IF((Metrics!$H$1-180+172)&lt;1,"",INDEX(Calc_Daily!$A$2:$A$2001,(Metrics!$H$1-180+172)))</f>
        <v>0</v>
      </c>
      <c r="B173">
        <f>IF((Metrics!$H$1-180+172)&lt;1,"",INDEX(Calc_Daily!$B$2:$B$2001,(Metrics!$H$1-180+172)))</f>
        <v>0</v>
      </c>
      <c r="C173">
        <f>IF((Metrics!$H$1-180+172)&lt;1,"",INDEX(Calc_Daily!$C$2:$C$2001,(Metrics!$H$1-180+172)))</f>
        <v>0</v>
      </c>
      <c r="D173">
        <f>IF((Metrics!$H$1-180+172)&lt;1,"",INDEX(Calc_Daily!$D$2:$D$2001,(Metrics!$H$1-180+172)))</f>
        <v>0</v>
      </c>
      <c r="E173">
        <f>IF((Metrics!$H$1-180+172)&lt;1,"",INDEX(Calc_Daily!$E$2:$E$2001,(Metrics!$H$1-180+172)))</f>
        <v>0</v>
      </c>
      <c r="F173">
        <f>IF((Metrics!$H$1-180+172)&lt;1,"",INDEX(Calc_Daily!$H$2:$H$2001,(Metrics!$H$1-180+172)))</f>
        <v>0</v>
      </c>
      <c r="G173">
        <f>IF((Metrics!$H$1-180+172)&lt;1,"",INDEX(Calc_Daily!$I$2:$I$2001,(Metrics!$H$1-180+172)))</f>
        <v>0</v>
      </c>
      <c r="H173">
        <f>IF((Metrics!$H$1-180+172)&lt;1,"",INDEX(Calc_Daily!$J$2:$J$2001,(Metrics!$H$1-180+172)))</f>
        <v>0</v>
      </c>
      <c r="I173">
        <f>IF((Metrics!$H$1-180+172)&lt;1,"",INDEX(Calc_Daily!$K$2:$K$2001,(Metrics!$H$1-180+172)))</f>
        <v>0</v>
      </c>
      <c r="J173">
        <f>IF((Metrics!$H$1-180+172)&lt;1,"",INDEX(Calc_Daily!$N$2:$N$2001,(Metrics!$H$1-180+172)))</f>
        <v>0</v>
      </c>
      <c r="K173">
        <f>IF((Metrics!$H$1-180+172)&lt;1,"",70)</f>
        <v>0</v>
      </c>
      <c r="L173">
        <f>IF((Metrics!$H$1-180+172)&lt;1,"",30)</f>
        <v>0</v>
      </c>
      <c r="M173">
        <f>IF((Metrics!$H$1-180+172)&lt;1,"",INDEX(Calc_Daily!$Q$2:$Q$2001,(Metrics!$H$1-180+172)))</f>
        <v>0</v>
      </c>
      <c r="N173">
        <f>IF((Metrics!$H$1-180+172)&lt;1,"",INDEX(Calc_Daily!$R$2:$R$2001,(Metrics!$H$1-180+172)))</f>
        <v>0</v>
      </c>
      <c r="O173">
        <f>IF((Metrics!$H$1-180+172)&lt;1,"",INDEX(Calc_Daily!$S$2:$S$2001,(Metrics!$H$1-180+172)))</f>
        <v>0</v>
      </c>
      <c r="P173">
        <f>IF((Metrics!$H$1-180+172)&lt;1,"",INDEX(Calc_Daily!$AM$2:$AM$2001,(Metrics!$H$1-180+172)))</f>
        <v>0</v>
      </c>
      <c r="Q173">
        <f>IF((Metrics!$H$1-180+172)&lt;1,"",INDEX(Calc_Daily!$AK$2:$AK$2001,(Metrics!$H$1-180+172)))</f>
        <v>0</v>
      </c>
      <c r="R173">
        <f>IF((Metrics!$H$1-180+172)&lt;1,"",INDEX(Calc_Daily!$AN$2:$AN$2001,(Metrics!$H$1-180+172)))</f>
        <v>0</v>
      </c>
      <c r="S173">
        <f>IF((Metrics!$H$1-180+172)&lt;1,"",INDEX(Calc_Daily!$AD$2:$AD$2001,(Metrics!$H$1-180+172)))</f>
        <v>0</v>
      </c>
      <c r="T173">
        <f>IF((Metrics!$H$1-180+172)&lt;1,"",INDEX(Calc_Daily!$AT$2:$AT$2001,(Metrics!$H$1-180+172)))</f>
        <v>0</v>
      </c>
      <c r="U173">
        <f>IF((Metrics!$H$1-180+172)&lt;1,"",INDEX(Calc_Daily!$AQ$2:$AQ$2001,(Metrics!$H$1-180+172)))</f>
        <v>0</v>
      </c>
      <c r="V173">
        <f>IF((Metrics!$H$1-180+172)&lt;1,"",INDEX(Calc_Daily!$AR$2:$AR$2001,(Metrics!$H$1-180+172)))</f>
        <v>0</v>
      </c>
    </row>
    <row r="174" spans="1:22">
      <c r="A174" s="27">
        <f>IF((Metrics!$H$1-180+173)&lt;1,"",INDEX(Calc_Daily!$A$2:$A$2001,(Metrics!$H$1-180+173)))</f>
        <v>0</v>
      </c>
      <c r="B174">
        <f>IF((Metrics!$H$1-180+173)&lt;1,"",INDEX(Calc_Daily!$B$2:$B$2001,(Metrics!$H$1-180+173)))</f>
        <v>0</v>
      </c>
      <c r="C174">
        <f>IF((Metrics!$H$1-180+173)&lt;1,"",INDEX(Calc_Daily!$C$2:$C$2001,(Metrics!$H$1-180+173)))</f>
        <v>0</v>
      </c>
      <c r="D174">
        <f>IF((Metrics!$H$1-180+173)&lt;1,"",INDEX(Calc_Daily!$D$2:$D$2001,(Metrics!$H$1-180+173)))</f>
        <v>0</v>
      </c>
      <c r="E174">
        <f>IF((Metrics!$H$1-180+173)&lt;1,"",INDEX(Calc_Daily!$E$2:$E$2001,(Metrics!$H$1-180+173)))</f>
        <v>0</v>
      </c>
      <c r="F174">
        <f>IF((Metrics!$H$1-180+173)&lt;1,"",INDEX(Calc_Daily!$H$2:$H$2001,(Metrics!$H$1-180+173)))</f>
        <v>0</v>
      </c>
      <c r="G174">
        <f>IF((Metrics!$H$1-180+173)&lt;1,"",INDEX(Calc_Daily!$I$2:$I$2001,(Metrics!$H$1-180+173)))</f>
        <v>0</v>
      </c>
      <c r="H174">
        <f>IF((Metrics!$H$1-180+173)&lt;1,"",INDEX(Calc_Daily!$J$2:$J$2001,(Metrics!$H$1-180+173)))</f>
        <v>0</v>
      </c>
      <c r="I174">
        <f>IF((Metrics!$H$1-180+173)&lt;1,"",INDEX(Calc_Daily!$K$2:$K$2001,(Metrics!$H$1-180+173)))</f>
        <v>0</v>
      </c>
      <c r="J174">
        <f>IF((Metrics!$H$1-180+173)&lt;1,"",INDEX(Calc_Daily!$N$2:$N$2001,(Metrics!$H$1-180+173)))</f>
        <v>0</v>
      </c>
      <c r="K174">
        <f>IF((Metrics!$H$1-180+173)&lt;1,"",70)</f>
        <v>0</v>
      </c>
      <c r="L174">
        <f>IF((Metrics!$H$1-180+173)&lt;1,"",30)</f>
        <v>0</v>
      </c>
      <c r="M174">
        <f>IF((Metrics!$H$1-180+173)&lt;1,"",INDEX(Calc_Daily!$Q$2:$Q$2001,(Metrics!$H$1-180+173)))</f>
        <v>0</v>
      </c>
      <c r="N174">
        <f>IF((Metrics!$H$1-180+173)&lt;1,"",INDEX(Calc_Daily!$R$2:$R$2001,(Metrics!$H$1-180+173)))</f>
        <v>0</v>
      </c>
      <c r="O174">
        <f>IF((Metrics!$H$1-180+173)&lt;1,"",INDEX(Calc_Daily!$S$2:$S$2001,(Metrics!$H$1-180+173)))</f>
        <v>0</v>
      </c>
      <c r="P174">
        <f>IF((Metrics!$H$1-180+173)&lt;1,"",INDEX(Calc_Daily!$AM$2:$AM$2001,(Metrics!$H$1-180+173)))</f>
        <v>0</v>
      </c>
      <c r="Q174">
        <f>IF((Metrics!$H$1-180+173)&lt;1,"",INDEX(Calc_Daily!$AK$2:$AK$2001,(Metrics!$H$1-180+173)))</f>
        <v>0</v>
      </c>
      <c r="R174">
        <f>IF((Metrics!$H$1-180+173)&lt;1,"",INDEX(Calc_Daily!$AN$2:$AN$2001,(Metrics!$H$1-180+173)))</f>
        <v>0</v>
      </c>
      <c r="S174">
        <f>IF((Metrics!$H$1-180+173)&lt;1,"",INDEX(Calc_Daily!$AD$2:$AD$2001,(Metrics!$H$1-180+173)))</f>
        <v>0</v>
      </c>
      <c r="T174">
        <f>IF((Metrics!$H$1-180+173)&lt;1,"",INDEX(Calc_Daily!$AT$2:$AT$2001,(Metrics!$H$1-180+173)))</f>
        <v>0</v>
      </c>
      <c r="U174">
        <f>IF((Metrics!$H$1-180+173)&lt;1,"",INDEX(Calc_Daily!$AQ$2:$AQ$2001,(Metrics!$H$1-180+173)))</f>
        <v>0</v>
      </c>
      <c r="V174">
        <f>IF((Metrics!$H$1-180+173)&lt;1,"",INDEX(Calc_Daily!$AR$2:$AR$2001,(Metrics!$H$1-180+173)))</f>
        <v>0</v>
      </c>
    </row>
    <row r="175" spans="1:22">
      <c r="A175" s="27">
        <f>IF((Metrics!$H$1-180+174)&lt;1,"",INDEX(Calc_Daily!$A$2:$A$2001,(Metrics!$H$1-180+174)))</f>
        <v>0</v>
      </c>
      <c r="B175">
        <f>IF((Metrics!$H$1-180+174)&lt;1,"",INDEX(Calc_Daily!$B$2:$B$2001,(Metrics!$H$1-180+174)))</f>
        <v>0</v>
      </c>
      <c r="C175">
        <f>IF((Metrics!$H$1-180+174)&lt;1,"",INDEX(Calc_Daily!$C$2:$C$2001,(Metrics!$H$1-180+174)))</f>
        <v>0</v>
      </c>
      <c r="D175">
        <f>IF((Metrics!$H$1-180+174)&lt;1,"",INDEX(Calc_Daily!$D$2:$D$2001,(Metrics!$H$1-180+174)))</f>
        <v>0</v>
      </c>
      <c r="E175">
        <f>IF((Metrics!$H$1-180+174)&lt;1,"",INDEX(Calc_Daily!$E$2:$E$2001,(Metrics!$H$1-180+174)))</f>
        <v>0</v>
      </c>
      <c r="F175">
        <f>IF((Metrics!$H$1-180+174)&lt;1,"",INDEX(Calc_Daily!$H$2:$H$2001,(Metrics!$H$1-180+174)))</f>
        <v>0</v>
      </c>
      <c r="G175">
        <f>IF((Metrics!$H$1-180+174)&lt;1,"",INDEX(Calc_Daily!$I$2:$I$2001,(Metrics!$H$1-180+174)))</f>
        <v>0</v>
      </c>
      <c r="H175">
        <f>IF((Metrics!$H$1-180+174)&lt;1,"",INDEX(Calc_Daily!$J$2:$J$2001,(Metrics!$H$1-180+174)))</f>
        <v>0</v>
      </c>
      <c r="I175">
        <f>IF((Metrics!$H$1-180+174)&lt;1,"",INDEX(Calc_Daily!$K$2:$K$2001,(Metrics!$H$1-180+174)))</f>
        <v>0</v>
      </c>
      <c r="J175">
        <f>IF((Metrics!$H$1-180+174)&lt;1,"",INDEX(Calc_Daily!$N$2:$N$2001,(Metrics!$H$1-180+174)))</f>
        <v>0</v>
      </c>
      <c r="K175">
        <f>IF((Metrics!$H$1-180+174)&lt;1,"",70)</f>
        <v>0</v>
      </c>
      <c r="L175">
        <f>IF((Metrics!$H$1-180+174)&lt;1,"",30)</f>
        <v>0</v>
      </c>
      <c r="M175">
        <f>IF((Metrics!$H$1-180+174)&lt;1,"",INDEX(Calc_Daily!$Q$2:$Q$2001,(Metrics!$H$1-180+174)))</f>
        <v>0</v>
      </c>
      <c r="N175">
        <f>IF((Metrics!$H$1-180+174)&lt;1,"",INDEX(Calc_Daily!$R$2:$R$2001,(Metrics!$H$1-180+174)))</f>
        <v>0</v>
      </c>
      <c r="O175">
        <f>IF((Metrics!$H$1-180+174)&lt;1,"",INDEX(Calc_Daily!$S$2:$S$2001,(Metrics!$H$1-180+174)))</f>
        <v>0</v>
      </c>
      <c r="P175">
        <f>IF((Metrics!$H$1-180+174)&lt;1,"",INDEX(Calc_Daily!$AM$2:$AM$2001,(Metrics!$H$1-180+174)))</f>
        <v>0</v>
      </c>
      <c r="Q175">
        <f>IF((Metrics!$H$1-180+174)&lt;1,"",INDEX(Calc_Daily!$AK$2:$AK$2001,(Metrics!$H$1-180+174)))</f>
        <v>0</v>
      </c>
      <c r="R175">
        <f>IF((Metrics!$H$1-180+174)&lt;1,"",INDEX(Calc_Daily!$AN$2:$AN$2001,(Metrics!$H$1-180+174)))</f>
        <v>0</v>
      </c>
      <c r="S175">
        <f>IF((Metrics!$H$1-180+174)&lt;1,"",INDEX(Calc_Daily!$AD$2:$AD$2001,(Metrics!$H$1-180+174)))</f>
        <v>0</v>
      </c>
      <c r="T175">
        <f>IF((Metrics!$H$1-180+174)&lt;1,"",INDEX(Calc_Daily!$AT$2:$AT$2001,(Metrics!$H$1-180+174)))</f>
        <v>0</v>
      </c>
      <c r="U175">
        <f>IF((Metrics!$H$1-180+174)&lt;1,"",INDEX(Calc_Daily!$AQ$2:$AQ$2001,(Metrics!$H$1-180+174)))</f>
        <v>0</v>
      </c>
      <c r="V175">
        <f>IF((Metrics!$H$1-180+174)&lt;1,"",INDEX(Calc_Daily!$AR$2:$AR$2001,(Metrics!$H$1-180+174)))</f>
        <v>0</v>
      </c>
    </row>
    <row r="176" spans="1:22">
      <c r="A176" s="27">
        <f>IF((Metrics!$H$1-180+175)&lt;1,"",INDEX(Calc_Daily!$A$2:$A$2001,(Metrics!$H$1-180+175)))</f>
        <v>0</v>
      </c>
      <c r="B176">
        <f>IF((Metrics!$H$1-180+175)&lt;1,"",INDEX(Calc_Daily!$B$2:$B$2001,(Metrics!$H$1-180+175)))</f>
        <v>0</v>
      </c>
      <c r="C176">
        <f>IF((Metrics!$H$1-180+175)&lt;1,"",INDEX(Calc_Daily!$C$2:$C$2001,(Metrics!$H$1-180+175)))</f>
        <v>0</v>
      </c>
      <c r="D176">
        <f>IF((Metrics!$H$1-180+175)&lt;1,"",INDEX(Calc_Daily!$D$2:$D$2001,(Metrics!$H$1-180+175)))</f>
        <v>0</v>
      </c>
      <c r="E176">
        <f>IF((Metrics!$H$1-180+175)&lt;1,"",INDEX(Calc_Daily!$E$2:$E$2001,(Metrics!$H$1-180+175)))</f>
        <v>0</v>
      </c>
      <c r="F176">
        <f>IF((Metrics!$H$1-180+175)&lt;1,"",INDEX(Calc_Daily!$H$2:$H$2001,(Metrics!$H$1-180+175)))</f>
        <v>0</v>
      </c>
      <c r="G176">
        <f>IF((Metrics!$H$1-180+175)&lt;1,"",INDEX(Calc_Daily!$I$2:$I$2001,(Metrics!$H$1-180+175)))</f>
        <v>0</v>
      </c>
      <c r="H176">
        <f>IF((Metrics!$H$1-180+175)&lt;1,"",INDEX(Calc_Daily!$J$2:$J$2001,(Metrics!$H$1-180+175)))</f>
        <v>0</v>
      </c>
      <c r="I176">
        <f>IF((Metrics!$H$1-180+175)&lt;1,"",INDEX(Calc_Daily!$K$2:$K$2001,(Metrics!$H$1-180+175)))</f>
        <v>0</v>
      </c>
      <c r="J176">
        <f>IF((Metrics!$H$1-180+175)&lt;1,"",INDEX(Calc_Daily!$N$2:$N$2001,(Metrics!$H$1-180+175)))</f>
        <v>0</v>
      </c>
      <c r="K176">
        <f>IF((Metrics!$H$1-180+175)&lt;1,"",70)</f>
        <v>0</v>
      </c>
      <c r="L176">
        <f>IF((Metrics!$H$1-180+175)&lt;1,"",30)</f>
        <v>0</v>
      </c>
      <c r="M176">
        <f>IF((Metrics!$H$1-180+175)&lt;1,"",INDEX(Calc_Daily!$Q$2:$Q$2001,(Metrics!$H$1-180+175)))</f>
        <v>0</v>
      </c>
      <c r="N176">
        <f>IF((Metrics!$H$1-180+175)&lt;1,"",INDEX(Calc_Daily!$R$2:$R$2001,(Metrics!$H$1-180+175)))</f>
        <v>0</v>
      </c>
      <c r="O176">
        <f>IF((Metrics!$H$1-180+175)&lt;1,"",INDEX(Calc_Daily!$S$2:$S$2001,(Metrics!$H$1-180+175)))</f>
        <v>0</v>
      </c>
      <c r="P176">
        <f>IF((Metrics!$H$1-180+175)&lt;1,"",INDEX(Calc_Daily!$AM$2:$AM$2001,(Metrics!$H$1-180+175)))</f>
        <v>0</v>
      </c>
      <c r="Q176">
        <f>IF((Metrics!$H$1-180+175)&lt;1,"",INDEX(Calc_Daily!$AK$2:$AK$2001,(Metrics!$H$1-180+175)))</f>
        <v>0</v>
      </c>
      <c r="R176">
        <f>IF((Metrics!$H$1-180+175)&lt;1,"",INDEX(Calc_Daily!$AN$2:$AN$2001,(Metrics!$H$1-180+175)))</f>
        <v>0</v>
      </c>
      <c r="S176">
        <f>IF((Metrics!$H$1-180+175)&lt;1,"",INDEX(Calc_Daily!$AD$2:$AD$2001,(Metrics!$H$1-180+175)))</f>
        <v>0</v>
      </c>
      <c r="T176">
        <f>IF((Metrics!$H$1-180+175)&lt;1,"",INDEX(Calc_Daily!$AT$2:$AT$2001,(Metrics!$H$1-180+175)))</f>
        <v>0</v>
      </c>
      <c r="U176">
        <f>IF((Metrics!$H$1-180+175)&lt;1,"",INDEX(Calc_Daily!$AQ$2:$AQ$2001,(Metrics!$H$1-180+175)))</f>
        <v>0</v>
      </c>
      <c r="V176">
        <f>IF((Metrics!$H$1-180+175)&lt;1,"",INDEX(Calc_Daily!$AR$2:$AR$2001,(Metrics!$H$1-180+175)))</f>
        <v>0</v>
      </c>
    </row>
    <row r="177" spans="1:22">
      <c r="A177" s="27">
        <f>IF((Metrics!$H$1-180+176)&lt;1,"",INDEX(Calc_Daily!$A$2:$A$2001,(Metrics!$H$1-180+176)))</f>
        <v>0</v>
      </c>
      <c r="B177">
        <f>IF((Metrics!$H$1-180+176)&lt;1,"",INDEX(Calc_Daily!$B$2:$B$2001,(Metrics!$H$1-180+176)))</f>
        <v>0</v>
      </c>
      <c r="C177">
        <f>IF((Metrics!$H$1-180+176)&lt;1,"",INDEX(Calc_Daily!$C$2:$C$2001,(Metrics!$H$1-180+176)))</f>
        <v>0</v>
      </c>
      <c r="D177">
        <f>IF((Metrics!$H$1-180+176)&lt;1,"",INDEX(Calc_Daily!$D$2:$D$2001,(Metrics!$H$1-180+176)))</f>
        <v>0</v>
      </c>
      <c r="E177">
        <f>IF((Metrics!$H$1-180+176)&lt;1,"",INDEX(Calc_Daily!$E$2:$E$2001,(Metrics!$H$1-180+176)))</f>
        <v>0</v>
      </c>
      <c r="F177">
        <f>IF((Metrics!$H$1-180+176)&lt;1,"",INDEX(Calc_Daily!$H$2:$H$2001,(Metrics!$H$1-180+176)))</f>
        <v>0</v>
      </c>
      <c r="G177">
        <f>IF((Metrics!$H$1-180+176)&lt;1,"",INDEX(Calc_Daily!$I$2:$I$2001,(Metrics!$H$1-180+176)))</f>
        <v>0</v>
      </c>
      <c r="H177">
        <f>IF((Metrics!$H$1-180+176)&lt;1,"",INDEX(Calc_Daily!$J$2:$J$2001,(Metrics!$H$1-180+176)))</f>
        <v>0</v>
      </c>
      <c r="I177">
        <f>IF((Metrics!$H$1-180+176)&lt;1,"",INDEX(Calc_Daily!$K$2:$K$2001,(Metrics!$H$1-180+176)))</f>
        <v>0</v>
      </c>
      <c r="J177">
        <f>IF((Metrics!$H$1-180+176)&lt;1,"",INDEX(Calc_Daily!$N$2:$N$2001,(Metrics!$H$1-180+176)))</f>
        <v>0</v>
      </c>
      <c r="K177">
        <f>IF((Metrics!$H$1-180+176)&lt;1,"",70)</f>
        <v>0</v>
      </c>
      <c r="L177">
        <f>IF((Metrics!$H$1-180+176)&lt;1,"",30)</f>
        <v>0</v>
      </c>
      <c r="M177">
        <f>IF((Metrics!$H$1-180+176)&lt;1,"",INDEX(Calc_Daily!$Q$2:$Q$2001,(Metrics!$H$1-180+176)))</f>
        <v>0</v>
      </c>
      <c r="N177">
        <f>IF((Metrics!$H$1-180+176)&lt;1,"",INDEX(Calc_Daily!$R$2:$R$2001,(Metrics!$H$1-180+176)))</f>
        <v>0</v>
      </c>
      <c r="O177">
        <f>IF((Metrics!$H$1-180+176)&lt;1,"",INDEX(Calc_Daily!$S$2:$S$2001,(Metrics!$H$1-180+176)))</f>
        <v>0</v>
      </c>
      <c r="P177">
        <f>IF((Metrics!$H$1-180+176)&lt;1,"",INDEX(Calc_Daily!$AM$2:$AM$2001,(Metrics!$H$1-180+176)))</f>
        <v>0</v>
      </c>
      <c r="Q177">
        <f>IF((Metrics!$H$1-180+176)&lt;1,"",INDEX(Calc_Daily!$AK$2:$AK$2001,(Metrics!$H$1-180+176)))</f>
        <v>0</v>
      </c>
      <c r="R177">
        <f>IF((Metrics!$H$1-180+176)&lt;1,"",INDEX(Calc_Daily!$AN$2:$AN$2001,(Metrics!$H$1-180+176)))</f>
        <v>0</v>
      </c>
      <c r="S177">
        <f>IF((Metrics!$H$1-180+176)&lt;1,"",INDEX(Calc_Daily!$AD$2:$AD$2001,(Metrics!$H$1-180+176)))</f>
        <v>0</v>
      </c>
      <c r="T177">
        <f>IF((Metrics!$H$1-180+176)&lt;1,"",INDEX(Calc_Daily!$AT$2:$AT$2001,(Metrics!$H$1-180+176)))</f>
        <v>0</v>
      </c>
      <c r="U177">
        <f>IF((Metrics!$H$1-180+176)&lt;1,"",INDEX(Calc_Daily!$AQ$2:$AQ$2001,(Metrics!$H$1-180+176)))</f>
        <v>0</v>
      </c>
      <c r="V177">
        <f>IF((Metrics!$H$1-180+176)&lt;1,"",INDEX(Calc_Daily!$AR$2:$AR$2001,(Metrics!$H$1-180+176)))</f>
        <v>0</v>
      </c>
    </row>
    <row r="178" spans="1:22">
      <c r="A178" s="27">
        <f>IF((Metrics!$H$1-180+177)&lt;1,"",INDEX(Calc_Daily!$A$2:$A$2001,(Metrics!$H$1-180+177)))</f>
        <v>0</v>
      </c>
      <c r="B178">
        <f>IF((Metrics!$H$1-180+177)&lt;1,"",INDEX(Calc_Daily!$B$2:$B$2001,(Metrics!$H$1-180+177)))</f>
        <v>0</v>
      </c>
      <c r="C178">
        <f>IF((Metrics!$H$1-180+177)&lt;1,"",INDEX(Calc_Daily!$C$2:$C$2001,(Metrics!$H$1-180+177)))</f>
        <v>0</v>
      </c>
      <c r="D178">
        <f>IF((Metrics!$H$1-180+177)&lt;1,"",INDEX(Calc_Daily!$D$2:$D$2001,(Metrics!$H$1-180+177)))</f>
        <v>0</v>
      </c>
      <c r="E178">
        <f>IF((Metrics!$H$1-180+177)&lt;1,"",INDEX(Calc_Daily!$E$2:$E$2001,(Metrics!$H$1-180+177)))</f>
        <v>0</v>
      </c>
      <c r="F178">
        <f>IF((Metrics!$H$1-180+177)&lt;1,"",INDEX(Calc_Daily!$H$2:$H$2001,(Metrics!$H$1-180+177)))</f>
        <v>0</v>
      </c>
      <c r="G178">
        <f>IF((Metrics!$H$1-180+177)&lt;1,"",INDEX(Calc_Daily!$I$2:$I$2001,(Metrics!$H$1-180+177)))</f>
        <v>0</v>
      </c>
      <c r="H178">
        <f>IF((Metrics!$H$1-180+177)&lt;1,"",INDEX(Calc_Daily!$J$2:$J$2001,(Metrics!$H$1-180+177)))</f>
        <v>0</v>
      </c>
      <c r="I178">
        <f>IF((Metrics!$H$1-180+177)&lt;1,"",INDEX(Calc_Daily!$K$2:$K$2001,(Metrics!$H$1-180+177)))</f>
        <v>0</v>
      </c>
      <c r="J178">
        <f>IF((Metrics!$H$1-180+177)&lt;1,"",INDEX(Calc_Daily!$N$2:$N$2001,(Metrics!$H$1-180+177)))</f>
        <v>0</v>
      </c>
      <c r="K178">
        <f>IF((Metrics!$H$1-180+177)&lt;1,"",70)</f>
        <v>0</v>
      </c>
      <c r="L178">
        <f>IF((Metrics!$H$1-180+177)&lt;1,"",30)</f>
        <v>0</v>
      </c>
      <c r="M178">
        <f>IF((Metrics!$H$1-180+177)&lt;1,"",INDEX(Calc_Daily!$Q$2:$Q$2001,(Metrics!$H$1-180+177)))</f>
        <v>0</v>
      </c>
      <c r="N178">
        <f>IF((Metrics!$H$1-180+177)&lt;1,"",INDEX(Calc_Daily!$R$2:$R$2001,(Metrics!$H$1-180+177)))</f>
        <v>0</v>
      </c>
      <c r="O178">
        <f>IF((Metrics!$H$1-180+177)&lt;1,"",INDEX(Calc_Daily!$S$2:$S$2001,(Metrics!$H$1-180+177)))</f>
        <v>0</v>
      </c>
      <c r="P178">
        <f>IF((Metrics!$H$1-180+177)&lt;1,"",INDEX(Calc_Daily!$AM$2:$AM$2001,(Metrics!$H$1-180+177)))</f>
        <v>0</v>
      </c>
      <c r="Q178">
        <f>IF((Metrics!$H$1-180+177)&lt;1,"",INDEX(Calc_Daily!$AK$2:$AK$2001,(Metrics!$H$1-180+177)))</f>
        <v>0</v>
      </c>
      <c r="R178">
        <f>IF((Metrics!$H$1-180+177)&lt;1,"",INDEX(Calc_Daily!$AN$2:$AN$2001,(Metrics!$H$1-180+177)))</f>
        <v>0</v>
      </c>
      <c r="S178">
        <f>IF((Metrics!$H$1-180+177)&lt;1,"",INDEX(Calc_Daily!$AD$2:$AD$2001,(Metrics!$H$1-180+177)))</f>
        <v>0</v>
      </c>
      <c r="T178">
        <f>IF((Metrics!$H$1-180+177)&lt;1,"",INDEX(Calc_Daily!$AT$2:$AT$2001,(Metrics!$H$1-180+177)))</f>
        <v>0</v>
      </c>
      <c r="U178">
        <f>IF((Metrics!$H$1-180+177)&lt;1,"",INDEX(Calc_Daily!$AQ$2:$AQ$2001,(Metrics!$H$1-180+177)))</f>
        <v>0</v>
      </c>
      <c r="V178">
        <f>IF((Metrics!$H$1-180+177)&lt;1,"",INDEX(Calc_Daily!$AR$2:$AR$2001,(Metrics!$H$1-180+177)))</f>
        <v>0</v>
      </c>
    </row>
    <row r="179" spans="1:22">
      <c r="A179" s="27">
        <f>IF((Metrics!$H$1-180+178)&lt;1,"",INDEX(Calc_Daily!$A$2:$A$2001,(Metrics!$H$1-180+178)))</f>
        <v>0</v>
      </c>
      <c r="B179">
        <f>IF((Metrics!$H$1-180+178)&lt;1,"",INDEX(Calc_Daily!$B$2:$B$2001,(Metrics!$H$1-180+178)))</f>
        <v>0</v>
      </c>
      <c r="C179">
        <f>IF((Metrics!$H$1-180+178)&lt;1,"",INDEX(Calc_Daily!$C$2:$C$2001,(Metrics!$H$1-180+178)))</f>
        <v>0</v>
      </c>
      <c r="D179">
        <f>IF((Metrics!$H$1-180+178)&lt;1,"",INDEX(Calc_Daily!$D$2:$D$2001,(Metrics!$H$1-180+178)))</f>
        <v>0</v>
      </c>
      <c r="E179">
        <f>IF((Metrics!$H$1-180+178)&lt;1,"",INDEX(Calc_Daily!$E$2:$E$2001,(Metrics!$H$1-180+178)))</f>
        <v>0</v>
      </c>
      <c r="F179">
        <f>IF((Metrics!$H$1-180+178)&lt;1,"",INDEX(Calc_Daily!$H$2:$H$2001,(Metrics!$H$1-180+178)))</f>
        <v>0</v>
      </c>
      <c r="G179">
        <f>IF((Metrics!$H$1-180+178)&lt;1,"",INDEX(Calc_Daily!$I$2:$I$2001,(Metrics!$H$1-180+178)))</f>
        <v>0</v>
      </c>
      <c r="H179">
        <f>IF((Metrics!$H$1-180+178)&lt;1,"",INDEX(Calc_Daily!$J$2:$J$2001,(Metrics!$H$1-180+178)))</f>
        <v>0</v>
      </c>
      <c r="I179">
        <f>IF((Metrics!$H$1-180+178)&lt;1,"",INDEX(Calc_Daily!$K$2:$K$2001,(Metrics!$H$1-180+178)))</f>
        <v>0</v>
      </c>
      <c r="J179">
        <f>IF((Metrics!$H$1-180+178)&lt;1,"",INDEX(Calc_Daily!$N$2:$N$2001,(Metrics!$H$1-180+178)))</f>
        <v>0</v>
      </c>
      <c r="K179">
        <f>IF((Metrics!$H$1-180+178)&lt;1,"",70)</f>
        <v>0</v>
      </c>
      <c r="L179">
        <f>IF((Metrics!$H$1-180+178)&lt;1,"",30)</f>
        <v>0</v>
      </c>
      <c r="M179">
        <f>IF((Metrics!$H$1-180+178)&lt;1,"",INDEX(Calc_Daily!$Q$2:$Q$2001,(Metrics!$H$1-180+178)))</f>
        <v>0</v>
      </c>
      <c r="N179">
        <f>IF((Metrics!$H$1-180+178)&lt;1,"",INDEX(Calc_Daily!$R$2:$R$2001,(Metrics!$H$1-180+178)))</f>
        <v>0</v>
      </c>
      <c r="O179">
        <f>IF((Metrics!$H$1-180+178)&lt;1,"",INDEX(Calc_Daily!$S$2:$S$2001,(Metrics!$H$1-180+178)))</f>
        <v>0</v>
      </c>
      <c r="P179">
        <f>IF((Metrics!$H$1-180+178)&lt;1,"",INDEX(Calc_Daily!$AM$2:$AM$2001,(Metrics!$H$1-180+178)))</f>
        <v>0</v>
      </c>
      <c r="Q179">
        <f>IF((Metrics!$H$1-180+178)&lt;1,"",INDEX(Calc_Daily!$AK$2:$AK$2001,(Metrics!$H$1-180+178)))</f>
        <v>0</v>
      </c>
      <c r="R179">
        <f>IF((Metrics!$H$1-180+178)&lt;1,"",INDEX(Calc_Daily!$AN$2:$AN$2001,(Metrics!$H$1-180+178)))</f>
        <v>0</v>
      </c>
      <c r="S179">
        <f>IF((Metrics!$H$1-180+178)&lt;1,"",INDEX(Calc_Daily!$AD$2:$AD$2001,(Metrics!$H$1-180+178)))</f>
        <v>0</v>
      </c>
      <c r="T179">
        <f>IF((Metrics!$H$1-180+178)&lt;1,"",INDEX(Calc_Daily!$AT$2:$AT$2001,(Metrics!$H$1-180+178)))</f>
        <v>0</v>
      </c>
      <c r="U179">
        <f>IF((Metrics!$H$1-180+178)&lt;1,"",INDEX(Calc_Daily!$AQ$2:$AQ$2001,(Metrics!$H$1-180+178)))</f>
        <v>0</v>
      </c>
      <c r="V179">
        <f>IF((Metrics!$H$1-180+178)&lt;1,"",INDEX(Calc_Daily!$AR$2:$AR$2001,(Metrics!$H$1-180+178)))</f>
        <v>0</v>
      </c>
    </row>
    <row r="180" spans="1:22">
      <c r="A180" s="27">
        <f>IF((Metrics!$H$1-180+179)&lt;1,"",INDEX(Calc_Daily!$A$2:$A$2001,(Metrics!$H$1-180+179)))</f>
        <v>0</v>
      </c>
      <c r="B180">
        <f>IF((Metrics!$H$1-180+179)&lt;1,"",INDEX(Calc_Daily!$B$2:$B$2001,(Metrics!$H$1-180+179)))</f>
        <v>0</v>
      </c>
      <c r="C180">
        <f>IF((Metrics!$H$1-180+179)&lt;1,"",INDEX(Calc_Daily!$C$2:$C$2001,(Metrics!$H$1-180+179)))</f>
        <v>0</v>
      </c>
      <c r="D180">
        <f>IF((Metrics!$H$1-180+179)&lt;1,"",INDEX(Calc_Daily!$D$2:$D$2001,(Metrics!$H$1-180+179)))</f>
        <v>0</v>
      </c>
      <c r="E180">
        <f>IF((Metrics!$H$1-180+179)&lt;1,"",INDEX(Calc_Daily!$E$2:$E$2001,(Metrics!$H$1-180+179)))</f>
        <v>0</v>
      </c>
      <c r="F180">
        <f>IF((Metrics!$H$1-180+179)&lt;1,"",INDEX(Calc_Daily!$H$2:$H$2001,(Metrics!$H$1-180+179)))</f>
        <v>0</v>
      </c>
      <c r="G180">
        <f>IF((Metrics!$H$1-180+179)&lt;1,"",INDEX(Calc_Daily!$I$2:$I$2001,(Metrics!$H$1-180+179)))</f>
        <v>0</v>
      </c>
      <c r="H180">
        <f>IF((Metrics!$H$1-180+179)&lt;1,"",INDEX(Calc_Daily!$J$2:$J$2001,(Metrics!$H$1-180+179)))</f>
        <v>0</v>
      </c>
      <c r="I180">
        <f>IF((Metrics!$H$1-180+179)&lt;1,"",INDEX(Calc_Daily!$K$2:$K$2001,(Metrics!$H$1-180+179)))</f>
        <v>0</v>
      </c>
      <c r="J180">
        <f>IF((Metrics!$H$1-180+179)&lt;1,"",INDEX(Calc_Daily!$N$2:$N$2001,(Metrics!$H$1-180+179)))</f>
        <v>0</v>
      </c>
      <c r="K180">
        <f>IF((Metrics!$H$1-180+179)&lt;1,"",70)</f>
        <v>0</v>
      </c>
      <c r="L180">
        <f>IF((Metrics!$H$1-180+179)&lt;1,"",30)</f>
        <v>0</v>
      </c>
      <c r="M180">
        <f>IF((Metrics!$H$1-180+179)&lt;1,"",INDEX(Calc_Daily!$Q$2:$Q$2001,(Metrics!$H$1-180+179)))</f>
        <v>0</v>
      </c>
      <c r="N180">
        <f>IF((Metrics!$H$1-180+179)&lt;1,"",INDEX(Calc_Daily!$R$2:$R$2001,(Metrics!$H$1-180+179)))</f>
        <v>0</v>
      </c>
      <c r="O180">
        <f>IF((Metrics!$H$1-180+179)&lt;1,"",INDEX(Calc_Daily!$S$2:$S$2001,(Metrics!$H$1-180+179)))</f>
        <v>0</v>
      </c>
      <c r="P180">
        <f>IF((Metrics!$H$1-180+179)&lt;1,"",INDEX(Calc_Daily!$AM$2:$AM$2001,(Metrics!$H$1-180+179)))</f>
        <v>0</v>
      </c>
      <c r="Q180">
        <f>IF((Metrics!$H$1-180+179)&lt;1,"",INDEX(Calc_Daily!$AK$2:$AK$2001,(Metrics!$H$1-180+179)))</f>
        <v>0</v>
      </c>
      <c r="R180">
        <f>IF((Metrics!$H$1-180+179)&lt;1,"",INDEX(Calc_Daily!$AN$2:$AN$2001,(Metrics!$H$1-180+179)))</f>
        <v>0</v>
      </c>
      <c r="S180">
        <f>IF((Metrics!$H$1-180+179)&lt;1,"",INDEX(Calc_Daily!$AD$2:$AD$2001,(Metrics!$H$1-180+179)))</f>
        <v>0</v>
      </c>
      <c r="T180">
        <f>IF((Metrics!$H$1-180+179)&lt;1,"",INDEX(Calc_Daily!$AT$2:$AT$2001,(Metrics!$H$1-180+179)))</f>
        <v>0</v>
      </c>
      <c r="U180">
        <f>IF((Metrics!$H$1-180+179)&lt;1,"",INDEX(Calc_Daily!$AQ$2:$AQ$2001,(Metrics!$H$1-180+179)))</f>
        <v>0</v>
      </c>
      <c r="V180">
        <f>IF((Metrics!$H$1-180+179)&lt;1,"",INDEX(Calc_Daily!$AR$2:$AR$2001,(Metrics!$H$1-180+179)))</f>
        <v>0</v>
      </c>
    </row>
    <row r="181" spans="1:22">
      <c r="A181" s="27">
        <f>IF((Metrics!$H$1-180+180)&lt;1,"",INDEX(Calc_Daily!$A$2:$A$2001,(Metrics!$H$1-180+180)))</f>
        <v>0</v>
      </c>
      <c r="B181">
        <f>IF((Metrics!$H$1-180+180)&lt;1,"",INDEX(Calc_Daily!$B$2:$B$2001,(Metrics!$H$1-180+180)))</f>
        <v>0</v>
      </c>
      <c r="C181">
        <f>IF((Metrics!$H$1-180+180)&lt;1,"",INDEX(Calc_Daily!$C$2:$C$2001,(Metrics!$H$1-180+180)))</f>
        <v>0</v>
      </c>
      <c r="D181">
        <f>IF((Metrics!$H$1-180+180)&lt;1,"",INDEX(Calc_Daily!$D$2:$D$2001,(Metrics!$H$1-180+180)))</f>
        <v>0</v>
      </c>
      <c r="E181">
        <f>IF((Metrics!$H$1-180+180)&lt;1,"",INDEX(Calc_Daily!$E$2:$E$2001,(Metrics!$H$1-180+180)))</f>
        <v>0</v>
      </c>
      <c r="F181">
        <f>IF((Metrics!$H$1-180+180)&lt;1,"",INDEX(Calc_Daily!$H$2:$H$2001,(Metrics!$H$1-180+180)))</f>
        <v>0</v>
      </c>
      <c r="G181">
        <f>IF((Metrics!$H$1-180+180)&lt;1,"",INDEX(Calc_Daily!$I$2:$I$2001,(Metrics!$H$1-180+180)))</f>
        <v>0</v>
      </c>
      <c r="H181">
        <f>IF((Metrics!$H$1-180+180)&lt;1,"",INDEX(Calc_Daily!$J$2:$J$2001,(Metrics!$H$1-180+180)))</f>
        <v>0</v>
      </c>
      <c r="I181">
        <f>IF((Metrics!$H$1-180+180)&lt;1,"",INDEX(Calc_Daily!$K$2:$K$2001,(Metrics!$H$1-180+180)))</f>
        <v>0</v>
      </c>
      <c r="J181">
        <f>IF((Metrics!$H$1-180+180)&lt;1,"",INDEX(Calc_Daily!$N$2:$N$2001,(Metrics!$H$1-180+180)))</f>
        <v>0</v>
      </c>
      <c r="K181">
        <f>IF((Metrics!$H$1-180+180)&lt;1,"",70)</f>
        <v>0</v>
      </c>
      <c r="L181">
        <f>IF((Metrics!$H$1-180+180)&lt;1,"",30)</f>
        <v>0</v>
      </c>
      <c r="M181">
        <f>IF((Metrics!$H$1-180+180)&lt;1,"",INDEX(Calc_Daily!$Q$2:$Q$2001,(Metrics!$H$1-180+180)))</f>
        <v>0</v>
      </c>
      <c r="N181">
        <f>IF((Metrics!$H$1-180+180)&lt;1,"",INDEX(Calc_Daily!$R$2:$R$2001,(Metrics!$H$1-180+180)))</f>
        <v>0</v>
      </c>
      <c r="O181">
        <f>IF((Metrics!$H$1-180+180)&lt;1,"",INDEX(Calc_Daily!$S$2:$S$2001,(Metrics!$H$1-180+180)))</f>
        <v>0</v>
      </c>
      <c r="P181">
        <f>IF((Metrics!$H$1-180+180)&lt;1,"",INDEX(Calc_Daily!$AM$2:$AM$2001,(Metrics!$H$1-180+180)))</f>
        <v>0</v>
      </c>
      <c r="Q181">
        <f>IF((Metrics!$H$1-180+180)&lt;1,"",INDEX(Calc_Daily!$AK$2:$AK$2001,(Metrics!$H$1-180+180)))</f>
        <v>0</v>
      </c>
      <c r="R181">
        <f>IF((Metrics!$H$1-180+180)&lt;1,"",INDEX(Calc_Daily!$AN$2:$AN$2001,(Metrics!$H$1-180+180)))</f>
        <v>0</v>
      </c>
      <c r="S181">
        <f>IF((Metrics!$H$1-180+180)&lt;1,"",INDEX(Calc_Daily!$AD$2:$AD$2001,(Metrics!$H$1-180+180)))</f>
        <v>0</v>
      </c>
      <c r="T181">
        <f>IF((Metrics!$H$1-180+180)&lt;1,"",INDEX(Calc_Daily!$AT$2:$AT$2001,(Metrics!$H$1-180+180)))</f>
        <v>0</v>
      </c>
      <c r="U181">
        <f>IF((Metrics!$H$1-180+180)&lt;1,"",INDEX(Calc_Daily!$AQ$2:$AQ$2001,(Metrics!$H$1-180+180)))</f>
        <v>0</v>
      </c>
      <c r="V181">
        <f>IF((Metrics!$H$1-180+180)&lt;1,"",INDEX(Calc_Daily!$AR$2:$AR$2001,(Metrics!$H$1-180+180)))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H111"/>
  <sheetViews>
    <sheetView workbookViewId="0"/>
  </sheetViews>
  <sheetFormatPr defaultRowHeight="15"/>
  <sheetData>
    <row r="1" spans="2:8">
      <c r="H1">
        <f>COUNT(Calc_Daily!$E$2:$E$2001)</f>
        <v>0</v>
      </c>
    </row>
    <row r="2" spans="2:8">
      <c r="H2">
        <f>COUNT(Calc_Weekly!$E$2:$E$441)</f>
        <v>0</v>
      </c>
    </row>
    <row r="3" spans="2:8">
      <c r="H3">
        <f>COUNT(Calc_Monthly!$E$2:$E$121)</f>
        <v>0</v>
      </c>
    </row>
    <row r="4" spans="2:8">
      <c r="B4" t="s">
        <v>7</v>
      </c>
      <c r="C4">
        <f>IFERROR(INDEX(Calc_Daily!$E$2:$E$2001,$H$1),"")</f>
        <v>0</v>
      </c>
      <c r="D4">
        <f>IFERROR(INDEX(Calc_Weekly!$E$2:$E$441,$H$2),"")</f>
        <v>0</v>
      </c>
      <c r="E4">
        <f>IFERROR(INDEX(Calc_Monthly!$E$2:$E$121,$H$3),"")</f>
        <v>0</v>
      </c>
    </row>
    <row r="5" spans="2:8">
      <c r="B5" t="s">
        <v>8</v>
      </c>
      <c r="C5">
        <f>IFERROR(INDEX(Calc_Daily!$B$2:$B$2001,$H$1),"")</f>
        <v>0</v>
      </c>
      <c r="D5">
        <f>IFERROR(INDEX(Calc_Weekly!$B$2:$B$441,$H$2),"")</f>
        <v>0</v>
      </c>
      <c r="E5">
        <f>IFERROR(INDEX(Calc_Monthly!$B$2:$B$121,$H$3),"")</f>
        <v>0</v>
      </c>
    </row>
    <row r="6" spans="2:8">
      <c r="B6" t="s">
        <v>9</v>
      </c>
      <c r="C6">
        <f>IFERROR(INDEX(Calc_Daily!$C$2:$C$2001,$H$1),"")</f>
        <v>0</v>
      </c>
      <c r="D6">
        <f>IFERROR(INDEX(Calc_Weekly!$C$2:$C$441,$H$2),"")</f>
        <v>0</v>
      </c>
      <c r="E6">
        <f>IFERROR(INDEX(Calc_Monthly!$C$2:$C$121,$H$3),"")</f>
        <v>0</v>
      </c>
    </row>
    <row r="7" spans="2:8">
      <c r="B7" t="s">
        <v>10</v>
      </c>
      <c r="C7">
        <f>IFERROR(INDEX(Calc_Daily!$D$2:$D$2001,$H$1),"")</f>
        <v>0</v>
      </c>
      <c r="D7">
        <f>IFERROR(INDEX(Calc_Weekly!$D$2:$D$441,$H$2),"")</f>
        <v>0</v>
      </c>
      <c r="E7">
        <f>IFERROR(INDEX(Calc_Monthly!$D$2:$D$121,$H$3),"")</f>
        <v>0</v>
      </c>
    </row>
    <row r="8" spans="2:8">
      <c r="B8" t="s">
        <v>11</v>
      </c>
      <c r="C8">
        <f>IFERROR(INDEX(Calc_Daily!$E$2:$E$2001,($H$1-1)),"")</f>
        <v>0</v>
      </c>
      <c r="D8">
        <f>IFERROR(INDEX(Calc_Weekly!$E$2:$E$441,($H$2-1)),"")</f>
        <v>0</v>
      </c>
      <c r="E8">
        <f>IFERROR(INDEX(Calc_Monthly!$E$2:$E$121,($H$3-1)),"")</f>
        <v>0</v>
      </c>
    </row>
    <row r="9" spans="2:8">
      <c r="B9" t="s">
        <v>12</v>
      </c>
      <c r="C9">
        <f>IFERROR(INDEX(Calc_Daily!$E$2:$E$2001,($H$1-5)),"")</f>
        <v>0</v>
      </c>
      <c r="D9">
        <f>IFERROR(INDEX(Calc_Weekly!$E$2:$E$441,($H$2-5)),"")</f>
        <v>0</v>
      </c>
      <c r="E9">
        <f>IFERROR(INDEX(Calc_Monthly!$E$2:$E$121,($H$3-5)),"")</f>
        <v>0</v>
      </c>
    </row>
    <row r="10" spans="2:8">
      <c r="B10" t="s">
        <v>13</v>
      </c>
      <c r="C10">
        <f>IFERROR(INDEX(Calc_Daily!$E$2:$E$2001,($H$1-21)),"")</f>
        <v>0</v>
      </c>
      <c r="D10">
        <f>IFERROR(INDEX(Calc_Weekly!$E$2:$E$441,($H$2-21)),"")</f>
        <v>0</v>
      </c>
      <c r="E10">
        <f>IFERROR(INDEX(Calc_Monthly!$E$2:$E$121,($H$3-21)),"")</f>
        <v>0</v>
      </c>
    </row>
    <row r="11" spans="2:8">
      <c r="B11" t="s">
        <v>14</v>
      </c>
      <c r="C11">
        <f>IFERROR(INDEX(Calc_Daily!$H$2:$H$2001,$H$1),"")</f>
        <v>0</v>
      </c>
      <c r="D11">
        <f>IFERROR(INDEX(Calc_Weekly!$H$2:$H$441,$H$2),"")</f>
        <v>0</v>
      </c>
      <c r="E11">
        <f>IFERROR(INDEX(Calc_Monthly!$H$2:$H$121,$H$3),"")</f>
        <v>0</v>
      </c>
    </row>
    <row r="12" spans="2:8">
      <c r="B12" t="s">
        <v>15</v>
      </c>
      <c r="C12">
        <f>IFERROR(INDEX(Calc_Daily!$I$2:$I$2001,$H$1),"")</f>
        <v>0</v>
      </c>
      <c r="D12">
        <f>IFERROR(INDEX(Calc_Weekly!$I$2:$I$441,$H$2),"")</f>
        <v>0</v>
      </c>
      <c r="E12">
        <f>IFERROR(INDEX(Calc_Monthly!$I$2:$I$121,$H$3),"")</f>
        <v>0</v>
      </c>
    </row>
    <row r="13" spans="2:8">
      <c r="B13" t="s">
        <v>16</v>
      </c>
      <c r="C13">
        <f>IFERROR(INDEX(Calc_Daily!$J$2:$J$2001,$H$1),"")</f>
        <v>0</v>
      </c>
      <c r="D13">
        <f>IFERROR(INDEX(Calc_Weekly!$J$2:$J$441,$H$2),"")</f>
        <v>0</v>
      </c>
      <c r="E13">
        <f>IFERROR(INDEX(Calc_Monthly!$J$2:$J$121,$H$3),"")</f>
        <v>0</v>
      </c>
    </row>
    <row r="14" spans="2:8">
      <c r="B14" t="s">
        <v>17</v>
      </c>
      <c r="C14">
        <f>IFERROR(INDEX(Calc_Daily!$K$2:$K$2001,$H$1),"")</f>
        <v>0</v>
      </c>
      <c r="D14">
        <f>IFERROR(INDEX(Calc_Weekly!$K$2:$K$441,$H$2),"")</f>
        <v>0</v>
      </c>
      <c r="E14">
        <f>IFERROR(INDEX(Calc_Monthly!$K$2:$K$121,$H$3),"")</f>
        <v>0</v>
      </c>
    </row>
    <row r="15" spans="2:8">
      <c r="B15" t="s">
        <v>18</v>
      </c>
      <c r="C15">
        <f>IFERROR(INDEX(Calc_Daily!$H$2:$H$2001,($H$1-5)),"")</f>
        <v>0</v>
      </c>
      <c r="D15">
        <f>IFERROR(INDEX(Calc_Weekly!$H$2:$H$441,($H$2-5)),"")</f>
        <v>0</v>
      </c>
      <c r="E15">
        <f>IFERROR(INDEX(Calc_Monthly!$H$2:$H$121,($H$3-5)),"")</f>
        <v>0</v>
      </c>
    </row>
    <row r="16" spans="2:8">
      <c r="B16" t="s">
        <v>19</v>
      </c>
      <c r="C16">
        <f>IFERROR(INDEX(Calc_Daily!$I$2:$I$2001,($H$1-5)),"")</f>
        <v>0</v>
      </c>
      <c r="D16">
        <f>IFERROR(INDEX(Calc_Weekly!$I$2:$I$441,($H$2-5)),"")</f>
        <v>0</v>
      </c>
      <c r="E16">
        <f>IFERROR(INDEX(Calc_Monthly!$I$2:$I$121,($H$3-5)),"")</f>
        <v>0</v>
      </c>
    </row>
    <row r="17" spans="2:5">
      <c r="B17" t="s">
        <v>20</v>
      </c>
      <c r="C17">
        <f>IFERROR(INDEX(Calc_Daily!$J$2:$J$2001,($H$1-5)),"")</f>
        <v>0</v>
      </c>
      <c r="D17">
        <f>IFERROR(INDEX(Calc_Weekly!$J$2:$J$441,($H$2-5)),"")</f>
        <v>0</v>
      </c>
      <c r="E17">
        <f>IFERROR(INDEX(Calc_Monthly!$J$2:$J$121,($H$3-5)),"")</f>
        <v>0</v>
      </c>
    </row>
    <row r="18" spans="2:5">
      <c r="B18" t="s">
        <v>21</v>
      </c>
      <c r="C18">
        <f>IFERROR(INDEX(Calc_Daily!$K$2:$K$2001,($H$1-5)),"")</f>
        <v>0</v>
      </c>
      <c r="D18">
        <f>IFERROR(INDEX(Calc_Weekly!$K$2:$K$441,($H$2-5)),"")</f>
        <v>0</v>
      </c>
      <c r="E18">
        <f>IFERROR(INDEX(Calc_Monthly!$K$2:$K$121,($H$3-5)),"")</f>
        <v>0</v>
      </c>
    </row>
    <row r="19" spans="2:5">
      <c r="B19" t="s">
        <v>22</v>
      </c>
      <c r="C19">
        <f>IFERROR(INDEX(Calc_Daily!$N$2:$N$2001,$H$1),"")</f>
        <v>0</v>
      </c>
      <c r="D19">
        <f>IFERROR(INDEX(Calc_Weekly!$N$2:$N$441,$H$2),"")</f>
        <v>0</v>
      </c>
      <c r="E19">
        <f>IFERROR(INDEX(Calc_Monthly!$N$2:$N$121,$H$3),"")</f>
        <v>0</v>
      </c>
    </row>
    <row r="20" spans="2:5">
      <c r="B20" t="s">
        <v>23</v>
      </c>
      <c r="C20">
        <f>IFERROR(INDEX(Calc_Daily!$Q$2:$Q$2001,$H$1),"")</f>
        <v>0</v>
      </c>
      <c r="D20">
        <f>IFERROR(INDEX(Calc_Weekly!$Q$2:$Q$441,$H$2),"")</f>
        <v>0</v>
      </c>
      <c r="E20">
        <f>IFERROR(INDEX(Calc_Monthly!$Q$2:$Q$121,$H$3),"")</f>
        <v>0</v>
      </c>
    </row>
    <row r="21" spans="2:5">
      <c r="B21" t="s">
        <v>24</v>
      </c>
      <c r="C21">
        <f>IFERROR(INDEX(Calc_Daily!$R$2:$R$2001,$H$1),"")</f>
        <v>0</v>
      </c>
      <c r="D21">
        <f>IFERROR(INDEX(Calc_Weekly!$R$2:$R$441,$H$2),"")</f>
        <v>0</v>
      </c>
      <c r="E21">
        <f>IFERROR(INDEX(Calc_Monthly!$R$2:$R$121,$H$3),"")</f>
        <v>0</v>
      </c>
    </row>
    <row r="22" spans="2:5">
      <c r="B22" t="s">
        <v>25</v>
      </c>
      <c r="C22">
        <f>IFERROR(INDEX(Calc_Daily!$S$2:$S$2001,$H$1),"")</f>
        <v>0</v>
      </c>
      <c r="D22">
        <f>IFERROR(INDEX(Calc_Weekly!$S$2:$S$441,$H$2),"")</f>
        <v>0</v>
      </c>
      <c r="E22">
        <f>IFERROR(INDEX(Calc_Monthly!$S$2:$S$121,$H$3),"")</f>
        <v>0</v>
      </c>
    </row>
    <row r="23" spans="2:5">
      <c r="B23" t="s">
        <v>26</v>
      </c>
      <c r="C23">
        <f>IFERROR(INDEX(Calc_Daily!$V$2:$V$2001,$H$1),"")</f>
        <v>0</v>
      </c>
      <c r="D23">
        <f>IFERROR(INDEX(Calc_Weekly!$V$2:$V$441,$H$2),"")</f>
        <v>0</v>
      </c>
      <c r="E23">
        <f>IFERROR(INDEX(Calc_Monthly!$V$2:$V$121,$H$3),"")</f>
        <v>0</v>
      </c>
    </row>
    <row r="24" spans="2:5">
      <c r="B24" t="s">
        <v>27</v>
      </c>
      <c r="C24">
        <f>IFERROR(INDEX(Calc_Daily!$W$2:$W$2001,$H$1),"")</f>
        <v>0</v>
      </c>
      <c r="D24">
        <f>IFERROR(INDEX(Calc_Weekly!$W$2:$W$441,$H$2),"")</f>
        <v>0</v>
      </c>
      <c r="E24">
        <f>IFERROR(INDEX(Calc_Monthly!$W$2:$W$121,$H$3),"")</f>
        <v>0</v>
      </c>
    </row>
    <row r="25" spans="2:5">
      <c r="B25" t="s">
        <v>28</v>
      </c>
      <c r="C25">
        <f>IFERROR(INDEX(Calc_Daily!$AA$2:$AA$2001,$H$1),"")</f>
        <v>0</v>
      </c>
      <c r="D25">
        <f>IFERROR(INDEX(Calc_Weekly!$AA$2:$AA$441,$H$2),"")</f>
        <v>0</v>
      </c>
      <c r="E25">
        <f>IFERROR(INDEX(Calc_Monthly!$AA$2:$AA$121,$H$3),"")</f>
        <v>0</v>
      </c>
    </row>
    <row r="26" spans="2:5">
      <c r="B26" t="s">
        <v>29</v>
      </c>
      <c r="C26">
        <f>IFERROR(INDEX(Calc_Daily!$AB$2:$AB$2001,$H$1),"")</f>
        <v>0</v>
      </c>
      <c r="D26">
        <f>IFERROR(INDEX(Calc_Weekly!$AB$2:$AB$441,$H$2),"")</f>
        <v>0</v>
      </c>
      <c r="E26">
        <f>IFERROR(INDEX(Calc_Monthly!$AB$2:$AB$121,$H$3),"")</f>
        <v>0</v>
      </c>
    </row>
    <row r="27" spans="2:5">
      <c r="B27" t="s">
        <v>30</v>
      </c>
      <c r="C27">
        <f>IFERROR(INDEX(Calc_Daily!$AJ$2:$AJ$2001,$H$1),"")</f>
        <v>0</v>
      </c>
      <c r="D27">
        <f>IFERROR(INDEX(Calc_Weekly!$AJ$2:$AJ$441,$H$2),"")</f>
        <v>0</v>
      </c>
      <c r="E27">
        <f>IFERROR(INDEX(Calc_Monthly!$AJ$2:$AJ$121,$H$3),"")</f>
        <v>0</v>
      </c>
    </row>
    <row r="28" spans="2:5">
      <c r="B28" t="s">
        <v>31</v>
      </c>
      <c r="C28">
        <f>IFERROR(INDEX(Calc_Daily!$AG$2:$AG$2001,$H$1),"")</f>
        <v>0</v>
      </c>
      <c r="D28">
        <f>IFERROR(INDEX(Calc_Weekly!$AG$2:$AG$441,$H$2),"")</f>
        <v>0</v>
      </c>
      <c r="E28">
        <f>IFERROR(INDEX(Calc_Monthly!$AG$2:$AG$121,$H$3),"")</f>
        <v>0</v>
      </c>
    </row>
    <row r="29" spans="2:5">
      <c r="B29" t="s">
        <v>32</v>
      </c>
      <c r="C29">
        <f>IFERROR(INDEX(Calc_Daily!$AH$2:$AH$2001,$H$1),"")</f>
        <v>0</v>
      </c>
      <c r="D29">
        <f>IFERROR(INDEX(Calc_Weekly!$AH$2:$AH$441,$H$2),"")</f>
        <v>0</v>
      </c>
      <c r="E29">
        <f>IFERROR(INDEX(Calc_Monthly!$AH$2:$AH$121,$H$3),"")</f>
        <v>0</v>
      </c>
    </row>
    <row r="30" spans="2:5">
      <c r="B30" t="s">
        <v>33</v>
      </c>
      <c r="C30">
        <f>IFERROR(INDEX(Calc_Daily!$AD$2:$AD$2001,$H$1),"")</f>
        <v>0</v>
      </c>
      <c r="D30">
        <f>IFERROR(INDEX(Calc_Weekly!$AD$2:$AD$441,$H$2),"")</f>
        <v>0</v>
      </c>
      <c r="E30">
        <f>IFERROR(INDEX(Calc_Monthly!$AD$2:$AD$121,$H$3),"")</f>
        <v>0</v>
      </c>
    </row>
    <row r="31" spans="2:5">
      <c r="B31" t="s">
        <v>34</v>
      </c>
      <c r="C31">
        <f>IFERROR(INDEX(Calc_Daily!$AM$2:$AM$2001,$H$1),"")</f>
        <v>0</v>
      </c>
      <c r="D31">
        <f>IFERROR(INDEX(Calc_Weekly!$AM$2:$AM$441,$H$2),"")</f>
        <v>0</v>
      </c>
      <c r="E31">
        <f>IFERROR(INDEX(Calc_Monthly!$AM$2:$AM$121,$H$3),"")</f>
        <v>0</v>
      </c>
    </row>
    <row r="32" spans="2:5">
      <c r="B32" t="s">
        <v>35</v>
      </c>
      <c r="C32">
        <f>IFERROR(INDEX(Calc_Daily!$AK$2:$AK$2001,$H$1),"")</f>
        <v>0</v>
      </c>
      <c r="D32">
        <f>IFERROR(INDEX(Calc_Weekly!$AK$2:$AK$441,$H$2),"")</f>
        <v>0</v>
      </c>
      <c r="E32">
        <f>IFERROR(INDEX(Calc_Monthly!$AK$2:$AK$121,$H$3),"")</f>
        <v>0</v>
      </c>
    </row>
    <row r="33" spans="2:5">
      <c r="B33" t="s">
        <v>36</v>
      </c>
      <c r="C33">
        <f>IFERROR(INDEX(Calc_Daily!$AN$2:$AN$2001,$H$1),"")</f>
        <v>0</v>
      </c>
      <c r="D33">
        <f>IFERROR(INDEX(Calc_Weekly!$AN$2:$AN$441,$H$2),"")</f>
        <v>0</v>
      </c>
      <c r="E33">
        <f>IFERROR(INDEX(Calc_Monthly!$AN$2:$AN$121,$H$3),"")</f>
        <v>0</v>
      </c>
    </row>
    <row r="34" spans="2:5">
      <c r="B34" t="s">
        <v>37</v>
      </c>
      <c r="C34">
        <f>IFERROR(INDEX(Calc_Daily!$AO$2:$AO$2001,$H$1),"")</f>
        <v>0</v>
      </c>
      <c r="D34">
        <f>IFERROR(INDEX(Calc_Weekly!$AO$2:$AO$441,$H$2),"")</f>
        <v>0</v>
      </c>
      <c r="E34">
        <f>IFERROR(INDEX(Calc_Monthly!$AO$2:$AO$121,$H$3),"")</f>
        <v>0</v>
      </c>
    </row>
    <row r="35" spans="2:5">
      <c r="B35" t="s">
        <v>38</v>
      </c>
      <c r="C35">
        <f>IFERROR(INDEX(Calc_Daily!$AP$2:$AP$2001,$H$1),"")</f>
        <v>0</v>
      </c>
      <c r="D35">
        <f>IFERROR(INDEX(Calc_Weekly!$AP$2:$AP$441,$H$2),"")</f>
        <v>0</v>
      </c>
      <c r="E35">
        <f>IFERROR(INDEX(Calc_Monthly!$AP$2:$AP$121,$H$3),"")</f>
        <v>0</v>
      </c>
    </row>
    <row r="36" spans="2:5">
      <c r="B36" t="s">
        <v>39</v>
      </c>
      <c r="C36">
        <f>IFERROR(INDEX(Calc_Daily!$AQ$2:$AQ$2001,$H$1),"")</f>
        <v>0</v>
      </c>
      <c r="D36">
        <f>IFERROR(INDEX(Calc_Weekly!$AQ$2:$AQ$441,$H$2),"")</f>
        <v>0</v>
      </c>
      <c r="E36">
        <f>IFERROR(INDEX(Calc_Monthly!$AQ$2:$AQ$121,$H$3),"")</f>
        <v>0</v>
      </c>
    </row>
    <row r="37" spans="2:5">
      <c r="B37" t="s">
        <v>40</v>
      </c>
      <c r="C37">
        <f>IFERROR(INDEX(Calc_Daily!$AR$2:$AR$2001,$H$1),"")</f>
        <v>0</v>
      </c>
      <c r="D37">
        <f>IFERROR(INDEX(Calc_Weekly!$AR$2:$AR$441,$H$2),"")</f>
        <v>0</v>
      </c>
      <c r="E37">
        <f>IFERROR(INDEX(Calc_Monthly!$AR$2:$AR$121,$H$3),"")</f>
        <v>0</v>
      </c>
    </row>
    <row r="38" spans="2:5">
      <c r="B38" t="s">
        <v>41</v>
      </c>
      <c r="C38">
        <f>IFERROR(INDEX(Calc_Daily!$AS$2:$AS$2001,$H$1),"")</f>
        <v>0</v>
      </c>
      <c r="D38">
        <f>IFERROR(INDEX(Calc_Weekly!$AS$2:$AS$441,$H$2),"")</f>
        <v>0</v>
      </c>
      <c r="E38">
        <f>IFERROR(INDEX(Calc_Monthly!$AS$2:$AS$121,$H$3),"")</f>
        <v>0</v>
      </c>
    </row>
    <row r="39" spans="2:5">
      <c r="B39" t="s">
        <v>42</v>
      </c>
      <c r="C39">
        <f>IFERROR(INDEX(Calc_Daily!$AT$2:$AT$2001,$H$1),"")</f>
        <v>0</v>
      </c>
      <c r="D39">
        <f>IFERROR(INDEX(Calc_Weekly!$AT$2:$AT$441,$H$2),"")</f>
        <v>0</v>
      </c>
      <c r="E39">
        <f>IFERROR(INDEX(Calc_Monthly!$AT$2:$AT$121,$H$3),"")</f>
        <v>0</v>
      </c>
    </row>
    <row r="40" spans="2:5">
      <c r="B40" t="s">
        <v>43</v>
      </c>
      <c r="C40">
        <f>IFERROR(INDEX(Calc_Daily!$AU$2:$AU$2001,$H$1),"")</f>
        <v>0</v>
      </c>
      <c r="D40">
        <f>IFERROR(INDEX(Calc_Weekly!$AU$2:$AU$441,$H$2),"")</f>
        <v>0</v>
      </c>
      <c r="E40">
        <f>IFERROR(INDEX(Calc_Monthly!$AU$2:$AU$121,$H$3),"")</f>
        <v>0</v>
      </c>
    </row>
    <row r="41" spans="2:5">
      <c r="B41" t="s">
        <v>44</v>
      </c>
      <c r="C41">
        <f>IFERROR(INDEX(Calc_Daily!$AV$2:$AV$2001,$H$1),"")</f>
        <v>0</v>
      </c>
      <c r="D41">
        <f>IFERROR(INDEX(Calc_Weekly!$AV$2:$AV$441,$H$2),"")</f>
        <v>0</v>
      </c>
      <c r="E41">
        <f>IFERROR(INDEX(Calc_Monthly!$AV$2:$AV$121,$H$3),"")</f>
        <v>0</v>
      </c>
    </row>
    <row r="42" spans="2:5">
      <c r="B42" t="s">
        <v>45</v>
      </c>
      <c r="C42">
        <f>IFERROR(INDEX(Calc_Daily!$AW$2:$AW$2001,($H$1-26)),"")</f>
        <v>0</v>
      </c>
      <c r="D42">
        <f>IFERROR(INDEX(Calc_Weekly!$AW$2:$AW$441,($H$2-26)),"")</f>
        <v>0</v>
      </c>
      <c r="E42">
        <f>IFERROR(INDEX(Calc_Monthly!$AW$2:$AW$121,($H$3-26)),"")</f>
        <v>0</v>
      </c>
    </row>
    <row r="43" spans="2:5">
      <c r="B43" t="s">
        <v>46</v>
      </c>
      <c r="C43">
        <f>IFERROR(INDEX(Calc_Daily!$AX$2:$AX$2001,($H$1-26)),"")</f>
        <v>0</v>
      </c>
      <c r="D43">
        <f>IFERROR(INDEX(Calc_Weekly!$AX$2:$AX$441,($H$2-26)),"")</f>
        <v>0</v>
      </c>
      <c r="E43">
        <f>IFERROR(INDEX(Calc_Monthly!$AX$2:$AX$121,($H$3-26)),"")</f>
        <v>0</v>
      </c>
    </row>
    <row r="44" spans="2:5">
      <c r="B44" t="s">
        <v>47</v>
      </c>
      <c r="C44">
        <f>IFERROR(INDEX(Calc_Daily!$AY$2:$AY$2001,$H$1),"")</f>
        <v>0</v>
      </c>
      <c r="D44">
        <f>IFERROR(INDEX(Calc_Weekly!$AY$2:$AY$441,$H$2),"")</f>
        <v>0</v>
      </c>
      <c r="E44">
        <f>IFERROR(INDEX(Calc_Monthly!$AY$2:$AY$121,$H$3),"")</f>
        <v>0</v>
      </c>
    </row>
    <row r="45" spans="2:5">
      <c r="B45" t="s">
        <v>48</v>
      </c>
      <c r="C45">
        <f>IFERROR(INDEX(Calc_Daily!$AZ$2:$AZ$2001,$H$1),"")</f>
        <v>0</v>
      </c>
      <c r="D45">
        <f>IFERROR(INDEX(Calc_Weekly!$AZ$2:$AZ$441,$H$2),"")</f>
        <v>0</v>
      </c>
      <c r="E45">
        <f>IFERROR(INDEX(Calc_Monthly!$AZ$2:$AZ$121,$H$3),"")</f>
        <v>0</v>
      </c>
    </row>
    <row r="46" spans="2:5">
      <c r="B46" t="s">
        <v>49</v>
      </c>
      <c r="C46">
        <f>IFERROR(INDEX(Calc_Daily!$BA$2:$BA$2001,$H$1),"")</f>
        <v>0</v>
      </c>
      <c r="D46">
        <f>IFERROR(INDEX(Calc_Weekly!$BA$2:$BA$441,$H$2),"")</f>
        <v>0</v>
      </c>
      <c r="E46">
        <f>IFERROR(INDEX(Calc_Monthly!$BA$2:$BA$121,$H$3),"")</f>
        <v>0</v>
      </c>
    </row>
    <row r="47" spans="2:5">
      <c r="B47" t="s">
        <v>50</v>
      </c>
      <c r="C47">
        <f>IFERROR(INDEX(Calc_Daily!$BC$2:$BC$2001,$H$1),"")</f>
        <v>0</v>
      </c>
      <c r="D47">
        <f>IFERROR(INDEX(Calc_Weekly!$BC$2:$BC$441,$H$2),"")</f>
        <v>0</v>
      </c>
      <c r="E47">
        <f>IFERROR(INDEX(Calc_Monthly!$BC$2:$BC$121,$H$3),"")</f>
        <v>0</v>
      </c>
    </row>
    <row r="48" spans="2:5">
      <c r="B48" t="s">
        <v>51</v>
      </c>
      <c r="C48">
        <f>IFERROR(INDEX(Calc_Daily!$BD$2:$BD$2001,$H$1),"")</f>
        <v>0</v>
      </c>
      <c r="D48">
        <f>IFERROR(INDEX(Calc_Weekly!$BD$2:$BD$441,$H$2),"")</f>
        <v>0</v>
      </c>
      <c r="E48">
        <f>IFERROR(INDEX(Calc_Monthly!$BD$2:$BD$121,$H$3),"")</f>
        <v>0</v>
      </c>
    </row>
    <row r="49" spans="2:5">
      <c r="B49" t="s">
        <v>52</v>
      </c>
      <c r="C49">
        <f>IFERROR(AVERAGE(INDEX(Calc_Daily!$AT$2:$AT$2001,MAX(1,$H$1-99)):INDEX(Calc_Daily!$AT$2:$AT$2001,$H$1)),"")</f>
        <v>0</v>
      </c>
      <c r="D49">
        <f>IFERROR(AVERAGE(INDEX(Calc_Weekly!$AT$2:$AT$441,MAX(1,$H$2-99)):INDEX(Calc_Weekly!$AT$2:$AT$441,$H$2)),"")</f>
        <v>0</v>
      </c>
      <c r="E49">
        <f>IFERROR(AVERAGE(INDEX(Calc_Monthly!$AT$2:$AT$121,MAX(1,$H$3-99)):INDEX(Calc_Monthly!$AT$2:$AT$121,$H$3)),"")</f>
        <v>0</v>
      </c>
    </row>
    <row r="50" spans="2:5">
      <c r="B50" t="s">
        <v>53</v>
      </c>
      <c r="C50">
        <f>IFERROR(INDEX(Calc_Daily!$A$2:$A$2001,$H$1),"")</f>
        <v>0</v>
      </c>
    </row>
    <row r="51" spans="2:5">
      <c r="B51" t="s">
        <v>54</v>
      </c>
      <c r="C51">
        <f>IFERROR(LOOKUP(DATE(YEAR(INDEX(Calc_Daily!$A$2:$A$2001,$H$1)),1,1)-1,Calc_Daily!$A$2:$A$2001,Calc_Daily!$E$2:$E$2001),"")</f>
        <v>0</v>
      </c>
    </row>
    <row r="52" spans="2:5">
      <c r="B52" t="s">
        <v>55</v>
      </c>
      <c r="C52">
        <f>IFERROR($C$4/$C$8-1,"")</f>
        <v>0</v>
      </c>
    </row>
    <row r="53" spans="2:5">
      <c r="B53" t="s">
        <v>56</v>
      </c>
      <c r="C53">
        <f>IFERROR($C$4/$C$9-1,"")</f>
        <v>0</v>
      </c>
    </row>
    <row r="54" spans="2:5">
      <c r="B54" t="s">
        <v>57</v>
      </c>
      <c r="C54">
        <f>IFERROR($C$4/$C$10-1,"")</f>
        <v>0</v>
      </c>
    </row>
    <row r="55" spans="2:5">
      <c r="B55" t="s">
        <v>58</v>
      </c>
      <c r="C55">
        <f>IFERROR($C$4/$C$51-1,"")</f>
        <v>0</v>
      </c>
    </row>
    <row r="56" spans="2:5">
      <c r="B56" t="s">
        <v>59</v>
      </c>
      <c r="C56">
        <f>IFERROR(($C$6+$C$7+$C$4)/3,"")</f>
        <v>0</v>
      </c>
    </row>
    <row r="57" spans="2:5">
      <c r="B57" t="s">
        <v>60</v>
      </c>
      <c r="C57">
        <f>IFERROR(2*$C$56-$C$7,"")</f>
        <v>0</v>
      </c>
    </row>
    <row r="58" spans="2:5">
      <c r="B58" t="s">
        <v>61</v>
      </c>
      <c r="C58">
        <f>IFERROR(2*$C$56-$C$6,"")</f>
        <v>0</v>
      </c>
    </row>
    <row r="59" spans="2:5">
      <c r="B59" t="s">
        <v>62</v>
      </c>
      <c r="C59">
        <f>IFERROR($C$56+($C$6-$C$7),"")</f>
        <v>0</v>
      </c>
    </row>
    <row r="60" spans="2:5">
      <c r="B60" t="s">
        <v>63</v>
      </c>
      <c r="C60">
        <f>IFERROR($C$56-($C$6-$C$7),"")</f>
        <v>0</v>
      </c>
    </row>
    <row r="61" spans="2:5">
      <c r="B61" t="s">
        <v>64</v>
      </c>
      <c r="C61">
        <f>IFERROR($C$6+2*($C$56-$C$7),"")</f>
        <v>0</v>
      </c>
    </row>
    <row r="62" spans="2:5">
      <c r="B62" t="s">
        <v>65</v>
      </c>
      <c r="C62">
        <f>IFERROR($C$7-2*($C$6-$C$56),"")</f>
        <v>0</v>
      </c>
    </row>
    <row r="63" spans="2:5">
      <c r="B63" t="s">
        <v>66</v>
      </c>
      <c r="C63">
        <f>IFERROR(_xlfn.AGGREGATE(15,6,Calc_Daily!$BE$2:$BE$2001/(Calc_Daily!$BE$2:$BE$2001&gt;$C$4),1),"")</f>
        <v>0</v>
      </c>
    </row>
    <row r="64" spans="2:5">
      <c r="B64" t="s">
        <v>67</v>
      </c>
      <c r="C64">
        <f>IFERROR(_xlfn.AGGREGATE(15,6,Calc_Daily!$BE$2:$BE$2001/((Calc_Daily!$BE$2:$BE$2001&gt;$C$4)*(Calc_Daily!$BE$2:$BE$2001&gt;$C$63)),1),"")</f>
        <v>0</v>
      </c>
    </row>
    <row r="65" spans="2:3">
      <c r="B65" t="s">
        <v>68</v>
      </c>
      <c r="C65">
        <f>IFERROR(_xlfn.AGGREGATE(15,6,Calc_Daily!$BE$2:$BE$2001/((Calc_Daily!$BE$2:$BE$2001&gt;$C$4)*(Calc_Daily!$BE$2:$BE$2001&gt;$C$64)),1),"")</f>
        <v>0</v>
      </c>
    </row>
    <row r="66" spans="2:3">
      <c r="B66" t="s">
        <v>69</v>
      </c>
      <c r="C66">
        <f>IFERROR(_xlfn.AGGREGATE(14,6,Calc_Daily!$BF$2:$BF$2001/(Calc_Daily!$BF$2:$BF$2001&lt;$C$4),1),"")</f>
        <v>0</v>
      </c>
    </row>
    <row r="67" spans="2:3">
      <c r="B67" t="s">
        <v>70</v>
      </c>
      <c r="C67">
        <f>IFERROR(_xlfn.AGGREGATE(14,6,Calc_Daily!$BF$2:$BF$2001/((Calc_Daily!$BF$2:$BF$2001&lt;$C$4)*(Calc_Daily!$BF$2:$BF$2001&lt;$C$66)),1),"")</f>
        <v>0</v>
      </c>
    </row>
    <row r="68" spans="2:3">
      <c r="B68" t="s">
        <v>71</v>
      </c>
      <c r="C68">
        <f>IFERROR(_xlfn.AGGREGATE(14,6,Calc_Daily!$BF$2:$BF$2001/((Calc_Daily!$BF$2:$BF$2001&lt;$C$4)*(Calc_Daily!$BF$2:$BF$2001&lt;$C$67)),1),"")</f>
        <v>0</v>
      </c>
    </row>
    <row r="69" spans="2:3">
      <c r="B69" t="s">
        <v>72</v>
      </c>
      <c r="C69">
        <f>IFERROR(IF(MATCH($C$44,INDEX(Calc_Daily!$C$2:$C$2001,MAX(1,$H$1-99)):INDEX(Calc_Daily!$C$2:$C$2001,$H$1),0)&gt;=MATCH($C$45,INDEX(Calc_Daily!$D$2:$D$2001,MAX(1,$H$1-99)):INDEX(Calc_Daily!$D$2:$D$2001,$H$1),0),1,-1),1)</f>
        <v>0</v>
      </c>
    </row>
    <row r="70" spans="2:3">
      <c r="B70" t="s">
        <v>73</v>
      </c>
      <c r="C70">
        <f>IFERROR(IF($C$69=1,$C$44-($C$44-$C$45)*0.0,$C$45+($C$44-$C$45)*0.0),"")</f>
        <v>0</v>
      </c>
    </row>
    <row r="71" spans="2:3">
      <c r="B71" t="s">
        <v>74</v>
      </c>
      <c r="C71">
        <f>IFERROR(IF($C$69=1,$C$44-($C$44-$C$45)*0.236,$C$45+($C$44-$C$45)*0.236),"")</f>
        <v>0</v>
      </c>
    </row>
    <row r="72" spans="2:3">
      <c r="B72" t="s">
        <v>75</v>
      </c>
      <c r="C72">
        <f>IFERROR(IF($C$69=1,$C$44-($C$44-$C$45)*0.382,$C$45+($C$44-$C$45)*0.382),"")</f>
        <v>0</v>
      </c>
    </row>
    <row r="73" spans="2:3">
      <c r="B73" t="s">
        <v>76</v>
      </c>
      <c r="C73">
        <f>IFERROR(IF($C$69=1,$C$44-($C$44-$C$45)*0.5,$C$45+($C$44-$C$45)*0.5),"")</f>
        <v>0</v>
      </c>
    </row>
    <row r="74" spans="2:3">
      <c r="B74" t="s">
        <v>77</v>
      </c>
      <c r="C74">
        <f>IFERROR(IF($C$69=1,$C$44-($C$44-$C$45)*0.618,$C$45+($C$44-$C$45)*0.618),"")</f>
        <v>0</v>
      </c>
    </row>
    <row r="75" spans="2:3">
      <c r="B75" t="s">
        <v>78</v>
      </c>
      <c r="C75">
        <f>IFERROR(IF($C$69=1,$C$44-($C$44-$C$45)*0.786,$C$45+($C$44-$C$45)*0.786),"")</f>
        <v>0</v>
      </c>
    </row>
    <row r="76" spans="2:3">
      <c r="B76" t="s">
        <v>79</v>
      </c>
      <c r="C76">
        <f>IFERROR(IF($C$69=1,$C$44-($C$44-$C$45)*1.0,$C$45+($C$44-$C$45)*1.0),"")</f>
        <v>0</v>
      </c>
    </row>
    <row r="77" spans="2:3">
      <c r="B77" t="s">
        <v>80</v>
      </c>
      <c r="C77">
        <f>IF($C$4="","-",IF((IF($H$1&lt;20,0,IF($C$4&gt;$C$11,1,-1)+IF($C$11&gt;$C$15,1,-1))+IF($H$1&lt;50,0,IF($C$4&gt;$C$12,1,-1)+IF($C$12&gt;$C$16,1,-1))+IF($H$1&lt;100,0,IF($C$4&gt;$C$13,1,-1)+IF($C$13&gt;$C$17,1,-1))+IF($H$1&lt;200,0,IF($C$4&gt;$C$14,1,-1)+IF($C$14&gt;$C$18,1,-1)))&gt;=4,IF($C$27&gt;=25,"STRONG UPTREND","UPTREND"),IF((IF($H$1&lt;20,0,IF($C$4&gt;$C$11,1,-1)+IF($C$11&gt;$C$15,1,-1))+IF($H$1&lt;50,0,IF($C$4&gt;$C$12,1,-1)+IF($C$12&gt;$C$16,1,-1))+IF($H$1&lt;100,0,IF($C$4&gt;$C$13,1,-1)+IF($C$13&gt;$C$17,1,-1))+IF($H$1&lt;200,0,IF($C$4&gt;$C$14,1,-1)+IF($C$14&gt;$C$18,1,-1)))&lt;=-4,IF($C$27&gt;=25,"STRONG DOWNTREND","DOWNTREND"),"SIDEWAYS")))</f>
        <v>0</v>
      </c>
    </row>
    <row r="78" spans="2:3">
      <c r="B78" t="s">
        <v>81</v>
      </c>
      <c r="C78">
        <f>IF($C$19="","-",IF(AND($C$19&gt;=55,$C$22&gt;0),"BULLISH",IF(AND($C$19&lt;=45,$C$22&lt;0),"BEARISH","NEUTRAL")))</f>
        <v>0</v>
      </c>
    </row>
    <row r="79" spans="2:3">
      <c r="B79" t="s">
        <v>82</v>
      </c>
      <c r="C79">
        <f>IF(OR($C$39="",$C$49="",$C$49=0),"-",IF($C$39/$C$49&gt;=1.2,"HIGH",IF($C$39/$C$49&lt;=0.8,"LOW","NORMAL")))</f>
        <v>0</v>
      </c>
    </row>
    <row r="81" spans="2:5">
      <c r="B81" t="s">
        <v>83</v>
      </c>
      <c r="C81">
        <f>IF($C$19="",0,IF($C$19&gt;=65,2,IF($C$19&gt;=55,1,IF($C$19&gt;=45,0,IF($C$19&gt;=35,-1,-2)))))</f>
        <v>0</v>
      </c>
      <c r="D81">
        <f>IF($D$19="",0,IF($D$19&gt;=65,2,IF($D$19&gt;=55,1,IF($D$19&gt;=45,0,IF($D$19&gt;=35,-1,-2)))))</f>
        <v>0</v>
      </c>
      <c r="E81">
        <f>IF($E$19="",0,IF($E$19&gt;=65,2,IF($E$19&gt;=55,1,IF($E$19&gt;=45,0,IF($E$19&gt;=35,-1,-2)))))</f>
        <v>0</v>
      </c>
    </row>
    <row r="82" spans="2:5">
      <c r="B82" t="s">
        <v>84</v>
      </c>
      <c r="C82">
        <f>IF($C$20="",0,MEDIAN(-2,SIGN($C$20-$C$21)+SIGN($C$20),2))</f>
        <v>0</v>
      </c>
      <c r="D82">
        <f>IF($D$20="",0,MEDIAN(-2,SIGN($D$20-$D$21)+SIGN($D$20),2))</f>
        <v>0</v>
      </c>
      <c r="E82">
        <f>IF($E$20="",0,MEDIAN(-2,SIGN($E$20-$E$21)+SIGN($E$20),2))</f>
        <v>0</v>
      </c>
    </row>
    <row r="83" spans="2:5">
      <c r="B83" t="s">
        <v>85</v>
      </c>
      <c r="C83">
        <f>IF($C$23="",0,MEDIAN(-2,IF($C$23&gt;$C$24,1,-1)+IF($C$23&gt;50,1,-1),2))</f>
        <v>0</v>
      </c>
      <c r="D83">
        <f>IF($D$23="",0,MEDIAN(-2,IF($D$23&gt;$D$24,1,-1)+IF($D$23&gt;50,1,-1),2))</f>
        <v>0</v>
      </c>
      <c r="E83">
        <f>IF($E$23="",0,MEDIAN(-2,IF($E$23&gt;$E$24,1,-1)+IF($E$23&gt;50,1,-1),2))</f>
        <v>0</v>
      </c>
    </row>
    <row r="84" spans="2:5">
      <c r="B84" t="s">
        <v>86</v>
      </c>
      <c r="C84">
        <f>IF($C$25="",0,MEDIAN(-2,IF($C$25&gt;$C$26,1,-1)+IF($C$25&gt;50,1,-1),2))</f>
        <v>0</v>
      </c>
      <c r="D84">
        <f>IF($D$25="",0,MEDIAN(-2,IF($D$25&gt;$D$26,1,-1)+IF($D$25&gt;50,1,-1),2))</f>
        <v>0</v>
      </c>
      <c r="E84">
        <f>IF($E$25="",0,MEDIAN(-2,IF($E$25&gt;$E$26,1,-1)+IF($E$25&gt;50,1,-1),2))</f>
        <v>0</v>
      </c>
    </row>
    <row r="85" spans="2:5">
      <c r="B85" t="s">
        <v>87</v>
      </c>
      <c r="C85">
        <f>IF($C$27="",0,IF($C$27&lt;20,0,SIGN($C$28-$C$29)*IF($C$27&gt;=25,2,1)))</f>
        <v>0</v>
      </c>
      <c r="D85">
        <f>IF($D$27="",0,IF($D$27&lt;20,0,SIGN($D$28-$D$29)*IF($D$27&gt;=25,2,1)))</f>
        <v>0</v>
      </c>
      <c r="E85">
        <f>IF($E$27="",0,IF($E$27&lt;20,0,SIGN($E$28-$E$29)*IF($E$27&gt;=25,2,1)))</f>
        <v>0</v>
      </c>
    </row>
    <row r="86" spans="2:5">
      <c r="B86" t="s">
        <v>88</v>
      </c>
      <c r="C86">
        <f>IF(OR($C$11="",$C$4="",$H$1&lt;20),0,IF($C$4&gt;$C$11,1,-1)+IF($C$11&gt;$C$15,1,-1))</f>
        <v>0</v>
      </c>
      <c r="D86">
        <f>IF(OR($D$11="",$D$4="",$H$2&lt;20),0,IF($D$4&gt;$D$11,1,-1)+IF($D$11&gt;$D$15,1,-1))</f>
        <v>0</v>
      </c>
      <c r="E86">
        <f>IF(OR($E$11="",$E$4="",$H$3&lt;20),0,IF($E$4&gt;$E$11,1,-1)+IF($E$11&gt;$E$15,1,-1))</f>
        <v>0</v>
      </c>
    </row>
    <row r="87" spans="2:5">
      <c r="B87" t="s">
        <v>89</v>
      </c>
      <c r="C87">
        <f>IF(OR($C$12="",$C$4="",$H$1&lt;50),0,IF($C$4&gt;$C$12,1,-1)+IF($C$12&gt;$C$16,1,-1))</f>
        <v>0</v>
      </c>
      <c r="D87">
        <f>IF(OR($D$12="",$D$4="",$H$2&lt;50),0,IF($D$4&gt;$D$12,1,-1)+IF($D$12&gt;$D$16,1,-1))</f>
        <v>0</v>
      </c>
      <c r="E87">
        <f>IF(OR($E$12="",$E$4="",$H$3&lt;50),0,IF($E$4&gt;$E$12,1,-1)+IF($E$12&gt;$E$16,1,-1))</f>
        <v>0</v>
      </c>
    </row>
    <row r="88" spans="2:5">
      <c r="B88" t="s">
        <v>90</v>
      </c>
      <c r="C88">
        <f>IF(OR($C$13="",$C$4="",$H$1&lt;100),0,IF($C$4&gt;$C$13,1,-1)+IF($C$13&gt;$C$17,1,-1))</f>
        <v>0</v>
      </c>
      <c r="D88">
        <f>IF(OR($D$13="",$D$4="",$H$2&lt;100),0,IF($D$4&gt;$D$13,1,-1)+IF($D$13&gt;$D$17,1,-1))</f>
        <v>0</v>
      </c>
      <c r="E88">
        <f>IF(OR($E$13="",$E$4="",$H$3&lt;100),0,IF($E$4&gt;$E$13,1,-1)+IF($E$13&gt;$E$17,1,-1))</f>
        <v>0</v>
      </c>
    </row>
    <row r="89" spans="2:5">
      <c r="B89" t="s">
        <v>91</v>
      </c>
      <c r="C89">
        <f>IF(OR($C$14="",$C$4="",$H$1&lt;200),0,IF($C$4&gt;$C$14,1,-1)+IF($C$14&gt;$C$18,1,-1))</f>
        <v>0</v>
      </c>
      <c r="D89">
        <f>IF(OR($D$14="",$D$4="",$H$2&lt;200),0,IF($D$4&gt;$D$14,1,-1)+IF($D$14&gt;$D$18,1,-1))</f>
        <v>0</v>
      </c>
      <c r="E89">
        <f>IF(OR($E$14="",$E$4="",$H$3&lt;200),0,IF($E$4&gt;$E$14,1,-1)+IF($E$14&gt;$E$18,1,-1))</f>
        <v>0</v>
      </c>
    </row>
    <row r="90" spans="2:5">
      <c r="B90" t="s">
        <v>92</v>
      </c>
      <c r="C90">
        <f>IF(OR($C$4="",$C$40="",$C$41=""),0,MEDIAN(-2,IF(OR($C$42="",$C$43=""),0,IF($C$4&gt;MAX($C$42,$C$43),1,IF($C$4&lt;MIN($C$42,$C$43),-1,0)))+SIGN($C$40-$C$41),2))</f>
        <v>0</v>
      </c>
      <c r="D90">
        <f>IF(OR($D$4="",$D$40="",$D$41=""),0,MEDIAN(-2,IF(OR($D$42="",$D$43=""),0,IF($D$4&gt;MAX($D$42,$D$43),1,IF($D$4&lt;MIN($D$42,$D$43),-1,0)))+SIGN($D$40-$D$41),2))</f>
        <v>0</v>
      </c>
      <c r="E90">
        <f>IF(OR($E$4="",$E$40="",$E$41=""),0,MEDIAN(-2,IF(OR($E$42="",$E$43=""),0,IF($E$4&gt;MAX($E$42,$E$43),1,IF($E$4&lt;MIN($E$42,$E$43),-1,0)))+SIGN($E$40-$E$41),2))</f>
        <v>0</v>
      </c>
    </row>
    <row r="91" spans="2:5">
      <c r="B91" t="s">
        <v>93</v>
      </c>
      <c r="C91">
        <f>IF($C$34="",0,IF($C$34&gt;=0.8,2,IF($C$34&gt;=0.55,1,IF($C$34&gt;0.45,0,IF($C$34&gt;0.2,-1,-2)))))</f>
        <v>0</v>
      </c>
      <c r="D91">
        <f>IF($D$34="",0,IF($D$34&gt;=0.8,2,IF($D$34&gt;=0.55,1,IF($D$34&gt;0.45,0,IF($D$34&gt;0.2,-1,-2)))))</f>
        <v>0</v>
      </c>
      <c r="E91">
        <f>IF($E$34="",0,IF($E$34&gt;=0.8,2,IF($E$34&gt;=0.55,1,IF($E$34&gt;0.45,0,IF($E$34&gt;0.2,-1,-2)))))</f>
        <v>0</v>
      </c>
    </row>
    <row r="92" spans="2:5">
      <c r="B92" t="s">
        <v>94</v>
      </c>
      <c r="C92">
        <f>IF(OR($C$36="",$C$37="",$C$36=$C$37),0,IF((($C$4-$C$37)/($C$36-$C$37))&gt;=0.8,2,IF((($C$4-$C$37)/($C$36-$C$37))&gt;=0.55,1,IF((($C$4-$C$37)/($C$36-$C$37))&gt;0.45,0,IF((($C$4-$C$37)/($C$36-$C$37))&gt;0.2,-1,-2)))))</f>
        <v>0</v>
      </c>
      <c r="D92">
        <f>IF(OR($D$36="",$D$37="",$D$36=$D$37),0,IF((($D$4-$D$37)/($D$36-$D$37))&gt;=0.8,2,IF((($D$4-$D$37)/($D$36-$D$37))&gt;=0.55,1,IF((($D$4-$D$37)/($D$36-$D$37))&gt;0.45,0,IF((($D$4-$D$37)/($D$36-$D$37))&gt;0.2,-1,-2)))))</f>
        <v>0</v>
      </c>
      <c r="E92">
        <f>IF(OR($E$36="",$E$37="",$E$36=$E$37),0,IF((($E$4-$E$37)/($E$36-$E$37))&gt;=0.8,2,IF((($E$4-$E$37)/($E$36-$E$37))&gt;=0.55,1,IF((($E$4-$E$37)/($E$36-$E$37))&gt;0.45,0,IF((($E$4-$E$37)/($E$36-$E$37))&gt;0.2,-1,-2)))))</f>
        <v>0</v>
      </c>
    </row>
    <row r="93" spans="2:5">
      <c r="B93" t="s">
        <v>95</v>
      </c>
      <c r="C93">
        <f>IF(OR($C$44="",$C$45="",$C$44=$C$45),0,IF((($C$4-$C$45)/($C$44-$C$45))&gt;=0.8,2,IF((($C$4-$C$45)/($C$44-$C$45))&gt;=0.618,1,IF((($C$4-$C$45)/($C$44-$C$45))&gt;0.382,0,IF((($C$4-$C$45)/($C$44-$C$45))&gt;0.2,-1,-2)))))</f>
        <v>0</v>
      </c>
      <c r="D93">
        <f>IF(OR($D$44="",$D$45="",$D$44=$D$45),0,IF((($D$4-$D$45)/($D$44-$D$45))&gt;=0.8,2,IF((($D$4-$D$45)/($D$44-$D$45))&gt;=0.618,1,IF((($D$4-$D$45)/($D$44-$D$45))&gt;0.382,0,IF((($D$4-$D$45)/($D$44-$D$45))&gt;0.2,-1,-2)))))</f>
        <v>0</v>
      </c>
      <c r="E93">
        <f>IF(OR($E$44="",$E$45="",$E$44=$E$45),0,IF((($E$4-$E$45)/($E$44-$E$45))&gt;=0.8,2,IF((($E$4-$E$45)/($E$44-$E$45))&gt;=0.618,1,IF((($E$4-$E$45)/($E$44-$E$45))&gt;0.382,0,IF((($E$4-$E$45)/($E$44-$E$45))&gt;0.2,-1,-2)))))</f>
        <v>0</v>
      </c>
    </row>
    <row r="94" spans="2:5">
      <c r="B94" t="s">
        <v>96</v>
      </c>
      <c r="C94">
        <f>IF(OR($C$46="",$C$47="",$C$4=""),0,MEDIAN(-2,SIGN($C$46)+IF($C$4&gt;$C$47,1,-1),2))</f>
        <v>0</v>
      </c>
      <c r="D94">
        <f>IF(OR($D$46="",$D$47="",$D$4=""),0,MEDIAN(-2,SIGN($D$46)+IF($D$4&gt;$D$47,1,-1),2))</f>
        <v>0</v>
      </c>
      <c r="E94">
        <f>IF(OR($E$46="",$E$47="",$E$4=""),0,MEDIAN(-2,SIGN($E$46)+IF($E$4&gt;$E$47,1,-1),2))</f>
        <v>0</v>
      </c>
    </row>
    <row r="96" spans="2:5">
      <c r="B96" t="s">
        <v>97</v>
      </c>
      <c r="C96">
        <f>AVERAGE(C81:C94)</f>
        <v>0</v>
      </c>
      <c r="D96">
        <f>AVERAGE(D81:D94)</f>
        <v>0</v>
      </c>
      <c r="E96">
        <f>AVERAGE(E81:E94)</f>
        <v>0</v>
      </c>
    </row>
    <row r="97" spans="2:5">
      <c r="B97" t="s">
        <v>98</v>
      </c>
      <c r="C97">
        <f>ROUND(($C$96+2)/4*100,0)</f>
        <v>0</v>
      </c>
      <c r="D97">
        <f>ROUND(($D$96+2)/4*100,0)</f>
        <v>0</v>
      </c>
      <c r="E97">
        <f>ROUND(($E$96+2)/4*100,0)</f>
        <v>0</v>
      </c>
    </row>
    <row r="98" spans="2:5">
      <c r="B98" t="s">
        <v>99</v>
      </c>
      <c r="C98">
        <f>IF($C$97&gt;=60,"BULLISH",IF($C$97&lt;=40,"BEARISH","NEUTRAL"))</f>
        <v>0</v>
      </c>
      <c r="D98">
        <f>IF($D$97&gt;=60,"BULLISH",IF($D$97&lt;=40,"BEARISH","NEUTRAL"))</f>
        <v>0</v>
      </c>
      <c r="E98">
        <f>IF($E$97&gt;=60,"BULLISH",IF($E$97&lt;=40,"BEARISH","NEUTRAL"))</f>
        <v>0</v>
      </c>
    </row>
    <row r="99" spans="2:5">
      <c r="B99" t="s">
        <v>100</v>
      </c>
      <c r="C99">
        <f>COUNTIF(C81:C94,"&gt;0")</f>
        <v>0</v>
      </c>
      <c r="D99">
        <f>COUNTIF(D81:D94,"&gt;0")</f>
        <v>0</v>
      </c>
      <c r="E99">
        <f>COUNTIF(E81:E94,"&gt;0")</f>
        <v>0</v>
      </c>
    </row>
    <row r="100" spans="2:5">
      <c r="B100" t="s">
        <v>101</v>
      </c>
      <c r="C100">
        <f>COUNTIF(C81:C94,0)</f>
        <v>0</v>
      </c>
      <c r="D100">
        <f>COUNTIF(D81:D94,0)</f>
        <v>0</v>
      </c>
      <c r="E100">
        <f>COUNTIF(E81:E94,0)</f>
        <v>0</v>
      </c>
    </row>
    <row r="101" spans="2:5">
      <c r="B101" t="s">
        <v>102</v>
      </c>
      <c r="C101">
        <f>COUNTIF(C81:C94,"&lt;0")</f>
        <v>0</v>
      </c>
      <c r="D101">
        <f>COUNTIF(D81:D94,"&lt;0")</f>
        <v>0</v>
      </c>
      <c r="E101">
        <f>COUNTIF(E81:E94,"&lt;0")</f>
        <v>0</v>
      </c>
    </row>
    <row r="102" spans="2:5">
      <c r="B102" t="s">
        <v>103</v>
      </c>
      <c r="C102">
        <f>$C$99/14</f>
        <v>0</v>
      </c>
      <c r="D102">
        <f>$D$99/14</f>
        <v>0</v>
      </c>
      <c r="E102">
        <f>$E$99/14</f>
        <v>0</v>
      </c>
    </row>
    <row r="103" spans="2:5">
      <c r="B103" t="s">
        <v>104</v>
      </c>
      <c r="C103">
        <f>$C$100/14</f>
        <v>0</v>
      </c>
      <c r="D103">
        <f>$D$100/14</f>
        <v>0</v>
      </c>
      <c r="E103">
        <f>$E$100/14</f>
        <v>0</v>
      </c>
    </row>
    <row r="104" spans="2:5">
      <c r="B104" t="s">
        <v>105</v>
      </c>
      <c r="C104">
        <f>$C$101/14</f>
        <v>0</v>
      </c>
      <c r="D104">
        <f>$D$101/14</f>
        <v>0</v>
      </c>
      <c r="E104">
        <f>$E$101/14</f>
        <v>0</v>
      </c>
    </row>
    <row r="106" spans="2:5">
      <c r="B106" t="s">
        <v>106</v>
      </c>
      <c r="C106">
        <f>IFERROR($C$39*SQRT(5/252),"")</f>
        <v>0</v>
      </c>
      <c r="D106">
        <f>IFERROR($C$39*SQRT(21/252),"")</f>
        <v>0</v>
      </c>
      <c r="E106">
        <f>IFERROR($C$39*SQRT(63/252),"")</f>
        <v>0</v>
      </c>
    </row>
    <row r="107" spans="2:5">
      <c r="B107" t="s">
        <v>107</v>
      </c>
      <c r="C107">
        <f>($C$97-50)/50</f>
        <v>0</v>
      </c>
      <c r="D107">
        <f>($D$97-50)/50</f>
        <v>0</v>
      </c>
      <c r="E107">
        <f>($E$97-50)/50</f>
        <v>0</v>
      </c>
    </row>
    <row r="108" spans="2:5">
      <c r="B108" t="s">
        <v>108</v>
      </c>
      <c r="C108">
        <f>IFERROR($C$4*(1+$C$107*$C$106),"")</f>
        <v>0</v>
      </c>
      <c r="D108">
        <f>IFERROR($C$4*(1+$D$107*$D$106),"")</f>
        <v>0</v>
      </c>
      <c r="E108">
        <f>IFERROR($C$4*(1+$E$107*$E$106),"")</f>
        <v>0</v>
      </c>
    </row>
    <row r="109" spans="2:5">
      <c r="B109" t="s">
        <v>10</v>
      </c>
      <c r="C109">
        <f>IFERROR($C$4*(1-$C$106),"")</f>
        <v>0</v>
      </c>
      <c r="D109">
        <f>IFERROR($C$4*(1-$D$106),"")</f>
        <v>0</v>
      </c>
      <c r="E109">
        <f>IFERROR($C$4*(1-$E$106),"")</f>
        <v>0</v>
      </c>
    </row>
    <row r="110" spans="2:5">
      <c r="B110" t="s">
        <v>9</v>
      </c>
      <c r="C110">
        <f>IFERROR($C$4*(1+$C$106),"")</f>
        <v>0</v>
      </c>
      <c r="D110">
        <f>IFERROR($C$4*(1+$D$106),"")</f>
        <v>0</v>
      </c>
      <c r="E110">
        <f>IFERROR($C$4*(1+$E$106),"")</f>
        <v>0</v>
      </c>
    </row>
    <row r="111" spans="2:5">
      <c r="B111" t="s">
        <v>109</v>
      </c>
      <c r="C111">
        <f>MIN(95,ROUND(ABS($C$97-50)*1.9,0))</f>
        <v>0</v>
      </c>
      <c r="D111">
        <f>MIN(95,ROUND(ABS($D$97-50)*1.9,0))</f>
        <v>0</v>
      </c>
      <c r="E111">
        <f>MIN(95,ROUND(ABS($E$97-50)*1.9,0))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T2001"/>
  <sheetViews>
    <sheetView workbookViewId="0"/>
  </sheetViews>
  <sheetFormatPr defaultRowHeight="15"/>
  <sheetData>
    <row r="2" spans="1:72">
      <c r="A2" s="27">
        <f>IF(Data!$A2="","",Data!$A2)</f>
        <v>0</v>
      </c>
      <c r="B2">
        <f>IF(Data!$B2="","",Data!$B2)</f>
        <v>0</v>
      </c>
      <c r="C2">
        <f>IF(Data!$C2="","",Data!$C2)</f>
        <v>0</v>
      </c>
      <c r="D2">
        <f>IF(Data!$D2="","",Data!$D2)</f>
        <v>0</v>
      </c>
      <c r="E2">
        <f>IF(Data!$E2="","",Data!$E2)</f>
        <v>0</v>
      </c>
      <c r="F2">
        <f>IF($E2="","",N(F1)+1)</f>
        <v>0</v>
      </c>
      <c r="G2">
        <f>""</f>
        <v>0</v>
      </c>
      <c r="H2">
        <f>IF($E2="","",$E2)</f>
        <v>0</v>
      </c>
      <c r="I2">
        <f>IF($E2="","",$E2)</f>
        <v>0</v>
      </c>
      <c r="J2">
        <f>IF($E2="","",$E2)</f>
        <v>0</v>
      </c>
      <c r="K2">
        <f>IF($E2="","",$E2)</f>
        <v>0</v>
      </c>
      <c r="L2">
        <f>""</f>
        <v>0</v>
      </c>
      <c r="M2">
        <f>""</f>
        <v>0</v>
      </c>
      <c r="N2">
        <f>IF(COUNT($E$2:$E2)&lt;15,"",IF(AVERAGE($M$2:$M$2)=0,100,100-100/(1+AVERAGE($L$2:$L$2)/AVERAGE($M$2:$M$2))))</f>
        <v>0</v>
      </c>
      <c r="O2">
        <f>IF($E2="","",$E2)</f>
        <v>0</v>
      </c>
      <c r="P2">
        <f>IF($E2="","",$E2)</f>
        <v>0</v>
      </c>
      <c r="Q2">
        <f>IF(OR(O2="",P2=""),"",O2-P2)</f>
        <v>0</v>
      </c>
      <c r="R2">
        <f>IF(Q2="","",Q2)</f>
        <v>0</v>
      </c>
      <c r="S2">
        <f>IF(OR(Q2="",R2=""),"",Q2-R2)</f>
        <v>0</v>
      </c>
      <c r="T2">
        <f>IF(COUNT($E$2:$E2)&lt;14,"",MAX($C$2:$C$2))</f>
        <v>0</v>
      </c>
      <c r="U2">
        <f>IF(COUNT($E$2:$E2)&lt;14,"",MIN($D$2:$D$2))</f>
        <v>0</v>
      </c>
      <c r="V2">
        <f>IF(OR(T2="",U2="",T2=U2),"",100*($E2-U2)/(T2-U2))</f>
        <v>0</v>
      </c>
      <c r="W2">
        <f>IF(COUNT($V$2:$V$2)&lt;3,"",AVERAGE($V$2:$V$2))</f>
        <v>0</v>
      </c>
      <c r="X2">
        <f>IF(COUNT($N$2:$N$2)&lt;14,"",MIN($N$2:$N$2))</f>
        <v>0</v>
      </c>
      <c r="Y2">
        <f>IF(COUNT($N$2:$N$2)&lt;14,"",MAX($N$2:$N$2))</f>
        <v>0</v>
      </c>
      <c r="Z2">
        <f>IF(OR(N2="",X2="",Y2="",Y2=X2),"",100*(N2-X2)/(Y2-X2))</f>
        <v>0</v>
      </c>
      <c r="AA2">
        <f>IF(COUNT($Z$2:$Z$2)&lt;3,"",AVERAGE($Z$2:$Z$2))</f>
        <v>0</v>
      </c>
      <c r="AB2">
        <f>IF(COUNT($AA$2:$AA$2)&lt;3,"",AVERAGE($AA$2:$AA$2))</f>
        <v>0</v>
      </c>
      <c r="AC2">
        <f>IF($E2="","",$C2-$D2)</f>
        <v>0</v>
      </c>
      <c r="AD2">
        <f>IF(COUNT($E$2:$E2)&lt;15,"",AVERAGE($AC$2:$AC$2))</f>
        <v>0</v>
      </c>
      <c r="AE2">
        <f>IF($E2="","",0)</f>
        <v>0</v>
      </c>
      <c r="AF2">
        <f>IF($E2="","",0)</f>
        <v>0</v>
      </c>
      <c r="AG2">
        <f>IF(COUNT($E$2:$E2)&lt;15,"",IF(SUM($AC$2:$AC$2)=0,0,100*SUM($AE$2:$AE$2)/SUM($AC$2:$AC$2)))</f>
        <v>0</v>
      </c>
      <c r="AH2">
        <f>IF(COUNT($E$2:$E2)&lt;15,"",IF(SUM($AC$2:$AC$2)=0,0,100*SUM($AF$2:$AF$2)/SUM($AC$2:$AC$2)))</f>
        <v>0</v>
      </c>
      <c r="AI2">
        <f>IF(OR(AG2="",AH2=""),"",IF((AG2+AH2)=0,0,100*ABS(AG2-AH2)/(AG2+AH2)))</f>
        <v>0</v>
      </c>
      <c r="AJ2">
        <f>IF(COUNT($AI$2:$AI$2)&lt;14,"",AVERAGE($AI$2:$AI$2))</f>
        <v>0</v>
      </c>
      <c r="AK2">
        <f>IF(COUNT($E$2:$E2)&lt;20,"",AVERAGE($E$2:$E$2))</f>
        <v>0</v>
      </c>
      <c r="AL2">
        <f>IF(COUNT($E$2:$E2)&lt;20,"",STDEVP($E$2:$E$2))</f>
        <v>0</v>
      </c>
      <c r="AM2">
        <f>IF(AK2="","",AK2+2*AL2)</f>
        <v>0</v>
      </c>
      <c r="AN2">
        <f>IF(AK2="","",AK2-2*AL2)</f>
        <v>0</v>
      </c>
      <c r="AO2">
        <f>IF(OR(AM2="",AN2="",AM2=AN2),"",($E2-AN2)/(AM2-AN2))</f>
        <v>0</v>
      </c>
      <c r="AP2">
        <f>IF(OR(AM2="",AK2="",AK2=0),"",(AM2-AN2)/AK2)</f>
        <v>0</v>
      </c>
      <c r="AQ2">
        <f>IF(COUNT($E$2:$E2)&lt;20,"",MAX($C$2:$C$2))</f>
        <v>0</v>
      </c>
      <c r="AR2">
        <f>IF(COUNT($E$2:$E2)&lt;20,"",MIN($D$2:$D$2))</f>
        <v>0</v>
      </c>
      <c r="AS2">
        <f>IF(OR(AQ2="",AR2=""),"",(AQ2+AR2)/2)</f>
        <v>0</v>
      </c>
      <c r="AT2">
        <f>IF(COUNT($G$2:$G$2)&lt;20,"",STDEV($G$2:$G$2)*SQRT(252))</f>
        <v>0</v>
      </c>
      <c r="AU2">
        <f>IF(COUNT($E$2:$E2)&lt;9,"",(MAX($C$2:$C$2)+MIN($D$2:$D$2))/2)</f>
        <v>0</v>
      </c>
      <c r="AV2">
        <f>IF(COUNT($E$2:$E2)&lt;26,"",(MAX($C$2:$C$2)+MIN($D$2:$D$2))/2)</f>
        <v>0</v>
      </c>
      <c r="AW2">
        <f>IF(OR(AU2="",AV2=""),"",(AU2+AV2)/2)</f>
        <v>0</v>
      </c>
      <c r="AX2">
        <f>IF(COUNT($E$2:$E2)&lt;52,"",(MAX($C$2:$C$2)+MIN($D$2:$D$2))/2)</f>
        <v>0</v>
      </c>
      <c r="AY2">
        <f>IF(COUNT($E$2:$E2)&lt;20,"",MAX($C$2:$C$2))</f>
        <v>0</v>
      </c>
      <c r="AZ2">
        <f>IF(COUNT($E$2:$E2)&lt;20,"",MIN($D$2:$D$2))</f>
        <v>0</v>
      </c>
      <c r="BA2">
        <f>IF(COUNT($E$2:$E2)&lt;20,"",SLOPE($E$2:$E$2,$F$2:$F$2))</f>
        <v>0</v>
      </c>
      <c r="BB2">
        <f>IF(COUNT($E$2:$E2)&lt;20,"",INTERCEPT($E$2:$E$2,$F$2:$F$2))</f>
        <v>0</v>
      </c>
      <c r="BC2">
        <f>IF(OR(BA2="",BB2=""),"",BB2+BA2*F2)</f>
        <v>0</v>
      </c>
      <c r="BD2">
        <f>IF(COUNT($E$2:$E2)&lt;20,"",STEYX($E$2:$E$2,$F$2:$F$2))</f>
        <v>0</v>
      </c>
      <c r="BE2">
        <f>""</f>
        <v>0</v>
      </c>
      <c r="BF2">
        <f>""</f>
        <v>0</v>
      </c>
      <c r="BG2">
        <f>IF($A2="","",$A2-WEEKDAY($A2,2)+1)</f>
        <v>0</v>
      </c>
      <c r="BH2">
        <f>IF($A2="","",1)</f>
        <v>0</v>
      </c>
      <c r="BI2">
        <f>IF($A2="","",IF($A3="",1,IF(BG3&lt;&gt;BG2,1,0)))</f>
        <v>0</v>
      </c>
      <c r="BJ2">
        <f>IF($A2="","",$B2)</f>
        <v>0</v>
      </c>
      <c r="BK2">
        <f>IF($A2="","",$C2)</f>
        <v>0</v>
      </c>
      <c r="BL2">
        <f>IF($A2="","",$D2)</f>
        <v>0</v>
      </c>
      <c r="BM2">
        <f>IF($A2="","",IF(BI2=1,F2,""))</f>
        <v>0</v>
      </c>
      <c r="BN2">
        <f>IF($A2="","",DATE(YEAR($A2),MONTH($A2),1))</f>
        <v>0</v>
      </c>
      <c r="BO2">
        <f>IF($A2="","",1)</f>
        <v>0</v>
      </c>
      <c r="BP2">
        <f>IF($A2="","",IF($A3="",1,IF(BN3&lt;&gt;BN2,1,0)))</f>
        <v>0</v>
      </c>
      <c r="BQ2">
        <f>IF($A2="","",$B2)</f>
        <v>0</v>
      </c>
      <c r="BR2">
        <f>IF($A2="","",$C2)</f>
        <v>0</v>
      </c>
      <c r="BS2">
        <f>IF($A2="","",$D2)</f>
        <v>0</v>
      </c>
      <c r="BT2">
        <f>IF($A2="","",IF(BP2=1,F2,""))</f>
        <v>0</v>
      </c>
    </row>
    <row r="3" spans="1:72">
      <c r="A3" s="27">
        <f>IF(Data!$A3="","",Data!$A3)</f>
        <v>0</v>
      </c>
      <c r="B3">
        <f>IF(Data!$B3="","",Data!$B3)</f>
        <v>0</v>
      </c>
      <c r="C3">
        <f>IF(Data!$C3="","",Data!$C3)</f>
        <v>0</v>
      </c>
      <c r="D3">
        <f>IF(Data!$D3="","",Data!$D3)</f>
        <v>0</v>
      </c>
      <c r="E3">
        <f>IF(Data!$E3="","",Data!$E3)</f>
        <v>0</v>
      </c>
      <c r="F3">
        <f>IF($E3="","",N(F2)+1)</f>
        <v>0</v>
      </c>
      <c r="G3">
        <f>IF(OR($E3="",$E2=""),"",LN($E3/$E2))</f>
        <v>0</v>
      </c>
      <c r="H3">
        <f>IF($E3="","",IF($E2="",$E3,$E3*0.0952380952+H2*0.9047619048))</f>
        <v>0</v>
      </c>
      <c r="I3">
        <f>IF($E3="","",IF($E2="",$E3,$E3*0.0392156863+I2*0.9607843137))</f>
        <v>0</v>
      </c>
      <c r="J3">
        <f>IF($E3="","",IF($E2="",$E3,$E3*0.0198019802+J2*0.9801980198))</f>
        <v>0</v>
      </c>
      <c r="K3">
        <f>IF($E3="","",IF($E2="",$E3,$E3*0.0099502488+K2*0.9900497512))</f>
        <v>0</v>
      </c>
      <c r="L3">
        <f>IF(OR($E3="",$E2=""),"",MAX($E3-$E2,0))</f>
        <v>0</v>
      </c>
      <c r="M3">
        <f>IF(OR($E3="",$E2=""),"",MAX($E2-$E3,0))</f>
        <v>0</v>
      </c>
      <c r="N3">
        <f>IF(COUNT($E$2:$E3)&lt;15,"",IF(AVERAGE($M$2:$M$3)=0,100,100-100/(1+AVERAGE($L$2:$L$3)/AVERAGE($M$2:$M$3))))</f>
        <v>0</v>
      </c>
      <c r="O3">
        <f>IF($E3="","",IF($E2="",$E3,$E3*0.1538461538+O2*0.8461538462))</f>
        <v>0</v>
      </c>
      <c r="P3">
        <f>IF($E3="","",IF($E2="",$E3,$E3*0.0740740741+P2*0.9259259259))</f>
        <v>0</v>
      </c>
      <c r="Q3">
        <f>IF(OR(O3="",P3=""),"",O3-P3)</f>
        <v>0</v>
      </c>
      <c r="R3">
        <f>IF(Q3="","",IF(R2="",Q3,Q3*0.2000000000+R2*0.8000000000))</f>
        <v>0</v>
      </c>
      <c r="S3">
        <f>IF(OR(Q3="",R3=""),"",Q3-R3)</f>
        <v>0</v>
      </c>
      <c r="T3">
        <f>IF(COUNT($E$2:$E3)&lt;14,"",MAX($C$2:$C$3))</f>
        <v>0</v>
      </c>
      <c r="U3">
        <f>IF(COUNT($E$2:$E3)&lt;14,"",MIN($D$2:$D$3))</f>
        <v>0</v>
      </c>
      <c r="V3">
        <f>IF(OR(T3="",U3="",T3=U3),"",100*($E3-U3)/(T3-U3))</f>
        <v>0</v>
      </c>
      <c r="W3">
        <f>IF(COUNT($V$2:$V$3)&lt;3,"",AVERAGE($V$2:$V$3))</f>
        <v>0</v>
      </c>
      <c r="X3">
        <f>IF(COUNT($N$2:$N$3)&lt;14,"",MIN($N$2:$N$3))</f>
        <v>0</v>
      </c>
      <c r="Y3">
        <f>IF(COUNT($N$2:$N$3)&lt;14,"",MAX($N$2:$N$3))</f>
        <v>0</v>
      </c>
      <c r="Z3">
        <f>IF(OR(N3="",X3="",Y3="",Y3=X3),"",100*(N3-X3)/(Y3-X3))</f>
        <v>0</v>
      </c>
      <c r="AA3">
        <f>IF(COUNT($Z$2:$Z$3)&lt;3,"",AVERAGE($Z$2:$Z$3))</f>
        <v>0</v>
      </c>
      <c r="AB3">
        <f>IF(COUNT($AA$2:$AA$3)&lt;3,"",AVERAGE($AA$2:$AA$3))</f>
        <v>0</v>
      </c>
      <c r="AC3">
        <f>IF($E3="","",MAX($C3-$D3,ABS($C3-$E2),ABS($D3-$E2)))</f>
        <v>0</v>
      </c>
      <c r="AD3">
        <f>IF(COUNT($E$2:$E3)&lt;15,"",AVERAGE($AC$2:$AC$3))</f>
        <v>0</v>
      </c>
      <c r="AE3">
        <f>IF(OR($E3="",$E2=""),"",IF(AND(($C3-$C2)&gt;($D2-$D3),($C3-$C2)&gt;0),$C3-$C2,0))</f>
        <v>0</v>
      </c>
      <c r="AF3">
        <f>IF(OR($E3="",$E2=""),"",IF(AND(($D2-$D3)&gt;($C3-$C2),($D2-$D3)&gt;0),$D2-$D3,0))</f>
        <v>0</v>
      </c>
      <c r="AG3">
        <f>IF(COUNT($E$2:$E3)&lt;15,"",IF(SUM($AC$2:$AC$3)=0,0,100*SUM($AE$2:$AE$3)/SUM($AC$2:$AC$3)))</f>
        <v>0</v>
      </c>
      <c r="AH3">
        <f>IF(COUNT($E$2:$E3)&lt;15,"",IF(SUM($AC$2:$AC$3)=0,0,100*SUM($AF$2:$AF$3)/SUM($AC$2:$AC$3)))</f>
        <v>0</v>
      </c>
      <c r="AI3">
        <f>IF(OR(AG3="",AH3=""),"",IF((AG3+AH3)=0,0,100*ABS(AG3-AH3)/(AG3+AH3)))</f>
        <v>0</v>
      </c>
      <c r="AJ3">
        <f>IF(COUNT($AI$2:$AI$3)&lt;14,"",AVERAGE($AI$2:$AI$3))</f>
        <v>0</v>
      </c>
      <c r="AK3">
        <f>IF(COUNT($E$2:$E3)&lt;20,"",AVERAGE($E$2:$E$3))</f>
        <v>0</v>
      </c>
      <c r="AL3">
        <f>IF(COUNT($E$2:$E3)&lt;20,"",STDEVP($E$2:$E$3))</f>
        <v>0</v>
      </c>
      <c r="AM3">
        <f>IF(AK3="","",AK3+2*AL3)</f>
        <v>0</v>
      </c>
      <c r="AN3">
        <f>IF(AK3="","",AK3-2*AL3)</f>
        <v>0</v>
      </c>
      <c r="AO3">
        <f>IF(OR(AM3="",AN3="",AM3=AN3),"",($E3-AN3)/(AM3-AN3))</f>
        <v>0</v>
      </c>
      <c r="AP3">
        <f>IF(OR(AM3="",AK3="",AK3=0),"",(AM3-AN3)/AK3)</f>
        <v>0</v>
      </c>
      <c r="AQ3">
        <f>IF(COUNT($E$2:$E3)&lt;20,"",MAX($C$2:$C$3))</f>
        <v>0</v>
      </c>
      <c r="AR3">
        <f>IF(COUNT($E$2:$E3)&lt;20,"",MIN($D$2:$D$3))</f>
        <v>0</v>
      </c>
      <c r="AS3">
        <f>IF(OR(AQ3="",AR3=""),"",(AQ3+AR3)/2)</f>
        <v>0</v>
      </c>
      <c r="AT3">
        <f>IF(COUNT($G$2:$G$3)&lt;20,"",STDEV($G$2:$G$3)*SQRT(252))</f>
        <v>0</v>
      </c>
      <c r="AU3">
        <f>IF(COUNT($E$2:$E3)&lt;9,"",(MAX($C$2:$C$3)+MIN($D$2:$D$3))/2)</f>
        <v>0</v>
      </c>
      <c r="AV3">
        <f>IF(COUNT($E$2:$E3)&lt;26,"",(MAX($C$2:$C$3)+MIN($D$2:$D$3))/2)</f>
        <v>0</v>
      </c>
      <c r="AW3">
        <f>IF(OR(AU3="",AV3=""),"",(AU3+AV3)/2)</f>
        <v>0</v>
      </c>
      <c r="AX3">
        <f>IF(COUNT($E$2:$E3)&lt;52,"",(MAX($C$2:$C$3)+MIN($D$2:$D$3))/2)</f>
        <v>0</v>
      </c>
      <c r="AY3">
        <f>IF(COUNT($E$2:$E3)&lt;20,"",MAX($C$2:$C$3))</f>
        <v>0</v>
      </c>
      <c r="AZ3">
        <f>IF(COUNT($E$2:$E3)&lt;20,"",MIN($D$2:$D$3))</f>
        <v>0</v>
      </c>
      <c r="BA3">
        <f>IF(COUNT($E$2:$E3)&lt;20,"",SLOPE($E$2:$E$3,$F$2:$F$3))</f>
        <v>0</v>
      </c>
      <c r="BB3">
        <f>IF(COUNT($E$2:$E3)&lt;20,"",INTERCEPT($E$2:$E$3,$F$2:$F$3))</f>
        <v>0</v>
      </c>
      <c r="BC3">
        <f>IF(OR(BA3="",BB3=""),"",BB3+BA3*F3)</f>
        <v>0</v>
      </c>
      <c r="BD3">
        <f>IF(COUNT($E$2:$E3)&lt;20,"",STEYX($E$2:$E$3,$F$2:$F$3))</f>
        <v>0</v>
      </c>
      <c r="BE3">
        <f>""</f>
        <v>0</v>
      </c>
      <c r="BF3">
        <f>""</f>
        <v>0</v>
      </c>
      <c r="BG3">
        <f>IF($A3="","",$A3-WEEKDAY($A3,2)+1)</f>
        <v>0</v>
      </c>
      <c r="BH3">
        <f>IF($A3="","",IF($A2="",1,IF(BG3&lt;&gt;BG2,1,0)))</f>
        <v>0</v>
      </c>
      <c r="BI3">
        <f>IF($A3="","",IF($A4="",1,IF(BG4&lt;&gt;BG3,1,0)))</f>
        <v>0</v>
      </c>
      <c r="BJ3">
        <f>IF($A3="","",IF(BH3=1,$B3,BJ2))</f>
        <v>0</v>
      </c>
      <c r="BK3">
        <f>IF($A3="","",IF(BH3=1,$C3,MAX($C3,BK2)))</f>
        <v>0</v>
      </c>
      <c r="BL3">
        <f>IF($A3="","",IF(BH3=1,$D3,MIN($D3,BL2)))</f>
        <v>0</v>
      </c>
      <c r="BM3">
        <f>IF($A3="","",IF(BI3=1,F3,""))</f>
        <v>0</v>
      </c>
      <c r="BN3">
        <f>IF($A3="","",DATE(YEAR($A3),MONTH($A3),1))</f>
        <v>0</v>
      </c>
      <c r="BO3">
        <f>IF($A3="","",IF($A2="",1,IF(BN3&lt;&gt;BN2,1,0)))</f>
        <v>0</v>
      </c>
      <c r="BP3">
        <f>IF($A3="","",IF($A4="",1,IF(BN4&lt;&gt;BN3,1,0)))</f>
        <v>0</v>
      </c>
      <c r="BQ3">
        <f>IF($A3="","",IF(BO3=1,$B3,BQ2))</f>
        <v>0</v>
      </c>
      <c r="BR3">
        <f>IF($A3="","",IF(BO3=1,$C3,MAX($C3,BR2)))</f>
        <v>0</v>
      </c>
      <c r="BS3">
        <f>IF($A3="","",IF(BO3=1,$D3,MIN($D3,BS2)))</f>
        <v>0</v>
      </c>
      <c r="BT3">
        <f>IF($A3="","",IF(BP3=1,F3,""))</f>
        <v>0</v>
      </c>
    </row>
    <row r="4" spans="1:72">
      <c r="A4" s="27">
        <f>IF(Data!$A4="","",Data!$A4)</f>
        <v>0</v>
      </c>
      <c r="B4">
        <f>IF(Data!$B4="","",Data!$B4)</f>
        <v>0</v>
      </c>
      <c r="C4">
        <f>IF(Data!$C4="","",Data!$C4)</f>
        <v>0</v>
      </c>
      <c r="D4">
        <f>IF(Data!$D4="","",Data!$D4)</f>
        <v>0</v>
      </c>
      <c r="E4">
        <f>IF(Data!$E4="","",Data!$E4)</f>
        <v>0</v>
      </c>
      <c r="F4">
        <f>IF($E4="","",N(F3)+1)</f>
        <v>0</v>
      </c>
      <c r="G4">
        <f>IF(OR($E4="",$E3=""),"",LN($E4/$E3))</f>
        <v>0</v>
      </c>
      <c r="H4">
        <f>IF($E4="","",IF($E3="",$E4,$E4*0.0952380952+H3*0.9047619048))</f>
        <v>0</v>
      </c>
      <c r="I4">
        <f>IF($E4="","",IF($E3="",$E4,$E4*0.0392156863+I3*0.9607843137))</f>
        <v>0</v>
      </c>
      <c r="J4">
        <f>IF($E4="","",IF($E3="",$E4,$E4*0.0198019802+J3*0.9801980198))</f>
        <v>0</v>
      </c>
      <c r="K4">
        <f>IF($E4="","",IF($E3="",$E4,$E4*0.0099502488+K3*0.9900497512))</f>
        <v>0</v>
      </c>
      <c r="L4">
        <f>IF(OR($E4="",$E3=""),"",MAX($E4-$E3,0))</f>
        <v>0</v>
      </c>
      <c r="M4">
        <f>IF(OR($E4="",$E3=""),"",MAX($E3-$E4,0))</f>
        <v>0</v>
      </c>
      <c r="N4">
        <f>IF(COUNT($E$2:$E4)&lt;15,"",IF(AVERAGE($M$2:$M$4)=0,100,100-100/(1+AVERAGE($L$2:$L$4)/AVERAGE($M$2:$M$4))))</f>
        <v>0</v>
      </c>
      <c r="O4">
        <f>IF($E4="","",IF($E3="",$E4,$E4*0.1538461538+O3*0.8461538462))</f>
        <v>0</v>
      </c>
      <c r="P4">
        <f>IF($E4="","",IF($E3="",$E4,$E4*0.0740740741+P3*0.9259259259))</f>
        <v>0</v>
      </c>
      <c r="Q4">
        <f>IF(OR(O4="",P4=""),"",O4-P4)</f>
        <v>0</v>
      </c>
      <c r="R4">
        <f>IF(Q4="","",IF(R3="",Q4,Q4*0.2000000000+R3*0.8000000000))</f>
        <v>0</v>
      </c>
      <c r="S4">
        <f>IF(OR(Q4="",R4=""),"",Q4-R4)</f>
        <v>0</v>
      </c>
      <c r="T4">
        <f>IF(COUNT($E$2:$E4)&lt;14,"",MAX($C$2:$C$4))</f>
        <v>0</v>
      </c>
      <c r="U4">
        <f>IF(COUNT($E$2:$E4)&lt;14,"",MIN($D$2:$D$4))</f>
        <v>0</v>
      </c>
      <c r="V4">
        <f>IF(OR(T4="",U4="",T4=U4),"",100*($E4-U4)/(T4-U4))</f>
        <v>0</v>
      </c>
      <c r="W4">
        <f>IF(COUNT($V$2:$V$4)&lt;3,"",AVERAGE($V$2:$V$4))</f>
        <v>0</v>
      </c>
      <c r="X4">
        <f>IF(COUNT($N$2:$N$4)&lt;14,"",MIN($N$2:$N$4))</f>
        <v>0</v>
      </c>
      <c r="Y4">
        <f>IF(COUNT($N$2:$N$4)&lt;14,"",MAX($N$2:$N$4))</f>
        <v>0</v>
      </c>
      <c r="Z4">
        <f>IF(OR(N4="",X4="",Y4="",Y4=X4),"",100*(N4-X4)/(Y4-X4))</f>
        <v>0</v>
      </c>
      <c r="AA4">
        <f>IF(COUNT($Z$2:$Z$4)&lt;3,"",AVERAGE($Z$2:$Z$4))</f>
        <v>0</v>
      </c>
      <c r="AB4">
        <f>IF(COUNT($AA$2:$AA$4)&lt;3,"",AVERAGE($AA$2:$AA$4))</f>
        <v>0</v>
      </c>
      <c r="AC4">
        <f>IF($E4="","",MAX($C4-$D4,ABS($C4-$E3),ABS($D4-$E3)))</f>
        <v>0</v>
      </c>
      <c r="AD4">
        <f>IF(COUNT($E$2:$E4)&lt;15,"",AVERAGE($AC$2:$AC$4))</f>
        <v>0</v>
      </c>
      <c r="AE4">
        <f>IF(OR($E4="",$E3=""),"",IF(AND(($C4-$C3)&gt;($D3-$D4),($C4-$C3)&gt;0),$C4-$C3,0))</f>
        <v>0</v>
      </c>
      <c r="AF4">
        <f>IF(OR($E4="",$E3=""),"",IF(AND(($D3-$D4)&gt;($C4-$C3),($D3-$D4)&gt;0),$D3-$D4,0))</f>
        <v>0</v>
      </c>
      <c r="AG4">
        <f>IF(COUNT($E$2:$E4)&lt;15,"",IF(SUM($AC$2:$AC$4)=0,0,100*SUM($AE$2:$AE$4)/SUM($AC$2:$AC$4)))</f>
        <v>0</v>
      </c>
      <c r="AH4">
        <f>IF(COUNT($E$2:$E4)&lt;15,"",IF(SUM($AC$2:$AC$4)=0,0,100*SUM($AF$2:$AF$4)/SUM($AC$2:$AC$4)))</f>
        <v>0</v>
      </c>
      <c r="AI4">
        <f>IF(OR(AG4="",AH4=""),"",IF((AG4+AH4)=0,0,100*ABS(AG4-AH4)/(AG4+AH4)))</f>
        <v>0</v>
      </c>
      <c r="AJ4">
        <f>IF(COUNT($AI$2:$AI$4)&lt;14,"",AVERAGE($AI$2:$AI$4))</f>
        <v>0</v>
      </c>
      <c r="AK4">
        <f>IF(COUNT($E$2:$E4)&lt;20,"",AVERAGE($E$2:$E$4))</f>
        <v>0</v>
      </c>
      <c r="AL4">
        <f>IF(COUNT($E$2:$E4)&lt;20,"",STDEVP($E$2:$E$4))</f>
        <v>0</v>
      </c>
      <c r="AM4">
        <f>IF(AK4="","",AK4+2*AL4)</f>
        <v>0</v>
      </c>
      <c r="AN4">
        <f>IF(AK4="","",AK4-2*AL4)</f>
        <v>0</v>
      </c>
      <c r="AO4">
        <f>IF(OR(AM4="",AN4="",AM4=AN4),"",($E4-AN4)/(AM4-AN4))</f>
        <v>0</v>
      </c>
      <c r="AP4">
        <f>IF(OR(AM4="",AK4="",AK4=0),"",(AM4-AN4)/AK4)</f>
        <v>0</v>
      </c>
      <c r="AQ4">
        <f>IF(COUNT($E$2:$E4)&lt;20,"",MAX($C$2:$C$4))</f>
        <v>0</v>
      </c>
      <c r="AR4">
        <f>IF(COUNT($E$2:$E4)&lt;20,"",MIN($D$2:$D$4))</f>
        <v>0</v>
      </c>
      <c r="AS4">
        <f>IF(OR(AQ4="",AR4=""),"",(AQ4+AR4)/2)</f>
        <v>0</v>
      </c>
      <c r="AT4">
        <f>IF(COUNT($G$2:$G$4)&lt;20,"",STDEV($G$2:$G$4)*SQRT(252))</f>
        <v>0</v>
      </c>
      <c r="AU4">
        <f>IF(COUNT($E$2:$E4)&lt;9,"",(MAX($C$2:$C$4)+MIN($D$2:$D$4))/2)</f>
        <v>0</v>
      </c>
      <c r="AV4">
        <f>IF(COUNT($E$2:$E4)&lt;26,"",(MAX($C$2:$C$4)+MIN($D$2:$D$4))/2)</f>
        <v>0</v>
      </c>
      <c r="AW4">
        <f>IF(OR(AU4="",AV4=""),"",(AU4+AV4)/2)</f>
        <v>0</v>
      </c>
      <c r="AX4">
        <f>IF(COUNT($E$2:$E4)&lt;52,"",(MAX($C$2:$C$4)+MIN($D$2:$D$4))/2)</f>
        <v>0</v>
      </c>
      <c r="AY4">
        <f>IF(COUNT($E$2:$E4)&lt;20,"",MAX($C$2:$C$4))</f>
        <v>0</v>
      </c>
      <c r="AZ4">
        <f>IF(COUNT($E$2:$E4)&lt;20,"",MIN($D$2:$D$4))</f>
        <v>0</v>
      </c>
      <c r="BA4">
        <f>IF(COUNT($E$2:$E4)&lt;20,"",SLOPE($E$2:$E$4,$F$2:$F$4))</f>
        <v>0</v>
      </c>
      <c r="BB4">
        <f>IF(COUNT($E$2:$E4)&lt;20,"",INTERCEPT($E$2:$E$4,$F$2:$F$4))</f>
        <v>0</v>
      </c>
      <c r="BC4">
        <f>IF(OR(BA4="",BB4=""),"",BB4+BA4*F4)</f>
        <v>0</v>
      </c>
      <c r="BD4">
        <f>IF(COUNT($E$2:$E4)&lt;20,"",STEYX($E$2:$E$4,$F$2:$F$4))</f>
        <v>0</v>
      </c>
      <c r="BE4">
        <f>""</f>
        <v>0</v>
      </c>
      <c r="BF4">
        <f>""</f>
        <v>0</v>
      </c>
      <c r="BG4">
        <f>IF($A4="","",$A4-WEEKDAY($A4,2)+1)</f>
        <v>0</v>
      </c>
      <c r="BH4">
        <f>IF($A4="","",IF($A3="",1,IF(BG4&lt;&gt;BG3,1,0)))</f>
        <v>0</v>
      </c>
      <c r="BI4">
        <f>IF($A4="","",IF($A5="",1,IF(BG5&lt;&gt;BG4,1,0)))</f>
        <v>0</v>
      </c>
      <c r="BJ4">
        <f>IF($A4="","",IF(BH4=1,$B4,BJ3))</f>
        <v>0</v>
      </c>
      <c r="BK4">
        <f>IF($A4="","",IF(BH4=1,$C4,MAX($C4,BK3)))</f>
        <v>0</v>
      </c>
      <c r="BL4">
        <f>IF($A4="","",IF(BH4=1,$D4,MIN($D4,BL3)))</f>
        <v>0</v>
      </c>
      <c r="BM4">
        <f>IF($A4="","",IF(BI4=1,F4,""))</f>
        <v>0</v>
      </c>
      <c r="BN4">
        <f>IF($A4="","",DATE(YEAR($A4),MONTH($A4),1))</f>
        <v>0</v>
      </c>
      <c r="BO4">
        <f>IF($A4="","",IF($A3="",1,IF(BN4&lt;&gt;BN3,1,0)))</f>
        <v>0</v>
      </c>
      <c r="BP4">
        <f>IF($A4="","",IF($A5="",1,IF(BN5&lt;&gt;BN4,1,0)))</f>
        <v>0</v>
      </c>
      <c r="BQ4">
        <f>IF($A4="","",IF(BO4=1,$B4,BQ3))</f>
        <v>0</v>
      </c>
      <c r="BR4">
        <f>IF($A4="","",IF(BO4=1,$C4,MAX($C4,BR3)))</f>
        <v>0</v>
      </c>
      <c r="BS4">
        <f>IF($A4="","",IF(BO4=1,$D4,MIN($D4,BS3)))</f>
        <v>0</v>
      </c>
      <c r="BT4">
        <f>IF($A4="","",IF(BP4=1,F4,""))</f>
        <v>0</v>
      </c>
    </row>
    <row r="5" spans="1:72">
      <c r="A5" s="27">
        <f>IF(Data!$A5="","",Data!$A5)</f>
        <v>0</v>
      </c>
      <c r="B5">
        <f>IF(Data!$B5="","",Data!$B5)</f>
        <v>0</v>
      </c>
      <c r="C5">
        <f>IF(Data!$C5="","",Data!$C5)</f>
        <v>0</v>
      </c>
      <c r="D5">
        <f>IF(Data!$D5="","",Data!$D5)</f>
        <v>0</v>
      </c>
      <c r="E5">
        <f>IF(Data!$E5="","",Data!$E5)</f>
        <v>0</v>
      </c>
      <c r="F5">
        <f>IF($E5="","",N(F4)+1)</f>
        <v>0</v>
      </c>
      <c r="G5">
        <f>IF(OR($E5="",$E4=""),"",LN($E5/$E4))</f>
        <v>0</v>
      </c>
      <c r="H5">
        <f>IF($E5="","",IF($E4="",$E5,$E5*0.0952380952+H4*0.9047619048))</f>
        <v>0</v>
      </c>
      <c r="I5">
        <f>IF($E5="","",IF($E4="",$E5,$E5*0.0392156863+I4*0.9607843137))</f>
        <v>0</v>
      </c>
      <c r="J5">
        <f>IF($E5="","",IF($E4="",$E5,$E5*0.0198019802+J4*0.9801980198))</f>
        <v>0</v>
      </c>
      <c r="K5">
        <f>IF($E5="","",IF($E4="",$E5,$E5*0.0099502488+K4*0.9900497512))</f>
        <v>0</v>
      </c>
      <c r="L5">
        <f>IF(OR($E5="",$E4=""),"",MAX($E5-$E4,0))</f>
        <v>0</v>
      </c>
      <c r="M5">
        <f>IF(OR($E5="",$E4=""),"",MAX($E4-$E5,0))</f>
        <v>0</v>
      </c>
      <c r="N5">
        <f>IF(COUNT($E$2:$E5)&lt;15,"",IF(AVERAGE($M$2:$M$5)=0,100,100-100/(1+AVERAGE($L$2:$L$5)/AVERAGE($M$2:$M$5))))</f>
        <v>0</v>
      </c>
      <c r="O5">
        <f>IF($E5="","",IF($E4="",$E5,$E5*0.1538461538+O4*0.8461538462))</f>
        <v>0</v>
      </c>
      <c r="P5">
        <f>IF($E5="","",IF($E4="",$E5,$E5*0.0740740741+P4*0.9259259259))</f>
        <v>0</v>
      </c>
      <c r="Q5">
        <f>IF(OR(O5="",P5=""),"",O5-P5)</f>
        <v>0</v>
      </c>
      <c r="R5">
        <f>IF(Q5="","",IF(R4="",Q5,Q5*0.2000000000+R4*0.8000000000))</f>
        <v>0</v>
      </c>
      <c r="S5">
        <f>IF(OR(Q5="",R5=""),"",Q5-R5)</f>
        <v>0</v>
      </c>
      <c r="T5">
        <f>IF(COUNT($E$2:$E5)&lt;14,"",MAX($C$2:$C$5))</f>
        <v>0</v>
      </c>
      <c r="U5">
        <f>IF(COUNT($E$2:$E5)&lt;14,"",MIN($D$2:$D$5))</f>
        <v>0</v>
      </c>
      <c r="V5">
        <f>IF(OR(T5="",U5="",T5=U5),"",100*($E5-U5)/(T5-U5))</f>
        <v>0</v>
      </c>
      <c r="W5">
        <f>IF(COUNT($V$3:$V$5)&lt;3,"",AVERAGE($V$3:$V$5))</f>
        <v>0</v>
      </c>
      <c r="X5">
        <f>IF(COUNT($N$2:$N$5)&lt;14,"",MIN($N$2:$N$5))</f>
        <v>0</v>
      </c>
      <c r="Y5">
        <f>IF(COUNT($N$2:$N$5)&lt;14,"",MAX($N$2:$N$5))</f>
        <v>0</v>
      </c>
      <c r="Z5">
        <f>IF(OR(N5="",X5="",Y5="",Y5=X5),"",100*(N5-X5)/(Y5-X5))</f>
        <v>0</v>
      </c>
      <c r="AA5">
        <f>IF(COUNT($Z$3:$Z$5)&lt;3,"",AVERAGE($Z$3:$Z$5))</f>
        <v>0</v>
      </c>
      <c r="AB5">
        <f>IF(COUNT($AA$3:$AA$5)&lt;3,"",AVERAGE($AA$3:$AA$5))</f>
        <v>0</v>
      </c>
      <c r="AC5">
        <f>IF($E5="","",MAX($C5-$D5,ABS($C5-$E4),ABS($D5-$E4)))</f>
        <v>0</v>
      </c>
      <c r="AD5">
        <f>IF(COUNT($E$2:$E5)&lt;15,"",AVERAGE($AC$2:$AC$5))</f>
        <v>0</v>
      </c>
      <c r="AE5">
        <f>IF(OR($E5="",$E4=""),"",IF(AND(($C5-$C4)&gt;($D4-$D5),($C5-$C4)&gt;0),$C5-$C4,0))</f>
        <v>0</v>
      </c>
      <c r="AF5">
        <f>IF(OR($E5="",$E4=""),"",IF(AND(($D4-$D5)&gt;($C5-$C4),($D4-$D5)&gt;0),$D4-$D5,0))</f>
        <v>0</v>
      </c>
      <c r="AG5">
        <f>IF(COUNT($E$2:$E5)&lt;15,"",IF(SUM($AC$2:$AC$5)=0,0,100*SUM($AE$2:$AE$5)/SUM($AC$2:$AC$5)))</f>
        <v>0</v>
      </c>
      <c r="AH5">
        <f>IF(COUNT($E$2:$E5)&lt;15,"",IF(SUM($AC$2:$AC$5)=0,0,100*SUM($AF$2:$AF$5)/SUM($AC$2:$AC$5)))</f>
        <v>0</v>
      </c>
      <c r="AI5">
        <f>IF(OR(AG5="",AH5=""),"",IF((AG5+AH5)=0,0,100*ABS(AG5-AH5)/(AG5+AH5)))</f>
        <v>0</v>
      </c>
      <c r="AJ5">
        <f>IF(COUNT($AI$2:$AI$5)&lt;14,"",AVERAGE($AI$2:$AI$5))</f>
        <v>0</v>
      </c>
      <c r="AK5">
        <f>IF(COUNT($E$2:$E5)&lt;20,"",AVERAGE($E$2:$E$5))</f>
        <v>0</v>
      </c>
      <c r="AL5">
        <f>IF(COUNT($E$2:$E5)&lt;20,"",STDEVP($E$2:$E$5))</f>
        <v>0</v>
      </c>
      <c r="AM5">
        <f>IF(AK5="","",AK5+2*AL5)</f>
        <v>0</v>
      </c>
      <c r="AN5">
        <f>IF(AK5="","",AK5-2*AL5)</f>
        <v>0</v>
      </c>
      <c r="AO5">
        <f>IF(OR(AM5="",AN5="",AM5=AN5),"",($E5-AN5)/(AM5-AN5))</f>
        <v>0</v>
      </c>
      <c r="AP5">
        <f>IF(OR(AM5="",AK5="",AK5=0),"",(AM5-AN5)/AK5)</f>
        <v>0</v>
      </c>
      <c r="AQ5">
        <f>IF(COUNT($E$2:$E5)&lt;20,"",MAX($C$2:$C$5))</f>
        <v>0</v>
      </c>
      <c r="AR5">
        <f>IF(COUNT($E$2:$E5)&lt;20,"",MIN($D$2:$D$5))</f>
        <v>0</v>
      </c>
      <c r="AS5">
        <f>IF(OR(AQ5="",AR5=""),"",(AQ5+AR5)/2)</f>
        <v>0</v>
      </c>
      <c r="AT5">
        <f>IF(COUNT($G$2:$G$5)&lt;20,"",STDEV($G$2:$G$5)*SQRT(252))</f>
        <v>0</v>
      </c>
      <c r="AU5">
        <f>IF(COUNT($E$2:$E5)&lt;9,"",(MAX($C$2:$C$5)+MIN($D$2:$D$5))/2)</f>
        <v>0</v>
      </c>
      <c r="AV5">
        <f>IF(COUNT($E$2:$E5)&lt;26,"",(MAX($C$2:$C$5)+MIN($D$2:$D$5))/2)</f>
        <v>0</v>
      </c>
      <c r="AW5">
        <f>IF(OR(AU5="",AV5=""),"",(AU5+AV5)/2)</f>
        <v>0</v>
      </c>
      <c r="AX5">
        <f>IF(COUNT($E$2:$E5)&lt;52,"",(MAX($C$2:$C$5)+MIN($D$2:$D$5))/2)</f>
        <v>0</v>
      </c>
      <c r="AY5">
        <f>IF(COUNT($E$2:$E5)&lt;20,"",MAX($C$2:$C$5))</f>
        <v>0</v>
      </c>
      <c r="AZ5">
        <f>IF(COUNT($E$2:$E5)&lt;20,"",MIN($D$2:$D$5))</f>
        <v>0</v>
      </c>
      <c r="BA5">
        <f>IF(COUNT($E$2:$E5)&lt;20,"",SLOPE($E$2:$E$5,$F$2:$F$5))</f>
        <v>0</v>
      </c>
      <c r="BB5">
        <f>IF(COUNT($E$2:$E5)&lt;20,"",INTERCEPT($E$2:$E$5,$F$2:$F$5))</f>
        <v>0</v>
      </c>
      <c r="BC5">
        <f>IF(OR(BA5="",BB5=""),"",BB5+BA5*F5)</f>
        <v>0</v>
      </c>
      <c r="BD5">
        <f>IF(COUNT($E$2:$E5)&lt;20,"",STEYX($E$2:$E$5,$F$2:$F$5))</f>
        <v>0</v>
      </c>
      <c r="BE5">
        <f>""</f>
        <v>0</v>
      </c>
      <c r="BF5">
        <f>""</f>
        <v>0</v>
      </c>
      <c r="BG5">
        <f>IF($A5="","",$A5-WEEKDAY($A5,2)+1)</f>
        <v>0</v>
      </c>
      <c r="BH5">
        <f>IF($A5="","",IF($A4="",1,IF(BG5&lt;&gt;BG4,1,0)))</f>
        <v>0</v>
      </c>
      <c r="BI5">
        <f>IF($A5="","",IF($A6="",1,IF(BG6&lt;&gt;BG5,1,0)))</f>
        <v>0</v>
      </c>
      <c r="BJ5">
        <f>IF($A5="","",IF(BH5=1,$B5,BJ4))</f>
        <v>0</v>
      </c>
      <c r="BK5">
        <f>IF($A5="","",IF(BH5=1,$C5,MAX($C5,BK4)))</f>
        <v>0</v>
      </c>
      <c r="BL5">
        <f>IF($A5="","",IF(BH5=1,$D5,MIN($D5,BL4)))</f>
        <v>0</v>
      </c>
      <c r="BM5">
        <f>IF($A5="","",IF(BI5=1,F5,""))</f>
        <v>0</v>
      </c>
      <c r="BN5">
        <f>IF($A5="","",DATE(YEAR($A5),MONTH($A5),1))</f>
        <v>0</v>
      </c>
      <c r="BO5">
        <f>IF($A5="","",IF($A4="",1,IF(BN5&lt;&gt;BN4,1,0)))</f>
        <v>0</v>
      </c>
      <c r="BP5">
        <f>IF($A5="","",IF($A6="",1,IF(BN6&lt;&gt;BN5,1,0)))</f>
        <v>0</v>
      </c>
      <c r="BQ5">
        <f>IF($A5="","",IF(BO5=1,$B5,BQ4))</f>
        <v>0</v>
      </c>
      <c r="BR5">
        <f>IF($A5="","",IF(BO5=1,$C5,MAX($C5,BR4)))</f>
        <v>0</v>
      </c>
      <c r="BS5">
        <f>IF($A5="","",IF(BO5=1,$D5,MIN($D5,BS4)))</f>
        <v>0</v>
      </c>
      <c r="BT5">
        <f>IF($A5="","",IF(BP5=1,F5,""))</f>
        <v>0</v>
      </c>
    </row>
    <row r="6" spans="1:72">
      <c r="A6" s="27">
        <f>IF(Data!$A6="","",Data!$A6)</f>
        <v>0</v>
      </c>
      <c r="B6">
        <f>IF(Data!$B6="","",Data!$B6)</f>
        <v>0</v>
      </c>
      <c r="C6">
        <f>IF(Data!$C6="","",Data!$C6)</f>
        <v>0</v>
      </c>
      <c r="D6">
        <f>IF(Data!$D6="","",Data!$D6)</f>
        <v>0</v>
      </c>
      <c r="E6">
        <f>IF(Data!$E6="","",Data!$E6)</f>
        <v>0</v>
      </c>
      <c r="F6">
        <f>IF($E6="","",N(F5)+1)</f>
        <v>0</v>
      </c>
      <c r="G6">
        <f>IF(OR($E6="",$E5=""),"",LN($E6/$E5))</f>
        <v>0</v>
      </c>
      <c r="H6">
        <f>IF($E6="","",IF($E5="",$E6,$E6*0.0952380952+H5*0.9047619048))</f>
        <v>0</v>
      </c>
      <c r="I6">
        <f>IF($E6="","",IF($E5="",$E6,$E6*0.0392156863+I5*0.9607843137))</f>
        <v>0</v>
      </c>
      <c r="J6">
        <f>IF($E6="","",IF($E5="",$E6,$E6*0.0198019802+J5*0.9801980198))</f>
        <v>0</v>
      </c>
      <c r="K6">
        <f>IF($E6="","",IF($E5="",$E6,$E6*0.0099502488+K5*0.9900497512))</f>
        <v>0</v>
      </c>
      <c r="L6">
        <f>IF(OR($E6="",$E5=""),"",MAX($E6-$E5,0))</f>
        <v>0</v>
      </c>
      <c r="M6">
        <f>IF(OR($E6="",$E5=""),"",MAX($E5-$E6,0))</f>
        <v>0</v>
      </c>
      <c r="N6">
        <f>IF(COUNT($E$2:$E6)&lt;15,"",IF(AVERAGE($M$2:$M$6)=0,100,100-100/(1+AVERAGE($L$2:$L$6)/AVERAGE($M$2:$M$6))))</f>
        <v>0</v>
      </c>
      <c r="O6">
        <f>IF($E6="","",IF($E5="",$E6,$E6*0.1538461538+O5*0.8461538462))</f>
        <v>0</v>
      </c>
      <c r="P6">
        <f>IF($E6="","",IF($E5="",$E6,$E6*0.0740740741+P5*0.9259259259))</f>
        <v>0</v>
      </c>
      <c r="Q6">
        <f>IF(OR(O6="",P6=""),"",O6-P6)</f>
        <v>0</v>
      </c>
      <c r="R6">
        <f>IF(Q6="","",IF(R5="",Q6,Q6*0.2000000000+R5*0.8000000000))</f>
        <v>0</v>
      </c>
      <c r="S6">
        <f>IF(OR(Q6="",R6=""),"",Q6-R6)</f>
        <v>0</v>
      </c>
      <c r="T6">
        <f>IF(COUNT($E$2:$E6)&lt;14,"",MAX($C$2:$C$6))</f>
        <v>0</v>
      </c>
      <c r="U6">
        <f>IF(COUNT($E$2:$E6)&lt;14,"",MIN($D$2:$D$6))</f>
        <v>0</v>
      </c>
      <c r="V6">
        <f>IF(OR(T6="",U6="",T6=U6),"",100*($E6-U6)/(T6-U6))</f>
        <v>0</v>
      </c>
      <c r="W6">
        <f>IF(COUNT($V$4:$V$6)&lt;3,"",AVERAGE($V$4:$V$6))</f>
        <v>0</v>
      </c>
      <c r="X6">
        <f>IF(COUNT($N$2:$N$6)&lt;14,"",MIN($N$2:$N$6))</f>
        <v>0</v>
      </c>
      <c r="Y6">
        <f>IF(COUNT($N$2:$N$6)&lt;14,"",MAX($N$2:$N$6))</f>
        <v>0</v>
      </c>
      <c r="Z6">
        <f>IF(OR(N6="",X6="",Y6="",Y6=X6),"",100*(N6-X6)/(Y6-X6))</f>
        <v>0</v>
      </c>
      <c r="AA6">
        <f>IF(COUNT($Z$4:$Z$6)&lt;3,"",AVERAGE($Z$4:$Z$6))</f>
        <v>0</v>
      </c>
      <c r="AB6">
        <f>IF(COUNT($AA$4:$AA$6)&lt;3,"",AVERAGE($AA$4:$AA$6))</f>
        <v>0</v>
      </c>
      <c r="AC6">
        <f>IF($E6="","",MAX($C6-$D6,ABS($C6-$E5),ABS($D6-$E5)))</f>
        <v>0</v>
      </c>
      <c r="AD6">
        <f>IF(COUNT($E$2:$E6)&lt;15,"",AVERAGE($AC$2:$AC$6))</f>
        <v>0</v>
      </c>
      <c r="AE6">
        <f>IF(OR($E6="",$E5=""),"",IF(AND(($C6-$C5)&gt;($D5-$D6),($C6-$C5)&gt;0),$C6-$C5,0))</f>
        <v>0</v>
      </c>
      <c r="AF6">
        <f>IF(OR($E6="",$E5=""),"",IF(AND(($D5-$D6)&gt;($C6-$C5),($D5-$D6)&gt;0),$D5-$D6,0))</f>
        <v>0</v>
      </c>
      <c r="AG6">
        <f>IF(COUNT($E$2:$E6)&lt;15,"",IF(SUM($AC$2:$AC$6)=0,0,100*SUM($AE$2:$AE$6)/SUM($AC$2:$AC$6)))</f>
        <v>0</v>
      </c>
      <c r="AH6">
        <f>IF(COUNT($E$2:$E6)&lt;15,"",IF(SUM($AC$2:$AC$6)=0,0,100*SUM($AF$2:$AF$6)/SUM($AC$2:$AC$6)))</f>
        <v>0</v>
      </c>
      <c r="AI6">
        <f>IF(OR(AG6="",AH6=""),"",IF((AG6+AH6)=0,0,100*ABS(AG6-AH6)/(AG6+AH6)))</f>
        <v>0</v>
      </c>
      <c r="AJ6">
        <f>IF(COUNT($AI$2:$AI$6)&lt;14,"",AVERAGE($AI$2:$AI$6))</f>
        <v>0</v>
      </c>
      <c r="AK6">
        <f>IF(COUNT($E$2:$E6)&lt;20,"",AVERAGE($E$2:$E$6))</f>
        <v>0</v>
      </c>
      <c r="AL6">
        <f>IF(COUNT($E$2:$E6)&lt;20,"",STDEVP($E$2:$E$6))</f>
        <v>0</v>
      </c>
      <c r="AM6">
        <f>IF(AK6="","",AK6+2*AL6)</f>
        <v>0</v>
      </c>
      <c r="AN6">
        <f>IF(AK6="","",AK6-2*AL6)</f>
        <v>0</v>
      </c>
      <c r="AO6">
        <f>IF(OR(AM6="",AN6="",AM6=AN6),"",($E6-AN6)/(AM6-AN6))</f>
        <v>0</v>
      </c>
      <c r="AP6">
        <f>IF(OR(AM6="",AK6="",AK6=0),"",(AM6-AN6)/AK6)</f>
        <v>0</v>
      </c>
      <c r="AQ6">
        <f>IF(COUNT($E$2:$E6)&lt;20,"",MAX($C$2:$C$6))</f>
        <v>0</v>
      </c>
      <c r="AR6">
        <f>IF(COUNT($E$2:$E6)&lt;20,"",MIN($D$2:$D$6))</f>
        <v>0</v>
      </c>
      <c r="AS6">
        <f>IF(OR(AQ6="",AR6=""),"",(AQ6+AR6)/2)</f>
        <v>0</v>
      </c>
      <c r="AT6">
        <f>IF(COUNT($G$2:$G$6)&lt;20,"",STDEV($G$2:$G$6)*SQRT(252))</f>
        <v>0</v>
      </c>
      <c r="AU6">
        <f>IF(COUNT($E$2:$E6)&lt;9,"",(MAX($C$2:$C$6)+MIN($D$2:$D$6))/2)</f>
        <v>0</v>
      </c>
      <c r="AV6">
        <f>IF(COUNT($E$2:$E6)&lt;26,"",(MAX($C$2:$C$6)+MIN($D$2:$D$6))/2)</f>
        <v>0</v>
      </c>
      <c r="AW6">
        <f>IF(OR(AU6="",AV6=""),"",(AU6+AV6)/2)</f>
        <v>0</v>
      </c>
      <c r="AX6">
        <f>IF(COUNT($E$2:$E6)&lt;52,"",(MAX($C$2:$C$6)+MIN($D$2:$D$6))/2)</f>
        <v>0</v>
      </c>
      <c r="AY6">
        <f>IF(COUNT($E$2:$E6)&lt;20,"",MAX($C$2:$C$6))</f>
        <v>0</v>
      </c>
      <c r="AZ6">
        <f>IF(COUNT($E$2:$E6)&lt;20,"",MIN($D$2:$D$6))</f>
        <v>0</v>
      </c>
      <c r="BA6">
        <f>IF(COUNT($E$2:$E6)&lt;20,"",SLOPE($E$2:$E$6,$F$2:$F$6))</f>
        <v>0</v>
      </c>
      <c r="BB6">
        <f>IF(COUNT($E$2:$E6)&lt;20,"",INTERCEPT($E$2:$E$6,$F$2:$F$6))</f>
        <v>0</v>
      </c>
      <c r="BC6">
        <f>IF(OR(BA6="",BB6=""),"",BB6+BA6*F6)</f>
        <v>0</v>
      </c>
      <c r="BD6">
        <f>IF(COUNT($E$2:$E6)&lt;20,"",STEYX($E$2:$E$6,$F$2:$F$6))</f>
        <v>0</v>
      </c>
      <c r="BE6">
        <f>IF($E6="","",IF(AND(COUNT($E$7:$E$10)&gt;=4,$C6=MAX($C$2:$C$10)),$C6,""))</f>
        <v>0</v>
      </c>
      <c r="BF6">
        <f>IF($E6="","",IF(AND(COUNT($E$7:$E$10)&gt;=4,$D6=MIN($D$2:$D$10)),$D6,""))</f>
        <v>0</v>
      </c>
      <c r="BG6">
        <f>IF($A6="","",$A6-WEEKDAY($A6,2)+1)</f>
        <v>0</v>
      </c>
      <c r="BH6">
        <f>IF($A6="","",IF($A5="",1,IF(BG6&lt;&gt;BG5,1,0)))</f>
        <v>0</v>
      </c>
      <c r="BI6">
        <f>IF($A6="","",IF($A7="",1,IF(BG7&lt;&gt;BG6,1,0)))</f>
        <v>0</v>
      </c>
      <c r="BJ6">
        <f>IF($A6="","",IF(BH6=1,$B6,BJ5))</f>
        <v>0</v>
      </c>
      <c r="BK6">
        <f>IF($A6="","",IF(BH6=1,$C6,MAX($C6,BK5)))</f>
        <v>0</v>
      </c>
      <c r="BL6">
        <f>IF($A6="","",IF(BH6=1,$D6,MIN($D6,BL5)))</f>
        <v>0</v>
      </c>
      <c r="BM6">
        <f>IF($A6="","",IF(BI6=1,F6,""))</f>
        <v>0</v>
      </c>
      <c r="BN6">
        <f>IF($A6="","",DATE(YEAR($A6),MONTH($A6),1))</f>
        <v>0</v>
      </c>
      <c r="BO6">
        <f>IF($A6="","",IF($A5="",1,IF(BN6&lt;&gt;BN5,1,0)))</f>
        <v>0</v>
      </c>
      <c r="BP6">
        <f>IF($A6="","",IF($A7="",1,IF(BN7&lt;&gt;BN6,1,0)))</f>
        <v>0</v>
      </c>
      <c r="BQ6">
        <f>IF($A6="","",IF(BO6=1,$B6,BQ5))</f>
        <v>0</v>
      </c>
      <c r="BR6">
        <f>IF($A6="","",IF(BO6=1,$C6,MAX($C6,BR5)))</f>
        <v>0</v>
      </c>
      <c r="BS6">
        <f>IF($A6="","",IF(BO6=1,$D6,MIN($D6,BS5)))</f>
        <v>0</v>
      </c>
      <c r="BT6">
        <f>IF($A6="","",IF(BP6=1,F6,""))</f>
        <v>0</v>
      </c>
    </row>
    <row r="7" spans="1:72">
      <c r="A7" s="27">
        <f>IF(Data!$A7="","",Data!$A7)</f>
        <v>0</v>
      </c>
      <c r="B7">
        <f>IF(Data!$B7="","",Data!$B7)</f>
        <v>0</v>
      </c>
      <c r="C7">
        <f>IF(Data!$C7="","",Data!$C7)</f>
        <v>0</v>
      </c>
      <c r="D7">
        <f>IF(Data!$D7="","",Data!$D7)</f>
        <v>0</v>
      </c>
      <c r="E7">
        <f>IF(Data!$E7="","",Data!$E7)</f>
        <v>0</v>
      </c>
      <c r="F7">
        <f>IF($E7="","",N(F6)+1)</f>
        <v>0</v>
      </c>
      <c r="G7">
        <f>IF(OR($E7="",$E6=""),"",LN($E7/$E6))</f>
        <v>0</v>
      </c>
      <c r="H7">
        <f>IF($E7="","",IF($E6="",$E7,$E7*0.0952380952+H6*0.9047619048))</f>
        <v>0</v>
      </c>
      <c r="I7">
        <f>IF($E7="","",IF($E6="",$E7,$E7*0.0392156863+I6*0.9607843137))</f>
        <v>0</v>
      </c>
      <c r="J7">
        <f>IF($E7="","",IF($E6="",$E7,$E7*0.0198019802+J6*0.9801980198))</f>
        <v>0</v>
      </c>
      <c r="K7">
        <f>IF($E7="","",IF($E6="",$E7,$E7*0.0099502488+K6*0.9900497512))</f>
        <v>0</v>
      </c>
      <c r="L7">
        <f>IF(OR($E7="",$E6=""),"",MAX($E7-$E6,0))</f>
        <v>0</v>
      </c>
      <c r="M7">
        <f>IF(OR($E7="",$E6=""),"",MAX($E6-$E7,0))</f>
        <v>0</v>
      </c>
      <c r="N7">
        <f>IF(COUNT($E$2:$E7)&lt;15,"",IF(AVERAGE($M$2:$M$7)=0,100,100-100/(1+AVERAGE($L$2:$L$7)/AVERAGE($M$2:$M$7))))</f>
        <v>0</v>
      </c>
      <c r="O7">
        <f>IF($E7="","",IF($E6="",$E7,$E7*0.1538461538+O6*0.8461538462))</f>
        <v>0</v>
      </c>
      <c r="P7">
        <f>IF($E7="","",IF($E6="",$E7,$E7*0.0740740741+P6*0.9259259259))</f>
        <v>0</v>
      </c>
      <c r="Q7">
        <f>IF(OR(O7="",P7=""),"",O7-P7)</f>
        <v>0</v>
      </c>
      <c r="R7">
        <f>IF(Q7="","",IF(R6="",Q7,Q7*0.2000000000+R6*0.8000000000))</f>
        <v>0</v>
      </c>
      <c r="S7">
        <f>IF(OR(Q7="",R7=""),"",Q7-R7)</f>
        <v>0</v>
      </c>
      <c r="T7">
        <f>IF(COUNT($E$2:$E7)&lt;14,"",MAX($C$2:$C$7))</f>
        <v>0</v>
      </c>
      <c r="U7">
        <f>IF(COUNT($E$2:$E7)&lt;14,"",MIN($D$2:$D$7))</f>
        <v>0</v>
      </c>
      <c r="V7">
        <f>IF(OR(T7="",U7="",T7=U7),"",100*($E7-U7)/(T7-U7))</f>
        <v>0</v>
      </c>
      <c r="W7">
        <f>IF(COUNT($V$5:$V$7)&lt;3,"",AVERAGE($V$5:$V$7))</f>
        <v>0</v>
      </c>
      <c r="X7">
        <f>IF(COUNT($N$2:$N$7)&lt;14,"",MIN($N$2:$N$7))</f>
        <v>0</v>
      </c>
      <c r="Y7">
        <f>IF(COUNT($N$2:$N$7)&lt;14,"",MAX($N$2:$N$7))</f>
        <v>0</v>
      </c>
      <c r="Z7">
        <f>IF(OR(N7="",X7="",Y7="",Y7=X7),"",100*(N7-X7)/(Y7-X7))</f>
        <v>0</v>
      </c>
      <c r="AA7">
        <f>IF(COUNT($Z$5:$Z$7)&lt;3,"",AVERAGE($Z$5:$Z$7))</f>
        <v>0</v>
      </c>
      <c r="AB7">
        <f>IF(COUNT($AA$5:$AA$7)&lt;3,"",AVERAGE($AA$5:$AA$7))</f>
        <v>0</v>
      </c>
      <c r="AC7">
        <f>IF($E7="","",MAX($C7-$D7,ABS($C7-$E6),ABS($D7-$E6)))</f>
        <v>0</v>
      </c>
      <c r="AD7">
        <f>IF(COUNT($E$2:$E7)&lt;15,"",AVERAGE($AC$2:$AC$7))</f>
        <v>0</v>
      </c>
      <c r="AE7">
        <f>IF(OR($E7="",$E6=""),"",IF(AND(($C7-$C6)&gt;($D6-$D7),($C7-$C6)&gt;0),$C7-$C6,0))</f>
        <v>0</v>
      </c>
      <c r="AF7">
        <f>IF(OR($E7="",$E6=""),"",IF(AND(($D6-$D7)&gt;($C7-$C6),($D6-$D7)&gt;0),$D6-$D7,0))</f>
        <v>0</v>
      </c>
      <c r="AG7">
        <f>IF(COUNT($E$2:$E7)&lt;15,"",IF(SUM($AC$2:$AC$7)=0,0,100*SUM($AE$2:$AE$7)/SUM($AC$2:$AC$7)))</f>
        <v>0</v>
      </c>
      <c r="AH7">
        <f>IF(COUNT($E$2:$E7)&lt;15,"",IF(SUM($AC$2:$AC$7)=0,0,100*SUM($AF$2:$AF$7)/SUM($AC$2:$AC$7)))</f>
        <v>0</v>
      </c>
      <c r="AI7">
        <f>IF(OR(AG7="",AH7=""),"",IF((AG7+AH7)=0,0,100*ABS(AG7-AH7)/(AG7+AH7)))</f>
        <v>0</v>
      </c>
      <c r="AJ7">
        <f>IF(COUNT($AI$2:$AI$7)&lt;14,"",AVERAGE($AI$2:$AI$7))</f>
        <v>0</v>
      </c>
      <c r="AK7">
        <f>IF(COUNT($E$2:$E7)&lt;20,"",AVERAGE($E$2:$E$7))</f>
        <v>0</v>
      </c>
      <c r="AL7">
        <f>IF(COUNT($E$2:$E7)&lt;20,"",STDEVP($E$2:$E$7))</f>
        <v>0</v>
      </c>
      <c r="AM7">
        <f>IF(AK7="","",AK7+2*AL7)</f>
        <v>0</v>
      </c>
      <c r="AN7">
        <f>IF(AK7="","",AK7-2*AL7)</f>
        <v>0</v>
      </c>
      <c r="AO7">
        <f>IF(OR(AM7="",AN7="",AM7=AN7),"",($E7-AN7)/(AM7-AN7))</f>
        <v>0</v>
      </c>
      <c r="AP7">
        <f>IF(OR(AM7="",AK7="",AK7=0),"",(AM7-AN7)/AK7)</f>
        <v>0</v>
      </c>
      <c r="AQ7">
        <f>IF(COUNT($E$2:$E7)&lt;20,"",MAX($C$2:$C$7))</f>
        <v>0</v>
      </c>
      <c r="AR7">
        <f>IF(COUNT($E$2:$E7)&lt;20,"",MIN($D$2:$D$7))</f>
        <v>0</v>
      </c>
      <c r="AS7">
        <f>IF(OR(AQ7="",AR7=""),"",(AQ7+AR7)/2)</f>
        <v>0</v>
      </c>
      <c r="AT7">
        <f>IF(COUNT($G$2:$G$7)&lt;20,"",STDEV($G$2:$G$7)*SQRT(252))</f>
        <v>0</v>
      </c>
      <c r="AU7">
        <f>IF(COUNT($E$2:$E7)&lt;9,"",(MAX($C$2:$C$7)+MIN($D$2:$D$7))/2)</f>
        <v>0</v>
      </c>
      <c r="AV7">
        <f>IF(COUNT($E$2:$E7)&lt;26,"",(MAX($C$2:$C$7)+MIN($D$2:$D$7))/2)</f>
        <v>0</v>
      </c>
      <c r="AW7">
        <f>IF(OR(AU7="",AV7=""),"",(AU7+AV7)/2)</f>
        <v>0</v>
      </c>
      <c r="AX7">
        <f>IF(COUNT($E$2:$E7)&lt;52,"",(MAX($C$2:$C$7)+MIN($D$2:$D$7))/2)</f>
        <v>0</v>
      </c>
      <c r="AY7">
        <f>IF(COUNT($E$2:$E7)&lt;20,"",MAX($C$2:$C$7))</f>
        <v>0</v>
      </c>
      <c r="AZ7">
        <f>IF(COUNT($E$2:$E7)&lt;20,"",MIN($D$2:$D$7))</f>
        <v>0</v>
      </c>
      <c r="BA7">
        <f>IF(COUNT($E$2:$E7)&lt;20,"",SLOPE($E$2:$E$7,$F$2:$F$7))</f>
        <v>0</v>
      </c>
      <c r="BB7">
        <f>IF(COUNT($E$2:$E7)&lt;20,"",INTERCEPT($E$2:$E$7,$F$2:$F$7))</f>
        <v>0</v>
      </c>
      <c r="BC7">
        <f>IF(OR(BA7="",BB7=""),"",BB7+BA7*F7)</f>
        <v>0</v>
      </c>
      <c r="BD7">
        <f>IF(COUNT($E$2:$E7)&lt;20,"",STEYX($E$2:$E$7,$F$2:$F$7))</f>
        <v>0</v>
      </c>
      <c r="BE7">
        <f>IF($E7="","",IF(AND(COUNT($E$8:$E$11)&gt;=4,$C7=MAX($C$3:$C$11)),$C7,""))</f>
        <v>0</v>
      </c>
      <c r="BF7">
        <f>IF($E7="","",IF(AND(COUNT($E$8:$E$11)&gt;=4,$D7=MIN($D$3:$D$11)),$D7,""))</f>
        <v>0</v>
      </c>
      <c r="BG7">
        <f>IF($A7="","",$A7-WEEKDAY($A7,2)+1)</f>
        <v>0</v>
      </c>
      <c r="BH7">
        <f>IF($A7="","",IF($A6="",1,IF(BG7&lt;&gt;BG6,1,0)))</f>
        <v>0</v>
      </c>
      <c r="BI7">
        <f>IF($A7="","",IF($A8="",1,IF(BG8&lt;&gt;BG7,1,0)))</f>
        <v>0</v>
      </c>
      <c r="BJ7">
        <f>IF($A7="","",IF(BH7=1,$B7,BJ6))</f>
        <v>0</v>
      </c>
      <c r="BK7">
        <f>IF($A7="","",IF(BH7=1,$C7,MAX($C7,BK6)))</f>
        <v>0</v>
      </c>
      <c r="BL7">
        <f>IF($A7="","",IF(BH7=1,$D7,MIN($D7,BL6)))</f>
        <v>0</v>
      </c>
      <c r="BM7">
        <f>IF($A7="","",IF(BI7=1,F7,""))</f>
        <v>0</v>
      </c>
      <c r="BN7">
        <f>IF($A7="","",DATE(YEAR($A7),MONTH($A7),1))</f>
        <v>0</v>
      </c>
      <c r="BO7">
        <f>IF($A7="","",IF($A6="",1,IF(BN7&lt;&gt;BN6,1,0)))</f>
        <v>0</v>
      </c>
      <c r="BP7">
        <f>IF($A7="","",IF($A8="",1,IF(BN8&lt;&gt;BN7,1,0)))</f>
        <v>0</v>
      </c>
      <c r="BQ7">
        <f>IF($A7="","",IF(BO7=1,$B7,BQ6))</f>
        <v>0</v>
      </c>
      <c r="BR7">
        <f>IF($A7="","",IF(BO7=1,$C7,MAX($C7,BR6)))</f>
        <v>0</v>
      </c>
      <c r="BS7">
        <f>IF($A7="","",IF(BO7=1,$D7,MIN($D7,BS6)))</f>
        <v>0</v>
      </c>
      <c r="BT7">
        <f>IF($A7="","",IF(BP7=1,F7,""))</f>
        <v>0</v>
      </c>
    </row>
    <row r="8" spans="1:72">
      <c r="A8" s="27">
        <f>IF(Data!$A8="","",Data!$A8)</f>
        <v>0</v>
      </c>
      <c r="B8">
        <f>IF(Data!$B8="","",Data!$B8)</f>
        <v>0</v>
      </c>
      <c r="C8">
        <f>IF(Data!$C8="","",Data!$C8)</f>
        <v>0</v>
      </c>
      <c r="D8">
        <f>IF(Data!$D8="","",Data!$D8)</f>
        <v>0</v>
      </c>
      <c r="E8">
        <f>IF(Data!$E8="","",Data!$E8)</f>
        <v>0</v>
      </c>
      <c r="F8">
        <f>IF($E8="","",N(F7)+1)</f>
        <v>0</v>
      </c>
      <c r="G8">
        <f>IF(OR($E8="",$E7=""),"",LN($E8/$E7))</f>
        <v>0</v>
      </c>
      <c r="H8">
        <f>IF($E8="","",IF($E7="",$E8,$E8*0.0952380952+H7*0.9047619048))</f>
        <v>0</v>
      </c>
      <c r="I8">
        <f>IF($E8="","",IF($E7="",$E8,$E8*0.0392156863+I7*0.9607843137))</f>
        <v>0</v>
      </c>
      <c r="J8">
        <f>IF($E8="","",IF($E7="",$E8,$E8*0.0198019802+J7*0.9801980198))</f>
        <v>0</v>
      </c>
      <c r="K8">
        <f>IF($E8="","",IF($E7="",$E8,$E8*0.0099502488+K7*0.9900497512))</f>
        <v>0</v>
      </c>
      <c r="L8">
        <f>IF(OR($E8="",$E7=""),"",MAX($E8-$E7,0))</f>
        <v>0</v>
      </c>
      <c r="M8">
        <f>IF(OR($E8="",$E7=""),"",MAX($E7-$E8,0))</f>
        <v>0</v>
      </c>
      <c r="N8">
        <f>IF(COUNT($E$2:$E8)&lt;15,"",IF(AVERAGE($M$2:$M$8)=0,100,100-100/(1+AVERAGE($L$2:$L$8)/AVERAGE($M$2:$M$8))))</f>
        <v>0</v>
      </c>
      <c r="O8">
        <f>IF($E8="","",IF($E7="",$E8,$E8*0.1538461538+O7*0.8461538462))</f>
        <v>0</v>
      </c>
      <c r="P8">
        <f>IF($E8="","",IF($E7="",$E8,$E8*0.0740740741+P7*0.9259259259))</f>
        <v>0</v>
      </c>
      <c r="Q8">
        <f>IF(OR(O8="",P8=""),"",O8-P8)</f>
        <v>0</v>
      </c>
      <c r="R8">
        <f>IF(Q8="","",IF(R7="",Q8,Q8*0.2000000000+R7*0.8000000000))</f>
        <v>0</v>
      </c>
      <c r="S8">
        <f>IF(OR(Q8="",R8=""),"",Q8-R8)</f>
        <v>0</v>
      </c>
      <c r="T8">
        <f>IF(COUNT($E$2:$E8)&lt;14,"",MAX($C$2:$C$8))</f>
        <v>0</v>
      </c>
      <c r="U8">
        <f>IF(COUNT($E$2:$E8)&lt;14,"",MIN($D$2:$D$8))</f>
        <v>0</v>
      </c>
      <c r="V8">
        <f>IF(OR(T8="",U8="",T8=U8),"",100*($E8-U8)/(T8-U8))</f>
        <v>0</v>
      </c>
      <c r="W8">
        <f>IF(COUNT($V$6:$V$8)&lt;3,"",AVERAGE($V$6:$V$8))</f>
        <v>0</v>
      </c>
      <c r="X8">
        <f>IF(COUNT($N$2:$N$8)&lt;14,"",MIN($N$2:$N$8))</f>
        <v>0</v>
      </c>
      <c r="Y8">
        <f>IF(COUNT($N$2:$N$8)&lt;14,"",MAX($N$2:$N$8))</f>
        <v>0</v>
      </c>
      <c r="Z8">
        <f>IF(OR(N8="",X8="",Y8="",Y8=X8),"",100*(N8-X8)/(Y8-X8))</f>
        <v>0</v>
      </c>
      <c r="AA8">
        <f>IF(COUNT($Z$6:$Z$8)&lt;3,"",AVERAGE($Z$6:$Z$8))</f>
        <v>0</v>
      </c>
      <c r="AB8">
        <f>IF(COUNT($AA$6:$AA$8)&lt;3,"",AVERAGE($AA$6:$AA$8))</f>
        <v>0</v>
      </c>
      <c r="AC8">
        <f>IF($E8="","",MAX($C8-$D8,ABS($C8-$E7),ABS($D8-$E7)))</f>
        <v>0</v>
      </c>
      <c r="AD8">
        <f>IF(COUNT($E$2:$E8)&lt;15,"",AVERAGE($AC$2:$AC$8))</f>
        <v>0</v>
      </c>
      <c r="AE8">
        <f>IF(OR($E8="",$E7=""),"",IF(AND(($C8-$C7)&gt;($D7-$D8),($C8-$C7)&gt;0),$C8-$C7,0))</f>
        <v>0</v>
      </c>
      <c r="AF8">
        <f>IF(OR($E8="",$E7=""),"",IF(AND(($D7-$D8)&gt;($C8-$C7),($D7-$D8)&gt;0),$D7-$D8,0))</f>
        <v>0</v>
      </c>
      <c r="AG8">
        <f>IF(COUNT($E$2:$E8)&lt;15,"",IF(SUM($AC$2:$AC$8)=0,0,100*SUM($AE$2:$AE$8)/SUM($AC$2:$AC$8)))</f>
        <v>0</v>
      </c>
      <c r="AH8">
        <f>IF(COUNT($E$2:$E8)&lt;15,"",IF(SUM($AC$2:$AC$8)=0,0,100*SUM($AF$2:$AF$8)/SUM($AC$2:$AC$8)))</f>
        <v>0</v>
      </c>
      <c r="AI8">
        <f>IF(OR(AG8="",AH8=""),"",IF((AG8+AH8)=0,0,100*ABS(AG8-AH8)/(AG8+AH8)))</f>
        <v>0</v>
      </c>
      <c r="AJ8">
        <f>IF(COUNT($AI$2:$AI$8)&lt;14,"",AVERAGE($AI$2:$AI$8))</f>
        <v>0</v>
      </c>
      <c r="AK8">
        <f>IF(COUNT($E$2:$E8)&lt;20,"",AVERAGE($E$2:$E$8))</f>
        <v>0</v>
      </c>
      <c r="AL8">
        <f>IF(COUNT($E$2:$E8)&lt;20,"",STDEVP($E$2:$E$8))</f>
        <v>0</v>
      </c>
      <c r="AM8">
        <f>IF(AK8="","",AK8+2*AL8)</f>
        <v>0</v>
      </c>
      <c r="AN8">
        <f>IF(AK8="","",AK8-2*AL8)</f>
        <v>0</v>
      </c>
      <c r="AO8">
        <f>IF(OR(AM8="",AN8="",AM8=AN8),"",($E8-AN8)/(AM8-AN8))</f>
        <v>0</v>
      </c>
      <c r="AP8">
        <f>IF(OR(AM8="",AK8="",AK8=0),"",(AM8-AN8)/AK8)</f>
        <v>0</v>
      </c>
      <c r="AQ8">
        <f>IF(COUNT($E$2:$E8)&lt;20,"",MAX($C$2:$C$8))</f>
        <v>0</v>
      </c>
      <c r="AR8">
        <f>IF(COUNT($E$2:$E8)&lt;20,"",MIN($D$2:$D$8))</f>
        <v>0</v>
      </c>
      <c r="AS8">
        <f>IF(OR(AQ8="",AR8=""),"",(AQ8+AR8)/2)</f>
        <v>0</v>
      </c>
      <c r="AT8">
        <f>IF(COUNT($G$2:$G$8)&lt;20,"",STDEV($G$2:$G$8)*SQRT(252))</f>
        <v>0</v>
      </c>
      <c r="AU8">
        <f>IF(COUNT($E$2:$E8)&lt;9,"",(MAX($C$2:$C$8)+MIN($D$2:$D$8))/2)</f>
        <v>0</v>
      </c>
      <c r="AV8">
        <f>IF(COUNT($E$2:$E8)&lt;26,"",(MAX($C$2:$C$8)+MIN($D$2:$D$8))/2)</f>
        <v>0</v>
      </c>
      <c r="AW8">
        <f>IF(OR(AU8="",AV8=""),"",(AU8+AV8)/2)</f>
        <v>0</v>
      </c>
      <c r="AX8">
        <f>IF(COUNT($E$2:$E8)&lt;52,"",(MAX($C$2:$C$8)+MIN($D$2:$D$8))/2)</f>
        <v>0</v>
      </c>
      <c r="AY8">
        <f>IF(COUNT($E$2:$E8)&lt;20,"",MAX($C$2:$C$8))</f>
        <v>0</v>
      </c>
      <c r="AZ8">
        <f>IF(COUNT($E$2:$E8)&lt;20,"",MIN($D$2:$D$8))</f>
        <v>0</v>
      </c>
      <c r="BA8">
        <f>IF(COUNT($E$2:$E8)&lt;20,"",SLOPE($E$2:$E$8,$F$2:$F$8))</f>
        <v>0</v>
      </c>
      <c r="BB8">
        <f>IF(COUNT($E$2:$E8)&lt;20,"",INTERCEPT($E$2:$E$8,$F$2:$F$8))</f>
        <v>0</v>
      </c>
      <c r="BC8">
        <f>IF(OR(BA8="",BB8=""),"",BB8+BA8*F8)</f>
        <v>0</v>
      </c>
      <c r="BD8">
        <f>IF(COUNT($E$2:$E8)&lt;20,"",STEYX($E$2:$E$8,$F$2:$F$8))</f>
        <v>0</v>
      </c>
      <c r="BE8">
        <f>IF($E8="","",IF(AND(COUNT($E$9:$E$12)&gt;=4,$C8=MAX($C$4:$C$12)),$C8,""))</f>
        <v>0</v>
      </c>
      <c r="BF8">
        <f>IF($E8="","",IF(AND(COUNT($E$9:$E$12)&gt;=4,$D8=MIN($D$4:$D$12)),$D8,""))</f>
        <v>0</v>
      </c>
      <c r="BG8">
        <f>IF($A8="","",$A8-WEEKDAY($A8,2)+1)</f>
        <v>0</v>
      </c>
      <c r="BH8">
        <f>IF($A8="","",IF($A7="",1,IF(BG8&lt;&gt;BG7,1,0)))</f>
        <v>0</v>
      </c>
      <c r="BI8">
        <f>IF($A8="","",IF($A9="",1,IF(BG9&lt;&gt;BG8,1,0)))</f>
        <v>0</v>
      </c>
      <c r="BJ8">
        <f>IF($A8="","",IF(BH8=1,$B8,BJ7))</f>
        <v>0</v>
      </c>
      <c r="BK8">
        <f>IF($A8="","",IF(BH8=1,$C8,MAX($C8,BK7)))</f>
        <v>0</v>
      </c>
      <c r="BL8">
        <f>IF($A8="","",IF(BH8=1,$D8,MIN($D8,BL7)))</f>
        <v>0</v>
      </c>
      <c r="BM8">
        <f>IF($A8="","",IF(BI8=1,F8,""))</f>
        <v>0</v>
      </c>
      <c r="BN8">
        <f>IF($A8="","",DATE(YEAR($A8),MONTH($A8),1))</f>
        <v>0</v>
      </c>
      <c r="BO8">
        <f>IF($A8="","",IF($A7="",1,IF(BN8&lt;&gt;BN7,1,0)))</f>
        <v>0</v>
      </c>
      <c r="BP8">
        <f>IF($A8="","",IF($A9="",1,IF(BN9&lt;&gt;BN8,1,0)))</f>
        <v>0</v>
      </c>
      <c r="BQ8">
        <f>IF($A8="","",IF(BO8=1,$B8,BQ7))</f>
        <v>0</v>
      </c>
      <c r="BR8">
        <f>IF($A8="","",IF(BO8=1,$C8,MAX($C8,BR7)))</f>
        <v>0</v>
      </c>
      <c r="BS8">
        <f>IF($A8="","",IF(BO8=1,$D8,MIN($D8,BS7)))</f>
        <v>0</v>
      </c>
      <c r="BT8">
        <f>IF($A8="","",IF(BP8=1,F8,""))</f>
        <v>0</v>
      </c>
    </row>
    <row r="9" spans="1:72">
      <c r="A9" s="27">
        <f>IF(Data!$A9="","",Data!$A9)</f>
        <v>0</v>
      </c>
      <c r="B9">
        <f>IF(Data!$B9="","",Data!$B9)</f>
        <v>0</v>
      </c>
      <c r="C9">
        <f>IF(Data!$C9="","",Data!$C9)</f>
        <v>0</v>
      </c>
      <c r="D9">
        <f>IF(Data!$D9="","",Data!$D9)</f>
        <v>0</v>
      </c>
      <c r="E9">
        <f>IF(Data!$E9="","",Data!$E9)</f>
        <v>0</v>
      </c>
      <c r="F9">
        <f>IF($E9="","",N(F8)+1)</f>
        <v>0</v>
      </c>
      <c r="G9">
        <f>IF(OR($E9="",$E8=""),"",LN($E9/$E8))</f>
        <v>0</v>
      </c>
      <c r="H9">
        <f>IF($E9="","",IF($E8="",$E9,$E9*0.0952380952+H8*0.9047619048))</f>
        <v>0</v>
      </c>
      <c r="I9">
        <f>IF($E9="","",IF($E8="",$E9,$E9*0.0392156863+I8*0.9607843137))</f>
        <v>0</v>
      </c>
      <c r="J9">
        <f>IF($E9="","",IF($E8="",$E9,$E9*0.0198019802+J8*0.9801980198))</f>
        <v>0</v>
      </c>
      <c r="K9">
        <f>IF($E9="","",IF($E8="",$E9,$E9*0.0099502488+K8*0.9900497512))</f>
        <v>0</v>
      </c>
      <c r="L9">
        <f>IF(OR($E9="",$E8=""),"",MAX($E9-$E8,0))</f>
        <v>0</v>
      </c>
      <c r="M9">
        <f>IF(OR($E9="",$E8=""),"",MAX($E8-$E9,0))</f>
        <v>0</v>
      </c>
      <c r="N9">
        <f>IF(COUNT($E$2:$E9)&lt;15,"",IF(AVERAGE($M$2:$M$9)=0,100,100-100/(1+AVERAGE($L$2:$L$9)/AVERAGE($M$2:$M$9))))</f>
        <v>0</v>
      </c>
      <c r="O9">
        <f>IF($E9="","",IF($E8="",$E9,$E9*0.1538461538+O8*0.8461538462))</f>
        <v>0</v>
      </c>
      <c r="P9">
        <f>IF($E9="","",IF($E8="",$E9,$E9*0.0740740741+P8*0.9259259259))</f>
        <v>0</v>
      </c>
      <c r="Q9">
        <f>IF(OR(O9="",P9=""),"",O9-P9)</f>
        <v>0</v>
      </c>
      <c r="R9">
        <f>IF(Q9="","",IF(R8="",Q9,Q9*0.2000000000+R8*0.8000000000))</f>
        <v>0</v>
      </c>
      <c r="S9">
        <f>IF(OR(Q9="",R9=""),"",Q9-R9)</f>
        <v>0</v>
      </c>
      <c r="T9">
        <f>IF(COUNT($E$2:$E9)&lt;14,"",MAX($C$2:$C$9))</f>
        <v>0</v>
      </c>
      <c r="U9">
        <f>IF(COUNT($E$2:$E9)&lt;14,"",MIN($D$2:$D$9))</f>
        <v>0</v>
      </c>
      <c r="V9">
        <f>IF(OR(T9="",U9="",T9=U9),"",100*($E9-U9)/(T9-U9))</f>
        <v>0</v>
      </c>
      <c r="W9">
        <f>IF(COUNT($V$7:$V$9)&lt;3,"",AVERAGE($V$7:$V$9))</f>
        <v>0</v>
      </c>
      <c r="X9">
        <f>IF(COUNT($N$2:$N$9)&lt;14,"",MIN($N$2:$N$9))</f>
        <v>0</v>
      </c>
      <c r="Y9">
        <f>IF(COUNT($N$2:$N$9)&lt;14,"",MAX($N$2:$N$9))</f>
        <v>0</v>
      </c>
      <c r="Z9">
        <f>IF(OR(N9="",X9="",Y9="",Y9=X9),"",100*(N9-X9)/(Y9-X9))</f>
        <v>0</v>
      </c>
      <c r="AA9">
        <f>IF(COUNT($Z$7:$Z$9)&lt;3,"",AVERAGE($Z$7:$Z$9))</f>
        <v>0</v>
      </c>
      <c r="AB9">
        <f>IF(COUNT($AA$7:$AA$9)&lt;3,"",AVERAGE($AA$7:$AA$9))</f>
        <v>0</v>
      </c>
      <c r="AC9">
        <f>IF($E9="","",MAX($C9-$D9,ABS($C9-$E8),ABS($D9-$E8)))</f>
        <v>0</v>
      </c>
      <c r="AD9">
        <f>IF(COUNT($E$2:$E9)&lt;15,"",AVERAGE($AC$2:$AC$9))</f>
        <v>0</v>
      </c>
      <c r="AE9">
        <f>IF(OR($E9="",$E8=""),"",IF(AND(($C9-$C8)&gt;($D8-$D9),($C9-$C8)&gt;0),$C9-$C8,0))</f>
        <v>0</v>
      </c>
      <c r="AF9">
        <f>IF(OR($E9="",$E8=""),"",IF(AND(($D8-$D9)&gt;($C9-$C8),($D8-$D9)&gt;0),$D8-$D9,0))</f>
        <v>0</v>
      </c>
      <c r="AG9">
        <f>IF(COUNT($E$2:$E9)&lt;15,"",IF(SUM($AC$2:$AC$9)=0,0,100*SUM($AE$2:$AE$9)/SUM($AC$2:$AC$9)))</f>
        <v>0</v>
      </c>
      <c r="AH9">
        <f>IF(COUNT($E$2:$E9)&lt;15,"",IF(SUM($AC$2:$AC$9)=0,0,100*SUM($AF$2:$AF$9)/SUM($AC$2:$AC$9)))</f>
        <v>0</v>
      </c>
      <c r="AI9">
        <f>IF(OR(AG9="",AH9=""),"",IF((AG9+AH9)=0,0,100*ABS(AG9-AH9)/(AG9+AH9)))</f>
        <v>0</v>
      </c>
      <c r="AJ9">
        <f>IF(COUNT($AI$2:$AI$9)&lt;14,"",AVERAGE($AI$2:$AI$9))</f>
        <v>0</v>
      </c>
      <c r="AK9">
        <f>IF(COUNT($E$2:$E9)&lt;20,"",AVERAGE($E$2:$E$9))</f>
        <v>0</v>
      </c>
      <c r="AL9">
        <f>IF(COUNT($E$2:$E9)&lt;20,"",STDEVP($E$2:$E$9))</f>
        <v>0</v>
      </c>
      <c r="AM9">
        <f>IF(AK9="","",AK9+2*AL9)</f>
        <v>0</v>
      </c>
      <c r="AN9">
        <f>IF(AK9="","",AK9-2*AL9)</f>
        <v>0</v>
      </c>
      <c r="AO9">
        <f>IF(OR(AM9="",AN9="",AM9=AN9),"",($E9-AN9)/(AM9-AN9))</f>
        <v>0</v>
      </c>
      <c r="AP9">
        <f>IF(OR(AM9="",AK9="",AK9=0),"",(AM9-AN9)/AK9)</f>
        <v>0</v>
      </c>
      <c r="AQ9">
        <f>IF(COUNT($E$2:$E9)&lt;20,"",MAX($C$2:$C$9))</f>
        <v>0</v>
      </c>
      <c r="AR9">
        <f>IF(COUNT($E$2:$E9)&lt;20,"",MIN($D$2:$D$9))</f>
        <v>0</v>
      </c>
      <c r="AS9">
        <f>IF(OR(AQ9="",AR9=""),"",(AQ9+AR9)/2)</f>
        <v>0</v>
      </c>
      <c r="AT9">
        <f>IF(COUNT($G$2:$G$9)&lt;20,"",STDEV($G$2:$G$9)*SQRT(252))</f>
        <v>0</v>
      </c>
      <c r="AU9">
        <f>IF(COUNT($E$2:$E9)&lt;9,"",(MAX($C$2:$C$9)+MIN($D$2:$D$9))/2)</f>
        <v>0</v>
      </c>
      <c r="AV9">
        <f>IF(COUNT($E$2:$E9)&lt;26,"",(MAX($C$2:$C$9)+MIN($D$2:$D$9))/2)</f>
        <v>0</v>
      </c>
      <c r="AW9">
        <f>IF(OR(AU9="",AV9=""),"",(AU9+AV9)/2)</f>
        <v>0</v>
      </c>
      <c r="AX9">
        <f>IF(COUNT($E$2:$E9)&lt;52,"",(MAX($C$2:$C$9)+MIN($D$2:$D$9))/2)</f>
        <v>0</v>
      </c>
      <c r="AY9">
        <f>IF(COUNT($E$2:$E9)&lt;20,"",MAX($C$2:$C$9))</f>
        <v>0</v>
      </c>
      <c r="AZ9">
        <f>IF(COUNT($E$2:$E9)&lt;20,"",MIN($D$2:$D$9))</f>
        <v>0</v>
      </c>
      <c r="BA9">
        <f>IF(COUNT($E$2:$E9)&lt;20,"",SLOPE($E$2:$E$9,$F$2:$F$9))</f>
        <v>0</v>
      </c>
      <c r="BB9">
        <f>IF(COUNT($E$2:$E9)&lt;20,"",INTERCEPT($E$2:$E$9,$F$2:$F$9))</f>
        <v>0</v>
      </c>
      <c r="BC9">
        <f>IF(OR(BA9="",BB9=""),"",BB9+BA9*F9)</f>
        <v>0</v>
      </c>
      <c r="BD9">
        <f>IF(COUNT($E$2:$E9)&lt;20,"",STEYX($E$2:$E$9,$F$2:$F$9))</f>
        <v>0</v>
      </c>
      <c r="BE9">
        <f>IF($E9="","",IF(AND(COUNT($E$10:$E$13)&gt;=4,$C9=MAX($C$5:$C$13)),$C9,""))</f>
        <v>0</v>
      </c>
      <c r="BF9">
        <f>IF($E9="","",IF(AND(COUNT($E$10:$E$13)&gt;=4,$D9=MIN($D$5:$D$13)),$D9,""))</f>
        <v>0</v>
      </c>
      <c r="BG9">
        <f>IF($A9="","",$A9-WEEKDAY($A9,2)+1)</f>
        <v>0</v>
      </c>
      <c r="BH9">
        <f>IF($A9="","",IF($A8="",1,IF(BG9&lt;&gt;BG8,1,0)))</f>
        <v>0</v>
      </c>
      <c r="BI9">
        <f>IF($A9="","",IF($A10="",1,IF(BG10&lt;&gt;BG9,1,0)))</f>
        <v>0</v>
      </c>
      <c r="BJ9">
        <f>IF($A9="","",IF(BH9=1,$B9,BJ8))</f>
        <v>0</v>
      </c>
      <c r="BK9">
        <f>IF($A9="","",IF(BH9=1,$C9,MAX($C9,BK8)))</f>
        <v>0</v>
      </c>
      <c r="BL9">
        <f>IF($A9="","",IF(BH9=1,$D9,MIN($D9,BL8)))</f>
        <v>0</v>
      </c>
      <c r="BM9">
        <f>IF($A9="","",IF(BI9=1,F9,""))</f>
        <v>0</v>
      </c>
      <c r="BN9">
        <f>IF($A9="","",DATE(YEAR($A9),MONTH($A9),1))</f>
        <v>0</v>
      </c>
      <c r="BO9">
        <f>IF($A9="","",IF($A8="",1,IF(BN9&lt;&gt;BN8,1,0)))</f>
        <v>0</v>
      </c>
      <c r="BP9">
        <f>IF($A9="","",IF($A10="",1,IF(BN10&lt;&gt;BN9,1,0)))</f>
        <v>0</v>
      </c>
      <c r="BQ9">
        <f>IF($A9="","",IF(BO9=1,$B9,BQ8))</f>
        <v>0</v>
      </c>
      <c r="BR9">
        <f>IF($A9="","",IF(BO9=1,$C9,MAX($C9,BR8)))</f>
        <v>0</v>
      </c>
      <c r="BS9">
        <f>IF($A9="","",IF(BO9=1,$D9,MIN($D9,BS8)))</f>
        <v>0</v>
      </c>
      <c r="BT9">
        <f>IF($A9="","",IF(BP9=1,F9,""))</f>
        <v>0</v>
      </c>
    </row>
    <row r="10" spans="1:72">
      <c r="A10" s="27">
        <f>IF(Data!$A10="","",Data!$A10)</f>
        <v>0</v>
      </c>
      <c r="B10">
        <f>IF(Data!$B10="","",Data!$B10)</f>
        <v>0</v>
      </c>
      <c r="C10">
        <f>IF(Data!$C10="","",Data!$C10)</f>
        <v>0</v>
      </c>
      <c r="D10">
        <f>IF(Data!$D10="","",Data!$D10)</f>
        <v>0</v>
      </c>
      <c r="E10">
        <f>IF(Data!$E10="","",Data!$E10)</f>
        <v>0</v>
      </c>
      <c r="F10">
        <f>IF($E10="","",N(F9)+1)</f>
        <v>0</v>
      </c>
      <c r="G10">
        <f>IF(OR($E10="",$E9=""),"",LN($E10/$E9))</f>
        <v>0</v>
      </c>
      <c r="H10">
        <f>IF($E10="","",IF($E9="",$E10,$E10*0.0952380952+H9*0.9047619048))</f>
        <v>0</v>
      </c>
      <c r="I10">
        <f>IF($E10="","",IF($E9="",$E10,$E10*0.0392156863+I9*0.9607843137))</f>
        <v>0</v>
      </c>
      <c r="J10">
        <f>IF($E10="","",IF($E9="",$E10,$E10*0.0198019802+J9*0.9801980198))</f>
        <v>0</v>
      </c>
      <c r="K10">
        <f>IF($E10="","",IF($E9="",$E10,$E10*0.0099502488+K9*0.9900497512))</f>
        <v>0</v>
      </c>
      <c r="L10">
        <f>IF(OR($E10="",$E9=""),"",MAX($E10-$E9,0))</f>
        <v>0</v>
      </c>
      <c r="M10">
        <f>IF(OR($E10="",$E9=""),"",MAX($E9-$E10,0))</f>
        <v>0</v>
      </c>
      <c r="N10">
        <f>IF(COUNT($E$2:$E10)&lt;15,"",IF(AVERAGE($M$2:$M$10)=0,100,100-100/(1+AVERAGE($L$2:$L$10)/AVERAGE($M$2:$M$10))))</f>
        <v>0</v>
      </c>
      <c r="O10">
        <f>IF($E10="","",IF($E9="",$E10,$E10*0.1538461538+O9*0.8461538462))</f>
        <v>0</v>
      </c>
      <c r="P10">
        <f>IF($E10="","",IF($E9="",$E10,$E10*0.0740740741+P9*0.9259259259))</f>
        <v>0</v>
      </c>
      <c r="Q10">
        <f>IF(OR(O10="",P10=""),"",O10-P10)</f>
        <v>0</v>
      </c>
      <c r="R10">
        <f>IF(Q10="","",IF(R9="",Q10,Q10*0.2000000000+R9*0.8000000000))</f>
        <v>0</v>
      </c>
      <c r="S10">
        <f>IF(OR(Q10="",R10=""),"",Q10-R10)</f>
        <v>0</v>
      </c>
      <c r="T10">
        <f>IF(COUNT($E$2:$E10)&lt;14,"",MAX($C$2:$C$10))</f>
        <v>0</v>
      </c>
      <c r="U10">
        <f>IF(COUNT($E$2:$E10)&lt;14,"",MIN($D$2:$D$10))</f>
        <v>0</v>
      </c>
      <c r="V10">
        <f>IF(OR(T10="",U10="",T10=U10),"",100*($E10-U10)/(T10-U10))</f>
        <v>0</v>
      </c>
      <c r="W10">
        <f>IF(COUNT($V$8:$V$10)&lt;3,"",AVERAGE($V$8:$V$10))</f>
        <v>0</v>
      </c>
      <c r="X10">
        <f>IF(COUNT($N$2:$N$10)&lt;14,"",MIN($N$2:$N$10))</f>
        <v>0</v>
      </c>
      <c r="Y10">
        <f>IF(COUNT($N$2:$N$10)&lt;14,"",MAX($N$2:$N$10))</f>
        <v>0</v>
      </c>
      <c r="Z10">
        <f>IF(OR(N10="",X10="",Y10="",Y10=X10),"",100*(N10-X10)/(Y10-X10))</f>
        <v>0</v>
      </c>
      <c r="AA10">
        <f>IF(COUNT($Z$8:$Z$10)&lt;3,"",AVERAGE($Z$8:$Z$10))</f>
        <v>0</v>
      </c>
      <c r="AB10">
        <f>IF(COUNT($AA$8:$AA$10)&lt;3,"",AVERAGE($AA$8:$AA$10))</f>
        <v>0</v>
      </c>
      <c r="AC10">
        <f>IF($E10="","",MAX($C10-$D10,ABS($C10-$E9),ABS($D10-$E9)))</f>
        <v>0</v>
      </c>
      <c r="AD10">
        <f>IF(COUNT($E$2:$E10)&lt;15,"",AVERAGE($AC$2:$AC$10))</f>
        <v>0</v>
      </c>
      <c r="AE10">
        <f>IF(OR($E10="",$E9=""),"",IF(AND(($C10-$C9)&gt;($D9-$D10),($C10-$C9)&gt;0),$C10-$C9,0))</f>
        <v>0</v>
      </c>
      <c r="AF10">
        <f>IF(OR($E10="",$E9=""),"",IF(AND(($D9-$D10)&gt;($C10-$C9),($D9-$D10)&gt;0),$D9-$D10,0))</f>
        <v>0</v>
      </c>
      <c r="AG10">
        <f>IF(COUNT($E$2:$E10)&lt;15,"",IF(SUM($AC$2:$AC$10)=0,0,100*SUM($AE$2:$AE$10)/SUM($AC$2:$AC$10)))</f>
        <v>0</v>
      </c>
      <c r="AH10">
        <f>IF(COUNT($E$2:$E10)&lt;15,"",IF(SUM($AC$2:$AC$10)=0,0,100*SUM($AF$2:$AF$10)/SUM($AC$2:$AC$10)))</f>
        <v>0</v>
      </c>
      <c r="AI10">
        <f>IF(OR(AG10="",AH10=""),"",IF((AG10+AH10)=0,0,100*ABS(AG10-AH10)/(AG10+AH10)))</f>
        <v>0</v>
      </c>
      <c r="AJ10">
        <f>IF(COUNT($AI$2:$AI$10)&lt;14,"",AVERAGE($AI$2:$AI$10))</f>
        <v>0</v>
      </c>
      <c r="AK10">
        <f>IF(COUNT($E$2:$E10)&lt;20,"",AVERAGE($E$2:$E$10))</f>
        <v>0</v>
      </c>
      <c r="AL10">
        <f>IF(COUNT($E$2:$E10)&lt;20,"",STDEVP($E$2:$E$10))</f>
        <v>0</v>
      </c>
      <c r="AM10">
        <f>IF(AK10="","",AK10+2*AL10)</f>
        <v>0</v>
      </c>
      <c r="AN10">
        <f>IF(AK10="","",AK10-2*AL10)</f>
        <v>0</v>
      </c>
      <c r="AO10">
        <f>IF(OR(AM10="",AN10="",AM10=AN10),"",($E10-AN10)/(AM10-AN10))</f>
        <v>0</v>
      </c>
      <c r="AP10">
        <f>IF(OR(AM10="",AK10="",AK10=0),"",(AM10-AN10)/AK10)</f>
        <v>0</v>
      </c>
      <c r="AQ10">
        <f>IF(COUNT($E$2:$E10)&lt;20,"",MAX($C$2:$C$10))</f>
        <v>0</v>
      </c>
      <c r="AR10">
        <f>IF(COUNT($E$2:$E10)&lt;20,"",MIN($D$2:$D$10))</f>
        <v>0</v>
      </c>
      <c r="AS10">
        <f>IF(OR(AQ10="",AR10=""),"",(AQ10+AR10)/2)</f>
        <v>0</v>
      </c>
      <c r="AT10">
        <f>IF(COUNT($G$2:$G$10)&lt;20,"",STDEV($G$2:$G$10)*SQRT(252))</f>
        <v>0</v>
      </c>
      <c r="AU10">
        <f>IF(COUNT($E$2:$E10)&lt;9,"",(MAX($C$2:$C$10)+MIN($D$2:$D$10))/2)</f>
        <v>0</v>
      </c>
      <c r="AV10">
        <f>IF(COUNT($E$2:$E10)&lt;26,"",(MAX($C$2:$C$10)+MIN($D$2:$D$10))/2)</f>
        <v>0</v>
      </c>
      <c r="AW10">
        <f>IF(OR(AU10="",AV10=""),"",(AU10+AV10)/2)</f>
        <v>0</v>
      </c>
      <c r="AX10">
        <f>IF(COUNT($E$2:$E10)&lt;52,"",(MAX($C$2:$C$10)+MIN($D$2:$D$10))/2)</f>
        <v>0</v>
      </c>
      <c r="AY10">
        <f>IF(COUNT($E$2:$E10)&lt;20,"",MAX($C$2:$C$10))</f>
        <v>0</v>
      </c>
      <c r="AZ10">
        <f>IF(COUNT($E$2:$E10)&lt;20,"",MIN($D$2:$D$10))</f>
        <v>0</v>
      </c>
      <c r="BA10">
        <f>IF(COUNT($E$2:$E10)&lt;20,"",SLOPE($E$2:$E$10,$F$2:$F$10))</f>
        <v>0</v>
      </c>
      <c r="BB10">
        <f>IF(COUNT($E$2:$E10)&lt;20,"",INTERCEPT($E$2:$E$10,$F$2:$F$10))</f>
        <v>0</v>
      </c>
      <c r="BC10">
        <f>IF(OR(BA10="",BB10=""),"",BB10+BA10*F10)</f>
        <v>0</v>
      </c>
      <c r="BD10">
        <f>IF(COUNT($E$2:$E10)&lt;20,"",STEYX($E$2:$E$10,$F$2:$F$10))</f>
        <v>0</v>
      </c>
      <c r="BE10">
        <f>IF($E10="","",IF(AND(COUNT($E$11:$E$14)&gt;=4,$C10=MAX($C$6:$C$14)),$C10,""))</f>
        <v>0</v>
      </c>
      <c r="BF10">
        <f>IF($E10="","",IF(AND(COUNT($E$11:$E$14)&gt;=4,$D10=MIN($D$6:$D$14)),$D10,""))</f>
        <v>0</v>
      </c>
      <c r="BG10">
        <f>IF($A10="","",$A10-WEEKDAY($A10,2)+1)</f>
        <v>0</v>
      </c>
      <c r="BH10">
        <f>IF($A10="","",IF($A9="",1,IF(BG10&lt;&gt;BG9,1,0)))</f>
        <v>0</v>
      </c>
      <c r="BI10">
        <f>IF($A10="","",IF($A11="",1,IF(BG11&lt;&gt;BG10,1,0)))</f>
        <v>0</v>
      </c>
      <c r="BJ10">
        <f>IF($A10="","",IF(BH10=1,$B10,BJ9))</f>
        <v>0</v>
      </c>
      <c r="BK10">
        <f>IF($A10="","",IF(BH10=1,$C10,MAX($C10,BK9)))</f>
        <v>0</v>
      </c>
      <c r="BL10">
        <f>IF($A10="","",IF(BH10=1,$D10,MIN($D10,BL9)))</f>
        <v>0</v>
      </c>
      <c r="BM10">
        <f>IF($A10="","",IF(BI10=1,F10,""))</f>
        <v>0</v>
      </c>
      <c r="BN10">
        <f>IF($A10="","",DATE(YEAR($A10),MONTH($A10),1))</f>
        <v>0</v>
      </c>
      <c r="BO10">
        <f>IF($A10="","",IF($A9="",1,IF(BN10&lt;&gt;BN9,1,0)))</f>
        <v>0</v>
      </c>
      <c r="BP10">
        <f>IF($A10="","",IF($A11="",1,IF(BN11&lt;&gt;BN10,1,0)))</f>
        <v>0</v>
      </c>
      <c r="BQ10">
        <f>IF($A10="","",IF(BO10=1,$B10,BQ9))</f>
        <v>0</v>
      </c>
      <c r="BR10">
        <f>IF($A10="","",IF(BO10=1,$C10,MAX($C10,BR9)))</f>
        <v>0</v>
      </c>
      <c r="BS10">
        <f>IF($A10="","",IF(BO10=1,$D10,MIN($D10,BS9)))</f>
        <v>0</v>
      </c>
      <c r="BT10">
        <f>IF($A10="","",IF(BP10=1,F10,""))</f>
        <v>0</v>
      </c>
    </row>
    <row r="11" spans="1:72">
      <c r="A11" s="27">
        <f>IF(Data!$A11="","",Data!$A11)</f>
        <v>0</v>
      </c>
      <c r="B11">
        <f>IF(Data!$B11="","",Data!$B11)</f>
        <v>0</v>
      </c>
      <c r="C11">
        <f>IF(Data!$C11="","",Data!$C11)</f>
        <v>0</v>
      </c>
      <c r="D11">
        <f>IF(Data!$D11="","",Data!$D11)</f>
        <v>0</v>
      </c>
      <c r="E11">
        <f>IF(Data!$E11="","",Data!$E11)</f>
        <v>0</v>
      </c>
      <c r="F11">
        <f>IF($E11="","",N(F10)+1)</f>
        <v>0</v>
      </c>
      <c r="G11">
        <f>IF(OR($E11="",$E10=""),"",LN($E11/$E10))</f>
        <v>0</v>
      </c>
      <c r="H11">
        <f>IF($E11="","",IF($E10="",$E11,$E11*0.0952380952+H10*0.9047619048))</f>
        <v>0</v>
      </c>
      <c r="I11">
        <f>IF($E11="","",IF($E10="",$E11,$E11*0.0392156863+I10*0.9607843137))</f>
        <v>0</v>
      </c>
      <c r="J11">
        <f>IF($E11="","",IF($E10="",$E11,$E11*0.0198019802+J10*0.9801980198))</f>
        <v>0</v>
      </c>
      <c r="K11">
        <f>IF($E11="","",IF($E10="",$E11,$E11*0.0099502488+K10*0.9900497512))</f>
        <v>0</v>
      </c>
      <c r="L11">
        <f>IF(OR($E11="",$E10=""),"",MAX($E11-$E10,0))</f>
        <v>0</v>
      </c>
      <c r="M11">
        <f>IF(OR($E11="",$E10=""),"",MAX($E10-$E11,0))</f>
        <v>0</v>
      </c>
      <c r="N11">
        <f>IF(COUNT($E$2:$E11)&lt;15,"",IF(AVERAGE($M$2:$M$11)=0,100,100-100/(1+AVERAGE($L$2:$L$11)/AVERAGE($M$2:$M$11))))</f>
        <v>0</v>
      </c>
      <c r="O11">
        <f>IF($E11="","",IF($E10="",$E11,$E11*0.1538461538+O10*0.8461538462))</f>
        <v>0</v>
      </c>
      <c r="P11">
        <f>IF($E11="","",IF($E10="",$E11,$E11*0.0740740741+P10*0.9259259259))</f>
        <v>0</v>
      </c>
      <c r="Q11">
        <f>IF(OR(O11="",P11=""),"",O11-P11)</f>
        <v>0</v>
      </c>
      <c r="R11">
        <f>IF(Q11="","",IF(R10="",Q11,Q11*0.2000000000+R10*0.8000000000))</f>
        <v>0</v>
      </c>
      <c r="S11">
        <f>IF(OR(Q11="",R11=""),"",Q11-R11)</f>
        <v>0</v>
      </c>
      <c r="T11">
        <f>IF(COUNT($E$2:$E11)&lt;14,"",MAX($C$2:$C$11))</f>
        <v>0</v>
      </c>
      <c r="U11">
        <f>IF(COUNT($E$2:$E11)&lt;14,"",MIN($D$2:$D$11))</f>
        <v>0</v>
      </c>
      <c r="V11">
        <f>IF(OR(T11="",U11="",T11=U11),"",100*($E11-U11)/(T11-U11))</f>
        <v>0</v>
      </c>
      <c r="W11">
        <f>IF(COUNT($V$9:$V$11)&lt;3,"",AVERAGE($V$9:$V$11))</f>
        <v>0</v>
      </c>
      <c r="X11">
        <f>IF(COUNT($N$2:$N$11)&lt;14,"",MIN($N$2:$N$11))</f>
        <v>0</v>
      </c>
      <c r="Y11">
        <f>IF(COUNT($N$2:$N$11)&lt;14,"",MAX($N$2:$N$11))</f>
        <v>0</v>
      </c>
      <c r="Z11">
        <f>IF(OR(N11="",X11="",Y11="",Y11=X11),"",100*(N11-X11)/(Y11-X11))</f>
        <v>0</v>
      </c>
      <c r="AA11">
        <f>IF(COUNT($Z$9:$Z$11)&lt;3,"",AVERAGE($Z$9:$Z$11))</f>
        <v>0</v>
      </c>
      <c r="AB11">
        <f>IF(COUNT($AA$9:$AA$11)&lt;3,"",AVERAGE($AA$9:$AA$11))</f>
        <v>0</v>
      </c>
      <c r="AC11">
        <f>IF($E11="","",MAX($C11-$D11,ABS($C11-$E10),ABS($D11-$E10)))</f>
        <v>0</v>
      </c>
      <c r="AD11">
        <f>IF(COUNT($E$2:$E11)&lt;15,"",AVERAGE($AC$2:$AC$11))</f>
        <v>0</v>
      </c>
      <c r="AE11">
        <f>IF(OR($E11="",$E10=""),"",IF(AND(($C11-$C10)&gt;($D10-$D11),($C11-$C10)&gt;0),$C11-$C10,0))</f>
        <v>0</v>
      </c>
      <c r="AF11">
        <f>IF(OR($E11="",$E10=""),"",IF(AND(($D10-$D11)&gt;($C11-$C10),($D10-$D11)&gt;0),$D10-$D11,0))</f>
        <v>0</v>
      </c>
      <c r="AG11">
        <f>IF(COUNT($E$2:$E11)&lt;15,"",IF(SUM($AC$2:$AC$11)=0,0,100*SUM($AE$2:$AE$11)/SUM($AC$2:$AC$11)))</f>
        <v>0</v>
      </c>
      <c r="AH11">
        <f>IF(COUNT($E$2:$E11)&lt;15,"",IF(SUM($AC$2:$AC$11)=0,0,100*SUM($AF$2:$AF$11)/SUM($AC$2:$AC$11)))</f>
        <v>0</v>
      </c>
      <c r="AI11">
        <f>IF(OR(AG11="",AH11=""),"",IF((AG11+AH11)=0,0,100*ABS(AG11-AH11)/(AG11+AH11)))</f>
        <v>0</v>
      </c>
      <c r="AJ11">
        <f>IF(COUNT($AI$2:$AI$11)&lt;14,"",AVERAGE($AI$2:$AI$11))</f>
        <v>0</v>
      </c>
      <c r="AK11">
        <f>IF(COUNT($E$2:$E11)&lt;20,"",AVERAGE($E$2:$E$11))</f>
        <v>0</v>
      </c>
      <c r="AL11">
        <f>IF(COUNT($E$2:$E11)&lt;20,"",STDEVP($E$2:$E$11))</f>
        <v>0</v>
      </c>
      <c r="AM11">
        <f>IF(AK11="","",AK11+2*AL11)</f>
        <v>0</v>
      </c>
      <c r="AN11">
        <f>IF(AK11="","",AK11-2*AL11)</f>
        <v>0</v>
      </c>
      <c r="AO11">
        <f>IF(OR(AM11="",AN11="",AM11=AN11),"",($E11-AN11)/(AM11-AN11))</f>
        <v>0</v>
      </c>
      <c r="AP11">
        <f>IF(OR(AM11="",AK11="",AK11=0),"",(AM11-AN11)/AK11)</f>
        <v>0</v>
      </c>
      <c r="AQ11">
        <f>IF(COUNT($E$2:$E11)&lt;20,"",MAX($C$2:$C$11))</f>
        <v>0</v>
      </c>
      <c r="AR11">
        <f>IF(COUNT($E$2:$E11)&lt;20,"",MIN($D$2:$D$11))</f>
        <v>0</v>
      </c>
      <c r="AS11">
        <f>IF(OR(AQ11="",AR11=""),"",(AQ11+AR11)/2)</f>
        <v>0</v>
      </c>
      <c r="AT11">
        <f>IF(COUNT($G$2:$G$11)&lt;20,"",STDEV($G$2:$G$11)*SQRT(252))</f>
        <v>0</v>
      </c>
      <c r="AU11">
        <f>IF(COUNT($E$2:$E11)&lt;9,"",(MAX($C$3:$C$11)+MIN($D$3:$D$11))/2)</f>
        <v>0</v>
      </c>
      <c r="AV11">
        <f>IF(COUNT($E$2:$E11)&lt;26,"",(MAX($C$2:$C$11)+MIN($D$2:$D$11))/2)</f>
        <v>0</v>
      </c>
      <c r="AW11">
        <f>IF(OR(AU11="",AV11=""),"",(AU11+AV11)/2)</f>
        <v>0</v>
      </c>
      <c r="AX11">
        <f>IF(COUNT($E$2:$E11)&lt;52,"",(MAX($C$2:$C$11)+MIN($D$2:$D$11))/2)</f>
        <v>0</v>
      </c>
      <c r="AY11">
        <f>IF(COUNT($E$2:$E11)&lt;20,"",MAX($C$2:$C$11))</f>
        <v>0</v>
      </c>
      <c r="AZ11">
        <f>IF(COUNT($E$2:$E11)&lt;20,"",MIN($D$2:$D$11))</f>
        <v>0</v>
      </c>
      <c r="BA11">
        <f>IF(COUNT($E$2:$E11)&lt;20,"",SLOPE($E$2:$E$11,$F$2:$F$11))</f>
        <v>0</v>
      </c>
      <c r="BB11">
        <f>IF(COUNT($E$2:$E11)&lt;20,"",INTERCEPT($E$2:$E$11,$F$2:$F$11))</f>
        <v>0</v>
      </c>
      <c r="BC11">
        <f>IF(OR(BA11="",BB11=""),"",BB11+BA11*F11)</f>
        <v>0</v>
      </c>
      <c r="BD11">
        <f>IF(COUNT($E$2:$E11)&lt;20,"",STEYX($E$2:$E$11,$F$2:$F$11))</f>
        <v>0</v>
      </c>
      <c r="BE11">
        <f>IF($E11="","",IF(AND(COUNT($E$12:$E$15)&gt;=4,$C11=MAX($C$7:$C$15)),$C11,""))</f>
        <v>0</v>
      </c>
      <c r="BF11">
        <f>IF($E11="","",IF(AND(COUNT($E$12:$E$15)&gt;=4,$D11=MIN($D$7:$D$15)),$D11,""))</f>
        <v>0</v>
      </c>
      <c r="BG11">
        <f>IF($A11="","",$A11-WEEKDAY($A11,2)+1)</f>
        <v>0</v>
      </c>
      <c r="BH11">
        <f>IF($A11="","",IF($A10="",1,IF(BG11&lt;&gt;BG10,1,0)))</f>
        <v>0</v>
      </c>
      <c r="BI11">
        <f>IF($A11="","",IF($A12="",1,IF(BG12&lt;&gt;BG11,1,0)))</f>
        <v>0</v>
      </c>
      <c r="BJ11">
        <f>IF($A11="","",IF(BH11=1,$B11,BJ10))</f>
        <v>0</v>
      </c>
      <c r="BK11">
        <f>IF($A11="","",IF(BH11=1,$C11,MAX($C11,BK10)))</f>
        <v>0</v>
      </c>
      <c r="BL11">
        <f>IF($A11="","",IF(BH11=1,$D11,MIN($D11,BL10)))</f>
        <v>0</v>
      </c>
      <c r="BM11">
        <f>IF($A11="","",IF(BI11=1,F11,""))</f>
        <v>0</v>
      </c>
      <c r="BN11">
        <f>IF($A11="","",DATE(YEAR($A11),MONTH($A11),1))</f>
        <v>0</v>
      </c>
      <c r="BO11">
        <f>IF($A11="","",IF($A10="",1,IF(BN11&lt;&gt;BN10,1,0)))</f>
        <v>0</v>
      </c>
      <c r="BP11">
        <f>IF($A11="","",IF($A12="",1,IF(BN12&lt;&gt;BN11,1,0)))</f>
        <v>0</v>
      </c>
      <c r="BQ11">
        <f>IF($A11="","",IF(BO11=1,$B11,BQ10))</f>
        <v>0</v>
      </c>
      <c r="BR11">
        <f>IF($A11="","",IF(BO11=1,$C11,MAX($C11,BR10)))</f>
        <v>0</v>
      </c>
      <c r="BS11">
        <f>IF($A11="","",IF(BO11=1,$D11,MIN($D11,BS10)))</f>
        <v>0</v>
      </c>
      <c r="BT11">
        <f>IF($A11="","",IF(BP11=1,F11,""))</f>
        <v>0</v>
      </c>
    </row>
    <row r="12" spans="1:72">
      <c r="A12" s="27">
        <f>IF(Data!$A12="","",Data!$A12)</f>
        <v>0</v>
      </c>
      <c r="B12">
        <f>IF(Data!$B12="","",Data!$B12)</f>
        <v>0</v>
      </c>
      <c r="C12">
        <f>IF(Data!$C12="","",Data!$C12)</f>
        <v>0</v>
      </c>
      <c r="D12">
        <f>IF(Data!$D12="","",Data!$D12)</f>
        <v>0</v>
      </c>
      <c r="E12">
        <f>IF(Data!$E12="","",Data!$E12)</f>
        <v>0</v>
      </c>
      <c r="F12">
        <f>IF($E12="","",N(F11)+1)</f>
        <v>0</v>
      </c>
      <c r="G12">
        <f>IF(OR($E12="",$E11=""),"",LN($E12/$E11))</f>
        <v>0</v>
      </c>
      <c r="H12">
        <f>IF($E12="","",IF($E11="",$E12,$E12*0.0952380952+H11*0.9047619048))</f>
        <v>0</v>
      </c>
      <c r="I12">
        <f>IF($E12="","",IF($E11="",$E12,$E12*0.0392156863+I11*0.9607843137))</f>
        <v>0</v>
      </c>
      <c r="J12">
        <f>IF($E12="","",IF($E11="",$E12,$E12*0.0198019802+J11*0.9801980198))</f>
        <v>0</v>
      </c>
      <c r="K12">
        <f>IF($E12="","",IF($E11="",$E12,$E12*0.0099502488+K11*0.9900497512))</f>
        <v>0</v>
      </c>
      <c r="L12">
        <f>IF(OR($E12="",$E11=""),"",MAX($E12-$E11,0))</f>
        <v>0</v>
      </c>
      <c r="M12">
        <f>IF(OR($E12="",$E11=""),"",MAX($E11-$E12,0))</f>
        <v>0</v>
      </c>
      <c r="N12">
        <f>IF(COUNT($E$2:$E12)&lt;15,"",IF(AVERAGE($M$2:$M$12)=0,100,100-100/(1+AVERAGE($L$2:$L$12)/AVERAGE($M$2:$M$12))))</f>
        <v>0</v>
      </c>
      <c r="O12">
        <f>IF($E12="","",IF($E11="",$E12,$E12*0.1538461538+O11*0.8461538462))</f>
        <v>0</v>
      </c>
      <c r="P12">
        <f>IF($E12="","",IF($E11="",$E12,$E12*0.0740740741+P11*0.9259259259))</f>
        <v>0</v>
      </c>
      <c r="Q12">
        <f>IF(OR(O12="",P12=""),"",O12-P12)</f>
        <v>0</v>
      </c>
      <c r="R12">
        <f>IF(Q12="","",IF(R11="",Q12,Q12*0.2000000000+R11*0.8000000000))</f>
        <v>0</v>
      </c>
      <c r="S12">
        <f>IF(OR(Q12="",R12=""),"",Q12-R12)</f>
        <v>0</v>
      </c>
      <c r="T12">
        <f>IF(COUNT($E$2:$E12)&lt;14,"",MAX($C$2:$C$12))</f>
        <v>0</v>
      </c>
      <c r="U12">
        <f>IF(COUNT($E$2:$E12)&lt;14,"",MIN($D$2:$D$12))</f>
        <v>0</v>
      </c>
      <c r="V12">
        <f>IF(OR(T12="",U12="",T12=U12),"",100*($E12-U12)/(T12-U12))</f>
        <v>0</v>
      </c>
      <c r="W12">
        <f>IF(COUNT($V$10:$V$12)&lt;3,"",AVERAGE($V$10:$V$12))</f>
        <v>0</v>
      </c>
      <c r="X12">
        <f>IF(COUNT($N$2:$N$12)&lt;14,"",MIN($N$2:$N$12))</f>
        <v>0</v>
      </c>
      <c r="Y12">
        <f>IF(COUNT($N$2:$N$12)&lt;14,"",MAX($N$2:$N$12))</f>
        <v>0</v>
      </c>
      <c r="Z12">
        <f>IF(OR(N12="",X12="",Y12="",Y12=X12),"",100*(N12-X12)/(Y12-X12))</f>
        <v>0</v>
      </c>
      <c r="AA12">
        <f>IF(COUNT($Z$10:$Z$12)&lt;3,"",AVERAGE($Z$10:$Z$12))</f>
        <v>0</v>
      </c>
      <c r="AB12">
        <f>IF(COUNT($AA$10:$AA$12)&lt;3,"",AVERAGE($AA$10:$AA$12))</f>
        <v>0</v>
      </c>
      <c r="AC12">
        <f>IF($E12="","",MAX($C12-$D12,ABS($C12-$E11),ABS($D12-$E11)))</f>
        <v>0</v>
      </c>
      <c r="AD12">
        <f>IF(COUNT($E$2:$E12)&lt;15,"",AVERAGE($AC$2:$AC$12))</f>
        <v>0</v>
      </c>
      <c r="AE12">
        <f>IF(OR($E12="",$E11=""),"",IF(AND(($C12-$C11)&gt;($D11-$D12),($C12-$C11)&gt;0),$C12-$C11,0))</f>
        <v>0</v>
      </c>
      <c r="AF12">
        <f>IF(OR($E12="",$E11=""),"",IF(AND(($D11-$D12)&gt;($C12-$C11),($D11-$D12)&gt;0),$D11-$D12,0))</f>
        <v>0</v>
      </c>
      <c r="AG12">
        <f>IF(COUNT($E$2:$E12)&lt;15,"",IF(SUM($AC$2:$AC$12)=0,0,100*SUM($AE$2:$AE$12)/SUM($AC$2:$AC$12)))</f>
        <v>0</v>
      </c>
      <c r="AH12">
        <f>IF(COUNT($E$2:$E12)&lt;15,"",IF(SUM($AC$2:$AC$12)=0,0,100*SUM($AF$2:$AF$12)/SUM($AC$2:$AC$12)))</f>
        <v>0</v>
      </c>
      <c r="AI12">
        <f>IF(OR(AG12="",AH12=""),"",IF((AG12+AH12)=0,0,100*ABS(AG12-AH12)/(AG12+AH12)))</f>
        <v>0</v>
      </c>
      <c r="AJ12">
        <f>IF(COUNT($AI$2:$AI$12)&lt;14,"",AVERAGE($AI$2:$AI$12))</f>
        <v>0</v>
      </c>
      <c r="AK12">
        <f>IF(COUNT($E$2:$E12)&lt;20,"",AVERAGE($E$2:$E$12))</f>
        <v>0</v>
      </c>
      <c r="AL12">
        <f>IF(COUNT($E$2:$E12)&lt;20,"",STDEVP($E$2:$E$12))</f>
        <v>0</v>
      </c>
      <c r="AM12">
        <f>IF(AK12="","",AK12+2*AL12)</f>
        <v>0</v>
      </c>
      <c r="AN12">
        <f>IF(AK12="","",AK12-2*AL12)</f>
        <v>0</v>
      </c>
      <c r="AO12">
        <f>IF(OR(AM12="",AN12="",AM12=AN12),"",($E12-AN12)/(AM12-AN12))</f>
        <v>0</v>
      </c>
      <c r="AP12">
        <f>IF(OR(AM12="",AK12="",AK12=0),"",(AM12-AN12)/AK12)</f>
        <v>0</v>
      </c>
      <c r="AQ12">
        <f>IF(COUNT($E$2:$E12)&lt;20,"",MAX($C$2:$C$12))</f>
        <v>0</v>
      </c>
      <c r="AR12">
        <f>IF(COUNT($E$2:$E12)&lt;20,"",MIN($D$2:$D$12))</f>
        <v>0</v>
      </c>
      <c r="AS12">
        <f>IF(OR(AQ12="",AR12=""),"",(AQ12+AR12)/2)</f>
        <v>0</v>
      </c>
      <c r="AT12">
        <f>IF(COUNT($G$2:$G$12)&lt;20,"",STDEV($G$2:$G$12)*SQRT(252))</f>
        <v>0</v>
      </c>
      <c r="AU12">
        <f>IF(COUNT($E$2:$E12)&lt;9,"",(MAX($C$4:$C$12)+MIN($D$4:$D$12))/2)</f>
        <v>0</v>
      </c>
      <c r="AV12">
        <f>IF(COUNT($E$2:$E12)&lt;26,"",(MAX($C$2:$C$12)+MIN($D$2:$D$12))/2)</f>
        <v>0</v>
      </c>
      <c r="AW12">
        <f>IF(OR(AU12="",AV12=""),"",(AU12+AV12)/2)</f>
        <v>0</v>
      </c>
      <c r="AX12">
        <f>IF(COUNT($E$2:$E12)&lt;52,"",(MAX($C$2:$C$12)+MIN($D$2:$D$12))/2)</f>
        <v>0</v>
      </c>
      <c r="AY12">
        <f>IF(COUNT($E$2:$E12)&lt;20,"",MAX($C$2:$C$12))</f>
        <v>0</v>
      </c>
      <c r="AZ12">
        <f>IF(COUNT($E$2:$E12)&lt;20,"",MIN($D$2:$D$12))</f>
        <v>0</v>
      </c>
      <c r="BA12">
        <f>IF(COUNT($E$2:$E12)&lt;20,"",SLOPE($E$2:$E$12,$F$2:$F$12))</f>
        <v>0</v>
      </c>
      <c r="BB12">
        <f>IF(COUNT($E$2:$E12)&lt;20,"",INTERCEPT($E$2:$E$12,$F$2:$F$12))</f>
        <v>0</v>
      </c>
      <c r="BC12">
        <f>IF(OR(BA12="",BB12=""),"",BB12+BA12*F12)</f>
        <v>0</v>
      </c>
      <c r="BD12">
        <f>IF(COUNT($E$2:$E12)&lt;20,"",STEYX($E$2:$E$12,$F$2:$F$12))</f>
        <v>0</v>
      </c>
      <c r="BE12">
        <f>IF($E12="","",IF(AND(COUNT($E$13:$E$16)&gt;=4,$C12=MAX($C$8:$C$16)),$C12,""))</f>
        <v>0</v>
      </c>
      <c r="BF12">
        <f>IF($E12="","",IF(AND(COUNT($E$13:$E$16)&gt;=4,$D12=MIN($D$8:$D$16)),$D12,""))</f>
        <v>0</v>
      </c>
      <c r="BG12">
        <f>IF($A12="","",$A12-WEEKDAY($A12,2)+1)</f>
        <v>0</v>
      </c>
      <c r="BH12">
        <f>IF($A12="","",IF($A11="",1,IF(BG12&lt;&gt;BG11,1,0)))</f>
        <v>0</v>
      </c>
      <c r="BI12">
        <f>IF($A12="","",IF($A13="",1,IF(BG13&lt;&gt;BG12,1,0)))</f>
        <v>0</v>
      </c>
      <c r="BJ12">
        <f>IF($A12="","",IF(BH12=1,$B12,BJ11))</f>
        <v>0</v>
      </c>
      <c r="BK12">
        <f>IF($A12="","",IF(BH12=1,$C12,MAX($C12,BK11)))</f>
        <v>0</v>
      </c>
      <c r="BL12">
        <f>IF($A12="","",IF(BH12=1,$D12,MIN($D12,BL11)))</f>
        <v>0</v>
      </c>
      <c r="BM12">
        <f>IF($A12="","",IF(BI12=1,F12,""))</f>
        <v>0</v>
      </c>
      <c r="BN12">
        <f>IF($A12="","",DATE(YEAR($A12),MONTH($A12),1))</f>
        <v>0</v>
      </c>
      <c r="BO12">
        <f>IF($A12="","",IF($A11="",1,IF(BN12&lt;&gt;BN11,1,0)))</f>
        <v>0</v>
      </c>
      <c r="BP12">
        <f>IF($A12="","",IF($A13="",1,IF(BN13&lt;&gt;BN12,1,0)))</f>
        <v>0</v>
      </c>
      <c r="BQ12">
        <f>IF($A12="","",IF(BO12=1,$B12,BQ11))</f>
        <v>0</v>
      </c>
      <c r="BR12">
        <f>IF($A12="","",IF(BO12=1,$C12,MAX($C12,BR11)))</f>
        <v>0</v>
      </c>
      <c r="BS12">
        <f>IF($A12="","",IF(BO12=1,$D12,MIN($D12,BS11)))</f>
        <v>0</v>
      </c>
      <c r="BT12">
        <f>IF($A12="","",IF(BP12=1,F12,""))</f>
        <v>0</v>
      </c>
    </row>
    <row r="13" spans="1:72">
      <c r="A13" s="27">
        <f>IF(Data!$A13="","",Data!$A13)</f>
        <v>0</v>
      </c>
      <c r="B13">
        <f>IF(Data!$B13="","",Data!$B13)</f>
        <v>0</v>
      </c>
      <c r="C13">
        <f>IF(Data!$C13="","",Data!$C13)</f>
        <v>0</v>
      </c>
      <c r="D13">
        <f>IF(Data!$D13="","",Data!$D13)</f>
        <v>0</v>
      </c>
      <c r="E13">
        <f>IF(Data!$E13="","",Data!$E13)</f>
        <v>0</v>
      </c>
      <c r="F13">
        <f>IF($E13="","",N(F12)+1)</f>
        <v>0</v>
      </c>
      <c r="G13">
        <f>IF(OR($E13="",$E12=""),"",LN($E13/$E12))</f>
        <v>0</v>
      </c>
      <c r="H13">
        <f>IF($E13="","",IF($E12="",$E13,$E13*0.0952380952+H12*0.9047619048))</f>
        <v>0</v>
      </c>
      <c r="I13">
        <f>IF($E13="","",IF($E12="",$E13,$E13*0.0392156863+I12*0.9607843137))</f>
        <v>0</v>
      </c>
      <c r="J13">
        <f>IF($E13="","",IF($E12="",$E13,$E13*0.0198019802+J12*0.9801980198))</f>
        <v>0</v>
      </c>
      <c r="K13">
        <f>IF($E13="","",IF($E12="",$E13,$E13*0.0099502488+K12*0.9900497512))</f>
        <v>0</v>
      </c>
      <c r="L13">
        <f>IF(OR($E13="",$E12=""),"",MAX($E13-$E12,0))</f>
        <v>0</v>
      </c>
      <c r="M13">
        <f>IF(OR($E13="",$E12=""),"",MAX($E12-$E13,0))</f>
        <v>0</v>
      </c>
      <c r="N13">
        <f>IF(COUNT($E$2:$E13)&lt;15,"",IF(AVERAGE($M$2:$M$13)=0,100,100-100/(1+AVERAGE($L$2:$L$13)/AVERAGE($M$2:$M$13))))</f>
        <v>0</v>
      </c>
      <c r="O13">
        <f>IF($E13="","",IF($E12="",$E13,$E13*0.1538461538+O12*0.8461538462))</f>
        <v>0</v>
      </c>
      <c r="P13">
        <f>IF($E13="","",IF($E12="",$E13,$E13*0.0740740741+P12*0.9259259259))</f>
        <v>0</v>
      </c>
      <c r="Q13">
        <f>IF(OR(O13="",P13=""),"",O13-P13)</f>
        <v>0</v>
      </c>
      <c r="R13">
        <f>IF(Q13="","",IF(R12="",Q13,Q13*0.2000000000+R12*0.8000000000))</f>
        <v>0</v>
      </c>
      <c r="S13">
        <f>IF(OR(Q13="",R13=""),"",Q13-R13)</f>
        <v>0</v>
      </c>
      <c r="T13">
        <f>IF(COUNT($E$2:$E13)&lt;14,"",MAX($C$2:$C$13))</f>
        <v>0</v>
      </c>
      <c r="U13">
        <f>IF(COUNT($E$2:$E13)&lt;14,"",MIN($D$2:$D$13))</f>
        <v>0</v>
      </c>
      <c r="V13">
        <f>IF(OR(T13="",U13="",T13=U13),"",100*($E13-U13)/(T13-U13))</f>
        <v>0</v>
      </c>
      <c r="W13">
        <f>IF(COUNT($V$11:$V$13)&lt;3,"",AVERAGE($V$11:$V$13))</f>
        <v>0</v>
      </c>
      <c r="X13">
        <f>IF(COUNT($N$2:$N$13)&lt;14,"",MIN($N$2:$N$13))</f>
        <v>0</v>
      </c>
      <c r="Y13">
        <f>IF(COUNT($N$2:$N$13)&lt;14,"",MAX($N$2:$N$13))</f>
        <v>0</v>
      </c>
      <c r="Z13">
        <f>IF(OR(N13="",X13="",Y13="",Y13=X13),"",100*(N13-X13)/(Y13-X13))</f>
        <v>0</v>
      </c>
      <c r="AA13">
        <f>IF(COUNT($Z$11:$Z$13)&lt;3,"",AVERAGE($Z$11:$Z$13))</f>
        <v>0</v>
      </c>
      <c r="AB13">
        <f>IF(COUNT($AA$11:$AA$13)&lt;3,"",AVERAGE($AA$11:$AA$13))</f>
        <v>0</v>
      </c>
      <c r="AC13">
        <f>IF($E13="","",MAX($C13-$D13,ABS($C13-$E12),ABS($D13-$E12)))</f>
        <v>0</v>
      </c>
      <c r="AD13">
        <f>IF(COUNT($E$2:$E13)&lt;15,"",AVERAGE($AC$2:$AC$13))</f>
        <v>0</v>
      </c>
      <c r="AE13">
        <f>IF(OR($E13="",$E12=""),"",IF(AND(($C13-$C12)&gt;($D12-$D13),($C13-$C12)&gt;0),$C13-$C12,0))</f>
        <v>0</v>
      </c>
      <c r="AF13">
        <f>IF(OR($E13="",$E12=""),"",IF(AND(($D12-$D13)&gt;($C13-$C12),($D12-$D13)&gt;0),$D12-$D13,0))</f>
        <v>0</v>
      </c>
      <c r="AG13">
        <f>IF(COUNT($E$2:$E13)&lt;15,"",IF(SUM($AC$2:$AC$13)=0,0,100*SUM($AE$2:$AE$13)/SUM($AC$2:$AC$13)))</f>
        <v>0</v>
      </c>
      <c r="AH13">
        <f>IF(COUNT($E$2:$E13)&lt;15,"",IF(SUM($AC$2:$AC$13)=0,0,100*SUM($AF$2:$AF$13)/SUM($AC$2:$AC$13)))</f>
        <v>0</v>
      </c>
      <c r="AI13">
        <f>IF(OR(AG13="",AH13=""),"",IF((AG13+AH13)=0,0,100*ABS(AG13-AH13)/(AG13+AH13)))</f>
        <v>0</v>
      </c>
      <c r="AJ13">
        <f>IF(COUNT($AI$2:$AI$13)&lt;14,"",AVERAGE($AI$2:$AI$13))</f>
        <v>0</v>
      </c>
      <c r="AK13">
        <f>IF(COUNT($E$2:$E13)&lt;20,"",AVERAGE($E$2:$E$13))</f>
        <v>0</v>
      </c>
      <c r="AL13">
        <f>IF(COUNT($E$2:$E13)&lt;20,"",STDEVP($E$2:$E$13))</f>
        <v>0</v>
      </c>
      <c r="AM13">
        <f>IF(AK13="","",AK13+2*AL13)</f>
        <v>0</v>
      </c>
      <c r="AN13">
        <f>IF(AK13="","",AK13-2*AL13)</f>
        <v>0</v>
      </c>
      <c r="AO13">
        <f>IF(OR(AM13="",AN13="",AM13=AN13),"",($E13-AN13)/(AM13-AN13))</f>
        <v>0</v>
      </c>
      <c r="AP13">
        <f>IF(OR(AM13="",AK13="",AK13=0),"",(AM13-AN13)/AK13)</f>
        <v>0</v>
      </c>
      <c r="AQ13">
        <f>IF(COUNT($E$2:$E13)&lt;20,"",MAX($C$2:$C$13))</f>
        <v>0</v>
      </c>
      <c r="AR13">
        <f>IF(COUNT($E$2:$E13)&lt;20,"",MIN($D$2:$D$13))</f>
        <v>0</v>
      </c>
      <c r="AS13">
        <f>IF(OR(AQ13="",AR13=""),"",(AQ13+AR13)/2)</f>
        <v>0</v>
      </c>
      <c r="AT13">
        <f>IF(COUNT($G$2:$G$13)&lt;20,"",STDEV($G$2:$G$13)*SQRT(252))</f>
        <v>0</v>
      </c>
      <c r="AU13">
        <f>IF(COUNT($E$2:$E13)&lt;9,"",(MAX($C$5:$C$13)+MIN($D$5:$D$13))/2)</f>
        <v>0</v>
      </c>
      <c r="AV13">
        <f>IF(COUNT($E$2:$E13)&lt;26,"",(MAX($C$2:$C$13)+MIN($D$2:$D$13))/2)</f>
        <v>0</v>
      </c>
      <c r="AW13">
        <f>IF(OR(AU13="",AV13=""),"",(AU13+AV13)/2)</f>
        <v>0</v>
      </c>
      <c r="AX13">
        <f>IF(COUNT($E$2:$E13)&lt;52,"",(MAX($C$2:$C$13)+MIN($D$2:$D$13))/2)</f>
        <v>0</v>
      </c>
      <c r="AY13">
        <f>IF(COUNT($E$2:$E13)&lt;20,"",MAX($C$2:$C$13))</f>
        <v>0</v>
      </c>
      <c r="AZ13">
        <f>IF(COUNT($E$2:$E13)&lt;20,"",MIN($D$2:$D$13))</f>
        <v>0</v>
      </c>
      <c r="BA13">
        <f>IF(COUNT($E$2:$E13)&lt;20,"",SLOPE($E$2:$E$13,$F$2:$F$13))</f>
        <v>0</v>
      </c>
      <c r="BB13">
        <f>IF(COUNT($E$2:$E13)&lt;20,"",INTERCEPT($E$2:$E$13,$F$2:$F$13))</f>
        <v>0</v>
      </c>
      <c r="BC13">
        <f>IF(OR(BA13="",BB13=""),"",BB13+BA13*F13)</f>
        <v>0</v>
      </c>
      <c r="BD13">
        <f>IF(COUNT($E$2:$E13)&lt;20,"",STEYX($E$2:$E$13,$F$2:$F$13))</f>
        <v>0</v>
      </c>
      <c r="BE13">
        <f>IF($E13="","",IF(AND(COUNT($E$14:$E$17)&gt;=4,$C13=MAX($C$9:$C$17)),$C13,""))</f>
        <v>0</v>
      </c>
      <c r="BF13">
        <f>IF($E13="","",IF(AND(COUNT($E$14:$E$17)&gt;=4,$D13=MIN($D$9:$D$17)),$D13,""))</f>
        <v>0</v>
      </c>
      <c r="BG13">
        <f>IF($A13="","",$A13-WEEKDAY($A13,2)+1)</f>
        <v>0</v>
      </c>
      <c r="BH13">
        <f>IF($A13="","",IF($A12="",1,IF(BG13&lt;&gt;BG12,1,0)))</f>
        <v>0</v>
      </c>
      <c r="BI13">
        <f>IF($A13="","",IF($A14="",1,IF(BG14&lt;&gt;BG13,1,0)))</f>
        <v>0</v>
      </c>
      <c r="BJ13">
        <f>IF($A13="","",IF(BH13=1,$B13,BJ12))</f>
        <v>0</v>
      </c>
      <c r="BK13">
        <f>IF($A13="","",IF(BH13=1,$C13,MAX($C13,BK12)))</f>
        <v>0</v>
      </c>
      <c r="BL13">
        <f>IF($A13="","",IF(BH13=1,$D13,MIN($D13,BL12)))</f>
        <v>0</v>
      </c>
      <c r="BM13">
        <f>IF($A13="","",IF(BI13=1,F13,""))</f>
        <v>0</v>
      </c>
      <c r="BN13">
        <f>IF($A13="","",DATE(YEAR($A13),MONTH($A13),1))</f>
        <v>0</v>
      </c>
      <c r="BO13">
        <f>IF($A13="","",IF($A12="",1,IF(BN13&lt;&gt;BN12,1,0)))</f>
        <v>0</v>
      </c>
      <c r="BP13">
        <f>IF($A13="","",IF($A14="",1,IF(BN14&lt;&gt;BN13,1,0)))</f>
        <v>0</v>
      </c>
      <c r="BQ13">
        <f>IF($A13="","",IF(BO13=1,$B13,BQ12))</f>
        <v>0</v>
      </c>
      <c r="BR13">
        <f>IF($A13="","",IF(BO13=1,$C13,MAX($C13,BR12)))</f>
        <v>0</v>
      </c>
      <c r="BS13">
        <f>IF($A13="","",IF(BO13=1,$D13,MIN($D13,BS12)))</f>
        <v>0</v>
      </c>
      <c r="BT13">
        <f>IF($A13="","",IF(BP13=1,F13,""))</f>
        <v>0</v>
      </c>
    </row>
    <row r="14" spans="1:72">
      <c r="A14" s="27">
        <f>IF(Data!$A14="","",Data!$A14)</f>
        <v>0</v>
      </c>
      <c r="B14">
        <f>IF(Data!$B14="","",Data!$B14)</f>
        <v>0</v>
      </c>
      <c r="C14">
        <f>IF(Data!$C14="","",Data!$C14)</f>
        <v>0</v>
      </c>
      <c r="D14">
        <f>IF(Data!$D14="","",Data!$D14)</f>
        <v>0</v>
      </c>
      <c r="E14">
        <f>IF(Data!$E14="","",Data!$E14)</f>
        <v>0</v>
      </c>
      <c r="F14">
        <f>IF($E14="","",N(F13)+1)</f>
        <v>0</v>
      </c>
      <c r="G14">
        <f>IF(OR($E14="",$E13=""),"",LN($E14/$E13))</f>
        <v>0</v>
      </c>
      <c r="H14">
        <f>IF($E14="","",IF($E13="",$E14,$E14*0.0952380952+H13*0.9047619048))</f>
        <v>0</v>
      </c>
      <c r="I14">
        <f>IF($E14="","",IF($E13="",$E14,$E14*0.0392156863+I13*0.9607843137))</f>
        <v>0</v>
      </c>
      <c r="J14">
        <f>IF($E14="","",IF($E13="",$E14,$E14*0.0198019802+J13*0.9801980198))</f>
        <v>0</v>
      </c>
      <c r="K14">
        <f>IF($E14="","",IF($E13="",$E14,$E14*0.0099502488+K13*0.9900497512))</f>
        <v>0</v>
      </c>
      <c r="L14">
        <f>IF(OR($E14="",$E13=""),"",MAX($E14-$E13,0))</f>
        <v>0</v>
      </c>
      <c r="M14">
        <f>IF(OR($E14="",$E13=""),"",MAX($E13-$E14,0))</f>
        <v>0</v>
      </c>
      <c r="N14">
        <f>IF(COUNT($E$2:$E14)&lt;15,"",IF(AVERAGE($M$2:$M$14)=0,100,100-100/(1+AVERAGE($L$2:$L$14)/AVERAGE($M$2:$M$14))))</f>
        <v>0</v>
      </c>
      <c r="O14">
        <f>IF($E14="","",IF($E13="",$E14,$E14*0.1538461538+O13*0.8461538462))</f>
        <v>0</v>
      </c>
      <c r="P14">
        <f>IF($E14="","",IF($E13="",$E14,$E14*0.0740740741+P13*0.9259259259))</f>
        <v>0</v>
      </c>
      <c r="Q14">
        <f>IF(OR(O14="",P14=""),"",O14-P14)</f>
        <v>0</v>
      </c>
      <c r="R14">
        <f>IF(Q14="","",IF(R13="",Q14,Q14*0.2000000000+R13*0.8000000000))</f>
        <v>0</v>
      </c>
      <c r="S14">
        <f>IF(OR(Q14="",R14=""),"",Q14-R14)</f>
        <v>0</v>
      </c>
      <c r="T14">
        <f>IF(COUNT($E$2:$E14)&lt;14,"",MAX($C$2:$C$14))</f>
        <v>0</v>
      </c>
      <c r="U14">
        <f>IF(COUNT($E$2:$E14)&lt;14,"",MIN($D$2:$D$14))</f>
        <v>0</v>
      </c>
      <c r="V14">
        <f>IF(OR(T14="",U14="",T14=U14),"",100*($E14-U14)/(T14-U14))</f>
        <v>0</v>
      </c>
      <c r="W14">
        <f>IF(COUNT($V$12:$V$14)&lt;3,"",AVERAGE($V$12:$V$14))</f>
        <v>0</v>
      </c>
      <c r="X14">
        <f>IF(COUNT($N$2:$N$14)&lt;14,"",MIN($N$2:$N$14))</f>
        <v>0</v>
      </c>
      <c r="Y14">
        <f>IF(COUNT($N$2:$N$14)&lt;14,"",MAX($N$2:$N$14))</f>
        <v>0</v>
      </c>
      <c r="Z14">
        <f>IF(OR(N14="",X14="",Y14="",Y14=X14),"",100*(N14-X14)/(Y14-X14))</f>
        <v>0</v>
      </c>
      <c r="AA14">
        <f>IF(COUNT($Z$12:$Z$14)&lt;3,"",AVERAGE($Z$12:$Z$14))</f>
        <v>0</v>
      </c>
      <c r="AB14">
        <f>IF(COUNT($AA$12:$AA$14)&lt;3,"",AVERAGE($AA$12:$AA$14))</f>
        <v>0</v>
      </c>
      <c r="AC14">
        <f>IF($E14="","",MAX($C14-$D14,ABS($C14-$E13),ABS($D14-$E13)))</f>
        <v>0</v>
      </c>
      <c r="AD14">
        <f>IF(COUNT($E$2:$E14)&lt;15,"",AVERAGE($AC$2:$AC$14))</f>
        <v>0</v>
      </c>
      <c r="AE14">
        <f>IF(OR($E14="",$E13=""),"",IF(AND(($C14-$C13)&gt;($D13-$D14),($C14-$C13)&gt;0),$C14-$C13,0))</f>
        <v>0</v>
      </c>
      <c r="AF14">
        <f>IF(OR($E14="",$E13=""),"",IF(AND(($D13-$D14)&gt;($C14-$C13),($D13-$D14)&gt;0),$D13-$D14,0))</f>
        <v>0</v>
      </c>
      <c r="AG14">
        <f>IF(COUNT($E$2:$E14)&lt;15,"",IF(SUM($AC$2:$AC$14)=0,0,100*SUM($AE$2:$AE$14)/SUM($AC$2:$AC$14)))</f>
        <v>0</v>
      </c>
      <c r="AH14">
        <f>IF(COUNT($E$2:$E14)&lt;15,"",IF(SUM($AC$2:$AC$14)=0,0,100*SUM($AF$2:$AF$14)/SUM($AC$2:$AC$14)))</f>
        <v>0</v>
      </c>
      <c r="AI14">
        <f>IF(OR(AG14="",AH14=""),"",IF((AG14+AH14)=0,0,100*ABS(AG14-AH14)/(AG14+AH14)))</f>
        <v>0</v>
      </c>
      <c r="AJ14">
        <f>IF(COUNT($AI$2:$AI$14)&lt;14,"",AVERAGE($AI$2:$AI$14))</f>
        <v>0</v>
      </c>
      <c r="AK14">
        <f>IF(COUNT($E$2:$E14)&lt;20,"",AVERAGE($E$2:$E$14))</f>
        <v>0</v>
      </c>
      <c r="AL14">
        <f>IF(COUNT($E$2:$E14)&lt;20,"",STDEVP($E$2:$E$14))</f>
        <v>0</v>
      </c>
      <c r="AM14">
        <f>IF(AK14="","",AK14+2*AL14)</f>
        <v>0</v>
      </c>
      <c r="AN14">
        <f>IF(AK14="","",AK14-2*AL14)</f>
        <v>0</v>
      </c>
      <c r="AO14">
        <f>IF(OR(AM14="",AN14="",AM14=AN14),"",($E14-AN14)/(AM14-AN14))</f>
        <v>0</v>
      </c>
      <c r="AP14">
        <f>IF(OR(AM14="",AK14="",AK14=0),"",(AM14-AN14)/AK14)</f>
        <v>0</v>
      </c>
      <c r="AQ14">
        <f>IF(COUNT($E$2:$E14)&lt;20,"",MAX($C$2:$C$14))</f>
        <v>0</v>
      </c>
      <c r="AR14">
        <f>IF(COUNT($E$2:$E14)&lt;20,"",MIN($D$2:$D$14))</f>
        <v>0</v>
      </c>
      <c r="AS14">
        <f>IF(OR(AQ14="",AR14=""),"",(AQ14+AR14)/2)</f>
        <v>0</v>
      </c>
      <c r="AT14">
        <f>IF(COUNT($G$2:$G$14)&lt;20,"",STDEV($G$2:$G$14)*SQRT(252))</f>
        <v>0</v>
      </c>
      <c r="AU14">
        <f>IF(COUNT($E$2:$E14)&lt;9,"",(MAX($C$6:$C$14)+MIN($D$6:$D$14))/2)</f>
        <v>0</v>
      </c>
      <c r="AV14">
        <f>IF(COUNT($E$2:$E14)&lt;26,"",(MAX($C$2:$C$14)+MIN($D$2:$D$14))/2)</f>
        <v>0</v>
      </c>
      <c r="AW14">
        <f>IF(OR(AU14="",AV14=""),"",(AU14+AV14)/2)</f>
        <v>0</v>
      </c>
      <c r="AX14">
        <f>IF(COUNT($E$2:$E14)&lt;52,"",(MAX($C$2:$C$14)+MIN($D$2:$D$14))/2)</f>
        <v>0</v>
      </c>
      <c r="AY14">
        <f>IF(COUNT($E$2:$E14)&lt;20,"",MAX($C$2:$C$14))</f>
        <v>0</v>
      </c>
      <c r="AZ14">
        <f>IF(COUNT($E$2:$E14)&lt;20,"",MIN($D$2:$D$14))</f>
        <v>0</v>
      </c>
      <c r="BA14">
        <f>IF(COUNT($E$2:$E14)&lt;20,"",SLOPE($E$2:$E$14,$F$2:$F$14))</f>
        <v>0</v>
      </c>
      <c r="BB14">
        <f>IF(COUNT($E$2:$E14)&lt;20,"",INTERCEPT($E$2:$E$14,$F$2:$F$14))</f>
        <v>0</v>
      </c>
      <c r="BC14">
        <f>IF(OR(BA14="",BB14=""),"",BB14+BA14*F14)</f>
        <v>0</v>
      </c>
      <c r="BD14">
        <f>IF(COUNT($E$2:$E14)&lt;20,"",STEYX($E$2:$E$14,$F$2:$F$14))</f>
        <v>0</v>
      </c>
      <c r="BE14">
        <f>IF($E14="","",IF(AND(COUNT($E$15:$E$18)&gt;=4,$C14=MAX($C$10:$C$18)),$C14,""))</f>
        <v>0</v>
      </c>
      <c r="BF14">
        <f>IF($E14="","",IF(AND(COUNT($E$15:$E$18)&gt;=4,$D14=MIN($D$10:$D$18)),$D14,""))</f>
        <v>0</v>
      </c>
      <c r="BG14">
        <f>IF($A14="","",$A14-WEEKDAY($A14,2)+1)</f>
        <v>0</v>
      </c>
      <c r="BH14">
        <f>IF($A14="","",IF($A13="",1,IF(BG14&lt;&gt;BG13,1,0)))</f>
        <v>0</v>
      </c>
      <c r="BI14">
        <f>IF($A14="","",IF($A15="",1,IF(BG15&lt;&gt;BG14,1,0)))</f>
        <v>0</v>
      </c>
      <c r="BJ14">
        <f>IF($A14="","",IF(BH14=1,$B14,BJ13))</f>
        <v>0</v>
      </c>
      <c r="BK14">
        <f>IF($A14="","",IF(BH14=1,$C14,MAX($C14,BK13)))</f>
        <v>0</v>
      </c>
      <c r="BL14">
        <f>IF($A14="","",IF(BH14=1,$D14,MIN($D14,BL13)))</f>
        <v>0</v>
      </c>
      <c r="BM14">
        <f>IF($A14="","",IF(BI14=1,F14,""))</f>
        <v>0</v>
      </c>
      <c r="BN14">
        <f>IF($A14="","",DATE(YEAR($A14),MONTH($A14),1))</f>
        <v>0</v>
      </c>
      <c r="BO14">
        <f>IF($A14="","",IF($A13="",1,IF(BN14&lt;&gt;BN13,1,0)))</f>
        <v>0</v>
      </c>
      <c r="BP14">
        <f>IF($A14="","",IF($A15="",1,IF(BN15&lt;&gt;BN14,1,0)))</f>
        <v>0</v>
      </c>
      <c r="BQ14">
        <f>IF($A14="","",IF(BO14=1,$B14,BQ13))</f>
        <v>0</v>
      </c>
      <c r="BR14">
        <f>IF($A14="","",IF(BO14=1,$C14,MAX($C14,BR13)))</f>
        <v>0</v>
      </c>
      <c r="BS14">
        <f>IF($A14="","",IF(BO14=1,$D14,MIN($D14,BS13)))</f>
        <v>0</v>
      </c>
      <c r="BT14">
        <f>IF($A14="","",IF(BP14=1,F14,""))</f>
        <v>0</v>
      </c>
    </row>
    <row r="15" spans="1:72">
      <c r="A15" s="27">
        <f>IF(Data!$A15="","",Data!$A15)</f>
        <v>0</v>
      </c>
      <c r="B15">
        <f>IF(Data!$B15="","",Data!$B15)</f>
        <v>0</v>
      </c>
      <c r="C15">
        <f>IF(Data!$C15="","",Data!$C15)</f>
        <v>0</v>
      </c>
      <c r="D15">
        <f>IF(Data!$D15="","",Data!$D15)</f>
        <v>0</v>
      </c>
      <c r="E15">
        <f>IF(Data!$E15="","",Data!$E15)</f>
        <v>0</v>
      </c>
      <c r="F15">
        <f>IF($E15="","",N(F14)+1)</f>
        <v>0</v>
      </c>
      <c r="G15">
        <f>IF(OR($E15="",$E14=""),"",LN($E15/$E14))</f>
        <v>0</v>
      </c>
      <c r="H15">
        <f>IF($E15="","",IF($E14="",$E15,$E15*0.0952380952+H14*0.9047619048))</f>
        <v>0</v>
      </c>
      <c r="I15">
        <f>IF($E15="","",IF($E14="",$E15,$E15*0.0392156863+I14*0.9607843137))</f>
        <v>0</v>
      </c>
      <c r="J15">
        <f>IF($E15="","",IF($E14="",$E15,$E15*0.0198019802+J14*0.9801980198))</f>
        <v>0</v>
      </c>
      <c r="K15">
        <f>IF($E15="","",IF($E14="",$E15,$E15*0.0099502488+K14*0.9900497512))</f>
        <v>0</v>
      </c>
      <c r="L15">
        <f>IF(OR($E15="",$E14=""),"",MAX($E15-$E14,0))</f>
        <v>0</v>
      </c>
      <c r="M15">
        <f>IF(OR($E15="",$E14=""),"",MAX($E14-$E15,0))</f>
        <v>0</v>
      </c>
      <c r="N15">
        <f>IF(COUNT($E$2:$E15)&lt;15,"",IF(AVERAGE($M$2:$M$15)=0,100,100-100/(1+AVERAGE($L$2:$L$15)/AVERAGE($M$2:$M$15))))</f>
        <v>0</v>
      </c>
      <c r="O15">
        <f>IF($E15="","",IF($E14="",$E15,$E15*0.1538461538+O14*0.8461538462))</f>
        <v>0</v>
      </c>
      <c r="P15">
        <f>IF($E15="","",IF($E14="",$E15,$E15*0.0740740741+P14*0.9259259259))</f>
        <v>0</v>
      </c>
      <c r="Q15">
        <f>IF(OR(O15="",P15=""),"",O15-P15)</f>
        <v>0</v>
      </c>
      <c r="R15">
        <f>IF(Q15="","",IF(R14="",Q15,Q15*0.2000000000+R14*0.8000000000))</f>
        <v>0</v>
      </c>
      <c r="S15">
        <f>IF(OR(Q15="",R15=""),"",Q15-R15)</f>
        <v>0</v>
      </c>
      <c r="T15">
        <f>IF(COUNT($E$2:$E15)&lt;14,"",MAX($C$2:$C$15))</f>
        <v>0</v>
      </c>
      <c r="U15">
        <f>IF(COUNT($E$2:$E15)&lt;14,"",MIN($D$2:$D$15))</f>
        <v>0</v>
      </c>
      <c r="V15">
        <f>IF(OR(T15="",U15="",T15=U15),"",100*($E15-U15)/(T15-U15))</f>
        <v>0</v>
      </c>
      <c r="W15">
        <f>IF(COUNT($V$13:$V$15)&lt;3,"",AVERAGE($V$13:$V$15))</f>
        <v>0</v>
      </c>
      <c r="X15">
        <f>IF(COUNT($N$2:$N$15)&lt;14,"",MIN($N$2:$N$15))</f>
        <v>0</v>
      </c>
      <c r="Y15">
        <f>IF(COUNT($N$2:$N$15)&lt;14,"",MAX($N$2:$N$15))</f>
        <v>0</v>
      </c>
      <c r="Z15">
        <f>IF(OR(N15="",X15="",Y15="",Y15=X15),"",100*(N15-X15)/(Y15-X15))</f>
        <v>0</v>
      </c>
      <c r="AA15">
        <f>IF(COUNT($Z$13:$Z$15)&lt;3,"",AVERAGE($Z$13:$Z$15))</f>
        <v>0</v>
      </c>
      <c r="AB15">
        <f>IF(COUNT($AA$13:$AA$15)&lt;3,"",AVERAGE($AA$13:$AA$15))</f>
        <v>0</v>
      </c>
      <c r="AC15">
        <f>IF($E15="","",MAX($C15-$D15,ABS($C15-$E14),ABS($D15-$E14)))</f>
        <v>0</v>
      </c>
      <c r="AD15">
        <f>IF(COUNT($E$2:$E15)&lt;15,"",AVERAGE($AC$2:$AC$15))</f>
        <v>0</v>
      </c>
      <c r="AE15">
        <f>IF(OR($E15="",$E14=""),"",IF(AND(($C15-$C14)&gt;($D14-$D15),($C15-$C14)&gt;0),$C15-$C14,0))</f>
        <v>0</v>
      </c>
      <c r="AF15">
        <f>IF(OR($E15="",$E14=""),"",IF(AND(($D14-$D15)&gt;($C15-$C14),($D14-$D15)&gt;0),$D14-$D15,0))</f>
        <v>0</v>
      </c>
      <c r="AG15">
        <f>IF(COUNT($E$2:$E15)&lt;15,"",IF(SUM($AC$2:$AC$15)=0,0,100*SUM($AE$2:$AE$15)/SUM($AC$2:$AC$15)))</f>
        <v>0</v>
      </c>
      <c r="AH15">
        <f>IF(COUNT($E$2:$E15)&lt;15,"",IF(SUM($AC$2:$AC$15)=0,0,100*SUM($AF$2:$AF$15)/SUM($AC$2:$AC$15)))</f>
        <v>0</v>
      </c>
      <c r="AI15">
        <f>IF(OR(AG15="",AH15=""),"",IF((AG15+AH15)=0,0,100*ABS(AG15-AH15)/(AG15+AH15)))</f>
        <v>0</v>
      </c>
      <c r="AJ15">
        <f>IF(COUNT($AI$2:$AI$15)&lt;14,"",AVERAGE($AI$2:$AI$15))</f>
        <v>0</v>
      </c>
      <c r="AK15">
        <f>IF(COUNT($E$2:$E15)&lt;20,"",AVERAGE($E$2:$E$15))</f>
        <v>0</v>
      </c>
      <c r="AL15">
        <f>IF(COUNT($E$2:$E15)&lt;20,"",STDEVP($E$2:$E$15))</f>
        <v>0</v>
      </c>
      <c r="AM15">
        <f>IF(AK15="","",AK15+2*AL15)</f>
        <v>0</v>
      </c>
      <c r="AN15">
        <f>IF(AK15="","",AK15-2*AL15)</f>
        <v>0</v>
      </c>
      <c r="AO15">
        <f>IF(OR(AM15="",AN15="",AM15=AN15),"",($E15-AN15)/(AM15-AN15))</f>
        <v>0</v>
      </c>
      <c r="AP15">
        <f>IF(OR(AM15="",AK15="",AK15=0),"",(AM15-AN15)/AK15)</f>
        <v>0</v>
      </c>
      <c r="AQ15">
        <f>IF(COUNT($E$2:$E15)&lt;20,"",MAX($C$2:$C$15))</f>
        <v>0</v>
      </c>
      <c r="AR15">
        <f>IF(COUNT($E$2:$E15)&lt;20,"",MIN($D$2:$D$15))</f>
        <v>0</v>
      </c>
      <c r="AS15">
        <f>IF(OR(AQ15="",AR15=""),"",(AQ15+AR15)/2)</f>
        <v>0</v>
      </c>
      <c r="AT15">
        <f>IF(COUNT($G$2:$G$15)&lt;20,"",STDEV($G$2:$G$15)*SQRT(252))</f>
        <v>0</v>
      </c>
      <c r="AU15">
        <f>IF(COUNT($E$2:$E15)&lt;9,"",(MAX($C$7:$C$15)+MIN($D$7:$D$15))/2)</f>
        <v>0</v>
      </c>
      <c r="AV15">
        <f>IF(COUNT($E$2:$E15)&lt;26,"",(MAX($C$2:$C$15)+MIN($D$2:$D$15))/2)</f>
        <v>0</v>
      </c>
      <c r="AW15">
        <f>IF(OR(AU15="",AV15=""),"",(AU15+AV15)/2)</f>
        <v>0</v>
      </c>
      <c r="AX15">
        <f>IF(COUNT($E$2:$E15)&lt;52,"",(MAX($C$2:$C$15)+MIN($D$2:$D$15))/2)</f>
        <v>0</v>
      </c>
      <c r="AY15">
        <f>IF(COUNT($E$2:$E15)&lt;20,"",MAX($C$2:$C$15))</f>
        <v>0</v>
      </c>
      <c r="AZ15">
        <f>IF(COUNT($E$2:$E15)&lt;20,"",MIN($D$2:$D$15))</f>
        <v>0</v>
      </c>
      <c r="BA15">
        <f>IF(COUNT($E$2:$E15)&lt;20,"",SLOPE($E$2:$E$15,$F$2:$F$15))</f>
        <v>0</v>
      </c>
      <c r="BB15">
        <f>IF(COUNT($E$2:$E15)&lt;20,"",INTERCEPT($E$2:$E$15,$F$2:$F$15))</f>
        <v>0</v>
      </c>
      <c r="BC15">
        <f>IF(OR(BA15="",BB15=""),"",BB15+BA15*F15)</f>
        <v>0</v>
      </c>
      <c r="BD15">
        <f>IF(COUNT($E$2:$E15)&lt;20,"",STEYX($E$2:$E$15,$F$2:$F$15))</f>
        <v>0</v>
      </c>
      <c r="BE15">
        <f>IF($E15="","",IF(AND(COUNT($E$16:$E$19)&gt;=4,$C15=MAX($C$11:$C$19)),$C15,""))</f>
        <v>0</v>
      </c>
      <c r="BF15">
        <f>IF($E15="","",IF(AND(COUNT($E$16:$E$19)&gt;=4,$D15=MIN($D$11:$D$19)),$D15,""))</f>
        <v>0</v>
      </c>
      <c r="BG15">
        <f>IF($A15="","",$A15-WEEKDAY($A15,2)+1)</f>
        <v>0</v>
      </c>
      <c r="BH15">
        <f>IF($A15="","",IF($A14="",1,IF(BG15&lt;&gt;BG14,1,0)))</f>
        <v>0</v>
      </c>
      <c r="BI15">
        <f>IF($A15="","",IF($A16="",1,IF(BG16&lt;&gt;BG15,1,0)))</f>
        <v>0</v>
      </c>
      <c r="BJ15">
        <f>IF($A15="","",IF(BH15=1,$B15,BJ14))</f>
        <v>0</v>
      </c>
      <c r="BK15">
        <f>IF($A15="","",IF(BH15=1,$C15,MAX($C15,BK14)))</f>
        <v>0</v>
      </c>
      <c r="BL15">
        <f>IF($A15="","",IF(BH15=1,$D15,MIN($D15,BL14)))</f>
        <v>0</v>
      </c>
      <c r="BM15">
        <f>IF($A15="","",IF(BI15=1,F15,""))</f>
        <v>0</v>
      </c>
      <c r="BN15">
        <f>IF($A15="","",DATE(YEAR($A15),MONTH($A15),1))</f>
        <v>0</v>
      </c>
      <c r="BO15">
        <f>IF($A15="","",IF($A14="",1,IF(BN15&lt;&gt;BN14,1,0)))</f>
        <v>0</v>
      </c>
      <c r="BP15">
        <f>IF($A15="","",IF($A16="",1,IF(BN16&lt;&gt;BN15,1,0)))</f>
        <v>0</v>
      </c>
      <c r="BQ15">
        <f>IF($A15="","",IF(BO15=1,$B15,BQ14))</f>
        <v>0</v>
      </c>
      <c r="BR15">
        <f>IF($A15="","",IF(BO15=1,$C15,MAX($C15,BR14)))</f>
        <v>0</v>
      </c>
      <c r="BS15">
        <f>IF($A15="","",IF(BO15=1,$D15,MIN($D15,BS14)))</f>
        <v>0</v>
      </c>
      <c r="BT15">
        <f>IF($A15="","",IF(BP15=1,F15,""))</f>
        <v>0</v>
      </c>
    </row>
    <row r="16" spans="1:72">
      <c r="A16" s="27">
        <f>IF(Data!$A16="","",Data!$A16)</f>
        <v>0</v>
      </c>
      <c r="B16">
        <f>IF(Data!$B16="","",Data!$B16)</f>
        <v>0</v>
      </c>
      <c r="C16">
        <f>IF(Data!$C16="","",Data!$C16)</f>
        <v>0</v>
      </c>
      <c r="D16">
        <f>IF(Data!$D16="","",Data!$D16)</f>
        <v>0</v>
      </c>
      <c r="E16">
        <f>IF(Data!$E16="","",Data!$E16)</f>
        <v>0</v>
      </c>
      <c r="F16">
        <f>IF($E16="","",N(F15)+1)</f>
        <v>0</v>
      </c>
      <c r="G16">
        <f>IF(OR($E16="",$E15=""),"",LN($E16/$E15))</f>
        <v>0</v>
      </c>
      <c r="H16">
        <f>IF($E16="","",IF($E15="",$E16,$E16*0.0952380952+H15*0.9047619048))</f>
        <v>0</v>
      </c>
      <c r="I16">
        <f>IF($E16="","",IF($E15="",$E16,$E16*0.0392156863+I15*0.9607843137))</f>
        <v>0</v>
      </c>
      <c r="J16">
        <f>IF($E16="","",IF($E15="",$E16,$E16*0.0198019802+J15*0.9801980198))</f>
        <v>0</v>
      </c>
      <c r="K16">
        <f>IF($E16="","",IF($E15="",$E16,$E16*0.0099502488+K15*0.9900497512))</f>
        <v>0</v>
      </c>
      <c r="L16">
        <f>IF(OR($E16="",$E15=""),"",MAX($E16-$E15,0))</f>
        <v>0</v>
      </c>
      <c r="M16">
        <f>IF(OR($E16="",$E15=""),"",MAX($E15-$E16,0))</f>
        <v>0</v>
      </c>
      <c r="N16">
        <f>IF(COUNT($E$2:$E16)&lt;15,"",IF(AVERAGE($M$3:$M$16)=0,100,100-100/(1+AVERAGE($L$3:$L$16)/AVERAGE($M$3:$M$16))))</f>
        <v>0</v>
      </c>
      <c r="O16">
        <f>IF($E16="","",IF($E15="",$E16,$E16*0.1538461538+O15*0.8461538462))</f>
        <v>0</v>
      </c>
      <c r="P16">
        <f>IF($E16="","",IF($E15="",$E16,$E16*0.0740740741+P15*0.9259259259))</f>
        <v>0</v>
      </c>
      <c r="Q16">
        <f>IF(OR(O16="",P16=""),"",O16-P16)</f>
        <v>0</v>
      </c>
      <c r="R16">
        <f>IF(Q16="","",IF(R15="",Q16,Q16*0.2000000000+R15*0.8000000000))</f>
        <v>0</v>
      </c>
      <c r="S16">
        <f>IF(OR(Q16="",R16=""),"",Q16-R16)</f>
        <v>0</v>
      </c>
      <c r="T16">
        <f>IF(COUNT($E$2:$E16)&lt;14,"",MAX($C$3:$C$16))</f>
        <v>0</v>
      </c>
      <c r="U16">
        <f>IF(COUNT($E$2:$E16)&lt;14,"",MIN($D$3:$D$16))</f>
        <v>0</v>
      </c>
      <c r="V16">
        <f>IF(OR(T16="",U16="",T16=U16),"",100*($E16-U16)/(T16-U16))</f>
        <v>0</v>
      </c>
      <c r="W16">
        <f>IF(COUNT($V$14:$V$16)&lt;3,"",AVERAGE($V$14:$V$16))</f>
        <v>0</v>
      </c>
      <c r="X16">
        <f>IF(COUNT($N$3:$N$16)&lt;14,"",MIN($N$3:$N$16))</f>
        <v>0</v>
      </c>
      <c r="Y16">
        <f>IF(COUNT($N$3:$N$16)&lt;14,"",MAX($N$3:$N$16))</f>
        <v>0</v>
      </c>
      <c r="Z16">
        <f>IF(OR(N16="",X16="",Y16="",Y16=X16),"",100*(N16-X16)/(Y16-X16))</f>
        <v>0</v>
      </c>
      <c r="AA16">
        <f>IF(COUNT($Z$14:$Z$16)&lt;3,"",AVERAGE($Z$14:$Z$16))</f>
        <v>0</v>
      </c>
      <c r="AB16">
        <f>IF(COUNT($AA$14:$AA$16)&lt;3,"",AVERAGE($AA$14:$AA$16))</f>
        <v>0</v>
      </c>
      <c r="AC16">
        <f>IF($E16="","",MAX($C16-$D16,ABS($C16-$E15),ABS($D16-$E15)))</f>
        <v>0</v>
      </c>
      <c r="AD16">
        <f>IF(COUNT($E$2:$E16)&lt;15,"",AVERAGE($AC$3:$AC$16))</f>
        <v>0</v>
      </c>
      <c r="AE16">
        <f>IF(OR($E16="",$E15=""),"",IF(AND(($C16-$C15)&gt;($D15-$D16),($C16-$C15)&gt;0),$C16-$C15,0))</f>
        <v>0</v>
      </c>
      <c r="AF16">
        <f>IF(OR($E16="",$E15=""),"",IF(AND(($D15-$D16)&gt;($C16-$C15),($D15-$D16)&gt;0),$D15-$D16,0))</f>
        <v>0</v>
      </c>
      <c r="AG16">
        <f>IF(COUNT($E$2:$E16)&lt;15,"",IF(SUM($AC$3:$AC$16)=0,0,100*SUM($AE$3:$AE$16)/SUM($AC$3:$AC$16)))</f>
        <v>0</v>
      </c>
      <c r="AH16">
        <f>IF(COUNT($E$2:$E16)&lt;15,"",IF(SUM($AC$3:$AC$16)=0,0,100*SUM($AF$3:$AF$16)/SUM($AC$3:$AC$16)))</f>
        <v>0</v>
      </c>
      <c r="AI16">
        <f>IF(OR(AG16="",AH16=""),"",IF((AG16+AH16)=0,0,100*ABS(AG16-AH16)/(AG16+AH16)))</f>
        <v>0</v>
      </c>
      <c r="AJ16">
        <f>IF(COUNT($AI$3:$AI$16)&lt;14,"",AVERAGE($AI$3:$AI$16))</f>
        <v>0</v>
      </c>
      <c r="AK16">
        <f>IF(COUNT($E$2:$E16)&lt;20,"",AVERAGE($E$2:$E$16))</f>
        <v>0</v>
      </c>
      <c r="AL16">
        <f>IF(COUNT($E$2:$E16)&lt;20,"",STDEVP($E$2:$E$16))</f>
        <v>0</v>
      </c>
      <c r="AM16">
        <f>IF(AK16="","",AK16+2*AL16)</f>
        <v>0</v>
      </c>
      <c r="AN16">
        <f>IF(AK16="","",AK16-2*AL16)</f>
        <v>0</v>
      </c>
      <c r="AO16">
        <f>IF(OR(AM16="",AN16="",AM16=AN16),"",($E16-AN16)/(AM16-AN16))</f>
        <v>0</v>
      </c>
      <c r="AP16">
        <f>IF(OR(AM16="",AK16="",AK16=0),"",(AM16-AN16)/AK16)</f>
        <v>0</v>
      </c>
      <c r="AQ16">
        <f>IF(COUNT($E$2:$E16)&lt;20,"",MAX($C$2:$C$16))</f>
        <v>0</v>
      </c>
      <c r="AR16">
        <f>IF(COUNT($E$2:$E16)&lt;20,"",MIN($D$2:$D$16))</f>
        <v>0</v>
      </c>
      <c r="AS16">
        <f>IF(OR(AQ16="",AR16=""),"",(AQ16+AR16)/2)</f>
        <v>0</v>
      </c>
      <c r="AT16">
        <f>IF(COUNT($G$2:$G$16)&lt;20,"",STDEV($G$2:$G$16)*SQRT(252))</f>
        <v>0</v>
      </c>
      <c r="AU16">
        <f>IF(COUNT($E$2:$E16)&lt;9,"",(MAX($C$8:$C$16)+MIN($D$8:$D$16))/2)</f>
        <v>0</v>
      </c>
      <c r="AV16">
        <f>IF(COUNT($E$2:$E16)&lt;26,"",(MAX($C$2:$C$16)+MIN($D$2:$D$16))/2)</f>
        <v>0</v>
      </c>
      <c r="AW16">
        <f>IF(OR(AU16="",AV16=""),"",(AU16+AV16)/2)</f>
        <v>0</v>
      </c>
      <c r="AX16">
        <f>IF(COUNT($E$2:$E16)&lt;52,"",(MAX($C$2:$C$16)+MIN($D$2:$D$16))/2)</f>
        <v>0</v>
      </c>
      <c r="AY16">
        <f>IF(COUNT($E$2:$E16)&lt;20,"",MAX($C$2:$C$16))</f>
        <v>0</v>
      </c>
      <c r="AZ16">
        <f>IF(COUNT($E$2:$E16)&lt;20,"",MIN($D$2:$D$16))</f>
        <v>0</v>
      </c>
      <c r="BA16">
        <f>IF(COUNT($E$2:$E16)&lt;20,"",SLOPE($E$2:$E$16,$F$2:$F$16))</f>
        <v>0</v>
      </c>
      <c r="BB16">
        <f>IF(COUNT($E$2:$E16)&lt;20,"",INTERCEPT($E$2:$E$16,$F$2:$F$16))</f>
        <v>0</v>
      </c>
      <c r="BC16">
        <f>IF(OR(BA16="",BB16=""),"",BB16+BA16*F16)</f>
        <v>0</v>
      </c>
      <c r="BD16">
        <f>IF(COUNT($E$2:$E16)&lt;20,"",STEYX($E$2:$E$16,$F$2:$F$16))</f>
        <v>0</v>
      </c>
      <c r="BE16">
        <f>IF($E16="","",IF(AND(COUNT($E$17:$E$20)&gt;=4,$C16=MAX($C$12:$C$20)),$C16,""))</f>
        <v>0</v>
      </c>
      <c r="BF16">
        <f>IF($E16="","",IF(AND(COUNT($E$17:$E$20)&gt;=4,$D16=MIN($D$12:$D$20)),$D16,""))</f>
        <v>0</v>
      </c>
      <c r="BG16">
        <f>IF($A16="","",$A16-WEEKDAY($A16,2)+1)</f>
        <v>0</v>
      </c>
      <c r="BH16">
        <f>IF($A16="","",IF($A15="",1,IF(BG16&lt;&gt;BG15,1,0)))</f>
        <v>0</v>
      </c>
      <c r="BI16">
        <f>IF($A16="","",IF($A17="",1,IF(BG17&lt;&gt;BG16,1,0)))</f>
        <v>0</v>
      </c>
      <c r="BJ16">
        <f>IF($A16="","",IF(BH16=1,$B16,BJ15))</f>
        <v>0</v>
      </c>
      <c r="BK16">
        <f>IF($A16="","",IF(BH16=1,$C16,MAX($C16,BK15)))</f>
        <v>0</v>
      </c>
      <c r="BL16">
        <f>IF($A16="","",IF(BH16=1,$D16,MIN($D16,BL15)))</f>
        <v>0</v>
      </c>
      <c r="BM16">
        <f>IF($A16="","",IF(BI16=1,F16,""))</f>
        <v>0</v>
      </c>
      <c r="BN16">
        <f>IF($A16="","",DATE(YEAR($A16),MONTH($A16),1))</f>
        <v>0</v>
      </c>
      <c r="BO16">
        <f>IF($A16="","",IF($A15="",1,IF(BN16&lt;&gt;BN15,1,0)))</f>
        <v>0</v>
      </c>
      <c r="BP16">
        <f>IF($A16="","",IF($A17="",1,IF(BN17&lt;&gt;BN16,1,0)))</f>
        <v>0</v>
      </c>
      <c r="BQ16">
        <f>IF($A16="","",IF(BO16=1,$B16,BQ15))</f>
        <v>0</v>
      </c>
      <c r="BR16">
        <f>IF($A16="","",IF(BO16=1,$C16,MAX($C16,BR15)))</f>
        <v>0</v>
      </c>
      <c r="BS16">
        <f>IF($A16="","",IF(BO16=1,$D16,MIN($D16,BS15)))</f>
        <v>0</v>
      </c>
      <c r="BT16">
        <f>IF($A16="","",IF(BP16=1,F16,""))</f>
        <v>0</v>
      </c>
    </row>
    <row r="17" spans="1:72">
      <c r="A17" s="27">
        <f>IF(Data!$A17="","",Data!$A17)</f>
        <v>0</v>
      </c>
      <c r="B17">
        <f>IF(Data!$B17="","",Data!$B17)</f>
        <v>0</v>
      </c>
      <c r="C17">
        <f>IF(Data!$C17="","",Data!$C17)</f>
        <v>0</v>
      </c>
      <c r="D17">
        <f>IF(Data!$D17="","",Data!$D17)</f>
        <v>0</v>
      </c>
      <c r="E17">
        <f>IF(Data!$E17="","",Data!$E17)</f>
        <v>0</v>
      </c>
      <c r="F17">
        <f>IF($E17="","",N(F16)+1)</f>
        <v>0</v>
      </c>
      <c r="G17">
        <f>IF(OR($E17="",$E16=""),"",LN($E17/$E16))</f>
        <v>0</v>
      </c>
      <c r="H17">
        <f>IF($E17="","",IF($E16="",$E17,$E17*0.0952380952+H16*0.9047619048))</f>
        <v>0</v>
      </c>
      <c r="I17">
        <f>IF($E17="","",IF($E16="",$E17,$E17*0.0392156863+I16*0.9607843137))</f>
        <v>0</v>
      </c>
      <c r="J17">
        <f>IF($E17="","",IF($E16="",$E17,$E17*0.0198019802+J16*0.9801980198))</f>
        <v>0</v>
      </c>
      <c r="K17">
        <f>IF($E17="","",IF($E16="",$E17,$E17*0.0099502488+K16*0.9900497512))</f>
        <v>0</v>
      </c>
      <c r="L17">
        <f>IF(OR($E17="",$E16=""),"",MAX($E17-$E16,0))</f>
        <v>0</v>
      </c>
      <c r="M17">
        <f>IF(OR($E17="",$E16=""),"",MAX($E16-$E17,0))</f>
        <v>0</v>
      </c>
      <c r="N17">
        <f>IF(COUNT($E$2:$E17)&lt;15,"",IF(AVERAGE($M$4:$M$17)=0,100,100-100/(1+AVERAGE($L$4:$L$17)/AVERAGE($M$4:$M$17))))</f>
        <v>0</v>
      </c>
      <c r="O17">
        <f>IF($E17="","",IF($E16="",$E17,$E17*0.1538461538+O16*0.8461538462))</f>
        <v>0</v>
      </c>
      <c r="P17">
        <f>IF($E17="","",IF($E16="",$E17,$E17*0.0740740741+P16*0.9259259259))</f>
        <v>0</v>
      </c>
      <c r="Q17">
        <f>IF(OR(O17="",P17=""),"",O17-P17)</f>
        <v>0</v>
      </c>
      <c r="R17">
        <f>IF(Q17="","",IF(R16="",Q17,Q17*0.2000000000+R16*0.8000000000))</f>
        <v>0</v>
      </c>
      <c r="S17">
        <f>IF(OR(Q17="",R17=""),"",Q17-R17)</f>
        <v>0</v>
      </c>
      <c r="T17">
        <f>IF(COUNT($E$2:$E17)&lt;14,"",MAX($C$4:$C$17))</f>
        <v>0</v>
      </c>
      <c r="U17">
        <f>IF(COUNT($E$2:$E17)&lt;14,"",MIN($D$4:$D$17))</f>
        <v>0</v>
      </c>
      <c r="V17">
        <f>IF(OR(T17="",U17="",T17=U17),"",100*($E17-U17)/(T17-U17))</f>
        <v>0</v>
      </c>
      <c r="W17">
        <f>IF(COUNT($V$15:$V$17)&lt;3,"",AVERAGE($V$15:$V$17))</f>
        <v>0</v>
      </c>
      <c r="X17">
        <f>IF(COUNT($N$4:$N$17)&lt;14,"",MIN($N$4:$N$17))</f>
        <v>0</v>
      </c>
      <c r="Y17">
        <f>IF(COUNT($N$4:$N$17)&lt;14,"",MAX($N$4:$N$17))</f>
        <v>0</v>
      </c>
      <c r="Z17">
        <f>IF(OR(N17="",X17="",Y17="",Y17=X17),"",100*(N17-X17)/(Y17-X17))</f>
        <v>0</v>
      </c>
      <c r="AA17">
        <f>IF(COUNT($Z$15:$Z$17)&lt;3,"",AVERAGE($Z$15:$Z$17))</f>
        <v>0</v>
      </c>
      <c r="AB17">
        <f>IF(COUNT($AA$15:$AA$17)&lt;3,"",AVERAGE($AA$15:$AA$17))</f>
        <v>0</v>
      </c>
      <c r="AC17">
        <f>IF($E17="","",MAX($C17-$D17,ABS($C17-$E16),ABS($D17-$E16)))</f>
        <v>0</v>
      </c>
      <c r="AD17">
        <f>IF(COUNT($E$2:$E17)&lt;15,"",AVERAGE($AC$4:$AC$17))</f>
        <v>0</v>
      </c>
      <c r="AE17">
        <f>IF(OR($E17="",$E16=""),"",IF(AND(($C17-$C16)&gt;($D16-$D17),($C17-$C16)&gt;0),$C17-$C16,0))</f>
        <v>0</v>
      </c>
      <c r="AF17">
        <f>IF(OR($E17="",$E16=""),"",IF(AND(($D16-$D17)&gt;($C17-$C16),($D16-$D17)&gt;0),$D16-$D17,0))</f>
        <v>0</v>
      </c>
      <c r="AG17">
        <f>IF(COUNT($E$2:$E17)&lt;15,"",IF(SUM($AC$4:$AC$17)=0,0,100*SUM($AE$4:$AE$17)/SUM($AC$4:$AC$17)))</f>
        <v>0</v>
      </c>
      <c r="AH17">
        <f>IF(COUNT($E$2:$E17)&lt;15,"",IF(SUM($AC$4:$AC$17)=0,0,100*SUM($AF$4:$AF$17)/SUM($AC$4:$AC$17)))</f>
        <v>0</v>
      </c>
      <c r="AI17">
        <f>IF(OR(AG17="",AH17=""),"",IF((AG17+AH17)=0,0,100*ABS(AG17-AH17)/(AG17+AH17)))</f>
        <v>0</v>
      </c>
      <c r="AJ17">
        <f>IF(COUNT($AI$4:$AI$17)&lt;14,"",AVERAGE($AI$4:$AI$17))</f>
        <v>0</v>
      </c>
      <c r="AK17">
        <f>IF(COUNT($E$2:$E17)&lt;20,"",AVERAGE($E$2:$E$17))</f>
        <v>0</v>
      </c>
      <c r="AL17">
        <f>IF(COUNT($E$2:$E17)&lt;20,"",STDEVP($E$2:$E$17))</f>
        <v>0</v>
      </c>
      <c r="AM17">
        <f>IF(AK17="","",AK17+2*AL17)</f>
        <v>0</v>
      </c>
      <c r="AN17">
        <f>IF(AK17="","",AK17-2*AL17)</f>
        <v>0</v>
      </c>
      <c r="AO17">
        <f>IF(OR(AM17="",AN17="",AM17=AN17),"",($E17-AN17)/(AM17-AN17))</f>
        <v>0</v>
      </c>
      <c r="AP17">
        <f>IF(OR(AM17="",AK17="",AK17=0),"",(AM17-AN17)/AK17)</f>
        <v>0</v>
      </c>
      <c r="AQ17">
        <f>IF(COUNT($E$2:$E17)&lt;20,"",MAX($C$2:$C$17))</f>
        <v>0</v>
      </c>
      <c r="AR17">
        <f>IF(COUNT($E$2:$E17)&lt;20,"",MIN($D$2:$D$17))</f>
        <v>0</v>
      </c>
      <c r="AS17">
        <f>IF(OR(AQ17="",AR17=""),"",(AQ17+AR17)/2)</f>
        <v>0</v>
      </c>
      <c r="AT17">
        <f>IF(COUNT($G$2:$G$17)&lt;20,"",STDEV($G$2:$G$17)*SQRT(252))</f>
        <v>0</v>
      </c>
      <c r="AU17">
        <f>IF(COUNT($E$2:$E17)&lt;9,"",(MAX($C$9:$C$17)+MIN($D$9:$D$17))/2)</f>
        <v>0</v>
      </c>
      <c r="AV17">
        <f>IF(COUNT($E$2:$E17)&lt;26,"",(MAX($C$2:$C$17)+MIN($D$2:$D$17))/2)</f>
        <v>0</v>
      </c>
      <c r="AW17">
        <f>IF(OR(AU17="",AV17=""),"",(AU17+AV17)/2)</f>
        <v>0</v>
      </c>
      <c r="AX17">
        <f>IF(COUNT($E$2:$E17)&lt;52,"",(MAX($C$2:$C$17)+MIN($D$2:$D$17))/2)</f>
        <v>0</v>
      </c>
      <c r="AY17">
        <f>IF(COUNT($E$2:$E17)&lt;20,"",MAX($C$2:$C$17))</f>
        <v>0</v>
      </c>
      <c r="AZ17">
        <f>IF(COUNT($E$2:$E17)&lt;20,"",MIN($D$2:$D$17))</f>
        <v>0</v>
      </c>
      <c r="BA17">
        <f>IF(COUNT($E$2:$E17)&lt;20,"",SLOPE($E$2:$E$17,$F$2:$F$17))</f>
        <v>0</v>
      </c>
      <c r="BB17">
        <f>IF(COUNT($E$2:$E17)&lt;20,"",INTERCEPT($E$2:$E$17,$F$2:$F$17))</f>
        <v>0</v>
      </c>
      <c r="BC17">
        <f>IF(OR(BA17="",BB17=""),"",BB17+BA17*F17)</f>
        <v>0</v>
      </c>
      <c r="BD17">
        <f>IF(COUNT($E$2:$E17)&lt;20,"",STEYX($E$2:$E$17,$F$2:$F$17))</f>
        <v>0</v>
      </c>
      <c r="BE17">
        <f>IF($E17="","",IF(AND(COUNT($E$18:$E$21)&gt;=4,$C17=MAX($C$13:$C$21)),$C17,""))</f>
        <v>0</v>
      </c>
      <c r="BF17">
        <f>IF($E17="","",IF(AND(COUNT($E$18:$E$21)&gt;=4,$D17=MIN($D$13:$D$21)),$D17,""))</f>
        <v>0</v>
      </c>
      <c r="BG17">
        <f>IF($A17="","",$A17-WEEKDAY($A17,2)+1)</f>
        <v>0</v>
      </c>
      <c r="BH17">
        <f>IF($A17="","",IF($A16="",1,IF(BG17&lt;&gt;BG16,1,0)))</f>
        <v>0</v>
      </c>
      <c r="BI17">
        <f>IF($A17="","",IF($A18="",1,IF(BG18&lt;&gt;BG17,1,0)))</f>
        <v>0</v>
      </c>
      <c r="BJ17">
        <f>IF($A17="","",IF(BH17=1,$B17,BJ16))</f>
        <v>0</v>
      </c>
      <c r="BK17">
        <f>IF($A17="","",IF(BH17=1,$C17,MAX($C17,BK16)))</f>
        <v>0</v>
      </c>
      <c r="BL17">
        <f>IF($A17="","",IF(BH17=1,$D17,MIN($D17,BL16)))</f>
        <v>0</v>
      </c>
      <c r="BM17">
        <f>IF($A17="","",IF(BI17=1,F17,""))</f>
        <v>0</v>
      </c>
      <c r="BN17">
        <f>IF($A17="","",DATE(YEAR($A17),MONTH($A17),1))</f>
        <v>0</v>
      </c>
      <c r="BO17">
        <f>IF($A17="","",IF($A16="",1,IF(BN17&lt;&gt;BN16,1,0)))</f>
        <v>0</v>
      </c>
      <c r="BP17">
        <f>IF($A17="","",IF($A18="",1,IF(BN18&lt;&gt;BN17,1,0)))</f>
        <v>0</v>
      </c>
      <c r="BQ17">
        <f>IF($A17="","",IF(BO17=1,$B17,BQ16))</f>
        <v>0</v>
      </c>
      <c r="BR17">
        <f>IF($A17="","",IF(BO17=1,$C17,MAX($C17,BR16)))</f>
        <v>0</v>
      </c>
      <c r="BS17">
        <f>IF($A17="","",IF(BO17=1,$D17,MIN($D17,BS16)))</f>
        <v>0</v>
      </c>
      <c r="BT17">
        <f>IF($A17="","",IF(BP17=1,F17,""))</f>
        <v>0</v>
      </c>
    </row>
    <row r="18" spans="1:72">
      <c r="A18" s="27">
        <f>IF(Data!$A18="","",Data!$A18)</f>
        <v>0</v>
      </c>
      <c r="B18">
        <f>IF(Data!$B18="","",Data!$B18)</f>
        <v>0</v>
      </c>
      <c r="C18">
        <f>IF(Data!$C18="","",Data!$C18)</f>
        <v>0</v>
      </c>
      <c r="D18">
        <f>IF(Data!$D18="","",Data!$D18)</f>
        <v>0</v>
      </c>
      <c r="E18">
        <f>IF(Data!$E18="","",Data!$E18)</f>
        <v>0</v>
      </c>
      <c r="F18">
        <f>IF($E18="","",N(F17)+1)</f>
        <v>0</v>
      </c>
      <c r="G18">
        <f>IF(OR($E18="",$E17=""),"",LN($E18/$E17))</f>
        <v>0</v>
      </c>
      <c r="H18">
        <f>IF($E18="","",IF($E17="",$E18,$E18*0.0952380952+H17*0.9047619048))</f>
        <v>0</v>
      </c>
      <c r="I18">
        <f>IF($E18="","",IF($E17="",$E18,$E18*0.0392156863+I17*0.9607843137))</f>
        <v>0</v>
      </c>
      <c r="J18">
        <f>IF($E18="","",IF($E17="",$E18,$E18*0.0198019802+J17*0.9801980198))</f>
        <v>0</v>
      </c>
      <c r="K18">
        <f>IF($E18="","",IF($E17="",$E18,$E18*0.0099502488+K17*0.9900497512))</f>
        <v>0</v>
      </c>
      <c r="L18">
        <f>IF(OR($E18="",$E17=""),"",MAX($E18-$E17,0))</f>
        <v>0</v>
      </c>
      <c r="M18">
        <f>IF(OR($E18="",$E17=""),"",MAX($E17-$E18,0))</f>
        <v>0</v>
      </c>
      <c r="N18">
        <f>IF(COUNT($E$2:$E18)&lt;15,"",IF(AVERAGE($M$5:$M$18)=0,100,100-100/(1+AVERAGE($L$5:$L$18)/AVERAGE($M$5:$M$18))))</f>
        <v>0</v>
      </c>
      <c r="O18">
        <f>IF($E18="","",IF($E17="",$E18,$E18*0.1538461538+O17*0.8461538462))</f>
        <v>0</v>
      </c>
      <c r="P18">
        <f>IF($E18="","",IF($E17="",$E18,$E18*0.0740740741+P17*0.9259259259))</f>
        <v>0</v>
      </c>
      <c r="Q18">
        <f>IF(OR(O18="",P18=""),"",O18-P18)</f>
        <v>0</v>
      </c>
      <c r="R18">
        <f>IF(Q18="","",IF(R17="",Q18,Q18*0.2000000000+R17*0.8000000000))</f>
        <v>0</v>
      </c>
      <c r="S18">
        <f>IF(OR(Q18="",R18=""),"",Q18-R18)</f>
        <v>0</v>
      </c>
      <c r="T18">
        <f>IF(COUNT($E$2:$E18)&lt;14,"",MAX($C$5:$C$18))</f>
        <v>0</v>
      </c>
      <c r="U18">
        <f>IF(COUNT($E$2:$E18)&lt;14,"",MIN($D$5:$D$18))</f>
        <v>0</v>
      </c>
      <c r="V18">
        <f>IF(OR(T18="",U18="",T18=U18),"",100*($E18-U18)/(T18-U18))</f>
        <v>0</v>
      </c>
      <c r="W18">
        <f>IF(COUNT($V$16:$V$18)&lt;3,"",AVERAGE($V$16:$V$18))</f>
        <v>0</v>
      </c>
      <c r="X18">
        <f>IF(COUNT($N$5:$N$18)&lt;14,"",MIN($N$5:$N$18))</f>
        <v>0</v>
      </c>
      <c r="Y18">
        <f>IF(COUNT($N$5:$N$18)&lt;14,"",MAX($N$5:$N$18))</f>
        <v>0</v>
      </c>
      <c r="Z18">
        <f>IF(OR(N18="",X18="",Y18="",Y18=X18),"",100*(N18-X18)/(Y18-X18))</f>
        <v>0</v>
      </c>
      <c r="AA18">
        <f>IF(COUNT($Z$16:$Z$18)&lt;3,"",AVERAGE($Z$16:$Z$18))</f>
        <v>0</v>
      </c>
      <c r="AB18">
        <f>IF(COUNT($AA$16:$AA$18)&lt;3,"",AVERAGE($AA$16:$AA$18))</f>
        <v>0</v>
      </c>
      <c r="AC18">
        <f>IF($E18="","",MAX($C18-$D18,ABS($C18-$E17),ABS($D18-$E17)))</f>
        <v>0</v>
      </c>
      <c r="AD18">
        <f>IF(COUNT($E$2:$E18)&lt;15,"",AVERAGE($AC$5:$AC$18))</f>
        <v>0</v>
      </c>
      <c r="AE18">
        <f>IF(OR($E18="",$E17=""),"",IF(AND(($C18-$C17)&gt;($D17-$D18),($C18-$C17)&gt;0),$C18-$C17,0))</f>
        <v>0</v>
      </c>
      <c r="AF18">
        <f>IF(OR($E18="",$E17=""),"",IF(AND(($D17-$D18)&gt;($C18-$C17),($D17-$D18)&gt;0),$D17-$D18,0))</f>
        <v>0</v>
      </c>
      <c r="AG18">
        <f>IF(COUNT($E$2:$E18)&lt;15,"",IF(SUM($AC$5:$AC$18)=0,0,100*SUM($AE$5:$AE$18)/SUM($AC$5:$AC$18)))</f>
        <v>0</v>
      </c>
      <c r="AH18">
        <f>IF(COUNT($E$2:$E18)&lt;15,"",IF(SUM($AC$5:$AC$18)=0,0,100*SUM($AF$5:$AF$18)/SUM($AC$5:$AC$18)))</f>
        <v>0</v>
      </c>
      <c r="AI18">
        <f>IF(OR(AG18="",AH18=""),"",IF((AG18+AH18)=0,0,100*ABS(AG18-AH18)/(AG18+AH18)))</f>
        <v>0</v>
      </c>
      <c r="AJ18">
        <f>IF(COUNT($AI$5:$AI$18)&lt;14,"",AVERAGE($AI$5:$AI$18))</f>
        <v>0</v>
      </c>
      <c r="AK18">
        <f>IF(COUNT($E$2:$E18)&lt;20,"",AVERAGE($E$2:$E$18))</f>
        <v>0</v>
      </c>
      <c r="AL18">
        <f>IF(COUNT($E$2:$E18)&lt;20,"",STDEVP($E$2:$E$18))</f>
        <v>0</v>
      </c>
      <c r="AM18">
        <f>IF(AK18="","",AK18+2*AL18)</f>
        <v>0</v>
      </c>
      <c r="AN18">
        <f>IF(AK18="","",AK18-2*AL18)</f>
        <v>0</v>
      </c>
      <c r="AO18">
        <f>IF(OR(AM18="",AN18="",AM18=AN18),"",($E18-AN18)/(AM18-AN18))</f>
        <v>0</v>
      </c>
      <c r="AP18">
        <f>IF(OR(AM18="",AK18="",AK18=0),"",(AM18-AN18)/AK18)</f>
        <v>0</v>
      </c>
      <c r="AQ18">
        <f>IF(COUNT($E$2:$E18)&lt;20,"",MAX($C$2:$C$18))</f>
        <v>0</v>
      </c>
      <c r="AR18">
        <f>IF(COUNT($E$2:$E18)&lt;20,"",MIN($D$2:$D$18))</f>
        <v>0</v>
      </c>
      <c r="AS18">
        <f>IF(OR(AQ18="",AR18=""),"",(AQ18+AR18)/2)</f>
        <v>0</v>
      </c>
      <c r="AT18">
        <f>IF(COUNT($G$2:$G$18)&lt;20,"",STDEV($G$2:$G$18)*SQRT(252))</f>
        <v>0</v>
      </c>
      <c r="AU18">
        <f>IF(COUNT($E$2:$E18)&lt;9,"",(MAX($C$10:$C$18)+MIN($D$10:$D$18))/2)</f>
        <v>0</v>
      </c>
      <c r="AV18">
        <f>IF(COUNT($E$2:$E18)&lt;26,"",(MAX($C$2:$C$18)+MIN($D$2:$D$18))/2)</f>
        <v>0</v>
      </c>
      <c r="AW18">
        <f>IF(OR(AU18="",AV18=""),"",(AU18+AV18)/2)</f>
        <v>0</v>
      </c>
      <c r="AX18">
        <f>IF(COUNT($E$2:$E18)&lt;52,"",(MAX($C$2:$C$18)+MIN($D$2:$D$18))/2)</f>
        <v>0</v>
      </c>
      <c r="AY18">
        <f>IF(COUNT($E$2:$E18)&lt;20,"",MAX($C$2:$C$18))</f>
        <v>0</v>
      </c>
      <c r="AZ18">
        <f>IF(COUNT($E$2:$E18)&lt;20,"",MIN($D$2:$D$18))</f>
        <v>0</v>
      </c>
      <c r="BA18">
        <f>IF(COUNT($E$2:$E18)&lt;20,"",SLOPE($E$2:$E$18,$F$2:$F$18))</f>
        <v>0</v>
      </c>
      <c r="BB18">
        <f>IF(COUNT($E$2:$E18)&lt;20,"",INTERCEPT($E$2:$E$18,$F$2:$F$18))</f>
        <v>0</v>
      </c>
      <c r="BC18">
        <f>IF(OR(BA18="",BB18=""),"",BB18+BA18*F18)</f>
        <v>0</v>
      </c>
      <c r="BD18">
        <f>IF(COUNT($E$2:$E18)&lt;20,"",STEYX($E$2:$E$18,$F$2:$F$18))</f>
        <v>0</v>
      </c>
      <c r="BE18">
        <f>IF($E18="","",IF(AND(COUNT($E$19:$E$22)&gt;=4,$C18=MAX($C$14:$C$22)),$C18,""))</f>
        <v>0</v>
      </c>
      <c r="BF18">
        <f>IF($E18="","",IF(AND(COUNT($E$19:$E$22)&gt;=4,$D18=MIN($D$14:$D$22)),$D18,""))</f>
        <v>0</v>
      </c>
      <c r="BG18">
        <f>IF($A18="","",$A18-WEEKDAY($A18,2)+1)</f>
        <v>0</v>
      </c>
      <c r="BH18">
        <f>IF($A18="","",IF($A17="",1,IF(BG18&lt;&gt;BG17,1,0)))</f>
        <v>0</v>
      </c>
      <c r="BI18">
        <f>IF($A18="","",IF($A19="",1,IF(BG19&lt;&gt;BG18,1,0)))</f>
        <v>0</v>
      </c>
      <c r="BJ18">
        <f>IF($A18="","",IF(BH18=1,$B18,BJ17))</f>
        <v>0</v>
      </c>
      <c r="BK18">
        <f>IF($A18="","",IF(BH18=1,$C18,MAX($C18,BK17)))</f>
        <v>0</v>
      </c>
      <c r="BL18">
        <f>IF($A18="","",IF(BH18=1,$D18,MIN($D18,BL17)))</f>
        <v>0</v>
      </c>
      <c r="BM18">
        <f>IF($A18="","",IF(BI18=1,F18,""))</f>
        <v>0</v>
      </c>
      <c r="BN18">
        <f>IF($A18="","",DATE(YEAR($A18),MONTH($A18),1))</f>
        <v>0</v>
      </c>
      <c r="BO18">
        <f>IF($A18="","",IF($A17="",1,IF(BN18&lt;&gt;BN17,1,0)))</f>
        <v>0</v>
      </c>
      <c r="BP18">
        <f>IF($A18="","",IF($A19="",1,IF(BN19&lt;&gt;BN18,1,0)))</f>
        <v>0</v>
      </c>
      <c r="BQ18">
        <f>IF($A18="","",IF(BO18=1,$B18,BQ17))</f>
        <v>0</v>
      </c>
      <c r="BR18">
        <f>IF($A18="","",IF(BO18=1,$C18,MAX($C18,BR17)))</f>
        <v>0</v>
      </c>
      <c r="BS18">
        <f>IF($A18="","",IF(BO18=1,$D18,MIN($D18,BS17)))</f>
        <v>0</v>
      </c>
      <c r="BT18">
        <f>IF($A18="","",IF(BP18=1,F18,""))</f>
        <v>0</v>
      </c>
    </row>
    <row r="19" spans="1:72">
      <c r="A19" s="27">
        <f>IF(Data!$A19="","",Data!$A19)</f>
        <v>0</v>
      </c>
      <c r="B19">
        <f>IF(Data!$B19="","",Data!$B19)</f>
        <v>0</v>
      </c>
      <c r="C19">
        <f>IF(Data!$C19="","",Data!$C19)</f>
        <v>0</v>
      </c>
      <c r="D19">
        <f>IF(Data!$D19="","",Data!$D19)</f>
        <v>0</v>
      </c>
      <c r="E19">
        <f>IF(Data!$E19="","",Data!$E19)</f>
        <v>0</v>
      </c>
      <c r="F19">
        <f>IF($E19="","",N(F18)+1)</f>
        <v>0</v>
      </c>
      <c r="G19">
        <f>IF(OR($E19="",$E18=""),"",LN($E19/$E18))</f>
        <v>0</v>
      </c>
      <c r="H19">
        <f>IF($E19="","",IF($E18="",$E19,$E19*0.0952380952+H18*0.9047619048))</f>
        <v>0</v>
      </c>
      <c r="I19">
        <f>IF($E19="","",IF($E18="",$E19,$E19*0.0392156863+I18*0.9607843137))</f>
        <v>0</v>
      </c>
      <c r="J19">
        <f>IF($E19="","",IF($E18="",$E19,$E19*0.0198019802+J18*0.9801980198))</f>
        <v>0</v>
      </c>
      <c r="K19">
        <f>IF($E19="","",IF($E18="",$E19,$E19*0.0099502488+K18*0.9900497512))</f>
        <v>0</v>
      </c>
      <c r="L19">
        <f>IF(OR($E19="",$E18=""),"",MAX($E19-$E18,0))</f>
        <v>0</v>
      </c>
      <c r="M19">
        <f>IF(OR($E19="",$E18=""),"",MAX($E18-$E19,0))</f>
        <v>0</v>
      </c>
      <c r="N19">
        <f>IF(COUNT($E$2:$E19)&lt;15,"",IF(AVERAGE($M$6:$M$19)=0,100,100-100/(1+AVERAGE($L$6:$L$19)/AVERAGE($M$6:$M$19))))</f>
        <v>0</v>
      </c>
      <c r="O19">
        <f>IF($E19="","",IF($E18="",$E19,$E19*0.1538461538+O18*0.8461538462))</f>
        <v>0</v>
      </c>
      <c r="P19">
        <f>IF($E19="","",IF($E18="",$E19,$E19*0.0740740741+P18*0.9259259259))</f>
        <v>0</v>
      </c>
      <c r="Q19">
        <f>IF(OR(O19="",P19=""),"",O19-P19)</f>
        <v>0</v>
      </c>
      <c r="R19">
        <f>IF(Q19="","",IF(R18="",Q19,Q19*0.2000000000+R18*0.8000000000))</f>
        <v>0</v>
      </c>
      <c r="S19">
        <f>IF(OR(Q19="",R19=""),"",Q19-R19)</f>
        <v>0</v>
      </c>
      <c r="T19">
        <f>IF(COUNT($E$2:$E19)&lt;14,"",MAX($C$6:$C$19))</f>
        <v>0</v>
      </c>
      <c r="U19">
        <f>IF(COUNT($E$2:$E19)&lt;14,"",MIN($D$6:$D$19))</f>
        <v>0</v>
      </c>
      <c r="V19">
        <f>IF(OR(T19="",U19="",T19=U19),"",100*($E19-U19)/(T19-U19))</f>
        <v>0</v>
      </c>
      <c r="W19">
        <f>IF(COUNT($V$17:$V$19)&lt;3,"",AVERAGE($V$17:$V$19))</f>
        <v>0</v>
      </c>
      <c r="X19">
        <f>IF(COUNT($N$6:$N$19)&lt;14,"",MIN($N$6:$N$19))</f>
        <v>0</v>
      </c>
      <c r="Y19">
        <f>IF(COUNT($N$6:$N$19)&lt;14,"",MAX($N$6:$N$19))</f>
        <v>0</v>
      </c>
      <c r="Z19">
        <f>IF(OR(N19="",X19="",Y19="",Y19=X19),"",100*(N19-X19)/(Y19-X19))</f>
        <v>0</v>
      </c>
      <c r="AA19">
        <f>IF(COUNT($Z$17:$Z$19)&lt;3,"",AVERAGE($Z$17:$Z$19))</f>
        <v>0</v>
      </c>
      <c r="AB19">
        <f>IF(COUNT($AA$17:$AA$19)&lt;3,"",AVERAGE($AA$17:$AA$19))</f>
        <v>0</v>
      </c>
      <c r="AC19">
        <f>IF($E19="","",MAX($C19-$D19,ABS($C19-$E18),ABS($D19-$E18)))</f>
        <v>0</v>
      </c>
      <c r="AD19">
        <f>IF(COUNT($E$2:$E19)&lt;15,"",AVERAGE($AC$6:$AC$19))</f>
        <v>0</v>
      </c>
      <c r="AE19">
        <f>IF(OR($E19="",$E18=""),"",IF(AND(($C19-$C18)&gt;($D18-$D19),($C19-$C18)&gt;0),$C19-$C18,0))</f>
        <v>0</v>
      </c>
      <c r="AF19">
        <f>IF(OR($E19="",$E18=""),"",IF(AND(($D18-$D19)&gt;($C19-$C18),($D18-$D19)&gt;0),$D18-$D19,0))</f>
        <v>0</v>
      </c>
      <c r="AG19">
        <f>IF(COUNT($E$2:$E19)&lt;15,"",IF(SUM($AC$6:$AC$19)=0,0,100*SUM($AE$6:$AE$19)/SUM($AC$6:$AC$19)))</f>
        <v>0</v>
      </c>
      <c r="AH19">
        <f>IF(COUNT($E$2:$E19)&lt;15,"",IF(SUM($AC$6:$AC$19)=0,0,100*SUM($AF$6:$AF$19)/SUM($AC$6:$AC$19)))</f>
        <v>0</v>
      </c>
      <c r="AI19">
        <f>IF(OR(AG19="",AH19=""),"",IF((AG19+AH19)=0,0,100*ABS(AG19-AH19)/(AG19+AH19)))</f>
        <v>0</v>
      </c>
      <c r="AJ19">
        <f>IF(COUNT($AI$6:$AI$19)&lt;14,"",AVERAGE($AI$6:$AI$19))</f>
        <v>0</v>
      </c>
      <c r="AK19">
        <f>IF(COUNT($E$2:$E19)&lt;20,"",AVERAGE($E$2:$E$19))</f>
        <v>0</v>
      </c>
      <c r="AL19">
        <f>IF(COUNT($E$2:$E19)&lt;20,"",STDEVP($E$2:$E$19))</f>
        <v>0</v>
      </c>
      <c r="AM19">
        <f>IF(AK19="","",AK19+2*AL19)</f>
        <v>0</v>
      </c>
      <c r="AN19">
        <f>IF(AK19="","",AK19-2*AL19)</f>
        <v>0</v>
      </c>
      <c r="AO19">
        <f>IF(OR(AM19="",AN19="",AM19=AN19),"",($E19-AN19)/(AM19-AN19))</f>
        <v>0</v>
      </c>
      <c r="AP19">
        <f>IF(OR(AM19="",AK19="",AK19=0),"",(AM19-AN19)/AK19)</f>
        <v>0</v>
      </c>
      <c r="AQ19">
        <f>IF(COUNT($E$2:$E19)&lt;20,"",MAX($C$2:$C$19))</f>
        <v>0</v>
      </c>
      <c r="AR19">
        <f>IF(COUNT($E$2:$E19)&lt;20,"",MIN($D$2:$D$19))</f>
        <v>0</v>
      </c>
      <c r="AS19">
        <f>IF(OR(AQ19="",AR19=""),"",(AQ19+AR19)/2)</f>
        <v>0</v>
      </c>
      <c r="AT19">
        <f>IF(COUNT($G$2:$G$19)&lt;20,"",STDEV($G$2:$G$19)*SQRT(252))</f>
        <v>0</v>
      </c>
      <c r="AU19">
        <f>IF(COUNT($E$2:$E19)&lt;9,"",(MAX($C$11:$C$19)+MIN($D$11:$D$19))/2)</f>
        <v>0</v>
      </c>
      <c r="AV19">
        <f>IF(COUNT($E$2:$E19)&lt;26,"",(MAX($C$2:$C$19)+MIN($D$2:$D$19))/2)</f>
        <v>0</v>
      </c>
      <c r="AW19">
        <f>IF(OR(AU19="",AV19=""),"",(AU19+AV19)/2)</f>
        <v>0</v>
      </c>
      <c r="AX19">
        <f>IF(COUNT($E$2:$E19)&lt;52,"",(MAX($C$2:$C$19)+MIN($D$2:$D$19))/2)</f>
        <v>0</v>
      </c>
      <c r="AY19">
        <f>IF(COUNT($E$2:$E19)&lt;20,"",MAX($C$2:$C$19))</f>
        <v>0</v>
      </c>
      <c r="AZ19">
        <f>IF(COUNT($E$2:$E19)&lt;20,"",MIN($D$2:$D$19))</f>
        <v>0</v>
      </c>
      <c r="BA19">
        <f>IF(COUNT($E$2:$E19)&lt;20,"",SLOPE($E$2:$E$19,$F$2:$F$19))</f>
        <v>0</v>
      </c>
      <c r="BB19">
        <f>IF(COUNT($E$2:$E19)&lt;20,"",INTERCEPT($E$2:$E$19,$F$2:$F$19))</f>
        <v>0</v>
      </c>
      <c r="BC19">
        <f>IF(OR(BA19="",BB19=""),"",BB19+BA19*F19)</f>
        <v>0</v>
      </c>
      <c r="BD19">
        <f>IF(COUNT($E$2:$E19)&lt;20,"",STEYX($E$2:$E$19,$F$2:$F$19))</f>
        <v>0</v>
      </c>
      <c r="BE19">
        <f>IF($E19="","",IF(AND(COUNT($E$20:$E$23)&gt;=4,$C19=MAX($C$15:$C$23)),$C19,""))</f>
        <v>0</v>
      </c>
      <c r="BF19">
        <f>IF($E19="","",IF(AND(COUNT($E$20:$E$23)&gt;=4,$D19=MIN($D$15:$D$23)),$D19,""))</f>
        <v>0</v>
      </c>
      <c r="BG19">
        <f>IF($A19="","",$A19-WEEKDAY($A19,2)+1)</f>
        <v>0</v>
      </c>
      <c r="BH19">
        <f>IF($A19="","",IF($A18="",1,IF(BG19&lt;&gt;BG18,1,0)))</f>
        <v>0</v>
      </c>
      <c r="BI19">
        <f>IF($A19="","",IF($A20="",1,IF(BG20&lt;&gt;BG19,1,0)))</f>
        <v>0</v>
      </c>
      <c r="BJ19">
        <f>IF($A19="","",IF(BH19=1,$B19,BJ18))</f>
        <v>0</v>
      </c>
      <c r="BK19">
        <f>IF($A19="","",IF(BH19=1,$C19,MAX($C19,BK18)))</f>
        <v>0</v>
      </c>
      <c r="BL19">
        <f>IF($A19="","",IF(BH19=1,$D19,MIN($D19,BL18)))</f>
        <v>0</v>
      </c>
      <c r="BM19">
        <f>IF($A19="","",IF(BI19=1,F19,""))</f>
        <v>0</v>
      </c>
      <c r="BN19">
        <f>IF($A19="","",DATE(YEAR($A19),MONTH($A19),1))</f>
        <v>0</v>
      </c>
      <c r="BO19">
        <f>IF($A19="","",IF($A18="",1,IF(BN19&lt;&gt;BN18,1,0)))</f>
        <v>0</v>
      </c>
      <c r="BP19">
        <f>IF($A19="","",IF($A20="",1,IF(BN20&lt;&gt;BN19,1,0)))</f>
        <v>0</v>
      </c>
      <c r="BQ19">
        <f>IF($A19="","",IF(BO19=1,$B19,BQ18))</f>
        <v>0</v>
      </c>
      <c r="BR19">
        <f>IF($A19="","",IF(BO19=1,$C19,MAX($C19,BR18)))</f>
        <v>0</v>
      </c>
      <c r="BS19">
        <f>IF($A19="","",IF(BO19=1,$D19,MIN($D19,BS18)))</f>
        <v>0</v>
      </c>
      <c r="BT19">
        <f>IF($A19="","",IF(BP19=1,F19,""))</f>
        <v>0</v>
      </c>
    </row>
    <row r="20" spans="1:72">
      <c r="A20" s="27">
        <f>IF(Data!$A20="","",Data!$A20)</f>
        <v>0</v>
      </c>
      <c r="B20">
        <f>IF(Data!$B20="","",Data!$B20)</f>
        <v>0</v>
      </c>
      <c r="C20">
        <f>IF(Data!$C20="","",Data!$C20)</f>
        <v>0</v>
      </c>
      <c r="D20">
        <f>IF(Data!$D20="","",Data!$D20)</f>
        <v>0</v>
      </c>
      <c r="E20">
        <f>IF(Data!$E20="","",Data!$E20)</f>
        <v>0</v>
      </c>
      <c r="F20">
        <f>IF($E20="","",N(F19)+1)</f>
        <v>0</v>
      </c>
      <c r="G20">
        <f>IF(OR($E20="",$E19=""),"",LN($E20/$E19))</f>
        <v>0</v>
      </c>
      <c r="H20">
        <f>IF($E20="","",IF($E19="",$E20,$E20*0.0952380952+H19*0.9047619048))</f>
        <v>0</v>
      </c>
      <c r="I20">
        <f>IF($E20="","",IF($E19="",$E20,$E20*0.0392156863+I19*0.9607843137))</f>
        <v>0</v>
      </c>
      <c r="J20">
        <f>IF($E20="","",IF($E19="",$E20,$E20*0.0198019802+J19*0.9801980198))</f>
        <v>0</v>
      </c>
      <c r="K20">
        <f>IF($E20="","",IF($E19="",$E20,$E20*0.0099502488+K19*0.9900497512))</f>
        <v>0</v>
      </c>
      <c r="L20">
        <f>IF(OR($E20="",$E19=""),"",MAX($E20-$E19,0))</f>
        <v>0</v>
      </c>
      <c r="M20">
        <f>IF(OR($E20="",$E19=""),"",MAX($E19-$E20,0))</f>
        <v>0</v>
      </c>
      <c r="N20">
        <f>IF(COUNT($E$2:$E20)&lt;15,"",IF(AVERAGE($M$7:$M$20)=0,100,100-100/(1+AVERAGE($L$7:$L$20)/AVERAGE($M$7:$M$20))))</f>
        <v>0</v>
      </c>
      <c r="O20">
        <f>IF($E20="","",IF($E19="",$E20,$E20*0.1538461538+O19*0.8461538462))</f>
        <v>0</v>
      </c>
      <c r="P20">
        <f>IF($E20="","",IF($E19="",$E20,$E20*0.0740740741+P19*0.9259259259))</f>
        <v>0</v>
      </c>
      <c r="Q20">
        <f>IF(OR(O20="",P20=""),"",O20-P20)</f>
        <v>0</v>
      </c>
      <c r="R20">
        <f>IF(Q20="","",IF(R19="",Q20,Q20*0.2000000000+R19*0.8000000000))</f>
        <v>0</v>
      </c>
      <c r="S20">
        <f>IF(OR(Q20="",R20=""),"",Q20-R20)</f>
        <v>0</v>
      </c>
      <c r="T20">
        <f>IF(COUNT($E$2:$E20)&lt;14,"",MAX($C$7:$C$20))</f>
        <v>0</v>
      </c>
      <c r="U20">
        <f>IF(COUNT($E$2:$E20)&lt;14,"",MIN($D$7:$D$20))</f>
        <v>0</v>
      </c>
      <c r="V20">
        <f>IF(OR(T20="",U20="",T20=U20),"",100*($E20-U20)/(T20-U20))</f>
        <v>0</v>
      </c>
      <c r="W20">
        <f>IF(COUNT($V$18:$V$20)&lt;3,"",AVERAGE($V$18:$V$20))</f>
        <v>0</v>
      </c>
      <c r="X20">
        <f>IF(COUNT($N$7:$N$20)&lt;14,"",MIN($N$7:$N$20))</f>
        <v>0</v>
      </c>
      <c r="Y20">
        <f>IF(COUNT($N$7:$N$20)&lt;14,"",MAX($N$7:$N$20))</f>
        <v>0</v>
      </c>
      <c r="Z20">
        <f>IF(OR(N20="",X20="",Y20="",Y20=X20),"",100*(N20-X20)/(Y20-X20))</f>
        <v>0</v>
      </c>
      <c r="AA20">
        <f>IF(COUNT($Z$18:$Z$20)&lt;3,"",AVERAGE($Z$18:$Z$20))</f>
        <v>0</v>
      </c>
      <c r="AB20">
        <f>IF(COUNT($AA$18:$AA$20)&lt;3,"",AVERAGE($AA$18:$AA$20))</f>
        <v>0</v>
      </c>
      <c r="AC20">
        <f>IF($E20="","",MAX($C20-$D20,ABS($C20-$E19),ABS($D20-$E19)))</f>
        <v>0</v>
      </c>
      <c r="AD20">
        <f>IF(COUNT($E$2:$E20)&lt;15,"",AVERAGE($AC$7:$AC$20))</f>
        <v>0</v>
      </c>
      <c r="AE20">
        <f>IF(OR($E20="",$E19=""),"",IF(AND(($C20-$C19)&gt;($D19-$D20),($C20-$C19)&gt;0),$C20-$C19,0))</f>
        <v>0</v>
      </c>
      <c r="AF20">
        <f>IF(OR($E20="",$E19=""),"",IF(AND(($D19-$D20)&gt;($C20-$C19),($D19-$D20)&gt;0),$D19-$D20,0))</f>
        <v>0</v>
      </c>
      <c r="AG20">
        <f>IF(COUNT($E$2:$E20)&lt;15,"",IF(SUM($AC$7:$AC$20)=0,0,100*SUM($AE$7:$AE$20)/SUM($AC$7:$AC$20)))</f>
        <v>0</v>
      </c>
      <c r="AH20">
        <f>IF(COUNT($E$2:$E20)&lt;15,"",IF(SUM($AC$7:$AC$20)=0,0,100*SUM($AF$7:$AF$20)/SUM($AC$7:$AC$20)))</f>
        <v>0</v>
      </c>
      <c r="AI20">
        <f>IF(OR(AG20="",AH20=""),"",IF((AG20+AH20)=0,0,100*ABS(AG20-AH20)/(AG20+AH20)))</f>
        <v>0</v>
      </c>
      <c r="AJ20">
        <f>IF(COUNT($AI$7:$AI$20)&lt;14,"",AVERAGE($AI$7:$AI$20))</f>
        <v>0</v>
      </c>
      <c r="AK20">
        <f>IF(COUNT($E$2:$E20)&lt;20,"",AVERAGE($E$2:$E$20))</f>
        <v>0</v>
      </c>
      <c r="AL20">
        <f>IF(COUNT($E$2:$E20)&lt;20,"",STDEVP($E$2:$E$20))</f>
        <v>0</v>
      </c>
      <c r="AM20">
        <f>IF(AK20="","",AK20+2*AL20)</f>
        <v>0</v>
      </c>
      <c r="AN20">
        <f>IF(AK20="","",AK20-2*AL20)</f>
        <v>0</v>
      </c>
      <c r="AO20">
        <f>IF(OR(AM20="",AN20="",AM20=AN20),"",($E20-AN20)/(AM20-AN20))</f>
        <v>0</v>
      </c>
      <c r="AP20">
        <f>IF(OR(AM20="",AK20="",AK20=0),"",(AM20-AN20)/AK20)</f>
        <v>0</v>
      </c>
      <c r="AQ20">
        <f>IF(COUNT($E$2:$E20)&lt;20,"",MAX($C$2:$C$20))</f>
        <v>0</v>
      </c>
      <c r="AR20">
        <f>IF(COUNT($E$2:$E20)&lt;20,"",MIN($D$2:$D$20))</f>
        <v>0</v>
      </c>
      <c r="AS20">
        <f>IF(OR(AQ20="",AR20=""),"",(AQ20+AR20)/2)</f>
        <v>0</v>
      </c>
      <c r="AT20">
        <f>IF(COUNT($G$2:$G$20)&lt;20,"",STDEV($G$2:$G$20)*SQRT(252))</f>
        <v>0</v>
      </c>
      <c r="AU20">
        <f>IF(COUNT($E$2:$E20)&lt;9,"",(MAX($C$12:$C$20)+MIN($D$12:$D$20))/2)</f>
        <v>0</v>
      </c>
      <c r="AV20">
        <f>IF(COUNT($E$2:$E20)&lt;26,"",(MAX($C$2:$C$20)+MIN($D$2:$D$20))/2)</f>
        <v>0</v>
      </c>
      <c r="AW20">
        <f>IF(OR(AU20="",AV20=""),"",(AU20+AV20)/2)</f>
        <v>0</v>
      </c>
      <c r="AX20">
        <f>IF(COUNT($E$2:$E20)&lt;52,"",(MAX($C$2:$C$20)+MIN($D$2:$D$20))/2)</f>
        <v>0</v>
      </c>
      <c r="AY20">
        <f>IF(COUNT($E$2:$E20)&lt;20,"",MAX($C$2:$C$20))</f>
        <v>0</v>
      </c>
      <c r="AZ20">
        <f>IF(COUNT($E$2:$E20)&lt;20,"",MIN($D$2:$D$20))</f>
        <v>0</v>
      </c>
      <c r="BA20">
        <f>IF(COUNT($E$2:$E20)&lt;20,"",SLOPE($E$2:$E$20,$F$2:$F$20))</f>
        <v>0</v>
      </c>
      <c r="BB20">
        <f>IF(COUNT($E$2:$E20)&lt;20,"",INTERCEPT($E$2:$E$20,$F$2:$F$20))</f>
        <v>0</v>
      </c>
      <c r="BC20">
        <f>IF(OR(BA20="",BB20=""),"",BB20+BA20*F20)</f>
        <v>0</v>
      </c>
      <c r="BD20">
        <f>IF(COUNT($E$2:$E20)&lt;20,"",STEYX($E$2:$E$20,$F$2:$F$20))</f>
        <v>0</v>
      </c>
      <c r="BE20">
        <f>IF($E20="","",IF(AND(COUNT($E$21:$E$24)&gt;=4,$C20=MAX($C$16:$C$24)),$C20,""))</f>
        <v>0</v>
      </c>
      <c r="BF20">
        <f>IF($E20="","",IF(AND(COUNT($E$21:$E$24)&gt;=4,$D20=MIN($D$16:$D$24)),$D20,""))</f>
        <v>0</v>
      </c>
      <c r="BG20">
        <f>IF($A20="","",$A20-WEEKDAY($A20,2)+1)</f>
        <v>0</v>
      </c>
      <c r="BH20">
        <f>IF($A20="","",IF($A19="",1,IF(BG20&lt;&gt;BG19,1,0)))</f>
        <v>0</v>
      </c>
      <c r="BI20">
        <f>IF($A20="","",IF($A21="",1,IF(BG21&lt;&gt;BG20,1,0)))</f>
        <v>0</v>
      </c>
      <c r="BJ20">
        <f>IF($A20="","",IF(BH20=1,$B20,BJ19))</f>
        <v>0</v>
      </c>
      <c r="BK20">
        <f>IF($A20="","",IF(BH20=1,$C20,MAX($C20,BK19)))</f>
        <v>0</v>
      </c>
      <c r="BL20">
        <f>IF($A20="","",IF(BH20=1,$D20,MIN($D20,BL19)))</f>
        <v>0</v>
      </c>
      <c r="BM20">
        <f>IF($A20="","",IF(BI20=1,F20,""))</f>
        <v>0</v>
      </c>
      <c r="BN20">
        <f>IF($A20="","",DATE(YEAR($A20),MONTH($A20),1))</f>
        <v>0</v>
      </c>
      <c r="BO20">
        <f>IF($A20="","",IF($A19="",1,IF(BN20&lt;&gt;BN19,1,0)))</f>
        <v>0</v>
      </c>
      <c r="BP20">
        <f>IF($A20="","",IF($A21="",1,IF(BN21&lt;&gt;BN20,1,0)))</f>
        <v>0</v>
      </c>
      <c r="BQ20">
        <f>IF($A20="","",IF(BO20=1,$B20,BQ19))</f>
        <v>0</v>
      </c>
      <c r="BR20">
        <f>IF($A20="","",IF(BO20=1,$C20,MAX($C20,BR19)))</f>
        <v>0</v>
      </c>
      <c r="BS20">
        <f>IF($A20="","",IF(BO20=1,$D20,MIN($D20,BS19)))</f>
        <v>0</v>
      </c>
      <c r="BT20">
        <f>IF($A20="","",IF(BP20=1,F20,""))</f>
        <v>0</v>
      </c>
    </row>
    <row r="21" spans="1:72">
      <c r="A21" s="27">
        <f>IF(Data!$A21="","",Data!$A21)</f>
        <v>0</v>
      </c>
      <c r="B21">
        <f>IF(Data!$B21="","",Data!$B21)</f>
        <v>0</v>
      </c>
      <c r="C21">
        <f>IF(Data!$C21="","",Data!$C21)</f>
        <v>0</v>
      </c>
      <c r="D21">
        <f>IF(Data!$D21="","",Data!$D21)</f>
        <v>0</v>
      </c>
      <c r="E21">
        <f>IF(Data!$E21="","",Data!$E21)</f>
        <v>0</v>
      </c>
      <c r="F21">
        <f>IF($E21="","",N(F20)+1)</f>
        <v>0</v>
      </c>
      <c r="G21">
        <f>IF(OR($E21="",$E20=""),"",LN($E21/$E20))</f>
        <v>0</v>
      </c>
      <c r="H21">
        <f>IF($E21="","",IF($E20="",$E21,$E21*0.0952380952+H20*0.9047619048))</f>
        <v>0</v>
      </c>
      <c r="I21">
        <f>IF($E21="","",IF($E20="",$E21,$E21*0.0392156863+I20*0.9607843137))</f>
        <v>0</v>
      </c>
      <c r="J21">
        <f>IF($E21="","",IF($E20="",$E21,$E21*0.0198019802+J20*0.9801980198))</f>
        <v>0</v>
      </c>
      <c r="K21">
        <f>IF($E21="","",IF($E20="",$E21,$E21*0.0099502488+K20*0.9900497512))</f>
        <v>0</v>
      </c>
      <c r="L21">
        <f>IF(OR($E21="",$E20=""),"",MAX($E21-$E20,0))</f>
        <v>0</v>
      </c>
      <c r="M21">
        <f>IF(OR($E21="",$E20=""),"",MAX($E20-$E21,0))</f>
        <v>0</v>
      </c>
      <c r="N21">
        <f>IF(COUNT($E$2:$E21)&lt;15,"",IF(AVERAGE($M$8:$M$21)=0,100,100-100/(1+AVERAGE($L$8:$L$21)/AVERAGE($M$8:$M$21))))</f>
        <v>0</v>
      </c>
      <c r="O21">
        <f>IF($E21="","",IF($E20="",$E21,$E21*0.1538461538+O20*0.8461538462))</f>
        <v>0</v>
      </c>
      <c r="P21">
        <f>IF($E21="","",IF($E20="",$E21,$E21*0.0740740741+P20*0.9259259259))</f>
        <v>0</v>
      </c>
      <c r="Q21">
        <f>IF(OR(O21="",P21=""),"",O21-P21)</f>
        <v>0</v>
      </c>
      <c r="R21">
        <f>IF(Q21="","",IF(R20="",Q21,Q21*0.2000000000+R20*0.8000000000))</f>
        <v>0</v>
      </c>
      <c r="S21">
        <f>IF(OR(Q21="",R21=""),"",Q21-R21)</f>
        <v>0</v>
      </c>
      <c r="T21">
        <f>IF(COUNT($E$2:$E21)&lt;14,"",MAX($C$8:$C$21))</f>
        <v>0</v>
      </c>
      <c r="U21">
        <f>IF(COUNT($E$2:$E21)&lt;14,"",MIN($D$8:$D$21))</f>
        <v>0</v>
      </c>
      <c r="V21">
        <f>IF(OR(T21="",U21="",T21=U21),"",100*($E21-U21)/(T21-U21))</f>
        <v>0</v>
      </c>
      <c r="W21">
        <f>IF(COUNT($V$19:$V$21)&lt;3,"",AVERAGE($V$19:$V$21))</f>
        <v>0</v>
      </c>
      <c r="X21">
        <f>IF(COUNT($N$8:$N$21)&lt;14,"",MIN($N$8:$N$21))</f>
        <v>0</v>
      </c>
      <c r="Y21">
        <f>IF(COUNT($N$8:$N$21)&lt;14,"",MAX($N$8:$N$21))</f>
        <v>0</v>
      </c>
      <c r="Z21">
        <f>IF(OR(N21="",X21="",Y21="",Y21=X21),"",100*(N21-X21)/(Y21-X21))</f>
        <v>0</v>
      </c>
      <c r="AA21">
        <f>IF(COUNT($Z$19:$Z$21)&lt;3,"",AVERAGE($Z$19:$Z$21))</f>
        <v>0</v>
      </c>
      <c r="AB21">
        <f>IF(COUNT($AA$19:$AA$21)&lt;3,"",AVERAGE($AA$19:$AA$21))</f>
        <v>0</v>
      </c>
      <c r="AC21">
        <f>IF($E21="","",MAX($C21-$D21,ABS($C21-$E20),ABS($D21-$E20)))</f>
        <v>0</v>
      </c>
      <c r="AD21">
        <f>IF(COUNT($E$2:$E21)&lt;15,"",AVERAGE($AC$8:$AC$21))</f>
        <v>0</v>
      </c>
      <c r="AE21">
        <f>IF(OR($E21="",$E20=""),"",IF(AND(($C21-$C20)&gt;($D20-$D21),($C21-$C20)&gt;0),$C21-$C20,0))</f>
        <v>0</v>
      </c>
      <c r="AF21">
        <f>IF(OR($E21="",$E20=""),"",IF(AND(($D20-$D21)&gt;($C21-$C20),($D20-$D21)&gt;0),$D20-$D21,0))</f>
        <v>0</v>
      </c>
      <c r="AG21">
        <f>IF(COUNT($E$2:$E21)&lt;15,"",IF(SUM($AC$8:$AC$21)=0,0,100*SUM($AE$8:$AE$21)/SUM($AC$8:$AC$21)))</f>
        <v>0</v>
      </c>
      <c r="AH21">
        <f>IF(COUNT($E$2:$E21)&lt;15,"",IF(SUM($AC$8:$AC$21)=0,0,100*SUM($AF$8:$AF$21)/SUM($AC$8:$AC$21)))</f>
        <v>0</v>
      </c>
      <c r="AI21">
        <f>IF(OR(AG21="",AH21=""),"",IF((AG21+AH21)=0,0,100*ABS(AG21-AH21)/(AG21+AH21)))</f>
        <v>0</v>
      </c>
      <c r="AJ21">
        <f>IF(COUNT($AI$8:$AI$21)&lt;14,"",AVERAGE($AI$8:$AI$21))</f>
        <v>0</v>
      </c>
      <c r="AK21">
        <f>IF(COUNT($E$2:$E21)&lt;20,"",AVERAGE($E$2:$E$21))</f>
        <v>0</v>
      </c>
      <c r="AL21">
        <f>IF(COUNT($E$2:$E21)&lt;20,"",STDEVP($E$2:$E$21))</f>
        <v>0</v>
      </c>
      <c r="AM21">
        <f>IF(AK21="","",AK21+2*AL21)</f>
        <v>0</v>
      </c>
      <c r="AN21">
        <f>IF(AK21="","",AK21-2*AL21)</f>
        <v>0</v>
      </c>
      <c r="AO21">
        <f>IF(OR(AM21="",AN21="",AM21=AN21),"",($E21-AN21)/(AM21-AN21))</f>
        <v>0</v>
      </c>
      <c r="AP21">
        <f>IF(OR(AM21="",AK21="",AK21=0),"",(AM21-AN21)/AK21)</f>
        <v>0</v>
      </c>
      <c r="AQ21">
        <f>IF(COUNT($E$2:$E21)&lt;20,"",MAX($C$2:$C$21))</f>
        <v>0</v>
      </c>
      <c r="AR21">
        <f>IF(COUNT($E$2:$E21)&lt;20,"",MIN($D$2:$D$21))</f>
        <v>0</v>
      </c>
      <c r="AS21">
        <f>IF(OR(AQ21="",AR21=""),"",(AQ21+AR21)/2)</f>
        <v>0</v>
      </c>
      <c r="AT21">
        <f>IF(COUNT($G$2:$G$21)&lt;20,"",STDEV($G$2:$G$21)*SQRT(252))</f>
        <v>0</v>
      </c>
      <c r="AU21">
        <f>IF(COUNT($E$2:$E21)&lt;9,"",(MAX($C$13:$C$21)+MIN($D$13:$D$21))/2)</f>
        <v>0</v>
      </c>
      <c r="AV21">
        <f>IF(COUNT($E$2:$E21)&lt;26,"",(MAX($C$2:$C$21)+MIN($D$2:$D$21))/2)</f>
        <v>0</v>
      </c>
      <c r="AW21">
        <f>IF(OR(AU21="",AV21=""),"",(AU21+AV21)/2)</f>
        <v>0</v>
      </c>
      <c r="AX21">
        <f>IF(COUNT($E$2:$E21)&lt;52,"",(MAX($C$2:$C$21)+MIN($D$2:$D$21))/2)</f>
        <v>0</v>
      </c>
      <c r="AY21">
        <f>IF(COUNT($E$2:$E21)&lt;20,"",MAX($C$2:$C$21))</f>
        <v>0</v>
      </c>
      <c r="AZ21">
        <f>IF(COUNT($E$2:$E21)&lt;20,"",MIN($D$2:$D$21))</f>
        <v>0</v>
      </c>
      <c r="BA21">
        <f>IF(COUNT($E$2:$E21)&lt;20,"",SLOPE($E$2:$E$21,$F$2:$F$21))</f>
        <v>0</v>
      </c>
      <c r="BB21">
        <f>IF(COUNT($E$2:$E21)&lt;20,"",INTERCEPT($E$2:$E$21,$F$2:$F$21))</f>
        <v>0</v>
      </c>
      <c r="BC21">
        <f>IF(OR(BA21="",BB21=""),"",BB21+BA21*F21)</f>
        <v>0</v>
      </c>
      <c r="BD21">
        <f>IF(COUNT($E$2:$E21)&lt;20,"",STEYX($E$2:$E$21,$F$2:$F$21))</f>
        <v>0</v>
      </c>
      <c r="BE21">
        <f>IF($E21="","",IF(AND(COUNT($E$22:$E$25)&gt;=4,$C21=MAX($C$17:$C$25)),$C21,""))</f>
        <v>0</v>
      </c>
      <c r="BF21">
        <f>IF($E21="","",IF(AND(COUNT($E$22:$E$25)&gt;=4,$D21=MIN($D$17:$D$25)),$D21,""))</f>
        <v>0</v>
      </c>
      <c r="BG21">
        <f>IF($A21="","",$A21-WEEKDAY($A21,2)+1)</f>
        <v>0</v>
      </c>
      <c r="BH21">
        <f>IF($A21="","",IF($A20="",1,IF(BG21&lt;&gt;BG20,1,0)))</f>
        <v>0</v>
      </c>
      <c r="BI21">
        <f>IF($A21="","",IF($A22="",1,IF(BG22&lt;&gt;BG21,1,0)))</f>
        <v>0</v>
      </c>
      <c r="BJ21">
        <f>IF($A21="","",IF(BH21=1,$B21,BJ20))</f>
        <v>0</v>
      </c>
      <c r="BK21">
        <f>IF($A21="","",IF(BH21=1,$C21,MAX($C21,BK20)))</f>
        <v>0</v>
      </c>
      <c r="BL21">
        <f>IF($A21="","",IF(BH21=1,$D21,MIN($D21,BL20)))</f>
        <v>0</v>
      </c>
      <c r="BM21">
        <f>IF($A21="","",IF(BI21=1,F21,""))</f>
        <v>0</v>
      </c>
      <c r="BN21">
        <f>IF($A21="","",DATE(YEAR($A21),MONTH($A21),1))</f>
        <v>0</v>
      </c>
      <c r="BO21">
        <f>IF($A21="","",IF($A20="",1,IF(BN21&lt;&gt;BN20,1,0)))</f>
        <v>0</v>
      </c>
      <c r="BP21">
        <f>IF($A21="","",IF($A22="",1,IF(BN22&lt;&gt;BN21,1,0)))</f>
        <v>0</v>
      </c>
      <c r="BQ21">
        <f>IF($A21="","",IF(BO21=1,$B21,BQ20))</f>
        <v>0</v>
      </c>
      <c r="BR21">
        <f>IF($A21="","",IF(BO21=1,$C21,MAX($C21,BR20)))</f>
        <v>0</v>
      </c>
      <c r="BS21">
        <f>IF($A21="","",IF(BO21=1,$D21,MIN($D21,BS20)))</f>
        <v>0</v>
      </c>
      <c r="BT21">
        <f>IF($A21="","",IF(BP21=1,F21,""))</f>
        <v>0</v>
      </c>
    </row>
    <row r="22" spans="1:72">
      <c r="A22" s="27">
        <f>IF(Data!$A22="","",Data!$A22)</f>
        <v>0</v>
      </c>
      <c r="B22">
        <f>IF(Data!$B22="","",Data!$B22)</f>
        <v>0</v>
      </c>
      <c r="C22">
        <f>IF(Data!$C22="","",Data!$C22)</f>
        <v>0</v>
      </c>
      <c r="D22">
        <f>IF(Data!$D22="","",Data!$D22)</f>
        <v>0</v>
      </c>
      <c r="E22">
        <f>IF(Data!$E22="","",Data!$E22)</f>
        <v>0</v>
      </c>
      <c r="F22">
        <f>IF($E22="","",N(F21)+1)</f>
        <v>0</v>
      </c>
      <c r="G22">
        <f>IF(OR($E22="",$E21=""),"",LN($E22/$E21))</f>
        <v>0</v>
      </c>
      <c r="H22">
        <f>IF($E22="","",IF($E21="",$E22,$E22*0.0952380952+H21*0.9047619048))</f>
        <v>0</v>
      </c>
      <c r="I22">
        <f>IF($E22="","",IF($E21="",$E22,$E22*0.0392156863+I21*0.9607843137))</f>
        <v>0</v>
      </c>
      <c r="J22">
        <f>IF($E22="","",IF($E21="",$E22,$E22*0.0198019802+J21*0.9801980198))</f>
        <v>0</v>
      </c>
      <c r="K22">
        <f>IF($E22="","",IF($E21="",$E22,$E22*0.0099502488+K21*0.9900497512))</f>
        <v>0</v>
      </c>
      <c r="L22">
        <f>IF(OR($E22="",$E21=""),"",MAX($E22-$E21,0))</f>
        <v>0</v>
      </c>
      <c r="M22">
        <f>IF(OR($E22="",$E21=""),"",MAX($E21-$E22,0))</f>
        <v>0</v>
      </c>
      <c r="N22">
        <f>IF(COUNT($E$2:$E22)&lt;15,"",IF(AVERAGE($M$9:$M$22)=0,100,100-100/(1+AVERAGE($L$9:$L$22)/AVERAGE($M$9:$M$22))))</f>
        <v>0</v>
      </c>
      <c r="O22">
        <f>IF($E22="","",IF($E21="",$E22,$E22*0.1538461538+O21*0.8461538462))</f>
        <v>0</v>
      </c>
      <c r="P22">
        <f>IF($E22="","",IF($E21="",$E22,$E22*0.0740740741+P21*0.9259259259))</f>
        <v>0</v>
      </c>
      <c r="Q22">
        <f>IF(OR(O22="",P22=""),"",O22-P22)</f>
        <v>0</v>
      </c>
      <c r="R22">
        <f>IF(Q22="","",IF(R21="",Q22,Q22*0.2000000000+R21*0.8000000000))</f>
        <v>0</v>
      </c>
      <c r="S22">
        <f>IF(OR(Q22="",R22=""),"",Q22-R22)</f>
        <v>0</v>
      </c>
      <c r="T22">
        <f>IF(COUNT($E$2:$E22)&lt;14,"",MAX($C$9:$C$22))</f>
        <v>0</v>
      </c>
      <c r="U22">
        <f>IF(COUNT($E$2:$E22)&lt;14,"",MIN($D$9:$D$22))</f>
        <v>0</v>
      </c>
      <c r="V22">
        <f>IF(OR(T22="",U22="",T22=U22),"",100*($E22-U22)/(T22-U22))</f>
        <v>0</v>
      </c>
      <c r="W22">
        <f>IF(COUNT($V$20:$V$22)&lt;3,"",AVERAGE($V$20:$V$22))</f>
        <v>0</v>
      </c>
      <c r="X22">
        <f>IF(COUNT($N$9:$N$22)&lt;14,"",MIN($N$9:$N$22))</f>
        <v>0</v>
      </c>
      <c r="Y22">
        <f>IF(COUNT($N$9:$N$22)&lt;14,"",MAX($N$9:$N$22))</f>
        <v>0</v>
      </c>
      <c r="Z22">
        <f>IF(OR(N22="",X22="",Y22="",Y22=X22),"",100*(N22-X22)/(Y22-X22))</f>
        <v>0</v>
      </c>
      <c r="AA22">
        <f>IF(COUNT($Z$20:$Z$22)&lt;3,"",AVERAGE($Z$20:$Z$22))</f>
        <v>0</v>
      </c>
      <c r="AB22">
        <f>IF(COUNT($AA$20:$AA$22)&lt;3,"",AVERAGE($AA$20:$AA$22))</f>
        <v>0</v>
      </c>
      <c r="AC22">
        <f>IF($E22="","",MAX($C22-$D22,ABS($C22-$E21),ABS($D22-$E21)))</f>
        <v>0</v>
      </c>
      <c r="AD22">
        <f>IF(COUNT($E$2:$E22)&lt;15,"",AVERAGE($AC$9:$AC$22))</f>
        <v>0</v>
      </c>
      <c r="AE22">
        <f>IF(OR($E22="",$E21=""),"",IF(AND(($C22-$C21)&gt;($D21-$D22),($C22-$C21)&gt;0),$C22-$C21,0))</f>
        <v>0</v>
      </c>
      <c r="AF22">
        <f>IF(OR($E22="",$E21=""),"",IF(AND(($D21-$D22)&gt;($C22-$C21),($D21-$D22)&gt;0),$D21-$D22,0))</f>
        <v>0</v>
      </c>
      <c r="AG22">
        <f>IF(COUNT($E$2:$E22)&lt;15,"",IF(SUM($AC$9:$AC$22)=0,0,100*SUM($AE$9:$AE$22)/SUM($AC$9:$AC$22)))</f>
        <v>0</v>
      </c>
      <c r="AH22">
        <f>IF(COUNT($E$2:$E22)&lt;15,"",IF(SUM($AC$9:$AC$22)=0,0,100*SUM($AF$9:$AF$22)/SUM($AC$9:$AC$22)))</f>
        <v>0</v>
      </c>
      <c r="AI22">
        <f>IF(OR(AG22="",AH22=""),"",IF((AG22+AH22)=0,0,100*ABS(AG22-AH22)/(AG22+AH22)))</f>
        <v>0</v>
      </c>
      <c r="AJ22">
        <f>IF(COUNT($AI$9:$AI$22)&lt;14,"",AVERAGE($AI$9:$AI$22))</f>
        <v>0</v>
      </c>
      <c r="AK22">
        <f>IF(COUNT($E$2:$E22)&lt;20,"",AVERAGE($E$3:$E$22))</f>
        <v>0</v>
      </c>
      <c r="AL22">
        <f>IF(COUNT($E$2:$E22)&lt;20,"",STDEVP($E$3:$E$22))</f>
        <v>0</v>
      </c>
      <c r="AM22">
        <f>IF(AK22="","",AK22+2*AL22)</f>
        <v>0</v>
      </c>
      <c r="AN22">
        <f>IF(AK22="","",AK22-2*AL22)</f>
        <v>0</v>
      </c>
      <c r="AO22">
        <f>IF(OR(AM22="",AN22="",AM22=AN22),"",($E22-AN22)/(AM22-AN22))</f>
        <v>0</v>
      </c>
      <c r="AP22">
        <f>IF(OR(AM22="",AK22="",AK22=0),"",(AM22-AN22)/AK22)</f>
        <v>0</v>
      </c>
      <c r="AQ22">
        <f>IF(COUNT($E$2:$E22)&lt;20,"",MAX($C$3:$C$22))</f>
        <v>0</v>
      </c>
      <c r="AR22">
        <f>IF(COUNT($E$2:$E22)&lt;20,"",MIN($D$3:$D$22))</f>
        <v>0</v>
      </c>
      <c r="AS22">
        <f>IF(OR(AQ22="",AR22=""),"",(AQ22+AR22)/2)</f>
        <v>0</v>
      </c>
      <c r="AT22">
        <f>IF(COUNT($G$3:$G$22)&lt;20,"",STDEV($G$3:$G$22)*SQRT(252))</f>
        <v>0</v>
      </c>
      <c r="AU22">
        <f>IF(COUNT($E$2:$E22)&lt;9,"",(MAX($C$14:$C$22)+MIN($D$14:$D$22))/2)</f>
        <v>0</v>
      </c>
      <c r="AV22">
        <f>IF(COUNT($E$2:$E22)&lt;26,"",(MAX($C$2:$C$22)+MIN($D$2:$D$22))/2)</f>
        <v>0</v>
      </c>
      <c r="AW22">
        <f>IF(OR(AU22="",AV22=""),"",(AU22+AV22)/2)</f>
        <v>0</v>
      </c>
      <c r="AX22">
        <f>IF(COUNT($E$2:$E22)&lt;52,"",(MAX($C$2:$C$22)+MIN($D$2:$D$22))/2)</f>
        <v>0</v>
      </c>
      <c r="AY22">
        <f>IF(COUNT($E$2:$E22)&lt;20,"",MAX($C$2:$C$22))</f>
        <v>0</v>
      </c>
      <c r="AZ22">
        <f>IF(COUNT($E$2:$E22)&lt;20,"",MIN($D$2:$D$22))</f>
        <v>0</v>
      </c>
      <c r="BA22">
        <f>IF(COUNT($E$2:$E22)&lt;20,"",SLOPE($E$2:$E$22,$F$2:$F$22))</f>
        <v>0</v>
      </c>
      <c r="BB22">
        <f>IF(COUNT($E$2:$E22)&lt;20,"",INTERCEPT($E$2:$E$22,$F$2:$F$22))</f>
        <v>0</v>
      </c>
      <c r="BC22">
        <f>IF(OR(BA22="",BB22=""),"",BB22+BA22*F22)</f>
        <v>0</v>
      </c>
      <c r="BD22">
        <f>IF(COUNT($E$2:$E22)&lt;20,"",STEYX($E$2:$E$22,$F$2:$F$22))</f>
        <v>0</v>
      </c>
      <c r="BE22">
        <f>IF($E22="","",IF(AND(COUNT($E$23:$E$26)&gt;=4,$C22=MAX($C$18:$C$26)),$C22,""))</f>
        <v>0</v>
      </c>
      <c r="BF22">
        <f>IF($E22="","",IF(AND(COUNT($E$23:$E$26)&gt;=4,$D22=MIN($D$18:$D$26)),$D22,""))</f>
        <v>0</v>
      </c>
      <c r="BG22">
        <f>IF($A22="","",$A22-WEEKDAY($A22,2)+1)</f>
        <v>0</v>
      </c>
      <c r="BH22">
        <f>IF($A22="","",IF($A21="",1,IF(BG22&lt;&gt;BG21,1,0)))</f>
        <v>0</v>
      </c>
      <c r="BI22">
        <f>IF($A22="","",IF($A23="",1,IF(BG23&lt;&gt;BG22,1,0)))</f>
        <v>0</v>
      </c>
      <c r="BJ22">
        <f>IF($A22="","",IF(BH22=1,$B22,BJ21))</f>
        <v>0</v>
      </c>
      <c r="BK22">
        <f>IF($A22="","",IF(BH22=1,$C22,MAX($C22,BK21)))</f>
        <v>0</v>
      </c>
      <c r="BL22">
        <f>IF($A22="","",IF(BH22=1,$D22,MIN($D22,BL21)))</f>
        <v>0</v>
      </c>
      <c r="BM22">
        <f>IF($A22="","",IF(BI22=1,F22,""))</f>
        <v>0</v>
      </c>
      <c r="BN22">
        <f>IF($A22="","",DATE(YEAR($A22),MONTH($A22),1))</f>
        <v>0</v>
      </c>
      <c r="BO22">
        <f>IF($A22="","",IF($A21="",1,IF(BN22&lt;&gt;BN21,1,0)))</f>
        <v>0</v>
      </c>
      <c r="BP22">
        <f>IF($A22="","",IF($A23="",1,IF(BN23&lt;&gt;BN22,1,0)))</f>
        <v>0</v>
      </c>
      <c r="BQ22">
        <f>IF($A22="","",IF(BO22=1,$B22,BQ21))</f>
        <v>0</v>
      </c>
      <c r="BR22">
        <f>IF($A22="","",IF(BO22=1,$C22,MAX($C22,BR21)))</f>
        <v>0</v>
      </c>
      <c r="BS22">
        <f>IF($A22="","",IF(BO22=1,$D22,MIN($D22,BS21)))</f>
        <v>0</v>
      </c>
      <c r="BT22">
        <f>IF($A22="","",IF(BP22=1,F22,""))</f>
        <v>0</v>
      </c>
    </row>
    <row r="23" spans="1:72">
      <c r="A23" s="27">
        <f>IF(Data!$A23="","",Data!$A23)</f>
        <v>0</v>
      </c>
      <c r="B23">
        <f>IF(Data!$B23="","",Data!$B23)</f>
        <v>0</v>
      </c>
      <c r="C23">
        <f>IF(Data!$C23="","",Data!$C23)</f>
        <v>0</v>
      </c>
      <c r="D23">
        <f>IF(Data!$D23="","",Data!$D23)</f>
        <v>0</v>
      </c>
      <c r="E23">
        <f>IF(Data!$E23="","",Data!$E23)</f>
        <v>0</v>
      </c>
      <c r="F23">
        <f>IF($E23="","",N(F22)+1)</f>
        <v>0</v>
      </c>
      <c r="G23">
        <f>IF(OR($E23="",$E22=""),"",LN($E23/$E22))</f>
        <v>0</v>
      </c>
      <c r="H23">
        <f>IF($E23="","",IF($E22="",$E23,$E23*0.0952380952+H22*0.9047619048))</f>
        <v>0</v>
      </c>
      <c r="I23">
        <f>IF($E23="","",IF($E22="",$E23,$E23*0.0392156863+I22*0.9607843137))</f>
        <v>0</v>
      </c>
      <c r="J23">
        <f>IF($E23="","",IF($E22="",$E23,$E23*0.0198019802+J22*0.9801980198))</f>
        <v>0</v>
      </c>
      <c r="K23">
        <f>IF($E23="","",IF($E22="",$E23,$E23*0.0099502488+K22*0.9900497512))</f>
        <v>0</v>
      </c>
      <c r="L23">
        <f>IF(OR($E23="",$E22=""),"",MAX($E23-$E22,0))</f>
        <v>0</v>
      </c>
      <c r="M23">
        <f>IF(OR($E23="",$E22=""),"",MAX($E22-$E23,0))</f>
        <v>0</v>
      </c>
      <c r="N23">
        <f>IF(COUNT($E$2:$E23)&lt;15,"",IF(AVERAGE($M$10:$M$23)=0,100,100-100/(1+AVERAGE($L$10:$L$23)/AVERAGE($M$10:$M$23))))</f>
        <v>0</v>
      </c>
      <c r="O23">
        <f>IF($E23="","",IF($E22="",$E23,$E23*0.1538461538+O22*0.8461538462))</f>
        <v>0</v>
      </c>
      <c r="P23">
        <f>IF($E23="","",IF($E22="",$E23,$E23*0.0740740741+P22*0.9259259259))</f>
        <v>0</v>
      </c>
      <c r="Q23">
        <f>IF(OR(O23="",P23=""),"",O23-P23)</f>
        <v>0</v>
      </c>
      <c r="R23">
        <f>IF(Q23="","",IF(R22="",Q23,Q23*0.2000000000+R22*0.8000000000))</f>
        <v>0</v>
      </c>
      <c r="S23">
        <f>IF(OR(Q23="",R23=""),"",Q23-R23)</f>
        <v>0</v>
      </c>
      <c r="T23">
        <f>IF(COUNT($E$2:$E23)&lt;14,"",MAX($C$10:$C$23))</f>
        <v>0</v>
      </c>
      <c r="U23">
        <f>IF(COUNT($E$2:$E23)&lt;14,"",MIN($D$10:$D$23))</f>
        <v>0</v>
      </c>
      <c r="V23">
        <f>IF(OR(T23="",U23="",T23=U23),"",100*($E23-U23)/(T23-U23))</f>
        <v>0</v>
      </c>
      <c r="W23">
        <f>IF(COUNT($V$21:$V$23)&lt;3,"",AVERAGE($V$21:$V$23))</f>
        <v>0</v>
      </c>
      <c r="X23">
        <f>IF(COUNT($N$10:$N$23)&lt;14,"",MIN($N$10:$N$23))</f>
        <v>0</v>
      </c>
      <c r="Y23">
        <f>IF(COUNT($N$10:$N$23)&lt;14,"",MAX($N$10:$N$23))</f>
        <v>0</v>
      </c>
      <c r="Z23">
        <f>IF(OR(N23="",X23="",Y23="",Y23=X23),"",100*(N23-X23)/(Y23-X23))</f>
        <v>0</v>
      </c>
      <c r="AA23">
        <f>IF(COUNT($Z$21:$Z$23)&lt;3,"",AVERAGE($Z$21:$Z$23))</f>
        <v>0</v>
      </c>
      <c r="AB23">
        <f>IF(COUNT($AA$21:$AA$23)&lt;3,"",AVERAGE($AA$21:$AA$23))</f>
        <v>0</v>
      </c>
      <c r="AC23">
        <f>IF($E23="","",MAX($C23-$D23,ABS($C23-$E22),ABS($D23-$E22)))</f>
        <v>0</v>
      </c>
      <c r="AD23">
        <f>IF(COUNT($E$2:$E23)&lt;15,"",AVERAGE($AC$10:$AC$23))</f>
        <v>0</v>
      </c>
      <c r="AE23">
        <f>IF(OR($E23="",$E22=""),"",IF(AND(($C23-$C22)&gt;($D22-$D23),($C23-$C22)&gt;0),$C23-$C22,0))</f>
        <v>0</v>
      </c>
      <c r="AF23">
        <f>IF(OR($E23="",$E22=""),"",IF(AND(($D22-$D23)&gt;($C23-$C22),($D22-$D23)&gt;0),$D22-$D23,0))</f>
        <v>0</v>
      </c>
      <c r="AG23">
        <f>IF(COUNT($E$2:$E23)&lt;15,"",IF(SUM($AC$10:$AC$23)=0,0,100*SUM($AE$10:$AE$23)/SUM($AC$10:$AC$23)))</f>
        <v>0</v>
      </c>
      <c r="AH23">
        <f>IF(COUNT($E$2:$E23)&lt;15,"",IF(SUM($AC$10:$AC$23)=0,0,100*SUM($AF$10:$AF$23)/SUM($AC$10:$AC$23)))</f>
        <v>0</v>
      </c>
      <c r="AI23">
        <f>IF(OR(AG23="",AH23=""),"",IF((AG23+AH23)=0,0,100*ABS(AG23-AH23)/(AG23+AH23)))</f>
        <v>0</v>
      </c>
      <c r="AJ23">
        <f>IF(COUNT($AI$10:$AI$23)&lt;14,"",AVERAGE($AI$10:$AI$23))</f>
        <v>0</v>
      </c>
      <c r="AK23">
        <f>IF(COUNT($E$2:$E23)&lt;20,"",AVERAGE($E$4:$E$23))</f>
        <v>0</v>
      </c>
      <c r="AL23">
        <f>IF(COUNT($E$2:$E23)&lt;20,"",STDEVP($E$4:$E$23))</f>
        <v>0</v>
      </c>
      <c r="AM23">
        <f>IF(AK23="","",AK23+2*AL23)</f>
        <v>0</v>
      </c>
      <c r="AN23">
        <f>IF(AK23="","",AK23-2*AL23)</f>
        <v>0</v>
      </c>
      <c r="AO23">
        <f>IF(OR(AM23="",AN23="",AM23=AN23),"",($E23-AN23)/(AM23-AN23))</f>
        <v>0</v>
      </c>
      <c r="AP23">
        <f>IF(OR(AM23="",AK23="",AK23=0),"",(AM23-AN23)/AK23)</f>
        <v>0</v>
      </c>
      <c r="AQ23">
        <f>IF(COUNT($E$2:$E23)&lt;20,"",MAX($C$4:$C$23))</f>
        <v>0</v>
      </c>
      <c r="AR23">
        <f>IF(COUNT($E$2:$E23)&lt;20,"",MIN($D$4:$D$23))</f>
        <v>0</v>
      </c>
      <c r="AS23">
        <f>IF(OR(AQ23="",AR23=""),"",(AQ23+AR23)/2)</f>
        <v>0</v>
      </c>
      <c r="AT23">
        <f>IF(COUNT($G$4:$G$23)&lt;20,"",STDEV($G$4:$G$23)*SQRT(252))</f>
        <v>0</v>
      </c>
      <c r="AU23">
        <f>IF(COUNT($E$2:$E23)&lt;9,"",(MAX($C$15:$C$23)+MIN($D$15:$D$23))/2)</f>
        <v>0</v>
      </c>
      <c r="AV23">
        <f>IF(COUNT($E$2:$E23)&lt;26,"",(MAX($C$2:$C$23)+MIN($D$2:$D$23))/2)</f>
        <v>0</v>
      </c>
      <c r="AW23">
        <f>IF(OR(AU23="",AV23=""),"",(AU23+AV23)/2)</f>
        <v>0</v>
      </c>
      <c r="AX23">
        <f>IF(COUNT($E$2:$E23)&lt;52,"",(MAX($C$2:$C$23)+MIN($D$2:$D$23))/2)</f>
        <v>0</v>
      </c>
      <c r="AY23">
        <f>IF(COUNT($E$2:$E23)&lt;20,"",MAX($C$2:$C$23))</f>
        <v>0</v>
      </c>
      <c r="AZ23">
        <f>IF(COUNT($E$2:$E23)&lt;20,"",MIN($D$2:$D$23))</f>
        <v>0</v>
      </c>
      <c r="BA23">
        <f>IF(COUNT($E$2:$E23)&lt;20,"",SLOPE($E$2:$E$23,$F$2:$F$23))</f>
        <v>0</v>
      </c>
      <c r="BB23">
        <f>IF(COUNT($E$2:$E23)&lt;20,"",INTERCEPT($E$2:$E$23,$F$2:$F$23))</f>
        <v>0</v>
      </c>
      <c r="BC23">
        <f>IF(OR(BA23="",BB23=""),"",BB23+BA23*F23)</f>
        <v>0</v>
      </c>
      <c r="BD23">
        <f>IF(COUNT($E$2:$E23)&lt;20,"",STEYX($E$2:$E$23,$F$2:$F$23))</f>
        <v>0</v>
      </c>
      <c r="BE23">
        <f>IF($E23="","",IF(AND(COUNT($E$24:$E$27)&gt;=4,$C23=MAX($C$19:$C$27)),$C23,""))</f>
        <v>0</v>
      </c>
      <c r="BF23">
        <f>IF($E23="","",IF(AND(COUNT($E$24:$E$27)&gt;=4,$D23=MIN($D$19:$D$27)),$D23,""))</f>
        <v>0</v>
      </c>
      <c r="BG23">
        <f>IF($A23="","",$A23-WEEKDAY($A23,2)+1)</f>
        <v>0</v>
      </c>
      <c r="BH23">
        <f>IF($A23="","",IF($A22="",1,IF(BG23&lt;&gt;BG22,1,0)))</f>
        <v>0</v>
      </c>
      <c r="BI23">
        <f>IF($A23="","",IF($A24="",1,IF(BG24&lt;&gt;BG23,1,0)))</f>
        <v>0</v>
      </c>
      <c r="BJ23">
        <f>IF($A23="","",IF(BH23=1,$B23,BJ22))</f>
        <v>0</v>
      </c>
      <c r="BK23">
        <f>IF($A23="","",IF(BH23=1,$C23,MAX($C23,BK22)))</f>
        <v>0</v>
      </c>
      <c r="BL23">
        <f>IF($A23="","",IF(BH23=1,$D23,MIN($D23,BL22)))</f>
        <v>0</v>
      </c>
      <c r="BM23">
        <f>IF($A23="","",IF(BI23=1,F23,""))</f>
        <v>0</v>
      </c>
      <c r="BN23">
        <f>IF($A23="","",DATE(YEAR($A23),MONTH($A23),1))</f>
        <v>0</v>
      </c>
      <c r="BO23">
        <f>IF($A23="","",IF($A22="",1,IF(BN23&lt;&gt;BN22,1,0)))</f>
        <v>0</v>
      </c>
      <c r="BP23">
        <f>IF($A23="","",IF($A24="",1,IF(BN24&lt;&gt;BN23,1,0)))</f>
        <v>0</v>
      </c>
      <c r="BQ23">
        <f>IF($A23="","",IF(BO23=1,$B23,BQ22))</f>
        <v>0</v>
      </c>
      <c r="BR23">
        <f>IF($A23="","",IF(BO23=1,$C23,MAX($C23,BR22)))</f>
        <v>0</v>
      </c>
      <c r="BS23">
        <f>IF($A23="","",IF(BO23=1,$D23,MIN($D23,BS22)))</f>
        <v>0</v>
      </c>
      <c r="BT23">
        <f>IF($A23="","",IF(BP23=1,F23,""))</f>
        <v>0</v>
      </c>
    </row>
    <row r="24" spans="1:72">
      <c r="A24" s="27">
        <f>IF(Data!$A24="","",Data!$A24)</f>
        <v>0</v>
      </c>
      <c r="B24">
        <f>IF(Data!$B24="","",Data!$B24)</f>
        <v>0</v>
      </c>
      <c r="C24">
        <f>IF(Data!$C24="","",Data!$C24)</f>
        <v>0</v>
      </c>
      <c r="D24">
        <f>IF(Data!$D24="","",Data!$D24)</f>
        <v>0</v>
      </c>
      <c r="E24">
        <f>IF(Data!$E24="","",Data!$E24)</f>
        <v>0</v>
      </c>
      <c r="F24">
        <f>IF($E24="","",N(F23)+1)</f>
        <v>0</v>
      </c>
      <c r="G24">
        <f>IF(OR($E24="",$E23=""),"",LN($E24/$E23))</f>
        <v>0</v>
      </c>
      <c r="H24">
        <f>IF($E24="","",IF($E23="",$E24,$E24*0.0952380952+H23*0.9047619048))</f>
        <v>0</v>
      </c>
      <c r="I24">
        <f>IF($E24="","",IF($E23="",$E24,$E24*0.0392156863+I23*0.9607843137))</f>
        <v>0</v>
      </c>
      <c r="J24">
        <f>IF($E24="","",IF($E23="",$E24,$E24*0.0198019802+J23*0.9801980198))</f>
        <v>0</v>
      </c>
      <c r="K24">
        <f>IF($E24="","",IF($E23="",$E24,$E24*0.0099502488+K23*0.9900497512))</f>
        <v>0</v>
      </c>
      <c r="L24">
        <f>IF(OR($E24="",$E23=""),"",MAX($E24-$E23,0))</f>
        <v>0</v>
      </c>
      <c r="M24">
        <f>IF(OR($E24="",$E23=""),"",MAX($E23-$E24,0))</f>
        <v>0</v>
      </c>
      <c r="N24">
        <f>IF(COUNT($E$2:$E24)&lt;15,"",IF(AVERAGE($M$11:$M$24)=0,100,100-100/(1+AVERAGE($L$11:$L$24)/AVERAGE($M$11:$M$24))))</f>
        <v>0</v>
      </c>
      <c r="O24">
        <f>IF($E24="","",IF($E23="",$E24,$E24*0.1538461538+O23*0.8461538462))</f>
        <v>0</v>
      </c>
      <c r="P24">
        <f>IF($E24="","",IF($E23="",$E24,$E24*0.0740740741+P23*0.9259259259))</f>
        <v>0</v>
      </c>
      <c r="Q24">
        <f>IF(OR(O24="",P24=""),"",O24-P24)</f>
        <v>0</v>
      </c>
      <c r="R24">
        <f>IF(Q24="","",IF(R23="",Q24,Q24*0.2000000000+R23*0.8000000000))</f>
        <v>0</v>
      </c>
      <c r="S24">
        <f>IF(OR(Q24="",R24=""),"",Q24-R24)</f>
        <v>0</v>
      </c>
      <c r="T24">
        <f>IF(COUNT($E$2:$E24)&lt;14,"",MAX($C$11:$C$24))</f>
        <v>0</v>
      </c>
      <c r="U24">
        <f>IF(COUNT($E$2:$E24)&lt;14,"",MIN($D$11:$D$24))</f>
        <v>0</v>
      </c>
      <c r="V24">
        <f>IF(OR(T24="",U24="",T24=U24),"",100*($E24-U24)/(T24-U24))</f>
        <v>0</v>
      </c>
      <c r="W24">
        <f>IF(COUNT($V$22:$V$24)&lt;3,"",AVERAGE($V$22:$V$24))</f>
        <v>0</v>
      </c>
      <c r="X24">
        <f>IF(COUNT($N$11:$N$24)&lt;14,"",MIN($N$11:$N$24))</f>
        <v>0</v>
      </c>
      <c r="Y24">
        <f>IF(COUNT($N$11:$N$24)&lt;14,"",MAX($N$11:$N$24))</f>
        <v>0</v>
      </c>
      <c r="Z24">
        <f>IF(OR(N24="",X24="",Y24="",Y24=X24),"",100*(N24-X24)/(Y24-X24))</f>
        <v>0</v>
      </c>
      <c r="AA24">
        <f>IF(COUNT($Z$22:$Z$24)&lt;3,"",AVERAGE($Z$22:$Z$24))</f>
        <v>0</v>
      </c>
      <c r="AB24">
        <f>IF(COUNT($AA$22:$AA$24)&lt;3,"",AVERAGE($AA$22:$AA$24))</f>
        <v>0</v>
      </c>
      <c r="AC24">
        <f>IF($E24="","",MAX($C24-$D24,ABS($C24-$E23),ABS($D24-$E23)))</f>
        <v>0</v>
      </c>
      <c r="AD24">
        <f>IF(COUNT($E$2:$E24)&lt;15,"",AVERAGE($AC$11:$AC$24))</f>
        <v>0</v>
      </c>
      <c r="AE24">
        <f>IF(OR($E24="",$E23=""),"",IF(AND(($C24-$C23)&gt;($D23-$D24),($C24-$C23)&gt;0),$C24-$C23,0))</f>
        <v>0</v>
      </c>
      <c r="AF24">
        <f>IF(OR($E24="",$E23=""),"",IF(AND(($D23-$D24)&gt;($C24-$C23),($D23-$D24)&gt;0),$D23-$D24,0))</f>
        <v>0</v>
      </c>
      <c r="AG24">
        <f>IF(COUNT($E$2:$E24)&lt;15,"",IF(SUM($AC$11:$AC$24)=0,0,100*SUM($AE$11:$AE$24)/SUM($AC$11:$AC$24)))</f>
        <v>0</v>
      </c>
      <c r="AH24">
        <f>IF(COUNT($E$2:$E24)&lt;15,"",IF(SUM($AC$11:$AC$24)=0,0,100*SUM($AF$11:$AF$24)/SUM($AC$11:$AC$24)))</f>
        <v>0</v>
      </c>
      <c r="AI24">
        <f>IF(OR(AG24="",AH24=""),"",IF((AG24+AH24)=0,0,100*ABS(AG24-AH24)/(AG24+AH24)))</f>
        <v>0</v>
      </c>
      <c r="AJ24">
        <f>IF(COUNT($AI$11:$AI$24)&lt;14,"",AVERAGE($AI$11:$AI$24))</f>
        <v>0</v>
      </c>
      <c r="AK24">
        <f>IF(COUNT($E$2:$E24)&lt;20,"",AVERAGE($E$5:$E$24))</f>
        <v>0</v>
      </c>
      <c r="AL24">
        <f>IF(COUNT($E$2:$E24)&lt;20,"",STDEVP($E$5:$E$24))</f>
        <v>0</v>
      </c>
      <c r="AM24">
        <f>IF(AK24="","",AK24+2*AL24)</f>
        <v>0</v>
      </c>
      <c r="AN24">
        <f>IF(AK24="","",AK24-2*AL24)</f>
        <v>0</v>
      </c>
      <c r="AO24">
        <f>IF(OR(AM24="",AN24="",AM24=AN24),"",($E24-AN24)/(AM24-AN24))</f>
        <v>0</v>
      </c>
      <c r="AP24">
        <f>IF(OR(AM24="",AK24="",AK24=0),"",(AM24-AN24)/AK24)</f>
        <v>0</v>
      </c>
      <c r="AQ24">
        <f>IF(COUNT($E$2:$E24)&lt;20,"",MAX($C$5:$C$24))</f>
        <v>0</v>
      </c>
      <c r="AR24">
        <f>IF(COUNT($E$2:$E24)&lt;20,"",MIN($D$5:$D$24))</f>
        <v>0</v>
      </c>
      <c r="AS24">
        <f>IF(OR(AQ24="",AR24=""),"",(AQ24+AR24)/2)</f>
        <v>0</v>
      </c>
      <c r="AT24">
        <f>IF(COUNT($G$5:$G$24)&lt;20,"",STDEV($G$5:$G$24)*SQRT(252))</f>
        <v>0</v>
      </c>
      <c r="AU24">
        <f>IF(COUNT($E$2:$E24)&lt;9,"",(MAX($C$16:$C$24)+MIN($D$16:$D$24))/2)</f>
        <v>0</v>
      </c>
      <c r="AV24">
        <f>IF(COUNT($E$2:$E24)&lt;26,"",(MAX($C$2:$C$24)+MIN($D$2:$D$24))/2)</f>
        <v>0</v>
      </c>
      <c r="AW24">
        <f>IF(OR(AU24="",AV24=""),"",(AU24+AV24)/2)</f>
        <v>0</v>
      </c>
      <c r="AX24">
        <f>IF(COUNT($E$2:$E24)&lt;52,"",(MAX($C$2:$C$24)+MIN($D$2:$D$24))/2)</f>
        <v>0</v>
      </c>
      <c r="AY24">
        <f>IF(COUNT($E$2:$E24)&lt;20,"",MAX($C$2:$C$24))</f>
        <v>0</v>
      </c>
      <c r="AZ24">
        <f>IF(COUNT($E$2:$E24)&lt;20,"",MIN($D$2:$D$24))</f>
        <v>0</v>
      </c>
      <c r="BA24">
        <f>IF(COUNT($E$2:$E24)&lt;20,"",SLOPE($E$2:$E$24,$F$2:$F$24))</f>
        <v>0</v>
      </c>
      <c r="BB24">
        <f>IF(COUNT($E$2:$E24)&lt;20,"",INTERCEPT($E$2:$E$24,$F$2:$F$24))</f>
        <v>0</v>
      </c>
      <c r="BC24">
        <f>IF(OR(BA24="",BB24=""),"",BB24+BA24*F24)</f>
        <v>0</v>
      </c>
      <c r="BD24">
        <f>IF(COUNT($E$2:$E24)&lt;20,"",STEYX($E$2:$E$24,$F$2:$F$24))</f>
        <v>0</v>
      </c>
      <c r="BE24">
        <f>IF($E24="","",IF(AND(COUNT($E$25:$E$28)&gt;=4,$C24=MAX($C$20:$C$28)),$C24,""))</f>
        <v>0</v>
      </c>
      <c r="BF24">
        <f>IF($E24="","",IF(AND(COUNT($E$25:$E$28)&gt;=4,$D24=MIN($D$20:$D$28)),$D24,""))</f>
        <v>0</v>
      </c>
      <c r="BG24">
        <f>IF($A24="","",$A24-WEEKDAY($A24,2)+1)</f>
        <v>0</v>
      </c>
      <c r="BH24">
        <f>IF($A24="","",IF($A23="",1,IF(BG24&lt;&gt;BG23,1,0)))</f>
        <v>0</v>
      </c>
      <c r="BI24">
        <f>IF($A24="","",IF($A25="",1,IF(BG25&lt;&gt;BG24,1,0)))</f>
        <v>0</v>
      </c>
      <c r="BJ24">
        <f>IF($A24="","",IF(BH24=1,$B24,BJ23))</f>
        <v>0</v>
      </c>
      <c r="BK24">
        <f>IF($A24="","",IF(BH24=1,$C24,MAX($C24,BK23)))</f>
        <v>0</v>
      </c>
      <c r="BL24">
        <f>IF($A24="","",IF(BH24=1,$D24,MIN($D24,BL23)))</f>
        <v>0</v>
      </c>
      <c r="BM24">
        <f>IF($A24="","",IF(BI24=1,F24,""))</f>
        <v>0</v>
      </c>
      <c r="BN24">
        <f>IF($A24="","",DATE(YEAR($A24),MONTH($A24),1))</f>
        <v>0</v>
      </c>
      <c r="BO24">
        <f>IF($A24="","",IF($A23="",1,IF(BN24&lt;&gt;BN23,1,0)))</f>
        <v>0</v>
      </c>
      <c r="BP24">
        <f>IF($A24="","",IF($A25="",1,IF(BN25&lt;&gt;BN24,1,0)))</f>
        <v>0</v>
      </c>
      <c r="BQ24">
        <f>IF($A24="","",IF(BO24=1,$B24,BQ23))</f>
        <v>0</v>
      </c>
      <c r="BR24">
        <f>IF($A24="","",IF(BO24=1,$C24,MAX($C24,BR23)))</f>
        <v>0</v>
      </c>
      <c r="BS24">
        <f>IF($A24="","",IF(BO24=1,$D24,MIN($D24,BS23)))</f>
        <v>0</v>
      </c>
      <c r="BT24">
        <f>IF($A24="","",IF(BP24=1,F24,""))</f>
        <v>0</v>
      </c>
    </row>
    <row r="25" spans="1:72">
      <c r="A25" s="27">
        <f>IF(Data!$A25="","",Data!$A25)</f>
        <v>0</v>
      </c>
      <c r="B25">
        <f>IF(Data!$B25="","",Data!$B25)</f>
        <v>0</v>
      </c>
      <c r="C25">
        <f>IF(Data!$C25="","",Data!$C25)</f>
        <v>0</v>
      </c>
      <c r="D25">
        <f>IF(Data!$D25="","",Data!$D25)</f>
        <v>0</v>
      </c>
      <c r="E25">
        <f>IF(Data!$E25="","",Data!$E25)</f>
        <v>0</v>
      </c>
      <c r="F25">
        <f>IF($E25="","",N(F24)+1)</f>
        <v>0</v>
      </c>
      <c r="G25">
        <f>IF(OR($E25="",$E24=""),"",LN($E25/$E24))</f>
        <v>0</v>
      </c>
      <c r="H25">
        <f>IF($E25="","",IF($E24="",$E25,$E25*0.0952380952+H24*0.9047619048))</f>
        <v>0</v>
      </c>
      <c r="I25">
        <f>IF($E25="","",IF($E24="",$E25,$E25*0.0392156863+I24*0.9607843137))</f>
        <v>0</v>
      </c>
      <c r="J25">
        <f>IF($E25="","",IF($E24="",$E25,$E25*0.0198019802+J24*0.9801980198))</f>
        <v>0</v>
      </c>
      <c r="K25">
        <f>IF($E25="","",IF($E24="",$E25,$E25*0.0099502488+K24*0.9900497512))</f>
        <v>0</v>
      </c>
      <c r="L25">
        <f>IF(OR($E25="",$E24=""),"",MAX($E25-$E24,0))</f>
        <v>0</v>
      </c>
      <c r="M25">
        <f>IF(OR($E25="",$E24=""),"",MAX($E24-$E25,0))</f>
        <v>0</v>
      </c>
      <c r="N25">
        <f>IF(COUNT($E$2:$E25)&lt;15,"",IF(AVERAGE($M$12:$M$25)=0,100,100-100/(1+AVERAGE($L$12:$L$25)/AVERAGE($M$12:$M$25))))</f>
        <v>0</v>
      </c>
      <c r="O25">
        <f>IF($E25="","",IF($E24="",$E25,$E25*0.1538461538+O24*0.8461538462))</f>
        <v>0</v>
      </c>
      <c r="P25">
        <f>IF($E25="","",IF($E24="",$E25,$E25*0.0740740741+P24*0.9259259259))</f>
        <v>0</v>
      </c>
      <c r="Q25">
        <f>IF(OR(O25="",P25=""),"",O25-P25)</f>
        <v>0</v>
      </c>
      <c r="R25">
        <f>IF(Q25="","",IF(R24="",Q25,Q25*0.2000000000+R24*0.8000000000))</f>
        <v>0</v>
      </c>
      <c r="S25">
        <f>IF(OR(Q25="",R25=""),"",Q25-R25)</f>
        <v>0</v>
      </c>
      <c r="T25">
        <f>IF(COUNT($E$2:$E25)&lt;14,"",MAX($C$12:$C$25))</f>
        <v>0</v>
      </c>
      <c r="U25">
        <f>IF(COUNT($E$2:$E25)&lt;14,"",MIN($D$12:$D$25))</f>
        <v>0</v>
      </c>
      <c r="V25">
        <f>IF(OR(T25="",U25="",T25=U25),"",100*($E25-U25)/(T25-U25))</f>
        <v>0</v>
      </c>
      <c r="W25">
        <f>IF(COUNT($V$23:$V$25)&lt;3,"",AVERAGE($V$23:$V$25))</f>
        <v>0</v>
      </c>
      <c r="X25">
        <f>IF(COUNT($N$12:$N$25)&lt;14,"",MIN($N$12:$N$25))</f>
        <v>0</v>
      </c>
      <c r="Y25">
        <f>IF(COUNT($N$12:$N$25)&lt;14,"",MAX($N$12:$N$25))</f>
        <v>0</v>
      </c>
      <c r="Z25">
        <f>IF(OR(N25="",X25="",Y25="",Y25=X25),"",100*(N25-X25)/(Y25-X25))</f>
        <v>0</v>
      </c>
      <c r="AA25">
        <f>IF(COUNT($Z$23:$Z$25)&lt;3,"",AVERAGE($Z$23:$Z$25))</f>
        <v>0</v>
      </c>
      <c r="AB25">
        <f>IF(COUNT($AA$23:$AA$25)&lt;3,"",AVERAGE($AA$23:$AA$25))</f>
        <v>0</v>
      </c>
      <c r="AC25">
        <f>IF($E25="","",MAX($C25-$D25,ABS($C25-$E24),ABS($D25-$E24)))</f>
        <v>0</v>
      </c>
      <c r="AD25">
        <f>IF(COUNT($E$2:$E25)&lt;15,"",AVERAGE($AC$12:$AC$25))</f>
        <v>0</v>
      </c>
      <c r="AE25">
        <f>IF(OR($E25="",$E24=""),"",IF(AND(($C25-$C24)&gt;($D24-$D25),($C25-$C24)&gt;0),$C25-$C24,0))</f>
        <v>0</v>
      </c>
      <c r="AF25">
        <f>IF(OR($E25="",$E24=""),"",IF(AND(($D24-$D25)&gt;($C25-$C24),($D24-$D25)&gt;0),$D24-$D25,0))</f>
        <v>0</v>
      </c>
      <c r="AG25">
        <f>IF(COUNT($E$2:$E25)&lt;15,"",IF(SUM($AC$12:$AC$25)=0,0,100*SUM($AE$12:$AE$25)/SUM($AC$12:$AC$25)))</f>
        <v>0</v>
      </c>
      <c r="AH25">
        <f>IF(COUNT($E$2:$E25)&lt;15,"",IF(SUM($AC$12:$AC$25)=0,0,100*SUM($AF$12:$AF$25)/SUM($AC$12:$AC$25)))</f>
        <v>0</v>
      </c>
      <c r="AI25">
        <f>IF(OR(AG25="",AH25=""),"",IF((AG25+AH25)=0,0,100*ABS(AG25-AH25)/(AG25+AH25)))</f>
        <v>0</v>
      </c>
      <c r="AJ25">
        <f>IF(COUNT($AI$12:$AI$25)&lt;14,"",AVERAGE($AI$12:$AI$25))</f>
        <v>0</v>
      </c>
      <c r="AK25">
        <f>IF(COUNT($E$2:$E25)&lt;20,"",AVERAGE($E$6:$E$25))</f>
        <v>0</v>
      </c>
      <c r="AL25">
        <f>IF(COUNT($E$2:$E25)&lt;20,"",STDEVP($E$6:$E$25))</f>
        <v>0</v>
      </c>
      <c r="AM25">
        <f>IF(AK25="","",AK25+2*AL25)</f>
        <v>0</v>
      </c>
      <c r="AN25">
        <f>IF(AK25="","",AK25-2*AL25)</f>
        <v>0</v>
      </c>
      <c r="AO25">
        <f>IF(OR(AM25="",AN25="",AM25=AN25),"",($E25-AN25)/(AM25-AN25))</f>
        <v>0</v>
      </c>
      <c r="AP25">
        <f>IF(OR(AM25="",AK25="",AK25=0),"",(AM25-AN25)/AK25)</f>
        <v>0</v>
      </c>
      <c r="AQ25">
        <f>IF(COUNT($E$2:$E25)&lt;20,"",MAX($C$6:$C$25))</f>
        <v>0</v>
      </c>
      <c r="AR25">
        <f>IF(COUNT($E$2:$E25)&lt;20,"",MIN($D$6:$D$25))</f>
        <v>0</v>
      </c>
      <c r="AS25">
        <f>IF(OR(AQ25="",AR25=""),"",(AQ25+AR25)/2)</f>
        <v>0</v>
      </c>
      <c r="AT25">
        <f>IF(COUNT($G$6:$G$25)&lt;20,"",STDEV($G$6:$G$25)*SQRT(252))</f>
        <v>0</v>
      </c>
      <c r="AU25">
        <f>IF(COUNT($E$2:$E25)&lt;9,"",(MAX($C$17:$C$25)+MIN($D$17:$D$25))/2)</f>
        <v>0</v>
      </c>
      <c r="AV25">
        <f>IF(COUNT($E$2:$E25)&lt;26,"",(MAX($C$2:$C$25)+MIN($D$2:$D$25))/2)</f>
        <v>0</v>
      </c>
      <c r="AW25">
        <f>IF(OR(AU25="",AV25=""),"",(AU25+AV25)/2)</f>
        <v>0</v>
      </c>
      <c r="AX25">
        <f>IF(COUNT($E$2:$E25)&lt;52,"",(MAX($C$2:$C$25)+MIN($D$2:$D$25))/2)</f>
        <v>0</v>
      </c>
      <c r="AY25">
        <f>IF(COUNT($E$2:$E25)&lt;20,"",MAX($C$2:$C$25))</f>
        <v>0</v>
      </c>
      <c r="AZ25">
        <f>IF(COUNT($E$2:$E25)&lt;20,"",MIN($D$2:$D$25))</f>
        <v>0</v>
      </c>
      <c r="BA25">
        <f>IF(COUNT($E$2:$E25)&lt;20,"",SLOPE($E$2:$E$25,$F$2:$F$25))</f>
        <v>0</v>
      </c>
      <c r="BB25">
        <f>IF(COUNT($E$2:$E25)&lt;20,"",INTERCEPT($E$2:$E$25,$F$2:$F$25))</f>
        <v>0</v>
      </c>
      <c r="BC25">
        <f>IF(OR(BA25="",BB25=""),"",BB25+BA25*F25)</f>
        <v>0</v>
      </c>
      <c r="BD25">
        <f>IF(COUNT($E$2:$E25)&lt;20,"",STEYX($E$2:$E$25,$F$2:$F$25))</f>
        <v>0</v>
      </c>
      <c r="BE25">
        <f>IF($E25="","",IF(AND(COUNT($E$26:$E$29)&gt;=4,$C25=MAX($C$21:$C$29)),$C25,""))</f>
        <v>0</v>
      </c>
      <c r="BF25">
        <f>IF($E25="","",IF(AND(COUNT($E$26:$E$29)&gt;=4,$D25=MIN($D$21:$D$29)),$D25,""))</f>
        <v>0</v>
      </c>
      <c r="BG25">
        <f>IF($A25="","",$A25-WEEKDAY($A25,2)+1)</f>
        <v>0</v>
      </c>
      <c r="BH25">
        <f>IF($A25="","",IF($A24="",1,IF(BG25&lt;&gt;BG24,1,0)))</f>
        <v>0</v>
      </c>
      <c r="BI25">
        <f>IF($A25="","",IF($A26="",1,IF(BG26&lt;&gt;BG25,1,0)))</f>
        <v>0</v>
      </c>
      <c r="BJ25">
        <f>IF($A25="","",IF(BH25=1,$B25,BJ24))</f>
        <v>0</v>
      </c>
      <c r="BK25">
        <f>IF($A25="","",IF(BH25=1,$C25,MAX($C25,BK24)))</f>
        <v>0</v>
      </c>
      <c r="BL25">
        <f>IF($A25="","",IF(BH25=1,$D25,MIN($D25,BL24)))</f>
        <v>0</v>
      </c>
      <c r="BM25">
        <f>IF($A25="","",IF(BI25=1,F25,""))</f>
        <v>0</v>
      </c>
      <c r="BN25">
        <f>IF($A25="","",DATE(YEAR($A25),MONTH($A25),1))</f>
        <v>0</v>
      </c>
      <c r="BO25">
        <f>IF($A25="","",IF($A24="",1,IF(BN25&lt;&gt;BN24,1,0)))</f>
        <v>0</v>
      </c>
      <c r="BP25">
        <f>IF($A25="","",IF($A26="",1,IF(BN26&lt;&gt;BN25,1,0)))</f>
        <v>0</v>
      </c>
      <c r="BQ25">
        <f>IF($A25="","",IF(BO25=1,$B25,BQ24))</f>
        <v>0</v>
      </c>
      <c r="BR25">
        <f>IF($A25="","",IF(BO25=1,$C25,MAX($C25,BR24)))</f>
        <v>0</v>
      </c>
      <c r="BS25">
        <f>IF($A25="","",IF(BO25=1,$D25,MIN($D25,BS24)))</f>
        <v>0</v>
      </c>
      <c r="BT25">
        <f>IF($A25="","",IF(BP25=1,F25,""))</f>
        <v>0</v>
      </c>
    </row>
    <row r="26" spans="1:72">
      <c r="A26" s="27">
        <f>IF(Data!$A26="","",Data!$A26)</f>
        <v>0</v>
      </c>
      <c r="B26">
        <f>IF(Data!$B26="","",Data!$B26)</f>
        <v>0</v>
      </c>
      <c r="C26">
        <f>IF(Data!$C26="","",Data!$C26)</f>
        <v>0</v>
      </c>
      <c r="D26">
        <f>IF(Data!$D26="","",Data!$D26)</f>
        <v>0</v>
      </c>
      <c r="E26">
        <f>IF(Data!$E26="","",Data!$E26)</f>
        <v>0</v>
      </c>
      <c r="F26">
        <f>IF($E26="","",N(F25)+1)</f>
        <v>0</v>
      </c>
      <c r="G26">
        <f>IF(OR($E26="",$E25=""),"",LN($E26/$E25))</f>
        <v>0</v>
      </c>
      <c r="H26">
        <f>IF($E26="","",IF($E25="",$E26,$E26*0.0952380952+H25*0.9047619048))</f>
        <v>0</v>
      </c>
      <c r="I26">
        <f>IF($E26="","",IF($E25="",$E26,$E26*0.0392156863+I25*0.9607843137))</f>
        <v>0</v>
      </c>
      <c r="J26">
        <f>IF($E26="","",IF($E25="",$E26,$E26*0.0198019802+J25*0.9801980198))</f>
        <v>0</v>
      </c>
      <c r="K26">
        <f>IF($E26="","",IF($E25="",$E26,$E26*0.0099502488+K25*0.9900497512))</f>
        <v>0</v>
      </c>
      <c r="L26">
        <f>IF(OR($E26="",$E25=""),"",MAX($E26-$E25,0))</f>
        <v>0</v>
      </c>
      <c r="M26">
        <f>IF(OR($E26="",$E25=""),"",MAX($E25-$E26,0))</f>
        <v>0</v>
      </c>
      <c r="N26">
        <f>IF(COUNT($E$2:$E26)&lt;15,"",IF(AVERAGE($M$13:$M$26)=0,100,100-100/(1+AVERAGE($L$13:$L$26)/AVERAGE($M$13:$M$26))))</f>
        <v>0</v>
      </c>
      <c r="O26">
        <f>IF($E26="","",IF($E25="",$E26,$E26*0.1538461538+O25*0.8461538462))</f>
        <v>0</v>
      </c>
      <c r="P26">
        <f>IF($E26="","",IF($E25="",$E26,$E26*0.0740740741+P25*0.9259259259))</f>
        <v>0</v>
      </c>
      <c r="Q26">
        <f>IF(OR(O26="",P26=""),"",O26-P26)</f>
        <v>0</v>
      </c>
      <c r="R26">
        <f>IF(Q26="","",IF(R25="",Q26,Q26*0.2000000000+R25*0.8000000000))</f>
        <v>0</v>
      </c>
      <c r="S26">
        <f>IF(OR(Q26="",R26=""),"",Q26-R26)</f>
        <v>0</v>
      </c>
      <c r="T26">
        <f>IF(COUNT($E$2:$E26)&lt;14,"",MAX($C$13:$C$26))</f>
        <v>0</v>
      </c>
      <c r="U26">
        <f>IF(COUNT($E$2:$E26)&lt;14,"",MIN($D$13:$D$26))</f>
        <v>0</v>
      </c>
      <c r="V26">
        <f>IF(OR(T26="",U26="",T26=U26),"",100*($E26-U26)/(T26-U26))</f>
        <v>0</v>
      </c>
      <c r="W26">
        <f>IF(COUNT($V$24:$V$26)&lt;3,"",AVERAGE($V$24:$V$26))</f>
        <v>0</v>
      </c>
      <c r="X26">
        <f>IF(COUNT($N$13:$N$26)&lt;14,"",MIN($N$13:$N$26))</f>
        <v>0</v>
      </c>
      <c r="Y26">
        <f>IF(COUNT($N$13:$N$26)&lt;14,"",MAX($N$13:$N$26))</f>
        <v>0</v>
      </c>
      <c r="Z26">
        <f>IF(OR(N26="",X26="",Y26="",Y26=X26),"",100*(N26-X26)/(Y26-X26))</f>
        <v>0</v>
      </c>
      <c r="AA26">
        <f>IF(COUNT($Z$24:$Z$26)&lt;3,"",AVERAGE($Z$24:$Z$26))</f>
        <v>0</v>
      </c>
      <c r="AB26">
        <f>IF(COUNT($AA$24:$AA$26)&lt;3,"",AVERAGE($AA$24:$AA$26))</f>
        <v>0</v>
      </c>
      <c r="AC26">
        <f>IF($E26="","",MAX($C26-$D26,ABS($C26-$E25),ABS($D26-$E25)))</f>
        <v>0</v>
      </c>
      <c r="AD26">
        <f>IF(COUNT($E$2:$E26)&lt;15,"",AVERAGE($AC$13:$AC$26))</f>
        <v>0</v>
      </c>
      <c r="AE26">
        <f>IF(OR($E26="",$E25=""),"",IF(AND(($C26-$C25)&gt;($D25-$D26),($C26-$C25)&gt;0),$C26-$C25,0))</f>
        <v>0</v>
      </c>
      <c r="AF26">
        <f>IF(OR($E26="",$E25=""),"",IF(AND(($D25-$D26)&gt;($C26-$C25),($D25-$D26)&gt;0),$D25-$D26,0))</f>
        <v>0</v>
      </c>
      <c r="AG26">
        <f>IF(COUNT($E$2:$E26)&lt;15,"",IF(SUM($AC$13:$AC$26)=0,0,100*SUM($AE$13:$AE$26)/SUM($AC$13:$AC$26)))</f>
        <v>0</v>
      </c>
      <c r="AH26">
        <f>IF(COUNT($E$2:$E26)&lt;15,"",IF(SUM($AC$13:$AC$26)=0,0,100*SUM($AF$13:$AF$26)/SUM($AC$13:$AC$26)))</f>
        <v>0</v>
      </c>
      <c r="AI26">
        <f>IF(OR(AG26="",AH26=""),"",IF((AG26+AH26)=0,0,100*ABS(AG26-AH26)/(AG26+AH26)))</f>
        <v>0</v>
      </c>
      <c r="AJ26">
        <f>IF(COUNT($AI$13:$AI$26)&lt;14,"",AVERAGE($AI$13:$AI$26))</f>
        <v>0</v>
      </c>
      <c r="AK26">
        <f>IF(COUNT($E$2:$E26)&lt;20,"",AVERAGE($E$7:$E$26))</f>
        <v>0</v>
      </c>
      <c r="AL26">
        <f>IF(COUNT($E$2:$E26)&lt;20,"",STDEVP($E$7:$E$26))</f>
        <v>0</v>
      </c>
      <c r="AM26">
        <f>IF(AK26="","",AK26+2*AL26)</f>
        <v>0</v>
      </c>
      <c r="AN26">
        <f>IF(AK26="","",AK26-2*AL26)</f>
        <v>0</v>
      </c>
      <c r="AO26">
        <f>IF(OR(AM26="",AN26="",AM26=AN26),"",($E26-AN26)/(AM26-AN26))</f>
        <v>0</v>
      </c>
      <c r="AP26">
        <f>IF(OR(AM26="",AK26="",AK26=0),"",(AM26-AN26)/AK26)</f>
        <v>0</v>
      </c>
      <c r="AQ26">
        <f>IF(COUNT($E$2:$E26)&lt;20,"",MAX($C$7:$C$26))</f>
        <v>0</v>
      </c>
      <c r="AR26">
        <f>IF(COUNT($E$2:$E26)&lt;20,"",MIN($D$7:$D$26))</f>
        <v>0</v>
      </c>
      <c r="AS26">
        <f>IF(OR(AQ26="",AR26=""),"",(AQ26+AR26)/2)</f>
        <v>0</v>
      </c>
      <c r="AT26">
        <f>IF(COUNT($G$7:$G$26)&lt;20,"",STDEV($G$7:$G$26)*SQRT(252))</f>
        <v>0</v>
      </c>
      <c r="AU26">
        <f>IF(COUNT($E$2:$E26)&lt;9,"",(MAX($C$18:$C$26)+MIN($D$18:$D$26))/2)</f>
        <v>0</v>
      </c>
      <c r="AV26">
        <f>IF(COUNT($E$2:$E26)&lt;26,"",(MAX($C$2:$C$26)+MIN($D$2:$D$26))/2)</f>
        <v>0</v>
      </c>
      <c r="AW26">
        <f>IF(OR(AU26="",AV26=""),"",(AU26+AV26)/2)</f>
        <v>0</v>
      </c>
      <c r="AX26">
        <f>IF(COUNT($E$2:$E26)&lt;52,"",(MAX($C$2:$C$26)+MIN($D$2:$D$26))/2)</f>
        <v>0</v>
      </c>
      <c r="AY26">
        <f>IF(COUNT($E$2:$E26)&lt;20,"",MAX($C$2:$C$26))</f>
        <v>0</v>
      </c>
      <c r="AZ26">
        <f>IF(COUNT($E$2:$E26)&lt;20,"",MIN($D$2:$D$26))</f>
        <v>0</v>
      </c>
      <c r="BA26">
        <f>IF(COUNT($E$2:$E26)&lt;20,"",SLOPE($E$2:$E$26,$F$2:$F$26))</f>
        <v>0</v>
      </c>
      <c r="BB26">
        <f>IF(COUNT($E$2:$E26)&lt;20,"",INTERCEPT($E$2:$E$26,$F$2:$F$26))</f>
        <v>0</v>
      </c>
      <c r="BC26">
        <f>IF(OR(BA26="",BB26=""),"",BB26+BA26*F26)</f>
        <v>0</v>
      </c>
      <c r="BD26">
        <f>IF(COUNT($E$2:$E26)&lt;20,"",STEYX($E$2:$E$26,$F$2:$F$26))</f>
        <v>0</v>
      </c>
      <c r="BE26">
        <f>IF($E26="","",IF(AND(COUNT($E$27:$E$30)&gt;=4,$C26=MAX($C$22:$C$30)),$C26,""))</f>
        <v>0</v>
      </c>
      <c r="BF26">
        <f>IF($E26="","",IF(AND(COUNT($E$27:$E$30)&gt;=4,$D26=MIN($D$22:$D$30)),$D26,""))</f>
        <v>0</v>
      </c>
      <c r="BG26">
        <f>IF($A26="","",$A26-WEEKDAY($A26,2)+1)</f>
        <v>0</v>
      </c>
      <c r="BH26">
        <f>IF($A26="","",IF($A25="",1,IF(BG26&lt;&gt;BG25,1,0)))</f>
        <v>0</v>
      </c>
      <c r="BI26">
        <f>IF($A26="","",IF($A27="",1,IF(BG27&lt;&gt;BG26,1,0)))</f>
        <v>0</v>
      </c>
      <c r="BJ26">
        <f>IF($A26="","",IF(BH26=1,$B26,BJ25))</f>
        <v>0</v>
      </c>
      <c r="BK26">
        <f>IF($A26="","",IF(BH26=1,$C26,MAX($C26,BK25)))</f>
        <v>0</v>
      </c>
      <c r="BL26">
        <f>IF($A26="","",IF(BH26=1,$D26,MIN($D26,BL25)))</f>
        <v>0</v>
      </c>
      <c r="BM26">
        <f>IF($A26="","",IF(BI26=1,F26,""))</f>
        <v>0</v>
      </c>
      <c r="BN26">
        <f>IF($A26="","",DATE(YEAR($A26),MONTH($A26),1))</f>
        <v>0</v>
      </c>
      <c r="BO26">
        <f>IF($A26="","",IF($A25="",1,IF(BN26&lt;&gt;BN25,1,0)))</f>
        <v>0</v>
      </c>
      <c r="BP26">
        <f>IF($A26="","",IF($A27="",1,IF(BN27&lt;&gt;BN26,1,0)))</f>
        <v>0</v>
      </c>
      <c r="BQ26">
        <f>IF($A26="","",IF(BO26=1,$B26,BQ25))</f>
        <v>0</v>
      </c>
      <c r="BR26">
        <f>IF($A26="","",IF(BO26=1,$C26,MAX($C26,BR25)))</f>
        <v>0</v>
      </c>
      <c r="BS26">
        <f>IF($A26="","",IF(BO26=1,$D26,MIN($D26,BS25)))</f>
        <v>0</v>
      </c>
      <c r="BT26">
        <f>IF($A26="","",IF(BP26=1,F26,""))</f>
        <v>0</v>
      </c>
    </row>
    <row r="27" spans="1:72">
      <c r="A27" s="27">
        <f>IF(Data!$A27="","",Data!$A27)</f>
        <v>0</v>
      </c>
      <c r="B27">
        <f>IF(Data!$B27="","",Data!$B27)</f>
        <v>0</v>
      </c>
      <c r="C27">
        <f>IF(Data!$C27="","",Data!$C27)</f>
        <v>0</v>
      </c>
      <c r="D27">
        <f>IF(Data!$D27="","",Data!$D27)</f>
        <v>0</v>
      </c>
      <c r="E27">
        <f>IF(Data!$E27="","",Data!$E27)</f>
        <v>0</v>
      </c>
      <c r="F27">
        <f>IF($E27="","",N(F26)+1)</f>
        <v>0</v>
      </c>
      <c r="G27">
        <f>IF(OR($E27="",$E26=""),"",LN($E27/$E26))</f>
        <v>0</v>
      </c>
      <c r="H27">
        <f>IF($E27="","",IF($E26="",$E27,$E27*0.0952380952+H26*0.9047619048))</f>
        <v>0</v>
      </c>
      <c r="I27">
        <f>IF($E27="","",IF($E26="",$E27,$E27*0.0392156863+I26*0.9607843137))</f>
        <v>0</v>
      </c>
      <c r="J27">
        <f>IF($E27="","",IF($E26="",$E27,$E27*0.0198019802+J26*0.9801980198))</f>
        <v>0</v>
      </c>
      <c r="K27">
        <f>IF($E27="","",IF($E26="",$E27,$E27*0.0099502488+K26*0.9900497512))</f>
        <v>0</v>
      </c>
      <c r="L27">
        <f>IF(OR($E27="",$E26=""),"",MAX($E27-$E26,0))</f>
        <v>0</v>
      </c>
      <c r="M27">
        <f>IF(OR($E27="",$E26=""),"",MAX($E26-$E27,0))</f>
        <v>0</v>
      </c>
      <c r="N27">
        <f>IF(COUNT($E$2:$E27)&lt;15,"",IF(AVERAGE($M$14:$M$27)=0,100,100-100/(1+AVERAGE($L$14:$L$27)/AVERAGE($M$14:$M$27))))</f>
        <v>0</v>
      </c>
      <c r="O27">
        <f>IF($E27="","",IF($E26="",$E27,$E27*0.1538461538+O26*0.8461538462))</f>
        <v>0</v>
      </c>
      <c r="P27">
        <f>IF($E27="","",IF($E26="",$E27,$E27*0.0740740741+P26*0.9259259259))</f>
        <v>0</v>
      </c>
      <c r="Q27">
        <f>IF(OR(O27="",P27=""),"",O27-P27)</f>
        <v>0</v>
      </c>
      <c r="R27">
        <f>IF(Q27="","",IF(R26="",Q27,Q27*0.2000000000+R26*0.8000000000))</f>
        <v>0</v>
      </c>
      <c r="S27">
        <f>IF(OR(Q27="",R27=""),"",Q27-R27)</f>
        <v>0</v>
      </c>
      <c r="T27">
        <f>IF(COUNT($E$2:$E27)&lt;14,"",MAX($C$14:$C$27))</f>
        <v>0</v>
      </c>
      <c r="U27">
        <f>IF(COUNT($E$2:$E27)&lt;14,"",MIN($D$14:$D$27))</f>
        <v>0</v>
      </c>
      <c r="V27">
        <f>IF(OR(T27="",U27="",T27=U27),"",100*($E27-U27)/(T27-U27))</f>
        <v>0</v>
      </c>
      <c r="W27">
        <f>IF(COUNT($V$25:$V$27)&lt;3,"",AVERAGE($V$25:$V$27))</f>
        <v>0</v>
      </c>
      <c r="X27">
        <f>IF(COUNT($N$14:$N$27)&lt;14,"",MIN($N$14:$N$27))</f>
        <v>0</v>
      </c>
      <c r="Y27">
        <f>IF(COUNT($N$14:$N$27)&lt;14,"",MAX($N$14:$N$27))</f>
        <v>0</v>
      </c>
      <c r="Z27">
        <f>IF(OR(N27="",X27="",Y27="",Y27=X27),"",100*(N27-X27)/(Y27-X27))</f>
        <v>0</v>
      </c>
      <c r="AA27">
        <f>IF(COUNT($Z$25:$Z$27)&lt;3,"",AVERAGE($Z$25:$Z$27))</f>
        <v>0</v>
      </c>
      <c r="AB27">
        <f>IF(COUNT($AA$25:$AA$27)&lt;3,"",AVERAGE($AA$25:$AA$27))</f>
        <v>0</v>
      </c>
      <c r="AC27">
        <f>IF($E27="","",MAX($C27-$D27,ABS($C27-$E26),ABS($D27-$E26)))</f>
        <v>0</v>
      </c>
      <c r="AD27">
        <f>IF(COUNT($E$2:$E27)&lt;15,"",AVERAGE($AC$14:$AC$27))</f>
        <v>0</v>
      </c>
      <c r="AE27">
        <f>IF(OR($E27="",$E26=""),"",IF(AND(($C27-$C26)&gt;($D26-$D27),($C27-$C26)&gt;0),$C27-$C26,0))</f>
        <v>0</v>
      </c>
      <c r="AF27">
        <f>IF(OR($E27="",$E26=""),"",IF(AND(($D26-$D27)&gt;($C27-$C26),($D26-$D27)&gt;0),$D26-$D27,0))</f>
        <v>0</v>
      </c>
      <c r="AG27">
        <f>IF(COUNT($E$2:$E27)&lt;15,"",IF(SUM($AC$14:$AC$27)=0,0,100*SUM($AE$14:$AE$27)/SUM($AC$14:$AC$27)))</f>
        <v>0</v>
      </c>
      <c r="AH27">
        <f>IF(COUNT($E$2:$E27)&lt;15,"",IF(SUM($AC$14:$AC$27)=0,0,100*SUM($AF$14:$AF$27)/SUM($AC$14:$AC$27)))</f>
        <v>0</v>
      </c>
      <c r="AI27">
        <f>IF(OR(AG27="",AH27=""),"",IF((AG27+AH27)=0,0,100*ABS(AG27-AH27)/(AG27+AH27)))</f>
        <v>0</v>
      </c>
      <c r="AJ27">
        <f>IF(COUNT($AI$14:$AI$27)&lt;14,"",AVERAGE($AI$14:$AI$27))</f>
        <v>0</v>
      </c>
      <c r="AK27">
        <f>IF(COUNT($E$2:$E27)&lt;20,"",AVERAGE($E$8:$E$27))</f>
        <v>0</v>
      </c>
      <c r="AL27">
        <f>IF(COUNT($E$2:$E27)&lt;20,"",STDEVP($E$8:$E$27))</f>
        <v>0</v>
      </c>
      <c r="AM27">
        <f>IF(AK27="","",AK27+2*AL27)</f>
        <v>0</v>
      </c>
      <c r="AN27">
        <f>IF(AK27="","",AK27-2*AL27)</f>
        <v>0</v>
      </c>
      <c r="AO27">
        <f>IF(OR(AM27="",AN27="",AM27=AN27),"",($E27-AN27)/(AM27-AN27))</f>
        <v>0</v>
      </c>
      <c r="AP27">
        <f>IF(OR(AM27="",AK27="",AK27=0),"",(AM27-AN27)/AK27)</f>
        <v>0</v>
      </c>
      <c r="AQ27">
        <f>IF(COUNT($E$2:$E27)&lt;20,"",MAX($C$8:$C$27))</f>
        <v>0</v>
      </c>
      <c r="AR27">
        <f>IF(COUNT($E$2:$E27)&lt;20,"",MIN($D$8:$D$27))</f>
        <v>0</v>
      </c>
      <c r="AS27">
        <f>IF(OR(AQ27="",AR27=""),"",(AQ27+AR27)/2)</f>
        <v>0</v>
      </c>
      <c r="AT27">
        <f>IF(COUNT($G$8:$G$27)&lt;20,"",STDEV($G$8:$G$27)*SQRT(252))</f>
        <v>0</v>
      </c>
      <c r="AU27">
        <f>IF(COUNT($E$2:$E27)&lt;9,"",(MAX($C$19:$C$27)+MIN($D$19:$D$27))/2)</f>
        <v>0</v>
      </c>
      <c r="AV27">
        <f>IF(COUNT($E$2:$E27)&lt;26,"",(MAX($C$2:$C$27)+MIN($D$2:$D$27))/2)</f>
        <v>0</v>
      </c>
      <c r="AW27">
        <f>IF(OR(AU27="",AV27=""),"",(AU27+AV27)/2)</f>
        <v>0</v>
      </c>
      <c r="AX27">
        <f>IF(COUNT($E$2:$E27)&lt;52,"",(MAX($C$2:$C$27)+MIN($D$2:$D$27))/2)</f>
        <v>0</v>
      </c>
      <c r="AY27">
        <f>IF(COUNT($E$2:$E27)&lt;20,"",MAX($C$2:$C$27))</f>
        <v>0</v>
      </c>
      <c r="AZ27">
        <f>IF(COUNT($E$2:$E27)&lt;20,"",MIN($D$2:$D$27))</f>
        <v>0</v>
      </c>
      <c r="BA27">
        <f>IF(COUNT($E$2:$E27)&lt;20,"",SLOPE($E$2:$E$27,$F$2:$F$27))</f>
        <v>0</v>
      </c>
      <c r="BB27">
        <f>IF(COUNT($E$2:$E27)&lt;20,"",INTERCEPT($E$2:$E$27,$F$2:$F$27))</f>
        <v>0</v>
      </c>
      <c r="BC27">
        <f>IF(OR(BA27="",BB27=""),"",BB27+BA27*F27)</f>
        <v>0</v>
      </c>
      <c r="BD27">
        <f>IF(COUNT($E$2:$E27)&lt;20,"",STEYX($E$2:$E$27,$F$2:$F$27))</f>
        <v>0</v>
      </c>
      <c r="BE27">
        <f>IF($E27="","",IF(AND(COUNT($E$28:$E$31)&gt;=4,$C27=MAX($C$23:$C$31)),$C27,""))</f>
        <v>0</v>
      </c>
      <c r="BF27">
        <f>IF($E27="","",IF(AND(COUNT($E$28:$E$31)&gt;=4,$D27=MIN($D$23:$D$31)),$D27,""))</f>
        <v>0</v>
      </c>
      <c r="BG27">
        <f>IF($A27="","",$A27-WEEKDAY($A27,2)+1)</f>
        <v>0</v>
      </c>
      <c r="BH27">
        <f>IF($A27="","",IF($A26="",1,IF(BG27&lt;&gt;BG26,1,0)))</f>
        <v>0</v>
      </c>
      <c r="BI27">
        <f>IF($A27="","",IF($A28="",1,IF(BG28&lt;&gt;BG27,1,0)))</f>
        <v>0</v>
      </c>
      <c r="BJ27">
        <f>IF($A27="","",IF(BH27=1,$B27,BJ26))</f>
        <v>0</v>
      </c>
      <c r="BK27">
        <f>IF($A27="","",IF(BH27=1,$C27,MAX($C27,BK26)))</f>
        <v>0</v>
      </c>
      <c r="BL27">
        <f>IF($A27="","",IF(BH27=1,$D27,MIN($D27,BL26)))</f>
        <v>0</v>
      </c>
      <c r="BM27">
        <f>IF($A27="","",IF(BI27=1,F27,""))</f>
        <v>0</v>
      </c>
      <c r="BN27">
        <f>IF($A27="","",DATE(YEAR($A27),MONTH($A27),1))</f>
        <v>0</v>
      </c>
      <c r="BO27">
        <f>IF($A27="","",IF($A26="",1,IF(BN27&lt;&gt;BN26,1,0)))</f>
        <v>0</v>
      </c>
      <c r="BP27">
        <f>IF($A27="","",IF($A28="",1,IF(BN28&lt;&gt;BN27,1,0)))</f>
        <v>0</v>
      </c>
      <c r="BQ27">
        <f>IF($A27="","",IF(BO27=1,$B27,BQ26))</f>
        <v>0</v>
      </c>
      <c r="BR27">
        <f>IF($A27="","",IF(BO27=1,$C27,MAX($C27,BR26)))</f>
        <v>0</v>
      </c>
      <c r="BS27">
        <f>IF($A27="","",IF(BO27=1,$D27,MIN($D27,BS26)))</f>
        <v>0</v>
      </c>
      <c r="BT27">
        <f>IF($A27="","",IF(BP27=1,F27,""))</f>
        <v>0</v>
      </c>
    </row>
    <row r="28" spans="1:72">
      <c r="A28" s="27">
        <f>IF(Data!$A28="","",Data!$A28)</f>
        <v>0</v>
      </c>
      <c r="B28">
        <f>IF(Data!$B28="","",Data!$B28)</f>
        <v>0</v>
      </c>
      <c r="C28">
        <f>IF(Data!$C28="","",Data!$C28)</f>
        <v>0</v>
      </c>
      <c r="D28">
        <f>IF(Data!$D28="","",Data!$D28)</f>
        <v>0</v>
      </c>
      <c r="E28">
        <f>IF(Data!$E28="","",Data!$E28)</f>
        <v>0</v>
      </c>
      <c r="F28">
        <f>IF($E28="","",N(F27)+1)</f>
        <v>0</v>
      </c>
      <c r="G28">
        <f>IF(OR($E28="",$E27=""),"",LN($E28/$E27))</f>
        <v>0</v>
      </c>
      <c r="H28">
        <f>IF($E28="","",IF($E27="",$E28,$E28*0.0952380952+H27*0.9047619048))</f>
        <v>0</v>
      </c>
      <c r="I28">
        <f>IF($E28="","",IF($E27="",$E28,$E28*0.0392156863+I27*0.9607843137))</f>
        <v>0</v>
      </c>
      <c r="J28">
        <f>IF($E28="","",IF($E27="",$E28,$E28*0.0198019802+J27*0.9801980198))</f>
        <v>0</v>
      </c>
      <c r="K28">
        <f>IF($E28="","",IF($E27="",$E28,$E28*0.0099502488+K27*0.9900497512))</f>
        <v>0</v>
      </c>
      <c r="L28">
        <f>IF(OR($E28="",$E27=""),"",MAX($E28-$E27,0))</f>
        <v>0</v>
      </c>
      <c r="M28">
        <f>IF(OR($E28="",$E27=""),"",MAX($E27-$E28,0))</f>
        <v>0</v>
      </c>
      <c r="N28">
        <f>IF(COUNT($E$2:$E28)&lt;15,"",IF(AVERAGE($M$15:$M$28)=0,100,100-100/(1+AVERAGE($L$15:$L$28)/AVERAGE($M$15:$M$28))))</f>
        <v>0</v>
      </c>
      <c r="O28">
        <f>IF($E28="","",IF($E27="",$E28,$E28*0.1538461538+O27*0.8461538462))</f>
        <v>0</v>
      </c>
      <c r="P28">
        <f>IF($E28="","",IF($E27="",$E28,$E28*0.0740740741+P27*0.9259259259))</f>
        <v>0</v>
      </c>
      <c r="Q28">
        <f>IF(OR(O28="",P28=""),"",O28-P28)</f>
        <v>0</v>
      </c>
      <c r="R28">
        <f>IF(Q28="","",IF(R27="",Q28,Q28*0.2000000000+R27*0.8000000000))</f>
        <v>0</v>
      </c>
      <c r="S28">
        <f>IF(OR(Q28="",R28=""),"",Q28-R28)</f>
        <v>0</v>
      </c>
      <c r="T28">
        <f>IF(COUNT($E$2:$E28)&lt;14,"",MAX($C$15:$C$28))</f>
        <v>0</v>
      </c>
      <c r="U28">
        <f>IF(COUNT($E$2:$E28)&lt;14,"",MIN($D$15:$D$28))</f>
        <v>0</v>
      </c>
      <c r="V28">
        <f>IF(OR(T28="",U28="",T28=U28),"",100*($E28-U28)/(T28-U28))</f>
        <v>0</v>
      </c>
      <c r="W28">
        <f>IF(COUNT($V$26:$V$28)&lt;3,"",AVERAGE($V$26:$V$28))</f>
        <v>0</v>
      </c>
      <c r="X28">
        <f>IF(COUNT($N$15:$N$28)&lt;14,"",MIN($N$15:$N$28))</f>
        <v>0</v>
      </c>
      <c r="Y28">
        <f>IF(COUNT($N$15:$N$28)&lt;14,"",MAX($N$15:$N$28))</f>
        <v>0</v>
      </c>
      <c r="Z28">
        <f>IF(OR(N28="",X28="",Y28="",Y28=X28),"",100*(N28-X28)/(Y28-X28))</f>
        <v>0</v>
      </c>
      <c r="AA28">
        <f>IF(COUNT($Z$26:$Z$28)&lt;3,"",AVERAGE($Z$26:$Z$28))</f>
        <v>0</v>
      </c>
      <c r="AB28">
        <f>IF(COUNT($AA$26:$AA$28)&lt;3,"",AVERAGE($AA$26:$AA$28))</f>
        <v>0</v>
      </c>
      <c r="AC28">
        <f>IF($E28="","",MAX($C28-$D28,ABS($C28-$E27),ABS($D28-$E27)))</f>
        <v>0</v>
      </c>
      <c r="AD28">
        <f>IF(COUNT($E$2:$E28)&lt;15,"",AVERAGE($AC$15:$AC$28))</f>
        <v>0</v>
      </c>
      <c r="AE28">
        <f>IF(OR($E28="",$E27=""),"",IF(AND(($C28-$C27)&gt;($D27-$D28),($C28-$C27)&gt;0),$C28-$C27,0))</f>
        <v>0</v>
      </c>
      <c r="AF28">
        <f>IF(OR($E28="",$E27=""),"",IF(AND(($D27-$D28)&gt;($C28-$C27),($D27-$D28)&gt;0),$D27-$D28,0))</f>
        <v>0</v>
      </c>
      <c r="AG28">
        <f>IF(COUNT($E$2:$E28)&lt;15,"",IF(SUM($AC$15:$AC$28)=0,0,100*SUM($AE$15:$AE$28)/SUM($AC$15:$AC$28)))</f>
        <v>0</v>
      </c>
      <c r="AH28">
        <f>IF(COUNT($E$2:$E28)&lt;15,"",IF(SUM($AC$15:$AC$28)=0,0,100*SUM($AF$15:$AF$28)/SUM($AC$15:$AC$28)))</f>
        <v>0</v>
      </c>
      <c r="AI28">
        <f>IF(OR(AG28="",AH28=""),"",IF((AG28+AH28)=0,0,100*ABS(AG28-AH28)/(AG28+AH28)))</f>
        <v>0</v>
      </c>
      <c r="AJ28">
        <f>IF(COUNT($AI$15:$AI$28)&lt;14,"",AVERAGE($AI$15:$AI$28))</f>
        <v>0</v>
      </c>
      <c r="AK28">
        <f>IF(COUNT($E$2:$E28)&lt;20,"",AVERAGE($E$9:$E$28))</f>
        <v>0</v>
      </c>
      <c r="AL28">
        <f>IF(COUNT($E$2:$E28)&lt;20,"",STDEVP($E$9:$E$28))</f>
        <v>0</v>
      </c>
      <c r="AM28">
        <f>IF(AK28="","",AK28+2*AL28)</f>
        <v>0</v>
      </c>
      <c r="AN28">
        <f>IF(AK28="","",AK28-2*AL28)</f>
        <v>0</v>
      </c>
      <c r="AO28">
        <f>IF(OR(AM28="",AN28="",AM28=AN28),"",($E28-AN28)/(AM28-AN28))</f>
        <v>0</v>
      </c>
      <c r="AP28">
        <f>IF(OR(AM28="",AK28="",AK28=0),"",(AM28-AN28)/AK28)</f>
        <v>0</v>
      </c>
      <c r="AQ28">
        <f>IF(COUNT($E$2:$E28)&lt;20,"",MAX($C$9:$C$28))</f>
        <v>0</v>
      </c>
      <c r="AR28">
        <f>IF(COUNT($E$2:$E28)&lt;20,"",MIN($D$9:$D$28))</f>
        <v>0</v>
      </c>
      <c r="AS28">
        <f>IF(OR(AQ28="",AR28=""),"",(AQ28+AR28)/2)</f>
        <v>0</v>
      </c>
      <c r="AT28">
        <f>IF(COUNT($G$9:$G$28)&lt;20,"",STDEV($G$9:$G$28)*SQRT(252))</f>
        <v>0</v>
      </c>
      <c r="AU28">
        <f>IF(COUNT($E$2:$E28)&lt;9,"",(MAX($C$20:$C$28)+MIN($D$20:$D$28))/2)</f>
        <v>0</v>
      </c>
      <c r="AV28">
        <f>IF(COUNT($E$2:$E28)&lt;26,"",(MAX($C$3:$C$28)+MIN($D$3:$D$28))/2)</f>
        <v>0</v>
      </c>
      <c r="AW28">
        <f>IF(OR(AU28="",AV28=""),"",(AU28+AV28)/2)</f>
        <v>0</v>
      </c>
      <c r="AX28">
        <f>IF(COUNT($E$2:$E28)&lt;52,"",(MAX($C$2:$C$28)+MIN($D$2:$D$28))/2)</f>
        <v>0</v>
      </c>
      <c r="AY28">
        <f>IF(COUNT($E$2:$E28)&lt;20,"",MAX($C$2:$C$28))</f>
        <v>0</v>
      </c>
      <c r="AZ28">
        <f>IF(COUNT($E$2:$E28)&lt;20,"",MIN($D$2:$D$28))</f>
        <v>0</v>
      </c>
      <c r="BA28">
        <f>IF(COUNT($E$2:$E28)&lt;20,"",SLOPE($E$2:$E$28,$F$2:$F$28))</f>
        <v>0</v>
      </c>
      <c r="BB28">
        <f>IF(COUNT($E$2:$E28)&lt;20,"",INTERCEPT($E$2:$E$28,$F$2:$F$28))</f>
        <v>0</v>
      </c>
      <c r="BC28">
        <f>IF(OR(BA28="",BB28=""),"",BB28+BA28*F28)</f>
        <v>0</v>
      </c>
      <c r="BD28">
        <f>IF(COUNT($E$2:$E28)&lt;20,"",STEYX($E$2:$E$28,$F$2:$F$28))</f>
        <v>0</v>
      </c>
      <c r="BE28">
        <f>IF($E28="","",IF(AND(COUNT($E$29:$E$32)&gt;=4,$C28=MAX($C$24:$C$32)),$C28,""))</f>
        <v>0</v>
      </c>
      <c r="BF28">
        <f>IF($E28="","",IF(AND(COUNT($E$29:$E$32)&gt;=4,$D28=MIN($D$24:$D$32)),$D28,""))</f>
        <v>0</v>
      </c>
      <c r="BG28">
        <f>IF($A28="","",$A28-WEEKDAY($A28,2)+1)</f>
        <v>0</v>
      </c>
      <c r="BH28">
        <f>IF($A28="","",IF($A27="",1,IF(BG28&lt;&gt;BG27,1,0)))</f>
        <v>0</v>
      </c>
      <c r="BI28">
        <f>IF($A28="","",IF($A29="",1,IF(BG29&lt;&gt;BG28,1,0)))</f>
        <v>0</v>
      </c>
      <c r="BJ28">
        <f>IF($A28="","",IF(BH28=1,$B28,BJ27))</f>
        <v>0</v>
      </c>
      <c r="BK28">
        <f>IF($A28="","",IF(BH28=1,$C28,MAX($C28,BK27)))</f>
        <v>0</v>
      </c>
      <c r="BL28">
        <f>IF($A28="","",IF(BH28=1,$D28,MIN($D28,BL27)))</f>
        <v>0</v>
      </c>
      <c r="BM28">
        <f>IF($A28="","",IF(BI28=1,F28,""))</f>
        <v>0</v>
      </c>
      <c r="BN28">
        <f>IF($A28="","",DATE(YEAR($A28),MONTH($A28),1))</f>
        <v>0</v>
      </c>
      <c r="BO28">
        <f>IF($A28="","",IF($A27="",1,IF(BN28&lt;&gt;BN27,1,0)))</f>
        <v>0</v>
      </c>
      <c r="BP28">
        <f>IF($A28="","",IF($A29="",1,IF(BN29&lt;&gt;BN28,1,0)))</f>
        <v>0</v>
      </c>
      <c r="BQ28">
        <f>IF($A28="","",IF(BO28=1,$B28,BQ27))</f>
        <v>0</v>
      </c>
      <c r="BR28">
        <f>IF($A28="","",IF(BO28=1,$C28,MAX($C28,BR27)))</f>
        <v>0</v>
      </c>
      <c r="BS28">
        <f>IF($A28="","",IF(BO28=1,$D28,MIN($D28,BS27)))</f>
        <v>0</v>
      </c>
      <c r="BT28">
        <f>IF($A28="","",IF(BP28=1,F28,""))</f>
        <v>0</v>
      </c>
    </row>
    <row r="29" spans="1:72">
      <c r="A29" s="27">
        <f>IF(Data!$A29="","",Data!$A29)</f>
        <v>0</v>
      </c>
      <c r="B29">
        <f>IF(Data!$B29="","",Data!$B29)</f>
        <v>0</v>
      </c>
      <c r="C29">
        <f>IF(Data!$C29="","",Data!$C29)</f>
        <v>0</v>
      </c>
      <c r="D29">
        <f>IF(Data!$D29="","",Data!$D29)</f>
        <v>0</v>
      </c>
      <c r="E29">
        <f>IF(Data!$E29="","",Data!$E29)</f>
        <v>0</v>
      </c>
      <c r="F29">
        <f>IF($E29="","",N(F28)+1)</f>
        <v>0</v>
      </c>
      <c r="G29">
        <f>IF(OR($E29="",$E28=""),"",LN($E29/$E28))</f>
        <v>0</v>
      </c>
      <c r="H29">
        <f>IF($E29="","",IF($E28="",$E29,$E29*0.0952380952+H28*0.9047619048))</f>
        <v>0</v>
      </c>
      <c r="I29">
        <f>IF($E29="","",IF($E28="",$E29,$E29*0.0392156863+I28*0.9607843137))</f>
        <v>0</v>
      </c>
      <c r="J29">
        <f>IF($E29="","",IF($E28="",$E29,$E29*0.0198019802+J28*0.9801980198))</f>
        <v>0</v>
      </c>
      <c r="K29">
        <f>IF($E29="","",IF($E28="",$E29,$E29*0.0099502488+K28*0.9900497512))</f>
        <v>0</v>
      </c>
      <c r="L29">
        <f>IF(OR($E29="",$E28=""),"",MAX($E29-$E28,0))</f>
        <v>0</v>
      </c>
      <c r="M29">
        <f>IF(OR($E29="",$E28=""),"",MAX($E28-$E29,0))</f>
        <v>0</v>
      </c>
      <c r="N29">
        <f>IF(COUNT($E$2:$E29)&lt;15,"",IF(AVERAGE($M$16:$M$29)=0,100,100-100/(1+AVERAGE($L$16:$L$29)/AVERAGE($M$16:$M$29))))</f>
        <v>0</v>
      </c>
      <c r="O29">
        <f>IF($E29="","",IF($E28="",$E29,$E29*0.1538461538+O28*0.8461538462))</f>
        <v>0</v>
      </c>
      <c r="P29">
        <f>IF($E29="","",IF($E28="",$E29,$E29*0.0740740741+P28*0.9259259259))</f>
        <v>0</v>
      </c>
      <c r="Q29">
        <f>IF(OR(O29="",P29=""),"",O29-P29)</f>
        <v>0</v>
      </c>
      <c r="R29">
        <f>IF(Q29="","",IF(R28="",Q29,Q29*0.2000000000+R28*0.8000000000))</f>
        <v>0</v>
      </c>
      <c r="S29">
        <f>IF(OR(Q29="",R29=""),"",Q29-R29)</f>
        <v>0</v>
      </c>
      <c r="T29">
        <f>IF(COUNT($E$2:$E29)&lt;14,"",MAX($C$16:$C$29))</f>
        <v>0</v>
      </c>
      <c r="U29">
        <f>IF(COUNT($E$2:$E29)&lt;14,"",MIN($D$16:$D$29))</f>
        <v>0</v>
      </c>
      <c r="V29">
        <f>IF(OR(T29="",U29="",T29=U29),"",100*($E29-U29)/(T29-U29))</f>
        <v>0</v>
      </c>
      <c r="W29">
        <f>IF(COUNT($V$27:$V$29)&lt;3,"",AVERAGE($V$27:$V$29))</f>
        <v>0</v>
      </c>
      <c r="X29">
        <f>IF(COUNT($N$16:$N$29)&lt;14,"",MIN($N$16:$N$29))</f>
        <v>0</v>
      </c>
      <c r="Y29">
        <f>IF(COUNT($N$16:$N$29)&lt;14,"",MAX($N$16:$N$29))</f>
        <v>0</v>
      </c>
      <c r="Z29">
        <f>IF(OR(N29="",X29="",Y29="",Y29=X29),"",100*(N29-X29)/(Y29-X29))</f>
        <v>0</v>
      </c>
      <c r="AA29">
        <f>IF(COUNT($Z$27:$Z$29)&lt;3,"",AVERAGE($Z$27:$Z$29))</f>
        <v>0</v>
      </c>
      <c r="AB29">
        <f>IF(COUNT($AA$27:$AA$29)&lt;3,"",AVERAGE($AA$27:$AA$29))</f>
        <v>0</v>
      </c>
      <c r="AC29">
        <f>IF($E29="","",MAX($C29-$D29,ABS($C29-$E28),ABS($D29-$E28)))</f>
        <v>0</v>
      </c>
      <c r="AD29">
        <f>IF(COUNT($E$2:$E29)&lt;15,"",AVERAGE($AC$16:$AC$29))</f>
        <v>0</v>
      </c>
      <c r="AE29">
        <f>IF(OR($E29="",$E28=""),"",IF(AND(($C29-$C28)&gt;($D28-$D29),($C29-$C28)&gt;0),$C29-$C28,0))</f>
        <v>0</v>
      </c>
      <c r="AF29">
        <f>IF(OR($E29="",$E28=""),"",IF(AND(($D28-$D29)&gt;($C29-$C28),($D28-$D29)&gt;0),$D28-$D29,0))</f>
        <v>0</v>
      </c>
      <c r="AG29">
        <f>IF(COUNT($E$2:$E29)&lt;15,"",IF(SUM($AC$16:$AC$29)=0,0,100*SUM($AE$16:$AE$29)/SUM($AC$16:$AC$29)))</f>
        <v>0</v>
      </c>
      <c r="AH29">
        <f>IF(COUNT($E$2:$E29)&lt;15,"",IF(SUM($AC$16:$AC$29)=0,0,100*SUM($AF$16:$AF$29)/SUM($AC$16:$AC$29)))</f>
        <v>0</v>
      </c>
      <c r="AI29">
        <f>IF(OR(AG29="",AH29=""),"",IF((AG29+AH29)=0,0,100*ABS(AG29-AH29)/(AG29+AH29)))</f>
        <v>0</v>
      </c>
      <c r="AJ29">
        <f>IF(COUNT($AI$16:$AI$29)&lt;14,"",AVERAGE($AI$16:$AI$29))</f>
        <v>0</v>
      </c>
      <c r="AK29">
        <f>IF(COUNT($E$2:$E29)&lt;20,"",AVERAGE($E$10:$E$29))</f>
        <v>0</v>
      </c>
      <c r="AL29">
        <f>IF(COUNT($E$2:$E29)&lt;20,"",STDEVP($E$10:$E$29))</f>
        <v>0</v>
      </c>
      <c r="AM29">
        <f>IF(AK29="","",AK29+2*AL29)</f>
        <v>0</v>
      </c>
      <c r="AN29">
        <f>IF(AK29="","",AK29-2*AL29)</f>
        <v>0</v>
      </c>
      <c r="AO29">
        <f>IF(OR(AM29="",AN29="",AM29=AN29),"",($E29-AN29)/(AM29-AN29))</f>
        <v>0</v>
      </c>
      <c r="AP29">
        <f>IF(OR(AM29="",AK29="",AK29=0),"",(AM29-AN29)/AK29)</f>
        <v>0</v>
      </c>
      <c r="AQ29">
        <f>IF(COUNT($E$2:$E29)&lt;20,"",MAX($C$10:$C$29))</f>
        <v>0</v>
      </c>
      <c r="AR29">
        <f>IF(COUNT($E$2:$E29)&lt;20,"",MIN($D$10:$D$29))</f>
        <v>0</v>
      </c>
      <c r="AS29">
        <f>IF(OR(AQ29="",AR29=""),"",(AQ29+AR29)/2)</f>
        <v>0</v>
      </c>
      <c r="AT29">
        <f>IF(COUNT($G$10:$G$29)&lt;20,"",STDEV($G$10:$G$29)*SQRT(252))</f>
        <v>0</v>
      </c>
      <c r="AU29">
        <f>IF(COUNT($E$2:$E29)&lt;9,"",(MAX($C$21:$C$29)+MIN($D$21:$D$29))/2)</f>
        <v>0</v>
      </c>
      <c r="AV29">
        <f>IF(COUNT($E$2:$E29)&lt;26,"",(MAX($C$4:$C$29)+MIN($D$4:$D$29))/2)</f>
        <v>0</v>
      </c>
      <c r="AW29">
        <f>IF(OR(AU29="",AV29=""),"",(AU29+AV29)/2)</f>
        <v>0</v>
      </c>
      <c r="AX29">
        <f>IF(COUNT($E$2:$E29)&lt;52,"",(MAX($C$2:$C$29)+MIN($D$2:$D$29))/2)</f>
        <v>0</v>
      </c>
      <c r="AY29">
        <f>IF(COUNT($E$2:$E29)&lt;20,"",MAX($C$2:$C$29))</f>
        <v>0</v>
      </c>
      <c r="AZ29">
        <f>IF(COUNT($E$2:$E29)&lt;20,"",MIN($D$2:$D$29))</f>
        <v>0</v>
      </c>
      <c r="BA29">
        <f>IF(COUNT($E$2:$E29)&lt;20,"",SLOPE($E$2:$E$29,$F$2:$F$29))</f>
        <v>0</v>
      </c>
      <c r="BB29">
        <f>IF(COUNT($E$2:$E29)&lt;20,"",INTERCEPT($E$2:$E$29,$F$2:$F$29))</f>
        <v>0</v>
      </c>
      <c r="BC29">
        <f>IF(OR(BA29="",BB29=""),"",BB29+BA29*F29)</f>
        <v>0</v>
      </c>
      <c r="BD29">
        <f>IF(COUNT($E$2:$E29)&lt;20,"",STEYX($E$2:$E$29,$F$2:$F$29))</f>
        <v>0</v>
      </c>
      <c r="BE29">
        <f>IF($E29="","",IF(AND(COUNT($E$30:$E$33)&gt;=4,$C29=MAX($C$25:$C$33)),$C29,""))</f>
        <v>0</v>
      </c>
      <c r="BF29">
        <f>IF($E29="","",IF(AND(COUNT($E$30:$E$33)&gt;=4,$D29=MIN($D$25:$D$33)),$D29,""))</f>
        <v>0</v>
      </c>
      <c r="BG29">
        <f>IF($A29="","",$A29-WEEKDAY($A29,2)+1)</f>
        <v>0</v>
      </c>
      <c r="BH29">
        <f>IF($A29="","",IF($A28="",1,IF(BG29&lt;&gt;BG28,1,0)))</f>
        <v>0</v>
      </c>
      <c r="BI29">
        <f>IF($A29="","",IF($A30="",1,IF(BG30&lt;&gt;BG29,1,0)))</f>
        <v>0</v>
      </c>
      <c r="BJ29">
        <f>IF($A29="","",IF(BH29=1,$B29,BJ28))</f>
        <v>0</v>
      </c>
      <c r="BK29">
        <f>IF($A29="","",IF(BH29=1,$C29,MAX($C29,BK28)))</f>
        <v>0</v>
      </c>
      <c r="BL29">
        <f>IF($A29="","",IF(BH29=1,$D29,MIN($D29,BL28)))</f>
        <v>0</v>
      </c>
      <c r="BM29">
        <f>IF($A29="","",IF(BI29=1,F29,""))</f>
        <v>0</v>
      </c>
      <c r="BN29">
        <f>IF($A29="","",DATE(YEAR($A29),MONTH($A29),1))</f>
        <v>0</v>
      </c>
      <c r="BO29">
        <f>IF($A29="","",IF($A28="",1,IF(BN29&lt;&gt;BN28,1,0)))</f>
        <v>0</v>
      </c>
      <c r="BP29">
        <f>IF($A29="","",IF($A30="",1,IF(BN30&lt;&gt;BN29,1,0)))</f>
        <v>0</v>
      </c>
      <c r="BQ29">
        <f>IF($A29="","",IF(BO29=1,$B29,BQ28))</f>
        <v>0</v>
      </c>
      <c r="BR29">
        <f>IF($A29="","",IF(BO29=1,$C29,MAX($C29,BR28)))</f>
        <v>0</v>
      </c>
      <c r="BS29">
        <f>IF($A29="","",IF(BO29=1,$D29,MIN($D29,BS28)))</f>
        <v>0</v>
      </c>
      <c r="BT29">
        <f>IF($A29="","",IF(BP29=1,F29,""))</f>
        <v>0</v>
      </c>
    </row>
    <row r="30" spans="1:72">
      <c r="A30" s="27">
        <f>IF(Data!$A30="","",Data!$A30)</f>
        <v>0</v>
      </c>
      <c r="B30">
        <f>IF(Data!$B30="","",Data!$B30)</f>
        <v>0</v>
      </c>
      <c r="C30">
        <f>IF(Data!$C30="","",Data!$C30)</f>
        <v>0</v>
      </c>
      <c r="D30">
        <f>IF(Data!$D30="","",Data!$D30)</f>
        <v>0</v>
      </c>
      <c r="E30">
        <f>IF(Data!$E30="","",Data!$E30)</f>
        <v>0</v>
      </c>
      <c r="F30">
        <f>IF($E30="","",N(F29)+1)</f>
        <v>0</v>
      </c>
      <c r="G30">
        <f>IF(OR($E30="",$E29=""),"",LN($E30/$E29))</f>
        <v>0</v>
      </c>
      <c r="H30">
        <f>IF($E30="","",IF($E29="",$E30,$E30*0.0952380952+H29*0.9047619048))</f>
        <v>0</v>
      </c>
      <c r="I30">
        <f>IF($E30="","",IF($E29="",$E30,$E30*0.0392156863+I29*0.9607843137))</f>
        <v>0</v>
      </c>
      <c r="J30">
        <f>IF($E30="","",IF($E29="",$E30,$E30*0.0198019802+J29*0.9801980198))</f>
        <v>0</v>
      </c>
      <c r="K30">
        <f>IF($E30="","",IF($E29="",$E30,$E30*0.0099502488+K29*0.9900497512))</f>
        <v>0</v>
      </c>
      <c r="L30">
        <f>IF(OR($E30="",$E29=""),"",MAX($E30-$E29,0))</f>
        <v>0</v>
      </c>
      <c r="M30">
        <f>IF(OR($E30="",$E29=""),"",MAX($E29-$E30,0))</f>
        <v>0</v>
      </c>
      <c r="N30">
        <f>IF(COUNT($E$2:$E30)&lt;15,"",IF(AVERAGE($M$17:$M$30)=0,100,100-100/(1+AVERAGE($L$17:$L$30)/AVERAGE($M$17:$M$30))))</f>
        <v>0</v>
      </c>
      <c r="O30">
        <f>IF($E30="","",IF($E29="",$E30,$E30*0.1538461538+O29*0.8461538462))</f>
        <v>0</v>
      </c>
      <c r="P30">
        <f>IF($E30="","",IF($E29="",$E30,$E30*0.0740740741+P29*0.9259259259))</f>
        <v>0</v>
      </c>
      <c r="Q30">
        <f>IF(OR(O30="",P30=""),"",O30-P30)</f>
        <v>0</v>
      </c>
      <c r="R30">
        <f>IF(Q30="","",IF(R29="",Q30,Q30*0.2000000000+R29*0.8000000000))</f>
        <v>0</v>
      </c>
      <c r="S30">
        <f>IF(OR(Q30="",R30=""),"",Q30-R30)</f>
        <v>0</v>
      </c>
      <c r="T30">
        <f>IF(COUNT($E$2:$E30)&lt;14,"",MAX($C$17:$C$30))</f>
        <v>0</v>
      </c>
      <c r="U30">
        <f>IF(COUNT($E$2:$E30)&lt;14,"",MIN($D$17:$D$30))</f>
        <v>0</v>
      </c>
      <c r="V30">
        <f>IF(OR(T30="",U30="",T30=U30),"",100*($E30-U30)/(T30-U30))</f>
        <v>0</v>
      </c>
      <c r="W30">
        <f>IF(COUNT($V$28:$V$30)&lt;3,"",AVERAGE($V$28:$V$30))</f>
        <v>0</v>
      </c>
      <c r="X30">
        <f>IF(COUNT($N$17:$N$30)&lt;14,"",MIN($N$17:$N$30))</f>
        <v>0</v>
      </c>
      <c r="Y30">
        <f>IF(COUNT($N$17:$N$30)&lt;14,"",MAX($N$17:$N$30))</f>
        <v>0</v>
      </c>
      <c r="Z30">
        <f>IF(OR(N30="",X30="",Y30="",Y30=X30),"",100*(N30-X30)/(Y30-X30))</f>
        <v>0</v>
      </c>
      <c r="AA30">
        <f>IF(COUNT($Z$28:$Z$30)&lt;3,"",AVERAGE($Z$28:$Z$30))</f>
        <v>0</v>
      </c>
      <c r="AB30">
        <f>IF(COUNT($AA$28:$AA$30)&lt;3,"",AVERAGE($AA$28:$AA$30))</f>
        <v>0</v>
      </c>
      <c r="AC30">
        <f>IF($E30="","",MAX($C30-$D30,ABS($C30-$E29),ABS($D30-$E29)))</f>
        <v>0</v>
      </c>
      <c r="AD30">
        <f>IF(COUNT($E$2:$E30)&lt;15,"",AVERAGE($AC$17:$AC$30))</f>
        <v>0</v>
      </c>
      <c r="AE30">
        <f>IF(OR($E30="",$E29=""),"",IF(AND(($C30-$C29)&gt;($D29-$D30),($C30-$C29)&gt;0),$C30-$C29,0))</f>
        <v>0</v>
      </c>
      <c r="AF30">
        <f>IF(OR($E30="",$E29=""),"",IF(AND(($D29-$D30)&gt;($C30-$C29),($D29-$D30)&gt;0),$D29-$D30,0))</f>
        <v>0</v>
      </c>
      <c r="AG30">
        <f>IF(COUNT($E$2:$E30)&lt;15,"",IF(SUM($AC$17:$AC$30)=0,0,100*SUM($AE$17:$AE$30)/SUM($AC$17:$AC$30)))</f>
        <v>0</v>
      </c>
      <c r="AH30">
        <f>IF(COUNT($E$2:$E30)&lt;15,"",IF(SUM($AC$17:$AC$30)=0,0,100*SUM($AF$17:$AF$30)/SUM($AC$17:$AC$30)))</f>
        <v>0</v>
      </c>
      <c r="AI30">
        <f>IF(OR(AG30="",AH30=""),"",IF((AG30+AH30)=0,0,100*ABS(AG30-AH30)/(AG30+AH30)))</f>
        <v>0</v>
      </c>
      <c r="AJ30">
        <f>IF(COUNT($AI$17:$AI$30)&lt;14,"",AVERAGE($AI$17:$AI$30))</f>
        <v>0</v>
      </c>
      <c r="AK30">
        <f>IF(COUNT($E$2:$E30)&lt;20,"",AVERAGE($E$11:$E$30))</f>
        <v>0</v>
      </c>
      <c r="AL30">
        <f>IF(COUNT($E$2:$E30)&lt;20,"",STDEVP($E$11:$E$30))</f>
        <v>0</v>
      </c>
      <c r="AM30">
        <f>IF(AK30="","",AK30+2*AL30)</f>
        <v>0</v>
      </c>
      <c r="AN30">
        <f>IF(AK30="","",AK30-2*AL30)</f>
        <v>0</v>
      </c>
      <c r="AO30">
        <f>IF(OR(AM30="",AN30="",AM30=AN30),"",($E30-AN30)/(AM30-AN30))</f>
        <v>0</v>
      </c>
      <c r="AP30">
        <f>IF(OR(AM30="",AK30="",AK30=0),"",(AM30-AN30)/AK30)</f>
        <v>0</v>
      </c>
      <c r="AQ30">
        <f>IF(COUNT($E$2:$E30)&lt;20,"",MAX($C$11:$C$30))</f>
        <v>0</v>
      </c>
      <c r="AR30">
        <f>IF(COUNT($E$2:$E30)&lt;20,"",MIN($D$11:$D$30))</f>
        <v>0</v>
      </c>
      <c r="AS30">
        <f>IF(OR(AQ30="",AR30=""),"",(AQ30+AR30)/2)</f>
        <v>0</v>
      </c>
      <c r="AT30">
        <f>IF(COUNT($G$11:$G$30)&lt;20,"",STDEV($G$11:$G$30)*SQRT(252))</f>
        <v>0</v>
      </c>
      <c r="AU30">
        <f>IF(COUNT($E$2:$E30)&lt;9,"",(MAX($C$22:$C$30)+MIN($D$22:$D$30))/2)</f>
        <v>0</v>
      </c>
      <c r="AV30">
        <f>IF(COUNT($E$2:$E30)&lt;26,"",(MAX($C$5:$C$30)+MIN($D$5:$D$30))/2)</f>
        <v>0</v>
      </c>
      <c r="AW30">
        <f>IF(OR(AU30="",AV30=""),"",(AU30+AV30)/2)</f>
        <v>0</v>
      </c>
      <c r="AX30">
        <f>IF(COUNT($E$2:$E30)&lt;52,"",(MAX($C$2:$C$30)+MIN($D$2:$D$30))/2)</f>
        <v>0</v>
      </c>
      <c r="AY30">
        <f>IF(COUNT($E$2:$E30)&lt;20,"",MAX($C$2:$C$30))</f>
        <v>0</v>
      </c>
      <c r="AZ30">
        <f>IF(COUNT($E$2:$E30)&lt;20,"",MIN($D$2:$D$30))</f>
        <v>0</v>
      </c>
      <c r="BA30">
        <f>IF(COUNT($E$2:$E30)&lt;20,"",SLOPE($E$2:$E$30,$F$2:$F$30))</f>
        <v>0</v>
      </c>
      <c r="BB30">
        <f>IF(COUNT($E$2:$E30)&lt;20,"",INTERCEPT($E$2:$E$30,$F$2:$F$30))</f>
        <v>0</v>
      </c>
      <c r="BC30">
        <f>IF(OR(BA30="",BB30=""),"",BB30+BA30*F30)</f>
        <v>0</v>
      </c>
      <c r="BD30">
        <f>IF(COUNT($E$2:$E30)&lt;20,"",STEYX($E$2:$E$30,$F$2:$F$30))</f>
        <v>0</v>
      </c>
      <c r="BE30">
        <f>IF($E30="","",IF(AND(COUNT($E$31:$E$34)&gt;=4,$C30=MAX($C$26:$C$34)),$C30,""))</f>
        <v>0</v>
      </c>
      <c r="BF30">
        <f>IF($E30="","",IF(AND(COUNT($E$31:$E$34)&gt;=4,$D30=MIN($D$26:$D$34)),$D30,""))</f>
        <v>0</v>
      </c>
      <c r="BG30">
        <f>IF($A30="","",$A30-WEEKDAY($A30,2)+1)</f>
        <v>0</v>
      </c>
      <c r="BH30">
        <f>IF($A30="","",IF($A29="",1,IF(BG30&lt;&gt;BG29,1,0)))</f>
        <v>0</v>
      </c>
      <c r="BI30">
        <f>IF($A30="","",IF($A31="",1,IF(BG31&lt;&gt;BG30,1,0)))</f>
        <v>0</v>
      </c>
      <c r="BJ30">
        <f>IF($A30="","",IF(BH30=1,$B30,BJ29))</f>
        <v>0</v>
      </c>
      <c r="BK30">
        <f>IF($A30="","",IF(BH30=1,$C30,MAX($C30,BK29)))</f>
        <v>0</v>
      </c>
      <c r="BL30">
        <f>IF($A30="","",IF(BH30=1,$D30,MIN($D30,BL29)))</f>
        <v>0</v>
      </c>
      <c r="BM30">
        <f>IF($A30="","",IF(BI30=1,F30,""))</f>
        <v>0</v>
      </c>
      <c r="BN30">
        <f>IF($A30="","",DATE(YEAR($A30),MONTH($A30),1))</f>
        <v>0</v>
      </c>
      <c r="BO30">
        <f>IF($A30="","",IF($A29="",1,IF(BN30&lt;&gt;BN29,1,0)))</f>
        <v>0</v>
      </c>
      <c r="BP30">
        <f>IF($A30="","",IF($A31="",1,IF(BN31&lt;&gt;BN30,1,0)))</f>
        <v>0</v>
      </c>
      <c r="BQ30">
        <f>IF($A30="","",IF(BO30=1,$B30,BQ29))</f>
        <v>0</v>
      </c>
      <c r="BR30">
        <f>IF($A30="","",IF(BO30=1,$C30,MAX($C30,BR29)))</f>
        <v>0</v>
      </c>
      <c r="BS30">
        <f>IF($A30="","",IF(BO30=1,$D30,MIN($D30,BS29)))</f>
        <v>0</v>
      </c>
      <c r="BT30">
        <f>IF($A30="","",IF(BP30=1,F30,""))</f>
        <v>0</v>
      </c>
    </row>
    <row r="31" spans="1:72">
      <c r="A31" s="27">
        <f>IF(Data!$A31="","",Data!$A31)</f>
        <v>0</v>
      </c>
      <c r="B31">
        <f>IF(Data!$B31="","",Data!$B31)</f>
        <v>0</v>
      </c>
      <c r="C31">
        <f>IF(Data!$C31="","",Data!$C31)</f>
        <v>0</v>
      </c>
      <c r="D31">
        <f>IF(Data!$D31="","",Data!$D31)</f>
        <v>0</v>
      </c>
      <c r="E31">
        <f>IF(Data!$E31="","",Data!$E31)</f>
        <v>0</v>
      </c>
      <c r="F31">
        <f>IF($E31="","",N(F30)+1)</f>
        <v>0</v>
      </c>
      <c r="G31">
        <f>IF(OR($E31="",$E30=""),"",LN($E31/$E30))</f>
        <v>0</v>
      </c>
      <c r="H31">
        <f>IF($E31="","",IF($E30="",$E31,$E31*0.0952380952+H30*0.9047619048))</f>
        <v>0</v>
      </c>
      <c r="I31">
        <f>IF($E31="","",IF($E30="",$E31,$E31*0.0392156863+I30*0.9607843137))</f>
        <v>0</v>
      </c>
      <c r="J31">
        <f>IF($E31="","",IF($E30="",$E31,$E31*0.0198019802+J30*0.9801980198))</f>
        <v>0</v>
      </c>
      <c r="K31">
        <f>IF($E31="","",IF($E30="",$E31,$E31*0.0099502488+K30*0.9900497512))</f>
        <v>0</v>
      </c>
      <c r="L31">
        <f>IF(OR($E31="",$E30=""),"",MAX($E31-$E30,0))</f>
        <v>0</v>
      </c>
      <c r="M31">
        <f>IF(OR($E31="",$E30=""),"",MAX($E30-$E31,0))</f>
        <v>0</v>
      </c>
      <c r="N31">
        <f>IF(COUNT($E$2:$E31)&lt;15,"",IF(AVERAGE($M$18:$M$31)=0,100,100-100/(1+AVERAGE($L$18:$L$31)/AVERAGE($M$18:$M$31))))</f>
        <v>0</v>
      </c>
      <c r="O31">
        <f>IF($E31="","",IF($E30="",$E31,$E31*0.1538461538+O30*0.8461538462))</f>
        <v>0</v>
      </c>
      <c r="P31">
        <f>IF($E31="","",IF($E30="",$E31,$E31*0.0740740741+P30*0.9259259259))</f>
        <v>0</v>
      </c>
      <c r="Q31">
        <f>IF(OR(O31="",P31=""),"",O31-P31)</f>
        <v>0</v>
      </c>
      <c r="R31">
        <f>IF(Q31="","",IF(R30="",Q31,Q31*0.2000000000+R30*0.8000000000))</f>
        <v>0</v>
      </c>
      <c r="S31">
        <f>IF(OR(Q31="",R31=""),"",Q31-R31)</f>
        <v>0</v>
      </c>
      <c r="T31">
        <f>IF(COUNT($E$2:$E31)&lt;14,"",MAX($C$18:$C$31))</f>
        <v>0</v>
      </c>
      <c r="U31">
        <f>IF(COUNT($E$2:$E31)&lt;14,"",MIN($D$18:$D$31))</f>
        <v>0</v>
      </c>
      <c r="V31">
        <f>IF(OR(T31="",U31="",T31=U31),"",100*($E31-U31)/(T31-U31))</f>
        <v>0</v>
      </c>
      <c r="W31">
        <f>IF(COUNT($V$29:$V$31)&lt;3,"",AVERAGE($V$29:$V$31))</f>
        <v>0</v>
      </c>
      <c r="X31">
        <f>IF(COUNT($N$18:$N$31)&lt;14,"",MIN($N$18:$N$31))</f>
        <v>0</v>
      </c>
      <c r="Y31">
        <f>IF(COUNT($N$18:$N$31)&lt;14,"",MAX($N$18:$N$31))</f>
        <v>0</v>
      </c>
      <c r="Z31">
        <f>IF(OR(N31="",X31="",Y31="",Y31=X31),"",100*(N31-X31)/(Y31-X31))</f>
        <v>0</v>
      </c>
      <c r="AA31">
        <f>IF(COUNT($Z$29:$Z$31)&lt;3,"",AVERAGE($Z$29:$Z$31))</f>
        <v>0</v>
      </c>
      <c r="AB31">
        <f>IF(COUNT($AA$29:$AA$31)&lt;3,"",AVERAGE($AA$29:$AA$31))</f>
        <v>0</v>
      </c>
      <c r="AC31">
        <f>IF($E31="","",MAX($C31-$D31,ABS($C31-$E30),ABS($D31-$E30)))</f>
        <v>0</v>
      </c>
      <c r="AD31">
        <f>IF(COUNT($E$2:$E31)&lt;15,"",AVERAGE($AC$18:$AC$31))</f>
        <v>0</v>
      </c>
      <c r="AE31">
        <f>IF(OR($E31="",$E30=""),"",IF(AND(($C31-$C30)&gt;($D30-$D31),($C31-$C30)&gt;0),$C31-$C30,0))</f>
        <v>0</v>
      </c>
      <c r="AF31">
        <f>IF(OR($E31="",$E30=""),"",IF(AND(($D30-$D31)&gt;($C31-$C30),($D30-$D31)&gt;0),$D30-$D31,0))</f>
        <v>0</v>
      </c>
      <c r="AG31">
        <f>IF(COUNT($E$2:$E31)&lt;15,"",IF(SUM($AC$18:$AC$31)=0,0,100*SUM($AE$18:$AE$31)/SUM($AC$18:$AC$31)))</f>
        <v>0</v>
      </c>
      <c r="AH31">
        <f>IF(COUNT($E$2:$E31)&lt;15,"",IF(SUM($AC$18:$AC$31)=0,0,100*SUM($AF$18:$AF$31)/SUM($AC$18:$AC$31)))</f>
        <v>0</v>
      </c>
      <c r="AI31">
        <f>IF(OR(AG31="",AH31=""),"",IF((AG31+AH31)=0,0,100*ABS(AG31-AH31)/(AG31+AH31)))</f>
        <v>0</v>
      </c>
      <c r="AJ31">
        <f>IF(COUNT($AI$18:$AI$31)&lt;14,"",AVERAGE($AI$18:$AI$31))</f>
        <v>0</v>
      </c>
      <c r="AK31">
        <f>IF(COUNT($E$2:$E31)&lt;20,"",AVERAGE($E$12:$E$31))</f>
        <v>0</v>
      </c>
      <c r="AL31">
        <f>IF(COUNT($E$2:$E31)&lt;20,"",STDEVP($E$12:$E$31))</f>
        <v>0</v>
      </c>
      <c r="AM31">
        <f>IF(AK31="","",AK31+2*AL31)</f>
        <v>0</v>
      </c>
      <c r="AN31">
        <f>IF(AK31="","",AK31-2*AL31)</f>
        <v>0</v>
      </c>
      <c r="AO31">
        <f>IF(OR(AM31="",AN31="",AM31=AN31),"",($E31-AN31)/(AM31-AN31))</f>
        <v>0</v>
      </c>
      <c r="AP31">
        <f>IF(OR(AM31="",AK31="",AK31=0),"",(AM31-AN31)/AK31)</f>
        <v>0</v>
      </c>
      <c r="AQ31">
        <f>IF(COUNT($E$2:$E31)&lt;20,"",MAX($C$12:$C$31))</f>
        <v>0</v>
      </c>
      <c r="AR31">
        <f>IF(COUNT($E$2:$E31)&lt;20,"",MIN($D$12:$D$31))</f>
        <v>0</v>
      </c>
      <c r="AS31">
        <f>IF(OR(AQ31="",AR31=""),"",(AQ31+AR31)/2)</f>
        <v>0</v>
      </c>
      <c r="AT31">
        <f>IF(COUNT($G$12:$G$31)&lt;20,"",STDEV($G$12:$G$31)*SQRT(252))</f>
        <v>0</v>
      </c>
      <c r="AU31">
        <f>IF(COUNT($E$2:$E31)&lt;9,"",(MAX($C$23:$C$31)+MIN($D$23:$D$31))/2)</f>
        <v>0</v>
      </c>
      <c r="AV31">
        <f>IF(COUNT($E$2:$E31)&lt;26,"",(MAX($C$6:$C$31)+MIN($D$6:$D$31))/2)</f>
        <v>0</v>
      </c>
      <c r="AW31">
        <f>IF(OR(AU31="",AV31=""),"",(AU31+AV31)/2)</f>
        <v>0</v>
      </c>
      <c r="AX31">
        <f>IF(COUNT($E$2:$E31)&lt;52,"",(MAX($C$2:$C$31)+MIN($D$2:$D$31))/2)</f>
        <v>0</v>
      </c>
      <c r="AY31">
        <f>IF(COUNT($E$2:$E31)&lt;20,"",MAX($C$2:$C$31))</f>
        <v>0</v>
      </c>
      <c r="AZ31">
        <f>IF(COUNT($E$2:$E31)&lt;20,"",MIN($D$2:$D$31))</f>
        <v>0</v>
      </c>
      <c r="BA31">
        <f>IF(COUNT($E$2:$E31)&lt;20,"",SLOPE($E$2:$E$31,$F$2:$F$31))</f>
        <v>0</v>
      </c>
      <c r="BB31">
        <f>IF(COUNT($E$2:$E31)&lt;20,"",INTERCEPT($E$2:$E$31,$F$2:$F$31))</f>
        <v>0</v>
      </c>
      <c r="BC31">
        <f>IF(OR(BA31="",BB31=""),"",BB31+BA31*F31)</f>
        <v>0</v>
      </c>
      <c r="BD31">
        <f>IF(COUNT($E$2:$E31)&lt;20,"",STEYX($E$2:$E$31,$F$2:$F$31))</f>
        <v>0</v>
      </c>
      <c r="BE31">
        <f>IF($E31="","",IF(AND(COUNT($E$32:$E$35)&gt;=4,$C31=MAX($C$27:$C$35)),$C31,""))</f>
        <v>0</v>
      </c>
      <c r="BF31">
        <f>IF($E31="","",IF(AND(COUNT($E$32:$E$35)&gt;=4,$D31=MIN($D$27:$D$35)),$D31,""))</f>
        <v>0</v>
      </c>
      <c r="BG31">
        <f>IF($A31="","",$A31-WEEKDAY($A31,2)+1)</f>
        <v>0</v>
      </c>
      <c r="BH31">
        <f>IF($A31="","",IF($A30="",1,IF(BG31&lt;&gt;BG30,1,0)))</f>
        <v>0</v>
      </c>
      <c r="BI31">
        <f>IF($A31="","",IF($A32="",1,IF(BG32&lt;&gt;BG31,1,0)))</f>
        <v>0</v>
      </c>
      <c r="BJ31">
        <f>IF($A31="","",IF(BH31=1,$B31,BJ30))</f>
        <v>0</v>
      </c>
      <c r="BK31">
        <f>IF($A31="","",IF(BH31=1,$C31,MAX($C31,BK30)))</f>
        <v>0</v>
      </c>
      <c r="BL31">
        <f>IF($A31="","",IF(BH31=1,$D31,MIN($D31,BL30)))</f>
        <v>0</v>
      </c>
      <c r="BM31">
        <f>IF($A31="","",IF(BI31=1,F31,""))</f>
        <v>0</v>
      </c>
      <c r="BN31">
        <f>IF($A31="","",DATE(YEAR($A31),MONTH($A31),1))</f>
        <v>0</v>
      </c>
      <c r="BO31">
        <f>IF($A31="","",IF($A30="",1,IF(BN31&lt;&gt;BN30,1,0)))</f>
        <v>0</v>
      </c>
      <c r="BP31">
        <f>IF($A31="","",IF($A32="",1,IF(BN32&lt;&gt;BN31,1,0)))</f>
        <v>0</v>
      </c>
      <c r="BQ31">
        <f>IF($A31="","",IF(BO31=1,$B31,BQ30))</f>
        <v>0</v>
      </c>
      <c r="BR31">
        <f>IF($A31="","",IF(BO31=1,$C31,MAX($C31,BR30)))</f>
        <v>0</v>
      </c>
      <c r="BS31">
        <f>IF($A31="","",IF(BO31=1,$D31,MIN($D31,BS30)))</f>
        <v>0</v>
      </c>
      <c r="BT31">
        <f>IF($A31="","",IF(BP31=1,F31,""))</f>
        <v>0</v>
      </c>
    </row>
    <row r="32" spans="1:72">
      <c r="A32" s="27">
        <f>IF(Data!$A32="","",Data!$A32)</f>
        <v>0</v>
      </c>
      <c r="B32">
        <f>IF(Data!$B32="","",Data!$B32)</f>
        <v>0</v>
      </c>
      <c r="C32">
        <f>IF(Data!$C32="","",Data!$C32)</f>
        <v>0</v>
      </c>
      <c r="D32">
        <f>IF(Data!$D32="","",Data!$D32)</f>
        <v>0</v>
      </c>
      <c r="E32">
        <f>IF(Data!$E32="","",Data!$E32)</f>
        <v>0</v>
      </c>
      <c r="F32">
        <f>IF($E32="","",N(F31)+1)</f>
        <v>0</v>
      </c>
      <c r="G32">
        <f>IF(OR($E32="",$E31=""),"",LN($E32/$E31))</f>
        <v>0</v>
      </c>
      <c r="H32">
        <f>IF($E32="","",IF($E31="",$E32,$E32*0.0952380952+H31*0.9047619048))</f>
        <v>0</v>
      </c>
      <c r="I32">
        <f>IF($E32="","",IF($E31="",$E32,$E32*0.0392156863+I31*0.9607843137))</f>
        <v>0</v>
      </c>
      <c r="J32">
        <f>IF($E32="","",IF($E31="",$E32,$E32*0.0198019802+J31*0.9801980198))</f>
        <v>0</v>
      </c>
      <c r="K32">
        <f>IF($E32="","",IF($E31="",$E32,$E32*0.0099502488+K31*0.9900497512))</f>
        <v>0</v>
      </c>
      <c r="L32">
        <f>IF(OR($E32="",$E31=""),"",MAX($E32-$E31,0))</f>
        <v>0</v>
      </c>
      <c r="M32">
        <f>IF(OR($E32="",$E31=""),"",MAX($E31-$E32,0))</f>
        <v>0</v>
      </c>
      <c r="N32">
        <f>IF(COUNT($E$2:$E32)&lt;15,"",IF(AVERAGE($M$19:$M$32)=0,100,100-100/(1+AVERAGE($L$19:$L$32)/AVERAGE($M$19:$M$32))))</f>
        <v>0</v>
      </c>
      <c r="O32">
        <f>IF($E32="","",IF($E31="",$E32,$E32*0.1538461538+O31*0.8461538462))</f>
        <v>0</v>
      </c>
      <c r="P32">
        <f>IF($E32="","",IF($E31="",$E32,$E32*0.0740740741+P31*0.9259259259))</f>
        <v>0</v>
      </c>
      <c r="Q32">
        <f>IF(OR(O32="",P32=""),"",O32-P32)</f>
        <v>0</v>
      </c>
      <c r="R32">
        <f>IF(Q32="","",IF(R31="",Q32,Q32*0.2000000000+R31*0.8000000000))</f>
        <v>0</v>
      </c>
      <c r="S32">
        <f>IF(OR(Q32="",R32=""),"",Q32-R32)</f>
        <v>0</v>
      </c>
      <c r="T32">
        <f>IF(COUNT($E$2:$E32)&lt;14,"",MAX($C$19:$C$32))</f>
        <v>0</v>
      </c>
      <c r="U32">
        <f>IF(COUNT($E$2:$E32)&lt;14,"",MIN($D$19:$D$32))</f>
        <v>0</v>
      </c>
      <c r="V32">
        <f>IF(OR(T32="",U32="",T32=U32),"",100*($E32-U32)/(T32-U32))</f>
        <v>0</v>
      </c>
      <c r="W32">
        <f>IF(COUNT($V$30:$V$32)&lt;3,"",AVERAGE($V$30:$V$32))</f>
        <v>0</v>
      </c>
      <c r="X32">
        <f>IF(COUNT($N$19:$N$32)&lt;14,"",MIN($N$19:$N$32))</f>
        <v>0</v>
      </c>
      <c r="Y32">
        <f>IF(COUNT($N$19:$N$32)&lt;14,"",MAX($N$19:$N$32))</f>
        <v>0</v>
      </c>
      <c r="Z32">
        <f>IF(OR(N32="",X32="",Y32="",Y32=X32),"",100*(N32-X32)/(Y32-X32))</f>
        <v>0</v>
      </c>
      <c r="AA32">
        <f>IF(COUNT($Z$30:$Z$32)&lt;3,"",AVERAGE($Z$30:$Z$32))</f>
        <v>0</v>
      </c>
      <c r="AB32">
        <f>IF(COUNT($AA$30:$AA$32)&lt;3,"",AVERAGE($AA$30:$AA$32))</f>
        <v>0</v>
      </c>
      <c r="AC32">
        <f>IF($E32="","",MAX($C32-$D32,ABS($C32-$E31),ABS($D32-$E31)))</f>
        <v>0</v>
      </c>
      <c r="AD32">
        <f>IF(COUNT($E$2:$E32)&lt;15,"",AVERAGE($AC$19:$AC$32))</f>
        <v>0</v>
      </c>
      <c r="AE32">
        <f>IF(OR($E32="",$E31=""),"",IF(AND(($C32-$C31)&gt;($D31-$D32),($C32-$C31)&gt;0),$C32-$C31,0))</f>
        <v>0</v>
      </c>
      <c r="AF32">
        <f>IF(OR($E32="",$E31=""),"",IF(AND(($D31-$D32)&gt;($C32-$C31),($D31-$D32)&gt;0),$D31-$D32,0))</f>
        <v>0</v>
      </c>
      <c r="AG32">
        <f>IF(COUNT($E$2:$E32)&lt;15,"",IF(SUM($AC$19:$AC$32)=0,0,100*SUM($AE$19:$AE$32)/SUM($AC$19:$AC$32)))</f>
        <v>0</v>
      </c>
      <c r="AH32">
        <f>IF(COUNT($E$2:$E32)&lt;15,"",IF(SUM($AC$19:$AC$32)=0,0,100*SUM($AF$19:$AF$32)/SUM($AC$19:$AC$32)))</f>
        <v>0</v>
      </c>
      <c r="AI32">
        <f>IF(OR(AG32="",AH32=""),"",IF((AG32+AH32)=0,0,100*ABS(AG32-AH32)/(AG32+AH32)))</f>
        <v>0</v>
      </c>
      <c r="AJ32">
        <f>IF(COUNT($AI$19:$AI$32)&lt;14,"",AVERAGE($AI$19:$AI$32))</f>
        <v>0</v>
      </c>
      <c r="AK32">
        <f>IF(COUNT($E$2:$E32)&lt;20,"",AVERAGE($E$13:$E$32))</f>
        <v>0</v>
      </c>
      <c r="AL32">
        <f>IF(COUNT($E$2:$E32)&lt;20,"",STDEVP($E$13:$E$32))</f>
        <v>0</v>
      </c>
      <c r="AM32">
        <f>IF(AK32="","",AK32+2*AL32)</f>
        <v>0</v>
      </c>
      <c r="AN32">
        <f>IF(AK32="","",AK32-2*AL32)</f>
        <v>0</v>
      </c>
      <c r="AO32">
        <f>IF(OR(AM32="",AN32="",AM32=AN32),"",($E32-AN32)/(AM32-AN32))</f>
        <v>0</v>
      </c>
      <c r="AP32">
        <f>IF(OR(AM32="",AK32="",AK32=0),"",(AM32-AN32)/AK32)</f>
        <v>0</v>
      </c>
      <c r="AQ32">
        <f>IF(COUNT($E$2:$E32)&lt;20,"",MAX($C$13:$C$32))</f>
        <v>0</v>
      </c>
      <c r="AR32">
        <f>IF(COUNT($E$2:$E32)&lt;20,"",MIN($D$13:$D$32))</f>
        <v>0</v>
      </c>
      <c r="AS32">
        <f>IF(OR(AQ32="",AR32=""),"",(AQ32+AR32)/2)</f>
        <v>0</v>
      </c>
      <c r="AT32">
        <f>IF(COUNT($G$13:$G$32)&lt;20,"",STDEV($G$13:$G$32)*SQRT(252))</f>
        <v>0</v>
      </c>
      <c r="AU32">
        <f>IF(COUNT($E$2:$E32)&lt;9,"",(MAX($C$24:$C$32)+MIN($D$24:$D$32))/2)</f>
        <v>0</v>
      </c>
      <c r="AV32">
        <f>IF(COUNT($E$2:$E32)&lt;26,"",(MAX($C$7:$C$32)+MIN($D$7:$D$32))/2)</f>
        <v>0</v>
      </c>
      <c r="AW32">
        <f>IF(OR(AU32="",AV32=""),"",(AU32+AV32)/2)</f>
        <v>0</v>
      </c>
      <c r="AX32">
        <f>IF(COUNT($E$2:$E32)&lt;52,"",(MAX($C$2:$C$32)+MIN($D$2:$D$32))/2)</f>
        <v>0</v>
      </c>
      <c r="AY32">
        <f>IF(COUNT($E$2:$E32)&lt;20,"",MAX($C$2:$C$32))</f>
        <v>0</v>
      </c>
      <c r="AZ32">
        <f>IF(COUNT($E$2:$E32)&lt;20,"",MIN($D$2:$D$32))</f>
        <v>0</v>
      </c>
      <c r="BA32">
        <f>IF(COUNT($E$2:$E32)&lt;20,"",SLOPE($E$2:$E$32,$F$2:$F$32))</f>
        <v>0</v>
      </c>
      <c r="BB32">
        <f>IF(COUNT($E$2:$E32)&lt;20,"",INTERCEPT($E$2:$E$32,$F$2:$F$32))</f>
        <v>0</v>
      </c>
      <c r="BC32">
        <f>IF(OR(BA32="",BB32=""),"",BB32+BA32*F32)</f>
        <v>0</v>
      </c>
      <c r="BD32">
        <f>IF(COUNT($E$2:$E32)&lt;20,"",STEYX($E$2:$E$32,$F$2:$F$32))</f>
        <v>0</v>
      </c>
      <c r="BE32">
        <f>IF($E32="","",IF(AND(COUNT($E$33:$E$36)&gt;=4,$C32=MAX($C$28:$C$36)),$C32,""))</f>
        <v>0</v>
      </c>
      <c r="BF32">
        <f>IF($E32="","",IF(AND(COUNT($E$33:$E$36)&gt;=4,$D32=MIN($D$28:$D$36)),$D32,""))</f>
        <v>0</v>
      </c>
      <c r="BG32">
        <f>IF($A32="","",$A32-WEEKDAY($A32,2)+1)</f>
        <v>0</v>
      </c>
      <c r="BH32">
        <f>IF($A32="","",IF($A31="",1,IF(BG32&lt;&gt;BG31,1,0)))</f>
        <v>0</v>
      </c>
      <c r="BI32">
        <f>IF($A32="","",IF($A33="",1,IF(BG33&lt;&gt;BG32,1,0)))</f>
        <v>0</v>
      </c>
      <c r="BJ32">
        <f>IF($A32="","",IF(BH32=1,$B32,BJ31))</f>
        <v>0</v>
      </c>
      <c r="BK32">
        <f>IF($A32="","",IF(BH32=1,$C32,MAX($C32,BK31)))</f>
        <v>0</v>
      </c>
      <c r="BL32">
        <f>IF($A32="","",IF(BH32=1,$D32,MIN($D32,BL31)))</f>
        <v>0</v>
      </c>
      <c r="BM32">
        <f>IF($A32="","",IF(BI32=1,F32,""))</f>
        <v>0</v>
      </c>
      <c r="BN32">
        <f>IF($A32="","",DATE(YEAR($A32),MONTH($A32),1))</f>
        <v>0</v>
      </c>
      <c r="BO32">
        <f>IF($A32="","",IF($A31="",1,IF(BN32&lt;&gt;BN31,1,0)))</f>
        <v>0</v>
      </c>
      <c r="BP32">
        <f>IF($A32="","",IF($A33="",1,IF(BN33&lt;&gt;BN32,1,0)))</f>
        <v>0</v>
      </c>
      <c r="BQ32">
        <f>IF($A32="","",IF(BO32=1,$B32,BQ31))</f>
        <v>0</v>
      </c>
      <c r="BR32">
        <f>IF($A32="","",IF(BO32=1,$C32,MAX($C32,BR31)))</f>
        <v>0</v>
      </c>
      <c r="BS32">
        <f>IF($A32="","",IF(BO32=1,$D32,MIN($D32,BS31)))</f>
        <v>0</v>
      </c>
      <c r="BT32">
        <f>IF($A32="","",IF(BP32=1,F32,""))</f>
        <v>0</v>
      </c>
    </row>
    <row r="33" spans="1:72">
      <c r="A33" s="27">
        <f>IF(Data!$A33="","",Data!$A33)</f>
        <v>0</v>
      </c>
      <c r="B33">
        <f>IF(Data!$B33="","",Data!$B33)</f>
        <v>0</v>
      </c>
      <c r="C33">
        <f>IF(Data!$C33="","",Data!$C33)</f>
        <v>0</v>
      </c>
      <c r="D33">
        <f>IF(Data!$D33="","",Data!$D33)</f>
        <v>0</v>
      </c>
      <c r="E33">
        <f>IF(Data!$E33="","",Data!$E33)</f>
        <v>0</v>
      </c>
      <c r="F33">
        <f>IF($E33="","",N(F32)+1)</f>
        <v>0</v>
      </c>
      <c r="G33">
        <f>IF(OR($E33="",$E32=""),"",LN($E33/$E32))</f>
        <v>0</v>
      </c>
      <c r="H33">
        <f>IF($E33="","",IF($E32="",$E33,$E33*0.0952380952+H32*0.9047619048))</f>
        <v>0</v>
      </c>
      <c r="I33">
        <f>IF($E33="","",IF($E32="",$E33,$E33*0.0392156863+I32*0.9607843137))</f>
        <v>0</v>
      </c>
      <c r="J33">
        <f>IF($E33="","",IF($E32="",$E33,$E33*0.0198019802+J32*0.9801980198))</f>
        <v>0</v>
      </c>
      <c r="K33">
        <f>IF($E33="","",IF($E32="",$E33,$E33*0.0099502488+K32*0.9900497512))</f>
        <v>0</v>
      </c>
      <c r="L33">
        <f>IF(OR($E33="",$E32=""),"",MAX($E33-$E32,0))</f>
        <v>0</v>
      </c>
      <c r="M33">
        <f>IF(OR($E33="",$E32=""),"",MAX($E32-$E33,0))</f>
        <v>0</v>
      </c>
      <c r="N33">
        <f>IF(COUNT($E$2:$E33)&lt;15,"",IF(AVERAGE($M$20:$M$33)=0,100,100-100/(1+AVERAGE($L$20:$L$33)/AVERAGE($M$20:$M$33))))</f>
        <v>0</v>
      </c>
      <c r="O33">
        <f>IF($E33="","",IF($E32="",$E33,$E33*0.1538461538+O32*0.8461538462))</f>
        <v>0</v>
      </c>
      <c r="P33">
        <f>IF($E33="","",IF($E32="",$E33,$E33*0.0740740741+P32*0.9259259259))</f>
        <v>0</v>
      </c>
      <c r="Q33">
        <f>IF(OR(O33="",P33=""),"",O33-P33)</f>
        <v>0</v>
      </c>
      <c r="R33">
        <f>IF(Q33="","",IF(R32="",Q33,Q33*0.2000000000+R32*0.8000000000))</f>
        <v>0</v>
      </c>
      <c r="S33">
        <f>IF(OR(Q33="",R33=""),"",Q33-R33)</f>
        <v>0</v>
      </c>
      <c r="T33">
        <f>IF(COUNT($E$2:$E33)&lt;14,"",MAX($C$20:$C$33))</f>
        <v>0</v>
      </c>
      <c r="U33">
        <f>IF(COUNT($E$2:$E33)&lt;14,"",MIN($D$20:$D$33))</f>
        <v>0</v>
      </c>
      <c r="V33">
        <f>IF(OR(T33="",U33="",T33=U33),"",100*($E33-U33)/(T33-U33))</f>
        <v>0</v>
      </c>
      <c r="W33">
        <f>IF(COUNT($V$31:$V$33)&lt;3,"",AVERAGE($V$31:$V$33))</f>
        <v>0</v>
      </c>
      <c r="X33">
        <f>IF(COUNT($N$20:$N$33)&lt;14,"",MIN($N$20:$N$33))</f>
        <v>0</v>
      </c>
      <c r="Y33">
        <f>IF(COUNT($N$20:$N$33)&lt;14,"",MAX($N$20:$N$33))</f>
        <v>0</v>
      </c>
      <c r="Z33">
        <f>IF(OR(N33="",X33="",Y33="",Y33=X33),"",100*(N33-X33)/(Y33-X33))</f>
        <v>0</v>
      </c>
      <c r="AA33">
        <f>IF(COUNT($Z$31:$Z$33)&lt;3,"",AVERAGE($Z$31:$Z$33))</f>
        <v>0</v>
      </c>
      <c r="AB33">
        <f>IF(COUNT($AA$31:$AA$33)&lt;3,"",AVERAGE($AA$31:$AA$33))</f>
        <v>0</v>
      </c>
      <c r="AC33">
        <f>IF($E33="","",MAX($C33-$D33,ABS($C33-$E32),ABS($D33-$E32)))</f>
        <v>0</v>
      </c>
      <c r="AD33">
        <f>IF(COUNT($E$2:$E33)&lt;15,"",AVERAGE($AC$20:$AC$33))</f>
        <v>0</v>
      </c>
      <c r="AE33">
        <f>IF(OR($E33="",$E32=""),"",IF(AND(($C33-$C32)&gt;($D32-$D33),($C33-$C32)&gt;0),$C33-$C32,0))</f>
        <v>0</v>
      </c>
      <c r="AF33">
        <f>IF(OR($E33="",$E32=""),"",IF(AND(($D32-$D33)&gt;($C33-$C32),($D32-$D33)&gt;0),$D32-$D33,0))</f>
        <v>0</v>
      </c>
      <c r="AG33">
        <f>IF(COUNT($E$2:$E33)&lt;15,"",IF(SUM($AC$20:$AC$33)=0,0,100*SUM($AE$20:$AE$33)/SUM($AC$20:$AC$33)))</f>
        <v>0</v>
      </c>
      <c r="AH33">
        <f>IF(COUNT($E$2:$E33)&lt;15,"",IF(SUM($AC$20:$AC$33)=0,0,100*SUM($AF$20:$AF$33)/SUM($AC$20:$AC$33)))</f>
        <v>0</v>
      </c>
      <c r="AI33">
        <f>IF(OR(AG33="",AH33=""),"",IF((AG33+AH33)=0,0,100*ABS(AG33-AH33)/(AG33+AH33)))</f>
        <v>0</v>
      </c>
      <c r="AJ33">
        <f>IF(COUNT($AI$20:$AI$33)&lt;14,"",AVERAGE($AI$20:$AI$33))</f>
        <v>0</v>
      </c>
      <c r="AK33">
        <f>IF(COUNT($E$2:$E33)&lt;20,"",AVERAGE($E$14:$E$33))</f>
        <v>0</v>
      </c>
      <c r="AL33">
        <f>IF(COUNT($E$2:$E33)&lt;20,"",STDEVP($E$14:$E$33))</f>
        <v>0</v>
      </c>
      <c r="AM33">
        <f>IF(AK33="","",AK33+2*AL33)</f>
        <v>0</v>
      </c>
      <c r="AN33">
        <f>IF(AK33="","",AK33-2*AL33)</f>
        <v>0</v>
      </c>
      <c r="AO33">
        <f>IF(OR(AM33="",AN33="",AM33=AN33),"",($E33-AN33)/(AM33-AN33))</f>
        <v>0</v>
      </c>
      <c r="AP33">
        <f>IF(OR(AM33="",AK33="",AK33=0),"",(AM33-AN33)/AK33)</f>
        <v>0</v>
      </c>
      <c r="AQ33">
        <f>IF(COUNT($E$2:$E33)&lt;20,"",MAX($C$14:$C$33))</f>
        <v>0</v>
      </c>
      <c r="AR33">
        <f>IF(COUNT($E$2:$E33)&lt;20,"",MIN($D$14:$D$33))</f>
        <v>0</v>
      </c>
      <c r="AS33">
        <f>IF(OR(AQ33="",AR33=""),"",(AQ33+AR33)/2)</f>
        <v>0</v>
      </c>
      <c r="AT33">
        <f>IF(COUNT($G$14:$G$33)&lt;20,"",STDEV($G$14:$G$33)*SQRT(252))</f>
        <v>0</v>
      </c>
      <c r="AU33">
        <f>IF(COUNT($E$2:$E33)&lt;9,"",(MAX($C$25:$C$33)+MIN($D$25:$D$33))/2)</f>
        <v>0</v>
      </c>
      <c r="AV33">
        <f>IF(COUNT($E$2:$E33)&lt;26,"",(MAX($C$8:$C$33)+MIN($D$8:$D$33))/2)</f>
        <v>0</v>
      </c>
      <c r="AW33">
        <f>IF(OR(AU33="",AV33=""),"",(AU33+AV33)/2)</f>
        <v>0</v>
      </c>
      <c r="AX33">
        <f>IF(COUNT($E$2:$E33)&lt;52,"",(MAX($C$2:$C$33)+MIN($D$2:$D$33))/2)</f>
        <v>0</v>
      </c>
      <c r="AY33">
        <f>IF(COUNT($E$2:$E33)&lt;20,"",MAX($C$2:$C$33))</f>
        <v>0</v>
      </c>
      <c r="AZ33">
        <f>IF(COUNT($E$2:$E33)&lt;20,"",MIN($D$2:$D$33))</f>
        <v>0</v>
      </c>
      <c r="BA33">
        <f>IF(COUNT($E$2:$E33)&lt;20,"",SLOPE($E$2:$E$33,$F$2:$F$33))</f>
        <v>0</v>
      </c>
      <c r="BB33">
        <f>IF(COUNT($E$2:$E33)&lt;20,"",INTERCEPT($E$2:$E$33,$F$2:$F$33))</f>
        <v>0</v>
      </c>
      <c r="BC33">
        <f>IF(OR(BA33="",BB33=""),"",BB33+BA33*F33)</f>
        <v>0</v>
      </c>
      <c r="BD33">
        <f>IF(COUNT($E$2:$E33)&lt;20,"",STEYX($E$2:$E$33,$F$2:$F$33))</f>
        <v>0</v>
      </c>
      <c r="BE33">
        <f>IF($E33="","",IF(AND(COUNT($E$34:$E$37)&gt;=4,$C33=MAX($C$29:$C$37)),$C33,""))</f>
        <v>0</v>
      </c>
      <c r="BF33">
        <f>IF($E33="","",IF(AND(COUNT($E$34:$E$37)&gt;=4,$D33=MIN($D$29:$D$37)),$D33,""))</f>
        <v>0</v>
      </c>
      <c r="BG33">
        <f>IF($A33="","",$A33-WEEKDAY($A33,2)+1)</f>
        <v>0</v>
      </c>
      <c r="BH33">
        <f>IF($A33="","",IF($A32="",1,IF(BG33&lt;&gt;BG32,1,0)))</f>
        <v>0</v>
      </c>
      <c r="BI33">
        <f>IF($A33="","",IF($A34="",1,IF(BG34&lt;&gt;BG33,1,0)))</f>
        <v>0</v>
      </c>
      <c r="BJ33">
        <f>IF($A33="","",IF(BH33=1,$B33,BJ32))</f>
        <v>0</v>
      </c>
      <c r="BK33">
        <f>IF($A33="","",IF(BH33=1,$C33,MAX($C33,BK32)))</f>
        <v>0</v>
      </c>
      <c r="BL33">
        <f>IF($A33="","",IF(BH33=1,$D33,MIN($D33,BL32)))</f>
        <v>0</v>
      </c>
      <c r="BM33">
        <f>IF($A33="","",IF(BI33=1,F33,""))</f>
        <v>0</v>
      </c>
      <c r="BN33">
        <f>IF($A33="","",DATE(YEAR($A33),MONTH($A33),1))</f>
        <v>0</v>
      </c>
      <c r="BO33">
        <f>IF($A33="","",IF($A32="",1,IF(BN33&lt;&gt;BN32,1,0)))</f>
        <v>0</v>
      </c>
      <c r="BP33">
        <f>IF($A33="","",IF($A34="",1,IF(BN34&lt;&gt;BN33,1,0)))</f>
        <v>0</v>
      </c>
      <c r="BQ33">
        <f>IF($A33="","",IF(BO33=1,$B33,BQ32))</f>
        <v>0</v>
      </c>
      <c r="BR33">
        <f>IF($A33="","",IF(BO33=1,$C33,MAX($C33,BR32)))</f>
        <v>0</v>
      </c>
      <c r="BS33">
        <f>IF($A33="","",IF(BO33=1,$D33,MIN($D33,BS32)))</f>
        <v>0</v>
      </c>
      <c r="BT33">
        <f>IF($A33="","",IF(BP33=1,F33,""))</f>
        <v>0</v>
      </c>
    </row>
    <row r="34" spans="1:72">
      <c r="A34" s="27">
        <f>IF(Data!$A34="","",Data!$A34)</f>
        <v>0</v>
      </c>
      <c r="B34">
        <f>IF(Data!$B34="","",Data!$B34)</f>
        <v>0</v>
      </c>
      <c r="C34">
        <f>IF(Data!$C34="","",Data!$C34)</f>
        <v>0</v>
      </c>
      <c r="D34">
        <f>IF(Data!$D34="","",Data!$D34)</f>
        <v>0</v>
      </c>
      <c r="E34">
        <f>IF(Data!$E34="","",Data!$E34)</f>
        <v>0</v>
      </c>
      <c r="F34">
        <f>IF($E34="","",N(F33)+1)</f>
        <v>0</v>
      </c>
      <c r="G34">
        <f>IF(OR($E34="",$E33=""),"",LN($E34/$E33))</f>
        <v>0</v>
      </c>
      <c r="H34">
        <f>IF($E34="","",IF($E33="",$E34,$E34*0.0952380952+H33*0.9047619048))</f>
        <v>0</v>
      </c>
      <c r="I34">
        <f>IF($E34="","",IF($E33="",$E34,$E34*0.0392156863+I33*0.9607843137))</f>
        <v>0</v>
      </c>
      <c r="J34">
        <f>IF($E34="","",IF($E33="",$E34,$E34*0.0198019802+J33*0.9801980198))</f>
        <v>0</v>
      </c>
      <c r="K34">
        <f>IF($E34="","",IF($E33="",$E34,$E34*0.0099502488+K33*0.9900497512))</f>
        <v>0</v>
      </c>
      <c r="L34">
        <f>IF(OR($E34="",$E33=""),"",MAX($E34-$E33,0))</f>
        <v>0</v>
      </c>
      <c r="M34">
        <f>IF(OR($E34="",$E33=""),"",MAX($E33-$E34,0))</f>
        <v>0</v>
      </c>
      <c r="N34">
        <f>IF(COUNT($E$2:$E34)&lt;15,"",IF(AVERAGE($M$21:$M$34)=0,100,100-100/(1+AVERAGE($L$21:$L$34)/AVERAGE($M$21:$M$34))))</f>
        <v>0</v>
      </c>
      <c r="O34">
        <f>IF($E34="","",IF($E33="",$E34,$E34*0.1538461538+O33*0.8461538462))</f>
        <v>0</v>
      </c>
      <c r="P34">
        <f>IF($E34="","",IF($E33="",$E34,$E34*0.0740740741+P33*0.9259259259))</f>
        <v>0</v>
      </c>
      <c r="Q34">
        <f>IF(OR(O34="",P34=""),"",O34-P34)</f>
        <v>0</v>
      </c>
      <c r="R34">
        <f>IF(Q34="","",IF(R33="",Q34,Q34*0.2000000000+R33*0.8000000000))</f>
        <v>0</v>
      </c>
      <c r="S34">
        <f>IF(OR(Q34="",R34=""),"",Q34-R34)</f>
        <v>0</v>
      </c>
      <c r="T34">
        <f>IF(COUNT($E$2:$E34)&lt;14,"",MAX($C$21:$C$34))</f>
        <v>0</v>
      </c>
      <c r="U34">
        <f>IF(COUNT($E$2:$E34)&lt;14,"",MIN($D$21:$D$34))</f>
        <v>0</v>
      </c>
      <c r="V34">
        <f>IF(OR(T34="",U34="",T34=U34),"",100*($E34-U34)/(T34-U34))</f>
        <v>0</v>
      </c>
      <c r="W34">
        <f>IF(COUNT($V$32:$V$34)&lt;3,"",AVERAGE($V$32:$V$34))</f>
        <v>0</v>
      </c>
      <c r="X34">
        <f>IF(COUNT($N$21:$N$34)&lt;14,"",MIN($N$21:$N$34))</f>
        <v>0</v>
      </c>
      <c r="Y34">
        <f>IF(COUNT($N$21:$N$34)&lt;14,"",MAX($N$21:$N$34))</f>
        <v>0</v>
      </c>
      <c r="Z34">
        <f>IF(OR(N34="",X34="",Y34="",Y34=X34),"",100*(N34-X34)/(Y34-X34))</f>
        <v>0</v>
      </c>
      <c r="AA34">
        <f>IF(COUNT($Z$32:$Z$34)&lt;3,"",AVERAGE($Z$32:$Z$34))</f>
        <v>0</v>
      </c>
      <c r="AB34">
        <f>IF(COUNT($AA$32:$AA$34)&lt;3,"",AVERAGE($AA$32:$AA$34))</f>
        <v>0</v>
      </c>
      <c r="AC34">
        <f>IF($E34="","",MAX($C34-$D34,ABS($C34-$E33),ABS($D34-$E33)))</f>
        <v>0</v>
      </c>
      <c r="AD34">
        <f>IF(COUNT($E$2:$E34)&lt;15,"",AVERAGE($AC$21:$AC$34))</f>
        <v>0</v>
      </c>
      <c r="AE34">
        <f>IF(OR($E34="",$E33=""),"",IF(AND(($C34-$C33)&gt;($D33-$D34),($C34-$C33)&gt;0),$C34-$C33,0))</f>
        <v>0</v>
      </c>
      <c r="AF34">
        <f>IF(OR($E34="",$E33=""),"",IF(AND(($D33-$D34)&gt;($C34-$C33),($D33-$D34)&gt;0),$D33-$D34,0))</f>
        <v>0</v>
      </c>
      <c r="AG34">
        <f>IF(COUNT($E$2:$E34)&lt;15,"",IF(SUM($AC$21:$AC$34)=0,0,100*SUM($AE$21:$AE$34)/SUM($AC$21:$AC$34)))</f>
        <v>0</v>
      </c>
      <c r="AH34">
        <f>IF(COUNT($E$2:$E34)&lt;15,"",IF(SUM($AC$21:$AC$34)=0,0,100*SUM($AF$21:$AF$34)/SUM($AC$21:$AC$34)))</f>
        <v>0</v>
      </c>
      <c r="AI34">
        <f>IF(OR(AG34="",AH34=""),"",IF((AG34+AH34)=0,0,100*ABS(AG34-AH34)/(AG34+AH34)))</f>
        <v>0</v>
      </c>
      <c r="AJ34">
        <f>IF(COUNT($AI$21:$AI$34)&lt;14,"",AVERAGE($AI$21:$AI$34))</f>
        <v>0</v>
      </c>
      <c r="AK34">
        <f>IF(COUNT($E$2:$E34)&lt;20,"",AVERAGE($E$15:$E$34))</f>
        <v>0</v>
      </c>
      <c r="AL34">
        <f>IF(COUNT($E$2:$E34)&lt;20,"",STDEVP($E$15:$E$34))</f>
        <v>0</v>
      </c>
      <c r="AM34">
        <f>IF(AK34="","",AK34+2*AL34)</f>
        <v>0</v>
      </c>
      <c r="AN34">
        <f>IF(AK34="","",AK34-2*AL34)</f>
        <v>0</v>
      </c>
      <c r="AO34">
        <f>IF(OR(AM34="",AN34="",AM34=AN34),"",($E34-AN34)/(AM34-AN34))</f>
        <v>0</v>
      </c>
      <c r="AP34">
        <f>IF(OR(AM34="",AK34="",AK34=0),"",(AM34-AN34)/AK34)</f>
        <v>0</v>
      </c>
      <c r="AQ34">
        <f>IF(COUNT($E$2:$E34)&lt;20,"",MAX($C$15:$C$34))</f>
        <v>0</v>
      </c>
      <c r="AR34">
        <f>IF(COUNT($E$2:$E34)&lt;20,"",MIN($D$15:$D$34))</f>
        <v>0</v>
      </c>
      <c r="AS34">
        <f>IF(OR(AQ34="",AR34=""),"",(AQ34+AR34)/2)</f>
        <v>0</v>
      </c>
      <c r="AT34">
        <f>IF(COUNT($G$15:$G$34)&lt;20,"",STDEV($G$15:$G$34)*SQRT(252))</f>
        <v>0</v>
      </c>
      <c r="AU34">
        <f>IF(COUNT($E$2:$E34)&lt;9,"",(MAX($C$26:$C$34)+MIN($D$26:$D$34))/2)</f>
        <v>0</v>
      </c>
      <c r="AV34">
        <f>IF(COUNT($E$2:$E34)&lt;26,"",(MAX($C$9:$C$34)+MIN($D$9:$D$34))/2)</f>
        <v>0</v>
      </c>
      <c r="AW34">
        <f>IF(OR(AU34="",AV34=""),"",(AU34+AV34)/2)</f>
        <v>0</v>
      </c>
      <c r="AX34">
        <f>IF(COUNT($E$2:$E34)&lt;52,"",(MAX($C$2:$C$34)+MIN($D$2:$D$34))/2)</f>
        <v>0</v>
      </c>
      <c r="AY34">
        <f>IF(COUNT($E$2:$E34)&lt;20,"",MAX($C$2:$C$34))</f>
        <v>0</v>
      </c>
      <c r="AZ34">
        <f>IF(COUNT($E$2:$E34)&lt;20,"",MIN($D$2:$D$34))</f>
        <v>0</v>
      </c>
      <c r="BA34">
        <f>IF(COUNT($E$2:$E34)&lt;20,"",SLOPE($E$2:$E$34,$F$2:$F$34))</f>
        <v>0</v>
      </c>
      <c r="BB34">
        <f>IF(COUNT($E$2:$E34)&lt;20,"",INTERCEPT($E$2:$E$34,$F$2:$F$34))</f>
        <v>0</v>
      </c>
      <c r="BC34">
        <f>IF(OR(BA34="",BB34=""),"",BB34+BA34*F34)</f>
        <v>0</v>
      </c>
      <c r="BD34">
        <f>IF(COUNT($E$2:$E34)&lt;20,"",STEYX($E$2:$E$34,$F$2:$F$34))</f>
        <v>0</v>
      </c>
      <c r="BE34">
        <f>IF($E34="","",IF(AND(COUNT($E$35:$E$38)&gt;=4,$C34=MAX($C$30:$C$38)),$C34,""))</f>
        <v>0</v>
      </c>
      <c r="BF34">
        <f>IF($E34="","",IF(AND(COUNT($E$35:$E$38)&gt;=4,$D34=MIN($D$30:$D$38)),$D34,""))</f>
        <v>0</v>
      </c>
      <c r="BG34">
        <f>IF($A34="","",$A34-WEEKDAY($A34,2)+1)</f>
        <v>0</v>
      </c>
      <c r="BH34">
        <f>IF($A34="","",IF($A33="",1,IF(BG34&lt;&gt;BG33,1,0)))</f>
        <v>0</v>
      </c>
      <c r="BI34">
        <f>IF($A34="","",IF($A35="",1,IF(BG35&lt;&gt;BG34,1,0)))</f>
        <v>0</v>
      </c>
      <c r="BJ34">
        <f>IF($A34="","",IF(BH34=1,$B34,BJ33))</f>
        <v>0</v>
      </c>
      <c r="BK34">
        <f>IF($A34="","",IF(BH34=1,$C34,MAX($C34,BK33)))</f>
        <v>0</v>
      </c>
      <c r="BL34">
        <f>IF($A34="","",IF(BH34=1,$D34,MIN($D34,BL33)))</f>
        <v>0</v>
      </c>
      <c r="BM34">
        <f>IF($A34="","",IF(BI34=1,F34,""))</f>
        <v>0</v>
      </c>
      <c r="BN34">
        <f>IF($A34="","",DATE(YEAR($A34),MONTH($A34),1))</f>
        <v>0</v>
      </c>
      <c r="BO34">
        <f>IF($A34="","",IF($A33="",1,IF(BN34&lt;&gt;BN33,1,0)))</f>
        <v>0</v>
      </c>
      <c r="BP34">
        <f>IF($A34="","",IF($A35="",1,IF(BN35&lt;&gt;BN34,1,0)))</f>
        <v>0</v>
      </c>
      <c r="BQ34">
        <f>IF($A34="","",IF(BO34=1,$B34,BQ33))</f>
        <v>0</v>
      </c>
      <c r="BR34">
        <f>IF($A34="","",IF(BO34=1,$C34,MAX($C34,BR33)))</f>
        <v>0</v>
      </c>
      <c r="BS34">
        <f>IF($A34="","",IF(BO34=1,$D34,MIN($D34,BS33)))</f>
        <v>0</v>
      </c>
      <c r="BT34">
        <f>IF($A34="","",IF(BP34=1,F34,""))</f>
        <v>0</v>
      </c>
    </row>
    <row r="35" spans="1:72">
      <c r="A35" s="27">
        <f>IF(Data!$A35="","",Data!$A35)</f>
        <v>0</v>
      </c>
      <c r="B35">
        <f>IF(Data!$B35="","",Data!$B35)</f>
        <v>0</v>
      </c>
      <c r="C35">
        <f>IF(Data!$C35="","",Data!$C35)</f>
        <v>0</v>
      </c>
      <c r="D35">
        <f>IF(Data!$D35="","",Data!$D35)</f>
        <v>0</v>
      </c>
      <c r="E35">
        <f>IF(Data!$E35="","",Data!$E35)</f>
        <v>0</v>
      </c>
      <c r="F35">
        <f>IF($E35="","",N(F34)+1)</f>
        <v>0</v>
      </c>
      <c r="G35">
        <f>IF(OR($E35="",$E34=""),"",LN($E35/$E34))</f>
        <v>0</v>
      </c>
      <c r="H35">
        <f>IF($E35="","",IF($E34="",$E35,$E35*0.0952380952+H34*0.9047619048))</f>
        <v>0</v>
      </c>
      <c r="I35">
        <f>IF($E35="","",IF($E34="",$E35,$E35*0.0392156863+I34*0.9607843137))</f>
        <v>0</v>
      </c>
      <c r="J35">
        <f>IF($E35="","",IF($E34="",$E35,$E35*0.0198019802+J34*0.9801980198))</f>
        <v>0</v>
      </c>
      <c r="K35">
        <f>IF($E35="","",IF($E34="",$E35,$E35*0.0099502488+K34*0.9900497512))</f>
        <v>0</v>
      </c>
      <c r="L35">
        <f>IF(OR($E35="",$E34=""),"",MAX($E35-$E34,0))</f>
        <v>0</v>
      </c>
      <c r="M35">
        <f>IF(OR($E35="",$E34=""),"",MAX($E34-$E35,0))</f>
        <v>0</v>
      </c>
      <c r="N35">
        <f>IF(COUNT($E$2:$E35)&lt;15,"",IF(AVERAGE($M$22:$M$35)=0,100,100-100/(1+AVERAGE($L$22:$L$35)/AVERAGE($M$22:$M$35))))</f>
        <v>0</v>
      </c>
      <c r="O35">
        <f>IF($E35="","",IF($E34="",$E35,$E35*0.1538461538+O34*0.8461538462))</f>
        <v>0</v>
      </c>
      <c r="P35">
        <f>IF($E35="","",IF($E34="",$E35,$E35*0.0740740741+P34*0.9259259259))</f>
        <v>0</v>
      </c>
      <c r="Q35">
        <f>IF(OR(O35="",P35=""),"",O35-P35)</f>
        <v>0</v>
      </c>
      <c r="R35">
        <f>IF(Q35="","",IF(R34="",Q35,Q35*0.2000000000+R34*0.8000000000))</f>
        <v>0</v>
      </c>
      <c r="S35">
        <f>IF(OR(Q35="",R35=""),"",Q35-R35)</f>
        <v>0</v>
      </c>
      <c r="T35">
        <f>IF(COUNT($E$2:$E35)&lt;14,"",MAX($C$22:$C$35))</f>
        <v>0</v>
      </c>
      <c r="U35">
        <f>IF(COUNT($E$2:$E35)&lt;14,"",MIN($D$22:$D$35))</f>
        <v>0</v>
      </c>
      <c r="V35">
        <f>IF(OR(T35="",U35="",T35=U35),"",100*($E35-U35)/(T35-U35))</f>
        <v>0</v>
      </c>
      <c r="W35">
        <f>IF(COUNT($V$33:$V$35)&lt;3,"",AVERAGE($V$33:$V$35))</f>
        <v>0</v>
      </c>
      <c r="X35">
        <f>IF(COUNT($N$22:$N$35)&lt;14,"",MIN($N$22:$N$35))</f>
        <v>0</v>
      </c>
      <c r="Y35">
        <f>IF(COUNT($N$22:$N$35)&lt;14,"",MAX($N$22:$N$35))</f>
        <v>0</v>
      </c>
      <c r="Z35">
        <f>IF(OR(N35="",X35="",Y35="",Y35=X35),"",100*(N35-X35)/(Y35-X35))</f>
        <v>0</v>
      </c>
      <c r="AA35">
        <f>IF(COUNT($Z$33:$Z$35)&lt;3,"",AVERAGE($Z$33:$Z$35))</f>
        <v>0</v>
      </c>
      <c r="AB35">
        <f>IF(COUNT($AA$33:$AA$35)&lt;3,"",AVERAGE($AA$33:$AA$35))</f>
        <v>0</v>
      </c>
      <c r="AC35">
        <f>IF($E35="","",MAX($C35-$D35,ABS($C35-$E34),ABS($D35-$E34)))</f>
        <v>0</v>
      </c>
      <c r="AD35">
        <f>IF(COUNT($E$2:$E35)&lt;15,"",AVERAGE($AC$22:$AC$35))</f>
        <v>0</v>
      </c>
      <c r="AE35">
        <f>IF(OR($E35="",$E34=""),"",IF(AND(($C35-$C34)&gt;($D34-$D35),($C35-$C34)&gt;0),$C35-$C34,0))</f>
        <v>0</v>
      </c>
      <c r="AF35">
        <f>IF(OR($E35="",$E34=""),"",IF(AND(($D34-$D35)&gt;($C35-$C34),($D34-$D35)&gt;0),$D34-$D35,0))</f>
        <v>0</v>
      </c>
      <c r="AG35">
        <f>IF(COUNT($E$2:$E35)&lt;15,"",IF(SUM($AC$22:$AC$35)=0,0,100*SUM($AE$22:$AE$35)/SUM($AC$22:$AC$35)))</f>
        <v>0</v>
      </c>
      <c r="AH35">
        <f>IF(COUNT($E$2:$E35)&lt;15,"",IF(SUM($AC$22:$AC$35)=0,0,100*SUM($AF$22:$AF$35)/SUM($AC$22:$AC$35)))</f>
        <v>0</v>
      </c>
      <c r="AI35">
        <f>IF(OR(AG35="",AH35=""),"",IF((AG35+AH35)=0,0,100*ABS(AG35-AH35)/(AG35+AH35)))</f>
        <v>0</v>
      </c>
      <c r="AJ35">
        <f>IF(COUNT($AI$22:$AI$35)&lt;14,"",AVERAGE($AI$22:$AI$35))</f>
        <v>0</v>
      </c>
      <c r="AK35">
        <f>IF(COUNT($E$2:$E35)&lt;20,"",AVERAGE($E$16:$E$35))</f>
        <v>0</v>
      </c>
      <c r="AL35">
        <f>IF(COUNT($E$2:$E35)&lt;20,"",STDEVP($E$16:$E$35))</f>
        <v>0</v>
      </c>
      <c r="AM35">
        <f>IF(AK35="","",AK35+2*AL35)</f>
        <v>0</v>
      </c>
      <c r="AN35">
        <f>IF(AK35="","",AK35-2*AL35)</f>
        <v>0</v>
      </c>
      <c r="AO35">
        <f>IF(OR(AM35="",AN35="",AM35=AN35),"",($E35-AN35)/(AM35-AN35))</f>
        <v>0</v>
      </c>
      <c r="AP35">
        <f>IF(OR(AM35="",AK35="",AK35=0),"",(AM35-AN35)/AK35)</f>
        <v>0</v>
      </c>
      <c r="AQ35">
        <f>IF(COUNT($E$2:$E35)&lt;20,"",MAX($C$16:$C$35))</f>
        <v>0</v>
      </c>
      <c r="AR35">
        <f>IF(COUNT($E$2:$E35)&lt;20,"",MIN($D$16:$D$35))</f>
        <v>0</v>
      </c>
      <c r="AS35">
        <f>IF(OR(AQ35="",AR35=""),"",(AQ35+AR35)/2)</f>
        <v>0</v>
      </c>
      <c r="AT35">
        <f>IF(COUNT($G$16:$G$35)&lt;20,"",STDEV($G$16:$G$35)*SQRT(252))</f>
        <v>0</v>
      </c>
      <c r="AU35">
        <f>IF(COUNT($E$2:$E35)&lt;9,"",(MAX($C$27:$C$35)+MIN($D$27:$D$35))/2)</f>
        <v>0</v>
      </c>
      <c r="AV35">
        <f>IF(COUNT($E$2:$E35)&lt;26,"",(MAX($C$10:$C$35)+MIN($D$10:$D$35))/2)</f>
        <v>0</v>
      </c>
      <c r="AW35">
        <f>IF(OR(AU35="",AV35=""),"",(AU35+AV35)/2)</f>
        <v>0</v>
      </c>
      <c r="AX35">
        <f>IF(COUNT($E$2:$E35)&lt;52,"",(MAX($C$2:$C$35)+MIN($D$2:$D$35))/2)</f>
        <v>0</v>
      </c>
      <c r="AY35">
        <f>IF(COUNT($E$2:$E35)&lt;20,"",MAX($C$2:$C$35))</f>
        <v>0</v>
      </c>
      <c r="AZ35">
        <f>IF(COUNT($E$2:$E35)&lt;20,"",MIN($D$2:$D$35))</f>
        <v>0</v>
      </c>
      <c r="BA35">
        <f>IF(COUNT($E$2:$E35)&lt;20,"",SLOPE($E$2:$E$35,$F$2:$F$35))</f>
        <v>0</v>
      </c>
      <c r="BB35">
        <f>IF(COUNT($E$2:$E35)&lt;20,"",INTERCEPT($E$2:$E$35,$F$2:$F$35))</f>
        <v>0</v>
      </c>
      <c r="BC35">
        <f>IF(OR(BA35="",BB35=""),"",BB35+BA35*F35)</f>
        <v>0</v>
      </c>
      <c r="BD35">
        <f>IF(COUNT($E$2:$E35)&lt;20,"",STEYX($E$2:$E$35,$F$2:$F$35))</f>
        <v>0</v>
      </c>
      <c r="BE35">
        <f>IF($E35="","",IF(AND(COUNT($E$36:$E$39)&gt;=4,$C35=MAX($C$31:$C$39)),$C35,""))</f>
        <v>0</v>
      </c>
      <c r="BF35">
        <f>IF($E35="","",IF(AND(COUNT($E$36:$E$39)&gt;=4,$D35=MIN($D$31:$D$39)),$D35,""))</f>
        <v>0</v>
      </c>
      <c r="BG35">
        <f>IF($A35="","",$A35-WEEKDAY($A35,2)+1)</f>
        <v>0</v>
      </c>
      <c r="BH35">
        <f>IF($A35="","",IF($A34="",1,IF(BG35&lt;&gt;BG34,1,0)))</f>
        <v>0</v>
      </c>
      <c r="BI35">
        <f>IF($A35="","",IF($A36="",1,IF(BG36&lt;&gt;BG35,1,0)))</f>
        <v>0</v>
      </c>
      <c r="BJ35">
        <f>IF($A35="","",IF(BH35=1,$B35,BJ34))</f>
        <v>0</v>
      </c>
      <c r="BK35">
        <f>IF($A35="","",IF(BH35=1,$C35,MAX($C35,BK34)))</f>
        <v>0</v>
      </c>
      <c r="BL35">
        <f>IF($A35="","",IF(BH35=1,$D35,MIN($D35,BL34)))</f>
        <v>0</v>
      </c>
      <c r="BM35">
        <f>IF($A35="","",IF(BI35=1,F35,""))</f>
        <v>0</v>
      </c>
      <c r="BN35">
        <f>IF($A35="","",DATE(YEAR($A35),MONTH($A35),1))</f>
        <v>0</v>
      </c>
      <c r="BO35">
        <f>IF($A35="","",IF($A34="",1,IF(BN35&lt;&gt;BN34,1,0)))</f>
        <v>0</v>
      </c>
      <c r="BP35">
        <f>IF($A35="","",IF($A36="",1,IF(BN36&lt;&gt;BN35,1,0)))</f>
        <v>0</v>
      </c>
      <c r="BQ35">
        <f>IF($A35="","",IF(BO35=1,$B35,BQ34))</f>
        <v>0</v>
      </c>
      <c r="BR35">
        <f>IF($A35="","",IF(BO35=1,$C35,MAX($C35,BR34)))</f>
        <v>0</v>
      </c>
      <c r="BS35">
        <f>IF($A35="","",IF(BO35=1,$D35,MIN($D35,BS34)))</f>
        <v>0</v>
      </c>
      <c r="BT35">
        <f>IF($A35="","",IF(BP35=1,F35,""))</f>
        <v>0</v>
      </c>
    </row>
    <row r="36" spans="1:72">
      <c r="A36" s="27">
        <f>IF(Data!$A36="","",Data!$A36)</f>
        <v>0</v>
      </c>
      <c r="B36">
        <f>IF(Data!$B36="","",Data!$B36)</f>
        <v>0</v>
      </c>
      <c r="C36">
        <f>IF(Data!$C36="","",Data!$C36)</f>
        <v>0</v>
      </c>
      <c r="D36">
        <f>IF(Data!$D36="","",Data!$D36)</f>
        <v>0</v>
      </c>
      <c r="E36">
        <f>IF(Data!$E36="","",Data!$E36)</f>
        <v>0</v>
      </c>
      <c r="F36">
        <f>IF($E36="","",N(F35)+1)</f>
        <v>0</v>
      </c>
      <c r="G36">
        <f>IF(OR($E36="",$E35=""),"",LN($E36/$E35))</f>
        <v>0</v>
      </c>
      <c r="H36">
        <f>IF($E36="","",IF($E35="",$E36,$E36*0.0952380952+H35*0.9047619048))</f>
        <v>0</v>
      </c>
      <c r="I36">
        <f>IF($E36="","",IF($E35="",$E36,$E36*0.0392156863+I35*0.9607843137))</f>
        <v>0</v>
      </c>
      <c r="J36">
        <f>IF($E36="","",IF($E35="",$E36,$E36*0.0198019802+J35*0.9801980198))</f>
        <v>0</v>
      </c>
      <c r="K36">
        <f>IF($E36="","",IF($E35="",$E36,$E36*0.0099502488+K35*0.9900497512))</f>
        <v>0</v>
      </c>
      <c r="L36">
        <f>IF(OR($E36="",$E35=""),"",MAX($E36-$E35,0))</f>
        <v>0</v>
      </c>
      <c r="M36">
        <f>IF(OR($E36="",$E35=""),"",MAX($E35-$E36,0))</f>
        <v>0</v>
      </c>
      <c r="N36">
        <f>IF(COUNT($E$2:$E36)&lt;15,"",IF(AVERAGE($M$23:$M$36)=0,100,100-100/(1+AVERAGE($L$23:$L$36)/AVERAGE($M$23:$M$36))))</f>
        <v>0</v>
      </c>
      <c r="O36">
        <f>IF($E36="","",IF($E35="",$E36,$E36*0.1538461538+O35*0.8461538462))</f>
        <v>0</v>
      </c>
      <c r="P36">
        <f>IF($E36="","",IF($E35="",$E36,$E36*0.0740740741+P35*0.9259259259))</f>
        <v>0</v>
      </c>
      <c r="Q36">
        <f>IF(OR(O36="",P36=""),"",O36-P36)</f>
        <v>0</v>
      </c>
      <c r="R36">
        <f>IF(Q36="","",IF(R35="",Q36,Q36*0.2000000000+R35*0.8000000000))</f>
        <v>0</v>
      </c>
      <c r="S36">
        <f>IF(OR(Q36="",R36=""),"",Q36-R36)</f>
        <v>0</v>
      </c>
      <c r="T36">
        <f>IF(COUNT($E$2:$E36)&lt;14,"",MAX($C$23:$C$36))</f>
        <v>0</v>
      </c>
      <c r="U36">
        <f>IF(COUNT($E$2:$E36)&lt;14,"",MIN($D$23:$D$36))</f>
        <v>0</v>
      </c>
      <c r="V36">
        <f>IF(OR(T36="",U36="",T36=U36),"",100*($E36-U36)/(T36-U36))</f>
        <v>0</v>
      </c>
      <c r="W36">
        <f>IF(COUNT($V$34:$V$36)&lt;3,"",AVERAGE($V$34:$V$36))</f>
        <v>0</v>
      </c>
      <c r="X36">
        <f>IF(COUNT($N$23:$N$36)&lt;14,"",MIN($N$23:$N$36))</f>
        <v>0</v>
      </c>
      <c r="Y36">
        <f>IF(COUNT($N$23:$N$36)&lt;14,"",MAX($N$23:$N$36))</f>
        <v>0</v>
      </c>
      <c r="Z36">
        <f>IF(OR(N36="",X36="",Y36="",Y36=X36),"",100*(N36-X36)/(Y36-X36))</f>
        <v>0</v>
      </c>
      <c r="AA36">
        <f>IF(COUNT($Z$34:$Z$36)&lt;3,"",AVERAGE($Z$34:$Z$36))</f>
        <v>0</v>
      </c>
      <c r="AB36">
        <f>IF(COUNT($AA$34:$AA$36)&lt;3,"",AVERAGE($AA$34:$AA$36))</f>
        <v>0</v>
      </c>
      <c r="AC36">
        <f>IF($E36="","",MAX($C36-$D36,ABS($C36-$E35),ABS($D36-$E35)))</f>
        <v>0</v>
      </c>
      <c r="AD36">
        <f>IF(COUNT($E$2:$E36)&lt;15,"",AVERAGE($AC$23:$AC$36))</f>
        <v>0</v>
      </c>
      <c r="AE36">
        <f>IF(OR($E36="",$E35=""),"",IF(AND(($C36-$C35)&gt;($D35-$D36),($C36-$C35)&gt;0),$C36-$C35,0))</f>
        <v>0</v>
      </c>
      <c r="AF36">
        <f>IF(OR($E36="",$E35=""),"",IF(AND(($D35-$D36)&gt;($C36-$C35),($D35-$D36)&gt;0),$D35-$D36,0))</f>
        <v>0</v>
      </c>
      <c r="AG36">
        <f>IF(COUNT($E$2:$E36)&lt;15,"",IF(SUM($AC$23:$AC$36)=0,0,100*SUM($AE$23:$AE$36)/SUM($AC$23:$AC$36)))</f>
        <v>0</v>
      </c>
      <c r="AH36">
        <f>IF(COUNT($E$2:$E36)&lt;15,"",IF(SUM($AC$23:$AC$36)=0,0,100*SUM($AF$23:$AF$36)/SUM($AC$23:$AC$36)))</f>
        <v>0</v>
      </c>
      <c r="AI36">
        <f>IF(OR(AG36="",AH36=""),"",IF((AG36+AH36)=0,0,100*ABS(AG36-AH36)/(AG36+AH36)))</f>
        <v>0</v>
      </c>
      <c r="AJ36">
        <f>IF(COUNT($AI$23:$AI$36)&lt;14,"",AVERAGE($AI$23:$AI$36))</f>
        <v>0</v>
      </c>
      <c r="AK36">
        <f>IF(COUNT($E$2:$E36)&lt;20,"",AVERAGE($E$17:$E$36))</f>
        <v>0</v>
      </c>
      <c r="AL36">
        <f>IF(COUNT($E$2:$E36)&lt;20,"",STDEVP($E$17:$E$36))</f>
        <v>0</v>
      </c>
      <c r="AM36">
        <f>IF(AK36="","",AK36+2*AL36)</f>
        <v>0</v>
      </c>
      <c r="AN36">
        <f>IF(AK36="","",AK36-2*AL36)</f>
        <v>0</v>
      </c>
      <c r="AO36">
        <f>IF(OR(AM36="",AN36="",AM36=AN36),"",($E36-AN36)/(AM36-AN36))</f>
        <v>0</v>
      </c>
      <c r="AP36">
        <f>IF(OR(AM36="",AK36="",AK36=0),"",(AM36-AN36)/AK36)</f>
        <v>0</v>
      </c>
      <c r="AQ36">
        <f>IF(COUNT($E$2:$E36)&lt;20,"",MAX($C$17:$C$36))</f>
        <v>0</v>
      </c>
      <c r="AR36">
        <f>IF(COUNT($E$2:$E36)&lt;20,"",MIN($D$17:$D$36))</f>
        <v>0</v>
      </c>
      <c r="AS36">
        <f>IF(OR(AQ36="",AR36=""),"",(AQ36+AR36)/2)</f>
        <v>0</v>
      </c>
      <c r="AT36">
        <f>IF(COUNT($G$17:$G$36)&lt;20,"",STDEV($G$17:$G$36)*SQRT(252))</f>
        <v>0</v>
      </c>
      <c r="AU36">
        <f>IF(COUNT($E$2:$E36)&lt;9,"",(MAX($C$28:$C$36)+MIN($D$28:$D$36))/2)</f>
        <v>0</v>
      </c>
      <c r="AV36">
        <f>IF(COUNT($E$2:$E36)&lt;26,"",(MAX($C$11:$C$36)+MIN($D$11:$D$36))/2)</f>
        <v>0</v>
      </c>
      <c r="AW36">
        <f>IF(OR(AU36="",AV36=""),"",(AU36+AV36)/2)</f>
        <v>0</v>
      </c>
      <c r="AX36">
        <f>IF(COUNT($E$2:$E36)&lt;52,"",(MAX($C$2:$C$36)+MIN($D$2:$D$36))/2)</f>
        <v>0</v>
      </c>
      <c r="AY36">
        <f>IF(COUNT($E$2:$E36)&lt;20,"",MAX($C$2:$C$36))</f>
        <v>0</v>
      </c>
      <c r="AZ36">
        <f>IF(COUNT($E$2:$E36)&lt;20,"",MIN($D$2:$D$36))</f>
        <v>0</v>
      </c>
      <c r="BA36">
        <f>IF(COUNT($E$2:$E36)&lt;20,"",SLOPE($E$2:$E$36,$F$2:$F$36))</f>
        <v>0</v>
      </c>
      <c r="BB36">
        <f>IF(COUNT($E$2:$E36)&lt;20,"",INTERCEPT($E$2:$E$36,$F$2:$F$36))</f>
        <v>0</v>
      </c>
      <c r="BC36">
        <f>IF(OR(BA36="",BB36=""),"",BB36+BA36*F36)</f>
        <v>0</v>
      </c>
      <c r="BD36">
        <f>IF(COUNT($E$2:$E36)&lt;20,"",STEYX($E$2:$E$36,$F$2:$F$36))</f>
        <v>0</v>
      </c>
      <c r="BE36">
        <f>IF($E36="","",IF(AND(COUNT($E$37:$E$40)&gt;=4,$C36=MAX($C$32:$C$40)),$C36,""))</f>
        <v>0</v>
      </c>
      <c r="BF36">
        <f>IF($E36="","",IF(AND(COUNT($E$37:$E$40)&gt;=4,$D36=MIN($D$32:$D$40)),$D36,""))</f>
        <v>0</v>
      </c>
      <c r="BG36">
        <f>IF($A36="","",$A36-WEEKDAY($A36,2)+1)</f>
        <v>0</v>
      </c>
      <c r="BH36">
        <f>IF($A36="","",IF($A35="",1,IF(BG36&lt;&gt;BG35,1,0)))</f>
        <v>0</v>
      </c>
      <c r="BI36">
        <f>IF($A36="","",IF($A37="",1,IF(BG37&lt;&gt;BG36,1,0)))</f>
        <v>0</v>
      </c>
      <c r="BJ36">
        <f>IF($A36="","",IF(BH36=1,$B36,BJ35))</f>
        <v>0</v>
      </c>
      <c r="BK36">
        <f>IF($A36="","",IF(BH36=1,$C36,MAX($C36,BK35)))</f>
        <v>0</v>
      </c>
      <c r="BL36">
        <f>IF($A36="","",IF(BH36=1,$D36,MIN($D36,BL35)))</f>
        <v>0</v>
      </c>
      <c r="BM36">
        <f>IF($A36="","",IF(BI36=1,F36,""))</f>
        <v>0</v>
      </c>
      <c r="BN36">
        <f>IF($A36="","",DATE(YEAR($A36),MONTH($A36),1))</f>
        <v>0</v>
      </c>
      <c r="BO36">
        <f>IF($A36="","",IF($A35="",1,IF(BN36&lt;&gt;BN35,1,0)))</f>
        <v>0</v>
      </c>
      <c r="BP36">
        <f>IF($A36="","",IF($A37="",1,IF(BN37&lt;&gt;BN36,1,0)))</f>
        <v>0</v>
      </c>
      <c r="BQ36">
        <f>IF($A36="","",IF(BO36=1,$B36,BQ35))</f>
        <v>0</v>
      </c>
      <c r="BR36">
        <f>IF($A36="","",IF(BO36=1,$C36,MAX($C36,BR35)))</f>
        <v>0</v>
      </c>
      <c r="BS36">
        <f>IF($A36="","",IF(BO36=1,$D36,MIN($D36,BS35)))</f>
        <v>0</v>
      </c>
      <c r="BT36">
        <f>IF($A36="","",IF(BP36=1,F36,""))</f>
        <v>0</v>
      </c>
    </row>
    <row r="37" spans="1:72">
      <c r="A37" s="27">
        <f>IF(Data!$A37="","",Data!$A37)</f>
        <v>0</v>
      </c>
      <c r="B37">
        <f>IF(Data!$B37="","",Data!$B37)</f>
        <v>0</v>
      </c>
      <c r="C37">
        <f>IF(Data!$C37="","",Data!$C37)</f>
        <v>0</v>
      </c>
      <c r="D37">
        <f>IF(Data!$D37="","",Data!$D37)</f>
        <v>0</v>
      </c>
      <c r="E37">
        <f>IF(Data!$E37="","",Data!$E37)</f>
        <v>0</v>
      </c>
      <c r="F37">
        <f>IF($E37="","",N(F36)+1)</f>
        <v>0</v>
      </c>
      <c r="G37">
        <f>IF(OR($E37="",$E36=""),"",LN($E37/$E36))</f>
        <v>0</v>
      </c>
      <c r="H37">
        <f>IF($E37="","",IF($E36="",$E37,$E37*0.0952380952+H36*0.9047619048))</f>
        <v>0</v>
      </c>
      <c r="I37">
        <f>IF($E37="","",IF($E36="",$E37,$E37*0.0392156863+I36*0.9607843137))</f>
        <v>0</v>
      </c>
      <c r="J37">
        <f>IF($E37="","",IF($E36="",$E37,$E37*0.0198019802+J36*0.9801980198))</f>
        <v>0</v>
      </c>
      <c r="K37">
        <f>IF($E37="","",IF($E36="",$E37,$E37*0.0099502488+K36*0.9900497512))</f>
        <v>0</v>
      </c>
      <c r="L37">
        <f>IF(OR($E37="",$E36=""),"",MAX($E37-$E36,0))</f>
        <v>0</v>
      </c>
      <c r="M37">
        <f>IF(OR($E37="",$E36=""),"",MAX($E36-$E37,0))</f>
        <v>0</v>
      </c>
      <c r="N37">
        <f>IF(COUNT($E$2:$E37)&lt;15,"",IF(AVERAGE($M$24:$M$37)=0,100,100-100/(1+AVERAGE($L$24:$L$37)/AVERAGE($M$24:$M$37))))</f>
        <v>0</v>
      </c>
      <c r="O37">
        <f>IF($E37="","",IF($E36="",$E37,$E37*0.1538461538+O36*0.8461538462))</f>
        <v>0</v>
      </c>
      <c r="P37">
        <f>IF($E37="","",IF($E36="",$E37,$E37*0.0740740741+P36*0.9259259259))</f>
        <v>0</v>
      </c>
      <c r="Q37">
        <f>IF(OR(O37="",P37=""),"",O37-P37)</f>
        <v>0</v>
      </c>
      <c r="R37">
        <f>IF(Q37="","",IF(R36="",Q37,Q37*0.2000000000+R36*0.8000000000))</f>
        <v>0</v>
      </c>
      <c r="S37">
        <f>IF(OR(Q37="",R37=""),"",Q37-R37)</f>
        <v>0</v>
      </c>
      <c r="T37">
        <f>IF(COUNT($E$2:$E37)&lt;14,"",MAX($C$24:$C$37))</f>
        <v>0</v>
      </c>
      <c r="U37">
        <f>IF(COUNT($E$2:$E37)&lt;14,"",MIN($D$24:$D$37))</f>
        <v>0</v>
      </c>
      <c r="V37">
        <f>IF(OR(T37="",U37="",T37=U37),"",100*($E37-U37)/(T37-U37))</f>
        <v>0</v>
      </c>
      <c r="W37">
        <f>IF(COUNT($V$35:$V$37)&lt;3,"",AVERAGE($V$35:$V$37))</f>
        <v>0</v>
      </c>
      <c r="X37">
        <f>IF(COUNT($N$24:$N$37)&lt;14,"",MIN($N$24:$N$37))</f>
        <v>0</v>
      </c>
      <c r="Y37">
        <f>IF(COUNT($N$24:$N$37)&lt;14,"",MAX($N$24:$N$37))</f>
        <v>0</v>
      </c>
      <c r="Z37">
        <f>IF(OR(N37="",X37="",Y37="",Y37=X37),"",100*(N37-X37)/(Y37-X37))</f>
        <v>0</v>
      </c>
      <c r="AA37">
        <f>IF(COUNT($Z$35:$Z$37)&lt;3,"",AVERAGE($Z$35:$Z$37))</f>
        <v>0</v>
      </c>
      <c r="AB37">
        <f>IF(COUNT($AA$35:$AA$37)&lt;3,"",AVERAGE($AA$35:$AA$37))</f>
        <v>0</v>
      </c>
      <c r="AC37">
        <f>IF($E37="","",MAX($C37-$D37,ABS($C37-$E36),ABS($D37-$E36)))</f>
        <v>0</v>
      </c>
      <c r="AD37">
        <f>IF(COUNT($E$2:$E37)&lt;15,"",AVERAGE($AC$24:$AC$37))</f>
        <v>0</v>
      </c>
      <c r="AE37">
        <f>IF(OR($E37="",$E36=""),"",IF(AND(($C37-$C36)&gt;($D36-$D37),($C37-$C36)&gt;0),$C37-$C36,0))</f>
        <v>0</v>
      </c>
      <c r="AF37">
        <f>IF(OR($E37="",$E36=""),"",IF(AND(($D36-$D37)&gt;($C37-$C36),($D36-$D37)&gt;0),$D36-$D37,0))</f>
        <v>0</v>
      </c>
      <c r="AG37">
        <f>IF(COUNT($E$2:$E37)&lt;15,"",IF(SUM($AC$24:$AC$37)=0,0,100*SUM($AE$24:$AE$37)/SUM($AC$24:$AC$37)))</f>
        <v>0</v>
      </c>
      <c r="AH37">
        <f>IF(COUNT($E$2:$E37)&lt;15,"",IF(SUM($AC$24:$AC$37)=0,0,100*SUM($AF$24:$AF$37)/SUM($AC$24:$AC$37)))</f>
        <v>0</v>
      </c>
      <c r="AI37">
        <f>IF(OR(AG37="",AH37=""),"",IF((AG37+AH37)=0,0,100*ABS(AG37-AH37)/(AG37+AH37)))</f>
        <v>0</v>
      </c>
      <c r="AJ37">
        <f>IF(COUNT($AI$24:$AI$37)&lt;14,"",AVERAGE($AI$24:$AI$37))</f>
        <v>0</v>
      </c>
      <c r="AK37">
        <f>IF(COUNT($E$2:$E37)&lt;20,"",AVERAGE($E$18:$E$37))</f>
        <v>0</v>
      </c>
      <c r="AL37">
        <f>IF(COUNT($E$2:$E37)&lt;20,"",STDEVP($E$18:$E$37))</f>
        <v>0</v>
      </c>
      <c r="AM37">
        <f>IF(AK37="","",AK37+2*AL37)</f>
        <v>0</v>
      </c>
      <c r="AN37">
        <f>IF(AK37="","",AK37-2*AL37)</f>
        <v>0</v>
      </c>
      <c r="AO37">
        <f>IF(OR(AM37="",AN37="",AM37=AN37),"",($E37-AN37)/(AM37-AN37))</f>
        <v>0</v>
      </c>
      <c r="AP37">
        <f>IF(OR(AM37="",AK37="",AK37=0),"",(AM37-AN37)/AK37)</f>
        <v>0</v>
      </c>
      <c r="AQ37">
        <f>IF(COUNT($E$2:$E37)&lt;20,"",MAX($C$18:$C$37))</f>
        <v>0</v>
      </c>
      <c r="AR37">
        <f>IF(COUNT($E$2:$E37)&lt;20,"",MIN($D$18:$D$37))</f>
        <v>0</v>
      </c>
      <c r="AS37">
        <f>IF(OR(AQ37="",AR37=""),"",(AQ37+AR37)/2)</f>
        <v>0</v>
      </c>
      <c r="AT37">
        <f>IF(COUNT($G$18:$G$37)&lt;20,"",STDEV($G$18:$G$37)*SQRT(252))</f>
        <v>0</v>
      </c>
      <c r="AU37">
        <f>IF(COUNT($E$2:$E37)&lt;9,"",(MAX($C$29:$C$37)+MIN($D$29:$D$37))/2)</f>
        <v>0</v>
      </c>
      <c r="AV37">
        <f>IF(COUNT($E$2:$E37)&lt;26,"",(MAX($C$12:$C$37)+MIN($D$12:$D$37))/2)</f>
        <v>0</v>
      </c>
      <c r="AW37">
        <f>IF(OR(AU37="",AV37=""),"",(AU37+AV37)/2)</f>
        <v>0</v>
      </c>
      <c r="AX37">
        <f>IF(COUNT($E$2:$E37)&lt;52,"",(MAX($C$2:$C$37)+MIN($D$2:$D$37))/2)</f>
        <v>0</v>
      </c>
      <c r="AY37">
        <f>IF(COUNT($E$2:$E37)&lt;20,"",MAX($C$2:$C$37))</f>
        <v>0</v>
      </c>
      <c r="AZ37">
        <f>IF(COUNT($E$2:$E37)&lt;20,"",MIN($D$2:$D$37))</f>
        <v>0</v>
      </c>
      <c r="BA37">
        <f>IF(COUNT($E$2:$E37)&lt;20,"",SLOPE($E$2:$E$37,$F$2:$F$37))</f>
        <v>0</v>
      </c>
      <c r="BB37">
        <f>IF(COUNT($E$2:$E37)&lt;20,"",INTERCEPT($E$2:$E$37,$F$2:$F$37))</f>
        <v>0</v>
      </c>
      <c r="BC37">
        <f>IF(OR(BA37="",BB37=""),"",BB37+BA37*F37)</f>
        <v>0</v>
      </c>
      <c r="BD37">
        <f>IF(COUNT($E$2:$E37)&lt;20,"",STEYX($E$2:$E$37,$F$2:$F$37))</f>
        <v>0</v>
      </c>
      <c r="BE37">
        <f>IF($E37="","",IF(AND(COUNT($E$38:$E$41)&gt;=4,$C37=MAX($C$33:$C$41)),$C37,""))</f>
        <v>0</v>
      </c>
      <c r="BF37">
        <f>IF($E37="","",IF(AND(COUNT($E$38:$E$41)&gt;=4,$D37=MIN($D$33:$D$41)),$D37,""))</f>
        <v>0</v>
      </c>
      <c r="BG37">
        <f>IF($A37="","",$A37-WEEKDAY($A37,2)+1)</f>
        <v>0</v>
      </c>
      <c r="BH37">
        <f>IF($A37="","",IF($A36="",1,IF(BG37&lt;&gt;BG36,1,0)))</f>
        <v>0</v>
      </c>
      <c r="BI37">
        <f>IF($A37="","",IF($A38="",1,IF(BG38&lt;&gt;BG37,1,0)))</f>
        <v>0</v>
      </c>
      <c r="BJ37">
        <f>IF($A37="","",IF(BH37=1,$B37,BJ36))</f>
        <v>0</v>
      </c>
      <c r="BK37">
        <f>IF($A37="","",IF(BH37=1,$C37,MAX($C37,BK36)))</f>
        <v>0</v>
      </c>
      <c r="BL37">
        <f>IF($A37="","",IF(BH37=1,$D37,MIN($D37,BL36)))</f>
        <v>0</v>
      </c>
      <c r="BM37">
        <f>IF($A37="","",IF(BI37=1,F37,""))</f>
        <v>0</v>
      </c>
      <c r="BN37">
        <f>IF($A37="","",DATE(YEAR($A37),MONTH($A37),1))</f>
        <v>0</v>
      </c>
      <c r="BO37">
        <f>IF($A37="","",IF($A36="",1,IF(BN37&lt;&gt;BN36,1,0)))</f>
        <v>0</v>
      </c>
      <c r="BP37">
        <f>IF($A37="","",IF($A38="",1,IF(BN38&lt;&gt;BN37,1,0)))</f>
        <v>0</v>
      </c>
      <c r="BQ37">
        <f>IF($A37="","",IF(BO37=1,$B37,BQ36))</f>
        <v>0</v>
      </c>
      <c r="BR37">
        <f>IF($A37="","",IF(BO37=1,$C37,MAX($C37,BR36)))</f>
        <v>0</v>
      </c>
      <c r="BS37">
        <f>IF($A37="","",IF(BO37=1,$D37,MIN($D37,BS36)))</f>
        <v>0</v>
      </c>
      <c r="BT37">
        <f>IF($A37="","",IF(BP37=1,F37,""))</f>
        <v>0</v>
      </c>
    </row>
    <row r="38" spans="1:72">
      <c r="A38" s="27">
        <f>IF(Data!$A38="","",Data!$A38)</f>
        <v>0</v>
      </c>
      <c r="B38">
        <f>IF(Data!$B38="","",Data!$B38)</f>
        <v>0</v>
      </c>
      <c r="C38">
        <f>IF(Data!$C38="","",Data!$C38)</f>
        <v>0</v>
      </c>
      <c r="D38">
        <f>IF(Data!$D38="","",Data!$D38)</f>
        <v>0</v>
      </c>
      <c r="E38">
        <f>IF(Data!$E38="","",Data!$E38)</f>
        <v>0</v>
      </c>
      <c r="F38">
        <f>IF($E38="","",N(F37)+1)</f>
        <v>0</v>
      </c>
      <c r="G38">
        <f>IF(OR($E38="",$E37=""),"",LN($E38/$E37))</f>
        <v>0</v>
      </c>
      <c r="H38">
        <f>IF($E38="","",IF($E37="",$E38,$E38*0.0952380952+H37*0.9047619048))</f>
        <v>0</v>
      </c>
      <c r="I38">
        <f>IF($E38="","",IF($E37="",$E38,$E38*0.0392156863+I37*0.9607843137))</f>
        <v>0</v>
      </c>
      <c r="J38">
        <f>IF($E38="","",IF($E37="",$E38,$E38*0.0198019802+J37*0.9801980198))</f>
        <v>0</v>
      </c>
      <c r="K38">
        <f>IF($E38="","",IF($E37="",$E38,$E38*0.0099502488+K37*0.9900497512))</f>
        <v>0</v>
      </c>
      <c r="L38">
        <f>IF(OR($E38="",$E37=""),"",MAX($E38-$E37,0))</f>
        <v>0</v>
      </c>
      <c r="M38">
        <f>IF(OR($E38="",$E37=""),"",MAX($E37-$E38,0))</f>
        <v>0</v>
      </c>
      <c r="N38">
        <f>IF(COUNT($E$2:$E38)&lt;15,"",IF(AVERAGE($M$25:$M$38)=0,100,100-100/(1+AVERAGE($L$25:$L$38)/AVERAGE($M$25:$M$38))))</f>
        <v>0</v>
      </c>
      <c r="O38">
        <f>IF($E38="","",IF($E37="",$E38,$E38*0.1538461538+O37*0.8461538462))</f>
        <v>0</v>
      </c>
      <c r="P38">
        <f>IF($E38="","",IF($E37="",$E38,$E38*0.0740740741+P37*0.9259259259))</f>
        <v>0</v>
      </c>
      <c r="Q38">
        <f>IF(OR(O38="",P38=""),"",O38-P38)</f>
        <v>0</v>
      </c>
      <c r="R38">
        <f>IF(Q38="","",IF(R37="",Q38,Q38*0.2000000000+R37*0.8000000000))</f>
        <v>0</v>
      </c>
      <c r="S38">
        <f>IF(OR(Q38="",R38=""),"",Q38-R38)</f>
        <v>0</v>
      </c>
      <c r="T38">
        <f>IF(COUNT($E$2:$E38)&lt;14,"",MAX($C$25:$C$38))</f>
        <v>0</v>
      </c>
      <c r="U38">
        <f>IF(COUNT($E$2:$E38)&lt;14,"",MIN($D$25:$D$38))</f>
        <v>0</v>
      </c>
      <c r="V38">
        <f>IF(OR(T38="",U38="",T38=U38),"",100*($E38-U38)/(T38-U38))</f>
        <v>0</v>
      </c>
      <c r="W38">
        <f>IF(COUNT($V$36:$V$38)&lt;3,"",AVERAGE($V$36:$V$38))</f>
        <v>0</v>
      </c>
      <c r="X38">
        <f>IF(COUNT($N$25:$N$38)&lt;14,"",MIN($N$25:$N$38))</f>
        <v>0</v>
      </c>
      <c r="Y38">
        <f>IF(COUNT($N$25:$N$38)&lt;14,"",MAX($N$25:$N$38))</f>
        <v>0</v>
      </c>
      <c r="Z38">
        <f>IF(OR(N38="",X38="",Y38="",Y38=X38),"",100*(N38-X38)/(Y38-X38))</f>
        <v>0</v>
      </c>
      <c r="AA38">
        <f>IF(COUNT($Z$36:$Z$38)&lt;3,"",AVERAGE($Z$36:$Z$38))</f>
        <v>0</v>
      </c>
      <c r="AB38">
        <f>IF(COUNT($AA$36:$AA$38)&lt;3,"",AVERAGE($AA$36:$AA$38))</f>
        <v>0</v>
      </c>
      <c r="AC38">
        <f>IF($E38="","",MAX($C38-$D38,ABS($C38-$E37),ABS($D38-$E37)))</f>
        <v>0</v>
      </c>
      <c r="AD38">
        <f>IF(COUNT($E$2:$E38)&lt;15,"",AVERAGE($AC$25:$AC$38))</f>
        <v>0</v>
      </c>
      <c r="AE38">
        <f>IF(OR($E38="",$E37=""),"",IF(AND(($C38-$C37)&gt;($D37-$D38),($C38-$C37)&gt;0),$C38-$C37,0))</f>
        <v>0</v>
      </c>
      <c r="AF38">
        <f>IF(OR($E38="",$E37=""),"",IF(AND(($D37-$D38)&gt;($C38-$C37),($D37-$D38)&gt;0),$D37-$D38,0))</f>
        <v>0</v>
      </c>
      <c r="AG38">
        <f>IF(COUNT($E$2:$E38)&lt;15,"",IF(SUM($AC$25:$AC$38)=0,0,100*SUM($AE$25:$AE$38)/SUM($AC$25:$AC$38)))</f>
        <v>0</v>
      </c>
      <c r="AH38">
        <f>IF(COUNT($E$2:$E38)&lt;15,"",IF(SUM($AC$25:$AC$38)=0,0,100*SUM($AF$25:$AF$38)/SUM($AC$25:$AC$38)))</f>
        <v>0</v>
      </c>
      <c r="AI38">
        <f>IF(OR(AG38="",AH38=""),"",IF((AG38+AH38)=0,0,100*ABS(AG38-AH38)/(AG38+AH38)))</f>
        <v>0</v>
      </c>
      <c r="AJ38">
        <f>IF(COUNT($AI$25:$AI$38)&lt;14,"",AVERAGE($AI$25:$AI$38))</f>
        <v>0</v>
      </c>
      <c r="AK38">
        <f>IF(COUNT($E$2:$E38)&lt;20,"",AVERAGE($E$19:$E$38))</f>
        <v>0</v>
      </c>
      <c r="AL38">
        <f>IF(COUNT($E$2:$E38)&lt;20,"",STDEVP($E$19:$E$38))</f>
        <v>0</v>
      </c>
      <c r="AM38">
        <f>IF(AK38="","",AK38+2*AL38)</f>
        <v>0</v>
      </c>
      <c r="AN38">
        <f>IF(AK38="","",AK38-2*AL38)</f>
        <v>0</v>
      </c>
      <c r="AO38">
        <f>IF(OR(AM38="",AN38="",AM38=AN38),"",($E38-AN38)/(AM38-AN38))</f>
        <v>0</v>
      </c>
      <c r="AP38">
        <f>IF(OR(AM38="",AK38="",AK38=0),"",(AM38-AN38)/AK38)</f>
        <v>0</v>
      </c>
      <c r="AQ38">
        <f>IF(COUNT($E$2:$E38)&lt;20,"",MAX($C$19:$C$38))</f>
        <v>0</v>
      </c>
      <c r="AR38">
        <f>IF(COUNT($E$2:$E38)&lt;20,"",MIN($D$19:$D$38))</f>
        <v>0</v>
      </c>
      <c r="AS38">
        <f>IF(OR(AQ38="",AR38=""),"",(AQ38+AR38)/2)</f>
        <v>0</v>
      </c>
      <c r="AT38">
        <f>IF(COUNT($G$19:$G$38)&lt;20,"",STDEV($G$19:$G$38)*SQRT(252))</f>
        <v>0</v>
      </c>
      <c r="AU38">
        <f>IF(COUNT($E$2:$E38)&lt;9,"",(MAX($C$30:$C$38)+MIN($D$30:$D$38))/2)</f>
        <v>0</v>
      </c>
      <c r="AV38">
        <f>IF(COUNT($E$2:$E38)&lt;26,"",(MAX($C$13:$C$38)+MIN($D$13:$D$38))/2)</f>
        <v>0</v>
      </c>
      <c r="AW38">
        <f>IF(OR(AU38="",AV38=""),"",(AU38+AV38)/2)</f>
        <v>0</v>
      </c>
      <c r="AX38">
        <f>IF(COUNT($E$2:$E38)&lt;52,"",(MAX($C$2:$C$38)+MIN($D$2:$D$38))/2)</f>
        <v>0</v>
      </c>
      <c r="AY38">
        <f>IF(COUNT($E$2:$E38)&lt;20,"",MAX($C$2:$C$38))</f>
        <v>0</v>
      </c>
      <c r="AZ38">
        <f>IF(COUNT($E$2:$E38)&lt;20,"",MIN($D$2:$D$38))</f>
        <v>0</v>
      </c>
      <c r="BA38">
        <f>IF(COUNT($E$2:$E38)&lt;20,"",SLOPE($E$2:$E$38,$F$2:$F$38))</f>
        <v>0</v>
      </c>
      <c r="BB38">
        <f>IF(COUNT($E$2:$E38)&lt;20,"",INTERCEPT($E$2:$E$38,$F$2:$F$38))</f>
        <v>0</v>
      </c>
      <c r="BC38">
        <f>IF(OR(BA38="",BB38=""),"",BB38+BA38*F38)</f>
        <v>0</v>
      </c>
      <c r="BD38">
        <f>IF(COUNT($E$2:$E38)&lt;20,"",STEYX($E$2:$E$38,$F$2:$F$38))</f>
        <v>0</v>
      </c>
      <c r="BE38">
        <f>IF($E38="","",IF(AND(COUNT($E$39:$E$42)&gt;=4,$C38=MAX($C$34:$C$42)),$C38,""))</f>
        <v>0</v>
      </c>
      <c r="BF38">
        <f>IF($E38="","",IF(AND(COUNT($E$39:$E$42)&gt;=4,$D38=MIN($D$34:$D$42)),$D38,""))</f>
        <v>0</v>
      </c>
      <c r="BG38">
        <f>IF($A38="","",$A38-WEEKDAY($A38,2)+1)</f>
        <v>0</v>
      </c>
      <c r="BH38">
        <f>IF($A38="","",IF($A37="",1,IF(BG38&lt;&gt;BG37,1,0)))</f>
        <v>0</v>
      </c>
      <c r="BI38">
        <f>IF($A38="","",IF($A39="",1,IF(BG39&lt;&gt;BG38,1,0)))</f>
        <v>0</v>
      </c>
      <c r="BJ38">
        <f>IF($A38="","",IF(BH38=1,$B38,BJ37))</f>
        <v>0</v>
      </c>
      <c r="BK38">
        <f>IF($A38="","",IF(BH38=1,$C38,MAX($C38,BK37)))</f>
        <v>0</v>
      </c>
      <c r="BL38">
        <f>IF($A38="","",IF(BH38=1,$D38,MIN($D38,BL37)))</f>
        <v>0</v>
      </c>
      <c r="BM38">
        <f>IF($A38="","",IF(BI38=1,F38,""))</f>
        <v>0</v>
      </c>
      <c r="BN38">
        <f>IF($A38="","",DATE(YEAR($A38),MONTH($A38),1))</f>
        <v>0</v>
      </c>
      <c r="BO38">
        <f>IF($A38="","",IF($A37="",1,IF(BN38&lt;&gt;BN37,1,0)))</f>
        <v>0</v>
      </c>
      <c r="BP38">
        <f>IF($A38="","",IF($A39="",1,IF(BN39&lt;&gt;BN38,1,0)))</f>
        <v>0</v>
      </c>
      <c r="BQ38">
        <f>IF($A38="","",IF(BO38=1,$B38,BQ37))</f>
        <v>0</v>
      </c>
      <c r="BR38">
        <f>IF($A38="","",IF(BO38=1,$C38,MAX($C38,BR37)))</f>
        <v>0</v>
      </c>
      <c r="BS38">
        <f>IF($A38="","",IF(BO38=1,$D38,MIN($D38,BS37)))</f>
        <v>0</v>
      </c>
      <c r="BT38">
        <f>IF($A38="","",IF(BP38=1,F38,""))</f>
        <v>0</v>
      </c>
    </row>
    <row r="39" spans="1:72">
      <c r="A39" s="27">
        <f>IF(Data!$A39="","",Data!$A39)</f>
        <v>0</v>
      </c>
      <c r="B39">
        <f>IF(Data!$B39="","",Data!$B39)</f>
        <v>0</v>
      </c>
      <c r="C39">
        <f>IF(Data!$C39="","",Data!$C39)</f>
        <v>0</v>
      </c>
      <c r="D39">
        <f>IF(Data!$D39="","",Data!$D39)</f>
        <v>0</v>
      </c>
      <c r="E39">
        <f>IF(Data!$E39="","",Data!$E39)</f>
        <v>0</v>
      </c>
      <c r="F39">
        <f>IF($E39="","",N(F38)+1)</f>
        <v>0</v>
      </c>
      <c r="G39">
        <f>IF(OR($E39="",$E38=""),"",LN($E39/$E38))</f>
        <v>0</v>
      </c>
      <c r="H39">
        <f>IF($E39="","",IF($E38="",$E39,$E39*0.0952380952+H38*0.9047619048))</f>
        <v>0</v>
      </c>
      <c r="I39">
        <f>IF($E39="","",IF($E38="",$E39,$E39*0.0392156863+I38*0.9607843137))</f>
        <v>0</v>
      </c>
      <c r="J39">
        <f>IF($E39="","",IF($E38="",$E39,$E39*0.0198019802+J38*0.9801980198))</f>
        <v>0</v>
      </c>
      <c r="K39">
        <f>IF($E39="","",IF($E38="",$E39,$E39*0.0099502488+K38*0.9900497512))</f>
        <v>0</v>
      </c>
      <c r="L39">
        <f>IF(OR($E39="",$E38=""),"",MAX($E39-$E38,0))</f>
        <v>0</v>
      </c>
      <c r="M39">
        <f>IF(OR($E39="",$E38=""),"",MAX($E38-$E39,0))</f>
        <v>0</v>
      </c>
      <c r="N39">
        <f>IF(COUNT($E$2:$E39)&lt;15,"",IF(AVERAGE($M$26:$M$39)=0,100,100-100/(1+AVERAGE($L$26:$L$39)/AVERAGE($M$26:$M$39))))</f>
        <v>0</v>
      </c>
      <c r="O39">
        <f>IF($E39="","",IF($E38="",$E39,$E39*0.1538461538+O38*0.8461538462))</f>
        <v>0</v>
      </c>
      <c r="P39">
        <f>IF($E39="","",IF($E38="",$E39,$E39*0.0740740741+P38*0.9259259259))</f>
        <v>0</v>
      </c>
      <c r="Q39">
        <f>IF(OR(O39="",P39=""),"",O39-P39)</f>
        <v>0</v>
      </c>
      <c r="R39">
        <f>IF(Q39="","",IF(R38="",Q39,Q39*0.2000000000+R38*0.8000000000))</f>
        <v>0</v>
      </c>
      <c r="S39">
        <f>IF(OR(Q39="",R39=""),"",Q39-R39)</f>
        <v>0</v>
      </c>
      <c r="T39">
        <f>IF(COUNT($E$2:$E39)&lt;14,"",MAX($C$26:$C$39))</f>
        <v>0</v>
      </c>
      <c r="U39">
        <f>IF(COUNT($E$2:$E39)&lt;14,"",MIN($D$26:$D$39))</f>
        <v>0</v>
      </c>
      <c r="V39">
        <f>IF(OR(T39="",U39="",T39=U39),"",100*($E39-U39)/(T39-U39))</f>
        <v>0</v>
      </c>
      <c r="W39">
        <f>IF(COUNT($V$37:$V$39)&lt;3,"",AVERAGE($V$37:$V$39))</f>
        <v>0</v>
      </c>
      <c r="X39">
        <f>IF(COUNT($N$26:$N$39)&lt;14,"",MIN($N$26:$N$39))</f>
        <v>0</v>
      </c>
      <c r="Y39">
        <f>IF(COUNT($N$26:$N$39)&lt;14,"",MAX($N$26:$N$39))</f>
        <v>0</v>
      </c>
      <c r="Z39">
        <f>IF(OR(N39="",X39="",Y39="",Y39=X39),"",100*(N39-X39)/(Y39-X39))</f>
        <v>0</v>
      </c>
      <c r="AA39">
        <f>IF(COUNT($Z$37:$Z$39)&lt;3,"",AVERAGE($Z$37:$Z$39))</f>
        <v>0</v>
      </c>
      <c r="AB39">
        <f>IF(COUNT($AA$37:$AA$39)&lt;3,"",AVERAGE($AA$37:$AA$39))</f>
        <v>0</v>
      </c>
      <c r="AC39">
        <f>IF($E39="","",MAX($C39-$D39,ABS($C39-$E38),ABS($D39-$E38)))</f>
        <v>0</v>
      </c>
      <c r="AD39">
        <f>IF(COUNT($E$2:$E39)&lt;15,"",AVERAGE($AC$26:$AC$39))</f>
        <v>0</v>
      </c>
      <c r="AE39">
        <f>IF(OR($E39="",$E38=""),"",IF(AND(($C39-$C38)&gt;($D38-$D39),($C39-$C38)&gt;0),$C39-$C38,0))</f>
        <v>0</v>
      </c>
      <c r="AF39">
        <f>IF(OR($E39="",$E38=""),"",IF(AND(($D38-$D39)&gt;($C39-$C38),($D38-$D39)&gt;0),$D38-$D39,0))</f>
        <v>0</v>
      </c>
      <c r="AG39">
        <f>IF(COUNT($E$2:$E39)&lt;15,"",IF(SUM($AC$26:$AC$39)=0,0,100*SUM($AE$26:$AE$39)/SUM($AC$26:$AC$39)))</f>
        <v>0</v>
      </c>
      <c r="AH39">
        <f>IF(COUNT($E$2:$E39)&lt;15,"",IF(SUM($AC$26:$AC$39)=0,0,100*SUM($AF$26:$AF$39)/SUM($AC$26:$AC$39)))</f>
        <v>0</v>
      </c>
      <c r="AI39">
        <f>IF(OR(AG39="",AH39=""),"",IF((AG39+AH39)=0,0,100*ABS(AG39-AH39)/(AG39+AH39)))</f>
        <v>0</v>
      </c>
      <c r="AJ39">
        <f>IF(COUNT($AI$26:$AI$39)&lt;14,"",AVERAGE($AI$26:$AI$39))</f>
        <v>0</v>
      </c>
      <c r="AK39">
        <f>IF(COUNT($E$2:$E39)&lt;20,"",AVERAGE($E$20:$E$39))</f>
        <v>0</v>
      </c>
      <c r="AL39">
        <f>IF(COUNT($E$2:$E39)&lt;20,"",STDEVP($E$20:$E$39))</f>
        <v>0</v>
      </c>
      <c r="AM39">
        <f>IF(AK39="","",AK39+2*AL39)</f>
        <v>0</v>
      </c>
      <c r="AN39">
        <f>IF(AK39="","",AK39-2*AL39)</f>
        <v>0</v>
      </c>
      <c r="AO39">
        <f>IF(OR(AM39="",AN39="",AM39=AN39),"",($E39-AN39)/(AM39-AN39))</f>
        <v>0</v>
      </c>
      <c r="AP39">
        <f>IF(OR(AM39="",AK39="",AK39=0),"",(AM39-AN39)/AK39)</f>
        <v>0</v>
      </c>
      <c r="AQ39">
        <f>IF(COUNT($E$2:$E39)&lt;20,"",MAX($C$20:$C$39))</f>
        <v>0</v>
      </c>
      <c r="AR39">
        <f>IF(COUNT($E$2:$E39)&lt;20,"",MIN($D$20:$D$39))</f>
        <v>0</v>
      </c>
      <c r="AS39">
        <f>IF(OR(AQ39="",AR39=""),"",(AQ39+AR39)/2)</f>
        <v>0</v>
      </c>
      <c r="AT39">
        <f>IF(COUNT($G$20:$G$39)&lt;20,"",STDEV($G$20:$G$39)*SQRT(252))</f>
        <v>0</v>
      </c>
      <c r="AU39">
        <f>IF(COUNT($E$2:$E39)&lt;9,"",(MAX($C$31:$C$39)+MIN($D$31:$D$39))/2)</f>
        <v>0</v>
      </c>
      <c r="AV39">
        <f>IF(COUNT($E$2:$E39)&lt;26,"",(MAX($C$14:$C$39)+MIN($D$14:$D$39))/2)</f>
        <v>0</v>
      </c>
      <c r="AW39">
        <f>IF(OR(AU39="",AV39=""),"",(AU39+AV39)/2)</f>
        <v>0</v>
      </c>
      <c r="AX39">
        <f>IF(COUNT($E$2:$E39)&lt;52,"",(MAX($C$2:$C$39)+MIN($D$2:$D$39))/2)</f>
        <v>0</v>
      </c>
      <c r="AY39">
        <f>IF(COUNT($E$2:$E39)&lt;20,"",MAX($C$2:$C$39))</f>
        <v>0</v>
      </c>
      <c r="AZ39">
        <f>IF(COUNT($E$2:$E39)&lt;20,"",MIN($D$2:$D$39))</f>
        <v>0</v>
      </c>
      <c r="BA39">
        <f>IF(COUNT($E$2:$E39)&lt;20,"",SLOPE($E$2:$E$39,$F$2:$F$39))</f>
        <v>0</v>
      </c>
      <c r="BB39">
        <f>IF(COUNT($E$2:$E39)&lt;20,"",INTERCEPT($E$2:$E$39,$F$2:$F$39))</f>
        <v>0</v>
      </c>
      <c r="BC39">
        <f>IF(OR(BA39="",BB39=""),"",BB39+BA39*F39)</f>
        <v>0</v>
      </c>
      <c r="BD39">
        <f>IF(COUNT($E$2:$E39)&lt;20,"",STEYX($E$2:$E$39,$F$2:$F$39))</f>
        <v>0</v>
      </c>
      <c r="BE39">
        <f>IF($E39="","",IF(AND(COUNT($E$40:$E$43)&gt;=4,$C39=MAX($C$35:$C$43)),$C39,""))</f>
        <v>0</v>
      </c>
      <c r="BF39">
        <f>IF($E39="","",IF(AND(COUNT($E$40:$E$43)&gt;=4,$D39=MIN($D$35:$D$43)),$D39,""))</f>
        <v>0</v>
      </c>
      <c r="BG39">
        <f>IF($A39="","",$A39-WEEKDAY($A39,2)+1)</f>
        <v>0</v>
      </c>
      <c r="BH39">
        <f>IF($A39="","",IF($A38="",1,IF(BG39&lt;&gt;BG38,1,0)))</f>
        <v>0</v>
      </c>
      <c r="BI39">
        <f>IF($A39="","",IF($A40="",1,IF(BG40&lt;&gt;BG39,1,0)))</f>
        <v>0</v>
      </c>
      <c r="BJ39">
        <f>IF($A39="","",IF(BH39=1,$B39,BJ38))</f>
        <v>0</v>
      </c>
      <c r="BK39">
        <f>IF($A39="","",IF(BH39=1,$C39,MAX($C39,BK38)))</f>
        <v>0</v>
      </c>
      <c r="BL39">
        <f>IF($A39="","",IF(BH39=1,$D39,MIN($D39,BL38)))</f>
        <v>0</v>
      </c>
      <c r="BM39">
        <f>IF($A39="","",IF(BI39=1,F39,""))</f>
        <v>0</v>
      </c>
      <c r="BN39">
        <f>IF($A39="","",DATE(YEAR($A39),MONTH($A39),1))</f>
        <v>0</v>
      </c>
      <c r="BO39">
        <f>IF($A39="","",IF($A38="",1,IF(BN39&lt;&gt;BN38,1,0)))</f>
        <v>0</v>
      </c>
      <c r="BP39">
        <f>IF($A39="","",IF($A40="",1,IF(BN40&lt;&gt;BN39,1,0)))</f>
        <v>0</v>
      </c>
      <c r="BQ39">
        <f>IF($A39="","",IF(BO39=1,$B39,BQ38))</f>
        <v>0</v>
      </c>
      <c r="BR39">
        <f>IF($A39="","",IF(BO39=1,$C39,MAX($C39,BR38)))</f>
        <v>0</v>
      </c>
      <c r="BS39">
        <f>IF($A39="","",IF(BO39=1,$D39,MIN($D39,BS38)))</f>
        <v>0</v>
      </c>
      <c r="BT39">
        <f>IF($A39="","",IF(BP39=1,F39,""))</f>
        <v>0</v>
      </c>
    </row>
    <row r="40" spans="1:72">
      <c r="A40" s="27">
        <f>IF(Data!$A40="","",Data!$A40)</f>
        <v>0</v>
      </c>
      <c r="B40">
        <f>IF(Data!$B40="","",Data!$B40)</f>
        <v>0</v>
      </c>
      <c r="C40">
        <f>IF(Data!$C40="","",Data!$C40)</f>
        <v>0</v>
      </c>
      <c r="D40">
        <f>IF(Data!$D40="","",Data!$D40)</f>
        <v>0</v>
      </c>
      <c r="E40">
        <f>IF(Data!$E40="","",Data!$E40)</f>
        <v>0</v>
      </c>
      <c r="F40">
        <f>IF($E40="","",N(F39)+1)</f>
        <v>0</v>
      </c>
      <c r="G40">
        <f>IF(OR($E40="",$E39=""),"",LN($E40/$E39))</f>
        <v>0</v>
      </c>
      <c r="H40">
        <f>IF($E40="","",IF($E39="",$E40,$E40*0.0952380952+H39*0.9047619048))</f>
        <v>0</v>
      </c>
      <c r="I40">
        <f>IF($E40="","",IF($E39="",$E40,$E40*0.0392156863+I39*0.9607843137))</f>
        <v>0</v>
      </c>
      <c r="J40">
        <f>IF($E40="","",IF($E39="",$E40,$E40*0.0198019802+J39*0.9801980198))</f>
        <v>0</v>
      </c>
      <c r="K40">
        <f>IF($E40="","",IF($E39="",$E40,$E40*0.0099502488+K39*0.9900497512))</f>
        <v>0</v>
      </c>
      <c r="L40">
        <f>IF(OR($E40="",$E39=""),"",MAX($E40-$E39,0))</f>
        <v>0</v>
      </c>
      <c r="M40">
        <f>IF(OR($E40="",$E39=""),"",MAX($E39-$E40,0))</f>
        <v>0</v>
      </c>
      <c r="N40">
        <f>IF(COUNT($E$2:$E40)&lt;15,"",IF(AVERAGE($M$27:$M$40)=0,100,100-100/(1+AVERAGE($L$27:$L$40)/AVERAGE($M$27:$M$40))))</f>
        <v>0</v>
      </c>
      <c r="O40">
        <f>IF($E40="","",IF($E39="",$E40,$E40*0.1538461538+O39*0.8461538462))</f>
        <v>0</v>
      </c>
      <c r="P40">
        <f>IF($E40="","",IF($E39="",$E40,$E40*0.0740740741+P39*0.9259259259))</f>
        <v>0</v>
      </c>
      <c r="Q40">
        <f>IF(OR(O40="",P40=""),"",O40-P40)</f>
        <v>0</v>
      </c>
      <c r="R40">
        <f>IF(Q40="","",IF(R39="",Q40,Q40*0.2000000000+R39*0.8000000000))</f>
        <v>0</v>
      </c>
      <c r="S40">
        <f>IF(OR(Q40="",R40=""),"",Q40-R40)</f>
        <v>0</v>
      </c>
      <c r="T40">
        <f>IF(COUNT($E$2:$E40)&lt;14,"",MAX($C$27:$C$40))</f>
        <v>0</v>
      </c>
      <c r="U40">
        <f>IF(COUNT($E$2:$E40)&lt;14,"",MIN($D$27:$D$40))</f>
        <v>0</v>
      </c>
      <c r="V40">
        <f>IF(OR(T40="",U40="",T40=U40),"",100*($E40-U40)/(T40-U40))</f>
        <v>0</v>
      </c>
      <c r="W40">
        <f>IF(COUNT($V$38:$V$40)&lt;3,"",AVERAGE($V$38:$V$40))</f>
        <v>0</v>
      </c>
      <c r="X40">
        <f>IF(COUNT($N$27:$N$40)&lt;14,"",MIN($N$27:$N$40))</f>
        <v>0</v>
      </c>
      <c r="Y40">
        <f>IF(COUNT($N$27:$N$40)&lt;14,"",MAX($N$27:$N$40))</f>
        <v>0</v>
      </c>
      <c r="Z40">
        <f>IF(OR(N40="",X40="",Y40="",Y40=X40),"",100*(N40-X40)/(Y40-X40))</f>
        <v>0</v>
      </c>
      <c r="AA40">
        <f>IF(COUNT($Z$38:$Z$40)&lt;3,"",AVERAGE($Z$38:$Z$40))</f>
        <v>0</v>
      </c>
      <c r="AB40">
        <f>IF(COUNT($AA$38:$AA$40)&lt;3,"",AVERAGE($AA$38:$AA$40))</f>
        <v>0</v>
      </c>
      <c r="AC40">
        <f>IF($E40="","",MAX($C40-$D40,ABS($C40-$E39),ABS($D40-$E39)))</f>
        <v>0</v>
      </c>
      <c r="AD40">
        <f>IF(COUNT($E$2:$E40)&lt;15,"",AVERAGE($AC$27:$AC$40))</f>
        <v>0</v>
      </c>
      <c r="AE40">
        <f>IF(OR($E40="",$E39=""),"",IF(AND(($C40-$C39)&gt;($D39-$D40),($C40-$C39)&gt;0),$C40-$C39,0))</f>
        <v>0</v>
      </c>
      <c r="AF40">
        <f>IF(OR($E40="",$E39=""),"",IF(AND(($D39-$D40)&gt;($C40-$C39),($D39-$D40)&gt;0),$D39-$D40,0))</f>
        <v>0</v>
      </c>
      <c r="AG40">
        <f>IF(COUNT($E$2:$E40)&lt;15,"",IF(SUM($AC$27:$AC$40)=0,0,100*SUM($AE$27:$AE$40)/SUM($AC$27:$AC$40)))</f>
        <v>0</v>
      </c>
      <c r="AH40">
        <f>IF(COUNT($E$2:$E40)&lt;15,"",IF(SUM($AC$27:$AC$40)=0,0,100*SUM($AF$27:$AF$40)/SUM($AC$27:$AC$40)))</f>
        <v>0</v>
      </c>
      <c r="AI40">
        <f>IF(OR(AG40="",AH40=""),"",IF((AG40+AH40)=0,0,100*ABS(AG40-AH40)/(AG40+AH40)))</f>
        <v>0</v>
      </c>
      <c r="AJ40">
        <f>IF(COUNT($AI$27:$AI$40)&lt;14,"",AVERAGE($AI$27:$AI$40))</f>
        <v>0</v>
      </c>
      <c r="AK40">
        <f>IF(COUNT($E$2:$E40)&lt;20,"",AVERAGE($E$21:$E$40))</f>
        <v>0</v>
      </c>
      <c r="AL40">
        <f>IF(COUNT($E$2:$E40)&lt;20,"",STDEVP($E$21:$E$40))</f>
        <v>0</v>
      </c>
      <c r="AM40">
        <f>IF(AK40="","",AK40+2*AL40)</f>
        <v>0</v>
      </c>
      <c r="AN40">
        <f>IF(AK40="","",AK40-2*AL40)</f>
        <v>0</v>
      </c>
      <c r="AO40">
        <f>IF(OR(AM40="",AN40="",AM40=AN40),"",($E40-AN40)/(AM40-AN40))</f>
        <v>0</v>
      </c>
      <c r="AP40">
        <f>IF(OR(AM40="",AK40="",AK40=0),"",(AM40-AN40)/AK40)</f>
        <v>0</v>
      </c>
      <c r="AQ40">
        <f>IF(COUNT($E$2:$E40)&lt;20,"",MAX($C$21:$C$40))</f>
        <v>0</v>
      </c>
      <c r="AR40">
        <f>IF(COUNT($E$2:$E40)&lt;20,"",MIN($D$21:$D$40))</f>
        <v>0</v>
      </c>
      <c r="AS40">
        <f>IF(OR(AQ40="",AR40=""),"",(AQ40+AR40)/2)</f>
        <v>0</v>
      </c>
      <c r="AT40">
        <f>IF(COUNT($G$21:$G$40)&lt;20,"",STDEV($G$21:$G$40)*SQRT(252))</f>
        <v>0</v>
      </c>
      <c r="AU40">
        <f>IF(COUNT($E$2:$E40)&lt;9,"",(MAX($C$32:$C$40)+MIN($D$32:$D$40))/2)</f>
        <v>0</v>
      </c>
      <c r="AV40">
        <f>IF(COUNT($E$2:$E40)&lt;26,"",(MAX($C$15:$C$40)+MIN($D$15:$D$40))/2)</f>
        <v>0</v>
      </c>
      <c r="AW40">
        <f>IF(OR(AU40="",AV40=""),"",(AU40+AV40)/2)</f>
        <v>0</v>
      </c>
      <c r="AX40">
        <f>IF(COUNT($E$2:$E40)&lt;52,"",(MAX($C$2:$C$40)+MIN($D$2:$D$40))/2)</f>
        <v>0</v>
      </c>
      <c r="AY40">
        <f>IF(COUNT($E$2:$E40)&lt;20,"",MAX($C$2:$C$40))</f>
        <v>0</v>
      </c>
      <c r="AZ40">
        <f>IF(COUNT($E$2:$E40)&lt;20,"",MIN($D$2:$D$40))</f>
        <v>0</v>
      </c>
      <c r="BA40">
        <f>IF(COUNT($E$2:$E40)&lt;20,"",SLOPE($E$2:$E$40,$F$2:$F$40))</f>
        <v>0</v>
      </c>
      <c r="BB40">
        <f>IF(COUNT($E$2:$E40)&lt;20,"",INTERCEPT($E$2:$E$40,$F$2:$F$40))</f>
        <v>0</v>
      </c>
      <c r="BC40">
        <f>IF(OR(BA40="",BB40=""),"",BB40+BA40*F40)</f>
        <v>0</v>
      </c>
      <c r="BD40">
        <f>IF(COUNT($E$2:$E40)&lt;20,"",STEYX($E$2:$E$40,$F$2:$F$40))</f>
        <v>0</v>
      </c>
      <c r="BE40">
        <f>IF($E40="","",IF(AND(COUNT($E$41:$E$44)&gt;=4,$C40=MAX($C$36:$C$44)),$C40,""))</f>
        <v>0</v>
      </c>
      <c r="BF40">
        <f>IF($E40="","",IF(AND(COUNT($E$41:$E$44)&gt;=4,$D40=MIN($D$36:$D$44)),$D40,""))</f>
        <v>0</v>
      </c>
      <c r="BG40">
        <f>IF($A40="","",$A40-WEEKDAY($A40,2)+1)</f>
        <v>0</v>
      </c>
      <c r="BH40">
        <f>IF($A40="","",IF($A39="",1,IF(BG40&lt;&gt;BG39,1,0)))</f>
        <v>0</v>
      </c>
      <c r="BI40">
        <f>IF($A40="","",IF($A41="",1,IF(BG41&lt;&gt;BG40,1,0)))</f>
        <v>0</v>
      </c>
      <c r="BJ40">
        <f>IF($A40="","",IF(BH40=1,$B40,BJ39))</f>
        <v>0</v>
      </c>
      <c r="BK40">
        <f>IF($A40="","",IF(BH40=1,$C40,MAX($C40,BK39)))</f>
        <v>0</v>
      </c>
      <c r="BL40">
        <f>IF($A40="","",IF(BH40=1,$D40,MIN($D40,BL39)))</f>
        <v>0</v>
      </c>
      <c r="BM40">
        <f>IF($A40="","",IF(BI40=1,F40,""))</f>
        <v>0</v>
      </c>
      <c r="BN40">
        <f>IF($A40="","",DATE(YEAR($A40),MONTH($A40),1))</f>
        <v>0</v>
      </c>
      <c r="BO40">
        <f>IF($A40="","",IF($A39="",1,IF(BN40&lt;&gt;BN39,1,0)))</f>
        <v>0</v>
      </c>
      <c r="BP40">
        <f>IF($A40="","",IF($A41="",1,IF(BN41&lt;&gt;BN40,1,0)))</f>
        <v>0</v>
      </c>
      <c r="BQ40">
        <f>IF($A40="","",IF(BO40=1,$B40,BQ39))</f>
        <v>0</v>
      </c>
      <c r="BR40">
        <f>IF($A40="","",IF(BO40=1,$C40,MAX($C40,BR39)))</f>
        <v>0</v>
      </c>
      <c r="BS40">
        <f>IF($A40="","",IF(BO40=1,$D40,MIN($D40,BS39)))</f>
        <v>0</v>
      </c>
      <c r="BT40">
        <f>IF($A40="","",IF(BP40=1,F40,""))</f>
        <v>0</v>
      </c>
    </row>
    <row r="41" spans="1:72">
      <c r="A41" s="27">
        <f>IF(Data!$A41="","",Data!$A41)</f>
        <v>0</v>
      </c>
      <c r="B41">
        <f>IF(Data!$B41="","",Data!$B41)</f>
        <v>0</v>
      </c>
      <c r="C41">
        <f>IF(Data!$C41="","",Data!$C41)</f>
        <v>0</v>
      </c>
      <c r="D41">
        <f>IF(Data!$D41="","",Data!$D41)</f>
        <v>0</v>
      </c>
      <c r="E41">
        <f>IF(Data!$E41="","",Data!$E41)</f>
        <v>0</v>
      </c>
      <c r="F41">
        <f>IF($E41="","",N(F40)+1)</f>
        <v>0</v>
      </c>
      <c r="G41">
        <f>IF(OR($E41="",$E40=""),"",LN($E41/$E40))</f>
        <v>0</v>
      </c>
      <c r="H41">
        <f>IF($E41="","",IF($E40="",$E41,$E41*0.0952380952+H40*0.9047619048))</f>
        <v>0</v>
      </c>
      <c r="I41">
        <f>IF($E41="","",IF($E40="",$E41,$E41*0.0392156863+I40*0.9607843137))</f>
        <v>0</v>
      </c>
      <c r="J41">
        <f>IF($E41="","",IF($E40="",$E41,$E41*0.0198019802+J40*0.9801980198))</f>
        <v>0</v>
      </c>
      <c r="K41">
        <f>IF($E41="","",IF($E40="",$E41,$E41*0.0099502488+K40*0.9900497512))</f>
        <v>0</v>
      </c>
      <c r="L41">
        <f>IF(OR($E41="",$E40=""),"",MAX($E41-$E40,0))</f>
        <v>0</v>
      </c>
      <c r="M41">
        <f>IF(OR($E41="",$E40=""),"",MAX($E40-$E41,0))</f>
        <v>0</v>
      </c>
      <c r="N41">
        <f>IF(COUNT($E$2:$E41)&lt;15,"",IF(AVERAGE($M$28:$M$41)=0,100,100-100/(1+AVERAGE($L$28:$L$41)/AVERAGE($M$28:$M$41))))</f>
        <v>0</v>
      </c>
      <c r="O41">
        <f>IF($E41="","",IF($E40="",$E41,$E41*0.1538461538+O40*0.8461538462))</f>
        <v>0</v>
      </c>
      <c r="P41">
        <f>IF($E41="","",IF($E40="",$E41,$E41*0.0740740741+P40*0.9259259259))</f>
        <v>0</v>
      </c>
      <c r="Q41">
        <f>IF(OR(O41="",P41=""),"",O41-P41)</f>
        <v>0</v>
      </c>
      <c r="R41">
        <f>IF(Q41="","",IF(R40="",Q41,Q41*0.2000000000+R40*0.8000000000))</f>
        <v>0</v>
      </c>
      <c r="S41">
        <f>IF(OR(Q41="",R41=""),"",Q41-R41)</f>
        <v>0</v>
      </c>
      <c r="T41">
        <f>IF(COUNT($E$2:$E41)&lt;14,"",MAX($C$28:$C$41))</f>
        <v>0</v>
      </c>
      <c r="U41">
        <f>IF(COUNT($E$2:$E41)&lt;14,"",MIN($D$28:$D$41))</f>
        <v>0</v>
      </c>
      <c r="V41">
        <f>IF(OR(T41="",U41="",T41=U41),"",100*($E41-U41)/(T41-U41))</f>
        <v>0</v>
      </c>
      <c r="W41">
        <f>IF(COUNT($V$39:$V$41)&lt;3,"",AVERAGE($V$39:$V$41))</f>
        <v>0</v>
      </c>
      <c r="X41">
        <f>IF(COUNT($N$28:$N$41)&lt;14,"",MIN($N$28:$N$41))</f>
        <v>0</v>
      </c>
      <c r="Y41">
        <f>IF(COUNT($N$28:$N$41)&lt;14,"",MAX($N$28:$N$41))</f>
        <v>0</v>
      </c>
      <c r="Z41">
        <f>IF(OR(N41="",X41="",Y41="",Y41=X41),"",100*(N41-X41)/(Y41-X41))</f>
        <v>0</v>
      </c>
      <c r="AA41">
        <f>IF(COUNT($Z$39:$Z$41)&lt;3,"",AVERAGE($Z$39:$Z$41))</f>
        <v>0</v>
      </c>
      <c r="AB41">
        <f>IF(COUNT($AA$39:$AA$41)&lt;3,"",AVERAGE($AA$39:$AA$41))</f>
        <v>0</v>
      </c>
      <c r="AC41">
        <f>IF($E41="","",MAX($C41-$D41,ABS($C41-$E40),ABS($D41-$E40)))</f>
        <v>0</v>
      </c>
      <c r="AD41">
        <f>IF(COUNT($E$2:$E41)&lt;15,"",AVERAGE($AC$28:$AC$41))</f>
        <v>0</v>
      </c>
      <c r="AE41">
        <f>IF(OR($E41="",$E40=""),"",IF(AND(($C41-$C40)&gt;($D40-$D41),($C41-$C40)&gt;0),$C41-$C40,0))</f>
        <v>0</v>
      </c>
      <c r="AF41">
        <f>IF(OR($E41="",$E40=""),"",IF(AND(($D40-$D41)&gt;($C41-$C40),($D40-$D41)&gt;0),$D40-$D41,0))</f>
        <v>0</v>
      </c>
      <c r="AG41">
        <f>IF(COUNT($E$2:$E41)&lt;15,"",IF(SUM($AC$28:$AC$41)=0,0,100*SUM($AE$28:$AE$41)/SUM($AC$28:$AC$41)))</f>
        <v>0</v>
      </c>
      <c r="AH41">
        <f>IF(COUNT($E$2:$E41)&lt;15,"",IF(SUM($AC$28:$AC$41)=0,0,100*SUM($AF$28:$AF$41)/SUM($AC$28:$AC$41)))</f>
        <v>0</v>
      </c>
      <c r="AI41">
        <f>IF(OR(AG41="",AH41=""),"",IF((AG41+AH41)=0,0,100*ABS(AG41-AH41)/(AG41+AH41)))</f>
        <v>0</v>
      </c>
      <c r="AJ41">
        <f>IF(COUNT($AI$28:$AI$41)&lt;14,"",AVERAGE($AI$28:$AI$41))</f>
        <v>0</v>
      </c>
      <c r="AK41">
        <f>IF(COUNT($E$2:$E41)&lt;20,"",AVERAGE($E$22:$E$41))</f>
        <v>0</v>
      </c>
      <c r="AL41">
        <f>IF(COUNT($E$2:$E41)&lt;20,"",STDEVP($E$22:$E$41))</f>
        <v>0</v>
      </c>
      <c r="AM41">
        <f>IF(AK41="","",AK41+2*AL41)</f>
        <v>0</v>
      </c>
      <c r="AN41">
        <f>IF(AK41="","",AK41-2*AL41)</f>
        <v>0</v>
      </c>
      <c r="AO41">
        <f>IF(OR(AM41="",AN41="",AM41=AN41),"",($E41-AN41)/(AM41-AN41))</f>
        <v>0</v>
      </c>
      <c r="AP41">
        <f>IF(OR(AM41="",AK41="",AK41=0),"",(AM41-AN41)/AK41)</f>
        <v>0</v>
      </c>
      <c r="AQ41">
        <f>IF(COUNT($E$2:$E41)&lt;20,"",MAX($C$22:$C$41))</f>
        <v>0</v>
      </c>
      <c r="AR41">
        <f>IF(COUNT($E$2:$E41)&lt;20,"",MIN($D$22:$D$41))</f>
        <v>0</v>
      </c>
      <c r="AS41">
        <f>IF(OR(AQ41="",AR41=""),"",(AQ41+AR41)/2)</f>
        <v>0</v>
      </c>
      <c r="AT41">
        <f>IF(COUNT($G$22:$G$41)&lt;20,"",STDEV($G$22:$G$41)*SQRT(252))</f>
        <v>0</v>
      </c>
      <c r="AU41">
        <f>IF(COUNT($E$2:$E41)&lt;9,"",(MAX($C$33:$C$41)+MIN($D$33:$D$41))/2)</f>
        <v>0</v>
      </c>
      <c r="AV41">
        <f>IF(COUNT($E$2:$E41)&lt;26,"",(MAX($C$16:$C$41)+MIN($D$16:$D$41))/2)</f>
        <v>0</v>
      </c>
      <c r="AW41">
        <f>IF(OR(AU41="",AV41=""),"",(AU41+AV41)/2)</f>
        <v>0</v>
      </c>
      <c r="AX41">
        <f>IF(COUNT($E$2:$E41)&lt;52,"",(MAX($C$2:$C$41)+MIN($D$2:$D$41))/2)</f>
        <v>0</v>
      </c>
      <c r="AY41">
        <f>IF(COUNT($E$2:$E41)&lt;20,"",MAX($C$2:$C$41))</f>
        <v>0</v>
      </c>
      <c r="AZ41">
        <f>IF(COUNT($E$2:$E41)&lt;20,"",MIN($D$2:$D$41))</f>
        <v>0</v>
      </c>
      <c r="BA41">
        <f>IF(COUNT($E$2:$E41)&lt;20,"",SLOPE($E$2:$E$41,$F$2:$F$41))</f>
        <v>0</v>
      </c>
      <c r="BB41">
        <f>IF(COUNT($E$2:$E41)&lt;20,"",INTERCEPT($E$2:$E$41,$F$2:$F$41))</f>
        <v>0</v>
      </c>
      <c r="BC41">
        <f>IF(OR(BA41="",BB41=""),"",BB41+BA41*F41)</f>
        <v>0</v>
      </c>
      <c r="BD41">
        <f>IF(COUNT($E$2:$E41)&lt;20,"",STEYX($E$2:$E$41,$F$2:$F$41))</f>
        <v>0</v>
      </c>
      <c r="BE41">
        <f>IF($E41="","",IF(AND(COUNT($E$42:$E$45)&gt;=4,$C41=MAX($C$37:$C$45)),$C41,""))</f>
        <v>0</v>
      </c>
      <c r="BF41">
        <f>IF($E41="","",IF(AND(COUNT($E$42:$E$45)&gt;=4,$D41=MIN($D$37:$D$45)),$D41,""))</f>
        <v>0</v>
      </c>
      <c r="BG41">
        <f>IF($A41="","",$A41-WEEKDAY($A41,2)+1)</f>
        <v>0</v>
      </c>
      <c r="BH41">
        <f>IF($A41="","",IF($A40="",1,IF(BG41&lt;&gt;BG40,1,0)))</f>
        <v>0</v>
      </c>
      <c r="BI41">
        <f>IF($A41="","",IF($A42="",1,IF(BG42&lt;&gt;BG41,1,0)))</f>
        <v>0</v>
      </c>
      <c r="BJ41">
        <f>IF($A41="","",IF(BH41=1,$B41,BJ40))</f>
        <v>0</v>
      </c>
      <c r="BK41">
        <f>IF($A41="","",IF(BH41=1,$C41,MAX($C41,BK40)))</f>
        <v>0</v>
      </c>
      <c r="BL41">
        <f>IF($A41="","",IF(BH41=1,$D41,MIN($D41,BL40)))</f>
        <v>0</v>
      </c>
      <c r="BM41">
        <f>IF($A41="","",IF(BI41=1,F41,""))</f>
        <v>0</v>
      </c>
      <c r="BN41">
        <f>IF($A41="","",DATE(YEAR($A41),MONTH($A41),1))</f>
        <v>0</v>
      </c>
      <c r="BO41">
        <f>IF($A41="","",IF($A40="",1,IF(BN41&lt;&gt;BN40,1,0)))</f>
        <v>0</v>
      </c>
      <c r="BP41">
        <f>IF($A41="","",IF($A42="",1,IF(BN42&lt;&gt;BN41,1,0)))</f>
        <v>0</v>
      </c>
      <c r="BQ41">
        <f>IF($A41="","",IF(BO41=1,$B41,BQ40))</f>
        <v>0</v>
      </c>
      <c r="BR41">
        <f>IF($A41="","",IF(BO41=1,$C41,MAX($C41,BR40)))</f>
        <v>0</v>
      </c>
      <c r="BS41">
        <f>IF($A41="","",IF(BO41=1,$D41,MIN($D41,BS40)))</f>
        <v>0</v>
      </c>
      <c r="BT41">
        <f>IF($A41="","",IF(BP41=1,F41,""))</f>
        <v>0</v>
      </c>
    </row>
    <row r="42" spans="1:72">
      <c r="A42" s="27">
        <f>IF(Data!$A42="","",Data!$A42)</f>
        <v>0</v>
      </c>
      <c r="B42">
        <f>IF(Data!$B42="","",Data!$B42)</f>
        <v>0</v>
      </c>
      <c r="C42">
        <f>IF(Data!$C42="","",Data!$C42)</f>
        <v>0</v>
      </c>
      <c r="D42">
        <f>IF(Data!$D42="","",Data!$D42)</f>
        <v>0</v>
      </c>
      <c r="E42">
        <f>IF(Data!$E42="","",Data!$E42)</f>
        <v>0</v>
      </c>
      <c r="F42">
        <f>IF($E42="","",N(F41)+1)</f>
        <v>0</v>
      </c>
      <c r="G42">
        <f>IF(OR($E42="",$E41=""),"",LN($E42/$E41))</f>
        <v>0</v>
      </c>
      <c r="H42">
        <f>IF($E42="","",IF($E41="",$E42,$E42*0.0952380952+H41*0.9047619048))</f>
        <v>0</v>
      </c>
      <c r="I42">
        <f>IF($E42="","",IF($E41="",$E42,$E42*0.0392156863+I41*0.9607843137))</f>
        <v>0</v>
      </c>
      <c r="J42">
        <f>IF($E42="","",IF($E41="",$E42,$E42*0.0198019802+J41*0.9801980198))</f>
        <v>0</v>
      </c>
      <c r="K42">
        <f>IF($E42="","",IF($E41="",$E42,$E42*0.0099502488+K41*0.9900497512))</f>
        <v>0</v>
      </c>
      <c r="L42">
        <f>IF(OR($E42="",$E41=""),"",MAX($E42-$E41,0))</f>
        <v>0</v>
      </c>
      <c r="M42">
        <f>IF(OR($E42="",$E41=""),"",MAX($E41-$E42,0))</f>
        <v>0</v>
      </c>
      <c r="N42">
        <f>IF(COUNT($E$2:$E42)&lt;15,"",IF(AVERAGE($M$29:$M$42)=0,100,100-100/(1+AVERAGE($L$29:$L$42)/AVERAGE($M$29:$M$42))))</f>
        <v>0</v>
      </c>
      <c r="O42">
        <f>IF($E42="","",IF($E41="",$E42,$E42*0.1538461538+O41*0.8461538462))</f>
        <v>0</v>
      </c>
      <c r="P42">
        <f>IF($E42="","",IF($E41="",$E42,$E42*0.0740740741+P41*0.9259259259))</f>
        <v>0</v>
      </c>
      <c r="Q42">
        <f>IF(OR(O42="",P42=""),"",O42-P42)</f>
        <v>0</v>
      </c>
      <c r="R42">
        <f>IF(Q42="","",IF(R41="",Q42,Q42*0.2000000000+R41*0.8000000000))</f>
        <v>0</v>
      </c>
      <c r="S42">
        <f>IF(OR(Q42="",R42=""),"",Q42-R42)</f>
        <v>0</v>
      </c>
      <c r="T42">
        <f>IF(COUNT($E$2:$E42)&lt;14,"",MAX($C$29:$C$42))</f>
        <v>0</v>
      </c>
      <c r="U42">
        <f>IF(COUNT($E$2:$E42)&lt;14,"",MIN($D$29:$D$42))</f>
        <v>0</v>
      </c>
      <c r="V42">
        <f>IF(OR(T42="",U42="",T42=U42),"",100*($E42-U42)/(T42-U42))</f>
        <v>0</v>
      </c>
      <c r="W42">
        <f>IF(COUNT($V$40:$V$42)&lt;3,"",AVERAGE($V$40:$V$42))</f>
        <v>0</v>
      </c>
      <c r="X42">
        <f>IF(COUNT($N$29:$N$42)&lt;14,"",MIN($N$29:$N$42))</f>
        <v>0</v>
      </c>
      <c r="Y42">
        <f>IF(COUNT($N$29:$N$42)&lt;14,"",MAX($N$29:$N$42))</f>
        <v>0</v>
      </c>
      <c r="Z42">
        <f>IF(OR(N42="",X42="",Y42="",Y42=X42),"",100*(N42-X42)/(Y42-X42))</f>
        <v>0</v>
      </c>
      <c r="AA42">
        <f>IF(COUNT($Z$40:$Z$42)&lt;3,"",AVERAGE($Z$40:$Z$42))</f>
        <v>0</v>
      </c>
      <c r="AB42">
        <f>IF(COUNT($AA$40:$AA$42)&lt;3,"",AVERAGE($AA$40:$AA$42))</f>
        <v>0</v>
      </c>
      <c r="AC42">
        <f>IF($E42="","",MAX($C42-$D42,ABS($C42-$E41),ABS($D42-$E41)))</f>
        <v>0</v>
      </c>
      <c r="AD42">
        <f>IF(COUNT($E$2:$E42)&lt;15,"",AVERAGE($AC$29:$AC$42))</f>
        <v>0</v>
      </c>
      <c r="AE42">
        <f>IF(OR($E42="",$E41=""),"",IF(AND(($C42-$C41)&gt;($D41-$D42),($C42-$C41)&gt;0),$C42-$C41,0))</f>
        <v>0</v>
      </c>
      <c r="AF42">
        <f>IF(OR($E42="",$E41=""),"",IF(AND(($D41-$D42)&gt;($C42-$C41),($D41-$D42)&gt;0),$D41-$D42,0))</f>
        <v>0</v>
      </c>
      <c r="AG42">
        <f>IF(COUNT($E$2:$E42)&lt;15,"",IF(SUM($AC$29:$AC$42)=0,0,100*SUM($AE$29:$AE$42)/SUM($AC$29:$AC$42)))</f>
        <v>0</v>
      </c>
      <c r="AH42">
        <f>IF(COUNT($E$2:$E42)&lt;15,"",IF(SUM($AC$29:$AC$42)=0,0,100*SUM($AF$29:$AF$42)/SUM($AC$29:$AC$42)))</f>
        <v>0</v>
      </c>
      <c r="AI42">
        <f>IF(OR(AG42="",AH42=""),"",IF((AG42+AH42)=0,0,100*ABS(AG42-AH42)/(AG42+AH42)))</f>
        <v>0</v>
      </c>
      <c r="AJ42">
        <f>IF(COUNT($AI$29:$AI$42)&lt;14,"",AVERAGE($AI$29:$AI$42))</f>
        <v>0</v>
      </c>
      <c r="AK42">
        <f>IF(COUNT($E$2:$E42)&lt;20,"",AVERAGE($E$23:$E$42))</f>
        <v>0</v>
      </c>
      <c r="AL42">
        <f>IF(COUNT($E$2:$E42)&lt;20,"",STDEVP($E$23:$E$42))</f>
        <v>0</v>
      </c>
      <c r="AM42">
        <f>IF(AK42="","",AK42+2*AL42)</f>
        <v>0</v>
      </c>
      <c r="AN42">
        <f>IF(AK42="","",AK42-2*AL42)</f>
        <v>0</v>
      </c>
      <c r="AO42">
        <f>IF(OR(AM42="",AN42="",AM42=AN42),"",($E42-AN42)/(AM42-AN42))</f>
        <v>0</v>
      </c>
      <c r="AP42">
        <f>IF(OR(AM42="",AK42="",AK42=0),"",(AM42-AN42)/AK42)</f>
        <v>0</v>
      </c>
      <c r="AQ42">
        <f>IF(COUNT($E$2:$E42)&lt;20,"",MAX($C$23:$C$42))</f>
        <v>0</v>
      </c>
      <c r="AR42">
        <f>IF(COUNT($E$2:$E42)&lt;20,"",MIN($D$23:$D$42))</f>
        <v>0</v>
      </c>
      <c r="AS42">
        <f>IF(OR(AQ42="",AR42=""),"",(AQ42+AR42)/2)</f>
        <v>0</v>
      </c>
      <c r="AT42">
        <f>IF(COUNT($G$23:$G$42)&lt;20,"",STDEV($G$23:$G$42)*SQRT(252))</f>
        <v>0</v>
      </c>
      <c r="AU42">
        <f>IF(COUNT($E$2:$E42)&lt;9,"",(MAX($C$34:$C$42)+MIN($D$34:$D$42))/2)</f>
        <v>0</v>
      </c>
      <c r="AV42">
        <f>IF(COUNT($E$2:$E42)&lt;26,"",(MAX($C$17:$C$42)+MIN($D$17:$D$42))/2)</f>
        <v>0</v>
      </c>
      <c r="AW42">
        <f>IF(OR(AU42="",AV42=""),"",(AU42+AV42)/2)</f>
        <v>0</v>
      </c>
      <c r="AX42">
        <f>IF(COUNT($E$2:$E42)&lt;52,"",(MAX($C$2:$C$42)+MIN($D$2:$D$42))/2)</f>
        <v>0</v>
      </c>
      <c r="AY42">
        <f>IF(COUNT($E$2:$E42)&lt;20,"",MAX($C$2:$C$42))</f>
        <v>0</v>
      </c>
      <c r="AZ42">
        <f>IF(COUNT($E$2:$E42)&lt;20,"",MIN($D$2:$D$42))</f>
        <v>0</v>
      </c>
      <c r="BA42">
        <f>IF(COUNT($E$2:$E42)&lt;20,"",SLOPE($E$2:$E$42,$F$2:$F$42))</f>
        <v>0</v>
      </c>
      <c r="BB42">
        <f>IF(COUNT($E$2:$E42)&lt;20,"",INTERCEPT($E$2:$E$42,$F$2:$F$42))</f>
        <v>0</v>
      </c>
      <c r="BC42">
        <f>IF(OR(BA42="",BB42=""),"",BB42+BA42*F42)</f>
        <v>0</v>
      </c>
      <c r="BD42">
        <f>IF(COUNT($E$2:$E42)&lt;20,"",STEYX($E$2:$E$42,$F$2:$F$42))</f>
        <v>0</v>
      </c>
      <c r="BE42">
        <f>IF($E42="","",IF(AND(COUNT($E$43:$E$46)&gt;=4,$C42=MAX($C$38:$C$46)),$C42,""))</f>
        <v>0</v>
      </c>
      <c r="BF42">
        <f>IF($E42="","",IF(AND(COUNT($E$43:$E$46)&gt;=4,$D42=MIN($D$38:$D$46)),$D42,""))</f>
        <v>0</v>
      </c>
      <c r="BG42">
        <f>IF($A42="","",$A42-WEEKDAY($A42,2)+1)</f>
        <v>0</v>
      </c>
      <c r="BH42">
        <f>IF($A42="","",IF($A41="",1,IF(BG42&lt;&gt;BG41,1,0)))</f>
        <v>0</v>
      </c>
      <c r="BI42">
        <f>IF($A42="","",IF($A43="",1,IF(BG43&lt;&gt;BG42,1,0)))</f>
        <v>0</v>
      </c>
      <c r="BJ42">
        <f>IF($A42="","",IF(BH42=1,$B42,BJ41))</f>
        <v>0</v>
      </c>
      <c r="BK42">
        <f>IF($A42="","",IF(BH42=1,$C42,MAX($C42,BK41)))</f>
        <v>0</v>
      </c>
      <c r="BL42">
        <f>IF($A42="","",IF(BH42=1,$D42,MIN($D42,BL41)))</f>
        <v>0</v>
      </c>
      <c r="BM42">
        <f>IF($A42="","",IF(BI42=1,F42,""))</f>
        <v>0</v>
      </c>
      <c r="BN42">
        <f>IF($A42="","",DATE(YEAR($A42),MONTH($A42),1))</f>
        <v>0</v>
      </c>
      <c r="BO42">
        <f>IF($A42="","",IF($A41="",1,IF(BN42&lt;&gt;BN41,1,0)))</f>
        <v>0</v>
      </c>
      <c r="BP42">
        <f>IF($A42="","",IF($A43="",1,IF(BN43&lt;&gt;BN42,1,0)))</f>
        <v>0</v>
      </c>
      <c r="BQ42">
        <f>IF($A42="","",IF(BO42=1,$B42,BQ41))</f>
        <v>0</v>
      </c>
      <c r="BR42">
        <f>IF($A42="","",IF(BO42=1,$C42,MAX($C42,BR41)))</f>
        <v>0</v>
      </c>
      <c r="BS42">
        <f>IF($A42="","",IF(BO42=1,$D42,MIN($D42,BS41)))</f>
        <v>0</v>
      </c>
      <c r="BT42">
        <f>IF($A42="","",IF(BP42=1,F42,""))</f>
        <v>0</v>
      </c>
    </row>
    <row r="43" spans="1:72">
      <c r="A43" s="27">
        <f>IF(Data!$A43="","",Data!$A43)</f>
        <v>0</v>
      </c>
      <c r="B43">
        <f>IF(Data!$B43="","",Data!$B43)</f>
        <v>0</v>
      </c>
      <c r="C43">
        <f>IF(Data!$C43="","",Data!$C43)</f>
        <v>0</v>
      </c>
      <c r="D43">
        <f>IF(Data!$D43="","",Data!$D43)</f>
        <v>0</v>
      </c>
      <c r="E43">
        <f>IF(Data!$E43="","",Data!$E43)</f>
        <v>0</v>
      </c>
      <c r="F43">
        <f>IF($E43="","",N(F42)+1)</f>
        <v>0</v>
      </c>
      <c r="G43">
        <f>IF(OR($E43="",$E42=""),"",LN($E43/$E42))</f>
        <v>0</v>
      </c>
      <c r="H43">
        <f>IF($E43="","",IF($E42="",$E43,$E43*0.0952380952+H42*0.9047619048))</f>
        <v>0</v>
      </c>
      <c r="I43">
        <f>IF($E43="","",IF($E42="",$E43,$E43*0.0392156863+I42*0.9607843137))</f>
        <v>0</v>
      </c>
      <c r="J43">
        <f>IF($E43="","",IF($E42="",$E43,$E43*0.0198019802+J42*0.9801980198))</f>
        <v>0</v>
      </c>
      <c r="K43">
        <f>IF($E43="","",IF($E42="",$E43,$E43*0.0099502488+K42*0.9900497512))</f>
        <v>0</v>
      </c>
      <c r="L43">
        <f>IF(OR($E43="",$E42=""),"",MAX($E43-$E42,0))</f>
        <v>0</v>
      </c>
      <c r="M43">
        <f>IF(OR($E43="",$E42=""),"",MAX($E42-$E43,0))</f>
        <v>0</v>
      </c>
      <c r="N43">
        <f>IF(COUNT($E$2:$E43)&lt;15,"",IF(AVERAGE($M$30:$M$43)=0,100,100-100/(1+AVERAGE($L$30:$L$43)/AVERAGE($M$30:$M$43))))</f>
        <v>0</v>
      </c>
      <c r="O43">
        <f>IF($E43="","",IF($E42="",$E43,$E43*0.1538461538+O42*0.8461538462))</f>
        <v>0</v>
      </c>
      <c r="P43">
        <f>IF($E43="","",IF($E42="",$E43,$E43*0.0740740741+P42*0.9259259259))</f>
        <v>0</v>
      </c>
      <c r="Q43">
        <f>IF(OR(O43="",P43=""),"",O43-P43)</f>
        <v>0</v>
      </c>
      <c r="R43">
        <f>IF(Q43="","",IF(R42="",Q43,Q43*0.2000000000+R42*0.8000000000))</f>
        <v>0</v>
      </c>
      <c r="S43">
        <f>IF(OR(Q43="",R43=""),"",Q43-R43)</f>
        <v>0</v>
      </c>
      <c r="T43">
        <f>IF(COUNT($E$2:$E43)&lt;14,"",MAX($C$30:$C$43))</f>
        <v>0</v>
      </c>
      <c r="U43">
        <f>IF(COUNT($E$2:$E43)&lt;14,"",MIN($D$30:$D$43))</f>
        <v>0</v>
      </c>
      <c r="V43">
        <f>IF(OR(T43="",U43="",T43=U43),"",100*($E43-U43)/(T43-U43))</f>
        <v>0</v>
      </c>
      <c r="W43">
        <f>IF(COUNT($V$41:$V$43)&lt;3,"",AVERAGE($V$41:$V$43))</f>
        <v>0</v>
      </c>
      <c r="X43">
        <f>IF(COUNT($N$30:$N$43)&lt;14,"",MIN($N$30:$N$43))</f>
        <v>0</v>
      </c>
      <c r="Y43">
        <f>IF(COUNT($N$30:$N$43)&lt;14,"",MAX($N$30:$N$43))</f>
        <v>0</v>
      </c>
      <c r="Z43">
        <f>IF(OR(N43="",X43="",Y43="",Y43=X43),"",100*(N43-X43)/(Y43-X43))</f>
        <v>0</v>
      </c>
      <c r="AA43">
        <f>IF(COUNT($Z$41:$Z$43)&lt;3,"",AVERAGE($Z$41:$Z$43))</f>
        <v>0</v>
      </c>
      <c r="AB43">
        <f>IF(COUNT($AA$41:$AA$43)&lt;3,"",AVERAGE($AA$41:$AA$43))</f>
        <v>0</v>
      </c>
      <c r="AC43">
        <f>IF($E43="","",MAX($C43-$D43,ABS($C43-$E42),ABS($D43-$E42)))</f>
        <v>0</v>
      </c>
      <c r="AD43">
        <f>IF(COUNT($E$2:$E43)&lt;15,"",AVERAGE($AC$30:$AC$43))</f>
        <v>0</v>
      </c>
      <c r="AE43">
        <f>IF(OR($E43="",$E42=""),"",IF(AND(($C43-$C42)&gt;($D42-$D43),($C43-$C42)&gt;0),$C43-$C42,0))</f>
        <v>0</v>
      </c>
      <c r="AF43">
        <f>IF(OR($E43="",$E42=""),"",IF(AND(($D42-$D43)&gt;($C43-$C42),($D42-$D43)&gt;0),$D42-$D43,0))</f>
        <v>0</v>
      </c>
      <c r="AG43">
        <f>IF(COUNT($E$2:$E43)&lt;15,"",IF(SUM($AC$30:$AC$43)=0,0,100*SUM($AE$30:$AE$43)/SUM($AC$30:$AC$43)))</f>
        <v>0</v>
      </c>
      <c r="AH43">
        <f>IF(COUNT($E$2:$E43)&lt;15,"",IF(SUM($AC$30:$AC$43)=0,0,100*SUM($AF$30:$AF$43)/SUM($AC$30:$AC$43)))</f>
        <v>0</v>
      </c>
      <c r="AI43">
        <f>IF(OR(AG43="",AH43=""),"",IF((AG43+AH43)=0,0,100*ABS(AG43-AH43)/(AG43+AH43)))</f>
        <v>0</v>
      </c>
      <c r="AJ43">
        <f>IF(COUNT($AI$30:$AI$43)&lt;14,"",AVERAGE($AI$30:$AI$43))</f>
        <v>0</v>
      </c>
      <c r="AK43">
        <f>IF(COUNT($E$2:$E43)&lt;20,"",AVERAGE($E$24:$E$43))</f>
        <v>0</v>
      </c>
      <c r="AL43">
        <f>IF(COUNT($E$2:$E43)&lt;20,"",STDEVP($E$24:$E$43))</f>
        <v>0</v>
      </c>
      <c r="AM43">
        <f>IF(AK43="","",AK43+2*AL43)</f>
        <v>0</v>
      </c>
      <c r="AN43">
        <f>IF(AK43="","",AK43-2*AL43)</f>
        <v>0</v>
      </c>
      <c r="AO43">
        <f>IF(OR(AM43="",AN43="",AM43=AN43),"",($E43-AN43)/(AM43-AN43))</f>
        <v>0</v>
      </c>
      <c r="AP43">
        <f>IF(OR(AM43="",AK43="",AK43=0),"",(AM43-AN43)/AK43)</f>
        <v>0</v>
      </c>
      <c r="AQ43">
        <f>IF(COUNT($E$2:$E43)&lt;20,"",MAX($C$24:$C$43))</f>
        <v>0</v>
      </c>
      <c r="AR43">
        <f>IF(COUNT($E$2:$E43)&lt;20,"",MIN($D$24:$D$43))</f>
        <v>0</v>
      </c>
      <c r="AS43">
        <f>IF(OR(AQ43="",AR43=""),"",(AQ43+AR43)/2)</f>
        <v>0</v>
      </c>
      <c r="AT43">
        <f>IF(COUNT($G$24:$G$43)&lt;20,"",STDEV($G$24:$G$43)*SQRT(252))</f>
        <v>0</v>
      </c>
      <c r="AU43">
        <f>IF(COUNT($E$2:$E43)&lt;9,"",(MAX($C$35:$C$43)+MIN($D$35:$D$43))/2)</f>
        <v>0</v>
      </c>
      <c r="AV43">
        <f>IF(COUNT($E$2:$E43)&lt;26,"",(MAX($C$18:$C$43)+MIN($D$18:$D$43))/2)</f>
        <v>0</v>
      </c>
      <c r="AW43">
        <f>IF(OR(AU43="",AV43=""),"",(AU43+AV43)/2)</f>
        <v>0</v>
      </c>
      <c r="AX43">
        <f>IF(COUNT($E$2:$E43)&lt;52,"",(MAX($C$2:$C$43)+MIN($D$2:$D$43))/2)</f>
        <v>0</v>
      </c>
      <c r="AY43">
        <f>IF(COUNT($E$2:$E43)&lt;20,"",MAX($C$2:$C$43))</f>
        <v>0</v>
      </c>
      <c r="AZ43">
        <f>IF(COUNT($E$2:$E43)&lt;20,"",MIN($D$2:$D$43))</f>
        <v>0</v>
      </c>
      <c r="BA43">
        <f>IF(COUNT($E$2:$E43)&lt;20,"",SLOPE($E$2:$E$43,$F$2:$F$43))</f>
        <v>0</v>
      </c>
      <c r="BB43">
        <f>IF(COUNT($E$2:$E43)&lt;20,"",INTERCEPT($E$2:$E$43,$F$2:$F$43))</f>
        <v>0</v>
      </c>
      <c r="BC43">
        <f>IF(OR(BA43="",BB43=""),"",BB43+BA43*F43)</f>
        <v>0</v>
      </c>
      <c r="BD43">
        <f>IF(COUNT($E$2:$E43)&lt;20,"",STEYX($E$2:$E$43,$F$2:$F$43))</f>
        <v>0</v>
      </c>
      <c r="BE43">
        <f>IF($E43="","",IF(AND(COUNT($E$44:$E$47)&gt;=4,$C43=MAX($C$39:$C$47)),$C43,""))</f>
        <v>0</v>
      </c>
      <c r="BF43">
        <f>IF($E43="","",IF(AND(COUNT($E$44:$E$47)&gt;=4,$D43=MIN($D$39:$D$47)),$D43,""))</f>
        <v>0</v>
      </c>
      <c r="BG43">
        <f>IF($A43="","",$A43-WEEKDAY($A43,2)+1)</f>
        <v>0</v>
      </c>
      <c r="BH43">
        <f>IF($A43="","",IF($A42="",1,IF(BG43&lt;&gt;BG42,1,0)))</f>
        <v>0</v>
      </c>
      <c r="BI43">
        <f>IF($A43="","",IF($A44="",1,IF(BG44&lt;&gt;BG43,1,0)))</f>
        <v>0</v>
      </c>
      <c r="BJ43">
        <f>IF($A43="","",IF(BH43=1,$B43,BJ42))</f>
        <v>0</v>
      </c>
      <c r="BK43">
        <f>IF($A43="","",IF(BH43=1,$C43,MAX($C43,BK42)))</f>
        <v>0</v>
      </c>
      <c r="BL43">
        <f>IF($A43="","",IF(BH43=1,$D43,MIN($D43,BL42)))</f>
        <v>0</v>
      </c>
      <c r="BM43">
        <f>IF($A43="","",IF(BI43=1,F43,""))</f>
        <v>0</v>
      </c>
      <c r="BN43">
        <f>IF($A43="","",DATE(YEAR($A43),MONTH($A43),1))</f>
        <v>0</v>
      </c>
      <c r="BO43">
        <f>IF($A43="","",IF($A42="",1,IF(BN43&lt;&gt;BN42,1,0)))</f>
        <v>0</v>
      </c>
      <c r="BP43">
        <f>IF($A43="","",IF($A44="",1,IF(BN44&lt;&gt;BN43,1,0)))</f>
        <v>0</v>
      </c>
      <c r="BQ43">
        <f>IF($A43="","",IF(BO43=1,$B43,BQ42))</f>
        <v>0</v>
      </c>
      <c r="BR43">
        <f>IF($A43="","",IF(BO43=1,$C43,MAX($C43,BR42)))</f>
        <v>0</v>
      </c>
      <c r="BS43">
        <f>IF($A43="","",IF(BO43=1,$D43,MIN($D43,BS42)))</f>
        <v>0</v>
      </c>
      <c r="BT43">
        <f>IF($A43="","",IF(BP43=1,F43,""))</f>
        <v>0</v>
      </c>
    </row>
    <row r="44" spans="1:72">
      <c r="A44" s="27">
        <f>IF(Data!$A44="","",Data!$A44)</f>
        <v>0</v>
      </c>
      <c r="B44">
        <f>IF(Data!$B44="","",Data!$B44)</f>
        <v>0</v>
      </c>
      <c r="C44">
        <f>IF(Data!$C44="","",Data!$C44)</f>
        <v>0</v>
      </c>
      <c r="D44">
        <f>IF(Data!$D44="","",Data!$D44)</f>
        <v>0</v>
      </c>
      <c r="E44">
        <f>IF(Data!$E44="","",Data!$E44)</f>
        <v>0</v>
      </c>
      <c r="F44">
        <f>IF($E44="","",N(F43)+1)</f>
        <v>0</v>
      </c>
      <c r="G44">
        <f>IF(OR($E44="",$E43=""),"",LN($E44/$E43))</f>
        <v>0</v>
      </c>
      <c r="H44">
        <f>IF($E44="","",IF($E43="",$E44,$E44*0.0952380952+H43*0.9047619048))</f>
        <v>0</v>
      </c>
      <c r="I44">
        <f>IF($E44="","",IF($E43="",$E44,$E44*0.0392156863+I43*0.9607843137))</f>
        <v>0</v>
      </c>
      <c r="J44">
        <f>IF($E44="","",IF($E43="",$E44,$E44*0.0198019802+J43*0.9801980198))</f>
        <v>0</v>
      </c>
      <c r="K44">
        <f>IF($E44="","",IF($E43="",$E44,$E44*0.0099502488+K43*0.9900497512))</f>
        <v>0</v>
      </c>
      <c r="L44">
        <f>IF(OR($E44="",$E43=""),"",MAX($E44-$E43,0))</f>
        <v>0</v>
      </c>
      <c r="M44">
        <f>IF(OR($E44="",$E43=""),"",MAX($E43-$E44,0))</f>
        <v>0</v>
      </c>
      <c r="N44">
        <f>IF(COUNT($E$2:$E44)&lt;15,"",IF(AVERAGE($M$31:$M$44)=0,100,100-100/(1+AVERAGE($L$31:$L$44)/AVERAGE($M$31:$M$44))))</f>
        <v>0</v>
      </c>
      <c r="O44">
        <f>IF($E44="","",IF($E43="",$E44,$E44*0.1538461538+O43*0.8461538462))</f>
        <v>0</v>
      </c>
      <c r="P44">
        <f>IF($E44="","",IF($E43="",$E44,$E44*0.0740740741+P43*0.9259259259))</f>
        <v>0</v>
      </c>
      <c r="Q44">
        <f>IF(OR(O44="",P44=""),"",O44-P44)</f>
        <v>0</v>
      </c>
      <c r="R44">
        <f>IF(Q44="","",IF(R43="",Q44,Q44*0.2000000000+R43*0.8000000000))</f>
        <v>0</v>
      </c>
      <c r="S44">
        <f>IF(OR(Q44="",R44=""),"",Q44-R44)</f>
        <v>0</v>
      </c>
      <c r="T44">
        <f>IF(COUNT($E$2:$E44)&lt;14,"",MAX($C$31:$C$44))</f>
        <v>0</v>
      </c>
      <c r="U44">
        <f>IF(COUNT($E$2:$E44)&lt;14,"",MIN($D$31:$D$44))</f>
        <v>0</v>
      </c>
      <c r="V44">
        <f>IF(OR(T44="",U44="",T44=U44),"",100*($E44-U44)/(T44-U44))</f>
        <v>0</v>
      </c>
      <c r="W44">
        <f>IF(COUNT($V$42:$V$44)&lt;3,"",AVERAGE($V$42:$V$44))</f>
        <v>0</v>
      </c>
      <c r="X44">
        <f>IF(COUNT($N$31:$N$44)&lt;14,"",MIN($N$31:$N$44))</f>
        <v>0</v>
      </c>
      <c r="Y44">
        <f>IF(COUNT($N$31:$N$44)&lt;14,"",MAX($N$31:$N$44))</f>
        <v>0</v>
      </c>
      <c r="Z44">
        <f>IF(OR(N44="",X44="",Y44="",Y44=X44),"",100*(N44-X44)/(Y44-X44))</f>
        <v>0</v>
      </c>
      <c r="AA44">
        <f>IF(COUNT($Z$42:$Z$44)&lt;3,"",AVERAGE($Z$42:$Z$44))</f>
        <v>0</v>
      </c>
      <c r="AB44">
        <f>IF(COUNT($AA$42:$AA$44)&lt;3,"",AVERAGE($AA$42:$AA$44))</f>
        <v>0</v>
      </c>
      <c r="AC44">
        <f>IF($E44="","",MAX($C44-$D44,ABS($C44-$E43),ABS($D44-$E43)))</f>
        <v>0</v>
      </c>
      <c r="AD44">
        <f>IF(COUNT($E$2:$E44)&lt;15,"",AVERAGE($AC$31:$AC$44))</f>
        <v>0</v>
      </c>
      <c r="AE44">
        <f>IF(OR($E44="",$E43=""),"",IF(AND(($C44-$C43)&gt;($D43-$D44),($C44-$C43)&gt;0),$C44-$C43,0))</f>
        <v>0</v>
      </c>
      <c r="AF44">
        <f>IF(OR($E44="",$E43=""),"",IF(AND(($D43-$D44)&gt;($C44-$C43),($D43-$D44)&gt;0),$D43-$D44,0))</f>
        <v>0</v>
      </c>
      <c r="AG44">
        <f>IF(COUNT($E$2:$E44)&lt;15,"",IF(SUM($AC$31:$AC$44)=0,0,100*SUM($AE$31:$AE$44)/SUM($AC$31:$AC$44)))</f>
        <v>0</v>
      </c>
      <c r="AH44">
        <f>IF(COUNT($E$2:$E44)&lt;15,"",IF(SUM($AC$31:$AC$44)=0,0,100*SUM($AF$31:$AF$44)/SUM($AC$31:$AC$44)))</f>
        <v>0</v>
      </c>
      <c r="AI44">
        <f>IF(OR(AG44="",AH44=""),"",IF((AG44+AH44)=0,0,100*ABS(AG44-AH44)/(AG44+AH44)))</f>
        <v>0</v>
      </c>
      <c r="AJ44">
        <f>IF(COUNT($AI$31:$AI$44)&lt;14,"",AVERAGE($AI$31:$AI$44))</f>
        <v>0</v>
      </c>
      <c r="AK44">
        <f>IF(COUNT($E$2:$E44)&lt;20,"",AVERAGE($E$25:$E$44))</f>
        <v>0</v>
      </c>
      <c r="AL44">
        <f>IF(COUNT($E$2:$E44)&lt;20,"",STDEVP($E$25:$E$44))</f>
        <v>0</v>
      </c>
      <c r="AM44">
        <f>IF(AK44="","",AK44+2*AL44)</f>
        <v>0</v>
      </c>
      <c r="AN44">
        <f>IF(AK44="","",AK44-2*AL44)</f>
        <v>0</v>
      </c>
      <c r="AO44">
        <f>IF(OR(AM44="",AN44="",AM44=AN44),"",($E44-AN44)/(AM44-AN44))</f>
        <v>0</v>
      </c>
      <c r="AP44">
        <f>IF(OR(AM44="",AK44="",AK44=0),"",(AM44-AN44)/AK44)</f>
        <v>0</v>
      </c>
      <c r="AQ44">
        <f>IF(COUNT($E$2:$E44)&lt;20,"",MAX($C$25:$C$44))</f>
        <v>0</v>
      </c>
      <c r="AR44">
        <f>IF(COUNT($E$2:$E44)&lt;20,"",MIN($D$25:$D$44))</f>
        <v>0</v>
      </c>
      <c r="AS44">
        <f>IF(OR(AQ44="",AR44=""),"",(AQ44+AR44)/2)</f>
        <v>0</v>
      </c>
      <c r="AT44">
        <f>IF(COUNT($G$25:$G$44)&lt;20,"",STDEV($G$25:$G$44)*SQRT(252))</f>
        <v>0</v>
      </c>
      <c r="AU44">
        <f>IF(COUNT($E$2:$E44)&lt;9,"",(MAX($C$36:$C$44)+MIN($D$36:$D$44))/2)</f>
        <v>0</v>
      </c>
      <c r="AV44">
        <f>IF(COUNT($E$2:$E44)&lt;26,"",(MAX($C$19:$C$44)+MIN($D$19:$D$44))/2)</f>
        <v>0</v>
      </c>
      <c r="AW44">
        <f>IF(OR(AU44="",AV44=""),"",(AU44+AV44)/2)</f>
        <v>0</v>
      </c>
      <c r="AX44">
        <f>IF(COUNT($E$2:$E44)&lt;52,"",(MAX($C$2:$C$44)+MIN($D$2:$D$44))/2)</f>
        <v>0</v>
      </c>
      <c r="AY44">
        <f>IF(COUNT($E$2:$E44)&lt;20,"",MAX($C$2:$C$44))</f>
        <v>0</v>
      </c>
      <c r="AZ44">
        <f>IF(COUNT($E$2:$E44)&lt;20,"",MIN($D$2:$D$44))</f>
        <v>0</v>
      </c>
      <c r="BA44">
        <f>IF(COUNT($E$2:$E44)&lt;20,"",SLOPE($E$2:$E$44,$F$2:$F$44))</f>
        <v>0</v>
      </c>
      <c r="BB44">
        <f>IF(COUNT($E$2:$E44)&lt;20,"",INTERCEPT($E$2:$E$44,$F$2:$F$44))</f>
        <v>0</v>
      </c>
      <c r="BC44">
        <f>IF(OR(BA44="",BB44=""),"",BB44+BA44*F44)</f>
        <v>0</v>
      </c>
      <c r="BD44">
        <f>IF(COUNT($E$2:$E44)&lt;20,"",STEYX($E$2:$E$44,$F$2:$F$44))</f>
        <v>0</v>
      </c>
      <c r="BE44">
        <f>IF($E44="","",IF(AND(COUNT($E$45:$E$48)&gt;=4,$C44=MAX($C$40:$C$48)),$C44,""))</f>
        <v>0</v>
      </c>
      <c r="BF44">
        <f>IF($E44="","",IF(AND(COUNT($E$45:$E$48)&gt;=4,$D44=MIN($D$40:$D$48)),$D44,""))</f>
        <v>0</v>
      </c>
      <c r="BG44">
        <f>IF($A44="","",$A44-WEEKDAY($A44,2)+1)</f>
        <v>0</v>
      </c>
      <c r="BH44">
        <f>IF($A44="","",IF($A43="",1,IF(BG44&lt;&gt;BG43,1,0)))</f>
        <v>0</v>
      </c>
      <c r="BI44">
        <f>IF($A44="","",IF($A45="",1,IF(BG45&lt;&gt;BG44,1,0)))</f>
        <v>0</v>
      </c>
      <c r="BJ44">
        <f>IF($A44="","",IF(BH44=1,$B44,BJ43))</f>
        <v>0</v>
      </c>
      <c r="BK44">
        <f>IF($A44="","",IF(BH44=1,$C44,MAX($C44,BK43)))</f>
        <v>0</v>
      </c>
      <c r="BL44">
        <f>IF($A44="","",IF(BH44=1,$D44,MIN($D44,BL43)))</f>
        <v>0</v>
      </c>
      <c r="BM44">
        <f>IF($A44="","",IF(BI44=1,F44,""))</f>
        <v>0</v>
      </c>
      <c r="BN44">
        <f>IF($A44="","",DATE(YEAR($A44),MONTH($A44),1))</f>
        <v>0</v>
      </c>
      <c r="BO44">
        <f>IF($A44="","",IF($A43="",1,IF(BN44&lt;&gt;BN43,1,0)))</f>
        <v>0</v>
      </c>
      <c r="BP44">
        <f>IF($A44="","",IF($A45="",1,IF(BN45&lt;&gt;BN44,1,0)))</f>
        <v>0</v>
      </c>
      <c r="BQ44">
        <f>IF($A44="","",IF(BO44=1,$B44,BQ43))</f>
        <v>0</v>
      </c>
      <c r="BR44">
        <f>IF($A44="","",IF(BO44=1,$C44,MAX($C44,BR43)))</f>
        <v>0</v>
      </c>
      <c r="BS44">
        <f>IF($A44="","",IF(BO44=1,$D44,MIN($D44,BS43)))</f>
        <v>0</v>
      </c>
      <c r="BT44">
        <f>IF($A44="","",IF(BP44=1,F44,""))</f>
        <v>0</v>
      </c>
    </row>
    <row r="45" spans="1:72">
      <c r="A45" s="27">
        <f>IF(Data!$A45="","",Data!$A45)</f>
        <v>0</v>
      </c>
      <c r="B45">
        <f>IF(Data!$B45="","",Data!$B45)</f>
        <v>0</v>
      </c>
      <c r="C45">
        <f>IF(Data!$C45="","",Data!$C45)</f>
        <v>0</v>
      </c>
      <c r="D45">
        <f>IF(Data!$D45="","",Data!$D45)</f>
        <v>0</v>
      </c>
      <c r="E45">
        <f>IF(Data!$E45="","",Data!$E45)</f>
        <v>0</v>
      </c>
      <c r="F45">
        <f>IF($E45="","",N(F44)+1)</f>
        <v>0</v>
      </c>
      <c r="G45">
        <f>IF(OR($E45="",$E44=""),"",LN($E45/$E44))</f>
        <v>0</v>
      </c>
      <c r="H45">
        <f>IF($E45="","",IF($E44="",$E45,$E45*0.0952380952+H44*0.9047619048))</f>
        <v>0</v>
      </c>
      <c r="I45">
        <f>IF($E45="","",IF($E44="",$E45,$E45*0.0392156863+I44*0.9607843137))</f>
        <v>0</v>
      </c>
      <c r="J45">
        <f>IF($E45="","",IF($E44="",$E45,$E45*0.0198019802+J44*0.9801980198))</f>
        <v>0</v>
      </c>
      <c r="K45">
        <f>IF($E45="","",IF($E44="",$E45,$E45*0.0099502488+K44*0.9900497512))</f>
        <v>0</v>
      </c>
      <c r="L45">
        <f>IF(OR($E45="",$E44=""),"",MAX($E45-$E44,0))</f>
        <v>0</v>
      </c>
      <c r="M45">
        <f>IF(OR($E45="",$E44=""),"",MAX($E44-$E45,0))</f>
        <v>0</v>
      </c>
      <c r="N45">
        <f>IF(COUNT($E$2:$E45)&lt;15,"",IF(AVERAGE($M$32:$M$45)=0,100,100-100/(1+AVERAGE($L$32:$L$45)/AVERAGE($M$32:$M$45))))</f>
        <v>0</v>
      </c>
      <c r="O45">
        <f>IF($E45="","",IF($E44="",$E45,$E45*0.1538461538+O44*0.8461538462))</f>
        <v>0</v>
      </c>
      <c r="P45">
        <f>IF($E45="","",IF($E44="",$E45,$E45*0.0740740741+P44*0.9259259259))</f>
        <v>0</v>
      </c>
      <c r="Q45">
        <f>IF(OR(O45="",P45=""),"",O45-P45)</f>
        <v>0</v>
      </c>
      <c r="R45">
        <f>IF(Q45="","",IF(R44="",Q45,Q45*0.2000000000+R44*0.8000000000))</f>
        <v>0</v>
      </c>
      <c r="S45">
        <f>IF(OR(Q45="",R45=""),"",Q45-R45)</f>
        <v>0</v>
      </c>
      <c r="T45">
        <f>IF(COUNT($E$2:$E45)&lt;14,"",MAX($C$32:$C$45))</f>
        <v>0</v>
      </c>
      <c r="U45">
        <f>IF(COUNT($E$2:$E45)&lt;14,"",MIN($D$32:$D$45))</f>
        <v>0</v>
      </c>
      <c r="V45">
        <f>IF(OR(T45="",U45="",T45=U45),"",100*($E45-U45)/(T45-U45))</f>
        <v>0</v>
      </c>
      <c r="W45">
        <f>IF(COUNT($V$43:$V$45)&lt;3,"",AVERAGE($V$43:$V$45))</f>
        <v>0</v>
      </c>
      <c r="X45">
        <f>IF(COUNT($N$32:$N$45)&lt;14,"",MIN($N$32:$N$45))</f>
        <v>0</v>
      </c>
      <c r="Y45">
        <f>IF(COUNT($N$32:$N$45)&lt;14,"",MAX($N$32:$N$45))</f>
        <v>0</v>
      </c>
      <c r="Z45">
        <f>IF(OR(N45="",X45="",Y45="",Y45=X45),"",100*(N45-X45)/(Y45-X45))</f>
        <v>0</v>
      </c>
      <c r="AA45">
        <f>IF(COUNT($Z$43:$Z$45)&lt;3,"",AVERAGE($Z$43:$Z$45))</f>
        <v>0</v>
      </c>
      <c r="AB45">
        <f>IF(COUNT($AA$43:$AA$45)&lt;3,"",AVERAGE($AA$43:$AA$45))</f>
        <v>0</v>
      </c>
      <c r="AC45">
        <f>IF($E45="","",MAX($C45-$D45,ABS($C45-$E44),ABS($D45-$E44)))</f>
        <v>0</v>
      </c>
      <c r="AD45">
        <f>IF(COUNT($E$2:$E45)&lt;15,"",AVERAGE($AC$32:$AC$45))</f>
        <v>0</v>
      </c>
      <c r="AE45">
        <f>IF(OR($E45="",$E44=""),"",IF(AND(($C45-$C44)&gt;($D44-$D45),($C45-$C44)&gt;0),$C45-$C44,0))</f>
        <v>0</v>
      </c>
      <c r="AF45">
        <f>IF(OR($E45="",$E44=""),"",IF(AND(($D44-$D45)&gt;($C45-$C44),($D44-$D45)&gt;0),$D44-$D45,0))</f>
        <v>0</v>
      </c>
      <c r="AG45">
        <f>IF(COUNT($E$2:$E45)&lt;15,"",IF(SUM($AC$32:$AC$45)=0,0,100*SUM($AE$32:$AE$45)/SUM($AC$32:$AC$45)))</f>
        <v>0</v>
      </c>
      <c r="AH45">
        <f>IF(COUNT($E$2:$E45)&lt;15,"",IF(SUM($AC$32:$AC$45)=0,0,100*SUM($AF$32:$AF$45)/SUM($AC$32:$AC$45)))</f>
        <v>0</v>
      </c>
      <c r="AI45">
        <f>IF(OR(AG45="",AH45=""),"",IF((AG45+AH45)=0,0,100*ABS(AG45-AH45)/(AG45+AH45)))</f>
        <v>0</v>
      </c>
      <c r="AJ45">
        <f>IF(COUNT($AI$32:$AI$45)&lt;14,"",AVERAGE($AI$32:$AI$45))</f>
        <v>0</v>
      </c>
      <c r="AK45">
        <f>IF(COUNT($E$2:$E45)&lt;20,"",AVERAGE($E$26:$E$45))</f>
        <v>0</v>
      </c>
      <c r="AL45">
        <f>IF(COUNT($E$2:$E45)&lt;20,"",STDEVP($E$26:$E$45))</f>
        <v>0</v>
      </c>
      <c r="AM45">
        <f>IF(AK45="","",AK45+2*AL45)</f>
        <v>0</v>
      </c>
      <c r="AN45">
        <f>IF(AK45="","",AK45-2*AL45)</f>
        <v>0</v>
      </c>
      <c r="AO45">
        <f>IF(OR(AM45="",AN45="",AM45=AN45),"",($E45-AN45)/(AM45-AN45))</f>
        <v>0</v>
      </c>
      <c r="AP45">
        <f>IF(OR(AM45="",AK45="",AK45=0),"",(AM45-AN45)/AK45)</f>
        <v>0</v>
      </c>
      <c r="AQ45">
        <f>IF(COUNT($E$2:$E45)&lt;20,"",MAX($C$26:$C$45))</f>
        <v>0</v>
      </c>
      <c r="AR45">
        <f>IF(COUNT($E$2:$E45)&lt;20,"",MIN($D$26:$D$45))</f>
        <v>0</v>
      </c>
      <c r="AS45">
        <f>IF(OR(AQ45="",AR45=""),"",(AQ45+AR45)/2)</f>
        <v>0</v>
      </c>
      <c r="AT45">
        <f>IF(COUNT($G$26:$G$45)&lt;20,"",STDEV($G$26:$G$45)*SQRT(252))</f>
        <v>0</v>
      </c>
      <c r="AU45">
        <f>IF(COUNT($E$2:$E45)&lt;9,"",(MAX($C$37:$C$45)+MIN($D$37:$D$45))/2)</f>
        <v>0</v>
      </c>
      <c r="AV45">
        <f>IF(COUNT($E$2:$E45)&lt;26,"",(MAX($C$20:$C$45)+MIN($D$20:$D$45))/2)</f>
        <v>0</v>
      </c>
      <c r="AW45">
        <f>IF(OR(AU45="",AV45=""),"",(AU45+AV45)/2)</f>
        <v>0</v>
      </c>
      <c r="AX45">
        <f>IF(COUNT($E$2:$E45)&lt;52,"",(MAX($C$2:$C$45)+MIN($D$2:$D$45))/2)</f>
        <v>0</v>
      </c>
      <c r="AY45">
        <f>IF(COUNT($E$2:$E45)&lt;20,"",MAX($C$2:$C$45))</f>
        <v>0</v>
      </c>
      <c r="AZ45">
        <f>IF(COUNT($E$2:$E45)&lt;20,"",MIN($D$2:$D$45))</f>
        <v>0</v>
      </c>
      <c r="BA45">
        <f>IF(COUNT($E$2:$E45)&lt;20,"",SLOPE($E$2:$E$45,$F$2:$F$45))</f>
        <v>0</v>
      </c>
      <c r="BB45">
        <f>IF(COUNT($E$2:$E45)&lt;20,"",INTERCEPT($E$2:$E$45,$F$2:$F$45))</f>
        <v>0</v>
      </c>
      <c r="BC45">
        <f>IF(OR(BA45="",BB45=""),"",BB45+BA45*F45)</f>
        <v>0</v>
      </c>
      <c r="BD45">
        <f>IF(COUNT($E$2:$E45)&lt;20,"",STEYX($E$2:$E$45,$F$2:$F$45))</f>
        <v>0</v>
      </c>
      <c r="BE45">
        <f>IF($E45="","",IF(AND(COUNT($E$46:$E$49)&gt;=4,$C45=MAX($C$41:$C$49)),$C45,""))</f>
        <v>0</v>
      </c>
      <c r="BF45">
        <f>IF($E45="","",IF(AND(COUNT($E$46:$E$49)&gt;=4,$D45=MIN($D$41:$D$49)),$D45,""))</f>
        <v>0</v>
      </c>
      <c r="BG45">
        <f>IF($A45="","",$A45-WEEKDAY($A45,2)+1)</f>
        <v>0</v>
      </c>
      <c r="BH45">
        <f>IF($A45="","",IF($A44="",1,IF(BG45&lt;&gt;BG44,1,0)))</f>
        <v>0</v>
      </c>
      <c r="BI45">
        <f>IF($A45="","",IF($A46="",1,IF(BG46&lt;&gt;BG45,1,0)))</f>
        <v>0</v>
      </c>
      <c r="BJ45">
        <f>IF($A45="","",IF(BH45=1,$B45,BJ44))</f>
        <v>0</v>
      </c>
      <c r="BK45">
        <f>IF($A45="","",IF(BH45=1,$C45,MAX($C45,BK44)))</f>
        <v>0</v>
      </c>
      <c r="BL45">
        <f>IF($A45="","",IF(BH45=1,$D45,MIN($D45,BL44)))</f>
        <v>0</v>
      </c>
      <c r="BM45">
        <f>IF($A45="","",IF(BI45=1,F45,""))</f>
        <v>0</v>
      </c>
      <c r="BN45">
        <f>IF($A45="","",DATE(YEAR($A45),MONTH($A45),1))</f>
        <v>0</v>
      </c>
      <c r="BO45">
        <f>IF($A45="","",IF($A44="",1,IF(BN45&lt;&gt;BN44,1,0)))</f>
        <v>0</v>
      </c>
      <c r="BP45">
        <f>IF($A45="","",IF($A46="",1,IF(BN46&lt;&gt;BN45,1,0)))</f>
        <v>0</v>
      </c>
      <c r="BQ45">
        <f>IF($A45="","",IF(BO45=1,$B45,BQ44))</f>
        <v>0</v>
      </c>
      <c r="BR45">
        <f>IF($A45="","",IF(BO45=1,$C45,MAX($C45,BR44)))</f>
        <v>0</v>
      </c>
      <c r="BS45">
        <f>IF($A45="","",IF(BO45=1,$D45,MIN($D45,BS44)))</f>
        <v>0</v>
      </c>
      <c r="BT45">
        <f>IF($A45="","",IF(BP45=1,F45,""))</f>
        <v>0</v>
      </c>
    </row>
    <row r="46" spans="1:72">
      <c r="A46" s="27">
        <f>IF(Data!$A46="","",Data!$A46)</f>
        <v>0</v>
      </c>
      <c r="B46">
        <f>IF(Data!$B46="","",Data!$B46)</f>
        <v>0</v>
      </c>
      <c r="C46">
        <f>IF(Data!$C46="","",Data!$C46)</f>
        <v>0</v>
      </c>
      <c r="D46">
        <f>IF(Data!$D46="","",Data!$D46)</f>
        <v>0</v>
      </c>
      <c r="E46">
        <f>IF(Data!$E46="","",Data!$E46)</f>
        <v>0</v>
      </c>
      <c r="F46">
        <f>IF($E46="","",N(F45)+1)</f>
        <v>0</v>
      </c>
      <c r="G46">
        <f>IF(OR($E46="",$E45=""),"",LN($E46/$E45))</f>
        <v>0</v>
      </c>
      <c r="H46">
        <f>IF($E46="","",IF($E45="",$E46,$E46*0.0952380952+H45*0.9047619048))</f>
        <v>0</v>
      </c>
      <c r="I46">
        <f>IF($E46="","",IF($E45="",$E46,$E46*0.0392156863+I45*0.9607843137))</f>
        <v>0</v>
      </c>
      <c r="J46">
        <f>IF($E46="","",IF($E45="",$E46,$E46*0.0198019802+J45*0.9801980198))</f>
        <v>0</v>
      </c>
      <c r="K46">
        <f>IF($E46="","",IF($E45="",$E46,$E46*0.0099502488+K45*0.9900497512))</f>
        <v>0</v>
      </c>
      <c r="L46">
        <f>IF(OR($E46="",$E45=""),"",MAX($E46-$E45,0))</f>
        <v>0</v>
      </c>
      <c r="M46">
        <f>IF(OR($E46="",$E45=""),"",MAX($E45-$E46,0))</f>
        <v>0</v>
      </c>
      <c r="N46">
        <f>IF(COUNT($E$2:$E46)&lt;15,"",IF(AVERAGE($M$33:$M$46)=0,100,100-100/(1+AVERAGE($L$33:$L$46)/AVERAGE($M$33:$M$46))))</f>
        <v>0</v>
      </c>
      <c r="O46">
        <f>IF($E46="","",IF($E45="",$E46,$E46*0.1538461538+O45*0.8461538462))</f>
        <v>0</v>
      </c>
      <c r="P46">
        <f>IF($E46="","",IF($E45="",$E46,$E46*0.0740740741+P45*0.9259259259))</f>
        <v>0</v>
      </c>
      <c r="Q46">
        <f>IF(OR(O46="",P46=""),"",O46-P46)</f>
        <v>0</v>
      </c>
      <c r="R46">
        <f>IF(Q46="","",IF(R45="",Q46,Q46*0.2000000000+R45*0.8000000000))</f>
        <v>0</v>
      </c>
      <c r="S46">
        <f>IF(OR(Q46="",R46=""),"",Q46-R46)</f>
        <v>0</v>
      </c>
      <c r="T46">
        <f>IF(COUNT($E$2:$E46)&lt;14,"",MAX($C$33:$C$46))</f>
        <v>0</v>
      </c>
      <c r="U46">
        <f>IF(COUNT($E$2:$E46)&lt;14,"",MIN($D$33:$D$46))</f>
        <v>0</v>
      </c>
      <c r="V46">
        <f>IF(OR(T46="",U46="",T46=U46),"",100*($E46-U46)/(T46-U46))</f>
        <v>0</v>
      </c>
      <c r="W46">
        <f>IF(COUNT($V$44:$V$46)&lt;3,"",AVERAGE($V$44:$V$46))</f>
        <v>0</v>
      </c>
      <c r="X46">
        <f>IF(COUNT($N$33:$N$46)&lt;14,"",MIN($N$33:$N$46))</f>
        <v>0</v>
      </c>
      <c r="Y46">
        <f>IF(COUNT($N$33:$N$46)&lt;14,"",MAX($N$33:$N$46))</f>
        <v>0</v>
      </c>
      <c r="Z46">
        <f>IF(OR(N46="",X46="",Y46="",Y46=X46),"",100*(N46-X46)/(Y46-X46))</f>
        <v>0</v>
      </c>
      <c r="AA46">
        <f>IF(COUNT($Z$44:$Z$46)&lt;3,"",AVERAGE($Z$44:$Z$46))</f>
        <v>0</v>
      </c>
      <c r="AB46">
        <f>IF(COUNT($AA$44:$AA$46)&lt;3,"",AVERAGE($AA$44:$AA$46))</f>
        <v>0</v>
      </c>
      <c r="AC46">
        <f>IF($E46="","",MAX($C46-$D46,ABS($C46-$E45),ABS($D46-$E45)))</f>
        <v>0</v>
      </c>
      <c r="AD46">
        <f>IF(COUNT($E$2:$E46)&lt;15,"",AVERAGE($AC$33:$AC$46))</f>
        <v>0</v>
      </c>
      <c r="AE46">
        <f>IF(OR($E46="",$E45=""),"",IF(AND(($C46-$C45)&gt;($D45-$D46),($C46-$C45)&gt;0),$C46-$C45,0))</f>
        <v>0</v>
      </c>
      <c r="AF46">
        <f>IF(OR($E46="",$E45=""),"",IF(AND(($D45-$D46)&gt;($C46-$C45),($D45-$D46)&gt;0),$D45-$D46,0))</f>
        <v>0</v>
      </c>
      <c r="AG46">
        <f>IF(COUNT($E$2:$E46)&lt;15,"",IF(SUM($AC$33:$AC$46)=0,0,100*SUM($AE$33:$AE$46)/SUM($AC$33:$AC$46)))</f>
        <v>0</v>
      </c>
      <c r="AH46">
        <f>IF(COUNT($E$2:$E46)&lt;15,"",IF(SUM($AC$33:$AC$46)=0,0,100*SUM($AF$33:$AF$46)/SUM($AC$33:$AC$46)))</f>
        <v>0</v>
      </c>
      <c r="AI46">
        <f>IF(OR(AG46="",AH46=""),"",IF((AG46+AH46)=0,0,100*ABS(AG46-AH46)/(AG46+AH46)))</f>
        <v>0</v>
      </c>
      <c r="AJ46">
        <f>IF(COUNT($AI$33:$AI$46)&lt;14,"",AVERAGE($AI$33:$AI$46))</f>
        <v>0</v>
      </c>
      <c r="AK46">
        <f>IF(COUNT($E$2:$E46)&lt;20,"",AVERAGE($E$27:$E$46))</f>
        <v>0</v>
      </c>
      <c r="AL46">
        <f>IF(COUNT($E$2:$E46)&lt;20,"",STDEVP($E$27:$E$46))</f>
        <v>0</v>
      </c>
      <c r="AM46">
        <f>IF(AK46="","",AK46+2*AL46)</f>
        <v>0</v>
      </c>
      <c r="AN46">
        <f>IF(AK46="","",AK46-2*AL46)</f>
        <v>0</v>
      </c>
      <c r="AO46">
        <f>IF(OR(AM46="",AN46="",AM46=AN46),"",($E46-AN46)/(AM46-AN46))</f>
        <v>0</v>
      </c>
      <c r="AP46">
        <f>IF(OR(AM46="",AK46="",AK46=0),"",(AM46-AN46)/AK46)</f>
        <v>0</v>
      </c>
      <c r="AQ46">
        <f>IF(COUNT($E$2:$E46)&lt;20,"",MAX($C$27:$C$46))</f>
        <v>0</v>
      </c>
      <c r="AR46">
        <f>IF(COUNT($E$2:$E46)&lt;20,"",MIN($D$27:$D$46))</f>
        <v>0</v>
      </c>
      <c r="AS46">
        <f>IF(OR(AQ46="",AR46=""),"",(AQ46+AR46)/2)</f>
        <v>0</v>
      </c>
      <c r="AT46">
        <f>IF(COUNT($G$27:$G$46)&lt;20,"",STDEV($G$27:$G$46)*SQRT(252))</f>
        <v>0</v>
      </c>
      <c r="AU46">
        <f>IF(COUNT($E$2:$E46)&lt;9,"",(MAX($C$38:$C$46)+MIN($D$38:$D$46))/2)</f>
        <v>0</v>
      </c>
      <c r="AV46">
        <f>IF(COUNT($E$2:$E46)&lt;26,"",(MAX($C$21:$C$46)+MIN($D$21:$D$46))/2)</f>
        <v>0</v>
      </c>
      <c r="AW46">
        <f>IF(OR(AU46="",AV46=""),"",(AU46+AV46)/2)</f>
        <v>0</v>
      </c>
      <c r="AX46">
        <f>IF(COUNT($E$2:$E46)&lt;52,"",(MAX($C$2:$C$46)+MIN($D$2:$D$46))/2)</f>
        <v>0</v>
      </c>
      <c r="AY46">
        <f>IF(COUNT($E$2:$E46)&lt;20,"",MAX($C$2:$C$46))</f>
        <v>0</v>
      </c>
      <c r="AZ46">
        <f>IF(COUNT($E$2:$E46)&lt;20,"",MIN($D$2:$D$46))</f>
        <v>0</v>
      </c>
      <c r="BA46">
        <f>IF(COUNT($E$2:$E46)&lt;20,"",SLOPE($E$2:$E$46,$F$2:$F$46))</f>
        <v>0</v>
      </c>
      <c r="BB46">
        <f>IF(COUNT($E$2:$E46)&lt;20,"",INTERCEPT($E$2:$E$46,$F$2:$F$46))</f>
        <v>0</v>
      </c>
      <c r="BC46">
        <f>IF(OR(BA46="",BB46=""),"",BB46+BA46*F46)</f>
        <v>0</v>
      </c>
      <c r="BD46">
        <f>IF(COUNT($E$2:$E46)&lt;20,"",STEYX($E$2:$E$46,$F$2:$F$46))</f>
        <v>0</v>
      </c>
      <c r="BE46">
        <f>IF($E46="","",IF(AND(COUNT($E$47:$E$50)&gt;=4,$C46=MAX($C$42:$C$50)),$C46,""))</f>
        <v>0</v>
      </c>
      <c r="BF46">
        <f>IF($E46="","",IF(AND(COUNT($E$47:$E$50)&gt;=4,$D46=MIN($D$42:$D$50)),$D46,""))</f>
        <v>0</v>
      </c>
      <c r="BG46">
        <f>IF($A46="","",$A46-WEEKDAY($A46,2)+1)</f>
        <v>0</v>
      </c>
      <c r="BH46">
        <f>IF($A46="","",IF($A45="",1,IF(BG46&lt;&gt;BG45,1,0)))</f>
        <v>0</v>
      </c>
      <c r="BI46">
        <f>IF($A46="","",IF($A47="",1,IF(BG47&lt;&gt;BG46,1,0)))</f>
        <v>0</v>
      </c>
      <c r="BJ46">
        <f>IF($A46="","",IF(BH46=1,$B46,BJ45))</f>
        <v>0</v>
      </c>
      <c r="BK46">
        <f>IF($A46="","",IF(BH46=1,$C46,MAX($C46,BK45)))</f>
        <v>0</v>
      </c>
      <c r="BL46">
        <f>IF($A46="","",IF(BH46=1,$D46,MIN($D46,BL45)))</f>
        <v>0</v>
      </c>
      <c r="BM46">
        <f>IF($A46="","",IF(BI46=1,F46,""))</f>
        <v>0</v>
      </c>
      <c r="BN46">
        <f>IF($A46="","",DATE(YEAR($A46),MONTH($A46),1))</f>
        <v>0</v>
      </c>
      <c r="BO46">
        <f>IF($A46="","",IF($A45="",1,IF(BN46&lt;&gt;BN45,1,0)))</f>
        <v>0</v>
      </c>
      <c r="BP46">
        <f>IF($A46="","",IF($A47="",1,IF(BN47&lt;&gt;BN46,1,0)))</f>
        <v>0</v>
      </c>
      <c r="BQ46">
        <f>IF($A46="","",IF(BO46=1,$B46,BQ45))</f>
        <v>0</v>
      </c>
      <c r="BR46">
        <f>IF($A46="","",IF(BO46=1,$C46,MAX($C46,BR45)))</f>
        <v>0</v>
      </c>
      <c r="BS46">
        <f>IF($A46="","",IF(BO46=1,$D46,MIN($D46,BS45)))</f>
        <v>0</v>
      </c>
      <c r="BT46">
        <f>IF($A46="","",IF(BP46=1,F46,""))</f>
        <v>0</v>
      </c>
    </row>
    <row r="47" spans="1:72">
      <c r="A47" s="27">
        <f>IF(Data!$A47="","",Data!$A47)</f>
        <v>0</v>
      </c>
      <c r="B47">
        <f>IF(Data!$B47="","",Data!$B47)</f>
        <v>0</v>
      </c>
      <c r="C47">
        <f>IF(Data!$C47="","",Data!$C47)</f>
        <v>0</v>
      </c>
      <c r="D47">
        <f>IF(Data!$D47="","",Data!$D47)</f>
        <v>0</v>
      </c>
      <c r="E47">
        <f>IF(Data!$E47="","",Data!$E47)</f>
        <v>0</v>
      </c>
      <c r="F47">
        <f>IF($E47="","",N(F46)+1)</f>
        <v>0</v>
      </c>
      <c r="G47">
        <f>IF(OR($E47="",$E46=""),"",LN($E47/$E46))</f>
        <v>0</v>
      </c>
      <c r="H47">
        <f>IF($E47="","",IF($E46="",$E47,$E47*0.0952380952+H46*0.9047619048))</f>
        <v>0</v>
      </c>
      <c r="I47">
        <f>IF($E47="","",IF($E46="",$E47,$E47*0.0392156863+I46*0.9607843137))</f>
        <v>0</v>
      </c>
      <c r="J47">
        <f>IF($E47="","",IF($E46="",$E47,$E47*0.0198019802+J46*0.9801980198))</f>
        <v>0</v>
      </c>
      <c r="K47">
        <f>IF($E47="","",IF($E46="",$E47,$E47*0.0099502488+K46*0.9900497512))</f>
        <v>0</v>
      </c>
      <c r="L47">
        <f>IF(OR($E47="",$E46=""),"",MAX($E47-$E46,0))</f>
        <v>0</v>
      </c>
      <c r="M47">
        <f>IF(OR($E47="",$E46=""),"",MAX($E46-$E47,0))</f>
        <v>0</v>
      </c>
      <c r="N47">
        <f>IF(COUNT($E$2:$E47)&lt;15,"",IF(AVERAGE($M$34:$M$47)=0,100,100-100/(1+AVERAGE($L$34:$L$47)/AVERAGE($M$34:$M$47))))</f>
        <v>0</v>
      </c>
      <c r="O47">
        <f>IF($E47="","",IF($E46="",$E47,$E47*0.1538461538+O46*0.8461538462))</f>
        <v>0</v>
      </c>
      <c r="P47">
        <f>IF($E47="","",IF($E46="",$E47,$E47*0.0740740741+P46*0.9259259259))</f>
        <v>0</v>
      </c>
      <c r="Q47">
        <f>IF(OR(O47="",P47=""),"",O47-P47)</f>
        <v>0</v>
      </c>
      <c r="R47">
        <f>IF(Q47="","",IF(R46="",Q47,Q47*0.2000000000+R46*0.8000000000))</f>
        <v>0</v>
      </c>
      <c r="S47">
        <f>IF(OR(Q47="",R47=""),"",Q47-R47)</f>
        <v>0</v>
      </c>
      <c r="T47">
        <f>IF(COUNT($E$2:$E47)&lt;14,"",MAX($C$34:$C$47))</f>
        <v>0</v>
      </c>
      <c r="U47">
        <f>IF(COUNT($E$2:$E47)&lt;14,"",MIN($D$34:$D$47))</f>
        <v>0</v>
      </c>
      <c r="V47">
        <f>IF(OR(T47="",U47="",T47=U47),"",100*($E47-U47)/(T47-U47))</f>
        <v>0</v>
      </c>
      <c r="W47">
        <f>IF(COUNT($V$45:$V$47)&lt;3,"",AVERAGE($V$45:$V$47))</f>
        <v>0</v>
      </c>
      <c r="X47">
        <f>IF(COUNT($N$34:$N$47)&lt;14,"",MIN($N$34:$N$47))</f>
        <v>0</v>
      </c>
      <c r="Y47">
        <f>IF(COUNT($N$34:$N$47)&lt;14,"",MAX($N$34:$N$47))</f>
        <v>0</v>
      </c>
      <c r="Z47">
        <f>IF(OR(N47="",X47="",Y47="",Y47=X47),"",100*(N47-X47)/(Y47-X47))</f>
        <v>0</v>
      </c>
      <c r="AA47">
        <f>IF(COUNT($Z$45:$Z$47)&lt;3,"",AVERAGE($Z$45:$Z$47))</f>
        <v>0</v>
      </c>
      <c r="AB47">
        <f>IF(COUNT($AA$45:$AA$47)&lt;3,"",AVERAGE($AA$45:$AA$47))</f>
        <v>0</v>
      </c>
      <c r="AC47">
        <f>IF($E47="","",MAX($C47-$D47,ABS($C47-$E46),ABS($D47-$E46)))</f>
        <v>0</v>
      </c>
      <c r="AD47">
        <f>IF(COUNT($E$2:$E47)&lt;15,"",AVERAGE($AC$34:$AC$47))</f>
        <v>0</v>
      </c>
      <c r="AE47">
        <f>IF(OR($E47="",$E46=""),"",IF(AND(($C47-$C46)&gt;($D46-$D47),($C47-$C46)&gt;0),$C47-$C46,0))</f>
        <v>0</v>
      </c>
      <c r="AF47">
        <f>IF(OR($E47="",$E46=""),"",IF(AND(($D46-$D47)&gt;($C47-$C46),($D46-$D47)&gt;0),$D46-$D47,0))</f>
        <v>0</v>
      </c>
      <c r="AG47">
        <f>IF(COUNT($E$2:$E47)&lt;15,"",IF(SUM($AC$34:$AC$47)=0,0,100*SUM($AE$34:$AE$47)/SUM($AC$34:$AC$47)))</f>
        <v>0</v>
      </c>
      <c r="AH47">
        <f>IF(COUNT($E$2:$E47)&lt;15,"",IF(SUM($AC$34:$AC$47)=0,0,100*SUM($AF$34:$AF$47)/SUM($AC$34:$AC$47)))</f>
        <v>0</v>
      </c>
      <c r="AI47">
        <f>IF(OR(AG47="",AH47=""),"",IF((AG47+AH47)=0,0,100*ABS(AG47-AH47)/(AG47+AH47)))</f>
        <v>0</v>
      </c>
      <c r="AJ47">
        <f>IF(COUNT($AI$34:$AI$47)&lt;14,"",AVERAGE($AI$34:$AI$47))</f>
        <v>0</v>
      </c>
      <c r="AK47">
        <f>IF(COUNT($E$2:$E47)&lt;20,"",AVERAGE($E$28:$E$47))</f>
        <v>0</v>
      </c>
      <c r="AL47">
        <f>IF(COUNT($E$2:$E47)&lt;20,"",STDEVP($E$28:$E$47))</f>
        <v>0</v>
      </c>
      <c r="AM47">
        <f>IF(AK47="","",AK47+2*AL47)</f>
        <v>0</v>
      </c>
      <c r="AN47">
        <f>IF(AK47="","",AK47-2*AL47)</f>
        <v>0</v>
      </c>
      <c r="AO47">
        <f>IF(OR(AM47="",AN47="",AM47=AN47),"",($E47-AN47)/(AM47-AN47))</f>
        <v>0</v>
      </c>
      <c r="AP47">
        <f>IF(OR(AM47="",AK47="",AK47=0),"",(AM47-AN47)/AK47)</f>
        <v>0</v>
      </c>
      <c r="AQ47">
        <f>IF(COUNT($E$2:$E47)&lt;20,"",MAX($C$28:$C$47))</f>
        <v>0</v>
      </c>
      <c r="AR47">
        <f>IF(COUNT($E$2:$E47)&lt;20,"",MIN($D$28:$D$47))</f>
        <v>0</v>
      </c>
      <c r="AS47">
        <f>IF(OR(AQ47="",AR47=""),"",(AQ47+AR47)/2)</f>
        <v>0</v>
      </c>
      <c r="AT47">
        <f>IF(COUNT($G$28:$G$47)&lt;20,"",STDEV($G$28:$G$47)*SQRT(252))</f>
        <v>0</v>
      </c>
      <c r="AU47">
        <f>IF(COUNT($E$2:$E47)&lt;9,"",(MAX($C$39:$C$47)+MIN($D$39:$D$47))/2)</f>
        <v>0</v>
      </c>
      <c r="AV47">
        <f>IF(COUNT($E$2:$E47)&lt;26,"",(MAX($C$22:$C$47)+MIN($D$22:$D$47))/2)</f>
        <v>0</v>
      </c>
      <c r="AW47">
        <f>IF(OR(AU47="",AV47=""),"",(AU47+AV47)/2)</f>
        <v>0</v>
      </c>
      <c r="AX47">
        <f>IF(COUNT($E$2:$E47)&lt;52,"",(MAX($C$2:$C$47)+MIN($D$2:$D$47))/2)</f>
        <v>0</v>
      </c>
      <c r="AY47">
        <f>IF(COUNT($E$2:$E47)&lt;20,"",MAX($C$2:$C$47))</f>
        <v>0</v>
      </c>
      <c r="AZ47">
        <f>IF(COUNT($E$2:$E47)&lt;20,"",MIN($D$2:$D$47))</f>
        <v>0</v>
      </c>
      <c r="BA47">
        <f>IF(COUNT($E$2:$E47)&lt;20,"",SLOPE($E$2:$E$47,$F$2:$F$47))</f>
        <v>0</v>
      </c>
      <c r="BB47">
        <f>IF(COUNT($E$2:$E47)&lt;20,"",INTERCEPT($E$2:$E$47,$F$2:$F$47))</f>
        <v>0</v>
      </c>
      <c r="BC47">
        <f>IF(OR(BA47="",BB47=""),"",BB47+BA47*F47)</f>
        <v>0</v>
      </c>
      <c r="BD47">
        <f>IF(COUNT($E$2:$E47)&lt;20,"",STEYX($E$2:$E$47,$F$2:$F$47))</f>
        <v>0</v>
      </c>
      <c r="BE47">
        <f>IF($E47="","",IF(AND(COUNT($E$48:$E$51)&gt;=4,$C47=MAX($C$43:$C$51)),$C47,""))</f>
        <v>0</v>
      </c>
      <c r="BF47">
        <f>IF($E47="","",IF(AND(COUNT($E$48:$E$51)&gt;=4,$D47=MIN($D$43:$D$51)),$D47,""))</f>
        <v>0</v>
      </c>
      <c r="BG47">
        <f>IF($A47="","",$A47-WEEKDAY($A47,2)+1)</f>
        <v>0</v>
      </c>
      <c r="BH47">
        <f>IF($A47="","",IF($A46="",1,IF(BG47&lt;&gt;BG46,1,0)))</f>
        <v>0</v>
      </c>
      <c r="BI47">
        <f>IF($A47="","",IF($A48="",1,IF(BG48&lt;&gt;BG47,1,0)))</f>
        <v>0</v>
      </c>
      <c r="BJ47">
        <f>IF($A47="","",IF(BH47=1,$B47,BJ46))</f>
        <v>0</v>
      </c>
      <c r="BK47">
        <f>IF($A47="","",IF(BH47=1,$C47,MAX($C47,BK46)))</f>
        <v>0</v>
      </c>
      <c r="BL47">
        <f>IF($A47="","",IF(BH47=1,$D47,MIN($D47,BL46)))</f>
        <v>0</v>
      </c>
      <c r="BM47">
        <f>IF($A47="","",IF(BI47=1,F47,""))</f>
        <v>0</v>
      </c>
      <c r="BN47">
        <f>IF($A47="","",DATE(YEAR($A47),MONTH($A47),1))</f>
        <v>0</v>
      </c>
      <c r="BO47">
        <f>IF($A47="","",IF($A46="",1,IF(BN47&lt;&gt;BN46,1,0)))</f>
        <v>0</v>
      </c>
      <c r="BP47">
        <f>IF($A47="","",IF($A48="",1,IF(BN48&lt;&gt;BN47,1,0)))</f>
        <v>0</v>
      </c>
      <c r="BQ47">
        <f>IF($A47="","",IF(BO47=1,$B47,BQ46))</f>
        <v>0</v>
      </c>
      <c r="BR47">
        <f>IF($A47="","",IF(BO47=1,$C47,MAX($C47,BR46)))</f>
        <v>0</v>
      </c>
      <c r="BS47">
        <f>IF($A47="","",IF(BO47=1,$D47,MIN($D47,BS46)))</f>
        <v>0</v>
      </c>
      <c r="BT47">
        <f>IF($A47="","",IF(BP47=1,F47,""))</f>
        <v>0</v>
      </c>
    </row>
    <row r="48" spans="1:72">
      <c r="A48" s="27">
        <f>IF(Data!$A48="","",Data!$A48)</f>
        <v>0</v>
      </c>
      <c r="B48">
        <f>IF(Data!$B48="","",Data!$B48)</f>
        <v>0</v>
      </c>
      <c r="C48">
        <f>IF(Data!$C48="","",Data!$C48)</f>
        <v>0</v>
      </c>
      <c r="D48">
        <f>IF(Data!$D48="","",Data!$D48)</f>
        <v>0</v>
      </c>
      <c r="E48">
        <f>IF(Data!$E48="","",Data!$E48)</f>
        <v>0</v>
      </c>
      <c r="F48">
        <f>IF($E48="","",N(F47)+1)</f>
        <v>0</v>
      </c>
      <c r="G48">
        <f>IF(OR($E48="",$E47=""),"",LN($E48/$E47))</f>
        <v>0</v>
      </c>
      <c r="H48">
        <f>IF($E48="","",IF($E47="",$E48,$E48*0.0952380952+H47*0.9047619048))</f>
        <v>0</v>
      </c>
      <c r="I48">
        <f>IF($E48="","",IF($E47="",$E48,$E48*0.0392156863+I47*0.9607843137))</f>
        <v>0</v>
      </c>
      <c r="J48">
        <f>IF($E48="","",IF($E47="",$E48,$E48*0.0198019802+J47*0.9801980198))</f>
        <v>0</v>
      </c>
      <c r="K48">
        <f>IF($E48="","",IF($E47="",$E48,$E48*0.0099502488+K47*0.9900497512))</f>
        <v>0</v>
      </c>
      <c r="L48">
        <f>IF(OR($E48="",$E47=""),"",MAX($E48-$E47,0))</f>
        <v>0</v>
      </c>
      <c r="M48">
        <f>IF(OR($E48="",$E47=""),"",MAX($E47-$E48,0))</f>
        <v>0</v>
      </c>
      <c r="N48">
        <f>IF(COUNT($E$2:$E48)&lt;15,"",IF(AVERAGE($M$35:$M$48)=0,100,100-100/(1+AVERAGE($L$35:$L$48)/AVERAGE($M$35:$M$48))))</f>
        <v>0</v>
      </c>
      <c r="O48">
        <f>IF($E48="","",IF($E47="",$E48,$E48*0.1538461538+O47*0.8461538462))</f>
        <v>0</v>
      </c>
      <c r="P48">
        <f>IF($E48="","",IF($E47="",$E48,$E48*0.0740740741+P47*0.9259259259))</f>
        <v>0</v>
      </c>
      <c r="Q48">
        <f>IF(OR(O48="",P48=""),"",O48-P48)</f>
        <v>0</v>
      </c>
      <c r="R48">
        <f>IF(Q48="","",IF(R47="",Q48,Q48*0.2000000000+R47*0.8000000000))</f>
        <v>0</v>
      </c>
      <c r="S48">
        <f>IF(OR(Q48="",R48=""),"",Q48-R48)</f>
        <v>0</v>
      </c>
      <c r="T48">
        <f>IF(COUNT($E$2:$E48)&lt;14,"",MAX($C$35:$C$48))</f>
        <v>0</v>
      </c>
      <c r="U48">
        <f>IF(COUNT($E$2:$E48)&lt;14,"",MIN($D$35:$D$48))</f>
        <v>0</v>
      </c>
      <c r="V48">
        <f>IF(OR(T48="",U48="",T48=U48),"",100*($E48-U48)/(T48-U48))</f>
        <v>0</v>
      </c>
      <c r="W48">
        <f>IF(COUNT($V$46:$V$48)&lt;3,"",AVERAGE($V$46:$V$48))</f>
        <v>0</v>
      </c>
      <c r="X48">
        <f>IF(COUNT($N$35:$N$48)&lt;14,"",MIN($N$35:$N$48))</f>
        <v>0</v>
      </c>
      <c r="Y48">
        <f>IF(COUNT($N$35:$N$48)&lt;14,"",MAX($N$35:$N$48))</f>
        <v>0</v>
      </c>
      <c r="Z48">
        <f>IF(OR(N48="",X48="",Y48="",Y48=X48),"",100*(N48-X48)/(Y48-X48))</f>
        <v>0</v>
      </c>
      <c r="AA48">
        <f>IF(COUNT($Z$46:$Z$48)&lt;3,"",AVERAGE($Z$46:$Z$48))</f>
        <v>0</v>
      </c>
      <c r="AB48">
        <f>IF(COUNT($AA$46:$AA$48)&lt;3,"",AVERAGE($AA$46:$AA$48))</f>
        <v>0</v>
      </c>
      <c r="AC48">
        <f>IF($E48="","",MAX($C48-$D48,ABS($C48-$E47),ABS($D48-$E47)))</f>
        <v>0</v>
      </c>
      <c r="AD48">
        <f>IF(COUNT($E$2:$E48)&lt;15,"",AVERAGE($AC$35:$AC$48))</f>
        <v>0</v>
      </c>
      <c r="AE48">
        <f>IF(OR($E48="",$E47=""),"",IF(AND(($C48-$C47)&gt;($D47-$D48),($C48-$C47)&gt;0),$C48-$C47,0))</f>
        <v>0</v>
      </c>
      <c r="AF48">
        <f>IF(OR($E48="",$E47=""),"",IF(AND(($D47-$D48)&gt;($C48-$C47),($D47-$D48)&gt;0),$D47-$D48,0))</f>
        <v>0</v>
      </c>
      <c r="AG48">
        <f>IF(COUNT($E$2:$E48)&lt;15,"",IF(SUM($AC$35:$AC$48)=0,0,100*SUM($AE$35:$AE$48)/SUM($AC$35:$AC$48)))</f>
        <v>0</v>
      </c>
      <c r="AH48">
        <f>IF(COUNT($E$2:$E48)&lt;15,"",IF(SUM($AC$35:$AC$48)=0,0,100*SUM($AF$35:$AF$48)/SUM($AC$35:$AC$48)))</f>
        <v>0</v>
      </c>
      <c r="AI48">
        <f>IF(OR(AG48="",AH48=""),"",IF((AG48+AH48)=0,0,100*ABS(AG48-AH48)/(AG48+AH48)))</f>
        <v>0</v>
      </c>
      <c r="AJ48">
        <f>IF(COUNT($AI$35:$AI$48)&lt;14,"",AVERAGE($AI$35:$AI$48))</f>
        <v>0</v>
      </c>
      <c r="AK48">
        <f>IF(COUNT($E$2:$E48)&lt;20,"",AVERAGE($E$29:$E$48))</f>
        <v>0</v>
      </c>
      <c r="AL48">
        <f>IF(COUNT($E$2:$E48)&lt;20,"",STDEVP($E$29:$E$48))</f>
        <v>0</v>
      </c>
      <c r="AM48">
        <f>IF(AK48="","",AK48+2*AL48)</f>
        <v>0</v>
      </c>
      <c r="AN48">
        <f>IF(AK48="","",AK48-2*AL48)</f>
        <v>0</v>
      </c>
      <c r="AO48">
        <f>IF(OR(AM48="",AN48="",AM48=AN48),"",($E48-AN48)/(AM48-AN48))</f>
        <v>0</v>
      </c>
      <c r="AP48">
        <f>IF(OR(AM48="",AK48="",AK48=0),"",(AM48-AN48)/AK48)</f>
        <v>0</v>
      </c>
      <c r="AQ48">
        <f>IF(COUNT($E$2:$E48)&lt;20,"",MAX($C$29:$C$48))</f>
        <v>0</v>
      </c>
      <c r="AR48">
        <f>IF(COUNT($E$2:$E48)&lt;20,"",MIN($D$29:$D$48))</f>
        <v>0</v>
      </c>
      <c r="AS48">
        <f>IF(OR(AQ48="",AR48=""),"",(AQ48+AR48)/2)</f>
        <v>0</v>
      </c>
      <c r="AT48">
        <f>IF(COUNT($G$29:$G$48)&lt;20,"",STDEV($G$29:$G$48)*SQRT(252))</f>
        <v>0</v>
      </c>
      <c r="AU48">
        <f>IF(COUNT($E$2:$E48)&lt;9,"",(MAX($C$40:$C$48)+MIN($D$40:$D$48))/2)</f>
        <v>0</v>
      </c>
      <c r="AV48">
        <f>IF(COUNT($E$2:$E48)&lt;26,"",(MAX($C$23:$C$48)+MIN($D$23:$D$48))/2)</f>
        <v>0</v>
      </c>
      <c r="AW48">
        <f>IF(OR(AU48="",AV48=""),"",(AU48+AV48)/2)</f>
        <v>0</v>
      </c>
      <c r="AX48">
        <f>IF(COUNT($E$2:$E48)&lt;52,"",(MAX($C$2:$C$48)+MIN($D$2:$D$48))/2)</f>
        <v>0</v>
      </c>
      <c r="AY48">
        <f>IF(COUNT($E$2:$E48)&lt;20,"",MAX($C$2:$C$48))</f>
        <v>0</v>
      </c>
      <c r="AZ48">
        <f>IF(COUNT($E$2:$E48)&lt;20,"",MIN($D$2:$D$48))</f>
        <v>0</v>
      </c>
      <c r="BA48">
        <f>IF(COUNT($E$2:$E48)&lt;20,"",SLOPE($E$2:$E$48,$F$2:$F$48))</f>
        <v>0</v>
      </c>
      <c r="BB48">
        <f>IF(COUNT($E$2:$E48)&lt;20,"",INTERCEPT($E$2:$E$48,$F$2:$F$48))</f>
        <v>0</v>
      </c>
      <c r="BC48">
        <f>IF(OR(BA48="",BB48=""),"",BB48+BA48*F48)</f>
        <v>0</v>
      </c>
      <c r="BD48">
        <f>IF(COUNT($E$2:$E48)&lt;20,"",STEYX($E$2:$E$48,$F$2:$F$48))</f>
        <v>0</v>
      </c>
      <c r="BE48">
        <f>IF($E48="","",IF(AND(COUNT($E$49:$E$52)&gt;=4,$C48=MAX($C$44:$C$52)),$C48,""))</f>
        <v>0</v>
      </c>
      <c r="BF48">
        <f>IF($E48="","",IF(AND(COUNT($E$49:$E$52)&gt;=4,$D48=MIN($D$44:$D$52)),$D48,""))</f>
        <v>0</v>
      </c>
      <c r="BG48">
        <f>IF($A48="","",$A48-WEEKDAY($A48,2)+1)</f>
        <v>0</v>
      </c>
      <c r="BH48">
        <f>IF($A48="","",IF($A47="",1,IF(BG48&lt;&gt;BG47,1,0)))</f>
        <v>0</v>
      </c>
      <c r="BI48">
        <f>IF($A48="","",IF($A49="",1,IF(BG49&lt;&gt;BG48,1,0)))</f>
        <v>0</v>
      </c>
      <c r="BJ48">
        <f>IF($A48="","",IF(BH48=1,$B48,BJ47))</f>
        <v>0</v>
      </c>
      <c r="BK48">
        <f>IF($A48="","",IF(BH48=1,$C48,MAX($C48,BK47)))</f>
        <v>0</v>
      </c>
      <c r="BL48">
        <f>IF($A48="","",IF(BH48=1,$D48,MIN($D48,BL47)))</f>
        <v>0</v>
      </c>
      <c r="BM48">
        <f>IF($A48="","",IF(BI48=1,F48,""))</f>
        <v>0</v>
      </c>
      <c r="BN48">
        <f>IF($A48="","",DATE(YEAR($A48),MONTH($A48),1))</f>
        <v>0</v>
      </c>
      <c r="BO48">
        <f>IF($A48="","",IF($A47="",1,IF(BN48&lt;&gt;BN47,1,0)))</f>
        <v>0</v>
      </c>
      <c r="BP48">
        <f>IF($A48="","",IF($A49="",1,IF(BN49&lt;&gt;BN48,1,0)))</f>
        <v>0</v>
      </c>
      <c r="BQ48">
        <f>IF($A48="","",IF(BO48=1,$B48,BQ47))</f>
        <v>0</v>
      </c>
      <c r="BR48">
        <f>IF($A48="","",IF(BO48=1,$C48,MAX($C48,BR47)))</f>
        <v>0</v>
      </c>
      <c r="BS48">
        <f>IF($A48="","",IF(BO48=1,$D48,MIN($D48,BS47)))</f>
        <v>0</v>
      </c>
      <c r="BT48">
        <f>IF($A48="","",IF(BP48=1,F48,""))</f>
        <v>0</v>
      </c>
    </row>
    <row r="49" spans="1:72">
      <c r="A49" s="27">
        <f>IF(Data!$A49="","",Data!$A49)</f>
        <v>0</v>
      </c>
      <c r="B49">
        <f>IF(Data!$B49="","",Data!$B49)</f>
        <v>0</v>
      </c>
      <c r="C49">
        <f>IF(Data!$C49="","",Data!$C49)</f>
        <v>0</v>
      </c>
      <c r="D49">
        <f>IF(Data!$D49="","",Data!$D49)</f>
        <v>0</v>
      </c>
      <c r="E49">
        <f>IF(Data!$E49="","",Data!$E49)</f>
        <v>0</v>
      </c>
      <c r="F49">
        <f>IF($E49="","",N(F48)+1)</f>
        <v>0</v>
      </c>
      <c r="G49">
        <f>IF(OR($E49="",$E48=""),"",LN($E49/$E48))</f>
        <v>0</v>
      </c>
      <c r="H49">
        <f>IF($E49="","",IF($E48="",$E49,$E49*0.0952380952+H48*0.9047619048))</f>
        <v>0</v>
      </c>
      <c r="I49">
        <f>IF($E49="","",IF($E48="",$E49,$E49*0.0392156863+I48*0.9607843137))</f>
        <v>0</v>
      </c>
      <c r="J49">
        <f>IF($E49="","",IF($E48="",$E49,$E49*0.0198019802+J48*0.9801980198))</f>
        <v>0</v>
      </c>
      <c r="K49">
        <f>IF($E49="","",IF($E48="",$E49,$E49*0.0099502488+K48*0.9900497512))</f>
        <v>0</v>
      </c>
      <c r="L49">
        <f>IF(OR($E49="",$E48=""),"",MAX($E49-$E48,0))</f>
        <v>0</v>
      </c>
      <c r="M49">
        <f>IF(OR($E49="",$E48=""),"",MAX($E48-$E49,0))</f>
        <v>0</v>
      </c>
      <c r="N49">
        <f>IF(COUNT($E$2:$E49)&lt;15,"",IF(AVERAGE($M$36:$M$49)=0,100,100-100/(1+AVERAGE($L$36:$L$49)/AVERAGE($M$36:$M$49))))</f>
        <v>0</v>
      </c>
      <c r="O49">
        <f>IF($E49="","",IF($E48="",$E49,$E49*0.1538461538+O48*0.8461538462))</f>
        <v>0</v>
      </c>
      <c r="P49">
        <f>IF($E49="","",IF($E48="",$E49,$E49*0.0740740741+P48*0.9259259259))</f>
        <v>0</v>
      </c>
      <c r="Q49">
        <f>IF(OR(O49="",P49=""),"",O49-P49)</f>
        <v>0</v>
      </c>
      <c r="R49">
        <f>IF(Q49="","",IF(R48="",Q49,Q49*0.2000000000+R48*0.8000000000))</f>
        <v>0</v>
      </c>
      <c r="S49">
        <f>IF(OR(Q49="",R49=""),"",Q49-R49)</f>
        <v>0</v>
      </c>
      <c r="T49">
        <f>IF(COUNT($E$2:$E49)&lt;14,"",MAX($C$36:$C$49))</f>
        <v>0</v>
      </c>
      <c r="U49">
        <f>IF(COUNT($E$2:$E49)&lt;14,"",MIN($D$36:$D$49))</f>
        <v>0</v>
      </c>
      <c r="V49">
        <f>IF(OR(T49="",U49="",T49=U49),"",100*($E49-U49)/(T49-U49))</f>
        <v>0</v>
      </c>
      <c r="W49">
        <f>IF(COUNT($V$47:$V$49)&lt;3,"",AVERAGE($V$47:$V$49))</f>
        <v>0</v>
      </c>
      <c r="X49">
        <f>IF(COUNT($N$36:$N$49)&lt;14,"",MIN($N$36:$N$49))</f>
        <v>0</v>
      </c>
      <c r="Y49">
        <f>IF(COUNT($N$36:$N$49)&lt;14,"",MAX($N$36:$N$49))</f>
        <v>0</v>
      </c>
      <c r="Z49">
        <f>IF(OR(N49="",X49="",Y49="",Y49=X49),"",100*(N49-X49)/(Y49-X49))</f>
        <v>0</v>
      </c>
      <c r="AA49">
        <f>IF(COUNT($Z$47:$Z$49)&lt;3,"",AVERAGE($Z$47:$Z$49))</f>
        <v>0</v>
      </c>
      <c r="AB49">
        <f>IF(COUNT($AA$47:$AA$49)&lt;3,"",AVERAGE($AA$47:$AA$49))</f>
        <v>0</v>
      </c>
      <c r="AC49">
        <f>IF($E49="","",MAX($C49-$D49,ABS($C49-$E48),ABS($D49-$E48)))</f>
        <v>0</v>
      </c>
      <c r="AD49">
        <f>IF(COUNT($E$2:$E49)&lt;15,"",AVERAGE($AC$36:$AC$49))</f>
        <v>0</v>
      </c>
      <c r="AE49">
        <f>IF(OR($E49="",$E48=""),"",IF(AND(($C49-$C48)&gt;($D48-$D49),($C49-$C48)&gt;0),$C49-$C48,0))</f>
        <v>0</v>
      </c>
      <c r="AF49">
        <f>IF(OR($E49="",$E48=""),"",IF(AND(($D48-$D49)&gt;($C49-$C48),($D48-$D49)&gt;0),$D48-$D49,0))</f>
        <v>0</v>
      </c>
      <c r="AG49">
        <f>IF(COUNT($E$2:$E49)&lt;15,"",IF(SUM($AC$36:$AC$49)=0,0,100*SUM($AE$36:$AE$49)/SUM($AC$36:$AC$49)))</f>
        <v>0</v>
      </c>
      <c r="AH49">
        <f>IF(COUNT($E$2:$E49)&lt;15,"",IF(SUM($AC$36:$AC$49)=0,0,100*SUM($AF$36:$AF$49)/SUM($AC$36:$AC$49)))</f>
        <v>0</v>
      </c>
      <c r="AI49">
        <f>IF(OR(AG49="",AH49=""),"",IF((AG49+AH49)=0,0,100*ABS(AG49-AH49)/(AG49+AH49)))</f>
        <v>0</v>
      </c>
      <c r="AJ49">
        <f>IF(COUNT($AI$36:$AI$49)&lt;14,"",AVERAGE($AI$36:$AI$49))</f>
        <v>0</v>
      </c>
      <c r="AK49">
        <f>IF(COUNT($E$2:$E49)&lt;20,"",AVERAGE($E$30:$E$49))</f>
        <v>0</v>
      </c>
      <c r="AL49">
        <f>IF(COUNT($E$2:$E49)&lt;20,"",STDEVP($E$30:$E$49))</f>
        <v>0</v>
      </c>
      <c r="AM49">
        <f>IF(AK49="","",AK49+2*AL49)</f>
        <v>0</v>
      </c>
      <c r="AN49">
        <f>IF(AK49="","",AK49-2*AL49)</f>
        <v>0</v>
      </c>
      <c r="AO49">
        <f>IF(OR(AM49="",AN49="",AM49=AN49),"",($E49-AN49)/(AM49-AN49))</f>
        <v>0</v>
      </c>
      <c r="AP49">
        <f>IF(OR(AM49="",AK49="",AK49=0),"",(AM49-AN49)/AK49)</f>
        <v>0</v>
      </c>
      <c r="AQ49">
        <f>IF(COUNT($E$2:$E49)&lt;20,"",MAX($C$30:$C$49))</f>
        <v>0</v>
      </c>
      <c r="AR49">
        <f>IF(COUNT($E$2:$E49)&lt;20,"",MIN($D$30:$D$49))</f>
        <v>0</v>
      </c>
      <c r="AS49">
        <f>IF(OR(AQ49="",AR49=""),"",(AQ49+AR49)/2)</f>
        <v>0</v>
      </c>
      <c r="AT49">
        <f>IF(COUNT($G$30:$G$49)&lt;20,"",STDEV($G$30:$G$49)*SQRT(252))</f>
        <v>0</v>
      </c>
      <c r="AU49">
        <f>IF(COUNT($E$2:$E49)&lt;9,"",(MAX($C$41:$C$49)+MIN($D$41:$D$49))/2)</f>
        <v>0</v>
      </c>
      <c r="AV49">
        <f>IF(COUNT($E$2:$E49)&lt;26,"",(MAX($C$24:$C$49)+MIN($D$24:$D$49))/2)</f>
        <v>0</v>
      </c>
      <c r="AW49">
        <f>IF(OR(AU49="",AV49=""),"",(AU49+AV49)/2)</f>
        <v>0</v>
      </c>
      <c r="AX49">
        <f>IF(COUNT($E$2:$E49)&lt;52,"",(MAX($C$2:$C$49)+MIN($D$2:$D$49))/2)</f>
        <v>0</v>
      </c>
      <c r="AY49">
        <f>IF(COUNT($E$2:$E49)&lt;20,"",MAX($C$2:$C$49))</f>
        <v>0</v>
      </c>
      <c r="AZ49">
        <f>IF(COUNT($E$2:$E49)&lt;20,"",MIN($D$2:$D$49))</f>
        <v>0</v>
      </c>
      <c r="BA49">
        <f>IF(COUNT($E$2:$E49)&lt;20,"",SLOPE($E$2:$E$49,$F$2:$F$49))</f>
        <v>0</v>
      </c>
      <c r="BB49">
        <f>IF(COUNT($E$2:$E49)&lt;20,"",INTERCEPT($E$2:$E$49,$F$2:$F$49))</f>
        <v>0</v>
      </c>
      <c r="BC49">
        <f>IF(OR(BA49="",BB49=""),"",BB49+BA49*F49)</f>
        <v>0</v>
      </c>
      <c r="BD49">
        <f>IF(COUNT($E$2:$E49)&lt;20,"",STEYX($E$2:$E$49,$F$2:$F$49))</f>
        <v>0</v>
      </c>
      <c r="BE49">
        <f>IF($E49="","",IF(AND(COUNT($E$50:$E$53)&gt;=4,$C49=MAX($C$45:$C$53)),$C49,""))</f>
        <v>0</v>
      </c>
      <c r="BF49">
        <f>IF($E49="","",IF(AND(COUNT($E$50:$E$53)&gt;=4,$D49=MIN($D$45:$D$53)),$D49,""))</f>
        <v>0</v>
      </c>
      <c r="BG49">
        <f>IF($A49="","",$A49-WEEKDAY($A49,2)+1)</f>
        <v>0</v>
      </c>
      <c r="BH49">
        <f>IF($A49="","",IF($A48="",1,IF(BG49&lt;&gt;BG48,1,0)))</f>
        <v>0</v>
      </c>
      <c r="BI49">
        <f>IF($A49="","",IF($A50="",1,IF(BG50&lt;&gt;BG49,1,0)))</f>
        <v>0</v>
      </c>
      <c r="BJ49">
        <f>IF($A49="","",IF(BH49=1,$B49,BJ48))</f>
        <v>0</v>
      </c>
      <c r="BK49">
        <f>IF($A49="","",IF(BH49=1,$C49,MAX($C49,BK48)))</f>
        <v>0</v>
      </c>
      <c r="BL49">
        <f>IF($A49="","",IF(BH49=1,$D49,MIN($D49,BL48)))</f>
        <v>0</v>
      </c>
      <c r="BM49">
        <f>IF($A49="","",IF(BI49=1,F49,""))</f>
        <v>0</v>
      </c>
      <c r="BN49">
        <f>IF($A49="","",DATE(YEAR($A49),MONTH($A49),1))</f>
        <v>0</v>
      </c>
      <c r="BO49">
        <f>IF($A49="","",IF($A48="",1,IF(BN49&lt;&gt;BN48,1,0)))</f>
        <v>0</v>
      </c>
      <c r="BP49">
        <f>IF($A49="","",IF($A50="",1,IF(BN50&lt;&gt;BN49,1,0)))</f>
        <v>0</v>
      </c>
      <c r="BQ49">
        <f>IF($A49="","",IF(BO49=1,$B49,BQ48))</f>
        <v>0</v>
      </c>
      <c r="BR49">
        <f>IF($A49="","",IF(BO49=1,$C49,MAX($C49,BR48)))</f>
        <v>0</v>
      </c>
      <c r="BS49">
        <f>IF($A49="","",IF(BO49=1,$D49,MIN($D49,BS48)))</f>
        <v>0</v>
      </c>
      <c r="BT49">
        <f>IF($A49="","",IF(BP49=1,F49,""))</f>
        <v>0</v>
      </c>
    </row>
    <row r="50" spans="1:72">
      <c r="A50" s="27">
        <f>IF(Data!$A50="","",Data!$A50)</f>
        <v>0</v>
      </c>
      <c r="B50">
        <f>IF(Data!$B50="","",Data!$B50)</f>
        <v>0</v>
      </c>
      <c r="C50">
        <f>IF(Data!$C50="","",Data!$C50)</f>
        <v>0</v>
      </c>
      <c r="D50">
        <f>IF(Data!$D50="","",Data!$D50)</f>
        <v>0</v>
      </c>
      <c r="E50">
        <f>IF(Data!$E50="","",Data!$E50)</f>
        <v>0</v>
      </c>
      <c r="F50">
        <f>IF($E50="","",N(F49)+1)</f>
        <v>0</v>
      </c>
      <c r="G50">
        <f>IF(OR($E50="",$E49=""),"",LN($E50/$E49))</f>
        <v>0</v>
      </c>
      <c r="H50">
        <f>IF($E50="","",IF($E49="",$E50,$E50*0.0952380952+H49*0.9047619048))</f>
        <v>0</v>
      </c>
      <c r="I50">
        <f>IF($E50="","",IF($E49="",$E50,$E50*0.0392156863+I49*0.9607843137))</f>
        <v>0</v>
      </c>
      <c r="J50">
        <f>IF($E50="","",IF($E49="",$E50,$E50*0.0198019802+J49*0.9801980198))</f>
        <v>0</v>
      </c>
      <c r="K50">
        <f>IF($E50="","",IF($E49="",$E50,$E50*0.0099502488+K49*0.9900497512))</f>
        <v>0</v>
      </c>
      <c r="L50">
        <f>IF(OR($E50="",$E49=""),"",MAX($E50-$E49,0))</f>
        <v>0</v>
      </c>
      <c r="M50">
        <f>IF(OR($E50="",$E49=""),"",MAX($E49-$E50,0))</f>
        <v>0</v>
      </c>
      <c r="N50">
        <f>IF(COUNT($E$2:$E50)&lt;15,"",IF(AVERAGE($M$37:$M$50)=0,100,100-100/(1+AVERAGE($L$37:$L$50)/AVERAGE($M$37:$M$50))))</f>
        <v>0</v>
      </c>
      <c r="O50">
        <f>IF($E50="","",IF($E49="",$E50,$E50*0.1538461538+O49*0.8461538462))</f>
        <v>0</v>
      </c>
      <c r="P50">
        <f>IF($E50="","",IF($E49="",$E50,$E50*0.0740740741+P49*0.9259259259))</f>
        <v>0</v>
      </c>
      <c r="Q50">
        <f>IF(OR(O50="",P50=""),"",O50-P50)</f>
        <v>0</v>
      </c>
      <c r="R50">
        <f>IF(Q50="","",IF(R49="",Q50,Q50*0.2000000000+R49*0.8000000000))</f>
        <v>0</v>
      </c>
      <c r="S50">
        <f>IF(OR(Q50="",R50=""),"",Q50-R50)</f>
        <v>0</v>
      </c>
      <c r="T50">
        <f>IF(COUNT($E$2:$E50)&lt;14,"",MAX($C$37:$C$50))</f>
        <v>0</v>
      </c>
      <c r="U50">
        <f>IF(COUNT($E$2:$E50)&lt;14,"",MIN($D$37:$D$50))</f>
        <v>0</v>
      </c>
      <c r="V50">
        <f>IF(OR(T50="",U50="",T50=U50),"",100*($E50-U50)/(T50-U50))</f>
        <v>0</v>
      </c>
      <c r="W50">
        <f>IF(COUNT($V$48:$V$50)&lt;3,"",AVERAGE($V$48:$V$50))</f>
        <v>0</v>
      </c>
      <c r="X50">
        <f>IF(COUNT($N$37:$N$50)&lt;14,"",MIN($N$37:$N$50))</f>
        <v>0</v>
      </c>
      <c r="Y50">
        <f>IF(COUNT($N$37:$N$50)&lt;14,"",MAX($N$37:$N$50))</f>
        <v>0</v>
      </c>
      <c r="Z50">
        <f>IF(OR(N50="",X50="",Y50="",Y50=X50),"",100*(N50-X50)/(Y50-X50))</f>
        <v>0</v>
      </c>
      <c r="AA50">
        <f>IF(COUNT($Z$48:$Z$50)&lt;3,"",AVERAGE($Z$48:$Z$50))</f>
        <v>0</v>
      </c>
      <c r="AB50">
        <f>IF(COUNT($AA$48:$AA$50)&lt;3,"",AVERAGE($AA$48:$AA$50))</f>
        <v>0</v>
      </c>
      <c r="AC50">
        <f>IF($E50="","",MAX($C50-$D50,ABS($C50-$E49),ABS($D50-$E49)))</f>
        <v>0</v>
      </c>
      <c r="AD50">
        <f>IF(COUNT($E$2:$E50)&lt;15,"",AVERAGE($AC$37:$AC$50))</f>
        <v>0</v>
      </c>
      <c r="AE50">
        <f>IF(OR($E50="",$E49=""),"",IF(AND(($C50-$C49)&gt;($D49-$D50),($C50-$C49)&gt;0),$C50-$C49,0))</f>
        <v>0</v>
      </c>
      <c r="AF50">
        <f>IF(OR($E50="",$E49=""),"",IF(AND(($D49-$D50)&gt;($C50-$C49),($D49-$D50)&gt;0),$D49-$D50,0))</f>
        <v>0</v>
      </c>
      <c r="AG50">
        <f>IF(COUNT($E$2:$E50)&lt;15,"",IF(SUM($AC$37:$AC$50)=0,0,100*SUM($AE$37:$AE$50)/SUM($AC$37:$AC$50)))</f>
        <v>0</v>
      </c>
      <c r="AH50">
        <f>IF(COUNT($E$2:$E50)&lt;15,"",IF(SUM($AC$37:$AC$50)=0,0,100*SUM($AF$37:$AF$50)/SUM($AC$37:$AC$50)))</f>
        <v>0</v>
      </c>
      <c r="AI50">
        <f>IF(OR(AG50="",AH50=""),"",IF((AG50+AH50)=0,0,100*ABS(AG50-AH50)/(AG50+AH50)))</f>
        <v>0</v>
      </c>
      <c r="AJ50">
        <f>IF(COUNT($AI$37:$AI$50)&lt;14,"",AVERAGE($AI$37:$AI$50))</f>
        <v>0</v>
      </c>
      <c r="AK50">
        <f>IF(COUNT($E$2:$E50)&lt;20,"",AVERAGE($E$31:$E$50))</f>
        <v>0</v>
      </c>
      <c r="AL50">
        <f>IF(COUNT($E$2:$E50)&lt;20,"",STDEVP($E$31:$E$50))</f>
        <v>0</v>
      </c>
      <c r="AM50">
        <f>IF(AK50="","",AK50+2*AL50)</f>
        <v>0</v>
      </c>
      <c r="AN50">
        <f>IF(AK50="","",AK50-2*AL50)</f>
        <v>0</v>
      </c>
      <c r="AO50">
        <f>IF(OR(AM50="",AN50="",AM50=AN50),"",($E50-AN50)/(AM50-AN50))</f>
        <v>0</v>
      </c>
      <c r="AP50">
        <f>IF(OR(AM50="",AK50="",AK50=0),"",(AM50-AN50)/AK50)</f>
        <v>0</v>
      </c>
      <c r="AQ50">
        <f>IF(COUNT($E$2:$E50)&lt;20,"",MAX($C$31:$C$50))</f>
        <v>0</v>
      </c>
      <c r="AR50">
        <f>IF(COUNT($E$2:$E50)&lt;20,"",MIN($D$31:$D$50))</f>
        <v>0</v>
      </c>
      <c r="AS50">
        <f>IF(OR(AQ50="",AR50=""),"",(AQ50+AR50)/2)</f>
        <v>0</v>
      </c>
      <c r="AT50">
        <f>IF(COUNT($G$31:$G$50)&lt;20,"",STDEV($G$31:$G$50)*SQRT(252))</f>
        <v>0</v>
      </c>
      <c r="AU50">
        <f>IF(COUNT($E$2:$E50)&lt;9,"",(MAX($C$42:$C$50)+MIN($D$42:$D$50))/2)</f>
        <v>0</v>
      </c>
      <c r="AV50">
        <f>IF(COUNT($E$2:$E50)&lt;26,"",(MAX($C$25:$C$50)+MIN($D$25:$D$50))/2)</f>
        <v>0</v>
      </c>
      <c r="AW50">
        <f>IF(OR(AU50="",AV50=""),"",(AU50+AV50)/2)</f>
        <v>0</v>
      </c>
      <c r="AX50">
        <f>IF(COUNT($E$2:$E50)&lt;52,"",(MAX($C$2:$C$50)+MIN($D$2:$D$50))/2)</f>
        <v>0</v>
      </c>
      <c r="AY50">
        <f>IF(COUNT($E$2:$E50)&lt;20,"",MAX($C$2:$C$50))</f>
        <v>0</v>
      </c>
      <c r="AZ50">
        <f>IF(COUNT($E$2:$E50)&lt;20,"",MIN($D$2:$D$50))</f>
        <v>0</v>
      </c>
      <c r="BA50">
        <f>IF(COUNT($E$2:$E50)&lt;20,"",SLOPE($E$2:$E$50,$F$2:$F$50))</f>
        <v>0</v>
      </c>
      <c r="BB50">
        <f>IF(COUNT($E$2:$E50)&lt;20,"",INTERCEPT($E$2:$E$50,$F$2:$F$50))</f>
        <v>0</v>
      </c>
      <c r="BC50">
        <f>IF(OR(BA50="",BB50=""),"",BB50+BA50*F50)</f>
        <v>0</v>
      </c>
      <c r="BD50">
        <f>IF(COUNT($E$2:$E50)&lt;20,"",STEYX($E$2:$E$50,$F$2:$F$50))</f>
        <v>0</v>
      </c>
      <c r="BE50">
        <f>IF($E50="","",IF(AND(COUNT($E$51:$E$54)&gt;=4,$C50=MAX($C$46:$C$54)),$C50,""))</f>
        <v>0</v>
      </c>
      <c r="BF50">
        <f>IF($E50="","",IF(AND(COUNT($E$51:$E$54)&gt;=4,$D50=MIN($D$46:$D$54)),$D50,""))</f>
        <v>0</v>
      </c>
      <c r="BG50">
        <f>IF($A50="","",$A50-WEEKDAY($A50,2)+1)</f>
        <v>0</v>
      </c>
      <c r="BH50">
        <f>IF($A50="","",IF($A49="",1,IF(BG50&lt;&gt;BG49,1,0)))</f>
        <v>0</v>
      </c>
      <c r="BI50">
        <f>IF($A50="","",IF($A51="",1,IF(BG51&lt;&gt;BG50,1,0)))</f>
        <v>0</v>
      </c>
      <c r="BJ50">
        <f>IF($A50="","",IF(BH50=1,$B50,BJ49))</f>
        <v>0</v>
      </c>
      <c r="BK50">
        <f>IF($A50="","",IF(BH50=1,$C50,MAX($C50,BK49)))</f>
        <v>0</v>
      </c>
      <c r="BL50">
        <f>IF($A50="","",IF(BH50=1,$D50,MIN($D50,BL49)))</f>
        <v>0</v>
      </c>
      <c r="BM50">
        <f>IF($A50="","",IF(BI50=1,F50,""))</f>
        <v>0</v>
      </c>
      <c r="BN50">
        <f>IF($A50="","",DATE(YEAR($A50),MONTH($A50),1))</f>
        <v>0</v>
      </c>
      <c r="BO50">
        <f>IF($A50="","",IF($A49="",1,IF(BN50&lt;&gt;BN49,1,0)))</f>
        <v>0</v>
      </c>
      <c r="BP50">
        <f>IF($A50="","",IF($A51="",1,IF(BN51&lt;&gt;BN50,1,0)))</f>
        <v>0</v>
      </c>
      <c r="BQ50">
        <f>IF($A50="","",IF(BO50=1,$B50,BQ49))</f>
        <v>0</v>
      </c>
      <c r="BR50">
        <f>IF($A50="","",IF(BO50=1,$C50,MAX($C50,BR49)))</f>
        <v>0</v>
      </c>
      <c r="BS50">
        <f>IF($A50="","",IF(BO50=1,$D50,MIN($D50,BS49)))</f>
        <v>0</v>
      </c>
      <c r="BT50">
        <f>IF($A50="","",IF(BP50=1,F50,""))</f>
        <v>0</v>
      </c>
    </row>
    <row r="51" spans="1:72">
      <c r="A51" s="27">
        <f>IF(Data!$A51="","",Data!$A51)</f>
        <v>0</v>
      </c>
      <c r="B51">
        <f>IF(Data!$B51="","",Data!$B51)</f>
        <v>0</v>
      </c>
      <c r="C51">
        <f>IF(Data!$C51="","",Data!$C51)</f>
        <v>0</v>
      </c>
      <c r="D51">
        <f>IF(Data!$D51="","",Data!$D51)</f>
        <v>0</v>
      </c>
      <c r="E51">
        <f>IF(Data!$E51="","",Data!$E51)</f>
        <v>0</v>
      </c>
      <c r="F51">
        <f>IF($E51="","",N(F50)+1)</f>
        <v>0</v>
      </c>
      <c r="G51">
        <f>IF(OR($E51="",$E50=""),"",LN($E51/$E50))</f>
        <v>0</v>
      </c>
      <c r="H51">
        <f>IF($E51="","",IF($E50="",$E51,$E51*0.0952380952+H50*0.9047619048))</f>
        <v>0</v>
      </c>
      <c r="I51">
        <f>IF($E51="","",IF($E50="",$E51,$E51*0.0392156863+I50*0.9607843137))</f>
        <v>0</v>
      </c>
      <c r="J51">
        <f>IF($E51="","",IF($E50="",$E51,$E51*0.0198019802+J50*0.9801980198))</f>
        <v>0</v>
      </c>
      <c r="K51">
        <f>IF($E51="","",IF($E50="",$E51,$E51*0.0099502488+K50*0.9900497512))</f>
        <v>0</v>
      </c>
      <c r="L51">
        <f>IF(OR($E51="",$E50=""),"",MAX($E51-$E50,0))</f>
        <v>0</v>
      </c>
      <c r="M51">
        <f>IF(OR($E51="",$E50=""),"",MAX($E50-$E51,0))</f>
        <v>0</v>
      </c>
      <c r="N51">
        <f>IF(COUNT($E$2:$E51)&lt;15,"",IF(AVERAGE($M$38:$M$51)=0,100,100-100/(1+AVERAGE($L$38:$L$51)/AVERAGE($M$38:$M$51))))</f>
        <v>0</v>
      </c>
      <c r="O51">
        <f>IF($E51="","",IF($E50="",$E51,$E51*0.1538461538+O50*0.8461538462))</f>
        <v>0</v>
      </c>
      <c r="P51">
        <f>IF($E51="","",IF($E50="",$E51,$E51*0.0740740741+P50*0.9259259259))</f>
        <v>0</v>
      </c>
      <c r="Q51">
        <f>IF(OR(O51="",P51=""),"",O51-P51)</f>
        <v>0</v>
      </c>
      <c r="R51">
        <f>IF(Q51="","",IF(R50="",Q51,Q51*0.2000000000+R50*0.8000000000))</f>
        <v>0</v>
      </c>
      <c r="S51">
        <f>IF(OR(Q51="",R51=""),"",Q51-R51)</f>
        <v>0</v>
      </c>
      <c r="T51">
        <f>IF(COUNT($E$2:$E51)&lt;14,"",MAX($C$38:$C$51))</f>
        <v>0</v>
      </c>
      <c r="U51">
        <f>IF(COUNT($E$2:$E51)&lt;14,"",MIN($D$38:$D$51))</f>
        <v>0</v>
      </c>
      <c r="V51">
        <f>IF(OR(T51="",U51="",T51=U51),"",100*($E51-U51)/(T51-U51))</f>
        <v>0</v>
      </c>
      <c r="W51">
        <f>IF(COUNT($V$49:$V$51)&lt;3,"",AVERAGE($V$49:$V$51))</f>
        <v>0</v>
      </c>
      <c r="X51">
        <f>IF(COUNT($N$38:$N$51)&lt;14,"",MIN($N$38:$N$51))</f>
        <v>0</v>
      </c>
      <c r="Y51">
        <f>IF(COUNT($N$38:$N$51)&lt;14,"",MAX($N$38:$N$51))</f>
        <v>0</v>
      </c>
      <c r="Z51">
        <f>IF(OR(N51="",X51="",Y51="",Y51=X51),"",100*(N51-X51)/(Y51-X51))</f>
        <v>0</v>
      </c>
      <c r="AA51">
        <f>IF(COUNT($Z$49:$Z$51)&lt;3,"",AVERAGE($Z$49:$Z$51))</f>
        <v>0</v>
      </c>
      <c r="AB51">
        <f>IF(COUNT($AA$49:$AA$51)&lt;3,"",AVERAGE($AA$49:$AA$51))</f>
        <v>0</v>
      </c>
      <c r="AC51">
        <f>IF($E51="","",MAX($C51-$D51,ABS($C51-$E50),ABS($D51-$E50)))</f>
        <v>0</v>
      </c>
      <c r="AD51">
        <f>IF(COUNT($E$2:$E51)&lt;15,"",AVERAGE($AC$38:$AC$51))</f>
        <v>0</v>
      </c>
      <c r="AE51">
        <f>IF(OR($E51="",$E50=""),"",IF(AND(($C51-$C50)&gt;($D50-$D51),($C51-$C50)&gt;0),$C51-$C50,0))</f>
        <v>0</v>
      </c>
      <c r="AF51">
        <f>IF(OR($E51="",$E50=""),"",IF(AND(($D50-$D51)&gt;($C51-$C50),($D50-$D51)&gt;0),$D50-$D51,0))</f>
        <v>0</v>
      </c>
      <c r="AG51">
        <f>IF(COUNT($E$2:$E51)&lt;15,"",IF(SUM($AC$38:$AC$51)=0,0,100*SUM($AE$38:$AE$51)/SUM($AC$38:$AC$51)))</f>
        <v>0</v>
      </c>
      <c r="AH51">
        <f>IF(COUNT($E$2:$E51)&lt;15,"",IF(SUM($AC$38:$AC$51)=0,0,100*SUM($AF$38:$AF$51)/SUM($AC$38:$AC$51)))</f>
        <v>0</v>
      </c>
      <c r="AI51">
        <f>IF(OR(AG51="",AH51=""),"",IF((AG51+AH51)=0,0,100*ABS(AG51-AH51)/(AG51+AH51)))</f>
        <v>0</v>
      </c>
      <c r="AJ51">
        <f>IF(COUNT($AI$38:$AI$51)&lt;14,"",AVERAGE($AI$38:$AI$51))</f>
        <v>0</v>
      </c>
      <c r="AK51">
        <f>IF(COUNT($E$2:$E51)&lt;20,"",AVERAGE($E$32:$E$51))</f>
        <v>0</v>
      </c>
      <c r="AL51">
        <f>IF(COUNT($E$2:$E51)&lt;20,"",STDEVP($E$32:$E$51))</f>
        <v>0</v>
      </c>
      <c r="AM51">
        <f>IF(AK51="","",AK51+2*AL51)</f>
        <v>0</v>
      </c>
      <c r="AN51">
        <f>IF(AK51="","",AK51-2*AL51)</f>
        <v>0</v>
      </c>
      <c r="AO51">
        <f>IF(OR(AM51="",AN51="",AM51=AN51),"",($E51-AN51)/(AM51-AN51))</f>
        <v>0</v>
      </c>
      <c r="AP51">
        <f>IF(OR(AM51="",AK51="",AK51=0),"",(AM51-AN51)/AK51)</f>
        <v>0</v>
      </c>
      <c r="AQ51">
        <f>IF(COUNT($E$2:$E51)&lt;20,"",MAX($C$32:$C$51))</f>
        <v>0</v>
      </c>
      <c r="AR51">
        <f>IF(COUNT($E$2:$E51)&lt;20,"",MIN($D$32:$D$51))</f>
        <v>0</v>
      </c>
      <c r="AS51">
        <f>IF(OR(AQ51="",AR51=""),"",(AQ51+AR51)/2)</f>
        <v>0</v>
      </c>
      <c r="AT51">
        <f>IF(COUNT($G$32:$G$51)&lt;20,"",STDEV($G$32:$G$51)*SQRT(252))</f>
        <v>0</v>
      </c>
      <c r="AU51">
        <f>IF(COUNT($E$2:$E51)&lt;9,"",(MAX($C$43:$C$51)+MIN($D$43:$D$51))/2)</f>
        <v>0</v>
      </c>
      <c r="AV51">
        <f>IF(COUNT($E$2:$E51)&lt;26,"",(MAX($C$26:$C$51)+MIN($D$26:$D$51))/2)</f>
        <v>0</v>
      </c>
      <c r="AW51">
        <f>IF(OR(AU51="",AV51=""),"",(AU51+AV51)/2)</f>
        <v>0</v>
      </c>
      <c r="AX51">
        <f>IF(COUNT($E$2:$E51)&lt;52,"",(MAX($C$2:$C$51)+MIN($D$2:$D$51))/2)</f>
        <v>0</v>
      </c>
      <c r="AY51">
        <f>IF(COUNT($E$2:$E51)&lt;20,"",MAX($C$2:$C$51))</f>
        <v>0</v>
      </c>
      <c r="AZ51">
        <f>IF(COUNT($E$2:$E51)&lt;20,"",MIN($D$2:$D$51))</f>
        <v>0</v>
      </c>
      <c r="BA51">
        <f>IF(COUNT($E$2:$E51)&lt;20,"",SLOPE($E$2:$E$51,$F$2:$F$51))</f>
        <v>0</v>
      </c>
      <c r="BB51">
        <f>IF(COUNT($E$2:$E51)&lt;20,"",INTERCEPT($E$2:$E$51,$F$2:$F$51))</f>
        <v>0</v>
      </c>
      <c r="BC51">
        <f>IF(OR(BA51="",BB51=""),"",BB51+BA51*F51)</f>
        <v>0</v>
      </c>
      <c r="BD51">
        <f>IF(COUNT($E$2:$E51)&lt;20,"",STEYX($E$2:$E$51,$F$2:$F$51))</f>
        <v>0</v>
      </c>
      <c r="BE51">
        <f>IF($E51="","",IF(AND(COUNT($E$52:$E$55)&gt;=4,$C51=MAX($C$47:$C$55)),$C51,""))</f>
        <v>0</v>
      </c>
      <c r="BF51">
        <f>IF($E51="","",IF(AND(COUNT($E$52:$E$55)&gt;=4,$D51=MIN($D$47:$D$55)),$D51,""))</f>
        <v>0</v>
      </c>
      <c r="BG51">
        <f>IF($A51="","",$A51-WEEKDAY($A51,2)+1)</f>
        <v>0</v>
      </c>
      <c r="BH51">
        <f>IF($A51="","",IF($A50="",1,IF(BG51&lt;&gt;BG50,1,0)))</f>
        <v>0</v>
      </c>
      <c r="BI51">
        <f>IF($A51="","",IF($A52="",1,IF(BG52&lt;&gt;BG51,1,0)))</f>
        <v>0</v>
      </c>
      <c r="BJ51">
        <f>IF($A51="","",IF(BH51=1,$B51,BJ50))</f>
        <v>0</v>
      </c>
      <c r="BK51">
        <f>IF($A51="","",IF(BH51=1,$C51,MAX($C51,BK50)))</f>
        <v>0</v>
      </c>
      <c r="BL51">
        <f>IF($A51="","",IF(BH51=1,$D51,MIN($D51,BL50)))</f>
        <v>0</v>
      </c>
      <c r="BM51">
        <f>IF($A51="","",IF(BI51=1,F51,""))</f>
        <v>0</v>
      </c>
      <c r="BN51">
        <f>IF($A51="","",DATE(YEAR($A51),MONTH($A51),1))</f>
        <v>0</v>
      </c>
      <c r="BO51">
        <f>IF($A51="","",IF($A50="",1,IF(BN51&lt;&gt;BN50,1,0)))</f>
        <v>0</v>
      </c>
      <c r="BP51">
        <f>IF($A51="","",IF($A52="",1,IF(BN52&lt;&gt;BN51,1,0)))</f>
        <v>0</v>
      </c>
      <c r="BQ51">
        <f>IF($A51="","",IF(BO51=1,$B51,BQ50))</f>
        <v>0</v>
      </c>
      <c r="BR51">
        <f>IF($A51="","",IF(BO51=1,$C51,MAX($C51,BR50)))</f>
        <v>0</v>
      </c>
      <c r="BS51">
        <f>IF($A51="","",IF(BO51=1,$D51,MIN($D51,BS50)))</f>
        <v>0</v>
      </c>
      <c r="BT51">
        <f>IF($A51="","",IF(BP51=1,F51,""))</f>
        <v>0</v>
      </c>
    </row>
    <row r="52" spans="1:72">
      <c r="A52" s="27">
        <f>IF(Data!$A52="","",Data!$A52)</f>
        <v>0</v>
      </c>
      <c r="B52">
        <f>IF(Data!$B52="","",Data!$B52)</f>
        <v>0</v>
      </c>
      <c r="C52">
        <f>IF(Data!$C52="","",Data!$C52)</f>
        <v>0</v>
      </c>
      <c r="D52">
        <f>IF(Data!$D52="","",Data!$D52)</f>
        <v>0</v>
      </c>
      <c r="E52">
        <f>IF(Data!$E52="","",Data!$E52)</f>
        <v>0</v>
      </c>
      <c r="F52">
        <f>IF($E52="","",N(F51)+1)</f>
        <v>0</v>
      </c>
      <c r="G52">
        <f>IF(OR($E52="",$E51=""),"",LN($E52/$E51))</f>
        <v>0</v>
      </c>
      <c r="H52">
        <f>IF($E52="","",IF($E51="",$E52,$E52*0.0952380952+H51*0.9047619048))</f>
        <v>0</v>
      </c>
      <c r="I52">
        <f>IF($E52="","",IF($E51="",$E52,$E52*0.0392156863+I51*0.9607843137))</f>
        <v>0</v>
      </c>
      <c r="J52">
        <f>IF($E52="","",IF($E51="",$E52,$E52*0.0198019802+J51*0.9801980198))</f>
        <v>0</v>
      </c>
      <c r="K52">
        <f>IF($E52="","",IF($E51="",$E52,$E52*0.0099502488+K51*0.9900497512))</f>
        <v>0</v>
      </c>
      <c r="L52">
        <f>IF(OR($E52="",$E51=""),"",MAX($E52-$E51,0))</f>
        <v>0</v>
      </c>
      <c r="M52">
        <f>IF(OR($E52="",$E51=""),"",MAX($E51-$E52,0))</f>
        <v>0</v>
      </c>
      <c r="N52">
        <f>IF(COUNT($E$2:$E52)&lt;15,"",IF(AVERAGE($M$39:$M$52)=0,100,100-100/(1+AVERAGE($L$39:$L$52)/AVERAGE($M$39:$M$52))))</f>
        <v>0</v>
      </c>
      <c r="O52">
        <f>IF($E52="","",IF($E51="",$E52,$E52*0.1538461538+O51*0.8461538462))</f>
        <v>0</v>
      </c>
      <c r="P52">
        <f>IF($E52="","",IF($E51="",$E52,$E52*0.0740740741+P51*0.9259259259))</f>
        <v>0</v>
      </c>
      <c r="Q52">
        <f>IF(OR(O52="",P52=""),"",O52-P52)</f>
        <v>0</v>
      </c>
      <c r="R52">
        <f>IF(Q52="","",IF(R51="",Q52,Q52*0.2000000000+R51*0.8000000000))</f>
        <v>0</v>
      </c>
      <c r="S52">
        <f>IF(OR(Q52="",R52=""),"",Q52-R52)</f>
        <v>0</v>
      </c>
      <c r="T52">
        <f>IF(COUNT($E$2:$E52)&lt;14,"",MAX($C$39:$C$52))</f>
        <v>0</v>
      </c>
      <c r="U52">
        <f>IF(COUNT($E$2:$E52)&lt;14,"",MIN($D$39:$D$52))</f>
        <v>0</v>
      </c>
      <c r="V52">
        <f>IF(OR(T52="",U52="",T52=U52),"",100*($E52-U52)/(T52-U52))</f>
        <v>0</v>
      </c>
      <c r="W52">
        <f>IF(COUNT($V$50:$V$52)&lt;3,"",AVERAGE($V$50:$V$52))</f>
        <v>0</v>
      </c>
      <c r="X52">
        <f>IF(COUNT($N$39:$N$52)&lt;14,"",MIN($N$39:$N$52))</f>
        <v>0</v>
      </c>
      <c r="Y52">
        <f>IF(COUNT($N$39:$N$52)&lt;14,"",MAX($N$39:$N$52))</f>
        <v>0</v>
      </c>
      <c r="Z52">
        <f>IF(OR(N52="",X52="",Y52="",Y52=X52),"",100*(N52-X52)/(Y52-X52))</f>
        <v>0</v>
      </c>
      <c r="AA52">
        <f>IF(COUNT($Z$50:$Z$52)&lt;3,"",AVERAGE($Z$50:$Z$52))</f>
        <v>0</v>
      </c>
      <c r="AB52">
        <f>IF(COUNT($AA$50:$AA$52)&lt;3,"",AVERAGE($AA$50:$AA$52))</f>
        <v>0</v>
      </c>
      <c r="AC52">
        <f>IF($E52="","",MAX($C52-$D52,ABS($C52-$E51),ABS($D52-$E51)))</f>
        <v>0</v>
      </c>
      <c r="AD52">
        <f>IF(COUNT($E$2:$E52)&lt;15,"",AVERAGE($AC$39:$AC$52))</f>
        <v>0</v>
      </c>
      <c r="AE52">
        <f>IF(OR($E52="",$E51=""),"",IF(AND(($C52-$C51)&gt;($D51-$D52),($C52-$C51)&gt;0),$C52-$C51,0))</f>
        <v>0</v>
      </c>
      <c r="AF52">
        <f>IF(OR($E52="",$E51=""),"",IF(AND(($D51-$D52)&gt;($C52-$C51),($D51-$D52)&gt;0),$D51-$D52,0))</f>
        <v>0</v>
      </c>
      <c r="AG52">
        <f>IF(COUNT($E$2:$E52)&lt;15,"",IF(SUM($AC$39:$AC$52)=0,0,100*SUM($AE$39:$AE$52)/SUM($AC$39:$AC$52)))</f>
        <v>0</v>
      </c>
      <c r="AH52">
        <f>IF(COUNT($E$2:$E52)&lt;15,"",IF(SUM($AC$39:$AC$52)=0,0,100*SUM($AF$39:$AF$52)/SUM($AC$39:$AC$52)))</f>
        <v>0</v>
      </c>
      <c r="AI52">
        <f>IF(OR(AG52="",AH52=""),"",IF((AG52+AH52)=0,0,100*ABS(AG52-AH52)/(AG52+AH52)))</f>
        <v>0</v>
      </c>
      <c r="AJ52">
        <f>IF(COUNT($AI$39:$AI$52)&lt;14,"",AVERAGE($AI$39:$AI$52))</f>
        <v>0</v>
      </c>
      <c r="AK52">
        <f>IF(COUNT($E$2:$E52)&lt;20,"",AVERAGE($E$33:$E$52))</f>
        <v>0</v>
      </c>
      <c r="AL52">
        <f>IF(COUNT($E$2:$E52)&lt;20,"",STDEVP($E$33:$E$52))</f>
        <v>0</v>
      </c>
      <c r="AM52">
        <f>IF(AK52="","",AK52+2*AL52)</f>
        <v>0</v>
      </c>
      <c r="AN52">
        <f>IF(AK52="","",AK52-2*AL52)</f>
        <v>0</v>
      </c>
      <c r="AO52">
        <f>IF(OR(AM52="",AN52="",AM52=AN52),"",($E52-AN52)/(AM52-AN52))</f>
        <v>0</v>
      </c>
      <c r="AP52">
        <f>IF(OR(AM52="",AK52="",AK52=0),"",(AM52-AN52)/AK52)</f>
        <v>0</v>
      </c>
      <c r="AQ52">
        <f>IF(COUNT($E$2:$E52)&lt;20,"",MAX($C$33:$C$52))</f>
        <v>0</v>
      </c>
      <c r="AR52">
        <f>IF(COUNT($E$2:$E52)&lt;20,"",MIN($D$33:$D$52))</f>
        <v>0</v>
      </c>
      <c r="AS52">
        <f>IF(OR(AQ52="",AR52=""),"",(AQ52+AR52)/2)</f>
        <v>0</v>
      </c>
      <c r="AT52">
        <f>IF(COUNT($G$33:$G$52)&lt;20,"",STDEV($G$33:$G$52)*SQRT(252))</f>
        <v>0</v>
      </c>
      <c r="AU52">
        <f>IF(COUNT($E$2:$E52)&lt;9,"",(MAX($C$44:$C$52)+MIN($D$44:$D$52))/2)</f>
        <v>0</v>
      </c>
      <c r="AV52">
        <f>IF(COUNT($E$2:$E52)&lt;26,"",(MAX($C$27:$C$52)+MIN($D$27:$D$52))/2)</f>
        <v>0</v>
      </c>
      <c r="AW52">
        <f>IF(OR(AU52="",AV52=""),"",(AU52+AV52)/2)</f>
        <v>0</v>
      </c>
      <c r="AX52">
        <f>IF(COUNT($E$2:$E52)&lt;52,"",(MAX($C$2:$C$52)+MIN($D$2:$D$52))/2)</f>
        <v>0</v>
      </c>
      <c r="AY52">
        <f>IF(COUNT($E$2:$E52)&lt;20,"",MAX($C$2:$C$52))</f>
        <v>0</v>
      </c>
      <c r="AZ52">
        <f>IF(COUNT($E$2:$E52)&lt;20,"",MIN($D$2:$D$52))</f>
        <v>0</v>
      </c>
      <c r="BA52">
        <f>IF(COUNT($E$2:$E52)&lt;20,"",SLOPE($E$2:$E$52,$F$2:$F$52))</f>
        <v>0</v>
      </c>
      <c r="BB52">
        <f>IF(COUNT($E$2:$E52)&lt;20,"",INTERCEPT($E$2:$E$52,$F$2:$F$52))</f>
        <v>0</v>
      </c>
      <c r="BC52">
        <f>IF(OR(BA52="",BB52=""),"",BB52+BA52*F52)</f>
        <v>0</v>
      </c>
      <c r="BD52">
        <f>IF(COUNT($E$2:$E52)&lt;20,"",STEYX($E$2:$E$52,$F$2:$F$52))</f>
        <v>0</v>
      </c>
      <c r="BE52">
        <f>IF($E52="","",IF(AND(COUNT($E$53:$E$56)&gt;=4,$C52=MAX($C$48:$C$56)),$C52,""))</f>
        <v>0</v>
      </c>
      <c r="BF52">
        <f>IF($E52="","",IF(AND(COUNT($E$53:$E$56)&gt;=4,$D52=MIN($D$48:$D$56)),$D52,""))</f>
        <v>0</v>
      </c>
      <c r="BG52">
        <f>IF($A52="","",$A52-WEEKDAY($A52,2)+1)</f>
        <v>0</v>
      </c>
      <c r="BH52">
        <f>IF($A52="","",IF($A51="",1,IF(BG52&lt;&gt;BG51,1,0)))</f>
        <v>0</v>
      </c>
      <c r="BI52">
        <f>IF($A52="","",IF($A53="",1,IF(BG53&lt;&gt;BG52,1,0)))</f>
        <v>0</v>
      </c>
      <c r="BJ52">
        <f>IF($A52="","",IF(BH52=1,$B52,BJ51))</f>
        <v>0</v>
      </c>
      <c r="BK52">
        <f>IF($A52="","",IF(BH52=1,$C52,MAX($C52,BK51)))</f>
        <v>0</v>
      </c>
      <c r="BL52">
        <f>IF($A52="","",IF(BH52=1,$D52,MIN($D52,BL51)))</f>
        <v>0</v>
      </c>
      <c r="BM52">
        <f>IF($A52="","",IF(BI52=1,F52,""))</f>
        <v>0</v>
      </c>
      <c r="BN52">
        <f>IF($A52="","",DATE(YEAR($A52),MONTH($A52),1))</f>
        <v>0</v>
      </c>
      <c r="BO52">
        <f>IF($A52="","",IF($A51="",1,IF(BN52&lt;&gt;BN51,1,0)))</f>
        <v>0</v>
      </c>
      <c r="BP52">
        <f>IF($A52="","",IF($A53="",1,IF(BN53&lt;&gt;BN52,1,0)))</f>
        <v>0</v>
      </c>
      <c r="BQ52">
        <f>IF($A52="","",IF(BO52=1,$B52,BQ51))</f>
        <v>0</v>
      </c>
      <c r="BR52">
        <f>IF($A52="","",IF(BO52=1,$C52,MAX($C52,BR51)))</f>
        <v>0</v>
      </c>
      <c r="BS52">
        <f>IF($A52="","",IF(BO52=1,$D52,MIN($D52,BS51)))</f>
        <v>0</v>
      </c>
      <c r="BT52">
        <f>IF($A52="","",IF(BP52=1,F52,""))</f>
        <v>0</v>
      </c>
    </row>
    <row r="53" spans="1:72">
      <c r="A53" s="27">
        <f>IF(Data!$A53="","",Data!$A53)</f>
        <v>0</v>
      </c>
      <c r="B53">
        <f>IF(Data!$B53="","",Data!$B53)</f>
        <v>0</v>
      </c>
      <c r="C53">
        <f>IF(Data!$C53="","",Data!$C53)</f>
        <v>0</v>
      </c>
      <c r="D53">
        <f>IF(Data!$D53="","",Data!$D53)</f>
        <v>0</v>
      </c>
      <c r="E53">
        <f>IF(Data!$E53="","",Data!$E53)</f>
        <v>0</v>
      </c>
      <c r="F53">
        <f>IF($E53="","",N(F52)+1)</f>
        <v>0</v>
      </c>
      <c r="G53">
        <f>IF(OR($E53="",$E52=""),"",LN($E53/$E52))</f>
        <v>0</v>
      </c>
      <c r="H53">
        <f>IF($E53="","",IF($E52="",$E53,$E53*0.0952380952+H52*0.9047619048))</f>
        <v>0</v>
      </c>
      <c r="I53">
        <f>IF($E53="","",IF($E52="",$E53,$E53*0.0392156863+I52*0.9607843137))</f>
        <v>0</v>
      </c>
      <c r="J53">
        <f>IF($E53="","",IF($E52="",$E53,$E53*0.0198019802+J52*0.9801980198))</f>
        <v>0</v>
      </c>
      <c r="K53">
        <f>IF($E53="","",IF($E52="",$E53,$E53*0.0099502488+K52*0.9900497512))</f>
        <v>0</v>
      </c>
      <c r="L53">
        <f>IF(OR($E53="",$E52=""),"",MAX($E53-$E52,0))</f>
        <v>0</v>
      </c>
      <c r="M53">
        <f>IF(OR($E53="",$E52=""),"",MAX($E52-$E53,0))</f>
        <v>0</v>
      </c>
      <c r="N53">
        <f>IF(COUNT($E$2:$E53)&lt;15,"",IF(AVERAGE($M$40:$M$53)=0,100,100-100/(1+AVERAGE($L$40:$L$53)/AVERAGE($M$40:$M$53))))</f>
        <v>0</v>
      </c>
      <c r="O53">
        <f>IF($E53="","",IF($E52="",$E53,$E53*0.1538461538+O52*0.8461538462))</f>
        <v>0</v>
      </c>
      <c r="P53">
        <f>IF($E53="","",IF($E52="",$E53,$E53*0.0740740741+P52*0.9259259259))</f>
        <v>0</v>
      </c>
      <c r="Q53">
        <f>IF(OR(O53="",P53=""),"",O53-P53)</f>
        <v>0</v>
      </c>
      <c r="R53">
        <f>IF(Q53="","",IF(R52="",Q53,Q53*0.2000000000+R52*0.8000000000))</f>
        <v>0</v>
      </c>
      <c r="S53">
        <f>IF(OR(Q53="",R53=""),"",Q53-R53)</f>
        <v>0</v>
      </c>
      <c r="T53">
        <f>IF(COUNT($E$2:$E53)&lt;14,"",MAX($C$40:$C$53))</f>
        <v>0</v>
      </c>
      <c r="U53">
        <f>IF(COUNT($E$2:$E53)&lt;14,"",MIN($D$40:$D$53))</f>
        <v>0</v>
      </c>
      <c r="V53">
        <f>IF(OR(T53="",U53="",T53=U53),"",100*($E53-U53)/(T53-U53))</f>
        <v>0</v>
      </c>
      <c r="W53">
        <f>IF(COUNT($V$51:$V$53)&lt;3,"",AVERAGE($V$51:$V$53))</f>
        <v>0</v>
      </c>
      <c r="X53">
        <f>IF(COUNT($N$40:$N$53)&lt;14,"",MIN($N$40:$N$53))</f>
        <v>0</v>
      </c>
      <c r="Y53">
        <f>IF(COUNT($N$40:$N$53)&lt;14,"",MAX($N$40:$N$53))</f>
        <v>0</v>
      </c>
      <c r="Z53">
        <f>IF(OR(N53="",X53="",Y53="",Y53=X53),"",100*(N53-X53)/(Y53-X53))</f>
        <v>0</v>
      </c>
      <c r="AA53">
        <f>IF(COUNT($Z$51:$Z$53)&lt;3,"",AVERAGE($Z$51:$Z$53))</f>
        <v>0</v>
      </c>
      <c r="AB53">
        <f>IF(COUNT($AA$51:$AA$53)&lt;3,"",AVERAGE($AA$51:$AA$53))</f>
        <v>0</v>
      </c>
      <c r="AC53">
        <f>IF($E53="","",MAX($C53-$D53,ABS($C53-$E52),ABS($D53-$E52)))</f>
        <v>0</v>
      </c>
      <c r="AD53">
        <f>IF(COUNT($E$2:$E53)&lt;15,"",AVERAGE($AC$40:$AC$53))</f>
        <v>0</v>
      </c>
      <c r="AE53">
        <f>IF(OR($E53="",$E52=""),"",IF(AND(($C53-$C52)&gt;($D52-$D53),($C53-$C52)&gt;0),$C53-$C52,0))</f>
        <v>0</v>
      </c>
      <c r="AF53">
        <f>IF(OR($E53="",$E52=""),"",IF(AND(($D52-$D53)&gt;($C53-$C52),($D52-$D53)&gt;0),$D52-$D53,0))</f>
        <v>0</v>
      </c>
      <c r="AG53">
        <f>IF(COUNT($E$2:$E53)&lt;15,"",IF(SUM($AC$40:$AC$53)=0,0,100*SUM($AE$40:$AE$53)/SUM($AC$40:$AC$53)))</f>
        <v>0</v>
      </c>
      <c r="AH53">
        <f>IF(COUNT($E$2:$E53)&lt;15,"",IF(SUM($AC$40:$AC$53)=0,0,100*SUM($AF$40:$AF$53)/SUM($AC$40:$AC$53)))</f>
        <v>0</v>
      </c>
      <c r="AI53">
        <f>IF(OR(AG53="",AH53=""),"",IF((AG53+AH53)=0,0,100*ABS(AG53-AH53)/(AG53+AH53)))</f>
        <v>0</v>
      </c>
      <c r="AJ53">
        <f>IF(COUNT($AI$40:$AI$53)&lt;14,"",AVERAGE($AI$40:$AI$53))</f>
        <v>0</v>
      </c>
      <c r="AK53">
        <f>IF(COUNT($E$2:$E53)&lt;20,"",AVERAGE($E$34:$E$53))</f>
        <v>0</v>
      </c>
      <c r="AL53">
        <f>IF(COUNT($E$2:$E53)&lt;20,"",STDEVP($E$34:$E$53))</f>
        <v>0</v>
      </c>
      <c r="AM53">
        <f>IF(AK53="","",AK53+2*AL53)</f>
        <v>0</v>
      </c>
      <c r="AN53">
        <f>IF(AK53="","",AK53-2*AL53)</f>
        <v>0</v>
      </c>
      <c r="AO53">
        <f>IF(OR(AM53="",AN53="",AM53=AN53),"",($E53-AN53)/(AM53-AN53))</f>
        <v>0</v>
      </c>
      <c r="AP53">
        <f>IF(OR(AM53="",AK53="",AK53=0),"",(AM53-AN53)/AK53)</f>
        <v>0</v>
      </c>
      <c r="AQ53">
        <f>IF(COUNT($E$2:$E53)&lt;20,"",MAX($C$34:$C$53))</f>
        <v>0</v>
      </c>
      <c r="AR53">
        <f>IF(COUNT($E$2:$E53)&lt;20,"",MIN($D$34:$D$53))</f>
        <v>0</v>
      </c>
      <c r="AS53">
        <f>IF(OR(AQ53="",AR53=""),"",(AQ53+AR53)/2)</f>
        <v>0</v>
      </c>
      <c r="AT53">
        <f>IF(COUNT($G$34:$G$53)&lt;20,"",STDEV($G$34:$G$53)*SQRT(252))</f>
        <v>0</v>
      </c>
      <c r="AU53">
        <f>IF(COUNT($E$2:$E53)&lt;9,"",(MAX($C$45:$C$53)+MIN($D$45:$D$53))/2)</f>
        <v>0</v>
      </c>
      <c r="AV53">
        <f>IF(COUNT($E$2:$E53)&lt;26,"",(MAX($C$28:$C$53)+MIN($D$28:$D$53))/2)</f>
        <v>0</v>
      </c>
      <c r="AW53">
        <f>IF(OR(AU53="",AV53=""),"",(AU53+AV53)/2)</f>
        <v>0</v>
      </c>
      <c r="AX53">
        <f>IF(COUNT($E$2:$E53)&lt;52,"",(MAX($C$2:$C$53)+MIN($D$2:$D$53))/2)</f>
        <v>0</v>
      </c>
      <c r="AY53">
        <f>IF(COUNT($E$2:$E53)&lt;20,"",MAX($C$2:$C$53))</f>
        <v>0</v>
      </c>
      <c r="AZ53">
        <f>IF(COUNT($E$2:$E53)&lt;20,"",MIN($D$2:$D$53))</f>
        <v>0</v>
      </c>
      <c r="BA53">
        <f>IF(COUNT($E$2:$E53)&lt;20,"",SLOPE($E$2:$E$53,$F$2:$F$53))</f>
        <v>0</v>
      </c>
      <c r="BB53">
        <f>IF(COUNT($E$2:$E53)&lt;20,"",INTERCEPT($E$2:$E$53,$F$2:$F$53))</f>
        <v>0</v>
      </c>
      <c r="BC53">
        <f>IF(OR(BA53="",BB53=""),"",BB53+BA53*F53)</f>
        <v>0</v>
      </c>
      <c r="BD53">
        <f>IF(COUNT($E$2:$E53)&lt;20,"",STEYX($E$2:$E$53,$F$2:$F$53))</f>
        <v>0</v>
      </c>
      <c r="BE53">
        <f>IF($E53="","",IF(AND(COUNT($E$54:$E$57)&gt;=4,$C53=MAX($C$49:$C$57)),$C53,""))</f>
        <v>0</v>
      </c>
      <c r="BF53">
        <f>IF($E53="","",IF(AND(COUNT($E$54:$E$57)&gt;=4,$D53=MIN($D$49:$D$57)),$D53,""))</f>
        <v>0</v>
      </c>
      <c r="BG53">
        <f>IF($A53="","",$A53-WEEKDAY($A53,2)+1)</f>
        <v>0</v>
      </c>
      <c r="BH53">
        <f>IF($A53="","",IF($A52="",1,IF(BG53&lt;&gt;BG52,1,0)))</f>
        <v>0</v>
      </c>
      <c r="BI53">
        <f>IF($A53="","",IF($A54="",1,IF(BG54&lt;&gt;BG53,1,0)))</f>
        <v>0</v>
      </c>
      <c r="BJ53">
        <f>IF($A53="","",IF(BH53=1,$B53,BJ52))</f>
        <v>0</v>
      </c>
      <c r="BK53">
        <f>IF($A53="","",IF(BH53=1,$C53,MAX($C53,BK52)))</f>
        <v>0</v>
      </c>
      <c r="BL53">
        <f>IF($A53="","",IF(BH53=1,$D53,MIN($D53,BL52)))</f>
        <v>0</v>
      </c>
      <c r="BM53">
        <f>IF($A53="","",IF(BI53=1,F53,""))</f>
        <v>0</v>
      </c>
      <c r="BN53">
        <f>IF($A53="","",DATE(YEAR($A53),MONTH($A53),1))</f>
        <v>0</v>
      </c>
      <c r="BO53">
        <f>IF($A53="","",IF($A52="",1,IF(BN53&lt;&gt;BN52,1,0)))</f>
        <v>0</v>
      </c>
      <c r="BP53">
        <f>IF($A53="","",IF($A54="",1,IF(BN54&lt;&gt;BN53,1,0)))</f>
        <v>0</v>
      </c>
      <c r="BQ53">
        <f>IF($A53="","",IF(BO53=1,$B53,BQ52))</f>
        <v>0</v>
      </c>
      <c r="BR53">
        <f>IF($A53="","",IF(BO53=1,$C53,MAX($C53,BR52)))</f>
        <v>0</v>
      </c>
      <c r="BS53">
        <f>IF($A53="","",IF(BO53=1,$D53,MIN($D53,BS52)))</f>
        <v>0</v>
      </c>
      <c r="BT53">
        <f>IF($A53="","",IF(BP53=1,F53,""))</f>
        <v>0</v>
      </c>
    </row>
    <row r="54" spans="1:72">
      <c r="A54" s="27">
        <f>IF(Data!$A54="","",Data!$A54)</f>
        <v>0</v>
      </c>
      <c r="B54">
        <f>IF(Data!$B54="","",Data!$B54)</f>
        <v>0</v>
      </c>
      <c r="C54">
        <f>IF(Data!$C54="","",Data!$C54)</f>
        <v>0</v>
      </c>
      <c r="D54">
        <f>IF(Data!$D54="","",Data!$D54)</f>
        <v>0</v>
      </c>
      <c r="E54">
        <f>IF(Data!$E54="","",Data!$E54)</f>
        <v>0</v>
      </c>
      <c r="F54">
        <f>IF($E54="","",N(F53)+1)</f>
        <v>0</v>
      </c>
      <c r="G54">
        <f>IF(OR($E54="",$E53=""),"",LN($E54/$E53))</f>
        <v>0</v>
      </c>
      <c r="H54">
        <f>IF($E54="","",IF($E53="",$E54,$E54*0.0952380952+H53*0.9047619048))</f>
        <v>0</v>
      </c>
      <c r="I54">
        <f>IF($E54="","",IF($E53="",$E54,$E54*0.0392156863+I53*0.9607843137))</f>
        <v>0</v>
      </c>
      <c r="J54">
        <f>IF($E54="","",IF($E53="",$E54,$E54*0.0198019802+J53*0.9801980198))</f>
        <v>0</v>
      </c>
      <c r="K54">
        <f>IF($E54="","",IF($E53="",$E54,$E54*0.0099502488+K53*0.9900497512))</f>
        <v>0</v>
      </c>
      <c r="L54">
        <f>IF(OR($E54="",$E53=""),"",MAX($E54-$E53,0))</f>
        <v>0</v>
      </c>
      <c r="M54">
        <f>IF(OR($E54="",$E53=""),"",MAX($E53-$E54,0))</f>
        <v>0</v>
      </c>
      <c r="N54">
        <f>IF(COUNT($E$2:$E54)&lt;15,"",IF(AVERAGE($M$41:$M$54)=0,100,100-100/(1+AVERAGE($L$41:$L$54)/AVERAGE($M$41:$M$54))))</f>
        <v>0</v>
      </c>
      <c r="O54">
        <f>IF($E54="","",IF($E53="",$E54,$E54*0.1538461538+O53*0.8461538462))</f>
        <v>0</v>
      </c>
      <c r="P54">
        <f>IF($E54="","",IF($E53="",$E54,$E54*0.0740740741+P53*0.9259259259))</f>
        <v>0</v>
      </c>
      <c r="Q54">
        <f>IF(OR(O54="",P54=""),"",O54-P54)</f>
        <v>0</v>
      </c>
      <c r="R54">
        <f>IF(Q54="","",IF(R53="",Q54,Q54*0.2000000000+R53*0.8000000000))</f>
        <v>0</v>
      </c>
      <c r="S54">
        <f>IF(OR(Q54="",R54=""),"",Q54-R54)</f>
        <v>0</v>
      </c>
      <c r="T54">
        <f>IF(COUNT($E$2:$E54)&lt;14,"",MAX($C$41:$C$54))</f>
        <v>0</v>
      </c>
      <c r="U54">
        <f>IF(COUNT($E$2:$E54)&lt;14,"",MIN($D$41:$D$54))</f>
        <v>0</v>
      </c>
      <c r="V54">
        <f>IF(OR(T54="",U54="",T54=U54),"",100*($E54-U54)/(T54-U54))</f>
        <v>0</v>
      </c>
      <c r="W54">
        <f>IF(COUNT($V$52:$V$54)&lt;3,"",AVERAGE($V$52:$V$54))</f>
        <v>0</v>
      </c>
      <c r="X54">
        <f>IF(COUNT($N$41:$N$54)&lt;14,"",MIN($N$41:$N$54))</f>
        <v>0</v>
      </c>
      <c r="Y54">
        <f>IF(COUNT($N$41:$N$54)&lt;14,"",MAX($N$41:$N$54))</f>
        <v>0</v>
      </c>
      <c r="Z54">
        <f>IF(OR(N54="",X54="",Y54="",Y54=X54),"",100*(N54-X54)/(Y54-X54))</f>
        <v>0</v>
      </c>
      <c r="AA54">
        <f>IF(COUNT($Z$52:$Z$54)&lt;3,"",AVERAGE($Z$52:$Z$54))</f>
        <v>0</v>
      </c>
      <c r="AB54">
        <f>IF(COUNT($AA$52:$AA$54)&lt;3,"",AVERAGE($AA$52:$AA$54))</f>
        <v>0</v>
      </c>
      <c r="AC54">
        <f>IF($E54="","",MAX($C54-$D54,ABS($C54-$E53),ABS($D54-$E53)))</f>
        <v>0</v>
      </c>
      <c r="AD54">
        <f>IF(COUNT($E$2:$E54)&lt;15,"",AVERAGE($AC$41:$AC$54))</f>
        <v>0</v>
      </c>
      <c r="AE54">
        <f>IF(OR($E54="",$E53=""),"",IF(AND(($C54-$C53)&gt;($D53-$D54),($C54-$C53)&gt;0),$C54-$C53,0))</f>
        <v>0</v>
      </c>
      <c r="AF54">
        <f>IF(OR($E54="",$E53=""),"",IF(AND(($D53-$D54)&gt;($C54-$C53),($D53-$D54)&gt;0),$D53-$D54,0))</f>
        <v>0</v>
      </c>
      <c r="AG54">
        <f>IF(COUNT($E$2:$E54)&lt;15,"",IF(SUM($AC$41:$AC$54)=0,0,100*SUM($AE$41:$AE$54)/SUM($AC$41:$AC$54)))</f>
        <v>0</v>
      </c>
      <c r="AH54">
        <f>IF(COUNT($E$2:$E54)&lt;15,"",IF(SUM($AC$41:$AC$54)=0,0,100*SUM($AF$41:$AF$54)/SUM($AC$41:$AC$54)))</f>
        <v>0</v>
      </c>
      <c r="AI54">
        <f>IF(OR(AG54="",AH54=""),"",IF((AG54+AH54)=0,0,100*ABS(AG54-AH54)/(AG54+AH54)))</f>
        <v>0</v>
      </c>
      <c r="AJ54">
        <f>IF(COUNT($AI$41:$AI$54)&lt;14,"",AVERAGE($AI$41:$AI$54))</f>
        <v>0</v>
      </c>
      <c r="AK54">
        <f>IF(COUNT($E$2:$E54)&lt;20,"",AVERAGE($E$35:$E$54))</f>
        <v>0</v>
      </c>
      <c r="AL54">
        <f>IF(COUNT($E$2:$E54)&lt;20,"",STDEVP($E$35:$E$54))</f>
        <v>0</v>
      </c>
      <c r="AM54">
        <f>IF(AK54="","",AK54+2*AL54)</f>
        <v>0</v>
      </c>
      <c r="AN54">
        <f>IF(AK54="","",AK54-2*AL54)</f>
        <v>0</v>
      </c>
      <c r="AO54">
        <f>IF(OR(AM54="",AN54="",AM54=AN54),"",($E54-AN54)/(AM54-AN54))</f>
        <v>0</v>
      </c>
      <c r="AP54">
        <f>IF(OR(AM54="",AK54="",AK54=0),"",(AM54-AN54)/AK54)</f>
        <v>0</v>
      </c>
      <c r="AQ54">
        <f>IF(COUNT($E$2:$E54)&lt;20,"",MAX($C$35:$C$54))</f>
        <v>0</v>
      </c>
      <c r="AR54">
        <f>IF(COUNT($E$2:$E54)&lt;20,"",MIN($D$35:$D$54))</f>
        <v>0</v>
      </c>
      <c r="AS54">
        <f>IF(OR(AQ54="",AR54=""),"",(AQ54+AR54)/2)</f>
        <v>0</v>
      </c>
      <c r="AT54">
        <f>IF(COUNT($G$35:$G$54)&lt;20,"",STDEV($G$35:$G$54)*SQRT(252))</f>
        <v>0</v>
      </c>
      <c r="AU54">
        <f>IF(COUNT($E$2:$E54)&lt;9,"",(MAX($C$46:$C$54)+MIN($D$46:$D$54))/2)</f>
        <v>0</v>
      </c>
      <c r="AV54">
        <f>IF(COUNT($E$2:$E54)&lt;26,"",(MAX($C$29:$C$54)+MIN($D$29:$D$54))/2)</f>
        <v>0</v>
      </c>
      <c r="AW54">
        <f>IF(OR(AU54="",AV54=""),"",(AU54+AV54)/2)</f>
        <v>0</v>
      </c>
      <c r="AX54">
        <f>IF(COUNT($E$2:$E54)&lt;52,"",(MAX($C$3:$C$54)+MIN($D$3:$D$54))/2)</f>
        <v>0</v>
      </c>
      <c r="AY54">
        <f>IF(COUNT($E$2:$E54)&lt;20,"",MAX($C$2:$C$54))</f>
        <v>0</v>
      </c>
      <c r="AZ54">
        <f>IF(COUNT($E$2:$E54)&lt;20,"",MIN($D$2:$D$54))</f>
        <v>0</v>
      </c>
      <c r="BA54">
        <f>IF(COUNT($E$2:$E54)&lt;20,"",SLOPE($E$2:$E$54,$F$2:$F$54))</f>
        <v>0</v>
      </c>
      <c r="BB54">
        <f>IF(COUNT($E$2:$E54)&lt;20,"",INTERCEPT($E$2:$E$54,$F$2:$F$54))</f>
        <v>0</v>
      </c>
      <c r="BC54">
        <f>IF(OR(BA54="",BB54=""),"",BB54+BA54*F54)</f>
        <v>0</v>
      </c>
      <c r="BD54">
        <f>IF(COUNT($E$2:$E54)&lt;20,"",STEYX($E$2:$E$54,$F$2:$F$54))</f>
        <v>0</v>
      </c>
      <c r="BE54">
        <f>IF($E54="","",IF(AND(COUNT($E$55:$E$58)&gt;=4,$C54=MAX($C$50:$C$58)),$C54,""))</f>
        <v>0</v>
      </c>
      <c r="BF54">
        <f>IF($E54="","",IF(AND(COUNT($E$55:$E$58)&gt;=4,$D54=MIN($D$50:$D$58)),$D54,""))</f>
        <v>0</v>
      </c>
      <c r="BG54">
        <f>IF($A54="","",$A54-WEEKDAY($A54,2)+1)</f>
        <v>0</v>
      </c>
      <c r="BH54">
        <f>IF($A54="","",IF($A53="",1,IF(BG54&lt;&gt;BG53,1,0)))</f>
        <v>0</v>
      </c>
      <c r="BI54">
        <f>IF($A54="","",IF($A55="",1,IF(BG55&lt;&gt;BG54,1,0)))</f>
        <v>0</v>
      </c>
      <c r="BJ54">
        <f>IF($A54="","",IF(BH54=1,$B54,BJ53))</f>
        <v>0</v>
      </c>
      <c r="BK54">
        <f>IF($A54="","",IF(BH54=1,$C54,MAX($C54,BK53)))</f>
        <v>0</v>
      </c>
      <c r="BL54">
        <f>IF($A54="","",IF(BH54=1,$D54,MIN($D54,BL53)))</f>
        <v>0</v>
      </c>
      <c r="BM54">
        <f>IF($A54="","",IF(BI54=1,F54,""))</f>
        <v>0</v>
      </c>
      <c r="BN54">
        <f>IF($A54="","",DATE(YEAR($A54),MONTH($A54),1))</f>
        <v>0</v>
      </c>
      <c r="BO54">
        <f>IF($A54="","",IF($A53="",1,IF(BN54&lt;&gt;BN53,1,0)))</f>
        <v>0</v>
      </c>
      <c r="BP54">
        <f>IF($A54="","",IF($A55="",1,IF(BN55&lt;&gt;BN54,1,0)))</f>
        <v>0</v>
      </c>
      <c r="BQ54">
        <f>IF($A54="","",IF(BO54=1,$B54,BQ53))</f>
        <v>0</v>
      </c>
      <c r="BR54">
        <f>IF($A54="","",IF(BO54=1,$C54,MAX($C54,BR53)))</f>
        <v>0</v>
      </c>
      <c r="BS54">
        <f>IF($A54="","",IF(BO54=1,$D54,MIN($D54,BS53)))</f>
        <v>0</v>
      </c>
      <c r="BT54">
        <f>IF($A54="","",IF(BP54=1,F54,""))</f>
        <v>0</v>
      </c>
    </row>
    <row r="55" spans="1:72">
      <c r="A55" s="27">
        <f>IF(Data!$A55="","",Data!$A55)</f>
        <v>0</v>
      </c>
      <c r="B55">
        <f>IF(Data!$B55="","",Data!$B55)</f>
        <v>0</v>
      </c>
      <c r="C55">
        <f>IF(Data!$C55="","",Data!$C55)</f>
        <v>0</v>
      </c>
      <c r="D55">
        <f>IF(Data!$D55="","",Data!$D55)</f>
        <v>0</v>
      </c>
      <c r="E55">
        <f>IF(Data!$E55="","",Data!$E55)</f>
        <v>0</v>
      </c>
      <c r="F55">
        <f>IF($E55="","",N(F54)+1)</f>
        <v>0</v>
      </c>
      <c r="G55">
        <f>IF(OR($E55="",$E54=""),"",LN($E55/$E54))</f>
        <v>0</v>
      </c>
      <c r="H55">
        <f>IF($E55="","",IF($E54="",$E55,$E55*0.0952380952+H54*0.9047619048))</f>
        <v>0</v>
      </c>
      <c r="I55">
        <f>IF($E55="","",IF($E54="",$E55,$E55*0.0392156863+I54*0.9607843137))</f>
        <v>0</v>
      </c>
      <c r="J55">
        <f>IF($E55="","",IF($E54="",$E55,$E55*0.0198019802+J54*0.9801980198))</f>
        <v>0</v>
      </c>
      <c r="K55">
        <f>IF($E55="","",IF($E54="",$E55,$E55*0.0099502488+K54*0.9900497512))</f>
        <v>0</v>
      </c>
      <c r="L55">
        <f>IF(OR($E55="",$E54=""),"",MAX($E55-$E54,0))</f>
        <v>0</v>
      </c>
      <c r="M55">
        <f>IF(OR($E55="",$E54=""),"",MAX($E54-$E55,0))</f>
        <v>0</v>
      </c>
      <c r="N55">
        <f>IF(COUNT($E$2:$E55)&lt;15,"",IF(AVERAGE($M$42:$M$55)=0,100,100-100/(1+AVERAGE($L$42:$L$55)/AVERAGE($M$42:$M$55))))</f>
        <v>0</v>
      </c>
      <c r="O55">
        <f>IF($E55="","",IF($E54="",$E55,$E55*0.1538461538+O54*0.8461538462))</f>
        <v>0</v>
      </c>
      <c r="P55">
        <f>IF($E55="","",IF($E54="",$E55,$E55*0.0740740741+P54*0.9259259259))</f>
        <v>0</v>
      </c>
      <c r="Q55">
        <f>IF(OR(O55="",P55=""),"",O55-P55)</f>
        <v>0</v>
      </c>
      <c r="R55">
        <f>IF(Q55="","",IF(R54="",Q55,Q55*0.2000000000+R54*0.8000000000))</f>
        <v>0</v>
      </c>
      <c r="S55">
        <f>IF(OR(Q55="",R55=""),"",Q55-R55)</f>
        <v>0</v>
      </c>
      <c r="T55">
        <f>IF(COUNT($E$2:$E55)&lt;14,"",MAX($C$42:$C$55))</f>
        <v>0</v>
      </c>
      <c r="U55">
        <f>IF(COUNT($E$2:$E55)&lt;14,"",MIN($D$42:$D$55))</f>
        <v>0</v>
      </c>
      <c r="V55">
        <f>IF(OR(T55="",U55="",T55=U55),"",100*($E55-U55)/(T55-U55))</f>
        <v>0</v>
      </c>
      <c r="W55">
        <f>IF(COUNT($V$53:$V$55)&lt;3,"",AVERAGE($V$53:$V$55))</f>
        <v>0</v>
      </c>
      <c r="X55">
        <f>IF(COUNT($N$42:$N$55)&lt;14,"",MIN($N$42:$N$55))</f>
        <v>0</v>
      </c>
      <c r="Y55">
        <f>IF(COUNT($N$42:$N$55)&lt;14,"",MAX($N$42:$N$55))</f>
        <v>0</v>
      </c>
      <c r="Z55">
        <f>IF(OR(N55="",X55="",Y55="",Y55=X55),"",100*(N55-X55)/(Y55-X55))</f>
        <v>0</v>
      </c>
      <c r="AA55">
        <f>IF(COUNT($Z$53:$Z$55)&lt;3,"",AVERAGE($Z$53:$Z$55))</f>
        <v>0</v>
      </c>
      <c r="AB55">
        <f>IF(COUNT($AA$53:$AA$55)&lt;3,"",AVERAGE($AA$53:$AA$55))</f>
        <v>0</v>
      </c>
      <c r="AC55">
        <f>IF($E55="","",MAX($C55-$D55,ABS($C55-$E54),ABS($D55-$E54)))</f>
        <v>0</v>
      </c>
      <c r="AD55">
        <f>IF(COUNT($E$2:$E55)&lt;15,"",AVERAGE($AC$42:$AC$55))</f>
        <v>0</v>
      </c>
      <c r="AE55">
        <f>IF(OR($E55="",$E54=""),"",IF(AND(($C55-$C54)&gt;($D54-$D55),($C55-$C54)&gt;0),$C55-$C54,0))</f>
        <v>0</v>
      </c>
      <c r="AF55">
        <f>IF(OR($E55="",$E54=""),"",IF(AND(($D54-$D55)&gt;($C55-$C54),($D54-$D55)&gt;0),$D54-$D55,0))</f>
        <v>0</v>
      </c>
      <c r="AG55">
        <f>IF(COUNT($E$2:$E55)&lt;15,"",IF(SUM($AC$42:$AC$55)=0,0,100*SUM($AE$42:$AE$55)/SUM($AC$42:$AC$55)))</f>
        <v>0</v>
      </c>
      <c r="AH55">
        <f>IF(COUNT($E$2:$E55)&lt;15,"",IF(SUM($AC$42:$AC$55)=0,0,100*SUM($AF$42:$AF$55)/SUM($AC$42:$AC$55)))</f>
        <v>0</v>
      </c>
      <c r="AI55">
        <f>IF(OR(AG55="",AH55=""),"",IF((AG55+AH55)=0,0,100*ABS(AG55-AH55)/(AG55+AH55)))</f>
        <v>0</v>
      </c>
      <c r="AJ55">
        <f>IF(COUNT($AI$42:$AI$55)&lt;14,"",AVERAGE($AI$42:$AI$55))</f>
        <v>0</v>
      </c>
      <c r="AK55">
        <f>IF(COUNT($E$2:$E55)&lt;20,"",AVERAGE($E$36:$E$55))</f>
        <v>0</v>
      </c>
      <c r="AL55">
        <f>IF(COUNT($E$2:$E55)&lt;20,"",STDEVP($E$36:$E$55))</f>
        <v>0</v>
      </c>
      <c r="AM55">
        <f>IF(AK55="","",AK55+2*AL55)</f>
        <v>0</v>
      </c>
      <c r="AN55">
        <f>IF(AK55="","",AK55-2*AL55)</f>
        <v>0</v>
      </c>
      <c r="AO55">
        <f>IF(OR(AM55="",AN55="",AM55=AN55),"",($E55-AN55)/(AM55-AN55))</f>
        <v>0</v>
      </c>
      <c r="AP55">
        <f>IF(OR(AM55="",AK55="",AK55=0),"",(AM55-AN55)/AK55)</f>
        <v>0</v>
      </c>
      <c r="AQ55">
        <f>IF(COUNT($E$2:$E55)&lt;20,"",MAX($C$36:$C$55))</f>
        <v>0</v>
      </c>
      <c r="AR55">
        <f>IF(COUNT($E$2:$E55)&lt;20,"",MIN($D$36:$D$55))</f>
        <v>0</v>
      </c>
      <c r="AS55">
        <f>IF(OR(AQ55="",AR55=""),"",(AQ55+AR55)/2)</f>
        <v>0</v>
      </c>
      <c r="AT55">
        <f>IF(COUNT($G$36:$G$55)&lt;20,"",STDEV($G$36:$G$55)*SQRT(252))</f>
        <v>0</v>
      </c>
      <c r="AU55">
        <f>IF(COUNT($E$2:$E55)&lt;9,"",(MAX($C$47:$C$55)+MIN($D$47:$D$55))/2)</f>
        <v>0</v>
      </c>
      <c r="AV55">
        <f>IF(COUNT($E$2:$E55)&lt;26,"",(MAX($C$30:$C$55)+MIN($D$30:$D$55))/2)</f>
        <v>0</v>
      </c>
      <c r="AW55">
        <f>IF(OR(AU55="",AV55=""),"",(AU55+AV55)/2)</f>
        <v>0</v>
      </c>
      <c r="AX55">
        <f>IF(COUNT($E$2:$E55)&lt;52,"",(MAX($C$4:$C$55)+MIN($D$4:$D$55))/2)</f>
        <v>0</v>
      </c>
      <c r="AY55">
        <f>IF(COUNT($E$2:$E55)&lt;20,"",MAX($C$2:$C$55))</f>
        <v>0</v>
      </c>
      <c r="AZ55">
        <f>IF(COUNT($E$2:$E55)&lt;20,"",MIN($D$2:$D$55))</f>
        <v>0</v>
      </c>
      <c r="BA55">
        <f>IF(COUNT($E$2:$E55)&lt;20,"",SLOPE($E$2:$E$55,$F$2:$F$55))</f>
        <v>0</v>
      </c>
      <c r="BB55">
        <f>IF(COUNT($E$2:$E55)&lt;20,"",INTERCEPT($E$2:$E$55,$F$2:$F$55))</f>
        <v>0</v>
      </c>
      <c r="BC55">
        <f>IF(OR(BA55="",BB55=""),"",BB55+BA55*F55)</f>
        <v>0</v>
      </c>
      <c r="BD55">
        <f>IF(COUNT($E$2:$E55)&lt;20,"",STEYX($E$2:$E$55,$F$2:$F$55))</f>
        <v>0</v>
      </c>
      <c r="BE55">
        <f>IF($E55="","",IF(AND(COUNT($E$56:$E$59)&gt;=4,$C55=MAX($C$51:$C$59)),$C55,""))</f>
        <v>0</v>
      </c>
      <c r="BF55">
        <f>IF($E55="","",IF(AND(COUNT($E$56:$E$59)&gt;=4,$D55=MIN($D$51:$D$59)),$D55,""))</f>
        <v>0</v>
      </c>
      <c r="BG55">
        <f>IF($A55="","",$A55-WEEKDAY($A55,2)+1)</f>
        <v>0</v>
      </c>
      <c r="BH55">
        <f>IF($A55="","",IF($A54="",1,IF(BG55&lt;&gt;BG54,1,0)))</f>
        <v>0</v>
      </c>
      <c r="BI55">
        <f>IF($A55="","",IF($A56="",1,IF(BG56&lt;&gt;BG55,1,0)))</f>
        <v>0</v>
      </c>
      <c r="BJ55">
        <f>IF($A55="","",IF(BH55=1,$B55,BJ54))</f>
        <v>0</v>
      </c>
      <c r="BK55">
        <f>IF($A55="","",IF(BH55=1,$C55,MAX($C55,BK54)))</f>
        <v>0</v>
      </c>
      <c r="BL55">
        <f>IF($A55="","",IF(BH55=1,$D55,MIN($D55,BL54)))</f>
        <v>0</v>
      </c>
      <c r="BM55">
        <f>IF($A55="","",IF(BI55=1,F55,""))</f>
        <v>0</v>
      </c>
      <c r="BN55">
        <f>IF($A55="","",DATE(YEAR($A55),MONTH($A55),1))</f>
        <v>0</v>
      </c>
      <c r="BO55">
        <f>IF($A55="","",IF($A54="",1,IF(BN55&lt;&gt;BN54,1,0)))</f>
        <v>0</v>
      </c>
      <c r="BP55">
        <f>IF($A55="","",IF($A56="",1,IF(BN56&lt;&gt;BN55,1,0)))</f>
        <v>0</v>
      </c>
      <c r="BQ55">
        <f>IF($A55="","",IF(BO55=1,$B55,BQ54))</f>
        <v>0</v>
      </c>
      <c r="BR55">
        <f>IF($A55="","",IF(BO55=1,$C55,MAX($C55,BR54)))</f>
        <v>0</v>
      </c>
      <c r="BS55">
        <f>IF($A55="","",IF(BO55=1,$D55,MIN($D55,BS54)))</f>
        <v>0</v>
      </c>
      <c r="BT55">
        <f>IF($A55="","",IF(BP55=1,F55,""))</f>
        <v>0</v>
      </c>
    </row>
    <row r="56" spans="1:72">
      <c r="A56" s="27">
        <f>IF(Data!$A56="","",Data!$A56)</f>
        <v>0</v>
      </c>
      <c r="B56">
        <f>IF(Data!$B56="","",Data!$B56)</f>
        <v>0</v>
      </c>
      <c r="C56">
        <f>IF(Data!$C56="","",Data!$C56)</f>
        <v>0</v>
      </c>
      <c r="D56">
        <f>IF(Data!$D56="","",Data!$D56)</f>
        <v>0</v>
      </c>
      <c r="E56">
        <f>IF(Data!$E56="","",Data!$E56)</f>
        <v>0</v>
      </c>
      <c r="F56">
        <f>IF($E56="","",N(F55)+1)</f>
        <v>0</v>
      </c>
      <c r="G56">
        <f>IF(OR($E56="",$E55=""),"",LN($E56/$E55))</f>
        <v>0</v>
      </c>
      <c r="H56">
        <f>IF($E56="","",IF($E55="",$E56,$E56*0.0952380952+H55*0.9047619048))</f>
        <v>0</v>
      </c>
      <c r="I56">
        <f>IF($E56="","",IF($E55="",$E56,$E56*0.0392156863+I55*0.9607843137))</f>
        <v>0</v>
      </c>
      <c r="J56">
        <f>IF($E56="","",IF($E55="",$E56,$E56*0.0198019802+J55*0.9801980198))</f>
        <v>0</v>
      </c>
      <c r="K56">
        <f>IF($E56="","",IF($E55="",$E56,$E56*0.0099502488+K55*0.9900497512))</f>
        <v>0</v>
      </c>
      <c r="L56">
        <f>IF(OR($E56="",$E55=""),"",MAX($E56-$E55,0))</f>
        <v>0</v>
      </c>
      <c r="M56">
        <f>IF(OR($E56="",$E55=""),"",MAX($E55-$E56,0))</f>
        <v>0</v>
      </c>
      <c r="N56">
        <f>IF(COUNT($E$2:$E56)&lt;15,"",IF(AVERAGE($M$43:$M$56)=0,100,100-100/(1+AVERAGE($L$43:$L$56)/AVERAGE($M$43:$M$56))))</f>
        <v>0</v>
      </c>
      <c r="O56">
        <f>IF($E56="","",IF($E55="",$E56,$E56*0.1538461538+O55*0.8461538462))</f>
        <v>0</v>
      </c>
      <c r="P56">
        <f>IF($E56="","",IF($E55="",$E56,$E56*0.0740740741+P55*0.9259259259))</f>
        <v>0</v>
      </c>
      <c r="Q56">
        <f>IF(OR(O56="",P56=""),"",O56-P56)</f>
        <v>0</v>
      </c>
      <c r="R56">
        <f>IF(Q56="","",IF(R55="",Q56,Q56*0.2000000000+R55*0.8000000000))</f>
        <v>0</v>
      </c>
      <c r="S56">
        <f>IF(OR(Q56="",R56=""),"",Q56-R56)</f>
        <v>0</v>
      </c>
      <c r="T56">
        <f>IF(COUNT($E$2:$E56)&lt;14,"",MAX($C$43:$C$56))</f>
        <v>0</v>
      </c>
      <c r="U56">
        <f>IF(COUNT($E$2:$E56)&lt;14,"",MIN($D$43:$D$56))</f>
        <v>0</v>
      </c>
      <c r="V56">
        <f>IF(OR(T56="",U56="",T56=U56),"",100*($E56-U56)/(T56-U56))</f>
        <v>0</v>
      </c>
      <c r="W56">
        <f>IF(COUNT($V$54:$V$56)&lt;3,"",AVERAGE($V$54:$V$56))</f>
        <v>0</v>
      </c>
      <c r="X56">
        <f>IF(COUNT($N$43:$N$56)&lt;14,"",MIN($N$43:$N$56))</f>
        <v>0</v>
      </c>
      <c r="Y56">
        <f>IF(COUNT($N$43:$N$56)&lt;14,"",MAX($N$43:$N$56))</f>
        <v>0</v>
      </c>
      <c r="Z56">
        <f>IF(OR(N56="",X56="",Y56="",Y56=X56),"",100*(N56-X56)/(Y56-X56))</f>
        <v>0</v>
      </c>
      <c r="AA56">
        <f>IF(COUNT($Z$54:$Z$56)&lt;3,"",AVERAGE($Z$54:$Z$56))</f>
        <v>0</v>
      </c>
      <c r="AB56">
        <f>IF(COUNT($AA$54:$AA$56)&lt;3,"",AVERAGE($AA$54:$AA$56))</f>
        <v>0</v>
      </c>
      <c r="AC56">
        <f>IF($E56="","",MAX($C56-$D56,ABS($C56-$E55),ABS($D56-$E55)))</f>
        <v>0</v>
      </c>
      <c r="AD56">
        <f>IF(COUNT($E$2:$E56)&lt;15,"",AVERAGE($AC$43:$AC$56))</f>
        <v>0</v>
      </c>
      <c r="AE56">
        <f>IF(OR($E56="",$E55=""),"",IF(AND(($C56-$C55)&gt;($D55-$D56),($C56-$C55)&gt;0),$C56-$C55,0))</f>
        <v>0</v>
      </c>
      <c r="AF56">
        <f>IF(OR($E56="",$E55=""),"",IF(AND(($D55-$D56)&gt;($C56-$C55),($D55-$D56)&gt;0),$D55-$D56,0))</f>
        <v>0</v>
      </c>
      <c r="AG56">
        <f>IF(COUNT($E$2:$E56)&lt;15,"",IF(SUM($AC$43:$AC$56)=0,0,100*SUM($AE$43:$AE$56)/SUM($AC$43:$AC$56)))</f>
        <v>0</v>
      </c>
      <c r="AH56">
        <f>IF(COUNT($E$2:$E56)&lt;15,"",IF(SUM($AC$43:$AC$56)=0,0,100*SUM($AF$43:$AF$56)/SUM($AC$43:$AC$56)))</f>
        <v>0</v>
      </c>
      <c r="AI56">
        <f>IF(OR(AG56="",AH56=""),"",IF((AG56+AH56)=0,0,100*ABS(AG56-AH56)/(AG56+AH56)))</f>
        <v>0</v>
      </c>
      <c r="AJ56">
        <f>IF(COUNT($AI$43:$AI$56)&lt;14,"",AVERAGE($AI$43:$AI$56))</f>
        <v>0</v>
      </c>
      <c r="AK56">
        <f>IF(COUNT($E$2:$E56)&lt;20,"",AVERAGE($E$37:$E$56))</f>
        <v>0</v>
      </c>
      <c r="AL56">
        <f>IF(COUNT($E$2:$E56)&lt;20,"",STDEVP($E$37:$E$56))</f>
        <v>0</v>
      </c>
      <c r="AM56">
        <f>IF(AK56="","",AK56+2*AL56)</f>
        <v>0</v>
      </c>
      <c r="AN56">
        <f>IF(AK56="","",AK56-2*AL56)</f>
        <v>0</v>
      </c>
      <c r="AO56">
        <f>IF(OR(AM56="",AN56="",AM56=AN56),"",($E56-AN56)/(AM56-AN56))</f>
        <v>0</v>
      </c>
      <c r="AP56">
        <f>IF(OR(AM56="",AK56="",AK56=0),"",(AM56-AN56)/AK56)</f>
        <v>0</v>
      </c>
      <c r="AQ56">
        <f>IF(COUNT($E$2:$E56)&lt;20,"",MAX($C$37:$C$56))</f>
        <v>0</v>
      </c>
      <c r="AR56">
        <f>IF(COUNT($E$2:$E56)&lt;20,"",MIN($D$37:$D$56))</f>
        <v>0</v>
      </c>
      <c r="AS56">
        <f>IF(OR(AQ56="",AR56=""),"",(AQ56+AR56)/2)</f>
        <v>0</v>
      </c>
      <c r="AT56">
        <f>IF(COUNT($G$37:$G$56)&lt;20,"",STDEV($G$37:$G$56)*SQRT(252))</f>
        <v>0</v>
      </c>
      <c r="AU56">
        <f>IF(COUNT($E$2:$E56)&lt;9,"",(MAX($C$48:$C$56)+MIN($D$48:$D$56))/2)</f>
        <v>0</v>
      </c>
      <c r="AV56">
        <f>IF(COUNT($E$2:$E56)&lt;26,"",(MAX($C$31:$C$56)+MIN($D$31:$D$56))/2)</f>
        <v>0</v>
      </c>
      <c r="AW56">
        <f>IF(OR(AU56="",AV56=""),"",(AU56+AV56)/2)</f>
        <v>0</v>
      </c>
      <c r="AX56">
        <f>IF(COUNT($E$2:$E56)&lt;52,"",(MAX($C$5:$C$56)+MIN($D$5:$D$56))/2)</f>
        <v>0</v>
      </c>
      <c r="AY56">
        <f>IF(COUNT($E$2:$E56)&lt;20,"",MAX($C$2:$C$56))</f>
        <v>0</v>
      </c>
      <c r="AZ56">
        <f>IF(COUNT($E$2:$E56)&lt;20,"",MIN($D$2:$D$56))</f>
        <v>0</v>
      </c>
      <c r="BA56">
        <f>IF(COUNT($E$2:$E56)&lt;20,"",SLOPE($E$2:$E$56,$F$2:$F$56))</f>
        <v>0</v>
      </c>
      <c r="BB56">
        <f>IF(COUNT($E$2:$E56)&lt;20,"",INTERCEPT($E$2:$E$56,$F$2:$F$56))</f>
        <v>0</v>
      </c>
      <c r="BC56">
        <f>IF(OR(BA56="",BB56=""),"",BB56+BA56*F56)</f>
        <v>0</v>
      </c>
      <c r="BD56">
        <f>IF(COUNT($E$2:$E56)&lt;20,"",STEYX($E$2:$E$56,$F$2:$F$56))</f>
        <v>0</v>
      </c>
      <c r="BE56">
        <f>IF($E56="","",IF(AND(COUNT($E$57:$E$60)&gt;=4,$C56=MAX($C$52:$C$60)),$C56,""))</f>
        <v>0</v>
      </c>
      <c r="BF56">
        <f>IF($E56="","",IF(AND(COUNT($E$57:$E$60)&gt;=4,$D56=MIN($D$52:$D$60)),$D56,""))</f>
        <v>0</v>
      </c>
      <c r="BG56">
        <f>IF($A56="","",$A56-WEEKDAY($A56,2)+1)</f>
        <v>0</v>
      </c>
      <c r="BH56">
        <f>IF($A56="","",IF($A55="",1,IF(BG56&lt;&gt;BG55,1,0)))</f>
        <v>0</v>
      </c>
      <c r="BI56">
        <f>IF($A56="","",IF($A57="",1,IF(BG57&lt;&gt;BG56,1,0)))</f>
        <v>0</v>
      </c>
      <c r="BJ56">
        <f>IF($A56="","",IF(BH56=1,$B56,BJ55))</f>
        <v>0</v>
      </c>
      <c r="BK56">
        <f>IF($A56="","",IF(BH56=1,$C56,MAX($C56,BK55)))</f>
        <v>0</v>
      </c>
      <c r="BL56">
        <f>IF($A56="","",IF(BH56=1,$D56,MIN($D56,BL55)))</f>
        <v>0</v>
      </c>
      <c r="BM56">
        <f>IF($A56="","",IF(BI56=1,F56,""))</f>
        <v>0</v>
      </c>
      <c r="BN56">
        <f>IF($A56="","",DATE(YEAR($A56),MONTH($A56),1))</f>
        <v>0</v>
      </c>
      <c r="BO56">
        <f>IF($A56="","",IF($A55="",1,IF(BN56&lt;&gt;BN55,1,0)))</f>
        <v>0</v>
      </c>
      <c r="BP56">
        <f>IF($A56="","",IF($A57="",1,IF(BN57&lt;&gt;BN56,1,0)))</f>
        <v>0</v>
      </c>
      <c r="BQ56">
        <f>IF($A56="","",IF(BO56=1,$B56,BQ55))</f>
        <v>0</v>
      </c>
      <c r="BR56">
        <f>IF($A56="","",IF(BO56=1,$C56,MAX($C56,BR55)))</f>
        <v>0</v>
      </c>
      <c r="BS56">
        <f>IF($A56="","",IF(BO56=1,$D56,MIN($D56,BS55)))</f>
        <v>0</v>
      </c>
      <c r="BT56">
        <f>IF($A56="","",IF(BP56=1,F56,""))</f>
        <v>0</v>
      </c>
    </row>
    <row r="57" spans="1:72">
      <c r="A57" s="27">
        <f>IF(Data!$A57="","",Data!$A57)</f>
        <v>0</v>
      </c>
      <c r="B57">
        <f>IF(Data!$B57="","",Data!$B57)</f>
        <v>0</v>
      </c>
      <c r="C57">
        <f>IF(Data!$C57="","",Data!$C57)</f>
        <v>0</v>
      </c>
      <c r="D57">
        <f>IF(Data!$D57="","",Data!$D57)</f>
        <v>0</v>
      </c>
      <c r="E57">
        <f>IF(Data!$E57="","",Data!$E57)</f>
        <v>0</v>
      </c>
      <c r="F57">
        <f>IF($E57="","",N(F56)+1)</f>
        <v>0</v>
      </c>
      <c r="G57">
        <f>IF(OR($E57="",$E56=""),"",LN($E57/$E56))</f>
        <v>0</v>
      </c>
      <c r="H57">
        <f>IF($E57="","",IF($E56="",$E57,$E57*0.0952380952+H56*0.9047619048))</f>
        <v>0</v>
      </c>
      <c r="I57">
        <f>IF($E57="","",IF($E56="",$E57,$E57*0.0392156863+I56*0.9607843137))</f>
        <v>0</v>
      </c>
      <c r="J57">
        <f>IF($E57="","",IF($E56="",$E57,$E57*0.0198019802+J56*0.9801980198))</f>
        <v>0</v>
      </c>
      <c r="K57">
        <f>IF($E57="","",IF($E56="",$E57,$E57*0.0099502488+K56*0.9900497512))</f>
        <v>0</v>
      </c>
      <c r="L57">
        <f>IF(OR($E57="",$E56=""),"",MAX($E57-$E56,0))</f>
        <v>0</v>
      </c>
      <c r="M57">
        <f>IF(OR($E57="",$E56=""),"",MAX($E56-$E57,0))</f>
        <v>0</v>
      </c>
      <c r="N57">
        <f>IF(COUNT($E$2:$E57)&lt;15,"",IF(AVERAGE($M$44:$M$57)=0,100,100-100/(1+AVERAGE($L$44:$L$57)/AVERAGE($M$44:$M$57))))</f>
        <v>0</v>
      </c>
      <c r="O57">
        <f>IF($E57="","",IF($E56="",$E57,$E57*0.1538461538+O56*0.8461538462))</f>
        <v>0</v>
      </c>
      <c r="P57">
        <f>IF($E57="","",IF($E56="",$E57,$E57*0.0740740741+P56*0.9259259259))</f>
        <v>0</v>
      </c>
      <c r="Q57">
        <f>IF(OR(O57="",P57=""),"",O57-P57)</f>
        <v>0</v>
      </c>
      <c r="R57">
        <f>IF(Q57="","",IF(R56="",Q57,Q57*0.2000000000+R56*0.8000000000))</f>
        <v>0</v>
      </c>
      <c r="S57">
        <f>IF(OR(Q57="",R57=""),"",Q57-R57)</f>
        <v>0</v>
      </c>
      <c r="T57">
        <f>IF(COUNT($E$2:$E57)&lt;14,"",MAX($C$44:$C$57))</f>
        <v>0</v>
      </c>
      <c r="U57">
        <f>IF(COUNT($E$2:$E57)&lt;14,"",MIN($D$44:$D$57))</f>
        <v>0</v>
      </c>
      <c r="V57">
        <f>IF(OR(T57="",U57="",T57=U57),"",100*($E57-U57)/(T57-U57))</f>
        <v>0</v>
      </c>
      <c r="W57">
        <f>IF(COUNT($V$55:$V$57)&lt;3,"",AVERAGE($V$55:$V$57))</f>
        <v>0</v>
      </c>
      <c r="X57">
        <f>IF(COUNT($N$44:$N$57)&lt;14,"",MIN($N$44:$N$57))</f>
        <v>0</v>
      </c>
      <c r="Y57">
        <f>IF(COUNT($N$44:$N$57)&lt;14,"",MAX($N$44:$N$57))</f>
        <v>0</v>
      </c>
      <c r="Z57">
        <f>IF(OR(N57="",X57="",Y57="",Y57=X57),"",100*(N57-X57)/(Y57-X57))</f>
        <v>0</v>
      </c>
      <c r="AA57">
        <f>IF(COUNT($Z$55:$Z$57)&lt;3,"",AVERAGE($Z$55:$Z$57))</f>
        <v>0</v>
      </c>
      <c r="AB57">
        <f>IF(COUNT($AA$55:$AA$57)&lt;3,"",AVERAGE($AA$55:$AA$57))</f>
        <v>0</v>
      </c>
      <c r="AC57">
        <f>IF($E57="","",MAX($C57-$D57,ABS($C57-$E56),ABS($D57-$E56)))</f>
        <v>0</v>
      </c>
      <c r="AD57">
        <f>IF(COUNT($E$2:$E57)&lt;15,"",AVERAGE($AC$44:$AC$57))</f>
        <v>0</v>
      </c>
      <c r="AE57">
        <f>IF(OR($E57="",$E56=""),"",IF(AND(($C57-$C56)&gt;($D56-$D57),($C57-$C56)&gt;0),$C57-$C56,0))</f>
        <v>0</v>
      </c>
      <c r="AF57">
        <f>IF(OR($E57="",$E56=""),"",IF(AND(($D56-$D57)&gt;($C57-$C56),($D56-$D57)&gt;0),$D56-$D57,0))</f>
        <v>0</v>
      </c>
      <c r="AG57">
        <f>IF(COUNT($E$2:$E57)&lt;15,"",IF(SUM($AC$44:$AC$57)=0,0,100*SUM($AE$44:$AE$57)/SUM($AC$44:$AC$57)))</f>
        <v>0</v>
      </c>
      <c r="AH57">
        <f>IF(COUNT($E$2:$E57)&lt;15,"",IF(SUM($AC$44:$AC$57)=0,0,100*SUM($AF$44:$AF$57)/SUM($AC$44:$AC$57)))</f>
        <v>0</v>
      </c>
      <c r="AI57">
        <f>IF(OR(AG57="",AH57=""),"",IF((AG57+AH57)=0,0,100*ABS(AG57-AH57)/(AG57+AH57)))</f>
        <v>0</v>
      </c>
      <c r="AJ57">
        <f>IF(COUNT($AI$44:$AI$57)&lt;14,"",AVERAGE($AI$44:$AI$57))</f>
        <v>0</v>
      </c>
      <c r="AK57">
        <f>IF(COUNT($E$2:$E57)&lt;20,"",AVERAGE($E$38:$E$57))</f>
        <v>0</v>
      </c>
      <c r="AL57">
        <f>IF(COUNT($E$2:$E57)&lt;20,"",STDEVP($E$38:$E$57))</f>
        <v>0</v>
      </c>
      <c r="AM57">
        <f>IF(AK57="","",AK57+2*AL57)</f>
        <v>0</v>
      </c>
      <c r="AN57">
        <f>IF(AK57="","",AK57-2*AL57)</f>
        <v>0</v>
      </c>
      <c r="AO57">
        <f>IF(OR(AM57="",AN57="",AM57=AN57),"",($E57-AN57)/(AM57-AN57))</f>
        <v>0</v>
      </c>
      <c r="AP57">
        <f>IF(OR(AM57="",AK57="",AK57=0),"",(AM57-AN57)/AK57)</f>
        <v>0</v>
      </c>
      <c r="AQ57">
        <f>IF(COUNT($E$2:$E57)&lt;20,"",MAX($C$38:$C$57))</f>
        <v>0</v>
      </c>
      <c r="AR57">
        <f>IF(COUNT($E$2:$E57)&lt;20,"",MIN($D$38:$D$57))</f>
        <v>0</v>
      </c>
      <c r="AS57">
        <f>IF(OR(AQ57="",AR57=""),"",(AQ57+AR57)/2)</f>
        <v>0</v>
      </c>
      <c r="AT57">
        <f>IF(COUNT($G$38:$G$57)&lt;20,"",STDEV($G$38:$G$57)*SQRT(252))</f>
        <v>0</v>
      </c>
      <c r="AU57">
        <f>IF(COUNT($E$2:$E57)&lt;9,"",(MAX($C$49:$C$57)+MIN($D$49:$D$57))/2)</f>
        <v>0</v>
      </c>
      <c r="AV57">
        <f>IF(COUNT($E$2:$E57)&lt;26,"",(MAX($C$32:$C$57)+MIN($D$32:$D$57))/2)</f>
        <v>0</v>
      </c>
      <c r="AW57">
        <f>IF(OR(AU57="",AV57=""),"",(AU57+AV57)/2)</f>
        <v>0</v>
      </c>
      <c r="AX57">
        <f>IF(COUNT($E$2:$E57)&lt;52,"",(MAX($C$6:$C$57)+MIN($D$6:$D$57))/2)</f>
        <v>0</v>
      </c>
      <c r="AY57">
        <f>IF(COUNT($E$2:$E57)&lt;20,"",MAX($C$2:$C$57))</f>
        <v>0</v>
      </c>
      <c r="AZ57">
        <f>IF(COUNT($E$2:$E57)&lt;20,"",MIN($D$2:$D$57))</f>
        <v>0</v>
      </c>
      <c r="BA57">
        <f>IF(COUNT($E$2:$E57)&lt;20,"",SLOPE($E$2:$E$57,$F$2:$F$57))</f>
        <v>0</v>
      </c>
      <c r="BB57">
        <f>IF(COUNT($E$2:$E57)&lt;20,"",INTERCEPT($E$2:$E$57,$F$2:$F$57))</f>
        <v>0</v>
      </c>
      <c r="BC57">
        <f>IF(OR(BA57="",BB57=""),"",BB57+BA57*F57)</f>
        <v>0</v>
      </c>
      <c r="BD57">
        <f>IF(COUNT($E$2:$E57)&lt;20,"",STEYX($E$2:$E$57,$F$2:$F$57))</f>
        <v>0</v>
      </c>
      <c r="BE57">
        <f>IF($E57="","",IF(AND(COUNT($E$58:$E$61)&gt;=4,$C57=MAX($C$53:$C$61)),$C57,""))</f>
        <v>0</v>
      </c>
      <c r="BF57">
        <f>IF($E57="","",IF(AND(COUNT($E$58:$E$61)&gt;=4,$D57=MIN($D$53:$D$61)),$D57,""))</f>
        <v>0</v>
      </c>
      <c r="BG57">
        <f>IF($A57="","",$A57-WEEKDAY($A57,2)+1)</f>
        <v>0</v>
      </c>
      <c r="BH57">
        <f>IF($A57="","",IF($A56="",1,IF(BG57&lt;&gt;BG56,1,0)))</f>
        <v>0</v>
      </c>
      <c r="BI57">
        <f>IF($A57="","",IF($A58="",1,IF(BG58&lt;&gt;BG57,1,0)))</f>
        <v>0</v>
      </c>
      <c r="BJ57">
        <f>IF($A57="","",IF(BH57=1,$B57,BJ56))</f>
        <v>0</v>
      </c>
      <c r="BK57">
        <f>IF($A57="","",IF(BH57=1,$C57,MAX($C57,BK56)))</f>
        <v>0</v>
      </c>
      <c r="BL57">
        <f>IF($A57="","",IF(BH57=1,$D57,MIN($D57,BL56)))</f>
        <v>0</v>
      </c>
      <c r="BM57">
        <f>IF($A57="","",IF(BI57=1,F57,""))</f>
        <v>0</v>
      </c>
      <c r="BN57">
        <f>IF($A57="","",DATE(YEAR($A57),MONTH($A57),1))</f>
        <v>0</v>
      </c>
      <c r="BO57">
        <f>IF($A57="","",IF($A56="",1,IF(BN57&lt;&gt;BN56,1,0)))</f>
        <v>0</v>
      </c>
      <c r="BP57">
        <f>IF($A57="","",IF($A58="",1,IF(BN58&lt;&gt;BN57,1,0)))</f>
        <v>0</v>
      </c>
      <c r="BQ57">
        <f>IF($A57="","",IF(BO57=1,$B57,BQ56))</f>
        <v>0</v>
      </c>
      <c r="BR57">
        <f>IF($A57="","",IF(BO57=1,$C57,MAX($C57,BR56)))</f>
        <v>0</v>
      </c>
      <c r="BS57">
        <f>IF($A57="","",IF(BO57=1,$D57,MIN($D57,BS56)))</f>
        <v>0</v>
      </c>
      <c r="BT57">
        <f>IF($A57="","",IF(BP57=1,F57,""))</f>
        <v>0</v>
      </c>
    </row>
    <row r="58" spans="1:72">
      <c r="A58" s="27">
        <f>IF(Data!$A58="","",Data!$A58)</f>
        <v>0</v>
      </c>
      <c r="B58">
        <f>IF(Data!$B58="","",Data!$B58)</f>
        <v>0</v>
      </c>
      <c r="C58">
        <f>IF(Data!$C58="","",Data!$C58)</f>
        <v>0</v>
      </c>
      <c r="D58">
        <f>IF(Data!$D58="","",Data!$D58)</f>
        <v>0</v>
      </c>
      <c r="E58">
        <f>IF(Data!$E58="","",Data!$E58)</f>
        <v>0</v>
      </c>
      <c r="F58">
        <f>IF($E58="","",N(F57)+1)</f>
        <v>0</v>
      </c>
      <c r="G58">
        <f>IF(OR($E58="",$E57=""),"",LN($E58/$E57))</f>
        <v>0</v>
      </c>
      <c r="H58">
        <f>IF($E58="","",IF($E57="",$E58,$E58*0.0952380952+H57*0.9047619048))</f>
        <v>0</v>
      </c>
      <c r="I58">
        <f>IF($E58="","",IF($E57="",$E58,$E58*0.0392156863+I57*0.9607843137))</f>
        <v>0</v>
      </c>
      <c r="J58">
        <f>IF($E58="","",IF($E57="",$E58,$E58*0.0198019802+J57*0.9801980198))</f>
        <v>0</v>
      </c>
      <c r="K58">
        <f>IF($E58="","",IF($E57="",$E58,$E58*0.0099502488+K57*0.9900497512))</f>
        <v>0</v>
      </c>
      <c r="L58">
        <f>IF(OR($E58="",$E57=""),"",MAX($E58-$E57,0))</f>
        <v>0</v>
      </c>
      <c r="M58">
        <f>IF(OR($E58="",$E57=""),"",MAX($E57-$E58,0))</f>
        <v>0</v>
      </c>
      <c r="N58">
        <f>IF(COUNT($E$2:$E58)&lt;15,"",IF(AVERAGE($M$45:$M$58)=0,100,100-100/(1+AVERAGE($L$45:$L$58)/AVERAGE($M$45:$M$58))))</f>
        <v>0</v>
      </c>
      <c r="O58">
        <f>IF($E58="","",IF($E57="",$E58,$E58*0.1538461538+O57*0.8461538462))</f>
        <v>0</v>
      </c>
      <c r="P58">
        <f>IF($E58="","",IF($E57="",$E58,$E58*0.0740740741+P57*0.9259259259))</f>
        <v>0</v>
      </c>
      <c r="Q58">
        <f>IF(OR(O58="",P58=""),"",O58-P58)</f>
        <v>0</v>
      </c>
      <c r="R58">
        <f>IF(Q58="","",IF(R57="",Q58,Q58*0.2000000000+R57*0.8000000000))</f>
        <v>0</v>
      </c>
      <c r="S58">
        <f>IF(OR(Q58="",R58=""),"",Q58-R58)</f>
        <v>0</v>
      </c>
      <c r="T58">
        <f>IF(COUNT($E$2:$E58)&lt;14,"",MAX($C$45:$C$58))</f>
        <v>0</v>
      </c>
      <c r="U58">
        <f>IF(COUNT($E$2:$E58)&lt;14,"",MIN($D$45:$D$58))</f>
        <v>0</v>
      </c>
      <c r="V58">
        <f>IF(OR(T58="",U58="",T58=U58),"",100*($E58-U58)/(T58-U58))</f>
        <v>0</v>
      </c>
      <c r="W58">
        <f>IF(COUNT($V$56:$V$58)&lt;3,"",AVERAGE($V$56:$V$58))</f>
        <v>0</v>
      </c>
      <c r="X58">
        <f>IF(COUNT($N$45:$N$58)&lt;14,"",MIN($N$45:$N$58))</f>
        <v>0</v>
      </c>
      <c r="Y58">
        <f>IF(COUNT($N$45:$N$58)&lt;14,"",MAX($N$45:$N$58))</f>
        <v>0</v>
      </c>
      <c r="Z58">
        <f>IF(OR(N58="",X58="",Y58="",Y58=X58),"",100*(N58-X58)/(Y58-X58))</f>
        <v>0</v>
      </c>
      <c r="AA58">
        <f>IF(COUNT($Z$56:$Z$58)&lt;3,"",AVERAGE($Z$56:$Z$58))</f>
        <v>0</v>
      </c>
      <c r="AB58">
        <f>IF(COUNT($AA$56:$AA$58)&lt;3,"",AVERAGE($AA$56:$AA$58))</f>
        <v>0</v>
      </c>
      <c r="AC58">
        <f>IF($E58="","",MAX($C58-$D58,ABS($C58-$E57),ABS($D58-$E57)))</f>
        <v>0</v>
      </c>
      <c r="AD58">
        <f>IF(COUNT($E$2:$E58)&lt;15,"",AVERAGE($AC$45:$AC$58))</f>
        <v>0</v>
      </c>
      <c r="AE58">
        <f>IF(OR($E58="",$E57=""),"",IF(AND(($C58-$C57)&gt;($D57-$D58),($C58-$C57)&gt;0),$C58-$C57,0))</f>
        <v>0</v>
      </c>
      <c r="AF58">
        <f>IF(OR($E58="",$E57=""),"",IF(AND(($D57-$D58)&gt;($C58-$C57),($D57-$D58)&gt;0),$D57-$D58,0))</f>
        <v>0</v>
      </c>
      <c r="AG58">
        <f>IF(COUNT($E$2:$E58)&lt;15,"",IF(SUM($AC$45:$AC$58)=0,0,100*SUM($AE$45:$AE$58)/SUM($AC$45:$AC$58)))</f>
        <v>0</v>
      </c>
      <c r="AH58">
        <f>IF(COUNT($E$2:$E58)&lt;15,"",IF(SUM($AC$45:$AC$58)=0,0,100*SUM($AF$45:$AF$58)/SUM($AC$45:$AC$58)))</f>
        <v>0</v>
      </c>
      <c r="AI58">
        <f>IF(OR(AG58="",AH58=""),"",IF((AG58+AH58)=0,0,100*ABS(AG58-AH58)/(AG58+AH58)))</f>
        <v>0</v>
      </c>
      <c r="AJ58">
        <f>IF(COUNT($AI$45:$AI$58)&lt;14,"",AVERAGE($AI$45:$AI$58))</f>
        <v>0</v>
      </c>
      <c r="AK58">
        <f>IF(COUNT($E$2:$E58)&lt;20,"",AVERAGE($E$39:$E$58))</f>
        <v>0</v>
      </c>
      <c r="AL58">
        <f>IF(COUNT($E$2:$E58)&lt;20,"",STDEVP($E$39:$E$58))</f>
        <v>0</v>
      </c>
      <c r="AM58">
        <f>IF(AK58="","",AK58+2*AL58)</f>
        <v>0</v>
      </c>
      <c r="AN58">
        <f>IF(AK58="","",AK58-2*AL58)</f>
        <v>0</v>
      </c>
      <c r="AO58">
        <f>IF(OR(AM58="",AN58="",AM58=AN58),"",($E58-AN58)/(AM58-AN58))</f>
        <v>0</v>
      </c>
      <c r="AP58">
        <f>IF(OR(AM58="",AK58="",AK58=0),"",(AM58-AN58)/AK58)</f>
        <v>0</v>
      </c>
      <c r="AQ58">
        <f>IF(COUNT($E$2:$E58)&lt;20,"",MAX($C$39:$C$58))</f>
        <v>0</v>
      </c>
      <c r="AR58">
        <f>IF(COUNT($E$2:$E58)&lt;20,"",MIN($D$39:$D$58))</f>
        <v>0</v>
      </c>
      <c r="AS58">
        <f>IF(OR(AQ58="",AR58=""),"",(AQ58+AR58)/2)</f>
        <v>0</v>
      </c>
      <c r="AT58">
        <f>IF(COUNT($G$39:$G$58)&lt;20,"",STDEV($G$39:$G$58)*SQRT(252))</f>
        <v>0</v>
      </c>
      <c r="AU58">
        <f>IF(COUNT($E$2:$E58)&lt;9,"",(MAX($C$50:$C$58)+MIN($D$50:$D$58))/2)</f>
        <v>0</v>
      </c>
      <c r="AV58">
        <f>IF(COUNT($E$2:$E58)&lt;26,"",(MAX($C$33:$C$58)+MIN($D$33:$D$58))/2)</f>
        <v>0</v>
      </c>
      <c r="AW58">
        <f>IF(OR(AU58="",AV58=""),"",(AU58+AV58)/2)</f>
        <v>0</v>
      </c>
      <c r="AX58">
        <f>IF(COUNT($E$2:$E58)&lt;52,"",(MAX($C$7:$C$58)+MIN($D$7:$D$58))/2)</f>
        <v>0</v>
      </c>
      <c r="AY58">
        <f>IF(COUNT($E$2:$E58)&lt;20,"",MAX($C$2:$C$58))</f>
        <v>0</v>
      </c>
      <c r="AZ58">
        <f>IF(COUNT($E$2:$E58)&lt;20,"",MIN($D$2:$D$58))</f>
        <v>0</v>
      </c>
      <c r="BA58">
        <f>IF(COUNT($E$2:$E58)&lt;20,"",SLOPE($E$2:$E$58,$F$2:$F$58))</f>
        <v>0</v>
      </c>
      <c r="BB58">
        <f>IF(COUNT($E$2:$E58)&lt;20,"",INTERCEPT($E$2:$E$58,$F$2:$F$58))</f>
        <v>0</v>
      </c>
      <c r="BC58">
        <f>IF(OR(BA58="",BB58=""),"",BB58+BA58*F58)</f>
        <v>0</v>
      </c>
      <c r="BD58">
        <f>IF(COUNT($E$2:$E58)&lt;20,"",STEYX($E$2:$E$58,$F$2:$F$58))</f>
        <v>0</v>
      </c>
      <c r="BE58">
        <f>IF($E58="","",IF(AND(COUNT($E$59:$E$62)&gt;=4,$C58=MAX($C$54:$C$62)),$C58,""))</f>
        <v>0</v>
      </c>
      <c r="BF58">
        <f>IF($E58="","",IF(AND(COUNT($E$59:$E$62)&gt;=4,$D58=MIN($D$54:$D$62)),$D58,""))</f>
        <v>0</v>
      </c>
      <c r="BG58">
        <f>IF($A58="","",$A58-WEEKDAY($A58,2)+1)</f>
        <v>0</v>
      </c>
      <c r="BH58">
        <f>IF($A58="","",IF($A57="",1,IF(BG58&lt;&gt;BG57,1,0)))</f>
        <v>0</v>
      </c>
      <c r="BI58">
        <f>IF($A58="","",IF($A59="",1,IF(BG59&lt;&gt;BG58,1,0)))</f>
        <v>0</v>
      </c>
      <c r="BJ58">
        <f>IF($A58="","",IF(BH58=1,$B58,BJ57))</f>
        <v>0</v>
      </c>
      <c r="BK58">
        <f>IF($A58="","",IF(BH58=1,$C58,MAX($C58,BK57)))</f>
        <v>0</v>
      </c>
      <c r="BL58">
        <f>IF($A58="","",IF(BH58=1,$D58,MIN($D58,BL57)))</f>
        <v>0</v>
      </c>
      <c r="BM58">
        <f>IF($A58="","",IF(BI58=1,F58,""))</f>
        <v>0</v>
      </c>
      <c r="BN58">
        <f>IF($A58="","",DATE(YEAR($A58),MONTH($A58),1))</f>
        <v>0</v>
      </c>
      <c r="BO58">
        <f>IF($A58="","",IF($A57="",1,IF(BN58&lt;&gt;BN57,1,0)))</f>
        <v>0</v>
      </c>
      <c r="BP58">
        <f>IF($A58="","",IF($A59="",1,IF(BN59&lt;&gt;BN58,1,0)))</f>
        <v>0</v>
      </c>
      <c r="BQ58">
        <f>IF($A58="","",IF(BO58=1,$B58,BQ57))</f>
        <v>0</v>
      </c>
      <c r="BR58">
        <f>IF($A58="","",IF(BO58=1,$C58,MAX($C58,BR57)))</f>
        <v>0</v>
      </c>
      <c r="BS58">
        <f>IF($A58="","",IF(BO58=1,$D58,MIN($D58,BS57)))</f>
        <v>0</v>
      </c>
      <c r="BT58">
        <f>IF($A58="","",IF(BP58=1,F58,""))</f>
        <v>0</v>
      </c>
    </row>
    <row r="59" spans="1:72">
      <c r="A59" s="27">
        <f>IF(Data!$A59="","",Data!$A59)</f>
        <v>0</v>
      </c>
      <c r="B59">
        <f>IF(Data!$B59="","",Data!$B59)</f>
        <v>0</v>
      </c>
      <c r="C59">
        <f>IF(Data!$C59="","",Data!$C59)</f>
        <v>0</v>
      </c>
      <c r="D59">
        <f>IF(Data!$D59="","",Data!$D59)</f>
        <v>0</v>
      </c>
      <c r="E59">
        <f>IF(Data!$E59="","",Data!$E59)</f>
        <v>0</v>
      </c>
      <c r="F59">
        <f>IF($E59="","",N(F58)+1)</f>
        <v>0</v>
      </c>
      <c r="G59">
        <f>IF(OR($E59="",$E58=""),"",LN($E59/$E58))</f>
        <v>0</v>
      </c>
      <c r="H59">
        <f>IF($E59="","",IF($E58="",$E59,$E59*0.0952380952+H58*0.9047619048))</f>
        <v>0</v>
      </c>
      <c r="I59">
        <f>IF($E59="","",IF($E58="",$E59,$E59*0.0392156863+I58*0.9607843137))</f>
        <v>0</v>
      </c>
      <c r="J59">
        <f>IF($E59="","",IF($E58="",$E59,$E59*0.0198019802+J58*0.9801980198))</f>
        <v>0</v>
      </c>
      <c r="K59">
        <f>IF($E59="","",IF($E58="",$E59,$E59*0.0099502488+K58*0.9900497512))</f>
        <v>0</v>
      </c>
      <c r="L59">
        <f>IF(OR($E59="",$E58=""),"",MAX($E59-$E58,0))</f>
        <v>0</v>
      </c>
      <c r="M59">
        <f>IF(OR($E59="",$E58=""),"",MAX($E58-$E59,0))</f>
        <v>0</v>
      </c>
      <c r="N59">
        <f>IF(COUNT($E$2:$E59)&lt;15,"",IF(AVERAGE($M$46:$M$59)=0,100,100-100/(1+AVERAGE($L$46:$L$59)/AVERAGE($M$46:$M$59))))</f>
        <v>0</v>
      </c>
      <c r="O59">
        <f>IF($E59="","",IF($E58="",$E59,$E59*0.1538461538+O58*0.8461538462))</f>
        <v>0</v>
      </c>
      <c r="P59">
        <f>IF($E59="","",IF($E58="",$E59,$E59*0.0740740741+P58*0.9259259259))</f>
        <v>0</v>
      </c>
      <c r="Q59">
        <f>IF(OR(O59="",P59=""),"",O59-P59)</f>
        <v>0</v>
      </c>
      <c r="R59">
        <f>IF(Q59="","",IF(R58="",Q59,Q59*0.2000000000+R58*0.8000000000))</f>
        <v>0</v>
      </c>
      <c r="S59">
        <f>IF(OR(Q59="",R59=""),"",Q59-R59)</f>
        <v>0</v>
      </c>
      <c r="T59">
        <f>IF(COUNT($E$2:$E59)&lt;14,"",MAX($C$46:$C$59))</f>
        <v>0</v>
      </c>
      <c r="U59">
        <f>IF(COUNT($E$2:$E59)&lt;14,"",MIN($D$46:$D$59))</f>
        <v>0</v>
      </c>
      <c r="V59">
        <f>IF(OR(T59="",U59="",T59=U59),"",100*($E59-U59)/(T59-U59))</f>
        <v>0</v>
      </c>
      <c r="W59">
        <f>IF(COUNT($V$57:$V$59)&lt;3,"",AVERAGE($V$57:$V$59))</f>
        <v>0</v>
      </c>
      <c r="X59">
        <f>IF(COUNT($N$46:$N$59)&lt;14,"",MIN($N$46:$N$59))</f>
        <v>0</v>
      </c>
      <c r="Y59">
        <f>IF(COUNT($N$46:$N$59)&lt;14,"",MAX($N$46:$N$59))</f>
        <v>0</v>
      </c>
      <c r="Z59">
        <f>IF(OR(N59="",X59="",Y59="",Y59=X59),"",100*(N59-X59)/(Y59-X59))</f>
        <v>0</v>
      </c>
      <c r="AA59">
        <f>IF(COUNT($Z$57:$Z$59)&lt;3,"",AVERAGE($Z$57:$Z$59))</f>
        <v>0</v>
      </c>
      <c r="AB59">
        <f>IF(COUNT($AA$57:$AA$59)&lt;3,"",AVERAGE($AA$57:$AA$59))</f>
        <v>0</v>
      </c>
      <c r="AC59">
        <f>IF($E59="","",MAX($C59-$D59,ABS($C59-$E58),ABS($D59-$E58)))</f>
        <v>0</v>
      </c>
      <c r="AD59">
        <f>IF(COUNT($E$2:$E59)&lt;15,"",AVERAGE($AC$46:$AC$59))</f>
        <v>0</v>
      </c>
      <c r="AE59">
        <f>IF(OR($E59="",$E58=""),"",IF(AND(($C59-$C58)&gt;($D58-$D59),($C59-$C58)&gt;0),$C59-$C58,0))</f>
        <v>0</v>
      </c>
      <c r="AF59">
        <f>IF(OR($E59="",$E58=""),"",IF(AND(($D58-$D59)&gt;($C59-$C58),($D58-$D59)&gt;0),$D58-$D59,0))</f>
        <v>0</v>
      </c>
      <c r="AG59">
        <f>IF(COUNT($E$2:$E59)&lt;15,"",IF(SUM($AC$46:$AC$59)=0,0,100*SUM($AE$46:$AE$59)/SUM($AC$46:$AC$59)))</f>
        <v>0</v>
      </c>
      <c r="AH59">
        <f>IF(COUNT($E$2:$E59)&lt;15,"",IF(SUM($AC$46:$AC$59)=0,0,100*SUM($AF$46:$AF$59)/SUM($AC$46:$AC$59)))</f>
        <v>0</v>
      </c>
      <c r="AI59">
        <f>IF(OR(AG59="",AH59=""),"",IF((AG59+AH59)=0,0,100*ABS(AG59-AH59)/(AG59+AH59)))</f>
        <v>0</v>
      </c>
      <c r="AJ59">
        <f>IF(COUNT($AI$46:$AI$59)&lt;14,"",AVERAGE($AI$46:$AI$59))</f>
        <v>0</v>
      </c>
      <c r="AK59">
        <f>IF(COUNT($E$2:$E59)&lt;20,"",AVERAGE($E$40:$E$59))</f>
        <v>0</v>
      </c>
      <c r="AL59">
        <f>IF(COUNT($E$2:$E59)&lt;20,"",STDEVP($E$40:$E$59))</f>
        <v>0</v>
      </c>
      <c r="AM59">
        <f>IF(AK59="","",AK59+2*AL59)</f>
        <v>0</v>
      </c>
      <c r="AN59">
        <f>IF(AK59="","",AK59-2*AL59)</f>
        <v>0</v>
      </c>
      <c r="AO59">
        <f>IF(OR(AM59="",AN59="",AM59=AN59),"",($E59-AN59)/(AM59-AN59))</f>
        <v>0</v>
      </c>
      <c r="AP59">
        <f>IF(OR(AM59="",AK59="",AK59=0),"",(AM59-AN59)/AK59)</f>
        <v>0</v>
      </c>
      <c r="AQ59">
        <f>IF(COUNT($E$2:$E59)&lt;20,"",MAX($C$40:$C$59))</f>
        <v>0</v>
      </c>
      <c r="AR59">
        <f>IF(COUNT($E$2:$E59)&lt;20,"",MIN($D$40:$D$59))</f>
        <v>0</v>
      </c>
      <c r="AS59">
        <f>IF(OR(AQ59="",AR59=""),"",(AQ59+AR59)/2)</f>
        <v>0</v>
      </c>
      <c r="AT59">
        <f>IF(COUNT($G$40:$G$59)&lt;20,"",STDEV($G$40:$G$59)*SQRT(252))</f>
        <v>0</v>
      </c>
      <c r="AU59">
        <f>IF(COUNT($E$2:$E59)&lt;9,"",(MAX($C$51:$C$59)+MIN($D$51:$D$59))/2)</f>
        <v>0</v>
      </c>
      <c r="AV59">
        <f>IF(COUNT($E$2:$E59)&lt;26,"",(MAX($C$34:$C$59)+MIN($D$34:$D$59))/2)</f>
        <v>0</v>
      </c>
      <c r="AW59">
        <f>IF(OR(AU59="",AV59=""),"",(AU59+AV59)/2)</f>
        <v>0</v>
      </c>
      <c r="AX59">
        <f>IF(COUNT($E$2:$E59)&lt;52,"",(MAX($C$8:$C$59)+MIN($D$8:$D$59))/2)</f>
        <v>0</v>
      </c>
      <c r="AY59">
        <f>IF(COUNT($E$2:$E59)&lt;20,"",MAX($C$2:$C$59))</f>
        <v>0</v>
      </c>
      <c r="AZ59">
        <f>IF(COUNT($E$2:$E59)&lt;20,"",MIN($D$2:$D$59))</f>
        <v>0</v>
      </c>
      <c r="BA59">
        <f>IF(COUNT($E$2:$E59)&lt;20,"",SLOPE($E$2:$E$59,$F$2:$F$59))</f>
        <v>0</v>
      </c>
      <c r="BB59">
        <f>IF(COUNT($E$2:$E59)&lt;20,"",INTERCEPT($E$2:$E$59,$F$2:$F$59))</f>
        <v>0</v>
      </c>
      <c r="BC59">
        <f>IF(OR(BA59="",BB59=""),"",BB59+BA59*F59)</f>
        <v>0</v>
      </c>
      <c r="BD59">
        <f>IF(COUNT($E$2:$E59)&lt;20,"",STEYX($E$2:$E$59,$F$2:$F$59))</f>
        <v>0</v>
      </c>
      <c r="BE59">
        <f>IF($E59="","",IF(AND(COUNT($E$60:$E$63)&gt;=4,$C59=MAX($C$55:$C$63)),$C59,""))</f>
        <v>0</v>
      </c>
      <c r="BF59">
        <f>IF($E59="","",IF(AND(COUNT($E$60:$E$63)&gt;=4,$D59=MIN($D$55:$D$63)),$D59,""))</f>
        <v>0</v>
      </c>
      <c r="BG59">
        <f>IF($A59="","",$A59-WEEKDAY($A59,2)+1)</f>
        <v>0</v>
      </c>
      <c r="BH59">
        <f>IF($A59="","",IF($A58="",1,IF(BG59&lt;&gt;BG58,1,0)))</f>
        <v>0</v>
      </c>
      <c r="BI59">
        <f>IF($A59="","",IF($A60="",1,IF(BG60&lt;&gt;BG59,1,0)))</f>
        <v>0</v>
      </c>
      <c r="BJ59">
        <f>IF($A59="","",IF(BH59=1,$B59,BJ58))</f>
        <v>0</v>
      </c>
      <c r="BK59">
        <f>IF($A59="","",IF(BH59=1,$C59,MAX($C59,BK58)))</f>
        <v>0</v>
      </c>
      <c r="BL59">
        <f>IF($A59="","",IF(BH59=1,$D59,MIN($D59,BL58)))</f>
        <v>0</v>
      </c>
      <c r="BM59">
        <f>IF($A59="","",IF(BI59=1,F59,""))</f>
        <v>0</v>
      </c>
      <c r="BN59">
        <f>IF($A59="","",DATE(YEAR($A59),MONTH($A59),1))</f>
        <v>0</v>
      </c>
      <c r="BO59">
        <f>IF($A59="","",IF($A58="",1,IF(BN59&lt;&gt;BN58,1,0)))</f>
        <v>0</v>
      </c>
      <c r="BP59">
        <f>IF($A59="","",IF($A60="",1,IF(BN60&lt;&gt;BN59,1,0)))</f>
        <v>0</v>
      </c>
      <c r="BQ59">
        <f>IF($A59="","",IF(BO59=1,$B59,BQ58))</f>
        <v>0</v>
      </c>
      <c r="BR59">
        <f>IF($A59="","",IF(BO59=1,$C59,MAX($C59,BR58)))</f>
        <v>0</v>
      </c>
      <c r="BS59">
        <f>IF($A59="","",IF(BO59=1,$D59,MIN($D59,BS58)))</f>
        <v>0</v>
      </c>
      <c r="BT59">
        <f>IF($A59="","",IF(BP59=1,F59,""))</f>
        <v>0</v>
      </c>
    </row>
    <row r="60" spans="1:72">
      <c r="A60" s="27">
        <f>IF(Data!$A60="","",Data!$A60)</f>
        <v>0</v>
      </c>
      <c r="B60">
        <f>IF(Data!$B60="","",Data!$B60)</f>
        <v>0</v>
      </c>
      <c r="C60">
        <f>IF(Data!$C60="","",Data!$C60)</f>
        <v>0</v>
      </c>
      <c r="D60">
        <f>IF(Data!$D60="","",Data!$D60)</f>
        <v>0</v>
      </c>
      <c r="E60">
        <f>IF(Data!$E60="","",Data!$E60)</f>
        <v>0</v>
      </c>
      <c r="F60">
        <f>IF($E60="","",N(F59)+1)</f>
        <v>0</v>
      </c>
      <c r="G60">
        <f>IF(OR($E60="",$E59=""),"",LN($E60/$E59))</f>
        <v>0</v>
      </c>
      <c r="H60">
        <f>IF($E60="","",IF($E59="",$E60,$E60*0.0952380952+H59*0.9047619048))</f>
        <v>0</v>
      </c>
      <c r="I60">
        <f>IF($E60="","",IF($E59="",$E60,$E60*0.0392156863+I59*0.9607843137))</f>
        <v>0</v>
      </c>
      <c r="J60">
        <f>IF($E60="","",IF($E59="",$E60,$E60*0.0198019802+J59*0.9801980198))</f>
        <v>0</v>
      </c>
      <c r="K60">
        <f>IF($E60="","",IF($E59="",$E60,$E60*0.0099502488+K59*0.9900497512))</f>
        <v>0</v>
      </c>
      <c r="L60">
        <f>IF(OR($E60="",$E59=""),"",MAX($E60-$E59,0))</f>
        <v>0</v>
      </c>
      <c r="M60">
        <f>IF(OR($E60="",$E59=""),"",MAX($E59-$E60,0))</f>
        <v>0</v>
      </c>
      <c r="N60">
        <f>IF(COUNT($E$2:$E60)&lt;15,"",IF(AVERAGE($M$47:$M$60)=0,100,100-100/(1+AVERAGE($L$47:$L$60)/AVERAGE($M$47:$M$60))))</f>
        <v>0</v>
      </c>
      <c r="O60">
        <f>IF($E60="","",IF($E59="",$E60,$E60*0.1538461538+O59*0.8461538462))</f>
        <v>0</v>
      </c>
      <c r="P60">
        <f>IF($E60="","",IF($E59="",$E60,$E60*0.0740740741+P59*0.9259259259))</f>
        <v>0</v>
      </c>
      <c r="Q60">
        <f>IF(OR(O60="",P60=""),"",O60-P60)</f>
        <v>0</v>
      </c>
      <c r="R60">
        <f>IF(Q60="","",IF(R59="",Q60,Q60*0.2000000000+R59*0.8000000000))</f>
        <v>0</v>
      </c>
      <c r="S60">
        <f>IF(OR(Q60="",R60=""),"",Q60-R60)</f>
        <v>0</v>
      </c>
      <c r="T60">
        <f>IF(COUNT($E$2:$E60)&lt;14,"",MAX($C$47:$C$60))</f>
        <v>0</v>
      </c>
      <c r="U60">
        <f>IF(COUNT($E$2:$E60)&lt;14,"",MIN($D$47:$D$60))</f>
        <v>0</v>
      </c>
      <c r="V60">
        <f>IF(OR(T60="",U60="",T60=U60),"",100*($E60-U60)/(T60-U60))</f>
        <v>0</v>
      </c>
      <c r="W60">
        <f>IF(COUNT($V$58:$V$60)&lt;3,"",AVERAGE($V$58:$V$60))</f>
        <v>0</v>
      </c>
      <c r="X60">
        <f>IF(COUNT($N$47:$N$60)&lt;14,"",MIN($N$47:$N$60))</f>
        <v>0</v>
      </c>
      <c r="Y60">
        <f>IF(COUNT($N$47:$N$60)&lt;14,"",MAX($N$47:$N$60))</f>
        <v>0</v>
      </c>
      <c r="Z60">
        <f>IF(OR(N60="",X60="",Y60="",Y60=X60),"",100*(N60-X60)/(Y60-X60))</f>
        <v>0</v>
      </c>
      <c r="AA60">
        <f>IF(COUNT($Z$58:$Z$60)&lt;3,"",AVERAGE($Z$58:$Z$60))</f>
        <v>0</v>
      </c>
      <c r="AB60">
        <f>IF(COUNT($AA$58:$AA$60)&lt;3,"",AVERAGE($AA$58:$AA$60))</f>
        <v>0</v>
      </c>
      <c r="AC60">
        <f>IF($E60="","",MAX($C60-$D60,ABS($C60-$E59),ABS($D60-$E59)))</f>
        <v>0</v>
      </c>
      <c r="AD60">
        <f>IF(COUNT($E$2:$E60)&lt;15,"",AVERAGE($AC$47:$AC$60))</f>
        <v>0</v>
      </c>
      <c r="AE60">
        <f>IF(OR($E60="",$E59=""),"",IF(AND(($C60-$C59)&gt;($D59-$D60),($C60-$C59)&gt;0),$C60-$C59,0))</f>
        <v>0</v>
      </c>
      <c r="AF60">
        <f>IF(OR($E60="",$E59=""),"",IF(AND(($D59-$D60)&gt;($C60-$C59),($D59-$D60)&gt;0),$D59-$D60,0))</f>
        <v>0</v>
      </c>
      <c r="AG60">
        <f>IF(COUNT($E$2:$E60)&lt;15,"",IF(SUM($AC$47:$AC$60)=0,0,100*SUM($AE$47:$AE$60)/SUM($AC$47:$AC$60)))</f>
        <v>0</v>
      </c>
      <c r="AH60">
        <f>IF(COUNT($E$2:$E60)&lt;15,"",IF(SUM($AC$47:$AC$60)=0,0,100*SUM($AF$47:$AF$60)/SUM($AC$47:$AC$60)))</f>
        <v>0</v>
      </c>
      <c r="AI60">
        <f>IF(OR(AG60="",AH60=""),"",IF((AG60+AH60)=0,0,100*ABS(AG60-AH60)/(AG60+AH60)))</f>
        <v>0</v>
      </c>
      <c r="AJ60">
        <f>IF(COUNT($AI$47:$AI$60)&lt;14,"",AVERAGE($AI$47:$AI$60))</f>
        <v>0</v>
      </c>
      <c r="AK60">
        <f>IF(COUNT($E$2:$E60)&lt;20,"",AVERAGE($E$41:$E$60))</f>
        <v>0</v>
      </c>
      <c r="AL60">
        <f>IF(COUNT($E$2:$E60)&lt;20,"",STDEVP($E$41:$E$60))</f>
        <v>0</v>
      </c>
      <c r="AM60">
        <f>IF(AK60="","",AK60+2*AL60)</f>
        <v>0</v>
      </c>
      <c r="AN60">
        <f>IF(AK60="","",AK60-2*AL60)</f>
        <v>0</v>
      </c>
      <c r="AO60">
        <f>IF(OR(AM60="",AN60="",AM60=AN60),"",($E60-AN60)/(AM60-AN60))</f>
        <v>0</v>
      </c>
      <c r="AP60">
        <f>IF(OR(AM60="",AK60="",AK60=0),"",(AM60-AN60)/AK60)</f>
        <v>0</v>
      </c>
      <c r="AQ60">
        <f>IF(COUNT($E$2:$E60)&lt;20,"",MAX($C$41:$C$60))</f>
        <v>0</v>
      </c>
      <c r="AR60">
        <f>IF(COUNT($E$2:$E60)&lt;20,"",MIN($D$41:$D$60))</f>
        <v>0</v>
      </c>
      <c r="AS60">
        <f>IF(OR(AQ60="",AR60=""),"",(AQ60+AR60)/2)</f>
        <v>0</v>
      </c>
      <c r="AT60">
        <f>IF(COUNT($G$41:$G$60)&lt;20,"",STDEV($G$41:$G$60)*SQRT(252))</f>
        <v>0</v>
      </c>
      <c r="AU60">
        <f>IF(COUNT($E$2:$E60)&lt;9,"",(MAX($C$52:$C$60)+MIN($D$52:$D$60))/2)</f>
        <v>0</v>
      </c>
      <c r="AV60">
        <f>IF(COUNT($E$2:$E60)&lt;26,"",(MAX($C$35:$C$60)+MIN($D$35:$D$60))/2)</f>
        <v>0</v>
      </c>
      <c r="AW60">
        <f>IF(OR(AU60="",AV60=""),"",(AU60+AV60)/2)</f>
        <v>0</v>
      </c>
      <c r="AX60">
        <f>IF(COUNT($E$2:$E60)&lt;52,"",(MAX($C$9:$C$60)+MIN($D$9:$D$60))/2)</f>
        <v>0</v>
      </c>
      <c r="AY60">
        <f>IF(COUNT($E$2:$E60)&lt;20,"",MAX($C$2:$C$60))</f>
        <v>0</v>
      </c>
      <c r="AZ60">
        <f>IF(COUNT($E$2:$E60)&lt;20,"",MIN($D$2:$D$60))</f>
        <v>0</v>
      </c>
      <c r="BA60">
        <f>IF(COUNT($E$2:$E60)&lt;20,"",SLOPE($E$2:$E$60,$F$2:$F$60))</f>
        <v>0</v>
      </c>
      <c r="BB60">
        <f>IF(COUNT($E$2:$E60)&lt;20,"",INTERCEPT($E$2:$E$60,$F$2:$F$60))</f>
        <v>0</v>
      </c>
      <c r="BC60">
        <f>IF(OR(BA60="",BB60=""),"",BB60+BA60*F60)</f>
        <v>0</v>
      </c>
      <c r="BD60">
        <f>IF(COUNT($E$2:$E60)&lt;20,"",STEYX($E$2:$E$60,$F$2:$F$60))</f>
        <v>0</v>
      </c>
      <c r="BE60">
        <f>IF($E60="","",IF(AND(COUNT($E$61:$E$64)&gt;=4,$C60=MAX($C$56:$C$64)),$C60,""))</f>
        <v>0</v>
      </c>
      <c r="BF60">
        <f>IF($E60="","",IF(AND(COUNT($E$61:$E$64)&gt;=4,$D60=MIN($D$56:$D$64)),$D60,""))</f>
        <v>0</v>
      </c>
      <c r="BG60">
        <f>IF($A60="","",$A60-WEEKDAY($A60,2)+1)</f>
        <v>0</v>
      </c>
      <c r="BH60">
        <f>IF($A60="","",IF($A59="",1,IF(BG60&lt;&gt;BG59,1,0)))</f>
        <v>0</v>
      </c>
      <c r="BI60">
        <f>IF($A60="","",IF($A61="",1,IF(BG61&lt;&gt;BG60,1,0)))</f>
        <v>0</v>
      </c>
      <c r="BJ60">
        <f>IF($A60="","",IF(BH60=1,$B60,BJ59))</f>
        <v>0</v>
      </c>
      <c r="BK60">
        <f>IF($A60="","",IF(BH60=1,$C60,MAX($C60,BK59)))</f>
        <v>0</v>
      </c>
      <c r="BL60">
        <f>IF($A60="","",IF(BH60=1,$D60,MIN($D60,BL59)))</f>
        <v>0</v>
      </c>
      <c r="BM60">
        <f>IF($A60="","",IF(BI60=1,F60,""))</f>
        <v>0</v>
      </c>
      <c r="BN60">
        <f>IF($A60="","",DATE(YEAR($A60),MONTH($A60),1))</f>
        <v>0</v>
      </c>
      <c r="BO60">
        <f>IF($A60="","",IF($A59="",1,IF(BN60&lt;&gt;BN59,1,0)))</f>
        <v>0</v>
      </c>
      <c r="BP60">
        <f>IF($A60="","",IF($A61="",1,IF(BN61&lt;&gt;BN60,1,0)))</f>
        <v>0</v>
      </c>
      <c r="BQ60">
        <f>IF($A60="","",IF(BO60=1,$B60,BQ59))</f>
        <v>0</v>
      </c>
      <c r="BR60">
        <f>IF($A60="","",IF(BO60=1,$C60,MAX($C60,BR59)))</f>
        <v>0</v>
      </c>
      <c r="BS60">
        <f>IF($A60="","",IF(BO60=1,$D60,MIN($D60,BS59)))</f>
        <v>0</v>
      </c>
      <c r="BT60">
        <f>IF($A60="","",IF(BP60=1,F60,""))</f>
        <v>0</v>
      </c>
    </row>
    <row r="61" spans="1:72">
      <c r="A61" s="27">
        <f>IF(Data!$A61="","",Data!$A61)</f>
        <v>0</v>
      </c>
      <c r="B61">
        <f>IF(Data!$B61="","",Data!$B61)</f>
        <v>0</v>
      </c>
      <c r="C61">
        <f>IF(Data!$C61="","",Data!$C61)</f>
        <v>0</v>
      </c>
      <c r="D61">
        <f>IF(Data!$D61="","",Data!$D61)</f>
        <v>0</v>
      </c>
      <c r="E61">
        <f>IF(Data!$E61="","",Data!$E61)</f>
        <v>0</v>
      </c>
      <c r="F61">
        <f>IF($E61="","",N(F60)+1)</f>
        <v>0</v>
      </c>
      <c r="G61">
        <f>IF(OR($E61="",$E60=""),"",LN($E61/$E60))</f>
        <v>0</v>
      </c>
      <c r="H61">
        <f>IF($E61="","",IF($E60="",$E61,$E61*0.0952380952+H60*0.9047619048))</f>
        <v>0</v>
      </c>
      <c r="I61">
        <f>IF($E61="","",IF($E60="",$E61,$E61*0.0392156863+I60*0.9607843137))</f>
        <v>0</v>
      </c>
      <c r="J61">
        <f>IF($E61="","",IF($E60="",$E61,$E61*0.0198019802+J60*0.9801980198))</f>
        <v>0</v>
      </c>
      <c r="K61">
        <f>IF($E61="","",IF($E60="",$E61,$E61*0.0099502488+K60*0.9900497512))</f>
        <v>0</v>
      </c>
      <c r="L61">
        <f>IF(OR($E61="",$E60=""),"",MAX($E61-$E60,0))</f>
        <v>0</v>
      </c>
      <c r="M61">
        <f>IF(OR($E61="",$E60=""),"",MAX($E60-$E61,0))</f>
        <v>0</v>
      </c>
      <c r="N61">
        <f>IF(COUNT($E$2:$E61)&lt;15,"",IF(AVERAGE($M$48:$M$61)=0,100,100-100/(1+AVERAGE($L$48:$L$61)/AVERAGE($M$48:$M$61))))</f>
        <v>0</v>
      </c>
      <c r="O61">
        <f>IF($E61="","",IF($E60="",$E61,$E61*0.1538461538+O60*0.8461538462))</f>
        <v>0</v>
      </c>
      <c r="P61">
        <f>IF($E61="","",IF($E60="",$E61,$E61*0.0740740741+P60*0.9259259259))</f>
        <v>0</v>
      </c>
      <c r="Q61">
        <f>IF(OR(O61="",P61=""),"",O61-P61)</f>
        <v>0</v>
      </c>
      <c r="R61">
        <f>IF(Q61="","",IF(R60="",Q61,Q61*0.2000000000+R60*0.8000000000))</f>
        <v>0</v>
      </c>
      <c r="S61">
        <f>IF(OR(Q61="",R61=""),"",Q61-R61)</f>
        <v>0</v>
      </c>
      <c r="T61">
        <f>IF(COUNT($E$2:$E61)&lt;14,"",MAX($C$48:$C$61))</f>
        <v>0</v>
      </c>
      <c r="U61">
        <f>IF(COUNT($E$2:$E61)&lt;14,"",MIN($D$48:$D$61))</f>
        <v>0</v>
      </c>
      <c r="V61">
        <f>IF(OR(T61="",U61="",T61=U61),"",100*($E61-U61)/(T61-U61))</f>
        <v>0</v>
      </c>
      <c r="W61">
        <f>IF(COUNT($V$59:$V$61)&lt;3,"",AVERAGE($V$59:$V$61))</f>
        <v>0</v>
      </c>
      <c r="X61">
        <f>IF(COUNT($N$48:$N$61)&lt;14,"",MIN($N$48:$N$61))</f>
        <v>0</v>
      </c>
      <c r="Y61">
        <f>IF(COUNT($N$48:$N$61)&lt;14,"",MAX($N$48:$N$61))</f>
        <v>0</v>
      </c>
      <c r="Z61">
        <f>IF(OR(N61="",X61="",Y61="",Y61=X61),"",100*(N61-X61)/(Y61-X61))</f>
        <v>0</v>
      </c>
      <c r="AA61">
        <f>IF(COUNT($Z$59:$Z$61)&lt;3,"",AVERAGE($Z$59:$Z$61))</f>
        <v>0</v>
      </c>
      <c r="AB61">
        <f>IF(COUNT($AA$59:$AA$61)&lt;3,"",AVERAGE($AA$59:$AA$61))</f>
        <v>0</v>
      </c>
      <c r="AC61">
        <f>IF($E61="","",MAX($C61-$D61,ABS($C61-$E60),ABS($D61-$E60)))</f>
        <v>0</v>
      </c>
      <c r="AD61">
        <f>IF(COUNT($E$2:$E61)&lt;15,"",AVERAGE($AC$48:$AC$61))</f>
        <v>0</v>
      </c>
      <c r="AE61">
        <f>IF(OR($E61="",$E60=""),"",IF(AND(($C61-$C60)&gt;($D60-$D61),($C61-$C60)&gt;0),$C61-$C60,0))</f>
        <v>0</v>
      </c>
      <c r="AF61">
        <f>IF(OR($E61="",$E60=""),"",IF(AND(($D60-$D61)&gt;($C61-$C60),($D60-$D61)&gt;0),$D60-$D61,0))</f>
        <v>0</v>
      </c>
      <c r="AG61">
        <f>IF(COUNT($E$2:$E61)&lt;15,"",IF(SUM($AC$48:$AC$61)=0,0,100*SUM($AE$48:$AE$61)/SUM($AC$48:$AC$61)))</f>
        <v>0</v>
      </c>
      <c r="AH61">
        <f>IF(COUNT($E$2:$E61)&lt;15,"",IF(SUM($AC$48:$AC$61)=0,0,100*SUM($AF$48:$AF$61)/SUM($AC$48:$AC$61)))</f>
        <v>0</v>
      </c>
      <c r="AI61">
        <f>IF(OR(AG61="",AH61=""),"",IF((AG61+AH61)=0,0,100*ABS(AG61-AH61)/(AG61+AH61)))</f>
        <v>0</v>
      </c>
      <c r="AJ61">
        <f>IF(COUNT($AI$48:$AI$61)&lt;14,"",AVERAGE($AI$48:$AI$61))</f>
        <v>0</v>
      </c>
      <c r="AK61">
        <f>IF(COUNT($E$2:$E61)&lt;20,"",AVERAGE($E$42:$E$61))</f>
        <v>0</v>
      </c>
      <c r="AL61">
        <f>IF(COUNT($E$2:$E61)&lt;20,"",STDEVP($E$42:$E$61))</f>
        <v>0</v>
      </c>
      <c r="AM61">
        <f>IF(AK61="","",AK61+2*AL61)</f>
        <v>0</v>
      </c>
      <c r="AN61">
        <f>IF(AK61="","",AK61-2*AL61)</f>
        <v>0</v>
      </c>
      <c r="AO61">
        <f>IF(OR(AM61="",AN61="",AM61=AN61),"",($E61-AN61)/(AM61-AN61))</f>
        <v>0</v>
      </c>
      <c r="AP61">
        <f>IF(OR(AM61="",AK61="",AK61=0),"",(AM61-AN61)/AK61)</f>
        <v>0</v>
      </c>
      <c r="AQ61">
        <f>IF(COUNT($E$2:$E61)&lt;20,"",MAX($C$42:$C$61))</f>
        <v>0</v>
      </c>
      <c r="AR61">
        <f>IF(COUNT($E$2:$E61)&lt;20,"",MIN($D$42:$D$61))</f>
        <v>0</v>
      </c>
      <c r="AS61">
        <f>IF(OR(AQ61="",AR61=""),"",(AQ61+AR61)/2)</f>
        <v>0</v>
      </c>
      <c r="AT61">
        <f>IF(COUNT($G$42:$G$61)&lt;20,"",STDEV($G$42:$G$61)*SQRT(252))</f>
        <v>0</v>
      </c>
      <c r="AU61">
        <f>IF(COUNT($E$2:$E61)&lt;9,"",(MAX($C$53:$C$61)+MIN($D$53:$D$61))/2)</f>
        <v>0</v>
      </c>
      <c r="AV61">
        <f>IF(COUNT($E$2:$E61)&lt;26,"",(MAX($C$36:$C$61)+MIN($D$36:$D$61))/2)</f>
        <v>0</v>
      </c>
      <c r="AW61">
        <f>IF(OR(AU61="",AV61=""),"",(AU61+AV61)/2)</f>
        <v>0</v>
      </c>
      <c r="AX61">
        <f>IF(COUNT($E$2:$E61)&lt;52,"",(MAX($C$10:$C$61)+MIN($D$10:$D$61))/2)</f>
        <v>0</v>
      </c>
      <c r="AY61">
        <f>IF(COUNT($E$2:$E61)&lt;20,"",MAX($C$2:$C$61))</f>
        <v>0</v>
      </c>
      <c r="AZ61">
        <f>IF(COUNT($E$2:$E61)&lt;20,"",MIN($D$2:$D$61))</f>
        <v>0</v>
      </c>
      <c r="BA61">
        <f>IF(COUNT($E$2:$E61)&lt;20,"",SLOPE($E$2:$E$61,$F$2:$F$61))</f>
        <v>0</v>
      </c>
      <c r="BB61">
        <f>IF(COUNT($E$2:$E61)&lt;20,"",INTERCEPT($E$2:$E$61,$F$2:$F$61))</f>
        <v>0</v>
      </c>
      <c r="BC61">
        <f>IF(OR(BA61="",BB61=""),"",BB61+BA61*F61)</f>
        <v>0</v>
      </c>
      <c r="BD61">
        <f>IF(COUNT($E$2:$E61)&lt;20,"",STEYX($E$2:$E$61,$F$2:$F$61))</f>
        <v>0</v>
      </c>
      <c r="BE61">
        <f>IF($E61="","",IF(AND(COUNT($E$62:$E$65)&gt;=4,$C61=MAX($C$57:$C$65)),$C61,""))</f>
        <v>0</v>
      </c>
      <c r="BF61">
        <f>IF($E61="","",IF(AND(COUNT($E$62:$E$65)&gt;=4,$D61=MIN($D$57:$D$65)),$D61,""))</f>
        <v>0</v>
      </c>
      <c r="BG61">
        <f>IF($A61="","",$A61-WEEKDAY($A61,2)+1)</f>
        <v>0</v>
      </c>
      <c r="BH61">
        <f>IF($A61="","",IF($A60="",1,IF(BG61&lt;&gt;BG60,1,0)))</f>
        <v>0</v>
      </c>
      <c r="BI61">
        <f>IF($A61="","",IF($A62="",1,IF(BG62&lt;&gt;BG61,1,0)))</f>
        <v>0</v>
      </c>
      <c r="BJ61">
        <f>IF($A61="","",IF(BH61=1,$B61,BJ60))</f>
        <v>0</v>
      </c>
      <c r="BK61">
        <f>IF($A61="","",IF(BH61=1,$C61,MAX($C61,BK60)))</f>
        <v>0</v>
      </c>
      <c r="BL61">
        <f>IF($A61="","",IF(BH61=1,$D61,MIN($D61,BL60)))</f>
        <v>0</v>
      </c>
      <c r="BM61">
        <f>IF($A61="","",IF(BI61=1,F61,""))</f>
        <v>0</v>
      </c>
      <c r="BN61">
        <f>IF($A61="","",DATE(YEAR($A61),MONTH($A61),1))</f>
        <v>0</v>
      </c>
      <c r="BO61">
        <f>IF($A61="","",IF($A60="",1,IF(BN61&lt;&gt;BN60,1,0)))</f>
        <v>0</v>
      </c>
      <c r="BP61">
        <f>IF($A61="","",IF($A62="",1,IF(BN62&lt;&gt;BN61,1,0)))</f>
        <v>0</v>
      </c>
      <c r="BQ61">
        <f>IF($A61="","",IF(BO61=1,$B61,BQ60))</f>
        <v>0</v>
      </c>
      <c r="BR61">
        <f>IF($A61="","",IF(BO61=1,$C61,MAX($C61,BR60)))</f>
        <v>0</v>
      </c>
      <c r="BS61">
        <f>IF($A61="","",IF(BO61=1,$D61,MIN($D61,BS60)))</f>
        <v>0</v>
      </c>
      <c r="BT61">
        <f>IF($A61="","",IF(BP61=1,F61,""))</f>
        <v>0</v>
      </c>
    </row>
    <row r="62" spans="1:72">
      <c r="A62" s="27">
        <f>IF(Data!$A62="","",Data!$A62)</f>
        <v>0</v>
      </c>
      <c r="B62">
        <f>IF(Data!$B62="","",Data!$B62)</f>
        <v>0</v>
      </c>
      <c r="C62">
        <f>IF(Data!$C62="","",Data!$C62)</f>
        <v>0</v>
      </c>
      <c r="D62">
        <f>IF(Data!$D62="","",Data!$D62)</f>
        <v>0</v>
      </c>
      <c r="E62">
        <f>IF(Data!$E62="","",Data!$E62)</f>
        <v>0</v>
      </c>
      <c r="F62">
        <f>IF($E62="","",N(F61)+1)</f>
        <v>0</v>
      </c>
      <c r="G62">
        <f>IF(OR($E62="",$E61=""),"",LN($E62/$E61))</f>
        <v>0</v>
      </c>
      <c r="H62">
        <f>IF($E62="","",IF($E61="",$E62,$E62*0.0952380952+H61*0.9047619048))</f>
        <v>0</v>
      </c>
      <c r="I62">
        <f>IF($E62="","",IF($E61="",$E62,$E62*0.0392156863+I61*0.9607843137))</f>
        <v>0</v>
      </c>
      <c r="J62">
        <f>IF($E62="","",IF($E61="",$E62,$E62*0.0198019802+J61*0.9801980198))</f>
        <v>0</v>
      </c>
      <c r="K62">
        <f>IF($E62="","",IF($E61="",$E62,$E62*0.0099502488+K61*0.9900497512))</f>
        <v>0</v>
      </c>
      <c r="L62">
        <f>IF(OR($E62="",$E61=""),"",MAX($E62-$E61,0))</f>
        <v>0</v>
      </c>
      <c r="M62">
        <f>IF(OR($E62="",$E61=""),"",MAX($E61-$E62,0))</f>
        <v>0</v>
      </c>
      <c r="N62">
        <f>IF(COUNT($E$2:$E62)&lt;15,"",IF(AVERAGE($M$49:$M$62)=0,100,100-100/(1+AVERAGE($L$49:$L$62)/AVERAGE($M$49:$M$62))))</f>
        <v>0</v>
      </c>
      <c r="O62">
        <f>IF($E62="","",IF($E61="",$E62,$E62*0.1538461538+O61*0.8461538462))</f>
        <v>0</v>
      </c>
      <c r="P62">
        <f>IF($E62="","",IF($E61="",$E62,$E62*0.0740740741+P61*0.9259259259))</f>
        <v>0</v>
      </c>
      <c r="Q62">
        <f>IF(OR(O62="",P62=""),"",O62-P62)</f>
        <v>0</v>
      </c>
      <c r="R62">
        <f>IF(Q62="","",IF(R61="",Q62,Q62*0.2000000000+R61*0.8000000000))</f>
        <v>0</v>
      </c>
      <c r="S62">
        <f>IF(OR(Q62="",R62=""),"",Q62-R62)</f>
        <v>0</v>
      </c>
      <c r="T62">
        <f>IF(COUNT($E$2:$E62)&lt;14,"",MAX($C$49:$C$62))</f>
        <v>0</v>
      </c>
      <c r="U62">
        <f>IF(COUNT($E$2:$E62)&lt;14,"",MIN($D$49:$D$62))</f>
        <v>0</v>
      </c>
      <c r="V62">
        <f>IF(OR(T62="",U62="",T62=U62),"",100*($E62-U62)/(T62-U62))</f>
        <v>0</v>
      </c>
      <c r="W62">
        <f>IF(COUNT($V$60:$V$62)&lt;3,"",AVERAGE($V$60:$V$62))</f>
        <v>0</v>
      </c>
      <c r="X62">
        <f>IF(COUNT($N$49:$N$62)&lt;14,"",MIN($N$49:$N$62))</f>
        <v>0</v>
      </c>
      <c r="Y62">
        <f>IF(COUNT($N$49:$N$62)&lt;14,"",MAX($N$49:$N$62))</f>
        <v>0</v>
      </c>
      <c r="Z62">
        <f>IF(OR(N62="",X62="",Y62="",Y62=X62),"",100*(N62-X62)/(Y62-X62))</f>
        <v>0</v>
      </c>
      <c r="AA62">
        <f>IF(COUNT($Z$60:$Z$62)&lt;3,"",AVERAGE($Z$60:$Z$62))</f>
        <v>0</v>
      </c>
      <c r="AB62">
        <f>IF(COUNT($AA$60:$AA$62)&lt;3,"",AVERAGE($AA$60:$AA$62))</f>
        <v>0</v>
      </c>
      <c r="AC62">
        <f>IF($E62="","",MAX($C62-$D62,ABS($C62-$E61),ABS($D62-$E61)))</f>
        <v>0</v>
      </c>
      <c r="AD62">
        <f>IF(COUNT($E$2:$E62)&lt;15,"",AVERAGE($AC$49:$AC$62))</f>
        <v>0</v>
      </c>
      <c r="AE62">
        <f>IF(OR($E62="",$E61=""),"",IF(AND(($C62-$C61)&gt;($D61-$D62),($C62-$C61)&gt;0),$C62-$C61,0))</f>
        <v>0</v>
      </c>
      <c r="AF62">
        <f>IF(OR($E62="",$E61=""),"",IF(AND(($D61-$D62)&gt;($C62-$C61),($D61-$D62)&gt;0),$D61-$D62,0))</f>
        <v>0</v>
      </c>
      <c r="AG62">
        <f>IF(COUNT($E$2:$E62)&lt;15,"",IF(SUM($AC$49:$AC$62)=0,0,100*SUM($AE$49:$AE$62)/SUM($AC$49:$AC$62)))</f>
        <v>0</v>
      </c>
      <c r="AH62">
        <f>IF(COUNT($E$2:$E62)&lt;15,"",IF(SUM($AC$49:$AC$62)=0,0,100*SUM($AF$49:$AF$62)/SUM($AC$49:$AC$62)))</f>
        <v>0</v>
      </c>
      <c r="AI62">
        <f>IF(OR(AG62="",AH62=""),"",IF((AG62+AH62)=0,0,100*ABS(AG62-AH62)/(AG62+AH62)))</f>
        <v>0</v>
      </c>
      <c r="AJ62">
        <f>IF(COUNT($AI$49:$AI$62)&lt;14,"",AVERAGE($AI$49:$AI$62))</f>
        <v>0</v>
      </c>
      <c r="AK62">
        <f>IF(COUNT($E$2:$E62)&lt;20,"",AVERAGE($E$43:$E$62))</f>
        <v>0</v>
      </c>
      <c r="AL62">
        <f>IF(COUNT($E$2:$E62)&lt;20,"",STDEVP($E$43:$E$62))</f>
        <v>0</v>
      </c>
      <c r="AM62">
        <f>IF(AK62="","",AK62+2*AL62)</f>
        <v>0</v>
      </c>
      <c r="AN62">
        <f>IF(AK62="","",AK62-2*AL62)</f>
        <v>0</v>
      </c>
      <c r="AO62">
        <f>IF(OR(AM62="",AN62="",AM62=AN62),"",($E62-AN62)/(AM62-AN62))</f>
        <v>0</v>
      </c>
      <c r="AP62">
        <f>IF(OR(AM62="",AK62="",AK62=0),"",(AM62-AN62)/AK62)</f>
        <v>0</v>
      </c>
      <c r="AQ62">
        <f>IF(COUNT($E$2:$E62)&lt;20,"",MAX($C$43:$C$62))</f>
        <v>0</v>
      </c>
      <c r="AR62">
        <f>IF(COUNT($E$2:$E62)&lt;20,"",MIN($D$43:$D$62))</f>
        <v>0</v>
      </c>
      <c r="AS62">
        <f>IF(OR(AQ62="",AR62=""),"",(AQ62+AR62)/2)</f>
        <v>0</v>
      </c>
      <c r="AT62">
        <f>IF(COUNT($G$43:$G$62)&lt;20,"",STDEV($G$43:$G$62)*SQRT(252))</f>
        <v>0</v>
      </c>
      <c r="AU62">
        <f>IF(COUNT($E$2:$E62)&lt;9,"",(MAX($C$54:$C$62)+MIN($D$54:$D$62))/2)</f>
        <v>0</v>
      </c>
      <c r="AV62">
        <f>IF(COUNT($E$2:$E62)&lt;26,"",(MAX($C$37:$C$62)+MIN($D$37:$D$62))/2)</f>
        <v>0</v>
      </c>
      <c r="AW62">
        <f>IF(OR(AU62="",AV62=""),"",(AU62+AV62)/2)</f>
        <v>0</v>
      </c>
      <c r="AX62">
        <f>IF(COUNT($E$2:$E62)&lt;52,"",(MAX($C$11:$C$62)+MIN($D$11:$D$62))/2)</f>
        <v>0</v>
      </c>
      <c r="AY62">
        <f>IF(COUNT($E$2:$E62)&lt;20,"",MAX($C$2:$C$62))</f>
        <v>0</v>
      </c>
      <c r="AZ62">
        <f>IF(COUNT($E$2:$E62)&lt;20,"",MIN($D$2:$D$62))</f>
        <v>0</v>
      </c>
      <c r="BA62">
        <f>IF(COUNT($E$2:$E62)&lt;20,"",SLOPE($E$2:$E$62,$F$2:$F$62))</f>
        <v>0</v>
      </c>
      <c r="BB62">
        <f>IF(COUNT($E$2:$E62)&lt;20,"",INTERCEPT($E$2:$E$62,$F$2:$F$62))</f>
        <v>0</v>
      </c>
      <c r="BC62">
        <f>IF(OR(BA62="",BB62=""),"",BB62+BA62*F62)</f>
        <v>0</v>
      </c>
      <c r="BD62">
        <f>IF(COUNT($E$2:$E62)&lt;20,"",STEYX($E$2:$E$62,$F$2:$F$62))</f>
        <v>0</v>
      </c>
      <c r="BE62">
        <f>IF($E62="","",IF(AND(COUNT($E$63:$E$66)&gt;=4,$C62=MAX($C$58:$C$66)),$C62,""))</f>
        <v>0</v>
      </c>
      <c r="BF62">
        <f>IF($E62="","",IF(AND(COUNT($E$63:$E$66)&gt;=4,$D62=MIN($D$58:$D$66)),$D62,""))</f>
        <v>0</v>
      </c>
      <c r="BG62">
        <f>IF($A62="","",$A62-WEEKDAY($A62,2)+1)</f>
        <v>0</v>
      </c>
      <c r="BH62">
        <f>IF($A62="","",IF($A61="",1,IF(BG62&lt;&gt;BG61,1,0)))</f>
        <v>0</v>
      </c>
      <c r="BI62">
        <f>IF($A62="","",IF($A63="",1,IF(BG63&lt;&gt;BG62,1,0)))</f>
        <v>0</v>
      </c>
      <c r="BJ62">
        <f>IF($A62="","",IF(BH62=1,$B62,BJ61))</f>
        <v>0</v>
      </c>
      <c r="BK62">
        <f>IF($A62="","",IF(BH62=1,$C62,MAX($C62,BK61)))</f>
        <v>0</v>
      </c>
      <c r="BL62">
        <f>IF($A62="","",IF(BH62=1,$D62,MIN($D62,BL61)))</f>
        <v>0</v>
      </c>
      <c r="BM62">
        <f>IF($A62="","",IF(BI62=1,F62,""))</f>
        <v>0</v>
      </c>
      <c r="BN62">
        <f>IF($A62="","",DATE(YEAR($A62),MONTH($A62),1))</f>
        <v>0</v>
      </c>
      <c r="BO62">
        <f>IF($A62="","",IF($A61="",1,IF(BN62&lt;&gt;BN61,1,0)))</f>
        <v>0</v>
      </c>
      <c r="BP62">
        <f>IF($A62="","",IF($A63="",1,IF(BN63&lt;&gt;BN62,1,0)))</f>
        <v>0</v>
      </c>
      <c r="BQ62">
        <f>IF($A62="","",IF(BO62=1,$B62,BQ61))</f>
        <v>0</v>
      </c>
      <c r="BR62">
        <f>IF($A62="","",IF(BO62=1,$C62,MAX($C62,BR61)))</f>
        <v>0</v>
      </c>
      <c r="BS62">
        <f>IF($A62="","",IF(BO62=1,$D62,MIN($D62,BS61)))</f>
        <v>0</v>
      </c>
      <c r="BT62">
        <f>IF($A62="","",IF(BP62=1,F62,""))</f>
        <v>0</v>
      </c>
    </row>
    <row r="63" spans="1:72">
      <c r="A63" s="27">
        <f>IF(Data!$A63="","",Data!$A63)</f>
        <v>0</v>
      </c>
      <c r="B63">
        <f>IF(Data!$B63="","",Data!$B63)</f>
        <v>0</v>
      </c>
      <c r="C63">
        <f>IF(Data!$C63="","",Data!$C63)</f>
        <v>0</v>
      </c>
      <c r="D63">
        <f>IF(Data!$D63="","",Data!$D63)</f>
        <v>0</v>
      </c>
      <c r="E63">
        <f>IF(Data!$E63="","",Data!$E63)</f>
        <v>0</v>
      </c>
      <c r="F63">
        <f>IF($E63="","",N(F62)+1)</f>
        <v>0</v>
      </c>
      <c r="G63">
        <f>IF(OR($E63="",$E62=""),"",LN($E63/$E62))</f>
        <v>0</v>
      </c>
      <c r="H63">
        <f>IF($E63="","",IF($E62="",$E63,$E63*0.0952380952+H62*0.9047619048))</f>
        <v>0</v>
      </c>
      <c r="I63">
        <f>IF($E63="","",IF($E62="",$E63,$E63*0.0392156863+I62*0.9607843137))</f>
        <v>0</v>
      </c>
      <c r="J63">
        <f>IF($E63="","",IF($E62="",$E63,$E63*0.0198019802+J62*0.9801980198))</f>
        <v>0</v>
      </c>
      <c r="K63">
        <f>IF($E63="","",IF($E62="",$E63,$E63*0.0099502488+K62*0.9900497512))</f>
        <v>0</v>
      </c>
      <c r="L63">
        <f>IF(OR($E63="",$E62=""),"",MAX($E63-$E62,0))</f>
        <v>0</v>
      </c>
      <c r="M63">
        <f>IF(OR($E63="",$E62=""),"",MAX($E62-$E63,0))</f>
        <v>0</v>
      </c>
      <c r="N63">
        <f>IF(COUNT($E$2:$E63)&lt;15,"",IF(AVERAGE($M$50:$M$63)=0,100,100-100/(1+AVERAGE($L$50:$L$63)/AVERAGE($M$50:$M$63))))</f>
        <v>0</v>
      </c>
      <c r="O63">
        <f>IF($E63="","",IF($E62="",$E63,$E63*0.1538461538+O62*0.8461538462))</f>
        <v>0</v>
      </c>
      <c r="P63">
        <f>IF($E63="","",IF($E62="",$E63,$E63*0.0740740741+P62*0.9259259259))</f>
        <v>0</v>
      </c>
      <c r="Q63">
        <f>IF(OR(O63="",P63=""),"",O63-P63)</f>
        <v>0</v>
      </c>
      <c r="R63">
        <f>IF(Q63="","",IF(R62="",Q63,Q63*0.2000000000+R62*0.8000000000))</f>
        <v>0</v>
      </c>
      <c r="S63">
        <f>IF(OR(Q63="",R63=""),"",Q63-R63)</f>
        <v>0</v>
      </c>
      <c r="T63">
        <f>IF(COUNT($E$2:$E63)&lt;14,"",MAX($C$50:$C$63))</f>
        <v>0</v>
      </c>
      <c r="U63">
        <f>IF(COUNT($E$2:$E63)&lt;14,"",MIN($D$50:$D$63))</f>
        <v>0</v>
      </c>
      <c r="V63">
        <f>IF(OR(T63="",U63="",T63=U63),"",100*($E63-U63)/(T63-U63))</f>
        <v>0</v>
      </c>
      <c r="W63">
        <f>IF(COUNT($V$61:$V$63)&lt;3,"",AVERAGE($V$61:$V$63))</f>
        <v>0</v>
      </c>
      <c r="X63">
        <f>IF(COUNT($N$50:$N$63)&lt;14,"",MIN($N$50:$N$63))</f>
        <v>0</v>
      </c>
      <c r="Y63">
        <f>IF(COUNT($N$50:$N$63)&lt;14,"",MAX($N$50:$N$63))</f>
        <v>0</v>
      </c>
      <c r="Z63">
        <f>IF(OR(N63="",X63="",Y63="",Y63=X63),"",100*(N63-X63)/(Y63-X63))</f>
        <v>0</v>
      </c>
      <c r="AA63">
        <f>IF(COUNT($Z$61:$Z$63)&lt;3,"",AVERAGE($Z$61:$Z$63))</f>
        <v>0</v>
      </c>
      <c r="AB63">
        <f>IF(COUNT($AA$61:$AA$63)&lt;3,"",AVERAGE($AA$61:$AA$63))</f>
        <v>0</v>
      </c>
      <c r="AC63">
        <f>IF($E63="","",MAX($C63-$D63,ABS($C63-$E62),ABS($D63-$E62)))</f>
        <v>0</v>
      </c>
      <c r="AD63">
        <f>IF(COUNT($E$2:$E63)&lt;15,"",AVERAGE($AC$50:$AC$63))</f>
        <v>0</v>
      </c>
      <c r="AE63">
        <f>IF(OR($E63="",$E62=""),"",IF(AND(($C63-$C62)&gt;($D62-$D63),($C63-$C62)&gt;0),$C63-$C62,0))</f>
        <v>0</v>
      </c>
      <c r="AF63">
        <f>IF(OR($E63="",$E62=""),"",IF(AND(($D62-$D63)&gt;($C63-$C62),($D62-$D63)&gt;0),$D62-$D63,0))</f>
        <v>0</v>
      </c>
      <c r="AG63">
        <f>IF(COUNT($E$2:$E63)&lt;15,"",IF(SUM($AC$50:$AC$63)=0,0,100*SUM($AE$50:$AE$63)/SUM($AC$50:$AC$63)))</f>
        <v>0</v>
      </c>
      <c r="AH63">
        <f>IF(COUNT($E$2:$E63)&lt;15,"",IF(SUM($AC$50:$AC$63)=0,0,100*SUM($AF$50:$AF$63)/SUM($AC$50:$AC$63)))</f>
        <v>0</v>
      </c>
      <c r="AI63">
        <f>IF(OR(AG63="",AH63=""),"",IF((AG63+AH63)=0,0,100*ABS(AG63-AH63)/(AG63+AH63)))</f>
        <v>0</v>
      </c>
      <c r="AJ63">
        <f>IF(COUNT($AI$50:$AI$63)&lt;14,"",AVERAGE($AI$50:$AI$63))</f>
        <v>0</v>
      </c>
      <c r="AK63">
        <f>IF(COUNT($E$2:$E63)&lt;20,"",AVERAGE($E$44:$E$63))</f>
        <v>0</v>
      </c>
      <c r="AL63">
        <f>IF(COUNT($E$2:$E63)&lt;20,"",STDEVP($E$44:$E$63))</f>
        <v>0</v>
      </c>
      <c r="AM63">
        <f>IF(AK63="","",AK63+2*AL63)</f>
        <v>0</v>
      </c>
      <c r="AN63">
        <f>IF(AK63="","",AK63-2*AL63)</f>
        <v>0</v>
      </c>
      <c r="AO63">
        <f>IF(OR(AM63="",AN63="",AM63=AN63),"",($E63-AN63)/(AM63-AN63))</f>
        <v>0</v>
      </c>
      <c r="AP63">
        <f>IF(OR(AM63="",AK63="",AK63=0),"",(AM63-AN63)/AK63)</f>
        <v>0</v>
      </c>
      <c r="AQ63">
        <f>IF(COUNT($E$2:$E63)&lt;20,"",MAX($C$44:$C$63))</f>
        <v>0</v>
      </c>
      <c r="AR63">
        <f>IF(COUNT($E$2:$E63)&lt;20,"",MIN($D$44:$D$63))</f>
        <v>0</v>
      </c>
      <c r="AS63">
        <f>IF(OR(AQ63="",AR63=""),"",(AQ63+AR63)/2)</f>
        <v>0</v>
      </c>
      <c r="AT63">
        <f>IF(COUNT($G$44:$G$63)&lt;20,"",STDEV($G$44:$G$63)*SQRT(252))</f>
        <v>0</v>
      </c>
      <c r="AU63">
        <f>IF(COUNT($E$2:$E63)&lt;9,"",(MAX($C$55:$C$63)+MIN($D$55:$D$63))/2)</f>
        <v>0</v>
      </c>
      <c r="AV63">
        <f>IF(COUNT($E$2:$E63)&lt;26,"",(MAX($C$38:$C$63)+MIN($D$38:$D$63))/2)</f>
        <v>0</v>
      </c>
      <c r="AW63">
        <f>IF(OR(AU63="",AV63=""),"",(AU63+AV63)/2)</f>
        <v>0</v>
      </c>
      <c r="AX63">
        <f>IF(COUNT($E$2:$E63)&lt;52,"",(MAX($C$12:$C$63)+MIN($D$12:$D$63))/2)</f>
        <v>0</v>
      </c>
      <c r="AY63">
        <f>IF(COUNT($E$2:$E63)&lt;20,"",MAX($C$2:$C$63))</f>
        <v>0</v>
      </c>
      <c r="AZ63">
        <f>IF(COUNT($E$2:$E63)&lt;20,"",MIN($D$2:$D$63))</f>
        <v>0</v>
      </c>
      <c r="BA63">
        <f>IF(COUNT($E$2:$E63)&lt;20,"",SLOPE($E$2:$E$63,$F$2:$F$63))</f>
        <v>0</v>
      </c>
      <c r="BB63">
        <f>IF(COUNT($E$2:$E63)&lt;20,"",INTERCEPT($E$2:$E$63,$F$2:$F$63))</f>
        <v>0</v>
      </c>
      <c r="BC63">
        <f>IF(OR(BA63="",BB63=""),"",BB63+BA63*F63)</f>
        <v>0</v>
      </c>
      <c r="BD63">
        <f>IF(COUNT($E$2:$E63)&lt;20,"",STEYX($E$2:$E$63,$F$2:$F$63))</f>
        <v>0</v>
      </c>
      <c r="BE63">
        <f>IF($E63="","",IF(AND(COUNT($E$64:$E$67)&gt;=4,$C63=MAX($C$59:$C$67)),$C63,""))</f>
        <v>0</v>
      </c>
      <c r="BF63">
        <f>IF($E63="","",IF(AND(COUNT($E$64:$E$67)&gt;=4,$D63=MIN($D$59:$D$67)),$D63,""))</f>
        <v>0</v>
      </c>
      <c r="BG63">
        <f>IF($A63="","",$A63-WEEKDAY($A63,2)+1)</f>
        <v>0</v>
      </c>
      <c r="BH63">
        <f>IF($A63="","",IF($A62="",1,IF(BG63&lt;&gt;BG62,1,0)))</f>
        <v>0</v>
      </c>
      <c r="BI63">
        <f>IF($A63="","",IF($A64="",1,IF(BG64&lt;&gt;BG63,1,0)))</f>
        <v>0</v>
      </c>
      <c r="BJ63">
        <f>IF($A63="","",IF(BH63=1,$B63,BJ62))</f>
        <v>0</v>
      </c>
      <c r="BK63">
        <f>IF($A63="","",IF(BH63=1,$C63,MAX($C63,BK62)))</f>
        <v>0</v>
      </c>
      <c r="BL63">
        <f>IF($A63="","",IF(BH63=1,$D63,MIN($D63,BL62)))</f>
        <v>0</v>
      </c>
      <c r="BM63">
        <f>IF($A63="","",IF(BI63=1,F63,""))</f>
        <v>0</v>
      </c>
      <c r="BN63">
        <f>IF($A63="","",DATE(YEAR($A63),MONTH($A63),1))</f>
        <v>0</v>
      </c>
      <c r="BO63">
        <f>IF($A63="","",IF($A62="",1,IF(BN63&lt;&gt;BN62,1,0)))</f>
        <v>0</v>
      </c>
      <c r="BP63">
        <f>IF($A63="","",IF($A64="",1,IF(BN64&lt;&gt;BN63,1,0)))</f>
        <v>0</v>
      </c>
      <c r="BQ63">
        <f>IF($A63="","",IF(BO63=1,$B63,BQ62))</f>
        <v>0</v>
      </c>
      <c r="BR63">
        <f>IF($A63="","",IF(BO63=1,$C63,MAX($C63,BR62)))</f>
        <v>0</v>
      </c>
      <c r="BS63">
        <f>IF($A63="","",IF(BO63=1,$D63,MIN($D63,BS62)))</f>
        <v>0</v>
      </c>
      <c r="BT63">
        <f>IF($A63="","",IF(BP63=1,F63,""))</f>
        <v>0</v>
      </c>
    </row>
    <row r="64" spans="1:72">
      <c r="A64" s="27">
        <f>IF(Data!$A64="","",Data!$A64)</f>
        <v>0</v>
      </c>
      <c r="B64">
        <f>IF(Data!$B64="","",Data!$B64)</f>
        <v>0</v>
      </c>
      <c r="C64">
        <f>IF(Data!$C64="","",Data!$C64)</f>
        <v>0</v>
      </c>
      <c r="D64">
        <f>IF(Data!$D64="","",Data!$D64)</f>
        <v>0</v>
      </c>
      <c r="E64">
        <f>IF(Data!$E64="","",Data!$E64)</f>
        <v>0</v>
      </c>
      <c r="F64">
        <f>IF($E64="","",N(F63)+1)</f>
        <v>0</v>
      </c>
      <c r="G64">
        <f>IF(OR($E64="",$E63=""),"",LN($E64/$E63))</f>
        <v>0</v>
      </c>
      <c r="H64">
        <f>IF($E64="","",IF($E63="",$E64,$E64*0.0952380952+H63*0.9047619048))</f>
        <v>0</v>
      </c>
      <c r="I64">
        <f>IF($E64="","",IF($E63="",$E64,$E64*0.0392156863+I63*0.9607843137))</f>
        <v>0</v>
      </c>
      <c r="J64">
        <f>IF($E64="","",IF($E63="",$E64,$E64*0.0198019802+J63*0.9801980198))</f>
        <v>0</v>
      </c>
      <c r="K64">
        <f>IF($E64="","",IF($E63="",$E64,$E64*0.0099502488+K63*0.9900497512))</f>
        <v>0</v>
      </c>
      <c r="L64">
        <f>IF(OR($E64="",$E63=""),"",MAX($E64-$E63,0))</f>
        <v>0</v>
      </c>
      <c r="M64">
        <f>IF(OR($E64="",$E63=""),"",MAX($E63-$E64,0))</f>
        <v>0</v>
      </c>
      <c r="N64">
        <f>IF(COUNT($E$2:$E64)&lt;15,"",IF(AVERAGE($M$51:$M$64)=0,100,100-100/(1+AVERAGE($L$51:$L$64)/AVERAGE($M$51:$M$64))))</f>
        <v>0</v>
      </c>
      <c r="O64">
        <f>IF($E64="","",IF($E63="",$E64,$E64*0.1538461538+O63*0.8461538462))</f>
        <v>0</v>
      </c>
      <c r="P64">
        <f>IF($E64="","",IF($E63="",$E64,$E64*0.0740740741+P63*0.9259259259))</f>
        <v>0</v>
      </c>
      <c r="Q64">
        <f>IF(OR(O64="",P64=""),"",O64-P64)</f>
        <v>0</v>
      </c>
      <c r="R64">
        <f>IF(Q64="","",IF(R63="",Q64,Q64*0.2000000000+R63*0.8000000000))</f>
        <v>0</v>
      </c>
      <c r="S64">
        <f>IF(OR(Q64="",R64=""),"",Q64-R64)</f>
        <v>0</v>
      </c>
      <c r="T64">
        <f>IF(COUNT($E$2:$E64)&lt;14,"",MAX($C$51:$C$64))</f>
        <v>0</v>
      </c>
      <c r="U64">
        <f>IF(COUNT($E$2:$E64)&lt;14,"",MIN($D$51:$D$64))</f>
        <v>0</v>
      </c>
      <c r="V64">
        <f>IF(OR(T64="",U64="",T64=U64),"",100*($E64-U64)/(T64-U64))</f>
        <v>0</v>
      </c>
      <c r="W64">
        <f>IF(COUNT($V$62:$V$64)&lt;3,"",AVERAGE($V$62:$V$64))</f>
        <v>0</v>
      </c>
      <c r="X64">
        <f>IF(COUNT($N$51:$N$64)&lt;14,"",MIN($N$51:$N$64))</f>
        <v>0</v>
      </c>
      <c r="Y64">
        <f>IF(COUNT($N$51:$N$64)&lt;14,"",MAX($N$51:$N$64))</f>
        <v>0</v>
      </c>
      <c r="Z64">
        <f>IF(OR(N64="",X64="",Y64="",Y64=X64),"",100*(N64-X64)/(Y64-X64))</f>
        <v>0</v>
      </c>
      <c r="AA64">
        <f>IF(COUNT($Z$62:$Z$64)&lt;3,"",AVERAGE($Z$62:$Z$64))</f>
        <v>0</v>
      </c>
      <c r="AB64">
        <f>IF(COUNT($AA$62:$AA$64)&lt;3,"",AVERAGE($AA$62:$AA$64))</f>
        <v>0</v>
      </c>
      <c r="AC64">
        <f>IF($E64="","",MAX($C64-$D64,ABS($C64-$E63),ABS($D64-$E63)))</f>
        <v>0</v>
      </c>
      <c r="AD64">
        <f>IF(COUNT($E$2:$E64)&lt;15,"",AVERAGE($AC$51:$AC$64))</f>
        <v>0</v>
      </c>
      <c r="AE64">
        <f>IF(OR($E64="",$E63=""),"",IF(AND(($C64-$C63)&gt;($D63-$D64),($C64-$C63)&gt;0),$C64-$C63,0))</f>
        <v>0</v>
      </c>
      <c r="AF64">
        <f>IF(OR($E64="",$E63=""),"",IF(AND(($D63-$D64)&gt;($C64-$C63),($D63-$D64)&gt;0),$D63-$D64,0))</f>
        <v>0</v>
      </c>
      <c r="AG64">
        <f>IF(COUNT($E$2:$E64)&lt;15,"",IF(SUM($AC$51:$AC$64)=0,0,100*SUM($AE$51:$AE$64)/SUM($AC$51:$AC$64)))</f>
        <v>0</v>
      </c>
      <c r="AH64">
        <f>IF(COUNT($E$2:$E64)&lt;15,"",IF(SUM($AC$51:$AC$64)=0,0,100*SUM($AF$51:$AF$64)/SUM($AC$51:$AC$64)))</f>
        <v>0</v>
      </c>
      <c r="AI64">
        <f>IF(OR(AG64="",AH64=""),"",IF((AG64+AH64)=0,0,100*ABS(AG64-AH64)/(AG64+AH64)))</f>
        <v>0</v>
      </c>
      <c r="AJ64">
        <f>IF(COUNT($AI$51:$AI$64)&lt;14,"",AVERAGE($AI$51:$AI$64))</f>
        <v>0</v>
      </c>
      <c r="AK64">
        <f>IF(COUNT($E$2:$E64)&lt;20,"",AVERAGE($E$45:$E$64))</f>
        <v>0</v>
      </c>
      <c r="AL64">
        <f>IF(COUNT($E$2:$E64)&lt;20,"",STDEVP($E$45:$E$64))</f>
        <v>0</v>
      </c>
      <c r="AM64">
        <f>IF(AK64="","",AK64+2*AL64)</f>
        <v>0</v>
      </c>
      <c r="AN64">
        <f>IF(AK64="","",AK64-2*AL64)</f>
        <v>0</v>
      </c>
      <c r="AO64">
        <f>IF(OR(AM64="",AN64="",AM64=AN64),"",($E64-AN64)/(AM64-AN64))</f>
        <v>0</v>
      </c>
      <c r="AP64">
        <f>IF(OR(AM64="",AK64="",AK64=0),"",(AM64-AN64)/AK64)</f>
        <v>0</v>
      </c>
      <c r="AQ64">
        <f>IF(COUNT($E$2:$E64)&lt;20,"",MAX($C$45:$C$64))</f>
        <v>0</v>
      </c>
      <c r="AR64">
        <f>IF(COUNT($E$2:$E64)&lt;20,"",MIN($D$45:$D$64))</f>
        <v>0</v>
      </c>
      <c r="AS64">
        <f>IF(OR(AQ64="",AR64=""),"",(AQ64+AR64)/2)</f>
        <v>0</v>
      </c>
      <c r="AT64">
        <f>IF(COUNT($G$45:$G$64)&lt;20,"",STDEV($G$45:$G$64)*SQRT(252))</f>
        <v>0</v>
      </c>
      <c r="AU64">
        <f>IF(COUNT($E$2:$E64)&lt;9,"",(MAX($C$56:$C$64)+MIN($D$56:$D$64))/2)</f>
        <v>0</v>
      </c>
      <c r="AV64">
        <f>IF(COUNT($E$2:$E64)&lt;26,"",(MAX($C$39:$C$64)+MIN($D$39:$D$64))/2)</f>
        <v>0</v>
      </c>
      <c r="AW64">
        <f>IF(OR(AU64="",AV64=""),"",(AU64+AV64)/2)</f>
        <v>0</v>
      </c>
      <c r="AX64">
        <f>IF(COUNT($E$2:$E64)&lt;52,"",(MAX($C$13:$C$64)+MIN($D$13:$D$64))/2)</f>
        <v>0</v>
      </c>
      <c r="AY64">
        <f>IF(COUNT($E$2:$E64)&lt;20,"",MAX($C$2:$C$64))</f>
        <v>0</v>
      </c>
      <c r="AZ64">
        <f>IF(COUNT($E$2:$E64)&lt;20,"",MIN($D$2:$D$64))</f>
        <v>0</v>
      </c>
      <c r="BA64">
        <f>IF(COUNT($E$2:$E64)&lt;20,"",SLOPE($E$2:$E$64,$F$2:$F$64))</f>
        <v>0</v>
      </c>
      <c r="BB64">
        <f>IF(COUNT($E$2:$E64)&lt;20,"",INTERCEPT($E$2:$E$64,$F$2:$F$64))</f>
        <v>0</v>
      </c>
      <c r="BC64">
        <f>IF(OR(BA64="",BB64=""),"",BB64+BA64*F64)</f>
        <v>0</v>
      </c>
      <c r="BD64">
        <f>IF(COUNT($E$2:$E64)&lt;20,"",STEYX($E$2:$E$64,$F$2:$F$64))</f>
        <v>0</v>
      </c>
      <c r="BE64">
        <f>IF($E64="","",IF(AND(COUNT($E$65:$E$68)&gt;=4,$C64=MAX($C$60:$C$68)),$C64,""))</f>
        <v>0</v>
      </c>
      <c r="BF64">
        <f>IF($E64="","",IF(AND(COUNT($E$65:$E$68)&gt;=4,$D64=MIN($D$60:$D$68)),$D64,""))</f>
        <v>0</v>
      </c>
      <c r="BG64">
        <f>IF($A64="","",$A64-WEEKDAY($A64,2)+1)</f>
        <v>0</v>
      </c>
      <c r="BH64">
        <f>IF($A64="","",IF($A63="",1,IF(BG64&lt;&gt;BG63,1,0)))</f>
        <v>0</v>
      </c>
      <c r="BI64">
        <f>IF($A64="","",IF($A65="",1,IF(BG65&lt;&gt;BG64,1,0)))</f>
        <v>0</v>
      </c>
      <c r="BJ64">
        <f>IF($A64="","",IF(BH64=1,$B64,BJ63))</f>
        <v>0</v>
      </c>
      <c r="BK64">
        <f>IF($A64="","",IF(BH64=1,$C64,MAX($C64,BK63)))</f>
        <v>0</v>
      </c>
      <c r="BL64">
        <f>IF($A64="","",IF(BH64=1,$D64,MIN($D64,BL63)))</f>
        <v>0</v>
      </c>
      <c r="BM64">
        <f>IF($A64="","",IF(BI64=1,F64,""))</f>
        <v>0</v>
      </c>
      <c r="BN64">
        <f>IF($A64="","",DATE(YEAR($A64),MONTH($A64),1))</f>
        <v>0</v>
      </c>
      <c r="BO64">
        <f>IF($A64="","",IF($A63="",1,IF(BN64&lt;&gt;BN63,1,0)))</f>
        <v>0</v>
      </c>
      <c r="BP64">
        <f>IF($A64="","",IF($A65="",1,IF(BN65&lt;&gt;BN64,1,0)))</f>
        <v>0</v>
      </c>
      <c r="BQ64">
        <f>IF($A64="","",IF(BO64=1,$B64,BQ63))</f>
        <v>0</v>
      </c>
      <c r="BR64">
        <f>IF($A64="","",IF(BO64=1,$C64,MAX($C64,BR63)))</f>
        <v>0</v>
      </c>
      <c r="BS64">
        <f>IF($A64="","",IF(BO64=1,$D64,MIN($D64,BS63)))</f>
        <v>0</v>
      </c>
      <c r="BT64">
        <f>IF($A64="","",IF(BP64=1,F64,""))</f>
        <v>0</v>
      </c>
    </row>
    <row r="65" spans="1:72">
      <c r="A65" s="27">
        <f>IF(Data!$A65="","",Data!$A65)</f>
        <v>0</v>
      </c>
      <c r="B65">
        <f>IF(Data!$B65="","",Data!$B65)</f>
        <v>0</v>
      </c>
      <c r="C65">
        <f>IF(Data!$C65="","",Data!$C65)</f>
        <v>0</v>
      </c>
      <c r="D65">
        <f>IF(Data!$D65="","",Data!$D65)</f>
        <v>0</v>
      </c>
      <c r="E65">
        <f>IF(Data!$E65="","",Data!$E65)</f>
        <v>0</v>
      </c>
      <c r="F65">
        <f>IF($E65="","",N(F64)+1)</f>
        <v>0</v>
      </c>
      <c r="G65">
        <f>IF(OR($E65="",$E64=""),"",LN($E65/$E64))</f>
        <v>0</v>
      </c>
      <c r="H65">
        <f>IF($E65="","",IF($E64="",$E65,$E65*0.0952380952+H64*0.9047619048))</f>
        <v>0</v>
      </c>
      <c r="I65">
        <f>IF($E65="","",IF($E64="",$E65,$E65*0.0392156863+I64*0.9607843137))</f>
        <v>0</v>
      </c>
      <c r="J65">
        <f>IF($E65="","",IF($E64="",$E65,$E65*0.0198019802+J64*0.9801980198))</f>
        <v>0</v>
      </c>
      <c r="K65">
        <f>IF($E65="","",IF($E64="",$E65,$E65*0.0099502488+K64*0.9900497512))</f>
        <v>0</v>
      </c>
      <c r="L65">
        <f>IF(OR($E65="",$E64=""),"",MAX($E65-$E64,0))</f>
        <v>0</v>
      </c>
      <c r="M65">
        <f>IF(OR($E65="",$E64=""),"",MAX($E64-$E65,0))</f>
        <v>0</v>
      </c>
      <c r="N65">
        <f>IF(COUNT($E$2:$E65)&lt;15,"",IF(AVERAGE($M$52:$M$65)=0,100,100-100/(1+AVERAGE($L$52:$L$65)/AVERAGE($M$52:$M$65))))</f>
        <v>0</v>
      </c>
      <c r="O65">
        <f>IF($E65="","",IF($E64="",$E65,$E65*0.1538461538+O64*0.8461538462))</f>
        <v>0</v>
      </c>
      <c r="P65">
        <f>IF($E65="","",IF($E64="",$E65,$E65*0.0740740741+P64*0.9259259259))</f>
        <v>0</v>
      </c>
      <c r="Q65">
        <f>IF(OR(O65="",P65=""),"",O65-P65)</f>
        <v>0</v>
      </c>
      <c r="R65">
        <f>IF(Q65="","",IF(R64="",Q65,Q65*0.2000000000+R64*0.8000000000))</f>
        <v>0</v>
      </c>
      <c r="S65">
        <f>IF(OR(Q65="",R65=""),"",Q65-R65)</f>
        <v>0</v>
      </c>
      <c r="T65">
        <f>IF(COUNT($E$2:$E65)&lt;14,"",MAX($C$52:$C$65))</f>
        <v>0</v>
      </c>
      <c r="U65">
        <f>IF(COUNT($E$2:$E65)&lt;14,"",MIN($D$52:$D$65))</f>
        <v>0</v>
      </c>
      <c r="V65">
        <f>IF(OR(T65="",U65="",T65=U65),"",100*($E65-U65)/(T65-U65))</f>
        <v>0</v>
      </c>
      <c r="W65">
        <f>IF(COUNT($V$63:$V$65)&lt;3,"",AVERAGE($V$63:$V$65))</f>
        <v>0</v>
      </c>
      <c r="X65">
        <f>IF(COUNT($N$52:$N$65)&lt;14,"",MIN($N$52:$N$65))</f>
        <v>0</v>
      </c>
      <c r="Y65">
        <f>IF(COUNT($N$52:$N$65)&lt;14,"",MAX($N$52:$N$65))</f>
        <v>0</v>
      </c>
      <c r="Z65">
        <f>IF(OR(N65="",X65="",Y65="",Y65=X65),"",100*(N65-X65)/(Y65-X65))</f>
        <v>0</v>
      </c>
      <c r="AA65">
        <f>IF(COUNT($Z$63:$Z$65)&lt;3,"",AVERAGE($Z$63:$Z$65))</f>
        <v>0</v>
      </c>
      <c r="AB65">
        <f>IF(COUNT($AA$63:$AA$65)&lt;3,"",AVERAGE($AA$63:$AA$65))</f>
        <v>0</v>
      </c>
      <c r="AC65">
        <f>IF($E65="","",MAX($C65-$D65,ABS($C65-$E64),ABS($D65-$E64)))</f>
        <v>0</v>
      </c>
      <c r="AD65">
        <f>IF(COUNT($E$2:$E65)&lt;15,"",AVERAGE($AC$52:$AC$65))</f>
        <v>0</v>
      </c>
      <c r="AE65">
        <f>IF(OR($E65="",$E64=""),"",IF(AND(($C65-$C64)&gt;($D64-$D65),($C65-$C64)&gt;0),$C65-$C64,0))</f>
        <v>0</v>
      </c>
      <c r="AF65">
        <f>IF(OR($E65="",$E64=""),"",IF(AND(($D64-$D65)&gt;($C65-$C64),($D64-$D65)&gt;0),$D64-$D65,0))</f>
        <v>0</v>
      </c>
      <c r="AG65">
        <f>IF(COUNT($E$2:$E65)&lt;15,"",IF(SUM($AC$52:$AC$65)=0,0,100*SUM($AE$52:$AE$65)/SUM($AC$52:$AC$65)))</f>
        <v>0</v>
      </c>
      <c r="AH65">
        <f>IF(COUNT($E$2:$E65)&lt;15,"",IF(SUM($AC$52:$AC$65)=0,0,100*SUM($AF$52:$AF$65)/SUM($AC$52:$AC$65)))</f>
        <v>0</v>
      </c>
      <c r="AI65">
        <f>IF(OR(AG65="",AH65=""),"",IF((AG65+AH65)=0,0,100*ABS(AG65-AH65)/(AG65+AH65)))</f>
        <v>0</v>
      </c>
      <c r="AJ65">
        <f>IF(COUNT($AI$52:$AI$65)&lt;14,"",AVERAGE($AI$52:$AI$65))</f>
        <v>0</v>
      </c>
      <c r="AK65">
        <f>IF(COUNT($E$2:$E65)&lt;20,"",AVERAGE($E$46:$E$65))</f>
        <v>0</v>
      </c>
      <c r="AL65">
        <f>IF(COUNT($E$2:$E65)&lt;20,"",STDEVP($E$46:$E$65))</f>
        <v>0</v>
      </c>
      <c r="AM65">
        <f>IF(AK65="","",AK65+2*AL65)</f>
        <v>0</v>
      </c>
      <c r="AN65">
        <f>IF(AK65="","",AK65-2*AL65)</f>
        <v>0</v>
      </c>
      <c r="AO65">
        <f>IF(OR(AM65="",AN65="",AM65=AN65),"",($E65-AN65)/(AM65-AN65))</f>
        <v>0</v>
      </c>
      <c r="AP65">
        <f>IF(OR(AM65="",AK65="",AK65=0),"",(AM65-AN65)/AK65)</f>
        <v>0</v>
      </c>
      <c r="AQ65">
        <f>IF(COUNT($E$2:$E65)&lt;20,"",MAX($C$46:$C$65))</f>
        <v>0</v>
      </c>
      <c r="AR65">
        <f>IF(COUNT($E$2:$E65)&lt;20,"",MIN($D$46:$D$65))</f>
        <v>0</v>
      </c>
      <c r="AS65">
        <f>IF(OR(AQ65="",AR65=""),"",(AQ65+AR65)/2)</f>
        <v>0</v>
      </c>
      <c r="AT65">
        <f>IF(COUNT($G$46:$G$65)&lt;20,"",STDEV($G$46:$G$65)*SQRT(252))</f>
        <v>0</v>
      </c>
      <c r="AU65">
        <f>IF(COUNT($E$2:$E65)&lt;9,"",(MAX($C$57:$C$65)+MIN($D$57:$D$65))/2)</f>
        <v>0</v>
      </c>
      <c r="AV65">
        <f>IF(COUNT($E$2:$E65)&lt;26,"",(MAX($C$40:$C$65)+MIN($D$40:$D$65))/2)</f>
        <v>0</v>
      </c>
      <c r="AW65">
        <f>IF(OR(AU65="",AV65=""),"",(AU65+AV65)/2)</f>
        <v>0</v>
      </c>
      <c r="AX65">
        <f>IF(COUNT($E$2:$E65)&lt;52,"",(MAX($C$14:$C$65)+MIN($D$14:$D$65))/2)</f>
        <v>0</v>
      </c>
      <c r="AY65">
        <f>IF(COUNT($E$2:$E65)&lt;20,"",MAX($C$2:$C$65))</f>
        <v>0</v>
      </c>
      <c r="AZ65">
        <f>IF(COUNT($E$2:$E65)&lt;20,"",MIN($D$2:$D$65))</f>
        <v>0</v>
      </c>
      <c r="BA65">
        <f>IF(COUNT($E$2:$E65)&lt;20,"",SLOPE($E$2:$E$65,$F$2:$F$65))</f>
        <v>0</v>
      </c>
      <c r="BB65">
        <f>IF(COUNT($E$2:$E65)&lt;20,"",INTERCEPT($E$2:$E$65,$F$2:$F$65))</f>
        <v>0</v>
      </c>
      <c r="BC65">
        <f>IF(OR(BA65="",BB65=""),"",BB65+BA65*F65)</f>
        <v>0</v>
      </c>
      <c r="BD65">
        <f>IF(COUNT($E$2:$E65)&lt;20,"",STEYX($E$2:$E$65,$F$2:$F$65))</f>
        <v>0</v>
      </c>
      <c r="BE65">
        <f>IF($E65="","",IF(AND(COUNT($E$66:$E$69)&gt;=4,$C65=MAX($C$61:$C$69)),$C65,""))</f>
        <v>0</v>
      </c>
      <c r="BF65">
        <f>IF($E65="","",IF(AND(COUNT($E$66:$E$69)&gt;=4,$D65=MIN($D$61:$D$69)),$D65,""))</f>
        <v>0</v>
      </c>
      <c r="BG65">
        <f>IF($A65="","",$A65-WEEKDAY($A65,2)+1)</f>
        <v>0</v>
      </c>
      <c r="BH65">
        <f>IF($A65="","",IF($A64="",1,IF(BG65&lt;&gt;BG64,1,0)))</f>
        <v>0</v>
      </c>
      <c r="BI65">
        <f>IF($A65="","",IF($A66="",1,IF(BG66&lt;&gt;BG65,1,0)))</f>
        <v>0</v>
      </c>
      <c r="BJ65">
        <f>IF($A65="","",IF(BH65=1,$B65,BJ64))</f>
        <v>0</v>
      </c>
      <c r="BK65">
        <f>IF($A65="","",IF(BH65=1,$C65,MAX($C65,BK64)))</f>
        <v>0</v>
      </c>
      <c r="BL65">
        <f>IF($A65="","",IF(BH65=1,$D65,MIN($D65,BL64)))</f>
        <v>0</v>
      </c>
      <c r="BM65">
        <f>IF($A65="","",IF(BI65=1,F65,""))</f>
        <v>0</v>
      </c>
      <c r="BN65">
        <f>IF($A65="","",DATE(YEAR($A65),MONTH($A65),1))</f>
        <v>0</v>
      </c>
      <c r="BO65">
        <f>IF($A65="","",IF($A64="",1,IF(BN65&lt;&gt;BN64,1,0)))</f>
        <v>0</v>
      </c>
      <c r="BP65">
        <f>IF($A65="","",IF($A66="",1,IF(BN66&lt;&gt;BN65,1,0)))</f>
        <v>0</v>
      </c>
      <c r="BQ65">
        <f>IF($A65="","",IF(BO65=1,$B65,BQ64))</f>
        <v>0</v>
      </c>
      <c r="BR65">
        <f>IF($A65="","",IF(BO65=1,$C65,MAX($C65,BR64)))</f>
        <v>0</v>
      </c>
      <c r="BS65">
        <f>IF($A65="","",IF(BO65=1,$D65,MIN($D65,BS64)))</f>
        <v>0</v>
      </c>
      <c r="BT65">
        <f>IF($A65="","",IF(BP65=1,F65,""))</f>
        <v>0</v>
      </c>
    </row>
    <row r="66" spans="1:72">
      <c r="A66" s="27">
        <f>IF(Data!$A66="","",Data!$A66)</f>
        <v>0</v>
      </c>
      <c r="B66">
        <f>IF(Data!$B66="","",Data!$B66)</f>
        <v>0</v>
      </c>
      <c r="C66">
        <f>IF(Data!$C66="","",Data!$C66)</f>
        <v>0</v>
      </c>
      <c r="D66">
        <f>IF(Data!$D66="","",Data!$D66)</f>
        <v>0</v>
      </c>
      <c r="E66">
        <f>IF(Data!$E66="","",Data!$E66)</f>
        <v>0</v>
      </c>
      <c r="F66">
        <f>IF($E66="","",N(F65)+1)</f>
        <v>0</v>
      </c>
      <c r="G66">
        <f>IF(OR($E66="",$E65=""),"",LN($E66/$E65))</f>
        <v>0</v>
      </c>
      <c r="H66">
        <f>IF($E66="","",IF($E65="",$E66,$E66*0.0952380952+H65*0.9047619048))</f>
        <v>0</v>
      </c>
      <c r="I66">
        <f>IF($E66="","",IF($E65="",$E66,$E66*0.0392156863+I65*0.9607843137))</f>
        <v>0</v>
      </c>
      <c r="J66">
        <f>IF($E66="","",IF($E65="",$E66,$E66*0.0198019802+J65*0.9801980198))</f>
        <v>0</v>
      </c>
      <c r="K66">
        <f>IF($E66="","",IF($E65="",$E66,$E66*0.0099502488+K65*0.9900497512))</f>
        <v>0</v>
      </c>
      <c r="L66">
        <f>IF(OR($E66="",$E65=""),"",MAX($E66-$E65,0))</f>
        <v>0</v>
      </c>
      <c r="M66">
        <f>IF(OR($E66="",$E65=""),"",MAX($E65-$E66,0))</f>
        <v>0</v>
      </c>
      <c r="N66">
        <f>IF(COUNT($E$2:$E66)&lt;15,"",IF(AVERAGE($M$53:$M$66)=0,100,100-100/(1+AVERAGE($L$53:$L$66)/AVERAGE($M$53:$M$66))))</f>
        <v>0</v>
      </c>
      <c r="O66">
        <f>IF($E66="","",IF($E65="",$E66,$E66*0.1538461538+O65*0.8461538462))</f>
        <v>0</v>
      </c>
      <c r="P66">
        <f>IF($E66="","",IF($E65="",$E66,$E66*0.0740740741+P65*0.9259259259))</f>
        <v>0</v>
      </c>
      <c r="Q66">
        <f>IF(OR(O66="",P66=""),"",O66-P66)</f>
        <v>0</v>
      </c>
      <c r="R66">
        <f>IF(Q66="","",IF(R65="",Q66,Q66*0.2000000000+R65*0.8000000000))</f>
        <v>0</v>
      </c>
      <c r="S66">
        <f>IF(OR(Q66="",R66=""),"",Q66-R66)</f>
        <v>0</v>
      </c>
      <c r="T66">
        <f>IF(COUNT($E$2:$E66)&lt;14,"",MAX($C$53:$C$66))</f>
        <v>0</v>
      </c>
      <c r="U66">
        <f>IF(COUNT($E$2:$E66)&lt;14,"",MIN($D$53:$D$66))</f>
        <v>0</v>
      </c>
      <c r="V66">
        <f>IF(OR(T66="",U66="",T66=U66),"",100*($E66-U66)/(T66-U66))</f>
        <v>0</v>
      </c>
      <c r="W66">
        <f>IF(COUNT($V$64:$V$66)&lt;3,"",AVERAGE($V$64:$V$66))</f>
        <v>0</v>
      </c>
      <c r="X66">
        <f>IF(COUNT($N$53:$N$66)&lt;14,"",MIN($N$53:$N$66))</f>
        <v>0</v>
      </c>
      <c r="Y66">
        <f>IF(COUNT($N$53:$N$66)&lt;14,"",MAX($N$53:$N$66))</f>
        <v>0</v>
      </c>
      <c r="Z66">
        <f>IF(OR(N66="",X66="",Y66="",Y66=X66),"",100*(N66-X66)/(Y66-X66))</f>
        <v>0</v>
      </c>
      <c r="AA66">
        <f>IF(COUNT($Z$64:$Z$66)&lt;3,"",AVERAGE($Z$64:$Z$66))</f>
        <v>0</v>
      </c>
      <c r="AB66">
        <f>IF(COUNT($AA$64:$AA$66)&lt;3,"",AVERAGE($AA$64:$AA$66))</f>
        <v>0</v>
      </c>
      <c r="AC66">
        <f>IF($E66="","",MAX($C66-$D66,ABS($C66-$E65),ABS($D66-$E65)))</f>
        <v>0</v>
      </c>
      <c r="AD66">
        <f>IF(COUNT($E$2:$E66)&lt;15,"",AVERAGE($AC$53:$AC$66))</f>
        <v>0</v>
      </c>
      <c r="AE66">
        <f>IF(OR($E66="",$E65=""),"",IF(AND(($C66-$C65)&gt;($D65-$D66),($C66-$C65)&gt;0),$C66-$C65,0))</f>
        <v>0</v>
      </c>
      <c r="AF66">
        <f>IF(OR($E66="",$E65=""),"",IF(AND(($D65-$D66)&gt;($C66-$C65),($D65-$D66)&gt;0),$D65-$D66,0))</f>
        <v>0</v>
      </c>
      <c r="AG66">
        <f>IF(COUNT($E$2:$E66)&lt;15,"",IF(SUM($AC$53:$AC$66)=0,0,100*SUM($AE$53:$AE$66)/SUM($AC$53:$AC$66)))</f>
        <v>0</v>
      </c>
      <c r="AH66">
        <f>IF(COUNT($E$2:$E66)&lt;15,"",IF(SUM($AC$53:$AC$66)=0,0,100*SUM($AF$53:$AF$66)/SUM($AC$53:$AC$66)))</f>
        <v>0</v>
      </c>
      <c r="AI66">
        <f>IF(OR(AG66="",AH66=""),"",IF((AG66+AH66)=0,0,100*ABS(AG66-AH66)/(AG66+AH66)))</f>
        <v>0</v>
      </c>
      <c r="AJ66">
        <f>IF(COUNT($AI$53:$AI$66)&lt;14,"",AVERAGE($AI$53:$AI$66))</f>
        <v>0</v>
      </c>
      <c r="AK66">
        <f>IF(COUNT($E$2:$E66)&lt;20,"",AVERAGE($E$47:$E$66))</f>
        <v>0</v>
      </c>
      <c r="AL66">
        <f>IF(COUNT($E$2:$E66)&lt;20,"",STDEVP($E$47:$E$66))</f>
        <v>0</v>
      </c>
      <c r="AM66">
        <f>IF(AK66="","",AK66+2*AL66)</f>
        <v>0</v>
      </c>
      <c r="AN66">
        <f>IF(AK66="","",AK66-2*AL66)</f>
        <v>0</v>
      </c>
      <c r="AO66">
        <f>IF(OR(AM66="",AN66="",AM66=AN66),"",($E66-AN66)/(AM66-AN66))</f>
        <v>0</v>
      </c>
      <c r="AP66">
        <f>IF(OR(AM66="",AK66="",AK66=0),"",(AM66-AN66)/AK66)</f>
        <v>0</v>
      </c>
      <c r="AQ66">
        <f>IF(COUNT($E$2:$E66)&lt;20,"",MAX($C$47:$C$66))</f>
        <v>0</v>
      </c>
      <c r="AR66">
        <f>IF(COUNT($E$2:$E66)&lt;20,"",MIN($D$47:$D$66))</f>
        <v>0</v>
      </c>
      <c r="AS66">
        <f>IF(OR(AQ66="",AR66=""),"",(AQ66+AR66)/2)</f>
        <v>0</v>
      </c>
      <c r="AT66">
        <f>IF(COUNT($G$47:$G$66)&lt;20,"",STDEV($G$47:$G$66)*SQRT(252))</f>
        <v>0</v>
      </c>
      <c r="AU66">
        <f>IF(COUNT($E$2:$E66)&lt;9,"",(MAX($C$58:$C$66)+MIN($D$58:$D$66))/2)</f>
        <v>0</v>
      </c>
      <c r="AV66">
        <f>IF(COUNT($E$2:$E66)&lt;26,"",(MAX($C$41:$C$66)+MIN($D$41:$D$66))/2)</f>
        <v>0</v>
      </c>
      <c r="AW66">
        <f>IF(OR(AU66="",AV66=""),"",(AU66+AV66)/2)</f>
        <v>0</v>
      </c>
      <c r="AX66">
        <f>IF(COUNT($E$2:$E66)&lt;52,"",(MAX($C$15:$C$66)+MIN($D$15:$D$66))/2)</f>
        <v>0</v>
      </c>
      <c r="AY66">
        <f>IF(COUNT($E$2:$E66)&lt;20,"",MAX($C$2:$C$66))</f>
        <v>0</v>
      </c>
      <c r="AZ66">
        <f>IF(COUNT($E$2:$E66)&lt;20,"",MIN($D$2:$D$66))</f>
        <v>0</v>
      </c>
      <c r="BA66">
        <f>IF(COUNT($E$2:$E66)&lt;20,"",SLOPE($E$2:$E$66,$F$2:$F$66))</f>
        <v>0</v>
      </c>
      <c r="BB66">
        <f>IF(COUNT($E$2:$E66)&lt;20,"",INTERCEPT($E$2:$E$66,$F$2:$F$66))</f>
        <v>0</v>
      </c>
      <c r="BC66">
        <f>IF(OR(BA66="",BB66=""),"",BB66+BA66*F66)</f>
        <v>0</v>
      </c>
      <c r="BD66">
        <f>IF(COUNT($E$2:$E66)&lt;20,"",STEYX($E$2:$E$66,$F$2:$F$66))</f>
        <v>0</v>
      </c>
      <c r="BE66">
        <f>IF($E66="","",IF(AND(COUNT($E$67:$E$70)&gt;=4,$C66=MAX($C$62:$C$70)),$C66,""))</f>
        <v>0</v>
      </c>
      <c r="BF66">
        <f>IF($E66="","",IF(AND(COUNT($E$67:$E$70)&gt;=4,$D66=MIN($D$62:$D$70)),$D66,""))</f>
        <v>0</v>
      </c>
      <c r="BG66">
        <f>IF($A66="","",$A66-WEEKDAY($A66,2)+1)</f>
        <v>0</v>
      </c>
      <c r="BH66">
        <f>IF($A66="","",IF($A65="",1,IF(BG66&lt;&gt;BG65,1,0)))</f>
        <v>0</v>
      </c>
      <c r="BI66">
        <f>IF($A66="","",IF($A67="",1,IF(BG67&lt;&gt;BG66,1,0)))</f>
        <v>0</v>
      </c>
      <c r="BJ66">
        <f>IF($A66="","",IF(BH66=1,$B66,BJ65))</f>
        <v>0</v>
      </c>
      <c r="BK66">
        <f>IF($A66="","",IF(BH66=1,$C66,MAX($C66,BK65)))</f>
        <v>0</v>
      </c>
      <c r="BL66">
        <f>IF($A66="","",IF(BH66=1,$D66,MIN($D66,BL65)))</f>
        <v>0</v>
      </c>
      <c r="BM66">
        <f>IF($A66="","",IF(BI66=1,F66,""))</f>
        <v>0</v>
      </c>
      <c r="BN66">
        <f>IF($A66="","",DATE(YEAR($A66),MONTH($A66),1))</f>
        <v>0</v>
      </c>
      <c r="BO66">
        <f>IF($A66="","",IF($A65="",1,IF(BN66&lt;&gt;BN65,1,0)))</f>
        <v>0</v>
      </c>
      <c r="BP66">
        <f>IF($A66="","",IF($A67="",1,IF(BN67&lt;&gt;BN66,1,0)))</f>
        <v>0</v>
      </c>
      <c r="BQ66">
        <f>IF($A66="","",IF(BO66=1,$B66,BQ65))</f>
        <v>0</v>
      </c>
      <c r="BR66">
        <f>IF($A66="","",IF(BO66=1,$C66,MAX($C66,BR65)))</f>
        <v>0</v>
      </c>
      <c r="BS66">
        <f>IF($A66="","",IF(BO66=1,$D66,MIN($D66,BS65)))</f>
        <v>0</v>
      </c>
      <c r="BT66">
        <f>IF($A66="","",IF(BP66=1,F66,""))</f>
        <v>0</v>
      </c>
    </row>
    <row r="67" spans="1:72">
      <c r="A67" s="27">
        <f>IF(Data!$A67="","",Data!$A67)</f>
        <v>0</v>
      </c>
      <c r="B67">
        <f>IF(Data!$B67="","",Data!$B67)</f>
        <v>0</v>
      </c>
      <c r="C67">
        <f>IF(Data!$C67="","",Data!$C67)</f>
        <v>0</v>
      </c>
      <c r="D67">
        <f>IF(Data!$D67="","",Data!$D67)</f>
        <v>0</v>
      </c>
      <c r="E67">
        <f>IF(Data!$E67="","",Data!$E67)</f>
        <v>0</v>
      </c>
      <c r="F67">
        <f>IF($E67="","",N(F66)+1)</f>
        <v>0</v>
      </c>
      <c r="G67">
        <f>IF(OR($E67="",$E66=""),"",LN($E67/$E66))</f>
        <v>0</v>
      </c>
      <c r="H67">
        <f>IF($E67="","",IF($E66="",$E67,$E67*0.0952380952+H66*0.9047619048))</f>
        <v>0</v>
      </c>
      <c r="I67">
        <f>IF($E67="","",IF($E66="",$E67,$E67*0.0392156863+I66*0.9607843137))</f>
        <v>0</v>
      </c>
      <c r="J67">
        <f>IF($E67="","",IF($E66="",$E67,$E67*0.0198019802+J66*0.9801980198))</f>
        <v>0</v>
      </c>
      <c r="K67">
        <f>IF($E67="","",IF($E66="",$E67,$E67*0.0099502488+K66*0.9900497512))</f>
        <v>0</v>
      </c>
      <c r="L67">
        <f>IF(OR($E67="",$E66=""),"",MAX($E67-$E66,0))</f>
        <v>0</v>
      </c>
      <c r="M67">
        <f>IF(OR($E67="",$E66=""),"",MAX($E66-$E67,0))</f>
        <v>0</v>
      </c>
      <c r="N67">
        <f>IF(COUNT($E$2:$E67)&lt;15,"",IF(AVERAGE($M$54:$M$67)=0,100,100-100/(1+AVERAGE($L$54:$L$67)/AVERAGE($M$54:$M$67))))</f>
        <v>0</v>
      </c>
      <c r="O67">
        <f>IF($E67="","",IF($E66="",$E67,$E67*0.1538461538+O66*0.8461538462))</f>
        <v>0</v>
      </c>
      <c r="P67">
        <f>IF($E67="","",IF($E66="",$E67,$E67*0.0740740741+P66*0.9259259259))</f>
        <v>0</v>
      </c>
      <c r="Q67">
        <f>IF(OR(O67="",P67=""),"",O67-P67)</f>
        <v>0</v>
      </c>
      <c r="R67">
        <f>IF(Q67="","",IF(R66="",Q67,Q67*0.2000000000+R66*0.8000000000))</f>
        <v>0</v>
      </c>
      <c r="S67">
        <f>IF(OR(Q67="",R67=""),"",Q67-R67)</f>
        <v>0</v>
      </c>
      <c r="T67">
        <f>IF(COUNT($E$2:$E67)&lt;14,"",MAX($C$54:$C$67))</f>
        <v>0</v>
      </c>
      <c r="U67">
        <f>IF(COUNT($E$2:$E67)&lt;14,"",MIN($D$54:$D$67))</f>
        <v>0</v>
      </c>
      <c r="V67">
        <f>IF(OR(T67="",U67="",T67=U67),"",100*($E67-U67)/(T67-U67))</f>
        <v>0</v>
      </c>
      <c r="W67">
        <f>IF(COUNT($V$65:$V$67)&lt;3,"",AVERAGE($V$65:$V$67))</f>
        <v>0</v>
      </c>
      <c r="X67">
        <f>IF(COUNT($N$54:$N$67)&lt;14,"",MIN($N$54:$N$67))</f>
        <v>0</v>
      </c>
      <c r="Y67">
        <f>IF(COUNT($N$54:$N$67)&lt;14,"",MAX($N$54:$N$67))</f>
        <v>0</v>
      </c>
      <c r="Z67">
        <f>IF(OR(N67="",X67="",Y67="",Y67=X67),"",100*(N67-X67)/(Y67-X67))</f>
        <v>0</v>
      </c>
      <c r="AA67">
        <f>IF(COUNT($Z$65:$Z$67)&lt;3,"",AVERAGE($Z$65:$Z$67))</f>
        <v>0</v>
      </c>
      <c r="AB67">
        <f>IF(COUNT($AA$65:$AA$67)&lt;3,"",AVERAGE($AA$65:$AA$67))</f>
        <v>0</v>
      </c>
      <c r="AC67">
        <f>IF($E67="","",MAX($C67-$D67,ABS($C67-$E66),ABS($D67-$E66)))</f>
        <v>0</v>
      </c>
      <c r="AD67">
        <f>IF(COUNT($E$2:$E67)&lt;15,"",AVERAGE($AC$54:$AC$67))</f>
        <v>0</v>
      </c>
      <c r="AE67">
        <f>IF(OR($E67="",$E66=""),"",IF(AND(($C67-$C66)&gt;($D66-$D67),($C67-$C66)&gt;0),$C67-$C66,0))</f>
        <v>0</v>
      </c>
      <c r="AF67">
        <f>IF(OR($E67="",$E66=""),"",IF(AND(($D66-$D67)&gt;($C67-$C66),($D66-$D67)&gt;0),$D66-$D67,0))</f>
        <v>0</v>
      </c>
      <c r="AG67">
        <f>IF(COUNT($E$2:$E67)&lt;15,"",IF(SUM($AC$54:$AC$67)=0,0,100*SUM($AE$54:$AE$67)/SUM($AC$54:$AC$67)))</f>
        <v>0</v>
      </c>
      <c r="AH67">
        <f>IF(COUNT($E$2:$E67)&lt;15,"",IF(SUM($AC$54:$AC$67)=0,0,100*SUM($AF$54:$AF$67)/SUM($AC$54:$AC$67)))</f>
        <v>0</v>
      </c>
      <c r="AI67">
        <f>IF(OR(AG67="",AH67=""),"",IF((AG67+AH67)=0,0,100*ABS(AG67-AH67)/(AG67+AH67)))</f>
        <v>0</v>
      </c>
      <c r="AJ67">
        <f>IF(COUNT($AI$54:$AI$67)&lt;14,"",AVERAGE($AI$54:$AI$67))</f>
        <v>0</v>
      </c>
      <c r="AK67">
        <f>IF(COUNT($E$2:$E67)&lt;20,"",AVERAGE($E$48:$E$67))</f>
        <v>0</v>
      </c>
      <c r="AL67">
        <f>IF(COUNT($E$2:$E67)&lt;20,"",STDEVP($E$48:$E$67))</f>
        <v>0</v>
      </c>
      <c r="AM67">
        <f>IF(AK67="","",AK67+2*AL67)</f>
        <v>0</v>
      </c>
      <c r="AN67">
        <f>IF(AK67="","",AK67-2*AL67)</f>
        <v>0</v>
      </c>
      <c r="AO67">
        <f>IF(OR(AM67="",AN67="",AM67=AN67),"",($E67-AN67)/(AM67-AN67))</f>
        <v>0</v>
      </c>
      <c r="AP67">
        <f>IF(OR(AM67="",AK67="",AK67=0),"",(AM67-AN67)/AK67)</f>
        <v>0</v>
      </c>
      <c r="AQ67">
        <f>IF(COUNT($E$2:$E67)&lt;20,"",MAX($C$48:$C$67))</f>
        <v>0</v>
      </c>
      <c r="AR67">
        <f>IF(COUNT($E$2:$E67)&lt;20,"",MIN($D$48:$D$67))</f>
        <v>0</v>
      </c>
      <c r="AS67">
        <f>IF(OR(AQ67="",AR67=""),"",(AQ67+AR67)/2)</f>
        <v>0</v>
      </c>
      <c r="AT67">
        <f>IF(COUNT($G$48:$G$67)&lt;20,"",STDEV($G$48:$G$67)*SQRT(252))</f>
        <v>0</v>
      </c>
      <c r="AU67">
        <f>IF(COUNT($E$2:$E67)&lt;9,"",(MAX($C$59:$C$67)+MIN($D$59:$D$67))/2)</f>
        <v>0</v>
      </c>
      <c r="AV67">
        <f>IF(COUNT($E$2:$E67)&lt;26,"",(MAX($C$42:$C$67)+MIN($D$42:$D$67))/2)</f>
        <v>0</v>
      </c>
      <c r="AW67">
        <f>IF(OR(AU67="",AV67=""),"",(AU67+AV67)/2)</f>
        <v>0</v>
      </c>
      <c r="AX67">
        <f>IF(COUNT($E$2:$E67)&lt;52,"",(MAX($C$16:$C$67)+MIN($D$16:$D$67))/2)</f>
        <v>0</v>
      </c>
      <c r="AY67">
        <f>IF(COUNT($E$2:$E67)&lt;20,"",MAX($C$2:$C$67))</f>
        <v>0</v>
      </c>
      <c r="AZ67">
        <f>IF(COUNT($E$2:$E67)&lt;20,"",MIN($D$2:$D$67))</f>
        <v>0</v>
      </c>
      <c r="BA67">
        <f>IF(COUNT($E$2:$E67)&lt;20,"",SLOPE($E$2:$E$67,$F$2:$F$67))</f>
        <v>0</v>
      </c>
      <c r="BB67">
        <f>IF(COUNT($E$2:$E67)&lt;20,"",INTERCEPT($E$2:$E$67,$F$2:$F$67))</f>
        <v>0</v>
      </c>
      <c r="BC67">
        <f>IF(OR(BA67="",BB67=""),"",BB67+BA67*F67)</f>
        <v>0</v>
      </c>
      <c r="BD67">
        <f>IF(COUNT($E$2:$E67)&lt;20,"",STEYX($E$2:$E$67,$F$2:$F$67))</f>
        <v>0</v>
      </c>
      <c r="BE67">
        <f>IF($E67="","",IF(AND(COUNT($E$68:$E$71)&gt;=4,$C67=MAX($C$63:$C$71)),$C67,""))</f>
        <v>0</v>
      </c>
      <c r="BF67">
        <f>IF($E67="","",IF(AND(COUNT($E$68:$E$71)&gt;=4,$D67=MIN($D$63:$D$71)),$D67,""))</f>
        <v>0</v>
      </c>
      <c r="BG67">
        <f>IF($A67="","",$A67-WEEKDAY($A67,2)+1)</f>
        <v>0</v>
      </c>
      <c r="BH67">
        <f>IF($A67="","",IF($A66="",1,IF(BG67&lt;&gt;BG66,1,0)))</f>
        <v>0</v>
      </c>
      <c r="BI67">
        <f>IF($A67="","",IF($A68="",1,IF(BG68&lt;&gt;BG67,1,0)))</f>
        <v>0</v>
      </c>
      <c r="BJ67">
        <f>IF($A67="","",IF(BH67=1,$B67,BJ66))</f>
        <v>0</v>
      </c>
      <c r="BK67">
        <f>IF($A67="","",IF(BH67=1,$C67,MAX($C67,BK66)))</f>
        <v>0</v>
      </c>
      <c r="BL67">
        <f>IF($A67="","",IF(BH67=1,$D67,MIN($D67,BL66)))</f>
        <v>0</v>
      </c>
      <c r="BM67">
        <f>IF($A67="","",IF(BI67=1,F67,""))</f>
        <v>0</v>
      </c>
      <c r="BN67">
        <f>IF($A67="","",DATE(YEAR($A67),MONTH($A67),1))</f>
        <v>0</v>
      </c>
      <c r="BO67">
        <f>IF($A67="","",IF($A66="",1,IF(BN67&lt;&gt;BN66,1,0)))</f>
        <v>0</v>
      </c>
      <c r="BP67">
        <f>IF($A67="","",IF($A68="",1,IF(BN68&lt;&gt;BN67,1,0)))</f>
        <v>0</v>
      </c>
      <c r="BQ67">
        <f>IF($A67="","",IF(BO67=1,$B67,BQ66))</f>
        <v>0</v>
      </c>
      <c r="BR67">
        <f>IF($A67="","",IF(BO67=1,$C67,MAX($C67,BR66)))</f>
        <v>0</v>
      </c>
      <c r="BS67">
        <f>IF($A67="","",IF(BO67=1,$D67,MIN($D67,BS66)))</f>
        <v>0</v>
      </c>
      <c r="BT67">
        <f>IF($A67="","",IF(BP67=1,F67,""))</f>
        <v>0</v>
      </c>
    </row>
    <row r="68" spans="1:72">
      <c r="A68" s="27">
        <f>IF(Data!$A68="","",Data!$A68)</f>
        <v>0</v>
      </c>
      <c r="B68">
        <f>IF(Data!$B68="","",Data!$B68)</f>
        <v>0</v>
      </c>
      <c r="C68">
        <f>IF(Data!$C68="","",Data!$C68)</f>
        <v>0</v>
      </c>
      <c r="D68">
        <f>IF(Data!$D68="","",Data!$D68)</f>
        <v>0</v>
      </c>
      <c r="E68">
        <f>IF(Data!$E68="","",Data!$E68)</f>
        <v>0</v>
      </c>
      <c r="F68">
        <f>IF($E68="","",N(F67)+1)</f>
        <v>0</v>
      </c>
      <c r="G68">
        <f>IF(OR($E68="",$E67=""),"",LN($E68/$E67))</f>
        <v>0</v>
      </c>
      <c r="H68">
        <f>IF($E68="","",IF($E67="",$E68,$E68*0.0952380952+H67*0.9047619048))</f>
        <v>0</v>
      </c>
      <c r="I68">
        <f>IF($E68="","",IF($E67="",$E68,$E68*0.0392156863+I67*0.9607843137))</f>
        <v>0</v>
      </c>
      <c r="J68">
        <f>IF($E68="","",IF($E67="",$E68,$E68*0.0198019802+J67*0.9801980198))</f>
        <v>0</v>
      </c>
      <c r="K68">
        <f>IF($E68="","",IF($E67="",$E68,$E68*0.0099502488+K67*0.9900497512))</f>
        <v>0</v>
      </c>
      <c r="L68">
        <f>IF(OR($E68="",$E67=""),"",MAX($E68-$E67,0))</f>
        <v>0</v>
      </c>
      <c r="M68">
        <f>IF(OR($E68="",$E67=""),"",MAX($E67-$E68,0))</f>
        <v>0</v>
      </c>
      <c r="N68">
        <f>IF(COUNT($E$2:$E68)&lt;15,"",IF(AVERAGE($M$55:$M$68)=0,100,100-100/(1+AVERAGE($L$55:$L$68)/AVERAGE($M$55:$M$68))))</f>
        <v>0</v>
      </c>
      <c r="O68">
        <f>IF($E68="","",IF($E67="",$E68,$E68*0.1538461538+O67*0.8461538462))</f>
        <v>0</v>
      </c>
      <c r="P68">
        <f>IF($E68="","",IF($E67="",$E68,$E68*0.0740740741+P67*0.9259259259))</f>
        <v>0</v>
      </c>
      <c r="Q68">
        <f>IF(OR(O68="",P68=""),"",O68-P68)</f>
        <v>0</v>
      </c>
      <c r="R68">
        <f>IF(Q68="","",IF(R67="",Q68,Q68*0.2000000000+R67*0.8000000000))</f>
        <v>0</v>
      </c>
      <c r="S68">
        <f>IF(OR(Q68="",R68=""),"",Q68-R68)</f>
        <v>0</v>
      </c>
      <c r="T68">
        <f>IF(COUNT($E$2:$E68)&lt;14,"",MAX($C$55:$C$68))</f>
        <v>0</v>
      </c>
      <c r="U68">
        <f>IF(COUNT($E$2:$E68)&lt;14,"",MIN($D$55:$D$68))</f>
        <v>0</v>
      </c>
      <c r="V68">
        <f>IF(OR(T68="",U68="",T68=U68),"",100*($E68-U68)/(T68-U68))</f>
        <v>0</v>
      </c>
      <c r="W68">
        <f>IF(COUNT($V$66:$V$68)&lt;3,"",AVERAGE($V$66:$V$68))</f>
        <v>0</v>
      </c>
      <c r="X68">
        <f>IF(COUNT($N$55:$N$68)&lt;14,"",MIN($N$55:$N$68))</f>
        <v>0</v>
      </c>
      <c r="Y68">
        <f>IF(COUNT($N$55:$N$68)&lt;14,"",MAX($N$55:$N$68))</f>
        <v>0</v>
      </c>
      <c r="Z68">
        <f>IF(OR(N68="",X68="",Y68="",Y68=X68),"",100*(N68-X68)/(Y68-X68))</f>
        <v>0</v>
      </c>
      <c r="AA68">
        <f>IF(COUNT($Z$66:$Z$68)&lt;3,"",AVERAGE($Z$66:$Z$68))</f>
        <v>0</v>
      </c>
      <c r="AB68">
        <f>IF(COUNT($AA$66:$AA$68)&lt;3,"",AVERAGE($AA$66:$AA$68))</f>
        <v>0</v>
      </c>
      <c r="AC68">
        <f>IF($E68="","",MAX($C68-$D68,ABS($C68-$E67),ABS($D68-$E67)))</f>
        <v>0</v>
      </c>
      <c r="AD68">
        <f>IF(COUNT($E$2:$E68)&lt;15,"",AVERAGE($AC$55:$AC$68))</f>
        <v>0</v>
      </c>
      <c r="AE68">
        <f>IF(OR($E68="",$E67=""),"",IF(AND(($C68-$C67)&gt;($D67-$D68),($C68-$C67)&gt;0),$C68-$C67,0))</f>
        <v>0</v>
      </c>
      <c r="AF68">
        <f>IF(OR($E68="",$E67=""),"",IF(AND(($D67-$D68)&gt;($C68-$C67),($D67-$D68)&gt;0),$D67-$D68,0))</f>
        <v>0</v>
      </c>
      <c r="AG68">
        <f>IF(COUNT($E$2:$E68)&lt;15,"",IF(SUM($AC$55:$AC$68)=0,0,100*SUM($AE$55:$AE$68)/SUM($AC$55:$AC$68)))</f>
        <v>0</v>
      </c>
      <c r="AH68">
        <f>IF(COUNT($E$2:$E68)&lt;15,"",IF(SUM($AC$55:$AC$68)=0,0,100*SUM($AF$55:$AF$68)/SUM($AC$55:$AC$68)))</f>
        <v>0</v>
      </c>
      <c r="AI68">
        <f>IF(OR(AG68="",AH68=""),"",IF((AG68+AH68)=0,0,100*ABS(AG68-AH68)/(AG68+AH68)))</f>
        <v>0</v>
      </c>
      <c r="AJ68">
        <f>IF(COUNT($AI$55:$AI$68)&lt;14,"",AVERAGE($AI$55:$AI$68))</f>
        <v>0</v>
      </c>
      <c r="AK68">
        <f>IF(COUNT($E$2:$E68)&lt;20,"",AVERAGE($E$49:$E$68))</f>
        <v>0</v>
      </c>
      <c r="AL68">
        <f>IF(COUNT($E$2:$E68)&lt;20,"",STDEVP($E$49:$E$68))</f>
        <v>0</v>
      </c>
      <c r="AM68">
        <f>IF(AK68="","",AK68+2*AL68)</f>
        <v>0</v>
      </c>
      <c r="AN68">
        <f>IF(AK68="","",AK68-2*AL68)</f>
        <v>0</v>
      </c>
      <c r="AO68">
        <f>IF(OR(AM68="",AN68="",AM68=AN68),"",($E68-AN68)/(AM68-AN68))</f>
        <v>0</v>
      </c>
      <c r="AP68">
        <f>IF(OR(AM68="",AK68="",AK68=0),"",(AM68-AN68)/AK68)</f>
        <v>0</v>
      </c>
      <c r="AQ68">
        <f>IF(COUNT($E$2:$E68)&lt;20,"",MAX($C$49:$C$68))</f>
        <v>0</v>
      </c>
      <c r="AR68">
        <f>IF(COUNT($E$2:$E68)&lt;20,"",MIN($D$49:$D$68))</f>
        <v>0</v>
      </c>
      <c r="AS68">
        <f>IF(OR(AQ68="",AR68=""),"",(AQ68+AR68)/2)</f>
        <v>0</v>
      </c>
      <c r="AT68">
        <f>IF(COUNT($G$49:$G$68)&lt;20,"",STDEV($G$49:$G$68)*SQRT(252))</f>
        <v>0</v>
      </c>
      <c r="AU68">
        <f>IF(COUNT($E$2:$E68)&lt;9,"",(MAX($C$60:$C$68)+MIN($D$60:$D$68))/2)</f>
        <v>0</v>
      </c>
      <c r="AV68">
        <f>IF(COUNT($E$2:$E68)&lt;26,"",(MAX($C$43:$C$68)+MIN($D$43:$D$68))/2)</f>
        <v>0</v>
      </c>
      <c r="AW68">
        <f>IF(OR(AU68="",AV68=""),"",(AU68+AV68)/2)</f>
        <v>0</v>
      </c>
      <c r="AX68">
        <f>IF(COUNT($E$2:$E68)&lt;52,"",(MAX($C$17:$C$68)+MIN($D$17:$D$68))/2)</f>
        <v>0</v>
      </c>
      <c r="AY68">
        <f>IF(COUNT($E$2:$E68)&lt;20,"",MAX($C$2:$C$68))</f>
        <v>0</v>
      </c>
      <c r="AZ68">
        <f>IF(COUNT($E$2:$E68)&lt;20,"",MIN($D$2:$D$68))</f>
        <v>0</v>
      </c>
      <c r="BA68">
        <f>IF(COUNT($E$2:$E68)&lt;20,"",SLOPE($E$2:$E$68,$F$2:$F$68))</f>
        <v>0</v>
      </c>
      <c r="BB68">
        <f>IF(COUNT($E$2:$E68)&lt;20,"",INTERCEPT($E$2:$E$68,$F$2:$F$68))</f>
        <v>0</v>
      </c>
      <c r="BC68">
        <f>IF(OR(BA68="",BB68=""),"",BB68+BA68*F68)</f>
        <v>0</v>
      </c>
      <c r="BD68">
        <f>IF(COUNT($E$2:$E68)&lt;20,"",STEYX($E$2:$E$68,$F$2:$F$68))</f>
        <v>0</v>
      </c>
      <c r="BE68">
        <f>IF($E68="","",IF(AND(COUNT($E$69:$E$72)&gt;=4,$C68=MAX($C$64:$C$72)),$C68,""))</f>
        <v>0</v>
      </c>
      <c r="BF68">
        <f>IF($E68="","",IF(AND(COUNT($E$69:$E$72)&gt;=4,$D68=MIN($D$64:$D$72)),$D68,""))</f>
        <v>0</v>
      </c>
      <c r="BG68">
        <f>IF($A68="","",$A68-WEEKDAY($A68,2)+1)</f>
        <v>0</v>
      </c>
      <c r="BH68">
        <f>IF($A68="","",IF($A67="",1,IF(BG68&lt;&gt;BG67,1,0)))</f>
        <v>0</v>
      </c>
      <c r="BI68">
        <f>IF($A68="","",IF($A69="",1,IF(BG69&lt;&gt;BG68,1,0)))</f>
        <v>0</v>
      </c>
      <c r="BJ68">
        <f>IF($A68="","",IF(BH68=1,$B68,BJ67))</f>
        <v>0</v>
      </c>
      <c r="BK68">
        <f>IF($A68="","",IF(BH68=1,$C68,MAX($C68,BK67)))</f>
        <v>0</v>
      </c>
      <c r="BL68">
        <f>IF($A68="","",IF(BH68=1,$D68,MIN($D68,BL67)))</f>
        <v>0</v>
      </c>
      <c r="BM68">
        <f>IF($A68="","",IF(BI68=1,F68,""))</f>
        <v>0</v>
      </c>
      <c r="BN68">
        <f>IF($A68="","",DATE(YEAR($A68),MONTH($A68),1))</f>
        <v>0</v>
      </c>
      <c r="BO68">
        <f>IF($A68="","",IF($A67="",1,IF(BN68&lt;&gt;BN67,1,0)))</f>
        <v>0</v>
      </c>
      <c r="BP68">
        <f>IF($A68="","",IF($A69="",1,IF(BN69&lt;&gt;BN68,1,0)))</f>
        <v>0</v>
      </c>
      <c r="BQ68">
        <f>IF($A68="","",IF(BO68=1,$B68,BQ67))</f>
        <v>0</v>
      </c>
      <c r="BR68">
        <f>IF($A68="","",IF(BO68=1,$C68,MAX($C68,BR67)))</f>
        <v>0</v>
      </c>
      <c r="BS68">
        <f>IF($A68="","",IF(BO68=1,$D68,MIN($D68,BS67)))</f>
        <v>0</v>
      </c>
      <c r="BT68">
        <f>IF($A68="","",IF(BP68=1,F68,""))</f>
        <v>0</v>
      </c>
    </row>
    <row r="69" spans="1:72">
      <c r="A69" s="27">
        <f>IF(Data!$A69="","",Data!$A69)</f>
        <v>0</v>
      </c>
      <c r="B69">
        <f>IF(Data!$B69="","",Data!$B69)</f>
        <v>0</v>
      </c>
      <c r="C69">
        <f>IF(Data!$C69="","",Data!$C69)</f>
        <v>0</v>
      </c>
      <c r="D69">
        <f>IF(Data!$D69="","",Data!$D69)</f>
        <v>0</v>
      </c>
      <c r="E69">
        <f>IF(Data!$E69="","",Data!$E69)</f>
        <v>0</v>
      </c>
      <c r="F69">
        <f>IF($E69="","",N(F68)+1)</f>
        <v>0</v>
      </c>
      <c r="G69">
        <f>IF(OR($E69="",$E68=""),"",LN($E69/$E68))</f>
        <v>0</v>
      </c>
      <c r="H69">
        <f>IF($E69="","",IF($E68="",$E69,$E69*0.0952380952+H68*0.9047619048))</f>
        <v>0</v>
      </c>
      <c r="I69">
        <f>IF($E69="","",IF($E68="",$E69,$E69*0.0392156863+I68*0.9607843137))</f>
        <v>0</v>
      </c>
      <c r="J69">
        <f>IF($E69="","",IF($E68="",$E69,$E69*0.0198019802+J68*0.9801980198))</f>
        <v>0</v>
      </c>
      <c r="K69">
        <f>IF($E69="","",IF($E68="",$E69,$E69*0.0099502488+K68*0.9900497512))</f>
        <v>0</v>
      </c>
      <c r="L69">
        <f>IF(OR($E69="",$E68=""),"",MAX($E69-$E68,0))</f>
        <v>0</v>
      </c>
      <c r="M69">
        <f>IF(OR($E69="",$E68=""),"",MAX($E68-$E69,0))</f>
        <v>0</v>
      </c>
      <c r="N69">
        <f>IF(COUNT($E$2:$E69)&lt;15,"",IF(AVERAGE($M$56:$M$69)=0,100,100-100/(1+AVERAGE($L$56:$L$69)/AVERAGE($M$56:$M$69))))</f>
        <v>0</v>
      </c>
      <c r="O69">
        <f>IF($E69="","",IF($E68="",$E69,$E69*0.1538461538+O68*0.8461538462))</f>
        <v>0</v>
      </c>
      <c r="P69">
        <f>IF($E69="","",IF($E68="",$E69,$E69*0.0740740741+P68*0.9259259259))</f>
        <v>0</v>
      </c>
      <c r="Q69">
        <f>IF(OR(O69="",P69=""),"",O69-P69)</f>
        <v>0</v>
      </c>
      <c r="R69">
        <f>IF(Q69="","",IF(R68="",Q69,Q69*0.2000000000+R68*0.8000000000))</f>
        <v>0</v>
      </c>
      <c r="S69">
        <f>IF(OR(Q69="",R69=""),"",Q69-R69)</f>
        <v>0</v>
      </c>
      <c r="T69">
        <f>IF(COUNT($E$2:$E69)&lt;14,"",MAX($C$56:$C$69))</f>
        <v>0</v>
      </c>
      <c r="U69">
        <f>IF(COUNT($E$2:$E69)&lt;14,"",MIN($D$56:$D$69))</f>
        <v>0</v>
      </c>
      <c r="V69">
        <f>IF(OR(T69="",U69="",T69=U69),"",100*($E69-U69)/(T69-U69))</f>
        <v>0</v>
      </c>
      <c r="W69">
        <f>IF(COUNT($V$67:$V$69)&lt;3,"",AVERAGE($V$67:$V$69))</f>
        <v>0</v>
      </c>
      <c r="X69">
        <f>IF(COUNT($N$56:$N$69)&lt;14,"",MIN($N$56:$N$69))</f>
        <v>0</v>
      </c>
      <c r="Y69">
        <f>IF(COUNT($N$56:$N$69)&lt;14,"",MAX($N$56:$N$69))</f>
        <v>0</v>
      </c>
      <c r="Z69">
        <f>IF(OR(N69="",X69="",Y69="",Y69=X69),"",100*(N69-X69)/(Y69-X69))</f>
        <v>0</v>
      </c>
      <c r="AA69">
        <f>IF(COUNT($Z$67:$Z$69)&lt;3,"",AVERAGE($Z$67:$Z$69))</f>
        <v>0</v>
      </c>
      <c r="AB69">
        <f>IF(COUNT($AA$67:$AA$69)&lt;3,"",AVERAGE($AA$67:$AA$69))</f>
        <v>0</v>
      </c>
      <c r="AC69">
        <f>IF($E69="","",MAX($C69-$D69,ABS($C69-$E68),ABS($D69-$E68)))</f>
        <v>0</v>
      </c>
      <c r="AD69">
        <f>IF(COUNT($E$2:$E69)&lt;15,"",AVERAGE($AC$56:$AC$69))</f>
        <v>0</v>
      </c>
      <c r="AE69">
        <f>IF(OR($E69="",$E68=""),"",IF(AND(($C69-$C68)&gt;($D68-$D69),($C69-$C68)&gt;0),$C69-$C68,0))</f>
        <v>0</v>
      </c>
      <c r="AF69">
        <f>IF(OR($E69="",$E68=""),"",IF(AND(($D68-$D69)&gt;($C69-$C68),($D68-$D69)&gt;0),$D68-$D69,0))</f>
        <v>0</v>
      </c>
      <c r="AG69">
        <f>IF(COUNT($E$2:$E69)&lt;15,"",IF(SUM($AC$56:$AC$69)=0,0,100*SUM($AE$56:$AE$69)/SUM($AC$56:$AC$69)))</f>
        <v>0</v>
      </c>
      <c r="AH69">
        <f>IF(COUNT($E$2:$E69)&lt;15,"",IF(SUM($AC$56:$AC$69)=0,0,100*SUM($AF$56:$AF$69)/SUM($AC$56:$AC$69)))</f>
        <v>0</v>
      </c>
      <c r="AI69">
        <f>IF(OR(AG69="",AH69=""),"",IF((AG69+AH69)=0,0,100*ABS(AG69-AH69)/(AG69+AH69)))</f>
        <v>0</v>
      </c>
      <c r="AJ69">
        <f>IF(COUNT($AI$56:$AI$69)&lt;14,"",AVERAGE($AI$56:$AI$69))</f>
        <v>0</v>
      </c>
      <c r="AK69">
        <f>IF(COUNT($E$2:$E69)&lt;20,"",AVERAGE($E$50:$E$69))</f>
        <v>0</v>
      </c>
      <c r="AL69">
        <f>IF(COUNT($E$2:$E69)&lt;20,"",STDEVP($E$50:$E$69))</f>
        <v>0</v>
      </c>
      <c r="AM69">
        <f>IF(AK69="","",AK69+2*AL69)</f>
        <v>0</v>
      </c>
      <c r="AN69">
        <f>IF(AK69="","",AK69-2*AL69)</f>
        <v>0</v>
      </c>
      <c r="AO69">
        <f>IF(OR(AM69="",AN69="",AM69=AN69),"",($E69-AN69)/(AM69-AN69))</f>
        <v>0</v>
      </c>
      <c r="AP69">
        <f>IF(OR(AM69="",AK69="",AK69=0),"",(AM69-AN69)/AK69)</f>
        <v>0</v>
      </c>
      <c r="AQ69">
        <f>IF(COUNT($E$2:$E69)&lt;20,"",MAX($C$50:$C$69))</f>
        <v>0</v>
      </c>
      <c r="AR69">
        <f>IF(COUNT($E$2:$E69)&lt;20,"",MIN($D$50:$D$69))</f>
        <v>0</v>
      </c>
      <c r="AS69">
        <f>IF(OR(AQ69="",AR69=""),"",(AQ69+AR69)/2)</f>
        <v>0</v>
      </c>
      <c r="AT69">
        <f>IF(COUNT($G$50:$G$69)&lt;20,"",STDEV($G$50:$G$69)*SQRT(252))</f>
        <v>0</v>
      </c>
      <c r="AU69">
        <f>IF(COUNT($E$2:$E69)&lt;9,"",(MAX($C$61:$C$69)+MIN($D$61:$D$69))/2)</f>
        <v>0</v>
      </c>
      <c r="AV69">
        <f>IF(COUNT($E$2:$E69)&lt;26,"",(MAX($C$44:$C$69)+MIN($D$44:$D$69))/2)</f>
        <v>0</v>
      </c>
      <c r="AW69">
        <f>IF(OR(AU69="",AV69=""),"",(AU69+AV69)/2)</f>
        <v>0</v>
      </c>
      <c r="AX69">
        <f>IF(COUNT($E$2:$E69)&lt;52,"",(MAX($C$18:$C$69)+MIN($D$18:$D$69))/2)</f>
        <v>0</v>
      </c>
      <c r="AY69">
        <f>IF(COUNT($E$2:$E69)&lt;20,"",MAX($C$2:$C$69))</f>
        <v>0</v>
      </c>
      <c r="AZ69">
        <f>IF(COUNT($E$2:$E69)&lt;20,"",MIN($D$2:$D$69))</f>
        <v>0</v>
      </c>
      <c r="BA69">
        <f>IF(COUNT($E$2:$E69)&lt;20,"",SLOPE($E$2:$E$69,$F$2:$F$69))</f>
        <v>0</v>
      </c>
      <c r="BB69">
        <f>IF(COUNT($E$2:$E69)&lt;20,"",INTERCEPT($E$2:$E$69,$F$2:$F$69))</f>
        <v>0</v>
      </c>
      <c r="BC69">
        <f>IF(OR(BA69="",BB69=""),"",BB69+BA69*F69)</f>
        <v>0</v>
      </c>
      <c r="BD69">
        <f>IF(COUNT($E$2:$E69)&lt;20,"",STEYX($E$2:$E$69,$F$2:$F$69))</f>
        <v>0</v>
      </c>
      <c r="BE69">
        <f>IF($E69="","",IF(AND(COUNT($E$70:$E$73)&gt;=4,$C69=MAX($C$65:$C$73)),$C69,""))</f>
        <v>0</v>
      </c>
      <c r="BF69">
        <f>IF($E69="","",IF(AND(COUNT($E$70:$E$73)&gt;=4,$D69=MIN($D$65:$D$73)),$D69,""))</f>
        <v>0</v>
      </c>
      <c r="BG69">
        <f>IF($A69="","",$A69-WEEKDAY($A69,2)+1)</f>
        <v>0</v>
      </c>
      <c r="BH69">
        <f>IF($A69="","",IF($A68="",1,IF(BG69&lt;&gt;BG68,1,0)))</f>
        <v>0</v>
      </c>
      <c r="BI69">
        <f>IF($A69="","",IF($A70="",1,IF(BG70&lt;&gt;BG69,1,0)))</f>
        <v>0</v>
      </c>
      <c r="BJ69">
        <f>IF($A69="","",IF(BH69=1,$B69,BJ68))</f>
        <v>0</v>
      </c>
      <c r="BK69">
        <f>IF($A69="","",IF(BH69=1,$C69,MAX($C69,BK68)))</f>
        <v>0</v>
      </c>
      <c r="BL69">
        <f>IF($A69="","",IF(BH69=1,$D69,MIN($D69,BL68)))</f>
        <v>0</v>
      </c>
      <c r="BM69">
        <f>IF($A69="","",IF(BI69=1,F69,""))</f>
        <v>0</v>
      </c>
      <c r="BN69">
        <f>IF($A69="","",DATE(YEAR($A69),MONTH($A69),1))</f>
        <v>0</v>
      </c>
      <c r="BO69">
        <f>IF($A69="","",IF($A68="",1,IF(BN69&lt;&gt;BN68,1,0)))</f>
        <v>0</v>
      </c>
      <c r="BP69">
        <f>IF($A69="","",IF($A70="",1,IF(BN70&lt;&gt;BN69,1,0)))</f>
        <v>0</v>
      </c>
      <c r="BQ69">
        <f>IF($A69="","",IF(BO69=1,$B69,BQ68))</f>
        <v>0</v>
      </c>
      <c r="BR69">
        <f>IF($A69="","",IF(BO69=1,$C69,MAX($C69,BR68)))</f>
        <v>0</v>
      </c>
      <c r="BS69">
        <f>IF($A69="","",IF(BO69=1,$D69,MIN($D69,BS68)))</f>
        <v>0</v>
      </c>
      <c r="BT69">
        <f>IF($A69="","",IF(BP69=1,F69,""))</f>
        <v>0</v>
      </c>
    </row>
    <row r="70" spans="1:72">
      <c r="A70" s="27">
        <f>IF(Data!$A70="","",Data!$A70)</f>
        <v>0</v>
      </c>
      <c r="B70">
        <f>IF(Data!$B70="","",Data!$B70)</f>
        <v>0</v>
      </c>
      <c r="C70">
        <f>IF(Data!$C70="","",Data!$C70)</f>
        <v>0</v>
      </c>
      <c r="D70">
        <f>IF(Data!$D70="","",Data!$D70)</f>
        <v>0</v>
      </c>
      <c r="E70">
        <f>IF(Data!$E70="","",Data!$E70)</f>
        <v>0</v>
      </c>
      <c r="F70">
        <f>IF($E70="","",N(F69)+1)</f>
        <v>0</v>
      </c>
      <c r="G70">
        <f>IF(OR($E70="",$E69=""),"",LN($E70/$E69))</f>
        <v>0</v>
      </c>
      <c r="H70">
        <f>IF($E70="","",IF($E69="",$E70,$E70*0.0952380952+H69*0.9047619048))</f>
        <v>0</v>
      </c>
      <c r="I70">
        <f>IF($E70="","",IF($E69="",$E70,$E70*0.0392156863+I69*0.9607843137))</f>
        <v>0</v>
      </c>
      <c r="J70">
        <f>IF($E70="","",IF($E69="",$E70,$E70*0.0198019802+J69*0.9801980198))</f>
        <v>0</v>
      </c>
      <c r="K70">
        <f>IF($E70="","",IF($E69="",$E70,$E70*0.0099502488+K69*0.9900497512))</f>
        <v>0</v>
      </c>
      <c r="L70">
        <f>IF(OR($E70="",$E69=""),"",MAX($E70-$E69,0))</f>
        <v>0</v>
      </c>
      <c r="M70">
        <f>IF(OR($E70="",$E69=""),"",MAX($E69-$E70,0))</f>
        <v>0</v>
      </c>
      <c r="N70">
        <f>IF(COUNT($E$2:$E70)&lt;15,"",IF(AVERAGE($M$57:$M$70)=0,100,100-100/(1+AVERAGE($L$57:$L$70)/AVERAGE($M$57:$M$70))))</f>
        <v>0</v>
      </c>
      <c r="O70">
        <f>IF($E70="","",IF($E69="",$E70,$E70*0.1538461538+O69*0.8461538462))</f>
        <v>0</v>
      </c>
      <c r="P70">
        <f>IF($E70="","",IF($E69="",$E70,$E70*0.0740740741+P69*0.9259259259))</f>
        <v>0</v>
      </c>
      <c r="Q70">
        <f>IF(OR(O70="",P70=""),"",O70-P70)</f>
        <v>0</v>
      </c>
      <c r="R70">
        <f>IF(Q70="","",IF(R69="",Q70,Q70*0.2000000000+R69*0.8000000000))</f>
        <v>0</v>
      </c>
      <c r="S70">
        <f>IF(OR(Q70="",R70=""),"",Q70-R70)</f>
        <v>0</v>
      </c>
      <c r="T70">
        <f>IF(COUNT($E$2:$E70)&lt;14,"",MAX($C$57:$C$70))</f>
        <v>0</v>
      </c>
      <c r="U70">
        <f>IF(COUNT($E$2:$E70)&lt;14,"",MIN($D$57:$D$70))</f>
        <v>0</v>
      </c>
      <c r="V70">
        <f>IF(OR(T70="",U70="",T70=U70),"",100*($E70-U70)/(T70-U70))</f>
        <v>0</v>
      </c>
      <c r="W70">
        <f>IF(COUNT($V$68:$V$70)&lt;3,"",AVERAGE($V$68:$V$70))</f>
        <v>0</v>
      </c>
      <c r="X70">
        <f>IF(COUNT($N$57:$N$70)&lt;14,"",MIN($N$57:$N$70))</f>
        <v>0</v>
      </c>
      <c r="Y70">
        <f>IF(COUNT($N$57:$N$70)&lt;14,"",MAX($N$57:$N$70))</f>
        <v>0</v>
      </c>
      <c r="Z70">
        <f>IF(OR(N70="",X70="",Y70="",Y70=X70),"",100*(N70-X70)/(Y70-X70))</f>
        <v>0</v>
      </c>
      <c r="AA70">
        <f>IF(COUNT($Z$68:$Z$70)&lt;3,"",AVERAGE($Z$68:$Z$70))</f>
        <v>0</v>
      </c>
      <c r="AB70">
        <f>IF(COUNT($AA$68:$AA$70)&lt;3,"",AVERAGE($AA$68:$AA$70))</f>
        <v>0</v>
      </c>
      <c r="AC70">
        <f>IF($E70="","",MAX($C70-$D70,ABS($C70-$E69),ABS($D70-$E69)))</f>
        <v>0</v>
      </c>
      <c r="AD70">
        <f>IF(COUNT($E$2:$E70)&lt;15,"",AVERAGE($AC$57:$AC$70))</f>
        <v>0</v>
      </c>
      <c r="AE70">
        <f>IF(OR($E70="",$E69=""),"",IF(AND(($C70-$C69)&gt;($D69-$D70),($C70-$C69)&gt;0),$C70-$C69,0))</f>
        <v>0</v>
      </c>
      <c r="AF70">
        <f>IF(OR($E70="",$E69=""),"",IF(AND(($D69-$D70)&gt;($C70-$C69),($D69-$D70)&gt;0),$D69-$D70,0))</f>
        <v>0</v>
      </c>
      <c r="AG70">
        <f>IF(COUNT($E$2:$E70)&lt;15,"",IF(SUM($AC$57:$AC$70)=0,0,100*SUM($AE$57:$AE$70)/SUM($AC$57:$AC$70)))</f>
        <v>0</v>
      </c>
      <c r="AH70">
        <f>IF(COUNT($E$2:$E70)&lt;15,"",IF(SUM($AC$57:$AC$70)=0,0,100*SUM($AF$57:$AF$70)/SUM($AC$57:$AC$70)))</f>
        <v>0</v>
      </c>
      <c r="AI70">
        <f>IF(OR(AG70="",AH70=""),"",IF((AG70+AH70)=0,0,100*ABS(AG70-AH70)/(AG70+AH70)))</f>
        <v>0</v>
      </c>
      <c r="AJ70">
        <f>IF(COUNT($AI$57:$AI$70)&lt;14,"",AVERAGE($AI$57:$AI$70))</f>
        <v>0</v>
      </c>
      <c r="AK70">
        <f>IF(COUNT($E$2:$E70)&lt;20,"",AVERAGE($E$51:$E$70))</f>
        <v>0</v>
      </c>
      <c r="AL70">
        <f>IF(COUNT($E$2:$E70)&lt;20,"",STDEVP($E$51:$E$70))</f>
        <v>0</v>
      </c>
      <c r="AM70">
        <f>IF(AK70="","",AK70+2*AL70)</f>
        <v>0</v>
      </c>
      <c r="AN70">
        <f>IF(AK70="","",AK70-2*AL70)</f>
        <v>0</v>
      </c>
      <c r="AO70">
        <f>IF(OR(AM70="",AN70="",AM70=AN70),"",($E70-AN70)/(AM70-AN70))</f>
        <v>0</v>
      </c>
      <c r="AP70">
        <f>IF(OR(AM70="",AK70="",AK70=0),"",(AM70-AN70)/AK70)</f>
        <v>0</v>
      </c>
      <c r="AQ70">
        <f>IF(COUNT($E$2:$E70)&lt;20,"",MAX($C$51:$C$70))</f>
        <v>0</v>
      </c>
      <c r="AR70">
        <f>IF(COUNT($E$2:$E70)&lt;20,"",MIN($D$51:$D$70))</f>
        <v>0</v>
      </c>
      <c r="AS70">
        <f>IF(OR(AQ70="",AR70=""),"",(AQ70+AR70)/2)</f>
        <v>0</v>
      </c>
      <c r="AT70">
        <f>IF(COUNT($G$51:$G$70)&lt;20,"",STDEV($G$51:$G$70)*SQRT(252))</f>
        <v>0</v>
      </c>
      <c r="AU70">
        <f>IF(COUNT($E$2:$E70)&lt;9,"",(MAX($C$62:$C$70)+MIN($D$62:$D$70))/2)</f>
        <v>0</v>
      </c>
      <c r="AV70">
        <f>IF(COUNT($E$2:$E70)&lt;26,"",(MAX($C$45:$C$70)+MIN($D$45:$D$70))/2)</f>
        <v>0</v>
      </c>
      <c r="AW70">
        <f>IF(OR(AU70="",AV70=""),"",(AU70+AV70)/2)</f>
        <v>0</v>
      </c>
      <c r="AX70">
        <f>IF(COUNT($E$2:$E70)&lt;52,"",(MAX($C$19:$C$70)+MIN($D$19:$D$70))/2)</f>
        <v>0</v>
      </c>
      <c r="AY70">
        <f>IF(COUNT($E$2:$E70)&lt;20,"",MAX($C$2:$C$70))</f>
        <v>0</v>
      </c>
      <c r="AZ70">
        <f>IF(COUNT($E$2:$E70)&lt;20,"",MIN($D$2:$D$70))</f>
        <v>0</v>
      </c>
      <c r="BA70">
        <f>IF(COUNT($E$2:$E70)&lt;20,"",SLOPE($E$2:$E$70,$F$2:$F$70))</f>
        <v>0</v>
      </c>
      <c r="BB70">
        <f>IF(COUNT($E$2:$E70)&lt;20,"",INTERCEPT($E$2:$E$70,$F$2:$F$70))</f>
        <v>0</v>
      </c>
      <c r="BC70">
        <f>IF(OR(BA70="",BB70=""),"",BB70+BA70*F70)</f>
        <v>0</v>
      </c>
      <c r="BD70">
        <f>IF(COUNT($E$2:$E70)&lt;20,"",STEYX($E$2:$E$70,$F$2:$F$70))</f>
        <v>0</v>
      </c>
      <c r="BE70">
        <f>IF($E70="","",IF(AND(COUNT($E$71:$E$74)&gt;=4,$C70=MAX($C$66:$C$74)),$C70,""))</f>
        <v>0</v>
      </c>
      <c r="BF70">
        <f>IF($E70="","",IF(AND(COUNT($E$71:$E$74)&gt;=4,$D70=MIN($D$66:$D$74)),$D70,""))</f>
        <v>0</v>
      </c>
      <c r="BG70">
        <f>IF($A70="","",$A70-WEEKDAY($A70,2)+1)</f>
        <v>0</v>
      </c>
      <c r="BH70">
        <f>IF($A70="","",IF($A69="",1,IF(BG70&lt;&gt;BG69,1,0)))</f>
        <v>0</v>
      </c>
      <c r="BI70">
        <f>IF($A70="","",IF($A71="",1,IF(BG71&lt;&gt;BG70,1,0)))</f>
        <v>0</v>
      </c>
      <c r="BJ70">
        <f>IF($A70="","",IF(BH70=1,$B70,BJ69))</f>
        <v>0</v>
      </c>
      <c r="BK70">
        <f>IF($A70="","",IF(BH70=1,$C70,MAX($C70,BK69)))</f>
        <v>0</v>
      </c>
      <c r="BL70">
        <f>IF($A70="","",IF(BH70=1,$D70,MIN($D70,BL69)))</f>
        <v>0</v>
      </c>
      <c r="BM70">
        <f>IF($A70="","",IF(BI70=1,F70,""))</f>
        <v>0</v>
      </c>
      <c r="BN70">
        <f>IF($A70="","",DATE(YEAR($A70),MONTH($A70),1))</f>
        <v>0</v>
      </c>
      <c r="BO70">
        <f>IF($A70="","",IF($A69="",1,IF(BN70&lt;&gt;BN69,1,0)))</f>
        <v>0</v>
      </c>
      <c r="BP70">
        <f>IF($A70="","",IF($A71="",1,IF(BN71&lt;&gt;BN70,1,0)))</f>
        <v>0</v>
      </c>
      <c r="BQ70">
        <f>IF($A70="","",IF(BO70=1,$B70,BQ69))</f>
        <v>0</v>
      </c>
      <c r="BR70">
        <f>IF($A70="","",IF(BO70=1,$C70,MAX($C70,BR69)))</f>
        <v>0</v>
      </c>
      <c r="BS70">
        <f>IF($A70="","",IF(BO70=1,$D70,MIN($D70,BS69)))</f>
        <v>0</v>
      </c>
      <c r="BT70">
        <f>IF($A70="","",IF(BP70=1,F70,""))</f>
        <v>0</v>
      </c>
    </row>
    <row r="71" spans="1:72">
      <c r="A71" s="27">
        <f>IF(Data!$A71="","",Data!$A71)</f>
        <v>0</v>
      </c>
      <c r="B71">
        <f>IF(Data!$B71="","",Data!$B71)</f>
        <v>0</v>
      </c>
      <c r="C71">
        <f>IF(Data!$C71="","",Data!$C71)</f>
        <v>0</v>
      </c>
      <c r="D71">
        <f>IF(Data!$D71="","",Data!$D71)</f>
        <v>0</v>
      </c>
      <c r="E71">
        <f>IF(Data!$E71="","",Data!$E71)</f>
        <v>0</v>
      </c>
      <c r="F71">
        <f>IF($E71="","",N(F70)+1)</f>
        <v>0</v>
      </c>
      <c r="G71">
        <f>IF(OR($E71="",$E70=""),"",LN($E71/$E70))</f>
        <v>0</v>
      </c>
      <c r="H71">
        <f>IF($E71="","",IF($E70="",$E71,$E71*0.0952380952+H70*0.9047619048))</f>
        <v>0</v>
      </c>
      <c r="I71">
        <f>IF($E71="","",IF($E70="",$E71,$E71*0.0392156863+I70*0.9607843137))</f>
        <v>0</v>
      </c>
      <c r="J71">
        <f>IF($E71="","",IF($E70="",$E71,$E71*0.0198019802+J70*0.9801980198))</f>
        <v>0</v>
      </c>
      <c r="K71">
        <f>IF($E71="","",IF($E70="",$E71,$E71*0.0099502488+K70*0.9900497512))</f>
        <v>0</v>
      </c>
      <c r="L71">
        <f>IF(OR($E71="",$E70=""),"",MAX($E71-$E70,0))</f>
        <v>0</v>
      </c>
      <c r="M71">
        <f>IF(OR($E71="",$E70=""),"",MAX($E70-$E71,0))</f>
        <v>0</v>
      </c>
      <c r="N71">
        <f>IF(COUNT($E$2:$E71)&lt;15,"",IF(AVERAGE($M$58:$M$71)=0,100,100-100/(1+AVERAGE($L$58:$L$71)/AVERAGE($M$58:$M$71))))</f>
        <v>0</v>
      </c>
      <c r="O71">
        <f>IF($E71="","",IF($E70="",$E71,$E71*0.1538461538+O70*0.8461538462))</f>
        <v>0</v>
      </c>
      <c r="P71">
        <f>IF($E71="","",IF($E70="",$E71,$E71*0.0740740741+P70*0.9259259259))</f>
        <v>0</v>
      </c>
      <c r="Q71">
        <f>IF(OR(O71="",P71=""),"",O71-P71)</f>
        <v>0</v>
      </c>
      <c r="R71">
        <f>IF(Q71="","",IF(R70="",Q71,Q71*0.2000000000+R70*0.8000000000))</f>
        <v>0</v>
      </c>
      <c r="S71">
        <f>IF(OR(Q71="",R71=""),"",Q71-R71)</f>
        <v>0</v>
      </c>
      <c r="T71">
        <f>IF(COUNT($E$2:$E71)&lt;14,"",MAX($C$58:$C$71))</f>
        <v>0</v>
      </c>
      <c r="U71">
        <f>IF(COUNT($E$2:$E71)&lt;14,"",MIN($D$58:$D$71))</f>
        <v>0</v>
      </c>
      <c r="V71">
        <f>IF(OR(T71="",U71="",T71=U71),"",100*($E71-U71)/(T71-U71))</f>
        <v>0</v>
      </c>
      <c r="W71">
        <f>IF(COUNT($V$69:$V$71)&lt;3,"",AVERAGE($V$69:$V$71))</f>
        <v>0</v>
      </c>
      <c r="X71">
        <f>IF(COUNT($N$58:$N$71)&lt;14,"",MIN($N$58:$N$71))</f>
        <v>0</v>
      </c>
      <c r="Y71">
        <f>IF(COUNT($N$58:$N$71)&lt;14,"",MAX($N$58:$N$71))</f>
        <v>0</v>
      </c>
      <c r="Z71">
        <f>IF(OR(N71="",X71="",Y71="",Y71=X71),"",100*(N71-X71)/(Y71-X71))</f>
        <v>0</v>
      </c>
      <c r="AA71">
        <f>IF(COUNT($Z$69:$Z$71)&lt;3,"",AVERAGE($Z$69:$Z$71))</f>
        <v>0</v>
      </c>
      <c r="AB71">
        <f>IF(COUNT($AA$69:$AA$71)&lt;3,"",AVERAGE($AA$69:$AA$71))</f>
        <v>0</v>
      </c>
      <c r="AC71">
        <f>IF($E71="","",MAX($C71-$D71,ABS($C71-$E70),ABS($D71-$E70)))</f>
        <v>0</v>
      </c>
      <c r="AD71">
        <f>IF(COUNT($E$2:$E71)&lt;15,"",AVERAGE($AC$58:$AC$71))</f>
        <v>0</v>
      </c>
      <c r="AE71">
        <f>IF(OR($E71="",$E70=""),"",IF(AND(($C71-$C70)&gt;($D70-$D71),($C71-$C70)&gt;0),$C71-$C70,0))</f>
        <v>0</v>
      </c>
      <c r="AF71">
        <f>IF(OR($E71="",$E70=""),"",IF(AND(($D70-$D71)&gt;($C71-$C70),($D70-$D71)&gt;0),$D70-$D71,0))</f>
        <v>0</v>
      </c>
      <c r="AG71">
        <f>IF(COUNT($E$2:$E71)&lt;15,"",IF(SUM($AC$58:$AC$71)=0,0,100*SUM($AE$58:$AE$71)/SUM($AC$58:$AC$71)))</f>
        <v>0</v>
      </c>
      <c r="AH71">
        <f>IF(COUNT($E$2:$E71)&lt;15,"",IF(SUM($AC$58:$AC$71)=0,0,100*SUM($AF$58:$AF$71)/SUM($AC$58:$AC$71)))</f>
        <v>0</v>
      </c>
      <c r="AI71">
        <f>IF(OR(AG71="",AH71=""),"",IF((AG71+AH71)=0,0,100*ABS(AG71-AH71)/(AG71+AH71)))</f>
        <v>0</v>
      </c>
      <c r="AJ71">
        <f>IF(COUNT($AI$58:$AI$71)&lt;14,"",AVERAGE($AI$58:$AI$71))</f>
        <v>0</v>
      </c>
      <c r="AK71">
        <f>IF(COUNT($E$2:$E71)&lt;20,"",AVERAGE($E$52:$E$71))</f>
        <v>0</v>
      </c>
      <c r="AL71">
        <f>IF(COUNT($E$2:$E71)&lt;20,"",STDEVP($E$52:$E$71))</f>
        <v>0</v>
      </c>
      <c r="AM71">
        <f>IF(AK71="","",AK71+2*AL71)</f>
        <v>0</v>
      </c>
      <c r="AN71">
        <f>IF(AK71="","",AK71-2*AL71)</f>
        <v>0</v>
      </c>
      <c r="AO71">
        <f>IF(OR(AM71="",AN71="",AM71=AN71),"",($E71-AN71)/(AM71-AN71))</f>
        <v>0</v>
      </c>
      <c r="AP71">
        <f>IF(OR(AM71="",AK71="",AK71=0),"",(AM71-AN71)/AK71)</f>
        <v>0</v>
      </c>
      <c r="AQ71">
        <f>IF(COUNT($E$2:$E71)&lt;20,"",MAX($C$52:$C$71))</f>
        <v>0</v>
      </c>
      <c r="AR71">
        <f>IF(COUNT($E$2:$E71)&lt;20,"",MIN($D$52:$D$71))</f>
        <v>0</v>
      </c>
      <c r="AS71">
        <f>IF(OR(AQ71="",AR71=""),"",(AQ71+AR71)/2)</f>
        <v>0</v>
      </c>
      <c r="AT71">
        <f>IF(COUNT($G$52:$G$71)&lt;20,"",STDEV($G$52:$G$71)*SQRT(252))</f>
        <v>0</v>
      </c>
      <c r="AU71">
        <f>IF(COUNT($E$2:$E71)&lt;9,"",(MAX($C$63:$C$71)+MIN($D$63:$D$71))/2)</f>
        <v>0</v>
      </c>
      <c r="AV71">
        <f>IF(COUNT($E$2:$E71)&lt;26,"",(MAX($C$46:$C$71)+MIN($D$46:$D$71))/2)</f>
        <v>0</v>
      </c>
      <c r="AW71">
        <f>IF(OR(AU71="",AV71=""),"",(AU71+AV71)/2)</f>
        <v>0</v>
      </c>
      <c r="AX71">
        <f>IF(COUNT($E$2:$E71)&lt;52,"",(MAX($C$20:$C$71)+MIN($D$20:$D$71))/2)</f>
        <v>0</v>
      </c>
      <c r="AY71">
        <f>IF(COUNT($E$2:$E71)&lt;20,"",MAX($C$2:$C$71))</f>
        <v>0</v>
      </c>
      <c r="AZ71">
        <f>IF(COUNT($E$2:$E71)&lt;20,"",MIN($D$2:$D$71))</f>
        <v>0</v>
      </c>
      <c r="BA71">
        <f>IF(COUNT($E$2:$E71)&lt;20,"",SLOPE($E$2:$E$71,$F$2:$F$71))</f>
        <v>0</v>
      </c>
      <c r="BB71">
        <f>IF(COUNT($E$2:$E71)&lt;20,"",INTERCEPT($E$2:$E$71,$F$2:$F$71))</f>
        <v>0</v>
      </c>
      <c r="BC71">
        <f>IF(OR(BA71="",BB71=""),"",BB71+BA71*F71)</f>
        <v>0</v>
      </c>
      <c r="BD71">
        <f>IF(COUNT($E$2:$E71)&lt;20,"",STEYX($E$2:$E$71,$F$2:$F$71))</f>
        <v>0</v>
      </c>
      <c r="BE71">
        <f>IF($E71="","",IF(AND(COUNT($E$72:$E$75)&gt;=4,$C71=MAX($C$67:$C$75)),$C71,""))</f>
        <v>0</v>
      </c>
      <c r="BF71">
        <f>IF($E71="","",IF(AND(COUNT($E$72:$E$75)&gt;=4,$D71=MIN($D$67:$D$75)),$D71,""))</f>
        <v>0</v>
      </c>
      <c r="BG71">
        <f>IF($A71="","",$A71-WEEKDAY($A71,2)+1)</f>
        <v>0</v>
      </c>
      <c r="BH71">
        <f>IF($A71="","",IF($A70="",1,IF(BG71&lt;&gt;BG70,1,0)))</f>
        <v>0</v>
      </c>
      <c r="BI71">
        <f>IF($A71="","",IF($A72="",1,IF(BG72&lt;&gt;BG71,1,0)))</f>
        <v>0</v>
      </c>
      <c r="BJ71">
        <f>IF($A71="","",IF(BH71=1,$B71,BJ70))</f>
        <v>0</v>
      </c>
      <c r="BK71">
        <f>IF($A71="","",IF(BH71=1,$C71,MAX($C71,BK70)))</f>
        <v>0</v>
      </c>
      <c r="BL71">
        <f>IF($A71="","",IF(BH71=1,$D71,MIN($D71,BL70)))</f>
        <v>0</v>
      </c>
      <c r="BM71">
        <f>IF($A71="","",IF(BI71=1,F71,""))</f>
        <v>0</v>
      </c>
      <c r="BN71">
        <f>IF($A71="","",DATE(YEAR($A71),MONTH($A71),1))</f>
        <v>0</v>
      </c>
      <c r="BO71">
        <f>IF($A71="","",IF($A70="",1,IF(BN71&lt;&gt;BN70,1,0)))</f>
        <v>0</v>
      </c>
      <c r="BP71">
        <f>IF($A71="","",IF($A72="",1,IF(BN72&lt;&gt;BN71,1,0)))</f>
        <v>0</v>
      </c>
      <c r="BQ71">
        <f>IF($A71="","",IF(BO71=1,$B71,BQ70))</f>
        <v>0</v>
      </c>
      <c r="BR71">
        <f>IF($A71="","",IF(BO71=1,$C71,MAX($C71,BR70)))</f>
        <v>0</v>
      </c>
      <c r="BS71">
        <f>IF($A71="","",IF(BO71=1,$D71,MIN($D71,BS70)))</f>
        <v>0</v>
      </c>
      <c r="BT71">
        <f>IF($A71="","",IF(BP71=1,F71,""))</f>
        <v>0</v>
      </c>
    </row>
    <row r="72" spans="1:72">
      <c r="A72" s="27">
        <f>IF(Data!$A72="","",Data!$A72)</f>
        <v>0</v>
      </c>
      <c r="B72">
        <f>IF(Data!$B72="","",Data!$B72)</f>
        <v>0</v>
      </c>
      <c r="C72">
        <f>IF(Data!$C72="","",Data!$C72)</f>
        <v>0</v>
      </c>
      <c r="D72">
        <f>IF(Data!$D72="","",Data!$D72)</f>
        <v>0</v>
      </c>
      <c r="E72">
        <f>IF(Data!$E72="","",Data!$E72)</f>
        <v>0</v>
      </c>
      <c r="F72">
        <f>IF($E72="","",N(F71)+1)</f>
        <v>0</v>
      </c>
      <c r="G72">
        <f>IF(OR($E72="",$E71=""),"",LN($E72/$E71))</f>
        <v>0</v>
      </c>
      <c r="H72">
        <f>IF($E72="","",IF($E71="",$E72,$E72*0.0952380952+H71*0.9047619048))</f>
        <v>0</v>
      </c>
      <c r="I72">
        <f>IF($E72="","",IF($E71="",$E72,$E72*0.0392156863+I71*0.9607843137))</f>
        <v>0</v>
      </c>
      <c r="J72">
        <f>IF($E72="","",IF($E71="",$E72,$E72*0.0198019802+J71*0.9801980198))</f>
        <v>0</v>
      </c>
      <c r="K72">
        <f>IF($E72="","",IF($E71="",$E72,$E72*0.0099502488+K71*0.9900497512))</f>
        <v>0</v>
      </c>
      <c r="L72">
        <f>IF(OR($E72="",$E71=""),"",MAX($E72-$E71,0))</f>
        <v>0</v>
      </c>
      <c r="M72">
        <f>IF(OR($E72="",$E71=""),"",MAX($E71-$E72,0))</f>
        <v>0</v>
      </c>
      <c r="N72">
        <f>IF(COUNT($E$2:$E72)&lt;15,"",IF(AVERAGE($M$59:$M$72)=0,100,100-100/(1+AVERAGE($L$59:$L$72)/AVERAGE($M$59:$M$72))))</f>
        <v>0</v>
      </c>
      <c r="O72">
        <f>IF($E72="","",IF($E71="",$E72,$E72*0.1538461538+O71*0.8461538462))</f>
        <v>0</v>
      </c>
      <c r="P72">
        <f>IF($E72="","",IF($E71="",$E72,$E72*0.0740740741+P71*0.9259259259))</f>
        <v>0</v>
      </c>
      <c r="Q72">
        <f>IF(OR(O72="",P72=""),"",O72-P72)</f>
        <v>0</v>
      </c>
      <c r="R72">
        <f>IF(Q72="","",IF(R71="",Q72,Q72*0.2000000000+R71*0.8000000000))</f>
        <v>0</v>
      </c>
      <c r="S72">
        <f>IF(OR(Q72="",R72=""),"",Q72-R72)</f>
        <v>0</v>
      </c>
      <c r="T72">
        <f>IF(COUNT($E$2:$E72)&lt;14,"",MAX($C$59:$C$72))</f>
        <v>0</v>
      </c>
      <c r="U72">
        <f>IF(COUNT($E$2:$E72)&lt;14,"",MIN($D$59:$D$72))</f>
        <v>0</v>
      </c>
      <c r="V72">
        <f>IF(OR(T72="",U72="",T72=U72),"",100*($E72-U72)/(T72-U72))</f>
        <v>0</v>
      </c>
      <c r="W72">
        <f>IF(COUNT($V$70:$V$72)&lt;3,"",AVERAGE($V$70:$V$72))</f>
        <v>0</v>
      </c>
      <c r="X72">
        <f>IF(COUNT($N$59:$N$72)&lt;14,"",MIN($N$59:$N$72))</f>
        <v>0</v>
      </c>
      <c r="Y72">
        <f>IF(COUNT($N$59:$N$72)&lt;14,"",MAX($N$59:$N$72))</f>
        <v>0</v>
      </c>
      <c r="Z72">
        <f>IF(OR(N72="",X72="",Y72="",Y72=X72),"",100*(N72-X72)/(Y72-X72))</f>
        <v>0</v>
      </c>
      <c r="AA72">
        <f>IF(COUNT($Z$70:$Z$72)&lt;3,"",AVERAGE($Z$70:$Z$72))</f>
        <v>0</v>
      </c>
      <c r="AB72">
        <f>IF(COUNT($AA$70:$AA$72)&lt;3,"",AVERAGE($AA$70:$AA$72))</f>
        <v>0</v>
      </c>
      <c r="AC72">
        <f>IF($E72="","",MAX($C72-$D72,ABS($C72-$E71),ABS($D72-$E71)))</f>
        <v>0</v>
      </c>
      <c r="AD72">
        <f>IF(COUNT($E$2:$E72)&lt;15,"",AVERAGE($AC$59:$AC$72))</f>
        <v>0</v>
      </c>
      <c r="AE72">
        <f>IF(OR($E72="",$E71=""),"",IF(AND(($C72-$C71)&gt;($D71-$D72),($C72-$C71)&gt;0),$C72-$C71,0))</f>
        <v>0</v>
      </c>
      <c r="AF72">
        <f>IF(OR($E72="",$E71=""),"",IF(AND(($D71-$D72)&gt;($C72-$C71),($D71-$D72)&gt;0),$D71-$D72,0))</f>
        <v>0</v>
      </c>
      <c r="AG72">
        <f>IF(COUNT($E$2:$E72)&lt;15,"",IF(SUM($AC$59:$AC$72)=0,0,100*SUM($AE$59:$AE$72)/SUM($AC$59:$AC$72)))</f>
        <v>0</v>
      </c>
      <c r="AH72">
        <f>IF(COUNT($E$2:$E72)&lt;15,"",IF(SUM($AC$59:$AC$72)=0,0,100*SUM($AF$59:$AF$72)/SUM($AC$59:$AC$72)))</f>
        <v>0</v>
      </c>
      <c r="AI72">
        <f>IF(OR(AG72="",AH72=""),"",IF((AG72+AH72)=0,0,100*ABS(AG72-AH72)/(AG72+AH72)))</f>
        <v>0</v>
      </c>
      <c r="AJ72">
        <f>IF(COUNT($AI$59:$AI$72)&lt;14,"",AVERAGE($AI$59:$AI$72))</f>
        <v>0</v>
      </c>
      <c r="AK72">
        <f>IF(COUNT($E$2:$E72)&lt;20,"",AVERAGE($E$53:$E$72))</f>
        <v>0</v>
      </c>
      <c r="AL72">
        <f>IF(COUNT($E$2:$E72)&lt;20,"",STDEVP($E$53:$E$72))</f>
        <v>0</v>
      </c>
      <c r="AM72">
        <f>IF(AK72="","",AK72+2*AL72)</f>
        <v>0</v>
      </c>
      <c r="AN72">
        <f>IF(AK72="","",AK72-2*AL72)</f>
        <v>0</v>
      </c>
      <c r="AO72">
        <f>IF(OR(AM72="",AN72="",AM72=AN72),"",($E72-AN72)/(AM72-AN72))</f>
        <v>0</v>
      </c>
      <c r="AP72">
        <f>IF(OR(AM72="",AK72="",AK72=0),"",(AM72-AN72)/AK72)</f>
        <v>0</v>
      </c>
      <c r="AQ72">
        <f>IF(COUNT($E$2:$E72)&lt;20,"",MAX($C$53:$C$72))</f>
        <v>0</v>
      </c>
      <c r="AR72">
        <f>IF(COUNT($E$2:$E72)&lt;20,"",MIN($D$53:$D$72))</f>
        <v>0</v>
      </c>
      <c r="AS72">
        <f>IF(OR(AQ72="",AR72=""),"",(AQ72+AR72)/2)</f>
        <v>0</v>
      </c>
      <c r="AT72">
        <f>IF(COUNT($G$53:$G$72)&lt;20,"",STDEV($G$53:$G$72)*SQRT(252))</f>
        <v>0</v>
      </c>
      <c r="AU72">
        <f>IF(COUNT($E$2:$E72)&lt;9,"",(MAX($C$64:$C$72)+MIN($D$64:$D$72))/2)</f>
        <v>0</v>
      </c>
      <c r="AV72">
        <f>IF(COUNT($E$2:$E72)&lt;26,"",(MAX($C$47:$C$72)+MIN($D$47:$D$72))/2)</f>
        <v>0</v>
      </c>
      <c r="AW72">
        <f>IF(OR(AU72="",AV72=""),"",(AU72+AV72)/2)</f>
        <v>0</v>
      </c>
      <c r="AX72">
        <f>IF(COUNT($E$2:$E72)&lt;52,"",(MAX($C$21:$C$72)+MIN($D$21:$D$72))/2)</f>
        <v>0</v>
      </c>
      <c r="AY72">
        <f>IF(COUNT($E$2:$E72)&lt;20,"",MAX($C$2:$C$72))</f>
        <v>0</v>
      </c>
      <c r="AZ72">
        <f>IF(COUNT($E$2:$E72)&lt;20,"",MIN($D$2:$D$72))</f>
        <v>0</v>
      </c>
      <c r="BA72">
        <f>IF(COUNT($E$2:$E72)&lt;20,"",SLOPE($E$2:$E$72,$F$2:$F$72))</f>
        <v>0</v>
      </c>
      <c r="BB72">
        <f>IF(COUNT($E$2:$E72)&lt;20,"",INTERCEPT($E$2:$E$72,$F$2:$F$72))</f>
        <v>0</v>
      </c>
      <c r="BC72">
        <f>IF(OR(BA72="",BB72=""),"",BB72+BA72*F72)</f>
        <v>0</v>
      </c>
      <c r="BD72">
        <f>IF(COUNT($E$2:$E72)&lt;20,"",STEYX($E$2:$E$72,$F$2:$F$72))</f>
        <v>0</v>
      </c>
      <c r="BE72">
        <f>IF($E72="","",IF(AND(COUNT($E$73:$E$76)&gt;=4,$C72=MAX($C$68:$C$76)),$C72,""))</f>
        <v>0</v>
      </c>
      <c r="BF72">
        <f>IF($E72="","",IF(AND(COUNT($E$73:$E$76)&gt;=4,$D72=MIN($D$68:$D$76)),$D72,""))</f>
        <v>0</v>
      </c>
      <c r="BG72">
        <f>IF($A72="","",$A72-WEEKDAY($A72,2)+1)</f>
        <v>0</v>
      </c>
      <c r="BH72">
        <f>IF($A72="","",IF($A71="",1,IF(BG72&lt;&gt;BG71,1,0)))</f>
        <v>0</v>
      </c>
      <c r="BI72">
        <f>IF($A72="","",IF($A73="",1,IF(BG73&lt;&gt;BG72,1,0)))</f>
        <v>0</v>
      </c>
      <c r="BJ72">
        <f>IF($A72="","",IF(BH72=1,$B72,BJ71))</f>
        <v>0</v>
      </c>
      <c r="BK72">
        <f>IF($A72="","",IF(BH72=1,$C72,MAX($C72,BK71)))</f>
        <v>0</v>
      </c>
      <c r="BL72">
        <f>IF($A72="","",IF(BH72=1,$D72,MIN($D72,BL71)))</f>
        <v>0</v>
      </c>
      <c r="BM72">
        <f>IF($A72="","",IF(BI72=1,F72,""))</f>
        <v>0</v>
      </c>
      <c r="BN72">
        <f>IF($A72="","",DATE(YEAR($A72),MONTH($A72),1))</f>
        <v>0</v>
      </c>
      <c r="BO72">
        <f>IF($A72="","",IF($A71="",1,IF(BN72&lt;&gt;BN71,1,0)))</f>
        <v>0</v>
      </c>
      <c r="BP72">
        <f>IF($A72="","",IF($A73="",1,IF(BN73&lt;&gt;BN72,1,0)))</f>
        <v>0</v>
      </c>
      <c r="BQ72">
        <f>IF($A72="","",IF(BO72=1,$B72,BQ71))</f>
        <v>0</v>
      </c>
      <c r="BR72">
        <f>IF($A72="","",IF(BO72=1,$C72,MAX($C72,BR71)))</f>
        <v>0</v>
      </c>
      <c r="BS72">
        <f>IF($A72="","",IF(BO72=1,$D72,MIN($D72,BS71)))</f>
        <v>0</v>
      </c>
      <c r="BT72">
        <f>IF($A72="","",IF(BP72=1,F72,""))</f>
        <v>0</v>
      </c>
    </row>
    <row r="73" spans="1:72">
      <c r="A73" s="27">
        <f>IF(Data!$A73="","",Data!$A73)</f>
        <v>0</v>
      </c>
      <c r="B73">
        <f>IF(Data!$B73="","",Data!$B73)</f>
        <v>0</v>
      </c>
      <c r="C73">
        <f>IF(Data!$C73="","",Data!$C73)</f>
        <v>0</v>
      </c>
      <c r="D73">
        <f>IF(Data!$D73="","",Data!$D73)</f>
        <v>0</v>
      </c>
      <c r="E73">
        <f>IF(Data!$E73="","",Data!$E73)</f>
        <v>0</v>
      </c>
      <c r="F73">
        <f>IF($E73="","",N(F72)+1)</f>
        <v>0</v>
      </c>
      <c r="G73">
        <f>IF(OR($E73="",$E72=""),"",LN($E73/$E72))</f>
        <v>0</v>
      </c>
      <c r="H73">
        <f>IF($E73="","",IF($E72="",$E73,$E73*0.0952380952+H72*0.9047619048))</f>
        <v>0</v>
      </c>
      <c r="I73">
        <f>IF($E73="","",IF($E72="",$E73,$E73*0.0392156863+I72*0.9607843137))</f>
        <v>0</v>
      </c>
      <c r="J73">
        <f>IF($E73="","",IF($E72="",$E73,$E73*0.0198019802+J72*0.9801980198))</f>
        <v>0</v>
      </c>
      <c r="K73">
        <f>IF($E73="","",IF($E72="",$E73,$E73*0.0099502488+K72*0.9900497512))</f>
        <v>0</v>
      </c>
      <c r="L73">
        <f>IF(OR($E73="",$E72=""),"",MAX($E73-$E72,0))</f>
        <v>0</v>
      </c>
      <c r="M73">
        <f>IF(OR($E73="",$E72=""),"",MAX($E72-$E73,0))</f>
        <v>0</v>
      </c>
      <c r="N73">
        <f>IF(COUNT($E$2:$E73)&lt;15,"",IF(AVERAGE($M$60:$M$73)=0,100,100-100/(1+AVERAGE($L$60:$L$73)/AVERAGE($M$60:$M$73))))</f>
        <v>0</v>
      </c>
      <c r="O73">
        <f>IF($E73="","",IF($E72="",$E73,$E73*0.1538461538+O72*0.8461538462))</f>
        <v>0</v>
      </c>
      <c r="P73">
        <f>IF($E73="","",IF($E72="",$E73,$E73*0.0740740741+P72*0.9259259259))</f>
        <v>0</v>
      </c>
      <c r="Q73">
        <f>IF(OR(O73="",P73=""),"",O73-P73)</f>
        <v>0</v>
      </c>
      <c r="R73">
        <f>IF(Q73="","",IF(R72="",Q73,Q73*0.2000000000+R72*0.8000000000))</f>
        <v>0</v>
      </c>
      <c r="S73">
        <f>IF(OR(Q73="",R73=""),"",Q73-R73)</f>
        <v>0</v>
      </c>
      <c r="T73">
        <f>IF(COUNT($E$2:$E73)&lt;14,"",MAX($C$60:$C$73))</f>
        <v>0</v>
      </c>
      <c r="U73">
        <f>IF(COUNT($E$2:$E73)&lt;14,"",MIN($D$60:$D$73))</f>
        <v>0</v>
      </c>
      <c r="V73">
        <f>IF(OR(T73="",U73="",T73=U73),"",100*($E73-U73)/(T73-U73))</f>
        <v>0</v>
      </c>
      <c r="W73">
        <f>IF(COUNT($V$71:$V$73)&lt;3,"",AVERAGE($V$71:$V$73))</f>
        <v>0</v>
      </c>
      <c r="X73">
        <f>IF(COUNT($N$60:$N$73)&lt;14,"",MIN($N$60:$N$73))</f>
        <v>0</v>
      </c>
      <c r="Y73">
        <f>IF(COUNT($N$60:$N$73)&lt;14,"",MAX($N$60:$N$73))</f>
        <v>0</v>
      </c>
      <c r="Z73">
        <f>IF(OR(N73="",X73="",Y73="",Y73=X73),"",100*(N73-X73)/(Y73-X73))</f>
        <v>0</v>
      </c>
      <c r="AA73">
        <f>IF(COUNT($Z$71:$Z$73)&lt;3,"",AVERAGE($Z$71:$Z$73))</f>
        <v>0</v>
      </c>
      <c r="AB73">
        <f>IF(COUNT($AA$71:$AA$73)&lt;3,"",AVERAGE($AA$71:$AA$73))</f>
        <v>0</v>
      </c>
      <c r="AC73">
        <f>IF($E73="","",MAX($C73-$D73,ABS($C73-$E72),ABS($D73-$E72)))</f>
        <v>0</v>
      </c>
      <c r="AD73">
        <f>IF(COUNT($E$2:$E73)&lt;15,"",AVERAGE($AC$60:$AC$73))</f>
        <v>0</v>
      </c>
      <c r="AE73">
        <f>IF(OR($E73="",$E72=""),"",IF(AND(($C73-$C72)&gt;($D72-$D73),($C73-$C72)&gt;0),$C73-$C72,0))</f>
        <v>0</v>
      </c>
      <c r="AF73">
        <f>IF(OR($E73="",$E72=""),"",IF(AND(($D72-$D73)&gt;($C73-$C72),($D72-$D73)&gt;0),$D72-$D73,0))</f>
        <v>0</v>
      </c>
      <c r="AG73">
        <f>IF(COUNT($E$2:$E73)&lt;15,"",IF(SUM($AC$60:$AC$73)=0,0,100*SUM($AE$60:$AE$73)/SUM($AC$60:$AC$73)))</f>
        <v>0</v>
      </c>
      <c r="AH73">
        <f>IF(COUNT($E$2:$E73)&lt;15,"",IF(SUM($AC$60:$AC$73)=0,0,100*SUM($AF$60:$AF$73)/SUM($AC$60:$AC$73)))</f>
        <v>0</v>
      </c>
      <c r="AI73">
        <f>IF(OR(AG73="",AH73=""),"",IF((AG73+AH73)=0,0,100*ABS(AG73-AH73)/(AG73+AH73)))</f>
        <v>0</v>
      </c>
      <c r="AJ73">
        <f>IF(COUNT($AI$60:$AI$73)&lt;14,"",AVERAGE($AI$60:$AI$73))</f>
        <v>0</v>
      </c>
      <c r="AK73">
        <f>IF(COUNT($E$2:$E73)&lt;20,"",AVERAGE($E$54:$E$73))</f>
        <v>0</v>
      </c>
      <c r="AL73">
        <f>IF(COUNT($E$2:$E73)&lt;20,"",STDEVP($E$54:$E$73))</f>
        <v>0</v>
      </c>
      <c r="AM73">
        <f>IF(AK73="","",AK73+2*AL73)</f>
        <v>0</v>
      </c>
      <c r="AN73">
        <f>IF(AK73="","",AK73-2*AL73)</f>
        <v>0</v>
      </c>
      <c r="AO73">
        <f>IF(OR(AM73="",AN73="",AM73=AN73),"",($E73-AN73)/(AM73-AN73))</f>
        <v>0</v>
      </c>
      <c r="AP73">
        <f>IF(OR(AM73="",AK73="",AK73=0),"",(AM73-AN73)/AK73)</f>
        <v>0</v>
      </c>
      <c r="AQ73">
        <f>IF(COUNT($E$2:$E73)&lt;20,"",MAX($C$54:$C$73))</f>
        <v>0</v>
      </c>
      <c r="AR73">
        <f>IF(COUNT($E$2:$E73)&lt;20,"",MIN($D$54:$D$73))</f>
        <v>0</v>
      </c>
      <c r="AS73">
        <f>IF(OR(AQ73="",AR73=""),"",(AQ73+AR73)/2)</f>
        <v>0</v>
      </c>
      <c r="AT73">
        <f>IF(COUNT($G$54:$G$73)&lt;20,"",STDEV($G$54:$G$73)*SQRT(252))</f>
        <v>0</v>
      </c>
      <c r="AU73">
        <f>IF(COUNT($E$2:$E73)&lt;9,"",(MAX($C$65:$C$73)+MIN($D$65:$D$73))/2)</f>
        <v>0</v>
      </c>
      <c r="AV73">
        <f>IF(COUNT($E$2:$E73)&lt;26,"",(MAX($C$48:$C$73)+MIN($D$48:$D$73))/2)</f>
        <v>0</v>
      </c>
      <c r="AW73">
        <f>IF(OR(AU73="",AV73=""),"",(AU73+AV73)/2)</f>
        <v>0</v>
      </c>
      <c r="AX73">
        <f>IF(COUNT($E$2:$E73)&lt;52,"",(MAX($C$22:$C$73)+MIN($D$22:$D$73))/2)</f>
        <v>0</v>
      </c>
      <c r="AY73">
        <f>IF(COUNT($E$2:$E73)&lt;20,"",MAX($C$2:$C$73))</f>
        <v>0</v>
      </c>
      <c r="AZ73">
        <f>IF(COUNT($E$2:$E73)&lt;20,"",MIN($D$2:$D$73))</f>
        <v>0</v>
      </c>
      <c r="BA73">
        <f>IF(COUNT($E$2:$E73)&lt;20,"",SLOPE($E$2:$E$73,$F$2:$F$73))</f>
        <v>0</v>
      </c>
      <c r="BB73">
        <f>IF(COUNT($E$2:$E73)&lt;20,"",INTERCEPT($E$2:$E$73,$F$2:$F$73))</f>
        <v>0</v>
      </c>
      <c r="BC73">
        <f>IF(OR(BA73="",BB73=""),"",BB73+BA73*F73)</f>
        <v>0</v>
      </c>
      <c r="BD73">
        <f>IF(COUNT($E$2:$E73)&lt;20,"",STEYX($E$2:$E$73,$F$2:$F$73))</f>
        <v>0</v>
      </c>
      <c r="BE73">
        <f>IF($E73="","",IF(AND(COUNT($E$74:$E$77)&gt;=4,$C73=MAX($C$69:$C$77)),$C73,""))</f>
        <v>0</v>
      </c>
      <c r="BF73">
        <f>IF($E73="","",IF(AND(COUNT($E$74:$E$77)&gt;=4,$D73=MIN($D$69:$D$77)),$D73,""))</f>
        <v>0</v>
      </c>
      <c r="BG73">
        <f>IF($A73="","",$A73-WEEKDAY($A73,2)+1)</f>
        <v>0</v>
      </c>
      <c r="BH73">
        <f>IF($A73="","",IF($A72="",1,IF(BG73&lt;&gt;BG72,1,0)))</f>
        <v>0</v>
      </c>
      <c r="BI73">
        <f>IF($A73="","",IF($A74="",1,IF(BG74&lt;&gt;BG73,1,0)))</f>
        <v>0</v>
      </c>
      <c r="BJ73">
        <f>IF($A73="","",IF(BH73=1,$B73,BJ72))</f>
        <v>0</v>
      </c>
      <c r="BK73">
        <f>IF($A73="","",IF(BH73=1,$C73,MAX($C73,BK72)))</f>
        <v>0</v>
      </c>
      <c r="BL73">
        <f>IF($A73="","",IF(BH73=1,$D73,MIN($D73,BL72)))</f>
        <v>0</v>
      </c>
      <c r="BM73">
        <f>IF($A73="","",IF(BI73=1,F73,""))</f>
        <v>0</v>
      </c>
      <c r="BN73">
        <f>IF($A73="","",DATE(YEAR($A73),MONTH($A73),1))</f>
        <v>0</v>
      </c>
      <c r="BO73">
        <f>IF($A73="","",IF($A72="",1,IF(BN73&lt;&gt;BN72,1,0)))</f>
        <v>0</v>
      </c>
      <c r="BP73">
        <f>IF($A73="","",IF($A74="",1,IF(BN74&lt;&gt;BN73,1,0)))</f>
        <v>0</v>
      </c>
      <c r="BQ73">
        <f>IF($A73="","",IF(BO73=1,$B73,BQ72))</f>
        <v>0</v>
      </c>
      <c r="BR73">
        <f>IF($A73="","",IF(BO73=1,$C73,MAX($C73,BR72)))</f>
        <v>0</v>
      </c>
      <c r="BS73">
        <f>IF($A73="","",IF(BO73=1,$D73,MIN($D73,BS72)))</f>
        <v>0</v>
      </c>
      <c r="BT73">
        <f>IF($A73="","",IF(BP73=1,F73,""))</f>
        <v>0</v>
      </c>
    </row>
    <row r="74" spans="1:72">
      <c r="A74" s="27">
        <f>IF(Data!$A74="","",Data!$A74)</f>
        <v>0</v>
      </c>
      <c r="B74">
        <f>IF(Data!$B74="","",Data!$B74)</f>
        <v>0</v>
      </c>
      <c r="C74">
        <f>IF(Data!$C74="","",Data!$C74)</f>
        <v>0</v>
      </c>
      <c r="D74">
        <f>IF(Data!$D74="","",Data!$D74)</f>
        <v>0</v>
      </c>
      <c r="E74">
        <f>IF(Data!$E74="","",Data!$E74)</f>
        <v>0</v>
      </c>
      <c r="F74">
        <f>IF($E74="","",N(F73)+1)</f>
        <v>0</v>
      </c>
      <c r="G74">
        <f>IF(OR($E74="",$E73=""),"",LN($E74/$E73))</f>
        <v>0</v>
      </c>
      <c r="H74">
        <f>IF($E74="","",IF($E73="",$E74,$E74*0.0952380952+H73*0.9047619048))</f>
        <v>0</v>
      </c>
      <c r="I74">
        <f>IF($E74="","",IF($E73="",$E74,$E74*0.0392156863+I73*0.9607843137))</f>
        <v>0</v>
      </c>
      <c r="J74">
        <f>IF($E74="","",IF($E73="",$E74,$E74*0.0198019802+J73*0.9801980198))</f>
        <v>0</v>
      </c>
      <c r="K74">
        <f>IF($E74="","",IF($E73="",$E74,$E74*0.0099502488+K73*0.9900497512))</f>
        <v>0</v>
      </c>
      <c r="L74">
        <f>IF(OR($E74="",$E73=""),"",MAX($E74-$E73,0))</f>
        <v>0</v>
      </c>
      <c r="M74">
        <f>IF(OR($E74="",$E73=""),"",MAX($E73-$E74,0))</f>
        <v>0</v>
      </c>
      <c r="N74">
        <f>IF(COUNT($E$2:$E74)&lt;15,"",IF(AVERAGE($M$61:$M$74)=0,100,100-100/(1+AVERAGE($L$61:$L$74)/AVERAGE($M$61:$M$74))))</f>
        <v>0</v>
      </c>
      <c r="O74">
        <f>IF($E74="","",IF($E73="",$E74,$E74*0.1538461538+O73*0.8461538462))</f>
        <v>0</v>
      </c>
      <c r="P74">
        <f>IF($E74="","",IF($E73="",$E74,$E74*0.0740740741+P73*0.9259259259))</f>
        <v>0</v>
      </c>
      <c r="Q74">
        <f>IF(OR(O74="",P74=""),"",O74-P74)</f>
        <v>0</v>
      </c>
      <c r="R74">
        <f>IF(Q74="","",IF(R73="",Q74,Q74*0.2000000000+R73*0.8000000000))</f>
        <v>0</v>
      </c>
      <c r="S74">
        <f>IF(OR(Q74="",R74=""),"",Q74-R74)</f>
        <v>0</v>
      </c>
      <c r="T74">
        <f>IF(COUNT($E$2:$E74)&lt;14,"",MAX($C$61:$C$74))</f>
        <v>0</v>
      </c>
      <c r="U74">
        <f>IF(COUNT($E$2:$E74)&lt;14,"",MIN($D$61:$D$74))</f>
        <v>0</v>
      </c>
      <c r="V74">
        <f>IF(OR(T74="",U74="",T74=U74),"",100*($E74-U74)/(T74-U74))</f>
        <v>0</v>
      </c>
      <c r="W74">
        <f>IF(COUNT($V$72:$V$74)&lt;3,"",AVERAGE($V$72:$V$74))</f>
        <v>0</v>
      </c>
      <c r="X74">
        <f>IF(COUNT($N$61:$N$74)&lt;14,"",MIN($N$61:$N$74))</f>
        <v>0</v>
      </c>
      <c r="Y74">
        <f>IF(COUNT($N$61:$N$74)&lt;14,"",MAX($N$61:$N$74))</f>
        <v>0</v>
      </c>
      <c r="Z74">
        <f>IF(OR(N74="",X74="",Y74="",Y74=X74),"",100*(N74-X74)/(Y74-X74))</f>
        <v>0</v>
      </c>
      <c r="AA74">
        <f>IF(COUNT($Z$72:$Z$74)&lt;3,"",AVERAGE($Z$72:$Z$74))</f>
        <v>0</v>
      </c>
      <c r="AB74">
        <f>IF(COUNT($AA$72:$AA$74)&lt;3,"",AVERAGE($AA$72:$AA$74))</f>
        <v>0</v>
      </c>
      <c r="AC74">
        <f>IF($E74="","",MAX($C74-$D74,ABS($C74-$E73),ABS($D74-$E73)))</f>
        <v>0</v>
      </c>
      <c r="AD74">
        <f>IF(COUNT($E$2:$E74)&lt;15,"",AVERAGE($AC$61:$AC$74))</f>
        <v>0</v>
      </c>
      <c r="AE74">
        <f>IF(OR($E74="",$E73=""),"",IF(AND(($C74-$C73)&gt;($D73-$D74),($C74-$C73)&gt;0),$C74-$C73,0))</f>
        <v>0</v>
      </c>
      <c r="AF74">
        <f>IF(OR($E74="",$E73=""),"",IF(AND(($D73-$D74)&gt;($C74-$C73),($D73-$D74)&gt;0),$D73-$D74,0))</f>
        <v>0</v>
      </c>
      <c r="AG74">
        <f>IF(COUNT($E$2:$E74)&lt;15,"",IF(SUM($AC$61:$AC$74)=0,0,100*SUM($AE$61:$AE$74)/SUM($AC$61:$AC$74)))</f>
        <v>0</v>
      </c>
      <c r="AH74">
        <f>IF(COUNT($E$2:$E74)&lt;15,"",IF(SUM($AC$61:$AC$74)=0,0,100*SUM($AF$61:$AF$74)/SUM($AC$61:$AC$74)))</f>
        <v>0</v>
      </c>
      <c r="AI74">
        <f>IF(OR(AG74="",AH74=""),"",IF((AG74+AH74)=0,0,100*ABS(AG74-AH74)/(AG74+AH74)))</f>
        <v>0</v>
      </c>
      <c r="AJ74">
        <f>IF(COUNT($AI$61:$AI$74)&lt;14,"",AVERAGE($AI$61:$AI$74))</f>
        <v>0</v>
      </c>
      <c r="AK74">
        <f>IF(COUNT($E$2:$E74)&lt;20,"",AVERAGE($E$55:$E$74))</f>
        <v>0</v>
      </c>
      <c r="AL74">
        <f>IF(COUNT($E$2:$E74)&lt;20,"",STDEVP($E$55:$E$74))</f>
        <v>0</v>
      </c>
      <c r="AM74">
        <f>IF(AK74="","",AK74+2*AL74)</f>
        <v>0</v>
      </c>
      <c r="AN74">
        <f>IF(AK74="","",AK74-2*AL74)</f>
        <v>0</v>
      </c>
      <c r="AO74">
        <f>IF(OR(AM74="",AN74="",AM74=AN74),"",($E74-AN74)/(AM74-AN74))</f>
        <v>0</v>
      </c>
      <c r="AP74">
        <f>IF(OR(AM74="",AK74="",AK74=0),"",(AM74-AN74)/AK74)</f>
        <v>0</v>
      </c>
      <c r="AQ74">
        <f>IF(COUNT($E$2:$E74)&lt;20,"",MAX($C$55:$C$74))</f>
        <v>0</v>
      </c>
      <c r="AR74">
        <f>IF(COUNT($E$2:$E74)&lt;20,"",MIN($D$55:$D$74))</f>
        <v>0</v>
      </c>
      <c r="AS74">
        <f>IF(OR(AQ74="",AR74=""),"",(AQ74+AR74)/2)</f>
        <v>0</v>
      </c>
      <c r="AT74">
        <f>IF(COUNT($G$55:$G$74)&lt;20,"",STDEV($G$55:$G$74)*SQRT(252))</f>
        <v>0</v>
      </c>
      <c r="AU74">
        <f>IF(COUNT($E$2:$E74)&lt;9,"",(MAX($C$66:$C$74)+MIN($D$66:$D$74))/2)</f>
        <v>0</v>
      </c>
      <c r="AV74">
        <f>IF(COUNT($E$2:$E74)&lt;26,"",(MAX($C$49:$C$74)+MIN($D$49:$D$74))/2)</f>
        <v>0</v>
      </c>
      <c r="AW74">
        <f>IF(OR(AU74="",AV74=""),"",(AU74+AV74)/2)</f>
        <v>0</v>
      </c>
      <c r="AX74">
        <f>IF(COUNT($E$2:$E74)&lt;52,"",(MAX($C$23:$C$74)+MIN($D$23:$D$74))/2)</f>
        <v>0</v>
      </c>
      <c r="AY74">
        <f>IF(COUNT($E$2:$E74)&lt;20,"",MAX($C$2:$C$74))</f>
        <v>0</v>
      </c>
      <c r="AZ74">
        <f>IF(COUNT($E$2:$E74)&lt;20,"",MIN($D$2:$D$74))</f>
        <v>0</v>
      </c>
      <c r="BA74">
        <f>IF(COUNT($E$2:$E74)&lt;20,"",SLOPE($E$2:$E$74,$F$2:$F$74))</f>
        <v>0</v>
      </c>
      <c r="BB74">
        <f>IF(COUNT($E$2:$E74)&lt;20,"",INTERCEPT($E$2:$E$74,$F$2:$F$74))</f>
        <v>0</v>
      </c>
      <c r="BC74">
        <f>IF(OR(BA74="",BB74=""),"",BB74+BA74*F74)</f>
        <v>0</v>
      </c>
      <c r="BD74">
        <f>IF(COUNT($E$2:$E74)&lt;20,"",STEYX($E$2:$E$74,$F$2:$F$74))</f>
        <v>0</v>
      </c>
      <c r="BE74">
        <f>IF($E74="","",IF(AND(COUNT($E$75:$E$78)&gt;=4,$C74=MAX($C$70:$C$78)),$C74,""))</f>
        <v>0</v>
      </c>
      <c r="BF74">
        <f>IF($E74="","",IF(AND(COUNT($E$75:$E$78)&gt;=4,$D74=MIN($D$70:$D$78)),$D74,""))</f>
        <v>0</v>
      </c>
      <c r="BG74">
        <f>IF($A74="","",$A74-WEEKDAY($A74,2)+1)</f>
        <v>0</v>
      </c>
      <c r="BH74">
        <f>IF($A74="","",IF($A73="",1,IF(BG74&lt;&gt;BG73,1,0)))</f>
        <v>0</v>
      </c>
      <c r="BI74">
        <f>IF($A74="","",IF($A75="",1,IF(BG75&lt;&gt;BG74,1,0)))</f>
        <v>0</v>
      </c>
      <c r="BJ74">
        <f>IF($A74="","",IF(BH74=1,$B74,BJ73))</f>
        <v>0</v>
      </c>
      <c r="BK74">
        <f>IF($A74="","",IF(BH74=1,$C74,MAX($C74,BK73)))</f>
        <v>0</v>
      </c>
      <c r="BL74">
        <f>IF($A74="","",IF(BH74=1,$D74,MIN($D74,BL73)))</f>
        <v>0</v>
      </c>
      <c r="BM74">
        <f>IF($A74="","",IF(BI74=1,F74,""))</f>
        <v>0</v>
      </c>
      <c r="BN74">
        <f>IF($A74="","",DATE(YEAR($A74),MONTH($A74),1))</f>
        <v>0</v>
      </c>
      <c r="BO74">
        <f>IF($A74="","",IF($A73="",1,IF(BN74&lt;&gt;BN73,1,0)))</f>
        <v>0</v>
      </c>
      <c r="BP74">
        <f>IF($A74="","",IF($A75="",1,IF(BN75&lt;&gt;BN74,1,0)))</f>
        <v>0</v>
      </c>
      <c r="BQ74">
        <f>IF($A74="","",IF(BO74=1,$B74,BQ73))</f>
        <v>0</v>
      </c>
      <c r="BR74">
        <f>IF($A74="","",IF(BO74=1,$C74,MAX($C74,BR73)))</f>
        <v>0</v>
      </c>
      <c r="BS74">
        <f>IF($A74="","",IF(BO74=1,$D74,MIN($D74,BS73)))</f>
        <v>0</v>
      </c>
      <c r="BT74">
        <f>IF($A74="","",IF(BP74=1,F74,""))</f>
        <v>0</v>
      </c>
    </row>
    <row r="75" spans="1:72">
      <c r="A75" s="27">
        <f>IF(Data!$A75="","",Data!$A75)</f>
        <v>0</v>
      </c>
      <c r="B75">
        <f>IF(Data!$B75="","",Data!$B75)</f>
        <v>0</v>
      </c>
      <c r="C75">
        <f>IF(Data!$C75="","",Data!$C75)</f>
        <v>0</v>
      </c>
      <c r="D75">
        <f>IF(Data!$D75="","",Data!$D75)</f>
        <v>0</v>
      </c>
      <c r="E75">
        <f>IF(Data!$E75="","",Data!$E75)</f>
        <v>0</v>
      </c>
      <c r="F75">
        <f>IF($E75="","",N(F74)+1)</f>
        <v>0</v>
      </c>
      <c r="G75">
        <f>IF(OR($E75="",$E74=""),"",LN($E75/$E74))</f>
        <v>0</v>
      </c>
      <c r="H75">
        <f>IF($E75="","",IF($E74="",$E75,$E75*0.0952380952+H74*0.9047619048))</f>
        <v>0</v>
      </c>
      <c r="I75">
        <f>IF($E75="","",IF($E74="",$E75,$E75*0.0392156863+I74*0.9607843137))</f>
        <v>0</v>
      </c>
      <c r="J75">
        <f>IF($E75="","",IF($E74="",$E75,$E75*0.0198019802+J74*0.9801980198))</f>
        <v>0</v>
      </c>
      <c r="K75">
        <f>IF($E75="","",IF($E74="",$E75,$E75*0.0099502488+K74*0.9900497512))</f>
        <v>0</v>
      </c>
      <c r="L75">
        <f>IF(OR($E75="",$E74=""),"",MAX($E75-$E74,0))</f>
        <v>0</v>
      </c>
      <c r="M75">
        <f>IF(OR($E75="",$E74=""),"",MAX($E74-$E75,0))</f>
        <v>0</v>
      </c>
      <c r="N75">
        <f>IF(COUNT($E$2:$E75)&lt;15,"",IF(AVERAGE($M$62:$M$75)=0,100,100-100/(1+AVERAGE($L$62:$L$75)/AVERAGE($M$62:$M$75))))</f>
        <v>0</v>
      </c>
      <c r="O75">
        <f>IF($E75="","",IF($E74="",$E75,$E75*0.1538461538+O74*0.8461538462))</f>
        <v>0</v>
      </c>
      <c r="P75">
        <f>IF($E75="","",IF($E74="",$E75,$E75*0.0740740741+P74*0.9259259259))</f>
        <v>0</v>
      </c>
      <c r="Q75">
        <f>IF(OR(O75="",P75=""),"",O75-P75)</f>
        <v>0</v>
      </c>
      <c r="R75">
        <f>IF(Q75="","",IF(R74="",Q75,Q75*0.2000000000+R74*0.8000000000))</f>
        <v>0</v>
      </c>
      <c r="S75">
        <f>IF(OR(Q75="",R75=""),"",Q75-R75)</f>
        <v>0</v>
      </c>
      <c r="T75">
        <f>IF(COUNT($E$2:$E75)&lt;14,"",MAX($C$62:$C$75))</f>
        <v>0</v>
      </c>
      <c r="U75">
        <f>IF(COUNT($E$2:$E75)&lt;14,"",MIN($D$62:$D$75))</f>
        <v>0</v>
      </c>
      <c r="V75">
        <f>IF(OR(T75="",U75="",T75=U75),"",100*($E75-U75)/(T75-U75))</f>
        <v>0</v>
      </c>
      <c r="W75">
        <f>IF(COUNT($V$73:$V$75)&lt;3,"",AVERAGE($V$73:$V$75))</f>
        <v>0</v>
      </c>
      <c r="X75">
        <f>IF(COUNT($N$62:$N$75)&lt;14,"",MIN($N$62:$N$75))</f>
        <v>0</v>
      </c>
      <c r="Y75">
        <f>IF(COUNT($N$62:$N$75)&lt;14,"",MAX($N$62:$N$75))</f>
        <v>0</v>
      </c>
      <c r="Z75">
        <f>IF(OR(N75="",X75="",Y75="",Y75=X75),"",100*(N75-X75)/(Y75-X75))</f>
        <v>0</v>
      </c>
      <c r="AA75">
        <f>IF(COUNT($Z$73:$Z$75)&lt;3,"",AVERAGE($Z$73:$Z$75))</f>
        <v>0</v>
      </c>
      <c r="AB75">
        <f>IF(COUNT($AA$73:$AA$75)&lt;3,"",AVERAGE($AA$73:$AA$75))</f>
        <v>0</v>
      </c>
      <c r="AC75">
        <f>IF($E75="","",MAX($C75-$D75,ABS($C75-$E74),ABS($D75-$E74)))</f>
        <v>0</v>
      </c>
      <c r="AD75">
        <f>IF(COUNT($E$2:$E75)&lt;15,"",AVERAGE($AC$62:$AC$75))</f>
        <v>0</v>
      </c>
      <c r="AE75">
        <f>IF(OR($E75="",$E74=""),"",IF(AND(($C75-$C74)&gt;($D74-$D75),($C75-$C74)&gt;0),$C75-$C74,0))</f>
        <v>0</v>
      </c>
      <c r="AF75">
        <f>IF(OR($E75="",$E74=""),"",IF(AND(($D74-$D75)&gt;($C75-$C74),($D74-$D75)&gt;0),$D74-$D75,0))</f>
        <v>0</v>
      </c>
      <c r="AG75">
        <f>IF(COUNT($E$2:$E75)&lt;15,"",IF(SUM($AC$62:$AC$75)=0,0,100*SUM($AE$62:$AE$75)/SUM($AC$62:$AC$75)))</f>
        <v>0</v>
      </c>
      <c r="AH75">
        <f>IF(COUNT($E$2:$E75)&lt;15,"",IF(SUM($AC$62:$AC$75)=0,0,100*SUM($AF$62:$AF$75)/SUM($AC$62:$AC$75)))</f>
        <v>0</v>
      </c>
      <c r="AI75">
        <f>IF(OR(AG75="",AH75=""),"",IF((AG75+AH75)=0,0,100*ABS(AG75-AH75)/(AG75+AH75)))</f>
        <v>0</v>
      </c>
      <c r="AJ75">
        <f>IF(COUNT($AI$62:$AI$75)&lt;14,"",AVERAGE($AI$62:$AI$75))</f>
        <v>0</v>
      </c>
      <c r="AK75">
        <f>IF(COUNT($E$2:$E75)&lt;20,"",AVERAGE($E$56:$E$75))</f>
        <v>0</v>
      </c>
      <c r="AL75">
        <f>IF(COUNT($E$2:$E75)&lt;20,"",STDEVP($E$56:$E$75))</f>
        <v>0</v>
      </c>
      <c r="AM75">
        <f>IF(AK75="","",AK75+2*AL75)</f>
        <v>0</v>
      </c>
      <c r="AN75">
        <f>IF(AK75="","",AK75-2*AL75)</f>
        <v>0</v>
      </c>
      <c r="AO75">
        <f>IF(OR(AM75="",AN75="",AM75=AN75),"",($E75-AN75)/(AM75-AN75))</f>
        <v>0</v>
      </c>
      <c r="AP75">
        <f>IF(OR(AM75="",AK75="",AK75=0),"",(AM75-AN75)/AK75)</f>
        <v>0</v>
      </c>
      <c r="AQ75">
        <f>IF(COUNT($E$2:$E75)&lt;20,"",MAX($C$56:$C$75))</f>
        <v>0</v>
      </c>
      <c r="AR75">
        <f>IF(COUNT($E$2:$E75)&lt;20,"",MIN($D$56:$D$75))</f>
        <v>0</v>
      </c>
      <c r="AS75">
        <f>IF(OR(AQ75="",AR75=""),"",(AQ75+AR75)/2)</f>
        <v>0</v>
      </c>
      <c r="AT75">
        <f>IF(COUNT($G$56:$G$75)&lt;20,"",STDEV($G$56:$G$75)*SQRT(252))</f>
        <v>0</v>
      </c>
      <c r="AU75">
        <f>IF(COUNT($E$2:$E75)&lt;9,"",(MAX($C$67:$C$75)+MIN($D$67:$D$75))/2)</f>
        <v>0</v>
      </c>
      <c r="AV75">
        <f>IF(COUNT($E$2:$E75)&lt;26,"",(MAX($C$50:$C$75)+MIN($D$50:$D$75))/2)</f>
        <v>0</v>
      </c>
      <c r="AW75">
        <f>IF(OR(AU75="",AV75=""),"",(AU75+AV75)/2)</f>
        <v>0</v>
      </c>
      <c r="AX75">
        <f>IF(COUNT($E$2:$E75)&lt;52,"",(MAX($C$24:$C$75)+MIN($D$24:$D$75))/2)</f>
        <v>0</v>
      </c>
      <c r="AY75">
        <f>IF(COUNT($E$2:$E75)&lt;20,"",MAX($C$2:$C$75))</f>
        <v>0</v>
      </c>
      <c r="AZ75">
        <f>IF(COUNT($E$2:$E75)&lt;20,"",MIN($D$2:$D$75))</f>
        <v>0</v>
      </c>
      <c r="BA75">
        <f>IF(COUNT($E$2:$E75)&lt;20,"",SLOPE($E$2:$E$75,$F$2:$F$75))</f>
        <v>0</v>
      </c>
      <c r="BB75">
        <f>IF(COUNT($E$2:$E75)&lt;20,"",INTERCEPT($E$2:$E$75,$F$2:$F$75))</f>
        <v>0</v>
      </c>
      <c r="BC75">
        <f>IF(OR(BA75="",BB75=""),"",BB75+BA75*F75)</f>
        <v>0</v>
      </c>
      <c r="BD75">
        <f>IF(COUNT($E$2:$E75)&lt;20,"",STEYX($E$2:$E$75,$F$2:$F$75))</f>
        <v>0</v>
      </c>
      <c r="BE75">
        <f>IF($E75="","",IF(AND(COUNT($E$76:$E$79)&gt;=4,$C75=MAX($C$71:$C$79)),$C75,""))</f>
        <v>0</v>
      </c>
      <c r="BF75">
        <f>IF($E75="","",IF(AND(COUNT($E$76:$E$79)&gt;=4,$D75=MIN($D$71:$D$79)),$D75,""))</f>
        <v>0</v>
      </c>
      <c r="BG75">
        <f>IF($A75="","",$A75-WEEKDAY($A75,2)+1)</f>
        <v>0</v>
      </c>
      <c r="BH75">
        <f>IF($A75="","",IF($A74="",1,IF(BG75&lt;&gt;BG74,1,0)))</f>
        <v>0</v>
      </c>
      <c r="BI75">
        <f>IF($A75="","",IF($A76="",1,IF(BG76&lt;&gt;BG75,1,0)))</f>
        <v>0</v>
      </c>
      <c r="BJ75">
        <f>IF($A75="","",IF(BH75=1,$B75,BJ74))</f>
        <v>0</v>
      </c>
      <c r="BK75">
        <f>IF($A75="","",IF(BH75=1,$C75,MAX($C75,BK74)))</f>
        <v>0</v>
      </c>
      <c r="BL75">
        <f>IF($A75="","",IF(BH75=1,$D75,MIN($D75,BL74)))</f>
        <v>0</v>
      </c>
      <c r="BM75">
        <f>IF($A75="","",IF(BI75=1,F75,""))</f>
        <v>0</v>
      </c>
      <c r="BN75">
        <f>IF($A75="","",DATE(YEAR($A75),MONTH($A75),1))</f>
        <v>0</v>
      </c>
      <c r="BO75">
        <f>IF($A75="","",IF($A74="",1,IF(BN75&lt;&gt;BN74,1,0)))</f>
        <v>0</v>
      </c>
      <c r="BP75">
        <f>IF($A75="","",IF($A76="",1,IF(BN76&lt;&gt;BN75,1,0)))</f>
        <v>0</v>
      </c>
      <c r="BQ75">
        <f>IF($A75="","",IF(BO75=1,$B75,BQ74))</f>
        <v>0</v>
      </c>
      <c r="BR75">
        <f>IF($A75="","",IF(BO75=1,$C75,MAX($C75,BR74)))</f>
        <v>0</v>
      </c>
      <c r="BS75">
        <f>IF($A75="","",IF(BO75=1,$D75,MIN($D75,BS74)))</f>
        <v>0</v>
      </c>
      <c r="BT75">
        <f>IF($A75="","",IF(BP75=1,F75,""))</f>
        <v>0</v>
      </c>
    </row>
    <row r="76" spans="1:72">
      <c r="A76" s="27">
        <f>IF(Data!$A76="","",Data!$A76)</f>
        <v>0</v>
      </c>
      <c r="B76">
        <f>IF(Data!$B76="","",Data!$B76)</f>
        <v>0</v>
      </c>
      <c r="C76">
        <f>IF(Data!$C76="","",Data!$C76)</f>
        <v>0</v>
      </c>
      <c r="D76">
        <f>IF(Data!$D76="","",Data!$D76)</f>
        <v>0</v>
      </c>
      <c r="E76">
        <f>IF(Data!$E76="","",Data!$E76)</f>
        <v>0</v>
      </c>
      <c r="F76">
        <f>IF($E76="","",N(F75)+1)</f>
        <v>0</v>
      </c>
      <c r="G76">
        <f>IF(OR($E76="",$E75=""),"",LN($E76/$E75))</f>
        <v>0</v>
      </c>
      <c r="H76">
        <f>IF($E76="","",IF($E75="",$E76,$E76*0.0952380952+H75*0.9047619048))</f>
        <v>0</v>
      </c>
      <c r="I76">
        <f>IF($E76="","",IF($E75="",$E76,$E76*0.0392156863+I75*0.9607843137))</f>
        <v>0</v>
      </c>
      <c r="J76">
        <f>IF($E76="","",IF($E75="",$E76,$E76*0.0198019802+J75*0.9801980198))</f>
        <v>0</v>
      </c>
      <c r="K76">
        <f>IF($E76="","",IF($E75="",$E76,$E76*0.0099502488+K75*0.9900497512))</f>
        <v>0</v>
      </c>
      <c r="L76">
        <f>IF(OR($E76="",$E75=""),"",MAX($E76-$E75,0))</f>
        <v>0</v>
      </c>
      <c r="M76">
        <f>IF(OR($E76="",$E75=""),"",MAX($E75-$E76,0))</f>
        <v>0</v>
      </c>
      <c r="N76">
        <f>IF(COUNT($E$2:$E76)&lt;15,"",IF(AVERAGE($M$63:$M$76)=0,100,100-100/(1+AVERAGE($L$63:$L$76)/AVERAGE($M$63:$M$76))))</f>
        <v>0</v>
      </c>
      <c r="O76">
        <f>IF($E76="","",IF($E75="",$E76,$E76*0.1538461538+O75*0.8461538462))</f>
        <v>0</v>
      </c>
      <c r="P76">
        <f>IF($E76="","",IF($E75="",$E76,$E76*0.0740740741+P75*0.9259259259))</f>
        <v>0</v>
      </c>
      <c r="Q76">
        <f>IF(OR(O76="",P76=""),"",O76-P76)</f>
        <v>0</v>
      </c>
      <c r="R76">
        <f>IF(Q76="","",IF(R75="",Q76,Q76*0.2000000000+R75*0.8000000000))</f>
        <v>0</v>
      </c>
      <c r="S76">
        <f>IF(OR(Q76="",R76=""),"",Q76-R76)</f>
        <v>0</v>
      </c>
      <c r="T76">
        <f>IF(COUNT($E$2:$E76)&lt;14,"",MAX($C$63:$C$76))</f>
        <v>0</v>
      </c>
      <c r="U76">
        <f>IF(COUNT($E$2:$E76)&lt;14,"",MIN($D$63:$D$76))</f>
        <v>0</v>
      </c>
      <c r="V76">
        <f>IF(OR(T76="",U76="",T76=U76),"",100*($E76-U76)/(T76-U76))</f>
        <v>0</v>
      </c>
      <c r="W76">
        <f>IF(COUNT($V$74:$V$76)&lt;3,"",AVERAGE($V$74:$V$76))</f>
        <v>0</v>
      </c>
      <c r="X76">
        <f>IF(COUNT($N$63:$N$76)&lt;14,"",MIN($N$63:$N$76))</f>
        <v>0</v>
      </c>
      <c r="Y76">
        <f>IF(COUNT($N$63:$N$76)&lt;14,"",MAX($N$63:$N$76))</f>
        <v>0</v>
      </c>
      <c r="Z76">
        <f>IF(OR(N76="",X76="",Y76="",Y76=X76),"",100*(N76-X76)/(Y76-X76))</f>
        <v>0</v>
      </c>
      <c r="AA76">
        <f>IF(COUNT($Z$74:$Z$76)&lt;3,"",AVERAGE($Z$74:$Z$76))</f>
        <v>0</v>
      </c>
      <c r="AB76">
        <f>IF(COUNT($AA$74:$AA$76)&lt;3,"",AVERAGE($AA$74:$AA$76))</f>
        <v>0</v>
      </c>
      <c r="AC76">
        <f>IF($E76="","",MAX($C76-$D76,ABS($C76-$E75),ABS($D76-$E75)))</f>
        <v>0</v>
      </c>
      <c r="AD76">
        <f>IF(COUNT($E$2:$E76)&lt;15,"",AVERAGE($AC$63:$AC$76))</f>
        <v>0</v>
      </c>
      <c r="AE76">
        <f>IF(OR($E76="",$E75=""),"",IF(AND(($C76-$C75)&gt;($D75-$D76),($C76-$C75)&gt;0),$C76-$C75,0))</f>
        <v>0</v>
      </c>
      <c r="AF76">
        <f>IF(OR($E76="",$E75=""),"",IF(AND(($D75-$D76)&gt;($C76-$C75),($D75-$D76)&gt;0),$D75-$D76,0))</f>
        <v>0</v>
      </c>
      <c r="AG76">
        <f>IF(COUNT($E$2:$E76)&lt;15,"",IF(SUM($AC$63:$AC$76)=0,0,100*SUM($AE$63:$AE$76)/SUM($AC$63:$AC$76)))</f>
        <v>0</v>
      </c>
      <c r="AH76">
        <f>IF(COUNT($E$2:$E76)&lt;15,"",IF(SUM($AC$63:$AC$76)=0,0,100*SUM($AF$63:$AF$76)/SUM($AC$63:$AC$76)))</f>
        <v>0</v>
      </c>
      <c r="AI76">
        <f>IF(OR(AG76="",AH76=""),"",IF((AG76+AH76)=0,0,100*ABS(AG76-AH76)/(AG76+AH76)))</f>
        <v>0</v>
      </c>
      <c r="AJ76">
        <f>IF(COUNT($AI$63:$AI$76)&lt;14,"",AVERAGE($AI$63:$AI$76))</f>
        <v>0</v>
      </c>
      <c r="AK76">
        <f>IF(COUNT($E$2:$E76)&lt;20,"",AVERAGE($E$57:$E$76))</f>
        <v>0</v>
      </c>
      <c r="AL76">
        <f>IF(COUNT($E$2:$E76)&lt;20,"",STDEVP($E$57:$E$76))</f>
        <v>0</v>
      </c>
      <c r="AM76">
        <f>IF(AK76="","",AK76+2*AL76)</f>
        <v>0</v>
      </c>
      <c r="AN76">
        <f>IF(AK76="","",AK76-2*AL76)</f>
        <v>0</v>
      </c>
      <c r="AO76">
        <f>IF(OR(AM76="",AN76="",AM76=AN76),"",($E76-AN76)/(AM76-AN76))</f>
        <v>0</v>
      </c>
      <c r="AP76">
        <f>IF(OR(AM76="",AK76="",AK76=0),"",(AM76-AN76)/AK76)</f>
        <v>0</v>
      </c>
      <c r="AQ76">
        <f>IF(COUNT($E$2:$E76)&lt;20,"",MAX($C$57:$C$76))</f>
        <v>0</v>
      </c>
      <c r="AR76">
        <f>IF(COUNT($E$2:$E76)&lt;20,"",MIN($D$57:$D$76))</f>
        <v>0</v>
      </c>
      <c r="AS76">
        <f>IF(OR(AQ76="",AR76=""),"",(AQ76+AR76)/2)</f>
        <v>0</v>
      </c>
      <c r="AT76">
        <f>IF(COUNT($G$57:$G$76)&lt;20,"",STDEV($G$57:$G$76)*SQRT(252))</f>
        <v>0</v>
      </c>
      <c r="AU76">
        <f>IF(COUNT($E$2:$E76)&lt;9,"",(MAX($C$68:$C$76)+MIN($D$68:$D$76))/2)</f>
        <v>0</v>
      </c>
      <c r="AV76">
        <f>IF(COUNT($E$2:$E76)&lt;26,"",(MAX($C$51:$C$76)+MIN($D$51:$D$76))/2)</f>
        <v>0</v>
      </c>
      <c r="AW76">
        <f>IF(OR(AU76="",AV76=""),"",(AU76+AV76)/2)</f>
        <v>0</v>
      </c>
      <c r="AX76">
        <f>IF(COUNT($E$2:$E76)&lt;52,"",(MAX($C$25:$C$76)+MIN($D$25:$D$76))/2)</f>
        <v>0</v>
      </c>
      <c r="AY76">
        <f>IF(COUNT($E$2:$E76)&lt;20,"",MAX($C$2:$C$76))</f>
        <v>0</v>
      </c>
      <c r="AZ76">
        <f>IF(COUNT($E$2:$E76)&lt;20,"",MIN($D$2:$D$76))</f>
        <v>0</v>
      </c>
      <c r="BA76">
        <f>IF(COUNT($E$2:$E76)&lt;20,"",SLOPE($E$2:$E$76,$F$2:$F$76))</f>
        <v>0</v>
      </c>
      <c r="BB76">
        <f>IF(COUNT($E$2:$E76)&lt;20,"",INTERCEPT($E$2:$E$76,$F$2:$F$76))</f>
        <v>0</v>
      </c>
      <c r="BC76">
        <f>IF(OR(BA76="",BB76=""),"",BB76+BA76*F76)</f>
        <v>0</v>
      </c>
      <c r="BD76">
        <f>IF(COUNT($E$2:$E76)&lt;20,"",STEYX($E$2:$E$76,$F$2:$F$76))</f>
        <v>0</v>
      </c>
      <c r="BE76">
        <f>IF($E76="","",IF(AND(COUNT($E$77:$E$80)&gt;=4,$C76=MAX($C$72:$C$80)),$C76,""))</f>
        <v>0</v>
      </c>
      <c r="BF76">
        <f>IF($E76="","",IF(AND(COUNT($E$77:$E$80)&gt;=4,$D76=MIN($D$72:$D$80)),$D76,""))</f>
        <v>0</v>
      </c>
      <c r="BG76">
        <f>IF($A76="","",$A76-WEEKDAY($A76,2)+1)</f>
        <v>0</v>
      </c>
      <c r="BH76">
        <f>IF($A76="","",IF($A75="",1,IF(BG76&lt;&gt;BG75,1,0)))</f>
        <v>0</v>
      </c>
      <c r="BI76">
        <f>IF($A76="","",IF($A77="",1,IF(BG77&lt;&gt;BG76,1,0)))</f>
        <v>0</v>
      </c>
      <c r="BJ76">
        <f>IF($A76="","",IF(BH76=1,$B76,BJ75))</f>
        <v>0</v>
      </c>
      <c r="BK76">
        <f>IF($A76="","",IF(BH76=1,$C76,MAX($C76,BK75)))</f>
        <v>0</v>
      </c>
      <c r="BL76">
        <f>IF($A76="","",IF(BH76=1,$D76,MIN($D76,BL75)))</f>
        <v>0</v>
      </c>
      <c r="BM76">
        <f>IF($A76="","",IF(BI76=1,F76,""))</f>
        <v>0</v>
      </c>
      <c r="BN76">
        <f>IF($A76="","",DATE(YEAR($A76),MONTH($A76),1))</f>
        <v>0</v>
      </c>
      <c r="BO76">
        <f>IF($A76="","",IF($A75="",1,IF(BN76&lt;&gt;BN75,1,0)))</f>
        <v>0</v>
      </c>
      <c r="BP76">
        <f>IF($A76="","",IF($A77="",1,IF(BN77&lt;&gt;BN76,1,0)))</f>
        <v>0</v>
      </c>
      <c r="BQ76">
        <f>IF($A76="","",IF(BO76=1,$B76,BQ75))</f>
        <v>0</v>
      </c>
      <c r="BR76">
        <f>IF($A76="","",IF(BO76=1,$C76,MAX($C76,BR75)))</f>
        <v>0</v>
      </c>
      <c r="BS76">
        <f>IF($A76="","",IF(BO76=1,$D76,MIN($D76,BS75)))</f>
        <v>0</v>
      </c>
      <c r="BT76">
        <f>IF($A76="","",IF(BP76=1,F76,""))</f>
        <v>0</v>
      </c>
    </row>
    <row r="77" spans="1:72">
      <c r="A77" s="27">
        <f>IF(Data!$A77="","",Data!$A77)</f>
        <v>0</v>
      </c>
      <c r="B77">
        <f>IF(Data!$B77="","",Data!$B77)</f>
        <v>0</v>
      </c>
      <c r="C77">
        <f>IF(Data!$C77="","",Data!$C77)</f>
        <v>0</v>
      </c>
      <c r="D77">
        <f>IF(Data!$D77="","",Data!$D77)</f>
        <v>0</v>
      </c>
      <c r="E77">
        <f>IF(Data!$E77="","",Data!$E77)</f>
        <v>0</v>
      </c>
      <c r="F77">
        <f>IF($E77="","",N(F76)+1)</f>
        <v>0</v>
      </c>
      <c r="G77">
        <f>IF(OR($E77="",$E76=""),"",LN($E77/$E76))</f>
        <v>0</v>
      </c>
      <c r="H77">
        <f>IF($E77="","",IF($E76="",$E77,$E77*0.0952380952+H76*0.9047619048))</f>
        <v>0</v>
      </c>
      <c r="I77">
        <f>IF($E77="","",IF($E76="",$E77,$E77*0.0392156863+I76*0.9607843137))</f>
        <v>0</v>
      </c>
      <c r="J77">
        <f>IF($E77="","",IF($E76="",$E77,$E77*0.0198019802+J76*0.9801980198))</f>
        <v>0</v>
      </c>
      <c r="K77">
        <f>IF($E77="","",IF($E76="",$E77,$E77*0.0099502488+K76*0.9900497512))</f>
        <v>0</v>
      </c>
      <c r="L77">
        <f>IF(OR($E77="",$E76=""),"",MAX($E77-$E76,0))</f>
        <v>0</v>
      </c>
      <c r="M77">
        <f>IF(OR($E77="",$E76=""),"",MAX($E76-$E77,0))</f>
        <v>0</v>
      </c>
      <c r="N77">
        <f>IF(COUNT($E$2:$E77)&lt;15,"",IF(AVERAGE($M$64:$M$77)=0,100,100-100/(1+AVERAGE($L$64:$L$77)/AVERAGE($M$64:$M$77))))</f>
        <v>0</v>
      </c>
      <c r="O77">
        <f>IF($E77="","",IF($E76="",$E77,$E77*0.1538461538+O76*0.8461538462))</f>
        <v>0</v>
      </c>
      <c r="P77">
        <f>IF($E77="","",IF($E76="",$E77,$E77*0.0740740741+P76*0.9259259259))</f>
        <v>0</v>
      </c>
      <c r="Q77">
        <f>IF(OR(O77="",P77=""),"",O77-P77)</f>
        <v>0</v>
      </c>
      <c r="R77">
        <f>IF(Q77="","",IF(R76="",Q77,Q77*0.2000000000+R76*0.8000000000))</f>
        <v>0</v>
      </c>
      <c r="S77">
        <f>IF(OR(Q77="",R77=""),"",Q77-R77)</f>
        <v>0</v>
      </c>
      <c r="T77">
        <f>IF(COUNT($E$2:$E77)&lt;14,"",MAX($C$64:$C$77))</f>
        <v>0</v>
      </c>
      <c r="U77">
        <f>IF(COUNT($E$2:$E77)&lt;14,"",MIN($D$64:$D$77))</f>
        <v>0</v>
      </c>
      <c r="V77">
        <f>IF(OR(T77="",U77="",T77=U77),"",100*($E77-U77)/(T77-U77))</f>
        <v>0</v>
      </c>
      <c r="W77">
        <f>IF(COUNT($V$75:$V$77)&lt;3,"",AVERAGE($V$75:$V$77))</f>
        <v>0</v>
      </c>
      <c r="X77">
        <f>IF(COUNT($N$64:$N$77)&lt;14,"",MIN($N$64:$N$77))</f>
        <v>0</v>
      </c>
      <c r="Y77">
        <f>IF(COUNT($N$64:$N$77)&lt;14,"",MAX($N$64:$N$77))</f>
        <v>0</v>
      </c>
      <c r="Z77">
        <f>IF(OR(N77="",X77="",Y77="",Y77=X77),"",100*(N77-X77)/(Y77-X77))</f>
        <v>0</v>
      </c>
      <c r="AA77">
        <f>IF(COUNT($Z$75:$Z$77)&lt;3,"",AVERAGE($Z$75:$Z$77))</f>
        <v>0</v>
      </c>
      <c r="AB77">
        <f>IF(COUNT($AA$75:$AA$77)&lt;3,"",AVERAGE($AA$75:$AA$77))</f>
        <v>0</v>
      </c>
      <c r="AC77">
        <f>IF($E77="","",MAX($C77-$D77,ABS($C77-$E76),ABS($D77-$E76)))</f>
        <v>0</v>
      </c>
      <c r="AD77">
        <f>IF(COUNT($E$2:$E77)&lt;15,"",AVERAGE($AC$64:$AC$77))</f>
        <v>0</v>
      </c>
      <c r="AE77">
        <f>IF(OR($E77="",$E76=""),"",IF(AND(($C77-$C76)&gt;($D76-$D77),($C77-$C76)&gt;0),$C77-$C76,0))</f>
        <v>0</v>
      </c>
      <c r="AF77">
        <f>IF(OR($E77="",$E76=""),"",IF(AND(($D76-$D77)&gt;($C77-$C76),($D76-$D77)&gt;0),$D76-$D77,0))</f>
        <v>0</v>
      </c>
      <c r="AG77">
        <f>IF(COUNT($E$2:$E77)&lt;15,"",IF(SUM($AC$64:$AC$77)=0,0,100*SUM($AE$64:$AE$77)/SUM($AC$64:$AC$77)))</f>
        <v>0</v>
      </c>
      <c r="AH77">
        <f>IF(COUNT($E$2:$E77)&lt;15,"",IF(SUM($AC$64:$AC$77)=0,0,100*SUM($AF$64:$AF$77)/SUM($AC$64:$AC$77)))</f>
        <v>0</v>
      </c>
      <c r="AI77">
        <f>IF(OR(AG77="",AH77=""),"",IF((AG77+AH77)=0,0,100*ABS(AG77-AH77)/(AG77+AH77)))</f>
        <v>0</v>
      </c>
      <c r="AJ77">
        <f>IF(COUNT($AI$64:$AI$77)&lt;14,"",AVERAGE($AI$64:$AI$77))</f>
        <v>0</v>
      </c>
      <c r="AK77">
        <f>IF(COUNT($E$2:$E77)&lt;20,"",AVERAGE($E$58:$E$77))</f>
        <v>0</v>
      </c>
      <c r="AL77">
        <f>IF(COUNT($E$2:$E77)&lt;20,"",STDEVP($E$58:$E$77))</f>
        <v>0</v>
      </c>
      <c r="AM77">
        <f>IF(AK77="","",AK77+2*AL77)</f>
        <v>0</v>
      </c>
      <c r="AN77">
        <f>IF(AK77="","",AK77-2*AL77)</f>
        <v>0</v>
      </c>
      <c r="AO77">
        <f>IF(OR(AM77="",AN77="",AM77=AN77),"",($E77-AN77)/(AM77-AN77))</f>
        <v>0</v>
      </c>
      <c r="AP77">
        <f>IF(OR(AM77="",AK77="",AK77=0),"",(AM77-AN77)/AK77)</f>
        <v>0</v>
      </c>
      <c r="AQ77">
        <f>IF(COUNT($E$2:$E77)&lt;20,"",MAX($C$58:$C$77))</f>
        <v>0</v>
      </c>
      <c r="AR77">
        <f>IF(COUNT($E$2:$E77)&lt;20,"",MIN($D$58:$D$77))</f>
        <v>0</v>
      </c>
      <c r="AS77">
        <f>IF(OR(AQ77="",AR77=""),"",(AQ77+AR77)/2)</f>
        <v>0</v>
      </c>
      <c r="AT77">
        <f>IF(COUNT($G$58:$G$77)&lt;20,"",STDEV($G$58:$G$77)*SQRT(252))</f>
        <v>0</v>
      </c>
      <c r="AU77">
        <f>IF(COUNT($E$2:$E77)&lt;9,"",(MAX($C$69:$C$77)+MIN($D$69:$D$77))/2)</f>
        <v>0</v>
      </c>
      <c r="AV77">
        <f>IF(COUNT($E$2:$E77)&lt;26,"",(MAX($C$52:$C$77)+MIN($D$52:$D$77))/2)</f>
        <v>0</v>
      </c>
      <c r="AW77">
        <f>IF(OR(AU77="",AV77=""),"",(AU77+AV77)/2)</f>
        <v>0</v>
      </c>
      <c r="AX77">
        <f>IF(COUNT($E$2:$E77)&lt;52,"",(MAX($C$26:$C$77)+MIN($D$26:$D$77))/2)</f>
        <v>0</v>
      </c>
      <c r="AY77">
        <f>IF(COUNT($E$2:$E77)&lt;20,"",MAX($C$2:$C$77))</f>
        <v>0</v>
      </c>
      <c r="AZ77">
        <f>IF(COUNT($E$2:$E77)&lt;20,"",MIN($D$2:$D$77))</f>
        <v>0</v>
      </c>
      <c r="BA77">
        <f>IF(COUNT($E$2:$E77)&lt;20,"",SLOPE($E$2:$E$77,$F$2:$F$77))</f>
        <v>0</v>
      </c>
      <c r="BB77">
        <f>IF(COUNT($E$2:$E77)&lt;20,"",INTERCEPT($E$2:$E$77,$F$2:$F$77))</f>
        <v>0</v>
      </c>
      <c r="BC77">
        <f>IF(OR(BA77="",BB77=""),"",BB77+BA77*F77)</f>
        <v>0</v>
      </c>
      <c r="BD77">
        <f>IF(COUNT($E$2:$E77)&lt;20,"",STEYX($E$2:$E$77,$F$2:$F$77))</f>
        <v>0</v>
      </c>
      <c r="BE77">
        <f>IF($E77="","",IF(AND(COUNT($E$78:$E$81)&gt;=4,$C77=MAX($C$73:$C$81)),$C77,""))</f>
        <v>0</v>
      </c>
      <c r="BF77">
        <f>IF($E77="","",IF(AND(COUNT($E$78:$E$81)&gt;=4,$D77=MIN($D$73:$D$81)),$D77,""))</f>
        <v>0</v>
      </c>
      <c r="BG77">
        <f>IF($A77="","",$A77-WEEKDAY($A77,2)+1)</f>
        <v>0</v>
      </c>
      <c r="BH77">
        <f>IF($A77="","",IF($A76="",1,IF(BG77&lt;&gt;BG76,1,0)))</f>
        <v>0</v>
      </c>
      <c r="BI77">
        <f>IF($A77="","",IF($A78="",1,IF(BG78&lt;&gt;BG77,1,0)))</f>
        <v>0</v>
      </c>
      <c r="BJ77">
        <f>IF($A77="","",IF(BH77=1,$B77,BJ76))</f>
        <v>0</v>
      </c>
      <c r="BK77">
        <f>IF($A77="","",IF(BH77=1,$C77,MAX($C77,BK76)))</f>
        <v>0</v>
      </c>
      <c r="BL77">
        <f>IF($A77="","",IF(BH77=1,$D77,MIN($D77,BL76)))</f>
        <v>0</v>
      </c>
      <c r="BM77">
        <f>IF($A77="","",IF(BI77=1,F77,""))</f>
        <v>0</v>
      </c>
      <c r="BN77">
        <f>IF($A77="","",DATE(YEAR($A77),MONTH($A77),1))</f>
        <v>0</v>
      </c>
      <c r="BO77">
        <f>IF($A77="","",IF($A76="",1,IF(BN77&lt;&gt;BN76,1,0)))</f>
        <v>0</v>
      </c>
      <c r="BP77">
        <f>IF($A77="","",IF($A78="",1,IF(BN78&lt;&gt;BN77,1,0)))</f>
        <v>0</v>
      </c>
      <c r="BQ77">
        <f>IF($A77="","",IF(BO77=1,$B77,BQ76))</f>
        <v>0</v>
      </c>
      <c r="BR77">
        <f>IF($A77="","",IF(BO77=1,$C77,MAX($C77,BR76)))</f>
        <v>0</v>
      </c>
      <c r="BS77">
        <f>IF($A77="","",IF(BO77=1,$D77,MIN($D77,BS76)))</f>
        <v>0</v>
      </c>
      <c r="BT77">
        <f>IF($A77="","",IF(BP77=1,F77,""))</f>
        <v>0</v>
      </c>
    </row>
    <row r="78" spans="1:72">
      <c r="A78" s="27">
        <f>IF(Data!$A78="","",Data!$A78)</f>
        <v>0</v>
      </c>
      <c r="B78">
        <f>IF(Data!$B78="","",Data!$B78)</f>
        <v>0</v>
      </c>
      <c r="C78">
        <f>IF(Data!$C78="","",Data!$C78)</f>
        <v>0</v>
      </c>
      <c r="D78">
        <f>IF(Data!$D78="","",Data!$D78)</f>
        <v>0</v>
      </c>
      <c r="E78">
        <f>IF(Data!$E78="","",Data!$E78)</f>
        <v>0</v>
      </c>
      <c r="F78">
        <f>IF($E78="","",N(F77)+1)</f>
        <v>0</v>
      </c>
      <c r="G78">
        <f>IF(OR($E78="",$E77=""),"",LN($E78/$E77))</f>
        <v>0</v>
      </c>
      <c r="H78">
        <f>IF($E78="","",IF($E77="",$E78,$E78*0.0952380952+H77*0.9047619048))</f>
        <v>0</v>
      </c>
      <c r="I78">
        <f>IF($E78="","",IF($E77="",$E78,$E78*0.0392156863+I77*0.9607843137))</f>
        <v>0</v>
      </c>
      <c r="J78">
        <f>IF($E78="","",IF($E77="",$E78,$E78*0.0198019802+J77*0.9801980198))</f>
        <v>0</v>
      </c>
      <c r="K78">
        <f>IF($E78="","",IF($E77="",$E78,$E78*0.0099502488+K77*0.9900497512))</f>
        <v>0</v>
      </c>
      <c r="L78">
        <f>IF(OR($E78="",$E77=""),"",MAX($E78-$E77,0))</f>
        <v>0</v>
      </c>
      <c r="M78">
        <f>IF(OR($E78="",$E77=""),"",MAX($E77-$E78,0))</f>
        <v>0</v>
      </c>
      <c r="N78">
        <f>IF(COUNT($E$2:$E78)&lt;15,"",IF(AVERAGE($M$65:$M$78)=0,100,100-100/(1+AVERAGE($L$65:$L$78)/AVERAGE($M$65:$M$78))))</f>
        <v>0</v>
      </c>
      <c r="O78">
        <f>IF($E78="","",IF($E77="",$E78,$E78*0.1538461538+O77*0.8461538462))</f>
        <v>0</v>
      </c>
      <c r="P78">
        <f>IF($E78="","",IF($E77="",$E78,$E78*0.0740740741+P77*0.9259259259))</f>
        <v>0</v>
      </c>
      <c r="Q78">
        <f>IF(OR(O78="",P78=""),"",O78-P78)</f>
        <v>0</v>
      </c>
      <c r="R78">
        <f>IF(Q78="","",IF(R77="",Q78,Q78*0.2000000000+R77*0.8000000000))</f>
        <v>0</v>
      </c>
      <c r="S78">
        <f>IF(OR(Q78="",R78=""),"",Q78-R78)</f>
        <v>0</v>
      </c>
      <c r="T78">
        <f>IF(COUNT($E$2:$E78)&lt;14,"",MAX($C$65:$C$78))</f>
        <v>0</v>
      </c>
      <c r="U78">
        <f>IF(COUNT($E$2:$E78)&lt;14,"",MIN($D$65:$D$78))</f>
        <v>0</v>
      </c>
      <c r="V78">
        <f>IF(OR(T78="",U78="",T78=U78),"",100*($E78-U78)/(T78-U78))</f>
        <v>0</v>
      </c>
      <c r="W78">
        <f>IF(COUNT($V$76:$V$78)&lt;3,"",AVERAGE($V$76:$V$78))</f>
        <v>0</v>
      </c>
      <c r="X78">
        <f>IF(COUNT($N$65:$N$78)&lt;14,"",MIN($N$65:$N$78))</f>
        <v>0</v>
      </c>
      <c r="Y78">
        <f>IF(COUNT($N$65:$N$78)&lt;14,"",MAX($N$65:$N$78))</f>
        <v>0</v>
      </c>
      <c r="Z78">
        <f>IF(OR(N78="",X78="",Y78="",Y78=X78),"",100*(N78-X78)/(Y78-X78))</f>
        <v>0</v>
      </c>
      <c r="AA78">
        <f>IF(COUNT($Z$76:$Z$78)&lt;3,"",AVERAGE($Z$76:$Z$78))</f>
        <v>0</v>
      </c>
      <c r="AB78">
        <f>IF(COUNT($AA$76:$AA$78)&lt;3,"",AVERAGE($AA$76:$AA$78))</f>
        <v>0</v>
      </c>
      <c r="AC78">
        <f>IF($E78="","",MAX($C78-$D78,ABS($C78-$E77),ABS($D78-$E77)))</f>
        <v>0</v>
      </c>
      <c r="AD78">
        <f>IF(COUNT($E$2:$E78)&lt;15,"",AVERAGE($AC$65:$AC$78))</f>
        <v>0</v>
      </c>
      <c r="AE78">
        <f>IF(OR($E78="",$E77=""),"",IF(AND(($C78-$C77)&gt;($D77-$D78),($C78-$C77)&gt;0),$C78-$C77,0))</f>
        <v>0</v>
      </c>
      <c r="AF78">
        <f>IF(OR($E78="",$E77=""),"",IF(AND(($D77-$D78)&gt;($C78-$C77),($D77-$D78)&gt;0),$D77-$D78,0))</f>
        <v>0</v>
      </c>
      <c r="AG78">
        <f>IF(COUNT($E$2:$E78)&lt;15,"",IF(SUM($AC$65:$AC$78)=0,0,100*SUM($AE$65:$AE$78)/SUM($AC$65:$AC$78)))</f>
        <v>0</v>
      </c>
      <c r="AH78">
        <f>IF(COUNT($E$2:$E78)&lt;15,"",IF(SUM($AC$65:$AC$78)=0,0,100*SUM($AF$65:$AF$78)/SUM($AC$65:$AC$78)))</f>
        <v>0</v>
      </c>
      <c r="AI78">
        <f>IF(OR(AG78="",AH78=""),"",IF((AG78+AH78)=0,0,100*ABS(AG78-AH78)/(AG78+AH78)))</f>
        <v>0</v>
      </c>
      <c r="AJ78">
        <f>IF(COUNT($AI$65:$AI$78)&lt;14,"",AVERAGE($AI$65:$AI$78))</f>
        <v>0</v>
      </c>
      <c r="AK78">
        <f>IF(COUNT($E$2:$E78)&lt;20,"",AVERAGE($E$59:$E$78))</f>
        <v>0</v>
      </c>
      <c r="AL78">
        <f>IF(COUNT($E$2:$E78)&lt;20,"",STDEVP($E$59:$E$78))</f>
        <v>0</v>
      </c>
      <c r="AM78">
        <f>IF(AK78="","",AK78+2*AL78)</f>
        <v>0</v>
      </c>
      <c r="AN78">
        <f>IF(AK78="","",AK78-2*AL78)</f>
        <v>0</v>
      </c>
      <c r="AO78">
        <f>IF(OR(AM78="",AN78="",AM78=AN78),"",($E78-AN78)/(AM78-AN78))</f>
        <v>0</v>
      </c>
      <c r="AP78">
        <f>IF(OR(AM78="",AK78="",AK78=0),"",(AM78-AN78)/AK78)</f>
        <v>0</v>
      </c>
      <c r="AQ78">
        <f>IF(COUNT($E$2:$E78)&lt;20,"",MAX($C$59:$C$78))</f>
        <v>0</v>
      </c>
      <c r="AR78">
        <f>IF(COUNT($E$2:$E78)&lt;20,"",MIN($D$59:$D$78))</f>
        <v>0</v>
      </c>
      <c r="AS78">
        <f>IF(OR(AQ78="",AR78=""),"",(AQ78+AR78)/2)</f>
        <v>0</v>
      </c>
      <c r="AT78">
        <f>IF(COUNT($G$59:$G$78)&lt;20,"",STDEV($G$59:$G$78)*SQRT(252))</f>
        <v>0</v>
      </c>
      <c r="AU78">
        <f>IF(COUNT($E$2:$E78)&lt;9,"",(MAX($C$70:$C$78)+MIN($D$70:$D$78))/2)</f>
        <v>0</v>
      </c>
      <c r="AV78">
        <f>IF(COUNT($E$2:$E78)&lt;26,"",(MAX($C$53:$C$78)+MIN($D$53:$D$78))/2)</f>
        <v>0</v>
      </c>
      <c r="AW78">
        <f>IF(OR(AU78="",AV78=""),"",(AU78+AV78)/2)</f>
        <v>0</v>
      </c>
      <c r="AX78">
        <f>IF(COUNT($E$2:$E78)&lt;52,"",(MAX($C$27:$C$78)+MIN($D$27:$D$78))/2)</f>
        <v>0</v>
      </c>
      <c r="AY78">
        <f>IF(COUNT($E$2:$E78)&lt;20,"",MAX($C$2:$C$78))</f>
        <v>0</v>
      </c>
      <c r="AZ78">
        <f>IF(COUNT($E$2:$E78)&lt;20,"",MIN($D$2:$D$78))</f>
        <v>0</v>
      </c>
      <c r="BA78">
        <f>IF(COUNT($E$2:$E78)&lt;20,"",SLOPE($E$2:$E$78,$F$2:$F$78))</f>
        <v>0</v>
      </c>
      <c r="BB78">
        <f>IF(COUNT($E$2:$E78)&lt;20,"",INTERCEPT($E$2:$E$78,$F$2:$F$78))</f>
        <v>0</v>
      </c>
      <c r="BC78">
        <f>IF(OR(BA78="",BB78=""),"",BB78+BA78*F78)</f>
        <v>0</v>
      </c>
      <c r="BD78">
        <f>IF(COUNT($E$2:$E78)&lt;20,"",STEYX($E$2:$E$78,$F$2:$F$78))</f>
        <v>0</v>
      </c>
      <c r="BE78">
        <f>IF($E78="","",IF(AND(COUNT($E$79:$E$82)&gt;=4,$C78=MAX($C$74:$C$82)),$C78,""))</f>
        <v>0</v>
      </c>
      <c r="BF78">
        <f>IF($E78="","",IF(AND(COUNT($E$79:$E$82)&gt;=4,$D78=MIN($D$74:$D$82)),$D78,""))</f>
        <v>0</v>
      </c>
      <c r="BG78">
        <f>IF($A78="","",$A78-WEEKDAY($A78,2)+1)</f>
        <v>0</v>
      </c>
      <c r="BH78">
        <f>IF($A78="","",IF($A77="",1,IF(BG78&lt;&gt;BG77,1,0)))</f>
        <v>0</v>
      </c>
      <c r="BI78">
        <f>IF($A78="","",IF($A79="",1,IF(BG79&lt;&gt;BG78,1,0)))</f>
        <v>0</v>
      </c>
      <c r="BJ78">
        <f>IF($A78="","",IF(BH78=1,$B78,BJ77))</f>
        <v>0</v>
      </c>
      <c r="BK78">
        <f>IF($A78="","",IF(BH78=1,$C78,MAX($C78,BK77)))</f>
        <v>0</v>
      </c>
      <c r="BL78">
        <f>IF($A78="","",IF(BH78=1,$D78,MIN($D78,BL77)))</f>
        <v>0</v>
      </c>
      <c r="BM78">
        <f>IF($A78="","",IF(BI78=1,F78,""))</f>
        <v>0</v>
      </c>
      <c r="BN78">
        <f>IF($A78="","",DATE(YEAR($A78),MONTH($A78),1))</f>
        <v>0</v>
      </c>
      <c r="BO78">
        <f>IF($A78="","",IF($A77="",1,IF(BN78&lt;&gt;BN77,1,0)))</f>
        <v>0</v>
      </c>
      <c r="BP78">
        <f>IF($A78="","",IF($A79="",1,IF(BN79&lt;&gt;BN78,1,0)))</f>
        <v>0</v>
      </c>
      <c r="BQ78">
        <f>IF($A78="","",IF(BO78=1,$B78,BQ77))</f>
        <v>0</v>
      </c>
      <c r="BR78">
        <f>IF($A78="","",IF(BO78=1,$C78,MAX($C78,BR77)))</f>
        <v>0</v>
      </c>
      <c r="BS78">
        <f>IF($A78="","",IF(BO78=1,$D78,MIN($D78,BS77)))</f>
        <v>0</v>
      </c>
      <c r="BT78">
        <f>IF($A78="","",IF(BP78=1,F78,""))</f>
        <v>0</v>
      </c>
    </row>
    <row r="79" spans="1:72">
      <c r="A79" s="27">
        <f>IF(Data!$A79="","",Data!$A79)</f>
        <v>0</v>
      </c>
      <c r="B79">
        <f>IF(Data!$B79="","",Data!$B79)</f>
        <v>0</v>
      </c>
      <c r="C79">
        <f>IF(Data!$C79="","",Data!$C79)</f>
        <v>0</v>
      </c>
      <c r="D79">
        <f>IF(Data!$D79="","",Data!$D79)</f>
        <v>0</v>
      </c>
      <c r="E79">
        <f>IF(Data!$E79="","",Data!$E79)</f>
        <v>0</v>
      </c>
      <c r="F79">
        <f>IF($E79="","",N(F78)+1)</f>
        <v>0</v>
      </c>
      <c r="G79">
        <f>IF(OR($E79="",$E78=""),"",LN($E79/$E78))</f>
        <v>0</v>
      </c>
      <c r="H79">
        <f>IF($E79="","",IF($E78="",$E79,$E79*0.0952380952+H78*0.9047619048))</f>
        <v>0</v>
      </c>
      <c r="I79">
        <f>IF($E79="","",IF($E78="",$E79,$E79*0.0392156863+I78*0.9607843137))</f>
        <v>0</v>
      </c>
      <c r="J79">
        <f>IF($E79="","",IF($E78="",$E79,$E79*0.0198019802+J78*0.9801980198))</f>
        <v>0</v>
      </c>
      <c r="K79">
        <f>IF($E79="","",IF($E78="",$E79,$E79*0.0099502488+K78*0.9900497512))</f>
        <v>0</v>
      </c>
      <c r="L79">
        <f>IF(OR($E79="",$E78=""),"",MAX($E79-$E78,0))</f>
        <v>0</v>
      </c>
      <c r="M79">
        <f>IF(OR($E79="",$E78=""),"",MAX($E78-$E79,0))</f>
        <v>0</v>
      </c>
      <c r="N79">
        <f>IF(COUNT($E$2:$E79)&lt;15,"",IF(AVERAGE($M$66:$M$79)=0,100,100-100/(1+AVERAGE($L$66:$L$79)/AVERAGE($M$66:$M$79))))</f>
        <v>0</v>
      </c>
      <c r="O79">
        <f>IF($E79="","",IF($E78="",$E79,$E79*0.1538461538+O78*0.8461538462))</f>
        <v>0</v>
      </c>
      <c r="P79">
        <f>IF($E79="","",IF($E78="",$E79,$E79*0.0740740741+P78*0.9259259259))</f>
        <v>0</v>
      </c>
      <c r="Q79">
        <f>IF(OR(O79="",P79=""),"",O79-P79)</f>
        <v>0</v>
      </c>
      <c r="R79">
        <f>IF(Q79="","",IF(R78="",Q79,Q79*0.2000000000+R78*0.8000000000))</f>
        <v>0</v>
      </c>
      <c r="S79">
        <f>IF(OR(Q79="",R79=""),"",Q79-R79)</f>
        <v>0</v>
      </c>
      <c r="T79">
        <f>IF(COUNT($E$2:$E79)&lt;14,"",MAX($C$66:$C$79))</f>
        <v>0</v>
      </c>
      <c r="U79">
        <f>IF(COUNT($E$2:$E79)&lt;14,"",MIN($D$66:$D$79))</f>
        <v>0</v>
      </c>
      <c r="V79">
        <f>IF(OR(T79="",U79="",T79=U79),"",100*($E79-U79)/(T79-U79))</f>
        <v>0</v>
      </c>
      <c r="W79">
        <f>IF(COUNT($V$77:$V$79)&lt;3,"",AVERAGE($V$77:$V$79))</f>
        <v>0</v>
      </c>
      <c r="X79">
        <f>IF(COUNT($N$66:$N$79)&lt;14,"",MIN($N$66:$N$79))</f>
        <v>0</v>
      </c>
      <c r="Y79">
        <f>IF(COUNT($N$66:$N$79)&lt;14,"",MAX($N$66:$N$79))</f>
        <v>0</v>
      </c>
      <c r="Z79">
        <f>IF(OR(N79="",X79="",Y79="",Y79=X79),"",100*(N79-X79)/(Y79-X79))</f>
        <v>0</v>
      </c>
      <c r="AA79">
        <f>IF(COUNT($Z$77:$Z$79)&lt;3,"",AVERAGE($Z$77:$Z$79))</f>
        <v>0</v>
      </c>
      <c r="AB79">
        <f>IF(COUNT($AA$77:$AA$79)&lt;3,"",AVERAGE($AA$77:$AA$79))</f>
        <v>0</v>
      </c>
      <c r="AC79">
        <f>IF($E79="","",MAX($C79-$D79,ABS($C79-$E78),ABS($D79-$E78)))</f>
        <v>0</v>
      </c>
      <c r="AD79">
        <f>IF(COUNT($E$2:$E79)&lt;15,"",AVERAGE($AC$66:$AC$79))</f>
        <v>0</v>
      </c>
      <c r="AE79">
        <f>IF(OR($E79="",$E78=""),"",IF(AND(($C79-$C78)&gt;($D78-$D79),($C79-$C78)&gt;0),$C79-$C78,0))</f>
        <v>0</v>
      </c>
      <c r="AF79">
        <f>IF(OR($E79="",$E78=""),"",IF(AND(($D78-$D79)&gt;($C79-$C78),($D78-$D79)&gt;0),$D78-$D79,0))</f>
        <v>0</v>
      </c>
      <c r="AG79">
        <f>IF(COUNT($E$2:$E79)&lt;15,"",IF(SUM($AC$66:$AC$79)=0,0,100*SUM($AE$66:$AE$79)/SUM($AC$66:$AC$79)))</f>
        <v>0</v>
      </c>
      <c r="AH79">
        <f>IF(COUNT($E$2:$E79)&lt;15,"",IF(SUM($AC$66:$AC$79)=0,0,100*SUM($AF$66:$AF$79)/SUM($AC$66:$AC$79)))</f>
        <v>0</v>
      </c>
      <c r="AI79">
        <f>IF(OR(AG79="",AH79=""),"",IF((AG79+AH79)=0,0,100*ABS(AG79-AH79)/(AG79+AH79)))</f>
        <v>0</v>
      </c>
      <c r="AJ79">
        <f>IF(COUNT($AI$66:$AI$79)&lt;14,"",AVERAGE($AI$66:$AI$79))</f>
        <v>0</v>
      </c>
      <c r="AK79">
        <f>IF(COUNT($E$2:$E79)&lt;20,"",AVERAGE($E$60:$E$79))</f>
        <v>0</v>
      </c>
      <c r="AL79">
        <f>IF(COUNT($E$2:$E79)&lt;20,"",STDEVP($E$60:$E$79))</f>
        <v>0</v>
      </c>
      <c r="AM79">
        <f>IF(AK79="","",AK79+2*AL79)</f>
        <v>0</v>
      </c>
      <c r="AN79">
        <f>IF(AK79="","",AK79-2*AL79)</f>
        <v>0</v>
      </c>
      <c r="AO79">
        <f>IF(OR(AM79="",AN79="",AM79=AN79),"",($E79-AN79)/(AM79-AN79))</f>
        <v>0</v>
      </c>
      <c r="AP79">
        <f>IF(OR(AM79="",AK79="",AK79=0),"",(AM79-AN79)/AK79)</f>
        <v>0</v>
      </c>
      <c r="AQ79">
        <f>IF(COUNT($E$2:$E79)&lt;20,"",MAX($C$60:$C$79))</f>
        <v>0</v>
      </c>
      <c r="AR79">
        <f>IF(COUNT($E$2:$E79)&lt;20,"",MIN($D$60:$D$79))</f>
        <v>0</v>
      </c>
      <c r="AS79">
        <f>IF(OR(AQ79="",AR79=""),"",(AQ79+AR79)/2)</f>
        <v>0</v>
      </c>
      <c r="AT79">
        <f>IF(COUNT($G$60:$G$79)&lt;20,"",STDEV($G$60:$G$79)*SQRT(252))</f>
        <v>0</v>
      </c>
      <c r="AU79">
        <f>IF(COUNT($E$2:$E79)&lt;9,"",(MAX($C$71:$C$79)+MIN($D$71:$D$79))/2)</f>
        <v>0</v>
      </c>
      <c r="AV79">
        <f>IF(COUNT($E$2:$E79)&lt;26,"",(MAX($C$54:$C$79)+MIN($D$54:$D$79))/2)</f>
        <v>0</v>
      </c>
      <c r="AW79">
        <f>IF(OR(AU79="",AV79=""),"",(AU79+AV79)/2)</f>
        <v>0</v>
      </c>
      <c r="AX79">
        <f>IF(COUNT($E$2:$E79)&lt;52,"",(MAX($C$28:$C$79)+MIN($D$28:$D$79))/2)</f>
        <v>0</v>
      </c>
      <c r="AY79">
        <f>IF(COUNT($E$2:$E79)&lt;20,"",MAX($C$2:$C$79))</f>
        <v>0</v>
      </c>
      <c r="AZ79">
        <f>IF(COUNT($E$2:$E79)&lt;20,"",MIN($D$2:$D$79))</f>
        <v>0</v>
      </c>
      <c r="BA79">
        <f>IF(COUNT($E$2:$E79)&lt;20,"",SLOPE($E$2:$E$79,$F$2:$F$79))</f>
        <v>0</v>
      </c>
      <c r="BB79">
        <f>IF(COUNT($E$2:$E79)&lt;20,"",INTERCEPT($E$2:$E$79,$F$2:$F$79))</f>
        <v>0</v>
      </c>
      <c r="BC79">
        <f>IF(OR(BA79="",BB79=""),"",BB79+BA79*F79)</f>
        <v>0</v>
      </c>
      <c r="BD79">
        <f>IF(COUNT($E$2:$E79)&lt;20,"",STEYX($E$2:$E$79,$F$2:$F$79))</f>
        <v>0</v>
      </c>
      <c r="BE79">
        <f>IF($E79="","",IF(AND(COUNT($E$80:$E$83)&gt;=4,$C79=MAX($C$75:$C$83)),$C79,""))</f>
        <v>0</v>
      </c>
      <c r="BF79">
        <f>IF($E79="","",IF(AND(COUNT($E$80:$E$83)&gt;=4,$D79=MIN($D$75:$D$83)),$D79,""))</f>
        <v>0</v>
      </c>
      <c r="BG79">
        <f>IF($A79="","",$A79-WEEKDAY($A79,2)+1)</f>
        <v>0</v>
      </c>
      <c r="BH79">
        <f>IF($A79="","",IF($A78="",1,IF(BG79&lt;&gt;BG78,1,0)))</f>
        <v>0</v>
      </c>
      <c r="BI79">
        <f>IF($A79="","",IF($A80="",1,IF(BG80&lt;&gt;BG79,1,0)))</f>
        <v>0</v>
      </c>
      <c r="BJ79">
        <f>IF($A79="","",IF(BH79=1,$B79,BJ78))</f>
        <v>0</v>
      </c>
      <c r="BK79">
        <f>IF($A79="","",IF(BH79=1,$C79,MAX($C79,BK78)))</f>
        <v>0</v>
      </c>
      <c r="BL79">
        <f>IF($A79="","",IF(BH79=1,$D79,MIN($D79,BL78)))</f>
        <v>0</v>
      </c>
      <c r="BM79">
        <f>IF($A79="","",IF(BI79=1,F79,""))</f>
        <v>0</v>
      </c>
      <c r="BN79">
        <f>IF($A79="","",DATE(YEAR($A79),MONTH($A79),1))</f>
        <v>0</v>
      </c>
      <c r="BO79">
        <f>IF($A79="","",IF($A78="",1,IF(BN79&lt;&gt;BN78,1,0)))</f>
        <v>0</v>
      </c>
      <c r="BP79">
        <f>IF($A79="","",IF($A80="",1,IF(BN80&lt;&gt;BN79,1,0)))</f>
        <v>0</v>
      </c>
      <c r="BQ79">
        <f>IF($A79="","",IF(BO79=1,$B79,BQ78))</f>
        <v>0</v>
      </c>
      <c r="BR79">
        <f>IF($A79="","",IF(BO79=1,$C79,MAX($C79,BR78)))</f>
        <v>0</v>
      </c>
      <c r="BS79">
        <f>IF($A79="","",IF(BO79=1,$D79,MIN($D79,BS78)))</f>
        <v>0</v>
      </c>
      <c r="BT79">
        <f>IF($A79="","",IF(BP79=1,F79,""))</f>
        <v>0</v>
      </c>
    </row>
    <row r="80" spans="1:72">
      <c r="A80" s="27">
        <f>IF(Data!$A80="","",Data!$A80)</f>
        <v>0</v>
      </c>
      <c r="B80">
        <f>IF(Data!$B80="","",Data!$B80)</f>
        <v>0</v>
      </c>
      <c r="C80">
        <f>IF(Data!$C80="","",Data!$C80)</f>
        <v>0</v>
      </c>
      <c r="D80">
        <f>IF(Data!$D80="","",Data!$D80)</f>
        <v>0</v>
      </c>
      <c r="E80">
        <f>IF(Data!$E80="","",Data!$E80)</f>
        <v>0</v>
      </c>
      <c r="F80">
        <f>IF($E80="","",N(F79)+1)</f>
        <v>0</v>
      </c>
      <c r="G80">
        <f>IF(OR($E80="",$E79=""),"",LN($E80/$E79))</f>
        <v>0</v>
      </c>
      <c r="H80">
        <f>IF($E80="","",IF($E79="",$E80,$E80*0.0952380952+H79*0.9047619048))</f>
        <v>0</v>
      </c>
      <c r="I80">
        <f>IF($E80="","",IF($E79="",$E80,$E80*0.0392156863+I79*0.9607843137))</f>
        <v>0</v>
      </c>
      <c r="J80">
        <f>IF($E80="","",IF($E79="",$E80,$E80*0.0198019802+J79*0.9801980198))</f>
        <v>0</v>
      </c>
      <c r="K80">
        <f>IF($E80="","",IF($E79="",$E80,$E80*0.0099502488+K79*0.9900497512))</f>
        <v>0</v>
      </c>
      <c r="L80">
        <f>IF(OR($E80="",$E79=""),"",MAX($E80-$E79,0))</f>
        <v>0</v>
      </c>
      <c r="M80">
        <f>IF(OR($E80="",$E79=""),"",MAX($E79-$E80,0))</f>
        <v>0</v>
      </c>
      <c r="N80">
        <f>IF(COUNT($E$2:$E80)&lt;15,"",IF(AVERAGE($M$67:$M$80)=0,100,100-100/(1+AVERAGE($L$67:$L$80)/AVERAGE($M$67:$M$80))))</f>
        <v>0</v>
      </c>
      <c r="O80">
        <f>IF($E80="","",IF($E79="",$E80,$E80*0.1538461538+O79*0.8461538462))</f>
        <v>0</v>
      </c>
      <c r="P80">
        <f>IF($E80="","",IF($E79="",$E80,$E80*0.0740740741+P79*0.9259259259))</f>
        <v>0</v>
      </c>
      <c r="Q80">
        <f>IF(OR(O80="",P80=""),"",O80-P80)</f>
        <v>0</v>
      </c>
      <c r="R80">
        <f>IF(Q80="","",IF(R79="",Q80,Q80*0.2000000000+R79*0.8000000000))</f>
        <v>0</v>
      </c>
      <c r="S80">
        <f>IF(OR(Q80="",R80=""),"",Q80-R80)</f>
        <v>0</v>
      </c>
      <c r="T80">
        <f>IF(COUNT($E$2:$E80)&lt;14,"",MAX($C$67:$C$80))</f>
        <v>0</v>
      </c>
      <c r="U80">
        <f>IF(COUNT($E$2:$E80)&lt;14,"",MIN($D$67:$D$80))</f>
        <v>0</v>
      </c>
      <c r="V80">
        <f>IF(OR(T80="",U80="",T80=U80),"",100*($E80-U80)/(T80-U80))</f>
        <v>0</v>
      </c>
      <c r="W80">
        <f>IF(COUNT($V$78:$V$80)&lt;3,"",AVERAGE($V$78:$V$80))</f>
        <v>0</v>
      </c>
      <c r="X80">
        <f>IF(COUNT($N$67:$N$80)&lt;14,"",MIN($N$67:$N$80))</f>
        <v>0</v>
      </c>
      <c r="Y80">
        <f>IF(COUNT($N$67:$N$80)&lt;14,"",MAX($N$67:$N$80))</f>
        <v>0</v>
      </c>
      <c r="Z80">
        <f>IF(OR(N80="",X80="",Y80="",Y80=X80),"",100*(N80-X80)/(Y80-X80))</f>
        <v>0</v>
      </c>
      <c r="AA80">
        <f>IF(COUNT($Z$78:$Z$80)&lt;3,"",AVERAGE($Z$78:$Z$80))</f>
        <v>0</v>
      </c>
      <c r="AB80">
        <f>IF(COUNT($AA$78:$AA$80)&lt;3,"",AVERAGE($AA$78:$AA$80))</f>
        <v>0</v>
      </c>
      <c r="AC80">
        <f>IF($E80="","",MAX($C80-$D80,ABS($C80-$E79),ABS($D80-$E79)))</f>
        <v>0</v>
      </c>
      <c r="AD80">
        <f>IF(COUNT($E$2:$E80)&lt;15,"",AVERAGE($AC$67:$AC$80))</f>
        <v>0</v>
      </c>
      <c r="AE80">
        <f>IF(OR($E80="",$E79=""),"",IF(AND(($C80-$C79)&gt;($D79-$D80),($C80-$C79)&gt;0),$C80-$C79,0))</f>
        <v>0</v>
      </c>
      <c r="AF80">
        <f>IF(OR($E80="",$E79=""),"",IF(AND(($D79-$D80)&gt;($C80-$C79),($D79-$D80)&gt;0),$D79-$D80,0))</f>
        <v>0</v>
      </c>
      <c r="AG80">
        <f>IF(COUNT($E$2:$E80)&lt;15,"",IF(SUM($AC$67:$AC$80)=0,0,100*SUM($AE$67:$AE$80)/SUM($AC$67:$AC$80)))</f>
        <v>0</v>
      </c>
      <c r="AH80">
        <f>IF(COUNT($E$2:$E80)&lt;15,"",IF(SUM($AC$67:$AC$80)=0,0,100*SUM($AF$67:$AF$80)/SUM($AC$67:$AC$80)))</f>
        <v>0</v>
      </c>
      <c r="AI80">
        <f>IF(OR(AG80="",AH80=""),"",IF((AG80+AH80)=0,0,100*ABS(AG80-AH80)/(AG80+AH80)))</f>
        <v>0</v>
      </c>
      <c r="AJ80">
        <f>IF(COUNT($AI$67:$AI$80)&lt;14,"",AVERAGE($AI$67:$AI$80))</f>
        <v>0</v>
      </c>
      <c r="AK80">
        <f>IF(COUNT($E$2:$E80)&lt;20,"",AVERAGE($E$61:$E$80))</f>
        <v>0</v>
      </c>
      <c r="AL80">
        <f>IF(COUNT($E$2:$E80)&lt;20,"",STDEVP($E$61:$E$80))</f>
        <v>0</v>
      </c>
      <c r="AM80">
        <f>IF(AK80="","",AK80+2*AL80)</f>
        <v>0</v>
      </c>
      <c r="AN80">
        <f>IF(AK80="","",AK80-2*AL80)</f>
        <v>0</v>
      </c>
      <c r="AO80">
        <f>IF(OR(AM80="",AN80="",AM80=AN80),"",($E80-AN80)/(AM80-AN80))</f>
        <v>0</v>
      </c>
      <c r="AP80">
        <f>IF(OR(AM80="",AK80="",AK80=0),"",(AM80-AN80)/AK80)</f>
        <v>0</v>
      </c>
      <c r="AQ80">
        <f>IF(COUNT($E$2:$E80)&lt;20,"",MAX($C$61:$C$80))</f>
        <v>0</v>
      </c>
      <c r="AR80">
        <f>IF(COUNT($E$2:$E80)&lt;20,"",MIN($D$61:$D$80))</f>
        <v>0</v>
      </c>
      <c r="AS80">
        <f>IF(OR(AQ80="",AR80=""),"",(AQ80+AR80)/2)</f>
        <v>0</v>
      </c>
      <c r="AT80">
        <f>IF(COUNT($G$61:$G$80)&lt;20,"",STDEV($G$61:$G$80)*SQRT(252))</f>
        <v>0</v>
      </c>
      <c r="AU80">
        <f>IF(COUNT($E$2:$E80)&lt;9,"",(MAX($C$72:$C$80)+MIN($D$72:$D$80))/2)</f>
        <v>0</v>
      </c>
      <c r="AV80">
        <f>IF(COUNT($E$2:$E80)&lt;26,"",(MAX($C$55:$C$80)+MIN($D$55:$D$80))/2)</f>
        <v>0</v>
      </c>
      <c r="AW80">
        <f>IF(OR(AU80="",AV80=""),"",(AU80+AV80)/2)</f>
        <v>0</v>
      </c>
      <c r="AX80">
        <f>IF(COUNT($E$2:$E80)&lt;52,"",(MAX($C$29:$C$80)+MIN($D$29:$D$80))/2)</f>
        <v>0</v>
      </c>
      <c r="AY80">
        <f>IF(COUNT($E$2:$E80)&lt;20,"",MAX($C$2:$C$80))</f>
        <v>0</v>
      </c>
      <c r="AZ80">
        <f>IF(COUNT($E$2:$E80)&lt;20,"",MIN($D$2:$D$80))</f>
        <v>0</v>
      </c>
      <c r="BA80">
        <f>IF(COUNT($E$2:$E80)&lt;20,"",SLOPE($E$2:$E$80,$F$2:$F$80))</f>
        <v>0</v>
      </c>
      <c r="BB80">
        <f>IF(COUNT($E$2:$E80)&lt;20,"",INTERCEPT($E$2:$E$80,$F$2:$F$80))</f>
        <v>0</v>
      </c>
      <c r="BC80">
        <f>IF(OR(BA80="",BB80=""),"",BB80+BA80*F80)</f>
        <v>0</v>
      </c>
      <c r="BD80">
        <f>IF(COUNT($E$2:$E80)&lt;20,"",STEYX($E$2:$E$80,$F$2:$F$80))</f>
        <v>0</v>
      </c>
      <c r="BE80">
        <f>IF($E80="","",IF(AND(COUNT($E$81:$E$84)&gt;=4,$C80=MAX($C$76:$C$84)),$C80,""))</f>
        <v>0</v>
      </c>
      <c r="BF80">
        <f>IF($E80="","",IF(AND(COUNT($E$81:$E$84)&gt;=4,$D80=MIN($D$76:$D$84)),$D80,""))</f>
        <v>0</v>
      </c>
      <c r="BG80">
        <f>IF($A80="","",$A80-WEEKDAY($A80,2)+1)</f>
        <v>0</v>
      </c>
      <c r="BH80">
        <f>IF($A80="","",IF($A79="",1,IF(BG80&lt;&gt;BG79,1,0)))</f>
        <v>0</v>
      </c>
      <c r="BI80">
        <f>IF($A80="","",IF($A81="",1,IF(BG81&lt;&gt;BG80,1,0)))</f>
        <v>0</v>
      </c>
      <c r="BJ80">
        <f>IF($A80="","",IF(BH80=1,$B80,BJ79))</f>
        <v>0</v>
      </c>
      <c r="BK80">
        <f>IF($A80="","",IF(BH80=1,$C80,MAX($C80,BK79)))</f>
        <v>0</v>
      </c>
      <c r="BL80">
        <f>IF($A80="","",IF(BH80=1,$D80,MIN($D80,BL79)))</f>
        <v>0</v>
      </c>
      <c r="BM80">
        <f>IF($A80="","",IF(BI80=1,F80,""))</f>
        <v>0</v>
      </c>
      <c r="BN80">
        <f>IF($A80="","",DATE(YEAR($A80),MONTH($A80),1))</f>
        <v>0</v>
      </c>
      <c r="BO80">
        <f>IF($A80="","",IF($A79="",1,IF(BN80&lt;&gt;BN79,1,0)))</f>
        <v>0</v>
      </c>
      <c r="BP80">
        <f>IF($A80="","",IF($A81="",1,IF(BN81&lt;&gt;BN80,1,0)))</f>
        <v>0</v>
      </c>
      <c r="BQ80">
        <f>IF($A80="","",IF(BO80=1,$B80,BQ79))</f>
        <v>0</v>
      </c>
      <c r="BR80">
        <f>IF($A80="","",IF(BO80=1,$C80,MAX($C80,BR79)))</f>
        <v>0</v>
      </c>
      <c r="BS80">
        <f>IF($A80="","",IF(BO80=1,$D80,MIN($D80,BS79)))</f>
        <v>0</v>
      </c>
      <c r="BT80">
        <f>IF($A80="","",IF(BP80=1,F80,""))</f>
        <v>0</v>
      </c>
    </row>
    <row r="81" spans="1:72">
      <c r="A81" s="27">
        <f>IF(Data!$A81="","",Data!$A81)</f>
        <v>0</v>
      </c>
      <c r="B81">
        <f>IF(Data!$B81="","",Data!$B81)</f>
        <v>0</v>
      </c>
      <c r="C81">
        <f>IF(Data!$C81="","",Data!$C81)</f>
        <v>0</v>
      </c>
      <c r="D81">
        <f>IF(Data!$D81="","",Data!$D81)</f>
        <v>0</v>
      </c>
      <c r="E81">
        <f>IF(Data!$E81="","",Data!$E81)</f>
        <v>0</v>
      </c>
      <c r="F81">
        <f>IF($E81="","",N(F80)+1)</f>
        <v>0</v>
      </c>
      <c r="G81">
        <f>IF(OR($E81="",$E80=""),"",LN($E81/$E80))</f>
        <v>0</v>
      </c>
      <c r="H81">
        <f>IF($E81="","",IF($E80="",$E81,$E81*0.0952380952+H80*0.9047619048))</f>
        <v>0</v>
      </c>
      <c r="I81">
        <f>IF($E81="","",IF($E80="",$E81,$E81*0.0392156863+I80*0.9607843137))</f>
        <v>0</v>
      </c>
      <c r="J81">
        <f>IF($E81="","",IF($E80="",$E81,$E81*0.0198019802+J80*0.9801980198))</f>
        <v>0</v>
      </c>
      <c r="K81">
        <f>IF($E81="","",IF($E80="",$E81,$E81*0.0099502488+K80*0.9900497512))</f>
        <v>0</v>
      </c>
      <c r="L81">
        <f>IF(OR($E81="",$E80=""),"",MAX($E81-$E80,0))</f>
        <v>0</v>
      </c>
      <c r="M81">
        <f>IF(OR($E81="",$E80=""),"",MAX($E80-$E81,0))</f>
        <v>0</v>
      </c>
      <c r="N81">
        <f>IF(COUNT($E$2:$E81)&lt;15,"",IF(AVERAGE($M$68:$M$81)=0,100,100-100/(1+AVERAGE($L$68:$L$81)/AVERAGE($M$68:$M$81))))</f>
        <v>0</v>
      </c>
      <c r="O81">
        <f>IF($E81="","",IF($E80="",$E81,$E81*0.1538461538+O80*0.8461538462))</f>
        <v>0</v>
      </c>
      <c r="P81">
        <f>IF($E81="","",IF($E80="",$E81,$E81*0.0740740741+P80*0.9259259259))</f>
        <v>0</v>
      </c>
      <c r="Q81">
        <f>IF(OR(O81="",P81=""),"",O81-P81)</f>
        <v>0</v>
      </c>
      <c r="R81">
        <f>IF(Q81="","",IF(R80="",Q81,Q81*0.2000000000+R80*0.8000000000))</f>
        <v>0</v>
      </c>
      <c r="S81">
        <f>IF(OR(Q81="",R81=""),"",Q81-R81)</f>
        <v>0</v>
      </c>
      <c r="T81">
        <f>IF(COUNT($E$2:$E81)&lt;14,"",MAX($C$68:$C$81))</f>
        <v>0</v>
      </c>
      <c r="U81">
        <f>IF(COUNT($E$2:$E81)&lt;14,"",MIN($D$68:$D$81))</f>
        <v>0</v>
      </c>
      <c r="V81">
        <f>IF(OR(T81="",U81="",T81=U81),"",100*($E81-U81)/(T81-U81))</f>
        <v>0</v>
      </c>
      <c r="W81">
        <f>IF(COUNT($V$79:$V$81)&lt;3,"",AVERAGE($V$79:$V$81))</f>
        <v>0</v>
      </c>
      <c r="X81">
        <f>IF(COUNT($N$68:$N$81)&lt;14,"",MIN($N$68:$N$81))</f>
        <v>0</v>
      </c>
      <c r="Y81">
        <f>IF(COUNT($N$68:$N$81)&lt;14,"",MAX($N$68:$N$81))</f>
        <v>0</v>
      </c>
      <c r="Z81">
        <f>IF(OR(N81="",X81="",Y81="",Y81=X81),"",100*(N81-X81)/(Y81-X81))</f>
        <v>0</v>
      </c>
      <c r="AA81">
        <f>IF(COUNT($Z$79:$Z$81)&lt;3,"",AVERAGE($Z$79:$Z$81))</f>
        <v>0</v>
      </c>
      <c r="AB81">
        <f>IF(COUNT($AA$79:$AA$81)&lt;3,"",AVERAGE($AA$79:$AA$81))</f>
        <v>0</v>
      </c>
      <c r="AC81">
        <f>IF($E81="","",MAX($C81-$D81,ABS($C81-$E80),ABS($D81-$E80)))</f>
        <v>0</v>
      </c>
      <c r="AD81">
        <f>IF(COUNT($E$2:$E81)&lt;15,"",AVERAGE($AC$68:$AC$81))</f>
        <v>0</v>
      </c>
      <c r="AE81">
        <f>IF(OR($E81="",$E80=""),"",IF(AND(($C81-$C80)&gt;($D80-$D81),($C81-$C80)&gt;0),$C81-$C80,0))</f>
        <v>0</v>
      </c>
      <c r="AF81">
        <f>IF(OR($E81="",$E80=""),"",IF(AND(($D80-$D81)&gt;($C81-$C80),($D80-$D81)&gt;0),$D80-$D81,0))</f>
        <v>0</v>
      </c>
      <c r="AG81">
        <f>IF(COUNT($E$2:$E81)&lt;15,"",IF(SUM($AC$68:$AC$81)=0,0,100*SUM($AE$68:$AE$81)/SUM($AC$68:$AC$81)))</f>
        <v>0</v>
      </c>
      <c r="AH81">
        <f>IF(COUNT($E$2:$E81)&lt;15,"",IF(SUM($AC$68:$AC$81)=0,0,100*SUM($AF$68:$AF$81)/SUM($AC$68:$AC$81)))</f>
        <v>0</v>
      </c>
      <c r="AI81">
        <f>IF(OR(AG81="",AH81=""),"",IF((AG81+AH81)=0,0,100*ABS(AG81-AH81)/(AG81+AH81)))</f>
        <v>0</v>
      </c>
      <c r="AJ81">
        <f>IF(COUNT($AI$68:$AI$81)&lt;14,"",AVERAGE($AI$68:$AI$81))</f>
        <v>0</v>
      </c>
      <c r="AK81">
        <f>IF(COUNT($E$2:$E81)&lt;20,"",AVERAGE($E$62:$E$81))</f>
        <v>0</v>
      </c>
      <c r="AL81">
        <f>IF(COUNT($E$2:$E81)&lt;20,"",STDEVP($E$62:$E$81))</f>
        <v>0</v>
      </c>
      <c r="AM81">
        <f>IF(AK81="","",AK81+2*AL81)</f>
        <v>0</v>
      </c>
      <c r="AN81">
        <f>IF(AK81="","",AK81-2*AL81)</f>
        <v>0</v>
      </c>
      <c r="AO81">
        <f>IF(OR(AM81="",AN81="",AM81=AN81),"",($E81-AN81)/(AM81-AN81))</f>
        <v>0</v>
      </c>
      <c r="AP81">
        <f>IF(OR(AM81="",AK81="",AK81=0),"",(AM81-AN81)/AK81)</f>
        <v>0</v>
      </c>
      <c r="AQ81">
        <f>IF(COUNT($E$2:$E81)&lt;20,"",MAX($C$62:$C$81))</f>
        <v>0</v>
      </c>
      <c r="AR81">
        <f>IF(COUNT($E$2:$E81)&lt;20,"",MIN($D$62:$D$81))</f>
        <v>0</v>
      </c>
      <c r="AS81">
        <f>IF(OR(AQ81="",AR81=""),"",(AQ81+AR81)/2)</f>
        <v>0</v>
      </c>
      <c r="AT81">
        <f>IF(COUNT($G$62:$G$81)&lt;20,"",STDEV($G$62:$G$81)*SQRT(252))</f>
        <v>0</v>
      </c>
      <c r="AU81">
        <f>IF(COUNT($E$2:$E81)&lt;9,"",(MAX($C$73:$C$81)+MIN($D$73:$D$81))/2)</f>
        <v>0</v>
      </c>
      <c r="AV81">
        <f>IF(COUNT($E$2:$E81)&lt;26,"",(MAX($C$56:$C$81)+MIN($D$56:$D$81))/2)</f>
        <v>0</v>
      </c>
      <c r="AW81">
        <f>IF(OR(AU81="",AV81=""),"",(AU81+AV81)/2)</f>
        <v>0</v>
      </c>
      <c r="AX81">
        <f>IF(COUNT($E$2:$E81)&lt;52,"",(MAX($C$30:$C$81)+MIN($D$30:$D$81))/2)</f>
        <v>0</v>
      </c>
      <c r="AY81">
        <f>IF(COUNT($E$2:$E81)&lt;20,"",MAX($C$2:$C$81))</f>
        <v>0</v>
      </c>
      <c r="AZ81">
        <f>IF(COUNT($E$2:$E81)&lt;20,"",MIN($D$2:$D$81))</f>
        <v>0</v>
      </c>
      <c r="BA81">
        <f>IF(COUNT($E$2:$E81)&lt;20,"",SLOPE($E$2:$E$81,$F$2:$F$81))</f>
        <v>0</v>
      </c>
      <c r="BB81">
        <f>IF(COUNT($E$2:$E81)&lt;20,"",INTERCEPT($E$2:$E$81,$F$2:$F$81))</f>
        <v>0</v>
      </c>
      <c r="BC81">
        <f>IF(OR(BA81="",BB81=""),"",BB81+BA81*F81)</f>
        <v>0</v>
      </c>
      <c r="BD81">
        <f>IF(COUNT($E$2:$E81)&lt;20,"",STEYX($E$2:$E$81,$F$2:$F$81))</f>
        <v>0</v>
      </c>
      <c r="BE81">
        <f>IF($E81="","",IF(AND(COUNT($E$82:$E$85)&gt;=4,$C81=MAX($C$77:$C$85)),$C81,""))</f>
        <v>0</v>
      </c>
      <c r="BF81">
        <f>IF($E81="","",IF(AND(COUNT($E$82:$E$85)&gt;=4,$D81=MIN($D$77:$D$85)),$D81,""))</f>
        <v>0</v>
      </c>
      <c r="BG81">
        <f>IF($A81="","",$A81-WEEKDAY($A81,2)+1)</f>
        <v>0</v>
      </c>
      <c r="BH81">
        <f>IF($A81="","",IF($A80="",1,IF(BG81&lt;&gt;BG80,1,0)))</f>
        <v>0</v>
      </c>
      <c r="BI81">
        <f>IF($A81="","",IF($A82="",1,IF(BG82&lt;&gt;BG81,1,0)))</f>
        <v>0</v>
      </c>
      <c r="BJ81">
        <f>IF($A81="","",IF(BH81=1,$B81,BJ80))</f>
        <v>0</v>
      </c>
      <c r="BK81">
        <f>IF($A81="","",IF(BH81=1,$C81,MAX($C81,BK80)))</f>
        <v>0</v>
      </c>
      <c r="BL81">
        <f>IF($A81="","",IF(BH81=1,$D81,MIN($D81,BL80)))</f>
        <v>0</v>
      </c>
      <c r="BM81">
        <f>IF($A81="","",IF(BI81=1,F81,""))</f>
        <v>0</v>
      </c>
      <c r="BN81">
        <f>IF($A81="","",DATE(YEAR($A81),MONTH($A81),1))</f>
        <v>0</v>
      </c>
      <c r="BO81">
        <f>IF($A81="","",IF($A80="",1,IF(BN81&lt;&gt;BN80,1,0)))</f>
        <v>0</v>
      </c>
      <c r="BP81">
        <f>IF($A81="","",IF($A82="",1,IF(BN82&lt;&gt;BN81,1,0)))</f>
        <v>0</v>
      </c>
      <c r="BQ81">
        <f>IF($A81="","",IF(BO81=1,$B81,BQ80))</f>
        <v>0</v>
      </c>
      <c r="BR81">
        <f>IF($A81="","",IF(BO81=1,$C81,MAX($C81,BR80)))</f>
        <v>0</v>
      </c>
      <c r="BS81">
        <f>IF($A81="","",IF(BO81=1,$D81,MIN($D81,BS80)))</f>
        <v>0</v>
      </c>
      <c r="BT81">
        <f>IF($A81="","",IF(BP81=1,F81,""))</f>
        <v>0</v>
      </c>
    </row>
    <row r="82" spans="1:72">
      <c r="A82" s="27">
        <f>IF(Data!$A82="","",Data!$A82)</f>
        <v>0</v>
      </c>
      <c r="B82">
        <f>IF(Data!$B82="","",Data!$B82)</f>
        <v>0</v>
      </c>
      <c r="C82">
        <f>IF(Data!$C82="","",Data!$C82)</f>
        <v>0</v>
      </c>
      <c r="D82">
        <f>IF(Data!$D82="","",Data!$D82)</f>
        <v>0</v>
      </c>
      <c r="E82">
        <f>IF(Data!$E82="","",Data!$E82)</f>
        <v>0</v>
      </c>
      <c r="F82">
        <f>IF($E82="","",N(F81)+1)</f>
        <v>0</v>
      </c>
      <c r="G82">
        <f>IF(OR($E82="",$E81=""),"",LN($E82/$E81))</f>
        <v>0</v>
      </c>
      <c r="H82">
        <f>IF($E82="","",IF($E81="",$E82,$E82*0.0952380952+H81*0.9047619048))</f>
        <v>0</v>
      </c>
      <c r="I82">
        <f>IF($E82="","",IF($E81="",$E82,$E82*0.0392156863+I81*0.9607843137))</f>
        <v>0</v>
      </c>
      <c r="J82">
        <f>IF($E82="","",IF($E81="",$E82,$E82*0.0198019802+J81*0.9801980198))</f>
        <v>0</v>
      </c>
      <c r="K82">
        <f>IF($E82="","",IF($E81="",$E82,$E82*0.0099502488+K81*0.9900497512))</f>
        <v>0</v>
      </c>
      <c r="L82">
        <f>IF(OR($E82="",$E81=""),"",MAX($E82-$E81,0))</f>
        <v>0</v>
      </c>
      <c r="M82">
        <f>IF(OR($E82="",$E81=""),"",MAX($E81-$E82,0))</f>
        <v>0</v>
      </c>
      <c r="N82">
        <f>IF(COUNT($E$2:$E82)&lt;15,"",IF(AVERAGE($M$69:$M$82)=0,100,100-100/(1+AVERAGE($L$69:$L$82)/AVERAGE($M$69:$M$82))))</f>
        <v>0</v>
      </c>
      <c r="O82">
        <f>IF($E82="","",IF($E81="",$E82,$E82*0.1538461538+O81*0.8461538462))</f>
        <v>0</v>
      </c>
      <c r="P82">
        <f>IF($E82="","",IF($E81="",$E82,$E82*0.0740740741+P81*0.9259259259))</f>
        <v>0</v>
      </c>
      <c r="Q82">
        <f>IF(OR(O82="",P82=""),"",O82-P82)</f>
        <v>0</v>
      </c>
      <c r="R82">
        <f>IF(Q82="","",IF(R81="",Q82,Q82*0.2000000000+R81*0.8000000000))</f>
        <v>0</v>
      </c>
      <c r="S82">
        <f>IF(OR(Q82="",R82=""),"",Q82-R82)</f>
        <v>0</v>
      </c>
      <c r="T82">
        <f>IF(COUNT($E$2:$E82)&lt;14,"",MAX($C$69:$C$82))</f>
        <v>0</v>
      </c>
      <c r="U82">
        <f>IF(COUNT($E$2:$E82)&lt;14,"",MIN($D$69:$D$82))</f>
        <v>0</v>
      </c>
      <c r="V82">
        <f>IF(OR(T82="",U82="",T82=U82),"",100*($E82-U82)/(T82-U82))</f>
        <v>0</v>
      </c>
      <c r="W82">
        <f>IF(COUNT($V$80:$V$82)&lt;3,"",AVERAGE($V$80:$V$82))</f>
        <v>0</v>
      </c>
      <c r="X82">
        <f>IF(COUNT($N$69:$N$82)&lt;14,"",MIN($N$69:$N$82))</f>
        <v>0</v>
      </c>
      <c r="Y82">
        <f>IF(COUNT($N$69:$N$82)&lt;14,"",MAX($N$69:$N$82))</f>
        <v>0</v>
      </c>
      <c r="Z82">
        <f>IF(OR(N82="",X82="",Y82="",Y82=X82),"",100*(N82-X82)/(Y82-X82))</f>
        <v>0</v>
      </c>
      <c r="AA82">
        <f>IF(COUNT($Z$80:$Z$82)&lt;3,"",AVERAGE($Z$80:$Z$82))</f>
        <v>0</v>
      </c>
      <c r="AB82">
        <f>IF(COUNT($AA$80:$AA$82)&lt;3,"",AVERAGE($AA$80:$AA$82))</f>
        <v>0</v>
      </c>
      <c r="AC82">
        <f>IF($E82="","",MAX($C82-$D82,ABS($C82-$E81),ABS($D82-$E81)))</f>
        <v>0</v>
      </c>
      <c r="AD82">
        <f>IF(COUNT($E$2:$E82)&lt;15,"",AVERAGE($AC$69:$AC$82))</f>
        <v>0</v>
      </c>
      <c r="AE82">
        <f>IF(OR($E82="",$E81=""),"",IF(AND(($C82-$C81)&gt;($D81-$D82),($C82-$C81)&gt;0),$C82-$C81,0))</f>
        <v>0</v>
      </c>
      <c r="AF82">
        <f>IF(OR($E82="",$E81=""),"",IF(AND(($D81-$D82)&gt;($C82-$C81),($D81-$D82)&gt;0),$D81-$D82,0))</f>
        <v>0</v>
      </c>
      <c r="AG82">
        <f>IF(COUNT($E$2:$E82)&lt;15,"",IF(SUM($AC$69:$AC$82)=0,0,100*SUM($AE$69:$AE$82)/SUM($AC$69:$AC$82)))</f>
        <v>0</v>
      </c>
      <c r="AH82">
        <f>IF(COUNT($E$2:$E82)&lt;15,"",IF(SUM($AC$69:$AC$82)=0,0,100*SUM($AF$69:$AF$82)/SUM($AC$69:$AC$82)))</f>
        <v>0</v>
      </c>
      <c r="AI82">
        <f>IF(OR(AG82="",AH82=""),"",IF((AG82+AH82)=0,0,100*ABS(AG82-AH82)/(AG82+AH82)))</f>
        <v>0</v>
      </c>
      <c r="AJ82">
        <f>IF(COUNT($AI$69:$AI$82)&lt;14,"",AVERAGE($AI$69:$AI$82))</f>
        <v>0</v>
      </c>
      <c r="AK82">
        <f>IF(COUNT($E$2:$E82)&lt;20,"",AVERAGE($E$63:$E$82))</f>
        <v>0</v>
      </c>
      <c r="AL82">
        <f>IF(COUNT($E$2:$E82)&lt;20,"",STDEVP($E$63:$E$82))</f>
        <v>0</v>
      </c>
      <c r="AM82">
        <f>IF(AK82="","",AK82+2*AL82)</f>
        <v>0</v>
      </c>
      <c r="AN82">
        <f>IF(AK82="","",AK82-2*AL82)</f>
        <v>0</v>
      </c>
      <c r="AO82">
        <f>IF(OR(AM82="",AN82="",AM82=AN82),"",($E82-AN82)/(AM82-AN82))</f>
        <v>0</v>
      </c>
      <c r="AP82">
        <f>IF(OR(AM82="",AK82="",AK82=0),"",(AM82-AN82)/AK82)</f>
        <v>0</v>
      </c>
      <c r="AQ82">
        <f>IF(COUNT($E$2:$E82)&lt;20,"",MAX($C$63:$C$82))</f>
        <v>0</v>
      </c>
      <c r="AR82">
        <f>IF(COUNT($E$2:$E82)&lt;20,"",MIN($D$63:$D$82))</f>
        <v>0</v>
      </c>
      <c r="AS82">
        <f>IF(OR(AQ82="",AR82=""),"",(AQ82+AR82)/2)</f>
        <v>0</v>
      </c>
      <c r="AT82">
        <f>IF(COUNT($G$63:$G$82)&lt;20,"",STDEV($G$63:$G$82)*SQRT(252))</f>
        <v>0</v>
      </c>
      <c r="AU82">
        <f>IF(COUNT($E$2:$E82)&lt;9,"",(MAX($C$74:$C$82)+MIN($D$74:$D$82))/2)</f>
        <v>0</v>
      </c>
      <c r="AV82">
        <f>IF(COUNT($E$2:$E82)&lt;26,"",(MAX($C$57:$C$82)+MIN($D$57:$D$82))/2)</f>
        <v>0</v>
      </c>
      <c r="AW82">
        <f>IF(OR(AU82="",AV82=""),"",(AU82+AV82)/2)</f>
        <v>0</v>
      </c>
      <c r="AX82">
        <f>IF(COUNT($E$2:$E82)&lt;52,"",(MAX($C$31:$C$82)+MIN($D$31:$D$82))/2)</f>
        <v>0</v>
      </c>
      <c r="AY82">
        <f>IF(COUNT($E$2:$E82)&lt;20,"",MAX($C$2:$C$82))</f>
        <v>0</v>
      </c>
      <c r="AZ82">
        <f>IF(COUNT($E$2:$E82)&lt;20,"",MIN($D$2:$D$82))</f>
        <v>0</v>
      </c>
      <c r="BA82">
        <f>IF(COUNT($E$2:$E82)&lt;20,"",SLOPE($E$2:$E$82,$F$2:$F$82))</f>
        <v>0</v>
      </c>
      <c r="BB82">
        <f>IF(COUNT($E$2:$E82)&lt;20,"",INTERCEPT($E$2:$E$82,$F$2:$F$82))</f>
        <v>0</v>
      </c>
      <c r="BC82">
        <f>IF(OR(BA82="",BB82=""),"",BB82+BA82*F82)</f>
        <v>0</v>
      </c>
      <c r="BD82">
        <f>IF(COUNT($E$2:$E82)&lt;20,"",STEYX($E$2:$E$82,$F$2:$F$82))</f>
        <v>0</v>
      </c>
      <c r="BE82">
        <f>IF($E82="","",IF(AND(COUNT($E$83:$E$86)&gt;=4,$C82=MAX($C$78:$C$86)),$C82,""))</f>
        <v>0</v>
      </c>
      <c r="BF82">
        <f>IF($E82="","",IF(AND(COUNT($E$83:$E$86)&gt;=4,$D82=MIN($D$78:$D$86)),$D82,""))</f>
        <v>0</v>
      </c>
      <c r="BG82">
        <f>IF($A82="","",$A82-WEEKDAY($A82,2)+1)</f>
        <v>0</v>
      </c>
      <c r="BH82">
        <f>IF($A82="","",IF($A81="",1,IF(BG82&lt;&gt;BG81,1,0)))</f>
        <v>0</v>
      </c>
      <c r="BI82">
        <f>IF($A82="","",IF($A83="",1,IF(BG83&lt;&gt;BG82,1,0)))</f>
        <v>0</v>
      </c>
      <c r="BJ82">
        <f>IF($A82="","",IF(BH82=1,$B82,BJ81))</f>
        <v>0</v>
      </c>
      <c r="BK82">
        <f>IF($A82="","",IF(BH82=1,$C82,MAX($C82,BK81)))</f>
        <v>0</v>
      </c>
      <c r="BL82">
        <f>IF($A82="","",IF(BH82=1,$D82,MIN($D82,BL81)))</f>
        <v>0</v>
      </c>
      <c r="BM82">
        <f>IF($A82="","",IF(BI82=1,F82,""))</f>
        <v>0</v>
      </c>
      <c r="BN82">
        <f>IF($A82="","",DATE(YEAR($A82),MONTH($A82),1))</f>
        <v>0</v>
      </c>
      <c r="BO82">
        <f>IF($A82="","",IF($A81="",1,IF(BN82&lt;&gt;BN81,1,0)))</f>
        <v>0</v>
      </c>
      <c r="BP82">
        <f>IF($A82="","",IF($A83="",1,IF(BN83&lt;&gt;BN82,1,0)))</f>
        <v>0</v>
      </c>
      <c r="BQ82">
        <f>IF($A82="","",IF(BO82=1,$B82,BQ81))</f>
        <v>0</v>
      </c>
      <c r="BR82">
        <f>IF($A82="","",IF(BO82=1,$C82,MAX($C82,BR81)))</f>
        <v>0</v>
      </c>
      <c r="BS82">
        <f>IF($A82="","",IF(BO82=1,$D82,MIN($D82,BS81)))</f>
        <v>0</v>
      </c>
      <c r="BT82">
        <f>IF($A82="","",IF(BP82=1,F82,""))</f>
        <v>0</v>
      </c>
    </row>
    <row r="83" spans="1:72">
      <c r="A83" s="27">
        <f>IF(Data!$A83="","",Data!$A83)</f>
        <v>0</v>
      </c>
      <c r="B83">
        <f>IF(Data!$B83="","",Data!$B83)</f>
        <v>0</v>
      </c>
      <c r="C83">
        <f>IF(Data!$C83="","",Data!$C83)</f>
        <v>0</v>
      </c>
      <c r="D83">
        <f>IF(Data!$D83="","",Data!$D83)</f>
        <v>0</v>
      </c>
      <c r="E83">
        <f>IF(Data!$E83="","",Data!$E83)</f>
        <v>0</v>
      </c>
      <c r="F83">
        <f>IF($E83="","",N(F82)+1)</f>
        <v>0</v>
      </c>
      <c r="G83">
        <f>IF(OR($E83="",$E82=""),"",LN($E83/$E82))</f>
        <v>0</v>
      </c>
      <c r="H83">
        <f>IF($E83="","",IF($E82="",$E83,$E83*0.0952380952+H82*0.9047619048))</f>
        <v>0</v>
      </c>
      <c r="I83">
        <f>IF($E83="","",IF($E82="",$E83,$E83*0.0392156863+I82*0.9607843137))</f>
        <v>0</v>
      </c>
      <c r="J83">
        <f>IF($E83="","",IF($E82="",$E83,$E83*0.0198019802+J82*0.9801980198))</f>
        <v>0</v>
      </c>
      <c r="K83">
        <f>IF($E83="","",IF($E82="",$E83,$E83*0.0099502488+K82*0.9900497512))</f>
        <v>0</v>
      </c>
      <c r="L83">
        <f>IF(OR($E83="",$E82=""),"",MAX($E83-$E82,0))</f>
        <v>0</v>
      </c>
      <c r="M83">
        <f>IF(OR($E83="",$E82=""),"",MAX($E82-$E83,0))</f>
        <v>0</v>
      </c>
      <c r="N83">
        <f>IF(COUNT($E$2:$E83)&lt;15,"",IF(AVERAGE($M$70:$M$83)=0,100,100-100/(1+AVERAGE($L$70:$L$83)/AVERAGE($M$70:$M$83))))</f>
        <v>0</v>
      </c>
      <c r="O83">
        <f>IF($E83="","",IF($E82="",$E83,$E83*0.1538461538+O82*0.8461538462))</f>
        <v>0</v>
      </c>
      <c r="P83">
        <f>IF($E83="","",IF($E82="",$E83,$E83*0.0740740741+P82*0.9259259259))</f>
        <v>0</v>
      </c>
      <c r="Q83">
        <f>IF(OR(O83="",P83=""),"",O83-P83)</f>
        <v>0</v>
      </c>
      <c r="R83">
        <f>IF(Q83="","",IF(R82="",Q83,Q83*0.2000000000+R82*0.8000000000))</f>
        <v>0</v>
      </c>
      <c r="S83">
        <f>IF(OR(Q83="",R83=""),"",Q83-R83)</f>
        <v>0</v>
      </c>
      <c r="T83">
        <f>IF(COUNT($E$2:$E83)&lt;14,"",MAX($C$70:$C$83))</f>
        <v>0</v>
      </c>
      <c r="U83">
        <f>IF(COUNT($E$2:$E83)&lt;14,"",MIN($D$70:$D$83))</f>
        <v>0</v>
      </c>
      <c r="V83">
        <f>IF(OR(T83="",U83="",T83=U83),"",100*($E83-U83)/(T83-U83))</f>
        <v>0</v>
      </c>
      <c r="W83">
        <f>IF(COUNT($V$81:$V$83)&lt;3,"",AVERAGE($V$81:$V$83))</f>
        <v>0</v>
      </c>
      <c r="X83">
        <f>IF(COUNT($N$70:$N$83)&lt;14,"",MIN($N$70:$N$83))</f>
        <v>0</v>
      </c>
      <c r="Y83">
        <f>IF(COUNT($N$70:$N$83)&lt;14,"",MAX($N$70:$N$83))</f>
        <v>0</v>
      </c>
      <c r="Z83">
        <f>IF(OR(N83="",X83="",Y83="",Y83=X83),"",100*(N83-X83)/(Y83-X83))</f>
        <v>0</v>
      </c>
      <c r="AA83">
        <f>IF(COUNT($Z$81:$Z$83)&lt;3,"",AVERAGE($Z$81:$Z$83))</f>
        <v>0</v>
      </c>
      <c r="AB83">
        <f>IF(COUNT($AA$81:$AA$83)&lt;3,"",AVERAGE($AA$81:$AA$83))</f>
        <v>0</v>
      </c>
      <c r="AC83">
        <f>IF($E83="","",MAX($C83-$D83,ABS($C83-$E82),ABS($D83-$E82)))</f>
        <v>0</v>
      </c>
      <c r="AD83">
        <f>IF(COUNT($E$2:$E83)&lt;15,"",AVERAGE($AC$70:$AC$83))</f>
        <v>0</v>
      </c>
      <c r="AE83">
        <f>IF(OR($E83="",$E82=""),"",IF(AND(($C83-$C82)&gt;($D82-$D83),($C83-$C82)&gt;0),$C83-$C82,0))</f>
        <v>0</v>
      </c>
      <c r="AF83">
        <f>IF(OR($E83="",$E82=""),"",IF(AND(($D82-$D83)&gt;($C83-$C82),($D82-$D83)&gt;0),$D82-$D83,0))</f>
        <v>0</v>
      </c>
      <c r="AG83">
        <f>IF(COUNT($E$2:$E83)&lt;15,"",IF(SUM($AC$70:$AC$83)=0,0,100*SUM($AE$70:$AE$83)/SUM($AC$70:$AC$83)))</f>
        <v>0</v>
      </c>
      <c r="AH83">
        <f>IF(COUNT($E$2:$E83)&lt;15,"",IF(SUM($AC$70:$AC$83)=0,0,100*SUM($AF$70:$AF$83)/SUM($AC$70:$AC$83)))</f>
        <v>0</v>
      </c>
      <c r="AI83">
        <f>IF(OR(AG83="",AH83=""),"",IF((AG83+AH83)=0,0,100*ABS(AG83-AH83)/(AG83+AH83)))</f>
        <v>0</v>
      </c>
      <c r="AJ83">
        <f>IF(COUNT($AI$70:$AI$83)&lt;14,"",AVERAGE($AI$70:$AI$83))</f>
        <v>0</v>
      </c>
      <c r="AK83">
        <f>IF(COUNT($E$2:$E83)&lt;20,"",AVERAGE($E$64:$E$83))</f>
        <v>0</v>
      </c>
      <c r="AL83">
        <f>IF(COUNT($E$2:$E83)&lt;20,"",STDEVP($E$64:$E$83))</f>
        <v>0</v>
      </c>
      <c r="AM83">
        <f>IF(AK83="","",AK83+2*AL83)</f>
        <v>0</v>
      </c>
      <c r="AN83">
        <f>IF(AK83="","",AK83-2*AL83)</f>
        <v>0</v>
      </c>
      <c r="AO83">
        <f>IF(OR(AM83="",AN83="",AM83=AN83),"",($E83-AN83)/(AM83-AN83))</f>
        <v>0</v>
      </c>
      <c r="AP83">
        <f>IF(OR(AM83="",AK83="",AK83=0),"",(AM83-AN83)/AK83)</f>
        <v>0</v>
      </c>
      <c r="AQ83">
        <f>IF(COUNT($E$2:$E83)&lt;20,"",MAX($C$64:$C$83))</f>
        <v>0</v>
      </c>
      <c r="AR83">
        <f>IF(COUNT($E$2:$E83)&lt;20,"",MIN($D$64:$D$83))</f>
        <v>0</v>
      </c>
      <c r="AS83">
        <f>IF(OR(AQ83="",AR83=""),"",(AQ83+AR83)/2)</f>
        <v>0</v>
      </c>
      <c r="AT83">
        <f>IF(COUNT($G$64:$G$83)&lt;20,"",STDEV($G$64:$G$83)*SQRT(252))</f>
        <v>0</v>
      </c>
      <c r="AU83">
        <f>IF(COUNT($E$2:$E83)&lt;9,"",(MAX($C$75:$C$83)+MIN($D$75:$D$83))/2)</f>
        <v>0</v>
      </c>
      <c r="AV83">
        <f>IF(COUNT($E$2:$E83)&lt;26,"",(MAX($C$58:$C$83)+MIN($D$58:$D$83))/2)</f>
        <v>0</v>
      </c>
      <c r="AW83">
        <f>IF(OR(AU83="",AV83=""),"",(AU83+AV83)/2)</f>
        <v>0</v>
      </c>
      <c r="AX83">
        <f>IF(COUNT($E$2:$E83)&lt;52,"",(MAX($C$32:$C$83)+MIN($D$32:$D$83))/2)</f>
        <v>0</v>
      </c>
      <c r="AY83">
        <f>IF(COUNT($E$2:$E83)&lt;20,"",MAX($C$2:$C$83))</f>
        <v>0</v>
      </c>
      <c r="AZ83">
        <f>IF(COUNT($E$2:$E83)&lt;20,"",MIN($D$2:$D$83))</f>
        <v>0</v>
      </c>
      <c r="BA83">
        <f>IF(COUNT($E$2:$E83)&lt;20,"",SLOPE($E$2:$E$83,$F$2:$F$83))</f>
        <v>0</v>
      </c>
      <c r="BB83">
        <f>IF(COUNT($E$2:$E83)&lt;20,"",INTERCEPT($E$2:$E$83,$F$2:$F$83))</f>
        <v>0</v>
      </c>
      <c r="BC83">
        <f>IF(OR(BA83="",BB83=""),"",BB83+BA83*F83)</f>
        <v>0</v>
      </c>
      <c r="BD83">
        <f>IF(COUNT($E$2:$E83)&lt;20,"",STEYX($E$2:$E$83,$F$2:$F$83))</f>
        <v>0</v>
      </c>
      <c r="BE83">
        <f>IF($E83="","",IF(AND(COUNT($E$84:$E$87)&gt;=4,$C83=MAX($C$79:$C$87)),$C83,""))</f>
        <v>0</v>
      </c>
      <c r="BF83">
        <f>IF($E83="","",IF(AND(COUNT($E$84:$E$87)&gt;=4,$D83=MIN($D$79:$D$87)),$D83,""))</f>
        <v>0</v>
      </c>
      <c r="BG83">
        <f>IF($A83="","",$A83-WEEKDAY($A83,2)+1)</f>
        <v>0</v>
      </c>
      <c r="BH83">
        <f>IF($A83="","",IF($A82="",1,IF(BG83&lt;&gt;BG82,1,0)))</f>
        <v>0</v>
      </c>
      <c r="BI83">
        <f>IF($A83="","",IF($A84="",1,IF(BG84&lt;&gt;BG83,1,0)))</f>
        <v>0</v>
      </c>
      <c r="BJ83">
        <f>IF($A83="","",IF(BH83=1,$B83,BJ82))</f>
        <v>0</v>
      </c>
      <c r="BK83">
        <f>IF($A83="","",IF(BH83=1,$C83,MAX($C83,BK82)))</f>
        <v>0</v>
      </c>
      <c r="BL83">
        <f>IF($A83="","",IF(BH83=1,$D83,MIN($D83,BL82)))</f>
        <v>0</v>
      </c>
      <c r="BM83">
        <f>IF($A83="","",IF(BI83=1,F83,""))</f>
        <v>0</v>
      </c>
      <c r="BN83">
        <f>IF($A83="","",DATE(YEAR($A83),MONTH($A83),1))</f>
        <v>0</v>
      </c>
      <c r="BO83">
        <f>IF($A83="","",IF($A82="",1,IF(BN83&lt;&gt;BN82,1,0)))</f>
        <v>0</v>
      </c>
      <c r="BP83">
        <f>IF($A83="","",IF($A84="",1,IF(BN84&lt;&gt;BN83,1,0)))</f>
        <v>0</v>
      </c>
      <c r="BQ83">
        <f>IF($A83="","",IF(BO83=1,$B83,BQ82))</f>
        <v>0</v>
      </c>
      <c r="BR83">
        <f>IF($A83="","",IF(BO83=1,$C83,MAX($C83,BR82)))</f>
        <v>0</v>
      </c>
      <c r="BS83">
        <f>IF($A83="","",IF(BO83=1,$D83,MIN($D83,BS82)))</f>
        <v>0</v>
      </c>
      <c r="BT83">
        <f>IF($A83="","",IF(BP83=1,F83,""))</f>
        <v>0</v>
      </c>
    </row>
    <row r="84" spans="1:72">
      <c r="A84" s="27">
        <f>IF(Data!$A84="","",Data!$A84)</f>
        <v>0</v>
      </c>
      <c r="B84">
        <f>IF(Data!$B84="","",Data!$B84)</f>
        <v>0</v>
      </c>
      <c r="C84">
        <f>IF(Data!$C84="","",Data!$C84)</f>
        <v>0</v>
      </c>
      <c r="D84">
        <f>IF(Data!$D84="","",Data!$D84)</f>
        <v>0</v>
      </c>
      <c r="E84">
        <f>IF(Data!$E84="","",Data!$E84)</f>
        <v>0</v>
      </c>
      <c r="F84">
        <f>IF($E84="","",N(F83)+1)</f>
        <v>0</v>
      </c>
      <c r="G84">
        <f>IF(OR($E84="",$E83=""),"",LN($E84/$E83))</f>
        <v>0</v>
      </c>
      <c r="H84">
        <f>IF($E84="","",IF($E83="",$E84,$E84*0.0952380952+H83*0.9047619048))</f>
        <v>0</v>
      </c>
      <c r="I84">
        <f>IF($E84="","",IF($E83="",$E84,$E84*0.0392156863+I83*0.9607843137))</f>
        <v>0</v>
      </c>
      <c r="J84">
        <f>IF($E84="","",IF($E83="",$E84,$E84*0.0198019802+J83*0.9801980198))</f>
        <v>0</v>
      </c>
      <c r="K84">
        <f>IF($E84="","",IF($E83="",$E84,$E84*0.0099502488+K83*0.9900497512))</f>
        <v>0</v>
      </c>
      <c r="L84">
        <f>IF(OR($E84="",$E83=""),"",MAX($E84-$E83,0))</f>
        <v>0</v>
      </c>
      <c r="M84">
        <f>IF(OR($E84="",$E83=""),"",MAX($E83-$E84,0))</f>
        <v>0</v>
      </c>
      <c r="N84">
        <f>IF(COUNT($E$2:$E84)&lt;15,"",IF(AVERAGE($M$71:$M$84)=0,100,100-100/(1+AVERAGE($L$71:$L$84)/AVERAGE($M$71:$M$84))))</f>
        <v>0</v>
      </c>
      <c r="O84">
        <f>IF($E84="","",IF($E83="",$E84,$E84*0.1538461538+O83*0.8461538462))</f>
        <v>0</v>
      </c>
      <c r="P84">
        <f>IF($E84="","",IF($E83="",$E84,$E84*0.0740740741+P83*0.9259259259))</f>
        <v>0</v>
      </c>
      <c r="Q84">
        <f>IF(OR(O84="",P84=""),"",O84-P84)</f>
        <v>0</v>
      </c>
      <c r="R84">
        <f>IF(Q84="","",IF(R83="",Q84,Q84*0.2000000000+R83*0.8000000000))</f>
        <v>0</v>
      </c>
      <c r="S84">
        <f>IF(OR(Q84="",R84=""),"",Q84-R84)</f>
        <v>0</v>
      </c>
      <c r="T84">
        <f>IF(COUNT($E$2:$E84)&lt;14,"",MAX($C$71:$C$84))</f>
        <v>0</v>
      </c>
      <c r="U84">
        <f>IF(COUNT($E$2:$E84)&lt;14,"",MIN($D$71:$D$84))</f>
        <v>0</v>
      </c>
      <c r="V84">
        <f>IF(OR(T84="",U84="",T84=U84),"",100*($E84-U84)/(T84-U84))</f>
        <v>0</v>
      </c>
      <c r="W84">
        <f>IF(COUNT($V$82:$V$84)&lt;3,"",AVERAGE($V$82:$V$84))</f>
        <v>0</v>
      </c>
      <c r="X84">
        <f>IF(COUNT($N$71:$N$84)&lt;14,"",MIN($N$71:$N$84))</f>
        <v>0</v>
      </c>
      <c r="Y84">
        <f>IF(COUNT($N$71:$N$84)&lt;14,"",MAX($N$71:$N$84))</f>
        <v>0</v>
      </c>
      <c r="Z84">
        <f>IF(OR(N84="",X84="",Y84="",Y84=X84),"",100*(N84-X84)/(Y84-X84))</f>
        <v>0</v>
      </c>
      <c r="AA84">
        <f>IF(COUNT($Z$82:$Z$84)&lt;3,"",AVERAGE($Z$82:$Z$84))</f>
        <v>0</v>
      </c>
      <c r="AB84">
        <f>IF(COUNT($AA$82:$AA$84)&lt;3,"",AVERAGE($AA$82:$AA$84))</f>
        <v>0</v>
      </c>
      <c r="AC84">
        <f>IF($E84="","",MAX($C84-$D84,ABS($C84-$E83),ABS($D84-$E83)))</f>
        <v>0</v>
      </c>
      <c r="AD84">
        <f>IF(COUNT($E$2:$E84)&lt;15,"",AVERAGE($AC$71:$AC$84))</f>
        <v>0</v>
      </c>
      <c r="AE84">
        <f>IF(OR($E84="",$E83=""),"",IF(AND(($C84-$C83)&gt;($D83-$D84),($C84-$C83)&gt;0),$C84-$C83,0))</f>
        <v>0</v>
      </c>
      <c r="AF84">
        <f>IF(OR($E84="",$E83=""),"",IF(AND(($D83-$D84)&gt;($C84-$C83),($D83-$D84)&gt;0),$D83-$D84,0))</f>
        <v>0</v>
      </c>
      <c r="AG84">
        <f>IF(COUNT($E$2:$E84)&lt;15,"",IF(SUM($AC$71:$AC$84)=0,0,100*SUM($AE$71:$AE$84)/SUM($AC$71:$AC$84)))</f>
        <v>0</v>
      </c>
      <c r="AH84">
        <f>IF(COUNT($E$2:$E84)&lt;15,"",IF(SUM($AC$71:$AC$84)=0,0,100*SUM($AF$71:$AF$84)/SUM($AC$71:$AC$84)))</f>
        <v>0</v>
      </c>
      <c r="AI84">
        <f>IF(OR(AG84="",AH84=""),"",IF((AG84+AH84)=0,0,100*ABS(AG84-AH84)/(AG84+AH84)))</f>
        <v>0</v>
      </c>
      <c r="AJ84">
        <f>IF(COUNT($AI$71:$AI$84)&lt;14,"",AVERAGE($AI$71:$AI$84))</f>
        <v>0</v>
      </c>
      <c r="AK84">
        <f>IF(COUNT($E$2:$E84)&lt;20,"",AVERAGE($E$65:$E$84))</f>
        <v>0</v>
      </c>
      <c r="AL84">
        <f>IF(COUNT($E$2:$E84)&lt;20,"",STDEVP($E$65:$E$84))</f>
        <v>0</v>
      </c>
      <c r="AM84">
        <f>IF(AK84="","",AK84+2*AL84)</f>
        <v>0</v>
      </c>
      <c r="AN84">
        <f>IF(AK84="","",AK84-2*AL84)</f>
        <v>0</v>
      </c>
      <c r="AO84">
        <f>IF(OR(AM84="",AN84="",AM84=AN84),"",($E84-AN84)/(AM84-AN84))</f>
        <v>0</v>
      </c>
      <c r="AP84">
        <f>IF(OR(AM84="",AK84="",AK84=0),"",(AM84-AN84)/AK84)</f>
        <v>0</v>
      </c>
      <c r="AQ84">
        <f>IF(COUNT($E$2:$E84)&lt;20,"",MAX($C$65:$C$84))</f>
        <v>0</v>
      </c>
      <c r="AR84">
        <f>IF(COUNT($E$2:$E84)&lt;20,"",MIN($D$65:$D$84))</f>
        <v>0</v>
      </c>
      <c r="AS84">
        <f>IF(OR(AQ84="",AR84=""),"",(AQ84+AR84)/2)</f>
        <v>0</v>
      </c>
      <c r="AT84">
        <f>IF(COUNT($G$65:$G$84)&lt;20,"",STDEV($G$65:$G$84)*SQRT(252))</f>
        <v>0</v>
      </c>
      <c r="AU84">
        <f>IF(COUNT($E$2:$E84)&lt;9,"",(MAX($C$76:$C$84)+MIN($D$76:$D$84))/2)</f>
        <v>0</v>
      </c>
      <c r="AV84">
        <f>IF(COUNT($E$2:$E84)&lt;26,"",(MAX($C$59:$C$84)+MIN($D$59:$D$84))/2)</f>
        <v>0</v>
      </c>
      <c r="AW84">
        <f>IF(OR(AU84="",AV84=""),"",(AU84+AV84)/2)</f>
        <v>0</v>
      </c>
      <c r="AX84">
        <f>IF(COUNT($E$2:$E84)&lt;52,"",(MAX($C$33:$C$84)+MIN($D$33:$D$84))/2)</f>
        <v>0</v>
      </c>
      <c r="AY84">
        <f>IF(COUNT($E$2:$E84)&lt;20,"",MAX($C$2:$C$84))</f>
        <v>0</v>
      </c>
      <c r="AZ84">
        <f>IF(COUNT($E$2:$E84)&lt;20,"",MIN($D$2:$D$84))</f>
        <v>0</v>
      </c>
      <c r="BA84">
        <f>IF(COUNT($E$2:$E84)&lt;20,"",SLOPE($E$2:$E$84,$F$2:$F$84))</f>
        <v>0</v>
      </c>
      <c r="BB84">
        <f>IF(COUNT($E$2:$E84)&lt;20,"",INTERCEPT($E$2:$E$84,$F$2:$F$84))</f>
        <v>0</v>
      </c>
      <c r="BC84">
        <f>IF(OR(BA84="",BB84=""),"",BB84+BA84*F84)</f>
        <v>0</v>
      </c>
      <c r="BD84">
        <f>IF(COUNT($E$2:$E84)&lt;20,"",STEYX($E$2:$E$84,$F$2:$F$84))</f>
        <v>0</v>
      </c>
      <c r="BE84">
        <f>IF($E84="","",IF(AND(COUNT($E$85:$E$88)&gt;=4,$C84=MAX($C$80:$C$88)),$C84,""))</f>
        <v>0</v>
      </c>
      <c r="BF84">
        <f>IF($E84="","",IF(AND(COUNT($E$85:$E$88)&gt;=4,$D84=MIN($D$80:$D$88)),$D84,""))</f>
        <v>0</v>
      </c>
      <c r="BG84">
        <f>IF($A84="","",$A84-WEEKDAY($A84,2)+1)</f>
        <v>0</v>
      </c>
      <c r="BH84">
        <f>IF($A84="","",IF($A83="",1,IF(BG84&lt;&gt;BG83,1,0)))</f>
        <v>0</v>
      </c>
      <c r="BI84">
        <f>IF($A84="","",IF($A85="",1,IF(BG85&lt;&gt;BG84,1,0)))</f>
        <v>0</v>
      </c>
      <c r="BJ84">
        <f>IF($A84="","",IF(BH84=1,$B84,BJ83))</f>
        <v>0</v>
      </c>
      <c r="BK84">
        <f>IF($A84="","",IF(BH84=1,$C84,MAX($C84,BK83)))</f>
        <v>0</v>
      </c>
      <c r="BL84">
        <f>IF($A84="","",IF(BH84=1,$D84,MIN($D84,BL83)))</f>
        <v>0</v>
      </c>
      <c r="BM84">
        <f>IF($A84="","",IF(BI84=1,F84,""))</f>
        <v>0</v>
      </c>
      <c r="BN84">
        <f>IF($A84="","",DATE(YEAR($A84),MONTH($A84),1))</f>
        <v>0</v>
      </c>
      <c r="BO84">
        <f>IF($A84="","",IF($A83="",1,IF(BN84&lt;&gt;BN83,1,0)))</f>
        <v>0</v>
      </c>
      <c r="BP84">
        <f>IF($A84="","",IF($A85="",1,IF(BN85&lt;&gt;BN84,1,0)))</f>
        <v>0</v>
      </c>
      <c r="BQ84">
        <f>IF($A84="","",IF(BO84=1,$B84,BQ83))</f>
        <v>0</v>
      </c>
      <c r="BR84">
        <f>IF($A84="","",IF(BO84=1,$C84,MAX($C84,BR83)))</f>
        <v>0</v>
      </c>
      <c r="BS84">
        <f>IF($A84="","",IF(BO84=1,$D84,MIN($D84,BS83)))</f>
        <v>0</v>
      </c>
      <c r="BT84">
        <f>IF($A84="","",IF(BP84=1,F84,""))</f>
        <v>0</v>
      </c>
    </row>
    <row r="85" spans="1:72">
      <c r="A85" s="27">
        <f>IF(Data!$A85="","",Data!$A85)</f>
        <v>0</v>
      </c>
      <c r="B85">
        <f>IF(Data!$B85="","",Data!$B85)</f>
        <v>0</v>
      </c>
      <c r="C85">
        <f>IF(Data!$C85="","",Data!$C85)</f>
        <v>0</v>
      </c>
      <c r="D85">
        <f>IF(Data!$D85="","",Data!$D85)</f>
        <v>0</v>
      </c>
      <c r="E85">
        <f>IF(Data!$E85="","",Data!$E85)</f>
        <v>0</v>
      </c>
      <c r="F85">
        <f>IF($E85="","",N(F84)+1)</f>
        <v>0</v>
      </c>
      <c r="G85">
        <f>IF(OR($E85="",$E84=""),"",LN($E85/$E84))</f>
        <v>0</v>
      </c>
      <c r="H85">
        <f>IF($E85="","",IF($E84="",$E85,$E85*0.0952380952+H84*0.9047619048))</f>
        <v>0</v>
      </c>
      <c r="I85">
        <f>IF($E85="","",IF($E84="",$E85,$E85*0.0392156863+I84*0.9607843137))</f>
        <v>0</v>
      </c>
      <c r="J85">
        <f>IF($E85="","",IF($E84="",$E85,$E85*0.0198019802+J84*0.9801980198))</f>
        <v>0</v>
      </c>
      <c r="K85">
        <f>IF($E85="","",IF($E84="",$E85,$E85*0.0099502488+K84*0.9900497512))</f>
        <v>0</v>
      </c>
      <c r="L85">
        <f>IF(OR($E85="",$E84=""),"",MAX($E85-$E84,0))</f>
        <v>0</v>
      </c>
      <c r="M85">
        <f>IF(OR($E85="",$E84=""),"",MAX($E84-$E85,0))</f>
        <v>0</v>
      </c>
      <c r="N85">
        <f>IF(COUNT($E$2:$E85)&lt;15,"",IF(AVERAGE($M$72:$M$85)=0,100,100-100/(1+AVERAGE($L$72:$L$85)/AVERAGE($M$72:$M$85))))</f>
        <v>0</v>
      </c>
      <c r="O85">
        <f>IF($E85="","",IF($E84="",$E85,$E85*0.1538461538+O84*0.8461538462))</f>
        <v>0</v>
      </c>
      <c r="P85">
        <f>IF($E85="","",IF($E84="",$E85,$E85*0.0740740741+P84*0.9259259259))</f>
        <v>0</v>
      </c>
      <c r="Q85">
        <f>IF(OR(O85="",P85=""),"",O85-P85)</f>
        <v>0</v>
      </c>
      <c r="R85">
        <f>IF(Q85="","",IF(R84="",Q85,Q85*0.2000000000+R84*0.8000000000))</f>
        <v>0</v>
      </c>
      <c r="S85">
        <f>IF(OR(Q85="",R85=""),"",Q85-R85)</f>
        <v>0</v>
      </c>
      <c r="T85">
        <f>IF(COUNT($E$2:$E85)&lt;14,"",MAX($C$72:$C$85))</f>
        <v>0</v>
      </c>
      <c r="U85">
        <f>IF(COUNT($E$2:$E85)&lt;14,"",MIN($D$72:$D$85))</f>
        <v>0</v>
      </c>
      <c r="V85">
        <f>IF(OR(T85="",U85="",T85=U85),"",100*($E85-U85)/(T85-U85))</f>
        <v>0</v>
      </c>
      <c r="W85">
        <f>IF(COUNT($V$83:$V$85)&lt;3,"",AVERAGE($V$83:$V$85))</f>
        <v>0</v>
      </c>
      <c r="X85">
        <f>IF(COUNT($N$72:$N$85)&lt;14,"",MIN($N$72:$N$85))</f>
        <v>0</v>
      </c>
      <c r="Y85">
        <f>IF(COUNT($N$72:$N$85)&lt;14,"",MAX($N$72:$N$85))</f>
        <v>0</v>
      </c>
      <c r="Z85">
        <f>IF(OR(N85="",X85="",Y85="",Y85=X85),"",100*(N85-X85)/(Y85-X85))</f>
        <v>0</v>
      </c>
      <c r="AA85">
        <f>IF(COUNT($Z$83:$Z$85)&lt;3,"",AVERAGE($Z$83:$Z$85))</f>
        <v>0</v>
      </c>
      <c r="AB85">
        <f>IF(COUNT($AA$83:$AA$85)&lt;3,"",AVERAGE($AA$83:$AA$85))</f>
        <v>0</v>
      </c>
      <c r="AC85">
        <f>IF($E85="","",MAX($C85-$D85,ABS($C85-$E84),ABS($D85-$E84)))</f>
        <v>0</v>
      </c>
      <c r="AD85">
        <f>IF(COUNT($E$2:$E85)&lt;15,"",AVERAGE($AC$72:$AC$85))</f>
        <v>0</v>
      </c>
      <c r="AE85">
        <f>IF(OR($E85="",$E84=""),"",IF(AND(($C85-$C84)&gt;($D84-$D85),($C85-$C84)&gt;0),$C85-$C84,0))</f>
        <v>0</v>
      </c>
      <c r="AF85">
        <f>IF(OR($E85="",$E84=""),"",IF(AND(($D84-$D85)&gt;($C85-$C84),($D84-$D85)&gt;0),$D84-$D85,0))</f>
        <v>0</v>
      </c>
      <c r="AG85">
        <f>IF(COUNT($E$2:$E85)&lt;15,"",IF(SUM($AC$72:$AC$85)=0,0,100*SUM($AE$72:$AE$85)/SUM($AC$72:$AC$85)))</f>
        <v>0</v>
      </c>
      <c r="AH85">
        <f>IF(COUNT($E$2:$E85)&lt;15,"",IF(SUM($AC$72:$AC$85)=0,0,100*SUM($AF$72:$AF$85)/SUM($AC$72:$AC$85)))</f>
        <v>0</v>
      </c>
      <c r="AI85">
        <f>IF(OR(AG85="",AH85=""),"",IF((AG85+AH85)=0,0,100*ABS(AG85-AH85)/(AG85+AH85)))</f>
        <v>0</v>
      </c>
      <c r="AJ85">
        <f>IF(COUNT($AI$72:$AI$85)&lt;14,"",AVERAGE($AI$72:$AI$85))</f>
        <v>0</v>
      </c>
      <c r="AK85">
        <f>IF(COUNT($E$2:$E85)&lt;20,"",AVERAGE($E$66:$E$85))</f>
        <v>0</v>
      </c>
      <c r="AL85">
        <f>IF(COUNT($E$2:$E85)&lt;20,"",STDEVP($E$66:$E$85))</f>
        <v>0</v>
      </c>
      <c r="AM85">
        <f>IF(AK85="","",AK85+2*AL85)</f>
        <v>0</v>
      </c>
      <c r="AN85">
        <f>IF(AK85="","",AK85-2*AL85)</f>
        <v>0</v>
      </c>
      <c r="AO85">
        <f>IF(OR(AM85="",AN85="",AM85=AN85),"",($E85-AN85)/(AM85-AN85))</f>
        <v>0</v>
      </c>
      <c r="AP85">
        <f>IF(OR(AM85="",AK85="",AK85=0),"",(AM85-AN85)/AK85)</f>
        <v>0</v>
      </c>
      <c r="AQ85">
        <f>IF(COUNT($E$2:$E85)&lt;20,"",MAX($C$66:$C$85))</f>
        <v>0</v>
      </c>
      <c r="AR85">
        <f>IF(COUNT($E$2:$E85)&lt;20,"",MIN($D$66:$D$85))</f>
        <v>0</v>
      </c>
      <c r="AS85">
        <f>IF(OR(AQ85="",AR85=""),"",(AQ85+AR85)/2)</f>
        <v>0</v>
      </c>
      <c r="AT85">
        <f>IF(COUNT($G$66:$G$85)&lt;20,"",STDEV($G$66:$G$85)*SQRT(252))</f>
        <v>0</v>
      </c>
      <c r="AU85">
        <f>IF(COUNT($E$2:$E85)&lt;9,"",(MAX($C$77:$C$85)+MIN($D$77:$D$85))/2)</f>
        <v>0</v>
      </c>
      <c r="AV85">
        <f>IF(COUNT($E$2:$E85)&lt;26,"",(MAX($C$60:$C$85)+MIN($D$60:$D$85))/2)</f>
        <v>0</v>
      </c>
      <c r="AW85">
        <f>IF(OR(AU85="",AV85=""),"",(AU85+AV85)/2)</f>
        <v>0</v>
      </c>
      <c r="AX85">
        <f>IF(COUNT($E$2:$E85)&lt;52,"",(MAX($C$34:$C$85)+MIN($D$34:$D$85))/2)</f>
        <v>0</v>
      </c>
      <c r="AY85">
        <f>IF(COUNT($E$2:$E85)&lt;20,"",MAX($C$2:$C$85))</f>
        <v>0</v>
      </c>
      <c r="AZ85">
        <f>IF(COUNT($E$2:$E85)&lt;20,"",MIN($D$2:$D$85))</f>
        <v>0</v>
      </c>
      <c r="BA85">
        <f>IF(COUNT($E$2:$E85)&lt;20,"",SLOPE($E$2:$E$85,$F$2:$F$85))</f>
        <v>0</v>
      </c>
      <c r="BB85">
        <f>IF(COUNT($E$2:$E85)&lt;20,"",INTERCEPT($E$2:$E$85,$F$2:$F$85))</f>
        <v>0</v>
      </c>
      <c r="BC85">
        <f>IF(OR(BA85="",BB85=""),"",BB85+BA85*F85)</f>
        <v>0</v>
      </c>
      <c r="BD85">
        <f>IF(COUNT($E$2:$E85)&lt;20,"",STEYX($E$2:$E$85,$F$2:$F$85))</f>
        <v>0</v>
      </c>
      <c r="BE85">
        <f>IF($E85="","",IF(AND(COUNT($E$86:$E$89)&gt;=4,$C85=MAX($C$81:$C$89)),$C85,""))</f>
        <v>0</v>
      </c>
      <c r="BF85">
        <f>IF($E85="","",IF(AND(COUNT($E$86:$E$89)&gt;=4,$D85=MIN($D$81:$D$89)),$D85,""))</f>
        <v>0</v>
      </c>
      <c r="BG85">
        <f>IF($A85="","",$A85-WEEKDAY($A85,2)+1)</f>
        <v>0</v>
      </c>
      <c r="BH85">
        <f>IF($A85="","",IF($A84="",1,IF(BG85&lt;&gt;BG84,1,0)))</f>
        <v>0</v>
      </c>
      <c r="BI85">
        <f>IF($A85="","",IF($A86="",1,IF(BG86&lt;&gt;BG85,1,0)))</f>
        <v>0</v>
      </c>
      <c r="BJ85">
        <f>IF($A85="","",IF(BH85=1,$B85,BJ84))</f>
        <v>0</v>
      </c>
      <c r="BK85">
        <f>IF($A85="","",IF(BH85=1,$C85,MAX($C85,BK84)))</f>
        <v>0</v>
      </c>
      <c r="BL85">
        <f>IF($A85="","",IF(BH85=1,$D85,MIN($D85,BL84)))</f>
        <v>0</v>
      </c>
      <c r="BM85">
        <f>IF($A85="","",IF(BI85=1,F85,""))</f>
        <v>0</v>
      </c>
      <c r="BN85">
        <f>IF($A85="","",DATE(YEAR($A85),MONTH($A85),1))</f>
        <v>0</v>
      </c>
      <c r="BO85">
        <f>IF($A85="","",IF($A84="",1,IF(BN85&lt;&gt;BN84,1,0)))</f>
        <v>0</v>
      </c>
      <c r="BP85">
        <f>IF($A85="","",IF($A86="",1,IF(BN86&lt;&gt;BN85,1,0)))</f>
        <v>0</v>
      </c>
      <c r="BQ85">
        <f>IF($A85="","",IF(BO85=1,$B85,BQ84))</f>
        <v>0</v>
      </c>
      <c r="BR85">
        <f>IF($A85="","",IF(BO85=1,$C85,MAX($C85,BR84)))</f>
        <v>0</v>
      </c>
      <c r="BS85">
        <f>IF($A85="","",IF(BO85=1,$D85,MIN($D85,BS84)))</f>
        <v>0</v>
      </c>
      <c r="BT85">
        <f>IF($A85="","",IF(BP85=1,F85,""))</f>
        <v>0</v>
      </c>
    </row>
    <row r="86" spans="1:72">
      <c r="A86" s="27">
        <f>IF(Data!$A86="","",Data!$A86)</f>
        <v>0</v>
      </c>
      <c r="B86">
        <f>IF(Data!$B86="","",Data!$B86)</f>
        <v>0</v>
      </c>
      <c r="C86">
        <f>IF(Data!$C86="","",Data!$C86)</f>
        <v>0</v>
      </c>
      <c r="D86">
        <f>IF(Data!$D86="","",Data!$D86)</f>
        <v>0</v>
      </c>
      <c r="E86">
        <f>IF(Data!$E86="","",Data!$E86)</f>
        <v>0</v>
      </c>
      <c r="F86">
        <f>IF($E86="","",N(F85)+1)</f>
        <v>0</v>
      </c>
      <c r="G86">
        <f>IF(OR($E86="",$E85=""),"",LN($E86/$E85))</f>
        <v>0</v>
      </c>
      <c r="H86">
        <f>IF($E86="","",IF($E85="",$E86,$E86*0.0952380952+H85*0.9047619048))</f>
        <v>0</v>
      </c>
      <c r="I86">
        <f>IF($E86="","",IF($E85="",$E86,$E86*0.0392156863+I85*0.9607843137))</f>
        <v>0</v>
      </c>
      <c r="J86">
        <f>IF($E86="","",IF($E85="",$E86,$E86*0.0198019802+J85*0.9801980198))</f>
        <v>0</v>
      </c>
      <c r="K86">
        <f>IF($E86="","",IF($E85="",$E86,$E86*0.0099502488+K85*0.9900497512))</f>
        <v>0</v>
      </c>
      <c r="L86">
        <f>IF(OR($E86="",$E85=""),"",MAX($E86-$E85,0))</f>
        <v>0</v>
      </c>
      <c r="M86">
        <f>IF(OR($E86="",$E85=""),"",MAX($E85-$E86,0))</f>
        <v>0</v>
      </c>
      <c r="N86">
        <f>IF(COUNT($E$2:$E86)&lt;15,"",IF(AVERAGE($M$73:$M$86)=0,100,100-100/(1+AVERAGE($L$73:$L$86)/AVERAGE($M$73:$M$86))))</f>
        <v>0</v>
      </c>
      <c r="O86">
        <f>IF($E86="","",IF($E85="",$E86,$E86*0.1538461538+O85*0.8461538462))</f>
        <v>0</v>
      </c>
      <c r="P86">
        <f>IF($E86="","",IF($E85="",$E86,$E86*0.0740740741+P85*0.9259259259))</f>
        <v>0</v>
      </c>
      <c r="Q86">
        <f>IF(OR(O86="",P86=""),"",O86-P86)</f>
        <v>0</v>
      </c>
      <c r="R86">
        <f>IF(Q86="","",IF(R85="",Q86,Q86*0.2000000000+R85*0.8000000000))</f>
        <v>0</v>
      </c>
      <c r="S86">
        <f>IF(OR(Q86="",R86=""),"",Q86-R86)</f>
        <v>0</v>
      </c>
      <c r="T86">
        <f>IF(COUNT($E$2:$E86)&lt;14,"",MAX($C$73:$C$86))</f>
        <v>0</v>
      </c>
      <c r="U86">
        <f>IF(COUNT($E$2:$E86)&lt;14,"",MIN($D$73:$D$86))</f>
        <v>0</v>
      </c>
      <c r="V86">
        <f>IF(OR(T86="",U86="",T86=U86),"",100*($E86-U86)/(T86-U86))</f>
        <v>0</v>
      </c>
      <c r="W86">
        <f>IF(COUNT($V$84:$V$86)&lt;3,"",AVERAGE($V$84:$V$86))</f>
        <v>0</v>
      </c>
      <c r="X86">
        <f>IF(COUNT($N$73:$N$86)&lt;14,"",MIN($N$73:$N$86))</f>
        <v>0</v>
      </c>
      <c r="Y86">
        <f>IF(COUNT($N$73:$N$86)&lt;14,"",MAX($N$73:$N$86))</f>
        <v>0</v>
      </c>
      <c r="Z86">
        <f>IF(OR(N86="",X86="",Y86="",Y86=X86),"",100*(N86-X86)/(Y86-X86))</f>
        <v>0</v>
      </c>
      <c r="AA86">
        <f>IF(COUNT($Z$84:$Z$86)&lt;3,"",AVERAGE($Z$84:$Z$86))</f>
        <v>0</v>
      </c>
      <c r="AB86">
        <f>IF(COUNT($AA$84:$AA$86)&lt;3,"",AVERAGE($AA$84:$AA$86))</f>
        <v>0</v>
      </c>
      <c r="AC86">
        <f>IF($E86="","",MAX($C86-$D86,ABS($C86-$E85),ABS($D86-$E85)))</f>
        <v>0</v>
      </c>
      <c r="AD86">
        <f>IF(COUNT($E$2:$E86)&lt;15,"",AVERAGE($AC$73:$AC$86))</f>
        <v>0</v>
      </c>
      <c r="AE86">
        <f>IF(OR($E86="",$E85=""),"",IF(AND(($C86-$C85)&gt;($D85-$D86),($C86-$C85)&gt;0),$C86-$C85,0))</f>
        <v>0</v>
      </c>
      <c r="AF86">
        <f>IF(OR($E86="",$E85=""),"",IF(AND(($D85-$D86)&gt;($C86-$C85),($D85-$D86)&gt;0),$D85-$D86,0))</f>
        <v>0</v>
      </c>
      <c r="AG86">
        <f>IF(COUNT($E$2:$E86)&lt;15,"",IF(SUM($AC$73:$AC$86)=0,0,100*SUM($AE$73:$AE$86)/SUM($AC$73:$AC$86)))</f>
        <v>0</v>
      </c>
      <c r="AH86">
        <f>IF(COUNT($E$2:$E86)&lt;15,"",IF(SUM($AC$73:$AC$86)=0,0,100*SUM($AF$73:$AF$86)/SUM($AC$73:$AC$86)))</f>
        <v>0</v>
      </c>
      <c r="AI86">
        <f>IF(OR(AG86="",AH86=""),"",IF((AG86+AH86)=0,0,100*ABS(AG86-AH86)/(AG86+AH86)))</f>
        <v>0</v>
      </c>
      <c r="AJ86">
        <f>IF(COUNT($AI$73:$AI$86)&lt;14,"",AVERAGE($AI$73:$AI$86))</f>
        <v>0</v>
      </c>
      <c r="AK86">
        <f>IF(COUNT($E$2:$E86)&lt;20,"",AVERAGE($E$67:$E$86))</f>
        <v>0</v>
      </c>
      <c r="AL86">
        <f>IF(COUNT($E$2:$E86)&lt;20,"",STDEVP($E$67:$E$86))</f>
        <v>0</v>
      </c>
      <c r="AM86">
        <f>IF(AK86="","",AK86+2*AL86)</f>
        <v>0</v>
      </c>
      <c r="AN86">
        <f>IF(AK86="","",AK86-2*AL86)</f>
        <v>0</v>
      </c>
      <c r="AO86">
        <f>IF(OR(AM86="",AN86="",AM86=AN86),"",($E86-AN86)/(AM86-AN86))</f>
        <v>0</v>
      </c>
      <c r="AP86">
        <f>IF(OR(AM86="",AK86="",AK86=0),"",(AM86-AN86)/AK86)</f>
        <v>0</v>
      </c>
      <c r="AQ86">
        <f>IF(COUNT($E$2:$E86)&lt;20,"",MAX($C$67:$C$86))</f>
        <v>0</v>
      </c>
      <c r="AR86">
        <f>IF(COUNT($E$2:$E86)&lt;20,"",MIN($D$67:$D$86))</f>
        <v>0</v>
      </c>
      <c r="AS86">
        <f>IF(OR(AQ86="",AR86=""),"",(AQ86+AR86)/2)</f>
        <v>0</v>
      </c>
      <c r="AT86">
        <f>IF(COUNT($G$67:$G$86)&lt;20,"",STDEV($G$67:$G$86)*SQRT(252))</f>
        <v>0</v>
      </c>
      <c r="AU86">
        <f>IF(COUNT($E$2:$E86)&lt;9,"",(MAX($C$78:$C$86)+MIN($D$78:$D$86))/2)</f>
        <v>0</v>
      </c>
      <c r="AV86">
        <f>IF(COUNT($E$2:$E86)&lt;26,"",(MAX($C$61:$C$86)+MIN($D$61:$D$86))/2)</f>
        <v>0</v>
      </c>
      <c r="AW86">
        <f>IF(OR(AU86="",AV86=""),"",(AU86+AV86)/2)</f>
        <v>0</v>
      </c>
      <c r="AX86">
        <f>IF(COUNT($E$2:$E86)&lt;52,"",(MAX($C$35:$C$86)+MIN($D$35:$D$86))/2)</f>
        <v>0</v>
      </c>
      <c r="AY86">
        <f>IF(COUNT($E$2:$E86)&lt;20,"",MAX($C$2:$C$86))</f>
        <v>0</v>
      </c>
      <c r="AZ86">
        <f>IF(COUNT($E$2:$E86)&lt;20,"",MIN($D$2:$D$86))</f>
        <v>0</v>
      </c>
      <c r="BA86">
        <f>IF(COUNT($E$2:$E86)&lt;20,"",SLOPE($E$2:$E$86,$F$2:$F$86))</f>
        <v>0</v>
      </c>
      <c r="BB86">
        <f>IF(COUNT($E$2:$E86)&lt;20,"",INTERCEPT($E$2:$E$86,$F$2:$F$86))</f>
        <v>0</v>
      </c>
      <c r="BC86">
        <f>IF(OR(BA86="",BB86=""),"",BB86+BA86*F86)</f>
        <v>0</v>
      </c>
      <c r="BD86">
        <f>IF(COUNT($E$2:$E86)&lt;20,"",STEYX($E$2:$E$86,$F$2:$F$86))</f>
        <v>0</v>
      </c>
      <c r="BE86">
        <f>IF($E86="","",IF(AND(COUNT($E$87:$E$90)&gt;=4,$C86=MAX($C$82:$C$90)),$C86,""))</f>
        <v>0</v>
      </c>
      <c r="BF86">
        <f>IF($E86="","",IF(AND(COUNT($E$87:$E$90)&gt;=4,$D86=MIN($D$82:$D$90)),$D86,""))</f>
        <v>0</v>
      </c>
      <c r="BG86">
        <f>IF($A86="","",$A86-WEEKDAY($A86,2)+1)</f>
        <v>0</v>
      </c>
      <c r="BH86">
        <f>IF($A86="","",IF($A85="",1,IF(BG86&lt;&gt;BG85,1,0)))</f>
        <v>0</v>
      </c>
      <c r="BI86">
        <f>IF($A86="","",IF($A87="",1,IF(BG87&lt;&gt;BG86,1,0)))</f>
        <v>0</v>
      </c>
      <c r="BJ86">
        <f>IF($A86="","",IF(BH86=1,$B86,BJ85))</f>
        <v>0</v>
      </c>
      <c r="BK86">
        <f>IF($A86="","",IF(BH86=1,$C86,MAX($C86,BK85)))</f>
        <v>0</v>
      </c>
      <c r="BL86">
        <f>IF($A86="","",IF(BH86=1,$D86,MIN($D86,BL85)))</f>
        <v>0</v>
      </c>
      <c r="BM86">
        <f>IF($A86="","",IF(BI86=1,F86,""))</f>
        <v>0</v>
      </c>
      <c r="BN86">
        <f>IF($A86="","",DATE(YEAR($A86),MONTH($A86),1))</f>
        <v>0</v>
      </c>
      <c r="BO86">
        <f>IF($A86="","",IF($A85="",1,IF(BN86&lt;&gt;BN85,1,0)))</f>
        <v>0</v>
      </c>
      <c r="BP86">
        <f>IF($A86="","",IF($A87="",1,IF(BN87&lt;&gt;BN86,1,0)))</f>
        <v>0</v>
      </c>
      <c r="BQ86">
        <f>IF($A86="","",IF(BO86=1,$B86,BQ85))</f>
        <v>0</v>
      </c>
      <c r="BR86">
        <f>IF($A86="","",IF(BO86=1,$C86,MAX($C86,BR85)))</f>
        <v>0</v>
      </c>
      <c r="BS86">
        <f>IF($A86="","",IF(BO86=1,$D86,MIN($D86,BS85)))</f>
        <v>0</v>
      </c>
      <c r="BT86">
        <f>IF($A86="","",IF(BP86=1,F86,""))</f>
        <v>0</v>
      </c>
    </row>
    <row r="87" spans="1:72">
      <c r="A87" s="27">
        <f>IF(Data!$A87="","",Data!$A87)</f>
        <v>0</v>
      </c>
      <c r="B87">
        <f>IF(Data!$B87="","",Data!$B87)</f>
        <v>0</v>
      </c>
      <c r="C87">
        <f>IF(Data!$C87="","",Data!$C87)</f>
        <v>0</v>
      </c>
      <c r="D87">
        <f>IF(Data!$D87="","",Data!$D87)</f>
        <v>0</v>
      </c>
      <c r="E87">
        <f>IF(Data!$E87="","",Data!$E87)</f>
        <v>0</v>
      </c>
      <c r="F87">
        <f>IF($E87="","",N(F86)+1)</f>
        <v>0</v>
      </c>
      <c r="G87">
        <f>IF(OR($E87="",$E86=""),"",LN($E87/$E86))</f>
        <v>0</v>
      </c>
      <c r="H87">
        <f>IF($E87="","",IF($E86="",$E87,$E87*0.0952380952+H86*0.9047619048))</f>
        <v>0</v>
      </c>
      <c r="I87">
        <f>IF($E87="","",IF($E86="",$E87,$E87*0.0392156863+I86*0.9607843137))</f>
        <v>0</v>
      </c>
      <c r="J87">
        <f>IF($E87="","",IF($E86="",$E87,$E87*0.0198019802+J86*0.9801980198))</f>
        <v>0</v>
      </c>
      <c r="K87">
        <f>IF($E87="","",IF($E86="",$E87,$E87*0.0099502488+K86*0.9900497512))</f>
        <v>0</v>
      </c>
      <c r="L87">
        <f>IF(OR($E87="",$E86=""),"",MAX($E87-$E86,0))</f>
        <v>0</v>
      </c>
      <c r="M87">
        <f>IF(OR($E87="",$E86=""),"",MAX($E86-$E87,0))</f>
        <v>0</v>
      </c>
      <c r="N87">
        <f>IF(COUNT($E$2:$E87)&lt;15,"",IF(AVERAGE($M$74:$M$87)=0,100,100-100/(1+AVERAGE($L$74:$L$87)/AVERAGE($M$74:$M$87))))</f>
        <v>0</v>
      </c>
      <c r="O87">
        <f>IF($E87="","",IF($E86="",$E87,$E87*0.1538461538+O86*0.8461538462))</f>
        <v>0</v>
      </c>
      <c r="P87">
        <f>IF($E87="","",IF($E86="",$E87,$E87*0.0740740741+P86*0.9259259259))</f>
        <v>0</v>
      </c>
      <c r="Q87">
        <f>IF(OR(O87="",P87=""),"",O87-P87)</f>
        <v>0</v>
      </c>
      <c r="R87">
        <f>IF(Q87="","",IF(R86="",Q87,Q87*0.2000000000+R86*0.8000000000))</f>
        <v>0</v>
      </c>
      <c r="S87">
        <f>IF(OR(Q87="",R87=""),"",Q87-R87)</f>
        <v>0</v>
      </c>
      <c r="T87">
        <f>IF(COUNT($E$2:$E87)&lt;14,"",MAX($C$74:$C$87))</f>
        <v>0</v>
      </c>
      <c r="U87">
        <f>IF(COUNT($E$2:$E87)&lt;14,"",MIN($D$74:$D$87))</f>
        <v>0</v>
      </c>
      <c r="V87">
        <f>IF(OR(T87="",U87="",T87=U87),"",100*($E87-U87)/(T87-U87))</f>
        <v>0</v>
      </c>
      <c r="W87">
        <f>IF(COUNT($V$85:$V$87)&lt;3,"",AVERAGE($V$85:$V$87))</f>
        <v>0</v>
      </c>
      <c r="X87">
        <f>IF(COUNT($N$74:$N$87)&lt;14,"",MIN($N$74:$N$87))</f>
        <v>0</v>
      </c>
      <c r="Y87">
        <f>IF(COUNT($N$74:$N$87)&lt;14,"",MAX($N$74:$N$87))</f>
        <v>0</v>
      </c>
      <c r="Z87">
        <f>IF(OR(N87="",X87="",Y87="",Y87=X87),"",100*(N87-X87)/(Y87-X87))</f>
        <v>0</v>
      </c>
      <c r="AA87">
        <f>IF(COUNT($Z$85:$Z$87)&lt;3,"",AVERAGE($Z$85:$Z$87))</f>
        <v>0</v>
      </c>
      <c r="AB87">
        <f>IF(COUNT($AA$85:$AA$87)&lt;3,"",AVERAGE($AA$85:$AA$87))</f>
        <v>0</v>
      </c>
      <c r="AC87">
        <f>IF($E87="","",MAX($C87-$D87,ABS($C87-$E86),ABS($D87-$E86)))</f>
        <v>0</v>
      </c>
      <c r="AD87">
        <f>IF(COUNT($E$2:$E87)&lt;15,"",AVERAGE($AC$74:$AC$87))</f>
        <v>0</v>
      </c>
      <c r="AE87">
        <f>IF(OR($E87="",$E86=""),"",IF(AND(($C87-$C86)&gt;($D86-$D87),($C87-$C86)&gt;0),$C87-$C86,0))</f>
        <v>0</v>
      </c>
      <c r="AF87">
        <f>IF(OR($E87="",$E86=""),"",IF(AND(($D86-$D87)&gt;($C87-$C86),($D86-$D87)&gt;0),$D86-$D87,0))</f>
        <v>0</v>
      </c>
      <c r="AG87">
        <f>IF(COUNT($E$2:$E87)&lt;15,"",IF(SUM($AC$74:$AC$87)=0,0,100*SUM($AE$74:$AE$87)/SUM($AC$74:$AC$87)))</f>
        <v>0</v>
      </c>
      <c r="AH87">
        <f>IF(COUNT($E$2:$E87)&lt;15,"",IF(SUM($AC$74:$AC$87)=0,0,100*SUM($AF$74:$AF$87)/SUM($AC$74:$AC$87)))</f>
        <v>0</v>
      </c>
      <c r="AI87">
        <f>IF(OR(AG87="",AH87=""),"",IF((AG87+AH87)=0,0,100*ABS(AG87-AH87)/(AG87+AH87)))</f>
        <v>0</v>
      </c>
      <c r="AJ87">
        <f>IF(COUNT($AI$74:$AI$87)&lt;14,"",AVERAGE($AI$74:$AI$87))</f>
        <v>0</v>
      </c>
      <c r="AK87">
        <f>IF(COUNT($E$2:$E87)&lt;20,"",AVERAGE($E$68:$E$87))</f>
        <v>0</v>
      </c>
      <c r="AL87">
        <f>IF(COUNT($E$2:$E87)&lt;20,"",STDEVP($E$68:$E$87))</f>
        <v>0</v>
      </c>
      <c r="AM87">
        <f>IF(AK87="","",AK87+2*AL87)</f>
        <v>0</v>
      </c>
      <c r="AN87">
        <f>IF(AK87="","",AK87-2*AL87)</f>
        <v>0</v>
      </c>
      <c r="AO87">
        <f>IF(OR(AM87="",AN87="",AM87=AN87),"",($E87-AN87)/(AM87-AN87))</f>
        <v>0</v>
      </c>
      <c r="AP87">
        <f>IF(OR(AM87="",AK87="",AK87=0),"",(AM87-AN87)/AK87)</f>
        <v>0</v>
      </c>
      <c r="AQ87">
        <f>IF(COUNT($E$2:$E87)&lt;20,"",MAX($C$68:$C$87))</f>
        <v>0</v>
      </c>
      <c r="AR87">
        <f>IF(COUNT($E$2:$E87)&lt;20,"",MIN($D$68:$D$87))</f>
        <v>0</v>
      </c>
      <c r="AS87">
        <f>IF(OR(AQ87="",AR87=""),"",(AQ87+AR87)/2)</f>
        <v>0</v>
      </c>
      <c r="AT87">
        <f>IF(COUNT($G$68:$G$87)&lt;20,"",STDEV($G$68:$G$87)*SQRT(252))</f>
        <v>0</v>
      </c>
      <c r="AU87">
        <f>IF(COUNT($E$2:$E87)&lt;9,"",(MAX($C$79:$C$87)+MIN($D$79:$D$87))/2)</f>
        <v>0</v>
      </c>
      <c r="AV87">
        <f>IF(COUNT($E$2:$E87)&lt;26,"",(MAX($C$62:$C$87)+MIN($D$62:$D$87))/2)</f>
        <v>0</v>
      </c>
      <c r="AW87">
        <f>IF(OR(AU87="",AV87=""),"",(AU87+AV87)/2)</f>
        <v>0</v>
      </c>
      <c r="AX87">
        <f>IF(COUNT($E$2:$E87)&lt;52,"",(MAX($C$36:$C$87)+MIN($D$36:$D$87))/2)</f>
        <v>0</v>
      </c>
      <c r="AY87">
        <f>IF(COUNT($E$2:$E87)&lt;20,"",MAX($C$2:$C$87))</f>
        <v>0</v>
      </c>
      <c r="AZ87">
        <f>IF(COUNT($E$2:$E87)&lt;20,"",MIN($D$2:$D$87))</f>
        <v>0</v>
      </c>
      <c r="BA87">
        <f>IF(COUNT($E$2:$E87)&lt;20,"",SLOPE($E$2:$E$87,$F$2:$F$87))</f>
        <v>0</v>
      </c>
      <c r="BB87">
        <f>IF(COUNT($E$2:$E87)&lt;20,"",INTERCEPT($E$2:$E$87,$F$2:$F$87))</f>
        <v>0</v>
      </c>
      <c r="BC87">
        <f>IF(OR(BA87="",BB87=""),"",BB87+BA87*F87)</f>
        <v>0</v>
      </c>
      <c r="BD87">
        <f>IF(COUNT($E$2:$E87)&lt;20,"",STEYX($E$2:$E$87,$F$2:$F$87))</f>
        <v>0</v>
      </c>
      <c r="BE87">
        <f>IF($E87="","",IF(AND(COUNT($E$88:$E$91)&gt;=4,$C87=MAX($C$83:$C$91)),$C87,""))</f>
        <v>0</v>
      </c>
      <c r="BF87">
        <f>IF($E87="","",IF(AND(COUNT($E$88:$E$91)&gt;=4,$D87=MIN($D$83:$D$91)),$D87,""))</f>
        <v>0</v>
      </c>
      <c r="BG87">
        <f>IF($A87="","",$A87-WEEKDAY($A87,2)+1)</f>
        <v>0</v>
      </c>
      <c r="BH87">
        <f>IF($A87="","",IF($A86="",1,IF(BG87&lt;&gt;BG86,1,0)))</f>
        <v>0</v>
      </c>
      <c r="BI87">
        <f>IF($A87="","",IF($A88="",1,IF(BG88&lt;&gt;BG87,1,0)))</f>
        <v>0</v>
      </c>
      <c r="BJ87">
        <f>IF($A87="","",IF(BH87=1,$B87,BJ86))</f>
        <v>0</v>
      </c>
      <c r="BK87">
        <f>IF($A87="","",IF(BH87=1,$C87,MAX($C87,BK86)))</f>
        <v>0</v>
      </c>
      <c r="BL87">
        <f>IF($A87="","",IF(BH87=1,$D87,MIN($D87,BL86)))</f>
        <v>0</v>
      </c>
      <c r="BM87">
        <f>IF($A87="","",IF(BI87=1,F87,""))</f>
        <v>0</v>
      </c>
      <c r="BN87">
        <f>IF($A87="","",DATE(YEAR($A87),MONTH($A87),1))</f>
        <v>0</v>
      </c>
      <c r="BO87">
        <f>IF($A87="","",IF($A86="",1,IF(BN87&lt;&gt;BN86,1,0)))</f>
        <v>0</v>
      </c>
      <c r="BP87">
        <f>IF($A87="","",IF($A88="",1,IF(BN88&lt;&gt;BN87,1,0)))</f>
        <v>0</v>
      </c>
      <c r="BQ87">
        <f>IF($A87="","",IF(BO87=1,$B87,BQ86))</f>
        <v>0</v>
      </c>
      <c r="BR87">
        <f>IF($A87="","",IF(BO87=1,$C87,MAX($C87,BR86)))</f>
        <v>0</v>
      </c>
      <c r="BS87">
        <f>IF($A87="","",IF(BO87=1,$D87,MIN($D87,BS86)))</f>
        <v>0</v>
      </c>
      <c r="BT87">
        <f>IF($A87="","",IF(BP87=1,F87,""))</f>
        <v>0</v>
      </c>
    </row>
    <row r="88" spans="1:72">
      <c r="A88" s="27">
        <f>IF(Data!$A88="","",Data!$A88)</f>
        <v>0</v>
      </c>
      <c r="B88">
        <f>IF(Data!$B88="","",Data!$B88)</f>
        <v>0</v>
      </c>
      <c r="C88">
        <f>IF(Data!$C88="","",Data!$C88)</f>
        <v>0</v>
      </c>
      <c r="D88">
        <f>IF(Data!$D88="","",Data!$D88)</f>
        <v>0</v>
      </c>
      <c r="E88">
        <f>IF(Data!$E88="","",Data!$E88)</f>
        <v>0</v>
      </c>
      <c r="F88">
        <f>IF($E88="","",N(F87)+1)</f>
        <v>0</v>
      </c>
      <c r="G88">
        <f>IF(OR($E88="",$E87=""),"",LN($E88/$E87))</f>
        <v>0</v>
      </c>
      <c r="H88">
        <f>IF($E88="","",IF($E87="",$E88,$E88*0.0952380952+H87*0.9047619048))</f>
        <v>0</v>
      </c>
      <c r="I88">
        <f>IF($E88="","",IF($E87="",$E88,$E88*0.0392156863+I87*0.9607843137))</f>
        <v>0</v>
      </c>
      <c r="J88">
        <f>IF($E88="","",IF($E87="",$E88,$E88*0.0198019802+J87*0.9801980198))</f>
        <v>0</v>
      </c>
      <c r="K88">
        <f>IF($E88="","",IF($E87="",$E88,$E88*0.0099502488+K87*0.9900497512))</f>
        <v>0</v>
      </c>
      <c r="L88">
        <f>IF(OR($E88="",$E87=""),"",MAX($E88-$E87,0))</f>
        <v>0</v>
      </c>
      <c r="M88">
        <f>IF(OR($E88="",$E87=""),"",MAX($E87-$E88,0))</f>
        <v>0</v>
      </c>
      <c r="N88">
        <f>IF(COUNT($E$2:$E88)&lt;15,"",IF(AVERAGE($M$75:$M$88)=0,100,100-100/(1+AVERAGE($L$75:$L$88)/AVERAGE($M$75:$M$88))))</f>
        <v>0</v>
      </c>
      <c r="O88">
        <f>IF($E88="","",IF($E87="",$E88,$E88*0.1538461538+O87*0.8461538462))</f>
        <v>0</v>
      </c>
      <c r="P88">
        <f>IF($E88="","",IF($E87="",$E88,$E88*0.0740740741+P87*0.9259259259))</f>
        <v>0</v>
      </c>
      <c r="Q88">
        <f>IF(OR(O88="",P88=""),"",O88-P88)</f>
        <v>0</v>
      </c>
      <c r="R88">
        <f>IF(Q88="","",IF(R87="",Q88,Q88*0.2000000000+R87*0.8000000000))</f>
        <v>0</v>
      </c>
      <c r="S88">
        <f>IF(OR(Q88="",R88=""),"",Q88-R88)</f>
        <v>0</v>
      </c>
      <c r="T88">
        <f>IF(COUNT($E$2:$E88)&lt;14,"",MAX($C$75:$C$88))</f>
        <v>0</v>
      </c>
      <c r="U88">
        <f>IF(COUNT($E$2:$E88)&lt;14,"",MIN($D$75:$D$88))</f>
        <v>0</v>
      </c>
      <c r="V88">
        <f>IF(OR(T88="",U88="",T88=U88),"",100*($E88-U88)/(T88-U88))</f>
        <v>0</v>
      </c>
      <c r="W88">
        <f>IF(COUNT($V$86:$V$88)&lt;3,"",AVERAGE($V$86:$V$88))</f>
        <v>0</v>
      </c>
      <c r="X88">
        <f>IF(COUNT($N$75:$N$88)&lt;14,"",MIN($N$75:$N$88))</f>
        <v>0</v>
      </c>
      <c r="Y88">
        <f>IF(COUNT($N$75:$N$88)&lt;14,"",MAX($N$75:$N$88))</f>
        <v>0</v>
      </c>
      <c r="Z88">
        <f>IF(OR(N88="",X88="",Y88="",Y88=X88),"",100*(N88-X88)/(Y88-X88))</f>
        <v>0</v>
      </c>
      <c r="AA88">
        <f>IF(COUNT($Z$86:$Z$88)&lt;3,"",AVERAGE($Z$86:$Z$88))</f>
        <v>0</v>
      </c>
      <c r="AB88">
        <f>IF(COUNT($AA$86:$AA$88)&lt;3,"",AVERAGE($AA$86:$AA$88))</f>
        <v>0</v>
      </c>
      <c r="AC88">
        <f>IF($E88="","",MAX($C88-$D88,ABS($C88-$E87),ABS($D88-$E87)))</f>
        <v>0</v>
      </c>
      <c r="AD88">
        <f>IF(COUNT($E$2:$E88)&lt;15,"",AVERAGE($AC$75:$AC$88))</f>
        <v>0</v>
      </c>
      <c r="AE88">
        <f>IF(OR($E88="",$E87=""),"",IF(AND(($C88-$C87)&gt;($D87-$D88),($C88-$C87)&gt;0),$C88-$C87,0))</f>
        <v>0</v>
      </c>
      <c r="AF88">
        <f>IF(OR($E88="",$E87=""),"",IF(AND(($D87-$D88)&gt;($C88-$C87),($D87-$D88)&gt;0),$D87-$D88,0))</f>
        <v>0</v>
      </c>
      <c r="AG88">
        <f>IF(COUNT($E$2:$E88)&lt;15,"",IF(SUM($AC$75:$AC$88)=0,0,100*SUM($AE$75:$AE$88)/SUM($AC$75:$AC$88)))</f>
        <v>0</v>
      </c>
      <c r="AH88">
        <f>IF(COUNT($E$2:$E88)&lt;15,"",IF(SUM($AC$75:$AC$88)=0,0,100*SUM($AF$75:$AF$88)/SUM($AC$75:$AC$88)))</f>
        <v>0</v>
      </c>
      <c r="AI88">
        <f>IF(OR(AG88="",AH88=""),"",IF((AG88+AH88)=0,0,100*ABS(AG88-AH88)/(AG88+AH88)))</f>
        <v>0</v>
      </c>
      <c r="AJ88">
        <f>IF(COUNT($AI$75:$AI$88)&lt;14,"",AVERAGE($AI$75:$AI$88))</f>
        <v>0</v>
      </c>
      <c r="AK88">
        <f>IF(COUNT($E$2:$E88)&lt;20,"",AVERAGE($E$69:$E$88))</f>
        <v>0</v>
      </c>
      <c r="AL88">
        <f>IF(COUNT($E$2:$E88)&lt;20,"",STDEVP($E$69:$E$88))</f>
        <v>0</v>
      </c>
      <c r="AM88">
        <f>IF(AK88="","",AK88+2*AL88)</f>
        <v>0</v>
      </c>
      <c r="AN88">
        <f>IF(AK88="","",AK88-2*AL88)</f>
        <v>0</v>
      </c>
      <c r="AO88">
        <f>IF(OR(AM88="",AN88="",AM88=AN88),"",($E88-AN88)/(AM88-AN88))</f>
        <v>0</v>
      </c>
      <c r="AP88">
        <f>IF(OR(AM88="",AK88="",AK88=0),"",(AM88-AN88)/AK88)</f>
        <v>0</v>
      </c>
      <c r="AQ88">
        <f>IF(COUNT($E$2:$E88)&lt;20,"",MAX($C$69:$C$88))</f>
        <v>0</v>
      </c>
      <c r="AR88">
        <f>IF(COUNT($E$2:$E88)&lt;20,"",MIN($D$69:$D$88))</f>
        <v>0</v>
      </c>
      <c r="AS88">
        <f>IF(OR(AQ88="",AR88=""),"",(AQ88+AR88)/2)</f>
        <v>0</v>
      </c>
      <c r="AT88">
        <f>IF(COUNT($G$69:$G$88)&lt;20,"",STDEV($G$69:$G$88)*SQRT(252))</f>
        <v>0</v>
      </c>
      <c r="AU88">
        <f>IF(COUNT($E$2:$E88)&lt;9,"",(MAX($C$80:$C$88)+MIN($D$80:$D$88))/2)</f>
        <v>0</v>
      </c>
      <c r="AV88">
        <f>IF(COUNT($E$2:$E88)&lt;26,"",(MAX($C$63:$C$88)+MIN($D$63:$D$88))/2)</f>
        <v>0</v>
      </c>
      <c r="AW88">
        <f>IF(OR(AU88="",AV88=""),"",(AU88+AV88)/2)</f>
        <v>0</v>
      </c>
      <c r="AX88">
        <f>IF(COUNT($E$2:$E88)&lt;52,"",(MAX($C$37:$C$88)+MIN($D$37:$D$88))/2)</f>
        <v>0</v>
      </c>
      <c r="AY88">
        <f>IF(COUNT($E$2:$E88)&lt;20,"",MAX($C$2:$C$88))</f>
        <v>0</v>
      </c>
      <c r="AZ88">
        <f>IF(COUNT($E$2:$E88)&lt;20,"",MIN($D$2:$D$88))</f>
        <v>0</v>
      </c>
      <c r="BA88">
        <f>IF(COUNT($E$2:$E88)&lt;20,"",SLOPE($E$2:$E$88,$F$2:$F$88))</f>
        <v>0</v>
      </c>
      <c r="BB88">
        <f>IF(COUNT($E$2:$E88)&lt;20,"",INTERCEPT($E$2:$E$88,$F$2:$F$88))</f>
        <v>0</v>
      </c>
      <c r="BC88">
        <f>IF(OR(BA88="",BB88=""),"",BB88+BA88*F88)</f>
        <v>0</v>
      </c>
      <c r="BD88">
        <f>IF(COUNT($E$2:$E88)&lt;20,"",STEYX($E$2:$E$88,$F$2:$F$88))</f>
        <v>0</v>
      </c>
      <c r="BE88">
        <f>IF($E88="","",IF(AND(COUNT($E$89:$E$92)&gt;=4,$C88=MAX($C$84:$C$92)),$C88,""))</f>
        <v>0</v>
      </c>
      <c r="BF88">
        <f>IF($E88="","",IF(AND(COUNT($E$89:$E$92)&gt;=4,$D88=MIN($D$84:$D$92)),$D88,""))</f>
        <v>0</v>
      </c>
      <c r="BG88">
        <f>IF($A88="","",$A88-WEEKDAY($A88,2)+1)</f>
        <v>0</v>
      </c>
      <c r="BH88">
        <f>IF($A88="","",IF($A87="",1,IF(BG88&lt;&gt;BG87,1,0)))</f>
        <v>0</v>
      </c>
      <c r="BI88">
        <f>IF($A88="","",IF($A89="",1,IF(BG89&lt;&gt;BG88,1,0)))</f>
        <v>0</v>
      </c>
      <c r="BJ88">
        <f>IF($A88="","",IF(BH88=1,$B88,BJ87))</f>
        <v>0</v>
      </c>
      <c r="BK88">
        <f>IF($A88="","",IF(BH88=1,$C88,MAX($C88,BK87)))</f>
        <v>0</v>
      </c>
      <c r="BL88">
        <f>IF($A88="","",IF(BH88=1,$D88,MIN($D88,BL87)))</f>
        <v>0</v>
      </c>
      <c r="BM88">
        <f>IF($A88="","",IF(BI88=1,F88,""))</f>
        <v>0</v>
      </c>
      <c r="BN88">
        <f>IF($A88="","",DATE(YEAR($A88),MONTH($A88),1))</f>
        <v>0</v>
      </c>
      <c r="BO88">
        <f>IF($A88="","",IF($A87="",1,IF(BN88&lt;&gt;BN87,1,0)))</f>
        <v>0</v>
      </c>
      <c r="BP88">
        <f>IF($A88="","",IF($A89="",1,IF(BN89&lt;&gt;BN88,1,0)))</f>
        <v>0</v>
      </c>
      <c r="BQ88">
        <f>IF($A88="","",IF(BO88=1,$B88,BQ87))</f>
        <v>0</v>
      </c>
      <c r="BR88">
        <f>IF($A88="","",IF(BO88=1,$C88,MAX($C88,BR87)))</f>
        <v>0</v>
      </c>
      <c r="BS88">
        <f>IF($A88="","",IF(BO88=1,$D88,MIN($D88,BS87)))</f>
        <v>0</v>
      </c>
      <c r="BT88">
        <f>IF($A88="","",IF(BP88=1,F88,""))</f>
        <v>0</v>
      </c>
    </row>
    <row r="89" spans="1:72">
      <c r="A89" s="27">
        <f>IF(Data!$A89="","",Data!$A89)</f>
        <v>0</v>
      </c>
      <c r="B89">
        <f>IF(Data!$B89="","",Data!$B89)</f>
        <v>0</v>
      </c>
      <c r="C89">
        <f>IF(Data!$C89="","",Data!$C89)</f>
        <v>0</v>
      </c>
      <c r="D89">
        <f>IF(Data!$D89="","",Data!$D89)</f>
        <v>0</v>
      </c>
      <c r="E89">
        <f>IF(Data!$E89="","",Data!$E89)</f>
        <v>0</v>
      </c>
      <c r="F89">
        <f>IF($E89="","",N(F88)+1)</f>
        <v>0</v>
      </c>
      <c r="G89">
        <f>IF(OR($E89="",$E88=""),"",LN($E89/$E88))</f>
        <v>0</v>
      </c>
      <c r="H89">
        <f>IF($E89="","",IF($E88="",$E89,$E89*0.0952380952+H88*0.9047619048))</f>
        <v>0</v>
      </c>
      <c r="I89">
        <f>IF($E89="","",IF($E88="",$E89,$E89*0.0392156863+I88*0.9607843137))</f>
        <v>0</v>
      </c>
      <c r="J89">
        <f>IF($E89="","",IF($E88="",$E89,$E89*0.0198019802+J88*0.9801980198))</f>
        <v>0</v>
      </c>
      <c r="K89">
        <f>IF($E89="","",IF($E88="",$E89,$E89*0.0099502488+K88*0.9900497512))</f>
        <v>0</v>
      </c>
      <c r="L89">
        <f>IF(OR($E89="",$E88=""),"",MAX($E89-$E88,0))</f>
        <v>0</v>
      </c>
      <c r="M89">
        <f>IF(OR($E89="",$E88=""),"",MAX($E88-$E89,0))</f>
        <v>0</v>
      </c>
      <c r="N89">
        <f>IF(COUNT($E$2:$E89)&lt;15,"",IF(AVERAGE($M$76:$M$89)=0,100,100-100/(1+AVERAGE($L$76:$L$89)/AVERAGE($M$76:$M$89))))</f>
        <v>0</v>
      </c>
      <c r="O89">
        <f>IF($E89="","",IF($E88="",$E89,$E89*0.1538461538+O88*0.8461538462))</f>
        <v>0</v>
      </c>
      <c r="P89">
        <f>IF($E89="","",IF($E88="",$E89,$E89*0.0740740741+P88*0.9259259259))</f>
        <v>0</v>
      </c>
      <c r="Q89">
        <f>IF(OR(O89="",P89=""),"",O89-P89)</f>
        <v>0</v>
      </c>
      <c r="R89">
        <f>IF(Q89="","",IF(R88="",Q89,Q89*0.2000000000+R88*0.8000000000))</f>
        <v>0</v>
      </c>
      <c r="S89">
        <f>IF(OR(Q89="",R89=""),"",Q89-R89)</f>
        <v>0</v>
      </c>
      <c r="T89">
        <f>IF(COUNT($E$2:$E89)&lt;14,"",MAX($C$76:$C$89))</f>
        <v>0</v>
      </c>
      <c r="U89">
        <f>IF(COUNT($E$2:$E89)&lt;14,"",MIN($D$76:$D$89))</f>
        <v>0</v>
      </c>
      <c r="V89">
        <f>IF(OR(T89="",U89="",T89=U89),"",100*($E89-U89)/(T89-U89))</f>
        <v>0</v>
      </c>
      <c r="W89">
        <f>IF(COUNT($V$87:$V$89)&lt;3,"",AVERAGE($V$87:$V$89))</f>
        <v>0</v>
      </c>
      <c r="X89">
        <f>IF(COUNT($N$76:$N$89)&lt;14,"",MIN($N$76:$N$89))</f>
        <v>0</v>
      </c>
      <c r="Y89">
        <f>IF(COUNT($N$76:$N$89)&lt;14,"",MAX($N$76:$N$89))</f>
        <v>0</v>
      </c>
      <c r="Z89">
        <f>IF(OR(N89="",X89="",Y89="",Y89=X89),"",100*(N89-X89)/(Y89-X89))</f>
        <v>0</v>
      </c>
      <c r="AA89">
        <f>IF(COUNT($Z$87:$Z$89)&lt;3,"",AVERAGE($Z$87:$Z$89))</f>
        <v>0</v>
      </c>
      <c r="AB89">
        <f>IF(COUNT($AA$87:$AA$89)&lt;3,"",AVERAGE($AA$87:$AA$89))</f>
        <v>0</v>
      </c>
      <c r="AC89">
        <f>IF($E89="","",MAX($C89-$D89,ABS($C89-$E88),ABS($D89-$E88)))</f>
        <v>0</v>
      </c>
      <c r="AD89">
        <f>IF(COUNT($E$2:$E89)&lt;15,"",AVERAGE($AC$76:$AC$89))</f>
        <v>0</v>
      </c>
      <c r="AE89">
        <f>IF(OR($E89="",$E88=""),"",IF(AND(($C89-$C88)&gt;($D88-$D89),($C89-$C88)&gt;0),$C89-$C88,0))</f>
        <v>0</v>
      </c>
      <c r="AF89">
        <f>IF(OR($E89="",$E88=""),"",IF(AND(($D88-$D89)&gt;($C89-$C88),($D88-$D89)&gt;0),$D88-$D89,0))</f>
        <v>0</v>
      </c>
      <c r="AG89">
        <f>IF(COUNT($E$2:$E89)&lt;15,"",IF(SUM($AC$76:$AC$89)=0,0,100*SUM($AE$76:$AE$89)/SUM($AC$76:$AC$89)))</f>
        <v>0</v>
      </c>
      <c r="AH89">
        <f>IF(COUNT($E$2:$E89)&lt;15,"",IF(SUM($AC$76:$AC$89)=0,0,100*SUM($AF$76:$AF$89)/SUM($AC$76:$AC$89)))</f>
        <v>0</v>
      </c>
      <c r="AI89">
        <f>IF(OR(AG89="",AH89=""),"",IF((AG89+AH89)=0,0,100*ABS(AG89-AH89)/(AG89+AH89)))</f>
        <v>0</v>
      </c>
      <c r="AJ89">
        <f>IF(COUNT($AI$76:$AI$89)&lt;14,"",AVERAGE($AI$76:$AI$89))</f>
        <v>0</v>
      </c>
      <c r="AK89">
        <f>IF(COUNT($E$2:$E89)&lt;20,"",AVERAGE($E$70:$E$89))</f>
        <v>0</v>
      </c>
      <c r="AL89">
        <f>IF(COUNT($E$2:$E89)&lt;20,"",STDEVP($E$70:$E$89))</f>
        <v>0</v>
      </c>
      <c r="AM89">
        <f>IF(AK89="","",AK89+2*AL89)</f>
        <v>0</v>
      </c>
      <c r="AN89">
        <f>IF(AK89="","",AK89-2*AL89)</f>
        <v>0</v>
      </c>
      <c r="AO89">
        <f>IF(OR(AM89="",AN89="",AM89=AN89),"",($E89-AN89)/(AM89-AN89))</f>
        <v>0</v>
      </c>
      <c r="AP89">
        <f>IF(OR(AM89="",AK89="",AK89=0),"",(AM89-AN89)/AK89)</f>
        <v>0</v>
      </c>
      <c r="AQ89">
        <f>IF(COUNT($E$2:$E89)&lt;20,"",MAX($C$70:$C$89))</f>
        <v>0</v>
      </c>
      <c r="AR89">
        <f>IF(COUNT($E$2:$E89)&lt;20,"",MIN($D$70:$D$89))</f>
        <v>0</v>
      </c>
      <c r="AS89">
        <f>IF(OR(AQ89="",AR89=""),"",(AQ89+AR89)/2)</f>
        <v>0</v>
      </c>
      <c r="AT89">
        <f>IF(COUNT($G$70:$G$89)&lt;20,"",STDEV($G$70:$G$89)*SQRT(252))</f>
        <v>0</v>
      </c>
      <c r="AU89">
        <f>IF(COUNT($E$2:$E89)&lt;9,"",(MAX($C$81:$C$89)+MIN($D$81:$D$89))/2)</f>
        <v>0</v>
      </c>
      <c r="AV89">
        <f>IF(COUNT($E$2:$E89)&lt;26,"",(MAX($C$64:$C$89)+MIN($D$64:$D$89))/2)</f>
        <v>0</v>
      </c>
      <c r="AW89">
        <f>IF(OR(AU89="",AV89=""),"",(AU89+AV89)/2)</f>
        <v>0</v>
      </c>
      <c r="AX89">
        <f>IF(COUNT($E$2:$E89)&lt;52,"",(MAX($C$38:$C$89)+MIN($D$38:$D$89))/2)</f>
        <v>0</v>
      </c>
      <c r="AY89">
        <f>IF(COUNT($E$2:$E89)&lt;20,"",MAX($C$2:$C$89))</f>
        <v>0</v>
      </c>
      <c r="AZ89">
        <f>IF(COUNT($E$2:$E89)&lt;20,"",MIN($D$2:$D$89))</f>
        <v>0</v>
      </c>
      <c r="BA89">
        <f>IF(COUNT($E$2:$E89)&lt;20,"",SLOPE($E$2:$E$89,$F$2:$F$89))</f>
        <v>0</v>
      </c>
      <c r="BB89">
        <f>IF(COUNT($E$2:$E89)&lt;20,"",INTERCEPT($E$2:$E$89,$F$2:$F$89))</f>
        <v>0</v>
      </c>
      <c r="BC89">
        <f>IF(OR(BA89="",BB89=""),"",BB89+BA89*F89)</f>
        <v>0</v>
      </c>
      <c r="BD89">
        <f>IF(COUNT($E$2:$E89)&lt;20,"",STEYX($E$2:$E$89,$F$2:$F$89))</f>
        <v>0</v>
      </c>
      <c r="BE89">
        <f>IF($E89="","",IF(AND(COUNT($E$90:$E$93)&gt;=4,$C89=MAX($C$85:$C$93)),$C89,""))</f>
        <v>0</v>
      </c>
      <c r="BF89">
        <f>IF($E89="","",IF(AND(COUNT($E$90:$E$93)&gt;=4,$D89=MIN($D$85:$D$93)),$D89,""))</f>
        <v>0</v>
      </c>
      <c r="BG89">
        <f>IF($A89="","",$A89-WEEKDAY($A89,2)+1)</f>
        <v>0</v>
      </c>
      <c r="BH89">
        <f>IF($A89="","",IF($A88="",1,IF(BG89&lt;&gt;BG88,1,0)))</f>
        <v>0</v>
      </c>
      <c r="BI89">
        <f>IF($A89="","",IF($A90="",1,IF(BG90&lt;&gt;BG89,1,0)))</f>
        <v>0</v>
      </c>
      <c r="BJ89">
        <f>IF($A89="","",IF(BH89=1,$B89,BJ88))</f>
        <v>0</v>
      </c>
      <c r="BK89">
        <f>IF($A89="","",IF(BH89=1,$C89,MAX($C89,BK88)))</f>
        <v>0</v>
      </c>
      <c r="BL89">
        <f>IF($A89="","",IF(BH89=1,$D89,MIN($D89,BL88)))</f>
        <v>0</v>
      </c>
      <c r="BM89">
        <f>IF($A89="","",IF(BI89=1,F89,""))</f>
        <v>0</v>
      </c>
      <c r="BN89">
        <f>IF($A89="","",DATE(YEAR($A89),MONTH($A89),1))</f>
        <v>0</v>
      </c>
      <c r="BO89">
        <f>IF($A89="","",IF($A88="",1,IF(BN89&lt;&gt;BN88,1,0)))</f>
        <v>0</v>
      </c>
      <c r="BP89">
        <f>IF($A89="","",IF($A90="",1,IF(BN90&lt;&gt;BN89,1,0)))</f>
        <v>0</v>
      </c>
      <c r="BQ89">
        <f>IF($A89="","",IF(BO89=1,$B89,BQ88))</f>
        <v>0</v>
      </c>
      <c r="BR89">
        <f>IF($A89="","",IF(BO89=1,$C89,MAX($C89,BR88)))</f>
        <v>0</v>
      </c>
      <c r="BS89">
        <f>IF($A89="","",IF(BO89=1,$D89,MIN($D89,BS88)))</f>
        <v>0</v>
      </c>
      <c r="BT89">
        <f>IF($A89="","",IF(BP89=1,F89,""))</f>
        <v>0</v>
      </c>
    </row>
    <row r="90" spans="1:72">
      <c r="A90" s="27">
        <f>IF(Data!$A90="","",Data!$A90)</f>
        <v>0</v>
      </c>
      <c r="B90">
        <f>IF(Data!$B90="","",Data!$B90)</f>
        <v>0</v>
      </c>
      <c r="C90">
        <f>IF(Data!$C90="","",Data!$C90)</f>
        <v>0</v>
      </c>
      <c r="D90">
        <f>IF(Data!$D90="","",Data!$D90)</f>
        <v>0</v>
      </c>
      <c r="E90">
        <f>IF(Data!$E90="","",Data!$E90)</f>
        <v>0</v>
      </c>
      <c r="F90">
        <f>IF($E90="","",N(F89)+1)</f>
        <v>0</v>
      </c>
      <c r="G90">
        <f>IF(OR($E90="",$E89=""),"",LN($E90/$E89))</f>
        <v>0</v>
      </c>
      <c r="H90">
        <f>IF($E90="","",IF($E89="",$E90,$E90*0.0952380952+H89*0.9047619048))</f>
        <v>0</v>
      </c>
      <c r="I90">
        <f>IF($E90="","",IF($E89="",$E90,$E90*0.0392156863+I89*0.9607843137))</f>
        <v>0</v>
      </c>
      <c r="J90">
        <f>IF($E90="","",IF($E89="",$E90,$E90*0.0198019802+J89*0.9801980198))</f>
        <v>0</v>
      </c>
      <c r="K90">
        <f>IF($E90="","",IF($E89="",$E90,$E90*0.0099502488+K89*0.9900497512))</f>
        <v>0</v>
      </c>
      <c r="L90">
        <f>IF(OR($E90="",$E89=""),"",MAX($E90-$E89,0))</f>
        <v>0</v>
      </c>
      <c r="M90">
        <f>IF(OR($E90="",$E89=""),"",MAX($E89-$E90,0))</f>
        <v>0</v>
      </c>
      <c r="N90">
        <f>IF(COUNT($E$2:$E90)&lt;15,"",IF(AVERAGE($M$77:$M$90)=0,100,100-100/(1+AVERAGE($L$77:$L$90)/AVERAGE($M$77:$M$90))))</f>
        <v>0</v>
      </c>
      <c r="O90">
        <f>IF($E90="","",IF($E89="",$E90,$E90*0.1538461538+O89*0.8461538462))</f>
        <v>0</v>
      </c>
      <c r="P90">
        <f>IF($E90="","",IF($E89="",$E90,$E90*0.0740740741+P89*0.9259259259))</f>
        <v>0</v>
      </c>
      <c r="Q90">
        <f>IF(OR(O90="",P90=""),"",O90-P90)</f>
        <v>0</v>
      </c>
      <c r="R90">
        <f>IF(Q90="","",IF(R89="",Q90,Q90*0.2000000000+R89*0.8000000000))</f>
        <v>0</v>
      </c>
      <c r="S90">
        <f>IF(OR(Q90="",R90=""),"",Q90-R90)</f>
        <v>0</v>
      </c>
      <c r="T90">
        <f>IF(COUNT($E$2:$E90)&lt;14,"",MAX($C$77:$C$90))</f>
        <v>0</v>
      </c>
      <c r="U90">
        <f>IF(COUNT($E$2:$E90)&lt;14,"",MIN($D$77:$D$90))</f>
        <v>0</v>
      </c>
      <c r="V90">
        <f>IF(OR(T90="",U90="",T90=U90),"",100*($E90-U90)/(T90-U90))</f>
        <v>0</v>
      </c>
      <c r="W90">
        <f>IF(COUNT($V$88:$V$90)&lt;3,"",AVERAGE($V$88:$V$90))</f>
        <v>0</v>
      </c>
      <c r="X90">
        <f>IF(COUNT($N$77:$N$90)&lt;14,"",MIN($N$77:$N$90))</f>
        <v>0</v>
      </c>
      <c r="Y90">
        <f>IF(COUNT($N$77:$N$90)&lt;14,"",MAX($N$77:$N$90))</f>
        <v>0</v>
      </c>
      <c r="Z90">
        <f>IF(OR(N90="",X90="",Y90="",Y90=X90),"",100*(N90-X90)/(Y90-X90))</f>
        <v>0</v>
      </c>
      <c r="AA90">
        <f>IF(COUNT($Z$88:$Z$90)&lt;3,"",AVERAGE($Z$88:$Z$90))</f>
        <v>0</v>
      </c>
      <c r="AB90">
        <f>IF(COUNT($AA$88:$AA$90)&lt;3,"",AVERAGE($AA$88:$AA$90))</f>
        <v>0</v>
      </c>
      <c r="AC90">
        <f>IF($E90="","",MAX($C90-$D90,ABS($C90-$E89),ABS($D90-$E89)))</f>
        <v>0</v>
      </c>
      <c r="AD90">
        <f>IF(COUNT($E$2:$E90)&lt;15,"",AVERAGE($AC$77:$AC$90))</f>
        <v>0</v>
      </c>
      <c r="AE90">
        <f>IF(OR($E90="",$E89=""),"",IF(AND(($C90-$C89)&gt;($D89-$D90),($C90-$C89)&gt;0),$C90-$C89,0))</f>
        <v>0</v>
      </c>
      <c r="AF90">
        <f>IF(OR($E90="",$E89=""),"",IF(AND(($D89-$D90)&gt;($C90-$C89),($D89-$D90)&gt;0),$D89-$D90,0))</f>
        <v>0</v>
      </c>
      <c r="AG90">
        <f>IF(COUNT($E$2:$E90)&lt;15,"",IF(SUM($AC$77:$AC$90)=0,0,100*SUM($AE$77:$AE$90)/SUM($AC$77:$AC$90)))</f>
        <v>0</v>
      </c>
      <c r="AH90">
        <f>IF(COUNT($E$2:$E90)&lt;15,"",IF(SUM($AC$77:$AC$90)=0,0,100*SUM($AF$77:$AF$90)/SUM($AC$77:$AC$90)))</f>
        <v>0</v>
      </c>
      <c r="AI90">
        <f>IF(OR(AG90="",AH90=""),"",IF((AG90+AH90)=0,0,100*ABS(AG90-AH90)/(AG90+AH90)))</f>
        <v>0</v>
      </c>
      <c r="AJ90">
        <f>IF(COUNT($AI$77:$AI$90)&lt;14,"",AVERAGE($AI$77:$AI$90))</f>
        <v>0</v>
      </c>
      <c r="AK90">
        <f>IF(COUNT($E$2:$E90)&lt;20,"",AVERAGE($E$71:$E$90))</f>
        <v>0</v>
      </c>
      <c r="AL90">
        <f>IF(COUNT($E$2:$E90)&lt;20,"",STDEVP($E$71:$E$90))</f>
        <v>0</v>
      </c>
      <c r="AM90">
        <f>IF(AK90="","",AK90+2*AL90)</f>
        <v>0</v>
      </c>
      <c r="AN90">
        <f>IF(AK90="","",AK90-2*AL90)</f>
        <v>0</v>
      </c>
      <c r="AO90">
        <f>IF(OR(AM90="",AN90="",AM90=AN90),"",($E90-AN90)/(AM90-AN90))</f>
        <v>0</v>
      </c>
      <c r="AP90">
        <f>IF(OR(AM90="",AK90="",AK90=0),"",(AM90-AN90)/AK90)</f>
        <v>0</v>
      </c>
      <c r="AQ90">
        <f>IF(COUNT($E$2:$E90)&lt;20,"",MAX($C$71:$C$90))</f>
        <v>0</v>
      </c>
      <c r="AR90">
        <f>IF(COUNT($E$2:$E90)&lt;20,"",MIN($D$71:$D$90))</f>
        <v>0</v>
      </c>
      <c r="AS90">
        <f>IF(OR(AQ90="",AR90=""),"",(AQ90+AR90)/2)</f>
        <v>0</v>
      </c>
      <c r="AT90">
        <f>IF(COUNT($G$71:$G$90)&lt;20,"",STDEV($G$71:$G$90)*SQRT(252))</f>
        <v>0</v>
      </c>
      <c r="AU90">
        <f>IF(COUNT($E$2:$E90)&lt;9,"",(MAX($C$82:$C$90)+MIN($D$82:$D$90))/2)</f>
        <v>0</v>
      </c>
      <c r="AV90">
        <f>IF(COUNT($E$2:$E90)&lt;26,"",(MAX($C$65:$C$90)+MIN($D$65:$D$90))/2)</f>
        <v>0</v>
      </c>
      <c r="AW90">
        <f>IF(OR(AU90="",AV90=""),"",(AU90+AV90)/2)</f>
        <v>0</v>
      </c>
      <c r="AX90">
        <f>IF(COUNT($E$2:$E90)&lt;52,"",(MAX($C$39:$C$90)+MIN($D$39:$D$90))/2)</f>
        <v>0</v>
      </c>
      <c r="AY90">
        <f>IF(COUNT($E$2:$E90)&lt;20,"",MAX($C$2:$C$90))</f>
        <v>0</v>
      </c>
      <c r="AZ90">
        <f>IF(COUNT($E$2:$E90)&lt;20,"",MIN($D$2:$D$90))</f>
        <v>0</v>
      </c>
      <c r="BA90">
        <f>IF(COUNT($E$2:$E90)&lt;20,"",SLOPE($E$2:$E$90,$F$2:$F$90))</f>
        <v>0</v>
      </c>
      <c r="BB90">
        <f>IF(COUNT($E$2:$E90)&lt;20,"",INTERCEPT($E$2:$E$90,$F$2:$F$90))</f>
        <v>0</v>
      </c>
      <c r="BC90">
        <f>IF(OR(BA90="",BB90=""),"",BB90+BA90*F90)</f>
        <v>0</v>
      </c>
      <c r="BD90">
        <f>IF(COUNT($E$2:$E90)&lt;20,"",STEYX($E$2:$E$90,$F$2:$F$90))</f>
        <v>0</v>
      </c>
      <c r="BE90">
        <f>IF($E90="","",IF(AND(COUNT($E$91:$E$94)&gt;=4,$C90=MAX($C$86:$C$94)),$C90,""))</f>
        <v>0</v>
      </c>
      <c r="BF90">
        <f>IF($E90="","",IF(AND(COUNT($E$91:$E$94)&gt;=4,$D90=MIN($D$86:$D$94)),$D90,""))</f>
        <v>0</v>
      </c>
      <c r="BG90">
        <f>IF($A90="","",$A90-WEEKDAY($A90,2)+1)</f>
        <v>0</v>
      </c>
      <c r="BH90">
        <f>IF($A90="","",IF($A89="",1,IF(BG90&lt;&gt;BG89,1,0)))</f>
        <v>0</v>
      </c>
      <c r="BI90">
        <f>IF($A90="","",IF($A91="",1,IF(BG91&lt;&gt;BG90,1,0)))</f>
        <v>0</v>
      </c>
      <c r="BJ90">
        <f>IF($A90="","",IF(BH90=1,$B90,BJ89))</f>
        <v>0</v>
      </c>
      <c r="BK90">
        <f>IF($A90="","",IF(BH90=1,$C90,MAX($C90,BK89)))</f>
        <v>0</v>
      </c>
      <c r="BL90">
        <f>IF($A90="","",IF(BH90=1,$D90,MIN($D90,BL89)))</f>
        <v>0</v>
      </c>
      <c r="BM90">
        <f>IF($A90="","",IF(BI90=1,F90,""))</f>
        <v>0</v>
      </c>
      <c r="BN90">
        <f>IF($A90="","",DATE(YEAR($A90),MONTH($A90),1))</f>
        <v>0</v>
      </c>
      <c r="BO90">
        <f>IF($A90="","",IF($A89="",1,IF(BN90&lt;&gt;BN89,1,0)))</f>
        <v>0</v>
      </c>
      <c r="BP90">
        <f>IF($A90="","",IF($A91="",1,IF(BN91&lt;&gt;BN90,1,0)))</f>
        <v>0</v>
      </c>
      <c r="BQ90">
        <f>IF($A90="","",IF(BO90=1,$B90,BQ89))</f>
        <v>0</v>
      </c>
      <c r="BR90">
        <f>IF($A90="","",IF(BO90=1,$C90,MAX($C90,BR89)))</f>
        <v>0</v>
      </c>
      <c r="BS90">
        <f>IF($A90="","",IF(BO90=1,$D90,MIN($D90,BS89)))</f>
        <v>0</v>
      </c>
      <c r="BT90">
        <f>IF($A90="","",IF(BP90=1,F90,""))</f>
        <v>0</v>
      </c>
    </row>
    <row r="91" spans="1:72">
      <c r="A91" s="27">
        <f>IF(Data!$A91="","",Data!$A91)</f>
        <v>0</v>
      </c>
      <c r="B91">
        <f>IF(Data!$B91="","",Data!$B91)</f>
        <v>0</v>
      </c>
      <c r="C91">
        <f>IF(Data!$C91="","",Data!$C91)</f>
        <v>0</v>
      </c>
      <c r="D91">
        <f>IF(Data!$D91="","",Data!$D91)</f>
        <v>0</v>
      </c>
      <c r="E91">
        <f>IF(Data!$E91="","",Data!$E91)</f>
        <v>0</v>
      </c>
      <c r="F91">
        <f>IF($E91="","",N(F90)+1)</f>
        <v>0</v>
      </c>
      <c r="G91">
        <f>IF(OR($E91="",$E90=""),"",LN($E91/$E90))</f>
        <v>0</v>
      </c>
      <c r="H91">
        <f>IF($E91="","",IF($E90="",$E91,$E91*0.0952380952+H90*0.9047619048))</f>
        <v>0</v>
      </c>
      <c r="I91">
        <f>IF($E91="","",IF($E90="",$E91,$E91*0.0392156863+I90*0.9607843137))</f>
        <v>0</v>
      </c>
      <c r="J91">
        <f>IF($E91="","",IF($E90="",$E91,$E91*0.0198019802+J90*0.9801980198))</f>
        <v>0</v>
      </c>
      <c r="K91">
        <f>IF($E91="","",IF($E90="",$E91,$E91*0.0099502488+K90*0.9900497512))</f>
        <v>0</v>
      </c>
      <c r="L91">
        <f>IF(OR($E91="",$E90=""),"",MAX($E91-$E90,0))</f>
        <v>0</v>
      </c>
      <c r="M91">
        <f>IF(OR($E91="",$E90=""),"",MAX($E90-$E91,0))</f>
        <v>0</v>
      </c>
      <c r="N91">
        <f>IF(COUNT($E$2:$E91)&lt;15,"",IF(AVERAGE($M$78:$M$91)=0,100,100-100/(1+AVERAGE($L$78:$L$91)/AVERAGE($M$78:$M$91))))</f>
        <v>0</v>
      </c>
      <c r="O91">
        <f>IF($E91="","",IF($E90="",$E91,$E91*0.1538461538+O90*0.8461538462))</f>
        <v>0</v>
      </c>
      <c r="P91">
        <f>IF($E91="","",IF($E90="",$E91,$E91*0.0740740741+P90*0.9259259259))</f>
        <v>0</v>
      </c>
      <c r="Q91">
        <f>IF(OR(O91="",P91=""),"",O91-P91)</f>
        <v>0</v>
      </c>
      <c r="R91">
        <f>IF(Q91="","",IF(R90="",Q91,Q91*0.2000000000+R90*0.8000000000))</f>
        <v>0</v>
      </c>
      <c r="S91">
        <f>IF(OR(Q91="",R91=""),"",Q91-R91)</f>
        <v>0</v>
      </c>
      <c r="T91">
        <f>IF(COUNT($E$2:$E91)&lt;14,"",MAX($C$78:$C$91))</f>
        <v>0</v>
      </c>
      <c r="U91">
        <f>IF(COUNT($E$2:$E91)&lt;14,"",MIN($D$78:$D$91))</f>
        <v>0</v>
      </c>
      <c r="V91">
        <f>IF(OR(T91="",U91="",T91=U91),"",100*($E91-U91)/(T91-U91))</f>
        <v>0</v>
      </c>
      <c r="W91">
        <f>IF(COUNT($V$89:$V$91)&lt;3,"",AVERAGE($V$89:$V$91))</f>
        <v>0</v>
      </c>
      <c r="X91">
        <f>IF(COUNT($N$78:$N$91)&lt;14,"",MIN($N$78:$N$91))</f>
        <v>0</v>
      </c>
      <c r="Y91">
        <f>IF(COUNT($N$78:$N$91)&lt;14,"",MAX($N$78:$N$91))</f>
        <v>0</v>
      </c>
      <c r="Z91">
        <f>IF(OR(N91="",X91="",Y91="",Y91=X91),"",100*(N91-X91)/(Y91-X91))</f>
        <v>0</v>
      </c>
      <c r="AA91">
        <f>IF(COUNT($Z$89:$Z$91)&lt;3,"",AVERAGE($Z$89:$Z$91))</f>
        <v>0</v>
      </c>
      <c r="AB91">
        <f>IF(COUNT($AA$89:$AA$91)&lt;3,"",AVERAGE($AA$89:$AA$91))</f>
        <v>0</v>
      </c>
      <c r="AC91">
        <f>IF($E91="","",MAX($C91-$D91,ABS($C91-$E90),ABS($D91-$E90)))</f>
        <v>0</v>
      </c>
      <c r="AD91">
        <f>IF(COUNT($E$2:$E91)&lt;15,"",AVERAGE($AC$78:$AC$91))</f>
        <v>0</v>
      </c>
      <c r="AE91">
        <f>IF(OR($E91="",$E90=""),"",IF(AND(($C91-$C90)&gt;($D90-$D91),($C91-$C90)&gt;0),$C91-$C90,0))</f>
        <v>0</v>
      </c>
      <c r="AF91">
        <f>IF(OR($E91="",$E90=""),"",IF(AND(($D90-$D91)&gt;($C91-$C90),($D90-$D91)&gt;0),$D90-$D91,0))</f>
        <v>0</v>
      </c>
      <c r="AG91">
        <f>IF(COUNT($E$2:$E91)&lt;15,"",IF(SUM($AC$78:$AC$91)=0,0,100*SUM($AE$78:$AE$91)/SUM($AC$78:$AC$91)))</f>
        <v>0</v>
      </c>
      <c r="AH91">
        <f>IF(COUNT($E$2:$E91)&lt;15,"",IF(SUM($AC$78:$AC$91)=0,0,100*SUM($AF$78:$AF$91)/SUM($AC$78:$AC$91)))</f>
        <v>0</v>
      </c>
      <c r="AI91">
        <f>IF(OR(AG91="",AH91=""),"",IF((AG91+AH91)=0,0,100*ABS(AG91-AH91)/(AG91+AH91)))</f>
        <v>0</v>
      </c>
      <c r="AJ91">
        <f>IF(COUNT($AI$78:$AI$91)&lt;14,"",AVERAGE($AI$78:$AI$91))</f>
        <v>0</v>
      </c>
      <c r="AK91">
        <f>IF(COUNT($E$2:$E91)&lt;20,"",AVERAGE($E$72:$E$91))</f>
        <v>0</v>
      </c>
      <c r="AL91">
        <f>IF(COUNT($E$2:$E91)&lt;20,"",STDEVP($E$72:$E$91))</f>
        <v>0</v>
      </c>
      <c r="AM91">
        <f>IF(AK91="","",AK91+2*AL91)</f>
        <v>0</v>
      </c>
      <c r="AN91">
        <f>IF(AK91="","",AK91-2*AL91)</f>
        <v>0</v>
      </c>
      <c r="AO91">
        <f>IF(OR(AM91="",AN91="",AM91=AN91),"",($E91-AN91)/(AM91-AN91))</f>
        <v>0</v>
      </c>
      <c r="AP91">
        <f>IF(OR(AM91="",AK91="",AK91=0),"",(AM91-AN91)/AK91)</f>
        <v>0</v>
      </c>
      <c r="AQ91">
        <f>IF(COUNT($E$2:$E91)&lt;20,"",MAX($C$72:$C$91))</f>
        <v>0</v>
      </c>
      <c r="AR91">
        <f>IF(COUNT($E$2:$E91)&lt;20,"",MIN($D$72:$D$91))</f>
        <v>0</v>
      </c>
      <c r="AS91">
        <f>IF(OR(AQ91="",AR91=""),"",(AQ91+AR91)/2)</f>
        <v>0</v>
      </c>
      <c r="AT91">
        <f>IF(COUNT($G$72:$G$91)&lt;20,"",STDEV($G$72:$G$91)*SQRT(252))</f>
        <v>0</v>
      </c>
      <c r="AU91">
        <f>IF(COUNT($E$2:$E91)&lt;9,"",(MAX($C$83:$C$91)+MIN($D$83:$D$91))/2)</f>
        <v>0</v>
      </c>
      <c r="AV91">
        <f>IF(COUNT($E$2:$E91)&lt;26,"",(MAX($C$66:$C$91)+MIN($D$66:$D$91))/2)</f>
        <v>0</v>
      </c>
      <c r="AW91">
        <f>IF(OR(AU91="",AV91=""),"",(AU91+AV91)/2)</f>
        <v>0</v>
      </c>
      <c r="AX91">
        <f>IF(COUNT($E$2:$E91)&lt;52,"",(MAX($C$40:$C$91)+MIN($D$40:$D$91))/2)</f>
        <v>0</v>
      </c>
      <c r="AY91">
        <f>IF(COUNT($E$2:$E91)&lt;20,"",MAX($C$2:$C$91))</f>
        <v>0</v>
      </c>
      <c r="AZ91">
        <f>IF(COUNT($E$2:$E91)&lt;20,"",MIN($D$2:$D$91))</f>
        <v>0</v>
      </c>
      <c r="BA91">
        <f>IF(COUNT($E$2:$E91)&lt;20,"",SLOPE($E$2:$E$91,$F$2:$F$91))</f>
        <v>0</v>
      </c>
      <c r="BB91">
        <f>IF(COUNT($E$2:$E91)&lt;20,"",INTERCEPT($E$2:$E$91,$F$2:$F$91))</f>
        <v>0</v>
      </c>
      <c r="BC91">
        <f>IF(OR(BA91="",BB91=""),"",BB91+BA91*F91)</f>
        <v>0</v>
      </c>
      <c r="BD91">
        <f>IF(COUNT($E$2:$E91)&lt;20,"",STEYX($E$2:$E$91,$F$2:$F$91))</f>
        <v>0</v>
      </c>
      <c r="BE91">
        <f>IF($E91="","",IF(AND(COUNT($E$92:$E$95)&gt;=4,$C91=MAX($C$87:$C$95)),$C91,""))</f>
        <v>0</v>
      </c>
      <c r="BF91">
        <f>IF($E91="","",IF(AND(COUNT($E$92:$E$95)&gt;=4,$D91=MIN($D$87:$D$95)),$D91,""))</f>
        <v>0</v>
      </c>
      <c r="BG91">
        <f>IF($A91="","",$A91-WEEKDAY($A91,2)+1)</f>
        <v>0</v>
      </c>
      <c r="BH91">
        <f>IF($A91="","",IF($A90="",1,IF(BG91&lt;&gt;BG90,1,0)))</f>
        <v>0</v>
      </c>
      <c r="BI91">
        <f>IF($A91="","",IF($A92="",1,IF(BG92&lt;&gt;BG91,1,0)))</f>
        <v>0</v>
      </c>
      <c r="BJ91">
        <f>IF($A91="","",IF(BH91=1,$B91,BJ90))</f>
        <v>0</v>
      </c>
      <c r="BK91">
        <f>IF($A91="","",IF(BH91=1,$C91,MAX($C91,BK90)))</f>
        <v>0</v>
      </c>
      <c r="BL91">
        <f>IF($A91="","",IF(BH91=1,$D91,MIN($D91,BL90)))</f>
        <v>0</v>
      </c>
      <c r="BM91">
        <f>IF($A91="","",IF(BI91=1,F91,""))</f>
        <v>0</v>
      </c>
      <c r="BN91">
        <f>IF($A91="","",DATE(YEAR($A91),MONTH($A91),1))</f>
        <v>0</v>
      </c>
      <c r="BO91">
        <f>IF($A91="","",IF($A90="",1,IF(BN91&lt;&gt;BN90,1,0)))</f>
        <v>0</v>
      </c>
      <c r="BP91">
        <f>IF($A91="","",IF($A92="",1,IF(BN92&lt;&gt;BN91,1,0)))</f>
        <v>0</v>
      </c>
      <c r="BQ91">
        <f>IF($A91="","",IF(BO91=1,$B91,BQ90))</f>
        <v>0</v>
      </c>
      <c r="BR91">
        <f>IF($A91="","",IF(BO91=1,$C91,MAX($C91,BR90)))</f>
        <v>0</v>
      </c>
      <c r="BS91">
        <f>IF($A91="","",IF(BO91=1,$D91,MIN($D91,BS90)))</f>
        <v>0</v>
      </c>
      <c r="BT91">
        <f>IF($A91="","",IF(BP91=1,F91,""))</f>
        <v>0</v>
      </c>
    </row>
    <row r="92" spans="1:72">
      <c r="A92" s="27">
        <f>IF(Data!$A92="","",Data!$A92)</f>
        <v>0</v>
      </c>
      <c r="B92">
        <f>IF(Data!$B92="","",Data!$B92)</f>
        <v>0</v>
      </c>
      <c r="C92">
        <f>IF(Data!$C92="","",Data!$C92)</f>
        <v>0</v>
      </c>
      <c r="D92">
        <f>IF(Data!$D92="","",Data!$D92)</f>
        <v>0</v>
      </c>
      <c r="E92">
        <f>IF(Data!$E92="","",Data!$E92)</f>
        <v>0</v>
      </c>
      <c r="F92">
        <f>IF($E92="","",N(F91)+1)</f>
        <v>0</v>
      </c>
      <c r="G92">
        <f>IF(OR($E92="",$E91=""),"",LN($E92/$E91))</f>
        <v>0</v>
      </c>
      <c r="H92">
        <f>IF($E92="","",IF($E91="",$E92,$E92*0.0952380952+H91*0.9047619048))</f>
        <v>0</v>
      </c>
      <c r="I92">
        <f>IF($E92="","",IF($E91="",$E92,$E92*0.0392156863+I91*0.9607843137))</f>
        <v>0</v>
      </c>
      <c r="J92">
        <f>IF($E92="","",IF($E91="",$E92,$E92*0.0198019802+J91*0.9801980198))</f>
        <v>0</v>
      </c>
      <c r="K92">
        <f>IF($E92="","",IF($E91="",$E92,$E92*0.0099502488+K91*0.9900497512))</f>
        <v>0</v>
      </c>
      <c r="L92">
        <f>IF(OR($E92="",$E91=""),"",MAX($E92-$E91,0))</f>
        <v>0</v>
      </c>
      <c r="M92">
        <f>IF(OR($E92="",$E91=""),"",MAX($E91-$E92,0))</f>
        <v>0</v>
      </c>
      <c r="N92">
        <f>IF(COUNT($E$2:$E92)&lt;15,"",IF(AVERAGE($M$79:$M$92)=0,100,100-100/(1+AVERAGE($L$79:$L$92)/AVERAGE($M$79:$M$92))))</f>
        <v>0</v>
      </c>
      <c r="O92">
        <f>IF($E92="","",IF($E91="",$E92,$E92*0.1538461538+O91*0.8461538462))</f>
        <v>0</v>
      </c>
      <c r="P92">
        <f>IF($E92="","",IF($E91="",$E92,$E92*0.0740740741+P91*0.9259259259))</f>
        <v>0</v>
      </c>
      <c r="Q92">
        <f>IF(OR(O92="",P92=""),"",O92-P92)</f>
        <v>0</v>
      </c>
      <c r="R92">
        <f>IF(Q92="","",IF(R91="",Q92,Q92*0.2000000000+R91*0.8000000000))</f>
        <v>0</v>
      </c>
      <c r="S92">
        <f>IF(OR(Q92="",R92=""),"",Q92-R92)</f>
        <v>0</v>
      </c>
      <c r="T92">
        <f>IF(COUNT($E$2:$E92)&lt;14,"",MAX($C$79:$C$92))</f>
        <v>0</v>
      </c>
      <c r="U92">
        <f>IF(COUNT($E$2:$E92)&lt;14,"",MIN($D$79:$D$92))</f>
        <v>0</v>
      </c>
      <c r="V92">
        <f>IF(OR(T92="",U92="",T92=U92),"",100*($E92-U92)/(T92-U92))</f>
        <v>0</v>
      </c>
      <c r="W92">
        <f>IF(COUNT($V$90:$V$92)&lt;3,"",AVERAGE($V$90:$V$92))</f>
        <v>0</v>
      </c>
      <c r="X92">
        <f>IF(COUNT($N$79:$N$92)&lt;14,"",MIN($N$79:$N$92))</f>
        <v>0</v>
      </c>
      <c r="Y92">
        <f>IF(COUNT($N$79:$N$92)&lt;14,"",MAX($N$79:$N$92))</f>
        <v>0</v>
      </c>
      <c r="Z92">
        <f>IF(OR(N92="",X92="",Y92="",Y92=X92),"",100*(N92-X92)/(Y92-X92))</f>
        <v>0</v>
      </c>
      <c r="AA92">
        <f>IF(COUNT($Z$90:$Z$92)&lt;3,"",AVERAGE($Z$90:$Z$92))</f>
        <v>0</v>
      </c>
      <c r="AB92">
        <f>IF(COUNT($AA$90:$AA$92)&lt;3,"",AVERAGE($AA$90:$AA$92))</f>
        <v>0</v>
      </c>
      <c r="AC92">
        <f>IF($E92="","",MAX($C92-$D92,ABS($C92-$E91),ABS($D92-$E91)))</f>
        <v>0</v>
      </c>
      <c r="AD92">
        <f>IF(COUNT($E$2:$E92)&lt;15,"",AVERAGE($AC$79:$AC$92))</f>
        <v>0</v>
      </c>
      <c r="AE92">
        <f>IF(OR($E92="",$E91=""),"",IF(AND(($C92-$C91)&gt;($D91-$D92),($C92-$C91)&gt;0),$C92-$C91,0))</f>
        <v>0</v>
      </c>
      <c r="AF92">
        <f>IF(OR($E92="",$E91=""),"",IF(AND(($D91-$D92)&gt;($C92-$C91),($D91-$D92)&gt;0),$D91-$D92,0))</f>
        <v>0</v>
      </c>
      <c r="AG92">
        <f>IF(COUNT($E$2:$E92)&lt;15,"",IF(SUM($AC$79:$AC$92)=0,0,100*SUM($AE$79:$AE$92)/SUM($AC$79:$AC$92)))</f>
        <v>0</v>
      </c>
      <c r="AH92">
        <f>IF(COUNT($E$2:$E92)&lt;15,"",IF(SUM($AC$79:$AC$92)=0,0,100*SUM($AF$79:$AF$92)/SUM($AC$79:$AC$92)))</f>
        <v>0</v>
      </c>
      <c r="AI92">
        <f>IF(OR(AG92="",AH92=""),"",IF((AG92+AH92)=0,0,100*ABS(AG92-AH92)/(AG92+AH92)))</f>
        <v>0</v>
      </c>
      <c r="AJ92">
        <f>IF(COUNT($AI$79:$AI$92)&lt;14,"",AVERAGE($AI$79:$AI$92))</f>
        <v>0</v>
      </c>
      <c r="AK92">
        <f>IF(COUNT($E$2:$E92)&lt;20,"",AVERAGE($E$73:$E$92))</f>
        <v>0</v>
      </c>
      <c r="AL92">
        <f>IF(COUNT($E$2:$E92)&lt;20,"",STDEVP($E$73:$E$92))</f>
        <v>0</v>
      </c>
      <c r="AM92">
        <f>IF(AK92="","",AK92+2*AL92)</f>
        <v>0</v>
      </c>
      <c r="AN92">
        <f>IF(AK92="","",AK92-2*AL92)</f>
        <v>0</v>
      </c>
      <c r="AO92">
        <f>IF(OR(AM92="",AN92="",AM92=AN92),"",($E92-AN92)/(AM92-AN92))</f>
        <v>0</v>
      </c>
      <c r="AP92">
        <f>IF(OR(AM92="",AK92="",AK92=0),"",(AM92-AN92)/AK92)</f>
        <v>0</v>
      </c>
      <c r="AQ92">
        <f>IF(COUNT($E$2:$E92)&lt;20,"",MAX($C$73:$C$92))</f>
        <v>0</v>
      </c>
      <c r="AR92">
        <f>IF(COUNT($E$2:$E92)&lt;20,"",MIN($D$73:$D$92))</f>
        <v>0</v>
      </c>
      <c r="AS92">
        <f>IF(OR(AQ92="",AR92=""),"",(AQ92+AR92)/2)</f>
        <v>0</v>
      </c>
      <c r="AT92">
        <f>IF(COUNT($G$73:$G$92)&lt;20,"",STDEV($G$73:$G$92)*SQRT(252))</f>
        <v>0</v>
      </c>
      <c r="AU92">
        <f>IF(COUNT($E$2:$E92)&lt;9,"",(MAX($C$84:$C$92)+MIN($D$84:$D$92))/2)</f>
        <v>0</v>
      </c>
      <c r="AV92">
        <f>IF(COUNT($E$2:$E92)&lt;26,"",(MAX($C$67:$C$92)+MIN($D$67:$D$92))/2)</f>
        <v>0</v>
      </c>
      <c r="AW92">
        <f>IF(OR(AU92="",AV92=""),"",(AU92+AV92)/2)</f>
        <v>0</v>
      </c>
      <c r="AX92">
        <f>IF(COUNT($E$2:$E92)&lt;52,"",(MAX($C$41:$C$92)+MIN($D$41:$D$92))/2)</f>
        <v>0</v>
      </c>
      <c r="AY92">
        <f>IF(COUNT($E$2:$E92)&lt;20,"",MAX($C$2:$C$92))</f>
        <v>0</v>
      </c>
      <c r="AZ92">
        <f>IF(COUNT($E$2:$E92)&lt;20,"",MIN($D$2:$D$92))</f>
        <v>0</v>
      </c>
      <c r="BA92">
        <f>IF(COUNT($E$2:$E92)&lt;20,"",SLOPE($E$2:$E$92,$F$2:$F$92))</f>
        <v>0</v>
      </c>
      <c r="BB92">
        <f>IF(COUNT($E$2:$E92)&lt;20,"",INTERCEPT($E$2:$E$92,$F$2:$F$92))</f>
        <v>0</v>
      </c>
      <c r="BC92">
        <f>IF(OR(BA92="",BB92=""),"",BB92+BA92*F92)</f>
        <v>0</v>
      </c>
      <c r="BD92">
        <f>IF(COUNT($E$2:$E92)&lt;20,"",STEYX($E$2:$E$92,$F$2:$F$92))</f>
        <v>0</v>
      </c>
      <c r="BE92">
        <f>IF($E92="","",IF(AND(COUNT($E$93:$E$96)&gt;=4,$C92=MAX($C$88:$C$96)),$C92,""))</f>
        <v>0</v>
      </c>
      <c r="BF92">
        <f>IF($E92="","",IF(AND(COUNT($E$93:$E$96)&gt;=4,$D92=MIN($D$88:$D$96)),$D92,""))</f>
        <v>0</v>
      </c>
      <c r="BG92">
        <f>IF($A92="","",$A92-WEEKDAY($A92,2)+1)</f>
        <v>0</v>
      </c>
      <c r="BH92">
        <f>IF($A92="","",IF($A91="",1,IF(BG92&lt;&gt;BG91,1,0)))</f>
        <v>0</v>
      </c>
      <c r="BI92">
        <f>IF($A92="","",IF($A93="",1,IF(BG93&lt;&gt;BG92,1,0)))</f>
        <v>0</v>
      </c>
      <c r="BJ92">
        <f>IF($A92="","",IF(BH92=1,$B92,BJ91))</f>
        <v>0</v>
      </c>
      <c r="BK92">
        <f>IF($A92="","",IF(BH92=1,$C92,MAX($C92,BK91)))</f>
        <v>0</v>
      </c>
      <c r="BL92">
        <f>IF($A92="","",IF(BH92=1,$D92,MIN($D92,BL91)))</f>
        <v>0</v>
      </c>
      <c r="BM92">
        <f>IF($A92="","",IF(BI92=1,F92,""))</f>
        <v>0</v>
      </c>
      <c r="BN92">
        <f>IF($A92="","",DATE(YEAR($A92),MONTH($A92),1))</f>
        <v>0</v>
      </c>
      <c r="BO92">
        <f>IF($A92="","",IF($A91="",1,IF(BN92&lt;&gt;BN91,1,0)))</f>
        <v>0</v>
      </c>
      <c r="BP92">
        <f>IF($A92="","",IF($A93="",1,IF(BN93&lt;&gt;BN92,1,0)))</f>
        <v>0</v>
      </c>
      <c r="BQ92">
        <f>IF($A92="","",IF(BO92=1,$B92,BQ91))</f>
        <v>0</v>
      </c>
      <c r="BR92">
        <f>IF($A92="","",IF(BO92=1,$C92,MAX($C92,BR91)))</f>
        <v>0</v>
      </c>
      <c r="BS92">
        <f>IF($A92="","",IF(BO92=1,$D92,MIN($D92,BS91)))</f>
        <v>0</v>
      </c>
      <c r="BT92">
        <f>IF($A92="","",IF(BP92=1,F92,""))</f>
        <v>0</v>
      </c>
    </row>
    <row r="93" spans="1:72">
      <c r="A93" s="27">
        <f>IF(Data!$A93="","",Data!$A93)</f>
        <v>0</v>
      </c>
      <c r="B93">
        <f>IF(Data!$B93="","",Data!$B93)</f>
        <v>0</v>
      </c>
      <c r="C93">
        <f>IF(Data!$C93="","",Data!$C93)</f>
        <v>0</v>
      </c>
      <c r="D93">
        <f>IF(Data!$D93="","",Data!$D93)</f>
        <v>0</v>
      </c>
      <c r="E93">
        <f>IF(Data!$E93="","",Data!$E93)</f>
        <v>0</v>
      </c>
      <c r="F93">
        <f>IF($E93="","",N(F92)+1)</f>
        <v>0</v>
      </c>
      <c r="G93">
        <f>IF(OR($E93="",$E92=""),"",LN($E93/$E92))</f>
        <v>0</v>
      </c>
      <c r="H93">
        <f>IF($E93="","",IF($E92="",$E93,$E93*0.0952380952+H92*0.9047619048))</f>
        <v>0</v>
      </c>
      <c r="I93">
        <f>IF($E93="","",IF($E92="",$E93,$E93*0.0392156863+I92*0.9607843137))</f>
        <v>0</v>
      </c>
      <c r="J93">
        <f>IF($E93="","",IF($E92="",$E93,$E93*0.0198019802+J92*0.9801980198))</f>
        <v>0</v>
      </c>
      <c r="K93">
        <f>IF($E93="","",IF($E92="",$E93,$E93*0.0099502488+K92*0.9900497512))</f>
        <v>0</v>
      </c>
      <c r="L93">
        <f>IF(OR($E93="",$E92=""),"",MAX($E93-$E92,0))</f>
        <v>0</v>
      </c>
      <c r="M93">
        <f>IF(OR($E93="",$E92=""),"",MAX($E92-$E93,0))</f>
        <v>0</v>
      </c>
      <c r="N93">
        <f>IF(COUNT($E$2:$E93)&lt;15,"",IF(AVERAGE($M$80:$M$93)=0,100,100-100/(1+AVERAGE($L$80:$L$93)/AVERAGE($M$80:$M$93))))</f>
        <v>0</v>
      </c>
      <c r="O93">
        <f>IF($E93="","",IF($E92="",$E93,$E93*0.1538461538+O92*0.8461538462))</f>
        <v>0</v>
      </c>
      <c r="P93">
        <f>IF($E93="","",IF($E92="",$E93,$E93*0.0740740741+P92*0.9259259259))</f>
        <v>0</v>
      </c>
      <c r="Q93">
        <f>IF(OR(O93="",P93=""),"",O93-P93)</f>
        <v>0</v>
      </c>
      <c r="R93">
        <f>IF(Q93="","",IF(R92="",Q93,Q93*0.2000000000+R92*0.8000000000))</f>
        <v>0</v>
      </c>
      <c r="S93">
        <f>IF(OR(Q93="",R93=""),"",Q93-R93)</f>
        <v>0</v>
      </c>
      <c r="T93">
        <f>IF(COUNT($E$2:$E93)&lt;14,"",MAX($C$80:$C$93))</f>
        <v>0</v>
      </c>
      <c r="U93">
        <f>IF(COUNT($E$2:$E93)&lt;14,"",MIN($D$80:$D$93))</f>
        <v>0</v>
      </c>
      <c r="V93">
        <f>IF(OR(T93="",U93="",T93=U93),"",100*($E93-U93)/(T93-U93))</f>
        <v>0</v>
      </c>
      <c r="W93">
        <f>IF(COUNT($V$91:$V$93)&lt;3,"",AVERAGE($V$91:$V$93))</f>
        <v>0</v>
      </c>
      <c r="X93">
        <f>IF(COUNT($N$80:$N$93)&lt;14,"",MIN($N$80:$N$93))</f>
        <v>0</v>
      </c>
      <c r="Y93">
        <f>IF(COUNT($N$80:$N$93)&lt;14,"",MAX($N$80:$N$93))</f>
        <v>0</v>
      </c>
      <c r="Z93">
        <f>IF(OR(N93="",X93="",Y93="",Y93=X93),"",100*(N93-X93)/(Y93-X93))</f>
        <v>0</v>
      </c>
      <c r="AA93">
        <f>IF(COUNT($Z$91:$Z$93)&lt;3,"",AVERAGE($Z$91:$Z$93))</f>
        <v>0</v>
      </c>
      <c r="AB93">
        <f>IF(COUNT($AA$91:$AA$93)&lt;3,"",AVERAGE($AA$91:$AA$93))</f>
        <v>0</v>
      </c>
      <c r="AC93">
        <f>IF($E93="","",MAX($C93-$D93,ABS($C93-$E92),ABS($D93-$E92)))</f>
        <v>0</v>
      </c>
      <c r="AD93">
        <f>IF(COUNT($E$2:$E93)&lt;15,"",AVERAGE($AC$80:$AC$93))</f>
        <v>0</v>
      </c>
      <c r="AE93">
        <f>IF(OR($E93="",$E92=""),"",IF(AND(($C93-$C92)&gt;($D92-$D93),($C93-$C92)&gt;0),$C93-$C92,0))</f>
        <v>0</v>
      </c>
      <c r="AF93">
        <f>IF(OR($E93="",$E92=""),"",IF(AND(($D92-$D93)&gt;($C93-$C92),($D92-$D93)&gt;0),$D92-$D93,0))</f>
        <v>0</v>
      </c>
      <c r="AG93">
        <f>IF(COUNT($E$2:$E93)&lt;15,"",IF(SUM($AC$80:$AC$93)=0,0,100*SUM($AE$80:$AE$93)/SUM($AC$80:$AC$93)))</f>
        <v>0</v>
      </c>
      <c r="AH93">
        <f>IF(COUNT($E$2:$E93)&lt;15,"",IF(SUM($AC$80:$AC$93)=0,0,100*SUM($AF$80:$AF$93)/SUM($AC$80:$AC$93)))</f>
        <v>0</v>
      </c>
      <c r="AI93">
        <f>IF(OR(AG93="",AH93=""),"",IF((AG93+AH93)=0,0,100*ABS(AG93-AH93)/(AG93+AH93)))</f>
        <v>0</v>
      </c>
      <c r="AJ93">
        <f>IF(COUNT($AI$80:$AI$93)&lt;14,"",AVERAGE($AI$80:$AI$93))</f>
        <v>0</v>
      </c>
      <c r="AK93">
        <f>IF(COUNT($E$2:$E93)&lt;20,"",AVERAGE($E$74:$E$93))</f>
        <v>0</v>
      </c>
      <c r="AL93">
        <f>IF(COUNT($E$2:$E93)&lt;20,"",STDEVP($E$74:$E$93))</f>
        <v>0</v>
      </c>
      <c r="AM93">
        <f>IF(AK93="","",AK93+2*AL93)</f>
        <v>0</v>
      </c>
      <c r="AN93">
        <f>IF(AK93="","",AK93-2*AL93)</f>
        <v>0</v>
      </c>
      <c r="AO93">
        <f>IF(OR(AM93="",AN93="",AM93=AN93),"",($E93-AN93)/(AM93-AN93))</f>
        <v>0</v>
      </c>
      <c r="AP93">
        <f>IF(OR(AM93="",AK93="",AK93=0),"",(AM93-AN93)/AK93)</f>
        <v>0</v>
      </c>
      <c r="AQ93">
        <f>IF(COUNT($E$2:$E93)&lt;20,"",MAX($C$74:$C$93))</f>
        <v>0</v>
      </c>
      <c r="AR93">
        <f>IF(COUNT($E$2:$E93)&lt;20,"",MIN($D$74:$D$93))</f>
        <v>0</v>
      </c>
      <c r="AS93">
        <f>IF(OR(AQ93="",AR93=""),"",(AQ93+AR93)/2)</f>
        <v>0</v>
      </c>
      <c r="AT93">
        <f>IF(COUNT($G$74:$G$93)&lt;20,"",STDEV($G$74:$G$93)*SQRT(252))</f>
        <v>0</v>
      </c>
      <c r="AU93">
        <f>IF(COUNT($E$2:$E93)&lt;9,"",(MAX($C$85:$C$93)+MIN($D$85:$D$93))/2)</f>
        <v>0</v>
      </c>
      <c r="AV93">
        <f>IF(COUNT($E$2:$E93)&lt;26,"",(MAX($C$68:$C$93)+MIN($D$68:$D$93))/2)</f>
        <v>0</v>
      </c>
      <c r="AW93">
        <f>IF(OR(AU93="",AV93=""),"",(AU93+AV93)/2)</f>
        <v>0</v>
      </c>
      <c r="AX93">
        <f>IF(COUNT($E$2:$E93)&lt;52,"",(MAX($C$42:$C$93)+MIN($D$42:$D$93))/2)</f>
        <v>0</v>
      </c>
      <c r="AY93">
        <f>IF(COUNT($E$2:$E93)&lt;20,"",MAX($C$2:$C$93))</f>
        <v>0</v>
      </c>
      <c r="AZ93">
        <f>IF(COUNT($E$2:$E93)&lt;20,"",MIN($D$2:$D$93))</f>
        <v>0</v>
      </c>
      <c r="BA93">
        <f>IF(COUNT($E$2:$E93)&lt;20,"",SLOPE($E$2:$E$93,$F$2:$F$93))</f>
        <v>0</v>
      </c>
      <c r="BB93">
        <f>IF(COUNT($E$2:$E93)&lt;20,"",INTERCEPT($E$2:$E$93,$F$2:$F$93))</f>
        <v>0</v>
      </c>
      <c r="BC93">
        <f>IF(OR(BA93="",BB93=""),"",BB93+BA93*F93)</f>
        <v>0</v>
      </c>
      <c r="BD93">
        <f>IF(COUNT($E$2:$E93)&lt;20,"",STEYX($E$2:$E$93,$F$2:$F$93))</f>
        <v>0</v>
      </c>
      <c r="BE93">
        <f>IF($E93="","",IF(AND(COUNT($E$94:$E$97)&gt;=4,$C93=MAX($C$89:$C$97)),$C93,""))</f>
        <v>0</v>
      </c>
      <c r="BF93">
        <f>IF($E93="","",IF(AND(COUNT($E$94:$E$97)&gt;=4,$D93=MIN($D$89:$D$97)),$D93,""))</f>
        <v>0</v>
      </c>
      <c r="BG93">
        <f>IF($A93="","",$A93-WEEKDAY($A93,2)+1)</f>
        <v>0</v>
      </c>
      <c r="BH93">
        <f>IF($A93="","",IF($A92="",1,IF(BG93&lt;&gt;BG92,1,0)))</f>
        <v>0</v>
      </c>
      <c r="BI93">
        <f>IF($A93="","",IF($A94="",1,IF(BG94&lt;&gt;BG93,1,0)))</f>
        <v>0</v>
      </c>
      <c r="BJ93">
        <f>IF($A93="","",IF(BH93=1,$B93,BJ92))</f>
        <v>0</v>
      </c>
      <c r="BK93">
        <f>IF($A93="","",IF(BH93=1,$C93,MAX($C93,BK92)))</f>
        <v>0</v>
      </c>
      <c r="BL93">
        <f>IF($A93="","",IF(BH93=1,$D93,MIN($D93,BL92)))</f>
        <v>0</v>
      </c>
      <c r="BM93">
        <f>IF($A93="","",IF(BI93=1,F93,""))</f>
        <v>0</v>
      </c>
      <c r="BN93">
        <f>IF($A93="","",DATE(YEAR($A93),MONTH($A93),1))</f>
        <v>0</v>
      </c>
      <c r="BO93">
        <f>IF($A93="","",IF($A92="",1,IF(BN93&lt;&gt;BN92,1,0)))</f>
        <v>0</v>
      </c>
      <c r="BP93">
        <f>IF($A93="","",IF($A94="",1,IF(BN94&lt;&gt;BN93,1,0)))</f>
        <v>0</v>
      </c>
      <c r="BQ93">
        <f>IF($A93="","",IF(BO93=1,$B93,BQ92))</f>
        <v>0</v>
      </c>
      <c r="BR93">
        <f>IF($A93="","",IF(BO93=1,$C93,MAX($C93,BR92)))</f>
        <v>0</v>
      </c>
      <c r="BS93">
        <f>IF($A93="","",IF(BO93=1,$D93,MIN($D93,BS92)))</f>
        <v>0</v>
      </c>
      <c r="BT93">
        <f>IF($A93="","",IF(BP93=1,F93,""))</f>
        <v>0</v>
      </c>
    </row>
    <row r="94" spans="1:72">
      <c r="A94" s="27">
        <f>IF(Data!$A94="","",Data!$A94)</f>
        <v>0</v>
      </c>
      <c r="B94">
        <f>IF(Data!$B94="","",Data!$B94)</f>
        <v>0</v>
      </c>
      <c r="C94">
        <f>IF(Data!$C94="","",Data!$C94)</f>
        <v>0</v>
      </c>
      <c r="D94">
        <f>IF(Data!$D94="","",Data!$D94)</f>
        <v>0</v>
      </c>
      <c r="E94">
        <f>IF(Data!$E94="","",Data!$E94)</f>
        <v>0</v>
      </c>
      <c r="F94">
        <f>IF($E94="","",N(F93)+1)</f>
        <v>0</v>
      </c>
      <c r="G94">
        <f>IF(OR($E94="",$E93=""),"",LN($E94/$E93))</f>
        <v>0</v>
      </c>
      <c r="H94">
        <f>IF($E94="","",IF($E93="",$E94,$E94*0.0952380952+H93*0.9047619048))</f>
        <v>0</v>
      </c>
      <c r="I94">
        <f>IF($E94="","",IF($E93="",$E94,$E94*0.0392156863+I93*0.9607843137))</f>
        <v>0</v>
      </c>
      <c r="J94">
        <f>IF($E94="","",IF($E93="",$E94,$E94*0.0198019802+J93*0.9801980198))</f>
        <v>0</v>
      </c>
      <c r="K94">
        <f>IF($E94="","",IF($E93="",$E94,$E94*0.0099502488+K93*0.9900497512))</f>
        <v>0</v>
      </c>
      <c r="L94">
        <f>IF(OR($E94="",$E93=""),"",MAX($E94-$E93,0))</f>
        <v>0</v>
      </c>
      <c r="M94">
        <f>IF(OR($E94="",$E93=""),"",MAX($E93-$E94,0))</f>
        <v>0</v>
      </c>
      <c r="N94">
        <f>IF(COUNT($E$2:$E94)&lt;15,"",IF(AVERAGE($M$81:$M$94)=0,100,100-100/(1+AVERAGE($L$81:$L$94)/AVERAGE($M$81:$M$94))))</f>
        <v>0</v>
      </c>
      <c r="O94">
        <f>IF($E94="","",IF($E93="",$E94,$E94*0.1538461538+O93*0.8461538462))</f>
        <v>0</v>
      </c>
      <c r="P94">
        <f>IF($E94="","",IF($E93="",$E94,$E94*0.0740740741+P93*0.9259259259))</f>
        <v>0</v>
      </c>
      <c r="Q94">
        <f>IF(OR(O94="",P94=""),"",O94-P94)</f>
        <v>0</v>
      </c>
      <c r="R94">
        <f>IF(Q94="","",IF(R93="",Q94,Q94*0.2000000000+R93*0.8000000000))</f>
        <v>0</v>
      </c>
      <c r="S94">
        <f>IF(OR(Q94="",R94=""),"",Q94-R94)</f>
        <v>0</v>
      </c>
      <c r="T94">
        <f>IF(COUNT($E$2:$E94)&lt;14,"",MAX($C$81:$C$94))</f>
        <v>0</v>
      </c>
      <c r="U94">
        <f>IF(COUNT($E$2:$E94)&lt;14,"",MIN($D$81:$D$94))</f>
        <v>0</v>
      </c>
      <c r="V94">
        <f>IF(OR(T94="",U94="",T94=U94),"",100*($E94-U94)/(T94-U94))</f>
        <v>0</v>
      </c>
      <c r="W94">
        <f>IF(COUNT($V$92:$V$94)&lt;3,"",AVERAGE($V$92:$V$94))</f>
        <v>0</v>
      </c>
      <c r="X94">
        <f>IF(COUNT($N$81:$N$94)&lt;14,"",MIN($N$81:$N$94))</f>
        <v>0</v>
      </c>
      <c r="Y94">
        <f>IF(COUNT($N$81:$N$94)&lt;14,"",MAX($N$81:$N$94))</f>
        <v>0</v>
      </c>
      <c r="Z94">
        <f>IF(OR(N94="",X94="",Y94="",Y94=X94),"",100*(N94-X94)/(Y94-X94))</f>
        <v>0</v>
      </c>
      <c r="AA94">
        <f>IF(COUNT($Z$92:$Z$94)&lt;3,"",AVERAGE($Z$92:$Z$94))</f>
        <v>0</v>
      </c>
      <c r="AB94">
        <f>IF(COUNT($AA$92:$AA$94)&lt;3,"",AVERAGE($AA$92:$AA$94))</f>
        <v>0</v>
      </c>
      <c r="AC94">
        <f>IF($E94="","",MAX($C94-$D94,ABS($C94-$E93),ABS($D94-$E93)))</f>
        <v>0</v>
      </c>
      <c r="AD94">
        <f>IF(COUNT($E$2:$E94)&lt;15,"",AVERAGE($AC$81:$AC$94))</f>
        <v>0</v>
      </c>
      <c r="AE94">
        <f>IF(OR($E94="",$E93=""),"",IF(AND(($C94-$C93)&gt;($D93-$D94),($C94-$C93)&gt;0),$C94-$C93,0))</f>
        <v>0</v>
      </c>
      <c r="AF94">
        <f>IF(OR($E94="",$E93=""),"",IF(AND(($D93-$D94)&gt;($C94-$C93),($D93-$D94)&gt;0),$D93-$D94,0))</f>
        <v>0</v>
      </c>
      <c r="AG94">
        <f>IF(COUNT($E$2:$E94)&lt;15,"",IF(SUM($AC$81:$AC$94)=0,0,100*SUM($AE$81:$AE$94)/SUM($AC$81:$AC$94)))</f>
        <v>0</v>
      </c>
      <c r="AH94">
        <f>IF(COUNT($E$2:$E94)&lt;15,"",IF(SUM($AC$81:$AC$94)=0,0,100*SUM($AF$81:$AF$94)/SUM($AC$81:$AC$94)))</f>
        <v>0</v>
      </c>
      <c r="AI94">
        <f>IF(OR(AG94="",AH94=""),"",IF((AG94+AH94)=0,0,100*ABS(AG94-AH94)/(AG94+AH94)))</f>
        <v>0</v>
      </c>
      <c r="AJ94">
        <f>IF(COUNT($AI$81:$AI$94)&lt;14,"",AVERAGE($AI$81:$AI$94))</f>
        <v>0</v>
      </c>
      <c r="AK94">
        <f>IF(COUNT($E$2:$E94)&lt;20,"",AVERAGE($E$75:$E$94))</f>
        <v>0</v>
      </c>
      <c r="AL94">
        <f>IF(COUNT($E$2:$E94)&lt;20,"",STDEVP($E$75:$E$94))</f>
        <v>0</v>
      </c>
      <c r="AM94">
        <f>IF(AK94="","",AK94+2*AL94)</f>
        <v>0</v>
      </c>
      <c r="AN94">
        <f>IF(AK94="","",AK94-2*AL94)</f>
        <v>0</v>
      </c>
      <c r="AO94">
        <f>IF(OR(AM94="",AN94="",AM94=AN94),"",($E94-AN94)/(AM94-AN94))</f>
        <v>0</v>
      </c>
      <c r="AP94">
        <f>IF(OR(AM94="",AK94="",AK94=0),"",(AM94-AN94)/AK94)</f>
        <v>0</v>
      </c>
      <c r="AQ94">
        <f>IF(COUNT($E$2:$E94)&lt;20,"",MAX($C$75:$C$94))</f>
        <v>0</v>
      </c>
      <c r="AR94">
        <f>IF(COUNT($E$2:$E94)&lt;20,"",MIN($D$75:$D$94))</f>
        <v>0</v>
      </c>
      <c r="AS94">
        <f>IF(OR(AQ94="",AR94=""),"",(AQ94+AR94)/2)</f>
        <v>0</v>
      </c>
      <c r="AT94">
        <f>IF(COUNT($G$75:$G$94)&lt;20,"",STDEV($G$75:$G$94)*SQRT(252))</f>
        <v>0</v>
      </c>
      <c r="AU94">
        <f>IF(COUNT($E$2:$E94)&lt;9,"",(MAX($C$86:$C$94)+MIN($D$86:$D$94))/2)</f>
        <v>0</v>
      </c>
      <c r="AV94">
        <f>IF(COUNT($E$2:$E94)&lt;26,"",(MAX($C$69:$C$94)+MIN($D$69:$D$94))/2)</f>
        <v>0</v>
      </c>
      <c r="AW94">
        <f>IF(OR(AU94="",AV94=""),"",(AU94+AV94)/2)</f>
        <v>0</v>
      </c>
      <c r="AX94">
        <f>IF(COUNT($E$2:$E94)&lt;52,"",(MAX($C$43:$C$94)+MIN($D$43:$D$94))/2)</f>
        <v>0</v>
      </c>
      <c r="AY94">
        <f>IF(COUNT($E$2:$E94)&lt;20,"",MAX($C$2:$C$94))</f>
        <v>0</v>
      </c>
      <c r="AZ94">
        <f>IF(COUNT($E$2:$E94)&lt;20,"",MIN($D$2:$D$94))</f>
        <v>0</v>
      </c>
      <c r="BA94">
        <f>IF(COUNT($E$2:$E94)&lt;20,"",SLOPE($E$2:$E$94,$F$2:$F$94))</f>
        <v>0</v>
      </c>
      <c r="BB94">
        <f>IF(COUNT($E$2:$E94)&lt;20,"",INTERCEPT($E$2:$E$94,$F$2:$F$94))</f>
        <v>0</v>
      </c>
      <c r="BC94">
        <f>IF(OR(BA94="",BB94=""),"",BB94+BA94*F94)</f>
        <v>0</v>
      </c>
      <c r="BD94">
        <f>IF(COUNT($E$2:$E94)&lt;20,"",STEYX($E$2:$E$94,$F$2:$F$94))</f>
        <v>0</v>
      </c>
      <c r="BE94">
        <f>IF($E94="","",IF(AND(COUNT($E$95:$E$98)&gt;=4,$C94=MAX($C$90:$C$98)),$C94,""))</f>
        <v>0</v>
      </c>
      <c r="BF94">
        <f>IF($E94="","",IF(AND(COUNT($E$95:$E$98)&gt;=4,$D94=MIN($D$90:$D$98)),$D94,""))</f>
        <v>0</v>
      </c>
      <c r="BG94">
        <f>IF($A94="","",$A94-WEEKDAY($A94,2)+1)</f>
        <v>0</v>
      </c>
      <c r="BH94">
        <f>IF($A94="","",IF($A93="",1,IF(BG94&lt;&gt;BG93,1,0)))</f>
        <v>0</v>
      </c>
      <c r="BI94">
        <f>IF($A94="","",IF($A95="",1,IF(BG95&lt;&gt;BG94,1,0)))</f>
        <v>0</v>
      </c>
      <c r="BJ94">
        <f>IF($A94="","",IF(BH94=1,$B94,BJ93))</f>
        <v>0</v>
      </c>
      <c r="BK94">
        <f>IF($A94="","",IF(BH94=1,$C94,MAX($C94,BK93)))</f>
        <v>0</v>
      </c>
      <c r="BL94">
        <f>IF($A94="","",IF(BH94=1,$D94,MIN($D94,BL93)))</f>
        <v>0</v>
      </c>
      <c r="BM94">
        <f>IF($A94="","",IF(BI94=1,F94,""))</f>
        <v>0</v>
      </c>
      <c r="BN94">
        <f>IF($A94="","",DATE(YEAR($A94),MONTH($A94),1))</f>
        <v>0</v>
      </c>
      <c r="BO94">
        <f>IF($A94="","",IF($A93="",1,IF(BN94&lt;&gt;BN93,1,0)))</f>
        <v>0</v>
      </c>
      <c r="BP94">
        <f>IF($A94="","",IF($A95="",1,IF(BN95&lt;&gt;BN94,1,0)))</f>
        <v>0</v>
      </c>
      <c r="BQ94">
        <f>IF($A94="","",IF(BO94=1,$B94,BQ93))</f>
        <v>0</v>
      </c>
      <c r="BR94">
        <f>IF($A94="","",IF(BO94=1,$C94,MAX($C94,BR93)))</f>
        <v>0</v>
      </c>
      <c r="BS94">
        <f>IF($A94="","",IF(BO94=1,$D94,MIN($D94,BS93)))</f>
        <v>0</v>
      </c>
      <c r="BT94">
        <f>IF($A94="","",IF(BP94=1,F94,""))</f>
        <v>0</v>
      </c>
    </row>
    <row r="95" spans="1:72">
      <c r="A95" s="27">
        <f>IF(Data!$A95="","",Data!$A95)</f>
        <v>0</v>
      </c>
      <c r="B95">
        <f>IF(Data!$B95="","",Data!$B95)</f>
        <v>0</v>
      </c>
      <c r="C95">
        <f>IF(Data!$C95="","",Data!$C95)</f>
        <v>0</v>
      </c>
      <c r="D95">
        <f>IF(Data!$D95="","",Data!$D95)</f>
        <v>0</v>
      </c>
      <c r="E95">
        <f>IF(Data!$E95="","",Data!$E95)</f>
        <v>0</v>
      </c>
      <c r="F95">
        <f>IF($E95="","",N(F94)+1)</f>
        <v>0</v>
      </c>
      <c r="G95">
        <f>IF(OR($E95="",$E94=""),"",LN($E95/$E94))</f>
        <v>0</v>
      </c>
      <c r="H95">
        <f>IF($E95="","",IF($E94="",$E95,$E95*0.0952380952+H94*0.9047619048))</f>
        <v>0</v>
      </c>
      <c r="I95">
        <f>IF($E95="","",IF($E94="",$E95,$E95*0.0392156863+I94*0.9607843137))</f>
        <v>0</v>
      </c>
      <c r="J95">
        <f>IF($E95="","",IF($E94="",$E95,$E95*0.0198019802+J94*0.9801980198))</f>
        <v>0</v>
      </c>
      <c r="K95">
        <f>IF($E95="","",IF($E94="",$E95,$E95*0.0099502488+K94*0.9900497512))</f>
        <v>0</v>
      </c>
      <c r="L95">
        <f>IF(OR($E95="",$E94=""),"",MAX($E95-$E94,0))</f>
        <v>0</v>
      </c>
      <c r="M95">
        <f>IF(OR($E95="",$E94=""),"",MAX($E94-$E95,0))</f>
        <v>0</v>
      </c>
      <c r="N95">
        <f>IF(COUNT($E$2:$E95)&lt;15,"",IF(AVERAGE($M$82:$M$95)=0,100,100-100/(1+AVERAGE($L$82:$L$95)/AVERAGE($M$82:$M$95))))</f>
        <v>0</v>
      </c>
      <c r="O95">
        <f>IF($E95="","",IF($E94="",$E95,$E95*0.1538461538+O94*0.8461538462))</f>
        <v>0</v>
      </c>
      <c r="P95">
        <f>IF($E95="","",IF($E94="",$E95,$E95*0.0740740741+P94*0.9259259259))</f>
        <v>0</v>
      </c>
      <c r="Q95">
        <f>IF(OR(O95="",P95=""),"",O95-P95)</f>
        <v>0</v>
      </c>
      <c r="R95">
        <f>IF(Q95="","",IF(R94="",Q95,Q95*0.2000000000+R94*0.8000000000))</f>
        <v>0</v>
      </c>
      <c r="S95">
        <f>IF(OR(Q95="",R95=""),"",Q95-R95)</f>
        <v>0</v>
      </c>
      <c r="T95">
        <f>IF(COUNT($E$2:$E95)&lt;14,"",MAX($C$82:$C$95))</f>
        <v>0</v>
      </c>
      <c r="U95">
        <f>IF(COUNT($E$2:$E95)&lt;14,"",MIN($D$82:$D$95))</f>
        <v>0</v>
      </c>
      <c r="V95">
        <f>IF(OR(T95="",U95="",T95=U95),"",100*($E95-U95)/(T95-U95))</f>
        <v>0</v>
      </c>
      <c r="W95">
        <f>IF(COUNT($V$93:$V$95)&lt;3,"",AVERAGE($V$93:$V$95))</f>
        <v>0</v>
      </c>
      <c r="X95">
        <f>IF(COUNT($N$82:$N$95)&lt;14,"",MIN($N$82:$N$95))</f>
        <v>0</v>
      </c>
      <c r="Y95">
        <f>IF(COUNT($N$82:$N$95)&lt;14,"",MAX($N$82:$N$95))</f>
        <v>0</v>
      </c>
      <c r="Z95">
        <f>IF(OR(N95="",X95="",Y95="",Y95=X95),"",100*(N95-X95)/(Y95-X95))</f>
        <v>0</v>
      </c>
      <c r="AA95">
        <f>IF(COUNT($Z$93:$Z$95)&lt;3,"",AVERAGE($Z$93:$Z$95))</f>
        <v>0</v>
      </c>
      <c r="AB95">
        <f>IF(COUNT($AA$93:$AA$95)&lt;3,"",AVERAGE($AA$93:$AA$95))</f>
        <v>0</v>
      </c>
      <c r="AC95">
        <f>IF($E95="","",MAX($C95-$D95,ABS($C95-$E94),ABS($D95-$E94)))</f>
        <v>0</v>
      </c>
      <c r="AD95">
        <f>IF(COUNT($E$2:$E95)&lt;15,"",AVERAGE($AC$82:$AC$95))</f>
        <v>0</v>
      </c>
      <c r="AE95">
        <f>IF(OR($E95="",$E94=""),"",IF(AND(($C95-$C94)&gt;($D94-$D95),($C95-$C94)&gt;0),$C95-$C94,0))</f>
        <v>0</v>
      </c>
      <c r="AF95">
        <f>IF(OR($E95="",$E94=""),"",IF(AND(($D94-$D95)&gt;($C95-$C94),($D94-$D95)&gt;0),$D94-$D95,0))</f>
        <v>0</v>
      </c>
      <c r="AG95">
        <f>IF(COUNT($E$2:$E95)&lt;15,"",IF(SUM($AC$82:$AC$95)=0,0,100*SUM($AE$82:$AE$95)/SUM($AC$82:$AC$95)))</f>
        <v>0</v>
      </c>
      <c r="AH95">
        <f>IF(COUNT($E$2:$E95)&lt;15,"",IF(SUM($AC$82:$AC$95)=0,0,100*SUM($AF$82:$AF$95)/SUM($AC$82:$AC$95)))</f>
        <v>0</v>
      </c>
      <c r="AI95">
        <f>IF(OR(AG95="",AH95=""),"",IF((AG95+AH95)=0,0,100*ABS(AG95-AH95)/(AG95+AH95)))</f>
        <v>0</v>
      </c>
      <c r="AJ95">
        <f>IF(COUNT($AI$82:$AI$95)&lt;14,"",AVERAGE($AI$82:$AI$95))</f>
        <v>0</v>
      </c>
      <c r="AK95">
        <f>IF(COUNT($E$2:$E95)&lt;20,"",AVERAGE($E$76:$E$95))</f>
        <v>0</v>
      </c>
      <c r="AL95">
        <f>IF(COUNT($E$2:$E95)&lt;20,"",STDEVP($E$76:$E$95))</f>
        <v>0</v>
      </c>
      <c r="AM95">
        <f>IF(AK95="","",AK95+2*AL95)</f>
        <v>0</v>
      </c>
      <c r="AN95">
        <f>IF(AK95="","",AK95-2*AL95)</f>
        <v>0</v>
      </c>
      <c r="AO95">
        <f>IF(OR(AM95="",AN95="",AM95=AN95),"",($E95-AN95)/(AM95-AN95))</f>
        <v>0</v>
      </c>
      <c r="AP95">
        <f>IF(OR(AM95="",AK95="",AK95=0),"",(AM95-AN95)/AK95)</f>
        <v>0</v>
      </c>
      <c r="AQ95">
        <f>IF(COUNT($E$2:$E95)&lt;20,"",MAX($C$76:$C$95))</f>
        <v>0</v>
      </c>
      <c r="AR95">
        <f>IF(COUNT($E$2:$E95)&lt;20,"",MIN($D$76:$D$95))</f>
        <v>0</v>
      </c>
      <c r="AS95">
        <f>IF(OR(AQ95="",AR95=""),"",(AQ95+AR95)/2)</f>
        <v>0</v>
      </c>
      <c r="AT95">
        <f>IF(COUNT($G$76:$G$95)&lt;20,"",STDEV($G$76:$G$95)*SQRT(252))</f>
        <v>0</v>
      </c>
      <c r="AU95">
        <f>IF(COUNT($E$2:$E95)&lt;9,"",(MAX($C$87:$C$95)+MIN($D$87:$D$95))/2)</f>
        <v>0</v>
      </c>
      <c r="AV95">
        <f>IF(COUNT($E$2:$E95)&lt;26,"",(MAX($C$70:$C$95)+MIN($D$70:$D$95))/2)</f>
        <v>0</v>
      </c>
      <c r="AW95">
        <f>IF(OR(AU95="",AV95=""),"",(AU95+AV95)/2)</f>
        <v>0</v>
      </c>
      <c r="AX95">
        <f>IF(COUNT($E$2:$E95)&lt;52,"",(MAX($C$44:$C$95)+MIN($D$44:$D$95))/2)</f>
        <v>0</v>
      </c>
      <c r="AY95">
        <f>IF(COUNT($E$2:$E95)&lt;20,"",MAX($C$2:$C$95))</f>
        <v>0</v>
      </c>
      <c r="AZ95">
        <f>IF(COUNT($E$2:$E95)&lt;20,"",MIN($D$2:$D$95))</f>
        <v>0</v>
      </c>
      <c r="BA95">
        <f>IF(COUNT($E$2:$E95)&lt;20,"",SLOPE($E$2:$E$95,$F$2:$F$95))</f>
        <v>0</v>
      </c>
      <c r="BB95">
        <f>IF(COUNT($E$2:$E95)&lt;20,"",INTERCEPT($E$2:$E$95,$F$2:$F$95))</f>
        <v>0</v>
      </c>
      <c r="BC95">
        <f>IF(OR(BA95="",BB95=""),"",BB95+BA95*F95)</f>
        <v>0</v>
      </c>
      <c r="BD95">
        <f>IF(COUNT($E$2:$E95)&lt;20,"",STEYX($E$2:$E$95,$F$2:$F$95))</f>
        <v>0</v>
      </c>
      <c r="BE95">
        <f>IF($E95="","",IF(AND(COUNT($E$96:$E$99)&gt;=4,$C95=MAX($C$91:$C$99)),$C95,""))</f>
        <v>0</v>
      </c>
      <c r="BF95">
        <f>IF($E95="","",IF(AND(COUNT($E$96:$E$99)&gt;=4,$D95=MIN($D$91:$D$99)),$D95,""))</f>
        <v>0</v>
      </c>
      <c r="BG95">
        <f>IF($A95="","",$A95-WEEKDAY($A95,2)+1)</f>
        <v>0</v>
      </c>
      <c r="BH95">
        <f>IF($A95="","",IF($A94="",1,IF(BG95&lt;&gt;BG94,1,0)))</f>
        <v>0</v>
      </c>
      <c r="BI95">
        <f>IF($A95="","",IF($A96="",1,IF(BG96&lt;&gt;BG95,1,0)))</f>
        <v>0</v>
      </c>
      <c r="BJ95">
        <f>IF($A95="","",IF(BH95=1,$B95,BJ94))</f>
        <v>0</v>
      </c>
      <c r="BK95">
        <f>IF($A95="","",IF(BH95=1,$C95,MAX($C95,BK94)))</f>
        <v>0</v>
      </c>
      <c r="BL95">
        <f>IF($A95="","",IF(BH95=1,$D95,MIN($D95,BL94)))</f>
        <v>0</v>
      </c>
      <c r="BM95">
        <f>IF($A95="","",IF(BI95=1,F95,""))</f>
        <v>0</v>
      </c>
      <c r="BN95">
        <f>IF($A95="","",DATE(YEAR($A95),MONTH($A95),1))</f>
        <v>0</v>
      </c>
      <c r="BO95">
        <f>IF($A95="","",IF($A94="",1,IF(BN95&lt;&gt;BN94,1,0)))</f>
        <v>0</v>
      </c>
      <c r="BP95">
        <f>IF($A95="","",IF($A96="",1,IF(BN96&lt;&gt;BN95,1,0)))</f>
        <v>0</v>
      </c>
      <c r="BQ95">
        <f>IF($A95="","",IF(BO95=1,$B95,BQ94))</f>
        <v>0</v>
      </c>
      <c r="BR95">
        <f>IF($A95="","",IF(BO95=1,$C95,MAX($C95,BR94)))</f>
        <v>0</v>
      </c>
      <c r="BS95">
        <f>IF($A95="","",IF(BO95=1,$D95,MIN($D95,BS94)))</f>
        <v>0</v>
      </c>
      <c r="BT95">
        <f>IF($A95="","",IF(BP95=1,F95,""))</f>
        <v>0</v>
      </c>
    </row>
    <row r="96" spans="1:72">
      <c r="A96" s="27">
        <f>IF(Data!$A96="","",Data!$A96)</f>
        <v>0</v>
      </c>
      <c r="B96">
        <f>IF(Data!$B96="","",Data!$B96)</f>
        <v>0</v>
      </c>
      <c r="C96">
        <f>IF(Data!$C96="","",Data!$C96)</f>
        <v>0</v>
      </c>
      <c r="D96">
        <f>IF(Data!$D96="","",Data!$D96)</f>
        <v>0</v>
      </c>
      <c r="E96">
        <f>IF(Data!$E96="","",Data!$E96)</f>
        <v>0</v>
      </c>
      <c r="F96">
        <f>IF($E96="","",N(F95)+1)</f>
        <v>0</v>
      </c>
      <c r="G96">
        <f>IF(OR($E96="",$E95=""),"",LN($E96/$E95))</f>
        <v>0</v>
      </c>
      <c r="H96">
        <f>IF($E96="","",IF($E95="",$E96,$E96*0.0952380952+H95*0.9047619048))</f>
        <v>0</v>
      </c>
      <c r="I96">
        <f>IF($E96="","",IF($E95="",$E96,$E96*0.0392156863+I95*0.9607843137))</f>
        <v>0</v>
      </c>
      <c r="J96">
        <f>IF($E96="","",IF($E95="",$E96,$E96*0.0198019802+J95*0.9801980198))</f>
        <v>0</v>
      </c>
      <c r="K96">
        <f>IF($E96="","",IF($E95="",$E96,$E96*0.0099502488+K95*0.9900497512))</f>
        <v>0</v>
      </c>
      <c r="L96">
        <f>IF(OR($E96="",$E95=""),"",MAX($E96-$E95,0))</f>
        <v>0</v>
      </c>
      <c r="M96">
        <f>IF(OR($E96="",$E95=""),"",MAX($E95-$E96,0))</f>
        <v>0</v>
      </c>
      <c r="N96">
        <f>IF(COUNT($E$2:$E96)&lt;15,"",IF(AVERAGE($M$83:$M$96)=0,100,100-100/(1+AVERAGE($L$83:$L$96)/AVERAGE($M$83:$M$96))))</f>
        <v>0</v>
      </c>
      <c r="O96">
        <f>IF($E96="","",IF($E95="",$E96,$E96*0.1538461538+O95*0.8461538462))</f>
        <v>0</v>
      </c>
      <c r="P96">
        <f>IF($E96="","",IF($E95="",$E96,$E96*0.0740740741+P95*0.9259259259))</f>
        <v>0</v>
      </c>
      <c r="Q96">
        <f>IF(OR(O96="",P96=""),"",O96-P96)</f>
        <v>0</v>
      </c>
      <c r="R96">
        <f>IF(Q96="","",IF(R95="",Q96,Q96*0.2000000000+R95*0.8000000000))</f>
        <v>0</v>
      </c>
      <c r="S96">
        <f>IF(OR(Q96="",R96=""),"",Q96-R96)</f>
        <v>0</v>
      </c>
      <c r="T96">
        <f>IF(COUNT($E$2:$E96)&lt;14,"",MAX($C$83:$C$96))</f>
        <v>0</v>
      </c>
      <c r="U96">
        <f>IF(COUNT($E$2:$E96)&lt;14,"",MIN($D$83:$D$96))</f>
        <v>0</v>
      </c>
      <c r="V96">
        <f>IF(OR(T96="",U96="",T96=U96),"",100*($E96-U96)/(T96-U96))</f>
        <v>0</v>
      </c>
      <c r="W96">
        <f>IF(COUNT($V$94:$V$96)&lt;3,"",AVERAGE($V$94:$V$96))</f>
        <v>0</v>
      </c>
      <c r="X96">
        <f>IF(COUNT($N$83:$N$96)&lt;14,"",MIN($N$83:$N$96))</f>
        <v>0</v>
      </c>
      <c r="Y96">
        <f>IF(COUNT($N$83:$N$96)&lt;14,"",MAX($N$83:$N$96))</f>
        <v>0</v>
      </c>
      <c r="Z96">
        <f>IF(OR(N96="",X96="",Y96="",Y96=X96),"",100*(N96-X96)/(Y96-X96))</f>
        <v>0</v>
      </c>
      <c r="AA96">
        <f>IF(COUNT($Z$94:$Z$96)&lt;3,"",AVERAGE($Z$94:$Z$96))</f>
        <v>0</v>
      </c>
      <c r="AB96">
        <f>IF(COUNT($AA$94:$AA$96)&lt;3,"",AVERAGE($AA$94:$AA$96))</f>
        <v>0</v>
      </c>
      <c r="AC96">
        <f>IF($E96="","",MAX($C96-$D96,ABS($C96-$E95),ABS($D96-$E95)))</f>
        <v>0</v>
      </c>
      <c r="AD96">
        <f>IF(COUNT($E$2:$E96)&lt;15,"",AVERAGE($AC$83:$AC$96))</f>
        <v>0</v>
      </c>
      <c r="AE96">
        <f>IF(OR($E96="",$E95=""),"",IF(AND(($C96-$C95)&gt;($D95-$D96),($C96-$C95)&gt;0),$C96-$C95,0))</f>
        <v>0</v>
      </c>
      <c r="AF96">
        <f>IF(OR($E96="",$E95=""),"",IF(AND(($D95-$D96)&gt;($C96-$C95),($D95-$D96)&gt;0),$D95-$D96,0))</f>
        <v>0</v>
      </c>
      <c r="AG96">
        <f>IF(COUNT($E$2:$E96)&lt;15,"",IF(SUM($AC$83:$AC$96)=0,0,100*SUM($AE$83:$AE$96)/SUM($AC$83:$AC$96)))</f>
        <v>0</v>
      </c>
      <c r="AH96">
        <f>IF(COUNT($E$2:$E96)&lt;15,"",IF(SUM($AC$83:$AC$96)=0,0,100*SUM($AF$83:$AF$96)/SUM($AC$83:$AC$96)))</f>
        <v>0</v>
      </c>
      <c r="AI96">
        <f>IF(OR(AG96="",AH96=""),"",IF((AG96+AH96)=0,0,100*ABS(AG96-AH96)/(AG96+AH96)))</f>
        <v>0</v>
      </c>
      <c r="AJ96">
        <f>IF(COUNT($AI$83:$AI$96)&lt;14,"",AVERAGE($AI$83:$AI$96))</f>
        <v>0</v>
      </c>
      <c r="AK96">
        <f>IF(COUNT($E$2:$E96)&lt;20,"",AVERAGE($E$77:$E$96))</f>
        <v>0</v>
      </c>
      <c r="AL96">
        <f>IF(COUNT($E$2:$E96)&lt;20,"",STDEVP($E$77:$E$96))</f>
        <v>0</v>
      </c>
      <c r="AM96">
        <f>IF(AK96="","",AK96+2*AL96)</f>
        <v>0</v>
      </c>
      <c r="AN96">
        <f>IF(AK96="","",AK96-2*AL96)</f>
        <v>0</v>
      </c>
      <c r="AO96">
        <f>IF(OR(AM96="",AN96="",AM96=AN96),"",($E96-AN96)/(AM96-AN96))</f>
        <v>0</v>
      </c>
      <c r="AP96">
        <f>IF(OR(AM96="",AK96="",AK96=0),"",(AM96-AN96)/AK96)</f>
        <v>0</v>
      </c>
      <c r="AQ96">
        <f>IF(COUNT($E$2:$E96)&lt;20,"",MAX($C$77:$C$96))</f>
        <v>0</v>
      </c>
      <c r="AR96">
        <f>IF(COUNT($E$2:$E96)&lt;20,"",MIN($D$77:$D$96))</f>
        <v>0</v>
      </c>
      <c r="AS96">
        <f>IF(OR(AQ96="",AR96=""),"",(AQ96+AR96)/2)</f>
        <v>0</v>
      </c>
      <c r="AT96">
        <f>IF(COUNT($G$77:$G$96)&lt;20,"",STDEV($G$77:$G$96)*SQRT(252))</f>
        <v>0</v>
      </c>
      <c r="AU96">
        <f>IF(COUNT($E$2:$E96)&lt;9,"",(MAX($C$88:$C$96)+MIN($D$88:$D$96))/2)</f>
        <v>0</v>
      </c>
      <c r="AV96">
        <f>IF(COUNT($E$2:$E96)&lt;26,"",(MAX($C$71:$C$96)+MIN($D$71:$D$96))/2)</f>
        <v>0</v>
      </c>
      <c r="AW96">
        <f>IF(OR(AU96="",AV96=""),"",(AU96+AV96)/2)</f>
        <v>0</v>
      </c>
      <c r="AX96">
        <f>IF(COUNT($E$2:$E96)&lt;52,"",(MAX($C$45:$C$96)+MIN($D$45:$D$96))/2)</f>
        <v>0</v>
      </c>
      <c r="AY96">
        <f>IF(COUNT($E$2:$E96)&lt;20,"",MAX($C$2:$C$96))</f>
        <v>0</v>
      </c>
      <c r="AZ96">
        <f>IF(COUNT($E$2:$E96)&lt;20,"",MIN($D$2:$D$96))</f>
        <v>0</v>
      </c>
      <c r="BA96">
        <f>IF(COUNT($E$2:$E96)&lt;20,"",SLOPE($E$2:$E$96,$F$2:$F$96))</f>
        <v>0</v>
      </c>
      <c r="BB96">
        <f>IF(COUNT($E$2:$E96)&lt;20,"",INTERCEPT($E$2:$E$96,$F$2:$F$96))</f>
        <v>0</v>
      </c>
      <c r="BC96">
        <f>IF(OR(BA96="",BB96=""),"",BB96+BA96*F96)</f>
        <v>0</v>
      </c>
      <c r="BD96">
        <f>IF(COUNT($E$2:$E96)&lt;20,"",STEYX($E$2:$E$96,$F$2:$F$96))</f>
        <v>0</v>
      </c>
      <c r="BE96">
        <f>IF($E96="","",IF(AND(COUNT($E$97:$E$100)&gt;=4,$C96=MAX($C$92:$C$100)),$C96,""))</f>
        <v>0</v>
      </c>
      <c r="BF96">
        <f>IF($E96="","",IF(AND(COUNT($E$97:$E$100)&gt;=4,$D96=MIN($D$92:$D$100)),$D96,""))</f>
        <v>0</v>
      </c>
      <c r="BG96">
        <f>IF($A96="","",$A96-WEEKDAY($A96,2)+1)</f>
        <v>0</v>
      </c>
      <c r="BH96">
        <f>IF($A96="","",IF($A95="",1,IF(BG96&lt;&gt;BG95,1,0)))</f>
        <v>0</v>
      </c>
      <c r="BI96">
        <f>IF($A96="","",IF($A97="",1,IF(BG97&lt;&gt;BG96,1,0)))</f>
        <v>0</v>
      </c>
      <c r="BJ96">
        <f>IF($A96="","",IF(BH96=1,$B96,BJ95))</f>
        <v>0</v>
      </c>
      <c r="BK96">
        <f>IF($A96="","",IF(BH96=1,$C96,MAX($C96,BK95)))</f>
        <v>0</v>
      </c>
      <c r="BL96">
        <f>IF($A96="","",IF(BH96=1,$D96,MIN($D96,BL95)))</f>
        <v>0</v>
      </c>
      <c r="BM96">
        <f>IF($A96="","",IF(BI96=1,F96,""))</f>
        <v>0</v>
      </c>
      <c r="BN96">
        <f>IF($A96="","",DATE(YEAR($A96),MONTH($A96),1))</f>
        <v>0</v>
      </c>
      <c r="BO96">
        <f>IF($A96="","",IF($A95="",1,IF(BN96&lt;&gt;BN95,1,0)))</f>
        <v>0</v>
      </c>
      <c r="BP96">
        <f>IF($A96="","",IF($A97="",1,IF(BN97&lt;&gt;BN96,1,0)))</f>
        <v>0</v>
      </c>
      <c r="BQ96">
        <f>IF($A96="","",IF(BO96=1,$B96,BQ95))</f>
        <v>0</v>
      </c>
      <c r="BR96">
        <f>IF($A96="","",IF(BO96=1,$C96,MAX($C96,BR95)))</f>
        <v>0</v>
      </c>
      <c r="BS96">
        <f>IF($A96="","",IF(BO96=1,$D96,MIN($D96,BS95)))</f>
        <v>0</v>
      </c>
      <c r="BT96">
        <f>IF($A96="","",IF(BP96=1,F96,""))</f>
        <v>0</v>
      </c>
    </row>
    <row r="97" spans="1:72">
      <c r="A97" s="27">
        <f>IF(Data!$A97="","",Data!$A97)</f>
        <v>0</v>
      </c>
      <c r="B97">
        <f>IF(Data!$B97="","",Data!$B97)</f>
        <v>0</v>
      </c>
      <c r="C97">
        <f>IF(Data!$C97="","",Data!$C97)</f>
        <v>0</v>
      </c>
      <c r="D97">
        <f>IF(Data!$D97="","",Data!$D97)</f>
        <v>0</v>
      </c>
      <c r="E97">
        <f>IF(Data!$E97="","",Data!$E97)</f>
        <v>0</v>
      </c>
      <c r="F97">
        <f>IF($E97="","",N(F96)+1)</f>
        <v>0</v>
      </c>
      <c r="G97">
        <f>IF(OR($E97="",$E96=""),"",LN($E97/$E96))</f>
        <v>0</v>
      </c>
      <c r="H97">
        <f>IF($E97="","",IF($E96="",$E97,$E97*0.0952380952+H96*0.9047619048))</f>
        <v>0</v>
      </c>
      <c r="I97">
        <f>IF($E97="","",IF($E96="",$E97,$E97*0.0392156863+I96*0.9607843137))</f>
        <v>0</v>
      </c>
      <c r="J97">
        <f>IF($E97="","",IF($E96="",$E97,$E97*0.0198019802+J96*0.9801980198))</f>
        <v>0</v>
      </c>
      <c r="K97">
        <f>IF($E97="","",IF($E96="",$E97,$E97*0.0099502488+K96*0.9900497512))</f>
        <v>0</v>
      </c>
      <c r="L97">
        <f>IF(OR($E97="",$E96=""),"",MAX($E97-$E96,0))</f>
        <v>0</v>
      </c>
      <c r="M97">
        <f>IF(OR($E97="",$E96=""),"",MAX($E96-$E97,0))</f>
        <v>0</v>
      </c>
      <c r="N97">
        <f>IF(COUNT($E$2:$E97)&lt;15,"",IF(AVERAGE($M$84:$M$97)=0,100,100-100/(1+AVERAGE($L$84:$L$97)/AVERAGE($M$84:$M$97))))</f>
        <v>0</v>
      </c>
      <c r="O97">
        <f>IF($E97="","",IF($E96="",$E97,$E97*0.1538461538+O96*0.8461538462))</f>
        <v>0</v>
      </c>
      <c r="P97">
        <f>IF($E97="","",IF($E96="",$E97,$E97*0.0740740741+P96*0.9259259259))</f>
        <v>0</v>
      </c>
      <c r="Q97">
        <f>IF(OR(O97="",P97=""),"",O97-P97)</f>
        <v>0</v>
      </c>
      <c r="R97">
        <f>IF(Q97="","",IF(R96="",Q97,Q97*0.2000000000+R96*0.8000000000))</f>
        <v>0</v>
      </c>
      <c r="S97">
        <f>IF(OR(Q97="",R97=""),"",Q97-R97)</f>
        <v>0</v>
      </c>
      <c r="T97">
        <f>IF(COUNT($E$2:$E97)&lt;14,"",MAX($C$84:$C$97))</f>
        <v>0</v>
      </c>
      <c r="U97">
        <f>IF(COUNT($E$2:$E97)&lt;14,"",MIN($D$84:$D$97))</f>
        <v>0</v>
      </c>
      <c r="V97">
        <f>IF(OR(T97="",U97="",T97=U97),"",100*($E97-U97)/(T97-U97))</f>
        <v>0</v>
      </c>
      <c r="W97">
        <f>IF(COUNT($V$95:$V$97)&lt;3,"",AVERAGE($V$95:$V$97))</f>
        <v>0</v>
      </c>
      <c r="X97">
        <f>IF(COUNT($N$84:$N$97)&lt;14,"",MIN($N$84:$N$97))</f>
        <v>0</v>
      </c>
      <c r="Y97">
        <f>IF(COUNT($N$84:$N$97)&lt;14,"",MAX($N$84:$N$97))</f>
        <v>0</v>
      </c>
      <c r="Z97">
        <f>IF(OR(N97="",X97="",Y97="",Y97=X97),"",100*(N97-X97)/(Y97-X97))</f>
        <v>0</v>
      </c>
      <c r="AA97">
        <f>IF(COUNT($Z$95:$Z$97)&lt;3,"",AVERAGE($Z$95:$Z$97))</f>
        <v>0</v>
      </c>
      <c r="AB97">
        <f>IF(COUNT($AA$95:$AA$97)&lt;3,"",AVERAGE($AA$95:$AA$97))</f>
        <v>0</v>
      </c>
      <c r="AC97">
        <f>IF($E97="","",MAX($C97-$D97,ABS($C97-$E96),ABS($D97-$E96)))</f>
        <v>0</v>
      </c>
      <c r="AD97">
        <f>IF(COUNT($E$2:$E97)&lt;15,"",AVERAGE($AC$84:$AC$97))</f>
        <v>0</v>
      </c>
      <c r="AE97">
        <f>IF(OR($E97="",$E96=""),"",IF(AND(($C97-$C96)&gt;($D96-$D97),($C97-$C96)&gt;0),$C97-$C96,0))</f>
        <v>0</v>
      </c>
      <c r="AF97">
        <f>IF(OR($E97="",$E96=""),"",IF(AND(($D96-$D97)&gt;($C97-$C96),($D96-$D97)&gt;0),$D96-$D97,0))</f>
        <v>0</v>
      </c>
      <c r="AG97">
        <f>IF(COUNT($E$2:$E97)&lt;15,"",IF(SUM($AC$84:$AC$97)=0,0,100*SUM($AE$84:$AE$97)/SUM($AC$84:$AC$97)))</f>
        <v>0</v>
      </c>
      <c r="AH97">
        <f>IF(COUNT($E$2:$E97)&lt;15,"",IF(SUM($AC$84:$AC$97)=0,0,100*SUM($AF$84:$AF$97)/SUM($AC$84:$AC$97)))</f>
        <v>0</v>
      </c>
      <c r="AI97">
        <f>IF(OR(AG97="",AH97=""),"",IF((AG97+AH97)=0,0,100*ABS(AG97-AH97)/(AG97+AH97)))</f>
        <v>0</v>
      </c>
      <c r="AJ97">
        <f>IF(COUNT($AI$84:$AI$97)&lt;14,"",AVERAGE($AI$84:$AI$97))</f>
        <v>0</v>
      </c>
      <c r="AK97">
        <f>IF(COUNT($E$2:$E97)&lt;20,"",AVERAGE($E$78:$E$97))</f>
        <v>0</v>
      </c>
      <c r="AL97">
        <f>IF(COUNT($E$2:$E97)&lt;20,"",STDEVP($E$78:$E$97))</f>
        <v>0</v>
      </c>
      <c r="AM97">
        <f>IF(AK97="","",AK97+2*AL97)</f>
        <v>0</v>
      </c>
      <c r="AN97">
        <f>IF(AK97="","",AK97-2*AL97)</f>
        <v>0</v>
      </c>
      <c r="AO97">
        <f>IF(OR(AM97="",AN97="",AM97=AN97),"",($E97-AN97)/(AM97-AN97))</f>
        <v>0</v>
      </c>
      <c r="AP97">
        <f>IF(OR(AM97="",AK97="",AK97=0),"",(AM97-AN97)/AK97)</f>
        <v>0</v>
      </c>
      <c r="AQ97">
        <f>IF(COUNT($E$2:$E97)&lt;20,"",MAX($C$78:$C$97))</f>
        <v>0</v>
      </c>
      <c r="AR97">
        <f>IF(COUNT($E$2:$E97)&lt;20,"",MIN($D$78:$D$97))</f>
        <v>0</v>
      </c>
      <c r="AS97">
        <f>IF(OR(AQ97="",AR97=""),"",(AQ97+AR97)/2)</f>
        <v>0</v>
      </c>
      <c r="AT97">
        <f>IF(COUNT($G$78:$G$97)&lt;20,"",STDEV($G$78:$G$97)*SQRT(252))</f>
        <v>0</v>
      </c>
      <c r="AU97">
        <f>IF(COUNT($E$2:$E97)&lt;9,"",(MAX($C$89:$C$97)+MIN($D$89:$D$97))/2)</f>
        <v>0</v>
      </c>
      <c r="AV97">
        <f>IF(COUNT($E$2:$E97)&lt;26,"",(MAX($C$72:$C$97)+MIN($D$72:$D$97))/2)</f>
        <v>0</v>
      </c>
      <c r="AW97">
        <f>IF(OR(AU97="",AV97=""),"",(AU97+AV97)/2)</f>
        <v>0</v>
      </c>
      <c r="AX97">
        <f>IF(COUNT($E$2:$E97)&lt;52,"",(MAX($C$46:$C$97)+MIN($D$46:$D$97))/2)</f>
        <v>0</v>
      </c>
      <c r="AY97">
        <f>IF(COUNT($E$2:$E97)&lt;20,"",MAX($C$2:$C$97))</f>
        <v>0</v>
      </c>
      <c r="AZ97">
        <f>IF(COUNT($E$2:$E97)&lt;20,"",MIN($D$2:$D$97))</f>
        <v>0</v>
      </c>
      <c r="BA97">
        <f>IF(COUNT($E$2:$E97)&lt;20,"",SLOPE($E$2:$E$97,$F$2:$F$97))</f>
        <v>0</v>
      </c>
      <c r="BB97">
        <f>IF(COUNT($E$2:$E97)&lt;20,"",INTERCEPT($E$2:$E$97,$F$2:$F$97))</f>
        <v>0</v>
      </c>
      <c r="BC97">
        <f>IF(OR(BA97="",BB97=""),"",BB97+BA97*F97)</f>
        <v>0</v>
      </c>
      <c r="BD97">
        <f>IF(COUNT($E$2:$E97)&lt;20,"",STEYX($E$2:$E$97,$F$2:$F$97))</f>
        <v>0</v>
      </c>
      <c r="BE97">
        <f>IF($E97="","",IF(AND(COUNT($E$98:$E$101)&gt;=4,$C97=MAX($C$93:$C$101)),$C97,""))</f>
        <v>0</v>
      </c>
      <c r="BF97">
        <f>IF($E97="","",IF(AND(COUNT($E$98:$E$101)&gt;=4,$D97=MIN($D$93:$D$101)),$D97,""))</f>
        <v>0</v>
      </c>
      <c r="BG97">
        <f>IF($A97="","",$A97-WEEKDAY($A97,2)+1)</f>
        <v>0</v>
      </c>
      <c r="BH97">
        <f>IF($A97="","",IF($A96="",1,IF(BG97&lt;&gt;BG96,1,0)))</f>
        <v>0</v>
      </c>
      <c r="BI97">
        <f>IF($A97="","",IF($A98="",1,IF(BG98&lt;&gt;BG97,1,0)))</f>
        <v>0</v>
      </c>
      <c r="BJ97">
        <f>IF($A97="","",IF(BH97=1,$B97,BJ96))</f>
        <v>0</v>
      </c>
      <c r="BK97">
        <f>IF($A97="","",IF(BH97=1,$C97,MAX($C97,BK96)))</f>
        <v>0</v>
      </c>
      <c r="BL97">
        <f>IF($A97="","",IF(BH97=1,$D97,MIN($D97,BL96)))</f>
        <v>0</v>
      </c>
      <c r="BM97">
        <f>IF($A97="","",IF(BI97=1,F97,""))</f>
        <v>0</v>
      </c>
      <c r="BN97">
        <f>IF($A97="","",DATE(YEAR($A97),MONTH($A97),1))</f>
        <v>0</v>
      </c>
      <c r="BO97">
        <f>IF($A97="","",IF($A96="",1,IF(BN97&lt;&gt;BN96,1,0)))</f>
        <v>0</v>
      </c>
      <c r="BP97">
        <f>IF($A97="","",IF($A98="",1,IF(BN98&lt;&gt;BN97,1,0)))</f>
        <v>0</v>
      </c>
      <c r="BQ97">
        <f>IF($A97="","",IF(BO97=1,$B97,BQ96))</f>
        <v>0</v>
      </c>
      <c r="BR97">
        <f>IF($A97="","",IF(BO97=1,$C97,MAX($C97,BR96)))</f>
        <v>0</v>
      </c>
      <c r="BS97">
        <f>IF($A97="","",IF(BO97=1,$D97,MIN($D97,BS96)))</f>
        <v>0</v>
      </c>
      <c r="BT97">
        <f>IF($A97="","",IF(BP97=1,F97,""))</f>
        <v>0</v>
      </c>
    </row>
    <row r="98" spans="1:72">
      <c r="A98" s="27">
        <f>IF(Data!$A98="","",Data!$A98)</f>
        <v>0</v>
      </c>
      <c r="B98">
        <f>IF(Data!$B98="","",Data!$B98)</f>
        <v>0</v>
      </c>
      <c r="C98">
        <f>IF(Data!$C98="","",Data!$C98)</f>
        <v>0</v>
      </c>
      <c r="D98">
        <f>IF(Data!$D98="","",Data!$D98)</f>
        <v>0</v>
      </c>
      <c r="E98">
        <f>IF(Data!$E98="","",Data!$E98)</f>
        <v>0</v>
      </c>
      <c r="F98">
        <f>IF($E98="","",N(F97)+1)</f>
        <v>0</v>
      </c>
      <c r="G98">
        <f>IF(OR($E98="",$E97=""),"",LN($E98/$E97))</f>
        <v>0</v>
      </c>
      <c r="H98">
        <f>IF($E98="","",IF($E97="",$E98,$E98*0.0952380952+H97*0.9047619048))</f>
        <v>0</v>
      </c>
      <c r="I98">
        <f>IF($E98="","",IF($E97="",$E98,$E98*0.0392156863+I97*0.9607843137))</f>
        <v>0</v>
      </c>
      <c r="J98">
        <f>IF($E98="","",IF($E97="",$E98,$E98*0.0198019802+J97*0.9801980198))</f>
        <v>0</v>
      </c>
      <c r="K98">
        <f>IF($E98="","",IF($E97="",$E98,$E98*0.0099502488+K97*0.9900497512))</f>
        <v>0</v>
      </c>
      <c r="L98">
        <f>IF(OR($E98="",$E97=""),"",MAX($E98-$E97,0))</f>
        <v>0</v>
      </c>
      <c r="M98">
        <f>IF(OR($E98="",$E97=""),"",MAX($E97-$E98,0))</f>
        <v>0</v>
      </c>
      <c r="N98">
        <f>IF(COUNT($E$2:$E98)&lt;15,"",IF(AVERAGE($M$85:$M$98)=0,100,100-100/(1+AVERAGE($L$85:$L$98)/AVERAGE($M$85:$M$98))))</f>
        <v>0</v>
      </c>
      <c r="O98">
        <f>IF($E98="","",IF($E97="",$E98,$E98*0.1538461538+O97*0.8461538462))</f>
        <v>0</v>
      </c>
      <c r="P98">
        <f>IF($E98="","",IF($E97="",$E98,$E98*0.0740740741+P97*0.9259259259))</f>
        <v>0</v>
      </c>
      <c r="Q98">
        <f>IF(OR(O98="",P98=""),"",O98-P98)</f>
        <v>0</v>
      </c>
      <c r="R98">
        <f>IF(Q98="","",IF(R97="",Q98,Q98*0.2000000000+R97*0.8000000000))</f>
        <v>0</v>
      </c>
      <c r="S98">
        <f>IF(OR(Q98="",R98=""),"",Q98-R98)</f>
        <v>0</v>
      </c>
      <c r="T98">
        <f>IF(COUNT($E$2:$E98)&lt;14,"",MAX($C$85:$C$98))</f>
        <v>0</v>
      </c>
      <c r="U98">
        <f>IF(COUNT($E$2:$E98)&lt;14,"",MIN($D$85:$D$98))</f>
        <v>0</v>
      </c>
      <c r="V98">
        <f>IF(OR(T98="",U98="",T98=U98),"",100*($E98-U98)/(T98-U98))</f>
        <v>0</v>
      </c>
      <c r="W98">
        <f>IF(COUNT($V$96:$V$98)&lt;3,"",AVERAGE($V$96:$V$98))</f>
        <v>0</v>
      </c>
      <c r="X98">
        <f>IF(COUNT($N$85:$N$98)&lt;14,"",MIN($N$85:$N$98))</f>
        <v>0</v>
      </c>
      <c r="Y98">
        <f>IF(COUNT($N$85:$N$98)&lt;14,"",MAX($N$85:$N$98))</f>
        <v>0</v>
      </c>
      <c r="Z98">
        <f>IF(OR(N98="",X98="",Y98="",Y98=X98),"",100*(N98-X98)/(Y98-X98))</f>
        <v>0</v>
      </c>
      <c r="AA98">
        <f>IF(COUNT($Z$96:$Z$98)&lt;3,"",AVERAGE($Z$96:$Z$98))</f>
        <v>0</v>
      </c>
      <c r="AB98">
        <f>IF(COUNT($AA$96:$AA$98)&lt;3,"",AVERAGE($AA$96:$AA$98))</f>
        <v>0</v>
      </c>
      <c r="AC98">
        <f>IF($E98="","",MAX($C98-$D98,ABS($C98-$E97),ABS($D98-$E97)))</f>
        <v>0</v>
      </c>
      <c r="AD98">
        <f>IF(COUNT($E$2:$E98)&lt;15,"",AVERAGE($AC$85:$AC$98))</f>
        <v>0</v>
      </c>
      <c r="AE98">
        <f>IF(OR($E98="",$E97=""),"",IF(AND(($C98-$C97)&gt;($D97-$D98),($C98-$C97)&gt;0),$C98-$C97,0))</f>
        <v>0</v>
      </c>
      <c r="AF98">
        <f>IF(OR($E98="",$E97=""),"",IF(AND(($D97-$D98)&gt;($C98-$C97),($D97-$D98)&gt;0),$D97-$D98,0))</f>
        <v>0</v>
      </c>
      <c r="AG98">
        <f>IF(COUNT($E$2:$E98)&lt;15,"",IF(SUM($AC$85:$AC$98)=0,0,100*SUM($AE$85:$AE$98)/SUM($AC$85:$AC$98)))</f>
        <v>0</v>
      </c>
      <c r="AH98">
        <f>IF(COUNT($E$2:$E98)&lt;15,"",IF(SUM($AC$85:$AC$98)=0,0,100*SUM($AF$85:$AF$98)/SUM($AC$85:$AC$98)))</f>
        <v>0</v>
      </c>
      <c r="AI98">
        <f>IF(OR(AG98="",AH98=""),"",IF((AG98+AH98)=0,0,100*ABS(AG98-AH98)/(AG98+AH98)))</f>
        <v>0</v>
      </c>
      <c r="AJ98">
        <f>IF(COUNT($AI$85:$AI$98)&lt;14,"",AVERAGE($AI$85:$AI$98))</f>
        <v>0</v>
      </c>
      <c r="AK98">
        <f>IF(COUNT($E$2:$E98)&lt;20,"",AVERAGE($E$79:$E$98))</f>
        <v>0</v>
      </c>
      <c r="AL98">
        <f>IF(COUNT($E$2:$E98)&lt;20,"",STDEVP($E$79:$E$98))</f>
        <v>0</v>
      </c>
      <c r="AM98">
        <f>IF(AK98="","",AK98+2*AL98)</f>
        <v>0</v>
      </c>
      <c r="AN98">
        <f>IF(AK98="","",AK98-2*AL98)</f>
        <v>0</v>
      </c>
      <c r="AO98">
        <f>IF(OR(AM98="",AN98="",AM98=AN98),"",($E98-AN98)/(AM98-AN98))</f>
        <v>0</v>
      </c>
      <c r="AP98">
        <f>IF(OR(AM98="",AK98="",AK98=0),"",(AM98-AN98)/AK98)</f>
        <v>0</v>
      </c>
      <c r="AQ98">
        <f>IF(COUNT($E$2:$E98)&lt;20,"",MAX($C$79:$C$98))</f>
        <v>0</v>
      </c>
      <c r="AR98">
        <f>IF(COUNT($E$2:$E98)&lt;20,"",MIN($D$79:$D$98))</f>
        <v>0</v>
      </c>
      <c r="AS98">
        <f>IF(OR(AQ98="",AR98=""),"",(AQ98+AR98)/2)</f>
        <v>0</v>
      </c>
      <c r="AT98">
        <f>IF(COUNT($G$79:$G$98)&lt;20,"",STDEV($G$79:$G$98)*SQRT(252))</f>
        <v>0</v>
      </c>
      <c r="AU98">
        <f>IF(COUNT($E$2:$E98)&lt;9,"",(MAX($C$90:$C$98)+MIN($D$90:$D$98))/2)</f>
        <v>0</v>
      </c>
      <c r="AV98">
        <f>IF(COUNT($E$2:$E98)&lt;26,"",(MAX($C$73:$C$98)+MIN($D$73:$D$98))/2)</f>
        <v>0</v>
      </c>
      <c r="AW98">
        <f>IF(OR(AU98="",AV98=""),"",(AU98+AV98)/2)</f>
        <v>0</v>
      </c>
      <c r="AX98">
        <f>IF(COUNT($E$2:$E98)&lt;52,"",(MAX($C$47:$C$98)+MIN($D$47:$D$98))/2)</f>
        <v>0</v>
      </c>
      <c r="AY98">
        <f>IF(COUNT($E$2:$E98)&lt;20,"",MAX($C$2:$C$98))</f>
        <v>0</v>
      </c>
      <c r="AZ98">
        <f>IF(COUNT($E$2:$E98)&lt;20,"",MIN($D$2:$D$98))</f>
        <v>0</v>
      </c>
      <c r="BA98">
        <f>IF(COUNT($E$2:$E98)&lt;20,"",SLOPE($E$2:$E$98,$F$2:$F$98))</f>
        <v>0</v>
      </c>
      <c r="BB98">
        <f>IF(COUNT($E$2:$E98)&lt;20,"",INTERCEPT($E$2:$E$98,$F$2:$F$98))</f>
        <v>0</v>
      </c>
      <c r="BC98">
        <f>IF(OR(BA98="",BB98=""),"",BB98+BA98*F98)</f>
        <v>0</v>
      </c>
      <c r="BD98">
        <f>IF(COUNT($E$2:$E98)&lt;20,"",STEYX($E$2:$E$98,$F$2:$F$98))</f>
        <v>0</v>
      </c>
      <c r="BE98">
        <f>IF($E98="","",IF(AND(COUNT($E$99:$E$102)&gt;=4,$C98=MAX($C$94:$C$102)),$C98,""))</f>
        <v>0</v>
      </c>
      <c r="BF98">
        <f>IF($E98="","",IF(AND(COUNT($E$99:$E$102)&gt;=4,$D98=MIN($D$94:$D$102)),$D98,""))</f>
        <v>0</v>
      </c>
      <c r="BG98">
        <f>IF($A98="","",$A98-WEEKDAY($A98,2)+1)</f>
        <v>0</v>
      </c>
      <c r="BH98">
        <f>IF($A98="","",IF($A97="",1,IF(BG98&lt;&gt;BG97,1,0)))</f>
        <v>0</v>
      </c>
      <c r="BI98">
        <f>IF($A98="","",IF($A99="",1,IF(BG99&lt;&gt;BG98,1,0)))</f>
        <v>0</v>
      </c>
      <c r="BJ98">
        <f>IF($A98="","",IF(BH98=1,$B98,BJ97))</f>
        <v>0</v>
      </c>
      <c r="BK98">
        <f>IF($A98="","",IF(BH98=1,$C98,MAX($C98,BK97)))</f>
        <v>0</v>
      </c>
      <c r="BL98">
        <f>IF($A98="","",IF(BH98=1,$D98,MIN($D98,BL97)))</f>
        <v>0</v>
      </c>
      <c r="BM98">
        <f>IF($A98="","",IF(BI98=1,F98,""))</f>
        <v>0</v>
      </c>
      <c r="BN98">
        <f>IF($A98="","",DATE(YEAR($A98),MONTH($A98),1))</f>
        <v>0</v>
      </c>
      <c r="BO98">
        <f>IF($A98="","",IF($A97="",1,IF(BN98&lt;&gt;BN97,1,0)))</f>
        <v>0</v>
      </c>
      <c r="BP98">
        <f>IF($A98="","",IF($A99="",1,IF(BN99&lt;&gt;BN98,1,0)))</f>
        <v>0</v>
      </c>
      <c r="BQ98">
        <f>IF($A98="","",IF(BO98=1,$B98,BQ97))</f>
        <v>0</v>
      </c>
      <c r="BR98">
        <f>IF($A98="","",IF(BO98=1,$C98,MAX($C98,BR97)))</f>
        <v>0</v>
      </c>
      <c r="BS98">
        <f>IF($A98="","",IF(BO98=1,$D98,MIN($D98,BS97)))</f>
        <v>0</v>
      </c>
      <c r="BT98">
        <f>IF($A98="","",IF(BP98=1,F98,""))</f>
        <v>0</v>
      </c>
    </row>
    <row r="99" spans="1:72">
      <c r="A99" s="27">
        <f>IF(Data!$A99="","",Data!$A99)</f>
        <v>0</v>
      </c>
      <c r="B99">
        <f>IF(Data!$B99="","",Data!$B99)</f>
        <v>0</v>
      </c>
      <c r="C99">
        <f>IF(Data!$C99="","",Data!$C99)</f>
        <v>0</v>
      </c>
      <c r="D99">
        <f>IF(Data!$D99="","",Data!$D99)</f>
        <v>0</v>
      </c>
      <c r="E99">
        <f>IF(Data!$E99="","",Data!$E99)</f>
        <v>0</v>
      </c>
      <c r="F99">
        <f>IF($E99="","",N(F98)+1)</f>
        <v>0</v>
      </c>
      <c r="G99">
        <f>IF(OR($E99="",$E98=""),"",LN($E99/$E98))</f>
        <v>0</v>
      </c>
      <c r="H99">
        <f>IF($E99="","",IF($E98="",$E99,$E99*0.0952380952+H98*0.9047619048))</f>
        <v>0</v>
      </c>
      <c r="I99">
        <f>IF($E99="","",IF($E98="",$E99,$E99*0.0392156863+I98*0.9607843137))</f>
        <v>0</v>
      </c>
      <c r="J99">
        <f>IF($E99="","",IF($E98="",$E99,$E99*0.0198019802+J98*0.9801980198))</f>
        <v>0</v>
      </c>
      <c r="K99">
        <f>IF($E99="","",IF($E98="",$E99,$E99*0.0099502488+K98*0.9900497512))</f>
        <v>0</v>
      </c>
      <c r="L99">
        <f>IF(OR($E99="",$E98=""),"",MAX($E99-$E98,0))</f>
        <v>0</v>
      </c>
      <c r="M99">
        <f>IF(OR($E99="",$E98=""),"",MAX($E98-$E99,0))</f>
        <v>0</v>
      </c>
      <c r="N99">
        <f>IF(COUNT($E$2:$E99)&lt;15,"",IF(AVERAGE($M$86:$M$99)=0,100,100-100/(1+AVERAGE($L$86:$L$99)/AVERAGE($M$86:$M$99))))</f>
        <v>0</v>
      </c>
      <c r="O99">
        <f>IF($E99="","",IF($E98="",$E99,$E99*0.1538461538+O98*0.8461538462))</f>
        <v>0</v>
      </c>
      <c r="P99">
        <f>IF($E99="","",IF($E98="",$E99,$E99*0.0740740741+P98*0.9259259259))</f>
        <v>0</v>
      </c>
      <c r="Q99">
        <f>IF(OR(O99="",P99=""),"",O99-P99)</f>
        <v>0</v>
      </c>
      <c r="R99">
        <f>IF(Q99="","",IF(R98="",Q99,Q99*0.2000000000+R98*0.8000000000))</f>
        <v>0</v>
      </c>
      <c r="S99">
        <f>IF(OR(Q99="",R99=""),"",Q99-R99)</f>
        <v>0</v>
      </c>
      <c r="T99">
        <f>IF(COUNT($E$2:$E99)&lt;14,"",MAX($C$86:$C$99))</f>
        <v>0</v>
      </c>
      <c r="U99">
        <f>IF(COUNT($E$2:$E99)&lt;14,"",MIN($D$86:$D$99))</f>
        <v>0</v>
      </c>
      <c r="V99">
        <f>IF(OR(T99="",U99="",T99=U99),"",100*($E99-U99)/(T99-U99))</f>
        <v>0</v>
      </c>
      <c r="W99">
        <f>IF(COUNT($V$97:$V$99)&lt;3,"",AVERAGE($V$97:$V$99))</f>
        <v>0</v>
      </c>
      <c r="X99">
        <f>IF(COUNT($N$86:$N$99)&lt;14,"",MIN($N$86:$N$99))</f>
        <v>0</v>
      </c>
      <c r="Y99">
        <f>IF(COUNT($N$86:$N$99)&lt;14,"",MAX($N$86:$N$99))</f>
        <v>0</v>
      </c>
      <c r="Z99">
        <f>IF(OR(N99="",X99="",Y99="",Y99=X99),"",100*(N99-X99)/(Y99-X99))</f>
        <v>0</v>
      </c>
      <c r="AA99">
        <f>IF(COUNT($Z$97:$Z$99)&lt;3,"",AVERAGE($Z$97:$Z$99))</f>
        <v>0</v>
      </c>
      <c r="AB99">
        <f>IF(COUNT($AA$97:$AA$99)&lt;3,"",AVERAGE($AA$97:$AA$99))</f>
        <v>0</v>
      </c>
      <c r="AC99">
        <f>IF($E99="","",MAX($C99-$D99,ABS($C99-$E98),ABS($D99-$E98)))</f>
        <v>0</v>
      </c>
      <c r="AD99">
        <f>IF(COUNT($E$2:$E99)&lt;15,"",AVERAGE($AC$86:$AC$99))</f>
        <v>0</v>
      </c>
      <c r="AE99">
        <f>IF(OR($E99="",$E98=""),"",IF(AND(($C99-$C98)&gt;($D98-$D99),($C99-$C98)&gt;0),$C99-$C98,0))</f>
        <v>0</v>
      </c>
      <c r="AF99">
        <f>IF(OR($E99="",$E98=""),"",IF(AND(($D98-$D99)&gt;($C99-$C98),($D98-$D99)&gt;0),$D98-$D99,0))</f>
        <v>0</v>
      </c>
      <c r="AG99">
        <f>IF(COUNT($E$2:$E99)&lt;15,"",IF(SUM($AC$86:$AC$99)=0,0,100*SUM($AE$86:$AE$99)/SUM($AC$86:$AC$99)))</f>
        <v>0</v>
      </c>
      <c r="AH99">
        <f>IF(COUNT($E$2:$E99)&lt;15,"",IF(SUM($AC$86:$AC$99)=0,0,100*SUM($AF$86:$AF$99)/SUM($AC$86:$AC$99)))</f>
        <v>0</v>
      </c>
      <c r="AI99">
        <f>IF(OR(AG99="",AH99=""),"",IF((AG99+AH99)=0,0,100*ABS(AG99-AH99)/(AG99+AH99)))</f>
        <v>0</v>
      </c>
      <c r="AJ99">
        <f>IF(COUNT($AI$86:$AI$99)&lt;14,"",AVERAGE($AI$86:$AI$99))</f>
        <v>0</v>
      </c>
      <c r="AK99">
        <f>IF(COUNT($E$2:$E99)&lt;20,"",AVERAGE($E$80:$E$99))</f>
        <v>0</v>
      </c>
      <c r="AL99">
        <f>IF(COUNT($E$2:$E99)&lt;20,"",STDEVP($E$80:$E$99))</f>
        <v>0</v>
      </c>
      <c r="AM99">
        <f>IF(AK99="","",AK99+2*AL99)</f>
        <v>0</v>
      </c>
      <c r="AN99">
        <f>IF(AK99="","",AK99-2*AL99)</f>
        <v>0</v>
      </c>
      <c r="AO99">
        <f>IF(OR(AM99="",AN99="",AM99=AN99),"",($E99-AN99)/(AM99-AN99))</f>
        <v>0</v>
      </c>
      <c r="AP99">
        <f>IF(OR(AM99="",AK99="",AK99=0),"",(AM99-AN99)/AK99)</f>
        <v>0</v>
      </c>
      <c r="AQ99">
        <f>IF(COUNT($E$2:$E99)&lt;20,"",MAX($C$80:$C$99))</f>
        <v>0</v>
      </c>
      <c r="AR99">
        <f>IF(COUNT($E$2:$E99)&lt;20,"",MIN($D$80:$D$99))</f>
        <v>0</v>
      </c>
      <c r="AS99">
        <f>IF(OR(AQ99="",AR99=""),"",(AQ99+AR99)/2)</f>
        <v>0</v>
      </c>
      <c r="AT99">
        <f>IF(COUNT($G$80:$G$99)&lt;20,"",STDEV($G$80:$G$99)*SQRT(252))</f>
        <v>0</v>
      </c>
      <c r="AU99">
        <f>IF(COUNT($E$2:$E99)&lt;9,"",(MAX($C$91:$C$99)+MIN($D$91:$D$99))/2)</f>
        <v>0</v>
      </c>
      <c r="AV99">
        <f>IF(COUNT($E$2:$E99)&lt;26,"",(MAX($C$74:$C$99)+MIN($D$74:$D$99))/2)</f>
        <v>0</v>
      </c>
      <c r="AW99">
        <f>IF(OR(AU99="",AV99=""),"",(AU99+AV99)/2)</f>
        <v>0</v>
      </c>
      <c r="AX99">
        <f>IF(COUNT($E$2:$E99)&lt;52,"",(MAX($C$48:$C$99)+MIN($D$48:$D$99))/2)</f>
        <v>0</v>
      </c>
      <c r="AY99">
        <f>IF(COUNT($E$2:$E99)&lt;20,"",MAX($C$2:$C$99))</f>
        <v>0</v>
      </c>
      <c r="AZ99">
        <f>IF(COUNT($E$2:$E99)&lt;20,"",MIN($D$2:$D$99))</f>
        <v>0</v>
      </c>
      <c r="BA99">
        <f>IF(COUNT($E$2:$E99)&lt;20,"",SLOPE($E$2:$E$99,$F$2:$F$99))</f>
        <v>0</v>
      </c>
      <c r="BB99">
        <f>IF(COUNT($E$2:$E99)&lt;20,"",INTERCEPT($E$2:$E$99,$F$2:$F$99))</f>
        <v>0</v>
      </c>
      <c r="BC99">
        <f>IF(OR(BA99="",BB99=""),"",BB99+BA99*F99)</f>
        <v>0</v>
      </c>
      <c r="BD99">
        <f>IF(COUNT($E$2:$E99)&lt;20,"",STEYX($E$2:$E$99,$F$2:$F$99))</f>
        <v>0</v>
      </c>
      <c r="BE99">
        <f>IF($E99="","",IF(AND(COUNT($E$100:$E$103)&gt;=4,$C99=MAX($C$95:$C$103)),$C99,""))</f>
        <v>0</v>
      </c>
      <c r="BF99">
        <f>IF($E99="","",IF(AND(COUNT($E$100:$E$103)&gt;=4,$D99=MIN($D$95:$D$103)),$D99,""))</f>
        <v>0</v>
      </c>
      <c r="BG99">
        <f>IF($A99="","",$A99-WEEKDAY($A99,2)+1)</f>
        <v>0</v>
      </c>
      <c r="BH99">
        <f>IF($A99="","",IF($A98="",1,IF(BG99&lt;&gt;BG98,1,0)))</f>
        <v>0</v>
      </c>
      <c r="BI99">
        <f>IF($A99="","",IF($A100="",1,IF(BG100&lt;&gt;BG99,1,0)))</f>
        <v>0</v>
      </c>
      <c r="BJ99">
        <f>IF($A99="","",IF(BH99=1,$B99,BJ98))</f>
        <v>0</v>
      </c>
      <c r="BK99">
        <f>IF($A99="","",IF(BH99=1,$C99,MAX($C99,BK98)))</f>
        <v>0</v>
      </c>
      <c r="BL99">
        <f>IF($A99="","",IF(BH99=1,$D99,MIN($D99,BL98)))</f>
        <v>0</v>
      </c>
      <c r="BM99">
        <f>IF($A99="","",IF(BI99=1,F99,""))</f>
        <v>0</v>
      </c>
      <c r="BN99">
        <f>IF($A99="","",DATE(YEAR($A99),MONTH($A99),1))</f>
        <v>0</v>
      </c>
      <c r="BO99">
        <f>IF($A99="","",IF($A98="",1,IF(BN99&lt;&gt;BN98,1,0)))</f>
        <v>0</v>
      </c>
      <c r="BP99">
        <f>IF($A99="","",IF($A100="",1,IF(BN100&lt;&gt;BN99,1,0)))</f>
        <v>0</v>
      </c>
      <c r="BQ99">
        <f>IF($A99="","",IF(BO99=1,$B99,BQ98))</f>
        <v>0</v>
      </c>
      <c r="BR99">
        <f>IF($A99="","",IF(BO99=1,$C99,MAX($C99,BR98)))</f>
        <v>0</v>
      </c>
      <c r="BS99">
        <f>IF($A99="","",IF(BO99=1,$D99,MIN($D99,BS98)))</f>
        <v>0</v>
      </c>
      <c r="BT99">
        <f>IF($A99="","",IF(BP99=1,F99,""))</f>
        <v>0</v>
      </c>
    </row>
    <row r="100" spans="1:72">
      <c r="A100" s="27">
        <f>IF(Data!$A100="","",Data!$A100)</f>
        <v>0</v>
      </c>
      <c r="B100">
        <f>IF(Data!$B100="","",Data!$B100)</f>
        <v>0</v>
      </c>
      <c r="C100">
        <f>IF(Data!$C100="","",Data!$C100)</f>
        <v>0</v>
      </c>
      <c r="D100">
        <f>IF(Data!$D100="","",Data!$D100)</f>
        <v>0</v>
      </c>
      <c r="E100">
        <f>IF(Data!$E100="","",Data!$E100)</f>
        <v>0</v>
      </c>
      <c r="F100">
        <f>IF($E100="","",N(F99)+1)</f>
        <v>0</v>
      </c>
      <c r="G100">
        <f>IF(OR($E100="",$E99=""),"",LN($E100/$E99))</f>
        <v>0</v>
      </c>
      <c r="H100">
        <f>IF($E100="","",IF($E99="",$E100,$E100*0.0952380952+H99*0.9047619048))</f>
        <v>0</v>
      </c>
      <c r="I100">
        <f>IF($E100="","",IF($E99="",$E100,$E100*0.0392156863+I99*0.9607843137))</f>
        <v>0</v>
      </c>
      <c r="J100">
        <f>IF($E100="","",IF($E99="",$E100,$E100*0.0198019802+J99*0.9801980198))</f>
        <v>0</v>
      </c>
      <c r="K100">
        <f>IF($E100="","",IF($E99="",$E100,$E100*0.0099502488+K99*0.9900497512))</f>
        <v>0</v>
      </c>
      <c r="L100">
        <f>IF(OR($E100="",$E99=""),"",MAX($E100-$E99,0))</f>
        <v>0</v>
      </c>
      <c r="M100">
        <f>IF(OR($E100="",$E99=""),"",MAX($E99-$E100,0))</f>
        <v>0</v>
      </c>
      <c r="N100">
        <f>IF(COUNT($E$2:$E100)&lt;15,"",IF(AVERAGE($M$87:$M$100)=0,100,100-100/(1+AVERAGE($L$87:$L$100)/AVERAGE($M$87:$M$100))))</f>
        <v>0</v>
      </c>
      <c r="O100">
        <f>IF($E100="","",IF($E99="",$E100,$E100*0.1538461538+O99*0.8461538462))</f>
        <v>0</v>
      </c>
      <c r="P100">
        <f>IF($E100="","",IF($E99="",$E100,$E100*0.0740740741+P99*0.9259259259))</f>
        <v>0</v>
      </c>
      <c r="Q100">
        <f>IF(OR(O100="",P100=""),"",O100-P100)</f>
        <v>0</v>
      </c>
      <c r="R100">
        <f>IF(Q100="","",IF(R99="",Q100,Q100*0.2000000000+R99*0.8000000000))</f>
        <v>0</v>
      </c>
      <c r="S100">
        <f>IF(OR(Q100="",R100=""),"",Q100-R100)</f>
        <v>0</v>
      </c>
      <c r="T100">
        <f>IF(COUNT($E$2:$E100)&lt;14,"",MAX($C$87:$C$100))</f>
        <v>0</v>
      </c>
      <c r="U100">
        <f>IF(COUNT($E$2:$E100)&lt;14,"",MIN($D$87:$D$100))</f>
        <v>0</v>
      </c>
      <c r="V100">
        <f>IF(OR(T100="",U100="",T100=U100),"",100*($E100-U100)/(T100-U100))</f>
        <v>0</v>
      </c>
      <c r="W100">
        <f>IF(COUNT($V$98:$V$100)&lt;3,"",AVERAGE($V$98:$V$100))</f>
        <v>0</v>
      </c>
      <c r="X100">
        <f>IF(COUNT($N$87:$N$100)&lt;14,"",MIN($N$87:$N$100))</f>
        <v>0</v>
      </c>
      <c r="Y100">
        <f>IF(COUNT($N$87:$N$100)&lt;14,"",MAX($N$87:$N$100))</f>
        <v>0</v>
      </c>
      <c r="Z100">
        <f>IF(OR(N100="",X100="",Y100="",Y100=X100),"",100*(N100-X100)/(Y100-X100))</f>
        <v>0</v>
      </c>
      <c r="AA100">
        <f>IF(COUNT($Z$98:$Z$100)&lt;3,"",AVERAGE($Z$98:$Z$100))</f>
        <v>0</v>
      </c>
      <c r="AB100">
        <f>IF(COUNT($AA$98:$AA$100)&lt;3,"",AVERAGE($AA$98:$AA$100))</f>
        <v>0</v>
      </c>
      <c r="AC100">
        <f>IF($E100="","",MAX($C100-$D100,ABS($C100-$E99),ABS($D100-$E99)))</f>
        <v>0</v>
      </c>
      <c r="AD100">
        <f>IF(COUNT($E$2:$E100)&lt;15,"",AVERAGE($AC$87:$AC$100))</f>
        <v>0</v>
      </c>
      <c r="AE100">
        <f>IF(OR($E100="",$E99=""),"",IF(AND(($C100-$C99)&gt;($D99-$D100),($C100-$C99)&gt;0),$C100-$C99,0))</f>
        <v>0</v>
      </c>
      <c r="AF100">
        <f>IF(OR($E100="",$E99=""),"",IF(AND(($D99-$D100)&gt;($C100-$C99),($D99-$D100)&gt;0),$D99-$D100,0))</f>
        <v>0</v>
      </c>
      <c r="AG100">
        <f>IF(COUNT($E$2:$E100)&lt;15,"",IF(SUM($AC$87:$AC$100)=0,0,100*SUM($AE$87:$AE$100)/SUM($AC$87:$AC$100)))</f>
        <v>0</v>
      </c>
      <c r="AH100">
        <f>IF(COUNT($E$2:$E100)&lt;15,"",IF(SUM($AC$87:$AC$100)=0,0,100*SUM($AF$87:$AF$100)/SUM($AC$87:$AC$100)))</f>
        <v>0</v>
      </c>
      <c r="AI100">
        <f>IF(OR(AG100="",AH100=""),"",IF((AG100+AH100)=0,0,100*ABS(AG100-AH100)/(AG100+AH100)))</f>
        <v>0</v>
      </c>
      <c r="AJ100">
        <f>IF(COUNT($AI$87:$AI$100)&lt;14,"",AVERAGE($AI$87:$AI$100))</f>
        <v>0</v>
      </c>
      <c r="AK100">
        <f>IF(COUNT($E$2:$E100)&lt;20,"",AVERAGE($E$81:$E$100))</f>
        <v>0</v>
      </c>
      <c r="AL100">
        <f>IF(COUNT($E$2:$E100)&lt;20,"",STDEVP($E$81:$E$100))</f>
        <v>0</v>
      </c>
      <c r="AM100">
        <f>IF(AK100="","",AK100+2*AL100)</f>
        <v>0</v>
      </c>
      <c r="AN100">
        <f>IF(AK100="","",AK100-2*AL100)</f>
        <v>0</v>
      </c>
      <c r="AO100">
        <f>IF(OR(AM100="",AN100="",AM100=AN100),"",($E100-AN100)/(AM100-AN100))</f>
        <v>0</v>
      </c>
      <c r="AP100">
        <f>IF(OR(AM100="",AK100="",AK100=0),"",(AM100-AN100)/AK100)</f>
        <v>0</v>
      </c>
      <c r="AQ100">
        <f>IF(COUNT($E$2:$E100)&lt;20,"",MAX($C$81:$C$100))</f>
        <v>0</v>
      </c>
      <c r="AR100">
        <f>IF(COUNT($E$2:$E100)&lt;20,"",MIN($D$81:$D$100))</f>
        <v>0</v>
      </c>
      <c r="AS100">
        <f>IF(OR(AQ100="",AR100=""),"",(AQ100+AR100)/2)</f>
        <v>0</v>
      </c>
      <c r="AT100">
        <f>IF(COUNT($G$81:$G$100)&lt;20,"",STDEV($G$81:$G$100)*SQRT(252))</f>
        <v>0</v>
      </c>
      <c r="AU100">
        <f>IF(COUNT($E$2:$E100)&lt;9,"",(MAX($C$92:$C$100)+MIN($D$92:$D$100))/2)</f>
        <v>0</v>
      </c>
      <c r="AV100">
        <f>IF(COUNT($E$2:$E100)&lt;26,"",(MAX($C$75:$C$100)+MIN($D$75:$D$100))/2)</f>
        <v>0</v>
      </c>
      <c r="AW100">
        <f>IF(OR(AU100="",AV100=""),"",(AU100+AV100)/2)</f>
        <v>0</v>
      </c>
      <c r="AX100">
        <f>IF(COUNT($E$2:$E100)&lt;52,"",(MAX($C$49:$C$100)+MIN($D$49:$D$100))/2)</f>
        <v>0</v>
      </c>
      <c r="AY100">
        <f>IF(COUNT($E$2:$E100)&lt;20,"",MAX($C$2:$C$100))</f>
        <v>0</v>
      </c>
      <c r="AZ100">
        <f>IF(COUNT($E$2:$E100)&lt;20,"",MIN($D$2:$D$100))</f>
        <v>0</v>
      </c>
      <c r="BA100">
        <f>IF(COUNT($E$2:$E100)&lt;20,"",SLOPE($E$2:$E$100,$F$2:$F$100))</f>
        <v>0</v>
      </c>
      <c r="BB100">
        <f>IF(COUNT($E$2:$E100)&lt;20,"",INTERCEPT($E$2:$E$100,$F$2:$F$100))</f>
        <v>0</v>
      </c>
      <c r="BC100">
        <f>IF(OR(BA100="",BB100=""),"",BB100+BA100*F100)</f>
        <v>0</v>
      </c>
      <c r="BD100">
        <f>IF(COUNT($E$2:$E100)&lt;20,"",STEYX($E$2:$E$100,$F$2:$F$100))</f>
        <v>0</v>
      </c>
      <c r="BE100">
        <f>IF($E100="","",IF(AND(COUNT($E$101:$E$104)&gt;=4,$C100=MAX($C$96:$C$104)),$C100,""))</f>
        <v>0</v>
      </c>
      <c r="BF100">
        <f>IF($E100="","",IF(AND(COUNT($E$101:$E$104)&gt;=4,$D100=MIN($D$96:$D$104)),$D100,""))</f>
        <v>0</v>
      </c>
      <c r="BG100">
        <f>IF($A100="","",$A100-WEEKDAY($A100,2)+1)</f>
        <v>0</v>
      </c>
      <c r="BH100">
        <f>IF($A100="","",IF($A99="",1,IF(BG100&lt;&gt;BG99,1,0)))</f>
        <v>0</v>
      </c>
      <c r="BI100">
        <f>IF($A100="","",IF($A101="",1,IF(BG101&lt;&gt;BG100,1,0)))</f>
        <v>0</v>
      </c>
      <c r="BJ100">
        <f>IF($A100="","",IF(BH100=1,$B100,BJ99))</f>
        <v>0</v>
      </c>
      <c r="BK100">
        <f>IF($A100="","",IF(BH100=1,$C100,MAX($C100,BK99)))</f>
        <v>0</v>
      </c>
      <c r="BL100">
        <f>IF($A100="","",IF(BH100=1,$D100,MIN($D100,BL99)))</f>
        <v>0</v>
      </c>
      <c r="BM100">
        <f>IF($A100="","",IF(BI100=1,F100,""))</f>
        <v>0</v>
      </c>
      <c r="BN100">
        <f>IF($A100="","",DATE(YEAR($A100),MONTH($A100),1))</f>
        <v>0</v>
      </c>
      <c r="BO100">
        <f>IF($A100="","",IF($A99="",1,IF(BN100&lt;&gt;BN99,1,0)))</f>
        <v>0</v>
      </c>
      <c r="BP100">
        <f>IF($A100="","",IF($A101="",1,IF(BN101&lt;&gt;BN100,1,0)))</f>
        <v>0</v>
      </c>
      <c r="BQ100">
        <f>IF($A100="","",IF(BO100=1,$B100,BQ99))</f>
        <v>0</v>
      </c>
      <c r="BR100">
        <f>IF($A100="","",IF(BO100=1,$C100,MAX($C100,BR99)))</f>
        <v>0</v>
      </c>
      <c r="BS100">
        <f>IF($A100="","",IF(BO100=1,$D100,MIN($D100,BS99)))</f>
        <v>0</v>
      </c>
      <c r="BT100">
        <f>IF($A100="","",IF(BP100=1,F100,""))</f>
        <v>0</v>
      </c>
    </row>
    <row r="101" spans="1:72">
      <c r="A101" s="27">
        <f>IF(Data!$A101="","",Data!$A101)</f>
        <v>0</v>
      </c>
      <c r="B101">
        <f>IF(Data!$B101="","",Data!$B101)</f>
        <v>0</v>
      </c>
      <c r="C101">
        <f>IF(Data!$C101="","",Data!$C101)</f>
        <v>0</v>
      </c>
      <c r="D101">
        <f>IF(Data!$D101="","",Data!$D101)</f>
        <v>0</v>
      </c>
      <c r="E101">
        <f>IF(Data!$E101="","",Data!$E101)</f>
        <v>0</v>
      </c>
      <c r="F101">
        <f>IF($E101="","",N(F100)+1)</f>
        <v>0</v>
      </c>
      <c r="G101">
        <f>IF(OR($E101="",$E100=""),"",LN($E101/$E100))</f>
        <v>0</v>
      </c>
      <c r="H101">
        <f>IF($E101="","",IF($E100="",$E101,$E101*0.0952380952+H100*0.9047619048))</f>
        <v>0</v>
      </c>
      <c r="I101">
        <f>IF($E101="","",IF($E100="",$E101,$E101*0.0392156863+I100*0.9607843137))</f>
        <v>0</v>
      </c>
      <c r="J101">
        <f>IF($E101="","",IF($E100="",$E101,$E101*0.0198019802+J100*0.9801980198))</f>
        <v>0</v>
      </c>
      <c r="K101">
        <f>IF($E101="","",IF($E100="",$E101,$E101*0.0099502488+K100*0.9900497512))</f>
        <v>0</v>
      </c>
      <c r="L101">
        <f>IF(OR($E101="",$E100=""),"",MAX($E101-$E100,0))</f>
        <v>0</v>
      </c>
      <c r="M101">
        <f>IF(OR($E101="",$E100=""),"",MAX($E100-$E101,0))</f>
        <v>0</v>
      </c>
      <c r="N101">
        <f>IF(COUNT($E$2:$E101)&lt;15,"",IF(AVERAGE($M$88:$M$101)=0,100,100-100/(1+AVERAGE($L$88:$L$101)/AVERAGE($M$88:$M$101))))</f>
        <v>0</v>
      </c>
      <c r="O101">
        <f>IF($E101="","",IF($E100="",$E101,$E101*0.1538461538+O100*0.8461538462))</f>
        <v>0</v>
      </c>
      <c r="P101">
        <f>IF($E101="","",IF($E100="",$E101,$E101*0.0740740741+P100*0.9259259259))</f>
        <v>0</v>
      </c>
      <c r="Q101">
        <f>IF(OR(O101="",P101=""),"",O101-P101)</f>
        <v>0</v>
      </c>
      <c r="R101">
        <f>IF(Q101="","",IF(R100="",Q101,Q101*0.2000000000+R100*0.8000000000))</f>
        <v>0</v>
      </c>
      <c r="S101">
        <f>IF(OR(Q101="",R101=""),"",Q101-R101)</f>
        <v>0</v>
      </c>
      <c r="T101">
        <f>IF(COUNT($E$2:$E101)&lt;14,"",MAX($C$88:$C$101))</f>
        <v>0</v>
      </c>
      <c r="U101">
        <f>IF(COUNT($E$2:$E101)&lt;14,"",MIN($D$88:$D$101))</f>
        <v>0</v>
      </c>
      <c r="V101">
        <f>IF(OR(T101="",U101="",T101=U101),"",100*($E101-U101)/(T101-U101))</f>
        <v>0</v>
      </c>
      <c r="W101">
        <f>IF(COUNT($V$99:$V$101)&lt;3,"",AVERAGE($V$99:$V$101))</f>
        <v>0</v>
      </c>
      <c r="X101">
        <f>IF(COUNT($N$88:$N$101)&lt;14,"",MIN($N$88:$N$101))</f>
        <v>0</v>
      </c>
      <c r="Y101">
        <f>IF(COUNT($N$88:$N$101)&lt;14,"",MAX($N$88:$N$101))</f>
        <v>0</v>
      </c>
      <c r="Z101">
        <f>IF(OR(N101="",X101="",Y101="",Y101=X101),"",100*(N101-X101)/(Y101-X101))</f>
        <v>0</v>
      </c>
      <c r="AA101">
        <f>IF(COUNT($Z$99:$Z$101)&lt;3,"",AVERAGE($Z$99:$Z$101))</f>
        <v>0</v>
      </c>
      <c r="AB101">
        <f>IF(COUNT($AA$99:$AA$101)&lt;3,"",AVERAGE($AA$99:$AA$101))</f>
        <v>0</v>
      </c>
      <c r="AC101">
        <f>IF($E101="","",MAX($C101-$D101,ABS($C101-$E100),ABS($D101-$E100)))</f>
        <v>0</v>
      </c>
      <c r="AD101">
        <f>IF(COUNT($E$2:$E101)&lt;15,"",AVERAGE($AC$88:$AC$101))</f>
        <v>0</v>
      </c>
      <c r="AE101">
        <f>IF(OR($E101="",$E100=""),"",IF(AND(($C101-$C100)&gt;($D100-$D101),($C101-$C100)&gt;0),$C101-$C100,0))</f>
        <v>0</v>
      </c>
      <c r="AF101">
        <f>IF(OR($E101="",$E100=""),"",IF(AND(($D100-$D101)&gt;($C101-$C100),($D100-$D101)&gt;0),$D100-$D101,0))</f>
        <v>0</v>
      </c>
      <c r="AG101">
        <f>IF(COUNT($E$2:$E101)&lt;15,"",IF(SUM($AC$88:$AC$101)=0,0,100*SUM($AE$88:$AE$101)/SUM($AC$88:$AC$101)))</f>
        <v>0</v>
      </c>
      <c r="AH101">
        <f>IF(COUNT($E$2:$E101)&lt;15,"",IF(SUM($AC$88:$AC$101)=0,0,100*SUM($AF$88:$AF$101)/SUM($AC$88:$AC$101)))</f>
        <v>0</v>
      </c>
      <c r="AI101">
        <f>IF(OR(AG101="",AH101=""),"",IF((AG101+AH101)=0,0,100*ABS(AG101-AH101)/(AG101+AH101)))</f>
        <v>0</v>
      </c>
      <c r="AJ101">
        <f>IF(COUNT($AI$88:$AI$101)&lt;14,"",AVERAGE($AI$88:$AI$101))</f>
        <v>0</v>
      </c>
      <c r="AK101">
        <f>IF(COUNT($E$2:$E101)&lt;20,"",AVERAGE($E$82:$E$101))</f>
        <v>0</v>
      </c>
      <c r="AL101">
        <f>IF(COUNT($E$2:$E101)&lt;20,"",STDEVP($E$82:$E$101))</f>
        <v>0</v>
      </c>
      <c r="AM101">
        <f>IF(AK101="","",AK101+2*AL101)</f>
        <v>0</v>
      </c>
      <c r="AN101">
        <f>IF(AK101="","",AK101-2*AL101)</f>
        <v>0</v>
      </c>
      <c r="AO101">
        <f>IF(OR(AM101="",AN101="",AM101=AN101),"",($E101-AN101)/(AM101-AN101))</f>
        <v>0</v>
      </c>
      <c r="AP101">
        <f>IF(OR(AM101="",AK101="",AK101=0),"",(AM101-AN101)/AK101)</f>
        <v>0</v>
      </c>
      <c r="AQ101">
        <f>IF(COUNT($E$2:$E101)&lt;20,"",MAX($C$82:$C$101))</f>
        <v>0</v>
      </c>
      <c r="AR101">
        <f>IF(COUNT($E$2:$E101)&lt;20,"",MIN($D$82:$D$101))</f>
        <v>0</v>
      </c>
      <c r="AS101">
        <f>IF(OR(AQ101="",AR101=""),"",(AQ101+AR101)/2)</f>
        <v>0</v>
      </c>
      <c r="AT101">
        <f>IF(COUNT($G$82:$G$101)&lt;20,"",STDEV($G$82:$G$101)*SQRT(252))</f>
        <v>0</v>
      </c>
      <c r="AU101">
        <f>IF(COUNT($E$2:$E101)&lt;9,"",(MAX($C$93:$C$101)+MIN($D$93:$D$101))/2)</f>
        <v>0</v>
      </c>
      <c r="AV101">
        <f>IF(COUNT($E$2:$E101)&lt;26,"",(MAX($C$76:$C$101)+MIN($D$76:$D$101))/2)</f>
        <v>0</v>
      </c>
      <c r="AW101">
        <f>IF(OR(AU101="",AV101=""),"",(AU101+AV101)/2)</f>
        <v>0</v>
      </c>
      <c r="AX101">
        <f>IF(COUNT($E$2:$E101)&lt;52,"",(MAX($C$50:$C$101)+MIN($D$50:$D$101))/2)</f>
        <v>0</v>
      </c>
      <c r="AY101">
        <f>IF(COUNT($E$2:$E101)&lt;20,"",MAX($C$2:$C$101))</f>
        <v>0</v>
      </c>
      <c r="AZ101">
        <f>IF(COUNT($E$2:$E101)&lt;20,"",MIN($D$2:$D$101))</f>
        <v>0</v>
      </c>
      <c r="BA101">
        <f>IF(COUNT($E$2:$E101)&lt;20,"",SLOPE($E$2:$E$101,$F$2:$F$101))</f>
        <v>0</v>
      </c>
      <c r="BB101">
        <f>IF(COUNT($E$2:$E101)&lt;20,"",INTERCEPT($E$2:$E$101,$F$2:$F$101))</f>
        <v>0</v>
      </c>
      <c r="BC101">
        <f>IF(OR(BA101="",BB101=""),"",BB101+BA101*F101)</f>
        <v>0</v>
      </c>
      <c r="BD101">
        <f>IF(COUNT($E$2:$E101)&lt;20,"",STEYX($E$2:$E$101,$F$2:$F$101))</f>
        <v>0</v>
      </c>
      <c r="BE101">
        <f>IF($E101="","",IF(AND(COUNT($E$102:$E$105)&gt;=4,$C101=MAX($C$97:$C$105)),$C101,""))</f>
        <v>0</v>
      </c>
      <c r="BF101">
        <f>IF($E101="","",IF(AND(COUNT($E$102:$E$105)&gt;=4,$D101=MIN($D$97:$D$105)),$D101,""))</f>
        <v>0</v>
      </c>
      <c r="BG101">
        <f>IF($A101="","",$A101-WEEKDAY($A101,2)+1)</f>
        <v>0</v>
      </c>
      <c r="BH101">
        <f>IF($A101="","",IF($A100="",1,IF(BG101&lt;&gt;BG100,1,0)))</f>
        <v>0</v>
      </c>
      <c r="BI101">
        <f>IF($A101="","",IF($A102="",1,IF(BG102&lt;&gt;BG101,1,0)))</f>
        <v>0</v>
      </c>
      <c r="BJ101">
        <f>IF($A101="","",IF(BH101=1,$B101,BJ100))</f>
        <v>0</v>
      </c>
      <c r="BK101">
        <f>IF($A101="","",IF(BH101=1,$C101,MAX($C101,BK100)))</f>
        <v>0</v>
      </c>
      <c r="BL101">
        <f>IF($A101="","",IF(BH101=1,$D101,MIN($D101,BL100)))</f>
        <v>0</v>
      </c>
      <c r="BM101">
        <f>IF($A101="","",IF(BI101=1,F101,""))</f>
        <v>0</v>
      </c>
      <c r="BN101">
        <f>IF($A101="","",DATE(YEAR($A101),MONTH($A101),1))</f>
        <v>0</v>
      </c>
      <c r="BO101">
        <f>IF($A101="","",IF($A100="",1,IF(BN101&lt;&gt;BN100,1,0)))</f>
        <v>0</v>
      </c>
      <c r="BP101">
        <f>IF($A101="","",IF($A102="",1,IF(BN102&lt;&gt;BN101,1,0)))</f>
        <v>0</v>
      </c>
      <c r="BQ101">
        <f>IF($A101="","",IF(BO101=1,$B101,BQ100))</f>
        <v>0</v>
      </c>
      <c r="BR101">
        <f>IF($A101="","",IF(BO101=1,$C101,MAX($C101,BR100)))</f>
        <v>0</v>
      </c>
      <c r="BS101">
        <f>IF($A101="","",IF(BO101=1,$D101,MIN($D101,BS100)))</f>
        <v>0</v>
      </c>
      <c r="BT101">
        <f>IF($A101="","",IF(BP101=1,F101,""))</f>
        <v>0</v>
      </c>
    </row>
    <row r="102" spans="1:72">
      <c r="A102" s="27">
        <f>IF(Data!$A102="","",Data!$A102)</f>
        <v>0</v>
      </c>
      <c r="B102">
        <f>IF(Data!$B102="","",Data!$B102)</f>
        <v>0</v>
      </c>
      <c r="C102">
        <f>IF(Data!$C102="","",Data!$C102)</f>
        <v>0</v>
      </c>
      <c r="D102">
        <f>IF(Data!$D102="","",Data!$D102)</f>
        <v>0</v>
      </c>
      <c r="E102">
        <f>IF(Data!$E102="","",Data!$E102)</f>
        <v>0</v>
      </c>
      <c r="F102">
        <f>IF($E102="","",N(F101)+1)</f>
        <v>0</v>
      </c>
      <c r="G102">
        <f>IF(OR($E102="",$E101=""),"",LN($E102/$E101))</f>
        <v>0</v>
      </c>
      <c r="H102">
        <f>IF($E102="","",IF($E101="",$E102,$E102*0.0952380952+H101*0.9047619048))</f>
        <v>0</v>
      </c>
      <c r="I102">
        <f>IF($E102="","",IF($E101="",$E102,$E102*0.0392156863+I101*0.9607843137))</f>
        <v>0</v>
      </c>
      <c r="J102">
        <f>IF($E102="","",IF($E101="",$E102,$E102*0.0198019802+J101*0.9801980198))</f>
        <v>0</v>
      </c>
      <c r="K102">
        <f>IF($E102="","",IF($E101="",$E102,$E102*0.0099502488+K101*0.9900497512))</f>
        <v>0</v>
      </c>
      <c r="L102">
        <f>IF(OR($E102="",$E101=""),"",MAX($E102-$E101,0))</f>
        <v>0</v>
      </c>
      <c r="M102">
        <f>IF(OR($E102="",$E101=""),"",MAX($E101-$E102,0))</f>
        <v>0</v>
      </c>
      <c r="N102">
        <f>IF(COUNT($E$2:$E102)&lt;15,"",IF(AVERAGE($M$89:$M$102)=0,100,100-100/(1+AVERAGE($L$89:$L$102)/AVERAGE($M$89:$M$102))))</f>
        <v>0</v>
      </c>
      <c r="O102">
        <f>IF($E102="","",IF($E101="",$E102,$E102*0.1538461538+O101*0.8461538462))</f>
        <v>0</v>
      </c>
      <c r="P102">
        <f>IF($E102="","",IF($E101="",$E102,$E102*0.0740740741+P101*0.9259259259))</f>
        <v>0</v>
      </c>
      <c r="Q102">
        <f>IF(OR(O102="",P102=""),"",O102-P102)</f>
        <v>0</v>
      </c>
      <c r="R102">
        <f>IF(Q102="","",IF(R101="",Q102,Q102*0.2000000000+R101*0.8000000000))</f>
        <v>0</v>
      </c>
      <c r="S102">
        <f>IF(OR(Q102="",R102=""),"",Q102-R102)</f>
        <v>0</v>
      </c>
      <c r="T102">
        <f>IF(COUNT($E$2:$E102)&lt;14,"",MAX($C$89:$C$102))</f>
        <v>0</v>
      </c>
      <c r="U102">
        <f>IF(COUNT($E$2:$E102)&lt;14,"",MIN($D$89:$D$102))</f>
        <v>0</v>
      </c>
      <c r="V102">
        <f>IF(OR(T102="",U102="",T102=U102),"",100*($E102-U102)/(T102-U102))</f>
        <v>0</v>
      </c>
      <c r="W102">
        <f>IF(COUNT($V$100:$V$102)&lt;3,"",AVERAGE($V$100:$V$102))</f>
        <v>0</v>
      </c>
      <c r="X102">
        <f>IF(COUNT($N$89:$N$102)&lt;14,"",MIN($N$89:$N$102))</f>
        <v>0</v>
      </c>
      <c r="Y102">
        <f>IF(COUNT($N$89:$N$102)&lt;14,"",MAX($N$89:$N$102))</f>
        <v>0</v>
      </c>
      <c r="Z102">
        <f>IF(OR(N102="",X102="",Y102="",Y102=X102),"",100*(N102-X102)/(Y102-X102))</f>
        <v>0</v>
      </c>
      <c r="AA102">
        <f>IF(COUNT($Z$100:$Z$102)&lt;3,"",AVERAGE($Z$100:$Z$102))</f>
        <v>0</v>
      </c>
      <c r="AB102">
        <f>IF(COUNT($AA$100:$AA$102)&lt;3,"",AVERAGE($AA$100:$AA$102))</f>
        <v>0</v>
      </c>
      <c r="AC102">
        <f>IF($E102="","",MAX($C102-$D102,ABS($C102-$E101),ABS($D102-$E101)))</f>
        <v>0</v>
      </c>
      <c r="AD102">
        <f>IF(COUNT($E$2:$E102)&lt;15,"",AVERAGE($AC$89:$AC$102))</f>
        <v>0</v>
      </c>
      <c r="AE102">
        <f>IF(OR($E102="",$E101=""),"",IF(AND(($C102-$C101)&gt;($D101-$D102),($C102-$C101)&gt;0),$C102-$C101,0))</f>
        <v>0</v>
      </c>
      <c r="AF102">
        <f>IF(OR($E102="",$E101=""),"",IF(AND(($D101-$D102)&gt;($C102-$C101),($D101-$D102)&gt;0),$D101-$D102,0))</f>
        <v>0</v>
      </c>
      <c r="AG102">
        <f>IF(COUNT($E$2:$E102)&lt;15,"",IF(SUM($AC$89:$AC$102)=0,0,100*SUM($AE$89:$AE$102)/SUM($AC$89:$AC$102)))</f>
        <v>0</v>
      </c>
      <c r="AH102">
        <f>IF(COUNT($E$2:$E102)&lt;15,"",IF(SUM($AC$89:$AC$102)=0,0,100*SUM($AF$89:$AF$102)/SUM($AC$89:$AC$102)))</f>
        <v>0</v>
      </c>
      <c r="AI102">
        <f>IF(OR(AG102="",AH102=""),"",IF((AG102+AH102)=0,0,100*ABS(AG102-AH102)/(AG102+AH102)))</f>
        <v>0</v>
      </c>
      <c r="AJ102">
        <f>IF(COUNT($AI$89:$AI$102)&lt;14,"",AVERAGE($AI$89:$AI$102))</f>
        <v>0</v>
      </c>
      <c r="AK102">
        <f>IF(COUNT($E$2:$E102)&lt;20,"",AVERAGE($E$83:$E$102))</f>
        <v>0</v>
      </c>
      <c r="AL102">
        <f>IF(COUNT($E$2:$E102)&lt;20,"",STDEVP($E$83:$E$102))</f>
        <v>0</v>
      </c>
      <c r="AM102">
        <f>IF(AK102="","",AK102+2*AL102)</f>
        <v>0</v>
      </c>
      <c r="AN102">
        <f>IF(AK102="","",AK102-2*AL102)</f>
        <v>0</v>
      </c>
      <c r="AO102">
        <f>IF(OR(AM102="",AN102="",AM102=AN102),"",($E102-AN102)/(AM102-AN102))</f>
        <v>0</v>
      </c>
      <c r="AP102">
        <f>IF(OR(AM102="",AK102="",AK102=0),"",(AM102-AN102)/AK102)</f>
        <v>0</v>
      </c>
      <c r="AQ102">
        <f>IF(COUNT($E$2:$E102)&lt;20,"",MAX($C$83:$C$102))</f>
        <v>0</v>
      </c>
      <c r="AR102">
        <f>IF(COUNT($E$2:$E102)&lt;20,"",MIN($D$83:$D$102))</f>
        <v>0</v>
      </c>
      <c r="AS102">
        <f>IF(OR(AQ102="",AR102=""),"",(AQ102+AR102)/2)</f>
        <v>0</v>
      </c>
      <c r="AT102">
        <f>IF(COUNT($G$83:$G$102)&lt;20,"",STDEV($G$83:$G$102)*SQRT(252))</f>
        <v>0</v>
      </c>
      <c r="AU102">
        <f>IF(COUNT($E$2:$E102)&lt;9,"",(MAX($C$94:$C$102)+MIN($D$94:$D$102))/2)</f>
        <v>0</v>
      </c>
      <c r="AV102">
        <f>IF(COUNT($E$2:$E102)&lt;26,"",(MAX($C$77:$C$102)+MIN($D$77:$D$102))/2)</f>
        <v>0</v>
      </c>
      <c r="AW102">
        <f>IF(OR(AU102="",AV102=""),"",(AU102+AV102)/2)</f>
        <v>0</v>
      </c>
      <c r="AX102">
        <f>IF(COUNT($E$2:$E102)&lt;52,"",(MAX($C$51:$C$102)+MIN($D$51:$D$102))/2)</f>
        <v>0</v>
      </c>
      <c r="AY102">
        <f>IF(COUNT($E$2:$E102)&lt;20,"",MAX($C$3:$C$102))</f>
        <v>0</v>
      </c>
      <c r="AZ102">
        <f>IF(COUNT($E$2:$E102)&lt;20,"",MIN($D$3:$D$102))</f>
        <v>0</v>
      </c>
      <c r="BA102">
        <f>IF(COUNT($E$2:$E102)&lt;20,"",SLOPE($E$3:$E$102,$F$3:$F$102))</f>
        <v>0</v>
      </c>
      <c r="BB102">
        <f>IF(COUNT($E$2:$E102)&lt;20,"",INTERCEPT($E$3:$E$102,$F$3:$F$102))</f>
        <v>0</v>
      </c>
      <c r="BC102">
        <f>IF(OR(BA102="",BB102=""),"",BB102+BA102*F102)</f>
        <v>0</v>
      </c>
      <c r="BD102">
        <f>IF(COUNT($E$2:$E102)&lt;20,"",STEYX($E$3:$E$102,$F$3:$F$102))</f>
        <v>0</v>
      </c>
      <c r="BE102">
        <f>IF($E102="","",IF(AND(COUNT($E$103:$E$106)&gt;=4,$C102=MAX($C$98:$C$106)),$C102,""))</f>
        <v>0</v>
      </c>
      <c r="BF102">
        <f>IF($E102="","",IF(AND(COUNT($E$103:$E$106)&gt;=4,$D102=MIN($D$98:$D$106)),$D102,""))</f>
        <v>0</v>
      </c>
      <c r="BG102">
        <f>IF($A102="","",$A102-WEEKDAY($A102,2)+1)</f>
        <v>0</v>
      </c>
      <c r="BH102">
        <f>IF($A102="","",IF($A101="",1,IF(BG102&lt;&gt;BG101,1,0)))</f>
        <v>0</v>
      </c>
      <c r="BI102">
        <f>IF($A102="","",IF($A103="",1,IF(BG103&lt;&gt;BG102,1,0)))</f>
        <v>0</v>
      </c>
      <c r="BJ102">
        <f>IF($A102="","",IF(BH102=1,$B102,BJ101))</f>
        <v>0</v>
      </c>
      <c r="BK102">
        <f>IF($A102="","",IF(BH102=1,$C102,MAX($C102,BK101)))</f>
        <v>0</v>
      </c>
      <c r="BL102">
        <f>IF($A102="","",IF(BH102=1,$D102,MIN($D102,BL101)))</f>
        <v>0</v>
      </c>
      <c r="BM102">
        <f>IF($A102="","",IF(BI102=1,F102,""))</f>
        <v>0</v>
      </c>
      <c r="BN102">
        <f>IF($A102="","",DATE(YEAR($A102),MONTH($A102),1))</f>
        <v>0</v>
      </c>
      <c r="BO102">
        <f>IF($A102="","",IF($A101="",1,IF(BN102&lt;&gt;BN101,1,0)))</f>
        <v>0</v>
      </c>
      <c r="BP102">
        <f>IF($A102="","",IF($A103="",1,IF(BN103&lt;&gt;BN102,1,0)))</f>
        <v>0</v>
      </c>
      <c r="BQ102">
        <f>IF($A102="","",IF(BO102=1,$B102,BQ101))</f>
        <v>0</v>
      </c>
      <c r="BR102">
        <f>IF($A102="","",IF(BO102=1,$C102,MAX($C102,BR101)))</f>
        <v>0</v>
      </c>
      <c r="BS102">
        <f>IF($A102="","",IF(BO102=1,$D102,MIN($D102,BS101)))</f>
        <v>0</v>
      </c>
      <c r="BT102">
        <f>IF($A102="","",IF(BP102=1,F102,""))</f>
        <v>0</v>
      </c>
    </row>
    <row r="103" spans="1:72">
      <c r="A103" s="27">
        <f>IF(Data!$A103="","",Data!$A103)</f>
        <v>0</v>
      </c>
      <c r="B103">
        <f>IF(Data!$B103="","",Data!$B103)</f>
        <v>0</v>
      </c>
      <c r="C103">
        <f>IF(Data!$C103="","",Data!$C103)</f>
        <v>0</v>
      </c>
      <c r="D103">
        <f>IF(Data!$D103="","",Data!$D103)</f>
        <v>0</v>
      </c>
      <c r="E103">
        <f>IF(Data!$E103="","",Data!$E103)</f>
        <v>0</v>
      </c>
      <c r="F103">
        <f>IF($E103="","",N(F102)+1)</f>
        <v>0</v>
      </c>
      <c r="G103">
        <f>IF(OR($E103="",$E102=""),"",LN($E103/$E102))</f>
        <v>0</v>
      </c>
      <c r="H103">
        <f>IF($E103="","",IF($E102="",$E103,$E103*0.0952380952+H102*0.9047619048))</f>
        <v>0</v>
      </c>
      <c r="I103">
        <f>IF($E103="","",IF($E102="",$E103,$E103*0.0392156863+I102*0.9607843137))</f>
        <v>0</v>
      </c>
      <c r="J103">
        <f>IF($E103="","",IF($E102="",$E103,$E103*0.0198019802+J102*0.9801980198))</f>
        <v>0</v>
      </c>
      <c r="K103">
        <f>IF($E103="","",IF($E102="",$E103,$E103*0.0099502488+K102*0.9900497512))</f>
        <v>0</v>
      </c>
      <c r="L103">
        <f>IF(OR($E103="",$E102=""),"",MAX($E103-$E102,0))</f>
        <v>0</v>
      </c>
      <c r="M103">
        <f>IF(OR($E103="",$E102=""),"",MAX($E102-$E103,0))</f>
        <v>0</v>
      </c>
      <c r="N103">
        <f>IF(COUNT($E$2:$E103)&lt;15,"",IF(AVERAGE($M$90:$M$103)=0,100,100-100/(1+AVERAGE($L$90:$L$103)/AVERAGE($M$90:$M$103))))</f>
        <v>0</v>
      </c>
      <c r="O103">
        <f>IF($E103="","",IF($E102="",$E103,$E103*0.1538461538+O102*0.8461538462))</f>
        <v>0</v>
      </c>
      <c r="P103">
        <f>IF($E103="","",IF($E102="",$E103,$E103*0.0740740741+P102*0.9259259259))</f>
        <v>0</v>
      </c>
      <c r="Q103">
        <f>IF(OR(O103="",P103=""),"",O103-P103)</f>
        <v>0</v>
      </c>
      <c r="R103">
        <f>IF(Q103="","",IF(R102="",Q103,Q103*0.2000000000+R102*0.8000000000))</f>
        <v>0</v>
      </c>
      <c r="S103">
        <f>IF(OR(Q103="",R103=""),"",Q103-R103)</f>
        <v>0</v>
      </c>
      <c r="T103">
        <f>IF(COUNT($E$2:$E103)&lt;14,"",MAX($C$90:$C$103))</f>
        <v>0</v>
      </c>
      <c r="U103">
        <f>IF(COUNT($E$2:$E103)&lt;14,"",MIN($D$90:$D$103))</f>
        <v>0</v>
      </c>
      <c r="V103">
        <f>IF(OR(T103="",U103="",T103=U103),"",100*($E103-U103)/(T103-U103))</f>
        <v>0</v>
      </c>
      <c r="W103">
        <f>IF(COUNT($V$101:$V$103)&lt;3,"",AVERAGE($V$101:$V$103))</f>
        <v>0</v>
      </c>
      <c r="X103">
        <f>IF(COUNT($N$90:$N$103)&lt;14,"",MIN($N$90:$N$103))</f>
        <v>0</v>
      </c>
      <c r="Y103">
        <f>IF(COUNT($N$90:$N$103)&lt;14,"",MAX($N$90:$N$103))</f>
        <v>0</v>
      </c>
      <c r="Z103">
        <f>IF(OR(N103="",X103="",Y103="",Y103=X103),"",100*(N103-X103)/(Y103-X103))</f>
        <v>0</v>
      </c>
      <c r="AA103">
        <f>IF(COUNT($Z$101:$Z$103)&lt;3,"",AVERAGE($Z$101:$Z$103))</f>
        <v>0</v>
      </c>
      <c r="AB103">
        <f>IF(COUNT($AA$101:$AA$103)&lt;3,"",AVERAGE($AA$101:$AA$103))</f>
        <v>0</v>
      </c>
      <c r="AC103">
        <f>IF($E103="","",MAX($C103-$D103,ABS($C103-$E102),ABS($D103-$E102)))</f>
        <v>0</v>
      </c>
      <c r="AD103">
        <f>IF(COUNT($E$2:$E103)&lt;15,"",AVERAGE($AC$90:$AC$103))</f>
        <v>0</v>
      </c>
      <c r="AE103">
        <f>IF(OR($E103="",$E102=""),"",IF(AND(($C103-$C102)&gt;($D102-$D103),($C103-$C102)&gt;0),$C103-$C102,0))</f>
        <v>0</v>
      </c>
      <c r="AF103">
        <f>IF(OR($E103="",$E102=""),"",IF(AND(($D102-$D103)&gt;($C103-$C102),($D102-$D103)&gt;0),$D102-$D103,0))</f>
        <v>0</v>
      </c>
      <c r="AG103">
        <f>IF(COUNT($E$2:$E103)&lt;15,"",IF(SUM($AC$90:$AC$103)=0,0,100*SUM($AE$90:$AE$103)/SUM($AC$90:$AC$103)))</f>
        <v>0</v>
      </c>
      <c r="AH103">
        <f>IF(COUNT($E$2:$E103)&lt;15,"",IF(SUM($AC$90:$AC$103)=0,0,100*SUM($AF$90:$AF$103)/SUM($AC$90:$AC$103)))</f>
        <v>0</v>
      </c>
      <c r="AI103">
        <f>IF(OR(AG103="",AH103=""),"",IF((AG103+AH103)=0,0,100*ABS(AG103-AH103)/(AG103+AH103)))</f>
        <v>0</v>
      </c>
      <c r="AJ103">
        <f>IF(COUNT($AI$90:$AI$103)&lt;14,"",AVERAGE($AI$90:$AI$103))</f>
        <v>0</v>
      </c>
      <c r="AK103">
        <f>IF(COUNT($E$2:$E103)&lt;20,"",AVERAGE($E$84:$E$103))</f>
        <v>0</v>
      </c>
      <c r="AL103">
        <f>IF(COUNT($E$2:$E103)&lt;20,"",STDEVP($E$84:$E$103))</f>
        <v>0</v>
      </c>
      <c r="AM103">
        <f>IF(AK103="","",AK103+2*AL103)</f>
        <v>0</v>
      </c>
      <c r="AN103">
        <f>IF(AK103="","",AK103-2*AL103)</f>
        <v>0</v>
      </c>
      <c r="AO103">
        <f>IF(OR(AM103="",AN103="",AM103=AN103),"",($E103-AN103)/(AM103-AN103))</f>
        <v>0</v>
      </c>
      <c r="AP103">
        <f>IF(OR(AM103="",AK103="",AK103=0),"",(AM103-AN103)/AK103)</f>
        <v>0</v>
      </c>
      <c r="AQ103">
        <f>IF(COUNT($E$2:$E103)&lt;20,"",MAX($C$84:$C$103))</f>
        <v>0</v>
      </c>
      <c r="AR103">
        <f>IF(COUNT($E$2:$E103)&lt;20,"",MIN($D$84:$D$103))</f>
        <v>0</v>
      </c>
      <c r="AS103">
        <f>IF(OR(AQ103="",AR103=""),"",(AQ103+AR103)/2)</f>
        <v>0</v>
      </c>
      <c r="AT103">
        <f>IF(COUNT($G$84:$G$103)&lt;20,"",STDEV($G$84:$G$103)*SQRT(252))</f>
        <v>0</v>
      </c>
      <c r="AU103">
        <f>IF(COUNT($E$2:$E103)&lt;9,"",(MAX($C$95:$C$103)+MIN($D$95:$D$103))/2)</f>
        <v>0</v>
      </c>
      <c r="AV103">
        <f>IF(COUNT($E$2:$E103)&lt;26,"",(MAX($C$78:$C$103)+MIN($D$78:$D$103))/2)</f>
        <v>0</v>
      </c>
      <c r="AW103">
        <f>IF(OR(AU103="",AV103=""),"",(AU103+AV103)/2)</f>
        <v>0</v>
      </c>
      <c r="AX103">
        <f>IF(COUNT($E$2:$E103)&lt;52,"",(MAX($C$52:$C$103)+MIN($D$52:$D$103))/2)</f>
        <v>0</v>
      </c>
      <c r="AY103">
        <f>IF(COUNT($E$2:$E103)&lt;20,"",MAX($C$4:$C$103))</f>
        <v>0</v>
      </c>
      <c r="AZ103">
        <f>IF(COUNT($E$2:$E103)&lt;20,"",MIN($D$4:$D$103))</f>
        <v>0</v>
      </c>
      <c r="BA103">
        <f>IF(COUNT($E$2:$E103)&lt;20,"",SLOPE($E$4:$E$103,$F$4:$F$103))</f>
        <v>0</v>
      </c>
      <c r="BB103">
        <f>IF(COUNT($E$2:$E103)&lt;20,"",INTERCEPT($E$4:$E$103,$F$4:$F$103))</f>
        <v>0</v>
      </c>
      <c r="BC103">
        <f>IF(OR(BA103="",BB103=""),"",BB103+BA103*F103)</f>
        <v>0</v>
      </c>
      <c r="BD103">
        <f>IF(COUNT($E$2:$E103)&lt;20,"",STEYX($E$4:$E$103,$F$4:$F$103))</f>
        <v>0</v>
      </c>
      <c r="BE103">
        <f>IF($E103="","",IF(AND(COUNT($E$104:$E$107)&gt;=4,$C103=MAX($C$99:$C$107)),$C103,""))</f>
        <v>0</v>
      </c>
      <c r="BF103">
        <f>IF($E103="","",IF(AND(COUNT($E$104:$E$107)&gt;=4,$D103=MIN($D$99:$D$107)),$D103,""))</f>
        <v>0</v>
      </c>
      <c r="BG103">
        <f>IF($A103="","",$A103-WEEKDAY($A103,2)+1)</f>
        <v>0</v>
      </c>
      <c r="BH103">
        <f>IF($A103="","",IF($A102="",1,IF(BG103&lt;&gt;BG102,1,0)))</f>
        <v>0</v>
      </c>
      <c r="BI103">
        <f>IF($A103="","",IF($A104="",1,IF(BG104&lt;&gt;BG103,1,0)))</f>
        <v>0</v>
      </c>
      <c r="BJ103">
        <f>IF($A103="","",IF(BH103=1,$B103,BJ102))</f>
        <v>0</v>
      </c>
      <c r="BK103">
        <f>IF($A103="","",IF(BH103=1,$C103,MAX($C103,BK102)))</f>
        <v>0</v>
      </c>
      <c r="BL103">
        <f>IF($A103="","",IF(BH103=1,$D103,MIN($D103,BL102)))</f>
        <v>0</v>
      </c>
      <c r="BM103">
        <f>IF($A103="","",IF(BI103=1,F103,""))</f>
        <v>0</v>
      </c>
      <c r="BN103">
        <f>IF($A103="","",DATE(YEAR($A103),MONTH($A103),1))</f>
        <v>0</v>
      </c>
      <c r="BO103">
        <f>IF($A103="","",IF($A102="",1,IF(BN103&lt;&gt;BN102,1,0)))</f>
        <v>0</v>
      </c>
      <c r="BP103">
        <f>IF($A103="","",IF($A104="",1,IF(BN104&lt;&gt;BN103,1,0)))</f>
        <v>0</v>
      </c>
      <c r="BQ103">
        <f>IF($A103="","",IF(BO103=1,$B103,BQ102))</f>
        <v>0</v>
      </c>
      <c r="BR103">
        <f>IF($A103="","",IF(BO103=1,$C103,MAX($C103,BR102)))</f>
        <v>0</v>
      </c>
      <c r="BS103">
        <f>IF($A103="","",IF(BO103=1,$D103,MIN($D103,BS102)))</f>
        <v>0</v>
      </c>
      <c r="BT103">
        <f>IF($A103="","",IF(BP103=1,F103,""))</f>
        <v>0</v>
      </c>
    </row>
    <row r="104" spans="1:72">
      <c r="A104" s="27">
        <f>IF(Data!$A104="","",Data!$A104)</f>
        <v>0</v>
      </c>
      <c r="B104">
        <f>IF(Data!$B104="","",Data!$B104)</f>
        <v>0</v>
      </c>
      <c r="C104">
        <f>IF(Data!$C104="","",Data!$C104)</f>
        <v>0</v>
      </c>
      <c r="D104">
        <f>IF(Data!$D104="","",Data!$D104)</f>
        <v>0</v>
      </c>
      <c r="E104">
        <f>IF(Data!$E104="","",Data!$E104)</f>
        <v>0</v>
      </c>
      <c r="F104">
        <f>IF($E104="","",N(F103)+1)</f>
        <v>0</v>
      </c>
      <c r="G104">
        <f>IF(OR($E104="",$E103=""),"",LN($E104/$E103))</f>
        <v>0</v>
      </c>
      <c r="H104">
        <f>IF($E104="","",IF($E103="",$E104,$E104*0.0952380952+H103*0.9047619048))</f>
        <v>0</v>
      </c>
      <c r="I104">
        <f>IF($E104="","",IF($E103="",$E104,$E104*0.0392156863+I103*0.9607843137))</f>
        <v>0</v>
      </c>
      <c r="J104">
        <f>IF($E104="","",IF($E103="",$E104,$E104*0.0198019802+J103*0.9801980198))</f>
        <v>0</v>
      </c>
      <c r="K104">
        <f>IF($E104="","",IF($E103="",$E104,$E104*0.0099502488+K103*0.9900497512))</f>
        <v>0</v>
      </c>
      <c r="L104">
        <f>IF(OR($E104="",$E103=""),"",MAX($E104-$E103,0))</f>
        <v>0</v>
      </c>
      <c r="M104">
        <f>IF(OR($E104="",$E103=""),"",MAX($E103-$E104,0))</f>
        <v>0</v>
      </c>
      <c r="N104">
        <f>IF(COUNT($E$2:$E104)&lt;15,"",IF(AVERAGE($M$91:$M$104)=0,100,100-100/(1+AVERAGE($L$91:$L$104)/AVERAGE($M$91:$M$104))))</f>
        <v>0</v>
      </c>
      <c r="O104">
        <f>IF($E104="","",IF($E103="",$E104,$E104*0.1538461538+O103*0.8461538462))</f>
        <v>0</v>
      </c>
      <c r="P104">
        <f>IF($E104="","",IF($E103="",$E104,$E104*0.0740740741+P103*0.9259259259))</f>
        <v>0</v>
      </c>
      <c r="Q104">
        <f>IF(OR(O104="",P104=""),"",O104-P104)</f>
        <v>0</v>
      </c>
      <c r="R104">
        <f>IF(Q104="","",IF(R103="",Q104,Q104*0.2000000000+R103*0.8000000000))</f>
        <v>0</v>
      </c>
      <c r="S104">
        <f>IF(OR(Q104="",R104=""),"",Q104-R104)</f>
        <v>0</v>
      </c>
      <c r="T104">
        <f>IF(COUNT($E$2:$E104)&lt;14,"",MAX($C$91:$C$104))</f>
        <v>0</v>
      </c>
      <c r="U104">
        <f>IF(COUNT($E$2:$E104)&lt;14,"",MIN($D$91:$D$104))</f>
        <v>0</v>
      </c>
      <c r="V104">
        <f>IF(OR(T104="",U104="",T104=U104),"",100*($E104-U104)/(T104-U104))</f>
        <v>0</v>
      </c>
      <c r="W104">
        <f>IF(COUNT($V$102:$V$104)&lt;3,"",AVERAGE($V$102:$V$104))</f>
        <v>0</v>
      </c>
      <c r="X104">
        <f>IF(COUNT($N$91:$N$104)&lt;14,"",MIN($N$91:$N$104))</f>
        <v>0</v>
      </c>
      <c r="Y104">
        <f>IF(COUNT($N$91:$N$104)&lt;14,"",MAX($N$91:$N$104))</f>
        <v>0</v>
      </c>
      <c r="Z104">
        <f>IF(OR(N104="",X104="",Y104="",Y104=X104),"",100*(N104-X104)/(Y104-X104))</f>
        <v>0</v>
      </c>
      <c r="AA104">
        <f>IF(COUNT($Z$102:$Z$104)&lt;3,"",AVERAGE($Z$102:$Z$104))</f>
        <v>0</v>
      </c>
      <c r="AB104">
        <f>IF(COUNT($AA$102:$AA$104)&lt;3,"",AVERAGE($AA$102:$AA$104))</f>
        <v>0</v>
      </c>
      <c r="AC104">
        <f>IF($E104="","",MAX($C104-$D104,ABS($C104-$E103),ABS($D104-$E103)))</f>
        <v>0</v>
      </c>
      <c r="AD104">
        <f>IF(COUNT($E$2:$E104)&lt;15,"",AVERAGE($AC$91:$AC$104))</f>
        <v>0</v>
      </c>
      <c r="AE104">
        <f>IF(OR($E104="",$E103=""),"",IF(AND(($C104-$C103)&gt;($D103-$D104),($C104-$C103)&gt;0),$C104-$C103,0))</f>
        <v>0</v>
      </c>
      <c r="AF104">
        <f>IF(OR($E104="",$E103=""),"",IF(AND(($D103-$D104)&gt;($C104-$C103),($D103-$D104)&gt;0),$D103-$D104,0))</f>
        <v>0</v>
      </c>
      <c r="AG104">
        <f>IF(COUNT($E$2:$E104)&lt;15,"",IF(SUM($AC$91:$AC$104)=0,0,100*SUM($AE$91:$AE$104)/SUM($AC$91:$AC$104)))</f>
        <v>0</v>
      </c>
      <c r="AH104">
        <f>IF(COUNT($E$2:$E104)&lt;15,"",IF(SUM($AC$91:$AC$104)=0,0,100*SUM($AF$91:$AF$104)/SUM($AC$91:$AC$104)))</f>
        <v>0</v>
      </c>
      <c r="AI104">
        <f>IF(OR(AG104="",AH104=""),"",IF((AG104+AH104)=0,0,100*ABS(AG104-AH104)/(AG104+AH104)))</f>
        <v>0</v>
      </c>
      <c r="AJ104">
        <f>IF(COUNT($AI$91:$AI$104)&lt;14,"",AVERAGE($AI$91:$AI$104))</f>
        <v>0</v>
      </c>
      <c r="AK104">
        <f>IF(COUNT($E$2:$E104)&lt;20,"",AVERAGE($E$85:$E$104))</f>
        <v>0</v>
      </c>
      <c r="AL104">
        <f>IF(COUNT($E$2:$E104)&lt;20,"",STDEVP($E$85:$E$104))</f>
        <v>0</v>
      </c>
      <c r="AM104">
        <f>IF(AK104="","",AK104+2*AL104)</f>
        <v>0</v>
      </c>
      <c r="AN104">
        <f>IF(AK104="","",AK104-2*AL104)</f>
        <v>0</v>
      </c>
      <c r="AO104">
        <f>IF(OR(AM104="",AN104="",AM104=AN104),"",($E104-AN104)/(AM104-AN104))</f>
        <v>0</v>
      </c>
      <c r="AP104">
        <f>IF(OR(AM104="",AK104="",AK104=0),"",(AM104-AN104)/AK104)</f>
        <v>0</v>
      </c>
      <c r="AQ104">
        <f>IF(COUNT($E$2:$E104)&lt;20,"",MAX($C$85:$C$104))</f>
        <v>0</v>
      </c>
      <c r="AR104">
        <f>IF(COUNT($E$2:$E104)&lt;20,"",MIN($D$85:$D$104))</f>
        <v>0</v>
      </c>
      <c r="AS104">
        <f>IF(OR(AQ104="",AR104=""),"",(AQ104+AR104)/2)</f>
        <v>0</v>
      </c>
      <c r="AT104">
        <f>IF(COUNT($G$85:$G$104)&lt;20,"",STDEV($G$85:$G$104)*SQRT(252))</f>
        <v>0</v>
      </c>
      <c r="AU104">
        <f>IF(COUNT($E$2:$E104)&lt;9,"",(MAX($C$96:$C$104)+MIN($D$96:$D$104))/2)</f>
        <v>0</v>
      </c>
      <c r="AV104">
        <f>IF(COUNT($E$2:$E104)&lt;26,"",(MAX($C$79:$C$104)+MIN($D$79:$D$104))/2)</f>
        <v>0</v>
      </c>
      <c r="AW104">
        <f>IF(OR(AU104="",AV104=""),"",(AU104+AV104)/2)</f>
        <v>0</v>
      </c>
      <c r="AX104">
        <f>IF(COUNT($E$2:$E104)&lt;52,"",(MAX($C$53:$C$104)+MIN($D$53:$D$104))/2)</f>
        <v>0</v>
      </c>
      <c r="AY104">
        <f>IF(COUNT($E$2:$E104)&lt;20,"",MAX($C$5:$C$104))</f>
        <v>0</v>
      </c>
      <c r="AZ104">
        <f>IF(COUNT($E$2:$E104)&lt;20,"",MIN($D$5:$D$104))</f>
        <v>0</v>
      </c>
      <c r="BA104">
        <f>IF(COUNT($E$2:$E104)&lt;20,"",SLOPE($E$5:$E$104,$F$5:$F$104))</f>
        <v>0</v>
      </c>
      <c r="BB104">
        <f>IF(COUNT($E$2:$E104)&lt;20,"",INTERCEPT($E$5:$E$104,$F$5:$F$104))</f>
        <v>0</v>
      </c>
      <c r="BC104">
        <f>IF(OR(BA104="",BB104=""),"",BB104+BA104*F104)</f>
        <v>0</v>
      </c>
      <c r="BD104">
        <f>IF(COUNT($E$2:$E104)&lt;20,"",STEYX($E$5:$E$104,$F$5:$F$104))</f>
        <v>0</v>
      </c>
      <c r="BE104">
        <f>IF($E104="","",IF(AND(COUNT($E$105:$E$108)&gt;=4,$C104=MAX($C$100:$C$108)),$C104,""))</f>
        <v>0</v>
      </c>
      <c r="BF104">
        <f>IF($E104="","",IF(AND(COUNT($E$105:$E$108)&gt;=4,$D104=MIN($D$100:$D$108)),$D104,""))</f>
        <v>0</v>
      </c>
      <c r="BG104">
        <f>IF($A104="","",$A104-WEEKDAY($A104,2)+1)</f>
        <v>0</v>
      </c>
      <c r="BH104">
        <f>IF($A104="","",IF($A103="",1,IF(BG104&lt;&gt;BG103,1,0)))</f>
        <v>0</v>
      </c>
      <c r="BI104">
        <f>IF($A104="","",IF($A105="",1,IF(BG105&lt;&gt;BG104,1,0)))</f>
        <v>0</v>
      </c>
      <c r="BJ104">
        <f>IF($A104="","",IF(BH104=1,$B104,BJ103))</f>
        <v>0</v>
      </c>
      <c r="BK104">
        <f>IF($A104="","",IF(BH104=1,$C104,MAX($C104,BK103)))</f>
        <v>0</v>
      </c>
      <c r="BL104">
        <f>IF($A104="","",IF(BH104=1,$D104,MIN($D104,BL103)))</f>
        <v>0</v>
      </c>
      <c r="BM104">
        <f>IF($A104="","",IF(BI104=1,F104,""))</f>
        <v>0</v>
      </c>
      <c r="BN104">
        <f>IF($A104="","",DATE(YEAR($A104),MONTH($A104),1))</f>
        <v>0</v>
      </c>
      <c r="BO104">
        <f>IF($A104="","",IF($A103="",1,IF(BN104&lt;&gt;BN103,1,0)))</f>
        <v>0</v>
      </c>
      <c r="BP104">
        <f>IF($A104="","",IF($A105="",1,IF(BN105&lt;&gt;BN104,1,0)))</f>
        <v>0</v>
      </c>
      <c r="BQ104">
        <f>IF($A104="","",IF(BO104=1,$B104,BQ103))</f>
        <v>0</v>
      </c>
      <c r="BR104">
        <f>IF($A104="","",IF(BO104=1,$C104,MAX($C104,BR103)))</f>
        <v>0</v>
      </c>
      <c r="BS104">
        <f>IF($A104="","",IF(BO104=1,$D104,MIN($D104,BS103)))</f>
        <v>0</v>
      </c>
      <c r="BT104">
        <f>IF($A104="","",IF(BP104=1,F104,""))</f>
        <v>0</v>
      </c>
    </row>
    <row r="105" spans="1:72">
      <c r="A105" s="27">
        <f>IF(Data!$A105="","",Data!$A105)</f>
        <v>0</v>
      </c>
      <c r="B105">
        <f>IF(Data!$B105="","",Data!$B105)</f>
        <v>0</v>
      </c>
      <c r="C105">
        <f>IF(Data!$C105="","",Data!$C105)</f>
        <v>0</v>
      </c>
      <c r="D105">
        <f>IF(Data!$D105="","",Data!$D105)</f>
        <v>0</v>
      </c>
      <c r="E105">
        <f>IF(Data!$E105="","",Data!$E105)</f>
        <v>0</v>
      </c>
      <c r="F105">
        <f>IF($E105="","",N(F104)+1)</f>
        <v>0</v>
      </c>
      <c r="G105">
        <f>IF(OR($E105="",$E104=""),"",LN($E105/$E104))</f>
        <v>0</v>
      </c>
      <c r="H105">
        <f>IF($E105="","",IF($E104="",$E105,$E105*0.0952380952+H104*0.9047619048))</f>
        <v>0</v>
      </c>
      <c r="I105">
        <f>IF($E105="","",IF($E104="",$E105,$E105*0.0392156863+I104*0.9607843137))</f>
        <v>0</v>
      </c>
      <c r="J105">
        <f>IF($E105="","",IF($E104="",$E105,$E105*0.0198019802+J104*0.9801980198))</f>
        <v>0</v>
      </c>
      <c r="K105">
        <f>IF($E105="","",IF($E104="",$E105,$E105*0.0099502488+K104*0.9900497512))</f>
        <v>0</v>
      </c>
      <c r="L105">
        <f>IF(OR($E105="",$E104=""),"",MAX($E105-$E104,0))</f>
        <v>0</v>
      </c>
      <c r="M105">
        <f>IF(OR($E105="",$E104=""),"",MAX($E104-$E105,0))</f>
        <v>0</v>
      </c>
      <c r="N105">
        <f>IF(COUNT($E$2:$E105)&lt;15,"",IF(AVERAGE($M$92:$M$105)=0,100,100-100/(1+AVERAGE($L$92:$L$105)/AVERAGE($M$92:$M$105))))</f>
        <v>0</v>
      </c>
      <c r="O105">
        <f>IF($E105="","",IF($E104="",$E105,$E105*0.1538461538+O104*0.8461538462))</f>
        <v>0</v>
      </c>
      <c r="P105">
        <f>IF($E105="","",IF($E104="",$E105,$E105*0.0740740741+P104*0.9259259259))</f>
        <v>0</v>
      </c>
      <c r="Q105">
        <f>IF(OR(O105="",P105=""),"",O105-P105)</f>
        <v>0</v>
      </c>
      <c r="R105">
        <f>IF(Q105="","",IF(R104="",Q105,Q105*0.2000000000+R104*0.8000000000))</f>
        <v>0</v>
      </c>
      <c r="S105">
        <f>IF(OR(Q105="",R105=""),"",Q105-R105)</f>
        <v>0</v>
      </c>
      <c r="T105">
        <f>IF(COUNT($E$2:$E105)&lt;14,"",MAX($C$92:$C$105))</f>
        <v>0</v>
      </c>
      <c r="U105">
        <f>IF(COUNT($E$2:$E105)&lt;14,"",MIN($D$92:$D$105))</f>
        <v>0</v>
      </c>
      <c r="V105">
        <f>IF(OR(T105="",U105="",T105=U105),"",100*($E105-U105)/(T105-U105))</f>
        <v>0</v>
      </c>
      <c r="W105">
        <f>IF(COUNT($V$103:$V$105)&lt;3,"",AVERAGE($V$103:$V$105))</f>
        <v>0</v>
      </c>
      <c r="X105">
        <f>IF(COUNT($N$92:$N$105)&lt;14,"",MIN($N$92:$N$105))</f>
        <v>0</v>
      </c>
      <c r="Y105">
        <f>IF(COUNT($N$92:$N$105)&lt;14,"",MAX($N$92:$N$105))</f>
        <v>0</v>
      </c>
      <c r="Z105">
        <f>IF(OR(N105="",X105="",Y105="",Y105=X105),"",100*(N105-X105)/(Y105-X105))</f>
        <v>0</v>
      </c>
      <c r="AA105">
        <f>IF(COUNT($Z$103:$Z$105)&lt;3,"",AVERAGE($Z$103:$Z$105))</f>
        <v>0</v>
      </c>
      <c r="AB105">
        <f>IF(COUNT($AA$103:$AA$105)&lt;3,"",AVERAGE($AA$103:$AA$105))</f>
        <v>0</v>
      </c>
      <c r="AC105">
        <f>IF($E105="","",MAX($C105-$D105,ABS($C105-$E104),ABS($D105-$E104)))</f>
        <v>0</v>
      </c>
      <c r="AD105">
        <f>IF(COUNT($E$2:$E105)&lt;15,"",AVERAGE($AC$92:$AC$105))</f>
        <v>0</v>
      </c>
      <c r="AE105">
        <f>IF(OR($E105="",$E104=""),"",IF(AND(($C105-$C104)&gt;($D104-$D105),($C105-$C104)&gt;0),$C105-$C104,0))</f>
        <v>0</v>
      </c>
      <c r="AF105">
        <f>IF(OR($E105="",$E104=""),"",IF(AND(($D104-$D105)&gt;($C105-$C104),($D104-$D105)&gt;0),$D104-$D105,0))</f>
        <v>0</v>
      </c>
      <c r="AG105">
        <f>IF(COUNT($E$2:$E105)&lt;15,"",IF(SUM($AC$92:$AC$105)=0,0,100*SUM($AE$92:$AE$105)/SUM($AC$92:$AC$105)))</f>
        <v>0</v>
      </c>
      <c r="AH105">
        <f>IF(COUNT($E$2:$E105)&lt;15,"",IF(SUM($AC$92:$AC$105)=0,0,100*SUM($AF$92:$AF$105)/SUM($AC$92:$AC$105)))</f>
        <v>0</v>
      </c>
      <c r="AI105">
        <f>IF(OR(AG105="",AH105=""),"",IF((AG105+AH105)=0,0,100*ABS(AG105-AH105)/(AG105+AH105)))</f>
        <v>0</v>
      </c>
      <c r="AJ105">
        <f>IF(COUNT($AI$92:$AI$105)&lt;14,"",AVERAGE($AI$92:$AI$105))</f>
        <v>0</v>
      </c>
      <c r="AK105">
        <f>IF(COUNT($E$2:$E105)&lt;20,"",AVERAGE($E$86:$E$105))</f>
        <v>0</v>
      </c>
      <c r="AL105">
        <f>IF(COUNT($E$2:$E105)&lt;20,"",STDEVP($E$86:$E$105))</f>
        <v>0</v>
      </c>
      <c r="AM105">
        <f>IF(AK105="","",AK105+2*AL105)</f>
        <v>0</v>
      </c>
      <c r="AN105">
        <f>IF(AK105="","",AK105-2*AL105)</f>
        <v>0</v>
      </c>
      <c r="AO105">
        <f>IF(OR(AM105="",AN105="",AM105=AN105),"",($E105-AN105)/(AM105-AN105))</f>
        <v>0</v>
      </c>
      <c r="AP105">
        <f>IF(OR(AM105="",AK105="",AK105=0),"",(AM105-AN105)/AK105)</f>
        <v>0</v>
      </c>
      <c r="AQ105">
        <f>IF(COUNT($E$2:$E105)&lt;20,"",MAX($C$86:$C$105))</f>
        <v>0</v>
      </c>
      <c r="AR105">
        <f>IF(COUNT($E$2:$E105)&lt;20,"",MIN($D$86:$D$105))</f>
        <v>0</v>
      </c>
      <c r="AS105">
        <f>IF(OR(AQ105="",AR105=""),"",(AQ105+AR105)/2)</f>
        <v>0</v>
      </c>
      <c r="AT105">
        <f>IF(COUNT($G$86:$G$105)&lt;20,"",STDEV($G$86:$G$105)*SQRT(252))</f>
        <v>0</v>
      </c>
      <c r="AU105">
        <f>IF(COUNT($E$2:$E105)&lt;9,"",(MAX($C$97:$C$105)+MIN($D$97:$D$105))/2)</f>
        <v>0</v>
      </c>
      <c r="AV105">
        <f>IF(COUNT($E$2:$E105)&lt;26,"",(MAX($C$80:$C$105)+MIN($D$80:$D$105))/2)</f>
        <v>0</v>
      </c>
      <c r="AW105">
        <f>IF(OR(AU105="",AV105=""),"",(AU105+AV105)/2)</f>
        <v>0</v>
      </c>
      <c r="AX105">
        <f>IF(COUNT($E$2:$E105)&lt;52,"",(MAX($C$54:$C$105)+MIN($D$54:$D$105))/2)</f>
        <v>0</v>
      </c>
      <c r="AY105">
        <f>IF(COUNT($E$2:$E105)&lt;20,"",MAX($C$6:$C$105))</f>
        <v>0</v>
      </c>
      <c r="AZ105">
        <f>IF(COUNT($E$2:$E105)&lt;20,"",MIN($D$6:$D$105))</f>
        <v>0</v>
      </c>
      <c r="BA105">
        <f>IF(COUNT($E$2:$E105)&lt;20,"",SLOPE($E$6:$E$105,$F$6:$F$105))</f>
        <v>0</v>
      </c>
      <c r="BB105">
        <f>IF(COUNT($E$2:$E105)&lt;20,"",INTERCEPT($E$6:$E$105,$F$6:$F$105))</f>
        <v>0</v>
      </c>
      <c r="BC105">
        <f>IF(OR(BA105="",BB105=""),"",BB105+BA105*F105)</f>
        <v>0</v>
      </c>
      <c r="BD105">
        <f>IF(COUNT($E$2:$E105)&lt;20,"",STEYX($E$6:$E$105,$F$6:$F$105))</f>
        <v>0</v>
      </c>
      <c r="BE105">
        <f>IF($E105="","",IF(AND(COUNT($E$106:$E$109)&gt;=4,$C105=MAX($C$101:$C$109)),$C105,""))</f>
        <v>0</v>
      </c>
      <c r="BF105">
        <f>IF($E105="","",IF(AND(COUNT($E$106:$E$109)&gt;=4,$D105=MIN($D$101:$D$109)),$D105,""))</f>
        <v>0</v>
      </c>
      <c r="BG105">
        <f>IF($A105="","",$A105-WEEKDAY($A105,2)+1)</f>
        <v>0</v>
      </c>
      <c r="BH105">
        <f>IF($A105="","",IF($A104="",1,IF(BG105&lt;&gt;BG104,1,0)))</f>
        <v>0</v>
      </c>
      <c r="BI105">
        <f>IF($A105="","",IF($A106="",1,IF(BG106&lt;&gt;BG105,1,0)))</f>
        <v>0</v>
      </c>
      <c r="BJ105">
        <f>IF($A105="","",IF(BH105=1,$B105,BJ104))</f>
        <v>0</v>
      </c>
      <c r="BK105">
        <f>IF($A105="","",IF(BH105=1,$C105,MAX($C105,BK104)))</f>
        <v>0</v>
      </c>
      <c r="BL105">
        <f>IF($A105="","",IF(BH105=1,$D105,MIN($D105,BL104)))</f>
        <v>0</v>
      </c>
      <c r="BM105">
        <f>IF($A105="","",IF(BI105=1,F105,""))</f>
        <v>0</v>
      </c>
      <c r="BN105">
        <f>IF($A105="","",DATE(YEAR($A105),MONTH($A105),1))</f>
        <v>0</v>
      </c>
      <c r="BO105">
        <f>IF($A105="","",IF($A104="",1,IF(BN105&lt;&gt;BN104,1,0)))</f>
        <v>0</v>
      </c>
      <c r="BP105">
        <f>IF($A105="","",IF($A106="",1,IF(BN106&lt;&gt;BN105,1,0)))</f>
        <v>0</v>
      </c>
      <c r="BQ105">
        <f>IF($A105="","",IF(BO105=1,$B105,BQ104))</f>
        <v>0</v>
      </c>
      <c r="BR105">
        <f>IF($A105="","",IF(BO105=1,$C105,MAX($C105,BR104)))</f>
        <v>0</v>
      </c>
      <c r="BS105">
        <f>IF($A105="","",IF(BO105=1,$D105,MIN($D105,BS104)))</f>
        <v>0</v>
      </c>
      <c r="BT105">
        <f>IF($A105="","",IF(BP105=1,F105,""))</f>
        <v>0</v>
      </c>
    </row>
    <row r="106" spans="1:72">
      <c r="A106" s="27">
        <f>IF(Data!$A106="","",Data!$A106)</f>
        <v>0</v>
      </c>
      <c r="B106">
        <f>IF(Data!$B106="","",Data!$B106)</f>
        <v>0</v>
      </c>
      <c r="C106">
        <f>IF(Data!$C106="","",Data!$C106)</f>
        <v>0</v>
      </c>
      <c r="D106">
        <f>IF(Data!$D106="","",Data!$D106)</f>
        <v>0</v>
      </c>
      <c r="E106">
        <f>IF(Data!$E106="","",Data!$E106)</f>
        <v>0</v>
      </c>
      <c r="F106">
        <f>IF($E106="","",N(F105)+1)</f>
        <v>0</v>
      </c>
      <c r="G106">
        <f>IF(OR($E106="",$E105=""),"",LN($E106/$E105))</f>
        <v>0</v>
      </c>
      <c r="H106">
        <f>IF($E106="","",IF($E105="",$E106,$E106*0.0952380952+H105*0.9047619048))</f>
        <v>0</v>
      </c>
      <c r="I106">
        <f>IF($E106="","",IF($E105="",$E106,$E106*0.0392156863+I105*0.9607843137))</f>
        <v>0</v>
      </c>
      <c r="J106">
        <f>IF($E106="","",IF($E105="",$E106,$E106*0.0198019802+J105*0.9801980198))</f>
        <v>0</v>
      </c>
      <c r="K106">
        <f>IF($E106="","",IF($E105="",$E106,$E106*0.0099502488+K105*0.9900497512))</f>
        <v>0</v>
      </c>
      <c r="L106">
        <f>IF(OR($E106="",$E105=""),"",MAX($E106-$E105,0))</f>
        <v>0</v>
      </c>
      <c r="M106">
        <f>IF(OR($E106="",$E105=""),"",MAX($E105-$E106,0))</f>
        <v>0</v>
      </c>
      <c r="N106">
        <f>IF(COUNT($E$2:$E106)&lt;15,"",IF(AVERAGE($M$93:$M$106)=0,100,100-100/(1+AVERAGE($L$93:$L$106)/AVERAGE($M$93:$M$106))))</f>
        <v>0</v>
      </c>
      <c r="O106">
        <f>IF($E106="","",IF($E105="",$E106,$E106*0.1538461538+O105*0.8461538462))</f>
        <v>0</v>
      </c>
      <c r="P106">
        <f>IF($E106="","",IF($E105="",$E106,$E106*0.0740740741+P105*0.9259259259))</f>
        <v>0</v>
      </c>
      <c r="Q106">
        <f>IF(OR(O106="",P106=""),"",O106-P106)</f>
        <v>0</v>
      </c>
      <c r="R106">
        <f>IF(Q106="","",IF(R105="",Q106,Q106*0.2000000000+R105*0.8000000000))</f>
        <v>0</v>
      </c>
      <c r="S106">
        <f>IF(OR(Q106="",R106=""),"",Q106-R106)</f>
        <v>0</v>
      </c>
      <c r="T106">
        <f>IF(COUNT($E$2:$E106)&lt;14,"",MAX($C$93:$C$106))</f>
        <v>0</v>
      </c>
      <c r="U106">
        <f>IF(COUNT($E$2:$E106)&lt;14,"",MIN($D$93:$D$106))</f>
        <v>0</v>
      </c>
      <c r="V106">
        <f>IF(OR(T106="",U106="",T106=U106),"",100*($E106-U106)/(T106-U106))</f>
        <v>0</v>
      </c>
      <c r="W106">
        <f>IF(COUNT($V$104:$V$106)&lt;3,"",AVERAGE($V$104:$V$106))</f>
        <v>0</v>
      </c>
      <c r="X106">
        <f>IF(COUNT($N$93:$N$106)&lt;14,"",MIN($N$93:$N$106))</f>
        <v>0</v>
      </c>
      <c r="Y106">
        <f>IF(COUNT($N$93:$N$106)&lt;14,"",MAX($N$93:$N$106))</f>
        <v>0</v>
      </c>
      <c r="Z106">
        <f>IF(OR(N106="",X106="",Y106="",Y106=X106),"",100*(N106-X106)/(Y106-X106))</f>
        <v>0</v>
      </c>
      <c r="AA106">
        <f>IF(COUNT($Z$104:$Z$106)&lt;3,"",AVERAGE($Z$104:$Z$106))</f>
        <v>0</v>
      </c>
      <c r="AB106">
        <f>IF(COUNT($AA$104:$AA$106)&lt;3,"",AVERAGE($AA$104:$AA$106))</f>
        <v>0</v>
      </c>
      <c r="AC106">
        <f>IF($E106="","",MAX($C106-$D106,ABS($C106-$E105),ABS($D106-$E105)))</f>
        <v>0</v>
      </c>
      <c r="AD106">
        <f>IF(COUNT($E$2:$E106)&lt;15,"",AVERAGE($AC$93:$AC$106))</f>
        <v>0</v>
      </c>
      <c r="AE106">
        <f>IF(OR($E106="",$E105=""),"",IF(AND(($C106-$C105)&gt;($D105-$D106),($C106-$C105)&gt;0),$C106-$C105,0))</f>
        <v>0</v>
      </c>
      <c r="AF106">
        <f>IF(OR($E106="",$E105=""),"",IF(AND(($D105-$D106)&gt;($C106-$C105),($D105-$D106)&gt;0),$D105-$D106,0))</f>
        <v>0</v>
      </c>
      <c r="AG106">
        <f>IF(COUNT($E$2:$E106)&lt;15,"",IF(SUM($AC$93:$AC$106)=0,0,100*SUM($AE$93:$AE$106)/SUM($AC$93:$AC$106)))</f>
        <v>0</v>
      </c>
      <c r="AH106">
        <f>IF(COUNT($E$2:$E106)&lt;15,"",IF(SUM($AC$93:$AC$106)=0,0,100*SUM($AF$93:$AF$106)/SUM($AC$93:$AC$106)))</f>
        <v>0</v>
      </c>
      <c r="AI106">
        <f>IF(OR(AG106="",AH106=""),"",IF((AG106+AH106)=0,0,100*ABS(AG106-AH106)/(AG106+AH106)))</f>
        <v>0</v>
      </c>
      <c r="AJ106">
        <f>IF(COUNT($AI$93:$AI$106)&lt;14,"",AVERAGE($AI$93:$AI$106))</f>
        <v>0</v>
      </c>
      <c r="AK106">
        <f>IF(COUNT($E$2:$E106)&lt;20,"",AVERAGE($E$87:$E$106))</f>
        <v>0</v>
      </c>
      <c r="AL106">
        <f>IF(COUNT($E$2:$E106)&lt;20,"",STDEVP($E$87:$E$106))</f>
        <v>0</v>
      </c>
      <c r="AM106">
        <f>IF(AK106="","",AK106+2*AL106)</f>
        <v>0</v>
      </c>
      <c r="AN106">
        <f>IF(AK106="","",AK106-2*AL106)</f>
        <v>0</v>
      </c>
      <c r="AO106">
        <f>IF(OR(AM106="",AN106="",AM106=AN106),"",($E106-AN106)/(AM106-AN106))</f>
        <v>0</v>
      </c>
      <c r="AP106">
        <f>IF(OR(AM106="",AK106="",AK106=0),"",(AM106-AN106)/AK106)</f>
        <v>0</v>
      </c>
      <c r="AQ106">
        <f>IF(COUNT($E$2:$E106)&lt;20,"",MAX($C$87:$C$106))</f>
        <v>0</v>
      </c>
      <c r="AR106">
        <f>IF(COUNT($E$2:$E106)&lt;20,"",MIN($D$87:$D$106))</f>
        <v>0</v>
      </c>
      <c r="AS106">
        <f>IF(OR(AQ106="",AR106=""),"",(AQ106+AR106)/2)</f>
        <v>0</v>
      </c>
      <c r="AT106">
        <f>IF(COUNT($G$87:$G$106)&lt;20,"",STDEV($G$87:$G$106)*SQRT(252))</f>
        <v>0</v>
      </c>
      <c r="AU106">
        <f>IF(COUNT($E$2:$E106)&lt;9,"",(MAX($C$98:$C$106)+MIN($D$98:$D$106))/2)</f>
        <v>0</v>
      </c>
      <c r="AV106">
        <f>IF(COUNT($E$2:$E106)&lt;26,"",(MAX($C$81:$C$106)+MIN($D$81:$D$106))/2)</f>
        <v>0</v>
      </c>
      <c r="AW106">
        <f>IF(OR(AU106="",AV106=""),"",(AU106+AV106)/2)</f>
        <v>0</v>
      </c>
      <c r="AX106">
        <f>IF(COUNT($E$2:$E106)&lt;52,"",(MAX($C$55:$C$106)+MIN($D$55:$D$106))/2)</f>
        <v>0</v>
      </c>
      <c r="AY106">
        <f>IF(COUNT($E$2:$E106)&lt;20,"",MAX($C$7:$C$106))</f>
        <v>0</v>
      </c>
      <c r="AZ106">
        <f>IF(COUNT($E$2:$E106)&lt;20,"",MIN($D$7:$D$106))</f>
        <v>0</v>
      </c>
      <c r="BA106">
        <f>IF(COUNT($E$2:$E106)&lt;20,"",SLOPE($E$7:$E$106,$F$7:$F$106))</f>
        <v>0</v>
      </c>
      <c r="BB106">
        <f>IF(COUNT($E$2:$E106)&lt;20,"",INTERCEPT($E$7:$E$106,$F$7:$F$106))</f>
        <v>0</v>
      </c>
      <c r="BC106">
        <f>IF(OR(BA106="",BB106=""),"",BB106+BA106*F106)</f>
        <v>0</v>
      </c>
      <c r="BD106">
        <f>IF(COUNT($E$2:$E106)&lt;20,"",STEYX($E$7:$E$106,$F$7:$F$106))</f>
        <v>0</v>
      </c>
      <c r="BE106">
        <f>IF($E106="","",IF(AND(COUNT($E$107:$E$110)&gt;=4,$C106=MAX($C$102:$C$110)),$C106,""))</f>
        <v>0</v>
      </c>
      <c r="BF106">
        <f>IF($E106="","",IF(AND(COUNT($E$107:$E$110)&gt;=4,$D106=MIN($D$102:$D$110)),$D106,""))</f>
        <v>0</v>
      </c>
      <c r="BG106">
        <f>IF($A106="","",$A106-WEEKDAY($A106,2)+1)</f>
        <v>0</v>
      </c>
      <c r="BH106">
        <f>IF($A106="","",IF($A105="",1,IF(BG106&lt;&gt;BG105,1,0)))</f>
        <v>0</v>
      </c>
      <c r="BI106">
        <f>IF($A106="","",IF($A107="",1,IF(BG107&lt;&gt;BG106,1,0)))</f>
        <v>0</v>
      </c>
      <c r="BJ106">
        <f>IF($A106="","",IF(BH106=1,$B106,BJ105))</f>
        <v>0</v>
      </c>
      <c r="BK106">
        <f>IF($A106="","",IF(BH106=1,$C106,MAX($C106,BK105)))</f>
        <v>0</v>
      </c>
      <c r="BL106">
        <f>IF($A106="","",IF(BH106=1,$D106,MIN($D106,BL105)))</f>
        <v>0</v>
      </c>
      <c r="BM106">
        <f>IF($A106="","",IF(BI106=1,F106,""))</f>
        <v>0</v>
      </c>
      <c r="BN106">
        <f>IF($A106="","",DATE(YEAR($A106),MONTH($A106),1))</f>
        <v>0</v>
      </c>
      <c r="BO106">
        <f>IF($A106="","",IF($A105="",1,IF(BN106&lt;&gt;BN105,1,0)))</f>
        <v>0</v>
      </c>
      <c r="BP106">
        <f>IF($A106="","",IF($A107="",1,IF(BN107&lt;&gt;BN106,1,0)))</f>
        <v>0</v>
      </c>
      <c r="BQ106">
        <f>IF($A106="","",IF(BO106=1,$B106,BQ105))</f>
        <v>0</v>
      </c>
      <c r="BR106">
        <f>IF($A106="","",IF(BO106=1,$C106,MAX($C106,BR105)))</f>
        <v>0</v>
      </c>
      <c r="BS106">
        <f>IF($A106="","",IF(BO106=1,$D106,MIN($D106,BS105)))</f>
        <v>0</v>
      </c>
      <c r="BT106">
        <f>IF($A106="","",IF(BP106=1,F106,""))</f>
        <v>0</v>
      </c>
    </row>
    <row r="107" spans="1:72">
      <c r="A107" s="27">
        <f>IF(Data!$A107="","",Data!$A107)</f>
        <v>0</v>
      </c>
      <c r="B107">
        <f>IF(Data!$B107="","",Data!$B107)</f>
        <v>0</v>
      </c>
      <c r="C107">
        <f>IF(Data!$C107="","",Data!$C107)</f>
        <v>0</v>
      </c>
      <c r="D107">
        <f>IF(Data!$D107="","",Data!$D107)</f>
        <v>0</v>
      </c>
      <c r="E107">
        <f>IF(Data!$E107="","",Data!$E107)</f>
        <v>0</v>
      </c>
      <c r="F107">
        <f>IF($E107="","",N(F106)+1)</f>
        <v>0</v>
      </c>
      <c r="G107">
        <f>IF(OR($E107="",$E106=""),"",LN($E107/$E106))</f>
        <v>0</v>
      </c>
      <c r="H107">
        <f>IF($E107="","",IF($E106="",$E107,$E107*0.0952380952+H106*0.9047619048))</f>
        <v>0</v>
      </c>
      <c r="I107">
        <f>IF($E107="","",IF($E106="",$E107,$E107*0.0392156863+I106*0.9607843137))</f>
        <v>0</v>
      </c>
      <c r="J107">
        <f>IF($E107="","",IF($E106="",$E107,$E107*0.0198019802+J106*0.9801980198))</f>
        <v>0</v>
      </c>
      <c r="K107">
        <f>IF($E107="","",IF($E106="",$E107,$E107*0.0099502488+K106*0.9900497512))</f>
        <v>0</v>
      </c>
      <c r="L107">
        <f>IF(OR($E107="",$E106=""),"",MAX($E107-$E106,0))</f>
        <v>0</v>
      </c>
      <c r="M107">
        <f>IF(OR($E107="",$E106=""),"",MAX($E106-$E107,0))</f>
        <v>0</v>
      </c>
      <c r="N107">
        <f>IF(COUNT($E$2:$E107)&lt;15,"",IF(AVERAGE($M$94:$M$107)=0,100,100-100/(1+AVERAGE($L$94:$L$107)/AVERAGE($M$94:$M$107))))</f>
        <v>0</v>
      </c>
      <c r="O107">
        <f>IF($E107="","",IF($E106="",$E107,$E107*0.1538461538+O106*0.8461538462))</f>
        <v>0</v>
      </c>
      <c r="P107">
        <f>IF($E107="","",IF($E106="",$E107,$E107*0.0740740741+P106*0.9259259259))</f>
        <v>0</v>
      </c>
      <c r="Q107">
        <f>IF(OR(O107="",P107=""),"",O107-P107)</f>
        <v>0</v>
      </c>
      <c r="R107">
        <f>IF(Q107="","",IF(R106="",Q107,Q107*0.2000000000+R106*0.8000000000))</f>
        <v>0</v>
      </c>
      <c r="S107">
        <f>IF(OR(Q107="",R107=""),"",Q107-R107)</f>
        <v>0</v>
      </c>
      <c r="T107">
        <f>IF(COUNT($E$2:$E107)&lt;14,"",MAX($C$94:$C$107))</f>
        <v>0</v>
      </c>
      <c r="U107">
        <f>IF(COUNT($E$2:$E107)&lt;14,"",MIN($D$94:$D$107))</f>
        <v>0</v>
      </c>
      <c r="V107">
        <f>IF(OR(T107="",U107="",T107=U107),"",100*($E107-U107)/(T107-U107))</f>
        <v>0</v>
      </c>
      <c r="W107">
        <f>IF(COUNT($V$105:$V$107)&lt;3,"",AVERAGE($V$105:$V$107))</f>
        <v>0</v>
      </c>
      <c r="X107">
        <f>IF(COUNT($N$94:$N$107)&lt;14,"",MIN($N$94:$N$107))</f>
        <v>0</v>
      </c>
      <c r="Y107">
        <f>IF(COUNT($N$94:$N$107)&lt;14,"",MAX($N$94:$N$107))</f>
        <v>0</v>
      </c>
      <c r="Z107">
        <f>IF(OR(N107="",X107="",Y107="",Y107=X107),"",100*(N107-X107)/(Y107-X107))</f>
        <v>0</v>
      </c>
      <c r="AA107">
        <f>IF(COUNT($Z$105:$Z$107)&lt;3,"",AVERAGE($Z$105:$Z$107))</f>
        <v>0</v>
      </c>
      <c r="AB107">
        <f>IF(COUNT($AA$105:$AA$107)&lt;3,"",AVERAGE($AA$105:$AA$107))</f>
        <v>0</v>
      </c>
      <c r="AC107">
        <f>IF($E107="","",MAX($C107-$D107,ABS($C107-$E106),ABS($D107-$E106)))</f>
        <v>0</v>
      </c>
      <c r="AD107">
        <f>IF(COUNT($E$2:$E107)&lt;15,"",AVERAGE($AC$94:$AC$107))</f>
        <v>0</v>
      </c>
      <c r="AE107">
        <f>IF(OR($E107="",$E106=""),"",IF(AND(($C107-$C106)&gt;($D106-$D107),($C107-$C106)&gt;0),$C107-$C106,0))</f>
        <v>0</v>
      </c>
      <c r="AF107">
        <f>IF(OR($E107="",$E106=""),"",IF(AND(($D106-$D107)&gt;($C107-$C106),($D106-$D107)&gt;0),$D106-$D107,0))</f>
        <v>0</v>
      </c>
      <c r="AG107">
        <f>IF(COUNT($E$2:$E107)&lt;15,"",IF(SUM($AC$94:$AC$107)=0,0,100*SUM($AE$94:$AE$107)/SUM($AC$94:$AC$107)))</f>
        <v>0</v>
      </c>
      <c r="AH107">
        <f>IF(COUNT($E$2:$E107)&lt;15,"",IF(SUM($AC$94:$AC$107)=0,0,100*SUM($AF$94:$AF$107)/SUM($AC$94:$AC$107)))</f>
        <v>0</v>
      </c>
      <c r="AI107">
        <f>IF(OR(AG107="",AH107=""),"",IF((AG107+AH107)=0,0,100*ABS(AG107-AH107)/(AG107+AH107)))</f>
        <v>0</v>
      </c>
      <c r="AJ107">
        <f>IF(COUNT($AI$94:$AI$107)&lt;14,"",AVERAGE($AI$94:$AI$107))</f>
        <v>0</v>
      </c>
      <c r="AK107">
        <f>IF(COUNT($E$2:$E107)&lt;20,"",AVERAGE($E$88:$E$107))</f>
        <v>0</v>
      </c>
      <c r="AL107">
        <f>IF(COUNT($E$2:$E107)&lt;20,"",STDEVP($E$88:$E$107))</f>
        <v>0</v>
      </c>
      <c r="AM107">
        <f>IF(AK107="","",AK107+2*AL107)</f>
        <v>0</v>
      </c>
      <c r="AN107">
        <f>IF(AK107="","",AK107-2*AL107)</f>
        <v>0</v>
      </c>
      <c r="AO107">
        <f>IF(OR(AM107="",AN107="",AM107=AN107),"",($E107-AN107)/(AM107-AN107))</f>
        <v>0</v>
      </c>
      <c r="AP107">
        <f>IF(OR(AM107="",AK107="",AK107=0),"",(AM107-AN107)/AK107)</f>
        <v>0</v>
      </c>
      <c r="AQ107">
        <f>IF(COUNT($E$2:$E107)&lt;20,"",MAX($C$88:$C$107))</f>
        <v>0</v>
      </c>
      <c r="AR107">
        <f>IF(COUNT($E$2:$E107)&lt;20,"",MIN($D$88:$D$107))</f>
        <v>0</v>
      </c>
      <c r="AS107">
        <f>IF(OR(AQ107="",AR107=""),"",(AQ107+AR107)/2)</f>
        <v>0</v>
      </c>
      <c r="AT107">
        <f>IF(COUNT($G$88:$G$107)&lt;20,"",STDEV($G$88:$G$107)*SQRT(252))</f>
        <v>0</v>
      </c>
      <c r="AU107">
        <f>IF(COUNT($E$2:$E107)&lt;9,"",(MAX($C$99:$C$107)+MIN($D$99:$D$107))/2)</f>
        <v>0</v>
      </c>
      <c r="AV107">
        <f>IF(COUNT($E$2:$E107)&lt;26,"",(MAX($C$82:$C$107)+MIN($D$82:$D$107))/2)</f>
        <v>0</v>
      </c>
      <c r="AW107">
        <f>IF(OR(AU107="",AV107=""),"",(AU107+AV107)/2)</f>
        <v>0</v>
      </c>
      <c r="AX107">
        <f>IF(COUNT($E$2:$E107)&lt;52,"",(MAX($C$56:$C$107)+MIN($D$56:$D$107))/2)</f>
        <v>0</v>
      </c>
      <c r="AY107">
        <f>IF(COUNT($E$2:$E107)&lt;20,"",MAX($C$8:$C$107))</f>
        <v>0</v>
      </c>
      <c r="AZ107">
        <f>IF(COUNT($E$2:$E107)&lt;20,"",MIN($D$8:$D$107))</f>
        <v>0</v>
      </c>
      <c r="BA107">
        <f>IF(COUNT($E$2:$E107)&lt;20,"",SLOPE($E$8:$E$107,$F$8:$F$107))</f>
        <v>0</v>
      </c>
      <c r="BB107">
        <f>IF(COUNT($E$2:$E107)&lt;20,"",INTERCEPT($E$8:$E$107,$F$8:$F$107))</f>
        <v>0</v>
      </c>
      <c r="BC107">
        <f>IF(OR(BA107="",BB107=""),"",BB107+BA107*F107)</f>
        <v>0</v>
      </c>
      <c r="BD107">
        <f>IF(COUNT($E$2:$E107)&lt;20,"",STEYX($E$8:$E$107,$F$8:$F$107))</f>
        <v>0</v>
      </c>
      <c r="BE107">
        <f>IF($E107="","",IF(AND(COUNT($E$108:$E$111)&gt;=4,$C107=MAX($C$103:$C$111)),$C107,""))</f>
        <v>0</v>
      </c>
      <c r="BF107">
        <f>IF($E107="","",IF(AND(COUNT($E$108:$E$111)&gt;=4,$D107=MIN($D$103:$D$111)),$D107,""))</f>
        <v>0</v>
      </c>
      <c r="BG107">
        <f>IF($A107="","",$A107-WEEKDAY($A107,2)+1)</f>
        <v>0</v>
      </c>
      <c r="BH107">
        <f>IF($A107="","",IF($A106="",1,IF(BG107&lt;&gt;BG106,1,0)))</f>
        <v>0</v>
      </c>
      <c r="BI107">
        <f>IF($A107="","",IF($A108="",1,IF(BG108&lt;&gt;BG107,1,0)))</f>
        <v>0</v>
      </c>
      <c r="BJ107">
        <f>IF($A107="","",IF(BH107=1,$B107,BJ106))</f>
        <v>0</v>
      </c>
      <c r="BK107">
        <f>IF($A107="","",IF(BH107=1,$C107,MAX($C107,BK106)))</f>
        <v>0</v>
      </c>
      <c r="BL107">
        <f>IF($A107="","",IF(BH107=1,$D107,MIN($D107,BL106)))</f>
        <v>0</v>
      </c>
      <c r="BM107">
        <f>IF($A107="","",IF(BI107=1,F107,""))</f>
        <v>0</v>
      </c>
      <c r="BN107">
        <f>IF($A107="","",DATE(YEAR($A107),MONTH($A107),1))</f>
        <v>0</v>
      </c>
      <c r="BO107">
        <f>IF($A107="","",IF($A106="",1,IF(BN107&lt;&gt;BN106,1,0)))</f>
        <v>0</v>
      </c>
      <c r="BP107">
        <f>IF($A107="","",IF($A108="",1,IF(BN108&lt;&gt;BN107,1,0)))</f>
        <v>0</v>
      </c>
      <c r="BQ107">
        <f>IF($A107="","",IF(BO107=1,$B107,BQ106))</f>
        <v>0</v>
      </c>
      <c r="BR107">
        <f>IF($A107="","",IF(BO107=1,$C107,MAX($C107,BR106)))</f>
        <v>0</v>
      </c>
      <c r="BS107">
        <f>IF($A107="","",IF(BO107=1,$D107,MIN($D107,BS106)))</f>
        <v>0</v>
      </c>
      <c r="BT107">
        <f>IF($A107="","",IF(BP107=1,F107,""))</f>
        <v>0</v>
      </c>
    </row>
    <row r="108" spans="1:72">
      <c r="A108" s="27">
        <f>IF(Data!$A108="","",Data!$A108)</f>
        <v>0</v>
      </c>
      <c r="B108">
        <f>IF(Data!$B108="","",Data!$B108)</f>
        <v>0</v>
      </c>
      <c r="C108">
        <f>IF(Data!$C108="","",Data!$C108)</f>
        <v>0</v>
      </c>
      <c r="D108">
        <f>IF(Data!$D108="","",Data!$D108)</f>
        <v>0</v>
      </c>
      <c r="E108">
        <f>IF(Data!$E108="","",Data!$E108)</f>
        <v>0</v>
      </c>
      <c r="F108">
        <f>IF($E108="","",N(F107)+1)</f>
        <v>0</v>
      </c>
      <c r="G108">
        <f>IF(OR($E108="",$E107=""),"",LN($E108/$E107))</f>
        <v>0</v>
      </c>
      <c r="H108">
        <f>IF($E108="","",IF($E107="",$E108,$E108*0.0952380952+H107*0.9047619048))</f>
        <v>0</v>
      </c>
      <c r="I108">
        <f>IF($E108="","",IF($E107="",$E108,$E108*0.0392156863+I107*0.9607843137))</f>
        <v>0</v>
      </c>
      <c r="J108">
        <f>IF($E108="","",IF($E107="",$E108,$E108*0.0198019802+J107*0.9801980198))</f>
        <v>0</v>
      </c>
      <c r="K108">
        <f>IF($E108="","",IF($E107="",$E108,$E108*0.0099502488+K107*0.9900497512))</f>
        <v>0</v>
      </c>
      <c r="L108">
        <f>IF(OR($E108="",$E107=""),"",MAX($E108-$E107,0))</f>
        <v>0</v>
      </c>
      <c r="M108">
        <f>IF(OR($E108="",$E107=""),"",MAX($E107-$E108,0))</f>
        <v>0</v>
      </c>
      <c r="N108">
        <f>IF(COUNT($E$2:$E108)&lt;15,"",IF(AVERAGE($M$95:$M$108)=0,100,100-100/(1+AVERAGE($L$95:$L$108)/AVERAGE($M$95:$M$108))))</f>
        <v>0</v>
      </c>
      <c r="O108">
        <f>IF($E108="","",IF($E107="",$E108,$E108*0.1538461538+O107*0.8461538462))</f>
        <v>0</v>
      </c>
      <c r="P108">
        <f>IF($E108="","",IF($E107="",$E108,$E108*0.0740740741+P107*0.9259259259))</f>
        <v>0</v>
      </c>
      <c r="Q108">
        <f>IF(OR(O108="",P108=""),"",O108-P108)</f>
        <v>0</v>
      </c>
      <c r="R108">
        <f>IF(Q108="","",IF(R107="",Q108,Q108*0.2000000000+R107*0.8000000000))</f>
        <v>0</v>
      </c>
      <c r="S108">
        <f>IF(OR(Q108="",R108=""),"",Q108-R108)</f>
        <v>0</v>
      </c>
      <c r="T108">
        <f>IF(COUNT($E$2:$E108)&lt;14,"",MAX($C$95:$C$108))</f>
        <v>0</v>
      </c>
      <c r="U108">
        <f>IF(COUNT($E$2:$E108)&lt;14,"",MIN($D$95:$D$108))</f>
        <v>0</v>
      </c>
      <c r="V108">
        <f>IF(OR(T108="",U108="",T108=U108),"",100*($E108-U108)/(T108-U108))</f>
        <v>0</v>
      </c>
      <c r="W108">
        <f>IF(COUNT($V$106:$V$108)&lt;3,"",AVERAGE($V$106:$V$108))</f>
        <v>0</v>
      </c>
      <c r="X108">
        <f>IF(COUNT($N$95:$N$108)&lt;14,"",MIN($N$95:$N$108))</f>
        <v>0</v>
      </c>
      <c r="Y108">
        <f>IF(COUNT($N$95:$N$108)&lt;14,"",MAX($N$95:$N$108))</f>
        <v>0</v>
      </c>
      <c r="Z108">
        <f>IF(OR(N108="",X108="",Y108="",Y108=X108),"",100*(N108-X108)/(Y108-X108))</f>
        <v>0</v>
      </c>
      <c r="AA108">
        <f>IF(COUNT($Z$106:$Z$108)&lt;3,"",AVERAGE($Z$106:$Z$108))</f>
        <v>0</v>
      </c>
      <c r="AB108">
        <f>IF(COUNT($AA$106:$AA$108)&lt;3,"",AVERAGE($AA$106:$AA$108))</f>
        <v>0</v>
      </c>
      <c r="AC108">
        <f>IF($E108="","",MAX($C108-$D108,ABS($C108-$E107),ABS($D108-$E107)))</f>
        <v>0</v>
      </c>
      <c r="AD108">
        <f>IF(COUNT($E$2:$E108)&lt;15,"",AVERAGE($AC$95:$AC$108))</f>
        <v>0</v>
      </c>
      <c r="AE108">
        <f>IF(OR($E108="",$E107=""),"",IF(AND(($C108-$C107)&gt;($D107-$D108),($C108-$C107)&gt;0),$C108-$C107,0))</f>
        <v>0</v>
      </c>
      <c r="AF108">
        <f>IF(OR($E108="",$E107=""),"",IF(AND(($D107-$D108)&gt;($C108-$C107),($D107-$D108)&gt;0),$D107-$D108,0))</f>
        <v>0</v>
      </c>
      <c r="AG108">
        <f>IF(COUNT($E$2:$E108)&lt;15,"",IF(SUM($AC$95:$AC$108)=0,0,100*SUM($AE$95:$AE$108)/SUM($AC$95:$AC$108)))</f>
        <v>0</v>
      </c>
      <c r="AH108">
        <f>IF(COUNT($E$2:$E108)&lt;15,"",IF(SUM($AC$95:$AC$108)=0,0,100*SUM($AF$95:$AF$108)/SUM($AC$95:$AC$108)))</f>
        <v>0</v>
      </c>
      <c r="AI108">
        <f>IF(OR(AG108="",AH108=""),"",IF((AG108+AH108)=0,0,100*ABS(AG108-AH108)/(AG108+AH108)))</f>
        <v>0</v>
      </c>
      <c r="AJ108">
        <f>IF(COUNT($AI$95:$AI$108)&lt;14,"",AVERAGE($AI$95:$AI$108))</f>
        <v>0</v>
      </c>
      <c r="AK108">
        <f>IF(COUNT($E$2:$E108)&lt;20,"",AVERAGE($E$89:$E$108))</f>
        <v>0</v>
      </c>
      <c r="AL108">
        <f>IF(COUNT($E$2:$E108)&lt;20,"",STDEVP($E$89:$E$108))</f>
        <v>0</v>
      </c>
      <c r="AM108">
        <f>IF(AK108="","",AK108+2*AL108)</f>
        <v>0</v>
      </c>
      <c r="AN108">
        <f>IF(AK108="","",AK108-2*AL108)</f>
        <v>0</v>
      </c>
      <c r="AO108">
        <f>IF(OR(AM108="",AN108="",AM108=AN108),"",($E108-AN108)/(AM108-AN108))</f>
        <v>0</v>
      </c>
      <c r="AP108">
        <f>IF(OR(AM108="",AK108="",AK108=0),"",(AM108-AN108)/AK108)</f>
        <v>0</v>
      </c>
      <c r="AQ108">
        <f>IF(COUNT($E$2:$E108)&lt;20,"",MAX($C$89:$C$108))</f>
        <v>0</v>
      </c>
      <c r="AR108">
        <f>IF(COUNT($E$2:$E108)&lt;20,"",MIN($D$89:$D$108))</f>
        <v>0</v>
      </c>
      <c r="AS108">
        <f>IF(OR(AQ108="",AR108=""),"",(AQ108+AR108)/2)</f>
        <v>0</v>
      </c>
      <c r="AT108">
        <f>IF(COUNT($G$89:$G$108)&lt;20,"",STDEV($G$89:$G$108)*SQRT(252))</f>
        <v>0</v>
      </c>
      <c r="AU108">
        <f>IF(COUNT($E$2:$E108)&lt;9,"",(MAX($C$100:$C$108)+MIN($D$100:$D$108))/2)</f>
        <v>0</v>
      </c>
      <c r="AV108">
        <f>IF(COUNT($E$2:$E108)&lt;26,"",(MAX($C$83:$C$108)+MIN($D$83:$D$108))/2)</f>
        <v>0</v>
      </c>
      <c r="AW108">
        <f>IF(OR(AU108="",AV108=""),"",(AU108+AV108)/2)</f>
        <v>0</v>
      </c>
      <c r="AX108">
        <f>IF(COUNT($E$2:$E108)&lt;52,"",(MAX($C$57:$C$108)+MIN($D$57:$D$108))/2)</f>
        <v>0</v>
      </c>
      <c r="AY108">
        <f>IF(COUNT($E$2:$E108)&lt;20,"",MAX($C$9:$C$108))</f>
        <v>0</v>
      </c>
      <c r="AZ108">
        <f>IF(COUNT($E$2:$E108)&lt;20,"",MIN($D$9:$D$108))</f>
        <v>0</v>
      </c>
      <c r="BA108">
        <f>IF(COUNT($E$2:$E108)&lt;20,"",SLOPE($E$9:$E$108,$F$9:$F$108))</f>
        <v>0</v>
      </c>
      <c r="BB108">
        <f>IF(COUNT($E$2:$E108)&lt;20,"",INTERCEPT($E$9:$E$108,$F$9:$F$108))</f>
        <v>0</v>
      </c>
      <c r="BC108">
        <f>IF(OR(BA108="",BB108=""),"",BB108+BA108*F108)</f>
        <v>0</v>
      </c>
      <c r="BD108">
        <f>IF(COUNT($E$2:$E108)&lt;20,"",STEYX($E$9:$E$108,$F$9:$F$108))</f>
        <v>0</v>
      </c>
      <c r="BE108">
        <f>IF($E108="","",IF(AND(COUNT($E$109:$E$112)&gt;=4,$C108=MAX($C$104:$C$112)),$C108,""))</f>
        <v>0</v>
      </c>
      <c r="BF108">
        <f>IF($E108="","",IF(AND(COUNT($E$109:$E$112)&gt;=4,$D108=MIN($D$104:$D$112)),$D108,""))</f>
        <v>0</v>
      </c>
      <c r="BG108">
        <f>IF($A108="","",$A108-WEEKDAY($A108,2)+1)</f>
        <v>0</v>
      </c>
      <c r="BH108">
        <f>IF($A108="","",IF($A107="",1,IF(BG108&lt;&gt;BG107,1,0)))</f>
        <v>0</v>
      </c>
      <c r="BI108">
        <f>IF($A108="","",IF($A109="",1,IF(BG109&lt;&gt;BG108,1,0)))</f>
        <v>0</v>
      </c>
      <c r="BJ108">
        <f>IF($A108="","",IF(BH108=1,$B108,BJ107))</f>
        <v>0</v>
      </c>
      <c r="BK108">
        <f>IF($A108="","",IF(BH108=1,$C108,MAX($C108,BK107)))</f>
        <v>0</v>
      </c>
      <c r="BL108">
        <f>IF($A108="","",IF(BH108=1,$D108,MIN($D108,BL107)))</f>
        <v>0</v>
      </c>
      <c r="BM108">
        <f>IF($A108="","",IF(BI108=1,F108,""))</f>
        <v>0</v>
      </c>
      <c r="BN108">
        <f>IF($A108="","",DATE(YEAR($A108),MONTH($A108),1))</f>
        <v>0</v>
      </c>
      <c r="BO108">
        <f>IF($A108="","",IF($A107="",1,IF(BN108&lt;&gt;BN107,1,0)))</f>
        <v>0</v>
      </c>
      <c r="BP108">
        <f>IF($A108="","",IF($A109="",1,IF(BN109&lt;&gt;BN108,1,0)))</f>
        <v>0</v>
      </c>
      <c r="BQ108">
        <f>IF($A108="","",IF(BO108=1,$B108,BQ107))</f>
        <v>0</v>
      </c>
      <c r="BR108">
        <f>IF($A108="","",IF(BO108=1,$C108,MAX($C108,BR107)))</f>
        <v>0</v>
      </c>
      <c r="BS108">
        <f>IF($A108="","",IF(BO108=1,$D108,MIN($D108,BS107)))</f>
        <v>0</v>
      </c>
      <c r="BT108">
        <f>IF($A108="","",IF(BP108=1,F108,""))</f>
        <v>0</v>
      </c>
    </row>
    <row r="109" spans="1:72">
      <c r="A109" s="27">
        <f>IF(Data!$A109="","",Data!$A109)</f>
        <v>0</v>
      </c>
      <c r="B109">
        <f>IF(Data!$B109="","",Data!$B109)</f>
        <v>0</v>
      </c>
      <c r="C109">
        <f>IF(Data!$C109="","",Data!$C109)</f>
        <v>0</v>
      </c>
      <c r="D109">
        <f>IF(Data!$D109="","",Data!$D109)</f>
        <v>0</v>
      </c>
      <c r="E109">
        <f>IF(Data!$E109="","",Data!$E109)</f>
        <v>0</v>
      </c>
      <c r="F109">
        <f>IF($E109="","",N(F108)+1)</f>
        <v>0</v>
      </c>
      <c r="G109">
        <f>IF(OR($E109="",$E108=""),"",LN($E109/$E108))</f>
        <v>0</v>
      </c>
      <c r="H109">
        <f>IF($E109="","",IF($E108="",$E109,$E109*0.0952380952+H108*0.9047619048))</f>
        <v>0</v>
      </c>
      <c r="I109">
        <f>IF($E109="","",IF($E108="",$E109,$E109*0.0392156863+I108*0.9607843137))</f>
        <v>0</v>
      </c>
      <c r="J109">
        <f>IF($E109="","",IF($E108="",$E109,$E109*0.0198019802+J108*0.9801980198))</f>
        <v>0</v>
      </c>
      <c r="K109">
        <f>IF($E109="","",IF($E108="",$E109,$E109*0.0099502488+K108*0.9900497512))</f>
        <v>0</v>
      </c>
      <c r="L109">
        <f>IF(OR($E109="",$E108=""),"",MAX($E109-$E108,0))</f>
        <v>0</v>
      </c>
      <c r="M109">
        <f>IF(OR($E109="",$E108=""),"",MAX($E108-$E109,0))</f>
        <v>0</v>
      </c>
      <c r="N109">
        <f>IF(COUNT($E$2:$E109)&lt;15,"",IF(AVERAGE($M$96:$M$109)=0,100,100-100/(1+AVERAGE($L$96:$L$109)/AVERAGE($M$96:$M$109))))</f>
        <v>0</v>
      </c>
      <c r="O109">
        <f>IF($E109="","",IF($E108="",$E109,$E109*0.1538461538+O108*0.8461538462))</f>
        <v>0</v>
      </c>
      <c r="P109">
        <f>IF($E109="","",IF($E108="",$E109,$E109*0.0740740741+P108*0.9259259259))</f>
        <v>0</v>
      </c>
      <c r="Q109">
        <f>IF(OR(O109="",P109=""),"",O109-P109)</f>
        <v>0</v>
      </c>
      <c r="R109">
        <f>IF(Q109="","",IF(R108="",Q109,Q109*0.2000000000+R108*0.8000000000))</f>
        <v>0</v>
      </c>
      <c r="S109">
        <f>IF(OR(Q109="",R109=""),"",Q109-R109)</f>
        <v>0</v>
      </c>
      <c r="T109">
        <f>IF(COUNT($E$2:$E109)&lt;14,"",MAX($C$96:$C$109))</f>
        <v>0</v>
      </c>
      <c r="U109">
        <f>IF(COUNT($E$2:$E109)&lt;14,"",MIN($D$96:$D$109))</f>
        <v>0</v>
      </c>
      <c r="V109">
        <f>IF(OR(T109="",U109="",T109=U109),"",100*($E109-U109)/(T109-U109))</f>
        <v>0</v>
      </c>
      <c r="W109">
        <f>IF(COUNT($V$107:$V$109)&lt;3,"",AVERAGE($V$107:$V$109))</f>
        <v>0</v>
      </c>
      <c r="X109">
        <f>IF(COUNT($N$96:$N$109)&lt;14,"",MIN($N$96:$N$109))</f>
        <v>0</v>
      </c>
      <c r="Y109">
        <f>IF(COUNT($N$96:$N$109)&lt;14,"",MAX($N$96:$N$109))</f>
        <v>0</v>
      </c>
      <c r="Z109">
        <f>IF(OR(N109="",X109="",Y109="",Y109=X109),"",100*(N109-X109)/(Y109-X109))</f>
        <v>0</v>
      </c>
      <c r="AA109">
        <f>IF(COUNT($Z$107:$Z$109)&lt;3,"",AVERAGE($Z$107:$Z$109))</f>
        <v>0</v>
      </c>
      <c r="AB109">
        <f>IF(COUNT($AA$107:$AA$109)&lt;3,"",AVERAGE($AA$107:$AA$109))</f>
        <v>0</v>
      </c>
      <c r="AC109">
        <f>IF($E109="","",MAX($C109-$D109,ABS($C109-$E108),ABS($D109-$E108)))</f>
        <v>0</v>
      </c>
      <c r="AD109">
        <f>IF(COUNT($E$2:$E109)&lt;15,"",AVERAGE($AC$96:$AC$109))</f>
        <v>0</v>
      </c>
      <c r="AE109">
        <f>IF(OR($E109="",$E108=""),"",IF(AND(($C109-$C108)&gt;($D108-$D109),($C109-$C108)&gt;0),$C109-$C108,0))</f>
        <v>0</v>
      </c>
      <c r="AF109">
        <f>IF(OR($E109="",$E108=""),"",IF(AND(($D108-$D109)&gt;($C109-$C108),($D108-$D109)&gt;0),$D108-$D109,0))</f>
        <v>0</v>
      </c>
      <c r="AG109">
        <f>IF(COUNT($E$2:$E109)&lt;15,"",IF(SUM($AC$96:$AC$109)=0,0,100*SUM($AE$96:$AE$109)/SUM($AC$96:$AC$109)))</f>
        <v>0</v>
      </c>
      <c r="AH109">
        <f>IF(COUNT($E$2:$E109)&lt;15,"",IF(SUM($AC$96:$AC$109)=0,0,100*SUM($AF$96:$AF$109)/SUM($AC$96:$AC$109)))</f>
        <v>0</v>
      </c>
      <c r="AI109">
        <f>IF(OR(AG109="",AH109=""),"",IF((AG109+AH109)=0,0,100*ABS(AG109-AH109)/(AG109+AH109)))</f>
        <v>0</v>
      </c>
      <c r="AJ109">
        <f>IF(COUNT($AI$96:$AI$109)&lt;14,"",AVERAGE($AI$96:$AI$109))</f>
        <v>0</v>
      </c>
      <c r="AK109">
        <f>IF(COUNT($E$2:$E109)&lt;20,"",AVERAGE($E$90:$E$109))</f>
        <v>0</v>
      </c>
      <c r="AL109">
        <f>IF(COUNT($E$2:$E109)&lt;20,"",STDEVP($E$90:$E$109))</f>
        <v>0</v>
      </c>
      <c r="AM109">
        <f>IF(AK109="","",AK109+2*AL109)</f>
        <v>0</v>
      </c>
      <c r="AN109">
        <f>IF(AK109="","",AK109-2*AL109)</f>
        <v>0</v>
      </c>
      <c r="AO109">
        <f>IF(OR(AM109="",AN109="",AM109=AN109),"",($E109-AN109)/(AM109-AN109))</f>
        <v>0</v>
      </c>
      <c r="AP109">
        <f>IF(OR(AM109="",AK109="",AK109=0),"",(AM109-AN109)/AK109)</f>
        <v>0</v>
      </c>
      <c r="AQ109">
        <f>IF(COUNT($E$2:$E109)&lt;20,"",MAX($C$90:$C$109))</f>
        <v>0</v>
      </c>
      <c r="AR109">
        <f>IF(COUNT($E$2:$E109)&lt;20,"",MIN($D$90:$D$109))</f>
        <v>0</v>
      </c>
      <c r="AS109">
        <f>IF(OR(AQ109="",AR109=""),"",(AQ109+AR109)/2)</f>
        <v>0</v>
      </c>
      <c r="AT109">
        <f>IF(COUNT($G$90:$G$109)&lt;20,"",STDEV($G$90:$G$109)*SQRT(252))</f>
        <v>0</v>
      </c>
      <c r="AU109">
        <f>IF(COUNT($E$2:$E109)&lt;9,"",(MAX($C$101:$C$109)+MIN($D$101:$D$109))/2)</f>
        <v>0</v>
      </c>
      <c r="AV109">
        <f>IF(COUNT($E$2:$E109)&lt;26,"",(MAX($C$84:$C$109)+MIN($D$84:$D$109))/2)</f>
        <v>0</v>
      </c>
      <c r="AW109">
        <f>IF(OR(AU109="",AV109=""),"",(AU109+AV109)/2)</f>
        <v>0</v>
      </c>
      <c r="AX109">
        <f>IF(COUNT($E$2:$E109)&lt;52,"",(MAX($C$58:$C$109)+MIN($D$58:$D$109))/2)</f>
        <v>0</v>
      </c>
      <c r="AY109">
        <f>IF(COUNT($E$2:$E109)&lt;20,"",MAX($C$10:$C$109))</f>
        <v>0</v>
      </c>
      <c r="AZ109">
        <f>IF(COUNT($E$2:$E109)&lt;20,"",MIN($D$10:$D$109))</f>
        <v>0</v>
      </c>
      <c r="BA109">
        <f>IF(COUNT($E$2:$E109)&lt;20,"",SLOPE($E$10:$E$109,$F$10:$F$109))</f>
        <v>0</v>
      </c>
      <c r="BB109">
        <f>IF(COUNT($E$2:$E109)&lt;20,"",INTERCEPT($E$10:$E$109,$F$10:$F$109))</f>
        <v>0</v>
      </c>
      <c r="BC109">
        <f>IF(OR(BA109="",BB109=""),"",BB109+BA109*F109)</f>
        <v>0</v>
      </c>
      <c r="BD109">
        <f>IF(COUNT($E$2:$E109)&lt;20,"",STEYX($E$10:$E$109,$F$10:$F$109))</f>
        <v>0</v>
      </c>
      <c r="BE109">
        <f>IF($E109="","",IF(AND(COUNT($E$110:$E$113)&gt;=4,$C109=MAX($C$105:$C$113)),$C109,""))</f>
        <v>0</v>
      </c>
      <c r="BF109">
        <f>IF($E109="","",IF(AND(COUNT($E$110:$E$113)&gt;=4,$D109=MIN($D$105:$D$113)),$D109,""))</f>
        <v>0</v>
      </c>
      <c r="BG109">
        <f>IF($A109="","",$A109-WEEKDAY($A109,2)+1)</f>
        <v>0</v>
      </c>
      <c r="BH109">
        <f>IF($A109="","",IF($A108="",1,IF(BG109&lt;&gt;BG108,1,0)))</f>
        <v>0</v>
      </c>
      <c r="BI109">
        <f>IF($A109="","",IF($A110="",1,IF(BG110&lt;&gt;BG109,1,0)))</f>
        <v>0</v>
      </c>
      <c r="BJ109">
        <f>IF($A109="","",IF(BH109=1,$B109,BJ108))</f>
        <v>0</v>
      </c>
      <c r="BK109">
        <f>IF($A109="","",IF(BH109=1,$C109,MAX($C109,BK108)))</f>
        <v>0</v>
      </c>
      <c r="BL109">
        <f>IF($A109="","",IF(BH109=1,$D109,MIN($D109,BL108)))</f>
        <v>0</v>
      </c>
      <c r="BM109">
        <f>IF($A109="","",IF(BI109=1,F109,""))</f>
        <v>0</v>
      </c>
      <c r="BN109">
        <f>IF($A109="","",DATE(YEAR($A109),MONTH($A109),1))</f>
        <v>0</v>
      </c>
      <c r="BO109">
        <f>IF($A109="","",IF($A108="",1,IF(BN109&lt;&gt;BN108,1,0)))</f>
        <v>0</v>
      </c>
      <c r="BP109">
        <f>IF($A109="","",IF($A110="",1,IF(BN110&lt;&gt;BN109,1,0)))</f>
        <v>0</v>
      </c>
      <c r="BQ109">
        <f>IF($A109="","",IF(BO109=1,$B109,BQ108))</f>
        <v>0</v>
      </c>
      <c r="BR109">
        <f>IF($A109="","",IF(BO109=1,$C109,MAX($C109,BR108)))</f>
        <v>0</v>
      </c>
      <c r="BS109">
        <f>IF($A109="","",IF(BO109=1,$D109,MIN($D109,BS108)))</f>
        <v>0</v>
      </c>
      <c r="BT109">
        <f>IF($A109="","",IF(BP109=1,F109,""))</f>
        <v>0</v>
      </c>
    </row>
    <row r="110" spans="1:72">
      <c r="A110" s="27">
        <f>IF(Data!$A110="","",Data!$A110)</f>
        <v>0</v>
      </c>
      <c r="B110">
        <f>IF(Data!$B110="","",Data!$B110)</f>
        <v>0</v>
      </c>
      <c r="C110">
        <f>IF(Data!$C110="","",Data!$C110)</f>
        <v>0</v>
      </c>
      <c r="D110">
        <f>IF(Data!$D110="","",Data!$D110)</f>
        <v>0</v>
      </c>
      <c r="E110">
        <f>IF(Data!$E110="","",Data!$E110)</f>
        <v>0</v>
      </c>
      <c r="F110">
        <f>IF($E110="","",N(F109)+1)</f>
        <v>0</v>
      </c>
      <c r="G110">
        <f>IF(OR($E110="",$E109=""),"",LN($E110/$E109))</f>
        <v>0</v>
      </c>
      <c r="H110">
        <f>IF($E110="","",IF($E109="",$E110,$E110*0.0952380952+H109*0.9047619048))</f>
        <v>0</v>
      </c>
      <c r="I110">
        <f>IF($E110="","",IF($E109="",$E110,$E110*0.0392156863+I109*0.9607843137))</f>
        <v>0</v>
      </c>
      <c r="J110">
        <f>IF($E110="","",IF($E109="",$E110,$E110*0.0198019802+J109*0.9801980198))</f>
        <v>0</v>
      </c>
      <c r="K110">
        <f>IF($E110="","",IF($E109="",$E110,$E110*0.0099502488+K109*0.9900497512))</f>
        <v>0</v>
      </c>
      <c r="L110">
        <f>IF(OR($E110="",$E109=""),"",MAX($E110-$E109,0))</f>
        <v>0</v>
      </c>
      <c r="M110">
        <f>IF(OR($E110="",$E109=""),"",MAX($E109-$E110,0))</f>
        <v>0</v>
      </c>
      <c r="N110">
        <f>IF(COUNT($E$2:$E110)&lt;15,"",IF(AVERAGE($M$97:$M$110)=0,100,100-100/(1+AVERAGE($L$97:$L$110)/AVERAGE($M$97:$M$110))))</f>
        <v>0</v>
      </c>
      <c r="O110">
        <f>IF($E110="","",IF($E109="",$E110,$E110*0.1538461538+O109*0.8461538462))</f>
        <v>0</v>
      </c>
      <c r="P110">
        <f>IF($E110="","",IF($E109="",$E110,$E110*0.0740740741+P109*0.9259259259))</f>
        <v>0</v>
      </c>
      <c r="Q110">
        <f>IF(OR(O110="",P110=""),"",O110-P110)</f>
        <v>0</v>
      </c>
      <c r="R110">
        <f>IF(Q110="","",IF(R109="",Q110,Q110*0.2000000000+R109*0.8000000000))</f>
        <v>0</v>
      </c>
      <c r="S110">
        <f>IF(OR(Q110="",R110=""),"",Q110-R110)</f>
        <v>0</v>
      </c>
      <c r="T110">
        <f>IF(COUNT($E$2:$E110)&lt;14,"",MAX($C$97:$C$110))</f>
        <v>0</v>
      </c>
      <c r="U110">
        <f>IF(COUNT($E$2:$E110)&lt;14,"",MIN($D$97:$D$110))</f>
        <v>0</v>
      </c>
      <c r="V110">
        <f>IF(OR(T110="",U110="",T110=U110),"",100*($E110-U110)/(T110-U110))</f>
        <v>0</v>
      </c>
      <c r="W110">
        <f>IF(COUNT($V$108:$V$110)&lt;3,"",AVERAGE($V$108:$V$110))</f>
        <v>0</v>
      </c>
      <c r="X110">
        <f>IF(COUNT($N$97:$N$110)&lt;14,"",MIN($N$97:$N$110))</f>
        <v>0</v>
      </c>
      <c r="Y110">
        <f>IF(COUNT($N$97:$N$110)&lt;14,"",MAX($N$97:$N$110))</f>
        <v>0</v>
      </c>
      <c r="Z110">
        <f>IF(OR(N110="",X110="",Y110="",Y110=X110),"",100*(N110-X110)/(Y110-X110))</f>
        <v>0</v>
      </c>
      <c r="AA110">
        <f>IF(COUNT($Z$108:$Z$110)&lt;3,"",AVERAGE($Z$108:$Z$110))</f>
        <v>0</v>
      </c>
      <c r="AB110">
        <f>IF(COUNT($AA$108:$AA$110)&lt;3,"",AVERAGE($AA$108:$AA$110))</f>
        <v>0</v>
      </c>
      <c r="AC110">
        <f>IF($E110="","",MAX($C110-$D110,ABS($C110-$E109),ABS($D110-$E109)))</f>
        <v>0</v>
      </c>
      <c r="AD110">
        <f>IF(COUNT($E$2:$E110)&lt;15,"",AVERAGE($AC$97:$AC$110))</f>
        <v>0</v>
      </c>
      <c r="AE110">
        <f>IF(OR($E110="",$E109=""),"",IF(AND(($C110-$C109)&gt;($D109-$D110),($C110-$C109)&gt;0),$C110-$C109,0))</f>
        <v>0</v>
      </c>
      <c r="AF110">
        <f>IF(OR($E110="",$E109=""),"",IF(AND(($D109-$D110)&gt;($C110-$C109),($D109-$D110)&gt;0),$D109-$D110,0))</f>
        <v>0</v>
      </c>
      <c r="AG110">
        <f>IF(COUNT($E$2:$E110)&lt;15,"",IF(SUM($AC$97:$AC$110)=0,0,100*SUM($AE$97:$AE$110)/SUM($AC$97:$AC$110)))</f>
        <v>0</v>
      </c>
      <c r="AH110">
        <f>IF(COUNT($E$2:$E110)&lt;15,"",IF(SUM($AC$97:$AC$110)=0,0,100*SUM($AF$97:$AF$110)/SUM($AC$97:$AC$110)))</f>
        <v>0</v>
      </c>
      <c r="AI110">
        <f>IF(OR(AG110="",AH110=""),"",IF((AG110+AH110)=0,0,100*ABS(AG110-AH110)/(AG110+AH110)))</f>
        <v>0</v>
      </c>
      <c r="AJ110">
        <f>IF(COUNT($AI$97:$AI$110)&lt;14,"",AVERAGE($AI$97:$AI$110))</f>
        <v>0</v>
      </c>
      <c r="AK110">
        <f>IF(COUNT($E$2:$E110)&lt;20,"",AVERAGE($E$91:$E$110))</f>
        <v>0</v>
      </c>
      <c r="AL110">
        <f>IF(COUNT($E$2:$E110)&lt;20,"",STDEVP($E$91:$E$110))</f>
        <v>0</v>
      </c>
      <c r="AM110">
        <f>IF(AK110="","",AK110+2*AL110)</f>
        <v>0</v>
      </c>
      <c r="AN110">
        <f>IF(AK110="","",AK110-2*AL110)</f>
        <v>0</v>
      </c>
      <c r="AO110">
        <f>IF(OR(AM110="",AN110="",AM110=AN110),"",($E110-AN110)/(AM110-AN110))</f>
        <v>0</v>
      </c>
      <c r="AP110">
        <f>IF(OR(AM110="",AK110="",AK110=0),"",(AM110-AN110)/AK110)</f>
        <v>0</v>
      </c>
      <c r="AQ110">
        <f>IF(COUNT($E$2:$E110)&lt;20,"",MAX($C$91:$C$110))</f>
        <v>0</v>
      </c>
      <c r="AR110">
        <f>IF(COUNT($E$2:$E110)&lt;20,"",MIN($D$91:$D$110))</f>
        <v>0</v>
      </c>
      <c r="AS110">
        <f>IF(OR(AQ110="",AR110=""),"",(AQ110+AR110)/2)</f>
        <v>0</v>
      </c>
      <c r="AT110">
        <f>IF(COUNT($G$91:$G$110)&lt;20,"",STDEV($G$91:$G$110)*SQRT(252))</f>
        <v>0</v>
      </c>
      <c r="AU110">
        <f>IF(COUNT($E$2:$E110)&lt;9,"",(MAX($C$102:$C$110)+MIN($D$102:$D$110))/2)</f>
        <v>0</v>
      </c>
      <c r="AV110">
        <f>IF(COUNT($E$2:$E110)&lt;26,"",(MAX($C$85:$C$110)+MIN($D$85:$D$110))/2)</f>
        <v>0</v>
      </c>
      <c r="AW110">
        <f>IF(OR(AU110="",AV110=""),"",(AU110+AV110)/2)</f>
        <v>0</v>
      </c>
      <c r="AX110">
        <f>IF(COUNT($E$2:$E110)&lt;52,"",(MAX($C$59:$C$110)+MIN($D$59:$D$110))/2)</f>
        <v>0</v>
      </c>
      <c r="AY110">
        <f>IF(COUNT($E$2:$E110)&lt;20,"",MAX($C$11:$C$110))</f>
        <v>0</v>
      </c>
      <c r="AZ110">
        <f>IF(COUNT($E$2:$E110)&lt;20,"",MIN($D$11:$D$110))</f>
        <v>0</v>
      </c>
      <c r="BA110">
        <f>IF(COUNT($E$2:$E110)&lt;20,"",SLOPE($E$11:$E$110,$F$11:$F$110))</f>
        <v>0</v>
      </c>
      <c r="BB110">
        <f>IF(COUNT($E$2:$E110)&lt;20,"",INTERCEPT($E$11:$E$110,$F$11:$F$110))</f>
        <v>0</v>
      </c>
      <c r="BC110">
        <f>IF(OR(BA110="",BB110=""),"",BB110+BA110*F110)</f>
        <v>0</v>
      </c>
      <c r="BD110">
        <f>IF(COUNT($E$2:$E110)&lt;20,"",STEYX($E$11:$E$110,$F$11:$F$110))</f>
        <v>0</v>
      </c>
      <c r="BE110">
        <f>IF($E110="","",IF(AND(COUNT($E$111:$E$114)&gt;=4,$C110=MAX($C$106:$C$114)),$C110,""))</f>
        <v>0</v>
      </c>
      <c r="BF110">
        <f>IF($E110="","",IF(AND(COUNT($E$111:$E$114)&gt;=4,$D110=MIN($D$106:$D$114)),$D110,""))</f>
        <v>0</v>
      </c>
      <c r="BG110">
        <f>IF($A110="","",$A110-WEEKDAY($A110,2)+1)</f>
        <v>0</v>
      </c>
      <c r="BH110">
        <f>IF($A110="","",IF($A109="",1,IF(BG110&lt;&gt;BG109,1,0)))</f>
        <v>0</v>
      </c>
      <c r="BI110">
        <f>IF($A110="","",IF($A111="",1,IF(BG111&lt;&gt;BG110,1,0)))</f>
        <v>0</v>
      </c>
      <c r="BJ110">
        <f>IF($A110="","",IF(BH110=1,$B110,BJ109))</f>
        <v>0</v>
      </c>
      <c r="BK110">
        <f>IF($A110="","",IF(BH110=1,$C110,MAX($C110,BK109)))</f>
        <v>0</v>
      </c>
      <c r="BL110">
        <f>IF($A110="","",IF(BH110=1,$D110,MIN($D110,BL109)))</f>
        <v>0</v>
      </c>
      <c r="BM110">
        <f>IF($A110="","",IF(BI110=1,F110,""))</f>
        <v>0</v>
      </c>
      <c r="BN110">
        <f>IF($A110="","",DATE(YEAR($A110),MONTH($A110),1))</f>
        <v>0</v>
      </c>
      <c r="BO110">
        <f>IF($A110="","",IF($A109="",1,IF(BN110&lt;&gt;BN109,1,0)))</f>
        <v>0</v>
      </c>
      <c r="BP110">
        <f>IF($A110="","",IF($A111="",1,IF(BN111&lt;&gt;BN110,1,0)))</f>
        <v>0</v>
      </c>
      <c r="BQ110">
        <f>IF($A110="","",IF(BO110=1,$B110,BQ109))</f>
        <v>0</v>
      </c>
      <c r="BR110">
        <f>IF($A110="","",IF(BO110=1,$C110,MAX($C110,BR109)))</f>
        <v>0</v>
      </c>
      <c r="BS110">
        <f>IF($A110="","",IF(BO110=1,$D110,MIN($D110,BS109)))</f>
        <v>0</v>
      </c>
      <c r="BT110">
        <f>IF($A110="","",IF(BP110=1,F110,""))</f>
        <v>0</v>
      </c>
    </row>
    <row r="111" spans="1:72">
      <c r="A111" s="27">
        <f>IF(Data!$A111="","",Data!$A111)</f>
        <v>0</v>
      </c>
      <c r="B111">
        <f>IF(Data!$B111="","",Data!$B111)</f>
        <v>0</v>
      </c>
      <c r="C111">
        <f>IF(Data!$C111="","",Data!$C111)</f>
        <v>0</v>
      </c>
      <c r="D111">
        <f>IF(Data!$D111="","",Data!$D111)</f>
        <v>0</v>
      </c>
      <c r="E111">
        <f>IF(Data!$E111="","",Data!$E111)</f>
        <v>0</v>
      </c>
      <c r="F111">
        <f>IF($E111="","",N(F110)+1)</f>
        <v>0</v>
      </c>
      <c r="G111">
        <f>IF(OR($E111="",$E110=""),"",LN($E111/$E110))</f>
        <v>0</v>
      </c>
      <c r="H111">
        <f>IF($E111="","",IF($E110="",$E111,$E111*0.0952380952+H110*0.9047619048))</f>
        <v>0</v>
      </c>
      <c r="I111">
        <f>IF($E111="","",IF($E110="",$E111,$E111*0.0392156863+I110*0.9607843137))</f>
        <v>0</v>
      </c>
      <c r="J111">
        <f>IF($E111="","",IF($E110="",$E111,$E111*0.0198019802+J110*0.9801980198))</f>
        <v>0</v>
      </c>
      <c r="K111">
        <f>IF($E111="","",IF($E110="",$E111,$E111*0.0099502488+K110*0.9900497512))</f>
        <v>0</v>
      </c>
      <c r="L111">
        <f>IF(OR($E111="",$E110=""),"",MAX($E111-$E110,0))</f>
        <v>0</v>
      </c>
      <c r="M111">
        <f>IF(OR($E111="",$E110=""),"",MAX($E110-$E111,0))</f>
        <v>0</v>
      </c>
      <c r="N111">
        <f>IF(COUNT($E$2:$E111)&lt;15,"",IF(AVERAGE($M$98:$M$111)=0,100,100-100/(1+AVERAGE($L$98:$L$111)/AVERAGE($M$98:$M$111))))</f>
        <v>0</v>
      </c>
      <c r="O111">
        <f>IF($E111="","",IF($E110="",$E111,$E111*0.1538461538+O110*0.8461538462))</f>
        <v>0</v>
      </c>
      <c r="P111">
        <f>IF($E111="","",IF($E110="",$E111,$E111*0.0740740741+P110*0.9259259259))</f>
        <v>0</v>
      </c>
      <c r="Q111">
        <f>IF(OR(O111="",P111=""),"",O111-P111)</f>
        <v>0</v>
      </c>
      <c r="R111">
        <f>IF(Q111="","",IF(R110="",Q111,Q111*0.2000000000+R110*0.8000000000))</f>
        <v>0</v>
      </c>
      <c r="S111">
        <f>IF(OR(Q111="",R111=""),"",Q111-R111)</f>
        <v>0</v>
      </c>
      <c r="T111">
        <f>IF(COUNT($E$2:$E111)&lt;14,"",MAX($C$98:$C$111))</f>
        <v>0</v>
      </c>
      <c r="U111">
        <f>IF(COUNT($E$2:$E111)&lt;14,"",MIN($D$98:$D$111))</f>
        <v>0</v>
      </c>
      <c r="V111">
        <f>IF(OR(T111="",U111="",T111=U111),"",100*($E111-U111)/(T111-U111))</f>
        <v>0</v>
      </c>
      <c r="W111">
        <f>IF(COUNT($V$109:$V$111)&lt;3,"",AVERAGE($V$109:$V$111))</f>
        <v>0</v>
      </c>
      <c r="X111">
        <f>IF(COUNT($N$98:$N$111)&lt;14,"",MIN($N$98:$N$111))</f>
        <v>0</v>
      </c>
      <c r="Y111">
        <f>IF(COUNT($N$98:$N$111)&lt;14,"",MAX($N$98:$N$111))</f>
        <v>0</v>
      </c>
      <c r="Z111">
        <f>IF(OR(N111="",X111="",Y111="",Y111=X111),"",100*(N111-X111)/(Y111-X111))</f>
        <v>0</v>
      </c>
      <c r="AA111">
        <f>IF(COUNT($Z$109:$Z$111)&lt;3,"",AVERAGE($Z$109:$Z$111))</f>
        <v>0</v>
      </c>
      <c r="AB111">
        <f>IF(COUNT($AA$109:$AA$111)&lt;3,"",AVERAGE($AA$109:$AA$111))</f>
        <v>0</v>
      </c>
      <c r="AC111">
        <f>IF($E111="","",MAX($C111-$D111,ABS($C111-$E110),ABS($D111-$E110)))</f>
        <v>0</v>
      </c>
      <c r="AD111">
        <f>IF(COUNT($E$2:$E111)&lt;15,"",AVERAGE($AC$98:$AC$111))</f>
        <v>0</v>
      </c>
      <c r="AE111">
        <f>IF(OR($E111="",$E110=""),"",IF(AND(($C111-$C110)&gt;($D110-$D111),($C111-$C110)&gt;0),$C111-$C110,0))</f>
        <v>0</v>
      </c>
      <c r="AF111">
        <f>IF(OR($E111="",$E110=""),"",IF(AND(($D110-$D111)&gt;($C111-$C110),($D110-$D111)&gt;0),$D110-$D111,0))</f>
        <v>0</v>
      </c>
      <c r="AG111">
        <f>IF(COUNT($E$2:$E111)&lt;15,"",IF(SUM($AC$98:$AC$111)=0,0,100*SUM($AE$98:$AE$111)/SUM($AC$98:$AC$111)))</f>
        <v>0</v>
      </c>
      <c r="AH111">
        <f>IF(COUNT($E$2:$E111)&lt;15,"",IF(SUM($AC$98:$AC$111)=0,0,100*SUM($AF$98:$AF$111)/SUM($AC$98:$AC$111)))</f>
        <v>0</v>
      </c>
      <c r="AI111">
        <f>IF(OR(AG111="",AH111=""),"",IF((AG111+AH111)=0,0,100*ABS(AG111-AH111)/(AG111+AH111)))</f>
        <v>0</v>
      </c>
      <c r="AJ111">
        <f>IF(COUNT($AI$98:$AI$111)&lt;14,"",AVERAGE($AI$98:$AI$111))</f>
        <v>0</v>
      </c>
      <c r="AK111">
        <f>IF(COUNT($E$2:$E111)&lt;20,"",AVERAGE($E$92:$E$111))</f>
        <v>0</v>
      </c>
      <c r="AL111">
        <f>IF(COUNT($E$2:$E111)&lt;20,"",STDEVP($E$92:$E$111))</f>
        <v>0</v>
      </c>
      <c r="AM111">
        <f>IF(AK111="","",AK111+2*AL111)</f>
        <v>0</v>
      </c>
      <c r="AN111">
        <f>IF(AK111="","",AK111-2*AL111)</f>
        <v>0</v>
      </c>
      <c r="AO111">
        <f>IF(OR(AM111="",AN111="",AM111=AN111),"",($E111-AN111)/(AM111-AN111))</f>
        <v>0</v>
      </c>
      <c r="AP111">
        <f>IF(OR(AM111="",AK111="",AK111=0),"",(AM111-AN111)/AK111)</f>
        <v>0</v>
      </c>
      <c r="AQ111">
        <f>IF(COUNT($E$2:$E111)&lt;20,"",MAX($C$92:$C$111))</f>
        <v>0</v>
      </c>
      <c r="AR111">
        <f>IF(COUNT($E$2:$E111)&lt;20,"",MIN($D$92:$D$111))</f>
        <v>0</v>
      </c>
      <c r="AS111">
        <f>IF(OR(AQ111="",AR111=""),"",(AQ111+AR111)/2)</f>
        <v>0</v>
      </c>
      <c r="AT111">
        <f>IF(COUNT($G$92:$G$111)&lt;20,"",STDEV($G$92:$G$111)*SQRT(252))</f>
        <v>0</v>
      </c>
      <c r="AU111">
        <f>IF(COUNT($E$2:$E111)&lt;9,"",(MAX($C$103:$C$111)+MIN($D$103:$D$111))/2)</f>
        <v>0</v>
      </c>
      <c r="AV111">
        <f>IF(COUNT($E$2:$E111)&lt;26,"",(MAX($C$86:$C$111)+MIN($D$86:$D$111))/2)</f>
        <v>0</v>
      </c>
      <c r="AW111">
        <f>IF(OR(AU111="",AV111=""),"",(AU111+AV111)/2)</f>
        <v>0</v>
      </c>
      <c r="AX111">
        <f>IF(COUNT($E$2:$E111)&lt;52,"",(MAX($C$60:$C$111)+MIN($D$60:$D$111))/2)</f>
        <v>0</v>
      </c>
      <c r="AY111">
        <f>IF(COUNT($E$2:$E111)&lt;20,"",MAX($C$12:$C$111))</f>
        <v>0</v>
      </c>
      <c r="AZ111">
        <f>IF(COUNT($E$2:$E111)&lt;20,"",MIN($D$12:$D$111))</f>
        <v>0</v>
      </c>
      <c r="BA111">
        <f>IF(COUNT($E$2:$E111)&lt;20,"",SLOPE($E$12:$E$111,$F$12:$F$111))</f>
        <v>0</v>
      </c>
      <c r="BB111">
        <f>IF(COUNT($E$2:$E111)&lt;20,"",INTERCEPT($E$12:$E$111,$F$12:$F$111))</f>
        <v>0</v>
      </c>
      <c r="BC111">
        <f>IF(OR(BA111="",BB111=""),"",BB111+BA111*F111)</f>
        <v>0</v>
      </c>
      <c r="BD111">
        <f>IF(COUNT($E$2:$E111)&lt;20,"",STEYX($E$12:$E$111,$F$12:$F$111))</f>
        <v>0</v>
      </c>
      <c r="BE111">
        <f>IF($E111="","",IF(AND(COUNT($E$112:$E$115)&gt;=4,$C111=MAX($C$107:$C$115)),$C111,""))</f>
        <v>0</v>
      </c>
      <c r="BF111">
        <f>IF($E111="","",IF(AND(COUNT($E$112:$E$115)&gt;=4,$D111=MIN($D$107:$D$115)),$D111,""))</f>
        <v>0</v>
      </c>
      <c r="BG111">
        <f>IF($A111="","",$A111-WEEKDAY($A111,2)+1)</f>
        <v>0</v>
      </c>
      <c r="BH111">
        <f>IF($A111="","",IF($A110="",1,IF(BG111&lt;&gt;BG110,1,0)))</f>
        <v>0</v>
      </c>
      <c r="BI111">
        <f>IF($A111="","",IF($A112="",1,IF(BG112&lt;&gt;BG111,1,0)))</f>
        <v>0</v>
      </c>
      <c r="BJ111">
        <f>IF($A111="","",IF(BH111=1,$B111,BJ110))</f>
        <v>0</v>
      </c>
      <c r="BK111">
        <f>IF($A111="","",IF(BH111=1,$C111,MAX($C111,BK110)))</f>
        <v>0</v>
      </c>
      <c r="BL111">
        <f>IF($A111="","",IF(BH111=1,$D111,MIN($D111,BL110)))</f>
        <v>0</v>
      </c>
      <c r="BM111">
        <f>IF($A111="","",IF(BI111=1,F111,""))</f>
        <v>0</v>
      </c>
      <c r="BN111">
        <f>IF($A111="","",DATE(YEAR($A111),MONTH($A111),1))</f>
        <v>0</v>
      </c>
      <c r="BO111">
        <f>IF($A111="","",IF($A110="",1,IF(BN111&lt;&gt;BN110,1,0)))</f>
        <v>0</v>
      </c>
      <c r="BP111">
        <f>IF($A111="","",IF($A112="",1,IF(BN112&lt;&gt;BN111,1,0)))</f>
        <v>0</v>
      </c>
      <c r="BQ111">
        <f>IF($A111="","",IF(BO111=1,$B111,BQ110))</f>
        <v>0</v>
      </c>
      <c r="BR111">
        <f>IF($A111="","",IF(BO111=1,$C111,MAX($C111,BR110)))</f>
        <v>0</v>
      </c>
      <c r="BS111">
        <f>IF($A111="","",IF(BO111=1,$D111,MIN($D111,BS110)))</f>
        <v>0</v>
      </c>
      <c r="BT111">
        <f>IF($A111="","",IF(BP111=1,F111,""))</f>
        <v>0</v>
      </c>
    </row>
    <row r="112" spans="1:72">
      <c r="A112" s="27">
        <f>IF(Data!$A112="","",Data!$A112)</f>
        <v>0</v>
      </c>
      <c r="B112">
        <f>IF(Data!$B112="","",Data!$B112)</f>
        <v>0</v>
      </c>
      <c r="C112">
        <f>IF(Data!$C112="","",Data!$C112)</f>
        <v>0</v>
      </c>
      <c r="D112">
        <f>IF(Data!$D112="","",Data!$D112)</f>
        <v>0</v>
      </c>
      <c r="E112">
        <f>IF(Data!$E112="","",Data!$E112)</f>
        <v>0</v>
      </c>
      <c r="F112">
        <f>IF($E112="","",N(F111)+1)</f>
        <v>0</v>
      </c>
      <c r="G112">
        <f>IF(OR($E112="",$E111=""),"",LN($E112/$E111))</f>
        <v>0</v>
      </c>
      <c r="H112">
        <f>IF($E112="","",IF($E111="",$E112,$E112*0.0952380952+H111*0.9047619048))</f>
        <v>0</v>
      </c>
      <c r="I112">
        <f>IF($E112="","",IF($E111="",$E112,$E112*0.0392156863+I111*0.9607843137))</f>
        <v>0</v>
      </c>
      <c r="J112">
        <f>IF($E112="","",IF($E111="",$E112,$E112*0.0198019802+J111*0.9801980198))</f>
        <v>0</v>
      </c>
      <c r="K112">
        <f>IF($E112="","",IF($E111="",$E112,$E112*0.0099502488+K111*0.9900497512))</f>
        <v>0</v>
      </c>
      <c r="L112">
        <f>IF(OR($E112="",$E111=""),"",MAX($E112-$E111,0))</f>
        <v>0</v>
      </c>
      <c r="M112">
        <f>IF(OR($E112="",$E111=""),"",MAX($E111-$E112,0))</f>
        <v>0</v>
      </c>
      <c r="N112">
        <f>IF(COUNT($E$2:$E112)&lt;15,"",IF(AVERAGE($M$99:$M$112)=0,100,100-100/(1+AVERAGE($L$99:$L$112)/AVERAGE($M$99:$M$112))))</f>
        <v>0</v>
      </c>
      <c r="O112">
        <f>IF($E112="","",IF($E111="",$E112,$E112*0.1538461538+O111*0.8461538462))</f>
        <v>0</v>
      </c>
      <c r="P112">
        <f>IF($E112="","",IF($E111="",$E112,$E112*0.0740740741+P111*0.9259259259))</f>
        <v>0</v>
      </c>
      <c r="Q112">
        <f>IF(OR(O112="",P112=""),"",O112-P112)</f>
        <v>0</v>
      </c>
      <c r="R112">
        <f>IF(Q112="","",IF(R111="",Q112,Q112*0.2000000000+R111*0.8000000000))</f>
        <v>0</v>
      </c>
      <c r="S112">
        <f>IF(OR(Q112="",R112=""),"",Q112-R112)</f>
        <v>0</v>
      </c>
      <c r="T112">
        <f>IF(COUNT($E$2:$E112)&lt;14,"",MAX($C$99:$C$112))</f>
        <v>0</v>
      </c>
      <c r="U112">
        <f>IF(COUNT($E$2:$E112)&lt;14,"",MIN($D$99:$D$112))</f>
        <v>0</v>
      </c>
      <c r="V112">
        <f>IF(OR(T112="",U112="",T112=U112),"",100*($E112-U112)/(T112-U112))</f>
        <v>0</v>
      </c>
      <c r="W112">
        <f>IF(COUNT($V$110:$V$112)&lt;3,"",AVERAGE($V$110:$V$112))</f>
        <v>0</v>
      </c>
      <c r="X112">
        <f>IF(COUNT($N$99:$N$112)&lt;14,"",MIN($N$99:$N$112))</f>
        <v>0</v>
      </c>
      <c r="Y112">
        <f>IF(COUNT($N$99:$N$112)&lt;14,"",MAX($N$99:$N$112))</f>
        <v>0</v>
      </c>
      <c r="Z112">
        <f>IF(OR(N112="",X112="",Y112="",Y112=X112),"",100*(N112-X112)/(Y112-X112))</f>
        <v>0</v>
      </c>
      <c r="AA112">
        <f>IF(COUNT($Z$110:$Z$112)&lt;3,"",AVERAGE($Z$110:$Z$112))</f>
        <v>0</v>
      </c>
      <c r="AB112">
        <f>IF(COUNT($AA$110:$AA$112)&lt;3,"",AVERAGE($AA$110:$AA$112))</f>
        <v>0</v>
      </c>
      <c r="AC112">
        <f>IF($E112="","",MAX($C112-$D112,ABS($C112-$E111),ABS($D112-$E111)))</f>
        <v>0</v>
      </c>
      <c r="AD112">
        <f>IF(COUNT($E$2:$E112)&lt;15,"",AVERAGE($AC$99:$AC$112))</f>
        <v>0</v>
      </c>
      <c r="AE112">
        <f>IF(OR($E112="",$E111=""),"",IF(AND(($C112-$C111)&gt;($D111-$D112),($C112-$C111)&gt;0),$C112-$C111,0))</f>
        <v>0</v>
      </c>
      <c r="AF112">
        <f>IF(OR($E112="",$E111=""),"",IF(AND(($D111-$D112)&gt;($C112-$C111),($D111-$D112)&gt;0),$D111-$D112,0))</f>
        <v>0</v>
      </c>
      <c r="AG112">
        <f>IF(COUNT($E$2:$E112)&lt;15,"",IF(SUM($AC$99:$AC$112)=0,0,100*SUM($AE$99:$AE$112)/SUM($AC$99:$AC$112)))</f>
        <v>0</v>
      </c>
      <c r="AH112">
        <f>IF(COUNT($E$2:$E112)&lt;15,"",IF(SUM($AC$99:$AC$112)=0,0,100*SUM($AF$99:$AF$112)/SUM($AC$99:$AC$112)))</f>
        <v>0</v>
      </c>
      <c r="AI112">
        <f>IF(OR(AG112="",AH112=""),"",IF((AG112+AH112)=0,0,100*ABS(AG112-AH112)/(AG112+AH112)))</f>
        <v>0</v>
      </c>
      <c r="AJ112">
        <f>IF(COUNT($AI$99:$AI$112)&lt;14,"",AVERAGE($AI$99:$AI$112))</f>
        <v>0</v>
      </c>
      <c r="AK112">
        <f>IF(COUNT($E$2:$E112)&lt;20,"",AVERAGE($E$93:$E$112))</f>
        <v>0</v>
      </c>
      <c r="AL112">
        <f>IF(COUNT($E$2:$E112)&lt;20,"",STDEVP($E$93:$E$112))</f>
        <v>0</v>
      </c>
      <c r="AM112">
        <f>IF(AK112="","",AK112+2*AL112)</f>
        <v>0</v>
      </c>
      <c r="AN112">
        <f>IF(AK112="","",AK112-2*AL112)</f>
        <v>0</v>
      </c>
      <c r="AO112">
        <f>IF(OR(AM112="",AN112="",AM112=AN112),"",($E112-AN112)/(AM112-AN112))</f>
        <v>0</v>
      </c>
      <c r="AP112">
        <f>IF(OR(AM112="",AK112="",AK112=0),"",(AM112-AN112)/AK112)</f>
        <v>0</v>
      </c>
      <c r="AQ112">
        <f>IF(COUNT($E$2:$E112)&lt;20,"",MAX($C$93:$C$112))</f>
        <v>0</v>
      </c>
      <c r="AR112">
        <f>IF(COUNT($E$2:$E112)&lt;20,"",MIN($D$93:$D$112))</f>
        <v>0</v>
      </c>
      <c r="AS112">
        <f>IF(OR(AQ112="",AR112=""),"",(AQ112+AR112)/2)</f>
        <v>0</v>
      </c>
      <c r="AT112">
        <f>IF(COUNT($G$93:$G$112)&lt;20,"",STDEV($G$93:$G$112)*SQRT(252))</f>
        <v>0</v>
      </c>
      <c r="AU112">
        <f>IF(COUNT($E$2:$E112)&lt;9,"",(MAX($C$104:$C$112)+MIN($D$104:$D$112))/2)</f>
        <v>0</v>
      </c>
      <c r="AV112">
        <f>IF(COUNT($E$2:$E112)&lt;26,"",(MAX($C$87:$C$112)+MIN($D$87:$D$112))/2)</f>
        <v>0</v>
      </c>
      <c r="AW112">
        <f>IF(OR(AU112="",AV112=""),"",(AU112+AV112)/2)</f>
        <v>0</v>
      </c>
      <c r="AX112">
        <f>IF(COUNT($E$2:$E112)&lt;52,"",(MAX($C$61:$C$112)+MIN($D$61:$D$112))/2)</f>
        <v>0</v>
      </c>
      <c r="AY112">
        <f>IF(COUNT($E$2:$E112)&lt;20,"",MAX($C$13:$C$112))</f>
        <v>0</v>
      </c>
      <c r="AZ112">
        <f>IF(COUNT($E$2:$E112)&lt;20,"",MIN($D$13:$D$112))</f>
        <v>0</v>
      </c>
      <c r="BA112">
        <f>IF(COUNT($E$2:$E112)&lt;20,"",SLOPE($E$13:$E$112,$F$13:$F$112))</f>
        <v>0</v>
      </c>
      <c r="BB112">
        <f>IF(COUNT($E$2:$E112)&lt;20,"",INTERCEPT($E$13:$E$112,$F$13:$F$112))</f>
        <v>0</v>
      </c>
      <c r="BC112">
        <f>IF(OR(BA112="",BB112=""),"",BB112+BA112*F112)</f>
        <v>0</v>
      </c>
      <c r="BD112">
        <f>IF(COUNT($E$2:$E112)&lt;20,"",STEYX($E$13:$E$112,$F$13:$F$112))</f>
        <v>0</v>
      </c>
      <c r="BE112">
        <f>IF($E112="","",IF(AND(COUNT($E$113:$E$116)&gt;=4,$C112=MAX($C$108:$C$116)),$C112,""))</f>
        <v>0</v>
      </c>
      <c r="BF112">
        <f>IF($E112="","",IF(AND(COUNT($E$113:$E$116)&gt;=4,$D112=MIN($D$108:$D$116)),$D112,""))</f>
        <v>0</v>
      </c>
      <c r="BG112">
        <f>IF($A112="","",$A112-WEEKDAY($A112,2)+1)</f>
        <v>0</v>
      </c>
      <c r="BH112">
        <f>IF($A112="","",IF($A111="",1,IF(BG112&lt;&gt;BG111,1,0)))</f>
        <v>0</v>
      </c>
      <c r="BI112">
        <f>IF($A112="","",IF($A113="",1,IF(BG113&lt;&gt;BG112,1,0)))</f>
        <v>0</v>
      </c>
      <c r="BJ112">
        <f>IF($A112="","",IF(BH112=1,$B112,BJ111))</f>
        <v>0</v>
      </c>
      <c r="BK112">
        <f>IF($A112="","",IF(BH112=1,$C112,MAX($C112,BK111)))</f>
        <v>0</v>
      </c>
      <c r="BL112">
        <f>IF($A112="","",IF(BH112=1,$D112,MIN($D112,BL111)))</f>
        <v>0</v>
      </c>
      <c r="BM112">
        <f>IF($A112="","",IF(BI112=1,F112,""))</f>
        <v>0</v>
      </c>
      <c r="BN112">
        <f>IF($A112="","",DATE(YEAR($A112),MONTH($A112),1))</f>
        <v>0</v>
      </c>
      <c r="BO112">
        <f>IF($A112="","",IF($A111="",1,IF(BN112&lt;&gt;BN111,1,0)))</f>
        <v>0</v>
      </c>
      <c r="BP112">
        <f>IF($A112="","",IF($A113="",1,IF(BN113&lt;&gt;BN112,1,0)))</f>
        <v>0</v>
      </c>
      <c r="BQ112">
        <f>IF($A112="","",IF(BO112=1,$B112,BQ111))</f>
        <v>0</v>
      </c>
      <c r="BR112">
        <f>IF($A112="","",IF(BO112=1,$C112,MAX($C112,BR111)))</f>
        <v>0</v>
      </c>
      <c r="BS112">
        <f>IF($A112="","",IF(BO112=1,$D112,MIN($D112,BS111)))</f>
        <v>0</v>
      </c>
      <c r="BT112">
        <f>IF($A112="","",IF(BP112=1,F112,""))</f>
        <v>0</v>
      </c>
    </row>
    <row r="113" spans="1:72">
      <c r="A113" s="27">
        <f>IF(Data!$A113="","",Data!$A113)</f>
        <v>0</v>
      </c>
      <c r="B113">
        <f>IF(Data!$B113="","",Data!$B113)</f>
        <v>0</v>
      </c>
      <c r="C113">
        <f>IF(Data!$C113="","",Data!$C113)</f>
        <v>0</v>
      </c>
      <c r="D113">
        <f>IF(Data!$D113="","",Data!$D113)</f>
        <v>0</v>
      </c>
      <c r="E113">
        <f>IF(Data!$E113="","",Data!$E113)</f>
        <v>0</v>
      </c>
      <c r="F113">
        <f>IF($E113="","",N(F112)+1)</f>
        <v>0</v>
      </c>
      <c r="G113">
        <f>IF(OR($E113="",$E112=""),"",LN($E113/$E112))</f>
        <v>0</v>
      </c>
      <c r="H113">
        <f>IF($E113="","",IF($E112="",$E113,$E113*0.0952380952+H112*0.9047619048))</f>
        <v>0</v>
      </c>
      <c r="I113">
        <f>IF($E113="","",IF($E112="",$E113,$E113*0.0392156863+I112*0.9607843137))</f>
        <v>0</v>
      </c>
      <c r="J113">
        <f>IF($E113="","",IF($E112="",$E113,$E113*0.0198019802+J112*0.9801980198))</f>
        <v>0</v>
      </c>
      <c r="K113">
        <f>IF($E113="","",IF($E112="",$E113,$E113*0.0099502488+K112*0.9900497512))</f>
        <v>0</v>
      </c>
      <c r="L113">
        <f>IF(OR($E113="",$E112=""),"",MAX($E113-$E112,0))</f>
        <v>0</v>
      </c>
      <c r="M113">
        <f>IF(OR($E113="",$E112=""),"",MAX($E112-$E113,0))</f>
        <v>0</v>
      </c>
      <c r="N113">
        <f>IF(COUNT($E$2:$E113)&lt;15,"",IF(AVERAGE($M$100:$M$113)=0,100,100-100/(1+AVERAGE($L$100:$L$113)/AVERAGE($M$100:$M$113))))</f>
        <v>0</v>
      </c>
      <c r="O113">
        <f>IF($E113="","",IF($E112="",$E113,$E113*0.1538461538+O112*0.8461538462))</f>
        <v>0</v>
      </c>
      <c r="P113">
        <f>IF($E113="","",IF($E112="",$E113,$E113*0.0740740741+P112*0.9259259259))</f>
        <v>0</v>
      </c>
      <c r="Q113">
        <f>IF(OR(O113="",P113=""),"",O113-P113)</f>
        <v>0</v>
      </c>
      <c r="R113">
        <f>IF(Q113="","",IF(R112="",Q113,Q113*0.2000000000+R112*0.8000000000))</f>
        <v>0</v>
      </c>
      <c r="S113">
        <f>IF(OR(Q113="",R113=""),"",Q113-R113)</f>
        <v>0</v>
      </c>
      <c r="T113">
        <f>IF(COUNT($E$2:$E113)&lt;14,"",MAX($C$100:$C$113))</f>
        <v>0</v>
      </c>
      <c r="U113">
        <f>IF(COUNT($E$2:$E113)&lt;14,"",MIN($D$100:$D$113))</f>
        <v>0</v>
      </c>
      <c r="V113">
        <f>IF(OR(T113="",U113="",T113=U113),"",100*($E113-U113)/(T113-U113))</f>
        <v>0</v>
      </c>
      <c r="W113">
        <f>IF(COUNT($V$111:$V$113)&lt;3,"",AVERAGE($V$111:$V$113))</f>
        <v>0</v>
      </c>
      <c r="X113">
        <f>IF(COUNT($N$100:$N$113)&lt;14,"",MIN($N$100:$N$113))</f>
        <v>0</v>
      </c>
      <c r="Y113">
        <f>IF(COUNT($N$100:$N$113)&lt;14,"",MAX($N$100:$N$113))</f>
        <v>0</v>
      </c>
      <c r="Z113">
        <f>IF(OR(N113="",X113="",Y113="",Y113=X113),"",100*(N113-X113)/(Y113-X113))</f>
        <v>0</v>
      </c>
      <c r="AA113">
        <f>IF(COUNT($Z$111:$Z$113)&lt;3,"",AVERAGE($Z$111:$Z$113))</f>
        <v>0</v>
      </c>
      <c r="AB113">
        <f>IF(COUNT($AA$111:$AA$113)&lt;3,"",AVERAGE($AA$111:$AA$113))</f>
        <v>0</v>
      </c>
      <c r="AC113">
        <f>IF($E113="","",MAX($C113-$D113,ABS($C113-$E112),ABS($D113-$E112)))</f>
        <v>0</v>
      </c>
      <c r="AD113">
        <f>IF(COUNT($E$2:$E113)&lt;15,"",AVERAGE($AC$100:$AC$113))</f>
        <v>0</v>
      </c>
      <c r="AE113">
        <f>IF(OR($E113="",$E112=""),"",IF(AND(($C113-$C112)&gt;($D112-$D113),($C113-$C112)&gt;0),$C113-$C112,0))</f>
        <v>0</v>
      </c>
      <c r="AF113">
        <f>IF(OR($E113="",$E112=""),"",IF(AND(($D112-$D113)&gt;($C113-$C112),($D112-$D113)&gt;0),$D112-$D113,0))</f>
        <v>0</v>
      </c>
      <c r="AG113">
        <f>IF(COUNT($E$2:$E113)&lt;15,"",IF(SUM($AC$100:$AC$113)=0,0,100*SUM($AE$100:$AE$113)/SUM($AC$100:$AC$113)))</f>
        <v>0</v>
      </c>
      <c r="AH113">
        <f>IF(COUNT($E$2:$E113)&lt;15,"",IF(SUM($AC$100:$AC$113)=0,0,100*SUM($AF$100:$AF$113)/SUM($AC$100:$AC$113)))</f>
        <v>0</v>
      </c>
      <c r="AI113">
        <f>IF(OR(AG113="",AH113=""),"",IF((AG113+AH113)=0,0,100*ABS(AG113-AH113)/(AG113+AH113)))</f>
        <v>0</v>
      </c>
      <c r="AJ113">
        <f>IF(COUNT($AI$100:$AI$113)&lt;14,"",AVERAGE($AI$100:$AI$113))</f>
        <v>0</v>
      </c>
      <c r="AK113">
        <f>IF(COUNT($E$2:$E113)&lt;20,"",AVERAGE($E$94:$E$113))</f>
        <v>0</v>
      </c>
      <c r="AL113">
        <f>IF(COUNT($E$2:$E113)&lt;20,"",STDEVP($E$94:$E$113))</f>
        <v>0</v>
      </c>
      <c r="AM113">
        <f>IF(AK113="","",AK113+2*AL113)</f>
        <v>0</v>
      </c>
      <c r="AN113">
        <f>IF(AK113="","",AK113-2*AL113)</f>
        <v>0</v>
      </c>
      <c r="AO113">
        <f>IF(OR(AM113="",AN113="",AM113=AN113),"",($E113-AN113)/(AM113-AN113))</f>
        <v>0</v>
      </c>
      <c r="AP113">
        <f>IF(OR(AM113="",AK113="",AK113=0),"",(AM113-AN113)/AK113)</f>
        <v>0</v>
      </c>
      <c r="AQ113">
        <f>IF(COUNT($E$2:$E113)&lt;20,"",MAX($C$94:$C$113))</f>
        <v>0</v>
      </c>
      <c r="AR113">
        <f>IF(COUNT($E$2:$E113)&lt;20,"",MIN($D$94:$D$113))</f>
        <v>0</v>
      </c>
      <c r="AS113">
        <f>IF(OR(AQ113="",AR113=""),"",(AQ113+AR113)/2)</f>
        <v>0</v>
      </c>
      <c r="AT113">
        <f>IF(COUNT($G$94:$G$113)&lt;20,"",STDEV($G$94:$G$113)*SQRT(252))</f>
        <v>0</v>
      </c>
      <c r="AU113">
        <f>IF(COUNT($E$2:$E113)&lt;9,"",(MAX($C$105:$C$113)+MIN($D$105:$D$113))/2)</f>
        <v>0</v>
      </c>
      <c r="AV113">
        <f>IF(COUNT($E$2:$E113)&lt;26,"",(MAX($C$88:$C$113)+MIN($D$88:$D$113))/2)</f>
        <v>0</v>
      </c>
      <c r="AW113">
        <f>IF(OR(AU113="",AV113=""),"",(AU113+AV113)/2)</f>
        <v>0</v>
      </c>
      <c r="AX113">
        <f>IF(COUNT($E$2:$E113)&lt;52,"",(MAX($C$62:$C$113)+MIN($D$62:$D$113))/2)</f>
        <v>0</v>
      </c>
      <c r="AY113">
        <f>IF(COUNT($E$2:$E113)&lt;20,"",MAX($C$14:$C$113))</f>
        <v>0</v>
      </c>
      <c r="AZ113">
        <f>IF(COUNT($E$2:$E113)&lt;20,"",MIN($D$14:$D$113))</f>
        <v>0</v>
      </c>
      <c r="BA113">
        <f>IF(COUNT($E$2:$E113)&lt;20,"",SLOPE($E$14:$E$113,$F$14:$F$113))</f>
        <v>0</v>
      </c>
      <c r="BB113">
        <f>IF(COUNT($E$2:$E113)&lt;20,"",INTERCEPT($E$14:$E$113,$F$14:$F$113))</f>
        <v>0</v>
      </c>
      <c r="BC113">
        <f>IF(OR(BA113="",BB113=""),"",BB113+BA113*F113)</f>
        <v>0</v>
      </c>
      <c r="BD113">
        <f>IF(COUNT($E$2:$E113)&lt;20,"",STEYX($E$14:$E$113,$F$14:$F$113))</f>
        <v>0</v>
      </c>
      <c r="BE113">
        <f>IF($E113="","",IF(AND(COUNT($E$114:$E$117)&gt;=4,$C113=MAX($C$109:$C$117)),$C113,""))</f>
        <v>0</v>
      </c>
      <c r="BF113">
        <f>IF($E113="","",IF(AND(COUNT($E$114:$E$117)&gt;=4,$D113=MIN($D$109:$D$117)),$D113,""))</f>
        <v>0</v>
      </c>
      <c r="BG113">
        <f>IF($A113="","",$A113-WEEKDAY($A113,2)+1)</f>
        <v>0</v>
      </c>
      <c r="BH113">
        <f>IF($A113="","",IF($A112="",1,IF(BG113&lt;&gt;BG112,1,0)))</f>
        <v>0</v>
      </c>
      <c r="BI113">
        <f>IF($A113="","",IF($A114="",1,IF(BG114&lt;&gt;BG113,1,0)))</f>
        <v>0</v>
      </c>
      <c r="BJ113">
        <f>IF($A113="","",IF(BH113=1,$B113,BJ112))</f>
        <v>0</v>
      </c>
      <c r="BK113">
        <f>IF($A113="","",IF(BH113=1,$C113,MAX($C113,BK112)))</f>
        <v>0</v>
      </c>
      <c r="BL113">
        <f>IF($A113="","",IF(BH113=1,$D113,MIN($D113,BL112)))</f>
        <v>0</v>
      </c>
      <c r="BM113">
        <f>IF($A113="","",IF(BI113=1,F113,""))</f>
        <v>0</v>
      </c>
      <c r="BN113">
        <f>IF($A113="","",DATE(YEAR($A113),MONTH($A113),1))</f>
        <v>0</v>
      </c>
      <c r="BO113">
        <f>IF($A113="","",IF($A112="",1,IF(BN113&lt;&gt;BN112,1,0)))</f>
        <v>0</v>
      </c>
      <c r="BP113">
        <f>IF($A113="","",IF($A114="",1,IF(BN114&lt;&gt;BN113,1,0)))</f>
        <v>0</v>
      </c>
      <c r="BQ113">
        <f>IF($A113="","",IF(BO113=1,$B113,BQ112))</f>
        <v>0</v>
      </c>
      <c r="BR113">
        <f>IF($A113="","",IF(BO113=1,$C113,MAX($C113,BR112)))</f>
        <v>0</v>
      </c>
      <c r="BS113">
        <f>IF($A113="","",IF(BO113=1,$D113,MIN($D113,BS112)))</f>
        <v>0</v>
      </c>
      <c r="BT113">
        <f>IF($A113="","",IF(BP113=1,F113,""))</f>
        <v>0</v>
      </c>
    </row>
    <row r="114" spans="1:72">
      <c r="A114" s="27">
        <f>IF(Data!$A114="","",Data!$A114)</f>
        <v>0</v>
      </c>
      <c r="B114">
        <f>IF(Data!$B114="","",Data!$B114)</f>
        <v>0</v>
      </c>
      <c r="C114">
        <f>IF(Data!$C114="","",Data!$C114)</f>
        <v>0</v>
      </c>
      <c r="D114">
        <f>IF(Data!$D114="","",Data!$D114)</f>
        <v>0</v>
      </c>
      <c r="E114">
        <f>IF(Data!$E114="","",Data!$E114)</f>
        <v>0</v>
      </c>
      <c r="F114">
        <f>IF($E114="","",N(F113)+1)</f>
        <v>0</v>
      </c>
      <c r="G114">
        <f>IF(OR($E114="",$E113=""),"",LN($E114/$E113))</f>
        <v>0</v>
      </c>
      <c r="H114">
        <f>IF($E114="","",IF($E113="",$E114,$E114*0.0952380952+H113*0.9047619048))</f>
        <v>0</v>
      </c>
      <c r="I114">
        <f>IF($E114="","",IF($E113="",$E114,$E114*0.0392156863+I113*0.9607843137))</f>
        <v>0</v>
      </c>
      <c r="J114">
        <f>IF($E114="","",IF($E113="",$E114,$E114*0.0198019802+J113*0.9801980198))</f>
        <v>0</v>
      </c>
      <c r="K114">
        <f>IF($E114="","",IF($E113="",$E114,$E114*0.0099502488+K113*0.9900497512))</f>
        <v>0</v>
      </c>
      <c r="L114">
        <f>IF(OR($E114="",$E113=""),"",MAX($E114-$E113,0))</f>
        <v>0</v>
      </c>
      <c r="M114">
        <f>IF(OR($E114="",$E113=""),"",MAX($E113-$E114,0))</f>
        <v>0</v>
      </c>
      <c r="N114">
        <f>IF(COUNT($E$2:$E114)&lt;15,"",IF(AVERAGE($M$101:$M$114)=0,100,100-100/(1+AVERAGE($L$101:$L$114)/AVERAGE($M$101:$M$114))))</f>
        <v>0</v>
      </c>
      <c r="O114">
        <f>IF($E114="","",IF($E113="",$E114,$E114*0.1538461538+O113*0.8461538462))</f>
        <v>0</v>
      </c>
      <c r="P114">
        <f>IF($E114="","",IF($E113="",$E114,$E114*0.0740740741+P113*0.9259259259))</f>
        <v>0</v>
      </c>
      <c r="Q114">
        <f>IF(OR(O114="",P114=""),"",O114-P114)</f>
        <v>0</v>
      </c>
      <c r="R114">
        <f>IF(Q114="","",IF(R113="",Q114,Q114*0.2000000000+R113*0.8000000000))</f>
        <v>0</v>
      </c>
      <c r="S114">
        <f>IF(OR(Q114="",R114=""),"",Q114-R114)</f>
        <v>0</v>
      </c>
      <c r="T114">
        <f>IF(COUNT($E$2:$E114)&lt;14,"",MAX($C$101:$C$114))</f>
        <v>0</v>
      </c>
      <c r="U114">
        <f>IF(COUNT($E$2:$E114)&lt;14,"",MIN($D$101:$D$114))</f>
        <v>0</v>
      </c>
      <c r="V114">
        <f>IF(OR(T114="",U114="",T114=U114),"",100*($E114-U114)/(T114-U114))</f>
        <v>0</v>
      </c>
      <c r="W114">
        <f>IF(COUNT($V$112:$V$114)&lt;3,"",AVERAGE($V$112:$V$114))</f>
        <v>0</v>
      </c>
      <c r="X114">
        <f>IF(COUNT($N$101:$N$114)&lt;14,"",MIN($N$101:$N$114))</f>
        <v>0</v>
      </c>
      <c r="Y114">
        <f>IF(COUNT($N$101:$N$114)&lt;14,"",MAX($N$101:$N$114))</f>
        <v>0</v>
      </c>
      <c r="Z114">
        <f>IF(OR(N114="",X114="",Y114="",Y114=X114),"",100*(N114-X114)/(Y114-X114))</f>
        <v>0</v>
      </c>
      <c r="AA114">
        <f>IF(COUNT($Z$112:$Z$114)&lt;3,"",AVERAGE($Z$112:$Z$114))</f>
        <v>0</v>
      </c>
      <c r="AB114">
        <f>IF(COUNT($AA$112:$AA$114)&lt;3,"",AVERAGE($AA$112:$AA$114))</f>
        <v>0</v>
      </c>
      <c r="AC114">
        <f>IF($E114="","",MAX($C114-$D114,ABS($C114-$E113),ABS($D114-$E113)))</f>
        <v>0</v>
      </c>
      <c r="AD114">
        <f>IF(COUNT($E$2:$E114)&lt;15,"",AVERAGE($AC$101:$AC$114))</f>
        <v>0</v>
      </c>
      <c r="AE114">
        <f>IF(OR($E114="",$E113=""),"",IF(AND(($C114-$C113)&gt;($D113-$D114),($C114-$C113)&gt;0),$C114-$C113,0))</f>
        <v>0</v>
      </c>
      <c r="AF114">
        <f>IF(OR($E114="",$E113=""),"",IF(AND(($D113-$D114)&gt;($C114-$C113),($D113-$D114)&gt;0),$D113-$D114,0))</f>
        <v>0</v>
      </c>
      <c r="AG114">
        <f>IF(COUNT($E$2:$E114)&lt;15,"",IF(SUM($AC$101:$AC$114)=0,0,100*SUM($AE$101:$AE$114)/SUM($AC$101:$AC$114)))</f>
        <v>0</v>
      </c>
      <c r="AH114">
        <f>IF(COUNT($E$2:$E114)&lt;15,"",IF(SUM($AC$101:$AC$114)=0,0,100*SUM($AF$101:$AF$114)/SUM($AC$101:$AC$114)))</f>
        <v>0</v>
      </c>
      <c r="AI114">
        <f>IF(OR(AG114="",AH114=""),"",IF((AG114+AH114)=0,0,100*ABS(AG114-AH114)/(AG114+AH114)))</f>
        <v>0</v>
      </c>
      <c r="AJ114">
        <f>IF(COUNT($AI$101:$AI$114)&lt;14,"",AVERAGE($AI$101:$AI$114))</f>
        <v>0</v>
      </c>
      <c r="AK114">
        <f>IF(COUNT($E$2:$E114)&lt;20,"",AVERAGE($E$95:$E$114))</f>
        <v>0</v>
      </c>
      <c r="AL114">
        <f>IF(COUNT($E$2:$E114)&lt;20,"",STDEVP($E$95:$E$114))</f>
        <v>0</v>
      </c>
      <c r="AM114">
        <f>IF(AK114="","",AK114+2*AL114)</f>
        <v>0</v>
      </c>
      <c r="AN114">
        <f>IF(AK114="","",AK114-2*AL114)</f>
        <v>0</v>
      </c>
      <c r="AO114">
        <f>IF(OR(AM114="",AN114="",AM114=AN114),"",($E114-AN114)/(AM114-AN114))</f>
        <v>0</v>
      </c>
      <c r="AP114">
        <f>IF(OR(AM114="",AK114="",AK114=0),"",(AM114-AN114)/AK114)</f>
        <v>0</v>
      </c>
      <c r="AQ114">
        <f>IF(COUNT($E$2:$E114)&lt;20,"",MAX($C$95:$C$114))</f>
        <v>0</v>
      </c>
      <c r="AR114">
        <f>IF(COUNT($E$2:$E114)&lt;20,"",MIN($D$95:$D$114))</f>
        <v>0</v>
      </c>
      <c r="AS114">
        <f>IF(OR(AQ114="",AR114=""),"",(AQ114+AR114)/2)</f>
        <v>0</v>
      </c>
      <c r="AT114">
        <f>IF(COUNT($G$95:$G$114)&lt;20,"",STDEV($G$95:$G$114)*SQRT(252))</f>
        <v>0</v>
      </c>
      <c r="AU114">
        <f>IF(COUNT($E$2:$E114)&lt;9,"",(MAX($C$106:$C$114)+MIN($D$106:$D$114))/2)</f>
        <v>0</v>
      </c>
      <c r="AV114">
        <f>IF(COUNT($E$2:$E114)&lt;26,"",(MAX($C$89:$C$114)+MIN($D$89:$D$114))/2)</f>
        <v>0</v>
      </c>
      <c r="AW114">
        <f>IF(OR(AU114="",AV114=""),"",(AU114+AV114)/2)</f>
        <v>0</v>
      </c>
      <c r="AX114">
        <f>IF(COUNT($E$2:$E114)&lt;52,"",(MAX($C$63:$C$114)+MIN($D$63:$D$114))/2)</f>
        <v>0</v>
      </c>
      <c r="AY114">
        <f>IF(COUNT($E$2:$E114)&lt;20,"",MAX($C$15:$C$114))</f>
        <v>0</v>
      </c>
      <c r="AZ114">
        <f>IF(COUNT($E$2:$E114)&lt;20,"",MIN($D$15:$D$114))</f>
        <v>0</v>
      </c>
      <c r="BA114">
        <f>IF(COUNT($E$2:$E114)&lt;20,"",SLOPE($E$15:$E$114,$F$15:$F$114))</f>
        <v>0</v>
      </c>
      <c r="BB114">
        <f>IF(COUNT($E$2:$E114)&lt;20,"",INTERCEPT($E$15:$E$114,$F$15:$F$114))</f>
        <v>0</v>
      </c>
      <c r="BC114">
        <f>IF(OR(BA114="",BB114=""),"",BB114+BA114*F114)</f>
        <v>0</v>
      </c>
      <c r="BD114">
        <f>IF(COUNT($E$2:$E114)&lt;20,"",STEYX($E$15:$E$114,$F$15:$F$114))</f>
        <v>0</v>
      </c>
      <c r="BE114">
        <f>IF($E114="","",IF(AND(COUNT($E$115:$E$118)&gt;=4,$C114=MAX($C$110:$C$118)),$C114,""))</f>
        <v>0</v>
      </c>
      <c r="BF114">
        <f>IF($E114="","",IF(AND(COUNT($E$115:$E$118)&gt;=4,$D114=MIN($D$110:$D$118)),$D114,""))</f>
        <v>0</v>
      </c>
      <c r="BG114">
        <f>IF($A114="","",$A114-WEEKDAY($A114,2)+1)</f>
        <v>0</v>
      </c>
      <c r="BH114">
        <f>IF($A114="","",IF($A113="",1,IF(BG114&lt;&gt;BG113,1,0)))</f>
        <v>0</v>
      </c>
      <c r="BI114">
        <f>IF($A114="","",IF($A115="",1,IF(BG115&lt;&gt;BG114,1,0)))</f>
        <v>0</v>
      </c>
      <c r="BJ114">
        <f>IF($A114="","",IF(BH114=1,$B114,BJ113))</f>
        <v>0</v>
      </c>
      <c r="BK114">
        <f>IF($A114="","",IF(BH114=1,$C114,MAX($C114,BK113)))</f>
        <v>0</v>
      </c>
      <c r="BL114">
        <f>IF($A114="","",IF(BH114=1,$D114,MIN($D114,BL113)))</f>
        <v>0</v>
      </c>
      <c r="BM114">
        <f>IF($A114="","",IF(BI114=1,F114,""))</f>
        <v>0</v>
      </c>
      <c r="BN114">
        <f>IF($A114="","",DATE(YEAR($A114),MONTH($A114),1))</f>
        <v>0</v>
      </c>
      <c r="BO114">
        <f>IF($A114="","",IF($A113="",1,IF(BN114&lt;&gt;BN113,1,0)))</f>
        <v>0</v>
      </c>
      <c r="BP114">
        <f>IF($A114="","",IF($A115="",1,IF(BN115&lt;&gt;BN114,1,0)))</f>
        <v>0</v>
      </c>
      <c r="BQ114">
        <f>IF($A114="","",IF(BO114=1,$B114,BQ113))</f>
        <v>0</v>
      </c>
      <c r="BR114">
        <f>IF($A114="","",IF(BO114=1,$C114,MAX($C114,BR113)))</f>
        <v>0</v>
      </c>
      <c r="BS114">
        <f>IF($A114="","",IF(BO114=1,$D114,MIN($D114,BS113)))</f>
        <v>0</v>
      </c>
      <c r="BT114">
        <f>IF($A114="","",IF(BP114=1,F114,""))</f>
        <v>0</v>
      </c>
    </row>
    <row r="115" spans="1:72">
      <c r="A115" s="27">
        <f>IF(Data!$A115="","",Data!$A115)</f>
        <v>0</v>
      </c>
      <c r="B115">
        <f>IF(Data!$B115="","",Data!$B115)</f>
        <v>0</v>
      </c>
      <c r="C115">
        <f>IF(Data!$C115="","",Data!$C115)</f>
        <v>0</v>
      </c>
      <c r="D115">
        <f>IF(Data!$D115="","",Data!$D115)</f>
        <v>0</v>
      </c>
      <c r="E115">
        <f>IF(Data!$E115="","",Data!$E115)</f>
        <v>0</v>
      </c>
      <c r="F115">
        <f>IF($E115="","",N(F114)+1)</f>
        <v>0</v>
      </c>
      <c r="G115">
        <f>IF(OR($E115="",$E114=""),"",LN($E115/$E114))</f>
        <v>0</v>
      </c>
      <c r="H115">
        <f>IF($E115="","",IF($E114="",$E115,$E115*0.0952380952+H114*0.9047619048))</f>
        <v>0</v>
      </c>
      <c r="I115">
        <f>IF($E115="","",IF($E114="",$E115,$E115*0.0392156863+I114*0.9607843137))</f>
        <v>0</v>
      </c>
      <c r="J115">
        <f>IF($E115="","",IF($E114="",$E115,$E115*0.0198019802+J114*0.9801980198))</f>
        <v>0</v>
      </c>
      <c r="K115">
        <f>IF($E115="","",IF($E114="",$E115,$E115*0.0099502488+K114*0.9900497512))</f>
        <v>0</v>
      </c>
      <c r="L115">
        <f>IF(OR($E115="",$E114=""),"",MAX($E115-$E114,0))</f>
        <v>0</v>
      </c>
      <c r="M115">
        <f>IF(OR($E115="",$E114=""),"",MAX($E114-$E115,0))</f>
        <v>0</v>
      </c>
      <c r="N115">
        <f>IF(COUNT($E$2:$E115)&lt;15,"",IF(AVERAGE($M$102:$M$115)=0,100,100-100/(1+AVERAGE($L$102:$L$115)/AVERAGE($M$102:$M$115))))</f>
        <v>0</v>
      </c>
      <c r="O115">
        <f>IF($E115="","",IF($E114="",$E115,$E115*0.1538461538+O114*0.8461538462))</f>
        <v>0</v>
      </c>
      <c r="P115">
        <f>IF($E115="","",IF($E114="",$E115,$E115*0.0740740741+P114*0.9259259259))</f>
        <v>0</v>
      </c>
      <c r="Q115">
        <f>IF(OR(O115="",P115=""),"",O115-P115)</f>
        <v>0</v>
      </c>
      <c r="R115">
        <f>IF(Q115="","",IF(R114="",Q115,Q115*0.2000000000+R114*0.8000000000))</f>
        <v>0</v>
      </c>
      <c r="S115">
        <f>IF(OR(Q115="",R115=""),"",Q115-R115)</f>
        <v>0</v>
      </c>
      <c r="T115">
        <f>IF(COUNT($E$2:$E115)&lt;14,"",MAX($C$102:$C$115))</f>
        <v>0</v>
      </c>
      <c r="U115">
        <f>IF(COUNT($E$2:$E115)&lt;14,"",MIN($D$102:$D$115))</f>
        <v>0</v>
      </c>
      <c r="V115">
        <f>IF(OR(T115="",U115="",T115=U115),"",100*($E115-U115)/(T115-U115))</f>
        <v>0</v>
      </c>
      <c r="W115">
        <f>IF(COUNT($V$113:$V$115)&lt;3,"",AVERAGE($V$113:$V$115))</f>
        <v>0</v>
      </c>
      <c r="X115">
        <f>IF(COUNT($N$102:$N$115)&lt;14,"",MIN($N$102:$N$115))</f>
        <v>0</v>
      </c>
      <c r="Y115">
        <f>IF(COUNT($N$102:$N$115)&lt;14,"",MAX($N$102:$N$115))</f>
        <v>0</v>
      </c>
      <c r="Z115">
        <f>IF(OR(N115="",X115="",Y115="",Y115=X115),"",100*(N115-X115)/(Y115-X115))</f>
        <v>0</v>
      </c>
      <c r="AA115">
        <f>IF(COUNT($Z$113:$Z$115)&lt;3,"",AVERAGE($Z$113:$Z$115))</f>
        <v>0</v>
      </c>
      <c r="AB115">
        <f>IF(COUNT($AA$113:$AA$115)&lt;3,"",AVERAGE($AA$113:$AA$115))</f>
        <v>0</v>
      </c>
      <c r="AC115">
        <f>IF($E115="","",MAX($C115-$D115,ABS($C115-$E114),ABS($D115-$E114)))</f>
        <v>0</v>
      </c>
      <c r="AD115">
        <f>IF(COUNT($E$2:$E115)&lt;15,"",AVERAGE($AC$102:$AC$115))</f>
        <v>0</v>
      </c>
      <c r="AE115">
        <f>IF(OR($E115="",$E114=""),"",IF(AND(($C115-$C114)&gt;($D114-$D115),($C115-$C114)&gt;0),$C115-$C114,0))</f>
        <v>0</v>
      </c>
      <c r="AF115">
        <f>IF(OR($E115="",$E114=""),"",IF(AND(($D114-$D115)&gt;($C115-$C114),($D114-$D115)&gt;0),$D114-$D115,0))</f>
        <v>0</v>
      </c>
      <c r="AG115">
        <f>IF(COUNT($E$2:$E115)&lt;15,"",IF(SUM($AC$102:$AC$115)=0,0,100*SUM($AE$102:$AE$115)/SUM($AC$102:$AC$115)))</f>
        <v>0</v>
      </c>
      <c r="AH115">
        <f>IF(COUNT($E$2:$E115)&lt;15,"",IF(SUM($AC$102:$AC$115)=0,0,100*SUM($AF$102:$AF$115)/SUM($AC$102:$AC$115)))</f>
        <v>0</v>
      </c>
      <c r="AI115">
        <f>IF(OR(AG115="",AH115=""),"",IF((AG115+AH115)=0,0,100*ABS(AG115-AH115)/(AG115+AH115)))</f>
        <v>0</v>
      </c>
      <c r="AJ115">
        <f>IF(COUNT($AI$102:$AI$115)&lt;14,"",AVERAGE($AI$102:$AI$115))</f>
        <v>0</v>
      </c>
      <c r="AK115">
        <f>IF(COUNT($E$2:$E115)&lt;20,"",AVERAGE($E$96:$E$115))</f>
        <v>0</v>
      </c>
      <c r="AL115">
        <f>IF(COUNT($E$2:$E115)&lt;20,"",STDEVP($E$96:$E$115))</f>
        <v>0</v>
      </c>
      <c r="AM115">
        <f>IF(AK115="","",AK115+2*AL115)</f>
        <v>0</v>
      </c>
      <c r="AN115">
        <f>IF(AK115="","",AK115-2*AL115)</f>
        <v>0</v>
      </c>
      <c r="AO115">
        <f>IF(OR(AM115="",AN115="",AM115=AN115),"",($E115-AN115)/(AM115-AN115))</f>
        <v>0</v>
      </c>
      <c r="AP115">
        <f>IF(OR(AM115="",AK115="",AK115=0),"",(AM115-AN115)/AK115)</f>
        <v>0</v>
      </c>
      <c r="AQ115">
        <f>IF(COUNT($E$2:$E115)&lt;20,"",MAX($C$96:$C$115))</f>
        <v>0</v>
      </c>
      <c r="AR115">
        <f>IF(COUNT($E$2:$E115)&lt;20,"",MIN($D$96:$D$115))</f>
        <v>0</v>
      </c>
      <c r="AS115">
        <f>IF(OR(AQ115="",AR115=""),"",(AQ115+AR115)/2)</f>
        <v>0</v>
      </c>
      <c r="AT115">
        <f>IF(COUNT($G$96:$G$115)&lt;20,"",STDEV($G$96:$G$115)*SQRT(252))</f>
        <v>0</v>
      </c>
      <c r="AU115">
        <f>IF(COUNT($E$2:$E115)&lt;9,"",(MAX($C$107:$C$115)+MIN($D$107:$D$115))/2)</f>
        <v>0</v>
      </c>
      <c r="AV115">
        <f>IF(COUNT($E$2:$E115)&lt;26,"",(MAX($C$90:$C$115)+MIN($D$90:$D$115))/2)</f>
        <v>0</v>
      </c>
      <c r="AW115">
        <f>IF(OR(AU115="",AV115=""),"",(AU115+AV115)/2)</f>
        <v>0</v>
      </c>
      <c r="AX115">
        <f>IF(COUNT($E$2:$E115)&lt;52,"",(MAX($C$64:$C$115)+MIN($D$64:$D$115))/2)</f>
        <v>0</v>
      </c>
      <c r="AY115">
        <f>IF(COUNT($E$2:$E115)&lt;20,"",MAX($C$16:$C$115))</f>
        <v>0</v>
      </c>
      <c r="AZ115">
        <f>IF(COUNT($E$2:$E115)&lt;20,"",MIN($D$16:$D$115))</f>
        <v>0</v>
      </c>
      <c r="BA115">
        <f>IF(COUNT($E$2:$E115)&lt;20,"",SLOPE($E$16:$E$115,$F$16:$F$115))</f>
        <v>0</v>
      </c>
      <c r="BB115">
        <f>IF(COUNT($E$2:$E115)&lt;20,"",INTERCEPT($E$16:$E$115,$F$16:$F$115))</f>
        <v>0</v>
      </c>
      <c r="BC115">
        <f>IF(OR(BA115="",BB115=""),"",BB115+BA115*F115)</f>
        <v>0</v>
      </c>
      <c r="BD115">
        <f>IF(COUNT($E$2:$E115)&lt;20,"",STEYX($E$16:$E$115,$F$16:$F$115))</f>
        <v>0</v>
      </c>
      <c r="BE115">
        <f>IF($E115="","",IF(AND(COUNT($E$116:$E$119)&gt;=4,$C115=MAX($C$111:$C$119)),$C115,""))</f>
        <v>0</v>
      </c>
      <c r="BF115">
        <f>IF($E115="","",IF(AND(COUNT($E$116:$E$119)&gt;=4,$D115=MIN($D$111:$D$119)),$D115,""))</f>
        <v>0</v>
      </c>
      <c r="BG115">
        <f>IF($A115="","",$A115-WEEKDAY($A115,2)+1)</f>
        <v>0</v>
      </c>
      <c r="BH115">
        <f>IF($A115="","",IF($A114="",1,IF(BG115&lt;&gt;BG114,1,0)))</f>
        <v>0</v>
      </c>
      <c r="BI115">
        <f>IF($A115="","",IF($A116="",1,IF(BG116&lt;&gt;BG115,1,0)))</f>
        <v>0</v>
      </c>
      <c r="BJ115">
        <f>IF($A115="","",IF(BH115=1,$B115,BJ114))</f>
        <v>0</v>
      </c>
      <c r="BK115">
        <f>IF($A115="","",IF(BH115=1,$C115,MAX($C115,BK114)))</f>
        <v>0</v>
      </c>
      <c r="BL115">
        <f>IF($A115="","",IF(BH115=1,$D115,MIN($D115,BL114)))</f>
        <v>0</v>
      </c>
      <c r="BM115">
        <f>IF($A115="","",IF(BI115=1,F115,""))</f>
        <v>0</v>
      </c>
      <c r="BN115">
        <f>IF($A115="","",DATE(YEAR($A115),MONTH($A115),1))</f>
        <v>0</v>
      </c>
      <c r="BO115">
        <f>IF($A115="","",IF($A114="",1,IF(BN115&lt;&gt;BN114,1,0)))</f>
        <v>0</v>
      </c>
      <c r="BP115">
        <f>IF($A115="","",IF($A116="",1,IF(BN116&lt;&gt;BN115,1,0)))</f>
        <v>0</v>
      </c>
      <c r="BQ115">
        <f>IF($A115="","",IF(BO115=1,$B115,BQ114))</f>
        <v>0</v>
      </c>
      <c r="BR115">
        <f>IF($A115="","",IF(BO115=1,$C115,MAX($C115,BR114)))</f>
        <v>0</v>
      </c>
      <c r="BS115">
        <f>IF($A115="","",IF(BO115=1,$D115,MIN($D115,BS114)))</f>
        <v>0</v>
      </c>
      <c r="BT115">
        <f>IF($A115="","",IF(BP115=1,F115,""))</f>
        <v>0</v>
      </c>
    </row>
    <row r="116" spans="1:72">
      <c r="A116" s="27">
        <f>IF(Data!$A116="","",Data!$A116)</f>
        <v>0</v>
      </c>
      <c r="B116">
        <f>IF(Data!$B116="","",Data!$B116)</f>
        <v>0</v>
      </c>
      <c r="C116">
        <f>IF(Data!$C116="","",Data!$C116)</f>
        <v>0</v>
      </c>
      <c r="D116">
        <f>IF(Data!$D116="","",Data!$D116)</f>
        <v>0</v>
      </c>
      <c r="E116">
        <f>IF(Data!$E116="","",Data!$E116)</f>
        <v>0</v>
      </c>
      <c r="F116">
        <f>IF($E116="","",N(F115)+1)</f>
        <v>0</v>
      </c>
      <c r="G116">
        <f>IF(OR($E116="",$E115=""),"",LN($E116/$E115))</f>
        <v>0</v>
      </c>
      <c r="H116">
        <f>IF($E116="","",IF($E115="",$E116,$E116*0.0952380952+H115*0.9047619048))</f>
        <v>0</v>
      </c>
      <c r="I116">
        <f>IF($E116="","",IF($E115="",$E116,$E116*0.0392156863+I115*0.9607843137))</f>
        <v>0</v>
      </c>
      <c r="J116">
        <f>IF($E116="","",IF($E115="",$E116,$E116*0.0198019802+J115*0.9801980198))</f>
        <v>0</v>
      </c>
      <c r="K116">
        <f>IF($E116="","",IF($E115="",$E116,$E116*0.0099502488+K115*0.9900497512))</f>
        <v>0</v>
      </c>
      <c r="L116">
        <f>IF(OR($E116="",$E115=""),"",MAX($E116-$E115,0))</f>
        <v>0</v>
      </c>
      <c r="M116">
        <f>IF(OR($E116="",$E115=""),"",MAX($E115-$E116,0))</f>
        <v>0</v>
      </c>
      <c r="N116">
        <f>IF(COUNT($E$2:$E116)&lt;15,"",IF(AVERAGE($M$103:$M$116)=0,100,100-100/(1+AVERAGE($L$103:$L$116)/AVERAGE($M$103:$M$116))))</f>
        <v>0</v>
      </c>
      <c r="O116">
        <f>IF($E116="","",IF($E115="",$E116,$E116*0.1538461538+O115*0.8461538462))</f>
        <v>0</v>
      </c>
      <c r="P116">
        <f>IF($E116="","",IF($E115="",$E116,$E116*0.0740740741+P115*0.9259259259))</f>
        <v>0</v>
      </c>
      <c r="Q116">
        <f>IF(OR(O116="",P116=""),"",O116-P116)</f>
        <v>0</v>
      </c>
      <c r="R116">
        <f>IF(Q116="","",IF(R115="",Q116,Q116*0.2000000000+R115*0.8000000000))</f>
        <v>0</v>
      </c>
      <c r="S116">
        <f>IF(OR(Q116="",R116=""),"",Q116-R116)</f>
        <v>0</v>
      </c>
      <c r="T116">
        <f>IF(COUNT($E$2:$E116)&lt;14,"",MAX($C$103:$C$116))</f>
        <v>0</v>
      </c>
      <c r="U116">
        <f>IF(COUNT($E$2:$E116)&lt;14,"",MIN($D$103:$D$116))</f>
        <v>0</v>
      </c>
      <c r="V116">
        <f>IF(OR(T116="",U116="",T116=U116),"",100*($E116-U116)/(T116-U116))</f>
        <v>0</v>
      </c>
      <c r="W116">
        <f>IF(COUNT($V$114:$V$116)&lt;3,"",AVERAGE($V$114:$V$116))</f>
        <v>0</v>
      </c>
      <c r="X116">
        <f>IF(COUNT($N$103:$N$116)&lt;14,"",MIN($N$103:$N$116))</f>
        <v>0</v>
      </c>
      <c r="Y116">
        <f>IF(COUNT($N$103:$N$116)&lt;14,"",MAX($N$103:$N$116))</f>
        <v>0</v>
      </c>
      <c r="Z116">
        <f>IF(OR(N116="",X116="",Y116="",Y116=X116),"",100*(N116-X116)/(Y116-X116))</f>
        <v>0</v>
      </c>
      <c r="AA116">
        <f>IF(COUNT($Z$114:$Z$116)&lt;3,"",AVERAGE($Z$114:$Z$116))</f>
        <v>0</v>
      </c>
      <c r="AB116">
        <f>IF(COUNT($AA$114:$AA$116)&lt;3,"",AVERAGE($AA$114:$AA$116))</f>
        <v>0</v>
      </c>
      <c r="AC116">
        <f>IF($E116="","",MAX($C116-$D116,ABS($C116-$E115),ABS($D116-$E115)))</f>
        <v>0</v>
      </c>
      <c r="AD116">
        <f>IF(COUNT($E$2:$E116)&lt;15,"",AVERAGE($AC$103:$AC$116))</f>
        <v>0</v>
      </c>
      <c r="AE116">
        <f>IF(OR($E116="",$E115=""),"",IF(AND(($C116-$C115)&gt;($D115-$D116),($C116-$C115)&gt;0),$C116-$C115,0))</f>
        <v>0</v>
      </c>
      <c r="AF116">
        <f>IF(OR($E116="",$E115=""),"",IF(AND(($D115-$D116)&gt;($C116-$C115),($D115-$D116)&gt;0),$D115-$D116,0))</f>
        <v>0</v>
      </c>
      <c r="AG116">
        <f>IF(COUNT($E$2:$E116)&lt;15,"",IF(SUM($AC$103:$AC$116)=0,0,100*SUM($AE$103:$AE$116)/SUM($AC$103:$AC$116)))</f>
        <v>0</v>
      </c>
      <c r="AH116">
        <f>IF(COUNT($E$2:$E116)&lt;15,"",IF(SUM($AC$103:$AC$116)=0,0,100*SUM($AF$103:$AF$116)/SUM($AC$103:$AC$116)))</f>
        <v>0</v>
      </c>
      <c r="AI116">
        <f>IF(OR(AG116="",AH116=""),"",IF((AG116+AH116)=0,0,100*ABS(AG116-AH116)/(AG116+AH116)))</f>
        <v>0</v>
      </c>
      <c r="AJ116">
        <f>IF(COUNT($AI$103:$AI$116)&lt;14,"",AVERAGE($AI$103:$AI$116))</f>
        <v>0</v>
      </c>
      <c r="AK116">
        <f>IF(COUNT($E$2:$E116)&lt;20,"",AVERAGE($E$97:$E$116))</f>
        <v>0</v>
      </c>
      <c r="AL116">
        <f>IF(COUNT($E$2:$E116)&lt;20,"",STDEVP($E$97:$E$116))</f>
        <v>0</v>
      </c>
      <c r="AM116">
        <f>IF(AK116="","",AK116+2*AL116)</f>
        <v>0</v>
      </c>
      <c r="AN116">
        <f>IF(AK116="","",AK116-2*AL116)</f>
        <v>0</v>
      </c>
      <c r="AO116">
        <f>IF(OR(AM116="",AN116="",AM116=AN116),"",($E116-AN116)/(AM116-AN116))</f>
        <v>0</v>
      </c>
      <c r="AP116">
        <f>IF(OR(AM116="",AK116="",AK116=0),"",(AM116-AN116)/AK116)</f>
        <v>0</v>
      </c>
      <c r="AQ116">
        <f>IF(COUNT($E$2:$E116)&lt;20,"",MAX($C$97:$C$116))</f>
        <v>0</v>
      </c>
      <c r="AR116">
        <f>IF(COUNT($E$2:$E116)&lt;20,"",MIN($D$97:$D$116))</f>
        <v>0</v>
      </c>
      <c r="AS116">
        <f>IF(OR(AQ116="",AR116=""),"",(AQ116+AR116)/2)</f>
        <v>0</v>
      </c>
      <c r="AT116">
        <f>IF(COUNT($G$97:$G$116)&lt;20,"",STDEV($G$97:$G$116)*SQRT(252))</f>
        <v>0</v>
      </c>
      <c r="AU116">
        <f>IF(COUNT($E$2:$E116)&lt;9,"",(MAX($C$108:$C$116)+MIN($D$108:$D$116))/2)</f>
        <v>0</v>
      </c>
      <c r="AV116">
        <f>IF(COUNT($E$2:$E116)&lt;26,"",(MAX($C$91:$C$116)+MIN($D$91:$D$116))/2)</f>
        <v>0</v>
      </c>
      <c r="AW116">
        <f>IF(OR(AU116="",AV116=""),"",(AU116+AV116)/2)</f>
        <v>0</v>
      </c>
      <c r="AX116">
        <f>IF(COUNT($E$2:$E116)&lt;52,"",(MAX($C$65:$C$116)+MIN($D$65:$D$116))/2)</f>
        <v>0</v>
      </c>
      <c r="AY116">
        <f>IF(COUNT($E$2:$E116)&lt;20,"",MAX($C$17:$C$116))</f>
        <v>0</v>
      </c>
      <c r="AZ116">
        <f>IF(COUNT($E$2:$E116)&lt;20,"",MIN($D$17:$D$116))</f>
        <v>0</v>
      </c>
      <c r="BA116">
        <f>IF(COUNT($E$2:$E116)&lt;20,"",SLOPE($E$17:$E$116,$F$17:$F$116))</f>
        <v>0</v>
      </c>
      <c r="BB116">
        <f>IF(COUNT($E$2:$E116)&lt;20,"",INTERCEPT($E$17:$E$116,$F$17:$F$116))</f>
        <v>0</v>
      </c>
      <c r="BC116">
        <f>IF(OR(BA116="",BB116=""),"",BB116+BA116*F116)</f>
        <v>0</v>
      </c>
      <c r="BD116">
        <f>IF(COUNT($E$2:$E116)&lt;20,"",STEYX($E$17:$E$116,$F$17:$F$116))</f>
        <v>0</v>
      </c>
      <c r="BE116">
        <f>IF($E116="","",IF(AND(COUNT($E$117:$E$120)&gt;=4,$C116=MAX($C$112:$C$120)),$C116,""))</f>
        <v>0</v>
      </c>
      <c r="BF116">
        <f>IF($E116="","",IF(AND(COUNT($E$117:$E$120)&gt;=4,$D116=MIN($D$112:$D$120)),$D116,""))</f>
        <v>0</v>
      </c>
      <c r="BG116">
        <f>IF($A116="","",$A116-WEEKDAY($A116,2)+1)</f>
        <v>0</v>
      </c>
      <c r="BH116">
        <f>IF($A116="","",IF($A115="",1,IF(BG116&lt;&gt;BG115,1,0)))</f>
        <v>0</v>
      </c>
      <c r="BI116">
        <f>IF($A116="","",IF($A117="",1,IF(BG117&lt;&gt;BG116,1,0)))</f>
        <v>0</v>
      </c>
      <c r="BJ116">
        <f>IF($A116="","",IF(BH116=1,$B116,BJ115))</f>
        <v>0</v>
      </c>
      <c r="BK116">
        <f>IF($A116="","",IF(BH116=1,$C116,MAX($C116,BK115)))</f>
        <v>0</v>
      </c>
      <c r="BL116">
        <f>IF($A116="","",IF(BH116=1,$D116,MIN($D116,BL115)))</f>
        <v>0</v>
      </c>
      <c r="BM116">
        <f>IF($A116="","",IF(BI116=1,F116,""))</f>
        <v>0</v>
      </c>
      <c r="BN116">
        <f>IF($A116="","",DATE(YEAR($A116),MONTH($A116),1))</f>
        <v>0</v>
      </c>
      <c r="BO116">
        <f>IF($A116="","",IF($A115="",1,IF(BN116&lt;&gt;BN115,1,0)))</f>
        <v>0</v>
      </c>
      <c r="BP116">
        <f>IF($A116="","",IF($A117="",1,IF(BN117&lt;&gt;BN116,1,0)))</f>
        <v>0</v>
      </c>
      <c r="BQ116">
        <f>IF($A116="","",IF(BO116=1,$B116,BQ115))</f>
        <v>0</v>
      </c>
      <c r="BR116">
        <f>IF($A116="","",IF(BO116=1,$C116,MAX($C116,BR115)))</f>
        <v>0</v>
      </c>
      <c r="BS116">
        <f>IF($A116="","",IF(BO116=1,$D116,MIN($D116,BS115)))</f>
        <v>0</v>
      </c>
      <c r="BT116">
        <f>IF($A116="","",IF(BP116=1,F116,""))</f>
        <v>0</v>
      </c>
    </row>
    <row r="117" spans="1:72">
      <c r="A117" s="27">
        <f>IF(Data!$A117="","",Data!$A117)</f>
        <v>0</v>
      </c>
      <c r="B117">
        <f>IF(Data!$B117="","",Data!$B117)</f>
        <v>0</v>
      </c>
      <c r="C117">
        <f>IF(Data!$C117="","",Data!$C117)</f>
        <v>0</v>
      </c>
      <c r="D117">
        <f>IF(Data!$D117="","",Data!$D117)</f>
        <v>0</v>
      </c>
      <c r="E117">
        <f>IF(Data!$E117="","",Data!$E117)</f>
        <v>0</v>
      </c>
      <c r="F117">
        <f>IF($E117="","",N(F116)+1)</f>
        <v>0</v>
      </c>
      <c r="G117">
        <f>IF(OR($E117="",$E116=""),"",LN($E117/$E116))</f>
        <v>0</v>
      </c>
      <c r="H117">
        <f>IF($E117="","",IF($E116="",$E117,$E117*0.0952380952+H116*0.9047619048))</f>
        <v>0</v>
      </c>
      <c r="I117">
        <f>IF($E117="","",IF($E116="",$E117,$E117*0.0392156863+I116*0.9607843137))</f>
        <v>0</v>
      </c>
      <c r="J117">
        <f>IF($E117="","",IF($E116="",$E117,$E117*0.0198019802+J116*0.9801980198))</f>
        <v>0</v>
      </c>
      <c r="K117">
        <f>IF($E117="","",IF($E116="",$E117,$E117*0.0099502488+K116*0.9900497512))</f>
        <v>0</v>
      </c>
      <c r="L117">
        <f>IF(OR($E117="",$E116=""),"",MAX($E117-$E116,0))</f>
        <v>0</v>
      </c>
      <c r="M117">
        <f>IF(OR($E117="",$E116=""),"",MAX($E116-$E117,0))</f>
        <v>0</v>
      </c>
      <c r="N117">
        <f>IF(COUNT($E$2:$E117)&lt;15,"",IF(AVERAGE($M$104:$M$117)=0,100,100-100/(1+AVERAGE($L$104:$L$117)/AVERAGE($M$104:$M$117))))</f>
        <v>0</v>
      </c>
      <c r="O117">
        <f>IF($E117="","",IF($E116="",$E117,$E117*0.1538461538+O116*0.8461538462))</f>
        <v>0</v>
      </c>
      <c r="P117">
        <f>IF($E117="","",IF($E116="",$E117,$E117*0.0740740741+P116*0.9259259259))</f>
        <v>0</v>
      </c>
      <c r="Q117">
        <f>IF(OR(O117="",P117=""),"",O117-P117)</f>
        <v>0</v>
      </c>
      <c r="R117">
        <f>IF(Q117="","",IF(R116="",Q117,Q117*0.2000000000+R116*0.8000000000))</f>
        <v>0</v>
      </c>
      <c r="S117">
        <f>IF(OR(Q117="",R117=""),"",Q117-R117)</f>
        <v>0</v>
      </c>
      <c r="T117">
        <f>IF(COUNT($E$2:$E117)&lt;14,"",MAX($C$104:$C$117))</f>
        <v>0</v>
      </c>
      <c r="U117">
        <f>IF(COUNT($E$2:$E117)&lt;14,"",MIN($D$104:$D$117))</f>
        <v>0</v>
      </c>
      <c r="V117">
        <f>IF(OR(T117="",U117="",T117=U117),"",100*($E117-U117)/(T117-U117))</f>
        <v>0</v>
      </c>
      <c r="W117">
        <f>IF(COUNT($V$115:$V$117)&lt;3,"",AVERAGE($V$115:$V$117))</f>
        <v>0</v>
      </c>
      <c r="X117">
        <f>IF(COUNT($N$104:$N$117)&lt;14,"",MIN($N$104:$N$117))</f>
        <v>0</v>
      </c>
      <c r="Y117">
        <f>IF(COUNT($N$104:$N$117)&lt;14,"",MAX($N$104:$N$117))</f>
        <v>0</v>
      </c>
      <c r="Z117">
        <f>IF(OR(N117="",X117="",Y117="",Y117=X117),"",100*(N117-X117)/(Y117-X117))</f>
        <v>0</v>
      </c>
      <c r="AA117">
        <f>IF(COUNT($Z$115:$Z$117)&lt;3,"",AVERAGE($Z$115:$Z$117))</f>
        <v>0</v>
      </c>
      <c r="AB117">
        <f>IF(COUNT($AA$115:$AA$117)&lt;3,"",AVERAGE($AA$115:$AA$117))</f>
        <v>0</v>
      </c>
      <c r="AC117">
        <f>IF($E117="","",MAX($C117-$D117,ABS($C117-$E116),ABS($D117-$E116)))</f>
        <v>0</v>
      </c>
      <c r="AD117">
        <f>IF(COUNT($E$2:$E117)&lt;15,"",AVERAGE($AC$104:$AC$117))</f>
        <v>0</v>
      </c>
      <c r="AE117">
        <f>IF(OR($E117="",$E116=""),"",IF(AND(($C117-$C116)&gt;($D116-$D117),($C117-$C116)&gt;0),$C117-$C116,0))</f>
        <v>0</v>
      </c>
      <c r="AF117">
        <f>IF(OR($E117="",$E116=""),"",IF(AND(($D116-$D117)&gt;($C117-$C116),($D116-$D117)&gt;0),$D116-$D117,0))</f>
        <v>0</v>
      </c>
      <c r="AG117">
        <f>IF(COUNT($E$2:$E117)&lt;15,"",IF(SUM($AC$104:$AC$117)=0,0,100*SUM($AE$104:$AE$117)/SUM($AC$104:$AC$117)))</f>
        <v>0</v>
      </c>
      <c r="AH117">
        <f>IF(COUNT($E$2:$E117)&lt;15,"",IF(SUM($AC$104:$AC$117)=0,0,100*SUM($AF$104:$AF$117)/SUM($AC$104:$AC$117)))</f>
        <v>0</v>
      </c>
      <c r="AI117">
        <f>IF(OR(AG117="",AH117=""),"",IF((AG117+AH117)=0,0,100*ABS(AG117-AH117)/(AG117+AH117)))</f>
        <v>0</v>
      </c>
      <c r="AJ117">
        <f>IF(COUNT($AI$104:$AI$117)&lt;14,"",AVERAGE($AI$104:$AI$117))</f>
        <v>0</v>
      </c>
      <c r="AK117">
        <f>IF(COUNT($E$2:$E117)&lt;20,"",AVERAGE($E$98:$E$117))</f>
        <v>0</v>
      </c>
      <c r="AL117">
        <f>IF(COUNT($E$2:$E117)&lt;20,"",STDEVP($E$98:$E$117))</f>
        <v>0</v>
      </c>
      <c r="AM117">
        <f>IF(AK117="","",AK117+2*AL117)</f>
        <v>0</v>
      </c>
      <c r="AN117">
        <f>IF(AK117="","",AK117-2*AL117)</f>
        <v>0</v>
      </c>
      <c r="AO117">
        <f>IF(OR(AM117="",AN117="",AM117=AN117),"",($E117-AN117)/(AM117-AN117))</f>
        <v>0</v>
      </c>
      <c r="AP117">
        <f>IF(OR(AM117="",AK117="",AK117=0),"",(AM117-AN117)/AK117)</f>
        <v>0</v>
      </c>
      <c r="AQ117">
        <f>IF(COUNT($E$2:$E117)&lt;20,"",MAX($C$98:$C$117))</f>
        <v>0</v>
      </c>
      <c r="AR117">
        <f>IF(COUNT($E$2:$E117)&lt;20,"",MIN($D$98:$D$117))</f>
        <v>0</v>
      </c>
      <c r="AS117">
        <f>IF(OR(AQ117="",AR117=""),"",(AQ117+AR117)/2)</f>
        <v>0</v>
      </c>
      <c r="AT117">
        <f>IF(COUNT($G$98:$G$117)&lt;20,"",STDEV($G$98:$G$117)*SQRT(252))</f>
        <v>0</v>
      </c>
      <c r="AU117">
        <f>IF(COUNT($E$2:$E117)&lt;9,"",(MAX($C$109:$C$117)+MIN($D$109:$D$117))/2)</f>
        <v>0</v>
      </c>
      <c r="AV117">
        <f>IF(COUNT($E$2:$E117)&lt;26,"",(MAX($C$92:$C$117)+MIN($D$92:$D$117))/2)</f>
        <v>0</v>
      </c>
      <c r="AW117">
        <f>IF(OR(AU117="",AV117=""),"",(AU117+AV117)/2)</f>
        <v>0</v>
      </c>
      <c r="AX117">
        <f>IF(COUNT($E$2:$E117)&lt;52,"",(MAX($C$66:$C$117)+MIN($D$66:$D$117))/2)</f>
        <v>0</v>
      </c>
      <c r="AY117">
        <f>IF(COUNT($E$2:$E117)&lt;20,"",MAX($C$18:$C$117))</f>
        <v>0</v>
      </c>
      <c r="AZ117">
        <f>IF(COUNT($E$2:$E117)&lt;20,"",MIN($D$18:$D$117))</f>
        <v>0</v>
      </c>
      <c r="BA117">
        <f>IF(COUNT($E$2:$E117)&lt;20,"",SLOPE($E$18:$E$117,$F$18:$F$117))</f>
        <v>0</v>
      </c>
      <c r="BB117">
        <f>IF(COUNT($E$2:$E117)&lt;20,"",INTERCEPT($E$18:$E$117,$F$18:$F$117))</f>
        <v>0</v>
      </c>
      <c r="BC117">
        <f>IF(OR(BA117="",BB117=""),"",BB117+BA117*F117)</f>
        <v>0</v>
      </c>
      <c r="BD117">
        <f>IF(COUNT($E$2:$E117)&lt;20,"",STEYX($E$18:$E$117,$F$18:$F$117))</f>
        <v>0</v>
      </c>
      <c r="BE117">
        <f>IF($E117="","",IF(AND(COUNT($E$118:$E$121)&gt;=4,$C117=MAX($C$113:$C$121)),$C117,""))</f>
        <v>0</v>
      </c>
      <c r="BF117">
        <f>IF($E117="","",IF(AND(COUNT($E$118:$E$121)&gt;=4,$D117=MIN($D$113:$D$121)),$D117,""))</f>
        <v>0</v>
      </c>
      <c r="BG117">
        <f>IF($A117="","",$A117-WEEKDAY($A117,2)+1)</f>
        <v>0</v>
      </c>
      <c r="BH117">
        <f>IF($A117="","",IF($A116="",1,IF(BG117&lt;&gt;BG116,1,0)))</f>
        <v>0</v>
      </c>
      <c r="BI117">
        <f>IF($A117="","",IF($A118="",1,IF(BG118&lt;&gt;BG117,1,0)))</f>
        <v>0</v>
      </c>
      <c r="BJ117">
        <f>IF($A117="","",IF(BH117=1,$B117,BJ116))</f>
        <v>0</v>
      </c>
      <c r="BK117">
        <f>IF($A117="","",IF(BH117=1,$C117,MAX($C117,BK116)))</f>
        <v>0</v>
      </c>
      <c r="BL117">
        <f>IF($A117="","",IF(BH117=1,$D117,MIN($D117,BL116)))</f>
        <v>0</v>
      </c>
      <c r="BM117">
        <f>IF($A117="","",IF(BI117=1,F117,""))</f>
        <v>0</v>
      </c>
      <c r="BN117">
        <f>IF($A117="","",DATE(YEAR($A117),MONTH($A117),1))</f>
        <v>0</v>
      </c>
      <c r="BO117">
        <f>IF($A117="","",IF($A116="",1,IF(BN117&lt;&gt;BN116,1,0)))</f>
        <v>0</v>
      </c>
      <c r="BP117">
        <f>IF($A117="","",IF($A118="",1,IF(BN118&lt;&gt;BN117,1,0)))</f>
        <v>0</v>
      </c>
      <c r="BQ117">
        <f>IF($A117="","",IF(BO117=1,$B117,BQ116))</f>
        <v>0</v>
      </c>
      <c r="BR117">
        <f>IF($A117="","",IF(BO117=1,$C117,MAX($C117,BR116)))</f>
        <v>0</v>
      </c>
      <c r="BS117">
        <f>IF($A117="","",IF(BO117=1,$D117,MIN($D117,BS116)))</f>
        <v>0</v>
      </c>
      <c r="BT117">
        <f>IF($A117="","",IF(BP117=1,F117,""))</f>
        <v>0</v>
      </c>
    </row>
    <row r="118" spans="1:72">
      <c r="A118" s="27">
        <f>IF(Data!$A118="","",Data!$A118)</f>
        <v>0</v>
      </c>
      <c r="B118">
        <f>IF(Data!$B118="","",Data!$B118)</f>
        <v>0</v>
      </c>
      <c r="C118">
        <f>IF(Data!$C118="","",Data!$C118)</f>
        <v>0</v>
      </c>
      <c r="D118">
        <f>IF(Data!$D118="","",Data!$D118)</f>
        <v>0</v>
      </c>
      <c r="E118">
        <f>IF(Data!$E118="","",Data!$E118)</f>
        <v>0</v>
      </c>
      <c r="F118">
        <f>IF($E118="","",N(F117)+1)</f>
        <v>0</v>
      </c>
      <c r="G118">
        <f>IF(OR($E118="",$E117=""),"",LN($E118/$E117))</f>
        <v>0</v>
      </c>
      <c r="H118">
        <f>IF($E118="","",IF($E117="",$E118,$E118*0.0952380952+H117*0.9047619048))</f>
        <v>0</v>
      </c>
      <c r="I118">
        <f>IF($E118="","",IF($E117="",$E118,$E118*0.0392156863+I117*0.9607843137))</f>
        <v>0</v>
      </c>
      <c r="J118">
        <f>IF($E118="","",IF($E117="",$E118,$E118*0.0198019802+J117*0.9801980198))</f>
        <v>0</v>
      </c>
      <c r="K118">
        <f>IF($E118="","",IF($E117="",$E118,$E118*0.0099502488+K117*0.9900497512))</f>
        <v>0</v>
      </c>
      <c r="L118">
        <f>IF(OR($E118="",$E117=""),"",MAX($E118-$E117,0))</f>
        <v>0</v>
      </c>
      <c r="M118">
        <f>IF(OR($E118="",$E117=""),"",MAX($E117-$E118,0))</f>
        <v>0</v>
      </c>
      <c r="N118">
        <f>IF(COUNT($E$2:$E118)&lt;15,"",IF(AVERAGE($M$105:$M$118)=0,100,100-100/(1+AVERAGE($L$105:$L$118)/AVERAGE($M$105:$M$118))))</f>
        <v>0</v>
      </c>
      <c r="O118">
        <f>IF($E118="","",IF($E117="",$E118,$E118*0.1538461538+O117*0.8461538462))</f>
        <v>0</v>
      </c>
      <c r="P118">
        <f>IF($E118="","",IF($E117="",$E118,$E118*0.0740740741+P117*0.9259259259))</f>
        <v>0</v>
      </c>
      <c r="Q118">
        <f>IF(OR(O118="",P118=""),"",O118-P118)</f>
        <v>0</v>
      </c>
      <c r="R118">
        <f>IF(Q118="","",IF(R117="",Q118,Q118*0.2000000000+R117*0.8000000000))</f>
        <v>0</v>
      </c>
      <c r="S118">
        <f>IF(OR(Q118="",R118=""),"",Q118-R118)</f>
        <v>0</v>
      </c>
      <c r="T118">
        <f>IF(COUNT($E$2:$E118)&lt;14,"",MAX($C$105:$C$118))</f>
        <v>0</v>
      </c>
      <c r="U118">
        <f>IF(COUNT($E$2:$E118)&lt;14,"",MIN($D$105:$D$118))</f>
        <v>0</v>
      </c>
      <c r="V118">
        <f>IF(OR(T118="",U118="",T118=U118),"",100*($E118-U118)/(T118-U118))</f>
        <v>0</v>
      </c>
      <c r="W118">
        <f>IF(COUNT($V$116:$V$118)&lt;3,"",AVERAGE($V$116:$V$118))</f>
        <v>0</v>
      </c>
      <c r="X118">
        <f>IF(COUNT($N$105:$N$118)&lt;14,"",MIN($N$105:$N$118))</f>
        <v>0</v>
      </c>
      <c r="Y118">
        <f>IF(COUNT($N$105:$N$118)&lt;14,"",MAX($N$105:$N$118))</f>
        <v>0</v>
      </c>
      <c r="Z118">
        <f>IF(OR(N118="",X118="",Y118="",Y118=X118),"",100*(N118-X118)/(Y118-X118))</f>
        <v>0</v>
      </c>
      <c r="AA118">
        <f>IF(COUNT($Z$116:$Z$118)&lt;3,"",AVERAGE($Z$116:$Z$118))</f>
        <v>0</v>
      </c>
      <c r="AB118">
        <f>IF(COUNT($AA$116:$AA$118)&lt;3,"",AVERAGE($AA$116:$AA$118))</f>
        <v>0</v>
      </c>
      <c r="AC118">
        <f>IF($E118="","",MAX($C118-$D118,ABS($C118-$E117),ABS($D118-$E117)))</f>
        <v>0</v>
      </c>
      <c r="AD118">
        <f>IF(COUNT($E$2:$E118)&lt;15,"",AVERAGE($AC$105:$AC$118))</f>
        <v>0</v>
      </c>
      <c r="AE118">
        <f>IF(OR($E118="",$E117=""),"",IF(AND(($C118-$C117)&gt;($D117-$D118),($C118-$C117)&gt;0),$C118-$C117,0))</f>
        <v>0</v>
      </c>
      <c r="AF118">
        <f>IF(OR($E118="",$E117=""),"",IF(AND(($D117-$D118)&gt;($C118-$C117),($D117-$D118)&gt;0),$D117-$D118,0))</f>
        <v>0</v>
      </c>
      <c r="AG118">
        <f>IF(COUNT($E$2:$E118)&lt;15,"",IF(SUM($AC$105:$AC$118)=0,0,100*SUM($AE$105:$AE$118)/SUM($AC$105:$AC$118)))</f>
        <v>0</v>
      </c>
      <c r="AH118">
        <f>IF(COUNT($E$2:$E118)&lt;15,"",IF(SUM($AC$105:$AC$118)=0,0,100*SUM($AF$105:$AF$118)/SUM($AC$105:$AC$118)))</f>
        <v>0</v>
      </c>
      <c r="AI118">
        <f>IF(OR(AG118="",AH118=""),"",IF((AG118+AH118)=0,0,100*ABS(AG118-AH118)/(AG118+AH118)))</f>
        <v>0</v>
      </c>
      <c r="AJ118">
        <f>IF(COUNT($AI$105:$AI$118)&lt;14,"",AVERAGE($AI$105:$AI$118))</f>
        <v>0</v>
      </c>
      <c r="AK118">
        <f>IF(COUNT($E$2:$E118)&lt;20,"",AVERAGE($E$99:$E$118))</f>
        <v>0</v>
      </c>
      <c r="AL118">
        <f>IF(COUNT($E$2:$E118)&lt;20,"",STDEVP($E$99:$E$118))</f>
        <v>0</v>
      </c>
      <c r="AM118">
        <f>IF(AK118="","",AK118+2*AL118)</f>
        <v>0</v>
      </c>
      <c r="AN118">
        <f>IF(AK118="","",AK118-2*AL118)</f>
        <v>0</v>
      </c>
      <c r="AO118">
        <f>IF(OR(AM118="",AN118="",AM118=AN118),"",($E118-AN118)/(AM118-AN118))</f>
        <v>0</v>
      </c>
      <c r="AP118">
        <f>IF(OR(AM118="",AK118="",AK118=0),"",(AM118-AN118)/AK118)</f>
        <v>0</v>
      </c>
      <c r="AQ118">
        <f>IF(COUNT($E$2:$E118)&lt;20,"",MAX($C$99:$C$118))</f>
        <v>0</v>
      </c>
      <c r="AR118">
        <f>IF(COUNT($E$2:$E118)&lt;20,"",MIN($D$99:$D$118))</f>
        <v>0</v>
      </c>
      <c r="AS118">
        <f>IF(OR(AQ118="",AR118=""),"",(AQ118+AR118)/2)</f>
        <v>0</v>
      </c>
      <c r="AT118">
        <f>IF(COUNT($G$99:$G$118)&lt;20,"",STDEV($G$99:$G$118)*SQRT(252))</f>
        <v>0</v>
      </c>
      <c r="AU118">
        <f>IF(COUNT($E$2:$E118)&lt;9,"",(MAX($C$110:$C$118)+MIN($D$110:$D$118))/2)</f>
        <v>0</v>
      </c>
      <c r="AV118">
        <f>IF(COUNT($E$2:$E118)&lt;26,"",(MAX($C$93:$C$118)+MIN($D$93:$D$118))/2)</f>
        <v>0</v>
      </c>
      <c r="AW118">
        <f>IF(OR(AU118="",AV118=""),"",(AU118+AV118)/2)</f>
        <v>0</v>
      </c>
      <c r="AX118">
        <f>IF(COUNT($E$2:$E118)&lt;52,"",(MAX($C$67:$C$118)+MIN($D$67:$D$118))/2)</f>
        <v>0</v>
      </c>
      <c r="AY118">
        <f>IF(COUNT($E$2:$E118)&lt;20,"",MAX($C$19:$C$118))</f>
        <v>0</v>
      </c>
      <c r="AZ118">
        <f>IF(COUNT($E$2:$E118)&lt;20,"",MIN($D$19:$D$118))</f>
        <v>0</v>
      </c>
      <c r="BA118">
        <f>IF(COUNT($E$2:$E118)&lt;20,"",SLOPE($E$19:$E$118,$F$19:$F$118))</f>
        <v>0</v>
      </c>
      <c r="BB118">
        <f>IF(COUNT($E$2:$E118)&lt;20,"",INTERCEPT($E$19:$E$118,$F$19:$F$118))</f>
        <v>0</v>
      </c>
      <c r="BC118">
        <f>IF(OR(BA118="",BB118=""),"",BB118+BA118*F118)</f>
        <v>0</v>
      </c>
      <c r="BD118">
        <f>IF(COUNT($E$2:$E118)&lt;20,"",STEYX($E$19:$E$118,$F$19:$F$118))</f>
        <v>0</v>
      </c>
      <c r="BE118">
        <f>IF($E118="","",IF(AND(COUNT($E$119:$E$122)&gt;=4,$C118=MAX($C$114:$C$122)),$C118,""))</f>
        <v>0</v>
      </c>
      <c r="BF118">
        <f>IF($E118="","",IF(AND(COUNT($E$119:$E$122)&gt;=4,$D118=MIN($D$114:$D$122)),$D118,""))</f>
        <v>0</v>
      </c>
      <c r="BG118">
        <f>IF($A118="","",$A118-WEEKDAY($A118,2)+1)</f>
        <v>0</v>
      </c>
      <c r="BH118">
        <f>IF($A118="","",IF($A117="",1,IF(BG118&lt;&gt;BG117,1,0)))</f>
        <v>0</v>
      </c>
      <c r="BI118">
        <f>IF($A118="","",IF($A119="",1,IF(BG119&lt;&gt;BG118,1,0)))</f>
        <v>0</v>
      </c>
      <c r="BJ118">
        <f>IF($A118="","",IF(BH118=1,$B118,BJ117))</f>
        <v>0</v>
      </c>
      <c r="BK118">
        <f>IF($A118="","",IF(BH118=1,$C118,MAX($C118,BK117)))</f>
        <v>0</v>
      </c>
      <c r="BL118">
        <f>IF($A118="","",IF(BH118=1,$D118,MIN($D118,BL117)))</f>
        <v>0</v>
      </c>
      <c r="BM118">
        <f>IF($A118="","",IF(BI118=1,F118,""))</f>
        <v>0</v>
      </c>
      <c r="BN118">
        <f>IF($A118="","",DATE(YEAR($A118),MONTH($A118),1))</f>
        <v>0</v>
      </c>
      <c r="BO118">
        <f>IF($A118="","",IF($A117="",1,IF(BN118&lt;&gt;BN117,1,0)))</f>
        <v>0</v>
      </c>
      <c r="BP118">
        <f>IF($A118="","",IF($A119="",1,IF(BN119&lt;&gt;BN118,1,0)))</f>
        <v>0</v>
      </c>
      <c r="BQ118">
        <f>IF($A118="","",IF(BO118=1,$B118,BQ117))</f>
        <v>0</v>
      </c>
      <c r="BR118">
        <f>IF($A118="","",IF(BO118=1,$C118,MAX($C118,BR117)))</f>
        <v>0</v>
      </c>
      <c r="BS118">
        <f>IF($A118="","",IF(BO118=1,$D118,MIN($D118,BS117)))</f>
        <v>0</v>
      </c>
      <c r="BT118">
        <f>IF($A118="","",IF(BP118=1,F118,""))</f>
        <v>0</v>
      </c>
    </row>
    <row r="119" spans="1:72">
      <c r="A119" s="27">
        <f>IF(Data!$A119="","",Data!$A119)</f>
        <v>0</v>
      </c>
      <c r="B119">
        <f>IF(Data!$B119="","",Data!$B119)</f>
        <v>0</v>
      </c>
      <c r="C119">
        <f>IF(Data!$C119="","",Data!$C119)</f>
        <v>0</v>
      </c>
      <c r="D119">
        <f>IF(Data!$D119="","",Data!$D119)</f>
        <v>0</v>
      </c>
      <c r="E119">
        <f>IF(Data!$E119="","",Data!$E119)</f>
        <v>0</v>
      </c>
      <c r="F119">
        <f>IF($E119="","",N(F118)+1)</f>
        <v>0</v>
      </c>
      <c r="G119">
        <f>IF(OR($E119="",$E118=""),"",LN($E119/$E118))</f>
        <v>0</v>
      </c>
      <c r="H119">
        <f>IF($E119="","",IF($E118="",$E119,$E119*0.0952380952+H118*0.9047619048))</f>
        <v>0</v>
      </c>
      <c r="I119">
        <f>IF($E119="","",IF($E118="",$E119,$E119*0.0392156863+I118*0.9607843137))</f>
        <v>0</v>
      </c>
      <c r="J119">
        <f>IF($E119="","",IF($E118="",$E119,$E119*0.0198019802+J118*0.9801980198))</f>
        <v>0</v>
      </c>
      <c r="K119">
        <f>IF($E119="","",IF($E118="",$E119,$E119*0.0099502488+K118*0.9900497512))</f>
        <v>0</v>
      </c>
      <c r="L119">
        <f>IF(OR($E119="",$E118=""),"",MAX($E119-$E118,0))</f>
        <v>0</v>
      </c>
      <c r="M119">
        <f>IF(OR($E119="",$E118=""),"",MAX($E118-$E119,0))</f>
        <v>0</v>
      </c>
      <c r="N119">
        <f>IF(COUNT($E$2:$E119)&lt;15,"",IF(AVERAGE($M$106:$M$119)=0,100,100-100/(1+AVERAGE($L$106:$L$119)/AVERAGE($M$106:$M$119))))</f>
        <v>0</v>
      </c>
      <c r="O119">
        <f>IF($E119="","",IF($E118="",$E119,$E119*0.1538461538+O118*0.8461538462))</f>
        <v>0</v>
      </c>
      <c r="P119">
        <f>IF($E119="","",IF($E118="",$E119,$E119*0.0740740741+P118*0.9259259259))</f>
        <v>0</v>
      </c>
      <c r="Q119">
        <f>IF(OR(O119="",P119=""),"",O119-P119)</f>
        <v>0</v>
      </c>
      <c r="R119">
        <f>IF(Q119="","",IF(R118="",Q119,Q119*0.2000000000+R118*0.8000000000))</f>
        <v>0</v>
      </c>
      <c r="S119">
        <f>IF(OR(Q119="",R119=""),"",Q119-R119)</f>
        <v>0</v>
      </c>
      <c r="T119">
        <f>IF(COUNT($E$2:$E119)&lt;14,"",MAX($C$106:$C$119))</f>
        <v>0</v>
      </c>
      <c r="U119">
        <f>IF(COUNT($E$2:$E119)&lt;14,"",MIN($D$106:$D$119))</f>
        <v>0</v>
      </c>
      <c r="V119">
        <f>IF(OR(T119="",U119="",T119=U119),"",100*($E119-U119)/(T119-U119))</f>
        <v>0</v>
      </c>
      <c r="W119">
        <f>IF(COUNT($V$117:$V$119)&lt;3,"",AVERAGE($V$117:$V$119))</f>
        <v>0</v>
      </c>
      <c r="X119">
        <f>IF(COUNT($N$106:$N$119)&lt;14,"",MIN($N$106:$N$119))</f>
        <v>0</v>
      </c>
      <c r="Y119">
        <f>IF(COUNT($N$106:$N$119)&lt;14,"",MAX($N$106:$N$119))</f>
        <v>0</v>
      </c>
      <c r="Z119">
        <f>IF(OR(N119="",X119="",Y119="",Y119=X119),"",100*(N119-X119)/(Y119-X119))</f>
        <v>0</v>
      </c>
      <c r="AA119">
        <f>IF(COUNT($Z$117:$Z$119)&lt;3,"",AVERAGE($Z$117:$Z$119))</f>
        <v>0</v>
      </c>
      <c r="AB119">
        <f>IF(COUNT($AA$117:$AA$119)&lt;3,"",AVERAGE($AA$117:$AA$119))</f>
        <v>0</v>
      </c>
      <c r="AC119">
        <f>IF($E119="","",MAX($C119-$D119,ABS($C119-$E118),ABS($D119-$E118)))</f>
        <v>0</v>
      </c>
      <c r="AD119">
        <f>IF(COUNT($E$2:$E119)&lt;15,"",AVERAGE($AC$106:$AC$119))</f>
        <v>0</v>
      </c>
      <c r="AE119">
        <f>IF(OR($E119="",$E118=""),"",IF(AND(($C119-$C118)&gt;($D118-$D119),($C119-$C118)&gt;0),$C119-$C118,0))</f>
        <v>0</v>
      </c>
      <c r="AF119">
        <f>IF(OR($E119="",$E118=""),"",IF(AND(($D118-$D119)&gt;($C119-$C118),($D118-$D119)&gt;0),$D118-$D119,0))</f>
        <v>0</v>
      </c>
      <c r="AG119">
        <f>IF(COUNT($E$2:$E119)&lt;15,"",IF(SUM($AC$106:$AC$119)=0,0,100*SUM($AE$106:$AE$119)/SUM($AC$106:$AC$119)))</f>
        <v>0</v>
      </c>
      <c r="AH119">
        <f>IF(COUNT($E$2:$E119)&lt;15,"",IF(SUM($AC$106:$AC$119)=0,0,100*SUM($AF$106:$AF$119)/SUM($AC$106:$AC$119)))</f>
        <v>0</v>
      </c>
      <c r="AI119">
        <f>IF(OR(AG119="",AH119=""),"",IF((AG119+AH119)=0,0,100*ABS(AG119-AH119)/(AG119+AH119)))</f>
        <v>0</v>
      </c>
      <c r="AJ119">
        <f>IF(COUNT($AI$106:$AI$119)&lt;14,"",AVERAGE($AI$106:$AI$119))</f>
        <v>0</v>
      </c>
      <c r="AK119">
        <f>IF(COUNT($E$2:$E119)&lt;20,"",AVERAGE($E$100:$E$119))</f>
        <v>0</v>
      </c>
      <c r="AL119">
        <f>IF(COUNT($E$2:$E119)&lt;20,"",STDEVP($E$100:$E$119))</f>
        <v>0</v>
      </c>
      <c r="AM119">
        <f>IF(AK119="","",AK119+2*AL119)</f>
        <v>0</v>
      </c>
      <c r="AN119">
        <f>IF(AK119="","",AK119-2*AL119)</f>
        <v>0</v>
      </c>
      <c r="AO119">
        <f>IF(OR(AM119="",AN119="",AM119=AN119),"",($E119-AN119)/(AM119-AN119))</f>
        <v>0</v>
      </c>
      <c r="AP119">
        <f>IF(OR(AM119="",AK119="",AK119=0),"",(AM119-AN119)/AK119)</f>
        <v>0</v>
      </c>
      <c r="AQ119">
        <f>IF(COUNT($E$2:$E119)&lt;20,"",MAX($C$100:$C$119))</f>
        <v>0</v>
      </c>
      <c r="AR119">
        <f>IF(COUNT($E$2:$E119)&lt;20,"",MIN($D$100:$D$119))</f>
        <v>0</v>
      </c>
      <c r="AS119">
        <f>IF(OR(AQ119="",AR119=""),"",(AQ119+AR119)/2)</f>
        <v>0</v>
      </c>
      <c r="AT119">
        <f>IF(COUNT($G$100:$G$119)&lt;20,"",STDEV($G$100:$G$119)*SQRT(252))</f>
        <v>0</v>
      </c>
      <c r="AU119">
        <f>IF(COUNT($E$2:$E119)&lt;9,"",(MAX($C$111:$C$119)+MIN($D$111:$D$119))/2)</f>
        <v>0</v>
      </c>
      <c r="AV119">
        <f>IF(COUNT($E$2:$E119)&lt;26,"",(MAX($C$94:$C$119)+MIN($D$94:$D$119))/2)</f>
        <v>0</v>
      </c>
      <c r="AW119">
        <f>IF(OR(AU119="",AV119=""),"",(AU119+AV119)/2)</f>
        <v>0</v>
      </c>
      <c r="AX119">
        <f>IF(COUNT($E$2:$E119)&lt;52,"",(MAX($C$68:$C$119)+MIN($D$68:$D$119))/2)</f>
        <v>0</v>
      </c>
      <c r="AY119">
        <f>IF(COUNT($E$2:$E119)&lt;20,"",MAX($C$20:$C$119))</f>
        <v>0</v>
      </c>
      <c r="AZ119">
        <f>IF(COUNT($E$2:$E119)&lt;20,"",MIN($D$20:$D$119))</f>
        <v>0</v>
      </c>
      <c r="BA119">
        <f>IF(COUNT($E$2:$E119)&lt;20,"",SLOPE($E$20:$E$119,$F$20:$F$119))</f>
        <v>0</v>
      </c>
      <c r="BB119">
        <f>IF(COUNT($E$2:$E119)&lt;20,"",INTERCEPT($E$20:$E$119,$F$20:$F$119))</f>
        <v>0</v>
      </c>
      <c r="BC119">
        <f>IF(OR(BA119="",BB119=""),"",BB119+BA119*F119)</f>
        <v>0</v>
      </c>
      <c r="BD119">
        <f>IF(COUNT($E$2:$E119)&lt;20,"",STEYX($E$20:$E$119,$F$20:$F$119))</f>
        <v>0</v>
      </c>
      <c r="BE119">
        <f>IF($E119="","",IF(AND(COUNT($E$120:$E$123)&gt;=4,$C119=MAX($C$115:$C$123)),$C119,""))</f>
        <v>0</v>
      </c>
      <c r="BF119">
        <f>IF($E119="","",IF(AND(COUNT($E$120:$E$123)&gt;=4,$D119=MIN($D$115:$D$123)),$D119,""))</f>
        <v>0</v>
      </c>
      <c r="BG119">
        <f>IF($A119="","",$A119-WEEKDAY($A119,2)+1)</f>
        <v>0</v>
      </c>
      <c r="BH119">
        <f>IF($A119="","",IF($A118="",1,IF(BG119&lt;&gt;BG118,1,0)))</f>
        <v>0</v>
      </c>
      <c r="BI119">
        <f>IF($A119="","",IF($A120="",1,IF(BG120&lt;&gt;BG119,1,0)))</f>
        <v>0</v>
      </c>
      <c r="BJ119">
        <f>IF($A119="","",IF(BH119=1,$B119,BJ118))</f>
        <v>0</v>
      </c>
      <c r="BK119">
        <f>IF($A119="","",IF(BH119=1,$C119,MAX($C119,BK118)))</f>
        <v>0</v>
      </c>
      <c r="BL119">
        <f>IF($A119="","",IF(BH119=1,$D119,MIN($D119,BL118)))</f>
        <v>0</v>
      </c>
      <c r="BM119">
        <f>IF($A119="","",IF(BI119=1,F119,""))</f>
        <v>0</v>
      </c>
      <c r="BN119">
        <f>IF($A119="","",DATE(YEAR($A119),MONTH($A119),1))</f>
        <v>0</v>
      </c>
      <c r="BO119">
        <f>IF($A119="","",IF($A118="",1,IF(BN119&lt;&gt;BN118,1,0)))</f>
        <v>0</v>
      </c>
      <c r="BP119">
        <f>IF($A119="","",IF($A120="",1,IF(BN120&lt;&gt;BN119,1,0)))</f>
        <v>0</v>
      </c>
      <c r="BQ119">
        <f>IF($A119="","",IF(BO119=1,$B119,BQ118))</f>
        <v>0</v>
      </c>
      <c r="BR119">
        <f>IF($A119="","",IF(BO119=1,$C119,MAX($C119,BR118)))</f>
        <v>0</v>
      </c>
      <c r="BS119">
        <f>IF($A119="","",IF(BO119=1,$D119,MIN($D119,BS118)))</f>
        <v>0</v>
      </c>
      <c r="BT119">
        <f>IF($A119="","",IF(BP119=1,F119,""))</f>
        <v>0</v>
      </c>
    </row>
    <row r="120" spans="1:72">
      <c r="A120" s="27">
        <f>IF(Data!$A120="","",Data!$A120)</f>
        <v>0</v>
      </c>
      <c r="B120">
        <f>IF(Data!$B120="","",Data!$B120)</f>
        <v>0</v>
      </c>
      <c r="C120">
        <f>IF(Data!$C120="","",Data!$C120)</f>
        <v>0</v>
      </c>
      <c r="D120">
        <f>IF(Data!$D120="","",Data!$D120)</f>
        <v>0</v>
      </c>
      <c r="E120">
        <f>IF(Data!$E120="","",Data!$E120)</f>
        <v>0</v>
      </c>
      <c r="F120">
        <f>IF($E120="","",N(F119)+1)</f>
        <v>0</v>
      </c>
      <c r="G120">
        <f>IF(OR($E120="",$E119=""),"",LN($E120/$E119))</f>
        <v>0</v>
      </c>
      <c r="H120">
        <f>IF($E120="","",IF($E119="",$E120,$E120*0.0952380952+H119*0.9047619048))</f>
        <v>0</v>
      </c>
      <c r="I120">
        <f>IF($E120="","",IF($E119="",$E120,$E120*0.0392156863+I119*0.9607843137))</f>
        <v>0</v>
      </c>
      <c r="J120">
        <f>IF($E120="","",IF($E119="",$E120,$E120*0.0198019802+J119*0.9801980198))</f>
        <v>0</v>
      </c>
      <c r="K120">
        <f>IF($E120="","",IF($E119="",$E120,$E120*0.0099502488+K119*0.9900497512))</f>
        <v>0</v>
      </c>
      <c r="L120">
        <f>IF(OR($E120="",$E119=""),"",MAX($E120-$E119,0))</f>
        <v>0</v>
      </c>
      <c r="M120">
        <f>IF(OR($E120="",$E119=""),"",MAX($E119-$E120,0))</f>
        <v>0</v>
      </c>
      <c r="N120">
        <f>IF(COUNT($E$2:$E120)&lt;15,"",IF(AVERAGE($M$107:$M$120)=0,100,100-100/(1+AVERAGE($L$107:$L$120)/AVERAGE($M$107:$M$120))))</f>
        <v>0</v>
      </c>
      <c r="O120">
        <f>IF($E120="","",IF($E119="",$E120,$E120*0.1538461538+O119*0.8461538462))</f>
        <v>0</v>
      </c>
      <c r="P120">
        <f>IF($E120="","",IF($E119="",$E120,$E120*0.0740740741+P119*0.9259259259))</f>
        <v>0</v>
      </c>
      <c r="Q120">
        <f>IF(OR(O120="",P120=""),"",O120-P120)</f>
        <v>0</v>
      </c>
      <c r="R120">
        <f>IF(Q120="","",IF(R119="",Q120,Q120*0.2000000000+R119*0.8000000000))</f>
        <v>0</v>
      </c>
      <c r="S120">
        <f>IF(OR(Q120="",R120=""),"",Q120-R120)</f>
        <v>0</v>
      </c>
      <c r="T120">
        <f>IF(COUNT($E$2:$E120)&lt;14,"",MAX($C$107:$C$120))</f>
        <v>0</v>
      </c>
      <c r="U120">
        <f>IF(COUNT($E$2:$E120)&lt;14,"",MIN($D$107:$D$120))</f>
        <v>0</v>
      </c>
      <c r="V120">
        <f>IF(OR(T120="",U120="",T120=U120),"",100*($E120-U120)/(T120-U120))</f>
        <v>0</v>
      </c>
      <c r="W120">
        <f>IF(COUNT($V$118:$V$120)&lt;3,"",AVERAGE($V$118:$V$120))</f>
        <v>0</v>
      </c>
      <c r="X120">
        <f>IF(COUNT($N$107:$N$120)&lt;14,"",MIN($N$107:$N$120))</f>
        <v>0</v>
      </c>
      <c r="Y120">
        <f>IF(COUNT($N$107:$N$120)&lt;14,"",MAX($N$107:$N$120))</f>
        <v>0</v>
      </c>
      <c r="Z120">
        <f>IF(OR(N120="",X120="",Y120="",Y120=X120),"",100*(N120-X120)/(Y120-X120))</f>
        <v>0</v>
      </c>
      <c r="AA120">
        <f>IF(COUNT($Z$118:$Z$120)&lt;3,"",AVERAGE($Z$118:$Z$120))</f>
        <v>0</v>
      </c>
      <c r="AB120">
        <f>IF(COUNT($AA$118:$AA$120)&lt;3,"",AVERAGE($AA$118:$AA$120))</f>
        <v>0</v>
      </c>
      <c r="AC120">
        <f>IF($E120="","",MAX($C120-$D120,ABS($C120-$E119),ABS($D120-$E119)))</f>
        <v>0</v>
      </c>
      <c r="AD120">
        <f>IF(COUNT($E$2:$E120)&lt;15,"",AVERAGE($AC$107:$AC$120))</f>
        <v>0</v>
      </c>
      <c r="AE120">
        <f>IF(OR($E120="",$E119=""),"",IF(AND(($C120-$C119)&gt;($D119-$D120),($C120-$C119)&gt;0),$C120-$C119,0))</f>
        <v>0</v>
      </c>
      <c r="AF120">
        <f>IF(OR($E120="",$E119=""),"",IF(AND(($D119-$D120)&gt;($C120-$C119),($D119-$D120)&gt;0),$D119-$D120,0))</f>
        <v>0</v>
      </c>
      <c r="AG120">
        <f>IF(COUNT($E$2:$E120)&lt;15,"",IF(SUM($AC$107:$AC$120)=0,0,100*SUM($AE$107:$AE$120)/SUM($AC$107:$AC$120)))</f>
        <v>0</v>
      </c>
      <c r="AH120">
        <f>IF(COUNT($E$2:$E120)&lt;15,"",IF(SUM($AC$107:$AC$120)=0,0,100*SUM($AF$107:$AF$120)/SUM($AC$107:$AC$120)))</f>
        <v>0</v>
      </c>
      <c r="AI120">
        <f>IF(OR(AG120="",AH120=""),"",IF((AG120+AH120)=0,0,100*ABS(AG120-AH120)/(AG120+AH120)))</f>
        <v>0</v>
      </c>
      <c r="AJ120">
        <f>IF(COUNT($AI$107:$AI$120)&lt;14,"",AVERAGE($AI$107:$AI$120))</f>
        <v>0</v>
      </c>
      <c r="AK120">
        <f>IF(COUNT($E$2:$E120)&lt;20,"",AVERAGE($E$101:$E$120))</f>
        <v>0</v>
      </c>
      <c r="AL120">
        <f>IF(COUNT($E$2:$E120)&lt;20,"",STDEVP($E$101:$E$120))</f>
        <v>0</v>
      </c>
      <c r="AM120">
        <f>IF(AK120="","",AK120+2*AL120)</f>
        <v>0</v>
      </c>
      <c r="AN120">
        <f>IF(AK120="","",AK120-2*AL120)</f>
        <v>0</v>
      </c>
      <c r="AO120">
        <f>IF(OR(AM120="",AN120="",AM120=AN120),"",($E120-AN120)/(AM120-AN120))</f>
        <v>0</v>
      </c>
      <c r="AP120">
        <f>IF(OR(AM120="",AK120="",AK120=0),"",(AM120-AN120)/AK120)</f>
        <v>0</v>
      </c>
      <c r="AQ120">
        <f>IF(COUNT($E$2:$E120)&lt;20,"",MAX($C$101:$C$120))</f>
        <v>0</v>
      </c>
      <c r="AR120">
        <f>IF(COUNT($E$2:$E120)&lt;20,"",MIN($D$101:$D$120))</f>
        <v>0</v>
      </c>
      <c r="AS120">
        <f>IF(OR(AQ120="",AR120=""),"",(AQ120+AR120)/2)</f>
        <v>0</v>
      </c>
      <c r="AT120">
        <f>IF(COUNT($G$101:$G$120)&lt;20,"",STDEV($G$101:$G$120)*SQRT(252))</f>
        <v>0</v>
      </c>
      <c r="AU120">
        <f>IF(COUNT($E$2:$E120)&lt;9,"",(MAX($C$112:$C$120)+MIN($D$112:$D$120))/2)</f>
        <v>0</v>
      </c>
      <c r="AV120">
        <f>IF(COUNT($E$2:$E120)&lt;26,"",(MAX($C$95:$C$120)+MIN($D$95:$D$120))/2)</f>
        <v>0</v>
      </c>
      <c r="AW120">
        <f>IF(OR(AU120="",AV120=""),"",(AU120+AV120)/2)</f>
        <v>0</v>
      </c>
      <c r="AX120">
        <f>IF(COUNT($E$2:$E120)&lt;52,"",(MAX($C$69:$C$120)+MIN($D$69:$D$120))/2)</f>
        <v>0</v>
      </c>
      <c r="AY120">
        <f>IF(COUNT($E$2:$E120)&lt;20,"",MAX($C$21:$C$120))</f>
        <v>0</v>
      </c>
      <c r="AZ120">
        <f>IF(COUNT($E$2:$E120)&lt;20,"",MIN($D$21:$D$120))</f>
        <v>0</v>
      </c>
      <c r="BA120">
        <f>IF(COUNT($E$2:$E120)&lt;20,"",SLOPE($E$21:$E$120,$F$21:$F$120))</f>
        <v>0</v>
      </c>
      <c r="BB120">
        <f>IF(COUNT($E$2:$E120)&lt;20,"",INTERCEPT($E$21:$E$120,$F$21:$F$120))</f>
        <v>0</v>
      </c>
      <c r="BC120">
        <f>IF(OR(BA120="",BB120=""),"",BB120+BA120*F120)</f>
        <v>0</v>
      </c>
      <c r="BD120">
        <f>IF(COUNT($E$2:$E120)&lt;20,"",STEYX($E$21:$E$120,$F$21:$F$120))</f>
        <v>0</v>
      </c>
      <c r="BE120">
        <f>IF($E120="","",IF(AND(COUNT($E$121:$E$124)&gt;=4,$C120=MAX($C$116:$C$124)),$C120,""))</f>
        <v>0</v>
      </c>
      <c r="BF120">
        <f>IF($E120="","",IF(AND(COUNT($E$121:$E$124)&gt;=4,$D120=MIN($D$116:$D$124)),$D120,""))</f>
        <v>0</v>
      </c>
      <c r="BG120">
        <f>IF($A120="","",$A120-WEEKDAY($A120,2)+1)</f>
        <v>0</v>
      </c>
      <c r="BH120">
        <f>IF($A120="","",IF($A119="",1,IF(BG120&lt;&gt;BG119,1,0)))</f>
        <v>0</v>
      </c>
      <c r="BI120">
        <f>IF($A120="","",IF($A121="",1,IF(BG121&lt;&gt;BG120,1,0)))</f>
        <v>0</v>
      </c>
      <c r="BJ120">
        <f>IF($A120="","",IF(BH120=1,$B120,BJ119))</f>
        <v>0</v>
      </c>
      <c r="BK120">
        <f>IF($A120="","",IF(BH120=1,$C120,MAX($C120,BK119)))</f>
        <v>0</v>
      </c>
      <c r="BL120">
        <f>IF($A120="","",IF(BH120=1,$D120,MIN($D120,BL119)))</f>
        <v>0</v>
      </c>
      <c r="BM120">
        <f>IF($A120="","",IF(BI120=1,F120,""))</f>
        <v>0</v>
      </c>
      <c r="BN120">
        <f>IF($A120="","",DATE(YEAR($A120),MONTH($A120),1))</f>
        <v>0</v>
      </c>
      <c r="BO120">
        <f>IF($A120="","",IF($A119="",1,IF(BN120&lt;&gt;BN119,1,0)))</f>
        <v>0</v>
      </c>
      <c r="BP120">
        <f>IF($A120="","",IF($A121="",1,IF(BN121&lt;&gt;BN120,1,0)))</f>
        <v>0</v>
      </c>
      <c r="BQ120">
        <f>IF($A120="","",IF(BO120=1,$B120,BQ119))</f>
        <v>0</v>
      </c>
      <c r="BR120">
        <f>IF($A120="","",IF(BO120=1,$C120,MAX($C120,BR119)))</f>
        <v>0</v>
      </c>
      <c r="BS120">
        <f>IF($A120="","",IF(BO120=1,$D120,MIN($D120,BS119)))</f>
        <v>0</v>
      </c>
      <c r="BT120">
        <f>IF($A120="","",IF(BP120=1,F120,""))</f>
        <v>0</v>
      </c>
    </row>
    <row r="121" spans="1:72">
      <c r="A121" s="27">
        <f>IF(Data!$A121="","",Data!$A121)</f>
        <v>0</v>
      </c>
      <c r="B121">
        <f>IF(Data!$B121="","",Data!$B121)</f>
        <v>0</v>
      </c>
      <c r="C121">
        <f>IF(Data!$C121="","",Data!$C121)</f>
        <v>0</v>
      </c>
      <c r="D121">
        <f>IF(Data!$D121="","",Data!$D121)</f>
        <v>0</v>
      </c>
      <c r="E121">
        <f>IF(Data!$E121="","",Data!$E121)</f>
        <v>0</v>
      </c>
      <c r="F121">
        <f>IF($E121="","",N(F120)+1)</f>
        <v>0</v>
      </c>
      <c r="G121">
        <f>IF(OR($E121="",$E120=""),"",LN($E121/$E120))</f>
        <v>0</v>
      </c>
      <c r="H121">
        <f>IF($E121="","",IF($E120="",$E121,$E121*0.0952380952+H120*0.9047619048))</f>
        <v>0</v>
      </c>
      <c r="I121">
        <f>IF($E121="","",IF($E120="",$E121,$E121*0.0392156863+I120*0.9607843137))</f>
        <v>0</v>
      </c>
      <c r="J121">
        <f>IF($E121="","",IF($E120="",$E121,$E121*0.0198019802+J120*0.9801980198))</f>
        <v>0</v>
      </c>
      <c r="K121">
        <f>IF($E121="","",IF($E120="",$E121,$E121*0.0099502488+K120*0.9900497512))</f>
        <v>0</v>
      </c>
      <c r="L121">
        <f>IF(OR($E121="",$E120=""),"",MAX($E121-$E120,0))</f>
        <v>0</v>
      </c>
      <c r="M121">
        <f>IF(OR($E121="",$E120=""),"",MAX($E120-$E121,0))</f>
        <v>0</v>
      </c>
      <c r="N121">
        <f>IF(COUNT($E$2:$E121)&lt;15,"",IF(AVERAGE($M$108:$M$121)=0,100,100-100/(1+AVERAGE($L$108:$L$121)/AVERAGE($M$108:$M$121))))</f>
        <v>0</v>
      </c>
      <c r="O121">
        <f>IF($E121="","",IF($E120="",$E121,$E121*0.1538461538+O120*0.8461538462))</f>
        <v>0</v>
      </c>
      <c r="P121">
        <f>IF($E121="","",IF($E120="",$E121,$E121*0.0740740741+P120*0.9259259259))</f>
        <v>0</v>
      </c>
      <c r="Q121">
        <f>IF(OR(O121="",P121=""),"",O121-P121)</f>
        <v>0</v>
      </c>
      <c r="R121">
        <f>IF(Q121="","",IF(R120="",Q121,Q121*0.2000000000+R120*0.8000000000))</f>
        <v>0</v>
      </c>
      <c r="S121">
        <f>IF(OR(Q121="",R121=""),"",Q121-R121)</f>
        <v>0</v>
      </c>
      <c r="T121">
        <f>IF(COUNT($E$2:$E121)&lt;14,"",MAX($C$108:$C$121))</f>
        <v>0</v>
      </c>
      <c r="U121">
        <f>IF(COUNT($E$2:$E121)&lt;14,"",MIN($D$108:$D$121))</f>
        <v>0</v>
      </c>
      <c r="V121">
        <f>IF(OR(T121="",U121="",T121=U121),"",100*($E121-U121)/(T121-U121))</f>
        <v>0</v>
      </c>
      <c r="W121">
        <f>IF(COUNT($V$119:$V$121)&lt;3,"",AVERAGE($V$119:$V$121))</f>
        <v>0</v>
      </c>
      <c r="X121">
        <f>IF(COUNT($N$108:$N$121)&lt;14,"",MIN($N$108:$N$121))</f>
        <v>0</v>
      </c>
      <c r="Y121">
        <f>IF(COUNT($N$108:$N$121)&lt;14,"",MAX($N$108:$N$121))</f>
        <v>0</v>
      </c>
      <c r="Z121">
        <f>IF(OR(N121="",X121="",Y121="",Y121=X121),"",100*(N121-X121)/(Y121-X121))</f>
        <v>0</v>
      </c>
      <c r="AA121">
        <f>IF(COUNT($Z$119:$Z$121)&lt;3,"",AVERAGE($Z$119:$Z$121))</f>
        <v>0</v>
      </c>
      <c r="AB121">
        <f>IF(COUNT($AA$119:$AA$121)&lt;3,"",AVERAGE($AA$119:$AA$121))</f>
        <v>0</v>
      </c>
      <c r="AC121">
        <f>IF($E121="","",MAX($C121-$D121,ABS($C121-$E120),ABS($D121-$E120)))</f>
        <v>0</v>
      </c>
      <c r="AD121">
        <f>IF(COUNT($E$2:$E121)&lt;15,"",AVERAGE($AC$108:$AC$121))</f>
        <v>0</v>
      </c>
      <c r="AE121">
        <f>IF(OR($E121="",$E120=""),"",IF(AND(($C121-$C120)&gt;($D120-$D121),($C121-$C120)&gt;0),$C121-$C120,0))</f>
        <v>0</v>
      </c>
      <c r="AF121">
        <f>IF(OR($E121="",$E120=""),"",IF(AND(($D120-$D121)&gt;($C121-$C120),($D120-$D121)&gt;0),$D120-$D121,0))</f>
        <v>0</v>
      </c>
      <c r="AG121">
        <f>IF(COUNT($E$2:$E121)&lt;15,"",IF(SUM($AC$108:$AC$121)=0,0,100*SUM($AE$108:$AE$121)/SUM($AC$108:$AC$121)))</f>
        <v>0</v>
      </c>
      <c r="AH121">
        <f>IF(COUNT($E$2:$E121)&lt;15,"",IF(SUM($AC$108:$AC$121)=0,0,100*SUM($AF$108:$AF$121)/SUM($AC$108:$AC$121)))</f>
        <v>0</v>
      </c>
      <c r="AI121">
        <f>IF(OR(AG121="",AH121=""),"",IF((AG121+AH121)=0,0,100*ABS(AG121-AH121)/(AG121+AH121)))</f>
        <v>0</v>
      </c>
      <c r="AJ121">
        <f>IF(COUNT($AI$108:$AI$121)&lt;14,"",AVERAGE($AI$108:$AI$121))</f>
        <v>0</v>
      </c>
      <c r="AK121">
        <f>IF(COUNT($E$2:$E121)&lt;20,"",AVERAGE($E$102:$E$121))</f>
        <v>0</v>
      </c>
      <c r="AL121">
        <f>IF(COUNT($E$2:$E121)&lt;20,"",STDEVP($E$102:$E$121))</f>
        <v>0</v>
      </c>
      <c r="AM121">
        <f>IF(AK121="","",AK121+2*AL121)</f>
        <v>0</v>
      </c>
      <c r="AN121">
        <f>IF(AK121="","",AK121-2*AL121)</f>
        <v>0</v>
      </c>
      <c r="AO121">
        <f>IF(OR(AM121="",AN121="",AM121=AN121),"",($E121-AN121)/(AM121-AN121))</f>
        <v>0</v>
      </c>
      <c r="AP121">
        <f>IF(OR(AM121="",AK121="",AK121=0),"",(AM121-AN121)/AK121)</f>
        <v>0</v>
      </c>
      <c r="AQ121">
        <f>IF(COUNT($E$2:$E121)&lt;20,"",MAX($C$102:$C$121))</f>
        <v>0</v>
      </c>
      <c r="AR121">
        <f>IF(COUNT($E$2:$E121)&lt;20,"",MIN($D$102:$D$121))</f>
        <v>0</v>
      </c>
      <c r="AS121">
        <f>IF(OR(AQ121="",AR121=""),"",(AQ121+AR121)/2)</f>
        <v>0</v>
      </c>
      <c r="AT121">
        <f>IF(COUNT($G$102:$G$121)&lt;20,"",STDEV($G$102:$G$121)*SQRT(252))</f>
        <v>0</v>
      </c>
      <c r="AU121">
        <f>IF(COUNT($E$2:$E121)&lt;9,"",(MAX($C$113:$C$121)+MIN($D$113:$D$121))/2)</f>
        <v>0</v>
      </c>
      <c r="AV121">
        <f>IF(COUNT($E$2:$E121)&lt;26,"",(MAX($C$96:$C$121)+MIN($D$96:$D$121))/2)</f>
        <v>0</v>
      </c>
      <c r="AW121">
        <f>IF(OR(AU121="",AV121=""),"",(AU121+AV121)/2)</f>
        <v>0</v>
      </c>
      <c r="AX121">
        <f>IF(COUNT($E$2:$E121)&lt;52,"",(MAX($C$70:$C$121)+MIN($D$70:$D$121))/2)</f>
        <v>0</v>
      </c>
      <c r="AY121">
        <f>IF(COUNT($E$2:$E121)&lt;20,"",MAX($C$22:$C$121))</f>
        <v>0</v>
      </c>
      <c r="AZ121">
        <f>IF(COUNT($E$2:$E121)&lt;20,"",MIN($D$22:$D$121))</f>
        <v>0</v>
      </c>
      <c r="BA121">
        <f>IF(COUNT($E$2:$E121)&lt;20,"",SLOPE($E$22:$E$121,$F$22:$F$121))</f>
        <v>0</v>
      </c>
      <c r="BB121">
        <f>IF(COUNT($E$2:$E121)&lt;20,"",INTERCEPT($E$22:$E$121,$F$22:$F$121))</f>
        <v>0</v>
      </c>
      <c r="BC121">
        <f>IF(OR(BA121="",BB121=""),"",BB121+BA121*F121)</f>
        <v>0</v>
      </c>
      <c r="BD121">
        <f>IF(COUNT($E$2:$E121)&lt;20,"",STEYX($E$22:$E$121,$F$22:$F$121))</f>
        <v>0</v>
      </c>
      <c r="BE121">
        <f>IF($E121="","",IF(AND(COUNT($E$122:$E$125)&gt;=4,$C121=MAX($C$117:$C$125)),$C121,""))</f>
        <v>0</v>
      </c>
      <c r="BF121">
        <f>IF($E121="","",IF(AND(COUNT($E$122:$E$125)&gt;=4,$D121=MIN($D$117:$D$125)),$D121,""))</f>
        <v>0</v>
      </c>
      <c r="BG121">
        <f>IF($A121="","",$A121-WEEKDAY($A121,2)+1)</f>
        <v>0</v>
      </c>
      <c r="BH121">
        <f>IF($A121="","",IF($A120="",1,IF(BG121&lt;&gt;BG120,1,0)))</f>
        <v>0</v>
      </c>
      <c r="BI121">
        <f>IF($A121="","",IF($A122="",1,IF(BG122&lt;&gt;BG121,1,0)))</f>
        <v>0</v>
      </c>
      <c r="BJ121">
        <f>IF($A121="","",IF(BH121=1,$B121,BJ120))</f>
        <v>0</v>
      </c>
      <c r="BK121">
        <f>IF($A121="","",IF(BH121=1,$C121,MAX($C121,BK120)))</f>
        <v>0</v>
      </c>
      <c r="BL121">
        <f>IF($A121="","",IF(BH121=1,$D121,MIN($D121,BL120)))</f>
        <v>0</v>
      </c>
      <c r="BM121">
        <f>IF($A121="","",IF(BI121=1,F121,""))</f>
        <v>0</v>
      </c>
      <c r="BN121">
        <f>IF($A121="","",DATE(YEAR($A121),MONTH($A121),1))</f>
        <v>0</v>
      </c>
      <c r="BO121">
        <f>IF($A121="","",IF($A120="",1,IF(BN121&lt;&gt;BN120,1,0)))</f>
        <v>0</v>
      </c>
      <c r="BP121">
        <f>IF($A121="","",IF($A122="",1,IF(BN122&lt;&gt;BN121,1,0)))</f>
        <v>0</v>
      </c>
      <c r="BQ121">
        <f>IF($A121="","",IF(BO121=1,$B121,BQ120))</f>
        <v>0</v>
      </c>
      <c r="BR121">
        <f>IF($A121="","",IF(BO121=1,$C121,MAX($C121,BR120)))</f>
        <v>0</v>
      </c>
      <c r="BS121">
        <f>IF($A121="","",IF(BO121=1,$D121,MIN($D121,BS120)))</f>
        <v>0</v>
      </c>
      <c r="BT121">
        <f>IF($A121="","",IF(BP121=1,F121,""))</f>
        <v>0</v>
      </c>
    </row>
    <row r="122" spans="1:72">
      <c r="A122" s="27">
        <f>IF(Data!$A122="","",Data!$A122)</f>
        <v>0</v>
      </c>
      <c r="B122">
        <f>IF(Data!$B122="","",Data!$B122)</f>
        <v>0</v>
      </c>
      <c r="C122">
        <f>IF(Data!$C122="","",Data!$C122)</f>
        <v>0</v>
      </c>
      <c r="D122">
        <f>IF(Data!$D122="","",Data!$D122)</f>
        <v>0</v>
      </c>
      <c r="E122">
        <f>IF(Data!$E122="","",Data!$E122)</f>
        <v>0</v>
      </c>
      <c r="F122">
        <f>IF($E122="","",N(F121)+1)</f>
        <v>0</v>
      </c>
      <c r="G122">
        <f>IF(OR($E122="",$E121=""),"",LN($E122/$E121))</f>
        <v>0</v>
      </c>
      <c r="H122">
        <f>IF($E122="","",IF($E121="",$E122,$E122*0.0952380952+H121*0.9047619048))</f>
        <v>0</v>
      </c>
      <c r="I122">
        <f>IF($E122="","",IF($E121="",$E122,$E122*0.0392156863+I121*0.9607843137))</f>
        <v>0</v>
      </c>
      <c r="J122">
        <f>IF($E122="","",IF($E121="",$E122,$E122*0.0198019802+J121*0.9801980198))</f>
        <v>0</v>
      </c>
      <c r="K122">
        <f>IF($E122="","",IF($E121="",$E122,$E122*0.0099502488+K121*0.9900497512))</f>
        <v>0</v>
      </c>
      <c r="L122">
        <f>IF(OR($E122="",$E121=""),"",MAX($E122-$E121,0))</f>
        <v>0</v>
      </c>
      <c r="M122">
        <f>IF(OR($E122="",$E121=""),"",MAX($E121-$E122,0))</f>
        <v>0</v>
      </c>
      <c r="N122">
        <f>IF(COUNT($E$2:$E122)&lt;15,"",IF(AVERAGE($M$109:$M$122)=0,100,100-100/(1+AVERAGE($L$109:$L$122)/AVERAGE($M$109:$M$122))))</f>
        <v>0</v>
      </c>
      <c r="O122">
        <f>IF($E122="","",IF($E121="",$E122,$E122*0.1538461538+O121*0.8461538462))</f>
        <v>0</v>
      </c>
      <c r="P122">
        <f>IF($E122="","",IF($E121="",$E122,$E122*0.0740740741+P121*0.9259259259))</f>
        <v>0</v>
      </c>
      <c r="Q122">
        <f>IF(OR(O122="",P122=""),"",O122-P122)</f>
        <v>0</v>
      </c>
      <c r="R122">
        <f>IF(Q122="","",IF(R121="",Q122,Q122*0.2000000000+R121*0.8000000000))</f>
        <v>0</v>
      </c>
      <c r="S122">
        <f>IF(OR(Q122="",R122=""),"",Q122-R122)</f>
        <v>0</v>
      </c>
      <c r="T122">
        <f>IF(COUNT($E$2:$E122)&lt;14,"",MAX($C$109:$C$122))</f>
        <v>0</v>
      </c>
      <c r="U122">
        <f>IF(COUNT($E$2:$E122)&lt;14,"",MIN($D$109:$D$122))</f>
        <v>0</v>
      </c>
      <c r="V122">
        <f>IF(OR(T122="",U122="",T122=U122),"",100*($E122-U122)/(T122-U122))</f>
        <v>0</v>
      </c>
      <c r="W122">
        <f>IF(COUNT($V$120:$V$122)&lt;3,"",AVERAGE($V$120:$V$122))</f>
        <v>0</v>
      </c>
      <c r="X122">
        <f>IF(COUNT($N$109:$N$122)&lt;14,"",MIN($N$109:$N$122))</f>
        <v>0</v>
      </c>
      <c r="Y122">
        <f>IF(COUNT($N$109:$N$122)&lt;14,"",MAX($N$109:$N$122))</f>
        <v>0</v>
      </c>
      <c r="Z122">
        <f>IF(OR(N122="",X122="",Y122="",Y122=X122),"",100*(N122-X122)/(Y122-X122))</f>
        <v>0</v>
      </c>
      <c r="AA122">
        <f>IF(COUNT($Z$120:$Z$122)&lt;3,"",AVERAGE($Z$120:$Z$122))</f>
        <v>0</v>
      </c>
      <c r="AB122">
        <f>IF(COUNT($AA$120:$AA$122)&lt;3,"",AVERAGE($AA$120:$AA$122))</f>
        <v>0</v>
      </c>
      <c r="AC122">
        <f>IF($E122="","",MAX($C122-$D122,ABS($C122-$E121),ABS($D122-$E121)))</f>
        <v>0</v>
      </c>
      <c r="AD122">
        <f>IF(COUNT($E$2:$E122)&lt;15,"",AVERAGE($AC$109:$AC$122))</f>
        <v>0</v>
      </c>
      <c r="AE122">
        <f>IF(OR($E122="",$E121=""),"",IF(AND(($C122-$C121)&gt;($D121-$D122),($C122-$C121)&gt;0),$C122-$C121,0))</f>
        <v>0</v>
      </c>
      <c r="AF122">
        <f>IF(OR($E122="",$E121=""),"",IF(AND(($D121-$D122)&gt;($C122-$C121),($D121-$D122)&gt;0),$D121-$D122,0))</f>
        <v>0</v>
      </c>
      <c r="AG122">
        <f>IF(COUNT($E$2:$E122)&lt;15,"",IF(SUM($AC$109:$AC$122)=0,0,100*SUM($AE$109:$AE$122)/SUM($AC$109:$AC$122)))</f>
        <v>0</v>
      </c>
      <c r="AH122">
        <f>IF(COUNT($E$2:$E122)&lt;15,"",IF(SUM($AC$109:$AC$122)=0,0,100*SUM($AF$109:$AF$122)/SUM($AC$109:$AC$122)))</f>
        <v>0</v>
      </c>
      <c r="AI122">
        <f>IF(OR(AG122="",AH122=""),"",IF((AG122+AH122)=0,0,100*ABS(AG122-AH122)/(AG122+AH122)))</f>
        <v>0</v>
      </c>
      <c r="AJ122">
        <f>IF(COUNT($AI$109:$AI$122)&lt;14,"",AVERAGE($AI$109:$AI$122))</f>
        <v>0</v>
      </c>
      <c r="AK122">
        <f>IF(COUNT($E$2:$E122)&lt;20,"",AVERAGE($E$103:$E$122))</f>
        <v>0</v>
      </c>
      <c r="AL122">
        <f>IF(COUNT($E$2:$E122)&lt;20,"",STDEVP($E$103:$E$122))</f>
        <v>0</v>
      </c>
      <c r="AM122">
        <f>IF(AK122="","",AK122+2*AL122)</f>
        <v>0</v>
      </c>
      <c r="AN122">
        <f>IF(AK122="","",AK122-2*AL122)</f>
        <v>0</v>
      </c>
      <c r="AO122">
        <f>IF(OR(AM122="",AN122="",AM122=AN122),"",($E122-AN122)/(AM122-AN122))</f>
        <v>0</v>
      </c>
      <c r="AP122">
        <f>IF(OR(AM122="",AK122="",AK122=0),"",(AM122-AN122)/AK122)</f>
        <v>0</v>
      </c>
      <c r="AQ122">
        <f>IF(COUNT($E$2:$E122)&lt;20,"",MAX($C$103:$C$122))</f>
        <v>0</v>
      </c>
      <c r="AR122">
        <f>IF(COUNT($E$2:$E122)&lt;20,"",MIN($D$103:$D$122))</f>
        <v>0</v>
      </c>
      <c r="AS122">
        <f>IF(OR(AQ122="",AR122=""),"",(AQ122+AR122)/2)</f>
        <v>0</v>
      </c>
      <c r="AT122">
        <f>IF(COUNT($G$103:$G$122)&lt;20,"",STDEV($G$103:$G$122)*SQRT(252))</f>
        <v>0</v>
      </c>
      <c r="AU122">
        <f>IF(COUNT($E$2:$E122)&lt;9,"",(MAX($C$114:$C$122)+MIN($D$114:$D$122))/2)</f>
        <v>0</v>
      </c>
      <c r="AV122">
        <f>IF(COUNT($E$2:$E122)&lt;26,"",(MAX($C$97:$C$122)+MIN($D$97:$D$122))/2)</f>
        <v>0</v>
      </c>
      <c r="AW122">
        <f>IF(OR(AU122="",AV122=""),"",(AU122+AV122)/2)</f>
        <v>0</v>
      </c>
      <c r="AX122">
        <f>IF(COUNT($E$2:$E122)&lt;52,"",(MAX($C$71:$C$122)+MIN($D$71:$D$122))/2)</f>
        <v>0</v>
      </c>
      <c r="AY122">
        <f>IF(COUNT($E$2:$E122)&lt;20,"",MAX($C$23:$C$122))</f>
        <v>0</v>
      </c>
      <c r="AZ122">
        <f>IF(COUNT($E$2:$E122)&lt;20,"",MIN($D$23:$D$122))</f>
        <v>0</v>
      </c>
      <c r="BA122">
        <f>IF(COUNT($E$2:$E122)&lt;20,"",SLOPE($E$23:$E$122,$F$23:$F$122))</f>
        <v>0</v>
      </c>
      <c r="BB122">
        <f>IF(COUNT($E$2:$E122)&lt;20,"",INTERCEPT($E$23:$E$122,$F$23:$F$122))</f>
        <v>0</v>
      </c>
      <c r="BC122">
        <f>IF(OR(BA122="",BB122=""),"",BB122+BA122*F122)</f>
        <v>0</v>
      </c>
      <c r="BD122">
        <f>IF(COUNT($E$2:$E122)&lt;20,"",STEYX($E$23:$E$122,$F$23:$F$122))</f>
        <v>0</v>
      </c>
      <c r="BE122">
        <f>IF($E122="","",IF(AND(COUNT($E$123:$E$126)&gt;=4,$C122=MAX($C$118:$C$126)),$C122,""))</f>
        <v>0</v>
      </c>
      <c r="BF122">
        <f>IF($E122="","",IF(AND(COUNT($E$123:$E$126)&gt;=4,$D122=MIN($D$118:$D$126)),$D122,""))</f>
        <v>0</v>
      </c>
      <c r="BG122">
        <f>IF($A122="","",$A122-WEEKDAY($A122,2)+1)</f>
        <v>0</v>
      </c>
      <c r="BH122">
        <f>IF($A122="","",IF($A121="",1,IF(BG122&lt;&gt;BG121,1,0)))</f>
        <v>0</v>
      </c>
      <c r="BI122">
        <f>IF($A122="","",IF($A123="",1,IF(BG123&lt;&gt;BG122,1,0)))</f>
        <v>0</v>
      </c>
      <c r="BJ122">
        <f>IF($A122="","",IF(BH122=1,$B122,BJ121))</f>
        <v>0</v>
      </c>
      <c r="BK122">
        <f>IF($A122="","",IF(BH122=1,$C122,MAX($C122,BK121)))</f>
        <v>0</v>
      </c>
      <c r="BL122">
        <f>IF($A122="","",IF(BH122=1,$D122,MIN($D122,BL121)))</f>
        <v>0</v>
      </c>
      <c r="BM122">
        <f>IF($A122="","",IF(BI122=1,F122,""))</f>
        <v>0</v>
      </c>
      <c r="BN122">
        <f>IF($A122="","",DATE(YEAR($A122),MONTH($A122),1))</f>
        <v>0</v>
      </c>
      <c r="BO122">
        <f>IF($A122="","",IF($A121="",1,IF(BN122&lt;&gt;BN121,1,0)))</f>
        <v>0</v>
      </c>
      <c r="BP122">
        <f>IF($A122="","",IF($A123="",1,IF(BN123&lt;&gt;BN122,1,0)))</f>
        <v>0</v>
      </c>
      <c r="BQ122">
        <f>IF($A122="","",IF(BO122=1,$B122,BQ121))</f>
        <v>0</v>
      </c>
      <c r="BR122">
        <f>IF($A122="","",IF(BO122=1,$C122,MAX($C122,BR121)))</f>
        <v>0</v>
      </c>
      <c r="BS122">
        <f>IF($A122="","",IF(BO122=1,$D122,MIN($D122,BS121)))</f>
        <v>0</v>
      </c>
      <c r="BT122">
        <f>IF($A122="","",IF(BP122=1,F122,""))</f>
        <v>0</v>
      </c>
    </row>
    <row r="123" spans="1:72">
      <c r="A123" s="27">
        <f>IF(Data!$A123="","",Data!$A123)</f>
        <v>0</v>
      </c>
      <c r="B123">
        <f>IF(Data!$B123="","",Data!$B123)</f>
        <v>0</v>
      </c>
      <c r="C123">
        <f>IF(Data!$C123="","",Data!$C123)</f>
        <v>0</v>
      </c>
      <c r="D123">
        <f>IF(Data!$D123="","",Data!$D123)</f>
        <v>0</v>
      </c>
      <c r="E123">
        <f>IF(Data!$E123="","",Data!$E123)</f>
        <v>0</v>
      </c>
      <c r="F123">
        <f>IF($E123="","",N(F122)+1)</f>
        <v>0</v>
      </c>
      <c r="G123">
        <f>IF(OR($E123="",$E122=""),"",LN($E123/$E122))</f>
        <v>0</v>
      </c>
      <c r="H123">
        <f>IF($E123="","",IF($E122="",$E123,$E123*0.0952380952+H122*0.9047619048))</f>
        <v>0</v>
      </c>
      <c r="I123">
        <f>IF($E123="","",IF($E122="",$E123,$E123*0.0392156863+I122*0.9607843137))</f>
        <v>0</v>
      </c>
      <c r="J123">
        <f>IF($E123="","",IF($E122="",$E123,$E123*0.0198019802+J122*0.9801980198))</f>
        <v>0</v>
      </c>
      <c r="K123">
        <f>IF($E123="","",IF($E122="",$E123,$E123*0.0099502488+K122*0.9900497512))</f>
        <v>0</v>
      </c>
      <c r="L123">
        <f>IF(OR($E123="",$E122=""),"",MAX($E123-$E122,0))</f>
        <v>0</v>
      </c>
      <c r="M123">
        <f>IF(OR($E123="",$E122=""),"",MAX($E122-$E123,0))</f>
        <v>0</v>
      </c>
      <c r="N123">
        <f>IF(COUNT($E$2:$E123)&lt;15,"",IF(AVERAGE($M$110:$M$123)=0,100,100-100/(1+AVERAGE($L$110:$L$123)/AVERAGE($M$110:$M$123))))</f>
        <v>0</v>
      </c>
      <c r="O123">
        <f>IF($E123="","",IF($E122="",$E123,$E123*0.1538461538+O122*0.8461538462))</f>
        <v>0</v>
      </c>
      <c r="P123">
        <f>IF($E123="","",IF($E122="",$E123,$E123*0.0740740741+P122*0.9259259259))</f>
        <v>0</v>
      </c>
      <c r="Q123">
        <f>IF(OR(O123="",P123=""),"",O123-P123)</f>
        <v>0</v>
      </c>
      <c r="R123">
        <f>IF(Q123="","",IF(R122="",Q123,Q123*0.2000000000+R122*0.8000000000))</f>
        <v>0</v>
      </c>
      <c r="S123">
        <f>IF(OR(Q123="",R123=""),"",Q123-R123)</f>
        <v>0</v>
      </c>
      <c r="T123">
        <f>IF(COUNT($E$2:$E123)&lt;14,"",MAX($C$110:$C$123))</f>
        <v>0</v>
      </c>
      <c r="U123">
        <f>IF(COUNT($E$2:$E123)&lt;14,"",MIN($D$110:$D$123))</f>
        <v>0</v>
      </c>
      <c r="V123">
        <f>IF(OR(T123="",U123="",T123=U123),"",100*($E123-U123)/(T123-U123))</f>
        <v>0</v>
      </c>
      <c r="W123">
        <f>IF(COUNT($V$121:$V$123)&lt;3,"",AVERAGE($V$121:$V$123))</f>
        <v>0</v>
      </c>
      <c r="X123">
        <f>IF(COUNT($N$110:$N$123)&lt;14,"",MIN($N$110:$N$123))</f>
        <v>0</v>
      </c>
      <c r="Y123">
        <f>IF(COUNT($N$110:$N$123)&lt;14,"",MAX($N$110:$N$123))</f>
        <v>0</v>
      </c>
      <c r="Z123">
        <f>IF(OR(N123="",X123="",Y123="",Y123=X123),"",100*(N123-X123)/(Y123-X123))</f>
        <v>0</v>
      </c>
      <c r="AA123">
        <f>IF(COUNT($Z$121:$Z$123)&lt;3,"",AVERAGE($Z$121:$Z$123))</f>
        <v>0</v>
      </c>
      <c r="AB123">
        <f>IF(COUNT($AA$121:$AA$123)&lt;3,"",AVERAGE($AA$121:$AA$123))</f>
        <v>0</v>
      </c>
      <c r="AC123">
        <f>IF($E123="","",MAX($C123-$D123,ABS($C123-$E122),ABS($D123-$E122)))</f>
        <v>0</v>
      </c>
      <c r="AD123">
        <f>IF(COUNT($E$2:$E123)&lt;15,"",AVERAGE($AC$110:$AC$123))</f>
        <v>0</v>
      </c>
      <c r="AE123">
        <f>IF(OR($E123="",$E122=""),"",IF(AND(($C123-$C122)&gt;($D122-$D123),($C123-$C122)&gt;0),$C123-$C122,0))</f>
        <v>0</v>
      </c>
      <c r="AF123">
        <f>IF(OR($E123="",$E122=""),"",IF(AND(($D122-$D123)&gt;($C123-$C122),($D122-$D123)&gt;0),$D122-$D123,0))</f>
        <v>0</v>
      </c>
      <c r="AG123">
        <f>IF(COUNT($E$2:$E123)&lt;15,"",IF(SUM($AC$110:$AC$123)=0,0,100*SUM($AE$110:$AE$123)/SUM($AC$110:$AC$123)))</f>
        <v>0</v>
      </c>
      <c r="AH123">
        <f>IF(COUNT($E$2:$E123)&lt;15,"",IF(SUM($AC$110:$AC$123)=0,0,100*SUM($AF$110:$AF$123)/SUM($AC$110:$AC$123)))</f>
        <v>0</v>
      </c>
      <c r="AI123">
        <f>IF(OR(AG123="",AH123=""),"",IF((AG123+AH123)=0,0,100*ABS(AG123-AH123)/(AG123+AH123)))</f>
        <v>0</v>
      </c>
      <c r="AJ123">
        <f>IF(COUNT($AI$110:$AI$123)&lt;14,"",AVERAGE($AI$110:$AI$123))</f>
        <v>0</v>
      </c>
      <c r="AK123">
        <f>IF(COUNT($E$2:$E123)&lt;20,"",AVERAGE($E$104:$E$123))</f>
        <v>0</v>
      </c>
      <c r="AL123">
        <f>IF(COUNT($E$2:$E123)&lt;20,"",STDEVP($E$104:$E$123))</f>
        <v>0</v>
      </c>
      <c r="AM123">
        <f>IF(AK123="","",AK123+2*AL123)</f>
        <v>0</v>
      </c>
      <c r="AN123">
        <f>IF(AK123="","",AK123-2*AL123)</f>
        <v>0</v>
      </c>
      <c r="AO123">
        <f>IF(OR(AM123="",AN123="",AM123=AN123),"",($E123-AN123)/(AM123-AN123))</f>
        <v>0</v>
      </c>
      <c r="AP123">
        <f>IF(OR(AM123="",AK123="",AK123=0),"",(AM123-AN123)/AK123)</f>
        <v>0</v>
      </c>
      <c r="AQ123">
        <f>IF(COUNT($E$2:$E123)&lt;20,"",MAX($C$104:$C$123))</f>
        <v>0</v>
      </c>
      <c r="AR123">
        <f>IF(COUNT($E$2:$E123)&lt;20,"",MIN($D$104:$D$123))</f>
        <v>0</v>
      </c>
      <c r="AS123">
        <f>IF(OR(AQ123="",AR123=""),"",(AQ123+AR123)/2)</f>
        <v>0</v>
      </c>
      <c r="AT123">
        <f>IF(COUNT($G$104:$G$123)&lt;20,"",STDEV($G$104:$G$123)*SQRT(252))</f>
        <v>0</v>
      </c>
      <c r="AU123">
        <f>IF(COUNT($E$2:$E123)&lt;9,"",(MAX($C$115:$C$123)+MIN($D$115:$D$123))/2)</f>
        <v>0</v>
      </c>
      <c r="AV123">
        <f>IF(COUNT($E$2:$E123)&lt;26,"",(MAX($C$98:$C$123)+MIN($D$98:$D$123))/2)</f>
        <v>0</v>
      </c>
      <c r="AW123">
        <f>IF(OR(AU123="",AV123=""),"",(AU123+AV123)/2)</f>
        <v>0</v>
      </c>
      <c r="AX123">
        <f>IF(COUNT($E$2:$E123)&lt;52,"",(MAX($C$72:$C$123)+MIN($D$72:$D$123))/2)</f>
        <v>0</v>
      </c>
      <c r="AY123">
        <f>IF(COUNT($E$2:$E123)&lt;20,"",MAX($C$24:$C$123))</f>
        <v>0</v>
      </c>
      <c r="AZ123">
        <f>IF(COUNT($E$2:$E123)&lt;20,"",MIN($D$24:$D$123))</f>
        <v>0</v>
      </c>
      <c r="BA123">
        <f>IF(COUNT($E$2:$E123)&lt;20,"",SLOPE($E$24:$E$123,$F$24:$F$123))</f>
        <v>0</v>
      </c>
      <c r="BB123">
        <f>IF(COUNT($E$2:$E123)&lt;20,"",INTERCEPT($E$24:$E$123,$F$24:$F$123))</f>
        <v>0</v>
      </c>
      <c r="BC123">
        <f>IF(OR(BA123="",BB123=""),"",BB123+BA123*F123)</f>
        <v>0</v>
      </c>
      <c r="BD123">
        <f>IF(COUNT($E$2:$E123)&lt;20,"",STEYX($E$24:$E$123,$F$24:$F$123))</f>
        <v>0</v>
      </c>
      <c r="BE123">
        <f>IF($E123="","",IF(AND(COUNT($E$124:$E$127)&gt;=4,$C123=MAX($C$119:$C$127)),$C123,""))</f>
        <v>0</v>
      </c>
      <c r="BF123">
        <f>IF($E123="","",IF(AND(COUNT($E$124:$E$127)&gt;=4,$D123=MIN($D$119:$D$127)),$D123,""))</f>
        <v>0</v>
      </c>
      <c r="BG123">
        <f>IF($A123="","",$A123-WEEKDAY($A123,2)+1)</f>
        <v>0</v>
      </c>
      <c r="BH123">
        <f>IF($A123="","",IF($A122="",1,IF(BG123&lt;&gt;BG122,1,0)))</f>
        <v>0</v>
      </c>
      <c r="BI123">
        <f>IF($A123="","",IF($A124="",1,IF(BG124&lt;&gt;BG123,1,0)))</f>
        <v>0</v>
      </c>
      <c r="BJ123">
        <f>IF($A123="","",IF(BH123=1,$B123,BJ122))</f>
        <v>0</v>
      </c>
      <c r="BK123">
        <f>IF($A123="","",IF(BH123=1,$C123,MAX($C123,BK122)))</f>
        <v>0</v>
      </c>
      <c r="BL123">
        <f>IF($A123="","",IF(BH123=1,$D123,MIN($D123,BL122)))</f>
        <v>0</v>
      </c>
      <c r="BM123">
        <f>IF($A123="","",IF(BI123=1,F123,""))</f>
        <v>0</v>
      </c>
      <c r="BN123">
        <f>IF($A123="","",DATE(YEAR($A123),MONTH($A123),1))</f>
        <v>0</v>
      </c>
      <c r="BO123">
        <f>IF($A123="","",IF($A122="",1,IF(BN123&lt;&gt;BN122,1,0)))</f>
        <v>0</v>
      </c>
      <c r="BP123">
        <f>IF($A123="","",IF($A124="",1,IF(BN124&lt;&gt;BN123,1,0)))</f>
        <v>0</v>
      </c>
      <c r="BQ123">
        <f>IF($A123="","",IF(BO123=1,$B123,BQ122))</f>
        <v>0</v>
      </c>
      <c r="BR123">
        <f>IF($A123="","",IF(BO123=1,$C123,MAX($C123,BR122)))</f>
        <v>0</v>
      </c>
      <c r="BS123">
        <f>IF($A123="","",IF(BO123=1,$D123,MIN($D123,BS122)))</f>
        <v>0</v>
      </c>
      <c r="BT123">
        <f>IF($A123="","",IF(BP123=1,F123,""))</f>
        <v>0</v>
      </c>
    </row>
    <row r="124" spans="1:72">
      <c r="A124" s="27">
        <f>IF(Data!$A124="","",Data!$A124)</f>
        <v>0</v>
      </c>
      <c r="B124">
        <f>IF(Data!$B124="","",Data!$B124)</f>
        <v>0</v>
      </c>
      <c r="C124">
        <f>IF(Data!$C124="","",Data!$C124)</f>
        <v>0</v>
      </c>
      <c r="D124">
        <f>IF(Data!$D124="","",Data!$D124)</f>
        <v>0</v>
      </c>
      <c r="E124">
        <f>IF(Data!$E124="","",Data!$E124)</f>
        <v>0</v>
      </c>
      <c r="F124">
        <f>IF($E124="","",N(F123)+1)</f>
        <v>0</v>
      </c>
      <c r="G124">
        <f>IF(OR($E124="",$E123=""),"",LN($E124/$E123))</f>
        <v>0</v>
      </c>
      <c r="H124">
        <f>IF($E124="","",IF($E123="",$E124,$E124*0.0952380952+H123*0.9047619048))</f>
        <v>0</v>
      </c>
      <c r="I124">
        <f>IF($E124="","",IF($E123="",$E124,$E124*0.0392156863+I123*0.9607843137))</f>
        <v>0</v>
      </c>
      <c r="J124">
        <f>IF($E124="","",IF($E123="",$E124,$E124*0.0198019802+J123*0.9801980198))</f>
        <v>0</v>
      </c>
      <c r="K124">
        <f>IF($E124="","",IF($E123="",$E124,$E124*0.0099502488+K123*0.9900497512))</f>
        <v>0</v>
      </c>
      <c r="L124">
        <f>IF(OR($E124="",$E123=""),"",MAX($E124-$E123,0))</f>
        <v>0</v>
      </c>
      <c r="M124">
        <f>IF(OR($E124="",$E123=""),"",MAX($E123-$E124,0))</f>
        <v>0</v>
      </c>
      <c r="N124">
        <f>IF(COUNT($E$2:$E124)&lt;15,"",IF(AVERAGE($M$111:$M$124)=0,100,100-100/(1+AVERAGE($L$111:$L$124)/AVERAGE($M$111:$M$124))))</f>
        <v>0</v>
      </c>
      <c r="O124">
        <f>IF($E124="","",IF($E123="",$E124,$E124*0.1538461538+O123*0.8461538462))</f>
        <v>0</v>
      </c>
      <c r="P124">
        <f>IF($E124="","",IF($E123="",$E124,$E124*0.0740740741+P123*0.9259259259))</f>
        <v>0</v>
      </c>
      <c r="Q124">
        <f>IF(OR(O124="",P124=""),"",O124-P124)</f>
        <v>0</v>
      </c>
      <c r="R124">
        <f>IF(Q124="","",IF(R123="",Q124,Q124*0.2000000000+R123*0.8000000000))</f>
        <v>0</v>
      </c>
      <c r="S124">
        <f>IF(OR(Q124="",R124=""),"",Q124-R124)</f>
        <v>0</v>
      </c>
      <c r="T124">
        <f>IF(COUNT($E$2:$E124)&lt;14,"",MAX($C$111:$C$124))</f>
        <v>0</v>
      </c>
      <c r="U124">
        <f>IF(COUNT($E$2:$E124)&lt;14,"",MIN($D$111:$D$124))</f>
        <v>0</v>
      </c>
      <c r="V124">
        <f>IF(OR(T124="",U124="",T124=U124),"",100*($E124-U124)/(T124-U124))</f>
        <v>0</v>
      </c>
      <c r="W124">
        <f>IF(COUNT($V$122:$V$124)&lt;3,"",AVERAGE($V$122:$V$124))</f>
        <v>0</v>
      </c>
      <c r="X124">
        <f>IF(COUNT($N$111:$N$124)&lt;14,"",MIN($N$111:$N$124))</f>
        <v>0</v>
      </c>
      <c r="Y124">
        <f>IF(COUNT($N$111:$N$124)&lt;14,"",MAX($N$111:$N$124))</f>
        <v>0</v>
      </c>
      <c r="Z124">
        <f>IF(OR(N124="",X124="",Y124="",Y124=X124),"",100*(N124-X124)/(Y124-X124))</f>
        <v>0</v>
      </c>
      <c r="AA124">
        <f>IF(COUNT($Z$122:$Z$124)&lt;3,"",AVERAGE($Z$122:$Z$124))</f>
        <v>0</v>
      </c>
      <c r="AB124">
        <f>IF(COUNT($AA$122:$AA$124)&lt;3,"",AVERAGE($AA$122:$AA$124))</f>
        <v>0</v>
      </c>
      <c r="AC124">
        <f>IF($E124="","",MAX($C124-$D124,ABS($C124-$E123),ABS($D124-$E123)))</f>
        <v>0</v>
      </c>
      <c r="AD124">
        <f>IF(COUNT($E$2:$E124)&lt;15,"",AVERAGE($AC$111:$AC$124))</f>
        <v>0</v>
      </c>
      <c r="AE124">
        <f>IF(OR($E124="",$E123=""),"",IF(AND(($C124-$C123)&gt;($D123-$D124),($C124-$C123)&gt;0),$C124-$C123,0))</f>
        <v>0</v>
      </c>
      <c r="AF124">
        <f>IF(OR($E124="",$E123=""),"",IF(AND(($D123-$D124)&gt;($C124-$C123),($D123-$D124)&gt;0),$D123-$D124,0))</f>
        <v>0</v>
      </c>
      <c r="AG124">
        <f>IF(COUNT($E$2:$E124)&lt;15,"",IF(SUM($AC$111:$AC$124)=0,0,100*SUM($AE$111:$AE$124)/SUM($AC$111:$AC$124)))</f>
        <v>0</v>
      </c>
      <c r="AH124">
        <f>IF(COUNT($E$2:$E124)&lt;15,"",IF(SUM($AC$111:$AC$124)=0,0,100*SUM($AF$111:$AF$124)/SUM($AC$111:$AC$124)))</f>
        <v>0</v>
      </c>
      <c r="AI124">
        <f>IF(OR(AG124="",AH124=""),"",IF((AG124+AH124)=0,0,100*ABS(AG124-AH124)/(AG124+AH124)))</f>
        <v>0</v>
      </c>
      <c r="AJ124">
        <f>IF(COUNT($AI$111:$AI$124)&lt;14,"",AVERAGE($AI$111:$AI$124))</f>
        <v>0</v>
      </c>
      <c r="AK124">
        <f>IF(COUNT($E$2:$E124)&lt;20,"",AVERAGE($E$105:$E$124))</f>
        <v>0</v>
      </c>
      <c r="AL124">
        <f>IF(COUNT($E$2:$E124)&lt;20,"",STDEVP($E$105:$E$124))</f>
        <v>0</v>
      </c>
      <c r="AM124">
        <f>IF(AK124="","",AK124+2*AL124)</f>
        <v>0</v>
      </c>
      <c r="AN124">
        <f>IF(AK124="","",AK124-2*AL124)</f>
        <v>0</v>
      </c>
      <c r="AO124">
        <f>IF(OR(AM124="",AN124="",AM124=AN124),"",($E124-AN124)/(AM124-AN124))</f>
        <v>0</v>
      </c>
      <c r="AP124">
        <f>IF(OR(AM124="",AK124="",AK124=0),"",(AM124-AN124)/AK124)</f>
        <v>0</v>
      </c>
      <c r="AQ124">
        <f>IF(COUNT($E$2:$E124)&lt;20,"",MAX($C$105:$C$124))</f>
        <v>0</v>
      </c>
      <c r="AR124">
        <f>IF(COUNT($E$2:$E124)&lt;20,"",MIN($D$105:$D$124))</f>
        <v>0</v>
      </c>
      <c r="AS124">
        <f>IF(OR(AQ124="",AR124=""),"",(AQ124+AR124)/2)</f>
        <v>0</v>
      </c>
      <c r="AT124">
        <f>IF(COUNT($G$105:$G$124)&lt;20,"",STDEV($G$105:$G$124)*SQRT(252))</f>
        <v>0</v>
      </c>
      <c r="AU124">
        <f>IF(COUNT($E$2:$E124)&lt;9,"",(MAX($C$116:$C$124)+MIN($D$116:$D$124))/2)</f>
        <v>0</v>
      </c>
      <c r="AV124">
        <f>IF(COUNT($E$2:$E124)&lt;26,"",(MAX($C$99:$C$124)+MIN($D$99:$D$124))/2)</f>
        <v>0</v>
      </c>
      <c r="AW124">
        <f>IF(OR(AU124="",AV124=""),"",(AU124+AV124)/2)</f>
        <v>0</v>
      </c>
      <c r="AX124">
        <f>IF(COUNT($E$2:$E124)&lt;52,"",(MAX($C$73:$C$124)+MIN($D$73:$D$124))/2)</f>
        <v>0</v>
      </c>
      <c r="AY124">
        <f>IF(COUNT($E$2:$E124)&lt;20,"",MAX($C$25:$C$124))</f>
        <v>0</v>
      </c>
      <c r="AZ124">
        <f>IF(COUNT($E$2:$E124)&lt;20,"",MIN($D$25:$D$124))</f>
        <v>0</v>
      </c>
      <c r="BA124">
        <f>IF(COUNT($E$2:$E124)&lt;20,"",SLOPE($E$25:$E$124,$F$25:$F$124))</f>
        <v>0</v>
      </c>
      <c r="BB124">
        <f>IF(COUNT($E$2:$E124)&lt;20,"",INTERCEPT($E$25:$E$124,$F$25:$F$124))</f>
        <v>0</v>
      </c>
      <c r="BC124">
        <f>IF(OR(BA124="",BB124=""),"",BB124+BA124*F124)</f>
        <v>0</v>
      </c>
      <c r="BD124">
        <f>IF(COUNT($E$2:$E124)&lt;20,"",STEYX($E$25:$E$124,$F$25:$F$124))</f>
        <v>0</v>
      </c>
      <c r="BE124">
        <f>IF($E124="","",IF(AND(COUNT($E$125:$E$128)&gt;=4,$C124=MAX($C$120:$C$128)),$C124,""))</f>
        <v>0</v>
      </c>
      <c r="BF124">
        <f>IF($E124="","",IF(AND(COUNT($E$125:$E$128)&gt;=4,$D124=MIN($D$120:$D$128)),$D124,""))</f>
        <v>0</v>
      </c>
      <c r="BG124">
        <f>IF($A124="","",$A124-WEEKDAY($A124,2)+1)</f>
        <v>0</v>
      </c>
      <c r="BH124">
        <f>IF($A124="","",IF($A123="",1,IF(BG124&lt;&gt;BG123,1,0)))</f>
        <v>0</v>
      </c>
      <c r="BI124">
        <f>IF($A124="","",IF($A125="",1,IF(BG125&lt;&gt;BG124,1,0)))</f>
        <v>0</v>
      </c>
      <c r="BJ124">
        <f>IF($A124="","",IF(BH124=1,$B124,BJ123))</f>
        <v>0</v>
      </c>
      <c r="BK124">
        <f>IF($A124="","",IF(BH124=1,$C124,MAX($C124,BK123)))</f>
        <v>0</v>
      </c>
      <c r="BL124">
        <f>IF($A124="","",IF(BH124=1,$D124,MIN($D124,BL123)))</f>
        <v>0</v>
      </c>
      <c r="BM124">
        <f>IF($A124="","",IF(BI124=1,F124,""))</f>
        <v>0</v>
      </c>
      <c r="BN124">
        <f>IF($A124="","",DATE(YEAR($A124),MONTH($A124),1))</f>
        <v>0</v>
      </c>
      <c r="BO124">
        <f>IF($A124="","",IF($A123="",1,IF(BN124&lt;&gt;BN123,1,0)))</f>
        <v>0</v>
      </c>
      <c r="BP124">
        <f>IF($A124="","",IF($A125="",1,IF(BN125&lt;&gt;BN124,1,0)))</f>
        <v>0</v>
      </c>
      <c r="BQ124">
        <f>IF($A124="","",IF(BO124=1,$B124,BQ123))</f>
        <v>0</v>
      </c>
      <c r="BR124">
        <f>IF($A124="","",IF(BO124=1,$C124,MAX($C124,BR123)))</f>
        <v>0</v>
      </c>
      <c r="BS124">
        <f>IF($A124="","",IF(BO124=1,$D124,MIN($D124,BS123)))</f>
        <v>0</v>
      </c>
      <c r="BT124">
        <f>IF($A124="","",IF(BP124=1,F124,""))</f>
        <v>0</v>
      </c>
    </row>
    <row r="125" spans="1:72">
      <c r="A125" s="27">
        <f>IF(Data!$A125="","",Data!$A125)</f>
        <v>0</v>
      </c>
      <c r="B125">
        <f>IF(Data!$B125="","",Data!$B125)</f>
        <v>0</v>
      </c>
      <c r="C125">
        <f>IF(Data!$C125="","",Data!$C125)</f>
        <v>0</v>
      </c>
      <c r="D125">
        <f>IF(Data!$D125="","",Data!$D125)</f>
        <v>0</v>
      </c>
      <c r="E125">
        <f>IF(Data!$E125="","",Data!$E125)</f>
        <v>0</v>
      </c>
      <c r="F125">
        <f>IF($E125="","",N(F124)+1)</f>
        <v>0</v>
      </c>
      <c r="G125">
        <f>IF(OR($E125="",$E124=""),"",LN($E125/$E124))</f>
        <v>0</v>
      </c>
      <c r="H125">
        <f>IF($E125="","",IF($E124="",$E125,$E125*0.0952380952+H124*0.9047619048))</f>
        <v>0</v>
      </c>
      <c r="I125">
        <f>IF($E125="","",IF($E124="",$E125,$E125*0.0392156863+I124*0.9607843137))</f>
        <v>0</v>
      </c>
      <c r="J125">
        <f>IF($E125="","",IF($E124="",$E125,$E125*0.0198019802+J124*0.9801980198))</f>
        <v>0</v>
      </c>
      <c r="K125">
        <f>IF($E125="","",IF($E124="",$E125,$E125*0.0099502488+K124*0.9900497512))</f>
        <v>0</v>
      </c>
      <c r="L125">
        <f>IF(OR($E125="",$E124=""),"",MAX($E125-$E124,0))</f>
        <v>0</v>
      </c>
      <c r="M125">
        <f>IF(OR($E125="",$E124=""),"",MAX($E124-$E125,0))</f>
        <v>0</v>
      </c>
      <c r="N125">
        <f>IF(COUNT($E$2:$E125)&lt;15,"",IF(AVERAGE($M$112:$M$125)=0,100,100-100/(1+AVERAGE($L$112:$L$125)/AVERAGE($M$112:$M$125))))</f>
        <v>0</v>
      </c>
      <c r="O125">
        <f>IF($E125="","",IF($E124="",$E125,$E125*0.1538461538+O124*0.8461538462))</f>
        <v>0</v>
      </c>
      <c r="P125">
        <f>IF($E125="","",IF($E124="",$E125,$E125*0.0740740741+P124*0.9259259259))</f>
        <v>0</v>
      </c>
      <c r="Q125">
        <f>IF(OR(O125="",P125=""),"",O125-P125)</f>
        <v>0</v>
      </c>
      <c r="R125">
        <f>IF(Q125="","",IF(R124="",Q125,Q125*0.2000000000+R124*0.8000000000))</f>
        <v>0</v>
      </c>
      <c r="S125">
        <f>IF(OR(Q125="",R125=""),"",Q125-R125)</f>
        <v>0</v>
      </c>
      <c r="T125">
        <f>IF(COUNT($E$2:$E125)&lt;14,"",MAX($C$112:$C$125))</f>
        <v>0</v>
      </c>
      <c r="U125">
        <f>IF(COUNT($E$2:$E125)&lt;14,"",MIN($D$112:$D$125))</f>
        <v>0</v>
      </c>
      <c r="V125">
        <f>IF(OR(T125="",U125="",T125=U125),"",100*($E125-U125)/(T125-U125))</f>
        <v>0</v>
      </c>
      <c r="W125">
        <f>IF(COUNT($V$123:$V$125)&lt;3,"",AVERAGE($V$123:$V$125))</f>
        <v>0</v>
      </c>
      <c r="X125">
        <f>IF(COUNT($N$112:$N$125)&lt;14,"",MIN($N$112:$N$125))</f>
        <v>0</v>
      </c>
      <c r="Y125">
        <f>IF(COUNT($N$112:$N$125)&lt;14,"",MAX($N$112:$N$125))</f>
        <v>0</v>
      </c>
      <c r="Z125">
        <f>IF(OR(N125="",X125="",Y125="",Y125=X125),"",100*(N125-X125)/(Y125-X125))</f>
        <v>0</v>
      </c>
      <c r="AA125">
        <f>IF(COUNT($Z$123:$Z$125)&lt;3,"",AVERAGE($Z$123:$Z$125))</f>
        <v>0</v>
      </c>
      <c r="AB125">
        <f>IF(COUNT($AA$123:$AA$125)&lt;3,"",AVERAGE($AA$123:$AA$125))</f>
        <v>0</v>
      </c>
      <c r="AC125">
        <f>IF($E125="","",MAX($C125-$D125,ABS($C125-$E124),ABS($D125-$E124)))</f>
        <v>0</v>
      </c>
      <c r="AD125">
        <f>IF(COUNT($E$2:$E125)&lt;15,"",AVERAGE($AC$112:$AC$125))</f>
        <v>0</v>
      </c>
      <c r="AE125">
        <f>IF(OR($E125="",$E124=""),"",IF(AND(($C125-$C124)&gt;($D124-$D125),($C125-$C124)&gt;0),$C125-$C124,0))</f>
        <v>0</v>
      </c>
      <c r="AF125">
        <f>IF(OR($E125="",$E124=""),"",IF(AND(($D124-$D125)&gt;($C125-$C124),($D124-$D125)&gt;0),$D124-$D125,0))</f>
        <v>0</v>
      </c>
      <c r="AG125">
        <f>IF(COUNT($E$2:$E125)&lt;15,"",IF(SUM($AC$112:$AC$125)=0,0,100*SUM($AE$112:$AE$125)/SUM($AC$112:$AC$125)))</f>
        <v>0</v>
      </c>
      <c r="AH125">
        <f>IF(COUNT($E$2:$E125)&lt;15,"",IF(SUM($AC$112:$AC$125)=0,0,100*SUM($AF$112:$AF$125)/SUM($AC$112:$AC$125)))</f>
        <v>0</v>
      </c>
      <c r="AI125">
        <f>IF(OR(AG125="",AH125=""),"",IF((AG125+AH125)=0,0,100*ABS(AG125-AH125)/(AG125+AH125)))</f>
        <v>0</v>
      </c>
      <c r="AJ125">
        <f>IF(COUNT($AI$112:$AI$125)&lt;14,"",AVERAGE($AI$112:$AI$125))</f>
        <v>0</v>
      </c>
      <c r="AK125">
        <f>IF(COUNT($E$2:$E125)&lt;20,"",AVERAGE($E$106:$E$125))</f>
        <v>0</v>
      </c>
      <c r="AL125">
        <f>IF(COUNT($E$2:$E125)&lt;20,"",STDEVP($E$106:$E$125))</f>
        <v>0</v>
      </c>
      <c r="AM125">
        <f>IF(AK125="","",AK125+2*AL125)</f>
        <v>0</v>
      </c>
      <c r="AN125">
        <f>IF(AK125="","",AK125-2*AL125)</f>
        <v>0</v>
      </c>
      <c r="AO125">
        <f>IF(OR(AM125="",AN125="",AM125=AN125),"",($E125-AN125)/(AM125-AN125))</f>
        <v>0</v>
      </c>
      <c r="AP125">
        <f>IF(OR(AM125="",AK125="",AK125=0),"",(AM125-AN125)/AK125)</f>
        <v>0</v>
      </c>
      <c r="AQ125">
        <f>IF(COUNT($E$2:$E125)&lt;20,"",MAX($C$106:$C$125))</f>
        <v>0</v>
      </c>
      <c r="AR125">
        <f>IF(COUNT($E$2:$E125)&lt;20,"",MIN($D$106:$D$125))</f>
        <v>0</v>
      </c>
      <c r="AS125">
        <f>IF(OR(AQ125="",AR125=""),"",(AQ125+AR125)/2)</f>
        <v>0</v>
      </c>
      <c r="AT125">
        <f>IF(COUNT($G$106:$G$125)&lt;20,"",STDEV($G$106:$G$125)*SQRT(252))</f>
        <v>0</v>
      </c>
      <c r="AU125">
        <f>IF(COUNT($E$2:$E125)&lt;9,"",(MAX($C$117:$C$125)+MIN($D$117:$D$125))/2)</f>
        <v>0</v>
      </c>
      <c r="AV125">
        <f>IF(COUNT($E$2:$E125)&lt;26,"",(MAX($C$100:$C$125)+MIN($D$100:$D$125))/2)</f>
        <v>0</v>
      </c>
      <c r="AW125">
        <f>IF(OR(AU125="",AV125=""),"",(AU125+AV125)/2)</f>
        <v>0</v>
      </c>
      <c r="AX125">
        <f>IF(COUNT($E$2:$E125)&lt;52,"",(MAX($C$74:$C$125)+MIN($D$74:$D$125))/2)</f>
        <v>0</v>
      </c>
      <c r="AY125">
        <f>IF(COUNT($E$2:$E125)&lt;20,"",MAX($C$26:$C$125))</f>
        <v>0</v>
      </c>
      <c r="AZ125">
        <f>IF(COUNT($E$2:$E125)&lt;20,"",MIN($D$26:$D$125))</f>
        <v>0</v>
      </c>
      <c r="BA125">
        <f>IF(COUNT($E$2:$E125)&lt;20,"",SLOPE($E$26:$E$125,$F$26:$F$125))</f>
        <v>0</v>
      </c>
      <c r="BB125">
        <f>IF(COUNT($E$2:$E125)&lt;20,"",INTERCEPT($E$26:$E$125,$F$26:$F$125))</f>
        <v>0</v>
      </c>
      <c r="BC125">
        <f>IF(OR(BA125="",BB125=""),"",BB125+BA125*F125)</f>
        <v>0</v>
      </c>
      <c r="BD125">
        <f>IF(COUNT($E$2:$E125)&lt;20,"",STEYX($E$26:$E$125,$F$26:$F$125))</f>
        <v>0</v>
      </c>
      <c r="BE125">
        <f>IF($E125="","",IF(AND(COUNT($E$126:$E$129)&gt;=4,$C125=MAX($C$121:$C$129)),$C125,""))</f>
        <v>0</v>
      </c>
      <c r="BF125">
        <f>IF($E125="","",IF(AND(COUNT($E$126:$E$129)&gt;=4,$D125=MIN($D$121:$D$129)),$D125,""))</f>
        <v>0</v>
      </c>
      <c r="BG125">
        <f>IF($A125="","",$A125-WEEKDAY($A125,2)+1)</f>
        <v>0</v>
      </c>
      <c r="BH125">
        <f>IF($A125="","",IF($A124="",1,IF(BG125&lt;&gt;BG124,1,0)))</f>
        <v>0</v>
      </c>
      <c r="BI125">
        <f>IF($A125="","",IF($A126="",1,IF(BG126&lt;&gt;BG125,1,0)))</f>
        <v>0</v>
      </c>
      <c r="BJ125">
        <f>IF($A125="","",IF(BH125=1,$B125,BJ124))</f>
        <v>0</v>
      </c>
      <c r="BK125">
        <f>IF($A125="","",IF(BH125=1,$C125,MAX($C125,BK124)))</f>
        <v>0</v>
      </c>
      <c r="BL125">
        <f>IF($A125="","",IF(BH125=1,$D125,MIN($D125,BL124)))</f>
        <v>0</v>
      </c>
      <c r="BM125">
        <f>IF($A125="","",IF(BI125=1,F125,""))</f>
        <v>0</v>
      </c>
      <c r="BN125">
        <f>IF($A125="","",DATE(YEAR($A125),MONTH($A125),1))</f>
        <v>0</v>
      </c>
      <c r="BO125">
        <f>IF($A125="","",IF($A124="",1,IF(BN125&lt;&gt;BN124,1,0)))</f>
        <v>0</v>
      </c>
      <c r="BP125">
        <f>IF($A125="","",IF($A126="",1,IF(BN126&lt;&gt;BN125,1,0)))</f>
        <v>0</v>
      </c>
      <c r="BQ125">
        <f>IF($A125="","",IF(BO125=1,$B125,BQ124))</f>
        <v>0</v>
      </c>
      <c r="BR125">
        <f>IF($A125="","",IF(BO125=1,$C125,MAX($C125,BR124)))</f>
        <v>0</v>
      </c>
      <c r="BS125">
        <f>IF($A125="","",IF(BO125=1,$D125,MIN($D125,BS124)))</f>
        <v>0</v>
      </c>
      <c r="BT125">
        <f>IF($A125="","",IF(BP125=1,F125,""))</f>
        <v>0</v>
      </c>
    </row>
    <row r="126" spans="1:72">
      <c r="A126" s="27">
        <f>IF(Data!$A126="","",Data!$A126)</f>
        <v>0</v>
      </c>
      <c r="B126">
        <f>IF(Data!$B126="","",Data!$B126)</f>
        <v>0</v>
      </c>
      <c r="C126">
        <f>IF(Data!$C126="","",Data!$C126)</f>
        <v>0</v>
      </c>
      <c r="D126">
        <f>IF(Data!$D126="","",Data!$D126)</f>
        <v>0</v>
      </c>
      <c r="E126">
        <f>IF(Data!$E126="","",Data!$E126)</f>
        <v>0</v>
      </c>
      <c r="F126">
        <f>IF($E126="","",N(F125)+1)</f>
        <v>0</v>
      </c>
      <c r="G126">
        <f>IF(OR($E126="",$E125=""),"",LN($E126/$E125))</f>
        <v>0</v>
      </c>
      <c r="H126">
        <f>IF($E126="","",IF($E125="",$E126,$E126*0.0952380952+H125*0.9047619048))</f>
        <v>0</v>
      </c>
      <c r="I126">
        <f>IF($E126="","",IF($E125="",$E126,$E126*0.0392156863+I125*0.9607843137))</f>
        <v>0</v>
      </c>
      <c r="J126">
        <f>IF($E126="","",IF($E125="",$E126,$E126*0.0198019802+J125*0.9801980198))</f>
        <v>0</v>
      </c>
      <c r="K126">
        <f>IF($E126="","",IF($E125="",$E126,$E126*0.0099502488+K125*0.9900497512))</f>
        <v>0</v>
      </c>
      <c r="L126">
        <f>IF(OR($E126="",$E125=""),"",MAX($E126-$E125,0))</f>
        <v>0</v>
      </c>
      <c r="M126">
        <f>IF(OR($E126="",$E125=""),"",MAX($E125-$E126,0))</f>
        <v>0</v>
      </c>
      <c r="N126">
        <f>IF(COUNT($E$2:$E126)&lt;15,"",IF(AVERAGE($M$113:$M$126)=0,100,100-100/(1+AVERAGE($L$113:$L$126)/AVERAGE($M$113:$M$126))))</f>
        <v>0</v>
      </c>
      <c r="O126">
        <f>IF($E126="","",IF($E125="",$E126,$E126*0.1538461538+O125*0.8461538462))</f>
        <v>0</v>
      </c>
      <c r="P126">
        <f>IF($E126="","",IF($E125="",$E126,$E126*0.0740740741+P125*0.9259259259))</f>
        <v>0</v>
      </c>
      <c r="Q126">
        <f>IF(OR(O126="",P126=""),"",O126-P126)</f>
        <v>0</v>
      </c>
      <c r="R126">
        <f>IF(Q126="","",IF(R125="",Q126,Q126*0.2000000000+R125*0.8000000000))</f>
        <v>0</v>
      </c>
      <c r="S126">
        <f>IF(OR(Q126="",R126=""),"",Q126-R126)</f>
        <v>0</v>
      </c>
      <c r="T126">
        <f>IF(COUNT($E$2:$E126)&lt;14,"",MAX($C$113:$C$126))</f>
        <v>0</v>
      </c>
      <c r="U126">
        <f>IF(COUNT($E$2:$E126)&lt;14,"",MIN($D$113:$D$126))</f>
        <v>0</v>
      </c>
      <c r="V126">
        <f>IF(OR(T126="",U126="",T126=U126),"",100*($E126-U126)/(T126-U126))</f>
        <v>0</v>
      </c>
      <c r="W126">
        <f>IF(COUNT($V$124:$V$126)&lt;3,"",AVERAGE($V$124:$V$126))</f>
        <v>0</v>
      </c>
      <c r="X126">
        <f>IF(COUNT($N$113:$N$126)&lt;14,"",MIN($N$113:$N$126))</f>
        <v>0</v>
      </c>
      <c r="Y126">
        <f>IF(COUNT($N$113:$N$126)&lt;14,"",MAX($N$113:$N$126))</f>
        <v>0</v>
      </c>
      <c r="Z126">
        <f>IF(OR(N126="",X126="",Y126="",Y126=X126),"",100*(N126-X126)/(Y126-X126))</f>
        <v>0</v>
      </c>
      <c r="AA126">
        <f>IF(COUNT($Z$124:$Z$126)&lt;3,"",AVERAGE($Z$124:$Z$126))</f>
        <v>0</v>
      </c>
      <c r="AB126">
        <f>IF(COUNT($AA$124:$AA$126)&lt;3,"",AVERAGE($AA$124:$AA$126))</f>
        <v>0</v>
      </c>
      <c r="AC126">
        <f>IF($E126="","",MAX($C126-$D126,ABS($C126-$E125),ABS($D126-$E125)))</f>
        <v>0</v>
      </c>
      <c r="AD126">
        <f>IF(COUNT($E$2:$E126)&lt;15,"",AVERAGE($AC$113:$AC$126))</f>
        <v>0</v>
      </c>
      <c r="AE126">
        <f>IF(OR($E126="",$E125=""),"",IF(AND(($C126-$C125)&gt;($D125-$D126),($C126-$C125)&gt;0),$C126-$C125,0))</f>
        <v>0</v>
      </c>
      <c r="AF126">
        <f>IF(OR($E126="",$E125=""),"",IF(AND(($D125-$D126)&gt;($C126-$C125),($D125-$D126)&gt;0),$D125-$D126,0))</f>
        <v>0</v>
      </c>
      <c r="AG126">
        <f>IF(COUNT($E$2:$E126)&lt;15,"",IF(SUM($AC$113:$AC$126)=0,0,100*SUM($AE$113:$AE$126)/SUM($AC$113:$AC$126)))</f>
        <v>0</v>
      </c>
      <c r="AH126">
        <f>IF(COUNT($E$2:$E126)&lt;15,"",IF(SUM($AC$113:$AC$126)=0,0,100*SUM($AF$113:$AF$126)/SUM($AC$113:$AC$126)))</f>
        <v>0</v>
      </c>
      <c r="AI126">
        <f>IF(OR(AG126="",AH126=""),"",IF((AG126+AH126)=0,0,100*ABS(AG126-AH126)/(AG126+AH126)))</f>
        <v>0</v>
      </c>
      <c r="AJ126">
        <f>IF(COUNT($AI$113:$AI$126)&lt;14,"",AVERAGE($AI$113:$AI$126))</f>
        <v>0</v>
      </c>
      <c r="AK126">
        <f>IF(COUNT($E$2:$E126)&lt;20,"",AVERAGE($E$107:$E$126))</f>
        <v>0</v>
      </c>
      <c r="AL126">
        <f>IF(COUNT($E$2:$E126)&lt;20,"",STDEVP($E$107:$E$126))</f>
        <v>0</v>
      </c>
      <c r="AM126">
        <f>IF(AK126="","",AK126+2*AL126)</f>
        <v>0</v>
      </c>
      <c r="AN126">
        <f>IF(AK126="","",AK126-2*AL126)</f>
        <v>0</v>
      </c>
      <c r="AO126">
        <f>IF(OR(AM126="",AN126="",AM126=AN126),"",($E126-AN126)/(AM126-AN126))</f>
        <v>0</v>
      </c>
      <c r="AP126">
        <f>IF(OR(AM126="",AK126="",AK126=0),"",(AM126-AN126)/AK126)</f>
        <v>0</v>
      </c>
      <c r="AQ126">
        <f>IF(COUNT($E$2:$E126)&lt;20,"",MAX($C$107:$C$126))</f>
        <v>0</v>
      </c>
      <c r="AR126">
        <f>IF(COUNT($E$2:$E126)&lt;20,"",MIN($D$107:$D$126))</f>
        <v>0</v>
      </c>
      <c r="AS126">
        <f>IF(OR(AQ126="",AR126=""),"",(AQ126+AR126)/2)</f>
        <v>0</v>
      </c>
      <c r="AT126">
        <f>IF(COUNT($G$107:$G$126)&lt;20,"",STDEV($G$107:$G$126)*SQRT(252))</f>
        <v>0</v>
      </c>
      <c r="AU126">
        <f>IF(COUNT($E$2:$E126)&lt;9,"",(MAX($C$118:$C$126)+MIN($D$118:$D$126))/2)</f>
        <v>0</v>
      </c>
      <c r="AV126">
        <f>IF(COUNT($E$2:$E126)&lt;26,"",(MAX($C$101:$C$126)+MIN($D$101:$D$126))/2)</f>
        <v>0</v>
      </c>
      <c r="AW126">
        <f>IF(OR(AU126="",AV126=""),"",(AU126+AV126)/2)</f>
        <v>0</v>
      </c>
      <c r="AX126">
        <f>IF(COUNT($E$2:$E126)&lt;52,"",(MAX($C$75:$C$126)+MIN($D$75:$D$126))/2)</f>
        <v>0</v>
      </c>
      <c r="AY126">
        <f>IF(COUNT($E$2:$E126)&lt;20,"",MAX($C$27:$C$126))</f>
        <v>0</v>
      </c>
      <c r="AZ126">
        <f>IF(COUNT($E$2:$E126)&lt;20,"",MIN($D$27:$D$126))</f>
        <v>0</v>
      </c>
      <c r="BA126">
        <f>IF(COUNT($E$2:$E126)&lt;20,"",SLOPE($E$27:$E$126,$F$27:$F$126))</f>
        <v>0</v>
      </c>
      <c r="BB126">
        <f>IF(COUNT($E$2:$E126)&lt;20,"",INTERCEPT($E$27:$E$126,$F$27:$F$126))</f>
        <v>0</v>
      </c>
      <c r="BC126">
        <f>IF(OR(BA126="",BB126=""),"",BB126+BA126*F126)</f>
        <v>0</v>
      </c>
      <c r="BD126">
        <f>IF(COUNT($E$2:$E126)&lt;20,"",STEYX($E$27:$E$126,$F$27:$F$126))</f>
        <v>0</v>
      </c>
      <c r="BE126">
        <f>IF($E126="","",IF(AND(COUNT($E$127:$E$130)&gt;=4,$C126=MAX($C$122:$C$130)),$C126,""))</f>
        <v>0</v>
      </c>
      <c r="BF126">
        <f>IF($E126="","",IF(AND(COUNT($E$127:$E$130)&gt;=4,$D126=MIN($D$122:$D$130)),$D126,""))</f>
        <v>0</v>
      </c>
      <c r="BG126">
        <f>IF($A126="","",$A126-WEEKDAY($A126,2)+1)</f>
        <v>0</v>
      </c>
      <c r="BH126">
        <f>IF($A126="","",IF($A125="",1,IF(BG126&lt;&gt;BG125,1,0)))</f>
        <v>0</v>
      </c>
      <c r="BI126">
        <f>IF($A126="","",IF($A127="",1,IF(BG127&lt;&gt;BG126,1,0)))</f>
        <v>0</v>
      </c>
      <c r="BJ126">
        <f>IF($A126="","",IF(BH126=1,$B126,BJ125))</f>
        <v>0</v>
      </c>
      <c r="BK126">
        <f>IF($A126="","",IF(BH126=1,$C126,MAX($C126,BK125)))</f>
        <v>0</v>
      </c>
      <c r="BL126">
        <f>IF($A126="","",IF(BH126=1,$D126,MIN($D126,BL125)))</f>
        <v>0</v>
      </c>
      <c r="BM126">
        <f>IF($A126="","",IF(BI126=1,F126,""))</f>
        <v>0</v>
      </c>
      <c r="BN126">
        <f>IF($A126="","",DATE(YEAR($A126),MONTH($A126),1))</f>
        <v>0</v>
      </c>
      <c r="BO126">
        <f>IF($A126="","",IF($A125="",1,IF(BN126&lt;&gt;BN125,1,0)))</f>
        <v>0</v>
      </c>
      <c r="BP126">
        <f>IF($A126="","",IF($A127="",1,IF(BN127&lt;&gt;BN126,1,0)))</f>
        <v>0</v>
      </c>
      <c r="BQ126">
        <f>IF($A126="","",IF(BO126=1,$B126,BQ125))</f>
        <v>0</v>
      </c>
      <c r="BR126">
        <f>IF($A126="","",IF(BO126=1,$C126,MAX($C126,BR125)))</f>
        <v>0</v>
      </c>
      <c r="BS126">
        <f>IF($A126="","",IF(BO126=1,$D126,MIN($D126,BS125)))</f>
        <v>0</v>
      </c>
      <c r="BT126">
        <f>IF($A126="","",IF(BP126=1,F126,""))</f>
        <v>0</v>
      </c>
    </row>
    <row r="127" spans="1:72">
      <c r="A127" s="27">
        <f>IF(Data!$A127="","",Data!$A127)</f>
        <v>0</v>
      </c>
      <c r="B127">
        <f>IF(Data!$B127="","",Data!$B127)</f>
        <v>0</v>
      </c>
      <c r="C127">
        <f>IF(Data!$C127="","",Data!$C127)</f>
        <v>0</v>
      </c>
      <c r="D127">
        <f>IF(Data!$D127="","",Data!$D127)</f>
        <v>0</v>
      </c>
      <c r="E127">
        <f>IF(Data!$E127="","",Data!$E127)</f>
        <v>0</v>
      </c>
      <c r="F127">
        <f>IF($E127="","",N(F126)+1)</f>
        <v>0</v>
      </c>
      <c r="G127">
        <f>IF(OR($E127="",$E126=""),"",LN($E127/$E126))</f>
        <v>0</v>
      </c>
      <c r="H127">
        <f>IF($E127="","",IF($E126="",$E127,$E127*0.0952380952+H126*0.9047619048))</f>
        <v>0</v>
      </c>
      <c r="I127">
        <f>IF($E127="","",IF($E126="",$E127,$E127*0.0392156863+I126*0.9607843137))</f>
        <v>0</v>
      </c>
      <c r="J127">
        <f>IF($E127="","",IF($E126="",$E127,$E127*0.0198019802+J126*0.9801980198))</f>
        <v>0</v>
      </c>
      <c r="K127">
        <f>IF($E127="","",IF($E126="",$E127,$E127*0.0099502488+K126*0.9900497512))</f>
        <v>0</v>
      </c>
      <c r="L127">
        <f>IF(OR($E127="",$E126=""),"",MAX($E127-$E126,0))</f>
        <v>0</v>
      </c>
      <c r="M127">
        <f>IF(OR($E127="",$E126=""),"",MAX($E126-$E127,0))</f>
        <v>0</v>
      </c>
      <c r="N127">
        <f>IF(COUNT($E$2:$E127)&lt;15,"",IF(AVERAGE($M$114:$M$127)=0,100,100-100/(1+AVERAGE($L$114:$L$127)/AVERAGE($M$114:$M$127))))</f>
        <v>0</v>
      </c>
      <c r="O127">
        <f>IF($E127="","",IF($E126="",$E127,$E127*0.1538461538+O126*0.8461538462))</f>
        <v>0</v>
      </c>
      <c r="P127">
        <f>IF($E127="","",IF($E126="",$E127,$E127*0.0740740741+P126*0.9259259259))</f>
        <v>0</v>
      </c>
      <c r="Q127">
        <f>IF(OR(O127="",P127=""),"",O127-P127)</f>
        <v>0</v>
      </c>
      <c r="R127">
        <f>IF(Q127="","",IF(R126="",Q127,Q127*0.2000000000+R126*0.8000000000))</f>
        <v>0</v>
      </c>
      <c r="S127">
        <f>IF(OR(Q127="",R127=""),"",Q127-R127)</f>
        <v>0</v>
      </c>
      <c r="T127">
        <f>IF(COUNT($E$2:$E127)&lt;14,"",MAX($C$114:$C$127))</f>
        <v>0</v>
      </c>
      <c r="U127">
        <f>IF(COUNT($E$2:$E127)&lt;14,"",MIN($D$114:$D$127))</f>
        <v>0</v>
      </c>
      <c r="V127">
        <f>IF(OR(T127="",U127="",T127=U127),"",100*($E127-U127)/(T127-U127))</f>
        <v>0</v>
      </c>
      <c r="W127">
        <f>IF(COUNT($V$125:$V$127)&lt;3,"",AVERAGE($V$125:$V$127))</f>
        <v>0</v>
      </c>
      <c r="X127">
        <f>IF(COUNT($N$114:$N$127)&lt;14,"",MIN($N$114:$N$127))</f>
        <v>0</v>
      </c>
      <c r="Y127">
        <f>IF(COUNT($N$114:$N$127)&lt;14,"",MAX($N$114:$N$127))</f>
        <v>0</v>
      </c>
      <c r="Z127">
        <f>IF(OR(N127="",X127="",Y127="",Y127=X127),"",100*(N127-X127)/(Y127-X127))</f>
        <v>0</v>
      </c>
      <c r="AA127">
        <f>IF(COUNT($Z$125:$Z$127)&lt;3,"",AVERAGE($Z$125:$Z$127))</f>
        <v>0</v>
      </c>
      <c r="AB127">
        <f>IF(COUNT($AA$125:$AA$127)&lt;3,"",AVERAGE($AA$125:$AA$127))</f>
        <v>0</v>
      </c>
      <c r="AC127">
        <f>IF($E127="","",MAX($C127-$D127,ABS($C127-$E126),ABS($D127-$E126)))</f>
        <v>0</v>
      </c>
      <c r="AD127">
        <f>IF(COUNT($E$2:$E127)&lt;15,"",AVERAGE($AC$114:$AC$127))</f>
        <v>0</v>
      </c>
      <c r="AE127">
        <f>IF(OR($E127="",$E126=""),"",IF(AND(($C127-$C126)&gt;($D126-$D127),($C127-$C126)&gt;0),$C127-$C126,0))</f>
        <v>0</v>
      </c>
      <c r="AF127">
        <f>IF(OR($E127="",$E126=""),"",IF(AND(($D126-$D127)&gt;($C127-$C126),($D126-$D127)&gt;0),$D126-$D127,0))</f>
        <v>0</v>
      </c>
      <c r="AG127">
        <f>IF(COUNT($E$2:$E127)&lt;15,"",IF(SUM($AC$114:$AC$127)=0,0,100*SUM($AE$114:$AE$127)/SUM($AC$114:$AC$127)))</f>
        <v>0</v>
      </c>
      <c r="AH127">
        <f>IF(COUNT($E$2:$E127)&lt;15,"",IF(SUM($AC$114:$AC$127)=0,0,100*SUM($AF$114:$AF$127)/SUM($AC$114:$AC$127)))</f>
        <v>0</v>
      </c>
      <c r="AI127">
        <f>IF(OR(AG127="",AH127=""),"",IF((AG127+AH127)=0,0,100*ABS(AG127-AH127)/(AG127+AH127)))</f>
        <v>0</v>
      </c>
      <c r="AJ127">
        <f>IF(COUNT($AI$114:$AI$127)&lt;14,"",AVERAGE($AI$114:$AI$127))</f>
        <v>0</v>
      </c>
      <c r="AK127">
        <f>IF(COUNT($E$2:$E127)&lt;20,"",AVERAGE($E$108:$E$127))</f>
        <v>0</v>
      </c>
      <c r="AL127">
        <f>IF(COUNT($E$2:$E127)&lt;20,"",STDEVP($E$108:$E$127))</f>
        <v>0</v>
      </c>
      <c r="AM127">
        <f>IF(AK127="","",AK127+2*AL127)</f>
        <v>0</v>
      </c>
      <c r="AN127">
        <f>IF(AK127="","",AK127-2*AL127)</f>
        <v>0</v>
      </c>
      <c r="AO127">
        <f>IF(OR(AM127="",AN127="",AM127=AN127),"",($E127-AN127)/(AM127-AN127))</f>
        <v>0</v>
      </c>
      <c r="AP127">
        <f>IF(OR(AM127="",AK127="",AK127=0),"",(AM127-AN127)/AK127)</f>
        <v>0</v>
      </c>
      <c r="AQ127">
        <f>IF(COUNT($E$2:$E127)&lt;20,"",MAX($C$108:$C$127))</f>
        <v>0</v>
      </c>
      <c r="AR127">
        <f>IF(COUNT($E$2:$E127)&lt;20,"",MIN($D$108:$D$127))</f>
        <v>0</v>
      </c>
      <c r="AS127">
        <f>IF(OR(AQ127="",AR127=""),"",(AQ127+AR127)/2)</f>
        <v>0</v>
      </c>
      <c r="AT127">
        <f>IF(COUNT($G$108:$G$127)&lt;20,"",STDEV($G$108:$G$127)*SQRT(252))</f>
        <v>0</v>
      </c>
      <c r="AU127">
        <f>IF(COUNT($E$2:$E127)&lt;9,"",(MAX($C$119:$C$127)+MIN($D$119:$D$127))/2)</f>
        <v>0</v>
      </c>
      <c r="AV127">
        <f>IF(COUNT($E$2:$E127)&lt;26,"",(MAX($C$102:$C$127)+MIN($D$102:$D$127))/2)</f>
        <v>0</v>
      </c>
      <c r="AW127">
        <f>IF(OR(AU127="",AV127=""),"",(AU127+AV127)/2)</f>
        <v>0</v>
      </c>
      <c r="AX127">
        <f>IF(COUNT($E$2:$E127)&lt;52,"",(MAX($C$76:$C$127)+MIN($D$76:$D$127))/2)</f>
        <v>0</v>
      </c>
      <c r="AY127">
        <f>IF(COUNT($E$2:$E127)&lt;20,"",MAX($C$28:$C$127))</f>
        <v>0</v>
      </c>
      <c r="AZ127">
        <f>IF(COUNT($E$2:$E127)&lt;20,"",MIN($D$28:$D$127))</f>
        <v>0</v>
      </c>
      <c r="BA127">
        <f>IF(COUNT($E$2:$E127)&lt;20,"",SLOPE($E$28:$E$127,$F$28:$F$127))</f>
        <v>0</v>
      </c>
      <c r="BB127">
        <f>IF(COUNT($E$2:$E127)&lt;20,"",INTERCEPT($E$28:$E$127,$F$28:$F$127))</f>
        <v>0</v>
      </c>
      <c r="BC127">
        <f>IF(OR(BA127="",BB127=""),"",BB127+BA127*F127)</f>
        <v>0</v>
      </c>
      <c r="BD127">
        <f>IF(COUNT($E$2:$E127)&lt;20,"",STEYX($E$28:$E$127,$F$28:$F$127))</f>
        <v>0</v>
      </c>
      <c r="BE127">
        <f>IF($E127="","",IF(AND(COUNT($E$128:$E$131)&gt;=4,$C127=MAX($C$123:$C$131)),$C127,""))</f>
        <v>0</v>
      </c>
      <c r="BF127">
        <f>IF($E127="","",IF(AND(COUNT($E$128:$E$131)&gt;=4,$D127=MIN($D$123:$D$131)),$D127,""))</f>
        <v>0</v>
      </c>
      <c r="BG127">
        <f>IF($A127="","",$A127-WEEKDAY($A127,2)+1)</f>
        <v>0</v>
      </c>
      <c r="BH127">
        <f>IF($A127="","",IF($A126="",1,IF(BG127&lt;&gt;BG126,1,0)))</f>
        <v>0</v>
      </c>
      <c r="BI127">
        <f>IF($A127="","",IF($A128="",1,IF(BG128&lt;&gt;BG127,1,0)))</f>
        <v>0</v>
      </c>
      <c r="BJ127">
        <f>IF($A127="","",IF(BH127=1,$B127,BJ126))</f>
        <v>0</v>
      </c>
      <c r="BK127">
        <f>IF($A127="","",IF(BH127=1,$C127,MAX($C127,BK126)))</f>
        <v>0</v>
      </c>
      <c r="BL127">
        <f>IF($A127="","",IF(BH127=1,$D127,MIN($D127,BL126)))</f>
        <v>0</v>
      </c>
      <c r="BM127">
        <f>IF($A127="","",IF(BI127=1,F127,""))</f>
        <v>0</v>
      </c>
      <c r="BN127">
        <f>IF($A127="","",DATE(YEAR($A127),MONTH($A127),1))</f>
        <v>0</v>
      </c>
      <c r="BO127">
        <f>IF($A127="","",IF($A126="",1,IF(BN127&lt;&gt;BN126,1,0)))</f>
        <v>0</v>
      </c>
      <c r="BP127">
        <f>IF($A127="","",IF($A128="",1,IF(BN128&lt;&gt;BN127,1,0)))</f>
        <v>0</v>
      </c>
      <c r="BQ127">
        <f>IF($A127="","",IF(BO127=1,$B127,BQ126))</f>
        <v>0</v>
      </c>
      <c r="BR127">
        <f>IF($A127="","",IF(BO127=1,$C127,MAX($C127,BR126)))</f>
        <v>0</v>
      </c>
      <c r="BS127">
        <f>IF($A127="","",IF(BO127=1,$D127,MIN($D127,BS126)))</f>
        <v>0</v>
      </c>
      <c r="BT127">
        <f>IF($A127="","",IF(BP127=1,F127,""))</f>
        <v>0</v>
      </c>
    </row>
    <row r="128" spans="1:72">
      <c r="A128" s="27">
        <f>IF(Data!$A128="","",Data!$A128)</f>
        <v>0</v>
      </c>
      <c r="B128">
        <f>IF(Data!$B128="","",Data!$B128)</f>
        <v>0</v>
      </c>
      <c r="C128">
        <f>IF(Data!$C128="","",Data!$C128)</f>
        <v>0</v>
      </c>
      <c r="D128">
        <f>IF(Data!$D128="","",Data!$D128)</f>
        <v>0</v>
      </c>
      <c r="E128">
        <f>IF(Data!$E128="","",Data!$E128)</f>
        <v>0</v>
      </c>
      <c r="F128">
        <f>IF($E128="","",N(F127)+1)</f>
        <v>0</v>
      </c>
      <c r="G128">
        <f>IF(OR($E128="",$E127=""),"",LN($E128/$E127))</f>
        <v>0</v>
      </c>
      <c r="H128">
        <f>IF($E128="","",IF($E127="",$E128,$E128*0.0952380952+H127*0.9047619048))</f>
        <v>0</v>
      </c>
      <c r="I128">
        <f>IF($E128="","",IF($E127="",$E128,$E128*0.0392156863+I127*0.9607843137))</f>
        <v>0</v>
      </c>
      <c r="J128">
        <f>IF($E128="","",IF($E127="",$E128,$E128*0.0198019802+J127*0.9801980198))</f>
        <v>0</v>
      </c>
      <c r="K128">
        <f>IF($E128="","",IF($E127="",$E128,$E128*0.0099502488+K127*0.9900497512))</f>
        <v>0</v>
      </c>
      <c r="L128">
        <f>IF(OR($E128="",$E127=""),"",MAX($E128-$E127,0))</f>
        <v>0</v>
      </c>
      <c r="M128">
        <f>IF(OR($E128="",$E127=""),"",MAX($E127-$E128,0))</f>
        <v>0</v>
      </c>
      <c r="N128">
        <f>IF(COUNT($E$2:$E128)&lt;15,"",IF(AVERAGE($M$115:$M$128)=0,100,100-100/(1+AVERAGE($L$115:$L$128)/AVERAGE($M$115:$M$128))))</f>
        <v>0</v>
      </c>
      <c r="O128">
        <f>IF($E128="","",IF($E127="",$E128,$E128*0.1538461538+O127*0.8461538462))</f>
        <v>0</v>
      </c>
      <c r="P128">
        <f>IF($E128="","",IF($E127="",$E128,$E128*0.0740740741+P127*0.9259259259))</f>
        <v>0</v>
      </c>
      <c r="Q128">
        <f>IF(OR(O128="",P128=""),"",O128-P128)</f>
        <v>0</v>
      </c>
      <c r="R128">
        <f>IF(Q128="","",IF(R127="",Q128,Q128*0.2000000000+R127*0.8000000000))</f>
        <v>0</v>
      </c>
      <c r="S128">
        <f>IF(OR(Q128="",R128=""),"",Q128-R128)</f>
        <v>0</v>
      </c>
      <c r="T128">
        <f>IF(COUNT($E$2:$E128)&lt;14,"",MAX($C$115:$C$128))</f>
        <v>0</v>
      </c>
      <c r="U128">
        <f>IF(COUNT($E$2:$E128)&lt;14,"",MIN($D$115:$D$128))</f>
        <v>0</v>
      </c>
      <c r="V128">
        <f>IF(OR(T128="",U128="",T128=U128),"",100*($E128-U128)/(T128-U128))</f>
        <v>0</v>
      </c>
      <c r="W128">
        <f>IF(COUNT($V$126:$V$128)&lt;3,"",AVERAGE($V$126:$V$128))</f>
        <v>0</v>
      </c>
      <c r="X128">
        <f>IF(COUNT($N$115:$N$128)&lt;14,"",MIN($N$115:$N$128))</f>
        <v>0</v>
      </c>
      <c r="Y128">
        <f>IF(COUNT($N$115:$N$128)&lt;14,"",MAX($N$115:$N$128))</f>
        <v>0</v>
      </c>
      <c r="Z128">
        <f>IF(OR(N128="",X128="",Y128="",Y128=X128),"",100*(N128-X128)/(Y128-X128))</f>
        <v>0</v>
      </c>
      <c r="AA128">
        <f>IF(COUNT($Z$126:$Z$128)&lt;3,"",AVERAGE($Z$126:$Z$128))</f>
        <v>0</v>
      </c>
      <c r="AB128">
        <f>IF(COUNT($AA$126:$AA$128)&lt;3,"",AVERAGE($AA$126:$AA$128))</f>
        <v>0</v>
      </c>
      <c r="AC128">
        <f>IF($E128="","",MAX($C128-$D128,ABS($C128-$E127),ABS($D128-$E127)))</f>
        <v>0</v>
      </c>
      <c r="AD128">
        <f>IF(COUNT($E$2:$E128)&lt;15,"",AVERAGE($AC$115:$AC$128))</f>
        <v>0</v>
      </c>
      <c r="AE128">
        <f>IF(OR($E128="",$E127=""),"",IF(AND(($C128-$C127)&gt;($D127-$D128),($C128-$C127)&gt;0),$C128-$C127,0))</f>
        <v>0</v>
      </c>
      <c r="AF128">
        <f>IF(OR($E128="",$E127=""),"",IF(AND(($D127-$D128)&gt;($C128-$C127),($D127-$D128)&gt;0),$D127-$D128,0))</f>
        <v>0</v>
      </c>
      <c r="AG128">
        <f>IF(COUNT($E$2:$E128)&lt;15,"",IF(SUM($AC$115:$AC$128)=0,0,100*SUM($AE$115:$AE$128)/SUM($AC$115:$AC$128)))</f>
        <v>0</v>
      </c>
      <c r="AH128">
        <f>IF(COUNT($E$2:$E128)&lt;15,"",IF(SUM($AC$115:$AC$128)=0,0,100*SUM($AF$115:$AF$128)/SUM($AC$115:$AC$128)))</f>
        <v>0</v>
      </c>
      <c r="AI128">
        <f>IF(OR(AG128="",AH128=""),"",IF((AG128+AH128)=0,0,100*ABS(AG128-AH128)/(AG128+AH128)))</f>
        <v>0</v>
      </c>
      <c r="AJ128">
        <f>IF(COUNT($AI$115:$AI$128)&lt;14,"",AVERAGE($AI$115:$AI$128))</f>
        <v>0</v>
      </c>
      <c r="AK128">
        <f>IF(COUNT($E$2:$E128)&lt;20,"",AVERAGE($E$109:$E$128))</f>
        <v>0</v>
      </c>
      <c r="AL128">
        <f>IF(COUNT($E$2:$E128)&lt;20,"",STDEVP($E$109:$E$128))</f>
        <v>0</v>
      </c>
      <c r="AM128">
        <f>IF(AK128="","",AK128+2*AL128)</f>
        <v>0</v>
      </c>
      <c r="AN128">
        <f>IF(AK128="","",AK128-2*AL128)</f>
        <v>0</v>
      </c>
      <c r="AO128">
        <f>IF(OR(AM128="",AN128="",AM128=AN128),"",($E128-AN128)/(AM128-AN128))</f>
        <v>0</v>
      </c>
      <c r="AP128">
        <f>IF(OR(AM128="",AK128="",AK128=0),"",(AM128-AN128)/AK128)</f>
        <v>0</v>
      </c>
      <c r="AQ128">
        <f>IF(COUNT($E$2:$E128)&lt;20,"",MAX($C$109:$C$128))</f>
        <v>0</v>
      </c>
      <c r="AR128">
        <f>IF(COUNT($E$2:$E128)&lt;20,"",MIN($D$109:$D$128))</f>
        <v>0</v>
      </c>
      <c r="AS128">
        <f>IF(OR(AQ128="",AR128=""),"",(AQ128+AR128)/2)</f>
        <v>0</v>
      </c>
      <c r="AT128">
        <f>IF(COUNT($G$109:$G$128)&lt;20,"",STDEV($G$109:$G$128)*SQRT(252))</f>
        <v>0</v>
      </c>
      <c r="AU128">
        <f>IF(COUNT($E$2:$E128)&lt;9,"",(MAX($C$120:$C$128)+MIN($D$120:$D$128))/2)</f>
        <v>0</v>
      </c>
      <c r="AV128">
        <f>IF(COUNT($E$2:$E128)&lt;26,"",(MAX($C$103:$C$128)+MIN($D$103:$D$128))/2)</f>
        <v>0</v>
      </c>
      <c r="AW128">
        <f>IF(OR(AU128="",AV128=""),"",(AU128+AV128)/2)</f>
        <v>0</v>
      </c>
      <c r="AX128">
        <f>IF(COUNT($E$2:$E128)&lt;52,"",(MAX($C$77:$C$128)+MIN($D$77:$D$128))/2)</f>
        <v>0</v>
      </c>
      <c r="AY128">
        <f>IF(COUNT($E$2:$E128)&lt;20,"",MAX($C$29:$C$128))</f>
        <v>0</v>
      </c>
      <c r="AZ128">
        <f>IF(COUNT($E$2:$E128)&lt;20,"",MIN($D$29:$D$128))</f>
        <v>0</v>
      </c>
      <c r="BA128">
        <f>IF(COUNT($E$2:$E128)&lt;20,"",SLOPE($E$29:$E$128,$F$29:$F$128))</f>
        <v>0</v>
      </c>
      <c r="BB128">
        <f>IF(COUNT($E$2:$E128)&lt;20,"",INTERCEPT($E$29:$E$128,$F$29:$F$128))</f>
        <v>0</v>
      </c>
      <c r="BC128">
        <f>IF(OR(BA128="",BB128=""),"",BB128+BA128*F128)</f>
        <v>0</v>
      </c>
      <c r="BD128">
        <f>IF(COUNT($E$2:$E128)&lt;20,"",STEYX($E$29:$E$128,$F$29:$F$128))</f>
        <v>0</v>
      </c>
      <c r="BE128">
        <f>IF($E128="","",IF(AND(COUNT($E$129:$E$132)&gt;=4,$C128=MAX($C$124:$C$132)),$C128,""))</f>
        <v>0</v>
      </c>
      <c r="BF128">
        <f>IF($E128="","",IF(AND(COUNT($E$129:$E$132)&gt;=4,$D128=MIN($D$124:$D$132)),$D128,""))</f>
        <v>0</v>
      </c>
      <c r="BG128">
        <f>IF($A128="","",$A128-WEEKDAY($A128,2)+1)</f>
        <v>0</v>
      </c>
      <c r="BH128">
        <f>IF($A128="","",IF($A127="",1,IF(BG128&lt;&gt;BG127,1,0)))</f>
        <v>0</v>
      </c>
      <c r="BI128">
        <f>IF($A128="","",IF($A129="",1,IF(BG129&lt;&gt;BG128,1,0)))</f>
        <v>0</v>
      </c>
      <c r="BJ128">
        <f>IF($A128="","",IF(BH128=1,$B128,BJ127))</f>
        <v>0</v>
      </c>
      <c r="BK128">
        <f>IF($A128="","",IF(BH128=1,$C128,MAX($C128,BK127)))</f>
        <v>0</v>
      </c>
      <c r="BL128">
        <f>IF($A128="","",IF(BH128=1,$D128,MIN($D128,BL127)))</f>
        <v>0</v>
      </c>
      <c r="BM128">
        <f>IF($A128="","",IF(BI128=1,F128,""))</f>
        <v>0</v>
      </c>
      <c r="BN128">
        <f>IF($A128="","",DATE(YEAR($A128),MONTH($A128),1))</f>
        <v>0</v>
      </c>
      <c r="BO128">
        <f>IF($A128="","",IF($A127="",1,IF(BN128&lt;&gt;BN127,1,0)))</f>
        <v>0</v>
      </c>
      <c r="BP128">
        <f>IF($A128="","",IF($A129="",1,IF(BN129&lt;&gt;BN128,1,0)))</f>
        <v>0</v>
      </c>
      <c r="BQ128">
        <f>IF($A128="","",IF(BO128=1,$B128,BQ127))</f>
        <v>0</v>
      </c>
      <c r="BR128">
        <f>IF($A128="","",IF(BO128=1,$C128,MAX($C128,BR127)))</f>
        <v>0</v>
      </c>
      <c r="BS128">
        <f>IF($A128="","",IF(BO128=1,$D128,MIN($D128,BS127)))</f>
        <v>0</v>
      </c>
      <c r="BT128">
        <f>IF($A128="","",IF(BP128=1,F128,""))</f>
        <v>0</v>
      </c>
    </row>
    <row r="129" spans="1:72">
      <c r="A129" s="27">
        <f>IF(Data!$A129="","",Data!$A129)</f>
        <v>0</v>
      </c>
      <c r="B129">
        <f>IF(Data!$B129="","",Data!$B129)</f>
        <v>0</v>
      </c>
      <c r="C129">
        <f>IF(Data!$C129="","",Data!$C129)</f>
        <v>0</v>
      </c>
      <c r="D129">
        <f>IF(Data!$D129="","",Data!$D129)</f>
        <v>0</v>
      </c>
      <c r="E129">
        <f>IF(Data!$E129="","",Data!$E129)</f>
        <v>0</v>
      </c>
      <c r="F129">
        <f>IF($E129="","",N(F128)+1)</f>
        <v>0</v>
      </c>
      <c r="G129">
        <f>IF(OR($E129="",$E128=""),"",LN($E129/$E128))</f>
        <v>0</v>
      </c>
      <c r="H129">
        <f>IF($E129="","",IF($E128="",$E129,$E129*0.0952380952+H128*0.9047619048))</f>
        <v>0</v>
      </c>
      <c r="I129">
        <f>IF($E129="","",IF($E128="",$E129,$E129*0.0392156863+I128*0.9607843137))</f>
        <v>0</v>
      </c>
      <c r="J129">
        <f>IF($E129="","",IF($E128="",$E129,$E129*0.0198019802+J128*0.9801980198))</f>
        <v>0</v>
      </c>
      <c r="K129">
        <f>IF($E129="","",IF($E128="",$E129,$E129*0.0099502488+K128*0.9900497512))</f>
        <v>0</v>
      </c>
      <c r="L129">
        <f>IF(OR($E129="",$E128=""),"",MAX($E129-$E128,0))</f>
        <v>0</v>
      </c>
      <c r="M129">
        <f>IF(OR($E129="",$E128=""),"",MAX($E128-$E129,0))</f>
        <v>0</v>
      </c>
      <c r="N129">
        <f>IF(COUNT($E$2:$E129)&lt;15,"",IF(AVERAGE($M$116:$M$129)=0,100,100-100/(1+AVERAGE($L$116:$L$129)/AVERAGE($M$116:$M$129))))</f>
        <v>0</v>
      </c>
      <c r="O129">
        <f>IF($E129="","",IF($E128="",$E129,$E129*0.1538461538+O128*0.8461538462))</f>
        <v>0</v>
      </c>
      <c r="P129">
        <f>IF($E129="","",IF($E128="",$E129,$E129*0.0740740741+P128*0.9259259259))</f>
        <v>0</v>
      </c>
      <c r="Q129">
        <f>IF(OR(O129="",P129=""),"",O129-P129)</f>
        <v>0</v>
      </c>
      <c r="R129">
        <f>IF(Q129="","",IF(R128="",Q129,Q129*0.2000000000+R128*0.8000000000))</f>
        <v>0</v>
      </c>
      <c r="S129">
        <f>IF(OR(Q129="",R129=""),"",Q129-R129)</f>
        <v>0</v>
      </c>
      <c r="T129">
        <f>IF(COUNT($E$2:$E129)&lt;14,"",MAX($C$116:$C$129))</f>
        <v>0</v>
      </c>
      <c r="U129">
        <f>IF(COUNT($E$2:$E129)&lt;14,"",MIN($D$116:$D$129))</f>
        <v>0</v>
      </c>
      <c r="V129">
        <f>IF(OR(T129="",U129="",T129=U129),"",100*($E129-U129)/(T129-U129))</f>
        <v>0</v>
      </c>
      <c r="W129">
        <f>IF(COUNT($V$127:$V$129)&lt;3,"",AVERAGE($V$127:$V$129))</f>
        <v>0</v>
      </c>
      <c r="X129">
        <f>IF(COUNT($N$116:$N$129)&lt;14,"",MIN($N$116:$N$129))</f>
        <v>0</v>
      </c>
      <c r="Y129">
        <f>IF(COUNT($N$116:$N$129)&lt;14,"",MAX($N$116:$N$129))</f>
        <v>0</v>
      </c>
      <c r="Z129">
        <f>IF(OR(N129="",X129="",Y129="",Y129=X129),"",100*(N129-X129)/(Y129-X129))</f>
        <v>0</v>
      </c>
      <c r="AA129">
        <f>IF(COUNT($Z$127:$Z$129)&lt;3,"",AVERAGE($Z$127:$Z$129))</f>
        <v>0</v>
      </c>
      <c r="AB129">
        <f>IF(COUNT($AA$127:$AA$129)&lt;3,"",AVERAGE($AA$127:$AA$129))</f>
        <v>0</v>
      </c>
      <c r="AC129">
        <f>IF($E129="","",MAX($C129-$D129,ABS($C129-$E128),ABS($D129-$E128)))</f>
        <v>0</v>
      </c>
      <c r="AD129">
        <f>IF(COUNT($E$2:$E129)&lt;15,"",AVERAGE($AC$116:$AC$129))</f>
        <v>0</v>
      </c>
      <c r="AE129">
        <f>IF(OR($E129="",$E128=""),"",IF(AND(($C129-$C128)&gt;($D128-$D129),($C129-$C128)&gt;0),$C129-$C128,0))</f>
        <v>0</v>
      </c>
      <c r="AF129">
        <f>IF(OR($E129="",$E128=""),"",IF(AND(($D128-$D129)&gt;($C129-$C128),($D128-$D129)&gt;0),$D128-$D129,0))</f>
        <v>0</v>
      </c>
      <c r="AG129">
        <f>IF(COUNT($E$2:$E129)&lt;15,"",IF(SUM($AC$116:$AC$129)=0,0,100*SUM($AE$116:$AE$129)/SUM($AC$116:$AC$129)))</f>
        <v>0</v>
      </c>
      <c r="AH129">
        <f>IF(COUNT($E$2:$E129)&lt;15,"",IF(SUM($AC$116:$AC$129)=0,0,100*SUM($AF$116:$AF$129)/SUM($AC$116:$AC$129)))</f>
        <v>0</v>
      </c>
      <c r="AI129">
        <f>IF(OR(AG129="",AH129=""),"",IF((AG129+AH129)=0,0,100*ABS(AG129-AH129)/(AG129+AH129)))</f>
        <v>0</v>
      </c>
      <c r="AJ129">
        <f>IF(COUNT($AI$116:$AI$129)&lt;14,"",AVERAGE($AI$116:$AI$129))</f>
        <v>0</v>
      </c>
      <c r="AK129">
        <f>IF(COUNT($E$2:$E129)&lt;20,"",AVERAGE($E$110:$E$129))</f>
        <v>0</v>
      </c>
      <c r="AL129">
        <f>IF(COUNT($E$2:$E129)&lt;20,"",STDEVP($E$110:$E$129))</f>
        <v>0</v>
      </c>
      <c r="AM129">
        <f>IF(AK129="","",AK129+2*AL129)</f>
        <v>0</v>
      </c>
      <c r="AN129">
        <f>IF(AK129="","",AK129-2*AL129)</f>
        <v>0</v>
      </c>
      <c r="AO129">
        <f>IF(OR(AM129="",AN129="",AM129=AN129),"",($E129-AN129)/(AM129-AN129))</f>
        <v>0</v>
      </c>
      <c r="AP129">
        <f>IF(OR(AM129="",AK129="",AK129=0),"",(AM129-AN129)/AK129)</f>
        <v>0</v>
      </c>
      <c r="AQ129">
        <f>IF(COUNT($E$2:$E129)&lt;20,"",MAX($C$110:$C$129))</f>
        <v>0</v>
      </c>
      <c r="AR129">
        <f>IF(COUNT($E$2:$E129)&lt;20,"",MIN($D$110:$D$129))</f>
        <v>0</v>
      </c>
      <c r="AS129">
        <f>IF(OR(AQ129="",AR129=""),"",(AQ129+AR129)/2)</f>
        <v>0</v>
      </c>
      <c r="AT129">
        <f>IF(COUNT($G$110:$G$129)&lt;20,"",STDEV($G$110:$G$129)*SQRT(252))</f>
        <v>0</v>
      </c>
      <c r="AU129">
        <f>IF(COUNT($E$2:$E129)&lt;9,"",(MAX($C$121:$C$129)+MIN($D$121:$D$129))/2)</f>
        <v>0</v>
      </c>
      <c r="AV129">
        <f>IF(COUNT($E$2:$E129)&lt;26,"",(MAX($C$104:$C$129)+MIN($D$104:$D$129))/2)</f>
        <v>0</v>
      </c>
      <c r="AW129">
        <f>IF(OR(AU129="",AV129=""),"",(AU129+AV129)/2)</f>
        <v>0</v>
      </c>
      <c r="AX129">
        <f>IF(COUNT($E$2:$E129)&lt;52,"",(MAX($C$78:$C$129)+MIN($D$78:$D$129))/2)</f>
        <v>0</v>
      </c>
      <c r="AY129">
        <f>IF(COUNT($E$2:$E129)&lt;20,"",MAX($C$30:$C$129))</f>
        <v>0</v>
      </c>
      <c r="AZ129">
        <f>IF(COUNT($E$2:$E129)&lt;20,"",MIN($D$30:$D$129))</f>
        <v>0</v>
      </c>
      <c r="BA129">
        <f>IF(COUNT($E$2:$E129)&lt;20,"",SLOPE($E$30:$E$129,$F$30:$F$129))</f>
        <v>0</v>
      </c>
      <c r="BB129">
        <f>IF(COUNT($E$2:$E129)&lt;20,"",INTERCEPT($E$30:$E$129,$F$30:$F$129))</f>
        <v>0</v>
      </c>
      <c r="BC129">
        <f>IF(OR(BA129="",BB129=""),"",BB129+BA129*F129)</f>
        <v>0</v>
      </c>
      <c r="BD129">
        <f>IF(COUNT($E$2:$E129)&lt;20,"",STEYX($E$30:$E$129,$F$30:$F$129))</f>
        <v>0</v>
      </c>
      <c r="BE129">
        <f>IF($E129="","",IF(AND(COUNT($E$130:$E$133)&gt;=4,$C129=MAX($C$125:$C$133)),$C129,""))</f>
        <v>0</v>
      </c>
      <c r="BF129">
        <f>IF($E129="","",IF(AND(COUNT($E$130:$E$133)&gt;=4,$D129=MIN($D$125:$D$133)),$D129,""))</f>
        <v>0</v>
      </c>
      <c r="BG129">
        <f>IF($A129="","",$A129-WEEKDAY($A129,2)+1)</f>
        <v>0</v>
      </c>
      <c r="BH129">
        <f>IF($A129="","",IF($A128="",1,IF(BG129&lt;&gt;BG128,1,0)))</f>
        <v>0</v>
      </c>
      <c r="BI129">
        <f>IF($A129="","",IF($A130="",1,IF(BG130&lt;&gt;BG129,1,0)))</f>
        <v>0</v>
      </c>
      <c r="BJ129">
        <f>IF($A129="","",IF(BH129=1,$B129,BJ128))</f>
        <v>0</v>
      </c>
      <c r="BK129">
        <f>IF($A129="","",IF(BH129=1,$C129,MAX($C129,BK128)))</f>
        <v>0</v>
      </c>
      <c r="BL129">
        <f>IF($A129="","",IF(BH129=1,$D129,MIN($D129,BL128)))</f>
        <v>0</v>
      </c>
      <c r="BM129">
        <f>IF($A129="","",IF(BI129=1,F129,""))</f>
        <v>0</v>
      </c>
      <c r="BN129">
        <f>IF($A129="","",DATE(YEAR($A129),MONTH($A129),1))</f>
        <v>0</v>
      </c>
      <c r="BO129">
        <f>IF($A129="","",IF($A128="",1,IF(BN129&lt;&gt;BN128,1,0)))</f>
        <v>0</v>
      </c>
      <c r="BP129">
        <f>IF($A129="","",IF($A130="",1,IF(BN130&lt;&gt;BN129,1,0)))</f>
        <v>0</v>
      </c>
      <c r="BQ129">
        <f>IF($A129="","",IF(BO129=1,$B129,BQ128))</f>
        <v>0</v>
      </c>
      <c r="BR129">
        <f>IF($A129="","",IF(BO129=1,$C129,MAX($C129,BR128)))</f>
        <v>0</v>
      </c>
      <c r="BS129">
        <f>IF($A129="","",IF(BO129=1,$D129,MIN($D129,BS128)))</f>
        <v>0</v>
      </c>
      <c r="BT129">
        <f>IF($A129="","",IF(BP129=1,F129,""))</f>
        <v>0</v>
      </c>
    </row>
    <row r="130" spans="1:72">
      <c r="A130" s="27">
        <f>IF(Data!$A130="","",Data!$A130)</f>
        <v>0</v>
      </c>
      <c r="B130">
        <f>IF(Data!$B130="","",Data!$B130)</f>
        <v>0</v>
      </c>
      <c r="C130">
        <f>IF(Data!$C130="","",Data!$C130)</f>
        <v>0</v>
      </c>
      <c r="D130">
        <f>IF(Data!$D130="","",Data!$D130)</f>
        <v>0</v>
      </c>
      <c r="E130">
        <f>IF(Data!$E130="","",Data!$E130)</f>
        <v>0</v>
      </c>
      <c r="F130">
        <f>IF($E130="","",N(F129)+1)</f>
        <v>0</v>
      </c>
      <c r="G130">
        <f>IF(OR($E130="",$E129=""),"",LN($E130/$E129))</f>
        <v>0</v>
      </c>
      <c r="H130">
        <f>IF($E130="","",IF($E129="",$E130,$E130*0.0952380952+H129*0.9047619048))</f>
        <v>0</v>
      </c>
      <c r="I130">
        <f>IF($E130="","",IF($E129="",$E130,$E130*0.0392156863+I129*0.9607843137))</f>
        <v>0</v>
      </c>
      <c r="J130">
        <f>IF($E130="","",IF($E129="",$E130,$E130*0.0198019802+J129*0.9801980198))</f>
        <v>0</v>
      </c>
      <c r="K130">
        <f>IF($E130="","",IF($E129="",$E130,$E130*0.0099502488+K129*0.9900497512))</f>
        <v>0</v>
      </c>
      <c r="L130">
        <f>IF(OR($E130="",$E129=""),"",MAX($E130-$E129,0))</f>
        <v>0</v>
      </c>
      <c r="M130">
        <f>IF(OR($E130="",$E129=""),"",MAX($E129-$E130,0))</f>
        <v>0</v>
      </c>
      <c r="N130">
        <f>IF(COUNT($E$2:$E130)&lt;15,"",IF(AVERAGE($M$117:$M$130)=0,100,100-100/(1+AVERAGE($L$117:$L$130)/AVERAGE($M$117:$M$130))))</f>
        <v>0</v>
      </c>
      <c r="O130">
        <f>IF($E130="","",IF($E129="",$E130,$E130*0.1538461538+O129*0.8461538462))</f>
        <v>0</v>
      </c>
      <c r="P130">
        <f>IF($E130="","",IF($E129="",$E130,$E130*0.0740740741+P129*0.9259259259))</f>
        <v>0</v>
      </c>
      <c r="Q130">
        <f>IF(OR(O130="",P130=""),"",O130-P130)</f>
        <v>0</v>
      </c>
      <c r="R130">
        <f>IF(Q130="","",IF(R129="",Q130,Q130*0.2000000000+R129*0.8000000000))</f>
        <v>0</v>
      </c>
      <c r="S130">
        <f>IF(OR(Q130="",R130=""),"",Q130-R130)</f>
        <v>0</v>
      </c>
      <c r="T130">
        <f>IF(COUNT($E$2:$E130)&lt;14,"",MAX($C$117:$C$130))</f>
        <v>0</v>
      </c>
      <c r="U130">
        <f>IF(COUNT($E$2:$E130)&lt;14,"",MIN($D$117:$D$130))</f>
        <v>0</v>
      </c>
      <c r="V130">
        <f>IF(OR(T130="",U130="",T130=U130),"",100*($E130-U130)/(T130-U130))</f>
        <v>0</v>
      </c>
      <c r="W130">
        <f>IF(COUNT($V$128:$V$130)&lt;3,"",AVERAGE($V$128:$V$130))</f>
        <v>0</v>
      </c>
      <c r="X130">
        <f>IF(COUNT($N$117:$N$130)&lt;14,"",MIN($N$117:$N$130))</f>
        <v>0</v>
      </c>
      <c r="Y130">
        <f>IF(COUNT($N$117:$N$130)&lt;14,"",MAX($N$117:$N$130))</f>
        <v>0</v>
      </c>
      <c r="Z130">
        <f>IF(OR(N130="",X130="",Y130="",Y130=X130),"",100*(N130-X130)/(Y130-X130))</f>
        <v>0</v>
      </c>
      <c r="AA130">
        <f>IF(COUNT($Z$128:$Z$130)&lt;3,"",AVERAGE($Z$128:$Z$130))</f>
        <v>0</v>
      </c>
      <c r="AB130">
        <f>IF(COUNT($AA$128:$AA$130)&lt;3,"",AVERAGE($AA$128:$AA$130))</f>
        <v>0</v>
      </c>
      <c r="AC130">
        <f>IF($E130="","",MAX($C130-$D130,ABS($C130-$E129),ABS($D130-$E129)))</f>
        <v>0</v>
      </c>
      <c r="AD130">
        <f>IF(COUNT($E$2:$E130)&lt;15,"",AVERAGE($AC$117:$AC$130))</f>
        <v>0</v>
      </c>
      <c r="AE130">
        <f>IF(OR($E130="",$E129=""),"",IF(AND(($C130-$C129)&gt;($D129-$D130),($C130-$C129)&gt;0),$C130-$C129,0))</f>
        <v>0</v>
      </c>
      <c r="AF130">
        <f>IF(OR($E130="",$E129=""),"",IF(AND(($D129-$D130)&gt;($C130-$C129),($D129-$D130)&gt;0),$D129-$D130,0))</f>
        <v>0</v>
      </c>
      <c r="AG130">
        <f>IF(COUNT($E$2:$E130)&lt;15,"",IF(SUM($AC$117:$AC$130)=0,0,100*SUM($AE$117:$AE$130)/SUM($AC$117:$AC$130)))</f>
        <v>0</v>
      </c>
      <c r="AH130">
        <f>IF(COUNT($E$2:$E130)&lt;15,"",IF(SUM($AC$117:$AC$130)=0,0,100*SUM($AF$117:$AF$130)/SUM($AC$117:$AC$130)))</f>
        <v>0</v>
      </c>
      <c r="AI130">
        <f>IF(OR(AG130="",AH130=""),"",IF((AG130+AH130)=0,0,100*ABS(AG130-AH130)/(AG130+AH130)))</f>
        <v>0</v>
      </c>
      <c r="AJ130">
        <f>IF(COUNT($AI$117:$AI$130)&lt;14,"",AVERAGE($AI$117:$AI$130))</f>
        <v>0</v>
      </c>
      <c r="AK130">
        <f>IF(COUNT($E$2:$E130)&lt;20,"",AVERAGE($E$111:$E$130))</f>
        <v>0</v>
      </c>
      <c r="AL130">
        <f>IF(COUNT($E$2:$E130)&lt;20,"",STDEVP($E$111:$E$130))</f>
        <v>0</v>
      </c>
      <c r="AM130">
        <f>IF(AK130="","",AK130+2*AL130)</f>
        <v>0</v>
      </c>
      <c r="AN130">
        <f>IF(AK130="","",AK130-2*AL130)</f>
        <v>0</v>
      </c>
      <c r="AO130">
        <f>IF(OR(AM130="",AN130="",AM130=AN130),"",($E130-AN130)/(AM130-AN130))</f>
        <v>0</v>
      </c>
      <c r="AP130">
        <f>IF(OR(AM130="",AK130="",AK130=0),"",(AM130-AN130)/AK130)</f>
        <v>0</v>
      </c>
      <c r="AQ130">
        <f>IF(COUNT($E$2:$E130)&lt;20,"",MAX($C$111:$C$130))</f>
        <v>0</v>
      </c>
      <c r="AR130">
        <f>IF(COUNT($E$2:$E130)&lt;20,"",MIN($D$111:$D$130))</f>
        <v>0</v>
      </c>
      <c r="AS130">
        <f>IF(OR(AQ130="",AR130=""),"",(AQ130+AR130)/2)</f>
        <v>0</v>
      </c>
      <c r="AT130">
        <f>IF(COUNT($G$111:$G$130)&lt;20,"",STDEV($G$111:$G$130)*SQRT(252))</f>
        <v>0</v>
      </c>
      <c r="AU130">
        <f>IF(COUNT($E$2:$E130)&lt;9,"",(MAX($C$122:$C$130)+MIN($D$122:$D$130))/2)</f>
        <v>0</v>
      </c>
      <c r="AV130">
        <f>IF(COUNT($E$2:$E130)&lt;26,"",(MAX($C$105:$C$130)+MIN($D$105:$D$130))/2)</f>
        <v>0</v>
      </c>
      <c r="AW130">
        <f>IF(OR(AU130="",AV130=""),"",(AU130+AV130)/2)</f>
        <v>0</v>
      </c>
      <c r="AX130">
        <f>IF(COUNT($E$2:$E130)&lt;52,"",(MAX($C$79:$C$130)+MIN($D$79:$D$130))/2)</f>
        <v>0</v>
      </c>
      <c r="AY130">
        <f>IF(COUNT($E$2:$E130)&lt;20,"",MAX($C$31:$C$130))</f>
        <v>0</v>
      </c>
      <c r="AZ130">
        <f>IF(COUNT($E$2:$E130)&lt;20,"",MIN($D$31:$D$130))</f>
        <v>0</v>
      </c>
      <c r="BA130">
        <f>IF(COUNT($E$2:$E130)&lt;20,"",SLOPE($E$31:$E$130,$F$31:$F$130))</f>
        <v>0</v>
      </c>
      <c r="BB130">
        <f>IF(COUNT($E$2:$E130)&lt;20,"",INTERCEPT($E$31:$E$130,$F$31:$F$130))</f>
        <v>0</v>
      </c>
      <c r="BC130">
        <f>IF(OR(BA130="",BB130=""),"",BB130+BA130*F130)</f>
        <v>0</v>
      </c>
      <c r="BD130">
        <f>IF(COUNT($E$2:$E130)&lt;20,"",STEYX($E$31:$E$130,$F$31:$F$130))</f>
        <v>0</v>
      </c>
      <c r="BE130">
        <f>IF($E130="","",IF(AND(COUNT($E$131:$E$134)&gt;=4,$C130=MAX($C$126:$C$134)),$C130,""))</f>
        <v>0</v>
      </c>
      <c r="BF130">
        <f>IF($E130="","",IF(AND(COUNT($E$131:$E$134)&gt;=4,$D130=MIN($D$126:$D$134)),$D130,""))</f>
        <v>0</v>
      </c>
      <c r="BG130">
        <f>IF($A130="","",$A130-WEEKDAY($A130,2)+1)</f>
        <v>0</v>
      </c>
      <c r="BH130">
        <f>IF($A130="","",IF($A129="",1,IF(BG130&lt;&gt;BG129,1,0)))</f>
        <v>0</v>
      </c>
      <c r="BI130">
        <f>IF($A130="","",IF($A131="",1,IF(BG131&lt;&gt;BG130,1,0)))</f>
        <v>0</v>
      </c>
      <c r="BJ130">
        <f>IF($A130="","",IF(BH130=1,$B130,BJ129))</f>
        <v>0</v>
      </c>
      <c r="BK130">
        <f>IF($A130="","",IF(BH130=1,$C130,MAX($C130,BK129)))</f>
        <v>0</v>
      </c>
      <c r="BL130">
        <f>IF($A130="","",IF(BH130=1,$D130,MIN($D130,BL129)))</f>
        <v>0</v>
      </c>
      <c r="BM130">
        <f>IF($A130="","",IF(BI130=1,F130,""))</f>
        <v>0</v>
      </c>
      <c r="BN130">
        <f>IF($A130="","",DATE(YEAR($A130),MONTH($A130),1))</f>
        <v>0</v>
      </c>
      <c r="BO130">
        <f>IF($A130="","",IF($A129="",1,IF(BN130&lt;&gt;BN129,1,0)))</f>
        <v>0</v>
      </c>
      <c r="BP130">
        <f>IF($A130="","",IF($A131="",1,IF(BN131&lt;&gt;BN130,1,0)))</f>
        <v>0</v>
      </c>
      <c r="BQ130">
        <f>IF($A130="","",IF(BO130=1,$B130,BQ129))</f>
        <v>0</v>
      </c>
      <c r="BR130">
        <f>IF($A130="","",IF(BO130=1,$C130,MAX($C130,BR129)))</f>
        <v>0</v>
      </c>
      <c r="BS130">
        <f>IF($A130="","",IF(BO130=1,$D130,MIN($D130,BS129)))</f>
        <v>0</v>
      </c>
      <c r="BT130">
        <f>IF($A130="","",IF(BP130=1,F130,""))</f>
        <v>0</v>
      </c>
    </row>
    <row r="131" spans="1:72">
      <c r="A131" s="27">
        <f>IF(Data!$A131="","",Data!$A131)</f>
        <v>0</v>
      </c>
      <c r="B131">
        <f>IF(Data!$B131="","",Data!$B131)</f>
        <v>0</v>
      </c>
      <c r="C131">
        <f>IF(Data!$C131="","",Data!$C131)</f>
        <v>0</v>
      </c>
      <c r="D131">
        <f>IF(Data!$D131="","",Data!$D131)</f>
        <v>0</v>
      </c>
      <c r="E131">
        <f>IF(Data!$E131="","",Data!$E131)</f>
        <v>0</v>
      </c>
      <c r="F131">
        <f>IF($E131="","",N(F130)+1)</f>
        <v>0</v>
      </c>
      <c r="G131">
        <f>IF(OR($E131="",$E130=""),"",LN($E131/$E130))</f>
        <v>0</v>
      </c>
      <c r="H131">
        <f>IF($E131="","",IF($E130="",$E131,$E131*0.0952380952+H130*0.9047619048))</f>
        <v>0</v>
      </c>
      <c r="I131">
        <f>IF($E131="","",IF($E130="",$E131,$E131*0.0392156863+I130*0.9607843137))</f>
        <v>0</v>
      </c>
      <c r="J131">
        <f>IF($E131="","",IF($E130="",$E131,$E131*0.0198019802+J130*0.9801980198))</f>
        <v>0</v>
      </c>
      <c r="K131">
        <f>IF($E131="","",IF($E130="",$E131,$E131*0.0099502488+K130*0.9900497512))</f>
        <v>0</v>
      </c>
      <c r="L131">
        <f>IF(OR($E131="",$E130=""),"",MAX($E131-$E130,0))</f>
        <v>0</v>
      </c>
      <c r="M131">
        <f>IF(OR($E131="",$E130=""),"",MAX($E130-$E131,0))</f>
        <v>0</v>
      </c>
      <c r="N131">
        <f>IF(COUNT($E$2:$E131)&lt;15,"",IF(AVERAGE($M$118:$M$131)=0,100,100-100/(1+AVERAGE($L$118:$L$131)/AVERAGE($M$118:$M$131))))</f>
        <v>0</v>
      </c>
      <c r="O131">
        <f>IF($E131="","",IF($E130="",$E131,$E131*0.1538461538+O130*0.8461538462))</f>
        <v>0</v>
      </c>
      <c r="P131">
        <f>IF($E131="","",IF($E130="",$E131,$E131*0.0740740741+P130*0.9259259259))</f>
        <v>0</v>
      </c>
      <c r="Q131">
        <f>IF(OR(O131="",P131=""),"",O131-P131)</f>
        <v>0</v>
      </c>
      <c r="R131">
        <f>IF(Q131="","",IF(R130="",Q131,Q131*0.2000000000+R130*0.8000000000))</f>
        <v>0</v>
      </c>
      <c r="S131">
        <f>IF(OR(Q131="",R131=""),"",Q131-R131)</f>
        <v>0</v>
      </c>
      <c r="T131">
        <f>IF(COUNT($E$2:$E131)&lt;14,"",MAX($C$118:$C$131))</f>
        <v>0</v>
      </c>
      <c r="U131">
        <f>IF(COUNT($E$2:$E131)&lt;14,"",MIN($D$118:$D$131))</f>
        <v>0</v>
      </c>
      <c r="V131">
        <f>IF(OR(T131="",U131="",T131=U131),"",100*($E131-U131)/(T131-U131))</f>
        <v>0</v>
      </c>
      <c r="W131">
        <f>IF(COUNT($V$129:$V$131)&lt;3,"",AVERAGE($V$129:$V$131))</f>
        <v>0</v>
      </c>
      <c r="X131">
        <f>IF(COUNT($N$118:$N$131)&lt;14,"",MIN($N$118:$N$131))</f>
        <v>0</v>
      </c>
      <c r="Y131">
        <f>IF(COUNT($N$118:$N$131)&lt;14,"",MAX($N$118:$N$131))</f>
        <v>0</v>
      </c>
      <c r="Z131">
        <f>IF(OR(N131="",X131="",Y131="",Y131=X131),"",100*(N131-X131)/(Y131-X131))</f>
        <v>0</v>
      </c>
      <c r="AA131">
        <f>IF(COUNT($Z$129:$Z$131)&lt;3,"",AVERAGE($Z$129:$Z$131))</f>
        <v>0</v>
      </c>
      <c r="AB131">
        <f>IF(COUNT($AA$129:$AA$131)&lt;3,"",AVERAGE($AA$129:$AA$131))</f>
        <v>0</v>
      </c>
      <c r="AC131">
        <f>IF($E131="","",MAX($C131-$D131,ABS($C131-$E130),ABS($D131-$E130)))</f>
        <v>0</v>
      </c>
      <c r="AD131">
        <f>IF(COUNT($E$2:$E131)&lt;15,"",AVERAGE($AC$118:$AC$131))</f>
        <v>0</v>
      </c>
      <c r="AE131">
        <f>IF(OR($E131="",$E130=""),"",IF(AND(($C131-$C130)&gt;($D130-$D131),($C131-$C130)&gt;0),$C131-$C130,0))</f>
        <v>0</v>
      </c>
      <c r="AF131">
        <f>IF(OR($E131="",$E130=""),"",IF(AND(($D130-$D131)&gt;($C131-$C130),($D130-$D131)&gt;0),$D130-$D131,0))</f>
        <v>0</v>
      </c>
      <c r="AG131">
        <f>IF(COUNT($E$2:$E131)&lt;15,"",IF(SUM($AC$118:$AC$131)=0,0,100*SUM($AE$118:$AE$131)/SUM($AC$118:$AC$131)))</f>
        <v>0</v>
      </c>
      <c r="AH131">
        <f>IF(COUNT($E$2:$E131)&lt;15,"",IF(SUM($AC$118:$AC$131)=0,0,100*SUM($AF$118:$AF$131)/SUM($AC$118:$AC$131)))</f>
        <v>0</v>
      </c>
      <c r="AI131">
        <f>IF(OR(AG131="",AH131=""),"",IF((AG131+AH131)=0,0,100*ABS(AG131-AH131)/(AG131+AH131)))</f>
        <v>0</v>
      </c>
      <c r="AJ131">
        <f>IF(COUNT($AI$118:$AI$131)&lt;14,"",AVERAGE($AI$118:$AI$131))</f>
        <v>0</v>
      </c>
      <c r="AK131">
        <f>IF(COUNT($E$2:$E131)&lt;20,"",AVERAGE($E$112:$E$131))</f>
        <v>0</v>
      </c>
      <c r="AL131">
        <f>IF(COUNT($E$2:$E131)&lt;20,"",STDEVP($E$112:$E$131))</f>
        <v>0</v>
      </c>
      <c r="AM131">
        <f>IF(AK131="","",AK131+2*AL131)</f>
        <v>0</v>
      </c>
      <c r="AN131">
        <f>IF(AK131="","",AK131-2*AL131)</f>
        <v>0</v>
      </c>
      <c r="AO131">
        <f>IF(OR(AM131="",AN131="",AM131=AN131),"",($E131-AN131)/(AM131-AN131))</f>
        <v>0</v>
      </c>
      <c r="AP131">
        <f>IF(OR(AM131="",AK131="",AK131=0),"",(AM131-AN131)/AK131)</f>
        <v>0</v>
      </c>
      <c r="AQ131">
        <f>IF(COUNT($E$2:$E131)&lt;20,"",MAX($C$112:$C$131))</f>
        <v>0</v>
      </c>
      <c r="AR131">
        <f>IF(COUNT($E$2:$E131)&lt;20,"",MIN($D$112:$D$131))</f>
        <v>0</v>
      </c>
      <c r="AS131">
        <f>IF(OR(AQ131="",AR131=""),"",(AQ131+AR131)/2)</f>
        <v>0</v>
      </c>
      <c r="AT131">
        <f>IF(COUNT($G$112:$G$131)&lt;20,"",STDEV($G$112:$G$131)*SQRT(252))</f>
        <v>0</v>
      </c>
      <c r="AU131">
        <f>IF(COUNT($E$2:$E131)&lt;9,"",(MAX($C$123:$C$131)+MIN($D$123:$D$131))/2)</f>
        <v>0</v>
      </c>
      <c r="AV131">
        <f>IF(COUNT($E$2:$E131)&lt;26,"",(MAX($C$106:$C$131)+MIN($D$106:$D$131))/2)</f>
        <v>0</v>
      </c>
      <c r="AW131">
        <f>IF(OR(AU131="",AV131=""),"",(AU131+AV131)/2)</f>
        <v>0</v>
      </c>
      <c r="AX131">
        <f>IF(COUNT($E$2:$E131)&lt;52,"",(MAX($C$80:$C$131)+MIN($D$80:$D$131))/2)</f>
        <v>0</v>
      </c>
      <c r="AY131">
        <f>IF(COUNT($E$2:$E131)&lt;20,"",MAX($C$32:$C$131))</f>
        <v>0</v>
      </c>
      <c r="AZ131">
        <f>IF(COUNT($E$2:$E131)&lt;20,"",MIN($D$32:$D$131))</f>
        <v>0</v>
      </c>
      <c r="BA131">
        <f>IF(COUNT($E$2:$E131)&lt;20,"",SLOPE($E$32:$E$131,$F$32:$F$131))</f>
        <v>0</v>
      </c>
      <c r="BB131">
        <f>IF(COUNT($E$2:$E131)&lt;20,"",INTERCEPT($E$32:$E$131,$F$32:$F$131))</f>
        <v>0</v>
      </c>
      <c r="BC131">
        <f>IF(OR(BA131="",BB131=""),"",BB131+BA131*F131)</f>
        <v>0</v>
      </c>
      <c r="BD131">
        <f>IF(COUNT($E$2:$E131)&lt;20,"",STEYX($E$32:$E$131,$F$32:$F$131))</f>
        <v>0</v>
      </c>
      <c r="BE131">
        <f>IF($E131="","",IF(AND(COUNT($E$132:$E$135)&gt;=4,$C131=MAX($C$127:$C$135)),$C131,""))</f>
        <v>0</v>
      </c>
      <c r="BF131">
        <f>IF($E131="","",IF(AND(COUNT($E$132:$E$135)&gt;=4,$D131=MIN($D$127:$D$135)),$D131,""))</f>
        <v>0</v>
      </c>
      <c r="BG131">
        <f>IF($A131="","",$A131-WEEKDAY($A131,2)+1)</f>
        <v>0</v>
      </c>
      <c r="BH131">
        <f>IF($A131="","",IF($A130="",1,IF(BG131&lt;&gt;BG130,1,0)))</f>
        <v>0</v>
      </c>
      <c r="BI131">
        <f>IF($A131="","",IF($A132="",1,IF(BG132&lt;&gt;BG131,1,0)))</f>
        <v>0</v>
      </c>
      <c r="BJ131">
        <f>IF($A131="","",IF(BH131=1,$B131,BJ130))</f>
        <v>0</v>
      </c>
      <c r="BK131">
        <f>IF($A131="","",IF(BH131=1,$C131,MAX($C131,BK130)))</f>
        <v>0</v>
      </c>
      <c r="BL131">
        <f>IF($A131="","",IF(BH131=1,$D131,MIN($D131,BL130)))</f>
        <v>0</v>
      </c>
      <c r="BM131">
        <f>IF($A131="","",IF(BI131=1,F131,""))</f>
        <v>0</v>
      </c>
      <c r="BN131">
        <f>IF($A131="","",DATE(YEAR($A131),MONTH($A131),1))</f>
        <v>0</v>
      </c>
      <c r="BO131">
        <f>IF($A131="","",IF($A130="",1,IF(BN131&lt;&gt;BN130,1,0)))</f>
        <v>0</v>
      </c>
      <c r="BP131">
        <f>IF($A131="","",IF($A132="",1,IF(BN132&lt;&gt;BN131,1,0)))</f>
        <v>0</v>
      </c>
      <c r="BQ131">
        <f>IF($A131="","",IF(BO131=1,$B131,BQ130))</f>
        <v>0</v>
      </c>
      <c r="BR131">
        <f>IF($A131="","",IF(BO131=1,$C131,MAX($C131,BR130)))</f>
        <v>0</v>
      </c>
      <c r="BS131">
        <f>IF($A131="","",IF(BO131=1,$D131,MIN($D131,BS130)))</f>
        <v>0</v>
      </c>
      <c r="BT131">
        <f>IF($A131="","",IF(BP131=1,F131,""))</f>
        <v>0</v>
      </c>
    </row>
    <row r="132" spans="1:72">
      <c r="A132" s="27">
        <f>IF(Data!$A132="","",Data!$A132)</f>
        <v>0</v>
      </c>
      <c r="B132">
        <f>IF(Data!$B132="","",Data!$B132)</f>
        <v>0</v>
      </c>
      <c r="C132">
        <f>IF(Data!$C132="","",Data!$C132)</f>
        <v>0</v>
      </c>
      <c r="D132">
        <f>IF(Data!$D132="","",Data!$D132)</f>
        <v>0</v>
      </c>
      <c r="E132">
        <f>IF(Data!$E132="","",Data!$E132)</f>
        <v>0</v>
      </c>
      <c r="F132">
        <f>IF($E132="","",N(F131)+1)</f>
        <v>0</v>
      </c>
      <c r="G132">
        <f>IF(OR($E132="",$E131=""),"",LN($E132/$E131))</f>
        <v>0</v>
      </c>
      <c r="H132">
        <f>IF($E132="","",IF($E131="",$E132,$E132*0.0952380952+H131*0.9047619048))</f>
        <v>0</v>
      </c>
      <c r="I132">
        <f>IF($E132="","",IF($E131="",$E132,$E132*0.0392156863+I131*0.9607843137))</f>
        <v>0</v>
      </c>
      <c r="J132">
        <f>IF($E132="","",IF($E131="",$E132,$E132*0.0198019802+J131*0.9801980198))</f>
        <v>0</v>
      </c>
      <c r="K132">
        <f>IF($E132="","",IF($E131="",$E132,$E132*0.0099502488+K131*0.9900497512))</f>
        <v>0</v>
      </c>
      <c r="L132">
        <f>IF(OR($E132="",$E131=""),"",MAX($E132-$E131,0))</f>
        <v>0</v>
      </c>
      <c r="M132">
        <f>IF(OR($E132="",$E131=""),"",MAX($E131-$E132,0))</f>
        <v>0</v>
      </c>
      <c r="N132">
        <f>IF(COUNT($E$2:$E132)&lt;15,"",IF(AVERAGE($M$119:$M$132)=0,100,100-100/(1+AVERAGE($L$119:$L$132)/AVERAGE($M$119:$M$132))))</f>
        <v>0</v>
      </c>
      <c r="O132">
        <f>IF($E132="","",IF($E131="",$E132,$E132*0.1538461538+O131*0.8461538462))</f>
        <v>0</v>
      </c>
      <c r="P132">
        <f>IF($E132="","",IF($E131="",$E132,$E132*0.0740740741+P131*0.9259259259))</f>
        <v>0</v>
      </c>
      <c r="Q132">
        <f>IF(OR(O132="",P132=""),"",O132-P132)</f>
        <v>0</v>
      </c>
      <c r="R132">
        <f>IF(Q132="","",IF(R131="",Q132,Q132*0.2000000000+R131*0.8000000000))</f>
        <v>0</v>
      </c>
      <c r="S132">
        <f>IF(OR(Q132="",R132=""),"",Q132-R132)</f>
        <v>0</v>
      </c>
      <c r="T132">
        <f>IF(COUNT($E$2:$E132)&lt;14,"",MAX($C$119:$C$132))</f>
        <v>0</v>
      </c>
      <c r="U132">
        <f>IF(COUNT($E$2:$E132)&lt;14,"",MIN($D$119:$D$132))</f>
        <v>0</v>
      </c>
      <c r="V132">
        <f>IF(OR(T132="",U132="",T132=U132),"",100*($E132-U132)/(T132-U132))</f>
        <v>0</v>
      </c>
      <c r="W132">
        <f>IF(COUNT($V$130:$V$132)&lt;3,"",AVERAGE($V$130:$V$132))</f>
        <v>0</v>
      </c>
      <c r="X132">
        <f>IF(COUNT($N$119:$N$132)&lt;14,"",MIN($N$119:$N$132))</f>
        <v>0</v>
      </c>
      <c r="Y132">
        <f>IF(COUNT($N$119:$N$132)&lt;14,"",MAX($N$119:$N$132))</f>
        <v>0</v>
      </c>
      <c r="Z132">
        <f>IF(OR(N132="",X132="",Y132="",Y132=X132),"",100*(N132-X132)/(Y132-X132))</f>
        <v>0</v>
      </c>
      <c r="AA132">
        <f>IF(COUNT($Z$130:$Z$132)&lt;3,"",AVERAGE($Z$130:$Z$132))</f>
        <v>0</v>
      </c>
      <c r="AB132">
        <f>IF(COUNT($AA$130:$AA$132)&lt;3,"",AVERAGE($AA$130:$AA$132))</f>
        <v>0</v>
      </c>
      <c r="AC132">
        <f>IF($E132="","",MAX($C132-$D132,ABS($C132-$E131),ABS($D132-$E131)))</f>
        <v>0</v>
      </c>
      <c r="AD132">
        <f>IF(COUNT($E$2:$E132)&lt;15,"",AVERAGE($AC$119:$AC$132))</f>
        <v>0</v>
      </c>
      <c r="AE132">
        <f>IF(OR($E132="",$E131=""),"",IF(AND(($C132-$C131)&gt;($D131-$D132),($C132-$C131)&gt;0),$C132-$C131,0))</f>
        <v>0</v>
      </c>
      <c r="AF132">
        <f>IF(OR($E132="",$E131=""),"",IF(AND(($D131-$D132)&gt;($C132-$C131),($D131-$D132)&gt;0),$D131-$D132,0))</f>
        <v>0</v>
      </c>
      <c r="AG132">
        <f>IF(COUNT($E$2:$E132)&lt;15,"",IF(SUM($AC$119:$AC$132)=0,0,100*SUM($AE$119:$AE$132)/SUM($AC$119:$AC$132)))</f>
        <v>0</v>
      </c>
      <c r="AH132">
        <f>IF(COUNT($E$2:$E132)&lt;15,"",IF(SUM($AC$119:$AC$132)=0,0,100*SUM($AF$119:$AF$132)/SUM($AC$119:$AC$132)))</f>
        <v>0</v>
      </c>
      <c r="AI132">
        <f>IF(OR(AG132="",AH132=""),"",IF((AG132+AH132)=0,0,100*ABS(AG132-AH132)/(AG132+AH132)))</f>
        <v>0</v>
      </c>
      <c r="AJ132">
        <f>IF(COUNT($AI$119:$AI$132)&lt;14,"",AVERAGE($AI$119:$AI$132))</f>
        <v>0</v>
      </c>
      <c r="AK132">
        <f>IF(COUNT($E$2:$E132)&lt;20,"",AVERAGE($E$113:$E$132))</f>
        <v>0</v>
      </c>
      <c r="AL132">
        <f>IF(COUNT($E$2:$E132)&lt;20,"",STDEVP($E$113:$E$132))</f>
        <v>0</v>
      </c>
      <c r="AM132">
        <f>IF(AK132="","",AK132+2*AL132)</f>
        <v>0</v>
      </c>
      <c r="AN132">
        <f>IF(AK132="","",AK132-2*AL132)</f>
        <v>0</v>
      </c>
      <c r="AO132">
        <f>IF(OR(AM132="",AN132="",AM132=AN132),"",($E132-AN132)/(AM132-AN132))</f>
        <v>0</v>
      </c>
      <c r="AP132">
        <f>IF(OR(AM132="",AK132="",AK132=0),"",(AM132-AN132)/AK132)</f>
        <v>0</v>
      </c>
      <c r="AQ132">
        <f>IF(COUNT($E$2:$E132)&lt;20,"",MAX($C$113:$C$132))</f>
        <v>0</v>
      </c>
      <c r="AR132">
        <f>IF(COUNT($E$2:$E132)&lt;20,"",MIN($D$113:$D$132))</f>
        <v>0</v>
      </c>
      <c r="AS132">
        <f>IF(OR(AQ132="",AR132=""),"",(AQ132+AR132)/2)</f>
        <v>0</v>
      </c>
      <c r="AT132">
        <f>IF(COUNT($G$113:$G$132)&lt;20,"",STDEV($G$113:$G$132)*SQRT(252))</f>
        <v>0</v>
      </c>
      <c r="AU132">
        <f>IF(COUNT($E$2:$E132)&lt;9,"",(MAX($C$124:$C$132)+MIN($D$124:$D$132))/2)</f>
        <v>0</v>
      </c>
      <c r="AV132">
        <f>IF(COUNT($E$2:$E132)&lt;26,"",(MAX($C$107:$C$132)+MIN($D$107:$D$132))/2)</f>
        <v>0</v>
      </c>
      <c r="AW132">
        <f>IF(OR(AU132="",AV132=""),"",(AU132+AV132)/2)</f>
        <v>0</v>
      </c>
      <c r="AX132">
        <f>IF(COUNT($E$2:$E132)&lt;52,"",(MAX($C$81:$C$132)+MIN($D$81:$D$132))/2)</f>
        <v>0</v>
      </c>
      <c r="AY132">
        <f>IF(COUNT($E$2:$E132)&lt;20,"",MAX($C$33:$C$132))</f>
        <v>0</v>
      </c>
      <c r="AZ132">
        <f>IF(COUNT($E$2:$E132)&lt;20,"",MIN($D$33:$D$132))</f>
        <v>0</v>
      </c>
      <c r="BA132">
        <f>IF(COUNT($E$2:$E132)&lt;20,"",SLOPE($E$33:$E$132,$F$33:$F$132))</f>
        <v>0</v>
      </c>
      <c r="BB132">
        <f>IF(COUNT($E$2:$E132)&lt;20,"",INTERCEPT($E$33:$E$132,$F$33:$F$132))</f>
        <v>0</v>
      </c>
      <c r="BC132">
        <f>IF(OR(BA132="",BB132=""),"",BB132+BA132*F132)</f>
        <v>0</v>
      </c>
      <c r="BD132">
        <f>IF(COUNT($E$2:$E132)&lt;20,"",STEYX($E$33:$E$132,$F$33:$F$132))</f>
        <v>0</v>
      </c>
      <c r="BE132">
        <f>IF($E132="","",IF(AND(COUNT($E$133:$E$136)&gt;=4,$C132=MAX($C$128:$C$136)),$C132,""))</f>
        <v>0</v>
      </c>
      <c r="BF132">
        <f>IF($E132="","",IF(AND(COUNT($E$133:$E$136)&gt;=4,$D132=MIN($D$128:$D$136)),$D132,""))</f>
        <v>0</v>
      </c>
      <c r="BG132">
        <f>IF($A132="","",$A132-WEEKDAY($A132,2)+1)</f>
        <v>0</v>
      </c>
      <c r="BH132">
        <f>IF($A132="","",IF($A131="",1,IF(BG132&lt;&gt;BG131,1,0)))</f>
        <v>0</v>
      </c>
      <c r="BI132">
        <f>IF($A132="","",IF($A133="",1,IF(BG133&lt;&gt;BG132,1,0)))</f>
        <v>0</v>
      </c>
      <c r="BJ132">
        <f>IF($A132="","",IF(BH132=1,$B132,BJ131))</f>
        <v>0</v>
      </c>
      <c r="BK132">
        <f>IF($A132="","",IF(BH132=1,$C132,MAX($C132,BK131)))</f>
        <v>0</v>
      </c>
      <c r="BL132">
        <f>IF($A132="","",IF(BH132=1,$D132,MIN($D132,BL131)))</f>
        <v>0</v>
      </c>
      <c r="BM132">
        <f>IF($A132="","",IF(BI132=1,F132,""))</f>
        <v>0</v>
      </c>
      <c r="BN132">
        <f>IF($A132="","",DATE(YEAR($A132),MONTH($A132),1))</f>
        <v>0</v>
      </c>
      <c r="BO132">
        <f>IF($A132="","",IF($A131="",1,IF(BN132&lt;&gt;BN131,1,0)))</f>
        <v>0</v>
      </c>
      <c r="BP132">
        <f>IF($A132="","",IF($A133="",1,IF(BN133&lt;&gt;BN132,1,0)))</f>
        <v>0</v>
      </c>
      <c r="BQ132">
        <f>IF($A132="","",IF(BO132=1,$B132,BQ131))</f>
        <v>0</v>
      </c>
      <c r="BR132">
        <f>IF($A132="","",IF(BO132=1,$C132,MAX($C132,BR131)))</f>
        <v>0</v>
      </c>
      <c r="BS132">
        <f>IF($A132="","",IF(BO132=1,$D132,MIN($D132,BS131)))</f>
        <v>0</v>
      </c>
      <c r="BT132">
        <f>IF($A132="","",IF(BP132=1,F132,""))</f>
        <v>0</v>
      </c>
    </row>
    <row r="133" spans="1:72">
      <c r="A133" s="27">
        <f>IF(Data!$A133="","",Data!$A133)</f>
        <v>0</v>
      </c>
      <c r="B133">
        <f>IF(Data!$B133="","",Data!$B133)</f>
        <v>0</v>
      </c>
      <c r="C133">
        <f>IF(Data!$C133="","",Data!$C133)</f>
        <v>0</v>
      </c>
      <c r="D133">
        <f>IF(Data!$D133="","",Data!$D133)</f>
        <v>0</v>
      </c>
      <c r="E133">
        <f>IF(Data!$E133="","",Data!$E133)</f>
        <v>0</v>
      </c>
      <c r="F133">
        <f>IF($E133="","",N(F132)+1)</f>
        <v>0</v>
      </c>
      <c r="G133">
        <f>IF(OR($E133="",$E132=""),"",LN($E133/$E132))</f>
        <v>0</v>
      </c>
      <c r="H133">
        <f>IF($E133="","",IF($E132="",$E133,$E133*0.0952380952+H132*0.9047619048))</f>
        <v>0</v>
      </c>
      <c r="I133">
        <f>IF($E133="","",IF($E132="",$E133,$E133*0.0392156863+I132*0.9607843137))</f>
        <v>0</v>
      </c>
      <c r="J133">
        <f>IF($E133="","",IF($E132="",$E133,$E133*0.0198019802+J132*0.9801980198))</f>
        <v>0</v>
      </c>
      <c r="K133">
        <f>IF($E133="","",IF($E132="",$E133,$E133*0.0099502488+K132*0.9900497512))</f>
        <v>0</v>
      </c>
      <c r="L133">
        <f>IF(OR($E133="",$E132=""),"",MAX($E133-$E132,0))</f>
        <v>0</v>
      </c>
      <c r="M133">
        <f>IF(OR($E133="",$E132=""),"",MAX($E132-$E133,0))</f>
        <v>0</v>
      </c>
      <c r="N133">
        <f>IF(COUNT($E$2:$E133)&lt;15,"",IF(AVERAGE($M$120:$M$133)=0,100,100-100/(1+AVERAGE($L$120:$L$133)/AVERAGE($M$120:$M$133))))</f>
        <v>0</v>
      </c>
      <c r="O133">
        <f>IF($E133="","",IF($E132="",$E133,$E133*0.1538461538+O132*0.8461538462))</f>
        <v>0</v>
      </c>
      <c r="P133">
        <f>IF($E133="","",IF($E132="",$E133,$E133*0.0740740741+P132*0.9259259259))</f>
        <v>0</v>
      </c>
      <c r="Q133">
        <f>IF(OR(O133="",P133=""),"",O133-P133)</f>
        <v>0</v>
      </c>
      <c r="R133">
        <f>IF(Q133="","",IF(R132="",Q133,Q133*0.2000000000+R132*0.8000000000))</f>
        <v>0</v>
      </c>
      <c r="S133">
        <f>IF(OR(Q133="",R133=""),"",Q133-R133)</f>
        <v>0</v>
      </c>
      <c r="T133">
        <f>IF(COUNT($E$2:$E133)&lt;14,"",MAX($C$120:$C$133))</f>
        <v>0</v>
      </c>
      <c r="U133">
        <f>IF(COUNT($E$2:$E133)&lt;14,"",MIN($D$120:$D$133))</f>
        <v>0</v>
      </c>
      <c r="V133">
        <f>IF(OR(T133="",U133="",T133=U133),"",100*($E133-U133)/(T133-U133))</f>
        <v>0</v>
      </c>
      <c r="W133">
        <f>IF(COUNT($V$131:$V$133)&lt;3,"",AVERAGE($V$131:$V$133))</f>
        <v>0</v>
      </c>
      <c r="X133">
        <f>IF(COUNT($N$120:$N$133)&lt;14,"",MIN($N$120:$N$133))</f>
        <v>0</v>
      </c>
      <c r="Y133">
        <f>IF(COUNT($N$120:$N$133)&lt;14,"",MAX($N$120:$N$133))</f>
        <v>0</v>
      </c>
      <c r="Z133">
        <f>IF(OR(N133="",X133="",Y133="",Y133=X133),"",100*(N133-X133)/(Y133-X133))</f>
        <v>0</v>
      </c>
      <c r="AA133">
        <f>IF(COUNT($Z$131:$Z$133)&lt;3,"",AVERAGE($Z$131:$Z$133))</f>
        <v>0</v>
      </c>
      <c r="AB133">
        <f>IF(COUNT($AA$131:$AA$133)&lt;3,"",AVERAGE($AA$131:$AA$133))</f>
        <v>0</v>
      </c>
      <c r="AC133">
        <f>IF($E133="","",MAX($C133-$D133,ABS($C133-$E132),ABS($D133-$E132)))</f>
        <v>0</v>
      </c>
      <c r="AD133">
        <f>IF(COUNT($E$2:$E133)&lt;15,"",AVERAGE($AC$120:$AC$133))</f>
        <v>0</v>
      </c>
      <c r="AE133">
        <f>IF(OR($E133="",$E132=""),"",IF(AND(($C133-$C132)&gt;($D132-$D133),($C133-$C132)&gt;0),$C133-$C132,0))</f>
        <v>0</v>
      </c>
      <c r="AF133">
        <f>IF(OR($E133="",$E132=""),"",IF(AND(($D132-$D133)&gt;($C133-$C132),($D132-$D133)&gt;0),$D132-$D133,0))</f>
        <v>0</v>
      </c>
      <c r="AG133">
        <f>IF(COUNT($E$2:$E133)&lt;15,"",IF(SUM($AC$120:$AC$133)=0,0,100*SUM($AE$120:$AE$133)/SUM($AC$120:$AC$133)))</f>
        <v>0</v>
      </c>
      <c r="AH133">
        <f>IF(COUNT($E$2:$E133)&lt;15,"",IF(SUM($AC$120:$AC$133)=0,0,100*SUM($AF$120:$AF$133)/SUM($AC$120:$AC$133)))</f>
        <v>0</v>
      </c>
      <c r="AI133">
        <f>IF(OR(AG133="",AH133=""),"",IF((AG133+AH133)=0,0,100*ABS(AG133-AH133)/(AG133+AH133)))</f>
        <v>0</v>
      </c>
      <c r="AJ133">
        <f>IF(COUNT($AI$120:$AI$133)&lt;14,"",AVERAGE($AI$120:$AI$133))</f>
        <v>0</v>
      </c>
      <c r="AK133">
        <f>IF(COUNT($E$2:$E133)&lt;20,"",AVERAGE($E$114:$E$133))</f>
        <v>0</v>
      </c>
      <c r="AL133">
        <f>IF(COUNT($E$2:$E133)&lt;20,"",STDEVP($E$114:$E$133))</f>
        <v>0</v>
      </c>
      <c r="AM133">
        <f>IF(AK133="","",AK133+2*AL133)</f>
        <v>0</v>
      </c>
      <c r="AN133">
        <f>IF(AK133="","",AK133-2*AL133)</f>
        <v>0</v>
      </c>
      <c r="AO133">
        <f>IF(OR(AM133="",AN133="",AM133=AN133),"",($E133-AN133)/(AM133-AN133))</f>
        <v>0</v>
      </c>
      <c r="AP133">
        <f>IF(OR(AM133="",AK133="",AK133=0),"",(AM133-AN133)/AK133)</f>
        <v>0</v>
      </c>
      <c r="AQ133">
        <f>IF(COUNT($E$2:$E133)&lt;20,"",MAX($C$114:$C$133))</f>
        <v>0</v>
      </c>
      <c r="AR133">
        <f>IF(COUNT($E$2:$E133)&lt;20,"",MIN($D$114:$D$133))</f>
        <v>0</v>
      </c>
      <c r="AS133">
        <f>IF(OR(AQ133="",AR133=""),"",(AQ133+AR133)/2)</f>
        <v>0</v>
      </c>
      <c r="AT133">
        <f>IF(COUNT($G$114:$G$133)&lt;20,"",STDEV($G$114:$G$133)*SQRT(252))</f>
        <v>0</v>
      </c>
      <c r="AU133">
        <f>IF(COUNT($E$2:$E133)&lt;9,"",(MAX($C$125:$C$133)+MIN($D$125:$D$133))/2)</f>
        <v>0</v>
      </c>
      <c r="AV133">
        <f>IF(COUNT($E$2:$E133)&lt;26,"",(MAX($C$108:$C$133)+MIN($D$108:$D$133))/2)</f>
        <v>0</v>
      </c>
      <c r="AW133">
        <f>IF(OR(AU133="",AV133=""),"",(AU133+AV133)/2)</f>
        <v>0</v>
      </c>
      <c r="AX133">
        <f>IF(COUNT($E$2:$E133)&lt;52,"",(MAX($C$82:$C$133)+MIN($D$82:$D$133))/2)</f>
        <v>0</v>
      </c>
      <c r="AY133">
        <f>IF(COUNT($E$2:$E133)&lt;20,"",MAX($C$34:$C$133))</f>
        <v>0</v>
      </c>
      <c r="AZ133">
        <f>IF(COUNT($E$2:$E133)&lt;20,"",MIN($D$34:$D$133))</f>
        <v>0</v>
      </c>
      <c r="BA133">
        <f>IF(COUNT($E$2:$E133)&lt;20,"",SLOPE($E$34:$E$133,$F$34:$F$133))</f>
        <v>0</v>
      </c>
      <c r="BB133">
        <f>IF(COUNT($E$2:$E133)&lt;20,"",INTERCEPT($E$34:$E$133,$F$34:$F$133))</f>
        <v>0</v>
      </c>
      <c r="BC133">
        <f>IF(OR(BA133="",BB133=""),"",BB133+BA133*F133)</f>
        <v>0</v>
      </c>
      <c r="BD133">
        <f>IF(COUNT($E$2:$E133)&lt;20,"",STEYX($E$34:$E$133,$F$34:$F$133))</f>
        <v>0</v>
      </c>
      <c r="BE133">
        <f>IF($E133="","",IF(AND(COUNT($E$134:$E$137)&gt;=4,$C133=MAX($C$129:$C$137)),$C133,""))</f>
        <v>0</v>
      </c>
      <c r="BF133">
        <f>IF($E133="","",IF(AND(COUNT($E$134:$E$137)&gt;=4,$D133=MIN($D$129:$D$137)),$D133,""))</f>
        <v>0</v>
      </c>
      <c r="BG133">
        <f>IF($A133="","",$A133-WEEKDAY($A133,2)+1)</f>
        <v>0</v>
      </c>
      <c r="BH133">
        <f>IF($A133="","",IF($A132="",1,IF(BG133&lt;&gt;BG132,1,0)))</f>
        <v>0</v>
      </c>
      <c r="BI133">
        <f>IF($A133="","",IF($A134="",1,IF(BG134&lt;&gt;BG133,1,0)))</f>
        <v>0</v>
      </c>
      <c r="BJ133">
        <f>IF($A133="","",IF(BH133=1,$B133,BJ132))</f>
        <v>0</v>
      </c>
      <c r="BK133">
        <f>IF($A133="","",IF(BH133=1,$C133,MAX($C133,BK132)))</f>
        <v>0</v>
      </c>
      <c r="BL133">
        <f>IF($A133="","",IF(BH133=1,$D133,MIN($D133,BL132)))</f>
        <v>0</v>
      </c>
      <c r="BM133">
        <f>IF($A133="","",IF(BI133=1,F133,""))</f>
        <v>0</v>
      </c>
      <c r="BN133">
        <f>IF($A133="","",DATE(YEAR($A133),MONTH($A133),1))</f>
        <v>0</v>
      </c>
      <c r="BO133">
        <f>IF($A133="","",IF($A132="",1,IF(BN133&lt;&gt;BN132,1,0)))</f>
        <v>0</v>
      </c>
      <c r="BP133">
        <f>IF($A133="","",IF($A134="",1,IF(BN134&lt;&gt;BN133,1,0)))</f>
        <v>0</v>
      </c>
      <c r="BQ133">
        <f>IF($A133="","",IF(BO133=1,$B133,BQ132))</f>
        <v>0</v>
      </c>
      <c r="BR133">
        <f>IF($A133="","",IF(BO133=1,$C133,MAX($C133,BR132)))</f>
        <v>0</v>
      </c>
      <c r="BS133">
        <f>IF($A133="","",IF(BO133=1,$D133,MIN($D133,BS132)))</f>
        <v>0</v>
      </c>
      <c r="BT133">
        <f>IF($A133="","",IF(BP133=1,F133,""))</f>
        <v>0</v>
      </c>
    </row>
    <row r="134" spans="1:72">
      <c r="A134" s="27">
        <f>IF(Data!$A134="","",Data!$A134)</f>
        <v>0</v>
      </c>
      <c r="B134">
        <f>IF(Data!$B134="","",Data!$B134)</f>
        <v>0</v>
      </c>
      <c r="C134">
        <f>IF(Data!$C134="","",Data!$C134)</f>
        <v>0</v>
      </c>
      <c r="D134">
        <f>IF(Data!$D134="","",Data!$D134)</f>
        <v>0</v>
      </c>
      <c r="E134">
        <f>IF(Data!$E134="","",Data!$E134)</f>
        <v>0</v>
      </c>
      <c r="F134">
        <f>IF($E134="","",N(F133)+1)</f>
        <v>0</v>
      </c>
      <c r="G134">
        <f>IF(OR($E134="",$E133=""),"",LN($E134/$E133))</f>
        <v>0</v>
      </c>
      <c r="H134">
        <f>IF($E134="","",IF($E133="",$E134,$E134*0.0952380952+H133*0.9047619048))</f>
        <v>0</v>
      </c>
      <c r="I134">
        <f>IF($E134="","",IF($E133="",$E134,$E134*0.0392156863+I133*0.9607843137))</f>
        <v>0</v>
      </c>
      <c r="J134">
        <f>IF($E134="","",IF($E133="",$E134,$E134*0.0198019802+J133*0.9801980198))</f>
        <v>0</v>
      </c>
      <c r="K134">
        <f>IF($E134="","",IF($E133="",$E134,$E134*0.0099502488+K133*0.9900497512))</f>
        <v>0</v>
      </c>
      <c r="L134">
        <f>IF(OR($E134="",$E133=""),"",MAX($E134-$E133,0))</f>
        <v>0</v>
      </c>
      <c r="M134">
        <f>IF(OR($E134="",$E133=""),"",MAX($E133-$E134,0))</f>
        <v>0</v>
      </c>
      <c r="N134">
        <f>IF(COUNT($E$2:$E134)&lt;15,"",IF(AVERAGE($M$121:$M$134)=0,100,100-100/(1+AVERAGE($L$121:$L$134)/AVERAGE($M$121:$M$134))))</f>
        <v>0</v>
      </c>
      <c r="O134">
        <f>IF($E134="","",IF($E133="",$E134,$E134*0.1538461538+O133*0.8461538462))</f>
        <v>0</v>
      </c>
      <c r="P134">
        <f>IF($E134="","",IF($E133="",$E134,$E134*0.0740740741+P133*0.9259259259))</f>
        <v>0</v>
      </c>
      <c r="Q134">
        <f>IF(OR(O134="",P134=""),"",O134-P134)</f>
        <v>0</v>
      </c>
      <c r="R134">
        <f>IF(Q134="","",IF(R133="",Q134,Q134*0.2000000000+R133*0.8000000000))</f>
        <v>0</v>
      </c>
      <c r="S134">
        <f>IF(OR(Q134="",R134=""),"",Q134-R134)</f>
        <v>0</v>
      </c>
      <c r="T134">
        <f>IF(COUNT($E$2:$E134)&lt;14,"",MAX($C$121:$C$134))</f>
        <v>0</v>
      </c>
      <c r="U134">
        <f>IF(COUNT($E$2:$E134)&lt;14,"",MIN($D$121:$D$134))</f>
        <v>0</v>
      </c>
      <c r="V134">
        <f>IF(OR(T134="",U134="",T134=U134),"",100*($E134-U134)/(T134-U134))</f>
        <v>0</v>
      </c>
      <c r="W134">
        <f>IF(COUNT($V$132:$V$134)&lt;3,"",AVERAGE($V$132:$V$134))</f>
        <v>0</v>
      </c>
      <c r="X134">
        <f>IF(COUNT($N$121:$N$134)&lt;14,"",MIN($N$121:$N$134))</f>
        <v>0</v>
      </c>
      <c r="Y134">
        <f>IF(COUNT($N$121:$N$134)&lt;14,"",MAX($N$121:$N$134))</f>
        <v>0</v>
      </c>
      <c r="Z134">
        <f>IF(OR(N134="",X134="",Y134="",Y134=X134),"",100*(N134-X134)/(Y134-X134))</f>
        <v>0</v>
      </c>
      <c r="AA134">
        <f>IF(COUNT($Z$132:$Z$134)&lt;3,"",AVERAGE($Z$132:$Z$134))</f>
        <v>0</v>
      </c>
      <c r="AB134">
        <f>IF(COUNT($AA$132:$AA$134)&lt;3,"",AVERAGE($AA$132:$AA$134))</f>
        <v>0</v>
      </c>
      <c r="AC134">
        <f>IF($E134="","",MAX($C134-$D134,ABS($C134-$E133),ABS($D134-$E133)))</f>
        <v>0</v>
      </c>
      <c r="AD134">
        <f>IF(COUNT($E$2:$E134)&lt;15,"",AVERAGE($AC$121:$AC$134))</f>
        <v>0</v>
      </c>
      <c r="AE134">
        <f>IF(OR($E134="",$E133=""),"",IF(AND(($C134-$C133)&gt;($D133-$D134),($C134-$C133)&gt;0),$C134-$C133,0))</f>
        <v>0</v>
      </c>
      <c r="AF134">
        <f>IF(OR($E134="",$E133=""),"",IF(AND(($D133-$D134)&gt;($C134-$C133),($D133-$D134)&gt;0),$D133-$D134,0))</f>
        <v>0</v>
      </c>
      <c r="AG134">
        <f>IF(COUNT($E$2:$E134)&lt;15,"",IF(SUM($AC$121:$AC$134)=0,0,100*SUM($AE$121:$AE$134)/SUM($AC$121:$AC$134)))</f>
        <v>0</v>
      </c>
      <c r="AH134">
        <f>IF(COUNT($E$2:$E134)&lt;15,"",IF(SUM($AC$121:$AC$134)=0,0,100*SUM($AF$121:$AF$134)/SUM($AC$121:$AC$134)))</f>
        <v>0</v>
      </c>
      <c r="AI134">
        <f>IF(OR(AG134="",AH134=""),"",IF((AG134+AH134)=0,0,100*ABS(AG134-AH134)/(AG134+AH134)))</f>
        <v>0</v>
      </c>
      <c r="AJ134">
        <f>IF(COUNT($AI$121:$AI$134)&lt;14,"",AVERAGE($AI$121:$AI$134))</f>
        <v>0</v>
      </c>
      <c r="AK134">
        <f>IF(COUNT($E$2:$E134)&lt;20,"",AVERAGE($E$115:$E$134))</f>
        <v>0</v>
      </c>
      <c r="AL134">
        <f>IF(COUNT($E$2:$E134)&lt;20,"",STDEVP($E$115:$E$134))</f>
        <v>0</v>
      </c>
      <c r="AM134">
        <f>IF(AK134="","",AK134+2*AL134)</f>
        <v>0</v>
      </c>
      <c r="AN134">
        <f>IF(AK134="","",AK134-2*AL134)</f>
        <v>0</v>
      </c>
      <c r="AO134">
        <f>IF(OR(AM134="",AN134="",AM134=AN134),"",($E134-AN134)/(AM134-AN134))</f>
        <v>0</v>
      </c>
      <c r="AP134">
        <f>IF(OR(AM134="",AK134="",AK134=0),"",(AM134-AN134)/AK134)</f>
        <v>0</v>
      </c>
      <c r="AQ134">
        <f>IF(COUNT($E$2:$E134)&lt;20,"",MAX($C$115:$C$134))</f>
        <v>0</v>
      </c>
      <c r="AR134">
        <f>IF(COUNT($E$2:$E134)&lt;20,"",MIN($D$115:$D$134))</f>
        <v>0</v>
      </c>
      <c r="AS134">
        <f>IF(OR(AQ134="",AR134=""),"",(AQ134+AR134)/2)</f>
        <v>0</v>
      </c>
      <c r="AT134">
        <f>IF(COUNT($G$115:$G$134)&lt;20,"",STDEV($G$115:$G$134)*SQRT(252))</f>
        <v>0</v>
      </c>
      <c r="AU134">
        <f>IF(COUNT($E$2:$E134)&lt;9,"",(MAX($C$126:$C$134)+MIN($D$126:$D$134))/2)</f>
        <v>0</v>
      </c>
      <c r="AV134">
        <f>IF(COUNT($E$2:$E134)&lt;26,"",(MAX($C$109:$C$134)+MIN($D$109:$D$134))/2)</f>
        <v>0</v>
      </c>
      <c r="AW134">
        <f>IF(OR(AU134="",AV134=""),"",(AU134+AV134)/2)</f>
        <v>0</v>
      </c>
      <c r="AX134">
        <f>IF(COUNT($E$2:$E134)&lt;52,"",(MAX($C$83:$C$134)+MIN($D$83:$D$134))/2)</f>
        <v>0</v>
      </c>
      <c r="AY134">
        <f>IF(COUNT($E$2:$E134)&lt;20,"",MAX($C$35:$C$134))</f>
        <v>0</v>
      </c>
      <c r="AZ134">
        <f>IF(COUNT($E$2:$E134)&lt;20,"",MIN($D$35:$D$134))</f>
        <v>0</v>
      </c>
      <c r="BA134">
        <f>IF(COUNT($E$2:$E134)&lt;20,"",SLOPE($E$35:$E$134,$F$35:$F$134))</f>
        <v>0</v>
      </c>
      <c r="BB134">
        <f>IF(COUNT($E$2:$E134)&lt;20,"",INTERCEPT($E$35:$E$134,$F$35:$F$134))</f>
        <v>0</v>
      </c>
      <c r="BC134">
        <f>IF(OR(BA134="",BB134=""),"",BB134+BA134*F134)</f>
        <v>0</v>
      </c>
      <c r="BD134">
        <f>IF(COUNT($E$2:$E134)&lt;20,"",STEYX($E$35:$E$134,$F$35:$F$134))</f>
        <v>0</v>
      </c>
      <c r="BE134">
        <f>IF($E134="","",IF(AND(COUNT($E$135:$E$138)&gt;=4,$C134=MAX($C$130:$C$138)),$C134,""))</f>
        <v>0</v>
      </c>
      <c r="BF134">
        <f>IF($E134="","",IF(AND(COUNT($E$135:$E$138)&gt;=4,$D134=MIN($D$130:$D$138)),$D134,""))</f>
        <v>0</v>
      </c>
      <c r="BG134">
        <f>IF($A134="","",$A134-WEEKDAY($A134,2)+1)</f>
        <v>0</v>
      </c>
      <c r="BH134">
        <f>IF($A134="","",IF($A133="",1,IF(BG134&lt;&gt;BG133,1,0)))</f>
        <v>0</v>
      </c>
      <c r="BI134">
        <f>IF($A134="","",IF($A135="",1,IF(BG135&lt;&gt;BG134,1,0)))</f>
        <v>0</v>
      </c>
      <c r="BJ134">
        <f>IF($A134="","",IF(BH134=1,$B134,BJ133))</f>
        <v>0</v>
      </c>
      <c r="BK134">
        <f>IF($A134="","",IF(BH134=1,$C134,MAX($C134,BK133)))</f>
        <v>0</v>
      </c>
      <c r="BL134">
        <f>IF($A134="","",IF(BH134=1,$D134,MIN($D134,BL133)))</f>
        <v>0</v>
      </c>
      <c r="BM134">
        <f>IF($A134="","",IF(BI134=1,F134,""))</f>
        <v>0</v>
      </c>
      <c r="BN134">
        <f>IF($A134="","",DATE(YEAR($A134),MONTH($A134),1))</f>
        <v>0</v>
      </c>
      <c r="BO134">
        <f>IF($A134="","",IF($A133="",1,IF(BN134&lt;&gt;BN133,1,0)))</f>
        <v>0</v>
      </c>
      <c r="BP134">
        <f>IF($A134="","",IF($A135="",1,IF(BN135&lt;&gt;BN134,1,0)))</f>
        <v>0</v>
      </c>
      <c r="BQ134">
        <f>IF($A134="","",IF(BO134=1,$B134,BQ133))</f>
        <v>0</v>
      </c>
      <c r="BR134">
        <f>IF($A134="","",IF(BO134=1,$C134,MAX($C134,BR133)))</f>
        <v>0</v>
      </c>
      <c r="BS134">
        <f>IF($A134="","",IF(BO134=1,$D134,MIN($D134,BS133)))</f>
        <v>0</v>
      </c>
      <c r="BT134">
        <f>IF($A134="","",IF(BP134=1,F134,""))</f>
        <v>0</v>
      </c>
    </row>
    <row r="135" spans="1:72">
      <c r="A135" s="27">
        <f>IF(Data!$A135="","",Data!$A135)</f>
        <v>0</v>
      </c>
      <c r="B135">
        <f>IF(Data!$B135="","",Data!$B135)</f>
        <v>0</v>
      </c>
      <c r="C135">
        <f>IF(Data!$C135="","",Data!$C135)</f>
        <v>0</v>
      </c>
      <c r="D135">
        <f>IF(Data!$D135="","",Data!$D135)</f>
        <v>0</v>
      </c>
      <c r="E135">
        <f>IF(Data!$E135="","",Data!$E135)</f>
        <v>0</v>
      </c>
      <c r="F135">
        <f>IF($E135="","",N(F134)+1)</f>
        <v>0</v>
      </c>
      <c r="G135">
        <f>IF(OR($E135="",$E134=""),"",LN($E135/$E134))</f>
        <v>0</v>
      </c>
      <c r="H135">
        <f>IF($E135="","",IF($E134="",$E135,$E135*0.0952380952+H134*0.9047619048))</f>
        <v>0</v>
      </c>
      <c r="I135">
        <f>IF($E135="","",IF($E134="",$E135,$E135*0.0392156863+I134*0.9607843137))</f>
        <v>0</v>
      </c>
      <c r="J135">
        <f>IF($E135="","",IF($E134="",$E135,$E135*0.0198019802+J134*0.9801980198))</f>
        <v>0</v>
      </c>
      <c r="K135">
        <f>IF($E135="","",IF($E134="",$E135,$E135*0.0099502488+K134*0.9900497512))</f>
        <v>0</v>
      </c>
      <c r="L135">
        <f>IF(OR($E135="",$E134=""),"",MAX($E135-$E134,0))</f>
        <v>0</v>
      </c>
      <c r="M135">
        <f>IF(OR($E135="",$E134=""),"",MAX($E134-$E135,0))</f>
        <v>0</v>
      </c>
      <c r="N135">
        <f>IF(COUNT($E$2:$E135)&lt;15,"",IF(AVERAGE($M$122:$M$135)=0,100,100-100/(1+AVERAGE($L$122:$L$135)/AVERAGE($M$122:$M$135))))</f>
        <v>0</v>
      </c>
      <c r="O135">
        <f>IF($E135="","",IF($E134="",$E135,$E135*0.1538461538+O134*0.8461538462))</f>
        <v>0</v>
      </c>
      <c r="P135">
        <f>IF($E135="","",IF($E134="",$E135,$E135*0.0740740741+P134*0.9259259259))</f>
        <v>0</v>
      </c>
      <c r="Q135">
        <f>IF(OR(O135="",P135=""),"",O135-P135)</f>
        <v>0</v>
      </c>
      <c r="R135">
        <f>IF(Q135="","",IF(R134="",Q135,Q135*0.2000000000+R134*0.8000000000))</f>
        <v>0</v>
      </c>
      <c r="S135">
        <f>IF(OR(Q135="",R135=""),"",Q135-R135)</f>
        <v>0</v>
      </c>
      <c r="T135">
        <f>IF(COUNT($E$2:$E135)&lt;14,"",MAX($C$122:$C$135))</f>
        <v>0</v>
      </c>
      <c r="U135">
        <f>IF(COUNT($E$2:$E135)&lt;14,"",MIN($D$122:$D$135))</f>
        <v>0</v>
      </c>
      <c r="V135">
        <f>IF(OR(T135="",U135="",T135=U135),"",100*($E135-U135)/(T135-U135))</f>
        <v>0</v>
      </c>
      <c r="W135">
        <f>IF(COUNT($V$133:$V$135)&lt;3,"",AVERAGE($V$133:$V$135))</f>
        <v>0</v>
      </c>
      <c r="X135">
        <f>IF(COUNT($N$122:$N$135)&lt;14,"",MIN($N$122:$N$135))</f>
        <v>0</v>
      </c>
      <c r="Y135">
        <f>IF(COUNT($N$122:$N$135)&lt;14,"",MAX($N$122:$N$135))</f>
        <v>0</v>
      </c>
      <c r="Z135">
        <f>IF(OR(N135="",X135="",Y135="",Y135=X135),"",100*(N135-X135)/(Y135-X135))</f>
        <v>0</v>
      </c>
      <c r="AA135">
        <f>IF(COUNT($Z$133:$Z$135)&lt;3,"",AVERAGE($Z$133:$Z$135))</f>
        <v>0</v>
      </c>
      <c r="AB135">
        <f>IF(COUNT($AA$133:$AA$135)&lt;3,"",AVERAGE($AA$133:$AA$135))</f>
        <v>0</v>
      </c>
      <c r="AC135">
        <f>IF($E135="","",MAX($C135-$D135,ABS($C135-$E134),ABS($D135-$E134)))</f>
        <v>0</v>
      </c>
      <c r="AD135">
        <f>IF(COUNT($E$2:$E135)&lt;15,"",AVERAGE($AC$122:$AC$135))</f>
        <v>0</v>
      </c>
      <c r="AE135">
        <f>IF(OR($E135="",$E134=""),"",IF(AND(($C135-$C134)&gt;($D134-$D135),($C135-$C134)&gt;0),$C135-$C134,0))</f>
        <v>0</v>
      </c>
      <c r="AF135">
        <f>IF(OR($E135="",$E134=""),"",IF(AND(($D134-$D135)&gt;($C135-$C134),($D134-$D135)&gt;0),$D134-$D135,0))</f>
        <v>0</v>
      </c>
      <c r="AG135">
        <f>IF(COUNT($E$2:$E135)&lt;15,"",IF(SUM($AC$122:$AC$135)=0,0,100*SUM($AE$122:$AE$135)/SUM($AC$122:$AC$135)))</f>
        <v>0</v>
      </c>
      <c r="AH135">
        <f>IF(COUNT($E$2:$E135)&lt;15,"",IF(SUM($AC$122:$AC$135)=0,0,100*SUM($AF$122:$AF$135)/SUM($AC$122:$AC$135)))</f>
        <v>0</v>
      </c>
      <c r="AI135">
        <f>IF(OR(AG135="",AH135=""),"",IF((AG135+AH135)=0,0,100*ABS(AG135-AH135)/(AG135+AH135)))</f>
        <v>0</v>
      </c>
      <c r="AJ135">
        <f>IF(COUNT($AI$122:$AI$135)&lt;14,"",AVERAGE($AI$122:$AI$135))</f>
        <v>0</v>
      </c>
      <c r="AK135">
        <f>IF(COUNT($E$2:$E135)&lt;20,"",AVERAGE($E$116:$E$135))</f>
        <v>0</v>
      </c>
      <c r="AL135">
        <f>IF(COUNT($E$2:$E135)&lt;20,"",STDEVP($E$116:$E$135))</f>
        <v>0</v>
      </c>
      <c r="AM135">
        <f>IF(AK135="","",AK135+2*AL135)</f>
        <v>0</v>
      </c>
      <c r="AN135">
        <f>IF(AK135="","",AK135-2*AL135)</f>
        <v>0</v>
      </c>
      <c r="AO135">
        <f>IF(OR(AM135="",AN135="",AM135=AN135),"",($E135-AN135)/(AM135-AN135))</f>
        <v>0</v>
      </c>
      <c r="AP135">
        <f>IF(OR(AM135="",AK135="",AK135=0),"",(AM135-AN135)/AK135)</f>
        <v>0</v>
      </c>
      <c r="AQ135">
        <f>IF(COUNT($E$2:$E135)&lt;20,"",MAX($C$116:$C$135))</f>
        <v>0</v>
      </c>
      <c r="AR135">
        <f>IF(COUNT($E$2:$E135)&lt;20,"",MIN($D$116:$D$135))</f>
        <v>0</v>
      </c>
      <c r="AS135">
        <f>IF(OR(AQ135="",AR135=""),"",(AQ135+AR135)/2)</f>
        <v>0</v>
      </c>
      <c r="AT135">
        <f>IF(COUNT($G$116:$G$135)&lt;20,"",STDEV($G$116:$G$135)*SQRT(252))</f>
        <v>0</v>
      </c>
      <c r="AU135">
        <f>IF(COUNT($E$2:$E135)&lt;9,"",(MAX($C$127:$C$135)+MIN($D$127:$D$135))/2)</f>
        <v>0</v>
      </c>
      <c r="AV135">
        <f>IF(COUNT($E$2:$E135)&lt;26,"",(MAX($C$110:$C$135)+MIN($D$110:$D$135))/2)</f>
        <v>0</v>
      </c>
      <c r="AW135">
        <f>IF(OR(AU135="",AV135=""),"",(AU135+AV135)/2)</f>
        <v>0</v>
      </c>
      <c r="AX135">
        <f>IF(COUNT($E$2:$E135)&lt;52,"",(MAX($C$84:$C$135)+MIN($D$84:$D$135))/2)</f>
        <v>0</v>
      </c>
      <c r="AY135">
        <f>IF(COUNT($E$2:$E135)&lt;20,"",MAX($C$36:$C$135))</f>
        <v>0</v>
      </c>
      <c r="AZ135">
        <f>IF(COUNT($E$2:$E135)&lt;20,"",MIN($D$36:$D$135))</f>
        <v>0</v>
      </c>
      <c r="BA135">
        <f>IF(COUNT($E$2:$E135)&lt;20,"",SLOPE($E$36:$E$135,$F$36:$F$135))</f>
        <v>0</v>
      </c>
      <c r="BB135">
        <f>IF(COUNT($E$2:$E135)&lt;20,"",INTERCEPT($E$36:$E$135,$F$36:$F$135))</f>
        <v>0</v>
      </c>
      <c r="BC135">
        <f>IF(OR(BA135="",BB135=""),"",BB135+BA135*F135)</f>
        <v>0</v>
      </c>
      <c r="BD135">
        <f>IF(COUNT($E$2:$E135)&lt;20,"",STEYX($E$36:$E$135,$F$36:$F$135))</f>
        <v>0</v>
      </c>
      <c r="BE135">
        <f>IF($E135="","",IF(AND(COUNT($E$136:$E$139)&gt;=4,$C135=MAX($C$131:$C$139)),$C135,""))</f>
        <v>0</v>
      </c>
      <c r="BF135">
        <f>IF($E135="","",IF(AND(COUNT($E$136:$E$139)&gt;=4,$D135=MIN($D$131:$D$139)),$D135,""))</f>
        <v>0</v>
      </c>
      <c r="BG135">
        <f>IF($A135="","",$A135-WEEKDAY($A135,2)+1)</f>
        <v>0</v>
      </c>
      <c r="BH135">
        <f>IF($A135="","",IF($A134="",1,IF(BG135&lt;&gt;BG134,1,0)))</f>
        <v>0</v>
      </c>
      <c r="BI135">
        <f>IF($A135="","",IF($A136="",1,IF(BG136&lt;&gt;BG135,1,0)))</f>
        <v>0</v>
      </c>
      <c r="BJ135">
        <f>IF($A135="","",IF(BH135=1,$B135,BJ134))</f>
        <v>0</v>
      </c>
      <c r="BK135">
        <f>IF($A135="","",IF(BH135=1,$C135,MAX($C135,BK134)))</f>
        <v>0</v>
      </c>
      <c r="BL135">
        <f>IF($A135="","",IF(BH135=1,$D135,MIN($D135,BL134)))</f>
        <v>0</v>
      </c>
      <c r="BM135">
        <f>IF($A135="","",IF(BI135=1,F135,""))</f>
        <v>0</v>
      </c>
      <c r="BN135">
        <f>IF($A135="","",DATE(YEAR($A135),MONTH($A135),1))</f>
        <v>0</v>
      </c>
      <c r="BO135">
        <f>IF($A135="","",IF($A134="",1,IF(BN135&lt;&gt;BN134,1,0)))</f>
        <v>0</v>
      </c>
      <c r="BP135">
        <f>IF($A135="","",IF($A136="",1,IF(BN136&lt;&gt;BN135,1,0)))</f>
        <v>0</v>
      </c>
      <c r="BQ135">
        <f>IF($A135="","",IF(BO135=1,$B135,BQ134))</f>
        <v>0</v>
      </c>
      <c r="BR135">
        <f>IF($A135="","",IF(BO135=1,$C135,MAX($C135,BR134)))</f>
        <v>0</v>
      </c>
      <c r="BS135">
        <f>IF($A135="","",IF(BO135=1,$D135,MIN($D135,BS134)))</f>
        <v>0</v>
      </c>
      <c r="BT135">
        <f>IF($A135="","",IF(BP135=1,F135,""))</f>
        <v>0</v>
      </c>
    </row>
    <row r="136" spans="1:72">
      <c r="A136" s="27">
        <f>IF(Data!$A136="","",Data!$A136)</f>
        <v>0</v>
      </c>
      <c r="B136">
        <f>IF(Data!$B136="","",Data!$B136)</f>
        <v>0</v>
      </c>
      <c r="C136">
        <f>IF(Data!$C136="","",Data!$C136)</f>
        <v>0</v>
      </c>
      <c r="D136">
        <f>IF(Data!$D136="","",Data!$D136)</f>
        <v>0</v>
      </c>
      <c r="E136">
        <f>IF(Data!$E136="","",Data!$E136)</f>
        <v>0</v>
      </c>
      <c r="F136">
        <f>IF($E136="","",N(F135)+1)</f>
        <v>0</v>
      </c>
      <c r="G136">
        <f>IF(OR($E136="",$E135=""),"",LN($E136/$E135))</f>
        <v>0</v>
      </c>
      <c r="H136">
        <f>IF($E136="","",IF($E135="",$E136,$E136*0.0952380952+H135*0.9047619048))</f>
        <v>0</v>
      </c>
      <c r="I136">
        <f>IF($E136="","",IF($E135="",$E136,$E136*0.0392156863+I135*0.9607843137))</f>
        <v>0</v>
      </c>
      <c r="J136">
        <f>IF($E136="","",IF($E135="",$E136,$E136*0.0198019802+J135*0.9801980198))</f>
        <v>0</v>
      </c>
      <c r="K136">
        <f>IF($E136="","",IF($E135="",$E136,$E136*0.0099502488+K135*0.9900497512))</f>
        <v>0</v>
      </c>
      <c r="L136">
        <f>IF(OR($E136="",$E135=""),"",MAX($E136-$E135,0))</f>
        <v>0</v>
      </c>
      <c r="M136">
        <f>IF(OR($E136="",$E135=""),"",MAX($E135-$E136,0))</f>
        <v>0</v>
      </c>
      <c r="N136">
        <f>IF(COUNT($E$2:$E136)&lt;15,"",IF(AVERAGE($M$123:$M$136)=0,100,100-100/(1+AVERAGE($L$123:$L$136)/AVERAGE($M$123:$M$136))))</f>
        <v>0</v>
      </c>
      <c r="O136">
        <f>IF($E136="","",IF($E135="",$E136,$E136*0.1538461538+O135*0.8461538462))</f>
        <v>0</v>
      </c>
      <c r="P136">
        <f>IF($E136="","",IF($E135="",$E136,$E136*0.0740740741+P135*0.9259259259))</f>
        <v>0</v>
      </c>
      <c r="Q136">
        <f>IF(OR(O136="",P136=""),"",O136-P136)</f>
        <v>0</v>
      </c>
      <c r="R136">
        <f>IF(Q136="","",IF(R135="",Q136,Q136*0.2000000000+R135*0.8000000000))</f>
        <v>0</v>
      </c>
      <c r="S136">
        <f>IF(OR(Q136="",R136=""),"",Q136-R136)</f>
        <v>0</v>
      </c>
      <c r="T136">
        <f>IF(COUNT($E$2:$E136)&lt;14,"",MAX($C$123:$C$136))</f>
        <v>0</v>
      </c>
      <c r="U136">
        <f>IF(COUNT($E$2:$E136)&lt;14,"",MIN($D$123:$D$136))</f>
        <v>0</v>
      </c>
      <c r="V136">
        <f>IF(OR(T136="",U136="",T136=U136),"",100*($E136-U136)/(T136-U136))</f>
        <v>0</v>
      </c>
      <c r="W136">
        <f>IF(COUNT($V$134:$V$136)&lt;3,"",AVERAGE($V$134:$V$136))</f>
        <v>0</v>
      </c>
      <c r="X136">
        <f>IF(COUNT($N$123:$N$136)&lt;14,"",MIN($N$123:$N$136))</f>
        <v>0</v>
      </c>
      <c r="Y136">
        <f>IF(COUNT($N$123:$N$136)&lt;14,"",MAX($N$123:$N$136))</f>
        <v>0</v>
      </c>
      <c r="Z136">
        <f>IF(OR(N136="",X136="",Y136="",Y136=X136),"",100*(N136-X136)/(Y136-X136))</f>
        <v>0</v>
      </c>
      <c r="AA136">
        <f>IF(COUNT($Z$134:$Z$136)&lt;3,"",AVERAGE($Z$134:$Z$136))</f>
        <v>0</v>
      </c>
      <c r="AB136">
        <f>IF(COUNT($AA$134:$AA$136)&lt;3,"",AVERAGE($AA$134:$AA$136))</f>
        <v>0</v>
      </c>
      <c r="AC136">
        <f>IF($E136="","",MAX($C136-$D136,ABS($C136-$E135),ABS($D136-$E135)))</f>
        <v>0</v>
      </c>
      <c r="AD136">
        <f>IF(COUNT($E$2:$E136)&lt;15,"",AVERAGE($AC$123:$AC$136))</f>
        <v>0</v>
      </c>
      <c r="AE136">
        <f>IF(OR($E136="",$E135=""),"",IF(AND(($C136-$C135)&gt;($D135-$D136),($C136-$C135)&gt;0),$C136-$C135,0))</f>
        <v>0</v>
      </c>
      <c r="AF136">
        <f>IF(OR($E136="",$E135=""),"",IF(AND(($D135-$D136)&gt;($C136-$C135),($D135-$D136)&gt;0),$D135-$D136,0))</f>
        <v>0</v>
      </c>
      <c r="AG136">
        <f>IF(COUNT($E$2:$E136)&lt;15,"",IF(SUM($AC$123:$AC$136)=0,0,100*SUM($AE$123:$AE$136)/SUM($AC$123:$AC$136)))</f>
        <v>0</v>
      </c>
      <c r="AH136">
        <f>IF(COUNT($E$2:$E136)&lt;15,"",IF(SUM($AC$123:$AC$136)=0,0,100*SUM($AF$123:$AF$136)/SUM($AC$123:$AC$136)))</f>
        <v>0</v>
      </c>
      <c r="AI136">
        <f>IF(OR(AG136="",AH136=""),"",IF((AG136+AH136)=0,0,100*ABS(AG136-AH136)/(AG136+AH136)))</f>
        <v>0</v>
      </c>
      <c r="AJ136">
        <f>IF(COUNT($AI$123:$AI$136)&lt;14,"",AVERAGE($AI$123:$AI$136))</f>
        <v>0</v>
      </c>
      <c r="AK136">
        <f>IF(COUNT($E$2:$E136)&lt;20,"",AVERAGE($E$117:$E$136))</f>
        <v>0</v>
      </c>
      <c r="AL136">
        <f>IF(COUNT($E$2:$E136)&lt;20,"",STDEVP($E$117:$E$136))</f>
        <v>0</v>
      </c>
      <c r="AM136">
        <f>IF(AK136="","",AK136+2*AL136)</f>
        <v>0</v>
      </c>
      <c r="AN136">
        <f>IF(AK136="","",AK136-2*AL136)</f>
        <v>0</v>
      </c>
      <c r="AO136">
        <f>IF(OR(AM136="",AN136="",AM136=AN136),"",($E136-AN136)/(AM136-AN136))</f>
        <v>0</v>
      </c>
      <c r="AP136">
        <f>IF(OR(AM136="",AK136="",AK136=0),"",(AM136-AN136)/AK136)</f>
        <v>0</v>
      </c>
      <c r="AQ136">
        <f>IF(COUNT($E$2:$E136)&lt;20,"",MAX($C$117:$C$136))</f>
        <v>0</v>
      </c>
      <c r="AR136">
        <f>IF(COUNT($E$2:$E136)&lt;20,"",MIN($D$117:$D$136))</f>
        <v>0</v>
      </c>
      <c r="AS136">
        <f>IF(OR(AQ136="",AR136=""),"",(AQ136+AR136)/2)</f>
        <v>0</v>
      </c>
      <c r="AT136">
        <f>IF(COUNT($G$117:$G$136)&lt;20,"",STDEV($G$117:$G$136)*SQRT(252))</f>
        <v>0</v>
      </c>
      <c r="AU136">
        <f>IF(COUNT($E$2:$E136)&lt;9,"",(MAX($C$128:$C$136)+MIN($D$128:$D$136))/2)</f>
        <v>0</v>
      </c>
      <c r="AV136">
        <f>IF(COUNT($E$2:$E136)&lt;26,"",(MAX($C$111:$C$136)+MIN($D$111:$D$136))/2)</f>
        <v>0</v>
      </c>
      <c r="AW136">
        <f>IF(OR(AU136="",AV136=""),"",(AU136+AV136)/2)</f>
        <v>0</v>
      </c>
      <c r="AX136">
        <f>IF(COUNT($E$2:$E136)&lt;52,"",(MAX($C$85:$C$136)+MIN($D$85:$D$136))/2)</f>
        <v>0</v>
      </c>
      <c r="AY136">
        <f>IF(COUNT($E$2:$E136)&lt;20,"",MAX($C$37:$C$136))</f>
        <v>0</v>
      </c>
      <c r="AZ136">
        <f>IF(COUNT($E$2:$E136)&lt;20,"",MIN($D$37:$D$136))</f>
        <v>0</v>
      </c>
      <c r="BA136">
        <f>IF(COUNT($E$2:$E136)&lt;20,"",SLOPE($E$37:$E$136,$F$37:$F$136))</f>
        <v>0</v>
      </c>
      <c r="BB136">
        <f>IF(COUNT($E$2:$E136)&lt;20,"",INTERCEPT($E$37:$E$136,$F$37:$F$136))</f>
        <v>0</v>
      </c>
      <c r="BC136">
        <f>IF(OR(BA136="",BB136=""),"",BB136+BA136*F136)</f>
        <v>0</v>
      </c>
      <c r="BD136">
        <f>IF(COUNT($E$2:$E136)&lt;20,"",STEYX($E$37:$E$136,$F$37:$F$136))</f>
        <v>0</v>
      </c>
      <c r="BE136">
        <f>IF($E136="","",IF(AND(COUNT($E$137:$E$140)&gt;=4,$C136=MAX($C$132:$C$140)),$C136,""))</f>
        <v>0</v>
      </c>
      <c r="BF136">
        <f>IF($E136="","",IF(AND(COUNT($E$137:$E$140)&gt;=4,$D136=MIN($D$132:$D$140)),$D136,""))</f>
        <v>0</v>
      </c>
      <c r="BG136">
        <f>IF($A136="","",$A136-WEEKDAY($A136,2)+1)</f>
        <v>0</v>
      </c>
      <c r="BH136">
        <f>IF($A136="","",IF($A135="",1,IF(BG136&lt;&gt;BG135,1,0)))</f>
        <v>0</v>
      </c>
      <c r="BI136">
        <f>IF($A136="","",IF($A137="",1,IF(BG137&lt;&gt;BG136,1,0)))</f>
        <v>0</v>
      </c>
      <c r="BJ136">
        <f>IF($A136="","",IF(BH136=1,$B136,BJ135))</f>
        <v>0</v>
      </c>
      <c r="BK136">
        <f>IF($A136="","",IF(BH136=1,$C136,MAX($C136,BK135)))</f>
        <v>0</v>
      </c>
      <c r="BL136">
        <f>IF($A136="","",IF(BH136=1,$D136,MIN($D136,BL135)))</f>
        <v>0</v>
      </c>
      <c r="BM136">
        <f>IF($A136="","",IF(BI136=1,F136,""))</f>
        <v>0</v>
      </c>
      <c r="BN136">
        <f>IF($A136="","",DATE(YEAR($A136),MONTH($A136),1))</f>
        <v>0</v>
      </c>
      <c r="BO136">
        <f>IF($A136="","",IF($A135="",1,IF(BN136&lt;&gt;BN135,1,0)))</f>
        <v>0</v>
      </c>
      <c r="BP136">
        <f>IF($A136="","",IF($A137="",1,IF(BN137&lt;&gt;BN136,1,0)))</f>
        <v>0</v>
      </c>
      <c r="BQ136">
        <f>IF($A136="","",IF(BO136=1,$B136,BQ135))</f>
        <v>0</v>
      </c>
      <c r="BR136">
        <f>IF($A136="","",IF(BO136=1,$C136,MAX($C136,BR135)))</f>
        <v>0</v>
      </c>
      <c r="BS136">
        <f>IF($A136="","",IF(BO136=1,$D136,MIN($D136,BS135)))</f>
        <v>0</v>
      </c>
      <c r="BT136">
        <f>IF($A136="","",IF(BP136=1,F136,""))</f>
        <v>0</v>
      </c>
    </row>
    <row r="137" spans="1:72">
      <c r="A137" s="27">
        <f>IF(Data!$A137="","",Data!$A137)</f>
        <v>0</v>
      </c>
      <c r="B137">
        <f>IF(Data!$B137="","",Data!$B137)</f>
        <v>0</v>
      </c>
      <c r="C137">
        <f>IF(Data!$C137="","",Data!$C137)</f>
        <v>0</v>
      </c>
      <c r="D137">
        <f>IF(Data!$D137="","",Data!$D137)</f>
        <v>0</v>
      </c>
      <c r="E137">
        <f>IF(Data!$E137="","",Data!$E137)</f>
        <v>0</v>
      </c>
      <c r="F137">
        <f>IF($E137="","",N(F136)+1)</f>
        <v>0</v>
      </c>
      <c r="G137">
        <f>IF(OR($E137="",$E136=""),"",LN($E137/$E136))</f>
        <v>0</v>
      </c>
      <c r="H137">
        <f>IF($E137="","",IF($E136="",$E137,$E137*0.0952380952+H136*0.9047619048))</f>
        <v>0</v>
      </c>
      <c r="I137">
        <f>IF($E137="","",IF($E136="",$E137,$E137*0.0392156863+I136*0.9607843137))</f>
        <v>0</v>
      </c>
      <c r="J137">
        <f>IF($E137="","",IF($E136="",$E137,$E137*0.0198019802+J136*0.9801980198))</f>
        <v>0</v>
      </c>
      <c r="K137">
        <f>IF($E137="","",IF($E136="",$E137,$E137*0.0099502488+K136*0.9900497512))</f>
        <v>0</v>
      </c>
      <c r="L137">
        <f>IF(OR($E137="",$E136=""),"",MAX($E137-$E136,0))</f>
        <v>0</v>
      </c>
      <c r="M137">
        <f>IF(OR($E137="",$E136=""),"",MAX($E136-$E137,0))</f>
        <v>0</v>
      </c>
      <c r="N137">
        <f>IF(COUNT($E$2:$E137)&lt;15,"",IF(AVERAGE($M$124:$M$137)=0,100,100-100/(1+AVERAGE($L$124:$L$137)/AVERAGE($M$124:$M$137))))</f>
        <v>0</v>
      </c>
      <c r="O137">
        <f>IF($E137="","",IF($E136="",$E137,$E137*0.1538461538+O136*0.8461538462))</f>
        <v>0</v>
      </c>
      <c r="P137">
        <f>IF($E137="","",IF($E136="",$E137,$E137*0.0740740741+P136*0.9259259259))</f>
        <v>0</v>
      </c>
      <c r="Q137">
        <f>IF(OR(O137="",P137=""),"",O137-P137)</f>
        <v>0</v>
      </c>
      <c r="R137">
        <f>IF(Q137="","",IF(R136="",Q137,Q137*0.2000000000+R136*0.8000000000))</f>
        <v>0</v>
      </c>
      <c r="S137">
        <f>IF(OR(Q137="",R137=""),"",Q137-R137)</f>
        <v>0</v>
      </c>
      <c r="T137">
        <f>IF(COUNT($E$2:$E137)&lt;14,"",MAX($C$124:$C$137))</f>
        <v>0</v>
      </c>
      <c r="U137">
        <f>IF(COUNT($E$2:$E137)&lt;14,"",MIN($D$124:$D$137))</f>
        <v>0</v>
      </c>
      <c r="V137">
        <f>IF(OR(T137="",U137="",T137=U137),"",100*($E137-U137)/(T137-U137))</f>
        <v>0</v>
      </c>
      <c r="W137">
        <f>IF(COUNT($V$135:$V$137)&lt;3,"",AVERAGE($V$135:$V$137))</f>
        <v>0</v>
      </c>
      <c r="X137">
        <f>IF(COUNT($N$124:$N$137)&lt;14,"",MIN($N$124:$N$137))</f>
        <v>0</v>
      </c>
      <c r="Y137">
        <f>IF(COUNT($N$124:$N$137)&lt;14,"",MAX($N$124:$N$137))</f>
        <v>0</v>
      </c>
      <c r="Z137">
        <f>IF(OR(N137="",X137="",Y137="",Y137=X137),"",100*(N137-X137)/(Y137-X137))</f>
        <v>0</v>
      </c>
      <c r="AA137">
        <f>IF(COUNT($Z$135:$Z$137)&lt;3,"",AVERAGE($Z$135:$Z$137))</f>
        <v>0</v>
      </c>
      <c r="AB137">
        <f>IF(COUNT($AA$135:$AA$137)&lt;3,"",AVERAGE($AA$135:$AA$137))</f>
        <v>0</v>
      </c>
      <c r="AC137">
        <f>IF($E137="","",MAX($C137-$D137,ABS($C137-$E136),ABS($D137-$E136)))</f>
        <v>0</v>
      </c>
      <c r="AD137">
        <f>IF(COUNT($E$2:$E137)&lt;15,"",AVERAGE($AC$124:$AC$137))</f>
        <v>0</v>
      </c>
      <c r="AE137">
        <f>IF(OR($E137="",$E136=""),"",IF(AND(($C137-$C136)&gt;($D136-$D137),($C137-$C136)&gt;0),$C137-$C136,0))</f>
        <v>0</v>
      </c>
      <c r="AF137">
        <f>IF(OR($E137="",$E136=""),"",IF(AND(($D136-$D137)&gt;($C137-$C136),($D136-$D137)&gt;0),$D136-$D137,0))</f>
        <v>0</v>
      </c>
      <c r="AG137">
        <f>IF(COUNT($E$2:$E137)&lt;15,"",IF(SUM($AC$124:$AC$137)=0,0,100*SUM($AE$124:$AE$137)/SUM($AC$124:$AC$137)))</f>
        <v>0</v>
      </c>
      <c r="AH137">
        <f>IF(COUNT($E$2:$E137)&lt;15,"",IF(SUM($AC$124:$AC$137)=0,0,100*SUM($AF$124:$AF$137)/SUM($AC$124:$AC$137)))</f>
        <v>0</v>
      </c>
      <c r="AI137">
        <f>IF(OR(AG137="",AH137=""),"",IF((AG137+AH137)=0,0,100*ABS(AG137-AH137)/(AG137+AH137)))</f>
        <v>0</v>
      </c>
      <c r="AJ137">
        <f>IF(COUNT($AI$124:$AI$137)&lt;14,"",AVERAGE($AI$124:$AI$137))</f>
        <v>0</v>
      </c>
      <c r="AK137">
        <f>IF(COUNT($E$2:$E137)&lt;20,"",AVERAGE($E$118:$E$137))</f>
        <v>0</v>
      </c>
      <c r="AL137">
        <f>IF(COUNT($E$2:$E137)&lt;20,"",STDEVP($E$118:$E$137))</f>
        <v>0</v>
      </c>
      <c r="AM137">
        <f>IF(AK137="","",AK137+2*AL137)</f>
        <v>0</v>
      </c>
      <c r="AN137">
        <f>IF(AK137="","",AK137-2*AL137)</f>
        <v>0</v>
      </c>
      <c r="AO137">
        <f>IF(OR(AM137="",AN137="",AM137=AN137),"",($E137-AN137)/(AM137-AN137))</f>
        <v>0</v>
      </c>
      <c r="AP137">
        <f>IF(OR(AM137="",AK137="",AK137=0),"",(AM137-AN137)/AK137)</f>
        <v>0</v>
      </c>
      <c r="AQ137">
        <f>IF(COUNT($E$2:$E137)&lt;20,"",MAX($C$118:$C$137))</f>
        <v>0</v>
      </c>
      <c r="AR137">
        <f>IF(COUNT($E$2:$E137)&lt;20,"",MIN($D$118:$D$137))</f>
        <v>0</v>
      </c>
      <c r="AS137">
        <f>IF(OR(AQ137="",AR137=""),"",(AQ137+AR137)/2)</f>
        <v>0</v>
      </c>
      <c r="AT137">
        <f>IF(COUNT($G$118:$G$137)&lt;20,"",STDEV($G$118:$G$137)*SQRT(252))</f>
        <v>0</v>
      </c>
      <c r="AU137">
        <f>IF(COUNT($E$2:$E137)&lt;9,"",(MAX($C$129:$C$137)+MIN($D$129:$D$137))/2)</f>
        <v>0</v>
      </c>
      <c r="AV137">
        <f>IF(COUNT($E$2:$E137)&lt;26,"",(MAX($C$112:$C$137)+MIN($D$112:$D$137))/2)</f>
        <v>0</v>
      </c>
      <c r="AW137">
        <f>IF(OR(AU137="",AV137=""),"",(AU137+AV137)/2)</f>
        <v>0</v>
      </c>
      <c r="AX137">
        <f>IF(COUNT($E$2:$E137)&lt;52,"",(MAX($C$86:$C$137)+MIN($D$86:$D$137))/2)</f>
        <v>0</v>
      </c>
      <c r="AY137">
        <f>IF(COUNT($E$2:$E137)&lt;20,"",MAX($C$38:$C$137))</f>
        <v>0</v>
      </c>
      <c r="AZ137">
        <f>IF(COUNT($E$2:$E137)&lt;20,"",MIN($D$38:$D$137))</f>
        <v>0</v>
      </c>
      <c r="BA137">
        <f>IF(COUNT($E$2:$E137)&lt;20,"",SLOPE($E$38:$E$137,$F$38:$F$137))</f>
        <v>0</v>
      </c>
      <c r="BB137">
        <f>IF(COUNT($E$2:$E137)&lt;20,"",INTERCEPT($E$38:$E$137,$F$38:$F$137))</f>
        <v>0</v>
      </c>
      <c r="BC137">
        <f>IF(OR(BA137="",BB137=""),"",BB137+BA137*F137)</f>
        <v>0</v>
      </c>
      <c r="BD137">
        <f>IF(COUNT($E$2:$E137)&lt;20,"",STEYX($E$38:$E$137,$F$38:$F$137))</f>
        <v>0</v>
      </c>
      <c r="BE137">
        <f>IF($E137="","",IF(AND(COUNT($E$138:$E$141)&gt;=4,$C137=MAX($C$133:$C$141)),$C137,""))</f>
        <v>0</v>
      </c>
      <c r="BF137">
        <f>IF($E137="","",IF(AND(COUNT($E$138:$E$141)&gt;=4,$D137=MIN($D$133:$D$141)),$D137,""))</f>
        <v>0</v>
      </c>
      <c r="BG137">
        <f>IF($A137="","",$A137-WEEKDAY($A137,2)+1)</f>
        <v>0</v>
      </c>
      <c r="BH137">
        <f>IF($A137="","",IF($A136="",1,IF(BG137&lt;&gt;BG136,1,0)))</f>
        <v>0</v>
      </c>
      <c r="BI137">
        <f>IF($A137="","",IF($A138="",1,IF(BG138&lt;&gt;BG137,1,0)))</f>
        <v>0</v>
      </c>
      <c r="BJ137">
        <f>IF($A137="","",IF(BH137=1,$B137,BJ136))</f>
        <v>0</v>
      </c>
      <c r="BK137">
        <f>IF($A137="","",IF(BH137=1,$C137,MAX($C137,BK136)))</f>
        <v>0</v>
      </c>
      <c r="BL137">
        <f>IF($A137="","",IF(BH137=1,$D137,MIN($D137,BL136)))</f>
        <v>0</v>
      </c>
      <c r="BM137">
        <f>IF($A137="","",IF(BI137=1,F137,""))</f>
        <v>0</v>
      </c>
      <c r="BN137">
        <f>IF($A137="","",DATE(YEAR($A137),MONTH($A137),1))</f>
        <v>0</v>
      </c>
      <c r="BO137">
        <f>IF($A137="","",IF($A136="",1,IF(BN137&lt;&gt;BN136,1,0)))</f>
        <v>0</v>
      </c>
      <c r="BP137">
        <f>IF($A137="","",IF($A138="",1,IF(BN138&lt;&gt;BN137,1,0)))</f>
        <v>0</v>
      </c>
      <c r="BQ137">
        <f>IF($A137="","",IF(BO137=1,$B137,BQ136))</f>
        <v>0</v>
      </c>
      <c r="BR137">
        <f>IF($A137="","",IF(BO137=1,$C137,MAX($C137,BR136)))</f>
        <v>0</v>
      </c>
      <c r="BS137">
        <f>IF($A137="","",IF(BO137=1,$D137,MIN($D137,BS136)))</f>
        <v>0</v>
      </c>
      <c r="BT137">
        <f>IF($A137="","",IF(BP137=1,F137,""))</f>
        <v>0</v>
      </c>
    </row>
    <row r="138" spans="1:72">
      <c r="A138" s="27">
        <f>IF(Data!$A138="","",Data!$A138)</f>
        <v>0</v>
      </c>
      <c r="B138">
        <f>IF(Data!$B138="","",Data!$B138)</f>
        <v>0</v>
      </c>
      <c r="C138">
        <f>IF(Data!$C138="","",Data!$C138)</f>
        <v>0</v>
      </c>
      <c r="D138">
        <f>IF(Data!$D138="","",Data!$D138)</f>
        <v>0</v>
      </c>
      <c r="E138">
        <f>IF(Data!$E138="","",Data!$E138)</f>
        <v>0</v>
      </c>
      <c r="F138">
        <f>IF($E138="","",N(F137)+1)</f>
        <v>0</v>
      </c>
      <c r="G138">
        <f>IF(OR($E138="",$E137=""),"",LN($E138/$E137))</f>
        <v>0</v>
      </c>
      <c r="H138">
        <f>IF($E138="","",IF($E137="",$E138,$E138*0.0952380952+H137*0.9047619048))</f>
        <v>0</v>
      </c>
      <c r="I138">
        <f>IF($E138="","",IF($E137="",$E138,$E138*0.0392156863+I137*0.9607843137))</f>
        <v>0</v>
      </c>
      <c r="J138">
        <f>IF($E138="","",IF($E137="",$E138,$E138*0.0198019802+J137*0.9801980198))</f>
        <v>0</v>
      </c>
      <c r="K138">
        <f>IF($E138="","",IF($E137="",$E138,$E138*0.0099502488+K137*0.9900497512))</f>
        <v>0</v>
      </c>
      <c r="L138">
        <f>IF(OR($E138="",$E137=""),"",MAX($E138-$E137,0))</f>
        <v>0</v>
      </c>
      <c r="M138">
        <f>IF(OR($E138="",$E137=""),"",MAX($E137-$E138,0))</f>
        <v>0</v>
      </c>
      <c r="N138">
        <f>IF(COUNT($E$2:$E138)&lt;15,"",IF(AVERAGE($M$125:$M$138)=0,100,100-100/(1+AVERAGE($L$125:$L$138)/AVERAGE($M$125:$M$138))))</f>
        <v>0</v>
      </c>
      <c r="O138">
        <f>IF($E138="","",IF($E137="",$E138,$E138*0.1538461538+O137*0.8461538462))</f>
        <v>0</v>
      </c>
      <c r="P138">
        <f>IF($E138="","",IF($E137="",$E138,$E138*0.0740740741+P137*0.9259259259))</f>
        <v>0</v>
      </c>
      <c r="Q138">
        <f>IF(OR(O138="",P138=""),"",O138-P138)</f>
        <v>0</v>
      </c>
      <c r="R138">
        <f>IF(Q138="","",IF(R137="",Q138,Q138*0.2000000000+R137*0.8000000000))</f>
        <v>0</v>
      </c>
      <c r="S138">
        <f>IF(OR(Q138="",R138=""),"",Q138-R138)</f>
        <v>0</v>
      </c>
      <c r="T138">
        <f>IF(COUNT($E$2:$E138)&lt;14,"",MAX($C$125:$C$138))</f>
        <v>0</v>
      </c>
      <c r="U138">
        <f>IF(COUNT($E$2:$E138)&lt;14,"",MIN($D$125:$D$138))</f>
        <v>0</v>
      </c>
      <c r="V138">
        <f>IF(OR(T138="",U138="",T138=U138),"",100*($E138-U138)/(T138-U138))</f>
        <v>0</v>
      </c>
      <c r="W138">
        <f>IF(COUNT($V$136:$V$138)&lt;3,"",AVERAGE($V$136:$V$138))</f>
        <v>0</v>
      </c>
      <c r="X138">
        <f>IF(COUNT($N$125:$N$138)&lt;14,"",MIN($N$125:$N$138))</f>
        <v>0</v>
      </c>
      <c r="Y138">
        <f>IF(COUNT($N$125:$N$138)&lt;14,"",MAX($N$125:$N$138))</f>
        <v>0</v>
      </c>
      <c r="Z138">
        <f>IF(OR(N138="",X138="",Y138="",Y138=X138),"",100*(N138-X138)/(Y138-X138))</f>
        <v>0</v>
      </c>
      <c r="AA138">
        <f>IF(COUNT($Z$136:$Z$138)&lt;3,"",AVERAGE($Z$136:$Z$138))</f>
        <v>0</v>
      </c>
      <c r="AB138">
        <f>IF(COUNT($AA$136:$AA$138)&lt;3,"",AVERAGE($AA$136:$AA$138))</f>
        <v>0</v>
      </c>
      <c r="AC138">
        <f>IF($E138="","",MAX($C138-$D138,ABS($C138-$E137),ABS($D138-$E137)))</f>
        <v>0</v>
      </c>
      <c r="AD138">
        <f>IF(COUNT($E$2:$E138)&lt;15,"",AVERAGE($AC$125:$AC$138))</f>
        <v>0</v>
      </c>
      <c r="AE138">
        <f>IF(OR($E138="",$E137=""),"",IF(AND(($C138-$C137)&gt;($D137-$D138),($C138-$C137)&gt;0),$C138-$C137,0))</f>
        <v>0</v>
      </c>
      <c r="AF138">
        <f>IF(OR($E138="",$E137=""),"",IF(AND(($D137-$D138)&gt;($C138-$C137),($D137-$D138)&gt;0),$D137-$D138,0))</f>
        <v>0</v>
      </c>
      <c r="AG138">
        <f>IF(COUNT($E$2:$E138)&lt;15,"",IF(SUM($AC$125:$AC$138)=0,0,100*SUM($AE$125:$AE$138)/SUM($AC$125:$AC$138)))</f>
        <v>0</v>
      </c>
      <c r="AH138">
        <f>IF(COUNT($E$2:$E138)&lt;15,"",IF(SUM($AC$125:$AC$138)=0,0,100*SUM($AF$125:$AF$138)/SUM($AC$125:$AC$138)))</f>
        <v>0</v>
      </c>
      <c r="AI138">
        <f>IF(OR(AG138="",AH138=""),"",IF((AG138+AH138)=0,0,100*ABS(AG138-AH138)/(AG138+AH138)))</f>
        <v>0</v>
      </c>
      <c r="AJ138">
        <f>IF(COUNT($AI$125:$AI$138)&lt;14,"",AVERAGE($AI$125:$AI$138))</f>
        <v>0</v>
      </c>
      <c r="AK138">
        <f>IF(COUNT($E$2:$E138)&lt;20,"",AVERAGE($E$119:$E$138))</f>
        <v>0</v>
      </c>
      <c r="AL138">
        <f>IF(COUNT($E$2:$E138)&lt;20,"",STDEVP($E$119:$E$138))</f>
        <v>0</v>
      </c>
      <c r="AM138">
        <f>IF(AK138="","",AK138+2*AL138)</f>
        <v>0</v>
      </c>
      <c r="AN138">
        <f>IF(AK138="","",AK138-2*AL138)</f>
        <v>0</v>
      </c>
      <c r="AO138">
        <f>IF(OR(AM138="",AN138="",AM138=AN138),"",($E138-AN138)/(AM138-AN138))</f>
        <v>0</v>
      </c>
      <c r="AP138">
        <f>IF(OR(AM138="",AK138="",AK138=0),"",(AM138-AN138)/AK138)</f>
        <v>0</v>
      </c>
      <c r="AQ138">
        <f>IF(COUNT($E$2:$E138)&lt;20,"",MAX($C$119:$C$138))</f>
        <v>0</v>
      </c>
      <c r="AR138">
        <f>IF(COUNT($E$2:$E138)&lt;20,"",MIN($D$119:$D$138))</f>
        <v>0</v>
      </c>
      <c r="AS138">
        <f>IF(OR(AQ138="",AR138=""),"",(AQ138+AR138)/2)</f>
        <v>0</v>
      </c>
      <c r="AT138">
        <f>IF(COUNT($G$119:$G$138)&lt;20,"",STDEV($G$119:$G$138)*SQRT(252))</f>
        <v>0</v>
      </c>
      <c r="AU138">
        <f>IF(COUNT($E$2:$E138)&lt;9,"",(MAX($C$130:$C$138)+MIN($D$130:$D$138))/2)</f>
        <v>0</v>
      </c>
      <c r="AV138">
        <f>IF(COUNT($E$2:$E138)&lt;26,"",(MAX($C$113:$C$138)+MIN($D$113:$D$138))/2)</f>
        <v>0</v>
      </c>
      <c r="AW138">
        <f>IF(OR(AU138="",AV138=""),"",(AU138+AV138)/2)</f>
        <v>0</v>
      </c>
      <c r="AX138">
        <f>IF(COUNT($E$2:$E138)&lt;52,"",(MAX($C$87:$C$138)+MIN($D$87:$D$138))/2)</f>
        <v>0</v>
      </c>
      <c r="AY138">
        <f>IF(COUNT($E$2:$E138)&lt;20,"",MAX($C$39:$C$138))</f>
        <v>0</v>
      </c>
      <c r="AZ138">
        <f>IF(COUNT($E$2:$E138)&lt;20,"",MIN($D$39:$D$138))</f>
        <v>0</v>
      </c>
      <c r="BA138">
        <f>IF(COUNT($E$2:$E138)&lt;20,"",SLOPE($E$39:$E$138,$F$39:$F$138))</f>
        <v>0</v>
      </c>
      <c r="BB138">
        <f>IF(COUNT($E$2:$E138)&lt;20,"",INTERCEPT($E$39:$E$138,$F$39:$F$138))</f>
        <v>0</v>
      </c>
      <c r="BC138">
        <f>IF(OR(BA138="",BB138=""),"",BB138+BA138*F138)</f>
        <v>0</v>
      </c>
      <c r="BD138">
        <f>IF(COUNT($E$2:$E138)&lt;20,"",STEYX($E$39:$E$138,$F$39:$F$138))</f>
        <v>0</v>
      </c>
      <c r="BE138">
        <f>IF($E138="","",IF(AND(COUNT($E$139:$E$142)&gt;=4,$C138=MAX($C$134:$C$142)),$C138,""))</f>
        <v>0</v>
      </c>
      <c r="BF138">
        <f>IF($E138="","",IF(AND(COUNT($E$139:$E$142)&gt;=4,$D138=MIN($D$134:$D$142)),$D138,""))</f>
        <v>0</v>
      </c>
      <c r="BG138">
        <f>IF($A138="","",$A138-WEEKDAY($A138,2)+1)</f>
        <v>0</v>
      </c>
      <c r="BH138">
        <f>IF($A138="","",IF($A137="",1,IF(BG138&lt;&gt;BG137,1,0)))</f>
        <v>0</v>
      </c>
      <c r="BI138">
        <f>IF($A138="","",IF($A139="",1,IF(BG139&lt;&gt;BG138,1,0)))</f>
        <v>0</v>
      </c>
      <c r="BJ138">
        <f>IF($A138="","",IF(BH138=1,$B138,BJ137))</f>
        <v>0</v>
      </c>
      <c r="BK138">
        <f>IF($A138="","",IF(BH138=1,$C138,MAX($C138,BK137)))</f>
        <v>0</v>
      </c>
      <c r="BL138">
        <f>IF($A138="","",IF(BH138=1,$D138,MIN($D138,BL137)))</f>
        <v>0</v>
      </c>
      <c r="BM138">
        <f>IF($A138="","",IF(BI138=1,F138,""))</f>
        <v>0</v>
      </c>
      <c r="BN138">
        <f>IF($A138="","",DATE(YEAR($A138),MONTH($A138),1))</f>
        <v>0</v>
      </c>
      <c r="BO138">
        <f>IF($A138="","",IF($A137="",1,IF(BN138&lt;&gt;BN137,1,0)))</f>
        <v>0</v>
      </c>
      <c r="BP138">
        <f>IF($A138="","",IF($A139="",1,IF(BN139&lt;&gt;BN138,1,0)))</f>
        <v>0</v>
      </c>
      <c r="BQ138">
        <f>IF($A138="","",IF(BO138=1,$B138,BQ137))</f>
        <v>0</v>
      </c>
      <c r="BR138">
        <f>IF($A138="","",IF(BO138=1,$C138,MAX($C138,BR137)))</f>
        <v>0</v>
      </c>
      <c r="BS138">
        <f>IF($A138="","",IF(BO138=1,$D138,MIN($D138,BS137)))</f>
        <v>0</v>
      </c>
      <c r="BT138">
        <f>IF($A138="","",IF(BP138=1,F138,""))</f>
        <v>0</v>
      </c>
    </row>
    <row r="139" spans="1:72">
      <c r="A139" s="27">
        <f>IF(Data!$A139="","",Data!$A139)</f>
        <v>0</v>
      </c>
      <c r="B139">
        <f>IF(Data!$B139="","",Data!$B139)</f>
        <v>0</v>
      </c>
      <c r="C139">
        <f>IF(Data!$C139="","",Data!$C139)</f>
        <v>0</v>
      </c>
      <c r="D139">
        <f>IF(Data!$D139="","",Data!$D139)</f>
        <v>0</v>
      </c>
      <c r="E139">
        <f>IF(Data!$E139="","",Data!$E139)</f>
        <v>0</v>
      </c>
      <c r="F139">
        <f>IF($E139="","",N(F138)+1)</f>
        <v>0</v>
      </c>
      <c r="G139">
        <f>IF(OR($E139="",$E138=""),"",LN($E139/$E138))</f>
        <v>0</v>
      </c>
      <c r="H139">
        <f>IF($E139="","",IF($E138="",$E139,$E139*0.0952380952+H138*0.9047619048))</f>
        <v>0</v>
      </c>
      <c r="I139">
        <f>IF($E139="","",IF($E138="",$E139,$E139*0.0392156863+I138*0.9607843137))</f>
        <v>0</v>
      </c>
      <c r="J139">
        <f>IF($E139="","",IF($E138="",$E139,$E139*0.0198019802+J138*0.9801980198))</f>
        <v>0</v>
      </c>
      <c r="K139">
        <f>IF($E139="","",IF($E138="",$E139,$E139*0.0099502488+K138*0.9900497512))</f>
        <v>0</v>
      </c>
      <c r="L139">
        <f>IF(OR($E139="",$E138=""),"",MAX($E139-$E138,0))</f>
        <v>0</v>
      </c>
      <c r="M139">
        <f>IF(OR($E139="",$E138=""),"",MAX($E138-$E139,0))</f>
        <v>0</v>
      </c>
      <c r="N139">
        <f>IF(COUNT($E$2:$E139)&lt;15,"",IF(AVERAGE($M$126:$M$139)=0,100,100-100/(1+AVERAGE($L$126:$L$139)/AVERAGE($M$126:$M$139))))</f>
        <v>0</v>
      </c>
      <c r="O139">
        <f>IF($E139="","",IF($E138="",$E139,$E139*0.1538461538+O138*0.8461538462))</f>
        <v>0</v>
      </c>
      <c r="P139">
        <f>IF($E139="","",IF($E138="",$E139,$E139*0.0740740741+P138*0.9259259259))</f>
        <v>0</v>
      </c>
      <c r="Q139">
        <f>IF(OR(O139="",P139=""),"",O139-P139)</f>
        <v>0</v>
      </c>
      <c r="R139">
        <f>IF(Q139="","",IF(R138="",Q139,Q139*0.2000000000+R138*0.8000000000))</f>
        <v>0</v>
      </c>
      <c r="S139">
        <f>IF(OR(Q139="",R139=""),"",Q139-R139)</f>
        <v>0</v>
      </c>
      <c r="T139">
        <f>IF(COUNT($E$2:$E139)&lt;14,"",MAX($C$126:$C$139))</f>
        <v>0</v>
      </c>
      <c r="U139">
        <f>IF(COUNT($E$2:$E139)&lt;14,"",MIN($D$126:$D$139))</f>
        <v>0</v>
      </c>
      <c r="V139">
        <f>IF(OR(T139="",U139="",T139=U139),"",100*($E139-U139)/(T139-U139))</f>
        <v>0</v>
      </c>
      <c r="W139">
        <f>IF(COUNT($V$137:$V$139)&lt;3,"",AVERAGE($V$137:$V$139))</f>
        <v>0</v>
      </c>
      <c r="X139">
        <f>IF(COUNT($N$126:$N$139)&lt;14,"",MIN($N$126:$N$139))</f>
        <v>0</v>
      </c>
      <c r="Y139">
        <f>IF(COUNT($N$126:$N$139)&lt;14,"",MAX($N$126:$N$139))</f>
        <v>0</v>
      </c>
      <c r="Z139">
        <f>IF(OR(N139="",X139="",Y139="",Y139=X139),"",100*(N139-X139)/(Y139-X139))</f>
        <v>0</v>
      </c>
      <c r="AA139">
        <f>IF(COUNT($Z$137:$Z$139)&lt;3,"",AVERAGE($Z$137:$Z$139))</f>
        <v>0</v>
      </c>
      <c r="AB139">
        <f>IF(COUNT($AA$137:$AA$139)&lt;3,"",AVERAGE($AA$137:$AA$139))</f>
        <v>0</v>
      </c>
      <c r="AC139">
        <f>IF($E139="","",MAX($C139-$D139,ABS($C139-$E138),ABS($D139-$E138)))</f>
        <v>0</v>
      </c>
      <c r="AD139">
        <f>IF(COUNT($E$2:$E139)&lt;15,"",AVERAGE($AC$126:$AC$139))</f>
        <v>0</v>
      </c>
      <c r="AE139">
        <f>IF(OR($E139="",$E138=""),"",IF(AND(($C139-$C138)&gt;($D138-$D139),($C139-$C138)&gt;0),$C139-$C138,0))</f>
        <v>0</v>
      </c>
      <c r="AF139">
        <f>IF(OR($E139="",$E138=""),"",IF(AND(($D138-$D139)&gt;($C139-$C138),($D138-$D139)&gt;0),$D138-$D139,0))</f>
        <v>0</v>
      </c>
      <c r="AG139">
        <f>IF(COUNT($E$2:$E139)&lt;15,"",IF(SUM($AC$126:$AC$139)=0,0,100*SUM($AE$126:$AE$139)/SUM($AC$126:$AC$139)))</f>
        <v>0</v>
      </c>
      <c r="AH139">
        <f>IF(COUNT($E$2:$E139)&lt;15,"",IF(SUM($AC$126:$AC$139)=0,0,100*SUM($AF$126:$AF$139)/SUM($AC$126:$AC$139)))</f>
        <v>0</v>
      </c>
      <c r="AI139">
        <f>IF(OR(AG139="",AH139=""),"",IF((AG139+AH139)=0,0,100*ABS(AG139-AH139)/(AG139+AH139)))</f>
        <v>0</v>
      </c>
      <c r="AJ139">
        <f>IF(COUNT($AI$126:$AI$139)&lt;14,"",AVERAGE($AI$126:$AI$139))</f>
        <v>0</v>
      </c>
      <c r="AK139">
        <f>IF(COUNT($E$2:$E139)&lt;20,"",AVERAGE($E$120:$E$139))</f>
        <v>0</v>
      </c>
      <c r="AL139">
        <f>IF(COUNT($E$2:$E139)&lt;20,"",STDEVP($E$120:$E$139))</f>
        <v>0</v>
      </c>
      <c r="AM139">
        <f>IF(AK139="","",AK139+2*AL139)</f>
        <v>0</v>
      </c>
      <c r="AN139">
        <f>IF(AK139="","",AK139-2*AL139)</f>
        <v>0</v>
      </c>
      <c r="AO139">
        <f>IF(OR(AM139="",AN139="",AM139=AN139),"",($E139-AN139)/(AM139-AN139))</f>
        <v>0</v>
      </c>
      <c r="AP139">
        <f>IF(OR(AM139="",AK139="",AK139=0),"",(AM139-AN139)/AK139)</f>
        <v>0</v>
      </c>
      <c r="AQ139">
        <f>IF(COUNT($E$2:$E139)&lt;20,"",MAX($C$120:$C$139))</f>
        <v>0</v>
      </c>
      <c r="AR139">
        <f>IF(COUNT($E$2:$E139)&lt;20,"",MIN($D$120:$D$139))</f>
        <v>0</v>
      </c>
      <c r="AS139">
        <f>IF(OR(AQ139="",AR139=""),"",(AQ139+AR139)/2)</f>
        <v>0</v>
      </c>
      <c r="AT139">
        <f>IF(COUNT($G$120:$G$139)&lt;20,"",STDEV($G$120:$G$139)*SQRT(252))</f>
        <v>0</v>
      </c>
      <c r="AU139">
        <f>IF(COUNT($E$2:$E139)&lt;9,"",(MAX($C$131:$C$139)+MIN($D$131:$D$139))/2)</f>
        <v>0</v>
      </c>
      <c r="AV139">
        <f>IF(COUNT($E$2:$E139)&lt;26,"",(MAX($C$114:$C$139)+MIN($D$114:$D$139))/2)</f>
        <v>0</v>
      </c>
      <c r="AW139">
        <f>IF(OR(AU139="",AV139=""),"",(AU139+AV139)/2)</f>
        <v>0</v>
      </c>
      <c r="AX139">
        <f>IF(COUNT($E$2:$E139)&lt;52,"",(MAX($C$88:$C$139)+MIN($D$88:$D$139))/2)</f>
        <v>0</v>
      </c>
      <c r="AY139">
        <f>IF(COUNT($E$2:$E139)&lt;20,"",MAX($C$40:$C$139))</f>
        <v>0</v>
      </c>
      <c r="AZ139">
        <f>IF(COUNT($E$2:$E139)&lt;20,"",MIN($D$40:$D$139))</f>
        <v>0</v>
      </c>
      <c r="BA139">
        <f>IF(COUNT($E$2:$E139)&lt;20,"",SLOPE($E$40:$E$139,$F$40:$F$139))</f>
        <v>0</v>
      </c>
      <c r="BB139">
        <f>IF(COUNT($E$2:$E139)&lt;20,"",INTERCEPT($E$40:$E$139,$F$40:$F$139))</f>
        <v>0</v>
      </c>
      <c r="BC139">
        <f>IF(OR(BA139="",BB139=""),"",BB139+BA139*F139)</f>
        <v>0</v>
      </c>
      <c r="BD139">
        <f>IF(COUNT($E$2:$E139)&lt;20,"",STEYX($E$40:$E$139,$F$40:$F$139))</f>
        <v>0</v>
      </c>
      <c r="BE139">
        <f>IF($E139="","",IF(AND(COUNT($E$140:$E$143)&gt;=4,$C139=MAX($C$135:$C$143)),$C139,""))</f>
        <v>0</v>
      </c>
      <c r="BF139">
        <f>IF($E139="","",IF(AND(COUNT($E$140:$E$143)&gt;=4,$D139=MIN($D$135:$D$143)),$D139,""))</f>
        <v>0</v>
      </c>
      <c r="BG139">
        <f>IF($A139="","",$A139-WEEKDAY($A139,2)+1)</f>
        <v>0</v>
      </c>
      <c r="BH139">
        <f>IF($A139="","",IF($A138="",1,IF(BG139&lt;&gt;BG138,1,0)))</f>
        <v>0</v>
      </c>
      <c r="BI139">
        <f>IF($A139="","",IF($A140="",1,IF(BG140&lt;&gt;BG139,1,0)))</f>
        <v>0</v>
      </c>
      <c r="BJ139">
        <f>IF($A139="","",IF(BH139=1,$B139,BJ138))</f>
        <v>0</v>
      </c>
      <c r="BK139">
        <f>IF($A139="","",IF(BH139=1,$C139,MAX($C139,BK138)))</f>
        <v>0</v>
      </c>
      <c r="BL139">
        <f>IF($A139="","",IF(BH139=1,$D139,MIN($D139,BL138)))</f>
        <v>0</v>
      </c>
      <c r="BM139">
        <f>IF($A139="","",IF(BI139=1,F139,""))</f>
        <v>0</v>
      </c>
      <c r="BN139">
        <f>IF($A139="","",DATE(YEAR($A139),MONTH($A139),1))</f>
        <v>0</v>
      </c>
      <c r="BO139">
        <f>IF($A139="","",IF($A138="",1,IF(BN139&lt;&gt;BN138,1,0)))</f>
        <v>0</v>
      </c>
      <c r="BP139">
        <f>IF($A139="","",IF($A140="",1,IF(BN140&lt;&gt;BN139,1,0)))</f>
        <v>0</v>
      </c>
      <c r="BQ139">
        <f>IF($A139="","",IF(BO139=1,$B139,BQ138))</f>
        <v>0</v>
      </c>
      <c r="BR139">
        <f>IF($A139="","",IF(BO139=1,$C139,MAX($C139,BR138)))</f>
        <v>0</v>
      </c>
      <c r="BS139">
        <f>IF($A139="","",IF(BO139=1,$D139,MIN($D139,BS138)))</f>
        <v>0</v>
      </c>
      <c r="BT139">
        <f>IF($A139="","",IF(BP139=1,F139,""))</f>
        <v>0</v>
      </c>
    </row>
    <row r="140" spans="1:72">
      <c r="A140" s="27">
        <f>IF(Data!$A140="","",Data!$A140)</f>
        <v>0</v>
      </c>
      <c r="B140">
        <f>IF(Data!$B140="","",Data!$B140)</f>
        <v>0</v>
      </c>
      <c r="C140">
        <f>IF(Data!$C140="","",Data!$C140)</f>
        <v>0</v>
      </c>
      <c r="D140">
        <f>IF(Data!$D140="","",Data!$D140)</f>
        <v>0</v>
      </c>
      <c r="E140">
        <f>IF(Data!$E140="","",Data!$E140)</f>
        <v>0</v>
      </c>
      <c r="F140">
        <f>IF($E140="","",N(F139)+1)</f>
        <v>0</v>
      </c>
      <c r="G140">
        <f>IF(OR($E140="",$E139=""),"",LN($E140/$E139))</f>
        <v>0</v>
      </c>
      <c r="H140">
        <f>IF($E140="","",IF($E139="",$E140,$E140*0.0952380952+H139*0.9047619048))</f>
        <v>0</v>
      </c>
      <c r="I140">
        <f>IF($E140="","",IF($E139="",$E140,$E140*0.0392156863+I139*0.9607843137))</f>
        <v>0</v>
      </c>
      <c r="J140">
        <f>IF($E140="","",IF($E139="",$E140,$E140*0.0198019802+J139*0.9801980198))</f>
        <v>0</v>
      </c>
      <c r="K140">
        <f>IF($E140="","",IF($E139="",$E140,$E140*0.0099502488+K139*0.9900497512))</f>
        <v>0</v>
      </c>
      <c r="L140">
        <f>IF(OR($E140="",$E139=""),"",MAX($E140-$E139,0))</f>
        <v>0</v>
      </c>
      <c r="M140">
        <f>IF(OR($E140="",$E139=""),"",MAX($E139-$E140,0))</f>
        <v>0</v>
      </c>
      <c r="N140">
        <f>IF(COUNT($E$2:$E140)&lt;15,"",IF(AVERAGE($M$127:$M$140)=0,100,100-100/(1+AVERAGE($L$127:$L$140)/AVERAGE($M$127:$M$140))))</f>
        <v>0</v>
      </c>
      <c r="O140">
        <f>IF($E140="","",IF($E139="",$E140,$E140*0.1538461538+O139*0.8461538462))</f>
        <v>0</v>
      </c>
      <c r="P140">
        <f>IF($E140="","",IF($E139="",$E140,$E140*0.0740740741+P139*0.9259259259))</f>
        <v>0</v>
      </c>
      <c r="Q140">
        <f>IF(OR(O140="",P140=""),"",O140-P140)</f>
        <v>0</v>
      </c>
      <c r="R140">
        <f>IF(Q140="","",IF(R139="",Q140,Q140*0.2000000000+R139*0.8000000000))</f>
        <v>0</v>
      </c>
      <c r="S140">
        <f>IF(OR(Q140="",R140=""),"",Q140-R140)</f>
        <v>0</v>
      </c>
      <c r="T140">
        <f>IF(COUNT($E$2:$E140)&lt;14,"",MAX($C$127:$C$140))</f>
        <v>0</v>
      </c>
      <c r="U140">
        <f>IF(COUNT($E$2:$E140)&lt;14,"",MIN($D$127:$D$140))</f>
        <v>0</v>
      </c>
      <c r="V140">
        <f>IF(OR(T140="",U140="",T140=U140),"",100*($E140-U140)/(T140-U140))</f>
        <v>0</v>
      </c>
      <c r="W140">
        <f>IF(COUNT($V$138:$V$140)&lt;3,"",AVERAGE($V$138:$V$140))</f>
        <v>0</v>
      </c>
      <c r="X140">
        <f>IF(COUNT($N$127:$N$140)&lt;14,"",MIN($N$127:$N$140))</f>
        <v>0</v>
      </c>
      <c r="Y140">
        <f>IF(COUNT($N$127:$N$140)&lt;14,"",MAX($N$127:$N$140))</f>
        <v>0</v>
      </c>
      <c r="Z140">
        <f>IF(OR(N140="",X140="",Y140="",Y140=X140),"",100*(N140-X140)/(Y140-X140))</f>
        <v>0</v>
      </c>
      <c r="AA140">
        <f>IF(COUNT($Z$138:$Z$140)&lt;3,"",AVERAGE($Z$138:$Z$140))</f>
        <v>0</v>
      </c>
      <c r="AB140">
        <f>IF(COUNT($AA$138:$AA$140)&lt;3,"",AVERAGE($AA$138:$AA$140))</f>
        <v>0</v>
      </c>
      <c r="AC140">
        <f>IF($E140="","",MAX($C140-$D140,ABS($C140-$E139),ABS($D140-$E139)))</f>
        <v>0</v>
      </c>
      <c r="AD140">
        <f>IF(COUNT($E$2:$E140)&lt;15,"",AVERAGE($AC$127:$AC$140))</f>
        <v>0</v>
      </c>
      <c r="AE140">
        <f>IF(OR($E140="",$E139=""),"",IF(AND(($C140-$C139)&gt;($D139-$D140),($C140-$C139)&gt;0),$C140-$C139,0))</f>
        <v>0</v>
      </c>
      <c r="AF140">
        <f>IF(OR($E140="",$E139=""),"",IF(AND(($D139-$D140)&gt;($C140-$C139),($D139-$D140)&gt;0),$D139-$D140,0))</f>
        <v>0</v>
      </c>
      <c r="AG140">
        <f>IF(COUNT($E$2:$E140)&lt;15,"",IF(SUM($AC$127:$AC$140)=0,0,100*SUM($AE$127:$AE$140)/SUM($AC$127:$AC$140)))</f>
        <v>0</v>
      </c>
      <c r="AH140">
        <f>IF(COUNT($E$2:$E140)&lt;15,"",IF(SUM($AC$127:$AC$140)=0,0,100*SUM($AF$127:$AF$140)/SUM($AC$127:$AC$140)))</f>
        <v>0</v>
      </c>
      <c r="AI140">
        <f>IF(OR(AG140="",AH140=""),"",IF((AG140+AH140)=0,0,100*ABS(AG140-AH140)/(AG140+AH140)))</f>
        <v>0</v>
      </c>
      <c r="AJ140">
        <f>IF(COUNT($AI$127:$AI$140)&lt;14,"",AVERAGE($AI$127:$AI$140))</f>
        <v>0</v>
      </c>
      <c r="AK140">
        <f>IF(COUNT($E$2:$E140)&lt;20,"",AVERAGE($E$121:$E$140))</f>
        <v>0</v>
      </c>
      <c r="AL140">
        <f>IF(COUNT($E$2:$E140)&lt;20,"",STDEVP($E$121:$E$140))</f>
        <v>0</v>
      </c>
      <c r="AM140">
        <f>IF(AK140="","",AK140+2*AL140)</f>
        <v>0</v>
      </c>
      <c r="AN140">
        <f>IF(AK140="","",AK140-2*AL140)</f>
        <v>0</v>
      </c>
      <c r="AO140">
        <f>IF(OR(AM140="",AN140="",AM140=AN140),"",($E140-AN140)/(AM140-AN140))</f>
        <v>0</v>
      </c>
      <c r="AP140">
        <f>IF(OR(AM140="",AK140="",AK140=0),"",(AM140-AN140)/AK140)</f>
        <v>0</v>
      </c>
      <c r="AQ140">
        <f>IF(COUNT($E$2:$E140)&lt;20,"",MAX($C$121:$C$140))</f>
        <v>0</v>
      </c>
      <c r="AR140">
        <f>IF(COUNT($E$2:$E140)&lt;20,"",MIN($D$121:$D$140))</f>
        <v>0</v>
      </c>
      <c r="AS140">
        <f>IF(OR(AQ140="",AR140=""),"",(AQ140+AR140)/2)</f>
        <v>0</v>
      </c>
      <c r="AT140">
        <f>IF(COUNT($G$121:$G$140)&lt;20,"",STDEV($G$121:$G$140)*SQRT(252))</f>
        <v>0</v>
      </c>
      <c r="AU140">
        <f>IF(COUNT($E$2:$E140)&lt;9,"",(MAX($C$132:$C$140)+MIN($D$132:$D$140))/2)</f>
        <v>0</v>
      </c>
      <c r="AV140">
        <f>IF(COUNT($E$2:$E140)&lt;26,"",(MAX($C$115:$C$140)+MIN($D$115:$D$140))/2)</f>
        <v>0</v>
      </c>
      <c r="AW140">
        <f>IF(OR(AU140="",AV140=""),"",(AU140+AV140)/2)</f>
        <v>0</v>
      </c>
      <c r="AX140">
        <f>IF(COUNT($E$2:$E140)&lt;52,"",(MAX($C$89:$C$140)+MIN($D$89:$D$140))/2)</f>
        <v>0</v>
      </c>
      <c r="AY140">
        <f>IF(COUNT($E$2:$E140)&lt;20,"",MAX($C$41:$C$140))</f>
        <v>0</v>
      </c>
      <c r="AZ140">
        <f>IF(COUNT($E$2:$E140)&lt;20,"",MIN($D$41:$D$140))</f>
        <v>0</v>
      </c>
      <c r="BA140">
        <f>IF(COUNT($E$2:$E140)&lt;20,"",SLOPE($E$41:$E$140,$F$41:$F$140))</f>
        <v>0</v>
      </c>
      <c r="BB140">
        <f>IF(COUNT($E$2:$E140)&lt;20,"",INTERCEPT($E$41:$E$140,$F$41:$F$140))</f>
        <v>0</v>
      </c>
      <c r="BC140">
        <f>IF(OR(BA140="",BB140=""),"",BB140+BA140*F140)</f>
        <v>0</v>
      </c>
      <c r="BD140">
        <f>IF(COUNT($E$2:$E140)&lt;20,"",STEYX($E$41:$E$140,$F$41:$F$140))</f>
        <v>0</v>
      </c>
      <c r="BE140">
        <f>IF($E140="","",IF(AND(COUNT($E$141:$E$144)&gt;=4,$C140=MAX($C$136:$C$144)),$C140,""))</f>
        <v>0</v>
      </c>
      <c r="BF140">
        <f>IF($E140="","",IF(AND(COUNT($E$141:$E$144)&gt;=4,$D140=MIN($D$136:$D$144)),$D140,""))</f>
        <v>0</v>
      </c>
      <c r="BG140">
        <f>IF($A140="","",$A140-WEEKDAY($A140,2)+1)</f>
        <v>0</v>
      </c>
      <c r="BH140">
        <f>IF($A140="","",IF($A139="",1,IF(BG140&lt;&gt;BG139,1,0)))</f>
        <v>0</v>
      </c>
      <c r="BI140">
        <f>IF($A140="","",IF($A141="",1,IF(BG141&lt;&gt;BG140,1,0)))</f>
        <v>0</v>
      </c>
      <c r="BJ140">
        <f>IF($A140="","",IF(BH140=1,$B140,BJ139))</f>
        <v>0</v>
      </c>
      <c r="BK140">
        <f>IF($A140="","",IF(BH140=1,$C140,MAX($C140,BK139)))</f>
        <v>0</v>
      </c>
      <c r="BL140">
        <f>IF($A140="","",IF(BH140=1,$D140,MIN($D140,BL139)))</f>
        <v>0</v>
      </c>
      <c r="BM140">
        <f>IF($A140="","",IF(BI140=1,F140,""))</f>
        <v>0</v>
      </c>
      <c r="BN140">
        <f>IF($A140="","",DATE(YEAR($A140),MONTH($A140),1))</f>
        <v>0</v>
      </c>
      <c r="BO140">
        <f>IF($A140="","",IF($A139="",1,IF(BN140&lt;&gt;BN139,1,0)))</f>
        <v>0</v>
      </c>
      <c r="BP140">
        <f>IF($A140="","",IF($A141="",1,IF(BN141&lt;&gt;BN140,1,0)))</f>
        <v>0</v>
      </c>
      <c r="BQ140">
        <f>IF($A140="","",IF(BO140=1,$B140,BQ139))</f>
        <v>0</v>
      </c>
      <c r="BR140">
        <f>IF($A140="","",IF(BO140=1,$C140,MAX($C140,BR139)))</f>
        <v>0</v>
      </c>
      <c r="BS140">
        <f>IF($A140="","",IF(BO140=1,$D140,MIN($D140,BS139)))</f>
        <v>0</v>
      </c>
      <c r="BT140">
        <f>IF($A140="","",IF(BP140=1,F140,""))</f>
        <v>0</v>
      </c>
    </row>
    <row r="141" spans="1:72">
      <c r="A141" s="27">
        <f>IF(Data!$A141="","",Data!$A141)</f>
        <v>0</v>
      </c>
      <c r="B141">
        <f>IF(Data!$B141="","",Data!$B141)</f>
        <v>0</v>
      </c>
      <c r="C141">
        <f>IF(Data!$C141="","",Data!$C141)</f>
        <v>0</v>
      </c>
      <c r="D141">
        <f>IF(Data!$D141="","",Data!$D141)</f>
        <v>0</v>
      </c>
      <c r="E141">
        <f>IF(Data!$E141="","",Data!$E141)</f>
        <v>0</v>
      </c>
      <c r="F141">
        <f>IF($E141="","",N(F140)+1)</f>
        <v>0</v>
      </c>
      <c r="G141">
        <f>IF(OR($E141="",$E140=""),"",LN($E141/$E140))</f>
        <v>0</v>
      </c>
      <c r="H141">
        <f>IF($E141="","",IF($E140="",$E141,$E141*0.0952380952+H140*0.9047619048))</f>
        <v>0</v>
      </c>
      <c r="I141">
        <f>IF($E141="","",IF($E140="",$E141,$E141*0.0392156863+I140*0.9607843137))</f>
        <v>0</v>
      </c>
      <c r="J141">
        <f>IF($E141="","",IF($E140="",$E141,$E141*0.0198019802+J140*0.9801980198))</f>
        <v>0</v>
      </c>
      <c r="K141">
        <f>IF($E141="","",IF($E140="",$E141,$E141*0.0099502488+K140*0.9900497512))</f>
        <v>0</v>
      </c>
      <c r="L141">
        <f>IF(OR($E141="",$E140=""),"",MAX($E141-$E140,0))</f>
        <v>0</v>
      </c>
      <c r="M141">
        <f>IF(OR($E141="",$E140=""),"",MAX($E140-$E141,0))</f>
        <v>0</v>
      </c>
      <c r="N141">
        <f>IF(COUNT($E$2:$E141)&lt;15,"",IF(AVERAGE($M$128:$M$141)=0,100,100-100/(1+AVERAGE($L$128:$L$141)/AVERAGE($M$128:$M$141))))</f>
        <v>0</v>
      </c>
      <c r="O141">
        <f>IF($E141="","",IF($E140="",$E141,$E141*0.1538461538+O140*0.8461538462))</f>
        <v>0</v>
      </c>
      <c r="P141">
        <f>IF($E141="","",IF($E140="",$E141,$E141*0.0740740741+P140*0.9259259259))</f>
        <v>0</v>
      </c>
      <c r="Q141">
        <f>IF(OR(O141="",P141=""),"",O141-P141)</f>
        <v>0</v>
      </c>
      <c r="R141">
        <f>IF(Q141="","",IF(R140="",Q141,Q141*0.2000000000+R140*0.8000000000))</f>
        <v>0</v>
      </c>
      <c r="S141">
        <f>IF(OR(Q141="",R141=""),"",Q141-R141)</f>
        <v>0</v>
      </c>
      <c r="T141">
        <f>IF(COUNT($E$2:$E141)&lt;14,"",MAX($C$128:$C$141))</f>
        <v>0</v>
      </c>
      <c r="U141">
        <f>IF(COUNT($E$2:$E141)&lt;14,"",MIN($D$128:$D$141))</f>
        <v>0</v>
      </c>
      <c r="V141">
        <f>IF(OR(T141="",U141="",T141=U141),"",100*($E141-U141)/(T141-U141))</f>
        <v>0</v>
      </c>
      <c r="W141">
        <f>IF(COUNT($V$139:$V$141)&lt;3,"",AVERAGE($V$139:$V$141))</f>
        <v>0</v>
      </c>
      <c r="X141">
        <f>IF(COUNT($N$128:$N$141)&lt;14,"",MIN($N$128:$N$141))</f>
        <v>0</v>
      </c>
      <c r="Y141">
        <f>IF(COUNT($N$128:$N$141)&lt;14,"",MAX($N$128:$N$141))</f>
        <v>0</v>
      </c>
      <c r="Z141">
        <f>IF(OR(N141="",X141="",Y141="",Y141=X141),"",100*(N141-X141)/(Y141-X141))</f>
        <v>0</v>
      </c>
      <c r="AA141">
        <f>IF(COUNT($Z$139:$Z$141)&lt;3,"",AVERAGE($Z$139:$Z$141))</f>
        <v>0</v>
      </c>
      <c r="AB141">
        <f>IF(COUNT($AA$139:$AA$141)&lt;3,"",AVERAGE($AA$139:$AA$141))</f>
        <v>0</v>
      </c>
      <c r="AC141">
        <f>IF($E141="","",MAX($C141-$D141,ABS($C141-$E140),ABS($D141-$E140)))</f>
        <v>0</v>
      </c>
      <c r="AD141">
        <f>IF(COUNT($E$2:$E141)&lt;15,"",AVERAGE($AC$128:$AC$141))</f>
        <v>0</v>
      </c>
      <c r="AE141">
        <f>IF(OR($E141="",$E140=""),"",IF(AND(($C141-$C140)&gt;($D140-$D141),($C141-$C140)&gt;0),$C141-$C140,0))</f>
        <v>0</v>
      </c>
      <c r="AF141">
        <f>IF(OR($E141="",$E140=""),"",IF(AND(($D140-$D141)&gt;($C141-$C140),($D140-$D141)&gt;0),$D140-$D141,0))</f>
        <v>0</v>
      </c>
      <c r="AG141">
        <f>IF(COUNT($E$2:$E141)&lt;15,"",IF(SUM($AC$128:$AC$141)=0,0,100*SUM($AE$128:$AE$141)/SUM($AC$128:$AC$141)))</f>
        <v>0</v>
      </c>
      <c r="AH141">
        <f>IF(COUNT($E$2:$E141)&lt;15,"",IF(SUM($AC$128:$AC$141)=0,0,100*SUM($AF$128:$AF$141)/SUM($AC$128:$AC$141)))</f>
        <v>0</v>
      </c>
      <c r="AI141">
        <f>IF(OR(AG141="",AH141=""),"",IF((AG141+AH141)=0,0,100*ABS(AG141-AH141)/(AG141+AH141)))</f>
        <v>0</v>
      </c>
      <c r="AJ141">
        <f>IF(COUNT($AI$128:$AI$141)&lt;14,"",AVERAGE($AI$128:$AI$141))</f>
        <v>0</v>
      </c>
      <c r="AK141">
        <f>IF(COUNT($E$2:$E141)&lt;20,"",AVERAGE($E$122:$E$141))</f>
        <v>0</v>
      </c>
      <c r="AL141">
        <f>IF(COUNT($E$2:$E141)&lt;20,"",STDEVP($E$122:$E$141))</f>
        <v>0</v>
      </c>
      <c r="AM141">
        <f>IF(AK141="","",AK141+2*AL141)</f>
        <v>0</v>
      </c>
      <c r="AN141">
        <f>IF(AK141="","",AK141-2*AL141)</f>
        <v>0</v>
      </c>
      <c r="AO141">
        <f>IF(OR(AM141="",AN141="",AM141=AN141),"",($E141-AN141)/(AM141-AN141))</f>
        <v>0</v>
      </c>
      <c r="AP141">
        <f>IF(OR(AM141="",AK141="",AK141=0),"",(AM141-AN141)/AK141)</f>
        <v>0</v>
      </c>
      <c r="AQ141">
        <f>IF(COUNT($E$2:$E141)&lt;20,"",MAX($C$122:$C$141))</f>
        <v>0</v>
      </c>
      <c r="AR141">
        <f>IF(COUNT($E$2:$E141)&lt;20,"",MIN($D$122:$D$141))</f>
        <v>0</v>
      </c>
      <c r="AS141">
        <f>IF(OR(AQ141="",AR141=""),"",(AQ141+AR141)/2)</f>
        <v>0</v>
      </c>
      <c r="AT141">
        <f>IF(COUNT($G$122:$G$141)&lt;20,"",STDEV($G$122:$G$141)*SQRT(252))</f>
        <v>0</v>
      </c>
      <c r="AU141">
        <f>IF(COUNT($E$2:$E141)&lt;9,"",(MAX($C$133:$C$141)+MIN($D$133:$D$141))/2)</f>
        <v>0</v>
      </c>
      <c r="AV141">
        <f>IF(COUNT($E$2:$E141)&lt;26,"",(MAX($C$116:$C$141)+MIN($D$116:$D$141))/2)</f>
        <v>0</v>
      </c>
      <c r="AW141">
        <f>IF(OR(AU141="",AV141=""),"",(AU141+AV141)/2)</f>
        <v>0</v>
      </c>
      <c r="AX141">
        <f>IF(COUNT($E$2:$E141)&lt;52,"",(MAX($C$90:$C$141)+MIN($D$90:$D$141))/2)</f>
        <v>0</v>
      </c>
      <c r="AY141">
        <f>IF(COUNT($E$2:$E141)&lt;20,"",MAX($C$42:$C$141))</f>
        <v>0</v>
      </c>
      <c r="AZ141">
        <f>IF(COUNT($E$2:$E141)&lt;20,"",MIN($D$42:$D$141))</f>
        <v>0</v>
      </c>
      <c r="BA141">
        <f>IF(COUNT($E$2:$E141)&lt;20,"",SLOPE($E$42:$E$141,$F$42:$F$141))</f>
        <v>0</v>
      </c>
      <c r="BB141">
        <f>IF(COUNT($E$2:$E141)&lt;20,"",INTERCEPT($E$42:$E$141,$F$42:$F$141))</f>
        <v>0</v>
      </c>
      <c r="BC141">
        <f>IF(OR(BA141="",BB141=""),"",BB141+BA141*F141)</f>
        <v>0</v>
      </c>
      <c r="BD141">
        <f>IF(COUNT($E$2:$E141)&lt;20,"",STEYX($E$42:$E$141,$F$42:$F$141))</f>
        <v>0</v>
      </c>
      <c r="BE141">
        <f>IF($E141="","",IF(AND(COUNT($E$142:$E$145)&gt;=4,$C141=MAX($C$137:$C$145)),$C141,""))</f>
        <v>0</v>
      </c>
      <c r="BF141">
        <f>IF($E141="","",IF(AND(COUNT($E$142:$E$145)&gt;=4,$D141=MIN($D$137:$D$145)),$D141,""))</f>
        <v>0</v>
      </c>
      <c r="BG141">
        <f>IF($A141="","",$A141-WEEKDAY($A141,2)+1)</f>
        <v>0</v>
      </c>
      <c r="BH141">
        <f>IF($A141="","",IF($A140="",1,IF(BG141&lt;&gt;BG140,1,0)))</f>
        <v>0</v>
      </c>
      <c r="BI141">
        <f>IF($A141="","",IF($A142="",1,IF(BG142&lt;&gt;BG141,1,0)))</f>
        <v>0</v>
      </c>
      <c r="BJ141">
        <f>IF($A141="","",IF(BH141=1,$B141,BJ140))</f>
        <v>0</v>
      </c>
      <c r="BK141">
        <f>IF($A141="","",IF(BH141=1,$C141,MAX($C141,BK140)))</f>
        <v>0</v>
      </c>
      <c r="BL141">
        <f>IF($A141="","",IF(BH141=1,$D141,MIN($D141,BL140)))</f>
        <v>0</v>
      </c>
      <c r="BM141">
        <f>IF($A141="","",IF(BI141=1,F141,""))</f>
        <v>0</v>
      </c>
      <c r="BN141">
        <f>IF($A141="","",DATE(YEAR($A141),MONTH($A141),1))</f>
        <v>0</v>
      </c>
      <c r="BO141">
        <f>IF($A141="","",IF($A140="",1,IF(BN141&lt;&gt;BN140,1,0)))</f>
        <v>0</v>
      </c>
      <c r="BP141">
        <f>IF($A141="","",IF($A142="",1,IF(BN142&lt;&gt;BN141,1,0)))</f>
        <v>0</v>
      </c>
      <c r="BQ141">
        <f>IF($A141="","",IF(BO141=1,$B141,BQ140))</f>
        <v>0</v>
      </c>
      <c r="BR141">
        <f>IF($A141="","",IF(BO141=1,$C141,MAX($C141,BR140)))</f>
        <v>0</v>
      </c>
      <c r="BS141">
        <f>IF($A141="","",IF(BO141=1,$D141,MIN($D141,BS140)))</f>
        <v>0</v>
      </c>
      <c r="BT141">
        <f>IF($A141="","",IF(BP141=1,F141,""))</f>
        <v>0</v>
      </c>
    </row>
    <row r="142" spans="1:72">
      <c r="A142" s="27">
        <f>IF(Data!$A142="","",Data!$A142)</f>
        <v>0</v>
      </c>
      <c r="B142">
        <f>IF(Data!$B142="","",Data!$B142)</f>
        <v>0</v>
      </c>
      <c r="C142">
        <f>IF(Data!$C142="","",Data!$C142)</f>
        <v>0</v>
      </c>
      <c r="D142">
        <f>IF(Data!$D142="","",Data!$D142)</f>
        <v>0</v>
      </c>
      <c r="E142">
        <f>IF(Data!$E142="","",Data!$E142)</f>
        <v>0</v>
      </c>
      <c r="F142">
        <f>IF($E142="","",N(F141)+1)</f>
        <v>0</v>
      </c>
      <c r="G142">
        <f>IF(OR($E142="",$E141=""),"",LN($E142/$E141))</f>
        <v>0</v>
      </c>
      <c r="H142">
        <f>IF($E142="","",IF($E141="",$E142,$E142*0.0952380952+H141*0.9047619048))</f>
        <v>0</v>
      </c>
      <c r="I142">
        <f>IF($E142="","",IF($E141="",$E142,$E142*0.0392156863+I141*0.9607843137))</f>
        <v>0</v>
      </c>
      <c r="J142">
        <f>IF($E142="","",IF($E141="",$E142,$E142*0.0198019802+J141*0.9801980198))</f>
        <v>0</v>
      </c>
      <c r="K142">
        <f>IF($E142="","",IF($E141="",$E142,$E142*0.0099502488+K141*0.9900497512))</f>
        <v>0</v>
      </c>
      <c r="L142">
        <f>IF(OR($E142="",$E141=""),"",MAX($E142-$E141,0))</f>
        <v>0</v>
      </c>
      <c r="M142">
        <f>IF(OR($E142="",$E141=""),"",MAX($E141-$E142,0))</f>
        <v>0</v>
      </c>
      <c r="N142">
        <f>IF(COUNT($E$2:$E142)&lt;15,"",IF(AVERAGE($M$129:$M$142)=0,100,100-100/(1+AVERAGE($L$129:$L$142)/AVERAGE($M$129:$M$142))))</f>
        <v>0</v>
      </c>
      <c r="O142">
        <f>IF($E142="","",IF($E141="",$E142,$E142*0.1538461538+O141*0.8461538462))</f>
        <v>0</v>
      </c>
      <c r="P142">
        <f>IF($E142="","",IF($E141="",$E142,$E142*0.0740740741+P141*0.9259259259))</f>
        <v>0</v>
      </c>
      <c r="Q142">
        <f>IF(OR(O142="",P142=""),"",O142-P142)</f>
        <v>0</v>
      </c>
      <c r="R142">
        <f>IF(Q142="","",IF(R141="",Q142,Q142*0.2000000000+R141*0.8000000000))</f>
        <v>0</v>
      </c>
      <c r="S142">
        <f>IF(OR(Q142="",R142=""),"",Q142-R142)</f>
        <v>0</v>
      </c>
      <c r="T142">
        <f>IF(COUNT($E$2:$E142)&lt;14,"",MAX($C$129:$C$142))</f>
        <v>0</v>
      </c>
      <c r="U142">
        <f>IF(COUNT($E$2:$E142)&lt;14,"",MIN($D$129:$D$142))</f>
        <v>0</v>
      </c>
      <c r="V142">
        <f>IF(OR(T142="",U142="",T142=U142),"",100*($E142-U142)/(T142-U142))</f>
        <v>0</v>
      </c>
      <c r="W142">
        <f>IF(COUNT($V$140:$V$142)&lt;3,"",AVERAGE($V$140:$V$142))</f>
        <v>0</v>
      </c>
      <c r="X142">
        <f>IF(COUNT($N$129:$N$142)&lt;14,"",MIN($N$129:$N$142))</f>
        <v>0</v>
      </c>
      <c r="Y142">
        <f>IF(COUNT($N$129:$N$142)&lt;14,"",MAX($N$129:$N$142))</f>
        <v>0</v>
      </c>
      <c r="Z142">
        <f>IF(OR(N142="",X142="",Y142="",Y142=X142),"",100*(N142-X142)/(Y142-X142))</f>
        <v>0</v>
      </c>
      <c r="AA142">
        <f>IF(COUNT($Z$140:$Z$142)&lt;3,"",AVERAGE($Z$140:$Z$142))</f>
        <v>0</v>
      </c>
      <c r="AB142">
        <f>IF(COUNT($AA$140:$AA$142)&lt;3,"",AVERAGE($AA$140:$AA$142))</f>
        <v>0</v>
      </c>
      <c r="AC142">
        <f>IF($E142="","",MAX($C142-$D142,ABS($C142-$E141),ABS($D142-$E141)))</f>
        <v>0</v>
      </c>
      <c r="AD142">
        <f>IF(COUNT($E$2:$E142)&lt;15,"",AVERAGE($AC$129:$AC$142))</f>
        <v>0</v>
      </c>
      <c r="AE142">
        <f>IF(OR($E142="",$E141=""),"",IF(AND(($C142-$C141)&gt;($D141-$D142),($C142-$C141)&gt;0),$C142-$C141,0))</f>
        <v>0</v>
      </c>
      <c r="AF142">
        <f>IF(OR($E142="",$E141=""),"",IF(AND(($D141-$D142)&gt;($C142-$C141),($D141-$D142)&gt;0),$D141-$D142,0))</f>
        <v>0</v>
      </c>
      <c r="AG142">
        <f>IF(COUNT($E$2:$E142)&lt;15,"",IF(SUM($AC$129:$AC$142)=0,0,100*SUM($AE$129:$AE$142)/SUM($AC$129:$AC$142)))</f>
        <v>0</v>
      </c>
      <c r="AH142">
        <f>IF(COUNT($E$2:$E142)&lt;15,"",IF(SUM($AC$129:$AC$142)=0,0,100*SUM($AF$129:$AF$142)/SUM($AC$129:$AC$142)))</f>
        <v>0</v>
      </c>
      <c r="AI142">
        <f>IF(OR(AG142="",AH142=""),"",IF((AG142+AH142)=0,0,100*ABS(AG142-AH142)/(AG142+AH142)))</f>
        <v>0</v>
      </c>
      <c r="AJ142">
        <f>IF(COUNT($AI$129:$AI$142)&lt;14,"",AVERAGE($AI$129:$AI$142))</f>
        <v>0</v>
      </c>
      <c r="AK142">
        <f>IF(COUNT($E$2:$E142)&lt;20,"",AVERAGE($E$123:$E$142))</f>
        <v>0</v>
      </c>
      <c r="AL142">
        <f>IF(COUNT($E$2:$E142)&lt;20,"",STDEVP($E$123:$E$142))</f>
        <v>0</v>
      </c>
      <c r="AM142">
        <f>IF(AK142="","",AK142+2*AL142)</f>
        <v>0</v>
      </c>
      <c r="AN142">
        <f>IF(AK142="","",AK142-2*AL142)</f>
        <v>0</v>
      </c>
      <c r="AO142">
        <f>IF(OR(AM142="",AN142="",AM142=AN142),"",($E142-AN142)/(AM142-AN142))</f>
        <v>0</v>
      </c>
      <c r="AP142">
        <f>IF(OR(AM142="",AK142="",AK142=0),"",(AM142-AN142)/AK142)</f>
        <v>0</v>
      </c>
      <c r="AQ142">
        <f>IF(COUNT($E$2:$E142)&lt;20,"",MAX($C$123:$C$142))</f>
        <v>0</v>
      </c>
      <c r="AR142">
        <f>IF(COUNT($E$2:$E142)&lt;20,"",MIN($D$123:$D$142))</f>
        <v>0</v>
      </c>
      <c r="AS142">
        <f>IF(OR(AQ142="",AR142=""),"",(AQ142+AR142)/2)</f>
        <v>0</v>
      </c>
      <c r="AT142">
        <f>IF(COUNT($G$123:$G$142)&lt;20,"",STDEV($G$123:$G$142)*SQRT(252))</f>
        <v>0</v>
      </c>
      <c r="AU142">
        <f>IF(COUNT($E$2:$E142)&lt;9,"",(MAX($C$134:$C$142)+MIN($D$134:$D$142))/2)</f>
        <v>0</v>
      </c>
      <c r="AV142">
        <f>IF(COUNT($E$2:$E142)&lt;26,"",(MAX($C$117:$C$142)+MIN($D$117:$D$142))/2)</f>
        <v>0</v>
      </c>
      <c r="AW142">
        <f>IF(OR(AU142="",AV142=""),"",(AU142+AV142)/2)</f>
        <v>0</v>
      </c>
      <c r="AX142">
        <f>IF(COUNT($E$2:$E142)&lt;52,"",(MAX($C$91:$C$142)+MIN($D$91:$D$142))/2)</f>
        <v>0</v>
      </c>
      <c r="AY142">
        <f>IF(COUNT($E$2:$E142)&lt;20,"",MAX($C$43:$C$142))</f>
        <v>0</v>
      </c>
      <c r="AZ142">
        <f>IF(COUNT($E$2:$E142)&lt;20,"",MIN($D$43:$D$142))</f>
        <v>0</v>
      </c>
      <c r="BA142">
        <f>IF(COUNT($E$2:$E142)&lt;20,"",SLOPE($E$43:$E$142,$F$43:$F$142))</f>
        <v>0</v>
      </c>
      <c r="BB142">
        <f>IF(COUNT($E$2:$E142)&lt;20,"",INTERCEPT($E$43:$E$142,$F$43:$F$142))</f>
        <v>0</v>
      </c>
      <c r="BC142">
        <f>IF(OR(BA142="",BB142=""),"",BB142+BA142*F142)</f>
        <v>0</v>
      </c>
      <c r="BD142">
        <f>IF(COUNT($E$2:$E142)&lt;20,"",STEYX($E$43:$E$142,$F$43:$F$142))</f>
        <v>0</v>
      </c>
      <c r="BE142">
        <f>IF($E142="","",IF(AND(COUNT($E$143:$E$146)&gt;=4,$C142=MAX($C$138:$C$146)),$C142,""))</f>
        <v>0</v>
      </c>
      <c r="BF142">
        <f>IF($E142="","",IF(AND(COUNT($E$143:$E$146)&gt;=4,$D142=MIN($D$138:$D$146)),$D142,""))</f>
        <v>0</v>
      </c>
      <c r="BG142">
        <f>IF($A142="","",$A142-WEEKDAY($A142,2)+1)</f>
        <v>0</v>
      </c>
      <c r="BH142">
        <f>IF($A142="","",IF($A141="",1,IF(BG142&lt;&gt;BG141,1,0)))</f>
        <v>0</v>
      </c>
      <c r="BI142">
        <f>IF($A142="","",IF($A143="",1,IF(BG143&lt;&gt;BG142,1,0)))</f>
        <v>0</v>
      </c>
      <c r="BJ142">
        <f>IF($A142="","",IF(BH142=1,$B142,BJ141))</f>
        <v>0</v>
      </c>
      <c r="BK142">
        <f>IF($A142="","",IF(BH142=1,$C142,MAX($C142,BK141)))</f>
        <v>0</v>
      </c>
      <c r="BL142">
        <f>IF($A142="","",IF(BH142=1,$D142,MIN($D142,BL141)))</f>
        <v>0</v>
      </c>
      <c r="BM142">
        <f>IF($A142="","",IF(BI142=1,F142,""))</f>
        <v>0</v>
      </c>
      <c r="BN142">
        <f>IF($A142="","",DATE(YEAR($A142),MONTH($A142),1))</f>
        <v>0</v>
      </c>
      <c r="BO142">
        <f>IF($A142="","",IF($A141="",1,IF(BN142&lt;&gt;BN141,1,0)))</f>
        <v>0</v>
      </c>
      <c r="BP142">
        <f>IF($A142="","",IF($A143="",1,IF(BN143&lt;&gt;BN142,1,0)))</f>
        <v>0</v>
      </c>
      <c r="BQ142">
        <f>IF($A142="","",IF(BO142=1,$B142,BQ141))</f>
        <v>0</v>
      </c>
      <c r="BR142">
        <f>IF($A142="","",IF(BO142=1,$C142,MAX($C142,BR141)))</f>
        <v>0</v>
      </c>
      <c r="BS142">
        <f>IF($A142="","",IF(BO142=1,$D142,MIN($D142,BS141)))</f>
        <v>0</v>
      </c>
      <c r="BT142">
        <f>IF($A142="","",IF(BP142=1,F142,""))</f>
        <v>0</v>
      </c>
    </row>
    <row r="143" spans="1:72">
      <c r="A143" s="27">
        <f>IF(Data!$A143="","",Data!$A143)</f>
        <v>0</v>
      </c>
      <c r="B143">
        <f>IF(Data!$B143="","",Data!$B143)</f>
        <v>0</v>
      </c>
      <c r="C143">
        <f>IF(Data!$C143="","",Data!$C143)</f>
        <v>0</v>
      </c>
      <c r="D143">
        <f>IF(Data!$D143="","",Data!$D143)</f>
        <v>0</v>
      </c>
      <c r="E143">
        <f>IF(Data!$E143="","",Data!$E143)</f>
        <v>0</v>
      </c>
      <c r="F143">
        <f>IF($E143="","",N(F142)+1)</f>
        <v>0</v>
      </c>
      <c r="G143">
        <f>IF(OR($E143="",$E142=""),"",LN($E143/$E142))</f>
        <v>0</v>
      </c>
      <c r="H143">
        <f>IF($E143="","",IF($E142="",$E143,$E143*0.0952380952+H142*0.9047619048))</f>
        <v>0</v>
      </c>
      <c r="I143">
        <f>IF($E143="","",IF($E142="",$E143,$E143*0.0392156863+I142*0.9607843137))</f>
        <v>0</v>
      </c>
      <c r="J143">
        <f>IF($E143="","",IF($E142="",$E143,$E143*0.0198019802+J142*0.9801980198))</f>
        <v>0</v>
      </c>
      <c r="K143">
        <f>IF($E143="","",IF($E142="",$E143,$E143*0.0099502488+K142*0.9900497512))</f>
        <v>0</v>
      </c>
      <c r="L143">
        <f>IF(OR($E143="",$E142=""),"",MAX($E143-$E142,0))</f>
        <v>0</v>
      </c>
      <c r="M143">
        <f>IF(OR($E143="",$E142=""),"",MAX($E142-$E143,0))</f>
        <v>0</v>
      </c>
      <c r="N143">
        <f>IF(COUNT($E$2:$E143)&lt;15,"",IF(AVERAGE($M$130:$M$143)=0,100,100-100/(1+AVERAGE($L$130:$L$143)/AVERAGE($M$130:$M$143))))</f>
        <v>0</v>
      </c>
      <c r="O143">
        <f>IF($E143="","",IF($E142="",$E143,$E143*0.1538461538+O142*0.8461538462))</f>
        <v>0</v>
      </c>
      <c r="P143">
        <f>IF($E143="","",IF($E142="",$E143,$E143*0.0740740741+P142*0.9259259259))</f>
        <v>0</v>
      </c>
      <c r="Q143">
        <f>IF(OR(O143="",P143=""),"",O143-P143)</f>
        <v>0</v>
      </c>
      <c r="R143">
        <f>IF(Q143="","",IF(R142="",Q143,Q143*0.2000000000+R142*0.8000000000))</f>
        <v>0</v>
      </c>
      <c r="S143">
        <f>IF(OR(Q143="",R143=""),"",Q143-R143)</f>
        <v>0</v>
      </c>
      <c r="T143">
        <f>IF(COUNT($E$2:$E143)&lt;14,"",MAX($C$130:$C$143))</f>
        <v>0</v>
      </c>
      <c r="U143">
        <f>IF(COUNT($E$2:$E143)&lt;14,"",MIN($D$130:$D$143))</f>
        <v>0</v>
      </c>
      <c r="V143">
        <f>IF(OR(T143="",U143="",T143=U143),"",100*($E143-U143)/(T143-U143))</f>
        <v>0</v>
      </c>
      <c r="W143">
        <f>IF(COUNT($V$141:$V$143)&lt;3,"",AVERAGE($V$141:$V$143))</f>
        <v>0</v>
      </c>
      <c r="X143">
        <f>IF(COUNT($N$130:$N$143)&lt;14,"",MIN($N$130:$N$143))</f>
        <v>0</v>
      </c>
      <c r="Y143">
        <f>IF(COUNT($N$130:$N$143)&lt;14,"",MAX($N$130:$N$143))</f>
        <v>0</v>
      </c>
      <c r="Z143">
        <f>IF(OR(N143="",X143="",Y143="",Y143=X143),"",100*(N143-X143)/(Y143-X143))</f>
        <v>0</v>
      </c>
      <c r="AA143">
        <f>IF(COUNT($Z$141:$Z$143)&lt;3,"",AVERAGE($Z$141:$Z$143))</f>
        <v>0</v>
      </c>
      <c r="AB143">
        <f>IF(COUNT($AA$141:$AA$143)&lt;3,"",AVERAGE($AA$141:$AA$143))</f>
        <v>0</v>
      </c>
      <c r="AC143">
        <f>IF($E143="","",MAX($C143-$D143,ABS($C143-$E142),ABS($D143-$E142)))</f>
        <v>0</v>
      </c>
      <c r="AD143">
        <f>IF(COUNT($E$2:$E143)&lt;15,"",AVERAGE($AC$130:$AC$143))</f>
        <v>0</v>
      </c>
      <c r="AE143">
        <f>IF(OR($E143="",$E142=""),"",IF(AND(($C143-$C142)&gt;($D142-$D143),($C143-$C142)&gt;0),$C143-$C142,0))</f>
        <v>0</v>
      </c>
      <c r="AF143">
        <f>IF(OR($E143="",$E142=""),"",IF(AND(($D142-$D143)&gt;($C143-$C142),($D142-$D143)&gt;0),$D142-$D143,0))</f>
        <v>0</v>
      </c>
      <c r="AG143">
        <f>IF(COUNT($E$2:$E143)&lt;15,"",IF(SUM($AC$130:$AC$143)=0,0,100*SUM($AE$130:$AE$143)/SUM($AC$130:$AC$143)))</f>
        <v>0</v>
      </c>
      <c r="AH143">
        <f>IF(COUNT($E$2:$E143)&lt;15,"",IF(SUM($AC$130:$AC$143)=0,0,100*SUM($AF$130:$AF$143)/SUM($AC$130:$AC$143)))</f>
        <v>0</v>
      </c>
      <c r="AI143">
        <f>IF(OR(AG143="",AH143=""),"",IF((AG143+AH143)=0,0,100*ABS(AG143-AH143)/(AG143+AH143)))</f>
        <v>0</v>
      </c>
      <c r="AJ143">
        <f>IF(COUNT($AI$130:$AI$143)&lt;14,"",AVERAGE($AI$130:$AI$143))</f>
        <v>0</v>
      </c>
      <c r="AK143">
        <f>IF(COUNT($E$2:$E143)&lt;20,"",AVERAGE($E$124:$E$143))</f>
        <v>0</v>
      </c>
      <c r="AL143">
        <f>IF(COUNT($E$2:$E143)&lt;20,"",STDEVP($E$124:$E$143))</f>
        <v>0</v>
      </c>
      <c r="AM143">
        <f>IF(AK143="","",AK143+2*AL143)</f>
        <v>0</v>
      </c>
      <c r="AN143">
        <f>IF(AK143="","",AK143-2*AL143)</f>
        <v>0</v>
      </c>
      <c r="AO143">
        <f>IF(OR(AM143="",AN143="",AM143=AN143),"",($E143-AN143)/(AM143-AN143))</f>
        <v>0</v>
      </c>
      <c r="AP143">
        <f>IF(OR(AM143="",AK143="",AK143=0),"",(AM143-AN143)/AK143)</f>
        <v>0</v>
      </c>
      <c r="AQ143">
        <f>IF(COUNT($E$2:$E143)&lt;20,"",MAX($C$124:$C$143))</f>
        <v>0</v>
      </c>
      <c r="AR143">
        <f>IF(COUNT($E$2:$E143)&lt;20,"",MIN($D$124:$D$143))</f>
        <v>0</v>
      </c>
      <c r="AS143">
        <f>IF(OR(AQ143="",AR143=""),"",(AQ143+AR143)/2)</f>
        <v>0</v>
      </c>
      <c r="AT143">
        <f>IF(COUNT($G$124:$G$143)&lt;20,"",STDEV($G$124:$G$143)*SQRT(252))</f>
        <v>0</v>
      </c>
      <c r="AU143">
        <f>IF(COUNT($E$2:$E143)&lt;9,"",(MAX($C$135:$C$143)+MIN($D$135:$D$143))/2)</f>
        <v>0</v>
      </c>
      <c r="AV143">
        <f>IF(COUNT($E$2:$E143)&lt;26,"",(MAX($C$118:$C$143)+MIN($D$118:$D$143))/2)</f>
        <v>0</v>
      </c>
      <c r="AW143">
        <f>IF(OR(AU143="",AV143=""),"",(AU143+AV143)/2)</f>
        <v>0</v>
      </c>
      <c r="AX143">
        <f>IF(COUNT($E$2:$E143)&lt;52,"",(MAX($C$92:$C$143)+MIN($D$92:$D$143))/2)</f>
        <v>0</v>
      </c>
      <c r="AY143">
        <f>IF(COUNT($E$2:$E143)&lt;20,"",MAX($C$44:$C$143))</f>
        <v>0</v>
      </c>
      <c r="AZ143">
        <f>IF(COUNT($E$2:$E143)&lt;20,"",MIN($D$44:$D$143))</f>
        <v>0</v>
      </c>
      <c r="BA143">
        <f>IF(COUNT($E$2:$E143)&lt;20,"",SLOPE($E$44:$E$143,$F$44:$F$143))</f>
        <v>0</v>
      </c>
      <c r="BB143">
        <f>IF(COUNT($E$2:$E143)&lt;20,"",INTERCEPT($E$44:$E$143,$F$44:$F$143))</f>
        <v>0</v>
      </c>
      <c r="BC143">
        <f>IF(OR(BA143="",BB143=""),"",BB143+BA143*F143)</f>
        <v>0</v>
      </c>
      <c r="BD143">
        <f>IF(COUNT($E$2:$E143)&lt;20,"",STEYX($E$44:$E$143,$F$44:$F$143))</f>
        <v>0</v>
      </c>
      <c r="BE143">
        <f>IF($E143="","",IF(AND(COUNT($E$144:$E$147)&gt;=4,$C143=MAX($C$139:$C$147)),$C143,""))</f>
        <v>0</v>
      </c>
      <c r="BF143">
        <f>IF($E143="","",IF(AND(COUNT($E$144:$E$147)&gt;=4,$D143=MIN($D$139:$D$147)),$D143,""))</f>
        <v>0</v>
      </c>
      <c r="BG143">
        <f>IF($A143="","",$A143-WEEKDAY($A143,2)+1)</f>
        <v>0</v>
      </c>
      <c r="BH143">
        <f>IF($A143="","",IF($A142="",1,IF(BG143&lt;&gt;BG142,1,0)))</f>
        <v>0</v>
      </c>
      <c r="BI143">
        <f>IF($A143="","",IF($A144="",1,IF(BG144&lt;&gt;BG143,1,0)))</f>
        <v>0</v>
      </c>
      <c r="BJ143">
        <f>IF($A143="","",IF(BH143=1,$B143,BJ142))</f>
        <v>0</v>
      </c>
      <c r="BK143">
        <f>IF($A143="","",IF(BH143=1,$C143,MAX($C143,BK142)))</f>
        <v>0</v>
      </c>
      <c r="BL143">
        <f>IF($A143="","",IF(BH143=1,$D143,MIN($D143,BL142)))</f>
        <v>0</v>
      </c>
      <c r="BM143">
        <f>IF($A143="","",IF(BI143=1,F143,""))</f>
        <v>0</v>
      </c>
      <c r="BN143">
        <f>IF($A143="","",DATE(YEAR($A143),MONTH($A143),1))</f>
        <v>0</v>
      </c>
      <c r="BO143">
        <f>IF($A143="","",IF($A142="",1,IF(BN143&lt;&gt;BN142,1,0)))</f>
        <v>0</v>
      </c>
      <c r="BP143">
        <f>IF($A143="","",IF($A144="",1,IF(BN144&lt;&gt;BN143,1,0)))</f>
        <v>0</v>
      </c>
      <c r="BQ143">
        <f>IF($A143="","",IF(BO143=1,$B143,BQ142))</f>
        <v>0</v>
      </c>
      <c r="BR143">
        <f>IF($A143="","",IF(BO143=1,$C143,MAX($C143,BR142)))</f>
        <v>0</v>
      </c>
      <c r="BS143">
        <f>IF($A143="","",IF(BO143=1,$D143,MIN($D143,BS142)))</f>
        <v>0</v>
      </c>
      <c r="BT143">
        <f>IF($A143="","",IF(BP143=1,F143,""))</f>
        <v>0</v>
      </c>
    </row>
    <row r="144" spans="1:72">
      <c r="A144" s="27">
        <f>IF(Data!$A144="","",Data!$A144)</f>
        <v>0</v>
      </c>
      <c r="B144">
        <f>IF(Data!$B144="","",Data!$B144)</f>
        <v>0</v>
      </c>
      <c r="C144">
        <f>IF(Data!$C144="","",Data!$C144)</f>
        <v>0</v>
      </c>
      <c r="D144">
        <f>IF(Data!$D144="","",Data!$D144)</f>
        <v>0</v>
      </c>
      <c r="E144">
        <f>IF(Data!$E144="","",Data!$E144)</f>
        <v>0</v>
      </c>
      <c r="F144">
        <f>IF($E144="","",N(F143)+1)</f>
        <v>0</v>
      </c>
      <c r="G144">
        <f>IF(OR($E144="",$E143=""),"",LN($E144/$E143))</f>
        <v>0</v>
      </c>
      <c r="H144">
        <f>IF($E144="","",IF($E143="",$E144,$E144*0.0952380952+H143*0.9047619048))</f>
        <v>0</v>
      </c>
      <c r="I144">
        <f>IF($E144="","",IF($E143="",$E144,$E144*0.0392156863+I143*0.9607843137))</f>
        <v>0</v>
      </c>
      <c r="J144">
        <f>IF($E144="","",IF($E143="",$E144,$E144*0.0198019802+J143*0.9801980198))</f>
        <v>0</v>
      </c>
      <c r="K144">
        <f>IF($E144="","",IF($E143="",$E144,$E144*0.0099502488+K143*0.9900497512))</f>
        <v>0</v>
      </c>
      <c r="L144">
        <f>IF(OR($E144="",$E143=""),"",MAX($E144-$E143,0))</f>
        <v>0</v>
      </c>
      <c r="M144">
        <f>IF(OR($E144="",$E143=""),"",MAX($E143-$E144,0))</f>
        <v>0</v>
      </c>
      <c r="N144">
        <f>IF(COUNT($E$2:$E144)&lt;15,"",IF(AVERAGE($M$131:$M$144)=0,100,100-100/(1+AVERAGE($L$131:$L$144)/AVERAGE($M$131:$M$144))))</f>
        <v>0</v>
      </c>
      <c r="O144">
        <f>IF($E144="","",IF($E143="",$E144,$E144*0.1538461538+O143*0.8461538462))</f>
        <v>0</v>
      </c>
      <c r="P144">
        <f>IF($E144="","",IF($E143="",$E144,$E144*0.0740740741+P143*0.9259259259))</f>
        <v>0</v>
      </c>
      <c r="Q144">
        <f>IF(OR(O144="",P144=""),"",O144-P144)</f>
        <v>0</v>
      </c>
      <c r="R144">
        <f>IF(Q144="","",IF(R143="",Q144,Q144*0.2000000000+R143*0.8000000000))</f>
        <v>0</v>
      </c>
      <c r="S144">
        <f>IF(OR(Q144="",R144=""),"",Q144-R144)</f>
        <v>0</v>
      </c>
      <c r="T144">
        <f>IF(COUNT($E$2:$E144)&lt;14,"",MAX($C$131:$C$144))</f>
        <v>0</v>
      </c>
      <c r="U144">
        <f>IF(COUNT($E$2:$E144)&lt;14,"",MIN($D$131:$D$144))</f>
        <v>0</v>
      </c>
      <c r="V144">
        <f>IF(OR(T144="",U144="",T144=U144),"",100*($E144-U144)/(T144-U144))</f>
        <v>0</v>
      </c>
      <c r="W144">
        <f>IF(COUNT($V$142:$V$144)&lt;3,"",AVERAGE($V$142:$V$144))</f>
        <v>0</v>
      </c>
      <c r="X144">
        <f>IF(COUNT($N$131:$N$144)&lt;14,"",MIN($N$131:$N$144))</f>
        <v>0</v>
      </c>
      <c r="Y144">
        <f>IF(COUNT($N$131:$N$144)&lt;14,"",MAX($N$131:$N$144))</f>
        <v>0</v>
      </c>
      <c r="Z144">
        <f>IF(OR(N144="",X144="",Y144="",Y144=X144),"",100*(N144-X144)/(Y144-X144))</f>
        <v>0</v>
      </c>
      <c r="AA144">
        <f>IF(COUNT($Z$142:$Z$144)&lt;3,"",AVERAGE($Z$142:$Z$144))</f>
        <v>0</v>
      </c>
      <c r="AB144">
        <f>IF(COUNT($AA$142:$AA$144)&lt;3,"",AVERAGE($AA$142:$AA$144))</f>
        <v>0</v>
      </c>
      <c r="AC144">
        <f>IF($E144="","",MAX($C144-$D144,ABS($C144-$E143),ABS($D144-$E143)))</f>
        <v>0</v>
      </c>
      <c r="AD144">
        <f>IF(COUNT($E$2:$E144)&lt;15,"",AVERAGE($AC$131:$AC$144))</f>
        <v>0</v>
      </c>
      <c r="AE144">
        <f>IF(OR($E144="",$E143=""),"",IF(AND(($C144-$C143)&gt;($D143-$D144),($C144-$C143)&gt;0),$C144-$C143,0))</f>
        <v>0</v>
      </c>
      <c r="AF144">
        <f>IF(OR($E144="",$E143=""),"",IF(AND(($D143-$D144)&gt;($C144-$C143),($D143-$D144)&gt;0),$D143-$D144,0))</f>
        <v>0</v>
      </c>
      <c r="AG144">
        <f>IF(COUNT($E$2:$E144)&lt;15,"",IF(SUM($AC$131:$AC$144)=0,0,100*SUM($AE$131:$AE$144)/SUM($AC$131:$AC$144)))</f>
        <v>0</v>
      </c>
      <c r="AH144">
        <f>IF(COUNT($E$2:$E144)&lt;15,"",IF(SUM($AC$131:$AC$144)=0,0,100*SUM($AF$131:$AF$144)/SUM($AC$131:$AC$144)))</f>
        <v>0</v>
      </c>
      <c r="AI144">
        <f>IF(OR(AG144="",AH144=""),"",IF((AG144+AH144)=0,0,100*ABS(AG144-AH144)/(AG144+AH144)))</f>
        <v>0</v>
      </c>
      <c r="AJ144">
        <f>IF(COUNT($AI$131:$AI$144)&lt;14,"",AVERAGE($AI$131:$AI$144))</f>
        <v>0</v>
      </c>
      <c r="AK144">
        <f>IF(COUNT($E$2:$E144)&lt;20,"",AVERAGE($E$125:$E$144))</f>
        <v>0</v>
      </c>
      <c r="AL144">
        <f>IF(COUNT($E$2:$E144)&lt;20,"",STDEVP($E$125:$E$144))</f>
        <v>0</v>
      </c>
      <c r="AM144">
        <f>IF(AK144="","",AK144+2*AL144)</f>
        <v>0</v>
      </c>
      <c r="AN144">
        <f>IF(AK144="","",AK144-2*AL144)</f>
        <v>0</v>
      </c>
      <c r="AO144">
        <f>IF(OR(AM144="",AN144="",AM144=AN144),"",($E144-AN144)/(AM144-AN144))</f>
        <v>0</v>
      </c>
      <c r="AP144">
        <f>IF(OR(AM144="",AK144="",AK144=0),"",(AM144-AN144)/AK144)</f>
        <v>0</v>
      </c>
      <c r="AQ144">
        <f>IF(COUNT($E$2:$E144)&lt;20,"",MAX($C$125:$C$144))</f>
        <v>0</v>
      </c>
      <c r="AR144">
        <f>IF(COUNT($E$2:$E144)&lt;20,"",MIN($D$125:$D$144))</f>
        <v>0</v>
      </c>
      <c r="AS144">
        <f>IF(OR(AQ144="",AR144=""),"",(AQ144+AR144)/2)</f>
        <v>0</v>
      </c>
      <c r="AT144">
        <f>IF(COUNT($G$125:$G$144)&lt;20,"",STDEV($G$125:$G$144)*SQRT(252))</f>
        <v>0</v>
      </c>
      <c r="AU144">
        <f>IF(COUNT($E$2:$E144)&lt;9,"",(MAX($C$136:$C$144)+MIN($D$136:$D$144))/2)</f>
        <v>0</v>
      </c>
      <c r="AV144">
        <f>IF(COUNT($E$2:$E144)&lt;26,"",(MAX($C$119:$C$144)+MIN($D$119:$D$144))/2)</f>
        <v>0</v>
      </c>
      <c r="AW144">
        <f>IF(OR(AU144="",AV144=""),"",(AU144+AV144)/2)</f>
        <v>0</v>
      </c>
      <c r="AX144">
        <f>IF(COUNT($E$2:$E144)&lt;52,"",(MAX($C$93:$C$144)+MIN($D$93:$D$144))/2)</f>
        <v>0</v>
      </c>
      <c r="AY144">
        <f>IF(COUNT($E$2:$E144)&lt;20,"",MAX($C$45:$C$144))</f>
        <v>0</v>
      </c>
      <c r="AZ144">
        <f>IF(COUNT($E$2:$E144)&lt;20,"",MIN($D$45:$D$144))</f>
        <v>0</v>
      </c>
      <c r="BA144">
        <f>IF(COUNT($E$2:$E144)&lt;20,"",SLOPE($E$45:$E$144,$F$45:$F$144))</f>
        <v>0</v>
      </c>
      <c r="BB144">
        <f>IF(COUNT($E$2:$E144)&lt;20,"",INTERCEPT($E$45:$E$144,$F$45:$F$144))</f>
        <v>0</v>
      </c>
      <c r="BC144">
        <f>IF(OR(BA144="",BB144=""),"",BB144+BA144*F144)</f>
        <v>0</v>
      </c>
      <c r="BD144">
        <f>IF(COUNT($E$2:$E144)&lt;20,"",STEYX($E$45:$E$144,$F$45:$F$144))</f>
        <v>0</v>
      </c>
      <c r="BE144">
        <f>IF($E144="","",IF(AND(COUNT($E$145:$E$148)&gt;=4,$C144=MAX($C$140:$C$148)),$C144,""))</f>
        <v>0</v>
      </c>
      <c r="BF144">
        <f>IF($E144="","",IF(AND(COUNT($E$145:$E$148)&gt;=4,$D144=MIN($D$140:$D$148)),$D144,""))</f>
        <v>0</v>
      </c>
      <c r="BG144">
        <f>IF($A144="","",$A144-WEEKDAY($A144,2)+1)</f>
        <v>0</v>
      </c>
      <c r="BH144">
        <f>IF($A144="","",IF($A143="",1,IF(BG144&lt;&gt;BG143,1,0)))</f>
        <v>0</v>
      </c>
      <c r="BI144">
        <f>IF($A144="","",IF($A145="",1,IF(BG145&lt;&gt;BG144,1,0)))</f>
        <v>0</v>
      </c>
      <c r="BJ144">
        <f>IF($A144="","",IF(BH144=1,$B144,BJ143))</f>
        <v>0</v>
      </c>
      <c r="BK144">
        <f>IF($A144="","",IF(BH144=1,$C144,MAX($C144,BK143)))</f>
        <v>0</v>
      </c>
      <c r="BL144">
        <f>IF($A144="","",IF(BH144=1,$D144,MIN($D144,BL143)))</f>
        <v>0</v>
      </c>
      <c r="BM144">
        <f>IF($A144="","",IF(BI144=1,F144,""))</f>
        <v>0</v>
      </c>
      <c r="BN144">
        <f>IF($A144="","",DATE(YEAR($A144),MONTH($A144),1))</f>
        <v>0</v>
      </c>
      <c r="BO144">
        <f>IF($A144="","",IF($A143="",1,IF(BN144&lt;&gt;BN143,1,0)))</f>
        <v>0</v>
      </c>
      <c r="BP144">
        <f>IF($A144="","",IF($A145="",1,IF(BN145&lt;&gt;BN144,1,0)))</f>
        <v>0</v>
      </c>
      <c r="BQ144">
        <f>IF($A144="","",IF(BO144=1,$B144,BQ143))</f>
        <v>0</v>
      </c>
      <c r="BR144">
        <f>IF($A144="","",IF(BO144=1,$C144,MAX($C144,BR143)))</f>
        <v>0</v>
      </c>
      <c r="BS144">
        <f>IF($A144="","",IF(BO144=1,$D144,MIN($D144,BS143)))</f>
        <v>0</v>
      </c>
      <c r="BT144">
        <f>IF($A144="","",IF(BP144=1,F144,""))</f>
        <v>0</v>
      </c>
    </row>
    <row r="145" spans="1:72">
      <c r="A145" s="27">
        <f>IF(Data!$A145="","",Data!$A145)</f>
        <v>0</v>
      </c>
      <c r="B145">
        <f>IF(Data!$B145="","",Data!$B145)</f>
        <v>0</v>
      </c>
      <c r="C145">
        <f>IF(Data!$C145="","",Data!$C145)</f>
        <v>0</v>
      </c>
      <c r="D145">
        <f>IF(Data!$D145="","",Data!$D145)</f>
        <v>0</v>
      </c>
      <c r="E145">
        <f>IF(Data!$E145="","",Data!$E145)</f>
        <v>0</v>
      </c>
      <c r="F145">
        <f>IF($E145="","",N(F144)+1)</f>
        <v>0</v>
      </c>
      <c r="G145">
        <f>IF(OR($E145="",$E144=""),"",LN($E145/$E144))</f>
        <v>0</v>
      </c>
      <c r="H145">
        <f>IF($E145="","",IF($E144="",$E145,$E145*0.0952380952+H144*0.9047619048))</f>
        <v>0</v>
      </c>
      <c r="I145">
        <f>IF($E145="","",IF($E144="",$E145,$E145*0.0392156863+I144*0.9607843137))</f>
        <v>0</v>
      </c>
      <c r="J145">
        <f>IF($E145="","",IF($E144="",$E145,$E145*0.0198019802+J144*0.9801980198))</f>
        <v>0</v>
      </c>
      <c r="K145">
        <f>IF($E145="","",IF($E144="",$E145,$E145*0.0099502488+K144*0.9900497512))</f>
        <v>0</v>
      </c>
      <c r="L145">
        <f>IF(OR($E145="",$E144=""),"",MAX($E145-$E144,0))</f>
        <v>0</v>
      </c>
      <c r="M145">
        <f>IF(OR($E145="",$E144=""),"",MAX($E144-$E145,0))</f>
        <v>0</v>
      </c>
      <c r="N145">
        <f>IF(COUNT($E$2:$E145)&lt;15,"",IF(AVERAGE($M$132:$M$145)=0,100,100-100/(1+AVERAGE($L$132:$L$145)/AVERAGE($M$132:$M$145))))</f>
        <v>0</v>
      </c>
      <c r="O145">
        <f>IF($E145="","",IF($E144="",$E145,$E145*0.1538461538+O144*0.8461538462))</f>
        <v>0</v>
      </c>
      <c r="P145">
        <f>IF($E145="","",IF($E144="",$E145,$E145*0.0740740741+P144*0.9259259259))</f>
        <v>0</v>
      </c>
      <c r="Q145">
        <f>IF(OR(O145="",P145=""),"",O145-P145)</f>
        <v>0</v>
      </c>
      <c r="R145">
        <f>IF(Q145="","",IF(R144="",Q145,Q145*0.2000000000+R144*0.8000000000))</f>
        <v>0</v>
      </c>
      <c r="S145">
        <f>IF(OR(Q145="",R145=""),"",Q145-R145)</f>
        <v>0</v>
      </c>
      <c r="T145">
        <f>IF(COUNT($E$2:$E145)&lt;14,"",MAX($C$132:$C$145))</f>
        <v>0</v>
      </c>
      <c r="U145">
        <f>IF(COUNT($E$2:$E145)&lt;14,"",MIN($D$132:$D$145))</f>
        <v>0</v>
      </c>
      <c r="V145">
        <f>IF(OR(T145="",U145="",T145=U145),"",100*($E145-U145)/(T145-U145))</f>
        <v>0</v>
      </c>
      <c r="W145">
        <f>IF(COUNT($V$143:$V$145)&lt;3,"",AVERAGE($V$143:$V$145))</f>
        <v>0</v>
      </c>
      <c r="X145">
        <f>IF(COUNT($N$132:$N$145)&lt;14,"",MIN($N$132:$N$145))</f>
        <v>0</v>
      </c>
      <c r="Y145">
        <f>IF(COUNT($N$132:$N$145)&lt;14,"",MAX($N$132:$N$145))</f>
        <v>0</v>
      </c>
      <c r="Z145">
        <f>IF(OR(N145="",X145="",Y145="",Y145=X145),"",100*(N145-X145)/(Y145-X145))</f>
        <v>0</v>
      </c>
      <c r="AA145">
        <f>IF(COUNT($Z$143:$Z$145)&lt;3,"",AVERAGE($Z$143:$Z$145))</f>
        <v>0</v>
      </c>
      <c r="AB145">
        <f>IF(COUNT($AA$143:$AA$145)&lt;3,"",AVERAGE($AA$143:$AA$145))</f>
        <v>0</v>
      </c>
      <c r="AC145">
        <f>IF($E145="","",MAX($C145-$D145,ABS($C145-$E144),ABS($D145-$E144)))</f>
        <v>0</v>
      </c>
      <c r="AD145">
        <f>IF(COUNT($E$2:$E145)&lt;15,"",AVERAGE($AC$132:$AC$145))</f>
        <v>0</v>
      </c>
      <c r="AE145">
        <f>IF(OR($E145="",$E144=""),"",IF(AND(($C145-$C144)&gt;($D144-$D145),($C145-$C144)&gt;0),$C145-$C144,0))</f>
        <v>0</v>
      </c>
      <c r="AF145">
        <f>IF(OR($E145="",$E144=""),"",IF(AND(($D144-$D145)&gt;($C145-$C144),($D144-$D145)&gt;0),$D144-$D145,0))</f>
        <v>0</v>
      </c>
      <c r="AG145">
        <f>IF(COUNT($E$2:$E145)&lt;15,"",IF(SUM($AC$132:$AC$145)=0,0,100*SUM($AE$132:$AE$145)/SUM($AC$132:$AC$145)))</f>
        <v>0</v>
      </c>
      <c r="AH145">
        <f>IF(COUNT($E$2:$E145)&lt;15,"",IF(SUM($AC$132:$AC$145)=0,0,100*SUM($AF$132:$AF$145)/SUM($AC$132:$AC$145)))</f>
        <v>0</v>
      </c>
      <c r="AI145">
        <f>IF(OR(AG145="",AH145=""),"",IF((AG145+AH145)=0,0,100*ABS(AG145-AH145)/(AG145+AH145)))</f>
        <v>0</v>
      </c>
      <c r="AJ145">
        <f>IF(COUNT($AI$132:$AI$145)&lt;14,"",AVERAGE($AI$132:$AI$145))</f>
        <v>0</v>
      </c>
      <c r="AK145">
        <f>IF(COUNT($E$2:$E145)&lt;20,"",AVERAGE($E$126:$E$145))</f>
        <v>0</v>
      </c>
      <c r="AL145">
        <f>IF(COUNT($E$2:$E145)&lt;20,"",STDEVP($E$126:$E$145))</f>
        <v>0</v>
      </c>
      <c r="AM145">
        <f>IF(AK145="","",AK145+2*AL145)</f>
        <v>0</v>
      </c>
      <c r="AN145">
        <f>IF(AK145="","",AK145-2*AL145)</f>
        <v>0</v>
      </c>
      <c r="AO145">
        <f>IF(OR(AM145="",AN145="",AM145=AN145),"",($E145-AN145)/(AM145-AN145))</f>
        <v>0</v>
      </c>
      <c r="AP145">
        <f>IF(OR(AM145="",AK145="",AK145=0),"",(AM145-AN145)/AK145)</f>
        <v>0</v>
      </c>
      <c r="AQ145">
        <f>IF(COUNT($E$2:$E145)&lt;20,"",MAX($C$126:$C$145))</f>
        <v>0</v>
      </c>
      <c r="AR145">
        <f>IF(COUNT($E$2:$E145)&lt;20,"",MIN($D$126:$D$145))</f>
        <v>0</v>
      </c>
      <c r="AS145">
        <f>IF(OR(AQ145="",AR145=""),"",(AQ145+AR145)/2)</f>
        <v>0</v>
      </c>
      <c r="AT145">
        <f>IF(COUNT($G$126:$G$145)&lt;20,"",STDEV($G$126:$G$145)*SQRT(252))</f>
        <v>0</v>
      </c>
      <c r="AU145">
        <f>IF(COUNT($E$2:$E145)&lt;9,"",(MAX($C$137:$C$145)+MIN($D$137:$D$145))/2)</f>
        <v>0</v>
      </c>
      <c r="AV145">
        <f>IF(COUNT($E$2:$E145)&lt;26,"",(MAX($C$120:$C$145)+MIN($D$120:$D$145))/2)</f>
        <v>0</v>
      </c>
      <c r="AW145">
        <f>IF(OR(AU145="",AV145=""),"",(AU145+AV145)/2)</f>
        <v>0</v>
      </c>
      <c r="AX145">
        <f>IF(COUNT($E$2:$E145)&lt;52,"",(MAX($C$94:$C$145)+MIN($D$94:$D$145))/2)</f>
        <v>0</v>
      </c>
      <c r="AY145">
        <f>IF(COUNT($E$2:$E145)&lt;20,"",MAX($C$46:$C$145))</f>
        <v>0</v>
      </c>
      <c r="AZ145">
        <f>IF(COUNT($E$2:$E145)&lt;20,"",MIN($D$46:$D$145))</f>
        <v>0</v>
      </c>
      <c r="BA145">
        <f>IF(COUNT($E$2:$E145)&lt;20,"",SLOPE($E$46:$E$145,$F$46:$F$145))</f>
        <v>0</v>
      </c>
      <c r="BB145">
        <f>IF(COUNT($E$2:$E145)&lt;20,"",INTERCEPT($E$46:$E$145,$F$46:$F$145))</f>
        <v>0</v>
      </c>
      <c r="BC145">
        <f>IF(OR(BA145="",BB145=""),"",BB145+BA145*F145)</f>
        <v>0</v>
      </c>
      <c r="BD145">
        <f>IF(COUNT($E$2:$E145)&lt;20,"",STEYX($E$46:$E$145,$F$46:$F$145))</f>
        <v>0</v>
      </c>
      <c r="BE145">
        <f>IF($E145="","",IF(AND(COUNT($E$146:$E$149)&gt;=4,$C145=MAX($C$141:$C$149)),$C145,""))</f>
        <v>0</v>
      </c>
      <c r="BF145">
        <f>IF($E145="","",IF(AND(COUNT($E$146:$E$149)&gt;=4,$D145=MIN($D$141:$D$149)),$D145,""))</f>
        <v>0</v>
      </c>
      <c r="BG145">
        <f>IF($A145="","",$A145-WEEKDAY($A145,2)+1)</f>
        <v>0</v>
      </c>
      <c r="BH145">
        <f>IF($A145="","",IF($A144="",1,IF(BG145&lt;&gt;BG144,1,0)))</f>
        <v>0</v>
      </c>
      <c r="BI145">
        <f>IF($A145="","",IF($A146="",1,IF(BG146&lt;&gt;BG145,1,0)))</f>
        <v>0</v>
      </c>
      <c r="BJ145">
        <f>IF($A145="","",IF(BH145=1,$B145,BJ144))</f>
        <v>0</v>
      </c>
      <c r="BK145">
        <f>IF($A145="","",IF(BH145=1,$C145,MAX($C145,BK144)))</f>
        <v>0</v>
      </c>
      <c r="BL145">
        <f>IF($A145="","",IF(BH145=1,$D145,MIN($D145,BL144)))</f>
        <v>0</v>
      </c>
      <c r="BM145">
        <f>IF($A145="","",IF(BI145=1,F145,""))</f>
        <v>0</v>
      </c>
      <c r="BN145">
        <f>IF($A145="","",DATE(YEAR($A145),MONTH($A145),1))</f>
        <v>0</v>
      </c>
      <c r="BO145">
        <f>IF($A145="","",IF($A144="",1,IF(BN145&lt;&gt;BN144,1,0)))</f>
        <v>0</v>
      </c>
      <c r="BP145">
        <f>IF($A145="","",IF($A146="",1,IF(BN146&lt;&gt;BN145,1,0)))</f>
        <v>0</v>
      </c>
      <c r="BQ145">
        <f>IF($A145="","",IF(BO145=1,$B145,BQ144))</f>
        <v>0</v>
      </c>
      <c r="BR145">
        <f>IF($A145="","",IF(BO145=1,$C145,MAX($C145,BR144)))</f>
        <v>0</v>
      </c>
      <c r="BS145">
        <f>IF($A145="","",IF(BO145=1,$D145,MIN($D145,BS144)))</f>
        <v>0</v>
      </c>
      <c r="BT145">
        <f>IF($A145="","",IF(BP145=1,F145,""))</f>
        <v>0</v>
      </c>
    </row>
    <row r="146" spans="1:72">
      <c r="A146" s="27">
        <f>IF(Data!$A146="","",Data!$A146)</f>
        <v>0</v>
      </c>
      <c r="B146">
        <f>IF(Data!$B146="","",Data!$B146)</f>
        <v>0</v>
      </c>
      <c r="C146">
        <f>IF(Data!$C146="","",Data!$C146)</f>
        <v>0</v>
      </c>
      <c r="D146">
        <f>IF(Data!$D146="","",Data!$D146)</f>
        <v>0</v>
      </c>
      <c r="E146">
        <f>IF(Data!$E146="","",Data!$E146)</f>
        <v>0</v>
      </c>
      <c r="F146">
        <f>IF($E146="","",N(F145)+1)</f>
        <v>0</v>
      </c>
      <c r="G146">
        <f>IF(OR($E146="",$E145=""),"",LN($E146/$E145))</f>
        <v>0</v>
      </c>
      <c r="H146">
        <f>IF($E146="","",IF($E145="",$E146,$E146*0.0952380952+H145*0.9047619048))</f>
        <v>0</v>
      </c>
      <c r="I146">
        <f>IF($E146="","",IF($E145="",$E146,$E146*0.0392156863+I145*0.9607843137))</f>
        <v>0</v>
      </c>
      <c r="J146">
        <f>IF($E146="","",IF($E145="",$E146,$E146*0.0198019802+J145*0.9801980198))</f>
        <v>0</v>
      </c>
      <c r="K146">
        <f>IF($E146="","",IF($E145="",$E146,$E146*0.0099502488+K145*0.9900497512))</f>
        <v>0</v>
      </c>
      <c r="L146">
        <f>IF(OR($E146="",$E145=""),"",MAX($E146-$E145,0))</f>
        <v>0</v>
      </c>
      <c r="M146">
        <f>IF(OR($E146="",$E145=""),"",MAX($E145-$E146,0))</f>
        <v>0</v>
      </c>
      <c r="N146">
        <f>IF(COUNT($E$2:$E146)&lt;15,"",IF(AVERAGE($M$133:$M$146)=0,100,100-100/(1+AVERAGE($L$133:$L$146)/AVERAGE($M$133:$M$146))))</f>
        <v>0</v>
      </c>
      <c r="O146">
        <f>IF($E146="","",IF($E145="",$E146,$E146*0.1538461538+O145*0.8461538462))</f>
        <v>0</v>
      </c>
      <c r="P146">
        <f>IF($E146="","",IF($E145="",$E146,$E146*0.0740740741+P145*0.9259259259))</f>
        <v>0</v>
      </c>
      <c r="Q146">
        <f>IF(OR(O146="",P146=""),"",O146-P146)</f>
        <v>0</v>
      </c>
      <c r="R146">
        <f>IF(Q146="","",IF(R145="",Q146,Q146*0.2000000000+R145*0.8000000000))</f>
        <v>0</v>
      </c>
      <c r="S146">
        <f>IF(OR(Q146="",R146=""),"",Q146-R146)</f>
        <v>0</v>
      </c>
      <c r="T146">
        <f>IF(COUNT($E$2:$E146)&lt;14,"",MAX($C$133:$C$146))</f>
        <v>0</v>
      </c>
      <c r="U146">
        <f>IF(COUNT($E$2:$E146)&lt;14,"",MIN($D$133:$D$146))</f>
        <v>0</v>
      </c>
      <c r="V146">
        <f>IF(OR(T146="",U146="",T146=U146),"",100*($E146-U146)/(T146-U146))</f>
        <v>0</v>
      </c>
      <c r="W146">
        <f>IF(COUNT($V$144:$V$146)&lt;3,"",AVERAGE($V$144:$V$146))</f>
        <v>0</v>
      </c>
      <c r="X146">
        <f>IF(COUNT($N$133:$N$146)&lt;14,"",MIN($N$133:$N$146))</f>
        <v>0</v>
      </c>
      <c r="Y146">
        <f>IF(COUNT($N$133:$N$146)&lt;14,"",MAX($N$133:$N$146))</f>
        <v>0</v>
      </c>
      <c r="Z146">
        <f>IF(OR(N146="",X146="",Y146="",Y146=X146),"",100*(N146-X146)/(Y146-X146))</f>
        <v>0</v>
      </c>
      <c r="AA146">
        <f>IF(COUNT($Z$144:$Z$146)&lt;3,"",AVERAGE($Z$144:$Z$146))</f>
        <v>0</v>
      </c>
      <c r="AB146">
        <f>IF(COUNT($AA$144:$AA$146)&lt;3,"",AVERAGE($AA$144:$AA$146))</f>
        <v>0</v>
      </c>
      <c r="AC146">
        <f>IF($E146="","",MAX($C146-$D146,ABS($C146-$E145),ABS($D146-$E145)))</f>
        <v>0</v>
      </c>
      <c r="AD146">
        <f>IF(COUNT($E$2:$E146)&lt;15,"",AVERAGE($AC$133:$AC$146))</f>
        <v>0</v>
      </c>
      <c r="AE146">
        <f>IF(OR($E146="",$E145=""),"",IF(AND(($C146-$C145)&gt;($D145-$D146),($C146-$C145)&gt;0),$C146-$C145,0))</f>
        <v>0</v>
      </c>
      <c r="AF146">
        <f>IF(OR($E146="",$E145=""),"",IF(AND(($D145-$D146)&gt;($C146-$C145),($D145-$D146)&gt;0),$D145-$D146,0))</f>
        <v>0</v>
      </c>
      <c r="AG146">
        <f>IF(COUNT($E$2:$E146)&lt;15,"",IF(SUM($AC$133:$AC$146)=0,0,100*SUM($AE$133:$AE$146)/SUM($AC$133:$AC$146)))</f>
        <v>0</v>
      </c>
      <c r="AH146">
        <f>IF(COUNT($E$2:$E146)&lt;15,"",IF(SUM($AC$133:$AC$146)=0,0,100*SUM($AF$133:$AF$146)/SUM($AC$133:$AC$146)))</f>
        <v>0</v>
      </c>
      <c r="AI146">
        <f>IF(OR(AG146="",AH146=""),"",IF((AG146+AH146)=0,0,100*ABS(AG146-AH146)/(AG146+AH146)))</f>
        <v>0</v>
      </c>
      <c r="AJ146">
        <f>IF(COUNT($AI$133:$AI$146)&lt;14,"",AVERAGE($AI$133:$AI$146))</f>
        <v>0</v>
      </c>
      <c r="AK146">
        <f>IF(COUNT($E$2:$E146)&lt;20,"",AVERAGE($E$127:$E$146))</f>
        <v>0</v>
      </c>
      <c r="AL146">
        <f>IF(COUNT($E$2:$E146)&lt;20,"",STDEVP($E$127:$E$146))</f>
        <v>0</v>
      </c>
      <c r="AM146">
        <f>IF(AK146="","",AK146+2*AL146)</f>
        <v>0</v>
      </c>
      <c r="AN146">
        <f>IF(AK146="","",AK146-2*AL146)</f>
        <v>0</v>
      </c>
      <c r="AO146">
        <f>IF(OR(AM146="",AN146="",AM146=AN146),"",($E146-AN146)/(AM146-AN146))</f>
        <v>0</v>
      </c>
      <c r="AP146">
        <f>IF(OR(AM146="",AK146="",AK146=0),"",(AM146-AN146)/AK146)</f>
        <v>0</v>
      </c>
      <c r="AQ146">
        <f>IF(COUNT($E$2:$E146)&lt;20,"",MAX($C$127:$C$146))</f>
        <v>0</v>
      </c>
      <c r="AR146">
        <f>IF(COUNT($E$2:$E146)&lt;20,"",MIN($D$127:$D$146))</f>
        <v>0</v>
      </c>
      <c r="AS146">
        <f>IF(OR(AQ146="",AR146=""),"",(AQ146+AR146)/2)</f>
        <v>0</v>
      </c>
      <c r="AT146">
        <f>IF(COUNT($G$127:$G$146)&lt;20,"",STDEV($G$127:$G$146)*SQRT(252))</f>
        <v>0</v>
      </c>
      <c r="AU146">
        <f>IF(COUNT($E$2:$E146)&lt;9,"",(MAX($C$138:$C$146)+MIN($D$138:$D$146))/2)</f>
        <v>0</v>
      </c>
      <c r="AV146">
        <f>IF(COUNT($E$2:$E146)&lt;26,"",(MAX($C$121:$C$146)+MIN($D$121:$D$146))/2)</f>
        <v>0</v>
      </c>
      <c r="AW146">
        <f>IF(OR(AU146="",AV146=""),"",(AU146+AV146)/2)</f>
        <v>0</v>
      </c>
      <c r="AX146">
        <f>IF(COUNT($E$2:$E146)&lt;52,"",(MAX($C$95:$C$146)+MIN($D$95:$D$146))/2)</f>
        <v>0</v>
      </c>
      <c r="AY146">
        <f>IF(COUNT($E$2:$E146)&lt;20,"",MAX($C$47:$C$146))</f>
        <v>0</v>
      </c>
      <c r="AZ146">
        <f>IF(COUNT($E$2:$E146)&lt;20,"",MIN($D$47:$D$146))</f>
        <v>0</v>
      </c>
      <c r="BA146">
        <f>IF(COUNT($E$2:$E146)&lt;20,"",SLOPE($E$47:$E$146,$F$47:$F$146))</f>
        <v>0</v>
      </c>
      <c r="BB146">
        <f>IF(COUNT($E$2:$E146)&lt;20,"",INTERCEPT($E$47:$E$146,$F$47:$F$146))</f>
        <v>0</v>
      </c>
      <c r="BC146">
        <f>IF(OR(BA146="",BB146=""),"",BB146+BA146*F146)</f>
        <v>0</v>
      </c>
      <c r="BD146">
        <f>IF(COUNT($E$2:$E146)&lt;20,"",STEYX($E$47:$E$146,$F$47:$F$146))</f>
        <v>0</v>
      </c>
      <c r="BE146">
        <f>IF($E146="","",IF(AND(COUNT($E$147:$E$150)&gt;=4,$C146=MAX($C$142:$C$150)),$C146,""))</f>
        <v>0</v>
      </c>
      <c r="BF146">
        <f>IF($E146="","",IF(AND(COUNT($E$147:$E$150)&gt;=4,$D146=MIN($D$142:$D$150)),$D146,""))</f>
        <v>0</v>
      </c>
      <c r="BG146">
        <f>IF($A146="","",$A146-WEEKDAY($A146,2)+1)</f>
        <v>0</v>
      </c>
      <c r="BH146">
        <f>IF($A146="","",IF($A145="",1,IF(BG146&lt;&gt;BG145,1,0)))</f>
        <v>0</v>
      </c>
      <c r="BI146">
        <f>IF($A146="","",IF($A147="",1,IF(BG147&lt;&gt;BG146,1,0)))</f>
        <v>0</v>
      </c>
      <c r="BJ146">
        <f>IF($A146="","",IF(BH146=1,$B146,BJ145))</f>
        <v>0</v>
      </c>
      <c r="BK146">
        <f>IF($A146="","",IF(BH146=1,$C146,MAX($C146,BK145)))</f>
        <v>0</v>
      </c>
      <c r="BL146">
        <f>IF($A146="","",IF(BH146=1,$D146,MIN($D146,BL145)))</f>
        <v>0</v>
      </c>
      <c r="BM146">
        <f>IF($A146="","",IF(BI146=1,F146,""))</f>
        <v>0</v>
      </c>
      <c r="BN146">
        <f>IF($A146="","",DATE(YEAR($A146),MONTH($A146),1))</f>
        <v>0</v>
      </c>
      <c r="BO146">
        <f>IF($A146="","",IF($A145="",1,IF(BN146&lt;&gt;BN145,1,0)))</f>
        <v>0</v>
      </c>
      <c r="BP146">
        <f>IF($A146="","",IF($A147="",1,IF(BN147&lt;&gt;BN146,1,0)))</f>
        <v>0</v>
      </c>
      <c r="BQ146">
        <f>IF($A146="","",IF(BO146=1,$B146,BQ145))</f>
        <v>0</v>
      </c>
      <c r="BR146">
        <f>IF($A146="","",IF(BO146=1,$C146,MAX($C146,BR145)))</f>
        <v>0</v>
      </c>
      <c r="BS146">
        <f>IF($A146="","",IF(BO146=1,$D146,MIN($D146,BS145)))</f>
        <v>0</v>
      </c>
      <c r="BT146">
        <f>IF($A146="","",IF(BP146=1,F146,""))</f>
        <v>0</v>
      </c>
    </row>
    <row r="147" spans="1:72">
      <c r="A147" s="27">
        <f>IF(Data!$A147="","",Data!$A147)</f>
        <v>0</v>
      </c>
      <c r="B147">
        <f>IF(Data!$B147="","",Data!$B147)</f>
        <v>0</v>
      </c>
      <c r="C147">
        <f>IF(Data!$C147="","",Data!$C147)</f>
        <v>0</v>
      </c>
      <c r="D147">
        <f>IF(Data!$D147="","",Data!$D147)</f>
        <v>0</v>
      </c>
      <c r="E147">
        <f>IF(Data!$E147="","",Data!$E147)</f>
        <v>0</v>
      </c>
      <c r="F147">
        <f>IF($E147="","",N(F146)+1)</f>
        <v>0</v>
      </c>
      <c r="G147">
        <f>IF(OR($E147="",$E146=""),"",LN($E147/$E146))</f>
        <v>0</v>
      </c>
      <c r="H147">
        <f>IF($E147="","",IF($E146="",$E147,$E147*0.0952380952+H146*0.9047619048))</f>
        <v>0</v>
      </c>
      <c r="I147">
        <f>IF($E147="","",IF($E146="",$E147,$E147*0.0392156863+I146*0.9607843137))</f>
        <v>0</v>
      </c>
      <c r="J147">
        <f>IF($E147="","",IF($E146="",$E147,$E147*0.0198019802+J146*0.9801980198))</f>
        <v>0</v>
      </c>
      <c r="K147">
        <f>IF($E147="","",IF($E146="",$E147,$E147*0.0099502488+K146*0.9900497512))</f>
        <v>0</v>
      </c>
      <c r="L147">
        <f>IF(OR($E147="",$E146=""),"",MAX($E147-$E146,0))</f>
        <v>0</v>
      </c>
      <c r="M147">
        <f>IF(OR($E147="",$E146=""),"",MAX($E146-$E147,0))</f>
        <v>0</v>
      </c>
      <c r="N147">
        <f>IF(COUNT($E$2:$E147)&lt;15,"",IF(AVERAGE($M$134:$M$147)=0,100,100-100/(1+AVERAGE($L$134:$L$147)/AVERAGE($M$134:$M$147))))</f>
        <v>0</v>
      </c>
      <c r="O147">
        <f>IF($E147="","",IF($E146="",$E147,$E147*0.1538461538+O146*0.8461538462))</f>
        <v>0</v>
      </c>
      <c r="P147">
        <f>IF($E147="","",IF($E146="",$E147,$E147*0.0740740741+P146*0.9259259259))</f>
        <v>0</v>
      </c>
      <c r="Q147">
        <f>IF(OR(O147="",P147=""),"",O147-P147)</f>
        <v>0</v>
      </c>
      <c r="R147">
        <f>IF(Q147="","",IF(R146="",Q147,Q147*0.2000000000+R146*0.8000000000))</f>
        <v>0</v>
      </c>
      <c r="S147">
        <f>IF(OR(Q147="",R147=""),"",Q147-R147)</f>
        <v>0</v>
      </c>
      <c r="T147">
        <f>IF(COUNT($E$2:$E147)&lt;14,"",MAX($C$134:$C$147))</f>
        <v>0</v>
      </c>
      <c r="U147">
        <f>IF(COUNT($E$2:$E147)&lt;14,"",MIN($D$134:$D$147))</f>
        <v>0</v>
      </c>
      <c r="V147">
        <f>IF(OR(T147="",U147="",T147=U147),"",100*($E147-U147)/(T147-U147))</f>
        <v>0</v>
      </c>
      <c r="W147">
        <f>IF(COUNT($V$145:$V$147)&lt;3,"",AVERAGE($V$145:$V$147))</f>
        <v>0</v>
      </c>
      <c r="X147">
        <f>IF(COUNT($N$134:$N$147)&lt;14,"",MIN($N$134:$N$147))</f>
        <v>0</v>
      </c>
      <c r="Y147">
        <f>IF(COUNT($N$134:$N$147)&lt;14,"",MAX($N$134:$N$147))</f>
        <v>0</v>
      </c>
      <c r="Z147">
        <f>IF(OR(N147="",X147="",Y147="",Y147=X147),"",100*(N147-X147)/(Y147-X147))</f>
        <v>0</v>
      </c>
      <c r="AA147">
        <f>IF(COUNT($Z$145:$Z$147)&lt;3,"",AVERAGE($Z$145:$Z$147))</f>
        <v>0</v>
      </c>
      <c r="AB147">
        <f>IF(COUNT($AA$145:$AA$147)&lt;3,"",AVERAGE($AA$145:$AA$147))</f>
        <v>0</v>
      </c>
      <c r="AC147">
        <f>IF($E147="","",MAX($C147-$D147,ABS($C147-$E146),ABS($D147-$E146)))</f>
        <v>0</v>
      </c>
      <c r="AD147">
        <f>IF(COUNT($E$2:$E147)&lt;15,"",AVERAGE($AC$134:$AC$147))</f>
        <v>0</v>
      </c>
      <c r="AE147">
        <f>IF(OR($E147="",$E146=""),"",IF(AND(($C147-$C146)&gt;($D146-$D147),($C147-$C146)&gt;0),$C147-$C146,0))</f>
        <v>0</v>
      </c>
      <c r="AF147">
        <f>IF(OR($E147="",$E146=""),"",IF(AND(($D146-$D147)&gt;($C147-$C146),($D146-$D147)&gt;0),$D146-$D147,0))</f>
        <v>0</v>
      </c>
      <c r="AG147">
        <f>IF(COUNT($E$2:$E147)&lt;15,"",IF(SUM($AC$134:$AC$147)=0,0,100*SUM($AE$134:$AE$147)/SUM($AC$134:$AC$147)))</f>
        <v>0</v>
      </c>
      <c r="AH147">
        <f>IF(COUNT($E$2:$E147)&lt;15,"",IF(SUM($AC$134:$AC$147)=0,0,100*SUM($AF$134:$AF$147)/SUM($AC$134:$AC$147)))</f>
        <v>0</v>
      </c>
      <c r="AI147">
        <f>IF(OR(AG147="",AH147=""),"",IF((AG147+AH147)=0,0,100*ABS(AG147-AH147)/(AG147+AH147)))</f>
        <v>0</v>
      </c>
      <c r="AJ147">
        <f>IF(COUNT($AI$134:$AI$147)&lt;14,"",AVERAGE($AI$134:$AI$147))</f>
        <v>0</v>
      </c>
      <c r="AK147">
        <f>IF(COUNT($E$2:$E147)&lt;20,"",AVERAGE($E$128:$E$147))</f>
        <v>0</v>
      </c>
      <c r="AL147">
        <f>IF(COUNT($E$2:$E147)&lt;20,"",STDEVP($E$128:$E$147))</f>
        <v>0</v>
      </c>
      <c r="AM147">
        <f>IF(AK147="","",AK147+2*AL147)</f>
        <v>0</v>
      </c>
      <c r="AN147">
        <f>IF(AK147="","",AK147-2*AL147)</f>
        <v>0</v>
      </c>
      <c r="AO147">
        <f>IF(OR(AM147="",AN147="",AM147=AN147),"",($E147-AN147)/(AM147-AN147))</f>
        <v>0</v>
      </c>
      <c r="AP147">
        <f>IF(OR(AM147="",AK147="",AK147=0),"",(AM147-AN147)/AK147)</f>
        <v>0</v>
      </c>
      <c r="AQ147">
        <f>IF(COUNT($E$2:$E147)&lt;20,"",MAX($C$128:$C$147))</f>
        <v>0</v>
      </c>
      <c r="AR147">
        <f>IF(COUNT($E$2:$E147)&lt;20,"",MIN($D$128:$D$147))</f>
        <v>0</v>
      </c>
      <c r="AS147">
        <f>IF(OR(AQ147="",AR147=""),"",(AQ147+AR147)/2)</f>
        <v>0</v>
      </c>
      <c r="AT147">
        <f>IF(COUNT($G$128:$G$147)&lt;20,"",STDEV($G$128:$G$147)*SQRT(252))</f>
        <v>0</v>
      </c>
      <c r="AU147">
        <f>IF(COUNT($E$2:$E147)&lt;9,"",(MAX($C$139:$C$147)+MIN($D$139:$D$147))/2)</f>
        <v>0</v>
      </c>
      <c r="AV147">
        <f>IF(COUNT($E$2:$E147)&lt;26,"",(MAX($C$122:$C$147)+MIN($D$122:$D$147))/2)</f>
        <v>0</v>
      </c>
      <c r="AW147">
        <f>IF(OR(AU147="",AV147=""),"",(AU147+AV147)/2)</f>
        <v>0</v>
      </c>
      <c r="AX147">
        <f>IF(COUNT($E$2:$E147)&lt;52,"",(MAX($C$96:$C$147)+MIN($D$96:$D$147))/2)</f>
        <v>0</v>
      </c>
      <c r="AY147">
        <f>IF(COUNT($E$2:$E147)&lt;20,"",MAX($C$48:$C$147))</f>
        <v>0</v>
      </c>
      <c r="AZ147">
        <f>IF(COUNT($E$2:$E147)&lt;20,"",MIN($D$48:$D$147))</f>
        <v>0</v>
      </c>
      <c r="BA147">
        <f>IF(COUNT($E$2:$E147)&lt;20,"",SLOPE($E$48:$E$147,$F$48:$F$147))</f>
        <v>0</v>
      </c>
      <c r="BB147">
        <f>IF(COUNT($E$2:$E147)&lt;20,"",INTERCEPT($E$48:$E$147,$F$48:$F$147))</f>
        <v>0</v>
      </c>
      <c r="BC147">
        <f>IF(OR(BA147="",BB147=""),"",BB147+BA147*F147)</f>
        <v>0</v>
      </c>
      <c r="BD147">
        <f>IF(COUNT($E$2:$E147)&lt;20,"",STEYX($E$48:$E$147,$F$48:$F$147))</f>
        <v>0</v>
      </c>
      <c r="BE147">
        <f>IF($E147="","",IF(AND(COUNT($E$148:$E$151)&gt;=4,$C147=MAX($C$143:$C$151)),$C147,""))</f>
        <v>0</v>
      </c>
      <c r="BF147">
        <f>IF($E147="","",IF(AND(COUNT($E$148:$E$151)&gt;=4,$D147=MIN($D$143:$D$151)),$D147,""))</f>
        <v>0</v>
      </c>
      <c r="BG147">
        <f>IF($A147="","",$A147-WEEKDAY($A147,2)+1)</f>
        <v>0</v>
      </c>
      <c r="BH147">
        <f>IF($A147="","",IF($A146="",1,IF(BG147&lt;&gt;BG146,1,0)))</f>
        <v>0</v>
      </c>
      <c r="BI147">
        <f>IF($A147="","",IF($A148="",1,IF(BG148&lt;&gt;BG147,1,0)))</f>
        <v>0</v>
      </c>
      <c r="BJ147">
        <f>IF($A147="","",IF(BH147=1,$B147,BJ146))</f>
        <v>0</v>
      </c>
      <c r="BK147">
        <f>IF($A147="","",IF(BH147=1,$C147,MAX($C147,BK146)))</f>
        <v>0</v>
      </c>
      <c r="BL147">
        <f>IF($A147="","",IF(BH147=1,$D147,MIN($D147,BL146)))</f>
        <v>0</v>
      </c>
      <c r="BM147">
        <f>IF($A147="","",IF(BI147=1,F147,""))</f>
        <v>0</v>
      </c>
      <c r="BN147">
        <f>IF($A147="","",DATE(YEAR($A147),MONTH($A147),1))</f>
        <v>0</v>
      </c>
      <c r="BO147">
        <f>IF($A147="","",IF($A146="",1,IF(BN147&lt;&gt;BN146,1,0)))</f>
        <v>0</v>
      </c>
      <c r="BP147">
        <f>IF($A147="","",IF($A148="",1,IF(BN148&lt;&gt;BN147,1,0)))</f>
        <v>0</v>
      </c>
      <c r="BQ147">
        <f>IF($A147="","",IF(BO147=1,$B147,BQ146))</f>
        <v>0</v>
      </c>
      <c r="BR147">
        <f>IF($A147="","",IF(BO147=1,$C147,MAX($C147,BR146)))</f>
        <v>0</v>
      </c>
      <c r="BS147">
        <f>IF($A147="","",IF(BO147=1,$D147,MIN($D147,BS146)))</f>
        <v>0</v>
      </c>
      <c r="BT147">
        <f>IF($A147="","",IF(BP147=1,F147,""))</f>
        <v>0</v>
      </c>
    </row>
    <row r="148" spans="1:72">
      <c r="A148" s="27">
        <f>IF(Data!$A148="","",Data!$A148)</f>
        <v>0</v>
      </c>
      <c r="B148">
        <f>IF(Data!$B148="","",Data!$B148)</f>
        <v>0</v>
      </c>
      <c r="C148">
        <f>IF(Data!$C148="","",Data!$C148)</f>
        <v>0</v>
      </c>
      <c r="D148">
        <f>IF(Data!$D148="","",Data!$D148)</f>
        <v>0</v>
      </c>
      <c r="E148">
        <f>IF(Data!$E148="","",Data!$E148)</f>
        <v>0</v>
      </c>
      <c r="F148">
        <f>IF($E148="","",N(F147)+1)</f>
        <v>0</v>
      </c>
      <c r="G148">
        <f>IF(OR($E148="",$E147=""),"",LN($E148/$E147))</f>
        <v>0</v>
      </c>
      <c r="H148">
        <f>IF($E148="","",IF($E147="",$E148,$E148*0.0952380952+H147*0.9047619048))</f>
        <v>0</v>
      </c>
      <c r="I148">
        <f>IF($E148="","",IF($E147="",$E148,$E148*0.0392156863+I147*0.9607843137))</f>
        <v>0</v>
      </c>
      <c r="J148">
        <f>IF($E148="","",IF($E147="",$E148,$E148*0.0198019802+J147*0.9801980198))</f>
        <v>0</v>
      </c>
      <c r="K148">
        <f>IF($E148="","",IF($E147="",$E148,$E148*0.0099502488+K147*0.9900497512))</f>
        <v>0</v>
      </c>
      <c r="L148">
        <f>IF(OR($E148="",$E147=""),"",MAX($E148-$E147,0))</f>
        <v>0</v>
      </c>
      <c r="M148">
        <f>IF(OR($E148="",$E147=""),"",MAX($E147-$E148,0))</f>
        <v>0</v>
      </c>
      <c r="N148">
        <f>IF(COUNT($E$2:$E148)&lt;15,"",IF(AVERAGE($M$135:$M$148)=0,100,100-100/(1+AVERAGE($L$135:$L$148)/AVERAGE($M$135:$M$148))))</f>
        <v>0</v>
      </c>
      <c r="O148">
        <f>IF($E148="","",IF($E147="",$E148,$E148*0.1538461538+O147*0.8461538462))</f>
        <v>0</v>
      </c>
      <c r="P148">
        <f>IF($E148="","",IF($E147="",$E148,$E148*0.0740740741+P147*0.9259259259))</f>
        <v>0</v>
      </c>
      <c r="Q148">
        <f>IF(OR(O148="",P148=""),"",O148-P148)</f>
        <v>0</v>
      </c>
      <c r="R148">
        <f>IF(Q148="","",IF(R147="",Q148,Q148*0.2000000000+R147*0.8000000000))</f>
        <v>0</v>
      </c>
      <c r="S148">
        <f>IF(OR(Q148="",R148=""),"",Q148-R148)</f>
        <v>0</v>
      </c>
      <c r="T148">
        <f>IF(COUNT($E$2:$E148)&lt;14,"",MAX($C$135:$C$148))</f>
        <v>0</v>
      </c>
      <c r="U148">
        <f>IF(COUNT($E$2:$E148)&lt;14,"",MIN($D$135:$D$148))</f>
        <v>0</v>
      </c>
      <c r="V148">
        <f>IF(OR(T148="",U148="",T148=U148),"",100*($E148-U148)/(T148-U148))</f>
        <v>0</v>
      </c>
      <c r="W148">
        <f>IF(COUNT($V$146:$V$148)&lt;3,"",AVERAGE($V$146:$V$148))</f>
        <v>0</v>
      </c>
      <c r="X148">
        <f>IF(COUNT($N$135:$N$148)&lt;14,"",MIN($N$135:$N$148))</f>
        <v>0</v>
      </c>
      <c r="Y148">
        <f>IF(COUNT($N$135:$N$148)&lt;14,"",MAX($N$135:$N$148))</f>
        <v>0</v>
      </c>
      <c r="Z148">
        <f>IF(OR(N148="",X148="",Y148="",Y148=X148),"",100*(N148-X148)/(Y148-X148))</f>
        <v>0</v>
      </c>
      <c r="AA148">
        <f>IF(COUNT($Z$146:$Z$148)&lt;3,"",AVERAGE($Z$146:$Z$148))</f>
        <v>0</v>
      </c>
      <c r="AB148">
        <f>IF(COUNT($AA$146:$AA$148)&lt;3,"",AVERAGE($AA$146:$AA$148))</f>
        <v>0</v>
      </c>
      <c r="AC148">
        <f>IF($E148="","",MAX($C148-$D148,ABS($C148-$E147),ABS($D148-$E147)))</f>
        <v>0</v>
      </c>
      <c r="AD148">
        <f>IF(COUNT($E$2:$E148)&lt;15,"",AVERAGE($AC$135:$AC$148))</f>
        <v>0</v>
      </c>
      <c r="AE148">
        <f>IF(OR($E148="",$E147=""),"",IF(AND(($C148-$C147)&gt;($D147-$D148),($C148-$C147)&gt;0),$C148-$C147,0))</f>
        <v>0</v>
      </c>
      <c r="AF148">
        <f>IF(OR($E148="",$E147=""),"",IF(AND(($D147-$D148)&gt;($C148-$C147),($D147-$D148)&gt;0),$D147-$D148,0))</f>
        <v>0</v>
      </c>
      <c r="AG148">
        <f>IF(COUNT($E$2:$E148)&lt;15,"",IF(SUM($AC$135:$AC$148)=0,0,100*SUM($AE$135:$AE$148)/SUM($AC$135:$AC$148)))</f>
        <v>0</v>
      </c>
      <c r="AH148">
        <f>IF(COUNT($E$2:$E148)&lt;15,"",IF(SUM($AC$135:$AC$148)=0,0,100*SUM($AF$135:$AF$148)/SUM($AC$135:$AC$148)))</f>
        <v>0</v>
      </c>
      <c r="AI148">
        <f>IF(OR(AG148="",AH148=""),"",IF((AG148+AH148)=0,0,100*ABS(AG148-AH148)/(AG148+AH148)))</f>
        <v>0</v>
      </c>
      <c r="AJ148">
        <f>IF(COUNT($AI$135:$AI$148)&lt;14,"",AVERAGE($AI$135:$AI$148))</f>
        <v>0</v>
      </c>
      <c r="AK148">
        <f>IF(COUNT($E$2:$E148)&lt;20,"",AVERAGE($E$129:$E$148))</f>
        <v>0</v>
      </c>
      <c r="AL148">
        <f>IF(COUNT($E$2:$E148)&lt;20,"",STDEVP($E$129:$E$148))</f>
        <v>0</v>
      </c>
      <c r="AM148">
        <f>IF(AK148="","",AK148+2*AL148)</f>
        <v>0</v>
      </c>
      <c r="AN148">
        <f>IF(AK148="","",AK148-2*AL148)</f>
        <v>0</v>
      </c>
      <c r="AO148">
        <f>IF(OR(AM148="",AN148="",AM148=AN148),"",($E148-AN148)/(AM148-AN148))</f>
        <v>0</v>
      </c>
      <c r="AP148">
        <f>IF(OR(AM148="",AK148="",AK148=0),"",(AM148-AN148)/AK148)</f>
        <v>0</v>
      </c>
      <c r="AQ148">
        <f>IF(COUNT($E$2:$E148)&lt;20,"",MAX($C$129:$C$148))</f>
        <v>0</v>
      </c>
      <c r="AR148">
        <f>IF(COUNT($E$2:$E148)&lt;20,"",MIN($D$129:$D$148))</f>
        <v>0</v>
      </c>
      <c r="AS148">
        <f>IF(OR(AQ148="",AR148=""),"",(AQ148+AR148)/2)</f>
        <v>0</v>
      </c>
      <c r="AT148">
        <f>IF(COUNT($G$129:$G$148)&lt;20,"",STDEV($G$129:$G$148)*SQRT(252))</f>
        <v>0</v>
      </c>
      <c r="AU148">
        <f>IF(COUNT($E$2:$E148)&lt;9,"",(MAX($C$140:$C$148)+MIN($D$140:$D$148))/2)</f>
        <v>0</v>
      </c>
      <c r="AV148">
        <f>IF(COUNT($E$2:$E148)&lt;26,"",(MAX($C$123:$C$148)+MIN($D$123:$D$148))/2)</f>
        <v>0</v>
      </c>
      <c r="AW148">
        <f>IF(OR(AU148="",AV148=""),"",(AU148+AV148)/2)</f>
        <v>0</v>
      </c>
      <c r="AX148">
        <f>IF(COUNT($E$2:$E148)&lt;52,"",(MAX($C$97:$C$148)+MIN($D$97:$D$148))/2)</f>
        <v>0</v>
      </c>
      <c r="AY148">
        <f>IF(COUNT($E$2:$E148)&lt;20,"",MAX($C$49:$C$148))</f>
        <v>0</v>
      </c>
      <c r="AZ148">
        <f>IF(COUNT($E$2:$E148)&lt;20,"",MIN($D$49:$D$148))</f>
        <v>0</v>
      </c>
      <c r="BA148">
        <f>IF(COUNT($E$2:$E148)&lt;20,"",SLOPE($E$49:$E$148,$F$49:$F$148))</f>
        <v>0</v>
      </c>
      <c r="BB148">
        <f>IF(COUNT($E$2:$E148)&lt;20,"",INTERCEPT($E$49:$E$148,$F$49:$F$148))</f>
        <v>0</v>
      </c>
      <c r="BC148">
        <f>IF(OR(BA148="",BB148=""),"",BB148+BA148*F148)</f>
        <v>0</v>
      </c>
      <c r="BD148">
        <f>IF(COUNT($E$2:$E148)&lt;20,"",STEYX($E$49:$E$148,$F$49:$F$148))</f>
        <v>0</v>
      </c>
      <c r="BE148">
        <f>IF($E148="","",IF(AND(COUNT($E$149:$E$152)&gt;=4,$C148=MAX($C$144:$C$152)),$C148,""))</f>
        <v>0</v>
      </c>
      <c r="BF148">
        <f>IF($E148="","",IF(AND(COUNT($E$149:$E$152)&gt;=4,$D148=MIN($D$144:$D$152)),$D148,""))</f>
        <v>0</v>
      </c>
      <c r="BG148">
        <f>IF($A148="","",$A148-WEEKDAY($A148,2)+1)</f>
        <v>0</v>
      </c>
      <c r="BH148">
        <f>IF($A148="","",IF($A147="",1,IF(BG148&lt;&gt;BG147,1,0)))</f>
        <v>0</v>
      </c>
      <c r="BI148">
        <f>IF($A148="","",IF($A149="",1,IF(BG149&lt;&gt;BG148,1,0)))</f>
        <v>0</v>
      </c>
      <c r="BJ148">
        <f>IF($A148="","",IF(BH148=1,$B148,BJ147))</f>
        <v>0</v>
      </c>
      <c r="BK148">
        <f>IF($A148="","",IF(BH148=1,$C148,MAX($C148,BK147)))</f>
        <v>0</v>
      </c>
      <c r="BL148">
        <f>IF($A148="","",IF(BH148=1,$D148,MIN($D148,BL147)))</f>
        <v>0</v>
      </c>
      <c r="BM148">
        <f>IF($A148="","",IF(BI148=1,F148,""))</f>
        <v>0</v>
      </c>
      <c r="BN148">
        <f>IF($A148="","",DATE(YEAR($A148),MONTH($A148),1))</f>
        <v>0</v>
      </c>
      <c r="BO148">
        <f>IF($A148="","",IF($A147="",1,IF(BN148&lt;&gt;BN147,1,0)))</f>
        <v>0</v>
      </c>
      <c r="BP148">
        <f>IF($A148="","",IF($A149="",1,IF(BN149&lt;&gt;BN148,1,0)))</f>
        <v>0</v>
      </c>
      <c r="BQ148">
        <f>IF($A148="","",IF(BO148=1,$B148,BQ147))</f>
        <v>0</v>
      </c>
      <c r="BR148">
        <f>IF($A148="","",IF(BO148=1,$C148,MAX($C148,BR147)))</f>
        <v>0</v>
      </c>
      <c r="BS148">
        <f>IF($A148="","",IF(BO148=1,$D148,MIN($D148,BS147)))</f>
        <v>0</v>
      </c>
      <c r="BT148">
        <f>IF($A148="","",IF(BP148=1,F148,""))</f>
        <v>0</v>
      </c>
    </row>
    <row r="149" spans="1:72">
      <c r="A149" s="27">
        <f>IF(Data!$A149="","",Data!$A149)</f>
        <v>0</v>
      </c>
      <c r="B149">
        <f>IF(Data!$B149="","",Data!$B149)</f>
        <v>0</v>
      </c>
      <c r="C149">
        <f>IF(Data!$C149="","",Data!$C149)</f>
        <v>0</v>
      </c>
      <c r="D149">
        <f>IF(Data!$D149="","",Data!$D149)</f>
        <v>0</v>
      </c>
      <c r="E149">
        <f>IF(Data!$E149="","",Data!$E149)</f>
        <v>0</v>
      </c>
      <c r="F149">
        <f>IF($E149="","",N(F148)+1)</f>
        <v>0</v>
      </c>
      <c r="G149">
        <f>IF(OR($E149="",$E148=""),"",LN($E149/$E148))</f>
        <v>0</v>
      </c>
      <c r="H149">
        <f>IF($E149="","",IF($E148="",$E149,$E149*0.0952380952+H148*0.9047619048))</f>
        <v>0</v>
      </c>
      <c r="I149">
        <f>IF($E149="","",IF($E148="",$E149,$E149*0.0392156863+I148*0.9607843137))</f>
        <v>0</v>
      </c>
      <c r="J149">
        <f>IF($E149="","",IF($E148="",$E149,$E149*0.0198019802+J148*0.9801980198))</f>
        <v>0</v>
      </c>
      <c r="K149">
        <f>IF($E149="","",IF($E148="",$E149,$E149*0.0099502488+K148*0.9900497512))</f>
        <v>0</v>
      </c>
      <c r="L149">
        <f>IF(OR($E149="",$E148=""),"",MAX($E149-$E148,0))</f>
        <v>0</v>
      </c>
      <c r="M149">
        <f>IF(OR($E149="",$E148=""),"",MAX($E148-$E149,0))</f>
        <v>0</v>
      </c>
      <c r="N149">
        <f>IF(COUNT($E$2:$E149)&lt;15,"",IF(AVERAGE($M$136:$M$149)=0,100,100-100/(1+AVERAGE($L$136:$L$149)/AVERAGE($M$136:$M$149))))</f>
        <v>0</v>
      </c>
      <c r="O149">
        <f>IF($E149="","",IF($E148="",$E149,$E149*0.1538461538+O148*0.8461538462))</f>
        <v>0</v>
      </c>
      <c r="P149">
        <f>IF($E149="","",IF($E148="",$E149,$E149*0.0740740741+P148*0.9259259259))</f>
        <v>0</v>
      </c>
      <c r="Q149">
        <f>IF(OR(O149="",P149=""),"",O149-P149)</f>
        <v>0</v>
      </c>
      <c r="R149">
        <f>IF(Q149="","",IF(R148="",Q149,Q149*0.2000000000+R148*0.8000000000))</f>
        <v>0</v>
      </c>
      <c r="S149">
        <f>IF(OR(Q149="",R149=""),"",Q149-R149)</f>
        <v>0</v>
      </c>
      <c r="T149">
        <f>IF(COUNT($E$2:$E149)&lt;14,"",MAX($C$136:$C$149))</f>
        <v>0</v>
      </c>
      <c r="U149">
        <f>IF(COUNT($E$2:$E149)&lt;14,"",MIN($D$136:$D$149))</f>
        <v>0</v>
      </c>
      <c r="V149">
        <f>IF(OR(T149="",U149="",T149=U149),"",100*($E149-U149)/(T149-U149))</f>
        <v>0</v>
      </c>
      <c r="W149">
        <f>IF(COUNT($V$147:$V$149)&lt;3,"",AVERAGE($V$147:$V$149))</f>
        <v>0</v>
      </c>
      <c r="X149">
        <f>IF(COUNT($N$136:$N$149)&lt;14,"",MIN($N$136:$N$149))</f>
        <v>0</v>
      </c>
      <c r="Y149">
        <f>IF(COUNT($N$136:$N$149)&lt;14,"",MAX($N$136:$N$149))</f>
        <v>0</v>
      </c>
      <c r="Z149">
        <f>IF(OR(N149="",X149="",Y149="",Y149=X149),"",100*(N149-X149)/(Y149-X149))</f>
        <v>0</v>
      </c>
      <c r="AA149">
        <f>IF(COUNT($Z$147:$Z$149)&lt;3,"",AVERAGE($Z$147:$Z$149))</f>
        <v>0</v>
      </c>
      <c r="AB149">
        <f>IF(COUNT($AA$147:$AA$149)&lt;3,"",AVERAGE($AA$147:$AA$149))</f>
        <v>0</v>
      </c>
      <c r="AC149">
        <f>IF($E149="","",MAX($C149-$D149,ABS($C149-$E148),ABS($D149-$E148)))</f>
        <v>0</v>
      </c>
      <c r="AD149">
        <f>IF(COUNT($E$2:$E149)&lt;15,"",AVERAGE($AC$136:$AC$149))</f>
        <v>0</v>
      </c>
      <c r="AE149">
        <f>IF(OR($E149="",$E148=""),"",IF(AND(($C149-$C148)&gt;($D148-$D149),($C149-$C148)&gt;0),$C149-$C148,0))</f>
        <v>0</v>
      </c>
      <c r="AF149">
        <f>IF(OR($E149="",$E148=""),"",IF(AND(($D148-$D149)&gt;($C149-$C148),($D148-$D149)&gt;0),$D148-$D149,0))</f>
        <v>0</v>
      </c>
      <c r="AG149">
        <f>IF(COUNT($E$2:$E149)&lt;15,"",IF(SUM($AC$136:$AC$149)=0,0,100*SUM($AE$136:$AE$149)/SUM($AC$136:$AC$149)))</f>
        <v>0</v>
      </c>
      <c r="AH149">
        <f>IF(COUNT($E$2:$E149)&lt;15,"",IF(SUM($AC$136:$AC$149)=0,0,100*SUM($AF$136:$AF$149)/SUM($AC$136:$AC$149)))</f>
        <v>0</v>
      </c>
      <c r="AI149">
        <f>IF(OR(AG149="",AH149=""),"",IF((AG149+AH149)=0,0,100*ABS(AG149-AH149)/(AG149+AH149)))</f>
        <v>0</v>
      </c>
      <c r="AJ149">
        <f>IF(COUNT($AI$136:$AI$149)&lt;14,"",AVERAGE($AI$136:$AI$149))</f>
        <v>0</v>
      </c>
      <c r="AK149">
        <f>IF(COUNT($E$2:$E149)&lt;20,"",AVERAGE($E$130:$E$149))</f>
        <v>0</v>
      </c>
      <c r="AL149">
        <f>IF(COUNT($E$2:$E149)&lt;20,"",STDEVP($E$130:$E$149))</f>
        <v>0</v>
      </c>
      <c r="AM149">
        <f>IF(AK149="","",AK149+2*AL149)</f>
        <v>0</v>
      </c>
      <c r="AN149">
        <f>IF(AK149="","",AK149-2*AL149)</f>
        <v>0</v>
      </c>
      <c r="AO149">
        <f>IF(OR(AM149="",AN149="",AM149=AN149),"",($E149-AN149)/(AM149-AN149))</f>
        <v>0</v>
      </c>
      <c r="AP149">
        <f>IF(OR(AM149="",AK149="",AK149=0),"",(AM149-AN149)/AK149)</f>
        <v>0</v>
      </c>
      <c r="AQ149">
        <f>IF(COUNT($E$2:$E149)&lt;20,"",MAX($C$130:$C$149))</f>
        <v>0</v>
      </c>
      <c r="AR149">
        <f>IF(COUNT($E$2:$E149)&lt;20,"",MIN($D$130:$D$149))</f>
        <v>0</v>
      </c>
      <c r="AS149">
        <f>IF(OR(AQ149="",AR149=""),"",(AQ149+AR149)/2)</f>
        <v>0</v>
      </c>
      <c r="AT149">
        <f>IF(COUNT($G$130:$G$149)&lt;20,"",STDEV($G$130:$G$149)*SQRT(252))</f>
        <v>0</v>
      </c>
      <c r="AU149">
        <f>IF(COUNT($E$2:$E149)&lt;9,"",(MAX($C$141:$C$149)+MIN($D$141:$D$149))/2)</f>
        <v>0</v>
      </c>
      <c r="AV149">
        <f>IF(COUNT($E$2:$E149)&lt;26,"",(MAX($C$124:$C$149)+MIN($D$124:$D$149))/2)</f>
        <v>0</v>
      </c>
      <c r="AW149">
        <f>IF(OR(AU149="",AV149=""),"",(AU149+AV149)/2)</f>
        <v>0</v>
      </c>
      <c r="AX149">
        <f>IF(COUNT($E$2:$E149)&lt;52,"",(MAX($C$98:$C$149)+MIN($D$98:$D$149))/2)</f>
        <v>0</v>
      </c>
      <c r="AY149">
        <f>IF(COUNT($E$2:$E149)&lt;20,"",MAX($C$50:$C$149))</f>
        <v>0</v>
      </c>
      <c r="AZ149">
        <f>IF(COUNT($E$2:$E149)&lt;20,"",MIN($D$50:$D$149))</f>
        <v>0</v>
      </c>
      <c r="BA149">
        <f>IF(COUNT($E$2:$E149)&lt;20,"",SLOPE($E$50:$E$149,$F$50:$F$149))</f>
        <v>0</v>
      </c>
      <c r="BB149">
        <f>IF(COUNT($E$2:$E149)&lt;20,"",INTERCEPT($E$50:$E$149,$F$50:$F$149))</f>
        <v>0</v>
      </c>
      <c r="BC149">
        <f>IF(OR(BA149="",BB149=""),"",BB149+BA149*F149)</f>
        <v>0</v>
      </c>
      <c r="BD149">
        <f>IF(COUNT($E$2:$E149)&lt;20,"",STEYX($E$50:$E$149,$F$50:$F$149))</f>
        <v>0</v>
      </c>
      <c r="BE149">
        <f>IF($E149="","",IF(AND(COUNT($E$150:$E$153)&gt;=4,$C149=MAX($C$145:$C$153)),$C149,""))</f>
        <v>0</v>
      </c>
      <c r="BF149">
        <f>IF($E149="","",IF(AND(COUNT($E$150:$E$153)&gt;=4,$D149=MIN($D$145:$D$153)),$D149,""))</f>
        <v>0</v>
      </c>
      <c r="BG149">
        <f>IF($A149="","",$A149-WEEKDAY($A149,2)+1)</f>
        <v>0</v>
      </c>
      <c r="BH149">
        <f>IF($A149="","",IF($A148="",1,IF(BG149&lt;&gt;BG148,1,0)))</f>
        <v>0</v>
      </c>
      <c r="BI149">
        <f>IF($A149="","",IF($A150="",1,IF(BG150&lt;&gt;BG149,1,0)))</f>
        <v>0</v>
      </c>
      <c r="BJ149">
        <f>IF($A149="","",IF(BH149=1,$B149,BJ148))</f>
        <v>0</v>
      </c>
      <c r="BK149">
        <f>IF($A149="","",IF(BH149=1,$C149,MAX($C149,BK148)))</f>
        <v>0</v>
      </c>
      <c r="BL149">
        <f>IF($A149="","",IF(BH149=1,$D149,MIN($D149,BL148)))</f>
        <v>0</v>
      </c>
      <c r="BM149">
        <f>IF($A149="","",IF(BI149=1,F149,""))</f>
        <v>0</v>
      </c>
      <c r="BN149">
        <f>IF($A149="","",DATE(YEAR($A149),MONTH($A149),1))</f>
        <v>0</v>
      </c>
      <c r="BO149">
        <f>IF($A149="","",IF($A148="",1,IF(BN149&lt;&gt;BN148,1,0)))</f>
        <v>0</v>
      </c>
      <c r="BP149">
        <f>IF($A149="","",IF($A150="",1,IF(BN150&lt;&gt;BN149,1,0)))</f>
        <v>0</v>
      </c>
      <c r="BQ149">
        <f>IF($A149="","",IF(BO149=1,$B149,BQ148))</f>
        <v>0</v>
      </c>
      <c r="BR149">
        <f>IF($A149="","",IF(BO149=1,$C149,MAX($C149,BR148)))</f>
        <v>0</v>
      </c>
      <c r="BS149">
        <f>IF($A149="","",IF(BO149=1,$D149,MIN($D149,BS148)))</f>
        <v>0</v>
      </c>
      <c r="BT149">
        <f>IF($A149="","",IF(BP149=1,F149,""))</f>
        <v>0</v>
      </c>
    </row>
    <row r="150" spans="1:72">
      <c r="A150" s="27">
        <f>IF(Data!$A150="","",Data!$A150)</f>
        <v>0</v>
      </c>
      <c r="B150">
        <f>IF(Data!$B150="","",Data!$B150)</f>
        <v>0</v>
      </c>
      <c r="C150">
        <f>IF(Data!$C150="","",Data!$C150)</f>
        <v>0</v>
      </c>
      <c r="D150">
        <f>IF(Data!$D150="","",Data!$D150)</f>
        <v>0</v>
      </c>
      <c r="E150">
        <f>IF(Data!$E150="","",Data!$E150)</f>
        <v>0</v>
      </c>
      <c r="F150">
        <f>IF($E150="","",N(F149)+1)</f>
        <v>0</v>
      </c>
      <c r="G150">
        <f>IF(OR($E150="",$E149=""),"",LN($E150/$E149))</f>
        <v>0</v>
      </c>
      <c r="H150">
        <f>IF($E150="","",IF($E149="",$E150,$E150*0.0952380952+H149*0.9047619048))</f>
        <v>0</v>
      </c>
      <c r="I150">
        <f>IF($E150="","",IF($E149="",$E150,$E150*0.0392156863+I149*0.9607843137))</f>
        <v>0</v>
      </c>
      <c r="J150">
        <f>IF($E150="","",IF($E149="",$E150,$E150*0.0198019802+J149*0.9801980198))</f>
        <v>0</v>
      </c>
      <c r="K150">
        <f>IF($E150="","",IF($E149="",$E150,$E150*0.0099502488+K149*0.9900497512))</f>
        <v>0</v>
      </c>
      <c r="L150">
        <f>IF(OR($E150="",$E149=""),"",MAX($E150-$E149,0))</f>
        <v>0</v>
      </c>
      <c r="M150">
        <f>IF(OR($E150="",$E149=""),"",MAX($E149-$E150,0))</f>
        <v>0</v>
      </c>
      <c r="N150">
        <f>IF(COUNT($E$2:$E150)&lt;15,"",IF(AVERAGE($M$137:$M$150)=0,100,100-100/(1+AVERAGE($L$137:$L$150)/AVERAGE($M$137:$M$150))))</f>
        <v>0</v>
      </c>
      <c r="O150">
        <f>IF($E150="","",IF($E149="",$E150,$E150*0.1538461538+O149*0.8461538462))</f>
        <v>0</v>
      </c>
      <c r="P150">
        <f>IF($E150="","",IF($E149="",$E150,$E150*0.0740740741+P149*0.9259259259))</f>
        <v>0</v>
      </c>
      <c r="Q150">
        <f>IF(OR(O150="",P150=""),"",O150-P150)</f>
        <v>0</v>
      </c>
      <c r="R150">
        <f>IF(Q150="","",IF(R149="",Q150,Q150*0.2000000000+R149*0.8000000000))</f>
        <v>0</v>
      </c>
      <c r="S150">
        <f>IF(OR(Q150="",R150=""),"",Q150-R150)</f>
        <v>0</v>
      </c>
      <c r="T150">
        <f>IF(COUNT($E$2:$E150)&lt;14,"",MAX($C$137:$C$150))</f>
        <v>0</v>
      </c>
      <c r="U150">
        <f>IF(COUNT($E$2:$E150)&lt;14,"",MIN($D$137:$D$150))</f>
        <v>0</v>
      </c>
      <c r="V150">
        <f>IF(OR(T150="",U150="",T150=U150),"",100*($E150-U150)/(T150-U150))</f>
        <v>0</v>
      </c>
      <c r="W150">
        <f>IF(COUNT($V$148:$V$150)&lt;3,"",AVERAGE($V$148:$V$150))</f>
        <v>0</v>
      </c>
      <c r="X150">
        <f>IF(COUNT($N$137:$N$150)&lt;14,"",MIN($N$137:$N$150))</f>
        <v>0</v>
      </c>
      <c r="Y150">
        <f>IF(COUNT($N$137:$N$150)&lt;14,"",MAX($N$137:$N$150))</f>
        <v>0</v>
      </c>
      <c r="Z150">
        <f>IF(OR(N150="",X150="",Y150="",Y150=X150),"",100*(N150-X150)/(Y150-X150))</f>
        <v>0</v>
      </c>
      <c r="AA150">
        <f>IF(COUNT($Z$148:$Z$150)&lt;3,"",AVERAGE($Z$148:$Z$150))</f>
        <v>0</v>
      </c>
      <c r="AB150">
        <f>IF(COUNT($AA$148:$AA$150)&lt;3,"",AVERAGE($AA$148:$AA$150))</f>
        <v>0</v>
      </c>
      <c r="AC150">
        <f>IF($E150="","",MAX($C150-$D150,ABS($C150-$E149),ABS($D150-$E149)))</f>
        <v>0</v>
      </c>
      <c r="AD150">
        <f>IF(COUNT($E$2:$E150)&lt;15,"",AVERAGE($AC$137:$AC$150))</f>
        <v>0</v>
      </c>
      <c r="AE150">
        <f>IF(OR($E150="",$E149=""),"",IF(AND(($C150-$C149)&gt;($D149-$D150),($C150-$C149)&gt;0),$C150-$C149,0))</f>
        <v>0</v>
      </c>
      <c r="AF150">
        <f>IF(OR($E150="",$E149=""),"",IF(AND(($D149-$D150)&gt;($C150-$C149),($D149-$D150)&gt;0),$D149-$D150,0))</f>
        <v>0</v>
      </c>
      <c r="AG150">
        <f>IF(COUNT($E$2:$E150)&lt;15,"",IF(SUM($AC$137:$AC$150)=0,0,100*SUM($AE$137:$AE$150)/SUM($AC$137:$AC$150)))</f>
        <v>0</v>
      </c>
      <c r="AH150">
        <f>IF(COUNT($E$2:$E150)&lt;15,"",IF(SUM($AC$137:$AC$150)=0,0,100*SUM($AF$137:$AF$150)/SUM($AC$137:$AC$150)))</f>
        <v>0</v>
      </c>
      <c r="AI150">
        <f>IF(OR(AG150="",AH150=""),"",IF((AG150+AH150)=0,0,100*ABS(AG150-AH150)/(AG150+AH150)))</f>
        <v>0</v>
      </c>
      <c r="AJ150">
        <f>IF(COUNT($AI$137:$AI$150)&lt;14,"",AVERAGE($AI$137:$AI$150))</f>
        <v>0</v>
      </c>
      <c r="AK150">
        <f>IF(COUNT($E$2:$E150)&lt;20,"",AVERAGE($E$131:$E$150))</f>
        <v>0</v>
      </c>
      <c r="AL150">
        <f>IF(COUNT($E$2:$E150)&lt;20,"",STDEVP($E$131:$E$150))</f>
        <v>0</v>
      </c>
      <c r="AM150">
        <f>IF(AK150="","",AK150+2*AL150)</f>
        <v>0</v>
      </c>
      <c r="AN150">
        <f>IF(AK150="","",AK150-2*AL150)</f>
        <v>0</v>
      </c>
      <c r="AO150">
        <f>IF(OR(AM150="",AN150="",AM150=AN150),"",($E150-AN150)/(AM150-AN150))</f>
        <v>0</v>
      </c>
      <c r="AP150">
        <f>IF(OR(AM150="",AK150="",AK150=0),"",(AM150-AN150)/AK150)</f>
        <v>0</v>
      </c>
      <c r="AQ150">
        <f>IF(COUNT($E$2:$E150)&lt;20,"",MAX($C$131:$C$150))</f>
        <v>0</v>
      </c>
      <c r="AR150">
        <f>IF(COUNT($E$2:$E150)&lt;20,"",MIN($D$131:$D$150))</f>
        <v>0</v>
      </c>
      <c r="AS150">
        <f>IF(OR(AQ150="",AR150=""),"",(AQ150+AR150)/2)</f>
        <v>0</v>
      </c>
      <c r="AT150">
        <f>IF(COUNT($G$131:$G$150)&lt;20,"",STDEV($G$131:$G$150)*SQRT(252))</f>
        <v>0</v>
      </c>
      <c r="AU150">
        <f>IF(COUNT($E$2:$E150)&lt;9,"",(MAX($C$142:$C$150)+MIN($D$142:$D$150))/2)</f>
        <v>0</v>
      </c>
      <c r="AV150">
        <f>IF(COUNT($E$2:$E150)&lt;26,"",(MAX($C$125:$C$150)+MIN($D$125:$D$150))/2)</f>
        <v>0</v>
      </c>
      <c r="AW150">
        <f>IF(OR(AU150="",AV150=""),"",(AU150+AV150)/2)</f>
        <v>0</v>
      </c>
      <c r="AX150">
        <f>IF(COUNT($E$2:$E150)&lt;52,"",(MAX($C$99:$C$150)+MIN($D$99:$D$150))/2)</f>
        <v>0</v>
      </c>
      <c r="AY150">
        <f>IF(COUNT($E$2:$E150)&lt;20,"",MAX($C$51:$C$150))</f>
        <v>0</v>
      </c>
      <c r="AZ150">
        <f>IF(COUNT($E$2:$E150)&lt;20,"",MIN($D$51:$D$150))</f>
        <v>0</v>
      </c>
      <c r="BA150">
        <f>IF(COUNT($E$2:$E150)&lt;20,"",SLOPE($E$51:$E$150,$F$51:$F$150))</f>
        <v>0</v>
      </c>
      <c r="BB150">
        <f>IF(COUNT($E$2:$E150)&lt;20,"",INTERCEPT($E$51:$E$150,$F$51:$F$150))</f>
        <v>0</v>
      </c>
      <c r="BC150">
        <f>IF(OR(BA150="",BB150=""),"",BB150+BA150*F150)</f>
        <v>0</v>
      </c>
      <c r="BD150">
        <f>IF(COUNT($E$2:$E150)&lt;20,"",STEYX($E$51:$E$150,$F$51:$F$150))</f>
        <v>0</v>
      </c>
      <c r="BE150">
        <f>IF($E150="","",IF(AND(COUNT($E$151:$E$154)&gt;=4,$C150=MAX($C$146:$C$154)),$C150,""))</f>
        <v>0</v>
      </c>
      <c r="BF150">
        <f>IF($E150="","",IF(AND(COUNT($E$151:$E$154)&gt;=4,$D150=MIN($D$146:$D$154)),$D150,""))</f>
        <v>0</v>
      </c>
      <c r="BG150">
        <f>IF($A150="","",$A150-WEEKDAY($A150,2)+1)</f>
        <v>0</v>
      </c>
      <c r="BH150">
        <f>IF($A150="","",IF($A149="",1,IF(BG150&lt;&gt;BG149,1,0)))</f>
        <v>0</v>
      </c>
      <c r="BI150">
        <f>IF($A150="","",IF($A151="",1,IF(BG151&lt;&gt;BG150,1,0)))</f>
        <v>0</v>
      </c>
      <c r="BJ150">
        <f>IF($A150="","",IF(BH150=1,$B150,BJ149))</f>
        <v>0</v>
      </c>
      <c r="BK150">
        <f>IF($A150="","",IF(BH150=1,$C150,MAX($C150,BK149)))</f>
        <v>0</v>
      </c>
      <c r="BL150">
        <f>IF($A150="","",IF(BH150=1,$D150,MIN($D150,BL149)))</f>
        <v>0</v>
      </c>
      <c r="BM150">
        <f>IF($A150="","",IF(BI150=1,F150,""))</f>
        <v>0</v>
      </c>
      <c r="BN150">
        <f>IF($A150="","",DATE(YEAR($A150),MONTH($A150),1))</f>
        <v>0</v>
      </c>
      <c r="BO150">
        <f>IF($A150="","",IF($A149="",1,IF(BN150&lt;&gt;BN149,1,0)))</f>
        <v>0</v>
      </c>
      <c r="BP150">
        <f>IF($A150="","",IF($A151="",1,IF(BN151&lt;&gt;BN150,1,0)))</f>
        <v>0</v>
      </c>
      <c r="BQ150">
        <f>IF($A150="","",IF(BO150=1,$B150,BQ149))</f>
        <v>0</v>
      </c>
      <c r="BR150">
        <f>IF($A150="","",IF(BO150=1,$C150,MAX($C150,BR149)))</f>
        <v>0</v>
      </c>
      <c r="BS150">
        <f>IF($A150="","",IF(BO150=1,$D150,MIN($D150,BS149)))</f>
        <v>0</v>
      </c>
      <c r="BT150">
        <f>IF($A150="","",IF(BP150=1,F150,""))</f>
        <v>0</v>
      </c>
    </row>
    <row r="151" spans="1:72">
      <c r="A151" s="27">
        <f>IF(Data!$A151="","",Data!$A151)</f>
        <v>0</v>
      </c>
      <c r="B151">
        <f>IF(Data!$B151="","",Data!$B151)</f>
        <v>0</v>
      </c>
      <c r="C151">
        <f>IF(Data!$C151="","",Data!$C151)</f>
        <v>0</v>
      </c>
      <c r="D151">
        <f>IF(Data!$D151="","",Data!$D151)</f>
        <v>0</v>
      </c>
      <c r="E151">
        <f>IF(Data!$E151="","",Data!$E151)</f>
        <v>0</v>
      </c>
      <c r="F151">
        <f>IF($E151="","",N(F150)+1)</f>
        <v>0</v>
      </c>
      <c r="G151">
        <f>IF(OR($E151="",$E150=""),"",LN($E151/$E150))</f>
        <v>0</v>
      </c>
      <c r="H151">
        <f>IF($E151="","",IF($E150="",$E151,$E151*0.0952380952+H150*0.9047619048))</f>
        <v>0</v>
      </c>
      <c r="I151">
        <f>IF($E151="","",IF($E150="",$E151,$E151*0.0392156863+I150*0.9607843137))</f>
        <v>0</v>
      </c>
      <c r="J151">
        <f>IF($E151="","",IF($E150="",$E151,$E151*0.0198019802+J150*0.9801980198))</f>
        <v>0</v>
      </c>
      <c r="K151">
        <f>IF($E151="","",IF($E150="",$E151,$E151*0.0099502488+K150*0.9900497512))</f>
        <v>0</v>
      </c>
      <c r="L151">
        <f>IF(OR($E151="",$E150=""),"",MAX($E151-$E150,0))</f>
        <v>0</v>
      </c>
      <c r="M151">
        <f>IF(OR($E151="",$E150=""),"",MAX($E150-$E151,0))</f>
        <v>0</v>
      </c>
      <c r="N151">
        <f>IF(COUNT($E$2:$E151)&lt;15,"",IF(AVERAGE($M$138:$M$151)=0,100,100-100/(1+AVERAGE($L$138:$L$151)/AVERAGE($M$138:$M$151))))</f>
        <v>0</v>
      </c>
      <c r="O151">
        <f>IF($E151="","",IF($E150="",$E151,$E151*0.1538461538+O150*0.8461538462))</f>
        <v>0</v>
      </c>
      <c r="P151">
        <f>IF($E151="","",IF($E150="",$E151,$E151*0.0740740741+P150*0.9259259259))</f>
        <v>0</v>
      </c>
      <c r="Q151">
        <f>IF(OR(O151="",P151=""),"",O151-P151)</f>
        <v>0</v>
      </c>
      <c r="R151">
        <f>IF(Q151="","",IF(R150="",Q151,Q151*0.2000000000+R150*0.8000000000))</f>
        <v>0</v>
      </c>
      <c r="S151">
        <f>IF(OR(Q151="",R151=""),"",Q151-R151)</f>
        <v>0</v>
      </c>
      <c r="T151">
        <f>IF(COUNT($E$2:$E151)&lt;14,"",MAX($C$138:$C$151))</f>
        <v>0</v>
      </c>
      <c r="U151">
        <f>IF(COUNT($E$2:$E151)&lt;14,"",MIN($D$138:$D$151))</f>
        <v>0</v>
      </c>
      <c r="V151">
        <f>IF(OR(T151="",U151="",T151=U151),"",100*($E151-U151)/(T151-U151))</f>
        <v>0</v>
      </c>
      <c r="W151">
        <f>IF(COUNT($V$149:$V$151)&lt;3,"",AVERAGE($V$149:$V$151))</f>
        <v>0</v>
      </c>
      <c r="X151">
        <f>IF(COUNT($N$138:$N$151)&lt;14,"",MIN($N$138:$N$151))</f>
        <v>0</v>
      </c>
      <c r="Y151">
        <f>IF(COUNT($N$138:$N$151)&lt;14,"",MAX($N$138:$N$151))</f>
        <v>0</v>
      </c>
      <c r="Z151">
        <f>IF(OR(N151="",X151="",Y151="",Y151=X151),"",100*(N151-X151)/(Y151-X151))</f>
        <v>0</v>
      </c>
      <c r="AA151">
        <f>IF(COUNT($Z$149:$Z$151)&lt;3,"",AVERAGE($Z$149:$Z$151))</f>
        <v>0</v>
      </c>
      <c r="AB151">
        <f>IF(COUNT($AA$149:$AA$151)&lt;3,"",AVERAGE($AA$149:$AA$151))</f>
        <v>0</v>
      </c>
      <c r="AC151">
        <f>IF($E151="","",MAX($C151-$D151,ABS($C151-$E150),ABS($D151-$E150)))</f>
        <v>0</v>
      </c>
      <c r="AD151">
        <f>IF(COUNT($E$2:$E151)&lt;15,"",AVERAGE($AC$138:$AC$151))</f>
        <v>0</v>
      </c>
      <c r="AE151">
        <f>IF(OR($E151="",$E150=""),"",IF(AND(($C151-$C150)&gt;($D150-$D151),($C151-$C150)&gt;0),$C151-$C150,0))</f>
        <v>0</v>
      </c>
      <c r="AF151">
        <f>IF(OR($E151="",$E150=""),"",IF(AND(($D150-$D151)&gt;($C151-$C150),($D150-$D151)&gt;0),$D150-$D151,0))</f>
        <v>0</v>
      </c>
      <c r="AG151">
        <f>IF(COUNT($E$2:$E151)&lt;15,"",IF(SUM($AC$138:$AC$151)=0,0,100*SUM($AE$138:$AE$151)/SUM($AC$138:$AC$151)))</f>
        <v>0</v>
      </c>
      <c r="AH151">
        <f>IF(COUNT($E$2:$E151)&lt;15,"",IF(SUM($AC$138:$AC$151)=0,0,100*SUM($AF$138:$AF$151)/SUM($AC$138:$AC$151)))</f>
        <v>0</v>
      </c>
      <c r="AI151">
        <f>IF(OR(AG151="",AH151=""),"",IF((AG151+AH151)=0,0,100*ABS(AG151-AH151)/(AG151+AH151)))</f>
        <v>0</v>
      </c>
      <c r="AJ151">
        <f>IF(COUNT($AI$138:$AI$151)&lt;14,"",AVERAGE($AI$138:$AI$151))</f>
        <v>0</v>
      </c>
      <c r="AK151">
        <f>IF(COUNT($E$2:$E151)&lt;20,"",AVERAGE($E$132:$E$151))</f>
        <v>0</v>
      </c>
      <c r="AL151">
        <f>IF(COUNT($E$2:$E151)&lt;20,"",STDEVP($E$132:$E$151))</f>
        <v>0</v>
      </c>
      <c r="AM151">
        <f>IF(AK151="","",AK151+2*AL151)</f>
        <v>0</v>
      </c>
      <c r="AN151">
        <f>IF(AK151="","",AK151-2*AL151)</f>
        <v>0</v>
      </c>
      <c r="AO151">
        <f>IF(OR(AM151="",AN151="",AM151=AN151),"",($E151-AN151)/(AM151-AN151))</f>
        <v>0</v>
      </c>
      <c r="AP151">
        <f>IF(OR(AM151="",AK151="",AK151=0),"",(AM151-AN151)/AK151)</f>
        <v>0</v>
      </c>
      <c r="AQ151">
        <f>IF(COUNT($E$2:$E151)&lt;20,"",MAX($C$132:$C$151))</f>
        <v>0</v>
      </c>
      <c r="AR151">
        <f>IF(COUNT($E$2:$E151)&lt;20,"",MIN($D$132:$D$151))</f>
        <v>0</v>
      </c>
      <c r="AS151">
        <f>IF(OR(AQ151="",AR151=""),"",(AQ151+AR151)/2)</f>
        <v>0</v>
      </c>
      <c r="AT151">
        <f>IF(COUNT($G$132:$G$151)&lt;20,"",STDEV($G$132:$G$151)*SQRT(252))</f>
        <v>0</v>
      </c>
      <c r="AU151">
        <f>IF(COUNT($E$2:$E151)&lt;9,"",(MAX($C$143:$C$151)+MIN($D$143:$D$151))/2)</f>
        <v>0</v>
      </c>
      <c r="AV151">
        <f>IF(COUNT($E$2:$E151)&lt;26,"",(MAX($C$126:$C$151)+MIN($D$126:$D$151))/2)</f>
        <v>0</v>
      </c>
      <c r="AW151">
        <f>IF(OR(AU151="",AV151=""),"",(AU151+AV151)/2)</f>
        <v>0</v>
      </c>
      <c r="AX151">
        <f>IF(COUNT($E$2:$E151)&lt;52,"",(MAX($C$100:$C$151)+MIN($D$100:$D$151))/2)</f>
        <v>0</v>
      </c>
      <c r="AY151">
        <f>IF(COUNT($E$2:$E151)&lt;20,"",MAX($C$52:$C$151))</f>
        <v>0</v>
      </c>
      <c r="AZ151">
        <f>IF(COUNT($E$2:$E151)&lt;20,"",MIN($D$52:$D$151))</f>
        <v>0</v>
      </c>
      <c r="BA151">
        <f>IF(COUNT($E$2:$E151)&lt;20,"",SLOPE($E$52:$E$151,$F$52:$F$151))</f>
        <v>0</v>
      </c>
      <c r="BB151">
        <f>IF(COUNT($E$2:$E151)&lt;20,"",INTERCEPT($E$52:$E$151,$F$52:$F$151))</f>
        <v>0</v>
      </c>
      <c r="BC151">
        <f>IF(OR(BA151="",BB151=""),"",BB151+BA151*F151)</f>
        <v>0</v>
      </c>
      <c r="BD151">
        <f>IF(COUNT($E$2:$E151)&lt;20,"",STEYX($E$52:$E$151,$F$52:$F$151))</f>
        <v>0</v>
      </c>
      <c r="BE151">
        <f>IF($E151="","",IF(AND(COUNT($E$152:$E$155)&gt;=4,$C151=MAX($C$147:$C$155)),$C151,""))</f>
        <v>0</v>
      </c>
      <c r="BF151">
        <f>IF($E151="","",IF(AND(COUNT($E$152:$E$155)&gt;=4,$D151=MIN($D$147:$D$155)),$D151,""))</f>
        <v>0</v>
      </c>
      <c r="BG151">
        <f>IF($A151="","",$A151-WEEKDAY($A151,2)+1)</f>
        <v>0</v>
      </c>
      <c r="BH151">
        <f>IF($A151="","",IF($A150="",1,IF(BG151&lt;&gt;BG150,1,0)))</f>
        <v>0</v>
      </c>
      <c r="BI151">
        <f>IF($A151="","",IF($A152="",1,IF(BG152&lt;&gt;BG151,1,0)))</f>
        <v>0</v>
      </c>
      <c r="BJ151">
        <f>IF($A151="","",IF(BH151=1,$B151,BJ150))</f>
        <v>0</v>
      </c>
      <c r="BK151">
        <f>IF($A151="","",IF(BH151=1,$C151,MAX($C151,BK150)))</f>
        <v>0</v>
      </c>
      <c r="BL151">
        <f>IF($A151="","",IF(BH151=1,$D151,MIN($D151,BL150)))</f>
        <v>0</v>
      </c>
      <c r="BM151">
        <f>IF($A151="","",IF(BI151=1,F151,""))</f>
        <v>0</v>
      </c>
      <c r="BN151">
        <f>IF($A151="","",DATE(YEAR($A151),MONTH($A151),1))</f>
        <v>0</v>
      </c>
      <c r="BO151">
        <f>IF($A151="","",IF($A150="",1,IF(BN151&lt;&gt;BN150,1,0)))</f>
        <v>0</v>
      </c>
      <c r="BP151">
        <f>IF($A151="","",IF($A152="",1,IF(BN152&lt;&gt;BN151,1,0)))</f>
        <v>0</v>
      </c>
      <c r="BQ151">
        <f>IF($A151="","",IF(BO151=1,$B151,BQ150))</f>
        <v>0</v>
      </c>
      <c r="BR151">
        <f>IF($A151="","",IF(BO151=1,$C151,MAX($C151,BR150)))</f>
        <v>0</v>
      </c>
      <c r="BS151">
        <f>IF($A151="","",IF(BO151=1,$D151,MIN($D151,BS150)))</f>
        <v>0</v>
      </c>
      <c r="BT151">
        <f>IF($A151="","",IF(BP151=1,F151,""))</f>
        <v>0</v>
      </c>
    </row>
    <row r="152" spans="1:72">
      <c r="A152" s="27">
        <f>IF(Data!$A152="","",Data!$A152)</f>
        <v>0</v>
      </c>
      <c r="B152">
        <f>IF(Data!$B152="","",Data!$B152)</f>
        <v>0</v>
      </c>
      <c r="C152">
        <f>IF(Data!$C152="","",Data!$C152)</f>
        <v>0</v>
      </c>
      <c r="D152">
        <f>IF(Data!$D152="","",Data!$D152)</f>
        <v>0</v>
      </c>
      <c r="E152">
        <f>IF(Data!$E152="","",Data!$E152)</f>
        <v>0</v>
      </c>
      <c r="F152">
        <f>IF($E152="","",N(F151)+1)</f>
        <v>0</v>
      </c>
      <c r="G152">
        <f>IF(OR($E152="",$E151=""),"",LN($E152/$E151))</f>
        <v>0</v>
      </c>
      <c r="H152">
        <f>IF($E152="","",IF($E151="",$E152,$E152*0.0952380952+H151*0.9047619048))</f>
        <v>0</v>
      </c>
      <c r="I152">
        <f>IF($E152="","",IF($E151="",$E152,$E152*0.0392156863+I151*0.9607843137))</f>
        <v>0</v>
      </c>
      <c r="J152">
        <f>IF($E152="","",IF($E151="",$E152,$E152*0.0198019802+J151*0.9801980198))</f>
        <v>0</v>
      </c>
      <c r="K152">
        <f>IF($E152="","",IF($E151="",$E152,$E152*0.0099502488+K151*0.9900497512))</f>
        <v>0</v>
      </c>
      <c r="L152">
        <f>IF(OR($E152="",$E151=""),"",MAX($E152-$E151,0))</f>
        <v>0</v>
      </c>
      <c r="M152">
        <f>IF(OR($E152="",$E151=""),"",MAX($E151-$E152,0))</f>
        <v>0</v>
      </c>
      <c r="N152">
        <f>IF(COUNT($E$2:$E152)&lt;15,"",IF(AVERAGE($M$139:$M$152)=0,100,100-100/(1+AVERAGE($L$139:$L$152)/AVERAGE($M$139:$M$152))))</f>
        <v>0</v>
      </c>
      <c r="O152">
        <f>IF($E152="","",IF($E151="",$E152,$E152*0.1538461538+O151*0.8461538462))</f>
        <v>0</v>
      </c>
      <c r="P152">
        <f>IF($E152="","",IF($E151="",$E152,$E152*0.0740740741+P151*0.9259259259))</f>
        <v>0</v>
      </c>
      <c r="Q152">
        <f>IF(OR(O152="",P152=""),"",O152-P152)</f>
        <v>0</v>
      </c>
      <c r="R152">
        <f>IF(Q152="","",IF(R151="",Q152,Q152*0.2000000000+R151*0.8000000000))</f>
        <v>0</v>
      </c>
      <c r="S152">
        <f>IF(OR(Q152="",R152=""),"",Q152-R152)</f>
        <v>0</v>
      </c>
      <c r="T152">
        <f>IF(COUNT($E$2:$E152)&lt;14,"",MAX($C$139:$C$152))</f>
        <v>0</v>
      </c>
      <c r="U152">
        <f>IF(COUNT($E$2:$E152)&lt;14,"",MIN($D$139:$D$152))</f>
        <v>0</v>
      </c>
      <c r="V152">
        <f>IF(OR(T152="",U152="",T152=U152),"",100*($E152-U152)/(T152-U152))</f>
        <v>0</v>
      </c>
      <c r="W152">
        <f>IF(COUNT($V$150:$V$152)&lt;3,"",AVERAGE($V$150:$V$152))</f>
        <v>0</v>
      </c>
      <c r="X152">
        <f>IF(COUNT($N$139:$N$152)&lt;14,"",MIN($N$139:$N$152))</f>
        <v>0</v>
      </c>
      <c r="Y152">
        <f>IF(COUNT($N$139:$N$152)&lt;14,"",MAX($N$139:$N$152))</f>
        <v>0</v>
      </c>
      <c r="Z152">
        <f>IF(OR(N152="",X152="",Y152="",Y152=X152),"",100*(N152-X152)/(Y152-X152))</f>
        <v>0</v>
      </c>
      <c r="AA152">
        <f>IF(COUNT($Z$150:$Z$152)&lt;3,"",AVERAGE($Z$150:$Z$152))</f>
        <v>0</v>
      </c>
      <c r="AB152">
        <f>IF(COUNT($AA$150:$AA$152)&lt;3,"",AVERAGE($AA$150:$AA$152))</f>
        <v>0</v>
      </c>
      <c r="AC152">
        <f>IF($E152="","",MAX($C152-$D152,ABS($C152-$E151),ABS($D152-$E151)))</f>
        <v>0</v>
      </c>
      <c r="AD152">
        <f>IF(COUNT($E$2:$E152)&lt;15,"",AVERAGE($AC$139:$AC$152))</f>
        <v>0</v>
      </c>
      <c r="AE152">
        <f>IF(OR($E152="",$E151=""),"",IF(AND(($C152-$C151)&gt;($D151-$D152),($C152-$C151)&gt;0),$C152-$C151,0))</f>
        <v>0</v>
      </c>
      <c r="AF152">
        <f>IF(OR($E152="",$E151=""),"",IF(AND(($D151-$D152)&gt;($C152-$C151),($D151-$D152)&gt;0),$D151-$D152,0))</f>
        <v>0</v>
      </c>
      <c r="AG152">
        <f>IF(COUNT($E$2:$E152)&lt;15,"",IF(SUM($AC$139:$AC$152)=0,0,100*SUM($AE$139:$AE$152)/SUM($AC$139:$AC$152)))</f>
        <v>0</v>
      </c>
      <c r="AH152">
        <f>IF(COUNT($E$2:$E152)&lt;15,"",IF(SUM($AC$139:$AC$152)=0,0,100*SUM($AF$139:$AF$152)/SUM($AC$139:$AC$152)))</f>
        <v>0</v>
      </c>
      <c r="AI152">
        <f>IF(OR(AG152="",AH152=""),"",IF((AG152+AH152)=0,0,100*ABS(AG152-AH152)/(AG152+AH152)))</f>
        <v>0</v>
      </c>
      <c r="AJ152">
        <f>IF(COUNT($AI$139:$AI$152)&lt;14,"",AVERAGE($AI$139:$AI$152))</f>
        <v>0</v>
      </c>
      <c r="AK152">
        <f>IF(COUNT($E$2:$E152)&lt;20,"",AVERAGE($E$133:$E$152))</f>
        <v>0</v>
      </c>
      <c r="AL152">
        <f>IF(COUNT($E$2:$E152)&lt;20,"",STDEVP($E$133:$E$152))</f>
        <v>0</v>
      </c>
      <c r="AM152">
        <f>IF(AK152="","",AK152+2*AL152)</f>
        <v>0</v>
      </c>
      <c r="AN152">
        <f>IF(AK152="","",AK152-2*AL152)</f>
        <v>0</v>
      </c>
      <c r="AO152">
        <f>IF(OR(AM152="",AN152="",AM152=AN152),"",($E152-AN152)/(AM152-AN152))</f>
        <v>0</v>
      </c>
      <c r="AP152">
        <f>IF(OR(AM152="",AK152="",AK152=0),"",(AM152-AN152)/AK152)</f>
        <v>0</v>
      </c>
      <c r="AQ152">
        <f>IF(COUNT($E$2:$E152)&lt;20,"",MAX($C$133:$C$152))</f>
        <v>0</v>
      </c>
      <c r="AR152">
        <f>IF(COUNT($E$2:$E152)&lt;20,"",MIN($D$133:$D$152))</f>
        <v>0</v>
      </c>
      <c r="AS152">
        <f>IF(OR(AQ152="",AR152=""),"",(AQ152+AR152)/2)</f>
        <v>0</v>
      </c>
      <c r="AT152">
        <f>IF(COUNT($G$133:$G$152)&lt;20,"",STDEV($G$133:$G$152)*SQRT(252))</f>
        <v>0</v>
      </c>
      <c r="AU152">
        <f>IF(COUNT($E$2:$E152)&lt;9,"",(MAX($C$144:$C$152)+MIN($D$144:$D$152))/2)</f>
        <v>0</v>
      </c>
      <c r="AV152">
        <f>IF(COUNT($E$2:$E152)&lt;26,"",(MAX($C$127:$C$152)+MIN($D$127:$D$152))/2)</f>
        <v>0</v>
      </c>
      <c r="AW152">
        <f>IF(OR(AU152="",AV152=""),"",(AU152+AV152)/2)</f>
        <v>0</v>
      </c>
      <c r="AX152">
        <f>IF(COUNT($E$2:$E152)&lt;52,"",(MAX($C$101:$C$152)+MIN($D$101:$D$152))/2)</f>
        <v>0</v>
      </c>
      <c r="AY152">
        <f>IF(COUNT($E$2:$E152)&lt;20,"",MAX($C$53:$C$152))</f>
        <v>0</v>
      </c>
      <c r="AZ152">
        <f>IF(COUNT($E$2:$E152)&lt;20,"",MIN($D$53:$D$152))</f>
        <v>0</v>
      </c>
      <c r="BA152">
        <f>IF(COUNT($E$2:$E152)&lt;20,"",SLOPE($E$53:$E$152,$F$53:$F$152))</f>
        <v>0</v>
      </c>
      <c r="BB152">
        <f>IF(COUNT($E$2:$E152)&lt;20,"",INTERCEPT($E$53:$E$152,$F$53:$F$152))</f>
        <v>0</v>
      </c>
      <c r="BC152">
        <f>IF(OR(BA152="",BB152=""),"",BB152+BA152*F152)</f>
        <v>0</v>
      </c>
      <c r="BD152">
        <f>IF(COUNT($E$2:$E152)&lt;20,"",STEYX($E$53:$E$152,$F$53:$F$152))</f>
        <v>0</v>
      </c>
      <c r="BE152">
        <f>IF($E152="","",IF(AND(COUNT($E$153:$E$156)&gt;=4,$C152=MAX($C$148:$C$156)),$C152,""))</f>
        <v>0</v>
      </c>
      <c r="BF152">
        <f>IF($E152="","",IF(AND(COUNT($E$153:$E$156)&gt;=4,$D152=MIN($D$148:$D$156)),$D152,""))</f>
        <v>0</v>
      </c>
      <c r="BG152">
        <f>IF($A152="","",$A152-WEEKDAY($A152,2)+1)</f>
        <v>0</v>
      </c>
      <c r="BH152">
        <f>IF($A152="","",IF($A151="",1,IF(BG152&lt;&gt;BG151,1,0)))</f>
        <v>0</v>
      </c>
      <c r="BI152">
        <f>IF($A152="","",IF($A153="",1,IF(BG153&lt;&gt;BG152,1,0)))</f>
        <v>0</v>
      </c>
      <c r="BJ152">
        <f>IF($A152="","",IF(BH152=1,$B152,BJ151))</f>
        <v>0</v>
      </c>
      <c r="BK152">
        <f>IF($A152="","",IF(BH152=1,$C152,MAX($C152,BK151)))</f>
        <v>0</v>
      </c>
      <c r="BL152">
        <f>IF($A152="","",IF(BH152=1,$D152,MIN($D152,BL151)))</f>
        <v>0</v>
      </c>
      <c r="BM152">
        <f>IF($A152="","",IF(BI152=1,F152,""))</f>
        <v>0</v>
      </c>
      <c r="BN152">
        <f>IF($A152="","",DATE(YEAR($A152),MONTH($A152),1))</f>
        <v>0</v>
      </c>
      <c r="BO152">
        <f>IF($A152="","",IF($A151="",1,IF(BN152&lt;&gt;BN151,1,0)))</f>
        <v>0</v>
      </c>
      <c r="BP152">
        <f>IF($A152="","",IF($A153="",1,IF(BN153&lt;&gt;BN152,1,0)))</f>
        <v>0</v>
      </c>
      <c r="BQ152">
        <f>IF($A152="","",IF(BO152=1,$B152,BQ151))</f>
        <v>0</v>
      </c>
      <c r="BR152">
        <f>IF($A152="","",IF(BO152=1,$C152,MAX($C152,BR151)))</f>
        <v>0</v>
      </c>
      <c r="BS152">
        <f>IF($A152="","",IF(BO152=1,$D152,MIN($D152,BS151)))</f>
        <v>0</v>
      </c>
      <c r="BT152">
        <f>IF($A152="","",IF(BP152=1,F152,""))</f>
        <v>0</v>
      </c>
    </row>
    <row r="153" spans="1:72">
      <c r="A153" s="27">
        <f>IF(Data!$A153="","",Data!$A153)</f>
        <v>0</v>
      </c>
      <c r="B153">
        <f>IF(Data!$B153="","",Data!$B153)</f>
        <v>0</v>
      </c>
      <c r="C153">
        <f>IF(Data!$C153="","",Data!$C153)</f>
        <v>0</v>
      </c>
      <c r="D153">
        <f>IF(Data!$D153="","",Data!$D153)</f>
        <v>0</v>
      </c>
      <c r="E153">
        <f>IF(Data!$E153="","",Data!$E153)</f>
        <v>0</v>
      </c>
      <c r="F153">
        <f>IF($E153="","",N(F152)+1)</f>
        <v>0</v>
      </c>
      <c r="G153">
        <f>IF(OR($E153="",$E152=""),"",LN($E153/$E152))</f>
        <v>0</v>
      </c>
      <c r="H153">
        <f>IF($E153="","",IF($E152="",$E153,$E153*0.0952380952+H152*0.9047619048))</f>
        <v>0</v>
      </c>
      <c r="I153">
        <f>IF($E153="","",IF($E152="",$E153,$E153*0.0392156863+I152*0.9607843137))</f>
        <v>0</v>
      </c>
      <c r="J153">
        <f>IF($E153="","",IF($E152="",$E153,$E153*0.0198019802+J152*0.9801980198))</f>
        <v>0</v>
      </c>
      <c r="K153">
        <f>IF($E153="","",IF($E152="",$E153,$E153*0.0099502488+K152*0.9900497512))</f>
        <v>0</v>
      </c>
      <c r="L153">
        <f>IF(OR($E153="",$E152=""),"",MAX($E153-$E152,0))</f>
        <v>0</v>
      </c>
      <c r="M153">
        <f>IF(OR($E153="",$E152=""),"",MAX($E152-$E153,0))</f>
        <v>0</v>
      </c>
      <c r="N153">
        <f>IF(COUNT($E$2:$E153)&lt;15,"",IF(AVERAGE($M$140:$M$153)=0,100,100-100/(1+AVERAGE($L$140:$L$153)/AVERAGE($M$140:$M$153))))</f>
        <v>0</v>
      </c>
      <c r="O153">
        <f>IF($E153="","",IF($E152="",$E153,$E153*0.1538461538+O152*0.8461538462))</f>
        <v>0</v>
      </c>
      <c r="P153">
        <f>IF($E153="","",IF($E152="",$E153,$E153*0.0740740741+P152*0.9259259259))</f>
        <v>0</v>
      </c>
      <c r="Q153">
        <f>IF(OR(O153="",P153=""),"",O153-P153)</f>
        <v>0</v>
      </c>
      <c r="R153">
        <f>IF(Q153="","",IF(R152="",Q153,Q153*0.2000000000+R152*0.8000000000))</f>
        <v>0</v>
      </c>
      <c r="S153">
        <f>IF(OR(Q153="",R153=""),"",Q153-R153)</f>
        <v>0</v>
      </c>
      <c r="T153">
        <f>IF(COUNT($E$2:$E153)&lt;14,"",MAX($C$140:$C$153))</f>
        <v>0</v>
      </c>
      <c r="U153">
        <f>IF(COUNT($E$2:$E153)&lt;14,"",MIN($D$140:$D$153))</f>
        <v>0</v>
      </c>
      <c r="V153">
        <f>IF(OR(T153="",U153="",T153=U153),"",100*($E153-U153)/(T153-U153))</f>
        <v>0</v>
      </c>
      <c r="W153">
        <f>IF(COUNT($V$151:$V$153)&lt;3,"",AVERAGE($V$151:$V$153))</f>
        <v>0</v>
      </c>
      <c r="X153">
        <f>IF(COUNT($N$140:$N$153)&lt;14,"",MIN($N$140:$N$153))</f>
        <v>0</v>
      </c>
      <c r="Y153">
        <f>IF(COUNT($N$140:$N$153)&lt;14,"",MAX($N$140:$N$153))</f>
        <v>0</v>
      </c>
      <c r="Z153">
        <f>IF(OR(N153="",X153="",Y153="",Y153=X153),"",100*(N153-X153)/(Y153-X153))</f>
        <v>0</v>
      </c>
      <c r="AA153">
        <f>IF(COUNT($Z$151:$Z$153)&lt;3,"",AVERAGE($Z$151:$Z$153))</f>
        <v>0</v>
      </c>
      <c r="AB153">
        <f>IF(COUNT($AA$151:$AA$153)&lt;3,"",AVERAGE($AA$151:$AA$153))</f>
        <v>0</v>
      </c>
      <c r="AC153">
        <f>IF($E153="","",MAX($C153-$D153,ABS($C153-$E152),ABS($D153-$E152)))</f>
        <v>0</v>
      </c>
      <c r="AD153">
        <f>IF(COUNT($E$2:$E153)&lt;15,"",AVERAGE($AC$140:$AC$153))</f>
        <v>0</v>
      </c>
      <c r="AE153">
        <f>IF(OR($E153="",$E152=""),"",IF(AND(($C153-$C152)&gt;($D152-$D153),($C153-$C152)&gt;0),$C153-$C152,0))</f>
        <v>0</v>
      </c>
      <c r="AF153">
        <f>IF(OR($E153="",$E152=""),"",IF(AND(($D152-$D153)&gt;($C153-$C152),($D152-$D153)&gt;0),$D152-$D153,0))</f>
        <v>0</v>
      </c>
      <c r="AG153">
        <f>IF(COUNT($E$2:$E153)&lt;15,"",IF(SUM($AC$140:$AC$153)=0,0,100*SUM($AE$140:$AE$153)/SUM($AC$140:$AC$153)))</f>
        <v>0</v>
      </c>
      <c r="AH153">
        <f>IF(COUNT($E$2:$E153)&lt;15,"",IF(SUM($AC$140:$AC$153)=0,0,100*SUM($AF$140:$AF$153)/SUM($AC$140:$AC$153)))</f>
        <v>0</v>
      </c>
      <c r="AI153">
        <f>IF(OR(AG153="",AH153=""),"",IF((AG153+AH153)=0,0,100*ABS(AG153-AH153)/(AG153+AH153)))</f>
        <v>0</v>
      </c>
      <c r="AJ153">
        <f>IF(COUNT($AI$140:$AI$153)&lt;14,"",AVERAGE($AI$140:$AI$153))</f>
        <v>0</v>
      </c>
      <c r="AK153">
        <f>IF(COUNT($E$2:$E153)&lt;20,"",AVERAGE($E$134:$E$153))</f>
        <v>0</v>
      </c>
      <c r="AL153">
        <f>IF(COUNT($E$2:$E153)&lt;20,"",STDEVP($E$134:$E$153))</f>
        <v>0</v>
      </c>
      <c r="AM153">
        <f>IF(AK153="","",AK153+2*AL153)</f>
        <v>0</v>
      </c>
      <c r="AN153">
        <f>IF(AK153="","",AK153-2*AL153)</f>
        <v>0</v>
      </c>
      <c r="AO153">
        <f>IF(OR(AM153="",AN153="",AM153=AN153),"",($E153-AN153)/(AM153-AN153))</f>
        <v>0</v>
      </c>
      <c r="AP153">
        <f>IF(OR(AM153="",AK153="",AK153=0),"",(AM153-AN153)/AK153)</f>
        <v>0</v>
      </c>
      <c r="AQ153">
        <f>IF(COUNT($E$2:$E153)&lt;20,"",MAX($C$134:$C$153))</f>
        <v>0</v>
      </c>
      <c r="AR153">
        <f>IF(COUNT($E$2:$E153)&lt;20,"",MIN($D$134:$D$153))</f>
        <v>0</v>
      </c>
      <c r="AS153">
        <f>IF(OR(AQ153="",AR153=""),"",(AQ153+AR153)/2)</f>
        <v>0</v>
      </c>
      <c r="AT153">
        <f>IF(COUNT($G$134:$G$153)&lt;20,"",STDEV($G$134:$G$153)*SQRT(252))</f>
        <v>0</v>
      </c>
      <c r="AU153">
        <f>IF(COUNT($E$2:$E153)&lt;9,"",(MAX($C$145:$C$153)+MIN($D$145:$D$153))/2)</f>
        <v>0</v>
      </c>
      <c r="AV153">
        <f>IF(COUNT($E$2:$E153)&lt;26,"",(MAX($C$128:$C$153)+MIN($D$128:$D$153))/2)</f>
        <v>0</v>
      </c>
      <c r="AW153">
        <f>IF(OR(AU153="",AV153=""),"",(AU153+AV153)/2)</f>
        <v>0</v>
      </c>
      <c r="AX153">
        <f>IF(COUNT($E$2:$E153)&lt;52,"",(MAX($C$102:$C$153)+MIN($D$102:$D$153))/2)</f>
        <v>0</v>
      </c>
      <c r="AY153">
        <f>IF(COUNT($E$2:$E153)&lt;20,"",MAX($C$54:$C$153))</f>
        <v>0</v>
      </c>
      <c r="AZ153">
        <f>IF(COUNT($E$2:$E153)&lt;20,"",MIN($D$54:$D$153))</f>
        <v>0</v>
      </c>
      <c r="BA153">
        <f>IF(COUNT($E$2:$E153)&lt;20,"",SLOPE($E$54:$E$153,$F$54:$F$153))</f>
        <v>0</v>
      </c>
      <c r="BB153">
        <f>IF(COUNT($E$2:$E153)&lt;20,"",INTERCEPT($E$54:$E$153,$F$54:$F$153))</f>
        <v>0</v>
      </c>
      <c r="BC153">
        <f>IF(OR(BA153="",BB153=""),"",BB153+BA153*F153)</f>
        <v>0</v>
      </c>
      <c r="BD153">
        <f>IF(COUNT($E$2:$E153)&lt;20,"",STEYX($E$54:$E$153,$F$54:$F$153))</f>
        <v>0</v>
      </c>
      <c r="BE153">
        <f>IF($E153="","",IF(AND(COUNT($E$154:$E$157)&gt;=4,$C153=MAX($C$149:$C$157)),$C153,""))</f>
        <v>0</v>
      </c>
      <c r="BF153">
        <f>IF($E153="","",IF(AND(COUNT($E$154:$E$157)&gt;=4,$D153=MIN($D$149:$D$157)),$D153,""))</f>
        <v>0</v>
      </c>
      <c r="BG153">
        <f>IF($A153="","",$A153-WEEKDAY($A153,2)+1)</f>
        <v>0</v>
      </c>
      <c r="BH153">
        <f>IF($A153="","",IF($A152="",1,IF(BG153&lt;&gt;BG152,1,0)))</f>
        <v>0</v>
      </c>
      <c r="BI153">
        <f>IF($A153="","",IF($A154="",1,IF(BG154&lt;&gt;BG153,1,0)))</f>
        <v>0</v>
      </c>
      <c r="BJ153">
        <f>IF($A153="","",IF(BH153=1,$B153,BJ152))</f>
        <v>0</v>
      </c>
      <c r="BK153">
        <f>IF($A153="","",IF(BH153=1,$C153,MAX($C153,BK152)))</f>
        <v>0</v>
      </c>
      <c r="BL153">
        <f>IF($A153="","",IF(BH153=1,$D153,MIN($D153,BL152)))</f>
        <v>0</v>
      </c>
      <c r="BM153">
        <f>IF($A153="","",IF(BI153=1,F153,""))</f>
        <v>0</v>
      </c>
      <c r="BN153">
        <f>IF($A153="","",DATE(YEAR($A153),MONTH($A153),1))</f>
        <v>0</v>
      </c>
      <c r="BO153">
        <f>IF($A153="","",IF($A152="",1,IF(BN153&lt;&gt;BN152,1,0)))</f>
        <v>0</v>
      </c>
      <c r="BP153">
        <f>IF($A153="","",IF($A154="",1,IF(BN154&lt;&gt;BN153,1,0)))</f>
        <v>0</v>
      </c>
      <c r="BQ153">
        <f>IF($A153="","",IF(BO153=1,$B153,BQ152))</f>
        <v>0</v>
      </c>
      <c r="BR153">
        <f>IF($A153="","",IF(BO153=1,$C153,MAX($C153,BR152)))</f>
        <v>0</v>
      </c>
      <c r="BS153">
        <f>IF($A153="","",IF(BO153=1,$D153,MIN($D153,BS152)))</f>
        <v>0</v>
      </c>
      <c r="BT153">
        <f>IF($A153="","",IF(BP153=1,F153,""))</f>
        <v>0</v>
      </c>
    </row>
    <row r="154" spans="1:72">
      <c r="A154" s="27">
        <f>IF(Data!$A154="","",Data!$A154)</f>
        <v>0</v>
      </c>
      <c r="B154">
        <f>IF(Data!$B154="","",Data!$B154)</f>
        <v>0</v>
      </c>
      <c r="C154">
        <f>IF(Data!$C154="","",Data!$C154)</f>
        <v>0</v>
      </c>
      <c r="D154">
        <f>IF(Data!$D154="","",Data!$D154)</f>
        <v>0</v>
      </c>
      <c r="E154">
        <f>IF(Data!$E154="","",Data!$E154)</f>
        <v>0</v>
      </c>
      <c r="F154">
        <f>IF($E154="","",N(F153)+1)</f>
        <v>0</v>
      </c>
      <c r="G154">
        <f>IF(OR($E154="",$E153=""),"",LN($E154/$E153))</f>
        <v>0</v>
      </c>
      <c r="H154">
        <f>IF($E154="","",IF($E153="",$E154,$E154*0.0952380952+H153*0.9047619048))</f>
        <v>0</v>
      </c>
      <c r="I154">
        <f>IF($E154="","",IF($E153="",$E154,$E154*0.0392156863+I153*0.9607843137))</f>
        <v>0</v>
      </c>
      <c r="J154">
        <f>IF($E154="","",IF($E153="",$E154,$E154*0.0198019802+J153*0.9801980198))</f>
        <v>0</v>
      </c>
      <c r="K154">
        <f>IF($E154="","",IF($E153="",$E154,$E154*0.0099502488+K153*0.9900497512))</f>
        <v>0</v>
      </c>
      <c r="L154">
        <f>IF(OR($E154="",$E153=""),"",MAX($E154-$E153,0))</f>
        <v>0</v>
      </c>
      <c r="M154">
        <f>IF(OR($E154="",$E153=""),"",MAX($E153-$E154,0))</f>
        <v>0</v>
      </c>
      <c r="N154">
        <f>IF(COUNT($E$2:$E154)&lt;15,"",IF(AVERAGE($M$141:$M$154)=0,100,100-100/(1+AVERAGE($L$141:$L$154)/AVERAGE($M$141:$M$154))))</f>
        <v>0</v>
      </c>
      <c r="O154">
        <f>IF($E154="","",IF($E153="",$E154,$E154*0.1538461538+O153*0.8461538462))</f>
        <v>0</v>
      </c>
      <c r="P154">
        <f>IF($E154="","",IF($E153="",$E154,$E154*0.0740740741+P153*0.9259259259))</f>
        <v>0</v>
      </c>
      <c r="Q154">
        <f>IF(OR(O154="",P154=""),"",O154-P154)</f>
        <v>0</v>
      </c>
      <c r="R154">
        <f>IF(Q154="","",IF(R153="",Q154,Q154*0.2000000000+R153*0.8000000000))</f>
        <v>0</v>
      </c>
      <c r="S154">
        <f>IF(OR(Q154="",R154=""),"",Q154-R154)</f>
        <v>0</v>
      </c>
      <c r="T154">
        <f>IF(COUNT($E$2:$E154)&lt;14,"",MAX($C$141:$C$154))</f>
        <v>0</v>
      </c>
      <c r="U154">
        <f>IF(COUNT($E$2:$E154)&lt;14,"",MIN($D$141:$D$154))</f>
        <v>0</v>
      </c>
      <c r="V154">
        <f>IF(OR(T154="",U154="",T154=U154),"",100*($E154-U154)/(T154-U154))</f>
        <v>0</v>
      </c>
      <c r="W154">
        <f>IF(COUNT($V$152:$V$154)&lt;3,"",AVERAGE($V$152:$V$154))</f>
        <v>0</v>
      </c>
      <c r="X154">
        <f>IF(COUNT($N$141:$N$154)&lt;14,"",MIN($N$141:$N$154))</f>
        <v>0</v>
      </c>
      <c r="Y154">
        <f>IF(COUNT($N$141:$N$154)&lt;14,"",MAX($N$141:$N$154))</f>
        <v>0</v>
      </c>
      <c r="Z154">
        <f>IF(OR(N154="",X154="",Y154="",Y154=X154),"",100*(N154-X154)/(Y154-X154))</f>
        <v>0</v>
      </c>
      <c r="AA154">
        <f>IF(COUNT($Z$152:$Z$154)&lt;3,"",AVERAGE($Z$152:$Z$154))</f>
        <v>0</v>
      </c>
      <c r="AB154">
        <f>IF(COUNT($AA$152:$AA$154)&lt;3,"",AVERAGE($AA$152:$AA$154))</f>
        <v>0</v>
      </c>
      <c r="AC154">
        <f>IF($E154="","",MAX($C154-$D154,ABS($C154-$E153),ABS($D154-$E153)))</f>
        <v>0</v>
      </c>
      <c r="AD154">
        <f>IF(COUNT($E$2:$E154)&lt;15,"",AVERAGE($AC$141:$AC$154))</f>
        <v>0</v>
      </c>
      <c r="AE154">
        <f>IF(OR($E154="",$E153=""),"",IF(AND(($C154-$C153)&gt;($D153-$D154),($C154-$C153)&gt;0),$C154-$C153,0))</f>
        <v>0</v>
      </c>
      <c r="AF154">
        <f>IF(OR($E154="",$E153=""),"",IF(AND(($D153-$D154)&gt;($C154-$C153),($D153-$D154)&gt;0),$D153-$D154,0))</f>
        <v>0</v>
      </c>
      <c r="AG154">
        <f>IF(COUNT($E$2:$E154)&lt;15,"",IF(SUM($AC$141:$AC$154)=0,0,100*SUM($AE$141:$AE$154)/SUM($AC$141:$AC$154)))</f>
        <v>0</v>
      </c>
      <c r="AH154">
        <f>IF(COUNT($E$2:$E154)&lt;15,"",IF(SUM($AC$141:$AC$154)=0,0,100*SUM($AF$141:$AF$154)/SUM($AC$141:$AC$154)))</f>
        <v>0</v>
      </c>
      <c r="AI154">
        <f>IF(OR(AG154="",AH154=""),"",IF((AG154+AH154)=0,0,100*ABS(AG154-AH154)/(AG154+AH154)))</f>
        <v>0</v>
      </c>
      <c r="AJ154">
        <f>IF(COUNT($AI$141:$AI$154)&lt;14,"",AVERAGE($AI$141:$AI$154))</f>
        <v>0</v>
      </c>
      <c r="AK154">
        <f>IF(COUNT($E$2:$E154)&lt;20,"",AVERAGE($E$135:$E$154))</f>
        <v>0</v>
      </c>
      <c r="AL154">
        <f>IF(COUNT($E$2:$E154)&lt;20,"",STDEVP($E$135:$E$154))</f>
        <v>0</v>
      </c>
      <c r="AM154">
        <f>IF(AK154="","",AK154+2*AL154)</f>
        <v>0</v>
      </c>
      <c r="AN154">
        <f>IF(AK154="","",AK154-2*AL154)</f>
        <v>0</v>
      </c>
      <c r="AO154">
        <f>IF(OR(AM154="",AN154="",AM154=AN154),"",($E154-AN154)/(AM154-AN154))</f>
        <v>0</v>
      </c>
      <c r="AP154">
        <f>IF(OR(AM154="",AK154="",AK154=0),"",(AM154-AN154)/AK154)</f>
        <v>0</v>
      </c>
      <c r="AQ154">
        <f>IF(COUNT($E$2:$E154)&lt;20,"",MAX($C$135:$C$154))</f>
        <v>0</v>
      </c>
      <c r="AR154">
        <f>IF(COUNT($E$2:$E154)&lt;20,"",MIN($D$135:$D$154))</f>
        <v>0</v>
      </c>
      <c r="AS154">
        <f>IF(OR(AQ154="",AR154=""),"",(AQ154+AR154)/2)</f>
        <v>0</v>
      </c>
      <c r="AT154">
        <f>IF(COUNT($G$135:$G$154)&lt;20,"",STDEV($G$135:$G$154)*SQRT(252))</f>
        <v>0</v>
      </c>
      <c r="AU154">
        <f>IF(COUNT($E$2:$E154)&lt;9,"",(MAX($C$146:$C$154)+MIN($D$146:$D$154))/2)</f>
        <v>0</v>
      </c>
      <c r="AV154">
        <f>IF(COUNT($E$2:$E154)&lt;26,"",(MAX($C$129:$C$154)+MIN($D$129:$D$154))/2)</f>
        <v>0</v>
      </c>
      <c r="AW154">
        <f>IF(OR(AU154="",AV154=""),"",(AU154+AV154)/2)</f>
        <v>0</v>
      </c>
      <c r="AX154">
        <f>IF(COUNT($E$2:$E154)&lt;52,"",(MAX($C$103:$C$154)+MIN($D$103:$D$154))/2)</f>
        <v>0</v>
      </c>
      <c r="AY154">
        <f>IF(COUNT($E$2:$E154)&lt;20,"",MAX($C$55:$C$154))</f>
        <v>0</v>
      </c>
      <c r="AZ154">
        <f>IF(COUNT($E$2:$E154)&lt;20,"",MIN($D$55:$D$154))</f>
        <v>0</v>
      </c>
      <c r="BA154">
        <f>IF(COUNT($E$2:$E154)&lt;20,"",SLOPE($E$55:$E$154,$F$55:$F$154))</f>
        <v>0</v>
      </c>
      <c r="BB154">
        <f>IF(COUNT($E$2:$E154)&lt;20,"",INTERCEPT($E$55:$E$154,$F$55:$F$154))</f>
        <v>0</v>
      </c>
      <c r="BC154">
        <f>IF(OR(BA154="",BB154=""),"",BB154+BA154*F154)</f>
        <v>0</v>
      </c>
      <c r="BD154">
        <f>IF(COUNT($E$2:$E154)&lt;20,"",STEYX($E$55:$E$154,$F$55:$F$154))</f>
        <v>0</v>
      </c>
      <c r="BE154">
        <f>IF($E154="","",IF(AND(COUNT($E$155:$E$158)&gt;=4,$C154=MAX($C$150:$C$158)),$C154,""))</f>
        <v>0</v>
      </c>
      <c r="BF154">
        <f>IF($E154="","",IF(AND(COUNT($E$155:$E$158)&gt;=4,$D154=MIN($D$150:$D$158)),$D154,""))</f>
        <v>0</v>
      </c>
      <c r="BG154">
        <f>IF($A154="","",$A154-WEEKDAY($A154,2)+1)</f>
        <v>0</v>
      </c>
      <c r="BH154">
        <f>IF($A154="","",IF($A153="",1,IF(BG154&lt;&gt;BG153,1,0)))</f>
        <v>0</v>
      </c>
      <c r="BI154">
        <f>IF($A154="","",IF($A155="",1,IF(BG155&lt;&gt;BG154,1,0)))</f>
        <v>0</v>
      </c>
      <c r="BJ154">
        <f>IF($A154="","",IF(BH154=1,$B154,BJ153))</f>
        <v>0</v>
      </c>
      <c r="BK154">
        <f>IF($A154="","",IF(BH154=1,$C154,MAX($C154,BK153)))</f>
        <v>0</v>
      </c>
      <c r="BL154">
        <f>IF($A154="","",IF(BH154=1,$D154,MIN($D154,BL153)))</f>
        <v>0</v>
      </c>
      <c r="BM154">
        <f>IF($A154="","",IF(BI154=1,F154,""))</f>
        <v>0</v>
      </c>
      <c r="BN154">
        <f>IF($A154="","",DATE(YEAR($A154),MONTH($A154),1))</f>
        <v>0</v>
      </c>
      <c r="BO154">
        <f>IF($A154="","",IF($A153="",1,IF(BN154&lt;&gt;BN153,1,0)))</f>
        <v>0</v>
      </c>
      <c r="BP154">
        <f>IF($A154="","",IF($A155="",1,IF(BN155&lt;&gt;BN154,1,0)))</f>
        <v>0</v>
      </c>
      <c r="BQ154">
        <f>IF($A154="","",IF(BO154=1,$B154,BQ153))</f>
        <v>0</v>
      </c>
      <c r="BR154">
        <f>IF($A154="","",IF(BO154=1,$C154,MAX($C154,BR153)))</f>
        <v>0</v>
      </c>
      <c r="BS154">
        <f>IF($A154="","",IF(BO154=1,$D154,MIN($D154,BS153)))</f>
        <v>0</v>
      </c>
      <c r="BT154">
        <f>IF($A154="","",IF(BP154=1,F154,""))</f>
        <v>0</v>
      </c>
    </row>
    <row r="155" spans="1:72">
      <c r="A155" s="27">
        <f>IF(Data!$A155="","",Data!$A155)</f>
        <v>0</v>
      </c>
      <c r="B155">
        <f>IF(Data!$B155="","",Data!$B155)</f>
        <v>0</v>
      </c>
      <c r="C155">
        <f>IF(Data!$C155="","",Data!$C155)</f>
        <v>0</v>
      </c>
      <c r="D155">
        <f>IF(Data!$D155="","",Data!$D155)</f>
        <v>0</v>
      </c>
      <c r="E155">
        <f>IF(Data!$E155="","",Data!$E155)</f>
        <v>0</v>
      </c>
      <c r="F155">
        <f>IF($E155="","",N(F154)+1)</f>
        <v>0</v>
      </c>
      <c r="G155">
        <f>IF(OR($E155="",$E154=""),"",LN($E155/$E154))</f>
        <v>0</v>
      </c>
      <c r="H155">
        <f>IF($E155="","",IF($E154="",$E155,$E155*0.0952380952+H154*0.9047619048))</f>
        <v>0</v>
      </c>
      <c r="I155">
        <f>IF($E155="","",IF($E154="",$E155,$E155*0.0392156863+I154*0.9607843137))</f>
        <v>0</v>
      </c>
      <c r="J155">
        <f>IF($E155="","",IF($E154="",$E155,$E155*0.0198019802+J154*0.9801980198))</f>
        <v>0</v>
      </c>
      <c r="K155">
        <f>IF($E155="","",IF($E154="",$E155,$E155*0.0099502488+K154*0.9900497512))</f>
        <v>0</v>
      </c>
      <c r="L155">
        <f>IF(OR($E155="",$E154=""),"",MAX($E155-$E154,0))</f>
        <v>0</v>
      </c>
      <c r="M155">
        <f>IF(OR($E155="",$E154=""),"",MAX($E154-$E155,0))</f>
        <v>0</v>
      </c>
      <c r="N155">
        <f>IF(COUNT($E$2:$E155)&lt;15,"",IF(AVERAGE($M$142:$M$155)=0,100,100-100/(1+AVERAGE($L$142:$L$155)/AVERAGE($M$142:$M$155))))</f>
        <v>0</v>
      </c>
      <c r="O155">
        <f>IF($E155="","",IF($E154="",$E155,$E155*0.1538461538+O154*0.8461538462))</f>
        <v>0</v>
      </c>
      <c r="P155">
        <f>IF($E155="","",IF($E154="",$E155,$E155*0.0740740741+P154*0.9259259259))</f>
        <v>0</v>
      </c>
      <c r="Q155">
        <f>IF(OR(O155="",P155=""),"",O155-P155)</f>
        <v>0</v>
      </c>
      <c r="R155">
        <f>IF(Q155="","",IF(R154="",Q155,Q155*0.2000000000+R154*0.8000000000))</f>
        <v>0</v>
      </c>
      <c r="S155">
        <f>IF(OR(Q155="",R155=""),"",Q155-R155)</f>
        <v>0</v>
      </c>
      <c r="T155">
        <f>IF(COUNT($E$2:$E155)&lt;14,"",MAX($C$142:$C$155))</f>
        <v>0</v>
      </c>
      <c r="U155">
        <f>IF(COUNT($E$2:$E155)&lt;14,"",MIN($D$142:$D$155))</f>
        <v>0</v>
      </c>
      <c r="V155">
        <f>IF(OR(T155="",U155="",T155=U155),"",100*($E155-U155)/(T155-U155))</f>
        <v>0</v>
      </c>
      <c r="W155">
        <f>IF(COUNT($V$153:$V$155)&lt;3,"",AVERAGE($V$153:$V$155))</f>
        <v>0</v>
      </c>
      <c r="X155">
        <f>IF(COUNT($N$142:$N$155)&lt;14,"",MIN($N$142:$N$155))</f>
        <v>0</v>
      </c>
      <c r="Y155">
        <f>IF(COUNT($N$142:$N$155)&lt;14,"",MAX($N$142:$N$155))</f>
        <v>0</v>
      </c>
      <c r="Z155">
        <f>IF(OR(N155="",X155="",Y155="",Y155=X155),"",100*(N155-X155)/(Y155-X155))</f>
        <v>0</v>
      </c>
      <c r="AA155">
        <f>IF(COUNT($Z$153:$Z$155)&lt;3,"",AVERAGE($Z$153:$Z$155))</f>
        <v>0</v>
      </c>
      <c r="AB155">
        <f>IF(COUNT($AA$153:$AA$155)&lt;3,"",AVERAGE($AA$153:$AA$155))</f>
        <v>0</v>
      </c>
      <c r="AC155">
        <f>IF($E155="","",MAX($C155-$D155,ABS($C155-$E154),ABS($D155-$E154)))</f>
        <v>0</v>
      </c>
      <c r="AD155">
        <f>IF(COUNT($E$2:$E155)&lt;15,"",AVERAGE($AC$142:$AC$155))</f>
        <v>0</v>
      </c>
      <c r="AE155">
        <f>IF(OR($E155="",$E154=""),"",IF(AND(($C155-$C154)&gt;($D154-$D155),($C155-$C154)&gt;0),$C155-$C154,0))</f>
        <v>0</v>
      </c>
      <c r="AF155">
        <f>IF(OR($E155="",$E154=""),"",IF(AND(($D154-$D155)&gt;($C155-$C154),($D154-$D155)&gt;0),$D154-$D155,0))</f>
        <v>0</v>
      </c>
      <c r="AG155">
        <f>IF(COUNT($E$2:$E155)&lt;15,"",IF(SUM($AC$142:$AC$155)=0,0,100*SUM($AE$142:$AE$155)/SUM($AC$142:$AC$155)))</f>
        <v>0</v>
      </c>
      <c r="AH155">
        <f>IF(COUNT($E$2:$E155)&lt;15,"",IF(SUM($AC$142:$AC$155)=0,0,100*SUM($AF$142:$AF$155)/SUM($AC$142:$AC$155)))</f>
        <v>0</v>
      </c>
      <c r="AI155">
        <f>IF(OR(AG155="",AH155=""),"",IF((AG155+AH155)=0,0,100*ABS(AG155-AH155)/(AG155+AH155)))</f>
        <v>0</v>
      </c>
      <c r="AJ155">
        <f>IF(COUNT($AI$142:$AI$155)&lt;14,"",AVERAGE($AI$142:$AI$155))</f>
        <v>0</v>
      </c>
      <c r="AK155">
        <f>IF(COUNT($E$2:$E155)&lt;20,"",AVERAGE($E$136:$E$155))</f>
        <v>0</v>
      </c>
      <c r="AL155">
        <f>IF(COUNT($E$2:$E155)&lt;20,"",STDEVP($E$136:$E$155))</f>
        <v>0</v>
      </c>
      <c r="AM155">
        <f>IF(AK155="","",AK155+2*AL155)</f>
        <v>0</v>
      </c>
      <c r="AN155">
        <f>IF(AK155="","",AK155-2*AL155)</f>
        <v>0</v>
      </c>
      <c r="AO155">
        <f>IF(OR(AM155="",AN155="",AM155=AN155),"",($E155-AN155)/(AM155-AN155))</f>
        <v>0</v>
      </c>
      <c r="AP155">
        <f>IF(OR(AM155="",AK155="",AK155=0),"",(AM155-AN155)/AK155)</f>
        <v>0</v>
      </c>
      <c r="AQ155">
        <f>IF(COUNT($E$2:$E155)&lt;20,"",MAX($C$136:$C$155))</f>
        <v>0</v>
      </c>
      <c r="AR155">
        <f>IF(COUNT($E$2:$E155)&lt;20,"",MIN($D$136:$D$155))</f>
        <v>0</v>
      </c>
      <c r="AS155">
        <f>IF(OR(AQ155="",AR155=""),"",(AQ155+AR155)/2)</f>
        <v>0</v>
      </c>
      <c r="AT155">
        <f>IF(COUNT($G$136:$G$155)&lt;20,"",STDEV($G$136:$G$155)*SQRT(252))</f>
        <v>0</v>
      </c>
      <c r="AU155">
        <f>IF(COUNT($E$2:$E155)&lt;9,"",(MAX($C$147:$C$155)+MIN($D$147:$D$155))/2)</f>
        <v>0</v>
      </c>
      <c r="AV155">
        <f>IF(COUNT($E$2:$E155)&lt;26,"",(MAX($C$130:$C$155)+MIN($D$130:$D$155))/2)</f>
        <v>0</v>
      </c>
      <c r="AW155">
        <f>IF(OR(AU155="",AV155=""),"",(AU155+AV155)/2)</f>
        <v>0</v>
      </c>
      <c r="AX155">
        <f>IF(COUNT($E$2:$E155)&lt;52,"",(MAX($C$104:$C$155)+MIN($D$104:$D$155))/2)</f>
        <v>0</v>
      </c>
      <c r="AY155">
        <f>IF(COUNT($E$2:$E155)&lt;20,"",MAX($C$56:$C$155))</f>
        <v>0</v>
      </c>
      <c r="AZ155">
        <f>IF(COUNT($E$2:$E155)&lt;20,"",MIN($D$56:$D$155))</f>
        <v>0</v>
      </c>
      <c r="BA155">
        <f>IF(COUNT($E$2:$E155)&lt;20,"",SLOPE($E$56:$E$155,$F$56:$F$155))</f>
        <v>0</v>
      </c>
      <c r="BB155">
        <f>IF(COUNT($E$2:$E155)&lt;20,"",INTERCEPT($E$56:$E$155,$F$56:$F$155))</f>
        <v>0</v>
      </c>
      <c r="BC155">
        <f>IF(OR(BA155="",BB155=""),"",BB155+BA155*F155)</f>
        <v>0</v>
      </c>
      <c r="BD155">
        <f>IF(COUNT($E$2:$E155)&lt;20,"",STEYX($E$56:$E$155,$F$56:$F$155))</f>
        <v>0</v>
      </c>
      <c r="BE155">
        <f>IF($E155="","",IF(AND(COUNT($E$156:$E$159)&gt;=4,$C155=MAX($C$151:$C$159)),$C155,""))</f>
        <v>0</v>
      </c>
      <c r="BF155">
        <f>IF($E155="","",IF(AND(COUNT($E$156:$E$159)&gt;=4,$D155=MIN($D$151:$D$159)),$D155,""))</f>
        <v>0</v>
      </c>
      <c r="BG155">
        <f>IF($A155="","",$A155-WEEKDAY($A155,2)+1)</f>
        <v>0</v>
      </c>
      <c r="BH155">
        <f>IF($A155="","",IF($A154="",1,IF(BG155&lt;&gt;BG154,1,0)))</f>
        <v>0</v>
      </c>
      <c r="BI155">
        <f>IF($A155="","",IF($A156="",1,IF(BG156&lt;&gt;BG155,1,0)))</f>
        <v>0</v>
      </c>
      <c r="BJ155">
        <f>IF($A155="","",IF(BH155=1,$B155,BJ154))</f>
        <v>0</v>
      </c>
      <c r="BK155">
        <f>IF($A155="","",IF(BH155=1,$C155,MAX($C155,BK154)))</f>
        <v>0</v>
      </c>
      <c r="BL155">
        <f>IF($A155="","",IF(BH155=1,$D155,MIN($D155,BL154)))</f>
        <v>0</v>
      </c>
      <c r="BM155">
        <f>IF($A155="","",IF(BI155=1,F155,""))</f>
        <v>0</v>
      </c>
      <c r="BN155">
        <f>IF($A155="","",DATE(YEAR($A155),MONTH($A155),1))</f>
        <v>0</v>
      </c>
      <c r="BO155">
        <f>IF($A155="","",IF($A154="",1,IF(BN155&lt;&gt;BN154,1,0)))</f>
        <v>0</v>
      </c>
      <c r="BP155">
        <f>IF($A155="","",IF($A156="",1,IF(BN156&lt;&gt;BN155,1,0)))</f>
        <v>0</v>
      </c>
      <c r="BQ155">
        <f>IF($A155="","",IF(BO155=1,$B155,BQ154))</f>
        <v>0</v>
      </c>
      <c r="BR155">
        <f>IF($A155="","",IF(BO155=1,$C155,MAX($C155,BR154)))</f>
        <v>0</v>
      </c>
      <c r="BS155">
        <f>IF($A155="","",IF(BO155=1,$D155,MIN($D155,BS154)))</f>
        <v>0</v>
      </c>
      <c r="BT155">
        <f>IF($A155="","",IF(BP155=1,F155,""))</f>
        <v>0</v>
      </c>
    </row>
    <row r="156" spans="1:72">
      <c r="A156" s="27">
        <f>IF(Data!$A156="","",Data!$A156)</f>
        <v>0</v>
      </c>
      <c r="B156">
        <f>IF(Data!$B156="","",Data!$B156)</f>
        <v>0</v>
      </c>
      <c r="C156">
        <f>IF(Data!$C156="","",Data!$C156)</f>
        <v>0</v>
      </c>
      <c r="D156">
        <f>IF(Data!$D156="","",Data!$D156)</f>
        <v>0</v>
      </c>
      <c r="E156">
        <f>IF(Data!$E156="","",Data!$E156)</f>
        <v>0</v>
      </c>
      <c r="F156">
        <f>IF($E156="","",N(F155)+1)</f>
        <v>0</v>
      </c>
      <c r="G156">
        <f>IF(OR($E156="",$E155=""),"",LN($E156/$E155))</f>
        <v>0</v>
      </c>
      <c r="H156">
        <f>IF($E156="","",IF($E155="",$E156,$E156*0.0952380952+H155*0.9047619048))</f>
        <v>0</v>
      </c>
      <c r="I156">
        <f>IF($E156="","",IF($E155="",$E156,$E156*0.0392156863+I155*0.9607843137))</f>
        <v>0</v>
      </c>
      <c r="J156">
        <f>IF($E156="","",IF($E155="",$E156,$E156*0.0198019802+J155*0.9801980198))</f>
        <v>0</v>
      </c>
      <c r="K156">
        <f>IF($E156="","",IF($E155="",$E156,$E156*0.0099502488+K155*0.9900497512))</f>
        <v>0</v>
      </c>
      <c r="L156">
        <f>IF(OR($E156="",$E155=""),"",MAX($E156-$E155,0))</f>
        <v>0</v>
      </c>
      <c r="M156">
        <f>IF(OR($E156="",$E155=""),"",MAX($E155-$E156,0))</f>
        <v>0</v>
      </c>
      <c r="N156">
        <f>IF(COUNT($E$2:$E156)&lt;15,"",IF(AVERAGE($M$143:$M$156)=0,100,100-100/(1+AVERAGE($L$143:$L$156)/AVERAGE($M$143:$M$156))))</f>
        <v>0</v>
      </c>
      <c r="O156">
        <f>IF($E156="","",IF($E155="",$E156,$E156*0.1538461538+O155*0.8461538462))</f>
        <v>0</v>
      </c>
      <c r="P156">
        <f>IF($E156="","",IF($E155="",$E156,$E156*0.0740740741+P155*0.9259259259))</f>
        <v>0</v>
      </c>
      <c r="Q156">
        <f>IF(OR(O156="",P156=""),"",O156-P156)</f>
        <v>0</v>
      </c>
      <c r="R156">
        <f>IF(Q156="","",IF(R155="",Q156,Q156*0.2000000000+R155*0.8000000000))</f>
        <v>0</v>
      </c>
      <c r="S156">
        <f>IF(OR(Q156="",R156=""),"",Q156-R156)</f>
        <v>0</v>
      </c>
      <c r="T156">
        <f>IF(COUNT($E$2:$E156)&lt;14,"",MAX($C$143:$C$156))</f>
        <v>0</v>
      </c>
      <c r="U156">
        <f>IF(COUNT($E$2:$E156)&lt;14,"",MIN($D$143:$D$156))</f>
        <v>0</v>
      </c>
      <c r="V156">
        <f>IF(OR(T156="",U156="",T156=U156),"",100*($E156-U156)/(T156-U156))</f>
        <v>0</v>
      </c>
      <c r="W156">
        <f>IF(COUNT($V$154:$V$156)&lt;3,"",AVERAGE($V$154:$V$156))</f>
        <v>0</v>
      </c>
      <c r="X156">
        <f>IF(COUNT($N$143:$N$156)&lt;14,"",MIN($N$143:$N$156))</f>
        <v>0</v>
      </c>
      <c r="Y156">
        <f>IF(COUNT($N$143:$N$156)&lt;14,"",MAX($N$143:$N$156))</f>
        <v>0</v>
      </c>
      <c r="Z156">
        <f>IF(OR(N156="",X156="",Y156="",Y156=X156),"",100*(N156-X156)/(Y156-X156))</f>
        <v>0</v>
      </c>
      <c r="AA156">
        <f>IF(COUNT($Z$154:$Z$156)&lt;3,"",AVERAGE($Z$154:$Z$156))</f>
        <v>0</v>
      </c>
      <c r="AB156">
        <f>IF(COUNT($AA$154:$AA$156)&lt;3,"",AVERAGE($AA$154:$AA$156))</f>
        <v>0</v>
      </c>
      <c r="AC156">
        <f>IF($E156="","",MAX($C156-$D156,ABS($C156-$E155),ABS($D156-$E155)))</f>
        <v>0</v>
      </c>
      <c r="AD156">
        <f>IF(COUNT($E$2:$E156)&lt;15,"",AVERAGE($AC$143:$AC$156))</f>
        <v>0</v>
      </c>
      <c r="AE156">
        <f>IF(OR($E156="",$E155=""),"",IF(AND(($C156-$C155)&gt;($D155-$D156),($C156-$C155)&gt;0),$C156-$C155,0))</f>
        <v>0</v>
      </c>
      <c r="AF156">
        <f>IF(OR($E156="",$E155=""),"",IF(AND(($D155-$D156)&gt;($C156-$C155),($D155-$D156)&gt;0),$D155-$D156,0))</f>
        <v>0</v>
      </c>
      <c r="AG156">
        <f>IF(COUNT($E$2:$E156)&lt;15,"",IF(SUM($AC$143:$AC$156)=0,0,100*SUM($AE$143:$AE$156)/SUM($AC$143:$AC$156)))</f>
        <v>0</v>
      </c>
      <c r="AH156">
        <f>IF(COUNT($E$2:$E156)&lt;15,"",IF(SUM($AC$143:$AC$156)=0,0,100*SUM($AF$143:$AF$156)/SUM($AC$143:$AC$156)))</f>
        <v>0</v>
      </c>
      <c r="AI156">
        <f>IF(OR(AG156="",AH156=""),"",IF((AG156+AH156)=0,0,100*ABS(AG156-AH156)/(AG156+AH156)))</f>
        <v>0</v>
      </c>
      <c r="AJ156">
        <f>IF(COUNT($AI$143:$AI$156)&lt;14,"",AVERAGE($AI$143:$AI$156))</f>
        <v>0</v>
      </c>
      <c r="AK156">
        <f>IF(COUNT($E$2:$E156)&lt;20,"",AVERAGE($E$137:$E$156))</f>
        <v>0</v>
      </c>
      <c r="AL156">
        <f>IF(COUNT($E$2:$E156)&lt;20,"",STDEVP($E$137:$E$156))</f>
        <v>0</v>
      </c>
      <c r="AM156">
        <f>IF(AK156="","",AK156+2*AL156)</f>
        <v>0</v>
      </c>
      <c r="AN156">
        <f>IF(AK156="","",AK156-2*AL156)</f>
        <v>0</v>
      </c>
      <c r="AO156">
        <f>IF(OR(AM156="",AN156="",AM156=AN156),"",($E156-AN156)/(AM156-AN156))</f>
        <v>0</v>
      </c>
      <c r="AP156">
        <f>IF(OR(AM156="",AK156="",AK156=0),"",(AM156-AN156)/AK156)</f>
        <v>0</v>
      </c>
      <c r="AQ156">
        <f>IF(COUNT($E$2:$E156)&lt;20,"",MAX($C$137:$C$156))</f>
        <v>0</v>
      </c>
      <c r="AR156">
        <f>IF(COUNT($E$2:$E156)&lt;20,"",MIN($D$137:$D$156))</f>
        <v>0</v>
      </c>
      <c r="AS156">
        <f>IF(OR(AQ156="",AR156=""),"",(AQ156+AR156)/2)</f>
        <v>0</v>
      </c>
      <c r="AT156">
        <f>IF(COUNT($G$137:$G$156)&lt;20,"",STDEV($G$137:$G$156)*SQRT(252))</f>
        <v>0</v>
      </c>
      <c r="AU156">
        <f>IF(COUNT($E$2:$E156)&lt;9,"",(MAX($C$148:$C$156)+MIN($D$148:$D$156))/2)</f>
        <v>0</v>
      </c>
      <c r="AV156">
        <f>IF(COUNT($E$2:$E156)&lt;26,"",(MAX($C$131:$C$156)+MIN($D$131:$D$156))/2)</f>
        <v>0</v>
      </c>
      <c r="AW156">
        <f>IF(OR(AU156="",AV156=""),"",(AU156+AV156)/2)</f>
        <v>0</v>
      </c>
      <c r="AX156">
        <f>IF(COUNT($E$2:$E156)&lt;52,"",(MAX($C$105:$C$156)+MIN($D$105:$D$156))/2)</f>
        <v>0</v>
      </c>
      <c r="AY156">
        <f>IF(COUNT($E$2:$E156)&lt;20,"",MAX($C$57:$C$156))</f>
        <v>0</v>
      </c>
      <c r="AZ156">
        <f>IF(COUNT($E$2:$E156)&lt;20,"",MIN($D$57:$D$156))</f>
        <v>0</v>
      </c>
      <c r="BA156">
        <f>IF(COUNT($E$2:$E156)&lt;20,"",SLOPE($E$57:$E$156,$F$57:$F$156))</f>
        <v>0</v>
      </c>
      <c r="BB156">
        <f>IF(COUNT($E$2:$E156)&lt;20,"",INTERCEPT($E$57:$E$156,$F$57:$F$156))</f>
        <v>0</v>
      </c>
      <c r="BC156">
        <f>IF(OR(BA156="",BB156=""),"",BB156+BA156*F156)</f>
        <v>0</v>
      </c>
      <c r="BD156">
        <f>IF(COUNT($E$2:$E156)&lt;20,"",STEYX($E$57:$E$156,$F$57:$F$156))</f>
        <v>0</v>
      </c>
      <c r="BE156">
        <f>IF($E156="","",IF(AND(COUNT($E$157:$E$160)&gt;=4,$C156=MAX($C$152:$C$160)),$C156,""))</f>
        <v>0</v>
      </c>
      <c r="BF156">
        <f>IF($E156="","",IF(AND(COUNT($E$157:$E$160)&gt;=4,$D156=MIN($D$152:$D$160)),$D156,""))</f>
        <v>0</v>
      </c>
      <c r="BG156">
        <f>IF($A156="","",$A156-WEEKDAY($A156,2)+1)</f>
        <v>0</v>
      </c>
      <c r="BH156">
        <f>IF($A156="","",IF($A155="",1,IF(BG156&lt;&gt;BG155,1,0)))</f>
        <v>0</v>
      </c>
      <c r="BI156">
        <f>IF($A156="","",IF($A157="",1,IF(BG157&lt;&gt;BG156,1,0)))</f>
        <v>0</v>
      </c>
      <c r="BJ156">
        <f>IF($A156="","",IF(BH156=1,$B156,BJ155))</f>
        <v>0</v>
      </c>
      <c r="BK156">
        <f>IF($A156="","",IF(BH156=1,$C156,MAX($C156,BK155)))</f>
        <v>0</v>
      </c>
      <c r="BL156">
        <f>IF($A156="","",IF(BH156=1,$D156,MIN($D156,BL155)))</f>
        <v>0</v>
      </c>
      <c r="BM156">
        <f>IF($A156="","",IF(BI156=1,F156,""))</f>
        <v>0</v>
      </c>
      <c r="BN156">
        <f>IF($A156="","",DATE(YEAR($A156),MONTH($A156),1))</f>
        <v>0</v>
      </c>
      <c r="BO156">
        <f>IF($A156="","",IF($A155="",1,IF(BN156&lt;&gt;BN155,1,0)))</f>
        <v>0</v>
      </c>
      <c r="BP156">
        <f>IF($A156="","",IF($A157="",1,IF(BN157&lt;&gt;BN156,1,0)))</f>
        <v>0</v>
      </c>
      <c r="BQ156">
        <f>IF($A156="","",IF(BO156=1,$B156,BQ155))</f>
        <v>0</v>
      </c>
      <c r="BR156">
        <f>IF($A156="","",IF(BO156=1,$C156,MAX($C156,BR155)))</f>
        <v>0</v>
      </c>
      <c r="BS156">
        <f>IF($A156="","",IF(BO156=1,$D156,MIN($D156,BS155)))</f>
        <v>0</v>
      </c>
      <c r="BT156">
        <f>IF($A156="","",IF(BP156=1,F156,""))</f>
        <v>0</v>
      </c>
    </row>
    <row r="157" spans="1:72">
      <c r="A157" s="27">
        <f>IF(Data!$A157="","",Data!$A157)</f>
        <v>0</v>
      </c>
      <c r="B157">
        <f>IF(Data!$B157="","",Data!$B157)</f>
        <v>0</v>
      </c>
      <c r="C157">
        <f>IF(Data!$C157="","",Data!$C157)</f>
        <v>0</v>
      </c>
      <c r="D157">
        <f>IF(Data!$D157="","",Data!$D157)</f>
        <v>0</v>
      </c>
      <c r="E157">
        <f>IF(Data!$E157="","",Data!$E157)</f>
        <v>0</v>
      </c>
      <c r="F157">
        <f>IF($E157="","",N(F156)+1)</f>
        <v>0</v>
      </c>
      <c r="G157">
        <f>IF(OR($E157="",$E156=""),"",LN($E157/$E156))</f>
        <v>0</v>
      </c>
      <c r="H157">
        <f>IF($E157="","",IF($E156="",$E157,$E157*0.0952380952+H156*0.9047619048))</f>
        <v>0</v>
      </c>
      <c r="I157">
        <f>IF($E157="","",IF($E156="",$E157,$E157*0.0392156863+I156*0.9607843137))</f>
        <v>0</v>
      </c>
      <c r="J157">
        <f>IF($E157="","",IF($E156="",$E157,$E157*0.0198019802+J156*0.9801980198))</f>
        <v>0</v>
      </c>
      <c r="K157">
        <f>IF($E157="","",IF($E156="",$E157,$E157*0.0099502488+K156*0.9900497512))</f>
        <v>0</v>
      </c>
      <c r="L157">
        <f>IF(OR($E157="",$E156=""),"",MAX($E157-$E156,0))</f>
        <v>0</v>
      </c>
      <c r="M157">
        <f>IF(OR($E157="",$E156=""),"",MAX($E156-$E157,0))</f>
        <v>0</v>
      </c>
      <c r="N157">
        <f>IF(COUNT($E$2:$E157)&lt;15,"",IF(AVERAGE($M$144:$M$157)=0,100,100-100/(1+AVERAGE($L$144:$L$157)/AVERAGE($M$144:$M$157))))</f>
        <v>0</v>
      </c>
      <c r="O157">
        <f>IF($E157="","",IF($E156="",$E157,$E157*0.1538461538+O156*0.8461538462))</f>
        <v>0</v>
      </c>
      <c r="P157">
        <f>IF($E157="","",IF($E156="",$E157,$E157*0.0740740741+P156*0.9259259259))</f>
        <v>0</v>
      </c>
      <c r="Q157">
        <f>IF(OR(O157="",P157=""),"",O157-P157)</f>
        <v>0</v>
      </c>
      <c r="R157">
        <f>IF(Q157="","",IF(R156="",Q157,Q157*0.2000000000+R156*0.8000000000))</f>
        <v>0</v>
      </c>
      <c r="S157">
        <f>IF(OR(Q157="",R157=""),"",Q157-R157)</f>
        <v>0</v>
      </c>
      <c r="T157">
        <f>IF(COUNT($E$2:$E157)&lt;14,"",MAX($C$144:$C$157))</f>
        <v>0</v>
      </c>
      <c r="U157">
        <f>IF(COUNT($E$2:$E157)&lt;14,"",MIN($D$144:$D$157))</f>
        <v>0</v>
      </c>
      <c r="V157">
        <f>IF(OR(T157="",U157="",T157=U157),"",100*($E157-U157)/(T157-U157))</f>
        <v>0</v>
      </c>
      <c r="W157">
        <f>IF(COUNT($V$155:$V$157)&lt;3,"",AVERAGE($V$155:$V$157))</f>
        <v>0</v>
      </c>
      <c r="X157">
        <f>IF(COUNT($N$144:$N$157)&lt;14,"",MIN($N$144:$N$157))</f>
        <v>0</v>
      </c>
      <c r="Y157">
        <f>IF(COUNT($N$144:$N$157)&lt;14,"",MAX($N$144:$N$157))</f>
        <v>0</v>
      </c>
      <c r="Z157">
        <f>IF(OR(N157="",X157="",Y157="",Y157=X157),"",100*(N157-X157)/(Y157-X157))</f>
        <v>0</v>
      </c>
      <c r="AA157">
        <f>IF(COUNT($Z$155:$Z$157)&lt;3,"",AVERAGE($Z$155:$Z$157))</f>
        <v>0</v>
      </c>
      <c r="AB157">
        <f>IF(COUNT($AA$155:$AA$157)&lt;3,"",AVERAGE($AA$155:$AA$157))</f>
        <v>0</v>
      </c>
      <c r="AC157">
        <f>IF($E157="","",MAX($C157-$D157,ABS($C157-$E156),ABS($D157-$E156)))</f>
        <v>0</v>
      </c>
      <c r="AD157">
        <f>IF(COUNT($E$2:$E157)&lt;15,"",AVERAGE($AC$144:$AC$157))</f>
        <v>0</v>
      </c>
      <c r="AE157">
        <f>IF(OR($E157="",$E156=""),"",IF(AND(($C157-$C156)&gt;($D156-$D157),($C157-$C156)&gt;0),$C157-$C156,0))</f>
        <v>0</v>
      </c>
      <c r="AF157">
        <f>IF(OR($E157="",$E156=""),"",IF(AND(($D156-$D157)&gt;($C157-$C156),($D156-$D157)&gt;0),$D156-$D157,0))</f>
        <v>0</v>
      </c>
      <c r="AG157">
        <f>IF(COUNT($E$2:$E157)&lt;15,"",IF(SUM($AC$144:$AC$157)=0,0,100*SUM($AE$144:$AE$157)/SUM($AC$144:$AC$157)))</f>
        <v>0</v>
      </c>
      <c r="AH157">
        <f>IF(COUNT($E$2:$E157)&lt;15,"",IF(SUM($AC$144:$AC$157)=0,0,100*SUM($AF$144:$AF$157)/SUM($AC$144:$AC$157)))</f>
        <v>0</v>
      </c>
      <c r="AI157">
        <f>IF(OR(AG157="",AH157=""),"",IF((AG157+AH157)=0,0,100*ABS(AG157-AH157)/(AG157+AH157)))</f>
        <v>0</v>
      </c>
      <c r="AJ157">
        <f>IF(COUNT($AI$144:$AI$157)&lt;14,"",AVERAGE($AI$144:$AI$157))</f>
        <v>0</v>
      </c>
      <c r="AK157">
        <f>IF(COUNT($E$2:$E157)&lt;20,"",AVERAGE($E$138:$E$157))</f>
        <v>0</v>
      </c>
      <c r="AL157">
        <f>IF(COUNT($E$2:$E157)&lt;20,"",STDEVP($E$138:$E$157))</f>
        <v>0</v>
      </c>
      <c r="AM157">
        <f>IF(AK157="","",AK157+2*AL157)</f>
        <v>0</v>
      </c>
      <c r="AN157">
        <f>IF(AK157="","",AK157-2*AL157)</f>
        <v>0</v>
      </c>
      <c r="AO157">
        <f>IF(OR(AM157="",AN157="",AM157=AN157),"",($E157-AN157)/(AM157-AN157))</f>
        <v>0</v>
      </c>
      <c r="AP157">
        <f>IF(OR(AM157="",AK157="",AK157=0),"",(AM157-AN157)/AK157)</f>
        <v>0</v>
      </c>
      <c r="AQ157">
        <f>IF(COUNT($E$2:$E157)&lt;20,"",MAX($C$138:$C$157))</f>
        <v>0</v>
      </c>
      <c r="AR157">
        <f>IF(COUNT($E$2:$E157)&lt;20,"",MIN($D$138:$D$157))</f>
        <v>0</v>
      </c>
      <c r="AS157">
        <f>IF(OR(AQ157="",AR157=""),"",(AQ157+AR157)/2)</f>
        <v>0</v>
      </c>
      <c r="AT157">
        <f>IF(COUNT($G$138:$G$157)&lt;20,"",STDEV($G$138:$G$157)*SQRT(252))</f>
        <v>0</v>
      </c>
      <c r="AU157">
        <f>IF(COUNT($E$2:$E157)&lt;9,"",(MAX($C$149:$C$157)+MIN($D$149:$D$157))/2)</f>
        <v>0</v>
      </c>
      <c r="AV157">
        <f>IF(COUNT($E$2:$E157)&lt;26,"",(MAX($C$132:$C$157)+MIN($D$132:$D$157))/2)</f>
        <v>0</v>
      </c>
      <c r="AW157">
        <f>IF(OR(AU157="",AV157=""),"",(AU157+AV157)/2)</f>
        <v>0</v>
      </c>
      <c r="AX157">
        <f>IF(COUNT($E$2:$E157)&lt;52,"",(MAX($C$106:$C$157)+MIN($D$106:$D$157))/2)</f>
        <v>0</v>
      </c>
      <c r="AY157">
        <f>IF(COUNT($E$2:$E157)&lt;20,"",MAX($C$58:$C$157))</f>
        <v>0</v>
      </c>
      <c r="AZ157">
        <f>IF(COUNT($E$2:$E157)&lt;20,"",MIN($D$58:$D$157))</f>
        <v>0</v>
      </c>
      <c r="BA157">
        <f>IF(COUNT($E$2:$E157)&lt;20,"",SLOPE($E$58:$E$157,$F$58:$F$157))</f>
        <v>0</v>
      </c>
      <c r="BB157">
        <f>IF(COUNT($E$2:$E157)&lt;20,"",INTERCEPT($E$58:$E$157,$F$58:$F$157))</f>
        <v>0</v>
      </c>
      <c r="BC157">
        <f>IF(OR(BA157="",BB157=""),"",BB157+BA157*F157)</f>
        <v>0</v>
      </c>
      <c r="BD157">
        <f>IF(COUNT($E$2:$E157)&lt;20,"",STEYX($E$58:$E$157,$F$58:$F$157))</f>
        <v>0</v>
      </c>
      <c r="BE157">
        <f>IF($E157="","",IF(AND(COUNT($E$158:$E$161)&gt;=4,$C157=MAX($C$153:$C$161)),$C157,""))</f>
        <v>0</v>
      </c>
      <c r="BF157">
        <f>IF($E157="","",IF(AND(COUNT($E$158:$E$161)&gt;=4,$D157=MIN($D$153:$D$161)),$D157,""))</f>
        <v>0</v>
      </c>
      <c r="BG157">
        <f>IF($A157="","",$A157-WEEKDAY($A157,2)+1)</f>
        <v>0</v>
      </c>
      <c r="BH157">
        <f>IF($A157="","",IF($A156="",1,IF(BG157&lt;&gt;BG156,1,0)))</f>
        <v>0</v>
      </c>
      <c r="BI157">
        <f>IF($A157="","",IF($A158="",1,IF(BG158&lt;&gt;BG157,1,0)))</f>
        <v>0</v>
      </c>
      <c r="BJ157">
        <f>IF($A157="","",IF(BH157=1,$B157,BJ156))</f>
        <v>0</v>
      </c>
      <c r="BK157">
        <f>IF($A157="","",IF(BH157=1,$C157,MAX($C157,BK156)))</f>
        <v>0</v>
      </c>
      <c r="BL157">
        <f>IF($A157="","",IF(BH157=1,$D157,MIN($D157,BL156)))</f>
        <v>0</v>
      </c>
      <c r="BM157">
        <f>IF($A157="","",IF(BI157=1,F157,""))</f>
        <v>0</v>
      </c>
      <c r="BN157">
        <f>IF($A157="","",DATE(YEAR($A157),MONTH($A157),1))</f>
        <v>0</v>
      </c>
      <c r="BO157">
        <f>IF($A157="","",IF($A156="",1,IF(BN157&lt;&gt;BN156,1,0)))</f>
        <v>0</v>
      </c>
      <c r="BP157">
        <f>IF($A157="","",IF($A158="",1,IF(BN158&lt;&gt;BN157,1,0)))</f>
        <v>0</v>
      </c>
      <c r="BQ157">
        <f>IF($A157="","",IF(BO157=1,$B157,BQ156))</f>
        <v>0</v>
      </c>
      <c r="BR157">
        <f>IF($A157="","",IF(BO157=1,$C157,MAX($C157,BR156)))</f>
        <v>0</v>
      </c>
      <c r="BS157">
        <f>IF($A157="","",IF(BO157=1,$D157,MIN($D157,BS156)))</f>
        <v>0</v>
      </c>
      <c r="BT157">
        <f>IF($A157="","",IF(BP157=1,F157,""))</f>
        <v>0</v>
      </c>
    </row>
    <row r="158" spans="1:72">
      <c r="A158" s="27">
        <f>IF(Data!$A158="","",Data!$A158)</f>
        <v>0</v>
      </c>
      <c r="B158">
        <f>IF(Data!$B158="","",Data!$B158)</f>
        <v>0</v>
      </c>
      <c r="C158">
        <f>IF(Data!$C158="","",Data!$C158)</f>
        <v>0</v>
      </c>
      <c r="D158">
        <f>IF(Data!$D158="","",Data!$D158)</f>
        <v>0</v>
      </c>
      <c r="E158">
        <f>IF(Data!$E158="","",Data!$E158)</f>
        <v>0</v>
      </c>
      <c r="F158">
        <f>IF($E158="","",N(F157)+1)</f>
        <v>0</v>
      </c>
      <c r="G158">
        <f>IF(OR($E158="",$E157=""),"",LN($E158/$E157))</f>
        <v>0</v>
      </c>
      <c r="H158">
        <f>IF($E158="","",IF($E157="",$E158,$E158*0.0952380952+H157*0.9047619048))</f>
        <v>0</v>
      </c>
      <c r="I158">
        <f>IF($E158="","",IF($E157="",$E158,$E158*0.0392156863+I157*0.9607843137))</f>
        <v>0</v>
      </c>
      <c r="J158">
        <f>IF($E158="","",IF($E157="",$E158,$E158*0.0198019802+J157*0.9801980198))</f>
        <v>0</v>
      </c>
      <c r="K158">
        <f>IF($E158="","",IF($E157="",$E158,$E158*0.0099502488+K157*0.9900497512))</f>
        <v>0</v>
      </c>
      <c r="L158">
        <f>IF(OR($E158="",$E157=""),"",MAX($E158-$E157,0))</f>
        <v>0</v>
      </c>
      <c r="M158">
        <f>IF(OR($E158="",$E157=""),"",MAX($E157-$E158,0))</f>
        <v>0</v>
      </c>
      <c r="N158">
        <f>IF(COUNT($E$2:$E158)&lt;15,"",IF(AVERAGE($M$145:$M$158)=0,100,100-100/(1+AVERAGE($L$145:$L$158)/AVERAGE($M$145:$M$158))))</f>
        <v>0</v>
      </c>
      <c r="O158">
        <f>IF($E158="","",IF($E157="",$E158,$E158*0.1538461538+O157*0.8461538462))</f>
        <v>0</v>
      </c>
      <c r="P158">
        <f>IF($E158="","",IF($E157="",$E158,$E158*0.0740740741+P157*0.9259259259))</f>
        <v>0</v>
      </c>
      <c r="Q158">
        <f>IF(OR(O158="",P158=""),"",O158-P158)</f>
        <v>0</v>
      </c>
      <c r="R158">
        <f>IF(Q158="","",IF(R157="",Q158,Q158*0.2000000000+R157*0.8000000000))</f>
        <v>0</v>
      </c>
      <c r="S158">
        <f>IF(OR(Q158="",R158=""),"",Q158-R158)</f>
        <v>0</v>
      </c>
      <c r="T158">
        <f>IF(COUNT($E$2:$E158)&lt;14,"",MAX($C$145:$C$158))</f>
        <v>0</v>
      </c>
      <c r="U158">
        <f>IF(COUNT($E$2:$E158)&lt;14,"",MIN($D$145:$D$158))</f>
        <v>0</v>
      </c>
      <c r="V158">
        <f>IF(OR(T158="",U158="",T158=U158),"",100*($E158-U158)/(T158-U158))</f>
        <v>0</v>
      </c>
      <c r="W158">
        <f>IF(COUNT($V$156:$V$158)&lt;3,"",AVERAGE($V$156:$V$158))</f>
        <v>0</v>
      </c>
      <c r="X158">
        <f>IF(COUNT($N$145:$N$158)&lt;14,"",MIN($N$145:$N$158))</f>
        <v>0</v>
      </c>
      <c r="Y158">
        <f>IF(COUNT($N$145:$N$158)&lt;14,"",MAX($N$145:$N$158))</f>
        <v>0</v>
      </c>
      <c r="Z158">
        <f>IF(OR(N158="",X158="",Y158="",Y158=X158),"",100*(N158-X158)/(Y158-X158))</f>
        <v>0</v>
      </c>
      <c r="AA158">
        <f>IF(COUNT($Z$156:$Z$158)&lt;3,"",AVERAGE($Z$156:$Z$158))</f>
        <v>0</v>
      </c>
      <c r="AB158">
        <f>IF(COUNT($AA$156:$AA$158)&lt;3,"",AVERAGE($AA$156:$AA$158))</f>
        <v>0</v>
      </c>
      <c r="AC158">
        <f>IF($E158="","",MAX($C158-$D158,ABS($C158-$E157),ABS($D158-$E157)))</f>
        <v>0</v>
      </c>
      <c r="AD158">
        <f>IF(COUNT($E$2:$E158)&lt;15,"",AVERAGE($AC$145:$AC$158))</f>
        <v>0</v>
      </c>
      <c r="AE158">
        <f>IF(OR($E158="",$E157=""),"",IF(AND(($C158-$C157)&gt;($D157-$D158),($C158-$C157)&gt;0),$C158-$C157,0))</f>
        <v>0</v>
      </c>
      <c r="AF158">
        <f>IF(OR($E158="",$E157=""),"",IF(AND(($D157-$D158)&gt;($C158-$C157),($D157-$D158)&gt;0),$D157-$D158,0))</f>
        <v>0</v>
      </c>
      <c r="AG158">
        <f>IF(COUNT($E$2:$E158)&lt;15,"",IF(SUM($AC$145:$AC$158)=0,0,100*SUM($AE$145:$AE$158)/SUM($AC$145:$AC$158)))</f>
        <v>0</v>
      </c>
      <c r="AH158">
        <f>IF(COUNT($E$2:$E158)&lt;15,"",IF(SUM($AC$145:$AC$158)=0,0,100*SUM($AF$145:$AF$158)/SUM($AC$145:$AC$158)))</f>
        <v>0</v>
      </c>
      <c r="AI158">
        <f>IF(OR(AG158="",AH158=""),"",IF((AG158+AH158)=0,0,100*ABS(AG158-AH158)/(AG158+AH158)))</f>
        <v>0</v>
      </c>
      <c r="AJ158">
        <f>IF(COUNT($AI$145:$AI$158)&lt;14,"",AVERAGE($AI$145:$AI$158))</f>
        <v>0</v>
      </c>
      <c r="AK158">
        <f>IF(COUNT($E$2:$E158)&lt;20,"",AVERAGE($E$139:$E$158))</f>
        <v>0</v>
      </c>
      <c r="AL158">
        <f>IF(COUNT($E$2:$E158)&lt;20,"",STDEVP($E$139:$E$158))</f>
        <v>0</v>
      </c>
      <c r="AM158">
        <f>IF(AK158="","",AK158+2*AL158)</f>
        <v>0</v>
      </c>
      <c r="AN158">
        <f>IF(AK158="","",AK158-2*AL158)</f>
        <v>0</v>
      </c>
      <c r="AO158">
        <f>IF(OR(AM158="",AN158="",AM158=AN158),"",($E158-AN158)/(AM158-AN158))</f>
        <v>0</v>
      </c>
      <c r="AP158">
        <f>IF(OR(AM158="",AK158="",AK158=0),"",(AM158-AN158)/AK158)</f>
        <v>0</v>
      </c>
      <c r="AQ158">
        <f>IF(COUNT($E$2:$E158)&lt;20,"",MAX($C$139:$C$158))</f>
        <v>0</v>
      </c>
      <c r="AR158">
        <f>IF(COUNT($E$2:$E158)&lt;20,"",MIN($D$139:$D$158))</f>
        <v>0</v>
      </c>
      <c r="AS158">
        <f>IF(OR(AQ158="",AR158=""),"",(AQ158+AR158)/2)</f>
        <v>0</v>
      </c>
      <c r="AT158">
        <f>IF(COUNT($G$139:$G$158)&lt;20,"",STDEV($G$139:$G$158)*SQRT(252))</f>
        <v>0</v>
      </c>
      <c r="AU158">
        <f>IF(COUNT($E$2:$E158)&lt;9,"",(MAX($C$150:$C$158)+MIN($D$150:$D$158))/2)</f>
        <v>0</v>
      </c>
      <c r="AV158">
        <f>IF(COUNT($E$2:$E158)&lt;26,"",(MAX($C$133:$C$158)+MIN($D$133:$D$158))/2)</f>
        <v>0</v>
      </c>
      <c r="AW158">
        <f>IF(OR(AU158="",AV158=""),"",(AU158+AV158)/2)</f>
        <v>0</v>
      </c>
      <c r="AX158">
        <f>IF(COUNT($E$2:$E158)&lt;52,"",(MAX($C$107:$C$158)+MIN($D$107:$D$158))/2)</f>
        <v>0</v>
      </c>
      <c r="AY158">
        <f>IF(COUNT($E$2:$E158)&lt;20,"",MAX($C$59:$C$158))</f>
        <v>0</v>
      </c>
      <c r="AZ158">
        <f>IF(COUNT($E$2:$E158)&lt;20,"",MIN($D$59:$D$158))</f>
        <v>0</v>
      </c>
      <c r="BA158">
        <f>IF(COUNT($E$2:$E158)&lt;20,"",SLOPE($E$59:$E$158,$F$59:$F$158))</f>
        <v>0</v>
      </c>
      <c r="BB158">
        <f>IF(COUNT($E$2:$E158)&lt;20,"",INTERCEPT($E$59:$E$158,$F$59:$F$158))</f>
        <v>0</v>
      </c>
      <c r="BC158">
        <f>IF(OR(BA158="",BB158=""),"",BB158+BA158*F158)</f>
        <v>0</v>
      </c>
      <c r="BD158">
        <f>IF(COUNT($E$2:$E158)&lt;20,"",STEYX($E$59:$E$158,$F$59:$F$158))</f>
        <v>0</v>
      </c>
      <c r="BE158">
        <f>IF($E158="","",IF(AND(COUNT($E$159:$E$162)&gt;=4,$C158=MAX($C$154:$C$162)),$C158,""))</f>
        <v>0</v>
      </c>
      <c r="BF158">
        <f>IF($E158="","",IF(AND(COUNT($E$159:$E$162)&gt;=4,$D158=MIN($D$154:$D$162)),$D158,""))</f>
        <v>0</v>
      </c>
      <c r="BG158">
        <f>IF($A158="","",$A158-WEEKDAY($A158,2)+1)</f>
        <v>0</v>
      </c>
      <c r="BH158">
        <f>IF($A158="","",IF($A157="",1,IF(BG158&lt;&gt;BG157,1,0)))</f>
        <v>0</v>
      </c>
      <c r="BI158">
        <f>IF($A158="","",IF($A159="",1,IF(BG159&lt;&gt;BG158,1,0)))</f>
        <v>0</v>
      </c>
      <c r="BJ158">
        <f>IF($A158="","",IF(BH158=1,$B158,BJ157))</f>
        <v>0</v>
      </c>
      <c r="BK158">
        <f>IF($A158="","",IF(BH158=1,$C158,MAX($C158,BK157)))</f>
        <v>0</v>
      </c>
      <c r="BL158">
        <f>IF($A158="","",IF(BH158=1,$D158,MIN($D158,BL157)))</f>
        <v>0</v>
      </c>
      <c r="BM158">
        <f>IF($A158="","",IF(BI158=1,F158,""))</f>
        <v>0</v>
      </c>
      <c r="BN158">
        <f>IF($A158="","",DATE(YEAR($A158),MONTH($A158),1))</f>
        <v>0</v>
      </c>
      <c r="BO158">
        <f>IF($A158="","",IF($A157="",1,IF(BN158&lt;&gt;BN157,1,0)))</f>
        <v>0</v>
      </c>
      <c r="BP158">
        <f>IF($A158="","",IF($A159="",1,IF(BN159&lt;&gt;BN158,1,0)))</f>
        <v>0</v>
      </c>
      <c r="BQ158">
        <f>IF($A158="","",IF(BO158=1,$B158,BQ157))</f>
        <v>0</v>
      </c>
      <c r="BR158">
        <f>IF($A158="","",IF(BO158=1,$C158,MAX($C158,BR157)))</f>
        <v>0</v>
      </c>
      <c r="BS158">
        <f>IF($A158="","",IF(BO158=1,$D158,MIN($D158,BS157)))</f>
        <v>0</v>
      </c>
      <c r="BT158">
        <f>IF($A158="","",IF(BP158=1,F158,""))</f>
        <v>0</v>
      </c>
    </row>
    <row r="159" spans="1:72">
      <c r="A159" s="27">
        <f>IF(Data!$A159="","",Data!$A159)</f>
        <v>0</v>
      </c>
      <c r="B159">
        <f>IF(Data!$B159="","",Data!$B159)</f>
        <v>0</v>
      </c>
      <c r="C159">
        <f>IF(Data!$C159="","",Data!$C159)</f>
        <v>0</v>
      </c>
      <c r="D159">
        <f>IF(Data!$D159="","",Data!$D159)</f>
        <v>0</v>
      </c>
      <c r="E159">
        <f>IF(Data!$E159="","",Data!$E159)</f>
        <v>0</v>
      </c>
      <c r="F159">
        <f>IF($E159="","",N(F158)+1)</f>
        <v>0</v>
      </c>
      <c r="G159">
        <f>IF(OR($E159="",$E158=""),"",LN($E159/$E158))</f>
        <v>0</v>
      </c>
      <c r="H159">
        <f>IF($E159="","",IF($E158="",$E159,$E159*0.0952380952+H158*0.9047619048))</f>
        <v>0</v>
      </c>
      <c r="I159">
        <f>IF($E159="","",IF($E158="",$E159,$E159*0.0392156863+I158*0.9607843137))</f>
        <v>0</v>
      </c>
      <c r="J159">
        <f>IF($E159="","",IF($E158="",$E159,$E159*0.0198019802+J158*0.9801980198))</f>
        <v>0</v>
      </c>
      <c r="K159">
        <f>IF($E159="","",IF($E158="",$E159,$E159*0.0099502488+K158*0.9900497512))</f>
        <v>0</v>
      </c>
      <c r="L159">
        <f>IF(OR($E159="",$E158=""),"",MAX($E159-$E158,0))</f>
        <v>0</v>
      </c>
      <c r="M159">
        <f>IF(OR($E159="",$E158=""),"",MAX($E158-$E159,0))</f>
        <v>0</v>
      </c>
      <c r="N159">
        <f>IF(COUNT($E$2:$E159)&lt;15,"",IF(AVERAGE($M$146:$M$159)=0,100,100-100/(1+AVERAGE($L$146:$L$159)/AVERAGE($M$146:$M$159))))</f>
        <v>0</v>
      </c>
      <c r="O159">
        <f>IF($E159="","",IF($E158="",$E159,$E159*0.1538461538+O158*0.8461538462))</f>
        <v>0</v>
      </c>
      <c r="P159">
        <f>IF($E159="","",IF($E158="",$E159,$E159*0.0740740741+P158*0.9259259259))</f>
        <v>0</v>
      </c>
      <c r="Q159">
        <f>IF(OR(O159="",P159=""),"",O159-P159)</f>
        <v>0</v>
      </c>
      <c r="R159">
        <f>IF(Q159="","",IF(R158="",Q159,Q159*0.2000000000+R158*0.8000000000))</f>
        <v>0</v>
      </c>
      <c r="S159">
        <f>IF(OR(Q159="",R159=""),"",Q159-R159)</f>
        <v>0</v>
      </c>
      <c r="T159">
        <f>IF(COUNT($E$2:$E159)&lt;14,"",MAX($C$146:$C$159))</f>
        <v>0</v>
      </c>
      <c r="U159">
        <f>IF(COUNT($E$2:$E159)&lt;14,"",MIN($D$146:$D$159))</f>
        <v>0</v>
      </c>
      <c r="V159">
        <f>IF(OR(T159="",U159="",T159=U159),"",100*($E159-U159)/(T159-U159))</f>
        <v>0</v>
      </c>
      <c r="W159">
        <f>IF(COUNT($V$157:$V$159)&lt;3,"",AVERAGE($V$157:$V$159))</f>
        <v>0</v>
      </c>
      <c r="X159">
        <f>IF(COUNT($N$146:$N$159)&lt;14,"",MIN($N$146:$N$159))</f>
        <v>0</v>
      </c>
      <c r="Y159">
        <f>IF(COUNT($N$146:$N$159)&lt;14,"",MAX($N$146:$N$159))</f>
        <v>0</v>
      </c>
      <c r="Z159">
        <f>IF(OR(N159="",X159="",Y159="",Y159=X159),"",100*(N159-X159)/(Y159-X159))</f>
        <v>0</v>
      </c>
      <c r="AA159">
        <f>IF(COUNT($Z$157:$Z$159)&lt;3,"",AVERAGE($Z$157:$Z$159))</f>
        <v>0</v>
      </c>
      <c r="AB159">
        <f>IF(COUNT($AA$157:$AA$159)&lt;3,"",AVERAGE($AA$157:$AA$159))</f>
        <v>0</v>
      </c>
      <c r="AC159">
        <f>IF($E159="","",MAX($C159-$D159,ABS($C159-$E158),ABS($D159-$E158)))</f>
        <v>0</v>
      </c>
      <c r="AD159">
        <f>IF(COUNT($E$2:$E159)&lt;15,"",AVERAGE($AC$146:$AC$159))</f>
        <v>0</v>
      </c>
      <c r="AE159">
        <f>IF(OR($E159="",$E158=""),"",IF(AND(($C159-$C158)&gt;($D158-$D159),($C159-$C158)&gt;0),$C159-$C158,0))</f>
        <v>0</v>
      </c>
      <c r="AF159">
        <f>IF(OR($E159="",$E158=""),"",IF(AND(($D158-$D159)&gt;($C159-$C158),($D158-$D159)&gt;0),$D158-$D159,0))</f>
        <v>0</v>
      </c>
      <c r="AG159">
        <f>IF(COUNT($E$2:$E159)&lt;15,"",IF(SUM($AC$146:$AC$159)=0,0,100*SUM($AE$146:$AE$159)/SUM($AC$146:$AC$159)))</f>
        <v>0</v>
      </c>
      <c r="AH159">
        <f>IF(COUNT($E$2:$E159)&lt;15,"",IF(SUM($AC$146:$AC$159)=0,0,100*SUM($AF$146:$AF$159)/SUM($AC$146:$AC$159)))</f>
        <v>0</v>
      </c>
      <c r="AI159">
        <f>IF(OR(AG159="",AH159=""),"",IF((AG159+AH159)=0,0,100*ABS(AG159-AH159)/(AG159+AH159)))</f>
        <v>0</v>
      </c>
      <c r="AJ159">
        <f>IF(COUNT($AI$146:$AI$159)&lt;14,"",AVERAGE($AI$146:$AI$159))</f>
        <v>0</v>
      </c>
      <c r="AK159">
        <f>IF(COUNT($E$2:$E159)&lt;20,"",AVERAGE($E$140:$E$159))</f>
        <v>0</v>
      </c>
      <c r="AL159">
        <f>IF(COUNT($E$2:$E159)&lt;20,"",STDEVP($E$140:$E$159))</f>
        <v>0</v>
      </c>
      <c r="AM159">
        <f>IF(AK159="","",AK159+2*AL159)</f>
        <v>0</v>
      </c>
      <c r="AN159">
        <f>IF(AK159="","",AK159-2*AL159)</f>
        <v>0</v>
      </c>
      <c r="AO159">
        <f>IF(OR(AM159="",AN159="",AM159=AN159),"",($E159-AN159)/(AM159-AN159))</f>
        <v>0</v>
      </c>
      <c r="AP159">
        <f>IF(OR(AM159="",AK159="",AK159=0),"",(AM159-AN159)/AK159)</f>
        <v>0</v>
      </c>
      <c r="AQ159">
        <f>IF(COUNT($E$2:$E159)&lt;20,"",MAX($C$140:$C$159))</f>
        <v>0</v>
      </c>
      <c r="AR159">
        <f>IF(COUNT($E$2:$E159)&lt;20,"",MIN($D$140:$D$159))</f>
        <v>0</v>
      </c>
      <c r="AS159">
        <f>IF(OR(AQ159="",AR159=""),"",(AQ159+AR159)/2)</f>
        <v>0</v>
      </c>
      <c r="AT159">
        <f>IF(COUNT($G$140:$G$159)&lt;20,"",STDEV($G$140:$G$159)*SQRT(252))</f>
        <v>0</v>
      </c>
      <c r="AU159">
        <f>IF(COUNT($E$2:$E159)&lt;9,"",(MAX($C$151:$C$159)+MIN($D$151:$D$159))/2)</f>
        <v>0</v>
      </c>
      <c r="AV159">
        <f>IF(COUNT($E$2:$E159)&lt;26,"",(MAX($C$134:$C$159)+MIN($D$134:$D$159))/2)</f>
        <v>0</v>
      </c>
      <c r="AW159">
        <f>IF(OR(AU159="",AV159=""),"",(AU159+AV159)/2)</f>
        <v>0</v>
      </c>
      <c r="AX159">
        <f>IF(COUNT($E$2:$E159)&lt;52,"",(MAX($C$108:$C$159)+MIN($D$108:$D$159))/2)</f>
        <v>0</v>
      </c>
      <c r="AY159">
        <f>IF(COUNT($E$2:$E159)&lt;20,"",MAX($C$60:$C$159))</f>
        <v>0</v>
      </c>
      <c r="AZ159">
        <f>IF(COUNT($E$2:$E159)&lt;20,"",MIN($D$60:$D$159))</f>
        <v>0</v>
      </c>
      <c r="BA159">
        <f>IF(COUNT($E$2:$E159)&lt;20,"",SLOPE($E$60:$E$159,$F$60:$F$159))</f>
        <v>0</v>
      </c>
      <c r="BB159">
        <f>IF(COUNT($E$2:$E159)&lt;20,"",INTERCEPT($E$60:$E$159,$F$60:$F$159))</f>
        <v>0</v>
      </c>
      <c r="BC159">
        <f>IF(OR(BA159="",BB159=""),"",BB159+BA159*F159)</f>
        <v>0</v>
      </c>
      <c r="BD159">
        <f>IF(COUNT($E$2:$E159)&lt;20,"",STEYX($E$60:$E$159,$F$60:$F$159))</f>
        <v>0</v>
      </c>
      <c r="BE159">
        <f>IF($E159="","",IF(AND(COUNT($E$160:$E$163)&gt;=4,$C159=MAX($C$155:$C$163)),$C159,""))</f>
        <v>0</v>
      </c>
      <c r="BF159">
        <f>IF($E159="","",IF(AND(COUNT($E$160:$E$163)&gt;=4,$D159=MIN($D$155:$D$163)),$D159,""))</f>
        <v>0</v>
      </c>
      <c r="BG159">
        <f>IF($A159="","",$A159-WEEKDAY($A159,2)+1)</f>
        <v>0</v>
      </c>
      <c r="BH159">
        <f>IF($A159="","",IF($A158="",1,IF(BG159&lt;&gt;BG158,1,0)))</f>
        <v>0</v>
      </c>
      <c r="BI159">
        <f>IF($A159="","",IF($A160="",1,IF(BG160&lt;&gt;BG159,1,0)))</f>
        <v>0</v>
      </c>
      <c r="BJ159">
        <f>IF($A159="","",IF(BH159=1,$B159,BJ158))</f>
        <v>0</v>
      </c>
      <c r="BK159">
        <f>IF($A159="","",IF(BH159=1,$C159,MAX($C159,BK158)))</f>
        <v>0</v>
      </c>
      <c r="BL159">
        <f>IF($A159="","",IF(BH159=1,$D159,MIN($D159,BL158)))</f>
        <v>0</v>
      </c>
      <c r="BM159">
        <f>IF($A159="","",IF(BI159=1,F159,""))</f>
        <v>0</v>
      </c>
      <c r="BN159">
        <f>IF($A159="","",DATE(YEAR($A159),MONTH($A159),1))</f>
        <v>0</v>
      </c>
      <c r="BO159">
        <f>IF($A159="","",IF($A158="",1,IF(BN159&lt;&gt;BN158,1,0)))</f>
        <v>0</v>
      </c>
      <c r="BP159">
        <f>IF($A159="","",IF($A160="",1,IF(BN160&lt;&gt;BN159,1,0)))</f>
        <v>0</v>
      </c>
      <c r="BQ159">
        <f>IF($A159="","",IF(BO159=1,$B159,BQ158))</f>
        <v>0</v>
      </c>
      <c r="BR159">
        <f>IF($A159="","",IF(BO159=1,$C159,MAX($C159,BR158)))</f>
        <v>0</v>
      </c>
      <c r="BS159">
        <f>IF($A159="","",IF(BO159=1,$D159,MIN($D159,BS158)))</f>
        <v>0</v>
      </c>
      <c r="BT159">
        <f>IF($A159="","",IF(BP159=1,F159,""))</f>
        <v>0</v>
      </c>
    </row>
    <row r="160" spans="1:72">
      <c r="A160" s="27">
        <f>IF(Data!$A160="","",Data!$A160)</f>
        <v>0</v>
      </c>
      <c r="B160">
        <f>IF(Data!$B160="","",Data!$B160)</f>
        <v>0</v>
      </c>
      <c r="C160">
        <f>IF(Data!$C160="","",Data!$C160)</f>
        <v>0</v>
      </c>
      <c r="D160">
        <f>IF(Data!$D160="","",Data!$D160)</f>
        <v>0</v>
      </c>
      <c r="E160">
        <f>IF(Data!$E160="","",Data!$E160)</f>
        <v>0</v>
      </c>
      <c r="F160">
        <f>IF($E160="","",N(F159)+1)</f>
        <v>0</v>
      </c>
      <c r="G160">
        <f>IF(OR($E160="",$E159=""),"",LN($E160/$E159))</f>
        <v>0</v>
      </c>
      <c r="H160">
        <f>IF($E160="","",IF($E159="",$E160,$E160*0.0952380952+H159*0.9047619048))</f>
        <v>0</v>
      </c>
      <c r="I160">
        <f>IF($E160="","",IF($E159="",$E160,$E160*0.0392156863+I159*0.9607843137))</f>
        <v>0</v>
      </c>
      <c r="J160">
        <f>IF($E160="","",IF($E159="",$E160,$E160*0.0198019802+J159*0.9801980198))</f>
        <v>0</v>
      </c>
      <c r="K160">
        <f>IF($E160="","",IF($E159="",$E160,$E160*0.0099502488+K159*0.9900497512))</f>
        <v>0</v>
      </c>
      <c r="L160">
        <f>IF(OR($E160="",$E159=""),"",MAX($E160-$E159,0))</f>
        <v>0</v>
      </c>
      <c r="M160">
        <f>IF(OR($E160="",$E159=""),"",MAX($E159-$E160,0))</f>
        <v>0</v>
      </c>
      <c r="N160">
        <f>IF(COUNT($E$2:$E160)&lt;15,"",IF(AVERAGE($M$147:$M$160)=0,100,100-100/(1+AVERAGE($L$147:$L$160)/AVERAGE($M$147:$M$160))))</f>
        <v>0</v>
      </c>
      <c r="O160">
        <f>IF($E160="","",IF($E159="",$E160,$E160*0.1538461538+O159*0.8461538462))</f>
        <v>0</v>
      </c>
      <c r="P160">
        <f>IF($E160="","",IF($E159="",$E160,$E160*0.0740740741+P159*0.9259259259))</f>
        <v>0</v>
      </c>
      <c r="Q160">
        <f>IF(OR(O160="",P160=""),"",O160-P160)</f>
        <v>0</v>
      </c>
      <c r="R160">
        <f>IF(Q160="","",IF(R159="",Q160,Q160*0.2000000000+R159*0.8000000000))</f>
        <v>0</v>
      </c>
      <c r="S160">
        <f>IF(OR(Q160="",R160=""),"",Q160-R160)</f>
        <v>0</v>
      </c>
      <c r="T160">
        <f>IF(COUNT($E$2:$E160)&lt;14,"",MAX($C$147:$C$160))</f>
        <v>0</v>
      </c>
      <c r="U160">
        <f>IF(COUNT($E$2:$E160)&lt;14,"",MIN($D$147:$D$160))</f>
        <v>0</v>
      </c>
      <c r="V160">
        <f>IF(OR(T160="",U160="",T160=U160),"",100*($E160-U160)/(T160-U160))</f>
        <v>0</v>
      </c>
      <c r="W160">
        <f>IF(COUNT($V$158:$V$160)&lt;3,"",AVERAGE($V$158:$V$160))</f>
        <v>0</v>
      </c>
      <c r="X160">
        <f>IF(COUNT($N$147:$N$160)&lt;14,"",MIN($N$147:$N$160))</f>
        <v>0</v>
      </c>
      <c r="Y160">
        <f>IF(COUNT($N$147:$N$160)&lt;14,"",MAX($N$147:$N$160))</f>
        <v>0</v>
      </c>
      <c r="Z160">
        <f>IF(OR(N160="",X160="",Y160="",Y160=X160),"",100*(N160-X160)/(Y160-X160))</f>
        <v>0</v>
      </c>
      <c r="AA160">
        <f>IF(COUNT($Z$158:$Z$160)&lt;3,"",AVERAGE($Z$158:$Z$160))</f>
        <v>0</v>
      </c>
      <c r="AB160">
        <f>IF(COUNT($AA$158:$AA$160)&lt;3,"",AVERAGE($AA$158:$AA$160))</f>
        <v>0</v>
      </c>
      <c r="AC160">
        <f>IF($E160="","",MAX($C160-$D160,ABS($C160-$E159),ABS($D160-$E159)))</f>
        <v>0</v>
      </c>
      <c r="AD160">
        <f>IF(COUNT($E$2:$E160)&lt;15,"",AVERAGE($AC$147:$AC$160))</f>
        <v>0</v>
      </c>
      <c r="AE160">
        <f>IF(OR($E160="",$E159=""),"",IF(AND(($C160-$C159)&gt;($D159-$D160),($C160-$C159)&gt;0),$C160-$C159,0))</f>
        <v>0</v>
      </c>
      <c r="AF160">
        <f>IF(OR($E160="",$E159=""),"",IF(AND(($D159-$D160)&gt;($C160-$C159),($D159-$D160)&gt;0),$D159-$D160,0))</f>
        <v>0</v>
      </c>
      <c r="AG160">
        <f>IF(COUNT($E$2:$E160)&lt;15,"",IF(SUM($AC$147:$AC$160)=0,0,100*SUM($AE$147:$AE$160)/SUM($AC$147:$AC$160)))</f>
        <v>0</v>
      </c>
      <c r="AH160">
        <f>IF(COUNT($E$2:$E160)&lt;15,"",IF(SUM($AC$147:$AC$160)=0,0,100*SUM($AF$147:$AF$160)/SUM($AC$147:$AC$160)))</f>
        <v>0</v>
      </c>
      <c r="AI160">
        <f>IF(OR(AG160="",AH160=""),"",IF((AG160+AH160)=0,0,100*ABS(AG160-AH160)/(AG160+AH160)))</f>
        <v>0</v>
      </c>
      <c r="AJ160">
        <f>IF(COUNT($AI$147:$AI$160)&lt;14,"",AVERAGE($AI$147:$AI$160))</f>
        <v>0</v>
      </c>
      <c r="AK160">
        <f>IF(COUNT($E$2:$E160)&lt;20,"",AVERAGE($E$141:$E$160))</f>
        <v>0</v>
      </c>
      <c r="AL160">
        <f>IF(COUNT($E$2:$E160)&lt;20,"",STDEVP($E$141:$E$160))</f>
        <v>0</v>
      </c>
      <c r="AM160">
        <f>IF(AK160="","",AK160+2*AL160)</f>
        <v>0</v>
      </c>
      <c r="AN160">
        <f>IF(AK160="","",AK160-2*AL160)</f>
        <v>0</v>
      </c>
      <c r="AO160">
        <f>IF(OR(AM160="",AN160="",AM160=AN160),"",($E160-AN160)/(AM160-AN160))</f>
        <v>0</v>
      </c>
      <c r="AP160">
        <f>IF(OR(AM160="",AK160="",AK160=0),"",(AM160-AN160)/AK160)</f>
        <v>0</v>
      </c>
      <c r="AQ160">
        <f>IF(COUNT($E$2:$E160)&lt;20,"",MAX($C$141:$C$160))</f>
        <v>0</v>
      </c>
      <c r="AR160">
        <f>IF(COUNT($E$2:$E160)&lt;20,"",MIN($D$141:$D$160))</f>
        <v>0</v>
      </c>
      <c r="AS160">
        <f>IF(OR(AQ160="",AR160=""),"",(AQ160+AR160)/2)</f>
        <v>0</v>
      </c>
      <c r="AT160">
        <f>IF(COUNT($G$141:$G$160)&lt;20,"",STDEV($G$141:$G$160)*SQRT(252))</f>
        <v>0</v>
      </c>
      <c r="AU160">
        <f>IF(COUNT($E$2:$E160)&lt;9,"",(MAX($C$152:$C$160)+MIN($D$152:$D$160))/2)</f>
        <v>0</v>
      </c>
      <c r="AV160">
        <f>IF(COUNT($E$2:$E160)&lt;26,"",(MAX($C$135:$C$160)+MIN($D$135:$D$160))/2)</f>
        <v>0</v>
      </c>
      <c r="AW160">
        <f>IF(OR(AU160="",AV160=""),"",(AU160+AV160)/2)</f>
        <v>0</v>
      </c>
      <c r="AX160">
        <f>IF(COUNT($E$2:$E160)&lt;52,"",(MAX($C$109:$C$160)+MIN($D$109:$D$160))/2)</f>
        <v>0</v>
      </c>
      <c r="AY160">
        <f>IF(COUNT($E$2:$E160)&lt;20,"",MAX($C$61:$C$160))</f>
        <v>0</v>
      </c>
      <c r="AZ160">
        <f>IF(COUNT($E$2:$E160)&lt;20,"",MIN($D$61:$D$160))</f>
        <v>0</v>
      </c>
      <c r="BA160">
        <f>IF(COUNT($E$2:$E160)&lt;20,"",SLOPE($E$61:$E$160,$F$61:$F$160))</f>
        <v>0</v>
      </c>
      <c r="BB160">
        <f>IF(COUNT($E$2:$E160)&lt;20,"",INTERCEPT($E$61:$E$160,$F$61:$F$160))</f>
        <v>0</v>
      </c>
      <c r="BC160">
        <f>IF(OR(BA160="",BB160=""),"",BB160+BA160*F160)</f>
        <v>0</v>
      </c>
      <c r="BD160">
        <f>IF(COUNT($E$2:$E160)&lt;20,"",STEYX($E$61:$E$160,$F$61:$F$160))</f>
        <v>0</v>
      </c>
      <c r="BE160">
        <f>IF($E160="","",IF(AND(COUNT($E$161:$E$164)&gt;=4,$C160=MAX($C$156:$C$164)),$C160,""))</f>
        <v>0</v>
      </c>
      <c r="BF160">
        <f>IF($E160="","",IF(AND(COUNT($E$161:$E$164)&gt;=4,$D160=MIN($D$156:$D$164)),$D160,""))</f>
        <v>0</v>
      </c>
      <c r="BG160">
        <f>IF($A160="","",$A160-WEEKDAY($A160,2)+1)</f>
        <v>0</v>
      </c>
      <c r="BH160">
        <f>IF($A160="","",IF($A159="",1,IF(BG160&lt;&gt;BG159,1,0)))</f>
        <v>0</v>
      </c>
      <c r="BI160">
        <f>IF($A160="","",IF($A161="",1,IF(BG161&lt;&gt;BG160,1,0)))</f>
        <v>0</v>
      </c>
      <c r="BJ160">
        <f>IF($A160="","",IF(BH160=1,$B160,BJ159))</f>
        <v>0</v>
      </c>
      <c r="BK160">
        <f>IF($A160="","",IF(BH160=1,$C160,MAX($C160,BK159)))</f>
        <v>0</v>
      </c>
      <c r="BL160">
        <f>IF($A160="","",IF(BH160=1,$D160,MIN($D160,BL159)))</f>
        <v>0</v>
      </c>
      <c r="BM160">
        <f>IF($A160="","",IF(BI160=1,F160,""))</f>
        <v>0</v>
      </c>
      <c r="BN160">
        <f>IF($A160="","",DATE(YEAR($A160),MONTH($A160),1))</f>
        <v>0</v>
      </c>
      <c r="BO160">
        <f>IF($A160="","",IF($A159="",1,IF(BN160&lt;&gt;BN159,1,0)))</f>
        <v>0</v>
      </c>
      <c r="BP160">
        <f>IF($A160="","",IF($A161="",1,IF(BN161&lt;&gt;BN160,1,0)))</f>
        <v>0</v>
      </c>
      <c r="BQ160">
        <f>IF($A160="","",IF(BO160=1,$B160,BQ159))</f>
        <v>0</v>
      </c>
      <c r="BR160">
        <f>IF($A160="","",IF(BO160=1,$C160,MAX($C160,BR159)))</f>
        <v>0</v>
      </c>
      <c r="BS160">
        <f>IF($A160="","",IF(BO160=1,$D160,MIN($D160,BS159)))</f>
        <v>0</v>
      </c>
      <c r="BT160">
        <f>IF($A160="","",IF(BP160=1,F160,""))</f>
        <v>0</v>
      </c>
    </row>
    <row r="161" spans="1:72">
      <c r="A161" s="27">
        <f>IF(Data!$A161="","",Data!$A161)</f>
        <v>0</v>
      </c>
      <c r="B161">
        <f>IF(Data!$B161="","",Data!$B161)</f>
        <v>0</v>
      </c>
      <c r="C161">
        <f>IF(Data!$C161="","",Data!$C161)</f>
        <v>0</v>
      </c>
      <c r="D161">
        <f>IF(Data!$D161="","",Data!$D161)</f>
        <v>0</v>
      </c>
      <c r="E161">
        <f>IF(Data!$E161="","",Data!$E161)</f>
        <v>0</v>
      </c>
      <c r="F161">
        <f>IF($E161="","",N(F160)+1)</f>
        <v>0</v>
      </c>
      <c r="G161">
        <f>IF(OR($E161="",$E160=""),"",LN($E161/$E160))</f>
        <v>0</v>
      </c>
      <c r="H161">
        <f>IF($E161="","",IF($E160="",$E161,$E161*0.0952380952+H160*0.9047619048))</f>
        <v>0</v>
      </c>
      <c r="I161">
        <f>IF($E161="","",IF($E160="",$E161,$E161*0.0392156863+I160*0.9607843137))</f>
        <v>0</v>
      </c>
      <c r="J161">
        <f>IF($E161="","",IF($E160="",$E161,$E161*0.0198019802+J160*0.9801980198))</f>
        <v>0</v>
      </c>
      <c r="K161">
        <f>IF($E161="","",IF($E160="",$E161,$E161*0.0099502488+K160*0.9900497512))</f>
        <v>0</v>
      </c>
      <c r="L161">
        <f>IF(OR($E161="",$E160=""),"",MAX($E161-$E160,0))</f>
        <v>0</v>
      </c>
      <c r="M161">
        <f>IF(OR($E161="",$E160=""),"",MAX($E160-$E161,0))</f>
        <v>0</v>
      </c>
      <c r="N161">
        <f>IF(COUNT($E$2:$E161)&lt;15,"",IF(AVERAGE($M$148:$M$161)=0,100,100-100/(1+AVERAGE($L$148:$L$161)/AVERAGE($M$148:$M$161))))</f>
        <v>0</v>
      </c>
      <c r="O161">
        <f>IF($E161="","",IF($E160="",$E161,$E161*0.1538461538+O160*0.8461538462))</f>
        <v>0</v>
      </c>
      <c r="P161">
        <f>IF($E161="","",IF($E160="",$E161,$E161*0.0740740741+P160*0.9259259259))</f>
        <v>0</v>
      </c>
      <c r="Q161">
        <f>IF(OR(O161="",P161=""),"",O161-P161)</f>
        <v>0</v>
      </c>
      <c r="R161">
        <f>IF(Q161="","",IF(R160="",Q161,Q161*0.2000000000+R160*0.8000000000))</f>
        <v>0</v>
      </c>
      <c r="S161">
        <f>IF(OR(Q161="",R161=""),"",Q161-R161)</f>
        <v>0</v>
      </c>
      <c r="T161">
        <f>IF(COUNT($E$2:$E161)&lt;14,"",MAX($C$148:$C$161))</f>
        <v>0</v>
      </c>
      <c r="U161">
        <f>IF(COUNT($E$2:$E161)&lt;14,"",MIN($D$148:$D$161))</f>
        <v>0</v>
      </c>
      <c r="V161">
        <f>IF(OR(T161="",U161="",T161=U161),"",100*($E161-U161)/(T161-U161))</f>
        <v>0</v>
      </c>
      <c r="W161">
        <f>IF(COUNT($V$159:$V$161)&lt;3,"",AVERAGE($V$159:$V$161))</f>
        <v>0</v>
      </c>
      <c r="X161">
        <f>IF(COUNT($N$148:$N$161)&lt;14,"",MIN($N$148:$N$161))</f>
        <v>0</v>
      </c>
      <c r="Y161">
        <f>IF(COUNT($N$148:$N$161)&lt;14,"",MAX($N$148:$N$161))</f>
        <v>0</v>
      </c>
      <c r="Z161">
        <f>IF(OR(N161="",X161="",Y161="",Y161=X161),"",100*(N161-X161)/(Y161-X161))</f>
        <v>0</v>
      </c>
      <c r="AA161">
        <f>IF(COUNT($Z$159:$Z$161)&lt;3,"",AVERAGE($Z$159:$Z$161))</f>
        <v>0</v>
      </c>
      <c r="AB161">
        <f>IF(COUNT($AA$159:$AA$161)&lt;3,"",AVERAGE($AA$159:$AA$161))</f>
        <v>0</v>
      </c>
      <c r="AC161">
        <f>IF($E161="","",MAX($C161-$D161,ABS($C161-$E160),ABS($D161-$E160)))</f>
        <v>0</v>
      </c>
      <c r="AD161">
        <f>IF(COUNT($E$2:$E161)&lt;15,"",AVERAGE($AC$148:$AC$161))</f>
        <v>0</v>
      </c>
      <c r="AE161">
        <f>IF(OR($E161="",$E160=""),"",IF(AND(($C161-$C160)&gt;($D160-$D161),($C161-$C160)&gt;0),$C161-$C160,0))</f>
        <v>0</v>
      </c>
      <c r="AF161">
        <f>IF(OR($E161="",$E160=""),"",IF(AND(($D160-$D161)&gt;($C161-$C160),($D160-$D161)&gt;0),$D160-$D161,0))</f>
        <v>0</v>
      </c>
      <c r="AG161">
        <f>IF(COUNT($E$2:$E161)&lt;15,"",IF(SUM($AC$148:$AC$161)=0,0,100*SUM($AE$148:$AE$161)/SUM($AC$148:$AC$161)))</f>
        <v>0</v>
      </c>
      <c r="AH161">
        <f>IF(COUNT($E$2:$E161)&lt;15,"",IF(SUM($AC$148:$AC$161)=0,0,100*SUM($AF$148:$AF$161)/SUM($AC$148:$AC$161)))</f>
        <v>0</v>
      </c>
      <c r="AI161">
        <f>IF(OR(AG161="",AH161=""),"",IF((AG161+AH161)=0,0,100*ABS(AG161-AH161)/(AG161+AH161)))</f>
        <v>0</v>
      </c>
      <c r="AJ161">
        <f>IF(COUNT($AI$148:$AI$161)&lt;14,"",AVERAGE($AI$148:$AI$161))</f>
        <v>0</v>
      </c>
      <c r="AK161">
        <f>IF(COUNT($E$2:$E161)&lt;20,"",AVERAGE($E$142:$E$161))</f>
        <v>0</v>
      </c>
      <c r="AL161">
        <f>IF(COUNT($E$2:$E161)&lt;20,"",STDEVP($E$142:$E$161))</f>
        <v>0</v>
      </c>
      <c r="AM161">
        <f>IF(AK161="","",AK161+2*AL161)</f>
        <v>0</v>
      </c>
      <c r="AN161">
        <f>IF(AK161="","",AK161-2*AL161)</f>
        <v>0</v>
      </c>
      <c r="AO161">
        <f>IF(OR(AM161="",AN161="",AM161=AN161),"",($E161-AN161)/(AM161-AN161))</f>
        <v>0</v>
      </c>
      <c r="AP161">
        <f>IF(OR(AM161="",AK161="",AK161=0),"",(AM161-AN161)/AK161)</f>
        <v>0</v>
      </c>
      <c r="AQ161">
        <f>IF(COUNT($E$2:$E161)&lt;20,"",MAX($C$142:$C$161))</f>
        <v>0</v>
      </c>
      <c r="AR161">
        <f>IF(COUNT($E$2:$E161)&lt;20,"",MIN($D$142:$D$161))</f>
        <v>0</v>
      </c>
      <c r="AS161">
        <f>IF(OR(AQ161="",AR161=""),"",(AQ161+AR161)/2)</f>
        <v>0</v>
      </c>
      <c r="AT161">
        <f>IF(COUNT($G$142:$G$161)&lt;20,"",STDEV($G$142:$G$161)*SQRT(252))</f>
        <v>0</v>
      </c>
      <c r="AU161">
        <f>IF(COUNT($E$2:$E161)&lt;9,"",(MAX($C$153:$C$161)+MIN($D$153:$D$161))/2)</f>
        <v>0</v>
      </c>
      <c r="AV161">
        <f>IF(COUNT($E$2:$E161)&lt;26,"",(MAX($C$136:$C$161)+MIN($D$136:$D$161))/2)</f>
        <v>0</v>
      </c>
      <c r="AW161">
        <f>IF(OR(AU161="",AV161=""),"",(AU161+AV161)/2)</f>
        <v>0</v>
      </c>
      <c r="AX161">
        <f>IF(COUNT($E$2:$E161)&lt;52,"",(MAX($C$110:$C$161)+MIN($D$110:$D$161))/2)</f>
        <v>0</v>
      </c>
      <c r="AY161">
        <f>IF(COUNT($E$2:$E161)&lt;20,"",MAX($C$62:$C$161))</f>
        <v>0</v>
      </c>
      <c r="AZ161">
        <f>IF(COUNT($E$2:$E161)&lt;20,"",MIN($D$62:$D$161))</f>
        <v>0</v>
      </c>
      <c r="BA161">
        <f>IF(COUNT($E$2:$E161)&lt;20,"",SLOPE($E$62:$E$161,$F$62:$F$161))</f>
        <v>0</v>
      </c>
      <c r="BB161">
        <f>IF(COUNT($E$2:$E161)&lt;20,"",INTERCEPT($E$62:$E$161,$F$62:$F$161))</f>
        <v>0</v>
      </c>
      <c r="BC161">
        <f>IF(OR(BA161="",BB161=""),"",BB161+BA161*F161)</f>
        <v>0</v>
      </c>
      <c r="BD161">
        <f>IF(COUNT($E$2:$E161)&lt;20,"",STEYX($E$62:$E$161,$F$62:$F$161))</f>
        <v>0</v>
      </c>
      <c r="BE161">
        <f>IF($E161="","",IF(AND(COUNT($E$162:$E$165)&gt;=4,$C161=MAX($C$157:$C$165)),$C161,""))</f>
        <v>0</v>
      </c>
      <c r="BF161">
        <f>IF($E161="","",IF(AND(COUNT($E$162:$E$165)&gt;=4,$D161=MIN($D$157:$D$165)),$D161,""))</f>
        <v>0</v>
      </c>
      <c r="BG161">
        <f>IF($A161="","",$A161-WEEKDAY($A161,2)+1)</f>
        <v>0</v>
      </c>
      <c r="BH161">
        <f>IF($A161="","",IF($A160="",1,IF(BG161&lt;&gt;BG160,1,0)))</f>
        <v>0</v>
      </c>
      <c r="BI161">
        <f>IF($A161="","",IF($A162="",1,IF(BG162&lt;&gt;BG161,1,0)))</f>
        <v>0</v>
      </c>
      <c r="BJ161">
        <f>IF($A161="","",IF(BH161=1,$B161,BJ160))</f>
        <v>0</v>
      </c>
      <c r="BK161">
        <f>IF($A161="","",IF(BH161=1,$C161,MAX($C161,BK160)))</f>
        <v>0</v>
      </c>
      <c r="BL161">
        <f>IF($A161="","",IF(BH161=1,$D161,MIN($D161,BL160)))</f>
        <v>0</v>
      </c>
      <c r="BM161">
        <f>IF($A161="","",IF(BI161=1,F161,""))</f>
        <v>0</v>
      </c>
      <c r="BN161">
        <f>IF($A161="","",DATE(YEAR($A161),MONTH($A161),1))</f>
        <v>0</v>
      </c>
      <c r="BO161">
        <f>IF($A161="","",IF($A160="",1,IF(BN161&lt;&gt;BN160,1,0)))</f>
        <v>0</v>
      </c>
      <c r="BP161">
        <f>IF($A161="","",IF($A162="",1,IF(BN162&lt;&gt;BN161,1,0)))</f>
        <v>0</v>
      </c>
      <c r="BQ161">
        <f>IF($A161="","",IF(BO161=1,$B161,BQ160))</f>
        <v>0</v>
      </c>
      <c r="BR161">
        <f>IF($A161="","",IF(BO161=1,$C161,MAX($C161,BR160)))</f>
        <v>0</v>
      </c>
      <c r="BS161">
        <f>IF($A161="","",IF(BO161=1,$D161,MIN($D161,BS160)))</f>
        <v>0</v>
      </c>
      <c r="BT161">
        <f>IF($A161="","",IF(BP161=1,F161,""))</f>
        <v>0</v>
      </c>
    </row>
    <row r="162" spans="1:72">
      <c r="A162" s="27">
        <f>IF(Data!$A162="","",Data!$A162)</f>
        <v>0</v>
      </c>
      <c r="B162">
        <f>IF(Data!$B162="","",Data!$B162)</f>
        <v>0</v>
      </c>
      <c r="C162">
        <f>IF(Data!$C162="","",Data!$C162)</f>
        <v>0</v>
      </c>
      <c r="D162">
        <f>IF(Data!$D162="","",Data!$D162)</f>
        <v>0</v>
      </c>
      <c r="E162">
        <f>IF(Data!$E162="","",Data!$E162)</f>
        <v>0</v>
      </c>
      <c r="F162">
        <f>IF($E162="","",N(F161)+1)</f>
        <v>0</v>
      </c>
      <c r="G162">
        <f>IF(OR($E162="",$E161=""),"",LN($E162/$E161))</f>
        <v>0</v>
      </c>
      <c r="H162">
        <f>IF($E162="","",IF($E161="",$E162,$E162*0.0952380952+H161*0.9047619048))</f>
        <v>0</v>
      </c>
      <c r="I162">
        <f>IF($E162="","",IF($E161="",$E162,$E162*0.0392156863+I161*0.9607843137))</f>
        <v>0</v>
      </c>
      <c r="J162">
        <f>IF($E162="","",IF($E161="",$E162,$E162*0.0198019802+J161*0.9801980198))</f>
        <v>0</v>
      </c>
      <c r="K162">
        <f>IF($E162="","",IF($E161="",$E162,$E162*0.0099502488+K161*0.9900497512))</f>
        <v>0</v>
      </c>
      <c r="L162">
        <f>IF(OR($E162="",$E161=""),"",MAX($E162-$E161,0))</f>
        <v>0</v>
      </c>
      <c r="M162">
        <f>IF(OR($E162="",$E161=""),"",MAX($E161-$E162,0))</f>
        <v>0</v>
      </c>
      <c r="N162">
        <f>IF(COUNT($E$2:$E162)&lt;15,"",IF(AVERAGE($M$149:$M$162)=0,100,100-100/(1+AVERAGE($L$149:$L$162)/AVERAGE($M$149:$M$162))))</f>
        <v>0</v>
      </c>
      <c r="O162">
        <f>IF($E162="","",IF($E161="",$E162,$E162*0.1538461538+O161*0.8461538462))</f>
        <v>0</v>
      </c>
      <c r="P162">
        <f>IF($E162="","",IF($E161="",$E162,$E162*0.0740740741+P161*0.9259259259))</f>
        <v>0</v>
      </c>
      <c r="Q162">
        <f>IF(OR(O162="",P162=""),"",O162-P162)</f>
        <v>0</v>
      </c>
      <c r="R162">
        <f>IF(Q162="","",IF(R161="",Q162,Q162*0.2000000000+R161*0.8000000000))</f>
        <v>0</v>
      </c>
      <c r="S162">
        <f>IF(OR(Q162="",R162=""),"",Q162-R162)</f>
        <v>0</v>
      </c>
      <c r="T162">
        <f>IF(COUNT($E$2:$E162)&lt;14,"",MAX($C$149:$C$162))</f>
        <v>0</v>
      </c>
      <c r="U162">
        <f>IF(COUNT($E$2:$E162)&lt;14,"",MIN($D$149:$D$162))</f>
        <v>0</v>
      </c>
      <c r="V162">
        <f>IF(OR(T162="",U162="",T162=U162),"",100*($E162-U162)/(T162-U162))</f>
        <v>0</v>
      </c>
      <c r="W162">
        <f>IF(COUNT($V$160:$V$162)&lt;3,"",AVERAGE($V$160:$V$162))</f>
        <v>0</v>
      </c>
      <c r="X162">
        <f>IF(COUNT($N$149:$N$162)&lt;14,"",MIN($N$149:$N$162))</f>
        <v>0</v>
      </c>
      <c r="Y162">
        <f>IF(COUNT($N$149:$N$162)&lt;14,"",MAX($N$149:$N$162))</f>
        <v>0</v>
      </c>
      <c r="Z162">
        <f>IF(OR(N162="",X162="",Y162="",Y162=X162),"",100*(N162-X162)/(Y162-X162))</f>
        <v>0</v>
      </c>
      <c r="AA162">
        <f>IF(COUNT($Z$160:$Z$162)&lt;3,"",AVERAGE($Z$160:$Z$162))</f>
        <v>0</v>
      </c>
      <c r="AB162">
        <f>IF(COUNT($AA$160:$AA$162)&lt;3,"",AVERAGE($AA$160:$AA$162))</f>
        <v>0</v>
      </c>
      <c r="AC162">
        <f>IF($E162="","",MAX($C162-$D162,ABS($C162-$E161),ABS($D162-$E161)))</f>
        <v>0</v>
      </c>
      <c r="AD162">
        <f>IF(COUNT($E$2:$E162)&lt;15,"",AVERAGE($AC$149:$AC$162))</f>
        <v>0</v>
      </c>
      <c r="AE162">
        <f>IF(OR($E162="",$E161=""),"",IF(AND(($C162-$C161)&gt;($D161-$D162),($C162-$C161)&gt;0),$C162-$C161,0))</f>
        <v>0</v>
      </c>
      <c r="AF162">
        <f>IF(OR($E162="",$E161=""),"",IF(AND(($D161-$D162)&gt;($C162-$C161),($D161-$D162)&gt;0),$D161-$D162,0))</f>
        <v>0</v>
      </c>
      <c r="AG162">
        <f>IF(COUNT($E$2:$E162)&lt;15,"",IF(SUM($AC$149:$AC$162)=0,0,100*SUM($AE$149:$AE$162)/SUM($AC$149:$AC$162)))</f>
        <v>0</v>
      </c>
      <c r="AH162">
        <f>IF(COUNT($E$2:$E162)&lt;15,"",IF(SUM($AC$149:$AC$162)=0,0,100*SUM($AF$149:$AF$162)/SUM($AC$149:$AC$162)))</f>
        <v>0</v>
      </c>
      <c r="AI162">
        <f>IF(OR(AG162="",AH162=""),"",IF((AG162+AH162)=0,0,100*ABS(AG162-AH162)/(AG162+AH162)))</f>
        <v>0</v>
      </c>
      <c r="AJ162">
        <f>IF(COUNT($AI$149:$AI$162)&lt;14,"",AVERAGE($AI$149:$AI$162))</f>
        <v>0</v>
      </c>
      <c r="AK162">
        <f>IF(COUNT($E$2:$E162)&lt;20,"",AVERAGE($E$143:$E$162))</f>
        <v>0</v>
      </c>
      <c r="AL162">
        <f>IF(COUNT($E$2:$E162)&lt;20,"",STDEVP($E$143:$E$162))</f>
        <v>0</v>
      </c>
      <c r="AM162">
        <f>IF(AK162="","",AK162+2*AL162)</f>
        <v>0</v>
      </c>
      <c r="AN162">
        <f>IF(AK162="","",AK162-2*AL162)</f>
        <v>0</v>
      </c>
      <c r="AO162">
        <f>IF(OR(AM162="",AN162="",AM162=AN162),"",($E162-AN162)/(AM162-AN162))</f>
        <v>0</v>
      </c>
      <c r="AP162">
        <f>IF(OR(AM162="",AK162="",AK162=0),"",(AM162-AN162)/AK162)</f>
        <v>0</v>
      </c>
      <c r="AQ162">
        <f>IF(COUNT($E$2:$E162)&lt;20,"",MAX($C$143:$C$162))</f>
        <v>0</v>
      </c>
      <c r="AR162">
        <f>IF(COUNT($E$2:$E162)&lt;20,"",MIN($D$143:$D$162))</f>
        <v>0</v>
      </c>
      <c r="AS162">
        <f>IF(OR(AQ162="",AR162=""),"",(AQ162+AR162)/2)</f>
        <v>0</v>
      </c>
      <c r="AT162">
        <f>IF(COUNT($G$143:$G$162)&lt;20,"",STDEV($G$143:$G$162)*SQRT(252))</f>
        <v>0</v>
      </c>
      <c r="AU162">
        <f>IF(COUNT($E$2:$E162)&lt;9,"",(MAX($C$154:$C$162)+MIN($D$154:$D$162))/2)</f>
        <v>0</v>
      </c>
      <c r="AV162">
        <f>IF(COUNT($E$2:$E162)&lt;26,"",(MAX($C$137:$C$162)+MIN($D$137:$D$162))/2)</f>
        <v>0</v>
      </c>
      <c r="AW162">
        <f>IF(OR(AU162="",AV162=""),"",(AU162+AV162)/2)</f>
        <v>0</v>
      </c>
      <c r="AX162">
        <f>IF(COUNT($E$2:$E162)&lt;52,"",(MAX($C$111:$C$162)+MIN($D$111:$D$162))/2)</f>
        <v>0</v>
      </c>
      <c r="AY162">
        <f>IF(COUNT($E$2:$E162)&lt;20,"",MAX($C$63:$C$162))</f>
        <v>0</v>
      </c>
      <c r="AZ162">
        <f>IF(COUNT($E$2:$E162)&lt;20,"",MIN($D$63:$D$162))</f>
        <v>0</v>
      </c>
      <c r="BA162">
        <f>IF(COUNT($E$2:$E162)&lt;20,"",SLOPE($E$63:$E$162,$F$63:$F$162))</f>
        <v>0</v>
      </c>
      <c r="BB162">
        <f>IF(COUNT($E$2:$E162)&lt;20,"",INTERCEPT($E$63:$E$162,$F$63:$F$162))</f>
        <v>0</v>
      </c>
      <c r="BC162">
        <f>IF(OR(BA162="",BB162=""),"",BB162+BA162*F162)</f>
        <v>0</v>
      </c>
      <c r="BD162">
        <f>IF(COUNT($E$2:$E162)&lt;20,"",STEYX($E$63:$E$162,$F$63:$F$162))</f>
        <v>0</v>
      </c>
      <c r="BE162">
        <f>IF($E162="","",IF(AND(COUNT($E$163:$E$166)&gt;=4,$C162=MAX($C$158:$C$166)),$C162,""))</f>
        <v>0</v>
      </c>
      <c r="BF162">
        <f>IF($E162="","",IF(AND(COUNT($E$163:$E$166)&gt;=4,$D162=MIN($D$158:$D$166)),$D162,""))</f>
        <v>0</v>
      </c>
      <c r="BG162">
        <f>IF($A162="","",$A162-WEEKDAY($A162,2)+1)</f>
        <v>0</v>
      </c>
      <c r="BH162">
        <f>IF($A162="","",IF($A161="",1,IF(BG162&lt;&gt;BG161,1,0)))</f>
        <v>0</v>
      </c>
      <c r="BI162">
        <f>IF($A162="","",IF($A163="",1,IF(BG163&lt;&gt;BG162,1,0)))</f>
        <v>0</v>
      </c>
      <c r="BJ162">
        <f>IF($A162="","",IF(BH162=1,$B162,BJ161))</f>
        <v>0</v>
      </c>
      <c r="BK162">
        <f>IF($A162="","",IF(BH162=1,$C162,MAX($C162,BK161)))</f>
        <v>0</v>
      </c>
      <c r="BL162">
        <f>IF($A162="","",IF(BH162=1,$D162,MIN($D162,BL161)))</f>
        <v>0</v>
      </c>
      <c r="BM162">
        <f>IF($A162="","",IF(BI162=1,F162,""))</f>
        <v>0</v>
      </c>
      <c r="BN162">
        <f>IF($A162="","",DATE(YEAR($A162),MONTH($A162),1))</f>
        <v>0</v>
      </c>
      <c r="BO162">
        <f>IF($A162="","",IF($A161="",1,IF(BN162&lt;&gt;BN161,1,0)))</f>
        <v>0</v>
      </c>
      <c r="BP162">
        <f>IF($A162="","",IF($A163="",1,IF(BN163&lt;&gt;BN162,1,0)))</f>
        <v>0</v>
      </c>
      <c r="BQ162">
        <f>IF($A162="","",IF(BO162=1,$B162,BQ161))</f>
        <v>0</v>
      </c>
      <c r="BR162">
        <f>IF($A162="","",IF(BO162=1,$C162,MAX($C162,BR161)))</f>
        <v>0</v>
      </c>
      <c r="BS162">
        <f>IF($A162="","",IF(BO162=1,$D162,MIN($D162,BS161)))</f>
        <v>0</v>
      </c>
      <c r="BT162">
        <f>IF($A162="","",IF(BP162=1,F162,""))</f>
        <v>0</v>
      </c>
    </row>
    <row r="163" spans="1:72">
      <c r="A163" s="27">
        <f>IF(Data!$A163="","",Data!$A163)</f>
        <v>0</v>
      </c>
      <c r="B163">
        <f>IF(Data!$B163="","",Data!$B163)</f>
        <v>0</v>
      </c>
      <c r="C163">
        <f>IF(Data!$C163="","",Data!$C163)</f>
        <v>0</v>
      </c>
      <c r="D163">
        <f>IF(Data!$D163="","",Data!$D163)</f>
        <v>0</v>
      </c>
      <c r="E163">
        <f>IF(Data!$E163="","",Data!$E163)</f>
        <v>0</v>
      </c>
      <c r="F163">
        <f>IF($E163="","",N(F162)+1)</f>
        <v>0</v>
      </c>
      <c r="G163">
        <f>IF(OR($E163="",$E162=""),"",LN($E163/$E162))</f>
        <v>0</v>
      </c>
      <c r="H163">
        <f>IF($E163="","",IF($E162="",$E163,$E163*0.0952380952+H162*0.9047619048))</f>
        <v>0</v>
      </c>
      <c r="I163">
        <f>IF($E163="","",IF($E162="",$E163,$E163*0.0392156863+I162*0.9607843137))</f>
        <v>0</v>
      </c>
      <c r="J163">
        <f>IF($E163="","",IF($E162="",$E163,$E163*0.0198019802+J162*0.9801980198))</f>
        <v>0</v>
      </c>
      <c r="K163">
        <f>IF($E163="","",IF($E162="",$E163,$E163*0.0099502488+K162*0.9900497512))</f>
        <v>0</v>
      </c>
      <c r="L163">
        <f>IF(OR($E163="",$E162=""),"",MAX($E163-$E162,0))</f>
        <v>0</v>
      </c>
      <c r="M163">
        <f>IF(OR($E163="",$E162=""),"",MAX($E162-$E163,0))</f>
        <v>0</v>
      </c>
      <c r="N163">
        <f>IF(COUNT($E$2:$E163)&lt;15,"",IF(AVERAGE($M$150:$M$163)=0,100,100-100/(1+AVERAGE($L$150:$L$163)/AVERAGE($M$150:$M$163))))</f>
        <v>0</v>
      </c>
      <c r="O163">
        <f>IF($E163="","",IF($E162="",$E163,$E163*0.1538461538+O162*0.8461538462))</f>
        <v>0</v>
      </c>
      <c r="P163">
        <f>IF($E163="","",IF($E162="",$E163,$E163*0.0740740741+P162*0.9259259259))</f>
        <v>0</v>
      </c>
      <c r="Q163">
        <f>IF(OR(O163="",P163=""),"",O163-P163)</f>
        <v>0</v>
      </c>
      <c r="R163">
        <f>IF(Q163="","",IF(R162="",Q163,Q163*0.2000000000+R162*0.8000000000))</f>
        <v>0</v>
      </c>
      <c r="S163">
        <f>IF(OR(Q163="",R163=""),"",Q163-R163)</f>
        <v>0</v>
      </c>
      <c r="T163">
        <f>IF(COUNT($E$2:$E163)&lt;14,"",MAX($C$150:$C$163))</f>
        <v>0</v>
      </c>
      <c r="U163">
        <f>IF(COUNT($E$2:$E163)&lt;14,"",MIN($D$150:$D$163))</f>
        <v>0</v>
      </c>
      <c r="V163">
        <f>IF(OR(T163="",U163="",T163=U163),"",100*($E163-U163)/(T163-U163))</f>
        <v>0</v>
      </c>
      <c r="W163">
        <f>IF(COUNT($V$161:$V$163)&lt;3,"",AVERAGE($V$161:$V$163))</f>
        <v>0</v>
      </c>
      <c r="X163">
        <f>IF(COUNT($N$150:$N$163)&lt;14,"",MIN($N$150:$N$163))</f>
        <v>0</v>
      </c>
      <c r="Y163">
        <f>IF(COUNT($N$150:$N$163)&lt;14,"",MAX($N$150:$N$163))</f>
        <v>0</v>
      </c>
      <c r="Z163">
        <f>IF(OR(N163="",X163="",Y163="",Y163=X163),"",100*(N163-X163)/(Y163-X163))</f>
        <v>0</v>
      </c>
      <c r="AA163">
        <f>IF(COUNT($Z$161:$Z$163)&lt;3,"",AVERAGE($Z$161:$Z$163))</f>
        <v>0</v>
      </c>
      <c r="AB163">
        <f>IF(COUNT($AA$161:$AA$163)&lt;3,"",AVERAGE($AA$161:$AA$163))</f>
        <v>0</v>
      </c>
      <c r="AC163">
        <f>IF($E163="","",MAX($C163-$D163,ABS($C163-$E162),ABS($D163-$E162)))</f>
        <v>0</v>
      </c>
      <c r="AD163">
        <f>IF(COUNT($E$2:$E163)&lt;15,"",AVERAGE($AC$150:$AC$163))</f>
        <v>0</v>
      </c>
      <c r="AE163">
        <f>IF(OR($E163="",$E162=""),"",IF(AND(($C163-$C162)&gt;($D162-$D163),($C163-$C162)&gt;0),$C163-$C162,0))</f>
        <v>0</v>
      </c>
      <c r="AF163">
        <f>IF(OR($E163="",$E162=""),"",IF(AND(($D162-$D163)&gt;($C163-$C162),($D162-$D163)&gt;0),$D162-$D163,0))</f>
        <v>0</v>
      </c>
      <c r="AG163">
        <f>IF(COUNT($E$2:$E163)&lt;15,"",IF(SUM($AC$150:$AC$163)=0,0,100*SUM($AE$150:$AE$163)/SUM($AC$150:$AC$163)))</f>
        <v>0</v>
      </c>
      <c r="AH163">
        <f>IF(COUNT($E$2:$E163)&lt;15,"",IF(SUM($AC$150:$AC$163)=0,0,100*SUM($AF$150:$AF$163)/SUM($AC$150:$AC$163)))</f>
        <v>0</v>
      </c>
      <c r="AI163">
        <f>IF(OR(AG163="",AH163=""),"",IF((AG163+AH163)=0,0,100*ABS(AG163-AH163)/(AG163+AH163)))</f>
        <v>0</v>
      </c>
      <c r="AJ163">
        <f>IF(COUNT($AI$150:$AI$163)&lt;14,"",AVERAGE($AI$150:$AI$163))</f>
        <v>0</v>
      </c>
      <c r="AK163">
        <f>IF(COUNT($E$2:$E163)&lt;20,"",AVERAGE($E$144:$E$163))</f>
        <v>0</v>
      </c>
      <c r="AL163">
        <f>IF(COUNT($E$2:$E163)&lt;20,"",STDEVP($E$144:$E$163))</f>
        <v>0</v>
      </c>
      <c r="AM163">
        <f>IF(AK163="","",AK163+2*AL163)</f>
        <v>0</v>
      </c>
      <c r="AN163">
        <f>IF(AK163="","",AK163-2*AL163)</f>
        <v>0</v>
      </c>
      <c r="AO163">
        <f>IF(OR(AM163="",AN163="",AM163=AN163),"",($E163-AN163)/(AM163-AN163))</f>
        <v>0</v>
      </c>
      <c r="AP163">
        <f>IF(OR(AM163="",AK163="",AK163=0),"",(AM163-AN163)/AK163)</f>
        <v>0</v>
      </c>
      <c r="AQ163">
        <f>IF(COUNT($E$2:$E163)&lt;20,"",MAX($C$144:$C$163))</f>
        <v>0</v>
      </c>
      <c r="AR163">
        <f>IF(COUNT($E$2:$E163)&lt;20,"",MIN($D$144:$D$163))</f>
        <v>0</v>
      </c>
      <c r="AS163">
        <f>IF(OR(AQ163="",AR163=""),"",(AQ163+AR163)/2)</f>
        <v>0</v>
      </c>
      <c r="AT163">
        <f>IF(COUNT($G$144:$G$163)&lt;20,"",STDEV($G$144:$G$163)*SQRT(252))</f>
        <v>0</v>
      </c>
      <c r="AU163">
        <f>IF(COUNT($E$2:$E163)&lt;9,"",(MAX($C$155:$C$163)+MIN($D$155:$D$163))/2)</f>
        <v>0</v>
      </c>
      <c r="AV163">
        <f>IF(COUNT($E$2:$E163)&lt;26,"",(MAX($C$138:$C$163)+MIN($D$138:$D$163))/2)</f>
        <v>0</v>
      </c>
      <c r="AW163">
        <f>IF(OR(AU163="",AV163=""),"",(AU163+AV163)/2)</f>
        <v>0</v>
      </c>
      <c r="AX163">
        <f>IF(COUNT($E$2:$E163)&lt;52,"",(MAX($C$112:$C$163)+MIN($D$112:$D$163))/2)</f>
        <v>0</v>
      </c>
      <c r="AY163">
        <f>IF(COUNT($E$2:$E163)&lt;20,"",MAX($C$64:$C$163))</f>
        <v>0</v>
      </c>
      <c r="AZ163">
        <f>IF(COUNT($E$2:$E163)&lt;20,"",MIN($D$64:$D$163))</f>
        <v>0</v>
      </c>
      <c r="BA163">
        <f>IF(COUNT($E$2:$E163)&lt;20,"",SLOPE($E$64:$E$163,$F$64:$F$163))</f>
        <v>0</v>
      </c>
      <c r="BB163">
        <f>IF(COUNT($E$2:$E163)&lt;20,"",INTERCEPT($E$64:$E$163,$F$64:$F$163))</f>
        <v>0</v>
      </c>
      <c r="BC163">
        <f>IF(OR(BA163="",BB163=""),"",BB163+BA163*F163)</f>
        <v>0</v>
      </c>
      <c r="BD163">
        <f>IF(COUNT($E$2:$E163)&lt;20,"",STEYX($E$64:$E$163,$F$64:$F$163))</f>
        <v>0</v>
      </c>
      <c r="BE163">
        <f>IF($E163="","",IF(AND(COUNT($E$164:$E$167)&gt;=4,$C163=MAX($C$159:$C$167)),$C163,""))</f>
        <v>0</v>
      </c>
      <c r="BF163">
        <f>IF($E163="","",IF(AND(COUNT($E$164:$E$167)&gt;=4,$D163=MIN($D$159:$D$167)),$D163,""))</f>
        <v>0</v>
      </c>
      <c r="BG163">
        <f>IF($A163="","",$A163-WEEKDAY($A163,2)+1)</f>
        <v>0</v>
      </c>
      <c r="BH163">
        <f>IF($A163="","",IF($A162="",1,IF(BG163&lt;&gt;BG162,1,0)))</f>
        <v>0</v>
      </c>
      <c r="BI163">
        <f>IF($A163="","",IF($A164="",1,IF(BG164&lt;&gt;BG163,1,0)))</f>
        <v>0</v>
      </c>
      <c r="BJ163">
        <f>IF($A163="","",IF(BH163=1,$B163,BJ162))</f>
        <v>0</v>
      </c>
      <c r="BK163">
        <f>IF($A163="","",IF(BH163=1,$C163,MAX($C163,BK162)))</f>
        <v>0</v>
      </c>
      <c r="BL163">
        <f>IF($A163="","",IF(BH163=1,$D163,MIN($D163,BL162)))</f>
        <v>0</v>
      </c>
      <c r="BM163">
        <f>IF($A163="","",IF(BI163=1,F163,""))</f>
        <v>0</v>
      </c>
      <c r="BN163">
        <f>IF($A163="","",DATE(YEAR($A163),MONTH($A163),1))</f>
        <v>0</v>
      </c>
      <c r="BO163">
        <f>IF($A163="","",IF($A162="",1,IF(BN163&lt;&gt;BN162,1,0)))</f>
        <v>0</v>
      </c>
      <c r="BP163">
        <f>IF($A163="","",IF($A164="",1,IF(BN164&lt;&gt;BN163,1,0)))</f>
        <v>0</v>
      </c>
      <c r="BQ163">
        <f>IF($A163="","",IF(BO163=1,$B163,BQ162))</f>
        <v>0</v>
      </c>
      <c r="BR163">
        <f>IF($A163="","",IF(BO163=1,$C163,MAX($C163,BR162)))</f>
        <v>0</v>
      </c>
      <c r="BS163">
        <f>IF($A163="","",IF(BO163=1,$D163,MIN($D163,BS162)))</f>
        <v>0</v>
      </c>
      <c r="BT163">
        <f>IF($A163="","",IF(BP163=1,F163,""))</f>
        <v>0</v>
      </c>
    </row>
    <row r="164" spans="1:72">
      <c r="A164" s="27">
        <f>IF(Data!$A164="","",Data!$A164)</f>
        <v>0</v>
      </c>
      <c r="B164">
        <f>IF(Data!$B164="","",Data!$B164)</f>
        <v>0</v>
      </c>
      <c r="C164">
        <f>IF(Data!$C164="","",Data!$C164)</f>
        <v>0</v>
      </c>
      <c r="D164">
        <f>IF(Data!$D164="","",Data!$D164)</f>
        <v>0</v>
      </c>
      <c r="E164">
        <f>IF(Data!$E164="","",Data!$E164)</f>
        <v>0</v>
      </c>
      <c r="F164">
        <f>IF($E164="","",N(F163)+1)</f>
        <v>0</v>
      </c>
      <c r="G164">
        <f>IF(OR($E164="",$E163=""),"",LN($E164/$E163))</f>
        <v>0</v>
      </c>
      <c r="H164">
        <f>IF($E164="","",IF($E163="",$E164,$E164*0.0952380952+H163*0.9047619048))</f>
        <v>0</v>
      </c>
      <c r="I164">
        <f>IF($E164="","",IF($E163="",$E164,$E164*0.0392156863+I163*0.9607843137))</f>
        <v>0</v>
      </c>
      <c r="J164">
        <f>IF($E164="","",IF($E163="",$E164,$E164*0.0198019802+J163*0.9801980198))</f>
        <v>0</v>
      </c>
      <c r="K164">
        <f>IF($E164="","",IF($E163="",$E164,$E164*0.0099502488+K163*0.9900497512))</f>
        <v>0</v>
      </c>
      <c r="L164">
        <f>IF(OR($E164="",$E163=""),"",MAX($E164-$E163,0))</f>
        <v>0</v>
      </c>
      <c r="M164">
        <f>IF(OR($E164="",$E163=""),"",MAX($E163-$E164,0))</f>
        <v>0</v>
      </c>
      <c r="N164">
        <f>IF(COUNT($E$2:$E164)&lt;15,"",IF(AVERAGE($M$151:$M$164)=0,100,100-100/(1+AVERAGE($L$151:$L$164)/AVERAGE($M$151:$M$164))))</f>
        <v>0</v>
      </c>
      <c r="O164">
        <f>IF($E164="","",IF($E163="",$E164,$E164*0.1538461538+O163*0.8461538462))</f>
        <v>0</v>
      </c>
      <c r="P164">
        <f>IF($E164="","",IF($E163="",$E164,$E164*0.0740740741+P163*0.9259259259))</f>
        <v>0</v>
      </c>
      <c r="Q164">
        <f>IF(OR(O164="",P164=""),"",O164-P164)</f>
        <v>0</v>
      </c>
      <c r="R164">
        <f>IF(Q164="","",IF(R163="",Q164,Q164*0.2000000000+R163*0.8000000000))</f>
        <v>0</v>
      </c>
      <c r="S164">
        <f>IF(OR(Q164="",R164=""),"",Q164-R164)</f>
        <v>0</v>
      </c>
      <c r="T164">
        <f>IF(COUNT($E$2:$E164)&lt;14,"",MAX($C$151:$C$164))</f>
        <v>0</v>
      </c>
      <c r="U164">
        <f>IF(COUNT($E$2:$E164)&lt;14,"",MIN($D$151:$D$164))</f>
        <v>0</v>
      </c>
      <c r="V164">
        <f>IF(OR(T164="",U164="",T164=U164),"",100*($E164-U164)/(T164-U164))</f>
        <v>0</v>
      </c>
      <c r="W164">
        <f>IF(COUNT($V$162:$V$164)&lt;3,"",AVERAGE($V$162:$V$164))</f>
        <v>0</v>
      </c>
      <c r="X164">
        <f>IF(COUNT($N$151:$N$164)&lt;14,"",MIN($N$151:$N$164))</f>
        <v>0</v>
      </c>
      <c r="Y164">
        <f>IF(COUNT($N$151:$N$164)&lt;14,"",MAX($N$151:$N$164))</f>
        <v>0</v>
      </c>
      <c r="Z164">
        <f>IF(OR(N164="",X164="",Y164="",Y164=X164),"",100*(N164-X164)/(Y164-X164))</f>
        <v>0</v>
      </c>
      <c r="AA164">
        <f>IF(COUNT($Z$162:$Z$164)&lt;3,"",AVERAGE($Z$162:$Z$164))</f>
        <v>0</v>
      </c>
      <c r="AB164">
        <f>IF(COUNT($AA$162:$AA$164)&lt;3,"",AVERAGE($AA$162:$AA$164))</f>
        <v>0</v>
      </c>
      <c r="AC164">
        <f>IF($E164="","",MAX($C164-$D164,ABS($C164-$E163),ABS($D164-$E163)))</f>
        <v>0</v>
      </c>
      <c r="AD164">
        <f>IF(COUNT($E$2:$E164)&lt;15,"",AVERAGE($AC$151:$AC$164))</f>
        <v>0</v>
      </c>
      <c r="AE164">
        <f>IF(OR($E164="",$E163=""),"",IF(AND(($C164-$C163)&gt;($D163-$D164),($C164-$C163)&gt;0),$C164-$C163,0))</f>
        <v>0</v>
      </c>
      <c r="AF164">
        <f>IF(OR($E164="",$E163=""),"",IF(AND(($D163-$D164)&gt;($C164-$C163),($D163-$D164)&gt;0),$D163-$D164,0))</f>
        <v>0</v>
      </c>
      <c r="AG164">
        <f>IF(COUNT($E$2:$E164)&lt;15,"",IF(SUM($AC$151:$AC$164)=0,0,100*SUM($AE$151:$AE$164)/SUM($AC$151:$AC$164)))</f>
        <v>0</v>
      </c>
      <c r="AH164">
        <f>IF(COUNT($E$2:$E164)&lt;15,"",IF(SUM($AC$151:$AC$164)=0,0,100*SUM($AF$151:$AF$164)/SUM($AC$151:$AC$164)))</f>
        <v>0</v>
      </c>
      <c r="AI164">
        <f>IF(OR(AG164="",AH164=""),"",IF((AG164+AH164)=0,0,100*ABS(AG164-AH164)/(AG164+AH164)))</f>
        <v>0</v>
      </c>
      <c r="AJ164">
        <f>IF(COUNT($AI$151:$AI$164)&lt;14,"",AVERAGE($AI$151:$AI$164))</f>
        <v>0</v>
      </c>
      <c r="AK164">
        <f>IF(COUNT($E$2:$E164)&lt;20,"",AVERAGE($E$145:$E$164))</f>
        <v>0</v>
      </c>
      <c r="AL164">
        <f>IF(COUNT($E$2:$E164)&lt;20,"",STDEVP($E$145:$E$164))</f>
        <v>0</v>
      </c>
      <c r="AM164">
        <f>IF(AK164="","",AK164+2*AL164)</f>
        <v>0</v>
      </c>
      <c r="AN164">
        <f>IF(AK164="","",AK164-2*AL164)</f>
        <v>0</v>
      </c>
      <c r="AO164">
        <f>IF(OR(AM164="",AN164="",AM164=AN164),"",($E164-AN164)/(AM164-AN164))</f>
        <v>0</v>
      </c>
      <c r="AP164">
        <f>IF(OR(AM164="",AK164="",AK164=0),"",(AM164-AN164)/AK164)</f>
        <v>0</v>
      </c>
      <c r="AQ164">
        <f>IF(COUNT($E$2:$E164)&lt;20,"",MAX($C$145:$C$164))</f>
        <v>0</v>
      </c>
      <c r="AR164">
        <f>IF(COUNT($E$2:$E164)&lt;20,"",MIN($D$145:$D$164))</f>
        <v>0</v>
      </c>
      <c r="AS164">
        <f>IF(OR(AQ164="",AR164=""),"",(AQ164+AR164)/2)</f>
        <v>0</v>
      </c>
      <c r="AT164">
        <f>IF(COUNT($G$145:$G$164)&lt;20,"",STDEV($G$145:$G$164)*SQRT(252))</f>
        <v>0</v>
      </c>
      <c r="AU164">
        <f>IF(COUNT($E$2:$E164)&lt;9,"",(MAX($C$156:$C$164)+MIN($D$156:$D$164))/2)</f>
        <v>0</v>
      </c>
      <c r="AV164">
        <f>IF(COUNT($E$2:$E164)&lt;26,"",(MAX($C$139:$C$164)+MIN($D$139:$D$164))/2)</f>
        <v>0</v>
      </c>
      <c r="AW164">
        <f>IF(OR(AU164="",AV164=""),"",(AU164+AV164)/2)</f>
        <v>0</v>
      </c>
      <c r="AX164">
        <f>IF(COUNT($E$2:$E164)&lt;52,"",(MAX($C$113:$C$164)+MIN($D$113:$D$164))/2)</f>
        <v>0</v>
      </c>
      <c r="AY164">
        <f>IF(COUNT($E$2:$E164)&lt;20,"",MAX($C$65:$C$164))</f>
        <v>0</v>
      </c>
      <c r="AZ164">
        <f>IF(COUNT($E$2:$E164)&lt;20,"",MIN($D$65:$D$164))</f>
        <v>0</v>
      </c>
      <c r="BA164">
        <f>IF(COUNT($E$2:$E164)&lt;20,"",SLOPE($E$65:$E$164,$F$65:$F$164))</f>
        <v>0</v>
      </c>
      <c r="BB164">
        <f>IF(COUNT($E$2:$E164)&lt;20,"",INTERCEPT($E$65:$E$164,$F$65:$F$164))</f>
        <v>0</v>
      </c>
      <c r="BC164">
        <f>IF(OR(BA164="",BB164=""),"",BB164+BA164*F164)</f>
        <v>0</v>
      </c>
      <c r="BD164">
        <f>IF(COUNT($E$2:$E164)&lt;20,"",STEYX($E$65:$E$164,$F$65:$F$164))</f>
        <v>0</v>
      </c>
      <c r="BE164">
        <f>IF($E164="","",IF(AND(COUNT($E$165:$E$168)&gt;=4,$C164=MAX($C$160:$C$168)),$C164,""))</f>
        <v>0</v>
      </c>
      <c r="BF164">
        <f>IF($E164="","",IF(AND(COUNT($E$165:$E$168)&gt;=4,$D164=MIN($D$160:$D$168)),$D164,""))</f>
        <v>0</v>
      </c>
      <c r="BG164">
        <f>IF($A164="","",$A164-WEEKDAY($A164,2)+1)</f>
        <v>0</v>
      </c>
      <c r="BH164">
        <f>IF($A164="","",IF($A163="",1,IF(BG164&lt;&gt;BG163,1,0)))</f>
        <v>0</v>
      </c>
      <c r="BI164">
        <f>IF($A164="","",IF($A165="",1,IF(BG165&lt;&gt;BG164,1,0)))</f>
        <v>0</v>
      </c>
      <c r="BJ164">
        <f>IF($A164="","",IF(BH164=1,$B164,BJ163))</f>
        <v>0</v>
      </c>
      <c r="BK164">
        <f>IF($A164="","",IF(BH164=1,$C164,MAX($C164,BK163)))</f>
        <v>0</v>
      </c>
      <c r="BL164">
        <f>IF($A164="","",IF(BH164=1,$D164,MIN($D164,BL163)))</f>
        <v>0</v>
      </c>
      <c r="BM164">
        <f>IF($A164="","",IF(BI164=1,F164,""))</f>
        <v>0</v>
      </c>
      <c r="BN164">
        <f>IF($A164="","",DATE(YEAR($A164),MONTH($A164),1))</f>
        <v>0</v>
      </c>
      <c r="BO164">
        <f>IF($A164="","",IF($A163="",1,IF(BN164&lt;&gt;BN163,1,0)))</f>
        <v>0</v>
      </c>
      <c r="BP164">
        <f>IF($A164="","",IF($A165="",1,IF(BN165&lt;&gt;BN164,1,0)))</f>
        <v>0</v>
      </c>
      <c r="BQ164">
        <f>IF($A164="","",IF(BO164=1,$B164,BQ163))</f>
        <v>0</v>
      </c>
      <c r="BR164">
        <f>IF($A164="","",IF(BO164=1,$C164,MAX($C164,BR163)))</f>
        <v>0</v>
      </c>
      <c r="BS164">
        <f>IF($A164="","",IF(BO164=1,$D164,MIN($D164,BS163)))</f>
        <v>0</v>
      </c>
      <c r="BT164">
        <f>IF($A164="","",IF(BP164=1,F164,""))</f>
        <v>0</v>
      </c>
    </row>
    <row r="165" spans="1:72">
      <c r="A165" s="27">
        <f>IF(Data!$A165="","",Data!$A165)</f>
        <v>0</v>
      </c>
      <c r="B165">
        <f>IF(Data!$B165="","",Data!$B165)</f>
        <v>0</v>
      </c>
      <c r="C165">
        <f>IF(Data!$C165="","",Data!$C165)</f>
        <v>0</v>
      </c>
      <c r="D165">
        <f>IF(Data!$D165="","",Data!$D165)</f>
        <v>0</v>
      </c>
      <c r="E165">
        <f>IF(Data!$E165="","",Data!$E165)</f>
        <v>0</v>
      </c>
      <c r="F165">
        <f>IF($E165="","",N(F164)+1)</f>
        <v>0</v>
      </c>
      <c r="G165">
        <f>IF(OR($E165="",$E164=""),"",LN($E165/$E164))</f>
        <v>0</v>
      </c>
      <c r="H165">
        <f>IF($E165="","",IF($E164="",$E165,$E165*0.0952380952+H164*0.9047619048))</f>
        <v>0</v>
      </c>
      <c r="I165">
        <f>IF($E165="","",IF($E164="",$E165,$E165*0.0392156863+I164*0.9607843137))</f>
        <v>0</v>
      </c>
      <c r="J165">
        <f>IF($E165="","",IF($E164="",$E165,$E165*0.0198019802+J164*0.9801980198))</f>
        <v>0</v>
      </c>
      <c r="K165">
        <f>IF($E165="","",IF($E164="",$E165,$E165*0.0099502488+K164*0.9900497512))</f>
        <v>0</v>
      </c>
      <c r="L165">
        <f>IF(OR($E165="",$E164=""),"",MAX($E165-$E164,0))</f>
        <v>0</v>
      </c>
      <c r="M165">
        <f>IF(OR($E165="",$E164=""),"",MAX($E164-$E165,0))</f>
        <v>0</v>
      </c>
      <c r="N165">
        <f>IF(COUNT($E$2:$E165)&lt;15,"",IF(AVERAGE($M$152:$M$165)=0,100,100-100/(1+AVERAGE($L$152:$L$165)/AVERAGE($M$152:$M$165))))</f>
        <v>0</v>
      </c>
      <c r="O165">
        <f>IF($E165="","",IF($E164="",$E165,$E165*0.1538461538+O164*0.8461538462))</f>
        <v>0</v>
      </c>
      <c r="P165">
        <f>IF($E165="","",IF($E164="",$E165,$E165*0.0740740741+P164*0.9259259259))</f>
        <v>0</v>
      </c>
      <c r="Q165">
        <f>IF(OR(O165="",P165=""),"",O165-P165)</f>
        <v>0</v>
      </c>
      <c r="R165">
        <f>IF(Q165="","",IF(R164="",Q165,Q165*0.2000000000+R164*0.8000000000))</f>
        <v>0</v>
      </c>
      <c r="S165">
        <f>IF(OR(Q165="",R165=""),"",Q165-R165)</f>
        <v>0</v>
      </c>
      <c r="T165">
        <f>IF(COUNT($E$2:$E165)&lt;14,"",MAX($C$152:$C$165))</f>
        <v>0</v>
      </c>
      <c r="U165">
        <f>IF(COUNT($E$2:$E165)&lt;14,"",MIN($D$152:$D$165))</f>
        <v>0</v>
      </c>
      <c r="V165">
        <f>IF(OR(T165="",U165="",T165=U165),"",100*($E165-U165)/(T165-U165))</f>
        <v>0</v>
      </c>
      <c r="W165">
        <f>IF(COUNT($V$163:$V$165)&lt;3,"",AVERAGE($V$163:$V$165))</f>
        <v>0</v>
      </c>
      <c r="X165">
        <f>IF(COUNT($N$152:$N$165)&lt;14,"",MIN($N$152:$N$165))</f>
        <v>0</v>
      </c>
      <c r="Y165">
        <f>IF(COUNT($N$152:$N$165)&lt;14,"",MAX($N$152:$N$165))</f>
        <v>0</v>
      </c>
      <c r="Z165">
        <f>IF(OR(N165="",X165="",Y165="",Y165=X165),"",100*(N165-X165)/(Y165-X165))</f>
        <v>0</v>
      </c>
      <c r="AA165">
        <f>IF(COUNT($Z$163:$Z$165)&lt;3,"",AVERAGE($Z$163:$Z$165))</f>
        <v>0</v>
      </c>
      <c r="AB165">
        <f>IF(COUNT($AA$163:$AA$165)&lt;3,"",AVERAGE($AA$163:$AA$165))</f>
        <v>0</v>
      </c>
      <c r="AC165">
        <f>IF($E165="","",MAX($C165-$D165,ABS($C165-$E164),ABS($D165-$E164)))</f>
        <v>0</v>
      </c>
      <c r="AD165">
        <f>IF(COUNT($E$2:$E165)&lt;15,"",AVERAGE($AC$152:$AC$165))</f>
        <v>0</v>
      </c>
      <c r="AE165">
        <f>IF(OR($E165="",$E164=""),"",IF(AND(($C165-$C164)&gt;($D164-$D165),($C165-$C164)&gt;0),$C165-$C164,0))</f>
        <v>0</v>
      </c>
      <c r="AF165">
        <f>IF(OR($E165="",$E164=""),"",IF(AND(($D164-$D165)&gt;($C165-$C164),($D164-$D165)&gt;0),$D164-$D165,0))</f>
        <v>0</v>
      </c>
      <c r="AG165">
        <f>IF(COUNT($E$2:$E165)&lt;15,"",IF(SUM($AC$152:$AC$165)=0,0,100*SUM($AE$152:$AE$165)/SUM($AC$152:$AC$165)))</f>
        <v>0</v>
      </c>
      <c r="AH165">
        <f>IF(COUNT($E$2:$E165)&lt;15,"",IF(SUM($AC$152:$AC$165)=0,0,100*SUM($AF$152:$AF$165)/SUM($AC$152:$AC$165)))</f>
        <v>0</v>
      </c>
      <c r="AI165">
        <f>IF(OR(AG165="",AH165=""),"",IF((AG165+AH165)=0,0,100*ABS(AG165-AH165)/(AG165+AH165)))</f>
        <v>0</v>
      </c>
      <c r="AJ165">
        <f>IF(COUNT($AI$152:$AI$165)&lt;14,"",AVERAGE($AI$152:$AI$165))</f>
        <v>0</v>
      </c>
      <c r="AK165">
        <f>IF(COUNT($E$2:$E165)&lt;20,"",AVERAGE($E$146:$E$165))</f>
        <v>0</v>
      </c>
      <c r="AL165">
        <f>IF(COUNT($E$2:$E165)&lt;20,"",STDEVP($E$146:$E$165))</f>
        <v>0</v>
      </c>
      <c r="AM165">
        <f>IF(AK165="","",AK165+2*AL165)</f>
        <v>0</v>
      </c>
      <c r="AN165">
        <f>IF(AK165="","",AK165-2*AL165)</f>
        <v>0</v>
      </c>
      <c r="AO165">
        <f>IF(OR(AM165="",AN165="",AM165=AN165),"",($E165-AN165)/(AM165-AN165))</f>
        <v>0</v>
      </c>
      <c r="AP165">
        <f>IF(OR(AM165="",AK165="",AK165=0),"",(AM165-AN165)/AK165)</f>
        <v>0</v>
      </c>
      <c r="AQ165">
        <f>IF(COUNT($E$2:$E165)&lt;20,"",MAX($C$146:$C$165))</f>
        <v>0</v>
      </c>
      <c r="AR165">
        <f>IF(COUNT($E$2:$E165)&lt;20,"",MIN($D$146:$D$165))</f>
        <v>0</v>
      </c>
      <c r="AS165">
        <f>IF(OR(AQ165="",AR165=""),"",(AQ165+AR165)/2)</f>
        <v>0</v>
      </c>
      <c r="AT165">
        <f>IF(COUNT($G$146:$G$165)&lt;20,"",STDEV($G$146:$G$165)*SQRT(252))</f>
        <v>0</v>
      </c>
      <c r="AU165">
        <f>IF(COUNT($E$2:$E165)&lt;9,"",(MAX($C$157:$C$165)+MIN($D$157:$D$165))/2)</f>
        <v>0</v>
      </c>
      <c r="AV165">
        <f>IF(COUNT($E$2:$E165)&lt;26,"",(MAX($C$140:$C$165)+MIN($D$140:$D$165))/2)</f>
        <v>0</v>
      </c>
      <c r="AW165">
        <f>IF(OR(AU165="",AV165=""),"",(AU165+AV165)/2)</f>
        <v>0</v>
      </c>
      <c r="AX165">
        <f>IF(COUNT($E$2:$E165)&lt;52,"",(MAX($C$114:$C$165)+MIN($D$114:$D$165))/2)</f>
        <v>0</v>
      </c>
      <c r="AY165">
        <f>IF(COUNT($E$2:$E165)&lt;20,"",MAX($C$66:$C$165))</f>
        <v>0</v>
      </c>
      <c r="AZ165">
        <f>IF(COUNT($E$2:$E165)&lt;20,"",MIN($D$66:$D$165))</f>
        <v>0</v>
      </c>
      <c r="BA165">
        <f>IF(COUNT($E$2:$E165)&lt;20,"",SLOPE($E$66:$E$165,$F$66:$F$165))</f>
        <v>0</v>
      </c>
      <c r="BB165">
        <f>IF(COUNT($E$2:$E165)&lt;20,"",INTERCEPT($E$66:$E$165,$F$66:$F$165))</f>
        <v>0</v>
      </c>
      <c r="BC165">
        <f>IF(OR(BA165="",BB165=""),"",BB165+BA165*F165)</f>
        <v>0</v>
      </c>
      <c r="BD165">
        <f>IF(COUNT($E$2:$E165)&lt;20,"",STEYX($E$66:$E$165,$F$66:$F$165))</f>
        <v>0</v>
      </c>
      <c r="BE165">
        <f>IF($E165="","",IF(AND(COUNT($E$166:$E$169)&gt;=4,$C165=MAX($C$161:$C$169)),$C165,""))</f>
        <v>0</v>
      </c>
      <c r="BF165">
        <f>IF($E165="","",IF(AND(COUNT($E$166:$E$169)&gt;=4,$D165=MIN($D$161:$D$169)),$D165,""))</f>
        <v>0</v>
      </c>
      <c r="BG165">
        <f>IF($A165="","",$A165-WEEKDAY($A165,2)+1)</f>
        <v>0</v>
      </c>
      <c r="BH165">
        <f>IF($A165="","",IF($A164="",1,IF(BG165&lt;&gt;BG164,1,0)))</f>
        <v>0</v>
      </c>
      <c r="BI165">
        <f>IF($A165="","",IF($A166="",1,IF(BG166&lt;&gt;BG165,1,0)))</f>
        <v>0</v>
      </c>
      <c r="BJ165">
        <f>IF($A165="","",IF(BH165=1,$B165,BJ164))</f>
        <v>0</v>
      </c>
      <c r="BK165">
        <f>IF($A165="","",IF(BH165=1,$C165,MAX($C165,BK164)))</f>
        <v>0</v>
      </c>
      <c r="BL165">
        <f>IF($A165="","",IF(BH165=1,$D165,MIN($D165,BL164)))</f>
        <v>0</v>
      </c>
      <c r="BM165">
        <f>IF($A165="","",IF(BI165=1,F165,""))</f>
        <v>0</v>
      </c>
      <c r="BN165">
        <f>IF($A165="","",DATE(YEAR($A165),MONTH($A165),1))</f>
        <v>0</v>
      </c>
      <c r="BO165">
        <f>IF($A165="","",IF($A164="",1,IF(BN165&lt;&gt;BN164,1,0)))</f>
        <v>0</v>
      </c>
      <c r="BP165">
        <f>IF($A165="","",IF($A166="",1,IF(BN166&lt;&gt;BN165,1,0)))</f>
        <v>0</v>
      </c>
      <c r="BQ165">
        <f>IF($A165="","",IF(BO165=1,$B165,BQ164))</f>
        <v>0</v>
      </c>
      <c r="BR165">
        <f>IF($A165="","",IF(BO165=1,$C165,MAX($C165,BR164)))</f>
        <v>0</v>
      </c>
      <c r="BS165">
        <f>IF($A165="","",IF(BO165=1,$D165,MIN($D165,BS164)))</f>
        <v>0</v>
      </c>
      <c r="BT165">
        <f>IF($A165="","",IF(BP165=1,F165,""))</f>
        <v>0</v>
      </c>
    </row>
    <row r="166" spans="1:72">
      <c r="A166" s="27">
        <f>IF(Data!$A166="","",Data!$A166)</f>
        <v>0</v>
      </c>
      <c r="B166">
        <f>IF(Data!$B166="","",Data!$B166)</f>
        <v>0</v>
      </c>
      <c r="C166">
        <f>IF(Data!$C166="","",Data!$C166)</f>
        <v>0</v>
      </c>
      <c r="D166">
        <f>IF(Data!$D166="","",Data!$D166)</f>
        <v>0</v>
      </c>
      <c r="E166">
        <f>IF(Data!$E166="","",Data!$E166)</f>
        <v>0</v>
      </c>
      <c r="F166">
        <f>IF($E166="","",N(F165)+1)</f>
        <v>0</v>
      </c>
      <c r="G166">
        <f>IF(OR($E166="",$E165=""),"",LN($E166/$E165))</f>
        <v>0</v>
      </c>
      <c r="H166">
        <f>IF($E166="","",IF($E165="",$E166,$E166*0.0952380952+H165*0.9047619048))</f>
        <v>0</v>
      </c>
      <c r="I166">
        <f>IF($E166="","",IF($E165="",$E166,$E166*0.0392156863+I165*0.9607843137))</f>
        <v>0</v>
      </c>
      <c r="J166">
        <f>IF($E166="","",IF($E165="",$E166,$E166*0.0198019802+J165*0.9801980198))</f>
        <v>0</v>
      </c>
      <c r="K166">
        <f>IF($E166="","",IF($E165="",$E166,$E166*0.0099502488+K165*0.9900497512))</f>
        <v>0</v>
      </c>
      <c r="L166">
        <f>IF(OR($E166="",$E165=""),"",MAX($E166-$E165,0))</f>
        <v>0</v>
      </c>
      <c r="M166">
        <f>IF(OR($E166="",$E165=""),"",MAX($E165-$E166,0))</f>
        <v>0</v>
      </c>
      <c r="N166">
        <f>IF(COUNT($E$2:$E166)&lt;15,"",IF(AVERAGE($M$153:$M$166)=0,100,100-100/(1+AVERAGE($L$153:$L$166)/AVERAGE($M$153:$M$166))))</f>
        <v>0</v>
      </c>
      <c r="O166">
        <f>IF($E166="","",IF($E165="",$E166,$E166*0.1538461538+O165*0.8461538462))</f>
        <v>0</v>
      </c>
      <c r="P166">
        <f>IF($E166="","",IF($E165="",$E166,$E166*0.0740740741+P165*0.9259259259))</f>
        <v>0</v>
      </c>
      <c r="Q166">
        <f>IF(OR(O166="",P166=""),"",O166-P166)</f>
        <v>0</v>
      </c>
      <c r="R166">
        <f>IF(Q166="","",IF(R165="",Q166,Q166*0.2000000000+R165*0.8000000000))</f>
        <v>0</v>
      </c>
      <c r="S166">
        <f>IF(OR(Q166="",R166=""),"",Q166-R166)</f>
        <v>0</v>
      </c>
      <c r="T166">
        <f>IF(COUNT($E$2:$E166)&lt;14,"",MAX($C$153:$C$166))</f>
        <v>0</v>
      </c>
      <c r="U166">
        <f>IF(COUNT($E$2:$E166)&lt;14,"",MIN($D$153:$D$166))</f>
        <v>0</v>
      </c>
      <c r="V166">
        <f>IF(OR(T166="",U166="",T166=U166),"",100*($E166-U166)/(T166-U166))</f>
        <v>0</v>
      </c>
      <c r="W166">
        <f>IF(COUNT($V$164:$V$166)&lt;3,"",AVERAGE($V$164:$V$166))</f>
        <v>0</v>
      </c>
      <c r="X166">
        <f>IF(COUNT($N$153:$N$166)&lt;14,"",MIN($N$153:$N$166))</f>
        <v>0</v>
      </c>
      <c r="Y166">
        <f>IF(COUNT($N$153:$N$166)&lt;14,"",MAX($N$153:$N$166))</f>
        <v>0</v>
      </c>
      <c r="Z166">
        <f>IF(OR(N166="",X166="",Y166="",Y166=X166),"",100*(N166-X166)/(Y166-X166))</f>
        <v>0</v>
      </c>
      <c r="AA166">
        <f>IF(COUNT($Z$164:$Z$166)&lt;3,"",AVERAGE($Z$164:$Z$166))</f>
        <v>0</v>
      </c>
      <c r="AB166">
        <f>IF(COUNT($AA$164:$AA$166)&lt;3,"",AVERAGE($AA$164:$AA$166))</f>
        <v>0</v>
      </c>
      <c r="AC166">
        <f>IF($E166="","",MAX($C166-$D166,ABS($C166-$E165),ABS($D166-$E165)))</f>
        <v>0</v>
      </c>
      <c r="AD166">
        <f>IF(COUNT($E$2:$E166)&lt;15,"",AVERAGE($AC$153:$AC$166))</f>
        <v>0</v>
      </c>
      <c r="AE166">
        <f>IF(OR($E166="",$E165=""),"",IF(AND(($C166-$C165)&gt;($D165-$D166),($C166-$C165)&gt;0),$C166-$C165,0))</f>
        <v>0</v>
      </c>
      <c r="AF166">
        <f>IF(OR($E166="",$E165=""),"",IF(AND(($D165-$D166)&gt;($C166-$C165),($D165-$D166)&gt;0),$D165-$D166,0))</f>
        <v>0</v>
      </c>
      <c r="AG166">
        <f>IF(COUNT($E$2:$E166)&lt;15,"",IF(SUM($AC$153:$AC$166)=0,0,100*SUM($AE$153:$AE$166)/SUM($AC$153:$AC$166)))</f>
        <v>0</v>
      </c>
      <c r="AH166">
        <f>IF(COUNT($E$2:$E166)&lt;15,"",IF(SUM($AC$153:$AC$166)=0,0,100*SUM($AF$153:$AF$166)/SUM($AC$153:$AC$166)))</f>
        <v>0</v>
      </c>
      <c r="AI166">
        <f>IF(OR(AG166="",AH166=""),"",IF((AG166+AH166)=0,0,100*ABS(AG166-AH166)/(AG166+AH166)))</f>
        <v>0</v>
      </c>
      <c r="AJ166">
        <f>IF(COUNT($AI$153:$AI$166)&lt;14,"",AVERAGE($AI$153:$AI$166))</f>
        <v>0</v>
      </c>
      <c r="AK166">
        <f>IF(COUNT($E$2:$E166)&lt;20,"",AVERAGE($E$147:$E$166))</f>
        <v>0</v>
      </c>
      <c r="AL166">
        <f>IF(COUNT($E$2:$E166)&lt;20,"",STDEVP($E$147:$E$166))</f>
        <v>0</v>
      </c>
      <c r="AM166">
        <f>IF(AK166="","",AK166+2*AL166)</f>
        <v>0</v>
      </c>
      <c r="AN166">
        <f>IF(AK166="","",AK166-2*AL166)</f>
        <v>0</v>
      </c>
      <c r="AO166">
        <f>IF(OR(AM166="",AN166="",AM166=AN166),"",($E166-AN166)/(AM166-AN166))</f>
        <v>0</v>
      </c>
      <c r="AP166">
        <f>IF(OR(AM166="",AK166="",AK166=0),"",(AM166-AN166)/AK166)</f>
        <v>0</v>
      </c>
      <c r="AQ166">
        <f>IF(COUNT($E$2:$E166)&lt;20,"",MAX($C$147:$C$166))</f>
        <v>0</v>
      </c>
      <c r="AR166">
        <f>IF(COUNT($E$2:$E166)&lt;20,"",MIN($D$147:$D$166))</f>
        <v>0</v>
      </c>
      <c r="AS166">
        <f>IF(OR(AQ166="",AR166=""),"",(AQ166+AR166)/2)</f>
        <v>0</v>
      </c>
      <c r="AT166">
        <f>IF(COUNT($G$147:$G$166)&lt;20,"",STDEV($G$147:$G$166)*SQRT(252))</f>
        <v>0</v>
      </c>
      <c r="AU166">
        <f>IF(COUNT($E$2:$E166)&lt;9,"",(MAX($C$158:$C$166)+MIN($D$158:$D$166))/2)</f>
        <v>0</v>
      </c>
      <c r="AV166">
        <f>IF(COUNT($E$2:$E166)&lt;26,"",(MAX($C$141:$C$166)+MIN($D$141:$D$166))/2)</f>
        <v>0</v>
      </c>
      <c r="AW166">
        <f>IF(OR(AU166="",AV166=""),"",(AU166+AV166)/2)</f>
        <v>0</v>
      </c>
      <c r="AX166">
        <f>IF(COUNT($E$2:$E166)&lt;52,"",(MAX($C$115:$C$166)+MIN($D$115:$D$166))/2)</f>
        <v>0</v>
      </c>
      <c r="AY166">
        <f>IF(COUNT($E$2:$E166)&lt;20,"",MAX($C$67:$C$166))</f>
        <v>0</v>
      </c>
      <c r="AZ166">
        <f>IF(COUNT($E$2:$E166)&lt;20,"",MIN($D$67:$D$166))</f>
        <v>0</v>
      </c>
      <c r="BA166">
        <f>IF(COUNT($E$2:$E166)&lt;20,"",SLOPE($E$67:$E$166,$F$67:$F$166))</f>
        <v>0</v>
      </c>
      <c r="BB166">
        <f>IF(COUNT($E$2:$E166)&lt;20,"",INTERCEPT($E$67:$E$166,$F$67:$F$166))</f>
        <v>0</v>
      </c>
      <c r="BC166">
        <f>IF(OR(BA166="",BB166=""),"",BB166+BA166*F166)</f>
        <v>0</v>
      </c>
      <c r="BD166">
        <f>IF(COUNT($E$2:$E166)&lt;20,"",STEYX($E$67:$E$166,$F$67:$F$166))</f>
        <v>0</v>
      </c>
      <c r="BE166">
        <f>IF($E166="","",IF(AND(COUNT($E$167:$E$170)&gt;=4,$C166=MAX($C$162:$C$170)),$C166,""))</f>
        <v>0</v>
      </c>
      <c r="BF166">
        <f>IF($E166="","",IF(AND(COUNT($E$167:$E$170)&gt;=4,$D166=MIN($D$162:$D$170)),$D166,""))</f>
        <v>0</v>
      </c>
      <c r="BG166">
        <f>IF($A166="","",$A166-WEEKDAY($A166,2)+1)</f>
        <v>0</v>
      </c>
      <c r="BH166">
        <f>IF($A166="","",IF($A165="",1,IF(BG166&lt;&gt;BG165,1,0)))</f>
        <v>0</v>
      </c>
      <c r="BI166">
        <f>IF($A166="","",IF($A167="",1,IF(BG167&lt;&gt;BG166,1,0)))</f>
        <v>0</v>
      </c>
      <c r="BJ166">
        <f>IF($A166="","",IF(BH166=1,$B166,BJ165))</f>
        <v>0</v>
      </c>
      <c r="BK166">
        <f>IF($A166="","",IF(BH166=1,$C166,MAX($C166,BK165)))</f>
        <v>0</v>
      </c>
      <c r="BL166">
        <f>IF($A166="","",IF(BH166=1,$D166,MIN($D166,BL165)))</f>
        <v>0</v>
      </c>
      <c r="BM166">
        <f>IF($A166="","",IF(BI166=1,F166,""))</f>
        <v>0</v>
      </c>
      <c r="BN166">
        <f>IF($A166="","",DATE(YEAR($A166),MONTH($A166),1))</f>
        <v>0</v>
      </c>
      <c r="BO166">
        <f>IF($A166="","",IF($A165="",1,IF(BN166&lt;&gt;BN165,1,0)))</f>
        <v>0</v>
      </c>
      <c r="BP166">
        <f>IF($A166="","",IF($A167="",1,IF(BN167&lt;&gt;BN166,1,0)))</f>
        <v>0</v>
      </c>
      <c r="BQ166">
        <f>IF($A166="","",IF(BO166=1,$B166,BQ165))</f>
        <v>0</v>
      </c>
      <c r="BR166">
        <f>IF($A166="","",IF(BO166=1,$C166,MAX($C166,BR165)))</f>
        <v>0</v>
      </c>
      <c r="BS166">
        <f>IF($A166="","",IF(BO166=1,$D166,MIN($D166,BS165)))</f>
        <v>0</v>
      </c>
      <c r="BT166">
        <f>IF($A166="","",IF(BP166=1,F166,""))</f>
        <v>0</v>
      </c>
    </row>
    <row r="167" spans="1:72">
      <c r="A167" s="27">
        <f>IF(Data!$A167="","",Data!$A167)</f>
        <v>0</v>
      </c>
      <c r="B167">
        <f>IF(Data!$B167="","",Data!$B167)</f>
        <v>0</v>
      </c>
      <c r="C167">
        <f>IF(Data!$C167="","",Data!$C167)</f>
        <v>0</v>
      </c>
      <c r="D167">
        <f>IF(Data!$D167="","",Data!$D167)</f>
        <v>0</v>
      </c>
      <c r="E167">
        <f>IF(Data!$E167="","",Data!$E167)</f>
        <v>0</v>
      </c>
      <c r="F167">
        <f>IF($E167="","",N(F166)+1)</f>
        <v>0</v>
      </c>
      <c r="G167">
        <f>IF(OR($E167="",$E166=""),"",LN($E167/$E166))</f>
        <v>0</v>
      </c>
      <c r="H167">
        <f>IF($E167="","",IF($E166="",$E167,$E167*0.0952380952+H166*0.9047619048))</f>
        <v>0</v>
      </c>
      <c r="I167">
        <f>IF($E167="","",IF($E166="",$E167,$E167*0.0392156863+I166*0.9607843137))</f>
        <v>0</v>
      </c>
      <c r="J167">
        <f>IF($E167="","",IF($E166="",$E167,$E167*0.0198019802+J166*0.9801980198))</f>
        <v>0</v>
      </c>
      <c r="K167">
        <f>IF($E167="","",IF($E166="",$E167,$E167*0.0099502488+K166*0.9900497512))</f>
        <v>0</v>
      </c>
      <c r="L167">
        <f>IF(OR($E167="",$E166=""),"",MAX($E167-$E166,0))</f>
        <v>0</v>
      </c>
      <c r="M167">
        <f>IF(OR($E167="",$E166=""),"",MAX($E166-$E167,0))</f>
        <v>0</v>
      </c>
      <c r="N167">
        <f>IF(COUNT($E$2:$E167)&lt;15,"",IF(AVERAGE($M$154:$M$167)=0,100,100-100/(1+AVERAGE($L$154:$L$167)/AVERAGE($M$154:$M$167))))</f>
        <v>0</v>
      </c>
      <c r="O167">
        <f>IF($E167="","",IF($E166="",$E167,$E167*0.1538461538+O166*0.8461538462))</f>
        <v>0</v>
      </c>
      <c r="P167">
        <f>IF($E167="","",IF($E166="",$E167,$E167*0.0740740741+P166*0.9259259259))</f>
        <v>0</v>
      </c>
      <c r="Q167">
        <f>IF(OR(O167="",P167=""),"",O167-P167)</f>
        <v>0</v>
      </c>
      <c r="R167">
        <f>IF(Q167="","",IF(R166="",Q167,Q167*0.2000000000+R166*0.8000000000))</f>
        <v>0</v>
      </c>
      <c r="S167">
        <f>IF(OR(Q167="",R167=""),"",Q167-R167)</f>
        <v>0</v>
      </c>
      <c r="T167">
        <f>IF(COUNT($E$2:$E167)&lt;14,"",MAX($C$154:$C$167))</f>
        <v>0</v>
      </c>
      <c r="U167">
        <f>IF(COUNT($E$2:$E167)&lt;14,"",MIN($D$154:$D$167))</f>
        <v>0</v>
      </c>
      <c r="V167">
        <f>IF(OR(T167="",U167="",T167=U167),"",100*($E167-U167)/(T167-U167))</f>
        <v>0</v>
      </c>
      <c r="W167">
        <f>IF(COUNT($V$165:$V$167)&lt;3,"",AVERAGE($V$165:$V$167))</f>
        <v>0</v>
      </c>
      <c r="X167">
        <f>IF(COUNT($N$154:$N$167)&lt;14,"",MIN($N$154:$N$167))</f>
        <v>0</v>
      </c>
      <c r="Y167">
        <f>IF(COUNT($N$154:$N$167)&lt;14,"",MAX($N$154:$N$167))</f>
        <v>0</v>
      </c>
      <c r="Z167">
        <f>IF(OR(N167="",X167="",Y167="",Y167=X167),"",100*(N167-X167)/(Y167-X167))</f>
        <v>0</v>
      </c>
      <c r="AA167">
        <f>IF(COUNT($Z$165:$Z$167)&lt;3,"",AVERAGE($Z$165:$Z$167))</f>
        <v>0</v>
      </c>
      <c r="AB167">
        <f>IF(COUNT($AA$165:$AA$167)&lt;3,"",AVERAGE($AA$165:$AA$167))</f>
        <v>0</v>
      </c>
      <c r="AC167">
        <f>IF($E167="","",MAX($C167-$D167,ABS($C167-$E166),ABS($D167-$E166)))</f>
        <v>0</v>
      </c>
      <c r="AD167">
        <f>IF(COUNT($E$2:$E167)&lt;15,"",AVERAGE($AC$154:$AC$167))</f>
        <v>0</v>
      </c>
      <c r="AE167">
        <f>IF(OR($E167="",$E166=""),"",IF(AND(($C167-$C166)&gt;($D166-$D167),($C167-$C166)&gt;0),$C167-$C166,0))</f>
        <v>0</v>
      </c>
      <c r="AF167">
        <f>IF(OR($E167="",$E166=""),"",IF(AND(($D166-$D167)&gt;($C167-$C166),($D166-$D167)&gt;0),$D166-$D167,0))</f>
        <v>0</v>
      </c>
      <c r="AG167">
        <f>IF(COUNT($E$2:$E167)&lt;15,"",IF(SUM($AC$154:$AC$167)=0,0,100*SUM($AE$154:$AE$167)/SUM($AC$154:$AC$167)))</f>
        <v>0</v>
      </c>
      <c r="AH167">
        <f>IF(COUNT($E$2:$E167)&lt;15,"",IF(SUM($AC$154:$AC$167)=0,0,100*SUM($AF$154:$AF$167)/SUM($AC$154:$AC$167)))</f>
        <v>0</v>
      </c>
      <c r="AI167">
        <f>IF(OR(AG167="",AH167=""),"",IF((AG167+AH167)=0,0,100*ABS(AG167-AH167)/(AG167+AH167)))</f>
        <v>0</v>
      </c>
      <c r="AJ167">
        <f>IF(COUNT($AI$154:$AI$167)&lt;14,"",AVERAGE($AI$154:$AI$167))</f>
        <v>0</v>
      </c>
      <c r="AK167">
        <f>IF(COUNT($E$2:$E167)&lt;20,"",AVERAGE($E$148:$E$167))</f>
        <v>0</v>
      </c>
      <c r="AL167">
        <f>IF(COUNT($E$2:$E167)&lt;20,"",STDEVP($E$148:$E$167))</f>
        <v>0</v>
      </c>
      <c r="AM167">
        <f>IF(AK167="","",AK167+2*AL167)</f>
        <v>0</v>
      </c>
      <c r="AN167">
        <f>IF(AK167="","",AK167-2*AL167)</f>
        <v>0</v>
      </c>
      <c r="AO167">
        <f>IF(OR(AM167="",AN167="",AM167=AN167),"",($E167-AN167)/(AM167-AN167))</f>
        <v>0</v>
      </c>
      <c r="AP167">
        <f>IF(OR(AM167="",AK167="",AK167=0),"",(AM167-AN167)/AK167)</f>
        <v>0</v>
      </c>
      <c r="AQ167">
        <f>IF(COUNT($E$2:$E167)&lt;20,"",MAX($C$148:$C$167))</f>
        <v>0</v>
      </c>
      <c r="AR167">
        <f>IF(COUNT($E$2:$E167)&lt;20,"",MIN($D$148:$D$167))</f>
        <v>0</v>
      </c>
      <c r="AS167">
        <f>IF(OR(AQ167="",AR167=""),"",(AQ167+AR167)/2)</f>
        <v>0</v>
      </c>
      <c r="AT167">
        <f>IF(COUNT($G$148:$G$167)&lt;20,"",STDEV($G$148:$G$167)*SQRT(252))</f>
        <v>0</v>
      </c>
      <c r="AU167">
        <f>IF(COUNT($E$2:$E167)&lt;9,"",(MAX($C$159:$C$167)+MIN($D$159:$D$167))/2)</f>
        <v>0</v>
      </c>
      <c r="AV167">
        <f>IF(COUNT($E$2:$E167)&lt;26,"",(MAX($C$142:$C$167)+MIN($D$142:$D$167))/2)</f>
        <v>0</v>
      </c>
      <c r="AW167">
        <f>IF(OR(AU167="",AV167=""),"",(AU167+AV167)/2)</f>
        <v>0</v>
      </c>
      <c r="AX167">
        <f>IF(COUNT($E$2:$E167)&lt;52,"",(MAX($C$116:$C$167)+MIN($D$116:$D$167))/2)</f>
        <v>0</v>
      </c>
      <c r="AY167">
        <f>IF(COUNT($E$2:$E167)&lt;20,"",MAX($C$68:$C$167))</f>
        <v>0</v>
      </c>
      <c r="AZ167">
        <f>IF(COUNT($E$2:$E167)&lt;20,"",MIN($D$68:$D$167))</f>
        <v>0</v>
      </c>
      <c r="BA167">
        <f>IF(COUNT($E$2:$E167)&lt;20,"",SLOPE($E$68:$E$167,$F$68:$F$167))</f>
        <v>0</v>
      </c>
      <c r="BB167">
        <f>IF(COUNT($E$2:$E167)&lt;20,"",INTERCEPT($E$68:$E$167,$F$68:$F$167))</f>
        <v>0</v>
      </c>
      <c r="BC167">
        <f>IF(OR(BA167="",BB167=""),"",BB167+BA167*F167)</f>
        <v>0</v>
      </c>
      <c r="BD167">
        <f>IF(COUNT($E$2:$E167)&lt;20,"",STEYX($E$68:$E$167,$F$68:$F$167))</f>
        <v>0</v>
      </c>
      <c r="BE167">
        <f>IF($E167="","",IF(AND(COUNT($E$168:$E$171)&gt;=4,$C167=MAX($C$163:$C$171)),$C167,""))</f>
        <v>0</v>
      </c>
      <c r="BF167">
        <f>IF($E167="","",IF(AND(COUNT($E$168:$E$171)&gt;=4,$D167=MIN($D$163:$D$171)),$D167,""))</f>
        <v>0</v>
      </c>
      <c r="BG167">
        <f>IF($A167="","",$A167-WEEKDAY($A167,2)+1)</f>
        <v>0</v>
      </c>
      <c r="BH167">
        <f>IF($A167="","",IF($A166="",1,IF(BG167&lt;&gt;BG166,1,0)))</f>
        <v>0</v>
      </c>
      <c r="BI167">
        <f>IF($A167="","",IF($A168="",1,IF(BG168&lt;&gt;BG167,1,0)))</f>
        <v>0</v>
      </c>
      <c r="BJ167">
        <f>IF($A167="","",IF(BH167=1,$B167,BJ166))</f>
        <v>0</v>
      </c>
      <c r="BK167">
        <f>IF($A167="","",IF(BH167=1,$C167,MAX($C167,BK166)))</f>
        <v>0</v>
      </c>
      <c r="BL167">
        <f>IF($A167="","",IF(BH167=1,$D167,MIN($D167,BL166)))</f>
        <v>0</v>
      </c>
      <c r="BM167">
        <f>IF($A167="","",IF(BI167=1,F167,""))</f>
        <v>0</v>
      </c>
      <c r="BN167">
        <f>IF($A167="","",DATE(YEAR($A167),MONTH($A167),1))</f>
        <v>0</v>
      </c>
      <c r="BO167">
        <f>IF($A167="","",IF($A166="",1,IF(BN167&lt;&gt;BN166,1,0)))</f>
        <v>0</v>
      </c>
      <c r="BP167">
        <f>IF($A167="","",IF($A168="",1,IF(BN168&lt;&gt;BN167,1,0)))</f>
        <v>0</v>
      </c>
      <c r="BQ167">
        <f>IF($A167="","",IF(BO167=1,$B167,BQ166))</f>
        <v>0</v>
      </c>
      <c r="BR167">
        <f>IF($A167="","",IF(BO167=1,$C167,MAX($C167,BR166)))</f>
        <v>0</v>
      </c>
      <c r="BS167">
        <f>IF($A167="","",IF(BO167=1,$D167,MIN($D167,BS166)))</f>
        <v>0</v>
      </c>
      <c r="BT167">
        <f>IF($A167="","",IF(BP167=1,F167,""))</f>
        <v>0</v>
      </c>
    </row>
    <row r="168" spans="1:72">
      <c r="A168" s="27">
        <f>IF(Data!$A168="","",Data!$A168)</f>
        <v>0</v>
      </c>
      <c r="B168">
        <f>IF(Data!$B168="","",Data!$B168)</f>
        <v>0</v>
      </c>
      <c r="C168">
        <f>IF(Data!$C168="","",Data!$C168)</f>
        <v>0</v>
      </c>
      <c r="D168">
        <f>IF(Data!$D168="","",Data!$D168)</f>
        <v>0</v>
      </c>
      <c r="E168">
        <f>IF(Data!$E168="","",Data!$E168)</f>
        <v>0</v>
      </c>
      <c r="F168">
        <f>IF($E168="","",N(F167)+1)</f>
        <v>0</v>
      </c>
      <c r="G168">
        <f>IF(OR($E168="",$E167=""),"",LN($E168/$E167))</f>
        <v>0</v>
      </c>
      <c r="H168">
        <f>IF($E168="","",IF($E167="",$E168,$E168*0.0952380952+H167*0.9047619048))</f>
        <v>0</v>
      </c>
      <c r="I168">
        <f>IF($E168="","",IF($E167="",$E168,$E168*0.0392156863+I167*0.9607843137))</f>
        <v>0</v>
      </c>
      <c r="J168">
        <f>IF($E168="","",IF($E167="",$E168,$E168*0.0198019802+J167*0.9801980198))</f>
        <v>0</v>
      </c>
      <c r="K168">
        <f>IF($E168="","",IF($E167="",$E168,$E168*0.0099502488+K167*0.9900497512))</f>
        <v>0</v>
      </c>
      <c r="L168">
        <f>IF(OR($E168="",$E167=""),"",MAX($E168-$E167,0))</f>
        <v>0</v>
      </c>
      <c r="M168">
        <f>IF(OR($E168="",$E167=""),"",MAX($E167-$E168,0))</f>
        <v>0</v>
      </c>
      <c r="N168">
        <f>IF(COUNT($E$2:$E168)&lt;15,"",IF(AVERAGE($M$155:$M$168)=0,100,100-100/(1+AVERAGE($L$155:$L$168)/AVERAGE($M$155:$M$168))))</f>
        <v>0</v>
      </c>
      <c r="O168">
        <f>IF($E168="","",IF($E167="",$E168,$E168*0.1538461538+O167*0.8461538462))</f>
        <v>0</v>
      </c>
      <c r="P168">
        <f>IF($E168="","",IF($E167="",$E168,$E168*0.0740740741+P167*0.9259259259))</f>
        <v>0</v>
      </c>
      <c r="Q168">
        <f>IF(OR(O168="",P168=""),"",O168-P168)</f>
        <v>0</v>
      </c>
      <c r="R168">
        <f>IF(Q168="","",IF(R167="",Q168,Q168*0.2000000000+R167*0.8000000000))</f>
        <v>0</v>
      </c>
      <c r="S168">
        <f>IF(OR(Q168="",R168=""),"",Q168-R168)</f>
        <v>0</v>
      </c>
      <c r="T168">
        <f>IF(COUNT($E$2:$E168)&lt;14,"",MAX($C$155:$C$168))</f>
        <v>0</v>
      </c>
      <c r="U168">
        <f>IF(COUNT($E$2:$E168)&lt;14,"",MIN($D$155:$D$168))</f>
        <v>0</v>
      </c>
      <c r="V168">
        <f>IF(OR(T168="",U168="",T168=U168),"",100*($E168-U168)/(T168-U168))</f>
        <v>0</v>
      </c>
      <c r="W168">
        <f>IF(COUNT($V$166:$V$168)&lt;3,"",AVERAGE($V$166:$V$168))</f>
        <v>0</v>
      </c>
      <c r="X168">
        <f>IF(COUNT($N$155:$N$168)&lt;14,"",MIN($N$155:$N$168))</f>
        <v>0</v>
      </c>
      <c r="Y168">
        <f>IF(COUNT($N$155:$N$168)&lt;14,"",MAX($N$155:$N$168))</f>
        <v>0</v>
      </c>
      <c r="Z168">
        <f>IF(OR(N168="",X168="",Y168="",Y168=X168),"",100*(N168-X168)/(Y168-X168))</f>
        <v>0</v>
      </c>
      <c r="AA168">
        <f>IF(COUNT($Z$166:$Z$168)&lt;3,"",AVERAGE($Z$166:$Z$168))</f>
        <v>0</v>
      </c>
      <c r="AB168">
        <f>IF(COUNT($AA$166:$AA$168)&lt;3,"",AVERAGE($AA$166:$AA$168))</f>
        <v>0</v>
      </c>
      <c r="AC168">
        <f>IF($E168="","",MAX($C168-$D168,ABS($C168-$E167),ABS($D168-$E167)))</f>
        <v>0</v>
      </c>
      <c r="AD168">
        <f>IF(COUNT($E$2:$E168)&lt;15,"",AVERAGE($AC$155:$AC$168))</f>
        <v>0</v>
      </c>
      <c r="AE168">
        <f>IF(OR($E168="",$E167=""),"",IF(AND(($C168-$C167)&gt;($D167-$D168),($C168-$C167)&gt;0),$C168-$C167,0))</f>
        <v>0</v>
      </c>
      <c r="AF168">
        <f>IF(OR($E168="",$E167=""),"",IF(AND(($D167-$D168)&gt;($C168-$C167),($D167-$D168)&gt;0),$D167-$D168,0))</f>
        <v>0</v>
      </c>
      <c r="AG168">
        <f>IF(COUNT($E$2:$E168)&lt;15,"",IF(SUM($AC$155:$AC$168)=0,0,100*SUM($AE$155:$AE$168)/SUM($AC$155:$AC$168)))</f>
        <v>0</v>
      </c>
      <c r="AH168">
        <f>IF(COUNT($E$2:$E168)&lt;15,"",IF(SUM($AC$155:$AC$168)=0,0,100*SUM($AF$155:$AF$168)/SUM($AC$155:$AC$168)))</f>
        <v>0</v>
      </c>
      <c r="AI168">
        <f>IF(OR(AG168="",AH168=""),"",IF((AG168+AH168)=0,0,100*ABS(AG168-AH168)/(AG168+AH168)))</f>
        <v>0</v>
      </c>
      <c r="AJ168">
        <f>IF(COUNT($AI$155:$AI$168)&lt;14,"",AVERAGE($AI$155:$AI$168))</f>
        <v>0</v>
      </c>
      <c r="AK168">
        <f>IF(COUNT($E$2:$E168)&lt;20,"",AVERAGE($E$149:$E$168))</f>
        <v>0</v>
      </c>
      <c r="AL168">
        <f>IF(COUNT($E$2:$E168)&lt;20,"",STDEVP($E$149:$E$168))</f>
        <v>0</v>
      </c>
      <c r="AM168">
        <f>IF(AK168="","",AK168+2*AL168)</f>
        <v>0</v>
      </c>
      <c r="AN168">
        <f>IF(AK168="","",AK168-2*AL168)</f>
        <v>0</v>
      </c>
      <c r="AO168">
        <f>IF(OR(AM168="",AN168="",AM168=AN168),"",($E168-AN168)/(AM168-AN168))</f>
        <v>0</v>
      </c>
      <c r="AP168">
        <f>IF(OR(AM168="",AK168="",AK168=0),"",(AM168-AN168)/AK168)</f>
        <v>0</v>
      </c>
      <c r="AQ168">
        <f>IF(COUNT($E$2:$E168)&lt;20,"",MAX($C$149:$C$168))</f>
        <v>0</v>
      </c>
      <c r="AR168">
        <f>IF(COUNT($E$2:$E168)&lt;20,"",MIN($D$149:$D$168))</f>
        <v>0</v>
      </c>
      <c r="AS168">
        <f>IF(OR(AQ168="",AR168=""),"",(AQ168+AR168)/2)</f>
        <v>0</v>
      </c>
      <c r="AT168">
        <f>IF(COUNT($G$149:$G$168)&lt;20,"",STDEV($G$149:$G$168)*SQRT(252))</f>
        <v>0</v>
      </c>
      <c r="AU168">
        <f>IF(COUNT($E$2:$E168)&lt;9,"",(MAX($C$160:$C$168)+MIN($D$160:$D$168))/2)</f>
        <v>0</v>
      </c>
      <c r="AV168">
        <f>IF(COUNT($E$2:$E168)&lt;26,"",(MAX($C$143:$C$168)+MIN($D$143:$D$168))/2)</f>
        <v>0</v>
      </c>
      <c r="AW168">
        <f>IF(OR(AU168="",AV168=""),"",(AU168+AV168)/2)</f>
        <v>0</v>
      </c>
      <c r="AX168">
        <f>IF(COUNT($E$2:$E168)&lt;52,"",(MAX($C$117:$C$168)+MIN($D$117:$D$168))/2)</f>
        <v>0</v>
      </c>
      <c r="AY168">
        <f>IF(COUNT($E$2:$E168)&lt;20,"",MAX($C$69:$C$168))</f>
        <v>0</v>
      </c>
      <c r="AZ168">
        <f>IF(COUNT($E$2:$E168)&lt;20,"",MIN($D$69:$D$168))</f>
        <v>0</v>
      </c>
      <c r="BA168">
        <f>IF(COUNT($E$2:$E168)&lt;20,"",SLOPE($E$69:$E$168,$F$69:$F$168))</f>
        <v>0</v>
      </c>
      <c r="BB168">
        <f>IF(COUNT($E$2:$E168)&lt;20,"",INTERCEPT($E$69:$E$168,$F$69:$F$168))</f>
        <v>0</v>
      </c>
      <c r="BC168">
        <f>IF(OR(BA168="",BB168=""),"",BB168+BA168*F168)</f>
        <v>0</v>
      </c>
      <c r="BD168">
        <f>IF(COUNT($E$2:$E168)&lt;20,"",STEYX($E$69:$E$168,$F$69:$F$168))</f>
        <v>0</v>
      </c>
      <c r="BE168">
        <f>IF($E168="","",IF(AND(COUNT($E$169:$E$172)&gt;=4,$C168=MAX($C$164:$C$172)),$C168,""))</f>
        <v>0</v>
      </c>
      <c r="BF168">
        <f>IF($E168="","",IF(AND(COUNT($E$169:$E$172)&gt;=4,$D168=MIN($D$164:$D$172)),$D168,""))</f>
        <v>0</v>
      </c>
      <c r="BG168">
        <f>IF($A168="","",$A168-WEEKDAY($A168,2)+1)</f>
        <v>0</v>
      </c>
      <c r="BH168">
        <f>IF($A168="","",IF($A167="",1,IF(BG168&lt;&gt;BG167,1,0)))</f>
        <v>0</v>
      </c>
      <c r="BI168">
        <f>IF($A168="","",IF($A169="",1,IF(BG169&lt;&gt;BG168,1,0)))</f>
        <v>0</v>
      </c>
      <c r="BJ168">
        <f>IF($A168="","",IF(BH168=1,$B168,BJ167))</f>
        <v>0</v>
      </c>
      <c r="BK168">
        <f>IF($A168="","",IF(BH168=1,$C168,MAX($C168,BK167)))</f>
        <v>0</v>
      </c>
      <c r="BL168">
        <f>IF($A168="","",IF(BH168=1,$D168,MIN($D168,BL167)))</f>
        <v>0</v>
      </c>
      <c r="BM168">
        <f>IF($A168="","",IF(BI168=1,F168,""))</f>
        <v>0</v>
      </c>
      <c r="BN168">
        <f>IF($A168="","",DATE(YEAR($A168),MONTH($A168),1))</f>
        <v>0</v>
      </c>
      <c r="BO168">
        <f>IF($A168="","",IF($A167="",1,IF(BN168&lt;&gt;BN167,1,0)))</f>
        <v>0</v>
      </c>
      <c r="BP168">
        <f>IF($A168="","",IF($A169="",1,IF(BN169&lt;&gt;BN168,1,0)))</f>
        <v>0</v>
      </c>
      <c r="BQ168">
        <f>IF($A168="","",IF(BO168=1,$B168,BQ167))</f>
        <v>0</v>
      </c>
      <c r="BR168">
        <f>IF($A168="","",IF(BO168=1,$C168,MAX($C168,BR167)))</f>
        <v>0</v>
      </c>
      <c r="BS168">
        <f>IF($A168="","",IF(BO168=1,$D168,MIN($D168,BS167)))</f>
        <v>0</v>
      </c>
      <c r="BT168">
        <f>IF($A168="","",IF(BP168=1,F168,""))</f>
        <v>0</v>
      </c>
    </row>
    <row r="169" spans="1:72">
      <c r="A169" s="27">
        <f>IF(Data!$A169="","",Data!$A169)</f>
        <v>0</v>
      </c>
      <c r="B169">
        <f>IF(Data!$B169="","",Data!$B169)</f>
        <v>0</v>
      </c>
      <c r="C169">
        <f>IF(Data!$C169="","",Data!$C169)</f>
        <v>0</v>
      </c>
      <c r="D169">
        <f>IF(Data!$D169="","",Data!$D169)</f>
        <v>0</v>
      </c>
      <c r="E169">
        <f>IF(Data!$E169="","",Data!$E169)</f>
        <v>0</v>
      </c>
      <c r="F169">
        <f>IF($E169="","",N(F168)+1)</f>
        <v>0</v>
      </c>
      <c r="G169">
        <f>IF(OR($E169="",$E168=""),"",LN($E169/$E168))</f>
        <v>0</v>
      </c>
      <c r="H169">
        <f>IF($E169="","",IF($E168="",$E169,$E169*0.0952380952+H168*0.9047619048))</f>
        <v>0</v>
      </c>
      <c r="I169">
        <f>IF($E169="","",IF($E168="",$E169,$E169*0.0392156863+I168*0.9607843137))</f>
        <v>0</v>
      </c>
      <c r="J169">
        <f>IF($E169="","",IF($E168="",$E169,$E169*0.0198019802+J168*0.9801980198))</f>
        <v>0</v>
      </c>
      <c r="K169">
        <f>IF($E169="","",IF($E168="",$E169,$E169*0.0099502488+K168*0.9900497512))</f>
        <v>0</v>
      </c>
      <c r="L169">
        <f>IF(OR($E169="",$E168=""),"",MAX($E169-$E168,0))</f>
        <v>0</v>
      </c>
      <c r="M169">
        <f>IF(OR($E169="",$E168=""),"",MAX($E168-$E169,0))</f>
        <v>0</v>
      </c>
      <c r="N169">
        <f>IF(COUNT($E$2:$E169)&lt;15,"",IF(AVERAGE($M$156:$M$169)=0,100,100-100/(1+AVERAGE($L$156:$L$169)/AVERAGE($M$156:$M$169))))</f>
        <v>0</v>
      </c>
      <c r="O169">
        <f>IF($E169="","",IF($E168="",$E169,$E169*0.1538461538+O168*0.8461538462))</f>
        <v>0</v>
      </c>
      <c r="P169">
        <f>IF($E169="","",IF($E168="",$E169,$E169*0.0740740741+P168*0.9259259259))</f>
        <v>0</v>
      </c>
      <c r="Q169">
        <f>IF(OR(O169="",P169=""),"",O169-P169)</f>
        <v>0</v>
      </c>
      <c r="R169">
        <f>IF(Q169="","",IF(R168="",Q169,Q169*0.2000000000+R168*0.8000000000))</f>
        <v>0</v>
      </c>
      <c r="S169">
        <f>IF(OR(Q169="",R169=""),"",Q169-R169)</f>
        <v>0</v>
      </c>
      <c r="T169">
        <f>IF(COUNT($E$2:$E169)&lt;14,"",MAX($C$156:$C$169))</f>
        <v>0</v>
      </c>
      <c r="U169">
        <f>IF(COUNT($E$2:$E169)&lt;14,"",MIN($D$156:$D$169))</f>
        <v>0</v>
      </c>
      <c r="V169">
        <f>IF(OR(T169="",U169="",T169=U169),"",100*($E169-U169)/(T169-U169))</f>
        <v>0</v>
      </c>
      <c r="W169">
        <f>IF(COUNT($V$167:$V$169)&lt;3,"",AVERAGE($V$167:$V$169))</f>
        <v>0</v>
      </c>
      <c r="X169">
        <f>IF(COUNT($N$156:$N$169)&lt;14,"",MIN($N$156:$N$169))</f>
        <v>0</v>
      </c>
      <c r="Y169">
        <f>IF(COUNT($N$156:$N$169)&lt;14,"",MAX($N$156:$N$169))</f>
        <v>0</v>
      </c>
      <c r="Z169">
        <f>IF(OR(N169="",X169="",Y169="",Y169=X169),"",100*(N169-X169)/(Y169-X169))</f>
        <v>0</v>
      </c>
      <c r="AA169">
        <f>IF(COUNT($Z$167:$Z$169)&lt;3,"",AVERAGE($Z$167:$Z$169))</f>
        <v>0</v>
      </c>
      <c r="AB169">
        <f>IF(COUNT($AA$167:$AA$169)&lt;3,"",AVERAGE($AA$167:$AA$169))</f>
        <v>0</v>
      </c>
      <c r="AC169">
        <f>IF($E169="","",MAX($C169-$D169,ABS($C169-$E168),ABS($D169-$E168)))</f>
        <v>0</v>
      </c>
      <c r="AD169">
        <f>IF(COUNT($E$2:$E169)&lt;15,"",AVERAGE($AC$156:$AC$169))</f>
        <v>0</v>
      </c>
      <c r="AE169">
        <f>IF(OR($E169="",$E168=""),"",IF(AND(($C169-$C168)&gt;($D168-$D169),($C169-$C168)&gt;0),$C169-$C168,0))</f>
        <v>0</v>
      </c>
      <c r="AF169">
        <f>IF(OR($E169="",$E168=""),"",IF(AND(($D168-$D169)&gt;($C169-$C168),($D168-$D169)&gt;0),$D168-$D169,0))</f>
        <v>0</v>
      </c>
      <c r="AG169">
        <f>IF(COUNT($E$2:$E169)&lt;15,"",IF(SUM($AC$156:$AC$169)=0,0,100*SUM($AE$156:$AE$169)/SUM($AC$156:$AC$169)))</f>
        <v>0</v>
      </c>
      <c r="AH169">
        <f>IF(COUNT($E$2:$E169)&lt;15,"",IF(SUM($AC$156:$AC$169)=0,0,100*SUM($AF$156:$AF$169)/SUM($AC$156:$AC$169)))</f>
        <v>0</v>
      </c>
      <c r="AI169">
        <f>IF(OR(AG169="",AH169=""),"",IF((AG169+AH169)=0,0,100*ABS(AG169-AH169)/(AG169+AH169)))</f>
        <v>0</v>
      </c>
      <c r="AJ169">
        <f>IF(COUNT($AI$156:$AI$169)&lt;14,"",AVERAGE($AI$156:$AI$169))</f>
        <v>0</v>
      </c>
      <c r="AK169">
        <f>IF(COUNT($E$2:$E169)&lt;20,"",AVERAGE($E$150:$E$169))</f>
        <v>0</v>
      </c>
      <c r="AL169">
        <f>IF(COUNT($E$2:$E169)&lt;20,"",STDEVP($E$150:$E$169))</f>
        <v>0</v>
      </c>
      <c r="AM169">
        <f>IF(AK169="","",AK169+2*AL169)</f>
        <v>0</v>
      </c>
      <c r="AN169">
        <f>IF(AK169="","",AK169-2*AL169)</f>
        <v>0</v>
      </c>
      <c r="AO169">
        <f>IF(OR(AM169="",AN169="",AM169=AN169),"",($E169-AN169)/(AM169-AN169))</f>
        <v>0</v>
      </c>
      <c r="AP169">
        <f>IF(OR(AM169="",AK169="",AK169=0),"",(AM169-AN169)/AK169)</f>
        <v>0</v>
      </c>
      <c r="AQ169">
        <f>IF(COUNT($E$2:$E169)&lt;20,"",MAX($C$150:$C$169))</f>
        <v>0</v>
      </c>
      <c r="AR169">
        <f>IF(COUNT($E$2:$E169)&lt;20,"",MIN($D$150:$D$169))</f>
        <v>0</v>
      </c>
      <c r="AS169">
        <f>IF(OR(AQ169="",AR169=""),"",(AQ169+AR169)/2)</f>
        <v>0</v>
      </c>
      <c r="AT169">
        <f>IF(COUNT($G$150:$G$169)&lt;20,"",STDEV($G$150:$G$169)*SQRT(252))</f>
        <v>0</v>
      </c>
      <c r="AU169">
        <f>IF(COUNT($E$2:$E169)&lt;9,"",(MAX($C$161:$C$169)+MIN($D$161:$D$169))/2)</f>
        <v>0</v>
      </c>
      <c r="AV169">
        <f>IF(COUNT($E$2:$E169)&lt;26,"",(MAX($C$144:$C$169)+MIN($D$144:$D$169))/2)</f>
        <v>0</v>
      </c>
      <c r="AW169">
        <f>IF(OR(AU169="",AV169=""),"",(AU169+AV169)/2)</f>
        <v>0</v>
      </c>
      <c r="AX169">
        <f>IF(COUNT($E$2:$E169)&lt;52,"",(MAX($C$118:$C$169)+MIN($D$118:$D$169))/2)</f>
        <v>0</v>
      </c>
      <c r="AY169">
        <f>IF(COUNT($E$2:$E169)&lt;20,"",MAX($C$70:$C$169))</f>
        <v>0</v>
      </c>
      <c r="AZ169">
        <f>IF(COUNT($E$2:$E169)&lt;20,"",MIN($D$70:$D$169))</f>
        <v>0</v>
      </c>
      <c r="BA169">
        <f>IF(COUNT($E$2:$E169)&lt;20,"",SLOPE($E$70:$E$169,$F$70:$F$169))</f>
        <v>0</v>
      </c>
      <c r="BB169">
        <f>IF(COUNT($E$2:$E169)&lt;20,"",INTERCEPT($E$70:$E$169,$F$70:$F$169))</f>
        <v>0</v>
      </c>
      <c r="BC169">
        <f>IF(OR(BA169="",BB169=""),"",BB169+BA169*F169)</f>
        <v>0</v>
      </c>
      <c r="BD169">
        <f>IF(COUNT($E$2:$E169)&lt;20,"",STEYX($E$70:$E$169,$F$70:$F$169))</f>
        <v>0</v>
      </c>
      <c r="BE169">
        <f>IF($E169="","",IF(AND(COUNT($E$170:$E$173)&gt;=4,$C169=MAX($C$165:$C$173)),$C169,""))</f>
        <v>0</v>
      </c>
      <c r="BF169">
        <f>IF($E169="","",IF(AND(COUNT($E$170:$E$173)&gt;=4,$D169=MIN($D$165:$D$173)),$D169,""))</f>
        <v>0</v>
      </c>
      <c r="BG169">
        <f>IF($A169="","",$A169-WEEKDAY($A169,2)+1)</f>
        <v>0</v>
      </c>
      <c r="BH169">
        <f>IF($A169="","",IF($A168="",1,IF(BG169&lt;&gt;BG168,1,0)))</f>
        <v>0</v>
      </c>
      <c r="BI169">
        <f>IF($A169="","",IF($A170="",1,IF(BG170&lt;&gt;BG169,1,0)))</f>
        <v>0</v>
      </c>
      <c r="BJ169">
        <f>IF($A169="","",IF(BH169=1,$B169,BJ168))</f>
        <v>0</v>
      </c>
      <c r="BK169">
        <f>IF($A169="","",IF(BH169=1,$C169,MAX($C169,BK168)))</f>
        <v>0</v>
      </c>
      <c r="BL169">
        <f>IF($A169="","",IF(BH169=1,$D169,MIN($D169,BL168)))</f>
        <v>0</v>
      </c>
      <c r="BM169">
        <f>IF($A169="","",IF(BI169=1,F169,""))</f>
        <v>0</v>
      </c>
      <c r="BN169">
        <f>IF($A169="","",DATE(YEAR($A169),MONTH($A169),1))</f>
        <v>0</v>
      </c>
      <c r="BO169">
        <f>IF($A169="","",IF($A168="",1,IF(BN169&lt;&gt;BN168,1,0)))</f>
        <v>0</v>
      </c>
      <c r="BP169">
        <f>IF($A169="","",IF($A170="",1,IF(BN170&lt;&gt;BN169,1,0)))</f>
        <v>0</v>
      </c>
      <c r="BQ169">
        <f>IF($A169="","",IF(BO169=1,$B169,BQ168))</f>
        <v>0</v>
      </c>
      <c r="BR169">
        <f>IF($A169="","",IF(BO169=1,$C169,MAX($C169,BR168)))</f>
        <v>0</v>
      </c>
      <c r="BS169">
        <f>IF($A169="","",IF(BO169=1,$D169,MIN($D169,BS168)))</f>
        <v>0</v>
      </c>
      <c r="BT169">
        <f>IF($A169="","",IF(BP169=1,F169,""))</f>
        <v>0</v>
      </c>
    </row>
    <row r="170" spans="1:72">
      <c r="A170" s="27">
        <f>IF(Data!$A170="","",Data!$A170)</f>
        <v>0</v>
      </c>
      <c r="B170">
        <f>IF(Data!$B170="","",Data!$B170)</f>
        <v>0</v>
      </c>
      <c r="C170">
        <f>IF(Data!$C170="","",Data!$C170)</f>
        <v>0</v>
      </c>
      <c r="D170">
        <f>IF(Data!$D170="","",Data!$D170)</f>
        <v>0</v>
      </c>
      <c r="E170">
        <f>IF(Data!$E170="","",Data!$E170)</f>
        <v>0</v>
      </c>
      <c r="F170">
        <f>IF($E170="","",N(F169)+1)</f>
        <v>0</v>
      </c>
      <c r="G170">
        <f>IF(OR($E170="",$E169=""),"",LN($E170/$E169))</f>
        <v>0</v>
      </c>
      <c r="H170">
        <f>IF($E170="","",IF($E169="",$E170,$E170*0.0952380952+H169*0.9047619048))</f>
        <v>0</v>
      </c>
      <c r="I170">
        <f>IF($E170="","",IF($E169="",$E170,$E170*0.0392156863+I169*0.9607843137))</f>
        <v>0</v>
      </c>
      <c r="J170">
        <f>IF($E170="","",IF($E169="",$E170,$E170*0.0198019802+J169*0.9801980198))</f>
        <v>0</v>
      </c>
      <c r="K170">
        <f>IF($E170="","",IF($E169="",$E170,$E170*0.0099502488+K169*0.9900497512))</f>
        <v>0</v>
      </c>
      <c r="L170">
        <f>IF(OR($E170="",$E169=""),"",MAX($E170-$E169,0))</f>
        <v>0</v>
      </c>
      <c r="M170">
        <f>IF(OR($E170="",$E169=""),"",MAX($E169-$E170,0))</f>
        <v>0</v>
      </c>
      <c r="N170">
        <f>IF(COUNT($E$2:$E170)&lt;15,"",IF(AVERAGE($M$157:$M$170)=0,100,100-100/(1+AVERAGE($L$157:$L$170)/AVERAGE($M$157:$M$170))))</f>
        <v>0</v>
      </c>
      <c r="O170">
        <f>IF($E170="","",IF($E169="",$E170,$E170*0.1538461538+O169*0.8461538462))</f>
        <v>0</v>
      </c>
      <c r="P170">
        <f>IF($E170="","",IF($E169="",$E170,$E170*0.0740740741+P169*0.9259259259))</f>
        <v>0</v>
      </c>
      <c r="Q170">
        <f>IF(OR(O170="",P170=""),"",O170-P170)</f>
        <v>0</v>
      </c>
      <c r="R170">
        <f>IF(Q170="","",IF(R169="",Q170,Q170*0.2000000000+R169*0.8000000000))</f>
        <v>0</v>
      </c>
      <c r="S170">
        <f>IF(OR(Q170="",R170=""),"",Q170-R170)</f>
        <v>0</v>
      </c>
      <c r="T170">
        <f>IF(COUNT($E$2:$E170)&lt;14,"",MAX($C$157:$C$170))</f>
        <v>0</v>
      </c>
      <c r="U170">
        <f>IF(COUNT($E$2:$E170)&lt;14,"",MIN($D$157:$D$170))</f>
        <v>0</v>
      </c>
      <c r="V170">
        <f>IF(OR(T170="",U170="",T170=U170),"",100*($E170-U170)/(T170-U170))</f>
        <v>0</v>
      </c>
      <c r="W170">
        <f>IF(COUNT($V$168:$V$170)&lt;3,"",AVERAGE($V$168:$V$170))</f>
        <v>0</v>
      </c>
      <c r="X170">
        <f>IF(COUNT($N$157:$N$170)&lt;14,"",MIN($N$157:$N$170))</f>
        <v>0</v>
      </c>
      <c r="Y170">
        <f>IF(COUNT($N$157:$N$170)&lt;14,"",MAX($N$157:$N$170))</f>
        <v>0</v>
      </c>
      <c r="Z170">
        <f>IF(OR(N170="",X170="",Y170="",Y170=X170),"",100*(N170-X170)/(Y170-X170))</f>
        <v>0</v>
      </c>
      <c r="AA170">
        <f>IF(COUNT($Z$168:$Z$170)&lt;3,"",AVERAGE($Z$168:$Z$170))</f>
        <v>0</v>
      </c>
      <c r="AB170">
        <f>IF(COUNT($AA$168:$AA$170)&lt;3,"",AVERAGE($AA$168:$AA$170))</f>
        <v>0</v>
      </c>
      <c r="AC170">
        <f>IF($E170="","",MAX($C170-$D170,ABS($C170-$E169),ABS($D170-$E169)))</f>
        <v>0</v>
      </c>
      <c r="AD170">
        <f>IF(COUNT($E$2:$E170)&lt;15,"",AVERAGE($AC$157:$AC$170))</f>
        <v>0</v>
      </c>
      <c r="AE170">
        <f>IF(OR($E170="",$E169=""),"",IF(AND(($C170-$C169)&gt;($D169-$D170),($C170-$C169)&gt;0),$C170-$C169,0))</f>
        <v>0</v>
      </c>
      <c r="AF170">
        <f>IF(OR($E170="",$E169=""),"",IF(AND(($D169-$D170)&gt;($C170-$C169),($D169-$D170)&gt;0),$D169-$D170,0))</f>
        <v>0</v>
      </c>
      <c r="AG170">
        <f>IF(COUNT($E$2:$E170)&lt;15,"",IF(SUM($AC$157:$AC$170)=0,0,100*SUM($AE$157:$AE$170)/SUM($AC$157:$AC$170)))</f>
        <v>0</v>
      </c>
      <c r="AH170">
        <f>IF(COUNT($E$2:$E170)&lt;15,"",IF(SUM($AC$157:$AC$170)=0,0,100*SUM($AF$157:$AF$170)/SUM($AC$157:$AC$170)))</f>
        <v>0</v>
      </c>
      <c r="AI170">
        <f>IF(OR(AG170="",AH170=""),"",IF((AG170+AH170)=0,0,100*ABS(AG170-AH170)/(AG170+AH170)))</f>
        <v>0</v>
      </c>
      <c r="AJ170">
        <f>IF(COUNT($AI$157:$AI$170)&lt;14,"",AVERAGE($AI$157:$AI$170))</f>
        <v>0</v>
      </c>
      <c r="AK170">
        <f>IF(COUNT($E$2:$E170)&lt;20,"",AVERAGE($E$151:$E$170))</f>
        <v>0</v>
      </c>
      <c r="AL170">
        <f>IF(COUNT($E$2:$E170)&lt;20,"",STDEVP($E$151:$E$170))</f>
        <v>0</v>
      </c>
      <c r="AM170">
        <f>IF(AK170="","",AK170+2*AL170)</f>
        <v>0</v>
      </c>
      <c r="AN170">
        <f>IF(AK170="","",AK170-2*AL170)</f>
        <v>0</v>
      </c>
      <c r="AO170">
        <f>IF(OR(AM170="",AN170="",AM170=AN170),"",($E170-AN170)/(AM170-AN170))</f>
        <v>0</v>
      </c>
      <c r="AP170">
        <f>IF(OR(AM170="",AK170="",AK170=0),"",(AM170-AN170)/AK170)</f>
        <v>0</v>
      </c>
      <c r="AQ170">
        <f>IF(COUNT($E$2:$E170)&lt;20,"",MAX($C$151:$C$170))</f>
        <v>0</v>
      </c>
      <c r="AR170">
        <f>IF(COUNT($E$2:$E170)&lt;20,"",MIN($D$151:$D$170))</f>
        <v>0</v>
      </c>
      <c r="AS170">
        <f>IF(OR(AQ170="",AR170=""),"",(AQ170+AR170)/2)</f>
        <v>0</v>
      </c>
      <c r="AT170">
        <f>IF(COUNT($G$151:$G$170)&lt;20,"",STDEV($G$151:$G$170)*SQRT(252))</f>
        <v>0</v>
      </c>
      <c r="AU170">
        <f>IF(COUNT($E$2:$E170)&lt;9,"",(MAX($C$162:$C$170)+MIN($D$162:$D$170))/2)</f>
        <v>0</v>
      </c>
      <c r="AV170">
        <f>IF(COUNT($E$2:$E170)&lt;26,"",(MAX($C$145:$C$170)+MIN($D$145:$D$170))/2)</f>
        <v>0</v>
      </c>
      <c r="AW170">
        <f>IF(OR(AU170="",AV170=""),"",(AU170+AV170)/2)</f>
        <v>0</v>
      </c>
      <c r="AX170">
        <f>IF(COUNT($E$2:$E170)&lt;52,"",(MAX($C$119:$C$170)+MIN($D$119:$D$170))/2)</f>
        <v>0</v>
      </c>
      <c r="AY170">
        <f>IF(COUNT($E$2:$E170)&lt;20,"",MAX($C$71:$C$170))</f>
        <v>0</v>
      </c>
      <c r="AZ170">
        <f>IF(COUNT($E$2:$E170)&lt;20,"",MIN($D$71:$D$170))</f>
        <v>0</v>
      </c>
      <c r="BA170">
        <f>IF(COUNT($E$2:$E170)&lt;20,"",SLOPE($E$71:$E$170,$F$71:$F$170))</f>
        <v>0</v>
      </c>
      <c r="BB170">
        <f>IF(COUNT($E$2:$E170)&lt;20,"",INTERCEPT($E$71:$E$170,$F$71:$F$170))</f>
        <v>0</v>
      </c>
      <c r="BC170">
        <f>IF(OR(BA170="",BB170=""),"",BB170+BA170*F170)</f>
        <v>0</v>
      </c>
      <c r="BD170">
        <f>IF(COUNT($E$2:$E170)&lt;20,"",STEYX($E$71:$E$170,$F$71:$F$170))</f>
        <v>0</v>
      </c>
      <c r="BE170">
        <f>IF($E170="","",IF(AND(COUNT($E$171:$E$174)&gt;=4,$C170=MAX($C$166:$C$174)),$C170,""))</f>
        <v>0</v>
      </c>
      <c r="BF170">
        <f>IF($E170="","",IF(AND(COUNT($E$171:$E$174)&gt;=4,$D170=MIN($D$166:$D$174)),$D170,""))</f>
        <v>0</v>
      </c>
      <c r="BG170">
        <f>IF($A170="","",$A170-WEEKDAY($A170,2)+1)</f>
        <v>0</v>
      </c>
      <c r="BH170">
        <f>IF($A170="","",IF($A169="",1,IF(BG170&lt;&gt;BG169,1,0)))</f>
        <v>0</v>
      </c>
      <c r="BI170">
        <f>IF($A170="","",IF($A171="",1,IF(BG171&lt;&gt;BG170,1,0)))</f>
        <v>0</v>
      </c>
      <c r="BJ170">
        <f>IF($A170="","",IF(BH170=1,$B170,BJ169))</f>
        <v>0</v>
      </c>
      <c r="BK170">
        <f>IF($A170="","",IF(BH170=1,$C170,MAX($C170,BK169)))</f>
        <v>0</v>
      </c>
      <c r="BL170">
        <f>IF($A170="","",IF(BH170=1,$D170,MIN($D170,BL169)))</f>
        <v>0</v>
      </c>
      <c r="BM170">
        <f>IF($A170="","",IF(BI170=1,F170,""))</f>
        <v>0</v>
      </c>
      <c r="BN170">
        <f>IF($A170="","",DATE(YEAR($A170),MONTH($A170),1))</f>
        <v>0</v>
      </c>
      <c r="BO170">
        <f>IF($A170="","",IF($A169="",1,IF(BN170&lt;&gt;BN169,1,0)))</f>
        <v>0</v>
      </c>
      <c r="BP170">
        <f>IF($A170="","",IF($A171="",1,IF(BN171&lt;&gt;BN170,1,0)))</f>
        <v>0</v>
      </c>
      <c r="BQ170">
        <f>IF($A170="","",IF(BO170=1,$B170,BQ169))</f>
        <v>0</v>
      </c>
      <c r="BR170">
        <f>IF($A170="","",IF(BO170=1,$C170,MAX($C170,BR169)))</f>
        <v>0</v>
      </c>
      <c r="BS170">
        <f>IF($A170="","",IF(BO170=1,$D170,MIN($D170,BS169)))</f>
        <v>0</v>
      </c>
      <c r="BT170">
        <f>IF($A170="","",IF(BP170=1,F170,""))</f>
        <v>0</v>
      </c>
    </row>
    <row r="171" spans="1:72">
      <c r="A171" s="27">
        <f>IF(Data!$A171="","",Data!$A171)</f>
        <v>0</v>
      </c>
      <c r="B171">
        <f>IF(Data!$B171="","",Data!$B171)</f>
        <v>0</v>
      </c>
      <c r="C171">
        <f>IF(Data!$C171="","",Data!$C171)</f>
        <v>0</v>
      </c>
      <c r="D171">
        <f>IF(Data!$D171="","",Data!$D171)</f>
        <v>0</v>
      </c>
      <c r="E171">
        <f>IF(Data!$E171="","",Data!$E171)</f>
        <v>0</v>
      </c>
      <c r="F171">
        <f>IF($E171="","",N(F170)+1)</f>
        <v>0</v>
      </c>
      <c r="G171">
        <f>IF(OR($E171="",$E170=""),"",LN($E171/$E170))</f>
        <v>0</v>
      </c>
      <c r="H171">
        <f>IF($E171="","",IF($E170="",$E171,$E171*0.0952380952+H170*0.9047619048))</f>
        <v>0</v>
      </c>
      <c r="I171">
        <f>IF($E171="","",IF($E170="",$E171,$E171*0.0392156863+I170*0.9607843137))</f>
        <v>0</v>
      </c>
      <c r="J171">
        <f>IF($E171="","",IF($E170="",$E171,$E171*0.0198019802+J170*0.9801980198))</f>
        <v>0</v>
      </c>
      <c r="K171">
        <f>IF($E171="","",IF($E170="",$E171,$E171*0.0099502488+K170*0.9900497512))</f>
        <v>0</v>
      </c>
      <c r="L171">
        <f>IF(OR($E171="",$E170=""),"",MAX($E171-$E170,0))</f>
        <v>0</v>
      </c>
      <c r="M171">
        <f>IF(OR($E171="",$E170=""),"",MAX($E170-$E171,0))</f>
        <v>0</v>
      </c>
      <c r="N171">
        <f>IF(COUNT($E$2:$E171)&lt;15,"",IF(AVERAGE($M$158:$M$171)=0,100,100-100/(1+AVERAGE($L$158:$L$171)/AVERAGE($M$158:$M$171))))</f>
        <v>0</v>
      </c>
      <c r="O171">
        <f>IF($E171="","",IF($E170="",$E171,$E171*0.1538461538+O170*0.8461538462))</f>
        <v>0</v>
      </c>
      <c r="P171">
        <f>IF($E171="","",IF($E170="",$E171,$E171*0.0740740741+P170*0.9259259259))</f>
        <v>0</v>
      </c>
      <c r="Q171">
        <f>IF(OR(O171="",P171=""),"",O171-P171)</f>
        <v>0</v>
      </c>
      <c r="R171">
        <f>IF(Q171="","",IF(R170="",Q171,Q171*0.2000000000+R170*0.8000000000))</f>
        <v>0</v>
      </c>
      <c r="S171">
        <f>IF(OR(Q171="",R171=""),"",Q171-R171)</f>
        <v>0</v>
      </c>
      <c r="T171">
        <f>IF(COUNT($E$2:$E171)&lt;14,"",MAX($C$158:$C$171))</f>
        <v>0</v>
      </c>
      <c r="U171">
        <f>IF(COUNT($E$2:$E171)&lt;14,"",MIN($D$158:$D$171))</f>
        <v>0</v>
      </c>
      <c r="V171">
        <f>IF(OR(T171="",U171="",T171=U171),"",100*($E171-U171)/(T171-U171))</f>
        <v>0</v>
      </c>
      <c r="W171">
        <f>IF(COUNT($V$169:$V$171)&lt;3,"",AVERAGE($V$169:$V$171))</f>
        <v>0</v>
      </c>
      <c r="X171">
        <f>IF(COUNT($N$158:$N$171)&lt;14,"",MIN($N$158:$N$171))</f>
        <v>0</v>
      </c>
      <c r="Y171">
        <f>IF(COUNT($N$158:$N$171)&lt;14,"",MAX($N$158:$N$171))</f>
        <v>0</v>
      </c>
      <c r="Z171">
        <f>IF(OR(N171="",X171="",Y171="",Y171=X171),"",100*(N171-X171)/(Y171-X171))</f>
        <v>0</v>
      </c>
      <c r="AA171">
        <f>IF(COUNT($Z$169:$Z$171)&lt;3,"",AVERAGE($Z$169:$Z$171))</f>
        <v>0</v>
      </c>
      <c r="AB171">
        <f>IF(COUNT($AA$169:$AA$171)&lt;3,"",AVERAGE($AA$169:$AA$171))</f>
        <v>0</v>
      </c>
      <c r="AC171">
        <f>IF($E171="","",MAX($C171-$D171,ABS($C171-$E170),ABS($D171-$E170)))</f>
        <v>0</v>
      </c>
      <c r="AD171">
        <f>IF(COUNT($E$2:$E171)&lt;15,"",AVERAGE($AC$158:$AC$171))</f>
        <v>0</v>
      </c>
      <c r="AE171">
        <f>IF(OR($E171="",$E170=""),"",IF(AND(($C171-$C170)&gt;($D170-$D171),($C171-$C170)&gt;0),$C171-$C170,0))</f>
        <v>0</v>
      </c>
      <c r="AF171">
        <f>IF(OR($E171="",$E170=""),"",IF(AND(($D170-$D171)&gt;($C171-$C170),($D170-$D171)&gt;0),$D170-$D171,0))</f>
        <v>0</v>
      </c>
      <c r="AG171">
        <f>IF(COUNT($E$2:$E171)&lt;15,"",IF(SUM($AC$158:$AC$171)=0,0,100*SUM($AE$158:$AE$171)/SUM($AC$158:$AC$171)))</f>
        <v>0</v>
      </c>
      <c r="AH171">
        <f>IF(COUNT($E$2:$E171)&lt;15,"",IF(SUM($AC$158:$AC$171)=0,0,100*SUM($AF$158:$AF$171)/SUM($AC$158:$AC$171)))</f>
        <v>0</v>
      </c>
      <c r="AI171">
        <f>IF(OR(AG171="",AH171=""),"",IF((AG171+AH171)=0,0,100*ABS(AG171-AH171)/(AG171+AH171)))</f>
        <v>0</v>
      </c>
      <c r="AJ171">
        <f>IF(COUNT($AI$158:$AI$171)&lt;14,"",AVERAGE($AI$158:$AI$171))</f>
        <v>0</v>
      </c>
      <c r="AK171">
        <f>IF(COUNT($E$2:$E171)&lt;20,"",AVERAGE($E$152:$E$171))</f>
        <v>0</v>
      </c>
      <c r="AL171">
        <f>IF(COUNT($E$2:$E171)&lt;20,"",STDEVP($E$152:$E$171))</f>
        <v>0</v>
      </c>
      <c r="AM171">
        <f>IF(AK171="","",AK171+2*AL171)</f>
        <v>0</v>
      </c>
      <c r="AN171">
        <f>IF(AK171="","",AK171-2*AL171)</f>
        <v>0</v>
      </c>
      <c r="AO171">
        <f>IF(OR(AM171="",AN171="",AM171=AN171),"",($E171-AN171)/(AM171-AN171))</f>
        <v>0</v>
      </c>
      <c r="AP171">
        <f>IF(OR(AM171="",AK171="",AK171=0),"",(AM171-AN171)/AK171)</f>
        <v>0</v>
      </c>
      <c r="AQ171">
        <f>IF(COUNT($E$2:$E171)&lt;20,"",MAX($C$152:$C$171))</f>
        <v>0</v>
      </c>
      <c r="AR171">
        <f>IF(COUNT($E$2:$E171)&lt;20,"",MIN($D$152:$D$171))</f>
        <v>0</v>
      </c>
      <c r="AS171">
        <f>IF(OR(AQ171="",AR171=""),"",(AQ171+AR171)/2)</f>
        <v>0</v>
      </c>
      <c r="AT171">
        <f>IF(COUNT($G$152:$G$171)&lt;20,"",STDEV($G$152:$G$171)*SQRT(252))</f>
        <v>0</v>
      </c>
      <c r="AU171">
        <f>IF(COUNT($E$2:$E171)&lt;9,"",(MAX($C$163:$C$171)+MIN($D$163:$D$171))/2)</f>
        <v>0</v>
      </c>
      <c r="AV171">
        <f>IF(COUNT($E$2:$E171)&lt;26,"",(MAX($C$146:$C$171)+MIN($D$146:$D$171))/2)</f>
        <v>0</v>
      </c>
      <c r="AW171">
        <f>IF(OR(AU171="",AV171=""),"",(AU171+AV171)/2)</f>
        <v>0</v>
      </c>
      <c r="AX171">
        <f>IF(COUNT($E$2:$E171)&lt;52,"",(MAX($C$120:$C$171)+MIN($D$120:$D$171))/2)</f>
        <v>0</v>
      </c>
      <c r="AY171">
        <f>IF(COUNT($E$2:$E171)&lt;20,"",MAX($C$72:$C$171))</f>
        <v>0</v>
      </c>
      <c r="AZ171">
        <f>IF(COUNT($E$2:$E171)&lt;20,"",MIN($D$72:$D$171))</f>
        <v>0</v>
      </c>
      <c r="BA171">
        <f>IF(COUNT($E$2:$E171)&lt;20,"",SLOPE($E$72:$E$171,$F$72:$F$171))</f>
        <v>0</v>
      </c>
      <c r="BB171">
        <f>IF(COUNT($E$2:$E171)&lt;20,"",INTERCEPT($E$72:$E$171,$F$72:$F$171))</f>
        <v>0</v>
      </c>
      <c r="BC171">
        <f>IF(OR(BA171="",BB171=""),"",BB171+BA171*F171)</f>
        <v>0</v>
      </c>
      <c r="BD171">
        <f>IF(COUNT($E$2:$E171)&lt;20,"",STEYX($E$72:$E$171,$F$72:$F$171))</f>
        <v>0</v>
      </c>
      <c r="BE171">
        <f>IF($E171="","",IF(AND(COUNT($E$172:$E$175)&gt;=4,$C171=MAX($C$167:$C$175)),$C171,""))</f>
        <v>0</v>
      </c>
      <c r="BF171">
        <f>IF($E171="","",IF(AND(COUNT($E$172:$E$175)&gt;=4,$D171=MIN($D$167:$D$175)),$D171,""))</f>
        <v>0</v>
      </c>
      <c r="BG171">
        <f>IF($A171="","",$A171-WEEKDAY($A171,2)+1)</f>
        <v>0</v>
      </c>
      <c r="BH171">
        <f>IF($A171="","",IF($A170="",1,IF(BG171&lt;&gt;BG170,1,0)))</f>
        <v>0</v>
      </c>
      <c r="BI171">
        <f>IF($A171="","",IF($A172="",1,IF(BG172&lt;&gt;BG171,1,0)))</f>
        <v>0</v>
      </c>
      <c r="BJ171">
        <f>IF($A171="","",IF(BH171=1,$B171,BJ170))</f>
        <v>0</v>
      </c>
      <c r="BK171">
        <f>IF($A171="","",IF(BH171=1,$C171,MAX($C171,BK170)))</f>
        <v>0</v>
      </c>
      <c r="BL171">
        <f>IF($A171="","",IF(BH171=1,$D171,MIN($D171,BL170)))</f>
        <v>0</v>
      </c>
      <c r="BM171">
        <f>IF($A171="","",IF(BI171=1,F171,""))</f>
        <v>0</v>
      </c>
      <c r="BN171">
        <f>IF($A171="","",DATE(YEAR($A171),MONTH($A171),1))</f>
        <v>0</v>
      </c>
      <c r="BO171">
        <f>IF($A171="","",IF($A170="",1,IF(BN171&lt;&gt;BN170,1,0)))</f>
        <v>0</v>
      </c>
      <c r="BP171">
        <f>IF($A171="","",IF($A172="",1,IF(BN172&lt;&gt;BN171,1,0)))</f>
        <v>0</v>
      </c>
      <c r="BQ171">
        <f>IF($A171="","",IF(BO171=1,$B171,BQ170))</f>
        <v>0</v>
      </c>
      <c r="BR171">
        <f>IF($A171="","",IF(BO171=1,$C171,MAX($C171,BR170)))</f>
        <v>0</v>
      </c>
      <c r="BS171">
        <f>IF($A171="","",IF(BO171=1,$D171,MIN($D171,BS170)))</f>
        <v>0</v>
      </c>
      <c r="BT171">
        <f>IF($A171="","",IF(BP171=1,F171,""))</f>
        <v>0</v>
      </c>
    </row>
    <row r="172" spans="1:72">
      <c r="A172" s="27">
        <f>IF(Data!$A172="","",Data!$A172)</f>
        <v>0</v>
      </c>
      <c r="B172">
        <f>IF(Data!$B172="","",Data!$B172)</f>
        <v>0</v>
      </c>
      <c r="C172">
        <f>IF(Data!$C172="","",Data!$C172)</f>
        <v>0</v>
      </c>
      <c r="D172">
        <f>IF(Data!$D172="","",Data!$D172)</f>
        <v>0</v>
      </c>
      <c r="E172">
        <f>IF(Data!$E172="","",Data!$E172)</f>
        <v>0</v>
      </c>
      <c r="F172">
        <f>IF($E172="","",N(F171)+1)</f>
        <v>0</v>
      </c>
      <c r="G172">
        <f>IF(OR($E172="",$E171=""),"",LN($E172/$E171))</f>
        <v>0</v>
      </c>
      <c r="H172">
        <f>IF($E172="","",IF($E171="",$E172,$E172*0.0952380952+H171*0.9047619048))</f>
        <v>0</v>
      </c>
      <c r="I172">
        <f>IF($E172="","",IF($E171="",$E172,$E172*0.0392156863+I171*0.9607843137))</f>
        <v>0</v>
      </c>
      <c r="J172">
        <f>IF($E172="","",IF($E171="",$E172,$E172*0.0198019802+J171*0.9801980198))</f>
        <v>0</v>
      </c>
      <c r="K172">
        <f>IF($E172="","",IF($E171="",$E172,$E172*0.0099502488+K171*0.9900497512))</f>
        <v>0</v>
      </c>
      <c r="L172">
        <f>IF(OR($E172="",$E171=""),"",MAX($E172-$E171,0))</f>
        <v>0</v>
      </c>
      <c r="M172">
        <f>IF(OR($E172="",$E171=""),"",MAX($E171-$E172,0))</f>
        <v>0</v>
      </c>
      <c r="N172">
        <f>IF(COUNT($E$2:$E172)&lt;15,"",IF(AVERAGE($M$159:$M$172)=0,100,100-100/(1+AVERAGE($L$159:$L$172)/AVERAGE($M$159:$M$172))))</f>
        <v>0</v>
      </c>
      <c r="O172">
        <f>IF($E172="","",IF($E171="",$E172,$E172*0.1538461538+O171*0.8461538462))</f>
        <v>0</v>
      </c>
      <c r="P172">
        <f>IF($E172="","",IF($E171="",$E172,$E172*0.0740740741+P171*0.9259259259))</f>
        <v>0</v>
      </c>
      <c r="Q172">
        <f>IF(OR(O172="",P172=""),"",O172-P172)</f>
        <v>0</v>
      </c>
      <c r="R172">
        <f>IF(Q172="","",IF(R171="",Q172,Q172*0.2000000000+R171*0.8000000000))</f>
        <v>0</v>
      </c>
      <c r="S172">
        <f>IF(OR(Q172="",R172=""),"",Q172-R172)</f>
        <v>0</v>
      </c>
      <c r="T172">
        <f>IF(COUNT($E$2:$E172)&lt;14,"",MAX($C$159:$C$172))</f>
        <v>0</v>
      </c>
      <c r="U172">
        <f>IF(COUNT($E$2:$E172)&lt;14,"",MIN($D$159:$D$172))</f>
        <v>0</v>
      </c>
      <c r="V172">
        <f>IF(OR(T172="",U172="",T172=U172),"",100*($E172-U172)/(T172-U172))</f>
        <v>0</v>
      </c>
      <c r="W172">
        <f>IF(COUNT($V$170:$V$172)&lt;3,"",AVERAGE($V$170:$V$172))</f>
        <v>0</v>
      </c>
      <c r="X172">
        <f>IF(COUNT($N$159:$N$172)&lt;14,"",MIN($N$159:$N$172))</f>
        <v>0</v>
      </c>
      <c r="Y172">
        <f>IF(COUNT($N$159:$N$172)&lt;14,"",MAX($N$159:$N$172))</f>
        <v>0</v>
      </c>
      <c r="Z172">
        <f>IF(OR(N172="",X172="",Y172="",Y172=X172),"",100*(N172-X172)/(Y172-X172))</f>
        <v>0</v>
      </c>
      <c r="AA172">
        <f>IF(COUNT($Z$170:$Z$172)&lt;3,"",AVERAGE($Z$170:$Z$172))</f>
        <v>0</v>
      </c>
      <c r="AB172">
        <f>IF(COUNT($AA$170:$AA$172)&lt;3,"",AVERAGE($AA$170:$AA$172))</f>
        <v>0</v>
      </c>
      <c r="AC172">
        <f>IF($E172="","",MAX($C172-$D172,ABS($C172-$E171),ABS($D172-$E171)))</f>
        <v>0</v>
      </c>
      <c r="AD172">
        <f>IF(COUNT($E$2:$E172)&lt;15,"",AVERAGE($AC$159:$AC$172))</f>
        <v>0</v>
      </c>
      <c r="AE172">
        <f>IF(OR($E172="",$E171=""),"",IF(AND(($C172-$C171)&gt;($D171-$D172),($C172-$C171)&gt;0),$C172-$C171,0))</f>
        <v>0</v>
      </c>
      <c r="AF172">
        <f>IF(OR($E172="",$E171=""),"",IF(AND(($D171-$D172)&gt;($C172-$C171),($D171-$D172)&gt;0),$D171-$D172,0))</f>
        <v>0</v>
      </c>
      <c r="AG172">
        <f>IF(COUNT($E$2:$E172)&lt;15,"",IF(SUM($AC$159:$AC$172)=0,0,100*SUM($AE$159:$AE$172)/SUM($AC$159:$AC$172)))</f>
        <v>0</v>
      </c>
      <c r="AH172">
        <f>IF(COUNT($E$2:$E172)&lt;15,"",IF(SUM($AC$159:$AC$172)=0,0,100*SUM($AF$159:$AF$172)/SUM($AC$159:$AC$172)))</f>
        <v>0</v>
      </c>
      <c r="AI172">
        <f>IF(OR(AG172="",AH172=""),"",IF((AG172+AH172)=0,0,100*ABS(AG172-AH172)/(AG172+AH172)))</f>
        <v>0</v>
      </c>
      <c r="AJ172">
        <f>IF(COUNT($AI$159:$AI$172)&lt;14,"",AVERAGE($AI$159:$AI$172))</f>
        <v>0</v>
      </c>
      <c r="AK172">
        <f>IF(COUNT($E$2:$E172)&lt;20,"",AVERAGE($E$153:$E$172))</f>
        <v>0</v>
      </c>
      <c r="AL172">
        <f>IF(COUNT($E$2:$E172)&lt;20,"",STDEVP($E$153:$E$172))</f>
        <v>0</v>
      </c>
      <c r="AM172">
        <f>IF(AK172="","",AK172+2*AL172)</f>
        <v>0</v>
      </c>
      <c r="AN172">
        <f>IF(AK172="","",AK172-2*AL172)</f>
        <v>0</v>
      </c>
      <c r="AO172">
        <f>IF(OR(AM172="",AN172="",AM172=AN172),"",($E172-AN172)/(AM172-AN172))</f>
        <v>0</v>
      </c>
      <c r="AP172">
        <f>IF(OR(AM172="",AK172="",AK172=0),"",(AM172-AN172)/AK172)</f>
        <v>0</v>
      </c>
      <c r="AQ172">
        <f>IF(COUNT($E$2:$E172)&lt;20,"",MAX($C$153:$C$172))</f>
        <v>0</v>
      </c>
      <c r="AR172">
        <f>IF(COUNT($E$2:$E172)&lt;20,"",MIN($D$153:$D$172))</f>
        <v>0</v>
      </c>
      <c r="AS172">
        <f>IF(OR(AQ172="",AR172=""),"",(AQ172+AR172)/2)</f>
        <v>0</v>
      </c>
      <c r="AT172">
        <f>IF(COUNT($G$153:$G$172)&lt;20,"",STDEV($G$153:$G$172)*SQRT(252))</f>
        <v>0</v>
      </c>
      <c r="AU172">
        <f>IF(COUNT($E$2:$E172)&lt;9,"",(MAX($C$164:$C$172)+MIN($D$164:$D$172))/2)</f>
        <v>0</v>
      </c>
      <c r="AV172">
        <f>IF(COUNT($E$2:$E172)&lt;26,"",(MAX($C$147:$C$172)+MIN($D$147:$D$172))/2)</f>
        <v>0</v>
      </c>
      <c r="AW172">
        <f>IF(OR(AU172="",AV172=""),"",(AU172+AV172)/2)</f>
        <v>0</v>
      </c>
      <c r="AX172">
        <f>IF(COUNT($E$2:$E172)&lt;52,"",(MAX($C$121:$C$172)+MIN($D$121:$D$172))/2)</f>
        <v>0</v>
      </c>
      <c r="AY172">
        <f>IF(COUNT($E$2:$E172)&lt;20,"",MAX($C$73:$C$172))</f>
        <v>0</v>
      </c>
      <c r="AZ172">
        <f>IF(COUNT($E$2:$E172)&lt;20,"",MIN($D$73:$D$172))</f>
        <v>0</v>
      </c>
      <c r="BA172">
        <f>IF(COUNT($E$2:$E172)&lt;20,"",SLOPE($E$73:$E$172,$F$73:$F$172))</f>
        <v>0</v>
      </c>
      <c r="BB172">
        <f>IF(COUNT($E$2:$E172)&lt;20,"",INTERCEPT($E$73:$E$172,$F$73:$F$172))</f>
        <v>0</v>
      </c>
      <c r="BC172">
        <f>IF(OR(BA172="",BB172=""),"",BB172+BA172*F172)</f>
        <v>0</v>
      </c>
      <c r="BD172">
        <f>IF(COUNT($E$2:$E172)&lt;20,"",STEYX($E$73:$E$172,$F$73:$F$172))</f>
        <v>0</v>
      </c>
      <c r="BE172">
        <f>IF($E172="","",IF(AND(COUNT($E$173:$E$176)&gt;=4,$C172=MAX($C$168:$C$176)),$C172,""))</f>
        <v>0</v>
      </c>
      <c r="BF172">
        <f>IF($E172="","",IF(AND(COUNT($E$173:$E$176)&gt;=4,$D172=MIN($D$168:$D$176)),$D172,""))</f>
        <v>0</v>
      </c>
      <c r="BG172">
        <f>IF($A172="","",$A172-WEEKDAY($A172,2)+1)</f>
        <v>0</v>
      </c>
      <c r="BH172">
        <f>IF($A172="","",IF($A171="",1,IF(BG172&lt;&gt;BG171,1,0)))</f>
        <v>0</v>
      </c>
      <c r="BI172">
        <f>IF($A172="","",IF($A173="",1,IF(BG173&lt;&gt;BG172,1,0)))</f>
        <v>0</v>
      </c>
      <c r="BJ172">
        <f>IF($A172="","",IF(BH172=1,$B172,BJ171))</f>
        <v>0</v>
      </c>
      <c r="BK172">
        <f>IF($A172="","",IF(BH172=1,$C172,MAX($C172,BK171)))</f>
        <v>0</v>
      </c>
      <c r="BL172">
        <f>IF($A172="","",IF(BH172=1,$D172,MIN($D172,BL171)))</f>
        <v>0</v>
      </c>
      <c r="BM172">
        <f>IF($A172="","",IF(BI172=1,F172,""))</f>
        <v>0</v>
      </c>
      <c r="BN172">
        <f>IF($A172="","",DATE(YEAR($A172),MONTH($A172),1))</f>
        <v>0</v>
      </c>
      <c r="BO172">
        <f>IF($A172="","",IF($A171="",1,IF(BN172&lt;&gt;BN171,1,0)))</f>
        <v>0</v>
      </c>
      <c r="BP172">
        <f>IF($A172="","",IF($A173="",1,IF(BN173&lt;&gt;BN172,1,0)))</f>
        <v>0</v>
      </c>
      <c r="BQ172">
        <f>IF($A172="","",IF(BO172=1,$B172,BQ171))</f>
        <v>0</v>
      </c>
      <c r="BR172">
        <f>IF($A172="","",IF(BO172=1,$C172,MAX($C172,BR171)))</f>
        <v>0</v>
      </c>
      <c r="BS172">
        <f>IF($A172="","",IF(BO172=1,$D172,MIN($D172,BS171)))</f>
        <v>0</v>
      </c>
      <c r="BT172">
        <f>IF($A172="","",IF(BP172=1,F172,""))</f>
        <v>0</v>
      </c>
    </row>
    <row r="173" spans="1:72">
      <c r="A173" s="27">
        <f>IF(Data!$A173="","",Data!$A173)</f>
        <v>0</v>
      </c>
      <c r="B173">
        <f>IF(Data!$B173="","",Data!$B173)</f>
        <v>0</v>
      </c>
      <c r="C173">
        <f>IF(Data!$C173="","",Data!$C173)</f>
        <v>0</v>
      </c>
      <c r="D173">
        <f>IF(Data!$D173="","",Data!$D173)</f>
        <v>0</v>
      </c>
      <c r="E173">
        <f>IF(Data!$E173="","",Data!$E173)</f>
        <v>0</v>
      </c>
      <c r="F173">
        <f>IF($E173="","",N(F172)+1)</f>
        <v>0</v>
      </c>
      <c r="G173">
        <f>IF(OR($E173="",$E172=""),"",LN($E173/$E172))</f>
        <v>0</v>
      </c>
      <c r="H173">
        <f>IF($E173="","",IF($E172="",$E173,$E173*0.0952380952+H172*0.9047619048))</f>
        <v>0</v>
      </c>
      <c r="I173">
        <f>IF($E173="","",IF($E172="",$E173,$E173*0.0392156863+I172*0.9607843137))</f>
        <v>0</v>
      </c>
      <c r="J173">
        <f>IF($E173="","",IF($E172="",$E173,$E173*0.0198019802+J172*0.9801980198))</f>
        <v>0</v>
      </c>
      <c r="K173">
        <f>IF($E173="","",IF($E172="",$E173,$E173*0.0099502488+K172*0.9900497512))</f>
        <v>0</v>
      </c>
      <c r="L173">
        <f>IF(OR($E173="",$E172=""),"",MAX($E173-$E172,0))</f>
        <v>0</v>
      </c>
      <c r="M173">
        <f>IF(OR($E173="",$E172=""),"",MAX($E172-$E173,0))</f>
        <v>0</v>
      </c>
      <c r="N173">
        <f>IF(COUNT($E$2:$E173)&lt;15,"",IF(AVERAGE($M$160:$M$173)=0,100,100-100/(1+AVERAGE($L$160:$L$173)/AVERAGE($M$160:$M$173))))</f>
        <v>0</v>
      </c>
      <c r="O173">
        <f>IF($E173="","",IF($E172="",$E173,$E173*0.1538461538+O172*0.8461538462))</f>
        <v>0</v>
      </c>
      <c r="P173">
        <f>IF($E173="","",IF($E172="",$E173,$E173*0.0740740741+P172*0.9259259259))</f>
        <v>0</v>
      </c>
      <c r="Q173">
        <f>IF(OR(O173="",P173=""),"",O173-P173)</f>
        <v>0</v>
      </c>
      <c r="R173">
        <f>IF(Q173="","",IF(R172="",Q173,Q173*0.2000000000+R172*0.8000000000))</f>
        <v>0</v>
      </c>
      <c r="S173">
        <f>IF(OR(Q173="",R173=""),"",Q173-R173)</f>
        <v>0</v>
      </c>
      <c r="T173">
        <f>IF(COUNT($E$2:$E173)&lt;14,"",MAX($C$160:$C$173))</f>
        <v>0</v>
      </c>
      <c r="U173">
        <f>IF(COUNT($E$2:$E173)&lt;14,"",MIN($D$160:$D$173))</f>
        <v>0</v>
      </c>
      <c r="V173">
        <f>IF(OR(T173="",U173="",T173=U173),"",100*($E173-U173)/(T173-U173))</f>
        <v>0</v>
      </c>
      <c r="W173">
        <f>IF(COUNT($V$171:$V$173)&lt;3,"",AVERAGE($V$171:$V$173))</f>
        <v>0</v>
      </c>
      <c r="X173">
        <f>IF(COUNT($N$160:$N$173)&lt;14,"",MIN($N$160:$N$173))</f>
        <v>0</v>
      </c>
      <c r="Y173">
        <f>IF(COUNT($N$160:$N$173)&lt;14,"",MAX($N$160:$N$173))</f>
        <v>0</v>
      </c>
      <c r="Z173">
        <f>IF(OR(N173="",X173="",Y173="",Y173=X173),"",100*(N173-X173)/(Y173-X173))</f>
        <v>0</v>
      </c>
      <c r="AA173">
        <f>IF(COUNT($Z$171:$Z$173)&lt;3,"",AVERAGE($Z$171:$Z$173))</f>
        <v>0</v>
      </c>
      <c r="AB173">
        <f>IF(COUNT($AA$171:$AA$173)&lt;3,"",AVERAGE($AA$171:$AA$173))</f>
        <v>0</v>
      </c>
      <c r="AC173">
        <f>IF($E173="","",MAX($C173-$D173,ABS($C173-$E172),ABS($D173-$E172)))</f>
        <v>0</v>
      </c>
      <c r="AD173">
        <f>IF(COUNT($E$2:$E173)&lt;15,"",AVERAGE($AC$160:$AC$173))</f>
        <v>0</v>
      </c>
      <c r="AE173">
        <f>IF(OR($E173="",$E172=""),"",IF(AND(($C173-$C172)&gt;($D172-$D173),($C173-$C172)&gt;0),$C173-$C172,0))</f>
        <v>0</v>
      </c>
      <c r="AF173">
        <f>IF(OR($E173="",$E172=""),"",IF(AND(($D172-$D173)&gt;($C173-$C172),($D172-$D173)&gt;0),$D172-$D173,0))</f>
        <v>0</v>
      </c>
      <c r="AG173">
        <f>IF(COUNT($E$2:$E173)&lt;15,"",IF(SUM($AC$160:$AC$173)=0,0,100*SUM($AE$160:$AE$173)/SUM($AC$160:$AC$173)))</f>
        <v>0</v>
      </c>
      <c r="AH173">
        <f>IF(COUNT($E$2:$E173)&lt;15,"",IF(SUM($AC$160:$AC$173)=0,0,100*SUM($AF$160:$AF$173)/SUM($AC$160:$AC$173)))</f>
        <v>0</v>
      </c>
      <c r="AI173">
        <f>IF(OR(AG173="",AH173=""),"",IF((AG173+AH173)=0,0,100*ABS(AG173-AH173)/(AG173+AH173)))</f>
        <v>0</v>
      </c>
      <c r="AJ173">
        <f>IF(COUNT($AI$160:$AI$173)&lt;14,"",AVERAGE($AI$160:$AI$173))</f>
        <v>0</v>
      </c>
      <c r="AK173">
        <f>IF(COUNT($E$2:$E173)&lt;20,"",AVERAGE($E$154:$E$173))</f>
        <v>0</v>
      </c>
      <c r="AL173">
        <f>IF(COUNT($E$2:$E173)&lt;20,"",STDEVP($E$154:$E$173))</f>
        <v>0</v>
      </c>
      <c r="AM173">
        <f>IF(AK173="","",AK173+2*AL173)</f>
        <v>0</v>
      </c>
      <c r="AN173">
        <f>IF(AK173="","",AK173-2*AL173)</f>
        <v>0</v>
      </c>
      <c r="AO173">
        <f>IF(OR(AM173="",AN173="",AM173=AN173),"",($E173-AN173)/(AM173-AN173))</f>
        <v>0</v>
      </c>
      <c r="AP173">
        <f>IF(OR(AM173="",AK173="",AK173=0),"",(AM173-AN173)/AK173)</f>
        <v>0</v>
      </c>
      <c r="AQ173">
        <f>IF(COUNT($E$2:$E173)&lt;20,"",MAX($C$154:$C$173))</f>
        <v>0</v>
      </c>
      <c r="AR173">
        <f>IF(COUNT($E$2:$E173)&lt;20,"",MIN($D$154:$D$173))</f>
        <v>0</v>
      </c>
      <c r="AS173">
        <f>IF(OR(AQ173="",AR173=""),"",(AQ173+AR173)/2)</f>
        <v>0</v>
      </c>
      <c r="AT173">
        <f>IF(COUNT($G$154:$G$173)&lt;20,"",STDEV($G$154:$G$173)*SQRT(252))</f>
        <v>0</v>
      </c>
      <c r="AU173">
        <f>IF(COUNT($E$2:$E173)&lt;9,"",(MAX($C$165:$C$173)+MIN($D$165:$D$173))/2)</f>
        <v>0</v>
      </c>
      <c r="AV173">
        <f>IF(COUNT($E$2:$E173)&lt;26,"",(MAX($C$148:$C$173)+MIN($D$148:$D$173))/2)</f>
        <v>0</v>
      </c>
      <c r="AW173">
        <f>IF(OR(AU173="",AV173=""),"",(AU173+AV173)/2)</f>
        <v>0</v>
      </c>
      <c r="AX173">
        <f>IF(COUNT($E$2:$E173)&lt;52,"",(MAX($C$122:$C$173)+MIN($D$122:$D$173))/2)</f>
        <v>0</v>
      </c>
      <c r="AY173">
        <f>IF(COUNT($E$2:$E173)&lt;20,"",MAX($C$74:$C$173))</f>
        <v>0</v>
      </c>
      <c r="AZ173">
        <f>IF(COUNT($E$2:$E173)&lt;20,"",MIN($D$74:$D$173))</f>
        <v>0</v>
      </c>
      <c r="BA173">
        <f>IF(COUNT($E$2:$E173)&lt;20,"",SLOPE($E$74:$E$173,$F$74:$F$173))</f>
        <v>0</v>
      </c>
      <c r="BB173">
        <f>IF(COUNT($E$2:$E173)&lt;20,"",INTERCEPT($E$74:$E$173,$F$74:$F$173))</f>
        <v>0</v>
      </c>
      <c r="BC173">
        <f>IF(OR(BA173="",BB173=""),"",BB173+BA173*F173)</f>
        <v>0</v>
      </c>
      <c r="BD173">
        <f>IF(COUNT($E$2:$E173)&lt;20,"",STEYX($E$74:$E$173,$F$74:$F$173))</f>
        <v>0</v>
      </c>
      <c r="BE173">
        <f>IF($E173="","",IF(AND(COUNT($E$174:$E$177)&gt;=4,$C173=MAX($C$169:$C$177)),$C173,""))</f>
        <v>0</v>
      </c>
      <c r="BF173">
        <f>IF($E173="","",IF(AND(COUNT($E$174:$E$177)&gt;=4,$D173=MIN($D$169:$D$177)),$D173,""))</f>
        <v>0</v>
      </c>
      <c r="BG173">
        <f>IF($A173="","",$A173-WEEKDAY($A173,2)+1)</f>
        <v>0</v>
      </c>
      <c r="BH173">
        <f>IF($A173="","",IF($A172="",1,IF(BG173&lt;&gt;BG172,1,0)))</f>
        <v>0</v>
      </c>
      <c r="BI173">
        <f>IF($A173="","",IF($A174="",1,IF(BG174&lt;&gt;BG173,1,0)))</f>
        <v>0</v>
      </c>
      <c r="BJ173">
        <f>IF($A173="","",IF(BH173=1,$B173,BJ172))</f>
        <v>0</v>
      </c>
      <c r="BK173">
        <f>IF($A173="","",IF(BH173=1,$C173,MAX($C173,BK172)))</f>
        <v>0</v>
      </c>
      <c r="BL173">
        <f>IF($A173="","",IF(BH173=1,$D173,MIN($D173,BL172)))</f>
        <v>0</v>
      </c>
      <c r="BM173">
        <f>IF($A173="","",IF(BI173=1,F173,""))</f>
        <v>0</v>
      </c>
      <c r="BN173">
        <f>IF($A173="","",DATE(YEAR($A173),MONTH($A173),1))</f>
        <v>0</v>
      </c>
      <c r="BO173">
        <f>IF($A173="","",IF($A172="",1,IF(BN173&lt;&gt;BN172,1,0)))</f>
        <v>0</v>
      </c>
      <c r="BP173">
        <f>IF($A173="","",IF($A174="",1,IF(BN174&lt;&gt;BN173,1,0)))</f>
        <v>0</v>
      </c>
      <c r="BQ173">
        <f>IF($A173="","",IF(BO173=1,$B173,BQ172))</f>
        <v>0</v>
      </c>
      <c r="BR173">
        <f>IF($A173="","",IF(BO173=1,$C173,MAX($C173,BR172)))</f>
        <v>0</v>
      </c>
      <c r="BS173">
        <f>IF($A173="","",IF(BO173=1,$D173,MIN($D173,BS172)))</f>
        <v>0</v>
      </c>
      <c r="BT173">
        <f>IF($A173="","",IF(BP173=1,F173,""))</f>
        <v>0</v>
      </c>
    </row>
    <row r="174" spans="1:72">
      <c r="A174" s="27">
        <f>IF(Data!$A174="","",Data!$A174)</f>
        <v>0</v>
      </c>
      <c r="B174">
        <f>IF(Data!$B174="","",Data!$B174)</f>
        <v>0</v>
      </c>
      <c r="C174">
        <f>IF(Data!$C174="","",Data!$C174)</f>
        <v>0</v>
      </c>
      <c r="D174">
        <f>IF(Data!$D174="","",Data!$D174)</f>
        <v>0</v>
      </c>
      <c r="E174">
        <f>IF(Data!$E174="","",Data!$E174)</f>
        <v>0</v>
      </c>
      <c r="F174">
        <f>IF($E174="","",N(F173)+1)</f>
        <v>0</v>
      </c>
      <c r="G174">
        <f>IF(OR($E174="",$E173=""),"",LN($E174/$E173))</f>
        <v>0</v>
      </c>
      <c r="H174">
        <f>IF($E174="","",IF($E173="",$E174,$E174*0.0952380952+H173*0.9047619048))</f>
        <v>0</v>
      </c>
      <c r="I174">
        <f>IF($E174="","",IF($E173="",$E174,$E174*0.0392156863+I173*0.9607843137))</f>
        <v>0</v>
      </c>
      <c r="J174">
        <f>IF($E174="","",IF($E173="",$E174,$E174*0.0198019802+J173*0.9801980198))</f>
        <v>0</v>
      </c>
      <c r="K174">
        <f>IF($E174="","",IF($E173="",$E174,$E174*0.0099502488+K173*0.9900497512))</f>
        <v>0</v>
      </c>
      <c r="L174">
        <f>IF(OR($E174="",$E173=""),"",MAX($E174-$E173,0))</f>
        <v>0</v>
      </c>
      <c r="M174">
        <f>IF(OR($E174="",$E173=""),"",MAX($E173-$E174,0))</f>
        <v>0</v>
      </c>
      <c r="N174">
        <f>IF(COUNT($E$2:$E174)&lt;15,"",IF(AVERAGE($M$161:$M$174)=0,100,100-100/(1+AVERAGE($L$161:$L$174)/AVERAGE($M$161:$M$174))))</f>
        <v>0</v>
      </c>
      <c r="O174">
        <f>IF($E174="","",IF($E173="",$E174,$E174*0.1538461538+O173*0.8461538462))</f>
        <v>0</v>
      </c>
      <c r="P174">
        <f>IF($E174="","",IF($E173="",$E174,$E174*0.0740740741+P173*0.9259259259))</f>
        <v>0</v>
      </c>
      <c r="Q174">
        <f>IF(OR(O174="",P174=""),"",O174-P174)</f>
        <v>0</v>
      </c>
      <c r="R174">
        <f>IF(Q174="","",IF(R173="",Q174,Q174*0.2000000000+R173*0.8000000000))</f>
        <v>0</v>
      </c>
      <c r="S174">
        <f>IF(OR(Q174="",R174=""),"",Q174-R174)</f>
        <v>0</v>
      </c>
      <c r="T174">
        <f>IF(COUNT($E$2:$E174)&lt;14,"",MAX($C$161:$C$174))</f>
        <v>0</v>
      </c>
      <c r="U174">
        <f>IF(COUNT($E$2:$E174)&lt;14,"",MIN($D$161:$D$174))</f>
        <v>0</v>
      </c>
      <c r="V174">
        <f>IF(OR(T174="",U174="",T174=U174),"",100*($E174-U174)/(T174-U174))</f>
        <v>0</v>
      </c>
      <c r="W174">
        <f>IF(COUNT($V$172:$V$174)&lt;3,"",AVERAGE($V$172:$V$174))</f>
        <v>0</v>
      </c>
      <c r="X174">
        <f>IF(COUNT($N$161:$N$174)&lt;14,"",MIN($N$161:$N$174))</f>
        <v>0</v>
      </c>
      <c r="Y174">
        <f>IF(COUNT($N$161:$N$174)&lt;14,"",MAX($N$161:$N$174))</f>
        <v>0</v>
      </c>
      <c r="Z174">
        <f>IF(OR(N174="",X174="",Y174="",Y174=X174),"",100*(N174-X174)/(Y174-X174))</f>
        <v>0</v>
      </c>
      <c r="AA174">
        <f>IF(COUNT($Z$172:$Z$174)&lt;3,"",AVERAGE($Z$172:$Z$174))</f>
        <v>0</v>
      </c>
      <c r="AB174">
        <f>IF(COUNT($AA$172:$AA$174)&lt;3,"",AVERAGE($AA$172:$AA$174))</f>
        <v>0</v>
      </c>
      <c r="AC174">
        <f>IF($E174="","",MAX($C174-$D174,ABS($C174-$E173),ABS($D174-$E173)))</f>
        <v>0</v>
      </c>
      <c r="AD174">
        <f>IF(COUNT($E$2:$E174)&lt;15,"",AVERAGE($AC$161:$AC$174))</f>
        <v>0</v>
      </c>
      <c r="AE174">
        <f>IF(OR($E174="",$E173=""),"",IF(AND(($C174-$C173)&gt;($D173-$D174),($C174-$C173)&gt;0),$C174-$C173,0))</f>
        <v>0</v>
      </c>
      <c r="AF174">
        <f>IF(OR($E174="",$E173=""),"",IF(AND(($D173-$D174)&gt;($C174-$C173),($D173-$D174)&gt;0),$D173-$D174,0))</f>
        <v>0</v>
      </c>
      <c r="AG174">
        <f>IF(COUNT($E$2:$E174)&lt;15,"",IF(SUM($AC$161:$AC$174)=0,0,100*SUM($AE$161:$AE$174)/SUM($AC$161:$AC$174)))</f>
        <v>0</v>
      </c>
      <c r="AH174">
        <f>IF(COUNT($E$2:$E174)&lt;15,"",IF(SUM($AC$161:$AC$174)=0,0,100*SUM($AF$161:$AF$174)/SUM($AC$161:$AC$174)))</f>
        <v>0</v>
      </c>
      <c r="AI174">
        <f>IF(OR(AG174="",AH174=""),"",IF((AG174+AH174)=0,0,100*ABS(AG174-AH174)/(AG174+AH174)))</f>
        <v>0</v>
      </c>
      <c r="AJ174">
        <f>IF(COUNT($AI$161:$AI$174)&lt;14,"",AVERAGE($AI$161:$AI$174))</f>
        <v>0</v>
      </c>
      <c r="AK174">
        <f>IF(COUNT($E$2:$E174)&lt;20,"",AVERAGE($E$155:$E$174))</f>
        <v>0</v>
      </c>
      <c r="AL174">
        <f>IF(COUNT($E$2:$E174)&lt;20,"",STDEVP($E$155:$E$174))</f>
        <v>0</v>
      </c>
      <c r="AM174">
        <f>IF(AK174="","",AK174+2*AL174)</f>
        <v>0</v>
      </c>
      <c r="AN174">
        <f>IF(AK174="","",AK174-2*AL174)</f>
        <v>0</v>
      </c>
      <c r="AO174">
        <f>IF(OR(AM174="",AN174="",AM174=AN174),"",($E174-AN174)/(AM174-AN174))</f>
        <v>0</v>
      </c>
      <c r="AP174">
        <f>IF(OR(AM174="",AK174="",AK174=0),"",(AM174-AN174)/AK174)</f>
        <v>0</v>
      </c>
      <c r="AQ174">
        <f>IF(COUNT($E$2:$E174)&lt;20,"",MAX($C$155:$C$174))</f>
        <v>0</v>
      </c>
      <c r="AR174">
        <f>IF(COUNT($E$2:$E174)&lt;20,"",MIN($D$155:$D$174))</f>
        <v>0</v>
      </c>
      <c r="AS174">
        <f>IF(OR(AQ174="",AR174=""),"",(AQ174+AR174)/2)</f>
        <v>0</v>
      </c>
      <c r="AT174">
        <f>IF(COUNT($G$155:$G$174)&lt;20,"",STDEV($G$155:$G$174)*SQRT(252))</f>
        <v>0</v>
      </c>
      <c r="AU174">
        <f>IF(COUNT($E$2:$E174)&lt;9,"",(MAX($C$166:$C$174)+MIN($D$166:$D$174))/2)</f>
        <v>0</v>
      </c>
      <c r="AV174">
        <f>IF(COUNT($E$2:$E174)&lt;26,"",(MAX($C$149:$C$174)+MIN($D$149:$D$174))/2)</f>
        <v>0</v>
      </c>
      <c r="AW174">
        <f>IF(OR(AU174="",AV174=""),"",(AU174+AV174)/2)</f>
        <v>0</v>
      </c>
      <c r="AX174">
        <f>IF(COUNT($E$2:$E174)&lt;52,"",(MAX($C$123:$C$174)+MIN($D$123:$D$174))/2)</f>
        <v>0</v>
      </c>
      <c r="AY174">
        <f>IF(COUNT($E$2:$E174)&lt;20,"",MAX($C$75:$C$174))</f>
        <v>0</v>
      </c>
      <c r="AZ174">
        <f>IF(COUNT($E$2:$E174)&lt;20,"",MIN($D$75:$D$174))</f>
        <v>0</v>
      </c>
      <c r="BA174">
        <f>IF(COUNT($E$2:$E174)&lt;20,"",SLOPE($E$75:$E$174,$F$75:$F$174))</f>
        <v>0</v>
      </c>
      <c r="BB174">
        <f>IF(COUNT($E$2:$E174)&lt;20,"",INTERCEPT($E$75:$E$174,$F$75:$F$174))</f>
        <v>0</v>
      </c>
      <c r="BC174">
        <f>IF(OR(BA174="",BB174=""),"",BB174+BA174*F174)</f>
        <v>0</v>
      </c>
      <c r="BD174">
        <f>IF(COUNT($E$2:$E174)&lt;20,"",STEYX($E$75:$E$174,$F$75:$F$174))</f>
        <v>0</v>
      </c>
      <c r="BE174">
        <f>IF($E174="","",IF(AND(COUNT($E$175:$E$178)&gt;=4,$C174=MAX($C$170:$C$178)),$C174,""))</f>
        <v>0</v>
      </c>
      <c r="BF174">
        <f>IF($E174="","",IF(AND(COUNT($E$175:$E$178)&gt;=4,$D174=MIN($D$170:$D$178)),$D174,""))</f>
        <v>0</v>
      </c>
      <c r="BG174">
        <f>IF($A174="","",$A174-WEEKDAY($A174,2)+1)</f>
        <v>0</v>
      </c>
      <c r="BH174">
        <f>IF($A174="","",IF($A173="",1,IF(BG174&lt;&gt;BG173,1,0)))</f>
        <v>0</v>
      </c>
      <c r="BI174">
        <f>IF($A174="","",IF($A175="",1,IF(BG175&lt;&gt;BG174,1,0)))</f>
        <v>0</v>
      </c>
      <c r="BJ174">
        <f>IF($A174="","",IF(BH174=1,$B174,BJ173))</f>
        <v>0</v>
      </c>
      <c r="BK174">
        <f>IF($A174="","",IF(BH174=1,$C174,MAX($C174,BK173)))</f>
        <v>0</v>
      </c>
      <c r="BL174">
        <f>IF($A174="","",IF(BH174=1,$D174,MIN($D174,BL173)))</f>
        <v>0</v>
      </c>
      <c r="BM174">
        <f>IF($A174="","",IF(BI174=1,F174,""))</f>
        <v>0</v>
      </c>
      <c r="BN174">
        <f>IF($A174="","",DATE(YEAR($A174),MONTH($A174),1))</f>
        <v>0</v>
      </c>
      <c r="BO174">
        <f>IF($A174="","",IF($A173="",1,IF(BN174&lt;&gt;BN173,1,0)))</f>
        <v>0</v>
      </c>
      <c r="BP174">
        <f>IF($A174="","",IF($A175="",1,IF(BN175&lt;&gt;BN174,1,0)))</f>
        <v>0</v>
      </c>
      <c r="BQ174">
        <f>IF($A174="","",IF(BO174=1,$B174,BQ173))</f>
        <v>0</v>
      </c>
      <c r="BR174">
        <f>IF($A174="","",IF(BO174=1,$C174,MAX($C174,BR173)))</f>
        <v>0</v>
      </c>
      <c r="BS174">
        <f>IF($A174="","",IF(BO174=1,$D174,MIN($D174,BS173)))</f>
        <v>0</v>
      </c>
      <c r="BT174">
        <f>IF($A174="","",IF(BP174=1,F174,""))</f>
        <v>0</v>
      </c>
    </row>
    <row r="175" spans="1:72">
      <c r="A175" s="27">
        <f>IF(Data!$A175="","",Data!$A175)</f>
        <v>0</v>
      </c>
      <c r="B175">
        <f>IF(Data!$B175="","",Data!$B175)</f>
        <v>0</v>
      </c>
      <c r="C175">
        <f>IF(Data!$C175="","",Data!$C175)</f>
        <v>0</v>
      </c>
      <c r="D175">
        <f>IF(Data!$D175="","",Data!$D175)</f>
        <v>0</v>
      </c>
      <c r="E175">
        <f>IF(Data!$E175="","",Data!$E175)</f>
        <v>0</v>
      </c>
      <c r="F175">
        <f>IF($E175="","",N(F174)+1)</f>
        <v>0</v>
      </c>
      <c r="G175">
        <f>IF(OR($E175="",$E174=""),"",LN($E175/$E174))</f>
        <v>0</v>
      </c>
      <c r="H175">
        <f>IF($E175="","",IF($E174="",$E175,$E175*0.0952380952+H174*0.9047619048))</f>
        <v>0</v>
      </c>
      <c r="I175">
        <f>IF($E175="","",IF($E174="",$E175,$E175*0.0392156863+I174*0.9607843137))</f>
        <v>0</v>
      </c>
      <c r="J175">
        <f>IF($E175="","",IF($E174="",$E175,$E175*0.0198019802+J174*0.9801980198))</f>
        <v>0</v>
      </c>
      <c r="K175">
        <f>IF($E175="","",IF($E174="",$E175,$E175*0.0099502488+K174*0.9900497512))</f>
        <v>0</v>
      </c>
      <c r="L175">
        <f>IF(OR($E175="",$E174=""),"",MAX($E175-$E174,0))</f>
        <v>0</v>
      </c>
      <c r="M175">
        <f>IF(OR($E175="",$E174=""),"",MAX($E174-$E175,0))</f>
        <v>0</v>
      </c>
      <c r="N175">
        <f>IF(COUNT($E$2:$E175)&lt;15,"",IF(AVERAGE($M$162:$M$175)=0,100,100-100/(1+AVERAGE($L$162:$L$175)/AVERAGE($M$162:$M$175))))</f>
        <v>0</v>
      </c>
      <c r="O175">
        <f>IF($E175="","",IF($E174="",$E175,$E175*0.1538461538+O174*0.8461538462))</f>
        <v>0</v>
      </c>
      <c r="P175">
        <f>IF($E175="","",IF($E174="",$E175,$E175*0.0740740741+P174*0.9259259259))</f>
        <v>0</v>
      </c>
      <c r="Q175">
        <f>IF(OR(O175="",P175=""),"",O175-P175)</f>
        <v>0</v>
      </c>
      <c r="R175">
        <f>IF(Q175="","",IF(R174="",Q175,Q175*0.2000000000+R174*0.8000000000))</f>
        <v>0</v>
      </c>
      <c r="S175">
        <f>IF(OR(Q175="",R175=""),"",Q175-R175)</f>
        <v>0</v>
      </c>
      <c r="T175">
        <f>IF(COUNT($E$2:$E175)&lt;14,"",MAX($C$162:$C$175))</f>
        <v>0</v>
      </c>
      <c r="U175">
        <f>IF(COUNT($E$2:$E175)&lt;14,"",MIN($D$162:$D$175))</f>
        <v>0</v>
      </c>
      <c r="V175">
        <f>IF(OR(T175="",U175="",T175=U175),"",100*($E175-U175)/(T175-U175))</f>
        <v>0</v>
      </c>
      <c r="W175">
        <f>IF(COUNT($V$173:$V$175)&lt;3,"",AVERAGE($V$173:$V$175))</f>
        <v>0</v>
      </c>
      <c r="X175">
        <f>IF(COUNT($N$162:$N$175)&lt;14,"",MIN($N$162:$N$175))</f>
        <v>0</v>
      </c>
      <c r="Y175">
        <f>IF(COUNT($N$162:$N$175)&lt;14,"",MAX($N$162:$N$175))</f>
        <v>0</v>
      </c>
      <c r="Z175">
        <f>IF(OR(N175="",X175="",Y175="",Y175=X175),"",100*(N175-X175)/(Y175-X175))</f>
        <v>0</v>
      </c>
      <c r="AA175">
        <f>IF(COUNT($Z$173:$Z$175)&lt;3,"",AVERAGE($Z$173:$Z$175))</f>
        <v>0</v>
      </c>
      <c r="AB175">
        <f>IF(COUNT($AA$173:$AA$175)&lt;3,"",AVERAGE($AA$173:$AA$175))</f>
        <v>0</v>
      </c>
      <c r="AC175">
        <f>IF($E175="","",MAX($C175-$D175,ABS($C175-$E174),ABS($D175-$E174)))</f>
        <v>0</v>
      </c>
      <c r="AD175">
        <f>IF(COUNT($E$2:$E175)&lt;15,"",AVERAGE($AC$162:$AC$175))</f>
        <v>0</v>
      </c>
      <c r="AE175">
        <f>IF(OR($E175="",$E174=""),"",IF(AND(($C175-$C174)&gt;($D174-$D175),($C175-$C174)&gt;0),$C175-$C174,0))</f>
        <v>0</v>
      </c>
      <c r="AF175">
        <f>IF(OR($E175="",$E174=""),"",IF(AND(($D174-$D175)&gt;($C175-$C174),($D174-$D175)&gt;0),$D174-$D175,0))</f>
        <v>0</v>
      </c>
      <c r="AG175">
        <f>IF(COUNT($E$2:$E175)&lt;15,"",IF(SUM($AC$162:$AC$175)=0,0,100*SUM($AE$162:$AE$175)/SUM($AC$162:$AC$175)))</f>
        <v>0</v>
      </c>
      <c r="AH175">
        <f>IF(COUNT($E$2:$E175)&lt;15,"",IF(SUM($AC$162:$AC$175)=0,0,100*SUM($AF$162:$AF$175)/SUM($AC$162:$AC$175)))</f>
        <v>0</v>
      </c>
      <c r="AI175">
        <f>IF(OR(AG175="",AH175=""),"",IF((AG175+AH175)=0,0,100*ABS(AG175-AH175)/(AG175+AH175)))</f>
        <v>0</v>
      </c>
      <c r="AJ175">
        <f>IF(COUNT($AI$162:$AI$175)&lt;14,"",AVERAGE($AI$162:$AI$175))</f>
        <v>0</v>
      </c>
      <c r="AK175">
        <f>IF(COUNT($E$2:$E175)&lt;20,"",AVERAGE($E$156:$E$175))</f>
        <v>0</v>
      </c>
      <c r="AL175">
        <f>IF(COUNT($E$2:$E175)&lt;20,"",STDEVP($E$156:$E$175))</f>
        <v>0</v>
      </c>
      <c r="AM175">
        <f>IF(AK175="","",AK175+2*AL175)</f>
        <v>0</v>
      </c>
      <c r="AN175">
        <f>IF(AK175="","",AK175-2*AL175)</f>
        <v>0</v>
      </c>
      <c r="AO175">
        <f>IF(OR(AM175="",AN175="",AM175=AN175),"",($E175-AN175)/(AM175-AN175))</f>
        <v>0</v>
      </c>
      <c r="AP175">
        <f>IF(OR(AM175="",AK175="",AK175=0),"",(AM175-AN175)/AK175)</f>
        <v>0</v>
      </c>
      <c r="AQ175">
        <f>IF(COUNT($E$2:$E175)&lt;20,"",MAX($C$156:$C$175))</f>
        <v>0</v>
      </c>
      <c r="AR175">
        <f>IF(COUNT($E$2:$E175)&lt;20,"",MIN($D$156:$D$175))</f>
        <v>0</v>
      </c>
      <c r="AS175">
        <f>IF(OR(AQ175="",AR175=""),"",(AQ175+AR175)/2)</f>
        <v>0</v>
      </c>
      <c r="AT175">
        <f>IF(COUNT($G$156:$G$175)&lt;20,"",STDEV($G$156:$G$175)*SQRT(252))</f>
        <v>0</v>
      </c>
      <c r="AU175">
        <f>IF(COUNT($E$2:$E175)&lt;9,"",(MAX($C$167:$C$175)+MIN($D$167:$D$175))/2)</f>
        <v>0</v>
      </c>
      <c r="AV175">
        <f>IF(COUNT($E$2:$E175)&lt;26,"",(MAX($C$150:$C$175)+MIN($D$150:$D$175))/2)</f>
        <v>0</v>
      </c>
      <c r="AW175">
        <f>IF(OR(AU175="",AV175=""),"",(AU175+AV175)/2)</f>
        <v>0</v>
      </c>
      <c r="AX175">
        <f>IF(COUNT($E$2:$E175)&lt;52,"",(MAX($C$124:$C$175)+MIN($D$124:$D$175))/2)</f>
        <v>0</v>
      </c>
      <c r="AY175">
        <f>IF(COUNT($E$2:$E175)&lt;20,"",MAX($C$76:$C$175))</f>
        <v>0</v>
      </c>
      <c r="AZ175">
        <f>IF(COUNT($E$2:$E175)&lt;20,"",MIN($D$76:$D$175))</f>
        <v>0</v>
      </c>
      <c r="BA175">
        <f>IF(COUNT($E$2:$E175)&lt;20,"",SLOPE($E$76:$E$175,$F$76:$F$175))</f>
        <v>0</v>
      </c>
      <c r="BB175">
        <f>IF(COUNT($E$2:$E175)&lt;20,"",INTERCEPT($E$76:$E$175,$F$76:$F$175))</f>
        <v>0</v>
      </c>
      <c r="BC175">
        <f>IF(OR(BA175="",BB175=""),"",BB175+BA175*F175)</f>
        <v>0</v>
      </c>
      <c r="BD175">
        <f>IF(COUNT($E$2:$E175)&lt;20,"",STEYX($E$76:$E$175,$F$76:$F$175))</f>
        <v>0</v>
      </c>
      <c r="BE175">
        <f>IF($E175="","",IF(AND(COUNT($E$176:$E$179)&gt;=4,$C175=MAX($C$171:$C$179)),$C175,""))</f>
        <v>0</v>
      </c>
      <c r="BF175">
        <f>IF($E175="","",IF(AND(COUNT($E$176:$E$179)&gt;=4,$D175=MIN($D$171:$D$179)),$D175,""))</f>
        <v>0</v>
      </c>
      <c r="BG175">
        <f>IF($A175="","",$A175-WEEKDAY($A175,2)+1)</f>
        <v>0</v>
      </c>
      <c r="BH175">
        <f>IF($A175="","",IF($A174="",1,IF(BG175&lt;&gt;BG174,1,0)))</f>
        <v>0</v>
      </c>
      <c r="BI175">
        <f>IF($A175="","",IF($A176="",1,IF(BG176&lt;&gt;BG175,1,0)))</f>
        <v>0</v>
      </c>
      <c r="BJ175">
        <f>IF($A175="","",IF(BH175=1,$B175,BJ174))</f>
        <v>0</v>
      </c>
      <c r="BK175">
        <f>IF($A175="","",IF(BH175=1,$C175,MAX($C175,BK174)))</f>
        <v>0</v>
      </c>
      <c r="BL175">
        <f>IF($A175="","",IF(BH175=1,$D175,MIN($D175,BL174)))</f>
        <v>0</v>
      </c>
      <c r="BM175">
        <f>IF($A175="","",IF(BI175=1,F175,""))</f>
        <v>0</v>
      </c>
      <c r="BN175">
        <f>IF($A175="","",DATE(YEAR($A175),MONTH($A175),1))</f>
        <v>0</v>
      </c>
      <c r="BO175">
        <f>IF($A175="","",IF($A174="",1,IF(BN175&lt;&gt;BN174,1,0)))</f>
        <v>0</v>
      </c>
      <c r="BP175">
        <f>IF($A175="","",IF($A176="",1,IF(BN176&lt;&gt;BN175,1,0)))</f>
        <v>0</v>
      </c>
      <c r="BQ175">
        <f>IF($A175="","",IF(BO175=1,$B175,BQ174))</f>
        <v>0</v>
      </c>
      <c r="BR175">
        <f>IF($A175="","",IF(BO175=1,$C175,MAX($C175,BR174)))</f>
        <v>0</v>
      </c>
      <c r="BS175">
        <f>IF($A175="","",IF(BO175=1,$D175,MIN($D175,BS174)))</f>
        <v>0</v>
      </c>
      <c r="BT175">
        <f>IF($A175="","",IF(BP175=1,F175,""))</f>
        <v>0</v>
      </c>
    </row>
    <row r="176" spans="1:72">
      <c r="A176" s="27">
        <f>IF(Data!$A176="","",Data!$A176)</f>
        <v>0</v>
      </c>
      <c r="B176">
        <f>IF(Data!$B176="","",Data!$B176)</f>
        <v>0</v>
      </c>
      <c r="C176">
        <f>IF(Data!$C176="","",Data!$C176)</f>
        <v>0</v>
      </c>
      <c r="D176">
        <f>IF(Data!$D176="","",Data!$D176)</f>
        <v>0</v>
      </c>
      <c r="E176">
        <f>IF(Data!$E176="","",Data!$E176)</f>
        <v>0</v>
      </c>
      <c r="F176">
        <f>IF($E176="","",N(F175)+1)</f>
        <v>0</v>
      </c>
      <c r="G176">
        <f>IF(OR($E176="",$E175=""),"",LN($E176/$E175))</f>
        <v>0</v>
      </c>
      <c r="H176">
        <f>IF($E176="","",IF($E175="",$E176,$E176*0.0952380952+H175*0.9047619048))</f>
        <v>0</v>
      </c>
      <c r="I176">
        <f>IF($E176="","",IF($E175="",$E176,$E176*0.0392156863+I175*0.9607843137))</f>
        <v>0</v>
      </c>
      <c r="J176">
        <f>IF($E176="","",IF($E175="",$E176,$E176*0.0198019802+J175*0.9801980198))</f>
        <v>0</v>
      </c>
      <c r="K176">
        <f>IF($E176="","",IF($E175="",$E176,$E176*0.0099502488+K175*0.9900497512))</f>
        <v>0</v>
      </c>
      <c r="L176">
        <f>IF(OR($E176="",$E175=""),"",MAX($E176-$E175,0))</f>
        <v>0</v>
      </c>
      <c r="M176">
        <f>IF(OR($E176="",$E175=""),"",MAX($E175-$E176,0))</f>
        <v>0</v>
      </c>
      <c r="N176">
        <f>IF(COUNT($E$2:$E176)&lt;15,"",IF(AVERAGE($M$163:$M$176)=0,100,100-100/(1+AVERAGE($L$163:$L$176)/AVERAGE($M$163:$M$176))))</f>
        <v>0</v>
      </c>
      <c r="O176">
        <f>IF($E176="","",IF($E175="",$E176,$E176*0.1538461538+O175*0.8461538462))</f>
        <v>0</v>
      </c>
      <c r="P176">
        <f>IF($E176="","",IF($E175="",$E176,$E176*0.0740740741+P175*0.9259259259))</f>
        <v>0</v>
      </c>
      <c r="Q176">
        <f>IF(OR(O176="",P176=""),"",O176-P176)</f>
        <v>0</v>
      </c>
      <c r="R176">
        <f>IF(Q176="","",IF(R175="",Q176,Q176*0.2000000000+R175*0.8000000000))</f>
        <v>0</v>
      </c>
      <c r="S176">
        <f>IF(OR(Q176="",R176=""),"",Q176-R176)</f>
        <v>0</v>
      </c>
      <c r="T176">
        <f>IF(COUNT($E$2:$E176)&lt;14,"",MAX($C$163:$C$176))</f>
        <v>0</v>
      </c>
      <c r="U176">
        <f>IF(COUNT($E$2:$E176)&lt;14,"",MIN($D$163:$D$176))</f>
        <v>0</v>
      </c>
      <c r="V176">
        <f>IF(OR(T176="",U176="",T176=U176),"",100*($E176-U176)/(T176-U176))</f>
        <v>0</v>
      </c>
      <c r="W176">
        <f>IF(COUNT($V$174:$V$176)&lt;3,"",AVERAGE($V$174:$V$176))</f>
        <v>0</v>
      </c>
      <c r="X176">
        <f>IF(COUNT($N$163:$N$176)&lt;14,"",MIN($N$163:$N$176))</f>
        <v>0</v>
      </c>
      <c r="Y176">
        <f>IF(COUNT($N$163:$N$176)&lt;14,"",MAX($N$163:$N$176))</f>
        <v>0</v>
      </c>
      <c r="Z176">
        <f>IF(OR(N176="",X176="",Y176="",Y176=X176),"",100*(N176-X176)/(Y176-X176))</f>
        <v>0</v>
      </c>
      <c r="AA176">
        <f>IF(COUNT($Z$174:$Z$176)&lt;3,"",AVERAGE($Z$174:$Z$176))</f>
        <v>0</v>
      </c>
      <c r="AB176">
        <f>IF(COUNT($AA$174:$AA$176)&lt;3,"",AVERAGE($AA$174:$AA$176))</f>
        <v>0</v>
      </c>
      <c r="AC176">
        <f>IF($E176="","",MAX($C176-$D176,ABS($C176-$E175),ABS($D176-$E175)))</f>
        <v>0</v>
      </c>
      <c r="AD176">
        <f>IF(COUNT($E$2:$E176)&lt;15,"",AVERAGE($AC$163:$AC$176))</f>
        <v>0</v>
      </c>
      <c r="AE176">
        <f>IF(OR($E176="",$E175=""),"",IF(AND(($C176-$C175)&gt;($D175-$D176),($C176-$C175)&gt;0),$C176-$C175,0))</f>
        <v>0</v>
      </c>
      <c r="AF176">
        <f>IF(OR($E176="",$E175=""),"",IF(AND(($D175-$D176)&gt;($C176-$C175),($D175-$D176)&gt;0),$D175-$D176,0))</f>
        <v>0</v>
      </c>
      <c r="AG176">
        <f>IF(COUNT($E$2:$E176)&lt;15,"",IF(SUM($AC$163:$AC$176)=0,0,100*SUM($AE$163:$AE$176)/SUM($AC$163:$AC$176)))</f>
        <v>0</v>
      </c>
      <c r="AH176">
        <f>IF(COUNT($E$2:$E176)&lt;15,"",IF(SUM($AC$163:$AC$176)=0,0,100*SUM($AF$163:$AF$176)/SUM($AC$163:$AC$176)))</f>
        <v>0</v>
      </c>
      <c r="AI176">
        <f>IF(OR(AG176="",AH176=""),"",IF((AG176+AH176)=0,0,100*ABS(AG176-AH176)/(AG176+AH176)))</f>
        <v>0</v>
      </c>
      <c r="AJ176">
        <f>IF(COUNT($AI$163:$AI$176)&lt;14,"",AVERAGE($AI$163:$AI$176))</f>
        <v>0</v>
      </c>
      <c r="AK176">
        <f>IF(COUNT($E$2:$E176)&lt;20,"",AVERAGE($E$157:$E$176))</f>
        <v>0</v>
      </c>
      <c r="AL176">
        <f>IF(COUNT($E$2:$E176)&lt;20,"",STDEVP($E$157:$E$176))</f>
        <v>0</v>
      </c>
      <c r="AM176">
        <f>IF(AK176="","",AK176+2*AL176)</f>
        <v>0</v>
      </c>
      <c r="AN176">
        <f>IF(AK176="","",AK176-2*AL176)</f>
        <v>0</v>
      </c>
      <c r="AO176">
        <f>IF(OR(AM176="",AN176="",AM176=AN176),"",($E176-AN176)/(AM176-AN176))</f>
        <v>0</v>
      </c>
      <c r="AP176">
        <f>IF(OR(AM176="",AK176="",AK176=0),"",(AM176-AN176)/AK176)</f>
        <v>0</v>
      </c>
      <c r="AQ176">
        <f>IF(COUNT($E$2:$E176)&lt;20,"",MAX($C$157:$C$176))</f>
        <v>0</v>
      </c>
      <c r="AR176">
        <f>IF(COUNT($E$2:$E176)&lt;20,"",MIN($D$157:$D$176))</f>
        <v>0</v>
      </c>
      <c r="AS176">
        <f>IF(OR(AQ176="",AR176=""),"",(AQ176+AR176)/2)</f>
        <v>0</v>
      </c>
      <c r="AT176">
        <f>IF(COUNT($G$157:$G$176)&lt;20,"",STDEV($G$157:$G$176)*SQRT(252))</f>
        <v>0</v>
      </c>
      <c r="AU176">
        <f>IF(COUNT($E$2:$E176)&lt;9,"",(MAX($C$168:$C$176)+MIN($D$168:$D$176))/2)</f>
        <v>0</v>
      </c>
      <c r="AV176">
        <f>IF(COUNT($E$2:$E176)&lt;26,"",(MAX($C$151:$C$176)+MIN($D$151:$D$176))/2)</f>
        <v>0</v>
      </c>
      <c r="AW176">
        <f>IF(OR(AU176="",AV176=""),"",(AU176+AV176)/2)</f>
        <v>0</v>
      </c>
      <c r="AX176">
        <f>IF(COUNT($E$2:$E176)&lt;52,"",(MAX($C$125:$C$176)+MIN($D$125:$D$176))/2)</f>
        <v>0</v>
      </c>
      <c r="AY176">
        <f>IF(COUNT($E$2:$E176)&lt;20,"",MAX($C$77:$C$176))</f>
        <v>0</v>
      </c>
      <c r="AZ176">
        <f>IF(COUNT($E$2:$E176)&lt;20,"",MIN($D$77:$D$176))</f>
        <v>0</v>
      </c>
      <c r="BA176">
        <f>IF(COUNT($E$2:$E176)&lt;20,"",SLOPE($E$77:$E$176,$F$77:$F$176))</f>
        <v>0</v>
      </c>
      <c r="BB176">
        <f>IF(COUNT($E$2:$E176)&lt;20,"",INTERCEPT($E$77:$E$176,$F$77:$F$176))</f>
        <v>0</v>
      </c>
      <c r="BC176">
        <f>IF(OR(BA176="",BB176=""),"",BB176+BA176*F176)</f>
        <v>0</v>
      </c>
      <c r="BD176">
        <f>IF(COUNT($E$2:$E176)&lt;20,"",STEYX($E$77:$E$176,$F$77:$F$176))</f>
        <v>0</v>
      </c>
      <c r="BE176">
        <f>IF($E176="","",IF(AND(COUNT($E$177:$E$180)&gt;=4,$C176=MAX($C$172:$C$180)),$C176,""))</f>
        <v>0</v>
      </c>
      <c r="BF176">
        <f>IF($E176="","",IF(AND(COUNT($E$177:$E$180)&gt;=4,$D176=MIN($D$172:$D$180)),$D176,""))</f>
        <v>0</v>
      </c>
      <c r="BG176">
        <f>IF($A176="","",$A176-WEEKDAY($A176,2)+1)</f>
        <v>0</v>
      </c>
      <c r="BH176">
        <f>IF($A176="","",IF($A175="",1,IF(BG176&lt;&gt;BG175,1,0)))</f>
        <v>0</v>
      </c>
      <c r="BI176">
        <f>IF($A176="","",IF($A177="",1,IF(BG177&lt;&gt;BG176,1,0)))</f>
        <v>0</v>
      </c>
      <c r="BJ176">
        <f>IF($A176="","",IF(BH176=1,$B176,BJ175))</f>
        <v>0</v>
      </c>
      <c r="BK176">
        <f>IF($A176="","",IF(BH176=1,$C176,MAX($C176,BK175)))</f>
        <v>0</v>
      </c>
      <c r="BL176">
        <f>IF($A176="","",IF(BH176=1,$D176,MIN($D176,BL175)))</f>
        <v>0</v>
      </c>
      <c r="BM176">
        <f>IF($A176="","",IF(BI176=1,F176,""))</f>
        <v>0</v>
      </c>
      <c r="BN176">
        <f>IF($A176="","",DATE(YEAR($A176),MONTH($A176),1))</f>
        <v>0</v>
      </c>
      <c r="BO176">
        <f>IF($A176="","",IF($A175="",1,IF(BN176&lt;&gt;BN175,1,0)))</f>
        <v>0</v>
      </c>
      <c r="BP176">
        <f>IF($A176="","",IF($A177="",1,IF(BN177&lt;&gt;BN176,1,0)))</f>
        <v>0</v>
      </c>
      <c r="BQ176">
        <f>IF($A176="","",IF(BO176=1,$B176,BQ175))</f>
        <v>0</v>
      </c>
      <c r="BR176">
        <f>IF($A176="","",IF(BO176=1,$C176,MAX($C176,BR175)))</f>
        <v>0</v>
      </c>
      <c r="BS176">
        <f>IF($A176="","",IF(BO176=1,$D176,MIN($D176,BS175)))</f>
        <v>0</v>
      </c>
      <c r="BT176">
        <f>IF($A176="","",IF(BP176=1,F176,""))</f>
        <v>0</v>
      </c>
    </row>
    <row r="177" spans="1:72">
      <c r="A177" s="27">
        <f>IF(Data!$A177="","",Data!$A177)</f>
        <v>0</v>
      </c>
      <c r="B177">
        <f>IF(Data!$B177="","",Data!$B177)</f>
        <v>0</v>
      </c>
      <c r="C177">
        <f>IF(Data!$C177="","",Data!$C177)</f>
        <v>0</v>
      </c>
      <c r="D177">
        <f>IF(Data!$D177="","",Data!$D177)</f>
        <v>0</v>
      </c>
      <c r="E177">
        <f>IF(Data!$E177="","",Data!$E177)</f>
        <v>0</v>
      </c>
      <c r="F177">
        <f>IF($E177="","",N(F176)+1)</f>
        <v>0</v>
      </c>
      <c r="G177">
        <f>IF(OR($E177="",$E176=""),"",LN($E177/$E176))</f>
        <v>0</v>
      </c>
      <c r="H177">
        <f>IF($E177="","",IF($E176="",$E177,$E177*0.0952380952+H176*0.9047619048))</f>
        <v>0</v>
      </c>
      <c r="I177">
        <f>IF($E177="","",IF($E176="",$E177,$E177*0.0392156863+I176*0.9607843137))</f>
        <v>0</v>
      </c>
      <c r="J177">
        <f>IF($E177="","",IF($E176="",$E177,$E177*0.0198019802+J176*0.9801980198))</f>
        <v>0</v>
      </c>
      <c r="K177">
        <f>IF($E177="","",IF($E176="",$E177,$E177*0.0099502488+K176*0.9900497512))</f>
        <v>0</v>
      </c>
      <c r="L177">
        <f>IF(OR($E177="",$E176=""),"",MAX($E177-$E176,0))</f>
        <v>0</v>
      </c>
      <c r="M177">
        <f>IF(OR($E177="",$E176=""),"",MAX($E176-$E177,0))</f>
        <v>0</v>
      </c>
      <c r="N177">
        <f>IF(COUNT($E$2:$E177)&lt;15,"",IF(AVERAGE($M$164:$M$177)=0,100,100-100/(1+AVERAGE($L$164:$L$177)/AVERAGE($M$164:$M$177))))</f>
        <v>0</v>
      </c>
      <c r="O177">
        <f>IF($E177="","",IF($E176="",$E177,$E177*0.1538461538+O176*0.8461538462))</f>
        <v>0</v>
      </c>
      <c r="P177">
        <f>IF($E177="","",IF($E176="",$E177,$E177*0.0740740741+P176*0.9259259259))</f>
        <v>0</v>
      </c>
      <c r="Q177">
        <f>IF(OR(O177="",P177=""),"",O177-P177)</f>
        <v>0</v>
      </c>
      <c r="R177">
        <f>IF(Q177="","",IF(R176="",Q177,Q177*0.2000000000+R176*0.8000000000))</f>
        <v>0</v>
      </c>
      <c r="S177">
        <f>IF(OR(Q177="",R177=""),"",Q177-R177)</f>
        <v>0</v>
      </c>
      <c r="T177">
        <f>IF(COUNT($E$2:$E177)&lt;14,"",MAX($C$164:$C$177))</f>
        <v>0</v>
      </c>
      <c r="U177">
        <f>IF(COUNT($E$2:$E177)&lt;14,"",MIN($D$164:$D$177))</f>
        <v>0</v>
      </c>
      <c r="V177">
        <f>IF(OR(T177="",U177="",T177=U177),"",100*($E177-U177)/(T177-U177))</f>
        <v>0</v>
      </c>
      <c r="W177">
        <f>IF(COUNT($V$175:$V$177)&lt;3,"",AVERAGE($V$175:$V$177))</f>
        <v>0</v>
      </c>
      <c r="X177">
        <f>IF(COUNT($N$164:$N$177)&lt;14,"",MIN($N$164:$N$177))</f>
        <v>0</v>
      </c>
      <c r="Y177">
        <f>IF(COUNT($N$164:$N$177)&lt;14,"",MAX($N$164:$N$177))</f>
        <v>0</v>
      </c>
      <c r="Z177">
        <f>IF(OR(N177="",X177="",Y177="",Y177=X177),"",100*(N177-X177)/(Y177-X177))</f>
        <v>0</v>
      </c>
      <c r="AA177">
        <f>IF(COUNT($Z$175:$Z$177)&lt;3,"",AVERAGE($Z$175:$Z$177))</f>
        <v>0</v>
      </c>
      <c r="AB177">
        <f>IF(COUNT($AA$175:$AA$177)&lt;3,"",AVERAGE($AA$175:$AA$177))</f>
        <v>0</v>
      </c>
      <c r="AC177">
        <f>IF($E177="","",MAX($C177-$D177,ABS($C177-$E176),ABS($D177-$E176)))</f>
        <v>0</v>
      </c>
      <c r="AD177">
        <f>IF(COUNT($E$2:$E177)&lt;15,"",AVERAGE($AC$164:$AC$177))</f>
        <v>0</v>
      </c>
      <c r="AE177">
        <f>IF(OR($E177="",$E176=""),"",IF(AND(($C177-$C176)&gt;($D176-$D177),($C177-$C176)&gt;0),$C177-$C176,0))</f>
        <v>0</v>
      </c>
      <c r="AF177">
        <f>IF(OR($E177="",$E176=""),"",IF(AND(($D176-$D177)&gt;($C177-$C176),($D176-$D177)&gt;0),$D176-$D177,0))</f>
        <v>0</v>
      </c>
      <c r="AG177">
        <f>IF(COUNT($E$2:$E177)&lt;15,"",IF(SUM($AC$164:$AC$177)=0,0,100*SUM($AE$164:$AE$177)/SUM($AC$164:$AC$177)))</f>
        <v>0</v>
      </c>
      <c r="AH177">
        <f>IF(COUNT($E$2:$E177)&lt;15,"",IF(SUM($AC$164:$AC$177)=0,0,100*SUM($AF$164:$AF$177)/SUM($AC$164:$AC$177)))</f>
        <v>0</v>
      </c>
      <c r="AI177">
        <f>IF(OR(AG177="",AH177=""),"",IF((AG177+AH177)=0,0,100*ABS(AG177-AH177)/(AG177+AH177)))</f>
        <v>0</v>
      </c>
      <c r="AJ177">
        <f>IF(COUNT($AI$164:$AI$177)&lt;14,"",AVERAGE($AI$164:$AI$177))</f>
        <v>0</v>
      </c>
      <c r="AK177">
        <f>IF(COUNT($E$2:$E177)&lt;20,"",AVERAGE($E$158:$E$177))</f>
        <v>0</v>
      </c>
      <c r="AL177">
        <f>IF(COUNT($E$2:$E177)&lt;20,"",STDEVP($E$158:$E$177))</f>
        <v>0</v>
      </c>
      <c r="AM177">
        <f>IF(AK177="","",AK177+2*AL177)</f>
        <v>0</v>
      </c>
      <c r="AN177">
        <f>IF(AK177="","",AK177-2*AL177)</f>
        <v>0</v>
      </c>
      <c r="AO177">
        <f>IF(OR(AM177="",AN177="",AM177=AN177),"",($E177-AN177)/(AM177-AN177))</f>
        <v>0</v>
      </c>
      <c r="AP177">
        <f>IF(OR(AM177="",AK177="",AK177=0),"",(AM177-AN177)/AK177)</f>
        <v>0</v>
      </c>
      <c r="AQ177">
        <f>IF(COUNT($E$2:$E177)&lt;20,"",MAX($C$158:$C$177))</f>
        <v>0</v>
      </c>
      <c r="AR177">
        <f>IF(COUNT($E$2:$E177)&lt;20,"",MIN($D$158:$D$177))</f>
        <v>0</v>
      </c>
      <c r="AS177">
        <f>IF(OR(AQ177="",AR177=""),"",(AQ177+AR177)/2)</f>
        <v>0</v>
      </c>
      <c r="AT177">
        <f>IF(COUNT($G$158:$G$177)&lt;20,"",STDEV($G$158:$G$177)*SQRT(252))</f>
        <v>0</v>
      </c>
      <c r="AU177">
        <f>IF(COUNT($E$2:$E177)&lt;9,"",(MAX($C$169:$C$177)+MIN($D$169:$D$177))/2)</f>
        <v>0</v>
      </c>
      <c r="AV177">
        <f>IF(COUNT($E$2:$E177)&lt;26,"",(MAX($C$152:$C$177)+MIN($D$152:$D$177))/2)</f>
        <v>0</v>
      </c>
      <c r="AW177">
        <f>IF(OR(AU177="",AV177=""),"",(AU177+AV177)/2)</f>
        <v>0</v>
      </c>
      <c r="AX177">
        <f>IF(COUNT($E$2:$E177)&lt;52,"",(MAX($C$126:$C$177)+MIN($D$126:$D$177))/2)</f>
        <v>0</v>
      </c>
      <c r="AY177">
        <f>IF(COUNT($E$2:$E177)&lt;20,"",MAX($C$78:$C$177))</f>
        <v>0</v>
      </c>
      <c r="AZ177">
        <f>IF(COUNT($E$2:$E177)&lt;20,"",MIN($D$78:$D$177))</f>
        <v>0</v>
      </c>
      <c r="BA177">
        <f>IF(COUNT($E$2:$E177)&lt;20,"",SLOPE($E$78:$E$177,$F$78:$F$177))</f>
        <v>0</v>
      </c>
      <c r="BB177">
        <f>IF(COUNT($E$2:$E177)&lt;20,"",INTERCEPT($E$78:$E$177,$F$78:$F$177))</f>
        <v>0</v>
      </c>
      <c r="BC177">
        <f>IF(OR(BA177="",BB177=""),"",BB177+BA177*F177)</f>
        <v>0</v>
      </c>
      <c r="BD177">
        <f>IF(COUNT($E$2:$E177)&lt;20,"",STEYX($E$78:$E$177,$F$78:$F$177))</f>
        <v>0</v>
      </c>
      <c r="BE177">
        <f>IF($E177="","",IF(AND(COUNT($E$178:$E$181)&gt;=4,$C177=MAX($C$173:$C$181)),$C177,""))</f>
        <v>0</v>
      </c>
      <c r="BF177">
        <f>IF($E177="","",IF(AND(COUNT($E$178:$E$181)&gt;=4,$D177=MIN($D$173:$D$181)),$D177,""))</f>
        <v>0</v>
      </c>
      <c r="BG177">
        <f>IF($A177="","",$A177-WEEKDAY($A177,2)+1)</f>
        <v>0</v>
      </c>
      <c r="BH177">
        <f>IF($A177="","",IF($A176="",1,IF(BG177&lt;&gt;BG176,1,0)))</f>
        <v>0</v>
      </c>
      <c r="BI177">
        <f>IF($A177="","",IF($A178="",1,IF(BG178&lt;&gt;BG177,1,0)))</f>
        <v>0</v>
      </c>
      <c r="BJ177">
        <f>IF($A177="","",IF(BH177=1,$B177,BJ176))</f>
        <v>0</v>
      </c>
      <c r="BK177">
        <f>IF($A177="","",IF(BH177=1,$C177,MAX($C177,BK176)))</f>
        <v>0</v>
      </c>
      <c r="BL177">
        <f>IF($A177="","",IF(BH177=1,$D177,MIN($D177,BL176)))</f>
        <v>0</v>
      </c>
      <c r="BM177">
        <f>IF($A177="","",IF(BI177=1,F177,""))</f>
        <v>0</v>
      </c>
      <c r="BN177">
        <f>IF($A177="","",DATE(YEAR($A177),MONTH($A177),1))</f>
        <v>0</v>
      </c>
      <c r="BO177">
        <f>IF($A177="","",IF($A176="",1,IF(BN177&lt;&gt;BN176,1,0)))</f>
        <v>0</v>
      </c>
      <c r="BP177">
        <f>IF($A177="","",IF($A178="",1,IF(BN178&lt;&gt;BN177,1,0)))</f>
        <v>0</v>
      </c>
      <c r="BQ177">
        <f>IF($A177="","",IF(BO177=1,$B177,BQ176))</f>
        <v>0</v>
      </c>
      <c r="BR177">
        <f>IF($A177="","",IF(BO177=1,$C177,MAX($C177,BR176)))</f>
        <v>0</v>
      </c>
      <c r="BS177">
        <f>IF($A177="","",IF(BO177=1,$D177,MIN($D177,BS176)))</f>
        <v>0</v>
      </c>
      <c r="BT177">
        <f>IF($A177="","",IF(BP177=1,F177,""))</f>
        <v>0</v>
      </c>
    </row>
    <row r="178" spans="1:72">
      <c r="A178" s="27">
        <f>IF(Data!$A178="","",Data!$A178)</f>
        <v>0</v>
      </c>
      <c r="B178">
        <f>IF(Data!$B178="","",Data!$B178)</f>
        <v>0</v>
      </c>
      <c r="C178">
        <f>IF(Data!$C178="","",Data!$C178)</f>
        <v>0</v>
      </c>
      <c r="D178">
        <f>IF(Data!$D178="","",Data!$D178)</f>
        <v>0</v>
      </c>
      <c r="E178">
        <f>IF(Data!$E178="","",Data!$E178)</f>
        <v>0</v>
      </c>
      <c r="F178">
        <f>IF($E178="","",N(F177)+1)</f>
        <v>0</v>
      </c>
      <c r="G178">
        <f>IF(OR($E178="",$E177=""),"",LN($E178/$E177))</f>
        <v>0</v>
      </c>
      <c r="H178">
        <f>IF($E178="","",IF($E177="",$E178,$E178*0.0952380952+H177*0.9047619048))</f>
        <v>0</v>
      </c>
      <c r="I178">
        <f>IF($E178="","",IF($E177="",$E178,$E178*0.0392156863+I177*0.9607843137))</f>
        <v>0</v>
      </c>
      <c r="J178">
        <f>IF($E178="","",IF($E177="",$E178,$E178*0.0198019802+J177*0.9801980198))</f>
        <v>0</v>
      </c>
      <c r="K178">
        <f>IF($E178="","",IF($E177="",$E178,$E178*0.0099502488+K177*0.9900497512))</f>
        <v>0</v>
      </c>
      <c r="L178">
        <f>IF(OR($E178="",$E177=""),"",MAX($E178-$E177,0))</f>
        <v>0</v>
      </c>
      <c r="M178">
        <f>IF(OR($E178="",$E177=""),"",MAX($E177-$E178,0))</f>
        <v>0</v>
      </c>
      <c r="N178">
        <f>IF(COUNT($E$2:$E178)&lt;15,"",IF(AVERAGE($M$165:$M$178)=0,100,100-100/(1+AVERAGE($L$165:$L$178)/AVERAGE($M$165:$M$178))))</f>
        <v>0</v>
      </c>
      <c r="O178">
        <f>IF($E178="","",IF($E177="",$E178,$E178*0.1538461538+O177*0.8461538462))</f>
        <v>0</v>
      </c>
      <c r="P178">
        <f>IF($E178="","",IF($E177="",$E178,$E178*0.0740740741+P177*0.9259259259))</f>
        <v>0</v>
      </c>
      <c r="Q178">
        <f>IF(OR(O178="",P178=""),"",O178-P178)</f>
        <v>0</v>
      </c>
      <c r="R178">
        <f>IF(Q178="","",IF(R177="",Q178,Q178*0.2000000000+R177*0.8000000000))</f>
        <v>0</v>
      </c>
      <c r="S178">
        <f>IF(OR(Q178="",R178=""),"",Q178-R178)</f>
        <v>0</v>
      </c>
      <c r="T178">
        <f>IF(COUNT($E$2:$E178)&lt;14,"",MAX($C$165:$C$178))</f>
        <v>0</v>
      </c>
      <c r="U178">
        <f>IF(COUNT($E$2:$E178)&lt;14,"",MIN($D$165:$D$178))</f>
        <v>0</v>
      </c>
      <c r="V178">
        <f>IF(OR(T178="",U178="",T178=U178),"",100*($E178-U178)/(T178-U178))</f>
        <v>0</v>
      </c>
      <c r="W178">
        <f>IF(COUNT($V$176:$V$178)&lt;3,"",AVERAGE($V$176:$V$178))</f>
        <v>0</v>
      </c>
      <c r="X178">
        <f>IF(COUNT($N$165:$N$178)&lt;14,"",MIN($N$165:$N$178))</f>
        <v>0</v>
      </c>
      <c r="Y178">
        <f>IF(COUNT($N$165:$N$178)&lt;14,"",MAX($N$165:$N$178))</f>
        <v>0</v>
      </c>
      <c r="Z178">
        <f>IF(OR(N178="",X178="",Y178="",Y178=X178),"",100*(N178-X178)/(Y178-X178))</f>
        <v>0</v>
      </c>
      <c r="AA178">
        <f>IF(COUNT($Z$176:$Z$178)&lt;3,"",AVERAGE($Z$176:$Z$178))</f>
        <v>0</v>
      </c>
      <c r="AB178">
        <f>IF(COUNT($AA$176:$AA$178)&lt;3,"",AVERAGE($AA$176:$AA$178))</f>
        <v>0</v>
      </c>
      <c r="AC178">
        <f>IF($E178="","",MAX($C178-$D178,ABS($C178-$E177),ABS($D178-$E177)))</f>
        <v>0</v>
      </c>
      <c r="AD178">
        <f>IF(COUNT($E$2:$E178)&lt;15,"",AVERAGE($AC$165:$AC$178))</f>
        <v>0</v>
      </c>
      <c r="AE178">
        <f>IF(OR($E178="",$E177=""),"",IF(AND(($C178-$C177)&gt;($D177-$D178),($C178-$C177)&gt;0),$C178-$C177,0))</f>
        <v>0</v>
      </c>
      <c r="AF178">
        <f>IF(OR($E178="",$E177=""),"",IF(AND(($D177-$D178)&gt;($C178-$C177),($D177-$D178)&gt;0),$D177-$D178,0))</f>
        <v>0</v>
      </c>
      <c r="AG178">
        <f>IF(COUNT($E$2:$E178)&lt;15,"",IF(SUM($AC$165:$AC$178)=0,0,100*SUM($AE$165:$AE$178)/SUM($AC$165:$AC$178)))</f>
        <v>0</v>
      </c>
      <c r="AH178">
        <f>IF(COUNT($E$2:$E178)&lt;15,"",IF(SUM($AC$165:$AC$178)=0,0,100*SUM($AF$165:$AF$178)/SUM($AC$165:$AC$178)))</f>
        <v>0</v>
      </c>
      <c r="AI178">
        <f>IF(OR(AG178="",AH178=""),"",IF((AG178+AH178)=0,0,100*ABS(AG178-AH178)/(AG178+AH178)))</f>
        <v>0</v>
      </c>
      <c r="AJ178">
        <f>IF(COUNT($AI$165:$AI$178)&lt;14,"",AVERAGE($AI$165:$AI$178))</f>
        <v>0</v>
      </c>
      <c r="AK178">
        <f>IF(COUNT($E$2:$E178)&lt;20,"",AVERAGE($E$159:$E$178))</f>
        <v>0</v>
      </c>
      <c r="AL178">
        <f>IF(COUNT($E$2:$E178)&lt;20,"",STDEVP($E$159:$E$178))</f>
        <v>0</v>
      </c>
      <c r="AM178">
        <f>IF(AK178="","",AK178+2*AL178)</f>
        <v>0</v>
      </c>
      <c r="AN178">
        <f>IF(AK178="","",AK178-2*AL178)</f>
        <v>0</v>
      </c>
      <c r="AO178">
        <f>IF(OR(AM178="",AN178="",AM178=AN178),"",($E178-AN178)/(AM178-AN178))</f>
        <v>0</v>
      </c>
      <c r="AP178">
        <f>IF(OR(AM178="",AK178="",AK178=0),"",(AM178-AN178)/AK178)</f>
        <v>0</v>
      </c>
      <c r="AQ178">
        <f>IF(COUNT($E$2:$E178)&lt;20,"",MAX($C$159:$C$178))</f>
        <v>0</v>
      </c>
      <c r="AR178">
        <f>IF(COUNT($E$2:$E178)&lt;20,"",MIN($D$159:$D$178))</f>
        <v>0</v>
      </c>
      <c r="AS178">
        <f>IF(OR(AQ178="",AR178=""),"",(AQ178+AR178)/2)</f>
        <v>0</v>
      </c>
      <c r="AT178">
        <f>IF(COUNT($G$159:$G$178)&lt;20,"",STDEV($G$159:$G$178)*SQRT(252))</f>
        <v>0</v>
      </c>
      <c r="AU178">
        <f>IF(COUNT($E$2:$E178)&lt;9,"",(MAX($C$170:$C$178)+MIN($D$170:$D$178))/2)</f>
        <v>0</v>
      </c>
      <c r="AV178">
        <f>IF(COUNT($E$2:$E178)&lt;26,"",(MAX($C$153:$C$178)+MIN($D$153:$D$178))/2)</f>
        <v>0</v>
      </c>
      <c r="AW178">
        <f>IF(OR(AU178="",AV178=""),"",(AU178+AV178)/2)</f>
        <v>0</v>
      </c>
      <c r="AX178">
        <f>IF(COUNT($E$2:$E178)&lt;52,"",(MAX($C$127:$C$178)+MIN($D$127:$D$178))/2)</f>
        <v>0</v>
      </c>
      <c r="AY178">
        <f>IF(COUNT($E$2:$E178)&lt;20,"",MAX($C$79:$C$178))</f>
        <v>0</v>
      </c>
      <c r="AZ178">
        <f>IF(COUNT($E$2:$E178)&lt;20,"",MIN($D$79:$D$178))</f>
        <v>0</v>
      </c>
      <c r="BA178">
        <f>IF(COUNT($E$2:$E178)&lt;20,"",SLOPE($E$79:$E$178,$F$79:$F$178))</f>
        <v>0</v>
      </c>
      <c r="BB178">
        <f>IF(COUNT($E$2:$E178)&lt;20,"",INTERCEPT($E$79:$E$178,$F$79:$F$178))</f>
        <v>0</v>
      </c>
      <c r="BC178">
        <f>IF(OR(BA178="",BB178=""),"",BB178+BA178*F178)</f>
        <v>0</v>
      </c>
      <c r="BD178">
        <f>IF(COUNT($E$2:$E178)&lt;20,"",STEYX($E$79:$E$178,$F$79:$F$178))</f>
        <v>0</v>
      </c>
      <c r="BE178">
        <f>IF($E178="","",IF(AND(COUNT($E$179:$E$182)&gt;=4,$C178=MAX($C$174:$C$182)),$C178,""))</f>
        <v>0</v>
      </c>
      <c r="BF178">
        <f>IF($E178="","",IF(AND(COUNT($E$179:$E$182)&gt;=4,$D178=MIN($D$174:$D$182)),$D178,""))</f>
        <v>0</v>
      </c>
      <c r="BG178">
        <f>IF($A178="","",$A178-WEEKDAY($A178,2)+1)</f>
        <v>0</v>
      </c>
      <c r="BH178">
        <f>IF($A178="","",IF($A177="",1,IF(BG178&lt;&gt;BG177,1,0)))</f>
        <v>0</v>
      </c>
      <c r="BI178">
        <f>IF($A178="","",IF($A179="",1,IF(BG179&lt;&gt;BG178,1,0)))</f>
        <v>0</v>
      </c>
      <c r="BJ178">
        <f>IF($A178="","",IF(BH178=1,$B178,BJ177))</f>
        <v>0</v>
      </c>
      <c r="BK178">
        <f>IF($A178="","",IF(BH178=1,$C178,MAX($C178,BK177)))</f>
        <v>0</v>
      </c>
      <c r="BL178">
        <f>IF($A178="","",IF(BH178=1,$D178,MIN($D178,BL177)))</f>
        <v>0</v>
      </c>
      <c r="BM178">
        <f>IF($A178="","",IF(BI178=1,F178,""))</f>
        <v>0</v>
      </c>
      <c r="BN178">
        <f>IF($A178="","",DATE(YEAR($A178),MONTH($A178),1))</f>
        <v>0</v>
      </c>
      <c r="BO178">
        <f>IF($A178="","",IF($A177="",1,IF(BN178&lt;&gt;BN177,1,0)))</f>
        <v>0</v>
      </c>
      <c r="BP178">
        <f>IF($A178="","",IF($A179="",1,IF(BN179&lt;&gt;BN178,1,0)))</f>
        <v>0</v>
      </c>
      <c r="BQ178">
        <f>IF($A178="","",IF(BO178=1,$B178,BQ177))</f>
        <v>0</v>
      </c>
      <c r="BR178">
        <f>IF($A178="","",IF(BO178=1,$C178,MAX($C178,BR177)))</f>
        <v>0</v>
      </c>
      <c r="BS178">
        <f>IF($A178="","",IF(BO178=1,$D178,MIN($D178,BS177)))</f>
        <v>0</v>
      </c>
      <c r="BT178">
        <f>IF($A178="","",IF(BP178=1,F178,""))</f>
        <v>0</v>
      </c>
    </row>
    <row r="179" spans="1:72">
      <c r="A179" s="27">
        <f>IF(Data!$A179="","",Data!$A179)</f>
        <v>0</v>
      </c>
      <c r="B179">
        <f>IF(Data!$B179="","",Data!$B179)</f>
        <v>0</v>
      </c>
      <c r="C179">
        <f>IF(Data!$C179="","",Data!$C179)</f>
        <v>0</v>
      </c>
      <c r="D179">
        <f>IF(Data!$D179="","",Data!$D179)</f>
        <v>0</v>
      </c>
      <c r="E179">
        <f>IF(Data!$E179="","",Data!$E179)</f>
        <v>0</v>
      </c>
      <c r="F179">
        <f>IF($E179="","",N(F178)+1)</f>
        <v>0</v>
      </c>
      <c r="G179">
        <f>IF(OR($E179="",$E178=""),"",LN($E179/$E178))</f>
        <v>0</v>
      </c>
      <c r="H179">
        <f>IF($E179="","",IF($E178="",$E179,$E179*0.0952380952+H178*0.9047619048))</f>
        <v>0</v>
      </c>
      <c r="I179">
        <f>IF($E179="","",IF($E178="",$E179,$E179*0.0392156863+I178*0.9607843137))</f>
        <v>0</v>
      </c>
      <c r="J179">
        <f>IF($E179="","",IF($E178="",$E179,$E179*0.0198019802+J178*0.9801980198))</f>
        <v>0</v>
      </c>
      <c r="K179">
        <f>IF($E179="","",IF($E178="",$E179,$E179*0.0099502488+K178*0.9900497512))</f>
        <v>0</v>
      </c>
      <c r="L179">
        <f>IF(OR($E179="",$E178=""),"",MAX($E179-$E178,0))</f>
        <v>0</v>
      </c>
      <c r="M179">
        <f>IF(OR($E179="",$E178=""),"",MAX($E178-$E179,0))</f>
        <v>0</v>
      </c>
      <c r="N179">
        <f>IF(COUNT($E$2:$E179)&lt;15,"",IF(AVERAGE($M$166:$M$179)=0,100,100-100/(1+AVERAGE($L$166:$L$179)/AVERAGE($M$166:$M$179))))</f>
        <v>0</v>
      </c>
      <c r="O179">
        <f>IF($E179="","",IF($E178="",$E179,$E179*0.1538461538+O178*0.8461538462))</f>
        <v>0</v>
      </c>
      <c r="P179">
        <f>IF($E179="","",IF($E178="",$E179,$E179*0.0740740741+P178*0.9259259259))</f>
        <v>0</v>
      </c>
      <c r="Q179">
        <f>IF(OR(O179="",P179=""),"",O179-P179)</f>
        <v>0</v>
      </c>
      <c r="R179">
        <f>IF(Q179="","",IF(R178="",Q179,Q179*0.2000000000+R178*0.8000000000))</f>
        <v>0</v>
      </c>
      <c r="S179">
        <f>IF(OR(Q179="",R179=""),"",Q179-R179)</f>
        <v>0</v>
      </c>
      <c r="T179">
        <f>IF(COUNT($E$2:$E179)&lt;14,"",MAX($C$166:$C$179))</f>
        <v>0</v>
      </c>
      <c r="U179">
        <f>IF(COUNT($E$2:$E179)&lt;14,"",MIN($D$166:$D$179))</f>
        <v>0</v>
      </c>
      <c r="V179">
        <f>IF(OR(T179="",U179="",T179=U179),"",100*($E179-U179)/(T179-U179))</f>
        <v>0</v>
      </c>
      <c r="W179">
        <f>IF(COUNT($V$177:$V$179)&lt;3,"",AVERAGE($V$177:$V$179))</f>
        <v>0</v>
      </c>
      <c r="X179">
        <f>IF(COUNT($N$166:$N$179)&lt;14,"",MIN($N$166:$N$179))</f>
        <v>0</v>
      </c>
      <c r="Y179">
        <f>IF(COUNT($N$166:$N$179)&lt;14,"",MAX($N$166:$N$179))</f>
        <v>0</v>
      </c>
      <c r="Z179">
        <f>IF(OR(N179="",X179="",Y179="",Y179=X179),"",100*(N179-X179)/(Y179-X179))</f>
        <v>0</v>
      </c>
      <c r="AA179">
        <f>IF(COUNT($Z$177:$Z$179)&lt;3,"",AVERAGE($Z$177:$Z$179))</f>
        <v>0</v>
      </c>
      <c r="AB179">
        <f>IF(COUNT($AA$177:$AA$179)&lt;3,"",AVERAGE($AA$177:$AA$179))</f>
        <v>0</v>
      </c>
      <c r="AC179">
        <f>IF($E179="","",MAX($C179-$D179,ABS($C179-$E178),ABS($D179-$E178)))</f>
        <v>0</v>
      </c>
      <c r="AD179">
        <f>IF(COUNT($E$2:$E179)&lt;15,"",AVERAGE($AC$166:$AC$179))</f>
        <v>0</v>
      </c>
      <c r="AE179">
        <f>IF(OR($E179="",$E178=""),"",IF(AND(($C179-$C178)&gt;($D178-$D179),($C179-$C178)&gt;0),$C179-$C178,0))</f>
        <v>0</v>
      </c>
      <c r="AF179">
        <f>IF(OR($E179="",$E178=""),"",IF(AND(($D178-$D179)&gt;($C179-$C178),($D178-$D179)&gt;0),$D178-$D179,0))</f>
        <v>0</v>
      </c>
      <c r="AG179">
        <f>IF(COUNT($E$2:$E179)&lt;15,"",IF(SUM($AC$166:$AC$179)=0,0,100*SUM($AE$166:$AE$179)/SUM($AC$166:$AC$179)))</f>
        <v>0</v>
      </c>
      <c r="AH179">
        <f>IF(COUNT($E$2:$E179)&lt;15,"",IF(SUM($AC$166:$AC$179)=0,0,100*SUM($AF$166:$AF$179)/SUM($AC$166:$AC$179)))</f>
        <v>0</v>
      </c>
      <c r="AI179">
        <f>IF(OR(AG179="",AH179=""),"",IF((AG179+AH179)=0,0,100*ABS(AG179-AH179)/(AG179+AH179)))</f>
        <v>0</v>
      </c>
      <c r="AJ179">
        <f>IF(COUNT($AI$166:$AI$179)&lt;14,"",AVERAGE($AI$166:$AI$179))</f>
        <v>0</v>
      </c>
      <c r="AK179">
        <f>IF(COUNT($E$2:$E179)&lt;20,"",AVERAGE($E$160:$E$179))</f>
        <v>0</v>
      </c>
      <c r="AL179">
        <f>IF(COUNT($E$2:$E179)&lt;20,"",STDEVP($E$160:$E$179))</f>
        <v>0</v>
      </c>
      <c r="AM179">
        <f>IF(AK179="","",AK179+2*AL179)</f>
        <v>0</v>
      </c>
      <c r="AN179">
        <f>IF(AK179="","",AK179-2*AL179)</f>
        <v>0</v>
      </c>
      <c r="AO179">
        <f>IF(OR(AM179="",AN179="",AM179=AN179),"",($E179-AN179)/(AM179-AN179))</f>
        <v>0</v>
      </c>
      <c r="AP179">
        <f>IF(OR(AM179="",AK179="",AK179=0),"",(AM179-AN179)/AK179)</f>
        <v>0</v>
      </c>
      <c r="AQ179">
        <f>IF(COUNT($E$2:$E179)&lt;20,"",MAX($C$160:$C$179))</f>
        <v>0</v>
      </c>
      <c r="AR179">
        <f>IF(COUNT($E$2:$E179)&lt;20,"",MIN($D$160:$D$179))</f>
        <v>0</v>
      </c>
      <c r="AS179">
        <f>IF(OR(AQ179="",AR179=""),"",(AQ179+AR179)/2)</f>
        <v>0</v>
      </c>
      <c r="AT179">
        <f>IF(COUNT($G$160:$G$179)&lt;20,"",STDEV($G$160:$G$179)*SQRT(252))</f>
        <v>0</v>
      </c>
      <c r="AU179">
        <f>IF(COUNT($E$2:$E179)&lt;9,"",(MAX($C$171:$C$179)+MIN($D$171:$D$179))/2)</f>
        <v>0</v>
      </c>
      <c r="AV179">
        <f>IF(COUNT($E$2:$E179)&lt;26,"",(MAX($C$154:$C$179)+MIN($D$154:$D$179))/2)</f>
        <v>0</v>
      </c>
      <c r="AW179">
        <f>IF(OR(AU179="",AV179=""),"",(AU179+AV179)/2)</f>
        <v>0</v>
      </c>
      <c r="AX179">
        <f>IF(COUNT($E$2:$E179)&lt;52,"",(MAX($C$128:$C$179)+MIN($D$128:$D$179))/2)</f>
        <v>0</v>
      </c>
      <c r="AY179">
        <f>IF(COUNT($E$2:$E179)&lt;20,"",MAX($C$80:$C$179))</f>
        <v>0</v>
      </c>
      <c r="AZ179">
        <f>IF(COUNT($E$2:$E179)&lt;20,"",MIN($D$80:$D$179))</f>
        <v>0</v>
      </c>
      <c r="BA179">
        <f>IF(COUNT($E$2:$E179)&lt;20,"",SLOPE($E$80:$E$179,$F$80:$F$179))</f>
        <v>0</v>
      </c>
      <c r="BB179">
        <f>IF(COUNT($E$2:$E179)&lt;20,"",INTERCEPT($E$80:$E$179,$F$80:$F$179))</f>
        <v>0</v>
      </c>
      <c r="BC179">
        <f>IF(OR(BA179="",BB179=""),"",BB179+BA179*F179)</f>
        <v>0</v>
      </c>
      <c r="BD179">
        <f>IF(COUNT($E$2:$E179)&lt;20,"",STEYX($E$80:$E$179,$F$80:$F$179))</f>
        <v>0</v>
      </c>
      <c r="BE179">
        <f>IF($E179="","",IF(AND(COUNT($E$180:$E$183)&gt;=4,$C179=MAX($C$175:$C$183)),$C179,""))</f>
        <v>0</v>
      </c>
      <c r="BF179">
        <f>IF($E179="","",IF(AND(COUNT($E$180:$E$183)&gt;=4,$D179=MIN($D$175:$D$183)),$D179,""))</f>
        <v>0</v>
      </c>
      <c r="BG179">
        <f>IF($A179="","",$A179-WEEKDAY($A179,2)+1)</f>
        <v>0</v>
      </c>
      <c r="BH179">
        <f>IF($A179="","",IF($A178="",1,IF(BG179&lt;&gt;BG178,1,0)))</f>
        <v>0</v>
      </c>
      <c r="BI179">
        <f>IF($A179="","",IF($A180="",1,IF(BG180&lt;&gt;BG179,1,0)))</f>
        <v>0</v>
      </c>
      <c r="BJ179">
        <f>IF($A179="","",IF(BH179=1,$B179,BJ178))</f>
        <v>0</v>
      </c>
      <c r="BK179">
        <f>IF($A179="","",IF(BH179=1,$C179,MAX($C179,BK178)))</f>
        <v>0</v>
      </c>
      <c r="BL179">
        <f>IF($A179="","",IF(BH179=1,$D179,MIN($D179,BL178)))</f>
        <v>0</v>
      </c>
      <c r="BM179">
        <f>IF($A179="","",IF(BI179=1,F179,""))</f>
        <v>0</v>
      </c>
      <c r="BN179">
        <f>IF($A179="","",DATE(YEAR($A179),MONTH($A179),1))</f>
        <v>0</v>
      </c>
      <c r="BO179">
        <f>IF($A179="","",IF($A178="",1,IF(BN179&lt;&gt;BN178,1,0)))</f>
        <v>0</v>
      </c>
      <c r="BP179">
        <f>IF($A179="","",IF($A180="",1,IF(BN180&lt;&gt;BN179,1,0)))</f>
        <v>0</v>
      </c>
      <c r="BQ179">
        <f>IF($A179="","",IF(BO179=1,$B179,BQ178))</f>
        <v>0</v>
      </c>
      <c r="BR179">
        <f>IF($A179="","",IF(BO179=1,$C179,MAX($C179,BR178)))</f>
        <v>0</v>
      </c>
      <c r="BS179">
        <f>IF($A179="","",IF(BO179=1,$D179,MIN($D179,BS178)))</f>
        <v>0</v>
      </c>
      <c r="BT179">
        <f>IF($A179="","",IF(BP179=1,F179,""))</f>
        <v>0</v>
      </c>
    </row>
    <row r="180" spans="1:72">
      <c r="A180" s="27">
        <f>IF(Data!$A180="","",Data!$A180)</f>
        <v>0</v>
      </c>
      <c r="B180">
        <f>IF(Data!$B180="","",Data!$B180)</f>
        <v>0</v>
      </c>
      <c r="C180">
        <f>IF(Data!$C180="","",Data!$C180)</f>
        <v>0</v>
      </c>
      <c r="D180">
        <f>IF(Data!$D180="","",Data!$D180)</f>
        <v>0</v>
      </c>
      <c r="E180">
        <f>IF(Data!$E180="","",Data!$E180)</f>
        <v>0</v>
      </c>
      <c r="F180">
        <f>IF($E180="","",N(F179)+1)</f>
        <v>0</v>
      </c>
      <c r="G180">
        <f>IF(OR($E180="",$E179=""),"",LN($E180/$E179))</f>
        <v>0</v>
      </c>
      <c r="H180">
        <f>IF($E180="","",IF($E179="",$E180,$E180*0.0952380952+H179*0.9047619048))</f>
        <v>0</v>
      </c>
      <c r="I180">
        <f>IF($E180="","",IF($E179="",$E180,$E180*0.0392156863+I179*0.9607843137))</f>
        <v>0</v>
      </c>
      <c r="J180">
        <f>IF($E180="","",IF($E179="",$E180,$E180*0.0198019802+J179*0.9801980198))</f>
        <v>0</v>
      </c>
      <c r="K180">
        <f>IF($E180="","",IF($E179="",$E180,$E180*0.0099502488+K179*0.9900497512))</f>
        <v>0</v>
      </c>
      <c r="L180">
        <f>IF(OR($E180="",$E179=""),"",MAX($E180-$E179,0))</f>
        <v>0</v>
      </c>
      <c r="M180">
        <f>IF(OR($E180="",$E179=""),"",MAX($E179-$E180,0))</f>
        <v>0</v>
      </c>
      <c r="N180">
        <f>IF(COUNT($E$2:$E180)&lt;15,"",IF(AVERAGE($M$167:$M$180)=0,100,100-100/(1+AVERAGE($L$167:$L$180)/AVERAGE($M$167:$M$180))))</f>
        <v>0</v>
      </c>
      <c r="O180">
        <f>IF($E180="","",IF($E179="",$E180,$E180*0.1538461538+O179*0.8461538462))</f>
        <v>0</v>
      </c>
      <c r="P180">
        <f>IF($E180="","",IF($E179="",$E180,$E180*0.0740740741+P179*0.9259259259))</f>
        <v>0</v>
      </c>
      <c r="Q180">
        <f>IF(OR(O180="",P180=""),"",O180-P180)</f>
        <v>0</v>
      </c>
      <c r="R180">
        <f>IF(Q180="","",IF(R179="",Q180,Q180*0.2000000000+R179*0.8000000000))</f>
        <v>0</v>
      </c>
      <c r="S180">
        <f>IF(OR(Q180="",R180=""),"",Q180-R180)</f>
        <v>0</v>
      </c>
      <c r="T180">
        <f>IF(COUNT($E$2:$E180)&lt;14,"",MAX($C$167:$C$180))</f>
        <v>0</v>
      </c>
      <c r="U180">
        <f>IF(COUNT($E$2:$E180)&lt;14,"",MIN($D$167:$D$180))</f>
        <v>0</v>
      </c>
      <c r="V180">
        <f>IF(OR(T180="",U180="",T180=U180),"",100*($E180-U180)/(T180-U180))</f>
        <v>0</v>
      </c>
      <c r="W180">
        <f>IF(COUNT($V$178:$V$180)&lt;3,"",AVERAGE($V$178:$V$180))</f>
        <v>0</v>
      </c>
      <c r="X180">
        <f>IF(COUNT($N$167:$N$180)&lt;14,"",MIN($N$167:$N$180))</f>
        <v>0</v>
      </c>
      <c r="Y180">
        <f>IF(COUNT($N$167:$N$180)&lt;14,"",MAX($N$167:$N$180))</f>
        <v>0</v>
      </c>
      <c r="Z180">
        <f>IF(OR(N180="",X180="",Y180="",Y180=X180),"",100*(N180-X180)/(Y180-X180))</f>
        <v>0</v>
      </c>
      <c r="AA180">
        <f>IF(COUNT($Z$178:$Z$180)&lt;3,"",AVERAGE($Z$178:$Z$180))</f>
        <v>0</v>
      </c>
      <c r="AB180">
        <f>IF(COUNT($AA$178:$AA$180)&lt;3,"",AVERAGE($AA$178:$AA$180))</f>
        <v>0</v>
      </c>
      <c r="AC180">
        <f>IF($E180="","",MAX($C180-$D180,ABS($C180-$E179),ABS($D180-$E179)))</f>
        <v>0</v>
      </c>
      <c r="AD180">
        <f>IF(COUNT($E$2:$E180)&lt;15,"",AVERAGE($AC$167:$AC$180))</f>
        <v>0</v>
      </c>
      <c r="AE180">
        <f>IF(OR($E180="",$E179=""),"",IF(AND(($C180-$C179)&gt;($D179-$D180),($C180-$C179)&gt;0),$C180-$C179,0))</f>
        <v>0</v>
      </c>
      <c r="AF180">
        <f>IF(OR($E180="",$E179=""),"",IF(AND(($D179-$D180)&gt;($C180-$C179),($D179-$D180)&gt;0),$D179-$D180,0))</f>
        <v>0</v>
      </c>
      <c r="AG180">
        <f>IF(COUNT($E$2:$E180)&lt;15,"",IF(SUM($AC$167:$AC$180)=0,0,100*SUM($AE$167:$AE$180)/SUM($AC$167:$AC$180)))</f>
        <v>0</v>
      </c>
      <c r="AH180">
        <f>IF(COUNT($E$2:$E180)&lt;15,"",IF(SUM($AC$167:$AC$180)=0,0,100*SUM($AF$167:$AF$180)/SUM($AC$167:$AC$180)))</f>
        <v>0</v>
      </c>
      <c r="AI180">
        <f>IF(OR(AG180="",AH180=""),"",IF((AG180+AH180)=0,0,100*ABS(AG180-AH180)/(AG180+AH180)))</f>
        <v>0</v>
      </c>
      <c r="AJ180">
        <f>IF(COUNT($AI$167:$AI$180)&lt;14,"",AVERAGE($AI$167:$AI$180))</f>
        <v>0</v>
      </c>
      <c r="AK180">
        <f>IF(COUNT($E$2:$E180)&lt;20,"",AVERAGE($E$161:$E$180))</f>
        <v>0</v>
      </c>
      <c r="AL180">
        <f>IF(COUNT($E$2:$E180)&lt;20,"",STDEVP($E$161:$E$180))</f>
        <v>0</v>
      </c>
      <c r="AM180">
        <f>IF(AK180="","",AK180+2*AL180)</f>
        <v>0</v>
      </c>
      <c r="AN180">
        <f>IF(AK180="","",AK180-2*AL180)</f>
        <v>0</v>
      </c>
      <c r="AO180">
        <f>IF(OR(AM180="",AN180="",AM180=AN180),"",($E180-AN180)/(AM180-AN180))</f>
        <v>0</v>
      </c>
      <c r="AP180">
        <f>IF(OR(AM180="",AK180="",AK180=0),"",(AM180-AN180)/AK180)</f>
        <v>0</v>
      </c>
      <c r="AQ180">
        <f>IF(COUNT($E$2:$E180)&lt;20,"",MAX($C$161:$C$180))</f>
        <v>0</v>
      </c>
      <c r="AR180">
        <f>IF(COUNT($E$2:$E180)&lt;20,"",MIN($D$161:$D$180))</f>
        <v>0</v>
      </c>
      <c r="AS180">
        <f>IF(OR(AQ180="",AR180=""),"",(AQ180+AR180)/2)</f>
        <v>0</v>
      </c>
      <c r="AT180">
        <f>IF(COUNT($G$161:$G$180)&lt;20,"",STDEV($G$161:$G$180)*SQRT(252))</f>
        <v>0</v>
      </c>
      <c r="AU180">
        <f>IF(COUNT($E$2:$E180)&lt;9,"",(MAX($C$172:$C$180)+MIN($D$172:$D$180))/2)</f>
        <v>0</v>
      </c>
      <c r="AV180">
        <f>IF(COUNT($E$2:$E180)&lt;26,"",(MAX($C$155:$C$180)+MIN($D$155:$D$180))/2)</f>
        <v>0</v>
      </c>
      <c r="AW180">
        <f>IF(OR(AU180="",AV180=""),"",(AU180+AV180)/2)</f>
        <v>0</v>
      </c>
      <c r="AX180">
        <f>IF(COUNT($E$2:$E180)&lt;52,"",(MAX($C$129:$C$180)+MIN($D$129:$D$180))/2)</f>
        <v>0</v>
      </c>
      <c r="AY180">
        <f>IF(COUNT($E$2:$E180)&lt;20,"",MAX($C$81:$C$180))</f>
        <v>0</v>
      </c>
      <c r="AZ180">
        <f>IF(COUNT($E$2:$E180)&lt;20,"",MIN($D$81:$D$180))</f>
        <v>0</v>
      </c>
      <c r="BA180">
        <f>IF(COUNT($E$2:$E180)&lt;20,"",SLOPE($E$81:$E$180,$F$81:$F$180))</f>
        <v>0</v>
      </c>
      <c r="BB180">
        <f>IF(COUNT($E$2:$E180)&lt;20,"",INTERCEPT($E$81:$E$180,$F$81:$F$180))</f>
        <v>0</v>
      </c>
      <c r="BC180">
        <f>IF(OR(BA180="",BB180=""),"",BB180+BA180*F180)</f>
        <v>0</v>
      </c>
      <c r="BD180">
        <f>IF(COUNT($E$2:$E180)&lt;20,"",STEYX($E$81:$E$180,$F$81:$F$180))</f>
        <v>0</v>
      </c>
      <c r="BE180">
        <f>IF($E180="","",IF(AND(COUNT($E$181:$E$184)&gt;=4,$C180=MAX($C$176:$C$184)),$C180,""))</f>
        <v>0</v>
      </c>
      <c r="BF180">
        <f>IF($E180="","",IF(AND(COUNT($E$181:$E$184)&gt;=4,$D180=MIN($D$176:$D$184)),$D180,""))</f>
        <v>0</v>
      </c>
      <c r="BG180">
        <f>IF($A180="","",$A180-WEEKDAY($A180,2)+1)</f>
        <v>0</v>
      </c>
      <c r="BH180">
        <f>IF($A180="","",IF($A179="",1,IF(BG180&lt;&gt;BG179,1,0)))</f>
        <v>0</v>
      </c>
      <c r="BI180">
        <f>IF($A180="","",IF($A181="",1,IF(BG181&lt;&gt;BG180,1,0)))</f>
        <v>0</v>
      </c>
      <c r="BJ180">
        <f>IF($A180="","",IF(BH180=1,$B180,BJ179))</f>
        <v>0</v>
      </c>
      <c r="BK180">
        <f>IF($A180="","",IF(BH180=1,$C180,MAX($C180,BK179)))</f>
        <v>0</v>
      </c>
      <c r="BL180">
        <f>IF($A180="","",IF(BH180=1,$D180,MIN($D180,BL179)))</f>
        <v>0</v>
      </c>
      <c r="BM180">
        <f>IF($A180="","",IF(BI180=1,F180,""))</f>
        <v>0</v>
      </c>
      <c r="BN180">
        <f>IF($A180="","",DATE(YEAR($A180),MONTH($A180),1))</f>
        <v>0</v>
      </c>
      <c r="BO180">
        <f>IF($A180="","",IF($A179="",1,IF(BN180&lt;&gt;BN179,1,0)))</f>
        <v>0</v>
      </c>
      <c r="BP180">
        <f>IF($A180="","",IF($A181="",1,IF(BN181&lt;&gt;BN180,1,0)))</f>
        <v>0</v>
      </c>
      <c r="BQ180">
        <f>IF($A180="","",IF(BO180=1,$B180,BQ179))</f>
        <v>0</v>
      </c>
      <c r="BR180">
        <f>IF($A180="","",IF(BO180=1,$C180,MAX($C180,BR179)))</f>
        <v>0</v>
      </c>
      <c r="BS180">
        <f>IF($A180="","",IF(BO180=1,$D180,MIN($D180,BS179)))</f>
        <v>0</v>
      </c>
      <c r="BT180">
        <f>IF($A180="","",IF(BP180=1,F180,""))</f>
        <v>0</v>
      </c>
    </row>
    <row r="181" spans="1:72">
      <c r="A181" s="27">
        <f>IF(Data!$A181="","",Data!$A181)</f>
        <v>0</v>
      </c>
      <c r="B181">
        <f>IF(Data!$B181="","",Data!$B181)</f>
        <v>0</v>
      </c>
      <c r="C181">
        <f>IF(Data!$C181="","",Data!$C181)</f>
        <v>0</v>
      </c>
      <c r="D181">
        <f>IF(Data!$D181="","",Data!$D181)</f>
        <v>0</v>
      </c>
      <c r="E181">
        <f>IF(Data!$E181="","",Data!$E181)</f>
        <v>0</v>
      </c>
      <c r="F181">
        <f>IF($E181="","",N(F180)+1)</f>
        <v>0</v>
      </c>
      <c r="G181">
        <f>IF(OR($E181="",$E180=""),"",LN($E181/$E180))</f>
        <v>0</v>
      </c>
      <c r="H181">
        <f>IF($E181="","",IF($E180="",$E181,$E181*0.0952380952+H180*0.9047619048))</f>
        <v>0</v>
      </c>
      <c r="I181">
        <f>IF($E181="","",IF($E180="",$E181,$E181*0.0392156863+I180*0.9607843137))</f>
        <v>0</v>
      </c>
      <c r="J181">
        <f>IF($E181="","",IF($E180="",$E181,$E181*0.0198019802+J180*0.9801980198))</f>
        <v>0</v>
      </c>
      <c r="K181">
        <f>IF($E181="","",IF($E180="",$E181,$E181*0.0099502488+K180*0.9900497512))</f>
        <v>0</v>
      </c>
      <c r="L181">
        <f>IF(OR($E181="",$E180=""),"",MAX($E181-$E180,0))</f>
        <v>0</v>
      </c>
      <c r="M181">
        <f>IF(OR($E181="",$E180=""),"",MAX($E180-$E181,0))</f>
        <v>0</v>
      </c>
      <c r="N181">
        <f>IF(COUNT($E$2:$E181)&lt;15,"",IF(AVERAGE($M$168:$M$181)=0,100,100-100/(1+AVERAGE($L$168:$L$181)/AVERAGE($M$168:$M$181))))</f>
        <v>0</v>
      </c>
      <c r="O181">
        <f>IF($E181="","",IF($E180="",$E181,$E181*0.1538461538+O180*0.8461538462))</f>
        <v>0</v>
      </c>
      <c r="P181">
        <f>IF($E181="","",IF($E180="",$E181,$E181*0.0740740741+P180*0.9259259259))</f>
        <v>0</v>
      </c>
      <c r="Q181">
        <f>IF(OR(O181="",P181=""),"",O181-P181)</f>
        <v>0</v>
      </c>
      <c r="R181">
        <f>IF(Q181="","",IF(R180="",Q181,Q181*0.2000000000+R180*0.8000000000))</f>
        <v>0</v>
      </c>
      <c r="S181">
        <f>IF(OR(Q181="",R181=""),"",Q181-R181)</f>
        <v>0</v>
      </c>
      <c r="T181">
        <f>IF(COUNT($E$2:$E181)&lt;14,"",MAX($C$168:$C$181))</f>
        <v>0</v>
      </c>
      <c r="U181">
        <f>IF(COUNT($E$2:$E181)&lt;14,"",MIN($D$168:$D$181))</f>
        <v>0</v>
      </c>
      <c r="V181">
        <f>IF(OR(T181="",U181="",T181=U181),"",100*($E181-U181)/(T181-U181))</f>
        <v>0</v>
      </c>
      <c r="W181">
        <f>IF(COUNT($V$179:$V$181)&lt;3,"",AVERAGE($V$179:$V$181))</f>
        <v>0</v>
      </c>
      <c r="X181">
        <f>IF(COUNT($N$168:$N$181)&lt;14,"",MIN($N$168:$N$181))</f>
        <v>0</v>
      </c>
      <c r="Y181">
        <f>IF(COUNT($N$168:$N$181)&lt;14,"",MAX($N$168:$N$181))</f>
        <v>0</v>
      </c>
      <c r="Z181">
        <f>IF(OR(N181="",X181="",Y181="",Y181=X181),"",100*(N181-X181)/(Y181-X181))</f>
        <v>0</v>
      </c>
      <c r="AA181">
        <f>IF(COUNT($Z$179:$Z$181)&lt;3,"",AVERAGE($Z$179:$Z$181))</f>
        <v>0</v>
      </c>
      <c r="AB181">
        <f>IF(COUNT($AA$179:$AA$181)&lt;3,"",AVERAGE($AA$179:$AA$181))</f>
        <v>0</v>
      </c>
      <c r="AC181">
        <f>IF($E181="","",MAX($C181-$D181,ABS($C181-$E180),ABS($D181-$E180)))</f>
        <v>0</v>
      </c>
      <c r="AD181">
        <f>IF(COUNT($E$2:$E181)&lt;15,"",AVERAGE($AC$168:$AC$181))</f>
        <v>0</v>
      </c>
      <c r="AE181">
        <f>IF(OR($E181="",$E180=""),"",IF(AND(($C181-$C180)&gt;($D180-$D181),($C181-$C180)&gt;0),$C181-$C180,0))</f>
        <v>0</v>
      </c>
      <c r="AF181">
        <f>IF(OR($E181="",$E180=""),"",IF(AND(($D180-$D181)&gt;($C181-$C180),($D180-$D181)&gt;0),$D180-$D181,0))</f>
        <v>0</v>
      </c>
      <c r="AG181">
        <f>IF(COUNT($E$2:$E181)&lt;15,"",IF(SUM($AC$168:$AC$181)=0,0,100*SUM($AE$168:$AE$181)/SUM($AC$168:$AC$181)))</f>
        <v>0</v>
      </c>
      <c r="AH181">
        <f>IF(COUNT($E$2:$E181)&lt;15,"",IF(SUM($AC$168:$AC$181)=0,0,100*SUM($AF$168:$AF$181)/SUM($AC$168:$AC$181)))</f>
        <v>0</v>
      </c>
      <c r="AI181">
        <f>IF(OR(AG181="",AH181=""),"",IF((AG181+AH181)=0,0,100*ABS(AG181-AH181)/(AG181+AH181)))</f>
        <v>0</v>
      </c>
      <c r="AJ181">
        <f>IF(COUNT($AI$168:$AI$181)&lt;14,"",AVERAGE($AI$168:$AI$181))</f>
        <v>0</v>
      </c>
      <c r="AK181">
        <f>IF(COUNT($E$2:$E181)&lt;20,"",AVERAGE($E$162:$E$181))</f>
        <v>0</v>
      </c>
      <c r="AL181">
        <f>IF(COUNT($E$2:$E181)&lt;20,"",STDEVP($E$162:$E$181))</f>
        <v>0</v>
      </c>
      <c r="AM181">
        <f>IF(AK181="","",AK181+2*AL181)</f>
        <v>0</v>
      </c>
      <c r="AN181">
        <f>IF(AK181="","",AK181-2*AL181)</f>
        <v>0</v>
      </c>
      <c r="AO181">
        <f>IF(OR(AM181="",AN181="",AM181=AN181),"",($E181-AN181)/(AM181-AN181))</f>
        <v>0</v>
      </c>
      <c r="AP181">
        <f>IF(OR(AM181="",AK181="",AK181=0),"",(AM181-AN181)/AK181)</f>
        <v>0</v>
      </c>
      <c r="AQ181">
        <f>IF(COUNT($E$2:$E181)&lt;20,"",MAX($C$162:$C$181))</f>
        <v>0</v>
      </c>
      <c r="AR181">
        <f>IF(COUNT($E$2:$E181)&lt;20,"",MIN($D$162:$D$181))</f>
        <v>0</v>
      </c>
      <c r="AS181">
        <f>IF(OR(AQ181="",AR181=""),"",(AQ181+AR181)/2)</f>
        <v>0</v>
      </c>
      <c r="AT181">
        <f>IF(COUNT($G$162:$G$181)&lt;20,"",STDEV($G$162:$G$181)*SQRT(252))</f>
        <v>0</v>
      </c>
      <c r="AU181">
        <f>IF(COUNT($E$2:$E181)&lt;9,"",(MAX($C$173:$C$181)+MIN($D$173:$D$181))/2)</f>
        <v>0</v>
      </c>
      <c r="AV181">
        <f>IF(COUNT($E$2:$E181)&lt;26,"",(MAX($C$156:$C$181)+MIN($D$156:$D$181))/2)</f>
        <v>0</v>
      </c>
      <c r="AW181">
        <f>IF(OR(AU181="",AV181=""),"",(AU181+AV181)/2)</f>
        <v>0</v>
      </c>
      <c r="AX181">
        <f>IF(COUNT($E$2:$E181)&lt;52,"",(MAX($C$130:$C$181)+MIN($D$130:$D$181))/2)</f>
        <v>0</v>
      </c>
      <c r="AY181">
        <f>IF(COUNT($E$2:$E181)&lt;20,"",MAX($C$82:$C$181))</f>
        <v>0</v>
      </c>
      <c r="AZ181">
        <f>IF(COUNT($E$2:$E181)&lt;20,"",MIN($D$82:$D$181))</f>
        <v>0</v>
      </c>
      <c r="BA181">
        <f>IF(COUNT($E$2:$E181)&lt;20,"",SLOPE($E$82:$E$181,$F$82:$F$181))</f>
        <v>0</v>
      </c>
      <c r="BB181">
        <f>IF(COUNT($E$2:$E181)&lt;20,"",INTERCEPT($E$82:$E$181,$F$82:$F$181))</f>
        <v>0</v>
      </c>
      <c r="BC181">
        <f>IF(OR(BA181="",BB181=""),"",BB181+BA181*F181)</f>
        <v>0</v>
      </c>
      <c r="BD181">
        <f>IF(COUNT($E$2:$E181)&lt;20,"",STEYX($E$82:$E$181,$F$82:$F$181))</f>
        <v>0</v>
      </c>
      <c r="BE181">
        <f>IF($E181="","",IF(AND(COUNT($E$182:$E$185)&gt;=4,$C181=MAX($C$177:$C$185)),$C181,""))</f>
        <v>0</v>
      </c>
      <c r="BF181">
        <f>IF($E181="","",IF(AND(COUNT($E$182:$E$185)&gt;=4,$D181=MIN($D$177:$D$185)),$D181,""))</f>
        <v>0</v>
      </c>
      <c r="BG181">
        <f>IF($A181="","",$A181-WEEKDAY($A181,2)+1)</f>
        <v>0</v>
      </c>
      <c r="BH181">
        <f>IF($A181="","",IF($A180="",1,IF(BG181&lt;&gt;BG180,1,0)))</f>
        <v>0</v>
      </c>
      <c r="BI181">
        <f>IF($A181="","",IF($A182="",1,IF(BG182&lt;&gt;BG181,1,0)))</f>
        <v>0</v>
      </c>
      <c r="BJ181">
        <f>IF($A181="","",IF(BH181=1,$B181,BJ180))</f>
        <v>0</v>
      </c>
      <c r="BK181">
        <f>IF($A181="","",IF(BH181=1,$C181,MAX($C181,BK180)))</f>
        <v>0</v>
      </c>
      <c r="BL181">
        <f>IF($A181="","",IF(BH181=1,$D181,MIN($D181,BL180)))</f>
        <v>0</v>
      </c>
      <c r="BM181">
        <f>IF($A181="","",IF(BI181=1,F181,""))</f>
        <v>0</v>
      </c>
      <c r="BN181">
        <f>IF($A181="","",DATE(YEAR($A181),MONTH($A181),1))</f>
        <v>0</v>
      </c>
      <c r="BO181">
        <f>IF($A181="","",IF($A180="",1,IF(BN181&lt;&gt;BN180,1,0)))</f>
        <v>0</v>
      </c>
      <c r="BP181">
        <f>IF($A181="","",IF($A182="",1,IF(BN182&lt;&gt;BN181,1,0)))</f>
        <v>0</v>
      </c>
      <c r="BQ181">
        <f>IF($A181="","",IF(BO181=1,$B181,BQ180))</f>
        <v>0</v>
      </c>
      <c r="BR181">
        <f>IF($A181="","",IF(BO181=1,$C181,MAX($C181,BR180)))</f>
        <v>0</v>
      </c>
      <c r="BS181">
        <f>IF($A181="","",IF(BO181=1,$D181,MIN($D181,BS180)))</f>
        <v>0</v>
      </c>
      <c r="BT181">
        <f>IF($A181="","",IF(BP181=1,F181,""))</f>
        <v>0</v>
      </c>
    </row>
    <row r="182" spans="1:72">
      <c r="A182" s="27">
        <f>IF(Data!$A182="","",Data!$A182)</f>
        <v>0</v>
      </c>
      <c r="B182">
        <f>IF(Data!$B182="","",Data!$B182)</f>
        <v>0</v>
      </c>
      <c r="C182">
        <f>IF(Data!$C182="","",Data!$C182)</f>
        <v>0</v>
      </c>
      <c r="D182">
        <f>IF(Data!$D182="","",Data!$D182)</f>
        <v>0</v>
      </c>
      <c r="E182">
        <f>IF(Data!$E182="","",Data!$E182)</f>
        <v>0</v>
      </c>
      <c r="F182">
        <f>IF($E182="","",N(F181)+1)</f>
        <v>0</v>
      </c>
      <c r="G182">
        <f>IF(OR($E182="",$E181=""),"",LN($E182/$E181))</f>
        <v>0</v>
      </c>
      <c r="H182">
        <f>IF($E182="","",IF($E181="",$E182,$E182*0.0952380952+H181*0.9047619048))</f>
        <v>0</v>
      </c>
      <c r="I182">
        <f>IF($E182="","",IF($E181="",$E182,$E182*0.0392156863+I181*0.9607843137))</f>
        <v>0</v>
      </c>
      <c r="J182">
        <f>IF($E182="","",IF($E181="",$E182,$E182*0.0198019802+J181*0.9801980198))</f>
        <v>0</v>
      </c>
      <c r="K182">
        <f>IF($E182="","",IF($E181="",$E182,$E182*0.0099502488+K181*0.9900497512))</f>
        <v>0</v>
      </c>
      <c r="L182">
        <f>IF(OR($E182="",$E181=""),"",MAX($E182-$E181,0))</f>
        <v>0</v>
      </c>
      <c r="M182">
        <f>IF(OR($E182="",$E181=""),"",MAX($E181-$E182,0))</f>
        <v>0</v>
      </c>
      <c r="N182">
        <f>IF(COUNT($E$2:$E182)&lt;15,"",IF(AVERAGE($M$169:$M$182)=0,100,100-100/(1+AVERAGE($L$169:$L$182)/AVERAGE($M$169:$M$182))))</f>
        <v>0</v>
      </c>
      <c r="O182">
        <f>IF($E182="","",IF($E181="",$E182,$E182*0.1538461538+O181*0.8461538462))</f>
        <v>0</v>
      </c>
      <c r="P182">
        <f>IF($E182="","",IF($E181="",$E182,$E182*0.0740740741+P181*0.9259259259))</f>
        <v>0</v>
      </c>
      <c r="Q182">
        <f>IF(OR(O182="",P182=""),"",O182-P182)</f>
        <v>0</v>
      </c>
      <c r="R182">
        <f>IF(Q182="","",IF(R181="",Q182,Q182*0.2000000000+R181*0.8000000000))</f>
        <v>0</v>
      </c>
      <c r="S182">
        <f>IF(OR(Q182="",R182=""),"",Q182-R182)</f>
        <v>0</v>
      </c>
      <c r="T182">
        <f>IF(COUNT($E$2:$E182)&lt;14,"",MAX($C$169:$C$182))</f>
        <v>0</v>
      </c>
      <c r="U182">
        <f>IF(COUNT($E$2:$E182)&lt;14,"",MIN($D$169:$D$182))</f>
        <v>0</v>
      </c>
      <c r="V182">
        <f>IF(OR(T182="",U182="",T182=U182),"",100*($E182-U182)/(T182-U182))</f>
        <v>0</v>
      </c>
      <c r="W182">
        <f>IF(COUNT($V$180:$V$182)&lt;3,"",AVERAGE($V$180:$V$182))</f>
        <v>0</v>
      </c>
      <c r="X182">
        <f>IF(COUNT($N$169:$N$182)&lt;14,"",MIN($N$169:$N$182))</f>
        <v>0</v>
      </c>
      <c r="Y182">
        <f>IF(COUNT($N$169:$N$182)&lt;14,"",MAX($N$169:$N$182))</f>
        <v>0</v>
      </c>
      <c r="Z182">
        <f>IF(OR(N182="",X182="",Y182="",Y182=X182),"",100*(N182-X182)/(Y182-X182))</f>
        <v>0</v>
      </c>
      <c r="AA182">
        <f>IF(COUNT($Z$180:$Z$182)&lt;3,"",AVERAGE($Z$180:$Z$182))</f>
        <v>0</v>
      </c>
      <c r="AB182">
        <f>IF(COUNT($AA$180:$AA$182)&lt;3,"",AVERAGE($AA$180:$AA$182))</f>
        <v>0</v>
      </c>
      <c r="AC182">
        <f>IF($E182="","",MAX($C182-$D182,ABS($C182-$E181),ABS($D182-$E181)))</f>
        <v>0</v>
      </c>
      <c r="AD182">
        <f>IF(COUNT($E$2:$E182)&lt;15,"",AVERAGE($AC$169:$AC$182))</f>
        <v>0</v>
      </c>
      <c r="AE182">
        <f>IF(OR($E182="",$E181=""),"",IF(AND(($C182-$C181)&gt;($D181-$D182),($C182-$C181)&gt;0),$C182-$C181,0))</f>
        <v>0</v>
      </c>
      <c r="AF182">
        <f>IF(OR($E182="",$E181=""),"",IF(AND(($D181-$D182)&gt;($C182-$C181),($D181-$D182)&gt;0),$D181-$D182,0))</f>
        <v>0</v>
      </c>
      <c r="AG182">
        <f>IF(COUNT($E$2:$E182)&lt;15,"",IF(SUM($AC$169:$AC$182)=0,0,100*SUM($AE$169:$AE$182)/SUM($AC$169:$AC$182)))</f>
        <v>0</v>
      </c>
      <c r="AH182">
        <f>IF(COUNT($E$2:$E182)&lt;15,"",IF(SUM($AC$169:$AC$182)=0,0,100*SUM($AF$169:$AF$182)/SUM($AC$169:$AC$182)))</f>
        <v>0</v>
      </c>
      <c r="AI182">
        <f>IF(OR(AG182="",AH182=""),"",IF((AG182+AH182)=0,0,100*ABS(AG182-AH182)/(AG182+AH182)))</f>
        <v>0</v>
      </c>
      <c r="AJ182">
        <f>IF(COUNT($AI$169:$AI$182)&lt;14,"",AVERAGE($AI$169:$AI$182))</f>
        <v>0</v>
      </c>
      <c r="AK182">
        <f>IF(COUNT($E$2:$E182)&lt;20,"",AVERAGE($E$163:$E$182))</f>
        <v>0</v>
      </c>
      <c r="AL182">
        <f>IF(COUNT($E$2:$E182)&lt;20,"",STDEVP($E$163:$E$182))</f>
        <v>0</v>
      </c>
      <c r="AM182">
        <f>IF(AK182="","",AK182+2*AL182)</f>
        <v>0</v>
      </c>
      <c r="AN182">
        <f>IF(AK182="","",AK182-2*AL182)</f>
        <v>0</v>
      </c>
      <c r="AO182">
        <f>IF(OR(AM182="",AN182="",AM182=AN182),"",($E182-AN182)/(AM182-AN182))</f>
        <v>0</v>
      </c>
      <c r="AP182">
        <f>IF(OR(AM182="",AK182="",AK182=0),"",(AM182-AN182)/AK182)</f>
        <v>0</v>
      </c>
      <c r="AQ182">
        <f>IF(COUNT($E$2:$E182)&lt;20,"",MAX($C$163:$C$182))</f>
        <v>0</v>
      </c>
      <c r="AR182">
        <f>IF(COUNT($E$2:$E182)&lt;20,"",MIN($D$163:$D$182))</f>
        <v>0</v>
      </c>
      <c r="AS182">
        <f>IF(OR(AQ182="",AR182=""),"",(AQ182+AR182)/2)</f>
        <v>0</v>
      </c>
      <c r="AT182">
        <f>IF(COUNT($G$163:$G$182)&lt;20,"",STDEV($G$163:$G$182)*SQRT(252))</f>
        <v>0</v>
      </c>
      <c r="AU182">
        <f>IF(COUNT($E$2:$E182)&lt;9,"",(MAX($C$174:$C$182)+MIN($D$174:$D$182))/2)</f>
        <v>0</v>
      </c>
      <c r="AV182">
        <f>IF(COUNT($E$2:$E182)&lt;26,"",(MAX($C$157:$C$182)+MIN($D$157:$D$182))/2)</f>
        <v>0</v>
      </c>
      <c r="AW182">
        <f>IF(OR(AU182="",AV182=""),"",(AU182+AV182)/2)</f>
        <v>0</v>
      </c>
      <c r="AX182">
        <f>IF(COUNT($E$2:$E182)&lt;52,"",(MAX($C$131:$C$182)+MIN($D$131:$D$182))/2)</f>
        <v>0</v>
      </c>
      <c r="AY182">
        <f>IF(COUNT($E$2:$E182)&lt;20,"",MAX($C$83:$C$182))</f>
        <v>0</v>
      </c>
      <c r="AZ182">
        <f>IF(COUNT($E$2:$E182)&lt;20,"",MIN($D$83:$D$182))</f>
        <v>0</v>
      </c>
      <c r="BA182">
        <f>IF(COUNT($E$2:$E182)&lt;20,"",SLOPE($E$83:$E$182,$F$83:$F$182))</f>
        <v>0</v>
      </c>
      <c r="BB182">
        <f>IF(COUNT($E$2:$E182)&lt;20,"",INTERCEPT($E$83:$E$182,$F$83:$F$182))</f>
        <v>0</v>
      </c>
      <c r="BC182">
        <f>IF(OR(BA182="",BB182=""),"",BB182+BA182*F182)</f>
        <v>0</v>
      </c>
      <c r="BD182">
        <f>IF(COUNT($E$2:$E182)&lt;20,"",STEYX($E$83:$E$182,$F$83:$F$182))</f>
        <v>0</v>
      </c>
      <c r="BE182">
        <f>IF($E182="","",IF(AND(COUNT($E$183:$E$186)&gt;=4,$C182=MAX($C$178:$C$186)),$C182,""))</f>
        <v>0</v>
      </c>
      <c r="BF182">
        <f>IF($E182="","",IF(AND(COUNT($E$183:$E$186)&gt;=4,$D182=MIN($D$178:$D$186)),$D182,""))</f>
        <v>0</v>
      </c>
      <c r="BG182">
        <f>IF($A182="","",$A182-WEEKDAY($A182,2)+1)</f>
        <v>0</v>
      </c>
      <c r="BH182">
        <f>IF($A182="","",IF($A181="",1,IF(BG182&lt;&gt;BG181,1,0)))</f>
        <v>0</v>
      </c>
      <c r="BI182">
        <f>IF($A182="","",IF($A183="",1,IF(BG183&lt;&gt;BG182,1,0)))</f>
        <v>0</v>
      </c>
      <c r="BJ182">
        <f>IF($A182="","",IF(BH182=1,$B182,BJ181))</f>
        <v>0</v>
      </c>
      <c r="BK182">
        <f>IF($A182="","",IF(BH182=1,$C182,MAX($C182,BK181)))</f>
        <v>0</v>
      </c>
      <c r="BL182">
        <f>IF($A182="","",IF(BH182=1,$D182,MIN($D182,BL181)))</f>
        <v>0</v>
      </c>
      <c r="BM182">
        <f>IF($A182="","",IF(BI182=1,F182,""))</f>
        <v>0</v>
      </c>
      <c r="BN182">
        <f>IF($A182="","",DATE(YEAR($A182),MONTH($A182),1))</f>
        <v>0</v>
      </c>
      <c r="BO182">
        <f>IF($A182="","",IF($A181="",1,IF(BN182&lt;&gt;BN181,1,0)))</f>
        <v>0</v>
      </c>
      <c r="BP182">
        <f>IF($A182="","",IF($A183="",1,IF(BN183&lt;&gt;BN182,1,0)))</f>
        <v>0</v>
      </c>
      <c r="BQ182">
        <f>IF($A182="","",IF(BO182=1,$B182,BQ181))</f>
        <v>0</v>
      </c>
      <c r="BR182">
        <f>IF($A182="","",IF(BO182=1,$C182,MAX($C182,BR181)))</f>
        <v>0</v>
      </c>
      <c r="BS182">
        <f>IF($A182="","",IF(BO182=1,$D182,MIN($D182,BS181)))</f>
        <v>0</v>
      </c>
      <c r="BT182">
        <f>IF($A182="","",IF(BP182=1,F182,""))</f>
        <v>0</v>
      </c>
    </row>
    <row r="183" spans="1:72">
      <c r="A183" s="27">
        <f>IF(Data!$A183="","",Data!$A183)</f>
        <v>0</v>
      </c>
      <c r="B183">
        <f>IF(Data!$B183="","",Data!$B183)</f>
        <v>0</v>
      </c>
      <c r="C183">
        <f>IF(Data!$C183="","",Data!$C183)</f>
        <v>0</v>
      </c>
      <c r="D183">
        <f>IF(Data!$D183="","",Data!$D183)</f>
        <v>0</v>
      </c>
      <c r="E183">
        <f>IF(Data!$E183="","",Data!$E183)</f>
        <v>0</v>
      </c>
      <c r="F183">
        <f>IF($E183="","",N(F182)+1)</f>
        <v>0</v>
      </c>
      <c r="G183">
        <f>IF(OR($E183="",$E182=""),"",LN($E183/$E182))</f>
        <v>0</v>
      </c>
      <c r="H183">
        <f>IF($E183="","",IF($E182="",$E183,$E183*0.0952380952+H182*0.9047619048))</f>
        <v>0</v>
      </c>
      <c r="I183">
        <f>IF($E183="","",IF($E182="",$E183,$E183*0.0392156863+I182*0.9607843137))</f>
        <v>0</v>
      </c>
      <c r="J183">
        <f>IF($E183="","",IF($E182="",$E183,$E183*0.0198019802+J182*0.9801980198))</f>
        <v>0</v>
      </c>
      <c r="K183">
        <f>IF($E183="","",IF($E182="",$E183,$E183*0.0099502488+K182*0.9900497512))</f>
        <v>0</v>
      </c>
      <c r="L183">
        <f>IF(OR($E183="",$E182=""),"",MAX($E183-$E182,0))</f>
        <v>0</v>
      </c>
      <c r="M183">
        <f>IF(OR($E183="",$E182=""),"",MAX($E182-$E183,0))</f>
        <v>0</v>
      </c>
      <c r="N183">
        <f>IF(COUNT($E$2:$E183)&lt;15,"",IF(AVERAGE($M$170:$M$183)=0,100,100-100/(1+AVERAGE($L$170:$L$183)/AVERAGE($M$170:$M$183))))</f>
        <v>0</v>
      </c>
      <c r="O183">
        <f>IF($E183="","",IF($E182="",$E183,$E183*0.1538461538+O182*0.8461538462))</f>
        <v>0</v>
      </c>
      <c r="P183">
        <f>IF($E183="","",IF($E182="",$E183,$E183*0.0740740741+P182*0.9259259259))</f>
        <v>0</v>
      </c>
      <c r="Q183">
        <f>IF(OR(O183="",P183=""),"",O183-P183)</f>
        <v>0</v>
      </c>
      <c r="R183">
        <f>IF(Q183="","",IF(R182="",Q183,Q183*0.2000000000+R182*0.8000000000))</f>
        <v>0</v>
      </c>
      <c r="S183">
        <f>IF(OR(Q183="",R183=""),"",Q183-R183)</f>
        <v>0</v>
      </c>
      <c r="T183">
        <f>IF(COUNT($E$2:$E183)&lt;14,"",MAX($C$170:$C$183))</f>
        <v>0</v>
      </c>
      <c r="U183">
        <f>IF(COUNT($E$2:$E183)&lt;14,"",MIN($D$170:$D$183))</f>
        <v>0</v>
      </c>
      <c r="V183">
        <f>IF(OR(T183="",U183="",T183=U183),"",100*($E183-U183)/(T183-U183))</f>
        <v>0</v>
      </c>
      <c r="W183">
        <f>IF(COUNT($V$181:$V$183)&lt;3,"",AVERAGE($V$181:$V$183))</f>
        <v>0</v>
      </c>
      <c r="X183">
        <f>IF(COUNT($N$170:$N$183)&lt;14,"",MIN($N$170:$N$183))</f>
        <v>0</v>
      </c>
      <c r="Y183">
        <f>IF(COUNT($N$170:$N$183)&lt;14,"",MAX($N$170:$N$183))</f>
        <v>0</v>
      </c>
      <c r="Z183">
        <f>IF(OR(N183="",X183="",Y183="",Y183=X183),"",100*(N183-X183)/(Y183-X183))</f>
        <v>0</v>
      </c>
      <c r="AA183">
        <f>IF(COUNT($Z$181:$Z$183)&lt;3,"",AVERAGE($Z$181:$Z$183))</f>
        <v>0</v>
      </c>
      <c r="AB183">
        <f>IF(COUNT($AA$181:$AA$183)&lt;3,"",AVERAGE($AA$181:$AA$183))</f>
        <v>0</v>
      </c>
      <c r="AC183">
        <f>IF($E183="","",MAX($C183-$D183,ABS($C183-$E182),ABS($D183-$E182)))</f>
        <v>0</v>
      </c>
      <c r="AD183">
        <f>IF(COUNT($E$2:$E183)&lt;15,"",AVERAGE($AC$170:$AC$183))</f>
        <v>0</v>
      </c>
      <c r="AE183">
        <f>IF(OR($E183="",$E182=""),"",IF(AND(($C183-$C182)&gt;($D182-$D183),($C183-$C182)&gt;0),$C183-$C182,0))</f>
        <v>0</v>
      </c>
      <c r="AF183">
        <f>IF(OR($E183="",$E182=""),"",IF(AND(($D182-$D183)&gt;($C183-$C182),($D182-$D183)&gt;0),$D182-$D183,0))</f>
        <v>0</v>
      </c>
      <c r="AG183">
        <f>IF(COUNT($E$2:$E183)&lt;15,"",IF(SUM($AC$170:$AC$183)=0,0,100*SUM($AE$170:$AE$183)/SUM($AC$170:$AC$183)))</f>
        <v>0</v>
      </c>
      <c r="AH183">
        <f>IF(COUNT($E$2:$E183)&lt;15,"",IF(SUM($AC$170:$AC$183)=0,0,100*SUM($AF$170:$AF$183)/SUM($AC$170:$AC$183)))</f>
        <v>0</v>
      </c>
      <c r="AI183">
        <f>IF(OR(AG183="",AH183=""),"",IF((AG183+AH183)=0,0,100*ABS(AG183-AH183)/(AG183+AH183)))</f>
        <v>0</v>
      </c>
      <c r="AJ183">
        <f>IF(COUNT($AI$170:$AI$183)&lt;14,"",AVERAGE($AI$170:$AI$183))</f>
        <v>0</v>
      </c>
      <c r="AK183">
        <f>IF(COUNT($E$2:$E183)&lt;20,"",AVERAGE($E$164:$E$183))</f>
        <v>0</v>
      </c>
      <c r="AL183">
        <f>IF(COUNT($E$2:$E183)&lt;20,"",STDEVP($E$164:$E$183))</f>
        <v>0</v>
      </c>
      <c r="AM183">
        <f>IF(AK183="","",AK183+2*AL183)</f>
        <v>0</v>
      </c>
      <c r="AN183">
        <f>IF(AK183="","",AK183-2*AL183)</f>
        <v>0</v>
      </c>
      <c r="AO183">
        <f>IF(OR(AM183="",AN183="",AM183=AN183),"",($E183-AN183)/(AM183-AN183))</f>
        <v>0</v>
      </c>
      <c r="AP183">
        <f>IF(OR(AM183="",AK183="",AK183=0),"",(AM183-AN183)/AK183)</f>
        <v>0</v>
      </c>
      <c r="AQ183">
        <f>IF(COUNT($E$2:$E183)&lt;20,"",MAX($C$164:$C$183))</f>
        <v>0</v>
      </c>
      <c r="AR183">
        <f>IF(COUNT($E$2:$E183)&lt;20,"",MIN($D$164:$D$183))</f>
        <v>0</v>
      </c>
      <c r="AS183">
        <f>IF(OR(AQ183="",AR183=""),"",(AQ183+AR183)/2)</f>
        <v>0</v>
      </c>
      <c r="AT183">
        <f>IF(COUNT($G$164:$G$183)&lt;20,"",STDEV($G$164:$G$183)*SQRT(252))</f>
        <v>0</v>
      </c>
      <c r="AU183">
        <f>IF(COUNT($E$2:$E183)&lt;9,"",(MAX($C$175:$C$183)+MIN($D$175:$D$183))/2)</f>
        <v>0</v>
      </c>
      <c r="AV183">
        <f>IF(COUNT($E$2:$E183)&lt;26,"",(MAX($C$158:$C$183)+MIN($D$158:$D$183))/2)</f>
        <v>0</v>
      </c>
      <c r="AW183">
        <f>IF(OR(AU183="",AV183=""),"",(AU183+AV183)/2)</f>
        <v>0</v>
      </c>
      <c r="AX183">
        <f>IF(COUNT($E$2:$E183)&lt;52,"",(MAX($C$132:$C$183)+MIN($D$132:$D$183))/2)</f>
        <v>0</v>
      </c>
      <c r="AY183">
        <f>IF(COUNT($E$2:$E183)&lt;20,"",MAX($C$84:$C$183))</f>
        <v>0</v>
      </c>
      <c r="AZ183">
        <f>IF(COUNT($E$2:$E183)&lt;20,"",MIN($D$84:$D$183))</f>
        <v>0</v>
      </c>
      <c r="BA183">
        <f>IF(COUNT($E$2:$E183)&lt;20,"",SLOPE($E$84:$E$183,$F$84:$F$183))</f>
        <v>0</v>
      </c>
      <c r="BB183">
        <f>IF(COUNT($E$2:$E183)&lt;20,"",INTERCEPT($E$84:$E$183,$F$84:$F$183))</f>
        <v>0</v>
      </c>
      <c r="BC183">
        <f>IF(OR(BA183="",BB183=""),"",BB183+BA183*F183)</f>
        <v>0</v>
      </c>
      <c r="BD183">
        <f>IF(COUNT($E$2:$E183)&lt;20,"",STEYX($E$84:$E$183,$F$84:$F$183))</f>
        <v>0</v>
      </c>
      <c r="BE183">
        <f>IF($E183="","",IF(AND(COUNT($E$184:$E$187)&gt;=4,$C183=MAX($C$179:$C$187)),$C183,""))</f>
        <v>0</v>
      </c>
      <c r="BF183">
        <f>IF($E183="","",IF(AND(COUNT($E$184:$E$187)&gt;=4,$D183=MIN($D$179:$D$187)),$D183,""))</f>
        <v>0</v>
      </c>
      <c r="BG183">
        <f>IF($A183="","",$A183-WEEKDAY($A183,2)+1)</f>
        <v>0</v>
      </c>
      <c r="BH183">
        <f>IF($A183="","",IF($A182="",1,IF(BG183&lt;&gt;BG182,1,0)))</f>
        <v>0</v>
      </c>
      <c r="BI183">
        <f>IF($A183="","",IF($A184="",1,IF(BG184&lt;&gt;BG183,1,0)))</f>
        <v>0</v>
      </c>
      <c r="BJ183">
        <f>IF($A183="","",IF(BH183=1,$B183,BJ182))</f>
        <v>0</v>
      </c>
      <c r="BK183">
        <f>IF($A183="","",IF(BH183=1,$C183,MAX($C183,BK182)))</f>
        <v>0</v>
      </c>
      <c r="BL183">
        <f>IF($A183="","",IF(BH183=1,$D183,MIN($D183,BL182)))</f>
        <v>0</v>
      </c>
      <c r="BM183">
        <f>IF($A183="","",IF(BI183=1,F183,""))</f>
        <v>0</v>
      </c>
      <c r="BN183">
        <f>IF($A183="","",DATE(YEAR($A183),MONTH($A183),1))</f>
        <v>0</v>
      </c>
      <c r="BO183">
        <f>IF($A183="","",IF($A182="",1,IF(BN183&lt;&gt;BN182,1,0)))</f>
        <v>0</v>
      </c>
      <c r="BP183">
        <f>IF($A183="","",IF($A184="",1,IF(BN184&lt;&gt;BN183,1,0)))</f>
        <v>0</v>
      </c>
      <c r="BQ183">
        <f>IF($A183="","",IF(BO183=1,$B183,BQ182))</f>
        <v>0</v>
      </c>
      <c r="BR183">
        <f>IF($A183="","",IF(BO183=1,$C183,MAX($C183,BR182)))</f>
        <v>0</v>
      </c>
      <c r="BS183">
        <f>IF($A183="","",IF(BO183=1,$D183,MIN($D183,BS182)))</f>
        <v>0</v>
      </c>
      <c r="BT183">
        <f>IF($A183="","",IF(BP183=1,F183,""))</f>
        <v>0</v>
      </c>
    </row>
    <row r="184" spans="1:72">
      <c r="A184" s="27">
        <f>IF(Data!$A184="","",Data!$A184)</f>
        <v>0</v>
      </c>
      <c r="B184">
        <f>IF(Data!$B184="","",Data!$B184)</f>
        <v>0</v>
      </c>
      <c r="C184">
        <f>IF(Data!$C184="","",Data!$C184)</f>
        <v>0</v>
      </c>
      <c r="D184">
        <f>IF(Data!$D184="","",Data!$D184)</f>
        <v>0</v>
      </c>
      <c r="E184">
        <f>IF(Data!$E184="","",Data!$E184)</f>
        <v>0</v>
      </c>
      <c r="F184">
        <f>IF($E184="","",N(F183)+1)</f>
        <v>0</v>
      </c>
      <c r="G184">
        <f>IF(OR($E184="",$E183=""),"",LN($E184/$E183))</f>
        <v>0</v>
      </c>
      <c r="H184">
        <f>IF($E184="","",IF($E183="",$E184,$E184*0.0952380952+H183*0.9047619048))</f>
        <v>0</v>
      </c>
      <c r="I184">
        <f>IF($E184="","",IF($E183="",$E184,$E184*0.0392156863+I183*0.9607843137))</f>
        <v>0</v>
      </c>
      <c r="J184">
        <f>IF($E184="","",IF($E183="",$E184,$E184*0.0198019802+J183*0.9801980198))</f>
        <v>0</v>
      </c>
      <c r="K184">
        <f>IF($E184="","",IF($E183="",$E184,$E184*0.0099502488+K183*0.9900497512))</f>
        <v>0</v>
      </c>
      <c r="L184">
        <f>IF(OR($E184="",$E183=""),"",MAX($E184-$E183,0))</f>
        <v>0</v>
      </c>
      <c r="M184">
        <f>IF(OR($E184="",$E183=""),"",MAX($E183-$E184,0))</f>
        <v>0</v>
      </c>
      <c r="N184">
        <f>IF(COUNT($E$2:$E184)&lt;15,"",IF(AVERAGE($M$171:$M$184)=0,100,100-100/(1+AVERAGE($L$171:$L$184)/AVERAGE($M$171:$M$184))))</f>
        <v>0</v>
      </c>
      <c r="O184">
        <f>IF($E184="","",IF($E183="",$E184,$E184*0.1538461538+O183*0.8461538462))</f>
        <v>0</v>
      </c>
      <c r="P184">
        <f>IF($E184="","",IF($E183="",$E184,$E184*0.0740740741+P183*0.9259259259))</f>
        <v>0</v>
      </c>
      <c r="Q184">
        <f>IF(OR(O184="",P184=""),"",O184-P184)</f>
        <v>0</v>
      </c>
      <c r="R184">
        <f>IF(Q184="","",IF(R183="",Q184,Q184*0.2000000000+R183*0.8000000000))</f>
        <v>0</v>
      </c>
      <c r="S184">
        <f>IF(OR(Q184="",R184=""),"",Q184-R184)</f>
        <v>0</v>
      </c>
      <c r="T184">
        <f>IF(COUNT($E$2:$E184)&lt;14,"",MAX($C$171:$C$184))</f>
        <v>0</v>
      </c>
      <c r="U184">
        <f>IF(COUNT($E$2:$E184)&lt;14,"",MIN($D$171:$D$184))</f>
        <v>0</v>
      </c>
      <c r="V184">
        <f>IF(OR(T184="",U184="",T184=U184),"",100*($E184-U184)/(T184-U184))</f>
        <v>0</v>
      </c>
      <c r="W184">
        <f>IF(COUNT($V$182:$V$184)&lt;3,"",AVERAGE($V$182:$V$184))</f>
        <v>0</v>
      </c>
      <c r="X184">
        <f>IF(COUNT($N$171:$N$184)&lt;14,"",MIN($N$171:$N$184))</f>
        <v>0</v>
      </c>
      <c r="Y184">
        <f>IF(COUNT($N$171:$N$184)&lt;14,"",MAX($N$171:$N$184))</f>
        <v>0</v>
      </c>
      <c r="Z184">
        <f>IF(OR(N184="",X184="",Y184="",Y184=X184),"",100*(N184-X184)/(Y184-X184))</f>
        <v>0</v>
      </c>
      <c r="AA184">
        <f>IF(COUNT($Z$182:$Z$184)&lt;3,"",AVERAGE($Z$182:$Z$184))</f>
        <v>0</v>
      </c>
      <c r="AB184">
        <f>IF(COUNT($AA$182:$AA$184)&lt;3,"",AVERAGE($AA$182:$AA$184))</f>
        <v>0</v>
      </c>
      <c r="AC184">
        <f>IF($E184="","",MAX($C184-$D184,ABS($C184-$E183),ABS($D184-$E183)))</f>
        <v>0</v>
      </c>
      <c r="AD184">
        <f>IF(COUNT($E$2:$E184)&lt;15,"",AVERAGE($AC$171:$AC$184))</f>
        <v>0</v>
      </c>
      <c r="AE184">
        <f>IF(OR($E184="",$E183=""),"",IF(AND(($C184-$C183)&gt;($D183-$D184),($C184-$C183)&gt;0),$C184-$C183,0))</f>
        <v>0</v>
      </c>
      <c r="AF184">
        <f>IF(OR($E184="",$E183=""),"",IF(AND(($D183-$D184)&gt;($C184-$C183),($D183-$D184)&gt;0),$D183-$D184,0))</f>
        <v>0</v>
      </c>
      <c r="AG184">
        <f>IF(COUNT($E$2:$E184)&lt;15,"",IF(SUM($AC$171:$AC$184)=0,0,100*SUM($AE$171:$AE$184)/SUM($AC$171:$AC$184)))</f>
        <v>0</v>
      </c>
      <c r="AH184">
        <f>IF(COUNT($E$2:$E184)&lt;15,"",IF(SUM($AC$171:$AC$184)=0,0,100*SUM($AF$171:$AF$184)/SUM($AC$171:$AC$184)))</f>
        <v>0</v>
      </c>
      <c r="AI184">
        <f>IF(OR(AG184="",AH184=""),"",IF((AG184+AH184)=0,0,100*ABS(AG184-AH184)/(AG184+AH184)))</f>
        <v>0</v>
      </c>
      <c r="AJ184">
        <f>IF(COUNT($AI$171:$AI$184)&lt;14,"",AVERAGE($AI$171:$AI$184))</f>
        <v>0</v>
      </c>
      <c r="AK184">
        <f>IF(COUNT($E$2:$E184)&lt;20,"",AVERAGE($E$165:$E$184))</f>
        <v>0</v>
      </c>
      <c r="AL184">
        <f>IF(COUNT($E$2:$E184)&lt;20,"",STDEVP($E$165:$E$184))</f>
        <v>0</v>
      </c>
      <c r="AM184">
        <f>IF(AK184="","",AK184+2*AL184)</f>
        <v>0</v>
      </c>
      <c r="AN184">
        <f>IF(AK184="","",AK184-2*AL184)</f>
        <v>0</v>
      </c>
      <c r="AO184">
        <f>IF(OR(AM184="",AN184="",AM184=AN184),"",($E184-AN184)/(AM184-AN184))</f>
        <v>0</v>
      </c>
      <c r="AP184">
        <f>IF(OR(AM184="",AK184="",AK184=0),"",(AM184-AN184)/AK184)</f>
        <v>0</v>
      </c>
      <c r="AQ184">
        <f>IF(COUNT($E$2:$E184)&lt;20,"",MAX($C$165:$C$184))</f>
        <v>0</v>
      </c>
      <c r="AR184">
        <f>IF(COUNT($E$2:$E184)&lt;20,"",MIN($D$165:$D$184))</f>
        <v>0</v>
      </c>
      <c r="AS184">
        <f>IF(OR(AQ184="",AR184=""),"",(AQ184+AR184)/2)</f>
        <v>0</v>
      </c>
      <c r="AT184">
        <f>IF(COUNT($G$165:$G$184)&lt;20,"",STDEV($G$165:$G$184)*SQRT(252))</f>
        <v>0</v>
      </c>
      <c r="AU184">
        <f>IF(COUNT($E$2:$E184)&lt;9,"",(MAX($C$176:$C$184)+MIN($D$176:$D$184))/2)</f>
        <v>0</v>
      </c>
      <c r="AV184">
        <f>IF(COUNT($E$2:$E184)&lt;26,"",(MAX($C$159:$C$184)+MIN($D$159:$D$184))/2)</f>
        <v>0</v>
      </c>
      <c r="AW184">
        <f>IF(OR(AU184="",AV184=""),"",(AU184+AV184)/2)</f>
        <v>0</v>
      </c>
      <c r="AX184">
        <f>IF(COUNT($E$2:$E184)&lt;52,"",(MAX($C$133:$C$184)+MIN($D$133:$D$184))/2)</f>
        <v>0</v>
      </c>
      <c r="AY184">
        <f>IF(COUNT($E$2:$E184)&lt;20,"",MAX($C$85:$C$184))</f>
        <v>0</v>
      </c>
      <c r="AZ184">
        <f>IF(COUNT($E$2:$E184)&lt;20,"",MIN($D$85:$D$184))</f>
        <v>0</v>
      </c>
      <c r="BA184">
        <f>IF(COUNT($E$2:$E184)&lt;20,"",SLOPE($E$85:$E$184,$F$85:$F$184))</f>
        <v>0</v>
      </c>
      <c r="BB184">
        <f>IF(COUNT($E$2:$E184)&lt;20,"",INTERCEPT($E$85:$E$184,$F$85:$F$184))</f>
        <v>0</v>
      </c>
      <c r="BC184">
        <f>IF(OR(BA184="",BB184=""),"",BB184+BA184*F184)</f>
        <v>0</v>
      </c>
      <c r="BD184">
        <f>IF(COUNT($E$2:$E184)&lt;20,"",STEYX($E$85:$E$184,$F$85:$F$184))</f>
        <v>0</v>
      </c>
      <c r="BE184">
        <f>IF($E184="","",IF(AND(COUNT($E$185:$E$188)&gt;=4,$C184=MAX($C$180:$C$188)),$C184,""))</f>
        <v>0</v>
      </c>
      <c r="BF184">
        <f>IF($E184="","",IF(AND(COUNT($E$185:$E$188)&gt;=4,$D184=MIN($D$180:$D$188)),$D184,""))</f>
        <v>0</v>
      </c>
      <c r="BG184">
        <f>IF($A184="","",$A184-WEEKDAY($A184,2)+1)</f>
        <v>0</v>
      </c>
      <c r="BH184">
        <f>IF($A184="","",IF($A183="",1,IF(BG184&lt;&gt;BG183,1,0)))</f>
        <v>0</v>
      </c>
      <c r="BI184">
        <f>IF($A184="","",IF($A185="",1,IF(BG185&lt;&gt;BG184,1,0)))</f>
        <v>0</v>
      </c>
      <c r="BJ184">
        <f>IF($A184="","",IF(BH184=1,$B184,BJ183))</f>
        <v>0</v>
      </c>
      <c r="BK184">
        <f>IF($A184="","",IF(BH184=1,$C184,MAX($C184,BK183)))</f>
        <v>0</v>
      </c>
      <c r="BL184">
        <f>IF($A184="","",IF(BH184=1,$D184,MIN($D184,BL183)))</f>
        <v>0</v>
      </c>
      <c r="BM184">
        <f>IF($A184="","",IF(BI184=1,F184,""))</f>
        <v>0</v>
      </c>
      <c r="BN184">
        <f>IF($A184="","",DATE(YEAR($A184),MONTH($A184),1))</f>
        <v>0</v>
      </c>
      <c r="BO184">
        <f>IF($A184="","",IF($A183="",1,IF(BN184&lt;&gt;BN183,1,0)))</f>
        <v>0</v>
      </c>
      <c r="BP184">
        <f>IF($A184="","",IF($A185="",1,IF(BN185&lt;&gt;BN184,1,0)))</f>
        <v>0</v>
      </c>
      <c r="BQ184">
        <f>IF($A184="","",IF(BO184=1,$B184,BQ183))</f>
        <v>0</v>
      </c>
      <c r="BR184">
        <f>IF($A184="","",IF(BO184=1,$C184,MAX($C184,BR183)))</f>
        <v>0</v>
      </c>
      <c r="BS184">
        <f>IF($A184="","",IF(BO184=1,$D184,MIN($D184,BS183)))</f>
        <v>0</v>
      </c>
      <c r="BT184">
        <f>IF($A184="","",IF(BP184=1,F184,""))</f>
        <v>0</v>
      </c>
    </row>
    <row r="185" spans="1:72">
      <c r="A185" s="27">
        <f>IF(Data!$A185="","",Data!$A185)</f>
        <v>0</v>
      </c>
      <c r="B185">
        <f>IF(Data!$B185="","",Data!$B185)</f>
        <v>0</v>
      </c>
      <c r="C185">
        <f>IF(Data!$C185="","",Data!$C185)</f>
        <v>0</v>
      </c>
      <c r="D185">
        <f>IF(Data!$D185="","",Data!$D185)</f>
        <v>0</v>
      </c>
      <c r="E185">
        <f>IF(Data!$E185="","",Data!$E185)</f>
        <v>0</v>
      </c>
      <c r="F185">
        <f>IF($E185="","",N(F184)+1)</f>
        <v>0</v>
      </c>
      <c r="G185">
        <f>IF(OR($E185="",$E184=""),"",LN($E185/$E184))</f>
        <v>0</v>
      </c>
      <c r="H185">
        <f>IF($E185="","",IF($E184="",$E185,$E185*0.0952380952+H184*0.9047619048))</f>
        <v>0</v>
      </c>
      <c r="I185">
        <f>IF($E185="","",IF($E184="",$E185,$E185*0.0392156863+I184*0.9607843137))</f>
        <v>0</v>
      </c>
      <c r="J185">
        <f>IF($E185="","",IF($E184="",$E185,$E185*0.0198019802+J184*0.9801980198))</f>
        <v>0</v>
      </c>
      <c r="K185">
        <f>IF($E185="","",IF($E184="",$E185,$E185*0.0099502488+K184*0.9900497512))</f>
        <v>0</v>
      </c>
      <c r="L185">
        <f>IF(OR($E185="",$E184=""),"",MAX($E185-$E184,0))</f>
        <v>0</v>
      </c>
      <c r="M185">
        <f>IF(OR($E185="",$E184=""),"",MAX($E184-$E185,0))</f>
        <v>0</v>
      </c>
      <c r="N185">
        <f>IF(COUNT($E$2:$E185)&lt;15,"",IF(AVERAGE($M$172:$M$185)=0,100,100-100/(1+AVERAGE($L$172:$L$185)/AVERAGE($M$172:$M$185))))</f>
        <v>0</v>
      </c>
      <c r="O185">
        <f>IF($E185="","",IF($E184="",$E185,$E185*0.1538461538+O184*0.8461538462))</f>
        <v>0</v>
      </c>
      <c r="P185">
        <f>IF($E185="","",IF($E184="",$E185,$E185*0.0740740741+P184*0.9259259259))</f>
        <v>0</v>
      </c>
      <c r="Q185">
        <f>IF(OR(O185="",P185=""),"",O185-P185)</f>
        <v>0</v>
      </c>
      <c r="R185">
        <f>IF(Q185="","",IF(R184="",Q185,Q185*0.2000000000+R184*0.8000000000))</f>
        <v>0</v>
      </c>
      <c r="S185">
        <f>IF(OR(Q185="",R185=""),"",Q185-R185)</f>
        <v>0</v>
      </c>
      <c r="T185">
        <f>IF(COUNT($E$2:$E185)&lt;14,"",MAX($C$172:$C$185))</f>
        <v>0</v>
      </c>
      <c r="U185">
        <f>IF(COUNT($E$2:$E185)&lt;14,"",MIN($D$172:$D$185))</f>
        <v>0</v>
      </c>
      <c r="V185">
        <f>IF(OR(T185="",U185="",T185=U185),"",100*($E185-U185)/(T185-U185))</f>
        <v>0</v>
      </c>
      <c r="W185">
        <f>IF(COUNT($V$183:$V$185)&lt;3,"",AVERAGE($V$183:$V$185))</f>
        <v>0</v>
      </c>
      <c r="X185">
        <f>IF(COUNT($N$172:$N$185)&lt;14,"",MIN($N$172:$N$185))</f>
        <v>0</v>
      </c>
      <c r="Y185">
        <f>IF(COUNT($N$172:$N$185)&lt;14,"",MAX($N$172:$N$185))</f>
        <v>0</v>
      </c>
      <c r="Z185">
        <f>IF(OR(N185="",X185="",Y185="",Y185=X185),"",100*(N185-X185)/(Y185-X185))</f>
        <v>0</v>
      </c>
      <c r="AA185">
        <f>IF(COUNT($Z$183:$Z$185)&lt;3,"",AVERAGE($Z$183:$Z$185))</f>
        <v>0</v>
      </c>
      <c r="AB185">
        <f>IF(COUNT($AA$183:$AA$185)&lt;3,"",AVERAGE($AA$183:$AA$185))</f>
        <v>0</v>
      </c>
      <c r="AC185">
        <f>IF($E185="","",MAX($C185-$D185,ABS($C185-$E184),ABS($D185-$E184)))</f>
        <v>0</v>
      </c>
      <c r="AD185">
        <f>IF(COUNT($E$2:$E185)&lt;15,"",AVERAGE($AC$172:$AC$185))</f>
        <v>0</v>
      </c>
      <c r="AE185">
        <f>IF(OR($E185="",$E184=""),"",IF(AND(($C185-$C184)&gt;($D184-$D185),($C185-$C184)&gt;0),$C185-$C184,0))</f>
        <v>0</v>
      </c>
      <c r="AF185">
        <f>IF(OR($E185="",$E184=""),"",IF(AND(($D184-$D185)&gt;($C185-$C184),($D184-$D185)&gt;0),$D184-$D185,0))</f>
        <v>0</v>
      </c>
      <c r="AG185">
        <f>IF(COUNT($E$2:$E185)&lt;15,"",IF(SUM($AC$172:$AC$185)=0,0,100*SUM($AE$172:$AE$185)/SUM($AC$172:$AC$185)))</f>
        <v>0</v>
      </c>
      <c r="AH185">
        <f>IF(COUNT($E$2:$E185)&lt;15,"",IF(SUM($AC$172:$AC$185)=0,0,100*SUM($AF$172:$AF$185)/SUM($AC$172:$AC$185)))</f>
        <v>0</v>
      </c>
      <c r="AI185">
        <f>IF(OR(AG185="",AH185=""),"",IF((AG185+AH185)=0,0,100*ABS(AG185-AH185)/(AG185+AH185)))</f>
        <v>0</v>
      </c>
      <c r="AJ185">
        <f>IF(COUNT($AI$172:$AI$185)&lt;14,"",AVERAGE($AI$172:$AI$185))</f>
        <v>0</v>
      </c>
      <c r="AK185">
        <f>IF(COUNT($E$2:$E185)&lt;20,"",AVERAGE($E$166:$E$185))</f>
        <v>0</v>
      </c>
      <c r="AL185">
        <f>IF(COUNT($E$2:$E185)&lt;20,"",STDEVP($E$166:$E$185))</f>
        <v>0</v>
      </c>
      <c r="AM185">
        <f>IF(AK185="","",AK185+2*AL185)</f>
        <v>0</v>
      </c>
      <c r="AN185">
        <f>IF(AK185="","",AK185-2*AL185)</f>
        <v>0</v>
      </c>
      <c r="AO185">
        <f>IF(OR(AM185="",AN185="",AM185=AN185),"",($E185-AN185)/(AM185-AN185))</f>
        <v>0</v>
      </c>
      <c r="AP185">
        <f>IF(OR(AM185="",AK185="",AK185=0),"",(AM185-AN185)/AK185)</f>
        <v>0</v>
      </c>
      <c r="AQ185">
        <f>IF(COUNT($E$2:$E185)&lt;20,"",MAX($C$166:$C$185))</f>
        <v>0</v>
      </c>
      <c r="AR185">
        <f>IF(COUNT($E$2:$E185)&lt;20,"",MIN($D$166:$D$185))</f>
        <v>0</v>
      </c>
      <c r="AS185">
        <f>IF(OR(AQ185="",AR185=""),"",(AQ185+AR185)/2)</f>
        <v>0</v>
      </c>
      <c r="AT185">
        <f>IF(COUNT($G$166:$G$185)&lt;20,"",STDEV($G$166:$G$185)*SQRT(252))</f>
        <v>0</v>
      </c>
      <c r="AU185">
        <f>IF(COUNT($E$2:$E185)&lt;9,"",(MAX($C$177:$C$185)+MIN($D$177:$D$185))/2)</f>
        <v>0</v>
      </c>
      <c r="AV185">
        <f>IF(COUNT($E$2:$E185)&lt;26,"",(MAX($C$160:$C$185)+MIN($D$160:$D$185))/2)</f>
        <v>0</v>
      </c>
      <c r="AW185">
        <f>IF(OR(AU185="",AV185=""),"",(AU185+AV185)/2)</f>
        <v>0</v>
      </c>
      <c r="AX185">
        <f>IF(COUNT($E$2:$E185)&lt;52,"",(MAX($C$134:$C$185)+MIN($D$134:$D$185))/2)</f>
        <v>0</v>
      </c>
      <c r="AY185">
        <f>IF(COUNT($E$2:$E185)&lt;20,"",MAX($C$86:$C$185))</f>
        <v>0</v>
      </c>
      <c r="AZ185">
        <f>IF(COUNT($E$2:$E185)&lt;20,"",MIN($D$86:$D$185))</f>
        <v>0</v>
      </c>
      <c r="BA185">
        <f>IF(COUNT($E$2:$E185)&lt;20,"",SLOPE($E$86:$E$185,$F$86:$F$185))</f>
        <v>0</v>
      </c>
      <c r="BB185">
        <f>IF(COUNT($E$2:$E185)&lt;20,"",INTERCEPT($E$86:$E$185,$F$86:$F$185))</f>
        <v>0</v>
      </c>
      <c r="BC185">
        <f>IF(OR(BA185="",BB185=""),"",BB185+BA185*F185)</f>
        <v>0</v>
      </c>
      <c r="BD185">
        <f>IF(COUNT($E$2:$E185)&lt;20,"",STEYX($E$86:$E$185,$F$86:$F$185))</f>
        <v>0</v>
      </c>
      <c r="BE185">
        <f>IF($E185="","",IF(AND(COUNT($E$186:$E$189)&gt;=4,$C185=MAX($C$181:$C$189)),$C185,""))</f>
        <v>0</v>
      </c>
      <c r="BF185">
        <f>IF($E185="","",IF(AND(COUNT($E$186:$E$189)&gt;=4,$D185=MIN($D$181:$D$189)),$D185,""))</f>
        <v>0</v>
      </c>
      <c r="BG185">
        <f>IF($A185="","",$A185-WEEKDAY($A185,2)+1)</f>
        <v>0</v>
      </c>
      <c r="BH185">
        <f>IF($A185="","",IF($A184="",1,IF(BG185&lt;&gt;BG184,1,0)))</f>
        <v>0</v>
      </c>
      <c r="BI185">
        <f>IF($A185="","",IF($A186="",1,IF(BG186&lt;&gt;BG185,1,0)))</f>
        <v>0</v>
      </c>
      <c r="BJ185">
        <f>IF($A185="","",IF(BH185=1,$B185,BJ184))</f>
        <v>0</v>
      </c>
      <c r="BK185">
        <f>IF($A185="","",IF(BH185=1,$C185,MAX($C185,BK184)))</f>
        <v>0</v>
      </c>
      <c r="BL185">
        <f>IF($A185="","",IF(BH185=1,$D185,MIN($D185,BL184)))</f>
        <v>0</v>
      </c>
      <c r="BM185">
        <f>IF($A185="","",IF(BI185=1,F185,""))</f>
        <v>0</v>
      </c>
      <c r="BN185">
        <f>IF($A185="","",DATE(YEAR($A185),MONTH($A185),1))</f>
        <v>0</v>
      </c>
      <c r="BO185">
        <f>IF($A185="","",IF($A184="",1,IF(BN185&lt;&gt;BN184,1,0)))</f>
        <v>0</v>
      </c>
      <c r="BP185">
        <f>IF($A185="","",IF($A186="",1,IF(BN186&lt;&gt;BN185,1,0)))</f>
        <v>0</v>
      </c>
      <c r="BQ185">
        <f>IF($A185="","",IF(BO185=1,$B185,BQ184))</f>
        <v>0</v>
      </c>
      <c r="BR185">
        <f>IF($A185="","",IF(BO185=1,$C185,MAX($C185,BR184)))</f>
        <v>0</v>
      </c>
      <c r="BS185">
        <f>IF($A185="","",IF(BO185=1,$D185,MIN($D185,BS184)))</f>
        <v>0</v>
      </c>
      <c r="BT185">
        <f>IF($A185="","",IF(BP185=1,F185,""))</f>
        <v>0</v>
      </c>
    </row>
    <row r="186" spans="1:72">
      <c r="A186" s="27">
        <f>IF(Data!$A186="","",Data!$A186)</f>
        <v>0</v>
      </c>
      <c r="B186">
        <f>IF(Data!$B186="","",Data!$B186)</f>
        <v>0</v>
      </c>
      <c r="C186">
        <f>IF(Data!$C186="","",Data!$C186)</f>
        <v>0</v>
      </c>
      <c r="D186">
        <f>IF(Data!$D186="","",Data!$D186)</f>
        <v>0</v>
      </c>
      <c r="E186">
        <f>IF(Data!$E186="","",Data!$E186)</f>
        <v>0</v>
      </c>
      <c r="F186">
        <f>IF($E186="","",N(F185)+1)</f>
        <v>0</v>
      </c>
      <c r="G186">
        <f>IF(OR($E186="",$E185=""),"",LN($E186/$E185))</f>
        <v>0</v>
      </c>
      <c r="H186">
        <f>IF($E186="","",IF($E185="",$E186,$E186*0.0952380952+H185*0.9047619048))</f>
        <v>0</v>
      </c>
      <c r="I186">
        <f>IF($E186="","",IF($E185="",$E186,$E186*0.0392156863+I185*0.9607843137))</f>
        <v>0</v>
      </c>
      <c r="J186">
        <f>IF($E186="","",IF($E185="",$E186,$E186*0.0198019802+J185*0.9801980198))</f>
        <v>0</v>
      </c>
      <c r="K186">
        <f>IF($E186="","",IF($E185="",$E186,$E186*0.0099502488+K185*0.9900497512))</f>
        <v>0</v>
      </c>
      <c r="L186">
        <f>IF(OR($E186="",$E185=""),"",MAX($E186-$E185,0))</f>
        <v>0</v>
      </c>
      <c r="M186">
        <f>IF(OR($E186="",$E185=""),"",MAX($E185-$E186,0))</f>
        <v>0</v>
      </c>
      <c r="N186">
        <f>IF(COUNT($E$2:$E186)&lt;15,"",IF(AVERAGE($M$173:$M$186)=0,100,100-100/(1+AVERAGE($L$173:$L$186)/AVERAGE($M$173:$M$186))))</f>
        <v>0</v>
      </c>
      <c r="O186">
        <f>IF($E186="","",IF($E185="",$E186,$E186*0.1538461538+O185*0.8461538462))</f>
        <v>0</v>
      </c>
      <c r="P186">
        <f>IF($E186="","",IF($E185="",$E186,$E186*0.0740740741+P185*0.9259259259))</f>
        <v>0</v>
      </c>
      <c r="Q186">
        <f>IF(OR(O186="",P186=""),"",O186-P186)</f>
        <v>0</v>
      </c>
      <c r="R186">
        <f>IF(Q186="","",IF(R185="",Q186,Q186*0.2000000000+R185*0.8000000000))</f>
        <v>0</v>
      </c>
      <c r="S186">
        <f>IF(OR(Q186="",R186=""),"",Q186-R186)</f>
        <v>0</v>
      </c>
      <c r="T186">
        <f>IF(COUNT($E$2:$E186)&lt;14,"",MAX($C$173:$C$186))</f>
        <v>0</v>
      </c>
      <c r="U186">
        <f>IF(COUNT($E$2:$E186)&lt;14,"",MIN($D$173:$D$186))</f>
        <v>0</v>
      </c>
      <c r="V186">
        <f>IF(OR(T186="",U186="",T186=U186),"",100*($E186-U186)/(T186-U186))</f>
        <v>0</v>
      </c>
      <c r="W186">
        <f>IF(COUNT($V$184:$V$186)&lt;3,"",AVERAGE($V$184:$V$186))</f>
        <v>0</v>
      </c>
      <c r="X186">
        <f>IF(COUNT($N$173:$N$186)&lt;14,"",MIN($N$173:$N$186))</f>
        <v>0</v>
      </c>
      <c r="Y186">
        <f>IF(COUNT($N$173:$N$186)&lt;14,"",MAX($N$173:$N$186))</f>
        <v>0</v>
      </c>
      <c r="Z186">
        <f>IF(OR(N186="",X186="",Y186="",Y186=X186),"",100*(N186-X186)/(Y186-X186))</f>
        <v>0</v>
      </c>
      <c r="AA186">
        <f>IF(COUNT($Z$184:$Z$186)&lt;3,"",AVERAGE($Z$184:$Z$186))</f>
        <v>0</v>
      </c>
      <c r="AB186">
        <f>IF(COUNT($AA$184:$AA$186)&lt;3,"",AVERAGE($AA$184:$AA$186))</f>
        <v>0</v>
      </c>
      <c r="AC186">
        <f>IF($E186="","",MAX($C186-$D186,ABS($C186-$E185),ABS($D186-$E185)))</f>
        <v>0</v>
      </c>
      <c r="AD186">
        <f>IF(COUNT($E$2:$E186)&lt;15,"",AVERAGE($AC$173:$AC$186))</f>
        <v>0</v>
      </c>
      <c r="AE186">
        <f>IF(OR($E186="",$E185=""),"",IF(AND(($C186-$C185)&gt;($D185-$D186),($C186-$C185)&gt;0),$C186-$C185,0))</f>
        <v>0</v>
      </c>
      <c r="AF186">
        <f>IF(OR($E186="",$E185=""),"",IF(AND(($D185-$D186)&gt;($C186-$C185),($D185-$D186)&gt;0),$D185-$D186,0))</f>
        <v>0</v>
      </c>
      <c r="AG186">
        <f>IF(COUNT($E$2:$E186)&lt;15,"",IF(SUM($AC$173:$AC$186)=0,0,100*SUM($AE$173:$AE$186)/SUM($AC$173:$AC$186)))</f>
        <v>0</v>
      </c>
      <c r="AH186">
        <f>IF(COUNT($E$2:$E186)&lt;15,"",IF(SUM($AC$173:$AC$186)=0,0,100*SUM($AF$173:$AF$186)/SUM($AC$173:$AC$186)))</f>
        <v>0</v>
      </c>
      <c r="AI186">
        <f>IF(OR(AG186="",AH186=""),"",IF((AG186+AH186)=0,0,100*ABS(AG186-AH186)/(AG186+AH186)))</f>
        <v>0</v>
      </c>
      <c r="AJ186">
        <f>IF(COUNT($AI$173:$AI$186)&lt;14,"",AVERAGE($AI$173:$AI$186))</f>
        <v>0</v>
      </c>
      <c r="AK186">
        <f>IF(COUNT($E$2:$E186)&lt;20,"",AVERAGE($E$167:$E$186))</f>
        <v>0</v>
      </c>
      <c r="AL186">
        <f>IF(COUNT($E$2:$E186)&lt;20,"",STDEVP($E$167:$E$186))</f>
        <v>0</v>
      </c>
      <c r="AM186">
        <f>IF(AK186="","",AK186+2*AL186)</f>
        <v>0</v>
      </c>
      <c r="AN186">
        <f>IF(AK186="","",AK186-2*AL186)</f>
        <v>0</v>
      </c>
      <c r="AO186">
        <f>IF(OR(AM186="",AN186="",AM186=AN186),"",($E186-AN186)/(AM186-AN186))</f>
        <v>0</v>
      </c>
      <c r="AP186">
        <f>IF(OR(AM186="",AK186="",AK186=0),"",(AM186-AN186)/AK186)</f>
        <v>0</v>
      </c>
      <c r="AQ186">
        <f>IF(COUNT($E$2:$E186)&lt;20,"",MAX($C$167:$C$186))</f>
        <v>0</v>
      </c>
      <c r="AR186">
        <f>IF(COUNT($E$2:$E186)&lt;20,"",MIN($D$167:$D$186))</f>
        <v>0</v>
      </c>
      <c r="AS186">
        <f>IF(OR(AQ186="",AR186=""),"",(AQ186+AR186)/2)</f>
        <v>0</v>
      </c>
      <c r="AT186">
        <f>IF(COUNT($G$167:$G$186)&lt;20,"",STDEV($G$167:$G$186)*SQRT(252))</f>
        <v>0</v>
      </c>
      <c r="AU186">
        <f>IF(COUNT($E$2:$E186)&lt;9,"",(MAX($C$178:$C$186)+MIN($D$178:$D$186))/2)</f>
        <v>0</v>
      </c>
      <c r="AV186">
        <f>IF(COUNT($E$2:$E186)&lt;26,"",(MAX($C$161:$C$186)+MIN($D$161:$D$186))/2)</f>
        <v>0</v>
      </c>
      <c r="AW186">
        <f>IF(OR(AU186="",AV186=""),"",(AU186+AV186)/2)</f>
        <v>0</v>
      </c>
      <c r="AX186">
        <f>IF(COUNT($E$2:$E186)&lt;52,"",(MAX($C$135:$C$186)+MIN($D$135:$D$186))/2)</f>
        <v>0</v>
      </c>
      <c r="AY186">
        <f>IF(COUNT($E$2:$E186)&lt;20,"",MAX($C$87:$C$186))</f>
        <v>0</v>
      </c>
      <c r="AZ186">
        <f>IF(COUNT($E$2:$E186)&lt;20,"",MIN($D$87:$D$186))</f>
        <v>0</v>
      </c>
      <c r="BA186">
        <f>IF(COUNT($E$2:$E186)&lt;20,"",SLOPE($E$87:$E$186,$F$87:$F$186))</f>
        <v>0</v>
      </c>
      <c r="BB186">
        <f>IF(COUNT($E$2:$E186)&lt;20,"",INTERCEPT($E$87:$E$186,$F$87:$F$186))</f>
        <v>0</v>
      </c>
      <c r="BC186">
        <f>IF(OR(BA186="",BB186=""),"",BB186+BA186*F186)</f>
        <v>0</v>
      </c>
      <c r="BD186">
        <f>IF(COUNT($E$2:$E186)&lt;20,"",STEYX($E$87:$E$186,$F$87:$F$186))</f>
        <v>0</v>
      </c>
      <c r="BE186">
        <f>IF($E186="","",IF(AND(COUNT($E$187:$E$190)&gt;=4,$C186=MAX($C$182:$C$190)),$C186,""))</f>
        <v>0</v>
      </c>
      <c r="BF186">
        <f>IF($E186="","",IF(AND(COUNT($E$187:$E$190)&gt;=4,$D186=MIN($D$182:$D$190)),$D186,""))</f>
        <v>0</v>
      </c>
      <c r="BG186">
        <f>IF($A186="","",$A186-WEEKDAY($A186,2)+1)</f>
        <v>0</v>
      </c>
      <c r="BH186">
        <f>IF($A186="","",IF($A185="",1,IF(BG186&lt;&gt;BG185,1,0)))</f>
        <v>0</v>
      </c>
      <c r="BI186">
        <f>IF($A186="","",IF($A187="",1,IF(BG187&lt;&gt;BG186,1,0)))</f>
        <v>0</v>
      </c>
      <c r="BJ186">
        <f>IF($A186="","",IF(BH186=1,$B186,BJ185))</f>
        <v>0</v>
      </c>
      <c r="BK186">
        <f>IF($A186="","",IF(BH186=1,$C186,MAX($C186,BK185)))</f>
        <v>0</v>
      </c>
      <c r="BL186">
        <f>IF($A186="","",IF(BH186=1,$D186,MIN($D186,BL185)))</f>
        <v>0</v>
      </c>
      <c r="BM186">
        <f>IF($A186="","",IF(BI186=1,F186,""))</f>
        <v>0</v>
      </c>
      <c r="BN186">
        <f>IF($A186="","",DATE(YEAR($A186),MONTH($A186),1))</f>
        <v>0</v>
      </c>
      <c r="BO186">
        <f>IF($A186="","",IF($A185="",1,IF(BN186&lt;&gt;BN185,1,0)))</f>
        <v>0</v>
      </c>
      <c r="BP186">
        <f>IF($A186="","",IF($A187="",1,IF(BN187&lt;&gt;BN186,1,0)))</f>
        <v>0</v>
      </c>
      <c r="BQ186">
        <f>IF($A186="","",IF(BO186=1,$B186,BQ185))</f>
        <v>0</v>
      </c>
      <c r="BR186">
        <f>IF($A186="","",IF(BO186=1,$C186,MAX($C186,BR185)))</f>
        <v>0</v>
      </c>
      <c r="BS186">
        <f>IF($A186="","",IF(BO186=1,$D186,MIN($D186,BS185)))</f>
        <v>0</v>
      </c>
      <c r="BT186">
        <f>IF($A186="","",IF(BP186=1,F186,""))</f>
        <v>0</v>
      </c>
    </row>
    <row r="187" spans="1:72">
      <c r="A187" s="27">
        <f>IF(Data!$A187="","",Data!$A187)</f>
        <v>0</v>
      </c>
      <c r="B187">
        <f>IF(Data!$B187="","",Data!$B187)</f>
        <v>0</v>
      </c>
      <c r="C187">
        <f>IF(Data!$C187="","",Data!$C187)</f>
        <v>0</v>
      </c>
      <c r="D187">
        <f>IF(Data!$D187="","",Data!$D187)</f>
        <v>0</v>
      </c>
      <c r="E187">
        <f>IF(Data!$E187="","",Data!$E187)</f>
        <v>0</v>
      </c>
      <c r="F187">
        <f>IF($E187="","",N(F186)+1)</f>
        <v>0</v>
      </c>
      <c r="G187">
        <f>IF(OR($E187="",$E186=""),"",LN($E187/$E186))</f>
        <v>0</v>
      </c>
      <c r="H187">
        <f>IF($E187="","",IF($E186="",$E187,$E187*0.0952380952+H186*0.9047619048))</f>
        <v>0</v>
      </c>
      <c r="I187">
        <f>IF($E187="","",IF($E186="",$E187,$E187*0.0392156863+I186*0.9607843137))</f>
        <v>0</v>
      </c>
      <c r="J187">
        <f>IF($E187="","",IF($E186="",$E187,$E187*0.0198019802+J186*0.9801980198))</f>
        <v>0</v>
      </c>
      <c r="K187">
        <f>IF($E187="","",IF($E186="",$E187,$E187*0.0099502488+K186*0.9900497512))</f>
        <v>0</v>
      </c>
      <c r="L187">
        <f>IF(OR($E187="",$E186=""),"",MAX($E187-$E186,0))</f>
        <v>0</v>
      </c>
      <c r="M187">
        <f>IF(OR($E187="",$E186=""),"",MAX($E186-$E187,0))</f>
        <v>0</v>
      </c>
      <c r="N187">
        <f>IF(COUNT($E$2:$E187)&lt;15,"",IF(AVERAGE($M$174:$M$187)=0,100,100-100/(1+AVERAGE($L$174:$L$187)/AVERAGE($M$174:$M$187))))</f>
        <v>0</v>
      </c>
      <c r="O187">
        <f>IF($E187="","",IF($E186="",$E187,$E187*0.1538461538+O186*0.8461538462))</f>
        <v>0</v>
      </c>
      <c r="P187">
        <f>IF($E187="","",IF($E186="",$E187,$E187*0.0740740741+P186*0.9259259259))</f>
        <v>0</v>
      </c>
      <c r="Q187">
        <f>IF(OR(O187="",P187=""),"",O187-P187)</f>
        <v>0</v>
      </c>
      <c r="R187">
        <f>IF(Q187="","",IF(R186="",Q187,Q187*0.2000000000+R186*0.8000000000))</f>
        <v>0</v>
      </c>
      <c r="S187">
        <f>IF(OR(Q187="",R187=""),"",Q187-R187)</f>
        <v>0</v>
      </c>
      <c r="T187">
        <f>IF(COUNT($E$2:$E187)&lt;14,"",MAX($C$174:$C$187))</f>
        <v>0</v>
      </c>
      <c r="U187">
        <f>IF(COUNT($E$2:$E187)&lt;14,"",MIN($D$174:$D$187))</f>
        <v>0</v>
      </c>
      <c r="V187">
        <f>IF(OR(T187="",U187="",T187=U187),"",100*($E187-U187)/(T187-U187))</f>
        <v>0</v>
      </c>
      <c r="W187">
        <f>IF(COUNT($V$185:$V$187)&lt;3,"",AVERAGE($V$185:$V$187))</f>
        <v>0</v>
      </c>
      <c r="X187">
        <f>IF(COUNT($N$174:$N$187)&lt;14,"",MIN($N$174:$N$187))</f>
        <v>0</v>
      </c>
      <c r="Y187">
        <f>IF(COUNT($N$174:$N$187)&lt;14,"",MAX($N$174:$N$187))</f>
        <v>0</v>
      </c>
      <c r="Z187">
        <f>IF(OR(N187="",X187="",Y187="",Y187=X187),"",100*(N187-X187)/(Y187-X187))</f>
        <v>0</v>
      </c>
      <c r="AA187">
        <f>IF(COUNT($Z$185:$Z$187)&lt;3,"",AVERAGE($Z$185:$Z$187))</f>
        <v>0</v>
      </c>
      <c r="AB187">
        <f>IF(COUNT($AA$185:$AA$187)&lt;3,"",AVERAGE($AA$185:$AA$187))</f>
        <v>0</v>
      </c>
      <c r="AC187">
        <f>IF($E187="","",MAX($C187-$D187,ABS($C187-$E186),ABS($D187-$E186)))</f>
        <v>0</v>
      </c>
      <c r="AD187">
        <f>IF(COUNT($E$2:$E187)&lt;15,"",AVERAGE($AC$174:$AC$187))</f>
        <v>0</v>
      </c>
      <c r="AE187">
        <f>IF(OR($E187="",$E186=""),"",IF(AND(($C187-$C186)&gt;($D186-$D187),($C187-$C186)&gt;0),$C187-$C186,0))</f>
        <v>0</v>
      </c>
      <c r="AF187">
        <f>IF(OR($E187="",$E186=""),"",IF(AND(($D186-$D187)&gt;($C187-$C186),($D186-$D187)&gt;0),$D186-$D187,0))</f>
        <v>0</v>
      </c>
      <c r="AG187">
        <f>IF(COUNT($E$2:$E187)&lt;15,"",IF(SUM($AC$174:$AC$187)=0,0,100*SUM($AE$174:$AE$187)/SUM($AC$174:$AC$187)))</f>
        <v>0</v>
      </c>
      <c r="AH187">
        <f>IF(COUNT($E$2:$E187)&lt;15,"",IF(SUM($AC$174:$AC$187)=0,0,100*SUM($AF$174:$AF$187)/SUM($AC$174:$AC$187)))</f>
        <v>0</v>
      </c>
      <c r="AI187">
        <f>IF(OR(AG187="",AH187=""),"",IF((AG187+AH187)=0,0,100*ABS(AG187-AH187)/(AG187+AH187)))</f>
        <v>0</v>
      </c>
      <c r="AJ187">
        <f>IF(COUNT($AI$174:$AI$187)&lt;14,"",AVERAGE($AI$174:$AI$187))</f>
        <v>0</v>
      </c>
      <c r="AK187">
        <f>IF(COUNT($E$2:$E187)&lt;20,"",AVERAGE($E$168:$E$187))</f>
        <v>0</v>
      </c>
      <c r="AL187">
        <f>IF(COUNT($E$2:$E187)&lt;20,"",STDEVP($E$168:$E$187))</f>
        <v>0</v>
      </c>
      <c r="AM187">
        <f>IF(AK187="","",AK187+2*AL187)</f>
        <v>0</v>
      </c>
      <c r="AN187">
        <f>IF(AK187="","",AK187-2*AL187)</f>
        <v>0</v>
      </c>
      <c r="AO187">
        <f>IF(OR(AM187="",AN187="",AM187=AN187),"",($E187-AN187)/(AM187-AN187))</f>
        <v>0</v>
      </c>
      <c r="AP187">
        <f>IF(OR(AM187="",AK187="",AK187=0),"",(AM187-AN187)/AK187)</f>
        <v>0</v>
      </c>
      <c r="AQ187">
        <f>IF(COUNT($E$2:$E187)&lt;20,"",MAX($C$168:$C$187))</f>
        <v>0</v>
      </c>
      <c r="AR187">
        <f>IF(COUNT($E$2:$E187)&lt;20,"",MIN($D$168:$D$187))</f>
        <v>0</v>
      </c>
      <c r="AS187">
        <f>IF(OR(AQ187="",AR187=""),"",(AQ187+AR187)/2)</f>
        <v>0</v>
      </c>
      <c r="AT187">
        <f>IF(COUNT($G$168:$G$187)&lt;20,"",STDEV($G$168:$G$187)*SQRT(252))</f>
        <v>0</v>
      </c>
      <c r="AU187">
        <f>IF(COUNT($E$2:$E187)&lt;9,"",(MAX($C$179:$C$187)+MIN($D$179:$D$187))/2)</f>
        <v>0</v>
      </c>
      <c r="AV187">
        <f>IF(COUNT($E$2:$E187)&lt;26,"",(MAX($C$162:$C$187)+MIN($D$162:$D$187))/2)</f>
        <v>0</v>
      </c>
      <c r="AW187">
        <f>IF(OR(AU187="",AV187=""),"",(AU187+AV187)/2)</f>
        <v>0</v>
      </c>
      <c r="AX187">
        <f>IF(COUNT($E$2:$E187)&lt;52,"",(MAX($C$136:$C$187)+MIN($D$136:$D$187))/2)</f>
        <v>0</v>
      </c>
      <c r="AY187">
        <f>IF(COUNT($E$2:$E187)&lt;20,"",MAX($C$88:$C$187))</f>
        <v>0</v>
      </c>
      <c r="AZ187">
        <f>IF(COUNT($E$2:$E187)&lt;20,"",MIN($D$88:$D$187))</f>
        <v>0</v>
      </c>
      <c r="BA187">
        <f>IF(COUNT($E$2:$E187)&lt;20,"",SLOPE($E$88:$E$187,$F$88:$F$187))</f>
        <v>0</v>
      </c>
      <c r="BB187">
        <f>IF(COUNT($E$2:$E187)&lt;20,"",INTERCEPT($E$88:$E$187,$F$88:$F$187))</f>
        <v>0</v>
      </c>
      <c r="BC187">
        <f>IF(OR(BA187="",BB187=""),"",BB187+BA187*F187)</f>
        <v>0</v>
      </c>
      <c r="BD187">
        <f>IF(COUNT($E$2:$E187)&lt;20,"",STEYX($E$88:$E$187,$F$88:$F$187))</f>
        <v>0</v>
      </c>
      <c r="BE187">
        <f>IF($E187="","",IF(AND(COUNT($E$188:$E$191)&gt;=4,$C187=MAX($C$183:$C$191)),$C187,""))</f>
        <v>0</v>
      </c>
      <c r="BF187">
        <f>IF($E187="","",IF(AND(COUNT($E$188:$E$191)&gt;=4,$D187=MIN($D$183:$D$191)),$D187,""))</f>
        <v>0</v>
      </c>
      <c r="BG187">
        <f>IF($A187="","",$A187-WEEKDAY($A187,2)+1)</f>
        <v>0</v>
      </c>
      <c r="BH187">
        <f>IF($A187="","",IF($A186="",1,IF(BG187&lt;&gt;BG186,1,0)))</f>
        <v>0</v>
      </c>
      <c r="BI187">
        <f>IF($A187="","",IF($A188="",1,IF(BG188&lt;&gt;BG187,1,0)))</f>
        <v>0</v>
      </c>
      <c r="BJ187">
        <f>IF($A187="","",IF(BH187=1,$B187,BJ186))</f>
        <v>0</v>
      </c>
      <c r="BK187">
        <f>IF($A187="","",IF(BH187=1,$C187,MAX($C187,BK186)))</f>
        <v>0</v>
      </c>
      <c r="BL187">
        <f>IF($A187="","",IF(BH187=1,$D187,MIN($D187,BL186)))</f>
        <v>0</v>
      </c>
      <c r="BM187">
        <f>IF($A187="","",IF(BI187=1,F187,""))</f>
        <v>0</v>
      </c>
      <c r="BN187">
        <f>IF($A187="","",DATE(YEAR($A187),MONTH($A187),1))</f>
        <v>0</v>
      </c>
      <c r="BO187">
        <f>IF($A187="","",IF($A186="",1,IF(BN187&lt;&gt;BN186,1,0)))</f>
        <v>0</v>
      </c>
      <c r="BP187">
        <f>IF($A187="","",IF($A188="",1,IF(BN188&lt;&gt;BN187,1,0)))</f>
        <v>0</v>
      </c>
      <c r="BQ187">
        <f>IF($A187="","",IF(BO187=1,$B187,BQ186))</f>
        <v>0</v>
      </c>
      <c r="BR187">
        <f>IF($A187="","",IF(BO187=1,$C187,MAX($C187,BR186)))</f>
        <v>0</v>
      </c>
      <c r="BS187">
        <f>IF($A187="","",IF(BO187=1,$D187,MIN($D187,BS186)))</f>
        <v>0</v>
      </c>
      <c r="BT187">
        <f>IF($A187="","",IF(BP187=1,F187,""))</f>
        <v>0</v>
      </c>
    </row>
    <row r="188" spans="1:72">
      <c r="A188" s="27">
        <f>IF(Data!$A188="","",Data!$A188)</f>
        <v>0</v>
      </c>
      <c r="B188">
        <f>IF(Data!$B188="","",Data!$B188)</f>
        <v>0</v>
      </c>
      <c r="C188">
        <f>IF(Data!$C188="","",Data!$C188)</f>
        <v>0</v>
      </c>
      <c r="D188">
        <f>IF(Data!$D188="","",Data!$D188)</f>
        <v>0</v>
      </c>
      <c r="E188">
        <f>IF(Data!$E188="","",Data!$E188)</f>
        <v>0</v>
      </c>
      <c r="F188">
        <f>IF($E188="","",N(F187)+1)</f>
        <v>0</v>
      </c>
      <c r="G188">
        <f>IF(OR($E188="",$E187=""),"",LN($E188/$E187))</f>
        <v>0</v>
      </c>
      <c r="H188">
        <f>IF($E188="","",IF($E187="",$E188,$E188*0.0952380952+H187*0.9047619048))</f>
        <v>0</v>
      </c>
      <c r="I188">
        <f>IF($E188="","",IF($E187="",$E188,$E188*0.0392156863+I187*0.9607843137))</f>
        <v>0</v>
      </c>
      <c r="J188">
        <f>IF($E188="","",IF($E187="",$E188,$E188*0.0198019802+J187*0.9801980198))</f>
        <v>0</v>
      </c>
      <c r="K188">
        <f>IF($E188="","",IF($E187="",$E188,$E188*0.0099502488+K187*0.9900497512))</f>
        <v>0</v>
      </c>
      <c r="L188">
        <f>IF(OR($E188="",$E187=""),"",MAX($E188-$E187,0))</f>
        <v>0</v>
      </c>
      <c r="M188">
        <f>IF(OR($E188="",$E187=""),"",MAX($E187-$E188,0))</f>
        <v>0</v>
      </c>
      <c r="N188">
        <f>IF(COUNT($E$2:$E188)&lt;15,"",IF(AVERAGE($M$175:$M$188)=0,100,100-100/(1+AVERAGE($L$175:$L$188)/AVERAGE($M$175:$M$188))))</f>
        <v>0</v>
      </c>
      <c r="O188">
        <f>IF($E188="","",IF($E187="",$E188,$E188*0.1538461538+O187*0.8461538462))</f>
        <v>0</v>
      </c>
      <c r="P188">
        <f>IF($E188="","",IF($E187="",$E188,$E188*0.0740740741+P187*0.9259259259))</f>
        <v>0</v>
      </c>
      <c r="Q188">
        <f>IF(OR(O188="",P188=""),"",O188-P188)</f>
        <v>0</v>
      </c>
      <c r="R188">
        <f>IF(Q188="","",IF(R187="",Q188,Q188*0.2000000000+R187*0.8000000000))</f>
        <v>0</v>
      </c>
      <c r="S188">
        <f>IF(OR(Q188="",R188=""),"",Q188-R188)</f>
        <v>0</v>
      </c>
      <c r="T188">
        <f>IF(COUNT($E$2:$E188)&lt;14,"",MAX($C$175:$C$188))</f>
        <v>0</v>
      </c>
      <c r="U188">
        <f>IF(COUNT($E$2:$E188)&lt;14,"",MIN($D$175:$D$188))</f>
        <v>0</v>
      </c>
      <c r="V188">
        <f>IF(OR(T188="",U188="",T188=U188),"",100*($E188-U188)/(T188-U188))</f>
        <v>0</v>
      </c>
      <c r="W188">
        <f>IF(COUNT($V$186:$V$188)&lt;3,"",AVERAGE($V$186:$V$188))</f>
        <v>0</v>
      </c>
      <c r="X188">
        <f>IF(COUNT($N$175:$N$188)&lt;14,"",MIN($N$175:$N$188))</f>
        <v>0</v>
      </c>
      <c r="Y188">
        <f>IF(COUNT($N$175:$N$188)&lt;14,"",MAX($N$175:$N$188))</f>
        <v>0</v>
      </c>
      <c r="Z188">
        <f>IF(OR(N188="",X188="",Y188="",Y188=X188),"",100*(N188-X188)/(Y188-X188))</f>
        <v>0</v>
      </c>
      <c r="AA188">
        <f>IF(COUNT($Z$186:$Z$188)&lt;3,"",AVERAGE($Z$186:$Z$188))</f>
        <v>0</v>
      </c>
      <c r="AB188">
        <f>IF(COUNT($AA$186:$AA$188)&lt;3,"",AVERAGE($AA$186:$AA$188))</f>
        <v>0</v>
      </c>
      <c r="AC188">
        <f>IF($E188="","",MAX($C188-$D188,ABS($C188-$E187),ABS($D188-$E187)))</f>
        <v>0</v>
      </c>
      <c r="AD188">
        <f>IF(COUNT($E$2:$E188)&lt;15,"",AVERAGE($AC$175:$AC$188))</f>
        <v>0</v>
      </c>
      <c r="AE188">
        <f>IF(OR($E188="",$E187=""),"",IF(AND(($C188-$C187)&gt;($D187-$D188),($C188-$C187)&gt;0),$C188-$C187,0))</f>
        <v>0</v>
      </c>
      <c r="AF188">
        <f>IF(OR($E188="",$E187=""),"",IF(AND(($D187-$D188)&gt;($C188-$C187),($D187-$D188)&gt;0),$D187-$D188,0))</f>
        <v>0</v>
      </c>
      <c r="AG188">
        <f>IF(COUNT($E$2:$E188)&lt;15,"",IF(SUM($AC$175:$AC$188)=0,0,100*SUM($AE$175:$AE$188)/SUM($AC$175:$AC$188)))</f>
        <v>0</v>
      </c>
      <c r="AH188">
        <f>IF(COUNT($E$2:$E188)&lt;15,"",IF(SUM($AC$175:$AC$188)=0,0,100*SUM($AF$175:$AF$188)/SUM($AC$175:$AC$188)))</f>
        <v>0</v>
      </c>
      <c r="AI188">
        <f>IF(OR(AG188="",AH188=""),"",IF((AG188+AH188)=0,0,100*ABS(AG188-AH188)/(AG188+AH188)))</f>
        <v>0</v>
      </c>
      <c r="AJ188">
        <f>IF(COUNT($AI$175:$AI$188)&lt;14,"",AVERAGE($AI$175:$AI$188))</f>
        <v>0</v>
      </c>
      <c r="AK188">
        <f>IF(COUNT($E$2:$E188)&lt;20,"",AVERAGE($E$169:$E$188))</f>
        <v>0</v>
      </c>
      <c r="AL188">
        <f>IF(COUNT($E$2:$E188)&lt;20,"",STDEVP($E$169:$E$188))</f>
        <v>0</v>
      </c>
      <c r="AM188">
        <f>IF(AK188="","",AK188+2*AL188)</f>
        <v>0</v>
      </c>
      <c r="AN188">
        <f>IF(AK188="","",AK188-2*AL188)</f>
        <v>0</v>
      </c>
      <c r="AO188">
        <f>IF(OR(AM188="",AN188="",AM188=AN188),"",($E188-AN188)/(AM188-AN188))</f>
        <v>0</v>
      </c>
      <c r="AP188">
        <f>IF(OR(AM188="",AK188="",AK188=0),"",(AM188-AN188)/AK188)</f>
        <v>0</v>
      </c>
      <c r="AQ188">
        <f>IF(COUNT($E$2:$E188)&lt;20,"",MAX($C$169:$C$188))</f>
        <v>0</v>
      </c>
      <c r="AR188">
        <f>IF(COUNT($E$2:$E188)&lt;20,"",MIN($D$169:$D$188))</f>
        <v>0</v>
      </c>
      <c r="AS188">
        <f>IF(OR(AQ188="",AR188=""),"",(AQ188+AR188)/2)</f>
        <v>0</v>
      </c>
      <c r="AT188">
        <f>IF(COUNT($G$169:$G$188)&lt;20,"",STDEV($G$169:$G$188)*SQRT(252))</f>
        <v>0</v>
      </c>
      <c r="AU188">
        <f>IF(COUNT($E$2:$E188)&lt;9,"",(MAX($C$180:$C$188)+MIN($D$180:$D$188))/2)</f>
        <v>0</v>
      </c>
      <c r="AV188">
        <f>IF(COUNT($E$2:$E188)&lt;26,"",(MAX($C$163:$C$188)+MIN($D$163:$D$188))/2)</f>
        <v>0</v>
      </c>
      <c r="AW188">
        <f>IF(OR(AU188="",AV188=""),"",(AU188+AV188)/2)</f>
        <v>0</v>
      </c>
      <c r="AX188">
        <f>IF(COUNT($E$2:$E188)&lt;52,"",(MAX($C$137:$C$188)+MIN($D$137:$D$188))/2)</f>
        <v>0</v>
      </c>
      <c r="AY188">
        <f>IF(COUNT($E$2:$E188)&lt;20,"",MAX($C$89:$C$188))</f>
        <v>0</v>
      </c>
      <c r="AZ188">
        <f>IF(COUNT($E$2:$E188)&lt;20,"",MIN($D$89:$D$188))</f>
        <v>0</v>
      </c>
      <c r="BA188">
        <f>IF(COUNT($E$2:$E188)&lt;20,"",SLOPE($E$89:$E$188,$F$89:$F$188))</f>
        <v>0</v>
      </c>
      <c r="BB188">
        <f>IF(COUNT($E$2:$E188)&lt;20,"",INTERCEPT($E$89:$E$188,$F$89:$F$188))</f>
        <v>0</v>
      </c>
      <c r="BC188">
        <f>IF(OR(BA188="",BB188=""),"",BB188+BA188*F188)</f>
        <v>0</v>
      </c>
      <c r="BD188">
        <f>IF(COUNT($E$2:$E188)&lt;20,"",STEYX($E$89:$E$188,$F$89:$F$188))</f>
        <v>0</v>
      </c>
      <c r="BE188">
        <f>IF($E188="","",IF(AND(COUNT($E$189:$E$192)&gt;=4,$C188=MAX($C$184:$C$192)),$C188,""))</f>
        <v>0</v>
      </c>
      <c r="BF188">
        <f>IF($E188="","",IF(AND(COUNT($E$189:$E$192)&gt;=4,$D188=MIN($D$184:$D$192)),$D188,""))</f>
        <v>0</v>
      </c>
      <c r="BG188">
        <f>IF($A188="","",$A188-WEEKDAY($A188,2)+1)</f>
        <v>0</v>
      </c>
      <c r="BH188">
        <f>IF($A188="","",IF($A187="",1,IF(BG188&lt;&gt;BG187,1,0)))</f>
        <v>0</v>
      </c>
      <c r="BI188">
        <f>IF($A188="","",IF($A189="",1,IF(BG189&lt;&gt;BG188,1,0)))</f>
        <v>0</v>
      </c>
      <c r="BJ188">
        <f>IF($A188="","",IF(BH188=1,$B188,BJ187))</f>
        <v>0</v>
      </c>
      <c r="BK188">
        <f>IF($A188="","",IF(BH188=1,$C188,MAX($C188,BK187)))</f>
        <v>0</v>
      </c>
      <c r="BL188">
        <f>IF($A188="","",IF(BH188=1,$D188,MIN($D188,BL187)))</f>
        <v>0</v>
      </c>
      <c r="BM188">
        <f>IF($A188="","",IF(BI188=1,F188,""))</f>
        <v>0</v>
      </c>
      <c r="BN188">
        <f>IF($A188="","",DATE(YEAR($A188),MONTH($A188),1))</f>
        <v>0</v>
      </c>
      <c r="BO188">
        <f>IF($A188="","",IF($A187="",1,IF(BN188&lt;&gt;BN187,1,0)))</f>
        <v>0</v>
      </c>
      <c r="BP188">
        <f>IF($A188="","",IF($A189="",1,IF(BN189&lt;&gt;BN188,1,0)))</f>
        <v>0</v>
      </c>
      <c r="BQ188">
        <f>IF($A188="","",IF(BO188=1,$B188,BQ187))</f>
        <v>0</v>
      </c>
      <c r="BR188">
        <f>IF($A188="","",IF(BO188=1,$C188,MAX($C188,BR187)))</f>
        <v>0</v>
      </c>
      <c r="BS188">
        <f>IF($A188="","",IF(BO188=1,$D188,MIN($D188,BS187)))</f>
        <v>0</v>
      </c>
      <c r="BT188">
        <f>IF($A188="","",IF(BP188=1,F188,""))</f>
        <v>0</v>
      </c>
    </row>
    <row r="189" spans="1:72">
      <c r="A189" s="27">
        <f>IF(Data!$A189="","",Data!$A189)</f>
        <v>0</v>
      </c>
      <c r="B189">
        <f>IF(Data!$B189="","",Data!$B189)</f>
        <v>0</v>
      </c>
      <c r="C189">
        <f>IF(Data!$C189="","",Data!$C189)</f>
        <v>0</v>
      </c>
      <c r="D189">
        <f>IF(Data!$D189="","",Data!$D189)</f>
        <v>0</v>
      </c>
      <c r="E189">
        <f>IF(Data!$E189="","",Data!$E189)</f>
        <v>0</v>
      </c>
      <c r="F189">
        <f>IF($E189="","",N(F188)+1)</f>
        <v>0</v>
      </c>
      <c r="G189">
        <f>IF(OR($E189="",$E188=""),"",LN($E189/$E188))</f>
        <v>0</v>
      </c>
      <c r="H189">
        <f>IF($E189="","",IF($E188="",$E189,$E189*0.0952380952+H188*0.9047619048))</f>
        <v>0</v>
      </c>
      <c r="I189">
        <f>IF($E189="","",IF($E188="",$E189,$E189*0.0392156863+I188*0.9607843137))</f>
        <v>0</v>
      </c>
      <c r="J189">
        <f>IF($E189="","",IF($E188="",$E189,$E189*0.0198019802+J188*0.9801980198))</f>
        <v>0</v>
      </c>
      <c r="K189">
        <f>IF($E189="","",IF($E188="",$E189,$E189*0.0099502488+K188*0.9900497512))</f>
        <v>0</v>
      </c>
      <c r="L189">
        <f>IF(OR($E189="",$E188=""),"",MAX($E189-$E188,0))</f>
        <v>0</v>
      </c>
      <c r="M189">
        <f>IF(OR($E189="",$E188=""),"",MAX($E188-$E189,0))</f>
        <v>0</v>
      </c>
      <c r="N189">
        <f>IF(COUNT($E$2:$E189)&lt;15,"",IF(AVERAGE($M$176:$M$189)=0,100,100-100/(1+AVERAGE($L$176:$L$189)/AVERAGE($M$176:$M$189))))</f>
        <v>0</v>
      </c>
      <c r="O189">
        <f>IF($E189="","",IF($E188="",$E189,$E189*0.1538461538+O188*0.8461538462))</f>
        <v>0</v>
      </c>
      <c r="P189">
        <f>IF($E189="","",IF($E188="",$E189,$E189*0.0740740741+P188*0.9259259259))</f>
        <v>0</v>
      </c>
      <c r="Q189">
        <f>IF(OR(O189="",P189=""),"",O189-P189)</f>
        <v>0</v>
      </c>
      <c r="R189">
        <f>IF(Q189="","",IF(R188="",Q189,Q189*0.2000000000+R188*0.8000000000))</f>
        <v>0</v>
      </c>
      <c r="S189">
        <f>IF(OR(Q189="",R189=""),"",Q189-R189)</f>
        <v>0</v>
      </c>
      <c r="T189">
        <f>IF(COUNT($E$2:$E189)&lt;14,"",MAX($C$176:$C$189))</f>
        <v>0</v>
      </c>
      <c r="U189">
        <f>IF(COUNT($E$2:$E189)&lt;14,"",MIN($D$176:$D$189))</f>
        <v>0</v>
      </c>
      <c r="V189">
        <f>IF(OR(T189="",U189="",T189=U189),"",100*($E189-U189)/(T189-U189))</f>
        <v>0</v>
      </c>
      <c r="W189">
        <f>IF(COUNT($V$187:$V$189)&lt;3,"",AVERAGE($V$187:$V$189))</f>
        <v>0</v>
      </c>
      <c r="X189">
        <f>IF(COUNT($N$176:$N$189)&lt;14,"",MIN($N$176:$N$189))</f>
        <v>0</v>
      </c>
      <c r="Y189">
        <f>IF(COUNT($N$176:$N$189)&lt;14,"",MAX($N$176:$N$189))</f>
        <v>0</v>
      </c>
      <c r="Z189">
        <f>IF(OR(N189="",X189="",Y189="",Y189=X189),"",100*(N189-X189)/(Y189-X189))</f>
        <v>0</v>
      </c>
      <c r="AA189">
        <f>IF(COUNT($Z$187:$Z$189)&lt;3,"",AVERAGE($Z$187:$Z$189))</f>
        <v>0</v>
      </c>
      <c r="AB189">
        <f>IF(COUNT($AA$187:$AA$189)&lt;3,"",AVERAGE($AA$187:$AA$189))</f>
        <v>0</v>
      </c>
      <c r="AC189">
        <f>IF($E189="","",MAX($C189-$D189,ABS($C189-$E188),ABS($D189-$E188)))</f>
        <v>0</v>
      </c>
      <c r="AD189">
        <f>IF(COUNT($E$2:$E189)&lt;15,"",AVERAGE($AC$176:$AC$189))</f>
        <v>0</v>
      </c>
      <c r="AE189">
        <f>IF(OR($E189="",$E188=""),"",IF(AND(($C189-$C188)&gt;($D188-$D189),($C189-$C188)&gt;0),$C189-$C188,0))</f>
        <v>0</v>
      </c>
      <c r="AF189">
        <f>IF(OR($E189="",$E188=""),"",IF(AND(($D188-$D189)&gt;($C189-$C188),($D188-$D189)&gt;0),$D188-$D189,0))</f>
        <v>0</v>
      </c>
      <c r="AG189">
        <f>IF(COUNT($E$2:$E189)&lt;15,"",IF(SUM($AC$176:$AC$189)=0,0,100*SUM($AE$176:$AE$189)/SUM($AC$176:$AC$189)))</f>
        <v>0</v>
      </c>
      <c r="AH189">
        <f>IF(COUNT($E$2:$E189)&lt;15,"",IF(SUM($AC$176:$AC$189)=0,0,100*SUM($AF$176:$AF$189)/SUM($AC$176:$AC$189)))</f>
        <v>0</v>
      </c>
      <c r="AI189">
        <f>IF(OR(AG189="",AH189=""),"",IF((AG189+AH189)=0,0,100*ABS(AG189-AH189)/(AG189+AH189)))</f>
        <v>0</v>
      </c>
      <c r="AJ189">
        <f>IF(COUNT($AI$176:$AI$189)&lt;14,"",AVERAGE($AI$176:$AI$189))</f>
        <v>0</v>
      </c>
      <c r="AK189">
        <f>IF(COUNT($E$2:$E189)&lt;20,"",AVERAGE($E$170:$E$189))</f>
        <v>0</v>
      </c>
      <c r="AL189">
        <f>IF(COUNT($E$2:$E189)&lt;20,"",STDEVP($E$170:$E$189))</f>
        <v>0</v>
      </c>
      <c r="AM189">
        <f>IF(AK189="","",AK189+2*AL189)</f>
        <v>0</v>
      </c>
      <c r="AN189">
        <f>IF(AK189="","",AK189-2*AL189)</f>
        <v>0</v>
      </c>
      <c r="AO189">
        <f>IF(OR(AM189="",AN189="",AM189=AN189),"",($E189-AN189)/(AM189-AN189))</f>
        <v>0</v>
      </c>
      <c r="AP189">
        <f>IF(OR(AM189="",AK189="",AK189=0),"",(AM189-AN189)/AK189)</f>
        <v>0</v>
      </c>
      <c r="AQ189">
        <f>IF(COUNT($E$2:$E189)&lt;20,"",MAX($C$170:$C$189))</f>
        <v>0</v>
      </c>
      <c r="AR189">
        <f>IF(COUNT($E$2:$E189)&lt;20,"",MIN($D$170:$D$189))</f>
        <v>0</v>
      </c>
      <c r="AS189">
        <f>IF(OR(AQ189="",AR189=""),"",(AQ189+AR189)/2)</f>
        <v>0</v>
      </c>
      <c r="AT189">
        <f>IF(COUNT($G$170:$G$189)&lt;20,"",STDEV($G$170:$G$189)*SQRT(252))</f>
        <v>0</v>
      </c>
      <c r="AU189">
        <f>IF(COUNT($E$2:$E189)&lt;9,"",(MAX($C$181:$C$189)+MIN($D$181:$D$189))/2)</f>
        <v>0</v>
      </c>
      <c r="AV189">
        <f>IF(COUNT($E$2:$E189)&lt;26,"",(MAX($C$164:$C$189)+MIN($D$164:$D$189))/2)</f>
        <v>0</v>
      </c>
      <c r="AW189">
        <f>IF(OR(AU189="",AV189=""),"",(AU189+AV189)/2)</f>
        <v>0</v>
      </c>
      <c r="AX189">
        <f>IF(COUNT($E$2:$E189)&lt;52,"",(MAX($C$138:$C$189)+MIN($D$138:$D$189))/2)</f>
        <v>0</v>
      </c>
      <c r="AY189">
        <f>IF(COUNT($E$2:$E189)&lt;20,"",MAX($C$90:$C$189))</f>
        <v>0</v>
      </c>
      <c r="AZ189">
        <f>IF(COUNT($E$2:$E189)&lt;20,"",MIN($D$90:$D$189))</f>
        <v>0</v>
      </c>
      <c r="BA189">
        <f>IF(COUNT($E$2:$E189)&lt;20,"",SLOPE($E$90:$E$189,$F$90:$F$189))</f>
        <v>0</v>
      </c>
      <c r="BB189">
        <f>IF(COUNT($E$2:$E189)&lt;20,"",INTERCEPT($E$90:$E$189,$F$90:$F$189))</f>
        <v>0</v>
      </c>
      <c r="BC189">
        <f>IF(OR(BA189="",BB189=""),"",BB189+BA189*F189)</f>
        <v>0</v>
      </c>
      <c r="BD189">
        <f>IF(COUNT($E$2:$E189)&lt;20,"",STEYX($E$90:$E$189,$F$90:$F$189))</f>
        <v>0</v>
      </c>
      <c r="BE189">
        <f>IF($E189="","",IF(AND(COUNT($E$190:$E$193)&gt;=4,$C189=MAX($C$185:$C$193)),$C189,""))</f>
        <v>0</v>
      </c>
      <c r="BF189">
        <f>IF($E189="","",IF(AND(COUNT($E$190:$E$193)&gt;=4,$D189=MIN($D$185:$D$193)),$D189,""))</f>
        <v>0</v>
      </c>
      <c r="BG189">
        <f>IF($A189="","",$A189-WEEKDAY($A189,2)+1)</f>
        <v>0</v>
      </c>
      <c r="BH189">
        <f>IF($A189="","",IF($A188="",1,IF(BG189&lt;&gt;BG188,1,0)))</f>
        <v>0</v>
      </c>
      <c r="BI189">
        <f>IF($A189="","",IF($A190="",1,IF(BG190&lt;&gt;BG189,1,0)))</f>
        <v>0</v>
      </c>
      <c r="BJ189">
        <f>IF($A189="","",IF(BH189=1,$B189,BJ188))</f>
        <v>0</v>
      </c>
      <c r="BK189">
        <f>IF($A189="","",IF(BH189=1,$C189,MAX($C189,BK188)))</f>
        <v>0</v>
      </c>
      <c r="BL189">
        <f>IF($A189="","",IF(BH189=1,$D189,MIN($D189,BL188)))</f>
        <v>0</v>
      </c>
      <c r="BM189">
        <f>IF($A189="","",IF(BI189=1,F189,""))</f>
        <v>0</v>
      </c>
      <c r="BN189">
        <f>IF($A189="","",DATE(YEAR($A189),MONTH($A189),1))</f>
        <v>0</v>
      </c>
      <c r="BO189">
        <f>IF($A189="","",IF($A188="",1,IF(BN189&lt;&gt;BN188,1,0)))</f>
        <v>0</v>
      </c>
      <c r="BP189">
        <f>IF($A189="","",IF($A190="",1,IF(BN190&lt;&gt;BN189,1,0)))</f>
        <v>0</v>
      </c>
      <c r="BQ189">
        <f>IF($A189="","",IF(BO189=1,$B189,BQ188))</f>
        <v>0</v>
      </c>
      <c r="BR189">
        <f>IF($A189="","",IF(BO189=1,$C189,MAX($C189,BR188)))</f>
        <v>0</v>
      </c>
      <c r="BS189">
        <f>IF($A189="","",IF(BO189=1,$D189,MIN($D189,BS188)))</f>
        <v>0</v>
      </c>
      <c r="BT189">
        <f>IF($A189="","",IF(BP189=1,F189,""))</f>
        <v>0</v>
      </c>
    </row>
    <row r="190" spans="1:72">
      <c r="A190" s="27">
        <f>IF(Data!$A190="","",Data!$A190)</f>
        <v>0</v>
      </c>
      <c r="B190">
        <f>IF(Data!$B190="","",Data!$B190)</f>
        <v>0</v>
      </c>
      <c r="C190">
        <f>IF(Data!$C190="","",Data!$C190)</f>
        <v>0</v>
      </c>
      <c r="D190">
        <f>IF(Data!$D190="","",Data!$D190)</f>
        <v>0</v>
      </c>
      <c r="E190">
        <f>IF(Data!$E190="","",Data!$E190)</f>
        <v>0</v>
      </c>
      <c r="F190">
        <f>IF($E190="","",N(F189)+1)</f>
        <v>0</v>
      </c>
      <c r="G190">
        <f>IF(OR($E190="",$E189=""),"",LN($E190/$E189))</f>
        <v>0</v>
      </c>
      <c r="H190">
        <f>IF($E190="","",IF($E189="",$E190,$E190*0.0952380952+H189*0.9047619048))</f>
        <v>0</v>
      </c>
      <c r="I190">
        <f>IF($E190="","",IF($E189="",$E190,$E190*0.0392156863+I189*0.9607843137))</f>
        <v>0</v>
      </c>
      <c r="J190">
        <f>IF($E190="","",IF($E189="",$E190,$E190*0.0198019802+J189*0.9801980198))</f>
        <v>0</v>
      </c>
      <c r="K190">
        <f>IF($E190="","",IF($E189="",$E190,$E190*0.0099502488+K189*0.9900497512))</f>
        <v>0</v>
      </c>
      <c r="L190">
        <f>IF(OR($E190="",$E189=""),"",MAX($E190-$E189,0))</f>
        <v>0</v>
      </c>
      <c r="M190">
        <f>IF(OR($E190="",$E189=""),"",MAX($E189-$E190,0))</f>
        <v>0</v>
      </c>
      <c r="N190">
        <f>IF(COUNT($E$2:$E190)&lt;15,"",IF(AVERAGE($M$177:$M$190)=0,100,100-100/(1+AVERAGE($L$177:$L$190)/AVERAGE($M$177:$M$190))))</f>
        <v>0</v>
      </c>
      <c r="O190">
        <f>IF($E190="","",IF($E189="",$E190,$E190*0.1538461538+O189*0.8461538462))</f>
        <v>0</v>
      </c>
      <c r="P190">
        <f>IF($E190="","",IF($E189="",$E190,$E190*0.0740740741+P189*0.9259259259))</f>
        <v>0</v>
      </c>
      <c r="Q190">
        <f>IF(OR(O190="",P190=""),"",O190-P190)</f>
        <v>0</v>
      </c>
      <c r="R190">
        <f>IF(Q190="","",IF(R189="",Q190,Q190*0.2000000000+R189*0.8000000000))</f>
        <v>0</v>
      </c>
      <c r="S190">
        <f>IF(OR(Q190="",R190=""),"",Q190-R190)</f>
        <v>0</v>
      </c>
      <c r="T190">
        <f>IF(COUNT($E$2:$E190)&lt;14,"",MAX($C$177:$C$190))</f>
        <v>0</v>
      </c>
      <c r="U190">
        <f>IF(COUNT($E$2:$E190)&lt;14,"",MIN($D$177:$D$190))</f>
        <v>0</v>
      </c>
      <c r="V190">
        <f>IF(OR(T190="",U190="",T190=U190),"",100*($E190-U190)/(T190-U190))</f>
        <v>0</v>
      </c>
      <c r="W190">
        <f>IF(COUNT($V$188:$V$190)&lt;3,"",AVERAGE($V$188:$V$190))</f>
        <v>0</v>
      </c>
      <c r="X190">
        <f>IF(COUNT($N$177:$N$190)&lt;14,"",MIN($N$177:$N$190))</f>
        <v>0</v>
      </c>
      <c r="Y190">
        <f>IF(COUNT($N$177:$N$190)&lt;14,"",MAX($N$177:$N$190))</f>
        <v>0</v>
      </c>
      <c r="Z190">
        <f>IF(OR(N190="",X190="",Y190="",Y190=X190),"",100*(N190-X190)/(Y190-X190))</f>
        <v>0</v>
      </c>
      <c r="AA190">
        <f>IF(COUNT($Z$188:$Z$190)&lt;3,"",AVERAGE($Z$188:$Z$190))</f>
        <v>0</v>
      </c>
      <c r="AB190">
        <f>IF(COUNT($AA$188:$AA$190)&lt;3,"",AVERAGE($AA$188:$AA$190))</f>
        <v>0</v>
      </c>
      <c r="AC190">
        <f>IF($E190="","",MAX($C190-$D190,ABS($C190-$E189),ABS($D190-$E189)))</f>
        <v>0</v>
      </c>
      <c r="AD190">
        <f>IF(COUNT($E$2:$E190)&lt;15,"",AVERAGE($AC$177:$AC$190))</f>
        <v>0</v>
      </c>
      <c r="AE190">
        <f>IF(OR($E190="",$E189=""),"",IF(AND(($C190-$C189)&gt;($D189-$D190),($C190-$C189)&gt;0),$C190-$C189,0))</f>
        <v>0</v>
      </c>
      <c r="AF190">
        <f>IF(OR($E190="",$E189=""),"",IF(AND(($D189-$D190)&gt;($C190-$C189),($D189-$D190)&gt;0),$D189-$D190,0))</f>
        <v>0</v>
      </c>
      <c r="AG190">
        <f>IF(COUNT($E$2:$E190)&lt;15,"",IF(SUM($AC$177:$AC$190)=0,0,100*SUM($AE$177:$AE$190)/SUM($AC$177:$AC$190)))</f>
        <v>0</v>
      </c>
      <c r="AH190">
        <f>IF(COUNT($E$2:$E190)&lt;15,"",IF(SUM($AC$177:$AC$190)=0,0,100*SUM($AF$177:$AF$190)/SUM($AC$177:$AC$190)))</f>
        <v>0</v>
      </c>
      <c r="AI190">
        <f>IF(OR(AG190="",AH190=""),"",IF((AG190+AH190)=0,0,100*ABS(AG190-AH190)/(AG190+AH190)))</f>
        <v>0</v>
      </c>
      <c r="AJ190">
        <f>IF(COUNT($AI$177:$AI$190)&lt;14,"",AVERAGE($AI$177:$AI$190))</f>
        <v>0</v>
      </c>
      <c r="AK190">
        <f>IF(COUNT($E$2:$E190)&lt;20,"",AVERAGE($E$171:$E$190))</f>
        <v>0</v>
      </c>
      <c r="AL190">
        <f>IF(COUNT($E$2:$E190)&lt;20,"",STDEVP($E$171:$E$190))</f>
        <v>0</v>
      </c>
      <c r="AM190">
        <f>IF(AK190="","",AK190+2*AL190)</f>
        <v>0</v>
      </c>
      <c r="AN190">
        <f>IF(AK190="","",AK190-2*AL190)</f>
        <v>0</v>
      </c>
      <c r="AO190">
        <f>IF(OR(AM190="",AN190="",AM190=AN190),"",($E190-AN190)/(AM190-AN190))</f>
        <v>0</v>
      </c>
      <c r="AP190">
        <f>IF(OR(AM190="",AK190="",AK190=0),"",(AM190-AN190)/AK190)</f>
        <v>0</v>
      </c>
      <c r="AQ190">
        <f>IF(COUNT($E$2:$E190)&lt;20,"",MAX($C$171:$C$190))</f>
        <v>0</v>
      </c>
      <c r="AR190">
        <f>IF(COUNT($E$2:$E190)&lt;20,"",MIN($D$171:$D$190))</f>
        <v>0</v>
      </c>
      <c r="AS190">
        <f>IF(OR(AQ190="",AR190=""),"",(AQ190+AR190)/2)</f>
        <v>0</v>
      </c>
      <c r="AT190">
        <f>IF(COUNT($G$171:$G$190)&lt;20,"",STDEV($G$171:$G$190)*SQRT(252))</f>
        <v>0</v>
      </c>
      <c r="AU190">
        <f>IF(COUNT($E$2:$E190)&lt;9,"",(MAX($C$182:$C$190)+MIN($D$182:$D$190))/2)</f>
        <v>0</v>
      </c>
      <c r="AV190">
        <f>IF(COUNT($E$2:$E190)&lt;26,"",(MAX($C$165:$C$190)+MIN($D$165:$D$190))/2)</f>
        <v>0</v>
      </c>
      <c r="AW190">
        <f>IF(OR(AU190="",AV190=""),"",(AU190+AV190)/2)</f>
        <v>0</v>
      </c>
      <c r="AX190">
        <f>IF(COUNT($E$2:$E190)&lt;52,"",(MAX($C$139:$C$190)+MIN($D$139:$D$190))/2)</f>
        <v>0</v>
      </c>
      <c r="AY190">
        <f>IF(COUNT($E$2:$E190)&lt;20,"",MAX($C$91:$C$190))</f>
        <v>0</v>
      </c>
      <c r="AZ190">
        <f>IF(COUNT($E$2:$E190)&lt;20,"",MIN($D$91:$D$190))</f>
        <v>0</v>
      </c>
      <c r="BA190">
        <f>IF(COUNT($E$2:$E190)&lt;20,"",SLOPE($E$91:$E$190,$F$91:$F$190))</f>
        <v>0</v>
      </c>
      <c r="BB190">
        <f>IF(COUNT($E$2:$E190)&lt;20,"",INTERCEPT($E$91:$E$190,$F$91:$F$190))</f>
        <v>0</v>
      </c>
      <c r="BC190">
        <f>IF(OR(BA190="",BB190=""),"",BB190+BA190*F190)</f>
        <v>0</v>
      </c>
      <c r="BD190">
        <f>IF(COUNT($E$2:$E190)&lt;20,"",STEYX($E$91:$E$190,$F$91:$F$190))</f>
        <v>0</v>
      </c>
      <c r="BE190">
        <f>IF($E190="","",IF(AND(COUNT($E$191:$E$194)&gt;=4,$C190=MAX($C$186:$C$194)),$C190,""))</f>
        <v>0</v>
      </c>
      <c r="BF190">
        <f>IF($E190="","",IF(AND(COUNT($E$191:$E$194)&gt;=4,$D190=MIN($D$186:$D$194)),$D190,""))</f>
        <v>0</v>
      </c>
      <c r="BG190">
        <f>IF($A190="","",$A190-WEEKDAY($A190,2)+1)</f>
        <v>0</v>
      </c>
      <c r="BH190">
        <f>IF($A190="","",IF($A189="",1,IF(BG190&lt;&gt;BG189,1,0)))</f>
        <v>0</v>
      </c>
      <c r="BI190">
        <f>IF($A190="","",IF($A191="",1,IF(BG191&lt;&gt;BG190,1,0)))</f>
        <v>0</v>
      </c>
      <c r="BJ190">
        <f>IF($A190="","",IF(BH190=1,$B190,BJ189))</f>
        <v>0</v>
      </c>
      <c r="BK190">
        <f>IF($A190="","",IF(BH190=1,$C190,MAX($C190,BK189)))</f>
        <v>0</v>
      </c>
      <c r="BL190">
        <f>IF($A190="","",IF(BH190=1,$D190,MIN($D190,BL189)))</f>
        <v>0</v>
      </c>
      <c r="BM190">
        <f>IF($A190="","",IF(BI190=1,F190,""))</f>
        <v>0</v>
      </c>
      <c r="BN190">
        <f>IF($A190="","",DATE(YEAR($A190),MONTH($A190),1))</f>
        <v>0</v>
      </c>
      <c r="BO190">
        <f>IF($A190="","",IF($A189="",1,IF(BN190&lt;&gt;BN189,1,0)))</f>
        <v>0</v>
      </c>
      <c r="BP190">
        <f>IF($A190="","",IF($A191="",1,IF(BN191&lt;&gt;BN190,1,0)))</f>
        <v>0</v>
      </c>
      <c r="BQ190">
        <f>IF($A190="","",IF(BO190=1,$B190,BQ189))</f>
        <v>0</v>
      </c>
      <c r="BR190">
        <f>IF($A190="","",IF(BO190=1,$C190,MAX($C190,BR189)))</f>
        <v>0</v>
      </c>
      <c r="BS190">
        <f>IF($A190="","",IF(BO190=1,$D190,MIN($D190,BS189)))</f>
        <v>0</v>
      </c>
      <c r="BT190">
        <f>IF($A190="","",IF(BP190=1,F190,""))</f>
        <v>0</v>
      </c>
    </row>
    <row r="191" spans="1:72">
      <c r="A191" s="27">
        <f>IF(Data!$A191="","",Data!$A191)</f>
        <v>0</v>
      </c>
      <c r="B191">
        <f>IF(Data!$B191="","",Data!$B191)</f>
        <v>0</v>
      </c>
      <c r="C191">
        <f>IF(Data!$C191="","",Data!$C191)</f>
        <v>0</v>
      </c>
      <c r="D191">
        <f>IF(Data!$D191="","",Data!$D191)</f>
        <v>0</v>
      </c>
      <c r="E191">
        <f>IF(Data!$E191="","",Data!$E191)</f>
        <v>0</v>
      </c>
      <c r="F191">
        <f>IF($E191="","",N(F190)+1)</f>
        <v>0</v>
      </c>
      <c r="G191">
        <f>IF(OR($E191="",$E190=""),"",LN($E191/$E190))</f>
        <v>0</v>
      </c>
      <c r="H191">
        <f>IF($E191="","",IF($E190="",$E191,$E191*0.0952380952+H190*0.9047619048))</f>
        <v>0</v>
      </c>
      <c r="I191">
        <f>IF($E191="","",IF($E190="",$E191,$E191*0.0392156863+I190*0.9607843137))</f>
        <v>0</v>
      </c>
      <c r="J191">
        <f>IF($E191="","",IF($E190="",$E191,$E191*0.0198019802+J190*0.9801980198))</f>
        <v>0</v>
      </c>
      <c r="K191">
        <f>IF($E191="","",IF($E190="",$E191,$E191*0.0099502488+K190*0.9900497512))</f>
        <v>0</v>
      </c>
      <c r="L191">
        <f>IF(OR($E191="",$E190=""),"",MAX($E191-$E190,0))</f>
        <v>0</v>
      </c>
      <c r="M191">
        <f>IF(OR($E191="",$E190=""),"",MAX($E190-$E191,0))</f>
        <v>0</v>
      </c>
      <c r="N191">
        <f>IF(COUNT($E$2:$E191)&lt;15,"",IF(AVERAGE($M$178:$M$191)=0,100,100-100/(1+AVERAGE($L$178:$L$191)/AVERAGE($M$178:$M$191))))</f>
        <v>0</v>
      </c>
      <c r="O191">
        <f>IF($E191="","",IF($E190="",$E191,$E191*0.1538461538+O190*0.8461538462))</f>
        <v>0</v>
      </c>
      <c r="P191">
        <f>IF($E191="","",IF($E190="",$E191,$E191*0.0740740741+P190*0.9259259259))</f>
        <v>0</v>
      </c>
      <c r="Q191">
        <f>IF(OR(O191="",P191=""),"",O191-P191)</f>
        <v>0</v>
      </c>
      <c r="R191">
        <f>IF(Q191="","",IF(R190="",Q191,Q191*0.2000000000+R190*0.8000000000))</f>
        <v>0</v>
      </c>
      <c r="S191">
        <f>IF(OR(Q191="",R191=""),"",Q191-R191)</f>
        <v>0</v>
      </c>
      <c r="T191">
        <f>IF(COUNT($E$2:$E191)&lt;14,"",MAX($C$178:$C$191))</f>
        <v>0</v>
      </c>
      <c r="U191">
        <f>IF(COUNT($E$2:$E191)&lt;14,"",MIN($D$178:$D$191))</f>
        <v>0</v>
      </c>
      <c r="V191">
        <f>IF(OR(T191="",U191="",T191=U191),"",100*($E191-U191)/(T191-U191))</f>
        <v>0</v>
      </c>
      <c r="W191">
        <f>IF(COUNT($V$189:$V$191)&lt;3,"",AVERAGE($V$189:$V$191))</f>
        <v>0</v>
      </c>
      <c r="X191">
        <f>IF(COUNT($N$178:$N$191)&lt;14,"",MIN($N$178:$N$191))</f>
        <v>0</v>
      </c>
      <c r="Y191">
        <f>IF(COUNT($N$178:$N$191)&lt;14,"",MAX($N$178:$N$191))</f>
        <v>0</v>
      </c>
      <c r="Z191">
        <f>IF(OR(N191="",X191="",Y191="",Y191=X191),"",100*(N191-X191)/(Y191-X191))</f>
        <v>0</v>
      </c>
      <c r="AA191">
        <f>IF(COUNT($Z$189:$Z$191)&lt;3,"",AVERAGE($Z$189:$Z$191))</f>
        <v>0</v>
      </c>
      <c r="AB191">
        <f>IF(COUNT($AA$189:$AA$191)&lt;3,"",AVERAGE($AA$189:$AA$191))</f>
        <v>0</v>
      </c>
      <c r="AC191">
        <f>IF($E191="","",MAX($C191-$D191,ABS($C191-$E190),ABS($D191-$E190)))</f>
        <v>0</v>
      </c>
      <c r="AD191">
        <f>IF(COUNT($E$2:$E191)&lt;15,"",AVERAGE($AC$178:$AC$191))</f>
        <v>0</v>
      </c>
      <c r="AE191">
        <f>IF(OR($E191="",$E190=""),"",IF(AND(($C191-$C190)&gt;($D190-$D191),($C191-$C190)&gt;0),$C191-$C190,0))</f>
        <v>0</v>
      </c>
      <c r="AF191">
        <f>IF(OR($E191="",$E190=""),"",IF(AND(($D190-$D191)&gt;($C191-$C190),($D190-$D191)&gt;0),$D190-$D191,0))</f>
        <v>0</v>
      </c>
      <c r="AG191">
        <f>IF(COUNT($E$2:$E191)&lt;15,"",IF(SUM($AC$178:$AC$191)=0,0,100*SUM($AE$178:$AE$191)/SUM($AC$178:$AC$191)))</f>
        <v>0</v>
      </c>
      <c r="AH191">
        <f>IF(COUNT($E$2:$E191)&lt;15,"",IF(SUM($AC$178:$AC$191)=0,0,100*SUM($AF$178:$AF$191)/SUM($AC$178:$AC$191)))</f>
        <v>0</v>
      </c>
      <c r="AI191">
        <f>IF(OR(AG191="",AH191=""),"",IF((AG191+AH191)=0,0,100*ABS(AG191-AH191)/(AG191+AH191)))</f>
        <v>0</v>
      </c>
      <c r="AJ191">
        <f>IF(COUNT($AI$178:$AI$191)&lt;14,"",AVERAGE($AI$178:$AI$191))</f>
        <v>0</v>
      </c>
      <c r="AK191">
        <f>IF(COUNT($E$2:$E191)&lt;20,"",AVERAGE($E$172:$E$191))</f>
        <v>0</v>
      </c>
      <c r="AL191">
        <f>IF(COUNT($E$2:$E191)&lt;20,"",STDEVP($E$172:$E$191))</f>
        <v>0</v>
      </c>
      <c r="AM191">
        <f>IF(AK191="","",AK191+2*AL191)</f>
        <v>0</v>
      </c>
      <c r="AN191">
        <f>IF(AK191="","",AK191-2*AL191)</f>
        <v>0</v>
      </c>
      <c r="AO191">
        <f>IF(OR(AM191="",AN191="",AM191=AN191),"",($E191-AN191)/(AM191-AN191))</f>
        <v>0</v>
      </c>
      <c r="AP191">
        <f>IF(OR(AM191="",AK191="",AK191=0),"",(AM191-AN191)/AK191)</f>
        <v>0</v>
      </c>
      <c r="AQ191">
        <f>IF(COUNT($E$2:$E191)&lt;20,"",MAX($C$172:$C$191))</f>
        <v>0</v>
      </c>
      <c r="AR191">
        <f>IF(COUNT($E$2:$E191)&lt;20,"",MIN($D$172:$D$191))</f>
        <v>0</v>
      </c>
      <c r="AS191">
        <f>IF(OR(AQ191="",AR191=""),"",(AQ191+AR191)/2)</f>
        <v>0</v>
      </c>
      <c r="AT191">
        <f>IF(COUNT($G$172:$G$191)&lt;20,"",STDEV($G$172:$G$191)*SQRT(252))</f>
        <v>0</v>
      </c>
      <c r="AU191">
        <f>IF(COUNT($E$2:$E191)&lt;9,"",(MAX($C$183:$C$191)+MIN($D$183:$D$191))/2)</f>
        <v>0</v>
      </c>
      <c r="AV191">
        <f>IF(COUNT($E$2:$E191)&lt;26,"",(MAX($C$166:$C$191)+MIN($D$166:$D$191))/2)</f>
        <v>0</v>
      </c>
      <c r="AW191">
        <f>IF(OR(AU191="",AV191=""),"",(AU191+AV191)/2)</f>
        <v>0</v>
      </c>
      <c r="AX191">
        <f>IF(COUNT($E$2:$E191)&lt;52,"",(MAX($C$140:$C$191)+MIN($D$140:$D$191))/2)</f>
        <v>0</v>
      </c>
      <c r="AY191">
        <f>IF(COUNT($E$2:$E191)&lt;20,"",MAX($C$92:$C$191))</f>
        <v>0</v>
      </c>
      <c r="AZ191">
        <f>IF(COUNT($E$2:$E191)&lt;20,"",MIN($D$92:$D$191))</f>
        <v>0</v>
      </c>
      <c r="BA191">
        <f>IF(COUNT($E$2:$E191)&lt;20,"",SLOPE($E$92:$E$191,$F$92:$F$191))</f>
        <v>0</v>
      </c>
      <c r="BB191">
        <f>IF(COUNT($E$2:$E191)&lt;20,"",INTERCEPT($E$92:$E$191,$F$92:$F$191))</f>
        <v>0</v>
      </c>
      <c r="BC191">
        <f>IF(OR(BA191="",BB191=""),"",BB191+BA191*F191)</f>
        <v>0</v>
      </c>
      <c r="BD191">
        <f>IF(COUNT($E$2:$E191)&lt;20,"",STEYX($E$92:$E$191,$F$92:$F$191))</f>
        <v>0</v>
      </c>
      <c r="BE191">
        <f>IF($E191="","",IF(AND(COUNT($E$192:$E$195)&gt;=4,$C191=MAX($C$187:$C$195)),$C191,""))</f>
        <v>0</v>
      </c>
      <c r="BF191">
        <f>IF($E191="","",IF(AND(COUNT($E$192:$E$195)&gt;=4,$D191=MIN($D$187:$D$195)),$D191,""))</f>
        <v>0</v>
      </c>
      <c r="BG191">
        <f>IF($A191="","",$A191-WEEKDAY($A191,2)+1)</f>
        <v>0</v>
      </c>
      <c r="BH191">
        <f>IF($A191="","",IF($A190="",1,IF(BG191&lt;&gt;BG190,1,0)))</f>
        <v>0</v>
      </c>
      <c r="BI191">
        <f>IF($A191="","",IF($A192="",1,IF(BG192&lt;&gt;BG191,1,0)))</f>
        <v>0</v>
      </c>
      <c r="BJ191">
        <f>IF($A191="","",IF(BH191=1,$B191,BJ190))</f>
        <v>0</v>
      </c>
      <c r="BK191">
        <f>IF($A191="","",IF(BH191=1,$C191,MAX($C191,BK190)))</f>
        <v>0</v>
      </c>
      <c r="BL191">
        <f>IF($A191="","",IF(BH191=1,$D191,MIN($D191,BL190)))</f>
        <v>0</v>
      </c>
      <c r="BM191">
        <f>IF($A191="","",IF(BI191=1,F191,""))</f>
        <v>0</v>
      </c>
      <c r="BN191">
        <f>IF($A191="","",DATE(YEAR($A191),MONTH($A191),1))</f>
        <v>0</v>
      </c>
      <c r="BO191">
        <f>IF($A191="","",IF($A190="",1,IF(BN191&lt;&gt;BN190,1,0)))</f>
        <v>0</v>
      </c>
      <c r="BP191">
        <f>IF($A191="","",IF($A192="",1,IF(BN192&lt;&gt;BN191,1,0)))</f>
        <v>0</v>
      </c>
      <c r="BQ191">
        <f>IF($A191="","",IF(BO191=1,$B191,BQ190))</f>
        <v>0</v>
      </c>
      <c r="BR191">
        <f>IF($A191="","",IF(BO191=1,$C191,MAX($C191,BR190)))</f>
        <v>0</v>
      </c>
      <c r="BS191">
        <f>IF($A191="","",IF(BO191=1,$D191,MIN($D191,BS190)))</f>
        <v>0</v>
      </c>
      <c r="BT191">
        <f>IF($A191="","",IF(BP191=1,F191,""))</f>
        <v>0</v>
      </c>
    </row>
    <row r="192" spans="1:72">
      <c r="A192" s="27">
        <f>IF(Data!$A192="","",Data!$A192)</f>
        <v>0</v>
      </c>
      <c r="B192">
        <f>IF(Data!$B192="","",Data!$B192)</f>
        <v>0</v>
      </c>
      <c r="C192">
        <f>IF(Data!$C192="","",Data!$C192)</f>
        <v>0</v>
      </c>
      <c r="D192">
        <f>IF(Data!$D192="","",Data!$D192)</f>
        <v>0</v>
      </c>
      <c r="E192">
        <f>IF(Data!$E192="","",Data!$E192)</f>
        <v>0</v>
      </c>
      <c r="F192">
        <f>IF($E192="","",N(F191)+1)</f>
        <v>0</v>
      </c>
      <c r="G192">
        <f>IF(OR($E192="",$E191=""),"",LN($E192/$E191))</f>
        <v>0</v>
      </c>
      <c r="H192">
        <f>IF($E192="","",IF($E191="",$E192,$E192*0.0952380952+H191*0.9047619048))</f>
        <v>0</v>
      </c>
      <c r="I192">
        <f>IF($E192="","",IF($E191="",$E192,$E192*0.0392156863+I191*0.9607843137))</f>
        <v>0</v>
      </c>
      <c r="J192">
        <f>IF($E192="","",IF($E191="",$E192,$E192*0.0198019802+J191*0.9801980198))</f>
        <v>0</v>
      </c>
      <c r="K192">
        <f>IF($E192="","",IF($E191="",$E192,$E192*0.0099502488+K191*0.9900497512))</f>
        <v>0</v>
      </c>
      <c r="L192">
        <f>IF(OR($E192="",$E191=""),"",MAX($E192-$E191,0))</f>
        <v>0</v>
      </c>
      <c r="M192">
        <f>IF(OR($E192="",$E191=""),"",MAX($E191-$E192,0))</f>
        <v>0</v>
      </c>
      <c r="N192">
        <f>IF(COUNT($E$2:$E192)&lt;15,"",IF(AVERAGE($M$179:$M$192)=0,100,100-100/(1+AVERAGE($L$179:$L$192)/AVERAGE($M$179:$M$192))))</f>
        <v>0</v>
      </c>
      <c r="O192">
        <f>IF($E192="","",IF($E191="",$E192,$E192*0.1538461538+O191*0.8461538462))</f>
        <v>0</v>
      </c>
      <c r="P192">
        <f>IF($E192="","",IF($E191="",$E192,$E192*0.0740740741+P191*0.9259259259))</f>
        <v>0</v>
      </c>
      <c r="Q192">
        <f>IF(OR(O192="",P192=""),"",O192-P192)</f>
        <v>0</v>
      </c>
      <c r="R192">
        <f>IF(Q192="","",IF(R191="",Q192,Q192*0.2000000000+R191*0.8000000000))</f>
        <v>0</v>
      </c>
      <c r="S192">
        <f>IF(OR(Q192="",R192=""),"",Q192-R192)</f>
        <v>0</v>
      </c>
      <c r="T192">
        <f>IF(COUNT($E$2:$E192)&lt;14,"",MAX($C$179:$C$192))</f>
        <v>0</v>
      </c>
      <c r="U192">
        <f>IF(COUNT($E$2:$E192)&lt;14,"",MIN($D$179:$D$192))</f>
        <v>0</v>
      </c>
      <c r="V192">
        <f>IF(OR(T192="",U192="",T192=U192),"",100*($E192-U192)/(T192-U192))</f>
        <v>0</v>
      </c>
      <c r="W192">
        <f>IF(COUNT($V$190:$V$192)&lt;3,"",AVERAGE($V$190:$V$192))</f>
        <v>0</v>
      </c>
      <c r="X192">
        <f>IF(COUNT($N$179:$N$192)&lt;14,"",MIN($N$179:$N$192))</f>
        <v>0</v>
      </c>
      <c r="Y192">
        <f>IF(COUNT($N$179:$N$192)&lt;14,"",MAX($N$179:$N$192))</f>
        <v>0</v>
      </c>
      <c r="Z192">
        <f>IF(OR(N192="",X192="",Y192="",Y192=X192),"",100*(N192-X192)/(Y192-X192))</f>
        <v>0</v>
      </c>
      <c r="AA192">
        <f>IF(COUNT($Z$190:$Z$192)&lt;3,"",AVERAGE($Z$190:$Z$192))</f>
        <v>0</v>
      </c>
      <c r="AB192">
        <f>IF(COUNT($AA$190:$AA$192)&lt;3,"",AVERAGE($AA$190:$AA$192))</f>
        <v>0</v>
      </c>
      <c r="AC192">
        <f>IF($E192="","",MAX($C192-$D192,ABS($C192-$E191),ABS($D192-$E191)))</f>
        <v>0</v>
      </c>
      <c r="AD192">
        <f>IF(COUNT($E$2:$E192)&lt;15,"",AVERAGE($AC$179:$AC$192))</f>
        <v>0</v>
      </c>
      <c r="AE192">
        <f>IF(OR($E192="",$E191=""),"",IF(AND(($C192-$C191)&gt;($D191-$D192),($C192-$C191)&gt;0),$C192-$C191,0))</f>
        <v>0</v>
      </c>
      <c r="AF192">
        <f>IF(OR($E192="",$E191=""),"",IF(AND(($D191-$D192)&gt;($C192-$C191),($D191-$D192)&gt;0),$D191-$D192,0))</f>
        <v>0</v>
      </c>
      <c r="AG192">
        <f>IF(COUNT($E$2:$E192)&lt;15,"",IF(SUM($AC$179:$AC$192)=0,0,100*SUM($AE$179:$AE$192)/SUM($AC$179:$AC$192)))</f>
        <v>0</v>
      </c>
      <c r="AH192">
        <f>IF(COUNT($E$2:$E192)&lt;15,"",IF(SUM($AC$179:$AC$192)=0,0,100*SUM($AF$179:$AF$192)/SUM($AC$179:$AC$192)))</f>
        <v>0</v>
      </c>
      <c r="AI192">
        <f>IF(OR(AG192="",AH192=""),"",IF((AG192+AH192)=0,0,100*ABS(AG192-AH192)/(AG192+AH192)))</f>
        <v>0</v>
      </c>
      <c r="AJ192">
        <f>IF(COUNT($AI$179:$AI$192)&lt;14,"",AVERAGE($AI$179:$AI$192))</f>
        <v>0</v>
      </c>
      <c r="AK192">
        <f>IF(COUNT($E$2:$E192)&lt;20,"",AVERAGE($E$173:$E$192))</f>
        <v>0</v>
      </c>
      <c r="AL192">
        <f>IF(COUNT($E$2:$E192)&lt;20,"",STDEVP($E$173:$E$192))</f>
        <v>0</v>
      </c>
      <c r="AM192">
        <f>IF(AK192="","",AK192+2*AL192)</f>
        <v>0</v>
      </c>
      <c r="AN192">
        <f>IF(AK192="","",AK192-2*AL192)</f>
        <v>0</v>
      </c>
      <c r="AO192">
        <f>IF(OR(AM192="",AN192="",AM192=AN192),"",($E192-AN192)/(AM192-AN192))</f>
        <v>0</v>
      </c>
      <c r="AP192">
        <f>IF(OR(AM192="",AK192="",AK192=0),"",(AM192-AN192)/AK192)</f>
        <v>0</v>
      </c>
      <c r="AQ192">
        <f>IF(COUNT($E$2:$E192)&lt;20,"",MAX($C$173:$C$192))</f>
        <v>0</v>
      </c>
      <c r="AR192">
        <f>IF(COUNT($E$2:$E192)&lt;20,"",MIN($D$173:$D$192))</f>
        <v>0</v>
      </c>
      <c r="AS192">
        <f>IF(OR(AQ192="",AR192=""),"",(AQ192+AR192)/2)</f>
        <v>0</v>
      </c>
      <c r="AT192">
        <f>IF(COUNT($G$173:$G$192)&lt;20,"",STDEV($G$173:$G$192)*SQRT(252))</f>
        <v>0</v>
      </c>
      <c r="AU192">
        <f>IF(COUNT($E$2:$E192)&lt;9,"",(MAX($C$184:$C$192)+MIN($D$184:$D$192))/2)</f>
        <v>0</v>
      </c>
      <c r="AV192">
        <f>IF(COUNT($E$2:$E192)&lt;26,"",(MAX($C$167:$C$192)+MIN($D$167:$D$192))/2)</f>
        <v>0</v>
      </c>
      <c r="AW192">
        <f>IF(OR(AU192="",AV192=""),"",(AU192+AV192)/2)</f>
        <v>0</v>
      </c>
      <c r="AX192">
        <f>IF(COUNT($E$2:$E192)&lt;52,"",(MAX($C$141:$C$192)+MIN($D$141:$D$192))/2)</f>
        <v>0</v>
      </c>
      <c r="AY192">
        <f>IF(COUNT($E$2:$E192)&lt;20,"",MAX($C$93:$C$192))</f>
        <v>0</v>
      </c>
      <c r="AZ192">
        <f>IF(COUNT($E$2:$E192)&lt;20,"",MIN($D$93:$D$192))</f>
        <v>0</v>
      </c>
      <c r="BA192">
        <f>IF(COUNT($E$2:$E192)&lt;20,"",SLOPE($E$93:$E$192,$F$93:$F$192))</f>
        <v>0</v>
      </c>
      <c r="BB192">
        <f>IF(COUNT($E$2:$E192)&lt;20,"",INTERCEPT($E$93:$E$192,$F$93:$F$192))</f>
        <v>0</v>
      </c>
      <c r="BC192">
        <f>IF(OR(BA192="",BB192=""),"",BB192+BA192*F192)</f>
        <v>0</v>
      </c>
      <c r="BD192">
        <f>IF(COUNT($E$2:$E192)&lt;20,"",STEYX($E$93:$E$192,$F$93:$F$192))</f>
        <v>0</v>
      </c>
      <c r="BE192">
        <f>IF($E192="","",IF(AND(COUNT($E$193:$E$196)&gt;=4,$C192=MAX($C$188:$C$196)),$C192,""))</f>
        <v>0</v>
      </c>
      <c r="BF192">
        <f>IF($E192="","",IF(AND(COUNT($E$193:$E$196)&gt;=4,$D192=MIN($D$188:$D$196)),$D192,""))</f>
        <v>0</v>
      </c>
      <c r="BG192">
        <f>IF($A192="","",$A192-WEEKDAY($A192,2)+1)</f>
        <v>0</v>
      </c>
      <c r="BH192">
        <f>IF($A192="","",IF($A191="",1,IF(BG192&lt;&gt;BG191,1,0)))</f>
        <v>0</v>
      </c>
      <c r="BI192">
        <f>IF($A192="","",IF($A193="",1,IF(BG193&lt;&gt;BG192,1,0)))</f>
        <v>0</v>
      </c>
      <c r="BJ192">
        <f>IF($A192="","",IF(BH192=1,$B192,BJ191))</f>
        <v>0</v>
      </c>
      <c r="BK192">
        <f>IF($A192="","",IF(BH192=1,$C192,MAX($C192,BK191)))</f>
        <v>0</v>
      </c>
      <c r="BL192">
        <f>IF($A192="","",IF(BH192=1,$D192,MIN($D192,BL191)))</f>
        <v>0</v>
      </c>
      <c r="BM192">
        <f>IF($A192="","",IF(BI192=1,F192,""))</f>
        <v>0</v>
      </c>
      <c r="BN192">
        <f>IF($A192="","",DATE(YEAR($A192),MONTH($A192),1))</f>
        <v>0</v>
      </c>
      <c r="BO192">
        <f>IF($A192="","",IF($A191="",1,IF(BN192&lt;&gt;BN191,1,0)))</f>
        <v>0</v>
      </c>
      <c r="BP192">
        <f>IF($A192="","",IF($A193="",1,IF(BN193&lt;&gt;BN192,1,0)))</f>
        <v>0</v>
      </c>
      <c r="BQ192">
        <f>IF($A192="","",IF(BO192=1,$B192,BQ191))</f>
        <v>0</v>
      </c>
      <c r="BR192">
        <f>IF($A192="","",IF(BO192=1,$C192,MAX($C192,BR191)))</f>
        <v>0</v>
      </c>
      <c r="BS192">
        <f>IF($A192="","",IF(BO192=1,$D192,MIN($D192,BS191)))</f>
        <v>0</v>
      </c>
      <c r="BT192">
        <f>IF($A192="","",IF(BP192=1,F192,""))</f>
        <v>0</v>
      </c>
    </row>
    <row r="193" spans="1:72">
      <c r="A193" s="27">
        <f>IF(Data!$A193="","",Data!$A193)</f>
        <v>0</v>
      </c>
      <c r="B193">
        <f>IF(Data!$B193="","",Data!$B193)</f>
        <v>0</v>
      </c>
      <c r="C193">
        <f>IF(Data!$C193="","",Data!$C193)</f>
        <v>0</v>
      </c>
      <c r="D193">
        <f>IF(Data!$D193="","",Data!$D193)</f>
        <v>0</v>
      </c>
      <c r="E193">
        <f>IF(Data!$E193="","",Data!$E193)</f>
        <v>0</v>
      </c>
      <c r="F193">
        <f>IF($E193="","",N(F192)+1)</f>
        <v>0</v>
      </c>
      <c r="G193">
        <f>IF(OR($E193="",$E192=""),"",LN($E193/$E192))</f>
        <v>0</v>
      </c>
      <c r="H193">
        <f>IF($E193="","",IF($E192="",$E193,$E193*0.0952380952+H192*0.9047619048))</f>
        <v>0</v>
      </c>
      <c r="I193">
        <f>IF($E193="","",IF($E192="",$E193,$E193*0.0392156863+I192*0.9607843137))</f>
        <v>0</v>
      </c>
      <c r="J193">
        <f>IF($E193="","",IF($E192="",$E193,$E193*0.0198019802+J192*0.9801980198))</f>
        <v>0</v>
      </c>
      <c r="K193">
        <f>IF($E193="","",IF($E192="",$E193,$E193*0.0099502488+K192*0.9900497512))</f>
        <v>0</v>
      </c>
      <c r="L193">
        <f>IF(OR($E193="",$E192=""),"",MAX($E193-$E192,0))</f>
        <v>0</v>
      </c>
      <c r="M193">
        <f>IF(OR($E193="",$E192=""),"",MAX($E192-$E193,0))</f>
        <v>0</v>
      </c>
      <c r="N193">
        <f>IF(COUNT($E$2:$E193)&lt;15,"",IF(AVERAGE($M$180:$M$193)=0,100,100-100/(1+AVERAGE($L$180:$L$193)/AVERAGE($M$180:$M$193))))</f>
        <v>0</v>
      </c>
      <c r="O193">
        <f>IF($E193="","",IF($E192="",$E193,$E193*0.1538461538+O192*0.8461538462))</f>
        <v>0</v>
      </c>
      <c r="P193">
        <f>IF($E193="","",IF($E192="",$E193,$E193*0.0740740741+P192*0.9259259259))</f>
        <v>0</v>
      </c>
      <c r="Q193">
        <f>IF(OR(O193="",P193=""),"",O193-P193)</f>
        <v>0</v>
      </c>
      <c r="R193">
        <f>IF(Q193="","",IF(R192="",Q193,Q193*0.2000000000+R192*0.8000000000))</f>
        <v>0</v>
      </c>
      <c r="S193">
        <f>IF(OR(Q193="",R193=""),"",Q193-R193)</f>
        <v>0</v>
      </c>
      <c r="T193">
        <f>IF(COUNT($E$2:$E193)&lt;14,"",MAX($C$180:$C$193))</f>
        <v>0</v>
      </c>
      <c r="U193">
        <f>IF(COUNT($E$2:$E193)&lt;14,"",MIN($D$180:$D$193))</f>
        <v>0</v>
      </c>
      <c r="V193">
        <f>IF(OR(T193="",U193="",T193=U193),"",100*($E193-U193)/(T193-U193))</f>
        <v>0</v>
      </c>
      <c r="W193">
        <f>IF(COUNT($V$191:$V$193)&lt;3,"",AVERAGE($V$191:$V$193))</f>
        <v>0</v>
      </c>
      <c r="X193">
        <f>IF(COUNT($N$180:$N$193)&lt;14,"",MIN($N$180:$N$193))</f>
        <v>0</v>
      </c>
      <c r="Y193">
        <f>IF(COUNT($N$180:$N$193)&lt;14,"",MAX($N$180:$N$193))</f>
        <v>0</v>
      </c>
      <c r="Z193">
        <f>IF(OR(N193="",X193="",Y193="",Y193=X193),"",100*(N193-X193)/(Y193-X193))</f>
        <v>0</v>
      </c>
      <c r="AA193">
        <f>IF(COUNT($Z$191:$Z$193)&lt;3,"",AVERAGE($Z$191:$Z$193))</f>
        <v>0</v>
      </c>
      <c r="AB193">
        <f>IF(COUNT($AA$191:$AA$193)&lt;3,"",AVERAGE($AA$191:$AA$193))</f>
        <v>0</v>
      </c>
      <c r="AC193">
        <f>IF($E193="","",MAX($C193-$D193,ABS($C193-$E192),ABS($D193-$E192)))</f>
        <v>0</v>
      </c>
      <c r="AD193">
        <f>IF(COUNT($E$2:$E193)&lt;15,"",AVERAGE($AC$180:$AC$193))</f>
        <v>0</v>
      </c>
      <c r="AE193">
        <f>IF(OR($E193="",$E192=""),"",IF(AND(($C193-$C192)&gt;($D192-$D193),($C193-$C192)&gt;0),$C193-$C192,0))</f>
        <v>0</v>
      </c>
      <c r="AF193">
        <f>IF(OR($E193="",$E192=""),"",IF(AND(($D192-$D193)&gt;($C193-$C192),($D192-$D193)&gt;0),$D192-$D193,0))</f>
        <v>0</v>
      </c>
      <c r="AG193">
        <f>IF(COUNT($E$2:$E193)&lt;15,"",IF(SUM($AC$180:$AC$193)=0,0,100*SUM($AE$180:$AE$193)/SUM($AC$180:$AC$193)))</f>
        <v>0</v>
      </c>
      <c r="AH193">
        <f>IF(COUNT($E$2:$E193)&lt;15,"",IF(SUM($AC$180:$AC$193)=0,0,100*SUM($AF$180:$AF$193)/SUM($AC$180:$AC$193)))</f>
        <v>0</v>
      </c>
      <c r="AI193">
        <f>IF(OR(AG193="",AH193=""),"",IF((AG193+AH193)=0,0,100*ABS(AG193-AH193)/(AG193+AH193)))</f>
        <v>0</v>
      </c>
      <c r="AJ193">
        <f>IF(COUNT($AI$180:$AI$193)&lt;14,"",AVERAGE($AI$180:$AI$193))</f>
        <v>0</v>
      </c>
      <c r="AK193">
        <f>IF(COUNT($E$2:$E193)&lt;20,"",AVERAGE($E$174:$E$193))</f>
        <v>0</v>
      </c>
      <c r="AL193">
        <f>IF(COUNT($E$2:$E193)&lt;20,"",STDEVP($E$174:$E$193))</f>
        <v>0</v>
      </c>
      <c r="AM193">
        <f>IF(AK193="","",AK193+2*AL193)</f>
        <v>0</v>
      </c>
      <c r="AN193">
        <f>IF(AK193="","",AK193-2*AL193)</f>
        <v>0</v>
      </c>
      <c r="AO193">
        <f>IF(OR(AM193="",AN193="",AM193=AN193),"",($E193-AN193)/(AM193-AN193))</f>
        <v>0</v>
      </c>
      <c r="AP193">
        <f>IF(OR(AM193="",AK193="",AK193=0),"",(AM193-AN193)/AK193)</f>
        <v>0</v>
      </c>
      <c r="AQ193">
        <f>IF(COUNT($E$2:$E193)&lt;20,"",MAX($C$174:$C$193))</f>
        <v>0</v>
      </c>
      <c r="AR193">
        <f>IF(COUNT($E$2:$E193)&lt;20,"",MIN($D$174:$D$193))</f>
        <v>0</v>
      </c>
      <c r="AS193">
        <f>IF(OR(AQ193="",AR193=""),"",(AQ193+AR193)/2)</f>
        <v>0</v>
      </c>
      <c r="AT193">
        <f>IF(COUNT($G$174:$G$193)&lt;20,"",STDEV($G$174:$G$193)*SQRT(252))</f>
        <v>0</v>
      </c>
      <c r="AU193">
        <f>IF(COUNT($E$2:$E193)&lt;9,"",(MAX($C$185:$C$193)+MIN($D$185:$D$193))/2)</f>
        <v>0</v>
      </c>
      <c r="AV193">
        <f>IF(COUNT($E$2:$E193)&lt;26,"",(MAX($C$168:$C$193)+MIN($D$168:$D$193))/2)</f>
        <v>0</v>
      </c>
      <c r="AW193">
        <f>IF(OR(AU193="",AV193=""),"",(AU193+AV193)/2)</f>
        <v>0</v>
      </c>
      <c r="AX193">
        <f>IF(COUNT($E$2:$E193)&lt;52,"",(MAX($C$142:$C$193)+MIN($D$142:$D$193))/2)</f>
        <v>0</v>
      </c>
      <c r="AY193">
        <f>IF(COUNT($E$2:$E193)&lt;20,"",MAX($C$94:$C$193))</f>
        <v>0</v>
      </c>
      <c r="AZ193">
        <f>IF(COUNT($E$2:$E193)&lt;20,"",MIN($D$94:$D$193))</f>
        <v>0</v>
      </c>
      <c r="BA193">
        <f>IF(COUNT($E$2:$E193)&lt;20,"",SLOPE($E$94:$E$193,$F$94:$F$193))</f>
        <v>0</v>
      </c>
      <c r="BB193">
        <f>IF(COUNT($E$2:$E193)&lt;20,"",INTERCEPT($E$94:$E$193,$F$94:$F$193))</f>
        <v>0</v>
      </c>
      <c r="BC193">
        <f>IF(OR(BA193="",BB193=""),"",BB193+BA193*F193)</f>
        <v>0</v>
      </c>
      <c r="BD193">
        <f>IF(COUNT($E$2:$E193)&lt;20,"",STEYX($E$94:$E$193,$F$94:$F$193))</f>
        <v>0</v>
      </c>
      <c r="BE193">
        <f>IF($E193="","",IF(AND(COUNT($E$194:$E$197)&gt;=4,$C193=MAX($C$189:$C$197)),$C193,""))</f>
        <v>0</v>
      </c>
      <c r="BF193">
        <f>IF($E193="","",IF(AND(COUNT($E$194:$E$197)&gt;=4,$D193=MIN($D$189:$D$197)),$D193,""))</f>
        <v>0</v>
      </c>
      <c r="BG193">
        <f>IF($A193="","",$A193-WEEKDAY($A193,2)+1)</f>
        <v>0</v>
      </c>
      <c r="BH193">
        <f>IF($A193="","",IF($A192="",1,IF(BG193&lt;&gt;BG192,1,0)))</f>
        <v>0</v>
      </c>
      <c r="BI193">
        <f>IF($A193="","",IF($A194="",1,IF(BG194&lt;&gt;BG193,1,0)))</f>
        <v>0</v>
      </c>
      <c r="BJ193">
        <f>IF($A193="","",IF(BH193=1,$B193,BJ192))</f>
        <v>0</v>
      </c>
      <c r="BK193">
        <f>IF($A193="","",IF(BH193=1,$C193,MAX($C193,BK192)))</f>
        <v>0</v>
      </c>
      <c r="BL193">
        <f>IF($A193="","",IF(BH193=1,$D193,MIN($D193,BL192)))</f>
        <v>0</v>
      </c>
      <c r="BM193">
        <f>IF($A193="","",IF(BI193=1,F193,""))</f>
        <v>0</v>
      </c>
      <c r="BN193">
        <f>IF($A193="","",DATE(YEAR($A193),MONTH($A193),1))</f>
        <v>0</v>
      </c>
      <c r="BO193">
        <f>IF($A193="","",IF($A192="",1,IF(BN193&lt;&gt;BN192,1,0)))</f>
        <v>0</v>
      </c>
      <c r="BP193">
        <f>IF($A193="","",IF($A194="",1,IF(BN194&lt;&gt;BN193,1,0)))</f>
        <v>0</v>
      </c>
      <c r="BQ193">
        <f>IF($A193="","",IF(BO193=1,$B193,BQ192))</f>
        <v>0</v>
      </c>
      <c r="BR193">
        <f>IF($A193="","",IF(BO193=1,$C193,MAX($C193,BR192)))</f>
        <v>0</v>
      </c>
      <c r="BS193">
        <f>IF($A193="","",IF(BO193=1,$D193,MIN($D193,BS192)))</f>
        <v>0</v>
      </c>
      <c r="BT193">
        <f>IF($A193="","",IF(BP193=1,F193,""))</f>
        <v>0</v>
      </c>
    </row>
    <row r="194" spans="1:72">
      <c r="A194" s="27">
        <f>IF(Data!$A194="","",Data!$A194)</f>
        <v>0</v>
      </c>
      <c r="B194">
        <f>IF(Data!$B194="","",Data!$B194)</f>
        <v>0</v>
      </c>
      <c r="C194">
        <f>IF(Data!$C194="","",Data!$C194)</f>
        <v>0</v>
      </c>
      <c r="D194">
        <f>IF(Data!$D194="","",Data!$D194)</f>
        <v>0</v>
      </c>
      <c r="E194">
        <f>IF(Data!$E194="","",Data!$E194)</f>
        <v>0</v>
      </c>
      <c r="F194">
        <f>IF($E194="","",N(F193)+1)</f>
        <v>0</v>
      </c>
      <c r="G194">
        <f>IF(OR($E194="",$E193=""),"",LN($E194/$E193))</f>
        <v>0</v>
      </c>
      <c r="H194">
        <f>IF($E194="","",IF($E193="",$E194,$E194*0.0952380952+H193*0.9047619048))</f>
        <v>0</v>
      </c>
      <c r="I194">
        <f>IF($E194="","",IF($E193="",$E194,$E194*0.0392156863+I193*0.9607843137))</f>
        <v>0</v>
      </c>
      <c r="J194">
        <f>IF($E194="","",IF($E193="",$E194,$E194*0.0198019802+J193*0.9801980198))</f>
        <v>0</v>
      </c>
      <c r="K194">
        <f>IF($E194="","",IF($E193="",$E194,$E194*0.0099502488+K193*0.9900497512))</f>
        <v>0</v>
      </c>
      <c r="L194">
        <f>IF(OR($E194="",$E193=""),"",MAX($E194-$E193,0))</f>
        <v>0</v>
      </c>
      <c r="M194">
        <f>IF(OR($E194="",$E193=""),"",MAX($E193-$E194,0))</f>
        <v>0</v>
      </c>
      <c r="N194">
        <f>IF(COUNT($E$2:$E194)&lt;15,"",IF(AVERAGE($M$181:$M$194)=0,100,100-100/(1+AVERAGE($L$181:$L$194)/AVERAGE($M$181:$M$194))))</f>
        <v>0</v>
      </c>
      <c r="O194">
        <f>IF($E194="","",IF($E193="",$E194,$E194*0.1538461538+O193*0.8461538462))</f>
        <v>0</v>
      </c>
      <c r="P194">
        <f>IF($E194="","",IF($E193="",$E194,$E194*0.0740740741+P193*0.9259259259))</f>
        <v>0</v>
      </c>
      <c r="Q194">
        <f>IF(OR(O194="",P194=""),"",O194-P194)</f>
        <v>0</v>
      </c>
      <c r="R194">
        <f>IF(Q194="","",IF(R193="",Q194,Q194*0.2000000000+R193*0.8000000000))</f>
        <v>0</v>
      </c>
      <c r="S194">
        <f>IF(OR(Q194="",R194=""),"",Q194-R194)</f>
        <v>0</v>
      </c>
      <c r="T194">
        <f>IF(COUNT($E$2:$E194)&lt;14,"",MAX($C$181:$C$194))</f>
        <v>0</v>
      </c>
      <c r="U194">
        <f>IF(COUNT($E$2:$E194)&lt;14,"",MIN($D$181:$D$194))</f>
        <v>0</v>
      </c>
      <c r="V194">
        <f>IF(OR(T194="",U194="",T194=U194),"",100*($E194-U194)/(T194-U194))</f>
        <v>0</v>
      </c>
      <c r="W194">
        <f>IF(COUNT($V$192:$V$194)&lt;3,"",AVERAGE($V$192:$V$194))</f>
        <v>0</v>
      </c>
      <c r="X194">
        <f>IF(COUNT($N$181:$N$194)&lt;14,"",MIN($N$181:$N$194))</f>
        <v>0</v>
      </c>
      <c r="Y194">
        <f>IF(COUNT($N$181:$N$194)&lt;14,"",MAX($N$181:$N$194))</f>
        <v>0</v>
      </c>
      <c r="Z194">
        <f>IF(OR(N194="",X194="",Y194="",Y194=X194),"",100*(N194-X194)/(Y194-X194))</f>
        <v>0</v>
      </c>
      <c r="AA194">
        <f>IF(COUNT($Z$192:$Z$194)&lt;3,"",AVERAGE($Z$192:$Z$194))</f>
        <v>0</v>
      </c>
      <c r="AB194">
        <f>IF(COUNT($AA$192:$AA$194)&lt;3,"",AVERAGE($AA$192:$AA$194))</f>
        <v>0</v>
      </c>
      <c r="AC194">
        <f>IF($E194="","",MAX($C194-$D194,ABS($C194-$E193),ABS($D194-$E193)))</f>
        <v>0</v>
      </c>
      <c r="AD194">
        <f>IF(COUNT($E$2:$E194)&lt;15,"",AVERAGE($AC$181:$AC$194))</f>
        <v>0</v>
      </c>
      <c r="AE194">
        <f>IF(OR($E194="",$E193=""),"",IF(AND(($C194-$C193)&gt;($D193-$D194),($C194-$C193)&gt;0),$C194-$C193,0))</f>
        <v>0</v>
      </c>
      <c r="AF194">
        <f>IF(OR($E194="",$E193=""),"",IF(AND(($D193-$D194)&gt;($C194-$C193),($D193-$D194)&gt;0),$D193-$D194,0))</f>
        <v>0</v>
      </c>
      <c r="AG194">
        <f>IF(COUNT($E$2:$E194)&lt;15,"",IF(SUM($AC$181:$AC$194)=0,0,100*SUM($AE$181:$AE$194)/SUM($AC$181:$AC$194)))</f>
        <v>0</v>
      </c>
      <c r="AH194">
        <f>IF(COUNT($E$2:$E194)&lt;15,"",IF(SUM($AC$181:$AC$194)=0,0,100*SUM($AF$181:$AF$194)/SUM($AC$181:$AC$194)))</f>
        <v>0</v>
      </c>
      <c r="AI194">
        <f>IF(OR(AG194="",AH194=""),"",IF((AG194+AH194)=0,0,100*ABS(AG194-AH194)/(AG194+AH194)))</f>
        <v>0</v>
      </c>
      <c r="AJ194">
        <f>IF(COUNT($AI$181:$AI$194)&lt;14,"",AVERAGE($AI$181:$AI$194))</f>
        <v>0</v>
      </c>
      <c r="AK194">
        <f>IF(COUNT($E$2:$E194)&lt;20,"",AVERAGE($E$175:$E$194))</f>
        <v>0</v>
      </c>
      <c r="AL194">
        <f>IF(COUNT($E$2:$E194)&lt;20,"",STDEVP($E$175:$E$194))</f>
        <v>0</v>
      </c>
      <c r="AM194">
        <f>IF(AK194="","",AK194+2*AL194)</f>
        <v>0</v>
      </c>
      <c r="AN194">
        <f>IF(AK194="","",AK194-2*AL194)</f>
        <v>0</v>
      </c>
      <c r="AO194">
        <f>IF(OR(AM194="",AN194="",AM194=AN194),"",($E194-AN194)/(AM194-AN194))</f>
        <v>0</v>
      </c>
      <c r="AP194">
        <f>IF(OR(AM194="",AK194="",AK194=0),"",(AM194-AN194)/AK194)</f>
        <v>0</v>
      </c>
      <c r="AQ194">
        <f>IF(COUNT($E$2:$E194)&lt;20,"",MAX($C$175:$C$194))</f>
        <v>0</v>
      </c>
      <c r="AR194">
        <f>IF(COUNT($E$2:$E194)&lt;20,"",MIN($D$175:$D$194))</f>
        <v>0</v>
      </c>
      <c r="AS194">
        <f>IF(OR(AQ194="",AR194=""),"",(AQ194+AR194)/2)</f>
        <v>0</v>
      </c>
      <c r="AT194">
        <f>IF(COUNT($G$175:$G$194)&lt;20,"",STDEV($G$175:$G$194)*SQRT(252))</f>
        <v>0</v>
      </c>
      <c r="AU194">
        <f>IF(COUNT($E$2:$E194)&lt;9,"",(MAX($C$186:$C$194)+MIN($D$186:$D$194))/2)</f>
        <v>0</v>
      </c>
      <c r="AV194">
        <f>IF(COUNT($E$2:$E194)&lt;26,"",(MAX($C$169:$C$194)+MIN($D$169:$D$194))/2)</f>
        <v>0</v>
      </c>
      <c r="AW194">
        <f>IF(OR(AU194="",AV194=""),"",(AU194+AV194)/2)</f>
        <v>0</v>
      </c>
      <c r="AX194">
        <f>IF(COUNT($E$2:$E194)&lt;52,"",(MAX($C$143:$C$194)+MIN($D$143:$D$194))/2)</f>
        <v>0</v>
      </c>
      <c r="AY194">
        <f>IF(COUNT($E$2:$E194)&lt;20,"",MAX($C$95:$C$194))</f>
        <v>0</v>
      </c>
      <c r="AZ194">
        <f>IF(COUNT($E$2:$E194)&lt;20,"",MIN($D$95:$D$194))</f>
        <v>0</v>
      </c>
      <c r="BA194">
        <f>IF(COUNT($E$2:$E194)&lt;20,"",SLOPE($E$95:$E$194,$F$95:$F$194))</f>
        <v>0</v>
      </c>
      <c r="BB194">
        <f>IF(COUNT($E$2:$E194)&lt;20,"",INTERCEPT($E$95:$E$194,$F$95:$F$194))</f>
        <v>0</v>
      </c>
      <c r="BC194">
        <f>IF(OR(BA194="",BB194=""),"",BB194+BA194*F194)</f>
        <v>0</v>
      </c>
      <c r="BD194">
        <f>IF(COUNT($E$2:$E194)&lt;20,"",STEYX($E$95:$E$194,$F$95:$F$194))</f>
        <v>0</v>
      </c>
      <c r="BE194">
        <f>IF($E194="","",IF(AND(COUNT($E$195:$E$198)&gt;=4,$C194=MAX($C$190:$C$198)),$C194,""))</f>
        <v>0</v>
      </c>
      <c r="BF194">
        <f>IF($E194="","",IF(AND(COUNT($E$195:$E$198)&gt;=4,$D194=MIN($D$190:$D$198)),$D194,""))</f>
        <v>0</v>
      </c>
      <c r="BG194">
        <f>IF($A194="","",$A194-WEEKDAY($A194,2)+1)</f>
        <v>0</v>
      </c>
      <c r="BH194">
        <f>IF($A194="","",IF($A193="",1,IF(BG194&lt;&gt;BG193,1,0)))</f>
        <v>0</v>
      </c>
      <c r="BI194">
        <f>IF($A194="","",IF($A195="",1,IF(BG195&lt;&gt;BG194,1,0)))</f>
        <v>0</v>
      </c>
      <c r="BJ194">
        <f>IF($A194="","",IF(BH194=1,$B194,BJ193))</f>
        <v>0</v>
      </c>
      <c r="BK194">
        <f>IF($A194="","",IF(BH194=1,$C194,MAX($C194,BK193)))</f>
        <v>0</v>
      </c>
      <c r="BL194">
        <f>IF($A194="","",IF(BH194=1,$D194,MIN($D194,BL193)))</f>
        <v>0</v>
      </c>
      <c r="BM194">
        <f>IF($A194="","",IF(BI194=1,F194,""))</f>
        <v>0</v>
      </c>
      <c r="BN194">
        <f>IF($A194="","",DATE(YEAR($A194),MONTH($A194),1))</f>
        <v>0</v>
      </c>
      <c r="BO194">
        <f>IF($A194="","",IF($A193="",1,IF(BN194&lt;&gt;BN193,1,0)))</f>
        <v>0</v>
      </c>
      <c r="BP194">
        <f>IF($A194="","",IF($A195="",1,IF(BN195&lt;&gt;BN194,1,0)))</f>
        <v>0</v>
      </c>
      <c r="BQ194">
        <f>IF($A194="","",IF(BO194=1,$B194,BQ193))</f>
        <v>0</v>
      </c>
      <c r="BR194">
        <f>IF($A194="","",IF(BO194=1,$C194,MAX($C194,BR193)))</f>
        <v>0</v>
      </c>
      <c r="BS194">
        <f>IF($A194="","",IF(BO194=1,$D194,MIN($D194,BS193)))</f>
        <v>0</v>
      </c>
      <c r="BT194">
        <f>IF($A194="","",IF(BP194=1,F194,""))</f>
        <v>0</v>
      </c>
    </row>
    <row r="195" spans="1:72">
      <c r="A195" s="27">
        <f>IF(Data!$A195="","",Data!$A195)</f>
        <v>0</v>
      </c>
      <c r="B195">
        <f>IF(Data!$B195="","",Data!$B195)</f>
        <v>0</v>
      </c>
      <c r="C195">
        <f>IF(Data!$C195="","",Data!$C195)</f>
        <v>0</v>
      </c>
      <c r="D195">
        <f>IF(Data!$D195="","",Data!$D195)</f>
        <v>0</v>
      </c>
      <c r="E195">
        <f>IF(Data!$E195="","",Data!$E195)</f>
        <v>0</v>
      </c>
      <c r="F195">
        <f>IF($E195="","",N(F194)+1)</f>
        <v>0</v>
      </c>
      <c r="G195">
        <f>IF(OR($E195="",$E194=""),"",LN($E195/$E194))</f>
        <v>0</v>
      </c>
      <c r="H195">
        <f>IF($E195="","",IF($E194="",$E195,$E195*0.0952380952+H194*0.9047619048))</f>
        <v>0</v>
      </c>
      <c r="I195">
        <f>IF($E195="","",IF($E194="",$E195,$E195*0.0392156863+I194*0.9607843137))</f>
        <v>0</v>
      </c>
      <c r="J195">
        <f>IF($E195="","",IF($E194="",$E195,$E195*0.0198019802+J194*0.9801980198))</f>
        <v>0</v>
      </c>
      <c r="K195">
        <f>IF($E195="","",IF($E194="",$E195,$E195*0.0099502488+K194*0.9900497512))</f>
        <v>0</v>
      </c>
      <c r="L195">
        <f>IF(OR($E195="",$E194=""),"",MAX($E195-$E194,0))</f>
        <v>0</v>
      </c>
      <c r="M195">
        <f>IF(OR($E195="",$E194=""),"",MAX($E194-$E195,0))</f>
        <v>0</v>
      </c>
      <c r="N195">
        <f>IF(COUNT($E$2:$E195)&lt;15,"",IF(AVERAGE($M$182:$M$195)=0,100,100-100/(1+AVERAGE($L$182:$L$195)/AVERAGE($M$182:$M$195))))</f>
        <v>0</v>
      </c>
      <c r="O195">
        <f>IF($E195="","",IF($E194="",$E195,$E195*0.1538461538+O194*0.8461538462))</f>
        <v>0</v>
      </c>
      <c r="P195">
        <f>IF($E195="","",IF($E194="",$E195,$E195*0.0740740741+P194*0.9259259259))</f>
        <v>0</v>
      </c>
      <c r="Q195">
        <f>IF(OR(O195="",P195=""),"",O195-P195)</f>
        <v>0</v>
      </c>
      <c r="R195">
        <f>IF(Q195="","",IF(R194="",Q195,Q195*0.2000000000+R194*0.8000000000))</f>
        <v>0</v>
      </c>
      <c r="S195">
        <f>IF(OR(Q195="",R195=""),"",Q195-R195)</f>
        <v>0</v>
      </c>
      <c r="T195">
        <f>IF(COUNT($E$2:$E195)&lt;14,"",MAX($C$182:$C$195))</f>
        <v>0</v>
      </c>
      <c r="U195">
        <f>IF(COUNT($E$2:$E195)&lt;14,"",MIN($D$182:$D$195))</f>
        <v>0</v>
      </c>
      <c r="V195">
        <f>IF(OR(T195="",U195="",T195=U195),"",100*($E195-U195)/(T195-U195))</f>
        <v>0</v>
      </c>
      <c r="W195">
        <f>IF(COUNT($V$193:$V$195)&lt;3,"",AVERAGE($V$193:$V$195))</f>
        <v>0</v>
      </c>
      <c r="X195">
        <f>IF(COUNT($N$182:$N$195)&lt;14,"",MIN($N$182:$N$195))</f>
        <v>0</v>
      </c>
      <c r="Y195">
        <f>IF(COUNT($N$182:$N$195)&lt;14,"",MAX($N$182:$N$195))</f>
        <v>0</v>
      </c>
      <c r="Z195">
        <f>IF(OR(N195="",X195="",Y195="",Y195=X195),"",100*(N195-X195)/(Y195-X195))</f>
        <v>0</v>
      </c>
      <c r="AA195">
        <f>IF(COUNT($Z$193:$Z$195)&lt;3,"",AVERAGE($Z$193:$Z$195))</f>
        <v>0</v>
      </c>
      <c r="AB195">
        <f>IF(COUNT($AA$193:$AA$195)&lt;3,"",AVERAGE($AA$193:$AA$195))</f>
        <v>0</v>
      </c>
      <c r="AC195">
        <f>IF($E195="","",MAX($C195-$D195,ABS($C195-$E194),ABS($D195-$E194)))</f>
        <v>0</v>
      </c>
      <c r="AD195">
        <f>IF(COUNT($E$2:$E195)&lt;15,"",AVERAGE($AC$182:$AC$195))</f>
        <v>0</v>
      </c>
      <c r="AE195">
        <f>IF(OR($E195="",$E194=""),"",IF(AND(($C195-$C194)&gt;($D194-$D195),($C195-$C194)&gt;0),$C195-$C194,0))</f>
        <v>0</v>
      </c>
      <c r="AF195">
        <f>IF(OR($E195="",$E194=""),"",IF(AND(($D194-$D195)&gt;($C195-$C194),($D194-$D195)&gt;0),$D194-$D195,0))</f>
        <v>0</v>
      </c>
      <c r="AG195">
        <f>IF(COUNT($E$2:$E195)&lt;15,"",IF(SUM($AC$182:$AC$195)=0,0,100*SUM($AE$182:$AE$195)/SUM($AC$182:$AC$195)))</f>
        <v>0</v>
      </c>
      <c r="AH195">
        <f>IF(COUNT($E$2:$E195)&lt;15,"",IF(SUM($AC$182:$AC$195)=0,0,100*SUM($AF$182:$AF$195)/SUM($AC$182:$AC$195)))</f>
        <v>0</v>
      </c>
      <c r="AI195">
        <f>IF(OR(AG195="",AH195=""),"",IF((AG195+AH195)=0,0,100*ABS(AG195-AH195)/(AG195+AH195)))</f>
        <v>0</v>
      </c>
      <c r="AJ195">
        <f>IF(COUNT($AI$182:$AI$195)&lt;14,"",AVERAGE($AI$182:$AI$195))</f>
        <v>0</v>
      </c>
      <c r="AK195">
        <f>IF(COUNT($E$2:$E195)&lt;20,"",AVERAGE($E$176:$E$195))</f>
        <v>0</v>
      </c>
      <c r="AL195">
        <f>IF(COUNT($E$2:$E195)&lt;20,"",STDEVP($E$176:$E$195))</f>
        <v>0</v>
      </c>
      <c r="AM195">
        <f>IF(AK195="","",AK195+2*AL195)</f>
        <v>0</v>
      </c>
      <c r="AN195">
        <f>IF(AK195="","",AK195-2*AL195)</f>
        <v>0</v>
      </c>
      <c r="AO195">
        <f>IF(OR(AM195="",AN195="",AM195=AN195),"",($E195-AN195)/(AM195-AN195))</f>
        <v>0</v>
      </c>
      <c r="AP195">
        <f>IF(OR(AM195="",AK195="",AK195=0),"",(AM195-AN195)/AK195)</f>
        <v>0</v>
      </c>
      <c r="AQ195">
        <f>IF(COUNT($E$2:$E195)&lt;20,"",MAX($C$176:$C$195))</f>
        <v>0</v>
      </c>
      <c r="AR195">
        <f>IF(COUNT($E$2:$E195)&lt;20,"",MIN($D$176:$D$195))</f>
        <v>0</v>
      </c>
      <c r="AS195">
        <f>IF(OR(AQ195="",AR195=""),"",(AQ195+AR195)/2)</f>
        <v>0</v>
      </c>
      <c r="AT195">
        <f>IF(COUNT($G$176:$G$195)&lt;20,"",STDEV($G$176:$G$195)*SQRT(252))</f>
        <v>0</v>
      </c>
      <c r="AU195">
        <f>IF(COUNT($E$2:$E195)&lt;9,"",(MAX($C$187:$C$195)+MIN($D$187:$D$195))/2)</f>
        <v>0</v>
      </c>
      <c r="AV195">
        <f>IF(COUNT($E$2:$E195)&lt;26,"",(MAX($C$170:$C$195)+MIN($D$170:$D$195))/2)</f>
        <v>0</v>
      </c>
      <c r="AW195">
        <f>IF(OR(AU195="",AV195=""),"",(AU195+AV195)/2)</f>
        <v>0</v>
      </c>
      <c r="AX195">
        <f>IF(COUNT($E$2:$E195)&lt;52,"",(MAX($C$144:$C$195)+MIN($D$144:$D$195))/2)</f>
        <v>0</v>
      </c>
      <c r="AY195">
        <f>IF(COUNT($E$2:$E195)&lt;20,"",MAX($C$96:$C$195))</f>
        <v>0</v>
      </c>
      <c r="AZ195">
        <f>IF(COUNT($E$2:$E195)&lt;20,"",MIN($D$96:$D$195))</f>
        <v>0</v>
      </c>
      <c r="BA195">
        <f>IF(COUNT($E$2:$E195)&lt;20,"",SLOPE($E$96:$E$195,$F$96:$F$195))</f>
        <v>0</v>
      </c>
      <c r="BB195">
        <f>IF(COUNT($E$2:$E195)&lt;20,"",INTERCEPT($E$96:$E$195,$F$96:$F$195))</f>
        <v>0</v>
      </c>
      <c r="BC195">
        <f>IF(OR(BA195="",BB195=""),"",BB195+BA195*F195)</f>
        <v>0</v>
      </c>
      <c r="BD195">
        <f>IF(COUNT($E$2:$E195)&lt;20,"",STEYX($E$96:$E$195,$F$96:$F$195))</f>
        <v>0</v>
      </c>
      <c r="BE195">
        <f>IF($E195="","",IF(AND(COUNT($E$196:$E$199)&gt;=4,$C195=MAX($C$191:$C$199)),$C195,""))</f>
        <v>0</v>
      </c>
      <c r="BF195">
        <f>IF($E195="","",IF(AND(COUNT($E$196:$E$199)&gt;=4,$D195=MIN($D$191:$D$199)),$D195,""))</f>
        <v>0</v>
      </c>
      <c r="BG195">
        <f>IF($A195="","",$A195-WEEKDAY($A195,2)+1)</f>
        <v>0</v>
      </c>
      <c r="BH195">
        <f>IF($A195="","",IF($A194="",1,IF(BG195&lt;&gt;BG194,1,0)))</f>
        <v>0</v>
      </c>
      <c r="BI195">
        <f>IF($A195="","",IF($A196="",1,IF(BG196&lt;&gt;BG195,1,0)))</f>
        <v>0</v>
      </c>
      <c r="BJ195">
        <f>IF($A195="","",IF(BH195=1,$B195,BJ194))</f>
        <v>0</v>
      </c>
      <c r="BK195">
        <f>IF($A195="","",IF(BH195=1,$C195,MAX($C195,BK194)))</f>
        <v>0</v>
      </c>
      <c r="BL195">
        <f>IF($A195="","",IF(BH195=1,$D195,MIN($D195,BL194)))</f>
        <v>0</v>
      </c>
      <c r="BM195">
        <f>IF($A195="","",IF(BI195=1,F195,""))</f>
        <v>0</v>
      </c>
      <c r="BN195">
        <f>IF($A195="","",DATE(YEAR($A195),MONTH($A195),1))</f>
        <v>0</v>
      </c>
      <c r="BO195">
        <f>IF($A195="","",IF($A194="",1,IF(BN195&lt;&gt;BN194,1,0)))</f>
        <v>0</v>
      </c>
      <c r="BP195">
        <f>IF($A195="","",IF($A196="",1,IF(BN196&lt;&gt;BN195,1,0)))</f>
        <v>0</v>
      </c>
      <c r="BQ195">
        <f>IF($A195="","",IF(BO195=1,$B195,BQ194))</f>
        <v>0</v>
      </c>
      <c r="BR195">
        <f>IF($A195="","",IF(BO195=1,$C195,MAX($C195,BR194)))</f>
        <v>0</v>
      </c>
      <c r="BS195">
        <f>IF($A195="","",IF(BO195=1,$D195,MIN($D195,BS194)))</f>
        <v>0</v>
      </c>
      <c r="BT195">
        <f>IF($A195="","",IF(BP195=1,F195,""))</f>
        <v>0</v>
      </c>
    </row>
    <row r="196" spans="1:72">
      <c r="A196" s="27">
        <f>IF(Data!$A196="","",Data!$A196)</f>
        <v>0</v>
      </c>
      <c r="B196">
        <f>IF(Data!$B196="","",Data!$B196)</f>
        <v>0</v>
      </c>
      <c r="C196">
        <f>IF(Data!$C196="","",Data!$C196)</f>
        <v>0</v>
      </c>
      <c r="D196">
        <f>IF(Data!$D196="","",Data!$D196)</f>
        <v>0</v>
      </c>
      <c r="E196">
        <f>IF(Data!$E196="","",Data!$E196)</f>
        <v>0</v>
      </c>
      <c r="F196">
        <f>IF($E196="","",N(F195)+1)</f>
        <v>0</v>
      </c>
      <c r="G196">
        <f>IF(OR($E196="",$E195=""),"",LN($E196/$E195))</f>
        <v>0</v>
      </c>
      <c r="H196">
        <f>IF($E196="","",IF($E195="",$E196,$E196*0.0952380952+H195*0.9047619048))</f>
        <v>0</v>
      </c>
      <c r="I196">
        <f>IF($E196="","",IF($E195="",$E196,$E196*0.0392156863+I195*0.9607843137))</f>
        <v>0</v>
      </c>
      <c r="J196">
        <f>IF($E196="","",IF($E195="",$E196,$E196*0.0198019802+J195*0.9801980198))</f>
        <v>0</v>
      </c>
      <c r="K196">
        <f>IF($E196="","",IF($E195="",$E196,$E196*0.0099502488+K195*0.9900497512))</f>
        <v>0</v>
      </c>
      <c r="L196">
        <f>IF(OR($E196="",$E195=""),"",MAX($E196-$E195,0))</f>
        <v>0</v>
      </c>
      <c r="M196">
        <f>IF(OR($E196="",$E195=""),"",MAX($E195-$E196,0))</f>
        <v>0</v>
      </c>
      <c r="N196">
        <f>IF(COUNT($E$2:$E196)&lt;15,"",IF(AVERAGE($M$183:$M$196)=0,100,100-100/(1+AVERAGE($L$183:$L$196)/AVERAGE($M$183:$M$196))))</f>
        <v>0</v>
      </c>
      <c r="O196">
        <f>IF($E196="","",IF($E195="",$E196,$E196*0.1538461538+O195*0.8461538462))</f>
        <v>0</v>
      </c>
      <c r="P196">
        <f>IF($E196="","",IF($E195="",$E196,$E196*0.0740740741+P195*0.9259259259))</f>
        <v>0</v>
      </c>
      <c r="Q196">
        <f>IF(OR(O196="",P196=""),"",O196-P196)</f>
        <v>0</v>
      </c>
      <c r="R196">
        <f>IF(Q196="","",IF(R195="",Q196,Q196*0.2000000000+R195*0.8000000000))</f>
        <v>0</v>
      </c>
      <c r="S196">
        <f>IF(OR(Q196="",R196=""),"",Q196-R196)</f>
        <v>0</v>
      </c>
      <c r="T196">
        <f>IF(COUNT($E$2:$E196)&lt;14,"",MAX($C$183:$C$196))</f>
        <v>0</v>
      </c>
      <c r="U196">
        <f>IF(COUNT($E$2:$E196)&lt;14,"",MIN($D$183:$D$196))</f>
        <v>0</v>
      </c>
      <c r="V196">
        <f>IF(OR(T196="",U196="",T196=U196),"",100*($E196-U196)/(T196-U196))</f>
        <v>0</v>
      </c>
      <c r="W196">
        <f>IF(COUNT($V$194:$V$196)&lt;3,"",AVERAGE($V$194:$V$196))</f>
        <v>0</v>
      </c>
      <c r="X196">
        <f>IF(COUNT($N$183:$N$196)&lt;14,"",MIN($N$183:$N$196))</f>
        <v>0</v>
      </c>
      <c r="Y196">
        <f>IF(COUNT($N$183:$N$196)&lt;14,"",MAX($N$183:$N$196))</f>
        <v>0</v>
      </c>
      <c r="Z196">
        <f>IF(OR(N196="",X196="",Y196="",Y196=X196),"",100*(N196-X196)/(Y196-X196))</f>
        <v>0</v>
      </c>
      <c r="AA196">
        <f>IF(COUNT($Z$194:$Z$196)&lt;3,"",AVERAGE($Z$194:$Z$196))</f>
        <v>0</v>
      </c>
      <c r="AB196">
        <f>IF(COUNT($AA$194:$AA$196)&lt;3,"",AVERAGE($AA$194:$AA$196))</f>
        <v>0</v>
      </c>
      <c r="AC196">
        <f>IF($E196="","",MAX($C196-$D196,ABS($C196-$E195),ABS($D196-$E195)))</f>
        <v>0</v>
      </c>
      <c r="AD196">
        <f>IF(COUNT($E$2:$E196)&lt;15,"",AVERAGE($AC$183:$AC$196))</f>
        <v>0</v>
      </c>
      <c r="AE196">
        <f>IF(OR($E196="",$E195=""),"",IF(AND(($C196-$C195)&gt;($D195-$D196),($C196-$C195)&gt;0),$C196-$C195,0))</f>
        <v>0</v>
      </c>
      <c r="AF196">
        <f>IF(OR($E196="",$E195=""),"",IF(AND(($D195-$D196)&gt;($C196-$C195),($D195-$D196)&gt;0),$D195-$D196,0))</f>
        <v>0</v>
      </c>
      <c r="AG196">
        <f>IF(COUNT($E$2:$E196)&lt;15,"",IF(SUM($AC$183:$AC$196)=0,0,100*SUM($AE$183:$AE$196)/SUM($AC$183:$AC$196)))</f>
        <v>0</v>
      </c>
      <c r="AH196">
        <f>IF(COUNT($E$2:$E196)&lt;15,"",IF(SUM($AC$183:$AC$196)=0,0,100*SUM($AF$183:$AF$196)/SUM($AC$183:$AC$196)))</f>
        <v>0</v>
      </c>
      <c r="AI196">
        <f>IF(OR(AG196="",AH196=""),"",IF((AG196+AH196)=0,0,100*ABS(AG196-AH196)/(AG196+AH196)))</f>
        <v>0</v>
      </c>
      <c r="AJ196">
        <f>IF(COUNT($AI$183:$AI$196)&lt;14,"",AVERAGE($AI$183:$AI$196))</f>
        <v>0</v>
      </c>
      <c r="AK196">
        <f>IF(COUNT($E$2:$E196)&lt;20,"",AVERAGE($E$177:$E$196))</f>
        <v>0</v>
      </c>
      <c r="AL196">
        <f>IF(COUNT($E$2:$E196)&lt;20,"",STDEVP($E$177:$E$196))</f>
        <v>0</v>
      </c>
      <c r="AM196">
        <f>IF(AK196="","",AK196+2*AL196)</f>
        <v>0</v>
      </c>
      <c r="AN196">
        <f>IF(AK196="","",AK196-2*AL196)</f>
        <v>0</v>
      </c>
      <c r="AO196">
        <f>IF(OR(AM196="",AN196="",AM196=AN196),"",($E196-AN196)/(AM196-AN196))</f>
        <v>0</v>
      </c>
      <c r="AP196">
        <f>IF(OR(AM196="",AK196="",AK196=0),"",(AM196-AN196)/AK196)</f>
        <v>0</v>
      </c>
      <c r="AQ196">
        <f>IF(COUNT($E$2:$E196)&lt;20,"",MAX($C$177:$C$196))</f>
        <v>0</v>
      </c>
      <c r="AR196">
        <f>IF(COUNT($E$2:$E196)&lt;20,"",MIN($D$177:$D$196))</f>
        <v>0</v>
      </c>
      <c r="AS196">
        <f>IF(OR(AQ196="",AR196=""),"",(AQ196+AR196)/2)</f>
        <v>0</v>
      </c>
      <c r="AT196">
        <f>IF(COUNT($G$177:$G$196)&lt;20,"",STDEV($G$177:$G$196)*SQRT(252))</f>
        <v>0</v>
      </c>
      <c r="AU196">
        <f>IF(COUNT($E$2:$E196)&lt;9,"",(MAX($C$188:$C$196)+MIN($D$188:$D$196))/2)</f>
        <v>0</v>
      </c>
      <c r="AV196">
        <f>IF(COUNT($E$2:$E196)&lt;26,"",(MAX($C$171:$C$196)+MIN($D$171:$D$196))/2)</f>
        <v>0</v>
      </c>
      <c r="AW196">
        <f>IF(OR(AU196="",AV196=""),"",(AU196+AV196)/2)</f>
        <v>0</v>
      </c>
      <c r="AX196">
        <f>IF(COUNT($E$2:$E196)&lt;52,"",(MAX($C$145:$C$196)+MIN($D$145:$D$196))/2)</f>
        <v>0</v>
      </c>
      <c r="AY196">
        <f>IF(COUNT($E$2:$E196)&lt;20,"",MAX($C$97:$C$196))</f>
        <v>0</v>
      </c>
      <c r="AZ196">
        <f>IF(COUNT($E$2:$E196)&lt;20,"",MIN($D$97:$D$196))</f>
        <v>0</v>
      </c>
      <c r="BA196">
        <f>IF(COUNT($E$2:$E196)&lt;20,"",SLOPE($E$97:$E$196,$F$97:$F$196))</f>
        <v>0</v>
      </c>
      <c r="BB196">
        <f>IF(COUNT($E$2:$E196)&lt;20,"",INTERCEPT($E$97:$E$196,$F$97:$F$196))</f>
        <v>0</v>
      </c>
      <c r="BC196">
        <f>IF(OR(BA196="",BB196=""),"",BB196+BA196*F196)</f>
        <v>0</v>
      </c>
      <c r="BD196">
        <f>IF(COUNT($E$2:$E196)&lt;20,"",STEYX($E$97:$E$196,$F$97:$F$196))</f>
        <v>0</v>
      </c>
      <c r="BE196">
        <f>IF($E196="","",IF(AND(COUNT($E$197:$E$200)&gt;=4,$C196=MAX($C$192:$C$200)),$C196,""))</f>
        <v>0</v>
      </c>
      <c r="BF196">
        <f>IF($E196="","",IF(AND(COUNT($E$197:$E$200)&gt;=4,$D196=MIN($D$192:$D$200)),$D196,""))</f>
        <v>0</v>
      </c>
      <c r="BG196">
        <f>IF($A196="","",$A196-WEEKDAY($A196,2)+1)</f>
        <v>0</v>
      </c>
      <c r="BH196">
        <f>IF($A196="","",IF($A195="",1,IF(BG196&lt;&gt;BG195,1,0)))</f>
        <v>0</v>
      </c>
      <c r="BI196">
        <f>IF($A196="","",IF($A197="",1,IF(BG197&lt;&gt;BG196,1,0)))</f>
        <v>0</v>
      </c>
      <c r="BJ196">
        <f>IF($A196="","",IF(BH196=1,$B196,BJ195))</f>
        <v>0</v>
      </c>
      <c r="BK196">
        <f>IF($A196="","",IF(BH196=1,$C196,MAX($C196,BK195)))</f>
        <v>0</v>
      </c>
      <c r="BL196">
        <f>IF($A196="","",IF(BH196=1,$D196,MIN($D196,BL195)))</f>
        <v>0</v>
      </c>
      <c r="BM196">
        <f>IF($A196="","",IF(BI196=1,F196,""))</f>
        <v>0</v>
      </c>
      <c r="BN196">
        <f>IF($A196="","",DATE(YEAR($A196),MONTH($A196),1))</f>
        <v>0</v>
      </c>
      <c r="BO196">
        <f>IF($A196="","",IF($A195="",1,IF(BN196&lt;&gt;BN195,1,0)))</f>
        <v>0</v>
      </c>
      <c r="BP196">
        <f>IF($A196="","",IF($A197="",1,IF(BN197&lt;&gt;BN196,1,0)))</f>
        <v>0</v>
      </c>
      <c r="BQ196">
        <f>IF($A196="","",IF(BO196=1,$B196,BQ195))</f>
        <v>0</v>
      </c>
      <c r="BR196">
        <f>IF($A196="","",IF(BO196=1,$C196,MAX($C196,BR195)))</f>
        <v>0</v>
      </c>
      <c r="BS196">
        <f>IF($A196="","",IF(BO196=1,$D196,MIN($D196,BS195)))</f>
        <v>0</v>
      </c>
      <c r="BT196">
        <f>IF($A196="","",IF(BP196=1,F196,""))</f>
        <v>0</v>
      </c>
    </row>
    <row r="197" spans="1:72">
      <c r="A197" s="27">
        <f>IF(Data!$A197="","",Data!$A197)</f>
        <v>0</v>
      </c>
      <c r="B197">
        <f>IF(Data!$B197="","",Data!$B197)</f>
        <v>0</v>
      </c>
      <c r="C197">
        <f>IF(Data!$C197="","",Data!$C197)</f>
        <v>0</v>
      </c>
      <c r="D197">
        <f>IF(Data!$D197="","",Data!$D197)</f>
        <v>0</v>
      </c>
      <c r="E197">
        <f>IF(Data!$E197="","",Data!$E197)</f>
        <v>0</v>
      </c>
      <c r="F197">
        <f>IF($E197="","",N(F196)+1)</f>
        <v>0</v>
      </c>
      <c r="G197">
        <f>IF(OR($E197="",$E196=""),"",LN($E197/$E196))</f>
        <v>0</v>
      </c>
      <c r="H197">
        <f>IF($E197="","",IF($E196="",$E197,$E197*0.0952380952+H196*0.9047619048))</f>
        <v>0</v>
      </c>
      <c r="I197">
        <f>IF($E197="","",IF($E196="",$E197,$E197*0.0392156863+I196*0.9607843137))</f>
        <v>0</v>
      </c>
      <c r="J197">
        <f>IF($E197="","",IF($E196="",$E197,$E197*0.0198019802+J196*0.9801980198))</f>
        <v>0</v>
      </c>
      <c r="K197">
        <f>IF($E197="","",IF($E196="",$E197,$E197*0.0099502488+K196*0.9900497512))</f>
        <v>0</v>
      </c>
      <c r="L197">
        <f>IF(OR($E197="",$E196=""),"",MAX($E197-$E196,0))</f>
        <v>0</v>
      </c>
      <c r="M197">
        <f>IF(OR($E197="",$E196=""),"",MAX($E196-$E197,0))</f>
        <v>0</v>
      </c>
      <c r="N197">
        <f>IF(COUNT($E$2:$E197)&lt;15,"",IF(AVERAGE($M$184:$M$197)=0,100,100-100/(1+AVERAGE($L$184:$L$197)/AVERAGE($M$184:$M$197))))</f>
        <v>0</v>
      </c>
      <c r="O197">
        <f>IF($E197="","",IF($E196="",$E197,$E197*0.1538461538+O196*0.8461538462))</f>
        <v>0</v>
      </c>
      <c r="P197">
        <f>IF($E197="","",IF($E196="",$E197,$E197*0.0740740741+P196*0.9259259259))</f>
        <v>0</v>
      </c>
      <c r="Q197">
        <f>IF(OR(O197="",P197=""),"",O197-P197)</f>
        <v>0</v>
      </c>
      <c r="R197">
        <f>IF(Q197="","",IF(R196="",Q197,Q197*0.2000000000+R196*0.8000000000))</f>
        <v>0</v>
      </c>
      <c r="S197">
        <f>IF(OR(Q197="",R197=""),"",Q197-R197)</f>
        <v>0</v>
      </c>
      <c r="T197">
        <f>IF(COUNT($E$2:$E197)&lt;14,"",MAX($C$184:$C$197))</f>
        <v>0</v>
      </c>
      <c r="U197">
        <f>IF(COUNT($E$2:$E197)&lt;14,"",MIN($D$184:$D$197))</f>
        <v>0</v>
      </c>
      <c r="V197">
        <f>IF(OR(T197="",U197="",T197=U197),"",100*($E197-U197)/(T197-U197))</f>
        <v>0</v>
      </c>
      <c r="W197">
        <f>IF(COUNT($V$195:$V$197)&lt;3,"",AVERAGE($V$195:$V$197))</f>
        <v>0</v>
      </c>
      <c r="X197">
        <f>IF(COUNT($N$184:$N$197)&lt;14,"",MIN($N$184:$N$197))</f>
        <v>0</v>
      </c>
      <c r="Y197">
        <f>IF(COUNT($N$184:$N$197)&lt;14,"",MAX($N$184:$N$197))</f>
        <v>0</v>
      </c>
      <c r="Z197">
        <f>IF(OR(N197="",X197="",Y197="",Y197=X197),"",100*(N197-X197)/(Y197-X197))</f>
        <v>0</v>
      </c>
      <c r="AA197">
        <f>IF(COUNT($Z$195:$Z$197)&lt;3,"",AVERAGE($Z$195:$Z$197))</f>
        <v>0</v>
      </c>
      <c r="AB197">
        <f>IF(COUNT($AA$195:$AA$197)&lt;3,"",AVERAGE($AA$195:$AA$197))</f>
        <v>0</v>
      </c>
      <c r="AC197">
        <f>IF($E197="","",MAX($C197-$D197,ABS($C197-$E196),ABS($D197-$E196)))</f>
        <v>0</v>
      </c>
      <c r="AD197">
        <f>IF(COUNT($E$2:$E197)&lt;15,"",AVERAGE($AC$184:$AC$197))</f>
        <v>0</v>
      </c>
      <c r="AE197">
        <f>IF(OR($E197="",$E196=""),"",IF(AND(($C197-$C196)&gt;($D196-$D197),($C197-$C196)&gt;0),$C197-$C196,0))</f>
        <v>0</v>
      </c>
      <c r="AF197">
        <f>IF(OR($E197="",$E196=""),"",IF(AND(($D196-$D197)&gt;($C197-$C196),($D196-$D197)&gt;0),$D196-$D197,0))</f>
        <v>0</v>
      </c>
      <c r="AG197">
        <f>IF(COUNT($E$2:$E197)&lt;15,"",IF(SUM($AC$184:$AC$197)=0,0,100*SUM($AE$184:$AE$197)/SUM($AC$184:$AC$197)))</f>
        <v>0</v>
      </c>
      <c r="AH197">
        <f>IF(COUNT($E$2:$E197)&lt;15,"",IF(SUM($AC$184:$AC$197)=0,0,100*SUM($AF$184:$AF$197)/SUM($AC$184:$AC$197)))</f>
        <v>0</v>
      </c>
      <c r="AI197">
        <f>IF(OR(AG197="",AH197=""),"",IF((AG197+AH197)=0,0,100*ABS(AG197-AH197)/(AG197+AH197)))</f>
        <v>0</v>
      </c>
      <c r="AJ197">
        <f>IF(COUNT($AI$184:$AI$197)&lt;14,"",AVERAGE($AI$184:$AI$197))</f>
        <v>0</v>
      </c>
      <c r="AK197">
        <f>IF(COUNT($E$2:$E197)&lt;20,"",AVERAGE($E$178:$E$197))</f>
        <v>0</v>
      </c>
      <c r="AL197">
        <f>IF(COUNT($E$2:$E197)&lt;20,"",STDEVP($E$178:$E$197))</f>
        <v>0</v>
      </c>
      <c r="AM197">
        <f>IF(AK197="","",AK197+2*AL197)</f>
        <v>0</v>
      </c>
      <c r="AN197">
        <f>IF(AK197="","",AK197-2*AL197)</f>
        <v>0</v>
      </c>
      <c r="AO197">
        <f>IF(OR(AM197="",AN197="",AM197=AN197),"",($E197-AN197)/(AM197-AN197))</f>
        <v>0</v>
      </c>
      <c r="AP197">
        <f>IF(OR(AM197="",AK197="",AK197=0),"",(AM197-AN197)/AK197)</f>
        <v>0</v>
      </c>
      <c r="AQ197">
        <f>IF(COUNT($E$2:$E197)&lt;20,"",MAX($C$178:$C$197))</f>
        <v>0</v>
      </c>
      <c r="AR197">
        <f>IF(COUNT($E$2:$E197)&lt;20,"",MIN($D$178:$D$197))</f>
        <v>0</v>
      </c>
      <c r="AS197">
        <f>IF(OR(AQ197="",AR197=""),"",(AQ197+AR197)/2)</f>
        <v>0</v>
      </c>
      <c r="AT197">
        <f>IF(COUNT($G$178:$G$197)&lt;20,"",STDEV($G$178:$G$197)*SQRT(252))</f>
        <v>0</v>
      </c>
      <c r="AU197">
        <f>IF(COUNT($E$2:$E197)&lt;9,"",(MAX($C$189:$C$197)+MIN($D$189:$D$197))/2)</f>
        <v>0</v>
      </c>
      <c r="AV197">
        <f>IF(COUNT($E$2:$E197)&lt;26,"",(MAX($C$172:$C$197)+MIN($D$172:$D$197))/2)</f>
        <v>0</v>
      </c>
      <c r="AW197">
        <f>IF(OR(AU197="",AV197=""),"",(AU197+AV197)/2)</f>
        <v>0</v>
      </c>
      <c r="AX197">
        <f>IF(COUNT($E$2:$E197)&lt;52,"",(MAX($C$146:$C$197)+MIN($D$146:$D$197))/2)</f>
        <v>0</v>
      </c>
      <c r="AY197">
        <f>IF(COUNT($E$2:$E197)&lt;20,"",MAX($C$98:$C$197))</f>
        <v>0</v>
      </c>
      <c r="AZ197">
        <f>IF(COUNT($E$2:$E197)&lt;20,"",MIN($D$98:$D$197))</f>
        <v>0</v>
      </c>
      <c r="BA197">
        <f>IF(COUNT($E$2:$E197)&lt;20,"",SLOPE($E$98:$E$197,$F$98:$F$197))</f>
        <v>0</v>
      </c>
      <c r="BB197">
        <f>IF(COUNT($E$2:$E197)&lt;20,"",INTERCEPT($E$98:$E$197,$F$98:$F$197))</f>
        <v>0</v>
      </c>
      <c r="BC197">
        <f>IF(OR(BA197="",BB197=""),"",BB197+BA197*F197)</f>
        <v>0</v>
      </c>
      <c r="BD197">
        <f>IF(COUNT($E$2:$E197)&lt;20,"",STEYX($E$98:$E$197,$F$98:$F$197))</f>
        <v>0</v>
      </c>
      <c r="BE197">
        <f>IF($E197="","",IF(AND(COUNT($E$198:$E$201)&gt;=4,$C197=MAX($C$193:$C$201)),$C197,""))</f>
        <v>0</v>
      </c>
      <c r="BF197">
        <f>IF($E197="","",IF(AND(COUNT($E$198:$E$201)&gt;=4,$D197=MIN($D$193:$D$201)),$D197,""))</f>
        <v>0</v>
      </c>
      <c r="BG197">
        <f>IF($A197="","",$A197-WEEKDAY($A197,2)+1)</f>
        <v>0</v>
      </c>
      <c r="BH197">
        <f>IF($A197="","",IF($A196="",1,IF(BG197&lt;&gt;BG196,1,0)))</f>
        <v>0</v>
      </c>
      <c r="BI197">
        <f>IF($A197="","",IF($A198="",1,IF(BG198&lt;&gt;BG197,1,0)))</f>
        <v>0</v>
      </c>
      <c r="BJ197">
        <f>IF($A197="","",IF(BH197=1,$B197,BJ196))</f>
        <v>0</v>
      </c>
      <c r="BK197">
        <f>IF($A197="","",IF(BH197=1,$C197,MAX($C197,BK196)))</f>
        <v>0</v>
      </c>
      <c r="BL197">
        <f>IF($A197="","",IF(BH197=1,$D197,MIN($D197,BL196)))</f>
        <v>0</v>
      </c>
      <c r="BM197">
        <f>IF($A197="","",IF(BI197=1,F197,""))</f>
        <v>0</v>
      </c>
      <c r="BN197">
        <f>IF($A197="","",DATE(YEAR($A197),MONTH($A197),1))</f>
        <v>0</v>
      </c>
      <c r="BO197">
        <f>IF($A197="","",IF($A196="",1,IF(BN197&lt;&gt;BN196,1,0)))</f>
        <v>0</v>
      </c>
      <c r="BP197">
        <f>IF($A197="","",IF($A198="",1,IF(BN198&lt;&gt;BN197,1,0)))</f>
        <v>0</v>
      </c>
      <c r="BQ197">
        <f>IF($A197="","",IF(BO197=1,$B197,BQ196))</f>
        <v>0</v>
      </c>
      <c r="BR197">
        <f>IF($A197="","",IF(BO197=1,$C197,MAX($C197,BR196)))</f>
        <v>0</v>
      </c>
      <c r="BS197">
        <f>IF($A197="","",IF(BO197=1,$D197,MIN($D197,BS196)))</f>
        <v>0</v>
      </c>
      <c r="BT197">
        <f>IF($A197="","",IF(BP197=1,F197,""))</f>
        <v>0</v>
      </c>
    </row>
    <row r="198" spans="1:72">
      <c r="A198" s="27">
        <f>IF(Data!$A198="","",Data!$A198)</f>
        <v>0</v>
      </c>
      <c r="B198">
        <f>IF(Data!$B198="","",Data!$B198)</f>
        <v>0</v>
      </c>
      <c r="C198">
        <f>IF(Data!$C198="","",Data!$C198)</f>
        <v>0</v>
      </c>
      <c r="D198">
        <f>IF(Data!$D198="","",Data!$D198)</f>
        <v>0</v>
      </c>
      <c r="E198">
        <f>IF(Data!$E198="","",Data!$E198)</f>
        <v>0</v>
      </c>
      <c r="F198">
        <f>IF($E198="","",N(F197)+1)</f>
        <v>0</v>
      </c>
      <c r="G198">
        <f>IF(OR($E198="",$E197=""),"",LN($E198/$E197))</f>
        <v>0</v>
      </c>
      <c r="H198">
        <f>IF($E198="","",IF($E197="",$E198,$E198*0.0952380952+H197*0.9047619048))</f>
        <v>0</v>
      </c>
      <c r="I198">
        <f>IF($E198="","",IF($E197="",$E198,$E198*0.0392156863+I197*0.9607843137))</f>
        <v>0</v>
      </c>
      <c r="J198">
        <f>IF($E198="","",IF($E197="",$E198,$E198*0.0198019802+J197*0.9801980198))</f>
        <v>0</v>
      </c>
      <c r="K198">
        <f>IF($E198="","",IF($E197="",$E198,$E198*0.0099502488+K197*0.9900497512))</f>
        <v>0</v>
      </c>
      <c r="L198">
        <f>IF(OR($E198="",$E197=""),"",MAX($E198-$E197,0))</f>
        <v>0</v>
      </c>
      <c r="M198">
        <f>IF(OR($E198="",$E197=""),"",MAX($E197-$E198,0))</f>
        <v>0</v>
      </c>
      <c r="N198">
        <f>IF(COUNT($E$2:$E198)&lt;15,"",IF(AVERAGE($M$185:$M$198)=0,100,100-100/(1+AVERAGE($L$185:$L$198)/AVERAGE($M$185:$M$198))))</f>
        <v>0</v>
      </c>
      <c r="O198">
        <f>IF($E198="","",IF($E197="",$E198,$E198*0.1538461538+O197*0.8461538462))</f>
        <v>0</v>
      </c>
      <c r="P198">
        <f>IF($E198="","",IF($E197="",$E198,$E198*0.0740740741+P197*0.9259259259))</f>
        <v>0</v>
      </c>
      <c r="Q198">
        <f>IF(OR(O198="",P198=""),"",O198-P198)</f>
        <v>0</v>
      </c>
      <c r="R198">
        <f>IF(Q198="","",IF(R197="",Q198,Q198*0.2000000000+R197*0.8000000000))</f>
        <v>0</v>
      </c>
      <c r="S198">
        <f>IF(OR(Q198="",R198=""),"",Q198-R198)</f>
        <v>0</v>
      </c>
      <c r="T198">
        <f>IF(COUNT($E$2:$E198)&lt;14,"",MAX($C$185:$C$198))</f>
        <v>0</v>
      </c>
      <c r="U198">
        <f>IF(COUNT($E$2:$E198)&lt;14,"",MIN($D$185:$D$198))</f>
        <v>0</v>
      </c>
      <c r="V198">
        <f>IF(OR(T198="",U198="",T198=U198),"",100*($E198-U198)/(T198-U198))</f>
        <v>0</v>
      </c>
      <c r="W198">
        <f>IF(COUNT($V$196:$V$198)&lt;3,"",AVERAGE($V$196:$V$198))</f>
        <v>0</v>
      </c>
      <c r="X198">
        <f>IF(COUNT($N$185:$N$198)&lt;14,"",MIN($N$185:$N$198))</f>
        <v>0</v>
      </c>
      <c r="Y198">
        <f>IF(COUNT($N$185:$N$198)&lt;14,"",MAX($N$185:$N$198))</f>
        <v>0</v>
      </c>
      <c r="Z198">
        <f>IF(OR(N198="",X198="",Y198="",Y198=X198),"",100*(N198-X198)/(Y198-X198))</f>
        <v>0</v>
      </c>
      <c r="AA198">
        <f>IF(COUNT($Z$196:$Z$198)&lt;3,"",AVERAGE($Z$196:$Z$198))</f>
        <v>0</v>
      </c>
      <c r="AB198">
        <f>IF(COUNT($AA$196:$AA$198)&lt;3,"",AVERAGE($AA$196:$AA$198))</f>
        <v>0</v>
      </c>
      <c r="AC198">
        <f>IF($E198="","",MAX($C198-$D198,ABS($C198-$E197),ABS($D198-$E197)))</f>
        <v>0</v>
      </c>
      <c r="AD198">
        <f>IF(COUNT($E$2:$E198)&lt;15,"",AVERAGE($AC$185:$AC$198))</f>
        <v>0</v>
      </c>
      <c r="AE198">
        <f>IF(OR($E198="",$E197=""),"",IF(AND(($C198-$C197)&gt;($D197-$D198),($C198-$C197)&gt;0),$C198-$C197,0))</f>
        <v>0</v>
      </c>
      <c r="AF198">
        <f>IF(OR($E198="",$E197=""),"",IF(AND(($D197-$D198)&gt;($C198-$C197),($D197-$D198)&gt;0),$D197-$D198,0))</f>
        <v>0</v>
      </c>
      <c r="AG198">
        <f>IF(COUNT($E$2:$E198)&lt;15,"",IF(SUM($AC$185:$AC$198)=0,0,100*SUM($AE$185:$AE$198)/SUM($AC$185:$AC$198)))</f>
        <v>0</v>
      </c>
      <c r="AH198">
        <f>IF(COUNT($E$2:$E198)&lt;15,"",IF(SUM($AC$185:$AC$198)=0,0,100*SUM($AF$185:$AF$198)/SUM($AC$185:$AC$198)))</f>
        <v>0</v>
      </c>
      <c r="AI198">
        <f>IF(OR(AG198="",AH198=""),"",IF((AG198+AH198)=0,0,100*ABS(AG198-AH198)/(AG198+AH198)))</f>
        <v>0</v>
      </c>
      <c r="AJ198">
        <f>IF(COUNT($AI$185:$AI$198)&lt;14,"",AVERAGE($AI$185:$AI$198))</f>
        <v>0</v>
      </c>
      <c r="AK198">
        <f>IF(COUNT($E$2:$E198)&lt;20,"",AVERAGE($E$179:$E$198))</f>
        <v>0</v>
      </c>
      <c r="AL198">
        <f>IF(COUNT($E$2:$E198)&lt;20,"",STDEVP($E$179:$E$198))</f>
        <v>0</v>
      </c>
      <c r="AM198">
        <f>IF(AK198="","",AK198+2*AL198)</f>
        <v>0</v>
      </c>
      <c r="AN198">
        <f>IF(AK198="","",AK198-2*AL198)</f>
        <v>0</v>
      </c>
      <c r="AO198">
        <f>IF(OR(AM198="",AN198="",AM198=AN198),"",($E198-AN198)/(AM198-AN198))</f>
        <v>0</v>
      </c>
      <c r="AP198">
        <f>IF(OR(AM198="",AK198="",AK198=0),"",(AM198-AN198)/AK198)</f>
        <v>0</v>
      </c>
      <c r="AQ198">
        <f>IF(COUNT($E$2:$E198)&lt;20,"",MAX($C$179:$C$198))</f>
        <v>0</v>
      </c>
      <c r="AR198">
        <f>IF(COUNT($E$2:$E198)&lt;20,"",MIN($D$179:$D$198))</f>
        <v>0</v>
      </c>
      <c r="AS198">
        <f>IF(OR(AQ198="",AR198=""),"",(AQ198+AR198)/2)</f>
        <v>0</v>
      </c>
      <c r="AT198">
        <f>IF(COUNT($G$179:$G$198)&lt;20,"",STDEV($G$179:$G$198)*SQRT(252))</f>
        <v>0</v>
      </c>
      <c r="AU198">
        <f>IF(COUNT($E$2:$E198)&lt;9,"",(MAX($C$190:$C$198)+MIN($D$190:$D$198))/2)</f>
        <v>0</v>
      </c>
      <c r="AV198">
        <f>IF(COUNT($E$2:$E198)&lt;26,"",(MAX($C$173:$C$198)+MIN($D$173:$D$198))/2)</f>
        <v>0</v>
      </c>
      <c r="AW198">
        <f>IF(OR(AU198="",AV198=""),"",(AU198+AV198)/2)</f>
        <v>0</v>
      </c>
      <c r="AX198">
        <f>IF(COUNT($E$2:$E198)&lt;52,"",(MAX($C$147:$C$198)+MIN($D$147:$D$198))/2)</f>
        <v>0</v>
      </c>
      <c r="AY198">
        <f>IF(COUNT($E$2:$E198)&lt;20,"",MAX($C$99:$C$198))</f>
        <v>0</v>
      </c>
      <c r="AZ198">
        <f>IF(COUNT($E$2:$E198)&lt;20,"",MIN($D$99:$D$198))</f>
        <v>0</v>
      </c>
      <c r="BA198">
        <f>IF(COUNT($E$2:$E198)&lt;20,"",SLOPE($E$99:$E$198,$F$99:$F$198))</f>
        <v>0</v>
      </c>
      <c r="BB198">
        <f>IF(COUNT($E$2:$E198)&lt;20,"",INTERCEPT($E$99:$E$198,$F$99:$F$198))</f>
        <v>0</v>
      </c>
      <c r="BC198">
        <f>IF(OR(BA198="",BB198=""),"",BB198+BA198*F198)</f>
        <v>0</v>
      </c>
      <c r="BD198">
        <f>IF(COUNT($E$2:$E198)&lt;20,"",STEYX($E$99:$E$198,$F$99:$F$198))</f>
        <v>0</v>
      </c>
      <c r="BE198">
        <f>IF($E198="","",IF(AND(COUNT($E$199:$E$202)&gt;=4,$C198=MAX($C$194:$C$202)),$C198,""))</f>
        <v>0</v>
      </c>
      <c r="BF198">
        <f>IF($E198="","",IF(AND(COUNT($E$199:$E$202)&gt;=4,$D198=MIN($D$194:$D$202)),$D198,""))</f>
        <v>0</v>
      </c>
      <c r="BG198">
        <f>IF($A198="","",$A198-WEEKDAY($A198,2)+1)</f>
        <v>0</v>
      </c>
      <c r="BH198">
        <f>IF($A198="","",IF($A197="",1,IF(BG198&lt;&gt;BG197,1,0)))</f>
        <v>0</v>
      </c>
      <c r="BI198">
        <f>IF($A198="","",IF($A199="",1,IF(BG199&lt;&gt;BG198,1,0)))</f>
        <v>0</v>
      </c>
      <c r="BJ198">
        <f>IF($A198="","",IF(BH198=1,$B198,BJ197))</f>
        <v>0</v>
      </c>
      <c r="BK198">
        <f>IF($A198="","",IF(BH198=1,$C198,MAX($C198,BK197)))</f>
        <v>0</v>
      </c>
      <c r="BL198">
        <f>IF($A198="","",IF(BH198=1,$D198,MIN($D198,BL197)))</f>
        <v>0</v>
      </c>
      <c r="BM198">
        <f>IF($A198="","",IF(BI198=1,F198,""))</f>
        <v>0</v>
      </c>
      <c r="BN198">
        <f>IF($A198="","",DATE(YEAR($A198),MONTH($A198),1))</f>
        <v>0</v>
      </c>
      <c r="BO198">
        <f>IF($A198="","",IF($A197="",1,IF(BN198&lt;&gt;BN197,1,0)))</f>
        <v>0</v>
      </c>
      <c r="BP198">
        <f>IF($A198="","",IF($A199="",1,IF(BN199&lt;&gt;BN198,1,0)))</f>
        <v>0</v>
      </c>
      <c r="BQ198">
        <f>IF($A198="","",IF(BO198=1,$B198,BQ197))</f>
        <v>0</v>
      </c>
      <c r="BR198">
        <f>IF($A198="","",IF(BO198=1,$C198,MAX($C198,BR197)))</f>
        <v>0</v>
      </c>
      <c r="BS198">
        <f>IF($A198="","",IF(BO198=1,$D198,MIN($D198,BS197)))</f>
        <v>0</v>
      </c>
      <c r="BT198">
        <f>IF($A198="","",IF(BP198=1,F198,""))</f>
        <v>0</v>
      </c>
    </row>
    <row r="199" spans="1:72">
      <c r="A199" s="27">
        <f>IF(Data!$A199="","",Data!$A199)</f>
        <v>0</v>
      </c>
      <c r="B199">
        <f>IF(Data!$B199="","",Data!$B199)</f>
        <v>0</v>
      </c>
      <c r="C199">
        <f>IF(Data!$C199="","",Data!$C199)</f>
        <v>0</v>
      </c>
      <c r="D199">
        <f>IF(Data!$D199="","",Data!$D199)</f>
        <v>0</v>
      </c>
      <c r="E199">
        <f>IF(Data!$E199="","",Data!$E199)</f>
        <v>0</v>
      </c>
      <c r="F199">
        <f>IF($E199="","",N(F198)+1)</f>
        <v>0</v>
      </c>
      <c r="G199">
        <f>IF(OR($E199="",$E198=""),"",LN($E199/$E198))</f>
        <v>0</v>
      </c>
      <c r="H199">
        <f>IF($E199="","",IF($E198="",$E199,$E199*0.0952380952+H198*0.9047619048))</f>
        <v>0</v>
      </c>
      <c r="I199">
        <f>IF($E199="","",IF($E198="",$E199,$E199*0.0392156863+I198*0.9607843137))</f>
        <v>0</v>
      </c>
      <c r="J199">
        <f>IF($E199="","",IF($E198="",$E199,$E199*0.0198019802+J198*0.9801980198))</f>
        <v>0</v>
      </c>
      <c r="K199">
        <f>IF($E199="","",IF($E198="",$E199,$E199*0.0099502488+K198*0.9900497512))</f>
        <v>0</v>
      </c>
      <c r="L199">
        <f>IF(OR($E199="",$E198=""),"",MAX($E199-$E198,0))</f>
        <v>0</v>
      </c>
      <c r="M199">
        <f>IF(OR($E199="",$E198=""),"",MAX($E198-$E199,0))</f>
        <v>0</v>
      </c>
      <c r="N199">
        <f>IF(COUNT($E$2:$E199)&lt;15,"",IF(AVERAGE($M$186:$M$199)=0,100,100-100/(1+AVERAGE($L$186:$L$199)/AVERAGE($M$186:$M$199))))</f>
        <v>0</v>
      </c>
      <c r="O199">
        <f>IF($E199="","",IF($E198="",$E199,$E199*0.1538461538+O198*0.8461538462))</f>
        <v>0</v>
      </c>
      <c r="P199">
        <f>IF($E199="","",IF($E198="",$E199,$E199*0.0740740741+P198*0.9259259259))</f>
        <v>0</v>
      </c>
      <c r="Q199">
        <f>IF(OR(O199="",P199=""),"",O199-P199)</f>
        <v>0</v>
      </c>
      <c r="R199">
        <f>IF(Q199="","",IF(R198="",Q199,Q199*0.2000000000+R198*0.8000000000))</f>
        <v>0</v>
      </c>
      <c r="S199">
        <f>IF(OR(Q199="",R199=""),"",Q199-R199)</f>
        <v>0</v>
      </c>
      <c r="T199">
        <f>IF(COUNT($E$2:$E199)&lt;14,"",MAX($C$186:$C$199))</f>
        <v>0</v>
      </c>
      <c r="U199">
        <f>IF(COUNT($E$2:$E199)&lt;14,"",MIN($D$186:$D$199))</f>
        <v>0</v>
      </c>
      <c r="V199">
        <f>IF(OR(T199="",U199="",T199=U199),"",100*($E199-U199)/(T199-U199))</f>
        <v>0</v>
      </c>
      <c r="W199">
        <f>IF(COUNT($V$197:$V$199)&lt;3,"",AVERAGE($V$197:$V$199))</f>
        <v>0</v>
      </c>
      <c r="X199">
        <f>IF(COUNT($N$186:$N$199)&lt;14,"",MIN($N$186:$N$199))</f>
        <v>0</v>
      </c>
      <c r="Y199">
        <f>IF(COUNT($N$186:$N$199)&lt;14,"",MAX($N$186:$N$199))</f>
        <v>0</v>
      </c>
      <c r="Z199">
        <f>IF(OR(N199="",X199="",Y199="",Y199=X199),"",100*(N199-X199)/(Y199-X199))</f>
        <v>0</v>
      </c>
      <c r="AA199">
        <f>IF(COUNT($Z$197:$Z$199)&lt;3,"",AVERAGE($Z$197:$Z$199))</f>
        <v>0</v>
      </c>
      <c r="AB199">
        <f>IF(COUNT($AA$197:$AA$199)&lt;3,"",AVERAGE($AA$197:$AA$199))</f>
        <v>0</v>
      </c>
      <c r="AC199">
        <f>IF($E199="","",MAX($C199-$D199,ABS($C199-$E198),ABS($D199-$E198)))</f>
        <v>0</v>
      </c>
      <c r="AD199">
        <f>IF(COUNT($E$2:$E199)&lt;15,"",AVERAGE($AC$186:$AC$199))</f>
        <v>0</v>
      </c>
      <c r="AE199">
        <f>IF(OR($E199="",$E198=""),"",IF(AND(($C199-$C198)&gt;($D198-$D199),($C199-$C198)&gt;0),$C199-$C198,0))</f>
        <v>0</v>
      </c>
      <c r="AF199">
        <f>IF(OR($E199="",$E198=""),"",IF(AND(($D198-$D199)&gt;($C199-$C198),($D198-$D199)&gt;0),$D198-$D199,0))</f>
        <v>0</v>
      </c>
      <c r="AG199">
        <f>IF(COUNT($E$2:$E199)&lt;15,"",IF(SUM($AC$186:$AC$199)=0,0,100*SUM($AE$186:$AE$199)/SUM($AC$186:$AC$199)))</f>
        <v>0</v>
      </c>
      <c r="AH199">
        <f>IF(COUNT($E$2:$E199)&lt;15,"",IF(SUM($AC$186:$AC$199)=0,0,100*SUM($AF$186:$AF$199)/SUM($AC$186:$AC$199)))</f>
        <v>0</v>
      </c>
      <c r="AI199">
        <f>IF(OR(AG199="",AH199=""),"",IF((AG199+AH199)=0,0,100*ABS(AG199-AH199)/(AG199+AH199)))</f>
        <v>0</v>
      </c>
      <c r="AJ199">
        <f>IF(COUNT($AI$186:$AI$199)&lt;14,"",AVERAGE($AI$186:$AI$199))</f>
        <v>0</v>
      </c>
      <c r="AK199">
        <f>IF(COUNT($E$2:$E199)&lt;20,"",AVERAGE($E$180:$E$199))</f>
        <v>0</v>
      </c>
      <c r="AL199">
        <f>IF(COUNT($E$2:$E199)&lt;20,"",STDEVP($E$180:$E$199))</f>
        <v>0</v>
      </c>
      <c r="AM199">
        <f>IF(AK199="","",AK199+2*AL199)</f>
        <v>0</v>
      </c>
      <c r="AN199">
        <f>IF(AK199="","",AK199-2*AL199)</f>
        <v>0</v>
      </c>
      <c r="AO199">
        <f>IF(OR(AM199="",AN199="",AM199=AN199),"",($E199-AN199)/(AM199-AN199))</f>
        <v>0</v>
      </c>
      <c r="AP199">
        <f>IF(OR(AM199="",AK199="",AK199=0),"",(AM199-AN199)/AK199)</f>
        <v>0</v>
      </c>
      <c r="AQ199">
        <f>IF(COUNT($E$2:$E199)&lt;20,"",MAX($C$180:$C$199))</f>
        <v>0</v>
      </c>
      <c r="AR199">
        <f>IF(COUNT($E$2:$E199)&lt;20,"",MIN($D$180:$D$199))</f>
        <v>0</v>
      </c>
      <c r="AS199">
        <f>IF(OR(AQ199="",AR199=""),"",(AQ199+AR199)/2)</f>
        <v>0</v>
      </c>
      <c r="AT199">
        <f>IF(COUNT($G$180:$G$199)&lt;20,"",STDEV($G$180:$G$199)*SQRT(252))</f>
        <v>0</v>
      </c>
      <c r="AU199">
        <f>IF(COUNT($E$2:$E199)&lt;9,"",(MAX($C$191:$C$199)+MIN($D$191:$D$199))/2)</f>
        <v>0</v>
      </c>
      <c r="AV199">
        <f>IF(COUNT($E$2:$E199)&lt;26,"",(MAX($C$174:$C$199)+MIN($D$174:$D$199))/2)</f>
        <v>0</v>
      </c>
      <c r="AW199">
        <f>IF(OR(AU199="",AV199=""),"",(AU199+AV199)/2)</f>
        <v>0</v>
      </c>
      <c r="AX199">
        <f>IF(COUNT($E$2:$E199)&lt;52,"",(MAX($C$148:$C$199)+MIN($D$148:$D$199))/2)</f>
        <v>0</v>
      </c>
      <c r="AY199">
        <f>IF(COUNT($E$2:$E199)&lt;20,"",MAX($C$100:$C$199))</f>
        <v>0</v>
      </c>
      <c r="AZ199">
        <f>IF(COUNT($E$2:$E199)&lt;20,"",MIN($D$100:$D$199))</f>
        <v>0</v>
      </c>
      <c r="BA199">
        <f>IF(COUNT($E$2:$E199)&lt;20,"",SLOPE($E$100:$E$199,$F$100:$F$199))</f>
        <v>0</v>
      </c>
      <c r="BB199">
        <f>IF(COUNT($E$2:$E199)&lt;20,"",INTERCEPT($E$100:$E$199,$F$100:$F$199))</f>
        <v>0</v>
      </c>
      <c r="BC199">
        <f>IF(OR(BA199="",BB199=""),"",BB199+BA199*F199)</f>
        <v>0</v>
      </c>
      <c r="BD199">
        <f>IF(COUNT($E$2:$E199)&lt;20,"",STEYX($E$100:$E$199,$F$100:$F$199))</f>
        <v>0</v>
      </c>
      <c r="BE199">
        <f>IF($E199="","",IF(AND(COUNT($E$200:$E$203)&gt;=4,$C199=MAX($C$195:$C$203)),$C199,""))</f>
        <v>0</v>
      </c>
      <c r="BF199">
        <f>IF($E199="","",IF(AND(COUNT($E$200:$E$203)&gt;=4,$D199=MIN($D$195:$D$203)),$D199,""))</f>
        <v>0</v>
      </c>
      <c r="BG199">
        <f>IF($A199="","",$A199-WEEKDAY($A199,2)+1)</f>
        <v>0</v>
      </c>
      <c r="BH199">
        <f>IF($A199="","",IF($A198="",1,IF(BG199&lt;&gt;BG198,1,0)))</f>
        <v>0</v>
      </c>
      <c r="BI199">
        <f>IF($A199="","",IF($A200="",1,IF(BG200&lt;&gt;BG199,1,0)))</f>
        <v>0</v>
      </c>
      <c r="BJ199">
        <f>IF($A199="","",IF(BH199=1,$B199,BJ198))</f>
        <v>0</v>
      </c>
      <c r="BK199">
        <f>IF($A199="","",IF(BH199=1,$C199,MAX($C199,BK198)))</f>
        <v>0</v>
      </c>
      <c r="BL199">
        <f>IF($A199="","",IF(BH199=1,$D199,MIN($D199,BL198)))</f>
        <v>0</v>
      </c>
      <c r="BM199">
        <f>IF($A199="","",IF(BI199=1,F199,""))</f>
        <v>0</v>
      </c>
      <c r="BN199">
        <f>IF($A199="","",DATE(YEAR($A199),MONTH($A199),1))</f>
        <v>0</v>
      </c>
      <c r="BO199">
        <f>IF($A199="","",IF($A198="",1,IF(BN199&lt;&gt;BN198,1,0)))</f>
        <v>0</v>
      </c>
      <c r="BP199">
        <f>IF($A199="","",IF($A200="",1,IF(BN200&lt;&gt;BN199,1,0)))</f>
        <v>0</v>
      </c>
      <c r="BQ199">
        <f>IF($A199="","",IF(BO199=1,$B199,BQ198))</f>
        <v>0</v>
      </c>
      <c r="BR199">
        <f>IF($A199="","",IF(BO199=1,$C199,MAX($C199,BR198)))</f>
        <v>0</v>
      </c>
      <c r="BS199">
        <f>IF($A199="","",IF(BO199=1,$D199,MIN($D199,BS198)))</f>
        <v>0</v>
      </c>
      <c r="BT199">
        <f>IF($A199="","",IF(BP199=1,F199,""))</f>
        <v>0</v>
      </c>
    </row>
    <row r="200" spans="1:72">
      <c r="A200" s="27">
        <f>IF(Data!$A200="","",Data!$A200)</f>
        <v>0</v>
      </c>
      <c r="B200">
        <f>IF(Data!$B200="","",Data!$B200)</f>
        <v>0</v>
      </c>
      <c r="C200">
        <f>IF(Data!$C200="","",Data!$C200)</f>
        <v>0</v>
      </c>
      <c r="D200">
        <f>IF(Data!$D200="","",Data!$D200)</f>
        <v>0</v>
      </c>
      <c r="E200">
        <f>IF(Data!$E200="","",Data!$E200)</f>
        <v>0</v>
      </c>
      <c r="F200">
        <f>IF($E200="","",N(F199)+1)</f>
        <v>0</v>
      </c>
      <c r="G200">
        <f>IF(OR($E200="",$E199=""),"",LN($E200/$E199))</f>
        <v>0</v>
      </c>
      <c r="H200">
        <f>IF($E200="","",IF($E199="",$E200,$E200*0.0952380952+H199*0.9047619048))</f>
        <v>0</v>
      </c>
      <c r="I200">
        <f>IF($E200="","",IF($E199="",$E200,$E200*0.0392156863+I199*0.9607843137))</f>
        <v>0</v>
      </c>
      <c r="J200">
        <f>IF($E200="","",IF($E199="",$E200,$E200*0.0198019802+J199*0.9801980198))</f>
        <v>0</v>
      </c>
      <c r="K200">
        <f>IF($E200="","",IF($E199="",$E200,$E200*0.0099502488+K199*0.9900497512))</f>
        <v>0</v>
      </c>
      <c r="L200">
        <f>IF(OR($E200="",$E199=""),"",MAX($E200-$E199,0))</f>
        <v>0</v>
      </c>
      <c r="M200">
        <f>IF(OR($E200="",$E199=""),"",MAX($E199-$E200,0))</f>
        <v>0</v>
      </c>
      <c r="N200">
        <f>IF(COUNT($E$2:$E200)&lt;15,"",IF(AVERAGE($M$187:$M$200)=0,100,100-100/(1+AVERAGE($L$187:$L$200)/AVERAGE($M$187:$M$200))))</f>
        <v>0</v>
      </c>
      <c r="O200">
        <f>IF($E200="","",IF($E199="",$E200,$E200*0.1538461538+O199*0.8461538462))</f>
        <v>0</v>
      </c>
      <c r="P200">
        <f>IF($E200="","",IF($E199="",$E200,$E200*0.0740740741+P199*0.9259259259))</f>
        <v>0</v>
      </c>
      <c r="Q200">
        <f>IF(OR(O200="",P200=""),"",O200-P200)</f>
        <v>0</v>
      </c>
      <c r="R200">
        <f>IF(Q200="","",IF(R199="",Q200,Q200*0.2000000000+R199*0.8000000000))</f>
        <v>0</v>
      </c>
      <c r="S200">
        <f>IF(OR(Q200="",R200=""),"",Q200-R200)</f>
        <v>0</v>
      </c>
      <c r="T200">
        <f>IF(COUNT($E$2:$E200)&lt;14,"",MAX($C$187:$C$200))</f>
        <v>0</v>
      </c>
      <c r="U200">
        <f>IF(COUNT($E$2:$E200)&lt;14,"",MIN($D$187:$D$200))</f>
        <v>0</v>
      </c>
      <c r="V200">
        <f>IF(OR(T200="",U200="",T200=U200),"",100*($E200-U200)/(T200-U200))</f>
        <v>0</v>
      </c>
      <c r="W200">
        <f>IF(COUNT($V$198:$V$200)&lt;3,"",AVERAGE($V$198:$V$200))</f>
        <v>0</v>
      </c>
      <c r="X200">
        <f>IF(COUNT($N$187:$N$200)&lt;14,"",MIN($N$187:$N$200))</f>
        <v>0</v>
      </c>
      <c r="Y200">
        <f>IF(COUNT($N$187:$N$200)&lt;14,"",MAX($N$187:$N$200))</f>
        <v>0</v>
      </c>
      <c r="Z200">
        <f>IF(OR(N200="",X200="",Y200="",Y200=X200),"",100*(N200-X200)/(Y200-X200))</f>
        <v>0</v>
      </c>
      <c r="AA200">
        <f>IF(COUNT($Z$198:$Z$200)&lt;3,"",AVERAGE($Z$198:$Z$200))</f>
        <v>0</v>
      </c>
      <c r="AB200">
        <f>IF(COUNT($AA$198:$AA$200)&lt;3,"",AVERAGE($AA$198:$AA$200))</f>
        <v>0</v>
      </c>
      <c r="AC200">
        <f>IF($E200="","",MAX($C200-$D200,ABS($C200-$E199),ABS($D200-$E199)))</f>
        <v>0</v>
      </c>
      <c r="AD200">
        <f>IF(COUNT($E$2:$E200)&lt;15,"",AVERAGE($AC$187:$AC$200))</f>
        <v>0</v>
      </c>
      <c r="AE200">
        <f>IF(OR($E200="",$E199=""),"",IF(AND(($C200-$C199)&gt;($D199-$D200),($C200-$C199)&gt;0),$C200-$C199,0))</f>
        <v>0</v>
      </c>
      <c r="AF200">
        <f>IF(OR($E200="",$E199=""),"",IF(AND(($D199-$D200)&gt;($C200-$C199),($D199-$D200)&gt;0),$D199-$D200,0))</f>
        <v>0</v>
      </c>
      <c r="AG200">
        <f>IF(COUNT($E$2:$E200)&lt;15,"",IF(SUM($AC$187:$AC$200)=0,0,100*SUM($AE$187:$AE$200)/SUM($AC$187:$AC$200)))</f>
        <v>0</v>
      </c>
      <c r="AH200">
        <f>IF(COUNT($E$2:$E200)&lt;15,"",IF(SUM($AC$187:$AC$200)=0,0,100*SUM($AF$187:$AF$200)/SUM($AC$187:$AC$200)))</f>
        <v>0</v>
      </c>
      <c r="AI200">
        <f>IF(OR(AG200="",AH200=""),"",IF((AG200+AH200)=0,0,100*ABS(AG200-AH200)/(AG200+AH200)))</f>
        <v>0</v>
      </c>
      <c r="AJ200">
        <f>IF(COUNT($AI$187:$AI$200)&lt;14,"",AVERAGE($AI$187:$AI$200))</f>
        <v>0</v>
      </c>
      <c r="AK200">
        <f>IF(COUNT($E$2:$E200)&lt;20,"",AVERAGE($E$181:$E$200))</f>
        <v>0</v>
      </c>
      <c r="AL200">
        <f>IF(COUNT($E$2:$E200)&lt;20,"",STDEVP($E$181:$E$200))</f>
        <v>0</v>
      </c>
      <c r="AM200">
        <f>IF(AK200="","",AK200+2*AL200)</f>
        <v>0</v>
      </c>
      <c r="AN200">
        <f>IF(AK200="","",AK200-2*AL200)</f>
        <v>0</v>
      </c>
      <c r="AO200">
        <f>IF(OR(AM200="",AN200="",AM200=AN200),"",($E200-AN200)/(AM200-AN200))</f>
        <v>0</v>
      </c>
      <c r="AP200">
        <f>IF(OR(AM200="",AK200="",AK200=0),"",(AM200-AN200)/AK200)</f>
        <v>0</v>
      </c>
      <c r="AQ200">
        <f>IF(COUNT($E$2:$E200)&lt;20,"",MAX($C$181:$C$200))</f>
        <v>0</v>
      </c>
      <c r="AR200">
        <f>IF(COUNT($E$2:$E200)&lt;20,"",MIN($D$181:$D$200))</f>
        <v>0</v>
      </c>
      <c r="AS200">
        <f>IF(OR(AQ200="",AR200=""),"",(AQ200+AR200)/2)</f>
        <v>0</v>
      </c>
      <c r="AT200">
        <f>IF(COUNT($G$181:$G$200)&lt;20,"",STDEV($G$181:$G$200)*SQRT(252))</f>
        <v>0</v>
      </c>
      <c r="AU200">
        <f>IF(COUNT($E$2:$E200)&lt;9,"",(MAX($C$192:$C$200)+MIN($D$192:$D$200))/2)</f>
        <v>0</v>
      </c>
      <c r="AV200">
        <f>IF(COUNT($E$2:$E200)&lt;26,"",(MAX($C$175:$C$200)+MIN($D$175:$D$200))/2)</f>
        <v>0</v>
      </c>
      <c r="AW200">
        <f>IF(OR(AU200="",AV200=""),"",(AU200+AV200)/2)</f>
        <v>0</v>
      </c>
      <c r="AX200">
        <f>IF(COUNT($E$2:$E200)&lt;52,"",(MAX($C$149:$C$200)+MIN($D$149:$D$200))/2)</f>
        <v>0</v>
      </c>
      <c r="AY200">
        <f>IF(COUNT($E$2:$E200)&lt;20,"",MAX($C$101:$C$200))</f>
        <v>0</v>
      </c>
      <c r="AZ200">
        <f>IF(COUNT($E$2:$E200)&lt;20,"",MIN($D$101:$D$200))</f>
        <v>0</v>
      </c>
      <c r="BA200">
        <f>IF(COUNT($E$2:$E200)&lt;20,"",SLOPE($E$101:$E$200,$F$101:$F$200))</f>
        <v>0</v>
      </c>
      <c r="BB200">
        <f>IF(COUNT($E$2:$E200)&lt;20,"",INTERCEPT($E$101:$E$200,$F$101:$F$200))</f>
        <v>0</v>
      </c>
      <c r="BC200">
        <f>IF(OR(BA200="",BB200=""),"",BB200+BA200*F200)</f>
        <v>0</v>
      </c>
      <c r="BD200">
        <f>IF(COUNT($E$2:$E200)&lt;20,"",STEYX($E$101:$E$200,$F$101:$F$200))</f>
        <v>0</v>
      </c>
      <c r="BE200">
        <f>IF($E200="","",IF(AND(COUNT($E$201:$E$204)&gt;=4,$C200=MAX($C$196:$C$204)),$C200,""))</f>
        <v>0</v>
      </c>
      <c r="BF200">
        <f>IF($E200="","",IF(AND(COUNT($E$201:$E$204)&gt;=4,$D200=MIN($D$196:$D$204)),$D200,""))</f>
        <v>0</v>
      </c>
      <c r="BG200">
        <f>IF($A200="","",$A200-WEEKDAY($A200,2)+1)</f>
        <v>0</v>
      </c>
      <c r="BH200">
        <f>IF($A200="","",IF($A199="",1,IF(BG200&lt;&gt;BG199,1,0)))</f>
        <v>0</v>
      </c>
      <c r="BI200">
        <f>IF($A200="","",IF($A201="",1,IF(BG201&lt;&gt;BG200,1,0)))</f>
        <v>0</v>
      </c>
      <c r="BJ200">
        <f>IF($A200="","",IF(BH200=1,$B200,BJ199))</f>
        <v>0</v>
      </c>
      <c r="BK200">
        <f>IF($A200="","",IF(BH200=1,$C200,MAX($C200,BK199)))</f>
        <v>0</v>
      </c>
      <c r="BL200">
        <f>IF($A200="","",IF(BH200=1,$D200,MIN($D200,BL199)))</f>
        <v>0</v>
      </c>
      <c r="BM200">
        <f>IF($A200="","",IF(BI200=1,F200,""))</f>
        <v>0</v>
      </c>
      <c r="BN200">
        <f>IF($A200="","",DATE(YEAR($A200),MONTH($A200),1))</f>
        <v>0</v>
      </c>
      <c r="BO200">
        <f>IF($A200="","",IF($A199="",1,IF(BN200&lt;&gt;BN199,1,0)))</f>
        <v>0</v>
      </c>
      <c r="BP200">
        <f>IF($A200="","",IF($A201="",1,IF(BN201&lt;&gt;BN200,1,0)))</f>
        <v>0</v>
      </c>
      <c r="BQ200">
        <f>IF($A200="","",IF(BO200=1,$B200,BQ199))</f>
        <v>0</v>
      </c>
      <c r="BR200">
        <f>IF($A200="","",IF(BO200=1,$C200,MAX($C200,BR199)))</f>
        <v>0</v>
      </c>
      <c r="BS200">
        <f>IF($A200="","",IF(BO200=1,$D200,MIN($D200,BS199)))</f>
        <v>0</v>
      </c>
      <c r="BT200">
        <f>IF($A200="","",IF(BP200=1,F200,""))</f>
        <v>0</v>
      </c>
    </row>
    <row r="201" spans="1:72">
      <c r="A201" s="27">
        <f>IF(Data!$A201="","",Data!$A201)</f>
        <v>0</v>
      </c>
      <c r="B201">
        <f>IF(Data!$B201="","",Data!$B201)</f>
        <v>0</v>
      </c>
      <c r="C201">
        <f>IF(Data!$C201="","",Data!$C201)</f>
        <v>0</v>
      </c>
      <c r="D201">
        <f>IF(Data!$D201="","",Data!$D201)</f>
        <v>0</v>
      </c>
      <c r="E201">
        <f>IF(Data!$E201="","",Data!$E201)</f>
        <v>0</v>
      </c>
      <c r="F201">
        <f>IF($E201="","",N(F200)+1)</f>
        <v>0</v>
      </c>
      <c r="G201">
        <f>IF(OR($E201="",$E200=""),"",LN($E201/$E200))</f>
        <v>0</v>
      </c>
      <c r="H201">
        <f>IF($E201="","",IF($E200="",$E201,$E201*0.0952380952+H200*0.9047619048))</f>
        <v>0</v>
      </c>
      <c r="I201">
        <f>IF($E201="","",IF($E200="",$E201,$E201*0.0392156863+I200*0.9607843137))</f>
        <v>0</v>
      </c>
      <c r="J201">
        <f>IF($E201="","",IF($E200="",$E201,$E201*0.0198019802+J200*0.9801980198))</f>
        <v>0</v>
      </c>
      <c r="K201">
        <f>IF($E201="","",IF($E200="",$E201,$E201*0.0099502488+K200*0.9900497512))</f>
        <v>0</v>
      </c>
      <c r="L201">
        <f>IF(OR($E201="",$E200=""),"",MAX($E201-$E200,0))</f>
        <v>0</v>
      </c>
      <c r="M201">
        <f>IF(OR($E201="",$E200=""),"",MAX($E200-$E201,0))</f>
        <v>0</v>
      </c>
      <c r="N201">
        <f>IF(COUNT($E$2:$E201)&lt;15,"",IF(AVERAGE($M$188:$M$201)=0,100,100-100/(1+AVERAGE($L$188:$L$201)/AVERAGE($M$188:$M$201))))</f>
        <v>0</v>
      </c>
      <c r="O201">
        <f>IF($E201="","",IF($E200="",$E201,$E201*0.1538461538+O200*0.8461538462))</f>
        <v>0</v>
      </c>
      <c r="P201">
        <f>IF($E201="","",IF($E200="",$E201,$E201*0.0740740741+P200*0.9259259259))</f>
        <v>0</v>
      </c>
      <c r="Q201">
        <f>IF(OR(O201="",P201=""),"",O201-P201)</f>
        <v>0</v>
      </c>
      <c r="R201">
        <f>IF(Q201="","",IF(R200="",Q201,Q201*0.2000000000+R200*0.8000000000))</f>
        <v>0</v>
      </c>
      <c r="S201">
        <f>IF(OR(Q201="",R201=""),"",Q201-R201)</f>
        <v>0</v>
      </c>
      <c r="T201">
        <f>IF(COUNT($E$2:$E201)&lt;14,"",MAX($C$188:$C$201))</f>
        <v>0</v>
      </c>
      <c r="U201">
        <f>IF(COUNT($E$2:$E201)&lt;14,"",MIN($D$188:$D$201))</f>
        <v>0</v>
      </c>
      <c r="V201">
        <f>IF(OR(T201="",U201="",T201=U201),"",100*($E201-U201)/(T201-U201))</f>
        <v>0</v>
      </c>
      <c r="W201">
        <f>IF(COUNT($V$199:$V$201)&lt;3,"",AVERAGE($V$199:$V$201))</f>
        <v>0</v>
      </c>
      <c r="X201">
        <f>IF(COUNT($N$188:$N$201)&lt;14,"",MIN($N$188:$N$201))</f>
        <v>0</v>
      </c>
      <c r="Y201">
        <f>IF(COUNT($N$188:$N$201)&lt;14,"",MAX($N$188:$N$201))</f>
        <v>0</v>
      </c>
      <c r="Z201">
        <f>IF(OR(N201="",X201="",Y201="",Y201=X201),"",100*(N201-X201)/(Y201-X201))</f>
        <v>0</v>
      </c>
      <c r="AA201">
        <f>IF(COUNT($Z$199:$Z$201)&lt;3,"",AVERAGE($Z$199:$Z$201))</f>
        <v>0</v>
      </c>
      <c r="AB201">
        <f>IF(COUNT($AA$199:$AA$201)&lt;3,"",AVERAGE($AA$199:$AA$201))</f>
        <v>0</v>
      </c>
      <c r="AC201">
        <f>IF($E201="","",MAX($C201-$D201,ABS($C201-$E200),ABS($D201-$E200)))</f>
        <v>0</v>
      </c>
      <c r="AD201">
        <f>IF(COUNT($E$2:$E201)&lt;15,"",AVERAGE($AC$188:$AC$201))</f>
        <v>0</v>
      </c>
      <c r="AE201">
        <f>IF(OR($E201="",$E200=""),"",IF(AND(($C201-$C200)&gt;($D200-$D201),($C201-$C200)&gt;0),$C201-$C200,0))</f>
        <v>0</v>
      </c>
      <c r="AF201">
        <f>IF(OR($E201="",$E200=""),"",IF(AND(($D200-$D201)&gt;($C201-$C200),($D200-$D201)&gt;0),$D200-$D201,0))</f>
        <v>0</v>
      </c>
      <c r="AG201">
        <f>IF(COUNT($E$2:$E201)&lt;15,"",IF(SUM($AC$188:$AC$201)=0,0,100*SUM($AE$188:$AE$201)/SUM($AC$188:$AC$201)))</f>
        <v>0</v>
      </c>
      <c r="AH201">
        <f>IF(COUNT($E$2:$E201)&lt;15,"",IF(SUM($AC$188:$AC$201)=0,0,100*SUM($AF$188:$AF$201)/SUM($AC$188:$AC$201)))</f>
        <v>0</v>
      </c>
      <c r="AI201">
        <f>IF(OR(AG201="",AH201=""),"",IF((AG201+AH201)=0,0,100*ABS(AG201-AH201)/(AG201+AH201)))</f>
        <v>0</v>
      </c>
      <c r="AJ201">
        <f>IF(COUNT($AI$188:$AI$201)&lt;14,"",AVERAGE($AI$188:$AI$201))</f>
        <v>0</v>
      </c>
      <c r="AK201">
        <f>IF(COUNT($E$2:$E201)&lt;20,"",AVERAGE($E$182:$E$201))</f>
        <v>0</v>
      </c>
      <c r="AL201">
        <f>IF(COUNT($E$2:$E201)&lt;20,"",STDEVP($E$182:$E$201))</f>
        <v>0</v>
      </c>
      <c r="AM201">
        <f>IF(AK201="","",AK201+2*AL201)</f>
        <v>0</v>
      </c>
      <c r="AN201">
        <f>IF(AK201="","",AK201-2*AL201)</f>
        <v>0</v>
      </c>
      <c r="AO201">
        <f>IF(OR(AM201="",AN201="",AM201=AN201),"",($E201-AN201)/(AM201-AN201))</f>
        <v>0</v>
      </c>
      <c r="AP201">
        <f>IF(OR(AM201="",AK201="",AK201=0),"",(AM201-AN201)/AK201)</f>
        <v>0</v>
      </c>
      <c r="AQ201">
        <f>IF(COUNT($E$2:$E201)&lt;20,"",MAX($C$182:$C$201))</f>
        <v>0</v>
      </c>
      <c r="AR201">
        <f>IF(COUNT($E$2:$E201)&lt;20,"",MIN($D$182:$D$201))</f>
        <v>0</v>
      </c>
      <c r="AS201">
        <f>IF(OR(AQ201="",AR201=""),"",(AQ201+AR201)/2)</f>
        <v>0</v>
      </c>
      <c r="AT201">
        <f>IF(COUNT($G$182:$G$201)&lt;20,"",STDEV($G$182:$G$201)*SQRT(252))</f>
        <v>0</v>
      </c>
      <c r="AU201">
        <f>IF(COUNT($E$2:$E201)&lt;9,"",(MAX($C$193:$C$201)+MIN($D$193:$D$201))/2)</f>
        <v>0</v>
      </c>
      <c r="AV201">
        <f>IF(COUNT($E$2:$E201)&lt;26,"",(MAX($C$176:$C$201)+MIN($D$176:$D$201))/2)</f>
        <v>0</v>
      </c>
      <c r="AW201">
        <f>IF(OR(AU201="",AV201=""),"",(AU201+AV201)/2)</f>
        <v>0</v>
      </c>
      <c r="AX201">
        <f>IF(COUNT($E$2:$E201)&lt;52,"",(MAX($C$150:$C$201)+MIN($D$150:$D$201))/2)</f>
        <v>0</v>
      </c>
      <c r="AY201">
        <f>IF(COUNT($E$2:$E201)&lt;20,"",MAX($C$102:$C$201))</f>
        <v>0</v>
      </c>
      <c r="AZ201">
        <f>IF(COUNT($E$2:$E201)&lt;20,"",MIN($D$102:$D$201))</f>
        <v>0</v>
      </c>
      <c r="BA201">
        <f>IF(COUNT($E$2:$E201)&lt;20,"",SLOPE($E$102:$E$201,$F$102:$F$201))</f>
        <v>0</v>
      </c>
      <c r="BB201">
        <f>IF(COUNT($E$2:$E201)&lt;20,"",INTERCEPT($E$102:$E$201,$F$102:$F$201))</f>
        <v>0</v>
      </c>
      <c r="BC201">
        <f>IF(OR(BA201="",BB201=""),"",BB201+BA201*F201)</f>
        <v>0</v>
      </c>
      <c r="BD201">
        <f>IF(COUNT($E$2:$E201)&lt;20,"",STEYX($E$102:$E$201,$F$102:$F$201))</f>
        <v>0</v>
      </c>
      <c r="BE201">
        <f>IF($E201="","",IF(AND(COUNT($E$202:$E$205)&gt;=4,$C201=MAX($C$197:$C$205)),$C201,""))</f>
        <v>0</v>
      </c>
      <c r="BF201">
        <f>IF($E201="","",IF(AND(COUNT($E$202:$E$205)&gt;=4,$D201=MIN($D$197:$D$205)),$D201,""))</f>
        <v>0</v>
      </c>
      <c r="BG201">
        <f>IF($A201="","",$A201-WEEKDAY($A201,2)+1)</f>
        <v>0</v>
      </c>
      <c r="BH201">
        <f>IF($A201="","",IF($A200="",1,IF(BG201&lt;&gt;BG200,1,0)))</f>
        <v>0</v>
      </c>
      <c r="BI201">
        <f>IF($A201="","",IF($A202="",1,IF(BG202&lt;&gt;BG201,1,0)))</f>
        <v>0</v>
      </c>
      <c r="BJ201">
        <f>IF($A201="","",IF(BH201=1,$B201,BJ200))</f>
        <v>0</v>
      </c>
      <c r="BK201">
        <f>IF($A201="","",IF(BH201=1,$C201,MAX($C201,BK200)))</f>
        <v>0</v>
      </c>
      <c r="BL201">
        <f>IF($A201="","",IF(BH201=1,$D201,MIN($D201,BL200)))</f>
        <v>0</v>
      </c>
      <c r="BM201">
        <f>IF($A201="","",IF(BI201=1,F201,""))</f>
        <v>0</v>
      </c>
      <c r="BN201">
        <f>IF($A201="","",DATE(YEAR($A201),MONTH($A201),1))</f>
        <v>0</v>
      </c>
      <c r="BO201">
        <f>IF($A201="","",IF($A200="",1,IF(BN201&lt;&gt;BN200,1,0)))</f>
        <v>0</v>
      </c>
      <c r="BP201">
        <f>IF($A201="","",IF($A202="",1,IF(BN202&lt;&gt;BN201,1,0)))</f>
        <v>0</v>
      </c>
      <c r="BQ201">
        <f>IF($A201="","",IF(BO201=1,$B201,BQ200))</f>
        <v>0</v>
      </c>
      <c r="BR201">
        <f>IF($A201="","",IF(BO201=1,$C201,MAX($C201,BR200)))</f>
        <v>0</v>
      </c>
      <c r="BS201">
        <f>IF($A201="","",IF(BO201=1,$D201,MIN($D201,BS200)))</f>
        <v>0</v>
      </c>
      <c r="BT201">
        <f>IF($A201="","",IF(BP201=1,F201,""))</f>
        <v>0</v>
      </c>
    </row>
    <row r="202" spans="1:72">
      <c r="A202" s="27">
        <f>IF(Data!$A202="","",Data!$A202)</f>
        <v>0</v>
      </c>
      <c r="B202">
        <f>IF(Data!$B202="","",Data!$B202)</f>
        <v>0</v>
      </c>
      <c r="C202">
        <f>IF(Data!$C202="","",Data!$C202)</f>
        <v>0</v>
      </c>
      <c r="D202">
        <f>IF(Data!$D202="","",Data!$D202)</f>
        <v>0</v>
      </c>
      <c r="E202">
        <f>IF(Data!$E202="","",Data!$E202)</f>
        <v>0</v>
      </c>
      <c r="F202">
        <f>IF($E202="","",N(F201)+1)</f>
        <v>0</v>
      </c>
      <c r="G202">
        <f>IF(OR($E202="",$E201=""),"",LN($E202/$E201))</f>
        <v>0</v>
      </c>
      <c r="H202">
        <f>IF($E202="","",IF($E201="",$E202,$E202*0.0952380952+H201*0.9047619048))</f>
        <v>0</v>
      </c>
      <c r="I202">
        <f>IF($E202="","",IF($E201="",$E202,$E202*0.0392156863+I201*0.9607843137))</f>
        <v>0</v>
      </c>
      <c r="J202">
        <f>IF($E202="","",IF($E201="",$E202,$E202*0.0198019802+J201*0.9801980198))</f>
        <v>0</v>
      </c>
      <c r="K202">
        <f>IF($E202="","",IF($E201="",$E202,$E202*0.0099502488+K201*0.9900497512))</f>
        <v>0</v>
      </c>
      <c r="L202">
        <f>IF(OR($E202="",$E201=""),"",MAX($E202-$E201,0))</f>
        <v>0</v>
      </c>
      <c r="M202">
        <f>IF(OR($E202="",$E201=""),"",MAX($E201-$E202,0))</f>
        <v>0</v>
      </c>
      <c r="N202">
        <f>IF(COUNT($E$2:$E202)&lt;15,"",IF(AVERAGE($M$189:$M$202)=0,100,100-100/(1+AVERAGE($L$189:$L$202)/AVERAGE($M$189:$M$202))))</f>
        <v>0</v>
      </c>
      <c r="O202">
        <f>IF($E202="","",IF($E201="",$E202,$E202*0.1538461538+O201*0.8461538462))</f>
        <v>0</v>
      </c>
      <c r="P202">
        <f>IF($E202="","",IF($E201="",$E202,$E202*0.0740740741+P201*0.9259259259))</f>
        <v>0</v>
      </c>
      <c r="Q202">
        <f>IF(OR(O202="",P202=""),"",O202-P202)</f>
        <v>0</v>
      </c>
      <c r="R202">
        <f>IF(Q202="","",IF(R201="",Q202,Q202*0.2000000000+R201*0.8000000000))</f>
        <v>0</v>
      </c>
      <c r="S202">
        <f>IF(OR(Q202="",R202=""),"",Q202-R202)</f>
        <v>0</v>
      </c>
      <c r="T202">
        <f>IF(COUNT($E$2:$E202)&lt;14,"",MAX($C$189:$C$202))</f>
        <v>0</v>
      </c>
      <c r="U202">
        <f>IF(COUNT($E$2:$E202)&lt;14,"",MIN($D$189:$D$202))</f>
        <v>0</v>
      </c>
      <c r="V202">
        <f>IF(OR(T202="",U202="",T202=U202),"",100*($E202-U202)/(T202-U202))</f>
        <v>0</v>
      </c>
      <c r="W202">
        <f>IF(COUNT($V$200:$V$202)&lt;3,"",AVERAGE($V$200:$V$202))</f>
        <v>0</v>
      </c>
      <c r="X202">
        <f>IF(COUNT($N$189:$N$202)&lt;14,"",MIN($N$189:$N$202))</f>
        <v>0</v>
      </c>
      <c r="Y202">
        <f>IF(COUNT($N$189:$N$202)&lt;14,"",MAX($N$189:$N$202))</f>
        <v>0</v>
      </c>
      <c r="Z202">
        <f>IF(OR(N202="",X202="",Y202="",Y202=X202),"",100*(N202-X202)/(Y202-X202))</f>
        <v>0</v>
      </c>
      <c r="AA202">
        <f>IF(COUNT($Z$200:$Z$202)&lt;3,"",AVERAGE($Z$200:$Z$202))</f>
        <v>0</v>
      </c>
      <c r="AB202">
        <f>IF(COUNT($AA$200:$AA$202)&lt;3,"",AVERAGE($AA$200:$AA$202))</f>
        <v>0</v>
      </c>
      <c r="AC202">
        <f>IF($E202="","",MAX($C202-$D202,ABS($C202-$E201),ABS($D202-$E201)))</f>
        <v>0</v>
      </c>
      <c r="AD202">
        <f>IF(COUNT($E$2:$E202)&lt;15,"",AVERAGE($AC$189:$AC$202))</f>
        <v>0</v>
      </c>
      <c r="AE202">
        <f>IF(OR($E202="",$E201=""),"",IF(AND(($C202-$C201)&gt;($D201-$D202),($C202-$C201)&gt;0),$C202-$C201,0))</f>
        <v>0</v>
      </c>
      <c r="AF202">
        <f>IF(OR($E202="",$E201=""),"",IF(AND(($D201-$D202)&gt;($C202-$C201),($D201-$D202)&gt;0),$D201-$D202,0))</f>
        <v>0</v>
      </c>
      <c r="AG202">
        <f>IF(COUNT($E$2:$E202)&lt;15,"",IF(SUM($AC$189:$AC$202)=0,0,100*SUM($AE$189:$AE$202)/SUM($AC$189:$AC$202)))</f>
        <v>0</v>
      </c>
      <c r="AH202">
        <f>IF(COUNT($E$2:$E202)&lt;15,"",IF(SUM($AC$189:$AC$202)=0,0,100*SUM($AF$189:$AF$202)/SUM($AC$189:$AC$202)))</f>
        <v>0</v>
      </c>
      <c r="AI202">
        <f>IF(OR(AG202="",AH202=""),"",IF((AG202+AH202)=0,0,100*ABS(AG202-AH202)/(AG202+AH202)))</f>
        <v>0</v>
      </c>
      <c r="AJ202">
        <f>IF(COUNT($AI$189:$AI$202)&lt;14,"",AVERAGE($AI$189:$AI$202))</f>
        <v>0</v>
      </c>
      <c r="AK202">
        <f>IF(COUNT($E$2:$E202)&lt;20,"",AVERAGE($E$183:$E$202))</f>
        <v>0</v>
      </c>
      <c r="AL202">
        <f>IF(COUNT($E$2:$E202)&lt;20,"",STDEVP($E$183:$E$202))</f>
        <v>0</v>
      </c>
      <c r="AM202">
        <f>IF(AK202="","",AK202+2*AL202)</f>
        <v>0</v>
      </c>
      <c r="AN202">
        <f>IF(AK202="","",AK202-2*AL202)</f>
        <v>0</v>
      </c>
      <c r="AO202">
        <f>IF(OR(AM202="",AN202="",AM202=AN202),"",($E202-AN202)/(AM202-AN202))</f>
        <v>0</v>
      </c>
      <c r="AP202">
        <f>IF(OR(AM202="",AK202="",AK202=0),"",(AM202-AN202)/AK202)</f>
        <v>0</v>
      </c>
      <c r="AQ202">
        <f>IF(COUNT($E$2:$E202)&lt;20,"",MAX($C$183:$C$202))</f>
        <v>0</v>
      </c>
      <c r="AR202">
        <f>IF(COUNT($E$2:$E202)&lt;20,"",MIN($D$183:$D$202))</f>
        <v>0</v>
      </c>
      <c r="AS202">
        <f>IF(OR(AQ202="",AR202=""),"",(AQ202+AR202)/2)</f>
        <v>0</v>
      </c>
      <c r="AT202">
        <f>IF(COUNT($G$183:$G$202)&lt;20,"",STDEV($G$183:$G$202)*SQRT(252))</f>
        <v>0</v>
      </c>
      <c r="AU202">
        <f>IF(COUNT($E$2:$E202)&lt;9,"",(MAX($C$194:$C$202)+MIN($D$194:$D$202))/2)</f>
        <v>0</v>
      </c>
      <c r="AV202">
        <f>IF(COUNT($E$2:$E202)&lt;26,"",(MAX($C$177:$C$202)+MIN($D$177:$D$202))/2)</f>
        <v>0</v>
      </c>
      <c r="AW202">
        <f>IF(OR(AU202="",AV202=""),"",(AU202+AV202)/2)</f>
        <v>0</v>
      </c>
      <c r="AX202">
        <f>IF(COUNT($E$2:$E202)&lt;52,"",(MAX($C$151:$C$202)+MIN($D$151:$D$202))/2)</f>
        <v>0</v>
      </c>
      <c r="AY202">
        <f>IF(COUNT($E$2:$E202)&lt;20,"",MAX($C$103:$C$202))</f>
        <v>0</v>
      </c>
      <c r="AZ202">
        <f>IF(COUNT($E$2:$E202)&lt;20,"",MIN($D$103:$D$202))</f>
        <v>0</v>
      </c>
      <c r="BA202">
        <f>IF(COUNT($E$2:$E202)&lt;20,"",SLOPE($E$103:$E$202,$F$103:$F$202))</f>
        <v>0</v>
      </c>
      <c r="BB202">
        <f>IF(COUNT($E$2:$E202)&lt;20,"",INTERCEPT($E$103:$E$202,$F$103:$F$202))</f>
        <v>0</v>
      </c>
      <c r="BC202">
        <f>IF(OR(BA202="",BB202=""),"",BB202+BA202*F202)</f>
        <v>0</v>
      </c>
      <c r="BD202">
        <f>IF(COUNT($E$2:$E202)&lt;20,"",STEYX($E$103:$E$202,$F$103:$F$202))</f>
        <v>0</v>
      </c>
      <c r="BE202">
        <f>IF($E202="","",IF(AND(COUNT($E$203:$E$206)&gt;=4,$C202=MAX($C$198:$C$206)),$C202,""))</f>
        <v>0</v>
      </c>
      <c r="BF202">
        <f>IF($E202="","",IF(AND(COUNT($E$203:$E$206)&gt;=4,$D202=MIN($D$198:$D$206)),$D202,""))</f>
        <v>0</v>
      </c>
      <c r="BG202">
        <f>IF($A202="","",$A202-WEEKDAY($A202,2)+1)</f>
        <v>0</v>
      </c>
      <c r="BH202">
        <f>IF($A202="","",IF($A201="",1,IF(BG202&lt;&gt;BG201,1,0)))</f>
        <v>0</v>
      </c>
      <c r="BI202">
        <f>IF($A202="","",IF($A203="",1,IF(BG203&lt;&gt;BG202,1,0)))</f>
        <v>0</v>
      </c>
      <c r="BJ202">
        <f>IF($A202="","",IF(BH202=1,$B202,BJ201))</f>
        <v>0</v>
      </c>
      <c r="BK202">
        <f>IF($A202="","",IF(BH202=1,$C202,MAX($C202,BK201)))</f>
        <v>0</v>
      </c>
      <c r="BL202">
        <f>IF($A202="","",IF(BH202=1,$D202,MIN($D202,BL201)))</f>
        <v>0</v>
      </c>
      <c r="BM202">
        <f>IF($A202="","",IF(BI202=1,F202,""))</f>
        <v>0</v>
      </c>
      <c r="BN202">
        <f>IF($A202="","",DATE(YEAR($A202),MONTH($A202),1))</f>
        <v>0</v>
      </c>
      <c r="BO202">
        <f>IF($A202="","",IF($A201="",1,IF(BN202&lt;&gt;BN201,1,0)))</f>
        <v>0</v>
      </c>
      <c r="BP202">
        <f>IF($A202="","",IF($A203="",1,IF(BN203&lt;&gt;BN202,1,0)))</f>
        <v>0</v>
      </c>
      <c r="BQ202">
        <f>IF($A202="","",IF(BO202=1,$B202,BQ201))</f>
        <v>0</v>
      </c>
      <c r="BR202">
        <f>IF($A202="","",IF(BO202=1,$C202,MAX($C202,BR201)))</f>
        <v>0</v>
      </c>
      <c r="BS202">
        <f>IF($A202="","",IF(BO202=1,$D202,MIN($D202,BS201)))</f>
        <v>0</v>
      </c>
      <c r="BT202">
        <f>IF($A202="","",IF(BP202=1,F202,""))</f>
        <v>0</v>
      </c>
    </row>
    <row r="203" spans="1:72">
      <c r="A203" s="27">
        <f>IF(Data!$A203="","",Data!$A203)</f>
        <v>0</v>
      </c>
      <c r="B203">
        <f>IF(Data!$B203="","",Data!$B203)</f>
        <v>0</v>
      </c>
      <c r="C203">
        <f>IF(Data!$C203="","",Data!$C203)</f>
        <v>0</v>
      </c>
      <c r="D203">
        <f>IF(Data!$D203="","",Data!$D203)</f>
        <v>0</v>
      </c>
      <c r="E203">
        <f>IF(Data!$E203="","",Data!$E203)</f>
        <v>0</v>
      </c>
      <c r="F203">
        <f>IF($E203="","",N(F202)+1)</f>
        <v>0</v>
      </c>
      <c r="G203">
        <f>IF(OR($E203="",$E202=""),"",LN($E203/$E202))</f>
        <v>0</v>
      </c>
      <c r="H203">
        <f>IF($E203="","",IF($E202="",$E203,$E203*0.0952380952+H202*0.9047619048))</f>
        <v>0</v>
      </c>
      <c r="I203">
        <f>IF($E203="","",IF($E202="",$E203,$E203*0.0392156863+I202*0.9607843137))</f>
        <v>0</v>
      </c>
      <c r="J203">
        <f>IF($E203="","",IF($E202="",$E203,$E203*0.0198019802+J202*0.9801980198))</f>
        <v>0</v>
      </c>
      <c r="K203">
        <f>IF($E203="","",IF($E202="",$E203,$E203*0.0099502488+K202*0.9900497512))</f>
        <v>0</v>
      </c>
      <c r="L203">
        <f>IF(OR($E203="",$E202=""),"",MAX($E203-$E202,0))</f>
        <v>0</v>
      </c>
      <c r="M203">
        <f>IF(OR($E203="",$E202=""),"",MAX($E202-$E203,0))</f>
        <v>0</v>
      </c>
      <c r="N203">
        <f>IF(COUNT($E$2:$E203)&lt;15,"",IF(AVERAGE($M$190:$M$203)=0,100,100-100/(1+AVERAGE($L$190:$L$203)/AVERAGE($M$190:$M$203))))</f>
        <v>0</v>
      </c>
      <c r="O203">
        <f>IF($E203="","",IF($E202="",$E203,$E203*0.1538461538+O202*0.8461538462))</f>
        <v>0</v>
      </c>
      <c r="P203">
        <f>IF($E203="","",IF($E202="",$E203,$E203*0.0740740741+P202*0.9259259259))</f>
        <v>0</v>
      </c>
      <c r="Q203">
        <f>IF(OR(O203="",P203=""),"",O203-P203)</f>
        <v>0</v>
      </c>
      <c r="R203">
        <f>IF(Q203="","",IF(R202="",Q203,Q203*0.2000000000+R202*0.8000000000))</f>
        <v>0</v>
      </c>
      <c r="S203">
        <f>IF(OR(Q203="",R203=""),"",Q203-R203)</f>
        <v>0</v>
      </c>
      <c r="T203">
        <f>IF(COUNT($E$2:$E203)&lt;14,"",MAX($C$190:$C$203))</f>
        <v>0</v>
      </c>
      <c r="U203">
        <f>IF(COUNT($E$2:$E203)&lt;14,"",MIN($D$190:$D$203))</f>
        <v>0</v>
      </c>
      <c r="V203">
        <f>IF(OR(T203="",U203="",T203=U203),"",100*($E203-U203)/(T203-U203))</f>
        <v>0</v>
      </c>
      <c r="W203">
        <f>IF(COUNT($V$201:$V$203)&lt;3,"",AVERAGE($V$201:$V$203))</f>
        <v>0</v>
      </c>
      <c r="X203">
        <f>IF(COUNT($N$190:$N$203)&lt;14,"",MIN($N$190:$N$203))</f>
        <v>0</v>
      </c>
      <c r="Y203">
        <f>IF(COUNT($N$190:$N$203)&lt;14,"",MAX($N$190:$N$203))</f>
        <v>0</v>
      </c>
      <c r="Z203">
        <f>IF(OR(N203="",X203="",Y203="",Y203=X203),"",100*(N203-X203)/(Y203-X203))</f>
        <v>0</v>
      </c>
      <c r="AA203">
        <f>IF(COUNT($Z$201:$Z$203)&lt;3,"",AVERAGE($Z$201:$Z$203))</f>
        <v>0</v>
      </c>
      <c r="AB203">
        <f>IF(COUNT($AA$201:$AA$203)&lt;3,"",AVERAGE($AA$201:$AA$203))</f>
        <v>0</v>
      </c>
      <c r="AC203">
        <f>IF($E203="","",MAX($C203-$D203,ABS($C203-$E202),ABS($D203-$E202)))</f>
        <v>0</v>
      </c>
      <c r="AD203">
        <f>IF(COUNT($E$2:$E203)&lt;15,"",AVERAGE($AC$190:$AC$203))</f>
        <v>0</v>
      </c>
      <c r="AE203">
        <f>IF(OR($E203="",$E202=""),"",IF(AND(($C203-$C202)&gt;($D202-$D203),($C203-$C202)&gt;0),$C203-$C202,0))</f>
        <v>0</v>
      </c>
      <c r="AF203">
        <f>IF(OR($E203="",$E202=""),"",IF(AND(($D202-$D203)&gt;($C203-$C202),($D202-$D203)&gt;0),$D202-$D203,0))</f>
        <v>0</v>
      </c>
      <c r="AG203">
        <f>IF(COUNT($E$2:$E203)&lt;15,"",IF(SUM($AC$190:$AC$203)=0,0,100*SUM($AE$190:$AE$203)/SUM($AC$190:$AC$203)))</f>
        <v>0</v>
      </c>
      <c r="AH203">
        <f>IF(COUNT($E$2:$E203)&lt;15,"",IF(SUM($AC$190:$AC$203)=0,0,100*SUM($AF$190:$AF$203)/SUM($AC$190:$AC$203)))</f>
        <v>0</v>
      </c>
      <c r="AI203">
        <f>IF(OR(AG203="",AH203=""),"",IF((AG203+AH203)=0,0,100*ABS(AG203-AH203)/(AG203+AH203)))</f>
        <v>0</v>
      </c>
      <c r="AJ203">
        <f>IF(COUNT($AI$190:$AI$203)&lt;14,"",AVERAGE($AI$190:$AI$203))</f>
        <v>0</v>
      </c>
      <c r="AK203">
        <f>IF(COUNT($E$2:$E203)&lt;20,"",AVERAGE($E$184:$E$203))</f>
        <v>0</v>
      </c>
      <c r="AL203">
        <f>IF(COUNT($E$2:$E203)&lt;20,"",STDEVP($E$184:$E$203))</f>
        <v>0</v>
      </c>
      <c r="AM203">
        <f>IF(AK203="","",AK203+2*AL203)</f>
        <v>0</v>
      </c>
      <c r="AN203">
        <f>IF(AK203="","",AK203-2*AL203)</f>
        <v>0</v>
      </c>
      <c r="AO203">
        <f>IF(OR(AM203="",AN203="",AM203=AN203),"",($E203-AN203)/(AM203-AN203))</f>
        <v>0</v>
      </c>
      <c r="AP203">
        <f>IF(OR(AM203="",AK203="",AK203=0),"",(AM203-AN203)/AK203)</f>
        <v>0</v>
      </c>
      <c r="AQ203">
        <f>IF(COUNT($E$2:$E203)&lt;20,"",MAX($C$184:$C$203))</f>
        <v>0</v>
      </c>
      <c r="AR203">
        <f>IF(COUNT($E$2:$E203)&lt;20,"",MIN($D$184:$D$203))</f>
        <v>0</v>
      </c>
      <c r="AS203">
        <f>IF(OR(AQ203="",AR203=""),"",(AQ203+AR203)/2)</f>
        <v>0</v>
      </c>
      <c r="AT203">
        <f>IF(COUNT($G$184:$G$203)&lt;20,"",STDEV($G$184:$G$203)*SQRT(252))</f>
        <v>0</v>
      </c>
      <c r="AU203">
        <f>IF(COUNT($E$2:$E203)&lt;9,"",(MAX($C$195:$C$203)+MIN($D$195:$D$203))/2)</f>
        <v>0</v>
      </c>
      <c r="AV203">
        <f>IF(COUNT($E$2:$E203)&lt;26,"",(MAX($C$178:$C$203)+MIN($D$178:$D$203))/2)</f>
        <v>0</v>
      </c>
      <c r="AW203">
        <f>IF(OR(AU203="",AV203=""),"",(AU203+AV203)/2)</f>
        <v>0</v>
      </c>
      <c r="AX203">
        <f>IF(COUNT($E$2:$E203)&lt;52,"",(MAX($C$152:$C$203)+MIN($D$152:$D$203))/2)</f>
        <v>0</v>
      </c>
      <c r="AY203">
        <f>IF(COUNT($E$2:$E203)&lt;20,"",MAX($C$104:$C$203))</f>
        <v>0</v>
      </c>
      <c r="AZ203">
        <f>IF(COUNT($E$2:$E203)&lt;20,"",MIN($D$104:$D$203))</f>
        <v>0</v>
      </c>
      <c r="BA203">
        <f>IF(COUNT($E$2:$E203)&lt;20,"",SLOPE($E$104:$E$203,$F$104:$F$203))</f>
        <v>0</v>
      </c>
      <c r="BB203">
        <f>IF(COUNT($E$2:$E203)&lt;20,"",INTERCEPT($E$104:$E$203,$F$104:$F$203))</f>
        <v>0</v>
      </c>
      <c r="BC203">
        <f>IF(OR(BA203="",BB203=""),"",BB203+BA203*F203)</f>
        <v>0</v>
      </c>
      <c r="BD203">
        <f>IF(COUNT($E$2:$E203)&lt;20,"",STEYX($E$104:$E$203,$F$104:$F$203))</f>
        <v>0</v>
      </c>
      <c r="BE203">
        <f>IF($E203="","",IF(AND(COUNT($E$204:$E$207)&gt;=4,$C203=MAX($C$199:$C$207)),$C203,""))</f>
        <v>0</v>
      </c>
      <c r="BF203">
        <f>IF($E203="","",IF(AND(COUNT($E$204:$E$207)&gt;=4,$D203=MIN($D$199:$D$207)),$D203,""))</f>
        <v>0</v>
      </c>
      <c r="BG203">
        <f>IF($A203="","",$A203-WEEKDAY($A203,2)+1)</f>
        <v>0</v>
      </c>
      <c r="BH203">
        <f>IF($A203="","",IF($A202="",1,IF(BG203&lt;&gt;BG202,1,0)))</f>
        <v>0</v>
      </c>
      <c r="BI203">
        <f>IF($A203="","",IF($A204="",1,IF(BG204&lt;&gt;BG203,1,0)))</f>
        <v>0</v>
      </c>
      <c r="BJ203">
        <f>IF($A203="","",IF(BH203=1,$B203,BJ202))</f>
        <v>0</v>
      </c>
      <c r="BK203">
        <f>IF($A203="","",IF(BH203=1,$C203,MAX($C203,BK202)))</f>
        <v>0</v>
      </c>
      <c r="BL203">
        <f>IF($A203="","",IF(BH203=1,$D203,MIN($D203,BL202)))</f>
        <v>0</v>
      </c>
      <c r="BM203">
        <f>IF($A203="","",IF(BI203=1,F203,""))</f>
        <v>0</v>
      </c>
      <c r="BN203">
        <f>IF($A203="","",DATE(YEAR($A203),MONTH($A203),1))</f>
        <v>0</v>
      </c>
      <c r="BO203">
        <f>IF($A203="","",IF($A202="",1,IF(BN203&lt;&gt;BN202,1,0)))</f>
        <v>0</v>
      </c>
      <c r="BP203">
        <f>IF($A203="","",IF($A204="",1,IF(BN204&lt;&gt;BN203,1,0)))</f>
        <v>0</v>
      </c>
      <c r="BQ203">
        <f>IF($A203="","",IF(BO203=1,$B203,BQ202))</f>
        <v>0</v>
      </c>
      <c r="BR203">
        <f>IF($A203="","",IF(BO203=1,$C203,MAX($C203,BR202)))</f>
        <v>0</v>
      </c>
      <c r="BS203">
        <f>IF($A203="","",IF(BO203=1,$D203,MIN($D203,BS202)))</f>
        <v>0</v>
      </c>
      <c r="BT203">
        <f>IF($A203="","",IF(BP203=1,F203,""))</f>
        <v>0</v>
      </c>
    </row>
    <row r="204" spans="1:72">
      <c r="A204" s="27">
        <f>IF(Data!$A204="","",Data!$A204)</f>
        <v>0</v>
      </c>
      <c r="B204">
        <f>IF(Data!$B204="","",Data!$B204)</f>
        <v>0</v>
      </c>
      <c r="C204">
        <f>IF(Data!$C204="","",Data!$C204)</f>
        <v>0</v>
      </c>
      <c r="D204">
        <f>IF(Data!$D204="","",Data!$D204)</f>
        <v>0</v>
      </c>
      <c r="E204">
        <f>IF(Data!$E204="","",Data!$E204)</f>
        <v>0</v>
      </c>
      <c r="F204">
        <f>IF($E204="","",N(F203)+1)</f>
        <v>0</v>
      </c>
      <c r="G204">
        <f>IF(OR($E204="",$E203=""),"",LN($E204/$E203))</f>
        <v>0</v>
      </c>
      <c r="H204">
        <f>IF($E204="","",IF($E203="",$E204,$E204*0.0952380952+H203*0.9047619048))</f>
        <v>0</v>
      </c>
      <c r="I204">
        <f>IF($E204="","",IF($E203="",$E204,$E204*0.0392156863+I203*0.9607843137))</f>
        <v>0</v>
      </c>
      <c r="J204">
        <f>IF($E204="","",IF($E203="",$E204,$E204*0.0198019802+J203*0.9801980198))</f>
        <v>0</v>
      </c>
      <c r="K204">
        <f>IF($E204="","",IF($E203="",$E204,$E204*0.0099502488+K203*0.9900497512))</f>
        <v>0</v>
      </c>
      <c r="L204">
        <f>IF(OR($E204="",$E203=""),"",MAX($E204-$E203,0))</f>
        <v>0</v>
      </c>
      <c r="M204">
        <f>IF(OR($E204="",$E203=""),"",MAX($E203-$E204,0))</f>
        <v>0</v>
      </c>
      <c r="N204">
        <f>IF(COUNT($E$2:$E204)&lt;15,"",IF(AVERAGE($M$191:$M$204)=0,100,100-100/(1+AVERAGE($L$191:$L$204)/AVERAGE($M$191:$M$204))))</f>
        <v>0</v>
      </c>
      <c r="O204">
        <f>IF($E204="","",IF($E203="",$E204,$E204*0.1538461538+O203*0.8461538462))</f>
        <v>0</v>
      </c>
      <c r="P204">
        <f>IF($E204="","",IF($E203="",$E204,$E204*0.0740740741+P203*0.9259259259))</f>
        <v>0</v>
      </c>
      <c r="Q204">
        <f>IF(OR(O204="",P204=""),"",O204-P204)</f>
        <v>0</v>
      </c>
      <c r="R204">
        <f>IF(Q204="","",IF(R203="",Q204,Q204*0.2000000000+R203*0.8000000000))</f>
        <v>0</v>
      </c>
      <c r="S204">
        <f>IF(OR(Q204="",R204=""),"",Q204-R204)</f>
        <v>0</v>
      </c>
      <c r="T204">
        <f>IF(COUNT($E$2:$E204)&lt;14,"",MAX($C$191:$C$204))</f>
        <v>0</v>
      </c>
      <c r="U204">
        <f>IF(COUNT($E$2:$E204)&lt;14,"",MIN($D$191:$D$204))</f>
        <v>0</v>
      </c>
      <c r="V204">
        <f>IF(OR(T204="",U204="",T204=U204),"",100*($E204-U204)/(T204-U204))</f>
        <v>0</v>
      </c>
      <c r="W204">
        <f>IF(COUNT($V$202:$V$204)&lt;3,"",AVERAGE($V$202:$V$204))</f>
        <v>0</v>
      </c>
      <c r="X204">
        <f>IF(COUNT($N$191:$N$204)&lt;14,"",MIN($N$191:$N$204))</f>
        <v>0</v>
      </c>
      <c r="Y204">
        <f>IF(COUNT($N$191:$N$204)&lt;14,"",MAX($N$191:$N$204))</f>
        <v>0</v>
      </c>
      <c r="Z204">
        <f>IF(OR(N204="",X204="",Y204="",Y204=X204),"",100*(N204-X204)/(Y204-X204))</f>
        <v>0</v>
      </c>
      <c r="AA204">
        <f>IF(COUNT($Z$202:$Z$204)&lt;3,"",AVERAGE($Z$202:$Z$204))</f>
        <v>0</v>
      </c>
      <c r="AB204">
        <f>IF(COUNT($AA$202:$AA$204)&lt;3,"",AVERAGE($AA$202:$AA$204))</f>
        <v>0</v>
      </c>
      <c r="AC204">
        <f>IF($E204="","",MAX($C204-$D204,ABS($C204-$E203),ABS($D204-$E203)))</f>
        <v>0</v>
      </c>
      <c r="AD204">
        <f>IF(COUNT($E$2:$E204)&lt;15,"",AVERAGE($AC$191:$AC$204))</f>
        <v>0</v>
      </c>
      <c r="AE204">
        <f>IF(OR($E204="",$E203=""),"",IF(AND(($C204-$C203)&gt;($D203-$D204),($C204-$C203)&gt;0),$C204-$C203,0))</f>
        <v>0</v>
      </c>
      <c r="AF204">
        <f>IF(OR($E204="",$E203=""),"",IF(AND(($D203-$D204)&gt;($C204-$C203),($D203-$D204)&gt;0),$D203-$D204,0))</f>
        <v>0</v>
      </c>
      <c r="AG204">
        <f>IF(COUNT($E$2:$E204)&lt;15,"",IF(SUM($AC$191:$AC$204)=0,0,100*SUM($AE$191:$AE$204)/SUM($AC$191:$AC$204)))</f>
        <v>0</v>
      </c>
      <c r="AH204">
        <f>IF(COUNT($E$2:$E204)&lt;15,"",IF(SUM($AC$191:$AC$204)=0,0,100*SUM($AF$191:$AF$204)/SUM($AC$191:$AC$204)))</f>
        <v>0</v>
      </c>
      <c r="AI204">
        <f>IF(OR(AG204="",AH204=""),"",IF((AG204+AH204)=0,0,100*ABS(AG204-AH204)/(AG204+AH204)))</f>
        <v>0</v>
      </c>
      <c r="AJ204">
        <f>IF(COUNT($AI$191:$AI$204)&lt;14,"",AVERAGE($AI$191:$AI$204))</f>
        <v>0</v>
      </c>
      <c r="AK204">
        <f>IF(COUNT($E$2:$E204)&lt;20,"",AVERAGE($E$185:$E$204))</f>
        <v>0</v>
      </c>
      <c r="AL204">
        <f>IF(COUNT($E$2:$E204)&lt;20,"",STDEVP($E$185:$E$204))</f>
        <v>0</v>
      </c>
      <c r="AM204">
        <f>IF(AK204="","",AK204+2*AL204)</f>
        <v>0</v>
      </c>
      <c r="AN204">
        <f>IF(AK204="","",AK204-2*AL204)</f>
        <v>0</v>
      </c>
      <c r="AO204">
        <f>IF(OR(AM204="",AN204="",AM204=AN204),"",($E204-AN204)/(AM204-AN204))</f>
        <v>0</v>
      </c>
      <c r="AP204">
        <f>IF(OR(AM204="",AK204="",AK204=0),"",(AM204-AN204)/AK204)</f>
        <v>0</v>
      </c>
      <c r="AQ204">
        <f>IF(COUNT($E$2:$E204)&lt;20,"",MAX($C$185:$C$204))</f>
        <v>0</v>
      </c>
      <c r="AR204">
        <f>IF(COUNT($E$2:$E204)&lt;20,"",MIN($D$185:$D$204))</f>
        <v>0</v>
      </c>
      <c r="AS204">
        <f>IF(OR(AQ204="",AR204=""),"",(AQ204+AR204)/2)</f>
        <v>0</v>
      </c>
      <c r="AT204">
        <f>IF(COUNT($G$185:$G$204)&lt;20,"",STDEV($G$185:$G$204)*SQRT(252))</f>
        <v>0</v>
      </c>
      <c r="AU204">
        <f>IF(COUNT($E$2:$E204)&lt;9,"",(MAX($C$196:$C$204)+MIN($D$196:$D$204))/2)</f>
        <v>0</v>
      </c>
      <c r="AV204">
        <f>IF(COUNT($E$2:$E204)&lt;26,"",(MAX($C$179:$C$204)+MIN($D$179:$D$204))/2)</f>
        <v>0</v>
      </c>
      <c r="AW204">
        <f>IF(OR(AU204="",AV204=""),"",(AU204+AV204)/2)</f>
        <v>0</v>
      </c>
      <c r="AX204">
        <f>IF(COUNT($E$2:$E204)&lt;52,"",(MAX($C$153:$C$204)+MIN($D$153:$D$204))/2)</f>
        <v>0</v>
      </c>
      <c r="AY204">
        <f>IF(COUNT($E$2:$E204)&lt;20,"",MAX($C$105:$C$204))</f>
        <v>0</v>
      </c>
      <c r="AZ204">
        <f>IF(COUNT($E$2:$E204)&lt;20,"",MIN($D$105:$D$204))</f>
        <v>0</v>
      </c>
      <c r="BA204">
        <f>IF(COUNT($E$2:$E204)&lt;20,"",SLOPE($E$105:$E$204,$F$105:$F$204))</f>
        <v>0</v>
      </c>
      <c r="BB204">
        <f>IF(COUNT($E$2:$E204)&lt;20,"",INTERCEPT($E$105:$E$204,$F$105:$F$204))</f>
        <v>0</v>
      </c>
      <c r="BC204">
        <f>IF(OR(BA204="",BB204=""),"",BB204+BA204*F204)</f>
        <v>0</v>
      </c>
      <c r="BD204">
        <f>IF(COUNT($E$2:$E204)&lt;20,"",STEYX($E$105:$E$204,$F$105:$F$204))</f>
        <v>0</v>
      </c>
      <c r="BE204">
        <f>IF($E204="","",IF(AND(COUNT($E$205:$E$208)&gt;=4,$C204=MAX($C$200:$C$208)),$C204,""))</f>
        <v>0</v>
      </c>
      <c r="BF204">
        <f>IF($E204="","",IF(AND(COUNT($E$205:$E$208)&gt;=4,$D204=MIN($D$200:$D$208)),$D204,""))</f>
        <v>0</v>
      </c>
      <c r="BG204">
        <f>IF($A204="","",$A204-WEEKDAY($A204,2)+1)</f>
        <v>0</v>
      </c>
      <c r="BH204">
        <f>IF($A204="","",IF($A203="",1,IF(BG204&lt;&gt;BG203,1,0)))</f>
        <v>0</v>
      </c>
      <c r="BI204">
        <f>IF($A204="","",IF($A205="",1,IF(BG205&lt;&gt;BG204,1,0)))</f>
        <v>0</v>
      </c>
      <c r="BJ204">
        <f>IF($A204="","",IF(BH204=1,$B204,BJ203))</f>
        <v>0</v>
      </c>
      <c r="BK204">
        <f>IF($A204="","",IF(BH204=1,$C204,MAX($C204,BK203)))</f>
        <v>0</v>
      </c>
      <c r="BL204">
        <f>IF($A204="","",IF(BH204=1,$D204,MIN($D204,BL203)))</f>
        <v>0</v>
      </c>
      <c r="BM204">
        <f>IF($A204="","",IF(BI204=1,F204,""))</f>
        <v>0</v>
      </c>
      <c r="BN204">
        <f>IF($A204="","",DATE(YEAR($A204),MONTH($A204),1))</f>
        <v>0</v>
      </c>
      <c r="BO204">
        <f>IF($A204="","",IF($A203="",1,IF(BN204&lt;&gt;BN203,1,0)))</f>
        <v>0</v>
      </c>
      <c r="BP204">
        <f>IF($A204="","",IF($A205="",1,IF(BN205&lt;&gt;BN204,1,0)))</f>
        <v>0</v>
      </c>
      <c r="BQ204">
        <f>IF($A204="","",IF(BO204=1,$B204,BQ203))</f>
        <v>0</v>
      </c>
      <c r="BR204">
        <f>IF($A204="","",IF(BO204=1,$C204,MAX($C204,BR203)))</f>
        <v>0</v>
      </c>
      <c r="BS204">
        <f>IF($A204="","",IF(BO204=1,$D204,MIN($D204,BS203)))</f>
        <v>0</v>
      </c>
      <c r="BT204">
        <f>IF($A204="","",IF(BP204=1,F204,""))</f>
        <v>0</v>
      </c>
    </row>
    <row r="205" spans="1:72">
      <c r="A205" s="27">
        <f>IF(Data!$A205="","",Data!$A205)</f>
        <v>0</v>
      </c>
      <c r="B205">
        <f>IF(Data!$B205="","",Data!$B205)</f>
        <v>0</v>
      </c>
      <c r="C205">
        <f>IF(Data!$C205="","",Data!$C205)</f>
        <v>0</v>
      </c>
      <c r="D205">
        <f>IF(Data!$D205="","",Data!$D205)</f>
        <v>0</v>
      </c>
      <c r="E205">
        <f>IF(Data!$E205="","",Data!$E205)</f>
        <v>0</v>
      </c>
      <c r="F205">
        <f>IF($E205="","",N(F204)+1)</f>
        <v>0</v>
      </c>
      <c r="G205">
        <f>IF(OR($E205="",$E204=""),"",LN($E205/$E204))</f>
        <v>0</v>
      </c>
      <c r="H205">
        <f>IF($E205="","",IF($E204="",$E205,$E205*0.0952380952+H204*0.9047619048))</f>
        <v>0</v>
      </c>
      <c r="I205">
        <f>IF($E205="","",IF($E204="",$E205,$E205*0.0392156863+I204*0.9607843137))</f>
        <v>0</v>
      </c>
      <c r="J205">
        <f>IF($E205="","",IF($E204="",$E205,$E205*0.0198019802+J204*0.9801980198))</f>
        <v>0</v>
      </c>
      <c r="K205">
        <f>IF($E205="","",IF($E204="",$E205,$E205*0.0099502488+K204*0.9900497512))</f>
        <v>0</v>
      </c>
      <c r="L205">
        <f>IF(OR($E205="",$E204=""),"",MAX($E205-$E204,0))</f>
        <v>0</v>
      </c>
      <c r="M205">
        <f>IF(OR($E205="",$E204=""),"",MAX($E204-$E205,0))</f>
        <v>0</v>
      </c>
      <c r="N205">
        <f>IF(COUNT($E$2:$E205)&lt;15,"",IF(AVERAGE($M$192:$M$205)=0,100,100-100/(1+AVERAGE($L$192:$L$205)/AVERAGE($M$192:$M$205))))</f>
        <v>0</v>
      </c>
      <c r="O205">
        <f>IF($E205="","",IF($E204="",$E205,$E205*0.1538461538+O204*0.8461538462))</f>
        <v>0</v>
      </c>
      <c r="P205">
        <f>IF($E205="","",IF($E204="",$E205,$E205*0.0740740741+P204*0.9259259259))</f>
        <v>0</v>
      </c>
      <c r="Q205">
        <f>IF(OR(O205="",P205=""),"",O205-P205)</f>
        <v>0</v>
      </c>
      <c r="R205">
        <f>IF(Q205="","",IF(R204="",Q205,Q205*0.2000000000+R204*0.8000000000))</f>
        <v>0</v>
      </c>
      <c r="S205">
        <f>IF(OR(Q205="",R205=""),"",Q205-R205)</f>
        <v>0</v>
      </c>
      <c r="T205">
        <f>IF(COUNT($E$2:$E205)&lt;14,"",MAX($C$192:$C$205))</f>
        <v>0</v>
      </c>
      <c r="U205">
        <f>IF(COUNT($E$2:$E205)&lt;14,"",MIN($D$192:$D$205))</f>
        <v>0</v>
      </c>
      <c r="V205">
        <f>IF(OR(T205="",U205="",T205=U205),"",100*($E205-U205)/(T205-U205))</f>
        <v>0</v>
      </c>
      <c r="W205">
        <f>IF(COUNT($V$203:$V$205)&lt;3,"",AVERAGE($V$203:$V$205))</f>
        <v>0</v>
      </c>
      <c r="X205">
        <f>IF(COUNT($N$192:$N$205)&lt;14,"",MIN($N$192:$N$205))</f>
        <v>0</v>
      </c>
      <c r="Y205">
        <f>IF(COUNT($N$192:$N$205)&lt;14,"",MAX($N$192:$N$205))</f>
        <v>0</v>
      </c>
      <c r="Z205">
        <f>IF(OR(N205="",X205="",Y205="",Y205=X205),"",100*(N205-X205)/(Y205-X205))</f>
        <v>0</v>
      </c>
      <c r="AA205">
        <f>IF(COUNT($Z$203:$Z$205)&lt;3,"",AVERAGE($Z$203:$Z$205))</f>
        <v>0</v>
      </c>
      <c r="AB205">
        <f>IF(COUNT($AA$203:$AA$205)&lt;3,"",AVERAGE($AA$203:$AA$205))</f>
        <v>0</v>
      </c>
      <c r="AC205">
        <f>IF($E205="","",MAX($C205-$D205,ABS($C205-$E204),ABS($D205-$E204)))</f>
        <v>0</v>
      </c>
      <c r="AD205">
        <f>IF(COUNT($E$2:$E205)&lt;15,"",AVERAGE($AC$192:$AC$205))</f>
        <v>0</v>
      </c>
      <c r="AE205">
        <f>IF(OR($E205="",$E204=""),"",IF(AND(($C205-$C204)&gt;($D204-$D205),($C205-$C204)&gt;0),$C205-$C204,0))</f>
        <v>0</v>
      </c>
      <c r="AF205">
        <f>IF(OR($E205="",$E204=""),"",IF(AND(($D204-$D205)&gt;($C205-$C204),($D204-$D205)&gt;0),$D204-$D205,0))</f>
        <v>0</v>
      </c>
      <c r="AG205">
        <f>IF(COUNT($E$2:$E205)&lt;15,"",IF(SUM($AC$192:$AC$205)=0,0,100*SUM($AE$192:$AE$205)/SUM($AC$192:$AC$205)))</f>
        <v>0</v>
      </c>
      <c r="AH205">
        <f>IF(COUNT($E$2:$E205)&lt;15,"",IF(SUM($AC$192:$AC$205)=0,0,100*SUM($AF$192:$AF$205)/SUM($AC$192:$AC$205)))</f>
        <v>0</v>
      </c>
      <c r="AI205">
        <f>IF(OR(AG205="",AH205=""),"",IF((AG205+AH205)=0,0,100*ABS(AG205-AH205)/(AG205+AH205)))</f>
        <v>0</v>
      </c>
      <c r="AJ205">
        <f>IF(COUNT($AI$192:$AI$205)&lt;14,"",AVERAGE($AI$192:$AI$205))</f>
        <v>0</v>
      </c>
      <c r="AK205">
        <f>IF(COUNT($E$2:$E205)&lt;20,"",AVERAGE($E$186:$E$205))</f>
        <v>0</v>
      </c>
      <c r="AL205">
        <f>IF(COUNT($E$2:$E205)&lt;20,"",STDEVP($E$186:$E$205))</f>
        <v>0</v>
      </c>
      <c r="AM205">
        <f>IF(AK205="","",AK205+2*AL205)</f>
        <v>0</v>
      </c>
      <c r="AN205">
        <f>IF(AK205="","",AK205-2*AL205)</f>
        <v>0</v>
      </c>
      <c r="AO205">
        <f>IF(OR(AM205="",AN205="",AM205=AN205),"",($E205-AN205)/(AM205-AN205))</f>
        <v>0</v>
      </c>
      <c r="AP205">
        <f>IF(OR(AM205="",AK205="",AK205=0),"",(AM205-AN205)/AK205)</f>
        <v>0</v>
      </c>
      <c r="AQ205">
        <f>IF(COUNT($E$2:$E205)&lt;20,"",MAX($C$186:$C$205))</f>
        <v>0</v>
      </c>
      <c r="AR205">
        <f>IF(COUNT($E$2:$E205)&lt;20,"",MIN($D$186:$D$205))</f>
        <v>0</v>
      </c>
      <c r="AS205">
        <f>IF(OR(AQ205="",AR205=""),"",(AQ205+AR205)/2)</f>
        <v>0</v>
      </c>
      <c r="AT205">
        <f>IF(COUNT($G$186:$G$205)&lt;20,"",STDEV($G$186:$G$205)*SQRT(252))</f>
        <v>0</v>
      </c>
      <c r="AU205">
        <f>IF(COUNT($E$2:$E205)&lt;9,"",(MAX($C$197:$C$205)+MIN($D$197:$D$205))/2)</f>
        <v>0</v>
      </c>
      <c r="AV205">
        <f>IF(COUNT($E$2:$E205)&lt;26,"",(MAX($C$180:$C$205)+MIN($D$180:$D$205))/2)</f>
        <v>0</v>
      </c>
      <c r="AW205">
        <f>IF(OR(AU205="",AV205=""),"",(AU205+AV205)/2)</f>
        <v>0</v>
      </c>
      <c r="AX205">
        <f>IF(COUNT($E$2:$E205)&lt;52,"",(MAX($C$154:$C$205)+MIN($D$154:$D$205))/2)</f>
        <v>0</v>
      </c>
      <c r="AY205">
        <f>IF(COUNT($E$2:$E205)&lt;20,"",MAX($C$106:$C$205))</f>
        <v>0</v>
      </c>
      <c r="AZ205">
        <f>IF(COUNT($E$2:$E205)&lt;20,"",MIN($D$106:$D$205))</f>
        <v>0</v>
      </c>
      <c r="BA205">
        <f>IF(COUNT($E$2:$E205)&lt;20,"",SLOPE($E$106:$E$205,$F$106:$F$205))</f>
        <v>0</v>
      </c>
      <c r="BB205">
        <f>IF(COUNT($E$2:$E205)&lt;20,"",INTERCEPT($E$106:$E$205,$F$106:$F$205))</f>
        <v>0</v>
      </c>
      <c r="BC205">
        <f>IF(OR(BA205="",BB205=""),"",BB205+BA205*F205)</f>
        <v>0</v>
      </c>
      <c r="BD205">
        <f>IF(COUNT($E$2:$E205)&lt;20,"",STEYX($E$106:$E$205,$F$106:$F$205))</f>
        <v>0</v>
      </c>
      <c r="BE205">
        <f>IF($E205="","",IF(AND(COUNT($E$206:$E$209)&gt;=4,$C205=MAX($C$201:$C$209)),$C205,""))</f>
        <v>0</v>
      </c>
      <c r="BF205">
        <f>IF($E205="","",IF(AND(COUNT($E$206:$E$209)&gt;=4,$D205=MIN($D$201:$D$209)),$D205,""))</f>
        <v>0</v>
      </c>
      <c r="BG205">
        <f>IF($A205="","",$A205-WEEKDAY($A205,2)+1)</f>
        <v>0</v>
      </c>
      <c r="BH205">
        <f>IF($A205="","",IF($A204="",1,IF(BG205&lt;&gt;BG204,1,0)))</f>
        <v>0</v>
      </c>
      <c r="BI205">
        <f>IF($A205="","",IF($A206="",1,IF(BG206&lt;&gt;BG205,1,0)))</f>
        <v>0</v>
      </c>
      <c r="BJ205">
        <f>IF($A205="","",IF(BH205=1,$B205,BJ204))</f>
        <v>0</v>
      </c>
      <c r="BK205">
        <f>IF($A205="","",IF(BH205=1,$C205,MAX($C205,BK204)))</f>
        <v>0</v>
      </c>
      <c r="BL205">
        <f>IF($A205="","",IF(BH205=1,$D205,MIN($D205,BL204)))</f>
        <v>0</v>
      </c>
      <c r="BM205">
        <f>IF($A205="","",IF(BI205=1,F205,""))</f>
        <v>0</v>
      </c>
      <c r="BN205">
        <f>IF($A205="","",DATE(YEAR($A205),MONTH($A205),1))</f>
        <v>0</v>
      </c>
      <c r="BO205">
        <f>IF($A205="","",IF($A204="",1,IF(BN205&lt;&gt;BN204,1,0)))</f>
        <v>0</v>
      </c>
      <c r="BP205">
        <f>IF($A205="","",IF($A206="",1,IF(BN206&lt;&gt;BN205,1,0)))</f>
        <v>0</v>
      </c>
      <c r="BQ205">
        <f>IF($A205="","",IF(BO205=1,$B205,BQ204))</f>
        <v>0</v>
      </c>
      <c r="BR205">
        <f>IF($A205="","",IF(BO205=1,$C205,MAX($C205,BR204)))</f>
        <v>0</v>
      </c>
      <c r="BS205">
        <f>IF($A205="","",IF(BO205=1,$D205,MIN($D205,BS204)))</f>
        <v>0</v>
      </c>
      <c r="BT205">
        <f>IF($A205="","",IF(BP205=1,F205,""))</f>
        <v>0</v>
      </c>
    </row>
    <row r="206" spans="1:72">
      <c r="A206" s="27">
        <f>IF(Data!$A206="","",Data!$A206)</f>
        <v>0</v>
      </c>
      <c r="B206">
        <f>IF(Data!$B206="","",Data!$B206)</f>
        <v>0</v>
      </c>
      <c r="C206">
        <f>IF(Data!$C206="","",Data!$C206)</f>
        <v>0</v>
      </c>
      <c r="D206">
        <f>IF(Data!$D206="","",Data!$D206)</f>
        <v>0</v>
      </c>
      <c r="E206">
        <f>IF(Data!$E206="","",Data!$E206)</f>
        <v>0</v>
      </c>
      <c r="F206">
        <f>IF($E206="","",N(F205)+1)</f>
        <v>0</v>
      </c>
      <c r="G206">
        <f>IF(OR($E206="",$E205=""),"",LN($E206/$E205))</f>
        <v>0</v>
      </c>
      <c r="H206">
        <f>IF($E206="","",IF($E205="",$E206,$E206*0.0952380952+H205*0.9047619048))</f>
        <v>0</v>
      </c>
      <c r="I206">
        <f>IF($E206="","",IF($E205="",$E206,$E206*0.0392156863+I205*0.9607843137))</f>
        <v>0</v>
      </c>
      <c r="J206">
        <f>IF($E206="","",IF($E205="",$E206,$E206*0.0198019802+J205*0.9801980198))</f>
        <v>0</v>
      </c>
      <c r="K206">
        <f>IF($E206="","",IF($E205="",$E206,$E206*0.0099502488+K205*0.9900497512))</f>
        <v>0</v>
      </c>
      <c r="L206">
        <f>IF(OR($E206="",$E205=""),"",MAX($E206-$E205,0))</f>
        <v>0</v>
      </c>
      <c r="M206">
        <f>IF(OR($E206="",$E205=""),"",MAX($E205-$E206,0))</f>
        <v>0</v>
      </c>
      <c r="N206">
        <f>IF(COUNT($E$2:$E206)&lt;15,"",IF(AVERAGE($M$193:$M$206)=0,100,100-100/(1+AVERAGE($L$193:$L$206)/AVERAGE($M$193:$M$206))))</f>
        <v>0</v>
      </c>
      <c r="O206">
        <f>IF($E206="","",IF($E205="",$E206,$E206*0.1538461538+O205*0.8461538462))</f>
        <v>0</v>
      </c>
      <c r="P206">
        <f>IF($E206="","",IF($E205="",$E206,$E206*0.0740740741+P205*0.9259259259))</f>
        <v>0</v>
      </c>
      <c r="Q206">
        <f>IF(OR(O206="",P206=""),"",O206-P206)</f>
        <v>0</v>
      </c>
      <c r="R206">
        <f>IF(Q206="","",IF(R205="",Q206,Q206*0.2000000000+R205*0.8000000000))</f>
        <v>0</v>
      </c>
      <c r="S206">
        <f>IF(OR(Q206="",R206=""),"",Q206-R206)</f>
        <v>0</v>
      </c>
      <c r="T206">
        <f>IF(COUNT($E$2:$E206)&lt;14,"",MAX($C$193:$C$206))</f>
        <v>0</v>
      </c>
      <c r="U206">
        <f>IF(COUNT($E$2:$E206)&lt;14,"",MIN($D$193:$D$206))</f>
        <v>0</v>
      </c>
      <c r="V206">
        <f>IF(OR(T206="",U206="",T206=U206),"",100*($E206-U206)/(T206-U206))</f>
        <v>0</v>
      </c>
      <c r="W206">
        <f>IF(COUNT($V$204:$V$206)&lt;3,"",AVERAGE($V$204:$V$206))</f>
        <v>0</v>
      </c>
      <c r="X206">
        <f>IF(COUNT($N$193:$N$206)&lt;14,"",MIN($N$193:$N$206))</f>
        <v>0</v>
      </c>
      <c r="Y206">
        <f>IF(COUNT($N$193:$N$206)&lt;14,"",MAX($N$193:$N$206))</f>
        <v>0</v>
      </c>
      <c r="Z206">
        <f>IF(OR(N206="",X206="",Y206="",Y206=X206),"",100*(N206-X206)/(Y206-X206))</f>
        <v>0</v>
      </c>
      <c r="AA206">
        <f>IF(COUNT($Z$204:$Z$206)&lt;3,"",AVERAGE($Z$204:$Z$206))</f>
        <v>0</v>
      </c>
      <c r="AB206">
        <f>IF(COUNT($AA$204:$AA$206)&lt;3,"",AVERAGE($AA$204:$AA$206))</f>
        <v>0</v>
      </c>
      <c r="AC206">
        <f>IF($E206="","",MAX($C206-$D206,ABS($C206-$E205),ABS($D206-$E205)))</f>
        <v>0</v>
      </c>
      <c r="AD206">
        <f>IF(COUNT($E$2:$E206)&lt;15,"",AVERAGE($AC$193:$AC$206))</f>
        <v>0</v>
      </c>
      <c r="AE206">
        <f>IF(OR($E206="",$E205=""),"",IF(AND(($C206-$C205)&gt;($D205-$D206),($C206-$C205)&gt;0),$C206-$C205,0))</f>
        <v>0</v>
      </c>
      <c r="AF206">
        <f>IF(OR($E206="",$E205=""),"",IF(AND(($D205-$D206)&gt;($C206-$C205),($D205-$D206)&gt;0),$D205-$D206,0))</f>
        <v>0</v>
      </c>
      <c r="AG206">
        <f>IF(COUNT($E$2:$E206)&lt;15,"",IF(SUM($AC$193:$AC$206)=0,0,100*SUM($AE$193:$AE$206)/SUM($AC$193:$AC$206)))</f>
        <v>0</v>
      </c>
      <c r="AH206">
        <f>IF(COUNT($E$2:$E206)&lt;15,"",IF(SUM($AC$193:$AC$206)=0,0,100*SUM($AF$193:$AF$206)/SUM($AC$193:$AC$206)))</f>
        <v>0</v>
      </c>
      <c r="AI206">
        <f>IF(OR(AG206="",AH206=""),"",IF((AG206+AH206)=0,0,100*ABS(AG206-AH206)/(AG206+AH206)))</f>
        <v>0</v>
      </c>
      <c r="AJ206">
        <f>IF(COUNT($AI$193:$AI$206)&lt;14,"",AVERAGE($AI$193:$AI$206))</f>
        <v>0</v>
      </c>
      <c r="AK206">
        <f>IF(COUNT($E$2:$E206)&lt;20,"",AVERAGE($E$187:$E$206))</f>
        <v>0</v>
      </c>
      <c r="AL206">
        <f>IF(COUNT($E$2:$E206)&lt;20,"",STDEVP($E$187:$E$206))</f>
        <v>0</v>
      </c>
      <c r="AM206">
        <f>IF(AK206="","",AK206+2*AL206)</f>
        <v>0</v>
      </c>
      <c r="AN206">
        <f>IF(AK206="","",AK206-2*AL206)</f>
        <v>0</v>
      </c>
      <c r="AO206">
        <f>IF(OR(AM206="",AN206="",AM206=AN206),"",($E206-AN206)/(AM206-AN206))</f>
        <v>0</v>
      </c>
      <c r="AP206">
        <f>IF(OR(AM206="",AK206="",AK206=0),"",(AM206-AN206)/AK206)</f>
        <v>0</v>
      </c>
      <c r="AQ206">
        <f>IF(COUNT($E$2:$E206)&lt;20,"",MAX($C$187:$C$206))</f>
        <v>0</v>
      </c>
      <c r="AR206">
        <f>IF(COUNT($E$2:$E206)&lt;20,"",MIN($D$187:$D$206))</f>
        <v>0</v>
      </c>
      <c r="AS206">
        <f>IF(OR(AQ206="",AR206=""),"",(AQ206+AR206)/2)</f>
        <v>0</v>
      </c>
      <c r="AT206">
        <f>IF(COUNT($G$187:$G$206)&lt;20,"",STDEV($G$187:$G$206)*SQRT(252))</f>
        <v>0</v>
      </c>
      <c r="AU206">
        <f>IF(COUNT($E$2:$E206)&lt;9,"",(MAX($C$198:$C$206)+MIN($D$198:$D$206))/2)</f>
        <v>0</v>
      </c>
      <c r="AV206">
        <f>IF(COUNT($E$2:$E206)&lt;26,"",(MAX($C$181:$C$206)+MIN($D$181:$D$206))/2)</f>
        <v>0</v>
      </c>
      <c r="AW206">
        <f>IF(OR(AU206="",AV206=""),"",(AU206+AV206)/2)</f>
        <v>0</v>
      </c>
      <c r="AX206">
        <f>IF(COUNT($E$2:$E206)&lt;52,"",(MAX($C$155:$C$206)+MIN($D$155:$D$206))/2)</f>
        <v>0</v>
      </c>
      <c r="AY206">
        <f>IF(COUNT($E$2:$E206)&lt;20,"",MAX($C$107:$C$206))</f>
        <v>0</v>
      </c>
      <c r="AZ206">
        <f>IF(COUNT($E$2:$E206)&lt;20,"",MIN($D$107:$D$206))</f>
        <v>0</v>
      </c>
      <c r="BA206">
        <f>IF(COUNT($E$2:$E206)&lt;20,"",SLOPE($E$107:$E$206,$F$107:$F$206))</f>
        <v>0</v>
      </c>
      <c r="BB206">
        <f>IF(COUNT($E$2:$E206)&lt;20,"",INTERCEPT($E$107:$E$206,$F$107:$F$206))</f>
        <v>0</v>
      </c>
      <c r="BC206">
        <f>IF(OR(BA206="",BB206=""),"",BB206+BA206*F206)</f>
        <v>0</v>
      </c>
      <c r="BD206">
        <f>IF(COUNT($E$2:$E206)&lt;20,"",STEYX($E$107:$E$206,$F$107:$F$206))</f>
        <v>0</v>
      </c>
      <c r="BE206">
        <f>IF($E206="","",IF(AND(COUNT($E$207:$E$210)&gt;=4,$C206=MAX($C$202:$C$210)),$C206,""))</f>
        <v>0</v>
      </c>
      <c r="BF206">
        <f>IF($E206="","",IF(AND(COUNT($E$207:$E$210)&gt;=4,$D206=MIN($D$202:$D$210)),$D206,""))</f>
        <v>0</v>
      </c>
      <c r="BG206">
        <f>IF($A206="","",$A206-WEEKDAY($A206,2)+1)</f>
        <v>0</v>
      </c>
      <c r="BH206">
        <f>IF($A206="","",IF($A205="",1,IF(BG206&lt;&gt;BG205,1,0)))</f>
        <v>0</v>
      </c>
      <c r="BI206">
        <f>IF($A206="","",IF($A207="",1,IF(BG207&lt;&gt;BG206,1,0)))</f>
        <v>0</v>
      </c>
      <c r="BJ206">
        <f>IF($A206="","",IF(BH206=1,$B206,BJ205))</f>
        <v>0</v>
      </c>
      <c r="BK206">
        <f>IF($A206="","",IF(BH206=1,$C206,MAX($C206,BK205)))</f>
        <v>0</v>
      </c>
      <c r="BL206">
        <f>IF($A206="","",IF(BH206=1,$D206,MIN($D206,BL205)))</f>
        <v>0</v>
      </c>
      <c r="BM206">
        <f>IF($A206="","",IF(BI206=1,F206,""))</f>
        <v>0</v>
      </c>
      <c r="BN206">
        <f>IF($A206="","",DATE(YEAR($A206),MONTH($A206),1))</f>
        <v>0</v>
      </c>
      <c r="BO206">
        <f>IF($A206="","",IF($A205="",1,IF(BN206&lt;&gt;BN205,1,0)))</f>
        <v>0</v>
      </c>
      <c r="BP206">
        <f>IF($A206="","",IF($A207="",1,IF(BN207&lt;&gt;BN206,1,0)))</f>
        <v>0</v>
      </c>
      <c r="BQ206">
        <f>IF($A206="","",IF(BO206=1,$B206,BQ205))</f>
        <v>0</v>
      </c>
      <c r="BR206">
        <f>IF($A206="","",IF(BO206=1,$C206,MAX($C206,BR205)))</f>
        <v>0</v>
      </c>
      <c r="BS206">
        <f>IF($A206="","",IF(BO206=1,$D206,MIN($D206,BS205)))</f>
        <v>0</v>
      </c>
      <c r="BT206">
        <f>IF($A206="","",IF(BP206=1,F206,""))</f>
        <v>0</v>
      </c>
    </row>
    <row r="207" spans="1:72">
      <c r="A207" s="27">
        <f>IF(Data!$A207="","",Data!$A207)</f>
        <v>0</v>
      </c>
      <c r="B207">
        <f>IF(Data!$B207="","",Data!$B207)</f>
        <v>0</v>
      </c>
      <c r="C207">
        <f>IF(Data!$C207="","",Data!$C207)</f>
        <v>0</v>
      </c>
      <c r="D207">
        <f>IF(Data!$D207="","",Data!$D207)</f>
        <v>0</v>
      </c>
      <c r="E207">
        <f>IF(Data!$E207="","",Data!$E207)</f>
        <v>0</v>
      </c>
      <c r="F207">
        <f>IF($E207="","",N(F206)+1)</f>
        <v>0</v>
      </c>
      <c r="G207">
        <f>IF(OR($E207="",$E206=""),"",LN($E207/$E206))</f>
        <v>0</v>
      </c>
      <c r="H207">
        <f>IF($E207="","",IF($E206="",$E207,$E207*0.0952380952+H206*0.9047619048))</f>
        <v>0</v>
      </c>
      <c r="I207">
        <f>IF($E207="","",IF($E206="",$E207,$E207*0.0392156863+I206*0.9607843137))</f>
        <v>0</v>
      </c>
      <c r="J207">
        <f>IF($E207="","",IF($E206="",$E207,$E207*0.0198019802+J206*0.9801980198))</f>
        <v>0</v>
      </c>
      <c r="K207">
        <f>IF($E207="","",IF($E206="",$E207,$E207*0.0099502488+K206*0.9900497512))</f>
        <v>0</v>
      </c>
      <c r="L207">
        <f>IF(OR($E207="",$E206=""),"",MAX($E207-$E206,0))</f>
        <v>0</v>
      </c>
      <c r="M207">
        <f>IF(OR($E207="",$E206=""),"",MAX($E206-$E207,0))</f>
        <v>0</v>
      </c>
      <c r="N207">
        <f>IF(COUNT($E$2:$E207)&lt;15,"",IF(AVERAGE($M$194:$M$207)=0,100,100-100/(1+AVERAGE($L$194:$L$207)/AVERAGE($M$194:$M$207))))</f>
        <v>0</v>
      </c>
      <c r="O207">
        <f>IF($E207="","",IF($E206="",$E207,$E207*0.1538461538+O206*0.8461538462))</f>
        <v>0</v>
      </c>
      <c r="P207">
        <f>IF($E207="","",IF($E206="",$E207,$E207*0.0740740741+P206*0.9259259259))</f>
        <v>0</v>
      </c>
      <c r="Q207">
        <f>IF(OR(O207="",P207=""),"",O207-P207)</f>
        <v>0</v>
      </c>
      <c r="R207">
        <f>IF(Q207="","",IF(R206="",Q207,Q207*0.2000000000+R206*0.8000000000))</f>
        <v>0</v>
      </c>
      <c r="S207">
        <f>IF(OR(Q207="",R207=""),"",Q207-R207)</f>
        <v>0</v>
      </c>
      <c r="T207">
        <f>IF(COUNT($E$2:$E207)&lt;14,"",MAX($C$194:$C$207))</f>
        <v>0</v>
      </c>
      <c r="U207">
        <f>IF(COUNT($E$2:$E207)&lt;14,"",MIN($D$194:$D$207))</f>
        <v>0</v>
      </c>
      <c r="V207">
        <f>IF(OR(T207="",U207="",T207=U207),"",100*($E207-U207)/(T207-U207))</f>
        <v>0</v>
      </c>
      <c r="W207">
        <f>IF(COUNT($V$205:$V$207)&lt;3,"",AVERAGE($V$205:$V$207))</f>
        <v>0</v>
      </c>
      <c r="X207">
        <f>IF(COUNT($N$194:$N$207)&lt;14,"",MIN($N$194:$N$207))</f>
        <v>0</v>
      </c>
      <c r="Y207">
        <f>IF(COUNT($N$194:$N$207)&lt;14,"",MAX($N$194:$N$207))</f>
        <v>0</v>
      </c>
      <c r="Z207">
        <f>IF(OR(N207="",X207="",Y207="",Y207=X207),"",100*(N207-X207)/(Y207-X207))</f>
        <v>0</v>
      </c>
      <c r="AA207">
        <f>IF(COUNT($Z$205:$Z$207)&lt;3,"",AVERAGE($Z$205:$Z$207))</f>
        <v>0</v>
      </c>
      <c r="AB207">
        <f>IF(COUNT($AA$205:$AA$207)&lt;3,"",AVERAGE($AA$205:$AA$207))</f>
        <v>0</v>
      </c>
      <c r="AC207">
        <f>IF($E207="","",MAX($C207-$D207,ABS($C207-$E206),ABS($D207-$E206)))</f>
        <v>0</v>
      </c>
      <c r="AD207">
        <f>IF(COUNT($E$2:$E207)&lt;15,"",AVERAGE($AC$194:$AC$207))</f>
        <v>0</v>
      </c>
      <c r="AE207">
        <f>IF(OR($E207="",$E206=""),"",IF(AND(($C207-$C206)&gt;($D206-$D207),($C207-$C206)&gt;0),$C207-$C206,0))</f>
        <v>0</v>
      </c>
      <c r="AF207">
        <f>IF(OR($E207="",$E206=""),"",IF(AND(($D206-$D207)&gt;($C207-$C206),($D206-$D207)&gt;0),$D206-$D207,0))</f>
        <v>0</v>
      </c>
      <c r="AG207">
        <f>IF(COUNT($E$2:$E207)&lt;15,"",IF(SUM($AC$194:$AC$207)=0,0,100*SUM($AE$194:$AE$207)/SUM($AC$194:$AC$207)))</f>
        <v>0</v>
      </c>
      <c r="AH207">
        <f>IF(COUNT($E$2:$E207)&lt;15,"",IF(SUM($AC$194:$AC$207)=0,0,100*SUM($AF$194:$AF$207)/SUM($AC$194:$AC$207)))</f>
        <v>0</v>
      </c>
      <c r="AI207">
        <f>IF(OR(AG207="",AH207=""),"",IF((AG207+AH207)=0,0,100*ABS(AG207-AH207)/(AG207+AH207)))</f>
        <v>0</v>
      </c>
      <c r="AJ207">
        <f>IF(COUNT($AI$194:$AI$207)&lt;14,"",AVERAGE($AI$194:$AI$207))</f>
        <v>0</v>
      </c>
      <c r="AK207">
        <f>IF(COUNT($E$2:$E207)&lt;20,"",AVERAGE($E$188:$E$207))</f>
        <v>0</v>
      </c>
      <c r="AL207">
        <f>IF(COUNT($E$2:$E207)&lt;20,"",STDEVP($E$188:$E$207))</f>
        <v>0</v>
      </c>
      <c r="AM207">
        <f>IF(AK207="","",AK207+2*AL207)</f>
        <v>0</v>
      </c>
      <c r="AN207">
        <f>IF(AK207="","",AK207-2*AL207)</f>
        <v>0</v>
      </c>
      <c r="AO207">
        <f>IF(OR(AM207="",AN207="",AM207=AN207),"",($E207-AN207)/(AM207-AN207))</f>
        <v>0</v>
      </c>
      <c r="AP207">
        <f>IF(OR(AM207="",AK207="",AK207=0),"",(AM207-AN207)/AK207)</f>
        <v>0</v>
      </c>
      <c r="AQ207">
        <f>IF(COUNT($E$2:$E207)&lt;20,"",MAX($C$188:$C$207))</f>
        <v>0</v>
      </c>
      <c r="AR207">
        <f>IF(COUNT($E$2:$E207)&lt;20,"",MIN($D$188:$D$207))</f>
        <v>0</v>
      </c>
      <c r="AS207">
        <f>IF(OR(AQ207="",AR207=""),"",(AQ207+AR207)/2)</f>
        <v>0</v>
      </c>
      <c r="AT207">
        <f>IF(COUNT($G$188:$G$207)&lt;20,"",STDEV($G$188:$G$207)*SQRT(252))</f>
        <v>0</v>
      </c>
      <c r="AU207">
        <f>IF(COUNT($E$2:$E207)&lt;9,"",(MAX($C$199:$C$207)+MIN($D$199:$D$207))/2)</f>
        <v>0</v>
      </c>
      <c r="AV207">
        <f>IF(COUNT($E$2:$E207)&lt;26,"",(MAX($C$182:$C$207)+MIN($D$182:$D$207))/2)</f>
        <v>0</v>
      </c>
      <c r="AW207">
        <f>IF(OR(AU207="",AV207=""),"",(AU207+AV207)/2)</f>
        <v>0</v>
      </c>
      <c r="AX207">
        <f>IF(COUNT($E$2:$E207)&lt;52,"",(MAX($C$156:$C$207)+MIN($D$156:$D$207))/2)</f>
        <v>0</v>
      </c>
      <c r="AY207">
        <f>IF(COUNT($E$2:$E207)&lt;20,"",MAX($C$108:$C$207))</f>
        <v>0</v>
      </c>
      <c r="AZ207">
        <f>IF(COUNT($E$2:$E207)&lt;20,"",MIN($D$108:$D$207))</f>
        <v>0</v>
      </c>
      <c r="BA207">
        <f>IF(COUNT($E$2:$E207)&lt;20,"",SLOPE($E$108:$E$207,$F$108:$F$207))</f>
        <v>0</v>
      </c>
      <c r="BB207">
        <f>IF(COUNT($E$2:$E207)&lt;20,"",INTERCEPT($E$108:$E$207,$F$108:$F$207))</f>
        <v>0</v>
      </c>
      <c r="BC207">
        <f>IF(OR(BA207="",BB207=""),"",BB207+BA207*F207)</f>
        <v>0</v>
      </c>
      <c r="BD207">
        <f>IF(COUNT($E$2:$E207)&lt;20,"",STEYX($E$108:$E$207,$F$108:$F$207))</f>
        <v>0</v>
      </c>
      <c r="BE207">
        <f>IF($E207="","",IF(AND(COUNT($E$208:$E$211)&gt;=4,$C207=MAX($C$203:$C$211)),$C207,""))</f>
        <v>0</v>
      </c>
      <c r="BF207">
        <f>IF($E207="","",IF(AND(COUNT($E$208:$E$211)&gt;=4,$D207=MIN($D$203:$D$211)),$D207,""))</f>
        <v>0</v>
      </c>
      <c r="BG207">
        <f>IF($A207="","",$A207-WEEKDAY($A207,2)+1)</f>
        <v>0</v>
      </c>
      <c r="BH207">
        <f>IF($A207="","",IF($A206="",1,IF(BG207&lt;&gt;BG206,1,0)))</f>
        <v>0</v>
      </c>
      <c r="BI207">
        <f>IF($A207="","",IF($A208="",1,IF(BG208&lt;&gt;BG207,1,0)))</f>
        <v>0</v>
      </c>
      <c r="BJ207">
        <f>IF($A207="","",IF(BH207=1,$B207,BJ206))</f>
        <v>0</v>
      </c>
      <c r="BK207">
        <f>IF($A207="","",IF(BH207=1,$C207,MAX($C207,BK206)))</f>
        <v>0</v>
      </c>
      <c r="BL207">
        <f>IF($A207="","",IF(BH207=1,$D207,MIN($D207,BL206)))</f>
        <v>0</v>
      </c>
      <c r="BM207">
        <f>IF($A207="","",IF(BI207=1,F207,""))</f>
        <v>0</v>
      </c>
      <c r="BN207">
        <f>IF($A207="","",DATE(YEAR($A207),MONTH($A207),1))</f>
        <v>0</v>
      </c>
      <c r="BO207">
        <f>IF($A207="","",IF($A206="",1,IF(BN207&lt;&gt;BN206,1,0)))</f>
        <v>0</v>
      </c>
      <c r="BP207">
        <f>IF($A207="","",IF($A208="",1,IF(BN208&lt;&gt;BN207,1,0)))</f>
        <v>0</v>
      </c>
      <c r="BQ207">
        <f>IF($A207="","",IF(BO207=1,$B207,BQ206))</f>
        <v>0</v>
      </c>
      <c r="BR207">
        <f>IF($A207="","",IF(BO207=1,$C207,MAX($C207,BR206)))</f>
        <v>0</v>
      </c>
      <c r="BS207">
        <f>IF($A207="","",IF(BO207=1,$D207,MIN($D207,BS206)))</f>
        <v>0</v>
      </c>
      <c r="BT207">
        <f>IF($A207="","",IF(BP207=1,F207,""))</f>
        <v>0</v>
      </c>
    </row>
    <row r="208" spans="1:72">
      <c r="A208" s="27">
        <f>IF(Data!$A208="","",Data!$A208)</f>
        <v>0</v>
      </c>
      <c r="B208">
        <f>IF(Data!$B208="","",Data!$B208)</f>
        <v>0</v>
      </c>
      <c r="C208">
        <f>IF(Data!$C208="","",Data!$C208)</f>
        <v>0</v>
      </c>
      <c r="D208">
        <f>IF(Data!$D208="","",Data!$D208)</f>
        <v>0</v>
      </c>
      <c r="E208">
        <f>IF(Data!$E208="","",Data!$E208)</f>
        <v>0</v>
      </c>
      <c r="F208">
        <f>IF($E208="","",N(F207)+1)</f>
        <v>0</v>
      </c>
      <c r="G208">
        <f>IF(OR($E208="",$E207=""),"",LN($E208/$E207))</f>
        <v>0</v>
      </c>
      <c r="H208">
        <f>IF($E208="","",IF($E207="",$E208,$E208*0.0952380952+H207*0.9047619048))</f>
        <v>0</v>
      </c>
      <c r="I208">
        <f>IF($E208="","",IF($E207="",$E208,$E208*0.0392156863+I207*0.9607843137))</f>
        <v>0</v>
      </c>
      <c r="J208">
        <f>IF($E208="","",IF($E207="",$E208,$E208*0.0198019802+J207*0.9801980198))</f>
        <v>0</v>
      </c>
      <c r="K208">
        <f>IF($E208="","",IF($E207="",$E208,$E208*0.0099502488+K207*0.9900497512))</f>
        <v>0</v>
      </c>
      <c r="L208">
        <f>IF(OR($E208="",$E207=""),"",MAX($E208-$E207,0))</f>
        <v>0</v>
      </c>
      <c r="M208">
        <f>IF(OR($E208="",$E207=""),"",MAX($E207-$E208,0))</f>
        <v>0</v>
      </c>
      <c r="N208">
        <f>IF(COUNT($E$2:$E208)&lt;15,"",IF(AVERAGE($M$195:$M$208)=0,100,100-100/(1+AVERAGE($L$195:$L$208)/AVERAGE($M$195:$M$208))))</f>
        <v>0</v>
      </c>
      <c r="O208">
        <f>IF($E208="","",IF($E207="",$E208,$E208*0.1538461538+O207*0.8461538462))</f>
        <v>0</v>
      </c>
      <c r="P208">
        <f>IF($E208="","",IF($E207="",$E208,$E208*0.0740740741+P207*0.9259259259))</f>
        <v>0</v>
      </c>
      <c r="Q208">
        <f>IF(OR(O208="",P208=""),"",O208-P208)</f>
        <v>0</v>
      </c>
      <c r="R208">
        <f>IF(Q208="","",IF(R207="",Q208,Q208*0.2000000000+R207*0.8000000000))</f>
        <v>0</v>
      </c>
      <c r="S208">
        <f>IF(OR(Q208="",R208=""),"",Q208-R208)</f>
        <v>0</v>
      </c>
      <c r="T208">
        <f>IF(COUNT($E$2:$E208)&lt;14,"",MAX($C$195:$C$208))</f>
        <v>0</v>
      </c>
      <c r="U208">
        <f>IF(COUNT($E$2:$E208)&lt;14,"",MIN($D$195:$D$208))</f>
        <v>0</v>
      </c>
      <c r="V208">
        <f>IF(OR(T208="",U208="",T208=U208),"",100*($E208-U208)/(T208-U208))</f>
        <v>0</v>
      </c>
      <c r="W208">
        <f>IF(COUNT($V$206:$V$208)&lt;3,"",AVERAGE($V$206:$V$208))</f>
        <v>0</v>
      </c>
      <c r="X208">
        <f>IF(COUNT($N$195:$N$208)&lt;14,"",MIN($N$195:$N$208))</f>
        <v>0</v>
      </c>
      <c r="Y208">
        <f>IF(COUNT($N$195:$N$208)&lt;14,"",MAX($N$195:$N$208))</f>
        <v>0</v>
      </c>
      <c r="Z208">
        <f>IF(OR(N208="",X208="",Y208="",Y208=X208),"",100*(N208-X208)/(Y208-X208))</f>
        <v>0</v>
      </c>
      <c r="AA208">
        <f>IF(COUNT($Z$206:$Z$208)&lt;3,"",AVERAGE($Z$206:$Z$208))</f>
        <v>0</v>
      </c>
      <c r="AB208">
        <f>IF(COUNT($AA$206:$AA$208)&lt;3,"",AVERAGE($AA$206:$AA$208))</f>
        <v>0</v>
      </c>
      <c r="AC208">
        <f>IF($E208="","",MAX($C208-$D208,ABS($C208-$E207),ABS($D208-$E207)))</f>
        <v>0</v>
      </c>
      <c r="AD208">
        <f>IF(COUNT($E$2:$E208)&lt;15,"",AVERAGE($AC$195:$AC$208))</f>
        <v>0</v>
      </c>
      <c r="AE208">
        <f>IF(OR($E208="",$E207=""),"",IF(AND(($C208-$C207)&gt;($D207-$D208),($C208-$C207)&gt;0),$C208-$C207,0))</f>
        <v>0</v>
      </c>
      <c r="AF208">
        <f>IF(OR($E208="",$E207=""),"",IF(AND(($D207-$D208)&gt;($C208-$C207),($D207-$D208)&gt;0),$D207-$D208,0))</f>
        <v>0</v>
      </c>
      <c r="AG208">
        <f>IF(COUNT($E$2:$E208)&lt;15,"",IF(SUM($AC$195:$AC$208)=0,0,100*SUM($AE$195:$AE$208)/SUM($AC$195:$AC$208)))</f>
        <v>0</v>
      </c>
      <c r="AH208">
        <f>IF(COUNT($E$2:$E208)&lt;15,"",IF(SUM($AC$195:$AC$208)=0,0,100*SUM($AF$195:$AF$208)/SUM($AC$195:$AC$208)))</f>
        <v>0</v>
      </c>
      <c r="AI208">
        <f>IF(OR(AG208="",AH208=""),"",IF((AG208+AH208)=0,0,100*ABS(AG208-AH208)/(AG208+AH208)))</f>
        <v>0</v>
      </c>
      <c r="AJ208">
        <f>IF(COUNT($AI$195:$AI$208)&lt;14,"",AVERAGE($AI$195:$AI$208))</f>
        <v>0</v>
      </c>
      <c r="AK208">
        <f>IF(COUNT($E$2:$E208)&lt;20,"",AVERAGE($E$189:$E$208))</f>
        <v>0</v>
      </c>
      <c r="AL208">
        <f>IF(COUNT($E$2:$E208)&lt;20,"",STDEVP($E$189:$E$208))</f>
        <v>0</v>
      </c>
      <c r="AM208">
        <f>IF(AK208="","",AK208+2*AL208)</f>
        <v>0</v>
      </c>
      <c r="AN208">
        <f>IF(AK208="","",AK208-2*AL208)</f>
        <v>0</v>
      </c>
      <c r="AO208">
        <f>IF(OR(AM208="",AN208="",AM208=AN208),"",($E208-AN208)/(AM208-AN208))</f>
        <v>0</v>
      </c>
      <c r="AP208">
        <f>IF(OR(AM208="",AK208="",AK208=0),"",(AM208-AN208)/AK208)</f>
        <v>0</v>
      </c>
      <c r="AQ208">
        <f>IF(COUNT($E$2:$E208)&lt;20,"",MAX($C$189:$C$208))</f>
        <v>0</v>
      </c>
      <c r="AR208">
        <f>IF(COUNT($E$2:$E208)&lt;20,"",MIN($D$189:$D$208))</f>
        <v>0</v>
      </c>
      <c r="AS208">
        <f>IF(OR(AQ208="",AR208=""),"",(AQ208+AR208)/2)</f>
        <v>0</v>
      </c>
      <c r="AT208">
        <f>IF(COUNT($G$189:$G$208)&lt;20,"",STDEV($G$189:$G$208)*SQRT(252))</f>
        <v>0</v>
      </c>
      <c r="AU208">
        <f>IF(COUNT($E$2:$E208)&lt;9,"",(MAX($C$200:$C$208)+MIN($D$200:$D$208))/2)</f>
        <v>0</v>
      </c>
      <c r="AV208">
        <f>IF(COUNT($E$2:$E208)&lt;26,"",(MAX($C$183:$C$208)+MIN($D$183:$D$208))/2)</f>
        <v>0</v>
      </c>
      <c r="AW208">
        <f>IF(OR(AU208="",AV208=""),"",(AU208+AV208)/2)</f>
        <v>0</v>
      </c>
      <c r="AX208">
        <f>IF(COUNT($E$2:$E208)&lt;52,"",(MAX($C$157:$C$208)+MIN($D$157:$D$208))/2)</f>
        <v>0</v>
      </c>
      <c r="AY208">
        <f>IF(COUNT($E$2:$E208)&lt;20,"",MAX($C$109:$C$208))</f>
        <v>0</v>
      </c>
      <c r="AZ208">
        <f>IF(COUNT($E$2:$E208)&lt;20,"",MIN($D$109:$D$208))</f>
        <v>0</v>
      </c>
      <c r="BA208">
        <f>IF(COUNT($E$2:$E208)&lt;20,"",SLOPE($E$109:$E$208,$F$109:$F$208))</f>
        <v>0</v>
      </c>
      <c r="BB208">
        <f>IF(COUNT($E$2:$E208)&lt;20,"",INTERCEPT($E$109:$E$208,$F$109:$F$208))</f>
        <v>0</v>
      </c>
      <c r="BC208">
        <f>IF(OR(BA208="",BB208=""),"",BB208+BA208*F208)</f>
        <v>0</v>
      </c>
      <c r="BD208">
        <f>IF(COUNT($E$2:$E208)&lt;20,"",STEYX($E$109:$E$208,$F$109:$F$208))</f>
        <v>0</v>
      </c>
      <c r="BE208">
        <f>IF($E208="","",IF(AND(COUNT($E$209:$E$212)&gt;=4,$C208=MAX($C$204:$C$212)),$C208,""))</f>
        <v>0</v>
      </c>
      <c r="BF208">
        <f>IF($E208="","",IF(AND(COUNT($E$209:$E$212)&gt;=4,$D208=MIN($D$204:$D$212)),$D208,""))</f>
        <v>0</v>
      </c>
      <c r="BG208">
        <f>IF($A208="","",$A208-WEEKDAY($A208,2)+1)</f>
        <v>0</v>
      </c>
      <c r="BH208">
        <f>IF($A208="","",IF($A207="",1,IF(BG208&lt;&gt;BG207,1,0)))</f>
        <v>0</v>
      </c>
      <c r="BI208">
        <f>IF($A208="","",IF($A209="",1,IF(BG209&lt;&gt;BG208,1,0)))</f>
        <v>0</v>
      </c>
      <c r="BJ208">
        <f>IF($A208="","",IF(BH208=1,$B208,BJ207))</f>
        <v>0</v>
      </c>
      <c r="BK208">
        <f>IF($A208="","",IF(BH208=1,$C208,MAX($C208,BK207)))</f>
        <v>0</v>
      </c>
      <c r="BL208">
        <f>IF($A208="","",IF(BH208=1,$D208,MIN($D208,BL207)))</f>
        <v>0</v>
      </c>
      <c r="BM208">
        <f>IF($A208="","",IF(BI208=1,F208,""))</f>
        <v>0</v>
      </c>
      <c r="BN208">
        <f>IF($A208="","",DATE(YEAR($A208),MONTH($A208),1))</f>
        <v>0</v>
      </c>
      <c r="BO208">
        <f>IF($A208="","",IF($A207="",1,IF(BN208&lt;&gt;BN207,1,0)))</f>
        <v>0</v>
      </c>
      <c r="BP208">
        <f>IF($A208="","",IF($A209="",1,IF(BN209&lt;&gt;BN208,1,0)))</f>
        <v>0</v>
      </c>
      <c r="BQ208">
        <f>IF($A208="","",IF(BO208=1,$B208,BQ207))</f>
        <v>0</v>
      </c>
      <c r="BR208">
        <f>IF($A208="","",IF(BO208=1,$C208,MAX($C208,BR207)))</f>
        <v>0</v>
      </c>
      <c r="BS208">
        <f>IF($A208="","",IF(BO208=1,$D208,MIN($D208,BS207)))</f>
        <v>0</v>
      </c>
      <c r="BT208">
        <f>IF($A208="","",IF(BP208=1,F208,""))</f>
        <v>0</v>
      </c>
    </row>
    <row r="209" spans="1:72">
      <c r="A209" s="27">
        <f>IF(Data!$A209="","",Data!$A209)</f>
        <v>0</v>
      </c>
      <c r="B209">
        <f>IF(Data!$B209="","",Data!$B209)</f>
        <v>0</v>
      </c>
      <c r="C209">
        <f>IF(Data!$C209="","",Data!$C209)</f>
        <v>0</v>
      </c>
      <c r="D209">
        <f>IF(Data!$D209="","",Data!$D209)</f>
        <v>0</v>
      </c>
      <c r="E209">
        <f>IF(Data!$E209="","",Data!$E209)</f>
        <v>0</v>
      </c>
      <c r="F209">
        <f>IF($E209="","",N(F208)+1)</f>
        <v>0</v>
      </c>
      <c r="G209">
        <f>IF(OR($E209="",$E208=""),"",LN($E209/$E208))</f>
        <v>0</v>
      </c>
      <c r="H209">
        <f>IF($E209="","",IF($E208="",$E209,$E209*0.0952380952+H208*0.9047619048))</f>
        <v>0</v>
      </c>
      <c r="I209">
        <f>IF($E209="","",IF($E208="",$E209,$E209*0.0392156863+I208*0.9607843137))</f>
        <v>0</v>
      </c>
      <c r="J209">
        <f>IF($E209="","",IF($E208="",$E209,$E209*0.0198019802+J208*0.9801980198))</f>
        <v>0</v>
      </c>
      <c r="K209">
        <f>IF($E209="","",IF($E208="",$E209,$E209*0.0099502488+K208*0.9900497512))</f>
        <v>0</v>
      </c>
      <c r="L209">
        <f>IF(OR($E209="",$E208=""),"",MAX($E209-$E208,0))</f>
        <v>0</v>
      </c>
      <c r="M209">
        <f>IF(OR($E209="",$E208=""),"",MAX($E208-$E209,0))</f>
        <v>0</v>
      </c>
      <c r="N209">
        <f>IF(COUNT($E$2:$E209)&lt;15,"",IF(AVERAGE($M$196:$M$209)=0,100,100-100/(1+AVERAGE($L$196:$L$209)/AVERAGE($M$196:$M$209))))</f>
        <v>0</v>
      </c>
      <c r="O209">
        <f>IF($E209="","",IF($E208="",$E209,$E209*0.1538461538+O208*0.8461538462))</f>
        <v>0</v>
      </c>
      <c r="P209">
        <f>IF($E209="","",IF($E208="",$E209,$E209*0.0740740741+P208*0.9259259259))</f>
        <v>0</v>
      </c>
      <c r="Q209">
        <f>IF(OR(O209="",P209=""),"",O209-P209)</f>
        <v>0</v>
      </c>
      <c r="R209">
        <f>IF(Q209="","",IF(R208="",Q209,Q209*0.2000000000+R208*0.8000000000))</f>
        <v>0</v>
      </c>
      <c r="S209">
        <f>IF(OR(Q209="",R209=""),"",Q209-R209)</f>
        <v>0</v>
      </c>
      <c r="T209">
        <f>IF(COUNT($E$2:$E209)&lt;14,"",MAX($C$196:$C$209))</f>
        <v>0</v>
      </c>
      <c r="U209">
        <f>IF(COUNT($E$2:$E209)&lt;14,"",MIN($D$196:$D$209))</f>
        <v>0</v>
      </c>
      <c r="V209">
        <f>IF(OR(T209="",U209="",T209=U209),"",100*($E209-U209)/(T209-U209))</f>
        <v>0</v>
      </c>
      <c r="W209">
        <f>IF(COUNT($V$207:$V$209)&lt;3,"",AVERAGE($V$207:$V$209))</f>
        <v>0</v>
      </c>
      <c r="X209">
        <f>IF(COUNT($N$196:$N$209)&lt;14,"",MIN($N$196:$N$209))</f>
        <v>0</v>
      </c>
      <c r="Y209">
        <f>IF(COUNT($N$196:$N$209)&lt;14,"",MAX($N$196:$N$209))</f>
        <v>0</v>
      </c>
      <c r="Z209">
        <f>IF(OR(N209="",X209="",Y209="",Y209=X209),"",100*(N209-X209)/(Y209-X209))</f>
        <v>0</v>
      </c>
      <c r="AA209">
        <f>IF(COUNT($Z$207:$Z$209)&lt;3,"",AVERAGE($Z$207:$Z$209))</f>
        <v>0</v>
      </c>
      <c r="AB209">
        <f>IF(COUNT($AA$207:$AA$209)&lt;3,"",AVERAGE($AA$207:$AA$209))</f>
        <v>0</v>
      </c>
      <c r="AC209">
        <f>IF($E209="","",MAX($C209-$D209,ABS($C209-$E208),ABS($D209-$E208)))</f>
        <v>0</v>
      </c>
      <c r="AD209">
        <f>IF(COUNT($E$2:$E209)&lt;15,"",AVERAGE($AC$196:$AC$209))</f>
        <v>0</v>
      </c>
      <c r="AE209">
        <f>IF(OR($E209="",$E208=""),"",IF(AND(($C209-$C208)&gt;($D208-$D209),($C209-$C208)&gt;0),$C209-$C208,0))</f>
        <v>0</v>
      </c>
      <c r="AF209">
        <f>IF(OR($E209="",$E208=""),"",IF(AND(($D208-$D209)&gt;($C209-$C208),($D208-$D209)&gt;0),$D208-$D209,0))</f>
        <v>0</v>
      </c>
      <c r="AG209">
        <f>IF(COUNT($E$2:$E209)&lt;15,"",IF(SUM($AC$196:$AC$209)=0,0,100*SUM($AE$196:$AE$209)/SUM($AC$196:$AC$209)))</f>
        <v>0</v>
      </c>
      <c r="AH209">
        <f>IF(COUNT($E$2:$E209)&lt;15,"",IF(SUM($AC$196:$AC$209)=0,0,100*SUM($AF$196:$AF$209)/SUM($AC$196:$AC$209)))</f>
        <v>0</v>
      </c>
      <c r="AI209">
        <f>IF(OR(AG209="",AH209=""),"",IF((AG209+AH209)=0,0,100*ABS(AG209-AH209)/(AG209+AH209)))</f>
        <v>0</v>
      </c>
      <c r="AJ209">
        <f>IF(COUNT($AI$196:$AI$209)&lt;14,"",AVERAGE($AI$196:$AI$209))</f>
        <v>0</v>
      </c>
      <c r="AK209">
        <f>IF(COUNT($E$2:$E209)&lt;20,"",AVERAGE($E$190:$E$209))</f>
        <v>0</v>
      </c>
      <c r="AL209">
        <f>IF(COUNT($E$2:$E209)&lt;20,"",STDEVP($E$190:$E$209))</f>
        <v>0</v>
      </c>
      <c r="AM209">
        <f>IF(AK209="","",AK209+2*AL209)</f>
        <v>0</v>
      </c>
      <c r="AN209">
        <f>IF(AK209="","",AK209-2*AL209)</f>
        <v>0</v>
      </c>
      <c r="AO209">
        <f>IF(OR(AM209="",AN209="",AM209=AN209),"",($E209-AN209)/(AM209-AN209))</f>
        <v>0</v>
      </c>
      <c r="AP209">
        <f>IF(OR(AM209="",AK209="",AK209=0),"",(AM209-AN209)/AK209)</f>
        <v>0</v>
      </c>
      <c r="AQ209">
        <f>IF(COUNT($E$2:$E209)&lt;20,"",MAX($C$190:$C$209))</f>
        <v>0</v>
      </c>
      <c r="AR209">
        <f>IF(COUNT($E$2:$E209)&lt;20,"",MIN($D$190:$D$209))</f>
        <v>0</v>
      </c>
      <c r="AS209">
        <f>IF(OR(AQ209="",AR209=""),"",(AQ209+AR209)/2)</f>
        <v>0</v>
      </c>
      <c r="AT209">
        <f>IF(COUNT($G$190:$G$209)&lt;20,"",STDEV($G$190:$G$209)*SQRT(252))</f>
        <v>0</v>
      </c>
      <c r="AU209">
        <f>IF(COUNT($E$2:$E209)&lt;9,"",(MAX($C$201:$C$209)+MIN($D$201:$D$209))/2)</f>
        <v>0</v>
      </c>
      <c r="AV209">
        <f>IF(COUNT($E$2:$E209)&lt;26,"",(MAX($C$184:$C$209)+MIN($D$184:$D$209))/2)</f>
        <v>0</v>
      </c>
      <c r="AW209">
        <f>IF(OR(AU209="",AV209=""),"",(AU209+AV209)/2)</f>
        <v>0</v>
      </c>
      <c r="AX209">
        <f>IF(COUNT($E$2:$E209)&lt;52,"",(MAX($C$158:$C$209)+MIN($D$158:$D$209))/2)</f>
        <v>0</v>
      </c>
      <c r="AY209">
        <f>IF(COUNT($E$2:$E209)&lt;20,"",MAX($C$110:$C$209))</f>
        <v>0</v>
      </c>
      <c r="AZ209">
        <f>IF(COUNT($E$2:$E209)&lt;20,"",MIN($D$110:$D$209))</f>
        <v>0</v>
      </c>
      <c r="BA209">
        <f>IF(COUNT($E$2:$E209)&lt;20,"",SLOPE($E$110:$E$209,$F$110:$F$209))</f>
        <v>0</v>
      </c>
      <c r="BB209">
        <f>IF(COUNT($E$2:$E209)&lt;20,"",INTERCEPT($E$110:$E$209,$F$110:$F$209))</f>
        <v>0</v>
      </c>
      <c r="BC209">
        <f>IF(OR(BA209="",BB209=""),"",BB209+BA209*F209)</f>
        <v>0</v>
      </c>
      <c r="BD209">
        <f>IF(COUNT($E$2:$E209)&lt;20,"",STEYX($E$110:$E$209,$F$110:$F$209))</f>
        <v>0</v>
      </c>
      <c r="BE209">
        <f>IF($E209="","",IF(AND(COUNT($E$210:$E$213)&gt;=4,$C209=MAX($C$205:$C$213)),$C209,""))</f>
        <v>0</v>
      </c>
      <c r="BF209">
        <f>IF($E209="","",IF(AND(COUNT($E$210:$E$213)&gt;=4,$D209=MIN($D$205:$D$213)),$D209,""))</f>
        <v>0</v>
      </c>
      <c r="BG209">
        <f>IF($A209="","",$A209-WEEKDAY($A209,2)+1)</f>
        <v>0</v>
      </c>
      <c r="BH209">
        <f>IF($A209="","",IF($A208="",1,IF(BG209&lt;&gt;BG208,1,0)))</f>
        <v>0</v>
      </c>
      <c r="BI209">
        <f>IF($A209="","",IF($A210="",1,IF(BG210&lt;&gt;BG209,1,0)))</f>
        <v>0</v>
      </c>
      <c r="BJ209">
        <f>IF($A209="","",IF(BH209=1,$B209,BJ208))</f>
        <v>0</v>
      </c>
      <c r="BK209">
        <f>IF($A209="","",IF(BH209=1,$C209,MAX($C209,BK208)))</f>
        <v>0</v>
      </c>
      <c r="BL209">
        <f>IF($A209="","",IF(BH209=1,$D209,MIN($D209,BL208)))</f>
        <v>0</v>
      </c>
      <c r="BM209">
        <f>IF($A209="","",IF(BI209=1,F209,""))</f>
        <v>0</v>
      </c>
      <c r="BN209">
        <f>IF($A209="","",DATE(YEAR($A209),MONTH($A209),1))</f>
        <v>0</v>
      </c>
      <c r="BO209">
        <f>IF($A209="","",IF($A208="",1,IF(BN209&lt;&gt;BN208,1,0)))</f>
        <v>0</v>
      </c>
      <c r="BP209">
        <f>IF($A209="","",IF($A210="",1,IF(BN210&lt;&gt;BN209,1,0)))</f>
        <v>0</v>
      </c>
      <c r="BQ209">
        <f>IF($A209="","",IF(BO209=1,$B209,BQ208))</f>
        <v>0</v>
      </c>
      <c r="BR209">
        <f>IF($A209="","",IF(BO209=1,$C209,MAX($C209,BR208)))</f>
        <v>0</v>
      </c>
      <c r="BS209">
        <f>IF($A209="","",IF(BO209=1,$D209,MIN($D209,BS208)))</f>
        <v>0</v>
      </c>
      <c r="BT209">
        <f>IF($A209="","",IF(BP209=1,F209,""))</f>
        <v>0</v>
      </c>
    </row>
    <row r="210" spans="1:72">
      <c r="A210" s="27">
        <f>IF(Data!$A210="","",Data!$A210)</f>
        <v>0</v>
      </c>
      <c r="B210">
        <f>IF(Data!$B210="","",Data!$B210)</f>
        <v>0</v>
      </c>
      <c r="C210">
        <f>IF(Data!$C210="","",Data!$C210)</f>
        <v>0</v>
      </c>
      <c r="D210">
        <f>IF(Data!$D210="","",Data!$D210)</f>
        <v>0</v>
      </c>
      <c r="E210">
        <f>IF(Data!$E210="","",Data!$E210)</f>
        <v>0</v>
      </c>
      <c r="F210">
        <f>IF($E210="","",N(F209)+1)</f>
        <v>0</v>
      </c>
      <c r="G210">
        <f>IF(OR($E210="",$E209=""),"",LN($E210/$E209))</f>
        <v>0</v>
      </c>
      <c r="H210">
        <f>IF($E210="","",IF($E209="",$E210,$E210*0.0952380952+H209*0.9047619048))</f>
        <v>0</v>
      </c>
      <c r="I210">
        <f>IF($E210="","",IF($E209="",$E210,$E210*0.0392156863+I209*0.9607843137))</f>
        <v>0</v>
      </c>
      <c r="J210">
        <f>IF($E210="","",IF($E209="",$E210,$E210*0.0198019802+J209*0.9801980198))</f>
        <v>0</v>
      </c>
      <c r="K210">
        <f>IF($E210="","",IF($E209="",$E210,$E210*0.0099502488+K209*0.9900497512))</f>
        <v>0</v>
      </c>
      <c r="L210">
        <f>IF(OR($E210="",$E209=""),"",MAX($E210-$E209,0))</f>
        <v>0</v>
      </c>
      <c r="M210">
        <f>IF(OR($E210="",$E209=""),"",MAX($E209-$E210,0))</f>
        <v>0</v>
      </c>
      <c r="N210">
        <f>IF(COUNT($E$2:$E210)&lt;15,"",IF(AVERAGE($M$197:$M$210)=0,100,100-100/(1+AVERAGE($L$197:$L$210)/AVERAGE($M$197:$M$210))))</f>
        <v>0</v>
      </c>
      <c r="O210">
        <f>IF($E210="","",IF($E209="",$E210,$E210*0.1538461538+O209*0.8461538462))</f>
        <v>0</v>
      </c>
      <c r="P210">
        <f>IF($E210="","",IF($E209="",$E210,$E210*0.0740740741+P209*0.9259259259))</f>
        <v>0</v>
      </c>
      <c r="Q210">
        <f>IF(OR(O210="",P210=""),"",O210-P210)</f>
        <v>0</v>
      </c>
      <c r="R210">
        <f>IF(Q210="","",IF(R209="",Q210,Q210*0.2000000000+R209*0.8000000000))</f>
        <v>0</v>
      </c>
      <c r="S210">
        <f>IF(OR(Q210="",R210=""),"",Q210-R210)</f>
        <v>0</v>
      </c>
      <c r="T210">
        <f>IF(COUNT($E$2:$E210)&lt;14,"",MAX($C$197:$C$210))</f>
        <v>0</v>
      </c>
      <c r="U210">
        <f>IF(COUNT($E$2:$E210)&lt;14,"",MIN($D$197:$D$210))</f>
        <v>0</v>
      </c>
      <c r="V210">
        <f>IF(OR(T210="",U210="",T210=U210),"",100*($E210-U210)/(T210-U210))</f>
        <v>0</v>
      </c>
      <c r="W210">
        <f>IF(COUNT($V$208:$V$210)&lt;3,"",AVERAGE($V$208:$V$210))</f>
        <v>0</v>
      </c>
      <c r="X210">
        <f>IF(COUNT($N$197:$N$210)&lt;14,"",MIN($N$197:$N$210))</f>
        <v>0</v>
      </c>
      <c r="Y210">
        <f>IF(COUNT($N$197:$N$210)&lt;14,"",MAX($N$197:$N$210))</f>
        <v>0</v>
      </c>
      <c r="Z210">
        <f>IF(OR(N210="",X210="",Y210="",Y210=X210),"",100*(N210-X210)/(Y210-X210))</f>
        <v>0</v>
      </c>
      <c r="AA210">
        <f>IF(COUNT($Z$208:$Z$210)&lt;3,"",AVERAGE($Z$208:$Z$210))</f>
        <v>0</v>
      </c>
      <c r="AB210">
        <f>IF(COUNT($AA$208:$AA$210)&lt;3,"",AVERAGE($AA$208:$AA$210))</f>
        <v>0</v>
      </c>
      <c r="AC210">
        <f>IF($E210="","",MAX($C210-$D210,ABS($C210-$E209),ABS($D210-$E209)))</f>
        <v>0</v>
      </c>
      <c r="AD210">
        <f>IF(COUNT($E$2:$E210)&lt;15,"",AVERAGE($AC$197:$AC$210))</f>
        <v>0</v>
      </c>
      <c r="AE210">
        <f>IF(OR($E210="",$E209=""),"",IF(AND(($C210-$C209)&gt;($D209-$D210),($C210-$C209)&gt;0),$C210-$C209,0))</f>
        <v>0</v>
      </c>
      <c r="AF210">
        <f>IF(OR($E210="",$E209=""),"",IF(AND(($D209-$D210)&gt;($C210-$C209),($D209-$D210)&gt;0),$D209-$D210,0))</f>
        <v>0</v>
      </c>
      <c r="AG210">
        <f>IF(COUNT($E$2:$E210)&lt;15,"",IF(SUM($AC$197:$AC$210)=0,0,100*SUM($AE$197:$AE$210)/SUM($AC$197:$AC$210)))</f>
        <v>0</v>
      </c>
      <c r="AH210">
        <f>IF(COUNT($E$2:$E210)&lt;15,"",IF(SUM($AC$197:$AC$210)=0,0,100*SUM($AF$197:$AF$210)/SUM($AC$197:$AC$210)))</f>
        <v>0</v>
      </c>
      <c r="AI210">
        <f>IF(OR(AG210="",AH210=""),"",IF((AG210+AH210)=0,0,100*ABS(AG210-AH210)/(AG210+AH210)))</f>
        <v>0</v>
      </c>
      <c r="AJ210">
        <f>IF(COUNT($AI$197:$AI$210)&lt;14,"",AVERAGE($AI$197:$AI$210))</f>
        <v>0</v>
      </c>
      <c r="AK210">
        <f>IF(COUNT($E$2:$E210)&lt;20,"",AVERAGE($E$191:$E$210))</f>
        <v>0</v>
      </c>
      <c r="AL210">
        <f>IF(COUNT($E$2:$E210)&lt;20,"",STDEVP($E$191:$E$210))</f>
        <v>0</v>
      </c>
      <c r="AM210">
        <f>IF(AK210="","",AK210+2*AL210)</f>
        <v>0</v>
      </c>
      <c r="AN210">
        <f>IF(AK210="","",AK210-2*AL210)</f>
        <v>0</v>
      </c>
      <c r="AO210">
        <f>IF(OR(AM210="",AN210="",AM210=AN210),"",($E210-AN210)/(AM210-AN210))</f>
        <v>0</v>
      </c>
      <c r="AP210">
        <f>IF(OR(AM210="",AK210="",AK210=0),"",(AM210-AN210)/AK210)</f>
        <v>0</v>
      </c>
      <c r="AQ210">
        <f>IF(COUNT($E$2:$E210)&lt;20,"",MAX($C$191:$C$210))</f>
        <v>0</v>
      </c>
      <c r="AR210">
        <f>IF(COUNT($E$2:$E210)&lt;20,"",MIN($D$191:$D$210))</f>
        <v>0</v>
      </c>
      <c r="AS210">
        <f>IF(OR(AQ210="",AR210=""),"",(AQ210+AR210)/2)</f>
        <v>0</v>
      </c>
      <c r="AT210">
        <f>IF(COUNT($G$191:$G$210)&lt;20,"",STDEV($G$191:$G$210)*SQRT(252))</f>
        <v>0</v>
      </c>
      <c r="AU210">
        <f>IF(COUNT($E$2:$E210)&lt;9,"",(MAX($C$202:$C$210)+MIN($D$202:$D$210))/2)</f>
        <v>0</v>
      </c>
      <c r="AV210">
        <f>IF(COUNT($E$2:$E210)&lt;26,"",(MAX($C$185:$C$210)+MIN($D$185:$D$210))/2)</f>
        <v>0</v>
      </c>
      <c r="AW210">
        <f>IF(OR(AU210="",AV210=""),"",(AU210+AV210)/2)</f>
        <v>0</v>
      </c>
      <c r="AX210">
        <f>IF(COUNT($E$2:$E210)&lt;52,"",(MAX($C$159:$C$210)+MIN($D$159:$D$210))/2)</f>
        <v>0</v>
      </c>
      <c r="AY210">
        <f>IF(COUNT($E$2:$E210)&lt;20,"",MAX($C$111:$C$210))</f>
        <v>0</v>
      </c>
      <c r="AZ210">
        <f>IF(COUNT($E$2:$E210)&lt;20,"",MIN($D$111:$D$210))</f>
        <v>0</v>
      </c>
      <c r="BA210">
        <f>IF(COUNT($E$2:$E210)&lt;20,"",SLOPE($E$111:$E$210,$F$111:$F$210))</f>
        <v>0</v>
      </c>
      <c r="BB210">
        <f>IF(COUNT($E$2:$E210)&lt;20,"",INTERCEPT($E$111:$E$210,$F$111:$F$210))</f>
        <v>0</v>
      </c>
      <c r="BC210">
        <f>IF(OR(BA210="",BB210=""),"",BB210+BA210*F210)</f>
        <v>0</v>
      </c>
      <c r="BD210">
        <f>IF(COUNT($E$2:$E210)&lt;20,"",STEYX($E$111:$E$210,$F$111:$F$210))</f>
        <v>0</v>
      </c>
      <c r="BE210">
        <f>IF($E210="","",IF(AND(COUNT($E$211:$E$214)&gt;=4,$C210=MAX($C$206:$C$214)),$C210,""))</f>
        <v>0</v>
      </c>
      <c r="BF210">
        <f>IF($E210="","",IF(AND(COUNT($E$211:$E$214)&gt;=4,$D210=MIN($D$206:$D$214)),$D210,""))</f>
        <v>0</v>
      </c>
      <c r="BG210">
        <f>IF($A210="","",$A210-WEEKDAY($A210,2)+1)</f>
        <v>0</v>
      </c>
      <c r="BH210">
        <f>IF($A210="","",IF($A209="",1,IF(BG210&lt;&gt;BG209,1,0)))</f>
        <v>0</v>
      </c>
      <c r="BI210">
        <f>IF($A210="","",IF($A211="",1,IF(BG211&lt;&gt;BG210,1,0)))</f>
        <v>0</v>
      </c>
      <c r="BJ210">
        <f>IF($A210="","",IF(BH210=1,$B210,BJ209))</f>
        <v>0</v>
      </c>
      <c r="BK210">
        <f>IF($A210="","",IF(BH210=1,$C210,MAX($C210,BK209)))</f>
        <v>0</v>
      </c>
      <c r="BL210">
        <f>IF($A210="","",IF(BH210=1,$D210,MIN($D210,BL209)))</f>
        <v>0</v>
      </c>
      <c r="BM210">
        <f>IF($A210="","",IF(BI210=1,F210,""))</f>
        <v>0</v>
      </c>
      <c r="BN210">
        <f>IF($A210="","",DATE(YEAR($A210),MONTH($A210),1))</f>
        <v>0</v>
      </c>
      <c r="BO210">
        <f>IF($A210="","",IF($A209="",1,IF(BN210&lt;&gt;BN209,1,0)))</f>
        <v>0</v>
      </c>
      <c r="BP210">
        <f>IF($A210="","",IF($A211="",1,IF(BN211&lt;&gt;BN210,1,0)))</f>
        <v>0</v>
      </c>
      <c r="BQ210">
        <f>IF($A210="","",IF(BO210=1,$B210,BQ209))</f>
        <v>0</v>
      </c>
      <c r="BR210">
        <f>IF($A210="","",IF(BO210=1,$C210,MAX($C210,BR209)))</f>
        <v>0</v>
      </c>
      <c r="BS210">
        <f>IF($A210="","",IF(BO210=1,$D210,MIN($D210,BS209)))</f>
        <v>0</v>
      </c>
      <c r="BT210">
        <f>IF($A210="","",IF(BP210=1,F210,""))</f>
        <v>0</v>
      </c>
    </row>
    <row r="211" spans="1:72">
      <c r="A211" s="27">
        <f>IF(Data!$A211="","",Data!$A211)</f>
        <v>0</v>
      </c>
      <c r="B211">
        <f>IF(Data!$B211="","",Data!$B211)</f>
        <v>0</v>
      </c>
      <c r="C211">
        <f>IF(Data!$C211="","",Data!$C211)</f>
        <v>0</v>
      </c>
      <c r="D211">
        <f>IF(Data!$D211="","",Data!$D211)</f>
        <v>0</v>
      </c>
      <c r="E211">
        <f>IF(Data!$E211="","",Data!$E211)</f>
        <v>0</v>
      </c>
      <c r="F211">
        <f>IF($E211="","",N(F210)+1)</f>
        <v>0</v>
      </c>
      <c r="G211">
        <f>IF(OR($E211="",$E210=""),"",LN($E211/$E210))</f>
        <v>0</v>
      </c>
      <c r="H211">
        <f>IF($E211="","",IF($E210="",$E211,$E211*0.0952380952+H210*0.9047619048))</f>
        <v>0</v>
      </c>
      <c r="I211">
        <f>IF($E211="","",IF($E210="",$E211,$E211*0.0392156863+I210*0.9607843137))</f>
        <v>0</v>
      </c>
      <c r="J211">
        <f>IF($E211="","",IF($E210="",$E211,$E211*0.0198019802+J210*0.9801980198))</f>
        <v>0</v>
      </c>
      <c r="K211">
        <f>IF($E211="","",IF($E210="",$E211,$E211*0.0099502488+K210*0.9900497512))</f>
        <v>0</v>
      </c>
      <c r="L211">
        <f>IF(OR($E211="",$E210=""),"",MAX($E211-$E210,0))</f>
        <v>0</v>
      </c>
      <c r="M211">
        <f>IF(OR($E211="",$E210=""),"",MAX($E210-$E211,0))</f>
        <v>0</v>
      </c>
      <c r="N211">
        <f>IF(COUNT($E$2:$E211)&lt;15,"",IF(AVERAGE($M$198:$M$211)=0,100,100-100/(1+AVERAGE($L$198:$L$211)/AVERAGE($M$198:$M$211))))</f>
        <v>0</v>
      </c>
      <c r="O211">
        <f>IF($E211="","",IF($E210="",$E211,$E211*0.1538461538+O210*0.8461538462))</f>
        <v>0</v>
      </c>
      <c r="P211">
        <f>IF($E211="","",IF($E210="",$E211,$E211*0.0740740741+P210*0.9259259259))</f>
        <v>0</v>
      </c>
      <c r="Q211">
        <f>IF(OR(O211="",P211=""),"",O211-P211)</f>
        <v>0</v>
      </c>
      <c r="R211">
        <f>IF(Q211="","",IF(R210="",Q211,Q211*0.2000000000+R210*0.8000000000))</f>
        <v>0</v>
      </c>
      <c r="S211">
        <f>IF(OR(Q211="",R211=""),"",Q211-R211)</f>
        <v>0</v>
      </c>
      <c r="T211">
        <f>IF(COUNT($E$2:$E211)&lt;14,"",MAX($C$198:$C$211))</f>
        <v>0</v>
      </c>
      <c r="U211">
        <f>IF(COUNT($E$2:$E211)&lt;14,"",MIN($D$198:$D$211))</f>
        <v>0</v>
      </c>
      <c r="V211">
        <f>IF(OR(T211="",U211="",T211=U211),"",100*($E211-U211)/(T211-U211))</f>
        <v>0</v>
      </c>
      <c r="W211">
        <f>IF(COUNT($V$209:$V$211)&lt;3,"",AVERAGE($V$209:$V$211))</f>
        <v>0</v>
      </c>
      <c r="X211">
        <f>IF(COUNT($N$198:$N$211)&lt;14,"",MIN($N$198:$N$211))</f>
        <v>0</v>
      </c>
      <c r="Y211">
        <f>IF(COUNT($N$198:$N$211)&lt;14,"",MAX($N$198:$N$211))</f>
        <v>0</v>
      </c>
      <c r="Z211">
        <f>IF(OR(N211="",X211="",Y211="",Y211=X211),"",100*(N211-X211)/(Y211-X211))</f>
        <v>0</v>
      </c>
      <c r="AA211">
        <f>IF(COUNT($Z$209:$Z$211)&lt;3,"",AVERAGE($Z$209:$Z$211))</f>
        <v>0</v>
      </c>
      <c r="AB211">
        <f>IF(COUNT($AA$209:$AA$211)&lt;3,"",AVERAGE($AA$209:$AA$211))</f>
        <v>0</v>
      </c>
      <c r="AC211">
        <f>IF($E211="","",MAX($C211-$D211,ABS($C211-$E210),ABS($D211-$E210)))</f>
        <v>0</v>
      </c>
      <c r="AD211">
        <f>IF(COUNT($E$2:$E211)&lt;15,"",AVERAGE($AC$198:$AC$211))</f>
        <v>0</v>
      </c>
      <c r="AE211">
        <f>IF(OR($E211="",$E210=""),"",IF(AND(($C211-$C210)&gt;($D210-$D211),($C211-$C210)&gt;0),$C211-$C210,0))</f>
        <v>0</v>
      </c>
      <c r="AF211">
        <f>IF(OR($E211="",$E210=""),"",IF(AND(($D210-$D211)&gt;($C211-$C210),($D210-$D211)&gt;0),$D210-$D211,0))</f>
        <v>0</v>
      </c>
      <c r="AG211">
        <f>IF(COUNT($E$2:$E211)&lt;15,"",IF(SUM($AC$198:$AC$211)=0,0,100*SUM($AE$198:$AE$211)/SUM($AC$198:$AC$211)))</f>
        <v>0</v>
      </c>
      <c r="AH211">
        <f>IF(COUNT($E$2:$E211)&lt;15,"",IF(SUM($AC$198:$AC$211)=0,0,100*SUM($AF$198:$AF$211)/SUM($AC$198:$AC$211)))</f>
        <v>0</v>
      </c>
      <c r="AI211">
        <f>IF(OR(AG211="",AH211=""),"",IF((AG211+AH211)=0,0,100*ABS(AG211-AH211)/(AG211+AH211)))</f>
        <v>0</v>
      </c>
      <c r="AJ211">
        <f>IF(COUNT($AI$198:$AI$211)&lt;14,"",AVERAGE($AI$198:$AI$211))</f>
        <v>0</v>
      </c>
      <c r="AK211">
        <f>IF(COUNT($E$2:$E211)&lt;20,"",AVERAGE($E$192:$E$211))</f>
        <v>0</v>
      </c>
      <c r="AL211">
        <f>IF(COUNT($E$2:$E211)&lt;20,"",STDEVP($E$192:$E$211))</f>
        <v>0</v>
      </c>
      <c r="AM211">
        <f>IF(AK211="","",AK211+2*AL211)</f>
        <v>0</v>
      </c>
      <c r="AN211">
        <f>IF(AK211="","",AK211-2*AL211)</f>
        <v>0</v>
      </c>
      <c r="AO211">
        <f>IF(OR(AM211="",AN211="",AM211=AN211),"",($E211-AN211)/(AM211-AN211))</f>
        <v>0</v>
      </c>
      <c r="AP211">
        <f>IF(OR(AM211="",AK211="",AK211=0),"",(AM211-AN211)/AK211)</f>
        <v>0</v>
      </c>
      <c r="AQ211">
        <f>IF(COUNT($E$2:$E211)&lt;20,"",MAX($C$192:$C$211))</f>
        <v>0</v>
      </c>
      <c r="AR211">
        <f>IF(COUNT($E$2:$E211)&lt;20,"",MIN($D$192:$D$211))</f>
        <v>0</v>
      </c>
      <c r="AS211">
        <f>IF(OR(AQ211="",AR211=""),"",(AQ211+AR211)/2)</f>
        <v>0</v>
      </c>
      <c r="AT211">
        <f>IF(COUNT($G$192:$G$211)&lt;20,"",STDEV($G$192:$G$211)*SQRT(252))</f>
        <v>0</v>
      </c>
      <c r="AU211">
        <f>IF(COUNT($E$2:$E211)&lt;9,"",(MAX($C$203:$C$211)+MIN($D$203:$D$211))/2)</f>
        <v>0</v>
      </c>
      <c r="AV211">
        <f>IF(COUNT($E$2:$E211)&lt;26,"",(MAX($C$186:$C$211)+MIN($D$186:$D$211))/2)</f>
        <v>0</v>
      </c>
      <c r="AW211">
        <f>IF(OR(AU211="",AV211=""),"",(AU211+AV211)/2)</f>
        <v>0</v>
      </c>
      <c r="AX211">
        <f>IF(COUNT($E$2:$E211)&lt;52,"",(MAX($C$160:$C$211)+MIN($D$160:$D$211))/2)</f>
        <v>0</v>
      </c>
      <c r="AY211">
        <f>IF(COUNT($E$2:$E211)&lt;20,"",MAX($C$112:$C$211))</f>
        <v>0</v>
      </c>
      <c r="AZ211">
        <f>IF(COUNT($E$2:$E211)&lt;20,"",MIN($D$112:$D$211))</f>
        <v>0</v>
      </c>
      <c r="BA211">
        <f>IF(COUNT($E$2:$E211)&lt;20,"",SLOPE($E$112:$E$211,$F$112:$F$211))</f>
        <v>0</v>
      </c>
      <c r="BB211">
        <f>IF(COUNT($E$2:$E211)&lt;20,"",INTERCEPT($E$112:$E$211,$F$112:$F$211))</f>
        <v>0</v>
      </c>
      <c r="BC211">
        <f>IF(OR(BA211="",BB211=""),"",BB211+BA211*F211)</f>
        <v>0</v>
      </c>
      <c r="BD211">
        <f>IF(COUNT($E$2:$E211)&lt;20,"",STEYX($E$112:$E$211,$F$112:$F$211))</f>
        <v>0</v>
      </c>
      <c r="BE211">
        <f>IF($E211="","",IF(AND(COUNT($E$212:$E$215)&gt;=4,$C211=MAX($C$207:$C$215)),$C211,""))</f>
        <v>0</v>
      </c>
      <c r="BF211">
        <f>IF($E211="","",IF(AND(COUNT($E$212:$E$215)&gt;=4,$D211=MIN($D$207:$D$215)),$D211,""))</f>
        <v>0</v>
      </c>
      <c r="BG211">
        <f>IF($A211="","",$A211-WEEKDAY($A211,2)+1)</f>
        <v>0</v>
      </c>
      <c r="BH211">
        <f>IF($A211="","",IF($A210="",1,IF(BG211&lt;&gt;BG210,1,0)))</f>
        <v>0</v>
      </c>
      <c r="BI211">
        <f>IF($A211="","",IF($A212="",1,IF(BG212&lt;&gt;BG211,1,0)))</f>
        <v>0</v>
      </c>
      <c r="BJ211">
        <f>IF($A211="","",IF(BH211=1,$B211,BJ210))</f>
        <v>0</v>
      </c>
      <c r="BK211">
        <f>IF($A211="","",IF(BH211=1,$C211,MAX($C211,BK210)))</f>
        <v>0</v>
      </c>
      <c r="BL211">
        <f>IF($A211="","",IF(BH211=1,$D211,MIN($D211,BL210)))</f>
        <v>0</v>
      </c>
      <c r="BM211">
        <f>IF($A211="","",IF(BI211=1,F211,""))</f>
        <v>0</v>
      </c>
      <c r="BN211">
        <f>IF($A211="","",DATE(YEAR($A211),MONTH($A211),1))</f>
        <v>0</v>
      </c>
      <c r="BO211">
        <f>IF($A211="","",IF($A210="",1,IF(BN211&lt;&gt;BN210,1,0)))</f>
        <v>0</v>
      </c>
      <c r="BP211">
        <f>IF($A211="","",IF($A212="",1,IF(BN212&lt;&gt;BN211,1,0)))</f>
        <v>0</v>
      </c>
      <c r="BQ211">
        <f>IF($A211="","",IF(BO211=1,$B211,BQ210))</f>
        <v>0</v>
      </c>
      <c r="BR211">
        <f>IF($A211="","",IF(BO211=1,$C211,MAX($C211,BR210)))</f>
        <v>0</v>
      </c>
      <c r="BS211">
        <f>IF($A211="","",IF(BO211=1,$D211,MIN($D211,BS210)))</f>
        <v>0</v>
      </c>
      <c r="BT211">
        <f>IF($A211="","",IF(BP211=1,F211,""))</f>
        <v>0</v>
      </c>
    </row>
    <row r="212" spans="1:72">
      <c r="A212" s="27">
        <f>IF(Data!$A212="","",Data!$A212)</f>
        <v>0</v>
      </c>
      <c r="B212">
        <f>IF(Data!$B212="","",Data!$B212)</f>
        <v>0</v>
      </c>
      <c r="C212">
        <f>IF(Data!$C212="","",Data!$C212)</f>
        <v>0</v>
      </c>
      <c r="D212">
        <f>IF(Data!$D212="","",Data!$D212)</f>
        <v>0</v>
      </c>
      <c r="E212">
        <f>IF(Data!$E212="","",Data!$E212)</f>
        <v>0</v>
      </c>
      <c r="F212">
        <f>IF($E212="","",N(F211)+1)</f>
        <v>0</v>
      </c>
      <c r="G212">
        <f>IF(OR($E212="",$E211=""),"",LN($E212/$E211))</f>
        <v>0</v>
      </c>
      <c r="H212">
        <f>IF($E212="","",IF($E211="",$E212,$E212*0.0952380952+H211*0.9047619048))</f>
        <v>0</v>
      </c>
      <c r="I212">
        <f>IF($E212="","",IF($E211="",$E212,$E212*0.0392156863+I211*0.9607843137))</f>
        <v>0</v>
      </c>
      <c r="J212">
        <f>IF($E212="","",IF($E211="",$E212,$E212*0.0198019802+J211*0.9801980198))</f>
        <v>0</v>
      </c>
      <c r="K212">
        <f>IF($E212="","",IF($E211="",$E212,$E212*0.0099502488+K211*0.9900497512))</f>
        <v>0</v>
      </c>
      <c r="L212">
        <f>IF(OR($E212="",$E211=""),"",MAX($E212-$E211,0))</f>
        <v>0</v>
      </c>
      <c r="M212">
        <f>IF(OR($E212="",$E211=""),"",MAX($E211-$E212,0))</f>
        <v>0</v>
      </c>
      <c r="N212">
        <f>IF(COUNT($E$2:$E212)&lt;15,"",IF(AVERAGE($M$199:$M$212)=0,100,100-100/(1+AVERAGE($L$199:$L$212)/AVERAGE($M$199:$M$212))))</f>
        <v>0</v>
      </c>
      <c r="O212">
        <f>IF($E212="","",IF($E211="",$E212,$E212*0.1538461538+O211*0.8461538462))</f>
        <v>0</v>
      </c>
      <c r="P212">
        <f>IF($E212="","",IF($E211="",$E212,$E212*0.0740740741+P211*0.9259259259))</f>
        <v>0</v>
      </c>
      <c r="Q212">
        <f>IF(OR(O212="",P212=""),"",O212-P212)</f>
        <v>0</v>
      </c>
      <c r="R212">
        <f>IF(Q212="","",IF(R211="",Q212,Q212*0.2000000000+R211*0.8000000000))</f>
        <v>0</v>
      </c>
      <c r="S212">
        <f>IF(OR(Q212="",R212=""),"",Q212-R212)</f>
        <v>0</v>
      </c>
      <c r="T212">
        <f>IF(COUNT($E$2:$E212)&lt;14,"",MAX($C$199:$C$212))</f>
        <v>0</v>
      </c>
      <c r="U212">
        <f>IF(COUNT($E$2:$E212)&lt;14,"",MIN($D$199:$D$212))</f>
        <v>0</v>
      </c>
      <c r="V212">
        <f>IF(OR(T212="",U212="",T212=U212),"",100*($E212-U212)/(T212-U212))</f>
        <v>0</v>
      </c>
      <c r="W212">
        <f>IF(COUNT($V$210:$V$212)&lt;3,"",AVERAGE($V$210:$V$212))</f>
        <v>0</v>
      </c>
      <c r="X212">
        <f>IF(COUNT($N$199:$N$212)&lt;14,"",MIN($N$199:$N$212))</f>
        <v>0</v>
      </c>
      <c r="Y212">
        <f>IF(COUNT($N$199:$N$212)&lt;14,"",MAX($N$199:$N$212))</f>
        <v>0</v>
      </c>
      <c r="Z212">
        <f>IF(OR(N212="",X212="",Y212="",Y212=X212),"",100*(N212-X212)/(Y212-X212))</f>
        <v>0</v>
      </c>
      <c r="AA212">
        <f>IF(COUNT($Z$210:$Z$212)&lt;3,"",AVERAGE($Z$210:$Z$212))</f>
        <v>0</v>
      </c>
      <c r="AB212">
        <f>IF(COUNT($AA$210:$AA$212)&lt;3,"",AVERAGE($AA$210:$AA$212))</f>
        <v>0</v>
      </c>
      <c r="AC212">
        <f>IF($E212="","",MAX($C212-$D212,ABS($C212-$E211),ABS($D212-$E211)))</f>
        <v>0</v>
      </c>
      <c r="AD212">
        <f>IF(COUNT($E$2:$E212)&lt;15,"",AVERAGE($AC$199:$AC$212))</f>
        <v>0</v>
      </c>
      <c r="AE212">
        <f>IF(OR($E212="",$E211=""),"",IF(AND(($C212-$C211)&gt;($D211-$D212),($C212-$C211)&gt;0),$C212-$C211,0))</f>
        <v>0</v>
      </c>
      <c r="AF212">
        <f>IF(OR($E212="",$E211=""),"",IF(AND(($D211-$D212)&gt;($C212-$C211),($D211-$D212)&gt;0),$D211-$D212,0))</f>
        <v>0</v>
      </c>
      <c r="AG212">
        <f>IF(COUNT($E$2:$E212)&lt;15,"",IF(SUM($AC$199:$AC$212)=0,0,100*SUM($AE$199:$AE$212)/SUM($AC$199:$AC$212)))</f>
        <v>0</v>
      </c>
      <c r="AH212">
        <f>IF(COUNT($E$2:$E212)&lt;15,"",IF(SUM($AC$199:$AC$212)=0,0,100*SUM($AF$199:$AF$212)/SUM($AC$199:$AC$212)))</f>
        <v>0</v>
      </c>
      <c r="AI212">
        <f>IF(OR(AG212="",AH212=""),"",IF((AG212+AH212)=0,0,100*ABS(AG212-AH212)/(AG212+AH212)))</f>
        <v>0</v>
      </c>
      <c r="AJ212">
        <f>IF(COUNT($AI$199:$AI$212)&lt;14,"",AVERAGE($AI$199:$AI$212))</f>
        <v>0</v>
      </c>
      <c r="AK212">
        <f>IF(COUNT($E$2:$E212)&lt;20,"",AVERAGE($E$193:$E$212))</f>
        <v>0</v>
      </c>
      <c r="AL212">
        <f>IF(COUNT($E$2:$E212)&lt;20,"",STDEVP($E$193:$E$212))</f>
        <v>0</v>
      </c>
      <c r="AM212">
        <f>IF(AK212="","",AK212+2*AL212)</f>
        <v>0</v>
      </c>
      <c r="AN212">
        <f>IF(AK212="","",AK212-2*AL212)</f>
        <v>0</v>
      </c>
      <c r="AO212">
        <f>IF(OR(AM212="",AN212="",AM212=AN212),"",($E212-AN212)/(AM212-AN212))</f>
        <v>0</v>
      </c>
      <c r="AP212">
        <f>IF(OR(AM212="",AK212="",AK212=0),"",(AM212-AN212)/AK212)</f>
        <v>0</v>
      </c>
      <c r="AQ212">
        <f>IF(COUNT($E$2:$E212)&lt;20,"",MAX($C$193:$C$212))</f>
        <v>0</v>
      </c>
      <c r="AR212">
        <f>IF(COUNT($E$2:$E212)&lt;20,"",MIN($D$193:$D$212))</f>
        <v>0</v>
      </c>
      <c r="AS212">
        <f>IF(OR(AQ212="",AR212=""),"",(AQ212+AR212)/2)</f>
        <v>0</v>
      </c>
      <c r="AT212">
        <f>IF(COUNT($G$193:$G$212)&lt;20,"",STDEV($G$193:$G$212)*SQRT(252))</f>
        <v>0</v>
      </c>
      <c r="AU212">
        <f>IF(COUNT($E$2:$E212)&lt;9,"",(MAX($C$204:$C$212)+MIN($D$204:$D$212))/2)</f>
        <v>0</v>
      </c>
      <c r="AV212">
        <f>IF(COUNT($E$2:$E212)&lt;26,"",(MAX($C$187:$C$212)+MIN($D$187:$D$212))/2)</f>
        <v>0</v>
      </c>
      <c r="AW212">
        <f>IF(OR(AU212="",AV212=""),"",(AU212+AV212)/2)</f>
        <v>0</v>
      </c>
      <c r="AX212">
        <f>IF(COUNT($E$2:$E212)&lt;52,"",(MAX($C$161:$C$212)+MIN($D$161:$D$212))/2)</f>
        <v>0</v>
      </c>
      <c r="AY212">
        <f>IF(COUNT($E$2:$E212)&lt;20,"",MAX($C$113:$C$212))</f>
        <v>0</v>
      </c>
      <c r="AZ212">
        <f>IF(COUNT($E$2:$E212)&lt;20,"",MIN($D$113:$D$212))</f>
        <v>0</v>
      </c>
      <c r="BA212">
        <f>IF(COUNT($E$2:$E212)&lt;20,"",SLOPE($E$113:$E$212,$F$113:$F$212))</f>
        <v>0</v>
      </c>
      <c r="BB212">
        <f>IF(COUNT($E$2:$E212)&lt;20,"",INTERCEPT($E$113:$E$212,$F$113:$F$212))</f>
        <v>0</v>
      </c>
      <c r="BC212">
        <f>IF(OR(BA212="",BB212=""),"",BB212+BA212*F212)</f>
        <v>0</v>
      </c>
      <c r="BD212">
        <f>IF(COUNT($E$2:$E212)&lt;20,"",STEYX($E$113:$E$212,$F$113:$F$212))</f>
        <v>0</v>
      </c>
      <c r="BE212">
        <f>IF($E212="","",IF(AND(COUNT($E$213:$E$216)&gt;=4,$C212=MAX($C$208:$C$216)),$C212,""))</f>
        <v>0</v>
      </c>
      <c r="BF212">
        <f>IF($E212="","",IF(AND(COUNT($E$213:$E$216)&gt;=4,$D212=MIN($D$208:$D$216)),$D212,""))</f>
        <v>0</v>
      </c>
      <c r="BG212">
        <f>IF($A212="","",$A212-WEEKDAY($A212,2)+1)</f>
        <v>0</v>
      </c>
      <c r="BH212">
        <f>IF($A212="","",IF($A211="",1,IF(BG212&lt;&gt;BG211,1,0)))</f>
        <v>0</v>
      </c>
      <c r="BI212">
        <f>IF($A212="","",IF($A213="",1,IF(BG213&lt;&gt;BG212,1,0)))</f>
        <v>0</v>
      </c>
      <c r="BJ212">
        <f>IF($A212="","",IF(BH212=1,$B212,BJ211))</f>
        <v>0</v>
      </c>
      <c r="BK212">
        <f>IF($A212="","",IF(BH212=1,$C212,MAX($C212,BK211)))</f>
        <v>0</v>
      </c>
      <c r="BL212">
        <f>IF($A212="","",IF(BH212=1,$D212,MIN($D212,BL211)))</f>
        <v>0</v>
      </c>
      <c r="BM212">
        <f>IF($A212="","",IF(BI212=1,F212,""))</f>
        <v>0</v>
      </c>
      <c r="BN212">
        <f>IF($A212="","",DATE(YEAR($A212),MONTH($A212),1))</f>
        <v>0</v>
      </c>
      <c r="BO212">
        <f>IF($A212="","",IF($A211="",1,IF(BN212&lt;&gt;BN211,1,0)))</f>
        <v>0</v>
      </c>
      <c r="BP212">
        <f>IF($A212="","",IF($A213="",1,IF(BN213&lt;&gt;BN212,1,0)))</f>
        <v>0</v>
      </c>
      <c r="BQ212">
        <f>IF($A212="","",IF(BO212=1,$B212,BQ211))</f>
        <v>0</v>
      </c>
      <c r="BR212">
        <f>IF($A212="","",IF(BO212=1,$C212,MAX($C212,BR211)))</f>
        <v>0</v>
      </c>
      <c r="BS212">
        <f>IF($A212="","",IF(BO212=1,$D212,MIN($D212,BS211)))</f>
        <v>0</v>
      </c>
      <c r="BT212">
        <f>IF($A212="","",IF(BP212=1,F212,""))</f>
        <v>0</v>
      </c>
    </row>
    <row r="213" spans="1:72">
      <c r="A213" s="27">
        <f>IF(Data!$A213="","",Data!$A213)</f>
        <v>0</v>
      </c>
      <c r="B213">
        <f>IF(Data!$B213="","",Data!$B213)</f>
        <v>0</v>
      </c>
      <c r="C213">
        <f>IF(Data!$C213="","",Data!$C213)</f>
        <v>0</v>
      </c>
      <c r="D213">
        <f>IF(Data!$D213="","",Data!$D213)</f>
        <v>0</v>
      </c>
      <c r="E213">
        <f>IF(Data!$E213="","",Data!$E213)</f>
        <v>0</v>
      </c>
      <c r="F213">
        <f>IF($E213="","",N(F212)+1)</f>
        <v>0</v>
      </c>
      <c r="G213">
        <f>IF(OR($E213="",$E212=""),"",LN($E213/$E212))</f>
        <v>0</v>
      </c>
      <c r="H213">
        <f>IF($E213="","",IF($E212="",$E213,$E213*0.0952380952+H212*0.9047619048))</f>
        <v>0</v>
      </c>
      <c r="I213">
        <f>IF($E213="","",IF($E212="",$E213,$E213*0.0392156863+I212*0.9607843137))</f>
        <v>0</v>
      </c>
      <c r="J213">
        <f>IF($E213="","",IF($E212="",$E213,$E213*0.0198019802+J212*0.9801980198))</f>
        <v>0</v>
      </c>
      <c r="K213">
        <f>IF($E213="","",IF($E212="",$E213,$E213*0.0099502488+K212*0.9900497512))</f>
        <v>0</v>
      </c>
      <c r="L213">
        <f>IF(OR($E213="",$E212=""),"",MAX($E213-$E212,0))</f>
        <v>0</v>
      </c>
      <c r="M213">
        <f>IF(OR($E213="",$E212=""),"",MAX($E212-$E213,0))</f>
        <v>0</v>
      </c>
      <c r="N213">
        <f>IF(COUNT($E$2:$E213)&lt;15,"",IF(AVERAGE($M$200:$M$213)=0,100,100-100/(1+AVERAGE($L$200:$L$213)/AVERAGE($M$200:$M$213))))</f>
        <v>0</v>
      </c>
      <c r="O213">
        <f>IF($E213="","",IF($E212="",$E213,$E213*0.1538461538+O212*0.8461538462))</f>
        <v>0</v>
      </c>
      <c r="P213">
        <f>IF($E213="","",IF($E212="",$E213,$E213*0.0740740741+P212*0.9259259259))</f>
        <v>0</v>
      </c>
      <c r="Q213">
        <f>IF(OR(O213="",P213=""),"",O213-P213)</f>
        <v>0</v>
      </c>
      <c r="R213">
        <f>IF(Q213="","",IF(R212="",Q213,Q213*0.2000000000+R212*0.8000000000))</f>
        <v>0</v>
      </c>
      <c r="S213">
        <f>IF(OR(Q213="",R213=""),"",Q213-R213)</f>
        <v>0</v>
      </c>
      <c r="T213">
        <f>IF(COUNT($E$2:$E213)&lt;14,"",MAX($C$200:$C$213))</f>
        <v>0</v>
      </c>
      <c r="U213">
        <f>IF(COUNT($E$2:$E213)&lt;14,"",MIN($D$200:$D$213))</f>
        <v>0</v>
      </c>
      <c r="V213">
        <f>IF(OR(T213="",U213="",T213=U213),"",100*($E213-U213)/(T213-U213))</f>
        <v>0</v>
      </c>
      <c r="W213">
        <f>IF(COUNT($V$211:$V$213)&lt;3,"",AVERAGE($V$211:$V$213))</f>
        <v>0</v>
      </c>
      <c r="X213">
        <f>IF(COUNT($N$200:$N$213)&lt;14,"",MIN($N$200:$N$213))</f>
        <v>0</v>
      </c>
      <c r="Y213">
        <f>IF(COUNT($N$200:$N$213)&lt;14,"",MAX($N$200:$N$213))</f>
        <v>0</v>
      </c>
      <c r="Z213">
        <f>IF(OR(N213="",X213="",Y213="",Y213=X213),"",100*(N213-X213)/(Y213-X213))</f>
        <v>0</v>
      </c>
      <c r="AA213">
        <f>IF(COUNT($Z$211:$Z$213)&lt;3,"",AVERAGE($Z$211:$Z$213))</f>
        <v>0</v>
      </c>
      <c r="AB213">
        <f>IF(COUNT($AA$211:$AA$213)&lt;3,"",AVERAGE($AA$211:$AA$213))</f>
        <v>0</v>
      </c>
      <c r="AC213">
        <f>IF($E213="","",MAX($C213-$D213,ABS($C213-$E212),ABS($D213-$E212)))</f>
        <v>0</v>
      </c>
      <c r="AD213">
        <f>IF(COUNT($E$2:$E213)&lt;15,"",AVERAGE($AC$200:$AC$213))</f>
        <v>0</v>
      </c>
      <c r="AE213">
        <f>IF(OR($E213="",$E212=""),"",IF(AND(($C213-$C212)&gt;($D212-$D213),($C213-$C212)&gt;0),$C213-$C212,0))</f>
        <v>0</v>
      </c>
      <c r="AF213">
        <f>IF(OR($E213="",$E212=""),"",IF(AND(($D212-$D213)&gt;($C213-$C212),($D212-$D213)&gt;0),$D212-$D213,0))</f>
        <v>0</v>
      </c>
      <c r="AG213">
        <f>IF(COUNT($E$2:$E213)&lt;15,"",IF(SUM($AC$200:$AC$213)=0,0,100*SUM($AE$200:$AE$213)/SUM($AC$200:$AC$213)))</f>
        <v>0</v>
      </c>
      <c r="AH213">
        <f>IF(COUNT($E$2:$E213)&lt;15,"",IF(SUM($AC$200:$AC$213)=0,0,100*SUM($AF$200:$AF$213)/SUM($AC$200:$AC$213)))</f>
        <v>0</v>
      </c>
      <c r="AI213">
        <f>IF(OR(AG213="",AH213=""),"",IF((AG213+AH213)=0,0,100*ABS(AG213-AH213)/(AG213+AH213)))</f>
        <v>0</v>
      </c>
      <c r="AJ213">
        <f>IF(COUNT($AI$200:$AI$213)&lt;14,"",AVERAGE($AI$200:$AI$213))</f>
        <v>0</v>
      </c>
      <c r="AK213">
        <f>IF(COUNT($E$2:$E213)&lt;20,"",AVERAGE($E$194:$E$213))</f>
        <v>0</v>
      </c>
      <c r="AL213">
        <f>IF(COUNT($E$2:$E213)&lt;20,"",STDEVP($E$194:$E$213))</f>
        <v>0</v>
      </c>
      <c r="AM213">
        <f>IF(AK213="","",AK213+2*AL213)</f>
        <v>0</v>
      </c>
      <c r="AN213">
        <f>IF(AK213="","",AK213-2*AL213)</f>
        <v>0</v>
      </c>
      <c r="AO213">
        <f>IF(OR(AM213="",AN213="",AM213=AN213),"",($E213-AN213)/(AM213-AN213))</f>
        <v>0</v>
      </c>
      <c r="AP213">
        <f>IF(OR(AM213="",AK213="",AK213=0),"",(AM213-AN213)/AK213)</f>
        <v>0</v>
      </c>
      <c r="AQ213">
        <f>IF(COUNT($E$2:$E213)&lt;20,"",MAX($C$194:$C$213))</f>
        <v>0</v>
      </c>
      <c r="AR213">
        <f>IF(COUNT($E$2:$E213)&lt;20,"",MIN($D$194:$D$213))</f>
        <v>0</v>
      </c>
      <c r="AS213">
        <f>IF(OR(AQ213="",AR213=""),"",(AQ213+AR213)/2)</f>
        <v>0</v>
      </c>
      <c r="AT213">
        <f>IF(COUNT($G$194:$G$213)&lt;20,"",STDEV($G$194:$G$213)*SQRT(252))</f>
        <v>0</v>
      </c>
      <c r="AU213">
        <f>IF(COUNT($E$2:$E213)&lt;9,"",(MAX($C$205:$C$213)+MIN($D$205:$D$213))/2)</f>
        <v>0</v>
      </c>
      <c r="AV213">
        <f>IF(COUNT($E$2:$E213)&lt;26,"",(MAX($C$188:$C$213)+MIN($D$188:$D$213))/2)</f>
        <v>0</v>
      </c>
      <c r="AW213">
        <f>IF(OR(AU213="",AV213=""),"",(AU213+AV213)/2)</f>
        <v>0</v>
      </c>
      <c r="AX213">
        <f>IF(COUNT($E$2:$E213)&lt;52,"",(MAX($C$162:$C$213)+MIN($D$162:$D$213))/2)</f>
        <v>0</v>
      </c>
      <c r="AY213">
        <f>IF(COUNT($E$2:$E213)&lt;20,"",MAX($C$114:$C$213))</f>
        <v>0</v>
      </c>
      <c r="AZ213">
        <f>IF(COUNT($E$2:$E213)&lt;20,"",MIN($D$114:$D$213))</f>
        <v>0</v>
      </c>
      <c r="BA213">
        <f>IF(COUNT($E$2:$E213)&lt;20,"",SLOPE($E$114:$E$213,$F$114:$F$213))</f>
        <v>0</v>
      </c>
      <c r="BB213">
        <f>IF(COUNT($E$2:$E213)&lt;20,"",INTERCEPT($E$114:$E$213,$F$114:$F$213))</f>
        <v>0</v>
      </c>
      <c r="BC213">
        <f>IF(OR(BA213="",BB213=""),"",BB213+BA213*F213)</f>
        <v>0</v>
      </c>
      <c r="BD213">
        <f>IF(COUNT($E$2:$E213)&lt;20,"",STEYX($E$114:$E$213,$F$114:$F$213))</f>
        <v>0</v>
      </c>
      <c r="BE213">
        <f>IF($E213="","",IF(AND(COUNT($E$214:$E$217)&gt;=4,$C213=MAX($C$209:$C$217)),$C213,""))</f>
        <v>0</v>
      </c>
      <c r="BF213">
        <f>IF($E213="","",IF(AND(COUNT($E$214:$E$217)&gt;=4,$D213=MIN($D$209:$D$217)),$D213,""))</f>
        <v>0</v>
      </c>
      <c r="BG213">
        <f>IF($A213="","",$A213-WEEKDAY($A213,2)+1)</f>
        <v>0</v>
      </c>
      <c r="BH213">
        <f>IF($A213="","",IF($A212="",1,IF(BG213&lt;&gt;BG212,1,0)))</f>
        <v>0</v>
      </c>
      <c r="BI213">
        <f>IF($A213="","",IF($A214="",1,IF(BG214&lt;&gt;BG213,1,0)))</f>
        <v>0</v>
      </c>
      <c r="BJ213">
        <f>IF($A213="","",IF(BH213=1,$B213,BJ212))</f>
        <v>0</v>
      </c>
      <c r="BK213">
        <f>IF($A213="","",IF(BH213=1,$C213,MAX($C213,BK212)))</f>
        <v>0</v>
      </c>
      <c r="BL213">
        <f>IF($A213="","",IF(BH213=1,$D213,MIN($D213,BL212)))</f>
        <v>0</v>
      </c>
      <c r="BM213">
        <f>IF($A213="","",IF(BI213=1,F213,""))</f>
        <v>0</v>
      </c>
      <c r="BN213">
        <f>IF($A213="","",DATE(YEAR($A213),MONTH($A213),1))</f>
        <v>0</v>
      </c>
      <c r="BO213">
        <f>IF($A213="","",IF($A212="",1,IF(BN213&lt;&gt;BN212,1,0)))</f>
        <v>0</v>
      </c>
      <c r="BP213">
        <f>IF($A213="","",IF($A214="",1,IF(BN214&lt;&gt;BN213,1,0)))</f>
        <v>0</v>
      </c>
      <c r="BQ213">
        <f>IF($A213="","",IF(BO213=1,$B213,BQ212))</f>
        <v>0</v>
      </c>
      <c r="BR213">
        <f>IF($A213="","",IF(BO213=1,$C213,MAX($C213,BR212)))</f>
        <v>0</v>
      </c>
      <c r="BS213">
        <f>IF($A213="","",IF(BO213=1,$D213,MIN($D213,BS212)))</f>
        <v>0</v>
      </c>
      <c r="BT213">
        <f>IF($A213="","",IF(BP213=1,F213,""))</f>
        <v>0</v>
      </c>
    </row>
    <row r="214" spans="1:72">
      <c r="A214" s="27">
        <f>IF(Data!$A214="","",Data!$A214)</f>
        <v>0</v>
      </c>
      <c r="B214">
        <f>IF(Data!$B214="","",Data!$B214)</f>
        <v>0</v>
      </c>
      <c r="C214">
        <f>IF(Data!$C214="","",Data!$C214)</f>
        <v>0</v>
      </c>
      <c r="D214">
        <f>IF(Data!$D214="","",Data!$D214)</f>
        <v>0</v>
      </c>
      <c r="E214">
        <f>IF(Data!$E214="","",Data!$E214)</f>
        <v>0</v>
      </c>
      <c r="F214">
        <f>IF($E214="","",N(F213)+1)</f>
        <v>0</v>
      </c>
      <c r="G214">
        <f>IF(OR($E214="",$E213=""),"",LN($E214/$E213))</f>
        <v>0</v>
      </c>
      <c r="H214">
        <f>IF($E214="","",IF($E213="",$E214,$E214*0.0952380952+H213*0.9047619048))</f>
        <v>0</v>
      </c>
      <c r="I214">
        <f>IF($E214="","",IF($E213="",$E214,$E214*0.0392156863+I213*0.9607843137))</f>
        <v>0</v>
      </c>
      <c r="J214">
        <f>IF($E214="","",IF($E213="",$E214,$E214*0.0198019802+J213*0.9801980198))</f>
        <v>0</v>
      </c>
      <c r="K214">
        <f>IF($E214="","",IF($E213="",$E214,$E214*0.0099502488+K213*0.9900497512))</f>
        <v>0</v>
      </c>
      <c r="L214">
        <f>IF(OR($E214="",$E213=""),"",MAX($E214-$E213,0))</f>
        <v>0</v>
      </c>
      <c r="M214">
        <f>IF(OR($E214="",$E213=""),"",MAX($E213-$E214,0))</f>
        <v>0</v>
      </c>
      <c r="N214">
        <f>IF(COUNT($E$2:$E214)&lt;15,"",IF(AVERAGE($M$201:$M$214)=0,100,100-100/(1+AVERAGE($L$201:$L$214)/AVERAGE($M$201:$M$214))))</f>
        <v>0</v>
      </c>
      <c r="O214">
        <f>IF($E214="","",IF($E213="",$E214,$E214*0.1538461538+O213*0.8461538462))</f>
        <v>0</v>
      </c>
      <c r="P214">
        <f>IF($E214="","",IF($E213="",$E214,$E214*0.0740740741+P213*0.9259259259))</f>
        <v>0</v>
      </c>
      <c r="Q214">
        <f>IF(OR(O214="",P214=""),"",O214-P214)</f>
        <v>0</v>
      </c>
      <c r="R214">
        <f>IF(Q214="","",IF(R213="",Q214,Q214*0.2000000000+R213*0.8000000000))</f>
        <v>0</v>
      </c>
      <c r="S214">
        <f>IF(OR(Q214="",R214=""),"",Q214-R214)</f>
        <v>0</v>
      </c>
      <c r="T214">
        <f>IF(COUNT($E$2:$E214)&lt;14,"",MAX($C$201:$C$214))</f>
        <v>0</v>
      </c>
      <c r="U214">
        <f>IF(COUNT($E$2:$E214)&lt;14,"",MIN($D$201:$D$214))</f>
        <v>0</v>
      </c>
      <c r="V214">
        <f>IF(OR(T214="",U214="",T214=U214),"",100*($E214-U214)/(T214-U214))</f>
        <v>0</v>
      </c>
      <c r="W214">
        <f>IF(COUNT($V$212:$V$214)&lt;3,"",AVERAGE($V$212:$V$214))</f>
        <v>0</v>
      </c>
      <c r="X214">
        <f>IF(COUNT($N$201:$N$214)&lt;14,"",MIN($N$201:$N$214))</f>
        <v>0</v>
      </c>
      <c r="Y214">
        <f>IF(COUNT($N$201:$N$214)&lt;14,"",MAX($N$201:$N$214))</f>
        <v>0</v>
      </c>
      <c r="Z214">
        <f>IF(OR(N214="",X214="",Y214="",Y214=X214),"",100*(N214-X214)/(Y214-X214))</f>
        <v>0</v>
      </c>
      <c r="AA214">
        <f>IF(COUNT($Z$212:$Z$214)&lt;3,"",AVERAGE($Z$212:$Z$214))</f>
        <v>0</v>
      </c>
      <c r="AB214">
        <f>IF(COUNT($AA$212:$AA$214)&lt;3,"",AVERAGE($AA$212:$AA$214))</f>
        <v>0</v>
      </c>
      <c r="AC214">
        <f>IF($E214="","",MAX($C214-$D214,ABS($C214-$E213),ABS($D214-$E213)))</f>
        <v>0</v>
      </c>
      <c r="AD214">
        <f>IF(COUNT($E$2:$E214)&lt;15,"",AVERAGE($AC$201:$AC$214))</f>
        <v>0</v>
      </c>
      <c r="AE214">
        <f>IF(OR($E214="",$E213=""),"",IF(AND(($C214-$C213)&gt;($D213-$D214),($C214-$C213)&gt;0),$C214-$C213,0))</f>
        <v>0</v>
      </c>
      <c r="AF214">
        <f>IF(OR($E214="",$E213=""),"",IF(AND(($D213-$D214)&gt;($C214-$C213),($D213-$D214)&gt;0),$D213-$D214,0))</f>
        <v>0</v>
      </c>
      <c r="AG214">
        <f>IF(COUNT($E$2:$E214)&lt;15,"",IF(SUM($AC$201:$AC$214)=0,0,100*SUM($AE$201:$AE$214)/SUM($AC$201:$AC$214)))</f>
        <v>0</v>
      </c>
      <c r="AH214">
        <f>IF(COUNT($E$2:$E214)&lt;15,"",IF(SUM($AC$201:$AC$214)=0,0,100*SUM($AF$201:$AF$214)/SUM($AC$201:$AC$214)))</f>
        <v>0</v>
      </c>
      <c r="AI214">
        <f>IF(OR(AG214="",AH214=""),"",IF((AG214+AH214)=0,0,100*ABS(AG214-AH214)/(AG214+AH214)))</f>
        <v>0</v>
      </c>
      <c r="AJ214">
        <f>IF(COUNT($AI$201:$AI$214)&lt;14,"",AVERAGE($AI$201:$AI$214))</f>
        <v>0</v>
      </c>
      <c r="AK214">
        <f>IF(COUNT($E$2:$E214)&lt;20,"",AVERAGE($E$195:$E$214))</f>
        <v>0</v>
      </c>
      <c r="AL214">
        <f>IF(COUNT($E$2:$E214)&lt;20,"",STDEVP($E$195:$E$214))</f>
        <v>0</v>
      </c>
      <c r="AM214">
        <f>IF(AK214="","",AK214+2*AL214)</f>
        <v>0</v>
      </c>
      <c r="AN214">
        <f>IF(AK214="","",AK214-2*AL214)</f>
        <v>0</v>
      </c>
      <c r="AO214">
        <f>IF(OR(AM214="",AN214="",AM214=AN214),"",($E214-AN214)/(AM214-AN214))</f>
        <v>0</v>
      </c>
      <c r="AP214">
        <f>IF(OR(AM214="",AK214="",AK214=0),"",(AM214-AN214)/AK214)</f>
        <v>0</v>
      </c>
      <c r="AQ214">
        <f>IF(COUNT($E$2:$E214)&lt;20,"",MAX($C$195:$C$214))</f>
        <v>0</v>
      </c>
      <c r="AR214">
        <f>IF(COUNT($E$2:$E214)&lt;20,"",MIN($D$195:$D$214))</f>
        <v>0</v>
      </c>
      <c r="AS214">
        <f>IF(OR(AQ214="",AR214=""),"",(AQ214+AR214)/2)</f>
        <v>0</v>
      </c>
      <c r="AT214">
        <f>IF(COUNT($G$195:$G$214)&lt;20,"",STDEV($G$195:$G$214)*SQRT(252))</f>
        <v>0</v>
      </c>
      <c r="AU214">
        <f>IF(COUNT($E$2:$E214)&lt;9,"",(MAX($C$206:$C$214)+MIN($D$206:$D$214))/2)</f>
        <v>0</v>
      </c>
      <c r="AV214">
        <f>IF(COUNT($E$2:$E214)&lt;26,"",(MAX($C$189:$C$214)+MIN($D$189:$D$214))/2)</f>
        <v>0</v>
      </c>
      <c r="AW214">
        <f>IF(OR(AU214="",AV214=""),"",(AU214+AV214)/2)</f>
        <v>0</v>
      </c>
      <c r="AX214">
        <f>IF(COUNT($E$2:$E214)&lt;52,"",(MAX($C$163:$C$214)+MIN($D$163:$D$214))/2)</f>
        <v>0</v>
      </c>
      <c r="AY214">
        <f>IF(COUNT($E$2:$E214)&lt;20,"",MAX($C$115:$C$214))</f>
        <v>0</v>
      </c>
      <c r="AZ214">
        <f>IF(COUNT($E$2:$E214)&lt;20,"",MIN($D$115:$D$214))</f>
        <v>0</v>
      </c>
      <c r="BA214">
        <f>IF(COUNT($E$2:$E214)&lt;20,"",SLOPE($E$115:$E$214,$F$115:$F$214))</f>
        <v>0</v>
      </c>
      <c r="BB214">
        <f>IF(COUNT($E$2:$E214)&lt;20,"",INTERCEPT($E$115:$E$214,$F$115:$F$214))</f>
        <v>0</v>
      </c>
      <c r="BC214">
        <f>IF(OR(BA214="",BB214=""),"",BB214+BA214*F214)</f>
        <v>0</v>
      </c>
      <c r="BD214">
        <f>IF(COUNT($E$2:$E214)&lt;20,"",STEYX($E$115:$E$214,$F$115:$F$214))</f>
        <v>0</v>
      </c>
      <c r="BE214">
        <f>IF($E214="","",IF(AND(COUNT($E$215:$E$218)&gt;=4,$C214=MAX($C$210:$C$218)),$C214,""))</f>
        <v>0</v>
      </c>
      <c r="BF214">
        <f>IF($E214="","",IF(AND(COUNT($E$215:$E$218)&gt;=4,$D214=MIN($D$210:$D$218)),$D214,""))</f>
        <v>0</v>
      </c>
      <c r="BG214">
        <f>IF($A214="","",$A214-WEEKDAY($A214,2)+1)</f>
        <v>0</v>
      </c>
      <c r="BH214">
        <f>IF($A214="","",IF($A213="",1,IF(BG214&lt;&gt;BG213,1,0)))</f>
        <v>0</v>
      </c>
      <c r="BI214">
        <f>IF($A214="","",IF($A215="",1,IF(BG215&lt;&gt;BG214,1,0)))</f>
        <v>0</v>
      </c>
      <c r="BJ214">
        <f>IF($A214="","",IF(BH214=1,$B214,BJ213))</f>
        <v>0</v>
      </c>
      <c r="BK214">
        <f>IF($A214="","",IF(BH214=1,$C214,MAX($C214,BK213)))</f>
        <v>0</v>
      </c>
      <c r="BL214">
        <f>IF($A214="","",IF(BH214=1,$D214,MIN($D214,BL213)))</f>
        <v>0</v>
      </c>
      <c r="BM214">
        <f>IF($A214="","",IF(BI214=1,F214,""))</f>
        <v>0</v>
      </c>
      <c r="BN214">
        <f>IF($A214="","",DATE(YEAR($A214),MONTH($A214),1))</f>
        <v>0</v>
      </c>
      <c r="BO214">
        <f>IF($A214="","",IF($A213="",1,IF(BN214&lt;&gt;BN213,1,0)))</f>
        <v>0</v>
      </c>
      <c r="BP214">
        <f>IF($A214="","",IF($A215="",1,IF(BN215&lt;&gt;BN214,1,0)))</f>
        <v>0</v>
      </c>
      <c r="BQ214">
        <f>IF($A214="","",IF(BO214=1,$B214,BQ213))</f>
        <v>0</v>
      </c>
      <c r="BR214">
        <f>IF($A214="","",IF(BO214=1,$C214,MAX($C214,BR213)))</f>
        <v>0</v>
      </c>
      <c r="BS214">
        <f>IF($A214="","",IF(BO214=1,$D214,MIN($D214,BS213)))</f>
        <v>0</v>
      </c>
      <c r="BT214">
        <f>IF($A214="","",IF(BP214=1,F214,""))</f>
        <v>0</v>
      </c>
    </row>
    <row r="215" spans="1:72">
      <c r="A215" s="27">
        <f>IF(Data!$A215="","",Data!$A215)</f>
        <v>0</v>
      </c>
      <c r="B215">
        <f>IF(Data!$B215="","",Data!$B215)</f>
        <v>0</v>
      </c>
      <c r="C215">
        <f>IF(Data!$C215="","",Data!$C215)</f>
        <v>0</v>
      </c>
      <c r="D215">
        <f>IF(Data!$D215="","",Data!$D215)</f>
        <v>0</v>
      </c>
      <c r="E215">
        <f>IF(Data!$E215="","",Data!$E215)</f>
        <v>0</v>
      </c>
      <c r="F215">
        <f>IF($E215="","",N(F214)+1)</f>
        <v>0</v>
      </c>
      <c r="G215">
        <f>IF(OR($E215="",$E214=""),"",LN($E215/$E214))</f>
        <v>0</v>
      </c>
      <c r="H215">
        <f>IF($E215="","",IF($E214="",$E215,$E215*0.0952380952+H214*0.9047619048))</f>
        <v>0</v>
      </c>
      <c r="I215">
        <f>IF($E215="","",IF($E214="",$E215,$E215*0.0392156863+I214*0.9607843137))</f>
        <v>0</v>
      </c>
      <c r="J215">
        <f>IF($E215="","",IF($E214="",$E215,$E215*0.0198019802+J214*0.9801980198))</f>
        <v>0</v>
      </c>
      <c r="K215">
        <f>IF($E215="","",IF($E214="",$E215,$E215*0.0099502488+K214*0.9900497512))</f>
        <v>0</v>
      </c>
      <c r="L215">
        <f>IF(OR($E215="",$E214=""),"",MAX($E215-$E214,0))</f>
        <v>0</v>
      </c>
      <c r="M215">
        <f>IF(OR($E215="",$E214=""),"",MAX($E214-$E215,0))</f>
        <v>0</v>
      </c>
      <c r="N215">
        <f>IF(COUNT($E$2:$E215)&lt;15,"",IF(AVERAGE($M$202:$M$215)=0,100,100-100/(1+AVERAGE($L$202:$L$215)/AVERAGE($M$202:$M$215))))</f>
        <v>0</v>
      </c>
      <c r="O215">
        <f>IF($E215="","",IF($E214="",$E215,$E215*0.1538461538+O214*0.8461538462))</f>
        <v>0</v>
      </c>
      <c r="P215">
        <f>IF($E215="","",IF($E214="",$E215,$E215*0.0740740741+P214*0.9259259259))</f>
        <v>0</v>
      </c>
      <c r="Q215">
        <f>IF(OR(O215="",P215=""),"",O215-P215)</f>
        <v>0</v>
      </c>
      <c r="R215">
        <f>IF(Q215="","",IF(R214="",Q215,Q215*0.2000000000+R214*0.8000000000))</f>
        <v>0</v>
      </c>
      <c r="S215">
        <f>IF(OR(Q215="",R215=""),"",Q215-R215)</f>
        <v>0</v>
      </c>
      <c r="T215">
        <f>IF(COUNT($E$2:$E215)&lt;14,"",MAX($C$202:$C$215))</f>
        <v>0</v>
      </c>
      <c r="U215">
        <f>IF(COUNT($E$2:$E215)&lt;14,"",MIN($D$202:$D$215))</f>
        <v>0</v>
      </c>
      <c r="V215">
        <f>IF(OR(T215="",U215="",T215=U215),"",100*($E215-U215)/(T215-U215))</f>
        <v>0</v>
      </c>
      <c r="W215">
        <f>IF(COUNT($V$213:$V$215)&lt;3,"",AVERAGE($V$213:$V$215))</f>
        <v>0</v>
      </c>
      <c r="X215">
        <f>IF(COUNT($N$202:$N$215)&lt;14,"",MIN($N$202:$N$215))</f>
        <v>0</v>
      </c>
      <c r="Y215">
        <f>IF(COUNT($N$202:$N$215)&lt;14,"",MAX($N$202:$N$215))</f>
        <v>0</v>
      </c>
      <c r="Z215">
        <f>IF(OR(N215="",X215="",Y215="",Y215=X215),"",100*(N215-X215)/(Y215-X215))</f>
        <v>0</v>
      </c>
      <c r="AA215">
        <f>IF(COUNT($Z$213:$Z$215)&lt;3,"",AVERAGE($Z$213:$Z$215))</f>
        <v>0</v>
      </c>
      <c r="AB215">
        <f>IF(COUNT($AA$213:$AA$215)&lt;3,"",AVERAGE($AA$213:$AA$215))</f>
        <v>0</v>
      </c>
      <c r="AC215">
        <f>IF($E215="","",MAX($C215-$D215,ABS($C215-$E214),ABS($D215-$E214)))</f>
        <v>0</v>
      </c>
      <c r="AD215">
        <f>IF(COUNT($E$2:$E215)&lt;15,"",AVERAGE($AC$202:$AC$215))</f>
        <v>0</v>
      </c>
      <c r="AE215">
        <f>IF(OR($E215="",$E214=""),"",IF(AND(($C215-$C214)&gt;($D214-$D215),($C215-$C214)&gt;0),$C215-$C214,0))</f>
        <v>0</v>
      </c>
      <c r="AF215">
        <f>IF(OR($E215="",$E214=""),"",IF(AND(($D214-$D215)&gt;($C215-$C214),($D214-$D215)&gt;0),$D214-$D215,0))</f>
        <v>0</v>
      </c>
      <c r="AG215">
        <f>IF(COUNT($E$2:$E215)&lt;15,"",IF(SUM($AC$202:$AC$215)=0,0,100*SUM($AE$202:$AE$215)/SUM($AC$202:$AC$215)))</f>
        <v>0</v>
      </c>
      <c r="AH215">
        <f>IF(COUNT($E$2:$E215)&lt;15,"",IF(SUM($AC$202:$AC$215)=0,0,100*SUM($AF$202:$AF$215)/SUM($AC$202:$AC$215)))</f>
        <v>0</v>
      </c>
      <c r="AI215">
        <f>IF(OR(AG215="",AH215=""),"",IF((AG215+AH215)=0,0,100*ABS(AG215-AH215)/(AG215+AH215)))</f>
        <v>0</v>
      </c>
      <c r="AJ215">
        <f>IF(COUNT($AI$202:$AI$215)&lt;14,"",AVERAGE($AI$202:$AI$215))</f>
        <v>0</v>
      </c>
      <c r="AK215">
        <f>IF(COUNT($E$2:$E215)&lt;20,"",AVERAGE($E$196:$E$215))</f>
        <v>0</v>
      </c>
      <c r="AL215">
        <f>IF(COUNT($E$2:$E215)&lt;20,"",STDEVP($E$196:$E$215))</f>
        <v>0</v>
      </c>
      <c r="AM215">
        <f>IF(AK215="","",AK215+2*AL215)</f>
        <v>0</v>
      </c>
      <c r="AN215">
        <f>IF(AK215="","",AK215-2*AL215)</f>
        <v>0</v>
      </c>
      <c r="AO215">
        <f>IF(OR(AM215="",AN215="",AM215=AN215),"",($E215-AN215)/(AM215-AN215))</f>
        <v>0</v>
      </c>
      <c r="AP215">
        <f>IF(OR(AM215="",AK215="",AK215=0),"",(AM215-AN215)/AK215)</f>
        <v>0</v>
      </c>
      <c r="AQ215">
        <f>IF(COUNT($E$2:$E215)&lt;20,"",MAX($C$196:$C$215))</f>
        <v>0</v>
      </c>
      <c r="AR215">
        <f>IF(COUNT($E$2:$E215)&lt;20,"",MIN($D$196:$D$215))</f>
        <v>0</v>
      </c>
      <c r="AS215">
        <f>IF(OR(AQ215="",AR215=""),"",(AQ215+AR215)/2)</f>
        <v>0</v>
      </c>
      <c r="AT215">
        <f>IF(COUNT($G$196:$G$215)&lt;20,"",STDEV($G$196:$G$215)*SQRT(252))</f>
        <v>0</v>
      </c>
      <c r="AU215">
        <f>IF(COUNT($E$2:$E215)&lt;9,"",(MAX($C$207:$C$215)+MIN($D$207:$D$215))/2)</f>
        <v>0</v>
      </c>
      <c r="AV215">
        <f>IF(COUNT($E$2:$E215)&lt;26,"",(MAX($C$190:$C$215)+MIN($D$190:$D$215))/2)</f>
        <v>0</v>
      </c>
      <c r="AW215">
        <f>IF(OR(AU215="",AV215=""),"",(AU215+AV215)/2)</f>
        <v>0</v>
      </c>
      <c r="AX215">
        <f>IF(COUNT($E$2:$E215)&lt;52,"",(MAX($C$164:$C$215)+MIN($D$164:$D$215))/2)</f>
        <v>0</v>
      </c>
      <c r="AY215">
        <f>IF(COUNT($E$2:$E215)&lt;20,"",MAX($C$116:$C$215))</f>
        <v>0</v>
      </c>
      <c r="AZ215">
        <f>IF(COUNT($E$2:$E215)&lt;20,"",MIN($D$116:$D$215))</f>
        <v>0</v>
      </c>
      <c r="BA215">
        <f>IF(COUNT($E$2:$E215)&lt;20,"",SLOPE($E$116:$E$215,$F$116:$F$215))</f>
        <v>0</v>
      </c>
      <c r="BB215">
        <f>IF(COUNT($E$2:$E215)&lt;20,"",INTERCEPT($E$116:$E$215,$F$116:$F$215))</f>
        <v>0</v>
      </c>
      <c r="BC215">
        <f>IF(OR(BA215="",BB215=""),"",BB215+BA215*F215)</f>
        <v>0</v>
      </c>
      <c r="BD215">
        <f>IF(COUNT($E$2:$E215)&lt;20,"",STEYX($E$116:$E$215,$F$116:$F$215))</f>
        <v>0</v>
      </c>
      <c r="BE215">
        <f>IF($E215="","",IF(AND(COUNT($E$216:$E$219)&gt;=4,$C215=MAX($C$211:$C$219)),$C215,""))</f>
        <v>0</v>
      </c>
      <c r="BF215">
        <f>IF($E215="","",IF(AND(COUNT($E$216:$E$219)&gt;=4,$D215=MIN($D$211:$D$219)),$D215,""))</f>
        <v>0</v>
      </c>
      <c r="BG215">
        <f>IF($A215="","",$A215-WEEKDAY($A215,2)+1)</f>
        <v>0</v>
      </c>
      <c r="BH215">
        <f>IF($A215="","",IF($A214="",1,IF(BG215&lt;&gt;BG214,1,0)))</f>
        <v>0</v>
      </c>
      <c r="BI215">
        <f>IF($A215="","",IF($A216="",1,IF(BG216&lt;&gt;BG215,1,0)))</f>
        <v>0</v>
      </c>
      <c r="BJ215">
        <f>IF($A215="","",IF(BH215=1,$B215,BJ214))</f>
        <v>0</v>
      </c>
      <c r="BK215">
        <f>IF($A215="","",IF(BH215=1,$C215,MAX($C215,BK214)))</f>
        <v>0</v>
      </c>
      <c r="BL215">
        <f>IF($A215="","",IF(BH215=1,$D215,MIN($D215,BL214)))</f>
        <v>0</v>
      </c>
      <c r="BM215">
        <f>IF($A215="","",IF(BI215=1,F215,""))</f>
        <v>0</v>
      </c>
      <c r="BN215">
        <f>IF($A215="","",DATE(YEAR($A215),MONTH($A215),1))</f>
        <v>0</v>
      </c>
      <c r="BO215">
        <f>IF($A215="","",IF($A214="",1,IF(BN215&lt;&gt;BN214,1,0)))</f>
        <v>0</v>
      </c>
      <c r="BP215">
        <f>IF($A215="","",IF($A216="",1,IF(BN216&lt;&gt;BN215,1,0)))</f>
        <v>0</v>
      </c>
      <c r="BQ215">
        <f>IF($A215="","",IF(BO215=1,$B215,BQ214))</f>
        <v>0</v>
      </c>
      <c r="BR215">
        <f>IF($A215="","",IF(BO215=1,$C215,MAX($C215,BR214)))</f>
        <v>0</v>
      </c>
      <c r="BS215">
        <f>IF($A215="","",IF(BO215=1,$D215,MIN($D215,BS214)))</f>
        <v>0</v>
      </c>
      <c r="BT215">
        <f>IF($A215="","",IF(BP215=1,F215,""))</f>
        <v>0</v>
      </c>
    </row>
    <row r="216" spans="1:72">
      <c r="A216" s="27">
        <f>IF(Data!$A216="","",Data!$A216)</f>
        <v>0</v>
      </c>
      <c r="B216">
        <f>IF(Data!$B216="","",Data!$B216)</f>
        <v>0</v>
      </c>
      <c r="C216">
        <f>IF(Data!$C216="","",Data!$C216)</f>
        <v>0</v>
      </c>
      <c r="D216">
        <f>IF(Data!$D216="","",Data!$D216)</f>
        <v>0</v>
      </c>
      <c r="E216">
        <f>IF(Data!$E216="","",Data!$E216)</f>
        <v>0</v>
      </c>
      <c r="F216">
        <f>IF($E216="","",N(F215)+1)</f>
        <v>0</v>
      </c>
      <c r="G216">
        <f>IF(OR($E216="",$E215=""),"",LN($E216/$E215))</f>
        <v>0</v>
      </c>
      <c r="H216">
        <f>IF($E216="","",IF($E215="",$E216,$E216*0.0952380952+H215*0.9047619048))</f>
        <v>0</v>
      </c>
      <c r="I216">
        <f>IF($E216="","",IF($E215="",$E216,$E216*0.0392156863+I215*0.9607843137))</f>
        <v>0</v>
      </c>
      <c r="J216">
        <f>IF($E216="","",IF($E215="",$E216,$E216*0.0198019802+J215*0.9801980198))</f>
        <v>0</v>
      </c>
      <c r="K216">
        <f>IF($E216="","",IF($E215="",$E216,$E216*0.0099502488+K215*0.9900497512))</f>
        <v>0</v>
      </c>
      <c r="L216">
        <f>IF(OR($E216="",$E215=""),"",MAX($E216-$E215,0))</f>
        <v>0</v>
      </c>
      <c r="M216">
        <f>IF(OR($E216="",$E215=""),"",MAX($E215-$E216,0))</f>
        <v>0</v>
      </c>
      <c r="N216">
        <f>IF(COUNT($E$2:$E216)&lt;15,"",IF(AVERAGE($M$203:$M$216)=0,100,100-100/(1+AVERAGE($L$203:$L$216)/AVERAGE($M$203:$M$216))))</f>
        <v>0</v>
      </c>
      <c r="O216">
        <f>IF($E216="","",IF($E215="",$E216,$E216*0.1538461538+O215*0.8461538462))</f>
        <v>0</v>
      </c>
      <c r="P216">
        <f>IF($E216="","",IF($E215="",$E216,$E216*0.0740740741+P215*0.9259259259))</f>
        <v>0</v>
      </c>
      <c r="Q216">
        <f>IF(OR(O216="",P216=""),"",O216-P216)</f>
        <v>0</v>
      </c>
      <c r="R216">
        <f>IF(Q216="","",IF(R215="",Q216,Q216*0.2000000000+R215*0.8000000000))</f>
        <v>0</v>
      </c>
      <c r="S216">
        <f>IF(OR(Q216="",R216=""),"",Q216-R216)</f>
        <v>0</v>
      </c>
      <c r="T216">
        <f>IF(COUNT($E$2:$E216)&lt;14,"",MAX($C$203:$C$216))</f>
        <v>0</v>
      </c>
      <c r="U216">
        <f>IF(COUNT($E$2:$E216)&lt;14,"",MIN($D$203:$D$216))</f>
        <v>0</v>
      </c>
      <c r="V216">
        <f>IF(OR(T216="",U216="",T216=U216),"",100*($E216-U216)/(T216-U216))</f>
        <v>0</v>
      </c>
      <c r="W216">
        <f>IF(COUNT($V$214:$V$216)&lt;3,"",AVERAGE($V$214:$V$216))</f>
        <v>0</v>
      </c>
      <c r="X216">
        <f>IF(COUNT($N$203:$N$216)&lt;14,"",MIN($N$203:$N$216))</f>
        <v>0</v>
      </c>
      <c r="Y216">
        <f>IF(COUNT($N$203:$N$216)&lt;14,"",MAX($N$203:$N$216))</f>
        <v>0</v>
      </c>
      <c r="Z216">
        <f>IF(OR(N216="",X216="",Y216="",Y216=X216),"",100*(N216-X216)/(Y216-X216))</f>
        <v>0</v>
      </c>
      <c r="AA216">
        <f>IF(COUNT($Z$214:$Z$216)&lt;3,"",AVERAGE($Z$214:$Z$216))</f>
        <v>0</v>
      </c>
      <c r="AB216">
        <f>IF(COUNT($AA$214:$AA$216)&lt;3,"",AVERAGE($AA$214:$AA$216))</f>
        <v>0</v>
      </c>
      <c r="AC216">
        <f>IF($E216="","",MAX($C216-$D216,ABS($C216-$E215),ABS($D216-$E215)))</f>
        <v>0</v>
      </c>
      <c r="AD216">
        <f>IF(COUNT($E$2:$E216)&lt;15,"",AVERAGE($AC$203:$AC$216))</f>
        <v>0</v>
      </c>
      <c r="AE216">
        <f>IF(OR($E216="",$E215=""),"",IF(AND(($C216-$C215)&gt;($D215-$D216),($C216-$C215)&gt;0),$C216-$C215,0))</f>
        <v>0</v>
      </c>
      <c r="AF216">
        <f>IF(OR($E216="",$E215=""),"",IF(AND(($D215-$D216)&gt;($C216-$C215),($D215-$D216)&gt;0),$D215-$D216,0))</f>
        <v>0</v>
      </c>
      <c r="AG216">
        <f>IF(COUNT($E$2:$E216)&lt;15,"",IF(SUM($AC$203:$AC$216)=0,0,100*SUM($AE$203:$AE$216)/SUM($AC$203:$AC$216)))</f>
        <v>0</v>
      </c>
      <c r="AH216">
        <f>IF(COUNT($E$2:$E216)&lt;15,"",IF(SUM($AC$203:$AC$216)=0,0,100*SUM($AF$203:$AF$216)/SUM($AC$203:$AC$216)))</f>
        <v>0</v>
      </c>
      <c r="AI216">
        <f>IF(OR(AG216="",AH216=""),"",IF((AG216+AH216)=0,0,100*ABS(AG216-AH216)/(AG216+AH216)))</f>
        <v>0</v>
      </c>
      <c r="AJ216">
        <f>IF(COUNT($AI$203:$AI$216)&lt;14,"",AVERAGE($AI$203:$AI$216))</f>
        <v>0</v>
      </c>
      <c r="AK216">
        <f>IF(COUNT($E$2:$E216)&lt;20,"",AVERAGE($E$197:$E$216))</f>
        <v>0</v>
      </c>
      <c r="AL216">
        <f>IF(COUNT($E$2:$E216)&lt;20,"",STDEVP($E$197:$E$216))</f>
        <v>0</v>
      </c>
      <c r="AM216">
        <f>IF(AK216="","",AK216+2*AL216)</f>
        <v>0</v>
      </c>
      <c r="AN216">
        <f>IF(AK216="","",AK216-2*AL216)</f>
        <v>0</v>
      </c>
      <c r="AO216">
        <f>IF(OR(AM216="",AN216="",AM216=AN216),"",($E216-AN216)/(AM216-AN216))</f>
        <v>0</v>
      </c>
      <c r="AP216">
        <f>IF(OR(AM216="",AK216="",AK216=0),"",(AM216-AN216)/AK216)</f>
        <v>0</v>
      </c>
      <c r="AQ216">
        <f>IF(COUNT($E$2:$E216)&lt;20,"",MAX($C$197:$C$216))</f>
        <v>0</v>
      </c>
      <c r="AR216">
        <f>IF(COUNT($E$2:$E216)&lt;20,"",MIN($D$197:$D$216))</f>
        <v>0</v>
      </c>
      <c r="AS216">
        <f>IF(OR(AQ216="",AR216=""),"",(AQ216+AR216)/2)</f>
        <v>0</v>
      </c>
      <c r="AT216">
        <f>IF(COUNT($G$197:$G$216)&lt;20,"",STDEV($G$197:$G$216)*SQRT(252))</f>
        <v>0</v>
      </c>
      <c r="AU216">
        <f>IF(COUNT($E$2:$E216)&lt;9,"",(MAX($C$208:$C$216)+MIN($D$208:$D$216))/2)</f>
        <v>0</v>
      </c>
      <c r="AV216">
        <f>IF(COUNT($E$2:$E216)&lt;26,"",(MAX($C$191:$C$216)+MIN($D$191:$D$216))/2)</f>
        <v>0</v>
      </c>
      <c r="AW216">
        <f>IF(OR(AU216="",AV216=""),"",(AU216+AV216)/2)</f>
        <v>0</v>
      </c>
      <c r="AX216">
        <f>IF(COUNT($E$2:$E216)&lt;52,"",(MAX($C$165:$C$216)+MIN($D$165:$D$216))/2)</f>
        <v>0</v>
      </c>
      <c r="AY216">
        <f>IF(COUNT($E$2:$E216)&lt;20,"",MAX($C$117:$C$216))</f>
        <v>0</v>
      </c>
      <c r="AZ216">
        <f>IF(COUNT($E$2:$E216)&lt;20,"",MIN($D$117:$D$216))</f>
        <v>0</v>
      </c>
      <c r="BA216">
        <f>IF(COUNT($E$2:$E216)&lt;20,"",SLOPE($E$117:$E$216,$F$117:$F$216))</f>
        <v>0</v>
      </c>
      <c r="BB216">
        <f>IF(COUNT($E$2:$E216)&lt;20,"",INTERCEPT($E$117:$E$216,$F$117:$F$216))</f>
        <v>0</v>
      </c>
      <c r="BC216">
        <f>IF(OR(BA216="",BB216=""),"",BB216+BA216*F216)</f>
        <v>0</v>
      </c>
      <c r="BD216">
        <f>IF(COUNT($E$2:$E216)&lt;20,"",STEYX($E$117:$E$216,$F$117:$F$216))</f>
        <v>0</v>
      </c>
      <c r="BE216">
        <f>IF($E216="","",IF(AND(COUNT($E$217:$E$220)&gt;=4,$C216=MAX($C$212:$C$220)),$C216,""))</f>
        <v>0</v>
      </c>
      <c r="BF216">
        <f>IF($E216="","",IF(AND(COUNT($E$217:$E$220)&gt;=4,$D216=MIN($D$212:$D$220)),$D216,""))</f>
        <v>0</v>
      </c>
      <c r="BG216">
        <f>IF($A216="","",$A216-WEEKDAY($A216,2)+1)</f>
        <v>0</v>
      </c>
      <c r="BH216">
        <f>IF($A216="","",IF($A215="",1,IF(BG216&lt;&gt;BG215,1,0)))</f>
        <v>0</v>
      </c>
      <c r="BI216">
        <f>IF($A216="","",IF($A217="",1,IF(BG217&lt;&gt;BG216,1,0)))</f>
        <v>0</v>
      </c>
      <c r="BJ216">
        <f>IF($A216="","",IF(BH216=1,$B216,BJ215))</f>
        <v>0</v>
      </c>
      <c r="BK216">
        <f>IF($A216="","",IF(BH216=1,$C216,MAX($C216,BK215)))</f>
        <v>0</v>
      </c>
      <c r="BL216">
        <f>IF($A216="","",IF(BH216=1,$D216,MIN($D216,BL215)))</f>
        <v>0</v>
      </c>
      <c r="BM216">
        <f>IF($A216="","",IF(BI216=1,F216,""))</f>
        <v>0</v>
      </c>
      <c r="BN216">
        <f>IF($A216="","",DATE(YEAR($A216),MONTH($A216),1))</f>
        <v>0</v>
      </c>
      <c r="BO216">
        <f>IF($A216="","",IF($A215="",1,IF(BN216&lt;&gt;BN215,1,0)))</f>
        <v>0</v>
      </c>
      <c r="BP216">
        <f>IF($A216="","",IF($A217="",1,IF(BN217&lt;&gt;BN216,1,0)))</f>
        <v>0</v>
      </c>
      <c r="BQ216">
        <f>IF($A216="","",IF(BO216=1,$B216,BQ215))</f>
        <v>0</v>
      </c>
      <c r="BR216">
        <f>IF($A216="","",IF(BO216=1,$C216,MAX($C216,BR215)))</f>
        <v>0</v>
      </c>
      <c r="BS216">
        <f>IF($A216="","",IF(BO216=1,$D216,MIN($D216,BS215)))</f>
        <v>0</v>
      </c>
      <c r="BT216">
        <f>IF($A216="","",IF(BP216=1,F216,""))</f>
        <v>0</v>
      </c>
    </row>
    <row r="217" spans="1:72">
      <c r="A217" s="27">
        <f>IF(Data!$A217="","",Data!$A217)</f>
        <v>0</v>
      </c>
      <c r="B217">
        <f>IF(Data!$B217="","",Data!$B217)</f>
        <v>0</v>
      </c>
      <c r="C217">
        <f>IF(Data!$C217="","",Data!$C217)</f>
        <v>0</v>
      </c>
      <c r="D217">
        <f>IF(Data!$D217="","",Data!$D217)</f>
        <v>0</v>
      </c>
      <c r="E217">
        <f>IF(Data!$E217="","",Data!$E217)</f>
        <v>0</v>
      </c>
      <c r="F217">
        <f>IF($E217="","",N(F216)+1)</f>
        <v>0</v>
      </c>
      <c r="G217">
        <f>IF(OR($E217="",$E216=""),"",LN($E217/$E216))</f>
        <v>0</v>
      </c>
      <c r="H217">
        <f>IF($E217="","",IF($E216="",$E217,$E217*0.0952380952+H216*0.9047619048))</f>
        <v>0</v>
      </c>
      <c r="I217">
        <f>IF($E217="","",IF($E216="",$E217,$E217*0.0392156863+I216*0.9607843137))</f>
        <v>0</v>
      </c>
      <c r="J217">
        <f>IF($E217="","",IF($E216="",$E217,$E217*0.0198019802+J216*0.9801980198))</f>
        <v>0</v>
      </c>
      <c r="K217">
        <f>IF($E217="","",IF($E216="",$E217,$E217*0.0099502488+K216*0.9900497512))</f>
        <v>0</v>
      </c>
      <c r="L217">
        <f>IF(OR($E217="",$E216=""),"",MAX($E217-$E216,0))</f>
        <v>0</v>
      </c>
      <c r="M217">
        <f>IF(OR($E217="",$E216=""),"",MAX($E216-$E217,0))</f>
        <v>0</v>
      </c>
      <c r="N217">
        <f>IF(COUNT($E$2:$E217)&lt;15,"",IF(AVERAGE($M$204:$M$217)=0,100,100-100/(1+AVERAGE($L$204:$L$217)/AVERAGE($M$204:$M$217))))</f>
        <v>0</v>
      </c>
      <c r="O217">
        <f>IF($E217="","",IF($E216="",$E217,$E217*0.1538461538+O216*0.8461538462))</f>
        <v>0</v>
      </c>
      <c r="P217">
        <f>IF($E217="","",IF($E216="",$E217,$E217*0.0740740741+P216*0.9259259259))</f>
        <v>0</v>
      </c>
      <c r="Q217">
        <f>IF(OR(O217="",P217=""),"",O217-P217)</f>
        <v>0</v>
      </c>
      <c r="R217">
        <f>IF(Q217="","",IF(R216="",Q217,Q217*0.2000000000+R216*0.8000000000))</f>
        <v>0</v>
      </c>
      <c r="S217">
        <f>IF(OR(Q217="",R217=""),"",Q217-R217)</f>
        <v>0</v>
      </c>
      <c r="T217">
        <f>IF(COUNT($E$2:$E217)&lt;14,"",MAX($C$204:$C$217))</f>
        <v>0</v>
      </c>
      <c r="U217">
        <f>IF(COUNT($E$2:$E217)&lt;14,"",MIN($D$204:$D$217))</f>
        <v>0</v>
      </c>
      <c r="V217">
        <f>IF(OR(T217="",U217="",T217=U217),"",100*($E217-U217)/(T217-U217))</f>
        <v>0</v>
      </c>
      <c r="W217">
        <f>IF(COUNT($V$215:$V$217)&lt;3,"",AVERAGE($V$215:$V$217))</f>
        <v>0</v>
      </c>
      <c r="X217">
        <f>IF(COUNT($N$204:$N$217)&lt;14,"",MIN($N$204:$N$217))</f>
        <v>0</v>
      </c>
      <c r="Y217">
        <f>IF(COUNT($N$204:$N$217)&lt;14,"",MAX($N$204:$N$217))</f>
        <v>0</v>
      </c>
      <c r="Z217">
        <f>IF(OR(N217="",X217="",Y217="",Y217=X217),"",100*(N217-X217)/(Y217-X217))</f>
        <v>0</v>
      </c>
      <c r="AA217">
        <f>IF(COUNT($Z$215:$Z$217)&lt;3,"",AVERAGE($Z$215:$Z$217))</f>
        <v>0</v>
      </c>
      <c r="AB217">
        <f>IF(COUNT($AA$215:$AA$217)&lt;3,"",AVERAGE($AA$215:$AA$217))</f>
        <v>0</v>
      </c>
      <c r="AC217">
        <f>IF($E217="","",MAX($C217-$D217,ABS($C217-$E216),ABS($D217-$E216)))</f>
        <v>0</v>
      </c>
      <c r="AD217">
        <f>IF(COUNT($E$2:$E217)&lt;15,"",AVERAGE($AC$204:$AC$217))</f>
        <v>0</v>
      </c>
      <c r="AE217">
        <f>IF(OR($E217="",$E216=""),"",IF(AND(($C217-$C216)&gt;($D216-$D217),($C217-$C216)&gt;0),$C217-$C216,0))</f>
        <v>0</v>
      </c>
      <c r="AF217">
        <f>IF(OR($E217="",$E216=""),"",IF(AND(($D216-$D217)&gt;($C217-$C216),($D216-$D217)&gt;0),$D216-$D217,0))</f>
        <v>0</v>
      </c>
      <c r="AG217">
        <f>IF(COUNT($E$2:$E217)&lt;15,"",IF(SUM($AC$204:$AC$217)=0,0,100*SUM($AE$204:$AE$217)/SUM($AC$204:$AC$217)))</f>
        <v>0</v>
      </c>
      <c r="AH217">
        <f>IF(COUNT($E$2:$E217)&lt;15,"",IF(SUM($AC$204:$AC$217)=0,0,100*SUM($AF$204:$AF$217)/SUM($AC$204:$AC$217)))</f>
        <v>0</v>
      </c>
      <c r="AI217">
        <f>IF(OR(AG217="",AH217=""),"",IF((AG217+AH217)=0,0,100*ABS(AG217-AH217)/(AG217+AH217)))</f>
        <v>0</v>
      </c>
      <c r="AJ217">
        <f>IF(COUNT($AI$204:$AI$217)&lt;14,"",AVERAGE($AI$204:$AI$217))</f>
        <v>0</v>
      </c>
      <c r="AK217">
        <f>IF(COUNT($E$2:$E217)&lt;20,"",AVERAGE($E$198:$E$217))</f>
        <v>0</v>
      </c>
      <c r="AL217">
        <f>IF(COUNT($E$2:$E217)&lt;20,"",STDEVP($E$198:$E$217))</f>
        <v>0</v>
      </c>
      <c r="AM217">
        <f>IF(AK217="","",AK217+2*AL217)</f>
        <v>0</v>
      </c>
      <c r="AN217">
        <f>IF(AK217="","",AK217-2*AL217)</f>
        <v>0</v>
      </c>
      <c r="AO217">
        <f>IF(OR(AM217="",AN217="",AM217=AN217),"",($E217-AN217)/(AM217-AN217))</f>
        <v>0</v>
      </c>
      <c r="AP217">
        <f>IF(OR(AM217="",AK217="",AK217=0),"",(AM217-AN217)/AK217)</f>
        <v>0</v>
      </c>
      <c r="AQ217">
        <f>IF(COUNT($E$2:$E217)&lt;20,"",MAX($C$198:$C$217))</f>
        <v>0</v>
      </c>
      <c r="AR217">
        <f>IF(COUNT($E$2:$E217)&lt;20,"",MIN($D$198:$D$217))</f>
        <v>0</v>
      </c>
      <c r="AS217">
        <f>IF(OR(AQ217="",AR217=""),"",(AQ217+AR217)/2)</f>
        <v>0</v>
      </c>
      <c r="AT217">
        <f>IF(COUNT($G$198:$G$217)&lt;20,"",STDEV($G$198:$G$217)*SQRT(252))</f>
        <v>0</v>
      </c>
      <c r="AU217">
        <f>IF(COUNT($E$2:$E217)&lt;9,"",(MAX($C$209:$C$217)+MIN($D$209:$D$217))/2)</f>
        <v>0</v>
      </c>
      <c r="AV217">
        <f>IF(COUNT($E$2:$E217)&lt;26,"",(MAX($C$192:$C$217)+MIN($D$192:$D$217))/2)</f>
        <v>0</v>
      </c>
      <c r="AW217">
        <f>IF(OR(AU217="",AV217=""),"",(AU217+AV217)/2)</f>
        <v>0</v>
      </c>
      <c r="AX217">
        <f>IF(COUNT($E$2:$E217)&lt;52,"",(MAX($C$166:$C$217)+MIN($D$166:$D$217))/2)</f>
        <v>0</v>
      </c>
      <c r="AY217">
        <f>IF(COUNT($E$2:$E217)&lt;20,"",MAX($C$118:$C$217))</f>
        <v>0</v>
      </c>
      <c r="AZ217">
        <f>IF(COUNT($E$2:$E217)&lt;20,"",MIN($D$118:$D$217))</f>
        <v>0</v>
      </c>
      <c r="BA217">
        <f>IF(COUNT($E$2:$E217)&lt;20,"",SLOPE($E$118:$E$217,$F$118:$F$217))</f>
        <v>0</v>
      </c>
      <c r="BB217">
        <f>IF(COUNT($E$2:$E217)&lt;20,"",INTERCEPT($E$118:$E$217,$F$118:$F$217))</f>
        <v>0</v>
      </c>
      <c r="BC217">
        <f>IF(OR(BA217="",BB217=""),"",BB217+BA217*F217)</f>
        <v>0</v>
      </c>
      <c r="BD217">
        <f>IF(COUNT($E$2:$E217)&lt;20,"",STEYX($E$118:$E$217,$F$118:$F$217))</f>
        <v>0</v>
      </c>
      <c r="BE217">
        <f>IF($E217="","",IF(AND(COUNT($E$218:$E$221)&gt;=4,$C217=MAX($C$213:$C$221)),$C217,""))</f>
        <v>0</v>
      </c>
      <c r="BF217">
        <f>IF($E217="","",IF(AND(COUNT($E$218:$E$221)&gt;=4,$D217=MIN($D$213:$D$221)),$D217,""))</f>
        <v>0</v>
      </c>
      <c r="BG217">
        <f>IF($A217="","",$A217-WEEKDAY($A217,2)+1)</f>
        <v>0</v>
      </c>
      <c r="BH217">
        <f>IF($A217="","",IF($A216="",1,IF(BG217&lt;&gt;BG216,1,0)))</f>
        <v>0</v>
      </c>
      <c r="BI217">
        <f>IF($A217="","",IF($A218="",1,IF(BG218&lt;&gt;BG217,1,0)))</f>
        <v>0</v>
      </c>
      <c r="BJ217">
        <f>IF($A217="","",IF(BH217=1,$B217,BJ216))</f>
        <v>0</v>
      </c>
      <c r="BK217">
        <f>IF($A217="","",IF(BH217=1,$C217,MAX($C217,BK216)))</f>
        <v>0</v>
      </c>
      <c r="BL217">
        <f>IF($A217="","",IF(BH217=1,$D217,MIN($D217,BL216)))</f>
        <v>0</v>
      </c>
      <c r="BM217">
        <f>IF($A217="","",IF(BI217=1,F217,""))</f>
        <v>0</v>
      </c>
      <c r="BN217">
        <f>IF($A217="","",DATE(YEAR($A217),MONTH($A217),1))</f>
        <v>0</v>
      </c>
      <c r="BO217">
        <f>IF($A217="","",IF($A216="",1,IF(BN217&lt;&gt;BN216,1,0)))</f>
        <v>0</v>
      </c>
      <c r="BP217">
        <f>IF($A217="","",IF($A218="",1,IF(BN218&lt;&gt;BN217,1,0)))</f>
        <v>0</v>
      </c>
      <c r="BQ217">
        <f>IF($A217="","",IF(BO217=1,$B217,BQ216))</f>
        <v>0</v>
      </c>
      <c r="BR217">
        <f>IF($A217="","",IF(BO217=1,$C217,MAX($C217,BR216)))</f>
        <v>0</v>
      </c>
      <c r="BS217">
        <f>IF($A217="","",IF(BO217=1,$D217,MIN($D217,BS216)))</f>
        <v>0</v>
      </c>
      <c r="BT217">
        <f>IF($A217="","",IF(BP217=1,F217,""))</f>
        <v>0</v>
      </c>
    </row>
    <row r="218" spans="1:72">
      <c r="A218" s="27">
        <f>IF(Data!$A218="","",Data!$A218)</f>
        <v>0</v>
      </c>
      <c r="B218">
        <f>IF(Data!$B218="","",Data!$B218)</f>
        <v>0</v>
      </c>
      <c r="C218">
        <f>IF(Data!$C218="","",Data!$C218)</f>
        <v>0</v>
      </c>
      <c r="D218">
        <f>IF(Data!$D218="","",Data!$D218)</f>
        <v>0</v>
      </c>
      <c r="E218">
        <f>IF(Data!$E218="","",Data!$E218)</f>
        <v>0</v>
      </c>
      <c r="F218">
        <f>IF($E218="","",N(F217)+1)</f>
        <v>0</v>
      </c>
      <c r="G218">
        <f>IF(OR($E218="",$E217=""),"",LN($E218/$E217))</f>
        <v>0</v>
      </c>
      <c r="H218">
        <f>IF($E218="","",IF($E217="",$E218,$E218*0.0952380952+H217*0.9047619048))</f>
        <v>0</v>
      </c>
      <c r="I218">
        <f>IF($E218="","",IF($E217="",$E218,$E218*0.0392156863+I217*0.9607843137))</f>
        <v>0</v>
      </c>
      <c r="J218">
        <f>IF($E218="","",IF($E217="",$E218,$E218*0.0198019802+J217*0.9801980198))</f>
        <v>0</v>
      </c>
      <c r="K218">
        <f>IF($E218="","",IF($E217="",$E218,$E218*0.0099502488+K217*0.9900497512))</f>
        <v>0</v>
      </c>
      <c r="L218">
        <f>IF(OR($E218="",$E217=""),"",MAX($E218-$E217,0))</f>
        <v>0</v>
      </c>
      <c r="M218">
        <f>IF(OR($E218="",$E217=""),"",MAX($E217-$E218,0))</f>
        <v>0</v>
      </c>
      <c r="N218">
        <f>IF(COUNT($E$2:$E218)&lt;15,"",IF(AVERAGE($M$205:$M$218)=0,100,100-100/(1+AVERAGE($L$205:$L$218)/AVERAGE($M$205:$M$218))))</f>
        <v>0</v>
      </c>
      <c r="O218">
        <f>IF($E218="","",IF($E217="",$E218,$E218*0.1538461538+O217*0.8461538462))</f>
        <v>0</v>
      </c>
      <c r="P218">
        <f>IF($E218="","",IF($E217="",$E218,$E218*0.0740740741+P217*0.9259259259))</f>
        <v>0</v>
      </c>
      <c r="Q218">
        <f>IF(OR(O218="",P218=""),"",O218-P218)</f>
        <v>0</v>
      </c>
      <c r="R218">
        <f>IF(Q218="","",IF(R217="",Q218,Q218*0.2000000000+R217*0.8000000000))</f>
        <v>0</v>
      </c>
      <c r="S218">
        <f>IF(OR(Q218="",R218=""),"",Q218-R218)</f>
        <v>0</v>
      </c>
      <c r="T218">
        <f>IF(COUNT($E$2:$E218)&lt;14,"",MAX($C$205:$C$218))</f>
        <v>0</v>
      </c>
      <c r="U218">
        <f>IF(COUNT($E$2:$E218)&lt;14,"",MIN($D$205:$D$218))</f>
        <v>0</v>
      </c>
      <c r="V218">
        <f>IF(OR(T218="",U218="",T218=U218),"",100*($E218-U218)/(T218-U218))</f>
        <v>0</v>
      </c>
      <c r="W218">
        <f>IF(COUNT($V$216:$V$218)&lt;3,"",AVERAGE($V$216:$V$218))</f>
        <v>0</v>
      </c>
      <c r="X218">
        <f>IF(COUNT($N$205:$N$218)&lt;14,"",MIN($N$205:$N$218))</f>
        <v>0</v>
      </c>
      <c r="Y218">
        <f>IF(COUNT($N$205:$N$218)&lt;14,"",MAX($N$205:$N$218))</f>
        <v>0</v>
      </c>
      <c r="Z218">
        <f>IF(OR(N218="",X218="",Y218="",Y218=X218),"",100*(N218-X218)/(Y218-X218))</f>
        <v>0</v>
      </c>
      <c r="AA218">
        <f>IF(COUNT($Z$216:$Z$218)&lt;3,"",AVERAGE($Z$216:$Z$218))</f>
        <v>0</v>
      </c>
      <c r="AB218">
        <f>IF(COUNT($AA$216:$AA$218)&lt;3,"",AVERAGE($AA$216:$AA$218))</f>
        <v>0</v>
      </c>
      <c r="AC218">
        <f>IF($E218="","",MAX($C218-$D218,ABS($C218-$E217),ABS($D218-$E217)))</f>
        <v>0</v>
      </c>
      <c r="AD218">
        <f>IF(COUNT($E$2:$E218)&lt;15,"",AVERAGE($AC$205:$AC$218))</f>
        <v>0</v>
      </c>
      <c r="AE218">
        <f>IF(OR($E218="",$E217=""),"",IF(AND(($C218-$C217)&gt;($D217-$D218),($C218-$C217)&gt;0),$C218-$C217,0))</f>
        <v>0</v>
      </c>
      <c r="AF218">
        <f>IF(OR($E218="",$E217=""),"",IF(AND(($D217-$D218)&gt;($C218-$C217),($D217-$D218)&gt;0),$D217-$D218,0))</f>
        <v>0</v>
      </c>
      <c r="AG218">
        <f>IF(COUNT($E$2:$E218)&lt;15,"",IF(SUM($AC$205:$AC$218)=0,0,100*SUM($AE$205:$AE$218)/SUM($AC$205:$AC$218)))</f>
        <v>0</v>
      </c>
      <c r="AH218">
        <f>IF(COUNT($E$2:$E218)&lt;15,"",IF(SUM($AC$205:$AC$218)=0,0,100*SUM($AF$205:$AF$218)/SUM($AC$205:$AC$218)))</f>
        <v>0</v>
      </c>
      <c r="AI218">
        <f>IF(OR(AG218="",AH218=""),"",IF((AG218+AH218)=0,0,100*ABS(AG218-AH218)/(AG218+AH218)))</f>
        <v>0</v>
      </c>
      <c r="AJ218">
        <f>IF(COUNT($AI$205:$AI$218)&lt;14,"",AVERAGE($AI$205:$AI$218))</f>
        <v>0</v>
      </c>
      <c r="AK218">
        <f>IF(COUNT($E$2:$E218)&lt;20,"",AVERAGE($E$199:$E$218))</f>
        <v>0</v>
      </c>
      <c r="AL218">
        <f>IF(COUNT($E$2:$E218)&lt;20,"",STDEVP($E$199:$E$218))</f>
        <v>0</v>
      </c>
      <c r="AM218">
        <f>IF(AK218="","",AK218+2*AL218)</f>
        <v>0</v>
      </c>
      <c r="AN218">
        <f>IF(AK218="","",AK218-2*AL218)</f>
        <v>0</v>
      </c>
      <c r="AO218">
        <f>IF(OR(AM218="",AN218="",AM218=AN218),"",($E218-AN218)/(AM218-AN218))</f>
        <v>0</v>
      </c>
      <c r="AP218">
        <f>IF(OR(AM218="",AK218="",AK218=0),"",(AM218-AN218)/AK218)</f>
        <v>0</v>
      </c>
      <c r="AQ218">
        <f>IF(COUNT($E$2:$E218)&lt;20,"",MAX($C$199:$C$218))</f>
        <v>0</v>
      </c>
      <c r="AR218">
        <f>IF(COUNT($E$2:$E218)&lt;20,"",MIN($D$199:$D$218))</f>
        <v>0</v>
      </c>
      <c r="AS218">
        <f>IF(OR(AQ218="",AR218=""),"",(AQ218+AR218)/2)</f>
        <v>0</v>
      </c>
      <c r="AT218">
        <f>IF(COUNT($G$199:$G$218)&lt;20,"",STDEV($G$199:$G$218)*SQRT(252))</f>
        <v>0</v>
      </c>
      <c r="AU218">
        <f>IF(COUNT($E$2:$E218)&lt;9,"",(MAX($C$210:$C$218)+MIN($D$210:$D$218))/2)</f>
        <v>0</v>
      </c>
      <c r="AV218">
        <f>IF(COUNT($E$2:$E218)&lt;26,"",(MAX($C$193:$C$218)+MIN($D$193:$D$218))/2)</f>
        <v>0</v>
      </c>
      <c r="AW218">
        <f>IF(OR(AU218="",AV218=""),"",(AU218+AV218)/2)</f>
        <v>0</v>
      </c>
      <c r="AX218">
        <f>IF(COUNT($E$2:$E218)&lt;52,"",(MAX($C$167:$C$218)+MIN($D$167:$D$218))/2)</f>
        <v>0</v>
      </c>
      <c r="AY218">
        <f>IF(COUNT($E$2:$E218)&lt;20,"",MAX($C$119:$C$218))</f>
        <v>0</v>
      </c>
      <c r="AZ218">
        <f>IF(COUNT($E$2:$E218)&lt;20,"",MIN($D$119:$D$218))</f>
        <v>0</v>
      </c>
      <c r="BA218">
        <f>IF(COUNT($E$2:$E218)&lt;20,"",SLOPE($E$119:$E$218,$F$119:$F$218))</f>
        <v>0</v>
      </c>
      <c r="BB218">
        <f>IF(COUNT($E$2:$E218)&lt;20,"",INTERCEPT($E$119:$E$218,$F$119:$F$218))</f>
        <v>0</v>
      </c>
      <c r="BC218">
        <f>IF(OR(BA218="",BB218=""),"",BB218+BA218*F218)</f>
        <v>0</v>
      </c>
      <c r="BD218">
        <f>IF(COUNT($E$2:$E218)&lt;20,"",STEYX($E$119:$E$218,$F$119:$F$218))</f>
        <v>0</v>
      </c>
      <c r="BE218">
        <f>IF($E218="","",IF(AND(COUNT($E$219:$E$222)&gt;=4,$C218=MAX($C$214:$C$222)),$C218,""))</f>
        <v>0</v>
      </c>
      <c r="BF218">
        <f>IF($E218="","",IF(AND(COUNT($E$219:$E$222)&gt;=4,$D218=MIN($D$214:$D$222)),$D218,""))</f>
        <v>0</v>
      </c>
      <c r="BG218">
        <f>IF($A218="","",$A218-WEEKDAY($A218,2)+1)</f>
        <v>0</v>
      </c>
      <c r="BH218">
        <f>IF($A218="","",IF($A217="",1,IF(BG218&lt;&gt;BG217,1,0)))</f>
        <v>0</v>
      </c>
      <c r="BI218">
        <f>IF($A218="","",IF($A219="",1,IF(BG219&lt;&gt;BG218,1,0)))</f>
        <v>0</v>
      </c>
      <c r="BJ218">
        <f>IF($A218="","",IF(BH218=1,$B218,BJ217))</f>
        <v>0</v>
      </c>
      <c r="BK218">
        <f>IF($A218="","",IF(BH218=1,$C218,MAX($C218,BK217)))</f>
        <v>0</v>
      </c>
      <c r="BL218">
        <f>IF($A218="","",IF(BH218=1,$D218,MIN($D218,BL217)))</f>
        <v>0</v>
      </c>
      <c r="BM218">
        <f>IF($A218="","",IF(BI218=1,F218,""))</f>
        <v>0</v>
      </c>
      <c r="BN218">
        <f>IF($A218="","",DATE(YEAR($A218),MONTH($A218),1))</f>
        <v>0</v>
      </c>
      <c r="BO218">
        <f>IF($A218="","",IF($A217="",1,IF(BN218&lt;&gt;BN217,1,0)))</f>
        <v>0</v>
      </c>
      <c r="BP218">
        <f>IF($A218="","",IF($A219="",1,IF(BN219&lt;&gt;BN218,1,0)))</f>
        <v>0</v>
      </c>
      <c r="BQ218">
        <f>IF($A218="","",IF(BO218=1,$B218,BQ217))</f>
        <v>0</v>
      </c>
      <c r="BR218">
        <f>IF($A218="","",IF(BO218=1,$C218,MAX($C218,BR217)))</f>
        <v>0</v>
      </c>
      <c r="BS218">
        <f>IF($A218="","",IF(BO218=1,$D218,MIN($D218,BS217)))</f>
        <v>0</v>
      </c>
      <c r="BT218">
        <f>IF($A218="","",IF(BP218=1,F218,""))</f>
        <v>0</v>
      </c>
    </row>
    <row r="219" spans="1:72">
      <c r="A219" s="27">
        <f>IF(Data!$A219="","",Data!$A219)</f>
        <v>0</v>
      </c>
      <c r="B219">
        <f>IF(Data!$B219="","",Data!$B219)</f>
        <v>0</v>
      </c>
      <c r="C219">
        <f>IF(Data!$C219="","",Data!$C219)</f>
        <v>0</v>
      </c>
      <c r="D219">
        <f>IF(Data!$D219="","",Data!$D219)</f>
        <v>0</v>
      </c>
      <c r="E219">
        <f>IF(Data!$E219="","",Data!$E219)</f>
        <v>0</v>
      </c>
      <c r="F219">
        <f>IF($E219="","",N(F218)+1)</f>
        <v>0</v>
      </c>
      <c r="G219">
        <f>IF(OR($E219="",$E218=""),"",LN($E219/$E218))</f>
        <v>0</v>
      </c>
      <c r="H219">
        <f>IF($E219="","",IF($E218="",$E219,$E219*0.0952380952+H218*0.9047619048))</f>
        <v>0</v>
      </c>
      <c r="I219">
        <f>IF($E219="","",IF($E218="",$E219,$E219*0.0392156863+I218*0.9607843137))</f>
        <v>0</v>
      </c>
      <c r="J219">
        <f>IF($E219="","",IF($E218="",$E219,$E219*0.0198019802+J218*0.9801980198))</f>
        <v>0</v>
      </c>
      <c r="K219">
        <f>IF($E219="","",IF($E218="",$E219,$E219*0.0099502488+K218*0.9900497512))</f>
        <v>0</v>
      </c>
      <c r="L219">
        <f>IF(OR($E219="",$E218=""),"",MAX($E219-$E218,0))</f>
        <v>0</v>
      </c>
      <c r="M219">
        <f>IF(OR($E219="",$E218=""),"",MAX($E218-$E219,0))</f>
        <v>0</v>
      </c>
      <c r="N219">
        <f>IF(COUNT($E$2:$E219)&lt;15,"",IF(AVERAGE($M$206:$M$219)=0,100,100-100/(1+AVERAGE($L$206:$L$219)/AVERAGE($M$206:$M$219))))</f>
        <v>0</v>
      </c>
      <c r="O219">
        <f>IF($E219="","",IF($E218="",$E219,$E219*0.1538461538+O218*0.8461538462))</f>
        <v>0</v>
      </c>
      <c r="P219">
        <f>IF($E219="","",IF($E218="",$E219,$E219*0.0740740741+P218*0.9259259259))</f>
        <v>0</v>
      </c>
      <c r="Q219">
        <f>IF(OR(O219="",P219=""),"",O219-P219)</f>
        <v>0</v>
      </c>
      <c r="R219">
        <f>IF(Q219="","",IF(R218="",Q219,Q219*0.2000000000+R218*0.8000000000))</f>
        <v>0</v>
      </c>
      <c r="S219">
        <f>IF(OR(Q219="",R219=""),"",Q219-R219)</f>
        <v>0</v>
      </c>
      <c r="T219">
        <f>IF(COUNT($E$2:$E219)&lt;14,"",MAX($C$206:$C$219))</f>
        <v>0</v>
      </c>
      <c r="U219">
        <f>IF(COUNT($E$2:$E219)&lt;14,"",MIN($D$206:$D$219))</f>
        <v>0</v>
      </c>
      <c r="V219">
        <f>IF(OR(T219="",U219="",T219=U219),"",100*($E219-U219)/(T219-U219))</f>
        <v>0</v>
      </c>
      <c r="W219">
        <f>IF(COUNT($V$217:$V$219)&lt;3,"",AVERAGE($V$217:$V$219))</f>
        <v>0</v>
      </c>
      <c r="X219">
        <f>IF(COUNT($N$206:$N$219)&lt;14,"",MIN($N$206:$N$219))</f>
        <v>0</v>
      </c>
      <c r="Y219">
        <f>IF(COUNT($N$206:$N$219)&lt;14,"",MAX($N$206:$N$219))</f>
        <v>0</v>
      </c>
      <c r="Z219">
        <f>IF(OR(N219="",X219="",Y219="",Y219=X219),"",100*(N219-X219)/(Y219-X219))</f>
        <v>0</v>
      </c>
      <c r="AA219">
        <f>IF(COUNT($Z$217:$Z$219)&lt;3,"",AVERAGE($Z$217:$Z$219))</f>
        <v>0</v>
      </c>
      <c r="AB219">
        <f>IF(COUNT($AA$217:$AA$219)&lt;3,"",AVERAGE($AA$217:$AA$219))</f>
        <v>0</v>
      </c>
      <c r="AC219">
        <f>IF($E219="","",MAX($C219-$D219,ABS($C219-$E218),ABS($D219-$E218)))</f>
        <v>0</v>
      </c>
      <c r="AD219">
        <f>IF(COUNT($E$2:$E219)&lt;15,"",AVERAGE($AC$206:$AC$219))</f>
        <v>0</v>
      </c>
      <c r="AE219">
        <f>IF(OR($E219="",$E218=""),"",IF(AND(($C219-$C218)&gt;($D218-$D219),($C219-$C218)&gt;0),$C219-$C218,0))</f>
        <v>0</v>
      </c>
      <c r="AF219">
        <f>IF(OR($E219="",$E218=""),"",IF(AND(($D218-$D219)&gt;($C219-$C218),($D218-$D219)&gt;0),$D218-$D219,0))</f>
        <v>0</v>
      </c>
      <c r="AG219">
        <f>IF(COUNT($E$2:$E219)&lt;15,"",IF(SUM($AC$206:$AC$219)=0,0,100*SUM($AE$206:$AE$219)/SUM($AC$206:$AC$219)))</f>
        <v>0</v>
      </c>
      <c r="AH219">
        <f>IF(COUNT($E$2:$E219)&lt;15,"",IF(SUM($AC$206:$AC$219)=0,0,100*SUM($AF$206:$AF$219)/SUM($AC$206:$AC$219)))</f>
        <v>0</v>
      </c>
      <c r="AI219">
        <f>IF(OR(AG219="",AH219=""),"",IF((AG219+AH219)=0,0,100*ABS(AG219-AH219)/(AG219+AH219)))</f>
        <v>0</v>
      </c>
      <c r="AJ219">
        <f>IF(COUNT($AI$206:$AI$219)&lt;14,"",AVERAGE($AI$206:$AI$219))</f>
        <v>0</v>
      </c>
      <c r="AK219">
        <f>IF(COUNT($E$2:$E219)&lt;20,"",AVERAGE($E$200:$E$219))</f>
        <v>0</v>
      </c>
      <c r="AL219">
        <f>IF(COUNT($E$2:$E219)&lt;20,"",STDEVP($E$200:$E$219))</f>
        <v>0</v>
      </c>
      <c r="AM219">
        <f>IF(AK219="","",AK219+2*AL219)</f>
        <v>0</v>
      </c>
      <c r="AN219">
        <f>IF(AK219="","",AK219-2*AL219)</f>
        <v>0</v>
      </c>
      <c r="AO219">
        <f>IF(OR(AM219="",AN219="",AM219=AN219),"",($E219-AN219)/(AM219-AN219))</f>
        <v>0</v>
      </c>
      <c r="AP219">
        <f>IF(OR(AM219="",AK219="",AK219=0),"",(AM219-AN219)/AK219)</f>
        <v>0</v>
      </c>
      <c r="AQ219">
        <f>IF(COUNT($E$2:$E219)&lt;20,"",MAX($C$200:$C$219))</f>
        <v>0</v>
      </c>
      <c r="AR219">
        <f>IF(COUNT($E$2:$E219)&lt;20,"",MIN($D$200:$D$219))</f>
        <v>0</v>
      </c>
      <c r="AS219">
        <f>IF(OR(AQ219="",AR219=""),"",(AQ219+AR219)/2)</f>
        <v>0</v>
      </c>
      <c r="AT219">
        <f>IF(COUNT($G$200:$G$219)&lt;20,"",STDEV($G$200:$G$219)*SQRT(252))</f>
        <v>0</v>
      </c>
      <c r="AU219">
        <f>IF(COUNT($E$2:$E219)&lt;9,"",(MAX($C$211:$C$219)+MIN($D$211:$D$219))/2)</f>
        <v>0</v>
      </c>
      <c r="AV219">
        <f>IF(COUNT($E$2:$E219)&lt;26,"",(MAX($C$194:$C$219)+MIN($D$194:$D$219))/2)</f>
        <v>0</v>
      </c>
      <c r="AW219">
        <f>IF(OR(AU219="",AV219=""),"",(AU219+AV219)/2)</f>
        <v>0</v>
      </c>
      <c r="AX219">
        <f>IF(COUNT($E$2:$E219)&lt;52,"",(MAX($C$168:$C$219)+MIN($D$168:$D$219))/2)</f>
        <v>0</v>
      </c>
      <c r="AY219">
        <f>IF(COUNT($E$2:$E219)&lt;20,"",MAX($C$120:$C$219))</f>
        <v>0</v>
      </c>
      <c r="AZ219">
        <f>IF(COUNT($E$2:$E219)&lt;20,"",MIN($D$120:$D$219))</f>
        <v>0</v>
      </c>
      <c r="BA219">
        <f>IF(COUNT($E$2:$E219)&lt;20,"",SLOPE($E$120:$E$219,$F$120:$F$219))</f>
        <v>0</v>
      </c>
      <c r="BB219">
        <f>IF(COUNT($E$2:$E219)&lt;20,"",INTERCEPT($E$120:$E$219,$F$120:$F$219))</f>
        <v>0</v>
      </c>
      <c r="BC219">
        <f>IF(OR(BA219="",BB219=""),"",BB219+BA219*F219)</f>
        <v>0</v>
      </c>
      <c r="BD219">
        <f>IF(COUNT($E$2:$E219)&lt;20,"",STEYX($E$120:$E$219,$F$120:$F$219))</f>
        <v>0</v>
      </c>
      <c r="BE219">
        <f>IF($E219="","",IF(AND(COUNT($E$220:$E$223)&gt;=4,$C219=MAX($C$215:$C$223)),$C219,""))</f>
        <v>0</v>
      </c>
      <c r="BF219">
        <f>IF($E219="","",IF(AND(COUNT($E$220:$E$223)&gt;=4,$D219=MIN($D$215:$D$223)),$D219,""))</f>
        <v>0</v>
      </c>
      <c r="BG219">
        <f>IF($A219="","",$A219-WEEKDAY($A219,2)+1)</f>
        <v>0</v>
      </c>
      <c r="BH219">
        <f>IF($A219="","",IF($A218="",1,IF(BG219&lt;&gt;BG218,1,0)))</f>
        <v>0</v>
      </c>
      <c r="BI219">
        <f>IF($A219="","",IF($A220="",1,IF(BG220&lt;&gt;BG219,1,0)))</f>
        <v>0</v>
      </c>
      <c r="BJ219">
        <f>IF($A219="","",IF(BH219=1,$B219,BJ218))</f>
        <v>0</v>
      </c>
      <c r="BK219">
        <f>IF($A219="","",IF(BH219=1,$C219,MAX($C219,BK218)))</f>
        <v>0</v>
      </c>
      <c r="BL219">
        <f>IF($A219="","",IF(BH219=1,$D219,MIN($D219,BL218)))</f>
        <v>0</v>
      </c>
      <c r="BM219">
        <f>IF($A219="","",IF(BI219=1,F219,""))</f>
        <v>0</v>
      </c>
      <c r="BN219">
        <f>IF($A219="","",DATE(YEAR($A219),MONTH($A219),1))</f>
        <v>0</v>
      </c>
      <c r="BO219">
        <f>IF($A219="","",IF($A218="",1,IF(BN219&lt;&gt;BN218,1,0)))</f>
        <v>0</v>
      </c>
      <c r="BP219">
        <f>IF($A219="","",IF($A220="",1,IF(BN220&lt;&gt;BN219,1,0)))</f>
        <v>0</v>
      </c>
      <c r="BQ219">
        <f>IF($A219="","",IF(BO219=1,$B219,BQ218))</f>
        <v>0</v>
      </c>
      <c r="BR219">
        <f>IF($A219="","",IF(BO219=1,$C219,MAX($C219,BR218)))</f>
        <v>0</v>
      </c>
      <c r="BS219">
        <f>IF($A219="","",IF(BO219=1,$D219,MIN($D219,BS218)))</f>
        <v>0</v>
      </c>
      <c r="BT219">
        <f>IF($A219="","",IF(BP219=1,F219,""))</f>
        <v>0</v>
      </c>
    </row>
    <row r="220" spans="1:72">
      <c r="A220" s="27">
        <f>IF(Data!$A220="","",Data!$A220)</f>
        <v>0</v>
      </c>
      <c r="B220">
        <f>IF(Data!$B220="","",Data!$B220)</f>
        <v>0</v>
      </c>
      <c r="C220">
        <f>IF(Data!$C220="","",Data!$C220)</f>
        <v>0</v>
      </c>
      <c r="D220">
        <f>IF(Data!$D220="","",Data!$D220)</f>
        <v>0</v>
      </c>
      <c r="E220">
        <f>IF(Data!$E220="","",Data!$E220)</f>
        <v>0</v>
      </c>
      <c r="F220">
        <f>IF($E220="","",N(F219)+1)</f>
        <v>0</v>
      </c>
      <c r="G220">
        <f>IF(OR($E220="",$E219=""),"",LN($E220/$E219))</f>
        <v>0</v>
      </c>
      <c r="H220">
        <f>IF($E220="","",IF($E219="",$E220,$E220*0.0952380952+H219*0.9047619048))</f>
        <v>0</v>
      </c>
      <c r="I220">
        <f>IF($E220="","",IF($E219="",$E220,$E220*0.0392156863+I219*0.9607843137))</f>
        <v>0</v>
      </c>
      <c r="J220">
        <f>IF($E220="","",IF($E219="",$E220,$E220*0.0198019802+J219*0.9801980198))</f>
        <v>0</v>
      </c>
      <c r="K220">
        <f>IF($E220="","",IF($E219="",$E220,$E220*0.0099502488+K219*0.9900497512))</f>
        <v>0</v>
      </c>
      <c r="L220">
        <f>IF(OR($E220="",$E219=""),"",MAX($E220-$E219,0))</f>
        <v>0</v>
      </c>
      <c r="M220">
        <f>IF(OR($E220="",$E219=""),"",MAX($E219-$E220,0))</f>
        <v>0</v>
      </c>
      <c r="N220">
        <f>IF(COUNT($E$2:$E220)&lt;15,"",IF(AVERAGE($M$207:$M$220)=0,100,100-100/(1+AVERAGE($L$207:$L$220)/AVERAGE($M$207:$M$220))))</f>
        <v>0</v>
      </c>
      <c r="O220">
        <f>IF($E220="","",IF($E219="",$E220,$E220*0.1538461538+O219*0.8461538462))</f>
        <v>0</v>
      </c>
      <c r="P220">
        <f>IF($E220="","",IF($E219="",$E220,$E220*0.0740740741+P219*0.9259259259))</f>
        <v>0</v>
      </c>
      <c r="Q220">
        <f>IF(OR(O220="",P220=""),"",O220-P220)</f>
        <v>0</v>
      </c>
      <c r="R220">
        <f>IF(Q220="","",IF(R219="",Q220,Q220*0.2000000000+R219*0.8000000000))</f>
        <v>0</v>
      </c>
      <c r="S220">
        <f>IF(OR(Q220="",R220=""),"",Q220-R220)</f>
        <v>0</v>
      </c>
      <c r="T220">
        <f>IF(COUNT($E$2:$E220)&lt;14,"",MAX($C$207:$C$220))</f>
        <v>0</v>
      </c>
      <c r="U220">
        <f>IF(COUNT($E$2:$E220)&lt;14,"",MIN($D$207:$D$220))</f>
        <v>0</v>
      </c>
      <c r="V220">
        <f>IF(OR(T220="",U220="",T220=U220),"",100*($E220-U220)/(T220-U220))</f>
        <v>0</v>
      </c>
      <c r="W220">
        <f>IF(COUNT($V$218:$V$220)&lt;3,"",AVERAGE($V$218:$V$220))</f>
        <v>0</v>
      </c>
      <c r="X220">
        <f>IF(COUNT($N$207:$N$220)&lt;14,"",MIN($N$207:$N$220))</f>
        <v>0</v>
      </c>
      <c r="Y220">
        <f>IF(COUNT($N$207:$N$220)&lt;14,"",MAX($N$207:$N$220))</f>
        <v>0</v>
      </c>
      <c r="Z220">
        <f>IF(OR(N220="",X220="",Y220="",Y220=X220),"",100*(N220-X220)/(Y220-X220))</f>
        <v>0</v>
      </c>
      <c r="AA220">
        <f>IF(COUNT($Z$218:$Z$220)&lt;3,"",AVERAGE($Z$218:$Z$220))</f>
        <v>0</v>
      </c>
      <c r="AB220">
        <f>IF(COUNT($AA$218:$AA$220)&lt;3,"",AVERAGE($AA$218:$AA$220))</f>
        <v>0</v>
      </c>
      <c r="AC220">
        <f>IF($E220="","",MAX($C220-$D220,ABS($C220-$E219),ABS($D220-$E219)))</f>
        <v>0</v>
      </c>
      <c r="AD220">
        <f>IF(COUNT($E$2:$E220)&lt;15,"",AVERAGE($AC$207:$AC$220))</f>
        <v>0</v>
      </c>
      <c r="AE220">
        <f>IF(OR($E220="",$E219=""),"",IF(AND(($C220-$C219)&gt;($D219-$D220),($C220-$C219)&gt;0),$C220-$C219,0))</f>
        <v>0</v>
      </c>
      <c r="AF220">
        <f>IF(OR($E220="",$E219=""),"",IF(AND(($D219-$D220)&gt;($C220-$C219),($D219-$D220)&gt;0),$D219-$D220,0))</f>
        <v>0</v>
      </c>
      <c r="AG220">
        <f>IF(COUNT($E$2:$E220)&lt;15,"",IF(SUM($AC$207:$AC$220)=0,0,100*SUM($AE$207:$AE$220)/SUM($AC$207:$AC$220)))</f>
        <v>0</v>
      </c>
      <c r="AH220">
        <f>IF(COUNT($E$2:$E220)&lt;15,"",IF(SUM($AC$207:$AC$220)=0,0,100*SUM($AF$207:$AF$220)/SUM($AC$207:$AC$220)))</f>
        <v>0</v>
      </c>
      <c r="AI220">
        <f>IF(OR(AG220="",AH220=""),"",IF((AG220+AH220)=0,0,100*ABS(AG220-AH220)/(AG220+AH220)))</f>
        <v>0</v>
      </c>
      <c r="AJ220">
        <f>IF(COUNT($AI$207:$AI$220)&lt;14,"",AVERAGE($AI$207:$AI$220))</f>
        <v>0</v>
      </c>
      <c r="AK220">
        <f>IF(COUNT($E$2:$E220)&lt;20,"",AVERAGE($E$201:$E$220))</f>
        <v>0</v>
      </c>
      <c r="AL220">
        <f>IF(COUNT($E$2:$E220)&lt;20,"",STDEVP($E$201:$E$220))</f>
        <v>0</v>
      </c>
      <c r="AM220">
        <f>IF(AK220="","",AK220+2*AL220)</f>
        <v>0</v>
      </c>
      <c r="AN220">
        <f>IF(AK220="","",AK220-2*AL220)</f>
        <v>0</v>
      </c>
      <c r="AO220">
        <f>IF(OR(AM220="",AN220="",AM220=AN220),"",($E220-AN220)/(AM220-AN220))</f>
        <v>0</v>
      </c>
      <c r="AP220">
        <f>IF(OR(AM220="",AK220="",AK220=0),"",(AM220-AN220)/AK220)</f>
        <v>0</v>
      </c>
      <c r="AQ220">
        <f>IF(COUNT($E$2:$E220)&lt;20,"",MAX($C$201:$C$220))</f>
        <v>0</v>
      </c>
      <c r="AR220">
        <f>IF(COUNT($E$2:$E220)&lt;20,"",MIN($D$201:$D$220))</f>
        <v>0</v>
      </c>
      <c r="AS220">
        <f>IF(OR(AQ220="",AR220=""),"",(AQ220+AR220)/2)</f>
        <v>0</v>
      </c>
      <c r="AT220">
        <f>IF(COUNT($G$201:$G$220)&lt;20,"",STDEV($G$201:$G$220)*SQRT(252))</f>
        <v>0</v>
      </c>
      <c r="AU220">
        <f>IF(COUNT($E$2:$E220)&lt;9,"",(MAX($C$212:$C$220)+MIN($D$212:$D$220))/2)</f>
        <v>0</v>
      </c>
      <c r="AV220">
        <f>IF(COUNT($E$2:$E220)&lt;26,"",(MAX($C$195:$C$220)+MIN($D$195:$D$220))/2)</f>
        <v>0</v>
      </c>
      <c r="AW220">
        <f>IF(OR(AU220="",AV220=""),"",(AU220+AV220)/2)</f>
        <v>0</v>
      </c>
      <c r="AX220">
        <f>IF(COUNT($E$2:$E220)&lt;52,"",(MAX($C$169:$C$220)+MIN($D$169:$D$220))/2)</f>
        <v>0</v>
      </c>
      <c r="AY220">
        <f>IF(COUNT($E$2:$E220)&lt;20,"",MAX($C$121:$C$220))</f>
        <v>0</v>
      </c>
      <c r="AZ220">
        <f>IF(COUNT($E$2:$E220)&lt;20,"",MIN($D$121:$D$220))</f>
        <v>0</v>
      </c>
      <c r="BA220">
        <f>IF(COUNT($E$2:$E220)&lt;20,"",SLOPE($E$121:$E$220,$F$121:$F$220))</f>
        <v>0</v>
      </c>
      <c r="BB220">
        <f>IF(COUNT($E$2:$E220)&lt;20,"",INTERCEPT($E$121:$E$220,$F$121:$F$220))</f>
        <v>0</v>
      </c>
      <c r="BC220">
        <f>IF(OR(BA220="",BB220=""),"",BB220+BA220*F220)</f>
        <v>0</v>
      </c>
      <c r="BD220">
        <f>IF(COUNT($E$2:$E220)&lt;20,"",STEYX($E$121:$E$220,$F$121:$F$220))</f>
        <v>0</v>
      </c>
      <c r="BE220">
        <f>IF($E220="","",IF(AND(COUNT($E$221:$E$224)&gt;=4,$C220=MAX($C$216:$C$224)),$C220,""))</f>
        <v>0</v>
      </c>
      <c r="BF220">
        <f>IF($E220="","",IF(AND(COUNT($E$221:$E$224)&gt;=4,$D220=MIN($D$216:$D$224)),$D220,""))</f>
        <v>0</v>
      </c>
      <c r="BG220">
        <f>IF($A220="","",$A220-WEEKDAY($A220,2)+1)</f>
        <v>0</v>
      </c>
      <c r="BH220">
        <f>IF($A220="","",IF($A219="",1,IF(BG220&lt;&gt;BG219,1,0)))</f>
        <v>0</v>
      </c>
      <c r="BI220">
        <f>IF($A220="","",IF($A221="",1,IF(BG221&lt;&gt;BG220,1,0)))</f>
        <v>0</v>
      </c>
      <c r="BJ220">
        <f>IF($A220="","",IF(BH220=1,$B220,BJ219))</f>
        <v>0</v>
      </c>
      <c r="BK220">
        <f>IF($A220="","",IF(BH220=1,$C220,MAX($C220,BK219)))</f>
        <v>0</v>
      </c>
      <c r="BL220">
        <f>IF($A220="","",IF(BH220=1,$D220,MIN($D220,BL219)))</f>
        <v>0</v>
      </c>
      <c r="BM220">
        <f>IF($A220="","",IF(BI220=1,F220,""))</f>
        <v>0</v>
      </c>
      <c r="BN220">
        <f>IF($A220="","",DATE(YEAR($A220),MONTH($A220),1))</f>
        <v>0</v>
      </c>
      <c r="BO220">
        <f>IF($A220="","",IF($A219="",1,IF(BN220&lt;&gt;BN219,1,0)))</f>
        <v>0</v>
      </c>
      <c r="BP220">
        <f>IF($A220="","",IF($A221="",1,IF(BN221&lt;&gt;BN220,1,0)))</f>
        <v>0</v>
      </c>
      <c r="BQ220">
        <f>IF($A220="","",IF(BO220=1,$B220,BQ219))</f>
        <v>0</v>
      </c>
      <c r="BR220">
        <f>IF($A220="","",IF(BO220=1,$C220,MAX($C220,BR219)))</f>
        <v>0</v>
      </c>
      <c r="BS220">
        <f>IF($A220="","",IF(BO220=1,$D220,MIN($D220,BS219)))</f>
        <v>0</v>
      </c>
      <c r="BT220">
        <f>IF($A220="","",IF(BP220=1,F220,""))</f>
        <v>0</v>
      </c>
    </row>
    <row r="221" spans="1:72">
      <c r="A221" s="27">
        <f>IF(Data!$A221="","",Data!$A221)</f>
        <v>0</v>
      </c>
      <c r="B221">
        <f>IF(Data!$B221="","",Data!$B221)</f>
        <v>0</v>
      </c>
      <c r="C221">
        <f>IF(Data!$C221="","",Data!$C221)</f>
        <v>0</v>
      </c>
      <c r="D221">
        <f>IF(Data!$D221="","",Data!$D221)</f>
        <v>0</v>
      </c>
      <c r="E221">
        <f>IF(Data!$E221="","",Data!$E221)</f>
        <v>0</v>
      </c>
      <c r="F221">
        <f>IF($E221="","",N(F220)+1)</f>
        <v>0</v>
      </c>
      <c r="G221">
        <f>IF(OR($E221="",$E220=""),"",LN($E221/$E220))</f>
        <v>0</v>
      </c>
      <c r="H221">
        <f>IF($E221="","",IF($E220="",$E221,$E221*0.0952380952+H220*0.9047619048))</f>
        <v>0</v>
      </c>
      <c r="I221">
        <f>IF($E221="","",IF($E220="",$E221,$E221*0.0392156863+I220*0.9607843137))</f>
        <v>0</v>
      </c>
      <c r="J221">
        <f>IF($E221="","",IF($E220="",$E221,$E221*0.0198019802+J220*0.9801980198))</f>
        <v>0</v>
      </c>
      <c r="K221">
        <f>IF($E221="","",IF($E220="",$E221,$E221*0.0099502488+K220*0.9900497512))</f>
        <v>0</v>
      </c>
      <c r="L221">
        <f>IF(OR($E221="",$E220=""),"",MAX($E221-$E220,0))</f>
        <v>0</v>
      </c>
      <c r="M221">
        <f>IF(OR($E221="",$E220=""),"",MAX($E220-$E221,0))</f>
        <v>0</v>
      </c>
      <c r="N221">
        <f>IF(COUNT($E$2:$E221)&lt;15,"",IF(AVERAGE($M$208:$M$221)=0,100,100-100/(1+AVERAGE($L$208:$L$221)/AVERAGE($M$208:$M$221))))</f>
        <v>0</v>
      </c>
      <c r="O221">
        <f>IF($E221="","",IF($E220="",$E221,$E221*0.1538461538+O220*0.8461538462))</f>
        <v>0</v>
      </c>
      <c r="P221">
        <f>IF($E221="","",IF($E220="",$E221,$E221*0.0740740741+P220*0.9259259259))</f>
        <v>0</v>
      </c>
      <c r="Q221">
        <f>IF(OR(O221="",P221=""),"",O221-P221)</f>
        <v>0</v>
      </c>
      <c r="R221">
        <f>IF(Q221="","",IF(R220="",Q221,Q221*0.2000000000+R220*0.8000000000))</f>
        <v>0</v>
      </c>
      <c r="S221">
        <f>IF(OR(Q221="",R221=""),"",Q221-R221)</f>
        <v>0</v>
      </c>
      <c r="T221">
        <f>IF(COUNT($E$2:$E221)&lt;14,"",MAX($C$208:$C$221))</f>
        <v>0</v>
      </c>
      <c r="U221">
        <f>IF(COUNT($E$2:$E221)&lt;14,"",MIN($D$208:$D$221))</f>
        <v>0</v>
      </c>
      <c r="V221">
        <f>IF(OR(T221="",U221="",T221=U221),"",100*($E221-U221)/(T221-U221))</f>
        <v>0</v>
      </c>
      <c r="W221">
        <f>IF(COUNT($V$219:$V$221)&lt;3,"",AVERAGE($V$219:$V$221))</f>
        <v>0</v>
      </c>
      <c r="X221">
        <f>IF(COUNT($N$208:$N$221)&lt;14,"",MIN($N$208:$N$221))</f>
        <v>0</v>
      </c>
      <c r="Y221">
        <f>IF(COUNT($N$208:$N$221)&lt;14,"",MAX($N$208:$N$221))</f>
        <v>0</v>
      </c>
      <c r="Z221">
        <f>IF(OR(N221="",X221="",Y221="",Y221=X221),"",100*(N221-X221)/(Y221-X221))</f>
        <v>0</v>
      </c>
      <c r="AA221">
        <f>IF(COUNT($Z$219:$Z$221)&lt;3,"",AVERAGE($Z$219:$Z$221))</f>
        <v>0</v>
      </c>
      <c r="AB221">
        <f>IF(COUNT($AA$219:$AA$221)&lt;3,"",AVERAGE($AA$219:$AA$221))</f>
        <v>0</v>
      </c>
      <c r="AC221">
        <f>IF($E221="","",MAX($C221-$D221,ABS($C221-$E220),ABS($D221-$E220)))</f>
        <v>0</v>
      </c>
      <c r="AD221">
        <f>IF(COUNT($E$2:$E221)&lt;15,"",AVERAGE($AC$208:$AC$221))</f>
        <v>0</v>
      </c>
      <c r="AE221">
        <f>IF(OR($E221="",$E220=""),"",IF(AND(($C221-$C220)&gt;($D220-$D221),($C221-$C220)&gt;0),$C221-$C220,0))</f>
        <v>0</v>
      </c>
      <c r="AF221">
        <f>IF(OR($E221="",$E220=""),"",IF(AND(($D220-$D221)&gt;($C221-$C220),($D220-$D221)&gt;0),$D220-$D221,0))</f>
        <v>0</v>
      </c>
      <c r="AG221">
        <f>IF(COUNT($E$2:$E221)&lt;15,"",IF(SUM($AC$208:$AC$221)=0,0,100*SUM($AE$208:$AE$221)/SUM($AC$208:$AC$221)))</f>
        <v>0</v>
      </c>
      <c r="AH221">
        <f>IF(COUNT($E$2:$E221)&lt;15,"",IF(SUM($AC$208:$AC$221)=0,0,100*SUM($AF$208:$AF$221)/SUM($AC$208:$AC$221)))</f>
        <v>0</v>
      </c>
      <c r="AI221">
        <f>IF(OR(AG221="",AH221=""),"",IF((AG221+AH221)=0,0,100*ABS(AG221-AH221)/(AG221+AH221)))</f>
        <v>0</v>
      </c>
      <c r="AJ221">
        <f>IF(COUNT($AI$208:$AI$221)&lt;14,"",AVERAGE($AI$208:$AI$221))</f>
        <v>0</v>
      </c>
      <c r="AK221">
        <f>IF(COUNT($E$2:$E221)&lt;20,"",AVERAGE($E$202:$E$221))</f>
        <v>0</v>
      </c>
      <c r="AL221">
        <f>IF(COUNT($E$2:$E221)&lt;20,"",STDEVP($E$202:$E$221))</f>
        <v>0</v>
      </c>
      <c r="AM221">
        <f>IF(AK221="","",AK221+2*AL221)</f>
        <v>0</v>
      </c>
      <c r="AN221">
        <f>IF(AK221="","",AK221-2*AL221)</f>
        <v>0</v>
      </c>
      <c r="AO221">
        <f>IF(OR(AM221="",AN221="",AM221=AN221),"",($E221-AN221)/(AM221-AN221))</f>
        <v>0</v>
      </c>
      <c r="AP221">
        <f>IF(OR(AM221="",AK221="",AK221=0),"",(AM221-AN221)/AK221)</f>
        <v>0</v>
      </c>
      <c r="AQ221">
        <f>IF(COUNT($E$2:$E221)&lt;20,"",MAX($C$202:$C$221))</f>
        <v>0</v>
      </c>
      <c r="AR221">
        <f>IF(COUNT($E$2:$E221)&lt;20,"",MIN($D$202:$D$221))</f>
        <v>0</v>
      </c>
      <c r="AS221">
        <f>IF(OR(AQ221="",AR221=""),"",(AQ221+AR221)/2)</f>
        <v>0</v>
      </c>
      <c r="AT221">
        <f>IF(COUNT($G$202:$G$221)&lt;20,"",STDEV($G$202:$G$221)*SQRT(252))</f>
        <v>0</v>
      </c>
      <c r="AU221">
        <f>IF(COUNT($E$2:$E221)&lt;9,"",(MAX($C$213:$C$221)+MIN($D$213:$D$221))/2)</f>
        <v>0</v>
      </c>
      <c r="AV221">
        <f>IF(COUNT($E$2:$E221)&lt;26,"",(MAX($C$196:$C$221)+MIN($D$196:$D$221))/2)</f>
        <v>0</v>
      </c>
      <c r="AW221">
        <f>IF(OR(AU221="",AV221=""),"",(AU221+AV221)/2)</f>
        <v>0</v>
      </c>
      <c r="AX221">
        <f>IF(COUNT($E$2:$E221)&lt;52,"",(MAX($C$170:$C$221)+MIN($D$170:$D$221))/2)</f>
        <v>0</v>
      </c>
      <c r="AY221">
        <f>IF(COUNT($E$2:$E221)&lt;20,"",MAX($C$122:$C$221))</f>
        <v>0</v>
      </c>
      <c r="AZ221">
        <f>IF(COUNT($E$2:$E221)&lt;20,"",MIN($D$122:$D$221))</f>
        <v>0</v>
      </c>
      <c r="BA221">
        <f>IF(COUNT($E$2:$E221)&lt;20,"",SLOPE($E$122:$E$221,$F$122:$F$221))</f>
        <v>0</v>
      </c>
      <c r="BB221">
        <f>IF(COUNT($E$2:$E221)&lt;20,"",INTERCEPT($E$122:$E$221,$F$122:$F$221))</f>
        <v>0</v>
      </c>
      <c r="BC221">
        <f>IF(OR(BA221="",BB221=""),"",BB221+BA221*F221)</f>
        <v>0</v>
      </c>
      <c r="BD221">
        <f>IF(COUNT($E$2:$E221)&lt;20,"",STEYX($E$122:$E$221,$F$122:$F$221))</f>
        <v>0</v>
      </c>
      <c r="BE221">
        <f>IF($E221="","",IF(AND(COUNT($E$222:$E$225)&gt;=4,$C221=MAX($C$217:$C$225)),$C221,""))</f>
        <v>0</v>
      </c>
      <c r="BF221">
        <f>IF($E221="","",IF(AND(COUNT($E$222:$E$225)&gt;=4,$D221=MIN($D$217:$D$225)),$D221,""))</f>
        <v>0</v>
      </c>
      <c r="BG221">
        <f>IF($A221="","",$A221-WEEKDAY($A221,2)+1)</f>
        <v>0</v>
      </c>
      <c r="BH221">
        <f>IF($A221="","",IF($A220="",1,IF(BG221&lt;&gt;BG220,1,0)))</f>
        <v>0</v>
      </c>
      <c r="BI221">
        <f>IF($A221="","",IF($A222="",1,IF(BG222&lt;&gt;BG221,1,0)))</f>
        <v>0</v>
      </c>
      <c r="BJ221">
        <f>IF($A221="","",IF(BH221=1,$B221,BJ220))</f>
        <v>0</v>
      </c>
      <c r="BK221">
        <f>IF($A221="","",IF(BH221=1,$C221,MAX($C221,BK220)))</f>
        <v>0</v>
      </c>
      <c r="BL221">
        <f>IF($A221="","",IF(BH221=1,$D221,MIN($D221,BL220)))</f>
        <v>0</v>
      </c>
      <c r="BM221">
        <f>IF($A221="","",IF(BI221=1,F221,""))</f>
        <v>0</v>
      </c>
      <c r="BN221">
        <f>IF($A221="","",DATE(YEAR($A221),MONTH($A221),1))</f>
        <v>0</v>
      </c>
      <c r="BO221">
        <f>IF($A221="","",IF($A220="",1,IF(BN221&lt;&gt;BN220,1,0)))</f>
        <v>0</v>
      </c>
      <c r="BP221">
        <f>IF($A221="","",IF($A222="",1,IF(BN222&lt;&gt;BN221,1,0)))</f>
        <v>0</v>
      </c>
      <c r="BQ221">
        <f>IF($A221="","",IF(BO221=1,$B221,BQ220))</f>
        <v>0</v>
      </c>
      <c r="BR221">
        <f>IF($A221="","",IF(BO221=1,$C221,MAX($C221,BR220)))</f>
        <v>0</v>
      </c>
      <c r="BS221">
        <f>IF($A221="","",IF(BO221=1,$D221,MIN($D221,BS220)))</f>
        <v>0</v>
      </c>
      <c r="BT221">
        <f>IF($A221="","",IF(BP221=1,F221,""))</f>
        <v>0</v>
      </c>
    </row>
    <row r="222" spans="1:72">
      <c r="A222" s="27">
        <f>IF(Data!$A222="","",Data!$A222)</f>
        <v>0</v>
      </c>
      <c r="B222">
        <f>IF(Data!$B222="","",Data!$B222)</f>
        <v>0</v>
      </c>
      <c r="C222">
        <f>IF(Data!$C222="","",Data!$C222)</f>
        <v>0</v>
      </c>
      <c r="D222">
        <f>IF(Data!$D222="","",Data!$D222)</f>
        <v>0</v>
      </c>
      <c r="E222">
        <f>IF(Data!$E222="","",Data!$E222)</f>
        <v>0</v>
      </c>
      <c r="F222">
        <f>IF($E222="","",N(F221)+1)</f>
        <v>0</v>
      </c>
      <c r="G222">
        <f>IF(OR($E222="",$E221=""),"",LN($E222/$E221))</f>
        <v>0</v>
      </c>
      <c r="H222">
        <f>IF($E222="","",IF($E221="",$E222,$E222*0.0952380952+H221*0.9047619048))</f>
        <v>0</v>
      </c>
      <c r="I222">
        <f>IF($E222="","",IF($E221="",$E222,$E222*0.0392156863+I221*0.9607843137))</f>
        <v>0</v>
      </c>
      <c r="J222">
        <f>IF($E222="","",IF($E221="",$E222,$E222*0.0198019802+J221*0.9801980198))</f>
        <v>0</v>
      </c>
      <c r="K222">
        <f>IF($E222="","",IF($E221="",$E222,$E222*0.0099502488+K221*0.9900497512))</f>
        <v>0</v>
      </c>
      <c r="L222">
        <f>IF(OR($E222="",$E221=""),"",MAX($E222-$E221,0))</f>
        <v>0</v>
      </c>
      <c r="M222">
        <f>IF(OR($E222="",$E221=""),"",MAX($E221-$E222,0))</f>
        <v>0</v>
      </c>
      <c r="N222">
        <f>IF(COUNT($E$2:$E222)&lt;15,"",IF(AVERAGE($M$209:$M$222)=0,100,100-100/(1+AVERAGE($L$209:$L$222)/AVERAGE($M$209:$M$222))))</f>
        <v>0</v>
      </c>
      <c r="O222">
        <f>IF($E222="","",IF($E221="",$E222,$E222*0.1538461538+O221*0.8461538462))</f>
        <v>0</v>
      </c>
      <c r="P222">
        <f>IF($E222="","",IF($E221="",$E222,$E222*0.0740740741+P221*0.9259259259))</f>
        <v>0</v>
      </c>
      <c r="Q222">
        <f>IF(OR(O222="",P222=""),"",O222-P222)</f>
        <v>0</v>
      </c>
      <c r="R222">
        <f>IF(Q222="","",IF(R221="",Q222,Q222*0.2000000000+R221*0.8000000000))</f>
        <v>0</v>
      </c>
      <c r="S222">
        <f>IF(OR(Q222="",R222=""),"",Q222-R222)</f>
        <v>0</v>
      </c>
      <c r="T222">
        <f>IF(COUNT($E$2:$E222)&lt;14,"",MAX($C$209:$C$222))</f>
        <v>0</v>
      </c>
      <c r="U222">
        <f>IF(COUNT($E$2:$E222)&lt;14,"",MIN($D$209:$D$222))</f>
        <v>0</v>
      </c>
      <c r="V222">
        <f>IF(OR(T222="",U222="",T222=U222),"",100*($E222-U222)/(T222-U222))</f>
        <v>0</v>
      </c>
      <c r="W222">
        <f>IF(COUNT($V$220:$V$222)&lt;3,"",AVERAGE($V$220:$V$222))</f>
        <v>0</v>
      </c>
      <c r="X222">
        <f>IF(COUNT($N$209:$N$222)&lt;14,"",MIN($N$209:$N$222))</f>
        <v>0</v>
      </c>
      <c r="Y222">
        <f>IF(COUNT($N$209:$N$222)&lt;14,"",MAX($N$209:$N$222))</f>
        <v>0</v>
      </c>
      <c r="Z222">
        <f>IF(OR(N222="",X222="",Y222="",Y222=X222),"",100*(N222-X222)/(Y222-X222))</f>
        <v>0</v>
      </c>
      <c r="AA222">
        <f>IF(COUNT($Z$220:$Z$222)&lt;3,"",AVERAGE($Z$220:$Z$222))</f>
        <v>0</v>
      </c>
      <c r="AB222">
        <f>IF(COUNT($AA$220:$AA$222)&lt;3,"",AVERAGE($AA$220:$AA$222))</f>
        <v>0</v>
      </c>
      <c r="AC222">
        <f>IF($E222="","",MAX($C222-$D222,ABS($C222-$E221),ABS($D222-$E221)))</f>
        <v>0</v>
      </c>
      <c r="AD222">
        <f>IF(COUNT($E$2:$E222)&lt;15,"",AVERAGE($AC$209:$AC$222))</f>
        <v>0</v>
      </c>
      <c r="AE222">
        <f>IF(OR($E222="",$E221=""),"",IF(AND(($C222-$C221)&gt;($D221-$D222),($C222-$C221)&gt;0),$C222-$C221,0))</f>
        <v>0</v>
      </c>
      <c r="AF222">
        <f>IF(OR($E222="",$E221=""),"",IF(AND(($D221-$D222)&gt;($C222-$C221),($D221-$D222)&gt;0),$D221-$D222,0))</f>
        <v>0</v>
      </c>
      <c r="AG222">
        <f>IF(COUNT($E$2:$E222)&lt;15,"",IF(SUM($AC$209:$AC$222)=0,0,100*SUM($AE$209:$AE$222)/SUM($AC$209:$AC$222)))</f>
        <v>0</v>
      </c>
      <c r="AH222">
        <f>IF(COUNT($E$2:$E222)&lt;15,"",IF(SUM($AC$209:$AC$222)=0,0,100*SUM($AF$209:$AF$222)/SUM($AC$209:$AC$222)))</f>
        <v>0</v>
      </c>
      <c r="AI222">
        <f>IF(OR(AG222="",AH222=""),"",IF((AG222+AH222)=0,0,100*ABS(AG222-AH222)/(AG222+AH222)))</f>
        <v>0</v>
      </c>
      <c r="AJ222">
        <f>IF(COUNT($AI$209:$AI$222)&lt;14,"",AVERAGE($AI$209:$AI$222))</f>
        <v>0</v>
      </c>
      <c r="AK222">
        <f>IF(COUNT($E$2:$E222)&lt;20,"",AVERAGE($E$203:$E$222))</f>
        <v>0</v>
      </c>
      <c r="AL222">
        <f>IF(COUNT($E$2:$E222)&lt;20,"",STDEVP($E$203:$E$222))</f>
        <v>0</v>
      </c>
      <c r="AM222">
        <f>IF(AK222="","",AK222+2*AL222)</f>
        <v>0</v>
      </c>
      <c r="AN222">
        <f>IF(AK222="","",AK222-2*AL222)</f>
        <v>0</v>
      </c>
      <c r="AO222">
        <f>IF(OR(AM222="",AN222="",AM222=AN222),"",($E222-AN222)/(AM222-AN222))</f>
        <v>0</v>
      </c>
      <c r="AP222">
        <f>IF(OR(AM222="",AK222="",AK222=0),"",(AM222-AN222)/AK222)</f>
        <v>0</v>
      </c>
      <c r="AQ222">
        <f>IF(COUNT($E$2:$E222)&lt;20,"",MAX($C$203:$C$222))</f>
        <v>0</v>
      </c>
      <c r="AR222">
        <f>IF(COUNT($E$2:$E222)&lt;20,"",MIN($D$203:$D$222))</f>
        <v>0</v>
      </c>
      <c r="AS222">
        <f>IF(OR(AQ222="",AR222=""),"",(AQ222+AR222)/2)</f>
        <v>0</v>
      </c>
      <c r="AT222">
        <f>IF(COUNT($G$203:$G$222)&lt;20,"",STDEV($G$203:$G$222)*SQRT(252))</f>
        <v>0</v>
      </c>
      <c r="AU222">
        <f>IF(COUNT($E$2:$E222)&lt;9,"",(MAX($C$214:$C$222)+MIN($D$214:$D$222))/2)</f>
        <v>0</v>
      </c>
      <c r="AV222">
        <f>IF(COUNT($E$2:$E222)&lt;26,"",(MAX($C$197:$C$222)+MIN($D$197:$D$222))/2)</f>
        <v>0</v>
      </c>
      <c r="AW222">
        <f>IF(OR(AU222="",AV222=""),"",(AU222+AV222)/2)</f>
        <v>0</v>
      </c>
      <c r="AX222">
        <f>IF(COUNT($E$2:$E222)&lt;52,"",(MAX($C$171:$C$222)+MIN($D$171:$D$222))/2)</f>
        <v>0</v>
      </c>
      <c r="AY222">
        <f>IF(COUNT($E$2:$E222)&lt;20,"",MAX($C$123:$C$222))</f>
        <v>0</v>
      </c>
      <c r="AZ222">
        <f>IF(COUNT($E$2:$E222)&lt;20,"",MIN($D$123:$D$222))</f>
        <v>0</v>
      </c>
      <c r="BA222">
        <f>IF(COUNT($E$2:$E222)&lt;20,"",SLOPE($E$123:$E$222,$F$123:$F$222))</f>
        <v>0</v>
      </c>
      <c r="BB222">
        <f>IF(COUNT($E$2:$E222)&lt;20,"",INTERCEPT($E$123:$E$222,$F$123:$F$222))</f>
        <v>0</v>
      </c>
      <c r="BC222">
        <f>IF(OR(BA222="",BB222=""),"",BB222+BA222*F222)</f>
        <v>0</v>
      </c>
      <c r="BD222">
        <f>IF(COUNT($E$2:$E222)&lt;20,"",STEYX($E$123:$E$222,$F$123:$F$222))</f>
        <v>0</v>
      </c>
      <c r="BE222">
        <f>IF($E222="","",IF(AND(COUNT($E$223:$E$226)&gt;=4,$C222=MAX($C$218:$C$226)),$C222,""))</f>
        <v>0</v>
      </c>
      <c r="BF222">
        <f>IF($E222="","",IF(AND(COUNT($E$223:$E$226)&gt;=4,$D222=MIN($D$218:$D$226)),$D222,""))</f>
        <v>0</v>
      </c>
      <c r="BG222">
        <f>IF($A222="","",$A222-WEEKDAY($A222,2)+1)</f>
        <v>0</v>
      </c>
      <c r="BH222">
        <f>IF($A222="","",IF($A221="",1,IF(BG222&lt;&gt;BG221,1,0)))</f>
        <v>0</v>
      </c>
      <c r="BI222">
        <f>IF($A222="","",IF($A223="",1,IF(BG223&lt;&gt;BG222,1,0)))</f>
        <v>0</v>
      </c>
      <c r="BJ222">
        <f>IF($A222="","",IF(BH222=1,$B222,BJ221))</f>
        <v>0</v>
      </c>
      <c r="BK222">
        <f>IF($A222="","",IF(BH222=1,$C222,MAX($C222,BK221)))</f>
        <v>0</v>
      </c>
      <c r="BL222">
        <f>IF($A222="","",IF(BH222=1,$D222,MIN($D222,BL221)))</f>
        <v>0</v>
      </c>
      <c r="BM222">
        <f>IF($A222="","",IF(BI222=1,F222,""))</f>
        <v>0</v>
      </c>
      <c r="BN222">
        <f>IF($A222="","",DATE(YEAR($A222),MONTH($A222),1))</f>
        <v>0</v>
      </c>
      <c r="BO222">
        <f>IF($A222="","",IF($A221="",1,IF(BN222&lt;&gt;BN221,1,0)))</f>
        <v>0</v>
      </c>
      <c r="BP222">
        <f>IF($A222="","",IF($A223="",1,IF(BN223&lt;&gt;BN222,1,0)))</f>
        <v>0</v>
      </c>
      <c r="BQ222">
        <f>IF($A222="","",IF(BO222=1,$B222,BQ221))</f>
        <v>0</v>
      </c>
      <c r="BR222">
        <f>IF($A222="","",IF(BO222=1,$C222,MAX($C222,BR221)))</f>
        <v>0</v>
      </c>
      <c r="BS222">
        <f>IF($A222="","",IF(BO222=1,$D222,MIN($D222,BS221)))</f>
        <v>0</v>
      </c>
      <c r="BT222">
        <f>IF($A222="","",IF(BP222=1,F222,""))</f>
        <v>0</v>
      </c>
    </row>
    <row r="223" spans="1:72">
      <c r="A223" s="27">
        <f>IF(Data!$A223="","",Data!$A223)</f>
        <v>0</v>
      </c>
      <c r="B223">
        <f>IF(Data!$B223="","",Data!$B223)</f>
        <v>0</v>
      </c>
      <c r="C223">
        <f>IF(Data!$C223="","",Data!$C223)</f>
        <v>0</v>
      </c>
      <c r="D223">
        <f>IF(Data!$D223="","",Data!$D223)</f>
        <v>0</v>
      </c>
      <c r="E223">
        <f>IF(Data!$E223="","",Data!$E223)</f>
        <v>0</v>
      </c>
      <c r="F223">
        <f>IF($E223="","",N(F222)+1)</f>
        <v>0</v>
      </c>
      <c r="G223">
        <f>IF(OR($E223="",$E222=""),"",LN($E223/$E222))</f>
        <v>0</v>
      </c>
      <c r="H223">
        <f>IF($E223="","",IF($E222="",$E223,$E223*0.0952380952+H222*0.9047619048))</f>
        <v>0</v>
      </c>
      <c r="I223">
        <f>IF($E223="","",IF($E222="",$E223,$E223*0.0392156863+I222*0.9607843137))</f>
        <v>0</v>
      </c>
      <c r="J223">
        <f>IF($E223="","",IF($E222="",$E223,$E223*0.0198019802+J222*0.9801980198))</f>
        <v>0</v>
      </c>
      <c r="K223">
        <f>IF($E223="","",IF($E222="",$E223,$E223*0.0099502488+K222*0.9900497512))</f>
        <v>0</v>
      </c>
      <c r="L223">
        <f>IF(OR($E223="",$E222=""),"",MAX($E223-$E222,0))</f>
        <v>0</v>
      </c>
      <c r="M223">
        <f>IF(OR($E223="",$E222=""),"",MAX($E222-$E223,0))</f>
        <v>0</v>
      </c>
      <c r="N223">
        <f>IF(COUNT($E$2:$E223)&lt;15,"",IF(AVERAGE($M$210:$M$223)=0,100,100-100/(1+AVERAGE($L$210:$L$223)/AVERAGE($M$210:$M$223))))</f>
        <v>0</v>
      </c>
      <c r="O223">
        <f>IF($E223="","",IF($E222="",$E223,$E223*0.1538461538+O222*0.8461538462))</f>
        <v>0</v>
      </c>
      <c r="P223">
        <f>IF($E223="","",IF($E222="",$E223,$E223*0.0740740741+P222*0.9259259259))</f>
        <v>0</v>
      </c>
      <c r="Q223">
        <f>IF(OR(O223="",P223=""),"",O223-P223)</f>
        <v>0</v>
      </c>
      <c r="R223">
        <f>IF(Q223="","",IF(R222="",Q223,Q223*0.2000000000+R222*0.8000000000))</f>
        <v>0</v>
      </c>
      <c r="S223">
        <f>IF(OR(Q223="",R223=""),"",Q223-R223)</f>
        <v>0</v>
      </c>
      <c r="T223">
        <f>IF(COUNT($E$2:$E223)&lt;14,"",MAX($C$210:$C$223))</f>
        <v>0</v>
      </c>
      <c r="U223">
        <f>IF(COUNT($E$2:$E223)&lt;14,"",MIN($D$210:$D$223))</f>
        <v>0</v>
      </c>
      <c r="V223">
        <f>IF(OR(T223="",U223="",T223=U223),"",100*($E223-U223)/(T223-U223))</f>
        <v>0</v>
      </c>
      <c r="W223">
        <f>IF(COUNT($V$221:$V$223)&lt;3,"",AVERAGE($V$221:$V$223))</f>
        <v>0</v>
      </c>
      <c r="X223">
        <f>IF(COUNT($N$210:$N$223)&lt;14,"",MIN($N$210:$N$223))</f>
        <v>0</v>
      </c>
      <c r="Y223">
        <f>IF(COUNT($N$210:$N$223)&lt;14,"",MAX($N$210:$N$223))</f>
        <v>0</v>
      </c>
      <c r="Z223">
        <f>IF(OR(N223="",X223="",Y223="",Y223=X223),"",100*(N223-X223)/(Y223-X223))</f>
        <v>0</v>
      </c>
      <c r="AA223">
        <f>IF(COUNT($Z$221:$Z$223)&lt;3,"",AVERAGE($Z$221:$Z$223))</f>
        <v>0</v>
      </c>
      <c r="AB223">
        <f>IF(COUNT($AA$221:$AA$223)&lt;3,"",AVERAGE($AA$221:$AA$223))</f>
        <v>0</v>
      </c>
      <c r="AC223">
        <f>IF($E223="","",MAX($C223-$D223,ABS($C223-$E222),ABS($D223-$E222)))</f>
        <v>0</v>
      </c>
      <c r="AD223">
        <f>IF(COUNT($E$2:$E223)&lt;15,"",AVERAGE($AC$210:$AC$223))</f>
        <v>0</v>
      </c>
      <c r="AE223">
        <f>IF(OR($E223="",$E222=""),"",IF(AND(($C223-$C222)&gt;($D222-$D223),($C223-$C222)&gt;0),$C223-$C222,0))</f>
        <v>0</v>
      </c>
      <c r="AF223">
        <f>IF(OR($E223="",$E222=""),"",IF(AND(($D222-$D223)&gt;($C223-$C222),($D222-$D223)&gt;0),$D222-$D223,0))</f>
        <v>0</v>
      </c>
      <c r="AG223">
        <f>IF(COUNT($E$2:$E223)&lt;15,"",IF(SUM($AC$210:$AC$223)=0,0,100*SUM($AE$210:$AE$223)/SUM($AC$210:$AC$223)))</f>
        <v>0</v>
      </c>
      <c r="AH223">
        <f>IF(COUNT($E$2:$E223)&lt;15,"",IF(SUM($AC$210:$AC$223)=0,0,100*SUM($AF$210:$AF$223)/SUM($AC$210:$AC$223)))</f>
        <v>0</v>
      </c>
      <c r="AI223">
        <f>IF(OR(AG223="",AH223=""),"",IF((AG223+AH223)=0,0,100*ABS(AG223-AH223)/(AG223+AH223)))</f>
        <v>0</v>
      </c>
      <c r="AJ223">
        <f>IF(COUNT($AI$210:$AI$223)&lt;14,"",AVERAGE($AI$210:$AI$223))</f>
        <v>0</v>
      </c>
      <c r="AK223">
        <f>IF(COUNT($E$2:$E223)&lt;20,"",AVERAGE($E$204:$E$223))</f>
        <v>0</v>
      </c>
      <c r="AL223">
        <f>IF(COUNT($E$2:$E223)&lt;20,"",STDEVP($E$204:$E$223))</f>
        <v>0</v>
      </c>
      <c r="AM223">
        <f>IF(AK223="","",AK223+2*AL223)</f>
        <v>0</v>
      </c>
      <c r="AN223">
        <f>IF(AK223="","",AK223-2*AL223)</f>
        <v>0</v>
      </c>
      <c r="AO223">
        <f>IF(OR(AM223="",AN223="",AM223=AN223),"",($E223-AN223)/(AM223-AN223))</f>
        <v>0</v>
      </c>
      <c r="AP223">
        <f>IF(OR(AM223="",AK223="",AK223=0),"",(AM223-AN223)/AK223)</f>
        <v>0</v>
      </c>
      <c r="AQ223">
        <f>IF(COUNT($E$2:$E223)&lt;20,"",MAX($C$204:$C$223))</f>
        <v>0</v>
      </c>
      <c r="AR223">
        <f>IF(COUNT($E$2:$E223)&lt;20,"",MIN($D$204:$D$223))</f>
        <v>0</v>
      </c>
      <c r="AS223">
        <f>IF(OR(AQ223="",AR223=""),"",(AQ223+AR223)/2)</f>
        <v>0</v>
      </c>
      <c r="AT223">
        <f>IF(COUNT($G$204:$G$223)&lt;20,"",STDEV($G$204:$G$223)*SQRT(252))</f>
        <v>0</v>
      </c>
      <c r="AU223">
        <f>IF(COUNT($E$2:$E223)&lt;9,"",(MAX($C$215:$C$223)+MIN($D$215:$D$223))/2)</f>
        <v>0</v>
      </c>
      <c r="AV223">
        <f>IF(COUNT($E$2:$E223)&lt;26,"",(MAX($C$198:$C$223)+MIN($D$198:$D$223))/2)</f>
        <v>0</v>
      </c>
      <c r="AW223">
        <f>IF(OR(AU223="",AV223=""),"",(AU223+AV223)/2)</f>
        <v>0</v>
      </c>
      <c r="AX223">
        <f>IF(COUNT($E$2:$E223)&lt;52,"",(MAX($C$172:$C$223)+MIN($D$172:$D$223))/2)</f>
        <v>0</v>
      </c>
      <c r="AY223">
        <f>IF(COUNT($E$2:$E223)&lt;20,"",MAX($C$124:$C$223))</f>
        <v>0</v>
      </c>
      <c r="AZ223">
        <f>IF(COUNT($E$2:$E223)&lt;20,"",MIN($D$124:$D$223))</f>
        <v>0</v>
      </c>
      <c r="BA223">
        <f>IF(COUNT($E$2:$E223)&lt;20,"",SLOPE($E$124:$E$223,$F$124:$F$223))</f>
        <v>0</v>
      </c>
      <c r="BB223">
        <f>IF(COUNT($E$2:$E223)&lt;20,"",INTERCEPT($E$124:$E$223,$F$124:$F$223))</f>
        <v>0</v>
      </c>
      <c r="BC223">
        <f>IF(OR(BA223="",BB223=""),"",BB223+BA223*F223)</f>
        <v>0</v>
      </c>
      <c r="BD223">
        <f>IF(COUNT($E$2:$E223)&lt;20,"",STEYX($E$124:$E$223,$F$124:$F$223))</f>
        <v>0</v>
      </c>
      <c r="BE223">
        <f>IF($E223="","",IF(AND(COUNT($E$224:$E$227)&gt;=4,$C223=MAX($C$219:$C$227)),$C223,""))</f>
        <v>0</v>
      </c>
      <c r="BF223">
        <f>IF($E223="","",IF(AND(COUNT($E$224:$E$227)&gt;=4,$D223=MIN($D$219:$D$227)),$D223,""))</f>
        <v>0</v>
      </c>
      <c r="BG223">
        <f>IF($A223="","",$A223-WEEKDAY($A223,2)+1)</f>
        <v>0</v>
      </c>
      <c r="BH223">
        <f>IF($A223="","",IF($A222="",1,IF(BG223&lt;&gt;BG222,1,0)))</f>
        <v>0</v>
      </c>
      <c r="BI223">
        <f>IF($A223="","",IF($A224="",1,IF(BG224&lt;&gt;BG223,1,0)))</f>
        <v>0</v>
      </c>
      <c r="BJ223">
        <f>IF($A223="","",IF(BH223=1,$B223,BJ222))</f>
        <v>0</v>
      </c>
      <c r="BK223">
        <f>IF($A223="","",IF(BH223=1,$C223,MAX($C223,BK222)))</f>
        <v>0</v>
      </c>
      <c r="BL223">
        <f>IF($A223="","",IF(BH223=1,$D223,MIN($D223,BL222)))</f>
        <v>0</v>
      </c>
      <c r="BM223">
        <f>IF($A223="","",IF(BI223=1,F223,""))</f>
        <v>0</v>
      </c>
      <c r="BN223">
        <f>IF($A223="","",DATE(YEAR($A223),MONTH($A223),1))</f>
        <v>0</v>
      </c>
      <c r="BO223">
        <f>IF($A223="","",IF($A222="",1,IF(BN223&lt;&gt;BN222,1,0)))</f>
        <v>0</v>
      </c>
      <c r="BP223">
        <f>IF($A223="","",IF($A224="",1,IF(BN224&lt;&gt;BN223,1,0)))</f>
        <v>0</v>
      </c>
      <c r="BQ223">
        <f>IF($A223="","",IF(BO223=1,$B223,BQ222))</f>
        <v>0</v>
      </c>
      <c r="BR223">
        <f>IF($A223="","",IF(BO223=1,$C223,MAX($C223,BR222)))</f>
        <v>0</v>
      </c>
      <c r="BS223">
        <f>IF($A223="","",IF(BO223=1,$D223,MIN($D223,BS222)))</f>
        <v>0</v>
      </c>
      <c r="BT223">
        <f>IF($A223="","",IF(BP223=1,F223,""))</f>
        <v>0</v>
      </c>
    </row>
    <row r="224" spans="1:72">
      <c r="A224" s="27">
        <f>IF(Data!$A224="","",Data!$A224)</f>
        <v>0</v>
      </c>
      <c r="B224">
        <f>IF(Data!$B224="","",Data!$B224)</f>
        <v>0</v>
      </c>
      <c r="C224">
        <f>IF(Data!$C224="","",Data!$C224)</f>
        <v>0</v>
      </c>
      <c r="D224">
        <f>IF(Data!$D224="","",Data!$D224)</f>
        <v>0</v>
      </c>
      <c r="E224">
        <f>IF(Data!$E224="","",Data!$E224)</f>
        <v>0</v>
      </c>
      <c r="F224">
        <f>IF($E224="","",N(F223)+1)</f>
        <v>0</v>
      </c>
      <c r="G224">
        <f>IF(OR($E224="",$E223=""),"",LN($E224/$E223))</f>
        <v>0</v>
      </c>
      <c r="H224">
        <f>IF($E224="","",IF($E223="",$E224,$E224*0.0952380952+H223*0.9047619048))</f>
        <v>0</v>
      </c>
      <c r="I224">
        <f>IF($E224="","",IF($E223="",$E224,$E224*0.0392156863+I223*0.9607843137))</f>
        <v>0</v>
      </c>
      <c r="J224">
        <f>IF($E224="","",IF($E223="",$E224,$E224*0.0198019802+J223*0.9801980198))</f>
        <v>0</v>
      </c>
      <c r="K224">
        <f>IF($E224="","",IF($E223="",$E224,$E224*0.0099502488+K223*0.9900497512))</f>
        <v>0</v>
      </c>
      <c r="L224">
        <f>IF(OR($E224="",$E223=""),"",MAX($E224-$E223,0))</f>
        <v>0</v>
      </c>
      <c r="M224">
        <f>IF(OR($E224="",$E223=""),"",MAX($E223-$E224,0))</f>
        <v>0</v>
      </c>
      <c r="N224">
        <f>IF(COUNT($E$2:$E224)&lt;15,"",IF(AVERAGE($M$211:$M$224)=0,100,100-100/(1+AVERAGE($L$211:$L$224)/AVERAGE($M$211:$M$224))))</f>
        <v>0</v>
      </c>
      <c r="O224">
        <f>IF($E224="","",IF($E223="",$E224,$E224*0.1538461538+O223*0.8461538462))</f>
        <v>0</v>
      </c>
      <c r="P224">
        <f>IF($E224="","",IF($E223="",$E224,$E224*0.0740740741+P223*0.9259259259))</f>
        <v>0</v>
      </c>
      <c r="Q224">
        <f>IF(OR(O224="",P224=""),"",O224-P224)</f>
        <v>0</v>
      </c>
      <c r="R224">
        <f>IF(Q224="","",IF(R223="",Q224,Q224*0.2000000000+R223*0.8000000000))</f>
        <v>0</v>
      </c>
      <c r="S224">
        <f>IF(OR(Q224="",R224=""),"",Q224-R224)</f>
        <v>0</v>
      </c>
      <c r="T224">
        <f>IF(COUNT($E$2:$E224)&lt;14,"",MAX($C$211:$C$224))</f>
        <v>0</v>
      </c>
      <c r="U224">
        <f>IF(COUNT($E$2:$E224)&lt;14,"",MIN($D$211:$D$224))</f>
        <v>0</v>
      </c>
      <c r="V224">
        <f>IF(OR(T224="",U224="",T224=U224),"",100*($E224-U224)/(T224-U224))</f>
        <v>0</v>
      </c>
      <c r="W224">
        <f>IF(COUNT($V$222:$V$224)&lt;3,"",AVERAGE($V$222:$V$224))</f>
        <v>0</v>
      </c>
      <c r="X224">
        <f>IF(COUNT($N$211:$N$224)&lt;14,"",MIN($N$211:$N$224))</f>
        <v>0</v>
      </c>
      <c r="Y224">
        <f>IF(COUNT($N$211:$N$224)&lt;14,"",MAX($N$211:$N$224))</f>
        <v>0</v>
      </c>
      <c r="Z224">
        <f>IF(OR(N224="",X224="",Y224="",Y224=X224),"",100*(N224-X224)/(Y224-X224))</f>
        <v>0</v>
      </c>
      <c r="AA224">
        <f>IF(COUNT($Z$222:$Z$224)&lt;3,"",AVERAGE($Z$222:$Z$224))</f>
        <v>0</v>
      </c>
      <c r="AB224">
        <f>IF(COUNT($AA$222:$AA$224)&lt;3,"",AVERAGE($AA$222:$AA$224))</f>
        <v>0</v>
      </c>
      <c r="AC224">
        <f>IF($E224="","",MAX($C224-$D224,ABS($C224-$E223),ABS($D224-$E223)))</f>
        <v>0</v>
      </c>
      <c r="AD224">
        <f>IF(COUNT($E$2:$E224)&lt;15,"",AVERAGE($AC$211:$AC$224))</f>
        <v>0</v>
      </c>
      <c r="AE224">
        <f>IF(OR($E224="",$E223=""),"",IF(AND(($C224-$C223)&gt;($D223-$D224),($C224-$C223)&gt;0),$C224-$C223,0))</f>
        <v>0</v>
      </c>
      <c r="AF224">
        <f>IF(OR($E224="",$E223=""),"",IF(AND(($D223-$D224)&gt;($C224-$C223),($D223-$D224)&gt;0),$D223-$D224,0))</f>
        <v>0</v>
      </c>
      <c r="AG224">
        <f>IF(COUNT($E$2:$E224)&lt;15,"",IF(SUM($AC$211:$AC$224)=0,0,100*SUM($AE$211:$AE$224)/SUM($AC$211:$AC$224)))</f>
        <v>0</v>
      </c>
      <c r="AH224">
        <f>IF(COUNT($E$2:$E224)&lt;15,"",IF(SUM($AC$211:$AC$224)=0,0,100*SUM($AF$211:$AF$224)/SUM($AC$211:$AC$224)))</f>
        <v>0</v>
      </c>
      <c r="AI224">
        <f>IF(OR(AG224="",AH224=""),"",IF((AG224+AH224)=0,0,100*ABS(AG224-AH224)/(AG224+AH224)))</f>
        <v>0</v>
      </c>
      <c r="AJ224">
        <f>IF(COUNT($AI$211:$AI$224)&lt;14,"",AVERAGE($AI$211:$AI$224))</f>
        <v>0</v>
      </c>
      <c r="AK224">
        <f>IF(COUNT($E$2:$E224)&lt;20,"",AVERAGE($E$205:$E$224))</f>
        <v>0</v>
      </c>
      <c r="AL224">
        <f>IF(COUNT($E$2:$E224)&lt;20,"",STDEVP($E$205:$E$224))</f>
        <v>0</v>
      </c>
      <c r="AM224">
        <f>IF(AK224="","",AK224+2*AL224)</f>
        <v>0</v>
      </c>
      <c r="AN224">
        <f>IF(AK224="","",AK224-2*AL224)</f>
        <v>0</v>
      </c>
      <c r="AO224">
        <f>IF(OR(AM224="",AN224="",AM224=AN224),"",($E224-AN224)/(AM224-AN224))</f>
        <v>0</v>
      </c>
      <c r="AP224">
        <f>IF(OR(AM224="",AK224="",AK224=0),"",(AM224-AN224)/AK224)</f>
        <v>0</v>
      </c>
      <c r="AQ224">
        <f>IF(COUNT($E$2:$E224)&lt;20,"",MAX($C$205:$C$224))</f>
        <v>0</v>
      </c>
      <c r="AR224">
        <f>IF(COUNT($E$2:$E224)&lt;20,"",MIN($D$205:$D$224))</f>
        <v>0</v>
      </c>
      <c r="AS224">
        <f>IF(OR(AQ224="",AR224=""),"",(AQ224+AR224)/2)</f>
        <v>0</v>
      </c>
      <c r="AT224">
        <f>IF(COUNT($G$205:$G$224)&lt;20,"",STDEV($G$205:$G$224)*SQRT(252))</f>
        <v>0</v>
      </c>
      <c r="AU224">
        <f>IF(COUNT($E$2:$E224)&lt;9,"",(MAX($C$216:$C$224)+MIN($D$216:$D$224))/2)</f>
        <v>0</v>
      </c>
      <c r="AV224">
        <f>IF(COUNT($E$2:$E224)&lt;26,"",(MAX($C$199:$C$224)+MIN($D$199:$D$224))/2)</f>
        <v>0</v>
      </c>
      <c r="AW224">
        <f>IF(OR(AU224="",AV224=""),"",(AU224+AV224)/2)</f>
        <v>0</v>
      </c>
      <c r="AX224">
        <f>IF(COUNT($E$2:$E224)&lt;52,"",(MAX($C$173:$C$224)+MIN($D$173:$D$224))/2)</f>
        <v>0</v>
      </c>
      <c r="AY224">
        <f>IF(COUNT($E$2:$E224)&lt;20,"",MAX($C$125:$C$224))</f>
        <v>0</v>
      </c>
      <c r="AZ224">
        <f>IF(COUNT($E$2:$E224)&lt;20,"",MIN($D$125:$D$224))</f>
        <v>0</v>
      </c>
      <c r="BA224">
        <f>IF(COUNT($E$2:$E224)&lt;20,"",SLOPE($E$125:$E$224,$F$125:$F$224))</f>
        <v>0</v>
      </c>
      <c r="BB224">
        <f>IF(COUNT($E$2:$E224)&lt;20,"",INTERCEPT($E$125:$E$224,$F$125:$F$224))</f>
        <v>0</v>
      </c>
      <c r="BC224">
        <f>IF(OR(BA224="",BB224=""),"",BB224+BA224*F224)</f>
        <v>0</v>
      </c>
      <c r="BD224">
        <f>IF(COUNT($E$2:$E224)&lt;20,"",STEYX($E$125:$E$224,$F$125:$F$224))</f>
        <v>0</v>
      </c>
      <c r="BE224">
        <f>IF($E224="","",IF(AND(COUNT($E$225:$E$228)&gt;=4,$C224=MAX($C$220:$C$228)),$C224,""))</f>
        <v>0</v>
      </c>
      <c r="BF224">
        <f>IF($E224="","",IF(AND(COUNT($E$225:$E$228)&gt;=4,$D224=MIN($D$220:$D$228)),$D224,""))</f>
        <v>0</v>
      </c>
      <c r="BG224">
        <f>IF($A224="","",$A224-WEEKDAY($A224,2)+1)</f>
        <v>0</v>
      </c>
      <c r="BH224">
        <f>IF($A224="","",IF($A223="",1,IF(BG224&lt;&gt;BG223,1,0)))</f>
        <v>0</v>
      </c>
      <c r="BI224">
        <f>IF($A224="","",IF($A225="",1,IF(BG225&lt;&gt;BG224,1,0)))</f>
        <v>0</v>
      </c>
      <c r="BJ224">
        <f>IF($A224="","",IF(BH224=1,$B224,BJ223))</f>
        <v>0</v>
      </c>
      <c r="BK224">
        <f>IF($A224="","",IF(BH224=1,$C224,MAX($C224,BK223)))</f>
        <v>0</v>
      </c>
      <c r="BL224">
        <f>IF($A224="","",IF(BH224=1,$D224,MIN($D224,BL223)))</f>
        <v>0</v>
      </c>
      <c r="BM224">
        <f>IF($A224="","",IF(BI224=1,F224,""))</f>
        <v>0</v>
      </c>
      <c r="BN224">
        <f>IF($A224="","",DATE(YEAR($A224),MONTH($A224),1))</f>
        <v>0</v>
      </c>
      <c r="BO224">
        <f>IF($A224="","",IF($A223="",1,IF(BN224&lt;&gt;BN223,1,0)))</f>
        <v>0</v>
      </c>
      <c r="BP224">
        <f>IF($A224="","",IF($A225="",1,IF(BN225&lt;&gt;BN224,1,0)))</f>
        <v>0</v>
      </c>
      <c r="BQ224">
        <f>IF($A224="","",IF(BO224=1,$B224,BQ223))</f>
        <v>0</v>
      </c>
      <c r="BR224">
        <f>IF($A224="","",IF(BO224=1,$C224,MAX($C224,BR223)))</f>
        <v>0</v>
      </c>
      <c r="BS224">
        <f>IF($A224="","",IF(BO224=1,$D224,MIN($D224,BS223)))</f>
        <v>0</v>
      </c>
      <c r="BT224">
        <f>IF($A224="","",IF(BP224=1,F224,""))</f>
        <v>0</v>
      </c>
    </row>
    <row r="225" spans="1:72">
      <c r="A225" s="27">
        <f>IF(Data!$A225="","",Data!$A225)</f>
        <v>0</v>
      </c>
      <c r="B225">
        <f>IF(Data!$B225="","",Data!$B225)</f>
        <v>0</v>
      </c>
      <c r="C225">
        <f>IF(Data!$C225="","",Data!$C225)</f>
        <v>0</v>
      </c>
      <c r="D225">
        <f>IF(Data!$D225="","",Data!$D225)</f>
        <v>0</v>
      </c>
      <c r="E225">
        <f>IF(Data!$E225="","",Data!$E225)</f>
        <v>0</v>
      </c>
      <c r="F225">
        <f>IF($E225="","",N(F224)+1)</f>
        <v>0</v>
      </c>
      <c r="G225">
        <f>IF(OR($E225="",$E224=""),"",LN($E225/$E224))</f>
        <v>0</v>
      </c>
      <c r="H225">
        <f>IF($E225="","",IF($E224="",$E225,$E225*0.0952380952+H224*0.9047619048))</f>
        <v>0</v>
      </c>
      <c r="I225">
        <f>IF($E225="","",IF($E224="",$E225,$E225*0.0392156863+I224*0.9607843137))</f>
        <v>0</v>
      </c>
      <c r="J225">
        <f>IF($E225="","",IF($E224="",$E225,$E225*0.0198019802+J224*0.9801980198))</f>
        <v>0</v>
      </c>
      <c r="K225">
        <f>IF($E225="","",IF($E224="",$E225,$E225*0.0099502488+K224*0.9900497512))</f>
        <v>0</v>
      </c>
      <c r="L225">
        <f>IF(OR($E225="",$E224=""),"",MAX($E225-$E224,0))</f>
        <v>0</v>
      </c>
      <c r="M225">
        <f>IF(OR($E225="",$E224=""),"",MAX($E224-$E225,0))</f>
        <v>0</v>
      </c>
      <c r="N225">
        <f>IF(COUNT($E$2:$E225)&lt;15,"",IF(AVERAGE($M$212:$M$225)=0,100,100-100/(1+AVERAGE($L$212:$L$225)/AVERAGE($M$212:$M$225))))</f>
        <v>0</v>
      </c>
      <c r="O225">
        <f>IF($E225="","",IF($E224="",$E225,$E225*0.1538461538+O224*0.8461538462))</f>
        <v>0</v>
      </c>
      <c r="P225">
        <f>IF($E225="","",IF($E224="",$E225,$E225*0.0740740741+P224*0.9259259259))</f>
        <v>0</v>
      </c>
      <c r="Q225">
        <f>IF(OR(O225="",P225=""),"",O225-P225)</f>
        <v>0</v>
      </c>
      <c r="R225">
        <f>IF(Q225="","",IF(R224="",Q225,Q225*0.2000000000+R224*0.8000000000))</f>
        <v>0</v>
      </c>
      <c r="S225">
        <f>IF(OR(Q225="",R225=""),"",Q225-R225)</f>
        <v>0</v>
      </c>
      <c r="T225">
        <f>IF(COUNT($E$2:$E225)&lt;14,"",MAX($C$212:$C$225))</f>
        <v>0</v>
      </c>
      <c r="U225">
        <f>IF(COUNT($E$2:$E225)&lt;14,"",MIN($D$212:$D$225))</f>
        <v>0</v>
      </c>
      <c r="V225">
        <f>IF(OR(T225="",U225="",T225=U225),"",100*($E225-U225)/(T225-U225))</f>
        <v>0</v>
      </c>
      <c r="W225">
        <f>IF(COUNT($V$223:$V$225)&lt;3,"",AVERAGE($V$223:$V$225))</f>
        <v>0</v>
      </c>
      <c r="X225">
        <f>IF(COUNT($N$212:$N$225)&lt;14,"",MIN($N$212:$N$225))</f>
        <v>0</v>
      </c>
      <c r="Y225">
        <f>IF(COUNT($N$212:$N$225)&lt;14,"",MAX($N$212:$N$225))</f>
        <v>0</v>
      </c>
      <c r="Z225">
        <f>IF(OR(N225="",X225="",Y225="",Y225=X225),"",100*(N225-X225)/(Y225-X225))</f>
        <v>0</v>
      </c>
      <c r="AA225">
        <f>IF(COUNT($Z$223:$Z$225)&lt;3,"",AVERAGE($Z$223:$Z$225))</f>
        <v>0</v>
      </c>
      <c r="AB225">
        <f>IF(COUNT($AA$223:$AA$225)&lt;3,"",AVERAGE($AA$223:$AA$225))</f>
        <v>0</v>
      </c>
      <c r="AC225">
        <f>IF($E225="","",MAX($C225-$D225,ABS($C225-$E224),ABS($D225-$E224)))</f>
        <v>0</v>
      </c>
      <c r="AD225">
        <f>IF(COUNT($E$2:$E225)&lt;15,"",AVERAGE($AC$212:$AC$225))</f>
        <v>0</v>
      </c>
      <c r="AE225">
        <f>IF(OR($E225="",$E224=""),"",IF(AND(($C225-$C224)&gt;($D224-$D225),($C225-$C224)&gt;0),$C225-$C224,0))</f>
        <v>0</v>
      </c>
      <c r="AF225">
        <f>IF(OR($E225="",$E224=""),"",IF(AND(($D224-$D225)&gt;($C225-$C224),($D224-$D225)&gt;0),$D224-$D225,0))</f>
        <v>0</v>
      </c>
      <c r="AG225">
        <f>IF(COUNT($E$2:$E225)&lt;15,"",IF(SUM($AC$212:$AC$225)=0,0,100*SUM($AE$212:$AE$225)/SUM($AC$212:$AC$225)))</f>
        <v>0</v>
      </c>
      <c r="AH225">
        <f>IF(COUNT($E$2:$E225)&lt;15,"",IF(SUM($AC$212:$AC$225)=0,0,100*SUM($AF$212:$AF$225)/SUM($AC$212:$AC$225)))</f>
        <v>0</v>
      </c>
      <c r="AI225">
        <f>IF(OR(AG225="",AH225=""),"",IF((AG225+AH225)=0,0,100*ABS(AG225-AH225)/(AG225+AH225)))</f>
        <v>0</v>
      </c>
      <c r="AJ225">
        <f>IF(COUNT($AI$212:$AI$225)&lt;14,"",AVERAGE($AI$212:$AI$225))</f>
        <v>0</v>
      </c>
      <c r="AK225">
        <f>IF(COUNT($E$2:$E225)&lt;20,"",AVERAGE($E$206:$E$225))</f>
        <v>0</v>
      </c>
      <c r="AL225">
        <f>IF(COUNT($E$2:$E225)&lt;20,"",STDEVP($E$206:$E$225))</f>
        <v>0</v>
      </c>
      <c r="AM225">
        <f>IF(AK225="","",AK225+2*AL225)</f>
        <v>0</v>
      </c>
      <c r="AN225">
        <f>IF(AK225="","",AK225-2*AL225)</f>
        <v>0</v>
      </c>
      <c r="AO225">
        <f>IF(OR(AM225="",AN225="",AM225=AN225),"",($E225-AN225)/(AM225-AN225))</f>
        <v>0</v>
      </c>
      <c r="AP225">
        <f>IF(OR(AM225="",AK225="",AK225=0),"",(AM225-AN225)/AK225)</f>
        <v>0</v>
      </c>
      <c r="AQ225">
        <f>IF(COUNT($E$2:$E225)&lt;20,"",MAX($C$206:$C$225))</f>
        <v>0</v>
      </c>
      <c r="AR225">
        <f>IF(COUNT($E$2:$E225)&lt;20,"",MIN($D$206:$D$225))</f>
        <v>0</v>
      </c>
      <c r="AS225">
        <f>IF(OR(AQ225="",AR225=""),"",(AQ225+AR225)/2)</f>
        <v>0</v>
      </c>
      <c r="AT225">
        <f>IF(COUNT($G$206:$G$225)&lt;20,"",STDEV($G$206:$G$225)*SQRT(252))</f>
        <v>0</v>
      </c>
      <c r="AU225">
        <f>IF(COUNT($E$2:$E225)&lt;9,"",(MAX($C$217:$C$225)+MIN($D$217:$D$225))/2)</f>
        <v>0</v>
      </c>
      <c r="AV225">
        <f>IF(COUNT($E$2:$E225)&lt;26,"",(MAX($C$200:$C$225)+MIN($D$200:$D$225))/2)</f>
        <v>0</v>
      </c>
      <c r="AW225">
        <f>IF(OR(AU225="",AV225=""),"",(AU225+AV225)/2)</f>
        <v>0</v>
      </c>
      <c r="AX225">
        <f>IF(COUNT($E$2:$E225)&lt;52,"",(MAX($C$174:$C$225)+MIN($D$174:$D$225))/2)</f>
        <v>0</v>
      </c>
      <c r="AY225">
        <f>IF(COUNT($E$2:$E225)&lt;20,"",MAX($C$126:$C$225))</f>
        <v>0</v>
      </c>
      <c r="AZ225">
        <f>IF(COUNT($E$2:$E225)&lt;20,"",MIN($D$126:$D$225))</f>
        <v>0</v>
      </c>
      <c r="BA225">
        <f>IF(COUNT($E$2:$E225)&lt;20,"",SLOPE($E$126:$E$225,$F$126:$F$225))</f>
        <v>0</v>
      </c>
      <c r="BB225">
        <f>IF(COUNT($E$2:$E225)&lt;20,"",INTERCEPT($E$126:$E$225,$F$126:$F$225))</f>
        <v>0</v>
      </c>
      <c r="BC225">
        <f>IF(OR(BA225="",BB225=""),"",BB225+BA225*F225)</f>
        <v>0</v>
      </c>
      <c r="BD225">
        <f>IF(COUNT($E$2:$E225)&lt;20,"",STEYX($E$126:$E$225,$F$126:$F$225))</f>
        <v>0</v>
      </c>
      <c r="BE225">
        <f>IF($E225="","",IF(AND(COUNT($E$226:$E$229)&gt;=4,$C225=MAX($C$221:$C$229)),$C225,""))</f>
        <v>0</v>
      </c>
      <c r="BF225">
        <f>IF($E225="","",IF(AND(COUNT($E$226:$E$229)&gt;=4,$D225=MIN($D$221:$D$229)),$D225,""))</f>
        <v>0</v>
      </c>
      <c r="BG225">
        <f>IF($A225="","",$A225-WEEKDAY($A225,2)+1)</f>
        <v>0</v>
      </c>
      <c r="BH225">
        <f>IF($A225="","",IF($A224="",1,IF(BG225&lt;&gt;BG224,1,0)))</f>
        <v>0</v>
      </c>
      <c r="BI225">
        <f>IF($A225="","",IF($A226="",1,IF(BG226&lt;&gt;BG225,1,0)))</f>
        <v>0</v>
      </c>
      <c r="BJ225">
        <f>IF($A225="","",IF(BH225=1,$B225,BJ224))</f>
        <v>0</v>
      </c>
      <c r="BK225">
        <f>IF($A225="","",IF(BH225=1,$C225,MAX($C225,BK224)))</f>
        <v>0</v>
      </c>
      <c r="BL225">
        <f>IF($A225="","",IF(BH225=1,$D225,MIN($D225,BL224)))</f>
        <v>0</v>
      </c>
      <c r="BM225">
        <f>IF($A225="","",IF(BI225=1,F225,""))</f>
        <v>0</v>
      </c>
      <c r="BN225">
        <f>IF($A225="","",DATE(YEAR($A225),MONTH($A225),1))</f>
        <v>0</v>
      </c>
      <c r="BO225">
        <f>IF($A225="","",IF($A224="",1,IF(BN225&lt;&gt;BN224,1,0)))</f>
        <v>0</v>
      </c>
      <c r="BP225">
        <f>IF($A225="","",IF($A226="",1,IF(BN226&lt;&gt;BN225,1,0)))</f>
        <v>0</v>
      </c>
      <c r="BQ225">
        <f>IF($A225="","",IF(BO225=1,$B225,BQ224))</f>
        <v>0</v>
      </c>
      <c r="BR225">
        <f>IF($A225="","",IF(BO225=1,$C225,MAX($C225,BR224)))</f>
        <v>0</v>
      </c>
      <c r="BS225">
        <f>IF($A225="","",IF(BO225=1,$D225,MIN($D225,BS224)))</f>
        <v>0</v>
      </c>
      <c r="BT225">
        <f>IF($A225="","",IF(BP225=1,F225,""))</f>
        <v>0</v>
      </c>
    </row>
    <row r="226" spans="1:72">
      <c r="A226" s="27">
        <f>IF(Data!$A226="","",Data!$A226)</f>
        <v>0</v>
      </c>
      <c r="B226">
        <f>IF(Data!$B226="","",Data!$B226)</f>
        <v>0</v>
      </c>
      <c r="C226">
        <f>IF(Data!$C226="","",Data!$C226)</f>
        <v>0</v>
      </c>
      <c r="D226">
        <f>IF(Data!$D226="","",Data!$D226)</f>
        <v>0</v>
      </c>
      <c r="E226">
        <f>IF(Data!$E226="","",Data!$E226)</f>
        <v>0</v>
      </c>
      <c r="F226">
        <f>IF($E226="","",N(F225)+1)</f>
        <v>0</v>
      </c>
      <c r="G226">
        <f>IF(OR($E226="",$E225=""),"",LN($E226/$E225))</f>
        <v>0</v>
      </c>
      <c r="H226">
        <f>IF($E226="","",IF($E225="",$E226,$E226*0.0952380952+H225*0.9047619048))</f>
        <v>0</v>
      </c>
      <c r="I226">
        <f>IF($E226="","",IF($E225="",$E226,$E226*0.0392156863+I225*0.9607843137))</f>
        <v>0</v>
      </c>
      <c r="J226">
        <f>IF($E226="","",IF($E225="",$E226,$E226*0.0198019802+J225*0.9801980198))</f>
        <v>0</v>
      </c>
      <c r="K226">
        <f>IF($E226="","",IF($E225="",$E226,$E226*0.0099502488+K225*0.9900497512))</f>
        <v>0</v>
      </c>
      <c r="L226">
        <f>IF(OR($E226="",$E225=""),"",MAX($E226-$E225,0))</f>
        <v>0</v>
      </c>
      <c r="M226">
        <f>IF(OR($E226="",$E225=""),"",MAX($E225-$E226,0))</f>
        <v>0</v>
      </c>
      <c r="N226">
        <f>IF(COUNT($E$2:$E226)&lt;15,"",IF(AVERAGE($M$213:$M$226)=0,100,100-100/(1+AVERAGE($L$213:$L$226)/AVERAGE($M$213:$M$226))))</f>
        <v>0</v>
      </c>
      <c r="O226">
        <f>IF($E226="","",IF($E225="",$E226,$E226*0.1538461538+O225*0.8461538462))</f>
        <v>0</v>
      </c>
      <c r="P226">
        <f>IF($E226="","",IF($E225="",$E226,$E226*0.0740740741+P225*0.9259259259))</f>
        <v>0</v>
      </c>
      <c r="Q226">
        <f>IF(OR(O226="",P226=""),"",O226-P226)</f>
        <v>0</v>
      </c>
      <c r="R226">
        <f>IF(Q226="","",IF(R225="",Q226,Q226*0.2000000000+R225*0.8000000000))</f>
        <v>0</v>
      </c>
      <c r="S226">
        <f>IF(OR(Q226="",R226=""),"",Q226-R226)</f>
        <v>0</v>
      </c>
      <c r="T226">
        <f>IF(COUNT($E$2:$E226)&lt;14,"",MAX($C$213:$C$226))</f>
        <v>0</v>
      </c>
      <c r="U226">
        <f>IF(COUNT($E$2:$E226)&lt;14,"",MIN($D$213:$D$226))</f>
        <v>0</v>
      </c>
      <c r="V226">
        <f>IF(OR(T226="",U226="",T226=U226),"",100*($E226-U226)/(T226-U226))</f>
        <v>0</v>
      </c>
      <c r="W226">
        <f>IF(COUNT($V$224:$V$226)&lt;3,"",AVERAGE($V$224:$V$226))</f>
        <v>0</v>
      </c>
      <c r="X226">
        <f>IF(COUNT($N$213:$N$226)&lt;14,"",MIN($N$213:$N$226))</f>
        <v>0</v>
      </c>
      <c r="Y226">
        <f>IF(COUNT($N$213:$N$226)&lt;14,"",MAX($N$213:$N$226))</f>
        <v>0</v>
      </c>
      <c r="Z226">
        <f>IF(OR(N226="",X226="",Y226="",Y226=X226),"",100*(N226-X226)/(Y226-X226))</f>
        <v>0</v>
      </c>
      <c r="AA226">
        <f>IF(COUNT($Z$224:$Z$226)&lt;3,"",AVERAGE($Z$224:$Z$226))</f>
        <v>0</v>
      </c>
      <c r="AB226">
        <f>IF(COUNT($AA$224:$AA$226)&lt;3,"",AVERAGE($AA$224:$AA$226))</f>
        <v>0</v>
      </c>
      <c r="AC226">
        <f>IF($E226="","",MAX($C226-$D226,ABS($C226-$E225),ABS($D226-$E225)))</f>
        <v>0</v>
      </c>
      <c r="AD226">
        <f>IF(COUNT($E$2:$E226)&lt;15,"",AVERAGE($AC$213:$AC$226))</f>
        <v>0</v>
      </c>
      <c r="AE226">
        <f>IF(OR($E226="",$E225=""),"",IF(AND(($C226-$C225)&gt;($D225-$D226),($C226-$C225)&gt;0),$C226-$C225,0))</f>
        <v>0</v>
      </c>
      <c r="AF226">
        <f>IF(OR($E226="",$E225=""),"",IF(AND(($D225-$D226)&gt;($C226-$C225),($D225-$D226)&gt;0),$D225-$D226,0))</f>
        <v>0</v>
      </c>
      <c r="AG226">
        <f>IF(COUNT($E$2:$E226)&lt;15,"",IF(SUM($AC$213:$AC$226)=0,0,100*SUM($AE$213:$AE$226)/SUM($AC$213:$AC$226)))</f>
        <v>0</v>
      </c>
      <c r="AH226">
        <f>IF(COUNT($E$2:$E226)&lt;15,"",IF(SUM($AC$213:$AC$226)=0,0,100*SUM($AF$213:$AF$226)/SUM($AC$213:$AC$226)))</f>
        <v>0</v>
      </c>
      <c r="AI226">
        <f>IF(OR(AG226="",AH226=""),"",IF((AG226+AH226)=0,0,100*ABS(AG226-AH226)/(AG226+AH226)))</f>
        <v>0</v>
      </c>
      <c r="AJ226">
        <f>IF(COUNT($AI$213:$AI$226)&lt;14,"",AVERAGE($AI$213:$AI$226))</f>
        <v>0</v>
      </c>
      <c r="AK226">
        <f>IF(COUNT($E$2:$E226)&lt;20,"",AVERAGE($E$207:$E$226))</f>
        <v>0</v>
      </c>
      <c r="AL226">
        <f>IF(COUNT($E$2:$E226)&lt;20,"",STDEVP($E$207:$E$226))</f>
        <v>0</v>
      </c>
      <c r="AM226">
        <f>IF(AK226="","",AK226+2*AL226)</f>
        <v>0</v>
      </c>
      <c r="AN226">
        <f>IF(AK226="","",AK226-2*AL226)</f>
        <v>0</v>
      </c>
      <c r="AO226">
        <f>IF(OR(AM226="",AN226="",AM226=AN226),"",($E226-AN226)/(AM226-AN226))</f>
        <v>0</v>
      </c>
      <c r="AP226">
        <f>IF(OR(AM226="",AK226="",AK226=0),"",(AM226-AN226)/AK226)</f>
        <v>0</v>
      </c>
      <c r="AQ226">
        <f>IF(COUNT($E$2:$E226)&lt;20,"",MAX($C$207:$C$226))</f>
        <v>0</v>
      </c>
      <c r="AR226">
        <f>IF(COUNT($E$2:$E226)&lt;20,"",MIN($D$207:$D$226))</f>
        <v>0</v>
      </c>
      <c r="AS226">
        <f>IF(OR(AQ226="",AR226=""),"",(AQ226+AR226)/2)</f>
        <v>0</v>
      </c>
      <c r="AT226">
        <f>IF(COUNT($G$207:$G$226)&lt;20,"",STDEV($G$207:$G$226)*SQRT(252))</f>
        <v>0</v>
      </c>
      <c r="AU226">
        <f>IF(COUNT($E$2:$E226)&lt;9,"",(MAX($C$218:$C$226)+MIN($D$218:$D$226))/2)</f>
        <v>0</v>
      </c>
      <c r="AV226">
        <f>IF(COUNT($E$2:$E226)&lt;26,"",(MAX($C$201:$C$226)+MIN($D$201:$D$226))/2)</f>
        <v>0</v>
      </c>
      <c r="AW226">
        <f>IF(OR(AU226="",AV226=""),"",(AU226+AV226)/2)</f>
        <v>0</v>
      </c>
      <c r="AX226">
        <f>IF(COUNT($E$2:$E226)&lt;52,"",(MAX($C$175:$C$226)+MIN($D$175:$D$226))/2)</f>
        <v>0</v>
      </c>
      <c r="AY226">
        <f>IF(COUNT($E$2:$E226)&lt;20,"",MAX($C$127:$C$226))</f>
        <v>0</v>
      </c>
      <c r="AZ226">
        <f>IF(COUNT($E$2:$E226)&lt;20,"",MIN($D$127:$D$226))</f>
        <v>0</v>
      </c>
      <c r="BA226">
        <f>IF(COUNT($E$2:$E226)&lt;20,"",SLOPE($E$127:$E$226,$F$127:$F$226))</f>
        <v>0</v>
      </c>
      <c r="BB226">
        <f>IF(COUNT($E$2:$E226)&lt;20,"",INTERCEPT($E$127:$E$226,$F$127:$F$226))</f>
        <v>0</v>
      </c>
      <c r="BC226">
        <f>IF(OR(BA226="",BB226=""),"",BB226+BA226*F226)</f>
        <v>0</v>
      </c>
      <c r="BD226">
        <f>IF(COUNT($E$2:$E226)&lt;20,"",STEYX($E$127:$E$226,$F$127:$F$226))</f>
        <v>0</v>
      </c>
      <c r="BE226">
        <f>IF($E226="","",IF(AND(COUNT($E$227:$E$230)&gt;=4,$C226=MAX($C$222:$C$230)),$C226,""))</f>
        <v>0</v>
      </c>
      <c r="BF226">
        <f>IF($E226="","",IF(AND(COUNT($E$227:$E$230)&gt;=4,$D226=MIN($D$222:$D$230)),$D226,""))</f>
        <v>0</v>
      </c>
      <c r="BG226">
        <f>IF($A226="","",$A226-WEEKDAY($A226,2)+1)</f>
        <v>0</v>
      </c>
      <c r="BH226">
        <f>IF($A226="","",IF($A225="",1,IF(BG226&lt;&gt;BG225,1,0)))</f>
        <v>0</v>
      </c>
      <c r="BI226">
        <f>IF($A226="","",IF($A227="",1,IF(BG227&lt;&gt;BG226,1,0)))</f>
        <v>0</v>
      </c>
      <c r="BJ226">
        <f>IF($A226="","",IF(BH226=1,$B226,BJ225))</f>
        <v>0</v>
      </c>
      <c r="BK226">
        <f>IF($A226="","",IF(BH226=1,$C226,MAX($C226,BK225)))</f>
        <v>0</v>
      </c>
      <c r="BL226">
        <f>IF($A226="","",IF(BH226=1,$D226,MIN($D226,BL225)))</f>
        <v>0</v>
      </c>
      <c r="BM226">
        <f>IF($A226="","",IF(BI226=1,F226,""))</f>
        <v>0</v>
      </c>
      <c r="BN226">
        <f>IF($A226="","",DATE(YEAR($A226),MONTH($A226),1))</f>
        <v>0</v>
      </c>
      <c r="BO226">
        <f>IF($A226="","",IF($A225="",1,IF(BN226&lt;&gt;BN225,1,0)))</f>
        <v>0</v>
      </c>
      <c r="BP226">
        <f>IF($A226="","",IF($A227="",1,IF(BN227&lt;&gt;BN226,1,0)))</f>
        <v>0</v>
      </c>
      <c r="BQ226">
        <f>IF($A226="","",IF(BO226=1,$B226,BQ225))</f>
        <v>0</v>
      </c>
      <c r="BR226">
        <f>IF($A226="","",IF(BO226=1,$C226,MAX($C226,BR225)))</f>
        <v>0</v>
      </c>
      <c r="BS226">
        <f>IF($A226="","",IF(BO226=1,$D226,MIN($D226,BS225)))</f>
        <v>0</v>
      </c>
      <c r="BT226">
        <f>IF($A226="","",IF(BP226=1,F226,""))</f>
        <v>0</v>
      </c>
    </row>
    <row r="227" spans="1:72">
      <c r="A227" s="27">
        <f>IF(Data!$A227="","",Data!$A227)</f>
        <v>0</v>
      </c>
      <c r="B227">
        <f>IF(Data!$B227="","",Data!$B227)</f>
        <v>0</v>
      </c>
      <c r="C227">
        <f>IF(Data!$C227="","",Data!$C227)</f>
        <v>0</v>
      </c>
      <c r="D227">
        <f>IF(Data!$D227="","",Data!$D227)</f>
        <v>0</v>
      </c>
      <c r="E227">
        <f>IF(Data!$E227="","",Data!$E227)</f>
        <v>0</v>
      </c>
      <c r="F227">
        <f>IF($E227="","",N(F226)+1)</f>
        <v>0</v>
      </c>
      <c r="G227">
        <f>IF(OR($E227="",$E226=""),"",LN($E227/$E226))</f>
        <v>0</v>
      </c>
      <c r="H227">
        <f>IF($E227="","",IF($E226="",$E227,$E227*0.0952380952+H226*0.9047619048))</f>
        <v>0</v>
      </c>
      <c r="I227">
        <f>IF($E227="","",IF($E226="",$E227,$E227*0.0392156863+I226*0.9607843137))</f>
        <v>0</v>
      </c>
      <c r="J227">
        <f>IF($E227="","",IF($E226="",$E227,$E227*0.0198019802+J226*0.9801980198))</f>
        <v>0</v>
      </c>
      <c r="K227">
        <f>IF($E227="","",IF($E226="",$E227,$E227*0.0099502488+K226*0.9900497512))</f>
        <v>0</v>
      </c>
      <c r="L227">
        <f>IF(OR($E227="",$E226=""),"",MAX($E227-$E226,0))</f>
        <v>0</v>
      </c>
      <c r="M227">
        <f>IF(OR($E227="",$E226=""),"",MAX($E226-$E227,0))</f>
        <v>0</v>
      </c>
      <c r="N227">
        <f>IF(COUNT($E$2:$E227)&lt;15,"",IF(AVERAGE($M$214:$M$227)=0,100,100-100/(1+AVERAGE($L$214:$L$227)/AVERAGE($M$214:$M$227))))</f>
        <v>0</v>
      </c>
      <c r="O227">
        <f>IF($E227="","",IF($E226="",$E227,$E227*0.1538461538+O226*0.8461538462))</f>
        <v>0</v>
      </c>
      <c r="P227">
        <f>IF($E227="","",IF($E226="",$E227,$E227*0.0740740741+P226*0.9259259259))</f>
        <v>0</v>
      </c>
      <c r="Q227">
        <f>IF(OR(O227="",P227=""),"",O227-P227)</f>
        <v>0</v>
      </c>
      <c r="R227">
        <f>IF(Q227="","",IF(R226="",Q227,Q227*0.2000000000+R226*0.8000000000))</f>
        <v>0</v>
      </c>
      <c r="S227">
        <f>IF(OR(Q227="",R227=""),"",Q227-R227)</f>
        <v>0</v>
      </c>
      <c r="T227">
        <f>IF(COUNT($E$2:$E227)&lt;14,"",MAX($C$214:$C$227))</f>
        <v>0</v>
      </c>
      <c r="U227">
        <f>IF(COUNT($E$2:$E227)&lt;14,"",MIN($D$214:$D$227))</f>
        <v>0</v>
      </c>
      <c r="V227">
        <f>IF(OR(T227="",U227="",T227=U227),"",100*($E227-U227)/(T227-U227))</f>
        <v>0</v>
      </c>
      <c r="W227">
        <f>IF(COUNT($V$225:$V$227)&lt;3,"",AVERAGE($V$225:$V$227))</f>
        <v>0</v>
      </c>
      <c r="X227">
        <f>IF(COUNT($N$214:$N$227)&lt;14,"",MIN($N$214:$N$227))</f>
        <v>0</v>
      </c>
      <c r="Y227">
        <f>IF(COUNT($N$214:$N$227)&lt;14,"",MAX($N$214:$N$227))</f>
        <v>0</v>
      </c>
      <c r="Z227">
        <f>IF(OR(N227="",X227="",Y227="",Y227=X227),"",100*(N227-X227)/(Y227-X227))</f>
        <v>0</v>
      </c>
      <c r="AA227">
        <f>IF(COUNT($Z$225:$Z$227)&lt;3,"",AVERAGE($Z$225:$Z$227))</f>
        <v>0</v>
      </c>
      <c r="AB227">
        <f>IF(COUNT($AA$225:$AA$227)&lt;3,"",AVERAGE($AA$225:$AA$227))</f>
        <v>0</v>
      </c>
      <c r="AC227">
        <f>IF($E227="","",MAX($C227-$D227,ABS($C227-$E226),ABS($D227-$E226)))</f>
        <v>0</v>
      </c>
      <c r="AD227">
        <f>IF(COUNT($E$2:$E227)&lt;15,"",AVERAGE($AC$214:$AC$227))</f>
        <v>0</v>
      </c>
      <c r="AE227">
        <f>IF(OR($E227="",$E226=""),"",IF(AND(($C227-$C226)&gt;($D226-$D227),($C227-$C226)&gt;0),$C227-$C226,0))</f>
        <v>0</v>
      </c>
      <c r="AF227">
        <f>IF(OR($E227="",$E226=""),"",IF(AND(($D226-$D227)&gt;($C227-$C226),($D226-$D227)&gt;0),$D226-$D227,0))</f>
        <v>0</v>
      </c>
      <c r="AG227">
        <f>IF(COUNT($E$2:$E227)&lt;15,"",IF(SUM($AC$214:$AC$227)=0,0,100*SUM($AE$214:$AE$227)/SUM($AC$214:$AC$227)))</f>
        <v>0</v>
      </c>
      <c r="AH227">
        <f>IF(COUNT($E$2:$E227)&lt;15,"",IF(SUM($AC$214:$AC$227)=0,0,100*SUM($AF$214:$AF$227)/SUM($AC$214:$AC$227)))</f>
        <v>0</v>
      </c>
      <c r="AI227">
        <f>IF(OR(AG227="",AH227=""),"",IF((AG227+AH227)=0,0,100*ABS(AG227-AH227)/(AG227+AH227)))</f>
        <v>0</v>
      </c>
      <c r="AJ227">
        <f>IF(COUNT($AI$214:$AI$227)&lt;14,"",AVERAGE($AI$214:$AI$227))</f>
        <v>0</v>
      </c>
      <c r="AK227">
        <f>IF(COUNT($E$2:$E227)&lt;20,"",AVERAGE($E$208:$E$227))</f>
        <v>0</v>
      </c>
      <c r="AL227">
        <f>IF(COUNT($E$2:$E227)&lt;20,"",STDEVP($E$208:$E$227))</f>
        <v>0</v>
      </c>
      <c r="AM227">
        <f>IF(AK227="","",AK227+2*AL227)</f>
        <v>0</v>
      </c>
      <c r="AN227">
        <f>IF(AK227="","",AK227-2*AL227)</f>
        <v>0</v>
      </c>
      <c r="AO227">
        <f>IF(OR(AM227="",AN227="",AM227=AN227),"",($E227-AN227)/(AM227-AN227))</f>
        <v>0</v>
      </c>
      <c r="AP227">
        <f>IF(OR(AM227="",AK227="",AK227=0),"",(AM227-AN227)/AK227)</f>
        <v>0</v>
      </c>
      <c r="AQ227">
        <f>IF(COUNT($E$2:$E227)&lt;20,"",MAX($C$208:$C$227))</f>
        <v>0</v>
      </c>
      <c r="AR227">
        <f>IF(COUNT($E$2:$E227)&lt;20,"",MIN($D$208:$D$227))</f>
        <v>0</v>
      </c>
      <c r="AS227">
        <f>IF(OR(AQ227="",AR227=""),"",(AQ227+AR227)/2)</f>
        <v>0</v>
      </c>
      <c r="AT227">
        <f>IF(COUNT($G$208:$G$227)&lt;20,"",STDEV($G$208:$G$227)*SQRT(252))</f>
        <v>0</v>
      </c>
      <c r="AU227">
        <f>IF(COUNT($E$2:$E227)&lt;9,"",(MAX($C$219:$C$227)+MIN($D$219:$D$227))/2)</f>
        <v>0</v>
      </c>
      <c r="AV227">
        <f>IF(COUNT($E$2:$E227)&lt;26,"",(MAX($C$202:$C$227)+MIN($D$202:$D$227))/2)</f>
        <v>0</v>
      </c>
      <c r="AW227">
        <f>IF(OR(AU227="",AV227=""),"",(AU227+AV227)/2)</f>
        <v>0</v>
      </c>
      <c r="AX227">
        <f>IF(COUNT($E$2:$E227)&lt;52,"",(MAX($C$176:$C$227)+MIN($D$176:$D$227))/2)</f>
        <v>0</v>
      </c>
      <c r="AY227">
        <f>IF(COUNT($E$2:$E227)&lt;20,"",MAX($C$128:$C$227))</f>
        <v>0</v>
      </c>
      <c r="AZ227">
        <f>IF(COUNT($E$2:$E227)&lt;20,"",MIN($D$128:$D$227))</f>
        <v>0</v>
      </c>
      <c r="BA227">
        <f>IF(COUNT($E$2:$E227)&lt;20,"",SLOPE($E$128:$E$227,$F$128:$F$227))</f>
        <v>0</v>
      </c>
      <c r="BB227">
        <f>IF(COUNT($E$2:$E227)&lt;20,"",INTERCEPT($E$128:$E$227,$F$128:$F$227))</f>
        <v>0</v>
      </c>
      <c r="BC227">
        <f>IF(OR(BA227="",BB227=""),"",BB227+BA227*F227)</f>
        <v>0</v>
      </c>
      <c r="BD227">
        <f>IF(COUNT($E$2:$E227)&lt;20,"",STEYX($E$128:$E$227,$F$128:$F$227))</f>
        <v>0</v>
      </c>
      <c r="BE227">
        <f>IF($E227="","",IF(AND(COUNT($E$228:$E$231)&gt;=4,$C227=MAX($C$223:$C$231)),$C227,""))</f>
        <v>0</v>
      </c>
      <c r="BF227">
        <f>IF($E227="","",IF(AND(COUNT($E$228:$E$231)&gt;=4,$D227=MIN($D$223:$D$231)),$D227,""))</f>
        <v>0</v>
      </c>
      <c r="BG227">
        <f>IF($A227="","",$A227-WEEKDAY($A227,2)+1)</f>
        <v>0</v>
      </c>
      <c r="BH227">
        <f>IF($A227="","",IF($A226="",1,IF(BG227&lt;&gt;BG226,1,0)))</f>
        <v>0</v>
      </c>
      <c r="BI227">
        <f>IF($A227="","",IF($A228="",1,IF(BG228&lt;&gt;BG227,1,0)))</f>
        <v>0</v>
      </c>
      <c r="BJ227">
        <f>IF($A227="","",IF(BH227=1,$B227,BJ226))</f>
        <v>0</v>
      </c>
      <c r="BK227">
        <f>IF($A227="","",IF(BH227=1,$C227,MAX($C227,BK226)))</f>
        <v>0</v>
      </c>
      <c r="BL227">
        <f>IF($A227="","",IF(BH227=1,$D227,MIN($D227,BL226)))</f>
        <v>0</v>
      </c>
      <c r="BM227">
        <f>IF($A227="","",IF(BI227=1,F227,""))</f>
        <v>0</v>
      </c>
      <c r="BN227">
        <f>IF($A227="","",DATE(YEAR($A227),MONTH($A227),1))</f>
        <v>0</v>
      </c>
      <c r="BO227">
        <f>IF($A227="","",IF($A226="",1,IF(BN227&lt;&gt;BN226,1,0)))</f>
        <v>0</v>
      </c>
      <c r="BP227">
        <f>IF($A227="","",IF($A228="",1,IF(BN228&lt;&gt;BN227,1,0)))</f>
        <v>0</v>
      </c>
      <c r="BQ227">
        <f>IF($A227="","",IF(BO227=1,$B227,BQ226))</f>
        <v>0</v>
      </c>
      <c r="BR227">
        <f>IF($A227="","",IF(BO227=1,$C227,MAX($C227,BR226)))</f>
        <v>0</v>
      </c>
      <c r="BS227">
        <f>IF($A227="","",IF(BO227=1,$D227,MIN($D227,BS226)))</f>
        <v>0</v>
      </c>
      <c r="BT227">
        <f>IF($A227="","",IF(BP227=1,F227,""))</f>
        <v>0</v>
      </c>
    </row>
    <row r="228" spans="1:72">
      <c r="A228" s="27">
        <f>IF(Data!$A228="","",Data!$A228)</f>
        <v>0</v>
      </c>
      <c r="B228">
        <f>IF(Data!$B228="","",Data!$B228)</f>
        <v>0</v>
      </c>
      <c r="C228">
        <f>IF(Data!$C228="","",Data!$C228)</f>
        <v>0</v>
      </c>
      <c r="D228">
        <f>IF(Data!$D228="","",Data!$D228)</f>
        <v>0</v>
      </c>
      <c r="E228">
        <f>IF(Data!$E228="","",Data!$E228)</f>
        <v>0</v>
      </c>
      <c r="F228">
        <f>IF($E228="","",N(F227)+1)</f>
        <v>0</v>
      </c>
      <c r="G228">
        <f>IF(OR($E228="",$E227=""),"",LN($E228/$E227))</f>
        <v>0</v>
      </c>
      <c r="H228">
        <f>IF($E228="","",IF($E227="",$E228,$E228*0.0952380952+H227*0.9047619048))</f>
        <v>0</v>
      </c>
      <c r="I228">
        <f>IF($E228="","",IF($E227="",$E228,$E228*0.0392156863+I227*0.9607843137))</f>
        <v>0</v>
      </c>
      <c r="J228">
        <f>IF($E228="","",IF($E227="",$E228,$E228*0.0198019802+J227*0.9801980198))</f>
        <v>0</v>
      </c>
      <c r="K228">
        <f>IF($E228="","",IF($E227="",$E228,$E228*0.0099502488+K227*0.9900497512))</f>
        <v>0</v>
      </c>
      <c r="L228">
        <f>IF(OR($E228="",$E227=""),"",MAX($E228-$E227,0))</f>
        <v>0</v>
      </c>
      <c r="M228">
        <f>IF(OR($E228="",$E227=""),"",MAX($E227-$E228,0))</f>
        <v>0</v>
      </c>
      <c r="N228">
        <f>IF(COUNT($E$2:$E228)&lt;15,"",IF(AVERAGE($M$215:$M$228)=0,100,100-100/(1+AVERAGE($L$215:$L$228)/AVERAGE($M$215:$M$228))))</f>
        <v>0</v>
      </c>
      <c r="O228">
        <f>IF($E228="","",IF($E227="",$E228,$E228*0.1538461538+O227*0.8461538462))</f>
        <v>0</v>
      </c>
      <c r="P228">
        <f>IF($E228="","",IF($E227="",$E228,$E228*0.0740740741+P227*0.9259259259))</f>
        <v>0</v>
      </c>
      <c r="Q228">
        <f>IF(OR(O228="",P228=""),"",O228-P228)</f>
        <v>0</v>
      </c>
      <c r="R228">
        <f>IF(Q228="","",IF(R227="",Q228,Q228*0.2000000000+R227*0.8000000000))</f>
        <v>0</v>
      </c>
      <c r="S228">
        <f>IF(OR(Q228="",R228=""),"",Q228-R228)</f>
        <v>0</v>
      </c>
      <c r="T228">
        <f>IF(COUNT($E$2:$E228)&lt;14,"",MAX($C$215:$C$228))</f>
        <v>0</v>
      </c>
      <c r="U228">
        <f>IF(COUNT($E$2:$E228)&lt;14,"",MIN($D$215:$D$228))</f>
        <v>0</v>
      </c>
      <c r="V228">
        <f>IF(OR(T228="",U228="",T228=U228),"",100*($E228-U228)/(T228-U228))</f>
        <v>0</v>
      </c>
      <c r="W228">
        <f>IF(COUNT($V$226:$V$228)&lt;3,"",AVERAGE($V$226:$V$228))</f>
        <v>0</v>
      </c>
      <c r="X228">
        <f>IF(COUNT($N$215:$N$228)&lt;14,"",MIN($N$215:$N$228))</f>
        <v>0</v>
      </c>
      <c r="Y228">
        <f>IF(COUNT($N$215:$N$228)&lt;14,"",MAX($N$215:$N$228))</f>
        <v>0</v>
      </c>
      <c r="Z228">
        <f>IF(OR(N228="",X228="",Y228="",Y228=X228),"",100*(N228-X228)/(Y228-X228))</f>
        <v>0</v>
      </c>
      <c r="AA228">
        <f>IF(COUNT($Z$226:$Z$228)&lt;3,"",AVERAGE($Z$226:$Z$228))</f>
        <v>0</v>
      </c>
      <c r="AB228">
        <f>IF(COUNT($AA$226:$AA$228)&lt;3,"",AVERAGE($AA$226:$AA$228))</f>
        <v>0</v>
      </c>
      <c r="AC228">
        <f>IF($E228="","",MAX($C228-$D228,ABS($C228-$E227),ABS($D228-$E227)))</f>
        <v>0</v>
      </c>
      <c r="AD228">
        <f>IF(COUNT($E$2:$E228)&lt;15,"",AVERAGE($AC$215:$AC$228))</f>
        <v>0</v>
      </c>
      <c r="AE228">
        <f>IF(OR($E228="",$E227=""),"",IF(AND(($C228-$C227)&gt;($D227-$D228),($C228-$C227)&gt;0),$C228-$C227,0))</f>
        <v>0</v>
      </c>
      <c r="AF228">
        <f>IF(OR($E228="",$E227=""),"",IF(AND(($D227-$D228)&gt;($C228-$C227),($D227-$D228)&gt;0),$D227-$D228,0))</f>
        <v>0</v>
      </c>
      <c r="AG228">
        <f>IF(COUNT($E$2:$E228)&lt;15,"",IF(SUM($AC$215:$AC$228)=0,0,100*SUM($AE$215:$AE$228)/SUM($AC$215:$AC$228)))</f>
        <v>0</v>
      </c>
      <c r="AH228">
        <f>IF(COUNT($E$2:$E228)&lt;15,"",IF(SUM($AC$215:$AC$228)=0,0,100*SUM($AF$215:$AF$228)/SUM($AC$215:$AC$228)))</f>
        <v>0</v>
      </c>
      <c r="AI228">
        <f>IF(OR(AG228="",AH228=""),"",IF((AG228+AH228)=0,0,100*ABS(AG228-AH228)/(AG228+AH228)))</f>
        <v>0</v>
      </c>
      <c r="AJ228">
        <f>IF(COUNT($AI$215:$AI$228)&lt;14,"",AVERAGE($AI$215:$AI$228))</f>
        <v>0</v>
      </c>
      <c r="AK228">
        <f>IF(COUNT($E$2:$E228)&lt;20,"",AVERAGE($E$209:$E$228))</f>
        <v>0</v>
      </c>
      <c r="AL228">
        <f>IF(COUNT($E$2:$E228)&lt;20,"",STDEVP($E$209:$E$228))</f>
        <v>0</v>
      </c>
      <c r="AM228">
        <f>IF(AK228="","",AK228+2*AL228)</f>
        <v>0</v>
      </c>
      <c r="AN228">
        <f>IF(AK228="","",AK228-2*AL228)</f>
        <v>0</v>
      </c>
      <c r="AO228">
        <f>IF(OR(AM228="",AN228="",AM228=AN228),"",($E228-AN228)/(AM228-AN228))</f>
        <v>0</v>
      </c>
      <c r="AP228">
        <f>IF(OR(AM228="",AK228="",AK228=0),"",(AM228-AN228)/AK228)</f>
        <v>0</v>
      </c>
      <c r="AQ228">
        <f>IF(COUNT($E$2:$E228)&lt;20,"",MAX($C$209:$C$228))</f>
        <v>0</v>
      </c>
      <c r="AR228">
        <f>IF(COUNT($E$2:$E228)&lt;20,"",MIN($D$209:$D$228))</f>
        <v>0</v>
      </c>
      <c r="AS228">
        <f>IF(OR(AQ228="",AR228=""),"",(AQ228+AR228)/2)</f>
        <v>0</v>
      </c>
      <c r="AT228">
        <f>IF(COUNT($G$209:$G$228)&lt;20,"",STDEV($G$209:$G$228)*SQRT(252))</f>
        <v>0</v>
      </c>
      <c r="AU228">
        <f>IF(COUNT($E$2:$E228)&lt;9,"",(MAX($C$220:$C$228)+MIN($D$220:$D$228))/2)</f>
        <v>0</v>
      </c>
      <c r="AV228">
        <f>IF(COUNT($E$2:$E228)&lt;26,"",(MAX($C$203:$C$228)+MIN($D$203:$D$228))/2)</f>
        <v>0</v>
      </c>
      <c r="AW228">
        <f>IF(OR(AU228="",AV228=""),"",(AU228+AV228)/2)</f>
        <v>0</v>
      </c>
      <c r="AX228">
        <f>IF(COUNT($E$2:$E228)&lt;52,"",(MAX($C$177:$C$228)+MIN($D$177:$D$228))/2)</f>
        <v>0</v>
      </c>
      <c r="AY228">
        <f>IF(COUNT($E$2:$E228)&lt;20,"",MAX($C$129:$C$228))</f>
        <v>0</v>
      </c>
      <c r="AZ228">
        <f>IF(COUNT($E$2:$E228)&lt;20,"",MIN($D$129:$D$228))</f>
        <v>0</v>
      </c>
      <c r="BA228">
        <f>IF(COUNT($E$2:$E228)&lt;20,"",SLOPE($E$129:$E$228,$F$129:$F$228))</f>
        <v>0</v>
      </c>
      <c r="BB228">
        <f>IF(COUNT($E$2:$E228)&lt;20,"",INTERCEPT($E$129:$E$228,$F$129:$F$228))</f>
        <v>0</v>
      </c>
      <c r="BC228">
        <f>IF(OR(BA228="",BB228=""),"",BB228+BA228*F228)</f>
        <v>0</v>
      </c>
      <c r="BD228">
        <f>IF(COUNT($E$2:$E228)&lt;20,"",STEYX($E$129:$E$228,$F$129:$F$228))</f>
        <v>0</v>
      </c>
      <c r="BE228">
        <f>IF($E228="","",IF(AND(COUNT($E$229:$E$232)&gt;=4,$C228=MAX($C$224:$C$232)),$C228,""))</f>
        <v>0</v>
      </c>
      <c r="BF228">
        <f>IF($E228="","",IF(AND(COUNT($E$229:$E$232)&gt;=4,$D228=MIN($D$224:$D$232)),$D228,""))</f>
        <v>0</v>
      </c>
      <c r="BG228">
        <f>IF($A228="","",$A228-WEEKDAY($A228,2)+1)</f>
        <v>0</v>
      </c>
      <c r="BH228">
        <f>IF($A228="","",IF($A227="",1,IF(BG228&lt;&gt;BG227,1,0)))</f>
        <v>0</v>
      </c>
      <c r="BI228">
        <f>IF($A228="","",IF($A229="",1,IF(BG229&lt;&gt;BG228,1,0)))</f>
        <v>0</v>
      </c>
      <c r="BJ228">
        <f>IF($A228="","",IF(BH228=1,$B228,BJ227))</f>
        <v>0</v>
      </c>
      <c r="BK228">
        <f>IF($A228="","",IF(BH228=1,$C228,MAX($C228,BK227)))</f>
        <v>0</v>
      </c>
      <c r="BL228">
        <f>IF($A228="","",IF(BH228=1,$D228,MIN($D228,BL227)))</f>
        <v>0</v>
      </c>
      <c r="BM228">
        <f>IF($A228="","",IF(BI228=1,F228,""))</f>
        <v>0</v>
      </c>
      <c r="BN228">
        <f>IF($A228="","",DATE(YEAR($A228),MONTH($A228),1))</f>
        <v>0</v>
      </c>
      <c r="BO228">
        <f>IF($A228="","",IF($A227="",1,IF(BN228&lt;&gt;BN227,1,0)))</f>
        <v>0</v>
      </c>
      <c r="BP228">
        <f>IF($A228="","",IF($A229="",1,IF(BN229&lt;&gt;BN228,1,0)))</f>
        <v>0</v>
      </c>
      <c r="BQ228">
        <f>IF($A228="","",IF(BO228=1,$B228,BQ227))</f>
        <v>0</v>
      </c>
      <c r="BR228">
        <f>IF($A228="","",IF(BO228=1,$C228,MAX($C228,BR227)))</f>
        <v>0</v>
      </c>
      <c r="BS228">
        <f>IF($A228="","",IF(BO228=1,$D228,MIN($D228,BS227)))</f>
        <v>0</v>
      </c>
      <c r="BT228">
        <f>IF($A228="","",IF(BP228=1,F228,""))</f>
        <v>0</v>
      </c>
    </row>
    <row r="229" spans="1:72">
      <c r="A229" s="27">
        <f>IF(Data!$A229="","",Data!$A229)</f>
        <v>0</v>
      </c>
      <c r="B229">
        <f>IF(Data!$B229="","",Data!$B229)</f>
        <v>0</v>
      </c>
      <c r="C229">
        <f>IF(Data!$C229="","",Data!$C229)</f>
        <v>0</v>
      </c>
      <c r="D229">
        <f>IF(Data!$D229="","",Data!$D229)</f>
        <v>0</v>
      </c>
      <c r="E229">
        <f>IF(Data!$E229="","",Data!$E229)</f>
        <v>0</v>
      </c>
      <c r="F229">
        <f>IF($E229="","",N(F228)+1)</f>
        <v>0</v>
      </c>
      <c r="G229">
        <f>IF(OR($E229="",$E228=""),"",LN($E229/$E228))</f>
        <v>0</v>
      </c>
      <c r="H229">
        <f>IF($E229="","",IF($E228="",$E229,$E229*0.0952380952+H228*0.9047619048))</f>
        <v>0</v>
      </c>
      <c r="I229">
        <f>IF($E229="","",IF($E228="",$E229,$E229*0.0392156863+I228*0.9607843137))</f>
        <v>0</v>
      </c>
      <c r="J229">
        <f>IF($E229="","",IF($E228="",$E229,$E229*0.0198019802+J228*0.9801980198))</f>
        <v>0</v>
      </c>
      <c r="K229">
        <f>IF($E229="","",IF($E228="",$E229,$E229*0.0099502488+K228*0.9900497512))</f>
        <v>0</v>
      </c>
      <c r="L229">
        <f>IF(OR($E229="",$E228=""),"",MAX($E229-$E228,0))</f>
        <v>0</v>
      </c>
      <c r="M229">
        <f>IF(OR($E229="",$E228=""),"",MAX($E228-$E229,0))</f>
        <v>0</v>
      </c>
      <c r="N229">
        <f>IF(COUNT($E$2:$E229)&lt;15,"",IF(AVERAGE($M$216:$M$229)=0,100,100-100/(1+AVERAGE($L$216:$L$229)/AVERAGE($M$216:$M$229))))</f>
        <v>0</v>
      </c>
      <c r="O229">
        <f>IF($E229="","",IF($E228="",$E229,$E229*0.1538461538+O228*0.8461538462))</f>
        <v>0</v>
      </c>
      <c r="P229">
        <f>IF($E229="","",IF($E228="",$E229,$E229*0.0740740741+P228*0.9259259259))</f>
        <v>0</v>
      </c>
      <c r="Q229">
        <f>IF(OR(O229="",P229=""),"",O229-P229)</f>
        <v>0</v>
      </c>
      <c r="R229">
        <f>IF(Q229="","",IF(R228="",Q229,Q229*0.2000000000+R228*0.8000000000))</f>
        <v>0</v>
      </c>
      <c r="S229">
        <f>IF(OR(Q229="",R229=""),"",Q229-R229)</f>
        <v>0</v>
      </c>
      <c r="T229">
        <f>IF(COUNT($E$2:$E229)&lt;14,"",MAX($C$216:$C$229))</f>
        <v>0</v>
      </c>
      <c r="U229">
        <f>IF(COUNT($E$2:$E229)&lt;14,"",MIN($D$216:$D$229))</f>
        <v>0</v>
      </c>
      <c r="V229">
        <f>IF(OR(T229="",U229="",T229=U229),"",100*($E229-U229)/(T229-U229))</f>
        <v>0</v>
      </c>
      <c r="W229">
        <f>IF(COUNT($V$227:$V$229)&lt;3,"",AVERAGE($V$227:$V$229))</f>
        <v>0</v>
      </c>
      <c r="X229">
        <f>IF(COUNT($N$216:$N$229)&lt;14,"",MIN($N$216:$N$229))</f>
        <v>0</v>
      </c>
      <c r="Y229">
        <f>IF(COUNT($N$216:$N$229)&lt;14,"",MAX($N$216:$N$229))</f>
        <v>0</v>
      </c>
      <c r="Z229">
        <f>IF(OR(N229="",X229="",Y229="",Y229=X229),"",100*(N229-X229)/(Y229-X229))</f>
        <v>0</v>
      </c>
      <c r="AA229">
        <f>IF(COUNT($Z$227:$Z$229)&lt;3,"",AVERAGE($Z$227:$Z$229))</f>
        <v>0</v>
      </c>
      <c r="AB229">
        <f>IF(COUNT($AA$227:$AA$229)&lt;3,"",AVERAGE($AA$227:$AA$229))</f>
        <v>0</v>
      </c>
      <c r="AC229">
        <f>IF($E229="","",MAX($C229-$D229,ABS($C229-$E228),ABS($D229-$E228)))</f>
        <v>0</v>
      </c>
      <c r="AD229">
        <f>IF(COUNT($E$2:$E229)&lt;15,"",AVERAGE($AC$216:$AC$229))</f>
        <v>0</v>
      </c>
      <c r="AE229">
        <f>IF(OR($E229="",$E228=""),"",IF(AND(($C229-$C228)&gt;($D228-$D229),($C229-$C228)&gt;0),$C229-$C228,0))</f>
        <v>0</v>
      </c>
      <c r="AF229">
        <f>IF(OR($E229="",$E228=""),"",IF(AND(($D228-$D229)&gt;($C229-$C228),($D228-$D229)&gt;0),$D228-$D229,0))</f>
        <v>0</v>
      </c>
      <c r="AG229">
        <f>IF(COUNT($E$2:$E229)&lt;15,"",IF(SUM($AC$216:$AC$229)=0,0,100*SUM($AE$216:$AE$229)/SUM($AC$216:$AC$229)))</f>
        <v>0</v>
      </c>
      <c r="AH229">
        <f>IF(COUNT($E$2:$E229)&lt;15,"",IF(SUM($AC$216:$AC$229)=0,0,100*SUM($AF$216:$AF$229)/SUM($AC$216:$AC$229)))</f>
        <v>0</v>
      </c>
      <c r="AI229">
        <f>IF(OR(AG229="",AH229=""),"",IF((AG229+AH229)=0,0,100*ABS(AG229-AH229)/(AG229+AH229)))</f>
        <v>0</v>
      </c>
      <c r="AJ229">
        <f>IF(COUNT($AI$216:$AI$229)&lt;14,"",AVERAGE($AI$216:$AI$229))</f>
        <v>0</v>
      </c>
      <c r="AK229">
        <f>IF(COUNT($E$2:$E229)&lt;20,"",AVERAGE($E$210:$E$229))</f>
        <v>0</v>
      </c>
      <c r="AL229">
        <f>IF(COUNT($E$2:$E229)&lt;20,"",STDEVP($E$210:$E$229))</f>
        <v>0</v>
      </c>
      <c r="AM229">
        <f>IF(AK229="","",AK229+2*AL229)</f>
        <v>0</v>
      </c>
      <c r="AN229">
        <f>IF(AK229="","",AK229-2*AL229)</f>
        <v>0</v>
      </c>
      <c r="AO229">
        <f>IF(OR(AM229="",AN229="",AM229=AN229),"",($E229-AN229)/(AM229-AN229))</f>
        <v>0</v>
      </c>
      <c r="AP229">
        <f>IF(OR(AM229="",AK229="",AK229=0),"",(AM229-AN229)/AK229)</f>
        <v>0</v>
      </c>
      <c r="AQ229">
        <f>IF(COUNT($E$2:$E229)&lt;20,"",MAX($C$210:$C$229))</f>
        <v>0</v>
      </c>
      <c r="AR229">
        <f>IF(COUNT($E$2:$E229)&lt;20,"",MIN($D$210:$D$229))</f>
        <v>0</v>
      </c>
      <c r="AS229">
        <f>IF(OR(AQ229="",AR229=""),"",(AQ229+AR229)/2)</f>
        <v>0</v>
      </c>
      <c r="AT229">
        <f>IF(COUNT($G$210:$G$229)&lt;20,"",STDEV($G$210:$G$229)*SQRT(252))</f>
        <v>0</v>
      </c>
      <c r="AU229">
        <f>IF(COUNT($E$2:$E229)&lt;9,"",(MAX($C$221:$C$229)+MIN($D$221:$D$229))/2)</f>
        <v>0</v>
      </c>
      <c r="AV229">
        <f>IF(COUNT($E$2:$E229)&lt;26,"",(MAX($C$204:$C$229)+MIN($D$204:$D$229))/2)</f>
        <v>0</v>
      </c>
      <c r="AW229">
        <f>IF(OR(AU229="",AV229=""),"",(AU229+AV229)/2)</f>
        <v>0</v>
      </c>
      <c r="AX229">
        <f>IF(COUNT($E$2:$E229)&lt;52,"",(MAX($C$178:$C$229)+MIN($D$178:$D$229))/2)</f>
        <v>0</v>
      </c>
      <c r="AY229">
        <f>IF(COUNT($E$2:$E229)&lt;20,"",MAX($C$130:$C$229))</f>
        <v>0</v>
      </c>
      <c r="AZ229">
        <f>IF(COUNT($E$2:$E229)&lt;20,"",MIN($D$130:$D$229))</f>
        <v>0</v>
      </c>
      <c r="BA229">
        <f>IF(COUNT($E$2:$E229)&lt;20,"",SLOPE($E$130:$E$229,$F$130:$F$229))</f>
        <v>0</v>
      </c>
      <c r="BB229">
        <f>IF(COUNT($E$2:$E229)&lt;20,"",INTERCEPT($E$130:$E$229,$F$130:$F$229))</f>
        <v>0</v>
      </c>
      <c r="BC229">
        <f>IF(OR(BA229="",BB229=""),"",BB229+BA229*F229)</f>
        <v>0</v>
      </c>
      <c r="BD229">
        <f>IF(COUNT($E$2:$E229)&lt;20,"",STEYX($E$130:$E$229,$F$130:$F$229))</f>
        <v>0</v>
      </c>
      <c r="BE229">
        <f>IF($E229="","",IF(AND(COUNT($E$230:$E$233)&gt;=4,$C229=MAX($C$225:$C$233)),$C229,""))</f>
        <v>0</v>
      </c>
      <c r="BF229">
        <f>IF($E229="","",IF(AND(COUNT($E$230:$E$233)&gt;=4,$D229=MIN($D$225:$D$233)),$D229,""))</f>
        <v>0</v>
      </c>
      <c r="BG229">
        <f>IF($A229="","",$A229-WEEKDAY($A229,2)+1)</f>
        <v>0</v>
      </c>
      <c r="BH229">
        <f>IF($A229="","",IF($A228="",1,IF(BG229&lt;&gt;BG228,1,0)))</f>
        <v>0</v>
      </c>
      <c r="BI229">
        <f>IF($A229="","",IF($A230="",1,IF(BG230&lt;&gt;BG229,1,0)))</f>
        <v>0</v>
      </c>
      <c r="BJ229">
        <f>IF($A229="","",IF(BH229=1,$B229,BJ228))</f>
        <v>0</v>
      </c>
      <c r="BK229">
        <f>IF($A229="","",IF(BH229=1,$C229,MAX($C229,BK228)))</f>
        <v>0</v>
      </c>
      <c r="BL229">
        <f>IF($A229="","",IF(BH229=1,$D229,MIN($D229,BL228)))</f>
        <v>0</v>
      </c>
      <c r="BM229">
        <f>IF($A229="","",IF(BI229=1,F229,""))</f>
        <v>0</v>
      </c>
      <c r="BN229">
        <f>IF($A229="","",DATE(YEAR($A229),MONTH($A229),1))</f>
        <v>0</v>
      </c>
      <c r="BO229">
        <f>IF($A229="","",IF($A228="",1,IF(BN229&lt;&gt;BN228,1,0)))</f>
        <v>0</v>
      </c>
      <c r="BP229">
        <f>IF($A229="","",IF($A230="",1,IF(BN230&lt;&gt;BN229,1,0)))</f>
        <v>0</v>
      </c>
      <c r="BQ229">
        <f>IF($A229="","",IF(BO229=1,$B229,BQ228))</f>
        <v>0</v>
      </c>
      <c r="BR229">
        <f>IF($A229="","",IF(BO229=1,$C229,MAX($C229,BR228)))</f>
        <v>0</v>
      </c>
      <c r="BS229">
        <f>IF($A229="","",IF(BO229=1,$D229,MIN($D229,BS228)))</f>
        <v>0</v>
      </c>
      <c r="BT229">
        <f>IF($A229="","",IF(BP229=1,F229,""))</f>
        <v>0</v>
      </c>
    </row>
    <row r="230" spans="1:72">
      <c r="A230" s="27">
        <f>IF(Data!$A230="","",Data!$A230)</f>
        <v>0</v>
      </c>
      <c r="B230">
        <f>IF(Data!$B230="","",Data!$B230)</f>
        <v>0</v>
      </c>
      <c r="C230">
        <f>IF(Data!$C230="","",Data!$C230)</f>
        <v>0</v>
      </c>
      <c r="D230">
        <f>IF(Data!$D230="","",Data!$D230)</f>
        <v>0</v>
      </c>
      <c r="E230">
        <f>IF(Data!$E230="","",Data!$E230)</f>
        <v>0</v>
      </c>
      <c r="F230">
        <f>IF($E230="","",N(F229)+1)</f>
        <v>0</v>
      </c>
      <c r="G230">
        <f>IF(OR($E230="",$E229=""),"",LN($E230/$E229))</f>
        <v>0</v>
      </c>
      <c r="H230">
        <f>IF($E230="","",IF($E229="",$E230,$E230*0.0952380952+H229*0.9047619048))</f>
        <v>0</v>
      </c>
      <c r="I230">
        <f>IF($E230="","",IF($E229="",$E230,$E230*0.0392156863+I229*0.9607843137))</f>
        <v>0</v>
      </c>
      <c r="J230">
        <f>IF($E230="","",IF($E229="",$E230,$E230*0.0198019802+J229*0.9801980198))</f>
        <v>0</v>
      </c>
      <c r="K230">
        <f>IF($E230="","",IF($E229="",$E230,$E230*0.0099502488+K229*0.9900497512))</f>
        <v>0</v>
      </c>
      <c r="L230">
        <f>IF(OR($E230="",$E229=""),"",MAX($E230-$E229,0))</f>
        <v>0</v>
      </c>
      <c r="M230">
        <f>IF(OR($E230="",$E229=""),"",MAX($E229-$E230,0))</f>
        <v>0</v>
      </c>
      <c r="N230">
        <f>IF(COUNT($E$2:$E230)&lt;15,"",IF(AVERAGE($M$217:$M$230)=0,100,100-100/(1+AVERAGE($L$217:$L$230)/AVERAGE($M$217:$M$230))))</f>
        <v>0</v>
      </c>
      <c r="O230">
        <f>IF($E230="","",IF($E229="",$E230,$E230*0.1538461538+O229*0.8461538462))</f>
        <v>0</v>
      </c>
      <c r="P230">
        <f>IF($E230="","",IF($E229="",$E230,$E230*0.0740740741+P229*0.9259259259))</f>
        <v>0</v>
      </c>
      <c r="Q230">
        <f>IF(OR(O230="",P230=""),"",O230-P230)</f>
        <v>0</v>
      </c>
      <c r="R230">
        <f>IF(Q230="","",IF(R229="",Q230,Q230*0.2000000000+R229*0.8000000000))</f>
        <v>0</v>
      </c>
      <c r="S230">
        <f>IF(OR(Q230="",R230=""),"",Q230-R230)</f>
        <v>0</v>
      </c>
      <c r="T230">
        <f>IF(COUNT($E$2:$E230)&lt;14,"",MAX($C$217:$C$230))</f>
        <v>0</v>
      </c>
      <c r="U230">
        <f>IF(COUNT($E$2:$E230)&lt;14,"",MIN($D$217:$D$230))</f>
        <v>0</v>
      </c>
      <c r="V230">
        <f>IF(OR(T230="",U230="",T230=U230),"",100*($E230-U230)/(T230-U230))</f>
        <v>0</v>
      </c>
      <c r="W230">
        <f>IF(COUNT($V$228:$V$230)&lt;3,"",AVERAGE($V$228:$V$230))</f>
        <v>0</v>
      </c>
      <c r="X230">
        <f>IF(COUNT($N$217:$N$230)&lt;14,"",MIN($N$217:$N$230))</f>
        <v>0</v>
      </c>
      <c r="Y230">
        <f>IF(COUNT($N$217:$N$230)&lt;14,"",MAX($N$217:$N$230))</f>
        <v>0</v>
      </c>
      <c r="Z230">
        <f>IF(OR(N230="",X230="",Y230="",Y230=X230),"",100*(N230-X230)/(Y230-X230))</f>
        <v>0</v>
      </c>
      <c r="AA230">
        <f>IF(COUNT($Z$228:$Z$230)&lt;3,"",AVERAGE($Z$228:$Z$230))</f>
        <v>0</v>
      </c>
      <c r="AB230">
        <f>IF(COUNT($AA$228:$AA$230)&lt;3,"",AVERAGE($AA$228:$AA$230))</f>
        <v>0</v>
      </c>
      <c r="AC230">
        <f>IF($E230="","",MAX($C230-$D230,ABS($C230-$E229),ABS($D230-$E229)))</f>
        <v>0</v>
      </c>
      <c r="AD230">
        <f>IF(COUNT($E$2:$E230)&lt;15,"",AVERAGE($AC$217:$AC$230))</f>
        <v>0</v>
      </c>
      <c r="AE230">
        <f>IF(OR($E230="",$E229=""),"",IF(AND(($C230-$C229)&gt;($D229-$D230),($C230-$C229)&gt;0),$C230-$C229,0))</f>
        <v>0</v>
      </c>
      <c r="AF230">
        <f>IF(OR($E230="",$E229=""),"",IF(AND(($D229-$D230)&gt;($C230-$C229),($D229-$D230)&gt;0),$D229-$D230,0))</f>
        <v>0</v>
      </c>
      <c r="AG230">
        <f>IF(COUNT($E$2:$E230)&lt;15,"",IF(SUM($AC$217:$AC$230)=0,0,100*SUM($AE$217:$AE$230)/SUM($AC$217:$AC$230)))</f>
        <v>0</v>
      </c>
      <c r="AH230">
        <f>IF(COUNT($E$2:$E230)&lt;15,"",IF(SUM($AC$217:$AC$230)=0,0,100*SUM($AF$217:$AF$230)/SUM($AC$217:$AC$230)))</f>
        <v>0</v>
      </c>
      <c r="AI230">
        <f>IF(OR(AG230="",AH230=""),"",IF((AG230+AH230)=0,0,100*ABS(AG230-AH230)/(AG230+AH230)))</f>
        <v>0</v>
      </c>
      <c r="AJ230">
        <f>IF(COUNT($AI$217:$AI$230)&lt;14,"",AVERAGE($AI$217:$AI$230))</f>
        <v>0</v>
      </c>
      <c r="AK230">
        <f>IF(COUNT($E$2:$E230)&lt;20,"",AVERAGE($E$211:$E$230))</f>
        <v>0</v>
      </c>
      <c r="AL230">
        <f>IF(COUNT($E$2:$E230)&lt;20,"",STDEVP($E$211:$E$230))</f>
        <v>0</v>
      </c>
      <c r="AM230">
        <f>IF(AK230="","",AK230+2*AL230)</f>
        <v>0</v>
      </c>
      <c r="AN230">
        <f>IF(AK230="","",AK230-2*AL230)</f>
        <v>0</v>
      </c>
      <c r="AO230">
        <f>IF(OR(AM230="",AN230="",AM230=AN230),"",($E230-AN230)/(AM230-AN230))</f>
        <v>0</v>
      </c>
      <c r="AP230">
        <f>IF(OR(AM230="",AK230="",AK230=0),"",(AM230-AN230)/AK230)</f>
        <v>0</v>
      </c>
      <c r="AQ230">
        <f>IF(COUNT($E$2:$E230)&lt;20,"",MAX($C$211:$C$230))</f>
        <v>0</v>
      </c>
      <c r="AR230">
        <f>IF(COUNT($E$2:$E230)&lt;20,"",MIN($D$211:$D$230))</f>
        <v>0</v>
      </c>
      <c r="AS230">
        <f>IF(OR(AQ230="",AR230=""),"",(AQ230+AR230)/2)</f>
        <v>0</v>
      </c>
      <c r="AT230">
        <f>IF(COUNT($G$211:$G$230)&lt;20,"",STDEV($G$211:$G$230)*SQRT(252))</f>
        <v>0</v>
      </c>
      <c r="AU230">
        <f>IF(COUNT($E$2:$E230)&lt;9,"",(MAX($C$222:$C$230)+MIN($D$222:$D$230))/2)</f>
        <v>0</v>
      </c>
      <c r="AV230">
        <f>IF(COUNT($E$2:$E230)&lt;26,"",(MAX($C$205:$C$230)+MIN($D$205:$D$230))/2)</f>
        <v>0</v>
      </c>
      <c r="AW230">
        <f>IF(OR(AU230="",AV230=""),"",(AU230+AV230)/2)</f>
        <v>0</v>
      </c>
      <c r="AX230">
        <f>IF(COUNT($E$2:$E230)&lt;52,"",(MAX($C$179:$C$230)+MIN($D$179:$D$230))/2)</f>
        <v>0</v>
      </c>
      <c r="AY230">
        <f>IF(COUNT($E$2:$E230)&lt;20,"",MAX($C$131:$C$230))</f>
        <v>0</v>
      </c>
      <c r="AZ230">
        <f>IF(COUNT($E$2:$E230)&lt;20,"",MIN($D$131:$D$230))</f>
        <v>0</v>
      </c>
      <c r="BA230">
        <f>IF(COUNT($E$2:$E230)&lt;20,"",SLOPE($E$131:$E$230,$F$131:$F$230))</f>
        <v>0</v>
      </c>
      <c r="BB230">
        <f>IF(COUNT($E$2:$E230)&lt;20,"",INTERCEPT($E$131:$E$230,$F$131:$F$230))</f>
        <v>0</v>
      </c>
      <c r="BC230">
        <f>IF(OR(BA230="",BB230=""),"",BB230+BA230*F230)</f>
        <v>0</v>
      </c>
      <c r="BD230">
        <f>IF(COUNT($E$2:$E230)&lt;20,"",STEYX($E$131:$E$230,$F$131:$F$230))</f>
        <v>0</v>
      </c>
      <c r="BE230">
        <f>IF($E230="","",IF(AND(COUNT($E$231:$E$234)&gt;=4,$C230=MAX($C$226:$C$234)),$C230,""))</f>
        <v>0</v>
      </c>
      <c r="BF230">
        <f>IF($E230="","",IF(AND(COUNT($E$231:$E$234)&gt;=4,$D230=MIN($D$226:$D$234)),$D230,""))</f>
        <v>0</v>
      </c>
      <c r="BG230">
        <f>IF($A230="","",$A230-WEEKDAY($A230,2)+1)</f>
        <v>0</v>
      </c>
      <c r="BH230">
        <f>IF($A230="","",IF($A229="",1,IF(BG230&lt;&gt;BG229,1,0)))</f>
        <v>0</v>
      </c>
      <c r="BI230">
        <f>IF($A230="","",IF($A231="",1,IF(BG231&lt;&gt;BG230,1,0)))</f>
        <v>0</v>
      </c>
      <c r="BJ230">
        <f>IF($A230="","",IF(BH230=1,$B230,BJ229))</f>
        <v>0</v>
      </c>
      <c r="BK230">
        <f>IF($A230="","",IF(BH230=1,$C230,MAX($C230,BK229)))</f>
        <v>0</v>
      </c>
      <c r="BL230">
        <f>IF($A230="","",IF(BH230=1,$D230,MIN($D230,BL229)))</f>
        <v>0</v>
      </c>
      <c r="BM230">
        <f>IF($A230="","",IF(BI230=1,F230,""))</f>
        <v>0</v>
      </c>
      <c r="BN230">
        <f>IF($A230="","",DATE(YEAR($A230),MONTH($A230),1))</f>
        <v>0</v>
      </c>
      <c r="BO230">
        <f>IF($A230="","",IF($A229="",1,IF(BN230&lt;&gt;BN229,1,0)))</f>
        <v>0</v>
      </c>
      <c r="BP230">
        <f>IF($A230="","",IF($A231="",1,IF(BN231&lt;&gt;BN230,1,0)))</f>
        <v>0</v>
      </c>
      <c r="BQ230">
        <f>IF($A230="","",IF(BO230=1,$B230,BQ229))</f>
        <v>0</v>
      </c>
      <c r="BR230">
        <f>IF($A230="","",IF(BO230=1,$C230,MAX($C230,BR229)))</f>
        <v>0</v>
      </c>
      <c r="BS230">
        <f>IF($A230="","",IF(BO230=1,$D230,MIN($D230,BS229)))</f>
        <v>0</v>
      </c>
      <c r="BT230">
        <f>IF($A230="","",IF(BP230=1,F230,""))</f>
        <v>0</v>
      </c>
    </row>
    <row r="231" spans="1:72">
      <c r="A231" s="27">
        <f>IF(Data!$A231="","",Data!$A231)</f>
        <v>0</v>
      </c>
      <c r="B231">
        <f>IF(Data!$B231="","",Data!$B231)</f>
        <v>0</v>
      </c>
      <c r="C231">
        <f>IF(Data!$C231="","",Data!$C231)</f>
        <v>0</v>
      </c>
      <c r="D231">
        <f>IF(Data!$D231="","",Data!$D231)</f>
        <v>0</v>
      </c>
      <c r="E231">
        <f>IF(Data!$E231="","",Data!$E231)</f>
        <v>0</v>
      </c>
      <c r="F231">
        <f>IF($E231="","",N(F230)+1)</f>
        <v>0</v>
      </c>
      <c r="G231">
        <f>IF(OR($E231="",$E230=""),"",LN($E231/$E230))</f>
        <v>0</v>
      </c>
      <c r="H231">
        <f>IF($E231="","",IF($E230="",$E231,$E231*0.0952380952+H230*0.9047619048))</f>
        <v>0</v>
      </c>
      <c r="I231">
        <f>IF($E231="","",IF($E230="",$E231,$E231*0.0392156863+I230*0.9607843137))</f>
        <v>0</v>
      </c>
      <c r="J231">
        <f>IF($E231="","",IF($E230="",$E231,$E231*0.0198019802+J230*0.9801980198))</f>
        <v>0</v>
      </c>
      <c r="K231">
        <f>IF($E231="","",IF($E230="",$E231,$E231*0.0099502488+K230*0.9900497512))</f>
        <v>0</v>
      </c>
      <c r="L231">
        <f>IF(OR($E231="",$E230=""),"",MAX($E231-$E230,0))</f>
        <v>0</v>
      </c>
      <c r="M231">
        <f>IF(OR($E231="",$E230=""),"",MAX($E230-$E231,0))</f>
        <v>0</v>
      </c>
      <c r="N231">
        <f>IF(COUNT($E$2:$E231)&lt;15,"",IF(AVERAGE($M$218:$M$231)=0,100,100-100/(1+AVERAGE($L$218:$L$231)/AVERAGE($M$218:$M$231))))</f>
        <v>0</v>
      </c>
      <c r="O231">
        <f>IF($E231="","",IF($E230="",$E231,$E231*0.1538461538+O230*0.8461538462))</f>
        <v>0</v>
      </c>
      <c r="P231">
        <f>IF($E231="","",IF($E230="",$E231,$E231*0.0740740741+P230*0.9259259259))</f>
        <v>0</v>
      </c>
      <c r="Q231">
        <f>IF(OR(O231="",P231=""),"",O231-P231)</f>
        <v>0</v>
      </c>
      <c r="R231">
        <f>IF(Q231="","",IF(R230="",Q231,Q231*0.2000000000+R230*0.8000000000))</f>
        <v>0</v>
      </c>
      <c r="S231">
        <f>IF(OR(Q231="",R231=""),"",Q231-R231)</f>
        <v>0</v>
      </c>
      <c r="T231">
        <f>IF(COUNT($E$2:$E231)&lt;14,"",MAX($C$218:$C$231))</f>
        <v>0</v>
      </c>
      <c r="U231">
        <f>IF(COUNT($E$2:$E231)&lt;14,"",MIN($D$218:$D$231))</f>
        <v>0</v>
      </c>
      <c r="V231">
        <f>IF(OR(T231="",U231="",T231=U231),"",100*($E231-U231)/(T231-U231))</f>
        <v>0</v>
      </c>
      <c r="W231">
        <f>IF(COUNT($V$229:$V$231)&lt;3,"",AVERAGE($V$229:$V$231))</f>
        <v>0</v>
      </c>
      <c r="X231">
        <f>IF(COUNT($N$218:$N$231)&lt;14,"",MIN($N$218:$N$231))</f>
        <v>0</v>
      </c>
      <c r="Y231">
        <f>IF(COUNT($N$218:$N$231)&lt;14,"",MAX($N$218:$N$231))</f>
        <v>0</v>
      </c>
      <c r="Z231">
        <f>IF(OR(N231="",X231="",Y231="",Y231=X231),"",100*(N231-X231)/(Y231-X231))</f>
        <v>0</v>
      </c>
      <c r="AA231">
        <f>IF(COUNT($Z$229:$Z$231)&lt;3,"",AVERAGE($Z$229:$Z$231))</f>
        <v>0</v>
      </c>
      <c r="AB231">
        <f>IF(COUNT($AA$229:$AA$231)&lt;3,"",AVERAGE($AA$229:$AA$231))</f>
        <v>0</v>
      </c>
      <c r="AC231">
        <f>IF($E231="","",MAX($C231-$D231,ABS($C231-$E230),ABS($D231-$E230)))</f>
        <v>0</v>
      </c>
      <c r="AD231">
        <f>IF(COUNT($E$2:$E231)&lt;15,"",AVERAGE($AC$218:$AC$231))</f>
        <v>0</v>
      </c>
      <c r="AE231">
        <f>IF(OR($E231="",$E230=""),"",IF(AND(($C231-$C230)&gt;($D230-$D231),($C231-$C230)&gt;0),$C231-$C230,0))</f>
        <v>0</v>
      </c>
      <c r="AF231">
        <f>IF(OR($E231="",$E230=""),"",IF(AND(($D230-$D231)&gt;($C231-$C230),($D230-$D231)&gt;0),$D230-$D231,0))</f>
        <v>0</v>
      </c>
      <c r="AG231">
        <f>IF(COUNT($E$2:$E231)&lt;15,"",IF(SUM($AC$218:$AC$231)=0,0,100*SUM($AE$218:$AE$231)/SUM($AC$218:$AC$231)))</f>
        <v>0</v>
      </c>
      <c r="AH231">
        <f>IF(COUNT($E$2:$E231)&lt;15,"",IF(SUM($AC$218:$AC$231)=0,0,100*SUM($AF$218:$AF$231)/SUM($AC$218:$AC$231)))</f>
        <v>0</v>
      </c>
      <c r="AI231">
        <f>IF(OR(AG231="",AH231=""),"",IF((AG231+AH231)=0,0,100*ABS(AG231-AH231)/(AG231+AH231)))</f>
        <v>0</v>
      </c>
      <c r="AJ231">
        <f>IF(COUNT($AI$218:$AI$231)&lt;14,"",AVERAGE($AI$218:$AI$231))</f>
        <v>0</v>
      </c>
      <c r="AK231">
        <f>IF(COUNT($E$2:$E231)&lt;20,"",AVERAGE($E$212:$E$231))</f>
        <v>0</v>
      </c>
      <c r="AL231">
        <f>IF(COUNT($E$2:$E231)&lt;20,"",STDEVP($E$212:$E$231))</f>
        <v>0</v>
      </c>
      <c r="AM231">
        <f>IF(AK231="","",AK231+2*AL231)</f>
        <v>0</v>
      </c>
      <c r="AN231">
        <f>IF(AK231="","",AK231-2*AL231)</f>
        <v>0</v>
      </c>
      <c r="AO231">
        <f>IF(OR(AM231="",AN231="",AM231=AN231),"",($E231-AN231)/(AM231-AN231))</f>
        <v>0</v>
      </c>
      <c r="AP231">
        <f>IF(OR(AM231="",AK231="",AK231=0),"",(AM231-AN231)/AK231)</f>
        <v>0</v>
      </c>
      <c r="AQ231">
        <f>IF(COUNT($E$2:$E231)&lt;20,"",MAX($C$212:$C$231))</f>
        <v>0</v>
      </c>
      <c r="AR231">
        <f>IF(COUNT($E$2:$E231)&lt;20,"",MIN($D$212:$D$231))</f>
        <v>0</v>
      </c>
      <c r="AS231">
        <f>IF(OR(AQ231="",AR231=""),"",(AQ231+AR231)/2)</f>
        <v>0</v>
      </c>
      <c r="AT231">
        <f>IF(COUNT($G$212:$G$231)&lt;20,"",STDEV($G$212:$G$231)*SQRT(252))</f>
        <v>0</v>
      </c>
      <c r="AU231">
        <f>IF(COUNT($E$2:$E231)&lt;9,"",(MAX($C$223:$C$231)+MIN($D$223:$D$231))/2)</f>
        <v>0</v>
      </c>
      <c r="AV231">
        <f>IF(COUNT($E$2:$E231)&lt;26,"",(MAX($C$206:$C$231)+MIN($D$206:$D$231))/2)</f>
        <v>0</v>
      </c>
      <c r="AW231">
        <f>IF(OR(AU231="",AV231=""),"",(AU231+AV231)/2)</f>
        <v>0</v>
      </c>
      <c r="AX231">
        <f>IF(COUNT($E$2:$E231)&lt;52,"",(MAX($C$180:$C$231)+MIN($D$180:$D$231))/2)</f>
        <v>0</v>
      </c>
      <c r="AY231">
        <f>IF(COUNT($E$2:$E231)&lt;20,"",MAX($C$132:$C$231))</f>
        <v>0</v>
      </c>
      <c r="AZ231">
        <f>IF(COUNT($E$2:$E231)&lt;20,"",MIN($D$132:$D$231))</f>
        <v>0</v>
      </c>
      <c r="BA231">
        <f>IF(COUNT($E$2:$E231)&lt;20,"",SLOPE($E$132:$E$231,$F$132:$F$231))</f>
        <v>0</v>
      </c>
      <c r="BB231">
        <f>IF(COUNT($E$2:$E231)&lt;20,"",INTERCEPT($E$132:$E$231,$F$132:$F$231))</f>
        <v>0</v>
      </c>
      <c r="BC231">
        <f>IF(OR(BA231="",BB231=""),"",BB231+BA231*F231)</f>
        <v>0</v>
      </c>
      <c r="BD231">
        <f>IF(COUNT($E$2:$E231)&lt;20,"",STEYX($E$132:$E$231,$F$132:$F$231))</f>
        <v>0</v>
      </c>
      <c r="BE231">
        <f>IF($E231="","",IF(AND(COUNT($E$232:$E$235)&gt;=4,$C231=MAX($C$227:$C$235)),$C231,""))</f>
        <v>0</v>
      </c>
      <c r="BF231">
        <f>IF($E231="","",IF(AND(COUNT($E$232:$E$235)&gt;=4,$D231=MIN($D$227:$D$235)),$D231,""))</f>
        <v>0</v>
      </c>
      <c r="BG231">
        <f>IF($A231="","",$A231-WEEKDAY($A231,2)+1)</f>
        <v>0</v>
      </c>
      <c r="BH231">
        <f>IF($A231="","",IF($A230="",1,IF(BG231&lt;&gt;BG230,1,0)))</f>
        <v>0</v>
      </c>
      <c r="BI231">
        <f>IF($A231="","",IF($A232="",1,IF(BG232&lt;&gt;BG231,1,0)))</f>
        <v>0</v>
      </c>
      <c r="BJ231">
        <f>IF($A231="","",IF(BH231=1,$B231,BJ230))</f>
        <v>0</v>
      </c>
      <c r="BK231">
        <f>IF($A231="","",IF(BH231=1,$C231,MAX($C231,BK230)))</f>
        <v>0</v>
      </c>
      <c r="BL231">
        <f>IF($A231="","",IF(BH231=1,$D231,MIN($D231,BL230)))</f>
        <v>0</v>
      </c>
      <c r="BM231">
        <f>IF($A231="","",IF(BI231=1,F231,""))</f>
        <v>0</v>
      </c>
      <c r="BN231">
        <f>IF($A231="","",DATE(YEAR($A231),MONTH($A231),1))</f>
        <v>0</v>
      </c>
      <c r="BO231">
        <f>IF($A231="","",IF($A230="",1,IF(BN231&lt;&gt;BN230,1,0)))</f>
        <v>0</v>
      </c>
      <c r="BP231">
        <f>IF($A231="","",IF($A232="",1,IF(BN232&lt;&gt;BN231,1,0)))</f>
        <v>0</v>
      </c>
      <c r="BQ231">
        <f>IF($A231="","",IF(BO231=1,$B231,BQ230))</f>
        <v>0</v>
      </c>
      <c r="BR231">
        <f>IF($A231="","",IF(BO231=1,$C231,MAX($C231,BR230)))</f>
        <v>0</v>
      </c>
      <c r="BS231">
        <f>IF($A231="","",IF(BO231=1,$D231,MIN($D231,BS230)))</f>
        <v>0</v>
      </c>
      <c r="BT231">
        <f>IF($A231="","",IF(BP231=1,F231,""))</f>
        <v>0</v>
      </c>
    </row>
    <row r="232" spans="1:72">
      <c r="A232" s="27">
        <f>IF(Data!$A232="","",Data!$A232)</f>
        <v>0</v>
      </c>
      <c r="B232">
        <f>IF(Data!$B232="","",Data!$B232)</f>
        <v>0</v>
      </c>
      <c r="C232">
        <f>IF(Data!$C232="","",Data!$C232)</f>
        <v>0</v>
      </c>
      <c r="D232">
        <f>IF(Data!$D232="","",Data!$D232)</f>
        <v>0</v>
      </c>
      <c r="E232">
        <f>IF(Data!$E232="","",Data!$E232)</f>
        <v>0</v>
      </c>
      <c r="F232">
        <f>IF($E232="","",N(F231)+1)</f>
        <v>0</v>
      </c>
      <c r="G232">
        <f>IF(OR($E232="",$E231=""),"",LN($E232/$E231))</f>
        <v>0</v>
      </c>
      <c r="H232">
        <f>IF($E232="","",IF($E231="",$E232,$E232*0.0952380952+H231*0.9047619048))</f>
        <v>0</v>
      </c>
      <c r="I232">
        <f>IF($E232="","",IF($E231="",$E232,$E232*0.0392156863+I231*0.9607843137))</f>
        <v>0</v>
      </c>
      <c r="J232">
        <f>IF($E232="","",IF($E231="",$E232,$E232*0.0198019802+J231*0.9801980198))</f>
        <v>0</v>
      </c>
      <c r="K232">
        <f>IF($E232="","",IF($E231="",$E232,$E232*0.0099502488+K231*0.9900497512))</f>
        <v>0</v>
      </c>
      <c r="L232">
        <f>IF(OR($E232="",$E231=""),"",MAX($E232-$E231,0))</f>
        <v>0</v>
      </c>
      <c r="M232">
        <f>IF(OR($E232="",$E231=""),"",MAX($E231-$E232,0))</f>
        <v>0</v>
      </c>
      <c r="N232">
        <f>IF(COUNT($E$2:$E232)&lt;15,"",IF(AVERAGE($M$219:$M$232)=0,100,100-100/(1+AVERAGE($L$219:$L$232)/AVERAGE($M$219:$M$232))))</f>
        <v>0</v>
      </c>
      <c r="O232">
        <f>IF($E232="","",IF($E231="",$E232,$E232*0.1538461538+O231*0.8461538462))</f>
        <v>0</v>
      </c>
      <c r="P232">
        <f>IF($E232="","",IF($E231="",$E232,$E232*0.0740740741+P231*0.9259259259))</f>
        <v>0</v>
      </c>
      <c r="Q232">
        <f>IF(OR(O232="",P232=""),"",O232-P232)</f>
        <v>0</v>
      </c>
      <c r="R232">
        <f>IF(Q232="","",IF(R231="",Q232,Q232*0.2000000000+R231*0.8000000000))</f>
        <v>0</v>
      </c>
      <c r="S232">
        <f>IF(OR(Q232="",R232=""),"",Q232-R232)</f>
        <v>0</v>
      </c>
      <c r="T232">
        <f>IF(COUNT($E$2:$E232)&lt;14,"",MAX($C$219:$C$232))</f>
        <v>0</v>
      </c>
      <c r="U232">
        <f>IF(COUNT($E$2:$E232)&lt;14,"",MIN($D$219:$D$232))</f>
        <v>0</v>
      </c>
      <c r="V232">
        <f>IF(OR(T232="",U232="",T232=U232),"",100*($E232-U232)/(T232-U232))</f>
        <v>0</v>
      </c>
      <c r="W232">
        <f>IF(COUNT($V$230:$V$232)&lt;3,"",AVERAGE($V$230:$V$232))</f>
        <v>0</v>
      </c>
      <c r="X232">
        <f>IF(COUNT($N$219:$N$232)&lt;14,"",MIN($N$219:$N$232))</f>
        <v>0</v>
      </c>
      <c r="Y232">
        <f>IF(COUNT($N$219:$N$232)&lt;14,"",MAX($N$219:$N$232))</f>
        <v>0</v>
      </c>
      <c r="Z232">
        <f>IF(OR(N232="",X232="",Y232="",Y232=X232),"",100*(N232-X232)/(Y232-X232))</f>
        <v>0</v>
      </c>
      <c r="AA232">
        <f>IF(COUNT($Z$230:$Z$232)&lt;3,"",AVERAGE($Z$230:$Z$232))</f>
        <v>0</v>
      </c>
      <c r="AB232">
        <f>IF(COUNT($AA$230:$AA$232)&lt;3,"",AVERAGE($AA$230:$AA$232))</f>
        <v>0</v>
      </c>
      <c r="AC232">
        <f>IF($E232="","",MAX($C232-$D232,ABS($C232-$E231),ABS($D232-$E231)))</f>
        <v>0</v>
      </c>
      <c r="AD232">
        <f>IF(COUNT($E$2:$E232)&lt;15,"",AVERAGE($AC$219:$AC$232))</f>
        <v>0</v>
      </c>
      <c r="AE232">
        <f>IF(OR($E232="",$E231=""),"",IF(AND(($C232-$C231)&gt;($D231-$D232),($C232-$C231)&gt;0),$C232-$C231,0))</f>
        <v>0</v>
      </c>
      <c r="AF232">
        <f>IF(OR($E232="",$E231=""),"",IF(AND(($D231-$D232)&gt;($C232-$C231),($D231-$D232)&gt;0),$D231-$D232,0))</f>
        <v>0</v>
      </c>
      <c r="AG232">
        <f>IF(COUNT($E$2:$E232)&lt;15,"",IF(SUM($AC$219:$AC$232)=0,0,100*SUM($AE$219:$AE$232)/SUM($AC$219:$AC$232)))</f>
        <v>0</v>
      </c>
      <c r="AH232">
        <f>IF(COUNT($E$2:$E232)&lt;15,"",IF(SUM($AC$219:$AC$232)=0,0,100*SUM($AF$219:$AF$232)/SUM($AC$219:$AC$232)))</f>
        <v>0</v>
      </c>
      <c r="AI232">
        <f>IF(OR(AG232="",AH232=""),"",IF((AG232+AH232)=0,0,100*ABS(AG232-AH232)/(AG232+AH232)))</f>
        <v>0</v>
      </c>
      <c r="AJ232">
        <f>IF(COUNT($AI$219:$AI$232)&lt;14,"",AVERAGE($AI$219:$AI$232))</f>
        <v>0</v>
      </c>
      <c r="AK232">
        <f>IF(COUNT($E$2:$E232)&lt;20,"",AVERAGE($E$213:$E$232))</f>
        <v>0</v>
      </c>
      <c r="AL232">
        <f>IF(COUNT($E$2:$E232)&lt;20,"",STDEVP($E$213:$E$232))</f>
        <v>0</v>
      </c>
      <c r="AM232">
        <f>IF(AK232="","",AK232+2*AL232)</f>
        <v>0</v>
      </c>
      <c r="AN232">
        <f>IF(AK232="","",AK232-2*AL232)</f>
        <v>0</v>
      </c>
      <c r="AO232">
        <f>IF(OR(AM232="",AN232="",AM232=AN232),"",($E232-AN232)/(AM232-AN232))</f>
        <v>0</v>
      </c>
      <c r="AP232">
        <f>IF(OR(AM232="",AK232="",AK232=0),"",(AM232-AN232)/AK232)</f>
        <v>0</v>
      </c>
      <c r="AQ232">
        <f>IF(COUNT($E$2:$E232)&lt;20,"",MAX($C$213:$C$232))</f>
        <v>0</v>
      </c>
      <c r="AR232">
        <f>IF(COUNT($E$2:$E232)&lt;20,"",MIN($D$213:$D$232))</f>
        <v>0</v>
      </c>
      <c r="AS232">
        <f>IF(OR(AQ232="",AR232=""),"",(AQ232+AR232)/2)</f>
        <v>0</v>
      </c>
      <c r="AT232">
        <f>IF(COUNT($G$213:$G$232)&lt;20,"",STDEV($G$213:$G$232)*SQRT(252))</f>
        <v>0</v>
      </c>
      <c r="AU232">
        <f>IF(COUNT($E$2:$E232)&lt;9,"",(MAX($C$224:$C$232)+MIN($D$224:$D$232))/2)</f>
        <v>0</v>
      </c>
      <c r="AV232">
        <f>IF(COUNT($E$2:$E232)&lt;26,"",(MAX($C$207:$C$232)+MIN($D$207:$D$232))/2)</f>
        <v>0</v>
      </c>
      <c r="AW232">
        <f>IF(OR(AU232="",AV232=""),"",(AU232+AV232)/2)</f>
        <v>0</v>
      </c>
      <c r="AX232">
        <f>IF(COUNT($E$2:$E232)&lt;52,"",(MAX($C$181:$C$232)+MIN($D$181:$D$232))/2)</f>
        <v>0</v>
      </c>
      <c r="AY232">
        <f>IF(COUNT($E$2:$E232)&lt;20,"",MAX($C$133:$C$232))</f>
        <v>0</v>
      </c>
      <c r="AZ232">
        <f>IF(COUNT($E$2:$E232)&lt;20,"",MIN($D$133:$D$232))</f>
        <v>0</v>
      </c>
      <c r="BA232">
        <f>IF(COUNT($E$2:$E232)&lt;20,"",SLOPE($E$133:$E$232,$F$133:$F$232))</f>
        <v>0</v>
      </c>
      <c r="BB232">
        <f>IF(COUNT($E$2:$E232)&lt;20,"",INTERCEPT($E$133:$E$232,$F$133:$F$232))</f>
        <v>0</v>
      </c>
      <c r="BC232">
        <f>IF(OR(BA232="",BB232=""),"",BB232+BA232*F232)</f>
        <v>0</v>
      </c>
      <c r="BD232">
        <f>IF(COUNT($E$2:$E232)&lt;20,"",STEYX($E$133:$E$232,$F$133:$F$232))</f>
        <v>0</v>
      </c>
      <c r="BE232">
        <f>IF($E232="","",IF(AND(COUNT($E$233:$E$236)&gt;=4,$C232=MAX($C$228:$C$236)),$C232,""))</f>
        <v>0</v>
      </c>
      <c r="BF232">
        <f>IF($E232="","",IF(AND(COUNT($E$233:$E$236)&gt;=4,$D232=MIN($D$228:$D$236)),$D232,""))</f>
        <v>0</v>
      </c>
      <c r="BG232">
        <f>IF($A232="","",$A232-WEEKDAY($A232,2)+1)</f>
        <v>0</v>
      </c>
      <c r="BH232">
        <f>IF($A232="","",IF($A231="",1,IF(BG232&lt;&gt;BG231,1,0)))</f>
        <v>0</v>
      </c>
      <c r="BI232">
        <f>IF($A232="","",IF($A233="",1,IF(BG233&lt;&gt;BG232,1,0)))</f>
        <v>0</v>
      </c>
      <c r="BJ232">
        <f>IF($A232="","",IF(BH232=1,$B232,BJ231))</f>
        <v>0</v>
      </c>
      <c r="BK232">
        <f>IF($A232="","",IF(BH232=1,$C232,MAX($C232,BK231)))</f>
        <v>0</v>
      </c>
      <c r="BL232">
        <f>IF($A232="","",IF(BH232=1,$D232,MIN($D232,BL231)))</f>
        <v>0</v>
      </c>
      <c r="BM232">
        <f>IF($A232="","",IF(BI232=1,F232,""))</f>
        <v>0</v>
      </c>
      <c r="BN232">
        <f>IF($A232="","",DATE(YEAR($A232),MONTH($A232),1))</f>
        <v>0</v>
      </c>
      <c r="BO232">
        <f>IF($A232="","",IF($A231="",1,IF(BN232&lt;&gt;BN231,1,0)))</f>
        <v>0</v>
      </c>
      <c r="BP232">
        <f>IF($A232="","",IF($A233="",1,IF(BN233&lt;&gt;BN232,1,0)))</f>
        <v>0</v>
      </c>
      <c r="BQ232">
        <f>IF($A232="","",IF(BO232=1,$B232,BQ231))</f>
        <v>0</v>
      </c>
      <c r="BR232">
        <f>IF($A232="","",IF(BO232=1,$C232,MAX($C232,BR231)))</f>
        <v>0</v>
      </c>
      <c r="BS232">
        <f>IF($A232="","",IF(BO232=1,$D232,MIN($D232,BS231)))</f>
        <v>0</v>
      </c>
      <c r="BT232">
        <f>IF($A232="","",IF(BP232=1,F232,""))</f>
        <v>0</v>
      </c>
    </row>
    <row r="233" spans="1:72">
      <c r="A233" s="27">
        <f>IF(Data!$A233="","",Data!$A233)</f>
        <v>0</v>
      </c>
      <c r="B233">
        <f>IF(Data!$B233="","",Data!$B233)</f>
        <v>0</v>
      </c>
      <c r="C233">
        <f>IF(Data!$C233="","",Data!$C233)</f>
        <v>0</v>
      </c>
      <c r="D233">
        <f>IF(Data!$D233="","",Data!$D233)</f>
        <v>0</v>
      </c>
      <c r="E233">
        <f>IF(Data!$E233="","",Data!$E233)</f>
        <v>0</v>
      </c>
      <c r="F233">
        <f>IF($E233="","",N(F232)+1)</f>
        <v>0</v>
      </c>
      <c r="G233">
        <f>IF(OR($E233="",$E232=""),"",LN($E233/$E232))</f>
        <v>0</v>
      </c>
      <c r="H233">
        <f>IF($E233="","",IF($E232="",$E233,$E233*0.0952380952+H232*0.9047619048))</f>
        <v>0</v>
      </c>
      <c r="I233">
        <f>IF($E233="","",IF($E232="",$E233,$E233*0.0392156863+I232*0.9607843137))</f>
        <v>0</v>
      </c>
      <c r="J233">
        <f>IF($E233="","",IF($E232="",$E233,$E233*0.0198019802+J232*0.9801980198))</f>
        <v>0</v>
      </c>
      <c r="K233">
        <f>IF($E233="","",IF($E232="",$E233,$E233*0.0099502488+K232*0.9900497512))</f>
        <v>0</v>
      </c>
      <c r="L233">
        <f>IF(OR($E233="",$E232=""),"",MAX($E233-$E232,0))</f>
        <v>0</v>
      </c>
      <c r="M233">
        <f>IF(OR($E233="",$E232=""),"",MAX($E232-$E233,0))</f>
        <v>0</v>
      </c>
      <c r="N233">
        <f>IF(COUNT($E$2:$E233)&lt;15,"",IF(AVERAGE($M$220:$M$233)=0,100,100-100/(1+AVERAGE($L$220:$L$233)/AVERAGE($M$220:$M$233))))</f>
        <v>0</v>
      </c>
      <c r="O233">
        <f>IF($E233="","",IF($E232="",$E233,$E233*0.1538461538+O232*0.8461538462))</f>
        <v>0</v>
      </c>
      <c r="P233">
        <f>IF($E233="","",IF($E232="",$E233,$E233*0.0740740741+P232*0.9259259259))</f>
        <v>0</v>
      </c>
      <c r="Q233">
        <f>IF(OR(O233="",P233=""),"",O233-P233)</f>
        <v>0</v>
      </c>
      <c r="R233">
        <f>IF(Q233="","",IF(R232="",Q233,Q233*0.2000000000+R232*0.8000000000))</f>
        <v>0</v>
      </c>
      <c r="S233">
        <f>IF(OR(Q233="",R233=""),"",Q233-R233)</f>
        <v>0</v>
      </c>
      <c r="T233">
        <f>IF(COUNT($E$2:$E233)&lt;14,"",MAX($C$220:$C$233))</f>
        <v>0</v>
      </c>
      <c r="U233">
        <f>IF(COUNT($E$2:$E233)&lt;14,"",MIN($D$220:$D$233))</f>
        <v>0</v>
      </c>
      <c r="V233">
        <f>IF(OR(T233="",U233="",T233=U233),"",100*($E233-U233)/(T233-U233))</f>
        <v>0</v>
      </c>
      <c r="W233">
        <f>IF(COUNT($V$231:$V$233)&lt;3,"",AVERAGE($V$231:$V$233))</f>
        <v>0</v>
      </c>
      <c r="X233">
        <f>IF(COUNT($N$220:$N$233)&lt;14,"",MIN($N$220:$N$233))</f>
        <v>0</v>
      </c>
      <c r="Y233">
        <f>IF(COUNT($N$220:$N$233)&lt;14,"",MAX($N$220:$N$233))</f>
        <v>0</v>
      </c>
      <c r="Z233">
        <f>IF(OR(N233="",X233="",Y233="",Y233=X233),"",100*(N233-X233)/(Y233-X233))</f>
        <v>0</v>
      </c>
      <c r="AA233">
        <f>IF(COUNT($Z$231:$Z$233)&lt;3,"",AVERAGE($Z$231:$Z$233))</f>
        <v>0</v>
      </c>
      <c r="AB233">
        <f>IF(COUNT($AA$231:$AA$233)&lt;3,"",AVERAGE($AA$231:$AA$233))</f>
        <v>0</v>
      </c>
      <c r="AC233">
        <f>IF($E233="","",MAX($C233-$D233,ABS($C233-$E232),ABS($D233-$E232)))</f>
        <v>0</v>
      </c>
      <c r="AD233">
        <f>IF(COUNT($E$2:$E233)&lt;15,"",AVERAGE($AC$220:$AC$233))</f>
        <v>0</v>
      </c>
      <c r="AE233">
        <f>IF(OR($E233="",$E232=""),"",IF(AND(($C233-$C232)&gt;($D232-$D233),($C233-$C232)&gt;0),$C233-$C232,0))</f>
        <v>0</v>
      </c>
      <c r="AF233">
        <f>IF(OR($E233="",$E232=""),"",IF(AND(($D232-$D233)&gt;($C233-$C232),($D232-$D233)&gt;0),$D232-$D233,0))</f>
        <v>0</v>
      </c>
      <c r="AG233">
        <f>IF(COUNT($E$2:$E233)&lt;15,"",IF(SUM($AC$220:$AC$233)=0,0,100*SUM($AE$220:$AE$233)/SUM($AC$220:$AC$233)))</f>
        <v>0</v>
      </c>
      <c r="AH233">
        <f>IF(COUNT($E$2:$E233)&lt;15,"",IF(SUM($AC$220:$AC$233)=0,0,100*SUM($AF$220:$AF$233)/SUM($AC$220:$AC$233)))</f>
        <v>0</v>
      </c>
      <c r="AI233">
        <f>IF(OR(AG233="",AH233=""),"",IF((AG233+AH233)=0,0,100*ABS(AG233-AH233)/(AG233+AH233)))</f>
        <v>0</v>
      </c>
      <c r="AJ233">
        <f>IF(COUNT($AI$220:$AI$233)&lt;14,"",AVERAGE($AI$220:$AI$233))</f>
        <v>0</v>
      </c>
      <c r="AK233">
        <f>IF(COUNT($E$2:$E233)&lt;20,"",AVERAGE($E$214:$E$233))</f>
        <v>0</v>
      </c>
      <c r="AL233">
        <f>IF(COUNT($E$2:$E233)&lt;20,"",STDEVP($E$214:$E$233))</f>
        <v>0</v>
      </c>
      <c r="AM233">
        <f>IF(AK233="","",AK233+2*AL233)</f>
        <v>0</v>
      </c>
      <c r="AN233">
        <f>IF(AK233="","",AK233-2*AL233)</f>
        <v>0</v>
      </c>
      <c r="AO233">
        <f>IF(OR(AM233="",AN233="",AM233=AN233),"",($E233-AN233)/(AM233-AN233))</f>
        <v>0</v>
      </c>
      <c r="AP233">
        <f>IF(OR(AM233="",AK233="",AK233=0),"",(AM233-AN233)/AK233)</f>
        <v>0</v>
      </c>
      <c r="AQ233">
        <f>IF(COUNT($E$2:$E233)&lt;20,"",MAX($C$214:$C$233))</f>
        <v>0</v>
      </c>
      <c r="AR233">
        <f>IF(COUNT($E$2:$E233)&lt;20,"",MIN($D$214:$D$233))</f>
        <v>0</v>
      </c>
      <c r="AS233">
        <f>IF(OR(AQ233="",AR233=""),"",(AQ233+AR233)/2)</f>
        <v>0</v>
      </c>
      <c r="AT233">
        <f>IF(COUNT($G$214:$G$233)&lt;20,"",STDEV($G$214:$G$233)*SQRT(252))</f>
        <v>0</v>
      </c>
      <c r="AU233">
        <f>IF(COUNT($E$2:$E233)&lt;9,"",(MAX($C$225:$C$233)+MIN($D$225:$D$233))/2)</f>
        <v>0</v>
      </c>
      <c r="AV233">
        <f>IF(COUNT($E$2:$E233)&lt;26,"",(MAX($C$208:$C$233)+MIN($D$208:$D$233))/2)</f>
        <v>0</v>
      </c>
      <c r="AW233">
        <f>IF(OR(AU233="",AV233=""),"",(AU233+AV233)/2)</f>
        <v>0</v>
      </c>
      <c r="AX233">
        <f>IF(COUNT($E$2:$E233)&lt;52,"",(MAX($C$182:$C$233)+MIN($D$182:$D$233))/2)</f>
        <v>0</v>
      </c>
      <c r="AY233">
        <f>IF(COUNT($E$2:$E233)&lt;20,"",MAX($C$134:$C$233))</f>
        <v>0</v>
      </c>
      <c r="AZ233">
        <f>IF(COUNT($E$2:$E233)&lt;20,"",MIN($D$134:$D$233))</f>
        <v>0</v>
      </c>
      <c r="BA233">
        <f>IF(COUNT($E$2:$E233)&lt;20,"",SLOPE($E$134:$E$233,$F$134:$F$233))</f>
        <v>0</v>
      </c>
      <c r="BB233">
        <f>IF(COUNT($E$2:$E233)&lt;20,"",INTERCEPT($E$134:$E$233,$F$134:$F$233))</f>
        <v>0</v>
      </c>
      <c r="BC233">
        <f>IF(OR(BA233="",BB233=""),"",BB233+BA233*F233)</f>
        <v>0</v>
      </c>
      <c r="BD233">
        <f>IF(COUNT($E$2:$E233)&lt;20,"",STEYX($E$134:$E$233,$F$134:$F$233))</f>
        <v>0</v>
      </c>
      <c r="BE233">
        <f>IF($E233="","",IF(AND(COUNT($E$234:$E$237)&gt;=4,$C233=MAX($C$229:$C$237)),$C233,""))</f>
        <v>0</v>
      </c>
      <c r="BF233">
        <f>IF($E233="","",IF(AND(COUNT($E$234:$E$237)&gt;=4,$D233=MIN($D$229:$D$237)),$D233,""))</f>
        <v>0</v>
      </c>
      <c r="BG233">
        <f>IF($A233="","",$A233-WEEKDAY($A233,2)+1)</f>
        <v>0</v>
      </c>
      <c r="BH233">
        <f>IF($A233="","",IF($A232="",1,IF(BG233&lt;&gt;BG232,1,0)))</f>
        <v>0</v>
      </c>
      <c r="BI233">
        <f>IF($A233="","",IF($A234="",1,IF(BG234&lt;&gt;BG233,1,0)))</f>
        <v>0</v>
      </c>
      <c r="BJ233">
        <f>IF($A233="","",IF(BH233=1,$B233,BJ232))</f>
        <v>0</v>
      </c>
      <c r="BK233">
        <f>IF($A233="","",IF(BH233=1,$C233,MAX($C233,BK232)))</f>
        <v>0</v>
      </c>
      <c r="BL233">
        <f>IF($A233="","",IF(BH233=1,$D233,MIN($D233,BL232)))</f>
        <v>0</v>
      </c>
      <c r="BM233">
        <f>IF($A233="","",IF(BI233=1,F233,""))</f>
        <v>0</v>
      </c>
      <c r="BN233">
        <f>IF($A233="","",DATE(YEAR($A233),MONTH($A233),1))</f>
        <v>0</v>
      </c>
      <c r="BO233">
        <f>IF($A233="","",IF($A232="",1,IF(BN233&lt;&gt;BN232,1,0)))</f>
        <v>0</v>
      </c>
      <c r="BP233">
        <f>IF($A233="","",IF($A234="",1,IF(BN234&lt;&gt;BN233,1,0)))</f>
        <v>0</v>
      </c>
      <c r="BQ233">
        <f>IF($A233="","",IF(BO233=1,$B233,BQ232))</f>
        <v>0</v>
      </c>
      <c r="BR233">
        <f>IF($A233="","",IF(BO233=1,$C233,MAX($C233,BR232)))</f>
        <v>0</v>
      </c>
      <c r="BS233">
        <f>IF($A233="","",IF(BO233=1,$D233,MIN($D233,BS232)))</f>
        <v>0</v>
      </c>
      <c r="BT233">
        <f>IF($A233="","",IF(BP233=1,F233,""))</f>
        <v>0</v>
      </c>
    </row>
    <row r="234" spans="1:72">
      <c r="A234" s="27">
        <f>IF(Data!$A234="","",Data!$A234)</f>
        <v>0</v>
      </c>
      <c r="B234">
        <f>IF(Data!$B234="","",Data!$B234)</f>
        <v>0</v>
      </c>
      <c r="C234">
        <f>IF(Data!$C234="","",Data!$C234)</f>
        <v>0</v>
      </c>
      <c r="D234">
        <f>IF(Data!$D234="","",Data!$D234)</f>
        <v>0</v>
      </c>
      <c r="E234">
        <f>IF(Data!$E234="","",Data!$E234)</f>
        <v>0</v>
      </c>
      <c r="F234">
        <f>IF($E234="","",N(F233)+1)</f>
        <v>0</v>
      </c>
      <c r="G234">
        <f>IF(OR($E234="",$E233=""),"",LN($E234/$E233))</f>
        <v>0</v>
      </c>
      <c r="H234">
        <f>IF($E234="","",IF($E233="",$E234,$E234*0.0952380952+H233*0.9047619048))</f>
        <v>0</v>
      </c>
      <c r="I234">
        <f>IF($E234="","",IF($E233="",$E234,$E234*0.0392156863+I233*0.9607843137))</f>
        <v>0</v>
      </c>
      <c r="J234">
        <f>IF($E234="","",IF($E233="",$E234,$E234*0.0198019802+J233*0.9801980198))</f>
        <v>0</v>
      </c>
      <c r="K234">
        <f>IF($E234="","",IF($E233="",$E234,$E234*0.0099502488+K233*0.9900497512))</f>
        <v>0</v>
      </c>
      <c r="L234">
        <f>IF(OR($E234="",$E233=""),"",MAX($E234-$E233,0))</f>
        <v>0</v>
      </c>
      <c r="M234">
        <f>IF(OR($E234="",$E233=""),"",MAX($E233-$E234,0))</f>
        <v>0</v>
      </c>
      <c r="N234">
        <f>IF(COUNT($E$2:$E234)&lt;15,"",IF(AVERAGE($M$221:$M$234)=0,100,100-100/(1+AVERAGE($L$221:$L$234)/AVERAGE($M$221:$M$234))))</f>
        <v>0</v>
      </c>
      <c r="O234">
        <f>IF($E234="","",IF($E233="",$E234,$E234*0.1538461538+O233*0.8461538462))</f>
        <v>0</v>
      </c>
      <c r="P234">
        <f>IF($E234="","",IF($E233="",$E234,$E234*0.0740740741+P233*0.9259259259))</f>
        <v>0</v>
      </c>
      <c r="Q234">
        <f>IF(OR(O234="",P234=""),"",O234-P234)</f>
        <v>0</v>
      </c>
      <c r="R234">
        <f>IF(Q234="","",IF(R233="",Q234,Q234*0.2000000000+R233*0.8000000000))</f>
        <v>0</v>
      </c>
      <c r="S234">
        <f>IF(OR(Q234="",R234=""),"",Q234-R234)</f>
        <v>0</v>
      </c>
      <c r="T234">
        <f>IF(COUNT($E$2:$E234)&lt;14,"",MAX($C$221:$C$234))</f>
        <v>0</v>
      </c>
      <c r="U234">
        <f>IF(COUNT($E$2:$E234)&lt;14,"",MIN($D$221:$D$234))</f>
        <v>0</v>
      </c>
      <c r="V234">
        <f>IF(OR(T234="",U234="",T234=U234),"",100*($E234-U234)/(T234-U234))</f>
        <v>0</v>
      </c>
      <c r="W234">
        <f>IF(COUNT($V$232:$V$234)&lt;3,"",AVERAGE($V$232:$V$234))</f>
        <v>0</v>
      </c>
      <c r="X234">
        <f>IF(COUNT($N$221:$N$234)&lt;14,"",MIN($N$221:$N$234))</f>
        <v>0</v>
      </c>
      <c r="Y234">
        <f>IF(COUNT($N$221:$N$234)&lt;14,"",MAX($N$221:$N$234))</f>
        <v>0</v>
      </c>
      <c r="Z234">
        <f>IF(OR(N234="",X234="",Y234="",Y234=X234),"",100*(N234-X234)/(Y234-X234))</f>
        <v>0</v>
      </c>
      <c r="AA234">
        <f>IF(COUNT($Z$232:$Z$234)&lt;3,"",AVERAGE($Z$232:$Z$234))</f>
        <v>0</v>
      </c>
      <c r="AB234">
        <f>IF(COUNT($AA$232:$AA$234)&lt;3,"",AVERAGE($AA$232:$AA$234))</f>
        <v>0</v>
      </c>
      <c r="AC234">
        <f>IF($E234="","",MAX($C234-$D234,ABS($C234-$E233),ABS($D234-$E233)))</f>
        <v>0</v>
      </c>
      <c r="AD234">
        <f>IF(COUNT($E$2:$E234)&lt;15,"",AVERAGE($AC$221:$AC$234))</f>
        <v>0</v>
      </c>
      <c r="AE234">
        <f>IF(OR($E234="",$E233=""),"",IF(AND(($C234-$C233)&gt;($D233-$D234),($C234-$C233)&gt;0),$C234-$C233,0))</f>
        <v>0</v>
      </c>
      <c r="AF234">
        <f>IF(OR($E234="",$E233=""),"",IF(AND(($D233-$D234)&gt;($C234-$C233),($D233-$D234)&gt;0),$D233-$D234,0))</f>
        <v>0</v>
      </c>
      <c r="AG234">
        <f>IF(COUNT($E$2:$E234)&lt;15,"",IF(SUM($AC$221:$AC$234)=0,0,100*SUM($AE$221:$AE$234)/SUM($AC$221:$AC$234)))</f>
        <v>0</v>
      </c>
      <c r="AH234">
        <f>IF(COUNT($E$2:$E234)&lt;15,"",IF(SUM($AC$221:$AC$234)=0,0,100*SUM($AF$221:$AF$234)/SUM($AC$221:$AC$234)))</f>
        <v>0</v>
      </c>
      <c r="AI234">
        <f>IF(OR(AG234="",AH234=""),"",IF((AG234+AH234)=0,0,100*ABS(AG234-AH234)/(AG234+AH234)))</f>
        <v>0</v>
      </c>
      <c r="AJ234">
        <f>IF(COUNT($AI$221:$AI$234)&lt;14,"",AVERAGE($AI$221:$AI$234))</f>
        <v>0</v>
      </c>
      <c r="AK234">
        <f>IF(COUNT($E$2:$E234)&lt;20,"",AVERAGE($E$215:$E$234))</f>
        <v>0</v>
      </c>
      <c r="AL234">
        <f>IF(COUNT($E$2:$E234)&lt;20,"",STDEVP($E$215:$E$234))</f>
        <v>0</v>
      </c>
      <c r="AM234">
        <f>IF(AK234="","",AK234+2*AL234)</f>
        <v>0</v>
      </c>
      <c r="AN234">
        <f>IF(AK234="","",AK234-2*AL234)</f>
        <v>0</v>
      </c>
      <c r="AO234">
        <f>IF(OR(AM234="",AN234="",AM234=AN234),"",($E234-AN234)/(AM234-AN234))</f>
        <v>0</v>
      </c>
      <c r="AP234">
        <f>IF(OR(AM234="",AK234="",AK234=0),"",(AM234-AN234)/AK234)</f>
        <v>0</v>
      </c>
      <c r="AQ234">
        <f>IF(COUNT($E$2:$E234)&lt;20,"",MAX($C$215:$C$234))</f>
        <v>0</v>
      </c>
      <c r="AR234">
        <f>IF(COUNT($E$2:$E234)&lt;20,"",MIN($D$215:$D$234))</f>
        <v>0</v>
      </c>
      <c r="AS234">
        <f>IF(OR(AQ234="",AR234=""),"",(AQ234+AR234)/2)</f>
        <v>0</v>
      </c>
      <c r="AT234">
        <f>IF(COUNT($G$215:$G$234)&lt;20,"",STDEV($G$215:$G$234)*SQRT(252))</f>
        <v>0</v>
      </c>
      <c r="AU234">
        <f>IF(COUNT($E$2:$E234)&lt;9,"",(MAX($C$226:$C$234)+MIN($D$226:$D$234))/2)</f>
        <v>0</v>
      </c>
      <c r="AV234">
        <f>IF(COUNT($E$2:$E234)&lt;26,"",(MAX($C$209:$C$234)+MIN($D$209:$D$234))/2)</f>
        <v>0</v>
      </c>
      <c r="AW234">
        <f>IF(OR(AU234="",AV234=""),"",(AU234+AV234)/2)</f>
        <v>0</v>
      </c>
      <c r="AX234">
        <f>IF(COUNT($E$2:$E234)&lt;52,"",(MAX($C$183:$C$234)+MIN($D$183:$D$234))/2)</f>
        <v>0</v>
      </c>
      <c r="AY234">
        <f>IF(COUNT($E$2:$E234)&lt;20,"",MAX($C$135:$C$234))</f>
        <v>0</v>
      </c>
      <c r="AZ234">
        <f>IF(COUNT($E$2:$E234)&lt;20,"",MIN($D$135:$D$234))</f>
        <v>0</v>
      </c>
      <c r="BA234">
        <f>IF(COUNT($E$2:$E234)&lt;20,"",SLOPE($E$135:$E$234,$F$135:$F$234))</f>
        <v>0</v>
      </c>
      <c r="BB234">
        <f>IF(COUNT($E$2:$E234)&lt;20,"",INTERCEPT($E$135:$E$234,$F$135:$F$234))</f>
        <v>0</v>
      </c>
      <c r="BC234">
        <f>IF(OR(BA234="",BB234=""),"",BB234+BA234*F234)</f>
        <v>0</v>
      </c>
      <c r="BD234">
        <f>IF(COUNT($E$2:$E234)&lt;20,"",STEYX($E$135:$E$234,$F$135:$F$234))</f>
        <v>0</v>
      </c>
      <c r="BE234">
        <f>IF($E234="","",IF(AND(COUNT($E$235:$E$238)&gt;=4,$C234=MAX($C$230:$C$238)),$C234,""))</f>
        <v>0</v>
      </c>
      <c r="BF234">
        <f>IF($E234="","",IF(AND(COUNT($E$235:$E$238)&gt;=4,$D234=MIN($D$230:$D$238)),$D234,""))</f>
        <v>0</v>
      </c>
      <c r="BG234">
        <f>IF($A234="","",$A234-WEEKDAY($A234,2)+1)</f>
        <v>0</v>
      </c>
      <c r="BH234">
        <f>IF($A234="","",IF($A233="",1,IF(BG234&lt;&gt;BG233,1,0)))</f>
        <v>0</v>
      </c>
      <c r="BI234">
        <f>IF($A234="","",IF($A235="",1,IF(BG235&lt;&gt;BG234,1,0)))</f>
        <v>0</v>
      </c>
      <c r="BJ234">
        <f>IF($A234="","",IF(BH234=1,$B234,BJ233))</f>
        <v>0</v>
      </c>
      <c r="BK234">
        <f>IF($A234="","",IF(BH234=1,$C234,MAX($C234,BK233)))</f>
        <v>0</v>
      </c>
      <c r="BL234">
        <f>IF($A234="","",IF(BH234=1,$D234,MIN($D234,BL233)))</f>
        <v>0</v>
      </c>
      <c r="BM234">
        <f>IF($A234="","",IF(BI234=1,F234,""))</f>
        <v>0</v>
      </c>
      <c r="BN234">
        <f>IF($A234="","",DATE(YEAR($A234),MONTH($A234),1))</f>
        <v>0</v>
      </c>
      <c r="BO234">
        <f>IF($A234="","",IF($A233="",1,IF(BN234&lt;&gt;BN233,1,0)))</f>
        <v>0</v>
      </c>
      <c r="BP234">
        <f>IF($A234="","",IF($A235="",1,IF(BN235&lt;&gt;BN234,1,0)))</f>
        <v>0</v>
      </c>
      <c r="BQ234">
        <f>IF($A234="","",IF(BO234=1,$B234,BQ233))</f>
        <v>0</v>
      </c>
      <c r="BR234">
        <f>IF($A234="","",IF(BO234=1,$C234,MAX($C234,BR233)))</f>
        <v>0</v>
      </c>
      <c r="BS234">
        <f>IF($A234="","",IF(BO234=1,$D234,MIN($D234,BS233)))</f>
        <v>0</v>
      </c>
      <c r="BT234">
        <f>IF($A234="","",IF(BP234=1,F234,""))</f>
        <v>0</v>
      </c>
    </row>
    <row r="235" spans="1:72">
      <c r="A235" s="27">
        <f>IF(Data!$A235="","",Data!$A235)</f>
        <v>0</v>
      </c>
      <c r="B235">
        <f>IF(Data!$B235="","",Data!$B235)</f>
        <v>0</v>
      </c>
      <c r="C235">
        <f>IF(Data!$C235="","",Data!$C235)</f>
        <v>0</v>
      </c>
      <c r="D235">
        <f>IF(Data!$D235="","",Data!$D235)</f>
        <v>0</v>
      </c>
      <c r="E235">
        <f>IF(Data!$E235="","",Data!$E235)</f>
        <v>0</v>
      </c>
      <c r="F235">
        <f>IF($E235="","",N(F234)+1)</f>
        <v>0</v>
      </c>
      <c r="G235">
        <f>IF(OR($E235="",$E234=""),"",LN($E235/$E234))</f>
        <v>0</v>
      </c>
      <c r="H235">
        <f>IF($E235="","",IF($E234="",$E235,$E235*0.0952380952+H234*0.9047619048))</f>
        <v>0</v>
      </c>
      <c r="I235">
        <f>IF($E235="","",IF($E234="",$E235,$E235*0.0392156863+I234*0.9607843137))</f>
        <v>0</v>
      </c>
      <c r="J235">
        <f>IF($E235="","",IF($E234="",$E235,$E235*0.0198019802+J234*0.9801980198))</f>
        <v>0</v>
      </c>
      <c r="K235">
        <f>IF($E235="","",IF($E234="",$E235,$E235*0.0099502488+K234*0.9900497512))</f>
        <v>0</v>
      </c>
      <c r="L235">
        <f>IF(OR($E235="",$E234=""),"",MAX($E235-$E234,0))</f>
        <v>0</v>
      </c>
      <c r="M235">
        <f>IF(OR($E235="",$E234=""),"",MAX($E234-$E235,0))</f>
        <v>0</v>
      </c>
      <c r="N235">
        <f>IF(COUNT($E$2:$E235)&lt;15,"",IF(AVERAGE($M$222:$M$235)=0,100,100-100/(1+AVERAGE($L$222:$L$235)/AVERAGE($M$222:$M$235))))</f>
        <v>0</v>
      </c>
      <c r="O235">
        <f>IF($E235="","",IF($E234="",$E235,$E235*0.1538461538+O234*0.8461538462))</f>
        <v>0</v>
      </c>
      <c r="P235">
        <f>IF($E235="","",IF($E234="",$E235,$E235*0.0740740741+P234*0.9259259259))</f>
        <v>0</v>
      </c>
      <c r="Q235">
        <f>IF(OR(O235="",P235=""),"",O235-P235)</f>
        <v>0</v>
      </c>
      <c r="R235">
        <f>IF(Q235="","",IF(R234="",Q235,Q235*0.2000000000+R234*0.8000000000))</f>
        <v>0</v>
      </c>
      <c r="S235">
        <f>IF(OR(Q235="",R235=""),"",Q235-R235)</f>
        <v>0</v>
      </c>
      <c r="T235">
        <f>IF(COUNT($E$2:$E235)&lt;14,"",MAX($C$222:$C$235))</f>
        <v>0</v>
      </c>
      <c r="U235">
        <f>IF(COUNT($E$2:$E235)&lt;14,"",MIN($D$222:$D$235))</f>
        <v>0</v>
      </c>
      <c r="V235">
        <f>IF(OR(T235="",U235="",T235=U235),"",100*($E235-U235)/(T235-U235))</f>
        <v>0</v>
      </c>
      <c r="W235">
        <f>IF(COUNT($V$233:$V$235)&lt;3,"",AVERAGE($V$233:$V$235))</f>
        <v>0</v>
      </c>
      <c r="X235">
        <f>IF(COUNT($N$222:$N$235)&lt;14,"",MIN($N$222:$N$235))</f>
        <v>0</v>
      </c>
      <c r="Y235">
        <f>IF(COUNT($N$222:$N$235)&lt;14,"",MAX($N$222:$N$235))</f>
        <v>0</v>
      </c>
      <c r="Z235">
        <f>IF(OR(N235="",X235="",Y235="",Y235=X235),"",100*(N235-X235)/(Y235-X235))</f>
        <v>0</v>
      </c>
      <c r="AA235">
        <f>IF(COUNT($Z$233:$Z$235)&lt;3,"",AVERAGE($Z$233:$Z$235))</f>
        <v>0</v>
      </c>
      <c r="AB235">
        <f>IF(COUNT($AA$233:$AA$235)&lt;3,"",AVERAGE($AA$233:$AA$235))</f>
        <v>0</v>
      </c>
      <c r="AC235">
        <f>IF($E235="","",MAX($C235-$D235,ABS($C235-$E234),ABS($D235-$E234)))</f>
        <v>0</v>
      </c>
      <c r="AD235">
        <f>IF(COUNT($E$2:$E235)&lt;15,"",AVERAGE($AC$222:$AC$235))</f>
        <v>0</v>
      </c>
      <c r="AE235">
        <f>IF(OR($E235="",$E234=""),"",IF(AND(($C235-$C234)&gt;($D234-$D235),($C235-$C234)&gt;0),$C235-$C234,0))</f>
        <v>0</v>
      </c>
      <c r="AF235">
        <f>IF(OR($E235="",$E234=""),"",IF(AND(($D234-$D235)&gt;($C235-$C234),($D234-$D235)&gt;0),$D234-$D235,0))</f>
        <v>0</v>
      </c>
      <c r="AG235">
        <f>IF(COUNT($E$2:$E235)&lt;15,"",IF(SUM($AC$222:$AC$235)=0,0,100*SUM($AE$222:$AE$235)/SUM($AC$222:$AC$235)))</f>
        <v>0</v>
      </c>
      <c r="AH235">
        <f>IF(COUNT($E$2:$E235)&lt;15,"",IF(SUM($AC$222:$AC$235)=0,0,100*SUM($AF$222:$AF$235)/SUM($AC$222:$AC$235)))</f>
        <v>0</v>
      </c>
      <c r="AI235">
        <f>IF(OR(AG235="",AH235=""),"",IF((AG235+AH235)=0,0,100*ABS(AG235-AH235)/(AG235+AH235)))</f>
        <v>0</v>
      </c>
      <c r="AJ235">
        <f>IF(COUNT($AI$222:$AI$235)&lt;14,"",AVERAGE($AI$222:$AI$235))</f>
        <v>0</v>
      </c>
      <c r="AK235">
        <f>IF(COUNT($E$2:$E235)&lt;20,"",AVERAGE($E$216:$E$235))</f>
        <v>0</v>
      </c>
      <c r="AL235">
        <f>IF(COUNT($E$2:$E235)&lt;20,"",STDEVP($E$216:$E$235))</f>
        <v>0</v>
      </c>
      <c r="AM235">
        <f>IF(AK235="","",AK235+2*AL235)</f>
        <v>0</v>
      </c>
      <c r="AN235">
        <f>IF(AK235="","",AK235-2*AL235)</f>
        <v>0</v>
      </c>
      <c r="AO235">
        <f>IF(OR(AM235="",AN235="",AM235=AN235),"",($E235-AN235)/(AM235-AN235))</f>
        <v>0</v>
      </c>
      <c r="AP235">
        <f>IF(OR(AM235="",AK235="",AK235=0),"",(AM235-AN235)/AK235)</f>
        <v>0</v>
      </c>
      <c r="AQ235">
        <f>IF(COUNT($E$2:$E235)&lt;20,"",MAX($C$216:$C$235))</f>
        <v>0</v>
      </c>
      <c r="AR235">
        <f>IF(COUNT($E$2:$E235)&lt;20,"",MIN($D$216:$D$235))</f>
        <v>0</v>
      </c>
      <c r="AS235">
        <f>IF(OR(AQ235="",AR235=""),"",(AQ235+AR235)/2)</f>
        <v>0</v>
      </c>
      <c r="AT235">
        <f>IF(COUNT($G$216:$G$235)&lt;20,"",STDEV($G$216:$G$235)*SQRT(252))</f>
        <v>0</v>
      </c>
      <c r="AU235">
        <f>IF(COUNT($E$2:$E235)&lt;9,"",(MAX($C$227:$C$235)+MIN($D$227:$D$235))/2)</f>
        <v>0</v>
      </c>
      <c r="AV235">
        <f>IF(COUNT($E$2:$E235)&lt;26,"",(MAX($C$210:$C$235)+MIN($D$210:$D$235))/2)</f>
        <v>0</v>
      </c>
      <c r="AW235">
        <f>IF(OR(AU235="",AV235=""),"",(AU235+AV235)/2)</f>
        <v>0</v>
      </c>
      <c r="AX235">
        <f>IF(COUNT($E$2:$E235)&lt;52,"",(MAX($C$184:$C$235)+MIN($D$184:$D$235))/2)</f>
        <v>0</v>
      </c>
      <c r="AY235">
        <f>IF(COUNT($E$2:$E235)&lt;20,"",MAX($C$136:$C$235))</f>
        <v>0</v>
      </c>
      <c r="AZ235">
        <f>IF(COUNT($E$2:$E235)&lt;20,"",MIN($D$136:$D$235))</f>
        <v>0</v>
      </c>
      <c r="BA235">
        <f>IF(COUNT($E$2:$E235)&lt;20,"",SLOPE($E$136:$E$235,$F$136:$F$235))</f>
        <v>0</v>
      </c>
      <c r="BB235">
        <f>IF(COUNT($E$2:$E235)&lt;20,"",INTERCEPT($E$136:$E$235,$F$136:$F$235))</f>
        <v>0</v>
      </c>
      <c r="BC235">
        <f>IF(OR(BA235="",BB235=""),"",BB235+BA235*F235)</f>
        <v>0</v>
      </c>
      <c r="BD235">
        <f>IF(COUNT($E$2:$E235)&lt;20,"",STEYX($E$136:$E$235,$F$136:$F$235))</f>
        <v>0</v>
      </c>
      <c r="BE235">
        <f>IF($E235="","",IF(AND(COUNT($E$236:$E$239)&gt;=4,$C235=MAX($C$231:$C$239)),$C235,""))</f>
        <v>0</v>
      </c>
      <c r="BF235">
        <f>IF($E235="","",IF(AND(COUNT($E$236:$E$239)&gt;=4,$D235=MIN($D$231:$D$239)),$D235,""))</f>
        <v>0</v>
      </c>
      <c r="BG235">
        <f>IF($A235="","",$A235-WEEKDAY($A235,2)+1)</f>
        <v>0</v>
      </c>
      <c r="BH235">
        <f>IF($A235="","",IF($A234="",1,IF(BG235&lt;&gt;BG234,1,0)))</f>
        <v>0</v>
      </c>
      <c r="BI235">
        <f>IF($A235="","",IF($A236="",1,IF(BG236&lt;&gt;BG235,1,0)))</f>
        <v>0</v>
      </c>
      <c r="BJ235">
        <f>IF($A235="","",IF(BH235=1,$B235,BJ234))</f>
        <v>0</v>
      </c>
      <c r="BK235">
        <f>IF($A235="","",IF(BH235=1,$C235,MAX($C235,BK234)))</f>
        <v>0</v>
      </c>
      <c r="BL235">
        <f>IF($A235="","",IF(BH235=1,$D235,MIN($D235,BL234)))</f>
        <v>0</v>
      </c>
      <c r="BM235">
        <f>IF($A235="","",IF(BI235=1,F235,""))</f>
        <v>0</v>
      </c>
      <c r="BN235">
        <f>IF($A235="","",DATE(YEAR($A235),MONTH($A235),1))</f>
        <v>0</v>
      </c>
      <c r="BO235">
        <f>IF($A235="","",IF($A234="",1,IF(BN235&lt;&gt;BN234,1,0)))</f>
        <v>0</v>
      </c>
      <c r="BP235">
        <f>IF($A235="","",IF($A236="",1,IF(BN236&lt;&gt;BN235,1,0)))</f>
        <v>0</v>
      </c>
      <c r="BQ235">
        <f>IF($A235="","",IF(BO235=1,$B235,BQ234))</f>
        <v>0</v>
      </c>
      <c r="BR235">
        <f>IF($A235="","",IF(BO235=1,$C235,MAX($C235,BR234)))</f>
        <v>0</v>
      </c>
      <c r="BS235">
        <f>IF($A235="","",IF(BO235=1,$D235,MIN($D235,BS234)))</f>
        <v>0</v>
      </c>
      <c r="BT235">
        <f>IF($A235="","",IF(BP235=1,F235,""))</f>
        <v>0</v>
      </c>
    </row>
    <row r="236" spans="1:72">
      <c r="A236" s="27">
        <f>IF(Data!$A236="","",Data!$A236)</f>
        <v>0</v>
      </c>
      <c r="B236">
        <f>IF(Data!$B236="","",Data!$B236)</f>
        <v>0</v>
      </c>
      <c r="C236">
        <f>IF(Data!$C236="","",Data!$C236)</f>
        <v>0</v>
      </c>
      <c r="D236">
        <f>IF(Data!$D236="","",Data!$D236)</f>
        <v>0</v>
      </c>
      <c r="E236">
        <f>IF(Data!$E236="","",Data!$E236)</f>
        <v>0</v>
      </c>
      <c r="F236">
        <f>IF($E236="","",N(F235)+1)</f>
        <v>0</v>
      </c>
      <c r="G236">
        <f>IF(OR($E236="",$E235=""),"",LN($E236/$E235))</f>
        <v>0</v>
      </c>
      <c r="H236">
        <f>IF($E236="","",IF($E235="",$E236,$E236*0.0952380952+H235*0.9047619048))</f>
        <v>0</v>
      </c>
      <c r="I236">
        <f>IF($E236="","",IF($E235="",$E236,$E236*0.0392156863+I235*0.9607843137))</f>
        <v>0</v>
      </c>
      <c r="J236">
        <f>IF($E236="","",IF($E235="",$E236,$E236*0.0198019802+J235*0.9801980198))</f>
        <v>0</v>
      </c>
      <c r="K236">
        <f>IF($E236="","",IF($E235="",$E236,$E236*0.0099502488+K235*0.9900497512))</f>
        <v>0</v>
      </c>
      <c r="L236">
        <f>IF(OR($E236="",$E235=""),"",MAX($E236-$E235,0))</f>
        <v>0</v>
      </c>
      <c r="M236">
        <f>IF(OR($E236="",$E235=""),"",MAX($E235-$E236,0))</f>
        <v>0</v>
      </c>
      <c r="N236">
        <f>IF(COUNT($E$2:$E236)&lt;15,"",IF(AVERAGE($M$223:$M$236)=0,100,100-100/(1+AVERAGE($L$223:$L$236)/AVERAGE($M$223:$M$236))))</f>
        <v>0</v>
      </c>
      <c r="O236">
        <f>IF($E236="","",IF($E235="",$E236,$E236*0.1538461538+O235*0.8461538462))</f>
        <v>0</v>
      </c>
      <c r="P236">
        <f>IF($E236="","",IF($E235="",$E236,$E236*0.0740740741+P235*0.9259259259))</f>
        <v>0</v>
      </c>
      <c r="Q236">
        <f>IF(OR(O236="",P236=""),"",O236-P236)</f>
        <v>0</v>
      </c>
      <c r="R236">
        <f>IF(Q236="","",IF(R235="",Q236,Q236*0.2000000000+R235*0.8000000000))</f>
        <v>0</v>
      </c>
      <c r="S236">
        <f>IF(OR(Q236="",R236=""),"",Q236-R236)</f>
        <v>0</v>
      </c>
      <c r="T236">
        <f>IF(COUNT($E$2:$E236)&lt;14,"",MAX($C$223:$C$236))</f>
        <v>0</v>
      </c>
      <c r="U236">
        <f>IF(COUNT($E$2:$E236)&lt;14,"",MIN($D$223:$D$236))</f>
        <v>0</v>
      </c>
      <c r="V236">
        <f>IF(OR(T236="",U236="",T236=U236),"",100*($E236-U236)/(T236-U236))</f>
        <v>0</v>
      </c>
      <c r="W236">
        <f>IF(COUNT($V$234:$V$236)&lt;3,"",AVERAGE($V$234:$V$236))</f>
        <v>0</v>
      </c>
      <c r="X236">
        <f>IF(COUNT($N$223:$N$236)&lt;14,"",MIN($N$223:$N$236))</f>
        <v>0</v>
      </c>
      <c r="Y236">
        <f>IF(COUNT($N$223:$N$236)&lt;14,"",MAX($N$223:$N$236))</f>
        <v>0</v>
      </c>
      <c r="Z236">
        <f>IF(OR(N236="",X236="",Y236="",Y236=X236),"",100*(N236-X236)/(Y236-X236))</f>
        <v>0</v>
      </c>
      <c r="AA236">
        <f>IF(COUNT($Z$234:$Z$236)&lt;3,"",AVERAGE($Z$234:$Z$236))</f>
        <v>0</v>
      </c>
      <c r="AB236">
        <f>IF(COUNT($AA$234:$AA$236)&lt;3,"",AVERAGE($AA$234:$AA$236))</f>
        <v>0</v>
      </c>
      <c r="AC236">
        <f>IF($E236="","",MAX($C236-$D236,ABS($C236-$E235),ABS($D236-$E235)))</f>
        <v>0</v>
      </c>
      <c r="AD236">
        <f>IF(COUNT($E$2:$E236)&lt;15,"",AVERAGE($AC$223:$AC$236))</f>
        <v>0</v>
      </c>
      <c r="AE236">
        <f>IF(OR($E236="",$E235=""),"",IF(AND(($C236-$C235)&gt;($D235-$D236),($C236-$C235)&gt;0),$C236-$C235,0))</f>
        <v>0</v>
      </c>
      <c r="AF236">
        <f>IF(OR($E236="",$E235=""),"",IF(AND(($D235-$D236)&gt;($C236-$C235),($D235-$D236)&gt;0),$D235-$D236,0))</f>
        <v>0</v>
      </c>
      <c r="AG236">
        <f>IF(COUNT($E$2:$E236)&lt;15,"",IF(SUM($AC$223:$AC$236)=0,0,100*SUM($AE$223:$AE$236)/SUM($AC$223:$AC$236)))</f>
        <v>0</v>
      </c>
      <c r="AH236">
        <f>IF(COUNT($E$2:$E236)&lt;15,"",IF(SUM($AC$223:$AC$236)=0,0,100*SUM($AF$223:$AF$236)/SUM($AC$223:$AC$236)))</f>
        <v>0</v>
      </c>
      <c r="AI236">
        <f>IF(OR(AG236="",AH236=""),"",IF((AG236+AH236)=0,0,100*ABS(AG236-AH236)/(AG236+AH236)))</f>
        <v>0</v>
      </c>
      <c r="AJ236">
        <f>IF(COUNT($AI$223:$AI$236)&lt;14,"",AVERAGE($AI$223:$AI$236))</f>
        <v>0</v>
      </c>
      <c r="AK236">
        <f>IF(COUNT($E$2:$E236)&lt;20,"",AVERAGE($E$217:$E$236))</f>
        <v>0</v>
      </c>
      <c r="AL236">
        <f>IF(COUNT($E$2:$E236)&lt;20,"",STDEVP($E$217:$E$236))</f>
        <v>0</v>
      </c>
      <c r="AM236">
        <f>IF(AK236="","",AK236+2*AL236)</f>
        <v>0</v>
      </c>
      <c r="AN236">
        <f>IF(AK236="","",AK236-2*AL236)</f>
        <v>0</v>
      </c>
      <c r="AO236">
        <f>IF(OR(AM236="",AN236="",AM236=AN236),"",($E236-AN236)/(AM236-AN236))</f>
        <v>0</v>
      </c>
      <c r="AP236">
        <f>IF(OR(AM236="",AK236="",AK236=0),"",(AM236-AN236)/AK236)</f>
        <v>0</v>
      </c>
      <c r="AQ236">
        <f>IF(COUNT($E$2:$E236)&lt;20,"",MAX($C$217:$C$236))</f>
        <v>0</v>
      </c>
      <c r="AR236">
        <f>IF(COUNT($E$2:$E236)&lt;20,"",MIN($D$217:$D$236))</f>
        <v>0</v>
      </c>
      <c r="AS236">
        <f>IF(OR(AQ236="",AR236=""),"",(AQ236+AR236)/2)</f>
        <v>0</v>
      </c>
      <c r="AT236">
        <f>IF(COUNT($G$217:$G$236)&lt;20,"",STDEV($G$217:$G$236)*SQRT(252))</f>
        <v>0</v>
      </c>
      <c r="AU236">
        <f>IF(COUNT($E$2:$E236)&lt;9,"",(MAX($C$228:$C$236)+MIN($D$228:$D$236))/2)</f>
        <v>0</v>
      </c>
      <c r="AV236">
        <f>IF(COUNT($E$2:$E236)&lt;26,"",(MAX($C$211:$C$236)+MIN($D$211:$D$236))/2)</f>
        <v>0</v>
      </c>
      <c r="AW236">
        <f>IF(OR(AU236="",AV236=""),"",(AU236+AV236)/2)</f>
        <v>0</v>
      </c>
      <c r="AX236">
        <f>IF(COUNT($E$2:$E236)&lt;52,"",(MAX($C$185:$C$236)+MIN($D$185:$D$236))/2)</f>
        <v>0</v>
      </c>
      <c r="AY236">
        <f>IF(COUNT($E$2:$E236)&lt;20,"",MAX($C$137:$C$236))</f>
        <v>0</v>
      </c>
      <c r="AZ236">
        <f>IF(COUNT($E$2:$E236)&lt;20,"",MIN($D$137:$D$236))</f>
        <v>0</v>
      </c>
      <c r="BA236">
        <f>IF(COUNT($E$2:$E236)&lt;20,"",SLOPE($E$137:$E$236,$F$137:$F$236))</f>
        <v>0</v>
      </c>
      <c r="BB236">
        <f>IF(COUNT($E$2:$E236)&lt;20,"",INTERCEPT($E$137:$E$236,$F$137:$F$236))</f>
        <v>0</v>
      </c>
      <c r="BC236">
        <f>IF(OR(BA236="",BB236=""),"",BB236+BA236*F236)</f>
        <v>0</v>
      </c>
      <c r="BD236">
        <f>IF(COUNT($E$2:$E236)&lt;20,"",STEYX($E$137:$E$236,$F$137:$F$236))</f>
        <v>0</v>
      </c>
      <c r="BE236">
        <f>IF($E236="","",IF(AND(COUNT($E$237:$E$240)&gt;=4,$C236=MAX($C$232:$C$240)),$C236,""))</f>
        <v>0</v>
      </c>
      <c r="BF236">
        <f>IF($E236="","",IF(AND(COUNT($E$237:$E$240)&gt;=4,$D236=MIN($D$232:$D$240)),$D236,""))</f>
        <v>0</v>
      </c>
      <c r="BG236">
        <f>IF($A236="","",$A236-WEEKDAY($A236,2)+1)</f>
        <v>0</v>
      </c>
      <c r="BH236">
        <f>IF($A236="","",IF($A235="",1,IF(BG236&lt;&gt;BG235,1,0)))</f>
        <v>0</v>
      </c>
      <c r="BI236">
        <f>IF($A236="","",IF($A237="",1,IF(BG237&lt;&gt;BG236,1,0)))</f>
        <v>0</v>
      </c>
      <c r="BJ236">
        <f>IF($A236="","",IF(BH236=1,$B236,BJ235))</f>
        <v>0</v>
      </c>
      <c r="BK236">
        <f>IF($A236="","",IF(BH236=1,$C236,MAX($C236,BK235)))</f>
        <v>0</v>
      </c>
      <c r="BL236">
        <f>IF($A236="","",IF(BH236=1,$D236,MIN($D236,BL235)))</f>
        <v>0</v>
      </c>
      <c r="BM236">
        <f>IF($A236="","",IF(BI236=1,F236,""))</f>
        <v>0</v>
      </c>
      <c r="BN236">
        <f>IF($A236="","",DATE(YEAR($A236),MONTH($A236),1))</f>
        <v>0</v>
      </c>
      <c r="BO236">
        <f>IF($A236="","",IF($A235="",1,IF(BN236&lt;&gt;BN235,1,0)))</f>
        <v>0</v>
      </c>
      <c r="BP236">
        <f>IF($A236="","",IF($A237="",1,IF(BN237&lt;&gt;BN236,1,0)))</f>
        <v>0</v>
      </c>
      <c r="BQ236">
        <f>IF($A236="","",IF(BO236=1,$B236,BQ235))</f>
        <v>0</v>
      </c>
      <c r="BR236">
        <f>IF($A236="","",IF(BO236=1,$C236,MAX($C236,BR235)))</f>
        <v>0</v>
      </c>
      <c r="BS236">
        <f>IF($A236="","",IF(BO236=1,$D236,MIN($D236,BS235)))</f>
        <v>0</v>
      </c>
      <c r="BT236">
        <f>IF($A236="","",IF(BP236=1,F236,""))</f>
        <v>0</v>
      </c>
    </row>
    <row r="237" spans="1:72">
      <c r="A237" s="27">
        <f>IF(Data!$A237="","",Data!$A237)</f>
        <v>0</v>
      </c>
      <c r="B237">
        <f>IF(Data!$B237="","",Data!$B237)</f>
        <v>0</v>
      </c>
      <c r="C237">
        <f>IF(Data!$C237="","",Data!$C237)</f>
        <v>0</v>
      </c>
      <c r="D237">
        <f>IF(Data!$D237="","",Data!$D237)</f>
        <v>0</v>
      </c>
      <c r="E237">
        <f>IF(Data!$E237="","",Data!$E237)</f>
        <v>0</v>
      </c>
      <c r="F237">
        <f>IF($E237="","",N(F236)+1)</f>
        <v>0</v>
      </c>
      <c r="G237">
        <f>IF(OR($E237="",$E236=""),"",LN($E237/$E236))</f>
        <v>0</v>
      </c>
      <c r="H237">
        <f>IF($E237="","",IF($E236="",$E237,$E237*0.0952380952+H236*0.9047619048))</f>
        <v>0</v>
      </c>
      <c r="I237">
        <f>IF($E237="","",IF($E236="",$E237,$E237*0.0392156863+I236*0.9607843137))</f>
        <v>0</v>
      </c>
      <c r="J237">
        <f>IF($E237="","",IF($E236="",$E237,$E237*0.0198019802+J236*0.9801980198))</f>
        <v>0</v>
      </c>
      <c r="K237">
        <f>IF($E237="","",IF($E236="",$E237,$E237*0.0099502488+K236*0.9900497512))</f>
        <v>0</v>
      </c>
      <c r="L237">
        <f>IF(OR($E237="",$E236=""),"",MAX($E237-$E236,0))</f>
        <v>0</v>
      </c>
      <c r="M237">
        <f>IF(OR($E237="",$E236=""),"",MAX($E236-$E237,0))</f>
        <v>0</v>
      </c>
      <c r="N237">
        <f>IF(COUNT($E$2:$E237)&lt;15,"",IF(AVERAGE($M$224:$M$237)=0,100,100-100/(1+AVERAGE($L$224:$L$237)/AVERAGE($M$224:$M$237))))</f>
        <v>0</v>
      </c>
      <c r="O237">
        <f>IF($E237="","",IF($E236="",$E237,$E237*0.1538461538+O236*0.8461538462))</f>
        <v>0</v>
      </c>
      <c r="P237">
        <f>IF($E237="","",IF($E236="",$E237,$E237*0.0740740741+P236*0.9259259259))</f>
        <v>0</v>
      </c>
      <c r="Q237">
        <f>IF(OR(O237="",P237=""),"",O237-P237)</f>
        <v>0</v>
      </c>
      <c r="R237">
        <f>IF(Q237="","",IF(R236="",Q237,Q237*0.2000000000+R236*0.8000000000))</f>
        <v>0</v>
      </c>
      <c r="S237">
        <f>IF(OR(Q237="",R237=""),"",Q237-R237)</f>
        <v>0</v>
      </c>
      <c r="T237">
        <f>IF(COUNT($E$2:$E237)&lt;14,"",MAX($C$224:$C$237))</f>
        <v>0</v>
      </c>
      <c r="U237">
        <f>IF(COUNT($E$2:$E237)&lt;14,"",MIN($D$224:$D$237))</f>
        <v>0</v>
      </c>
      <c r="V237">
        <f>IF(OR(T237="",U237="",T237=U237),"",100*($E237-U237)/(T237-U237))</f>
        <v>0</v>
      </c>
      <c r="W237">
        <f>IF(COUNT($V$235:$V$237)&lt;3,"",AVERAGE($V$235:$V$237))</f>
        <v>0</v>
      </c>
      <c r="X237">
        <f>IF(COUNT($N$224:$N$237)&lt;14,"",MIN($N$224:$N$237))</f>
        <v>0</v>
      </c>
      <c r="Y237">
        <f>IF(COUNT($N$224:$N$237)&lt;14,"",MAX($N$224:$N$237))</f>
        <v>0</v>
      </c>
      <c r="Z237">
        <f>IF(OR(N237="",X237="",Y237="",Y237=X237),"",100*(N237-X237)/(Y237-X237))</f>
        <v>0</v>
      </c>
      <c r="AA237">
        <f>IF(COUNT($Z$235:$Z$237)&lt;3,"",AVERAGE($Z$235:$Z$237))</f>
        <v>0</v>
      </c>
      <c r="AB237">
        <f>IF(COUNT($AA$235:$AA$237)&lt;3,"",AVERAGE($AA$235:$AA$237))</f>
        <v>0</v>
      </c>
      <c r="AC237">
        <f>IF($E237="","",MAX($C237-$D237,ABS($C237-$E236),ABS($D237-$E236)))</f>
        <v>0</v>
      </c>
      <c r="AD237">
        <f>IF(COUNT($E$2:$E237)&lt;15,"",AVERAGE($AC$224:$AC$237))</f>
        <v>0</v>
      </c>
      <c r="AE237">
        <f>IF(OR($E237="",$E236=""),"",IF(AND(($C237-$C236)&gt;($D236-$D237),($C237-$C236)&gt;0),$C237-$C236,0))</f>
        <v>0</v>
      </c>
      <c r="AF237">
        <f>IF(OR($E237="",$E236=""),"",IF(AND(($D236-$D237)&gt;($C237-$C236),($D236-$D237)&gt;0),$D236-$D237,0))</f>
        <v>0</v>
      </c>
      <c r="AG237">
        <f>IF(COUNT($E$2:$E237)&lt;15,"",IF(SUM($AC$224:$AC$237)=0,0,100*SUM($AE$224:$AE$237)/SUM($AC$224:$AC$237)))</f>
        <v>0</v>
      </c>
      <c r="AH237">
        <f>IF(COUNT($E$2:$E237)&lt;15,"",IF(SUM($AC$224:$AC$237)=0,0,100*SUM($AF$224:$AF$237)/SUM($AC$224:$AC$237)))</f>
        <v>0</v>
      </c>
      <c r="AI237">
        <f>IF(OR(AG237="",AH237=""),"",IF((AG237+AH237)=0,0,100*ABS(AG237-AH237)/(AG237+AH237)))</f>
        <v>0</v>
      </c>
      <c r="AJ237">
        <f>IF(COUNT($AI$224:$AI$237)&lt;14,"",AVERAGE($AI$224:$AI$237))</f>
        <v>0</v>
      </c>
      <c r="AK237">
        <f>IF(COUNT($E$2:$E237)&lt;20,"",AVERAGE($E$218:$E$237))</f>
        <v>0</v>
      </c>
      <c r="AL237">
        <f>IF(COUNT($E$2:$E237)&lt;20,"",STDEVP($E$218:$E$237))</f>
        <v>0</v>
      </c>
      <c r="AM237">
        <f>IF(AK237="","",AK237+2*AL237)</f>
        <v>0</v>
      </c>
      <c r="AN237">
        <f>IF(AK237="","",AK237-2*AL237)</f>
        <v>0</v>
      </c>
      <c r="AO237">
        <f>IF(OR(AM237="",AN237="",AM237=AN237),"",($E237-AN237)/(AM237-AN237))</f>
        <v>0</v>
      </c>
      <c r="AP237">
        <f>IF(OR(AM237="",AK237="",AK237=0),"",(AM237-AN237)/AK237)</f>
        <v>0</v>
      </c>
      <c r="AQ237">
        <f>IF(COUNT($E$2:$E237)&lt;20,"",MAX($C$218:$C$237))</f>
        <v>0</v>
      </c>
      <c r="AR237">
        <f>IF(COUNT($E$2:$E237)&lt;20,"",MIN($D$218:$D$237))</f>
        <v>0</v>
      </c>
      <c r="AS237">
        <f>IF(OR(AQ237="",AR237=""),"",(AQ237+AR237)/2)</f>
        <v>0</v>
      </c>
      <c r="AT237">
        <f>IF(COUNT($G$218:$G$237)&lt;20,"",STDEV($G$218:$G$237)*SQRT(252))</f>
        <v>0</v>
      </c>
      <c r="AU237">
        <f>IF(COUNT($E$2:$E237)&lt;9,"",(MAX($C$229:$C$237)+MIN($D$229:$D$237))/2)</f>
        <v>0</v>
      </c>
      <c r="AV237">
        <f>IF(COUNT($E$2:$E237)&lt;26,"",(MAX($C$212:$C$237)+MIN($D$212:$D$237))/2)</f>
        <v>0</v>
      </c>
      <c r="AW237">
        <f>IF(OR(AU237="",AV237=""),"",(AU237+AV237)/2)</f>
        <v>0</v>
      </c>
      <c r="AX237">
        <f>IF(COUNT($E$2:$E237)&lt;52,"",(MAX($C$186:$C$237)+MIN($D$186:$D$237))/2)</f>
        <v>0</v>
      </c>
      <c r="AY237">
        <f>IF(COUNT($E$2:$E237)&lt;20,"",MAX($C$138:$C$237))</f>
        <v>0</v>
      </c>
      <c r="AZ237">
        <f>IF(COUNT($E$2:$E237)&lt;20,"",MIN($D$138:$D$237))</f>
        <v>0</v>
      </c>
      <c r="BA237">
        <f>IF(COUNT($E$2:$E237)&lt;20,"",SLOPE($E$138:$E$237,$F$138:$F$237))</f>
        <v>0</v>
      </c>
      <c r="BB237">
        <f>IF(COUNT($E$2:$E237)&lt;20,"",INTERCEPT($E$138:$E$237,$F$138:$F$237))</f>
        <v>0</v>
      </c>
      <c r="BC237">
        <f>IF(OR(BA237="",BB237=""),"",BB237+BA237*F237)</f>
        <v>0</v>
      </c>
      <c r="BD237">
        <f>IF(COUNT($E$2:$E237)&lt;20,"",STEYX($E$138:$E$237,$F$138:$F$237))</f>
        <v>0</v>
      </c>
      <c r="BE237">
        <f>IF($E237="","",IF(AND(COUNT($E$238:$E$241)&gt;=4,$C237=MAX($C$233:$C$241)),$C237,""))</f>
        <v>0</v>
      </c>
      <c r="BF237">
        <f>IF($E237="","",IF(AND(COUNT($E$238:$E$241)&gt;=4,$D237=MIN($D$233:$D$241)),$D237,""))</f>
        <v>0</v>
      </c>
      <c r="BG237">
        <f>IF($A237="","",$A237-WEEKDAY($A237,2)+1)</f>
        <v>0</v>
      </c>
      <c r="BH237">
        <f>IF($A237="","",IF($A236="",1,IF(BG237&lt;&gt;BG236,1,0)))</f>
        <v>0</v>
      </c>
      <c r="BI237">
        <f>IF($A237="","",IF($A238="",1,IF(BG238&lt;&gt;BG237,1,0)))</f>
        <v>0</v>
      </c>
      <c r="BJ237">
        <f>IF($A237="","",IF(BH237=1,$B237,BJ236))</f>
        <v>0</v>
      </c>
      <c r="BK237">
        <f>IF($A237="","",IF(BH237=1,$C237,MAX($C237,BK236)))</f>
        <v>0</v>
      </c>
      <c r="BL237">
        <f>IF($A237="","",IF(BH237=1,$D237,MIN($D237,BL236)))</f>
        <v>0</v>
      </c>
      <c r="BM237">
        <f>IF($A237="","",IF(BI237=1,F237,""))</f>
        <v>0</v>
      </c>
      <c r="BN237">
        <f>IF($A237="","",DATE(YEAR($A237),MONTH($A237),1))</f>
        <v>0</v>
      </c>
      <c r="BO237">
        <f>IF($A237="","",IF($A236="",1,IF(BN237&lt;&gt;BN236,1,0)))</f>
        <v>0</v>
      </c>
      <c r="BP237">
        <f>IF($A237="","",IF($A238="",1,IF(BN238&lt;&gt;BN237,1,0)))</f>
        <v>0</v>
      </c>
      <c r="BQ237">
        <f>IF($A237="","",IF(BO237=1,$B237,BQ236))</f>
        <v>0</v>
      </c>
      <c r="BR237">
        <f>IF($A237="","",IF(BO237=1,$C237,MAX($C237,BR236)))</f>
        <v>0</v>
      </c>
      <c r="BS237">
        <f>IF($A237="","",IF(BO237=1,$D237,MIN($D237,BS236)))</f>
        <v>0</v>
      </c>
      <c r="BT237">
        <f>IF($A237="","",IF(BP237=1,F237,""))</f>
        <v>0</v>
      </c>
    </row>
    <row r="238" spans="1:72">
      <c r="A238" s="27">
        <f>IF(Data!$A238="","",Data!$A238)</f>
        <v>0</v>
      </c>
      <c r="B238">
        <f>IF(Data!$B238="","",Data!$B238)</f>
        <v>0</v>
      </c>
      <c r="C238">
        <f>IF(Data!$C238="","",Data!$C238)</f>
        <v>0</v>
      </c>
      <c r="D238">
        <f>IF(Data!$D238="","",Data!$D238)</f>
        <v>0</v>
      </c>
      <c r="E238">
        <f>IF(Data!$E238="","",Data!$E238)</f>
        <v>0</v>
      </c>
      <c r="F238">
        <f>IF($E238="","",N(F237)+1)</f>
        <v>0</v>
      </c>
      <c r="G238">
        <f>IF(OR($E238="",$E237=""),"",LN($E238/$E237))</f>
        <v>0</v>
      </c>
      <c r="H238">
        <f>IF($E238="","",IF($E237="",$E238,$E238*0.0952380952+H237*0.9047619048))</f>
        <v>0</v>
      </c>
      <c r="I238">
        <f>IF($E238="","",IF($E237="",$E238,$E238*0.0392156863+I237*0.9607843137))</f>
        <v>0</v>
      </c>
      <c r="J238">
        <f>IF($E238="","",IF($E237="",$E238,$E238*0.0198019802+J237*0.9801980198))</f>
        <v>0</v>
      </c>
      <c r="K238">
        <f>IF($E238="","",IF($E237="",$E238,$E238*0.0099502488+K237*0.9900497512))</f>
        <v>0</v>
      </c>
      <c r="L238">
        <f>IF(OR($E238="",$E237=""),"",MAX($E238-$E237,0))</f>
        <v>0</v>
      </c>
      <c r="M238">
        <f>IF(OR($E238="",$E237=""),"",MAX($E237-$E238,0))</f>
        <v>0</v>
      </c>
      <c r="N238">
        <f>IF(COUNT($E$2:$E238)&lt;15,"",IF(AVERAGE($M$225:$M$238)=0,100,100-100/(1+AVERAGE($L$225:$L$238)/AVERAGE($M$225:$M$238))))</f>
        <v>0</v>
      </c>
      <c r="O238">
        <f>IF($E238="","",IF($E237="",$E238,$E238*0.1538461538+O237*0.8461538462))</f>
        <v>0</v>
      </c>
      <c r="P238">
        <f>IF($E238="","",IF($E237="",$E238,$E238*0.0740740741+P237*0.9259259259))</f>
        <v>0</v>
      </c>
      <c r="Q238">
        <f>IF(OR(O238="",P238=""),"",O238-P238)</f>
        <v>0</v>
      </c>
      <c r="R238">
        <f>IF(Q238="","",IF(R237="",Q238,Q238*0.2000000000+R237*0.8000000000))</f>
        <v>0</v>
      </c>
      <c r="S238">
        <f>IF(OR(Q238="",R238=""),"",Q238-R238)</f>
        <v>0</v>
      </c>
      <c r="T238">
        <f>IF(COUNT($E$2:$E238)&lt;14,"",MAX($C$225:$C$238))</f>
        <v>0</v>
      </c>
      <c r="U238">
        <f>IF(COUNT($E$2:$E238)&lt;14,"",MIN($D$225:$D$238))</f>
        <v>0</v>
      </c>
      <c r="V238">
        <f>IF(OR(T238="",U238="",T238=U238),"",100*($E238-U238)/(T238-U238))</f>
        <v>0</v>
      </c>
      <c r="W238">
        <f>IF(COUNT($V$236:$V$238)&lt;3,"",AVERAGE($V$236:$V$238))</f>
        <v>0</v>
      </c>
      <c r="X238">
        <f>IF(COUNT($N$225:$N$238)&lt;14,"",MIN($N$225:$N$238))</f>
        <v>0</v>
      </c>
      <c r="Y238">
        <f>IF(COUNT($N$225:$N$238)&lt;14,"",MAX($N$225:$N$238))</f>
        <v>0</v>
      </c>
      <c r="Z238">
        <f>IF(OR(N238="",X238="",Y238="",Y238=X238),"",100*(N238-X238)/(Y238-X238))</f>
        <v>0</v>
      </c>
      <c r="AA238">
        <f>IF(COUNT($Z$236:$Z$238)&lt;3,"",AVERAGE($Z$236:$Z$238))</f>
        <v>0</v>
      </c>
      <c r="AB238">
        <f>IF(COUNT($AA$236:$AA$238)&lt;3,"",AVERAGE($AA$236:$AA$238))</f>
        <v>0</v>
      </c>
      <c r="AC238">
        <f>IF($E238="","",MAX($C238-$D238,ABS($C238-$E237),ABS($D238-$E237)))</f>
        <v>0</v>
      </c>
      <c r="AD238">
        <f>IF(COUNT($E$2:$E238)&lt;15,"",AVERAGE($AC$225:$AC$238))</f>
        <v>0</v>
      </c>
      <c r="AE238">
        <f>IF(OR($E238="",$E237=""),"",IF(AND(($C238-$C237)&gt;($D237-$D238),($C238-$C237)&gt;0),$C238-$C237,0))</f>
        <v>0</v>
      </c>
      <c r="AF238">
        <f>IF(OR($E238="",$E237=""),"",IF(AND(($D237-$D238)&gt;($C238-$C237),($D237-$D238)&gt;0),$D237-$D238,0))</f>
        <v>0</v>
      </c>
      <c r="AG238">
        <f>IF(COUNT($E$2:$E238)&lt;15,"",IF(SUM($AC$225:$AC$238)=0,0,100*SUM($AE$225:$AE$238)/SUM($AC$225:$AC$238)))</f>
        <v>0</v>
      </c>
      <c r="AH238">
        <f>IF(COUNT($E$2:$E238)&lt;15,"",IF(SUM($AC$225:$AC$238)=0,0,100*SUM($AF$225:$AF$238)/SUM($AC$225:$AC$238)))</f>
        <v>0</v>
      </c>
      <c r="AI238">
        <f>IF(OR(AG238="",AH238=""),"",IF((AG238+AH238)=0,0,100*ABS(AG238-AH238)/(AG238+AH238)))</f>
        <v>0</v>
      </c>
      <c r="AJ238">
        <f>IF(COUNT($AI$225:$AI$238)&lt;14,"",AVERAGE($AI$225:$AI$238))</f>
        <v>0</v>
      </c>
      <c r="AK238">
        <f>IF(COUNT($E$2:$E238)&lt;20,"",AVERAGE($E$219:$E$238))</f>
        <v>0</v>
      </c>
      <c r="AL238">
        <f>IF(COUNT($E$2:$E238)&lt;20,"",STDEVP($E$219:$E$238))</f>
        <v>0</v>
      </c>
      <c r="AM238">
        <f>IF(AK238="","",AK238+2*AL238)</f>
        <v>0</v>
      </c>
      <c r="AN238">
        <f>IF(AK238="","",AK238-2*AL238)</f>
        <v>0</v>
      </c>
      <c r="AO238">
        <f>IF(OR(AM238="",AN238="",AM238=AN238),"",($E238-AN238)/(AM238-AN238))</f>
        <v>0</v>
      </c>
      <c r="AP238">
        <f>IF(OR(AM238="",AK238="",AK238=0),"",(AM238-AN238)/AK238)</f>
        <v>0</v>
      </c>
      <c r="AQ238">
        <f>IF(COUNT($E$2:$E238)&lt;20,"",MAX($C$219:$C$238))</f>
        <v>0</v>
      </c>
      <c r="AR238">
        <f>IF(COUNT($E$2:$E238)&lt;20,"",MIN($D$219:$D$238))</f>
        <v>0</v>
      </c>
      <c r="AS238">
        <f>IF(OR(AQ238="",AR238=""),"",(AQ238+AR238)/2)</f>
        <v>0</v>
      </c>
      <c r="AT238">
        <f>IF(COUNT($G$219:$G$238)&lt;20,"",STDEV($G$219:$G$238)*SQRT(252))</f>
        <v>0</v>
      </c>
      <c r="AU238">
        <f>IF(COUNT($E$2:$E238)&lt;9,"",(MAX($C$230:$C$238)+MIN($D$230:$D$238))/2)</f>
        <v>0</v>
      </c>
      <c r="AV238">
        <f>IF(COUNT($E$2:$E238)&lt;26,"",(MAX($C$213:$C$238)+MIN($D$213:$D$238))/2)</f>
        <v>0</v>
      </c>
      <c r="AW238">
        <f>IF(OR(AU238="",AV238=""),"",(AU238+AV238)/2)</f>
        <v>0</v>
      </c>
      <c r="AX238">
        <f>IF(COUNT($E$2:$E238)&lt;52,"",(MAX($C$187:$C$238)+MIN($D$187:$D$238))/2)</f>
        <v>0</v>
      </c>
      <c r="AY238">
        <f>IF(COUNT($E$2:$E238)&lt;20,"",MAX($C$139:$C$238))</f>
        <v>0</v>
      </c>
      <c r="AZ238">
        <f>IF(COUNT($E$2:$E238)&lt;20,"",MIN($D$139:$D$238))</f>
        <v>0</v>
      </c>
      <c r="BA238">
        <f>IF(COUNT($E$2:$E238)&lt;20,"",SLOPE($E$139:$E$238,$F$139:$F$238))</f>
        <v>0</v>
      </c>
      <c r="BB238">
        <f>IF(COUNT($E$2:$E238)&lt;20,"",INTERCEPT($E$139:$E$238,$F$139:$F$238))</f>
        <v>0</v>
      </c>
      <c r="BC238">
        <f>IF(OR(BA238="",BB238=""),"",BB238+BA238*F238)</f>
        <v>0</v>
      </c>
      <c r="BD238">
        <f>IF(COUNT($E$2:$E238)&lt;20,"",STEYX($E$139:$E$238,$F$139:$F$238))</f>
        <v>0</v>
      </c>
      <c r="BE238">
        <f>IF($E238="","",IF(AND(COUNT($E$239:$E$242)&gt;=4,$C238=MAX($C$234:$C$242)),$C238,""))</f>
        <v>0</v>
      </c>
      <c r="BF238">
        <f>IF($E238="","",IF(AND(COUNT($E$239:$E$242)&gt;=4,$D238=MIN($D$234:$D$242)),$D238,""))</f>
        <v>0</v>
      </c>
      <c r="BG238">
        <f>IF($A238="","",$A238-WEEKDAY($A238,2)+1)</f>
        <v>0</v>
      </c>
      <c r="BH238">
        <f>IF($A238="","",IF($A237="",1,IF(BG238&lt;&gt;BG237,1,0)))</f>
        <v>0</v>
      </c>
      <c r="BI238">
        <f>IF($A238="","",IF($A239="",1,IF(BG239&lt;&gt;BG238,1,0)))</f>
        <v>0</v>
      </c>
      <c r="BJ238">
        <f>IF($A238="","",IF(BH238=1,$B238,BJ237))</f>
        <v>0</v>
      </c>
      <c r="BK238">
        <f>IF($A238="","",IF(BH238=1,$C238,MAX($C238,BK237)))</f>
        <v>0</v>
      </c>
      <c r="BL238">
        <f>IF($A238="","",IF(BH238=1,$D238,MIN($D238,BL237)))</f>
        <v>0</v>
      </c>
      <c r="BM238">
        <f>IF($A238="","",IF(BI238=1,F238,""))</f>
        <v>0</v>
      </c>
      <c r="BN238">
        <f>IF($A238="","",DATE(YEAR($A238),MONTH($A238),1))</f>
        <v>0</v>
      </c>
      <c r="BO238">
        <f>IF($A238="","",IF($A237="",1,IF(BN238&lt;&gt;BN237,1,0)))</f>
        <v>0</v>
      </c>
      <c r="BP238">
        <f>IF($A238="","",IF($A239="",1,IF(BN239&lt;&gt;BN238,1,0)))</f>
        <v>0</v>
      </c>
      <c r="BQ238">
        <f>IF($A238="","",IF(BO238=1,$B238,BQ237))</f>
        <v>0</v>
      </c>
      <c r="BR238">
        <f>IF($A238="","",IF(BO238=1,$C238,MAX($C238,BR237)))</f>
        <v>0</v>
      </c>
      <c r="BS238">
        <f>IF($A238="","",IF(BO238=1,$D238,MIN($D238,BS237)))</f>
        <v>0</v>
      </c>
      <c r="BT238">
        <f>IF($A238="","",IF(BP238=1,F238,""))</f>
        <v>0</v>
      </c>
    </row>
    <row r="239" spans="1:72">
      <c r="A239" s="27">
        <f>IF(Data!$A239="","",Data!$A239)</f>
        <v>0</v>
      </c>
      <c r="B239">
        <f>IF(Data!$B239="","",Data!$B239)</f>
        <v>0</v>
      </c>
      <c r="C239">
        <f>IF(Data!$C239="","",Data!$C239)</f>
        <v>0</v>
      </c>
      <c r="D239">
        <f>IF(Data!$D239="","",Data!$D239)</f>
        <v>0</v>
      </c>
      <c r="E239">
        <f>IF(Data!$E239="","",Data!$E239)</f>
        <v>0</v>
      </c>
      <c r="F239">
        <f>IF($E239="","",N(F238)+1)</f>
        <v>0</v>
      </c>
      <c r="G239">
        <f>IF(OR($E239="",$E238=""),"",LN($E239/$E238))</f>
        <v>0</v>
      </c>
      <c r="H239">
        <f>IF($E239="","",IF($E238="",$E239,$E239*0.0952380952+H238*0.9047619048))</f>
        <v>0</v>
      </c>
      <c r="I239">
        <f>IF($E239="","",IF($E238="",$E239,$E239*0.0392156863+I238*0.9607843137))</f>
        <v>0</v>
      </c>
      <c r="J239">
        <f>IF($E239="","",IF($E238="",$E239,$E239*0.0198019802+J238*0.9801980198))</f>
        <v>0</v>
      </c>
      <c r="K239">
        <f>IF($E239="","",IF($E238="",$E239,$E239*0.0099502488+K238*0.9900497512))</f>
        <v>0</v>
      </c>
      <c r="L239">
        <f>IF(OR($E239="",$E238=""),"",MAX($E239-$E238,0))</f>
        <v>0</v>
      </c>
      <c r="M239">
        <f>IF(OR($E239="",$E238=""),"",MAX($E238-$E239,0))</f>
        <v>0</v>
      </c>
      <c r="N239">
        <f>IF(COUNT($E$2:$E239)&lt;15,"",IF(AVERAGE($M$226:$M$239)=0,100,100-100/(1+AVERAGE($L$226:$L$239)/AVERAGE($M$226:$M$239))))</f>
        <v>0</v>
      </c>
      <c r="O239">
        <f>IF($E239="","",IF($E238="",$E239,$E239*0.1538461538+O238*0.8461538462))</f>
        <v>0</v>
      </c>
      <c r="P239">
        <f>IF($E239="","",IF($E238="",$E239,$E239*0.0740740741+P238*0.9259259259))</f>
        <v>0</v>
      </c>
      <c r="Q239">
        <f>IF(OR(O239="",P239=""),"",O239-P239)</f>
        <v>0</v>
      </c>
      <c r="R239">
        <f>IF(Q239="","",IF(R238="",Q239,Q239*0.2000000000+R238*0.8000000000))</f>
        <v>0</v>
      </c>
      <c r="S239">
        <f>IF(OR(Q239="",R239=""),"",Q239-R239)</f>
        <v>0</v>
      </c>
      <c r="T239">
        <f>IF(COUNT($E$2:$E239)&lt;14,"",MAX($C$226:$C$239))</f>
        <v>0</v>
      </c>
      <c r="U239">
        <f>IF(COUNT($E$2:$E239)&lt;14,"",MIN($D$226:$D$239))</f>
        <v>0</v>
      </c>
      <c r="V239">
        <f>IF(OR(T239="",U239="",T239=U239),"",100*($E239-U239)/(T239-U239))</f>
        <v>0</v>
      </c>
      <c r="W239">
        <f>IF(COUNT($V$237:$V$239)&lt;3,"",AVERAGE($V$237:$V$239))</f>
        <v>0</v>
      </c>
      <c r="X239">
        <f>IF(COUNT($N$226:$N$239)&lt;14,"",MIN($N$226:$N$239))</f>
        <v>0</v>
      </c>
      <c r="Y239">
        <f>IF(COUNT($N$226:$N$239)&lt;14,"",MAX($N$226:$N$239))</f>
        <v>0</v>
      </c>
      <c r="Z239">
        <f>IF(OR(N239="",X239="",Y239="",Y239=X239),"",100*(N239-X239)/(Y239-X239))</f>
        <v>0</v>
      </c>
      <c r="AA239">
        <f>IF(COUNT($Z$237:$Z$239)&lt;3,"",AVERAGE($Z$237:$Z$239))</f>
        <v>0</v>
      </c>
      <c r="AB239">
        <f>IF(COUNT($AA$237:$AA$239)&lt;3,"",AVERAGE($AA$237:$AA$239))</f>
        <v>0</v>
      </c>
      <c r="AC239">
        <f>IF($E239="","",MAX($C239-$D239,ABS($C239-$E238),ABS($D239-$E238)))</f>
        <v>0</v>
      </c>
      <c r="AD239">
        <f>IF(COUNT($E$2:$E239)&lt;15,"",AVERAGE($AC$226:$AC$239))</f>
        <v>0</v>
      </c>
      <c r="AE239">
        <f>IF(OR($E239="",$E238=""),"",IF(AND(($C239-$C238)&gt;($D238-$D239),($C239-$C238)&gt;0),$C239-$C238,0))</f>
        <v>0</v>
      </c>
      <c r="AF239">
        <f>IF(OR($E239="",$E238=""),"",IF(AND(($D238-$D239)&gt;($C239-$C238),($D238-$D239)&gt;0),$D238-$D239,0))</f>
        <v>0</v>
      </c>
      <c r="AG239">
        <f>IF(COUNT($E$2:$E239)&lt;15,"",IF(SUM($AC$226:$AC$239)=0,0,100*SUM($AE$226:$AE$239)/SUM($AC$226:$AC$239)))</f>
        <v>0</v>
      </c>
      <c r="AH239">
        <f>IF(COUNT($E$2:$E239)&lt;15,"",IF(SUM($AC$226:$AC$239)=0,0,100*SUM($AF$226:$AF$239)/SUM($AC$226:$AC$239)))</f>
        <v>0</v>
      </c>
      <c r="AI239">
        <f>IF(OR(AG239="",AH239=""),"",IF((AG239+AH239)=0,0,100*ABS(AG239-AH239)/(AG239+AH239)))</f>
        <v>0</v>
      </c>
      <c r="AJ239">
        <f>IF(COUNT($AI$226:$AI$239)&lt;14,"",AVERAGE($AI$226:$AI$239))</f>
        <v>0</v>
      </c>
      <c r="AK239">
        <f>IF(COUNT($E$2:$E239)&lt;20,"",AVERAGE($E$220:$E$239))</f>
        <v>0</v>
      </c>
      <c r="AL239">
        <f>IF(COUNT($E$2:$E239)&lt;20,"",STDEVP($E$220:$E$239))</f>
        <v>0</v>
      </c>
      <c r="AM239">
        <f>IF(AK239="","",AK239+2*AL239)</f>
        <v>0</v>
      </c>
      <c r="AN239">
        <f>IF(AK239="","",AK239-2*AL239)</f>
        <v>0</v>
      </c>
      <c r="AO239">
        <f>IF(OR(AM239="",AN239="",AM239=AN239),"",($E239-AN239)/(AM239-AN239))</f>
        <v>0</v>
      </c>
      <c r="AP239">
        <f>IF(OR(AM239="",AK239="",AK239=0),"",(AM239-AN239)/AK239)</f>
        <v>0</v>
      </c>
      <c r="AQ239">
        <f>IF(COUNT($E$2:$E239)&lt;20,"",MAX($C$220:$C$239))</f>
        <v>0</v>
      </c>
      <c r="AR239">
        <f>IF(COUNT($E$2:$E239)&lt;20,"",MIN($D$220:$D$239))</f>
        <v>0</v>
      </c>
      <c r="AS239">
        <f>IF(OR(AQ239="",AR239=""),"",(AQ239+AR239)/2)</f>
        <v>0</v>
      </c>
      <c r="AT239">
        <f>IF(COUNT($G$220:$G$239)&lt;20,"",STDEV($G$220:$G$239)*SQRT(252))</f>
        <v>0</v>
      </c>
      <c r="AU239">
        <f>IF(COUNT($E$2:$E239)&lt;9,"",(MAX($C$231:$C$239)+MIN($D$231:$D$239))/2)</f>
        <v>0</v>
      </c>
      <c r="AV239">
        <f>IF(COUNT($E$2:$E239)&lt;26,"",(MAX($C$214:$C$239)+MIN($D$214:$D$239))/2)</f>
        <v>0</v>
      </c>
      <c r="AW239">
        <f>IF(OR(AU239="",AV239=""),"",(AU239+AV239)/2)</f>
        <v>0</v>
      </c>
      <c r="AX239">
        <f>IF(COUNT($E$2:$E239)&lt;52,"",(MAX($C$188:$C$239)+MIN($D$188:$D$239))/2)</f>
        <v>0</v>
      </c>
      <c r="AY239">
        <f>IF(COUNT($E$2:$E239)&lt;20,"",MAX($C$140:$C$239))</f>
        <v>0</v>
      </c>
      <c r="AZ239">
        <f>IF(COUNT($E$2:$E239)&lt;20,"",MIN($D$140:$D$239))</f>
        <v>0</v>
      </c>
      <c r="BA239">
        <f>IF(COUNT($E$2:$E239)&lt;20,"",SLOPE($E$140:$E$239,$F$140:$F$239))</f>
        <v>0</v>
      </c>
      <c r="BB239">
        <f>IF(COUNT($E$2:$E239)&lt;20,"",INTERCEPT($E$140:$E$239,$F$140:$F$239))</f>
        <v>0</v>
      </c>
      <c r="BC239">
        <f>IF(OR(BA239="",BB239=""),"",BB239+BA239*F239)</f>
        <v>0</v>
      </c>
      <c r="BD239">
        <f>IF(COUNT($E$2:$E239)&lt;20,"",STEYX($E$140:$E$239,$F$140:$F$239))</f>
        <v>0</v>
      </c>
      <c r="BE239">
        <f>IF($E239="","",IF(AND(COUNT($E$240:$E$243)&gt;=4,$C239=MAX($C$235:$C$243)),$C239,""))</f>
        <v>0</v>
      </c>
      <c r="BF239">
        <f>IF($E239="","",IF(AND(COUNT($E$240:$E$243)&gt;=4,$D239=MIN($D$235:$D$243)),$D239,""))</f>
        <v>0</v>
      </c>
      <c r="BG239">
        <f>IF($A239="","",$A239-WEEKDAY($A239,2)+1)</f>
        <v>0</v>
      </c>
      <c r="BH239">
        <f>IF($A239="","",IF($A238="",1,IF(BG239&lt;&gt;BG238,1,0)))</f>
        <v>0</v>
      </c>
      <c r="BI239">
        <f>IF($A239="","",IF($A240="",1,IF(BG240&lt;&gt;BG239,1,0)))</f>
        <v>0</v>
      </c>
      <c r="BJ239">
        <f>IF($A239="","",IF(BH239=1,$B239,BJ238))</f>
        <v>0</v>
      </c>
      <c r="BK239">
        <f>IF($A239="","",IF(BH239=1,$C239,MAX($C239,BK238)))</f>
        <v>0</v>
      </c>
      <c r="BL239">
        <f>IF($A239="","",IF(BH239=1,$D239,MIN($D239,BL238)))</f>
        <v>0</v>
      </c>
      <c r="BM239">
        <f>IF($A239="","",IF(BI239=1,F239,""))</f>
        <v>0</v>
      </c>
      <c r="BN239">
        <f>IF($A239="","",DATE(YEAR($A239),MONTH($A239),1))</f>
        <v>0</v>
      </c>
      <c r="BO239">
        <f>IF($A239="","",IF($A238="",1,IF(BN239&lt;&gt;BN238,1,0)))</f>
        <v>0</v>
      </c>
      <c r="BP239">
        <f>IF($A239="","",IF($A240="",1,IF(BN240&lt;&gt;BN239,1,0)))</f>
        <v>0</v>
      </c>
      <c r="BQ239">
        <f>IF($A239="","",IF(BO239=1,$B239,BQ238))</f>
        <v>0</v>
      </c>
      <c r="BR239">
        <f>IF($A239="","",IF(BO239=1,$C239,MAX($C239,BR238)))</f>
        <v>0</v>
      </c>
      <c r="BS239">
        <f>IF($A239="","",IF(BO239=1,$D239,MIN($D239,BS238)))</f>
        <v>0</v>
      </c>
      <c r="BT239">
        <f>IF($A239="","",IF(BP239=1,F239,""))</f>
        <v>0</v>
      </c>
    </row>
    <row r="240" spans="1:72">
      <c r="A240" s="27">
        <f>IF(Data!$A240="","",Data!$A240)</f>
        <v>0</v>
      </c>
      <c r="B240">
        <f>IF(Data!$B240="","",Data!$B240)</f>
        <v>0</v>
      </c>
      <c r="C240">
        <f>IF(Data!$C240="","",Data!$C240)</f>
        <v>0</v>
      </c>
      <c r="D240">
        <f>IF(Data!$D240="","",Data!$D240)</f>
        <v>0</v>
      </c>
      <c r="E240">
        <f>IF(Data!$E240="","",Data!$E240)</f>
        <v>0</v>
      </c>
      <c r="F240">
        <f>IF($E240="","",N(F239)+1)</f>
        <v>0</v>
      </c>
      <c r="G240">
        <f>IF(OR($E240="",$E239=""),"",LN($E240/$E239))</f>
        <v>0</v>
      </c>
      <c r="H240">
        <f>IF($E240="","",IF($E239="",$E240,$E240*0.0952380952+H239*0.9047619048))</f>
        <v>0</v>
      </c>
      <c r="I240">
        <f>IF($E240="","",IF($E239="",$E240,$E240*0.0392156863+I239*0.9607843137))</f>
        <v>0</v>
      </c>
      <c r="J240">
        <f>IF($E240="","",IF($E239="",$E240,$E240*0.0198019802+J239*0.9801980198))</f>
        <v>0</v>
      </c>
      <c r="K240">
        <f>IF($E240="","",IF($E239="",$E240,$E240*0.0099502488+K239*0.9900497512))</f>
        <v>0</v>
      </c>
      <c r="L240">
        <f>IF(OR($E240="",$E239=""),"",MAX($E240-$E239,0))</f>
        <v>0</v>
      </c>
      <c r="M240">
        <f>IF(OR($E240="",$E239=""),"",MAX($E239-$E240,0))</f>
        <v>0</v>
      </c>
      <c r="N240">
        <f>IF(COUNT($E$2:$E240)&lt;15,"",IF(AVERAGE($M$227:$M$240)=0,100,100-100/(1+AVERAGE($L$227:$L$240)/AVERAGE($M$227:$M$240))))</f>
        <v>0</v>
      </c>
      <c r="O240">
        <f>IF($E240="","",IF($E239="",$E240,$E240*0.1538461538+O239*0.8461538462))</f>
        <v>0</v>
      </c>
      <c r="P240">
        <f>IF($E240="","",IF($E239="",$E240,$E240*0.0740740741+P239*0.9259259259))</f>
        <v>0</v>
      </c>
      <c r="Q240">
        <f>IF(OR(O240="",P240=""),"",O240-P240)</f>
        <v>0</v>
      </c>
      <c r="R240">
        <f>IF(Q240="","",IF(R239="",Q240,Q240*0.2000000000+R239*0.8000000000))</f>
        <v>0</v>
      </c>
      <c r="S240">
        <f>IF(OR(Q240="",R240=""),"",Q240-R240)</f>
        <v>0</v>
      </c>
      <c r="T240">
        <f>IF(COUNT($E$2:$E240)&lt;14,"",MAX($C$227:$C$240))</f>
        <v>0</v>
      </c>
      <c r="U240">
        <f>IF(COUNT($E$2:$E240)&lt;14,"",MIN($D$227:$D$240))</f>
        <v>0</v>
      </c>
      <c r="V240">
        <f>IF(OR(T240="",U240="",T240=U240),"",100*($E240-U240)/(T240-U240))</f>
        <v>0</v>
      </c>
      <c r="W240">
        <f>IF(COUNT($V$238:$V$240)&lt;3,"",AVERAGE($V$238:$V$240))</f>
        <v>0</v>
      </c>
      <c r="X240">
        <f>IF(COUNT($N$227:$N$240)&lt;14,"",MIN($N$227:$N$240))</f>
        <v>0</v>
      </c>
      <c r="Y240">
        <f>IF(COUNT($N$227:$N$240)&lt;14,"",MAX($N$227:$N$240))</f>
        <v>0</v>
      </c>
      <c r="Z240">
        <f>IF(OR(N240="",X240="",Y240="",Y240=X240),"",100*(N240-X240)/(Y240-X240))</f>
        <v>0</v>
      </c>
      <c r="AA240">
        <f>IF(COUNT($Z$238:$Z$240)&lt;3,"",AVERAGE($Z$238:$Z$240))</f>
        <v>0</v>
      </c>
      <c r="AB240">
        <f>IF(COUNT($AA$238:$AA$240)&lt;3,"",AVERAGE($AA$238:$AA$240))</f>
        <v>0</v>
      </c>
      <c r="AC240">
        <f>IF($E240="","",MAX($C240-$D240,ABS($C240-$E239),ABS($D240-$E239)))</f>
        <v>0</v>
      </c>
      <c r="AD240">
        <f>IF(COUNT($E$2:$E240)&lt;15,"",AVERAGE($AC$227:$AC$240))</f>
        <v>0</v>
      </c>
      <c r="AE240">
        <f>IF(OR($E240="",$E239=""),"",IF(AND(($C240-$C239)&gt;($D239-$D240),($C240-$C239)&gt;0),$C240-$C239,0))</f>
        <v>0</v>
      </c>
      <c r="AF240">
        <f>IF(OR($E240="",$E239=""),"",IF(AND(($D239-$D240)&gt;($C240-$C239),($D239-$D240)&gt;0),$D239-$D240,0))</f>
        <v>0</v>
      </c>
      <c r="AG240">
        <f>IF(COUNT($E$2:$E240)&lt;15,"",IF(SUM($AC$227:$AC$240)=0,0,100*SUM($AE$227:$AE$240)/SUM($AC$227:$AC$240)))</f>
        <v>0</v>
      </c>
      <c r="AH240">
        <f>IF(COUNT($E$2:$E240)&lt;15,"",IF(SUM($AC$227:$AC$240)=0,0,100*SUM($AF$227:$AF$240)/SUM($AC$227:$AC$240)))</f>
        <v>0</v>
      </c>
      <c r="AI240">
        <f>IF(OR(AG240="",AH240=""),"",IF((AG240+AH240)=0,0,100*ABS(AG240-AH240)/(AG240+AH240)))</f>
        <v>0</v>
      </c>
      <c r="AJ240">
        <f>IF(COUNT($AI$227:$AI$240)&lt;14,"",AVERAGE($AI$227:$AI$240))</f>
        <v>0</v>
      </c>
      <c r="AK240">
        <f>IF(COUNT($E$2:$E240)&lt;20,"",AVERAGE($E$221:$E$240))</f>
        <v>0</v>
      </c>
      <c r="AL240">
        <f>IF(COUNT($E$2:$E240)&lt;20,"",STDEVP($E$221:$E$240))</f>
        <v>0</v>
      </c>
      <c r="AM240">
        <f>IF(AK240="","",AK240+2*AL240)</f>
        <v>0</v>
      </c>
      <c r="AN240">
        <f>IF(AK240="","",AK240-2*AL240)</f>
        <v>0</v>
      </c>
      <c r="AO240">
        <f>IF(OR(AM240="",AN240="",AM240=AN240),"",($E240-AN240)/(AM240-AN240))</f>
        <v>0</v>
      </c>
      <c r="AP240">
        <f>IF(OR(AM240="",AK240="",AK240=0),"",(AM240-AN240)/AK240)</f>
        <v>0</v>
      </c>
      <c r="AQ240">
        <f>IF(COUNT($E$2:$E240)&lt;20,"",MAX($C$221:$C$240))</f>
        <v>0</v>
      </c>
      <c r="AR240">
        <f>IF(COUNT($E$2:$E240)&lt;20,"",MIN($D$221:$D$240))</f>
        <v>0</v>
      </c>
      <c r="AS240">
        <f>IF(OR(AQ240="",AR240=""),"",(AQ240+AR240)/2)</f>
        <v>0</v>
      </c>
      <c r="AT240">
        <f>IF(COUNT($G$221:$G$240)&lt;20,"",STDEV($G$221:$G$240)*SQRT(252))</f>
        <v>0</v>
      </c>
      <c r="AU240">
        <f>IF(COUNT($E$2:$E240)&lt;9,"",(MAX($C$232:$C$240)+MIN($D$232:$D$240))/2)</f>
        <v>0</v>
      </c>
      <c r="AV240">
        <f>IF(COUNT($E$2:$E240)&lt;26,"",(MAX($C$215:$C$240)+MIN($D$215:$D$240))/2)</f>
        <v>0</v>
      </c>
      <c r="AW240">
        <f>IF(OR(AU240="",AV240=""),"",(AU240+AV240)/2)</f>
        <v>0</v>
      </c>
      <c r="AX240">
        <f>IF(COUNT($E$2:$E240)&lt;52,"",(MAX($C$189:$C$240)+MIN($D$189:$D$240))/2)</f>
        <v>0</v>
      </c>
      <c r="AY240">
        <f>IF(COUNT($E$2:$E240)&lt;20,"",MAX($C$141:$C$240))</f>
        <v>0</v>
      </c>
      <c r="AZ240">
        <f>IF(COUNT($E$2:$E240)&lt;20,"",MIN($D$141:$D$240))</f>
        <v>0</v>
      </c>
      <c r="BA240">
        <f>IF(COUNT($E$2:$E240)&lt;20,"",SLOPE($E$141:$E$240,$F$141:$F$240))</f>
        <v>0</v>
      </c>
      <c r="BB240">
        <f>IF(COUNT($E$2:$E240)&lt;20,"",INTERCEPT($E$141:$E$240,$F$141:$F$240))</f>
        <v>0</v>
      </c>
      <c r="BC240">
        <f>IF(OR(BA240="",BB240=""),"",BB240+BA240*F240)</f>
        <v>0</v>
      </c>
      <c r="BD240">
        <f>IF(COUNT($E$2:$E240)&lt;20,"",STEYX($E$141:$E$240,$F$141:$F$240))</f>
        <v>0</v>
      </c>
      <c r="BE240">
        <f>IF($E240="","",IF(AND(COUNT($E$241:$E$244)&gt;=4,$C240=MAX($C$236:$C$244)),$C240,""))</f>
        <v>0</v>
      </c>
      <c r="BF240">
        <f>IF($E240="","",IF(AND(COUNT($E$241:$E$244)&gt;=4,$D240=MIN($D$236:$D$244)),$D240,""))</f>
        <v>0</v>
      </c>
      <c r="BG240">
        <f>IF($A240="","",$A240-WEEKDAY($A240,2)+1)</f>
        <v>0</v>
      </c>
      <c r="BH240">
        <f>IF($A240="","",IF($A239="",1,IF(BG240&lt;&gt;BG239,1,0)))</f>
        <v>0</v>
      </c>
      <c r="BI240">
        <f>IF($A240="","",IF($A241="",1,IF(BG241&lt;&gt;BG240,1,0)))</f>
        <v>0</v>
      </c>
      <c r="BJ240">
        <f>IF($A240="","",IF(BH240=1,$B240,BJ239))</f>
        <v>0</v>
      </c>
      <c r="BK240">
        <f>IF($A240="","",IF(BH240=1,$C240,MAX($C240,BK239)))</f>
        <v>0</v>
      </c>
      <c r="BL240">
        <f>IF($A240="","",IF(BH240=1,$D240,MIN($D240,BL239)))</f>
        <v>0</v>
      </c>
      <c r="BM240">
        <f>IF($A240="","",IF(BI240=1,F240,""))</f>
        <v>0</v>
      </c>
      <c r="BN240">
        <f>IF($A240="","",DATE(YEAR($A240),MONTH($A240),1))</f>
        <v>0</v>
      </c>
      <c r="BO240">
        <f>IF($A240="","",IF($A239="",1,IF(BN240&lt;&gt;BN239,1,0)))</f>
        <v>0</v>
      </c>
      <c r="BP240">
        <f>IF($A240="","",IF($A241="",1,IF(BN241&lt;&gt;BN240,1,0)))</f>
        <v>0</v>
      </c>
      <c r="BQ240">
        <f>IF($A240="","",IF(BO240=1,$B240,BQ239))</f>
        <v>0</v>
      </c>
      <c r="BR240">
        <f>IF($A240="","",IF(BO240=1,$C240,MAX($C240,BR239)))</f>
        <v>0</v>
      </c>
      <c r="BS240">
        <f>IF($A240="","",IF(BO240=1,$D240,MIN($D240,BS239)))</f>
        <v>0</v>
      </c>
      <c r="BT240">
        <f>IF($A240="","",IF(BP240=1,F240,""))</f>
        <v>0</v>
      </c>
    </row>
    <row r="241" spans="1:72">
      <c r="A241" s="27">
        <f>IF(Data!$A241="","",Data!$A241)</f>
        <v>0</v>
      </c>
      <c r="B241">
        <f>IF(Data!$B241="","",Data!$B241)</f>
        <v>0</v>
      </c>
      <c r="C241">
        <f>IF(Data!$C241="","",Data!$C241)</f>
        <v>0</v>
      </c>
      <c r="D241">
        <f>IF(Data!$D241="","",Data!$D241)</f>
        <v>0</v>
      </c>
      <c r="E241">
        <f>IF(Data!$E241="","",Data!$E241)</f>
        <v>0</v>
      </c>
      <c r="F241">
        <f>IF($E241="","",N(F240)+1)</f>
        <v>0</v>
      </c>
      <c r="G241">
        <f>IF(OR($E241="",$E240=""),"",LN($E241/$E240))</f>
        <v>0</v>
      </c>
      <c r="H241">
        <f>IF($E241="","",IF($E240="",$E241,$E241*0.0952380952+H240*0.9047619048))</f>
        <v>0</v>
      </c>
      <c r="I241">
        <f>IF($E241="","",IF($E240="",$E241,$E241*0.0392156863+I240*0.9607843137))</f>
        <v>0</v>
      </c>
      <c r="J241">
        <f>IF($E241="","",IF($E240="",$E241,$E241*0.0198019802+J240*0.9801980198))</f>
        <v>0</v>
      </c>
      <c r="K241">
        <f>IF($E241="","",IF($E240="",$E241,$E241*0.0099502488+K240*0.9900497512))</f>
        <v>0</v>
      </c>
      <c r="L241">
        <f>IF(OR($E241="",$E240=""),"",MAX($E241-$E240,0))</f>
        <v>0</v>
      </c>
      <c r="M241">
        <f>IF(OR($E241="",$E240=""),"",MAX($E240-$E241,0))</f>
        <v>0</v>
      </c>
      <c r="N241">
        <f>IF(COUNT($E$2:$E241)&lt;15,"",IF(AVERAGE($M$228:$M$241)=0,100,100-100/(1+AVERAGE($L$228:$L$241)/AVERAGE($M$228:$M$241))))</f>
        <v>0</v>
      </c>
      <c r="O241">
        <f>IF($E241="","",IF($E240="",$E241,$E241*0.1538461538+O240*0.8461538462))</f>
        <v>0</v>
      </c>
      <c r="P241">
        <f>IF($E241="","",IF($E240="",$E241,$E241*0.0740740741+P240*0.9259259259))</f>
        <v>0</v>
      </c>
      <c r="Q241">
        <f>IF(OR(O241="",P241=""),"",O241-P241)</f>
        <v>0</v>
      </c>
      <c r="R241">
        <f>IF(Q241="","",IF(R240="",Q241,Q241*0.2000000000+R240*0.8000000000))</f>
        <v>0</v>
      </c>
      <c r="S241">
        <f>IF(OR(Q241="",R241=""),"",Q241-R241)</f>
        <v>0</v>
      </c>
      <c r="T241">
        <f>IF(COUNT($E$2:$E241)&lt;14,"",MAX($C$228:$C$241))</f>
        <v>0</v>
      </c>
      <c r="U241">
        <f>IF(COUNT($E$2:$E241)&lt;14,"",MIN($D$228:$D$241))</f>
        <v>0</v>
      </c>
      <c r="V241">
        <f>IF(OR(T241="",U241="",T241=U241),"",100*($E241-U241)/(T241-U241))</f>
        <v>0</v>
      </c>
      <c r="W241">
        <f>IF(COUNT($V$239:$V$241)&lt;3,"",AVERAGE($V$239:$V$241))</f>
        <v>0</v>
      </c>
      <c r="X241">
        <f>IF(COUNT($N$228:$N$241)&lt;14,"",MIN($N$228:$N$241))</f>
        <v>0</v>
      </c>
      <c r="Y241">
        <f>IF(COUNT($N$228:$N$241)&lt;14,"",MAX($N$228:$N$241))</f>
        <v>0</v>
      </c>
      <c r="Z241">
        <f>IF(OR(N241="",X241="",Y241="",Y241=X241),"",100*(N241-X241)/(Y241-X241))</f>
        <v>0</v>
      </c>
      <c r="AA241">
        <f>IF(COUNT($Z$239:$Z$241)&lt;3,"",AVERAGE($Z$239:$Z$241))</f>
        <v>0</v>
      </c>
      <c r="AB241">
        <f>IF(COUNT($AA$239:$AA$241)&lt;3,"",AVERAGE($AA$239:$AA$241))</f>
        <v>0</v>
      </c>
      <c r="AC241">
        <f>IF($E241="","",MAX($C241-$D241,ABS($C241-$E240),ABS($D241-$E240)))</f>
        <v>0</v>
      </c>
      <c r="AD241">
        <f>IF(COUNT($E$2:$E241)&lt;15,"",AVERAGE($AC$228:$AC$241))</f>
        <v>0</v>
      </c>
      <c r="AE241">
        <f>IF(OR($E241="",$E240=""),"",IF(AND(($C241-$C240)&gt;($D240-$D241),($C241-$C240)&gt;0),$C241-$C240,0))</f>
        <v>0</v>
      </c>
      <c r="AF241">
        <f>IF(OR($E241="",$E240=""),"",IF(AND(($D240-$D241)&gt;($C241-$C240),($D240-$D241)&gt;0),$D240-$D241,0))</f>
        <v>0</v>
      </c>
      <c r="AG241">
        <f>IF(COUNT($E$2:$E241)&lt;15,"",IF(SUM($AC$228:$AC$241)=0,0,100*SUM($AE$228:$AE$241)/SUM($AC$228:$AC$241)))</f>
        <v>0</v>
      </c>
      <c r="AH241">
        <f>IF(COUNT($E$2:$E241)&lt;15,"",IF(SUM($AC$228:$AC$241)=0,0,100*SUM($AF$228:$AF$241)/SUM($AC$228:$AC$241)))</f>
        <v>0</v>
      </c>
      <c r="AI241">
        <f>IF(OR(AG241="",AH241=""),"",IF((AG241+AH241)=0,0,100*ABS(AG241-AH241)/(AG241+AH241)))</f>
        <v>0</v>
      </c>
      <c r="AJ241">
        <f>IF(COUNT($AI$228:$AI$241)&lt;14,"",AVERAGE($AI$228:$AI$241))</f>
        <v>0</v>
      </c>
      <c r="AK241">
        <f>IF(COUNT($E$2:$E241)&lt;20,"",AVERAGE($E$222:$E$241))</f>
        <v>0</v>
      </c>
      <c r="AL241">
        <f>IF(COUNT($E$2:$E241)&lt;20,"",STDEVP($E$222:$E$241))</f>
        <v>0</v>
      </c>
      <c r="AM241">
        <f>IF(AK241="","",AK241+2*AL241)</f>
        <v>0</v>
      </c>
      <c r="AN241">
        <f>IF(AK241="","",AK241-2*AL241)</f>
        <v>0</v>
      </c>
      <c r="AO241">
        <f>IF(OR(AM241="",AN241="",AM241=AN241),"",($E241-AN241)/(AM241-AN241))</f>
        <v>0</v>
      </c>
      <c r="AP241">
        <f>IF(OR(AM241="",AK241="",AK241=0),"",(AM241-AN241)/AK241)</f>
        <v>0</v>
      </c>
      <c r="AQ241">
        <f>IF(COUNT($E$2:$E241)&lt;20,"",MAX($C$222:$C$241))</f>
        <v>0</v>
      </c>
      <c r="AR241">
        <f>IF(COUNT($E$2:$E241)&lt;20,"",MIN($D$222:$D$241))</f>
        <v>0</v>
      </c>
      <c r="AS241">
        <f>IF(OR(AQ241="",AR241=""),"",(AQ241+AR241)/2)</f>
        <v>0</v>
      </c>
      <c r="AT241">
        <f>IF(COUNT($G$222:$G$241)&lt;20,"",STDEV($G$222:$G$241)*SQRT(252))</f>
        <v>0</v>
      </c>
      <c r="AU241">
        <f>IF(COUNT($E$2:$E241)&lt;9,"",(MAX($C$233:$C$241)+MIN($D$233:$D$241))/2)</f>
        <v>0</v>
      </c>
      <c r="AV241">
        <f>IF(COUNT($E$2:$E241)&lt;26,"",(MAX($C$216:$C$241)+MIN($D$216:$D$241))/2)</f>
        <v>0</v>
      </c>
      <c r="AW241">
        <f>IF(OR(AU241="",AV241=""),"",(AU241+AV241)/2)</f>
        <v>0</v>
      </c>
      <c r="AX241">
        <f>IF(COUNT($E$2:$E241)&lt;52,"",(MAX($C$190:$C$241)+MIN($D$190:$D$241))/2)</f>
        <v>0</v>
      </c>
      <c r="AY241">
        <f>IF(COUNT($E$2:$E241)&lt;20,"",MAX($C$142:$C$241))</f>
        <v>0</v>
      </c>
      <c r="AZ241">
        <f>IF(COUNT($E$2:$E241)&lt;20,"",MIN($D$142:$D$241))</f>
        <v>0</v>
      </c>
      <c r="BA241">
        <f>IF(COUNT($E$2:$E241)&lt;20,"",SLOPE($E$142:$E$241,$F$142:$F$241))</f>
        <v>0</v>
      </c>
      <c r="BB241">
        <f>IF(COUNT($E$2:$E241)&lt;20,"",INTERCEPT($E$142:$E$241,$F$142:$F$241))</f>
        <v>0</v>
      </c>
      <c r="BC241">
        <f>IF(OR(BA241="",BB241=""),"",BB241+BA241*F241)</f>
        <v>0</v>
      </c>
      <c r="BD241">
        <f>IF(COUNT($E$2:$E241)&lt;20,"",STEYX($E$142:$E$241,$F$142:$F$241))</f>
        <v>0</v>
      </c>
      <c r="BE241">
        <f>IF($E241="","",IF(AND(COUNT($E$242:$E$245)&gt;=4,$C241=MAX($C$237:$C$245)),$C241,""))</f>
        <v>0</v>
      </c>
      <c r="BF241">
        <f>IF($E241="","",IF(AND(COUNT($E$242:$E$245)&gt;=4,$D241=MIN($D$237:$D$245)),$D241,""))</f>
        <v>0</v>
      </c>
      <c r="BG241">
        <f>IF($A241="","",$A241-WEEKDAY($A241,2)+1)</f>
        <v>0</v>
      </c>
      <c r="BH241">
        <f>IF($A241="","",IF($A240="",1,IF(BG241&lt;&gt;BG240,1,0)))</f>
        <v>0</v>
      </c>
      <c r="BI241">
        <f>IF($A241="","",IF($A242="",1,IF(BG242&lt;&gt;BG241,1,0)))</f>
        <v>0</v>
      </c>
      <c r="BJ241">
        <f>IF($A241="","",IF(BH241=1,$B241,BJ240))</f>
        <v>0</v>
      </c>
      <c r="BK241">
        <f>IF($A241="","",IF(BH241=1,$C241,MAX($C241,BK240)))</f>
        <v>0</v>
      </c>
      <c r="BL241">
        <f>IF($A241="","",IF(BH241=1,$D241,MIN($D241,BL240)))</f>
        <v>0</v>
      </c>
      <c r="BM241">
        <f>IF($A241="","",IF(BI241=1,F241,""))</f>
        <v>0</v>
      </c>
      <c r="BN241">
        <f>IF($A241="","",DATE(YEAR($A241),MONTH($A241),1))</f>
        <v>0</v>
      </c>
      <c r="BO241">
        <f>IF($A241="","",IF($A240="",1,IF(BN241&lt;&gt;BN240,1,0)))</f>
        <v>0</v>
      </c>
      <c r="BP241">
        <f>IF($A241="","",IF($A242="",1,IF(BN242&lt;&gt;BN241,1,0)))</f>
        <v>0</v>
      </c>
      <c r="BQ241">
        <f>IF($A241="","",IF(BO241=1,$B241,BQ240))</f>
        <v>0</v>
      </c>
      <c r="BR241">
        <f>IF($A241="","",IF(BO241=1,$C241,MAX($C241,BR240)))</f>
        <v>0</v>
      </c>
      <c r="BS241">
        <f>IF($A241="","",IF(BO241=1,$D241,MIN($D241,BS240)))</f>
        <v>0</v>
      </c>
      <c r="BT241">
        <f>IF($A241="","",IF(BP241=1,F241,""))</f>
        <v>0</v>
      </c>
    </row>
    <row r="242" spans="1:72">
      <c r="A242" s="27">
        <f>IF(Data!$A242="","",Data!$A242)</f>
        <v>0</v>
      </c>
      <c r="B242">
        <f>IF(Data!$B242="","",Data!$B242)</f>
        <v>0</v>
      </c>
      <c r="C242">
        <f>IF(Data!$C242="","",Data!$C242)</f>
        <v>0</v>
      </c>
      <c r="D242">
        <f>IF(Data!$D242="","",Data!$D242)</f>
        <v>0</v>
      </c>
      <c r="E242">
        <f>IF(Data!$E242="","",Data!$E242)</f>
        <v>0</v>
      </c>
      <c r="F242">
        <f>IF($E242="","",N(F241)+1)</f>
        <v>0</v>
      </c>
      <c r="G242">
        <f>IF(OR($E242="",$E241=""),"",LN($E242/$E241))</f>
        <v>0</v>
      </c>
      <c r="H242">
        <f>IF($E242="","",IF($E241="",$E242,$E242*0.0952380952+H241*0.9047619048))</f>
        <v>0</v>
      </c>
      <c r="I242">
        <f>IF($E242="","",IF($E241="",$E242,$E242*0.0392156863+I241*0.9607843137))</f>
        <v>0</v>
      </c>
      <c r="J242">
        <f>IF($E242="","",IF($E241="",$E242,$E242*0.0198019802+J241*0.9801980198))</f>
        <v>0</v>
      </c>
      <c r="K242">
        <f>IF($E242="","",IF($E241="",$E242,$E242*0.0099502488+K241*0.9900497512))</f>
        <v>0</v>
      </c>
      <c r="L242">
        <f>IF(OR($E242="",$E241=""),"",MAX($E242-$E241,0))</f>
        <v>0</v>
      </c>
      <c r="M242">
        <f>IF(OR($E242="",$E241=""),"",MAX($E241-$E242,0))</f>
        <v>0</v>
      </c>
      <c r="N242">
        <f>IF(COUNT($E$2:$E242)&lt;15,"",IF(AVERAGE($M$229:$M$242)=0,100,100-100/(1+AVERAGE($L$229:$L$242)/AVERAGE($M$229:$M$242))))</f>
        <v>0</v>
      </c>
      <c r="O242">
        <f>IF($E242="","",IF($E241="",$E242,$E242*0.1538461538+O241*0.8461538462))</f>
        <v>0</v>
      </c>
      <c r="P242">
        <f>IF($E242="","",IF($E241="",$E242,$E242*0.0740740741+P241*0.9259259259))</f>
        <v>0</v>
      </c>
      <c r="Q242">
        <f>IF(OR(O242="",P242=""),"",O242-P242)</f>
        <v>0</v>
      </c>
      <c r="R242">
        <f>IF(Q242="","",IF(R241="",Q242,Q242*0.2000000000+R241*0.8000000000))</f>
        <v>0</v>
      </c>
      <c r="S242">
        <f>IF(OR(Q242="",R242=""),"",Q242-R242)</f>
        <v>0</v>
      </c>
      <c r="T242">
        <f>IF(COUNT($E$2:$E242)&lt;14,"",MAX($C$229:$C$242))</f>
        <v>0</v>
      </c>
      <c r="U242">
        <f>IF(COUNT($E$2:$E242)&lt;14,"",MIN($D$229:$D$242))</f>
        <v>0</v>
      </c>
      <c r="V242">
        <f>IF(OR(T242="",U242="",T242=U242),"",100*($E242-U242)/(T242-U242))</f>
        <v>0</v>
      </c>
      <c r="W242">
        <f>IF(COUNT($V$240:$V$242)&lt;3,"",AVERAGE($V$240:$V$242))</f>
        <v>0</v>
      </c>
      <c r="X242">
        <f>IF(COUNT($N$229:$N$242)&lt;14,"",MIN($N$229:$N$242))</f>
        <v>0</v>
      </c>
      <c r="Y242">
        <f>IF(COUNT($N$229:$N$242)&lt;14,"",MAX($N$229:$N$242))</f>
        <v>0</v>
      </c>
      <c r="Z242">
        <f>IF(OR(N242="",X242="",Y242="",Y242=X242),"",100*(N242-X242)/(Y242-X242))</f>
        <v>0</v>
      </c>
      <c r="AA242">
        <f>IF(COUNT($Z$240:$Z$242)&lt;3,"",AVERAGE($Z$240:$Z$242))</f>
        <v>0</v>
      </c>
      <c r="AB242">
        <f>IF(COUNT($AA$240:$AA$242)&lt;3,"",AVERAGE($AA$240:$AA$242))</f>
        <v>0</v>
      </c>
      <c r="AC242">
        <f>IF($E242="","",MAX($C242-$D242,ABS($C242-$E241),ABS($D242-$E241)))</f>
        <v>0</v>
      </c>
      <c r="AD242">
        <f>IF(COUNT($E$2:$E242)&lt;15,"",AVERAGE($AC$229:$AC$242))</f>
        <v>0</v>
      </c>
      <c r="AE242">
        <f>IF(OR($E242="",$E241=""),"",IF(AND(($C242-$C241)&gt;($D241-$D242),($C242-$C241)&gt;0),$C242-$C241,0))</f>
        <v>0</v>
      </c>
      <c r="AF242">
        <f>IF(OR($E242="",$E241=""),"",IF(AND(($D241-$D242)&gt;($C242-$C241),($D241-$D242)&gt;0),$D241-$D242,0))</f>
        <v>0</v>
      </c>
      <c r="AG242">
        <f>IF(COUNT($E$2:$E242)&lt;15,"",IF(SUM($AC$229:$AC$242)=0,0,100*SUM($AE$229:$AE$242)/SUM($AC$229:$AC$242)))</f>
        <v>0</v>
      </c>
      <c r="AH242">
        <f>IF(COUNT($E$2:$E242)&lt;15,"",IF(SUM($AC$229:$AC$242)=0,0,100*SUM($AF$229:$AF$242)/SUM($AC$229:$AC$242)))</f>
        <v>0</v>
      </c>
      <c r="AI242">
        <f>IF(OR(AG242="",AH242=""),"",IF((AG242+AH242)=0,0,100*ABS(AG242-AH242)/(AG242+AH242)))</f>
        <v>0</v>
      </c>
      <c r="AJ242">
        <f>IF(COUNT($AI$229:$AI$242)&lt;14,"",AVERAGE($AI$229:$AI$242))</f>
        <v>0</v>
      </c>
      <c r="AK242">
        <f>IF(COUNT($E$2:$E242)&lt;20,"",AVERAGE($E$223:$E$242))</f>
        <v>0</v>
      </c>
      <c r="AL242">
        <f>IF(COUNT($E$2:$E242)&lt;20,"",STDEVP($E$223:$E$242))</f>
        <v>0</v>
      </c>
      <c r="AM242">
        <f>IF(AK242="","",AK242+2*AL242)</f>
        <v>0</v>
      </c>
      <c r="AN242">
        <f>IF(AK242="","",AK242-2*AL242)</f>
        <v>0</v>
      </c>
      <c r="AO242">
        <f>IF(OR(AM242="",AN242="",AM242=AN242),"",($E242-AN242)/(AM242-AN242))</f>
        <v>0</v>
      </c>
      <c r="AP242">
        <f>IF(OR(AM242="",AK242="",AK242=0),"",(AM242-AN242)/AK242)</f>
        <v>0</v>
      </c>
      <c r="AQ242">
        <f>IF(COUNT($E$2:$E242)&lt;20,"",MAX($C$223:$C$242))</f>
        <v>0</v>
      </c>
      <c r="AR242">
        <f>IF(COUNT($E$2:$E242)&lt;20,"",MIN($D$223:$D$242))</f>
        <v>0</v>
      </c>
      <c r="AS242">
        <f>IF(OR(AQ242="",AR242=""),"",(AQ242+AR242)/2)</f>
        <v>0</v>
      </c>
      <c r="AT242">
        <f>IF(COUNT($G$223:$G$242)&lt;20,"",STDEV($G$223:$G$242)*SQRT(252))</f>
        <v>0</v>
      </c>
      <c r="AU242">
        <f>IF(COUNT($E$2:$E242)&lt;9,"",(MAX($C$234:$C$242)+MIN($D$234:$D$242))/2)</f>
        <v>0</v>
      </c>
      <c r="AV242">
        <f>IF(COUNT($E$2:$E242)&lt;26,"",(MAX($C$217:$C$242)+MIN($D$217:$D$242))/2)</f>
        <v>0</v>
      </c>
      <c r="AW242">
        <f>IF(OR(AU242="",AV242=""),"",(AU242+AV242)/2)</f>
        <v>0</v>
      </c>
      <c r="AX242">
        <f>IF(COUNT($E$2:$E242)&lt;52,"",(MAX($C$191:$C$242)+MIN($D$191:$D$242))/2)</f>
        <v>0</v>
      </c>
      <c r="AY242">
        <f>IF(COUNT($E$2:$E242)&lt;20,"",MAX($C$143:$C$242))</f>
        <v>0</v>
      </c>
      <c r="AZ242">
        <f>IF(COUNT($E$2:$E242)&lt;20,"",MIN($D$143:$D$242))</f>
        <v>0</v>
      </c>
      <c r="BA242">
        <f>IF(COUNT($E$2:$E242)&lt;20,"",SLOPE($E$143:$E$242,$F$143:$F$242))</f>
        <v>0</v>
      </c>
      <c r="BB242">
        <f>IF(COUNT($E$2:$E242)&lt;20,"",INTERCEPT($E$143:$E$242,$F$143:$F$242))</f>
        <v>0</v>
      </c>
      <c r="BC242">
        <f>IF(OR(BA242="",BB242=""),"",BB242+BA242*F242)</f>
        <v>0</v>
      </c>
      <c r="BD242">
        <f>IF(COUNT($E$2:$E242)&lt;20,"",STEYX($E$143:$E$242,$F$143:$F$242))</f>
        <v>0</v>
      </c>
      <c r="BE242">
        <f>IF($E242="","",IF(AND(COUNT($E$243:$E$246)&gt;=4,$C242=MAX($C$238:$C$246)),$C242,""))</f>
        <v>0</v>
      </c>
      <c r="BF242">
        <f>IF($E242="","",IF(AND(COUNT($E$243:$E$246)&gt;=4,$D242=MIN($D$238:$D$246)),$D242,""))</f>
        <v>0</v>
      </c>
      <c r="BG242">
        <f>IF($A242="","",$A242-WEEKDAY($A242,2)+1)</f>
        <v>0</v>
      </c>
      <c r="BH242">
        <f>IF($A242="","",IF($A241="",1,IF(BG242&lt;&gt;BG241,1,0)))</f>
        <v>0</v>
      </c>
      <c r="BI242">
        <f>IF($A242="","",IF($A243="",1,IF(BG243&lt;&gt;BG242,1,0)))</f>
        <v>0</v>
      </c>
      <c r="BJ242">
        <f>IF($A242="","",IF(BH242=1,$B242,BJ241))</f>
        <v>0</v>
      </c>
      <c r="BK242">
        <f>IF($A242="","",IF(BH242=1,$C242,MAX($C242,BK241)))</f>
        <v>0</v>
      </c>
      <c r="BL242">
        <f>IF($A242="","",IF(BH242=1,$D242,MIN($D242,BL241)))</f>
        <v>0</v>
      </c>
      <c r="BM242">
        <f>IF($A242="","",IF(BI242=1,F242,""))</f>
        <v>0</v>
      </c>
      <c r="BN242">
        <f>IF($A242="","",DATE(YEAR($A242),MONTH($A242),1))</f>
        <v>0</v>
      </c>
      <c r="BO242">
        <f>IF($A242="","",IF($A241="",1,IF(BN242&lt;&gt;BN241,1,0)))</f>
        <v>0</v>
      </c>
      <c r="BP242">
        <f>IF($A242="","",IF($A243="",1,IF(BN243&lt;&gt;BN242,1,0)))</f>
        <v>0</v>
      </c>
      <c r="BQ242">
        <f>IF($A242="","",IF(BO242=1,$B242,BQ241))</f>
        <v>0</v>
      </c>
      <c r="BR242">
        <f>IF($A242="","",IF(BO242=1,$C242,MAX($C242,BR241)))</f>
        <v>0</v>
      </c>
      <c r="BS242">
        <f>IF($A242="","",IF(BO242=1,$D242,MIN($D242,BS241)))</f>
        <v>0</v>
      </c>
      <c r="BT242">
        <f>IF($A242="","",IF(BP242=1,F242,""))</f>
        <v>0</v>
      </c>
    </row>
    <row r="243" spans="1:72">
      <c r="A243" s="27">
        <f>IF(Data!$A243="","",Data!$A243)</f>
        <v>0</v>
      </c>
      <c r="B243">
        <f>IF(Data!$B243="","",Data!$B243)</f>
        <v>0</v>
      </c>
      <c r="C243">
        <f>IF(Data!$C243="","",Data!$C243)</f>
        <v>0</v>
      </c>
      <c r="D243">
        <f>IF(Data!$D243="","",Data!$D243)</f>
        <v>0</v>
      </c>
      <c r="E243">
        <f>IF(Data!$E243="","",Data!$E243)</f>
        <v>0</v>
      </c>
      <c r="F243">
        <f>IF($E243="","",N(F242)+1)</f>
        <v>0</v>
      </c>
      <c r="G243">
        <f>IF(OR($E243="",$E242=""),"",LN($E243/$E242))</f>
        <v>0</v>
      </c>
      <c r="H243">
        <f>IF($E243="","",IF($E242="",$E243,$E243*0.0952380952+H242*0.9047619048))</f>
        <v>0</v>
      </c>
      <c r="I243">
        <f>IF($E243="","",IF($E242="",$E243,$E243*0.0392156863+I242*0.9607843137))</f>
        <v>0</v>
      </c>
      <c r="J243">
        <f>IF($E243="","",IF($E242="",$E243,$E243*0.0198019802+J242*0.9801980198))</f>
        <v>0</v>
      </c>
      <c r="K243">
        <f>IF($E243="","",IF($E242="",$E243,$E243*0.0099502488+K242*0.9900497512))</f>
        <v>0</v>
      </c>
      <c r="L243">
        <f>IF(OR($E243="",$E242=""),"",MAX($E243-$E242,0))</f>
        <v>0</v>
      </c>
      <c r="M243">
        <f>IF(OR($E243="",$E242=""),"",MAX($E242-$E243,0))</f>
        <v>0</v>
      </c>
      <c r="N243">
        <f>IF(COUNT($E$2:$E243)&lt;15,"",IF(AVERAGE($M$230:$M$243)=0,100,100-100/(1+AVERAGE($L$230:$L$243)/AVERAGE($M$230:$M$243))))</f>
        <v>0</v>
      </c>
      <c r="O243">
        <f>IF($E243="","",IF($E242="",$E243,$E243*0.1538461538+O242*0.8461538462))</f>
        <v>0</v>
      </c>
      <c r="P243">
        <f>IF($E243="","",IF($E242="",$E243,$E243*0.0740740741+P242*0.9259259259))</f>
        <v>0</v>
      </c>
      <c r="Q243">
        <f>IF(OR(O243="",P243=""),"",O243-P243)</f>
        <v>0</v>
      </c>
      <c r="R243">
        <f>IF(Q243="","",IF(R242="",Q243,Q243*0.2000000000+R242*0.8000000000))</f>
        <v>0</v>
      </c>
      <c r="S243">
        <f>IF(OR(Q243="",R243=""),"",Q243-R243)</f>
        <v>0</v>
      </c>
      <c r="T243">
        <f>IF(COUNT($E$2:$E243)&lt;14,"",MAX($C$230:$C$243))</f>
        <v>0</v>
      </c>
      <c r="U243">
        <f>IF(COUNT($E$2:$E243)&lt;14,"",MIN($D$230:$D$243))</f>
        <v>0</v>
      </c>
      <c r="V243">
        <f>IF(OR(T243="",U243="",T243=U243),"",100*($E243-U243)/(T243-U243))</f>
        <v>0</v>
      </c>
      <c r="W243">
        <f>IF(COUNT($V$241:$V$243)&lt;3,"",AVERAGE($V$241:$V$243))</f>
        <v>0</v>
      </c>
      <c r="X243">
        <f>IF(COUNT($N$230:$N$243)&lt;14,"",MIN($N$230:$N$243))</f>
        <v>0</v>
      </c>
      <c r="Y243">
        <f>IF(COUNT($N$230:$N$243)&lt;14,"",MAX($N$230:$N$243))</f>
        <v>0</v>
      </c>
      <c r="Z243">
        <f>IF(OR(N243="",X243="",Y243="",Y243=X243),"",100*(N243-X243)/(Y243-X243))</f>
        <v>0</v>
      </c>
      <c r="AA243">
        <f>IF(COUNT($Z$241:$Z$243)&lt;3,"",AVERAGE($Z$241:$Z$243))</f>
        <v>0</v>
      </c>
      <c r="AB243">
        <f>IF(COUNT($AA$241:$AA$243)&lt;3,"",AVERAGE($AA$241:$AA$243))</f>
        <v>0</v>
      </c>
      <c r="AC243">
        <f>IF($E243="","",MAX($C243-$D243,ABS($C243-$E242),ABS($D243-$E242)))</f>
        <v>0</v>
      </c>
      <c r="AD243">
        <f>IF(COUNT($E$2:$E243)&lt;15,"",AVERAGE($AC$230:$AC$243))</f>
        <v>0</v>
      </c>
      <c r="AE243">
        <f>IF(OR($E243="",$E242=""),"",IF(AND(($C243-$C242)&gt;($D242-$D243),($C243-$C242)&gt;0),$C243-$C242,0))</f>
        <v>0</v>
      </c>
      <c r="AF243">
        <f>IF(OR($E243="",$E242=""),"",IF(AND(($D242-$D243)&gt;($C243-$C242),($D242-$D243)&gt;0),$D242-$D243,0))</f>
        <v>0</v>
      </c>
      <c r="AG243">
        <f>IF(COUNT($E$2:$E243)&lt;15,"",IF(SUM($AC$230:$AC$243)=0,0,100*SUM($AE$230:$AE$243)/SUM($AC$230:$AC$243)))</f>
        <v>0</v>
      </c>
      <c r="AH243">
        <f>IF(COUNT($E$2:$E243)&lt;15,"",IF(SUM($AC$230:$AC$243)=0,0,100*SUM($AF$230:$AF$243)/SUM($AC$230:$AC$243)))</f>
        <v>0</v>
      </c>
      <c r="AI243">
        <f>IF(OR(AG243="",AH243=""),"",IF((AG243+AH243)=0,0,100*ABS(AG243-AH243)/(AG243+AH243)))</f>
        <v>0</v>
      </c>
      <c r="AJ243">
        <f>IF(COUNT($AI$230:$AI$243)&lt;14,"",AVERAGE($AI$230:$AI$243))</f>
        <v>0</v>
      </c>
      <c r="AK243">
        <f>IF(COUNT($E$2:$E243)&lt;20,"",AVERAGE($E$224:$E$243))</f>
        <v>0</v>
      </c>
      <c r="AL243">
        <f>IF(COUNT($E$2:$E243)&lt;20,"",STDEVP($E$224:$E$243))</f>
        <v>0</v>
      </c>
      <c r="AM243">
        <f>IF(AK243="","",AK243+2*AL243)</f>
        <v>0</v>
      </c>
      <c r="AN243">
        <f>IF(AK243="","",AK243-2*AL243)</f>
        <v>0</v>
      </c>
      <c r="AO243">
        <f>IF(OR(AM243="",AN243="",AM243=AN243),"",($E243-AN243)/(AM243-AN243))</f>
        <v>0</v>
      </c>
      <c r="AP243">
        <f>IF(OR(AM243="",AK243="",AK243=0),"",(AM243-AN243)/AK243)</f>
        <v>0</v>
      </c>
      <c r="AQ243">
        <f>IF(COUNT($E$2:$E243)&lt;20,"",MAX($C$224:$C$243))</f>
        <v>0</v>
      </c>
      <c r="AR243">
        <f>IF(COUNT($E$2:$E243)&lt;20,"",MIN($D$224:$D$243))</f>
        <v>0</v>
      </c>
      <c r="AS243">
        <f>IF(OR(AQ243="",AR243=""),"",(AQ243+AR243)/2)</f>
        <v>0</v>
      </c>
      <c r="AT243">
        <f>IF(COUNT($G$224:$G$243)&lt;20,"",STDEV($G$224:$G$243)*SQRT(252))</f>
        <v>0</v>
      </c>
      <c r="AU243">
        <f>IF(COUNT($E$2:$E243)&lt;9,"",(MAX($C$235:$C$243)+MIN($D$235:$D$243))/2)</f>
        <v>0</v>
      </c>
      <c r="AV243">
        <f>IF(COUNT($E$2:$E243)&lt;26,"",(MAX($C$218:$C$243)+MIN($D$218:$D$243))/2)</f>
        <v>0</v>
      </c>
      <c r="AW243">
        <f>IF(OR(AU243="",AV243=""),"",(AU243+AV243)/2)</f>
        <v>0</v>
      </c>
      <c r="AX243">
        <f>IF(COUNT($E$2:$E243)&lt;52,"",(MAX($C$192:$C$243)+MIN($D$192:$D$243))/2)</f>
        <v>0</v>
      </c>
      <c r="AY243">
        <f>IF(COUNT($E$2:$E243)&lt;20,"",MAX($C$144:$C$243))</f>
        <v>0</v>
      </c>
      <c r="AZ243">
        <f>IF(COUNT($E$2:$E243)&lt;20,"",MIN($D$144:$D$243))</f>
        <v>0</v>
      </c>
      <c r="BA243">
        <f>IF(COUNT($E$2:$E243)&lt;20,"",SLOPE($E$144:$E$243,$F$144:$F$243))</f>
        <v>0</v>
      </c>
      <c r="BB243">
        <f>IF(COUNT($E$2:$E243)&lt;20,"",INTERCEPT($E$144:$E$243,$F$144:$F$243))</f>
        <v>0</v>
      </c>
      <c r="BC243">
        <f>IF(OR(BA243="",BB243=""),"",BB243+BA243*F243)</f>
        <v>0</v>
      </c>
      <c r="BD243">
        <f>IF(COUNT($E$2:$E243)&lt;20,"",STEYX($E$144:$E$243,$F$144:$F$243))</f>
        <v>0</v>
      </c>
      <c r="BE243">
        <f>IF($E243="","",IF(AND(COUNT($E$244:$E$247)&gt;=4,$C243=MAX($C$239:$C$247)),$C243,""))</f>
        <v>0</v>
      </c>
      <c r="BF243">
        <f>IF($E243="","",IF(AND(COUNT($E$244:$E$247)&gt;=4,$D243=MIN($D$239:$D$247)),$D243,""))</f>
        <v>0</v>
      </c>
      <c r="BG243">
        <f>IF($A243="","",$A243-WEEKDAY($A243,2)+1)</f>
        <v>0</v>
      </c>
      <c r="BH243">
        <f>IF($A243="","",IF($A242="",1,IF(BG243&lt;&gt;BG242,1,0)))</f>
        <v>0</v>
      </c>
      <c r="BI243">
        <f>IF($A243="","",IF($A244="",1,IF(BG244&lt;&gt;BG243,1,0)))</f>
        <v>0</v>
      </c>
      <c r="BJ243">
        <f>IF($A243="","",IF(BH243=1,$B243,BJ242))</f>
        <v>0</v>
      </c>
      <c r="BK243">
        <f>IF($A243="","",IF(BH243=1,$C243,MAX($C243,BK242)))</f>
        <v>0</v>
      </c>
      <c r="BL243">
        <f>IF($A243="","",IF(BH243=1,$D243,MIN($D243,BL242)))</f>
        <v>0</v>
      </c>
      <c r="BM243">
        <f>IF($A243="","",IF(BI243=1,F243,""))</f>
        <v>0</v>
      </c>
      <c r="BN243">
        <f>IF($A243="","",DATE(YEAR($A243),MONTH($A243),1))</f>
        <v>0</v>
      </c>
      <c r="BO243">
        <f>IF($A243="","",IF($A242="",1,IF(BN243&lt;&gt;BN242,1,0)))</f>
        <v>0</v>
      </c>
      <c r="BP243">
        <f>IF($A243="","",IF($A244="",1,IF(BN244&lt;&gt;BN243,1,0)))</f>
        <v>0</v>
      </c>
      <c r="BQ243">
        <f>IF($A243="","",IF(BO243=1,$B243,BQ242))</f>
        <v>0</v>
      </c>
      <c r="BR243">
        <f>IF($A243="","",IF(BO243=1,$C243,MAX($C243,BR242)))</f>
        <v>0</v>
      </c>
      <c r="BS243">
        <f>IF($A243="","",IF(BO243=1,$D243,MIN($D243,BS242)))</f>
        <v>0</v>
      </c>
      <c r="BT243">
        <f>IF($A243="","",IF(BP243=1,F243,""))</f>
        <v>0</v>
      </c>
    </row>
    <row r="244" spans="1:72">
      <c r="A244" s="27">
        <f>IF(Data!$A244="","",Data!$A244)</f>
        <v>0</v>
      </c>
      <c r="B244">
        <f>IF(Data!$B244="","",Data!$B244)</f>
        <v>0</v>
      </c>
      <c r="C244">
        <f>IF(Data!$C244="","",Data!$C244)</f>
        <v>0</v>
      </c>
      <c r="D244">
        <f>IF(Data!$D244="","",Data!$D244)</f>
        <v>0</v>
      </c>
      <c r="E244">
        <f>IF(Data!$E244="","",Data!$E244)</f>
        <v>0</v>
      </c>
      <c r="F244">
        <f>IF($E244="","",N(F243)+1)</f>
        <v>0</v>
      </c>
      <c r="G244">
        <f>IF(OR($E244="",$E243=""),"",LN($E244/$E243))</f>
        <v>0</v>
      </c>
      <c r="H244">
        <f>IF($E244="","",IF($E243="",$E244,$E244*0.0952380952+H243*0.9047619048))</f>
        <v>0</v>
      </c>
      <c r="I244">
        <f>IF($E244="","",IF($E243="",$E244,$E244*0.0392156863+I243*0.9607843137))</f>
        <v>0</v>
      </c>
      <c r="J244">
        <f>IF($E244="","",IF($E243="",$E244,$E244*0.0198019802+J243*0.9801980198))</f>
        <v>0</v>
      </c>
      <c r="K244">
        <f>IF($E244="","",IF($E243="",$E244,$E244*0.0099502488+K243*0.9900497512))</f>
        <v>0</v>
      </c>
      <c r="L244">
        <f>IF(OR($E244="",$E243=""),"",MAX($E244-$E243,0))</f>
        <v>0</v>
      </c>
      <c r="M244">
        <f>IF(OR($E244="",$E243=""),"",MAX($E243-$E244,0))</f>
        <v>0</v>
      </c>
      <c r="N244">
        <f>IF(COUNT($E$2:$E244)&lt;15,"",IF(AVERAGE($M$231:$M$244)=0,100,100-100/(1+AVERAGE($L$231:$L$244)/AVERAGE($M$231:$M$244))))</f>
        <v>0</v>
      </c>
      <c r="O244">
        <f>IF($E244="","",IF($E243="",$E244,$E244*0.1538461538+O243*0.8461538462))</f>
        <v>0</v>
      </c>
      <c r="P244">
        <f>IF($E244="","",IF($E243="",$E244,$E244*0.0740740741+P243*0.9259259259))</f>
        <v>0</v>
      </c>
      <c r="Q244">
        <f>IF(OR(O244="",P244=""),"",O244-P244)</f>
        <v>0</v>
      </c>
      <c r="R244">
        <f>IF(Q244="","",IF(R243="",Q244,Q244*0.2000000000+R243*0.8000000000))</f>
        <v>0</v>
      </c>
      <c r="S244">
        <f>IF(OR(Q244="",R244=""),"",Q244-R244)</f>
        <v>0</v>
      </c>
      <c r="T244">
        <f>IF(COUNT($E$2:$E244)&lt;14,"",MAX($C$231:$C$244))</f>
        <v>0</v>
      </c>
      <c r="U244">
        <f>IF(COUNT($E$2:$E244)&lt;14,"",MIN($D$231:$D$244))</f>
        <v>0</v>
      </c>
      <c r="V244">
        <f>IF(OR(T244="",U244="",T244=U244),"",100*($E244-U244)/(T244-U244))</f>
        <v>0</v>
      </c>
      <c r="W244">
        <f>IF(COUNT($V$242:$V$244)&lt;3,"",AVERAGE($V$242:$V$244))</f>
        <v>0</v>
      </c>
      <c r="X244">
        <f>IF(COUNT($N$231:$N$244)&lt;14,"",MIN($N$231:$N$244))</f>
        <v>0</v>
      </c>
      <c r="Y244">
        <f>IF(COUNT($N$231:$N$244)&lt;14,"",MAX($N$231:$N$244))</f>
        <v>0</v>
      </c>
      <c r="Z244">
        <f>IF(OR(N244="",X244="",Y244="",Y244=X244),"",100*(N244-X244)/(Y244-X244))</f>
        <v>0</v>
      </c>
      <c r="AA244">
        <f>IF(COUNT($Z$242:$Z$244)&lt;3,"",AVERAGE($Z$242:$Z$244))</f>
        <v>0</v>
      </c>
      <c r="AB244">
        <f>IF(COUNT($AA$242:$AA$244)&lt;3,"",AVERAGE($AA$242:$AA$244))</f>
        <v>0</v>
      </c>
      <c r="AC244">
        <f>IF($E244="","",MAX($C244-$D244,ABS($C244-$E243),ABS($D244-$E243)))</f>
        <v>0</v>
      </c>
      <c r="AD244">
        <f>IF(COUNT($E$2:$E244)&lt;15,"",AVERAGE($AC$231:$AC$244))</f>
        <v>0</v>
      </c>
      <c r="AE244">
        <f>IF(OR($E244="",$E243=""),"",IF(AND(($C244-$C243)&gt;($D243-$D244),($C244-$C243)&gt;0),$C244-$C243,0))</f>
        <v>0</v>
      </c>
      <c r="AF244">
        <f>IF(OR($E244="",$E243=""),"",IF(AND(($D243-$D244)&gt;($C244-$C243),($D243-$D244)&gt;0),$D243-$D244,0))</f>
        <v>0</v>
      </c>
      <c r="AG244">
        <f>IF(COUNT($E$2:$E244)&lt;15,"",IF(SUM($AC$231:$AC$244)=0,0,100*SUM($AE$231:$AE$244)/SUM($AC$231:$AC$244)))</f>
        <v>0</v>
      </c>
      <c r="AH244">
        <f>IF(COUNT($E$2:$E244)&lt;15,"",IF(SUM($AC$231:$AC$244)=0,0,100*SUM($AF$231:$AF$244)/SUM($AC$231:$AC$244)))</f>
        <v>0</v>
      </c>
      <c r="AI244">
        <f>IF(OR(AG244="",AH244=""),"",IF((AG244+AH244)=0,0,100*ABS(AG244-AH244)/(AG244+AH244)))</f>
        <v>0</v>
      </c>
      <c r="AJ244">
        <f>IF(COUNT($AI$231:$AI$244)&lt;14,"",AVERAGE($AI$231:$AI$244))</f>
        <v>0</v>
      </c>
      <c r="AK244">
        <f>IF(COUNT($E$2:$E244)&lt;20,"",AVERAGE($E$225:$E$244))</f>
        <v>0</v>
      </c>
      <c r="AL244">
        <f>IF(COUNT($E$2:$E244)&lt;20,"",STDEVP($E$225:$E$244))</f>
        <v>0</v>
      </c>
      <c r="AM244">
        <f>IF(AK244="","",AK244+2*AL244)</f>
        <v>0</v>
      </c>
      <c r="AN244">
        <f>IF(AK244="","",AK244-2*AL244)</f>
        <v>0</v>
      </c>
      <c r="AO244">
        <f>IF(OR(AM244="",AN244="",AM244=AN244),"",($E244-AN244)/(AM244-AN244))</f>
        <v>0</v>
      </c>
      <c r="AP244">
        <f>IF(OR(AM244="",AK244="",AK244=0),"",(AM244-AN244)/AK244)</f>
        <v>0</v>
      </c>
      <c r="AQ244">
        <f>IF(COUNT($E$2:$E244)&lt;20,"",MAX($C$225:$C$244))</f>
        <v>0</v>
      </c>
      <c r="AR244">
        <f>IF(COUNT($E$2:$E244)&lt;20,"",MIN($D$225:$D$244))</f>
        <v>0</v>
      </c>
      <c r="AS244">
        <f>IF(OR(AQ244="",AR244=""),"",(AQ244+AR244)/2)</f>
        <v>0</v>
      </c>
      <c r="AT244">
        <f>IF(COUNT($G$225:$G$244)&lt;20,"",STDEV($G$225:$G$244)*SQRT(252))</f>
        <v>0</v>
      </c>
      <c r="AU244">
        <f>IF(COUNT($E$2:$E244)&lt;9,"",(MAX($C$236:$C$244)+MIN($D$236:$D$244))/2)</f>
        <v>0</v>
      </c>
      <c r="AV244">
        <f>IF(COUNT($E$2:$E244)&lt;26,"",(MAX($C$219:$C$244)+MIN($D$219:$D$244))/2)</f>
        <v>0</v>
      </c>
      <c r="AW244">
        <f>IF(OR(AU244="",AV244=""),"",(AU244+AV244)/2)</f>
        <v>0</v>
      </c>
      <c r="AX244">
        <f>IF(COUNT($E$2:$E244)&lt;52,"",(MAX($C$193:$C$244)+MIN($D$193:$D$244))/2)</f>
        <v>0</v>
      </c>
      <c r="AY244">
        <f>IF(COUNT($E$2:$E244)&lt;20,"",MAX($C$145:$C$244))</f>
        <v>0</v>
      </c>
      <c r="AZ244">
        <f>IF(COUNT($E$2:$E244)&lt;20,"",MIN($D$145:$D$244))</f>
        <v>0</v>
      </c>
      <c r="BA244">
        <f>IF(COUNT($E$2:$E244)&lt;20,"",SLOPE($E$145:$E$244,$F$145:$F$244))</f>
        <v>0</v>
      </c>
      <c r="BB244">
        <f>IF(COUNT($E$2:$E244)&lt;20,"",INTERCEPT($E$145:$E$244,$F$145:$F$244))</f>
        <v>0</v>
      </c>
      <c r="BC244">
        <f>IF(OR(BA244="",BB244=""),"",BB244+BA244*F244)</f>
        <v>0</v>
      </c>
      <c r="BD244">
        <f>IF(COUNT($E$2:$E244)&lt;20,"",STEYX($E$145:$E$244,$F$145:$F$244))</f>
        <v>0</v>
      </c>
      <c r="BE244">
        <f>IF($E244="","",IF(AND(COUNT($E$245:$E$248)&gt;=4,$C244=MAX($C$240:$C$248)),$C244,""))</f>
        <v>0</v>
      </c>
      <c r="BF244">
        <f>IF($E244="","",IF(AND(COUNT($E$245:$E$248)&gt;=4,$D244=MIN($D$240:$D$248)),$D244,""))</f>
        <v>0</v>
      </c>
      <c r="BG244">
        <f>IF($A244="","",$A244-WEEKDAY($A244,2)+1)</f>
        <v>0</v>
      </c>
      <c r="BH244">
        <f>IF($A244="","",IF($A243="",1,IF(BG244&lt;&gt;BG243,1,0)))</f>
        <v>0</v>
      </c>
      <c r="BI244">
        <f>IF($A244="","",IF($A245="",1,IF(BG245&lt;&gt;BG244,1,0)))</f>
        <v>0</v>
      </c>
      <c r="BJ244">
        <f>IF($A244="","",IF(BH244=1,$B244,BJ243))</f>
        <v>0</v>
      </c>
      <c r="BK244">
        <f>IF($A244="","",IF(BH244=1,$C244,MAX($C244,BK243)))</f>
        <v>0</v>
      </c>
      <c r="BL244">
        <f>IF($A244="","",IF(BH244=1,$D244,MIN($D244,BL243)))</f>
        <v>0</v>
      </c>
      <c r="BM244">
        <f>IF($A244="","",IF(BI244=1,F244,""))</f>
        <v>0</v>
      </c>
      <c r="BN244">
        <f>IF($A244="","",DATE(YEAR($A244),MONTH($A244),1))</f>
        <v>0</v>
      </c>
      <c r="BO244">
        <f>IF($A244="","",IF($A243="",1,IF(BN244&lt;&gt;BN243,1,0)))</f>
        <v>0</v>
      </c>
      <c r="BP244">
        <f>IF($A244="","",IF($A245="",1,IF(BN245&lt;&gt;BN244,1,0)))</f>
        <v>0</v>
      </c>
      <c r="BQ244">
        <f>IF($A244="","",IF(BO244=1,$B244,BQ243))</f>
        <v>0</v>
      </c>
      <c r="BR244">
        <f>IF($A244="","",IF(BO244=1,$C244,MAX($C244,BR243)))</f>
        <v>0</v>
      </c>
      <c r="BS244">
        <f>IF($A244="","",IF(BO244=1,$D244,MIN($D244,BS243)))</f>
        <v>0</v>
      </c>
      <c r="BT244">
        <f>IF($A244="","",IF(BP244=1,F244,""))</f>
        <v>0</v>
      </c>
    </row>
    <row r="245" spans="1:72">
      <c r="A245" s="27">
        <f>IF(Data!$A245="","",Data!$A245)</f>
        <v>0</v>
      </c>
      <c r="B245">
        <f>IF(Data!$B245="","",Data!$B245)</f>
        <v>0</v>
      </c>
      <c r="C245">
        <f>IF(Data!$C245="","",Data!$C245)</f>
        <v>0</v>
      </c>
      <c r="D245">
        <f>IF(Data!$D245="","",Data!$D245)</f>
        <v>0</v>
      </c>
      <c r="E245">
        <f>IF(Data!$E245="","",Data!$E245)</f>
        <v>0</v>
      </c>
      <c r="F245">
        <f>IF($E245="","",N(F244)+1)</f>
        <v>0</v>
      </c>
      <c r="G245">
        <f>IF(OR($E245="",$E244=""),"",LN($E245/$E244))</f>
        <v>0</v>
      </c>
      <c r="H245">
        <f>IF($E245="","",IF($E244="",$E245,$E245*0.0952380952+H244*0.9047619048))</f>
        <v>0</v>
      </c>
      <c r="I245">
        <f>IF($E245="","",IF($E244="",$E245,$E245*0.0392156863+I244*0.9607843137))</f>
        <v>0</v>
      </c>
      <c r="J245">
        <f>IF($E245="","",IF($E244="",$E245,$E245*0.0198019802+J244*0.9801980198))</f>
        <v>0</v>
      </c>
      <c r="K245">
        <f>IF($E245="","",IF($E244="",$E245,$E245*0.0099502488+K244*0.9900497512))</f>
        <v>0</v>
      </c>
      <c r="L245">
        <f>IF(OR($E245="",$E244=""),"",MAX($E245-$E244,0))</f>
        <v>0</v>
      </c>
      <c r="M245">
        <f>IF(OR($E245="",$E244=""),"",MAX($E244-$E245,0))</f>
        <v>0</v>
      </c>
      <c r="N245">
        <f>IF(COUNT($E$2:$E245)&lt;15,"",IF(AVERAGE($M$232:$M$245)=0,100,100-100/(1+AVERAGE($L$232:$L$245)/AVERAGE($M$232:$M$245))))</f>
        <v>0</v>
      </c>
      <c r="O245">
        <f>IF($E245="","",IF($E244="",$E245,$E245*0.1538461538+O244*0.8461538462))</f>
        <v>0</v>
      </c>
      <c r="P245">
        <f>IF($E245="","",IF($E244="",$E245,$E245*0.0740740741+P244*0.9259259259))</f>
        <v>0</v>
      </c>
      <c r="Q245">
        <f>IF(OR(O245="",P245=""),"",O245-P245)</f>
        <v>0</v>
      </c>
      <c r="R245">
        <f>IF(Q245="","",IF(R244="",Q245,Q245*0.2000000000+R244*0.8000000000))</f>
        <v>0</v>
      </c>
      <c r="S245">
        <f>IF(OR(Q245="",R245=""),"",Q245-R245)</f>
        <v>0</v>
      </c>
      <c r="T245">
        <f>IF(COUNT($E$2:$E245)&lt;14,"",MAX($C$232:$C$245))</f>
        <v>0</v>
      </c>
      <c r="U245">
        <f>IF(COUNT($E$2:$E245)&lt;14,"",MIN($D$232:$D$245))</f>
        <v>0</v>
      </c>
      <c r="V245">
        <f>IF(OR(T245="",U245="",T245=U245),"",100*($E245-U245)/(T245-U245))</f>
        <v>0</v>
      </c>
      <c r="W245">
        <f>IF(COUNT($V$243:$V$245)&lt;3,"",AVERAGE($V$243:$V$245))</f>
        <v>0</v>
      </c>
      <c r="X245">
        <f>IF(COUNT($N$232:$N$245)&lt;14,"",MIN($N$232:$N$245))</f>
        <v>0</v>
      </c>
      <c r="Y245">
        <f>IF(COUNT($N$232:$N$245)&lt;14,"",MAX($N$232:$N$245))</f>
        <v>0</v>
      </c>
      <c r="Z245">
        <f>IF(OR(N245="",X245="",Y245="",Y245=X245),"",100*(N245-X245)/(Y245-X245))</f>
        <v>0</v>
      </c>
      <c r="AA245">
        <f>IF(COUNT($Z$243:$Z$245)&lt;3,"",AVERAGE($Z$243:$Z$245))</f>
        <v>0</v>
      </c>
      <c r="AB245">
        <f>IF(COUNT($AA$243:$AA$245)&lt;3,"",AVERAGE($AA$243:$AA$245))</f>
        <v>0</v>
      </c>
      <c r="AC245">
        <f>IF($E245="","",MAX($C245-$D245,ABS($C245-$E244),ABS($D245-$E244)))</f>
        <v>0</v>
      </c>
      <c r="AD245">
        <f>IF(COUNT($E$2:$E245)&lt;15,"",AVERAGE($AC$232:$AC$245))</f>
        <v>0</v>
      </c>
      <c r="AE245">
        <f>IF(OR($E245="",$E244=""),"",IF(AND(($C245-$C244)&gt;($D244-$D245),($C245-$C244)&gt;0),$C245-$C244,0))</f>
        <v>0</v>
      </c>
      <c r="AF245">
        <f>IF(OR($E245="",$E244=""),"",IF(AND(($D244-$D245)&gt;($C245-$C244),($D244-$D245)&gt;0),$D244-$D245,0))</f>
        <v>0</v>
      </c>
      <c r="AG245">
        <f>IF(COUNT($E$2:$E245)&lt;15,"",IF(SUM($AC$232:$AC$245)=0,0,100*SUM($AE$232:$AE$245)/SUM($AC$232:$AC$245)))</f>
        <v>0</v>
      </c>
      <c r="AH245">
        <f>IF(COUNT($E$2:$E245)&lt;15,"",IF(SUM($AC$232:$AC$245)=0,0,100*SUM($AF$232:$AF$245)/SUM($AC$232:$AC$245)))</f>
        <v>0</v>
      </c>
      <c r="AI245">
        <f>IF(OR(AG245="",AH245=""),"",IF((AG245+AH245)=0,0,100*ABS(AG245-AH245)/(AG245+AH245)))</f>
        <v>0</v>
      </c>
      <c r="AJ245">
        <f>IF(COUNT($AI$232:$AI$245)&lt;14,"",AVERAGE($AI$232:$AI$245))</f>
        <v>0</v>
      </c>
      <c r="AK245">
        <f>IF(COUNT($E$2:$E245)&lt;20,"",AVERAGE($E$226:$E$245))</f>
        <v>0</v>
      </c>
      <c r="AL245">
        <f>IF(COUNT($E$2:$E245)&lt;20,"",STDEVP($E$226:$E$245))</f>
        <v>0</v>
      </c>
      <c r="AM245">
        <f>IF(AK245="","",AK245+2*AL245)</f>
        <v>0</v>
      </c>
      <c r="AN245">
        <f>IF(AK245="","",AK245-2*AL245)</f>
        <v>0</v>
      </c>
      <c r="AO245">
        <f>IF(OR(AM245="",AN245="",AM245=AN245),"",($E245-AN245)/(AM245-AN245))</f>
        <v>0</v>
      </c>
      <c r="AP245">
        <f>IF(OR(AM245="",AK245="",AK245=0),"",(AM245-AN245)/AK245)</f>
        <v>0</v>
      </c>
      <c r="AQ245">
        <f>IF(COUNT($E$2:$E245)&lt;20,"",MAX($C$226:$C$245))</f>
        <v>0</v>
      </c>
      <c r="AR245">
        <f>IF(COUNT($E$2:$E245)&lt;20,"",MIN($D$226:$D$245))</f>
        <v>0</v>
      </c>
      <c r="AS245">
        <f>IF(OR(AQ245="",AR245=""),"",(AQ245+AR245)/2)</f>
        <v>0</v>
      </c>
      <c r="AT245">
        <f>IF(COUNT($G$226:$G$245)&lt;20,"",STDEV($G$226:$G$245)*SQRT(252))</f>
        <v>0</v>
      </c>
      <c r="AU245">
        <f>IF(COUNT($E$2:$E245)&lt;9,"",(MAX($C$237:$C$245)+MIN($D$237:$D$245))/2)</f>
        <v>0</v>
      </c>
      <c r="AV245">
        <f>IF(COUNT($E$2:$E245)&lt;26,"",(MAX($C$220:$C$245)+MIN($D$220:$D$245))/2)</f>
        <v>0</v>
      </c>
      <c r="AW245">
        <f>IF(OR(AU245="",AV245=""),"",(AU245+AV245)/2)</f>
        <v>0</v>
      </c>
      <c r="AX245">
        <f>IF(COUNT($E$2:$E245)&lt;52,"",(MAX($C$194:$C$245)+MIN($D$194:$D$245))/2)</f>
        <v>0</v>
      </c>
      <c r="AY245">
        <f>IF(COUNT($E$2:$E245)&lt;20,"",MAX($C$146:$C$245))</f>
        <v>0</v>
      </c>
      <c r="AZ245">
        <f>IF(COUNT($E$2:$E245)&lt;20,"",MIN($D$146:$D$245))</f>
        <v>0</v>
      </c>
      <c r="BA245">
        <f>IF(COUNT($E$2:$E245)&lt;20,"",SLOPE($E$146:$E$245,$F$146:$F$245))</f>
        <v>0</v>
      </c>
      <c r="BB245">
        <f>IF(COUNT($E$2:$E245)&lt;20,"",INTERCEPT($E$146:$E$245,$F$146:$F$245))</f>
        <v>0</v>
      </c>
      <c r="BC245">
        <f>IF(OR(BA245="",BB245=""),"",BB245+BA245*F245)</f>
        <v>0</v>
      </c>
      <c r="BD245">
        <f>IF(COUNT($E$2:$E245)&lt;20,"",STEYX($E$146:$E$245,$F$146:$F$245))</f>
        <v>0</v>
      </c>
      <c r="BE245">
        <f>IF($E245="","",IF(AND(COUNT($E$246:$E$249)&gt;=4,$C245=MAX($C$241:$C$249)),$C245,""))</f>
        <v>0</v>
      </c>
      <c r="BF245">
        <f>IF($E245="","",IF(AND(COUNT($E$246:$E$249)&gt;=4,$D245=MIN($D$241:$D$249)),$D245,""))</f>
        <v>0</v>
      </c>
      <c r="BG245">
        <f>IF($A245="","",$A245-WEEKDAY($A245,2)+1)</f>
        <v>0</v>
      </c>
      <c r="BH245">
        <f>IF($A245="","",IF($A244="",1,IF(BG245&lt;&gt;BG244,1,0)))</f>
        <v>0</v>
      </c>
      <c r="BI245">
        <f>IF($A245="","",IF($A246="",1,IF(BG246&lt;&gt;BG245,1,0)))</f>
        <v>0</v>
      </c>
      <c r="BJ245">
        <f>IF($A245="","",IF(BH245=1,$B245,BJ244))</f>
        <v>0</v>
      </c>
      <c r="BK245">
        <f>IF($A245="","",IF(BH245=1,$C245,MAX($C245,BK244)))</f>
        <v>0</v>
      </c>
      <c r="BL245">
        <f>IF($A245="","",IF(BH245=1,$D245,MIN($D245,BL244)))</f>
        <v>0</v>
      </c>
      <c r="BM245">
        <f>IF($A245="","",IF(BI245=1,F245,""))</f>
        <v>0</v>
      </c>
      <c r="BN245">
        <f>IF($A245="","",DATE(YEAR($A245),MONTH($A245),1))</f>
        <v>0</v>
      </c>
      <c r="BO245">
        <f>IF($A245="","",IF($A244="",1,IF(BN245&lt;&gt;BN244,1,0)))</f>
        <v>0</v>
      </c>
      <c r="BP245">
        <f>IF($A245="","",IF($A246="",1,IF(BN246&lt;&gt;BN245,1,0)))</f>
        <v>0</v>
      </c>
      <c r="BQ245">
        <f>IF($A245="","",IF(BO245=1,$B245,BQ244))</f>
        <v>0</v>
      </c>
      <c r="BR245">
        <f>IF($A245="","",IF(BO245=1,$C245,MAX($C245,BR244)))</f>
        <v>0</v>
      </c>
      <c r="BS245">
        <f>IF($A245="","",IF(BO245=1,$D245,MIN($D245,BS244)))</f>
        <v>0</v>
      </c>
      <c r="BT245">
        <f>IF($A245="","",IF(BP245=1,F245,""))</f>
        <v>0</v>
      </c>
    </row>
    <row r="246" spans="1:72">
      <c r="A246" s="27">
        <f>IF(Data!$A246="","",Data!$A246)</f>
        <v>0</v>
      </c>
      <c r="B246">
        <f>IF(Data!$B246="","",Data!$B246)</f>
        <v>0</v>
      </c>
      <c r="C246">
        <f>IF(Data!$C246="","",Data!$C246)</f>
        <v>0</v>
      </c>
      <c r="D246">
        <f>IF(Data!$D246="","",Data!$D246)</f>
        <v>0</v>
      </c>
      <c r="E246">
        <f>IF(Data!$E246="","",Data!$E246)</f>
        <v>0</v>
      </c>
      <c r="F246">
        <f>IF($E246="","",N(F245)+1)</f>
        <v>0</v>
      </c>
      <c r="G246">
        <f>IF(OR($E246="",$E245=""),"",LN($E246/$E245))</f>
        <v>0</v>
      </c>
      <c r="H246">
        <f>IF($E246="","",IF($E245="",$E246,$E246*0.0952380952+H245*0.9047619048))</f>
        <v>0</v>
      </c>
      <c r="I246">
        <f>IF($E246="","",IF($E245="",$E246,$E246*0.0392156863+I245*0.9607843137))</f>
        <v>0</v>
      </c>
      <c r="J246">
        <f>IF($E246="","",IF($E245="",$E246,$E246*0.0198019802+J245*0.9801980198))</f>
        <v>0</v>
      </c>
      <c r="K246">
        <f>IF($E246="","",IF($E245="",$E246,$E246*0.0099502488+K245*0.9900497512))</f>
        <v>0</v>
      </c>
      <c r="L246">
        <f>IF(OR($E246="",$E245=""),"",MAX($E246-$E245,0))</f>
        <v>0</v>
      </c>
      <c r="M246">
        <f>IF(OR($E246="",$E245=""),"",MAX($E245-$E246,0))</f>
        <v>0</v>
      </c>
      <c r="N246">
        <f>IF(COUNT($E$2:$E246)&lt;15,"",IF(AVERAGE($M$233:$M$246)=0,100,100-100/(1+AVERAGE($L$233:$L$246)/AVERAGE($M$233:$M$246))))</f>
        <v>0</v>
      </c>
      <c r="O246">
        <f>IF($E246="","",IF($E245="",$E246,$E246*0.1538461538+O245*0.8461538462))</f>
        <v>0</v>
      </c>
      <c r="P246">
        <f>IF($E246="","",IF($E245="",$E246,$E246*0.0740740741+P245*0.9259259259))</f>
        <v>0</v>
      </c>
      <c r="Q246">
        <f>IF(OR(O246="",P246=""),"",O246-P246)</f>
        <v>0</v>
      </c>
      <c r="R246">
        <f>IF(Q246="","",IF(R245="",Q246,Q246*0.2000000000+R245*0.8000000000))</f>
        <v>0</v>
      </c>
      <c r="S246">
        <f>IF(OR(Q246="",R246=""),"",Q246-R246)</f>
        <v>0</v>
      </c>
      <c r="T246">
        <f>IF(COUNT($E$2:$E246)&lt;14,"",MAX($C$233:$C$246))</f>
        <v>0</v>
      </c>
      <c r="U246">
        <f>IF(COUNT($E$2:$E246)&lt;14,"",MIN($D$233:$D$246))</f>
        <v>0</v>
      </c>
      <c r="V246">
        <f>IF(OR(T246="",U246="",T246=U246),"",100*($E246-U246)/(T246-U246))</f>
        <v>0</v>
      </c>
      <c r="W246">
        <f>IF(COUNT($V$244:$V$246)&lt;3,"",AVERAGE($V$244:$V$246))</f>
        <v>0</v>
      </c>
      <c r="X246">
        <f>IF(COUNT($N$233:$N$246)&lt;14,"",MIN($N$233:$N$246))</f>
        <v>0</v>
      </c>
      <c r="Y246">
        <f>IF(COUNT($N$233:$N$246)&lt;14,"",MAX($N$233:$N$246))</f>
        <v>0</v>
      </c>
      <c r="Z246">
        <f>IF(OR(N246="",X246="",Y246="",Y246=X246),"",100*(N246-X246)/(Y246-X246))</f>
        <v>0</v>
      </c>
      <c r="AA246">
        <f>IF(COUNT($Z$244:$Z$246)&lt;3,"",AVERAGE($Z$244:$Z$246))</f>
        <v>0</v>
      </c>
      <c r="AB246">
        <f>IF(COUNT($AA$244:$AA$246)&lt;3,"",AVERAGE($AA$244:$AA$246))</f>
        <v>0</v>
      </c>
      <c r="AC246">
        <f>IF($E246="","",MAX($C246-$D246,ABS($C246-$E245),ABS($D246-$E245)))</f>
        <v>0</v>
      </c>
      <c r="AD246">
        <f>IF(COUNT($E$2:$E246)&lt;15,"",AVERAGE($AC$233:$AC$246))</f>
        <v>0</v>
      </c>
      <c r="AE246">
        <f>IF(OR($E246="",$E245=""),"",IF(AND(($C246-$C245)&gt;($D245-$D246),($C246-$C245)&gt;0),$C246-$C245,0))</f>
        <v>0</v>
      </c>
      <c r="AF246">
        <f>IF(OR($E246="",$E245=""),"",IF(AND(($D245-$D246)&gt;($C246-$C245),($D245-$D246)&gt;0),$D245-$D246,0))</f>
        <v>0</v>
      </c>
      <c r="AG246">
        <f>IF(COUNT($E$2:$E246)&lt;15,"",IF(SUM($AC$233:$AC$246)=0,0,100*SUM($AE$233:$AE$246)/SUM($AC$233:$AC$246)))</f>
        <v>0</v>
      </c>
      <c r="AH246">
        <f>IF(COUNT($E$2:$E246)&lt;15,"",IF(SUM($AC$233:$AC$246)=0,0,100*SUM($AF$233:$AF$246)/SUM($AC$233:$AC$246)))</f>
        <v>0</v>
      </c>
      <c r="AI246">
        <f>IF(OR(AG246="",AH246=""),"",IF((AG246+AH246)=0,0,100*ABS(AG246-AH246)/(AG246+AH246)))</f>
        <v>0</v>
      </c>
      <c r="AJ246">
        <f>IF(COUNT($AI$233:$AI$246)&lt;14,"",AVERAGE($AI$233:$AI$246))</f>
        <v>0</v>
      </c>
      <c r="AK246">
        <f>IF(COUNT($E$2:$E246)&lt;20,"",AVERAGE($E$227:$E$246))</f>
        <v>0</v>
      </c>
      <c r="AL246">
        <f>IF(COUNT($E$2:$E246)&lt;20,"",STDEVP($E$227:$E$246))</f>
        <v>0</v>
      </c>
      <c r="AM246">
        <f>IF(AK246="","",AK246+2*AL246)</f>
        <v>0</v>
      </c>
      <c r="AN246">
        <f>IF(AK246="","",AK246-2*AL246)</f>
        <v>0</v>
      </c>
      <c r="AO246">
        <f>IF(OR(AM246="",AN246="",AM246=AN246),"",($E246-AN246)/(AM246-AN246))</f>
        <v>0</v>
      </c>
      <c r="AP246">
        <f>IF(OR(AM246="",AK246="",AK246=0),"",(AM246-AN246)/AK246)</f>
        <v>0</v>
      </c>
      <c r="AQ246">
        <f>IF(COUNT($E$2:$E246)&lt;20,"",MAX($C$227:$C$246))</f>
        <v>0</v>
      </c>
      <c r="AR246">
        <f>IF(COUNT($E$2:$E246)&lt;20,"",MIN($D$227:$D$246))</f>
        <v>0</v>
      </c>
      <c r="AS246">
        <f>IF(OR(AQ246="",AR246=""),"",(AQ246+AR246)/2)</f>
        <v>0</v>
      </c>
      <c r="AT246">
        <f>IF(COUNT($G$227:$G$246)&lt;20,"",STDEV($G$227:$G$246)*SQRT(252))</f>
        <v>0</v>
      </c>
      <c r="AU246">
        <f>IF(COUNT($E$2:$E246)&lt;9,"",(MAX($C$238:$C$246)+MIN($D$238:$D$246))/2)</f>
        <v>0</v>
      </c>
      <c r="AV246">
        <f>IF(COUNT($E$2:$E246)&lt;26,"",(MAX($C$221:$C$246)+MIN($D$221:$D$246))/2)</f>
        <v>0</v>
      </c>
      <c r="AW246">
        <f>IF(OR(AU246="",AV246=""),"",(AU246+AV246)/2)</f>
        <v>0</v>
      </c>
      <c r="AX246">
        <f>IF(COUNT($E$2:$E246)&lt;52,"",(MAX($C$195:$C$246)+MIN($D$195:$D$246))/2)</f>
        <v>0</v>
      </c>
      <c r="AY246">
        <f>IF(COUNT($E$2:$E246)&lt;20,"",MAX($C$147:$C$246))</f>
        <v>0</v>
      </c>
      <c r="AZ246">
        <f>IF(COUNT($E$2:$E246)&lt;20,"",MIN($D$147:$D$246))</f>
        <v>0</v>
      </c>
      <c r="BA246">
        <f>IF(COUNT($E$2:$E246)&lt;20,"",SLOPE($E$147:$E$246,$F$147:$F$246))</f>
        <v>0</v>
      </c>
      <c r="BB246">
        <f>IF(COUNT($E$2:$E246)&lt;20,"",INTERCEPT($E$147:$E$246,$F$147:$F$246))</f>
        <v>0</v>
      </c>
      <c r="BC246">
        <f>IF(OR(BA246="",BB246=""),"",BB246+BA246*F246)</f>
        <v>0</v>
      </c>
      <c r="BD246">
        <f>IF(COUNT($E$2:$E246)&lt;20,"",STEYX($E$147:$E$246,$F$147:$F$246))</f>
        <v>0</v>
      </c>
      <c r="BE246">
        <f>IF($E246="","",IF(AND(COUNT($E$247:$E$250)&gt;=4,$C246=MAX($C$242:$C$250)),$C246,""))</f>
        <v>0</v>
      </c>
      <c r="BF246">
        <f>IF($E246="","",IF(AND(COUNT($E$247:$E$250)&gt;=4,$D246=MIN($D$242:$D$250)),$D246,""))</f>
        <v>0</v>
      </c>
      <c r="BG246">
        <f>IF($A246="","",$A246-WEEKDAY($A246,2)+1)</f>
        <v>0</v>
      </c>
      <c r="BH246">
        <f>IF($A246="","",IF($A245="",1,IF(BG246&lt;&gt;BG245,1,0)))</f>
        <v>0</v>
      </c>
      <c r="BI246">
        <f>IF($A246="","",IF($A247="",1,IF(BG247&lt;&gt;BG246,1,0)))</f>
        <v>0</v>
      </c>
      <c r="BJ246">
        <f>IF($A246="","",IF(BH246=1,$B246,BJ245))</f>
        <v>0</v>
      </c>
      <c r="BK246">
        <f>IF($A246="","",IF(BH246=1,$C246,MAX($C246,BK245)))</f>
        <v>0</v>
      </c>
      <c r="BL246">
        <f>IF($A246="","",IF(BH246=1,$D246,MIN($D246,BL245)))</f>
        <v>0</v>
      </c>
      <c r="BM246">
        <f>IF($A246="","",IF(BI246=1,F246,""))</f>
        <v>0</v>
      </c>
      <c r="BN246">
        <f>IF($A246="","",DATE(YEAR($A246),MONTH($A246),1))</f>
        <v>0</v>
      </c>
      <c r="BO246">
        <f>IF($A246="","",IF($A245="",1,IF(BN246&lt;&gt;BN245,1,0)))</f>
        <v>0</v>
      </c>
      <c r="BP246">
        <f>IF($A246="","",IF($A247="",1,IF(BN247&lt;&gt;BN246,1,0)))</f>
        <v>0</v>
      </c>
      <c r="BQ246">
        <f>IF($A246="","",IF(BO246=1,$B246,BQ245))</f>
        <v>0</v>
      </c>
      <c r="BR246">
        <f>IF($A246="","",IF(BO246=1,$C246,MAX($C246,BR245)))</f>
        <v>0</v>
      </c>
      <c r="BS246">
        <f>IF($A246="","",IF(BO246=1,$D246,MIN($D246,BS245)))</f>
        <v>0</v>
      </c>
      <c r="BT246">
        <f>IF($A246="","",IF(BP246=1,F246,""))</f>
        <v>0</v>
      </c>
    </row>
    <row r="247" spans="1:72">
      <c r="A247" s="27">
        <f>IF(Data!$A247="","",Data!$A247)</f>
        <v>0</v>
      </c>
      <c r="B247">
        <f>IF(Data!$B247="","",Data!$B247)</f>
        <v>0</v>
      </c>
      <c r="C247">
        <f>IF(Data!$C247="","",Data!$C247)</f>
        <v>0</v>
      </c>
      <c r="D247">
        <f>IF(Data!$D247="","",Data!$D247)</f>
        <v>0</v>
      </c>
      <c r="E247">
        <f>IF(Data!$E247="","",Data!$E247)</f>
        <v>0</v>
      </c>
      <c r="F247">
        <f>IF($E247="","",N(F246)+1)</f>
        <v>0</v>
      </c>
      <c r="G247">
        <f>IF(OR($E247="",$E246=""),"",LN($E247/$E246))</f>
        <v>0</v>
      </c>
      <c r="H247">
        <f>IF($E247="","",IF($E246="",$E247,$E247*0.0952380952+H246*0.9047619048))</f>
        <v>0</v>
      </c>
      <c r="I247">
        <f>IF($E247="","",IF($E246="",$E247,$E247*0.0392156863+I246*0.9607843137))</f>
        <v>0</v>
      </c>
      <c r="J247">
        <f>IF($E247="","",IF($E246="",$E247,$E247*0.0198019802+J246*0.9801980198))</f>
        <v>0</v>
      </c>
      <c r="K247">
        <f>IF($E247="","",IF($E246="",$E247,$E247*0.0099502488+K246*0.9900497512))</f>
        <v>0</v>
      </c>
      <c r="L247">
        <f>IF(OR($E247="",$E246=""),"",MAX($E247-$E246,0))</f>
        <v>0</v>
      </c>
      <c r="M247">
        <f>IF(OR($E247="",$E246=""),"",MAX($E246-$E247,0))</f>
        <v>0</v>
      </c>
      <c r="N247">
        <f>IF(COUNT($E$2:$E247)&lt;15,"",IF(AVERAGE($M$234:$M$247)=0,100,100-100/(1+AVERAGE($L$234:$L$247)/AVERAGE($M$234:$M$247))))</f>
        <v>0</v>
      </c>
      <c r="O247">
        <f>IF($E247="","",IF($E246="",$E247,$E247*0.1538461538+O246*0.8461538462))</f>
        <v>0</v>
      </c>
      <c r="P247">
        <f>IF($E247="","",IF($E246="",$E247,$E247*0.0740740741+P246*0.9259259259))</f>
        <v>0</v>
      </c>
      <c r="Q247">
        <f>IF(OR(O247="",P247=""),"",O247-P247)</f>
        <v>0</v>
      </c>
      <c r="R247">
        <f>IF(Q247="","",IF(R246="",Q247,Q247*0.2000000000+R246*0.8000000000))</f>
        <v>0</v>
      </c>
      <c r="S247">
        <f>IF(OR(Q247="",R247=""),"",Q247-R247)</f>
        <v>0</v>
      </c>
      <c r="T247">
        <f>IF(COUNT($E$2:$E247)&lt;14,"",MAX($C$234:$C$247))</f>
        <v>0</v>
      </c>
      <c r="U247">
        <f>IF(COUNT($E$2:$E247)&lt;14,"",MIN($D$234:$D$247))</f>
        <v>0</v>
      </c>
      <c r="V247">
        <f>IF(OR(T247="",U247="",T247=U247),"",100*($E247-U247)/(T247-U247))</f>
        <v>0</v>
      </c>
      <c r="W247">
        <f>IF(COUNT($V$245:$V$247)&lt;3,"",AVERAGE($V$245:$V$247))</f>
        <v>0</v>
      </c>
      <c r="X247">
        <f>IF(COUNT($N$234:$N$247)&lt;14,"",MIN($N$234:$N$247))</f>
        <v>0</v>
      </c>
      <c r="Y247">
        <f>IF(COUNT($N$234:$N$247)&lt;14,"",MAX($N$234:$N$247))</f>
        <v>0</v>
      </c>
      <c r="Z247">
        <f>IF(OR(N247="",X247="",Y247="",Y247=X247),"",100*(N247-X247)/(Y247-X247))</f>
        <v>0</v>
      </c>
      <c r="AA247">
        <f>IF(COUNT($Z$245:$Z$247)&lt;3,"",AVERAGE($Z$245:$Z$247))</f>
        <v>0</v>
      </c>
      <c r="AB247">
        <f>IF(COUNT($AA$245:$AA$247)&lt;3,"",AVERAGE($AA$245:$AA$247))</f>
        <v>0</v>
      </c>
      <c r="AC247">
        <f>IF($E247="","",MAX($C247-$D247,ABS($C247-$E246),ABS($D247-$E246)))</f>
        <v>0</v>
      </c>
      <c r="AD247">
        <f>IF(COUNT($E$2:$E247)&lt;15,"",AVERAGE($AC$234:$AC$247))</f>
        <v>0</v>
      </c>
      <c r="AE247">
        <f>IF(OR($E247="",$E246=""),"",IF(AND(($C247-$C246)&gt;($D246-$D247),($C247-$C246)&gt;0),$C247-$C246,0))</f>
        <v>0</v>
      </c>
      <c r="AF247">
        <f>IF(OR($E247="",$E246=""),"",IF(AND(($D246-$D247)&gt;($C247-$C246),($D246-$D247)&gt;0),$D246-$D247,0))</f>
        <v>0</v>
      </c>
      <c r="AG247">
        <f>IF(COUNT($E$2:$E247)&lt;15,"",IF(SUM($AC$234:$AC$247)=0,0,100*SUM($AE$234:$AE$247)/SUM($AC$234:$AC$247)))</f>
        <v>0</v>
      </c>
      <c r="AH247">
        <f>IF(COUNT($E$2:$E247)&lt;15,"",IF(SUM($AC$234:$AC$247)=0,0,100*SUM($AF$234:$AF$247)/SUM($AC$234:$AC$247)))</f>
        <v>0</v>
      </c>
      <c r="AI247">
        <f>IF(OR(AG247="",AH247=""),"",IF((AG247+AH247)=0,0,100*ABS(AG247-AH247)/(AG247+AH247)))</f>
        <v>0</v>
      </c>
      <c r="AJ247">
        <f>IF(COUNT($AI$234:$AI$247)&lt;14,"",AVERAGE($AI$234:$AI$247))</f>
        <v>0</v>
      </c>
      <c r="AK247">
        <f>IF(COUNT($E$2:$E247)&lt;20,"",AVERAGE($E$228:$E$247))</f>
        <v>0</v>
      </c>
      <c r="AL247">
        <f>IF(COUNT($E$2:$E247)&lt;20,"",STDEVP($E$228:$E$247))</f>
        <v>0</v>
      </c>
      <c r="AM247">
        <f>IF(AK247="","",AK247+2*AL247)</f>
        <v>0</v>
      </c>
      <c r="AN247">
        <f>IF(AK247="","",AK247-2*AL247)</f>
        <v>0</v>
      </c>
      <c r="AO247">
        <f>IF(OR(AM247="",AN247="",AM247=AN247),"",($E247-AN247)/(AM247-AN247))</f>
        <v>0</v>
      </c>
      <c r="AP247">
        <f>IF(OR(AM247="",AK247="",AK247=0),"",(AM247-AN247)/AK247)</f>
        <v>0</v>
      </c>
      <c r="AQ247">
        <f>IF(COUNT($E$2:$E247)&lt;20,"",MAX($C$228:$C$247))</f>
        <v>0</v>
      </c>
      <c r="AR247">
        <f>IF(COUNT($E$2:$E247)&lt;20,"",MIN($D$228:$D$247))</f>
        <v>0</v>
      </c>
      <c r="AS247">
        <f>IF(OR(AQ247="",AR247=""),"",(AQ247+AR247)/2)</f>
        <v>0</v>
      </c>
      <c r="AT247">
        <f>IF(COUNT($G$228:$G$247)&lt;20,"",STDEV($G$228:$G$247)*SQRT(252))</f>
        <v>0</v>
      </c>
      <c r="AU247">
        <f>IF(COUNT($E$2:$E247)&lt;9,"",(MAX($C$239:$C$247)+MIN($D$239:$D$247))/2)</f>
        <v>0</v>
      </c>
      <c r="AV247">
        <f>IF(COUNT($E$2:$E247)&lt;26,"",(MAX($C$222:$C$247)+MIN($D$222:$D$247))/2)</f>
        <v>0</v>
      </c>
      <c r="AW247">
        <f>IF(OR(AU247="",AV247=""),"",(AU247+AV247)/2)</f>
        <v>0</v>
      </c>
      <c r="AX247">
        <f>IF(COUNT($E$2:$E247)&lt;52,"",(MAX($C$196:$C$247)+MIN($D$196:$D$247))/2)</f>
        <v>0</v>
      </c>
      <c r="AY247">
        <f>IF(COUNT($E$2:$E247)&lt;20,"",MAX($C$148:$C$247))</f>
        <v>0</v>
      </c>
      <c r="AZ247">
        <f>IF(COUNT($E$2:$E247)&lt;20,"",MIN($D$148:$D$247))</f>
        <v>0</v>
      </c>
      <c r="BA247">
        <f>IF(COUNT($E$2:$E247)&lt;20,"",SLOPE($E$148:$E$247,$F$148:$F$247))</f>
        <v>0</v>
      </c>
      <c r="BB247">
        <f>IF(COUNT($E$2:$E247)&lt;20,"",INTERCEPT($E$148:$E$247,$F$148:$F$247))</f>
        <v>0</v>
      </c>
      <c r="BC247">
        <f>IF(OR(BA247="",BB247=""),"",BB247+BA247*F247)</f>
        <v>0</v>
      </c>
      <c r="BD247">
        <f>IF(COUNT($E$2:$E247)&lt;20,"",STEYX($E$148:$E$247,$F$148:$F$247))</f>
        <v>0</v>
      </c>
      <c r="BE247">
        <f>IF($E247="","",IF(AND(COUNT($E$248:$E$251)&gt;=4,$C247=MAX($C$243:$C$251)),$C247,""))</f>
        <v>0</v>
      </c>
      <c r="BF247">
        <f>IF($E247="","",IF(AND(COUNT($E$248:$E$251)&gt;=4,$D247=MIN($D$243:$D$251)),$D247,""))</f>
        <v>0</v>
      </c>
      <c r="BG247">
        <f>IF($A247="","",$A247-WEEKDAY($A247,2)+1)</f>
        <v>0</v>
      </c>
      <c r="BH247">
        <f>IF($A247="","",IF($A246="",1,IF(BG247&lt;&gt;BG246,1,0)))</f>
        <v>0</v>
      </c>
      <c r="BI247">
        <f>IF($A247="","",IF($A248="",1,IF(BG248&lt;&gt;BG247,1,0)))</f>
        <v>0</v>
      </c>
      <c r="BJ247">
        <f>IF($A247="","",IF(BH247=1,$B247,BJ246))</f>
        <v>0</v>
      </c>
      <c r="BK247">
        <f>IF($A247="","",IF(BH247=1,$C247,MAX($C247,BK246)))</f>
        <v>0</v>
      </c>
      <c r="BL247">
        <f>IF($A247="","",IF(BH247=1,$D247,MIN($D247,BL246)))</f>
        <v>0</v>
      </c>
      <c r="BM247">
        <f>IF($A247="","",IF(BI247=1,F247,""))</f>
        <v>0</v>
      </c>
      <c r="BN247">
        <f>IF($A247="","",DATE(YEAR($A247),MONTH($A247),1))</f>
        <v>0</v>
      </c>
      <c r="BO247">
        <f>IF($A247="","",IF($A246="",1,IF(BN247&lt;&gt;BN246,1,0)))</f>
        <v>0</v>
      </c>
      <c r="BP247">
        <f>IF($A247="","",IF($A248="",1,IF(BN248&lt;&gt;BN247,1,0)))</f>
        <v>0</v>
      </c>
      <c r="BQ247">
        <f>IF($A247="","",IF(BO247=1,$B247,BQ246))</f>
        <v>0</v>
      </c>
      <c r="BR247">
        <f>IF($A247="","",IF(BO247=1,$C247,MAX($C247,BR246)))</f>
        <v>0</v>
      </c>
      <c r="BS247">
        <f>IF($A247="","",IF(BO247=1,$D247,MIN($D247,BS246)))</f>
        <v>0</v>
      </c>
      <c r="BT247">
        <f>IF($A247="","",IF(BP247=1,F247,""))</f>
        <v>0</v>
      </c>
    </row>
    <row r="248" spans="1:72">
      <c r="A248" s="27">
        <f>IF(Data!$A248="","",Data!$A248)</f>
        <v>0</v>
      </c>
      <c r="B248">
        <f>IF(Data!$B248="","",Data!$B248)</f>
        <v>0</v>
      </c>
      <c r="C248">
        <f>IF(Data!$C248="","",Data!$C248)</f>
        <v>0</v>
      </c>
      <c r="D248">
        <f>IF(Data!$D248="","",Data!$D248)</f>
        <v>0</v>
      </c>
      <c r="E248">
        <f>IF(Data!$E248="","",Data!$E248)</f>
        <v>0</v>
      </c>
      <c r="F248">
        <f>IF($E248="","",N(F247)+1)</f>
        <v>0</v>
      </c>
      <c r="G248">
        <f>IF(OR($E248="",$E247=""),"",LN($E248/$E247))</f>
        <v>0</v>
      </c>
      <c r="H248">
        <f>IF($E248="","",IF($E247="",$E248,$E248*0.0952380952+H247*0.9047619048))</f>
        <v>0</v>
      </c>
      <c r="I248">
        <f>IF($E248="","",IF($E247="",$E248,$E248*0.0392156863+I247*0.9607843137))</f>
        <v>0</v>
      </c>
      <c r="J248">
        <f>IF($E248="","",IF($E247="",$E248,$E248*0.0198019802+J247*0.9801980198))</f>
        <v>0</v>
      </c>
      <c r="K248">
        <f>IF($E248="","",IF($E247="",$E248,$E248*0.0099502488+K247*0.9900497512))</f>
        <v>0</v>
      </c>
      <c r="L248">
        <f>IF(OR($E248="",$E247=""),"",MAX($E248-$E247,0))</f>
        <v>0</v>
      </c>
      <c r="M248">
        <f>IF(OR($E248="",$E247=""),"",MAX($E247-$E248,0))</f>
        <v>0</v>
      </c>
      <c r="N248">
        <f>IF(COUNT($E$2:$E248)&lt;15,"",IF(AVERAGE($M$235:$M$248)=0,100,100-100/(1+AVERAGE($L$235:$L$248)/AVERAGE($M$235:$M$248))))</f>
        <v>0</v>
      </c>
      <c r="O248">
        <f>IF($E248="","",IF($E247="",$E248,$E248*0.1538461538+O247*0.8461538462))</f>
        <v>0</v>
      </c>
      <c r="P248">
        <f>IF($E248="","",IF($E247="",$E248,$E248*0.0740740741+P247*0.9259259259))</f>
        <v>0</v>
      </c>
      <c r="Q248">
        <f>IF(OR(O248="",P248=""),"",O248-P248)</f>
        <v>0</v>
      </c>
      <c r="R248">
        <f>IF(Q248="","",IF(R247="",Q248,Q248*0.2000000000+R247*0.8000000000))</f>
        <v>0</v>
      </c>
      <c r="S248">
        <f>IF(OR(Q248="",R248=""),"",Q248-R248)</f>
        <v>0</v>
      </c>
      <c r="T248">
        <f>IF(COUNT($E$2:$E248)&lt;14,"",MAX($C$235:$C$248))</f>
        <v>0</v>
      </c>
      <c r="U248">
        <f>IF(COUNT($E$2:$E248)&lt;14,"",MIN($D$235:$D$248))</f>
        <v>0</v>
      </c>
      <c r="V248">
        <f>IF(OR(T248="",U248="",T248=U248),"",100*($E248-U248)/(T248-U248))</f>
        <v>0</v>
      </c>
      <c r="W248">
        <f>IF(COUNT($V$246:$V$248)&lt;3,"",AVERAGE($V$246:$V$248))</f>
        <v>0</v>
      </c>
      <c r="X248">
        <f>IF(COUNT($N$235:$N$248)&lt;14,"",MIN($N$235:$N$248))</f>
        <v>0</v>
      </c>
      <c r="Y248">
        <f>IF(COUNT($N$235:$N$248)&lt;14,"",MAX($N$235:$N$248))</f>
        <v>0</v>
      </c>
      <c r="Z248">
        <f>IF(OR(N248="",X248="",Y248="",Y248=X248),"",100*(N248-X248)/(Y248-X248))</f>
        <v>0</v>
      </c>
      <c r="AA248">
        <f>IF(COUNT($Z$246:$Z$248)&lt;3,"",AVERAGE($Z$246:$Z$248))</f>
        <v>0</v>
      </c>
      <c r="AB248">
        <f>IF(COUNT($AA$246:$AA$248)&lt;3,"",AVERAGE($AA$246:$AA$248))</f>
        <v>0</v>
      </c>
      <c r="AC248">
        <f>IF($E248="","",MAX($C248-$D248,ABS($C248-$E247),ABS($D248-$E247)))</f>
        <v>0</v>
      </c>
      <c r="AD248">
        <f>IF(COUNT($E$2:$E248)&lt;15,"",AVERAGE($AC$235:$AC$248))</f>
        <v>0</v>
      </c>
      <c r="AE248">
        <f>IF(OR($E248="",$E247=""),"",IF(AND(($C248-$C247)&gt;($D247-$D248),($C248-$C247)&gt;0),$C248-$C247,0))</f>
        <v>0</v>
      </c>
      <c r="AF248">
        <f>IF(OR($E248="",$E247=""),"",IF(AND(($D247-$D248)&gt;($C248-$C247),($D247-$D248)&gt;0),$D247-$D248,0))</f>
        <v>0</v>
      </c>
      <c r="AG248">
        <f>IF(COUNT($E$2:$E248)&lt;15,"",IF(SUM($AC$235:$AC$248)=0,0,100*SUM($AE$235:$AE$248)/SUM($AC$235:$AC$248)))</f>
        <v>0</v>
      </c>
      <c r="AH248">
        <f>IF(COUNT($E$2:$E248)&lt;15,"",IF(SUM($AC$235:$AC$248)=0,0,100*SUM($AF$235:$AF$248)/SUM($AC$235:$AC$248)))</f>
        <v>0</v>
      </c>
      <c r="AI248">
        <f>IF(OR(AG248="",AH248=""),"",IF((AG248+AH248)=0,0,100*ABS(AG248-AH248)/(AG248+AH248)))</f>
        <v>0</v>
      </c>
      <c r="AJ248">
        <f>IF(COUNT($AI$235:$AI$248)&lt;14,"",AVERAGE($AI$235:$AI$248))</f>
        <v>0</v>
      </c>
      <c r="AK248">
        <f>IF(COUNT($E$2:$E248)&lt;20,"",AVERAGE($E$229:$E$248))</f>
        <v>0</v>
      </c>
      <c r="AL248">
        <f>IF(COUNT($E$2:$E248)&lt;20,"",STDEVP($E$229:$E$248))</f>
        <v>0</v>
      </c>
      <c r="AM248">
        <f>IF(AK248="","",AK248+2*AL248)</f>
        <v>0</v>
      </c>
      <c r="AN248">
        <f>IF(AK248="","",AK248-2*AL248)</f>
        <v>0</v>
      </c>
      <c r="AO248">
        <f>IF(OR(AM248="",AN248="",AM248=AN248),"",($E248-AN248)/(AM248-AN248))</f>
        <v>0</v>
      </c>
      <c r="AP248">
        <f>IF(OR(AM248="",AK248="",AK248=0),"",(AM248-AN248)/AK248)</f>
        <v>0</v>
      </c>
      <c r="AQ248">
        <f>IF(COUNT($E$2:$E248)&lt;20,"",MAX($C$229:$C$248))</f>
        <v>0</v>
      </c>
      <c r="AR248">
        <f>IF(COUNT($E$2:$E248)&lt;20,"",MIN($D$229:$D$248))</f>
        <v>0</v>
      </c>
      <c r="AS248">
        <f>IF(OR(AQ248="",AR248=""),"",(AQ248+AR248)/2)</f>
        <v>0</v>
      </c>
      <c r="AT248">
        <f>IF(COUNT($G$229:$G$248)&lt;20,"",STDEV($G$229:$G$248)*SQRT(252))</f>
        <v>0</v>
      </c>
      <c r="AU248">
        <f>IF(COUNT($E$2:$E248)&lt;9,"",(MAX($C$240:$C$248)+MIN($D$240:$D$248))/2)</f>
        <v>0</v>
      </c>
      <c r="AV248">
        <f>IF(COUNT($E$2:$E248)&lt;26,"",(MAX($C$223:$C$248)+MIN($D$223:$D$248))/2)</f>
        <v>0</v>
      </c>
      <c r="AW248">
        <f>IF(OR(AU248="",AV248=""),"",(AU248+AV248)/2)</f>
        <v>0</v>
      </c>
      <c r="AX248">
        <f>IF(COUNT($E$2:$E248)&lt;52,"",(MAX($C$197:$C$248)+MIN($D$197:$D$248))/2)</f>
        <v>0</v>
      </c>
      <c r="AY248">
        <f>IF(COUNT($E$2:$E248)&lt;20,"",MAX($C$149:$C$248))</f>
        <v>0</v>
      </c>
      <c r="AZ248">
        <f>IF(COUNT($E$2:$E248)&lt;20,"",MIN($D$149:$D$248))</f>
        <v>0</v>
      </c>
      <c r="BA248">
        <f>IF(COUNT($E$2:$E248)&lt;20,"",SLOPE($E$149:$E$248,$F$149:$F$248))</f>
        <v>0</v>
      </c>
      <c r="BB248">
        <f>IF(COUNT($E$2:$E248)&lt;20,"",INTERCEPT($E$149:$E$248,$F$149:$F$248))</f>
        <v>0</v>
      </c>
      <c r="BC248">
        <f>IF(OR(BA248="",BB248=""),"",BB248+BA248*F248)</f>
        <v>0</v>
      </c>
      <c r="BD248">
        <f>IF(COUNT($E$2:$E248)&lt;20,"",STEYX($E$149:$E$248,$F$149:$F$248))</f>
        <v>0</v>
      </c>
      <c r="BE248">
        <f>IF($E248="","",IF(AND(COUNT($E$249:$E$252)&gt;=4,$C248=MAX($C$244:$C$252)),$C248,""))</f>
        <v>0</v>
      </c>
      <c r="BF248">
        <f>IF($E248="","",IF(AND(COUNT($E$249:$E$252)&gt;=4,$D248=MIN($D$244:$D$252)),$D248,""))</f>
        <v>0</v>
      </c>
      <c r="BG248">
        <f>IF($A248="","",$A248-WEEKDAY($A248,2)+1)</f>
        <v>0</v>
      </c>
      <c r="BH248">
        <f>IF($A248="","",IF($A247="",1,IF(BG248&lt;&gt;BG247,1,0)))</f>
        <v>0</v>
      </c>
      <c r="BI248">
        <f>IF($A248="","",IF($A249="",1,IF(BG249&lt;&gt;BG248,1,0)))</f>
        <v>0</v>
      </c>
      <c r="BJ248">
        <f>IF($A248="","",IF(BH248=1,$B248,BJ247))</f>
        <v>0</v>
      </c>
      <c r="BK248">
        <f>IF($A248="","",IF(BH248=1,$C248,MAX($C248,BK247)))</f>
        <v>0</v>
      </c>
      <c r="BL248">
        <f>IF($A248="","",IF(BH248=1,$D248,MIN($D248,BL247)))</f>
        <v>0</v>
      </c>
      <c r="BM248">
        <f>IF($A248="","",IF(BI248=1,F248,""))</f>
        <v>0</v>
      </c>
      <c r="BN248">
        <f>IF($A248="","",DATE(YEAR($A248),MONTH($A248),1))</f>
        <v>0</v>
      </c>
      <c r="BO248">
        <f>IF($A248="","",IF($A247="",1,IF(BN248&lt;&gt;BN247,1,0)))</f>
        <v>0</v>
      </c>
      <c r="BP248">
        <f>IF($A248="","",IF($A249="",1,IF(BN249&lt;&gt;BN248,1,0)))</f>
        <v>0</v>
      </c>
      <c r="BQ248">
        <f>IF($A248="","",IF(BO248=1,$B248,BQ247))</f>
        <v>0</v>
      </c>
      <c r="BR248">
        <f>IF($A248="","",IF(BO248=1,$C248,MAX($C248,BR247)))</f>
        <v>0</v>
      </c>
      <c r="BS248">
        <f>IF($A248="","",IF(BO248=1,$D248,MIN($D248,BS247)))</f>
        <v>0</v>
      </c>
      <c r="BT248">
        <f>IF($A248="","",IF(BP248=1,F248,""))</f>
        <v>0</v>
      </c>
    </row>
    <row r="249" spans="1:72">
      <c r="A249" s="27">
        <f>IF(Data!$A249="","",Data!$A249)</f>
        <v>0</v>
      </c>
      <c r="B249">
        <f>IF(Data!$B249="","",Data!$B249)</f>
        <v>0</v>
      </c>
      <c r="C249">
        <f>IF(Data!$C249="","",Data!$C249)</f>
        <v>0</v>
      </c>
      <c r="D249">
        <f>IF(Data!$D249="","",Data!$D249)</f>
        <v>0</v>
      </c>
      <c r="E249">
        <f>IF(Data!$E249="","",Data!$E249)</f>
        <v>0</v>
      </c>
      <c r="F249">
        <f>IF($E249="","",N(F248)+1)</f>
        <v>0</v>
      </c>
      <c r="G249">
        <f>IF(OR($E249="",$E248=""),"",LN($E249/$E248))</f>
        <v>0</v>
      </c>
      <c r="H249">
        <f>IF($E249="","",IF($E248="",$E249,$E249*0.0952380952+H248*0.9047619048))</f>
        <v>0</v>
      </c>
      <c r="I249">
        <f>IF($E249="","",IF($E248="",$E249,$E249*0.0392156863+I248*0.9607843137))</f>
        <v>0</v>
      </c>
      <c r="J249">
        <f>IF($E249="","",IF($E248="",$E249,$E249*0.0198019802+J248*0.9801980198))</f>
        <v>0</v>
      </c>
      <c r="K249">
        <f>IF($E249="","",IF($E248="",$E249,$E249*0.0099502488+K248*0.9900497512))</f>
        <v>0</v>
      </c>
      <c r="L249">
        <f>IF(OR($E249="",$E248=""),"",MAX($E249-$E248,0))</f>
        <v>0</v>
      </c>
      <c r="M249">
        <f>IF(OR($E249="",$E248=""),"",MAX($E248-$E249,0))</f>
        <v>0</v>
      </c>
      <c r="N249">
        <f>IF(COUNT($E$2:$E249)&lt;15,"",IF(AVERAGE($M$236:$M$249)=0,100,100-100/(1+AVERAGE($L$236:$L$249)/AVERAGE($M$236:$M$249))))</f>
        <v>0</v>
      </c>
      <c r="O249">
        <f>IF($E249="","",IF($E248="",$E249,$E249*0.1538461538+O248*0.8461538462))</f>
        <v>0</v>
      </c>
      <c r="P249">
        <f>IF($E249="","",IF($E248="",$E249,$E249*0.0740740741+P248*0.9259259259))</f>
        <v>0</v>
      </c>
      <c r="Q249">
        <f>IF(OR(O249="",P249=""),"",O249-P249)</f>
        <v>0</v>
      </c>
      <c r="R249">
        <f>IF(Q249="","",IF(R248="",Q249,Q249*0.2000000000+R248*0.8000000000))</f>
        <v>0</v>
      </c>
      <c r="S249">
        <f>IF(OR(Q249="",R249=""),"",Q249-R249)</f>
        <v>0</v>
      </c>
      <c r="T249">
        <f>IF(COUNT($E$2:$E249)&lt;14,"",MAX($C$236:$C$249))</f>
        <v>0</v>
      </c>
      <c r="U249">
        <f>IF(COUNT($E$2:$E249)&lt;14,"",MIN($D$236:$D$249))</f>
        <v>0</v>
      </c>
      <c r="V249">
        <f>IF(OR(T249="",U249="",T249=U249),"",100*($E249-U249)/(T249-U249))</f>
        <v>0</v>
      </c>
      <c r="W249">
        <f>IF(COUNT($V$247:$V$249)&lt;3,"",AVERAGE($V$247:$V$249))</f>
        <v>0</v>
      </c>
      <c r="X249">
        <f>IF(COUNT($N$236:$N$249)&lt;14,"",MIN($N$236:$N$249))</f>
        <v>0</v>
      </c>
      <c r="Y249">
        <f>IF(COUNT($N$236:$N$249)&lt;14,"",MAX($N$236:$N$249))</f>
        <v>0</v>
      </c>
      <c r="Z249">
        <f>IF(OR(N249="",X249="",Y249="",Y249=X249),"",100*(N249-X249)/(Y249-X249))</f>
        <v>0</v>
      </c>
      <c r="AA249">
        <f>IF(COUNT($Z$247:$Z$249)&lt;3,"",AVERAGE($Z$247:$Z$249))</f>
        <v>0</v>
      </c>
      <c r="AB249">
        <f>IF(COUNT($AA$247:$AA$249)&lt;3,"",AVERAGE($AA$247:$AA$249))</f>
        <v>0</v>
      </c>
      <c r="AC249">
        <f>IF($E249="","",MAX($C249-$D249,ABS($C249-$E248),ABS($D249-$E248)))</f>
        <v>0</v>
      </c>
      <c r="AD249">
        <f>IF(COUNT($E$2:$E249)&lt;15,"",AVERAGE($AC$236:$AC$249))</f>
        <v>0</v>
      </c>
      <c r="AE249">
        <f>IF(OR($E249="",$E248=""),"",IF(AND(($C249-$C248)&gt;($D248-$D249),($C249-$C248)&gt;0),$C249-$C248,0))</f>
        <v>0</v>
      </c>
      <c r="AF249">
        <f>IF(OR($E249="",$E248=""),"",IF(AND(($D248-$D249)&gt;($C249-$C248),($D248-$D249)&gt;0),$D248-$D249,0))</f>
        <v>0</v>
      </c>
      <c r="AG249">
        <f>IF(COUNT($E$2:$E249)&lt;15,"",IF(SUM($AC$236:$AC$249)=0,0,100*SUM($AE$236:$AE$249)/SUM($AC$236:$AC$249)))</f>
        <v>0</v>
      </c>
      <c r="AH249">
        <f>IF(COUNT($E$2:$E249)&lt;15,"",IF(SUM($AC$236:$AC$249)=0,0,100*SUM($AF$236:$AF$249)/SUM($AC$236:$AC$249)))</f>
        <v>0</v>
      </c>
      <c r="AI249">
        <f>IF(OR(AG249="",AH249=""),"",IF((AG249+AH249)=0,0,100*ABS(AG249-AH249)/(AG249+AH249)))</f>
        <v>0</v>
      </c>
      <c r="AJ249">
        <f>IF(COUNT($AI$236:$AI$249)&lt;14,"",AVERAGE($AI$236:$AI$249))</f>
        <v>0</v>
      </c>
      <c r="AK249">
        <f>IF(COUNT($E$2:$E249)&lt;20,"",AVERAGE($E$230:$E$249))</f>
        <v>0</v>
      </c>
      <c r="AL249">
        <f>IF(COUNT($E$2:$E249)&lt;20,"",STDEVP($E$230:$E$249))</f>
        <v>0</v>
      </c>
      <c r="AM249">
        <f>IF(AK249="","",AK249+2*AL249)</f>
        <v>0</v>
      </c>
      <c r="AN249">
        <f>IF(AK249="","",AK249-2*AL249)</f>
        <v>0</v>
      </c>
      <c r="AO249">
        <f>IF(OR(AM249="",AN249="",AM249=AN249),"",($E249-AN249)/(AM249-AN249))</f>
        <v>0</v>
      </c>
      <c r="AP249">
        <f>IF(OR(AM249="",AK249="",AK249=0),"",(AM249-AN249)/AK249)</f>
        <v>0</v>
      </c>
      <c r="AQ249">
        <f>IF(COUNT($E$2:$E249)&lt;20,"",MAX($C$230:$C$249))</f>
        <v>0</v>
      </c>
      <c r="AR249">
        <f>IF(COUNT($E$2:$E249)&lt;20,"",MIN($D$230:$D$249))</f>
        <v>0</v>
      </c>
      <c r="AS249">
        <f>IF(OR(AQ249="",AR249=""),"",(AQ249+AR249)/2)</f>
        <v>0</v>
      </c>
      <c r="AT249">
        <f>IF(COUNT($G$230:$G$249)&lt;20,"",STDEV($G$230:$G$249)*SQRT(252))</f>
        <v>0</v>
      </c>
      <c r="AU249">
        <f>IF(COUNT($E$2:$E249)&lt;9,"",(MAX($C$241:$C$249)+MIN($D$241:$D$249))/2)</f>
        <v>0</v>
      </c>
      <c r="AV249">
        <f>IF(COUNT($E$2:$E249)&lt;26,"",(MAX($C$224:$C$249)+MIN($D$224:$D$249))/2)</f>
        <v>0</v>
      </c>
      <c r="AW249">
        <f>IF(OR(AU249="",AV249=""),"",(AU249+AV249)/2)</f>
        <v>0</v>
      </c>
      <c r="AX249">
        <f>IF(COUNT($E$2:$E249)&lt;52,"",(MAX($C$198:$C$249)+MIN($D$198:$D$249))/2)</f>
        <v>0</v>
      </c>
      <c r="AY249">
        <f>IF(COUNT($E$2:$E249)&lt;20,"",MAX($C$150:$C$249))</f>
        <v>0</v>
      </c>
      <c r="AZ249">
        <f>IF(COUNT($E$2:$E249)&lt;20,"",MIN($D$150:$D$249))</f>
        <v>0</v>
      </c>
      <c r="BA249">
        <f>IF(COUNT($E$2:$E249)&lt;20,"",SLOPE($E$150:$E$249,$F$150:$F$249))</f>
        <v>0</v>
      </c>
      <c r="BB249">
        <f>IF(COUNT($E$2:$E249)&lt;20,"",INTERCEPT($E$150:$E$249,$F$150:$F$249))</f>
        <v>0</v>
      </c>
      <c r="BC249">
        <f>IF(OR(BA249="",BB249=""),"",BB249+BA249*F249)</f>
        <v>0</v>
      </c>
      <c r="BD249">
        <f>IF(COUNT($E$2:$E249)&lt;20,"",STEYX($E$150:$E$249,$F$150:$F$249))</f>
        <v>0</v>
      </c>
      <c r="BE249">
        <f>IF($E249="","",IF(AND(COUNT($E$250:$E$253)&gt;=4,$C249=MAX($C$245:$C$253)),$C249,""))</f>
        <v>0</v>
      </c>
      <c r="BF249">
        <f>IF($E249="","",IF(AND(COUNT($E$250:$E$253)&gt;=4,$D249=MIN($D$245:$D$253)),$D249,""))</f>
        <v>0</v>
      </c>
      <c r="BG249">
        <f>IF($A249="","",$A249-WEEKDAY($A249,2)+1)</f>
        <v>0</v>
      </c>
      <c r="BH249">
        <f>IF($A249="","",IF($A248="",1,IF(BG249&lt;&gt;BG248,1,0)))</f>
        <v>0</v>
      </c>
      <c r="BI249">
        <f>IF($A249="","",IF($A250="",1,IF(BG250&lt;&gt;BG249,1,0)))</f>
        <v>0</v>
      </c>
      <c r="BJ249">
        <f>IF($A249="","",IF(BH249=1,$B249,BJ248))</f>
        <v>0</v>
      </c>
      <c r="BK249">
        <f>IF($A249="","",IF(BH249=1,$C249,MAX($C249,BK248)))</f>
        <v>0</v>
      </c>
      <c r="BL249">
        <f>IF($A249="","",IF(BH249=1,$D249,MIN($D249,BL248)))</f>
        <v>0</v>
      </c>
      <c r="BM249">
        <f>IF($A249="","",IF(BI249=1,F249,""))</f>
        <v>0</v>
      </c>
      <c r="BN249">
        <f>IF($A249="","",DATE(YEAR($A249),MONTH($A249),1))</f>
        <v>0</v>
      </c>
      <c r="BO249">
        <f>IF($A249="","",IF($A248="",1,IF(BN249&lt;&gt;BN248,1,0)))</f>
        <v>0</v>
      </c>
      <c r="BP249">
        <f>IF($A249="","",IF($A250="",1,IF(BN250&lt;&gt;BN249,1,0)))</f>
        <v>0</v>
      </c>
      <c r="BQ249">
        <f>IF($A249="","",IF(BO249=1,$B249,BQ248))</f>
        <v>0</v>
      </c>
      <c r="BR249">
        <f>IF($A249="","",IF(BO249=1,$C249,MAX($C249,BR248)))</f>
        <v>0</v>
      </c>
      <c r="BS249">
        <f>IF($A249="","",IF(BO249=1,$D249,MIN($D249,BS248)))</f>
        <v>0</v>
      </c>
      <c r="BT249">
        <f>IF($A249="","",IF(BP249=1,F249,""))</f>
        <v>0</v>
      </c>
    </row>
    <row r="250" spans="1:72">
      <c r="A250" s="27">
        <f>IF(Data!$A250="","",Data!$A250)</f>
        <v>0</v>
      </c>
      <c r="B250">
        <f>IF(Data!$B250="","",Data!$B250)</f>
        <v>0</v>
      </c>
      <c r="C250">
        <f>IF(Data!$C250="","",Data!$C250)</f>
        <v>0</v>
      </c>
      <c r="D250">
        <f>IF(Data!$D250="","",Data!$D250)</f>
        <v>0</v>
      </c>
      <c r="E250">
        <f>IF(Data!$E250="","",Data!$E250)</f>
        <v>0</v>
      </c>
      <c r="F250">
        <f>IF($E250="","",N(F249)+1)</f>
        <v>0</v>
      </c>
      <c r="G250">
        <f>IF(OR($E250="",$E249=""),"",LN($E250/$E249))</f>
        <v>0</v>
      </c>
      <c r="H250">
        <f>IF($E250="","",IF($E249="",$E250,$E250*0.0952380952+H249*0.9047619048))</f>
        <v>0</v>
      </c>
      <c r="I250">
        <f>IF($E250="","",IF($E249="",$E250,$E250*0.0392156863+I249*0.9607843137))</f>
        <v>0</v>
      </c>
      <c r="J250">
        <f>IF($E250="","",IF($E249="",$E250,$E250*0.0198019802+J249*0.9801980198))</f>
        <v>0</v>
      </c>
      <c r="K250">
        <f>IF($E250="","",IF($E249="",$E250,$E250*0.0099502488+K249*0.9900497512))</f>
        <v>0</v>
      </c>
      <c r="L250">
        <f>IF(OR($E250="",$E249=""),"",MAX($E250-$E249,0))</f>
        <v>0</v>
      </c>
      <c r="M250">
        <f>IF(OR($E250="",$E249=""),"",MAX($E249-$E250,0))</f>
        <v>0</v>
      </c>
      <c r="N250">
        <f>IF(COUNT($E$2:$E250)&lt;15,"",IF(AVERAGE($M$237:$M$250)=0,100,100-100/(1+AVERAGE($L$237:$L$250)/AVERAGE($M$237:$M$250))))</f>
        <v>0</v>
      </c>
      <c r="O250">
        <f>IF($E250="","",IF($E249="",$E250,$E250*0.1538461538+O249*0.8461538462))</f>
        <v>0</v>
      </c>
      <c r="P250">
        <f>IF($E250="","",IF($E249="",$E250,$E250*0.0740740741+P249*0.9259259259))</f>
        <v>0</v>
      </c>
      <c r="Q250">
        <f>IF(OR(O250="",P250=""),"",O250-P250)</f>
        <v>0</v>
      </c>
      <c r="R250">
        <f>IF(Q250="","",IF(R249="",Q250,Q250*0.2000000000+R249*0.8000000000))</f>
        <v>0</v>
      </c>
      <c r="S250">
        <f>IF(OR(Q250="",R250=""),"",Q250-R250)</f>
        <v>0</v>
      </c>
      <c r="T250">
        <f>IF(COUNT($E$2:$E250)&lt;14,"",MAX($C$237:$C$250))</f>
        <v>0</v>
      </c>
      <c r="U250">
        <f>IF(COUNT($E$2:$E250)&lt;14,"",MIN($D$237:$D$250))</f>
        <v>0</v>
      </c>
      <c r="V250">
        <f>IF(OR(T250="",U250="",T250=U250),"",100*($E250-U250)/(T250-U250))</f>
        <v>0</v>
      </c>
      <c r="W250">
        <f>IF(COUNT($V$248:$V$250)&lt;3,"",AVERAGE($V$248:$V$250))</f>
        <v>0</v>
      </c>
      <c r="X250">
        <f>IF(COUNT($N$237:$N$250)&lt;14,"",MIN($N$237:$N$250))</f>
        <v>0</v>
      </c>
      <c r="Y250">
        <f>IF(COUNT($N$237:$N$250)&lt;14,"",MAX($N$237:$N$250))</f>
        <v>0</v>
      </c>
      <c r="Z250">
        <f>IF(OR(N250="",X250="",Y250="",Y250=X250),"",100*(N250-X250)/(Y250-X250))</f>
        <v>0</v>
      </c>
      <c r="AA250">
        <f>IF(COUNT($Z$248:$Z$250)&lt;3,"",AVERAGE($Z$248:$Z$250))</f>
        <v>0</v>
      </c>
      <c r="AB250">
        <f>IF(COUNT($AA$248:$AA$250)&lt;3,"",AVERAGE($AA$248:$AA$250))</f>
        <v>0</v>
      </c>
      <c r="AC250">
        <f>IF($E250="","",MAX($C250-$D250,ABS($C250-$E249),ABS($D250-$E249)))</f>
        <v>0</v>
      </c>
      <c r="AD250">
        <f>IF(COUNT($E$2:$E250)&lt;15,"",AVERAGE($AC$237:$AC$250))</f>
        <v>0</v>
      </c>
      <c r="AE250">
        <f>IF(OR($E250="",$E249=""),"",IF(AND(($C250-$C249)&gt;($D249-$D250),($C250-$C249)&gt;0),$C250-$C249,0))</f>
        <v>0</v>
      </c>
      <c r="AF250">
        <f>IF(OR($E250="",$E249=""),"",IF(AND(($D249-$D250)&gt;($C250-$C249),($D249-$D250)&gt;0),$D249-$D250,0))</f>
        <v>0</v>
      </c>
      <c r="AG250">
        <f>IF(COUNT($E$2:$E250)&lt;15,"",IF(SUM($AC$237:$AC$250)=0,0,100*SUM($AE$237:$AE$250)/SUM($AC$237:$AC$250)))</f>
        <v>0</v>
      </c>
      <c r="AH250">
        <f>IF(COUNT($E$2:$E250)&lt;15,"",IF(SUM($AC$237:$AC$250)=0,0,100*SUM($AF$237:$AF$250)/SUM($AC$237:$AC$250)))</f>
        <v>0</v>
      </c>
      <c r="AI250">
        <f>IF(OR(AG250="",AH250=""),"",IF((AG250+AH250)=0,0,100*ABS(AG250-AH250)/(AG250+AH250)))</f>
        <v>0</v>
      </c>
      <c r="AJ250">
        <f>IF(COUNT($AI$237:$AI$250)&lt;14,"",AVERAGE($AI$237:$AI$250))</f>
        <v>0</v>
      </c>
      <c r="AK250">
        <f>IF(COUNT($E$2:$E250)&lt;20,"",AVERAGE($E$231:$E$250))</f>
        <v>0</v>
      </c>
      <c r="AL250">
        <f>IF(COUNT($E$2:$E250)&lt;20,"",STDEVP($E$231:$E$250))</f>
        <v>0</v>
      </c>
      <c r="AM250">
        <f>IF(AK250="","",AK250+2*AL250)</f>
        <v>0</v>
      </c>
      <c r="AN250">
        <f>IF(AK250="","",AK250-2*AL250)</f>
        <v>0</v>
      </c>
      <c r="AO250">
        <f>IF(OR(AM250="",AN250="",AM250=AN250),"",($E250-AN250)/(AM250-AN250))</f>
        <v>0</v>
      </c>
      <c r="AP250">
        <f>IF(OR(AM250="",AK250="",AK250=0),"",(AM250-AN250)/AK250)</f>
        <v>0</v>
      </c>
      <c r="AQ250">
        <f>IF(COUNT($E$2:$E250)&lt;20,"",MAX($C$231:$C$250))</f>
        <v>0</v>
      </c>
      <c r="AR250">
        <f>IF(COUNT($E$2:$E250)&lt;20,"",MIN($D$231:$D$250))</f>
        <v>0</v>
      </c>
      <c r="AS250">
        <f>IF(OR(AQ250="",AR250=""),"",(AQ250+AR250)/2)</f>
        <v>0</v>
      </c>
      <c r="AT250">
        <f>IF(COUNT($G$231:$G$250)&lt;20,"",STDEV($G$231:$G$250)*SQRT(252))</f>
        <v>0</v>
      </c>
      <c r="AU250">
        <f>IF(COUNT($E$2:$E250)&lt;9,"",(MAX($C$242:$C$250)+MIN($D$242:$D$250))/2)</f>
        <v>0</v>
      </c>
      <c r="AV250">
        <f>IF(COUNT($E$2:$E250)&lt;26,"",(MAX($C$225:$C$250)+MIN($D$225:$D$250))/2)</f>
        <v>0</v>
      </c>
      <c r="AW250">
        <f>IF(OR(AU250="",AV250=""),"",(AU250+AV250)/2)</f>
        <v>0</v>
      </c>
      <c r="AX250">
        <f>IF(COUNT($E$2:$E250)&lt;52,"",(MAX($C$199:$C$250)+MIN($D$199:$D$250))/2)</f>
        <v>0</v>
      </c>
      <c r="AY250">
        <f>IF(COUNT($E$2:$E250)&lt;20,"",MAX($C$151:$C$250))</f>
        <v>0</v>
      </c>
      <c r="AZ250">
        <f>IF(COUNT($E$2:$E250)&lt;20,"",MIN($D$151:$D$250))</f>
        <v>0</v>
      </c>
      <c r="BA250">
        <f>IF(COUNT($E$2:$E250)&lt;20,"",SLOPE($E$151:$E$250,$F$151:$F$250))</f>
        <v>0</v>
      </c>
      <c r="BB250">
        <f>IF(COUNT($E$2:$E250)&lt;20,"",INTERCEPT($E$151:$E$250,$F$151:$F$250))</f>
        <v>0</v>
      </c>
      <c r="BC250">
        <f>IF(OR(BA250="",BB250=""),"",BB250+BA250*F250)</f>
        <v>0</v>
      </c>
      <c r="BD250">
        <f>IF(COUNT($E$2:$E250)&lt;20,"",STEYX($E$151:$E$250,$F$151:$F$250))</f>
        <v>0</v>
      </c>
      <c r="BE250">
        <f>IF($E250="","",IF(AND(COUNT($E$251:$E$254)&gt;=4,$C250=MAX($C$246:$C$254)),$C250,""))</f>
        <v>0</v>
      </c>
      <c r="BF250">
        <f>IF($E250="","",IF(AND(COUNT($E$251:$E$254)&gt;=4,$D250=MIN($D$246:$D$254)),$D250,""))</f>
        <v>0</v>
      </c>
      <c r="BG250">
        <f>IF($A250="","",$A250-WEEKDAY($A250,2)+1)</f>
        <v>0</v>
      </c>
      <c r="BH250">
        <f>IF($A250="","",IF($A249="",1,IF(BG250&lt;&gt;BG249,1,0)))</f>
        <v>0</v>
      </c>
      <c r="BI250">
        <f>IF($A250="","",IF($A251="",1,IF(BG251&lt;&gt;BG250,1,0)))</f>
        <v>0</v>
      </c>
      <c r="BJ250">
        <f>IF($A250="","",IF(BH250=1,$B250,BJ249))</f>
        <v>0</v>
      </c>
      <c r="BK250">
        <f>IF($A250="","",IF(BH250=1,$C250,MAX($C250,BK249)))</f>
        <v>0</v>
      </c>
      <c r="BL250">
        <f>IF($A250="","",IF(BH250=1,$D250,MIN($D250,BL249)))</f>
        <v>0</v>
      </c>
      <c r="BM250">
        <f>IF($A250="","",IF(BI250=1,F250,""))</f>
        <v>0</v>
      </c>
      <c r="BN250">
        <f>IF($A250="","",DATE(YEAR($A250),MONTH($A250),1))</f>
        <v>0</v>
      </c>
      <c r="BO250">
        <f>IF($A250="","",IF($A249="",1,IF(BN250&lt;&gt;BN249,1,0)))</f>
        <v>0</v>
      </c>
      <c r="BP250">
        <f>IF($A250="","",IF($A251="",1,IF(BN251&lt;&gt;BN250,1,0)))</f>
        <v>0</v>
      </c>
      <c r="BQ250">
        <f>IF($A250="","",IF(BO250=1,$B250,BQ249))</f>
        <v>0</v>
      </c>
      <c r="BR250">
        <f>IF($A250="","",IF(BO250=1,$C250,MAX($C250,BR249)))</f>
        <v>0</v>
      </c>
      <c r="BS250">
        <f>IF($A250="","",IF(BO250=1,$D250,MIN($D250,BS249)))</f>
        <v>0</v>
      </c>
      <c r="BT250">
        <f>IF($A250="","",IF(BP250=1,F250,""))</f>
        <v>0</v>
      </c>
    </row>
    <row r="251" spans="1:72">
      <c r="A251" s="27">
        <f>IF(Data!$A251="","",Data!$A251)</f>
        <v>0</v>
      </c>
      <c r="B251">
        <f>IF(Data!$B251="","",Data!$B251)</f>
        <v>0</v>
      </c>
      <c r="C251">
        <f>IF(Data!$C251="","",Data!$C251)</f>
        <v>0</v>
      </c>
      <c r="D251">
        <f>IF(Data!$D251="","",Data!$D251)</f>
        <v>0</v>
      </c>
      <c r="E251">
        <f>IF(Data!$E251="","",Data!$E251)</f>
        <v>0</v>
      </c>
      <c r="F251">
        <f>IF($E251="","",N(F250)+1)</f>
        <v>0</v>
      </c>
      <c r="G251">
        <f>IF(OR($E251="",$E250=""),"",LN($E251/$E250))</f>
        <v>0</v>
      </c>
      <c r="H251">
        <f>IF($E251="","",IF($E250="",$E251,$E251*0.0952380952+H250*0.9047619048))</f>
        <v>0</v>
      </c>
      <c r="I251">
        <f>IF($E251="","",IF($E250="",$E251,$E251*0.0392156863+I250*0.9607843137))</f>
        <v>0</v>
      </c>
      <c r="J251">
        <f>IF($E251="","",IF($E250="",$E251,$E251*0.0198019802+J250*0.9801980198))</f>
        <v>0</v>
      </c>
      <c r="K251">
        <f>IF($E251="","",IF($E250="",$E251,$E251*0.0099502488+K250*0.9900497512))</f>
        <v>0</v>
      </c>
      <c r="L251">
        <f>IF(OR($E251="",$E250=""),"",MAX($E251-$E250,0))</f>
        <v>0</v>
      </c>
      <c r="M251">
        <f>IF(OR($E251="",$E250=""),"",MAX($E250-$E251,0))</f>
        <v>0</v>
      </c>
      <c r="N251">
        <f>IF(COUNT($E$2:$E251)&lt;15,"",IF(AVERAGE($M$238:$M$251)=0,100,100-100/(1+AVERAGE($L$238:$L$251)/AVERAGE($M$238:$M$251))))</f>
        <v>0</v>
      </c>
      <c r="O251">
        <f>IF($E251="","",IF($E250="",$E251,$E251*0.1538461538+O250*0.8461538462))</f>
        <v>0</v>
      </c>
      <c r="P251">
        <f>IF($E251="","",IF($E250="",$E251,$E251*0.0740740741+P250*0.9259259259))</f>
        <v>0</v>
      </c>
      <c r="Q251">
        <f>IF(OR(O251="",P251=""),"",O251-P251)</f>
        <v>0</v>
      </c>
      <c r="R251">
        <f>IF(Q251="","",IF(R250="",Q251,Q251*0.2000000000+R250*0.8000000000))</f>
        <v>0</v>
      </c>
      <c r="S251">
        <f>IF(OR(Q251="",R251=""),"",Q251-R251)</f>
        <v>0</v>
      </c>
      <c r="T251">
        <f>IF(COUNT($E$2:$E251)&lt;14,"",MAX($C$238:$C$251))</f>
        <v>0</v>
      </c>
      <c r="U251">
        <f>IF(COUNT($E$2:$E251)&lt;14,"",MIN($D$238:$D$251))</f>
        <v>0</v>
      </c>
      <c r="V251">
        <f>IF(OR(T251="",U251="",T251=U251),"",100*($E251-U251)/(T251-U251))</f>
        <v>0</v>
      </c>
      <c r="W251">
        <f>IF(COUNT($V$249:$V$251)&lt;3,"",AVERAGE($V$249:$V$251))</f>
        <v>0</v>
      </c>
      <c r="X251">
        <f>IF(COUNT($N$238:$N$251)&lt;14,"",MIN($N$238:$N$251))</f>
        <v>0</v>
      </c>
      <c r="Y251">
        <f>IF(COUNT($N$238:$N$251)&lt;14,"",MAX($N$238:$N$251))</f>
        <v>0</v>
      </c>
      <c r="Z251">
        <f>IF(OR(N251="",X251="",Y251="",Y251=X251),"",100*(N251-X251)/(Y251-X251))</f>
        <v>0</v>
      </c>
      <c r="AA251">
        <f>IF(COUNT($Z$249:$Z$251)&lt;3,"",AVERAGE($Z$249:$Z$251))</f>
        <v>0</v>
      </c>
      <c r="AB251">
        <f>IF(COUNT($AA$249:$AA$251)&lt;3,"",AVERAGE($AA$249:$AA$251))</f>
        <v>0</v>
      </c>
      <c r="AC251">
        <f>IF($E251="","",MAX($C251-$D251,ABS($C251-$E250),ABS($D251-$E250)))</f>
        <v>0</v>
      </c>
      <c r="AD251">
        <f>IF(COUNT($E$2:$E251)&lt;15,"",AVERAGE($AC$238:$AC$251))</f>
        <v>0</v>
      </c>
      <c r="AE251">
        <f>IF(OR($E251="",$E250=""),"",IF(AND(($C251-$C250)&gt;($D250-$D251),($C251-$C250)&gt;0),$C251-$C250,0))</f>
        <v>0</v>
      </c>
      <c r="AF251">
        <f>IF(OR($E251="",$E250=""),"",IF(AND(($D250-$D251)&gt;($C251-$C250),($D250-$D251)&gt;0),$D250-$D251,0))</f>
        <v>0</v>
      </c>
      <c r="AG251">
        <f>IF(COUNT($E$2:$E251)&lt;15,"",IF(SUM($AC$238:$AC$251)=0,0,100*SUM($AE$238:$AE$251)/SUM($AC$238:$AC$251)))</f>
        <v>0</v>
      </c>
      <c r="AH251">
        <f>IF(COUNT($E$2:$E251)&lt;15,"",IF(SUM($AC$238:$AC$251)=0,0,100*SUM($AF$238:$AF$251)/SUM($AC$238:$AC$251)))</f>
        <v>0</v>
      </c>
      <c r="AI251">
        <f>IF(OR(AG251="",AH251=""),"",IF((AG251+AH251)=0,0,100*ABS(AG251-AH251)/(AG251+AH251)))</f>
        <v>0</v>
      </c>
      <c r="AJ251">
        <f>IF(COUNT($AI$238:$AI$251)&lt;14,"",AVERAGE($AI$238:$AI$251))</f>
        <v>0</v>
      </c>
      <c r="AK251">
        <f>IF(COUNT($E$2:$E251)&lt;20,"",AVERAGE($E$232:$E$251))</f>
        <v>0</v>
      </c>
      <c r="AL251">
        <f>IF(COUNT($E$2:$E251)&lt;20,"",STDEVP($E$232:$E$251))</f>
        <v>0</v>
      </c>
      <c r="AM251">
        <f>IF(AK251="","",AK251+2*AL251)</f>
        <v>0</v>
      </c>
      <c r="AN251">
        <f>IF(AK251="","",AK251-2*AL251)</f>
        <v>0</v>
      </c>
      <c r="AO251">
        <f>IF(OR(AM251="",AN251="",AM251=AN251),"",($E251-AN251)/(AM251-AN251))</f>
        <v>0</v>
      </c>
      <c r="AP251">
        <f>IF(OR(AM251="",AK251="",AK251=0),"",(AM251-AN251)/AK251)</f>
        <v>0</v>
      </c>
      <c r="AQ251">
        <f>IF(COUNT($E$2:$E251)&lt;20,"",MAX($C$232:$C$251))</f>
        <v>0</v>
      </c>
      <c r="AR251">
        <f>IF(COUNT($E$2:$E251)&lt;20,"",MIN($D$232:$D$251))</f>
        <v>0</v>
      </c>
      <c r="AS251">
        <f>IF(OR(AQ251="",AR251=""),"",(AQ251+AR251)/2)</f>
        <v>0</v>
      </c>
      <c r="AT251">
        <f>IF(COUNT($G$232:$G$251)&lt;20,"",STDEV($G$232:$G$251)*SQRT(252))</f>
        <v>0</v>
      </c>
      <c r="AU251">
        <f>IF(COUNT($E$2:$E251)&lt;9,"",(MAX($C$243:$C$251)+MIN($D$243:$D$251))/2)</f>
        <v>0</v>
      </c>
      <c r="AV251">
        <f>IF(COUNT($E$2:$E251)&lt;26,"",(MAX($C$226:$C$251)+MIN($D$226:$D$251))/2)</f>
        <v>0</v>
      </c>
      <c r="AW251">
        <f>IF(OR(AU251="",AV251=""),"",(AU251+AV251)/2)</f>
        <v>0</v>
      </c>
      <c r="AX251">
        <f>IF(COUNT($E$2:$E251)&lt;52,"",(MAX($C$200:$C$251)+MIN($D$200:$D$251))/2)</f>
        <v>0</v>
      </c>
      <c r="AY251">
        <f>IF(COUNT($E$2:$E251)&lt;20,"",MAX($C$152:$C$251))</f>
        <v>0</v>
      </c>
      <c r="AZ251">
        <f>IF(COUNT($E$2:$E251)&lt;20,"",MIN($D$152:$D$251))</f>
        <v>0</v>
      </c>
      <c r="BA251">
        <f>IF(COUNT($E$2:$E251)&lt;20,"",SLOPE($E$152:$E$251,$F$152:$F$251))</f>
        <v>0</v>
      </c>
      <c r="BB251">
        <f>IF(COUNT($E$2:$E251)&lt;20,"",INTERCEPT($E$152:$E$251,$F$152:$F$251))</f>
        <v>0</v>
      </c>
      <c r="BC251">
        <f>IF(OR(BA251="",BB251=""),"",BB251+BA251*F251)</f>
        <v>0</v>
      </c>
      <c r="BD251">
        <f>IF(COUNT($E$2:$E251)&lt;20,"",STEYX($E$152:$E$251,$F$152:$F$251))</f>
        <v>0</v>
      </c>
      <c r="BE251">
        <f>IF($E251="","",IF(AND(COUNT($E$252:$E$255)&gt;=4,$C251=MAX($C$247:$C$255)),$C251,""))</f>
        <v>0</v>
      </c>
      <c r="BF251">
        <f>IF($E251="","",IF(AND(COUNT($E$252:$E$255)&gt;=4,$D251=MIN($D$247:$D$255)),$D251,""))</f>
        <v>0</v>
      </c>
      <c r="BG251">
        <f>IF($A251="","",$A251-WEEKDAY($A251,2)+1)</f>
        <v>0</v>
      </c>
      <c r="BH251">
        <f>IF($A251="","",IF($A250="",1,IF(BG251&lt;&gt;BG250,1,0)))</f>
        <v>0</v>
      </c>
      <c r="BI251">
        <f>IF($A251="","",IF($A252="",1,IF(BG252&lt;&gt;BG251,1,0)))</f>
        <v>0</v>
      </c>
      <c r="BJ251">
        <f>IF($A251="","",IF(BH251=1,$B251,BJ250))</f>
        <v>0</v>
      </c>
      <c r="BK251">
        <f>IF($A251="","",IF(BH251=1,$C251,MAX($C251,BK250)))</f>
        <v>0</v>
      </c>
      <c r="BL251">
        <f>IF($A251="","",IF(BH251=1,$D251,MIN($D251,BL250)))</f>
        <v>0</v>
      </c>
      <c r="BM251">
        <f>IF($A251="","",IF(BI251=1,F251,""))</f>
        <v>0</v>
      </c>
      <c r="BN251">
        <f>IF($A251="","",DATE(YEAR($A251),MONTH($A251),1))</f>
        <v>0</v>
      </c>
      <c r="BO251">
        <f>IF($A251="","",IF($A250="",1,IF(BN251&lt;&gt;BN250,1,0)))</f>
        <v>0</v>
      </c>
      <c r="BP251">
        <f>IF($A251="","",IF($A252="",1,IF(BN252&lt;&gt;BN251,1,0)))</f>
        <v>0</v>
      </c>
      <c r="BQ251">
        <f>IF($A251="","",IF(BO251=1,$B251,BQ250))</f>
        <v>0</v>
      </c>
      <c r="BR251">
        <f>IF($A251="","",IF(BO251=1,$C251,MAX($C251,BR250)))</f>
        <v>0</v>
      </c>
      <c r="BS251">
        <f>IF($A251="","",IF(BO251=1,$D251,MIN($D251,BS250)))</f>
        <v>0</v>
      </c>
      <c r="BT251">
        <f>IF($A251="","",IF(BP251=1,F251,""))</f>
        <v>0</v>
      </c>
    </row>
    <row r="252" spans="1:72">
      <c r="A252" s="27">
        <f>IF(Data!$A252="","",Data!$A252)</f>
        <v>0</v>
      </c>
      <c r="B252">
        <f>IF(Data!$B252="","",Data!$B252)</f>
        <v>0</v>
      </c>
      <c r="C252">
        <f>IF(Data!$C252="","",Data!$C252)</f>
        <v>0</v>
      </c>
      <c r="D252">
        <f>IF(Data!$D252="","",Data!$D252)</f>
        <v>0</v>
      </c>
      <c r="E252">
        <f>IF(Data!$E252="","",Data!$E252)</f>
        <v>0</v>
      </c>
      <c r="F252">
        <f>IF($E252="","",N(F251)+1)</f>
        <v>0</v>
      </c>
      <c r="G252">
        <f>IF(OR($E252="",$E251=""),"",LN($E252/$E251))</f>
        <v>0</v>
      </c>
      <c r="H252">
        <f>IF($E252="","",IF($E251="",$E252,$E252*0.0952380952+H251*0.9047619048))</f>
        <v>0</v>
      </c>
      <c r="I252">
        <f>IF($E252="","",IF($E251="",$E252,$E252*0.0392156863+I251*0.9607843137))</f>
        <v>0</v>
      </c>
      <c r="J252">
        <f>IF($E252="","",IF($E251="",$E252,$E252*0.0198019802+J251*0.9801980198))</f>
        <v>0</v>
      </c>
      <c r="K252">
        <f>IF($E252="","",IF($E251="",$E252,$E252*0.0099502488+K251*0.9900497512))</f>
        <v>0</v>
      </c>
      <c r="L252">
        <f>IF(OR($E252="",$E251=""),"",MAX($E252-$E251,0))</f>
        <v>0</v>
      </c>
      <c r="M252">
        <f>IF(OR($E252="",$E251=""),"",MAX($E251-$E252,0))</f>
        <v>0</v>
      </c>
      <c r="N252">
        <f>IF(COUNT($E$2:$E252)&lt;15,"",IF(AVERAGE($M$239:$M$252)=0,100,100-100/(1+AVERAGE($L$239:$L$252)/AVERAGE($M$239:$M$252))))</f>
        <v>0</v>
      </c>
      <c r="O252">
        <f>IF($E252="","",IF($E251="",$E252,$E252*0.1538461538+O251*0.8461538462))</f>
        <v>0</v>
      </c>
      <c r="P252">
        <f>IF($E252="","",IF($E251="",$E252,$E252*0.0740740741+P251*0.9259259259))</f>
        <v>0</v>
      </c>
      <c r="Q252">
        <f>IF(OR(O252="",P252=""),"",O252-P252)</f>
        <v>0</v>
      </c>
      <c r="R252">
        <f>IF(Q252="","",IF(R251="",Q252,Q252*0.2000000000+R251*0.8000000000))</f>
        <v>0</v>
      </c>
      <c r="S252">
        <f>IF(OR(Q252="",R252=""),"",Q252-R252)</f>
        <v>0</v>
      </c>
      <c r="T252">
        <f>IF(COUNT($E$2:$E252)&lt;14,"",MAX($C$239:$C$252))</f>
        <v>0</v>
      </c>
      <c r="U252">
        <f>IF(COUNT($E$2:$E252)&lt;14,"",MIN($D$239:$D$252))</f>
        <v>0</v>
      </c>
      <c r="V252">
        <f>IF(OR(T252="",U252="",T252=U252),"",100*($E252-U252)/(T252-U252))</f>
        <v>0</v>
      </c>
      <c r="W252">
        <f>IF(COUNT($V$250:$V$252)&lt;3,"",AVERAGE($V$250:$V$252))</f>
        <v>0</v>
      </c>
      <c r="X252">
        <f>IF(COUNT($N$239:$N$252)&lt;14,"",MIN($N$239:$N$252))</f>
        <v>0</v>
      </c>
      <c r="Y252">
        <f>IF(COUNT($N$239:$N$252)&lt;14,"",MAX($N$239:$N$252))</f>
        <v>0</v>
      </c>
      <c r="Z252">
        <f>IF(OR(N252="",X252="",Y252="",Y252=X252),"",100*(N252-X252)/(Y252-X252))</f>
        <v>0</v>
      </c>
      <c r="AA252">
        <f>IF(COUNT($Z$250:$Z$252)&lt;3,"",AVERAGE($Z$250:$Z$252))</f>
        <v>0</v>
      </c>
      <c r="AB252">
        <f>IF(COUNT($AA$250:$AA$252)&lt;3,"",AVERAGE($AA$250:$AA$252))</f>
        <v>0</v>
      </c>
      <c r="AC252">
        <f>IF($E252="","",MAX($C252-$D252,ABS($C252-$E251),ABS($D252-$E251)))</f>
        <v>0</v>
      </c>
      <c r="AD252">
        <f>IF(COUNT($E$2:$E252)&lt;15,"",AVERAGE($AC$239:$AC$252))</f>
        <v>0</v>
      </c>
      <c r="AE252">
        <f>IF(OR($E252="",$E251=""),"",IF(AND(($C252-$C251)&gt;($D251-$D252),($C252-$C251)&gt;0),$C252-$C251,0))</f>
        <v>0</v>
      </c>
      <c r="AF252">
        <f>IF(OR($E252="",$E251=""),"",IF(AND(($D251-$D252)&gt;($C252-$C251),($D251-$D252)&gt;0),$D251-$D252,0))</f>
        <v>0</v>
      </c>
      <c r="AG252">
        <f>IF(COUNT($E$2:$E252)&lt;15,"",IF(SUM($AC$239:$AC$252)=0,0,100*SUM($AE$239:$AE$252)/SUM($AC$239:$AC$252)))</f>
        <v>0</v>
      </c>
      <c r="AH252">
        <f>IF(COUNT($E$2:$E252)&lt;15,"",IF(SUM($AC$239:$AC$252)=0,0,100*SUM($AF$239:$AF$252)/SUM($AC$239:$AC$252)))</f>
        <v>0</v>
      </c>
      <c r="AI252">
        <f>IF(OR(AG252="",AH252=""),"",IF((AG252+AH252)=0,0,100*ABS(AG252-AH252)/(AG252+AH252)))</f>
        <v>0</v>
      </c>
      <c r="AJ252">
        <f>IF(COUNT($AI$239:$AI$252)&lt;14,"",AVERAGE($AI$239:$AI$252))</f>
        <v>0</v>
      </c>
      <c r="AK252">
        <f>IF(COUNT($E$2:$E252)&lt;20,"",AVERAGE($E$233:$E$252))</f>
        <v>0</v>
      </c>
      <c r="AL252">
        <f>IF(COUNT($E$2:$E252)&lt;20,"",STDEVP($E$233:$E$252))</f>
        <v>0</v>
      </c>
      <c r="AM252">
        <f>IF(AK252="","",AK252+2*AL252)</f>
        <v>0</v>
      </c>
      <c r="AN252">
        <f>IF(AK252="","",AK252-2*AL252)</f>
        <v>0</v>
      </c>
      <c r="AO252">
        <f>IF(OR(AM252="",AN252="",AM252=AN252),"",($E252-AN252)/(AM252-AN252))</f>
        <v>0</v>
      </c>
      <c r="AP252">
        <f>IF(OR(AM252="",AK252="",AK252=0),"",(AM252-AN252)/AK252)</f>
        <v>0</v>
      </c>
      <c r="AQ252">
        <f>IF(COUNT($E$2:$E252)&lt;20,"",MAX($C$233:$C$252))</f>
        <v>0</v>
      </c>
      <c r="AR252">
        <f>IF(COUNT($E$2:$E252)&lt;20,"",MIN($D$233:$D$252))</f>
        <v>0</v>
      </c>
      <c r="AS252">
        <f>IF(OR(AQ252="",AR252=""),"",(AQ252+AR252)/2)</f>
        <v>0</v>
      </c>
      <c r="AT252">
        <f>IF(COUNT($G$233:$G$252)&lt;20,"",STDEV($G$233:$G$252)*SQRT(252))</f>
        <v>0</v>
      </c>
      <c r="AU252">
        <f>IF(COUNT($E$2:$E252)&lt;9,"",(MAX($C$244:$C$252)+MIN($D$244:$D$252))/2)</f>
        <v>0</v>
      </c>
      <c r="AV252">
        <f>IF(COUNT($E$2:$E252)&lt;26,"",(MAX($C$227:$C$252)+MIN($D$227:$D$252))/2)</f>
        <v>0</v>
      </c>
      <c r="AW252">
        <f>IF(OR(AU252="",AV252=""),"",(AU252+AV252)/2)</f>
        <v>0</v>
      </c>
      <c r="AX252">
        <f>IF(COUNT($E$2:$E252)&lt;52,"",(MAX($C$201:$C$252)+MIN($D$201:$D$252))/2)</f>
        <v>0</v>
      </c>
      <c r="AY252">
        <f>IF(COUNT($E$2:$E252)&lt;20,"",MAX($C$153:$C$252))</f>
        <v>0</v>
      </c>
      <c r="AZ252">
        <f>IF(COUNT($E$2:$E252)&lt;20,"",MIN($D$153:$D$252))</f>
        <v>0</v>
      </c>
      <c r="BA252">
        <f>IF(COUNT($E$2:$E252)&lt;20,"",SLOPE($E$153:$E$252,$F$153:$F$252))</f>
        <v>0</v>
      </c>
      <c r="BB252">
        <f>IF(COUNT($E$2:$E252)&lt;20,"",INTERCEPT($E$153:$E$252,$F$153:$F$252))</f>
        <v>0</v>
      </c>
      <c r="BC252">
        <f>IF(OR(BA252="",BB252=""),"",BB252+BA252*F252)</f>
        <v>0</v>
      </c>
      <c r="BD252">
        <f>IF(COUNT($E$2:$E252)&lt;20,"",STEYX($E$153:$E$252,$F$153:$F$252))</f>
        <v>0</v>
      </c>
      <c r="BE252">
        <f>IF($E252="","",IF(AND(COUNT($E$253:$E$256)&gt;=4,$C252=MAX($C$248:$C$256)),$C252,""))</f>
        <v>0</v>
      </c>
      <c r="BF252">
        <f>IF($E252="","",IF(AND(COUNT($E$253:$E$256)&gt;=4,$D252=MIN($D$248:$D$256)),$D252,""))</f>
        <v>0</v>
      </c>
      <c r="BG252">
        <f>IF($A252="","",$A252-WEEKDAY($A252,2)+1)</f>
        <v>0</v>
      </c>
      <c r="BH252">
        <f>IF($A252="","",IF($A251="",1,IF(BG252&lt;&gt;BG251,1,0)))</f>
        <v>0</v>
      </c>
      <c r="BI252">
        <f>IF($A252="","",IF($A253="",1,IF(BG253&lt;&gt;BG252,1,0)))</f>
        <v>0</v>
      </c>
      <c r="BJ252">
        <f>IF($A252="","",IF(BH252=1,$B252,BJ251))</f>
        <v>0</v>
      </c>
      <c r="BK252">
        <f>IF($A252="","",IF(BH252=1,$C252,MAX($C252,BK251)))</f>
        <v>0</v>
      </c>
      <c r="BL252">
        <f>IF($A252="","",IF(BH252=1,$D252,MIN($D252,BL251)))</f>
        <v>0</v>
      </c>
      <c r="BM252">
        <f>IF($A252="","",IF(BI252=1,F252,""))</f>
        <v>0</v>
      </c>
      <c r="BN252">
        <f>IF($A252="","",DATE(YEAR($A252),MONTH($A252),1))</f>
        <v>0</v>
      </c>
      <c r="BO252">
        <f>IF($A252="","",IF($A251="",1,IF(BN252&lt;&gt;BN251,1,0)))</f>
        <v>0</v>
      </c>
      <c r="BP252">
        <f>IF($A252="","",IF($A253="",1,IF(BN253&lt;&gt;BN252,1,0)))</f>
        <v>0</v>
      </c>
      <c r="BQ252">
        <f>IF($A252="","",IF(BO252=1,$B252,BQ251))</f>
        <v>0</v>
      </c>
      <c r="BR252">
        <f>IF($A252="","",IF(BO252=1,$C252,MAX($C252,BR251)))</f>
        <v>0</v>
      </c>
      <c r="BS252">
        <f>IF($A252="","",IF(BO252=1,$D252,MIN($D252,BS251)))</f>
        <v>0</v>
      </c>
      <c r="BT252">
        <f>IF($A252="","",IF(BP252=1,F252,""))</f>
        <v>0</v>
      </c>
    </row>
    <row r="253" spans="1:72">
      <c r="A253" s="27">
        <f>IF(Data!$A253="","",Data!$A253)</f>
        <v>0</v>
      </c>
      <c r="B253">
        <f>IF(Data!$B253="","",Data!$B253)</f>
        <v>0</v>
      </c>
      <c r="C253">
        <f>IF(Data!$C253="","",Data!$C253)</f>
        <v>0</v>
      </c>
      <c r="D253">
        <f>IF(Data!$D253="","",Data!$D253)</f>
        <v>0</v>
      </c>
      <c r="E253">
        <f>IF(Data!$E253="","",Data!$E253)</f>
        <v>0</v>
      </c>
      <c r="F253">
        <f>IF($E253="","",N(F252)+1)</f>
        <v>0</v>
      </c>
      <c r="G253">
        <f>IF(OR($E253="",$E252=""),"",LN($E253/$E252))</f>
        <v>0</v>
      </c>
      <c r="H253">
        <f>IF($E253="","",IF($E252="",$E253,$E253*0.0952380952+H252*0.9047619048))</f>
        <v>0</v>
      </c>
      <c r="I253">
        <f>IF($E253="","",IF($E252="",$E253,$E253*0.0392156863+I252*0.9607843137))</f>
        <v>0</v>
      </c>
      <c r="J253">
        <f>IF($E253="","",IF($E252="",$E253,$E253*0.0198019802+J252*0.9801980198))</f>
        <v>0</v>
      </c>
      <c r="K253">
        <f>IF($E253="","",IF($E252="",$E253,$E253*0.0099502488+K252*0.9900497512))</f>
        <v>0</v>
      </c>
      <c r="L253">
        <f>IF(OR($E253="",$E252=""),"",MAX($E253-$E252,0))</f>
        <v>0</v>
      </c>
      <c r="M253">
        <f>IF(OR($E253="",$E252=""),"",MAX($E252-$E253,0))</f>
        <v>0</v>
      </c>
      <c r="N253">
        <f>IF(COUNT($E$2:$E253)&lt;15,"",IF(AVERAGE($M$240:$M$253)=0,100,100-100/(1+AVERAGE($L$240:$L$253)/AVERAGE($M$240:$M$253))))</f>
        <v>0</v>
      </c>
      <c r="O253">
        <f>IF($E253="","",IF($E252="",$E253,$E253*0.1538461538+O252*0.8461538462))</f>
        <v>0</v>
      </c>
      <c r="P253">
        <f>IF($E253="","",IF($E252="",$E253,$E253*0.0740740741+P252*0.9259259259))</f>
        <v>0</v>
      </c>
      <c r="Q253">
        <f>IF(OR(O253="",P253=""),"",O253-P253)</f>
        <v>0</v>
      </c>
      <c r="R253">
        <f>IF(Q253="","",IF(R252="",Q253,Q253*0.2000000000+R252*0.8000000000))</f>
        <v>0</v>
      </c>
      <c r="S253">
        <f>IF(OR(Q253="",R253=""),"",Q253-R253)</f>
        <v>0</v>
      </c>
      <c r="T253">
        <f>IF(COUNT($E$2:$E253)&lt;14,"",MAX($C$240:$C$253))</f>
        <v>0</v>
      </c>
      <c r="U253">
        <f>IF(COUNT($E$2:$E253)&lt;14,"",MIN($D$240:$D$253))</f>
        <v>0</v>
      </c>
      <c r="V253">
        <f>IF(OR(T253="",U253="",T253=U253),"",100*($E253-U253)/(T253-U253))</f>
        <v>0</v>
      </c>
      <c r="W253">
        <f>IF(COUNT($V$251:$V$253)&lt;3,"",AVERAGE($V$251:$V$253))</f>
        <v>0</v>
      </c>
      <c r="X253">
        <f>IF(COUNT($N$240:$N$253)&lt;14,"",MIN($N$240:$N$253))</f>
        <v>0</v>
      </c>
      <c r="Y253">
        <f>IF(COUNT($N$240:$N$253)&lt;14,"",MAX($N$240:$N$253))</f>
        <v>0</v>
      </c>
      <c r="Z253">
        <f>IF(OR(N253="",X253="",Y253="",Y253=X253),"",100*(N253-X253)/(Y253-X253))</f>
        <v>0</v>
      </c>
      <c r="AA253">
        <f>IF(COUNT($Z$251:$Z$253)&lt;3,"",AVERAGE($Z$251:$Z$253))</f>
        <v>0</v>
      </c>
      <c r="AB253">
        <f>IF(COUNT($AA$251:$AA$253)&lt;3,"",AVERAGE($AA$251:$AA$253))</f>
        <v>0</v>
      </c>
      <c r="AC253">
        <f>IF($E253="","",MAX($C253-$D253,ABS($C253-$E252),ABS($D253-$E252)))</f>
        <v>0</v>
      </c>
      <c r="AD253">
        <f>IF(COUNT($E$2:$E253)&lt;15,"",AVERAGE($AC$240:$AC$253))</f>
        <v>0</v>
      </c>
      <c r="AE253">
        <f>IF(OR($E253="",$E252=""),"",IF(AND(($C253-$C252)&gt;($D252-$D253),($C253-$C252)&gt;0),$C253-$C252,0))</f>
        <v>0</v>
      </c>
      <c r="AF253">
        <f>IF(OR($E253="",$E252=""),"",IF(AND(($D252-$D253)&gt;($C253-$C252),($D252-$D253)&gt;0),$D252-$D253,0))</f>
        <v>0</v>
      </c>
      <c r="AG253">
        <f>IF(COUNT($E$2:$E253)&lt;15,"",IF(SUM($AC$240:$AC$253)=0,0,100*SUM($AE$240:$AE$253)/SUM($AC$240:$AC$253)))</f>
        <v>0</v>
      </c>
      <c r="AH253">
        <f>IF(COUNT($E$2:$E253)&lt;15,"",IF(SUM($AC$240:$AC$253)=0,0,100*SUM($AF$240:$AF$253)/SUM($AC$240:$AC$253)))</f>
        <v>0</v>
      </c>
      <c r="AI253">
        <f>IF(OR(AG253="",AH253=""),"",IF((AG253+AH253)=0,0,100*ABS(AG253-AH253)/(AG253+AH253)))</f>
        <v>0</v>
      </c>
      <c r="AJ253">
        <f>IF(COUNT($AI$240:$AI$253)&lt;14,"",AVERAGE($AI$240:$AI$253))</f>
        <v>0</v>
      </c>
      <c r="AK253">
        <f>IF(COUNT($E$2:$E253)&lt;20,"",AVERAGE($E$234:$E$253))</f>
        <v>0</v>
      </c>
      <c r="AL253">
        <f>IF(COUNT($E$2:$E253)&lt;20,"",STDEVP($E$234:$E$253))</f>
        <v>0</v>
      </c>
      <c r="AM253">
        <f>IF(AK253="","",AK253+2*AL253)</f>
        <v>0</v>
      </c>
      <c r="AN253">
        <f>IF(AK253="","",AK253-2*AL253)</f>
        <v>0</v>
      </c>
      <c r="AO253">
        <f>IF(OR(AM253="",AN253="",AM253=AN253),"",($E253-AN253)/(AM253-AN253))</f>
        <v>0</v>
      </c>
      <c r="AP253">
        <f>IF(OR(AM253="",AK253="",AK253=0),"",(AM253-AN253)/AK253)</f>
        <v>0</v>
      </c>
      <c r="AQ253">
        <f>IF(COUNT($E$2:$E253)&lt;20,"",MAX($C$234:$C$253))</f>
        <v>0</v>
      </c>
      <c r="AR253">
        <f>IF(COUNT($E$2:$E253)&lt;20,"",MIN($D$234:$D$253))</f>
        <v>0</v>
      </c>
      <c r="AS253">
        <f>IF(OR(AQ253="",AR253=""),"",(AQ253+AR253)/2)</f>
        <v>0</v>
      </c>
      <c r="AT253">
        <f>IF(COUNT($G$234:$G$253)&lt;20,"",STDEV($G$234:$G$253)*SQRT(252))</f>
        <v>0</v>
      </c>
      <c r="AU253">
        <f>IF(COUNT($E$2:$E253)&lt;9,"",(MAX($C$245:$C$253)+MIN($D$245:$D$253))/2)</f>
        <v>0</v>
      </c>
      <c r="AV253">
        <f>IF(COUNT($E$2:$E253)&lt;26,"",(MAX($C$228:$C$253)+MIN($D$228:$D$253))/2)</f>
        <v>0</v>
      </c>
      <c r="AW253">
        <f>IF(OR(AU253="",AV253=""),"",(AU253+AV253)/2)</f>
        <v>0</v>
      </c>
      <c r="AX253">
        <f>IF(COUNT($E$2:$E253)&lt;52,"",(MAX($C$202:$C$253)+MIN($D$202:$D$253))/2)</f>
        <v>0</v>
      </c>
      <c r="AY253">
        <f>IF(COUNT($E$2:$E253)&lt;20,"",MAX($C$154:$C$253))</f>
        <v>0</v>
      </c>
      <c r="AZ253">
        <f>IF(COUNT($E$2:$E253)&lt;20,"",MIN($D$154:$D$253))</f>
        <v>0</v>
      </c>
      <c r="BA253">
        <f>IF(COUNT($E$2:$E253)&lt;20,"",SLOPE($E$154:$E$253,$F$154:$F$253))</f>
        <v>0</v>
      </c>
      <c r="BB253">
        <f>IF(COUNT($E$2:$E253)&lt;20,"",INTERCEPT($E$154:$E$253,$F$154:$F$253))</f>
        <v>0</v>
      </c>
      <c r="BC253">
        <f>IF(OR(BA253="",BB253=""),"",BB253+BA253*F253)</f>
        <v>0</v>
      </c>
      <c r="BD253">
        <f>IF(COUNT($E$2:$E253)&lt;20,"",STEYX($E$154:$E$253,$F$154:$F$253))</f>
        <v>0</v>
      </c>
      <c r="BE253">
        <f>IF($E253="","",IF(AND(COUNT($E$254:$E$257)&gt;=4,$C253=MAX($C$249:$C$257)),$C253,""))</f>
        <v>0</v>
      </c>
      <c r="BF253">
        <f>IF($E253="","",IF(AND(COUNT($E$254:$E$257)&gt;=4,$D253=MIN($D$249:$D$257)),$D253,""))</f>
        <v>0</v>
      </c>
      <c r="BG253">
        <f>IF($A253="","",$A253-WEEKDAY($A253,2)+1)</f>
        <v>0</v>
      </c>
      <c r="BH253">
        <f>IF($A253="","",IF($A252="",1,IF(BG253&lt;&gt;BG252,1,0)))</f>
        <v>0</v>
      </c>
      <c r="BI253">
        <f>IF($A253="","",IF($A254="",1,IF(BG254&lt;&gt;BG253,1,0)))</f>
        <v>0</v>
      </c>
      <c r="BJ253">
        <f>IF($A253="","",IF(BH253=1,$B253,BJ252))</f>
        <v>0</v>
      </c>
      <c r="BK253">
        <f>IF($A253="","",IF(BH253=1,$C253,MAX($C253,BK252)))</f>
        <v>0</v>
      </c>
      <c r="BL253">
        <f>IF($A253="","",IF(BH253=1,$D253,MIN($D253,BL252)))</f>
        <v>0</v>
      </c>
      <c r="BM253">
        <f>IF($A253="","",IF(BI253=1,F253,""))</f>
        <v>0</v>
      </c>
      <c r="BN253">
        <f>IF($A253="","",DATE(YEAR($A253),MONTH($A253),1))</f>
        <v>0</v>
      </c>
      <c r="BO253">
        <f>IF($A253="","",IF($A252="",1,IF(BN253&lt;&gt;BN252,1,0)))</f>
        <v>0</v>
      </c>
      <c r="BP253">
        <f>IF($A253="","",IF($A254="",1,IF(BN254&lt;&gt;BN253,1,0)))</f>
        <v>0</v>
      </c>
      <c r="BQ253">
        <f>IF($A253="","",IF(BO253=1,$B253,BQ252))</f>
        <v>0</v>
      </c>
      <c r="BR253">
        <f>IF($A253="","",IF(BO253=1,$C253,MAX($C253,BR252)))</f>
        <v>0</v>
      </c>
      <c r="BS253">
        <f>IF($A253="","",IF(BO253=1,$D253,MIN($D253,BS252)))</f>
        <v>0</v>
      </c>
      <c r="BT253">
        <f>IF($A253="","",IF(BP253=1,F253,""))</f>
        <v>0</v>
      </c>
    </row>
    <row r="254" spans="1:72">
      <c r="A254" s="27">
        <f>IF(Data!$A254="","",Data!$A254)</f>
        <v>0</v>
      </c>
      <c r="B254">
        <f>IF(Data!$B254="","",Data!$B254)</f>
        <v>0</v>
      </c>
      <c r="C254">
        <f>IF(Data!$C254="","",Data!$C254)</f>
        <v>0</v>
      </c>
      <c r="D254">
        <f>IF(Data!$D254="","",Data!$D254)</f>
        <v>0</v>
      </c>
      <c r="E254">
        <f>IF(Data!$E254="","",Data!$E254)</f>
        <v>0</v>
      </c>
      <c r="F254">
        <f>IF($E254="","",N(F253)+1)</f>
        <v>0</v>
      </c>
      <c r="G254">
        <f>IF(OR($E254="",$E253=""),"",LN($E254/$E253))</f>
        <v>0</v>
      </c>
      <c r="H254">
        <f>IF($E254="","",IF($E253="",$E254,$E254*0.0952380952+H253*0.9047619048))</f>
        <v>0</v>
      </c>
      <c r="I254">
        <f>IF($E254="","",IF($E253="",$E254,$E254*0.0392156863+I253*0.9607843137))</f>
        <v>0</v>
      </c>
      <c r="J254">
        <f>IF($E254="","",IF($E253="",$E254,$E254*0.0198019802+J253*0.9801980198))</f>
        <v>0</v>
      </c>
      <c r="K254">
        <f>IF($E254="","",IF($E253="",$E254,$E254*0.0099502488+K253*0.9900497512))</f>
        <v>0</v>
      </c>
      <c r="L254">
        <f>IF(OR($E254="",$E253=""),"",MAX($E254-$E253,0))</f>
        <v>0</v>
      </c>
      <c r="M254">
        <f>IF(OR($E254="",$E253=""),"",MAX($E253-$E254,0))</f>
        <v>0</v>
      </c>
      <c r="N254">
        <f>IF(COUNT($E$2:$E254)&lt;15,"",IF(AVERAGE($M$241:$M$254)=0,100,100-100/(1+AVERAGE($L$241:$L$254)/AVERAGE($M$241:$M$254))))</f>
        <v>0</v>
      </c>
      <c r="O254">
        <f>IF($E254="","",IF($E253="",$E254,$E254*0.1538461538+O253*0.8461538462))</f>
        <v>0</v>
      </c>
      <c r="P254">
        <f>IF($E254="","",IF($E253="",$E254,$E254*0.0740740741+P253*0.9259259259))</f>
        <v>0</v>
      </c>
      <c r="Q254">
        <f>IF(OR(O254="",P254=""),"",O254-P254)</f>
        <v>0</v>
      </c>
      <c r="R254">
        <f>IF(Q254="","",IF(R253="",Q254,Q254*0.2000000000+R253*0.8000000000))</f>
        <v>0</v>
      </c>
      <c r="S254">
        <f>IF(OR(Q254="",R254=""),"",Q254-R254)</f>
        <v>0</v>
      </c>
      <c r="T254">
        <f>IF(COUNT($E$2:$E254)&lt;14,"",MAX($C$241:$C$254))</f>
        <v>0</v>
      </c>
      <c r="U254">
        <f>IF(COUNT($E$2:$E254)&lt;14,"",MIN($D$241:$D$254))</f>
        <v>0</v>
      </c>
      <c r="V254">
        <f>IF(OR(T254="",U254="",T254=U254),"",100*($E254-U254)/(T254-U254))</f>
        <v>0</v>
      </c>
      <c r="W254">
        <f>IF(COUNT($V$252:$V$254)&lt;3,"",AVERAGE($V$252:$V$254))</f>
        <v>0</v>
      </c>
      <c r="X254">
        <f>IF(COUNT($N$241:$N$254)&lt;14,"",MIN($N$241:$N$254))</f>
        <v>0</v>
      </c>
      <c r="Y254">
        <f>IF(COUNT($N$241:$N$254)&lt;14,"",MAX($N$241:$N$254))</f>
        <v>0</v>
      </c>
      <c r="Z254">
        <f>IF(OR(N254="",X254="",Y254="",Y254=X254),"",100*(N254-X254)/(Y254-X254))</f>
        <v>0</v>
      </c>
      <c r="AA254">
        <f>IF(COUNT($Z$252:$Z$254)&lt;3,"",AVERAGE($Z$252:$Z$254))</f>
        <v>0</v>
      </c>
      <c r="AB254">
        <f>IF(COUNT($AA$252:$AA$254)&lt;3,"",AVERAGE($AA$252:$AA$254))</f>
        <v>0</v>
      </c>
      <c r="AC254">
        <f>IF($E254="","",MAX($C254-$D254,ABS($C254-$E253),ABS($D254-$E253)))</f>
        <v>0</v>
      </c>
      <c r="AD254">
        <f>IF(COUNT($E$2:$E254)&lt;15,"",AVERAGE($AC$241:$AC$254))</f>
        <v>0</v>
      </c>
      <c r="AE254">
        <f>IF(OR($E254="",$E253=""),"",IF(AND(($C254-$C253)&gt;($D253-$D254),($C254-$C253)&gt;0),$C254-$C253,0))</f>
        <v>0</v>
      </c>
      <c r="AF254">
        <f>IF(OR($E254="",$E253=""),"",IF(AND(($D253-$D254)&gt;($C254-$C253),($D253-$D254)&gt;0),$D253-$D254,0))</f>
        <v>0</v>
      </c>
      <c r="AG254">
        <f>IF(COUNT($E$2:$E254)&lt;15,"",IF(SUM($AC$241:$AC$254)=0,0,100*SUM($AE$241:$AE$254)/SUM($AC$241:$AC$254)))</f>
        <v>0</v>
      </c>
      <c r="AH254">
        <f>IF(COUNT($E$2:$E254)&lt;15,"",IF(SUM($AC$241:$AC$254)=0,0,100*SUM($AF$241:$AF$254)/SUM($AC$241:$AC$254)))</f>
        <v>0</v>
      </c>
      <c r="AI254">
        <f>IF(OR(AG254="",AH254=""),"",IF((AG254+AH254)=0,0,100*ABS(AG254-AH254)/(AG254+AH254)))</f>
        <v>0</v>
      </c>
      <c r="AJ254">
        <f>IF(COUNT($AI$241:$AI$254)&lt;14,"",AVERAGE($AI$241:$AI$254))</f>
        <v>0</v>
      </c>
      <c r="AK254">
        <f>IF(COUNT($E$2:$E254)&lt;20,"",AVERAGE($E$235:$E$254))</f>
        <v>0</v>
      </c>
      <c r="AL254">
        <f>IF(COUNT($E$2:$E254)&lt;20,"",STDEVP($E$235:$E$254))</f>
        <v>0</v>
      </c>
      <c r="AM254">
        <f>IF(AK254="","",AK254+2*AL254)</f>
        <v>0</v>
      </c>
      <c r="AN254">
        <f>IF(AK254="","",AK254-2*AL254)</f>
        <v>0</v>
      </c>
      <c r="AO254">
        <f>IF(OR(AM254="",AN254="",AM254=AN254),"",($E254-AN254)/(AM254-AN254))</f>
        <v>0</v>
      </c>
      <c r="AP254">
        <f>IF(OR(AM254="",AK254="",AK254=0),"",(AM254-AN254)/AK254)</f>
        <v>0</v>
      </c>
      <c r="AQ254">
        <f>IF(COUNT($E$2:$E254)&lt;20,"",MAX($C$235:$C$254))</f>
        <v>0</v>
      </c>
      <c r="AR254">
        <f>IF(COUNT($E$2:$E254)&lt;20,"",MIN($D$235:$D$254))</f>
        <v>0</v>
      </c>
      <c r="AS254">
        <f>IF(OR(AQ254="",AR254=""),"",(AQ254+AR254)/2)</f>
        <v>0</v>
      </c>
      <c r="AT254">
        <f>IF(COUNT($G$235:$G$254)&lt;20,"",STDEV($G$235:$G$254)*SQRT(252))</f>
        <v>0</v>
      </c>
      <c r="AU254">
        <f>IF(COUNT($E$2:$E254)&lt;9,"",(MAX($C$246:$C$254)+MIN($D$246:$D$254))/2)</f>
        <v>0</v>
      </c>
      <c r="AV254">
        <f>IF(COUNT($E$2:$E254)&lt;26,"",(MAX($C$229:$C$254)+MIN($D$229:$D$254))/2)</f>
        <v>0</v>
      </c>
      <c r="AW254">
        <f>IF(OR(AU254="",AV254=""),"",(AU254+AV254)/2)</f>
        <v>0</v>
      </c>
      <c r="AX254">
        <f>IF(COUNT($E$2:$E254)&lt;52,"",(MAX($C$203:$C$254)+MIN($D$203:$D$254))/2)</f>
        <v>0</v>
      </c>
      <c r="AY254">
        <f>IF(COUNT($E$2:$E254)&lt;20,"",MAX($C$155:$C$254))</f>
        <v>0</v>
      </c>
      <c r="AZ254">
        <f>IF(COUNT($E$2:$E254)&lt;20,"",MIN($D$155:$D$254))</f>
        <v>0</v>
      </c>
      <c r="BA254">
        <f>IF(COUNT($E$2:$E254)&lt;20,"",SLOPE($E$155:$E$254,$F$155:$F$254))</f>
        <v>0</v>
      </c>
      <c r="BB254">
        <f>IF(COUNT($E$2:$E254)&lt;20,"",INTERCEPT($E$155:$E$254,$F$155:$F$254))</f>
        <v>0</v>
      </c>
      <c r="BC254">
        <f>IF(OR(BA254="",BB254=""),"",BB254+BA254*F254)</f>
        <v>0</v>
      </c>
      <c r="BD254">
        <f>IF(COUNT($E$2:$E254)&lt;20,"",STEYX($E$155:$E$254,$F$155:$F$254))</f>
        <v>0</v>
      </c>
      <c r="BE254">
        <f>IF($E254="","",IF(AND(COUNT($E$255:$E$258)&gt;=4,$C254=MAX($C$250:$C$258)),$C254,""))</f>
        <v>0</v>
      </c>
      <c r="BF254">
        <f>IF($E254="","",IF(AND(COUNT($E$255:$E$258)&gt;=4,$D254=MIN($D$250:$D$258)),$D254,""))</f>
        <v>0</v>
      </c>
      <c r="BG254">
        <f>IF($A254="","",$A254-WEEKDAY($A254,2)+1)</f>
        <v>0</v>
      </c>
      <c r="BH254">
        <f>IF($A254="","",IF($A253="",1,IF(BG254&lt;&gt;BG253,1,0)))</f>
        <v>0</v>
      </c>
      <c r="BI254">
        <f>IF($A254="","",IF($A255="",1,IF(BG255&lt;&gt;BG254,1,0)))</f>
        <v>0</v>
      </c>
      <c r="BJ254">
        <f>IF($A254="","",IF(BH254=1,$B254,BJ253))</f>
        <v>0</v>
      </c>
      <c r="BK254">
        <f>IF($A254="","",IF(BH254=1,$C254,MAX($C254,BK253)))</f>
        <v>0</v>
      </c>
      <c r="BL254">
        <f>IF($A254="","",IF(BH254=1,$D254,MIN($D254,BL253)))</f>
        <v>0</v>
      </c>
      <c r="BM254">
        <f>IF($A254="","",IF(BI254=1,F254,""))</f>
        <v>0</v>
      </c>
      <c r="BN254">
        <f>IF($A254="","",DATE(YEAR($A254),MONTH($A254),1))</f>
        <v>0</v>
      </c>
      <c r="BO254">
        <f>IF($A254="","",IF($A253="",1,IF(BN254&lt;&gt;BN253,1,0)))</f>
        <v>0</v>
      </c>
      <c r="BP254">
        <f>IF($A254="","",IF($A255="",1,IF(BN255&lt;&gt;BN254,1,0)))</f>
        <v>0</v>
      </c>
      <c r="BQ254">
        <f>IF($A254="","",IF(BO254=1,$B254,BQ253))</f>
        <v>0</v>
      </c>
      <c r="BR254">
        <f>IF($A254="","",IF(BO254=1,$C254,MAX($C254,BR253)))</f>
        <v>0</v>
      </c>
      <c r="BS254">
        <f>IF($A254="","",IF(BO254=1,$D254,MIN($D254,BS253)))</f>
        <v>0</v>
      </c>
      <c r="BT254">
        <f>IF($A254="","",IF(BP254=1,F254,""))</f>
        <v>0</v>
      </c>
    </row>
    <row r="255" spans="1:72">
      <c r="A255" s="27">
        <f>IF(Data!$A255="","",Data!$A255)</f>
        <v>0</v>
      </c>
      <c r="B255">
        <f>IF(Data!$B255="","",Data!$B255)</f>
        <v>0</v>
      </c>
      <c r="C255">
        <f>IF(Data!$C255="","",Data!$C255)</f>
        <v>0</v>
      </c>
      <c r="D255">
        <f>IF(Data!$D255="","",Data!$D255)</f>
        <v>0</v>
      </c>
      <c r="E255">
        <f>IF(Data!$E255="","",Data!$E255)</f>
        <v>0</v>
      </c>
      <c r="F255">
        <f>IF($E255="","",N(F254)+1)</f>
        <v>0</v>
      </c>
      <c r="G255">
        <f>IF(OR($E255="",$E254=""),"",LN($E255/$E254))</f>
        <v>0</v>
      </c>
      <c r="H255">
        <f>IF($E255="","",IF($E254="",$E255,$E255*0.0952380952+H254*0.9047619048))</f>
        <v>0</v>
      </c>
      <c r="I255">
        <f>IF($E255="","",IF($E254="",$E255,$E255*0.0392156863+I254*0.9607843137))</f>
        <v>0</v>
      </c>
      <c r="J255">
        <f>IF($E255="","",IF($E254="",$E255,$E255*0.0198019802+J254*0.9801980198))</f>
        <v>0</v>
      </c>
      <c r="K255">
        <f>IF($E255="","",IF($E254="",$E255,$E255*0.0099502488+K254*0.9900497512))</f>
        <v>0</v>
      </c>
      <c r="L255">
        <f>IF(OR($E255="",$E254=""),"",MAX($E255-$E254,0))</f>
        <v>0</v>
      </c>
      <c r="M255">
        <f>IF(OR($E255="",$E254=""),"",MAX($E254-$E255,0))</f>
        <v>0</v>
      </c>
      <c r="N255">
        <f>IF(COUNT($E$2:$E255)&lt;15,"",IF(AVERAGE($M$242:$M$255)=0,100,100-100/(1+AVERAGE($L$242:$L$255)/AVERAGE($M$242:$M$255))))</f>
        <v>0</v>
      </c>
      <c r="O255">
        <f>IF($E255="","",IF($E254="",$E255,$E255*0.1538461538+O254*0.8461538462))</f>
        <v>0</v>
      </c>
      <c r="P255">
        <f>IF($E255="","",IF($E254="",$E255,$E255*0.0740740741+P254*0.9259259259))</f>
        <v>0</v>
      </c>
      <c r="Q255">
        <f>IF(OR(O255="",P255=""),"",O255-P255)</f>
        <v>0</v>
      </c>
      <c r="R255">
        <f>IF(Q255="","",IF(R254="",Q255,Q255*0.2000000000+R254*0.8000000000))</f>
        <v>0</v>
      </c>
      <c r="S255">
        <f>IF(OR(Q255="",R255=""),"",Q255-R255)</f>
        <v>0</v>
      </c>
      <c r="T255">
        <f>IF(COUNT($E$2:$E255)&lt;14,"",MAX($C$242:$C$255))</f>
        <v>0</v>
      </c>
      <c r="U255">
        <f>IF(COUNT($E$2:$E255)&lt;14,"",MIN($D$242:$D$255))</f>
        <v>0</v>
      </c>
      <c r="V255">
        <f>IF(OR(T255="",U255="",T255=U255),"",100*($E255-U255)/(T255-U255))</f>
        <v>0</v>
      </c>
      <c r="W255">
        <f>IF(COUNT($V$253:$V$255)&lt;3,"",AVERAGE($V$253:$V$255))</f>
        <v>0</v>
      </c>
      <c r="X255">
        <f>IF(COUNT($N$242:$N$255)&lt;14,"",MIN($N$242:$N$255))</f>
        <v>0</v>
      </c>
      <c r="Y255">
        <f>IF(COUNT($N$242:$N$255)&lt;14,"",MAX($N$242:$N$255))</f>
        <v>0</v>
      </c>
      <c r="Z255">
        <f>IF(OR(N255="",X255="",Y255="",Y255=X255),"",100*(N255-X255)/(Y255-X255))</f>
        <v>0</v>
      </c>
      <c r="AA255">
        <f>IF(COUNT($Z$253:$Z$255)&lt;3,"",AVERAGE($Z$253:$Z$255))</f>
        <v>0</v>
      </c>
      <c r="AB255">
        <f>IF(COUNT($AA$253:$AA$255)&lt;3,"",AVERAGE($AA$253:$AA$255))</f>
        <v>0</v>
      </c>
      <c r="AC255">
        <f>IF($E255="","",MAX($C255-$D255,ABS($C255-$E254),ABS($D255-$E254)))</f>
        <v>0</v>
      </c>
      <c r="AD255">
        <f>IF(COUNT($E$2:$E255)&lt;15,"",AVERAGE($AC$242:$AC$255))</f>
        <v>0</v>
      </c>
      <c r="AE255">
        <f>IF(OR($E255="",$E254=""),"",IF(AND(($C255-$C254)&gt;($D254-$D255),($C255-$C254)&gt;0),$C255-$C254,0))</f>
        <v>0</v>
      </c>
      <c r="AF255">
        <f>IF(OR($E255="",$E254=""),"",IF(AND(($D254-$D255)&gt;($C255-$C254),($D254-$D255)&gt;0),$D254-$D255,0))</f>
        <v>0</v>
      </c>
      <c r="AG255">
        <f>IF(COUNT($E$2:$E255)&lt;15,"",IF(SUM($AC$242:$AC$255)=0,0,100*SUM($AE$242:$AE$255)/SUM($AC$242:$AC$255)))</f>
        <v>0</v>
      </c>
      <c r="AH255">
        <f>IF(COUNT($E$2:$E255)&lt;15,"",IF(SUM($AC$242:$AC$255)=0,0,100*SUM($AF$242:$AF$255)/SUM($AC$242:$AC$255)))</f>
        <v>0</v>
      </c>
      <c r="AI255">
        <f>IF(OR(AG255="",AH255=""),"",IF((AG255+AH255)=0,0,100*ABS(AG255-AH255)/(AG255+AH255)))</f>
        <v>0</v>
      </c>
      <c r="AJ255">
        <f>IF(COUNT($AI$242:$AI$255)&lt;14,"",AVERAGE($AI$242:$AI$255))</f>
        <v>0</v>
      </c>
      <c r="AK255">
        <f>IF(COUNT($E$2:$E255)&lt;20,"",AVERAGE($E$236:$E$255))</f>
        <v>0</v>
      </c>
      <c r="AL255">
        <f>IF(COUNT($E$2:$E255)&lt;20,"",STDEVP($E$236:$E$255))</f>
        <v>0</v>
      </c>
      <c r="AM255">
        <f>IF(AK255="","",AK255+2*AL255)</f>
        <v>0</v>
      </c>
      <c r="AN255">
        <f>IF(AK255="","",AK255-2*AL255)</f>
        <v>0</v>
      </c>
      <c r="AO255">
        <f>IF(OR(AM255="",AN255="",AM255=AN255),"",($E255-AN255)/(AM255-AN255))</f>
        <v>0</v>
      </c>
      <c r="AP255">
        <f>IF(OR(AM255="",AK255="",AK255=0),"",(AM255-AN255)/AK255)</f>
        <v>0</v>
      </c>
      <c r="AQ255">
        <f>IF(COUNT($E$2:$E255)&lt;20,"",MAX($C$236:$C$255))</f>
        <v>0</v>
      </c>
      <c r="AR255">
        <f>IF(COUNT($E$2:$E255)&lt;20,"",MIN($D$236:$D$255))</f>
        <v>0</v>
      </c>
      <c r="AS255">
        <f>IF(OR(AQ255="",AR255=""),"",(AQ255+AR255)/2)</f>
        <v>0</v>
      </c>
      <c r="AT255">
        <f>IF(COUNT($G$236:$G$255)&lt;20,"",STDEV($G$236:$G$255)*SQRT(252))</f>
        <v>0</v>
      </c>
      <c r="AU255">
        <f>IF(COUNT($E$2:$E255)&lt;9,"",(MAX($C$247:$C$255)+MIN($D$247:$D$255))/2)</f>
        <v>0</v>
      </c>
      <c r="AV255">
        <f>IF(COUNT($E$2:$E255)&lt;26,"",(MAX($C$230:$C$255)+MIN($D$230:$D$255))/2)</f>
        <v>0</v>
      </c>
      <c r="AW255">
        <f>IF(OR(AU255="",AV255=""),"",(AU255+AV255)/2)</f>
        <v>0</v>
      </c>
      <c r="AX255">
        <f>IF(COUNT($E$2:$E255)&lt;52,"",(MAX($C$204:$C$255)+MIN($D$204:$D$255))/2)</f>
        <v>0</v>
      </c>
      <c r="AY255">
        <f>IF(COUNT($E$2:$E255)&lt;20,"",MAX($C$156:$C$255))</f>
        <v>0</v>
      </c>
      <c r="AZ255">
        <f>IF(COUNT($E$2:$E255)&lt;20,"",MIN($D$156:$D$255))</f>
        <v>0</v>
      </c>
      <c r="BA255">
        <f>IF(COUNT($E$2:$E255)&lt;20,"",SLOPE($E$156:$E$255,$F$156:$F$255))</f>
        <v>0</v>
      </c>
      <c r="BB255">
        <f>IF(COUNT($E$2:$E255)&lt;20,"",INTERCEPT($E$156:$E$255,$F$156:$F$255))</f>
        <v>0</v>
      </c>
      <c r="BC255">
        <f>IF(OR(BA255="",BB255=""),"",BB255+BA255*F255)</f>
        <v>0</v>
      </c>
      <c r="BD255">
        <f>IF(COUNT($E$2:$E255)&lt;20,"",STEYX($E$156:$E$255,$F$156:$F$255))</f>
        <v>0</v>
      </c>
      <c r="BE255">
        <f>IF($E255="","",IF(AND(COUNT($E$256:$E$259)&gt;=4,$C255=MAX($C$251:$C$259)),$C255,""))</f>
        <v>0</v>
      </c>
      <c r="BF255">
        <f>IF($E255="","",IF(AND(COUNT($E$256:$E$259)&gt;=4,$D255=MIN($D$251:$D$259)),$D255,""))</f>
        <v>0</v>
      </c>
      <c r="BG255">
        <f>IF($A255="","",$A255-WEEKDAY($A255,2)+1)</f>
        <v>0</v>
      </c>
      <c r="BH255">
        <f>IF($A255="","",IF($A254="",1,IF(BG255&lt;&gt;BG254,1,0)))</f>
        <v>0</v>
      </c>
      <c r="BI255">
        <f>IF($A255="","",IF($A256="",1,IF(BG256&lt;&gt;BG255,1,0)))</f>
        <v>0</v>
      </c>
      <c r="BJ255">
        <f>IF($A255="","",IF(BH255=1,$B255,BJ254))</f>
        <v>0</v>
      </c>
      <c r="BK255">
        <f>IF($A255="","",IF(BH255=1,$C255,MAX($C255,BK254)))</f>
        <v>0</v>
      </c>
      <c r="BL255">
        <f>IF($A255="","",IF(BH255=1,$D255,MIN($D255,BL254)))</f>
        <v>0</v>
      </c>
      <c r="BM255">
        <f>IF($A255="","",IF(BI255=1,F255,""))</f>
        <v>0</v>
      </c>
      <c r="BN255">
        <f>IF($A255="","",DATE(YEAR($A255),MONTH($A255),1))</f>
        <v>0</v>
      </c>
      <c r="BO255">
        <f>IF($A255="","",IF($A254="",1,IF(BN255&lt;&gt;BN254,1,0)))</f>
        <v>0</v>
      </c>
      <c r="BP255">
        <f>IF($A255="","",IF($A256="",1,IF(BN256&lt;&gt;BN255,1,0)))</f>
        <v>0</v>
      </c>
      <c r="BQ255">
        <f>IF($A255="","",IF(BO255=1,$B255,BQ254))</f>
        <v>0</v>
      </c>
      <c r="BR255">
        <f>IF($A255="","",IF(BO255=1,$C255,MAX($C255,BR254)))</f>
        <v>0</v>
      </c>
      <c r="BS255">
        <f>IF($A255="","",IF(BO255=1,$D255,MIN($D255,BS254)))</f>
        <v>0</v>
      </c>
      <c r="BT255">
        <f>IF($A255="","",IF(BP255=1,F255,""))</f>
        <v>0</v>
      </c>
    </row>
    <row r="256" spans="1:72">
      <c r="A256" s="27">
        <f>IF(Data!$A256="","",Data!$A256)</f>
        <v>0</v>
      </c>
      <c r="B256">
        <f>IF(Data!$B256="","",Data!$B256)</f>
        <v>0</v>
      </c>
      <c r="C256">
        <f>IF(Data!$C256="","",Data!$C256)</f>
        <v>0</v>
      </c>
      <c r="D256">
        <f>IF(Data!$D256="","",Data!$D256)</f>
        <v>0</v>
      </c>
      <c r="E256">
        <f>IF(Data!$E256="","",Data!$E256)</f>
        <v>0</v>
      </c>
      <c r="F256">
        <f>IF($E256="","",N(F255)+1)</f>
        <v>0</v>
      </c>
      <c r="G256">
        <f>IF(OR($E256="",$E255=""),"",LN($E256/$E255))</f>
        <v>0</v>
      </c>
      <c r="H256">
        <f>IF($E256="","",IF($E255="",$E256,$E256*0.0952380952+H255*0.9047619048))</f>
        <v>0</v>
      </c>
      <c r="I256">
        <f>IF($E256="","",IF($E255="",$E256,$E256*0.0392156863+I255*0.9607843137))</f>
        <v>0</v>
      </c>
      <c r="J256">
        <f>IF($E256="","",IF($E255="",$E256,$E256*0.0198019802+J255*0.9801980198))</f>
        <v>0</v>
      </c>
      <c r="K256">
        <f>IF($E256="","",IF($E255="",$E256,$E256*0.0099502488+K255*0.9900497512))</f>
        <v>0</v>
      </c>
      <c r="L256">
        <f>IF(OR($E256="",$E255=""),"",MAX($E256-$E255,0))</f>
        <v>0</v>
      </c>
      <c r="M256">
        <f>IF(OR($E256="",$E255=""),"",MAX($E255-$E256,0))</f>
        <v>0</v>
      </c>
      <c r="N256">
        <f>IF(COUNT($E$2:$E256)&lt;15,"",IF(AVERAGE($M$243:$M$256)=0,100,100-100/(1+AVERAGE($L$243:$L$256)/AVERAGE($M$243:$M$256))))</f>
        <v>0</v>
      </c>
      <c r="O256">
        <f>IF($E256="","",IF($E255="",$E256,$E256*0.1538461538+O255*0.8461538462))</f>
        <v>0</v>
      </c>
      <c r="P256">
        <f>IF($E256="","",IF($E255="",$E256,$E256*0.0740740741+P255*0.9259259259))</f>
        <v>0</v>
      </c>
      <c r="Q256">
        <f>IF(OR(O256="",P256=""),"",O256-P256)</f>
        <v>0</v>
      </c>
      <c r="R256">
        <f>IF(Q256="","",IF(R255="",Q256,Q256*0.2000000000+R255*0.8000000000))</f>
        <v>0</v>
      </c>
      <c r="S256">
        <f>IF(OR(Q256="",R256=""),"",Q256-R256)</f>
        <v>0</v>
      </c>
      <c r="T256">
        <f>IF(COUNT($E$2:$E256)&lt;14,"",MAX($C$243:$C$256))</f>
        <v>0</v>
      </c>
      <c r="U256">
        <f>IF(COUNT($E$2:$E256)&lt;14,"",MIN($D$243:$D$256))</f>
        <v>0</v>
      </c>
      <c r="V256">
        <f>IF(OR(T256="",U256="",T256=U256),"",100*($E256-U256)/(T256-U256))</f>
        <v>0</v>
      </c>
      <c r="W256">
        <f>IF(COUNT($V$254:$V$256)&lt;3,"",AVERAGE($V$254:$V$256))</f>
        <v>0</v>
      </c>
      <c r="X256">
        <f>IF(COUNT($N$243:$N$256)&lt;14,"",MIN($N$243:$N$256))</f>
        <v>0</v>
      </c>
      <c r="Y256">
        <f>IF(COUNT($N$243:$N$256)&lt;14,"",MAX($N$243:$N$256))</f>
        <v>0</v>
      </c>
      <c r="Z256">
        <f>IF(OR(N256="",X256="",Y256="",Y256=X256),"",100*(N256-X256)/(Y256-X256))</f>
        <v>0</v>
      </c>
      <c r="AA256">
        <f>IF(COUNT($Z$254:$Z$256)&lt;3,"",AVERAGE($Z$254:$Z$256))</f>
        <v>0</v>
      </c>
      <c r="AB256">
        <f>IF(COUNT($AA$254:$AA$256)&lt;3,"",AVERAGE($AA$254:$AA$256))</f>
        <v>0</v>
      </c>
      <c r="AC256">
        <f>IF($E256="","",MAX($C256-$D256,ABS($C256-$E255),ABS($D256-$E255)))</f>
        <v>0</v>
      </c>
      <c r="AD256">
        <f>IF(COUNT($E$2:$E256)&lt;15,"",AVERAGE($AC$243:$AC$256))</f>
        <v>0</v>
      </c>
      <c r="AE256">
        <f>IF(OR($E256="",$E255=""),"",IF(AND(($C256-$C255)&gt;($D255-$D256),($C256-$C255)&gt;0),$C256-$C255,0))</f>
        <v>0</v>
      </c>
      <c r="AF256">
        <f>IF(OR($E256="",$E255=""),"",IF(AND(($D255-$D256)&gt;($C256-$C255),($D255-$D256)&gt;0),$D255-$D256,0))</f>
        <v>0</v>
      </c>
      <c r="AG256">
        <f>IF(COUNT($E$2:$E256)&lt;15,"",IF(SUM($AC$243:$AC$256)=0,0,100*SUM($AE$243:$AE$256)/SUM($AC$243:$AC$256)))</f>
        <v>0</v>
      </c>
      <c r="AH256">
        <f>IF(COUNT($E$2:$E256)&lt;15,"",IF(SUM($AC$243:$AC$256)=0,0,100*SUM($AF$243:$AF$256)/SUM($AC$243:$AC$256)))</f>
        <v>0</v>
      </c>
      <c r="AI256">
        <f>IF(OR(AG256="",AH256=""),"",IF((AG256+AH256)=0,0,100*ABS(AG256-AH256)/(AG256+AH256)))</f>
        <v>0</v>
      </c>
      <c r="AJ256">
        <f>IF(COUNT($AI$243:$AI$256)&lt;14,"",AVERAGE($AI$243:$AI$256))</f>
        <v>0</v>
      </c>
      <c r="AK256">
        <f>IF(COUNT($E$2:$E256)&lt;20,"",AVERAGE($E$237:$E$256))</f>
        <v>0</v>
      </c>
      <c r="AL256">
        <f>IF(COUNT($E$2:$E256)&lt;20,"",STDEVP($E$237:$E$256))</f>
        <v>0</v>
      </c>
      <c r="AM256">
        <f>IF(AK256="","",AK256+2*AL256)</f>
        <v>0</v>
      </c>
      <c r="AN256">
        <f>IF(AK256="","",AK256-2*AL256)</f>
        <v>0</v>
      </c>
      <c r="AO256">
        <f>IF(OR(AM256="",AN256="",AM256=AN256),"",($E256-AN256)/(AM256-AN256))</f>
        <v>0</v>
      </c>
      <c r="AP256">
        <f>IF(OR(AM256="",AK256="",AK256=0),"",(AM256-AN256)/AK256)</f>
        <v>0</v>
      </c>
      <c r="AQ256">
        <f>IF(COUNT($E$2:$E256)&lt;20,"",MAX($C$237:$C$256))</f>
        <v>0</v>
      </c>
      <c r="AR256">
        <f>IF(COUNT($E$2:$E256)&lt;20,"",MIN($D$237:$D$256))</f>
        <v>0</v>
      </c>
      <c r="AS256">
        <f>IF(OR(AQ256="",AR256=""),"",(AQ256+AR256)/2)</f>
        <v>0</v>
      </c>
      <c r="AT256">
        <f>IF(COUNT($G$237:$G$256)&lt;20,"",STDEV($G$237:$G$256)*SQRT(252))</f>
        <v>0</v>
      </c>
      <c r="AU256">
        <f>IF(COUNT($E$2:$E256)&lt;9,"",(MAX($C$248:$C$256)+MIN($D$248:$D$256))/2)</f>
        <v>0</v>
      </c>
      <c r="AV256">
        <f>IF(COUNT($E$2:$E256)&lt;26,"",(MAX($C$231:$C$256)+MIN($D$231:$D$256))/2)</f>
        <v>0</v>
      </c>
      <c r="AW256">
        <f>IF(OR(AU256="",AV256=""),"",(AU256+AV256)/2)</f>
        <v>0</v>
      </c>
      <c r="AX256">
        <f>IF(COUNT($E$2:$E256)&lt;52,"",(MAX($C$205:$C$256)+MIN($D$205:$D$256))/2)</f>
        <v>0</v>
      </c>
      <c r="AY256">
        <f>IF(COUNT($E$2:$E256)&lt;20,"",MAX($C$157:$C$256))</f>
        <v>0</v>
      </c>
      <c r="AZ256">
        <f>IF(COUNT($E$2:$E256)&lt;20,"",MIN($D$157:$D$256))</f>
        <v>0</v>
      </c>
      <c r="BA256">
        <f>IF(COUNT($E$2:$E256)&lt;20,"",SLOPE($E$157:$E$256,$F$157:$F$256))</f>
        <v>0</v>
      </c>
      <c r="BB256">
        <f>IF(COUNT($E$2:$E256)&lt;20,"",INTERCEPT($E$157:$E$256,$F$157:$F$256))</f>
        <v>0</v>
      </c>
      <c r="BC256">
        <f>IF(OR(BA256="",BB256=""),"",BB256+BA256*F256)</f>
        <v>0</v>
      </c>
      <c r="BD256">
        <f>IF(COUNT($E$2:$E256)&lt;20,"",STEYX($E$157:$E$256,$F$157:$F$256))</f>
        <v>0</v>
      </c>
      <c r="BE256">
        <f>IF($E256="","",IF(AND(COUNT($E$257:$E$260)&gt;=4,$C256=MAX($C$252:$C$260)),$C256,""))</f>
        <v>0</v>
      </c>
      <c r="BF256">
        <f>IF($E256="","",IF(AND(COUNT($E$257:$E$260)&gt;=4,$D256=MIN($D$252:$D$260)),$D256,""))</f>
        <v>0</v>
      </c>
      <c r="BG256">
        <f>IF($A256="","",$A256-WEEKDAY($A256,2)+1)</f>
        <v>0</v>
      </c>
      <c r="BH256">
        <f>IF($A256="","",IF($A255="",1,IF(BG256&lt;&gt;BG255,1,0)))</f>
        <v>0</v>
      </c>
      <c r="BI256">
        <f>IF($A256="","",IF($A257="",1,IF(BG257&lt;&gt;BG256,1,0)))</f>
        <v>0</v>
      </c>
      <c r="BJ256">
        <f>IF($A256="","",IF(BH256=1,$B256,BJ255))</f>
        <v>0</v>
      </c>
      <c r="BK256">
        <f>IF($A256="","",IF(BH256=1,$C256,MAX($C256,BK255)))</f>
        <v>0</v>
      </c>
      <c r="BL256">
        <f>IF($A256="","",IF(BH256=1,$D256,MIN($D256,BL255)))</f>
        <v>0</v>
      </c>
      <c r="BM256">
        <f>IF($A256="","",IF(BI256=1,F256,""))</f>
        <v>0</v>
      </c>
      <c r="BN256">
        <f>IF($A256="","",DATE(YEAR($A256),MONTH($A256),1))</f>
        <v>0</v>
      </c>
      <c r="BO256">
        <f>IF($A256="","",IF($A255="",1,IF(BN256&lt;&gt;BN255,1,0)))</f>
        <v>0</v>
      </c>
      <c r="BP256">
        <f>IF($A256="","",IF($A257="",1,IF(BN257&lt;&gt;BN256,1,0)))</f>
        <v>0</v>
      </c>
      <c r="BQ256">
        <f>IF($A256="","",IF(BO256=1,$B256,BQ255))</f>
        <v>0</v>
      </c>
      <c r="BR256">
        <f>IF($A256="","",IF(BO256=1,$C256,MAX($C256,BR255)))</f>
        <v>0</v>
      </c>
      <c r="BS256">
        <f>IF($A256="","",IF(BO256=1,$D256,MIN($D256,BS255)))</f>
        <v>0</v>
      </c>
      <c r="BT256">
        <f>IF($A256="","",IF(BP256=1,F256,""))</f>
        <v>0</v>
      </c>
    </row>
    <row r="257" spans="1:72">
      <c r="A257" s="27">
        <f>IF(Data!$A257="","",Data!$A257)</f>
        <v>0</v>
      </c>
      <c r="B257">
        <f>IF(Data!$B257="","",Data!$B257)</f>
        <v>0</v>
      </c>
      <c r="C257">
        <f>IF(Data!$C257="","",Data!$C257)</f>
        <v>0</v>
      </c>
      <c r="D257">
        <f>IF(Data!$D257="","",Data!$D257)</f>
        <v>0</v>
      </c>
      <c r="E257">
        <f>IF(Data!$E257="","",Data!$E257)</f>
        <v>0</v>
      </c>
      <c r="F257">
        <f>IF($E257="","",N(F256)+1)</f>
        <v>0</v>
      </c>
      <c r="G257">
        <f>IF(OR($E257="",$E256=""),"",LN($E257/$E256))</f>
        <v>0</v>
      </c>
      <c r="H257">
        <f>IF($E257="","",IF($E256="",$E257,$E257*0.0952380952+H256*0.9047619048))</f>
        <v>0</v>
      </c>
      <c r="I257">
        <f>IF($E257="","",IF($E256="",$E257,$E257*0.0392156863+I256*0.9607843137))</f>
        <v>0</v>
      </c>
      <c r="J257">
        <f>IF($E257="","",IF($E256="",$E257,$E257*0.0198019802+J256*0.9801980198))</f>
        <v>0</v>
      </c>
      <c r="K257">
        <f>IF($E257="","",IF($E256="",$E257,$E257*0.0099502488+K256*0.9900497512))</f>
        <v>0</v>
      </c>
      <c r="L257">
        <f>IF(OR($E257="",$E256=""),"",MAX($E257-$E256,0))</f>
        <v>0</v>
      </c>
      <c r="M257">
        <f>IF(OR($E257="",$E256=""),"",MAX($E256-$E257,0))</f>
        <v>0</v>
      </c>
      <c r="N257">
        <f>IF(COUNT($E$2:$E257)&lt;15,"",IF(AVERAGE($M$244:$M$257)=0,100,100-100/(1+AVERAGE($L$244:$L$257)/AVERAGE($M$244:$M$257))))</f>
        <v>0</v>
      </c>
      <c r="O257">
        <f>IF($E257="","",IF($E256="",$E257,$E257*0.1538461538+O256*0.8461538462))</f>
        <v>0</v>
      </c>
      <c r="P257">
        <f>IF($E257="","",IF($E256="",$E257,$E257*0.0740740741+P256*0.9259259259))</f>
        <v>0</v>
      </c>
      <c r="Q257">
        <f>IF(OR(O257="",P257=""),"",O257-P257)</f>
        <v>0</v>
      </c>
      <c r="R257">
        <f>IF(Q257="","",IF(R256="",Q257,Q257*0.2000000000+R256*0.8000000000))</f>
        <v>0</v>
      </c>
      <c r="S257">
        <f>IF(OR(Q257="",R257=""),"",Q257-R257)</f>
        <v>0</v>
      </c>
      <c r="T257">
        <f>IF(COUNT($E$2:$E257)&lt;14,"",MAX($C$244:$C$257))</f>
        <v>0</v>
      </c>
      <c r="U257">
        <f>IF(COUNT($E$2:$E257)&lt;14,"",MIN($D$244:$D$257))</f>
        <v>0</v>
      </c>
      <c r="V257">
        <f>IF(OR(T257="",U257="",T257=U257),"",100*($E257-U257)/(T257-U257))</f>
        <v>0</v>
      </c>
      <c r="W257">
        <f>IF(COUNT($V$255:$V$257)&lt;3,"",AVERAGE($V$255:$V$257))</f>
        <v>0</v>
      </c>
      <c r="X257">
        <f>IF(COUNT($N$244:$N$257)&lt;14,"",MIN($N$244:$N$257))</f>
        <v>0</v>
      </c>
      <c r="Y257">
        <f>IF(COUNT($N$244:$N$257)&lt;14,"",MAX($N$244:$N$257))</f>
        <v>0</v>
      </c>
      <c r="Z257">
        <f>IF(OR(N257="",X257="",Y257="",Y257=X257),"",100*(N257-X257)/(Y257-X257))</f>
        <v>0</v>
      </c>
      <c r="AA257">
        <f>IF(COUNT($Z$255:$Z$257)&lt;3,"",AVERAGE($Z$255:$Z$257))</f>
        <v>0</v>
      </c>
      <c r="AB257">
        <f>IF(COUNT($AA$255:$AA$257)&lt;3,"",AVERAGE($AA$255:$AA$257))</f>
        <v>0</v>
      </c>
      <c r="AC257">
        <f>IF($E257="","",MAX($C257-$D257,ABS($C257-$E256),ABS($D257-$E256)))</f>
        <v>0</v>
      </c>
      <c r="AD257">
        <f>IF(COUNT($E$2:$E257)&lt;15,"",AVERAGE($AC$244:$AC$257))</f>
        <v>0</v>
      </c>
      <c r="AE257">
        <f>IF(OR($E257="",$E256=""),"",IF(AND(($C257-$C256)&gt;($D256-$D257),($C257-$C256)&gt;0),$C257-$C256,0))</f>
        <v>0</v>
      </c>
      <c r="AF257">
        <f>IF(OR($E257="",$E256=""),"",IF(AND(($D256-$D257)&gt;($C257-$C256),($D256-$D257)&gt;0),$D256-$D257,0))</f>
        <v>0</v>
      </c>
      <c r="AG257">
        <f>IF(COUNT($E$2:$E257)&lt;15,"",IF(SUM($AC$244:$AC$257)=0,0,100*SUM($AE$244:$AE$257)/SUM($AC$244:$AC$257)))</f>
        <v>0</v>
      </c>
      <c r="AH257">
        <f>IF(COUNT($E$2:$E257)&lt;15,"",IF(SUM($AC$244:$AC$257)=0,0,100*SUM($AF$244:$AF$257)/SUM($AC$244:$AC$257)))</f>
        <v>0</v>
      </c>
      <c r="AI257">
        <f>IF(OR(AG257="",AH257=""),"",IF((AG257+AH257)=0,0,100*ABS(AG257-AH257)/(AG257+AH257)))</f>
        <v>0</v>
      </c>
      <c r="AJ257">
        <f>IF(COUNT($AI$244:$AI$257)&lt;14,"",AVERAGE($AI$244:$AI$257))</f>
        <v>0</v>
      </c>
      <c r="AK257">
        <f>IF(COUNT($E$2:$E257)&lt;20,"",AVERAGE($E$238:$E$257))</f>
        <v>0</v>
      </c>
      <c r="AL257">
        <f>IF(COUNT($E$2:$E257)&lt;20,"",STDEVP($E$238:$E$257))</f>
        <v>0</v>
      </c>
      <c r="AM257">
        <f>IF(AK257="","",AK257+2*AL257)</f>
        <v>0</v>
      </c>
      <c r="AN257">
        <f>IF(AK257="","",AK257-2*AL257)</f>
        <v>0</v>
      </c>
      <c r="AO257">
        <f>IF(OR(AM257="",AN257="",AM257=AN257),"",($E257-AN257)/(AM257-AN257))</f>
        <v>0</v>
      </c>
      <c r="AP257">
        <f>IF(OR(AM257="",AK257="",AK257=0),"",(AM257-AN257)/AK257)</f>
        <v>0</v>
      </c>
      <c r="AQ257">
        <f>IF(COUNT($E$2:$E257)&lt;20,"",MAX($C$238:$C$257))</f>
        <v>0</v>
      </c>
      <c r="AR257">
        <f>IF(COUNT($E$2:$E257)&lt;20,"",MIN($D$238:$D$257))</f>
        <v>0</v>
      </c>
      <c r="AS257">
        <f>IF(OR(AQ257="",AR257=""),"",(AQ257+AR257)/2)</f>
        <v>0</v>
      </c>
      <c r="AT257">
        <f>IF(COUNT($G$238:$G$257)&lt;20,"",STDEV($G$238:$G$257)*SQRT(252))</f>
        <v>0</v>
      </c>
      <c r="AU257">
        <f>IF(COUNT($E$2:$E257)&lt;9,"",(MAX($C$249:$C$257)+MIN($D$249:$D$257))/2)</f>
        <v>0</v>
      </c>
      <c r="AV257">
        <f>IF(COUNT($E$2:$E257)&lt;26,"",(MAX($C$232:$C$257)+MIN($D$232:$D$257))/2)</f>
        <v>0</v>
      </c>
      <c r="AW257">
        <f>IF(OR(AU257="",AV257=""),"",(AU257+AV257)/2)</f>
        <v>0</v>
      </c>
      <c r="AX257">
        <f>IF(COUNT($E$2:$E257)&lt;52,"",(MAX($C$206:$C$257)+MIN($D$206:$D$257))/2)</f>
        <v>0</v>
      </c>
      <c r="AY257">
        <f>IF(COUNT($E$2:$E257)&lt;20,"",MAX($C$158:$C$257))</f>
        <v>0</v>
      </c>
      <c r="AZ257">
        <f>IF(COUNT($E$2:$E257)&lt;20,"",MIN($D$158:$D$257))</f>
        <v>0</v>
      </c>
      <c r="BA257">
        <f>IF(COUNT($E$2:$E257)&lt;20,"",SLOPE($E$158:$E$257,$F$158:$F$257))</f>
        <v>0</v>
      </c>
      <c r="BB257">
        <f>IF(COUNT($E$2:$E257)&lt;20,"",INTERCEPT($E$158:$E$257,$F$158:$F$257))</f>
        <v>0</v>
      </c>
      <c r="BC257">
        <f>IF(OR(BA257="",BB257=""),"",BB257+BA257*F257)</f>
        <v>0</v>
      </c>
      <c r="BD257">
        <f>IF(COUNT($E$2:$E257)&lt;20,"",STEYX($E$158:$E$257,$F$158:$F$257))</f>
        <v>0</v>
      </c>
      <c r="BE257">
        <f>IF($E257="","",IF(AND(COUNT($E$258:$E$261)&gt;=4,$C257=MAX($C$253:$C$261)),$C257,""))</f>
        <v>0</v>
      </c>
      <c r="BF257">
        <f>IF($E257="","",IF(AND(COUNT($E$258:$E$261)&gt;=4,$D257=MIN($D$253:$D$261)),$D257,""))</f>
        <v>0</v>
      </c>
      <c r="BG257">
        <f>IF($A257="","",$A257-WEEKDAY($A257,2)+1)</f>
        <v>0</v>
      </c>
      <c r="BH257">
        <f>IF($A257="","",IF($A256="",1,IF(BG257&lt;&gt;BG256,1,0)))</f>
        <v>0</v>
      </c>
      <c r="BI257">
        <f>IF($A257="","",IF($A258="",1,IF(BG258&lt;&gt;BG257,1,0)))</f>
        <v>0</v>
      </c>
      <c r="BJ257">
        <f>IF($A257="","",IF(BH257=1,$B257,BJ256))</f>
        <v>0</v>
      </c>
      <c r="BK257">
        <f>IF($A257="","",IF(BH257=1,$C257,MAX($C257,BK256)))</f>
        <v>0</v>
      </c>
      <c r="BL257">
        <f>IF($A257="","",IF(BH257=1,$D257,MIN($D257,BL256)))</f>
        <v>0</v>
      </c>
      <c r="BM257">
        <f>IF($A257="","",IF(BI257=1,F257,""))</f>
        <v>0</v>
      </c>
      <c r="BN257">
        <f>IF($A257="","",DATE(YEAR($A257),MONTH($A257),1))</f>
        <v>0</v>
      </c>
      <c r="BO257">
        <f>IF($A257="","",IF($A256="",1,IF(BN257&lt;&gt;BN256,1,0)))</f>
        <v>0</v>
      </c>
      <c r="BP257">
        <f>IF($A257="","",IF($A258="",1,IF(BN258&lt;&gt;BN257,1,0)))</f>
        <v>0</v>
      </c>
      <c r="BQ257">
        <f>IF($A257="","",IF(BO257=1,$B257,BQ256))</f>
        <v>0</v>
      </c>
      <c r="BR257">
        <f>IF($A257="","",IF(BO257=1,$C257,MAX($C257,BR256)))</f>
        <v>0</v>
      </c>
      <c r="BS257">
        <f>IF($A257="","",IF(BO257=1,$D257,MIN($D257,BS256)))</f>
        <v>0</v>
      </c>
      <c r="BT257">
        <f>IF($A257="","",IF(BP257=1,F257,""))</f>
        <v>0</v>
      </c>
    </row>
    <row r="258" spans="1:72">
      <c r="A258" s="27">
        <f>IF(Data!$A258="","",Data!$A258)</f>
        <v>0</v>
      </c>
      <c r="B258">
        <f>IF(Data!$B258="","",Data!$B258)</f>
        <v>0</v>
      </c>
      <c r="C258">
        <f>IF(Data!$C258="","",Data!$C258)</f>
        <v>0</v>
      </c>
      <c r="D258">
        <f>IF(Data!$D258="","",Data!$D258)</f>
        <v>0</v>
      </c>
      <c r="E258">
        <f>IF(Data!$E258="","",Data!$E258)</f>
        <v>0</v>
      </c>
      <c r="F258">
        <f>IF($E258="","",N(F257)+1)</f>
        <v>0</v>
      </c>
      <c r="G258">
        <f>IF(OR($E258="",$E257=""),"",LN($E258/$E257))</f>
        <v>0</v>
      </c>
      <c r="H258">
        <f>IF($E258="","",IF($E257="",$E258,$E258*0.0952380952+H257*0.9047619048))</f>
        <v>0</v>
      </c>
      <c r="I258">
        <f>IF($E258="","",IF($E257="",$E258,$E258*0.0392156863+I257*0.9607843137))</f>
        <v>0</v>
      </c>
      <c r="J258">
        <f>IF($E258="","",IF($E257="",$E258,$E258*0.0198019802+J257*0.9801980198))</f>
        <v>0</v>
      </c>
      <c r="K258">
        <f>IF($E258="","",IF($E257="",$E258,$E258*0.0099502488+K257*0.9900497512))</f>
        <v>0</v>
      </c>
      <c r="L258">
        <f>IF(OR($E258="",$E257=""),"",MAX($E258-$E257,0))</f>
        <v>0</v>
      </c>
      <c r="M258">
        <f>IF(OR($E258="",$E257=""),"",MAX($E257-$E258,0))</f>
        <v>0</v>
      </c>
      <c r="N258">
        <f>IF(COUNT($E$2:$E258)&lt;15,"",IF(AVERAGE($M$245:$M$258)=0,100,100-100/(1+AVERAGE($L$245:$L$258)/AVERAGE($M$245:$M$258))))</f>
        <v>0</v>
      </c>
      <c r="O258">
        <f>IF($E258="","",IF($E257="",$E258,$E258*0.1538461538+O257*0.8461538462))</f>
        <v>0</v>
      </c>
      <c r="P258">
        <f>IF($E258="","",IF($E257="",$E258,$E258*0.0740740741+P257*0.9259259259))</f>
        <v>0</v>
      </c>
      <c r="Q258">
        <f>IF(OR(O258="",P258=""),"",O258-P258)</f>
        <v>0</v>
      </c>
      <c r="R258">
        <f>IF(Q258="","",IF(R257="",Q258,Q258*0.2000000000+R257*0.8000000000))</f>
        <v>0</v>
      </c>
      <c r="S258">
        <f>IF(OR(Q258="",R258=""),"",Q258-R258)</f>
        <v>0</v>
      </c>
      <c r="T258">
        <f>IF(COUNT($E$2:$E258)&lt;14,"",MAX($C$245:$C$258))</f>
        <v>0</v>
      </c>
      <c r="U258">
        <f>IF(COUNT($E$2:$E258)&lt;14,"",MIN($D$245:$D$258))</f>
        <v>0</v>
      </c>
      <c r="V258">
        <f>IF(OR(T258="",U258="",T258=U258),"",100*($E258-U258)/(T258-U258))</f>
        <v>0</v>
      </c>
      <c r="W258">
        <f>IF(COUNT($V$256:$V$258)&lt;3,"",AVERAGE($V$256:$V$258))</f>
        <v>0</v>
      </c>
      <c r="X258">
        <f>IF(COUNT($N$245:$N$258)&lt;14,"",MIN($N$245:$N$258))</f>
        <v>0</v>
      </c>
      <c r="Y258">
        <f>IF(COUNT($N$245:$N$258)&lt;14,"",MAX($N$245:$N$258))</f>
        <v>0</v>
      </c>
      <c r="Z258">
        <f>IF(OR(N258="",X258="",Y258="",Y258=X258),"",100*(N258-X258)/(Y258-X258))</f>
        <v>0</v>
      </c>
      <c r="AA258">
        <f>IF(COUNT($Z$256:$Z$258)&lt;3,"",AVERAGE($Z$256:$Z$258))</f>
        <v>0</v>
      </c>
      <c r="AB258">
        <f>IF(COUNT($AA$256:$AA$258)&lt;3,"",AVERAGE($AA$256:$AA$258))</f>
        <v>0</v>
      </c>
      <c r="AC258">
        <f>IF($E258="","",MAX($C258-$D258,ABS($C258-$E257),ABS($D258-$E257)))</f>
        <v>0</v>
      </c>
      <c r="AD258">
        <f>IF(COUNT($E$2:$E258)&lt;15,"",AVERAGE($AC$245:$AC$258))</f>
        <v>0</v>
      </c>
      <c r="AE258">
        <f>IF(OR($E258="",$E257=""),"",IF(AND(($C258-$C257)&gt;($D257-$D258),($C258-$C257)&gt;0),$C258-$C257,0))</f>
        <v>0</v>
      </c>
      <c r="AF258">
        <f>IF(OR($E258="",$E257=""),"",IF(AND(($D257-$D258)&gt;($C258-$C257),($D257-$D258)&gt;0),$D257-$D258,0))</f>
        <v>0</v>
      </c>
      <c r="AG258">
        <f>IF(COUNT($E$2:$E258)&lt;15,"",IF(SUM($AC$245:$AC$258)=0,0,100*SUM($AE$245:$AE$258)/SUM($AC$245:$AC$258)))</f>
        <v>0</v>
      </c>
      <c r="AH258">
        <f>IF(COUNT($E$2:$E258)&lt;15,"",IF(SUM($AC$245:$AC$258)=0,0,100*SUM($AF$245:$AF$258)/SUM($AC$245:$AC$258)))</f>
        <v>0</v>
      </c>
      <c r="AI258">
        <f>IF(OR(AG258="",AH258=""),"",IF((AG258+AH258)=0,0,100*ABS(AG258-AH258)/(AG258+AH258)))</f>
        <v>0</v>
      </c>
      <c r="AJ258">
        <f>IF(COUNT($AI$245:$AI$258)&lt;14,"",AVERAGE($AI$245:$AI$258))</f>
        <v>0</v>
      </c>
      <c r="AK258">
        <f>IF(COUNT($E$2:$E258)&lt;20,"",AVERAGE($E$239:$E$258))</f>
        <v>0</v>
      </c>
      <c r="AL258">
        <f>IF(COUNT($E$2:$E258)&lt;20,"",STDEVP($E$239:$E$258))</f>
        <v>0</v>
      </c>
      <c r="AM258">
        <f>IF(AK258="","",AK258+2*AL258)</f>
        <v>0</v>
      </c>
      <c r="AN258">
        <f>IF(AK258="","",AK258-2*AL258)</f>
        <v>0</v>
      </c>
      <c r="AO258">
        <f>IF(OR(AM258="",AN258="",AM258=AN258),"",($E258-AN258)/(AM258-AN258))</f>
        <v>0</v>
      </c>
      <c r="AP258">
        <f>IF(OR(AM258="",AK258="",AK258=0),"",(AM258-AN258)/AK258)</f>
        <v>0</v>
      </c>
      <c r="AQ258">
        <f>IF(COUNT($E$2:$E258)&lt;20,"",MAX($C$239:$C$258))</f>
        <v>0</v>
      </c>
      <c r="AR258">
        <f>IF(COUNT($E$2:$E258)&lt;20,"",MIN($D$239:$D$258))</f>
        <v>0</v>
      </c>
      <c r="AS258">
        <f>IF(OR(AQ258="",AR258=""),"",(AQ258+AR258)/2)</f>
        <v>0</v>
      </c>
      <c r="AT258">
        <f>IF(COUNT($G$239:$G$258)&lt;20,"",STDEV($G$239:$G$258)*SQRT(252))</f>
        <v>0</v>
      </c>
      <c r="AU258">
        <f>IF(COUNT($E$2:$E258)&lt;9,"",(MAX($C$250:$C$258)+MIN($D$250:$D$258))/2)</f>
        <v>0</v>
      </c>
      <c r="AV258">
        <f>IF(COUNT($E$2:$E258)&lt;26,"",(MAX($C$233:$C$258)+MIN($D$233:$D$258))/2)</f>
        <v>0</v>
      </c>
      <c r="AW258">
        <f>IF(OR(AU258="",AV258=""),"",(AU258+AV258)/2)</f>
        <v>0</v>
      </c>
      <c r="AX258">
        <f>IF(COUNT($E$2:$E258)&lt;52,"",(MAX($C$207:$C$258)+MIN($D$207:$D$258))/2)</f>
        <v>0</v>
      </c>
      <c r="AY258">
        <f>IF(COUNT($E$2:$E258)&lt;20,"",MAX($C$159:$C$258))</f>
        <v>0</v>
      </c>
      <c r="AZ258">
        <f>IF(COUNT($E$2:$E258)&lt;20,"",MIN($D$159:$D$258))</f>
        <v>0</v>
      </c>
      <c r="BA258">
        <f>IF(COUNT($E$2:$E258)&lt;20,"",SLOPE($E$159:$E$258,$F$159:$F$258))</f>
        <v>0</v>
      </c>
      <c r="BB258">
        <f>IF(COUNT($E$2:$E258)&lt;20,"",INTERCEPT($E$159:$E$258,$F$159:$F$258))</f>
        <v>0</v>
      </c>
      <c r="BC258">
        <f>IF(OR(BA258="",BB258=""),"",BB258+BA258*F258)</f>
        <v>0</v>
      </c>
      <c r="BD258">
        <f>IF(COUNT($E$2:$E258)&lt;20,"",STEYX($E$159:$E$258,$F$159:$F$258))</f>
        <v>0</v>
      </c>
      <c r="BE258">
        <f>IF($E258="","",IF(AND(COUNT($E$259:$E$262)&gt;=4,$C258=MAX($C$254:$C$262)),$C258,""))</f>
        <v>0</v>
      </c>
      <c r="BF258">
        <f>IF($E258="","",IF(AND(COUNT($E$259:$E$262)&gt;=4,$D258=MIN($D$254:$D$262)),$D258,""))</f>
        <v>0</v>
      </c>
      <c r="BG258">
        <f>IF($A258="","",$A258-WEEKDAY($A258,2)+1)</f>
        <v>0</v>
      </c>
      <c r="BH258">
        <f>IF($A258="","",IF($A257="",1,IF(BG258&lt;&gt;BG257,1,0)))</f>
        <v>0</v>
      </c>
      <c r="BI258">
        <f>IF($A258="","",IF($A259="",1,IF(BG259&lt;&gt;BG258,1,0)))</f>
        <v>0</v>
      </c>
      <c r="BJ258">
        <f>IF($A258="","",IF(BH258=1,$B258,BJ257))</f>
        <v>0</v>
      </c>
      <c r="BK258">
        <f>IF($A258="","",IF(BH258=1,$C258,MAX($C258,BK257)))</f>
        <v>0</v>
      </c>
      <c r="BL258">
        <f>IF($A258="","",IF(BH258=1,$D258,MIN($D258,BL257)))</f>
        <v>0</v>
      </c>
      <c r="BM258">
        <f>IF($A258="","",IF(BI258=1,F258,""))</f>
        <v>0</v>
      </c>
      <c r="BN258">
        <f>IF($A258="","",DATE(YEAR($A258),MONTH($A258),1))</f>
        <v>0</v>
      </c>
      <c r="BO258">
        <f>IF($A258="","",IF($A257="",1,IF(BN258&lt;&gt;BN257,1,0)))</f>
        <v>0</v>
      </c>
      <c r="BP258">
        <f>IF($A258="","",IF($A259="",1,IF(BN259&lt;&gt;BN258,1,0)))</f>
        <v>0</v>
      </c>
      <c r="BQ258">
        <f>IF($A258="","",IF(BO258=1,$B258,BQ257))</f>
        <v>0</v>
      </c>
      <c r="BR258">
        <f>IF($A258="","",IF(BO258=1,$C258,MAX($C258,BR257)))</f>
        <v>0</v>
      </c>
      <c r="BS258">
        <f>IF($A258="","",IF(BO258=1,$D258,MIN($D258,BS257)))</f>
        <v>0</v>
      </c>
      <c r="BT258">
        <f>IF($A258="","",IF(BP258=1,F258,""))</f>
        <v>0</v>
      </c>
    </row>
    <row r="259" spans="1:72">
      <c r="A259" s="27">
        <f>IF(Data!$A259="","",Data!$A259)</f>
        <v>0</v>
      </c>
      <c r="B259">
        <f>IF(Data!$B259="","",Data!$B259)</f>
        <v>0</v>
      </c>
      <c r="C259">
        <f>IF(Data!$C259="","",Data!$C259)</f>
        <v>0</v>
      </c>
      <c r="D259">
        <f>IF(Data!$D259="","",Data!$D259)</f>
        <v>0</v>
      </c>
      <c r="E259">
        <f>IF(Data!$E259="","",Data!$E259)</f>
        <v>0</v>
      </c>
      <c r="F259">
        <f>IF($E259="","",N(F258)+1)</f>
        <v>0</v>
      </c>
      <c r="G259">
        <f>IF(OR($E259="",$E258=""),"",LN($E259/$E258))</f>
        <v>0</v>
      </c>
      <c r="H259">
        <f>IF($E259="","",IF($E258="",$E259,$E259*0.0952380952+H258*0.9047619048))</f>
        <v>0</v>
      </c>
      <c r="I259">
        <f>IF($E259="","",IF($E258="",$E259,$E259*0.0392156863+I258*0.9607843137))</f>
        <v>0</v>
      </c>
      <c r="J259">
        <f>IF($E259="","",IF($E258="",$E259,$E259*0.0198019802+J258*0.9801980198))</f>
        <v>0</v>
      </c>
      <c r="K259">
        <f>IF($E259="","",IF($E258="",$E259,$E259*0.0099502488+K258*0.9900497512))</f>
        <v>0</v>
      </c>
      <c r="L259">
        <f>IF(OR($E259="",$E258=""),"",MAX($E259-$E258,0))</f>
        <v>0</v>
      </c>
      <c r="M259">
        <f>IF(OR($E259="",$E258=""),"",MAX($E258-$E259,0))</f>
        <v>0</v>
      </c>
      <c r="N259">
        <f>IF(COUNT($E$2:$E259)&lt;15,"",IF(AVERAGE($M$246:$M$259)=0,100,100-100/(1+AVERAGE($L$246:$L$259)/AVERAGE($M$246:$M$259))))</f>
        <v>0</v>
      </c>
      <c r="O259">
        <f>IF($E259="","",IF($E258="",$E259,$E259*0.1538461538+O258*0.8461538462))</f>
        <v>0</v>
      </c>
      <c r="P259">
        <f>IF($E259="","",IF($E258="",$E259,$E259*0.0740740741+P258*0.9259259259))</f>
        <v>0</v>
      </c>
      <c r="Q259">
        <f>IF(OR(O259="",P259=""),"",O259-P259)</f>
        <v>0</v>
      </c>
      <c r="R259">
        <f>IF(Q259="","",IF(R258="",Q259,Q259*0.2000000000+R258*0.8000000000))</f>
        <v>0</v>
      </c>
      <c r="S259">
        <f>IF(OR(Q259="",R259=""),"",Q259-R259)</f>
        <v>0</v>
      </c>
      <c r="T259">
        <f>IF(COUNT($E$2:$E259)&lt;14,"",MAX($C$246:$C$259))</f>
        <v>0</v>
      </c>
      <c r="U259">
        <f>IF(COUNT($E$2:$E259)&lt;14,"",MIN($D$246:$D$259))</f>
        <v>0</v>
      </c>
      <c r="V259">
        <f>IF(OR(T259="",U259="",T259=U259),"",100*($E259-U259)/(T259-U259))</f>
        <v>0</v>
      </c>
      <c r="W259">
        <f>IF(COUNT($V$257:$V$259)&lt;3,"",AVERAGE($V$257:$V$259))</f>
        <v>0</v>
      </c>
      <c r="X259">
        <f>IF(COUNT($N$246:$N$259)&lt;14,"",MIN($N$246:$N$259))</f>
        <v>0</v>
      </c>
      <c r="Y259">
        <f>IF(COUNT($N$246:$N$259)&lt;14,"",MAX($N$246:$N$259))</f>
        <v>0</v>
      </c>
      <c r="Z259">
        <f>IF(OR(N259="",X259="",Y259="",Y259=X259),"",100*(N259-X259)/(Y259-X259))</f>
        <v>0</v>
      </c>
      <c r="AA259">
        <f>IF(COUNT($Z$257:$Z$259)&lt;3,"",AVERAGE($Z$257:$Z$259))</f>
        <v>0</v>
      </c>
      <c r="AB259">
        <f>IF(COUNT($AA$257:$AA$259)&lt;3,"",AVERAGE($AA$257:$AA$259))</f>
        <v>0</v>
      </c>
      <c r="AC259">
        <f>IF($E259="","",MAX($C259-$D259,ABS($C259-$E258),ABS($D259-$E258)))</f>
        <v>0</v>
      </c>
      <c r="AD259">
        <f>IF(COUNT($E$2:$E259)&lt;15,"",AVERAGE($AC$246:$AC$259))</f>
        <v>0</v>
      </c>
      <c r="AE259">
        <f>IF(OR($E259="",$E258=""),"",IF(AND(($C259-$C258)&gt;($D258-$D259),($C259-$C258)&gt;0),$C259-$C258,0))</f>
        <v>0</v>
      </c>
      <c r="AF259">
        <f>IF(OR($E259="",$E258=""),"",IF(AND(($D258-$D259)&gt;($C259-$C258),($D258-$D259)&gt;0),$D258-$D259,0))</f>
        <v>0</v>
      </c>
      <c r="AG259">
        <f>IF(COUNT($E$2:$E259)&lt;15,"",IF(SUM($AC$246:$AC$259)=0,0,100*SUM($AE$246:$AE$259)/SUM($AC$246:$AC$259)))</f>
        <v>0</v>
      </c>
      <c r="AH259">
        <f>IF(COUNT($E$2:$E259)&lt;15,"",IF(SUM($AC$246:$AC$259)=0,0,100*SUM($AF$246:$AF$259)/SUM($AC$246:$AC$259)))</f>
        <v>0</v>
      </c>
      <c r="AI259">
        <f>IF(OR(AG259="",AH259=""),"",IF((AG259+AH259)=0,0,100*ABS(AG259-AH259)/(AG259+AH259)))</f>
        <v>0</v>
      </c>
      <c r="AJ259">
        <f>IF(COUNT($AI$246:$AI$259)&lt;14,"",AVERAGE($AI$246:$AI$259))</f>
        <v>0</v>
      </c>
      <c r="AK259">
        <f>IF(COUNT($E$2:$E259)&lt;20,"",AVERAGE($E$240:$E$259))</f>
        <v>0</v>
      </c>
      <c r="AL259">
        <f>IF(COUNT($E$2:$E259)&lt;20,"",STDEVP($E$240:$E$259))</f>
        <v>0</v>
      </c>
      <c r="AM259">
        <f>IF(AK259="","",AK259+2*AL259)</f>
        <v>0</v>
      </c>
      <c r="AN259">
        <f>IF(AK259="","",AK259-2*AL259)</f>
        <v>0</v>
      </c>
      <c r="AO259">
        <f>IF(OR(AM259="",AN259="",AM259=AN259),"",($E259-AN259)/(AM259-AN259))</f>
        <v>0</v>
      </c>
      <c r="AP259">
        <f>IF(OR(AM259="",AK259="",AK259=0),"",(AM259-AN259)/AK259)</f>
        <v>0</v>
      </c>
      <c r="AQ259">
        <f>IF(COUNT($E$2:$E259)&lt;20,"",MAX($C$240:$C$259))</f>
        <v>0</v>
      </c>
      <c r="AR259">
        <f>IF(COUNT($E$2:$E259)&lt;20,"",MIN($D$240:$D$259))</f>
        <v>0</v>
      </c>
      <c r="AS259">
        <f>IF(OR(AQ259="",AR259=""),"",(AQ259+AR259)/2)</f>
        <v>0</v>
      </c>
      <c r="AT259">
        <f>IF(COUNT($G$240:$G$259)&lt;20,"",STDEV($G$240:$G$259)*SQRT(252))</f>
        <v>0</v>
      </c>
      <c r="AU259">
        <f>IF(COUNT($E$2:$E259)&lt;9,"",(MAX($C$251:$C$259)+MIN($D$251:$D$259))/2)</f>
        <v>0</v>
      </c>
      <c r="AV259">
        <f>IF(COUNT($E$2:$E259)&lt;26,"",(MAX($C$234:$C$259)+MIN($D$234:$D$259))/2)</f>
        <v>0</v>
      </c>
      <c r="AW259">
        <f>IF(OR(AU259="",AV259=""),"",(AU259+AV259)/2)</f>
        <v>0</v>
      </c>
      <c r="AX259">
        <f>IF(COUNT($E$2:$E259)&lt;52,"",(MAX($C$208:$C$259)+MIN($D$208:$D$259))/2)</f>
        <v>0</v>
      </c>
      <c r="AY259">
        <f>IF(COUNT($E$2:$E259)&lt;20,"",MAX($C$160:$C$259))</f>
        <v>0</v>
      </c>
      <c r="AZ259">
        <f>IF(COUNT($E$2:$E259)&lt;20,"",MIN($D$160:$D$259))</f>
        <v>0</v>
      </c>
      <c r="BA259">
        <f>IF(COUNT($E$2:$E259)&lt;20,"",SLOPE($E$160:$E$259,$F$160:$F$259))</f>
        <v>0</v>
      </c>
      <c r="BB259">
        <f>IF(COUNT($E$2:$E259)&lt;20,"",INTERCEPT($E$160:$E$259,$F$160:$F$259))</f>
        <v>0</v>
      </c>
      <c r="BC259">
        <f>IF(OR(BA259="",BB259=""),"",BB259+BA259*F259)</f>
        <v>0</v>
      </c>
      <c r="BD259">
        <f>IF(COUNT($E$2:$E259)&lt;20,"",STEYX($E$160:$E$259,$F$160:$F$259))</f>
        <v>0</v>
      </c>
      <c r="BE259">
        <f>IF($E259="","",IF(AND(COUNT($E$260:$E$263)&gt;=4,$C259=MAX($C$255:$C$263)),$C259,""))</f>
        <v>0</v>
      </c>
      <c r="BF259">
        <f>IF($E259="","",IF(AND(COUNT($E$260:$E$263)&gt;=4,$D259=MIN($D$255:$D$263)),$D259,""))</f>
        <v>0</v>
      </c>
      <c r="BG259">
        <f>IF($A259="","",$A259-WEEKDAY($A259,2)+1)</f>
        <v>0</v>
      </c>
      <c r="BH259">
        <f>IF($A259="","",IF($A258="",1,IF(BG259&lt;&gt;BG258,1,0)))</f>
        <v>0</v>
      </c>
      <c r="BI259">
        <f>IF($A259="","",IF($A260="",1,IF(BG260&lt;&gt;BG259,1,0)))</f>
        <v>0</v>
      </c>
      <c r="BJ259">
        <f>IF($A259="","",IF(BH259=1,$B259,BJ258))</f>
        <v>0</v>
      </c>
      <c r="BK259">
        <f>IF($A259="","",IF(BH259=1,$C259,MAX($C259,BK258)))</f>
        <v>0</v>
      </c>
      <c r="BL259">
        <f>IF($A259="","",IF(BH259=1,$D259,MIN($D259,BL258)))</f>
        <v>0</v>
      </c>
      <c r="BM259">
        <f>IF($A259="","",IF(BI259=1,F259,""))</f>
        <v>0</v>
      </c>
      <c r="BN259">
        <f>IF($A259="","",DATE(YEAR($A259),MONTH($A259),1))</f>
        <v>0</v>
      </c>
      <c r="BO259">
        <f>IF($A259="","",IF($A258="",1,IF(BN259&lt;&gt;BN258,1,0)))</f>
        <v>0</v>
      </c>
      <c r="BP259">
        <f>IF($A259="","",IF($A260="",1,IF(BN260&lt;&gt;BN259,1,0)))</f>
        <v>0</v>
      </c>
      <c r="BQ259">
        <f>IF($A259="","",IF(BO259=1,$B259,BQ258))</f>
        <v>0</v>
      </c>
      <c r="BR259">
        <f>IF($A259="","",IF(BO259=1,$C259,MAX($C259,BR258)))</f>
        <v>0</v>
      </c>
      <c r="BS259">
        <f>IF($A259="","",IF(BO259=1,$D259,MIN($D259,BS258)))</f>
        <v>0</v>
      </c>
      <c r="BT259">
        <f>IF($A259="","",IF(BP259=1,F259,""))</f>
        <v>0</v>
      </c>
    </row>
    <row r="260" spans="1:72">
      <c r="A260" s="27">
        <f>IF(Data!$A260="","",Data!$A260)</f>
        <v>0</v>
      </c>
      <c r="B260">
        <f>IF(Data!$B260="","",Data!$B260)</f>
        <v>0</v>
      </c>
      <c r="C260">
        <f>IF(Data!$C260="","",Data!$C260)</f>
        <v>0</v>
      </c>
      <c r="D260">
        <f>IF(Data!$D260="","",Data!$D260)</f>
        <v>0</v>
      </c>
      <c r="E260">
        <f>IF(Data!$E260="","",Data!$E260)</f>
        <v>0</v>
      </c>
      <c r="F260">
        <f>IF($E260="","",N(F259)+1)</f>
        <v>0</v>
      </c>
      <c r="G260">
        <f>IF(OR($E260="",$E259=""),"",LN($E260/$E259))</f>
        <v>0</v>
      </c>
      <c r="H260">
        <f>IF($E260="","",IF($E259="",$E260,$E260*0.0952380952+H259*0.9047619048))</f>
        <v>0</v>
      </c>
      <c r="I260">
        <f>IF($E260="","",IF($E259="",$E260,$E260*0.0392156863+I259*0.9607843137))</f>
        <v>0</v>
      </c>
      <c r="J260">
        <f>IF($E260="","",IF($E259="",$E260,$E260*0.0198019802+J259*0.9801980198))</f>
        <v>0</v>
      </c>
      <c r="K260">
        <f>IF($E260="","",IF($E259="",$E260,$E260*0.0099502488+K259*0.9900497512))</f>
        <v>0</v>
      </c>
      <c r="L260">
        <f>IF(OR($E260="",$E259=""),"",MAX($E260-$E259,0))</f>
        <v>0</v>
      </c>
      <c r="M260">
        <f>IF(OR($E260="",$E259=""),"",MAX($E259-$E260,0))</f>
        <v>0</v>
      </c>
      <c r="N260">
        <f>IF(COUNT($E$2:$E260)&lt;15,"",IF(AVERAGE($M$247:$M$260)=0,100,100-100/(1+AVERAGE($L$247:$L$260)/AVERAGE($M$247:$M$260))))</f>
        <v>0</v>
      </c>
      <c r="O260">
        <f>IF($E260="","",IF($E259="",$E260,$E260*0.1538461538+O259*0.8461538462))</f>
        <v>0</v>
      </c>
      <c r="P260">
        <f>IF($E260="","",IF($E259="",$E260,$E260*0.0740740741+P259*0.9259259259))</f>
        <v>0</v>
      </c>
      <c r="Q260">
        <f>IF(OR(O260="",P260=""),"",O260-P260)</f>
        <v>0</v>
      </c>
      <c r="R260">
        <f>IF(Q260="","",IF(R259="",Q260,Q260*0.2000000000+R259*0.8000000000))</f>
        <v>0</v>
      </c>
      <c r="S260">
        <f>IF(OR(Q260="",R260=""),"",Q260-R260)</f>
        <v>0</v>
      </c>
      <c r="T260">
        <f>IF(COUNT($E$2:$E260)&lt;14,"",MAX($C$247:$C$260))</f>
        <v>0</v>
      </c>
      <c r="U260">
        <f>IF(COUNT($E$2:$E260)&lt;14,"",MIN($D$247:$D$260))</f>
        <v>0</v>
      </c>
      <c r="V260">
        <f>IF(OR(T260="",U260="",T260=U260),"",100*($E260-U260)/(T260-U260))</f>
        <v>0</v>
      </c>
      <c r="W260">
        <f>IF(COUNT($V$258:$V$260)&lt;3,"",AVERAGE($V$258:$V$260))</f>
        <v>0</v>
      </c>
      <c r="X260">
        <f>IF(COUNT($N$247:$N$260)&lt;14,"",MIN($N$247:$N$260))</f>
        <v>0</v>
      </c>
      <c r="Y260">
        <f>IF(COUNT($N$247:$N$260)&lt;14,"",MAX($N$247:$N$260))</f>
        <v>0</v>
      </c>
      <c r="Z260">
        <f>IF(OR(N260="",X260="",Y260="",Y260=X260),"",100*(N260-X260)/(Y260-X260))</f>
        <v>0</v>
      </c>
      <c r="AA260">
        <f>IF(COUNT($Z$258:$Z$260)&lt;3,"",AVERAGE($Z$258:$Z$260))</f>
        <v>0</v>
      </c>
      <c r="AB260">
        <f>IF(COUNT($AA$258:$AA$260)&lt;3,"",AVERAGE($AA$258:$AA$260))</f>
        <v>0</v>
      </c>
      <c r="AC260">
        <f>IF($E260="","",MAX($C260-$D260,ABS($C260-$E259),ABS($D260-$E259)))</f>
        <v>0</v>
      </c>
      <c r="AD260">
        <f>IF(COUNT($E$2:$E260)&lt;15,"",AVERAGE($AC$247:$AC$260))</f>
        <v>0</v>
      </c>
      <c r="AE260">
        <f>IF(OR($E260="",$E259=""),"",IF(AND(($C260-$C259)&gt;($D259-$D260),($C260-$C259)&gt;0),$C260-$C259,0))</f>
        <v>0</v>
      </c>
      <c r="AF260">
        <f>IF(OR($E260="",$E259=""),"",IF(AND(($D259-$D260)&gt;($C260-$C259),($D259-$D260)&gt;0),$D259-$D260,0))</f>
        <v>0</v>
      </c>
      <c r="AG260">
        <f>IF(COUNT($E$2:$E260)&lt;15,"",IF(SUM($AC$247:$AC$260)=0,0,100*SUM($AE$247:$AE$260)/SUM($AC$247:$AC$260)))</f>
        <v>0</v>
      </c>
      <c r="AH260">
        <f>IF(COUNT($E$2:$E260)&lt;15,"",IF(SUM($AC$247:$AC$260)=0,0,100*SUM($AF$247:$AF$260)/SUM($AC$247:$AC$260)))</f>
        <v>0</v>
      </c>
      <c r="AI260">
        <f>IF(OR(AG260="",AH260=""),"",IF((AG260+AH260)=0,0,100*ABS(AG260-AH260)/(AG260+AH260)))</f>
        <v>0</v>
      </c>
      <c r="AJ260">
        <f>IF(COUNT($AI$247:$AI$260)&lt;14,"",AVERAGE($AI$247:$AI$260))</f>
        <v>0</v>
      </c>
      <c r="AK260">
        <f>IF(COUNT($E$2:$E260)&lt;20,"",AVERAGE($E$241:$E$260))</f>
        <v>0</v>
      </c>
      <c r="AL260">
        <f>IF(COUNT($E$2:$E260)&lt;20,"",STDEVP($E$241:$E$260))</f>
        <v>0</v>
      </c>
      <c r="AM260">
        <f>IF(AK260="","",AK260+2*AL260)</f>
        <v>0</v>
      </c>
      <c r="AN260">
        <f>IF(AK260="","",AK260-2*AL260)</f>
        <v>0</v>
      </c>
      <c r="AO260">
        <f>IF(OR(AM260="",AN260="",AM260=AN260),"",($E260-AN260)/(AM260-AN260))</f>
        <v>0</v>
      </c>
      <c r="AP260">
        <f>IF(OR(AM260="",AK260="",AK260=0),"",(AM260-AN260)/AK260)</f>
        <v>0</v>
      </c>
      <c r="AQ260">
        <f>IF(COUNT($E$2:$E260)&lt;20,"",MAX($C$241:$C$260))</f>
        <v>0</v>
      </c>
      <c r="AR260">
        <f>IF(COUNT($E$2:$E260)&lt;20,"",MIN($D$241:$D$260))</f>
        <v>0</v>
      </c>
      <c r="AS260">
        <f>IF(OR(AQ260="",AR260=""),"",(AQ260+AR260)/2)</f>
        <v>0</v>
      </c>
      <c r="AT260">
        <f>IF(COUNT($G$241:$G$260)&lt;20,"",STDEV($G$241:$G$260)*SQRT(252))</f>
        <v>0</v>
      </c>
      <c r="AU260">
        <f>IF(COUNT($E$2:$E260)&lt;9,"",(MAX($C$252:$C$260)+MIN($D$252:$D$260))/2)</f>
        <v>0</v>
      </c>
      <c r="AV260">
        <f>IF(COUNT($E$2:$E260)&lt;26,"",(MAX($C$235:$C$260)+MIN($D$235:$D$260))/2)</f>
        <v>0</v>
      </c>
      <c r="AW260">
        <f>IF(OR(AU260="",AV260=""),"",(AU260+AV260)/2)</f>
        <v>0</v>
      </c>
      <c r="AX260">
        <f>IF(COUNT($E$2:$E260)&lt;52,"",(MAX($C$209:$C$260)+MIN($D$209:$D$260))/2)</f>
        <v>0</v>
      </c>
      <c r="AY260">
        <f>IF(COUNT($E$2:$E260)&lt;20,"",MAX($C$161:$C$260))</f>
        <v>0</v>
      </c>
      <c r="AZ260">
        <f>IF(COUNT($E$2:$E260)&lt;20,"",MIN($D$161:$D$260))</f>
        <v>0</v>
      </c>
      <c r="BA260">
        <f>IF(COUNT($E$2:$E260)&lt;20,"",SLOPE($E$161:$E$260,$F$161:$F$260))</f>
        <v>0</v>
      </c>
      <c r="BB260">
        <f>IF(COUNT($E$2:$E260)&lt;20,"",INTERCEPT($E$161:$E$260,$F$161:$F$260))</f>
        <v>0</v>
      </c>
      <c r="BC260">
        <f>IF(OR(BA260="",BB260=""),"",BB260+BA260*F260)</f>
        <v>0</v>
      </c>
      <c r="BD260">
        <f>IF(COUNT($E$2:$E260)&lt;20,"",STEYX($E$161:$E$260,$F$161:$F$260))</f>
        <v>0</v>
      </c>
      <c r="BE260">
        <f>IF($E260="","",IF(AND(COUNT($E$261:$E$264)&gt;=4,$C260=MAX($C$256:$C$264)),$C260,""))</f>
        <v>0</v>
      </c>
      <c r="BF260">
        <f>IF($E260="","",IF(AND(COUNT($E$261:$E$264)&gt;=4,$D260=MIN($D$256:$D$264)),$D260,""))</f>
        <v>0</v>
      </c>
      <c r="BG260">
        <f>IF($A260="","",$A260-WEEKDAY($A260,2)+1)</f>
        <v>0</v>
      </c>
      <c r="BH260">
        <f>IF($A260="","",IF($A259="",1,IF(BG260&lt;&gt;BG259,1,0)))</f>
        <v>0</v>
      </c>
      <c r="BI260">
        <f>IF($A260="","",IF($A261="",1,IF(BG261&lt;&gt;BG260,1,0)))</f>
        <v>0</v>
      </c>
      <c r="BJ260">
        <f>IF($A260="","",IF(BH260=1,$B260,BJ259))</f>
        <v>0</v>
      </c>
      <c r="BK260">
        <f>IF($A260="","",IF(BH260=1,$C260,MAX($C260,BK259)))</f>
        <v>0</v>
      </c>
      <c r="BL260">
        <f>IF($A260="","",IF(BH260=1,$D260,MIN($D260,BL259)))</f>
        <v>0</v>
      </c>
      <c r="BM260">
        <f>IF($A260="","",IF(BI260=1,F260,""))</f>
        <v>0</v>
      </c>
      <c r="BN260">
        <f>IF($A260="","",DATE(YEAR($A260),MONTH($A260),1))</f>
        <v>0</v>
      </c>
      <c r="BO260">
        <f>IF($A260="","",IF($A259="",1,IF(BN260&lt;&gt;BN259,1,0)))</f>
        <v>0</v>
      </c>
      <c r="BP260">
        <f>IF($A260="","",IF($A261="",1,IF(BN261&lt;&gt;BN260,1,0)))</f>
        <v>0</v>
      </c>
      <c r="BQ260">
        <f>IF($A260="","",IF(BO260=1,$B260,BQ259))</f>
        <v>0</v>
      </c>
      <c r="BR260">
        <f>IF($A260="","",IF(BO260=1,$C260,MAX($C260,BR259)))</f>
        <v>0</v>
      </c>
      <c r="BS260">
        <f>IF($A260="","",IF(BO260=1,$D260,MIN($D260,BS259)))</f>
        <v>0</v>
      </c>
      <c r="BT260">
        <f>IF($A260="","",IF(BP260=1,F260,""))</f>
        <v>0</v>
      </c>
    </row>
    <row r="261" spans="1:72">
      <c r="A261" s="27">
        <f>IF(Data!$A261="","",Data!$A261)</f>
        <v>0</v>
      </c>
      <c r="B261">
        <f>IF(Data!$B261="","",Data!$B261)</f>
        <v>0</v>
      </c>
      <c r="C261">
        <f>IF(Data!$C261="","",Data!$C261)</f>
        <v>0</v>
      </c>
      <c r="D261">
        <f>IF(Data!$D261="","",Data!$D261)</f>
        <v>0</v>
      </c>
      <c r="E261">
        <f>IF(Data!$E261="","",Data!$E261)</f>
        <v>0</v>
      </c>
      <c r="F261">
        <f>IF($E261="","",N(F260)+1)</f>
        <v>0</v>
      </c>
      <c r="G261">
        <f>IF(OR($E261="",$E260=""),"",LN($E261/$E260))</f>
        <v>0</v>
      </c>
      <c r="H261">
        <f>IF($E261="","",IF($E260="",$E261,$E261*0.0952380952+H260*0.9047619048))</f>
        <v>0</v>
      </c>
      <c r="I261">
        <f>IF($E261="","",IF($E260="",$E261,$E261*0.0392156863+I260*0.9607843137))</f>
        <v>0</v>
      </c>
      <c r="J261">
        <f>IF($E261="","",IF($E260="",$E261,$E261*0.0198019802+J260*0.9801980198))</f>
        <v>0</v>
      </c>
      <c r="K261">
        <f>IF($E261="","",IF($E260="",$E261,$E261*0.0099502488+K260*0.9900497512))</f>
        <v>0</v>
      </c>
      <c r="L261">
        <f>IF(OR($E261="",$E260=""),"",MAX($E261-$E260,0))</f>
        <v>0</v>
      </c>
      <c r="M261">
        <f>IF(OR($E261="",$E260=""),"",MAX($E260-$E261,0))</f>
        <v>0</v>
      </c>
      <c r="N261">
        <f>IF(COUNT($E$2:$E261)&lt;15,"",IF(AVERAGE($M$248:$M$261)=0,100,100-100/(1+AVERAGE($L$248:$L$261)/AVERAGE($M$248:$M$261))))</f>
        <v>0</v>
      </c>
      <c r="O261">
        <f>IF($E261="","",IF($E260="",$E261,$E261*0.1538461538+O260*0.8461538462))</f>
        <v>0</v>
      </c>
      <c r="P261">
        <f>IF($E261="","",IF($E260="",$E261,$E261*0.0740740741+P260*0.9259259259))</f>
        <v>0</v>
      </c>
      <c r="Q261">
        <f>IF(OR(O261="",P261=""),"",O261-P261)</f>
        <v>0</v>
      </c>
      <c r="R261">
        <f>IF(Q261="","",IF(R260="",Q261,Q261*0.2000000000+R260*0.8000000000))</f>
        <v>0</v>
      </c>
      <c r="S261">
        <f>IF(OR(Q261="",R261=""),"",Q261-R261)</f>
        <v>0</v>
      </c>
      <c r="T261">
        <f>IF(COUNT($E$2:$E261)&lt;14,"",MAX($C$248:$C$261))</f>
        <v>0</v>
      </c>
      <c r="U261">
        <f>IF(COUNT($E$2:$E261)&lt;14,"",MIN($D$248:$D$261))</f>
        <v>0</v>
      </c>
      <c r="V261">
        <f>IF(OR(T261="",U261="",T261=U261),"",100*($E261-U261)/(T261-U261))</f>
        <v>0</v>
      </c>
      <c r="W261">
        <f>IF(COUNT($V$259:$V$261)&lt;3,"",AVERAGE($V$259:$V$261))</f>
        <v>0</v>
      </c>
      <c r="X261">
        <f>IF(COUNT($N$248:$N$261)&lt;14,"",MIN($N$248:$N$261))</f>
        <v>0</v>
      </c>
      <c r="Y261">
        <f>IF(COUNT($N$248:$N$261)&lt;14,"",MAX($N$248:$N$261))</f>
        <v>0</v>
      </c>
      <c r="Z261">
        <f>IF(OR(N261="",X261="",Y261="",Y261=X261),"",100*(N261-X261)/(Y261-X261))</f>
        <v>0</v>
      </c>
      <c r="AA261">
        <f>IF(COUNT($Z$259:$Z$261)&lt;3,"",AVERAGE($Z$259:$Z$261))</f>
        <v>0</v>
      </c>
      <c r="AB261">
        <f>IF(COUNT($AA$259:$AA$261)&lt;3,"",AVERAGE($AA$259:$AA$261))</f>
        <v>0</v>
      </c>
      <c r="AC261">
        <f>IF($E261="","",MAX($C261-$D261,ABS($C261-$E260),ABS($D261-$E260)))</f>
        <v>0</v>
      </c>
      <c r="AD261">
        <f>IF(COUNT($E$2:$E261)&lt;15,"",AVERAGE($AC$248:$AC$261))</f>
        <v>0</v>
      </c>
      <c r="AE261">
        <f>IF(OR($E261="",$E260=""),"",IF(AND(($C261-$C260)&gt;($D260-$D261),($C261-$C260)&gt;0),$C261-$C260,0))</f>
        <v>0</v>
      </c>
      <c r="AF261">
        <f>IF(OR($E261="",$E260=""),"",IF(AND(($D260-$D261)&gt;($C261-$C260),($D260-$D261)&gt;0),$D260-$D261,0))</f>
        <v>0</v>
      </c>
      <c r="AG261">
        <f>IF(COUNT($E$2:$E261)&lt;15,"",IF(SUM($AC$248:$AC$261)=0,0,100*SUM($AE$248:$AE$261)/SUM($AC$248:$AC$261)))</f>
        <v>0</v>
      </c>
      <c r="AH261">
        <f>IF(COUNT($E$2:$E261)&lt;15,"",IF(SUM($AC$248:$AC$261)=0,0,100*SUM($AF$248:$AF$261)/SUM($AC$248:$AC$261)))</f>
        <v>0</v>
      </c>
      <c r="AI261">
        <f>IF(OR(AG261="",AH261=""),"",IF((AG261+AH261)=0,0,100*ABS(AG261-AH261)/(AG261+AH261)))</f>
        <v>0</v>
      </c>
      <c r="AJ261">
        <f>IF(COUNT($AI$248:$AI$261)&lt;14,"",AVERAGE($AI$248:$AI$261))</f>
        <v>0</v>
      </c>
      <c r="AK261">
        <f>IF(COUNT($E$2:$E261)&lt;20,"",AVERAGE($E$242:$E$261))</f>
        <v>0</v>
      </c>
      <c r="AL261">
        <f>IF(COUNT($E$2:$E261)&lt;20,"",STDEVP($E$242:$E$261))</f>
        <v>0</v>
      </c>
      <c r="AM261">
        <f>IF(AK261="","",AK261+2*AL261)</f>
        <v>0</v>
      </c>
      <c r="AN261">
        <f>IF(AK261="","",AK261-2*AL261)</f>
        <v>0</v>
      </c>
      <c r="AO261">
        <f>IF(OR(AM261="",AN261="",AM261=AN261),"",($E261-AN261)/(AM261-AN261))</f>
        <v>0</v>
      </c>
      <c r="AP261">
        <f>IF(OR(AM261="",AK261="",AK261=0),"",(AM261-AN261)/AK261)</f>
        <v>0</v>
      </c>
      <c r="AQ261">
        <f>IF(COUNT($E$2:$E261)&lt;20,"",MAX($C$242:$C$261))</f>
        <v>0</v>
      </c>
      <c r="AR261">
        <f>IF(COUNT($E$2:$E261)&lt;20,"",MIN($D$242:$D$261))</f>
        <v>0</v>
      </c>
      <c r="AS261">
        <f>IF(OR(AQ261="",AR261=""),"",(AQ261+AR261)/2)</f>
        <v>0</v>
      </c>
      <c r="AT261">
        <f>IF(COUNT($G$242:$G$261)&lt;20,"",STDEV($G$242:$G$261)*SQRT(252))</f>
        <v>0</v>
      </c>
      <c r="AU261">
        <f>IF(COUNT($E$2:$E261)&lt;9,"",(MAX($C$253:$C$261)+MIN($D$253:$D$261))/2)</f>
        <v>0</v>
      </c>
      <c r="AV261">
        <f>IF(COUNT($E$2:$E261)&lt;26,"",(MAX($C$236:$C$261)+MIN($D$236:$D$261))/2)</f>
        <v>0</v>
      </c>
      <c r="AW261">
        <f>IF(OR(AU261="",AV261=""),"",(AU261+AV261)/2)</f>
        <v>0</v>
      </c>
      <c r="AX261">
        <f>IF(COUNT($E$2:$E261)&lt;52,"",(MAX($C$210:$C$261)+MIN($D$210:$D$261))/2)</f>
        <v>0</v>
      </c>
      <c r="AY261">
        <f>IF(COUNT($E$2:$E261)&lt;20,"",MAX($C$162:$C$261))</f>
        <v>0</v>
      </c>
      <c r="AZ261">
        <f>IF(COUNT($E$2:$E261)&lt;20,"",MIN($D$162:$D$261))</f>
        <v>0</v>
      </c>
      <c r="BA261">
        <f>IF(COUNT($E$2:$E261)&lt;20,"",SLOPE($E$162:$E$261,$F$162:$F$261))</f>
        <v>0</v>
      </c>
      <c r="BB261">
        <f>IF(COUNT($E$2:$E261)&lt;20,"",INTERCEPT($E$162:$E$261,$F$162:$F$261))</f>
        <v>0</v>
      </c>
      <c r="BC261">
        <f>IF(OR(BA261="",BB261=""),"",BB261+BA261*F261)</f>
        <v>0</v>
      </c>
      <c r="BD261">
        <f>IF(COUNT($E$2:$E261)&lt;20,"",STEYX($E$162:$E$261,$F$162:$F$261))</f>
        <v>0</v>
      </c>
      <c r="BE261">
        <f>IF($E261="","",IF(AND(COUNT($E$262:$E$265)&gt;=4,$C261=MAX($C$257:$C$265)),$C261,""))</f>
        <v>0</v>
      </c>
      <c r="BF261">
        <f>IF($E261="","",IF(AND(COUNT($E$262:$E$265)&gt;=4,$D261=MIN($D$257:$D$265)),$D261,""))</f>
        <v>0</v>
      </c>
      <c r="BG261">
        <f>IF($A261="","",$A261-WEEKDAY($A261,2)+1)</f>
        <v>0</v>
      </c>
      <c r="BH261">
        <f>IF($A261="","",IF($A260="",1,IF(BG261&lt;&gt;BG260,1,0)))</f>
        <v>0</v>
      </c>
      <c r="BI261">
        <f>IF($A261="","",IF($A262="",1,IF(BG262&lt;&gt;BG261,1,0)))</f>
        <v>0</v>
      </c>
      <c r="BJ261">
        <f>IF($A261="","",IF(BH261=1,$B261,BJ260))</f>
        <v>0</v>
      </c>
      <c r="BK261">
        <f>IF($A261="","",IF(BH261=1,$C261,MAX($C261,BK260)))</f>
        <v>0</v>
      </c>
      <c r="BL261">
        <f>IF($A261="","",IF(BH261=1,$D261,MIN($D261,BL260)))</f>
        <v>0</v>
      </c>
      <c r="BM261">
        <f>IF($A261="","",IF(BI261=1,F261,""))</f>
        <v>0</v>
      </c>
      <c r="BN261">
        <f>IF($A261="","",DATE(YEAR($A261),MONTH($A261),1))</f>
        <v>0</v>
      </c>
      <c r="BO261">
        <f>IF($A261="","",IF($A260="",1,IF(BN261&lt;&gt;BN260,1,0)))</f>
        <v>0</v>
      </c>
      <c r="BP261">
        <f>IF($A261="","",IF($A262="",1,IF(BN262&lt;&gt;BN261,1,0)))</f>
        <v>0</v>
      </c>
      <c r="BQ261">
        <f>IF($A261="","",IF(BO261=1,$B261,BQ260))</f>
        <v>0</v>
      </c>
      <c r="BR261">
        <f>IF($A261="","",IF(BO261=1,$C261,MAX($C261,BR260)))</f>
        <v>0</v>
      </c>
      <c r="BS261">
        <f>IF($A261="","",IF(BO261=1,$D261,MIN($D261,BS260)))</f>
        <v>0</v>
      </c>
      <c r="BT261">
        <f>IF($A261="","",IF(BP261=1,F261,""))</f>
        <v>0</v>
      </c>
    </row>
    <row r="262" spans="1:72">
      <c r="A262" s="27">
        <f>IF(Data!$A262="","",Data!$A262)</f>
        <v>0</v>
      </c>
      <c r="B262">
        <f>IF(Data!$B262="","",Data!$B262)</f>
        <v>0</v>
      </c>
      <c r="C262">
        <f>IF(Data!$C262="","",Data!$C262)</f>
        <v>0</v>
      </c>
      <c r="D262">
        <f>IF(Data!$D262="","",Data!$D262)</f>
        <v>0</v>
      </c>
      <c r="E262">
        <f>IF(Data!$E262="","",Data!$E262)</f>
        <v>0</v>
      </c>
      <c r="F262">
        <f>IF($E262="","",N(F261)+1)</f>
        <v>0</v>
      </c>
      <c r="G262">
        <f>IF(OR($E262="",$E261=""),"",LN($E262/$E261))</f>
        <v>0</v>
      </c>
      <c r="H262">
        <f>IF($E262="","",IF($E261="",$E262,$E262*0.0952380952+H261*0.9047619048))</f>
        <v>0</v>
      </c>
      <c r="I262">
        <f>IF($E262="","",IF($E261="",$E262,$E262*0.0392156863+I261*0.9607843137))</f>
        <v>0</v>
      </c>
      <c r="J262">
        <f>IF($E262="","",IF($E261="",$E262,$E262*0.0198019802+J261*0.9801980198))</f>
        <v>0</v>
      </c>
      <c r="K262">
        <f>IF($E262="","",IF($E261="",$E262,$E262*0.0099502488+K261*0.9900497512))</f>
        <v>0</v>
      </c>
      <c r="L262">
        <f>IF(OR($E262="",$E261=""),"",MAX($E262-$E261,0))</f>
        <v>0</v>
      </c>
      <c r="M262">
        <f>IF(OR($E262="",$E261=""),"",MAX($E261-$E262,0))</f>
        <v>0</v>
      </c>
      <c r="N262">
        <f>IF(COUNT($E$2:$E262)&lt;15,"",IF(AVERAGE($M$249:$M$262)=0,100,100-100/(1+AVERAGE($L$249:$L$262)/AVERAGE($M$249:$M$262))))</f>
        <v>0</v>
      </c>
      <c r="O262">
        <f>IF($E262="","",IF($E261="",$E262,$E262*0.1538461538+O261*0.8461538462))</f>
        <v>0</v>
      </c>
      <c r="P262">
        <f>IF($E262="","",IF($E261="",$E262,$E262*0.0740740741+P261*0.9259259259))</f>
        <v>0</v>
      </c>
      <c r="Q262">
        <f>IF(OR(O262="",P262=""),"",O262-P262)</f>
        <v>0</v>
      </c>
      <c r="R262">
        <f>IF(Q262="","",IF(R261="",Q262,Q262*0.2000000000+R261*0.8000000000))</f>
        <v>0</v>
      </c>
      <c r="S262">
        <f>IF(OR(Q262="",R262=""),"",Q262-R262)</f>
        <v>0</v>
      </c>
      <c r="T262">
        <f>IF(COUNT($E$2:$E262)&lt;14,"",MAX($C$249:$C$262))</f>
        <v>0</v>
      </c>
      <c r="U262">
        <f>IF(COUNT($E$2:$E262)&lt;14,"",MIN($D$249:$D$262))</f>
        <v>0</v>
      </c>
      <c r="V262">
        <f>IF(OR(T262="",U262="",T262=U262),"",100*($E262-U262)/(T262-U262))</f>
        <v>0</v>
      </c>
      <c r="W262">
        <f>IF(COUNT($V$260:$V$262)&lt;3,"",AVERAGE($V$260:$V$262))</f>
        <v>0</v>
      </c>
      <c r="X262">
        <f>IF(COUNT($N$249:$N$262)&lt;14,"",MIN($N$249:$N$262))</f>
        <v>0</v>
      </c>
      <c r="Y262">
        <f>IF(COUNT($N$249:$N$262)&lt;14,"",MAX($N$249:$N$262))</f>
        <v>0</v>
      </c>
      <c r="Z262">
        <f>IF(OR(N262="",X262="",Y262="",Y262=X262),"",100*(N262-X262)/(Y262-X262))</f>
        <v>0</v>
      </c>
      <c r="AA262">
        <f>IF(COUNT($Z$260:$Z$262)&lt;3,"",AVERAGE($Z$260:$Z$262))</f>
        <v>0</v>
      </c>
      <c r="AB262">
        <f>IF(COUNT($AA$260:$AA$262)&lt;3,"",AVERAGE($AA$260:$AA$262))</f>
        <v>0</v>
      </c>
      <c r="AC262">
        <f>IF($E262="","",MAX($C262-$D262,ABS($C262-$E261),ABS($D262-$E261)))</f>
        <v>0</v>
      </c>
      <c r="AD262">
        <f>IF(COUNT($E$2:$E262)&lt;15,"",AVERAGE($AC$249:$AC$262))</f>
        <v>0</v>
      </c>
      <c r="AE262">
        <f>IF(OR($E262="",$E261=""),"",IF(AND(($C262-$C261)&gt;($D261-$D262),($C262-$C261)&gt;0),$C262-$C261,0))</f>
        <v>0</v>
      </c>
      <c r="AF262">
        <f>IF(OR($E262="",$E261=""),"",IF(AND(($D261-$D262)&gt;($C262-$C261),($D261-$D262)&gt;0),$D261-$D262,0))</f>
        <v>0</v>
      </c>
      <c r="AG262">
        <f>IF(COUNT($E$2:$E262)&lt;15,"",IF(SUM($AC$249:$AC$262)=0,0,100*SUM($AE$249:$AE$262)/SUM($AC$249:$AC$262)))</f>
        <v>0</v>
      </c>
      <c r="AH262">
        <f>IF(COUNT($E$2:$E262)&lt;15,"",IF(SUM($AC$249:$AC$262)=0,0,100*SUM($AF$249:$AF$262)/SUM($AC$249:$AC$262)))</f>
        <v>0</v>
      </c>
      <c r="AI262">
        <f>IF(OR(AG262="",AH262=""),"",IF((AG262+AH262)=0,0,100*ABS(AG262-AH262)/(AG262+AH262)))</f>
        <v>0</v>
      </c>
      <c r="AJ262">
        <f>IF(COUNT($AI$249:$AI$262)&lt;14,"",AVERAGE($AI$249:$AI$262))</f>
        <v>0</v>
      </c>
      <c r="AK262">
        <f>IF(COUNT($E$2:$E262)&lt;20,"",AVERAGE($E$243:$E$262))</f>
        <v>0</v>
      </c>
      <c r="AL262">
        <f>IF(COUNT($E$2:$E262)&lt;20,"",STDEVP($E$243:$E$262))</f>
        <v>0</v>
      </c>
      <c r="AM262">
        <f>IF(AK262="","",AK262+2*AL262)</f>
        <v>0</v>
      </c>
      <c r="AN262">
        <f>IF(AK262="","",AK262-2*AL262)</f>
        <v>0</v>
      </c>
      <c r="AO262">
        <f>IF(OR(AM262="",AN262="",AM262=AN262),"",($E262-AN262)/(AM262-AN262))</f>
        <v>0</v>
      </c>
      <c r="AP262">
        <f>IF(OR(AM262="",AK262="",AK262=0),"",(AM262-AN262)/AK262)</f>
        <v>0</v>
      </c>
      <c r="AQ262">
        <f>IF(COUNT($E$2:$E262)&lt;20,"",MAX($C$243:$C$262))</f>
        <v>0</v>
      </c>
      <c r="AR262">
        <f>IF(COUNT($E$2:$E262)&lt;20,"",MIN($D$243:$D$262))</f>
        <v>0</v>
      </c>
      <c r="AS262">
        <f>IF(OR(AQ262="",AR262=""),"",(AQ262+AR262)/2)</f>
        <v>0</v>
      </c>
      <c r="AT262">
        <f>IF(COUNT($G$243:$G$262)&lt;20,"",STDEV($G$243:$G$262)*SQRT(252))</f>
        <v>0</v>
      </c>
      <c r="AU262">
        <f>IF(COUNT($E$2:$E262)&lt;9,"",(MAX($C$254:$C$262)+MIN($D$254:$D$262))/2)</f>
        <v>0</v>
      </c>
      <c r="AV262">
        <f>IF(COUNT($E$2:$E262)&lt;26,"",(MAX($C$237:$C$262)+MIN($D$237:$D$262))/2)</f>
        <v>0</v>
      </c>
      <c r="AW262">
        <f>IF(OR(AU262="",AV262=""),"",(AU262+AV262)/2)</f>
        <v>0</v>
      </c>
      <c r="AX262">
        <f>IF(COUNT($E$2:$E262)&lt;52,"",(MAX($C$211:$C$262)+MIN($D$211:$D$262))/2)</f>
        <v>0</v>
      </c>
      <c r="AY262">
        <f>IF(COUNT($E$2:$E262)&lt;20,"",MAX($C$163:$C$262))</f>
        <v>0</v>
      </c>
      <c r="AZ262">
        <f>IF(COUNT($E$2:$E262)&lt;20,"",MIN($D$163:$D$262))</f>
        <v>0</v>
      </c>
      <c r="BA262">
        <f>IF(COUNT($E$2:$E262)&lt;20,"",SLOPE($E$163:$E$262,$F$163:$F$262))</f>
        <v>0</v>
      </c>
      <c r="BB262">
        <f>IF(COUNT($E$2:$E262)&lt;20,"",INTERCEPT($E$163:$E$262,$F$163:$F$262))</f>
        <v>0</v>
      </c>
      <c r="BC262">
        <f>IF(OR(BA262="",BB262=""),"",BB262+BA262*F262)</f>
        <v>0</v>
      </c>
      <c r="BD262">
        <f>IF(COUNT($E$2:$E262)&lt;20,"",STEYX($E$163:$E$262,$F$163:$F$262))</f>
        <v>0</v>
      </c>
      <c r="BE262">
        <f>IF($E262="","",IF(AND(COUNT($E$263:$E$266)&gt;=4,$C262=MAX($C$258:$C$266)),$C262,""))</f>
        <v>0</v>
      </c>
      <c r="BF262">
        <f>IF($E262="","",IF(AND(COUNT($E$263:$E$266)&gt;=4,$D262=MIN($D$258:$D$266)),$D262,""))</f>
        <v>0</v>
      </c>
      <c r="BG262">
        <f>IF($A262="","",$A262-WEEKDAY($A262,2)+1)</f>
        <v>0</v>
      </c>
      <c r="BH262">
        <f>IF($A262="","",IF($A261="",1,IF(BG262&lt;&gt;BG261,1,0)))</f>
        <v>0</v>
      </c>
      <c r="BI262">
        <f>IF($A262="","",IF($A263="",1,IF(BG263&lt;&gt;BG262,1,0)))</f>
        <v>0</v>
      </c>
      <c r="BJ262">
        <f>IF($A262="","",IF(BH262=1,$B262,BJ261))</f>
        <v>0</v>
      </c>
      <c r="BK262">
        <f>IF($A262="","",IF(BH262=1,$C262,MAX($C262,BK261)))</f>
        <v>0</v>
      </c>
      <c r="BL262">
        <f>IF($A262="","",IF(BH262=1,$D262,MIN($D262,BL261)))</f>
        <v>0</v>
      </c>
      <c r="BM262">
        <f>IF($A262="","",IF(BI262=1,F262,""))</f>
        <v>0</v>
      </c>
      <c r="BN262">
        <f>IF($A262="","",DATE(YEAR($A262),MONTH($A262),1))</f>
        <v>0</v>
      </c>
      <c r="BO262">
        <f>IF($A262="","",IF($A261="",1,IF(BN262&lt;&gt;BN261,1,0)))</f>
        <v>0</v>
      </c>
      <c r="BP262">
        <f>IF($A262="","",IF($A263="",1,IF(BN263&lt;&gt;BN262,1,0)))</f>
        <v>0</v>
      </c>
      <c r="BQ262">
        <f>IF($A262="","",IF(BO262=1,$B262,BQ261))</f>
        <v>0</v>
      </c>
      <c r="BR262">
        <f>IF($A262="","",IF(BO262=1,$C262,MAX($C262,BR261)))</f>
        <v>0</v>
      </c>
      <c r="BS262">
        <f>IF($A262="","",IF(BO262=1,$D262,MIN($D262,BS261)))</f>
        <v>0</v>
      </c>
      <c r="BT262">
        <f>IF($A262="","",IF(BP262=1,F262,""))</f>
        <v>0</v>
      </c>
    </row>
    <row r="263" spans="1:72">
      <c r="A263" s="27">
        <f>IF(Data!$A263="","",Data!$A263)</f>
        <v>0</v>
      </c>
      <c r="B263">
        <f>IF(Data!$B263="","",Data!$B263)</f>
        <v>0</v>
      </c>
      <c r="C263">
        <f>IF(Data!$C263="","",Data!$C263)</f>
        <v>0</v>
      </c>
      <c r="D263">
        <f>IF(Data!$D263="","",Data!$D263)</f>
        <v>0</v>
      </c>
      <c r="E263">
        <f>IF(Data!$E263="","",Data!$E263)</f>
        <v>0</v>
      </c>
      <c r="F263">
        <f>IF($E263="","",N(F262)+1)</f>
        <v>0</v>
      </c>
      <c r="G263">
        <f>IF(OR($E263="",$E262=""),"",LN($E263/$E262))</f>
        <v>0</v>
      </c>
      <c r="H263">
        <f>IF($E263="","",IF($E262="",$E263,$E263*0.0952380952+H262*0.9047619048))</f>
        <v>0</v>
      </c>
      <c r="I263">
        <f>IF($E263="","",IF($E262="",$E263,$E263*0.0392156863+I262*0.9607843137))</f>
        <v>0</v>
      </c>
      <c r="J263">
        <f>IF($E263="","",IF($E262="",$E263,$E263*0.0198019802+J262*0.9801980198))</f>
        <v>0</v>
      </c>
      <c r="K263">
        <f>IF($E263="","",IF($E262="",$E263,$E263*0.0099502488+K262*0.9900497512))</f>
        <v>0</v>
      </c>
      <c r="L263">
        <f>IF(OR($E263="",$E262=""),"",MAX($E263-$E262,0))</f>
        <v>0</v>
      </c>
      <c r="M263">
        <f>IF(OR($E263="",$E262=""),"",MAX($E262-$E263,0))</f>
        <v>0</v>
      </c>
      <c r="N263">
        <f>IF(COUNT($E$2:$E263)&lt;15,"",IF(AVERAGE($M$250:$M$263)=0,100,100-100/(1+AVERAGE($L$250:$L$263)/AVERAGE($M$250:$M$263))))</f>
        <v>0</v>
      </c>
      <c r="O263">
        <f>IF($E263="","",IF($E262="",$E263,$E263*0.1538461538+O262*0.8461538462))</f>
        <v>0</v>
      </c>
      <c r="P263">
        <f>IF($E263="","",IF($E262="",$E263,$E263*0.0740740741+P262*0.9259259259))</f>
        <v>0</v>
      </c>
      <c r="Q263">
        <f>IF(OR(O263="",P263=""),"",O263-P263)</f>
        <v>0</v>
      </c>
      <c r="R263">
        <f>IF(Q263="","",IF(R262="",Q263,Q263*0.2000000000+R262*0.8000000000))</f>
        <v>0</v>
      </c>
      <c r="S263">
        <f>IF(OR(Q263="",R263=""),"",Q263-R263)</f>
        <v>0</v>
      </c>
      <c r="T263">
        <f>IF(COUNT($E$2:$E263)&lt;14,"",MAX($C$250:$C$263))</f>
        <v>0</v>
      </c>
      <c r="U263">
        <f>IF(COUNT($E$2:$E263)&lt;14,"",MIN($D$250:$D$263))</f>
        <v>0</v>
      </c>
      <c r="V263">
        <f>IF(OR(T263="",U263="",T263=U263),"",100*($E263-U263)/(T263-U263))</f>
        <v>0</v>
      </c>
      <c r="W263">
        <f>IF(COUNT($V$261:$V$263)&lt;3,"",AVERAGE($V$261:$V$263))</f>
        <v>0</v>
      </c>
      <c r="X263">
        <f>IF(COUNT($N$250:$N$263)&lt;14,"",MIN($N$250:$N$263))</f>
        <v>0</v>
      </c>
      <c r="Y263">
        <f>IF(COUNT($N$250:$N$263)&lt;14,"",MAX($N$250:$N$263))</f>
        <v>0</v>
      </c>
      <c r="Z263">
        <f>IF(OR(N263="",X263="",Y263="",Y263=X263),"",100*(N263-X263)/(Y263-X263))</f>
        <v>0</v>
      </c>
      <c r="AA263">
        <f>IF(COUNT($Z$261:$Z$263)&lt;3,"",AVERAGE($Z$261:$Z$263))</f>
        <v>0</v>
      </c>
      <c r="AB263">
        <f>IF(COUNT($AA$261:$AA$263)&lt;3,"",AVERAGE($AA$261:$AA$263))</f>
        <v>0</v>
      </c>
      <c r="AC263">
        <f>IF($E263="","",MAX($C263-$D263,ABS($C263-$E262),ABS($D263-$E262)))</f>
        <v>0</v>
      </c>
      <c r="AD263">
        <f>IF(COUNT($E$2:$E263)&lt;15,"",AVERAGE($AC$250:$AC$263))</f>
        <v>0</v>
      </c>
      <c r="AE263">
        <f>IF(OR($E263="",$E262=""),"",IF(AND(($C263-$C262)&gt;($D262-$D263),($C263-$C262)&gt;0),$C263-$C262,0))</f>
        <v>0</v>
      </c>
      <c r="AF263">
        <f>IF(OR($E263="",$E262=""),"",IF(AND(($D262-$D263)&gt;($C263-$C262),($D262-$D263)&gt;0),$D262-$D263,0))</f>
        <v>0</v>
      </c>
      <c r="AG263">
        <f>IF(COUNT($E$2:$E263)&lt;15,"",IF(SUM($AC$250:$AC$263)=0,0,100*SUM($AE$250:$AE$263)/SUM($AC$250:$AC$263)))</f>
        <v>0</v>
      </c>
      <c r="AH263">
        <f>IF(COUNT($E$2:$E263)&lt;15,"",IF(SUM($AC$250:$AC$263)=0,0,100*SUM($AF$250:$AF$263)/SUM($AC$250:$AC$263)))</f>
        <v>0</v>
      </c>
      <c r="AI263">
        <f>IF(OR(AG263="",AH263=""),"",IF((AG263+AH263)=0,0,100*ABS(AG263-AH263)/(AG263+AH263)))</f>
        <v>0</v>
      </c>
      <c r="AJ263">
        <f>IF(COUNT($AI$250:$AI$263)&lt;14,"",AVERAGE($AI$250:$AI$263))</f>
        <v>0</v>
      </c>
      <c r="AK263">
        <f>IF(COUNT($E$2:$E263)&lt;20,"",AVERAGE($E$244:$E$263))</f>
        <v>0</v>
      </c>
      <c r="AL263">
        <f>IF(COUNT($E$2:$E263)&lt;20,"",STDEVP($E$244:$E$263))</f>
        <v>0</v>
      </c>
      <c r="AM263">
        <f>IF(AK263="","",AK263+2*AL263)</f>
        <v>0</v>
      </c>
      <c r="AN263">
        <f>IF(AK263="","",AK263-2*AL263)</f>
        <v>0</v>
      </c>
      <c r="AO263">
        <f>IF(OR(AM263="",AN263="",AM263=AN263),"",($E263-AN263)/(AM263-AN263))</f>
        <v>0</v>
      </c>
      <c r="AP263">
        <f>IF(OR(AM263="",AK263="",AK263=0),"",(AM263-AN263)/AK263)</f>
        <v>0</v>
      </c>
      <c r="AQ263">
        <f>IF(COUNT($E$2:$E263)&lt;20,"",MAX($C$244:$C$263))</f>
        <v>0</v>
      </c>
      <c r="AR263">
        <f>IF(COUNT($E$2:$E263)&lt;20,"",MIN($D$244:$D$263))</f>
        <v>0</v>
      </c>
      <c r="AS263">
        <f>IF(OR(AQ263="",AR263=""),"",(AQ263+AR263)/2)</f>
        <v>0</v>
      </c>
      <c r="AT263">
        <f>IF(COUNT($G$244:$G$263)&lt;20,"",STDEV($G$244:$G$263)*SQRT(252))</f>
        <v>0</v>
      </c>
      <c r="AU263">
        <f>IF(COUNT($E$2:$E263)&lt;9,"",(MAX($C$255:$C$263)+MIN($D$255:$D$263))/2)</f>
        <v>0</v>
      </c>
      <c r="AV263">
        <f>IF(COUNT($E$2:$E263)&lt;26,"",(MAX($C$238:$C$263)+MIN($D$238:$D$263))/2)</f>
        <v>0</v>
      </c>
      <c r="AW263">
        <f>IF(OR(AU263="",AV263=""),"",(AU263+AV263)/2)</f>
        <v>0</v>
      </c>
      <c r="AX263">
        <f>IF(COUNT($E$2:$E263)&lt;52,"",(MAX($C$212:$C$263)+MIN($D$212:$D$263))/2)</f>
        <v>0</v>
      </c>
      <c r="AY263">
        <f>IF(COUNT($E$2:$E263)&lt;20,"",MAX($C$164:$C$263))</f>
        <v>0</v>
      </c>
      <c r="AZ263">
        <f>IF(COUNT($E$2:$E263)&lt;20,"",MIN($D$164:$D$263))</f>
        <v>0</v>
      </c>
      <c r="BA263">
        <f>IF(COUNT($E$2:$E263)&lt;20,"",SLOPE($E$164:$E$263,$F$164:$F$263))</f>
        <v>0</v>
      </c>
      <c r="BB263">
        <f>IF(COUNT($E$2:$E263)&lt;20,"",INTERCEPT($E$164:$E$263,$F$164:$F$263))</f>
        <v>0</v>
      </c>
      <c r="BC263">
        <f>IF(OR(BA263="",BB263=""),"",BB263+BA263*F263)</f>
        <v>0</v>
      </c>
      <c r="BD263">
        <f>IF(COUNT($E$2:$E263)&lt;20,"",STEYX($E$164:$E$263,$F$164:$F$263))</f>
        <v>0</v>
      </c>
      <c r="BE263">
        <f>IF($E263="","",IF(AND(COUNT($E$264:$E$267)&gt;=4,$C263=MAX($C$259:$C$267)),$C263,""))</f>
        <v>0</v>
      </c>
      <c r="BF263">
        <f>IF($E263="","",IF(AND(COUNT($E$264:$E$267)&gt;=4,$D263=MIN($D$259:$D$267)),$D263,""))</f>
        <v>0</v>
      </c>
      <c r="BG263">
        <f>IF($A263="","",$A263-WEEKDAY($A263,2)+1)</f>
        <v>0</v>
      </c>
      <c r="BH263">
        <f>IF($A263="","",IF($A262="",1,IF(BG263&lt;&gt;BG262,1,0)))</f>
        <v>0</v>
      </c>
      <c r="BI263">
        <f>IF($A263="","",IF($A264="",1,IF(BG264&lt;&gt;BG263,1,0)))</f>
        <v>0</v>
      </c>
      <c r="BJ263">
        <f>IF($A263="","",IF(BH263=1,$B263,BJ262))</f>
        <v>0</v>
      </c>
      <c r="BK263">
        <f>IF($A263="","",IF(BH263=1,$C263,MAX($C263,BK262)))</f>
        <v>0</v>
      </c>
      <c r="BL263">
        <f>IF($A263="","",IF(BH263=1,$D263,MIN($D263,BL262)))</f>
        <v>0</v>
      </c>
      <c r="BM263">
        <f>IF($A263="","",IF(BI263=1,F263,""))</f>
        <v>0</v>
      </c>
      <c r="BN263">
        <f>IF($A263="","",DATE(YEAR($A263),MONTH($A263),1))</f>
        <v>0</v>
      </c>
      <c r="BO263">
        <f>IF($A263="","",IF($A262="",1,IF(BN263&lt;&gt;BN262,1,0)))</f>
        <v>0</v>
      </c>
      <c r="BP263">
        <f>IF($A263="","",IF($A264="",1,IF(BN264&lt;&gt;BN263,1,0)))</f>
        <v>0</v>
      </c>
      <c r="BQ263">
        <f>IF($A263="","",IF(BO263=1,$B263,BQ262))</f>
        <v>0</v>
      </c>
      <c r="BR263">
        <f>IF($A263="","",IF(BO263=1,$C263,MAX($C263,BR262)))</f>
        <v>0</v>
      </c>
      <c r="BS263">
        <f>IF($A263="","",IF(BO263=1,$D263,MIN($D263,BS262)))</f>
        <v>0</v>
      </c>
      <c r="BT263">
        <f>IF($A263="","",IF(BP263=1,F263,""))</f>
        <v>0</v>
      </c>
    </row>
    <row r="264" spans="1:72">
      <c r="A264" s="27">
        <f>IF(Data!$A264="","",Data!$A264)</f>
        <v>0</v>
      </c>
      <c r="B264">
        <f>IF(Data!$B264="","",Data!$B264)</f>
        <v>0</v>
      </c>
      <c r="C264">
        <f>IF(Data!$C264="","",Data!$C264)</f>
        <v>0</v>
      </c>
      <c r="D264">
        <f>IF(Data!$D264="","",Data!$D264)</f>
        <v>0</v>
      </c>
      <c r="E264">
        <f>IF(Data!$E264="","",Data!$E264)</f>
        <v>0</v>
      </c>
      <c r="F264">
        <f>IF($E264="","",N(F263)+1)</f>
        <v>0</v>
      </c>
      <c r="G264">
        <f>IF(OR($E264="",$E263=""),"",LN($E264/$E263))</f>
        <v>0</v>
      </c>
      <c r="H264">
        <f>IF($E264="","",IF($E263="",$E264,$E264*0.0952380952+H263*0.9047619048))</f>
        <v>0</v>
      </c>
      <c r="I264">
        <f>IF($E264="","",IF($E263="",$E264,$E264*0.0392156863+I263*0.9607843137))</f>
        <v>0</v>
      </c>
      <c r="J264">
        <f>IF($E264="","",IF($E263="",$E264,$E264*0.0198019802+J263*0.9801980198))</f>
        <v>0</v>
      </c>
      <c r="K264">
        <f>IF($E264="","",IF($E263="",$E264,$E264*0.0099502488+K263*0.9900497512))</f>
        <v>0</v>
      </c>
      <c r="L264">
        <f>IF(OR($E264="",$E263=""),"",MAX($E264-$E263,0))</f>
        <v>0</v>
      </c>
      <c r="M264">
        <f>IF(OR($E264="",$E263=""),"",MAX($E263-$E264,0))</f>
        <v>0</v>
      </c>
      <c r="N264">
        <f>IF(COUNT($E$2:$E264)&lt;15,"",IF(AVERAGE($M$251:$M$264)=0,100,100-100/(1+AVERAGE($L$251:$L$264)/AVERAGE($M$251:$M$264))))</f>
        <v>0</v>
      </c>
      <c r="O264">
        <f>IF($E264="","",IF($E263="",$E264,$E264*0.1538461538+O263*0.8461538462))</f>
        <v>0</v>
      </c>
      <c r="P264">
        <f>IF($E264="","",IF($E263="",$E264,$E264*0.0740740741+P263*0.9259259259))</f>
        <v>0</v>
      </c>
      <c r="Q264">
        <f>IF(OR(O264="",P264=""),"",O264-P264)</f>
        <v>0</v>
      </c>
      <c r="R264">
        <f>IF(Q264="","",IF(R263="",Q264,Q264*0.2000000000+R263*0.8000000000))</f>
        <v>0</v>
      </c>
      <c r="S264">
        <f>IF(OR(Q264="",R264=""),"",Q264-R264)</f>
        <v>0</v>
      </c>
      <c r="T264">
        <f>IF(COUNT($E$2:$E264)&lt;14,"",MAX($C$251:$C$264))</f>
        <v>0</v>
      </c>
      <c r="U264">
        <f>IF(COUNT($E$2:$E264)&lt;14,"",MIN($D$251:$D$264))</f>
        <v>0</v>
      </c>
      <c r="V264">
        <f>IF(OR(T264="",U264="",T264=U264),"",100*($E264-U264)/(T264-U264))</f>
        <v>0</v>
      </c>
      <c r="W264">
        <f>IF(COUNT($V$262:$V$264)&lt;3,"",AVERAGE($V$262:$V$264))</f>
        <v>0</v>
      </c>
      <c r="X264">
        <f>IF(COUNT($N$251:$N$264)&lt;14,"",MIN($N$251:$N$264))</f>
        <v>0</v>
      </c>
      <c r="Y264">
        <f>IF(COUNT($N$251:$N$264)&lt;14,"",MAX($N$251:$N$264))</f>
        <v>0</v>
      </c>
      <c r="Z264">
        <f>IF(OR(N264="",X264="",Y264="",Y264=X264),"",100*(N264-X264)/(Y264-X264))</f>
        <v>0</v>
      </c>
      <c r="AA264">
        <f>IF(COUNT($Z$262:$Z$264)&lt;3,"",AVERAGE($Z$262:$Z$264))</f>
        <v>0</v>
      </c>
      <c r="AB264">
        <f>IF(COUNT($AA$262:$AA$264)&lt;3,"",AVERAGE($AA$262:$AA$264))</f>
        <v>0</v>
      </c>
      <c r="AC264">
        <f>IF($E264="","",MAX($C264-$D264,ABS($C264-$E263),ABS($D264-$E263)))</f>
        <v>0</v>
      </c>
      <c r="AD264">
        <f>IF(COUNT($E$2:$E264)&lt;15,"",AVERAGE($AC$251:$AC$264))</f>
        <v>0</v>
      </c>
      <c r="AE264">
        <f>IF(OR($E264="",$E263=""),"",IF(AND(($C264-$C263)&gt;($D263-$D264),($C264-$C263)&gt;0),$C264-$C263,0))</f>
        <v>0</v>
      </c>
      <c r="AF264">
        <f>IF(OR($E264="",$E263=""),"",IF(AND(($D263-$D264)&gt;($C264-$C263),($D263-$D264)&gt;0),$D263-$D264,0))</f>
        <v>0</v>
      </c>
      <c r="AG264">
        <f>IF(COUNT($E$2:$E264)&lt;15,"",IF(SUM($AC$251:$AC$264)=0,0,100*SUM($AE$251:$AE$264)/SUM($AC$251:$AC$264)))</f>
        <v>0</v>
      </c>
      <c r="AH264">
        <f>IF(COUNT($E$2:$E264)&lt;15,"",IF(SUM($AC$251:$AC$264)=0,0,100*SUM($AF$251:$AF$264)/SUM($AC$251:$AC$264)))</f>
        <v>0</v>
      </c>
      <c r="AI264">
        <f>IF(OR(AG264="",AH264=""),"",IF((AG264+AH264)=0,0,100*ABS(AG264-AH264)/(AG264+AH264)))</f>
        <v>0</v>
      </c>
      <c r="AJ264">
        <f>IF(COUNT($AI$251:$AI$264)&lt;14,"",AVERAGE($AI$251:$AI$264))</f>
        <v>0</v>
      </c>
      <c r="AK264">
        <f>IF(COUNT($E$2:$E264)&lt;20,"",AVERAGE($E$245:$E$264))</f>
        <v>0</v>
      </c>
      <c r="AL264">
        <f>IF(COUNT($E$2:$E264)&lt;20,"",STDEVP($E$245:$E$264))</f>
        <v>0</v>
      </c>
      <c r="AM264">
        <f>IF(AK264="","",AK264+2*AL264)</f>
        <v>0</v>
      </c>
      <c r="AN264">
        <f>IF(AK264="","",AK264-2*AL264)</f>
        <v>0</v>
      </c>
      <c r="AO264">
        <f>IF(OR(AM264="",AN264="",AM264=AN264),"",($E264-AN264)/(AM264-AN264))</f>
        <v>0</v>
      </c>
      <c r="AP264">
        <f>IF(OR(AM264="",AK264="",AK264=0),"",(AM264-AN264)/AK264)</f>
        <v>0</v>
      </c>
      <c r="AQ264">
        <f>IF(COUNT($E$2:$E264)&lt;20,"",MAX($C$245:$C$264))</f>
        <v>0</v>
      </c>
      <c r="AR264">
        <f>IF(COUNT($E$2:$E264)&lt;20,"",MIN($D$245:$D$264))</f>
        <v>0</v>
      </c>
      <c r="AS264">
        <f>IF(OR(AQ264="",AR264=""),"",(AQ264+AR264)/2)</f>
        <v>0</v>
      </c>
      <c r="AT264">
        <f>IF(COUNT($G$245:$G$264)&lt;20,"",STDEV($G$245:$G$264)*SQRT(252))</f>
        <v>0</v>
      </c>
      <c r="AU264">
        <f>IF(COUNT($E$2:$E264)&lt;9,"",(MAX($C$256:$C$264)+MIN($D$256:$D$264))/2)</f>
        <v>0</v>
      </c>
      <c r="AV264">
        <f>IF(COUNT($E$2:$E264)&lt;26,"",(MAX($C$239:$C$264)+MIN($D$239:$D$264))/2)</f>
        <v>0</v>
      </c>
      <c r="AW264">
        <f>IF(OR(AU264="",AV264=""),"",(AU264+AV264)/2)</f>
        <v>0</v>
      </c>
      <c r="AX264">
        <f>IF(COUNT($E$2:$E264)&lt;52,"",(MAX($C$213:$C$264)+MIN($D$213:$D$264))/2)</f>
        <v>0</v>
      </c>
      <c r="AY264">
        <f>IF(COUNT($E$2:$E264)&lt;20,"",MAX($C$165:$C$264))</f>
        <v>0</v>
      </c>
      <c r="AZ264">
        <f>IF(COUNT($E$2:$E264)&lt;20,"",MIN($D$165:$D$264))</f>
        <v>0</v>
      </c>
      <c r="BA264">
        <f>IF(COUNT($E$2:$E264)&lt;20,"",SLOPE($E$165:$E$264,$F$165:$F$264))</f>
        <v>0</v>
      </c>
      <c r="BB264">
        <f>IF(COUNT($E$2:$E264)&lt;20,"",INTERCEPT($E$165:$E$264,$F$165:$F$264))</f>
        <v>0</v>
      </c>
      <c r="BC264">
        <f>IF(OR(BA264="",BB264=""),"",BB264+BA264*F264)</f>
        <v>0</v>
      </c>
      <c r="BD264">
        <f>IF(COUNT($E$2:$E264)&lt;20,"",STEYX($E$165:$E$264,$F$165:$F$264))</f>
        <v>0</v>
      </c>
      <c r="BE264">
        <f>IF($E264="","",IF(AND(COUNT($E$265:$E$268)&gt;=4,$C264=MAX($C$260:$C$268)),$C264,""))</f>
        <v>0</v>
      </c>
      <c r="BF264">
        <f>IF($E264="","",IF(AND(COUNT($E$265:$E$268)&gt;=4,$D264=MIN($D$260:$D$268)),$D264,""))</f>
        <v>0</v>
      </c>
      <c r="BG264">
        <f>IF($A264="","",$A264-WEEKDAY($A264,2)+1)</f>
        <v>0</v>
      </c>
      <c r="BH264">
        <f>IF($A264="","",IF($A263="",1,IF(BG264&lt;&gt;BG263,1,0)))</f>
        <v>0</v>
      </c>
      <c r="BI264">
        <f>IF($A264="","",IF($A265="",1,IF(BG265&lt;&gt;BG264,1,0)))</f>
        <v>0</v>
      </c>
      <c r="BJ264">
        <f>IF($A264="","",IF(BH264=1,$B264,BJ263))</f>
        <v>0</v>
      </c>
      <c r="BK264">
        <f>IF($A264="","",IF(BH264=1,$C264,MAX($C264,BK263)))</f>
        <v>0</v>
      </c>
      <c r="BL264">
        <f>IF($A264="","",IF(BH264=1,$D264,MIN($D264,BL263)))</f>
        <v>0</v>
      </c>
      <c r="BM264">
        <f>IF($A264="","",IF(BI264=1,F264,""))</f>
        <v>0</v>
      </c>
      <c r="BN264">
        <f>IF($A264="","",DATE(YEAR($A264),MONTH($A264),1))</f>
        <v>0</v>
      </c>
      <c r="BO264">
        <f>IF($A264="","",IF($A263="",1,IF(BN264&lt;&gt;BN263,1,0)))</f>
        <v>0</v>
      </c>
      <c r="BP264">
        <f>IF($A264="","",IF($A265="",1,IF(BN265&lt;&gt;BN264,1,0)))</f>
        <v>0</v>
      </c>
      <c r="BQ264">
        <f>IF($A264="","",IF(BO264=1,$B264,BQ263))</f>
        <v>0</v>
      </c>
      <c r="BR264">
        <f>IF($A264="","",IF(BO264=1,$C264,MAX($C264,BR263)))</f>
        <v>0</v>
      </c>
      <c r="BS264">
        <f>IF($A264="","",IF(BO264=1,$D264,MIN($D264,BS263)))</f>
        <v>0</v>
      </c>
      <c r="BT264">
        <f>IF($A264="","",IF(BP264=1,F264,""))</f>
        <v>0</v>
      </c>
    </row>
    <row r="265" spans="1:72">
      <c r="A265" s="27">
        <f>IF(Data!$A265="","",Data!$A265)</f>
        <v>0</v>
      </c>
      <c r="B265">
        <f>IF(Data!$B265="","",Data!$B265)</f>
        <v>0</v>
      </c>
      <c r="C265">
        <f>IF(Data!$C265="","",Data!$C265)</f>
        <v>0</v>
      </c>
      <c r="D265">
        <f>IF(Data!$D265="","",Data!$D265)</f>
        <v>0</v>
      </c>
      <c r="E265">
        <f>IF(Data!$E265="","",Data!$E265)</f>
        <v>0</v>
      </c>
      <c r="F265">
        <f>IF($E265="","",N(F264)+1)</f>
        <v>0</v>
      </c>
      <c r="G265">
        <f>IF(OR($E265="",$E264=""),"",LN($E265/$E264))</f>
        <v>0</v>
      </c>
      <c r="H265">
        <f>IF($E265="","",IF($E264="",$E265,$E265*0.0952380952+H264*0.9047619048))</f>
        <v>0</v>
      </c>
      <c r="I265">
        <f>IF($E265="","",IF($E264="",$E265,$E265*0.0392156863+I264*0.9607843137))</f>
        <v>0</v>
      </c>
      <c r="J265">
        <f>IF($E265="","",IF($E264="",$E265,$E265*0.0198019802+J264*0.9801980198))</f>
        <v>0</v>
      </c>
      <c r="K265">
        <f>IF($E265="","",IF($E264="",$E265,$E265*0.0099502488+K264*0.9900497512))</f>
        <v>0</v>
      </c>
      <c r="L265">
        <f>IF(OR($E265="",$E264=""),"",MAX($E265-$E264,0))</f>
        <v>0</v>
      </c>
      <c r="M265">
        <f>IF(OR($E265="",$E264=""),"",MAX($E264-$E265,0))</f>
        <v>0</v>
      </c>
      <c r="N265">
        <f>IF(COUNT($E$2:$E265)&lt;15,"",IF(AVERAGE($M$252:$M$265)=0,100,100-100/(1+AVERAGE($L$252:$L$265)/AVERAGE($M$252:$M$265))))</f>
        <v>0</v>
      </c>
      <c r="O265">
        <f>IF($E265="","",IF($E264="",$E265,$E265*0.1538461538+O264*0.8461538462))</f>
        <v>0</v>
      </c>
      <c r="P265">
        <f>IF($E265="","",IF($E264="",$E265,$E265*0.0740740741+P264*0.9259259259))</f>
        <v>0</v>
      </c>
      <c r="Q265">
        <f>IF(OR(O265="",P265=""),"",O265-P265)</f>
        <v>0</v>
      </c>
      <c r="R265">
        <f>IF(Q265="","",IF(R264="",Q265,Q265*0.2000000000+R264*0.8000000000))</f>
        <v>0</v>
      </c>
      <c r="S265">
        <f>IF(OR(Q265="",R265=""),"",Q265-R265)</f>
        <v>0</v>
      </c>
      <c r="T265">
        <f>IF(COUNT($E$2:$E265)&lt;14,"",MAX($C$252:$C$265))</f>
        <v>0</v>
      </c>
      <c r="U265">
        <f>IF(COUNT($E$2:$E265)&lt;14,"",MIN($D$252:$D$265))</f>
        <v>0</v>
      </c>
      <c r="V265">
        <f>IF(OR(T265="",U265="",T265=U265),"",100*($E265-U265)/(T265-U265))</f>
        <v>0</v>
      </c>
      <c r="W265">
        <f>IF(COUNT($V$263:$V$265)&lt;3,"",AVERAGE($V$263:$V$265))</f>
        <v>0</v>
      </c>
      <c r="X265">
        <f>IF(COUNT($N$252:$N$265)&lt;14,"",MIN($N$252:$N$265))</f>
        <v>0</v>
      </c>
      <c r="Y265">
        <f>IF(COUNT($N$252:$N$265)&lt;14,"",MAX($N$252:$N$265))</f>
        <v>0</v>
      </c>
      <c r="Z265">
        <f>IF(OR(N265="",X265="",Y265="",Y265=X265),"",100*(N265-X265)/(Y265-X265))</f>
        <v>0</v>
      </c>
      <c r="AA265">
        <f>IF(COUNT($Z$263:$Z$265)&lt;3,"",AVERAGE($Z$263:$Z$265))</f>
        <v>0</v>
      </c>
      <c r="AB265">
        <f>IF(COUNT($AA$263:$AA$265)&lt;3,"",AVERAGE($AA$263:$AA$265))</f>
        <v>0</v>
      </c>
      <c r="AC265">
        <f>IF($E265="","",MAX($C265-$D265,ABS($C265-$E264),ABS($D265-$E264)))</f>
        <v>0</v>
      </c>
      <c r="AD265">
        <f>IF(COUNT($E$2:$E265)&lt;15,"",AVERAGE($AC$252:$AC$265))</f>
        <v>0</v>
      </c>
      <c r="AE265">
        <f>IF(OR($E265="",$E264=""),"",IF(AND(($C265-$C264)&gt;($D264-$D265),($C265-$C264)&gt;0),$C265-$C264,0))</f>
        <v>0</v>
      </c>
      <c r="AF265">
        <f>IF(OR($E265="",$E264=""),"",IF(AND(($D264-$D265)&gt;($C265-$C264),($D264-$D265)&gt;0),$D264-$D265,0))</f>
        <v>0</v>
      </c>
      <c r="AG265">
        <f>IF(COUNT($E$2:$E265)&lt;15,"",IF(SUM($AC$252:$AC$265)=0,0,100*SUM($AE$252:$AE$265)/SUM($AC$252:$AC$265)))</f>
        <v>0</v>
      </c>
      <c r="AH265">
        <f>IF(COUNT($E$2:$E265)&lt;15,"",IF(SUM($AC$252:$AC$265)=0,0,100*SUM($AF$252:$AF$265)/SUM($AC$252:$AC$265)))</f>
        <v>0</v>
      </c>
      <c r="AI265">
        <f>IF(OR(AG265="",AH265=""),"",IF((AG265+AH265)=0,0,100*ABS(AG265-AH265)/(AG265+AH265)))</f>
        <v>0</v>
      </c>
      <c r="AJ265">
        <f>IF(COUNT($AI$252:$AI$265)&lt;14,"",AVERAGE($AI$252:$AI$265))</f>
        <v>0</v>
      </c>
      <c r="AK265">
        <f>IF(COUNT($E$2:$E265)&lt;20,"",AVERAGE($E$246:$E$265))</f>
        <v>0</v>
      </c>
      <c r="AL265">
        <f>IF(COUNT($E$2:$E265)&lt;20,"",STDEVP($E$246:$E$265))</f>
        <v>0</v>
      </c>
      <c r="AM265">
        <f>IF(AK265="","",AK265+2*AL265)</f>
        <v>0</v>
      </c>
      <c r="AN265">
        <f>IF(AK265="","",AK265-2*AL265)</f>
        <v>0</v>
      </c>
      <c r="AO265">
        <f>IF(OR(AM265="",AN265="",AM265=AN265),"",($E265-AN265)/(AM265-AN265))</f>
        <v>0</v>
      </c>
      <c r="AP265">
        <f>IF(OR(AM265="",AK265="",AK265=0),"",(AM265-AN265)/AK265)</f>
        <v>0</v>
      </c>
      <c r="AQ265">
        <f>IF(COUNT($E$2:$E265)&lt;20,"",MAX($C$246:$C$265))</f>
        <v>0</v>
      </c>
      <c r="AR265">
        <f>IF(COUNT($E$2:$E265)&lt;20,"",MIN($D$246:$D$265))</f>
        <v>0</v>
      </c>
      <c r="AS265">
        <f>IF(OR(AQ265="",AR265=""),"",(AQ265+AR265)/2)</f>
        <v>0</v>
      </c>
      <c r="AT265">
        <f>IF(COUNT($G$246:$G$265)&lt;20,"",STDEV($G$246:$G$265)*SQRT(252))</f>
        <v>0</v>
      </c>
      <c r="AU265">
        <f>IF(COUNT($E$2:$E265)&lt;9,"",(MAX($C$257:$C$265)+MIN($D$257:$D$265))/2)</f>
        <v>0</v>
      </c>
      <c r="AV265">
        <f>IF(COUNT($E$2:$E265)&lt;26,"",(MAX($C$240:$C$265)+MIN($D$240:$D$265))/2)</f>
        <v>0</v>
      </c>
      <c r="AW265">
        <f>IF(OR(AU265="",AV265=""),"",(AU265+AV265)/2)</f>
        <v>0</v>
      </c>
      <c r="AX265">
        <f>IF(COUNT($E$2:$E265)&lt;52,"",(MAX($C$214:$C$265)+MIN($D$214:$D$265))/2)</f>
        <v>0</v>
      </c>
      <c r="AY265">
        <f>IF(COUNT($E$2:$E265)&lt;20,"",MAX($C$166:$C$265))</f>
        <v>0</v>
      </c>
      <c r="AZ265">
        <f>IF(COUNT($E$2:$E265)&lt;20,"",MIN($D$166:$D$265))</f>
        <v>0</v>
      </c>
      <c r="BA265">
        <f>IF(COUNT($E$2:$E265)&lt;20,"",SLOPE($E$166:$E$265,$F$166:$F$265))</f>
        <v>0</v>
      </c>
      <c r="BB265">
        <f>IF(COUNT($E$2:$E265)&lt;20,"",INTERCEPT($E$166:$E$265,$F$166:$F$265))</f>
        <v>0</v>
      </c>
      <c r="BC265">
        <f>IF(OR(BA265="",BB265=""),"",BB265+BA265*F265)</f>
        <v>0</v>
      </c>
      <c r="BD265">
        <f>IF(COUNT($E$2:$E265)&lt;20,"",STEYX($E$166:$E$265,$F$166:$F$265))</f>
        <v>0</v>
      </c>
      <c r="BE265">
        <f>IF($E265="","",IF(AND(COUNT($E$266:$E$269)&gt;=4,$C265=MAX($C$261:$C$269)),$C265,""))</f>
        <v>0</v>
      </c>
      <c r="BF265">
        <f>IF($E265="","",IF(AND(COUNT($E$266:$E$269)&gt;=4,$D265=MIN($D$261:$D$269)),$D265,""))</f>
        <v>0</v>
      </c>
      <c r="BG265">
        <f>IF($A265="","",$A265-WEEKDAY($A265,2)+1)</f>
        <v>0</v>
      </c>
      <c r="BH265">
        <f>IF($A265="","",IF($A264="",1,IF(BG265&lt;&gt;BG264,1,0)))</f>
        <v>0</v>
      </c>
      <c r="BI265">
        <f>IF($A265="","",IF($A266="",1,IF(BG266&lt;&gt;BG265,1,0)))</f>
        <v>0</v>
      </c>
      <c r="BJ265">
        <f>IF($A265="","",IF(BH265=1,$B265,BJ264))</f>
        <v>0</v>
      </c>
      <c r="BK265">
        <f>IF($A265="","",IF(BH265=1,$C265,MAX($C265,BK264)))</f>
        <v>0</v>
      </c>
      <c r="BL265">
        <f>IF($A265="","",IF(BH265=1,$D265,MIN($D265,BL264)))</f>
        <v>0</v>
      </c>
      <c r="BM265">
        <f>IF($A265="","",IF(BI265=1,F265,""))</f>
        <v>0</v>
      </c>
      <c r="BN265">
        <f>IF($A265="","",DATE(YEAR($A265),MONTH($A265),1))</f>
        <v>0</v>
      </c>
      <c r="BO265">
        <f>IF($A265="","",IF($A264="",1,IF(BN265&lt;&gt;BN264,1,0)))</f>
        <v>0</v>
      </c>
      <c r="BP265">
        <f>IF($A265="","",IF($A266="",1,IF(BN266&lt;&gt;BN265,1,0)))</f>
        <v>0</v>
      </c>
      <c r="BQ265">
        <f>IF($A265="","",IF(BO265=1,$B265,BQ264))</f>
        <v>0</v>
      </c>
      <c r="BR265">
        <f>IF($A265="","",IF(BO265=1,$C265,MAX($C265,BR264)))</f>
        <v>0</v>
      </c>
      <c r="BS265">
        <f>IF($A265="","",IF(BO265=1,$D265,MIN($D265,BS264)))</f>
        <v>0</v>
      </c>
      <c r="BT265">
        <f>IF($A265="","",IF(BP265=1,F265,""))</f>
        <v>0</v>
      </c>
    </row>
    <row r="266" spans="1:72">
      <c r="A266" s="27">
        <f>IF(Data!$A266="","",Data!$A266)</f>
        <v>0</v>
      </c>
      <c r="B266">
        <f>IF(Data!$B266="","",Data!$B266)</f>
        <v>0</v>
      </c>
      <c r="C266">
        <f>IF(Data!$C266="","",Data!$C266)</f>
        <v>0</v>
      </c>
      <c r="D266">
        <f>IF(Data!$D266="","",Data!$D266)</f>
        <v>0</v>
      </c>
      <c r="E266">
        <f>IF(Data!$E266="","",Data!$E266)</f>
        <v>0</v>
      </c>
      <c r="F266">
        <f>IF($E266="","",N(F265)+1)</f>
        <v>0</v>
      </c>
      <c r="G266">
        <f>IF(OR($E266="",$E265=""),"",LN($E266/$E265))</f>
        <v>0</v>
      </c>
      <c r="H266">
        <f>IF($E266="","",IF($E265="",$E266,$E266*0.0952380952+H265*0.9047619048))</f>
        <v>0</v>
      </c>
      <c r="I266">
        <f>IF($E266="","",IF($E265="",$E266,$E266*0.0392156863+I265*0.9607843137))</f>
        <v>0</v>
      </c>
      <c r="J266">
        <f>IF($E266="","",IF($E265="",$E266,$E266*0.0198019802+J265*0.9801980198))</f>
        <v>0</v>
      </c>
      <c r="K266">
        <f>IF($E266="","",IF($E265="",$E266,$E266*0.0099502488+K265*0.9900497512))</f>
        <v>0</v>
      </c>
      <c r="L266">
        <f>IF(OR($E266="",$E265=""),"",MAX($E266-$E265,0))</f>
        <v>0</v>
      </c>
      <c r="M266">
        <f>IF(OR($E266="",$E265=""),"",MAX($E265-$E266,0))</f>
        <v>0</v>
      </c>
      <c r="N266">
        <f>IF(COUNT($E$2:$E266)&lt;15,"",IF(AVERAGE($M$253:$M$266)=0,100,100-100/(1+AVERAGE($L$253:$L$266)/AVERAGE($M$253:$M$266))))</f>
        <v>0</v>
      </c>
      <c r="O266">
        <f>IF($E266="","",IF($E265="",$E266,$E266*0.1538461538+O265*0.8461538462))</f>
        <v>0</v>
      </c>
      <c r="P266">
        <f>IF($E266="","",IF($E265="",$E266,$E266*0.0740740741+P265*0.9259259259))</f>
        <v>0</v>
      </c>
      <c r="Q266">
        <f>IF(OR(O266="",P266=""),"",O266-P266)</f>
        <v>0</v>
      </c>
      <c r="R266">
        <f>IF(Q266="","",IF(R265="",Q266,Q266*0.2000000000+R265*0.8000000000))</f>
        <v>0</v>
      </c>
      <c r="S266">
        <f>IF(OR(Q266="",R266=""),"",Q266-R266)</f>
        <v>0</v>
      </c>
      <c r="T266">
        <f>IF(COUNT($E$2:$E266)&lt;14,"",MAX($C$253:$C$266))</f>
        <v>0</v>
      </c>
      <c r="U266">
        <f>IF(COUNT($E$2:$E266)&lt;14,"",MIN($D$253:$D$266))</f>
        <v>0</v>
      </c>
      <c r="V266">
        <f>IF(OR(T266="",U266="",T266=U266),"",100*($E266-U266)/(T266-U266))</f>
        <v>0</v>
      </c>
      <c r="W266">
        <f>IF(COUNT($V$264:$V$266)&lt;3,"",AVERAGE($V$264:$V$266))</f>
        <v>0</v>
      </c>
      <c r="X266">
        <f>IF(COUNT($N$253:$N$266)&lt;14,"",MIN($N$253:$N$266))</f>
        <v>0</v>
      </c>
      <c r="Y266">
        <f>IF(COUNT($N$253:$N$266)&lt;14,"",MAX($N$253:$N$266))</f>
        <v>0</v>
      </c>
      <c r="Z266">
        <f>IF(OR(N266="",X266="",Y266="",Y266=X266),"",100*(N266-X266)/(Y266-X266))</f>
        <v>0</v>
      </c>
      <c r="AA266">
        <f>IF(COUNT($Z$264:$Z$266)&lt;3,"",AVERAGE($Z$264:$Z$266))</f>
        <v>0</v>
      </c>
      <c r="AB266">
        <f>IF(COUNT($AA$264:$AA$266)&lt;3,"",AVERAGE($AA$264:$AA$266))</f>
        <v>0</v>
      </c>
      <c r="AC266">
        <f>IF($E266="","",MAX($C266-$D266,ABS($C266-$E265),ABS($D266-$E265)))</f>
        <v>0</v>
      </c>
      <c r="AD266">
        <f>IF(COUNT($E$2:$E266)&lt;15,"",AVERAGE($AC$253:$AC$266))</f>
        <v>0</v>
      </c>
      <c r="AE266">
        <f>IF(OR($E266="",$E265=""),"",IF(AND(($C266-$C265)&gt;($D265-$D266),($C266-$C265)&gt;0),$C266-$C265,0))</f>
        <v>0</v>
      </c>
      <c r="AF266">
        <f>IF(OR($E266="",$E265=""),"",IF(AND(($D265-$D266)&gt;($C266-$C265),($D265-$D266)&gt;0),$D265-$D266,0))</f>
        <v>0</v>
      </c>
      <c r="AG266">
        <f>IF(COUNT($E$2:$E266)&lt;15,"",IF(SUM($AC$253:$AC$266)=0,0,100*SUM($AE$253:$AE$266)/SUM($AC$253:$AC$266)))</f>
        <v>0</v>
      </c>
      <c r="AH266">
        <f>IF(COUNT($E$2:$E266)&lt;15,"",IF(SUM($AC$253:$AC$266)=0,0,100*SUM($AF$253:$AF$266)/SUM($AC$253:$AC$266)))</f>
        <v>0</v>
      </c>
      <c r="AI266">
        <f>IF(OR(AG266="",AH266=""),"",IF((AG266+AH266)=0,0,100*ABS(AG266-AH266)/(AG266+AH266)))</f>
        <v>0</v>
      </c>
      <c r="AJ266">
        <f>IF(COUNT($AI$253:$AI$266)&lt;14,"",AVERAGE($AI$253:$AI$266))</f>
        <v>0</v>
      </c>
      <c r="AK266">
        <f>IF(COUNT($E$2:$E266)&lt;20,"",AVERAGE($E$247:$E$266))</f>
        <v>0</v>
      </c>
      <c r="AL266">
        <f>IF(COUNT($E$2:$E266)&lt;20,"",STDEVP($E$247:$E$266))</f>
        <v>0</v>
      </c>
      <c r="AM266">
        <f>IF(AK266="","",AK266+2*AL266)</f>
        <v>0</v>
      </c>
      <c r="AN266">
        <f>IF(AK266="","",AK266-2*AL266)</f>
        <v>0</v>
      </c>
      <c r="AO266">
        <f>IF(OR(AM266="",AN266="",AM266=AN266),"",($E266-AN266)/(AM266-AN266))</f>
        <v>0</v>
      </c>
      <c r="AP266">
        <f>IF(OR(AM266="",AK266="",AK266=0),"",(AM266-AN266)/AK266)</f>
        <v>0</v>
      </c>
      <c r="AQ266">
        <f>IF(COUNT($E$2:$E266)&lt;20,"",MAX($C$247:$C$266))</f>
        <v>0</v>
      </c>
      <c r="AR266">
        <f>IF(COUNT($E$2:$E266)&lt;20,"",MIN($D$247:$D$266))</f>
        <v>0</v>
      </c>
      <c r="AS266">
        <f>IF(OR(AQ266="",AR266=""),"",(AQ266+AR266)/2)</f>
        <v>0</v>
      </c>
      <c r="AT266">
        <f>IF(COUNT($G$247:$G$266)&lt;20,"",STDEV($G$247:$G$266)*SQRT(252))</f>
        <v>0</v>
      </c>
      <c r="AU266">
        <f>IF(COUNT($E$2:$E266)&lt;9,"",(MAX($C$258:$C$266)+MIN($D$258:$D$266))/2)</f>
        <v>0</v>
      </c>
      <c r="AV266">
        <f>IF(COUNT($E$2:$E266)&lt;26,"",(MAX($C$241:$C$266)+MIN($D$241:$D$266))/2)</f>
        <v>0</v>
      </c>
      <c r="AW266">
        <f>IF(OR(AU266="",AV266=""),"",(AU266+AV266)/2)</f>
        <v>0</v>
      </c>
      <c r="AX266">
        <f>IF(COUNT($E$2:$E266)&lt;52,"",(MAX($C$215:$C$266)+MIN($D$215:$D$266))/2)</f>
        <v>0</v>
      </c>
      <c r="AY266">
        <f>IF(COUNT($E$2:$E266)&lt;20,"",MAX($C$167:$C$266))</f>
        <v>0</v>
      </c>
      <c r="AZ266">
        <f>IF(COUNT($E$2:$E266)&lt;20,"",MIN($D$167:$D$266))</f>
        <v>0</v>
      </c>
      <c r="BA266">
        <f>IF(COUNT($E$2:$E266)&lt;20,"",SLOPE($E$167:$E$266,$F$167:$F$266))</f>
        <v>0</v>
      </c>
      <c r="BB266">
        <f>IF(COUNT($E$2:$E266)&lt;20,"",INTERCEPT($E$167:$E$266,$F$167:$F$266))</f>
        <v>0</v>
      </c>
      <c r="BC266">
        <f>IF(OR(BA266="",BB266=""),"",BB266+BA266*F266)</f>
        <v>0</v>
      </c>
      <c r="BD266">
        <f>IF(COUNT($E$2:$E266)&lt;20,"",STEYX($E$167:$E$266,$F$167:$F$266))</f>
        <v>0</v>
      </c>
      <c r="BE266">
        <f>IF($E266="","",IF(AND(COUNT($E$267:$E$270)&gt;=4,$C266=MAX($C$262:$C$270)),$C266,""))</f>
        <v>0</v>
      </c>
      <c r="BF266">
        <f>IF($E266="","",IF(AND(COUNT($E$267:$E$270)&gt;=4,$D266=MIN($D$262:$D$270)),$D266,""))</f>
        <v>0</v>
      </c>
      <c r="BG266">
        <f>IF($A266="","",$A266-WEEKDAY($A266,2)+1)</f>
        <v>0</v>
      </c>
      <c r="BH266">
        <f>IF($A266="","",IF($A265="",1,IF(BG266&lt;&gt;BG265,1,0)))</f>
        <v>0</v>
      </c>
      <c r="BI266">
        <f>IF($A266="","",IF($A267="",1,IF(BG267&lt;&gt;BG266,1,0)))</f>
        <v>0</v>
      </c>
      <c r="BJ266">
        <f>IF($A266="","",IF(BH266=1,$B266,BJ265))</f>
        <v>0</v>
      </c>
      <c r="BK266">
        <f>IF($A266="","",IF(BH266=1,$C266,MAX($C266,BK265)))</f>
        <v>0</v>
      </c>
      <c r="BL266">
        <f>IF($A266="","",IF(BH266=1,$D266,MIN($D266,BL265)))</f>
        <v>0</v>
      </c>
      <c r="BM266">
        <f>IF($A266="","",IF(BI266=1,F266,""))</f>
        <v>0</v>
      </c>
      <c r="BN266">
        <f>IF($A266="","",DATE(YEAR($A266),MONTH($A266),1))</f>
        <v>0</v>
      </c>
      <c r="BO266">
        <f>IF($A266="","",IF($A265="",1,IF(BN266&lt;&gt;BN265,1,0)))</f>
        <v>0</v>
      </c>
      <c r="BP266">
        <f>IF($A266="","",IF($A267="",1,IF(BN267&lt;&gt;BN266,1,0)))</f>
        <v>0</v>
      </c>
      <c r="BQ266">
        <f>IF($A266="","",IF(BO266=1,$B266,BQ265))</f>
        <v>0</v>
      </c>
      <c r="BR266">
        <f>IF($A266="","",IF(BO266=1,$C266,MAX($C266,BR265)))</f>
        <v>0</v>
      </c>
      <c r="BS266">
        <f>IF($A266="","",IF(BO266=1,$D266,MIN($D266,BS265)))</f>
        <v>0</v>
      </c>
      <c r="BT266">
        <f>IF($A266="","",IF(BP266=1,F266,""))</f>
        <v>0</v>
      </c>
    </row>
    <row r="267" spans="1:72">
      <c r="A267" s="27">
        <f>IF(Data!$A267="","",Data!$A267)</f>
        <v>0</v>
      </c>
      <c r="B267">
        <f>IF(Data!$B267="","",Data!$B267)</f>
        <v>0</v>
      </c>
      <c r="C267">
        <f>IF(Data!$C267="","",Data!$C267)</f>
        <v>0</v>
      </c>
      <c r="D267">
        <f>IF(Data!$D267="","",Data!$D267)</f>
        <v>0</v>
      </c>
      <c r="E267">
        <f>IF(Data!$E267="","",Data!$E267)</f>
        <v>0</v>
      </c>
      <c r="F267">
        <f>IF($E267="","",N(F266)+1)</f>
        <v>0</v>
      </c>
      <c r="G267">
        <f>IF(OR($E267="",$E266=""),"",LN($E267/$E266))</f>
        <v>0</v>
      </c>
      <c r="H267">
        <f>IF($E267="","",IF($E266="",$E267,$E267*0.0952380952+H266*0.9047619048))</f>
        <v>0</v>
      </c>
      <c r="I267">
        <f>IF($E267="","",IF($E266="",$E267,$E267*0.0392156863+I266*0.9607843137))</f>
        <v>0</v>
      </c>
      <c r="J267">
        <f>IF($E267="","",IF($E266="",$E267,$E267*0.0198019802+J266*0.9801980198))</f>
        <v>0</v>
      </c>
      <c r="K267">
        <f>IF($E267="","",IF($E266="",$E267,$E267*0.0099502488+K266*0.9900497512))</f>
        <v>0</v>
      </c>
      <c r="L267">
        <f>IF(OR($E267="",$E266=""),"",MAX($E267-$E266,0))</f>
        <v>0</v>
      </c>
      <c r="M267">
        <f>IF(OR($E267="",$E266=""),"",MAX($E266-$E267,0))</f>
        <v>0</v>
      </c>
      <c r="N267">
        <f>IF(COUNT($E$2:$E267)&lt;15,"",IF(AVERAGE($M$254:$M$267)=0,100,100-100/(1+AVERAGE($L$254:$L$267)/AVERAGE($M$254:$M$267))))</f>
        <v>0</v>
      </c>
      <c r="O267">
        <f>IF($E267="","",IF($E266="",$E267,$E267*0.1538461538+O266*0.8461538462))</f>
        <v>0</v>
      </c>
      <c r="P267">
        <f>IF($E267="","",IF($E266="",$E267,$E267*0.0740740741+P266*0.9259259259))</f>
        <v>0</v>
      </c>
      <c r="Q267">
        <f>IF(OR(O267="",P267=""),"",O267-P267)</f>
        <v>0</v>
      </c>
      <c r="R267">
        <f>IF(Q267="","",IF(R266="",Q267,Q267*0.2000000000+R266*0.8000000000))</f>
        <v>0</v>
      </c>
      <c r="S267">
        <f>IF(OR(Q267="",R267=""),"",Q267-R267)</f>
        <v>0</v>
      </c>
      <c r="T267">
        <f>IF(COUNT($E$2:$E267)&lt;14,"",MAX($C$254:$C$267))</f>
        <v>0</v>
      </c>
      <c r="U267">
        <f>IF(COUNT($E$2:$E267)&lt;14,"",MIN($D$254:$D$267))</f>
        <v>0</v>
      </c>
      <c r="V267">
        <f>IF(OR(T267="",U267="",T267=U267),"",100*($E267-U267)/(T267-U267))</f>
        <v>0</v>
      </c>
      <c r="W267">
        <f>IF(COUNT($V$265:$V$267)&lt;3,"",AVERAGE($V$265:$V$267))</f>
        <v>0</v>
      </c>
      <c r="X267">
        <f>IF(COUNT($N$254:$N$267)&lt;14,"",MIN($N$254:$N$267))</f>
        <v>0</v>
      </c>
      <c r="Y267">
        <f>IF(COUNT($N$254:$N$267)&lt;14,"",MAX($N$254:$N$267))</f>
        <v>0</v>
      </c>
      <c r="Z267">
        <f>IF(OR(N267="",X267="",Y267="",Y267=X267),"",100*(N267-X267)/(Y267-X267))</f>
        <v>0</v>
      </c>
      <c r="AA267">
        <f>IF(COUNT($Z$265:$Z$267)&lt;3,"",AVERAGE($Z$265:$Z$267))</f>
        <v>0</v>
      </c>
      <c r="AB267">
        <f>IF(COUNT($AA$265:$AA$267)&lt;3,"",AVERAGE($AA$265:$AA$267))</f>
        <v>0</v>
      </c>
      <c r="AC267">
        <f>IF($E267="","",MAX($C267-$D267,ABS($C267-$E266),ABS($D267-$E266)))</f>
        <v>0</v>
      </c>
      <c r="AD267">
        <f>IF(COUNT($E$2:$E267)&lt;15,"",AVERAGE($AC$254:$AC$267))</f>
        <v>0</v>
      </c>
      <c r="AE267">
        <f>IF(OR($E267="",$E266=""),"",IF(AND(($C267-$C266)&gt;($D266-$D267),($C267-$C266)&gt;0),$C267-$C266,0))</f>
        <v>0</v>
      </c>
      <c r="AF267">
        <f>IF(OR($E267="",$E266=""),"",IF(AND(($D266-$D267)&gt;($C267-$C266),($D266-$D267)&gt;0),$D266-$D267,0))</f>
        <v>0</v>
      </c>
      <c r="AG267">
        <f>IF(COUNT($E$2:$E267)&lt;15,"",IF(SUM($AC$254:$AC$267)=0,0,100*SUM($AE$254:$AE$267)/SUM($AC$254:$AC$267)))</f>
        <v>0</v>
      </c>
      <c r="AH267">
        <f>IF(COUNT($E$2:$E267)&lt;15,"",IF(SUM($AC$254:$AC$267)=0,0,100*SUM($AF$254:$AF$267)/SUM($AC$254:$AC$267)))</f>
        <v>0</v>
      </c>
      <c r="AI267">
        <f>IF(OR(AG267="",AH267=""),"",IF((AG267+AH267)=0,0,100*ABS(AG267-AH267)/(AG267+AH267)))</f>
        <v>0</v>
      </c>
      <c r="AJ267">
        <f>IF(COUNT($AI$254:$AI$267)&lt;14,"",AVERAGE($AI$254:$AI$267))</f>
        <v>0</v>
      </c>
      <c r="AK267">
        <f>IF(COUNT($E$2:$E267)&lt;20,"",AVERAGE($E$248:$E$267))</f>
        <v>0</v>
      </c>
      <c r="AL267">
        <f>IF(COUNT($E$2:$E267)&lt;20,"",STDEVP($E$248:$E$267))</f>
        <v>0</v>
      </c>
      <c r="AM267">
        <f>IF(AK267="","",AK267+2*AL267)</f>
        <v>0</v>
      </c>
      <c r="AN267">
        <f>IF(AK267="","",AK267-2*AL267)</f>
        <v>0</v>
      </c>
      <c r="AO267">
        <f>IF(OR(AM267="",AN267="",AM267=AN267),"",($E267-AN267)/(AM267-AN267))</f>
        <v>0</v>
      </c>
      <c r="AP267">
        <f>IF(OR(AM267="",AK267="",AK267=0),"",(AM267-AN267)/AK267)</f>
        <v>0</v>
      </c>
      <c r="AQ267">
        <f>IF(COUNT($E$2:$E267)&lt;20,"",MAX($C$248:$C$267))</f>
        <v>0</v>
      </c>
      <c r="AR267">
        <f>IF(COUNT($E$2:$E267)&lt;20,"",MIN($D$248:$D$267))</f>
        <v>0</v>
      </c>
      <c r="AS267">
        <f>IF(OR(AQ267="",AR267=""),"",(AQ267+AR267)/2)</f>
        <v>0</v>
      </c>
      <c r="AT267">
        <f>IF(COUNT($G$248:$G$267)&lt;20,"",STDEV($G$248:$G$267)*SQRT(252))</f>
        <v>0</v>
      </c>
      <c r="AU267">
        <f>IF(COUNT($E$2:$E267)&lt;9,"",(MAX($C$259:$C$267)+MIN($D$259:$D$267))/2)</f>
        <v>0</v>
      </c>
      <c r="AV267">
        <f>IF(COUNT($E$2:$E267)&lt;26,"",(MAX($C$242:$C$267)+MIN($D$242:$D$267))/2)</f>
        <v>0</v>
      </c>
      <c r="AW267">
        <f>IF(OR(AU267="",AV267=""),"",(AU267+AV267)/2)</f>
        <v>0</v>
      </c>
      <c r="AX267">
        <f>IF(COUNT($E$2:$E267)&lt;52,"",(MAX($C$216:$C$267)+MIN($D$216:$D$267))/2)</f>
        <v>0</v>
      </c>
      <c r="AY267">
        <f>IF(COUNT($E$2:$E267)&lt;20,"",MAX($C$168:$C$267))</f>
        <v>0</v>
      </c>
      <c r="AZ267">
        <f>IF(COUNT($E$2:$E267)&lt;20,"",MIN($D$168:$D$267))</f>
        <v>0</v>
      </c>
      <c r="BA267">
        <f>IF(COUNT($E$2:$E267)&lt;20,"",SLOPE($E$168:$E$267,$F$168:$F$267))</f>
        <v>0</v>
      </c>
      <c r="BB267">
        <f>IF(COUNT($E$2:$E267)&lt;20,"",INTERCEPT($E$168:$E$267,$F$168:$F$267))</f>
        <v>0</v>
      </c>
      <c r="BC267">
        <f>IF(OR(BA267="",BB267=""),"",BB267+BA267*F267)</f>
        <v>0</v>
      </c>
      <c r="BD267">
        <f>IF(COUNT($E$2:$E267)&lt;20,"",STEYX($E$168:$E$267,$F$168:$F$267))</f>
        <v>0</v>
      </c>
      <c r="BE267">
        <f>IF($E267="","",IF(AND(COUNT($E$268:$E$271)&gt;=4,$C267=MAX($C$263:$C$271)),$C267,""))</f>
        <v>0</v>
      </c>
      <c r="BF267">
        <f>IF($E267="","",IF(AND(COUNT($E$268:$E$271)&gt;=4,$D267=MIN($D$263:$D$271)),$D267,""))</f>
        <v>0</v>
      </c>
      <c r="BG267">
        <f>IF($A267="","",$A267-WEEKDAY($A267,2)+1)</f>
        <v>0</v>
      </c>
      <c r="BH267">
        <f>IF($A267="","",IF($A266="",1,IF(BG267&lt;&gt;BG266,1,0)))</f>
        <v>0</v>
      </c>
      <c r="BI267">
        <f>IF($A267="","",IF($A268="",1,IF(BG268&lt;&gt;BG267,1,0)))</f>
        <v>0</v>
      </c>
      <c r="BJ267">
        <f>IF($A267="","",IF(BH267=1,$B267,BJ266))</f>
        <v>0</v>
      </c>
      <c r="BK267">
        <f>IF($A267="","",IF(BH267=1,$C267,MAX($C267,BK266)))</f>
        <v>0</v>
      </c>
      <c r="BL267">
        <f>IF($A267="","",IF(BH267=1,$D267,MIN($D267,BL266)))</f>
        <v>0</v>
      </c>
      <c r="BM267">
        <f>IF($A267="","",IF(BI267=1,F267,""))</f>
        <v>0</v>
      </c>
      <c r="BN267">
        <f>IF($A267="","",DATE(YEAR($A267),MONTH($A267),1))</f>
        <v>0</v>
      </c>
      <c r="BO267">
        <f>IF($A267="","",IF($A266="",1,IF(BN267&lt;&gt;BN266,1,0)))</f>
        <v>0</v>
      </c>
      <c r="BP267">
        <f>IF($A267="","",IF($A268="",1,IF(BN268&lt;&gt;BN267,1,0)))</f>
        <v>0</v>
      </c>
      <c r="BQ267">
        <f>IF($A267="","",IF(BO267=1,$B267,BQ266))</f>
        <v>0</v>
      </c>
      <c r="BR267">
        <f>IF($A267="","",IF(BO267=1,$C267,MAX($C267,BR266)))</f>
        <v>0</v>
      </c>
      <c r="BS267">
        <f>IF($A267="","",IF(BO267=1,$D267,MIN($D267,BS266)))</f>
        <v>0</v>
      </c>
      <c r="BT267">
        <f>IF($A267="","",IF(BP267=1,F267,""))</f>
        <v>0</v>
      </c>
    </row>
    <row r="268" spans="1:72">
      <c r="A268" s="27">
        <f>IF(Data!$A268="","",Data!$A268)</f>
        <v>0</v>
      </c>
      <c r="B268">
        <f>IF(Data!$B268="","",Data!$B268)</f>
        <v>0</v>
      </c>
      <c r="C268">
        <f>IF(Data!$C268="","",Data!$C268)</f>
        <v>0</v>
      </c>
      <c r="D268">
        <f>IF(Data!$D268="","",Data!$D268)</f>
        <v>0</v>
      </c>
      <c r="E268">
        <f>IF(Data!$E268="","",Data!$E268)</f>
        <v>0</v>
      </c>
      <c r="F268">
        <f>IF($E268="","",N(F267)+1)</f>
        <v>0</v>
      </c>
      <c r="G268">
        <f>IF(OR($E268="",$E267=""),"",LN($E268/$E267))</f>
        <v>0</v>
      </c>
      <c r="H268">
        <f>IF($E268="","",IF($E267="",$E268,$E268*0.0952380952+H267*0.9047619048))</f>
        <v>0</v>
      </c>
      <c r="I268">
        <f>IF($E268="","",IF($E267="",$E268,$E268*0.0392156863+I267*0.9607843137))</f>
        <v>0</v>
      </c>
      <c r="J268">
        <f>IF($E268="","",IF($E267="",$E268,$E268*0.0198019802+J267*0.9801980198))</f>
        <v>0</v>
      </c>
      <c r="K268">
        <f>IF($E268="","",IF($E267="",$E268,$E268*0.0099502488+K267*0.9900497512))</f>
        <v>0</v>
      </c>
      <c r="L268">
        <f>IF(OR($E268="",$E267=""),"",MAX($E268-$E267,0))</f>
        <v>0</v>
      </c>
      <c r="M268">
        <f>IF(OR($E268="",$E267=""),"",MAX($E267-$E268,0))</f>
        <v>0</v>
      </c>
      <c r="N268">
        <f>IF(COUNT($E$2:$E268)&lt;15,"",IF(AVERAGE($M$255:$M$268)=0,100,100-100/(1+AVERAGE($L$255:$L$268)/AVERAGE($M$255:$M$268))))</f>
        <v>0</v>
      </c>
      <c r="O268">
        <f>IF($E268="","",IF($E267="",$E268,$E268*0.1538461538+O267*0.8461538462))</f>
        <v>0</v>
      </c>
      <c r="P268">
        <f>IF($E268="","",IF($E267="",$E268,$E268*0.0740740741+P267*0.9259259259))</f>
        <v>0</v>
      </c>
      <c r="Q268">
        <f>IF(OR(O268="",P268=""),"",O268-P268)</f>
        <v>0</v>
      </c>
      <c r="R268">
        <f>IF(Q268="","",IF(R267="",Q268,Q268*0.2000000000+R267*0.8000000000))</f>
        <v>0</v>
      </c>
      <c r="S268">
        <f>IF(OR(Q268="",R268=""),"",Q268-R268)</f>
        <v>0</v>
      </c>
      <c r="T268">
        <f>IF(COUNT($E$2:$E268)&lt;14,"",MAX($C$255:$C$268))</f>
        <v>0</v>
      </c>
      <c r="U268">
        <f>IF(COUNT($E$2:$E268)&lt;14,"",MIN($D$255:$D$268))</f>
        <v>0</v>
      </c>
      <c r="V268">
        <f>IF(OR(T268="",U268="",T268=U268),"",100*($E268-U268)/(T268-U268))</f>
        <v>0</v>
      </c>
      <c r="W268">
        <f>IF(COUNT($V$266:$V$268)&lt;3,"",AVERAGE($V$266:$V$268))</f>
        <v>0</v>
      </c>
      <c r="X268">
        <f>IF(COUNT($N$255:$N$268)&lt;14,"",MIN($N$255:$N$268))</f>
        <v>0</v>
      </c>
      <c r="Y268">
        <f>IF(COUNT($N$255:$N$268)&lt;14,"",MAX($N$255:$N$268))</f>
        <v>0</v>
      </c>
      <c r="Z268">
        <f>IF(OR(N268="",X268="",Y268="",Y268=X268),"",100*(N268-X268)/(Y268-X268))</f>
        <v>0</v>
      </c>
      <c r="AA268">
        <f>IF(COUNT($Z$266:$Z$268)&lt;3,"",AVERAGE($Z$266:$Z$268))</f>
        <v>0</v>
      </c>
      <c r="AB268">
        <f>IF(COUNT($AA$266:$AA$268)&lt;3,"",AVERAGE($AA$266:$AA$268))</f>
        <v>0</v>
      </c>
      <c r="AC268">
        <f>IF($E268="","",MAX($C268-$D268,ABS($C268-$E267),ABS($D268-$E267)))</f>
        <v>0</v>
      </c>
      <c r="AD268">
        <f>IF(COUNT($E$2:$E268)&lt;15,"",AVERAGE($AC$255:$AC$268))</f>
        <v>0</v>
      </c>
      <c r="AE268">
        <f>IF(OR($E268="",$E267=""),"",IF(AND(($C268-$C267)&gt;($D267-$D268),($C268-$C267)&gt;0),$C268-$C267,0))</f>
        <v>0</v>
      </c>
      <c r="AF268">
        <f>IF(OR($E268="",$E267=""),"",IF(AND(($D267-$D268)&gt;($C268-$C267),($D267-$D268)&gt;0),$D267-$D268,0))</f>
        <v>0</v>
      </c>
      <c r="AG268">
        <f>IF(COUNT($E$2:$E268)&lt;15,"",IF(SUM($AC$255:$AC$268)=0,0,100*SUM($AE$255:$AE$268)/SUM($AC$255:$AC$268)))</f>
        <v>0</v>
      </c>
      <c r="AH268">
        <f>IF(COUNT($E$2:$E268)&lt;15,"",IF(SUM($AC$255:$AC$268)=0,0,100*SUM($AF$255:$AF$268)/SUM($AC$255:$AC$268)))</f>
        <v>0</v>
      </c>
      <c r="AI268">
        <f>IF(OR(AG268="",AH268=""),"",IF((AG268+AH268)=0,0,100*ABS(AG268-AH268)/(AG268+AH268)))</f>
        <v>0</v>
      </c>
      <c r="AJ268">
        <f>IF(COUNT($AI$255:$AI$268)&lt;14,"",AVERAGE($AI$255:$AI$268))</f>
        <v>0</v>
      </c>
      <c r="AK268">
        <f>IF(COUNT($E$2:$E268)&lt;20,"",AVERAGE($E$249:$E$268))</f>
        <v>0</v>
      </c>
      <c r="AL268">
        <f>IF(COUNT($E$2:$E268)&lt;20,"",STDEVP($E$249:$E$268))</f>
        <v>0</v>
      </c>
      <c r="AM268">
        <f>IF(AK268="","",AK268+2*AL268)</f>
        <v>0</v>
      </c>
      <c r="AN268">
        <f>IF(AK268="","",AK268-2*AL268)</f>
        <v>0</v>
      </c>
      <c r="AO268">
        <f>IF(OR(AM268="",AN268="",AM268=AN268),"",($E268-AN268)/(AM268-AN268))</f>
        <v>0</v>
      </c>
      <c r="AP268">
        <f>IF(OR(AM268="",AK268="",AK268=0),"",(AM268-AN268)/AK268)</f>
        <v>0</v>
      </c>
      <c r="AQ268">
        <f>IF(COUNT($E$2:$E268)&lt;20,"",MAX($C$249:$C$268))</f>
        <v>0</v>
      </c>
      <c r="AR268">
        <f>IF(COUNT($E$2:$E268)&lt;20,"",MIN($D$249:$D$268))</f>
        <v>0</v>
      </c>
      <c r="AS268">
        <f>IF(OR(AQ268="",AR268=""),"",(AQ268+AR268)/2)</f>
        <v>0</v>
      </c>
      <c r="AT268">
        <f>IF(COUNT($G$249:$G$268)&lt;20,"",STDEV($G$249:$G$268)*SQRT(252))</f>
        <v>0</v>
      </c>
      <c r="AU268">
        <f>IF(COUNT($E$2:$E268)&lt;9,"",(MAX($C$260:$C$268)+MIN($D$260:$D$268))/2)</f>
        <v>0</v>
      </c>
      <c r="AV268">
        <f>IF(COUNT($E$2:$E268)&lt;26,"",(MAX($C$243:$C$268)+MIN($D$243:$D$268))/2)</f>
        <v>0</v>
      </c>
      <c r="AW268">
        <f>IF(OR(AU268="",AV268=""),"",(AU268+AV268)/2)</f>
        <v>0</v>
      </c>
      <c r="AX268">
        <f>IF(COUNT($E$2:$E268)&lt;52,"",(MAX($C$217:$C$268)+MIN($D$217:$D$268))/2)</f>
        <v>0</v>
      </c>
      <c r="AY268">
        <f>IF(COUNT($E$2:$E268)&lt;20,"",MAX($C$169:$C$268))</f>
        <v>0</v>
      </c>
      <c r="AZ268">
        <f>IF(COUNT($E$2:$E268)&lt;20,"",MIN($D$169:$D$268))</f>
        <v>0</v>
      </c>
      <c r="BA268">
        <f>IF(COUNT($E$2:$E268)&lt;20,"",SLOPE($E$169:$E$268,$F$169:$F$268))</f>
        <v>0</v>
      </c>
      <c r="BB268">
        <f>IF(COUNT($E$2:$E268)&lt;20,"",INTERCEPT($E$169:$E$268,$F$169:$F$268))</f>
        <v>0</v>
      </c>
      <c r="BC268">
        <f>IF(OR(BA268="",BB268=""),"",BB268+BA268*F268)</f>
        <v>0</v>
      </c>
      <c r="BD268">
        <f>IF(COUNT($E$2:$E268)&lt;20,"",STEYX($E$169:$E$268,$F$169:$F$268))</f>
        <v>0</v>
      </c>
      <c r="BE268">
        <f>IF($E268="","",IF(AND(COUNT($E$269:$E$272)&gt;=4,$C268=MAX($C$264:$C$272)),$C268,""))</f>
        <v>0</v>
      </c>
      <c r="BF268">
        <f>IF($E268="","",IF(AND(COUNT($E$269:$E$272)&gt;=4,$D268=MIN($D$264:$D$272)),$D268,""))</f>
        <v>0</v>
      </c>
      <c r="BG268">
        <f>IF($A268="","",$A268-WEEKDAY($A268,2)+1)</f>
        <v>0</v>
      </c>
      <c r="BH268">
        <f>IF($A268="","",IF($A267="",1,IF(BG268&lt;&gt;BG267,1,0)))</f>
        <v>0</v>
      </c>
      <c r="BI268">
        <f>IF($A268="","",IF($A269="",1,IF(BG269&lt;&gt;BG268,1,0)))</f>
        <v>0</v>
      </c>
      <c r="BJ268">
        <f>IF($A268="","",IF(BH268=1,$B268,BJ267))</f>
        <v>0</v>
      </c>
      <c r="BK268">
        <f>IF($A268="","",IF(BH268=1,$C268,MAX($C268,BK267)))</f>
        <v>0</v>
      </c>
      <c r="BL268">
        <f>IF($A268="","",IF(BH268=1,$D268,MIN($D268,BL267)))</f>
        <v>0</v>
      </c>
      <c r="BM268">
        <f>IF($A268="","",IF(BI268=1,F268,""))</f>
        <v>0</v>
      </c>
      <c r="BN268">
        <f>IF($A268="","",DATE(YEAR($A268),MONTH($A268),1))</f>
        <v>0</v>
      </c>
      <c r="BO268">
        <f>IF($A268="","",IF($A267="",1,IF(BN268&lt;&gt;BN267,1,0)))</f>
        <v>0</v>
      </c>
      <c r="BP268">
        <f>IF($A268="","",IF($A269="",1,IF(BN269&lt;&gt;BN268,1,0)))</f>
        <v>0</v>
      </c>
      <c r="BQ268">
        <f>IF($A268="","",IF(BO268=1,$B268,BQ267))</f>
        <v>0</v>
      </c>
      <c r="BR268">
        <f>IF($A268="","",IF(BO268=1,$C268,MAX($C268,BR267)))</f>
        <v>0</v>
      </c>
      <c r="BS268">
        <f>IF($A268="","",IF(BO268=1,$D268,MIN($D268,BS267)))</f>
        <v>0</v>
      </c>
      <c r="BT268">
        <f>IF($A268="","",IF(BP268=1,F268,""))</f>
        <v>0</v>
      </c>
    </row>
    <row r="269" spans="1:72">
      <c r="A269" s="27">
        <f>IF(Data!$A269="","",Data!$A269)</f>
        <v>0</v>
      </c>
      <c r="B269">
        <f>IF(Data!$B269="","",Data!$B269)</f>
        <v>0</v>
      </c>
      <c r="C269">
        <f>IF(Data!$C269="","",Data!$C269)</f>
        <v>0</v>
      </c>
      <c r="D269">
        <f>IF(Data!$D269="","",Data!$D269)</f>
        <v>0</v>
      </c>
      <c r="E269">
        <f>IF(Data!$E269="","",Data!$E269)</f>
        <v>0</v>
      </c>
      <c r="F269">
        <f>IF($E269="","",N(F268)+1)</f>
        <v>0</v>
      </c>
      <c r="G269">
        <f>IF(OR($E269="",$E268=""),"",LN($E269/$E268))</f>
        <v>0</v>
      </c>
      <c r="H269">
        <f>IF($E269="","",IF($E268="",$E269,$E269*0.0952380952+H268*0.9047619048))</f>
        <v>0</v>
      </c>
      <c r="I269">
        <f>IF($E269="","",IF($E268="",$E269,$E269*0.0392156863+I268*0.9607843137))</f>
        <v>0</v>
      </c>
      <c r="J269">
        <f>IF($E269="","",IF($E268="",$E269,$E269*0.0198019802+J268*0.9801980198))</f>
        <v>0</v>
      </c>
      <c r="K269">
        <f>IF($E269="","",IF($E268="",$E269,$E269*0.0099502488+K268*0.9900497512))</f>
        <v>0</v>
      </c>
      <c r="L269">
        <f>IF(OR($E269="",$E268=""),"",MAX($E269-$E268,0))</f>
        <v>0</v>
      </c>
      <c r="M269">
        <f>IF(OR($E269="",$E268=""),"",MAX($E268-$E269,0))</f>
        <v>0</v>
      </c>
      <c r="N269">
        <f>IF(COUNT($E$2:$E269)&lt;15,"",IF(AVERAGE($M$256:$M$269)=0,100,100-100/(1+AVERAGE($L$256:$L$269)/AVERAGE($M$256:$M$269))))</f>
        <v>0</v>
      </c>
      <c r="O269">
        <f>IF($E269="","",IF($E268="",$E269,$E269*0.1538461538+O268*0.8461538462))</f>
        <v>0</v>
      </c>
      <c r="P269">
        <f>IF($E269="","",IF($E268="",$E269,$E269*0.0740740741+P268*0.9259259259))</f>
        <v>0</v>
      </c>
      <c r="Q269">
        <f>IF(OR(O269="",P269=""),"",O269-P269)</f>
        <v>0</v>
      </c>
      <c r="R269">
        <f>IF(Q269="","",IF(R268="",Q269,Q269*0.2000000000+R268*0.8000000000))</f>
        <v>0</v>
      </c>
      <c r="S269">
        <f>IF(OR(Q269="",R269=""),"",Q269-R269)</f>
        <v>0</v>
      </c>
      <c r="T269">
        <f>IF(COUNT($E$2:$E269)&lt;14,"",MAX($C$256:$C$269))</f>
        <v>0</v>
      </c>
      <c r="U269">
        <f>IF(COUNT($E$2:$E269)&lt;14,"",MIN($D$256:$D$269))</f>
        <v>0</v>
      </c>
      <c r="V269">
        <f>IF(OR(T269="",U269="",T269=U269),"",100*($E269-U269)/(T269-U269))</f>
        <v>0</v>
      </c>
      <c r="W269">
        <f>IF(COUNT($V$267:$V$269)&lt;3,"",AVERAGE($V$267:$V$269))</f>
        <v>0</v>
      </c>
      <c r="X269">
        <f>IF(COUNT($N$256:$N$269)&lt;14,"",MIN($N$256:$N$269))</f>
        <v>0</v>
      </c>
      <c r="Y269">
        <f>IF(COUNT($N$256:$N$269)&lt;14,"",MAX($N$256:$N$269))</f>
        <v>0</v>
      </c>
      <c r="Z269">
        <f>IF(OR(N269="",X269="",Y269="",Y269=X269),"",100*(N269-X269)/(Y269-X269))</f>
        <v>0</v>
      </c>
      <c r="AA269">
        <f>IF(COUNT($Z$267:$Z$269)&lt;3,"",AVERAGE($Z$267:$Z$269))</f>
        <v>0</v>
      </c>
      <c r="AB269">
        <f>IF(COUNT($AA$267:$AA$269)&lt;3,"",AVERAGE($AA$267:$AA$269))</f>
        <v>0</v>
      </c>
      <c r="AC269">
        <f>IF($E269="","",MAX($C269-$D269,ABS($C269-$E268),ABS($D269-$E268)))</f>
        <v>0</v>
      </c>
      <c r="AD269">
        <f>IF(COUNT($E$2:$E269)&lt;15,"",AVERAGE($AC$256:$AC$269))</f>
        <v>0</v>
      </c>
      <c r="AE269">
        <f>IF(OR($E269="",$E268=""),"",IF(AND(($C269-$C268)&gt;($D268-$D269),($C269-$C268)&gt;0),$C269-$C268,0))</f>
        <v>0</v>
      </c>
      <c r="AF269">
        <f>IF(OR($E269="",$E268=""),"",IF(AND(($D268-$D269)&gt;($C269-$C268),($D268-$D269)&gt;0),$D268-$D269,0))</f>
        <v>0</v>
      </c>
      <c r="AG269">
        <f>IF(COUNT($E$2:$E269)&lt;15,"",IF(SUM($AC$256:$AC$269)=0,0,100*SUM($AE$256:$AE$269)/SUM($AC$256:$AC$269)))</f>
        <v>0</v>
      </c>
      <c r="AH269">
        <f>IF(COUNT($E$2:$E269)&lt;15,"",IF(SUM($AC$256:$AC$269)=0,0,100*SUM($AF$256:$AF$269)/SUM($AC$256:$AC$269)))</f>
        <v>0</v>
      </c>
      <c r="AI269">
        <f>IF(OR(AG269="",AH269=""),"",IF((AG269+AH269)=0,0,100*ABS(AG269-AH269)/(AG269+AH269)))</f>
        <v>0</v>
      </c>
      <c r="AJ269">
        <f>IF(COUNT($AI$256:$AI$269)&lt;14,"",AVERAGE($AI$256:$AI$269))</f>
        <v>0</v>
      </c>
      <c r="AK269">
        <f>IF(COUNT($E$2:$E269)&lt;20,"",AVERAGE($E$250:$E$269))</f>
        <v>0</v>
      </c>
      <c r="AL269">
        <f>IF(COUNT($E$2:$E269)&lt;20,"",STDEVP($E$250:$E$269))</f>
        <v>0</v>
      </c>
      <c r="AM269">
        <f>IF(AK269="","",AK269+2*AL269)</f>
        <v>0</v>
      </c>
      <c r="AN269">
        <f>IF(AK269="","",AK269-2*AL269)</f>
        <v>0</v>
      </c>
      <c r="AO269">
        <f>IF(OR(AM269="",AN269="",AM269=AN269),"",($E269-AN269)/(AM269-AN269))</f>
        <v>0</v>
      </c>
      <c r="AP269">
        <f>IF(OR(AM269="",AK269="",AK269=0),"",(AM269-AN269)/AK269)</f>
        <v>0</v>
      </c>
      <c r="AQ269">
        <f>IF(COUNT($E$2:$E269)&lt;20,"",MAX($C$250:$C$269))</f>
        <v>0</v>
      </c>
      <c r="AR269">
        <f>IF(COUNT($E$2:$E269)&lt;20,"",MIN($D$250:$D$269))</f>
        <v>0</v>
      </c>
      <c r="AS269">
        <f>IF(OR(AQ269="",AR269=""),"",(AQ269+AR269)/2)</f>
        <v>0</v>
      </c>
      <c r="AT269">
        <f>IF(COUNT($G$250:$G$269)&lt;20,"",STDEV($G$250:$G$269)*SQRT(252))</f>
        <v>0</v>
      </c>
      <c r="AU269">
        <f>IF(COUNT($E$2:$E269)&lt;9,"",(MAX($C$261:$C$269)+MIN($D$261:$D$269))/2)</f>
        <v>0</v>
      </c>
      <c r="AV269">
        <f>IF(COUNT($E$2:$E269)&lt;26,"",(MAX($C$244:$C$269)+MIN($D$244:$D$269))/2)</f>
        <v>0</v>
      </c>
      <c r="AW269">
        <f>IF(OR(AU269="",AV269=""),"",(AU269+AV269)/2)</f>
        <v>0</v>
      </c>
      <c r="AX269">
        <f>IF(COUNT($E$2:$E269)&lt;52,"",(MAX($C$218:$C$269)+MIN($D$218:$D$269))/2)</f>
        <v>0</v>
      </c>
      <c r="AY269">
        <f>IF(COUNT($E$2:$E269)&lt;20,"",MAX($C$170:$C$269))</f>
        <v>0</v>
      </c>
      <c r="AZ269">
        <f>IF(COUNT($E$2:$E269)&lt;20,"",MIN($D$170:$D$269))</f>
        <v>0</v>
      </c>
      <c r="BA269">
        <f>IF(COUNT($E$2:$E269)&lt;20,"",SLOPE($E$170:$E$269,$F$170:$F$269))</f>
        <v>0</v>
      </c>
      <c r="BB269">
        <f>IF(COUNT($E$2:$E269)&lt;20,"",INTERCEPT($E$170:$E$269,$F$170:$F$269))</f>
        <v>0</v>
      </c>
      <c r="BC269">
        <f>IF(OR(BA269="",BB269=""),"",BB269+BA269*F269)</f>
        <v>0</v>
      </c>
      <c r="BD269">
        <f>IF(COUNT($E$2:$E269)&lt;20,"",STEYX($E$170:$E$269,$F$170:$F$269))</f>
        <v>0</v>
      </c>
      <c r="BE269">
        <f>IF($E269="","",IF(AND(COUNT($E$270:$E$273)&gt;=4,$C269=MAX($C$265:$C$273)),$C269,""))</f>
        <v>0</v>
      </c>
      <c r="BF269">
        <f>IF($E269="","",IF(AND(COUNT($E$270:$E$273)&gt;=4,$D269=MIN($D$265:$D$273)),$D269,""))</f>
        <v>0</v>
      </c>
      <c r="BG269">
        <f>IF($A269="","",$A269-WEEKDAY($A269,2)+1)</f>
        <v>0</v>
      </c>
      <c r="BH269">
        <f>IF($A269="","",IF($A268="",1,IF(BG269&lt;&gt;BG268,1,0)))</f>
        <v>0</v>
      </c>
      <c r="BI269">
        <f>IF($A269="","",IF($A270="",1,IF(BG270&lt;&gt;BG269,1,0)))</f>
        <v>0</v>
      </c>
      <c r="BJ269">
        <f>IF($A269="","",IF(BH269=1,$B269,BJ268))</f>
        <v>0</v>
      </c>
      <c r="BK269">
        <f>IF($A269="","",IF(BH269=1,$C269,MAX($C269,BK268)))</f>
        <v>0</v>
      </c>
      <c r="BL269">
        <f>IF($A269="","",IF(BH269=1,$D269,MIN($D269,BL268)))</f>
        <v>0</v>
      </c>
      <c r="BM269">
        <f>IF($A269="","",IF(BI269=1,F269,""))</f>
        <v>0</v>
      </c>
      <c r="BN269">
        <f>IF($A269="","",DATE(YEAR($A269),MONTH($A269),1))</f>
        <v>0</v>
      </c>
      <c r="BO269">
        <f>IF($A269="","",IF($A268="",1,IF(BN269&lt;&gt;BN268,1,0)))</f>
        <v>0</v>
      </c>
      <c r="BP269">
        <f>IF($A269="","",IF($A270="",1,IF(BN270&lt;&gt;BN269,1,0)))</f>
        <v>0</v>
      </c>
      <c r="BQ269">
        <f>IF($A269="","",IF(BO269=1,$B269,BQ268))</f>
        <v>0</v>
      </c>
      <c r="BR269">
        <f>IF($A269="","",IF(BO269=1,$C269,MAX($C269,BR268)))</f>
        <v>0</v>
      </c>
      <c r="BS269">
        <f>IF($A269="","",IF(BO269=1,$D269,MIN($D269,BS268)))</f>
        <v>0</v>
      </c>
      <c r="BT269">
        <f>IF($A269="","",IF(BP269=1,F269,""))</f>
        <v>0</v>
      </c>
    </row>
    <row r="270" spans="1:72">
      <c r="A270" s="27">
        <f>IF(Data!$A270="","",Data!$A270)</f>
        <v>0</v>
      </c>
      <c r="B270">
        <f>IF(Data!$B270="","",Data!$B270)</f>
        <v>0</v>
      </c>
      <c r="C270">
        <f>IF(Data!$C270="","",Data!$C270)</f>
        <v>0</v>
      </c>
      <c r="D270">
        <f>IF(Data!$D270="","",Data!$D270)</f>
        <v>0</v>
      </c>
      <c r="E270">
        <f>IF(Data!$E270="","",Data!$E270)</f>
        <v>0</v>
      </c>
      <c r="F270">
        <f>IF($E270="","",N(F269)+1)</f>
        <v>0</v>
      </c>
      <c r="G270">
        <f>IF(OR($E270="",$E269=""),"",LN($E270/$E269))</f>
        <v>0</v>
      </c>
      <c r="H270">
        <f>IF($E270="","",IF($E269="",$E270,$E270*0.0952380952+H269*0.9047619048))</f>
        <v>0</v>
      </c>
      <c r="I270">
        <f>IF($E270="","",IF($E269="",$E270,$E270*0.0392156863+I269*0.9607843137))</f>
        <v>0</v>
      </c>
      <c r="J270">
        <f>IF($E270="","",IF($E269="",$E270,$E270*0.0198019802+J269*0.9801980198))</f>
        <v>0</v>
      </c>
      <c r="K270">
        <f>IF($E270="","",IF($E269="",$E270,$E270*0.0099502488+K269*0.9900497512))</f>
        <v>0</v>
      </c>
      <c r="L270">
        <f>IF(OR($E270="",$E269=""),"",MAX($E270-$E269,0))</f>
        <v>0</v>
      </c>
      <c r="M270">
        <f>IF(OR($E270="",$E269=""),"",MAX($E269-$E270,0))</f>
        <v>0</v>
      </c>
      <c r="N270">
        <f>IF(COUNT($E$2:$E270)&lt;15,"",IF(AVERAGE($M$257:$M$270)=0,100,100-100/(1+AVERAGE($L$257:$L$270)/AVERAGE($M$257:$M$270))))</f>
        <v>0</v>
      </c>
      <c r="O270">
        <f>IF($E270="","",IF($E269="",$E270,$E270*0.1538461538+O269*0.8461538462))</f>
        <v>0</v>
      </c>
      <c r="P270">
        <f>IF($E270="","",IF($E269="",$E270,$E270*0.0740740741+P269*0.9259259259))</f>
        <v>0</v>
      </c>
      <c r="Q270">
        <f>IF(OR(O270="",P270=""),"",O270-P270)</f>
        <v>0</v>
      </c>
      <c r="R270">
        <f>IF(Q270="","",IF(R269="",Q270,Q270*0.2000000000+R269*0.8000000000))</f>
        <v>0</v>
      </c>
      <c r="S270">
        <f>IF(OR(Q270="",R270=""),"",Q270-R270)</f>
        <v>0</v>
      </c>
      <c r="T270">
        <f>IF(COUNT($E$2:$E270)&lt;14,"",MAX($C$257:$C$270))</f>
        <v>0</v>
      </c>
      <c r="U270">
        <f>IF(COUNT($E$2:$E270)&lt;14,"",MIN($D$257:$D$270))</f>
        <v>0</v>
      </c>
      <c r="V270">
        <f>IF(OR(T270="",U270="",T270=U270),"",100*($E270-U270)/(T270-U270))</f>
        <v>0</v>
      </c>
      <c r="W270">
        <f>IF(COUNT($V$268:$V$270)&lt;3,"",AVERAGE($V$268:$V$270))</f>
        <v>0</v>
      </c>
      <c r="X270">
        <f>IF(COUNT($N$257:$N$270)&lt;14,"",MIN($N$257:$N$270))</f>
        <v>0</v>
      </c>
      <c r="Y270">
        <f>IF(COUNT($N$257:$N$270)&lt;14,"",MAX($N$257:$N$270))</f>
        <v>0</v>
      </c>
      <c r="Z270">
        <f>IF(OR(N270="",X270="",Y270="",Y270=X270),"",100*(N270-X270)/(Y270-X270))</f>
        <v>0</v>
      </c>
      <c r="AA270">
        <f>IF(COUNT($Z$268:$Z$270)&lt;3,"",AVERAGE($Z$268:$Z$270))</f>
        <v>0</v>
      </c>
      <c r="AB270">
        <f>IF(COUNT($AA$268:$AA$270)&lt;3,"",AVERAGE($AA$268:$AA$270))</f>
        <v>0</v>
      </c>
      <c r="AC270">
        <f>IF($E270="","",MAX($C270-$D270,ABS($C270-$E269),ABS($D270-$E269)))</f>
        <v>0</v>
      </c>
      <c r="AD270">
        <f>IF(COUNT($E$2:$E270)&lt;15,"",AVERAGE($AC$257:$AC$270))</f>
        <v>0</v>
      </c>
      <c r="AE270">
        <f>IF(OR($E270="",$E269=""),"",IF(AND(($C270-$C269)&gt;($D269-$D270),($C270-$C269)&gt;0),$C270-$C269,0))</f>
        <v>0</v>
      </c>
      <c r="AF270">
        <f>IF(OR($E270="",$E269=""),"",IF(AND(($D269-$D270)&gt;($C270-$C269),($D269-$D270)&gt;0),$D269-$D270,0))</f>
        <v>0</v>
      </c>
      <c r="AG270">
        <f>IF(COUNT($E$2:$E270)&lt;15,"",IF(SUM($AC$257:$AC$270)=0,0,100*SUM($AE$257:$AE$270)/SUM($AC$257:$AC$270)))</f>
        <v>0</v>
      </c>
      <c r="AH270">
        <f>IF(COUNT($E$2:$E270)&lt;15,"",IF(SUM($AC$257:$AC$270)=0,0,100*SUM($AF$257:$AF$270)/SUM($AC$257:$AC$270)))</f>
        <v>0</v>
      </c>
      <c r="AI270">
        <f>IF(OR(AG270="",AH270=""),"",IF((AG270+AH270)=0,0,100*ABS(AG270-AH270)/(AG270+AH270)))</f>
        <v>0</v>
      </c>
      <c r="AJ270">
        <f>IF(COUNT($AI$257:$AI$270)&lt;14,"",AVERAGE($AI$257:$AI$270))</f>
        <v>0</v>
      </c>
      <c r="AK270">
        <f>IF(COUNT($E$2:$E270)&lt;20,"",AVERAGE($E$251:$E$270))</f>
        <v>0</v>
      </c>
      <c r="AL270">
        <f>IF(COUNT($E$2:$E270)&lt;20,"",STDEVP($E$251:$E$270))</f>
        <v>0</v>
      </c>
      <c r="AM270">
        <f>IF(AK270="","",AK270+2*AL270)</f>
        <v>0</v>
      </c>
      <c r="AN270">
        <f>IF(AK270="","",AK270-2*AL270)</f>
        <v>0</v>
      </c>
      <c r="AO270">
        <f>IF(OR(AM270="",AN270="",AM270=AN270),"",($E270-AN270)/(AM270-AN270))</f>
        <v>0</v>
      </c>
      <c r="AP270">
        <f>IF(OR(AM270="",AK270="",AK270=0),"",(AM270-AN270)/AK270)</f>
        <v>0</v>
      </c>
      <c r="AQ270">
        <f>IF(COUNT($E$2:$E270)&lt;20,"",MAX($C$251:$C$270))</f>
        <v>0</v>
      </c>
      <c r="AR270">
        <f>IF(COUNT($E$2:$E270)&lt;20,"",MIN($D$251:$D$270))</f>
        <v>0</v>
      </c>
      <c r="AS270">
        <f>IF(OR(AQ270="",AR270=""),"",(AQ270+AR270)/2)</f>
        <v>0</v>
      </c>
      <c r="AT270">
        <f>IF(COUNT($G$251:$G$270)&lt;20,"",STDEV($G$251:$G$270)*SQRT(252))</f>
        <v>0</v>
      </c>
      <c r="AU270">
        <f>IF(COUNT($E$2:$E270)&lt;9,"",(MAX($C$262:$C$270)+MIN($D$262:$D$270))/2)</f>
        <v>0</v>
      </c>
      <c r="AV270">
        <f>IF(COUNT($E$2:$E270)&lt;26,"",(MAX($C$245:$C$270)+MIN($D$245:$D$270))/2)</f>
        <v>0</v>
      </c>
      <c r="AW270">
        <f>IF(OR(AU270="",AV270=""),"",(AU270+AV270)/2)</f>
        <v>0</v>
      </c>
      <c r="AX270">
        <f>IF(COUNT($E$2:$E270)&lt;52,"",(MAX($C$219:$C$270)+MIN($D$219:$D$270))/2)</f>
        <v>0</v>
      </c>
      <c r="AY270">
        <f>IF(COUNT($E$2:$E270)&lt;20,"",MAX($C$171:$C$270))</f>
        <v>0</v>
      </c>
      <c r="AZ270">
        <f>IF(COUNT($E$2:$E270)&lt;20,"",MIN($D$171:$D$270))</f>
        <v>0</v>
      </c>
      <c r="BA270">
        <f>IF(COUNT($E$2:$E270)&lt;20,"",SLOPE($E$171:$E$270,$F$171:$F$270))</f>
        <v>0</v>
      </c>
      <c r="BB270">
        <f>IF(COUNT($E$2:$E270)&lt;20,"",INTERCEPT($E$171:$E$270,$F$171:$F$270))</f>
        <v>0</v>
      </c>
      <c r="BC270">
        <f>IF(OR(BA270="",BB270=""),"",BB270+BA270*F270)</f>
        <v>0</v>
      </c>
      <c r="BD270">
        <f>IF(COUNT($E$2:$E270)&lt;20,"",STEYX($E$171:$E$270,$F$171:$F$270))</f>
        <v>0</v>
      </c>
      <c r="BE270">
        <f>IF($E270="","",IF(AND(COUNT($E$271:$E$274)&gt;=4,$C270=MAX($C$266:$C$274)),$C270,""))</f>
        <v>0</v>
      </c>
      <c r="BF270">
        <f>IF($E270="","",IF(AND(COUNT($E$271:$E$274)&gt;=4,$D270=MIN($D$266:$D$274)),$D270,""))</f>
        <v>0</v>
      </c>
      <c r="BG270">
        <f>IF($A270="","",$A270-WEEKDAY($A270,2)+1)</f>
        <v>0</v>
      </c>
      <c r="BH270">
        <f>IF($A270="","",IF($A269="",1,IF(BG270&lt;&gt;BG269,1,0)))</f>
        <v>0</v>
      </c>
      <c r="BI270">
        <f>IF($A270="","",IF($A271="",1,IF(BG271&lt;&gt;BG270,1,0)))</f>
        <v>0</v>
      </c>
      <c r="BJ270">
        <f>IF($A270="","",IF(BH270=1,$B270,BJ269))</f>
        <v>0</v>
      </c>
      <c r="BK270">
        <f>IF($A270="","",IF(BH270=1,$C270,MAX($C270,BK269)))</f>
        <v>0</v>
      </c>
      <c r="BL270">
        <f>IF($A270="","",IF(BH270=1,$D270,MIN($D270,BL269)))</f>
        <v>0</v>
      </c>
      <c r="BM270">
        <f>IF($A270="","",IF(BI270=1,F270,""))</f>
        <v>0</v>
      </c>
      <c r="BN270">
        <f>IF($A270="","",DATE(YEAR($A270),MONTH($A270),1))</f>
        <v>0</v>
      </c>
      <c r="BO270">
        <f>IF($A270="","",IF($A269="",1,IF(BN270&lt;&gt;BN269,1,0)))</f>
        <v>0</v>
      </c>
      <c r="BP270">
        <f>IF($A270="","",IF($A271="",1,IF(BN271&lt;&gt;BN270,1,0)))</f>
        <v>0</v>
      </c>
      <c r="BQ270">
        <f>IF($A270="","",IF(BO270=1,$B270,BQ269))</f>
        <v>0</v>
      </c>
      <c r="BR270">
        <f>IF($A270="","",IF(BO270=1,$C270,MAX($C270,BR269)))</f>
        <v>0</v>
      </c>
      <c r="BS270">
        <f>IF($A270="","",IF(BO270=1,$D270,MIN($D270,BS269)))</f>
        <v>0</v>
      </c>
      <c r="BT270">
        <f>IF($A270="","",IF(BP270=1,F270,""))</f>
        <v>0</v>
      </c>
    </row>
    <row r="271" spans="1:72">
      <c r="A271" s="27">
        <f>IF(Data!$A271="","",Data!$A271)</f>
        <v>0</v>
      </c>
      <c r="B271">
        <f>IF(Data!$B271="","",Data!$B271)</f>
        <v>0</v>
      </c>
      <c r="C271">
        <f>IF(Data!$C271="","",Data!$C271)</f>
        <v>0</v>
      </c>
      <c r="D271">
        <f>IF(Data!$D271="","",Data!$D271)</f>
        <v>0</v>
      </c>
      <c r="E271">
        <f>IF(Data!$E271="","",Data!$E271)</f>
        <v>0</v>
      </c>
      <c r="F271">
        <f>IF($E271="","",N(F270)+1)</f>
        <v>0</v>
      </c>
      <c r="G271">
        <f>IF(OR($E271="",$E270=""),"",LN($E271/$E270))</f>
        <v>0</v>
      </c>
      <c r="H271">
        <f>IF($E271="","",IF($E270="",$E271,$E271*0.0952380952+H270*0.9047619048))</f>
        <v>0</v>
      </c>
      <c r="I271">
        <f>IF($E271="","",IF($E270="",$E271,$E271*0.0392156863+I270*0.9607843137))</f>
        <v>0</v>
      </c>
      <c r="J271">
        <f>IF($E271="","",IF($E270="",$E271,$E271*0.0198019802+J270*0.9801980198))</f>
        <v>0</v>
      </c>
      <c r="K271">
        <f>IF($E271="","",IF($E270="",$E271,$E271*0.0099502488+K270*0.9900497512))</f>
        <v>0</v>
      </c>
      <c r="L271">
        <f>IF(OR($E271="",$E270=""),"",MAX($E271-$E270,0))</f>
        <v>0</v>
      </c>
      <c r="M271">
        <f>IF(OR($E271="",$E270=""),"",MAX($E270-$E271,0))</f>
        <v>0</v>
      </c>
      <c r="N271">
        <f>IF(COUNT($E$2:$E271)&lt;15,"",IF(AVERAGE($M$258:$M$271)=0,100,100-100/(1+AVERAGE($L$258:$L$271)/AVERAGE($M$258:$M$271))))</f>
        <v>0</v>
      </c>
      <c r="O271">
        <f>IF($E271="","",IF($E270="",$E271,$E271*0.1538461538+O270*0.8461538462))</f>
        <v>0</v>
      </c>
      <c r="P271">
        <f>IF($E271="","",IF($E270="",$E271,$E271*0.0740740741+P270*0.9259259259))</f>
        <v>0</v>
      </c>
      <c r="Q271">
        <f>IF(OR(O271="",P271=""),"",O271-P271)</f>
        <v>0</v>
      </c>
      <c r="R271">
        <f>IF(Q271="","",IF(R270="",Q271,Q271*0.2000000000+R270*0.8000000000))</f>
        <v>0</v>
      </c>
      <c r="S271">
        <f>IF(OR(Q271="",R271=""),"",Q271-R271)</f>
        <v>0</v>
      </c>
      <c r="T271">
        <f>IF(COUNT($E$2:$E271)&lt;14,"",MAX($C$258:$C$271))</f>
        <v>0</v>
      </c>
      <c r="U271">
        <f>IF(COUNT($E$2:$E271)&lt;14,"",MIN($D$258:$D$271))</f>
        <v>0</v>
      </c>
      <c r="V271">
        <f>IF(OR(T271="",U271="",T271=U271),"",100*($E271-U271)/(T271-U271))</f>
        <v>0</v>
      </c>
      <c r="W271">
        <f>IF(COUNT($V$269:$V$271)&lt;3,"",AVERAGE($V$269:$V$271))</f>
        <v>0</v>
      </c>
      <c r="X271">
        <f>IF(COUNT($N$258:$N$271)&lt;14,"",MIN($N$258:$N$271))</f>
        <v>0</v>
      </c>
      <c r="Y271">
        <f>IF(COUNT($N$258:$N$271)&lt;14,"",MAX($N$258:$N$271))</f>
        <v>0</v>
      </c>
      <c r="Z271">
        <f>IF(OR(N271="",X271="",Y271="",Y271=X271),"",100*(N271-X271)/(Y271-X271))</f>
        <v>0</v>
      </c>
      <c r="AA271">
        <f>IF(COUNT($Z$269:$Z$271)&lt;3,"",AVERAGE($Z$269:$Z$271))</f>
        <v>0</v>
      </c>
      <c r="AB271">
        <f>IF(COUNT($AA$269:$AA$271)&lt;3,"",AVERAGE($AA$269:$AA$271))</f>
        <v>0</v>
      </c>
      <c r="AC271">
        <f>IF($E271="","",MAX($C271-$D271,ABS($C271-$E270),ABS($D271-$E270)))</f>
        <v>0</v>
      </c>
      <c r="AD271">
        <f>IF(COUNT($E$2:$E271)&lt;15,"",AVERAGE($AC$258:$AC$271))</f>
        <v>0</v>
      </c>
      <c r="AE271">
        <f>IF(OR($E271="",$E270=""),"",IF(AND(($C271-$C270)&gt;($D270-$D271),($C271-$C270)&gt;0),$C271-$C270,0))</f>
        <v>0</v>
      </c>
      <c r="AF271">
        <f>IF(OR($E271="",$E270=""),"",IF(AND(($D270-$D271)&gt;($C271-$C270),($D270-$D271)&gt;0),$D270-$D271,0))</f>
        <v>0</v>
      </c>
      <c r="AG271">
        <f>IF(COUNT($E$2:$E271)&lt;15,"",IF(SUM($AC$258:$AC$271)=0,0,100*SUM($AE$258:$AE$271)/SUM($AC$258:$AC$271)))</f>
        <v>0</v>
      </c>
      <c r="AH271">
        <f>IF(COUNT($E$2:$E271)&lt;15,"",IF(SUM($AC$258:$AC$271)=0,0,100*SUM($AF$258:$AF$271)/SUM($AC$258:$AC$271)))</f>
        <v>0</v>
      </c>
      <c r="AI271">
        <f>IF(OR(AG271="",AH271=""),"",IF((AG271+AH271)=0,0,100*ABS(AG271-AH271)/(AG271+AH271)))</f>
        <v>0</v>
      </c>
      <c r="AJ271">
        <f>IF(COUNT($AI$258:$AI$271)&lt;14,"",AVERAGE($AI$258:$AI$271))</f>
        <v>0</v>
      </c>
      <c r="AK271">
        <f>IF(COUNT($E$2:$E271)&lt;20,"",AVERAGE($E$252:$E$271))</f>
        <v>0</v>
      </c>
      <c r="AL271">
        <f>IF(COUNT($E$2:$E271)&lt;20,"",STDEVP($E$252:$E$271))</f>
        <v>0</v>
      </c>
      <c r="AM271">
        <f>IF(AK271="","",AK271+2*AL271)</f>
        <v>0</v>
      </c>
      <c r="AN271">
        <f>IF(AK271="","",AK271-2*AL271)</f>
        <v>0</v>
      </c>
      <c r="AO271">
        <f>IF(OR(AM271="",AN271="",AM271=AN271),"",($E271-AN271)/(AM271-AN271))</f>
        <v>0</v>
      </c>
      <c r="AP271">
        <f>IF(OR(AM271="",AK271="",AK271=0),"",(AM271-AN271)/AK271)</f>
        <v>0</v>
      </c>
      <c r="AQ271">
        <f>IF(COUNT($E$2:$E271)&lt;20,"",MAX($C$252:$C$271))</f>
        <v>0</v>
      </c>
      <c r="AR271">
        <f>IF(COUNT($E$2:$E271)&lt;20,"",MIN($D$252:$D$271))</f>
        <v>0</v>
      </c>
      <c r="AS271">
        <f>IF(OR(AQ271="",AR271=""),"",(AQ271+AR271)/2)</f>
        <v>0</v>
      </c>
      <c r="AT271">
        <f>IF(COUNT($G$252:$G$271)&lt;20,"",STDEV($G$252:$G$271)*SQRT(252))</f>
        <v>0</v>
      </c>
      <c r="AU271">
        <f>IF(COUNT($E$2:$E271)&lt;9,"",(MAX($C$263:$C$271)+MIN($D$263:$D$271))/2)</f>
        <v>0</v>
      </c>
      <c r="AV271">
        <f>IF(COUNT($E$2:$E271)&lt;26,"",(MAX($C$246:$C$271)+MIN($D$246:$D$271))/2)</f>
        <v>0</v>
      </c>
      <c r="AW271">
        <f>IF(OR(AU271="",AV271=""),"",(AU271+AV271)/2)</f>
        <v>0</v>
      </c>
      <c r="AX271">
        <f>IF(COUNT($E$2:$E271)&lt;52,"",(MAX($C$220:$C$271)+MIN($D$220:$D$271))/2)</f>
        <v>0</v>
      </c>
      <c r="AY271">
        <f>IF(COUNT($E$2:$E271)&lt;20,"",MAX($C$172:$C$271))</f>
        <v>0</v>
      </c>
      <c r="AZ271">
        <f>IF(COUNT($E$2:$E271)&lt;20,"",MIN($D$172:$D$271))</f>
        <v>0</v>
      </c>
      <c r="BA271">
        <f>IF(COUNT($E$2:$E271)&lt;20,"",SLOPE($E$172:$E$271,$F$172:$F$271))</f>
        <v>0</v>
      </c>
      <c r="BB271">
        <f>IF(COUNT($E$2:$E271)&lt;20,"",INTERCEPT($E$172:$E$271,$F$172:$F$271))</f>
        <v>0</v>
      </c>
      <c r="BC271">
        <f>IF(OR(BA271="",BB271=""),"",BB271+BA271*F271)</f>
        <v>0</v>
      </c>
      <c r="BD271">
        <f>IF(COUNT($E$2:$E271)&lt;20,"",STEYX($E$172:$E$271,$F$172:$F$271))</f>
        <v>0</v>
      </c>
      <c r="BE271">
        <f>IF($E271="","",IF(AND(COUNT($E$272:$E$275)&gt;=4,$C271=MAX($C$267:$C$275)),$C271,""))</f>
        <v>0</v>
      </c>
      <c r="BF271">
        <f>IF($E271="","",IF(AND(COUNT($E$272:$E$275)&gt;=4,$D271=MIN($D$267:$D$275)),$D271,""))</f>
        <v>0</v>
      </c>
      <c r="BG271">
        <f>IF($A271="","",$A271-WEEKDAY($A271,2)+1)</f>
        <v>0</v>
      </c>
      <c r="BH271">
        <f>IF($A271="","",IF($A270="",1,IF(BG271&lt;&gt;BG270,1,0)))</f>
        <v>0</v>
      </c>
      <c r="BI271">
        <f>IF($A271="","",IF($A272="",1,IF(BG272&lt;&gt;BG271,1,0)))</f>
        <v>0</v>
      </c>
      <c r="BJ271">
        <f>IF($A271="","",IF(BH271=1,$B271,BJ270))</f>
        <v>0</v>
      </c>
      <c r="BK271">
        <f>IF($A271="","",IF(BH271=1,$C271,MAX($C271,BK270)))</f>
        <v>0</v>
      </c>
      <c r="BL271">
        <f>IF($A271="","",IF(BH271=1,$D271,MIN($D271,BL270)))</f>
        <v>0</v>
      </c>
      <c r="BM271">
        <f>IF($A271="","",IF(BI271=1,F271,""))</f>
        <v>0</v>
      </c>
      <c r="BN271">
        <f>IF($A271="","",DATE(YEAR($A271),MONTH($A271),1))</f>
        <v>0</v>
      </c>
      <c r="BO271">
        <f>IF($A271="","",IF($A270="",1,IF(BN271&lt;&gt;BN270,1,0)))</f>
        <v>0</v>
      </c>
      <c r="BP271">
        <f>IF($A271="","",IF($A272="",1,IF(BN272&lt;&gt;BN271,1,0)))</f>
        <v>0</v>
      </c>
      <c r="BQ271">
        <f>IF($A271="","",IF(BO271=1,$B271,BQ270))</f>
        <v>0</v>
      </c>
      <c r="BR271">
        <f>IF($A271="","",IF(BO271=1,$C271,MAX($C271,BR270)))</f>
        <v>0</v>
      </c>
      <c r="BS271">
        <f>IF($A271="","",IF(BO271=1,$D271,MIN($D271,BS270)))</f>
        <v>0</v>
      </c>
      <c r="BT271">
        <f>IF($A271="","",IF(BP271=1,F271,""))</f>
        <v>0</v>
      </c>
    </row>
    <row r="272" spans="1:72">
      <c r="A272" s="27">
        <f>IF(Data!$A272="","",Data!$A272)</f>
        <v>0</v>
      </c>
      <c r="B272">
        <f>IF(Data!$B272="","",Data!$B272)</f>
        <v>0</v>
      </c>
      <c r="C272">
        <f>IF(Data!$C272="","",Data!$C272)</f>
        <v>0</v>
      </c>
      <c r="D272">
        <f>IF(Data!$D272="","",Data!$D272)</f>
        <v>0</v>
      </c>
      <c r="E272">
        <f>IF(Data!$E272="","",Data!$E272)</f>
        <v>0</v>
      </c>
      <c r="F272">
        <f>IF($E272="","",N(F271)+1)</f>
        <v>0</v>
      </c>
      <c r="G272">
        <f>IF(OR($E272="",$E271=""),"",LN($E272/$E271))</f>
        <v>0</v>
      </c>
      <c r="H272">
        <f>IF($E272="","",IF($E271="",$E272,$E272*0.0952380952+H271*0.9047619048))</f>
        <v>0</v>
      </c>
      <c r="I272">
        <f>IF($E272="","",IF($E271="",$E272,$E272*0.0392156863+I271*0.9607843137))</f>
        <v>0</v>
      </c>
      <c r="J272">
        <f>IF($E272="","",IF($E271="",$E272,$E272*0.0198019802+J271*0.9801980198))</f>
        <v>0</v>
      </c>
      <c r="K272">
        <f>IF($E272="","",IF($E271="",$E272,$E272*0.0099502488+K271*0.9900497512))</f>
        <v>0</v>
      </c>
      <c r="L272">
        <f>IF(OR($E272="",$E271=""),"",MAX($E272-$E271,0))</f>
        <v>0</v>
      </c>
      <c r="M272">
        <f>IF(OR($E272="",$E271=""),"",MAX($E271-$E272,0))</f>
        <v>0</v>
      </c>
      <c r="N272">
        <f>IF(COUNT($E$2:$E272)&lt;15,"",IF(AVERAGE($M$259:$M$272)=0,100,100-100/(1+AVERAGE($L$259:$L$272)/AVERAGE($M$259:$M$272))))</f>
        <v>0</v>
      </c>
      <c r="O272">
        <f>IF($E272="","",IF($E271="",$E272,$E272*0.1538461538+O271*0.8461538462))</f>
        <v>0</v>
      </c>
      <c r="P272">
        <f>IF($E272="","",IF($E271="",$E272,$E272*0.0740740741+P271*0.9259259259))</f>
        <v>0</v>
      </c>
      <c r="Q272">
        <f>IF(OR(O272="",P272=""),"",O272-P272)</f>
        <v>0</v>
      </c>
      <c r="R272">
        <f>IF(Q272="","",IF(R271="",Q272,Q272*0.2000000000+R271*0.8000000000))</f>
        <v>0</v>
      </c>
      <c r="S272">
        <f>IF(OR(Q272="",R272=""),"",Q272-R272)</f>
        <v>0</v>
      </c>
      <c r="T272">
        <f>IF(COUNT($E$2:$E272)&lt;14,"",MAX($C$259:$C$272))</f>
        <v>0</v>
      </c>
      <c r="U272">
        <f>IF(COUNT($E$2:$E272)&lt;14,"",MIN($D$259:$D$272))</f>
        <v>0</v>
      </c>
      <c r="V272">
        <f>IF(OR(T272="",U272="",T272=U272),"",100*($E272-U272)/(T272-U272))</f>
        <v>0</v>
      </c>
      <c r="W272">
        <f>IF(COUNT($V$270:$V$272)&lt;3,"",AVERAGE($V$270:$V$272))</f>
        <v>0</v>
      </c>
      <c r="X272">
        <f>IF(COUNT($N$259:$N$272)&lt;14,"",MIN($N$259:$N$272))</f>
        <v>0</v>
      </c>
      <c r="Y272">
        <f>IF(COUNT($N$259:$N$272)&lt;14,"",MAX($N$259:$N$272))</f>
        <v>0</v>
      </c>
      <c r="Z272">
        <f>IF(OR(N272="",X272="",Y272="",Y272=X272),"",100*(N272-X272)/(Y272-X272))</f>
        <v>0</v>
      </c>
      <c r="AA272">
        <f>IF(COUNT($Z$270:$Z$272)&lt;3,"",AVERAGE($Z$270:$Z$272))</f>
        <v>0</v>
      </c>
      <c r="AB272">
        <f>IF(COUNT($AA$270:$AA$272)&lt;3,"",AVERAGE($AA$270:$AA$272))</f>
        <v>0</v>
      </c>
      <c r="AC272">
        <f>IF($E272="","",MAX($C272-$D272,ABS($C272-$E271),ABS($D272-$E271)))</f>
        <v>0</v>
      </c>
      <c r="AD272">
        <f>IF(COUNT($E$2:$E272)&lt;15,"",AVERAGE($AC$259:$AC$272))</f>
        <v>0</v>
      </c>
      <c r="AE272">
        <f>IF(OR($E272="",$E271=""),"",IF(AND(($C272-$C271)&gt;($D271-$D272),($C272-$C271)&gt;0),$C272-$C271,0))</f>
        <v>0</v>
      </c>
      <c r="AF272">
        <f>IF(OR($E272="",$E271=""),"",IF(AND(($D271-$D272)&gt;($C272-$C271),($D271-$D272)&gt;0),$D271-$D272,0))</f>
        <v>0</v>
      </c>
      <c r="AG272">
        <f>IF(COUNT($E$2:$E272)&lt;15,"",IF(SUM($AC$259:$AC$272)=0,0,100*SUM($AE$259:$AE$272)/SUM($AC$259:$AC$272)))</f>
        <v>0</v>
      </c>
      <c r="AH272">
        <f>IF(COUNT($E$2:$E272)&lt;15,"",IF(SUM($AC$259:$AC$272)=0,0,100*SUM($AF$259:$AF$272)/SUM($AC$259:$AC$272)))</f>
        <v>0</v>
      </c>
      <c r="AI272">
        <f>IF(OR(AG272="",AH272=""),"",IF((AG272+AH272)=0,0,100*ABS(AG272-AH272)/(AG272+AH272)))</f>
        <v>0</v>
      </c>
      <c r="AJ272">
        <f>IF(COUNT($AI$259:$AI$272)&lt;14,"",AVERAGE($AI$259:$AI$272))</f>
        <v>0</v>
      </c>
      <c r="AK272">
        <f>IF(COUNT($E$2:$E272)&lt;20,"",AVERAGE($E$253:$E$272))</f>
        <v>0</v>
      </c>
      <c r="AL272">
        <f>IF(COUNT($E$2:$E272)&lt;20,"",STDEVP($E$253:$E$272))</f>
        <v>0</v>
      </c>
      <c r="AM272">
        <f>IF(AK272="","",AK272+2*AL272)</f>
        <v>0</v>
      </c>
      <c r="AN272">
        <f>IF(AK272="","",AK272-2*AL272)</f>
        <v>0</v>
      </c>
      <c r="AO272">
        <f>IF(OR(AM272="",AN272="",AM272=AN272),"",($E272-AN272)/(AM272-AN272))</f>
        <v>0</v>
      </c>
      <c r="AP272">
        <f>IF(OR(AM272="",AK272="",AK272=0),"",(AM272-AN272)/AK272)</f>
        <v>0</v>
      </c>
      <c r="AQ272">
        <f>IF(COUNT($E$2:$E272)&lt;20,"",MAX($C$253:$C$272))</f>
        <v>0</v>
      </c>
      <c r="AR272">
        <f>IF(COUNT($E$2:$E272)&lt;20,"",MIN($D$253:$D$272))</f>
        <v>0</v>
      </c>
      <c r="AS272">
        <f>IF(OR(AQ272="",AR272=""),"",(AQ272+AR272)/2)</f>
        <v>0</v>
      </c>
      <c r="AT272">
        <f>IF(COUNT($G$253:$G$272)&lt;20,"",STDEV($G$253:$G$272)*SQRT(252))</f>
        <v>0</v>
      </c>
      <c r="AU272">
        <f>IF(COUNT($E$2:$E272)&lt;9,"",(MAX($C$264:$C$272)+MIN($D$264:$D$272))/2)</f>
        <v>0</v>
      </c>
      <c r="AV272">
        <f>IF(COUNT($E$2:$E272)&lt;26,"",(MAX($C$247:$C$272)+MIN($D$247:$D$272))/2)</f>
        <v>0</v>
      </c>
      <c r="AW272">
        <f>IF(OR(AU272="",AV272=""),"",(AU272+AV272)/2)</f>
        <v>0</v>
      </c>
      <c r="AX272">
        <f>IF(COUNT($E$2:$E272)&lt;52,"",(MAX($C$221:$C$272)+MIN($D$221:$D$272))/2)</f>
        <v>0</v>
      </c>
      <c r="AY272">
        <f>IF(COUNT($E$2:$E272)&lt;20,"",MAX($C$173:$C$272))</f>
        <v>0</v>
      </c>
      <c r="AZ272">
        <f>IF(COUNT($E$2:$E272)&lt;20,"",MIN($D$173:$D$272))</f>
        <v>0</v>
      </c>
      <c r="BA272">
        <f>IF(COUNT($E$2:$E272)&lt;20,"",SLOPE($E$173:$E$272,$F$173:$F$272))</f>
        <v>0</v>
      </c>
      <c r="BB272">
        <f>IF(COUNT($E$2:$E272)&lt;20,"",INTERCEPT($E$173:$E$272,$F$173:$F$272))</f>
        <v>0</v>
      </c>
      <c r="BC272">
        <f>IF(OR(BA272="",BB272=""),"",BB272+BA272*F272)</f>
        <v>0</v>
      </c>
      <c r="BD272">
        <f>IF(COUNT($E$2:$E272)&lt;20,"",STEYX($E$173:$E$272,$F$173:$F$272))</f>
        <v>0</v>
      </c>
      <c r="BE272">
        <f>IF($E272="","",IF(AND(COUNT($E$273:$E$276)&gt;=4,$C272=MAX($C$268:$C$276)),$C272,""))</f>
        <v>0</v>
      </c>
      <c r="BF272">
        <f>IF($E272="","",IF(AND(COUNT($E$273:$E$276)&gt;=4,$D272=MIN($D$268:$D$276)),$D272,""))</f>
        <v>0</v>
      </c>
      <c r="BG272">
        <f>IF($A272="","",$A272-WEEKDAY($A272,2)+1)</f>
        <v>0</v>
      </c>
      <c r="BH272">
        <f>IF($A272="","",IF($A271="",1,IF(BG272&lt;&gt;BG271,1,0)))</f>
        <v>0</v>
      </c>
      <c r="BI272">
        <f>IF($A272="","",IF($A273="",1,IF(BG273&lt;&gt;BG272,1,0)))</f>
        <v>0</v>
      </c>
      <c r="BJ272">
        <f>IF($A272="","",IF(BH272=1,$B272,BJ271))</f>
        <v>0</v>
      </c>
      <c r="BK272">
        <f>IF($A272="","",IF(BH272=1,$C272,MAX($C272,BK271)))</f>
        <v>0</v>
      </c>
      <c r="BL272">
        <f>IF($A272="","",IF(BH272=1,$D272,MIN($D272,BL271)))</f>
        <v>0</v>
      </c>
      <c r="BM272">
        <f>IF($A272="","",IF(BI272=1,F272,""))</f>
        <v>0</v>
      </c>
      <c r="BN272">
        <f>IF($A272="","",DATE(YEAR($A272),MONTH($A272),1))</f>
        <v>0</v>
      </c>
      <c r="BO272">
        <f>IF($A272="","",IF($A271="",1,IF(BN272&lt;&gt;BN271,1,0)))</f>
        <v>0</v>
      </c>
      <c r="BP272">
        <f>IF($A272="","",IF($A273="",1,IF(BN273&lt;&gt;BN272,1,0)))</f>
        <v>0</v>
      </c>
      <c r="BQ272">
        <f>IF($A272="","",IF(BO272=1,$B272,BQ271))</f>
        <v>0</v>
      </c>
      <c r="BR272">
        <f>IF($A272="","",IF(BO272=1,$C272,MAX($C272,BR271)))</f>
        <v>0</v>
      </c>
      <c r="BS272">
        <f>IF($A272="","",IF(BO272=1,$D272,MIN($D272,BS271)))</f>
        <v>0</v>
      </c>
      <c r="BT272">
        <f>IF($A272="","",IF(BP272=1,F272,""))</f>
        <v>0</v>
      </c>
    </row>
    <row r="273" spans="1:72">
      <c r="A273" s="27">
        <f>IF(Data!$A273="","",Data!$A273)</f>
        <v>0</v>
      </c>
      <c r="B273">
        <f>IF(Data!$B273="","",Data!$B273)</f>
        <v>0</v>
      </c>
      <c r="C273">
        <f>IF(Data!$C273="","",Data!$C273)</f>
        <v>0</v>
      </c>
      <c r="D273">
        <f>IF(Data!$D273="","",Data!$D273)</f>
        <v>0</v>
      </c>
      <c r="E273">
        <f>IF(Data!$E273="","",Data!$E273)</f>
        <v>0</v>
      </c>
      <c r="F273">
        <f>IF($E273="","",N(F272)+1)</f>
        <v>0</v>
      </c>
      <c r="G273">
        <f>IF(OR($E273="",$E272=""),"",LN($E273/$E272))</f>
        <v>0</v>
      </c>
      <c r="H273">
        <f>IF($E273="","",IF($E272="",$E273,$E273*0.0952380952+H272*0.9047619048))</f>
        <v>0</v>
      </c>
      <c r="I273">
        <f>IF($E273="","",IF($E272="",$E273,$E273*0.0392156863+I272*0.9607843137))</f>
        <v>0</v>
      </c>
      <c r="J273">
        <f>IF($E273="","",IF($E272="",$E273,$E273*0.0198019802+J272*0.9801980198))</f>
        <v>0</v>
      </c>
      <c r="K273">
        <f>IF($E273="","",IF($E272="",$E273,$E273*0.0099502488+K272*0.9900497512))</f>
        <v>0</v>
      </c>
      <c r="L273">
        <f>IF(OR($E273="",$E272=""),"",MAX($E273-$E272,0))</f>
        <v>0</v>
      </c>
      <c r="M273">
        <f>IF(OR($E273="",$E272=""),"",MAX($E272-$E273,0))</f>
        <v>0</v>
      </c>
      <c r="N273">
        <f>IF(COUNT($E$2:$E273)&lt;15,"",IF(AVERAGE($M$260:$M$273)=0,100,100-100/(1+AVERAGE($L$260:$L$273)/AVERAGE($M$260:$M$273))))</f>
        <v>0</v>
      </c>
      <c r="O273">
        <f>IF($E273="","",IF($E272="",$E273,$E273*0.1538461538+O272*0.8461538462))</f>
        <v>0</v>
      </c>
      <c r="P273">
        <f>IF($E273="","",IF($E272="",$E273,$E273*0.0740740741+P272*0.9259259259))</f>
        <v>0</v>
      </c>
      <c r="Q273">
        <f>IF(OR(O273="",P273=""),"",O273-P273)</f>
        <v>0</v>
      </c>
      <c r="R273">
        <f>IF(Q273="","",IF(R272="",Q273,Q273*0.2000000000+R272*0.8000000000))</f>
        <v>0</v>
      </c>
      <c r="S273">
        <f>IF(OR(Q273="",R273=""),"",Q273-R273)</f>
        <v>0</v>
      </c>
      <c r="T273">
        <f>IF(COUNT($E$2:$E273)&lt;14,"",MAX($C$260:$C$273))</f>
        <v>0</v>
      </c>
      <c r="U273">
        <f>IF(COUNT($E$2:$E273)&lt;14,"",MIN($D$260:$D$273))</f>
        <v>0</v>
      </c>
      <c r="V273">
        <f>IF(OR(T273="",U273="",T273=U273),"",100*($E273-U273)/(T273-U273))</f>
        <v>0</v>
      </c>
      <c r="W273">
        <f>IF(COUNT($V$271:$V$273)&lt;3,"",AVERAGE($V$271:$V$273))</f>
        <v>0</v>
      </c>
      <c r="X273">
        <f>IF(COUNT($N$260:$N$273)&lt;14,"",MIN($N$260:$N$273))</f>
        <v>0</v>
      </c>
      <c r="Y273">
        <f>IF(COUNT($N$260:$N$273)&lt;14,"",MAX($N$260:$N$273))</f>
        <v>0</v>
      </c>
      <c r="Z273">
        <f>IF(OR(N273="",X273="",Y273="",Y273=X273),"",100*(N273-X273)/(Y273-X273))</f>
        <v>0</v>
      </c>
      <c r="AA273">
        <f>IF(COUNT($Z$271:$Z$273)&lt;3,"",AVERAGE($Z$271:$Z$273))</f>
        <v>0</v>
      </c>
      <c r="AB273">
        <f>IF(COUNT($AA$271:$AA$273)&lt;3,"",AVERAGE($AA$271:$AA$273))</f>
        <v>0</v>
      </c>
      <c r="AC273">
        <f>IF($E273="","",MAX($C273-$D273,ABS($C273-$E272),ABS($D273-$E272)))</f>
        <v>0</v>
      </c>
      <c r="AD273">
        <f>IF(COUNT($E$2:$E273)&lt;15,"",AVERAGE($AC$260:$AC$273))</f>
        <v>0</v>
      </c>
      <c r="AE273">
        <f>IF(OR($E273="",$E272=""),"",IF(AND(($C273-$C272)&gt;($D272-$D273),($C273-$C272)&gt;0),$C273-$C272,0))</f>
        <v>0</v>
      </c>
      <c r="AF273">
        <f>IF(OR($E273="",$E272=""),"",IF(AND(($D272-$D273)&gt;($C273-$C272),($D272-$D273)&gt;0),$D272-$D273,0))</f>
        <v>0</v>
      </c>
      <c r="AG273">
        <f>IF(COUNT($E$2:$E273)&lt;15,"",IF(SUM($AC$260:$AC$273)=0,0,100*SUM($AE$260:$AE$273)/SUM($AC$260:$AC$273)))</f>
        <v>0</v>
      </c>
      <c r="AH273">
        <f>IF(COUNT($E$2:$E273)&lt;15,"",IF(SUM($AC$260:$AC$273)=0,0,100*SUM($AF$260:$AF$273)/SUM($AC$260:$AC$273)))</f>
        <v>0</v>
      </c>
      <c r="AI273">
        <f>IF(OR(AG273="",AH273=""),"",IF((AG273+AH273)=0,0,100*ABS(AG273-AH273)/(AG273+AH273)))</f>
        <v>0</v>
      </c>
      <c r="AJ273">
        <f>IF(COUNT($AI$260:$AI$273)&lt;14,"",AVERAGE($AI$260:$AI$273))</f>
        <v>0</v>
      </c>
      <c r="AK273">
        <f>IF(COUNT($E$2:$E273)&lt;20,"",AVERAGE($E$254:$E$273))</f>
        <v>0</v>
      </c>
      <c r="AL273">
        <f>IF(COUNT($E$2:$E273)&lt;20,"",STDEVP($E$254:$E$273))</f>
        <v>0</v>
      </c>
      <c r="AM273">
        <f>IF(AK273="","",AK273+2*AL273)</f>
        <v>0</v>
      </c>
      <c r="AN273">
        <f>IF(AK273="","",AK273-2*AL273)</f>
        <v>0</v>
      </c>
      <c r="AO273">
        <f>IF(OR(AM273="",AN273="",AM273=AN273),"",($E273-AN273)/(AM273-AN273))</f>
        <v>0</v>
      </c>
      <c r="AP273">
        <f>IF(OR(AM273="",AK273="",AK273=0),"",(AM273-AN273)/AK273)</f>
        <v>0</v>
      </c>
      <c r="AQ273">
        <f>IF(COUNT($E$2:$E273)&lt;20,"",MAX($C$254:$C$273))</f>
        <v>0</v>
      </c>
      <c r="AR273">
        <f>IF(COUNT($E$2:$E273)&lt;20,"",MIN($D$254:$D$273))</f>
        <v>0</v>
      </c>
      <c r="AS273">
        <f>IF(OR(AQ273="",AR273=""),"",(AQ273+AR273)/2)</f>
        <v>0</v>
      </c>
      <c r="AT273">
        <f>IF(COUNT($G$254:$G$273)&lt;20,"",STDEV($G$254:$G$273)*SQRT(252))</f>
        <v>0</v>
      </c>
      <c r="AU273">
        <f>IF(COUNT($E$2:$E273)&lt;9,"",(MAX($C$265:$C$273)+MIN($D$265:$D$273))/2)</f>
        <v>0</v>
      </c>
      <c r="AV273">
        <f>IF(COUNT($E$2:$E273)&lt;26,"",(MAX($C$248:$C$273)+MIN($D$248:$D$273))/2)</f>
        <v>0</v>
      </c>
      <c r="AW273">
        <f>IF(OR(AU273="",AV273=""),"",(AU273+AV273)/2)</f>
        <v>0</v>
      </c>
      <c r="AX273">
        <f>IF(COUNT($E$2:$E273)&lt;52,"",(MAX($C$222:$C$273)+MIN($D$222:$D$273))/2)</f>
        <v>0</v>
      </c>
      <c r="AY273">
        <f>IF(COUNT($E$2:$E273)&lt;20,"",MAX($C$174:$C$273))</f>
        <v>0</v>
      </c>
      <c r="AZ273">
        <f>IF(COUNT($E$2:$E273)&lt;20,"",MIN($D$174:$D$273))</f>
        <v>0</v>
      </c>
      <c r="BA273">
        <f>IF(COUNT($E$2:$E273)&lt;20,"",SLOPE($E$174:$E$273,$F$174:$F$273))</f>
        <v>0</v>
      </c>
      <c r="BB273">
        <f>IF(COUNT($E$2:$E273)&lt;20,"",INTERCEPT($E$174:$E$273,$F$174:$F$273))</f>
        <v>0</v>
      </c>
      <c r="BC273">
        <f>IF(OR(BA273="",BB273=""),"",BB273+BA273*F273)</f>
        <v>0</v>
      </c>
      <c r="BD273">
        <f>IF(COUNT($E$2:$E273)&lt;20,"",STEYX($E$174:$E$273,$F$174:$F$273))</f>
        <v>0</v>
      </c>
      <c r="BE273">
        <f>IF($E273="","",IF(AND(COUNT($E$274:$E$277)&gt;=4,$C273=MAX($C$269:$C$277)),$C273,""))</f>
        <v>0</v>
      </c>
      <c r="BF273">
        <f>IF($E273="","",IF(AND(COUNT($E$274:$E$277)&gt;=4,$D273=MIN($D$269:$D$277)),$D273,""))</f>
        <v>0</v>
      </c>
      <c r="BG273">
        <f>IF($A273="","",$A273-WEEKDAY($A273,2)+1)</f>
        <v>0</v>
      </c>
      <c r="BH273">
        <f>IF($A273="","",IF($A272="",1,IF(BG273&lt;&gt;BG272,1,0)))</f>
        <v>0</v>
      </c>
      <c r="BI273">
        <f>IF($A273="","",IF($A274="",1,IF(BG274&lt;&gt;BG273,1,0)))</f>
        <v>0</v>
      </c>
      <c r="BJ273">
        <f>IF($A273="","",IF(BH273=1,$B273,BJ272))</f>
        <v>0</v>
      </c>
      <c r="BK273">
        <f>IF($A273="","",IF(BH273=1,$C273,MAX($C273,BK272)))</f>
        <v>0</v>
      </c>
      <c r="BL273">
        <f>IF($A273="","",IF(BH273=1,$D273,MIN($D273,BL272)))</f>
        <v>0</v>
      </c>
      <c r="BM273">
        <f>IF($A273="","",IF(BI273=1,F273,""))</f>
        <v>0</v>
      </c>
      <c r="BN273">
        <f>IF($A273="","",DATE(YEAR($A273),MONTH($A273),1))</f>
        <v>0</v>
      </c>
      <c r="BO273">
        <f>IF($A273="","",IF($A272="",1,IF(BN273&lt;&gt;BN272,1,0)))</f>
        <v>0</v>
      </c>
      <c r="BP273">
        <f>IF($A273="","",IF($A274="",1,IF(BN274&lt;&gt;BN273,1,0)))</f>
        <v>0</v>
      </c>
      <c r="BQ273">
        <f>IF($A273="","",IF(BO273=1,$B273,BQ272))</f>
        <v>0</v>
      </c>
      <c r="BR273">
        <f>IF($A273="","",IF(BO273=1,$C273,MAX($C273,BR272)))</f>
        <v>0</v>
      </c>
      <c r="BS273">
        <f>IF($A273="","",IF(BO273=1,$D273,MIN($D273,BS272)))</f>
        <v>0</v>
      </c>
      <c r="BT273">
        <f>IF($A273="","",IF(BP273=1,F273,""))</f>
        <v>0</v>
      </c>
    </row>
    <row r="274" spans="1:72">
      <c r="A274" s="27">
        <f>IF(Data!$A274="","",Data!$A274)</f>
        <v>0</v>
      </c>
      <c r="B274">
        <f>IF(Data!$B274="","",Data!$B274)</f>
        <v>0</v>
      </c>
      <c r="C274">
        <f>IF(Data!$C274="","",Data!$C274)</f>
        <v>0</v>
      </c>
      <c r="D274">
        <f>IF(Data!$D274="","",Data!$D274)</f>
        <v>0</v>
      </c>
      <c r="E274">
        <f>IF(Data!$E274="","",Data!$E274)</f>
        <v>0</v>
      </c>
      <c r="F274">
        <f>IF($E274="","",N(F273)+1)</f>
        <v>0</v>
      </c>
      <c r="G274">
        <f>IF(OR($E274="",$E273=""),"",LN($E274/$E273))</f>
        <v>0</v>
      </c>
      <c r="H274">
        <f>IF($E274="","",IF($E273="",$E274,$E274*0.0952380952+H273*0.9047619048))</f>
        <v>0</v>
      </c>
      <c r="I274">
        <f>IF($E274="","",IF($E273="",$E274,$E274*0.0392156863+I273*0.9607843137))</f>
        <v>0</v>
      </c>
      <c r="J274">
        <f>IF($E274="","",IF($E273="",$E274,$E274*0.0198019802+J273*0.9801980198))</f>
        <v>0</v>
      </c>
      <c r="K274">
        <f>IF($E274="","",IF($E273="",$E274,$E274*0.0099502488+K273*0.9900497512))</f>
        <v>0</v>
      </c>
      <c r="L274">
        <f>IF(OR($E274="",$E273=""),"",MAX($E274-$E273,0))</f>
        <v>0</v>
      </c>
      <c r="M274">
        <f>IF(OR($E274="",$E273=""),"",MAX($E273-$E274,0))</f>
        <v>0</v>
      </c>
      <c r="N274">
        <f>IF(COUNT($E$2:$E274)&lt;15,"",IF(AVERAGE($M$261:$M$274)=0,100,100-100/(1+AVERAGE($L$261:$L$274)/AVERAGE($M$261:$M$274))))</f>
        <v>0</v>
      </c>
      <c r="O274">
        <f>IF($E274="","",IF($E273="",$E274,$E274*0.1538461538+O273*0.8461538462))</f>
        <v>0</v>
      </c>
      <c r="P274">
        <f>IF($E274="","",IF($E273="",$E274,$E274*0.0740740741+P273*0.9259259259))</f>
        <v>0</v>
      </c>
      <c r="Q274">
        <f>IF(OR(O274="",P274=""),"",O274-P274)</f>
        <v>0</v>
      </c>
      <c r="R274">
        <f>IF(Q274="","",IF(R273="",Q274,Q274*0.2000000000+R273*0.8000000000))</f>
        <v>0</v>
      </c>
      <c r="S274">
        <f>IF(OR(Q274="",R274=""),"",Q274-R274)</f>
        <v>0</v>
      </c>
      <c r="T274">
        <f>IF(COUNT($E$2:$E274)&lt;14,"",MAX($C$261:$C$274))</f>
        <v>0</v>
      </c>
      <c r="U274">
        <f>IF(COUNT($E$2:$E274)&lt;14,"",MIN($D$261:$D$274))</f>
        <v>0</v>
      </c>
      <c r="V274">
        <f>IF(OR(T274="",U274="",T274=U274),"",100*($E274-U274)/(T274-U274))</f>
        <v>0</v>
      </c>
      <c r="W274">
        <f>IF(COUNT($V$272:$V$274)&lt;3,"",AVERAGE($V$272:$V$274))</f>
        <v>0</v>
      </c>
      <c r="X274">
        <f>IF(COUNT($N$261:$N$274)&lt;14,"",MIN($N$261:$N$274))</f>
        <v>0</v>
      </c>
      <c r="Y274">
        <f>IF(COUNT($N$261:$N$274)&lt;14,"",MAX($N$261:$N$274))</f>
        <v>0</v>
      </c>
      <c r="Z274">
        <f>IF(OR(N274="",X274="",Y274="",Y274=X274),"",100*(N274-X274)/(Y274-X274))</f>
        <v>0</v>
      </c>
      <c r="AA274">
        <f>IF(COUNT($Z$272:$Z$274)&lt;3,"",AVERAGE($Z$272:$Z$274))</f>
        <v>0</v>
      </c>
      <c r="AB274">
        <f>IF(COUNT($AA$272:$AA$274)&lt;3,"",AVERAGE($AA$272:$AA$274))</f>
        <v>0</v>
      </c>
      <c r="AC274">
        <f>IF($E274="","",MAX($C274-$D274,ABS($C274-$E273),ABS($D274-$E273)))</f>
        <v>0</v>
      </c>
      <c r="AD274">
        <f>IF(COUNT($E$2:$E274)&lt;15,"",AVERAGE($AC$261:$AC$274))</f>
        <v>0</v>
      </c>
      <c r="AE274">
        <f>IF(OR($E274="",$E273=""),"",IF(AND(($C274-$C273)&gt;($D273-$D274),($C274-$C273)&gt;0),$C274-$C273,0))</f>
        <v>0</v>
      </c>
      <c r="AF274">
        <f>IF(OR($E274="",$E273=""),"",IF(AND(($D273-$D274)&gt;($C274-$C273),($D273-$D274)&gt;0),$D273-$D274,0))</f>
        <v>0</v>
      </c>
      <c r="AG274">
        <f>IF(COUNT($E$2:$E274)&lt;15,"",IF(SUM($AC$261:$AC$274)=0,0,100*SUM($AE$261:$AE$274)/SUM($AC$261:$AC$274)))</f>
        <v>0</v>
      </c>
      <c r="AH274">
        <f>IF(COUNT($E$2:$E274)&lt;15,"",IF(SUM($AC$261:$AC$274)=0,0,100*SUM($AF$261:$AF$274)/SUM($AC$261:$AC$274)))</f>
        <v>0</v>
      </c>
      <c r="AI274">
        <f>IF(OR(AG274="",AH274=""),"",IF((AG274+AH274)=0,0,100*ABS(AG274-AH274)/(AG274+AH274)))</f>
        <v>0</v>
      </c>
      <c r="AJ274">
        <f>IF(COUNT($AI$261:$AI$274)&lt;14,"",AVERAGE($AI$261:$AI$274))</f>
        <v>0</v>
      </c>
      <c r="AK274">
        <f>IF(COUNT($E$2:$E274)&lt;20,"",AVERAGE($E$255:$E$274))</f>
        <v>0</v>
      </c>
      <c r="AL274">
        <f>IF(COUNT($E$2:$E274)&lt;20,"",STDEVP($E$255:$E$274))</f>
        <v>0</v>
      </c>
      <c r="AM274">
        <f>IF(AK274="","",AK274+2*AL274)</f>
        <v>0</v>
      </c>
      <c r="AN274">
        <f>IF(AK274="","",AK274-2*AL274)</f>
        <v>0</v>
      </c>
      <c r="AO274">
        <f>IF(OR(AM274="",AN274="",AM274=AN274),"",($E274-AN274)/(AM274-AN274))</f>
        <v>0</v>
      </c>
      <c r="AP274">
        <f>IF(OR(AM274="",AK274="",AK274=0),"",(AM274-AN274)/AK274)</f>
        <v>0</v>
      </c>
      <c r="AQ274">
        <f>IF(COUNT($E$2:$E274)&lt;20,"",MAX($C$255:$C$274))</f>
        <v>0</v>
      </c>
      <c r="AR274">
        <f>IF(COUNT($E$2:$E274)&lt;20,"",MIN($D$255:$D$274))</f>
        <v>0</v>
      </c>
      <c r="AS274">
        <f>IF(OR(AQ274="",AR274=""),"",(AQ274+AR274)/2)</f>
        <v>0</v>
      </c>
      <c r="AT274">
        <f>IF(COUNT($G$255:$G$274)&lt;20,"",STDEV($G$255:$G$274)*SQRT(252))</f>
        <v>0</v>
      </c>
      <c r="AU274">
        <f>IF(COUNT($E$2:$E274)&lt;9,"",(MAX($C$266:$C$274)+MIN($D$266:$D$274))/2)</f>
        <v>0</v>
      </c>
      <c r="AV274">
        <f>IF(COUNT($E$2:$E274)&lt;26,"",(MAX($C$249:$C$274)+MIN($D$249:$D$274))/2)</f>
        <v>0</v>
      </c>
      <c r="AW274">
        <f>IF(OR(AU274="",AV274=""),"",(AU274+AV274)/2)</f>
        <v>0</v>
      </c>
      <c r="AX274">
        <f>IF(COUNT($E$2:$E274)&lt;52,"",(MAX($C$223:$C$274)+MIN($D$223:$D$274))/2)</f>
        <v>0</v>
      </c>
      <c r="AY274">
        <f>IF(COUNT($E$2:$E274)&lt;20,"",MAX($C$175:$C$274))</f>
        <v>0</v>
      </c>
      <c r="AZ274">
        <f>IF(COUNT($E$2:$E274)&lt;20,"",MIN($D$175:$D$274))</f>
        <v>0</v>
      </c>
      <c r="BA274">
        <f>IF(COUNT($E$2:$E274)&lt;20,"",SLOPE($E$175:$E$274,$F$175:$F$274))</f>
        <v>0</v>
      </c>
      <c r="BB274">
        <f>IF(COUNT($E$2:$E274)&lt;20,"",INTERCEPT($E$175:$E$274,$F$175:$F$274))</f>
        <v>0</v>
      </c>
      <c r="BC274">
        <f>IF(OR(BA274="",BB274=""),"",BB274+BA274*F274)</f>
        <v>0</v>
      </c>
      <c r="BD274">
        <f>IF(COUNT($E$2:$E274)&lt;20,"",STEYX($E$175:$E$274,$F$175:$F$274))</f>
        <v>0</v>
      </c>
      <c r="BE274">
        <f>IF($E274="","",IF(AND(COUNT($E$275:$E$278)&gt;=4,$C274=MAX($C$270:$C$278)),$C274,""))</f>
        <v>0</v>
      </c>
      <c r="BF274">
        <f>IF($E274="","",IF(AND(COUNT($E$275:$E$278)&gt;=4,$D274=MIN($D$270:$D$278)),$D274,""))</f>
        <v>0</v>
      </c>
      <c r="BG274">
        <f>IF($A274="","",$A274-WEEKDAY($A274,2)+1)</f>
        <v>0</v>
      </c>
      <c r="BH274">
        <f>IF($A274="","",IF($A273="",1,IF(BG274&lt;&gt;BG273,1,0)))</f>
        <v>0</v>
      </c>
      <c r="BI274">
        <f>IF($A274="","",IF($A275="",1,IF(BG275&lt;&gt;BG274,1,0)))</f>
        <v>0</v>
      </c>
      <c r="BJ274">
        <f>IF($A274="","",IF(BH274=1,$B274,BJ273))</f>
        <v>0</v>
      </c>
      <c r="BK274">
        <f>IF($A274="","",IF(BH274=1,$C274,MAX($C274,BK273)))</f>
        <v>0</v>
      </c>
      <c r="BL274">
        <f>IF($A274="","",IF(BH274=1,$D274,MIN($D274,BL273)))</f>
        <v>0</v>
      </c>
      <c r="BM274">
        <f>IF($A274="","",IF(BI274=1,F274,""))</f>
        <v>0</v>
      </c>
      <c r="BN274">
        <f>IF($A274="","",DATE(YEAR($A274),MONTH($A274),1))</f>
        <v>0</v>
      </c>
      <c r="BO274">
        <f>IF($A274="","",IF($A273="",1,IF(BN274&lt;&gt;BN273,1,0)))</f>
        <v>0</v>
      </c>
      <c r="BP274">
        <f>IF($A274="","",IF($A275="",1,IF(BN275&lt;&gt;BN274,1,0)))</f>
        <v>0</v>
      </c>
      <c r="BQ274">
        <f>IF($A274="","",IF(BO274=1,$B274,BQ273))</f>
        <v>0</v>
      </c>
      <c r="BR274">
        <f>IF($A274="","",IF(BO274=1,$C274,MAX($C274,BR273)))</f>
        <v>0</v>
      </c>
      <c r="BS274">
        <f>IF($A274="","",IF(BO274=1,$D274,MIN($D274,BS273)))</f>
        <v>0</v>
      </c>
      <c r="BT274">
        <f>IF($A274="","",IF(BP274=1,F274,""))</f>
        <v>0</v>
      </c>
    </row>
    <row r="275" spans="1:72">
      <c r="A275" s="27">
        <f>IF(Data!$A275="","",Data!$A275)</f>
        <v>0</v>
      </c>
      <c r="B275">
        <f>IF(Data!$B275="","",Data!$B275)</f>
        <v>0</v>
      </c>
      <c r="C275">
        <f>IF(Data!$C275="","",Data!$C275)</f>
        <v>0</v>
      </c>
      <c r="D275">
        <f>IF(Data!$D275="","",Data!$D275)</f>
        <v>0</v>
      </c>
      <c r="E275">
        <f>IF(Data!$E275="","",Data!$E275)</f>
        <v>0</v>
      </c>
      <c r="F275">
        <f>IF($E275="","",N(F274)+1)</f>
        <v>0</v>
      </c>
      <c r="G275">
        <f>IF(OR($E275="",$E274=""),"",LN($E275/$E274))</f>
        <v>0</v>
      </c>
      <c r="H275">
        <f>IF($E275="","",IF($E274="",$E275,$E275*0.0952380952+H274*0.9047619048))</f>
        <v>0</v>
      </c>
      <c r="I275">
        <f>IF($E275="","",IF($E274="",$E275,$E275*0.0392156863+I274*0.9607843137))</f>
        <v>0</v>
      </c>
      <c r="J275">
        <f>IF($E275="","",IF($E274="",$E275,$E275*0.0198019802+J274*0.9801980198))</f>
        <v>0</v>
      </c>
      <c r="K275">
        <f>IF($E275="","",IF($E274="",$E275,$E275*0.0099502488+K274*0.9900497512))</f>
        <v>0</v>
      </c>
      <c r="L275">
        <f>IF(OR($E275="",$E274=""),"",MAX($E275-$E274,0))</f>
        <v>0</v>
      </c>
      <c r="M275">
        <f>IF(OR($E275="",$E274=""),"",MAX($E274-$E275,0))</f>
        <v>0</v>
      </c>
      <c r="N275">
        <f>IF(COUNT($E$2:$E275)&lt;15,"",IF(AVERAGE($M$262:$M$275)=0,100,100-100/(1+AVERAGE($L$262:$L$275)/AVERAGE($M$262:$M$275))))</f>
        <v>0</v>
      </c>
      <c r="O275">
        <f>IF($E275="","",IF($E274="",$E275,$E275*0.1538461538+O274*0.8461538462))</f>
        <v>0</v>
      </c>
      <c r="P275">
        <f>IF($E275="","",IF($E274="",$E275,$E275*0.0740740741+P274*0.9259259259))</f>
        <v>0</v>
      </c>
      <c r="Q275">
        <f>IF(OR(O275="",P275=""),"",O275-P275)</f>
        <v>0</v>
      </c>
      <c r="R275">
        <f>IF(Q275="","",IF(R274="",Q275,Q275*0.2000000000+R274*0.8000000000))</f>
        <v>0</v>
      </c>
      <c r="S275">
        <f>IF(OR(Q275="",R275=""),"",Q275-R275)</f>
        <v>0</v>
      </c>
      <c r="T275">
        <f>IF(COUNT($E$2:$E275)&lt;14,"",MAX($C$262:$C$275))</f>
        <v>0</v>
      </c>
      <c r="U275">
        <f>IF(COUNT($E$2:$E275)&lt;14,"",MIN($D$262:$D$275))</f>
        <v>0</v>
      </c>
      <c r="V275">
        <f>IF(OR(T275="",U275="",T275=U275),"",100*($E275-U275)/(T275-U275))</f>
        <v>0</v>
      </c>
      <c r="W275">
        <f>IF(COUNT($V$273:$V$275)&lt;3,"",AVERAGE($V$273:$V$275))</f>
        <v>0</v>
      </c>
      <c r="X275">
        <f>IF(COUNT($N$262:$N$275)&lt;14,"",MIN($N$262:$N$275))</f>
        <v>0</v>
      </c>
      <c r="Y275">
        <f>IF(COUNT($N$262:$N$275)&lt;14,"",MAX($N$262:$N$275))</f>
        <v>0</v>
      </c>
      <c r="Z275">
        <f>IF(OR(N275="",X275="",Y275="",Y275=X275),"",100*(N275-X275)/(Y275-X275))</f>
        <v>0</v>
      </c>
      <c r="AA275">
        <f>IF(COUNT($Z$273:$Z$275)&lt;3,"",AVERAGE($Z$273:$Z$275))</f>
        <v>0</v>
      </c>
      <c r="AB275">
        <f>IF(COUNT($AA$273:$AA$275)&lt;3,"",AVERAGE($AA$273:$AA$275))</f>
        <v>0</v>
      </c>
      <c r="AC275">
        <f>IF($E275="","",MAX($C275-$D275,ABS($C275-$E274),ABS($D275-$E274)))</f>
        <v>0</v>
      </c>
      <c r="AD275">
        <f>IF(COUNT($E$2:$E275)&lt;15,"",AVERAGE($AC$262:$AC$275))</f>
        <v>0</v>
      </c>
      <c r="AE275">
        <f>IF(OR($E275="",$E274=""),"",IF(AND(($C275-$C274)&gt;($D274-$D275),($C275-$C274)&gt;0),$C275-$C274,0))</f>
        <v>0</v>
      </c>
      <c r="AF275">
        <f>IF(OR($E275="",$E274=""),"",IF(AND(($D274-$D275)&gt;($C275-$C274),($D274-$D275)&gt;0),$D274-$D275,0))</f>
        <v>0</v>
      </c>
      <c r="AG275">
        <f>IF(COUNT($E$2:$E275)&lt;15,"",IF(SUM($AC$262:$AC$275)=0,0,100*SUM($AE$262:$AE$275)/SUM($AC$262:$AC$275)))</f>
        <v>0</v>
      </c>
      <c r="AH275">
        <f>IF(COUNT($E$2:$E275)&lt;15,"",IF(SUM($AC$262:$AC$275)=0,0,100*SUM($AF$262:$AF$275)/SUM($AC$262:$AC$275)))</f>
        <v>0</v>
      </c>
      <c r="AI275">
        <f>IF(OR(AG275="",AH275=""),"",IF((AG275+AH275)=0,0,100*ABS(AG275-AH275)/(AG275+AH275)))</f>
        <v>0</v>
      </c>
      <c r="AJ275">
        <f>IF(COUNT($AI$262:$AI$275)&lt;14,"",AVERAGE($AI$262:$AI$275))</f>
        <v>0</v>
      </c>
      <c r="AK275">
        <f>IF(COUNT($E$2:$E275)&lt;20,"",AVERAGE($E$256:$E$275))</f>
        <v>0</v>
      </c>
      <c r="AL275">
        <f>IF(COUNT($E$2:$E275)&lt;20,"",STDEVP($E$256:$E$275))</f>
        <v>0</v>
      </c>
      <c r="AM275">
        <f>IF(AK275="","",AK275+2*AL275)</f>
        <v>0</v>
      </c>
      <c r="AN275">
        <f>IF(AK275="","",AK275-2*AL275)</f>
        <v>0</v>
      </c>
      <c r="AO275">
        <f>IF(OR(AM275="",AN275="",AM275=AN275),"",($E275-AN275)/(AM275-AN275))</f>
        <v>0</v>
      </c>
      <c r="AP275">
        <f>IF(OR(AM275="",AK275="",AK275=0),"",(AM275-AN275)/AK275)</f>
        <v>0</v>
      </c>
      <c r="AQ275">
        <f>IF(COUNT($E$2:$E275)&lt;20,"",MAX($C$256:$C$275))</f>
        <v>0</v>
      </c>
      <c r="AR275">
        <f>IF(COUNT($E$2:$E275)&lt;20,"",MIN($D$256:$D$275))</f>
        <v>0</v>
      </c>
      <c r="AS275">
        <f>IF(OR(AQ275="",AR275=""),"",(AQ275+AR275)/2)</f>
        <v>0</v>
      </c>
      <c r="AT275">
        <f>IF(COUNT($G$256:$G$275)&lt;20,"",STDEV($G$256:$G$275)*SQRT(252))</f>
        <v>0</v>
      </c>
      <c r="AU275">
        <f>IF(COUNT($E$2:$E275)&lt;9,"",(MAX($C$267:$C$275)+MIN($D$267:$D$275))/2)</f>
        <v>0</v>
      </c>
      <c r="AV275">
        <f>IF(COUNT($E$2:$E275)&lt;26,"",(MAX($C$250:$C$275)+MIN($D$250:$D$275))/2)</f>
        <v>0</v>
      </c>
      <c r="AW275">
        <f>IF(OR(AU275="",AV275=""),"",(AU275+AV275)/2)</f>
        <v>0</v>
      </c>
      <c r="AX275">
        <f>IF(COUNT($E$2:$E275)&lt;52,"",(MAX($C$224:$C$275)+MIN($D$224:$D$275))/2)</f>
        <v>0</v>
      </c>
      <c r="AY275">
        <f>IF(COUNT($E$2:$E275)&lt;20,"",MAX($C$176:$C$275))</f>
        <v>0</v>
      </c>
      <c r="AZ275">
        <f>IF(COUNT($E$2:$E275)&lt;20,"",MIN($D$176:$D$275))</f>
        <v>0</v>
      </c>
      <c r="BA275">
        <f>IF(COUNT($E$2:$E275)&lt;20,"",SLOPE($E$176:$E$275,$F$176:$F$275))</f>
        <v>0</v>
      </c>
      <c r="BB275">
        <f>IF(COUNT($E$2:$E275)&lt;20,"",INTERCEPT($E$176:$E$275,$F$176:$F$275))</f>
        <v>0</v>
      </c>
      <c r="BC275">
        <f>IF(OR(BA275="",BB275=""),"",BB275+BA275*F275)</f>
        <v>0</v>
      </c>
      <c r="BD275">
        <f>IF(COUNT($E$2:$E275)&lt;20,"",STEYX($E$176:$E$275,$F$176:$F$275))</f>
        <v>0</v>
      </c>
      <c r="BE275">
        <f>IF($E275="","",IF(AND(COUNT($E$276:$E$279)&gt;=4,$C275=MAX($C$271:$C$279)),$C275,""))</f>
        <v>0</v>
      </c>
      <c r="BF275">
        <f>IF($E275="","",IF(AND(COUNT($E$276:$E$279)&gt;=4,$D275=MIN($D$271:$D$279)),$D275,""))</f>
        <v>0</v>
      </c>
      <c r="BG275">
        <f>IF($A275="","",$A275-WEEKDAY($A275,2)+1)</f>
        <v>0</v>
      </c>
      <c r="BH275">
        <f>IF($A275="","",IF($A274="",1,IF(BG275&lt;&gt;BG274,1,0)))</f>
        <v>0</v>
      </c>
      <c r="BI275">
        <f>IF($A275="","",IF($A276="",1,IF(BG276&lt;&gt;BG275,1,0)))</f>
        <v>0</v>
      </c>
      <c r="BJ275">
        <f>IF($A275="","",IF(BH275=1,$B275,BJ274))</f>
        <v>0</v>
      </c>
      <c r="BK275">
        <f>IF($A275="","",IF(BH275=1,$C275,MAX($C275,BK274)))</f>
        <v>0</v>
      </c>
      <c r="BL275">
        <f>IF($A275="","",IF(BH275=1,$D275,MIN($D275,BL274)))</f>
        <v>0</v>
      </c>
      <c r="BM275">
        <f>IF($A275="","",IF(BI275=1,F275,""))</f>
        <v>0</v>
      </c>
      <c r="BN275">
        <f>IF($A275="","",DATE(YEAR($A275),MONTH($A275),1))</f>
        <v>0</v>
      </c>
      <c r="BO275">
        <f>IF($A275="","",IF($A274="",1,IF(BN275&lt;&gt;BN274,1,0)))</f>
        <v>0</v>
      </c>
      <c r="BP275">
        <f>IF($A275="","",IF($A276="",1,IF(BN276&lt;&gt;BN275,1,0)))</f>
        <v>0</v>
      </c>
      <c r="BQ275">
        <f>IF($A275="","",IF(BO275=1,$B275,BQ274))</f>
        <v>0</v>
      </c>
      <c r="BR275">
        <f>IF($A275="","",IF(BO275=1,$C275,MAX($C275,BR274)))</f>
        <v>0</v>
      </c>
      <c r="BS275">
        <f>IF($A275="","",IF(BO275=1,$D275,MIN($D275,BS274)))</f>
        <v>0</v>
      </c>
      <c r="BT275">
        <f>IF($A275="","",IF(BP275=1,F275,""))</f>
        <v>0</v>
      </c>
    </row>
    <row r="276" spans="1:72">
      <c r="A276" s="27">
        <f>IF(Data!$A276="","",Data!$A276)</f>
        <v>0</v>
      </c>
      <c r="B276">
        <f>IF(Data!$B276="","",Data!$B276)</f>
        <v>0</v>
      </c>
      <c r="C276">
        <f>IF(Data!$C276="","",Data!$C276)</f>
        <v>0</v>
      </c>
      <c r="D276">
        <f>IF(Data!$D276="","",Data!$D276)</f>
        <v>0</v>
      </c>
      <c r="E276">
        <f>IF(Data!$E276="","",Data!$E276)</f>
        <v>0</v>
      </c>
      <c r="F276">
        <f>IF($E276="","",N(F275)+1)</f>
        <v>0</v>
      </c>
      <c r="G276">
        <f>IF(OR($E276="",$E275=""),"",LN($E276/$E275))</f>
        <v>0</v>
      </c>
      <c r="H276">
        <f>IF($E276="","",IF($E275="",$E276,$E276*0.0952380952+H275*0.9047619048))</f>
        <v>0</v>
      </c>
      <c r="I276">
        <f>IF($E276="","",IF($E275="",$E276,$E276*0.0392156863+I275*0.9607843137))</f>
        <v>0</v>
      </c>
      <c r="J276">
        <f>IF($E276="","",IF($E275="",$E276,$E276*0.0198019802+J275*0.9801980198))</f>
        <v>0</v>
      </c>
      <c r="K276">
        <f>IF($E276="","",IF($E275="",$E276,$E276*0.0099502488+K275*0.9900497512))</f>
        <v>0</v>
      </c>
      <c r="L276">
        <f>IF(OR($E276="",$E275=""),"",MAX($E276-$E275,0))</f>
        <v>0</v>
      </c>
      <c r="M276">
        <f>IF(OR($E276="",$E275=""),"",MAX($E275-$E276,0))</f>
        <v>0</v>
      </c>
      <c r="N276">
        <f>IF(COUNT($E$2:$E276)&lt;15,"",IF(AVERAGE($M$263:$M$276)=0,100,100-100/(1+AVERAGE($L$263:$L$276)/AVERAGE($M$263:$M$276))))</f>
        <v>0</v>
      </c>
      <c r="O276">
        <f>IF($E276="","",IF($E275="",$E276,$E276*0.1538461538+O275*0.8461538462))</f>
        <v>0</v>
      </c>
      <c r="P276">
        <f>IF($E276="","",IF($E275="",$E276,$E276*0.0740740741+P275*0.9259259259))</f>
        <v>0</v>
      </c>
      <c r="Q276">
        <f>IF(OR(O276="",P276=""),"",O276-P276)</f>
        <v>0</v>
      </c>
      <c r="R276">
        <f>IF(Q276="","",IF(R275="",Q276,Q276*0.2000000000+R275*0.8000000000))</f>
        <v>0</v>
      </c>
      <c r="S276">
        <f>IF(OR(Q276="",R276=""),"",Q276-R276)</f>
        <v>0</v>
      </c>
      <c r="T276">
        <f>IF(COUNT($E$2:$E276)&lt;14,"",MAX($C$263:$C$276))</f>
        <v>0</v>
      </c>
      <c r="U276">
        <f>IF(COUNT($E$2:$E276)&lt;14,"",MIN($D$263:$D$276))</f>
        <v>0</v>
      </c>
      <c r="V276">
        <f>IF(OR(T276="",U276="",T276=U276),"",100*($E276-U276)/(T276-U276))</f>
        <v>0</v>
      </c>
      <c r="W276">
        <f>IF(COUNT($V$274:$V$276)&lt;3,"",AVERAGE($V$274:$V$276))</f>
        <v>0</v>
      </c>
      <c r="X276">
        <f>IF(COUNT($N$263:$N$276)&lt;14,"",MIN($N$263:$N$276))</f>
        <v>0</v>
      </c>
      <c r="Y276">
        <f>IF(COUNT($N$263:$N$276)&lt;14,"",MAX($N$263:$N$276))</f>
        <v>0</v>
      </c>
      <c r="Z276">
        <f>IF(OR(N276="",X276="",Y276="",Y276=X276),"",100*(N276-X276)/(Y276-X276))</f>
        <v>0</v>
      </c>
      <c r="AA276">
        <f>IF(COUNT($Z$274:$Z$276)&lt;3,"",AVERAGE($Z$274:$Z$276))</f>
        <v>0</v>
      </c>
      <c r="AB276">
        <f>IF(COUNT($AA$274:$AA$276)&lt;3,"",AVERAGE($AA$274:$AA$276))</f>
        <v>0</v>
      </c>
      <c r="AC276">
        <f>IF($E276="","",MAX($C276-$D276,ABS($C276-$E275),ABS($D276-$E275)))</f>
        <v>0</v>
      </c>
      <c r="AD276">
        <f>IF(COUNT($E$2:$E276)&lt;15,"",AVERAGE($AC$263:$AC$276))</f>
        <v>0</v>
      </c>
      <c r="AE276">
        <f>IF(OR($E276="",$E275=""),"",IF(AND(($C276-$C275)&gt;($D275-$D276),($C276-$C275)&gt;0),$C276-$C275,0))</f>
        <v>0</v>
      </c>
      <c r="AF276">
        <f>IF(OR($E276="",$E275=""),"",IF(AND(($D275-$D276)&gt;($C276-$C275),($D275-$D276)&gt;0),$D275-$D276,0))</f>
        <v>0</v>
      </c>
      <c r="AG276">
        <f>IF(COUNT($E$2:$E276)&lt;15,"",IF(SUM($AC$263:$AC$276)=0,0,100*SUM($AE$263:$AE$276)/SUM($AC$263:$AC$276)))</f>
        <v>0</v>
      </c>
      <c r="AH276">
        <f>IF(COUNT($E$2:$E276)&lt;15,"",IF(SUM($AC$263:$AC$276)=0,0,100*SUM($AF$263:$AF$276)/SUM($AC$263:$AC$276)))</f>
        <v>0</v>
      </c>
      <c r="AI276">
        <f>IF(OR(AG276="",AH276=""),"",IF((AG276+AH276)=0,0,100*ABS(AG276-AH276)/(AG276+AH276)))</f>
        <v>0</v>
      </c>
      <c r="AJ276">
        <f>IF(COUNT($AI$263:$AI$276)&lt;14,"",AVERAGE($AI$263:$AI$276))</f>
        <v>0</v>
      </c>
      <c r="AK276">
        <f>IF(COUNT($E$2:$E276)&lt;20,"",AVERAGE($E$257:$E$276))</f>
        <v>0</v>
      </c>
      <c r="AL276">
        <f>IF(COUNT($E$2:$E276)&lt;20,"",STDEVP($E$257:$E$276))</f>
        <v>0</v>
      </c>
      <c r="AM276">
        <f>IF(AK276="","",AK276+2*AL276)</f>
        <v>0</v>
      </c>
      <c r="AN276">
        <f>IF(AK276="","",AK276-2*AL276)</f>
        <v>0</v>
      </c>
      <c r="AO276">
        <f>IF(OR(AM276="",AN276="",AM276=AN276),"",($E276-AN276)/(AM276-AN276))</f>
        <v>0</v>
      </c>
      <c r="AP276">
        <f>IF(OR(AM276="",AK276="",AK276=0),"",(AM276-AN276)/AK276)</f>
        <v>0</v>
      </c>
      <c r="AQ276">
        <f>IF(COUNT($E$2:$E276)&lt;20,"",MAX($C$257:$C$276))</f>
        <v>0</v>
      </c>
      <c r="AR276">
        <f>IF(COUNT($E$2:$E276)&lt;20,"",MIN($D$257:$D$276))</f>
        <v>0</v>
      </c>
      <c r="AS276">
        <f>IF(OR(AQ276="",AR276=""),"",(AQ276+AR276)/2)</f>
        <v>0</v>
      </c>
      <c r="AT276">
        <f>IF(COUNT($G$257:$G$276)&lt;20,"",STDEV($G$257:$G$276)*SQRT(252))</f>
        <v>0</v>
      </c>
      <c r="AU276">
        <f>IF(COUNT($E$2:$E276)&lt;9,"",(MAX($C$268:$C$276)+MIN($D$268:$D$276))/2)</f>
        <v>0</v>
      </c>
      <c r="AV276">
        <f>IF(COUNT($E$2:$E276)&lt;26,"",(MAX($C$251:$C$276)+MIN($D$251:$D$276))/2)</f>
        <v>0</v>
      </c>
      <c r="AW276">
        <f>IF(OR(AU276="",AV276=""),"",(AU276+AV276)/2)</f>
        <v>0</v>
      </c>
      <c r="AX276">
        <f>IF(COUNT($E$2:$E276)&lt;52,"",(MAX($C$225:$C$276)+MIN($D$225:$D$276))/2)</f>
        <v>0</v>
      </c>
      <c r="AY276">
        <f>IF(COUNT($E$2:$E276)&lt;20,"",MAX($C$177:$C$276))</f>
        <v>0</v>
      </c>
      <c r="AZ276">
        <f>IF(COUNT($E$2:$E276)&lt;20,"",MIN($D$177:$D$276))</f>
        <v>0</v>
      </c>
      <c r="BA276">
        <f>IF(COUNT($E$2:$E276)&lt;20,"",SLOPE($E$177:$E$276,$F$177:$F$276))</f>
        <v>0</v>
      </c>
      <c r="BB276">
        <f>IF(COUNT($E$2:$E276)&lt;20,"",INTERCEPT($E$177:$E$276,$F$177:$F$276))</f>
        <v>0</v>
      </c>
      <c r="BC276">
        <f>IF(OR(BA276="",BB276=""),"",BB276+BA276*F276)</f>
        <v>0</v>
      </c>
      <c r="BD276">
        <f>IF(COUNT($E$2:$E276)&lt;20,"",STEYX($E$177:$E$276,$F$177:$F$276))</f>
        <v>0</v>
      </c>
      <c r="BE276">
        <f>IF($E276="","",IF(AND(COUNT($E$277:$E$280)&gt;=4,$C276=MAX($C$272:$C$280)),$C276,""))</f>
        <v>0</v>
      </c>
      <c r="BF276">
        <f>IF($E276="","",IF(AND(COUNT($E$277:$E$280)&gt;=4,$D276=MIN($D$272:$D$280)),$D276,""))</f>
        <v>0</v>
      </c>
      <c r="BG276">
        <f>IF($A276="","",$A276-WEEKDAY($A276,2)+1)</f>
        <v>0</v>
      </c>
      <c r="BH276">
        <f>IF($A276="","",IF($A275="",1,IF(BG276&lt;&gt;BG275,1,0)))</f>
        <v>0</v>
      </c>
      <c r="BI276">
        <f>IF($A276="","",IF($A277="",1,IF(BG277&lt;&gt;BG276,1,0)))</f>
        <v>0</v>
      </c>
      <c r="BJ276">
        <f>IF($A276="","",IF(BH276=1,$B276,BJ275))</f>
        <v>0</v>
      </c>
      <c r="BK276">
        <f>IF($A276="","",IF(BH276=1,$C276,MAX($C276,BK275)))</f>
        <v>0</v>
      </c>
      <c r="BL276">
        <f>IF($A276="","",IF(BH276=1,$D276,MIN($D276,BL275)))</f>
        <v>0</v>
      </c>
      <c r="BM276">
        <f>IF($A276="","",IF(BI276=1,F276,""))</f>
        <v>0</v>
      </c>
      <c r="BN276">
        <f>IF($A276="","",DATE(YEAR($A276),MONTH($A276),1))</f>
        <v>0</v>
      </c>
      <c r="BO276">
        <f>IF($A276="","",IF($A275="",1,IF(BN276&lt;&gt;BN275,1,0)))</f>
        <v>0</v>
      </c>
      <c r="BP276">
        <f>IF($A276="","",IF($A277="",1,IF(BN277&lt;&gt;BN276,1,0)))</f>
        <v>0</v>
      </c>
      <c r="BQ276">
        <f>IF($A276="","",IF(BO276=1,$B276,BQ275))</f>
        <v>0</v>
      </c>
      <c r="BR276">
        <f>IF($A276="","",IF(BO276=1,$C276,MAX($C276,BR275)))</f>
        <v>0</v>
      </c>
      <c r="BS276">
        <f>IF($A276="","",IF(BO276=1,$D276,MIN($D276,BS275)))</f>
        <v>0</v>
      </c>
      <c r="BT276">
        <f>IF($A276="","",IF(BP276=1,F276,""))</f>
        <v>0</v>
      </c>
    </row>
    <row r="277" spans="1:72">
      <c r="A277" s="27">
        <f>IF(Data!$A277="","",Data!$A277)</f>
        <v>0</v>
      </c>
      <c r="B277">
        <f>IF(Data!$B277="","",Data!$B277)</f>
        <v>0</v>
      </c>
      <c r="C277">
        <f>IF(Data!$C277="","",Data!$C277)</f>
        <v>0</v>
      </c>
      <c r="D277">
        <f>IF(Data!$D277="","",Data!$D277)</f>
        <v>0</v>
      </c>
      <c r="E277">
        <f>IF(Data!$E277="","",Data!$E277)</f>
        <v>0</v>
      </c>
      <c r="F277">
        <f>IF($E277="","",N(F276)+1)</f>
        <v>0</v>
      </c>
      <c r="G277">
        <f>IF(OR($E277="",$E276=""),"",LN($E277/$E276))</f>
        <v>0</v>
      </c>
      <c r="H277">
        <f>IF($E277="","",IF($E276="",$E277,$E277*0.0952380952+H276*0.9047619048))</f>
        <v>0</v>
      </c>
      <c r="I277">
        <f>IF($E277="","",IF($E276="",$E277,$E277*0.0392156863+I276*0.9607843137))</f>
        <v>0</v>
      </c>
      <c r="J277">
        <f>IF($E277="","",IF($E276="",$E277,$E277*0.0198019802+J276*0.9801980198))</f>
        <v>0</v>
      </c>
      <c r="K277">
        <f>IF($E277="","",IF($E276="",$E277,$E277*0.0099502488+K276*0.9900497512))</f>
        <v>0</v>
      </c>
      <c r="L277">
        <f>IF(OR($E277="",$E276=""),"",MAX($E277-$E276,0))</f>
        <v>0</v>
      </c>
      <c r="M277">
        <f>IF(OR($E277="",$E276=""),"",MAX($E276-$E277,0))</f>
        <v>0</v>
      </c>
      <c r="N277">
        <f>IF(COUNT($E$2:$E277)&lt;15,"",IF(AVERAGE($M$264:$M$277)=0,100,100-100/(1+AVERAGE($L$264:$L$277)/AVERAGE($M$264:$M$277))))</f>
        <v>0</v>
      </c>
      <c r="O277">
        <f>IF($E277="","",IF($E276="",$E277,$E277*0.1538461538+O276*0.8461538462))</f>
        <v>0</v>
      </c>
      <c r="P277">
        <f>IF($E277="","",IF($E276="",$E277,$E277*0.0740740741+P276*0.9259259259))</f>
        <v>0</v>
      </c>
      <c r="Q277">
        <f>IF(OR(O277="",P277=""),"",O277-P277)</f>
        <v>0</v>
      </c>
      <c r="R277">
        <f>IF(Q277="","",IF(R276="",Q277,Q277*0.2000000000+R276*0.8000000000))</f>
        <v>0</v>
      </c>
      <c r="S277">
        <f>IF(OR(Q277="",R277=""),"",Q277-R277)</f>
        <v>0</v>
      </c>
      <c r="T277">
        <f>IF(COUNT($E$2:$E277)&lt;14,"",MAX($C$264:$C$277))</f>
        <v>0</v>
      </c>
      <c r="U277">
        <f>IF(COUNT($E$2:$E277)&lt;14,"",MIN($D$264:$D$277))</f>
        <v>0</v>
      </c>
      <c r="V277">
        <f>IF(OR(T277="",U277="",T277=U277),"",100*($E277-U277)/(T277-U277))</f>
        <v>0</v>
      </c>
      <c r="W277">
        <f>IF(COUNT($V$275:$V$277)&lt;3,"",AVERAGE($V$275:$V$277))</f>
        <v>0</v>
      </c>
      <c r="X277">
        <f>IF(COUNT($N$264:$N$277)&lt;14,"",MIN($N$264:$N$277))</f>
        <v>0</v>
      </c>
      <c r="Y277">
        <f>IF(COUNT($N$264:$N$277)&lt;14,"",MAX($N$264:$N$277))</f>
        <v>0</v>
      </c>
      <c r="Z277">
        <f>IF(OR(N277="",X277="",Y277="",Y277=X277),"",100*(N277-X277)/(Y277-X277))</f>
        <v>0</v>
      </c>
      <c r="AA277">
        <f>IF(COUNT($Z$275:$Z$277)&lt;3,"",AVERAGE($Z$275:$Z$277))</f>
        <v>0</v>
      </c>
      <c r="AB277">
        <f>IF(COUNT($AA$275:$AA$277)&lt;3,"",AVERAGE($AA$275:$AA$277))</f>
        <v>0</v>
      </c>
      <c r="AC277">
        <f>IF($E277="","",MAX($C277-$D277,ABS($C277-$E276),ABS($D277-$E276)))</f>
        <v>0</v>
      </c>
      <c r="AD277">
        <f>IF(COUNT($E$2:$E277)&lt;15,"",AVERAGE($AC$264:$AC$277))</f>
        <v>0</v>
      </c>
      <c r="AE277">
        <f>IF(OR($E277="",$E276=""),"",IF(AND(($C277-$C276)&gt;($D276-$D277),($C277-$C276)&gt;0),$C277-$C276,0))</f>
        <v>0</v>
      </c>
      <c r="AF277">
        <f>IF(OR($E277="",$E276=""),"",IF(AND(($D276-$D277)&gt;($C277-$C276),($D276-$D277)&gt;0),$D276-$D277,0))</f>
        <v>0</v>
      </c>
      <c r="AG277">
        <f>IF(COUNT($E$2:$E277)&lt;15,"",IF(SUM($AC$264:$AC$277)=0,0,100*SUM($AE$264:$AE$277)/SUM($AC$264:$AC$277)))</f>
        <v>0</v>
      </c>
      <c r="AH277">
        <f>IF(COUNT($E$2:$E277)&lt;15,"",IF(SUM($AC$264:$AC$277)=0,0,100*SUM($AF$264:$AF$277)/SUM($AC$264:$AC$277)))</f>
        <v>0</v>
      </c>
      <c r="AI277">
        <f>IF(OR(AG277="",AH277=""),"",IF((AG277+AH277)=0,0,100*ABS(AG277-AH277)/(AG277+AH277)))</f>
        <v>0</v>
      </c>
      <c r="AJ277">
        <f>IF(COUNT($AI$264:$AI$277)&lt;14,"",AVERAGE($AI$264:$AI$277))</f>
        <v>0</v>
      </c>
      <c r="AK277">
        <f>IF(COUNT($E$2:$E277)&lt;20,"",AVERAGE($E$258:$E$277))</f>
        <v>0</v>
      </c>
      <c r="AL277">
        <f>IF(COUNT($E$2:$E277)&lt;20,"",STDEVP($E$258:$E$277))</f>
        <v>0</v>
      </c>
      <c r="AM277">
        <f>IF(AK277="","",AK277+2*AL277)</f>
        <v>0</v>
      </c>
      <c r="AN277">
        <f>IF(AK277="","",AK277-2*AL277)</f>
        <v>0</v>
      </c>
      <c r="AO277">
        <f>IF(OR(AM277="",AN277="",AM277=AN277),"",($E277-AN277)/(AM277-AN277))</f>
        <v>0</v>
      </c>
      <c r="AP277">
        <f>IF(OR(AM277="",AK277="",AK277=0),"",(AM277-AN277)/AK277)</f>
        <v>0</v>
      </c>
      <c r="AQ277">
        <f>IF(COUNT($E$2:$E277)&lt;20,"",MAX($C$258:$C$277))</f>
        <v>0</v>
      </c>
      <c r="AR277">
        <f>IF(COUNT($E$2:$E277)&lt;20,"",MIN($D$258:$D$277))</f>
        <v>0</v>
      </c>
      <c r="AS277">
        <f>IF(OR(AQ277="",AR277=""),"",(AQ277+AR277)/2)</f>
        <v>0</v>
      </c>
      <c r="AT277">
        <f>IF(COUNT($G$258:$G$277)&lt;20,"",STDEV($G$258:$G$277)*SQRT(252))</f>
        <v>0</v>
      </c>
      <c r="AU277">
        <f>IF(COUNT($E$2:$E277)&lt;9,"",(MAX($C$269:$C$277)+MIN($D$269:$D$277))/2)</f>
        <v>0</v>
      </c>
      <c r="AV277">
        <f>IF(COUNT($E$2:$E277)&lt;26,"",(MAX($C$252:$C$277)+MIN($D$252:$D$277))/2)</f>
        <v>0</v>
      </c>
      <c r="AW277">
        <f>IF(OR(AU277="",AV277=""),"",(AU277+AV277)/2)</f>
        <v>0</v>
      </c>
      <c r="AX277">
        <f>IF(COUNT($E$2:$E277)&lt;52,"",(MAX($C$226:$C$277)+MIN($D$226:$D$277))/2)</f>
        <v>0</v>
      </c>
      <c r="AY277">
        <f>IF(COUNT($E$2:$E277)&lt;20,"",MAX($C$178:$C$277))</f>
        <v>0</v>
      </c>
      <c r="AZ277">
        <f>IF(COUNT($E$2:$E277)&lt;20,"",MIN($D$178:$D$277))</f>
        <v>0</v>
      </c>
      <c r="BA277">
        <f>IF(COUNT($E$2:$E277)&lt;20,"",SLOPE($E$178:$E$277,$F$178:$F$277))</f>
        <v>0</v>
      </c>
      <c r="BB277">
        <f>IF(COUNT($E$2:$E277)&lt;20,"",INTERCEPT($E$178:$E$277,$F$178:$F$277))</f>
        <v>0</v>
      </c>
      <c r="BC277">
        <f>IF(OR(BA277="",BB277=""),"",BB277+BA277*F277)</f>
        <v>0</v>
      </c>
      <c r="BD277">
        <f>IF(COUNT($E$2:$E277)&lt;20,"",STEYX($E$178:$E$277,$F$178:$F$277))</f>
        <v>0</v>
      </c>
      <c r="BE277">
        <f>IF($E277="","",IF(AND(COUNT($E$278:$E$281)&gt;=4,$C277=MAX($C$273:$C$281)),$C277,""))</f>
        <v>0</v>
      </c>
      <c r="BF277">
        <f>IF($E277="","",IF(AND(COUNT($E$278:$E$281)&gt;=4,$D277=MIN($D$273:$D$281)),$D277,""))</f>
        <v>0</v>
      </c>
      <c r="BG277">
        <f>IF($A277="","",$A277-WEEKDAY($A277,2)+1)</f>
        <v>0</v>
      </c>
      <c r="BH277">
        <f>IF($A277="","",IF($A276="",1,IF(BG277&lt;&gt;BG276,1,0)))</f>
        <v>0</v>
      </c>
      <c r="BI277">
        <f>IF($A277="","",IF($A278="",1,IF(BG278&lt;&gt;BG277,1,0)))</f>
        <v>0</v>
      </c>
      <c r="BJ277">
        <f>IF($A277="","",IF(BH277=1,$B277,BJ276))</f>
        <v>0</v>
      </c>
      <c r="BK277">
        <f>IF($A277="","",IF(BH277=1,$C277,MAX($C277,BK276)))</f>
        <v>0</v>
      </c>
      <c r="BL277">
        <f>IF($A277="","",IF(BH277=1,$D277,MIN($D277,BL276)))</f>
        <v>0</v>
      </c>
      <c r="BM277">
        <f>IF($A277="","",IF(BI277=1,F277,""))</f>
        <v>0</v>
      </c>
      <c r="BN277">
        <f>IF($A277="","",DATE(YEAR($A277),MONTH($A277),1))</f>
        <v>0</v>
      </c>
      <c r="BO277">
        <f>IF($A277="","",IF($A276="",1,IF(BN277&lt;&gt;BN276,1,0)))</f>
        <v>0</v>
      </c>
      <c r="BP277">
        <f>IF($A277="","",IF($A278="",1,IF(BN278&lt;&gt;BN277,1,0)))</f>
        <v>0</v>
      </c>
      <c r="BQ277">
        <f>IF($A277="","",IF(BO277=1,$B277,BQ276))</f>
        <v>0</v>
      </c>
      <c r="BR277">
        <f>IF($A277="","",IF(BO277=1,$C277,MAX($C277,BR276)))</f>
        <v>0</v>
      </c>
      <c r="BS277">
        <f>IF($A277="","",IF(BO277=1,$D277,MIN($D277,BS276)))</f>
        <v>0</v>
      </c>
      <c r="BT277">
        <f>IF($A277="","",IF(BP277=1,F277,""))</f>
        <v>0</v>
      </c>
    </row>
    <row r="278" spans="1:72">
      <c r="A278" s="27">
        <f>IF(Data!$A278="","",Data!$A278)</f>
        <v>0</v>
      </c>
      <c r="B278">
        <f>IF(Data!$B278="","",Data!$B278)</f>
        <v>0</v>
      </c>
      <c r="C278">
        <f>IF(Data!$C278="","",Data!$C278)</f>
        <v>0</v>
      </c>
      <c r="D278">
        <f>IF(Data!$D278="","",Data!$D278)</f>
        <v>0</v>
      </c>
      <c r="E278">
        <f>IF(Data!$E278="","",Data!$E278)</f>
        <v>0</v>
      </c>
      <c r="F278">
        <f>IF($E278="","",N(F277)+1)</f>
        <v>0</v>
      </c>
      <c r="G278">
        <f>IF(OR($E278="",$E277=""),"",LN($E278/$E277))</f>
        <v>0</v>
      </c>
      <c r="H278">
        <f>IF($E278="","",IF($E277="",$E278,$E278*0.0952380952+H277*0.9047619048))</f>
        <v>0</v>
      </c>
      <c r="I278">
        <f>IF($E278="","",IF($E277="",$E278,$E278*0.0392156863+I277*0.9607843137))</f>
        <v>0</v>
      </c>
      <c r="J278">
        <f>IF($E278="","",IF($E277="",$E278,$E278*0.0198019802+J277*0.9801980198))</f>
        <v>0</v>
      </c>
      <c r="K278">
        <f>IF($E278="","",IF($E277="",$E278,$E278*0.0099502488+K277*0.9900497512))</f>
        <v>0</v>
      </c>
      <c r="L278">
        <f>IF(OR($E278="",$E277=""),"",MAX($E278-$E277,0))</f>
        <v>0</v>
      </c>
      <c r="M278">
        <f>IF(OR($E278="",$E277=""),"",MAX($E277-$E278,0))</f>
        <v>0</v>
      </c>
      <c r="N278">
        <f>IF(COUNT($E$2:$E278)&lt;15,"",IF(AVERAGE($M$265:$M$278)=0,100,100-100/(1+AVERAGE($L$265:$L$278)/AVERAGE($M$265:$M$278))))</f>
        <v>0</v>
      </c>
      <c r="O278">
        <f>IF($E278="","",IF($E277="",$E278,$E278*0.1538461538+O277*0.8461538462))</f>
        <v>0</v>
      </c>
      <c r="P278">
        <f>IF($E278="","",IF($E277="",$E278,$E278*0.0740740741+P277*0.9259259259))</f>
        <v>0</v>
      </c>
      <c r="Q278">
        <f>IF(OR(O278="",P278=""),"",O278-P278)</f>
        <v>0</v>
      </c>
      <c r="R278">
        <f>IF(Q278="","",IF(R277="",Q278,Q278*0.2000000000+R277*0.8000000000))</f>
        <v>0</v>
      </c>
      <c r="S278">
        <f>IF(OR(Q278="",R278=""),"",Q278-R278)</f>
        <v>0</v>
      </c>
      <c r="T278">
        <f>IF(COUNT($E$2:$E278)&lt;14,"",MAX($C$265:$C$278))</f>
        <v>0</v>
      </c>
      <c r="U278">
        <f>IF(COUNT($E$2:$E278)&lt;14,"",MIN($D$265:$D$278))</f>
        <v>0</v>
      </c>
      <c r="V278">
        <f>IF(OR(T278="",U278="",T278=U278),"",100*($E278-U278)/(T278-U278))</f>
        <v>0</v>
      </c>
      <c r="W278">
        <f>IF(COUNT($V$276:$V$278)&lt;3,"",AVERAGE($V$276:$V$278))</f>
        <v>0</v>
      </c>
      <c r="X278">
        <f>IF(COUNT($N$265:$N$278)&lt;14,"",MIN($N$265:$N$278))</f>
        <v>0</v>
      </c>
      <c r="Y278">
        <f>IF(COUNT($N$265:$N$278)&lt;14,"",MAX($N$265:$N$278))</f>
        <v>0</v>
      </c>
      <c r="Z278">
        <f>IF(OR(N278="",X278="",Y278="",Y278=X278),"",100*(N278-X278)/(Y278-X278))</f>
        <v>0</v>
      </c>
      <c r="AA278">
        <f>IF(COUNT($Z$276:$Z$278)&lt;3,"",AVERAGE($Z$276:$Z$278))</f>
        <v>0</v>
      </c>
      <c r="AB278">
        <f>IF(COUNT($AA$276:$AA$278)&lt;3,"",AVERAGE($AA$276:$AA$278))</f>
        <v>0</v>
      </c>
      <c r="AC278">
        <f>IF($E278="","",MAX($C278-$D278,ABS($C278-$E277),ABS($D278-$E277)))</f>
        <v>0</v>
      </c>
      <c r="AD278">
        <f>IF(COUNT($E$2:$E278)&lt;15,"",AVERAGE($AC$265:$AC$278))</f>
        <v>0</v>
      </c>
      <c r="AE278">
        <f>IF(OR($E278="",$E277=""),"",IF(AND(($C278-$C277)&gt;($D277-$D278),($C278-$C277)&gt;0),$C278-$C277,0))</f>
        <v>0</v>
      </c>
      <c r="AF278">
        <f>IF(OR($E278="",$E277=""),"",IF(AND(($D277-$D278)&gt;($C278-$C277),($D277-$D278)&gt;0),$D277-$D278,0))</f>
        <v>0</v>
      </c>
      <c r="AG278">
        <f>IF(COUNT($E$2:$E278)&lt;15,"",IF(SUM($AC$265:$AC$278)=0,0,100*SUM($AE$265:$AE$278)/SUM($AC$265:$AC$278)))</f>
        <v>0</v>
      </c>
      <c r="AH278">
        <f>IF(COUNT($E$2:$E278)&lt;15,"",IF(SUM($AC$265:$AC$278)=0,0,100*SUM($AF$265:$AF$278)/SUM($AC$265:$AC$278)))</f>
        <v>0</v>
      </c>
      <c r="AI278">
        <f>IF(OR(AG278="",AH278=""),"",IF((AG278+AH278)=0,0,100*ABS(AG278-AH278)/(AG278+AH278)))</f>
        <v>0</v>
      </c>
      <c r="AJ278">
        <f>IF(COUNT($AI$265:$AI$278)&lt;14,"",AVERAGE($AI$265:$AI$278))</f>
        <v>0</v>
      </c>
      <c r="AK278">
        <f>IF(COUNT($E$2:$E278)&lt;20,"",AVERAGE($E$259:$E$278))</f>
        <v>0</v>
      </c>
      <c r="AL278">
        <f>IF(COUNT($E$2:$E278)&lt;20,"",STDEVP($E$259:$E$278))</f>
        <v>0</v>
      </c>
      <c r="AM278">
        <f>IF(AK278="","",AK278+2*AL278)</f>
        <v>0</v>
      </c>
      <c r="AN278">
        <f>IF(AK278="","",AK278-2*AL278)</f>
        <v>0</v>
      </c>
      <c r="AO278">
        <f>IF(OR(AM278="",AN278="",AM278=AN278),"",($E278-AN278)/(AM278-AN278))</f>
        <v>0</v>
      </c>
      <c r="AP278">
        <f>IF(OR(AM278="",AK278="",AK278=0),"",(AM278-AN278)/AK278)</f>
        <v>0</v>
      </c>
      <c r="AQ278">
        <f>IF(COUNT($E$2:$E278)&lt;20,"",MAX($C$259:$C$278))</f>
        <v>0</v>
      </c>
      <c r="AR278">
        <f>IF(COUNT($E$2:$E278)&lt;20,"",MIN($D$259:$D$278))</f>
        <v>0</v>
      </c>
      <c r="AS278">
        <f>IF(OR(AQ278="",AR278=""),"",(AQ278+AR278)/2)</f>
        <v>0</v>
      </c>
      <c r="AT278">
        <f>IF(COUNT($G$259:$G$278)&lt;20,"",STDEV($G$259:$G$278)*SQRT(252))</f>
        <v>0</v>
      </c>
      <c r="AU278">
        <f>IF(COUNT($E$2:$E278)&lt;9,"",(MAX($C$270:$C$278)+MIN($D$270:$D$278))/2)</f>
        <v>0</v>
      </c>
      <c r="AV278">
        <f>IF(COUNT($E$2:$E278)&lt;26,"",(MAX($C$253:$C$278)+MIN($D$253:$D$278))/2)</f>
        <v>0</v>
      </c>
      <c r="AW278">
        <f>IF(OR(AU278="",AV278=""),"",(AU278+AV278)/2)</f>
        <v>0</v>
      </c>
      <c r="AX278">
        <f>IF(COUNT($E$2:$E278)&lt;52,"",(MAX($C$227:$C$278)+MIN($D$227:$D$278))/2)</f>
        <v>0</v>
      </c>
      <c r="AY278">
        <f>IF(COUNT($E$2:$E278)&lt;20,"",MAX($C$179:$C$278))</f>
        <v>0</v>
      </c>
      <c r="AZ278">
        <f>IF(COUNT($E$2:$E278)&lt;20,"",MIN($D$179:$D$278))</f>
        <v>0</v>
      </c>
      <c r="BA278">
        <f>IF(COUNT($E$2:$E278)&lt;20,"",SLOPE($E$179:$E$278,$F$179:$F$278))</f>
        <v>0</v>
      </c>
      <c r="BB278">
        <f>IF(COUNT($E$2:$E278)&lt;20,"",INTERCEPT($E$179:$E$278,$F$179:$F$278))</f>
        <v>0</v>
      </c>
      <c r="BC278">
        <f>IF(OR(BA278="",BB278=""),"",BB278+BA278*F278)</f>
        <v>0</v>
      </c>
      <c r="BD278">
        <f>IF(COUNT($E$2:$E278)&lt;20,"",STEYX($E$179:$E$278,$F$179:$F$278))</f>
        <v>0</v>
      </c>
      <c r="BE278">
        <f>IF($E278="","",IF(AND(COUNT($E$279:$E$282)&gt;=4,$C278=MAX($C$274:$C$282)),$C278,""))</f>
        <v>0</v>
      </c>
      <c r="BF278">
        <f>IF($E278="","",IF(AND(COUNT($E$279:$E$282)&gt;=4,$D278=MIN($D$274:$D$282)),$D278,""))</f>
        <v>0</v>
      </c>
      <c r="BG278">
        <f>IF($A278="","",$A278-WEEKDAY($A278,2)+1)</f>
        <v>0</v>
      </c>
      <c r="BH278">
        <f>IF($A278="","",IF($A277="",1,IF(BG278&lt;&gt;BG277,1,0)))</f>
        <v>0</v>
      </c>
      <c r="BI278">
        <f>IF($A278="","",IF($A279="",1,IF(BG279&lt;&gt;BG278,1,0)))</f>
        <v>0</v>
      </c>
      <c r="BJ278">
        <f>IF($A278="","",IF(BH278=1,$B278,BJ277))</f>
        <v>0</v>
      </c>
      <c r="BK278">
        <f>IF($A278="","",IF(BH278=1,$C278,MAX($C278,BK277)))</f>
        <v>0</v>
      </c>
      <c r="BL278">
        <f>IF($A278="","",IF(BH278=1,$D278,MIN($D278,BL277)))</f>
        <v>0</v>
      </c>
      <c r="BM278">
        <f>IF($A278="","",IF(BI278=1,F278,""))</f>
        <v>0</v>
      </c>
      <c r="BN278">
        <f>IF($A278="","",DATE(YEAR($A278),MONTH($A278),1))</f>
        <v>0</v>
      </c>
      <c r="BO278">
        <f>IF($A278="","",IF($A277="",1,IF(BN278&lt;&gt;BN277,1,0)))</f>
        <v>0</v>
      </c>
      <c r="BP278">
        <f>IF($A278="","",IF($A279="",1,IF(BN279&lt;&gt;BN278,1,0)))</f>
        <v>0</v>
      </c>
      <c r="BQ278">
        <f>IF($A278="","",IF(BO278=1,$B278,BQ277))</f>
        <v>0</v>
      </c>
      <c r="BR278">
        <f>IF($A278="","",IF(BO278=1,$C278,MAX($C278,BR277)))</f>
        <v>0</v>
      </c>
      <c r="BS278">
        <f>IF($A278="","",IF(BO278=1,$D278,MIN($D278,BS277)))</f>
        <v>0</v>
      </c>
      <c r="BT278">
        <f>IF($A278="","",IF(BP278=1,F278,""))</f>
        <v>0</v>
      </c>
    </row>
    <row r="279" spans="1:72">
      <c r="A279" s="27">
        <f>IF(Data!$A279="","",Data!$A279)</f>
        <v>0</v>
      </c>
      <c r="B279">
        <f>IF(Data!$B279="","",Data!$B279)</f>
        <v>0</v>
      </c>
      <c r="C279">
        <f>IF(Data!$C279="","",Data!$C279)</f>
        <v>0</v>
      </c>
      <c r="D279">
        <f>IF(Data!$D279="","",Data!$D279)</f>
        <v>0</v>
      </c>
      <c r="E279">
        <f>IF(Data!$E279="","",Data!$E279)</f>
        <v>0</v>
      </c>
      <c r="F279">
        <f>IF($E279="","",N(F278)+1)</f>
        <v>0</v>
      </c>
      <c r="G279">
        <f>IF(OR($E279="",$E278=""),"",LN($E279/$E278))</f>
        <v>0</v>
      </c>
      <c r="H279">
        <f>IF($E279="","",IF($E278="",$E279,$E279*0.0952380952+H278*0.9047619048))</f>
        <v>0</v>
      </c>
      <c r="I279">
        <f>IF($E279="","",IF($E278="",$E279,$E279*0.0392156863+I278*0.9607843137))</f>
        <v>0</v>
      </c>
      <c r="J279">
        <f>IF($E279="","",IF($E278="",$E279,$E279*0.0198019802+J278*0.9801980198))</f>
        <v>0</v>
      </c>
      <c r="K279">
        <f>IF($E279="","",IF($E278="",$E279,$E279*0.0099502488+K278*0.9900497512))</f>
        <v>0</v>
      </c>
      <c r="L279">
        <f>IF(OR($E279="",$E278=""),"",MAX($E279-$E278,0))</f>
        <v>0</v>
      </c>
      <c r="M279">
        <f>IF(OR($E279="",$E278=""),"",MAX($E278-$E279,0))</f>
        <v>0</v>
      </c>
      <c r="N279">
        <f>IF(COUNT($E$2:$E279)&lt;15,"",IF(AVERAGE($M$266:$M$279)=0,100,100-100/(1+AVERAGE($L$266:$L$279)/AVERAGE($M$266:$M$279))))</f>
        <v>0</v>
      </c>
      <c r="O279">
        <f>IF($E279="","",IF($E278="",$E279,$E279*0.1538461538+O278*0.8461538462))</f>
        <v>0</v>
      </c>
      <c r="P279">
        <f>IF($E279="","",IF($E278="",$E279,$E279*0.0740740741+P278*0.9259259259))</f>
        <v>0</v>
      </c>
      <c r="Q279">
        <f>IF(OR(O279="",P279=""),"",O279-P279)</f>
        <v>0</v>
      </c>
      <c r="R279">
        <f>IF(Q279="","",IF(R278="",Q279,Q279*0.2000000000+R278*0.8000000000))</f>
        <v>0</v>
      </c>
      <c r="S279">
        <f>IF(OR(Q279="",R279=""),"",Q279-R279)</f>
        <v>0</v>
      </c>
      <c r="T279">
        <f>IF(COUNT($E$2:$E279)&lt;14,"",MAX($C$266:$C$279))</f>
        <v>0</v>
      </c>
      <c r="U279">
        <f>IF(COUNT($E$2:$E279)&lt;14,"",MIN($D$266:$D$279))</f>
        <v>0</v>
      </c>
      <c r="V279">
        <f>IF(OR(T279="",U279="",T279=U279),"",100*($E279-U279)/(T279-U279))</f>
        <v>0</v>
      </c>
      <c r="W279">
        <f>IF(COUNT($V$277:$V$279)&lt;3,"",AVERAGE($V$277:$V$279))</f>
        <v>0</v>
      </c>
      <c r="X279">
        <f>IF(COUNT($N$266:$N$279)&lt;14,"",MIN($N$266:$N$279))</f>
        <v>0</v>
      </c>
      <c r="Y279">
        <f>IF(COUNT($N$266:$N$279)&lt;14,"",MAX($N$266:$N$279))</f>
        <v>0</v>
      </c>
      <c r="Z279">
        <f>IF(OR(N279="",X279="",Y279="",Y279=X279),"",100*(N279-X279)/(Y279-X279))</f>
        <v>0</v>
      </c>
      <c r="AA279">
        <f>IF(COUNT($Z$277:$Z$279)&lt;3,"",AVERAGE($Z$277:$Z$279))</f>
        <v>0</v>
      </c>
      <c r="AB279">
        <f>IF(COUNT($AA$277:$AA$279)&lt;3,"",AVERAGE($AA$277:$AA$279))</f>
        <v>0</v>
      </c>
      <c r="AC279">
        <f>IF($E279="","",MAX($C279-$D279,ABS($C279-$E278),ABS($D279-$E278)))</f>
        <v>0</v>
      </c>
      <c r="AD279">
        <f>IF(COUNT($E$2:$E279)&lt;15,"",AVERAGE($AC$266:$AC$279))</f>
        <v>0</v>
      </c>
      <c r="AE279">
        <f>IF(OR($E279="",$E278=""),"",IF(AND(($C279-$C278)&gt;($D278-$D279),($C279-$C278)&gt;0),$C279-$C278,0))</f>
        <v>0</v>
      </c>
      <c r="AF279">
        <f>IF(OR($E279="",$E278=""),"",IF(AND(($D278-$D279)&gt;($C279-$C278),($D278-$D279)&gt;0),$D278-$D279,0))</f>
        <v>0</v>
      </c>
      <c r="AG279">
        <f>IF(COUNT($E$2:$E279)&lt;15,"",IF(SUM($AC$266:$AC$279)=0,0,100*SUM($AE$266:$AE$279)/SUM($AC$266:$AC$279)))</f>
        <v>0</v>
      </c>
      <c r="AH279">
        <f>IF(COUNT($E$2:$E279)&lt;15,"",IF(SUM($AC$266:$AC$279)=0,0,100*SUM($AF$266:$AF$279)/SUM($AC$266:$AC$279)))</f>
        <v>0</v>
      </c>
      <c r="AI279">
        <f>IF(OR(AG279="",AH279=""),"",IF((AG279+AH279)=0,0,100*ABS(AG279-AH279)/(AG279+AH279)))</f>
        <v>0</v>
      </c>
      <c r="AJ279">
        <f>IF(COUNT($AI$266:$AI$279)&lt;14,"",AVERAGE($AI$266:$AI$279))</f>
        <v>0</v>
      </c>
      <c r="AK279">
        <f>IF(COUNT($E$2:$E279)&lt;20,"",AVERAGE($E$260:$E$279))</f>
        <v>0</v>
      </c>
      <c r="AL279">
        <f>IF(COUNT($E$2:$E279)&lt;20,"",STDEVP($E$260:$E$279))</f>
        <v>0</v>
      </c>
      <c r="AM279">
        <f>IF(AK279="","",AK279+2*AL279)</f>
        <v>0</v>
      </c>
      <c r="AN279">
        <f>IF(AK279="","",AK279-2*AL279)</f>
        <v>0</v>
      </c>
      <c r="AO279">
        <f>IF(OR(AM279="",AN279="",AM279=AN279),"",($E279-AN279)/(AM279-AN279))</f>
        <v>0</v>
      </c>
      <c r="AP279">
        <f>IF(OR(AM279="",AK279="",AK279=0),"",(AM279-AN279)/AK279)</f>
        <v>0</v>
      </c>
      <c r="AQ279">
        <f>IF(COUNT($E$2:$E279)&lt;20,"",MAX($C$260:$C$279))</f>
        <v>0</v>
      </c>
      <c r="AR279">
        <f>IF(COUNT($E$2:$E279)&lt;20,"",MIN($D$260:$D$279))</f>
        <v>0</v>
      </c>
      <c r="AS279">
        <f>IF(OR(AQ279="",AR279=""),"",(AQ279+AR279)/2)</f>
        <v>0</v>
      </c>
      <c r="AT279">
        <f>IF(COUNT($G$260:$G$279)&lt;20,"",STDEV($G$260:$G$279)*SQRT(252))</f>
        <v>0</v>
      </c>
      <c r="AU279">
        <f>IF(COUNT($E$2:$E279)&lt;9,"",(MAX($C$271:$C$279)+MIN($D$271:$D$279))/2)</f>
        <v>0</v>
      </c>
      <c r="AV279">
        <f>IF(COUNT($E$2:$E279)&lt;26,"",(MAX($C$254:$C$279)+MIN($D$254:$D$279))/2)</f>
        <v>0</v>
      </c>
      <c r="AW279">
        <f>IF(OR(AU279="",AV279=""),"",(AU279+AV279)/2)</f>
        <v>0</v>
      </c>
      <c r="AX279">
        <f>IF(COUNT($E$2:$E279)&lt;52,"",(MAX($C$228:$C$279)+MIN($D$228:$D$279))/2)</f>
        <v>0</v>
      </c>
      <c r="AY279">
        <f>IF(COUNT($E$2:$E279)&lt;20,"",MAX($C$180:$C$279))</f>
        <v>0</v>
      </c>
      <c r="AZ279">
        <f>IF(COUNT($E$2:$E279)&lt;20,"",MIN($D$180:$D$279))</f>
        <v>0</v>
      </c>
      <c r="BA279">
        <f>IF(COUNT($E$2:$E279)&lt;20,"",SLOPE($E$180:$E$279,$F$180:$F$279))</f>
        <v>0</v>
      </c>
      <c r="BB279">
        <f>IF(COUNT($E$2:$E279)&lt;20,"",INTERCEPT($E$180:$E$279,$F$180:$F$279))</f>
        <v>0</v>
      </c>
      <c r="BC279">
        <f>IF(OR(BA279="",BB279=""),"",BB279+BA279*F279)</f>
        <v>0</v>
      </c>
      <c r="BD279">
        <f>IF(COUNT($E$2:$E279)&lt;20,"",STEYX($E$180:$E$279,$F$180:$F$279))</f>
        <v>0</v>
      </c>
      <c r="BE279">
        <f>IF($E279="","",IF(AND(COUNT($E$280:$E$283)&gt;=4,$C279=MAX($C$275:$C$283)),$C279,""))</f>
        <v>0</v>
      </c>
      <c r="BF279">
        <f>IF($E279="","",IF(AND(COUNT($E$280:$E$283)&gt;=4,$D279=MIN($D$275:$D$283)),$D279,""))</f>
        <v>0</v>
      </c>
      <c r="BG279">
        <f>IF($A279="","",$A279-WEEKDAY($A279,2)+1)</f>
        <v>0</v>
      </c>
      <c r="BH279">
        <f>IF($A279="","",IF($A278="",1,IF(BG279&lt;&gt;BG278,1,0)))</f>
        <v>0</v>
      </c>
      <c r="BI279">
        <f>IF($A279="","",IF($A280="",1,IF(BG280&lt;&gt;BG279,1,0)))</f>
        <v>0</v>
      </c>
      <c r="BJ279">
        <f>IF($A279="","",IF(BH279=1,$B279,BJ278))</f>
        <v>0</v>
      </c>
      <c r="BK279">
        <f>IF($A279="","",IF(BH279=1,$C279,MAX($C279,BK278)))</f>
        <v>0</v>
      </c>
      <c r="BL279">
        <f>IF($A279="","",IF(BH279=1,$D279,MIN($D279,BL278)))</f>
        <v>0</v>
      </c>
      <c r="BM279">
        <f>IF($A279="","",IF(BI279=1,F279,""))</f>
        <v>0</v>
      </c>
      <c r="BN279">
        <f>IF($A279="","",DATE(YEAR($A279),MONTH($A279),1))</f>
        <v>0</v>
      </c>
      <c r="BO279">
        <f>IF($A279="","",IF($A278="",1,IF(BN279&lt;&gt;BN278,1,0)))</f>
        <v>0</v>
      </c>
      <c r="BP279">
        <f>IF($A279="","",IF($A280="",1,IF(BN280&lt;&gt;BN279,1,0)))</f>
        <v>0</v>
      </c>
      <c r="BQ279">
        <f>IF($A279="","",IF(BO279=1,$B279,BQ278))</f>
        <v>0</v>
      </c>
      <c r="BR279">
        <f>IF($A279="","",IF(BO279=1,$C279,MAX($C279,BR278)))</f>
        <v>0</v>
      </c>
      <c r="BS279">
        <f>IF($A279="","",IF(BO279=1,$D279,MIN($D279,BS278)))</f>
        <v>0</v>
      </c>
      <c r="BT279">
        <f>IF($A279="","",IF(BP279=1,F279,""))</f>
        <v>0</v>
      </c>
    </row>
    <row r="280" spans="1:72">
      <c r="A280" s="27">
        <f>IF(Data!$A280="","",Data!$A280)</f>
        <v>0</v>
      </c>
      <c r="B280">
        <f>IF(Data!$B280="","",Data!$B280)</f>
        <v>0</v>
      </c>
      <c r="C280">
        <f>IF(Data!$C280="","",Data!$C280)</f>
        <v>0</v>
      </c>
      <c r="D280">
        <f>IF(Data!$D280="","",Data!$D280)</f>
        <v>0</v>
      </c>
      <c r="E280">
        <f>IF(Data!$E280="","",Data!$E280)</f>
        <v>0</v>
      </c>
      <c r="F280">
        <f>IF($E280="","",N(F279)+1)</f>
        <v>0</v>
      </c>
      <c r="G280">
        <f>IF(OR($E280="",$E279=""),"",LN($E280/$E279))</f>
        <v>0</v>
      </c>
      <c r="H280">
        <f>IF($E280="","",IF($E279="",$E280,$E280*0.0952380952+H279*0.9047619048))</f>
        <v>0</v>
      </c>
      <c r="I280">
        <f>IF($E280="","",IF($E279="",$E280,$E280*0.0392156863+I279*0.9607843137))</f>
        <v>0</v>
      </c>
      <c r="J280">
        <f>IF($E280="","",IF($E279="",$E280,$E280*0.0198019802+J279*0.9801980198))</f>
        <v>0</v>
      </c>
      <c r="K280">
        <f>IF($E280="","",IF($E279="",$E280,$E280*0.0099502488+K279*0.9900497512))</f>
        <v>0</v>
      </c>
      <c r="L280">
        <f>IF(OR($E280="",$E279=""),"",MAX($E280-$E279,0))</f>
        <v>0</v>
      </c>
      <c r="M280">
        <f>IF(OR($E280="",$E279=""),"",MAX($E279-$E280,0))</f>
        <v>0</v>
      </c>
      <c r="N280">
        <f>IF(COUNT($E$2:$E280)&lt;15,"",IF(AVERAGE($M$267:$M$280)=0,100,100-100/(1+AVERAGE($L$267:$L$280)/AVERAGE($M$267:$M$280))))</f>
        <v>0</v>
      </c>
      <c r="O280">
        <f>IF($E280="","",IF($E279="",$E280,$E280*0.1538461538+O279*0.8461538462))</f>
        <v>0</v>
      </c>
      <c r="P280">
        <f>IF($E280="","",IF($E279="",$E280,$E280*0.0740740741+P279*0.9259259259))</f>
        <v>0</v>
      </c>
      <c r="Q280">
        <f>IF(OR(O280="",P280=""),"",O280-P280)</f>
        <v>0</v>
      </c>
      <c r="R280">
        <f>IF(Q280="","",IF(R279="",Q280,Q280*0.2000000000+R279*0.8000000000))</f>
        <v>0</v>
      </c>
      <c r="S280">
        <f>IF(OR(Q280="",R280=""),"",Q280-R280)</f>
        <v>0</v>
      </c>
      <c r="T280">
        <f>IF(COUNT($E$2:$E280)&lt;14,"",MAX($C$267:$C$280))</f>
        <v>0</v>
      </c>
      <c r="U280">
        <f>IF(COUNT($E$2:$E280)&lt;14,"",MIN($D$267:$D$280))</f>
        <v>0</v>
      </c>
      <c r="V280">
        <f>IF(OR(T280="",U280="",T280=U280),"",100*($E280-U280)/(T280-U280))</f>
        <v>0</v>
      </c>
      <c r="W280">
        <f>IF(COUNT($V$278:$V$280)&lt;3,"",AVERAGE($V$278:$V$280))</f>
        <v>0</v>
      </c>
      <c r="X280">
        <f>IF(COUNT($N$267:$N$280)&lt;14,"",MIN($N$267:$N$280))</f>
        <v>0</v>
      </c>
      <c r="Y280">
        <f>IF(COUNT($N$267:$N$280)&lt;14,"",MAX($N$267:$N$280))</f>
        <v>0</v>
      </c>
      <c r="Z280">
        <f>IF(OR(N280="",X280="",Y280="",Y280=X280),"",100*(N280-X280)/(Y280-X280))</f>
        <v>0</v>
      </c>
      <c r="AA280">
        <f>IF(COUNT($Z$278:$Z$280)&lt;3,"",AVERAGE($Z$278:$Z$280))</f>
        <v>0</v>
      </c>
      <c r="AB280">
        <f>IF(COUNT($AA$278:$AA$280)&lt;3,"",AVERAGE($AA$278:$AA$280))</f>
        <v>0</v>
      </c>
      <c r="AC280">
        <f>IF($E280="","",MAX($C280-$D280,ABS($C280-$E279),ABS($D280-$E279)))</f>
        <v>0</v>
      </c>
      <c r="AD280">
        <f>IF(COUNT($E$2:$E280)&lt;15,"",AVERAGE($AC$267:$AC$280))</f>
        <v>0</v>
      </c>
      <c r="AE280">
        <f>IF(OR($E280="",$E279=""),"",IF(AND(($C280-$C279)&gt;($D279-$D280),($C280-$C279)&gt;0),$C280-$C279,0))</f>
        <v>0</v>
      </c>
      <c r="AF280">
        <f>IF(OR($E280="",$E279=""),"",IF(AND(($D279-$D280)&gt;($C280-$C279),($D279-$D280)&gt;0),$D279-$D280,0))</f>
        <v>0</v>
      </c>
      <c r="AG280">
        <f>IF(COUNT($E$2:$E280)&lt;15,"",IF(SUM($AC$267:$AC$280)=0,0,100*SUM($AE$267:$AE$280)/SUM($AC$267:$AC$280)))</f>
        <v>0</v>
      </c>
      <c r="AH280">
        <f>IF(COUNT($E$2:$E280)&lt;15,"",IF(SUM($AC$267:$AC$280)=0,0,100*SUM($AF$267:$AF$280)/SUM($AC$267:$AC$280)))</f>
        <v>0</v>
      </c>
      <c r="AI280">
        <f>IF(OR(AG280="",AH280=""),"",IF((AG280+AH280)=0,0,100*ABS(AG280-AH280)/(AG280+AH280)))</f>
        <v>0</v>
      </c>
      <c r="AJ280">
        <f>IF(COUNT($AI$267:$AI$280)&lt;14,"",AVERAGE($AI$267:$AI$280))</f>
        <v>0</v>
      </c>
      <c r="AK280">
        <f>IF(COUNT($E$2:$E280)&lt;20,"",AVERAGE($E$261:$E$280))</f>
        <v>0</v>
      </c>
      <c r="AL280">
        <f>IF(COUNT($E$2:$E280)&lt;20,"",STDEVP($E$261:$E$280))</f>
        <v>0</v>
      </c>
      <c r="AM280">
        <f>IF(AK280="","",AK280+2*AL280)</f>
        <v>0</v>
      </c>
      <c r="AN280">
        <f>IF(AK280="","",AK280-2*AL280)</f>
        <v>0</v>
      </c>
      <c r="AO280">
        <f>IF(OR(AM280="",AN280="",AM280=AN280),"",($E280-AN280)/(AM280-AN280))</f>
        <v>0</v>
      </c>
      <c r="AP280">
        <f>IF(OR(AM280="",AK280="",AK280=0),"",(AM280-AN280)/AK280)</f>
        <v>0</v>
      </c>
      <c r="AQ280">
        <f>IF(COUNT($E$2:$E280)&lt;20,"",MAX($C$261:$C$280))</f>
        <v>0</v>
      </c>
      <c r="AR280">
        <f>IF(COUNT($E$2:$E280)&lt;20,"",MIN($D$261:$D$280))</f>
        <v>0</v>
      </c>
      <c r="AS280">
        <f>IF(OR(AQ280="",AR280=""),"",(AQ280+AR280)/2)</f>
        <v>0</v>
      </c>
      <c r="AT280">
        <f>IF(COUNT($G$261:$G$280)&lt;20,"",STDEV($G$261:$G$280)*SQRT(252))</f>
        <v>0</v>
      </c>
      <c r="AU280">
        <f>IF(COUNT($E$2:$E280)&lt;9,"",(MAX($C$272:$C$280)+MIN($D$272:$D$280))/2)</f>
        <v>0</v>
      </c>
      <c r="AV280">
        <f>IF(COUNT($E$2:$E280)&lt;26,"",(MAX($C$255:$C$280)+MIN($D$255:$D$280))/2)</f>
        <v>0</v>
      </c>
      <c r="AW280">
        <f>IF(OR(AU280="",AV280=""),"",(AU280+AV280)/2)</f>
        <v>0</v>
      </c>
      <c r="AX280">
        <f>IF(COUNT($E$2:$E280)&lt;52,"",(MAX($C$229:$C$280)+MIN($D$229:$D$280))/2)</f>
        <v>0</v>
      </c>
      <c r="AY280">
        <f>IF(COUNT($E$2:$E280)&lt;20,"",MAX($C$181:$C$280))</f>
        <v>0</v>
      </c>
      <c r="AZ280">
        <f>IF(COUNT($E$2:$E280)&lt;20,"",MIN($D$181:$D$280))</f>
        <v>0</v>
      </c>
      <c r="BA280">
        <f>IF(COUNT($E$2:$E280)&lt;20,"",SLOPE($E$181:$E$280,$F$181:$F$280))</f>
        <v>0</v>
      </c>
      <c r="BB280">
        <f>IF(COUNT($E$2:$E280)&lt;20,"",INTERCEPT($E$181:$E$280,$F$181:$F$280))</f>
        <v>0</v>
      </c>
      <c r="BC280">
        <f>IF(OR(BA280="",BB280=""),"",BB280+BA280*F280)</f>
        <v>0</v>
      </c>
      <c r="BD280">
        <f>IF(COUNT($E$2:$E280)&lt;20,"",STEYX($E$181:$E$280,$F$181:$F$280))</f>
        <v>0</v>
      </c>
      <c r="BE280">
        <f>IF($E280="","",IF(AND(COUNT($E$281:$E$284)&gt;=4,$C280=MAX($C$276:$C$284)),$C280,""))</f>
        <v>0</v>
      </c>
      <c r="BF280">
        <f>IF($E280="","",IF(AND(COUNT($E$281:$E$284)&gt;=4,$D280=MIN($D$276:$D$284)),$D280,""))</f>
        <v>0</v>
      </c>
      <c r="BG280">
        <f>IF($A280="","",$A280-WEEKDAY($A280,2)+1)</f>
        <v>0</v>
      </c>
      <c r="BH280">
        <f>IF($A280="","",IF($A279="",1,IF(BG280&lt;&gt;BG279,1,0)))</f>
        <v>0</v>
      </c>
      <c r="BI280">
        <f>IF($A280="","",IF($A281="",1,IF(BG281&lt;&gt;BG280,1,0)))</f>
        <v>0</v>
      </c>
      <c r="BJ280">
        <f>IF($A280="","",IF(BH280=1,$B280,BJ279))</f>
        <v>0</v>
      </c>
      <c r="BK280">
        <f>IF($A280="","",IF(BH280=1,$C280,MAX($C280,BK279)))</f>
        <v>0</v>
      </c>
      <c r="BL280">
        <f>IF($A280="","",IF(BH280=1,$D280,MIN($D280,BL279)))</f>
        <v>0</v>
      </c>
      <c r="BM280">
        <f>IF($A280="","",IF(BI280=1,F280,""))</f>
        <v>0</v>
      </c>
      <c r="BN280">
        <f>IF($A280="","",DATE(YEAR($A280),MONTH($A280),1))</f>
        <v>0</v>
      </c>
      <c r="BO280">
        <f>IF($A280="","",IF($A279="",1,IF(BN280&lt;&gt;BN279,1,0)))</f>
        <v>0</v>
      </c>
      <c r="BP280">
        <f>IF($A280="","",IF($A281="",1,IF(BN281&lt;&gt;BN280,1,0)))</f>
        <v>0</v>
      </c>
      <c r="BQ280">
        <f>IF($A280="","",IF(BO280=1,$B280,BQ279))</f>
        <v>0</v>
      </c>
      <c r="BR280">
        <f>IF($A280="","",IF(BO280=1,$C280,MAX($C280,BR279)))</f>
        <v>0</v>
      </c>
      <c r="BS280">
        <f>IF($A280="","",IF(BO280=1,$D280,MIN($D280,BS279)))</f>
        <v>0</v>
      </c>
      <c r="BT280">
        <f>IF($A280="","",IF(BP280=1,F280,""))</f>
        <v>0</v>
      </c>
    </row>
    <row r="281" spans="1:72">
      <c r="A281" s="27">
        <f>IF(Data!$A281="","",Data!$A281)</f>
        <v>0</v>
      </c>
      <c r="B281">
        <f>IF(Data!$B281="","",Data!$B281)</f>
        <v>0</v>
      </c>
      <c r="C281">
        <f>IF(Data!$C281="","",Data!$C281)</f>
        <v>0</v>
      </c>
      <c r="D281">
        <f>IF(Data!$D281="","",Data!$D281)</f>
        <v>0</v>
      </c>
      <c r="E281">
        <f>IF(Data!$E281="","",Data!$E281)</f>
        <v>0</v>
      </c>
      <c r="F281">
        <f>IF($E281="","",N(F280)+1)</f>
        <v>0</v>
      </c>
      <c r="G281">
        <f>IF(OR($E281="",$E280=""),"",LN($E281/$E280))</f>
        <v>0</v>
      </c>
      <c r="H281">
        <f>IF($E281="","",IF($E280="",$E281,$E281*0.0952380952+H280*0.9047619048))</f>
        <v>0</v>
      </c>
      <c r="I281">
        <f>IF($E281="","",IF($E280="",$E281,$E281*0.0392156863+I280*0.9607843137))</f>
        <v>0</v>
      </c>
      <c r="J281">
        <f>IF($E281="","",IF($E280="",$E281,$E281*0.0198019802+J280*0.9801980198))</f>
        <v>0</v>
      </c>
      <c r="K281">
        <f>IF($E281="","",IF($E280="",$E281,$E281*0.0099502488+K280*0.9900497512))</f>
        <v>0</v>
      </c>
      <c r="L281">
        <f>IF(OR($E281="",$E280=""),"",MAX($E281-$E280,0))</f>
        <v>0</v>
      </c>
      <c r="M281">
        <f>IF(OR($E281="",$E280=""),"",MAX($E280-$E281,0))</f>
        <v>0</v>
      </c>
      <c r="N281">
        <f>IF(COUNT($E$2:$E281)&lt;15,"",IF(AVERAGE($M$268:$M$281)=0,100,100-100/(1+AVERAGE($L$268:$L$281)/AVERAGE($M$268:$M$281))))</f>
        <v>0</v>
      </c>
      <c r="O281">
        <f>IF($E281="","",IF($E280="",$E281,$E281*0.1538461538+O280*0.8461538462))</f>
        <v>0</v>
      </c>
      <c r="P281">
        <f>IF($E281="","",IF($E280="",$E281,$E281*0.0740740741+P280*0.9259259259))</f>
        <v>0</v>
      </c>
      <c r="Q281">
        <f>IF(OR(O281="",P281=""),"",O281-P281)</f>
        <v>0</v>
      </c>
      <c r="R281">
        <f>IF(Q281="","",IF(R280="",Q281,Q281*0.2000000000+R280*0.8000000000))</f>
        <v>0</v>
      </c>
      <c r="S281">
        <f>IF(OR(Q281="",R281=""),"",Q281-R281)</f>
        <v>0</v>
      </c>
      <c r="T281">
        <f>IF(COUNT($E$2:$E281)&lt;14,"",MAX($C$268:$C$281))</f>
        <v>0</v>
      </c>
      <c r="U281">
        <f>IF(COUNT($E$2:$E281)&lt;14,"",MIN($D$268:$D$281))</f>
        <v>0</v>
      </c>
      <c r="V281">
        <f>IF(OR(T281="",U281="",T281=U281),"",100*($E281-U281)/(T281-U281))</f>
        <v>0</v>
      </c>
      <c r="W281">
        <f>IF(COUNT($V$279:$V$281)&lt;3,"",AVERAGE($V$279:$V$281))</f>
        <v>0</v>
      </c>
      <c r="X281">
        <f>IF(COUNT($N$268:$N$281)&lt;14,"",MIN($N$268:$N$281))</f>
        <v>0</v>
      </c>
      <c r="Y281">
        <f>IF(COUNT($N$268:$N$281)&lt;14,"",MAX($N$268:$N$281))</f>
        <v>0</v>
      </c>
      <c r="Z281">
        <f>IF(OR(N281="",X281="",Y281="",Y281=X281),"",100*(N281-X281)/(Y281-X281))</f>
        <v>0</v>
      </c>
      <c r="AA281">
        <f>IF(COUNT($Z$279:$Z$281)&lt;3,"",AVERAGE($Z$279:$Z$281))</f>
        <v>0</v>
      </c>
      <c r="AB281">
        <f>IF(COUNT($AA$279:$AA$281)&lt;3,"",AVERAGE($AA$279:$AA$281))</f>
        <v>0</v>
      </c>
      <c r="AC281">
        <f>IF($E281="","",MAX($C281-$D281,ABS($C281-$E280),ABS($D281-$E280)))</f>
        <v>0</v>
      </c>
      <c r="AD281">
        <f>IF(COUNT($E$2:$E281)&lt;15,"",AVERAGE($AC$268:$AC$281))</f>
        <v>0</v>
      </c>
      <c r="AE281">
        <f>IF(OR($E281="",$E280=""),"",IF(AND(($C281-$C280)&gt;($D280-$D281),($C281-$C280)&gt;0),$C281-$C280,0))</f>
        <v>0</v>
      </c>
      <c r="AF281">
        <f>IF(OR($E281="",$E280=""),"",IF(AND(($D280-$D281)&gt;($C281-$C280),($D280-$D281)&gt;0),$D280-$D281,0))</f>
        <v>0</v>
      </c>
      <c r="AG281">
        <f>IF(COUNT($E$2:$E281)&lt;15,"",IF(SUM($AC$268:$AC$281)=0,0,100*SUM($AE$268:$AE$281)/SUM($AC$268:$AC$281)))</f>
        <v>0</v>
      </c>
      <c r="AH281">
        <f>IF(COUNT($E$2:$E281)&lt;15,"",IF(SUM($AC$268:$AC$281)=0,0,100*SUM($AF$268:$AF$281)/SUM($AC$268:$AC$281)))</f>
        <v>0</v>
      </c>
      <c r="AI281">
        <f>IF(OR(AG281="",AH281=""),"",IF((AG281+AH281)=0,0,100*ABS(AG281-AH281)/(AG281+AH281)))</f>
        <v>0</v>
      </c>
      <c r="AJ281">
        <f>IF(COUNT($AI$268:$AI$281)&lt;14,"",AVERAGE($AI$268:$AI$281))</f>
        <v>0</v>
      </c>
      <c r="AK281">
        <f>IF(COUNT($E$2:$E281)&lt;20,"",AVERAGE($E$262:$E$281))</f>
        <v>0</v>
      </c>
      <c r="AL281">
        <f>IF(COUNT($E$2:$E281)&lt;20,"",STDEVP($E$262:$E$281))</f>
        <v>0</v>
      </c>
      <c r="AM281">
        <f>IF(AK281="","",AK281+2*AL281)</f>
        <v>0</v>
      </c>
      <c r="AN281">
        <f>IF(AK281="","",AK281-2*AL281)</f>
        <v>0</v>
      </c>
      <c r="AO281">
        <f>IF(OR(AM281="",AN281="",AM281=AN281),"",($E281-AN281)/(AM281-AN281))</f>
        <v>0</v>
      </c>
      <c r="AP281">
        <f>IF(OR(AM281="",AK281="",AK281=0),"",(AM281-AN281)/AK281)</f>
        <v>0</v>
      </c>
      <c r="AQ281">
        <f>IF(COUNT($E$2:$E281)&lt;20,"",MAX($C$262:$C$281))</f>
        <v>0</v>
      </c>
      <c r="AR281">
        <f>IF(COUNT($E$2:$E281)&lt;20,"",MIN($D$262:$D$281))</f>
        <v>0</v>
      </c>
      <c r="AS281">
        <f>IF(OR(AQ281="",AR281=""),"",(AQ281+AR281)/2)</f>
        <v>0</v>
      </c>
      <c r="AT281">
        <f>IF(COUNT($G$262:$G$281)&lt;20,"",STDEV($G$262:$G$281)*SQRT(252))</f>
        <v>0</v>
      </c>
      <c r="AU281">
        <f>IF(COUNT($E$2:$E281)&lt;9,"",(MAX($C$273:$C$281)+MIN($D$273:$D$281))/2)</f>
        <v>0</v>
      </c>
      <c r="AV281">
        <f>IF(COUNT($E$2:$E281)&lt;26,"",(MAX($C$256:$C$281)+MIN($D$256:$D$281))/2)</f>
        <v>0</v>
      </c>
      <c r="AW281">
        <f>IF(OR(AU281="",AV281=""),"",(AU281+AV281)/2)</f>
        <v>0</v>
      </c>
      <c r="AX281">
        <f>IF(COUNT($E$2:$E281)&lt;52,"",(MAX($C$230:$C$281)+MIN($D$230:$D$281))/2)</f>
        <v>0</v>
      </c>
      <c r="AY281">
        <f>IF(COUNT($E$2:$E281)&lt;20,"",MAX($C$182:$C$281))</f>
        <v>0</v>
      </c>
      <c r="AZ281">
        <f>IF(COUNT($E$2:$E281)&lt;20,"",MIN($D$182:$D$281))</f>
        <v>0</v>
      </c>
      <c r="BA281">
        <f>IF(COUNT($E$2:$E281)&lt;20,"",SLOPE($E$182:$E$281,$F$182:$F$281))</f>
        <v>0</v>
      </c>
      <c r="BB281">
        <f>IF(COUNT($E$2:$E281)&lt;20,"",INTERCEPT($E$182:$E$281,$F$182:$F$281))</f>
        <v>0</v>
      </c>
      <c r="BC281">
        <f>IF(OR(BA281="",BB281=""),"",BB281+BA281*F281)</f>
        <v>0</v>
      </c>
      <c r="BD281">
        <f>IF(COUNT($E$2:$E281)&lt;20,"",STEYX($E$182:$E$281,$F$182:$F$281))</f>
        <v>0</v>
      </c>
      <c r="BE281">
        <f>IF($E281="","",IF(AND(COUNT($E$282:$E$285)&gt;=4,$C281=MAX($C$277:$C$285)),$C281,""))</f>
        <v>0</v>
      </c>
      <c r="BF281">
        <f>IF($E281="","",IF(AND(COUNT($E$282:$E$285)&gt;=4,$D281=MIN($D$277:$D$285)),$D281,""))</f>
        <v>0</v>
      </c>
      <c r="BG281">
        <f>IF($A281="","",$A281-WEEKDAY($A281,2)+1)</f>
        <v>0</v>
      </c>
      <c r="BH281">
        <f>IF($A281="","",IF($A280="",1,IF(BG281&lt;&gt;BG280,1,0)))</f>
        <v>0</v>
      </c>
      <c r="BI281">
        <f>IF($A281="","",IF($A282="",1,IF(BG282&lt;&gt;BG281,1,0)))</f>
        <v>0</v>
      </c>
      <c r="BJ281">
        <f>IF($A281="","",IF(BH281=1,$B281,BJ280))</f>
        <v>0</v>
      </c>
      <c r="BK281">
        <f>IF($A281="","",IF(BH281=1,$C281,MAX($C281,BK280)))</f>
        <v>0</v>
      </c>
      <c r="BL281">
        <f>IF($A281="","",IF(BH281=1,$D281,MIN($D281,BL280)))</f>
        <v>0</v>
      </c>
      <c r="BM281">
        <f>IF($A281="","",IF(BI281=1,F281,""))</f>
        <v>0</v>
      </c>
      <c r="BN281">
        <f>IF($A281="","",DATE(YEAR($A281),MONTH($A281),1))</f>
        <v>0</v>
      </c>
      <c r="BO281">
        <f>IF($A281="","",IF($A280="",1,IF(BN281&lt;&gt;BN280,1,0)))</f>
        <v>0</v>
      </c>
      <c r="BP281">
        <f>IF($A281="","",IF($A282="",1,IF(BN282&lt;&gt;BN281,1,0)))</f>
        <v>0</v>
      </c>
      <c r="BQ281">
        <f>IF($A281="","",IF(BO281=1,$B281,BQ280))</f>
        <v>0</v>
      </c>
      <c r="BR281">
        <f>IF($A281="","",IF(BO281=1,$C281,MAX($C281,BR280)))</f>
        <v>0</v>
      </c>
      <c r="BS281">
        <f>IF($A281="","",IF(BO281=1,$D281,MIN($D281,BS280)))</f>
        <v>0</v>
      </c>
      <c r="BT281">
        <f>IF($A281="","",IF(BP281=1,F281,""))</f>
        <v>0</v>
      </c>
    </row>
    <row r="282" spans="1:72">
      <c r="A282" s="27">
        <f>IF(Data!$A282="","",Data!$A282)</f>
        <v>0</v>
      </c>
      <c r="B282">
        <f>IF(Data!$B282="","",Data!$B282)</f>
        <v>0</v>
      </c>
      <c r="C282">
        <f>IF(Data!$C282="","",Data!$C282)</f>
        <v>0</v>
      </c>
      <c r="D282">
        <f>IF(Data!$D282="","",Data!$D282)</f>
        <v>0</v>
      </c>
      <c r="E282">
        <f>IF(Data!$E282="","",Data!$E282)</f>
        <v>0</v>
      </c>
      <c r="F282">
        <f>IF($E282="","",N(F281)+1)</f>
        <v>0</v>
      </c>
      <c r="G282">
        <f>IF(OR($E282="",$E281=""),"",LN($E282/$E281))</f>
        <v>0</v>
      </c>
      <c r="H282">
        <f>IF($E282="","",IF($E281="",$E282,$E282*0.0952380952+H281*0.9047619048))</f>
        <v>0</v>
      </c>
      <c r="I282">
        <f>IF($E282="","",IF($E281="",$E282,$E282*0.0392156863+I281*0.9607843137))</f>
        <v>0</v>
      </c>
      <c r="J282">
        <f>IF($E282="","",IF($E281="",$E282,$E282*0.0198019802+J281*0.9801980198))</f>
        <v>0</v>
      </c>
      <c r="K282">
        <f>IF($E282="","",IF($E281="",$E282,$E282*0.0099502488+K281*0.9900497512))</f>
        <v>0</v>
      </c>
      <c r="L282">
        <f>IF(OR($E282="",$E281=""),"",MAX($E282-$E281,0))</f>
        <v>0</v>
      </c>
      <c r="M282">
        <f>IF(OR($E282="",$E281=""),"",MAX($E281-$E282,0))</f>
        <v>0</v>
      </c>
      <c r="N282">
        <f>IF(COUNT($E$2:$E282)&lt;15,"",IF(AVERAGE($M$269:$M$282)=0,100,100-100/(1+AVERAGE($L$269:$L$282)/AVERAGE($M$269:$M$282))))</f>
        <v>0</v>
      </c>
      <c r="O282">
        <f>IF($E282="","",IF($E281="",$E282,$E282*0.1538461538+O281*0.8461538462))</f>
        <v>0</v>
      </c>
      <c r="P282">
        <f>IF($E282="","",IF($E281="",$E282,$E282*0.0740740741+P281*0.9259259259))</f>
        <v>0</v>
      </c>
      <c r="Q282">
        <f>IF(OR(O282="",P282=""),"",O282-P282)</f>
        <v>0</v>
      </c>
      <c r="R282">
        <f>IF(Q282="","",IF(R281="",Q282,Q282*0.2000000000+R281*0.8000000000))</f>
        <v>0</v>
      </c>
      <c r="S282">
        <f>IF(OR(Q282="",R282=""),"",Q282-R282)</f>
        <v>0</v>
      </c>
      <c r="T282">
        <f>IF(COUNT($E$2:$E282)&lt;14,"",MAX($C$269:$C$282))</f>
        <v>0</v>
      </c>
      <c r="U282">
        <f>IF(COUNT($E$2:$E282)&lt;14,"",MIN($D$269:$D$282))</f>
        <v>0</v>
      </c>
      <c r="V282">
        <f>IF(OR(T282="",U282="",T282=U282),"",100*($E282-U282)/(T282-U282))</f>
        <v>0</v>
      </c>
      <c r="W282">
        <f>IF(COUNT($V$280:$V$282)&lt;3,"",AVERAGE($V$280:$V$282))</f>
        <v>0</v>
      </c>
      <c r="X282">
        <f>IF(COUNT($N$269:$N$282)&lt;14,"",MIN($N$269:$N$282))</f>
        <v>0</v>
      </c>
      <c r="Y282">
        <f>IF(COUNT($N$269:$N$282)&lt;14,"",MAX($N$269:$N$282))</f>
        <v>0</v>
      </c>
      <c r="Z282">
        <f>IF(OR(N282="",X282="",Y282="",Y282=X282),"",100*(N282-X282)/(Y282-X282))</f>
        <v>0</v>
      </c>
      <c r="AA282">
        <f>IF(COUNT($Z$280:$Z$282)&lt;3,"",AVERAGE($Z$280:$Z$282))</f>
        <v>0</v>
      </c>
      <c r="AB282">
        <f>IF(COUNT($AA$280:$AA$282)&lt;3,"",AVERAGE($AA$280:$AA$282))</f>
        <v>0</v>
      </c>
      <c r="AC282">
        <f>IF($E282="","",MAX($C282-$D282,ABS($C282-$E281),ABS($D282-$E281)))</f>
        <v>0</v>
      </c>
      <c r="AD282">
        <f>IF(COUNT($E$2:$E282)&lt;15,"",AVERAGE($AC$269:$AC$282))</f>
        <v>0</v>
      </c>
      <c r="AE282">
        <f>IF(OR($E282="",$E281=""),"",IF(AND(($C282-$C281)&gt;($D281-$D282),($C282-$C281)&gt;0),$C282-$C281,0))</f>
        <v>0</v>
      </c>
      <c r="AF282">
        <f>IF(OR($E282="",$E281=""),"",IF(AND(($D281-$D282)&gt;($C282-$C281),($D281-$D282)&gt;0),$D281-$D282,0))</f>
        <v>0</v>
      </c>
      <c r="AG282">
        <f>IF(COUNT($E$2:$E282)&lt;15,"",IF(SUM($AC$269:$AC$282)=0,0,100*SUM($AE$269:$AE$282)/SUM($AC$269:$AC$282)))</f>
        <v>0</v>
      </c>
      <c r="AH282">
        <f>IF(COUNT($E$2:$E282)&lt;15,"",IF(SUM($AC$269:$AC$282)=0,0,100*SUM($AF$269:$AF$282)/SUM($AC$269:$AC$282)))</f>
        <v>0</v>
      </c>
      <c r="AI282">
        <f>IF(OR(AG282="",AH282=""),"",IF((AG282+AH282)=0,0,100*ABS(AG282-AH282)/(AG282+AH282)))</f>
        <v>0</v>
      </c>
      <c r="AJ282">
        <f>IF(COUNT($AI$269:$AI$282)&lt;14,"",AVERAGE($AI$269:$AI$282))</f>
        <v>0</v>
      </c>
      <c r="AK282">
        <f>IF(COUNT($E$2:$E282)&lt;20,"",AVERAGE($E$263:$E$282))</f>
        <v>0</v>
      </c>
      <c r="AL282">
        <f>IF(COUNT($E$2:$E282)&lt;20,"",STDEVP($E$263:$E$282))</f>
        <v>0</v>
      </c>
      <c r="AM282">
        <f>IF(AK282="","",AK282+2*AL282)</f>
        <v>0</v>
      </c>
      <c r="AN282">
        <f>IF(AK282="","",AK282-2*AL282)</f>
        <v>0</v>
      </c>
      <c r="AO282">
        <f>IF(OR(AM282="",AN282="",AM282=AN282),"",($E282-AN282)/(AM282-AN282))</f>
        <v>0</v>
      </c>
      <c r="AP282">
        <f>IF(OR(AM282="",AK282="",AK282=0),"",(AM282-AN282)/AK282)</f>
        <v>0</v>
      </c>
      <c r="AQ282">
        <f>IF(COUNT($E$2:$E282)&lt;20,"",MAX($C$263:$C$282))</f>
        <v>0</v>
      </c>
      <c r="AR282">
        <f>IF(COUNT($E$2:$E282)&lt;20,"",MIN($D$263:$D$282))</f>
        <v>0</v>
      </c>
      <c r="AS282">
        <f>IF(OR(AQ282="",AR282=""),"",(AQ282+AR282)/2)</f>
        <v>0</v>
      </c>
      <c r="AT282">
        <f>IF(COUNT($G$263:$G$282)&lt;20,"",STDEV($G$263:$G$282)*SQRT(252))</f>
        <v>0</v>
      </c>
      <c r="AU282">
        <f>IF(COUNT($E$2:$E282)&lt;9,"",(MAX($C$274:$C$282)+MIN($D$274:$D$282))/2)</f>
        <v>0</v>
      </c>
      <c r="AV282">
        <f>IF(COUNT($E$2:$E282)&lt;26,"",(MAX($C$257:$C$282)+MIN($D$257:$D$282))/2)</f>
        <v>0</v>
      </c>
      <c r="AW282">
        <f>IF(OR(AU282="",AV282=""),"",(AU282+AV282)/2)</f>
        <v>0</v>
      </c>
      <c r="AX282">
        <f>IF(COUNT($E$2:$E282)&lt;52,"",(MAX($C$231:$C$282)+MIN($D$231:$D$282))/2)</f>
        <v>0</v>
      </c>
      <c r="AY282">
        <f>IF(COUNT($E$2:$E282)&lt;20,"",MAX($C$183:$C$282))</f>
        <v>0</v>
      </c>
      <c r="AZ282">
        <f>IF(COUNT($E$2:$E282)&lt;20,"",MIN($D$183:$D$282))</f>
        <v>0</v>
      </c>
      <c r="BA282">
        <f>IF(COUNT($E$2:$E282)&lt;20,"",SLOPE($E$183:$E$282,$F$183:$F$282))</f>
        <v>0</v>
      </c>
      <c r="BB282">
        <f>IF(COUNT($E$2:$E282)&lt;20,"",INTERCEPT($E$183:$E$282,$F$183:$F$282))</f>
        <v>0</v>
      </c>
      <c r="BC282">
        <f>IF(OR(BA282="",BB282=""),"",BB282+BA282*F282)</f>
        <v>0</v>
      </c>
      <c r="BD282">
        <f>IF(COUNT($E$2:$E282)&lt;20,"",STEYX($E$183:$E$282,$F$183:$F$282))</f>
        <v>0</v>
      </c>
      <c r="BE282">
        <f>IF($E282="","",IF(AND(COUNT($E$283:$E$286)&gt;=4,$C282=MAX($C$278:$C$286)),$C282,""))</f>
        <v>0</v>
      </c>
      <c r="BF282">
        <f>IF($E282="","",IF(AND(COUNT($E$283:$E$286)&gt;=4,$D282=MIN($D$278:$D$286)),$D282,""))</f>
        <v>0</v>
      </c>
      <c r="BG282">
        <f>IF($A282="","",$A282-WEEKDAY($A282,2)+1)</f>
        <v>0</v>
      </c>
      <c r="BH282">
        <f>IF($A282="","",IF($A281="",1,IF(BG282&lt;&gt;BG281,1,0)))</f>
        <v>0</v>
      </c>
      <c r="BI282">
        <f>IF($A282="","",IF($A283="",1,IF(BG283&lt;&gt;BG282,1,0)))</f>
        <v>0</v>
      </c>
      <c r="BJ282">
        <f>IF($A282="","",IF(BH282=1,$B282,BJ281))</f>
        <v>0</v>
      </c>
      <c r="BK282">
        <f>IF($A282="","",IF(BH282=1,$C282,MAX($C282,BK281)))</f>
        <v>0</v>
      </c>
      <c r="BL282">
        <f>IF($A282="","",IF(BH282=1,$D282,MIN($D282,BL281)))</f>
        <v>0</v>
      </c>
      <c r="BM282">
        <f>IF($A282="","",IF(BI282=1,F282,""))</f>
        <v>0</v>
      </c>
      <c r="BN282">
        <f>IF($A282="","",DATE(YEAR($A282),MONTH($A282),1))</f>
        <v>0</v>
      </c>
      <c r="BO282">
        <f>IF($A282="","",IF($A281="",1,IF(BN282&lt;&gt;BN281,1,0)))</f>
        <v>0</v>
      </c>
      <c r="BP282">
        <f>IF($A282="","",IF($A283="",1,IF(BN283&lt;&gt;BN282,1,0)))</f>
        <v>0</v>
      </c>
      <c r="BQ282">
        <f>IF($A282="","",IF(BO282=1,$B282,BQ281))</f>
        <v>0</v>
      </c>
      <c r="BR282">
        <f>IF($A282="","",IF(BO282=1,$C282,MAX($C282,BR281)))</f>
        <v>0</v>
      </c>
      <c r="BS282">
        <f>IF($A282="","",IF(BO282=1,$D282,MIN($D282,BS281)))</f>
        <v>0</v>
      </c>
      <c r="BT282">
        <f>IF($A282="","",IF(BP282=1,F282,""))</f>
        <v>0</v>
      </c>
    </row>
    <row r="283" spans="1:72">
      <c r="A283" s="27">
        <f>IF(Data!$A283="","",Data!$A283)</f>
        <v>0</v>
      </c>
      <c r="B283">
        <f>IF(Data!$B283="","",Data!$B283)</f>
        <v>0</v>
      </c>
      <c r="C283">
        <f>IF(Data!$C283="","",Data!$C283)</f>
        <v>0</v>
      </c>
      <c r="D283">
        <f>IF(Data!$D283="","",Data!$D283)</f>
        <v>0</v>
      </c>
      <c r="E283">
        <f>IF(Data!$E283="","",Data!$E283)</f>
        <v>0</v>
      </c>
      <c r="F283">
        <f>IF($E283="","",N(F282)+1)</f>
        <v>0</v>
      </c>
      <c r="G283">
        <f>IF(OR($E283="",$E282=""),"",LN($E283/$E282))</f>
        <v>0</v>
      </c>
      <c r="H283">
        <f>IF($E283="","",IF($E282="",$E283,$E283*0.0952380952+H282*0.9047619048))</f>
        <v>0</v>
      </c>
      <c r="I283">
        <f>IF($E283="","",IF($E282="",$E283,$E283*0.0392156863+I282*0.9607843137))</f>
        <v>0</v>
      </c>
      <c r="J283">
        <f>IF($E283="","",IF($E282="",$E283,$E283*0.0198019802+J282*0.9801980198))</f>
        <v>0</v>
      </c>
      <c r="K283">
        <f>IF($E283="","",IF($E282="",$E283,$E283*0.0099502488+K282*0.9900497512))</f>
        <v>0</v>
      </c>
      <c r="L283">
        <f>IF(OR($E283="",$E282=""),"",MAX($E283-$E282,0))</f>
        <v>0</v>
      </c>
      <c r="M283">
        <f>IF(OR($E283="",$E282=""),"",MAX($E282-$E283,0))</f>
        <v>0</v>
      </c>
      <c r="N283">
        <f>IF(COUNT($E$2:$E283)&lt;15,"",IF(AVERAGE($M$270:$M$283)=0,100,100-100/(1+AVERAGE($L$270:$L$283)/AVERAGE($M$270:$M$283))))</f>
        <v>0</v>
      </c>
      <c r="O283">
        <f>IF($E283="","",IF($E282="",$E283,$E283*0.1538461538+O282*0.8461538462))</f>
        <v>0</v>
      </c>
      <c r="P283">
        <f>IF($E283="","",IF($E282="",$E283,$E283*0.0740740741+P282*0.9259259259))</f>
        <v>0</v>
      </c>
      <c r="Q283">
        <f>IF(OR(O283="",P283=""),"",O283-P283)</f>
        <v>0</v>
      </c>
      <c r="R283">
        <f>IF(Q283="","",IF(R282="",Q283,Q283*0.2000000000+R282*0.8000000000))</f>
        <v>0</v>
      </c>
      <c r="S283">
        <f>IF(OR(Q283="",R283=""),"",Q283-R283)</f>
        <v>0</v>
      </c>
      <c r="T283">
        <f>IF(COUNT($E$2:$E283)&lt;14,"",MAX($C$270:$C$283))</f>
        <v>0</v>
      </c>
      <c r="U283">
        <f>IF(COUNT($E$2:$E283)&lt;14,"",MIN($D$270:$D$283))</f>
        <v>0</v>
      </c>
      <c r="V283">
        <f>IF(OR(T283="",U283="",T283=U283),"",100*($E283-U283)/(T283-U283))</f>
        <v>0</v>
      </c>
      <c r="W283">
        <f>IF(COUNT($V$281:$V$283)&lt;3,"",AVERAGE($V$281:$V$283))</f>
        <v>0</v>
      </c>
      <c r="X283">
        <f>IF(COUNT($N$270:$N$283)&lt;14,"",MIN($N$270:$N$283))</f>
        <v>0</v>
      </c>
      <c r="Y283">
        <f>IF(COUNT($N$270:$N$283)&lt;14,"",MAX($N$270:$N$283))</f>
        <v>0</v>
      </c>
      <c r="Z283">
        <f>IF(OR(N283="",X283="",Y283="",Y283=X283),"",100*(N283-X283)/(Y283-X283))</f>
        <v>0</v>
      </c>
      <c r="AA283">
        <f>IF(COUNT($Z$281:$Z$283)&lt;3,"",AVERAGE($Z$281:$Z$283))</f>
        <v>0</v>
      </c>
      <c r="AB283">
        <f>IF(COUNT($AA$281:$AA$283)&lt;3,"",AVERAGE($AA$281:$AA$283))</f>
        <v>0</v>
      </c>
      <c r="AC283">
        <f>IF($E283="","",MAX($C283-$D283,ABS($C283-$E282),ABS($D283-$E282)))</f>
        <v>0</v>
      </c>
      <c r="AD283">
        <f>IF(COUNT($E$2:$E283)&lt;15,"",AVERAGE($AC$270:$AC$283))</f>
        <v>0</v>
      </c>
      <c r="AE283">
        <f>IF(OR($E283="",$E282=""),"",IF(AND(($C283-$C282)&gt;($D282-$D283),($C283-$C282)&gt;0),$C283-$C282,0))</f>
        <v>0</v>
      </c>
      <c r="AF283">
        <f>IF(OR($E283="",$E282=""),"",IF(AND(($D282-$D283)&gt;($C283-$C282),($D282-$D283)&gt;0),$D282-$D283,0))</f>
        <v>0</v>
      </c>
      <c r="AG283">
        <f>IF(COUNT($E$2:$E283)&lt;15,"",IF(SUM($AC$270:$AC$283)=0,0,100*SUM($AE$270:$AE$283)/SUM($AC$270:$AC$283)))</f>
        <v>0</v>
      </c>
      <c r="AH283">
        <f>IF(COUNT($E$2:$E283)&lt;15,"",IF(SUM($AC$270:$AC$283)=0,0,100*SUM($AF$270:$AF$283)/SUM($AC$270:$AC$283)))</f>
        <v>0</v>
      </c>
      <c r="AI283">
        <f>IF(OR(AG283="",AH283=""),"",IF((AG283+AH283)=0,0,100*ABS(AG283-AH283)/(AG283+AH283)))</f>
        <v>0</v>
      </c>
      <c r="AJ283">
        <f>IF(COUNT($AI$270:$AI$283)&lt;14,"",AVERAGE($AI$270:$AI$283))</f>
        <v>0</v>
      </c>
      <c r="AK283">
        <f>IF(COUNT($E$2:$E283)&lt;20,"",AVERAGE($E$264:$E$283))</f>
        <v>0</v>
      </c>
      <c r="AL283">
        <f>IF(COUNT($E$2:$E283)&lt;20,"",STDEVP($E$264:$E$283))</f>
        <v>0</v>
      </c>
      <c r="AM283">
        <f>IF(AK283="","",AK283+2*AL283)</f>
        <v>0</v>
      </c>
      <c r="AN283">
        <f>IF(AK283="","",AK283-2*AL283)</f>
        <v>0</v>
      </c>
      <c r="AO283">
        <f>IF(OR(AM283="",AN283="",AM283=AN283),"",($E283-AN283)/(AM283-AN283))</f>
        <v>0</v>
      </c>
      <c r="AP283">
        <f>IF(OR(AM283="",AK283="",AK283=0),"",(AM283-AN283)/AK283)</f>
        <v>0</v>
      </c>
      <c r="AQ283">
        <f>IF(COUNT($E$2:$E283)&lt;20,"",MAX($C$264:$C$283))</f>
        <v>0</v>
      </c>
      <c r="AR283">
        <f>IF(COUNT($E$2:$E283)&lt;20,"",MIN($D$264:$D$283))</f>
        <v>0</v>
      </c>
      <c r="AS283">
        <f>IF(OR(AQ283="",AR283=""),"",(AQ283+AR283)/2)</f>
        <v>0</v>
      </c>
      <c r="AT283">
        <f>IF(COUNT($G$264:$G$283)&lt;20,"",STDEV($G$264:$G$283)*SQRT(252))</f>
        <v>0</v>
      </c>
      <c r="AU283">
        <f>IF(COUNT($E$2:$E283)&lt;9,"",(MAX($C$275:$C$283)+MIN($D$275:$D$283))/2)</f>
        <v>0</v>
      </c>
      <c r="AV283">
        <f>IF(COUNT($E$2:$E283)&lt;26,"",(MAX($C$258:$C$283)+MIN($D$258:$D$283))/2)</f>
        <v>0</v>
      </c>
      <c r="AW283">
        <f>IF(OR(AU283="",AV283=""),"",(AU283+AV283)/2)</f>
        <v>0</v>
      </c>
      <c r="AX283">
        <f>IF(COUNT($E$2:$E283)&lt;52,"",(MAX($C$232:$C$283)+MIN($D$232:$D$283))/2)</f>
        <v>0</v>
      </c>
      <c r="AY283">
        <f>IF(COUNT($E$2:$E283)&lt;20,"",MAX($C$184:$C$283))</f>
        <v>0</v>
      </c>
      <c r="AZ283">
        <f>IF(COUNT($E$2:$E283)&lt;20,"",MIN($D$184:$D$283))</f>
        <v>0</v>
      </c>
      <c r="BA283">
        <f>IF(COUNT($E$2:$E283)&lt;20,"",SLOPE($E$184:$E$283,$F$184:$F$283))</f>
        <v>0</v>
      </c>
      <c r="BB283">
        <f>IF(COUNT($E$2:$E283)&lt;20,"",INTERCEPT($E$184:$E$283,$F$184:$F$283))</f>
        <v>0</v>
      </c>
      <c r="BC283">
        <f>IF(OR(BA283="",BB283=""),"",BB283+BA283*F283)</f>
        <v>0</v>
      </c>
      <c r="BD283">
        <f>IF(COUNT($E$2:$E283)&lt;20,"",STEYX($E$184:$E$283,$F$184:$F$283))</f>
        <v>0</v>
      </c>
      <c r="BE283">
        <f>IF($E283="","",IF(AND(COUNT($E$284:$E$287)&gt;=4,$C283=MAX($C$279:$C$287)),$C283,""))</f>
        <v>0</v>
      </c>
      <c r="BF283">
        <f>IF($E283="","",IF(AND(COUNT($E$284:$E$287)&gt;=4,$D283=MIN($D$279:$D$287)),$D283,""))</f>
        <v>0</v>
      </c>
      <c r="BG283">
        <f>IF($A283="","",$A283-WEEKDAY($A283,2)+1)</f>
        <v>0</v>
      </c>
      <c r="BH283">
        <f>IF($A283="","",IF($A282="",1,IF(BG283&lt;&gt;BG282,1,0)))</f>
        <v>0</v>
      </c>
      <c r="BI283">
        <f>IF($A283="","",IF($A284="",1,IF(BG284&lt;&gt;BG283,1,0)))</f>
        <v>0</v>
      </c>
      <c r="BJ283">
        <f>IF($A283="","",IF(BH283=1,$B283,BJ282))</f>
        <v>0</v>
      </c>
      <c r="BK283">
        <f>IF($A283="","",IF(BH283=1,$C283,MAX($C283,BK282)))</f>
        <v>0</v>
      </c>
      <c r="BL283">
        <f>IF($A283="","",IF(BH283=1,$D283,MIN($D283,BL282)))</f>
        <v>0</v>
      </c>
      <c r="BM283">
        <f>IF($A283="","",IF(BI283=1,F283,""))</f>
        <v>0</v>
      </c>
      <c r="BN283">
        <f>IF($A283="","",DATE(YEAR($A283),MONTH($A283),1))</f>
        <v>0</v>
      </c>
      <c r="BO283">
        <f>IF($A283="","",IF($A282="",1,IF(BN283&lt;&gt;BN282,1,0)))</f>
        <v>0</v>
      </c>
      <c r="BP283">
        <f>IF($A283="","",IF($A284="",1,IF(BN284&lt;&gt;BN283,1,0)))</f>
        <v>0</v>
      </c>
      <c r="BQ283">
        <f>IF($A283="","",IF(BO283=1,$B283,BQ282))</f>
        <v>0</v>
      </c>
      <c r="BR283">
        <f>IF($A283="","",IF(BO283=1,$C283,MAX($C283,BR282)))</f>
        <v>0</v>
      </c>
      <c r="BS283">
        <f>IF($A283="","",IF(BO283=1,$D283,MIN($D283,BS282)))</f>
        <v>0</v>
      </c>
      <c r="BT283">
        <f>IF($A283="","",IF(BP283=1,F283,""))</f>
        <v>0</v>
      </c>
    </row>
    <row r="284" spans="1:72">
      <c r="A284" s="27">
        <f>IF(Data!$A284="","",Data!$A284)</f>
        <v>0</v>
      </c>
      <c r="B284">
        <f>IF(Data!$B284="","",Data!$B284)</f>
        <v>0</v>
      </c>
      <c r="C284">
        <f>IF(Data!$C284="","",Data!$C284)</f>
        <v>0</v>
      </c>
      <c r="D284">
        <f>IF(Data!$D284="","",Data!$D284)</f>
        <v>0</v>
      </c>
      <c r="E284">
        <f>IF(Data!$E284="","",Data!$E284)</f>
        <v>0</v>
      </c>
      <c r="F284">
        <f>IF($E284="","",N(F283)+1)</f>
        <v>0</v>
      </c>
      <c r="G284">
        <f>IF(OR($E284="",$E283=""),"",LN($E284/$E283))</f>
        <v>0</v>
      </c>
      <c r="H284">
        <f>IF($E284="","",IF($E283="",$E284,$E284*0.0952380952+H283*0.9047619048))</f>
        <v>0</v>
      </c>
      <c r="I284">
        <f>IF($E284="","",IF($E283="",$E284,$E284*0.0392156863+I283*0.9607843137))</f>
        <v>0</v>
      </c>
      <c r="J284">
        <f>IF($E284="","",IF($E283="",$E284,$E284*0.0198019802+J283*0.9801980198))</f>
        <v>0</v>
      </c>
      <c r="K284">
        <f>IF($E284="","",IF($E283="",$E284,$E284*0.0099502488+K283*0.9900497512))</f>
        <v>0</v>
      </c>
      <c r="L284">
        <f>IF(OR($E284="",$E283=""),"",MAX($E284-$E283,0))</f>
        <v>0</v>
      </c>
      <c r="M284">
        <f>IF(OR($E284="",$E283=""),"",MAX($E283-$E284,0))</f>
        <v>0</v>
      </c>
      <c r="N284">
        <f>IF(COUNT($E$2:$E284)&lt;15,"",IF(AVERAGE($M$271:$M$284)=0,100,100-100/(1+AVERAGE($L$271:$L$284)/AVERAGE($M$271:$M$284))))</f>
        <v>0</v>
      </c>
      <c r="O284">
        <f>IF($E284="","",IF($E283="",$E284,$E284*0.1538461538+O283*0.8461538462))</f>
        <v>0</v>
      </c>
      <c r="P284">
        <f>IF($E284="","",IF($E283="",$E284,$E284*0.0740740741+P283*0.9259259259))</f>
        <v>0</v>
      </c>
      <c r="Q284">
        <f>IF(OR(O284="",P284=""),"",O284-P284)</f>
        <v>0</v>
      </c>
      <c r="R284">
        <f>IF(Q284="","",IF(R283="",Q284,Q284*0.2000000000+R283*0.8000000000))</f>
        <v>0</v>
      </c>
      <c r="S284">
        <f>IF(OR(Q284="",R284=""),"",Q284-R284)</f>
        <v>0</v>
      </c>
      <c r="T284">
        <f>IF(COUNT($E$2:$E284)&lt;14,"",MAX($C$271:$C$284))</f>
        <v>0</v>
      </c>
      <c r="U284">
        <f>IF(COUNT($E$2:$E284)&lt;14,"",MIN($D$271:$D$284))</f>
        <v>0</v>
      </c>
      <c r="V284">
        <f>IF(OR(T284="",U284="",T284=U284),"",100*($E284-U284)/(T284-U284))</f>
        <v>0</v>
      </c>
      <c r="W284">
        <f>IF(COUNT($V$282:$V$284)&lt;3,"",AVERAGE($V$282:$V$284))</f>
        <v>0</v>
      </c>
      <c r="X284">
        <f>IF(COUNT($N$271:$N$284)&lt;14,"",MIN($N$271:$N$284))</f>
        <v>0</v>
      </c>
      <c r="Y284">
        <f>IF(COUNT($N$271:$N$284)&lt;14,"",MAX($N$271:$N$284))</f>
        <v>0</v>
      </c>
      <c r="Z284">
        <f>IF(OR(N284="",X284="",Y284="",Y284=X284),"",100*(N284-X284)/(Y284-X284))</f>
        <v>0</v>
      </c>
      <c r="AA284">
        <f>IF(COUNT($Z$282:$Z$284)&lt;3,"",AVERAGE($Z$282:$Z$284))</f>
        <v>0</v>
      </c>
      <c r="AB284">
        <f>IF(COUNT($AA$282:$AA$284)&lt;3,"",AVERAGE($AA$282:$AA$284))</f>
        <v>0</v>
      </c>
      <c r="AC284">
        <f>IF($E284="","",MAX($C284-$D284,ABS($C284-$E283),ABS($D284-$E283)))</f>
        <v>0</v>
      </c>
      <c r="AD284">
        <f>IF(COUNT($E$2:$E284)&lt;15,"",AVERAGE($AC$271:$AC$284))</f>
        <v>0</v>
      </c>
      <c r="AE284">
        <f>IF(OR($E284="",$E283=""),"",IF(AND(($C284-$C283)&gt;($D283-$D284),($C284-$C283)&gt;0),$C284-$C283,0))</f>
        <v>0</v>
      </c>
      <c r="AF284">
        <f>IF(OR($E284="",$E283=""),"",IF(AND(($D283-$D284)&gt;($C284-$C283),($D283-$D284)&gt;0),$D283-$D284,0))</f>
        <v>0</v>
      </c>
      <c r="AG284">
        <f>IF(COUNT($E$2:$E284)&lt;15,"",IF(SUM($AC$271:$AC$284)=0,0,100*SUM($AE$271:$AE$284)/SUM($AC$271:$AC$284)))</f>
        <v>0</v>
      </c>
      <c r="AH284">
        <f>IF(COUNT($E$2:$E284)&lt;15,"",IF(SUM($AC$271:$AC$284)=0,0,100*SUM($AF$271:$AF$284)/SUM($AC$271:$AC$284)))</f>
        <v>0</v>
      </c>
      <c r="AI284">
        <f>IF(OR(AG284="",AH284=""),"",IF((AG284+AH284)=0,0,100*ABS(AG284-AH284)/(AG284+AH284)))</f>
        <v>0</v>
      </c>
      <c r="AJ284">
        <f>IF(COUNT($AI$271:$AI$284)&lt;14,"",AVERAGE($AI$271:$AI$284))</f>
        <v>0</v>
      </c>
      <c r="AK284">
        <f>IF(COUNT($E$2:$E284)&lt;20,"",AVERAGE($E$265:$E$284))</f>
        <v>0</v>
      </c>
      <c r="AL284">
        <f>IF(COUNT($E$2:$E284)&lt;20,"",STDEVP($E$265:$E$284))</f>
        <v>0</v>
      </c>
      <c r="AM284">
        <f>IF(AK284="","",AK284+2*AL284)</f>
        <v>0</v>
      </c>
      <c r="AN284">
        <f>IF(AK284="","",AK284-2*AL284)</f>
        <v>0</v>
      </c>
      <c r="AO284">
        <f>IF(OR(AM284="",AN284="",AM284=AN284),"",($E284-AN284)/(AM284-AN284))</f>
        <v>0</v>
      </c>
      <c r="AP284">
        <f>IF(OR(AM284="",AK284="",AK284=0),"",(AM284-AN284)/AK284)</f>
        <v>0</v>
      </c>
      <c r="AQ284">
        <f>IF(COUNT($E$2:$E284)&lt;20,"",MAX($C$265:$C$284))</f>
        <v>0</v>
      </c>
      <c r="AR284">
        <f>IF(COUNT($E$2:$E284)&lt;20,"",MIN($D$265:$D$284))</f>
        <v>0</v>
      </c>
      <c r="AS284">
        <f>IF(OR(AQ284="",AR284=""),"",(AQ284+AR284)/2)</f>
        <v>0</v>
      </c>
      <c r="AT284">
        <f>IF(COUNT($G$265:$G$284)&lt;20,"",STDEV($G$265:$G$284)*SQRT(252))</f>
        <v>0</v>
      </c>
      <c r="AU284">
        <f>IF(COUNT($E$2:$E284)&lt;9,"",(MAX($C$276:$C$284)+MIN($D$276:$D$284))/2)</f>
        <v>0</v>
      </c>
      <c r="AV284">
        <f>IF(COUNT($E$2:$E284)&lt;26,"",(MAX($C$259:$C$284)+MIN($D$259:$D$284))/2)</f>
        <v>0</v>
      </c>
      <c r="AW284">
        <f>IF(OR(AU284="",AV284=""),"",(AU284+AV284)/2)</f>
        <v>0</v>
      </c>
      <c r="AX284">
        <f>IF(COUNT($E$2:$E284)&lt;52,"",(MAX($C$233:$C$284)+MIN($D$233:$D$284))/2)</f>
        <v>0</v>
      </c>
      <c r="AY284">
        <f>IF(COUNT($E$2:$E284)&lt;20,"",MAX($C$185:$C$284))</f>
        <v>0</v>
      </c>
      <c r="AZ284">
        <f>IF(COUNT($E$2:$E284)&lt;20,"",MIN($D$185:$D$284))</f>
        <v>0</v>
      </c>
      <c r="BA284">
        <f>IF(COUNT($E$2:$E284)&lt;20,"",SLOPE($E$185:$E$284,$F$185:$F$284))</f>
        <v>0</v>
      </c>
      <c r="BB284">
        <f>IF(COUNT($E$2:$E284)&lt;20,"",INTERCEPT($E$185:$E$284,$F$185:$F$284))</f>
        <v>0</v>
      </c>
      <c r="BC284">
        <f>IF(OR(BA284="",BB284=""),"",BB284+BA284*F284)</f>
        <v>0</v>
      </c>
      <c r="BD284">
        <f>IF(COUNT($E$2:$E284)&lt;20,"",STEYX($E$185:$E$284,$F$185:$F$284))</f>
        <v>0</v>
      </c>
      <c r="BE284">
        <f>IF($E284="","",IF(AND(COUNT($E$285:$E$288)&gt;=4,$C284=MAX($C$280:$C$288)),$C284,""))</f>
        <v>0</v>
      </c>
      <c r="BF284">
        <f>IF($E284="","",IF(AND(COUNT($E$285:$E$288)&gt;=4,$D284=MIN($D$280:$D$288)),$D284,""))</f>
        <v>0</v>
      </c>
      <c r="BG284">
        <f>IF($A284="","",$A284-WEEKDAY($A284,2)+1)</f>
        <v>0</v>
      </c>
      <c r="BH284">
        <f>IF($A284="","",IF($A283="",1,IF(BG284&lt;&gt;BG283,1,0)))</f>
        <v>0</v>
      </c>
      <c r="BI284">
        <f>IF($A284="","",IF($A285="",1,IF(BG285&lt;&gt;BG284,1,0)))</f>
        <v>0</v>
      </c>
      <c r="BJ284">
        <f>IF($A284="","",IF(BH284=1,$B284,BJ283))</f>
        <v>0</v>
      </c>
      <c r="BK284">
        <f>IF($A284="","",IF(BH284=1,$C284,MAX($C284,BK283)))</f>
        <v>0</v>
      </c>
      <c r="BL284">
        <f>IF($A284="","",IF(BH284=1,$D284,MIN($D284,BL283)))</f>
        <v>0</v>
      </c>
      <c r="BM284">
        <f>IF($A284="","",IF(BI284=1,F284,""))</f>
        <v>0</v>
      </c>
      <c r="BN284">
        <f>IF($A284="","",DATE(YEAR($A284),MONTH($A284),1))</f>
        <v>0</v>
      </c>
      <c r="BO284">
        <f>IF($A284="","",IF($A283="",1,IF(BN284&lt;&gt;BN283,1,0)))</f>
        <v>0</v>
      </c>
      <c r="BP284">
        <f>IF($A284="","",IF($A285="",1,IF(BN285&lt;&gt;BN284,1,0)))</f>
        <v>0</v>
      </c>
      <c r="BQ284">
        <f>IF($A284="","",IF(BO284=1,$B284,BQ283))</f>
        <v>0</v>
      </c>
      <c r="BR284">
        <f>IF($A284="","",IF(BO284=1,$C284,MAX($C284,BR283)))</f>
        <v>0</v>
      </c>
      <c r="BS284">
        <f>IF($A284="","",IF(BO284=1,$D284,MIN($D284,BS283)))</f>
        <v>0</v>
      </c>
      <c r="BT284">
        <f>IF($A284="","",IF(BP284=1,F284,""))</f>
        <v>0</v>
      </c>
    </row>
    <row r="285" spans="1:72">
      <c r="A285" s="27">
        <f>IF(Data!$A285="","",Data!$A285)</f>
        <v>0</v>
      </c>
      <c r="B285">
        <f>IF(Data!$B285="","",Data!$B285)</f>
        <v>0</v>
      </c>
      <c r="C285">
        <f>IF(Data!$C285="","",Data!$C285)</f>
        <v>0</v>
      </c>
      <c r="D285">
        <f>IF(Data!$D285="","",Data!$D285)</f>
        <v>0</v>
      </c>
      <c r="E285">
        <f>IF(Data!$E285="","",Data!$E285)</f>
        <v>0</v>
      </c>
      <c r="F285">
        <f>IF($E285="","",N(F284)+1)</f>
        <v>0</v>
      </c>
      <c r="G285">
        <f>IF(OR($E285="",$E284=""),"",LN($E285/$E284))</f>
        <v>0</v>
      </c>
      <c r="H285">
        <f>IF($E285="","",IF($E284="",$E285,$E285*0.0952380952+H284*0.9047619048))</f>
        <v>0</v>
      </c>
      <c r="I285">
        <f>IF($E285="","",IF($E284="",$E285,$E285*0.0392156863+I284*0.9607843137))</f>
        <v>0</v>
      </c>
      <c r="J285">
        <f>IF($E285="","",IF($E284="",$E285,$E285*0.0198019802+J284*0.9801980198))</f>
        <v>0</v>
      </c>
      <c r="K285">
        <f>IF($E285="","",IF($E284="",$E285,$E285*0.0099502488+K284*0.9900497512))</f>
        <v>0</v>
      </c>
      <c r="L285">
        <f>IF(OR($E285="",$E284=""),"",MAX($E285-$E284,0))</f>
        <v>0</v>
      </c>
      <c r="M285">
        <f>IF(OR($E285="",$E284=""),"",MAX($E284-$E285,0))</f>
        <v>0</v>
      </c>
      <c r="N285">
        <f>IF(COUNT($E$2:$E285)&lt;15,"",IF(AVERAGE($M$272:$M$285)=0,100,100-100/(1+AVERAGE($L$272:$L$285)/AVERAGE($M$272:$M$285))))</f>
        <v>0</v>
      </c>
      <c r="O285">
        <f>IF($E285="","",IF($E284="",$E285,$E285*0.1538461538+O284*0.8461538462))</f>
        <v>0</v>
      </c>
      <c r="P285">
        <f>IF($E285="","",IF($E284="",$E285,$E285*0.0740740741+P284*0.9259259259))</f>
        <v>0</v>
      </c>
      <c r="Q285">
        <f>IF(OR(O285="",P285=""),"",O285-P285)</f>
        <v>0</v>
      </c>
      <c r="R285">
        <f>IF(Q285="","",IF(R284="",Q285,Q285*0.2000000000+R284*0.8000000000))</f>
        <v>0</v>
      </c>
      <c r="S285">
        <f>IF(OR(Q285="",R285=""),"",Q285-R285)</f>
        <v>0</v>
      </c>
      <c r="T285">
        <f>IF(COUNT($E$2:$E285)&lt;14,"",MAX($C$272:$C$285))</f>
        <v>0</v>
      </c>
      <c r="U285">
        <f>IF(COUNT($E$2:$E285)&lt;14,"",MIN($D$272:$D$285))</f>
        <v>0</v>
      </c>
      <c r="V285">
        <f>IF(OR(T285="",U285="",T285=U285),"",100*($E285-U285)/(T285-U285))</f>
        <v>0</v>
      </c>
      <c r="W285">
        <f>IF(COUNT($V$283:$V$285)&lt;3,"",AVERAGE($V$283:$V$285))</f>
        <v>0</v>
      </c>
      <c r="X285">
        <f>IF(COUNT($N$272:$N$285)&lt;14,"",MIN($N$272:$N$285))</f>
        <v>0</v>
      </c>
      <c r="Y285">
        <f>IF(COUNT($N$272:$N$285)&lt;14,"",MAX($N$272:$N$285))</f>
        <v>0</v>
      </c>
      <c r="Z285">
        <f>IF(OR(N285="",X285="",Y285="",Y285=X285),"",100*(N285-X285)/(Y285-X285))</f>
        <v>0</v>
      </c>
      <c r="AA285">
        <f>IF(COUNT($Z$283:$Z$285)&lt;3,"",AVERAGE($Z$283:$Z$285))</f>
        <v>0</v>
      </c>
      <c r="AB285">
        <f>IF(COUNT($AA$283:$AA$285)&lt;3,"",AVERAGE($AA$283:$AA$285))</f>
        <v>0</v>
      </c>
      <c r="AC285">
        <f>IF($E285="","",MAX($C285-$D285,ABS($C285-$E284),ABS($D285-$E284)))</f>
        <v>0</v>
      </c>
      <c r="AD285">
        <f>IF(COUNT($E$2:$E285)&lt;15,"",AVERAGE($AC$272:$AC$285))</f>
        <v>0</v>
      </c>
      <c r="AE285">
        <f>IF(OR($E285="",$E284=""),"",IF(AND(($C285-$C284)&gt;($D284-$D285),($C285-$C284)&gt;0),$C285-$C284,0))</f>
        <v>0</v>
      </c>
      <c r="AF285">
        <f>IF(OR($E285="",$E284=""),"",IF(AND(($D284-$D285)&gt;($C285-$C284),($D284-$D285)&gt;0),$D284-$D285,0))</f>
        <v>0</v>
      </c>
      <c r="AG285">
        <f>IF(COUNT($E$2:$E285)&lt;15,"",IF(SUM($AC$272:$AC$285)=0,0,100*SUM($AE$272:$AE$285)/SUM($AC$272:$AC$285)))</f>
        <v>0</v>
      </c>
      <c r="AH285">
        <f>IF(COUNT($E$2:$E285)&lt;15,"",IF(SUM($AC$272:$AC$285)=0,0,100*SUM($AF$272:$AF$285)/SUM($AC$272:$AC$285)))</f>
        <v>0</v>
      </c>
      <c r="AI285">
        <f>IF(OR(AG285="",AH285=""),"",IF((AG285+AH285)=0,0,100*ABS(AG285-AH285)/(AG285+AH285)))</f>
        <v>0</v>
      </c>
      <c r="AJ285">
        <f>IF(COUNT($AI$272:$AI$285)&lt;14,"",AVERAGE($AI$272:$AI$285))</f>
        <v>0</v>
      </c>
      <c r="AK285">
        <f>IF(COUNT($E$2:$E285)&lt;20,"",AVERAGE($E$266:$E$285))</f>
        <v>0</v>
      </c>
      <c r="AL285">
        <f>IF(COUNT($E$2:$E285)&lt;20,"",STDEVP($E$266:$E$285))</f>
        <v>0</v>
      </c>
      <c r="AM285">
        <f>IF(AK285="","",AK285+2*AL285)</f>
        <v>0</v>
      </c>
      <c r="AN285">
        <f>IF(AK285="","",AK285-2*AL285)</f>
        <v>0</v>
      </c>
      <c r="AO285">
        <f>IF(OR(AM285="",AN285="",AM285=AN285),"",($E285-AN285)/(AM285-AN285))</f>
        <v>0</v>
      </c>
      <c r="AP285">
        <f>IF(OR(AM285="",AK285="",AK285=0),"",(AM285-AN285)/AK285)</f>
        <v>0</v>
      </c>
      <c r="AQ285">
        <f>IF(COUNT($E$2:$E285)&lt;20,"",MAX($C$266:$C$285))</f>
        <v>0</v>
      </c>
      <c r="AR285">
        <f>IF(COUNT($E$2:$E285)&lt;20,"",MIN($D$266:$D$285))</f>
        <v>0</v>
      </c>
      <c r="AS285">
        <f>IF(OR(AQ285="",AR285=""),"",(AQ285+AR285)/2)</f>
        <v>0</v>
      </c>
      <c r="AT285">
        <f>IF(COUNT($G$266:$G$285)&lt;20,"",STDEV($G$266:$G$285)*SQRT(252))</f>
        <v>0</v>
      </c>
      <c r="AU285">
        <f>IF(COUNT($E$2:$E285)&lt;9,"",(MAX($C$277:$C$285)+MIN($D$277:$D$285))/2)</f>
        <v>0</v>
      </c>
      <c r="AV285">
        <f>IF(COUNT($E$2:$E285)&lt;26,"",(MAX($C$260:$C$285)+MIN($D$260:$D$285))/2)</f>
        <v>0</v>
      </c>
      <c r="AW285">
        <f>IF(OR(AU285="",AV285=""),"",(AU285+AV285)/2)</f>
        <v>0</v>
      </c>
      <c r="AX285">
        <f>IF(COUNT($E$2:$E285)&lt;52,"",(MAX($C$234:$C$285)+MIN($D$234:$D$285))/2)</f>
        <v>0</v>
      </c>
      <c r="AY285">
        <f>IF(COUNT($E$2:$E285)&lt;20,"",MAX($C$186:$C$285))</f>
        <v>0</v>
      </c>
      <c r="AZ285">
        <f>IF(COUNT($E$2:$E285)&lt;20,"",MIN($D$186:$D$285))</f>
        <v>0</v>
      </c>
      <c r="BA285">
        <f>IF(COUNT($E$2:$E285)&lt;20,"",SLOPE($E$186:$E$285,$F$186:$F$285))</f>
        <v>0</v>
      </c>
      <c r="BB285">
        <f>IF(COUNT($E$2:$E285)&lt;20,"",INTERCEPT($E$186:$E$285,$F$186:$F$285))</f>
        <v>0</v>
      </c>
      <c r="BC285">
        <f>IF(OR(BA285="",BB285=""),"",BB285+BA285*F285)</f>
        <v>0</v>
      </c>
      <c r="BD285">
        <f>IF(COUNT($E$2:$E285)&lt;20,"",STEYX($E$186:$E$285,$F$186:$F$285))</f>
        <v>0</v>
      </c>
      <c r="BE285">
        <f>IF($E285="","",IF(AND(COUNT($E$286:$E$289)&gt;=4,$C285=MAX($C$281:$C$289)),$C285,""))</f>
        <v>0</v>
      </c>
      <c r="BF285">
        <f>IF($E285="","",IF(AND(COUNT($E$286:$E$289)&gt;=4,$D285=MIN($D$281:$D$289)),$D285,""))</f>
        <v>0</v>
      </c>
      <c r="BG285">
        <f>IF($A285="","",$A285-WEEKDAY($A285,2)+1)</f>
        <v>0</v>
      </c>
      <c r="BH285">
        <f>IF($A285="","",IF($A284="",1,IF(BG285&lt;&gt;BG284,1,0)))</f>
        <v>0</v>
      </c>
      <c r="BI285">
        <f>IF($A285="","",IF($A286="",1,IF(BG286&lt;&gt;BG285,1,0)))</f>
        <v>0</v>
      </c>
      <c r="BJ285">
        <f>IF($A285="","",IF(BH285=1,$B285,BJ284))</f>
        <v>0</v>
      </c>
      <c r="BK285">
        <f>IF($A285="","",IF(BH285=1,$C285,MAX($C285,BK284)))</f>
        <v>0</v>
      </c>
      <c r="BL285">
        <f>IF($A285="","",IF(BH285=1,$D285,MIN($D285,BL284)))</f>
        <v>0</v>
      </c>
      <c r="BM285">
        <f>IF($A285="","",IF(BI285=1,F285,""))</f>
        <v>0</v>
      </c>
      <c r="BN285">
        <f>IF($A285="","",DATE(YEAR($A285),MONTH($A285),1))</f>
        <v>0</v>
      </c>
      <c r="BO285">
        <f>IF($A285="","",IF($A284="",1,IF(BN285&lt;&gt;BN284,1,0)))</f>
        <v>0</v>
      </c>
      <c r="BP285">
        <f>IF($A285="","",IF($A286="",1,IF(BN286&lt;&gt;BN285,1,0)))</f>
        <v>0</v>
      </c>
      <c r="BQ285">
        <f>IF($A285="","",IF(BO285=1,$B285,BQ284))</f>
        <v>0</v>
      </c>
      <c r="BR285">
        <f>IF($A285="","",IF(BO285=1,$C285,MAX($C285,BR284)))</f>
        <v>0</v>
      </c>
      <c r="BS285">
        <f>IF($A285="","",IF(BO285=1,$D285,MIN($D285,BS284)))</f>
        <v>0</v>
      </c>
      <c r="BT285">
        <f>IF($A285="","",IF(BP285=1,F285,""))</f>
        <v>0</v>
      </c>
    </row>
    <row r="286" spans="1:72">
      <c r="A286" s="27">
        <f>IF(Data!$A286="","",Data!$A286)</f>
        <v>0</v>
      </c>
      <c r="B286">
        <f>IF(Data!$B286="","",Data!$B286)</f>
        <v>0</v>
      </c>
      <c r="C286">
        <f>IF(Data!$C286="","",Data!$C286)</f>
        <v>0</v>
      </c>
      <c r="D286">
        <f>IF(Data!$D286="","",Data!$D286)</f>
        <v>0</v>
      </c>
      <c r="E286">
        <f>IF(Data!$E286="","",Data!$E286)</f>
        <v>0</v>
      </c>
      <c r="F286">
        <f>IF($E286="","",N(F285)+1)</f>
        <v>0</v>
      </c>
      <c r="G286">
        <f>IF(OR($E286="",$E285=""),"",LN($E286/$E285))</f>
        <v>0</v>
      </c>
      <c r="H286">
        <f>IF($E286="","",IF($E285="",$E286,$E286*0.0952380952+H285*0.9047619048))</f>
        <v>0</v>
      </c>
      <c r="I286">
        <f>IF($E286="","",IF($E285="",$E286,$E286*0.0392156863+I285*0.9607843137))</f>
        <v>0</v>
      </c>
      <c r="J286">
        <f>IF($E286="","",IF($E285="",$E286,$E286*0.0198019802+J285*0.9801980198))</f>
        <v>0</v>
      </c>
      <c r="K286">
        <f>IF($E286="","",IF($E285="",$E286,$E286*0.0099502488+K285*0.9900497512))</f>
        <v>0</v>
      </c>
      <c r="L286">
        <f>IF(OR($E286="",$E285=""),"",MAX($E286-$E285,0))</f>
        <v>0</v>
      </c>
      <c r="M286">
        <f>IF(OR($E286="",$E285=""),"",MAX($E285-$E286,0))</f>
        <v>0</v>
      </c>
      <c r="N286">
        <f>IF(COUNT($E$2:$E286)&lt;15,"",IF(AVERAGE($M$273:$M$286)=0,100,100-100/(1+AVERAGE($L$273:$L$286)/AVERAGE($M$273:$M$286))))</f>
        <v>0</v>
      </c>
      <c r="O286">
        <f>IF($E286="","",IF($E285="",$E286,$E286*0.1538461538+O285*0.8461538462))</f>
        <v>0</v>
      </c>
      <c r="P286">
        <f>IF($E286="","",IF($E285="",$E286,$E286*0.0740740741+P285*0.9259259259))</f>
        <v>0</v>
      </c>
      <c r="Q286">
        <f>IF(OR(O286="",P286=""),"",O286-P286)</f>
        <v>0</v>
      </c>
      <c r="R286">
        <f>IF(Q286="","",IF(R285="",Q286,Q286*0.2000000000+R285*0.8000000000))</f>
        <v>0</v>
      </c>
      <c r="S286">
        <f>IF(OR(Q286="",R286=""),"",Q286-R286)</f>
        <v>0</v>
      </c>
      <c r="T286">
        <f>IF(COUNT($E$2:$E286)&lt;14,"",MAX($C$273:$C$286))</f>
        <v>0</v>
      </c>
      <c r="U286">
        <f>IF(COUNT($E$2:$E286)&lt;14,"",MIN($D$273:$D$286))</f>
        <v>0</v>
      </c>
      <c r="V286">
        <f>IF(OR(T286="",U286="",T286=U286),"",100*($E286-U286)/(T286-U286))</f>
        <v>0</v>
      </c>
      <c r="W286">
        <f>IF(COUNT($V$284:$V$286)&lt;3,"",AVERAGE($V$284:$V$286))</f>
        <v>0</v>
      </c>
      <c r="X286">
        <f>IF(COUNT($N$273:$N$286)&lt;14,"",MIN($N$273:$N$286))</f>
        <v>0</v>
      </c>
      <c r="Y286">
        <f>IF(COUNT($N$273:$N$286)&lt;14,"",MAX($N$273:$N$286))</f>
        <v>0</v>
      </c>
      <c r="Z286">
        <f>IF(OR(N286="",X286="",Y286="",Y286=X286),"",100*(N286-X286)/(Y286-X286))</f>
        <v>0</v>
      </c>
      <c r="AA286">
        <f>IF(COUNT($Z$284:$Z$286)&lt;3,"",AVERAGE($Z$284:$Z$286))</f>
        <v>0</v>
      </c>
      <c r="AB286">
        <f>IF(COUNT($AA$284:$AA$286)&lt;3,"",AVERAGE($AA$284:$AA$286))</f>
        <v>0</v>
      </c>
      <c r="AC286">
        <f>IF($E286="","",MAX($C286-$D286,ABS($C286-$E285),ABS($D286-$E285)))</f>
        <v>0</v>
      </c>
      <c r="AD286">
        <f>IF(COUNT($E$2:$E286)&lt;15,"",AVERAGE($AC$273:$AC$286))</f>
        <v>0</v>
      </c>
      <c r="AE286">
        <f>IF(OR($E286="",$E285=""),"",IF(AND(($C286-$C285)&gt;($D285-$D286),($C286-$C285)&gt;0),$C286-$C285,0))</f>
        <v>0</v>
      </c>
      <c r="AF286">
        <f>IF(OR($E286="",$E285=""),"",IF(AND(($D285-$D286)&gt;($C286-$C285),($D285-$D286)&gt;0),$D285-$D286,0))</f>
        <v>0</v>
      </c>
      <c r="AG286">
        <f>IF(COUNT($E$2:$E286)&lt;15,"",IF(SUM($AC$273:$AC$286)=0,0,100*SUM($AE$273:$AE$286)/SUM($AC$273:$AC$286)))</f>
        <v>0</v>
      </c>
      <c r="AH286">
        <f>IF(COUNT($E$2:$E286)&lt;15,"",IF(SUM($AC$273:$AC$286)=0,0,100*SUM($AF$273:$AF$286)/SUM($AC$273:$AC$286)))</f>
        <v>0</v>
      </c>
      <c r="AI286">
        <f>IF(OR(AG286="",AH286=""),"",IF((AG286+AH286)=0,0,100*ABS(AG286-AH286)/(AG286+AH286)))</f>
        <v>0</v>
      </c>
      <c r="AJ286">
        <f>IF(COUNT($AI$273:$AI$286)&lt;14,"",AVERAGE($AI$273:$AI$286))</f>
        <v>0</v>
      </c>
      <c r="AK286">
        <f>IF(COUNT($E$2:$E286)&lt;20,"",AVERAGE($E$267:$E$286))</f>
        <v>0</v>
      </c>
      <c r="AL286">
        <f>IF(COUNT($E$2:$E286)&lt;20,"",STDEVP($E$267:$E$286))</f>
        <v>0</v>
      </c>
      <c r="AM286">
        <f>IF(AK286="","",AK286+2*AL286)</f>
        <v>0</v>
      </c>
      <c r="AN286">
        <f>IF(AK286="","",AK286-2*AL286)</f>
        <v>0</v>
      </c>
      <c r="AO286">
        <f>IF(OR(AM286="",AN286="",AM286=AN286),"",($E286-AN286)/(AM286-AN286))</f>
        <v>0</v>
      </c>
      <c r="AP286">
        <f>IF(OR(AM286="",AK286="",AK286=0),"",(AM286-AN286)/AK286)</f>
        <v>0</v>
      </c>
      <c r="AQ286">
        <f>IF(COUNT($E$2:$E286)&lt;20,"",MAX($C$267:$C$286))</f>
        <v>0</v>
      </c>
      <c r="AR286">
        <f>IF(COUNT($E$2:$E286)&lt;20,"",MIN($D$267:$D$286))</f>
        <v>0</v>
      </c>
      <c r="AS286">
        <f>IF(OR(AQ286="",AR286=""),"",(AQ286+AR286)/2)</f>
        <v>0</v>
      </c>
      <c r="AT286">
        <f>IF(COUNT($G$267:$G$286)&lt;20,"",STDEV($G$267:$G$286)*SQRT(252))</f>
        <v>0</v>
      </c>
      <c r="AU286">
        <f>IF(COUNT($E$2:$E286)&lt;9,"",(MAX($C$278:$C$286)+MIN($D$278:$D$286))/2)</f>
        <v>0</v>
      </c>
      <c r="AV286">
        <f>IF(COUNT($E$2:$E286)&lt;26,"",(MAX($C$261:$C$286)+MIN($D$261:$D$286))/2)</f>
        <v>0</v>
      </c>
      <c r="AW286">
        <f>IF(OR(AU286="",AV286=""),"",(AU286+AV286)/2)</f>
        <v>0</v>
      </c>
      <c r="AX286">
        <f>IF(COUNT($E$2:$E286)&lt;52,"",(MAX($C$235:$C$286)+MIN($D$235:$D$286))/2)</f>
        <v>0</v>
      </c>
      <c r="AY286">
        <f>IF(COUNT($E$2:$E286)&lt;20,"",MAX($C$187:$C$286))</f>
        <v>0</v>
      </c>
      <c r="AZ286">
        <f>IF(COUNT($E$2:$E286)&lt;20,"",MIN($D$187:$D$286))</f>
        <v>0</v>
      </c>
      <c r="BA286">
        <f>IF(COUNT($E$2:$E286)&lt;20,"",SLOPE($E$187:$E$286,$F$187:$F$286))</f>
        <v>0</v>
      </c>
      <c r="BB286">
        <f>IF(COUNT($E$2:$E286)&lt;20,"",INTERCEPT($E$187:$E$286,$F$187:$F$286))</f>
        <v>0</v>
      </c>
      <c r="BC286">
        <f>IF(OR(BA286="",BB286=""),"",BB286+BA286*F286)</f>
        <v>0</v>
      </c>
      <c r="BD286">
        <f>IF(COUNT($E$2:$E286)&lt;20,"",STEYX($E$187:$E$286,$F$187:$F$286))</f>
        <v>0</v>
      </c>
      <c r="BE286">
        <f>IF($E286="","",IF(AND(COUNT($E$287:$E$290)&gt;=4,$C286=MAX($C$282:$C$290)),$C286,""))</f>
        <v>0</v>
      </c>
      <c r="BF286">
        <f>IF($E286="","",IF(AND(COUNT($E$287:$E$290)&gt;=4,$D286=MIN($D$282:$D$290)),$D286,""))</f>
        <v>0</v>
      </c>
      <c r="BG286">
        <f>IF($A286="","",$A286-WEEKDAY($A286,2)+1)</f>
        <v>0</v>
      </c>
      <c r="BH286">
        <f>IF($A286="","",IF($A285="",1,IF(BG286&lt;&gt;BG285,1,0)))</f>
        <v>0</v>
      </c>
      <c r="BI286">
        <f>IF($A286="","",IF($A287="",1,IF(BG287&lt;&gt;BG286,1,0)))</f>
        <v>0</v>
      </c>
      <c r="BJ286">
        <f>IF($A286="","",IF(BH286=1,$B286,BJ285))</f>
        <v>0</v>
      </c>
      <c r="BK286">
        <f>IF($A286="","",IF(BH286=1,$C286,MAX($C286,BK285)))</f>
        <v>0</v>
      </c>
      <c r="BL286">
        <f>IF($A286="","",IF(BH286=1,$D286,MIN($D286,BL285)))</f>
        <v>0</v>
      </c>
      <c r="BM286">
        <f>IF($A286="","",IF(BI286=1,F286,""))</f>
        <v>0</v>
      </c>
      <c r="BN286">
        <f>IF($A286="","",DATE(YEAR($A286),MONTH($A286),1))</f>
        <v>0</v>
      </c>
      <c r="BO286">
        <f>IF($A286="","",IF($A285="",1,IF(BN286&lt;&gt;BN285,1,0)))</f>
        <v>0</v>
      </c>
      <c r="BP286">
        <f>IF($A286="","",IF($A287="",1,IF(BN287&lt;&gt;BN286,1,0)))</f>
        <v>0</v>
      </c>
      <c r="BQ286">
        <f>IF($A286="","",IF(BO286=1,$B286,BQ285))</f>
        <v>0</v>
      </c>
      <c r="BR286">
        <f>IF($A286="","",IF(BO286=1,$C286,MAX($C286,BR285)))</f>
        <v>0</v>
      </c>
      <c r="BS286">
        <f>IF($A286="","",IF(BO286=1,$D286,MIN($D286,BS285)))</f>
        <v>0</v>
      </c>
      <c r="BT286">
        <f>IF($A286="","",IF(BP286=1,F286,""))</f>
        <v>0</v>
      </c>
    </row>
    <row r="287" spans="1:72">
      <c r="A287" s="27">
        <f>IF(Data!$A287="","",Data!$A287)</f>
        <v>0</v>
      </c>
      <c r="B287">
        <f>IF(Data!$B287="","",Data!$B287)</f>
        <v>0</v>
      </c>
      <c r="C287">
        <f>IF(Data!$C287="","",Data!$C287)</f>
        <v>0</v>
      </c>
      <c r="D287">
        <f>IF(Data!$D287="","",Data!$D287)</f>
        <v>0</v>
      </c>
      <c r="E287">
        <f>IF(Data!$E287="","",Data!$E287)</f>
        <v>0</v>
      </c>
      <c r="F287">
        <f>IF($E287="","",N(F286)+1)</f>
        <v>0</v>
      </c>
      <c r="G287">
        <f>IF(OR($E287="",$E286=""),"",LN($E287/$E286))</f>
        <v>0</v>
      </c>
      <c r="H287">
        <f>IF($E287="","",IF($E286="",$E287,$E287*0.0952380952+H286*0.9047619048))</f>
        <v>0</v>
      </c>
      <c r="I287">
        <f>IF($E287="","",IF($E286="",$E287,$E287*0.0392156863+I286*0.9607843137))</f>
        <v>0</v>
      </c>
      <c r="J287">
        <f>IF($E287="","",IF($E286="",$E287,$E287*0.0198019802+J286*0.9801980198))</f>
        <v>0</v>
      </c>
      <c r="K287">
        <f>IF($E287="","",IF($E286="",$E287,$E287*0.0099502488+K286*0.9900497512))</f>
        <v>0</v>
      </c>
      <c r="L287">
        <f>IF(OR($E287="",$E286=""),"",MAX($E287-$E286,0))</f>
        <v>0</v>
      </c>
      <c r="M287">
        <f>IF(OR($E287="",$E286=""),"",MAX($E286-$E287,0))</f>
        <v>0</v>
      </c>
      <c r="N287">
        <f>IF(COUNT($E$2:$E287)&lt;15,"",IF(AVERAGE($M$274:$M$287)=0,100,100-100/(1+AVERAGE($L$274:$L$287)/AVERAGE($M$274:$M$287))))</f>
        <v>0</v>
      </c>
      <c r="O287">
        <f>IF($E287="","",IF($E286="",$E287,$E287*0.1538461538+O286*0.8461538462))</f>
        <v>0</v>
      </c>
      <c r="P287">
        <f>IF($E287="","",IF($E286="",$E287,$E287*0.0740740741+P286*0.9259259259))</f>
        <v>0</v>
      </c>
      <c r="Q287">
        <f>IF(OR(O287="",P287=""),"",O287-P287)</f>
        <v>0</v>
      </c>
      <c r="R287">
        <f>IF(Q287="","",IF(R286="",Q287,Q287*0.2000000000+R286*0.8000000000))</f>
        <v>0</v>
      </c>
      <c r="S287">
        <f>IF(OR(Q287="",R287=""),"",Q287-R287)</f>
        <v>0</v>
      </c>
      <c r="T287">
        <f>IF(COUNT($E$2:$E287)&lt;14,"",MAX($C$274:$C$287))</f>
        <v>0</v>
      </c>
      <c r="U287">
        <f>IF(COUNT($E$2:$E287)&lt;14,"",MIN($D$274:$D$287))</f>
        <v>0</v>
      </c>
      <c r="V287">
        <f>IF(OR(T287="",U287="",T287=U287),"",100*($E287-U287)/(T287-U287))</f>
        <v>0</v>
      </c>
      <c r="W287">
        <f>IF(COUNT($V$285:$V$287)&lt;3,"",AVERAGE($V$285:$V$287))</f>
        <v>0</v>
      </c>
      <c r="X287">
        <f>IF(COUNT($N$274:$N$287)&lt;14,"",MIN($N$274:$N$287))</f>
        <v>0</v>
      </c>
      <c r="Y287">
        <f>IF(COUNT($N$274:$N$287)&lt;14,"",MAX($N$274:$N$287))</f>
        <v>0</v>
      </c>
      <c r="Z287">
        <f>IF(OR(N287="",X287="",Y287="",Y287=X287),"",100*(N287-X287)/(Y287-X287))</f>
        <v>0</v>
      </c>
      <c r="AA287">
        <f>IF(COUNT($Z$285:$Z$287)&lt;3,"",AVERAGE($Z$285:$Z$287))</f>
        <v>0</v>
      </c>
      <c r="AB287">
        <f>IF(COUNT($AA$285:$AA$287)&lt;3,"",AVERAGE($AA$285:$AA$287))</f>
        <v>0</v>
      </c>
      <c r="AC287">
        <f>IF($E287="","",MAX($C287-$D287,ABS($C287-$E286),ABS($D287-$E286)))</f>
        <v>0</v>
      </c>
      <c r="AD287">
        <f>IF(COUNT($E$2:$E287)&lt;15,"",AVERAGE($AC$274:$AC$287))</f>
        <v>0</v>
      </c>
      <c r="AE287">
        <f>IF(OR($E287="",$E286=""),"",IF(AND(($C287-$C286)&gt;($D286-$D287),($C287-$C286)&gt;0),$C287-$C286,0))</f>
        <v>0</v>
      </c>
      <c r="AF287">
        <f>IF(OR($E287="",$E286=""),"",IF(AND(($D286-$D287)&gt;($C287-$C286),($D286-$D287)&gt;0),$D286-$D287,0))</f>
        <v>0</v>
      </c>
      <c r="AG287">
        <f>IF(COUNT($E$2:$E287)&lt;15,"",IF(SUM($AC$274:$AC$287)=0,0,100*SUM($AE$274:$AE$287)/SUM($AC$274:$AC$287)))</f>
        <v>0</v>
      </c>
      <c r="AH287">
        <f>IF(COUNT($E$2:$E287)&lt;15,"",IF(SUM($AC$274:$AC$287)=0,0,100*SUM($AF$274:$AF$287)/SUM($AC$274:$AC$287)))</f>
        <v>0</v>
      </c>
      <c r="AI287">
        <f>IF(OR(AG287="",AH287=""),"",IF((AG287+AH287)=0,0,100*ABS(AG287-AH287)/(AG287+AH287)))</f>
        <v>0</v>
      </c>
      <c r="AJ287">
        <f>IF(COUNT($AI$274:$AI$287)&lt;14,"",AVERAGE($AI$274:$AI$287))</f>
        <v>0</v>
      </c>
      <c r="AK287">
        <f>IF(COUNT($E$2:$E287)&lt;20,"",AVERAGE($E$268:$E$287))</f>
        <v>0</v>
      </c>
      <c r="AL287">
        <f>IF(COUNT($E$2:$E287)&lt;20,"",STDEVP($E$268:$E$287))</f>
        <v>0</v>
      </c>
      <c r="AM287">
        <f>IF(AK287="","",AK287+2*AL287)</f>
        <v>0</v>
      </c>
      <c r="AN287">
        <f>IF(AK287="","",AK287-2*AL287)</f>
        <v>0</v>
      </c>
      <c r="AO287">
        <f>IF(OR(AM287="",AN287="",AM287=AN287),"",($E287-AN287)/(AM287-AN287))</f>
        <v>0</v>
      </c>
      <c r="AP287">
        <f>IF(OR(AM287="",AK287="",AK287=0),"",(AM287-AN287)/AK287)</f>
        <v>0</v>
      </c>
      <c r="AQ287">
        <f>IF(COUNT($E$2:$E287)&lt;20,"",MAX($C$268:$C$287))</f>
        <v>0</v>
      </c>
      <c r="AR287">
        <f>IF(COUNT($E$2:$E287)&lt;20,"",MIN($D$268:$D$287))</f>
        <v>0</v>
      </c>
      <c r="AS287">
        <f>IF(OR(AQ287="",AR287=""),"",(AQ287+AR287)/2)</f>
        <v>0</v>
      </c>
      <c r="AT287">
        <f>IF(COUNT($G$268:$G$287)&lt;20,"",STDEV($G$268:$G$287)*SQRT(252))</f>
        <v>0</v>
      </c>
      <c r="AU287">
        <f>IF(COUNT($E$2:$E287)&lt;9,"",(MAX($C$279:$C$287)+MIN($D$279:$D$287))/2)</f>
        <v>0</v>
      </c>
      <c r="AV287">
        <f>IF(COUNT($E$2:$E287)&lt;26,"",(MAX($C$262:$C$287)+MIN($D$262:$D$287))/2)</f>
        <v>0</v>
      </c>
      <c r="AW287">
        <f>IF(OR(AU287="",AV287=""),"",(AU287+AV287)/2)</f>
        <v>0</v>
      </c>
      <c r="AX287">
        <f>IF(COUNT($E$2:$E287)&lt;52,"",(MAX($C$236:$C$287)+MIN($D$236:$D$287))/2)</f>
        <v>0</v>
      </c>
      <c r="AY287">
        <f>IF(COUNT($E$2:$E287)&lt;20,"",MAX($C$188:$C$287))</f>
        <v>0</v>
      </c>
      <c r="AZ287">
        <f>IF(COUNT($E$2:$E287)&lt;20,"",MIN($D$188:$D$287))</f>
        <v>0</v>
      </c>
      <c r="BA287">
        <f>IF(COUNT($E$2:$E287)&lt;20,"",SLOPE($E$188:$E$287,$F$188:$F$287))</f>
        <v>0</v>
      </c>
      <c r="BB287">
        <f>IF(COUNT($E$2:$E287)&lt;20,"",INTERCEPT($E$188:$E$287,$F$188:$F$287))</f>
        <v>0</v>
      </c>
      <c r="BC287">
        <f>IF(OR(BA287="",BB287=""),"",BB287+BA287*F287)</f>
        <v>0</v>
      </c>
      <c r="BD287">
        <f>IF(COUNT($E$2:$E287)&lt;20,"",STEYX($E$188:$E$287,$F$188:$F$287))</f>
        <v>0</v>
      </c>
      <c r="BE287">
        <f>IF($E287="","",IF(AND(COUNT($E$288:$E$291)&gt;=4,$C287=MAX($C$283:$C$291)),$C287,""))</f>
        <v>0</v>
      </c>
      <c r="BF287">
        <f>IF($E287="","",IF(AND(COUNT($E$288:$E$291)&gt;=4,$D287=MIN($D$283:$D$291)),$D287,""))</f>
        <v>0</v>
      </c>
      <c r="BG287">
        <f>IF($A287="","",$A287-WEEKDAY($A287,2)+1)</f>
        <v>0</v>
      </c>
      <c r="BH287">
        <f>IF($A287="","",IF($A286="",1,IF(BG287&lt;&gt;BG286,1,0)))</f>
        <v>0</v>
      </c>
      <c r="BI287">
        <f>IF($A287="","",IF($A288="",1,IF(BG288&lt;&gt;BG287,1,0)))</f>
        <v>0</v>
      </c>
      <c r="BJ287">
        <f>IF($A287="","",IF(BH287=1,$B287,BJ286))</f>
        <v>0</v>
      </c>
      <c r="BK287">
        <f>IF($A287="","",IF(BH287=1,$C287,MAX($C287,BK286)))</f>
        <v>0</v>
      </c>
      <c r="BL287">
        <f>IF($A287="","",IF(BH287=1,$D287,MIN($D287,BL286)))</f>
        <v>0</v>
      </c>
      <c r="BM287">
        <f>IF($A287="","",IF(BI287=1,F287,""))</f>
        <v>0</v>
      </c>
      <c r="BN287">
        <f>IF($A287="","",DATE(YEAR($A287),MONTH($A287),1))</f>
        <v>0</v>
      </c>
      <c r="BO287">
        <f>IF($A287="","",IF($A286="",1,IF(BN287&lt;&gt;BN286,1,0)))</f>
        <v>0</v>
      </c>
      <c r="BP287">
        <f>IF($A287="","",IF($A288="",1,IF(BN288&lt;&gt;BN287,1,0)))</f>
        <v>0</v>
      </c>
      <c r="BQ287">
        <f>IF($A287="","",IF(BO287=1,$B287,BQ286))</f>
        <v>0</v>
      </c>
      <c r="BR287">
        <f>IF($A287="","",IF(BO287=1,$C287,MAX($C287,BR286)))</f>
        <v>0</v>
      </c>
      <c r="BS287">
        <f>IF($A287="","",IF(BO287=1,$D287,MIN($D287,BS286)))</f>
        <v>0</v>
      </c>
      <c r="BT287">
        <f>IF($A287="","",IF(BP287=1,F287,""))</f>
        <v>0</v>
      </c>
    </row>
    <row r="288" spans="1:72">
      <c r="A288" s="27">
        <f>IF(Data!$A288="","",Data!$A288)</f>
        <v>0</v>
      </c>
      <c r="B288">
        <f>IF(Data!$B288="","",Data!$B288)</f>
        <v>0</v>
      </c>
      <c r="C288">
        <f>IF(Data!$C288="","",Data!$C288)</f>
        <v>0</v>
      </c>
      <c r="D288">
        <f>IF(Data!$D288="","",Data!$D288)</f>
        <v>0</v>
      </c>
      <c r="E288">
        <f>IF(Data!$E288="","",Data!$E288)</f>
        <v>0</v>
      </c>
      <c r="F288">
        <f>IF($E288="","",N(F287)+1)</f>
        <v>0</v>
      </c>
      <c r="G288">
        <f>IF(OR($E288="",$E287=""),"",LN($E288/$E287))</f>
        <v>0</v>
      </c>
      <c r="H288">
        <f>IF($E288="","",IF($E287="",$E288,$E288*0.0952380952+H287*0.9047619048))</f>
        <v>0</v>
      </c>
      <c r="I288">
        <f>IF($E288="","",IF($E287="",$E288,$E288*0.0392156863+I287*0.9607843137))</f>
        <v>0</v>
      </c>
      <c r="J288">
        <f>IF($E288="","",IF($E287="",$E288,$E288*0.0198019802+J287*0.9801980198))</f>
        <v>0</v>
      </c>
      <c r="K288">
        <f>IF($E288="","",IF($E287="",$E288,$E288*0.0099502488+K287*0.9900497512))</f>
        <v>0</v>
      </c>
      <c r="L288">
        <f>IF(OR($E288="",$E287=""),"",MAX($E288-$E287,0))</f>
        <v>0</v>
      </c>
      <c r="M288">
        <f>IF(OR($E288="",$E287=""),"",MAX($E287-$E288,0))</f>
        <v>0</v>
      </c>
      <c r="N288">
        <f>IF(COUNT($E$2:$E288)&lt;15,"",IF(AVERAGE($M$275:$M$288)=0,100,100-100/(1+AVERAGE($L$275:$L$288)/AVERAGE($M$275:$M$288))))</f>
        <v>0</v>
      </c>
      <c r="O288">
        <f>IF($E288="","",IF($E287="",$E288,$E288*0.1538461538+O287*0.8461538462))</f>
        <v>0</v>
      </c>
      <c r="P288">
        <f>IF($E288="","",IF($E287="",$E288,$E288*0.0740740741+P287*0.9259259259))</f>
        <v>0</v>
      </c>
      <c r="Q288">
        <f>IF(OR(O288="",P288=""),"",O288-P288)</f>
        <v>0</v>
      </c>
      <c r="R288">
        <f>IF(Q288="","",IF(R287="",Q288,Q288*0.2000000000+R287*0.8000000000))</f>
        <v>0</v>
      </c>
      <c r="S288">
        <f>IF(OR(Q288="",R288=""),"",Q288-R288)</f>
        <v>0</v>
      </c>
      <c r="T288">
        <f>IF(COUNT($E$2:$E288)&lt;14,"",MAX($C$275:$C$288))</f>
        <v>0</v>
      </c>
      <c r="U288">
        <f>IF(COUNT($E$2:$E288)&lt;14,"",MIN($D$275:$D$288))</f>
        <v>0</v>
      </c>
      <c r="V288">
        <f>IF(OR(T288="",U288="",T288=U288),"",100*($E288-U288)/(T288-U288))</f>
        <v>0</v>
      </c>
      <c r="W288">
        <f>IF(COUNT($V$286:$V$288)&lt;3,"",AVERAGE($V$286:$V$288))</f>
        <v>0</v>
      </c>
      <c r="X288">
        <f>IF(COUNT($N$275:$N$288)&lt;14,"",MIN($N$275:$N$288))</f>
        <v>0</v>
      </c>
      <c r="Y288">
        <f>IF(COUNT($N$275:$N$288)&lt;14,"",MAX($N$275:$N$288))</f>
        <v>0</v>
      </c>
      <c r="Z288">
        <f>IF(OR(N288="",X288="",Y288="",Y288=X288),"",100*(N288-X288)/(Y288-X288))</f>
        <v>0</v>
      </c>
      <c r="AA288">
        <f>IF(COUNT($Z$286:$Z$288)&lt;3,"",AVERAGE($Z$286:$Z$288))</f>
        <v>0</v>
      </c>
      <c r="AB288">
        <f>IF(COUNT($AA$286:$AA$288)&lt;3,"",AVERAGE($AA$286:$AA$288))</f>
        <v>0</v>
      </c>
      <c r="AC288">
        <f>IF($E288="","",MAX($C288-$D288,ABS($C288-$E287),ABS($D288-$E287)))</f>
        <v>0</v>
      </c>
      <c r="AD288">
        <f>IF(COUNT($E$2:$E288)&lt;15,"",AVERAGE($AC$275:$AC$288))</f>
        <v>0</v>
      </c>
      <c r="AE288">
        <f>IF(OR($E288="",$E287=""),"",IF(AND(($C288-$C287)&gt;($D287-$D288),($C288-$C287)&gt;0),$C288-$C287,0))</f>
        <v>0</v>
      </c>
      <c r="AF288">
        <f>IF(OR($E288="",$E287=""),"",IF(AND(($D287-$D288)&gt;($C288-$C287),($D287-$D288)&gt;0),$D287-$D288,0))</f>
        <v>0</v>
      </c>
      <c r="AG288">
        <f>IF(COUNT($E$2:$E288)&lt;15,"",IF(SUM($AC$275:$AC$288)=0,0,100*SUM($AE$275:$AE$288)/SUM($AC$275:$AC$288)))</f>
        <v>0</v>
      </c>
      <c r="AH288">
        <f>IF(COUNT($E$2:$E288)&lt;15,"",IF(SUM($AC$275:$AC$288)=0,0,100*SUM($AF$275:$AF$288)/SUM($AC$275:$AC$288)))</f>
        <v>0</v>
      </c>
      <c r="AI288">
        <f>IF(OR(AG288="",AH288=""),"",IF((AG288+AH288)=0,0,100*ABS(AG288-AH288)/(AG288+AH288)))</f>
        <v>0</v>
      </c>
      <c r="AJ288">
        <f>IF(COUNT($AI$275:$AI$288)&lt;14,"",AVERAGE($AI$275:$AI$288))</f>
        <v>0</v>
      </c>
      <c r="AK288">
        <f>IF(COUNT($E$2:$E288)&lt;20,"",AVERAGE($E$269:$E$288))</f>
        <v>0</v>
      </c>
      <c r="AL288">
        <f>IF(COUNT($E$2:$E288)&lt;20,"",STDEVP($E$269:$E$288))</f>
        <v>0</v>
      </c>
      <c r="AM288">
        <f>IF(AK288="","",AK288+2*AL288)</f>
        <v>0</v>
      </c>
      <c r="AN288">
        <f>IF(AK288="","",AK288-2*AL288)</f>
        <v>0</v>
      </c>
      <c r="AO288">
        <f>IF(OR(AM288="",AN288="",AM288=AN288),"",($E288-AN288)/(AM288-AN288))</f>
        <v>0</v>
      </c>
      <c r="AP288">
        <f>IF(OR(AM288="",AK288="",AK288=0),"",(AM288-AN288)/AK288)</f>
        <v>0</v>
      </c>
      <c r="AQ288">
        <f>IF(COUNT($E$2:$E288)&lt;20,"",MAX($C$269:$C$288))</f>
        <v>0</v>
      </c>
      <c r="AR288">
        <f>IF(COUNT($E$2:$E288)&lt;20,"",MIN($D$269:$D$288))</f>
        <v>0</v>
      </c>
      <c r="AS288">
        <f>IF(OR(AQ288="",AR288=""),"",(AQ288+AR288)/2)</f>
        <v>0</v>
      </c>
      <c r="AT288">
        <f>IF(COUNT($G$269:$G$288)&lt;20,"",STDEV($G$269:$G$288)*SQRT(252))</f>
        <v>0</v>
      </c>
      <c r="AU288">
        <f>IF(COUNT($E$2:$E288)&lt;9,"",(MAX($C$280:$C$288)+MIN($D$280:$D$288))/2)</f>
        <v>0</v>
      </c>
      <c r="AV288">
        <f>IF(COUNT($E$2:$E288)&lt;26,"",(MAX($C$263:$C$288)+MIN($D$263:$D$288))/2)</f>
        <v>0</v>
      </c>
      <c r="AW288">
        <f>IF(OR(AU288="",AV288=""),"",(AU288+AV288)/2)</f>
        <v>0</v>
      </c>
      <c r="AX288">
        <f>IF(COUNT($E$2:$E288)&lt;52,"",(MAX($C$237:$C$288)+MIN($D$237:$D$288))/2)</f>
        <v>0</v>
      </c>
      <c r="AY288">
        <f>IF(COUNT($E$2:$E288)&lt;20,"",MAX($C$189:$C$288))</f>
        <v>0</v>
      </c>
      <c r="AZ288">
        <f>IF(COUNT($E$2:$E288)&lt;20,"",MIN($D$189:$D$288))</f>
        <v>0</v>
      </c>
      <c r="BA288">
        <f>IF(COUNT($E$2:$E288)&lt;20,"",SLOPE($E$189:$E$288,$F$189:$F$288))</f>
        <v>0</v>
      </c>
      <c r="BB288">
        <f>IF(COUNT($E$2:$E288)&lt;20,"",INTERCEPT($E$189:$E$288,$F$189:$F$288))</f>
        <v>0</v>
      </c>
      <c r="BC288">
        <f>IF(OR(BA288="",BB288=""),"",BB288+BA288*F288)</f>
        <v>0</v>
      </c>
      <c r="BD288">
        <f>IF(COUNT($E$2:$E288)&lt;20,"",STEYX($E$189:$E$288,$F$189:$F$288))</f>
        <v>0</v>
      </c>
      <c r="BE288">
        <f>IF($E288="","",IF(AND(COUNT($E$289:$E$292)&gt;=4,$C288=MAX($C$284:$C$292)),$C288,""))</f>
        <v>0</v>
      </c>
      <c r="BF288">
        <f>IF($E288="","",IF(AND(COUNT($E$289:$E$292)&gt;=4,$D288=MIN($D$284:$D$292)),$D288,""))</f>
        <v>0</v>
      </c>
      <c r="BG288">
        <f>IF($A288="","",$A288-WEEKDAY($A288,2)+1)</f>
        <v>0</v>
      </c>
      <c r="BH288">
        <f>IF($A288="","",IF($A287="",1,IF(BG288&lt;&gt;BG287,1,0)))</f>
        <v>0</v>
      </c>
      <c r="BI288">
        <f>IF($A288="","",IF($A289="",1,IF(BG289&lt;&gt;BG288,1,0)))</f>
        <v>0</v>
      </c>
      <c r="BJ288">
        <f>IF($A288="","",IF(BH288=1,$B288,BJ287))</f>
        <v>0</v>
      </c>
      <c r="BK288">
        <f>IF($A288="","",IF(BH288=1,$C288,MAX($C288,BK287)))</f>
        <v>0</v>
      </c>
      <c r="BL288">
        <f>IF($A288="","",IF(BH288=1,$D288,MIN($D288,BL287)))</f>
        <v>0</v>
      </c>
      <c r="BM288">
        <f>IF($A288="","",IF(BI288=1,F288,""))</f>
        <v>0</v>
      </c>
      <c r="BN288">
        <f>IF($A288="","",DATE(YEAR($A288),MONTH($A288),1))</f>
        <v>0</v>
      </c>
      <c r="BO288">
        <f>IF($A288="","",IF($A287="",1,IF(BN288&lt;&gt;BN287,1,0)))</f>
        <v>0</v>
      </c>
      <c r="BP288">
        <f>IF($A288="","",IF($A289="",1,IF(BN289&lt;&gt;BN288,1,0)))</f>
        <v>0</v>
      </c>
      <c r="BQ288">
        <f>IF($A288="","",IF(BO288=1,$B288,BQ287))</f>
        <v>0</v>
      </c>
      <c r="BR288">
        <f>IF($A288="","",IF(BO288=1,$C288,MAX($C288,BR287)))</f>
        <v>0</v>
      </c>
      <c r="BS288">
        <f>IF($A288="","",IF(BO288=1,$D288,MIN($D288,BS287)))</f>
        <v>0</v>
      </c>
      <c r="BT288">
        <f>IF($A288="","",IF(BP288=1,F288,""))</f>
        <v>0</v>
      </c>
    </row>
    <row r="289" spans="1:72">
      <c r="A289" s="27">
        <f>IF(Data!$A289="","",Data!$A289)</f>
        <v>0</v>
      </c>
      <c r="B289">
        <f>IF(Data!$B289="","",Data!$B289)</f>
        <v>0</v>
      </c>
      <c r="C289">
        <f>IF(Data!$C289="","",Data!$C289)</f>
        <v>0</v>
      </c>
      <c r="D289">
        <f>IF(Data!$D289="","",Data!$D289)</f>
        <v>0</v>
      </c>
      <c r="E289">
        <f>IF(Data!$E289="","",Data!$E289)</f>
        <v>0</v>
      </c>
      <c r="F289">
        <f>IF($E289="","",N(F288)+1)</f>
        <v>0</v>
      </c>
      <c r="G289">
        <f>IF(OR($E289="",$E288=""),"",LN($E289/$E288))</f>
        <v>0</v>
      </c>
      <c r="H289">
        <f>IF($E289="","",IF($E288="",$E289,$E289*0.0952380952+H288*0.9047619048))</f>
        <v>0</v>
      </c>
      <c r="I289">
        <f>IF($E289="","",IF($E288="",$E289,$E289*0.0392156863+I288*0.9607843137))</f>
        <v>0</v>
      </c>
      <c r="J289">
        <f>IF($E289="","",IF($E288="",$E289,$E289*0.0198019802+J288*0.9801980198))</f>
        <v>0</v>
      </c>
      <c r="K289">
        <f>IF($E289="","",IF($E288="",$E289,$E289*0.0099502488+K288*0.9900497512))</f>
        <v>0</v>
      </c>
      <c r="L289">
        <f>IF(OR($E289="",$E288=""),"",MAX($E289-$E288,0))</f>
        <v>0</v>
      </c>
      <c r="M289">
        <f>IF(OR($E289="",$E288=""),"",MAX($E288-$E289,0))</f>
        <v>0</v>
      </c>
      <c r="N289">
        <f>IF(COUNT($E$2:$E289)&lt;15,"",IF(AVERAGE($M$276:$M$289)=0,100,100-100/(1+AVERAGE($L$276:$L$289)/AVERAGE($M$276:$M$289))))</f>
        <v>0</v>
      </c>
      <c r="O289">
        <f>IF($E289="","",IF($E288="",$E289,$E289*0.1538461538+O288*0.8461538462))</f>
        <v>0</v>
      </c>
      <c r="P289">
        <f>IF($E289="","",IF($E288="",$E289,$E289*0.0740740741+P288*0.9259259259))</f>
        <v>0</v>
      </c>
      <c r="Q289">
        <f>IF(OR(O289="",P289=""),"",O289-P289)</f>
        <v>0</v>
      </c>
      <c r="R289">
        <f>IF(Q289="","",IF(R288="",Q289,Q289*0.2000000000+R288*0.8000000000))</f>
        <v>0</v>
      </c>
      <c r="S289">
        <f>IF(OR(Q289="",R289=""),"",Q289-R289)</f>
        <v>0</v>
      </c>
      <c r="T289">
        <f>IF(COUNT($E$2:$E289)&lt;14,"",MAX($C$276:$C$289))</f>
        <v>0</v>
      </c>
      <c r="U289">
        <f>IF(COUNT($E$2:$E289)&lt;14,"",MIN($D$276:$D$289))</f>
        <v>0</v>
      </c>
      <c r="V289">
        <f>IF(OR(T289="",U289="",T289=U289),"",100*($E289-U289)/(T289-U289))</f>
        <v>0</v>
      </c>
      <c r="W289">
        <f>IF(COUNT($V$287:$V$289)&lt;3,"",AVERAGE($V$287:$V$289))</f>
        <v>0</v>
      </c>
      <c r="X289">
        <f>IF(COUNT($N$276:$N$289)&lt;14,"",MIN($N$276:$N$289))</f>
        <v>0</v>
      </c>
      <c r="Y289">
        <f>IF(COUNT($N$276:$N$289)&lt;14,"",MAX($N$276:$N$289))</f>
        <v>0</v>
      </c>
      <c r="Z289">
        <f>IF(OR(N289="",X289="",Y289="",Y289=X289),"",100*(N289-X289)/(Y289-X289))</f>
        <v>0</v>
      </c>
      <c r="AA289">
        <f>IF(COUNT($Z$287:$Z$289)&lt;3,"",AVERAGE($Z$287:$Z$289))</f>
        <v>0</v>
      </c>
      <c r="AB289">
        <f>IF(COUNT($AA$287:$AA$289)&lt;3,"",AVERAGE($AA$287:$AA$289))</f>
        <v>0</v>
      </c>
      <c r="AC289">
        <f>IF($E289="","",MAX($C289-$D289,ABS($C289-$E288),ABS($D289-$E288)))</f>
        <v>0</v>
      </c>
      <c r="AD289">
        <f>IF(COUNT($E$2:$E289)&lt;15,"",AVERAGE($AC$276:$AC$289))</f>
        <v>0</v>
      </c>
      <c r="AE289">
        <f>IF(OR($E289="",$E288=""),"",IF(AND(($C289-$C288)&gt;($D288-$D289),($C289-$C288)&gt;0),$C289-$C288,0))</f>
        <v>0</v>
      </c>
      <c r="AF289">
        <f>IF(OR($E289="",$E288=""),"",IF(AND(($D288-$D289)&gt;($C289-$C288),($D288-$D289)&gt;0),$D288-$D289,0))</f>
        <v>0</v>
      </c>
      <c r="AG289">
        <f>IF(COUNT($E$2:$E289)&lt;15,"",IF(SUM($AC$276:$AC$289)=0,0,100*SUM($AE$276:$AE$289)/SUM($AC$276:$AC$289)))</f>
        <v>0</v>
      </c>
      <c r="AH289">
        <f>IF(COUNT($E$2:$E289)&lt;15,"",IF(SUM($AC$276:$AC$289)=0,0,100*SUM($AF$276:$AF$289)/SUM($AC$276:$AC$289)))</f>
        <v>0</v>
      </c>
      <c r="AI289">
        <f>IF(OR(AG289="",AH289=""),"",IF((AG289+AH289)=0,0,100*ABS(AG289-AH289)/(AG289+AH289)))</f>
        <v>0</v>
      </c>
      <c r="AJ289">
        <f>IF(COUNT($AI$276:$AI$289)&lt;14,"",AVERAGE($AI$276:$AI$289))</f>
        <v>0</v>
      </c>
      <c r="AK289">
        <f>IF(COUNT($E$2:$E289)&lt;20,"",AVERAGE($E$270:$E$289))</f>
        <v>0</v>
      </c>
      <c r="AL289">
        <f>IF(COUNT($E$2:$E289)&lt;20,"",STDEVP($E$270:$E$289))</f>
        <v>0</v>
      </c>
      <c r="AM289">
        <f>IF(AK289="","",AK289+2*AL289)</f>
        <v>0</v>
      </c>
      <c r="AN289">
        <f>IF(AK289="","",AK289-2*AL289)</f>
        <v>0</v>
      </c>
      <c r="AO289">
        <f>IF(OR(AM289="",AN289="",AM289=AN289),"",($E289-AN289)/(AM289-AN289))</f>
        <v>0</v>
      </c>
      <c r="AP289">
        <f>IF(OR(AM289="",AK289="",AK289=0),"",(AM289-AN289)/AK289)</f>
        <v>0</v>
      </c>
      <c r="AQ289">
        <f>IF(COUNT($E$2:$E289)&lt;20,"",MAX($C$270:$C$289))</f>
        <v>0</v>
      </c>
      <c r="AR289">
        <f>IF(COUNT($E$2:$E289)&lt;20,"",MIN($D$270:$D$289))</f>
        <v>0</v>
      </c>
      <c r="AS289">
        <f>IF(OR(AQ289="",AR289=""),"",(AQ289+AR289)/2)</f>
        <v>0</v>
      </c>
      <c r="AT289">
        <f>IF(COUNT($G$270:$G$289)&lt;20,"",STDEV($G$270:$G$289)*SQRT(252))</f>
        <v>0</v>
      </c>
      <c r="AU289">
        <f>IF(COUNT($E$2:$E289)&lt;9,"",(MAX($C$281:$C$289)+MIN($D$281:$D$289))/2)</f>
        <v>0</v>
      </c>
      <c r="AV289">
        <f>IF(COUNT($E$2:$E289)&lt;26,"",(MAX($C$264:$C$289)+MIN($D$264:$D$289))/2)</f>
        <v>0</v>
      </c>
      <c r="AW289">
        <f>IF(OR(AU289="",AV289=""),"",(AU289+AV289)/2)</f>
        <v>0</v>
      </c>
      <c r="AX289">
        <f>IF(COUNT($E$2:$E289)&lt;52,"",(MAX($C$238:$C$289)+MIN($D$238:$D$289))/2)</f>
        <v>0</v>
      </c>
      <c r="AY289">
        <f>IF(COUNT($E$2:$E289)&lt;20,"",MAX($C$190:$C$289))</f>
        <v>0</v>
      </c>
      <c r="AZ289">
        <f>IF(COUNT($E$2:$E289)&lt;20,"",MIN($D$190:$D$289))</f>
        <v>0</v>
      </c>
      <c r="BA289">
        <f>IF(COUNT($E$2:$E289)&lt;20,"",SLOPE($E$190:$E$289,$F$190:$F$289))</f>
        <v>0</v>
      </c>
      <c r="BB289">
        <f>IF(COUNT($E$2:$E289)&lt;20,"",INTERCEPT($E$190:$E$289,$F$190:$F$289))</f>
        <v>0</v>
      </c>
      <c r="BC289">
        <f>IF(OR(BA289="",BB289=""),"",BB289+BA289*F289)</f>
        <v>0</v>
      </c>
      <c r="BD289">
        <f>IF(COUNT($E$2:$E289)&lt;20,"",STEYX($E$190:$E$289,$F$190:$F$289))</f>
        <v>0</v>
      </c>
      <c r="BE289">
        <f>IF($E289="","",IF(AND(COUNT($E$290:$E$293)&gt;=4,$C289=MAX($C$285:$C$293)),$C289,""))</f>
        <v>0</v>
      </c>
      <c r="BF289">
        <f>IF($E289="","",IF(AND(COUNT($E$290:$E$293)&gt;=4,$D289=MIN($D$285:$D$293)),$D289,""))</f>
        <v>0</v>
      </c>
      <c r="BG289">
        <f>IF($A289="","",$A289-WEEKDAY($A289,2)+1)</f>
        <v>0</v>
      </c>
      <c r="BH289">
        <f>IF($A289="","",IF($A288="",1,IF(BG289&lt;&gt;BG288,1,0)))</f>
        <v>0</v>
      </c>
      <c r="BI289">
        <f>IF($A289="","",IF($A290="",1,IF(BG290&lt;&gt;BG289,1,0)))</f>
        <v>0</v>
      </c>
      <c r="BJ289">
        <f>IF($A289="","",IF(BH289=1,$B289,BJ288))</f>
        <v>0</v>
      </c>
      <c r="BK289">
        <f>IF($A289="","",IF(BH289=1,$C289,MAX($C289,BK288)))</f>
        <v>0</v>
      </c>
      <c r="BL289">
        <f>IF($A289="","",IF(BH289=1,$D289,MIN($D289,BL288)))</f>
        <v>0</v>
      </c>
      <c r="BM289">
        <f>IF($A289="","",IF(BI289=1,F289,""))</f>
        <v>0</v>
      </c>
      <c r="BN289">
        <f>IF($A289="","",DATE(YEAR($A289),MONTH($A289),1))</f>
        <v>0</v>
      </c>
      <c r="BO289">
        <f>IF($A289="","",IF($A288="",1,IF(BN289&lt;&gt;BN288,1,0)))</f>
        <v>0</v>
      </c>
      <c r="BP289">
        <f>IF($A289="","",IF($A290="",1,IF(BN290&lt;&gt;BN289,1,0)))</f>
        <v>0</v>
      </c>
      <c r="BQ289">
        <f>IF($A289="","",IF(BO289=1,$B289,BQ288))</f>
        <v>0</v>
      </c>
      <c r="BR289">
        <f>IF($A289="","",IF(BO289=1,$C289,MAX($C289,BR288)))</f>
        <v>0</v>
      </c>
      <c r="BS289">
        <f>IF($A289="","",IF(BO289=1,$D289,MIN($D289,BS288)))</f>
        <v>0</v>
      </c>
      <c r="BT289">
        <f>IF($A289="","",IF(BP289=1,F289,""))</f>
        <v>0</v>
      </c>
    </row>
    <row r="290" spans="1:72">
      <c r="A290" s="27">
        <f>IF(Data!$A290="","",Data!$A290)</f>
        <v>0</v>
      </c>
      <c r="B290">
        <f>IF(Data!$B290="","",Data!$B290)</f>
        <v>0</v>
      </c>
      <c r="C290">
        <f>IF(Data!$C290="","",Data!$C290)</f>
        <v>0</v>
      </c>
      <c r="D290">
        <f>IF(Data!$D290="","",Data!$D290)</f>
        <v>0</v>
      </c>
      <c r="E290">
        <f>IF(Data!$E290="","",Data!$E290)</f>
        <v>0</v>
      </c>
      <c r="F290">
        <f>IF($E290="","",N(F289)+1)</f>
        <v>0</v>
      </c>
      <c r="G290">
        <f>IF(OR($E290="",$E289=""),"",LN($E290/$E289))</f>
        <v>0</v>
      </c>
      <c r="H290">
        <f>IF($E290="","",IF($E289="",$E290,$E290*0.0952380952+H289*0.9047619048))</f>
        <v>0</v>
      </c>
      <c r="I290">
        <f>IF($E290="","",IF($E289="",$E290,$E290*0.0392156863+I289*0.9607843137))</f>
        <v>0</v>
      </c>
      <c r="J290">
        <f>IF($E290="","",IF($E289="",$E290,$E290*0.0198019802+J289*0.9801980198))</f>
        <v>0</v>
      </c>
      <c r="K290">
        <f>IF($E290="","",IF($E289="",$E290,$E290*0.0099502488+K289*0.9900497512))</f>
        <v>0</v>
      </c>
      <c r="L290">
        <f>IF(OR($E290="",$E289=""),"",MAX($E290-$E289,0))</f>
        <v>0</v>
      </c>
      <c r="M290">
        <f>IF(OR($E290="",$E289=""),"",MAX($E289-$E290,0))</f>
        <v>0</v>
      </c>
      <c r="N290">
        <f>IF(COUNT($E$2:$E290)&lt;15,"",IF(AVERAGE($M$277:$M$290)=0,100,100-100/(1+AVERAGE($L$277:$L$290)/AVERAGE($M$277:$M$290))))</f>
        <v>0</v>
      </c>
      <c r="O290">
        <f>IF($E290="","",IF($E289="",$E290,$E290*0.1538461538+O289*0.8461538462))</f>
        <v>0</v>
      </c>
      <c r="P290">
        <f>IF($E290="","",IF($E289="",$E290,$E290*0.0740740741+P289*0.9259259259))</f>
        <v>0</v>
      </c>
      <c r="Q290">
        <f>IF(OR(O290="",P290=""),"",O290-P290)</f>
        <v>0</v>
      </c>
      <c r="R290">
        <f>IF(Q290="","",IF(R289="",Q290,Q290*0.2000000000+R289*0.8000000000))</f>
        <v>0</v>
      </c>
      <c r="S290">
        <f>IF(OR(Q290="",R290=""),"",Q290-R290)</f>
        <v>0</v>
      </c>
      <c r="T290">
        <f>IF(COUNT($E$2:$E290)&lt;14,"",MAX($C$277:$C$290))</f>
        <v>0</v>
      </c>
      <c r="U290">
        <f>IF(COUNT($E$2:$E290)&lt;14,"",MIN($D$277:$D$290))</f>
        <v>0</v>
      </c>
      <c r="V290">
        <f>IF(OR(T290="",U290="",T290=U290),"",100*($E290-U290)/(T290-U290))</f>
        <v>0</v>
      </c>
      <c r="W290">
        <f>IF(COUNT($V$288:$V$290)&lt;3,"",AVERAGE($V$288:$V$290))</f>
        <v>0</v>
      </c>
      <c r="X290">
        <f>IF(COUNT($N$277:$N$290)&lt;14,"",MIN($N$277:$N$290))</f>
        <v>0</v>
      </c>
      <c r="Y290">
        <f>IF(COUNT($N$277:$N$290)&lt;14,"",MAX($N$277:$N$290))</f>
        <v>0</v>
      </c>
      <c r="Z290">
        <f>IF(OR(N290="",X290="",Y290="",Y290=X290),"",100*(N290-X290)/(Y290-X290))</f>
        <v>0</v>
      </c>
      <c r="AA290">
        <f>IF(COUNT($Z$288:$Z$290)&lt;3,"",AVERAGE($Z$288:$Z$290))</f>
        <v>0</v>
      </c>
      <c r="AB290">
        <f>IF(COUNT($AA$288:$AA$290)&lt;3,"",AVERAGE($AA$288:$AA$290))</f>
        <v>0</v>
      </c>
      <c r="AC290">
        <f>IF($E290="","",MAX($C290-$D290,ABS($C290-$E289),ABS($D290-$E289)))</f>
        <v>0</v>
      </c>
      <c r="AD290">
        <f>IF(COUNT($E$2:$E290)&lt;15,"",AVERAGE($AC$277:$AC$290))</f>
        <v>0</v>
      </c>
      <c r="AE290">
        <f>IF(OR($E290="",$E289=""),"",IF(AND(($C290-$C289)&gt;($D289-$D290),($C290-$C289)&gt;0),$C290-$C289,0))</f>
        <v>0</v>
      </c>
      <c r="AF290">
        <f>IF(OR($E290="",$E289=""),"",IF(AND(($D289-$D290)&gt;($C290-$C289),($D289-$D290)&gt;0),$D289-$D290,0))</f>
        <v>0</v>
      </c>
      <c r="AG290">
        <f>IF(COUNT($E$2:$E290)&lt;15,"",IF(SUM($AC$277:$AC$290)=0,0,100*SUM($AE$277:$AE$290)/SUM($AC$277:$AC$290)))</f>
        <v>0</v>
      </c>
      <c r="AH290">
        <f>IF(COUNT($E$2:$E290)&lt;15,"",IF(SUM($AC$277:$AC$290)=0,0,100*SUM($AF$277:$AF$290)/SUM($AC$277:$AC$290)))</f>
        <v>0</v>
      </c>
      <c r="AI290">
        <f>IF(OR(AG290="",AH290=""),"",IF((AG290+AH290)=0,0,100*ABS(AG290-AH290)/(AG290+AH290)))</f>
        <v>0</v>
      </c>
      <c r="AJ290">
        <f>IF(COUNT($AI$277:$AI$290)&lt;14,"",AVERAGE($AI$277:$AI$290))</f>
        <v>0</v>
      </c>
      <c r="AK290">
        <f>IF(COUNT($E$2:$E290)&lt;20,"",AVERAGE($E$271:$E$290))</f>
        <v>0</v>
      </c>
      <c r="AL290">
        <f>IF(COUNT($E$2:$E290)&lt;20,"",STDEVP($E$271:$E$290))</f>
        <v>0</v>
      </c>
      <c r="AM290">
        <f>IF(AK290="","",AK290+2*AL290)</f>
        <v>0</v>
      </c>
      <c r="AN290">
        <f>IF(AK290="","",AK290-2*AL290)</f>
        <v>0</v>
      </c>
      <c r="AO290">
        <f>IF(OR(AM290="",AN290="",AM290=AN290),"",($E290-AN290)/(AM290-AN290))</f>
        <v>0</v>
      </c>
      <c r="AP290">
        <f>IF(OR(AM290="",AK290="",AK290=0),"",(AM290-AN290)/AK290)</f>
        <v>0</v>
      </c>
      <c r="AQ290">
        <f>IF(COUNT($E$2:$E290)&lt;20,"",MAX($C$271:$C$290))</f>
        <v>0</v>
      </c>
      <c r="AR290">
        <f>IF(COUNT($E$2:$E290)&lt;20,"",MIN($D$271:$D$290))</f>
        <v>0</v>
      </c>
      <c r="AS290">
        <f>IF(OR(AQ290="",AR290=""),"",(AQ290+AR290)/2)</f>
        <v>0</v>
      </c>
      <c r="AT290">
        <f>IF(COUNT($G$271:$G$290)&lt;20,"",STDEV($G$271:$G$290)*SQRT(252))</f>
        <v>0</v>
      </c>
      <c r="AU290">
        <f>IF(COUNT($E$2:$E290)&lt;9,"",(MAX($C$282:$C$290)+MIN($D$282:$D$290))/2)</f>
        <v>0</v>
      </c>
      <c r="AV290">
        <f>IF(COUNT($E$2:$E290)&lt;26,"",(MAX($C$265:$C$290)+MIN($D$265:$D$290))/2)</f>
        <v>0</v>
      </c>
      <c r="AW290">
        <f>IF(OR(AU290="",AV290=""),"",(AU290+AV290)/2)</f>
        <v>0</v>
      </c>
      <c r="AX290">
        <f>IF(COUNT($E$2:$E290)&lt;52,"",(MAX($C$239:$C$290)+MIN($D$239:$D$290))/2)</f>
        <v>0</v>
      </c>
      <c r="AY290">
        <f>IF(COUNT($E$2:$E290)&lt;20,"",MAX($C$191:$C$290))</f>
        <v>0</v>
      </c>
      <c r="AZ290">
        <f>IF(COUNT($E$2:$E290)&lt;20,"",MIN($D$191:$D$290))</f>
        <v>0</v>
      </c>
      <c r="BA290">
        <f>IF(COUNT($E$2:$E290)&lt;20,"",SLOPE($E$191:$E$290,$F$191:$F$290))</f>
        <v>0</v>
      </c>
      <c r="BB290">
        <f>IF(COUNT($E$2:$E290)&lt;20,"",INTERCEPT($E$191:$E$290,$F$191:$F$290))</f>
        <v>0</v>
      </c>
      <c r="BC290">
        <f>IF(OR(BA290="",BB290=""),"",BB290+BA290*F290)</f>
        <v>0</v>
      </c>
      <c r="BD290">
        <f>IF(COUNT($E$2:$E290)&lt;20,"",STEYX($E$191:$E$290,$F$191:$F$290))</f>
        <v>0</v>
      </c>
      <c r="BE290">
        <f>IF($E290="","",IF(AND(COUNT($E$291:$E$294)&gt;=4,$C290=MAX($C$286:$C$294)),$C290,""))</f>
        <v>0</v>
      </c>
      <c r="BF290">
        <f>IF($E290="","",IF(AND(COUNT($E$291:$E$294)&gt;=4,$D290=MIN($D$286:$D$294)),$D290,""))</f>
        <v>0</v>
      </c>
      <c r="BG290">
        <f>IF($A290="","",$A290-WEEKDAY($A290,2)+1)</f>
        <v>0</v>
      </c>
      <c r="BH290">
        <f>IF($A290="","",IF($A289="",1,IF(BG290&lt;&gt;BG289,1,0)))</f>
        <v>0</v>
      </c>
      <c r="BI290">
        <f>IF($A290="","",IF($A291="",1,IF(BG291&lt;&gt;BG290,1,0)))</f>
        <v>0</v>
      </c>
      <c r="BJ290">
        <f>IF($A290="","",IF(BH290=1,$B290,BJ289))</f>
        <v>0</v>
      </c>
      <c r="BK290">
        <f>IF($A290="","",IF(BH290=1,$C290,MAX($C290,BK289)))</f>
        <v>0</v>
      </c>
      <c r="BL290">
        <f>IF($A290="","",IF(BH290=1,$D290,MIN($D290,BL289)))</f>
        <v>0</v>
      </c>
      <c r="BM290">
        <f>IF($A290="","",IF(BI290=1,F290,""))</f>
        <v>0</v>
      </c>
      <c r="BN290">
        <f>IF($A290="","",DATE(YEAR($A290),MONTH($A290),1))</f>
        <v>0</v>
      </c>
      <c r="BO290">
        <f>IF($A290="","",IF($A289="",1,IF(BN290&lt;&gt;BN289,1,0)))</f>
        <v>0</v>
      </c>
      <c r="BP290">
        <f>IF($A290="","",IF($A291="",1,IF(BN291&lt;&gt;BN290,1,0)))</f>
        <v>0</v>
      </c>
      <c r="BQ290">
        <f>IF($A290="","",IF(BO290=1,$B290,BQ289))</f>
        <v>0</v>
      </c>
      <c r="BR290">
        <f>IF($A290="","",IF(BO290=1,$C290,MAX($C290,BR289)))</f>
        <v>0</v>
      </c>
      <c r="BS290">
        <f>IF($A290="","",IF(BO290=1,$D290,MIN($D290,BS289)))</f>
        <v>0</v>
      </c>
      <c r="BT290">
        <f>IF($A290="","",IF(BP290=1,F290,""))</f>
        <v>0</v>
      </c>
    </row>
    <row r="291" spans="1:72">
      <c r="A291" s="27">
        <f>IF(Data!$A291="","",Data!$A291)</f>
        <v>0</v>
      </c>
      <c r="B291">
        <f>IF(Data!$B291="","",Data!$B291)</f>
        <v>0</v>
      </c>
      <c r="C291">
        <f>IF(Data!$C291="","",Data!$C291)</f>
        <v>0</v>
      </c>
      <c r="D291">
        <f>IF(Data!$D291="","",Data!$D291)</f>
        <v>0</v>
      </c>
      <c r="E291">
        <f>IF(Data!$E291="","",Data!$E291)</f>
        <v>0</v>
      </c>
      <c r="F291">
        <f>IF($E291="","",N(F290)+1)</f>
        <v>0</v>
      </c>
      <c r="G291">
        <f>IF(OR($E291="",$E290=""),"",LN($E291/$E290))</f>
        <v>0</v>
      </c>
      <c r="H291">
        <f>IF($E291="","",IF($E290="",$E291,$E291*0.0952380952+H290*0.9047619048))</f>
        <v>0</v>
      </c>
      <c r="I291">
        <f>IF($E291="","",IF($E290="",$E291,$E291*0.0392156863+I290*0.9607843137))</f>
        <v>0</v>
      </c>
      <c r="J291">
        <f>IF($E291="","",IF($E290="",$E291,$E291*0.0198019802+J290*0.9801980198))</f>
        <v>0</v>
      </c>
      <c r="K291">
        <f>IF($E291="","",IF($E290="",$E291,$E291*0.0099502488+K290*0.9900497512))</f>
        <v>0</v>
      </c>
      <c r="L291">
        <f>IF(OR($E291="",$E290=""),"",MAX($E291-$E290,0))</f>
        <v>0</v>
      </c>
      <c r="M291">
        <f>IF(OR($E291="",$E290=""),"",MAX($E290-$E291,0))</f>
        <v>0</v>
      </c>
      <c r="N291">
        <f>IF(COUNT($E$2:$E291)&lt;15,"",IF(AVERAGE($M$278:$M$291)=0,100,100-100/(1+AVERAGE($L$278:$L$291)/AVERAGE($M$278:$M$291))))</f>
        <v>0</v>
      </c>
      <c r="O291">
        <f>IF($E291="","",IF($E290="",$E291,$E291*0.1538461538+O290*0.8461538462))</f>
        <v>0</v>
      </c>
      <c r="P291">
        <f>IF($E291="","",IF($E290="",$E291,$E291*0.0740740741+P290*0.9259259259))</f>
        <v>0</v>
      </c>
      <c r="Q291">
        <f>IF(OR(O291="",P291=""),"",O291-P291)</f>
        <v>0</v>
      </c>
      <c r="R291">
        <f>IF(Q291="","",IF(R290="",Q291,Q291*0.2000000000+R290*0.8000000000))</f>
        <v>0</v>
      </c>
      <c r="S291">
        <f>IF(OR(Q291="",R291=""),"",Q291-R291)</f>
        <v>0</v>
      </c>
      <c r="T291">
        <f>IF(COUNT($E$2:$E291)&lt;14,"",MAX($C$278:$C$291))</f>
        <v>0</v>
      </c>
      <c r="U291">
        <f>IF(COUNT($E$2:$E291)&lt;14,"",MIN($D$278:$D$291))</f>
        <v>0</v>
      </c>
      <c r="V291">
        <f>IF(OR(T291="",U291="",T291=U291),"",100*($E291-U291)/(T291-U291))</f>
        <v>0</v>
      </c>
      <c r="W291">
        <f>IF(COUNT($V$289:$V$291)&lt;3,"",AVERAGE($V$289:$V$291))</f>
        <v>0</v>
      </c>
      <c r="X291">
        <f>IF(COUNT($N$278:$N$291)&lt;14,"",MIN($N$278:$N$291))</f>
        <v>0</v>
      </c>
      <c r="Y291">
        <f>IF(COUNT($N$278:$N$291)&lt;14,"",MAX($N$278:$N$291))</f>
        <v>0</v>
      </c>
      <c r="Z291">
        <f>IF(OR(N291="",X291="",Y291="",Y291=X291),"",100*(N291-X291)/(Y291-X291))</f>
        <v>0</v>
      </c>
      <c r="AA291">
        <f>IF(COUNT($Z$289:$Z$291)&lt;3,"",AVERAGE($Z$289:$Z$291))</f>
        <v>0</v>
      </c>
      <c r="AB291">
        <f>IF(COUNT($AA$289:$AA$291)&lt;3,"",AVERAGE($AA$289:$AA$291))</f>
        <v>0</v>
      </c>
      <c r="AC291">
        <f>IF($E291="","",MAX($C291-$D291,ABS($C291-$E290),ABS($D291-$E290)))</f>
        <v>0</v>
      </c>
      <c r="AD291">
        <f>IF(COUNT($E$2:$E291)&lt;15,"",AVERAGE($AC$278:$AC$291))</f>
        <v>0</v>
      </c>
      <c r="AE291">
        <f>IF(OR($E291="",$E290=""),"",IF(AND(($C291-$C290)&gt;($D290-$D291),($C291-$C290)&gt;0),$C291-$C290,0))</f>
        <v>0</v>
      </c>
      <c r="AF291">
        <f>IF(OR($E291="",$E290=""),"",IF(AND(($D290-$D291)&gt;($C291-$C290),($D290-$D291)&gt;0),$D290-$D291,0))</f>
        <v>0</v>
      </c>
      <c r="AG291">
        <f>IF(COUNT($E$2:$E291)&lt;15,"",IF(SUM($AC$278:$AC$291)=0,0,100*SUM($AE$278:$AE$291)/SUM($AC$278:$AC$291)))</f>
        <v>0</v>
      </c>
      <c r="AH291">
        <f>IF(COUNT($E$2:$E291)&lt;15,"",IF(SUM($AC$278:$AC$291)=0,0,100*SUM($AF$278:$AF$291)/SUM($AC$278:$AC$291)))</f>
        <v>0</v>
      </c>
      <c r="AI291">
        <f>IF(OR(AG291="",AH291=""),"",IF((AG291+AH291)=0,0,100*ABS(AG291-AH291)/(AG291+AH291)))</f>
        <v>0</v>
      </c>
      <c r="AJ291">
        <f>IF(COUNT($AI$278:$AI$291)&lt;14,"",AVERAGE($AI$278:$AI$291))</f>
        <v>0</v>
      </c>
      <c r="AK291">
        <f>IF(COUNT($E$2:$E291)&lt;20,"",AVERAGE($E$272:$E$291))</f>
        <v>0</v>
      </c>
      <c r="AL291">
        <f>IF(COUNT($E$2:$E291)&lt;20,"",STDEVP($E$272:$E$291))</f>
        <v>0</v>
      </c>
      <c r="AM291">
        <f>IF(AK291="","",AK291+2*AL291)</f>
        <v>0</v>
      </c>
      <c r="AN291">
        <f>IF(AK291="","",AK291-2*AL291)</f>
        <v>0</v>
      </c>
      <c r="AO291">
        <f>IF(OR(AM291="",AN291="",AM291=AN291),"",($E291-AN291)/(AM291-AN291))</f>
        <v>0</v>
      </c>
      <c r="AP291">
        <f>IF(OR(AM291="",AK291="",AK291=0),"",(AM291-AN291)/AK291)</f>
        <v>0</v>
      </c>
      <c r="AQ291">
        <f>IF(COUNT($E$2:$E291)&lt;20,"",MAX($C$272:$C$291))</f>
        <v>0</v>
      </c>
      <c r="AR291">
        <f>IF(COUNT($E$2:$E291)&lt;20,"",MIN($D$272:$D$291))</f>
        <v>0</v>
      </c>
      <c r="AS291">
        <f>IF(OR(AQ291="",AR291=""),"",(AQ291+AR291)/2)</f>
        <v>0</v>
      </c>
      <c r="AT291">
        <f>IF(COUNT($G$272:$G$291)&lt;20,"",STDEV($G$272:$G$291)*SQRT(252))</f>
        <v>0</v>
      </c>
      <c r="AU291">
        <f>IF(COUNT($E$2:$E291)&lt;9,"",(MAX($C$283:$C$291)+MIN($D$283:$D$291))/2)</f>
        <v>0</v>
      </c>
      <c r="AV291">
        <f>IF(COUNT($E$2:$E291)&lt;26,"",(MAX($C$266:$C$291)+MIN($D$266:$D$291))/2)</f>
        <v>0</v>
      </c>
      <c r="AW291">
        <f>IF(OR(AU291="",AV291=""),"",(AU291+AV291)/2)</f>
        <v>0</v>
      </c>
      <c r="AX291">
        <f>IF(COUNT($E$2:$E291)&lt;52,"",(MAX($C$240:$C$291)+MIN($D$240:$D$291))/2)</f>
        <v>0</v>
      </c>
      <c r="AY291">
        <f>IF(COUNT($E$2:$E291)&lt;20,"",MAX($C$192:$C$291))</f>
        <v>0</v>
      </c>
      <c r="AZ291">
        <f>IF(COUNT($E$2:$E291)&lt;20,"",MIN($D$192:$D$291))</f>
        <v>0</v>
      </c>
      <c r="BA291">
        <f>IF(COUNT($E$2:$E291)&lt;20,"",SLOPE($E$192:$E$291,$F$192:$F$291))</f>
        <v>0</v>
      </c>
      <c r="BB291">
        <f>IF(COUNT($E$2:$E291)&lt;20,"",INTERCEPT($E$192:$E$291,$F$192:$F$291))</f>
        <v>0</v>
      </c>
      <c r="BC291">
        <f>IF(OR(BA291="",BB291=""),"",BB291+BA291*F291)</f>
        <v>0</v>
      </c>
      <c r="BD291">
        <f>IF(COUNT($E$2:$E291)&lt;20,"",STEYX($E$192:$E$291,$F$192:$F$291))</f>
        <v>0</v>
      </c>
      <c r="BE291">
        <f>IF($E291="","",IF(AND(COUNT($E$292:$E$295)&gt;=4,$C291=MAX($C$287:$C$295)),$C291,""))</f>
        <v>0</v>
      </c>
      <c r="BF291">
        <f>IF($E291="","",IF(AND(COUNT($E$292:$E$295)&gt;=4,$D291=MIN($D$287:$D$295)),$D291,""))</f>
        <v>0</v>
      </c>
      <c r="BG291">
        <f>IF($A291="","",$A291-WEEKDAY($A291,2)+1)</f>
        <v>0</v>
      </c>
      <c r="BH291">
        <f>IF($A291="","",IF($A290="",1,IF(BG291&lt;&gt;BG290,1,0)))</f>
        <v>0</v>
      </c>
      <c r="BI291">
        <f>IF($A291="","",IF($A292="",1,IF(BG292&lt;&gt;BG291,1,0)))</f>
        <v>0</v>
      </c>
      <c r="BJ291">
        <f>IF($A291="","",IF(BH291=1,$B291,BJ290))</f>
        <v>0</v>
      </c>
      <c r="BK291">
        <f>IF($A291="","",IF(BH291=1,$C291,MAX($C291,BK290)))</f>
        <v>0</v>
      </c>
      <c r="BL291">
        <f>IF($A291="","",IF(BH291=1,$D291,MIN($D291,BL290)))</f>
        <v>0</v>
      </c>
      <c r="BM291">
        <f>IF($A291="","",IF(BI291=1,F291,""))</f>
        <v>0</v>
      </c>
      <c r="BN291">
        <f>IF($A291="","",DATE(YEAR($A291),MONTH($A291),1))</f>
        <v>0</v>
      </c>
      <c r="BO291">
        <f>IF($A291="","",IF($A290="",1,IF(BN291&lt;&gt;BN290,1,0)))</f>
        <v>0</v>
      </c>
      <c r="BP291">
        <f>IF($A291="","",IF($A292="",1,IF(BN292&lt;&gt;BN291,1,0)))</f>
        <v>0</v>
      </c>
      <c r="BQ291">
        <f>IF($A291="","",IF(BO291=1,$B291,BQ290))</f>
        <v>0</v>
      </c>
      <c r="BR291">
        <f>IF($A291="","",IF(BO291=1,$C291,MAX($C291,BR290)))</f>
        <v>0</v>
      </c>
      <c r="BS291">
        <f>IF($A291="","",IF(BO291=1,$D291,MIN($D291,BS290)))</f>
        <v>0</v>
      </c>
      <c r="BT291">
        <f>IF($A291="","",IF(BP291=1,F291,""))</f>
        <v>0</v>
      </c>
    </row>
    <row r="292" spans="1:72">
      <c r="A292" s="27">
        <f>IF(Data!$A292="","",Data!$A292)</f>
        <v>0</v>
      </c>
      <c r="B292">
        <f>IF(Data!$B292="","",Data!$B292)</f>
        <v>0</v>
      </c>
      <c r="C292">
        <f>IF(Data!$C292="","",Data!$C292)</f>
        <v>0</v>
      </c>
      <c r="D292">
        <f>IF(Data!$D292="","",Data!$D292)</f>
        <v>0</v>
      </c>
      <c r="E292">
        <f>IF(Data!$E292="","",Data!$E292)</f>
        <v>0</v>
      </c>
      <c r="F292">
        <f>IF($E292="","",N(F291)+1)</f>
        <v>0</v>
      </c>
      <c r="G292">
        <f>IF(OR($E292="",$E291=""),"",LN($E292/$E291))</f>
        <v>0</v>
      </c>
      <c r="H292">
        <f>IF($E292="","",IF($E291="",$E292,$E292*0.0952380952+H291*0.9047619048))</f>
        <v>0</v>
      </c>
      <c r="I292">
        <f>IF($E292="","",IF($E291="",$E292,$E292*0.0392156863+I291*0.9607843137))</f>
        <v>0</v>
      </c>
      <c r="J292">
        <f>IF($E292="","",IF($E291="",$E292,$E292*0.0198019802+J291*0.9801980198))</f>
        <v>0</v>
      </c>
      <c r="K292">
        <f>IF($E292="","",IF($E291="",$E292,$E292*0.0099502488+K291*0.9900497512))</f>
        <v>0</v>
      </c>
      <c r="L292">
        <f>IF(OR($E292="",$E291=""),"",MAX($E292-$E291,0))</f>
        <v>0</v>
      </c>
      <c r="M292">
        <f>IF(OR($E292="",$E291=""),"",MAX($E291-$E292,0))</f>
        <v>0</v>
      </c>
      <c r="N292">
        <f>IF(COUNT($E$2:$E292)&lt;15,"",IF(AVERAGE($M$279:$M$292)=0,100,100-100/(1+AVERAGE($L$279:$L$292)/AVERAGE($M$279:$M$292))))</f>
        <v>0</v>
      </c>
      <c r="O292">
        <f>IF($E292="","",IF($E291="",$E292,$E292*0.1538461538+O291*0.8461538462))</f>
        <v>0</v>
      </c>
      <c r="P292">
        <f>IF($E292="","",IF($E291="",$E292,$E292*0.0740740741+P291*0.9259259259))</f>
        <v>0</v>
      </c>
      <c r="Q292">
        <f>IF(OR(O292="",P292=""),"",O292-P292)</f>
        <v>0</v>
      </c>
      <c r="R292">
        <f>IF(Q292="","",IF(R291="",Q292,Q292*0.2000000000+R291*0.8000000000))</f>
        <v>0</v>
      </c>
      <c r="S292">
        <f>IF(OR(Q292="",R292=""),"",Q292-R292)</f>
        <v>0</v>
      </c>
      <c r="T292">
        <f>IF(COUNT($E$2:$E292)&lt;14,"",MAX($C$279:$C$292))</f>
        <v>0</v>
      </c>
      <c r="U292">
        <f>IF(COUNT($E$2:$E292)&lt;14,"",MIN($D$279:$D$292))</f>
        <v>0</v>
      </c>
      <c r="V292">
        <f>IF(OR(T292="",U292="",T292=U292),"",100*($E292-U292)/(T292-U292))</f>
        <v>0</v>
      </c>
      <c r="W292">
        <f>IF(COUNT($V$290:$V$292)&lt;3,"",AVERAGE($V$290:$V$292))</f>
        <v>0</v>
      </c>
      <c r="X292">
        <f>IF(COUNT($N$279:$N$292)&lt;14,"",MIN($N$279:$N$292))</f>
        <v>0</v>
      </c>
      <c r="Y292">
        <f>IF(COUNT($N$279:$N$292)&lt;14,"",MAX($N$279:$N$292))</f>
        <v>0</v>
      </c>
      <c r="Z292">
        <f>IF(OR(N292="",X292="",Y292="",Y292=X292),"",100*(N292-X292)/(Y292-X292))</f>
        <v>0</v>
      </c>
      <c r="AA292">
        <f>IF(COUNT($Z$290:$Z$292)&lt;3,"",AVERAGE($Z$290:$Z$292))</f>
        <v>0</v>
      </c>
      <c r="AB292">
        <f>IF(COUNT($AA$290:$AA$292)&lt;3,"",AVERAGE($AA$290:$AA$292))</f>
        <v>0</v>
      </c>
      <c r="AC292">
        <f>IF($E292="","",MAX($C292-$D292,ABS($C292-$E291),ABS($D292-$E291)))</f>
        <v>0</v>
      </c>
      <c r="AD292">
        <f>IF(COUNT($E$2:$E292)&lt;15,"",AVERAGE($AC$279:$AC$292))</f>
        <v>0</v>
      </c>
      <c r="AE292">
        <f>IF(OR($E292="",$E291=""),"",IF(AND(($C292-$C291)&gt;($D291-$D292),($C292-$C291)&gt;0),$C292-$C291,0))</f>
        <v>0</v>
      </c>
      <c r="AF292">
        <f>IF(OR($E292="",$E291=""),"",IF(AND(($D291-$D292)&gt;($C292-$C291),($D291-$D292)&gt;0),$D291-$D292,0))</f>
        <v>0</v>
      </c>
      <c r="AG292">
        <f>IF(COUNT($E$2:$E292)&lt;15,"",IF(SUM($AC$279:$AC$292)=0,0,100*SUM($AE$279:$AE$292)/SUM($AC$279:$AC$292)))</f>
        <v>0</v>
      </c>
      <c r="AH292">
        <f>IF(COUNT($E$2:$E292)&lt;15,"",IF(SUM($AC$279:$AC$292)=0,0,100*SUM($AF$279:$AF$292)/SUM($AC$279:$AC$292)))</f>
        <v>0</v>
      </c>
      <c r="AI292">
        <f>IF(OR(AG292="",AH292=""),"",IF((AG292+AH292)=0,0,100*ABS(AG292-AH292)/(AG292+AH292)))</f>
        <v>0</v>
      </c>
      <c r="AJ292">
        <f>IF(COUNT($AI$279:$AI$292)&lt;14,"",AVERAGE($AI$279:$AI$292))</f>
        <v>0</v>
      </c>
      <c r="AK292">
        <f>IF(COUNT($E$2:$E292)&lt;20,"",AVERAGE($E$273:$E$292))</f>
        <v>0</v>
      </c>
      <c r="AL292">
        <f>IF(COUNT($E$2:$E292)&lt;20,"",STDEVP($E$273:$E$292))</f>
        <v>0</v>
      </c>
      <c r="AM292">
        <f>IF(AK292="","",AK292+2*AL292)</f>
        <v>0</v>
      </c>
      <c r="AN292">
        <f>IF(AK292="","",AK292-2*AL292)</f>
        <v>0</v>
      </c>
      <c r="AO292">
        <f>IF(OR(AM292="",AN292="",AM292=AN292),"",($E292-AN292)/(AM292-AN292))</f>
        <v>0</v>
      </c>
      <c r="AP292">
        <f>IF(OR(AM292="",AK292="",AK292=0),"",(AM292-AN292)/AK292)</f>
        <v>0</v>
      </c>
      <c r="AQ292">
        <f>IF(COUNT($E$2:$E292)&lt;20,"",MAX($C$273:$C$292))</f>
        <v>0</v>
      </c>
      <c r="AR292">
        <f>IF(COUNT($E$2:$E292)&lt;20,"",MIN($D$273:$D$292))</f>
        <v>0</v>
      </c>
      <c r="AS292">
        <f>IF(OR(AQ292="",AR292=""),"",(AQ292+AR292)/2)</f>
        <v>0</v>
      </c>
      <c r="AT292">
        <f>IF(COUNT($G$273:$G$292)&lt;20,"",STDEV($G$273:$G$292)*SQRT(252))</f>
        <v>0</v>
      </c>
      <c r="AU292">
        <f>IF(COUNT($E$2:$E292)&lt;9,"",(MAX($C$284:$C$292)+MIN($D$284:$D$292))/2)</f>
        <v>0</v>
      </c>
      <c r="AV292">
        <f>IF(COUNT($E$2:$E292)&lt;26,"",(MAX($C$267:$C$292)+MIN($D$267:$D$292))/2)</f>
        <v>0</v>
      </c>
      <c r="AW292">
        <f>IF(OR(AU292="",AV292=""),"",(AU292+AV292)/2)</f>
        <v>0</v>
      </c>
      <c r="AX292">
        <f>IF(COUNT($E$2:$E292)&lt;52,"",(MAX($C$241:$C$292)+MIN($D$241:$D$292))/2)</f>
        <v>0</v>
      </c>
      <c r="AY292">
        <f>IF(COUNT($E$2:$E292)&lt;20,"",MAX($C$193:$C$292))</f>
        <v>0</v>
      </c>
      <c r="AZ292">
        <f>IF(COUNT($E$2:$E292)&lt;20,"",MIN($D$193:$D$292))</f>
        <v>0</v>
      </c>
      <c r="BA292">
        <f>IF(COUNT($E$2:$E292)&lt;20,"",SLOPE($E$193:$E$292,$F$193:$F$292))</f>
        <v>0</v>
      </c>
      <c r="BB292">
        <f>IF(COUNT($E$2:$E292)&lt;20,"",INTERCEPT($E$193:$E$292,$F$193:$F$292))</f>
        <v>0</v>
      </c>
      <c r="BC292">
        <f>IF(OR(BA292="",BB292=""),"",BB292+BA292*F292)</f>
        <v>0</v>
      </c>
      <c r="BD292">
        <f>IF(COUNT($E$2:$E292)&lt;20,"",STEYX($E$193:$E$292,$F$193:$F$292))</f>
        <v>0</v>
      </c>
      <c r="BE292">
        <f>IF($E292="","",IF(AND(COUNT($E$293:$E$296)&gt;=4,$C292=MAX($C$288:$C$296)),$C292,""))</f>
        <v>0</v>
      </c>
      <c r="BF292">
        <f>IF($E292="","",IF(AND(COUNT($E$293:$E$296)&gt;=4,$D292=MIN($D$288:$D$296)),$D292,""))</f>
        <v>0</v>
      </c>
      <c r="BG292">
        <f>IF($A292="","",$A292-WEEKDAY($A292,2)+1)</f>
        <v>0</v>
      </c>
      <c r="BH292">
        <f>IF($A292="","",IF($A291="",1,IF(BG292&lt;&gt;BG291,1,0)))</f>
        <v>0</v>
      </c>
      <c r="BI292">
        <f>IF($A292="","",IF($A293="",1,IF(BG293&lt;&gt;BG292,1,0)))</f>
        <v>0</v>
      </c>
      <c r="BJ292">
        <f>IF($A292="","",IF(BH292=1,$B292,BJ291))</f>
        <v>0</v>
      </c>
      <c r="BK292">
        <f>IF($A292="","",IF(BH292=1,$C292,MAX($C292,BK291)))</f>
        <v>0</v>
      </c>
      <c r="BL292">
        <f>IF($A292="","",IF(BH292=1,$D292,MIN($D292,BL291)))</f>
        <v>0</v>
      </c>
      <c r="BM292">
        <f>IF($A292="","",IF(BI292=1,F292,""))</f>
        <v>0</v>
      </c>
      <c r="BN292">
        <f>IF($A292="","",DATE(YEAR($A292),MONTH($A292),1))</f>
        <v>0</v>
      </c>
      <c r="BO292">
        <f>IF($A292="","",IF($A291="",1,IF(BN292&lt;&gt;BN291,1,0)))</f>
        <v>0</v>
      </c>
      <c r="BP292">
        <f>IF($A292="","",IF($A293="",1,IF(BN293&lt;&gt;BN292,1,0)))</f>
        <v>0</v>
      </c>
      <c r="BQ292">
        <f>IF($A292="","",IF(BO292=1,$B292,BQ291))</f>
        <v>0</v>
      </c>
      <c r="BR292">
        <f>IF($A292="","",IF(BO292=1,$C292,MAX($C292,BR291)))</f>
        <v>0</v>
      </c>
      <c r="BS292">
        <f>IF($A292="","",IF(BO292=1,$D292,MIN($D292,BS291)))</f>
        <v>0</v>
      </c>
      <c r="BT292">
        <f>IF($A292="","",IF(BP292=1,F292,""))</f>
        <v>0</v>
      </c>
    </row>
    <row r="293" spans="1:72">
      <c r="A293" s="27">
        <f>IF(Data!$A293="","",Data!$A293)</f>
        <v>0</v>
      </c>
      <c r="B293">
        <f>IF(Data!$B293="","",Data!$B293)</f>
        <v>0</v>
      </c>
      <c r="C293">
        <f>IF(Data!$C293="","",Data!$C293)</f>
        <v>0</v>
      </c>
      <c r="D293">
        <f>IF(Data!$D293="","",Data!$D293)</f>
        <v>0</v>
      </c>
      <c r="E293">
        <f>IF(Data!$E293="","",Data!$E293)</f>
        <v>0</v>
      </c>
      <c r="F293">
        <f>IF($E293="","",N(F292)+1)</f>
        <v>0</v>
      </c>
      <c r="G293">
        <f>IF(OR($E293="",$E292=""),"",LN($E293/$E292))</f>
        <v>0</v>
      </c>
      <c r="H293">
        <f>IF($E293="","",IF($E292="",$E293,$E293*0.0952380952+H292*0.9047619048))</f>
        <v>0</v>
      </c>
      <c r="I293">
        <f>IF($E293="","",IF($E292="",$E293,$E293*0.0392156863+I292*0.9607843137))</f>
        <v>0</v>
      </c>
      <c r="J293">
        <f>IF($E293="","",IF($E292="",$E293,$E293*0.0198019802+J292*0.9801980198))</f>
        <v>0</v>
      </c>
      <c r="K293">
        <f>IF($E293="","",IF($E292="",$E293,$E293*0.0099502488+K292*0.9900497512))</f>
        <v>0</v>
      </c>
      <c r="L293">
        <f>IF(OR($E293="",$E292=""),"",MAX($E293-$E292,0))</f>
        <v>0</v>
      </c>
      <c r="M293">
        <f>IF(OR($E293="",$E292=""),"",MAX($E292-$E293,0))</f>
        <v>0</v>
      </c>
      <c r="N293">
        <f>IF(COUNT($E$2:$E293)&lt;15,"",IF(AVERAGE($M$280:$M$293)=0,100,100-100/(1+AVERAGE($L$280:$L$293)/AVERAGE($M$280:$M$293))))</f>
        <v>0</v>
      </c>
      <c r="O293">
        <f>IF($E293="","",IF($E292="",$E293,$E293*0.1538461538+O292*0.8461538462))</f>
        <v>0</v>
      </c>
      <c r="P293">
        <f>IF($E293="","",IF($E292="",$E293,$E293*0.0740740741+P292*0.9259259259))</f>
        <v>0</v>
      </c>
      <c r="Q293">
        <f>IF(OR(O293="",P293=""),"",O293-P293)</f>
        <v>0</v>
      </c>
      <c r="R293">
        <f>IF(Q293="","",IF(R292="",Q293,Q293*0.2000000000+R292*0.8000000000))</f>
        <v>0</v>
      </c>
      <c r="S293">
        <f>IF(OR(Q293="",R293=""),"",Q293-R293)</f>
        <v>0</v>
      </c>
      <c r="T293">
        <f>IF(COUNT($E$2:$E293)&lt;14,"",MAX($C$280:$C$293))</f>
        <v>0</v>
      </c>
      <c r="U293">
        <f>IF(COUNT($E$2:$E293)&lt;14,"",MIN($D$280:$D$293))</f>
        <v>0</v>
      </c>
      <c r="V293">
        <f>IF(OR(T293="",U293="",T293=U293),"",100*($E293-U293)/(T293-U293))</f>
        <v>0</v>
      </c>
      <c r="W293">
        <f>IF(COUNT($V$291:$V$293)&lt;3,"",AVERAGE($V$291:$V$293))</f>
        <v>0</v>
      </c>
      <c r="X293">
        <f>IF(COUNT($N$280:$N$293)&lt;14,"",MIN($N$280:$N$293))</f>
        <v>0</v>
      </c>
      <c r="Y293">
        <f>IF(COUNT($N$280:$N$293)&lt;14,"",MAX($N$280:$N$293))</f>
        <v>0</v>
      </c>
      <c r="Z293">
        <f>IF(OR(N293="",X293="",Y293="",Y293=X293),"",100*(N293-X293)/(Y293-X293))</f>
        <v>0</v>
      </c>
      <c r="AA293">
        <f>IF(COUNT($Z$291:$Z$293)&lt;3,"",AVERAGE($Z$291:$Z$293))</f>
        <v>0</v>
      </c>
      <c r="AB293">
        <f>IF(COUNT($AA$291:$AA$293)&lt;3,"",AVERAGE($AA$291:$AA$293))</f>
        <v>0</v>
      </c>
      <c r="AC293">
        <f>IF($E293="","",MAX($C293-$D293,ABS($C293-$E292),ABS($D293-$E292)))</f>
        <v>0</v>
      </c>
      <c r="AD293">
        <f>IF(COUNT($E$2:$E293)&lt;15,"",AVERAGE($AC$280:$AC$293))</f>
        <v>0</v>
      </c>
      <c r="AE293">
        <f>IF(OR($E293="",$E292=""),"",IF(AND(($C293-$C292)&gt;($D292-$D293),($C293-$C292)&gt;0),$C293-$C292,0))</f>
        <v>0</v>
      </c>
      <c r="AF293">
        <f>IF(OR($E293="",$E292=""),"",IF(AND(($D292-$D293)&gt;($C293-$C292),($D292-$D293)&gt;0),$D292-$D293,0))</f>
        <v>0</v>
      </c>
      <c r="AG293">
        <f>IF(COUNT($E$2:$E293)&lt;15,"",IF(SUM($AC$280:$AC$293)=0,0,100*SUM($AE$280:$AE$293)/SUM($AC$280:$AC$293)))</f>
        <v>0</v>
      </c>
      <c r="AH293">
        <f>IF(COUNT($E$2:$E293)&lt;15,"",IF(SUM($AC$280:$AC$293)=0,0,100*SUM($AF$280:$AF$293)/SUM($AC$280:$AC$293)))</f>
        <v>0</v>
      </c>
      <c r="AI293">
        <f>IF(OR(AG293="",AH293=""),"",IF((AG293+AH293)=0,0,100*ABS(AG293-AH293)/(AG293+AH293)))</f>
        <v>0</v>
      </c>
      <c r="AJ293">
        <f>IF(COUNT($AI$280:$AI$293)&lt;14,"",AVERAGE($AI$280:$AI$293))</f>
        <v>0</v>
      </c>
      <c r="AK293">
        <f>IF(COUNT($E$2:$E293)&lt;20,"",AVERAGE($E$274:$E$293))</f>
        <v>0</v>
      </c>
      <c r="AL293">
        <f>IF(COUNT($E$2:$E293)&lt;20,"",STDEVP($E$274:$E$293))</f>
        <v>0</v>
      </c>
      <c r="AM293">
        <f>IF(AK293="","",AK293+2*AL293)</f>
        <v>0</v>
      </c>
      <c r="AN293">
        <f>IF(AK293="","",AK293-2*AL293)</f>
        <v>0</v>
      </c>
      <c r="AO293">
        <f>IF(OR(AM293="",AN293="",AM293=AN293),"",($E293-AN293)/(AM293-AN293))</f>
        <v>0</v>
      </c>
      <c r="AP293">
        <f>IF(OR(AM293="",AK293="",AK293=0),"",(AM293-AN293)/AK293)</f>
        <v>0</v>
      </c>
      <c r="AQ293">
        <f>IF(COUNT($E$2:$E293)&lt;20,"",MAX($C$274:$C$293))</f>
        <v>0</v>
      </c>
      <c r="AR293">
        <f>IF(COUNT($E$2:$E293)&lt;20,"",MIN($D$274:$D$293))</f>
        <v>0</v>
      </c>
      <c r="AS293">
        <f>IF(OR(AQ293="",AR293=""),"",(AQ293+AR293)/2)</f>
        <v>0</v>
      </c>
      <c r="AT293">
        <f>IF(COUNT($G$274:$G$293)&lt;20,"",STDEV($G$274:$G$293)*SQRT(252))</f>
        <v>0</v>
      </c>
      <c r="AU293">
        <f>IF(COUNT($E$2:$E293)&lt;9,"",(MAX($C$285:$C$293)+MIN($D$285:$D$293))/2)</f>
        <v>0</v>
      </c>
      <c r="AV293">
        <f>IF(COUNT($E$2:$E293)&lt;26,"",(MAX($C$268:$C$293)+MIN($D$268:$D$293))/2)</f>
        <v>0</v>
      </c>
      <c r="AW293">
        <f>IF(OR(AU293="",AV293=""),"",(AU293+AV293)/2)</f>
        <v>0</v>
      </c>
      <c r="AX293">
        <f>IF(COUNT($E$2:$E293)&lt;52,"",(MAX($C$242:$C$293)+MIN($D$242:$D$293))/2)</f>
        <v>0</v>
      </c>
      <c r="AY293">
        <f>IF(COUNT($E$2:$E293)&lt;20,"",MAX($C$194:$C$293))</f>
        <v>0</v>
      </c>
      <c r="AZ293">
        <f>IF(COUNT($E$2:$E293)&lt;20,"",MIN($D$194:$D$293))</f>
        <v>0</v>
      </c>
      <c r="BA293">
        <f>IF(COUNT($E$2:$E293)&lt;20,"",SLOPE($E$194:$E$293,$F$194:$F$293))</f>
        <v>0</v>
      </c>
      <c r="BB293">
        <f>IF(COUNT($E$2:$E293)&lt;20,"",INTERCEPT($E$194:$E$293,$F$194:$F$293))</f>
        <v>0</v>
      </c>
      <c r="BC293">
        <f>IF(OR(BA293="",BB293=""),"",BB293+BA293*F293)</f>
        <v>0</v>
      </c>
      <c r="BD293">
        <f>IF(COUNT($E$2:$E293)&lt;20,"",STEYX($E$194:$E$293,$F$194:$F$293))</f>
        <v>0</v>
      </c>
      <c r="BE293">
        <f>IF($E293="","",IF(AND(COUNT($E$294:$E$297)&gt;=4,$C293=MAX($C$289:$C$297)),$C293,""))</f>
        <v>0</v>
      </c>
      <c r="BF293">
        <f>IF($E293="","",IF(AND(COUNT($E$294:$E$297)&gt;=4,$D293=MIN($D$289:$D$297)),$D293,""))</f>
        <v>0</v>
      </c>
      <c r="BG293">
        <f>IF($A293="","",$A293-WEEKDAY($A293,2)+1)</f>
        <v>0</v>
      </c>
      <c r="BH293">
        <f>IF($A293="","",IF($A292="",1,IF(BG293&lt;&gt;BG292,1,0)))</f>
        <v>0</v>
      </c>
      <c r="BI293">
        <f>IF($A293="","",IF($A294="",1,IF(BG294&lt;&gt;BG293,1,0)))</f>
        <v>0</v>
      </c>
      <c r="BJ293">
        <f>IF($A293="","",IF(BH293=1,$B293,BJ292))</f>
        <v>0</v>
      </c>
      <c r="BK293">
        <f>IF($A293="","",IF(BH293=1,$C293,MAX($C293,BK292)))</f>
        <v>0</v>
      </c>
      <c r="BL293">
        <f>IF($A293="","",IF(BH293=1,$D293,MIN($D293,BL292)))</f>
        <v>0</v>
      </c>
      <c r="BM293">
        <f>IF($A293="","",IF(BI293=1,F293,""))</f>
        <v>0</v>
      </c>
      <c r="BN293">
        <f>IF($A293="","",DATE(YEAR($A293),MONTH($A293),1))</f>
        <v>0</v>
      </c>
      <c r="BO293">
        <f>IF($A293="","",IF($A292="",1,IF(BN293&lt;&gt;BN292,1,0)))</f>
        <v>0</v>
      </c>
      <c r="BP293">
        <f>IF($A293="","",IF($A294="",1,IF(BN294&lt;&gt;BN293,1,0)))</f>
        <v>0</v>
      </c>
      <c r="BQ293">
        <f>IF($A293="","",IF(BO293=1,$B293,BQ292))</f>
        <v>0</v>
      </c>
      <c r="BR293">
        <f>IF($A293="","",IF(BO293=1,$C293,MAX($C293,BR292)))</f>
        <v>0</v>
      </c>
      <c r="BS293">
        <f>IF($A293="","",IF(BO293=1,$D293,MIN($D293,BS292)))</f>
        <v>0</v>
      </c>
      <c r="BT293">
        <f>IF($A293="","",IF(BP293=1,F293,""))</f>
        <v>0</v>
      </c>
    </row>
    <row r="294" spans="1:72">
      <c r="A294" s="27">
        <f>IF(Data!$A294="","",Data!$A294)</f>
        <v>0</v>
      </c>
      <c r="B294">
        <f>IF(Data!$B294="","",Data!$B294)</f>
        <v>0</v>
      </c>
      <c r="C294">
        <f>IF(Data!$C294="","",Data!$C294)</f>
        <v>0</v>
      </c>
      <c r="D294">
        <f>IF(Data!$D294="","",Data!$D294)</f>
        <v>0</v>
      </c>
      <c r="E294">
        <f>IF(Data!$E294="","",Data!$E294)</f>
        <v>0</v>
      </c>
      <c r="F294">
        <f>IF($E294="","",N(F293)+1)</f>
        <v>0</v>
      </c>
      <c r="G294">
        <f>IF(OR($E294="",$E293=""),"",LN($E294/$E293))</f>
        <v>0</v>
      </c>
      <c r="H294">
        <f>IF($E294="","",IF($E293="",$E294,$E294*0.0952380952+H293*0.9047619048))</f>
        <v>0</v>
      </c>
      <c r="I294">
        <f>IF($E294="","",IF($E293="",$E294,$E294*0.0392156863+I293*0.9607843137))</f>
        <v>0</v>
      </c>
      <c r="J294">
        <f>IF($E294="","",IF($E293="",$E294,$E294*0.0198019802+J293*0.9801980198))</f>
        <v>0</v>
      </c>
      <c r="K294">
        <f>IF($E294="","",IF($E293="",$E294,$E294*0.0099502488+K293*0.9900497512))</f>
        <v>0</v>
      </c>
      <c r="L294">
        <f>IF(OR($E294="",$E293=""),"",MAX($E294-$E293,0))</f>
        <v>0</v>
      </c>
      <c r="M294">
        <f>IF(OR($E294="",$E293=""),"",MAX($E293-$E294,0))</f>
        <v>0</v>
      </c>
      <c r="N294">
        <f>IF(COUNT($E$2:$E294)&lt;15,"",IF(AVERAGE($M$281:$M$294)=0,100,100-100/(1+AVERAGE($L$281:$L$294)/AVERAGE($M$281:$M$294))))</f>
        <v>0</v>
      </c>
      <c r="O294">
        <f>IF($E294="","",IF($E293="",$E294,$E294*0.1538461538+O293*0.8461538462))</f>
        <v>0</v>
      </c>
      <c r="P294">
        <f>IF($E294="","",IF($E293="",$E294,$E294*0.0740740741+P293*0.9259259259))</f>
        <v>0</v>
      </c>
      <c r="Q294">
        <f>IF(OR(O294="",P294=""),"",O294-P294)</f>
        <v>0</v>
      </c>
      <c r="R294">
        <f>IF(Q294="","",IF(R293="",Q294,Q294*0.2000000000+R293*0.8000000000))</f>
        <v>0</v>
      </c>
      <c r="S294">
        <f>IF(OR(Q294="",R294=""),"",Q294-R294)</f>
        <v>0</v>
      </c>
      <c r="T294">
        <f>IF(COUNT($E$2:$E294)&lt;14,"",MAX($C$281:$C$294))</f>
        <v>0</v>
      </c>
      <c r="U294">
        <f>IF(COUNT($E$2:$E294)&lt;14,"",MIN($D$281:$D$294))</f>
        <v>0</v>
      </c>
      <c r="V294">
        <f>IF(OR(T294="",U294="",T294=U294),"",100*($E294-U294)/(T294-U294))</f>
        <v>0</v>
      </c>
      <c r="W294">
        <f>IF(COUNT($V$292:$V$294)&lt;3,"",AVERAGE($V$292:$V$294))</f>
        <v>0</v>
      </c>
      <c r="X294">
        <f>IF(COUNT($N$281:$N$294)&lt;14,"",MIN($N$281:$N$294))</f>
        <v>0</v>
      </c>
      <c r="Y294">
        <f>IF(COUNT($N$281:$N$294)&lt;14,"",MAX($N$281:$N$294))</f>
        <v>0</v>
      </c>
      <c r="Z294">
        <f>IF(OR(N294="",X294="",Y294="",Y294=X294),"",100*(N294-X294)/(Y294-X294))</f>
        <v>0</v>
      </c>
      <c r="AA294">
        <f>IF(COUNT($Z$292:$Z$294)&lt;3,"",AVERAGE($Z$292:$Z$294))</f>
        <v>0</v>
      </c>
      <c r="AB294">
        <f>IF(COUNT($AA$292:$AA$294)&lt;3,"",AVERAGE($AA$292:$AA$294))</f>
        <v>0</v>
      </c>
      <c r="AC294">
        <f>IF($E294="","",MAX($C294-$D294,ABS($C294-$E293),ABS($D294-$E293)))</f>
        <v>0</v>
      </c>
      <c r="AD294">
        <f>IF(COUNT($E$2:$E294)&lt;15,"",AVERAGE($AC$281:$AC$294))</f>
        <v>0</v>
      </c>
      <c r="AE294">
        <f>IF(OR($E294="",$E293=""),"",IF(AND(($C294-$C293)&gt;($D293-$D294),($C294-$C293)&gt;0),$C294-$C293,0))</f>
        <v>0</v>
      </c>
      <c r="AF294">
        <f>IF(OR($E294="",$E293=""),"",IF(AND(($D293-$D294)&gt;($C294-$C293),($D293-$D294)&gt;0),$D293-$D294,0))</f>
        <v>0</v>
      </c>
      <c r="AG294">
        <f>IF(COUNT($E$2:$E294)&lt;15,"",IF(SUM($AC$281:$AC$294)=0,0,100*SUM($AE$281:$AE$294)/SUM($AC$281:$AC$294)))</f>
        <v>0</v>
      </c>
      <c r="AH294">
        <f>IF(COUNT($E$2:$E294)&lt;15,"",IF(SUM($AC$281:$AC$294)=0,0,100*SUM($AF$281:$AF$294)/SUM($AC$281:$AC$294)))</f>
        <v>0</v>
      </c>
      <c r="AI294">
        <f>IF(OR(AG294="",AH294=""),"",IF((AG294+AH294)=0,0,100*ABS(AG294-AH294)/(AG294+AH294)))</f>
        <v>0</v>
      </c>
      <c r="AJ294">
        <f>IF(COUNT($AI$281:$AI$294)&lt;14,"",AVERAGE($AI$281:$AI$294))</f>
        <v>0</v>
      </c>
      <c r="AK294">
        <f>IF(COUNT($E$2:$E294)&lt;20,"",AVERAGE($E$275:$E$294))</f>
        <v>0</v>
      </c>
      <c r="AL294">
        <f>IF(COUNT($E$2:$E294)&lt;20,"",STDEVP($E$275:$E$294))</f>
        <v>0</v>
      </c>
      <c r="AM294">
        <f>IF(AK294="","",AK294+2*AL294)</f>
        <v>0</v>
      </c>
      <c r="AN294">
        <f>IF(AK294="","",AK294-2*AL294)</f>
        <v>0</v>
      </c>
      <c r="AO294">
        <f>IF(OR(AM294="",AN294="",AM294=AN294),"",($E294-AN294)/(AM294-AN294))</f>
        <v>0</v>
      </c>
      <c r="AP294">
        <f>IF(OR(AM294="",AK294="",AK294=0),"",(AM294-AN294)/AK294)</f>
        <v>0</v>
      </c>
      <c r="AQ294">
        <f>IF(COUNT($E$2:$E294)&lt;20,"",MAX($C$275:$C$294))</f>
        <v>0</v>
      </c>
      <c r="AR294">
        <f>IF(COUNT($E$2:$E294)&lt;20,"",MIN($D$275:$D$294))</f>
        <v>0</v>
      </c>
      <c r="AS294">
        <f>IF(OR(AQ294="",AR294=""),"",(AQ294+AR294)/2)</f>
        <v>0</v>
      </c>
      <c r="AT294">
        <f>IF(COUNT($G$275:$G$294)&lt;20,"",STDEV($G$275:$G$294)*SQRT(252))</f>
        <v>0</v>
      </c>
      <c r="AU294">
        <f>IF(COUNT($E$2:$E294)&lt;9,"",(MAX($C$286:$C$294)+MIN($D$286:$D$294))/2)</f>
        <v>0</v>
      </c>
      <c r="AV294">
        <f>IF(COUNT($E$2:$E294)&lt;26,"",(MAX($C$269:$C$294)+MIN($D$269:$D$294))/2)</f>
        <v>0</v>
      </c>
      <c r="AW294">
        <f>IF(OR(AU294="",AV294=""),"",(AU294+AV294)/2)</f>
        <v>0</v>
      </c>
      <c r="AX294">
        <f>IF(COUNT($E$2:$E294)&lt;52,"",(MAX($C$243:$C$294)+MIN($D$243:$D$294))/2)</f>
        <v>0</v>
      </c>
      <c r="AY294">
        <f>IF(COUNT($E$2:$E294)&lt;20,"",MAX($C$195:$C$294))</f>
        <v>0</v>
      </c>
      <c r="AZ294">
        <f>IF(COUNT($E$2:$E294)&lt;20,"",MIN($D$195:$D$294))</f>
        <v>0</v>
      </c>
      <c r="BA294">
        <f>IF(COUNT($E$2:$E294)&lt;20,"",SLOPE($E$195:$E$294,$F$195:$F$294))</f>
        <v>0</v>
      </c>
      <c r="BB294">
        <f>IF(COUNT($E$2:$E294)&lt;20,"",INTERCEPT($E$195:$E$294,$F$195:$F$294))</f>
        <v>0</v>
      </c>
      <c r="BC294">
        <f>IF(OR(BA294="",BB294=""),"",BB294+BA294*F294)</f>
        <v>0</v>
      </c>
      <c r="BD294">
        <f>IF(COUNT($E$2:$E294)&lt;20,"",STEYX($E$195:$E$294,$F$195:$F$294))</f>
        <v>0</v>
      </c>
      <c r="BE294">
        <f>IF($E294="","",IF(AND(COUNT($E$295:$E$298)&gt;=4,$C294=MAX($C$290:$C$298)),$C294,""))</f>
        <v>0</v>
      </c>
      <c r="BF294">
        <f>IF($E294="","",IF(AND(COUNT($E$295:$E$298)&gt;=4,$D294=MIN($D$290:$D$298)),$D294,""))</f>
        <v>0</v>
      </c>
      <c r="BG294">
        <f>IF($A294="","",$A294-WEEKDAY($A294,2)+1)</f>
        <v>0</v>
      </c>
      <c r="BH294">
        <f>IF($A294="","",IF($A293="",1,IF(BG294&lt;&gt;BG293,1,0)))</f>
        <v>0</v>
      </c>
      <c r="BI294">
        <f>IF($A294="","",IF($A295="",1,IF(BG295&lt;&gt;BG294,1,0)))</f>
        <v>0</v>
      </c>
      <c r="BJ294">
        <f>IF($A294="","",IF(BH294=1,$B294,BJ293))</f>
        <v>0</v>
      </c>
      <c r="BK294">
        <f>IF($A294="","",IF(BH294=1,$C294,MAX($C294,BK293)))</f>
        <v>0</v>
      </c>
      <c r="BL294">
        <f>IF($A294="","",IF(BH294=1,$D294,MIN($D294,BL293)))</f>
        <v>0</v>
      </c>
      <c r="BM294">
        <f>IF($A294="","",IF(BI294=1,F294,""))</f>
        <v>0</v>
      </c>
      <c r="BN294">
        <f>IF($A294="","",DATE(YEAR($A294),MONTH($A294),1))</f>
        <v>0</v>
      </c>
      <c r="BO294">
        <f>IF($A294="","",IF($A293="",1,IF(BN294&lt;&gt;BN293,1,0)))</f>
        <v>0</v>
      </c>
      <c r="BP294">
        <f>IF($A294="","",IF($A295="",1,IF(BN295&lt;&gt;BN294,1,0)))</f>
        <v>0</v>
      </c>
      <c r="BQ294">
        <f>IF($A294="","",IF(BO294=1,$B294,BQ293))</f>
        <v>0</v>
      </c>
      <c r="BR294">
        <f>IF($A294="","",IF(BO294=1,$C294,MAX($C294,BR293)))</f>
        <v>0</v>
      </c>
      <c r="BS294">
        <f>IF($A294="","",IF(BO294=1,$D294,MIN($D294,BS293)))</f>
        <v>0</v>
      </c>
      <c r="BT294">
        <f>IF($A294="","",IF(BP294=1,F294,""))</f>
        <v>0</v>
      </c>
    </row>
    <row r="295" spans="1:72">
      <c r="A295" s="27">
        <f>IF(Data!$A295="","",Data!$A295)</f>
        <v>0</v>
      </c>
      <c r="B295">
        <f>IF(Data!$B295="","",Data!$B295)</f>
        <v>0</v>
      </c>
      <c r="C295">
        <f>IF(Data!$C295="","",Data!$C295)</f>
        <v>0</v>
      </c>
      <c r="D295">
        <f>IF(Data!$D295="","",Data!$D295)</f>
        <v>0</v>
      </c>
      <c r="E295">
        <f>IF(Data!$E295="","",Data!$E295)</f>
        <v>0</v>
      </c>
      <c r="F295">
        <f>IF($E295="","",N(F294)+1)</f>
        <v>0</v>
      </c>
      <c r="G295">
        <f>IF(OR($E295="",$E294=""),"",LN($E295/$E294))</f>
        <v>0</v>
      </c>
      <c r="H295">
        <f>IF($E295="","",IF($E294="",$E295,$E295*0.0952380952+H294*0.9047619048))</f>
        <v>0</v>
      </c>
      <c r="I295">
        <f>IF($E295="","",IF($E294="",$E295,$E295*0.0392156863+I294*0.9607843137))</f>
        <v>0</v>
      </c>
      <c r="J295">
        <f>IF($E295="","",IF($E294="",$E295,$E295*0.0198019802+J294*0.9801980198))</f>
        <v>0</v>
      </c>
      <c r="K295">
        <f>IF($E295="","",IF($E294="",$E295,$E295*0.0099502488+K294*0.9900497512))</f>
        <v>0</v>
      </c>
      <c r="L295">
        <f>IF(OR($E295="",$E294=""),"",MAX($E295-$E294,0))</f>
        <v>0</v>
      </c>
      <c r="M295">
        <f>IF(OR($E295="",$E294=""),"",MAX($E294-$E295,0))</f>
        <v>0</v>
      </c>
      <c r="N295">
        <f>IF(COUNT($E$2:$E295)&lt;15,"",IF(AVERAGE($M$282:$M$295)=0,100,100-100/(1+AVERAGE($L$282:$L$295)/AVERAGE($M$282:$M$295))))</f>
        <v>0</v>
      </c>
      <c r="O295">
        <f>IF($E295="","",IF($E294="",$E295,$E295*0.1538461538+O294*0.8461538462))</f>
        <v>0</v>
      </c>
      <c r="P295">
        <f>IF($E295="","",IF($E294="",$E295,$E295*0.0740740741+P294*0.9259259259))</f>
        <v>0</v>
      </c>
      <c r="Q295">
        <f>IF(OR(O295="",P295=""),"",O295-P295)</f>
        <v>0</v>
      </c>
      <c r="R295">
        <f>IF(Q295="","",IF(R294="",Q295,Q295*0.2000000000+R294*0.8000000000))</f>
        <v>0</v>
      </c>
      <c r="S295">
        <f>IF(OR(Q295="",R295=""),"",Q295-R295)</f>
        <v>0</v>
      </c>
      <c r="T295">
        <f>IF(COUNT($E$2:$E295)&lt;14,"",MAX($C$282:$C$295))</f>
        <v>0</v>
      </c>
      <c r="U295">
        <f>IF(COUNT($E$2:$E295)&lt;14,"",MIN($D$282:$D$295))</f>
        <v>0</v>
      </c>
      <c r="V295">
        <f>IF(OR(T295="",U295="",T295=U295),"",100*($E295-U295)/(T295-U295))</f>
        <v>0</v>
      </c>
      <c r="W295">
        <f>IF(COUNT($V$293:$V$295)&lt;3,"",AVERAGE($V$293:$V$295))</f>
        <v>0</v>
      </c>
      <c r="X295">
        <f>IF(COUNT($N$282:$N$295)&lt;14,"",MIN($N$282:$N$295))</f>
        <v>0</v>
      </c>
      <c r="Y295">
        <f>IF(COUNT($N$282:$N$295)&lt;14,"",MAX($N$282:$N$295))</f>
        <v>0</v>
      </c>
      <c r="Z295">
        <f>IF(OR(N295="",X295="",Y295="",Y295=X295),"",100*(N295-X295)/(Y295-X295))</f>
        <v>0</v>
      </c>
      <c r="AA295">
        <f>IF(COUNT($Z$293:$Z$295)&lt;3,"",AVERAGE($Z$293:$Z$295))</f>
        <v>0</v>
      </c>
      <c r="AB295">
        <f>IF(COUNT($AA$293:$AA$295)&lt;3,"",AVERAGE($AA$293:$AA$295))</f>
        <v>0</v>
      </c>
      <c r="AC295">
        <f>IF($E295="","",MAX($C295-$D295,ABS($C295-$E294),ABS($D295-$E294)))</f>
        <v>0</v>
      </c>
      <c r="AD295">
        <f>IF(COUNT($E$2:$E295)&lt;15,"",AVERAGE($AC$282:$AC$295))</f>
        <v>0</v>
      </c>
      <c r="AE295">
        <f>IF(OR($E295="",$E294=""),"",IF(AND(($C295-$C294)&gt;($D294-$D295),($C295-$C294)&gt;0),$C295-$C294,0))</f>
        <v>0</v>
      </c>
      <c r="AF295">
        <f>IF(OR($E295="",$E294=""),"",IF(AND(($D294-$D295)&gt;($C295-$C294),($D294-$D295)&gt;0),$D294-$D295,0))</f>
        <v>0</v>
      </c>
      <c r="AG295">
        <f>IF(COUNT($E$2:$E295)&lt;15,"",IF(SUM($AC$282:$AC$295)=0,0,100*SUM($AE$282:$AE$295)/SUM($AC$282:$AC$295)))</f>
        <v>0</v>
      </c>
      <c r="AH295">
        <f>IF(COUNT($E$2:$E295)&lt;15,"",IF(SUM($AC$282:$AC$295)=0,0,100*SUM($AF$282:$AF$295)/SUM($AC$282:$AC$295)))</f>
        <v>0</v>
      </c>
      <c r="AI295">
        <f>IF(OR(AG295="",AH295=""),"",IF((AG295+AH295)=0,0,100*ABS(AG295-AH295)/(AG295+AH295)))</f>
        <v>0</v>
      </c>
      <c r="AJ295">
        <f>IF(COUNT($AI$282:$AI$295)&lt;14,"",AVERAGE($AI$282:$AI$295))</f>
        <v>0</v>
      </c>
      <c r="AK295">
        <f>IF(COUNT($E$2:$E295)&lt;20,"",AVERAGE($E$276:$E$295))</f>
        <v>0</v>
      </c>
      <c r="AL295">
        <f>IF(COUNT($E$2:$E295)&lt;20,"",STDEVP($E$276:$E$295))</f>
        <v>0</v>
      </c>
      <c r="AM295">
        <f>IF(AK295="","",AK295+2*AL295)</f>
        <v>0</v>
      </c>
      <c r="AN295">
        <f>IF(AK295="","",AK295-2*AL295)</f>
        <v>0</v>
      </c>
      <c r="AO295">
        <f>IF(OR(AM295="",AN295="",AM295=AN295),"",($E295-AN295)/(AM295-AN295))</f>
        <v>0</v>
      </c>
      <c r="AP295">
        <f>IF(OR(AM295="",AK295="",AK295=0),"",(AM295-AN295)/AK295)</f>
        <v>0</v>
      </c>
      <c r="AQ295">
        <f>IF(COUNT($E$2:$E295)&lt;20,"",MAX($C$276:$C$295))</f>
        <v>0</v>
      </c>
      <c r="AR295">
        <f>IF(COUNT($E$2:$E295)&lt;20,"",MIN($D$276:$D$295))</f>
        <v>0</v>
      </c>
      <c r="AS295">
        <f>IF(OR(AQ295="",AR295=""),"",(AQ295+AR295)/2)</f>
        <v>0</v>
      </c>
      <c r="AT295">
        <f>IF(COUNT($G$276:$G$295)&lt;20,"",STDEV($G$276:$G$295)*SQRT(252))</f>
        <v>0</v>
      </c>
      <c r="AU295">
        <f>IF(COUNT($E$2:$E295)&lt;9,"",(MAX($C$287:$C$295)+MIN($D$287:$D$295))/2)</f>
        <v>0</v>
      </c>
      <c r="AV295">
        <f>IF(COUNT($E$2:$E295)&lt;26,"",(MAX($C$270:$C$295)+MIN($D$270:$D$295))/2)</f>
        <v>0</v>
      </c>
      <c r="AW295">
        <f>IF(OR(AU295="",AV295=""),"",(AU295+AV295)/2)</f>
        <v>0</v>
      </c>
      <c r="AX295">
        <f>IF(COUNT($E$2:$E295)&lt;52,"",(MAX($C$244:$C$295)+MIN($D$244:$D$295))/2)</f>
        <v>0</v>
      </c>
      <c r="AY295">
        <f>IF(COUNT($E$2:$E295)&lt;20,"",MAX($C$196:$C$295))</f>
        <v>0</v>
      </c>
      <c r="AZ295">
        <f>IF(COUNT($E$2:$E295)&lt;20,"",MIN($D$196:$D$295))</f>
        <v>0</v>
      </c>
      <c r="BA295">
        <f>IF(COUNT($E$2:$E295)&lt;20,"",SLOPE($E$196:$E$295,$F$196:$F$295))</f>
        <v>0</v>
      </c>
      <c r="BB295">
        <f>IF(COUNT($E$2:$E295)&lt;20,"",INTERCEPT($E$196:$E$295,$F$196:$F$295))</f>
        <v>0</v>
      </c>
      <c r="BC295">
        <f>IF(OR(BA295="",BB295=""),"",BB295+BA295*F295)</f>
        <v>0</v>
      </c>
      <c r="BD295">
        <f>IF(COUNT($E$2:$E295)&lt;20,"",STEYX($E$196:$E$295,$F$196:$F$295))</f>
        <v>0</v>
      </c>
      <c r="BE295">
        <f>IF($E295="","",IF(AND(COUNT($E$296:$E$299)&gt;=4,$C295=MAX($C$291:$C$299)),$C295,""))</f>
        <v>0</v>
      </c>
      <c r="BF295">
        <f>IF($E295="","",IF(AND(COUNT($E$296:$E$299)&gt;=4,$D295=MIN($D$291:$D$299)),$D295,""))</f>
        <v>0</v>
      </c>
      <c r="BG295">
        <f>IF($A295="","",$A295-WEEKDAY($A295,2)+1)</f>
        <v>0</v>
      </c>
      <c r="BH295">
        <f>IF($A295="","",IF($A294="",1,IF(BG295&lt;&gt;BG294,1,0)))</f>
        <v>0</v>
      </c>
      <c r="BI295">
        <f>IF($A295="","",IF($A296="",1,IF(BG296&lt;&gt;BG295,1,0)))</f>
        <v>0</v>
      </c>
      <c r="BJ295">
        <f>IF($A295="","",IF(BH295=1,$B295,BJ294))</f>
        <v>0</v>
      </c>
      <c r="BK295">
        <f>IF($A295="","",IF(BH295=1,$C295,MAX($C295,BK294)))</f>
        <v>0</v>
      </c>
      <c r="BL295">
        <f>IF($A295="","",IF(BH295=1,$D295,MIN($D295,BL294)))</f>
        <v>0</v>
      </c>
      <c r="BM295">
        <f>IF($A295="","",IF(BI295=1,F295,""))</f>
        <v>0</v>
      </c>
      <c r="BN295">
        <f>IF($A295="","",DATE(YEAR($A295),MONTH($A295),1))</f>
        <v>0</v>
      </c>
      <c r="BO295">
        <f>IF($A295="","",IF($A294="",1,IF(BN295&lt;&gt;BN294,1,0)))</f>
        <v>0</v>
      </c>
      <c r="BP295">
        <f>IF($A295="","",IF($A296="",1,IF(BN296&lt;&gt;BN295,1,0)))</f>
        <v>0</v>
      </c>
      <c r="BQ295">
        <f>IF($A295="","",IF(BO295=1,$B295,BQ294))</f>
        <v>0</v>
      </c>
      <c r="BR295">
        <f>IF($A295="","",IF(BO295=1,$C295,MAX($C295,BR294)))</f>
        <v>0</v>
      </c>
      <c r="BS295">
        <f>IF($A295="","",IF(BO295=1,$D295,MIN($D295,BS294)))</f>
        <v>0</v>
      </c>
      <c r="BT295">
        <f>IF($A295="","",IF(BP295=1,F295,""))</f>
        <v>0</v>
      </c>
    </row>
    <row r="296" spans="1:72">
      <c r="A296" s="27">
        <f>IF(Data!$A296="","",Data!$A296)</f>
        <v>0</v>
      </c>
      <c r="B296">
        <f>IF(Data!$B296="","",Data!$B296)</f>
        <v>0</v>
      </c>
      <c r="C296">
        <f>IF(Data!$C296="","",Data!$C296)</f>
        <v>0</v>
      </c>
      <c r="D296">
        <f>IF(Data!$D296="","",Data!$D296)</f>
        <v>0</v>
      </c>
      <c r="E296">
        <f>IF(Data!$E296="","",Data!$E296)</f>
        <v>0</v>
      </c>
      <c r="F296">
        <f>IF($E296="","",N(F295)+1)</f>
        <v>0</v>
      </c>
      <c r="G296">
        <f>IF(OR($E296="",$E295=""),"",LN($E296/$E295))</f>
        <v>0</v>
      </c>
      <c r="H296">
        <f>IF($E296="","",IF($E295="",$E296,$E296*0.0952380952+H295*0.9047619048))</f>
        <v>0</v>
      </c>
      <c r="I296">
        <f>IF($E296="","",IF($E295="",$E296,$E296*0.0392156863+I295*0.9607843137))</f>
        <v>0</v>
      </c>
      <c r="J296">
        <f>IF($E296="","",IF($E295="",$E296,$E296*0.0198019802+J295*0.9801980198))</f>
        <v>0</v>
      </c>
      <c r="K296">
        <f>IF($E296="","",IF($E295="",$E296,$E296*0.0099502488+K295*0.9900497512))</f>
        <v>0</v>
      </c>
      <c r="L296">
        <f>IF(OR($E296="",$E295=""),"",MAX($E296-$E295,0))</f>
        <v>0</v>
      </c>
      <c r="M296">
        <f>IF(OR($E296="",$E295=""),"",MAX($E295-$E296,0))</f>
        <v>0</v>
      </c>
      <c r="N296">
        <f>IF(COUNT($E$2:$E296)&lt;15,"",IF(AVERAGE($M$283:$M$296)=0,100,100-100/(1+AVERAGE($L$283:$L$296)/AVERAGE($M$283:$M$296))))</f>
        <v>0</v>
      </c>
      <c r="O296">
        <f>IF($E296="","",IF($E295="",$E296,$E296*0.1538461538+O295*0.8461538462))</f>
        <v>0</v>
      </c>
      <c r="P296">
        <f>IF($E296="","",IF($E295="",$E296,$E296*0.0740740741+P295*0.9259259259))</f>
        <v>0</v>
      </c>
      <c r="Q296">
        <f>IF(OR(O296="",P296=""),"",O296-P296)</f>
        <v>0</v>
      </c>
      <c r="R296">
        <f>IF(Q296="","",IF(R295="",Q296,Q296*0.2000000000+R295*0.8000000000))</f>
        <v>0</v>
      </c>
      <c r="S296">
        <f>IF(OR(Q296="",R296=""),"",Q296-R296)</f>
        <v>0</v>
      </c>
      <c r="T296">
        <f>IF(COUNT($E$2:$E296)&lt;14,"",MAX($C$283:$C$296))</f>
        <v>0</v>
      </c>
      <c r="U296">
        <f>IF(COUNT($E$2:$E296)&lt;14,"",MIN($D$283:$D$296))</f>
        <v>0</v>
      </c>
      <c r="V296">
        <f>IF(OR(T296="",U296="",T296=U296),"",100*($E296-U296)/(T296-U296))</f>
        <v>0</v>
      </c>
      <c r="W296">
        <f>IF(COUNT($V$294:$V$296)&lt;3,"",AVERAGE($V$294:$V$296))</f>
        <v>0</v>
      </c>
      <c r="X296">
        <f>IF(COUNT($N$283:$N$296)&lt;14,"",MIN($N$283:$N$296))</f>
        <v>0</v>
      </c>
      <c r="Y296">
        <f>IF(COUNT($N$283:$N$296)&lt;14,"",MAX($N$283:$N$296))</f>
        <v>0</v>
      </c>
      <c r="Z296">
        <f>IF(OR(N296="",X296="",Y296="",Y296=X296),"",100*(N296-X296)/(Y296-X296))</f>
        <v>0</v>
      </c>
      <c r="AA296">
        <f>IF(COUNT($Z$294:$Z$296)&lt;3,"",AVERAGE($Z$294:$Z$296))</f>
        <v>0</v>
      </c>
      <c r="AB296">
        <f>IF(COUNT($AA$294:$AA$296)&lt;3,"",AVERAGE($AA$294:$AA$296))</f>
        <v>0</v>
      </c>
      <c r="AC296">
        <f>IF($E296="","",MAX($C296-$D296,ABS($C296-$E295),ABS($D296-$E295)))</f>
        <v>0</v>
      </c>
      <c r="AD296">
        <f>IF(COUNT($E$2:$E296)&lt;15,"",AVERAGE($AC$283:$AC$296))</f>
        <v>0</v>
      </c>
      <c r="AE296">
        <f>IF(OR($E296="",$E295=""),"",IF(AND(($C296-$C295)&gt;($D295-$D296),($C296-$C295)&gt;0),$C296-$C295,0))</f>
        <v>0</v>
      </c>
      <c r="AF296">
        <f>IF(OR($E296="",$E295=""),"",IF(AND(($D295-$D296)&gt;($C296-$C295),($D295-$D296)&gt;0),$D295-$D296,0))</f>
        <v>0</v>
      </c>
      <c r="AG296">
        <f>IF(COUNT($E$2:$E296)&lt;15,"",IF(SUM($AC$283:$AC$296)=0,0,100*SUM($AE$283:$AE$296)/SUM($AC$283:$AC$296)))</f>
        <v>0</v>
      </c>
      <c r="AH296">
        <f>IF(COUNT($E$2:$E296)&lt;15,"",IF(SUM($AC$283:$AC$296)=0,0,100*SUM($AF$283:$AF$296)/SUM($AC$283:$AC$296)))</f>
        <v>0</v>
      </c>
      <c r="AI296">
        <f>IF(OR(AG296="",AH296=""),"",IF((AG296+AH296)=0,0,100*ABS(AG296-AH296)/(AG296+AH296)))</f>
        <v>0</v>
      </c>
      <c r="AJ296">
        <f>IF(COUNT($AI$283:$AI$296)&lt;14,"",AVERAGE($AI$283:$AI$296))</f>
        <v>0</v>
      </c>
      <c r="AK296">
        <f>IF(COUNT($E$2:$E296)&lt;20,"",AVERAGE($E$277:$E$296))</f>
        <v>0</v>
      </c>
      <c r="AL296">
        <f>IF(COUNT($E$2:$E296)&lt;20,"",STDEVP($E$277:$E$296))</f>
        <v>0</v>
      </c>
      <c r="AM296">
        <f>IF(AK296="","",AK296+2*AL296)</f>
        <v>0</v>
      </c>
      <c r="AN296">
        <f>IF(AK296="","",AK296-2*AL296)</f>
        <v>0</v>
      </c>
      <c r="AO296">
        <f>IF(OR(AM296="",AN296="",AM296=AN296),"",($E296-AN296)/(AM296-AN296))</f>
        <v>0</v>
      </c>
      <c r="AP296">
        <f>IF(OR(AM296="",AK296="",AK296=0),"",(AM296-AN296)/AK296)</f>
        <v>0</v>
      </c>
      <c r="AQ296">
        <f>IF(COUNT($E$2:$E296)&lt;20,"",MAX($C$277:$C$296))</f>
        <v>0</v>
      </c>
      <c r="AR296">
        <f>IF(COUNT($E$2:$E296)&lt;20,"",MIN($D$277:$D$296))</f>
        <v>0</v>
      </c>
      <c r="AS296">
        <f>IF(OR(AQ296="",AR296=""),"",(AQ296+AR296)/2)</f>
        <v>0</v>
      </c>
      <c r="AT296">
        <f>IF(COUNT($G$277:$G$296)&lt;20,"",STDEV($G$277:$G$296)*SQRT(252))</f>
        <v>0</v>
      </c>
      <c r="AU296">
        <f>IF(COUNT($E$2:$E296)&lt;9,"",(MAX($C$288:$C$296)+MIN($D$288:$D$296))/2)</f>
        <v>0</v>
      </c>
      <c r="AV296">
        <f>IF(COUNT($E$2:$E296)&lt;26,"",(MAX($C$271:$C$296)+MIN($D$271:$D$296))/2)</f>
        <v>0</v>
      </c>
      <c r="AW296">
        <f>IF(OR(AU296="",AV296=""),"",(AU296+AV296)/2)</f>
        <v>0</v>
      </c>
      <c r="AX296">
        <f>IF(COUNT($E$2:$E296)&lt;52,"",(MAX($C$245:$C$296)+MIN($D$245:$D$296))/2)</f>
        <v>0</v>
      </c>
      <c r="AY296">
        <f>IF(COUNT($E$2:$E296)&lt;20,"",MAX($C$197:$C$296))</f>
        <v>0</v>
      </c>
      <c r="AZ296">
        <f>IF(COUNT($E$2:$E296)&lt;20,"",MIN($D$197:$D$296))</f>
        <v>0</v>
      </c>
      <c r="BA296">
        <f>IF(COUNT($E$2:$E296)&lt;20,"",SLOPE($E$197:$E$296,$F$197:$F$296))</f>
        <v>0</v>
      </c>
      <c r="BB296">
        <f>IF(COUNT($E$2:$E296)&lt;20,"",INTERCEPT($E$197:$E$296,$F$197:$F$296))</f>
        <v>0</v>
      </c>
      <c r="BC296">
        <f>IF(OR(BA296="",BB296=""),"",BB296+BA296*F296)</f>
        <v>0</v>
      </c>
      <c r="BD296">
        <f>IF(COUNT($E$2:$E296)&lt;20,"",STEYX($E$197:$E$296,$F$197:$F$296))</f>
        <v>0</v>
      </c>
      <c r="BE296">
        <f>IF($E296="","",IF(AND(COUNT($E$297:$E$300)&gt;=4,$C296=MAX($C$292:$C$300)),$C296,""))</f>
        <v>0</v>
      </c>
      <c r="BF296">
        <f>IF($E296="","",IF(AND(COUNT($E$297:$E$300)&gt;=4,$D296=MIN($D$292:$D$300)),$D296,""))</f>
        <v>0</v>
      </c>
      <c r="BG296">
        <f>IF($A296="","",$A296-WEEKDAY($A296,2)+1)</f>
        <v>0</v>
      </c>
      <c r="BH296">
        <f>IF($A296="","",IF($A295="",1,IF(BG296&lt;&gt;BG295,1,0)))</f>
        <v>0</v>
      </c>
      <c r="BI296">
        <f>IF($A296="","",IF($A297="",1,IF(BG297&lt;&gt;BG296,1,0)))</f>
        <v>0</v>
      </c>
      <c r="BJ296">
        <f>IF($A296="","",IF(BH296=1,$B296,BJ295))</f>
        <v>0</v>
      </c>
      <c r="BK296">
        <f>IF($A296="","",IF(BH296=1,$C296,MAX($C296,BK295)))</f>
        <v>0</v>
      </c>
      <c r="BL296">
        <f>IF($A296="","",IF(BH296=1,$D296,MIN($D296,BL295)))</f>
        <v>0</v>
      </c>
      <c r="BM296">
        <f>IF($A296="","",IF(BI296=1,F296,""))</f>
        <v>0</v>
      </c>
      <c r="BN296">
        <f>IF($A296="","",DATE(YEAR($A296),MONTH($A296),1))</f>
        <v>0</v>
      </c>
      <c r="BO296">
        <f>IF($A296="","",IF($A295="",1,IF(BN296&lt;&gt;BN295,1,0)))</f>
        <v>0</v>
      </c>
      <c r="BP296">
        <f>IF($A296="","",IF($A297="",1,IF(BN297&lt;&gt;BN296,1,0)))</f>
        <v>0</v>
      </c>
      <c r="BQ296">
        <f>IF($A296="","",IF(BO296=1,$B296,BQ295))</f>
        <v>0</v>
      </c>
      <c r="BR296">
        <f>IF($A296="","",IF(BO296=1,$C296,MAX($C296,BR295)))</f>
        <v>0</v>
      </c>
      <c r="BS296">
        <f>IF($A296="","",IF(BO296=1,$D296,MIN($D296,BS295)))</f>
        <v>0</v>
      </c>
      <c r="BT296">
        <f>IF($A296="","",IF(BP296=1,F296,""))</f>
        <v>0</v>
      </c>
    </row>
    <row r="297" spans="1:72">
      <c r="A297" s="27">
        <f>IF(Data!$A297="","",Data!$A297)</f>
        <v>0</v>
      </c>
      <c r="B297">
        <f>IF(Data!$B297="","",Data!$B297)</f>
        <v>0</v>
      </c>
      <c r="C297">
        <f>IF(Data!$C297="","",Data!$C297)</f>
        <v>0</v>
      </c>
      <c r="D297">
        <f>IF(Data!$D297="","",Data!$D297)</f>
        <v>0</v>
      </c>
      <c r="E297">
        <f>IF(Data!$E297="","",Data!$E297)</f>
        <v>0</v>
      </c>
      <c r="F297">
        <f>IF($E297="","",N(F296)+1)</f>
        <v>0</v>
      </c>
      <c r="G297">
        <f>IF(OR($E297="",$E296=""),"",LN($E297/$E296))</f>
        <v>0</v>
      </c>
      <c r="H297">
        <f>IF($E297="","",IF($E296="",$E297,$E297*0.0952380952+H296*0.9047619048))</f>
        <v>0</v>
      </c>
      <c r="I297">
        <f>IF($E297="","",IF($E296="",$E297,$E297*0.0392156863+I296*0.9607843137))</f>
        <v>0</v>
      </c>
      <c r="J297">
        <f>IF($E297="","",IF($E296="",$E297,$E297*0.0198019802+J296*0.9801980198))</f>
        <v>0</v>
      </c>
      <c r="K297">
        <f>IF($E297="","",IF($E296="",$E297,$E297*0.0099502488+K296*0.9900497512))</f>
        <v>0</v>
      </c>
      <c r="L297">
        <f>IF(OR($E297="",$E296=""),"",MAX($E297-$E296,0))</f>
        <v>0</v>
      </c>
      <c r="M297">
        <f>IF(OR($E297="",$E296=""),"",MAX($E296-$E297,0))</f>
        <v>0</v>
      </c>
      <c r="N297">
        <f>IF(COUNT($E$2:$E297)&lt;15,"",IF(AVERAGE($M$284:$M$297)=0,100,100-100/(1+AVERAGE($L$284:$L$297)/AVERAGE($M$284:$M$297))))</f>
        <v>0</v>
      </c>
      <c r="O297">
        <f>IF($E297="","",IF($E296="",$E297,$E297*0.1538461538+O296*0.8461538462))</f>
        <v>0</v>
      </c>
      <c r="P297">
        <f>IF($E297="","",IF($E296="",$E297,$E297*0.0740740741+P296*0.9259259259))</f>
        <v>0</v>
      </c>
      <c r="Q297">
        <f>IF(OR(O297="",P297=""),"",O297-P297)</f>
        <v>0</v>
      </c>
      <c r="R297">
        <f>IF(Q297="","",IF(R296="",Q297,Q297*0.2000000000+R296*0.8000000000))</f>
        <v>0</v>
      </c>
      <c r="S297">
        <f>IF(OR(Q297="",R297=""),"",Q297-R297)</f>
        <v>0</v>
      </c>
      <c r="T297">
        <f>IF(COUNT($E$2:$E297)&lt;14,"",MAX($C$284:$C$297))</f>
        <v>0</v>
      </c>
      <c r="U297">
        <f>IF(COUNT($E$2:$E297)&lt;14,"",MIN($D$284:$D$297))</f>
        <v>0</v>
      </c>
      <c r="V297">
        <f>IF(OR(T297="",U297="",T297=U297),"",100*($E297-U297)/(T297-U297))</f>
        <v>0</v>
      </c>
      <c r="W297">
        <f>IF(COUNT($V$295:$V$297)&lt;3,"",AVERAGE($V$295:$V$297))</f>
        <v>0</v>
      </c>
      <c r="X297">
        <f>IF(COUNT($N$284:$N$297)&lt;14,"",MIN($N$284:$N$297))</f>
        <v>0</v>
      </c>
      <c r="Y297">
        <f>IF(COUNT($N$284:$N$297)&lt;14,"",MAX($N$284:$N$297))</f>
        <v>0</v>
      </c>
      <c r="Z297">
        <f>IF(OR(N297="",X297="",Y297="",Y297=X297),"",100*(N297-X297)/(Y297-X297))</f>
        <v>0</v>
      </c>
      <c r="AA297">
        <f>IF(COUNT($Z$295:$Z$297)&lt;3,"",AVERAGE($Z$295:$Z$297))</f>
        <v>0</v>
      </c>
      <c r="AB297">
        <f>IF(COUNT($AA$295:$AA$297)&lt;3,"",AVERAGE($AA$295:$AA$297))</f>
        <v>0</v>
      </c>
      <c r="AC297">
        <f>IF($E297="","",MAX($C297-$D297,ABS($C297-$E296),ABS($D297-$E296)))</f>
        <v>0</v>
      </c>
      <c r="AD297">
        <f>IF(COUNT($E$2:$E297)&lt;15,"",AVERAGE($AC$284:$AC$297))</f>
        <v>0</v>
      </c>
      <c r="AE297">
        <f>IF(OR($E297="",$E296=""),"",IF(AND(($C297-$C296)&gt;($D296-$D297),($C297-$C296)&gt;0),$C297-$C296,0))</f>
        <v>0</v>
      </c>
      <c r="AF297">
        <f>IF(OR($E297="",$E296=""),"",IF(AND(($D296-$D297)&gt;($C297-$C296),($D296-$D297)&gt;0),$D296-$D297,0))</f>
        <v>0</v>
      </c>
      <c r="AG297">
        <f>IF(COUNT($E$2:$E297)&lt;15,"",IF(SUM($AC$284:$AC$297)=0,0,100*SUM($AE$284:$AE$297)/SUM($AC$284:$AC$297)))</f>
        <v>0</v>
      </c>
      <c r="AH297">
        <f>IF(COUNT($E$2:$E297)&lt;15,"",IF(SUM($AC$284:$AC$297)=0,0,100*SUM($AF$284:$AF$297)/SUM($AC$284:$AC$297)))</f>
        <v>0</v>
      </c>
      <c r="AI297">
        <f>IF(OR(AG297="",AH297=""),"",IF((AG297+AH297)=0,0,100*ABS(AG297-AH297)/(AG297+AH297)))</f>
        <v>0</v>
      </c>
      <c r="AJ297">
        <f>IF(COUNT($AI$284:$AI$297)&lt;14,"",AVERAGE($AI$284:$AI$297))</f>
        <v>0</v>
      </c>
      <c r="AK297">
        <f>IF(COUNT($E$2:$E297)&lt;20,"",AVERAGE($E$278:$E$297))</f>
        <v>0</v>
      </c>
      <c r="AL297">
        <f>IF(COUNT($E$2:$E297)&lt;20,"",STDEVP($E$278:$E$297))</f>
        <v>0</v>
      </c>
      <c r="AM297">
        <f>IF(AK297="","",AK297+2*AL297)</f>
        <v>0</v>
      </c>
      <c r="AN297">
        <f>IF(AK297="","",AK297-2*AL297)</f>
        <v>0</v>
      </c>
      <c r="AO297">
        <f>IF(OR(AM297="",AN297="",AM297=AN297),"",($E297-AN297)/(AM297-AN297))</f>
        <v>0</v>
      </c>
      <c r="AP297">
        <f>IF(OR(AM297="",AK297="",AK297=0),"",(AM297-AN297)/AK297)</f>
        <v>0</v>
      </c>
      <c r="AQ297">
        <f>IF(COUNT($E$2:$E297)&lt;20,"",MAX($C$278:$C$297))</f>
        <v>0</v>
      </c>
      <c r="AR297">
        <f>IF(COUNT($E$2:$E297)&lt;20,"",MIN($D$278:$D$297))</f>
        <v>0</v>
      </c>
      <c r="AS297">
        <f>IF(OR(AQ297="",AR297=""),"",(AQ297+AR297)/2)</f>
        <v>0</v>
      </c>
      <c r="AT297">
        <f>IF(COUNT($G$278:$G$297)&lt;20,"",STDEV($G$278:$G$297)*SQRT(252))</f>
        <v>0</v>
      </c>
      <c r="AU297">
        <f>IF(COUNT($E$2:$E297)&lt;9,"",(MAX($C$289:$C$297)+MIN($D$289:$D$297))/2)</f>
        <v>0</v>
      </c>
      <c r="AV297">
        <f>IF(COUNT($E$2:$E297)&lt;26,"",(MAX($C$272:$C$297)+MIN($D$272:$D$297))/2)</f>
        <v>0</v>
      </c>
      <c r="AW297">
        <f>IF(OR(AU297="",AV297=""),"",(AU297+AV297)/2)</f>
        <v>0</v>
      </c>
      <c r="AX297">
        <f>IF(COUNT($E$2:$E297)&lt;52,"",(MAX($C$246:$C$297)+MIN($D$246:$D$297))/2)</f>
        <v>0</v>
      </c>
      <c r="AY297">
        <f>IF(COUNT($E$2:$E297)&lt;20,"",MAX($C$198:$C$297))</f>
        <v>0</v>
      </c>
      <c r="AZ297">
        <f>IF(COUNT($E$2:$E297)&lt;20,"",MIN($D$198:$D$297))</f>
        <v>0</v>
      </c>
      <c r="BA297">
        <f>IF(COUNT($E$2:$E297)&lt;20,"",SLOPE($E$198:$E$297,$F$198:$F$297))</f>
        <v>0</v>
      </c>
      <c r="BB297">
        <f>IF(COUNT($E$2:$E297)&lt;20,"",INTERCEPT($E$198:$E$297,$F$198:$F$297))</f>
        <v>0</v>
      </c>
      <c r="BC297">
        <f>IF(OR(BA297="",BB297=""),"",BB297+BA297*F297)</f>
        <v>0</v>
      </c>
      <c r="BD297">
        <f>IF(COUNT($E$2:$E297)&lt;20,"",STEYX($E$198:$E$297,$F$198:$F$297))</f>
        <v>0</v>
      </c>
      <c r="BE297">
        <f>IF($E297="","",IF(AND(COUNT($E$298:$E$301)&gt;=4,$C297=MAX($C$293:$C$301)),$C297,""))</f>
        <v>0</v>
      </c>
      <c r="BF297">
        <f>IF($E297="","",IF(AND(COUNT($E$298:$E$301)&gt;=4,$D297=MIN($D$293:$D$301)),$D297,""))</f>
        <v>0</v>
      </c>
      <c r="BG297">
        <f>IF($A297="","",$A297-WEEKDAY($A297,2)+1)</f>
        <v>0</v>
      </c>
      <c r="BH297">
        <f>IF($A297="","",IF($A296="",1,IF(BG297&lt;&gt;BG296,1,0)))</f>
        <v>0</v>
      </c>
      <c r="BI297">
        <f>IF($A297="","",IF($A298="",1,IF(BG298&lt;&gt;BG297,1,0)))</f>
        <v>0</v>
      </c>
      <c r="BJ297">
        <f>IF($A297="","",IF(BH297=1,$B297,BJ296))</f>
        <v>0</v>
      </c>
      <c r="BK297">
        <f>IF($A297="","",IF(BH297=1,$C297,MAX($C297,BK296)))</f>
        <v>0</v>
      </c>
      <c r="BL297">
        <f>IF($A297="","",IF(BH297=1,$D297,MIN($D297,BL296)))</f>
        <v>0</v>
      </c>
      <c r="BM297">
        <f>IF($A297="","",IF(BI297=1,F297,""))</f>
        <v>0</v>
      </c>
      <c r="BN297">
        <f>IF($A297="","",DATE(YEAR($A297),MONTH($A297),1))</f>
        <v>0</v>
      </c>
      <c r="BO297">
        <f>IF($A297="","",IF($A296="",1,IF(BN297&lt;&gt;BN296,1,0)))</f>
        <v>0</v>
      </c>
      <c r="BP297">
        <f>IF($A297="","",IF($A298="",1,IF(BN298&lt;&gt;BN297,1,0)))</f>
        <v>0</v>
      </c>
      <c r="BQ297">
        <f>IF($A297="","",IF(BO297=1,$B297,BQ296))</f>
        <v>0</v>
      </c>
      <c r="BR297">
        <f>IF($A297="","",IF(BO297=1,$C297,MAX($C297,BR296)))</f>
        <v>0</v>
      </c>
      <c r="BS297">
        <f>IF($A297="","",IF(BO297=1,$D297,MIN($D297,BS296)))</f>
        <v>0</v>
      </c>
      <c r="BT297">
        <f>IF($A297="","",IF(BP297=1,F297,""))</f>
        <v>0</v>
      </c>
    </row>
    <row r="298" spans="1:72">
      <c r="A298" s="27">
        <f>IF(Data!$A298="","",Data!$A298)</f>
        <v>0</v>
      </c>
      <c r="B298">
        <f>IF(Data!$B298="","",Data!$B298)</f>
        <v>0</v>
      </c>
      <c r="C298">
        <f>IF(Data!$C298="","",Data!$C298)</f>
        <v>0</v>
      </c>
      <c r="D298">
        <f>IF(Data!$D298="","",Data!$D298)</f>
        <v>0</v>
      </c>
      <c r="E298">
        <f>IF(Data!$E298="","",Data!$E298)</f>
        <v>0</v>
      </c>
      <c r="F298">
        <f>IF($E298="","",N(F297)+1)</f>
        <v>0</v>
      </c>
      <c r="G298">
        <f>IF(OR($E298="",$E297=""),"",LN($E298/$E297))</f>
        <v>0</v>
      </c>
      <c r="H298">
        <f>IF($E298="","",IF($E297="",$E298,$E298*0.0952380952+H297*0.9047619048))</f>
        <v>0</v>
      </c>
      <c r="I298">
        <f>IF($E298="","",IF($E297="",$E298,$E298*0.0392156863+I297*0.9607843137))</f>
        <v>0</v>
      </c>
      <c r="J298">
        <f>IF($E298="","",IF($E297="",$E298,$E298*0.0198019802+J297*0.9801980198))</f>
        <v>0</v>
      </c>
      <c r="K298">
        <f>IF($E298="","",IF($E297="",$E298,$E298*0.0099502488+K297*0.9900497512))</f>
        <v>0</v>
      </c>
      <c r="L298">
        <f>IF(OR($E298="",$E297=""),"",MAX($E298-$E297,0))</f>
        <v>0</v>
      </c>
      <c r="M298">
        <f>IF(OR($E298="",$E297=""),"",MAX($E297-$E298,0))</f>
        <v>0</v>
      </c>
      <c r="N298">
        <f>IF(COUNT($E$2:$E298)&lt;15,"",IF(AVERAGE($M$285:$M$298)=0,100,100-100/(1+AVERAGE($L$285:$L$298)/AVERAGE($M$285:$M$298))))</f>
        <v>0</v>
      </c>
      <c r="O298">
        <f>IF($E298="","",IF($E297="",$E298,$E298*0.1538461538+O297*0.8461538462))</f>
        <v>0</v>
      </c>
      <c r="P298">
        <f>IF($E298="","",IF($E297="",$E298,$E298*0.0740740741+P297*0.9259259259))</f>
        <v>0</v>
      </c>
      <c r="Q298">
        <f>IF(OR(O298="",P298=""),"",O298-P298)</f>
        <v>0</v>
      </c>
      <c r="R298">
        <f>IF(Q298="","",IF(R297="",Q298,Q298*0.2000000000+R297*0.8000000000))</f>
        <v>0</v>
      </c>
      <c r="S298">
        <f>IF(OR(Q298="",R298=""),"",Q298-R298)</f>
        <v>0</v>
      </c>
      <c r="T298">
        <f>IF(COUNT($E$2:$E298)&lt;14,"",MAX($C$285:$C$298))</f>
        <v>0</v>
      </c>
      <c r="U298">
        <f>IF(COUNT($E$2:$E298)&lt;14,"",MIN($D$285:$D$298))</f>
        <v>0</v>
      </c>
      <c r="V298">
        <f>IF(OR(T298="",U298="",T298=U298),"",100*($E298-U298)/(T298-U298))</f>
        <v>0</v>
      </c>
      <c r="W298">
        <f>IF(COUNT($V$296:$V$298)&lt;3,"",AVERAGE($V$296:$V$298))</f>
        <v>0</v>
      </c>
      <c r="X298">
        <f>IF(COUNT($N$285:$N$298)&lt;14,"",MIN($N$285:$N$298))</f>
        <v>0</v>
      </c>
      <c r="Y298">
        <f>IF(COUNT($N$285:$N$298)&lt;14,"",MAX($N$285:$N$298))</f>
        <v>0</v>
      </c>
      <c r="Z298">
        <f>IF(OR(N298="",X298="",Y298="",Y298=X298),"",100*(N298-X298)/(Y298-X298))</f>
        <v>0</v>
      </c>
      <c r="AA298">
        <f>IF(COUNT($Z$296:$Z$298)&lt;3,"",AVERAGE($Z$296:$Z$298))</f>
        <v>0</v>
      </c>
      <c r="AB298">
        <f>IF(COUNT($AA$296:$AA$298)&lt;3,"",AVERAGE($AA$296:$AA$298))</f>
        <v>0</v>
      </c>
      <c r="AC298">
        <f>IF($E298="","",MAX($C298-$D298,ABS($C298-$E297),ABS($D298-$E297)))</f>
        <v>0</v>
      </c>
      <c r="AD298">
        <f>IF(COUNT($E$2:$E298)&lt;15,"",AVERAGE($AC$285:$AC$298))</f>
        <v>0</v>
      </c>
      <c r="AE298">
        <f>IF(OR($E298="",$E297=""),"",IF(AND(($C298-$C297)&gt;($D297-$D298),($C298-$C297)&gt;0),$C298-$C297,0))</f>
        <v>0</v>
      </c>
      <c r="AF298">
        <f>IF(OR($E298="",$E297=""),"",IF(AND(($D297-$D298)&gt;($C298-$C297),($D297-$D298)&gt;0),$D297-$D298,0))</f>
        <v>0</v>
      </c>
      <c r="AG298">
        <f>IF(COUNT($E$2:$E298)&lt;15,"",IF(SUM($AC$285:$AC$298)=0,0,100*SUM($AE$285:$AE$298)/SUM($AC$285:$AC$298)))</f>
        <v>0</v>
      </c>
      <c r="AH298">
        <f>IF(COUNT($E$2:$E298)&lt;15,"",IF(SUM($AC$285:$AC$298)=0,0,100*SUM($AF$285:$AF$298)/SUM($AC$285:$AC$298)))</f>
        <v>0</v>
      </c>
      <c r="AI298">
        <f>IF(OR(AG298="",AH298=""),"",IF((AG298+AH298)=0,0,100*ABS(AG298-AH298)/(AG298+AH298)))</f>
        <v>0</v>
      </c>
      <c r="AJ298">
        <f>IF(COUNT($AI$285:$AI$298)&lt;14,"",AVERAGE($AI$285:$AI$298))</f>
        <v>0</v>
      </c>
      <c r="AK298">
        <f>IF(COUNT($E$2:$E298)&lt;20,"",AVERAGE($E$279:$E$298))</f>
        <v>0</v>
      </c>
      <c r="AL298">
        <f>IF(COUNT($E$2:$E298)&lt;20,"",STDEVP($E$279:$E$298))</f>
        <v>0</v>
      </c>
      <c r="AM298">
        <f>IF(AK298="","",AK298+2*AL298)</f>
        <v>0</v>
      </c>
      <c r="AN298">
        <f>IF(AK298="","",AK298-2*AL298)</f>
        <v>0</v>
      </c>
      <c r="AO298">
        <f>IF(OR(AM298="",AN298="",AM298=AN298),"",($E298-AN298)/(AM298-AN298))</f>
        <v>0</v>
      </c>
      <c r="AP298">
        <f>IF(OR(AM298="",AK298="",AK298=0),"",(AM298-AN298)/AK298)</f>
        <v>0</v>
      </c>
      <c r="AQ298">
        <f>IF(COUNT($E$2:$E298)&lt;20,"",MAX($C$279:$C$298))</f>
        <v>0</v>
      </c>
      <c r="AR298">
        <f>IF(COUNT($E$2:$E298)&lt;20,"",MIN($D$279:$D$298))</f>
        <v>0</v>
      </c>
      <c r="AS298">
        <f>IF(OR(AQ298="",AR298=""),"",(AQ298+AR298)/2)</f>
        <v>0</v>
      </c>
      <c r="AT298">
        <f>IF(COUNT($G$279:$G$298)&lt;20,"",STDEV($G$279:$G$298)*SQRT(252))</f>
        <v>0</v>
      </c>
      <c r="AU298">
        <f>IF(COUNT($E$2:$E298)&lt;9,"",(MAX($C$290:$C$298)+MIN($D$290:$D$298))/2)</f>
        <v>0</v>
      </c>
      <c r="AV298">
        <f>IF(COUNT($E$2:$E298)&lt;26,"",(MAX($C$273:$C$298)+MIN($D$273:$D$298))/2)</f>
        <v>0</v>
      </c>
      <c r="AW298">
        <f>IF(OR(AU298="",AV298=""),"",(AU298+AV298)/2)</f>
        <v>0</v>
      </c>
      <c r="AX298">
        <f>IF(COUNT($E$2:$E298)&lt;52,"",(MAX($C$247:$C$298)+MIN($D$247:$D$298))/2)</f>
        <v>0</v>
      </c>
      <c r="AY298">
        <f>IF(COUNT($E$2:$E298)&lt;20,"",MAX($C$199:$C$298))</f>
        <v>0</v>
      </c>
      <c r="AZ298">
        <f>IF(COUNT($E$2:$E298)&lt;20,"",MIN($D$199:$D$298))</f>
        <v>0</v>
      </c>
      <c r="BA298">
        <f>IF(COUNT($E$2:$E298)&lt;20,"",SLOPE($E$199:$E$298,$F$199:$F$298))</f>
        <v>0</v>
      </c>
      <c r="BB298">
        <f>IF(COUNT($E$2:$E298)&lt;20,"",INTERCEPT($E$199:$E$298,$F$199:$F$298))</f>
        <v>0</v>
      </c>
      <c r="BC298">
        <f>IF(OR(BA298="",BB298=""),"",BB298+BA298*F298)</f>
        <v>0</v>
      </c>
      <c r="BD298">
        <f>IF(COUNT($E$2:$E298)&lt;20,"",STEYX($E$199:$E$298,$F$199:$F$298))</f>
        <v>0</v>
      </c>
      <c r="BE298">
        <f>IF($E298="","",IF(AND(COUNT($E$299:$E$302)&gt;=4,$C298=MAX($C$294:$C$302)),$C298,""))</f>
        <v>0</v>
      </c>
      <c r="BF298">
        <f>IF($E298="","",IF(AND(COUNT($E$299:$E$302)&gt;=4,$D298=MIN($D$294:$D$302)),$D298,""))</f>
        <v>0</v>
      </c>
      <c r="BG298">
        <f>IF($A298="","",$A298-WEEKDAY($A298,2)+1)</f>
        <v>0</v>
      </c>
      <c r="BH298">
        <f>IF($A298="","",IF($A297="",1,IF(BG298&lt;&gt;BG297,1,0)))</f>
        <v>0</v>
      </c>
      <c r="BI298">
        <f>IF($A298="","",IF($A299="",1,IF(BG299&lt;&gt;BG298,1,0)))</f>
        <v>0</v>
      </c>
      <c r="BJ298">
        <f>IF($A298="","",IF(BH298=1,$B298,BJ297))</f>
        <v>0</v>
      </c>
      <c r="BK298">
        <f>IF($A298="","",IF(BH298=1,$C298,MAX($C298,BK297)))</f>
        <v>0</v>
      </c>
      <c r="BL298">
        <f>IF($A298="","",IF(BH298=1,$D298,MIN($D298,BL297)))</f>
        <v>0</v>
      </c>
      <c r="BM298">
        <f>IF($A298="","",IF(BI298=1,F298,""))</f>
        <v>0</v>
      </c>
      <c r="BN298">
        <f>IF($A298="","",DATE(YEAR($A298),MONTH($A298),1))</f>
        <v>0</v>
      </c>
      <c r="BO298">
        <f>IF($A298="","",IF($A297="",1,IF(BN298&lt;&gt;BN297,1,0)))</f>
        <v>0</v>
      </c>
      <c r="BP298">
        <f>IF($A298="","",IF($A299="",1,IF(BN299&lt;&gt;BN298,1,0)))</f>
        <v>0</v>
      </c>
      <c r="BQ298">
        <f>IF($A298="","",IF(BO298=1,$B298,BQ297))</f>
        <v>0</v>
      </c>
      <c r="BR298">
        <f>IF($A298="","",IF(BO298=1,$C298,MAX($C298,BR297)))</f>
        <v>0</v>
      </c>
      <c r="BS298">
        <f>IF($A298="","",IF(BO298=1,$D298,MIN($D298,BS297)))</f>
        <v>0</v>
      </c>
      <c r="BT298">
        <f>IF($A298="","",IF(BP298=1,F298,""))</f>
        <v>0</v>
      </c>
    </row>
    <row r="299" spans="1:72">
      <c r="A299" s="27">
        <f>IF(Data!$A299="","",Data!$A299)</f>
        <v>0</v>
      </c>
      <c r="B299">
        <f>IF(Data!$B299="","",Data!$B299)</f>
        <v>0</v>
      </c>
      <c r="C299">
        <f>IF(Data!$C299="","",Data!$C299)</f>
        <v>0</v>
      </c>
      <c r="D299">
        <f>IF(Data!$D299="","",Data!$D299)</f>
        <v>0</v>
      </c>
      <c r="E299">
        <f>IF(Data!$E299="","",Data!$E299)</f>
        <v>0</v>
      </c>
      <c r="F299">
        <f>IF($E299="","",N(F298)+1)</f>
        <v>0</v>
      </c>
      <c r="G299">
        <f>IF(OR($E299="",$E298=""),"",LN($E299/$E298))</f>
        <v>0</v>
      </c>
      <c r="H299">
        <f>IF($E299="","",IF($E298="",$E299,$E299*0.0952380952+H298*0.9047619048))</f>
        <v>0</v>
      </c>
      <c r="I299">
        <f>IF($E299="","",IF($E298="",$E299,$E299*0.0392156863+I298*0.9607843137))</f>
        <v>0</v>
      </c>
      <c r="J299">
        <f>IF($E299="","",IF($E298="",$E299,$E299*0.0198019802+J298*0.9801980198))</f>
        <v>0</v>
      </c>
      <c r="K299">
        <f>IF($E299="","",IF($E298="",$E299,$E299*0.0099502488+K298*0.9900497512))</f>
        <v>0</v>
      </c>
      <c r="L299">
        <f>IF(OR($E299="",$E298=""),"",MAX($E299-$E298,0))</f>
        <v>0</v>
      </c>
      <c r="M299">
        <f>IF(OR($E299="",$E298=""),"",MAX($E298-$E299,0))</f>
        <v>0</v>
      </c>
      <c r="N299">
        <f>IF(COUNT($E$2:$E299)&lt;15,"",IF(AVERAGE($M$286:$M$299)=0,100,100-100/(1+AVERAGE($L$286:$L$299)/AVERAGE($M$286:$M$299))))</f>
        <v>0</v>
      </c>
      <c r="O299">
        <f>IF($E299="","",IF($E298="",$E299,$E299*0.1538461538+O298*0.8461538462))</f>
        <v>0</v>
      </c>
      <c r="P299">
        <f>IF($E299="","",IF($E298="",$E299,$E299*0.0740740741+P298*0.9259259259))</f>
        <v>0</v>
      </c>
      <c r="Q299">
        <f>IF(OR(O299="",P299=""),"",O299-P299)</f>
        <v>0</v>
      </c>
      <c r="R299">
        <f>IF(Q299="","",IF(R298="",Q299,Q299*0.2000000000+R298*0.8000000000))</f>
        <v>0</v>
      </c>
      <c r="S299">
        <f>IF(OR(Q299="",R299=""),"",Q299-R299)</f>
        <v>0</v>
      </c>
      <c r="T299">
        <f>IF(COUNT($E$2:$E299)&lt;14,"",MAX($C$286:$C$299))</f>
        <v>0</v>
      </c>
      <c r="U299">
        <f>IF(COUNT($E$2:$E299)&lt;14,"",MIN($D$286:$D$299))</f>
        <v>0</v>
      </c>
      <c r="V299">
        <f>IF(OR(T299="",U299="",T299=U299),"",100*($E299-U299)/(T299-U299))</f>
        <v>0</v>
      </c>
      <c r="W299">
        <f>IF(COUNT($V$297:$V$299)&lt;3,"",AVERAGE($V$297:$V$299))</f>
        <v>0</v>
      </c>
      <c r="X299">
        <f>IF(COUNT($N$286:$N$299)&lt;14,"",MIN($N$286:$N$299))</f>
        <v>0</v>
      </c>
      <c r="Y299">
        <f>IF(COUNT($N$286:$N$299)&lt;14,"",MAX($N$286:$N$299))</f>
        <v>0</v>
      </c>
      <c r="Z299">
        <f>IF(OR(N299="",X299="",Y299="",Y299=X299),"",100*(N299-X299)/(Y299-X299))</f>
        <v>0</v>
      </c>
      <c r="AA299">
        <f>IF(COUNT($Z$297:$Z$299)&lt;3,"",AVERAGE($Z$297:$Z$299))</f>
        <v>0</v>
      </c>
      <c r="AB299">
        <f>IF(COUNT($AA$297:$AA$299)&lt;3,"",AVERAGE($AA$297:$AA$299))</f>
        <v>0</v>
      </c>
      <c r="AC299">
        <f>IF($E299="","",MAX($C299-$D299,ABS($C299-$E298),ABS($D299-$E298)))</f>
        <v>0</v>
      </c>
      <c r="AD299">
        <f>IF(COUNT($E$2:$E299)&lt;15,"",AVERAGE($AC$286:$AC$299))</f>
        <v>0</v>
      </c>
      <c r="AE299">
        <f>IF(OR($E299="",$E298=""),"",IF(AND(($C299-$C298)&gt;($D298-$D299),($C299-$C298)&gt;0),$C299-$C298,0))</f>
        <v>0</v>
      </c>
      <c r="AF299">
        <f>IF(OR($E299="",$E298=""),"",IF(AND(($D298-$D299)&gt;($C299-$C298),($D298-$D299)&gt;0),$D298-$D299,0))</f>
        <v>0</v>
      </c>
      <c r="AG299">
        <f>IF(COUNT($E$2:$E299)&lt;15,"",IF(SUM($AC$286:$AC$299)=0,0,100*SUM($AE$286:$AE$299)/SUM($AC$286:$AC$299)))</f>
        <v>0</v>
      </c>
      <c r="AH299">
        <f>IF(COUNT($E$2:$E299)&lt;15,"",IF(SUM($AC$286:$AC$299)=0,0,100*SUM($AF$286:$AF$299)/SUM($AC$286:$AC$299)))</f>
        <v>0</v>
      </c>
      <c r="AI299">
        <f>IF(OR(AG299="",AH299=""),"",IF((AG299+AH299)=0,0,100*ABS(AG299-AH299)/(AG299+AH299)))</f>
        <v>0</v>
      </c>
      <c r="AJ299">
        <f>IF(COUNT($AI$286:$AI$299)&lt;14,"",AVERAGE($AI$286:$AI$299))</f>
        <v>0</v>
      </c>
      <c r="AK299">
        <f>IF(COUNT($E$2:$E299)&lt;20,"",AVERAGE($E$280:$E$299))</f>
        <v>0</v>
      </c>
      <c r="AL299">
        <f>IF(COUNT($E$2:$E299)&lt;20,"",STDEVP($E$280:$E$299))</f>
        <v>0</v>
      </c>
      <c r="AM299">
        <f>IF(AK299="","",AK299+2*AL299)</f>
        <v>0</v>
      </c>
      <c r="AN299">
        <f>IF(AK299="","",AK299-2*AL299)</f>
        <v>0</v>
      </c>
      <c r="AO299">
        <f>IF(OR(AM299="",AN299="",AM299=AN299),"",($E299-AN299)/(AM299-AN299))</f>
        <v>0</v>
      </c>
      <c r="AP299">
        <f>IF(OR(AM299="",AK299="",AK299=0),"",(AM299-AN299)/AK299)</f>
        <v>0</v>
      </c>
      <c r="AQ299">
        <f>IF(COUNT($E$2:$E299)&lt;20,"",MAX($C$280:$C$299))</f>
        <v>0</v>
      </c>
      <c r="AR299">
        <f>IF(COUNT($E$2:$E299)&lt;20,"",MIN($D$280:$D$299))</f>
        <v>0</v>
      </c>
      <c r="AS299">
        <f>IF(OR(AQ299="",AR299=""),"",(AQ299+AR299)/2)</f>
        <v>0</v>
      </c>
      <c r="AT299">
        <f>IF(COUNT($G$280:$G$299)&lt;20,"",STDEV($G$280:$G$299)*SQRT(252))</f>
        <v>0</v>
      </c>
      <c r="AU299">
        <f>IF(COUNT($E$2:$E299)&lt;9,"",(MAX($C$291:$C$299)+MIN($D$291:$D$299))/2)</f>
        <v>0</v>
      </c>
      <c r="AV299">
        <f>IF(COUNT($E$2:$E299)&lt;26,"",(MAX($C$274:$C$299)+MIN($D$274:$D$299))/2)</f>
        <v>0</v>
      </c>
      <c r="AW299">
        <f>IF(OR(AU299="",AV299=""),"",(AU299+AV299)/2)</f>
        <v>0</v>
      </c>
      <c r="AX299">
        <f>IF(COUNT($E$2:$E299)&lt;52,"",(MAX($C$248:$C$299)+MIN($D$248:$D$299))/2)</f>
        <v>0</v>
      </c>
      <c r="AY299">
        <f>IF(COUNT($E$2:$E299)&lt;20,"",MAX($C$200:$C$299))</f>
        <v>0</v>
      </c>
      <c r="AZ299">
        <f>IF(COUNT($E$2:$E299)&lt;20,"",MIN($D$200:$D$299))</f>
        <v>0</v>
      </c>
      <c r="BA299">
        <f>IF(COUNT($E$2:$E299)&lt;20,"",SLOPE($E$200:$E$299,$F$200:$F$299))</f>
        <v>0</v>
      </c>
      <c r="BB299">
        <f>IF(COUNT($E$2:$E299)&lt;20,"",INTERCEPT($E$200:$E$299,$F$200:$F$299))</f>
        <v>0</v>
      </c>
      <c r="BC299">
        <f>IF(OR(BA299="",BB299=""),"",BB299+BA299*F299)</f>
        <v>0</v>
      </c>
      <c r="BD299">
        <f>IF(COUNT($E$2:$E299)&lt;20,"",STEYX($E$200:$E$299,$F$200:$F$299))</f>
        <v>0</v>
      </c>
      <c r="BE299">
        <f>IF($E299="","",IF(AND(COUNT($E$300:$E$303)&gt;=4,$C299=MAX($C$295:$C$303)),$C299,""))</f>
        <v>0</v>
      </c>
      <c r="BF299">
        <f>IF($E299="","",IF(AND(COUNT($E$300:$E$303)&gt;=4,$D299=MIN($D$295:$D$303)),$D299,""))</f>
        <v>0</v>
      </c>
      <c r="BG299">
        <f>IF($A299="","",$A299-WEEKDAY($A299,2)+1)</f>
        <v>0</v>
      </c>
      <c r="BH299">
        <f>IF($A299="","",IF($A298="",1,IF(BG299&lt;&gt;BG298,1,0)))</f>
        <v>0</v>
      </c>
      <c r="BI299">
        <f>IF($A299="","",IF($A300="",1,IF(BG300&lt;&gt;BG299,1,0)))</f>
        <v>0</v>
      </c>
      <c r="BJ299">
        <f>IF($A299="","",IF(BH299=1,$B299,BJ298))</f>
        <v>0</v>
      </c>
      <c r="BK299">
        <f>IF($A299="","",IF(BH299=1,$C299,MAX($C299,BK298)))</f>
        <v>0</v>
      </c>
      <c r="BL299">
        <f>IF($A299="","",IF(BH299=1,$D299,MIN($D299,BL298)))</f>
        <v>0</v>
      </c>
      <c r="BM299">
        <f>IF($A299="","",IF(BI299=1,F299,""))</f>
        <v>0</v>
      </c>
      <c r="BN299">
        <f>IF($A299="","",DATE(YEAR($A299),MONTH($A299),1))</f>
        <v>0</v>
      </c>
      <c r="BO299">
        <f>IF($A299="","",IF($A298="",1,IF(BN299&lt;&gt;BN298,1,0)))</f>
        <v>0</v>
      </c>
      <c r="BP299">
        <f>IF($A299="","",IF($A300="",1,IF(BN300&lt;&gt;BN299,1,0)))</f>
        <v>0</v>
      </c>
      <c r="BQ299">
        <f>IF($A299="","",IF(BO299=1,$B299,BQ298))</f>
        <v>0</v>
      </c>
      <c r="BR299">
        <f>IF($A299="","",IF(BO299=1,$C299,MAX($C299,BR298)))</f>
        <v>0</v>
      </c>
      <c r="BS299">
        <f>IF($A299="","",IF(BO299=1,$D299,MIN($D299,BS298)))</f>
        <v>0</v>
      </c>
      <c r="BT299">
        <f>IF($A299="","",IF(BP299=1,F299,""))</f>
        <v>0</v>
      </c>
    </row>
    <row r="300" spans="1:72">
      <c r="A300" s="27">
        <f>IF(Data!$A300="","",Data!$A300)</f>
        <v>0</v>
      </c>
      <c r="B300">
        <f>IF(Data!$B300="","",Data!$B300)</f>
        <v>0</v>
      </c>
      <c r="C300">
        <f>IF(Data!$C300="","",Data!$C300)</f>
        <v>0</v>
      </c>
      <c r="D300">
        <f>IF(Data!$D300="","",Data!$D300)</f>
        <v>0</v>
      </c>
      <c r="E300">
        <f>IF(Data!$E300="","",Data!$E300)</f>
        <v>0</v>
      </c>
      <c r="F300">
        <f>IF($E300="","",N(F299)+1)</f>
        <v>0</v>
      </c>
      <c r="G300">
        <f>IF(OR($E300="",$E299=""),"",LN($E300/$E299))</f>
        <v>0</v>
      </c>
      <c r="H300">
        <f>IF($E300="","",IF($E299="",$E300,$E300*0.0952380952+H299*0.9047619048))</f>
        <v>0</v>
      </c>
      <c r="I300">
        <f>IF($E300="","",IF($E299="",$E300,$E300*0.0392156863+I299*0.9607843137))</f>
        <v>0</v>
      </c>
      <c r="J300">
        <f>IF($E300="","",IF($E299="",$E300,$E300*0.0198019802+J299*0.9801980198))</f>
        <v>0</v>
      </c>
      <c r="K300">
        <f>IF($E300="","",IF($E299="",$E300,$E300*0.0099502488+K299*0.9900497512))</f>
        <v>0</v>
      </c>
      <c r="L300">
        <f>IF(OR($E300="",$E299=""),"",MAX($E300-$E299,0))</f>
        <v>0</v>
      </c>
      <c r="M300">
        <f>IF(OR($E300="",$E299=""),"",MAX($E299-$E300,0))</f>
        <v>0</v>
      </c>
      <c r="N300">
        <f>IF(COUNT($E$2:$E300)&lt;15,"",IF(AVERAGE($M$287:$M$300)=0,100,100-100/(1+AVERAGE($L$287:$L$300)/AVERAGE($M$287:$M$300))))</f>
        <v>0</v>
      </c>
      <c r="O300">
        <f>IF($E300="","",IF($E299="",$E300,$E300*0.1538461538+O299*0.8461538462))</f>
        <v>0</v>
      </c>
      <c r="P300">
        <f>IF($E300="","",IF($E299="",$E300,$E300*0.0740740741+P299*0.9259259259))</f>
        <v>0</v>
      </c>
      <c r="Q300">
        <f>IF(OR(O300="",P300=""),"",O300-P300)</f>
        <v>0</v>
      </c>
      <c r="R300">
        <f>IF(Q300="","",IF(R299="",Q300,Q300*0.2000000000+R299*0.8000000000))</f>
        <v>0</v>
      </c>
      <c r="S300">
        <f>IF(OR(Q300="",R300=""),"",Q300-R300)</f>
        <v>0</v>
      </c>
      <c r="T300">
        <f>IF(COUNT($E$2:$E300)&lt;14,"",MAX($C$287:$C$300))</f>
        <v>0</v>
      </c>
      <c r="U300">
        <f>IF(COUNT($E$2:$E300)&lt;14,"",MIN($D$287:$D$300))</f>
        <v>0</v>
      </c>
      <c r="V300">
        <f>IF(OR(T300="",U300="",T300=U300),"",100*($E300-U300)/(T300-U300))</f>
        <v>0</v>
      </c>
      <c r="W300">
        <f>IF(COUNT($V$298:$V$300)&lt;3,"",AVERAGE($V$298:$V$300))</f>
        <v>0</v>
      </c>
      <c r="X300">
        <f>IF(COUNT($N$287:$N$300)&lt;14,"",MIN($N$287:$N$300))</f>
        <v>0</v>
      </c>
      <c r="Y300">
        <f>IF(COUNT($N$287:$N$300)&lt;14,"",MAX($N$287:$N$300))</f>
        <v>0</v>
      </c>
      <c r="Z300">
        <f>IF(OR(N300="",X300="",Y300="",Y300=X300),"",100*(N300-X300)/(Y300-X300))</f>
        <v>0</v>
      </c>
      <c r="AA300">
        <f>IF(COUNT($Z$298:$Z$300)&lt;3,"",AVERAGE($Z$298:$Z$300))</f>
        <v>0</v>
      </c>
      <c r="AB300">
        <f>IF(COUNT($AA$298:$AA$300)&lt;3,"",AVERAGE($AA$298:$AA$300))</f>
        <v>0</v>
      </c>
      <c r="AC300">
        <f>IF($E300="","",MAX($C300-$D300,ABS($C300-$E299),ABS($D300-$E299)))</f>
        <v>0</v>
      </c>
      <c r="AD300">
        <f>IF(COUNT($E$2:$E300)&lt;15,"",AVERAGE($AC$287:$AC$300))</f>
        <v>0</v>
      </c>
      <c r="AE300">
        <f>IF(OR($E300="",$E299=""),"",IF(AND(($C300-$C299)&gt;($D299-$D300),($C300-$C299)&gt;0),$C300-$C299,0))</f>
        <v>0</v>
      </c>
      <c r="AF300">
        <f>IF(OR($E300="",$E299=""),"",IF(AND(($D299-$D300)&gt;($C300-$C299),($D299-$D300)&gt;0),$D299-$D300,0))</f>
        <v>0</v>
      </c>
      <c r="AG300">
        <f>IF(COUNT($E$2:$E300)&lt;15,"",IF(SUM($AC$287:$AC$300)=0,0,100*SUM($AE$287:$AE$300)/SUM($AC$287:$AC$300)))</f>
        <v>0</v>
      </c>
      <c r="AH300">
        <f>IF(COUNT($E$2:$E300)&lt;15,"",IF(SUM($AC$287:$AC$300)=0,0,100*SUM($AF$287:$AF$300)/SUM($AC$287:$AC$300)))</f>
        <v>0</v>
      </c>
      <c r="AI300">
        <f>IF(OR(AG300="",AH300=""),"",IF((AG300+AH300)=0,0,100*ABS(AG300-AH300)/(AG300+AH300)))</f>
        <v>0</v>
      </c>
      <c r="AJ300">
        <f>IF(COUNT($AI$287:$AI$300)&lt;14,"",AVERAGE($AI$287:$AI$300))</f>
        <v>0</v>
      </c>
      <c r="AK300">
        <f>IF(COUNT($E$2:$E300)&lt;20,"",AVERAGE($E$281:$E$300))</f>
        <v>0</v>
      </c>
      <c r="AL300">
        <f>IF(COUNT($E$2:$E300)&lt;20,"",STDEVP($E$281:$E$300))</f>
        <v>0</v>
      </c>
      <c r="AM300">
        <f>IF(AK300="","",AK300+2*AL300)</f>
        <v>0</v>
      </c>
      <c r="AN300">
        <f>IF(AK300="","",AK300-2*AL300)</f>
        <v>0</v>
      </c>
      <c r="AO300">
        <f>IF(OR(AM300="",AN300="",AM300=AN300),"",($E300-AN300)/(AM300-AN300))</f>
        <v>0</v>
      </c>
      <c r="AP300">
        <f>IF(OR(AM300="",AK300="",AK300=0),"",(AM300-AN300)/AK300)</f>
        <v>0</v>
      </c>
      <c r="AQ300">
        <f>IF(COUNT($E$2:$E300)&lt;20,"",MAX($C$281:$C$300))</f>
        <v>0</v>
      </c>
      <c r="AR300">
        <f>IF(COUNT($E$2:$E300)&lt;20,"",MIN($D$281:$D$300))</f>
        <v>0</v>
      </c>
      <c r="AS300">
        <f>IF(OR(AQ300="",AR300=""),"",(AQ300+AR300)/2)</f>
        <v>0</v>
      </c>
      <c r="AT300">
        <f>IF(COUNT($G$281:$G$300)&lt;20,"",STDEV($G$281:$G$300)*SQRT(252))</f>
        <v>0</v>
      </c>
      <c r="AU300">
        <f>IF(COUNT($E$2:$E300)&lt;9,"",(MAX($C$292:$C$300)+MIN($D$292:$D$300))/2)</f>
        <v>0</v>
      </c>
      <c r="AV300">
        <f>IF(COUNT($E$2:$E300)&lt;26,"",(MAX($C$275:$C$300)+MIN($D$275:$D$300))/2)</f>
        <v>0</v>
      </c>
      <c r="AW300">
        <f>IF(OR(AU300="",AV300=""),"",(AU300+AV300)/2)</f>
        <v>0</v>
      </c>
      <c r="AX300">
        <f>IF(COUNT($E$2:$E300)&lt;52,"",(MAX($C$249:$C$300)+MIN($D$249:$D$300))/2)</f>
        <v>0</v>
      </c>
      <c r="AY300">
        <f>IF(COUNT($E$2:$E300)&lt;20,"",MAX($C$201:$C$300))</f>
        <v>0</v>
      </c>
      <c r="AZ300">
        <f>IF(COUNT($E$2:$E300)&lt;20,"",MIN($D$201:$D$300))</f>
        <v>0</v>
      </c>
      <c r="BA300">
        <f>IF(COUNT($E$2:$E300)&lt;20,"",SLOPE($E$201:$E$300,$F$201:$F$300))</f>
        <v>0</v>
      </c>
      <c r="BB300">
        <f>IF(COUNT($E$2:$E300)&lt;20,"",INTERCEPT($E$201:$E$300,$F$201:$F$300))</f>
        <v>0</v>
      </c>
      <c r="BC300">
        <f>IF(OR(BA300="",BB300=""),"",BB300+BA300*F300)</f>
        <v>0</v>
      </c>
      <c r="BD300">
        <f>IF(COUNT($E$2:$E300)&lt;20,"",STEYX($E$201:$E$300,$F$201:$F$300))</f>
        <v>0</v>
      </c>
      <c r="BE300">
        <f>IF($E300="","",IF(AND(COUNT($E$301:$E$304)&gt;=4,$C300=MAX($C$296:$C$304)),$C300,""))</f>
        <v>0</v>
      </c>
      <c r="BF300">
        <f>IF($E300="","",IF(AND(COUNT($E$301:$E$304)&gt;=4,$D300=MIN($D$296:$D$304)),$D300,""))</f>
        <v>0</v>
      </c>
      <c r="BG300">
        <f>IF($A300="","",$A300-WEEKDAY($A300,2)+1)</f>
        <v>0</v>
      </c>
      <c r="BH300">
        <f>IF($A300="","",IF($A299="",1,IF(BG300&lt;&gt;BG299,1,0)))</f>
        <v>0</v>
      </c>
      <c r="BI300">
        <f>IF($A300="","",IF($A301="",1,IF(BG301&lt;&gt;BG300,1,0)))</f>
        <v>0</v>
      </c>
      <c r="BJ300">
        <f>IF($A300="","",IF(BH300=1,$B300,BJ299))</f>
        <v>0</v>
      </c>
      <c r="BK300">
        <f>IF($A300="","",IF(BH300=1,$C300,MAX($C300,BK299)))</f>
        <v>0</v>
      </c>
      <c r="BL300">
        <f>IF($A300="","",IF(BH300=1,$D300,MIN($D300,BL299)))</f>
        <v>0</v>
      </c>
      <c r="BM300">
        <f>IF($A300="","",IF(BI300=1,F300,""))</f>
        <v>0</v>
      </c>
      <c r="BN300">
        <f>IF($A300="","",DATE(YEAR($A300),MONTH($A300),1))</f>
        <v>0</v>
      </c>
      <c r="BO300">
        <f>IF($A300="","",IF($A299="",1,IF(BN300&lt;&gt;BN299,1,0)))</f>
        <v>0</v>
      </c>
      <c r="BP300">
        <f>IF($A300="","",IF($A301="",1,IF(BN301&lt;&gt;BN300,1,0)))</f>
        <v>0</v>
      </c>
      <c r="BQ300">
        <f>IF($A300="","",IF(BO300=1,$B300,BQ299))</f>
        <v>0</v>
      </c>
      <c r="BR300">
        <f>IF($A300="","",IF(BO300=1,$C300,MAX($C300,BR299)))</f>
        <v>0</v>
      </c>
      <c r="BS300">
        <f>IF($A300="","",IF(BO300=1,$D300,MIN($D300,BS299)))</f>
        <v>0</v>
      </c>
      <c r="BT300">
        <f>IF($A300="","",IF(BP300=1,F300,""))</f>
        <v>0</v>
      </c>
    </row>
    <row r="301" spans="1:72">
      <c r="A301" s="27">
        <f>IF(Data!$A301="","",Data!$A301)</f>
        <v>0</v>
      </c>
      <c r="B301">
        <f>IF(Data!$B301="","",Data!$B301)</f>
        <v>0</v>
      </c>
      <c r="C301">
        <f>IF(Data!$C301="","",Data!$C301)</f>
        <v>0</v>
      </c>
      <c r="D301">
        <f>IF(Data!$D301="","",Data!$D301)</f>
        <v>0</v>
      </c>
      <c r="E301">
        <f>IF(Data!$E301="","",Data!$E301)</f>
        <v>0</v>
      </c>
      <c r="F301">
        <f>IF($E301="","",N(F300)+1)</f>
        <v>0</v>
      </c>
      <c r="G301">
        <f>IF(OR($E301="",$E300=""),"",LN($E301/$E300))</f>
        <v>0</v>
      </c>
      <c r="H301">
        <f>IF($E301="","",IF($E300="",$E301,$E301*0.0952380952+H300*0.9047619048))</f>
        <v>0</v>
      </c>
      <c r="I301">
        <f>IF($E301="","",IF($E300="",$E301,$E301*0.0392156863+I300*0.9607843137))</f>
        <v>0</v>
      </c>
      <c r="J301">
        <f>IF($E301="","",IF($E300="",$E301,$E301*0.0198019802+J300*0.9801980198))</f>
        <v>0</v>
      </c>
      <c r="K301">
        <f>IF($E301="","",IF($E300="",$E301,$E301*0.0099502488+K300*0.9900497512))</f>
        <v>0</v>
      </c>
      <c r="L301">
        <f>IF(OR($E301="",$E300=""),"",MAX($E301-$E300,0))</f>
        <v>0</v>
      </c>
      <c r="M301">
        <f>IF(OR($E301="",$E300=""),"",MAX($E300-$E301,0))</f>
        <v>0</v>
      </c>
      <c r="N301">
        <f>IF(COUNT($E$2:$E301)&lt;15,"",IF(AVERAGE($M$288:$M$301)=0,100,100-100/(1+AVERAGE($L$288:$L$301)/AVERAGE($M$288:$M$301))))</f>
        <v>0</v>
      </c>
      <c r="O301">
        <f>IF($E301="","",IF($E300="",$E301,$E301*0.1538461538+O300*0.8461538462))</f>
        <v>0</v>
      </c>
      <c r="P301">
        <f>IF($E301="","",IF($E300="",$E301,$E301*0.0740740741+P300*0.9259259259))</f>
        <v>0</v>
      </c>
      <c r="Q301">
        <f>IF(OR(O301="",P301=""),"",O301-P301)</f>
        <v>0</v>
      </c>
      <c r="R301">
        <f>IF(Q301="","",IF(R300="",Q301,Q301*0.2000000000+R300*0.8000000000))</f>
        <v>0</v>
      </c>
      <c r="S301">
        <f>IF(OR(Q301="",R301=""),"",Q301-R301)</f>
        <v>0</v>
      </c>
      <c r="T301">
        <f>IF(COUNT($E$2:$E301)&lt;14,"",MAX($C$288:$C$301))</f>
        <v>0</v>
      </c>
      <c r="U301">
        <f>IF(COUNT($E$2:$E301)&lt;14,"",MIN($D$288:$D$301))</f>
        <v>0</v>
      </c>
      <c r="V301">
        <f>IF(OR(T301="",U301="",T301=U301),"",100*($E301-U301)/(T301-U301))</f>
        <v>0</v>
      </c>
      <c r="W301">
        <f>IF(COUNT($V$299:$V$301)&lt;3,"",AVERAGE($V$299:$V$301))</f>
        <v>0</v>
      </c>
      <c r="X301">
        <f>IF(COUNT($N$288:$N$301)&lt;14,"",MIN($N$288:$N$301))</f>
        <v>0</v>
      </c>
      <c r="Y301">
        <f>IF(COUNT($N$288:$N$301)&lt;14,"",MAX($N$288:$N$301))</f>
        <v>0</v>
      </c>
      <c r="Z301">
        <f>IF(OR(N301="",X301="",Y301="",Y301=X301),"",100*(N301-X301)/(Y301-X301))</f>
        <v>0</v>
      </c>
      <c r="AA301">
        <f>IF(COUNT($Z$299:$Z$301)&lt;3,"",AVERAGE($Z$299:$Z$301))</f>
        <v>0</v>
      </c>
      <c r="AB301">
        <f>IF(COUNT($AA$299:$AA$301)&lt;3,"",AVERAGE($AA$299:$AA$301))</f>
        <v>0</v>
      </c>
      <c r="AC301">
        <f>IF($E301="","",MAX($C301-$D301,ABS($C301-$E300),ABS($D301-$E300)))</f>
        <v>0</v>
      </c>
      <c r="AD301">
        <f>IF(COUNT($E$2:$E301)&lt;15,"",AVERAGE($AC$288:$AC$301))</f>
        <v>0</v>
      </c>
      <c r="AE301">
        <f>IF(OR($E301="",$E300=""),"",IF(AND(($C301-$C300)&gt;($D300-$D301),($C301-$C300)&gt;0),$C301-$C300,0))</f>
        <v>0</v>
      </c>
      <c r="AF301">
        <f>IF(OR($E301="",$E300=""),"",IF(AND(($D300-$D301)&gt;($C301-$C300),($D300-$D301)&gt;0),$D300-$D301,0))</f>
        <v>0</v>
      </c>
      <c r="AG301">
        <f>IF(COUNT($E$2:$E301)&lt;15,"",IF(SUM($AC$288:$AC$301)=0,0,100*SUM($AE$288:$AE$301)/SUM($AC$288:$AC$301)))</f>
        <v>0</v>
      </c>
      <c r="AH301">
        <f>IF(COUNT($E$2:$E301)&lt;15,"",IF(SUM($AC$288:$AC$301)=0,0,100*SUM($AF$288:$AF$301)/SUM($AC$288:$AC$301)))</f>
        <v>0</v>
      </c>
      <c r="AI301">
        <f>IF(OR(AG301="",AH301=""),"",IF((AG301+AH301)=0,0,100*ABS(AG301-AH301)/(AG301+AH301)))</f>
        <v>0</v>
      </c>
      <c r="AJ301">
        <f>IF(COUNT($AI$288:$AI$301)&lt;14,"",AVERAGE($AI$288:$AI$301))</f>
        <v>0</v>
      </c>
      <c r="AK301">
        <f>IF(COUNT($E$2:$E301)&lt;20,"",AVERAGE($E$282:$E$301))</f>
        <v>0</v>
      </c>
      <c r="AL301">
        <f>IF(COUNT($E$2:$E301)&lt;20,"",STDEVP($E$282:$E$301))</f>
        <v>0</v>
      </c>
      <c r="AM301">
        <f>IF(AK301="","",AK301+2*AL301)</f>
        <v>0</v>
      </c>
      <c r="AN301">
        <f>IF(AK301="","",AK301-2*AL301)</f>
        <v>0</v>
      </c>
      <c r="AO301">
        <f>IF(OR(AM301="",AN301="",AM301=AN301),"",($E301-AN301)/(AM301-AN301))</f>
        <v>0</v>
      </c>
      <c r="AP301">
        <f>IF(OR(AM301="",AK301="",AK301=0),"",(AM301-AN301)/AK301)</f>
        <v>0</v>
      </c>
      <c r="AQ301">
        <f>IF(COUNT($E$2:$E301)&lt;20,"",MAX($C$282:$C$301))</f>
        <v>0</v>
      </c>
      <c r="AR301">
        <f>IF(COUNT($E$2:$E301)&lt;20,"",MIN($D$282:$D$301))</f>
        <v>0</v>
      </c>
      <c r="AS301">
        <f>IF(OR(AQ301="",AR301=""),"",(AQ301+AR301)/2)</f>
        <v>0</v>
      </c>
      <c r="AT301">
        <f>IF(COUNT($G$282:$G$301)&lt;20,"",STDEV($G$282:$G$301)*SQRT(252))</f>
        <v>0</v>
      </c>
      <c r="AU301">
        <f>IF(COUNT($E$2:$E301)&lt;9,"",(MAX($C$293:$C$301)+MIN($D$293:$D$301))/2)</f>
        <v>0</v>
      </c>
      <c r="AV301">
        <f>IF(COUNT($E$2:$E301)&lt;26,"",(MAX($C$276:$C$301)+MIN($D$276:$D$301))/2)</f>
        <v>0</v>
      </c>
      <c r="AW301">
        <f>IF(OR(AU301="",AV301=""),"",(AU301+AV301)/2)</f>
        <v>0</v>
      </c>
      <c r="AX301">
        <f>IF(COUNT($E$2:$E301)&lt;52,"",(MAX($C$250:$C$301)+MIN($D$250:$D$301))/2)</f>
        <v>0</v>
      </c>
      <c r="AY301">
        <f>IF(COUNT($E$2:$E301)&lt;20,"",MAX($C$202:$C$301))</f>
        <v>0</v>
      </c>
      <c r="AZ301">
        <f>IF(COUNT($E$2:$E301)&lt;20,"",MIN($D$202:$D$301))</f>
        <v>0</v>
      </c>
      <c r="BA301">
        <f>IF(COUNT($E$2:$E301)&lt;20,"",SLOPE($E$202:$E$301,$F$202:$F$301))</f>
        <v>0</v>
      </c>
      <c r="BB301">
        <f>IF(COUNT($E$2:$E301)&lt;20,"",INTERCEPT($E$202:$E$301,$F$202:$F$301))</f>
        <v>0</v>
      </c>
      <c r="BC301">
        <f>IF(OR(BA301="",BB301=""),"",BB301+BA301*F301)</f>
        <v>0</v>
      </c>
      <c r="BD301">
        <f>IF(COUNT($E$2:$E301)&lt;20,"",STEYX($E$202:$E$301,$F$202:$F$301))</f>
        <v>0</v>
      </c>
      <c r="BE301">
        <f>IF($E301="","",IF(AND(COUNT($E$302:$E$305)&gt;=4,$C301=MAX($C$297:$C$305)),$C301,""))</f>
        <v>0</v>
      </c>
      <c r="BF301">
        <f>IF($E301="","",IF(AND(COUNT($E$302:$E$305)&gt;=4,$D301=MIN($D$297:$D$305)),$D301,""))</f>
        <v>0</v>
      </c>
      <c r="BG301">
        <f>IF($A301="","",$A301-WEEKDAY($A301,2)+1)</f>
        <v>0</v>
      </c>
      <c r="BH301">
        <f>IF($A301="","",IF($A300="",1,IF(BG301&lt;&gt;BG300,1,0)))</f>
        <v>0</v>
      </c>
      <c r="BI301">
        <f>IF($A301="","",IF($A302="",1,IF(BG302&lt;&gt;BG301,1,0)))</f>
        <v>0</v>
      </c>
      <c r="BJ301">
        <f>IF($A301="","",IF(BH301=1,$B301,BJ300))</f>
        <v>0</v>
      </c>
      <c r="BK301">
        <f>IF($A301="","",IF(BH301=1,$C301,MAX($C301,BK300)))</f>
        <v>0</v>
      </c>
      <c r="BL301">
        <f>IF($A301="","",IF(BH301=1,$D301,MIN($D301,BL300)))</f>
        <v>0</v>
      </c>
      <c r="BM301">
        <f>IF($A301="","",IF(BI301=1,F301,""))</f>
        <v>0</v>
      </c>
      <c r="BN301">
        <f>IF($A301="","",DATE(YEAR($A301),MONTH($A301),1))</f>
        <v>0</v>
      </c>
      <c r="BO301">
        <f>IF($A301="","",IF($A300="",1,IF(BN301&lt;&gt;BN300,1,0)))</f>
        <v>0</v>
      </c>
      <c r="BP301">
        <f>IF($A301="","",IF($A302="",1,IF(BN302&lt;&gt;BN301,1,0)))</f>
        <v>0</v>
      </c>
      <c r="BQ301">
        <f>IF($A301="","",IF(BO301=1,$B301,BQ300))</f>
        <v>0</v>
      </c>
      <c r="BR301">
        <f>IF($A301="","",IF(BO301=1,$C301,MAX($C301,BR300)))</f>
        <v>0</v>
      </c>
      <c r="BS301">
        <f>IF($A301="","",IF(BO301=1,$D301,MIN($D301,BS300)))</f>
        <v>0</v>
      </c>
      <c r="BT301">
        <f>IF($A301="","",IF(BP301=1,F301,""))</f>
        <v>0</v>
      </c>
    </row>
    <row r="302" spans="1:72">
      <c r="A302" s="27">
        <f>IF(Data!$A302="","",Data!$A302)</f>
        <v>0</v>
      </c>
      <c r="B302">
        <f>IF(Data!$B302="","",Data!$B302)</f>
        <v>0</v>
      </c>
      <c r="C302">
        <f>IF(Data!$C302="","",Data!$C302)</f>
        <v>0</v>
      </c>
      <c r="D302">
        <f>IF(Data!$D302="","",Data!$D302)</f>
        <v>0</v>
      </c>
      <c r="E302">
        <f>IF(Data!$E302="","",Data!$E302)</f>
        <v>0</v>
      </c>
      <c r="F302">
        <f>IF($E302="","",N(F301)+1)</f>
        <v>0</v>
      </c>
      <c r="G302">
        <f>IF(OR($E302="",$E301=""),"",LN($E302/$E301))</f>
        <v>0</v>
      </c>
      <c r="H302">
        <f>IF($E302="","",IF($E301="",$E302,$E302*0.0952380952+H301*0.9047619048))</f>
        <v>0</v>
      </c>
      <c r="I302">
        <f>IF($E302="","",IF($E301="",$E302,$E302*0.0392156863+I301*0.9607843137))</f>
        <v>0</v>
      </c>
      <c r="J302">
        <f>IF($E302="","",IF($E301="",$E302,$E302*0.0198019802+J301*0.9801980198))</f>
        <v>0</v>
      </c>
      <c r="K302">
        <f>IF($E302="","",IF($E301="",$E302,$E302*0.0099502488+K301*0.9900497512))</f>
        <v>0</v>
      </c>
      <c r="L302">
        <f>IF(OR($E302="",$E301=""),"",MAX($E302-$E301,0))</f>
        <v>0</v>
      </c>
      <c r="M302">
        <f>IF(OR($E302="",$E301=""),"",MAX($E301-$E302,0))</f>
        <v>0</v>
      </c>
      <c r="N302">
        <f>IF(COUNT($E$2:$E302)&lt;15,"",IF(AVERAGE($M$289:$M$302)=0,100,100-100/(1+AVERAGE($L$289:$L$302)/AVERAGE($M$289:$M$302))))</f>
        <v>0</v>
      </c>
      <c r="O302">
        <f>IF($E302="","",IF($E301="",$E302,$E302*0.1538461538+O301*0.8461538462))</f>
        <v>0</v>
      </c>
      <c r="P302">
        <f>IF($E302="","",IF($E301="",$E302,$E302*0.0740740741+P301*0.9259259259))</f>
        <v>0</v>
      </c>
      <c r="Q302">
        <f>IF(OR(O302="",P302=""),"",O302-P302)</f>
        <v>0</v>
      </c>
      <c r="R302">
        <f>IF(Q302="","",IF(R301="",Q302,Q302*0.2000000000+R301*0.8000000000))</f>
        <v>0</v>
      </c>
      <c r="S302">
        <f>IF(OR(Q302="",R302=""),"",Q302-R302)</f>
        <v>0</v>
      </c>
      <c r="T302">
        <f>IF(COUNT($E$2:$E302)&lt;14,"",MAX($C$289:$C$302))</f>
        <v>0</v>
      </c>
      <c r="U302">
        <f>IF(COUNT($E$2:$E302)&lt;14,"",MIN($D$289:$D$302))</f>
        <v>0</v>
      </c>
      <c r="V302">
        <f>IF(OR(T302="",U302="",T302=U302),"",100*($E302-U302)/(T302-U302))</f>
        <v>0</v>
      </c>
      <c r="W302">
        <f>IF(COUNT($V$300:$V$302)&lt;3,"",AVERAGE($V$300:$V$302))</f>
        <v>0</v>
      </c>
      <c r="X302">
        <f>IF(COUNT($N$289:$N$302)&lt;14,"",MIN($N$289:$N$302))</f>
        <v>0</v>
      </c>
      <c r="Y302">
        <f>IF(COUNT($N$289:$N$302)&lt;14,"",MAX($N$289:$N$302))</f>
        <v>0</v>
      </c>
      <c r="Z302">
        <f>IF(OR(N302="",X302="",Y302="",Y302=X302),"",100*(N302-X302)/(Y302-X302))</f>
        <v>0</v>
      </c>
      <c r="AA302">
        <f>IF(COUNT($Z$300:$Z$302)&lt;3,"",AVERAGE($Z$300:$Z$302))</f>
        <v>0</v>
      </c>
      <c r="AB302">
        <f>IF(COUNT($AA$300:$AA$302)&lt;3,"",AVERAGE($AA$300:$AA$302))</f>
        <v>0</v>
      </c>
      <c r="AC302">
        <f>IF($E302="","",MAX($C302-$D302,ABS($C302-$E301),ABS($D302-$E301)))</f>
        <v>0</v>
      </c>
      <c r="AD302">
        <f>IF(COUNT($E$2:$E302)&lt;15,"",AVERAGE($AC$289:$AC$302))</f>
        <v>0</v>
      </c>
      <c r="AE302">
        <f>IF(OR($E302="",$E301=""),"",IF(AND(($C302-$C301)&gt;($D301-$D302),($C302-$C301)&gt;0),$C302-$C301,0))</f>
        <v>0</v>
      </c>
      <c r="AF302">
        <f>IF(OR($E302="",$E301=""),"",IF(AND(($D301-$D302)&gt;($C302-$C301),($D301-$D302)&gt;0),$D301-$D302,0))</f>
        <v>0</v>
      </c>
      <c r="AG302">
        <f>IF(COUNT($E$2:$E302)&lt;15,"",IF(SUM($AC$289:$AC$302)=0,0,100*SUM($AE$289:$AE$302)/SUM($AC$289:$AC$302)))</f>
        <v>0</v>
      </c>
      <c r="AH302">
        <f>IF(COUNT($E$2:$E302)&lt;15,"",IF(SUM($AC$289:$AC$302)=0,0,100*SUM($AF$289:$AF$302)/SUM($AC$289:$AC$302)))</f>
        <v>0</v>
      </c>
      <c r="AI302">
        <f>IF(OR(AG302="",AH302=""),"",IF((AG302+AH302)=0,0,100*ABS(AG302-AH302)/(AG302+AH302)))</f>
        <v>0</v>
      </c>
      <c r="AJ302">
        <f>IF(COUNT($AI$289:$AI$302)&lt;14,"",AVERAGE($AI$289:$AI$302))</f>
        <v>0</v>
      </c>
      <c r="AK302">
        <f>IF(COUNT($E$2:$E302)&lt;20,"",AVERAGE($E$283:$E$302))</f>
        <v>0</v>
      </c>
      <c r="AL302">
        <f>IF(COUNT($E$2:$E302)&lt;20,"",STDEVP($E$283:$E$302))</f>
        <v>0</v>
      </c>
      <c r="AM302">
        <f>IF(AK302="","",AK302+2*AL302)</f>
        <v>0</v>
      </c>
      <c r="AN302">
        <f>IF(AK302="","",AK302-2*AL302)</f>
        <v>0</v>
      </c>
      <c r="AO302">
        <f>IF(OR(AM302="",AN302="",AM302=AN302),"",($E302-AN302)/(AM302-AN302))</f>
        <v>0</v>
      </c>
      <c r="AP302">
        <f>IF(OR(AM302="",AK302="",AK302=0),"",(AM302-AN302)/AK302)</f>
        <v>0</v>
      </c>
      <c r="AQ302">
        <f>IF(COUNT($E$2:$E302)&lt;20,"",MAX($C$283:$C$302))</f>
        <v>0</v>
      </c>
      <c r="AR302">
        <f>IF(COUNT($E$2:$E302)&lt;20,"",MIN($D$283:$D$302))</f>
        <v>0</v>
      </c>
      <c r="AS302">
        <f>IF(OR(AQ302="",AR302=""),"",(AQ302+AR302)/2)</f>
        <v>0</v>
      </c>
      <c r="AT302">
        <f>IF(COUNT($G$283:$G$302)&lt;20,"",STDEV($G$283:$G$302)*SQRT(252))</f>
        <v>0</v>
      </c>
      <c r="AU302">
        <f>IF(COUNT($E$2:$E302)&lt;9,"",(MAX($C$294:$C$302)+MIN($D$294:$D$302))/2)</f>
        <v>0</v>
      </c>
      <c r="AV302">
        <f>IF(COUNT($E$2:$E302)&lt;26,"",(MAX($C$277:$C$302)+MIN($D$277:$D$302))/2)</f>
        <v>0</v>
      </c>
      <c r="AW302">
        <f>IF(OR(AU302="",AV302=""),"",(AU302+AV302)/2)</f>
        <v>0</v>
      </c>
      <c r="AX302">
        <f>IF(COUNT($E$2:$E302)&lt;52,"",(MAX($C$251:$C$302)+MIN($D$251:$D$302))/2)</f>
        <v>0</v>
      </c>
      <c r="AY302">
        <f>IF(COUNT($E$2:$E302)&lt;20,"",MAX($C$203:$C$302))</f>
        <v>0</v>
      </c>
      <c r="AZ302">
        <f>IF(COUNT($E$2:$E302)&lt;20,"",MIN($D$203:$D$302))</f>
        <v>0</v>
      </c>
      <c r="BA302">
        <f>IF(COUNT($E$2:$E302)&lt;20,"",SLOPE($E$203:$E$302,$F$203:$F$302))</f>
        <v>0</v>
      </c>
      <c r="BB302">
        <f>IF(COUNT($E$2:$E302)&lt;20,"",INTERCEPT($E$203:$E$302,$F$203:$F$302))</f>
        <v>0</v>
      </c>
      <c r="BC302">
        <f>IF(OR(BA302="",BB302=""),"",BB302+BA302*F302)</f>
        <v>0</v>
      </c>
      <c r="BD302">
        <f>IF(COUNT($E$2:$E302)&lt;20,"",STEYX($E$203:$E$302,$F$203:$F$302))</f>
        <v>0</v>
      </c>
      <c r="BE302">
        <f>IF($E302="","",IF(AND(COUNT($E$303:$E$306)&gt;=4,$C302=MAX($C$298:$C$306)),$C302,""))</f>
        <v>0</v>
      </c>
      <c r="BF302">
        <f>IF($E302="","",IF(AND(COUNT($E$303:$E$306)&gt;=4,$D302=MIN($D$298:$D$306)),$D302,""))</f>
        <v>0</v>
      </c>
      <c r="BG302">
        <f>IF($A302="","",$A302-WEEKDAY($A302,2)+1)</f>
        <v>0</v>
      </c>
      <c r="BH302">
        <f>IF($A302="","",IF($A301="",1,IF(BG302&lt;&gt;BG301,1,0)))</f>
        <v>0</v>
      </c>
      <c r="BI302">
        <f>IF($A302="","",IF($A303="",1,IF(BG303&lt;&gt;BG302,1,0)))</f>
        <v>0</v>
      </c>
      <c r="BJ302">
        <f>IF($A302="","",IF(BH302=1,$B302,BJ301))</f>
        <v>0</v>
      </c>
      <c r="BK302">
        <f>IF($A302="","",IF(BH302=1,$C302,MAX($C302,BK301)))</f>
        <v>0</v>
      </c>
      <c r="BL302">
        <f>IF($A302="","",IF(BH302=1,$D302,MIN($D302,BL301)))</f>
        <v>0</v>
      </c>
      <c r="BM302">
        <f>IF($A302="","",IF(BI302=1,F302,""))</f>
        <v>0</v>
      </c>
      <c r="BN302">
        <f>IF($A302="","",DATE(YEAR($A302),MONTH($A302),1))</f>
        <v>0</v>
      </c>
      <c r="BO302">
        <f>IF($A302="","",IF($A301="",1,IF(BN302&lt;&gt;BN301,1,0)))</f>
        <v>0</v>
      </c>
      <c r="BP302">
        <f>IF($A302="","",IF($A303="",1,IF(BN303&lt;&gt;BN302,1,0)))</f>
        <v>0</v>
      </c>
      <c r="BQ302">
        <f>IF($A302="","",IF(BO302=1,$B302,BQ301))</f>
        <v>0</v>
      </c>
      <c r="BR302">
        <f>IF($A302="","",IF(BO302=1,$C302,MAX($C302,BR301)))</f>
        <v>0</v>
      </c>
      <c r="BS302">
        <f>IF($A302="","",IF(BO302=1,$D302,MIN($D302,BS301)))</f>
        <v>0</v>
      </c>
      <c r="BT302">
        <f>IF($A302="","",IF(BP302=1,F302,""))</f>
        <v>0</v>
      </c>
    </row>
    <row r="303" spans="1:72">
      <c r="A303" s="27">
        <f>IF(Data!$A303="","",Data!$A303)</f>
        <v>0</v>
      </c>
      <c r="B303">
        <f>IF(Data!$B303="","",Data!$B303)</f>
        <v>0</v>
      </c>
      <c r="C303">
        <f>IF(Data!$C303="","",Data!$C303)</f>
        <v>0</v>
      </c>
      <c r="D303">
        <f>IF(Data!$D303="","",Data!$D303)</f>
        <v>0</v>
      </c>
      <c r="E303">
        <f>IF(Data!$E303="","",Data!$E303)</f>
        <v>0</v>
      </c>
      <c r="F303">
        <f>IF($E303="","",N(F302)+1)</f>
        <v>0</v>
      </c>
      <c r="G303">
        <f>IF(OR($E303="",$E302=""),"",LN($E303/$E302))</f>
        <v>0</v>
      </c>
      <c r="H303">
        <f>IF($E303="","",IF($E302="",$E303,$E303*0.0952380952+H302*0.9047619048))</f>
        <v>0</v>
      </c>
      <c r="I303">
        <f>IF($E303="","",IF($E302="",$E303,$E303*0.0392156863+I302*0.9607843137))</f>
        <v>0</v>
      </c>
      <c r="J303">
        <f>IF($E303="","",IF($E302="",$E303,$E303*0.0198019802+J302*0.9801980198))</f>
        <v>0</v>
      </c>
      <c r="K303">
        <f>IF($E303="","",IF($E302="",$E303,$E303*0.0099502488+K302*0.9900497512))</f>
        <v>0</v>
      </c>
      <c r="L303">
        <f>IF(OR($E303="",$E302=""),"",MAX($E303-$E302,0))</f>
        <v>0</v>
      </c>
      <c r="M303">
        <f>IF(OR($E303="",$E302=""),"",MAX($E302-$E303,0))</f>
        <v>0</v>
      </c>
      <c r="N303">
        <f>IF(COUNT($E$2:$E303)&lt;15,"",IF(AVERAGE($M$290:$M$303)=0,100,100-100/(1+AVERAGE($L$290:$L$303)/AVERAGE($M$290:$M$303))))</f>
        <v>0</v>
      </c>
      <c r="O303">
        <f>IF($E303="","",IF($E302="",$E303,$E303*0.1538461538+O302*0.8461538462))</f>
        <v>0</v>
      </c>
      <c r="P303">
        <f>IF($E303="","",IF($E302="",$E303,$E303*0.0740740741+P302*0.9259259259))</f>
        <v>0</v>
      </c>
      <c r="Q303">
        <f>IF(OR(O303="",P303=""),"",O303-P303)</f>
        <v>0</v>
      </c>
      <c r="R303">
        <f>IF(Q303="","",IF(R302="",Q303,Q303*0.2000000000+R302*0.8000000000))</f>
        <v>0</v>
      </c>
      <c r="S303">
        <f>IF(OR(Q303="",R303=""),"",Q303-R303)</f>
        <v>0</v>
      </c>
      <c r="T303">
        <f>IF(COUNT($E$2:$E303)&lt;14,"",MAX($C$290:$C$303))</f>
        <v>0</v>
      </c>
      <c r="U303">
        <f>IF(COUNT($E$2:$E303)&lt;14,"",MIN($D$290:$D$303))</f>
        <v>0</v>
      </c>
      <c r="V303">
        <f>IF(OR(T303="",U303="",T303=U303),"",100*($E303-U303)/(T303-U303))</f>
        <v>0</v>
      </c>
      <c r="W303">
        <f>IF(COUNT($V$301:$V$303)&lt;3,"",AVERAGE($V$301:$V$303))</f>
        <v>0</v>
      </c>
      <c r="X303">
        <f>IF(COUNT($N$290:$N$303)&lt;14,"",MIN($N$290:$N$303))</f>
        <v>0</v>
      </c>
      <c r="Y303">
        <f>IF(COUNT($N$290:$N$303)&lt;14,"",MAX($N$290:$N$303))</f>
        <v>0</v>
      </c>
      <c r="Z303">
        <f>IF(OR(N303="",X303="",Y303="",Y303=X303),"",100*(N303-X303)/(Y303-X303))</f>
        <v>0</v>
      </c>
      <c r="AA303">
        <f>IF(COUNT($Z$301:$Z$303)&lt;3,"",AVERAGE($Z$301:$Z$303))</f>
        <v>0</v>
      </c>
      <c r="AB303">
        <f>IF(COUNT($AA$301:$AA$303)&lt;3,"",AVERAGE($AA$301:$AA$303))</f>
        <v>0</v>
      </c>
      <c r="AC303">
        <f>IF($E303="","",MAX($C303-$D303,ABS($C303-$E302),ABS($D303-$E302)))</f>
        <v>0</v>
      </c>
      <c r="AD303">
        <f>IF(COUNT($E$2:$E303)&lt;15,"",AVERAGE($AC$290:$AC$303))</f>
        <v>0</v>
      </c>
      <c r="AE303">
        <f>IF(OR($E303="",$E302=""),"",IF(AND(($C303-$C302)&gt;($D302-$D303),($C303-$C302)&gt;0),$C303-$C302,0))</f>
        <v>0</v>
      </c>
      <c r="AF303">
        <f>IF(OR($E303="",$E302=""),"",IF(AND(($D302-$D303)&gt;($C303-$C302),($D302-$D303)&gt;0),$D302-$D303,0))</f>
        <v>0</v>
      </c>
      <c r="AG303">
        <f>IF(COUNT($E$2:$E303)&lt;15,"",IF(SUM($AC$290:$AC$303)=0,0,100*SUM($AE$290:$AE$303)/SUM($AC$290:$AC$303)))</f>
        <v>0</v>
      </c>
      <c r="AH303">
        <f>IF(COUNT($E$2:$E303)&lt;15,"",IF(SUM($AC$290:$AC$303)=0,0,100*SUM($AF$290:$AF$303)/SUM($AC$290:$AC$303)))</f>
        <v>0</v>
      </c>
      <c r="AI303">
        <f>IF(OR(AG303="",AH303=""),"",IF((AG303+AH303)=0,0,100*ABS(AG303-AH303)/(AG303+AH303)))</f>
        <v>0</v>
      </c>
      <c r="AJ303">
        <f>IF(COUNT($AI$290:$AI$303)&lt;14,"",AVERAGE($AI$290:$AI$303))</f>
        <v>0</v>
      </c>
      <c r="AK303">
        <f>IF(COUNT($E$2:$E303)&lt;20,"",AVERAGE($E$284:$E$303))</f>
        <v>0</v>
      </c>
      <c r="AL303">
        <f>IF(COUNT($E$2:$E303)&lt;20,"",STDEVP($E$284:$E$303))</f>
        <v>0</v>
      </c>
      <c r="AM303">
        <f>IF(AK303="","",AK303+2*AL303)</f>
        <v>0</v>
      </c>
      <c r="AN303">
        <f>IF(AK303="","",AK303-2*AL303)</f>
        <v>0</v>
      </c>
      <c r="AO303">
        <f>IF(OR(AM303="",AN303="",AM303=AN303),"",($E303-AN303)/(AM303-AN303))</f>
        <v>0</v>
      </c>
      <c r="AP303">
        <f>IF(OR(AM303="",AK303="",AK303=0),"",(AM303-AN303)/AK303)</f>
        <v>0</v>
      </c>
      <c r="AQ303">
        <f>IF(COUNT($E$2:$E303)&lt;20,"",MAX($C$284:$C$303))</f>
        <v>0</v>
      </c>
      <c r="AR303">
        <f>IF(COUNT($E$2:$E303)&lt;20,"",MIN($D$284:$D$303))</f>
        <v>0</v>
      </c>
      <c r="AS303">
        <f>IF(OR(AQ303="",AR303=""),"",(AQ303+AR303)/2)</f>
        <v>0</v>
      </c>
      <c r="AT303">
        <f>IF(COUNT($G$284:$G$303)&lt;20,"",STDEV($G$284:$G$303)*SQRT(252))</f>
        <v>0</v>
      </c>
      <c r="AU303">
        <f>IF(COUNT($E$2:$E303)&lt;9,"",(MAX($C$295:$C$303)+MIN($D$295:$D$303))/2)</f>
        <v>0</v>
      </c>
      <c r="AV303">
        <f>IF(COUNT($E$2:$E303)&lt;26,"",(MAX($C$278:$C$303)+MIN($D$278:$D$303))/2)</f>
        <v>0</v>
      </c>
      <c r="AW303">
        <f>IF(OR(AU303="",AV303=""),"",(AU303+AV303)/2)</f>
        <v>0</v>
      </c>
      <c r="AX303">
        <f>IF(COUNT($E$2:$E303)&lt;52,"",(MAX($C$252:$C$303)+MIN($D$252:$D$303))/2)</f>
        <v>0</v>
      </c>
      <c r="AY303">
        <f>IF(COUNT($E$2:$E303)&lt;20,"",MAX($C$204:$C$303))</f>
        <v>0</v>
      </c>
      <c r="AZ303">
        <f>IF(COUNT($E$2:$E303)&lt;20,"",MIN($D$204:$D$303))</f>
        <v>0</v>
      </c>
      <c r="BA303">
        <f>IF(COUNT($E$2:$E303)&lt;20,"",SLOPE($E$204:$E$303,$F$204:$F$303))</f>
        <v>0</v>
      </c>
      <c r="BB303">
        <f>IF(COUNT($E$2:$E303)&lt;20,"",INTERCEPT($E$204:$E$303,$F$204:$F$303))</f>
        <v>0</v>
      </c>
      <c r="BC303">
        <f>IF(OR(BA303="",BB303=""),"",BB303+BA303*F303)</f>
        <v>0</v>
      </c>
      <c r="BD303">
        <f>IF(COUNT($E$2:$E303)&lt;20,"",STEYX($E$204:$E$303,$F$204:$F$303))</f>
        <v>0</v>
      </c>
      <c r="BE303">
        <f>IF($E303="","",IF(AND(COUNT($E$304:$E$307)&gt;=4,$C303=MAX($C$299:$C$307)),$C303,""))</f>
        <v>0</v>
      </c>
      <c r="BF303">
        <f>IF($E303="","",IF(AND(COUNT($E$304:$E$307)&gt;=4,$D303=MIN($D$299:$D$307)),$D303,""))</f>
        <v>0</v>
      </c>
      <c r="BG303">
        <f>IF($A303="","",$A303-WEEKDAY($A303,2)+1)</f>
        <v>0</v>
      </c>
      <c r="BH303">
        <f>IF($A303="","",IF($A302="",1,IF(BG303&lt;&gt;BG302,1,0)))</f>
        <v>0</v>
      </c>
      <c r="BI303">
        <f>IF($A303="","",IF($A304="",1,IF(BG304&lt;&gt;BG303,1,0)))</f>
        <v>0</v>
      </c>
      <c r="BJ303">
        <f>IF($A303="","",IF(BH303=1,$B303,BJ302))</f>
        <v>0</v>
      </c>
      <c r="BK303">
        <f>IF($A303="","",IF(BH303=1,$C303,MAX($C303,BK302)))</f>
        <v>0</v>
      </c>
      <c r="BL303">
        <f>IF($A303="","",IF(BH303=1,$D303,MIN($D303,BL302)))</f>
        <v>0</v>
      </c>
      <c r="BM303">
        <f>IF($A303="","",IF(BI303=1,F303,""))</f>
        <v>0</v>
      </c>
      <c r="BN303">
        <f>IF($A303="","",DATE(YEAR($A303),MONTH($A303),1))</f>
        <v>0</v>
      </c>
      <c r="BO303">
        <f>IF($A303="","",IF($A302="",1,IF(BN303&lt;&gt;BN302,1,0)))</f>
        <v>0</v>
      </c>
      <c r="BP303">
        <f>IF($A303="","",IF($A304="",1,IF(BN304&lt;&gt;BN303,1,0)))</f>
        <v>0</v>
      </c>
      <c r="BQ303">
        <f>IF($A303="","",IF(BO303=1,$B303,BQ302))</f>
        <v>0</v>
      </c>
      <c r="BR303">
        <f>IF($A303="","",IF(BO303=1,$C303,MAX($C303,BR302)))</f>
        <v>0</v>
      </c>
      <c r="BS303">
        <f>IF($A303="","",IF(BO303=1,$D303,MIN($D303,BS302)))</f>
        <v>0</v>
      </c>
      <c r="BT303">
        <f>IF($A303="","",IF(BP303=1,F303,""))</f>
        <v>0</v>
      </c>
    </row>
    <row r="304" spans="1:72">
      <c r="A304" s="27">
        <f>IF(Data!$A304="","",Data!$A304)</f>
        <v>0</v>
      </c>
      <c r="B304">
        <f>IF(Data!$B304="","",Data!$B304)</f>
        <v>0</v>
      </c>
      <c r="C304">
        <f>IF(Data!$C304="","",Data!$C304)</f>
        <v>0</v>
      </c>
      <c r="D304">
        <f>IF(Data!$D304="","",Data!$D304)</f>
        <v>0</v>
      </c>
      <c r="E304">
        <f>IF(Data!$E304="","",Data!$E304)</f>
        <v>0</v>
      </c>
      <c r="F304">
        <f>IF($E304="","",N(F303)+1)</f>
        <v>0</v>
      </c>
      <c r="G304">
        <f>IF(OR($E304="",$E303=""),"",LN($E304/$E303))</f>
        <v>0</v>
      </c>
      <c r="H304">
        <f>IF($E304="","",IF($E303="",$E304,$E304*0.0952380952+H303*0.9047619048))</f>
        <v>0</v>
      </c>
      <c r="I304">
        <f>IF($E304="","",IF($E303="",$E304,$E304*0.0392156863+I303*0.9607843137))</f>
        <v>0</v>
      </c>
      <c r="J304">
        <f>IF($E304="","",IF($E303="",$E304,$E304*0.0198019802+J303*0.9801980198))</f>
        <v>0</v>
      </c>
      <c r="K304">
        <f>IF($E304="","",IF($E303="",$E304,$E304*0.0099502488+K303*0.9900497512))</f>
        <v>0</v>
      </c>
      <c r="L304">
        <f>IF(OR($E304="",$E303=""),"",MAX($E304-$E303,0))</f>
        <v>0</v>
      </c>
      <c r="M304">
        <f>IF(OR($E304="",$E303=""),"",MAX($E303-$E304,0))</f>
        <v>0</v>
      </c>
      <c r="N304">
        <f>IF(COUNT($E$2:$E304)&lt;15,"",IF(AVERAGE($M$291:$M$304)=0,100,100-100/(1+AVERAGE($L$291:$L$304)/AVERAGE($M$291:$M$304))))</f>
        <v>0</v>
      </c>
      <c r="O304">
        <f>IF($E304="","",IF($E303="",$E304,$E304*0.1538461538+O303*0.8461538462))</f>
        <v>0</v>
      </c>
      <c r="P304">
        <f>IF($E304="","",IF($E303="",$E304,$E304*0.0740740741+P303*0.9259259259))</f>
        <v>0</v>
      </c>
      <c r="Q304">
        <f>IF(OR(O304="",P304=""),"",O304-P304)</f>
        <v>0</v>
      </c>
      <c r="R304">
        <f>IF(Q304="","",IF(R303="",Q304,Q304*0.2000000000+R303*0.8000000000))</f>
        <v>0</v>
      </c>
      <c r="S304">
        <f>IF(OR(Q304="",R304=""),"",Q304-R304)</f>
        <v>0</v>
      </c>
      <c r="T304">
        <f>IF(COUNT($E$2:$E304)&lt;14,"",MAX($C$291:$C$304))</f>
        <v>0</v>
      </c>
      <c r="U304">
        <f>IF(COUNT($E$2:$E304)&lt;14,"",MIN($D$291:$D$304))</f>
        <v>0</v>
      </c>
      <c r="V304">
        <f>IF(OR(T304="",U304="",T304=U304),"",100*($E304-U304)/(T304-U304))</f>
        <v>0</v>
      </c>
      <c r="W304">
        <f>IF(COUNT($V$302:$V$304)&lt;3,"",AVERAGE($V$302:$V$304))</f>
        <v>0</v>
      </c>
      <c r="X304">
        <f>IF(COUNT($N$291:$N$304)&lt;14,"",MIN($N$291:$N$304))</f>
        <v>0</v>
      </c>
      <c r="Y304">
        <f>IF(COUNT($N$291:$N$304)&lt;14,"",MAX($N$291:$N$304))</f>
        <v>0</v>
      </c>
      <c r="Z304">
        <f>IF(OR(N304="",X304="",Y304="",Y304=X304),"",100*(N304-X304)/(Y304-X304))</f>
        <v>0</v>
      </c>
      <c r="AA304">
        <f>IF(COUNT($Z$302:$Z$304)&lt;3,"",AVERAGE($Z$302:$Z$304))</f>
        <v>0</v>
      </c>
      <c r="AB304">
        <f>IF(COUNT($AA$302:$AA$304)&lt;3,"",AVERAGE($AA$302:$AA$304))</f>
        <v>0</v>
      </c>
      <c r="AC304">
        <f>IF($E304="","",MAX($C304-$D304,ABS($C304-$E303),ABS($D304-$E303)))</f>
        <v>0</v>
      </c>
      <c r="AD304">
        <f>IF(COUNT($E$2:$E304)&lt;15,"",AVERAGE($AC$291:$AC$304))</f>
        <v>0</v>
      </c>
      <c r="AE304">
        <f>IF(OR($E304="",$E303=""),"",IF(AND(($C304-$C303)&gt;($D303-$D304),($C304-$C303)&gt;0),$C304-$C303,0))</f>
        <v>0</v>
      </c>
      <c r="AF304">
        <f>IF(OR($E304="",$E303=""),"",IF(AND(($D303-$D304)&gt;($C304-$C303),($D303-$D304)&gt;0),$D303-$D304,0))</f>
        <v>0</v>
      </c>
      <c r="AG304">
        <f>IF(COUNT($E$2:$E304)&lt;15,"",IF(SUM($AC$291:$AC$304)=0,0,100*SUM($AE$291:$AE$304)/SUM($AC$291:$AC$304)))</f>
        <v>0</v>
      </c>
      <c r="AH304">
        <f>IF(COUNT($E$2:$E304)&lt;15,"",IF(SUM($AC$291:$AC$304)=0,0,100*SUM($AF$291:$AF$304)/SUM($AC$291:$AC$304)))</f>
        <v>0</v>
      </c>
      <c r="AI304">
        <f>IF(OR(AG304="",AH304=""),"",IF((AG304+AH304)=0,0,100*ABS(AG304-AH304)/(AG304+AH304)))</f>
        <v>0</v>
      </c>
      <c r="AJ304">
        <f>IF(COUNT($AI$291:$AI$304)&lt;14,"",AVERAGE($AI$291:$AI$304))</f>
        <v>0</v>
      </c>
      <c r="AK304">
        <f>IF(COUNT($E$2:$E304)&lt;20,"",AVERAGE($E$285:$E$304))</f>
        <v>0</v>
      </c>
      <c r="AL304">
        <f>IF(COUNT($E$2:$E304)&lt;20,"",STDEVP($E$285:$E$304))</f>
        <v>0</v>
      </c>
      <c r="AM304">
        <f>IF(AK304="","",AK304+2*AL304)</f>
        <v>0</v>
      </c>
      <c r="AN304">
        <f>IF(AK304="","",AK304-2*AL304)</f>
        <v>0</v>
      </c>
      <c r="AO304">
        <f>IF(OR(AM304="",AN304="",AM304=AN304),"",($E304-AN304)/(AM304-AN304))</f>
        <v>0</v>
      </c>
      <c r="AP304">
        <f>IF(OR(AM304="",AK304="",AK304=0),"",(AM304-AN304)/AK304)</f>
        <v>0</v>
      </c>
      <c r="AQ304">
        <f>IF(COUNT($E$2:$E304)&lt;20,"",MAX($C$285:$C$304))</f>
        <v>0</v>
      </c>
      <c r="AR304">
        <f>IF(COUNT($E$2:$E304)&lt;20,"",MIN($D$285:$D$304))</f>
        <v>0</v>
      </c>
      <c r="AS304">
        <f>IF(OR(AQ304="",AR304=""),"",(AQ304+AR304)/2)</f>
        <v>0</v>
      </c>
      <c r="AT304">
        <f>IF(COUNT($G$285:$G$304)&lt;20,"",STDEV($G$285:$G$304)*SQRT(252))</f>
        <v>0</v>
      </c>
      <c r="AU304">
        <f>IF(COUNT($E$2:$E304)&lt;9,"",(MAX($C$296:$C$304)+MIN($D$296:$D$304))/2)</f>
        <v>0</v>
      </c>
      <c r="AV304">
        <f>IF(COUNT($E$2:$E304)&lt;26,"",(MAX($C$279:$C$304)+MIN($D$279:$D$304))/2)</f>
        <v>0</v>
      </c>
      <c r="AW304">
        <f>IF(OR(AU304="",AV304=""),"",(AU304+AV304)/2)</f>
        <v>0</v>
      </c>
      <c r="AX304">
        <f>IF(COUNT($E$2:$E304)&lt;52,"",(MAX($C$253:$C$304)+MIN($D$253:$D$304))/2)</f>
        <v>0</v>
      </c>
      <c r="AY304">
        <f>IF(COUNT($E$2:$E304)&lt;20,"",MAX($C$205:$C$304))</f>
        <v>0</v>
      </c>
      <c r="AZ304">
        <f>IF(COUNT($E$2:$E304)&lt;20,"",MIN($D$205:$D$304))</f>
        <v>0</v>
      </c>
      <c r="BA304">
        <f>IF(COUNT($E$2:$E304)&lt;20,"",SLOPE($E$205:$E$304,$F$205:$F$304))</f>
        <v>0</v>
      </c>
      <c r="BB304">
        <f>IF(COUNT($E$2:$E304)&lt;20,"",INTERCEPT($E$205:$E$304,$F$205:$F$304))</f>
        <v>0</v>
      </c>
      <c r="BC304">
        <f>IF(OR(BA304="",BB304=""),"",BB304+BA304*F304)</f>
        <v>0</v>
      </c>
      <c r="BD304">
        <f>IF(COUNT($E$2:$E304)&lt;20,"",STEYX($E$205:$E$304,$F$205:$F$304))</f>
        <v>0</v>
      </c>
      <c r="BE304">
        <f>IF($E304="","",IF(AND(COUNT($E$305:$E$308)&gt;=4,$C304=MAX($C$300:$C$308)),$C304,""))</f>
        <v>0</v>
      </c>
      <c r="BF304">
        <f>IF($E304="","",IF(AND(COUNT($E$305:$E$308)&gt;=4,$D304=MIN($D$300:$D$308)),$D304,""))</f>
        <v>0</v>
      </c>
      <c r="BG304">
        <f>IF($A304="","",$A304-WEEKDAY($A304,2)+1)</f>
        <v>0</v>
      </c>
      <c r="BH304">
        <f>IF($A304="","",IF($A303="",1,IF(BG304&lt;&gt;BG303,1,0)))</f>
        <v>0</v>
      </c>
      <c r="BI304">
        <f>IF($A304="","",IF($A305="",1,IF(BG305&lt;&gt;BG304,1,0)))</f>
        <v>0</v>
      </c>
      <c r="BJ304">
        <f>IF($A304="","",IF(BH304=1,$B304,BJ303))</f>
        <v>0</v>
      </c>
      <c r="BK304">
        <f>IF($A304="","",IF(BH304=1,$C304,MAX($C304,BK303)))</f>
        <v>0</v>
      </c>
      <c r="BL304">
        <f>IF($A304="","",IF(BH304=1,$D304,MIN($D304,BL303)))</f>
        <v>0</v>
      </c>
      <c r="BM304">
        <f>IF($A304="","",IF(BI304=1,F304,""))</f>
        <v>0</v>
      </c>
      <c r="BN304">
        <f>IF($A304="","",DATE(YEAR($A304),MONTH($A304),1))</f>
        <v>0</v>
      </c>
      <c r="BO304">
        <f>IF($A304="","",IF($A303="",1,IF(BN304&lt;&gt;BN303,1,0)))</f>
        <v>0</v>
      </c>
      <c r="BP304">
        <f>IF($A304="","",IF($A305="",1,IF(BN305&lt;&gt;BN304,1,0)))</f>
        <v>0</v>
      </c>
      <c r="BQ304">
        <f>IF($A304="","",IF(BO304=1,$B304,BQ303))</f>
        <v>0</v>
      </c>
      <c r="BR304">
        <f>IF($A304="","",IF(BO304=1,$C304,MAX($C304,BR303)))</f>
        <v>0</v>
      </c>
      <c r="BS304">
        <f>IF($A304="","",IF(BO304=1,$D304,MIN($D304,BS303)))</f>
        <v>0</v>
      </c>
      <c r="BT304">
        <f>IF($A304="","",IF(BP304=1,F304,""))</f>
        <v>0</v>
      </c>
    </row>
    <row r="305" spans="1:72">
      <c r="A305" s="27">
        <f>IF(Data!$A305="","",Data!$A305)</f>
        <v>0</v>
      </c>
      <c r="B305">
        <f>IF(Data!$B305="","",Data!$B305)</f>
        <v>0</v>
      </c>
      <c r="C305">
        <f>IF(Data!$C305="","",Data!$C305)</f>
        <v>0</v>
      </c>
      <c r="D305">
        <f>IF(Data!$D305="","",Data!$D305)</f>
        <v>0</v>
      </c>
      <c r="E305">
        <f>IF(Data!$E305="","",Data!$E305)</f>
        <v>0</v>
      </c>
      <c r="F305">
        <f>IF($E305="","",N(F304)+1)</f>
        <v>0</v>
      </c>
      <c r="G305">
        <f>IF(OR($E305="",$E304=""),"",LN($E305/$E304))</f>
        <v>0</v>
      </c>
      <c r="H305">
        <f>IF($E305="","",IF($E304="",$E305,$E305*0.0952380952+H304*0.9047619048))</f>
        <v>0</v>
      </c>
      <c r="I305">
        <f>IF($E305="","",IF($E304="",$E305,$E305*0.0392156863+I304*0.9607843137))</f>
        <v>0</v>
      </c>
      <c r="J305">
        <f>IF($E305="","",IF($E304="",$E305,$E305*0.0198019802+J304*0.9801980198))</f>
        <v>0</v>
      </c>
      <c r="K305">
        <f>IF($E305="","",IF($E304="",$E305,$E305*0.0099502488+K304*0.9900497512))</f>
        <v>0</v>
      </c>
      <c r="L305">
        <f>IF(OR($E305="",$E304=""),"",MAX($E305-$E304,0))</f>
        <v>0</v>
      </c>
      <c r="M305">
        <f>IF(OR($E305="",$E304=""),"",MAX($E304-$E305,0))</f>
        <v>0</v>
      </c>
      <c r="N305">
        <f>IF(COUNT($E$2:$E305)&lt;15,"",IF(AVERAGE($M$292:$M$305)=0,100,100-100/(1+AVERAGE($L$292:$L$305)/AVERAGE($M$292:$M$305))))</f>
        <v>0</v>
      </c>
      <c r="O305">
        <f>IF($E305="","",IF($E304="",$E305,$E305*0.1538461538+O304*0.8461538462))</f>
        <v>0</v>
      </c>
      <c r="P305">
        <f>IF($E305="","",IF($E304="",$E305,$E305*0.0740740741+P304*0.9259259259))</f>
        <v>0</v>
      </c>
      <c r="Q305">
        <f>IF(OR(O305="",P305=""),"",O305-P305)</f>
        <v>0</v>
      </c>
      <c r="R305">
        <f>IF(Q305="","",IF(R304="",Q305,Q305*0.2000000000+R304*0.8000000000))</f>
        <v>0</v>
      </c>
      <c r="S305">
        <f>IF(OR(Q305="",R305=""),"",Q305-R305)</f>
        <v>0</v>
      </c>
      <c r="T305">
        <f>IF(COUNT($E$2:$E305)&lt;14,"",MAX($C$292:$C$305))</f>
        <v>0</v>
      </c>
      <c r="U305">
        <f>IF(COUNT($E$2:$E305)&lt;14,"",MIN($D$292:$D$305))</f>
        <v>0</v>
      </c>
      <c r="V305">
        <f>IF(OR(T305="",U305="",T305=U305),"",100*($E305-U305)/(T305-U305))</f>
        <v>0</v>
      </c>
      <c r="W305">
        <f>IF(COUNT($V$303:$V$305)&lt;3,"",AVERAGE($V$303:$V$305))</f>
        <v>0</v>
      </c>
      <c r="X305">
        <f>IF(COUNT($N$292:$N$305)&lt;14,"",MIN($N$292:$N$305))</f>
        <v>0</v>
      </c>
      <c r="Y305">
        <f>IF(COUNT($N$292:$N$305)&lt;14,"",MAX($N$292:$N$305))</f>
        <v>0</v>
      </c>
      <c r="Z305">
        <f>IF(OR(N305="",X305="",Y305="",Y305=X305),"",100*(N305-X305)/(Y305-X305))</f>
        <v>0</v>
      </c>
      <c r="AA305">
        <f>IF(COUNT($Z$303:$Z$305)&lt;3,"",AVERAGE($Z$303:$Z$305))</f>
        <v>0</v>
      </c>
      <c r="AB305">
        <f>IF(COUNT($AA$303:$AA$305)&lt;3,"",AVERAGE($AA$303:$AA$305))</f>
        <v>0</v>
      </c>
      <c r="AC305">
        <f>IF($E305="","",MAX($C305-$D305,ABS($C305-$E304),ABS($D305-$E304)))</f>
        <v>0</v>
      </c>
      <c r="AD305">
        <f>IF(COUNT($E$2:$E305)&lt;15,"",AVERAGE($AC$292:$AC$305))</f>
        <v>0</v>
      </c>
      <c r="AE305">
        <f>IF(OR($E305="",$E304=""),"",IF(AND(($C305-$C304)&gt;($D304-$D305),($C305-$C304)&gt;0),$C305-$C304,0))</f>
        <v>0</v>
      </c>
      <c r="AF305">
        <f>IF(OR($E305="",$E304=""),"",IF(AND(($D304-$D305)&gt;($C305-$C304),($D304-$D305)&gt;0),$D304-$D305,0))</f>
        <v>0</v>
      </c>
      <c r="AG305">
        <f>IF(COUNT($E$2:$E305)&lt;15,"",IF(SUM($AC$292:$AC$305)=0,0,100*SUM($AE$292:$AE$305)/SUM($AC$292:$AC$305)))</f>
        <v>0</v>
      </c>
      <c r="AH305">
        <f>IF(COUNT($E$2:$E305)&lt;15,"",IF(SUM($AC$292:$AC$305)=0,0,100*SUM($AF$292:$AF$305)/SUM($AC$292:$AC$305)))</f>
        <v>0</v>
      </c>
      <c r="AI305">
        <f>IF(OR(AG305="",AH305=""),"",IF((AG305+AH305)=0,0,100*ABS(AG305-AH305)/(AG305+AH305)))</f>
        <v>0</v>
      </c>
      <c r="AJ305">
        <f>IF(COUNT($AI$292:$AI$305)&lt;14,"",AVERAGE($AI$292:$AI$305))</f>
        <v>0</v>
      </c>
      <c r="AK305">
        <f>IF(COUNT($E$2:$E305)&lt;20,"",AVERAGE($E$286:$E$305))</f>
        <v>0</v>
      </c>
      <c r="AL305">
        <f>IF(COUNT($E$2:$E305)&lt;20,"",STDEVP($E$286:$E$305))</f>
        <v>0</v>
      </c>
      <c r="AM305">
        <f>IF(AK305="","",AK305+2*AL305)</f>
        <v>0</v>
      </c>
      <c r="AN305">
        <f>IF(AK305="","",AK305-2*AL305)</f>
        <v>0</v>
      </c>
      <c r="AO305">
        <f>IF(OR(AM305="",AN305="",AM305=AN305),"",($E305-AN305)/(AM305-AN305))</f>
        <v>0</v>
      </c>
      <c r="AP305">
        <f>IF(OR(AM305="",AK305="",AK305=0),"",(AM305-AN305)/AK305)</f>
        <v>0</v>
      </c>
      <c r="AQ305">
        <f>IF(COUNT($E$2:$E305)&lt;20,"",MAX($C$286:$C$305))</f>
        <v>0</v>
      </c>
      <c r="AR305">
        <f>IF(COUNT($E$2:$E305)&lt;20,"",MIN($D$286:$D$305))</f>
        <v>0</v>
      </c>
      <c r="AS305">
        <f>IF(OR(AQ305="",AR305=""),"",(AQ305+AR305)/2)</f>
        <v>0</v>
      </c>
      <c r="AT305">
        <f>IF(COUNT($G$286:$G$305)&lt;20,"",STDEV($G$286:$G$305)*SQRT(252))</f>
        <v>0</v>
      </c>
      <c r="AU305">
        <f>IF(COUNT($E$2:$E305)&lt;9,"",(MAX($C$297:$C$305)+MIN($D$297:$D$305))/2)</f>
        <v>0</v>
      </c>
      <c r="AV305">
        <f>IF(COUNT($E$2:$E305)&lt;26,"",(MAX($C$280:$C$305)+MIN($D$280:$D$305))/2)</f>
        <v>0</v>
      </c>
      <c r="AW305">
        <f>IF(OR(AU305="",AV305=""),"",(AU305+AV305)/2)</f>
        <v>0</v>
      </c>
      <c r="AX305">
        <f>IF(COUNT($E$2:$E305)&lt;52,"",(MAX($C$254:$C$305)+MIN($D$254:$D$305))/2)</f>
        <v>0</v>
      </c>
      <c r="AY305">
        <f>IF(COUNT($E$2:$E305)&lt;20,"",MAX($C$206:$C$305))</f>
        <v>0</v>
      </c>
      <c r="AZ305">
        <f>IF(COUNT($E$2:$E305)&lt;20,"",MIN($D$206:$D$305))</f>
        <v>0</v>
      </c>
      <c r="BA305">
        <f>IF(COUNT($E$2:$E305)&lt;20,"",SLOPE($E$206:$E$305,$F$206:$F$305))</f>
        <v>0</v>
      </c>
      <c r="BB305">
        <f>IF(COUNT($E$2:$E305)&lt;20,"",INTERCEPT($E$206:$E$305,$F$206:$F$305))</f>
        <v>0</v>
      </c>
      <c r="BC305">
        <f>IF(OR(BA305="",BB305=""),"",BB305+BA305*F305)</f>
        <v>0</v>
      </c>
      <c r="BD305">
        <f>IF(COUNT($E$2:$E305)&lt;20,"",STEYX($E$206:$E$305,$F$206:$F$305))</f>
        <v>0</v>
      </c>
      <c r="BE305">
        <f>IF($E305="","",IF(AND(COUNT($E$306:$E$309)&gt;=4,$C305=MAX($C$301:$C$309)),$C305,""))</f>
        <v>0</v>
      </c>
      <c r="BF305">
        <f>IF($E305="","",IF(AND(COUNT($E$306:$E$309)&gt;=4,$D305=MIN($D$301:$D$309)),$D305,""))</f>
        <v>0</v>
      </c>
      <c r="BG305">
        <f>IF($A305="","",$A305-WEEKDAY($A305,2)+1)</f>
        <v>0</v>
      </c>
      <c r="BH305">
        <f>IF($A305="","",IF($A304="",1,IF(BG305&lt;&gt;BG304,1,0)))</f>
        <v>0</v>
      </c>
      <c r="BI305">
        <f>IF($A305="","",IF($A306="",1,IF(BG306&lt;&gt;BG305,1,0)))</f>
        <v>0</v>
      </c>
      <c r="BJ305">
        <f>IF($A305="","",IF(BH305=1,$B305,BJ304))</f>
        <v>0</v>
      </c>
      <c r="BK305">
        <f>IF($A305="","",IF(BH305=1,$C305,MAX($C305,BK304)))</f>
        <v>0</v>
      </c>
      <c r="BL305">
        <f>IF($A305="","",IF(BH305=1,$D305,MIN($D305,BL304)))</f>
        <v>0</v>
      </c>
      <c r="BM305">
        <f>IF($A305="","",IF(BI305=1,F305,""))</f>
        <v>0</v>
      </c>
      <c r="BN305">
        <f>IF($A305="","",DATE(YEAR($A305),MONTH($A305),1))</f>
        <v>0</v>
      </c>
      <c r="BO305">
        <f>IF($A305="","",IF($A304="",1,IF(BN305&lt;&gt;BN304,1,0)))</f>
        <v>0</v>
      </c>
      <c r="BP305">
        <f>IF($A305="","",IF($A306="",1,IF(BN306&lt;&gt;BN305,1,0)))</f>
        <v>0</v>
      </c>
      <c r="BQ305">
        <f>IF($A305="","",IF(BO305=1,$B305,BQ304))</f>
        <v>0</v>
      </c>
      <c r="BR305">
        <f>IF($A305="","",IF(BO305=1,$C305,MAX($C305,BR304)))</f>
        <v>0</v>
      </c>
      <c r="BS305">
        <f>IF($A305="","",IF(BO305=1,$D305,MIN($D305,BS304)))</f>
        <v>0</v>
      </c>
      <c r="BT305">
        <f>IF($A305="","",IF(BP305=1,F305,""))</f>
        <v>0</v>
      </c>
    </row>
    <row r="306" spans="1:72">
      <c r="A306" s="27">
        <f>IF(Data!$A306="","",Data!$A306)</f>
        <v>0</v>
      </c>
      <c r="B306">
        <f>IF(Data!$B306="","",Data!$B306)</f>
        <v>0</v>
      </c>
      <c r="C306">
        <f>IF(Data!$C306="","",Data!$C306)</f>
        <v>0</v>
      </c>
      <c r="D306">
        <f>IF(Data!$D306="","",Data!$D306)</f>
        <v>0</v>
      </c>
      <c r="E306">
        <f>IF(Data!$E306="","",Data!$E306)</f>
        <v>0</v>
      </c>
      <c r="F306">
        <f>IF($E306="","",N(F305)+1)</f>
        <v>0</v>
      </c>
      <c r="G306">
        <f>IF(OR($E306="",$E305=""),"",LN($E306/$E305))</f>
        <v>0</v>
      </c>
      <c r="H306">
        <f>IF($E306="","",IF($E305="",$E306,$E306*0.0952380952+H305*0.9047619048))</f>
        <v>0</v>
      </c>
      <c r="I306">
        <f>IF($E306="","",IF($E305="",$E306,$E306*0.0392156863+I305*0.9607843137))</f>
        <v>0</v>
      </c>
      <c r="J306">
        <f>IF($E306="","",IF($E305="",$E306,$E306*0.0198019802+J305*0.9801980198))</f>
        <v>0</v>
      </c>
      <c r="K306">
        <f>IF($E306="","",IF($E305="",$E306,$E306*0.0099502488+K305*0.9900497512))</f>
        <v>0</v>
      </c>
      <c r="L306">
        <f>IF(OR($E306="",$E305=""),"",MAX($E306-$E305,0))</f>
        <v>0</v>
      </c>
      <c r="M306">
        <f>IF(OR($E306="",$E305=""),"",MAX($E305-$E306,0))</f>
        <v>0</v>
      </c>
      <c r="N306">
        <f>IF(COUNT($E$2:$E306)&lt;15,"",IF(AVERAGE($M$293:$M$306)=0,100,100-100/(1+AVERAGE($L$293:$L$306)/AVERAGE($M$293:$M$306))))</f>
        <v>0</v>
      </c>
      <c r="O306">
        <f>IF($E306="","",IF($E305="",$E306,$E306*0.1538461538+O305*0.8461538462))</f>
        <v>0</v>
      </c>
      <c r="P306">
        <f>IF($E306="","",IF($E305="",$E306,$E306*0.0740740741+P305*0.9259259259))</f>
        <v>0</v>
      </c>
      <c r="Q306">
        <f>IF(OR(O306="",P306=""),"",O306-P306)</f>
        <v>0</v>
      </c>
      <c r="R306">
        <f>IF(Q306="","",IF(R305="",Q306,Q306*0.2000000000+R305*0.8000000000))</f>
        <v>0</v>
      </c>
      <c r="S306">
        <f>IF(OR(Q306="",R306=""),"",Q306-R306)</f>
        <v>0</v>
      </c>
      <c r="T306">
        <f>IF(COUNT($E$2:$E306)&lt;14,"",MAX($C$293:$C$306))</f>
        <v>0</v>
      </c>
      <c r="U306">
        <f>IF(COUNT($E$2:$E306)&lt;14,"",MIN($D$293:$D$306))</f>
        <v>0</v>
      </c>
      <c r="V306">
        <f>IF(OR(T306="",U306="",T306=U306),"",100*($E306-U306)/(T306-U306))</f>
        <v>0</v>
      </c>
      <c r="W306">
        <f>IF(COUNT($V$304:$V$306)&lt;3,"",AVERAGE($V$304:$V$306))</f>
        <v>0</v>
      </c>
      <c r="X306">
        <f>IF(COUNT($N$293:$N$306)&lt;14,"",MIN($N$293:$N$306))</f>
        <v>0</v>
      </c>
      <c r="Y306">
        <f>IF(COUNT($N$293:$N$306)&lt;14,"",MAX($N$293:$N$306))</f>
        <v>0</v>
      </c>
      <c r="Z306">
        <f>IF(OR(N306="",X306="",Y306="",Y306=X306),"",100*(N306-X306)/(Y306-X306))</f>
        <v>0</v>
      </c>
      <c r="AA306">
        <f>IF(COUNT($Z$304:$Z$306)&lt;3,"",AVERAGE($Z$304:$Z$306))</f>
        <v>0</v>
      </c>
      <c r="AB306">
        <f>IF(COUNT($AA$304:$AA$306)&lt;3,"",AVERAGE($AA$304:$AA$306))</f>
        <v>0</v>
      </c>
      <c r="AC306">
        <f>IF($E306="","",MAX($C306-$D306,ABS($C306-$E305),ABS($D306-$E305)))</f>
        <v>0</v>
      </c>
      <c r="AD306">
        <f>IF(COUNT($E$2:$E306)&lt;15,"",AVERAGE($AC$293:$AC$306))</f>
        <v>0</v>
      </c>
      <c r="AE306">
        <f>IF(OR($E306="",$E305=""),"",IF(AND(($C306-$C305)&gt;($D305-$D306),($C306-$C305)&gt;0),$C306-$C305,0))</f>
        <v>0</v>
      </c>
      <c r="AF306">
        <f>IF(OR($E306="",$E305=""),"",IF(AND(($D305-$D306)&gt;($C306-$C305),($D305-$D306)&gt;0),$D305-$D306,0))</f>
        <v>0</v>
      </c>
      <c r="AG306">
        <f>IF(COUNT($E$2:$E306)&lt;15,"",IF(SUM($AC$293:$AC$306)=0,0,100*SUM($AE$293:$AE$306)/SUM($AC$293:$AC$306)))</f>
        <v>0</v>
      </c>
      <c r="AH306">
        <f>IF(COUNT($E$2:$E306)&lt;15,"",IF(SUM($AC$293:$AC$306)=0,0,100*SUM($AF$293:$AF$306)/SUM($AC$293:$AC$306)))</f>
        <v>0</v>
      </c>
      <c r="AI306">
        <f>IF(OR(AG306="",AH306=""),"",IF((AG306+AH306)=0,0,100*ABS(AG306-AH306)/(AG306+AH306)))</f>
        <v>0</v>
      </c>
      <c r="AJ306">
        <f>IF(COUNT($AI$293:$AI$306)&lt;14,"",AVERAGE($AI$293:$AI$306))</f>
        <v>0</v>
      </c>
      <c r="AK306">
        <f>IF(COUNT($E$2:$E306)&lt;20,"",AVERAGE($E$287:$E$306))</f>
        <v>0</v>
      </c>
      <c r="AL306">
        <f>IF(COUNT($E$2:$E306)&lt;20,"",STDEVP($E$287:$E$306))</f>
        <v>0</v>
      </c>
      <c r="AM306">
        <f>IF(AK306="","",AK306+2*AL306)</f>
        <v>0</v>
      </c>
      <c r="AN306">
        <f>IF(AK306="","",AK306-2*AL306)</f>
        <v>0</v>
      </c>
      <c r="AO306">
        <f>IF(OR(AM306="",AN306="",AM306=AN306),"",($E306-AN306)/(AM306-AN306))</f>
        <v>0</v>
      </c>
      <c r="AP306">
        <f>IF(OR(AM306="",AK306="",AK306=0),"",(AM306-AN306)/AK306)</f>
        <v>0</v>
      </c>
      <c r="AQ306">
        <f>IF(COUNT($E$2:$E306)&lt;20,"",MAX($C$287:$C$306))</f>
        <v>0</v>
      </c>
      <c r="AR306">
        <f>IF(COUNT($E$2:$E306)&lt;20,"",MIN($D$287:$D$306))</f>
        <v>0</v>
      </c>
      <c r="AS306">
        <f>IF(OR(AQ306="",AR306=""),"",(AQ306+AR306)/2)</f>
        <v>0</v>
      </c>
      <c r="AT306">
        <f>IF(COUNT($G$287:$G$306)&lt;20,"",STDEV($G$287:$G$306)*SQRT(252))</f>
        <v>0</v>
      </c>
      <c r="AU306">
        <f>IF(COUNT($E$2:$E306)&lt;9,"",(MAX($C$298:$C$306)+MIN($D$298:$D$306))/2)</f>
        <v>0</v>
      </c>
      <c r="AV306">
        <f>IF(COUNT($E$2:$E306)&lt;26,"",(MAX($C$281:$C$306)+MIN($D$281:$D$306))/2)</f>
        <v>0</v>
      </c>
      <c r="AW306">
        <f>IF(OR(AU306="",AV306=""),"",(AU306+AV306)/2)</f>
        <v>0</v>
      </c>
      <c r="AX306">
        <f>IF(COUNT($E$2:$E306)&lt;52,"",(MAX($C$255:$C$306)+MIN($D$255:$D$306))/2)</f>
        <v>0</v>
      </c>
      <c r="AY306">
        <f>IF(COUNT($E$2:$E306)&lt;20,"",MAX($C$207:$C$306))</f>
        <v>0</v>
      </c>
      <c r="AZ306">
        <f>IF(COUNT($E$2:$E306)&lt;20,"",MIN($D$207:$D$306))</f>
        <v>0</v>
      </c>
      <c r="BA306">
        <f>IF(COUNT($E$2:$E306)&lt;20,"",SLOPE($E$207:$E$306,$F$207:$F$306))</f>
        <v>0</v>
      </c>
      <c r="BB306">
        <f>IF(COUNT($E$2:$E306)&lt;20,"",INTERCEPT($E$207:$E$306,$F$207:$F$306))</f>
        <v>0</v>
      </c>
      <c r="BC306">
        <f>IF(OR(BA306="",BB306=""),"",BB306+BA306*F306)</f>
        <v>0</v>
      </c>
      <c r="BD306">
        <f>IF(COUNT($E$2:$E306)&lt;20,"",STEYX($E$207:$E$306,$F$207:$F$306))</f>
        <v>0</v>
      </c>
      <c r="BE306">
        <f>IF($E306="","",IF(AND(COUNT($E$307:$E$310)&gt;=4,$C306=MAX($C$302:$C$310)),$C306,""))</f>
        <v>0</v>
      </c>
      <c r="BF306">
        <f>IF($E306="","",IF(AND(COUNT($E$307:$E$310)&gt;=4,$D306=MIN($D$302:$D$310)),$D306,""))</f>
        <v>0</v>
      </c>
      <c r="BG306">
        <f>IF($A306="","",$A306-WEEKDAY($A306,2)+1)</f>
        <v>0</v>
      </c>
      <c r="BH306">
        <f>IF($A306="","",IF($A305="",1,IF(BG306&lt;&gt;BG305,1,0)))</f>
        <v>0</v>
      </c>
      <c r="BI306">
        <f>IF($A306="","",IF($A307="",1,IF(BG307&lt;&gt;BG306,1,0)))</f>
        <v>0</v>
      </c>
      <c r="BJ306">
        <f>IF($A306="","",IF(BH306=1,$B306,BJ305))</f>
        <v>0</v>
      </c>
      <c r="BK306">
        <f>IF($A306="","",IF(BH306=1,$C306,MAX($C306,BK305)))</f>
        <v>0</v>
      </c>
      <c r="BL306">
        <f>IF($A306="","",IF(BH306=1,$D306,MIN($D306,BL305)))</f>
        <v>0</v>
      </c>
      <c r="BM306">
        <f>IF($A306="","",IF(BI306=1,F306,""))</f>
        <v>0</v>
      </c>
      <c r="BN306">
        <f>IF($A306="","",DATE(YEAR($A306),MONTH($A306),1))</f>
        <v>0</v>
      </c>
      <c r="BO306">
        <f>IF($A306="","",IF($A305="",1,IF(BN306&lt;&gt;BN305,1,0)))</f>
        <v>0</v>
      </c>
      <c r="BP306">
        <f>IF($A306="","",IF($A307="",1,IF(BN307&lt;&gt;BN306,1,0)))</f>
        <v>0</v>
      </c>
      <c r="BQ306">
        <f>IF($A306="","",IF(BO306=1,$B306,BQ305))</f>
        <v>0</v>
      </c>
      <c r="BR306">
        <f>IF($A306="","",IF(BO306=1,$C306,MAX($C306,BR305)))</f>
        <v>0</v>
      </c>
      <c r="BS306">
        <f>IF($A306="","",IF(BO306=1,$D306,MIN($D306,BS305)))</f>
        <v>0</v>
      </c>
      <c r="BT306">
        <f>IF($A306="","",IF(BP306=1,F306,""))</f>
        <v>0</v>
      </c>
    </row>
    <row r="307" spans="1:72">
      <c r="A307" s="27">
        <f>IF(Data!$A307="","",Data!$A307)</f>
        <v>0</v>
      </c>
      <c r="B307">
        <f>IF(Data!$B307="","",Data!$B307)</f>
        <v>0</v>
      </c>
      <c r="C307">
        <f>IF(Data!$C307="","",Data!$C307)</f>
        <v>0</v>
      </c>
      <c r="D307">
        <f>IF(Data!$D307="","",Data!$D307)</f>
        <v>0</v>
      </c>
      <c r="E307">
        <f>IF(Data!$E307="","",Data!$E307)</f>
        <v>0</v>
      </c>
      <c r="F307">
        <f>IF($E307="","",N(F306)+1)</f>
        <v>0</v>
      </c>
      <c r="G307">
        <f>IF(OR($E307="",$E306=""),"",LN($E307/$E306))</f>
        <v>0</v>
      </c>
      <c r="H307">
        <f>IF($E307="","",IF($E306="",$E307,$E307*0.0952380952+H306*0.9047619048))</f>
        <v>0</v>
      </c>
      <c r="I307">
        <f>IF($E307="","",IF($E306="",$E307,$E307*0.0392156863+I306*0.9607843137))</f>
        <v>0</v>
      </c>
      <c r="J307">
        <f>IF($E307="","",IF($E306="",$E307,$E307*0.0198019802+J306*0.9801980198))</f>
        <v>0</v>
      </c>
      <c r="K307">
        <f>IF($E307="","",IF($E306="",$E307,$E307*0.0099502488+K306*0.9900497512))</f>
        <v>0</v>
      </c>
      <c r="L307">
        <f>IF(OR($E307="",$E306=""),"",MAX($E307-$E306,0))</f>
        <v>0</v>
      </c>
      <c r="M307">
        <f>IF(OR($E307="",$E306=""),"",MAX($E306-$E307,0))</f>
        <v>0</v>
      </c>
      <c r="N307">
        <f>IF(COUNT($E$2:$E307)&lt;15,"",IF(AVERAGE($M$294:$M$307)=0,100,100-100/(1+AVERAGE($L$294:$L$307)/AVERAGE($M$294:$M$307))))</f>
        <v>0</v>
      </c>
      <c r="O307">
        <f>IF($E307="","",IF($E306="",$E307,$E307*0.1538461538+O306*0.8461538462))</f>
        <v>0</v>
      </c>
      <c r="P307">
        <f>IF($E307="","",IF($E306="",$E307,$E307*0.0740740741+P306*0.9259259259))</f>
        <v>0</v>
      </c>
      <c r="Q307">
        <f>IF(OR(O307="",P307=""),"",O307-P307)</f>
        <v>0</v>
      </c>
      <c r="R307">
        <f>IF(Q307="","",IF(R306="",Q307,Q307*0.2000000000+R306*0.8000000000))</f>
        <v>0</v>
      </c>
      <c r="S307">
        <f>IF(OR(Q307="",R307=""),"",Q307-R307)</f>
        <v>0</v>
      </c>
      <c r="T307">
        <f>IF(COUNT($E$2:$E307)&lt;14,"",MAX($C$294:$C$307))</f>
        <v>0</v>
      </c>
      <c r="U307">
        <f>IF(COUNT($E$2:$E307)&lt;14,"",MIN($D$294:$D$307))</f>
        <v>0</v>
      </c>
      <c r="V307">
        <f>IF(OR(T307="",U307="",T307=U307),"",100*($E307-U307)/(T307-U307))</f>
        <v>0</v>
      </c>
      <c r="W307">
        <f>IF(COUNT($V$305:$V$307)&lt;3,"",AVERAGE($V$305:$V$307))</f>
        <v>0</v>
      </c>
      <c r="X307">
        <f>IF(COUNT($N$294:$N$307)&lt;14,"",MIN($N$294:$N$307))</f>
        <v>0</v>
      </c>
      <c r="Y307">
        <f>IF(COUNT($N$294:$N$307)&lt;14,"",MAX($N$294:$N$307))</f>
        <v>0</v>
      </c>
      <c r="Z307">
        <f>IF(OR(N307="",X307="",Y307="",Y307=X307),"",100*(N307-X307)/(Y307-X307))</f>
        <v>0</v>
      </c>
      <c r="AA307">
        <f>IF(COUNT($Z$305:$Z$307)&lt;3,"",AVERAGE($Z$305:$Z$307))</f>
        <v>0</v>
      </c>
      <c r="AB307">
        <f>IF(COUNT($AA$305:$AA$307)&lt;3,"",AVERAGE($AA$305:$AA$307))</f>
        <v>0</v>
      </c>
      <c r="AC307">
        <f>IF($E307="","",MAX($C307-$D307,ABS($C307-$E306),ABS($D307-$E306)))</f>
        <v>0</v>
      </c>
      <c r="AD307">
        <f>IF(COUNT($E$2:$E307)&lt;15,"",AVERAGE($AC$294:$AC$307))</f>
        <v>0</v>
      </c>
      <c r="AE307">
        <f>IF(OR($E307="",$E306=""),"",IF(AND(($C307-$C306)&gt;($D306-$D307),($C307-$C306)&gt;0),$C307-$C306,0))</f>
        <v>0</v>
      </c>
      <c r="AF307">
        <f>IF(OR($E307="",$E306=""),"",IF(AND(($D306-$D307)&gt;($C307-$C306),($D306-$D307)&gt;0),$D306-$D307,0))</f>
        <v>0</v>
      </c>
      <c r="AG307">
        <f>IF(COUNT($E$2:$E307)&lt;15,"",IF(SUM($AC$294:$AC$307)=0,0,100*SUM($AE$294:$AE$307)/SUM($AC$294:$AC$307)))</f>
        <v>0</v>
      </c>
      <c r="AH307">
        <f>IF(COUNT($E$2:$E307)&lt;15,"",IF(SUM($AC$294:$AC$307)=0,0,100*SUM($AF$294:$AF$307)/SUM($AC$294:$AC$307)))</f>
        <v>0</v>
      </c>
      <c r="AI307">
        <f>IF(OR(AG307="",AH307=""),"",IF((AG307+AH307)=0,0,100*ABS(AG307-AH307)/(AG307+AH307)))</f>
        <v>0</v>
      </c>
      <c r="AJ307">
        <f>IF(COUNT($AI$294:$AI$307)&lt;14,"",AVERAGE($AI$294:$AI$307))</f>
        <v>0</v>
      </c>
      <c r="AK307">
        <f>IF(COUNT($E$2:$E307)&lt;20,"",AVERAGE($E$288:$E$307))</f>
        <v>0</v>
      </c>
      <c r="AL307">
        <f>IF(COUNT($E$2:$E307)&lt;20,"",STDEVP($E$288:$E$307))</f>
        <v>0</v>
      </c>
      <c r="AM307">
        <f>IF(AK307="","",AK307+2*AL307)</f>
        <v>0</v>
      </c>
      <c r="AN307">
        <f>IF(AK307="","",AK307-2*AL307)</f>
        <v>0</v>
      </c>
      <c r="AO307">
        <f>IF(OR(AM307="",AN307="",AM307=AN307),"",($E307-AN307)/(AM307-AN307))</f>
        <v>0</v>
      </c>
      <c r="AP307">
        <f>IF(OR(AM307="",AK307="",AK307=0),"",(AM307-AN307)/AK307)</f>
        <v>0</v>
      </c>
      <c r="AQ307">
        <f>IF(COUNT($E$2:$E307)&lt;20,"",MAX($C$288:$C$307))</f>
        <v>0</v>
      </c>
      <c r="AR307">
        <f>IF(COUNT($E$2:$E307)&lt;20,"",MIN($D$288:$D$307))</f>
        <v>0</v>
      </c>
      <c r="AS307">
        <f>IF(OR(AQ307="",AR307=""),"",(AQ307+AR307)/2)</f>
        <v>0</v>
      </c>
      <c r="AT307">
        <f>IF(COUNT($G$288:$G$307)&lt;20,"",STDEV($G$288:$G$307)*SQRT(252))</f>
        <v>0</v>
      </c>
      <c r="AU307">
        <f>IF(COUNT($E$2:$E307)&lt;9,"",(MAX($C$299:$C$307)+MIN($D$299:$D$307))/2)</f>
        <v>0</v>
      </c>
      <c r="AV307">
        <f>IF(COUNT($E$2:$E307)&lt;26,"",(MAX($C$282:$C$307)+MIN($D$282:$D$307))/2)</f>
        <v>0</v>
      </c>
      <c r="AW307">
        <f>IF(OR(AU307="",AV307=""),"",(AU307+AV307)/2)</f>
        <v>0</v>
      </c>
      <c r="AX307">
        <f>IF(COUNT($E$2:$E307)&lt;52,"",(MAX($C$256:$C$307)+MIN($D$256:$D$307))/2)</f>
        <v>0</v>
      </c>
      <c r="AY307">
        <f>IF(COUNT($E$2:$E307)&lt;20,"",MAX($C$208:$C$307))</f>
        <v>0</v>
      </c>
      <c r="AZ307">
        <f>IF(COUNT($E$2:$E307)&lt;20,"",MIN($D$208:$D$307))</f>
        <v>0</v>
      </c>
      <c r="BA307">
        <f>IF(COUNT($E$2:$E307)&lt;20,"",SLOPE($E$208:$E$307,$F$208:$F$307))</f>
        <v>0</v>
      </c>
      <c r="BB307">
        <f>IF(COUNT($E$2:$E307)&lt;20,"",INTERCEPT($E$208:$E$307,$F$208:$F$307))</f>
        <v>0</v>
      </c>
      <c r="BC307">
        <f>IF(OR(BA307="",BB307=""),"",BB307+BA307*F307)</f>
        <v>0</v>
      </c>
      <c r="BD307">
        <f>IF(COUNT($E$2:$E307)&lt;20,"",STEYX($E$208:$E$307,$F$208:$F$307))</f>
        <v>0</v>
      </c>
      <c r="BE307">
        <f>IF($E307="","",IF(AND(COUNT($E$308:$E$311)&gt;=4,$C307=MAX($C$303:$C$311)),$C307,""))</f>
        <v>0</v>
      </c>
      <c r="BF307">
        <f>IF($E307="","",IF(AND(COUNT($E$308:$E$311)&gt;=4,$D307=MIN($D$303:$D$311)),$D307,""))</f>
        <v>0</v>
      </c>
      <c r="BG307">
        <f>IF($A307="","",$A307-WEEKDAY($A307,2)+1)</f>
        <v>0</v>
      </c>
      <c r="BH307">
        <f>IF($A307="","",IF($A306="",1,IF(BG307&lt;&gt;BG306,1,0)))</f>
        <v>0</v>
      </c>
      <c r="BI307">
        <f>IF($A307="","",IF($A308="",1,IF(BG308&lt;&gt;BG307,1,0)))</f>
        <v>0</v>
      </c>
      <c r="BJ307">
        <f>IF($A307="","",IF(BH307=1,$B307,BJ306))</f>
        <v>0</v>
      </c>
      <c r="BK307">
        <f>IF($A307="","",IF(BH307=1,$C307,MAX($C307,BK306)))</f>
        <v>0</v>
      </c>
      <c r="BL307">
        <f>IF($A307="","",IF(BH307=1,$D307,MIN($D307,BL306)))</f>
        <v>0</v>
      </c>
      <c r="BM307">
        <f>IF($A307="","",IF(BI307=1,F307,""))</f>
        <v>0</v>
      </c>
      <c r="BN307">
        <f>IF($A307="","",DATE(YEAR($A307),MONTH($A307),1))</f>
        <v>0</v>
      </c>
      <c r="BO307">
        <f>IF($A307="","",IF($A306="",1,IF(BN307&lt;&gt;BN306,1,0)))</f>
        <v>0</v>
      </c>
      <c r="BP307">
        <f>IF($A307="","",IF($A308="",1,IF(BN308&lt;&gt;BN307,1,0)))</f>
        <v>0</v>
      </c>
      <c r="BQ307">
        <f>IF($A307="","",IF(BO307=1,$B307,BQ306))</f>
        <v>0</v>
      </c>
      <c r="BR307">
        <f>IF($A307="","",IF(BO307=1,$C307,MAX($C307,BR306)))</f>
        <v>0</v>
      </c>
      <c r="BS307">
        <f>IF($A307="","",IF(BO307=1,$D307,MIN($D307,BS306)))</f>
        <v>0</v>
      </c>
      <c r="BT307">
        <f>IF($A307="","",IF(BP307=1,F307,""))</f>
        <v>0</v>
      </c>
    </row>
    <row r="308" spans="1:72">
      <c r="A308" s="27">
        <f>IF(Data!$A308="","",Data!$A308)</f>
        <v>0</v>
      </c>
      <c r="B308">
        <f>IF(Data!$B308="","",Data!$B308)</f>
        <v>0</v>
      </c>
      <c r="C308">
        <f>IF(Data!$C308="","",Data!$C308)</f>
        <v>0</v>
      </c>
      <c r="D308">
        <f>IF(Data!$D308="","",Data!$D308)</f>
        <v>0</v>
      </c>
      <c r="E308">
        <f>IF(Data!$E308="","",Data!$E308)</f>
        <v>0</v>
      </c>
      <c r="F308">
        <f>IF($E308="","",N(F307)+1)</f>
        <v>0</v>
      </c>
      <c r="G308">
        <f>IF(OR($E308="",$E307=""),"",LN($E308/$E307))</f>
        <v>0</v>
      </c>
      <c r="H308">
        <f>IF($E308="","",IF($E307="",$E308,$E308*0.0952380952+H307*0.9047619048))</f>
        <v>0</v>
      </c>
      <c r="I308">
        <f>IF($E308="","",IF($E307="",$E308,$E308*0.0392156863+I307*0.9607843137))</f>
        <v>0</v>
      </c>
      <c r="J308">
        <f>IF($E308="","",IF($E307="",$E308,$E308*0.0198019802+J307*0.9801980198))</f>
        <v>0</v>
      </c>
      <c r="K308">
        <f>IF($E308="","",IF($E307="",$E308,$E308*0.0099502488+K307*0.9900497512))</f>
        <v>0</v>
      </c>
      <c r="L308">
        <f>IF(OR($E308="",$E307=""),"",MAX($E308-$E307,0))</f>
        <v>0</v>
      </c>
      <c r="M308">
        <f>IF(OR($E308="",$E307=""),"",MAX($E307-$E308,0))</f>
        <v>0</v>
      </c>
      <c r="N308">
        <f>IF(COUNT($E$2:$E308)&lt;15,"",IF(AVERAGE($M$295:$M$308)=0,100,100-100/(1+AVERAGE($L$295:$L$308)/AVERAGE($M$295:$M$308))))</f>
        <v>0</v>
      </c>
      <c r="O308">
        <f>IF($E308="","",IF($E307="",$E308,$E308*0.1538461538+O307*0.8461538462))</f>
        <v>0</v>
      </c>
      <c r="P308">
        <f>IF($E308="","",IF($E307="",$E308,$E308*0.0740740741+P307*0.9259259259))</f>
        <v>0</v>
      </c>
      <c r="Q308">
        <f>IF(OR(O308="",P308=""),"",O308-P308)</f>
        <v>0</v>
      </c>
      <c r="R308">
        <f>IF(Q308="","",IF(R307="",Q308,Q308*0.2000000000+R307*0.8000000000))</f>
        <v>0</v>
      </c>
      <c r="S308">
        <f>IF(OR(Q308="",R308=""),"",Q308-R308)</f>
        <v>0</v>
      </c>
      <c r="T308">
        <f>IF(COUNT($E$2:$E308)&lt;14,"",MAX($C$295:$C$308))</f>
        <v>0</v>
      </c>
      <c r="U308">
        <f>IF(COUNT($E$2:$E308)&lt;14,"",MIN($D$295:$D$308))</f>
        <v>0</v>
      </c>
      <c r="V308">
        <f>IF(OR(T308="",U308="",T308=U308),"",100*($E308-U308)/(T308-U308))</f>
        <v>0</v>
      </c>
      <c r="W308">
        <f>IF(COUNT($V$306:$V$308)&lt;3,"",AVERAGE($V$306:$V$308))</f>
        <v>0</v>
      </c>
      <c r="X308">
        <f>IF(COUNT($N$295:$N$308)&lt;14,"",MIN($N$295:$N$308))</f>
        <v>0</v>
      </c>
      <c r="Y308">
        <f>IF(COUNT($N$295:$N$308)&lt;14,"",MAX($N$295:$N$308))</f>
        <v>0</v>
      </c>
      <c r="Z308">
        <f>IF(OR(N308="",X308="",Y308="",Y308=X308),"",100*(N308-X308)/(Y308-X308))</f>
        <v>0</v>
      </c>
      <c r="AA308">
        <f>IF(COUNT($Z$306:$Z$308)&lt;3,"",AVERAGE($Z$306:$Z$308))</f>
        <v>0</v>
      </c>
      <c r="AB308">
        <f>IF(COUNT($AA$306:$AA$308)&lt;3,"",AVERAGE($AA$306:$AA$308))</f>
        <v>0</v>
      </c>
      <c r="AC308">
        <f>IF($E308="","",MAX($C308-$D308,ABS($C308-$E307),ABS($D308-$E307)))</f>
        <v>0</v>
      </c>
      <c r="AD308">
        <f>IF(COUNT($E$2:$E308)&lt;15,"",AVERAGE($AC$295:$AC$308))</f>
        <v>0</v>
      </c>
      <c r="AE308">
        <f>IF(OR($E308="",$E307=""),"",IF(AND(($C308-$C307)&gt;($D307-$D308),($C308-$C307)&gt;0),$C308-$C307,0))</f>
        <v>0</v>
      </c>
      <c r="AF308">
        <f>IF(OR($E308="",$E307=""),"",IF(AND(($D307-$D308)&gt;($C308-$C307),($D307-$D308)&gt;0),$D307-$D308,0))</f>
        <v>0</v>
      </c>
      <c r="AG308">
        <f>IF(COUNT($E$2:$E308)&lt;15,"",IF(SUM($AC$295:$AC$308)=0,0,100*SUM($AE$295:$AE$308)/SUM($AC$295:$AC$308)))</f>
        <v>0</v>
      </c>
      <c r="AH308">
        <f>IF(COUNT($E$2:$E308)&lt;15,"",IF(SUM($AC$295:$AC$308)=0,0,100*SUM($AF$295:$AF$308)/SUM($AC$295:$AC$308)))</f>
        <v>0</v>
      </c>
      <c r="AI308">
        <f>IF(OR(AG308="",AH308=""),"",IF((AG308+AH308)=0,0,100*ABS(AG308-AH308)/(AG308+AH308)))</f>
        <v>0</v>
      </c>
      <c r="AJ308">
        <f>IF(COUNT($AI$295:$AI$308)&lt;14,"",AVERAGE($AI$295:$AI$308))</f>
        <v>0</v>
      </c>
      <c r="AK308">
        <f>IF(COUNT($E$2:$E308)&lt;20,"",AVERAGE($E$289:$E$308))</f>
        <v>0</v>
      </c>
      <c r="AL308">
        <f>IF(COUNT($E$2:$E308)&lt;20,"",STDEVP($E$289:$E$308))</f>
        <v>0</v>
      </c>
      <c r="AM308">
        <f>IF(AK308="","",AK308+2*AL308)</f>
        <v>0</v>
      </c>
      <c r="AN308">
        <f>IF(AK308="","",AK308-2*AL308)</f>
        <v>0</v>
      </c>
      <c r="AO308">
        <f>IF(OR(AM308="",AN308="",AM308=AN308),"",($E308-AN308)/(AM308-AN308))</f>
        <v>0</v>
      </c>
      <c r="AP308">
        <f>IF(OR(AM308="",AK308="",AK308=0),"",(AM308-AN308)/AK308)</f>
        <v>0</v>
      </c>
      <c r="AQ308">
        <f>IF(COUNT($E$2:$E308)&lt;20,"",MAX($C$289:$C$308))</f>
        <v>0</v>
      </c>
      <c r="AR308">
        <f>IF(COUNT($E$2:$E308)&lt;20,"",MIN($D$289:$D$308))</f>
        <v>0</v>
      </c>
      <c r="AS308">
        <f>IF(OR(AQ308="",AR308=""),"",(AQ308+AR308)/2)</f>
        <v>0</v>
      </c>
      <c r="AT308">
        <f>IF(COUNT($G$289:$G$308)&lt;20,"",STDEV($G$289:$G$308)*SQRT(252))</f>
        <v>0</v>
      </c>
      <c r="AU308">
        <f>IF(COUNT($E$2:$E308)&lt;9,"",(MAX($C$300:$C$308)+MIN($D$300:$D$308))/2)</f>
        <v>0</v>
      </c>
      <c r="AV308">
        <f>IF(COUNT($E$2:$E308)&lt;26,"",(MAX($C$283:$C$308)+MIN($D$283:$D$308))/2)</f>
        <v>0</v>
      </c>
      <c r="AW308">
        <f>IF(OR(AU308="",AV308=""),"",(AU308+AV308)/2)</f>
        <v>0</v>
      </c>
      <c r="AX308">
        <f>IF(COUNT($E$2:$E308)&lt;52,"",(MAX($C$257:$C$308)+MIN($D$257:$D$308))/2)</f>
        <v>0</v>
      </c>
      <c r="AY308">
        <f>IF(COUNT($E$2:$E308)&lt;20,"",MAX($C$209:$C$308))</f>
        <v>0</v>
      </c>
      <c r="AZ308">
        <f>IF(COUNT($E$2:$E308)&lt;20,"",MIN($D$209:$D$308))</f>
        <v>0</v>
      </c>
      <c r="BA308">
        <f>IF(COUNT($E$2:$E308)&lt;20,"",SLOPE($E$209:$E$308,$F$209:$F$308))</f>
        <v>0</v>
      </c>
      <c r="BB308">
        <f>IF(COUNT($E$2:$E308)&lt;20,"",INTERCEPT($E$209:$E$308,$F$209:$F$308))</f>
        <v>0</v>
      </c>
      <c r="BC308">
        <f>IF(OR(BA308="",BB308=""),"",BB308+BA308*F308)</f>
        <v>0</v>
      </c>
      <c r="BD308">
        <f>IF(COUNT($E$2:$E308)&lt;20,"",STEYX($E$209:$E$308,$F$209:$F$308))</f>
        <v>0</v>
      </c>
      <c r="BE308">
        <f>IF($E308="","",IF(AND(COUNT($E$309:$E$312)&gt;=4,$C308=MAX($C$304:$C$312)),$C308,""))</f>
        <v>0</v>
      </c>
      <c r="BF308">
        <f>IF($E308="","",IF(AND(COUNT($E$309:$E$312)&gt;=4,$D308=MIN($D$304:$D$312)),$D308,""))</f>
        <v>0</v>
      </c>
      <c r="BG308">
        <f>IF($A308="","",$A308-WEEKDAY($A308,2)+1)</f>
        <v>0</v>
      </c>
      <c r="BH308">
        <f>IF($A308="","",IF($A307="",1,IF(BG308&lt;&gt;BG307,1,0)))</f>
        <v>0</v>
      </c>
      <c r="BI308">
        <f>IF($A308="","",IF($A309="",1,IF(BG309&lt;&gt;BG308,1,0)))</f>
        <v>0</v>
      </c>
      <c r="BJ308">
        <f>IF($A308="","",IF(BH308=1,$B308,BJ307))</f>
        <v>0</v>
      </c>
      <c r="BK308">
        <f>IF($A308="","",IF(BH308=1,$C308,MAX($C308,BK307)))</f>
        <v>0</v>
      </c>
      <c r="BL308">
        <f>IF($A308="","",IF(BH308=1,$D308,MIN($D308,BL307)))</f>
        <v>0</v>
      </c>
      <c r="BM308">
        <f>IF($A308="","",IF(BI308=1,F308,""))</f>
        <v>0</v>
      </c>
      <c r="BN308">
        <f>IF($A308="","",DATE(YEAR($A308),MONTH($A308),1))</f>
        <v>0</v>
      </c>
      <c r="BO308">
        <f>IF($A308="","",IF($A307="",1,IF(BN308&lt;&gt;BN307,1,0)))</f>
        <v>0</v>
      </c>
      <c r="BP308">
        <f>IF($A308="","",IF($A309="",1,IF(BN309&lt;&gt;BN308,1,0)))</f>
        <v>0</v>
      </c>
      <c r="BQ308">
        <f>IF($A308="","",IF(BO308=1,$B308,BQ307))</f>
        <v>0</v>
      </c>
      <c r="BR308">
        <f>IF($A308="","",IF(BO308=1,$C308,MAX($C308,BR307)))</f>
        <v>0</v>
      </c>
      <c r="BS308">
        <f>IF($A308="","",IF(BO308=1,$D308,MIN($D308,BS307)))</f>
        <v>0</v>
      </c>
      <c r="BT308">
        <f>IF($A308="","",IF(BP308=1,F308,""))</f>
        <v>0</v>
      </c>
    </row>
    <row r="309" spans="1:72">
      <c r="A309" s="27">
        <f>IF(Data!$A309="","",Data!$A309)</f>
        <v>0</v>
      </c>
      <c r="B309">
        <f>IF(Data!$B309="","",Data!$B309)</f>
        <v>0</v>
      </c>
      <c r="C309">
        <f>IF(Data!$C309="","",Data!$C309)</f>
        <v>0</v>
      </c>
      <c r="D309">
        <f>IF(Data!$D309="","",Data!$D309)</f>
        <v>0</v>
      </c>
      <c r="E309">
        <f>IF(Data!$E309="","",Data!$E309)</f>
        <v>0</v>
      </c>
      <c r="F309">
        <f>IF($E309="","",N(F308)+1)</f>
        <v>0</v>
      </c>
      <c r="G309">
        <f>IF(OR($E309="",$E308=""),"",LN($E309/$E308))</f>
        <v>0</v>
      </c>
      <c r="H309">
        <f>IF($E309="","",IF($E308="",$E309,$E309*0.0952380952+H308*0.9047619048))</f>
        <v>0</v>
      </c>
      <c r="I309">
        <f>IF($E309="","",IF($E308="",$E309,$E309*0.0392156863+I308*0.9607843137))</f>
        <v>0</v>
      </c>
      <c r="J309">
        <f>IF($E309="","",IF($E308="",$E309,$E309*0.0198019802+J308*0.9801980198))</f>
        <v>0</v>
      </c>
      <c r="K309">
        <f>IF($E309="","",IF($E308="",$E309,$E309*0.0099502488+K308*0.9900497512))</f>
        <v>0</v>
      </c>
      <c r="L309">
        <f>IF(OR($E309="",$E308=""),"",MAX($E309-$E308,0))</f>
        <v>0</v>
      </c>
      <c r="M309">
        <f>IF(OR($E309="",$E308=""),"",MAX($E308-$E309,0))</f>
        <v>0</v>
      </c>
      <c r="N309">
        <f>IF(COUNT($E$2:$E309)&lt;15,"",IF(AVERAGE($M$296:$M$309)=0,100,100-100/(1+AVERAGE($L$296:$L$309)/AVERAGE($M$296:$M$309))))</f>
        <v>0</v>
      </c>
      <c r="O309">
        <f>IF($E309="","",IF($E308="",$E309,$E309*0.1538461538+O308*0.8461538462))</f>
        <v>0</v>
      </c>
      <c r="P309">
        <f>IF($E309="","",IF($E308="",$E309,$E309*0.0740740741+P308*0.9259259259))</f>
        <v>0</v>
      </c>
      <c r="Q309">
        <f>IF(OR(O309="",P309=""),"",O309-P309)</f>
        <v>0</v>
      </c>
      <c r="R309">
        <f>IF(Q309="","",IF(R308="",Q309,Q309*0.2000000000+R308*0.8000000000))</f>
        <v>0</v>
      </c>
      <c r="S309">
        <f>IF(OR(Q309="",R309=""),"",Q309-R309)</f>
        <v>0</v>
      </c>
      <c r="T309">
        <f>IF(COUNT($E$2:$E309)&lt;14,"",MAX($C$296:$C$309))</f>
        <v>0</v>
      </c>
      <c r="U309">
        <f>IF(COUNT($E$2:$E309)&lt;14,"",MIN($D$296:$D$309))</f>
        <v>0</v>
      </c>
      <c r="V309">
        <f>IF(OR(T309="",U309="",T309=U309),"",100*($E309-U309)/(T309-U309))</f>
        <v>0</v>
      </c>
      <c r="W309">
        <f>IF(COUNT($V$307:$V$309)&lt;3,"",AVERAGE($V$307:$V$309))</f>
        <v>0</v>
      </c>
      <c r="X309">
        <f>IF(COUNT($N$296:$N$309)&lt;14,"",MIN($N$296:$N$309))</f>
        <v>0</v>
      </c>
      <c r="Y309">
        <f>IF(COUNT($N$296:$N$309)&lt;14,"",MAX($N$296:$N$309))</f>
        <v>0</v>
      </c>
      <c r="Z309">
        <f>IF(OR(N309="",X309="",Y309="",Y309=X309),"",100*(N309-X309)/(Y309-X309))</f>
        <v>0</v>
      </c>
      <c r="AA309">
        <f>IF(COUNT($Z$307:$Z$309)&lt;3,"",AVERAGE($Z$307:$Z$309))</f>
        <v>0</v>
      </c>
      <c r="AB309">
        <f>IF(COUNT($AA$307:$AA$309)&lt;3,"",AVERAGE($AA$307:$AA$309))</f>
        <v>0</v>
      </c>
      <c r="AC309">
        <f>IF($E309="","",MAX($C309-$D309,ABS($C309-$E308),ABS($D309-$E308)))</f>
        <v>0</v>
      </c>
      <c r="AD309">
        <f>IF(COUNT($E$2:$E309)&lt;15,"",AVERAGE($AC$296:$AC$309))</f>
        <v>0</v>
      </c>
      <c r="AE309">
        <f>IF(OR($E309="",$E308=""),"",IF(AND(($C309-$C308)&gt;($D308-$D309),($C309-$C308)&gt;0),$C309-$C308,0))</f>
        <v>0</v>
      </c>
      <c r="AF309">
        <f>IF(OR($E309="",$E308=""),"",IF(AND(($D308-$D309)&gt;($C309-$C308),($D308-$D309)&gt;0),$D308-$D309,0))</f>
        <v>0</v>
      </c>
      <c r="AG309">
        <f>IF(COUNT($E$2:$E309)&lt;15,"",IF(SUM($AC$296:$AC$309)=0,0,100*SUM($AE$296:$AE$309)/SUM($AC$296:$AC$309)))</f>
        <v>0</v>
      </c>
      <c r="AH309">
        <f>IF(COUNT($E$2:$E309)&lt;15,"",IF(SUM($AC$296:$AC$309)=0,0,100*SUM($AF$296:$AF$309)/SUM($AC$296:$AC$309)))</f>
        <v>0</v>
      </c>
      <c r="AI309">
        <f>IF(OR(AG309="",AH309=""),"",IF((AG309+AH309)=0,0,100*ABS(AG309-AH309)/(AG309+AH309)))</f>
        <v>0</v>
      </c>
      <c r="AJ309">
        <f>IF(COUNT($AI$296:$AI$309)&lt;14,"",AVERAGE($AI$296:$AI$309))</f>
        <v>0</v>
      </c>
      <c r="AK309">
        <f>IF(COUNT($E$2:$E309)&lt;20,"",AVERAGE($E$290:$E$309))</f>
        <v>0</v>
      </c>
      <c r="AL309">
        <f>IF(COUNT($E$2:$E309)&lt;20,"",STDEVP($E$290:$E$309))</f>
        <v>0</v>
      </c>
      <c r="AM309">
        <f>IF(AK309="","",AK309+2*AL309)</f>
        <v>0</v>
      </c>
      <c r="AN309">
        <f>IF(AK309="","",AK309-2*AL309)</f>
        <v>0</v>
      </c>
      <c r="AO309">
        <f>IF(OR(AM309="",AN309="",AM309=AN309),"",($E309-AN309)/(AM309-AN309))</f>
        <v>0</v>
      </c>
      <c r="AP309">
        <f>IF(OR(AM309="",AK309="",AK309=0),"",(AM309-AN309)/AK309)</f>
        <v>0</v>
      </c>
      <c r="AQ309">
        <f>IF(COUNT($E$2:$E309)&lt;20,"",MAX($C$290:$C$309))</f>
        <v>0</v>
      </c>
      <c r="AR309">
        <f>IF(COUNT($E$2:$E309)&lt;20,"",MIN($D$290:$D$309))</f>
        <v>0</v>
      </c>
      <c r="AS309">
        <f>IF(OR(AQ309="",AR309=""),"",(AQ309+AR309)/2)</f>
        <v>0</v>
      </c>
      <c r="AT309">
        <f>IF(COUNT($G$290:$G$309)&lt;20,"",STDEV($G$290:$G$309)*SQRT(252))</f>
        <v>0</v>
      </c>
      <c r="AU309">
        <f>IF(COUNT($E$2:$E309)&lt;9,"",(MAX($C$301:$C$309)+MIN($D$301:$D$309))/2)</f>
        <v>0</v>
      </c>
      <c r="AV309">
        <f>IF(COUNT($E$2:$E309)&lt;26,"",(MAX($C$284:$C$309)+MIN($D$284:$D$309))/2)</f>
        <v>0</v>
      </c>
      <c r="AW309">
        <f>IF(OR(AU309="",AV309=""),"",(AU309+AV309)/2)</f>
        <v>0</v>
      </c>
      <c r="AX309">
        <f>IF(COUNT($E$2:$E309)&lt;52,"",(MAX($C$258:$C$309)+MIN($D$258:$D$309))/2)</f>
        <v>0</v>
      </c>
      <c r="AY309">
        <f>IF(COUNT($E$2:$E309)&lt;20,"",MAX($C$210:$C$309))</f>
        <v>0</v>
      </c>
      <c r="AZ309">
        <f>IF(COUNT($E$2:$E309)&lt;20,"",MIN($D$210:$D$309))</f>
        <v>0</v>
      </c>
      <c r="BA309">
        <f>IF(COUNT($E$2:$E309)&lt;20,"",SLOPE($E$210:$E$309,$F$210:$F$309))</f>
        <v>0</v>
      </c>
      <c r="BB309">
        <f>IF(COUNT($E$2:$E309)&lt;20,"",INTERCEPT($E$210:$E$309,$F$210:$F$309))</f>
        <v>0</v>
      </c>
      <c r="BC309">
        <f>IF(OR(BA309="",BB309=""),"",BB309+BA309*F309)</f>
        <v>0</v>
      </c>
      <c r="BD309">
        <f>IF(COUNT($E$2:$E309)&lt;20,"",STEYX($E$210:$E$309,$F$210:$F$309))</f>
        <v>0</v>
      </c>
      <c r="BE309">
        <f>IF($E309="","",IF(AND(COUNT($E$310:$E$313)&gt;=4,$C309=MAX($C$305:$C$313)),$C309,""))</f>
        <v>0</v>
      </c>
      <c r="BF309">
        <f>IF($E309="","",IF(AND(COUNT($E$310:$E$313)&gt;=4,$D309=MIN($D$305:$D$313)),$D309,""))</f>
        <v>0</v>
      </c>
      <c r="BG309">
        <f>IF($A309="","",$A309-WEEKDAY($A309,2)+1)</f>
        <v>0</v>
      </c>
      <c r="BH309">
        <f>IF($A309="","",IF($A308="",1,IF(BG309&lt;&gt;BG308,1,0)))</f>
        <v>0</v>
      </c>
      <c r="BI309">
        <f>IF($A309="","",IF($A310="",1,IF(BG310&lt;&gt;BG309,1,0)))</f>
        <v>0</v>
      </c>
      <c r="BJ309">
        <f>IF($A309="","",IF(BH309=1,$B309,BJ308))</f>
        <v>0</v>
      </c>
      <c r="BK309">
        <f>IF($A309="","",IF(BH309=1,$C309,MAX($C309,BK308)))</f>
        <v>0</v>
      </c>
      <c r="BL309">
        <f>IF($A309="","",IF(BH309=1,$D309,MIN($D309,BL308)))</f>
        <v>0</v>
      </c>
      <c r="BM309">
        <f>IF($A309="","",IF(BI309=1,F309,""))</f>
        <v>0</v>
      </c>
      <c r="BN309">
        <f>IF($A309="","",DATE(YEAR($A309),MONTH($A309),1))</f>
        <v>0</v>
      </c>
      <c r="BO309">
        <f>IF($A309="","",IF($A308="",1,IF(BN309&lt;&gt;BN308,1,0)))</f>
        <v>0</v>
      </c>
      <c r="BP309">
        <f>IF($A309="","",IF($A310="",1,IF(BN310&lt;&gt;BN309,1,0)))</f>
        <v>0</v>
      </c>
      <c r="BQ309">
        <f>IF($A309="","",IF(BO309=1,$B309,BQ308))</f>
        <v>0</v>
      </c>
      <c r="BR309">
        <f>IF($A309="","",IF(BO309=1,$C309,MAX($C309,BR308)))</f>
        <v>0</v>
      </c>
      <c r="BS309">
        <f>IF($A309="","",IF(BO309=1,$D309,MIN($D309,BS308)))</f>
        <v>0</v>
      </c>
      <c r="BT309">
        <f>IF($A309="","",IF(BP309=1,F309,""))</f>
        <v>0</v>
      </c>
    </row>
    <row r="310" spans="1:72">
      <c r="A310" s="27">
        <f>IF(Data!$A310="","",Data!$A310)</f>
        <v>0</v>
      </c>
      <c r="B310">
        <f>IF(Data!$B310="","",Data!$B310)</f>
        <v>0</v>
      </c>
      <c r="C310">
        <f>IF(Data!$C310="","",Data!$C310)</f>
        <v>0</v>
      </c>
      <c r="D310">
        <f>IF(Data!$D310="","",Data!$D310)</f>
        <v>0</v>
      </c>
      <c r="E310">
        <f>IF(Data!$E310="","",Data!$E310)</f>
        <v>0</v>
      </c>
      <c r="F310">
        <f>IF($E310="","",N(F309)+1)</f>
        <v>0</v>
      </c>
      <c r="G310">
        <f>IF(OR($E310="",$E309=""),"",LN($E310/$E309))</f>
        <v>0</v>
      </c>
      <c r="H310">
        <f>IF($E310="","",IF($E309="",$E310,$E310*0.0952380952+H309*0.9047619048))</f>
        <v>0</v>
      </c>
      <c r="I310">
        <f>IF($E310="","",IF($E309="",$E310,$E310*0.0392156863+I309*0.9607843137))</f>
        <v>0</v>
      </c>
      <c r="J310">
        <f>IF($E310="","",IF($E309="",$E310,$E310*0.0198019802+J309*0.9801980198))</f>
        <v>0</v>
      </c>
      <c r="K310">
        <f>IF($E310="","",IF($E309="",$E310,$E310*0.0099502488+K309*0.9900497512))</f>
        <v>0</v>
      </c>
      <c r="L310">
        <f>IF(OR($E310="",$E309=""),"",MAX($E310-$E309,0))</f>
        <v>0</v>
      </c>
      <c r="M310">
        <f>IF(OR($E310="",$E309=""),"",MAX($E309-$E310,0))</f>
        <v>0</v>
      </c>
      <c r="N310">
        <f>IF(COUNT($E$2:$E310)&lt;15,"",IF(AVERAGE($M$297:$M$310)=0,100,100-100/(1+AVERAGE($L$297:$L$310)/AVERAGE($M$297:$M$310))))</f>
        <v>0</v>
      </c>
      <c r="O310">
        <f>IF($E310="","",IF($E309="",$E310,$E310*0.1538461538+O309*0.8461538462))</f>
        <v>0</v>
      </c>
      <c r="P310">
        <f>IF($E310="","",IF($E309="",$E310,$E310*0.0740740741+P309*0.9259259259))</f>
        <v>0</v>
      </c>
      <c r="Q310">
        <f>IF(OR(O310="",P310=""),"",O310-P310)</f>
        <v>0</v>
      </c>
      <c r="R310">
        <f>IF(Q310="","",IF(R309="",Q310,Q310*0.2000000000+R309*0.8000000000))</f>
        <v>0</v>
      </c>
      <c r="S310">
        <f>IF(OR(Q310="",R310=""),"",Q310-R310)</f>
        <v>0</v>
      </c>
      <c r="T310">
        <f>IF(COUNT($E$2:$E310)&lt;14,"",MAX($C$297:$C$310))</f>
        <v>0</v>
      </c>
      <c r="U310">
        <f>IF(COUNT($E$2:$E310)&lt;14,"",MIN($D$297:$D$310))</f>
        <v>0</v>
      </c>
      <c r="V310">
        <f>IF(OR(T310="",U310="",T310=U310),"",100*($E310-U310)/(T310-U310))</f>
        <v>0</v>
      </c>
      <c r="W310">
        <f>IF(COUNT($V$308:$V$310)&lt;3,"",AVERAGE($V$308:$V$310))</f>
        <v>0</v>
      </c>
      <c r="X310">
        <f>IF(COUNT($N$297:$N$310)&lt;14,"",MIN($N$297:$N$310))</f>
        <v>0</v>
      </c>
      <c r="Y310">
        <f>IF(COUNT($N$297:$N$310)&lt;14,"",MAX($N$297:$N$310))</f>
        <v>0</v>
      </c>
      <c r="Z310">
        <f>IF(OR(N310="",X310="",Y310="",Y310=X310),"",100*(N310-X310)/(Y310-X310))</f>
        <v>0</v>
      </c>
      <c r="AA310">
        <f>IF(COUNT($Z$308:$Z$310)&lt;3,"",AVERAGE($Z$308:$Z$310))</f>
        <v>0</v>
      </c>
      <c r="AB310">
        <f>IF(COUNT($AA$308:$AA$310)&lt;3,"",AVERAGE($AA$308:$AA$310))</f>
        <v>0</v>
      </c>
      <c r="AC310">
        <f>IF($E310="","",MAX($C310-$D310,ABS($C310-$E309),ABS($D310-$E309)))</f>
        <v>0</v>
      </c>
      <c r="AD310">
        <f>IF(COUNT($E$2:$E310)&lt;15,"",AVERAGE($AC$297:$AC$310))</f>
        <v>0</v>
      </c>
      <c r="AE310">
        <f>IF(OR($E310="",$E309=""),"",IF(AND(($C310-$C309)&gt;($D309-$D310),($C310-$C309)&gt;0),$C310-$C309,0))</f>
        <v>0</v>
      </c>
      <c r="AF310">
        <f>IF(OR($E310="",$E309=""),"",IF(AND(($D309-$D310)&gt;($C310-$C309),($D309-$D310)&gt;0),$D309-$D310,0))</f>
        <v>0</v>
      </c>
      <c r="AG310">
        <f>IF(COUNT($E$2:$E310)&lt;15,"",IF(SUM($AC$297:$AC$310)=0,0,100*SUM($AE$297:$AE$310)/SUM($AC$297:$AC$310)))</f>
        <v>0</v>
      </c>
      <c r="AH310">
        <f>IF(COUNT($E$2:$E310)&lt;15,"",IF(SUM($AC$297:$AC$310)=0,0,100*SUM($AF$297:$AF$310)/SUM($AC$297:$AC$310)))</f>
        <v>0</v>
      </c>
      <c r="AI310">
        <f>IF(OR(AG310="",AH310=""),"",IF((AG310+AH310)=0,0,100*ABS(AG310-AH310)/(AG310+AH310)))</f>
        <v>0</v>
      </c>
      <c r="AJ310">
        <f>IF(COUNT($AI$297:$AI$310)&lt;14,"",AVERAGE($AI$297:$AI$310))</f>
        <v>0</v>
      </c>
      <c r="AK310">
        <f>IF(COUNT($E$2:$E310)&lt;20,"",AVERAGE($E$291:$E$310))</f>
        <v>0</v>
      </c>
      <c r="AL310">
        <f>IF(COUNT($E$2:$E310)&lt;20,"",STDEVP($E$291:$E$310))</f>
        <v>0</v>
      </c>
      <c r="AM310">
        <f>IF(AK310="","",AK310+2*AL310)</f>
        <v>0</v>
      </c>
      <c r="AN310">
        <f>IF(AK310="","",AK310-2*AL310)</f>
        <v>0</v>
      </c>
      <c r="AO310">
        <f>IF(OR(AM310="",AN310="",AM310=AN310),"",($E310-AN310)/(AM310-AN310))</f>
        <v>0</v>
      </c>
      <c r="AP310">
        <f>IF(OR(AM310="",AK310="",AK310=0),"",(AM310-AN310)/AK310)</f>
        <v>0</v>
      </c>
      <c r="AQ310">
        <f>IF(COUNT($E$2:$E310)&lt;20,"",MAX($C$291:$C$310))</f>
        <v>0</v>
      </c>
      <c r="AR310">
        <f>IF(COUNT($E$2:$E310)&lt;20,"",MIN($D$291:$D$310))</f>
        <v>0</v>
      </c>
      <c r="AS310">
        <f>IF(OR(AQ310="",AR310=""),"",(AQ310+AR310)/2)</f>
        <v>0</v>
      </c>
      <c r="AT310">
        <f>IF(COUNT($G$291:$G$310)&lt;20,"",STDEV($G$291:$G$310)*SQRT(252))</f>
        <v>0</v>
      </c>
      <c r="AU310">
        <f>IF(COUNT($E$2:$E310)&lt;9,"",(MAX($C$302:$C$310)+MIN($D$302:$D$310))/2)</f>
        <v>0</v>
      </c>
      <c r="AV310">
        <f>IF(COUNT($E$2:$E310)&lt;26,"",(MAX($C$285:$C$310)+MIN($D$285:$D$310))/2)</f>
        <v>0</v>
      </c>
      <c r="AW310">
        <f>IF(OR(AU310="",AV310=""),"",(AU310+AV310)/2)</f>
        <v>0</v>
      </c>
      <c r="AX310">
        <f>IF(COUNT($E$2:$E310)&lt;52,"",(MAX($C$259:$C$310)+MIN($D$259:$D$310))/2)</f>
        <v>0</v>
      </c>
      <c r="AY310">
        <f>IF(COUNT($E$2:$E310)&lt;20,"",MAX($C$211:$C$310))</f>
        <v>0</v>
      </c>
      <c r="AZ310">
        <f>IF(COUNT($E$2:$E310)&lt;20,"",MIN($D$211:$D$310))</f>
        <v>0</v>
      </c>
      <c r="BA310">
        <f>IF(COUNT($E$2:$E310)&lt;20,"",SLOPE($E$211:$E$310,$F$211:$F$310))</f>
        <v>0</v>
      </c>
      <c r="BB310">
        <f>IF(COUNT($E$2:$E310)&lt;20,"",INTERCEPT($E$211:$E$310,$F$211:$F$310))</f>
        <v>0</v>
      </c>
      <c r="BC310">
        <f>IF(OR(BA310="",BB310=""),"",BB310+BA310*F310)</f>
        <v>0</v>
      </c>
      <c r="BD310">
        <f>IF(COUNT($E$2:$E310)&lt;20,"",STEYX($E$211:$E$310,$F$211:$F$310))</f>
        <v>0</v>
      </c>
      <c r="BE310">
        <f>IF($E310="","",IF(AND(COUNT($E$311:$E$314)&gt;=4,$C310=MAX($C$306:$C$314)),$C310,""))</f>
        <v>0</v>
      </c>
      <c r="BF310">
        <f>IF($E310="","",IF(AND(COUNT($E$311:$E$314)&gt;=4,$D310=MIN($D$306:$D$314)),$D310,""))</f>
        <v>0</v>
      </c>
      <c r="BG310">
        <f>IF($A310="","",$A310-WEEKDAY($A310,2)+1)</f>
        <v>0</v>
      </c>
      <c r="BH310">
        <f>IF($A310="","",IF($A309="",1,IF(BG310&lt;&gt;BG309,1,0)))</f>
        <v>0</v>
      </c>
      <c r="BI310">
        <f>IF($A310="","",IF($A311="",1,IF(BG311&lt;&gt;BG310,1,0)))</f>
        <v>0</v>
      </c>
      <c r="BJ310">
        <f>IF($A310="","",IF(BH310=1,$B310,BJ309))</f>
        <v>0</v>
      </c>
      <c r="BK310">
        <f>IF($A310="","",IF(BH310=1,$C310,MAX($C310,BK309)))</f>
        <v>0</v>
      </c>
      <c r="BL310">
        <f>IF($A310="","",IF(BH310=1,$D310,MIN($D310,BL309)))</f>
        <v>0</v>
      </c>
      <c r="BM310">
        <f>IF($A310="","",IF(BI310=1,F310,""))</f>
        <v>0</v>
      </c>
      <c r="BN310">
        <f>IF($A310="","",DATE(YEAR($A310),MONTH($A310),1))</f>
        <v>0</v>
      </c>
      <c r="BO310">
        <f>IF($A310="","",IF($A309="",1,IF(BN310&lt;&gt;BN309,1,0)))</f>
        <v>0</v>
      </c>
      <c r="BP310">
        <f>IF($A310="","",IF($A311="",1,IF(BN311&lt;&gt;BN310,1,0)))</f>
        <v>0</v>
      </c>
      <c r="BQ310">
        <f>IF($A310="","",IF(BO310=1,$B310,BQ309))</f>
        <v>0</v>
      </c>
      <c r="BR310">
        <f>IF($A310="","",IF(BO310=1,$C310,MAX($C310,BR309)))</f>
        <v>0</v>
      </c>
      <c r="BS310">
        <f>IF($A310="","",IF(BO310=1,$D310,MIN($D310,BS309)))</f>
        <v>0</v>
      </c>
      <c r="BT310">
        <f>IF($A310="","",IF(BP310=1,F310,""))</f>
        <v>0</v>
      </c>
    </row>
    <row r="311" spans="1:72">
      <c r="A311" s="27">
        <f>IF(Data!$A311="","",Data!$A311)</f>
        <v>0</v>
      </c>
      <c r="B311">
        <f>IF(Data!$B311="","",Data!$B311)</f>
        <v>0</v>
      </c>
      <c r="C311">
        <f>IF(Data!$C311="","",Data!$C311)</f>
        <v>0</v>
      </c>
      <c r="D311">
        <f>IF(Data!$D311="","",Data!$D311)</f>
        <v>0</v>
      </c>
      <c r="E311">
        <f>IF(Data!$E311="","",Data!$E311)</f>
        <v>0</v>
      </c>
      <c r="F311">
        <f>IF($E311="","",N(F310)+1)</f>
        <v>0</v>
      </c>
      <c r="G311">
        <f>IF(OR($E311="",$E310=""),"",LN($E311/$E310))</f>
        <v>0</v>
      </c>
      <c r="H311">
        <f>IF($E311="","",IF($E310="",$E311,$E311*0.0952380952+H310*0.9047619048))</f>
        <v>0</v>
      </c>
      <c r="I311">
        <f>IF($E311="","",IF($E310="",$E311,$E311*0.0392156863+I310*0.9607843137))</f>
        <v>0</v>
      </c>
      <c r="J311">
        <f>IF($E311="","",IF($E310="",$E311,$E311*0.0198019802+J310*0.9801980198))</f>
        <v>0</v>
      </c>
      <c r="K311">
        <f>IF($E311="","",IF($E310="",$E311,$E311*0.0099502488+K310*0.9900497512))</f>
        <v>0</v>
      </c>
      <c r="L311">
        <f>IF(OR($E311="",$E310=""),"",MAX($E311-$E310,0))</f>
        <v>0</v>
      </c>
      <c r="M311">
        <f>IF(OR($E311="",$E310=""),"",MAX($E310-$E311,0))</f>
        <v>0</v>
      </c>
      <c r="N311">
        <f>IF(COUNT($E$2:$E311)&lt;15,"",IF(AVERAGE($M$298:$M$311)=0,100,100-100/(1+AVERAGE($L$298:$L$311)/AVERAGE($M$298:$M$311))))</f>
        <v>0</v>
      </c>
      <c r="O311">
        <f>IF($E311="","",IF($E310="",$E311,$E311*0.1538461538+O310*0.8461538462))</f>
        <v>0</v>
      </c>
      <c r="P311">
        <f>IF($E311="","",IF($E310="",$E311,$E311*0.0740740741+P310*0.9259259259))</f>
        <v>0</v>
      </c>
      <c r="Q311">
        <f>IF(OR(O311="",P311=""),"",O311-P311)</f>
        <v>0</v>
      </c>
      <c r="R311">
        <f>IF(Q311="","",IF(R310="",Q311,Q311*0.2000000000+R310*0.8000000000))</f>
        <v>0</v>
      </c>
      <c r="S311">
        <f>IF(OR(Q311="",R311=""),"",Q311-R311)</f>
        <v>0</v>
      </c>
      <c r="T311">
        <f>IF(COUNT($E$2:$E311)&lt;14,"",MAX($C$298:$C$311))</f>
        <v>0</v>
      </c>
      <c r="U311">
        <f>IF(COUNT($E$2:$E311)&lt;14,"",MIN($D$298:$D$311))</f>
        <v>0</v>
      </c>
      <c r="V311">
        <f>IF(OR(T311="",U311="",T311=U311),"",100*($E311-U311)/(T311-U311))</f>
        <v>0</v>
      </c>
      <c r="W311">
        <f>IF(COUNT($V$309:$V$311)&lt;3,"",AVERAGE($V$309:$V$311))</f>
        <v>0</v>
      </c>
      <c r="X311">
        <f>IF(COUNT($N$298:$N$311)&lt;14,"",MIN($N$298:$N$311))</f>
        <v>0</v>
      </c>
      <c r="Y311">
        <f>IF(COUNT($N$298:$N$311)&lt;14,"",MAX($N$298:$N$311))</f>
        <v>0</v>
      </c>
      <c r="Z311">
        <f>IF(OR(N311="",X311="",Y311="",Y311=X311),"",100*(N311-X311)/(Y311-X311))</f>
        <v>0</v>
      </c>
      <c r="AA311">
        <f>IF(COUNT($Z$309:$Z$311)&lt;3,"",AVERAGE($Z$309:$Z$311))</f>
        <v>0</v>
      </c>
      <c r="AB311">
        <f>IF(COUNT($AA$309:$AA$311)&lt;3,"",AVERAGE($AA$309:$AA$311))</f>
        <v>0</v>
      </c>
      <c r="AC311">
        <f>IF($E311="","",MAX($C311-$D311,ABS($C311-$E310),ABS($D311-$E310)))</f>
        <v>0</v>
      </c>
      <c r="AD311">
        <f>IF(COUNT($E$2:$E311)&lt;15,"",AVERAGE($AC$298:$AC$311))</f>
        <v>0</v>
      </c>
      <c r="AE311">
        <f>IF(OR($E311="",$E310=""),"",IF(AND(($C311-$C310)&gt;($D310-$D311),($C311-$C310)&gt;0),$C311-$C310,0))</f>
        <v>0</v>
      </c>
      <c r="AF311">
        <f>IF(OR($E311="",$E310=""),"",IF(AND(($D310-$D311)&gt;($C311-$C310),($D310-$D311)&gt;0),$D310-$D311,0))</f>
        <v>0</v>
      </c>
      <c r="AG311">
        <f>IF(COUNT($E$2:$E311)&lt;15,"",IF(SUM($AC$298:$AC$311)=0,0,100*SUM($AE$298:$AE$311)/SUM($AC$298:$AC$311)))</f>
        <v>0</v>
      </c>
      <c r="AH311">
        <f>IF(COUNT($E$2:$E311)&lt;15,"",IF(SUM($AC$298:$AC$311)=0,0,100*SUM($AF$298:$AF$311)/SUM($AC$298:$AC$311)))</f>
        <v>0</v>
      </c>
      <c r="AI311">
        <f>IF(OR(AG311="",AH311=""),"",IF((AG311+AH311)=0,0,100*ABS(AG311-AH311)/(AG311+AH311)))</f>
        <v>0</v>
      </c>
      <c r="AJ311">
        <f>IF(COUNT($AI$298:$AI$311)&lt;14,"",AVERAGE($AI$298:$AI$311))</f>
        <v>0</v>
      </c>
      <c r="AK311">
        <f>IF(COUNT($E$2:$E311)&lt;20,"",AVERAGE($E$292:$E$311))</f>
        <v>0</v>
      </c>
      <c r="AL311">
        <f>IF(COUNT($E$2:$E311)&lt;20,"",STDEVP($E$292:$E$311))</f>
        <v>0</v>
      </c>
      <c r="AM311">
        <f>IF(AK311="","",AK311+2*AL311)</f>
        <v>0</v>
      </c>
      <c r="AN311">
        <f>IF(AK311="","",AK311-2*AL311)</f>
        <v>0</v>
      </c>
      <c r="AO311">
        <f>IF(OR(AM311="",AN311="",AM311=AN311),"",($E311-AN311)/(AM311-AN311))</f>
        <v>0</v>
      </c>
      <c r="AP311">
        <f>IF(OR(AM311="",AK311="",AK311=0),"",(AM311-AN311)/AK311)</f>
        <v>0</v>
      </c>
      <c r="AQ311">
        <f>IF(COUNT($E$2:$E311)&lt;20,"",MAX($C$292:$C$311))</f>
        <v>0</v>
      </c>
      <c r="AR311">
        <f>IF(COUNT($E$2:$E311)&lt;20,"",MIN($D$292:$D$311))</f>
        <v>0</v>
      </c>
      <c r="AS311">
        <f>IF(OR(AQ311="",AR311=""),"",(AQ311+AR311)/2)</f>
        <v>0</v>
      </c>
      <c r="AT311">
        <f>IF(COUNT($G$292:$G$311)&lt;20,"",STDEV($G$292:$G$311)*SQRT(252))</f>
        <v>0</v>
      </c>
      <c r="AU311">
        <f>IF(COUNT($E$2:$E311)&lt;9,"",(MAX($C$303:$C$311)+MIN($D$303:$D$311))/2)</f>
        <v>0</v>
      </c>
      <c r="AV311">
        <f>IF(COUNT($E$2:$E311)&lt;26,"",(MAX($C$286:$C$311)+MIN($D$286:$D$311))/2)</f>
        <v>0</v>
      </c>
      <c r="AW311">
        <f>IF(OR(AU311="",AV311=""),"",(AU311+AV311)/2)</f>
        <v>0</v>
      </c>
      <c r="AX311">
        <f>IF(COUNT($E$2:$E311)&lt;52,"",(MAX($C$260:$C$311)+MIN($D$260:$D$311))/2)</f>
        <v>0</v>
      </c>
      <c r="AY311">
        <f>IF(COUNT($E$2:$E311)&lt;20,"",MAX($C$212:$C$311))</f>
        <v>0</v>
      </c>
      <c r="AZ311">
        <f>IF(COUNT($E$2:$E311)&lt;20,"",MIN($D$212:$D$311))</f>
        <v>0</v>
      </c>
      <c r="BA311">
        <f>IF(COUNT($E$2:$E311)&lt;20,"",SLOPE($E$212:$E$311,$F$212:$F$311))</f>
        <v>0</v>
      </c>
      <c r="BB311">
        <f>IF(COUNT($E$2:$E311)&lt;20,"",INTERCEPT($E$212:$E$311,$F$212:$F$311))</f>
        <v>0</v>
      </c>
      <c r="BC311">
        <f>IF(OR(BA311="",BB311=""),"",BB311+BA311*F311)</f>
        <v>0</v>
      </c>
      <c r="BD311">
        <f>IF(COUNT($E$2:$E311)&lt;20,"",STEYX($E$212:$E$311,$F$212:$F$311))</f>
        <v>0</v>
      </c>
      <c r="BE311">
        <f>IF($E311="","",IF(AND(COUNT($E$312:$E$315)&gt;=4,$C311=MAX($C$307:$C$315)),$C311,""))</f>
        <v>0</v>
      </c>
      <c r="BF311">
        <f>IF($E311="","",IF(AND(COUNT($E$312:$E$315)&gt;=4,$D311=MIN($D$307:$D$315)),$D311,""))</f>
        <v>0</v>
      </c>
      <c r="BG311">
        <f>IF($A311="","",$A311-WEEKDAY($A311,2)+1)</f>
        <v>0</v>
      </c>
      <c r="BH311">
        <f>IF($A311="","",IF($A310="",1,IF(BG311&lt;&gt;BG310,1,0)))</f>
        <v>0</v>
      </c>
      <c r="BI311">
        <f>IF($A311="","",IF($A312="",1,IF(BG312&lt;&gt;BG311,1,0)))</f>
        <v>0</v>
      </c>
      <c r="BJ311">
        <f>IF($A311="","",IF(BH311=1,$B311,BJ310))</f>
        <v>0</v>
      </c>
      <c r="BK311">
        <f>IF($A311="","",IF(BH311=1,$C311,MAX($C311,BK310)))</f>
        <v>0</v>
      </c>
      <c r="BL311">
        <f>IF($A311="","",IF(BH311=1,$D311,MIN($D311,BL310)))</f>
        <v>0</v>
      </c>
      <c r="BM311">
        <f>IF($A311="","",IF(BI311=1,F311,""))</f>
        <v>0</v>
      </c>
      <c r="BN311">
        <f>IF($A311="","",DATE(YEAR($A311),MONTH($A311),1))</f>
        <v>0</v>
      </c>
      <c r="BO311">
        <f>IF($A311="","",IF($A310="",1,IF(BN311&lt;&gt;BN310,1,0)))</f>
        <v>0</v>
      </c>
      <c r="BP311">
        <f>IF($A311="","",IF($A312="",1,IF(BN312&lt;&gt;BN311,1,0)))</f>
        <v>0</v>
      </c>
      <c r="BQ311">
        <f>IF($A311="","",IF(BO311=1,$B311,BQ310))</f>
        <v>0</v>
      </c>
      <c r="BR311">
        <f>IF($A311="","",IF(BO311=1,$C311,MAX($C311,BR310)))</f>
        <v>0</v>
      </c>
      <c r="BS311">
        <f>IF($A311="","",IF(BO311=1,$D311,MIN($D311,BS310)))</f>
        <v>0</v>
      </c>
      <c r="BT311">
        <f>IF($A311="","",IF(BP311=1,F311,""))</f>
        <v>0</v>
      </c>
    </row>
    <row r="312" spans="1:72">
      <c r="A312" s="27">
        <f>IF(Data!$A312="","",Data!$A312)</f>
        <v>0</v>
      </c>
      <c r="B312">
        <f>IF(Data!$B312="","",Data!$B312)</f>
        <v>0</v>
      </c>
      <c r="C312">
        <f>IF(Data!$C312="","",Data!$C312)</f>
        <v>0</v>
      </c>
      <c r="D312">
        <f>IF(Data!$D312="","",Data!$D312)</f>
        <v>0</v>
      </c>
      <c r="E312">
        <f>IF(Data!$E312="","",Data!$E312)</f>
        <v>0</v>
      </c>
      <c r="F312">
        <f>IF($E312="","",N(F311)+1)</f>
        <v>0</v>
      </c>
      <c r="G312">
        <f>IF(OR($E312="",$E311=""),"",LN($E312/$E311))</f>
        <v>0</v>
      </c>
      <c r="H312">
        <f>IF($E312="","",IF($E311="",$E312,$E312*0.0952380952+H311*0.9047619048))</f>
        <v>0</v>
      </c>
      <c r="I312">
        <f>IF($E312="","",IF($E311="",$E312,$E312*0.0392156863+I311*0.9607843137))</f>
        <v>0</v>
      </c>
      <c r="J312">
        <f>IF($E312="","",IF($E311="",$E312,$E312*0.0198019802+J311*0.9801980198))</f>
        <v>0</v>
      </c>
      <c r="K312">
        <f>IF($E312="","",IF($E311="",$E312,$E312*0.0099502488+K311*0.9900497512))</f>
        <v>0</v>
      </c>
      <c r="L312">
        <f>IF(OR($E312="",$E311=""),"",MAX($E312-$E311,0))</f>
        <v>0</v>
      </c>
      <c r="M312">
        <f>IF(OR($E312="",$E311=""),"",MAX($E311-$E312,0))</f>
        <v>0</v>
      </c>
      <c r="N312">
        <f>IF(COUNT($E$2:$E312)&lt;15,"",IF(AVERAGE($M$299:$M$312)=0,100,100-100/(1+AVERAGE($L$299:$L$312)/AVERAGE($M$299:$M$312))))</f>
        <v>0</v>
      </c>
      <c r="O312">
        <f>IF($E312="","",IF($E311="",$E312,$E312*0.1538461538+O311*0.8461538462))</f>
        <v>0</v>
      </c>
      <c r="P312">
        <f>IF($E312="","",IF($E311="",$E312,$E312*0.0740740741+P311*0.9259259259))</f>
        <v>0</v>
      </c>
      <c r="Q312">
        <f>IF(OR(O312="",P312=""),"",O312-P312)</f>
        <v>0</v>
      </c>
      <c r="R312">
        <f>IF(Q312="","",IF(R311="",Q312,Q312*0.2000000000+R311*0.8000000000))</f>
        <v>0</v>
      </c>
      <c r="S312">
        <f>IF(OR(Q312="",R312=""),"",Q312-R312)</f>
        <v>0</v>
      </c>
      <c r="T312">
        <f>IF(COUNT($E$2:$E312)&lt;14,"",MAX($C$299:$C$312))</f>
        <v>0</v>
      </c>
      <c r="U312">
        <f>IF(COUNT($E$2:$E312)&lt;14,"",MIN($D$299:$D$312))</f>
        <v>0</v>
      </c>
      <c r="V312">
        <f>IF(OR(T312="",U312="",T312=U312),"",100*($E312-U312)/(T312-U312))</f>
        <v>0</v>
      </c>
      <c r="W312">
        <f>IF(COUNT($V$310:$V$312)&lt;3,"",AVERAGE($V$310:$V$312))</f>
        <v>0</v>
      </c>
      <c r="X312">
        <f>IF(COUNT($N$299:$N$312)&lt;14,"",MIN($N$299:$N$312))</f>
        <v>0</v>
      </c>
      <c r="Y312">
        <f>IF(COUNT($N$299:$N$312)&lt;14,"",MAX($N$299:$N$312))</f>
        <v>0</v>
      </c>
      <c r="Z312">
        <f>IF(OR(N312="",X312="",Y312="",Y312=X312),"",100*(N312-X312)/(Y312-X312))</f>
        <v>0</v>
      </c>
      <c r="AA312">
        <f>IF(COUNT($Z$310:$Z$312)&lt;3,"",AVERAGE($Z$310:$Z$312))</f>
        <v>0</v>
      </c>
      <c r="AB312">
        <f>IF(COUNT($AA$310:$AA$312)&lt;3,"",AVERAGE($AA$310:$AA$312))</f>
        <v>0</v>
      </c>
      <c r="AC312">
        <f>IF($E312="","",MAX($C312-$D312,ABS($C312-$E311),ABS($D312-$E311)))</f>
        <v>0</v>
      </c>
      <c r="AD312">
        <f>IF(COUNT($E$2:$E312)&lt;15,"",AVERAGE($AC$299:$AC$312))</f>
        <v>0</v>
      </c>
      <c r="AE312">
        <f>IF(OR($E312="",$E311=""),"",IF(AND(($C312-$C311)&gt;($D311-$D312),($C312-$C311)&gt;0),$C312-$C311,0))</f>
        <v>0</v>
      </c>
      <c r="AF312">
        <f>IF(OR($E312="",$E311=""),"",IF(AND(($D311-$D312)&gt;($C312-$C311),($D311-$D312)&gt;0),$D311-$D312,0))</f>
        <v>0</v>
      </c>
      <c r="AG312">
        <f>IF(COUNT($E$2:$E312)&lt;15,"",IF(SUM($AC$299:$AC$312)=0,0,100*SUM($AE$299:$AE$312)/SUM($AC$299:$AC$312)))</f>
        <v>0</v>
      </c>
      <c r="AH312">
        <f>IF(COUNT($E$2:$E312)&lt;15,"",IF(SUM($AC$299:$AC$312)=0,0,100*SUM($AF$299:$AF$312)/SUM($AC$299:$AC$312)))</f>
        <v>0</v>
      </c>
      <c r="AI312">
        <f>IF(OR(AG312="",AH312=""),"",IF((AG312+AH312)=0,0,100*ABS(AG312-AH312)/(AG312+AH312)))</f>
        <v>0</v>
      </c>
      <c r="AJ312">
        <f>IF(COUNT($AI$299:$AI$312)&lt;14,"",AVERAGE($AI$299:$AI$312))</f>
        <v>0</v>
      </c>
      <c r="AK312">
        <f>IF(COUNT($E$2:$E312)&lt;20,"",AVERAGE($E$293:$E$312))</f>
        <v>0</v>
      </c>
      <c r="AL312">
        <f>IF(COUNT($E$2:$E312)&lt;20,"",STDEVP($E$293:$E$312))</f>
        <v>0</v>
      </c>
      <c r="AM312">
        <f>IF(AK312="","",AK312+2*AL312)</f>
        <v>0</v>
      </c>
      <c r="AN312">
        <f>IF(AK312="","",AK312-2*AL312)</f>
        <v>0</v>
      </c>
      <c r="AO312">
        <f>IF(OR(AM312="",AN312="",AM312=AN312),"",($E312-AN312)/(AM312-AN312))</f>
        <v>0</v>
      </c>
      <c r="AP312">
        <f>IF(OR(AM312="",AK312="",AK312=0),"",(AM312-AN312)/AK312)</f>
        <v>0</v>
      </c>
      <c r="AQ312">
        <f>IF(COUNT($E$2:$E312)&lt;20,"",MAX($C$293:$C$312))</f>
        <v>0</v>
      </c>
      <c r="AR312">
        <f>IF(COUNT($E$2:$E312)&lt;20,"",MIN($D$293:$D$312))</f>
        <v>0</v>
      </c>
      <c r="AS312">
        <f>IF(OR(AQ312="",AR312=""),"",(AQ312+AR312)/2)</f>
        <v>0</v>
      </c>
      <c r="AT312">
        <f>IF(COUNT($G$293:$G$312)&lt;20,"",STDEV($G$293:$G$312)*SQRT(252))</f>
        <v>0</v>
      </c>
      <c r="AU312">
        <f>IF(COUNT($E$2:$E312)&lt;9,"",(MAX($C$304:$C$312)+MIN($D$304:$D$312))/2)</f>
        <v>0</v>
      </c>
      <c r="AV312">
        <f>IF(COUNT($E$2:$E312)&lt;26,"",(MAX($C$287:$C$312)+MIN($D$287:$D$312))/2)</f>
        <v>0</v>
      </c>
      <c r="AW312">
        <f>IF(OR(AU312="",AV312=""),"",(AU312+AV312)/2)</f>
        <v>0</v>
      </c>
      <c r="AX312">
        <f>IF(COUNT($E$2:$E312)&lt;52,"",(MAX($C$261:$C$312)+MIN($D$261:$D$312))/2)</f>
        <v>0</v>
      </c>
      <c r="AY312">
        <f>IF(COUNT($E$2:$E312)&lt;20,"",MAX($C$213:$C$312))</f>
        <v>0</v>
      </c>
      <c r="AZ312">
        <f>IF(COUNT($E$2:$E312)&lt;20,"",MIN($D$213:$D$312))</f>
        <v>0</v>
      </c>
      <c r="BA312">
        <f>IF(COUNT($E$2:$E312)&lt;20,"",SLOPE($E$213:$E$312,$F$213:$F$312))</f>
        <v>0</v>
      </c>
      <c r="BB312">
        <f>IF(COUNT($E$2:$E312)&lt;20,"",INTERCEPT($E$213:$E$312,$F$213:$F$312))</f>
        <v>0</v>
      </c>
      <c r="BC312">
        <f>IF(OR(BA312="",BB312=""),"",BB312+BA312*F312)</f>
        <v>0</v>
      </c>
      <c r="BD312">
        <f>IF(COUNT($E$2:$E312)&lt;20,"",STEYX($E$213:$E$312,$F$213:$F$312))</f>
        <v>0</v>
      </c>
      <c r="BE312">
        <f>IF($E312="","",IF(AND(COUNT($E$313:$E$316)&gt;=4,$C312=MAX($C$308:$C$316)),$C312,""))</f>
        <v>0</v>
      </c>
      <c r="BF312">
        <f>IF($E312="","",IF(AND(COUNT($E$313:$E$316)&gt;=4,$D312=MIN($D$308:$D$316)),$D312,""))</f>
        <v>0</v>
      </c>
      <c r="BG312">
        <f>IF($A312="","",$A312-WEEKDAY($A312,2)+1)</f>
        <v>0</v>
      </c>
      <c r="BH312">
        <f>IF($A312="","",IF($A311="",1,IF(BG312&lt;&gt;BG311,1,0)))</f>
        <v>0</v>
      </c>
      <c r="BI312">
        <f>IF($A312="","",IF($A313="",1,IF(BG313&lt;&gt;BG312,1,0)))</f>
        <v>0</v>
      </c>
      <c r="BJ312">
        <f>IF($A312="","",IF(BH312=1,$B312,BJ311))</f>
        <v>0</v>
      </c>
      <c r="BK312">
        <f>IF($A312="","",IF(BH312=1,$C312,MAX($C312,BK311)))</f>
        <v>0</v>
      </c>
      <c r="BL312">
        <f>IF($A312="","",IF(BH312=1,$D312,MIN($D312,BL311)))</f>
        <v>0</v>
      </c>
      <c r="BM312">
        <f>IF($A312="","",IF(BI312=1,F312,""))</f>
        <v>0</v>
      </c>
      <c r="BN312">
        <f>IF($A312="","",DATE(YEAR($A312),MONTH($A312),1))</f>
        <v>0</v>
      </c>
      <c r="BO312">
        <f>IF($A312="","",IF($A311="",1,IF(BN312&lt;&gt;BN311,1,0)))</f>
        <v>0</v>
      </c>
      <c r="BP312">
        <f>IF($A312="","",IF($A313="",1,IF(BN313&lt;&gt;BN312,1,0)))</f>
        <v>0</v>
      </c>
      <c r="BQ312">
        <f>IF($A312="","",IF(BO312=1,$B312,BQ311))</f>
        <v>0</v>
      </c>
      <c r="BR312">
        <f>IF($A312="","",IF(BO312=1,$C312,MAX($C312,BR311)))</f>
        <v>0</v>
      </c>
      <c r="BS312">
        <f>IF($A312="","",IF(BO312=1,$D312,MIN($D312,BS311)))</f>
        <v>0</v>
      </c>
      <c r="BT312">
        <f>IF($A312="","",IF(BP312=1,F312,""))</f>
        <v>0</v>
      </c>
    </row>
    <row r="313" spans="1:72">
      <c r="A313" s="27">
        <f>IF(Data!$A313="","",Data!$A313)</f>
        <v>0</v>
      </c>
      <c r="B313">
        <f>IF(Data!$B313="","",Data!$B313)</f>
        <v>0</v>
      </c>
      <c r="C313">
        <f>IF(Data!$C313="","",Data!$C313)</f>
        <v>0</v>
      </c>
      <c r="D313">
        <f>IF(Data!$D313="","",Data!$D313)</f>
        <v>0</v>
      </c>
      <c r="E313">
        <f>IF(Data!$E313="","",Data!$E313)</f>
        <v>0</v>
      </c>
      <c r="F313">
        <f>IF($E313="","",N(F312)+1)</f>
        <v>0</v>
      </c>
      <c r="G313">
        <f>IF(OR($E313="",$E312=""),"",LN($E313/$E312))</f>
        <v>0</v>
      </c>
      <c r="H313">
        <f>IF($E313="","",IF($E312="",$E313,$E313*0.0952380952+H312*0.9047619048))</f>
        <v>0</v>
      </c>
      <c r="I313">
        <f>IF($E313="","",IF($E312="",$E313,$E313*0.0392156863+I312*0.9607843137))</f>
        <v>0</v>
      </c>
      <c r="J313">
        <f>IF($E313="","",IF($E312="",$E313,$E313*0.0198019802+J312*0.9801980198))</f>
        <v>0</v>
      </c>
      <c r="K313">
        <f>IF($E313="","",IF($E312="",$E313,$E313*0.0099502488+K312*0.9900497512))</f>
        <v>0</v>
      </c>
      <c r="L313">
        <f>IF(OR($E313="",$E312=""),"",MAX($E313-$E312,0))</f>
        <v>0</v>
      </c>
      <c r="M313">
        <f>IF(OR($E313="",$E312=""),"",MAX($E312-$E313,0))</f>
        <v>0</v>
      </c>
      <c r="N313">
        <f>IF(COUNT($E$2:$E313)&lt;15,"",IF(AVERAGE($M$300:$M$313)=0,100,100-100/(1+AVERAGE($L$300:$L$313)/AVERAGE($M$300:$M$313))))</f>
        <v>0</v>
      </c>
      <c r="O313">
        <f>IF($E313="","",IF($E312="",$E313,$E313*0.1538461538+O312*0.8461538462))</f>
        <v>0</v>
      </c>
      <c r="P313">
        <f>IF($E313="","",IF($E312="",$E313,$E313*0.0740740741+P312*0.9259259259))</f>
        <v>0</v>
      </c>
      <c r="Q313">
        <f>IF(OR(O313="",P313=""),"",O313-P313)</f>
        <v>0</v>
      </c>
      <c r="R313">
        <f>IF(Q313="","",IF(R312="",Q313,Q313*0.2000000000+R312*0.8000000000))</f>
        <v>0</v>
      </c>
      <c r="S313">
        <f>IF(OR(Q313="",R313=""),"",Q313-R313)</f>
        <v>0</v>
      </c>
      <c r="T313">
        <f>IF(COUNT($E$2:$E313)&lt;14,"",MAX($C$300:$C$313))</f>
        <v>0</v>
      </c>
      <c r="U313">
        <f>IF(COUNT($E$2:$E313)&lt;14,"",MIN($D$300:$D$313))</f>
        <v>0</v>
      </c>
      <c r="V313">
        <f>IF(OR(T313="",U313="",T313=U313),"",100*($E313-U313)/(T313-U313))</f>
        <v>0</v>
      </c>
      <c r="W313">
        <f>IF(COUNT($V$311:$V$313)&lt;3,"",AVERAGE($V$311:$V$313))</f>
        <v>0</v>
      </c>
      <c r="X313">
        <f>IF(COUNT($N$300:$N$313)&lt;14,"",MIN($N$300:$N$313))</f>
        <v>0</v>
      </c>
      <c r="Y313">
        <f>IF(COUNT($N$300:$N$313)&lt;14,"",MAX($N$300:$N$313))</f>
        <v>0</v>
      </c>
      <c r="Z313">
        <f>IF(OR(N313="",X313="",Y313="",Y313=X313),"",100*(N313-X313)/(Y313-X313))</f>
        <v>0</v>
      </c>
      <c r="AA313">
        <f>IF(COUNT($Z$311:$Z$313)&lt;3,"",AVERAGE($Z$311:$Z$313))</f>
        <v>0</v>
      </c>
      <c r="AB313">
        <f>IF(COUNT($AA$311:$AA$313)&lt;3,"",AVERAGE($AA$311:$AA$313))</f>
        <v>0</v>
      </c>
      <c r="AC313">
        <f>IF($E313="","",MAX($C313-$D313,ABS($C313-$E312),ABS($D313-$E312)))</f>
        <v>0</v>
      </c>
      <c r="AD313">
        <f>IF(COUNT($E$2:$E313)&lt;15,"",AVERAGE($AC$300:$AC$313))</f>
        <v>0</v>
      </c>
      <c r="AE313">
        <f>IF(OR($E313="",$E312=""),"",IF(AND(($C313-$C312)&gt;($D312-$D313),($C313-$C312)&gt;0),$C313-$C312,0))</f>
        <v>0</v>
      </c>
      <c r="AF313">
        <f>IF(OR($E313="",$E312=""),"",IF(AND(($D312-$D313)&gt;($C313-$C312),($D312-$D313)&gt;0),$D312-$D313,0))</f>
        <v>0</v>
      </c>
      <c r="AG313">
        <f>IF(COUNT($E$2:$E313)&lt;15,"",IF(SUM($AC$300:$AC$313)=0,0,100*SUM($AE$300:$AE$313)/SUM($AC$300:$AC$313)))</f>
        <v>0</v>
      </c>
      <c r="AH313">
        <f>IF(COUNT($E$2:$E313)&lt;15,"",IF(SUM($AC$300:$AC$313)=0,0,100*SUM($AF$300:$AF$313)/SUM($AC$300:$AC$313)))</f>
        <v>0</v>
      </c>
      <c r="AI313">
        <f>IF(OR(AG313="",AH313=""),"",IF((AG313+AH313)=0,0,100*ABS(AG313-AH313)/(AG313+AH313)))</f>
        <v>0</v>
      </c>
      <c r="AJ313">
        <f>IF(COUNT($AI$300:$AI$313)&lt;14,"",AVERAGE($AI$300:$AI$313))</f>
        <v>0</v>
      </c>
      <c r="AK313">
        <f>IF(COUNT($E$2:$E313)&lt;20,"",AVERAGE($E$294:$E$313))</f>
        <v>0</v>
      </c>
      <c r="AL313">
        <f>IF(COUNT($E$2:$E313)&lt;20,"",STDEVP($E$294:$E$313))</f>
        <v>0</v>
      </c>
      <c r="AM313">
        <f>IF(AK313="","",AK313+2*AL313)</f>
        <v>0</v>
      </c>
      <c r="AN313">
        <f>IF(AK313="","",AK313-2*AL313)</f>
        <v>0</v>
      </c>
      <c r="AO313">
        <f>IF(OR(AM313="",AN313="",AM313=AN313),"",($E313-AN313)/(AM313-AN313))</f>
        <v>0</v>
      </c>
      <c r="AP313">
        <f>IF(OR(AM313="",AK313="",AK313=0),"",(AM313-AN313)/AK313)</f>
        <v>0</v>
      </c>
      <c r="AQ313">
        <f>IF(COUNT($E$2:$E313)&lt;20,"",MAX($C$294:$C$313))</f>
        <v>0</v>
      </c>
      <c r="AR313">
        <f>IF(COUNT($E$2:$E313)&lt;20,"",MIN($D$294:$D$313))</f>
        <v>0</v>
      </c>
      <c r="AS313">
        <f>IF(OR(AQ313="",AR313=""),"",(AQ313+AR313)/2)</f>
        <v>0</v>
      </c>
      <c r="AT313">
        <f>IF(COUNT($G$294:$G$313)&lt;20,"",STDEV($G$294:$G$313)*SQRT(252))</f>
        <v>0</v>
      </c>
      <c r="AU313">
        <f>IF(COUNT($E$2:$E313)&lt;9,"",(MAX($C$305:$C$313)+MIN($D$305:$D$313))/2)</f>
        <v>0</v>
      </c>
      <c r="AV313">
        <f>IF(COUNT($E$2:$E313)&lt;26,"",(MAX($C$288:$C$313)+MIN($D$288:$D$313))/2)</f>
        <v>0</v>
      </c>
      <c r="AW313">
        <f>IF(OR(AU313="",AV313=""),"",(AU313+AV313)/2)</f>
        <v>0</v>
      </c>
      <c r="AX313">
        <f>IF(COUNT($E$2:$E313)&lt;52,"",(MAX($C$262:$C$313)+MIN($D$262:$D$313))/2)</f>
        <v>0</v>
      </c>
      <c r="AY313">
        <f>IF(COUNT($E$2:$E313)&lt;20,"",MAX($C$214:$C$313))</f>
        <v>0</v>
      </c>
      <c r="AZ313">
        <f>IF(COUNT($E$2:$E313)&lt;20,"",MIN($D$214:$D$313))</f>
        <v>0</v>
      </c>
      <c r="BA313">
        <f>IF(COUNT($E$2:$E313)&lt;20,"",SLOPE($E$214:$E$313,$F$214:$F$313))</f>
        <v>0</v>
      </c>
      <c r="BB313">
        <f>IF(COUNT($E$2:$E313)&lt;20,"",INTERCEPT($E$214:$E$313,$F$214:$F$313))</f>
        <v>0</v>
      </c>
      <c r="BC313">
        <f>IF(OR(BA313="",BB313=""),"",BB313+BA313*F313)</f>
        <v>0</v>
      </c>
      <c r="BD313">
        <f>IF(COUNT($E$2:$E313)&lt;20,"",STEYX($E$214:$E$313,$F$214:$F$313))</f>
        <v>0</v>
      </c>
      <c r="BE313">
        <f>IF($E313="","",IF(AND(COUNT($E$314:$E$317)&gt;=4,$C313=MAX($C$309:$C$317)),$C313,""))</f>
        <v>0</v>
      </c>
      <c r="BF313">
        <f>IF($E313="","",IF(AND(COUNT($E$314:$E$317)&gt;=4,$D313=MIN($D$309:$D$317)),$D313,""))</f>
        <v>0</v>
      </c>
      <c r="BG313">
        <f>IF($A313="","",$A313-WEEKDAY($A313,2)+1)</f>
        <v>0</v>
      </c>
      <c r="BH313">
        <f>IF($A313="","",IF($A312="",1,IF(BG313&lt;&gt;BG312,1,0)))</f>
        <v>0</v>
      </c>
      <c r="BI313">
        <f>IF($A313="","",IF($A314="",1,IF(BG314&lt;&gt;BG313,1,0)))</f>
        <v>0</v>
      </c>
      <c r="BJ313">
        <f>IF($A313="","",IF(BH313=1,$B313,BJ312))</f>
        <v>0</v>
      </c>
      <c r="BK313">
        <f>IF($A313="","",IF(BH313=1,$C313,MAX($C313,BK312)))</f>
        <v>0</v>
      </c>
      <c r="BL313">
        <f>IF($A313="","",IF(BH313=1,$D313,MIN($D313,BL312)))</f>
        <v>0</v>
      </c>
      <c r="BM313">
        <f>IF($A313="","",IF(BI313=1,F313,""))</f>
        <v>0</v>
      </c>
      <c r="BN313">
        <f>IF($A313="","",DATE(YEAR($A313),MONTH($A313),1))</f>
        <v>0</v>
      </c>
      <c r="BO313">
        <f>IF($A313="","",IF($A312="",1,IF(BN313&lt;&gt;BN312,1,0)))</f>
        <v>0</v>
      </c>
      <c r="BP313">
        <f>IF($A313="","",IF($A314="",1,IF(BN314&lt;&gt;BN313,1,0)))</f>
        <v>0</v>
      </c>
      <c r="BQ313">
        <f>IF($A313="","",IF(BO313=1,$B313,BQ312))</f>
        <v>0</v>
      </c>
      <c r="BR313">
        <f>IF($A313="","",IF(BO313=1,$C313,MAX($C313,BR312)))</f>
        <v>0</v>
      </c>
      <c r="BS313">
        <f>IF($A313="","",IF(BO313=1,$D313,MIN($D313,BS312)))</f>
        <v>0</v>
      </c>
      <c r="BT313">
        <f>IF($A313="","",IF(BP313=1,F313,""))</f>
        <v>0</v>
      </c>
    </row>
    <row r="314" spans="1:72">
      <c r="A314" s="27">
        <f>IF(Data!$A314="","",Data!$A314)</f>
        <v>0</v>
      </c>
      <c r="B314">
        <f>IF(Data!$B314="","",Data!$B314)</f>
        <v>0</v>
      </c>
      <c r="C314">
        <f>IF(Data!$C314="","",Data!$C314)</f>
        <v>0</v>
      </c>
      <c r="D314">
        <f>IF(Data!$D314="","",Data!$D314)</f>
        <v>0</v>
      </c>
      <c r="E314">
        <f>IF(Data!$E314="","",Data!$E314)</f>
        <v>0</v>
      </c>
      <c r="F314">
        <f>IF($E314="","",N(F313)+1)</f>
        <v>0</v>
      </c>
      <c r="G314">
        <f>IF(OR($E314="",$E313=""),"",LN($E314/$E313))</f>
        <v>0</v>
      </c>
      <c r="H314">
        <f>IF($E314="","",IF($E313="",$E314,$E314*0.0952380952+H313*0.9047619048))</f>
        <v>0</v>
      </c>
      <c r="I314">
        <f>IF($E314="","",IF($E313="",$E314,$E314*0.0392156863+I313*0.9607843137))</f>
        <v>0</v>
      </c>
      <c r="J314">
        <f>IF($E314="","",IF($E313="",$E314,$E314*0.0198019802+J313*0.9801980198))</f>
        <v>0</v>
      </c>
      <c r="K314">
        <f>IF($E314="","",IF($E313="",$E314,$E314*0.0099502488+K313*0.9900497512))</f>
        <v>0</v>
      </c>
      <c r="L314">
        <f>IF(OR($E314="",$E313=""),"",MAX($E314-$E313,0))</f>
        <v>0</v>
      </c>
      <c r="M314">
        <f>IF(OR($E314="",$E313=""),"",MAX($E313-$E314,0))</f>
        <v>0</v>
      </c>
      <c r="N314">
        <f>IF(COUNT($E$2:$E314)&lt;15,"",IF(AVERAGE($M$301:$M$314)=0,100,100-100/(1+AVERAGE($L$301:$L$314)/AVERAGE($M$301:$M$314))))</f>
        <v>0</v>
      </c>
      <c r="O314">
        <f>IF($E314="","",IF($E313="",$E314,$E314*0.1538461538+O313*0.8461538462))</f>
        <v>0</v>
      </c>
      <c r="P314">
        <f>IF($E314="","",IF($E313="",$E314,$E314*0.0740740741+P313*0.9259259259))</f>
        <v>0</v>
      </c>
      <c r="Q314">
        <f>IF(OR(O314="",P314=""),"",O314-P314)</f>
        <v>0</v>
      </c>
      <c r="R314">
        <f>IF(Q314="","",IF(R313="",Q314,Q314*0.2000000000+R313*0.8000000000))</f>
        <v>0</v>
      </c>
      <c r="S314">
        <f>IF(OR(Q314="",R314=""),"",Q314-R314)</f>
        <v>0</v>
      </c>
      <c r="T314">
        <f>IF(COUNT($E$2:$E314)&lt;14,"",MAX($C$301:$C$314))</f>
        <v>0</v>
      </c>
      <c r="U314">
        <f>IF(COUNT($E$2:$E314)&lt;14,"",MIN($D$301:$D$314))</f>
        <v>0</v>
      </c>
      <c r="V314">
        <f>IF(OR(T314="",U314="",T314=U314),"",100*($E314-U314)/(T314-U314))</f>
        <v>0</v>
      </c>
      <c r="W314">
        <f>IF(COUNT($V$312:$V$314)&lt;3,"",AVERAGE($V$312:$V$314))</f>
        <v>0</v>
      </c>
      <c r="X314">
        <f>IF(COUNT($N$301:$N$314)&lt;14,"",MIN($N$301:$N$314))</f>
        <v>0</v>
      </c>
      <c r="Y314">
        <f>IF(COUNT($N$301:$N$314)&lt;14,"",MAX($N$301:$N$314))</f>
        <v>0</v>
      </c>
      <c r="Z314">
        <f>IF(OR(N314="",X314="",Y314="",Y314=X314),"",100*(N314-X314)/(Y314-X314))</f>
        <v>0</v>
      </c>
      <c r="AA314">
        <f>IF(COUNT($Z$312:$Z$314)&lt;3,"",AVERAGE($Z$312:$Z$314))</f>
        <v>0</v>
      </c>
      <c r="AB314">
        <f>IF(COUNT($AA$312:$AA$314)&lt;3,"",AVERAGE($AA$312:$AA$314))</f>
        <v>0</v>
      </c>
      <c r="AC314">
        <f>IF($E314="","",MAX($C314-$D314,ABS($C314-$E313),ABS($D314-$E313)))</f>
        <v>0</v>
      </c>
      <c r="AD314">
        <f>IF(COUNT($E$2:$E314)&lt;15,"",AVERAGE($AC$301:$AC$314))</f>
        <v>0</v>
      </c>
      <c r="AE314">
        <f>IF(OR($E314="",$E313=""),"",IF(AND(($C314-$C313)&gt;($D313-$D314),($C314-$C313)&gt;0),$C314-$C313,0))</f>
        <v>0</v>
      </c>
      <c r="AF314">
        <f>IF(OR($E314="",$E313=""),"",IF(AND(($D313-$D314)&gt;($C314-$C313),($D313-$D314)&gt;0),$D313-$D314,0))</f>
        <v>0</v>
      </c>
      <c r="AG314">
        <f>IF(COUNT($E$2:$E314)&lt;15,"",IF(SUM($AC$301:$AC$314)=0,0,100*SUM($AE$301:$AE$314)/SUM($AC$301:$AC$314)))</f>
        <v>0</v>
      </c>
      <c r="AH314">
        <f>IF(COUNT($E$2:$E314)&lt;15,"",IF(SUM($AC$301:$AC$314)=0,0,100*SUM($AF$301:$AF$314)/SUM($AC$301:$AC$314)))</f>
        <v>0</v>
      </c>
      <c r="AI314">
        <f>IF(OR(AG314="",AH314=""),"",IF((AG314+AH314)=0,0,100*ABS(AG314-AH314)/(AG314+AH314)))</f>
        <v>0</v>
      </c>
      <c r="AJ314">
        <f>IF(COUNT($AI$301:$AI$314)&lt;14,"",AVERAGE($AI$301:$AI$314))</f>
        <v>0</v>
      </c>
      <c r="AK314">
        <f>IF(COUNT($E$2:$E314)&lt;20,"",AVERAGE($E$295:$E$314))</f>
        <v>0</v>
      </c>
      <c r="AL314">
        <f>IF(COUNT($E$2:$E314)&lt;20,"",STDEVP($E$295:$E$314))</f>
        <v>0</v>
      </c>
      <c r="AM314">
        <f>IF(AK314="","",AK314+2*AL314)</f>
        <v>0</v>
      </c>
      <c r="AN314">
        <f>IF(AK314="","",AK314-2*AL314)</f>
        <v>0</v>
      </c>
      <c r="AO314">
        <f>IF(OR(AM314="",AN314="",AM314=AN314),"",($E314-AN314)/(AM314-AN314))</f>
        <v>0</v>
      </c>
      <c r="AP314">
        <f>IF(OR(AM314="",AK314="",AK314=0),"",(AM314-AN314)/AK314)</f>
        <v>0</v>
      </c>
      <c r="AQ314">
        <f>IF(COUNT($E$2:$E314)&lt;20,"",MAX($C$295:$C$314))</f>
        <v>0</v>
      </c>
      <c r="AR314">
        <f>IF(COUNT($E$2:$E314)&lt;20,"",MIN($D$295:$D$314))</f>
        <v>0</v>
      </c>
      <c r="AS314">
        <f>IF(OR(AQ314="",AR314=""),"",(AQ314+AR314)/2)</f>
        <v>0</v>
      </c>
      <c r="AT314">
        <f>IF(COUNT($G$295:$G$314)&lt;20,"",STDEV($G$295:$G$314)*SQRT(252))</f>
        <v>0</v>
      </c>
      <c r="AU314">
        <f>IF(COUNT($E$2:$E314)&lt;9,"",(MAX($C$306:$C$314)+MIN($D$306:$D$314))/2)</f>
        <v>0</v>
      </c>
      <c r="AV314">
        <f>IF(COUNT($E$2:$E314)&lt;26,"",(MAX($C$289:$C$314)+MIN($D$289:$D$314))/2)</f>
        <v>0</v>
      </c>
      <c r="AW314">
        <f>IF(OR(AU314="",AV314=""),"",(AU314+AV314)/2)</f>
        <v>0</v>
      </c>
      <c r="AX314">
        <f>IF(COUNT($E$2:$E314)&lt;52,"",(MAX($C$263:$C$314)+MIN($D$263:$D$314))/2)</f>
        <v>0</v>
      </c>
      <c r="AY314">
        <f>IF(COUNT($E$2:$E314)&lt;20,"",MAX($C$215:$C$314))</f>
        <v>0</v>
      </c>
      <c r="AZ314">
        <f>IF(COUNT($E$2:$E314)&lt;20,"",MIN($D$215:$D$314))</f>
        <v>0</v>
      </c>
      <c r="BA314">
        <f>IF(COUNT($E$2:$E314)&lt;20,"",SLOPE($E$215:$E$314,$F$215:$F$314))</f>
        <v>0</v>
      </c>
      <c r="BB314">
        <f>IF(COUNT($E$2:$E314)&lt;20,"",INTERCEPT($E$215:$E$314,$F$215:$F$314))</f>
        <v>0</v>
      </c>
      <c r="BC314">
        <f>IF(OR(BA314="",BB314=""),"",BB314+BA314*F314)</f>
        <v>0</v>
      </c>
      <c r="BD314">
        <f>IF(COUNT($E$2:$E314)&lt;20,"",STEYX($E$215:$E$314,$F$215:$F$314))</f>
        <v>0</v>
      </c>
      <c r="BE314">
        <f>IF($E314="","",IF(AND(COUNT($E$315:$E$318)&gt;=4,$C314=MAX($C$310:$C$318)),$C314,""))</f>
        <v>0</v>
      </c>
      <c r="BF314">
        <f>IF($E314="","",IF(AND(COUNT($E$315:$E$318)&gt;=4,$D314=MIN($D$310:$D$318)),$D314,""))</f>
        <v>0</v>
      </c>
      <c r="BG314">
        <f>IF($A314="","",$A314-WEEKDAY($A314,2)+1)</f>
        <v>0</v>
      </c>
      <c r="BH314">
        <f>IF($A314="","",IF($A313="",1,IF(BG314&lt;&gt;BG313,1,0)))</f>
        <v>0</v>
      </c>
      <c r="BI314">
        <f>IF($A314="","",IF($A315="",1,IF(BG315&lt;&gt;BG314,1,0)))</f>
        <v>0</v>
      </c>
      <c r="BJ314">
        <f>IF($A314="","",IF(BH314=1,$B314,BJ313))</f>
        <v>0</v>
      </c>
      <c r="BK314">
        <f>IF($A314="","",IF(BH314=1,$C314,MAX($C314,BK313)))</f>
        <v>0</v>
      </c>
      <c r="BL314">
        <f>IF($A314="","",IF(BH314=1,$D314,MIN($D314,BL313)))</f>
        <v>0</v>
      </c>
      <c r="BM314">
        <f>IF($A314="","",IF(BI314=1,F314,""))</f>
        <v>0</v>
      </c>
      <c r="BN314">
        <f>IF($A314="","",DATE(YEAR($A314),MONTH($A314),1))</f>
        <v>0</v>
      </c>
      <c r="BO314">
        <f>IF($A314="","",IF($A313="",1,IF(BN314&lt;&gt;BN313,1,0)))</f>
        <v>0</v>
      </c>
      <c r="BP314">
        <f>IF($A314="","",IF($A315="",1,IF(BN315&lt;&gt;BN314,1,0)))</f>
        <v>0</v>
      </c>
      <c r="BQ314">
        <f>IF($A314="","",IF(BO314=1,$B314,BQ313))</f>
        <v>0</v>
      </c>
      <c r="BR314">
        <f>IF($A314="","",IF(BO314=1,$C314,MAX($C314,BR313)))</f>
        <v>0</v>
      </c>
      <c r="BS314">
        <f>IF($A314="","",IF(BO314=1,$D314,MIN($D314,BS313)))</f>
        <v>0</v>
      </c>
      <c r="BT314">
        <f>IF($A314="","",IF(BP314=1,F314,""))</f>
        <v>0</v>
      </c>
    </row>
    <row r="315" spans="1:72">
      <c r="A315" s="27">
        <f>IF(Data!$A315="","",Data!$A315)</f>
        <v>0</v>
      </c>
      <c r="B315">
        <f>IF(Data!$B315="","",Data!$B315)</f>
        <v>0</v>
      </c>
      <c r="C315">
        <f>IF(Data!$C315="","",Data!$C315)</f>
        <v>0</v>
      </c>
      <c r="D315">
        <f>IF(Data!$D315="","",Data!$D315)</f>
        <v>0</v>
      </c>
      <c r="E315">
        <f>IF(Data!$E315="","",Data!$E315)</f>
        <v>0</v>
      </c>
      <c r="F315">
        <f>IF($E315="","",N(F314)+1)</f>
        <v>0</v>
      </c>
      <c r="G315">
        <f>IF(OR($E315="",$E314=""),"",LN($E315/$E314))</f>
        <v>0</v>
      </c>
      <c r="H315">
        <f>IF($E315="","",IF($E314="",$E315,$E315*0.0952380952+H314*0.9047619048))</f>
        <v>0</v>
      </c>
      <c r="I315">
        <f>IF($E315="","",IF($E314="",$E315,$E315*0.0392156863+I314*0.9607843137))</f>
        <v>0</v>
      </c>
      <c r="J315">
        <f>IF($E315="","",IF($E314="",$E315,$E315*0.0198019802+J314*0.9801980198))</f>
        <v>0</v>
      </c>
      <c r="K315">
        <f>IF($E315="","",IF($E314="",$E315,$E315*0.0099502488+K314*0.9900497512))</f>
        <v>0</v>
      </c>
      <c r="L315">
        <f>IF(OR($E315="",$E314=""),"",MAX($E315-$E314,0))</f>
        <v>0</v>
      </c>
      <c r="M315">
        <f>IF(OR($E315="",$E314=""),"",MAX($E314-$E315,0))</f>
        <v>0</v>
      </c>
      <c r="N315">
        <f>IF(COUNT($E$2:$E315)&lt;15,"",IF(AVERAGE($M$302:$M$315)=0,100,100-100/(1+AVERAGE($L$302:$L$315)/AVERAGE($M$302:$M$315))))</f>
        <v>0</v>
      </c>
      <c r="O315">
        <f>IF($E315="","",IF($E314="",$E315,$E315*0.1538461538+O314*0.8461538462))</f>
        <v>0</v>
      </c>
      <c r="P315">
        <f>IF($E315="","",IF($E314="",$E315,$E315*0.0740740741+P314*0.9259259259))</f>
        <v>0</v>
      </c>
      <c r="Q315">
        <f>IF(OR(O315="",P315=""),"",O315-P315)</f>
        <v>0</v>
      </c>
      <c r="R315">
        <f>IF(Q315="","",IF(R314="",Q315,Q315*0.2000000000+R314*0.8000000000))</f>
        <v>0</v>
      </c>
      <c r="S315">
        <f>IF(OR(Q315="",R315=""),"",Q315-R315)</f>
        <v>0</v>
      </c>
      <c r="T315">
        <f>IF(COUNT($E$2:$E315)&lt;14,"",MAX($C$302:$C$315))</f>
        <v>0</v>
      </c>
      <c r="U315">
        <f>IF(COUNT($E$2:$E315)&lt;14,"",MIN($D$302:$D$315))</f>
        <v>0</v>
      </c>
      <c r="V315">
        <f>IF(OR(T315="",U315="",T315=U315),"",100*($E315-U315)/(T315-U315))</f>
        <v>0</v>
      </c>
      <c r="W315">
        <f>IF(COUNT($V$313:$V$315)&lt;3,"",AVERAGE($V$313:$V$315))</f>
        <v>0</v>
      </c>
      <c r="X315">
        <f>IF(COUNT($N$302:$N$315)&lt;14,"",MIN($N$302:$N$315))</f>
        <v>0</v>
      </c>
      <c r="Y315">
        <f>IF(COUNT($N$302:$N$315)&lt;14,"",MAX($N$302:$N$315))</f>
        <v>0</v>
      </c>
      <c r="Z315">
        <f>IF(OR(N315="",X315="",Y315="",Y315=X315),"",100*(N315-X315)/(Y315-X315))</f>
        <v>0</v>
      </c>
      <c r="AA315">
        <f>IF(COUNT($Z$313:$Z$315)&lt;3,"",AVERAGE($Z$313:$Z$315))</f>
        <v>0</v>
      </c>
      <c r="AB315">
        <f>IF(COUNT($AA$313:$AA$315)&lt;3,"",AVERAGE($AA$313:$AA$315))</f>
        <v>0</v>
      </c>
      <c r="AC315">
        <f>IF($E315="","",MAX($C315-$D315,ABS($C315-$E314),ABS($D315-$E314)))</f>
        <v>0</v>
      </c>
      <c r="AD315">
        <f>IF(COUNT($E$2:$E315)&lt;15,"",AVERAGE($AC$302:$AC$315))</f>
        <v>0</v>
      </c>
      <c r="AE315">
        <f>IF(OR($E315="",$E314=""),"",IF(AND(($C315-$C314)&gt;($D314-$D315),($C315-$C314)&gt;0),$C315-$C314,0))</f>
        <v>0</v>
      </c>
      <c r="AF315">
        <f>IF(OR($E315="",$E314=""),"",IF(AND(($D314-$D315)&gt;($C315-$C314),($D314-$D315)&gt;0),$D314-$D315,0))</f>
        <v>0</v>
      </c>
      <c r="AG315">
        <f>IF(COUNT($E$2:$E315)&lt;15,"",IF(SUM($AC$302:$AC$315)=0,0,100*SUM($AE$302:$AE$315)/SUM($AC$302:$AC$315)))</f>
        <v>0</v>
      </c>
      <c r="AH315">
        <f>IF(COUNT($E$2:$E315)&lt;15,"",IF(SUM($AC$302:$AC$315)=0,0,100*SUM($AF$302:$AF$315)/SUM($AC$302:$AC$315)))</f>
        <v>0</v>
      </c>
      <c r="AI315">
        <f>IF(OR(AG315="",AH315=""),"",IF((AG315+AH315)=0,0,100*ABS(AG315-AH315)/(AG315+AH315)))</f>
        <v>0</v>
      </c>
      <c r="AJ315">
        <f>IF(COUNT($AI$302:$AI$315)&lt;14,"",AVERAGE($AI$302:$AI$315))</f>
        <v>0</v>
      </c>
      <c r="AK315">
        <f>IF(COUNT($E$2:$E315)&lt;20,"",AVERAGE($E$296:$E$315))</f>
        <v>0</v>
      </c>
      <c r="AL315">
        <f>IF(COUNT($E$2:$E315)&lt;20,"",STDEVP($E$296:$E$315))</f>
        <v>0</v>
      </c>
      <c r="AM315">
        <f>IF(AK315="","",AK315+2*AL315)</f>
        <v>0</v>
      </c>
      <c r="AN315">
        <f>IF(AK315="","",AK315-2*AL315)</f>
        <v>0</v>
      </c>
      <c r="AO315">
        <f>IF(OR(AM315="",AN315="",AM315=AN315),"",($E315-AN315)/(AM315-AN315))</f>
        <v>0</v>
      </c>
      <c r="AP315">
        <f>IF(OR(AM315="",AK315="",AK315=0),"",(AM315-AN315)/AK315)</f>
        <v>0</v>
      </c>
      <c r="AQ315">
        <f>IF(COUNT($E$2:$E315)&lt;20,"",MAX($C$296:$C$315))</f>
        <v>0</v>
      </c>
      <c r="AR315">
        <f>IF(COUNT($E$2:$E315)&lt;20,"",MIN($D$296:$D$315))</f>
        <v>0</v>
      </c>
      <c r="AS315">
        <f>IF(OR(AQ315="",AR315=""),"",(AQ315+AR315)/2)</f>
        <v>0</v>
      </c>
      <c r="AT315">
        <f>IF(COUNT($G$296:$G$315)&lt;20,"",STDEV($G$296:$G$315)*SQRT(252))</f>
        <v>0</v>
      </c>
      <c r="AU315">
        <f>IF(COUNT($E$2:$E315)&lt;9,"",(MAX($C$307:$C$315)+MIN($D$307:$D$315))/2)</f>
        <v>0</v>
      </c>
      <c r="AV315">
        <f>IF(COUNT($E$2:$E315)&lt;26,"",(MAX($C$290:$C$315)+MIN($D$290:$D$315))/2)</f>
        <v>0</v>
      </c>
      <c r="AW315">
        <f>IF(OR(AU315="",AV315=""),"",(AU315+AV315)/2)</f>
        <v>0</v>
      </c>
      <c r="AX315">
        <f>IF(COUNT($E$2:$E315)&lt;52,"",(MAX($C$264:$C$315)+MIN($D$264:$D$315))/2)</f>
        <v>0</v>
      </c>
      <c r="AY315">
        <f>IF(COUNT($E$2:$E315)&lt;20,"",MAX($C$216:$C$315))</f>
        <v>0</v>
      </c>
      <c r="AZ315">
        <f>IF(COUNT($E$2:$E315)&lt;20,"",MIN($D$216:$D$315))</f>
        <v>0</v>
      </c>
      <c r="BA315">
        <f>IF(COUNT($E$2:$E315)&lt;20,"",SLOPE($E$216:$E$315,$F$216:$F$315))</f>
        <v>0</v>
      </c>
      <c r="BB315">
        <f>IF(COUNT($E$2:$E315)&lt;20,"",INTERCEPT($E$216:$E$315,$F$216:$F$315))</f>
        <v>0</v>
      </c>
      <c r="BC315">
        <f>IF(OR(BA315="",BB315=""),"",BB315+BA315*F315)</f>
        <v>0</v>
      </c>
      <c r="BD315">
        <f>IF(COUNT($E$2:$E315)&lt;20,"",STEYX($E$216:$E$315,$F$216:$F$315))</f>
        <v>0</v>
      </c>
      <c r="BE315">
        <f>IF($E315="","",IF(AND(COUNT($E$316:$E$319)&gt;=4,$C315=MAX($C$311:$C$319)),$C315,""))</f>
        <v>0</v>
      </c>
      <c r="BF315">
        <f>IF($E315="","",IF(AND(COUNT($E$316:$E$319)&gt;=4,$D315=MIN($D$311:$D$319)),$D315,""))</f>
        <v>0</v>
      </c>
      <c r="BG315">
        <f>IF($A315="","",$A315-WEEKDAY($A315,2)+1)</f>
        <v>0</v>
      </c>
      <c r="BH315">
        <f>IF($A315="","",IF($A314="",1,IF(BG315&lt;&gt;BG314,1,0)))</f>
        <v>0</v>
      </c>
      <c r="BI315">
        <f>IF($A315="","",IF($A316="",1,IF(BG316&lt;&gt;BG315,1,0)))</f>
        <v>0</v>
      </c>
      <c r="BJ315">
        <f>IF($A315="","",IF(BH315=1,$B315,BJ314))</f>
        <v>0</v>
      </c>
      <c r="BK315">
        <f>IF($A315="","",IF(BH315=1,$C315,MAX($C315,BK314)))</f>
        <v>0</v>
      </c>
      <c r="BL315">
        <f>IF($A315="","",IF(BH315=1,$D315,MIN($D315,BL314)))</f>
        <v>0</v>
      </c>
      <c r="BM315">
        <f>IF($A315="","",IF(BI315=1,F315,""))</f>
        <v>0</v>
      </c>
      <c r="BN315">
        <f>IF($A315="","",DATE(YEAR($A315),MONTH($A315),1))</f>
        <v>0</v>
      </c>
      <c r="BO315">
        <f>IF($A315="","",IF($A314="",1,IF(BN315&lt;&gt;BN314,1,0)))</f>
        <v>0</v>
      </c>
      <c r="BP315">
        <f>IF($A315="","",IF($A316="",1,IF(BN316&lt;&gt;BN315,1,0)))</f>
        <v>0</v>
      </c>
      <c r="BQ315">
        <f>IF($A315="","",IF(BO315=1,$B315,BQ314))</f>
        <v>0</v>
      </c>
      <c r="BR315">
        <f>IF($A315="","",IF(BO315=1,$C315,MAX($C315,BR314)))</f>
        <v>0</v>
      </c>
      <c r="BS315">
        <f>IF($A315="","",IF(BO315=1,$D315,MIN($D315,BS314)))</f>
        <v>0</v>
      </c>
      <c r="BT315">
        <f>IF($A315="","",IF(BP315=1,F315,""))</f>
        <v>0</v>
      </c>
    </row>
    <row r="316" spans="1:72">
      <c r="A316" s="27">
        <f>IF(Data!$A316="","",Data!$A316)</f>
        <v>0</v>
      </c>
      <c r="B316">
        <f>IF(Data!$B316="","",Data!$B316)</f>
        <v>0</v>
      </c>
      <c r="C316">
        <f>IF(Data!$C316="","",Data!$C316)</f>
        <v>0</v>
      </c>
      <c r="D316">
        <f>IF(Data!$D316="","",Data!$D316)</f>
        <v>0</v>
      </c>
      <c r="E316">
        <f>IF(Data!$E316="","",Data!$E316)</f>
        <v>0</v>
      </c>
      <c r="F316">
        <f>IF($E316="","",N(F315)+1)</f>
        <v>0</v>
      </c>
      <c r="G316">
        <f>IF(OR($E316="",$E315=""),"",LN($E316/$E315))</f>
        <v>0</v>
      </c>
      <c r="H316">
        <f>IF($E316="","",IF($E315="",$E316,$E316*0.0952380952+H315*0.9047619048))</f>
        <v>0</v>
      </c>
      <c r="I316">
        <f>IF($E316="","",IF($E315="",$E316,$E316*0.0392156863+I315*0.9607843137))</f>
        <v>0</v>
      </c>
      <c r="J316">
        <f>IF($E316="","",IF($E315="",$E316,$E316*0.0198019802+J315*0.9801980198))</f>
        <v>0</v>
      </c>
      <c r="K316">
        <f>IF($E316="","",IF($E315="",$E316,$E316*0.0099502488+K315*0.9900497512))</f>
        <v>0</v>
      </c>
      <c r="L316">
        <f>IF(OR($E316="",$E315=""),"",MAX($E316-$E315,0))</f>
        <v>0</v>
      </c>
      <c r="M316">
        <f>IF(OR($E316="",$E315=""),"",MAX($E315-$E316,0))</f>
        <v>0</v>
      </c>
      <c r="N316">
        <f>IF(COUNT($E$2:$E316)&lt;15,"",IF(AVERAGE($M$303:$M$316)=0,100,100-100/(1+AVERAGE($L$303:$L$316)/AVERAGE($M$303:$M$316))))</f>
        <v>0</v>
      </c>
      <c r="O316">
        <f>IF($E316="","",IF($E315="",$E316,$E316*0.1538461538+O315*0.8461538462))</f>
        <v>0</v>
      </c>
      <c r="P316">
        <f>IF($E316="","",IF($E315="",$E316,$E316*0.0740740741+P315*0.9259259259))</f>
        <v>0</v>
      </c>
      <c r="Q316">
        <f>IF(OR(O316="",P316=""),"",O316-P316)</f>
        <v>0</v>
      </c>
      <c r="R316">
        <f>IF(Q316="","",IF(R315="",Q316,Q316*0.2000000000+R315*0.8000000000))</f>
        <v>0</v>
      </c>
      <c r="S316">
        <f>IF(OR(Q316="",R316=""),"",Q316-R316)</f>
        <v>0</v>
      </c>
      <c r="T316">
        <f>IF(COUNT($E$2:$E316)&lt;14,"",MAX($C$303:$C$316))</f>
        <v>0</v>
      </c>
      <c r="U316">
        <f>IF(COUNT($E$2:$E316)&lt;14,"",MIN($D$303:$D$316))</f>
        <v>0</v>
      </c>
      <c r="V316">
        <f>IF(OR(T316="",U316="",T316=U316),"",100*($E316-U316)/(T316-U316))</f>
        <v>0</v>
      </c>
      <c r="W316">
        <f>IF(COUNT($V$314:$V$316)&lt;3,"",AVERAGE($V$314:$V$316))</f>
        <v>0</v>
      </c>
      <c r="X316">
        <f>IF(COUNT($N$303:$N$316)&lt;14,"",MIN($N$303:$N$316))</f>
        <v>0</v>
      </c>
      <c r="Y316">
        <f>IF(COUNT($N$303:$N$316)&lt;14,"",MAX($N$303:$N$316))</f>
        <v>0</v>
      </c>
      <c r="Z316">
        <f>IF(OR(N316="",X316="",Y316="",Y316=X316),"",100*(N316-X316)/(Y316-X316))</f>
        <v>0</v>
      </c>
      <c r="AA316">
        <f>IF(COUNT($Z$314:$Z$316)&lt;3,"",AVERAGE($Z$314:$Z$316))</f>
        <v>0</v>
      </c>
      <c r="AB316">
        <f>IF(COUNT($AA$314:$AA$316)&lt;3,"",AVERAGE($AA$314:$AA$316))</f>
        <v>0</v>
      </c>
      <c r="AC316">
        <f>IF($E316="","",MAX($C316-$D316,ABS($C316-$E315),ABS($D316-$E315)))</f>
        <v>0</v>
      </c>
      <c r="AD316">
        <f>IF(COUNT($E$2:$E316)&lt;15,"",AVERAGE($AC$303:$AC$316))</f>
        <v>0</v>
      </c>
      <c r="AE316">
        <f>IF(OR($E316="",$E315=""),"",IF(AND(($C316-$C315)&gt;($D315-$D316),($C316-$C315)&gt;0),$C316-$C315,0))</f>
        <v>0</v>
      </c>
      <c r="AF316">
        <f>IF(OR($E316="",$E315=""),"",IF(AND(($D315-$D316)&gt;($C316-$C315),($D315-$D316)&gt;0),$D315-$D316,0))</f>
        <v>0</v>
      </c>
      <c r="AG316">
        <f>IF(COUNT($E$2:$E316)&lt;15,"",IF(SUM($AC$303:$AC$316)=0,0,100*SUM($AE$303:$AE$316)/SUM($AC$303:$AC$316)))</f>
        <v>0</v>
      </c>
      <c r="AH316">
        <f>IF(COUNT($E$2:$E316)&lt;15,"",IF(SUM($AC$303:$AC$316)=0,0,100*SUM($AF$303:$AF$316)/SUM($AC$303:$AC$316)))</f>
        <v>0</v>
      </c>
      <c r="AI316">
        <f>IF(OR(AG316="",AH316=""),"",IF((AG316+AH316)=0,0,100*ABS(AG316-AH316)/(AG316+AH316)))</f>
        <v>0</v>
      </c>
      <c r="AJ316">
        <f>IF(COUNT($AI$303:$AI$316)&lt;14,"",AVERAGE($AI$303:$AI$316))</f>
        <v>0</v>
      </c>
      <c r="AK316">
        <f>IF(COUNT($E$2:$E316)&lt;20,"",AVERAGE($E$297:$E$316))</f>
        <v>0</v>
      </c>
      <c r="AL316">
        <f>IF(COUNT($E$2:$E316)&lt;20,"",STDEVP($E$297:$E$316))</f>
        <v>0</v>
      </c>
      <c r="AM316">
        <f>IF(AK316="","",AK316+2*AL316)</f>
        <v>0</v>
      </c>
      <c r="AN316">
        <f>IF(AK316="","",AK316-2*AL316)</f>
        <v>0</v>
      </c>
      <c r="AO316">
        <f>IF(OR(AM316="",AN316="",AM316=AN316),"",($E316-AN316)/(AM316-AN316))</f>
        <v>0</v>
      </c>
      <c r="AP316">
        <f>IF(OR(AM316="",AK316="",AK316=0),"",(AM316-AN316)/AK316)</f>
        <v>0</v>
      </c>
      <c r="AQ316">
        <f>IF(COUNT($E$2:$E316)&lt;20,"",MAX($C$297:$C$316))</f>
        <v>0</v>
      </c>
      <c r="AR316">
        <f>IF(COUNT($E$2:$E316)&lt;20,"",MIN($D$297:$D$316))</f>
        <v>0</v>
      </c>
      <c r="AS316">
        <f>IF(OR(AQ316="",AR316=""),"",(AQ316+AR316)/2)</f>
        <v>0</v>
      </c>
      <c r="AT316">
        <f>IF(COUNT($G$297:$G$316)&lt;20,"",STDEV($G$297:$G$316)*SQRT(252))</f>
        <v>0</v>
      </c>
      <c r="AU316">
        <f>IF(COUNT($E$2:$E316)&lt;9,"",(MAX($C$308:$C$316)+MIN($D$308:$D$316))/2)</f>
        <v>0</v>
      </c>
      <c r="AV316">
        <f>IF(COUNT($E$2:$E316)&lt;26,"",(MAX($C$291:$C$316)+MIN($D$291:$D$316))/2)</f>
        <v>0</v>
      </c>
      <c r="AW316">
        <f>IF(OR(AU316="",AV316=""),"",(AU316+AV316)/2)</f>
        <v>0</v>
      </c>
      <c r="AX316">
        <f>IF(COUNT($E$2:$E316)&lt;52,"",(MAX($C$265:$C$316)+MIN($D$265:$D$316))/2)</f>
        <v>0</v>
      </c>
      <c r="AY316">
        <f>IF(COUNT($E$2:$E316)&lt;20,"",MAX($C$217:$C$316))</f>
        <v>0</v>
      </c>
      <c r="AZ316">
        <f>IF(COUNT($E$2:$E316)&lt;20,"",MIN($D$217:$D$316))</f>
        <v>0</v>
      </c>
      <c r="BA316">
        <f>IF(COUNT($E$2:$E316)&lt;20,"",SLOPE($E$217:$E$316,$F$217:$F$316))</f>
        <v>0</v>
      </c>
      <c r="BB316">
        <f>IF(COUNT($E$2:$E316)&lt;20,"",INTERCEPT($E$217:$E$316,$F$217:$F$316))</f>
        <v>0</v>
      </c>
      <c r="BC316">
        <f>IF(OR(BA316="",BB316=""),"",BB316+BA316*F316)</f>
        <v>0</v>
      </c>
      <c r="BD316">
        <f>IF(COUNT($E$2:$E316)&lt;20,"",STEYX($E$217:$E$316,$F$217:$F$316))</f>
        <v>0</v>
      </c>
      <c r="BE316">
        <f>IF($E316="","",IF(AND(COUNT($E$317:$E$320)&gt;=4,$C316=MAX($C$312:$C$320)),$C316,""))</f>
        <v>0</v>
      </c>
      <c r="BF316">
        <f>IF($E316="","",IF(AND(COUNT($E$317:$E$320)&gt;=4,$D316=MIN($D$312:$D$320)),$D316,""))</f>
        <v>0</v>
      </c>
      <c r="BG316">
        <f>IF($A316="","",$A316-WEEKDAY($A316,2)+1)</f>
        <v>0</v>
      </c>
      <c r="BH316">
        <f>IF($A316="","",IF($A315="",1,IF(BG316&lt;&gt;BG315,1,0)))</f>
        <v>0</v>
      </c>
      <c r="BI316">
        <f>IF($A316="","",IF($A317="",1,IF(BG317&lt;&gt;BG316,1,0)))</f>
        <v>0</v>
      </c>
      <c r="BJ316">
        <f>IF($A316="","",IF(BH316=1,$B316,BJ315))</f>
        <v>0</v>
      </c>
      <c r="BK316">
        <f>IF($A316="","",IF(BH316=1,$C316,MAX($C316,BK315)))</f>
        <v>0</v>
      </c>
      <c r="BL316">
        <f>IF($A316="","",IF(BH316=1,$D316,MIN($D316,BL315)))</f>
        <v>0</v>
      </c>
      <c r="BM316">
        <f>IF($A316="","",IF(BI316=1,F316,""))</f>
        <v>0</v>
      </c>
      <c r="BN316">
        <f>IF($A316="","",DATE(YEAR($A316),MONTH($A316),1))</f>
        <v>0</v>
      </c>
      <c r="BO316">
        <f>IF($A316="","",IF($A315="",1,IF(BN316&lt;&gt;BN315,1,0)))</f>
        <v>0</v>
      </c>
      <c r="BP316">
        <f>IF($A316="","",IF($A317="",1,IF(BN317&lt;&gt;BN316,1,0)))</f>
        <v>0</v>
      </c>
      <c r="BQ316">
        <f>IF($A316="","",IF(BO316=1,$B316,BQ315))</f>
        <v>0</v>
      </c>
      <c r="BR316">
        <f>IF($A316="","",IF(BO316=1,$C316,MAX($C316,BR315)))</f>
        <v>0</v>
      </c>
      <c r="BS316">
        <f>IF($A316="","",IF(BO316=1,$D316,MIN($D316,BS315)))</f>
        <v>0</v>
      </c>
      <c r="BT316">
        <f>IF($A316="","",IF(BP316=1,F316,""))</f>
        <v>0</v>
      </c>
    </row>
    <row r="317" spans="1:72">
      <c r="A317" s="27">
        <f>IF(Data!$A317="","",Data!$A317)</f>
        <v>0</v>
      </c>
      <c r="B317">
        <f>IF(Data!$B317="","",Data!$B317)</f>
        <v>0</v>
      </c>
      <c r="C317">
        <f>IF(Data!$C317="","",Data!$C317)</f>
        <v>0</v>
      </c>
      <c r="D317">
        <f>IF(Data!$D317="","",Data!$D317)</f>
        <v>0</v>
      </c>
      <c r="E317">
        <f>IF(Data!$E317="","",Data!$E317)</f>
        <v>0</v>
      </c>
      <c r="F317">
        <f>IF($E317="","",N(F316)+1)</f>
        <v>0</v>
      </c>
      <c r="G317">
        <f>IF(OR($E317="",$E316=""),"",LN($E317/$E316))</f>
        <v>0</v>
      </c>
      <c r="H317">
        <f>IF($E317="","",IF($E316="",$E317,$E317*0.0952380952+H316*0.9047619048))</f>
        <v>0</v>
      </c>
      <c r="I317">
        <f>IF($E317="","",IF($E316="",$E317,$E317*0.0392156863+I316*0.9607843137))</f>
        <v>0</v>
      </c>
      <c r="J317">
        <f>IF($E317="","",IF($E316="",$E317,$E317*0.0198019802+J316*0.9801980198))</f>
        <v>0</v>
      </c>
      <c r="K317">
        <f>IF($E317="","",IF($E316="",$E317,$E317*0.0099502488+K316*0.9900497512))</f>
        <v>0</v>
      </c>
      <c r="L317">
        <f>IF(OR($E317="",$E316=""),"",MAX($E317-$E316,0))</f>
        <v>0</v>
      </c>
      <c r="M317">
        <f>IF(OR($E317="",$E316=""),"",MAX($E316-$E317,0))</f>
        <v>0</v>
      </c>
      <c r="N317">
        <f>IF(COUNT($E$2:$E317)&lt;15,"",IF(AVERAGE($M$304:$M$317)=0,100,100-100/(1+AVERAGE($L$304:$L$317)/AVERAGE($M$304:$M$317))))</f>
        <v>0</v>
      </c>
      <c r="O317">
        <f>IF($E317="","",IF($E316="",$E317,$E317*0.1538461538+O316*0.8461538462))</f>
        <v>0</v>
      </c>
      <c r="P317">
        <f>IF($E317="","",IF($E316="",$E317,$E317*0.0740740741+P316*0.9259259259))</f>
        <v>0</v>
      </c>
      <c r="Q317">
        <f>IF(OR(O317="",P317=""),"",O317-P317)</f>
        <v>0</v>
      </c>
      <c r="R317">
        <f>IF(Q317="","",IF(R316="",Q317,Q317*0.2000000000+R316*0.8000000000))</f>
        <v>0</v>
      </c>
      <c r="S317">
        <f>IF(OR(Q317="",R317=""),"",Q317-R317)</f>
        <v>0</v>
      </c>
      <c r="T317">
        <f>IF(COUNT($E$2:$E317)&lt;14,"",MAX($C$304:$C$317))</f>
        <v>0</v>
      </c>
      <c r="U317">
        <f>IF(COUNT($E$2:$E317)&lt;14,"",MIN($D$304:$D$317))</f>
        <v>0</v>
      </c>
      <c r="V317">
        <f>IF(OR(T317="",U317="",T317=U317),"",100*($E317-U317)/(T317-U317))</f>
        <v>0</v>
      </c>
      <c r="W317">
        <f>IF(COUNT($V$315:$V$317)&lt;3,"",AVERAGE($V$315:$V$317))</f>
        <v>0</v>
      </c>
      <c r="X317">
        <f>IF(COUNT($N$304:$N$317)&lt;14,"",MIN($N$304:$N$317))</f>
        <v>0</v>
      </c>
      <c r="Y317">
        <f>IF(COUNT($N$304:$N$317)&lt;14,"",MAX($N$304:$N$317))</f>
        <v>0</v>
      </c>
      <c r="Z317">
        <f>IF(OR(N317="",X317="",Y317="",Y317=X317),"",100*(N317-X317)/(Y317-X317))</f>
        <v>0</v>
      </c>
      <c r="AA317">
        <f>IF(COUNT($Z$315:$Z$317)&lt;3,"",AVERAGE($Z$315:$Z$317))</f>
        <v>0</v>
      </c>
      <c r="AB317">
        <f>IF(COUNT($AA$315:$AA$317)&lt;3,"",AVERAGE($AA$315:$AA$317))</f>
        <v>0</v>
      </c>
      <c r="AC317">
        <f>IF($E317="","",MAX($C317-$D317,ABS($C317-$E316),ABS($D317-$E316)))</f>
        <v>0</v>
      </c>
      <c r="AD317">
        <f>IF(COUNT($E$2:$E317)&lt;15,"",AVERAGE($AC$304:$AC$317))</f>
        <v>0</v>
      </c>
      <c r="AE317">
        <f>IF(OR($E317="",$E316=""),"",IF(AND(($C317-$C316)&gt;($D316-$D317),($C317-$C316)&gt;0),$C317-$C316,0))</f>
        <v>0</v>
      </c>
      <c r="AF317">
        <f>IF(OR($E317="",$E316=""),"",IF(AND(($D316-$D317)&gt;($C317-$C316),($D316-$D317)&gt;0),$D316-$D317,0))</f>
        <v>0</v>
      </c>
      <c r="AG317">
        <f>IF(COUNT($E$2:$E317)&lt;15,"",IF(SUM($AC$304:$AC$317)=0,0,100*SUM($AE$304:$AE$317)/SUM($AC$304:$AC$317)))</f>
        <v>0</v>
      </c>
      <c r="AH317">
        <f>IF(COUNT($E$2:$E317)&lt;15,"",IF(SUM($AC$304:$AC$317)=0,0,100*SUM($AF$304:$AF$317)/SUM($AC$304:$AC$317)))</f>
        <v>0</v>
      </c>
      <c r="AI317">
        <f>IF(OR(AG317="",AH317=""),"",IF((AG317+AH317)=0,0,100*ABS(AG317-AH317)/(AG317+AH317)))</f>
        <v>0</v>
      </c>
      <c r="AJ317">
        <f>IF(COUNT($AI$304:$AI$317)&lt;14,"",AVERAGE($AI$304:$AI$317))</f>
        <v>0</v>
      </c>
      <c r="AK317">
        <f>IF(COUNT($E$2:$E317)&lt;20,"",AVERAGE($E$298:$E$317))</f>
        <v>0</v>
      </c>
      <c r="AL317">
        <f>IF(COUNT($E$2:$E317)&lt;20,"",STDEVP($E$298:$E$317))</f>
        <v>0</v>
      </c>
      <c r="AM317">
        <f>IF(AK317="","",AK317+2*AL317)</f>
        <v>0</v>
      </c>
      <c r="AN317">
        <f>IF(AK317="","",AK317-2*AL317)</f>
        <v>0</v>
      </c>
      <c r="AO317">
        <f>IF(OR(AM317="",AN317="",AM317=AN317),"",($E317-AN317)/(AM317-AN317))</f>
        <v>0</v>
      </c>
      <c r="AP317">
        <f>IF(OR(AM317="",AK317="",AK317=0),"",(AM317-AN317)/AK317)</f>
        <v>0</v>
      </c>
      <c r="AQ317">
        <f>IF(COUNT($E$2:$E317)&lt;20,"",MAX($C$298:$C$317))</f>
        <v>0</v>
      </c>
      <c r="AR317">
        <f>IF(COUNT($E$2:$E317)&lt;20,"",MIN($D$298:$D$317))</f>
        <v>0</v>
      </c>
      <c r="AS317">
        <f>IF(OR(AQ317="",AR317=""),"",(AQ317+AR317)/2)</f>
        <v>0</v>
      </c>
      <c r="AT317">
        <f>IF(COUNT($G$298:$G$317)&lt;20,"",STDEV($G$298:$G$317)*SQRT(252))</f>
        <v>0</v>
      </c>
      <c r="AU317">
        <f>IF(COUNT($E$2:$E317)&lt;9,"",(MAX($C$309:$C$317)+MIN($D$309:$D$317))/2)</f>
        <v>0</v>
      </c>
      <c r="AV317">
        <f>IF(COUNT($E$2:$E317)&lt;26,"",(MAX($C$292:$C$317)+MIN($D$292:$D$317))/2)</f>
        <v>0</v>
      </c>
      <c r="AW317">
        <f>IF(OR(AU317="",AV317=""),"",(AU317+AV317)/2)</f>
        <v>0</v>
      </c>
      <c r="AX317">
        <f>IF(COUNT($E$2:$E317)&lt;52,"",(MAX($C$266:$C$317)+MIN($D$266:$D$317))/2)</f>
        <v>0</v>
      </c>
      <c r="AY317">
        <f>IF(COUNT($E$2:$E317)&lt;20,"",MAX($C$218:$C$317))</f>
        <v>0</v>
      </c>
      <c r="AZ317">
        <f>IF(COUNT($E$2:$E317)&lt;20,"",MIN($D$218:$D$317))</f>
        <v>0</v>
      </c>
      <c r="BA317">
        <f>IF(COUNT($E$2:$E317)&lt;20,"",SLOPE($E$218:$E$317,$F$218:$F$317))</f>
        <v>0</v>
      </c>
      <c r="BB317">
        <f>IF(COUNT($E$2:$E317)&lt;20,"",INTERCEPT($E$218:$E$317,$F$218:$F$317))</f>
        <v>0</v>
      </c>
      <c r="BC317">
        <f>IF(OR(BA317="",BB317=""),"",BB317+BA317*F317)</f>
        <v>0</v>
      </c>
      <c r="BD317">
        <f>IF(COUNT($E$2:$E317)&lt;20,"",STEYX($E$218:$E$317,$F$218:$F$317))</f>
        <v>0</v>
      </c>
      <c r="BE317">
        <f>IF($E317="","",IF(AND(COUNT($E$318:$E$321)&gt;=4,$C317=MAX($C$313:$C$321)),$C317,""))</f>
        <v>0</v>
      </c>
      <c r="BF317">
        <f>IF($E317="","",IF(AND(COUNT($E$318:$E$321)&gt;=4,$D317=MIN($D$313:$D$321)),$D317,""))</f>
        <v>0</v>
      </c>
      <c r="BG317">
        <f>IF($A317="","",$A317-WEEKDAY($A317,2)+1)</f>
        <v>0</v>
      </c>
      <c r="BH317">
        <f>IF($A317="","",IF($A316="",1,IF(BG317&lt;&gt;BG316,1,0)))</f>
        <v>0</v>
      </c>
      <c r="BI317">
        <f>IF($A317="","",IF($A318="",1,IF(BG318&lt;&gt;BG317,1,0)))</f>
        <v>0</v>
      </c>
      <c r="BJ317">
        <f>IF($A317="","",IF(BH317=1,$B317,BJ316))</f>
        <v>0</v>
      </c>
      <c r="BK317">
        <f>IF($A317="","",IF(BH317=1,$C317,MAX($C317,BK316)))</f>
        <v>0</v>
      </c>
      <c r="BL317">
        <f>IF($A317="","",IF(BH317=1,$D317,MIN($D317,BL316)))</f>
        <v>0</v>
      </c>
      <c r="BM317">
        <f>IF($A317="","",IF(BI317=1,F317,""))</f>
        <v>0</v>
      </c>
      <c r="BN317">
        <f>IF($A317="","",DATE(YEAR($A317),MONTH($A317),1))</f>
        <v>0</v>
      </c>
      <c r="BO317">
        <f>IF($A317="","",IF($A316="",1,IF(BN317&lt;&gt;BN316,1,0)))</f>
        <v>0</v>
      </c>
      <c r="BP317">
        <f>IF($A317="","",IF($A318="",1,IF(BN318&lt;&gt;BN317,1,0)))</f>
        <v>0</v>
      </c>
      <c r="BQ317">
        <f>IF($A317="","",IF(BO317=1,$B317,BQ316))</f>
        <v>0</v>
      </c>
      <c r="BR317">
        <f>IF($A317="","",IF(BO317=1,$C317,MAX($C317,BR316)))</f>
        <v>0</v>
      </c>
      <c r="BS317">
        <f>IF($A317="","",IF(BO317=1,$D317,MIN($D317,BS316)))</f>
        <v>0</v>
      </c>
      <c r="BT317">
        <f>IF($A317="","",IF(BP317=1,F317,""))</f>
        <v>0</v>
      </c>
    </row>
    <row r="318" spans="1:72">
      <c r="A318" s="27">
        <f>IF(Data!$A318="","",Data!$A318)</f>
        <v>0</v>
      </c>
      <c r="B318">
        <f>IF(Data!$B318="","",Data!$B318)</f>
        <v>0</v>
      </c>
      <c r="C318">
        <f>IF(Data!$C318="","",Data!$C318)</f>
        <v>0</v>
      </c>
      <c r="D318">
        <f>IF(Data!$D318="","",Data!$D318)</f>
        <v>0</v>
      </c>
      <c r="E318">
        <f>IF(Data!$E318="","",Data!$E318)</f>
        <v>0</v>
      </c>
      <c r="F318">
        <f>IF($E318="","",N(F317)+1)</f>
        <v>0</v>
      </c>
      <c r="G318">
        <f>IF(OR($E318="",$E317=""),"",LN($E318/$E317))</f>
        <v>0</v>
      </c>
      <c r="H318">
        <f>IF($E318="","",IF($E317="",$E318,$E318*0.0952380952+H317*0.9047619048))</f>
        <v>0</v>
      </c>
      <c r="I318">
        <f>IF($E318="","",IF($E317="",$E318,$E318*0.0392156863+I317*0.9607843137))</f>
        <v>0</v>
      </c>
      <c r="J318">
        <f>IF($E318="","",IF($E317="",$E318,$E318*0.0198019802+J317*0.9801980198))</f>
        <v>0</v>
      </c>
      <c r="K318">
        <f>IF($E318="","",IF($E317="",$E318,$E318*0.0099502488+K317*0.9900497512))</f>
        <v>0</v>
      </c>
      <c r="L318">
        <f>IF(OR($E318="",$E317=""),"",MAX($E318-$E317,0))</f>
        <v>0</v>
      </c>
      <c r="M318">
        <f>IF(OR($E318="",$E317=""),"",MAX($E317-$E318,0))</f>
        <v>0</v>
      </c>
      <c r="N318">
        <f>IF(COUNT($E$2:$E318)&lt;15,"",IF(AVERAGE($M$305:$M$318)=0,100,100-100/(1+AVERAGE($L$305:$L$318)/AVERAGE($M$305:$M$318))))</f>
        <v>0</v>
      </c>
      <c r="O318">
        <f>IF($E318="","",IF($E317="",$E318,$E318*0.1538461538+O317*0.8461538462))</f>
        <v>0</v>
      </c>
      <c r="P318">
        <f>IF($E318="","",IF($E317="",$E318,$E318*0.0740740741+P317*0.9259259259))</f>
        <v>0</v>
      </c>
      <c r="Q318">
        <f>IF(OR(O318="",P318=""),"",O318-P318)</f>
        <v>0</v>
      </c>
      <c r="R318">
        <f>IF(Q318="","",IF(R317="",Q318,Q318*0.2000000000+R317*0.8000000000))</f>
        <v>0</v>
      </c>
      <c r="S318">
        <f>IF(OR(Q318="",R318=""),"",Q318-R318)</f>
        <v>0</v>
      </c>
      <c r="T318">
        <f>IF(COUNT($E$2:$E318)&lt;14,"",MAX($C$305:$C$318))</f>
        <v>0</v>
      </c>
      <c r="U318">
        <f>IF(COUNT($E$2:$E318)&lt;14,"",MIN($D$305:$D$318))</f>
        <v>0</v>
      </c>
      <c r="V318">
        <f>IF(OR(T318="",U318="",T318=U318),"",100*($E318-U318)/(T318-U318))</f>
        <v>0</v>
      </c>
      <c r="W318">
        <f>IF(COUNT($V$316:$V$318)&lt;3,"",AVERAGE($V$316:$V$318))</f>
        <v>0</v>
      </c>
      <c r="X318">
        <f>IF(COUNT($N$305:$N$318)&lt;14,"",MIN($N$305:$N$318))</f>
        <v>0</v>
      </c>
      <c r="Y318">
        <f>IF(COUNT($N$305:$N$318)&lt;14,"",MAX($N$305:$N$318))</f>
        <v>0</v>
      </c>
      <c r="Z318">
        <f>IF(OR(N318="",X318="",Y318="",Y318=X318),"",100*(N318-X318)/(Y318-X318))</f>
        <v>0</v>
      </c>
      <c r="AA318">
        <f>IF(COUNT($Z$316:$Z$318)&lt;3,"",AVERAGE($Z$316:$Z$318))</f>
        <v>0</v>
      </c>
      <c r="AB318">
        <f>IF(COUNT($AA$316:$AA$318)&lt;3,"",AVERAGE($AA$316:$AA$318))</f>
        <v>0</v>
      </c>
      <c r="AC318">
        <f>IF($E318="","",MAX($C318-$D318,ABS($C318-$E317),ABS($D318-$E317)))</f>
        <v>0</v>
      </c>
      <c r="AD318">
        <f>IF(COUNT($E$2:$E318)&lt;15,"",AVERAGE($AC$305:$AC$318))</f>
        <v>0</v>
      </c>
      <c r="AE318">
        <f>IF(OR($E318="",$E317=""),"",IF(AND(($C318-$C317)&gt;($D317-$D318),($C318-$C317)&gt;0),$C318-$C317,0))</f>
        <v>0</v>
      </c>
      <c r="AF318">
        <f>IF(OR($E318="",$E317=""),"",IF(AND(($D317-$D318)&gt;($C318-$C317),($D317-$D318)&gt;0),$D317-$D318,0))</f>
        <v>0</v>
      </c>
      <c r="AG318">
        <f>IF(COUNT($E$2:$E318)&lt;15,"",IF(SUM($AC$305:$AC$318)=0,0,100*SUM($AE$305:$AE$318)/SUM($AC$305:$AC$318)))</f>
        <v>0</v>
      </c>
      <c r="AH318">
        <f>IF(COUNT($E$2:$E318)&lt;15,"",IF(SUM($AC$305:$AC$318)=0,0,100*SUM($AF$305:$AF$318)/SUM($AC$305:$AC$318)))</f>
        <v>0</v>
      </c>
      <c r="AI318">
        <f>IF(OR(AG318="",AH318=""),"",IF((AG318+AH318)=0,0,100*ABS(AG318-AH318)/(AG318+AH318)))</f>
        <v>0</v>
      </c>
      <c r="AJ318">
        <f>IF(COUNT($AI$305:$AI$318)&lt;14,"",AVERAGE($AI$305:$AI$318))</f>
        <v>0</v>
      </c>
      <c r="AK318">
        <f>IF(COUNT($E$2:$E318)&lt;20,"",AVERAGE($E$299:$E$318))</f>
        <v>0</v>
      </c>
      <c r="AL318">
        <f>IF(COUNT($E$2:$E318)&lt;20,"",STDEVP($E$299:$E$318))</f>
        <v>0</v>
      </c>
      <c r="AM318">
        <f>IF(AK318="","",AK318+2*AL318)</f>
        <v>0</v>
      </c>
      <c r="AN318">
        <f>IF(AK318="","",AK318-2*AL318)</f>
        <v>0</v>
      </c>
      <c r="AO318">
        <f>IF(OR(AM318="",AN318="",AM318=AN318),"",($E318-AN318)/(AM318-AN318))</f>
        <v>0</v>
      </c>
      <c r="AP318">
        <f>IF(OR(AM318="",AK318="",AK318=0),"",(AM318-AN318)/AK318)</f>
        <v>0</v>
      </c>
      <c r="AQ318">
        <f>IF(COUNT($E$2:$E318)&lt;20,"",MAX($C$299:$C$318))</f>
        <v>0</v>
      </c>
      <c r="AR318">
        <f>IF(COUNT($E$2:$E318)&lt;20,"",MIN($D$299:$D$318))</f>
        <v>0</v>
      </c>
      <c r="AS318">
        <f>IF(OR(AQ318="",AR318=""),"",(AQ318+AR318)/2)</f>
        <v>0</v>
      </c>
      <c r="AT318">
        <f>IF(COUNT($G$299:$G$318)&lt;20,"",STDEV($G$299:$G$318)*SQRT(252))</f>
        <v>0</v>
      </c>
      <c r="AU318">
        <f>IF(COUNT($E$2:$E318)&lt;9,"",(MAX($C$310:$C$318)+MIN($D$310:$D$318))/2)</f>
        <v>0</v>
      </c>
      <c r="AV318">
        <f>IF(COUNT($E$2:$E318)&lt;26,"",(MAX($C$293:$C$318)+MIN($D$293:$D$318))/2)</f>
        <v>0</v>
      </c>
      <c r="AW318">
        <f>IF(OR(AU318="",AV318=""),"",(AU318+AV318)/2)</f>
        <v>0</v>
      </c>
      <c r="AX318">
        <f>IF(COUNT($E$2:$E318)&lt;52,"",(MAX($C$267:$C$318)+MIN($D$267:$D$318))/2)</f>
        <v>0</v>
      </c>
      <c r="AY318">
        <f>IF(COUNT($E$2:$E318)&lt;20,"",MAX($C$219:$C$318))</f>
        <v>0</v>
      </c>
      <c r="AZ318">
        <f>IF(COUNT($E$2:$E318)&lt;20,"",MIN($D$219:$D$318))</f>
        <v>0</v>
      </c>
      <c r="BA318">
        <f>IF(COUNT($E$2:$E318)&lt;20,"",SLOPE($E$219:$E$318,$F$219:$F$318))</f>
        <v>0</v>
      </c>
      <c r="BB318">
        <f>IF(COUNT($E$2:$E318)&lt;20,"",INTERCEPT($E$219:$E$318,$F$219:$F$318))</f>
        <v>0</v>
      </c>
      <c r="BC318">
        <f>IF(OR(BA318="",BB318=""),"",BB318+BA318*F318)</f>
        <v>0</v>
      </c>
      <c r="BD318">
        <f>IF(COUNT($E$2:$E318)&lt;20,"",STEYX($E$219:$E$318,$F$219:$F$318))</f>
        <v>0</v>
      </c>
      <c r="BE318">
        <f>IF($E318="","",IF(AND(COUNT($E$319:$E$322)&gt;=4,$C318=MAX($C$314:$C$322)),$C318,""))</f>
        <v>0</v>
      </c>
      <c r="BF318">
        <f>IF($E318="","",IF(AND(COUNT($E$319:$E$322)&gt;=4,$D318=MIN($D$314:$D$322)),$D318,""))</f>
        <v>0</v>
      </c>
      <c r="BG318">
        <f>IF($A318="","",$A318-WEEKDAY($A318,2)+1)</f>
        <v>0</v>
      </c>
      <c r="BH318">
        <f>IF($A318="","",IF($A317="",1,IF(BG318&lt;&gt;BG317,1,0)))</f>
        <v>0</v>
      </c>
      <c r="BI318">
        <f>IF($A318="","",IF($A319="",1,IF(BG319&lt;&gt;BG318,1,0)))</f>
        <v>0</v>
      </c>
      <c r="BJ318">
        <f>IF($A318="","",IF(BH318=1,$B318,BJ317))</f>
        <v>0</v>
      </c>
      <c r="BK318">
        <f>IF($A318="","",IF(BH318=1,$C318,MAX($C318,BK317)))</f>
        <v>0</v>
      </c>
      <c r="BL318">
        <f>IF($A318="","",IF(BH318=1,$D318,MIN($D318,BL317)))</f>
        <v>0</v>
      </c>
      <c r="BM318">
        <f>IF($A318="","",IF(BI318=1,F318,""))</f>
        <v>0</v>
      </c>
      <c r="BN318">
        <f>IF($A318="","",DATE(YEAR($A318),MONTH($A318),1))</f>
        <v>0</v>
      </c>
      <c r="BO318">
        <f>IF($A318="","",IF($A317="",1,IF(BN318&lt;&gt;BN317,1,0)))</f>
        <v>0</v>
      </c>
      <c r="BP318">
        <f>IF($A318="","",IF($A319="",1,IF(BN319&lt;&gt;BN318,1,0)))</f>
        <v>0</v>
      </c>
      <c r="BQ318">
        <f>IF($A318="","",IF(BO318=1,$B318,BQ317))</f>
        <v>0</v>
      </c>
      <c r="BR318">
        <f>IF($A318="","",IF(BO318=1,$C318,MAX($C318,BR317)))</f>
        <v>0</v>
      </c>
      <c r="BS318">
        <f>IF($A318="","",IF(BO318=1,$D318,MIN($D318,BS317)))</f>
        <v>0</v>
      </c>
      <c r="BT318">
        <f>IF($A318="","",IF(BP318=1,F318,""))</f>
        <v>0</v>
      </c>
    </row>
    <row r="319" spans="1:72">
      <c r="A319" s="27">
        <f>IF(Data!$A319="","",Data!$A319)</f>
        <v>0</v>
      </c>
      <c r="B319">
        <f>IF(Data!$B319="","",Data!$B319)</f>
        <v>0</v>
      </c>
      <c r="C319">
        <f>IF(Data!$C319="","",Data!$C319)</f>
        <v>0</v>
      </c>
      <c r="D319">
        <f>IF(Data!$D319="","",Data!$D319)</f>
        <v>0</v>
      </c>
      <c r="E319">
        <f>IF(Data!$E319="","",Data!$E319)</f>
        <v>0</v>
      </c>
      <c r="F319">
        <f>IF($E319="","",N(F318)+1)</f>
        <v>0</v>
      </c>
      <c r="G319">
        <f>IF(OR($E319="",$E318=""),"",LN($E319/$E318))</f>
        <v>0</v>
      </c>
      <c r="H319">
        <f>IF($E319="","",IF($E318="",$E319,$E319*0.0952380952+H318*0.9047619048))</f>
        <v>0</v>
      </c>
      <c r="I319">
        <f>IF($E319="","",IF($E318="",$E319,$E319*0.0392156863+I318*0.9607843137))</f>
        <v>0</v>
      </c>
      <c r="J319">
        <f>IF($E319="","",IF($E318="",$E319,$E319*0.0198019802+J318*0.9801980198))</f>
        <v>0</v>
      </c>
      <c r="K319">
        <f>IF($E319="","",IF($E318="",$E319,$E319*0.0099502488+K318*0.9900497512))</f>
        <v>0</v>
      </c>
      <c r="L319">
        <f>IF(OR($E319="",$E318=""),"",MAX($E319-$E318,0))</f>
        <v>0</v>
      </c>
      <c r="M319">
        <f>IF(OR($E319="",$E318=""),"",MAX($E318-$E319,0))</f>
        <v>0</v>
      </c>
      <c r="N319">
        <f>IF(COUNT($E$2:$E319)&lt;15,"",IF(AVERAGE($M$306:$M$319)=0,100,100-100/(1+AVERAGE($L$306:$L$319)/AVERAGE($M$306:$M$319))))</f>
        <v>0</v>
      </c>
      <c r="O319">
        <f>IF($E319="","",IF($E318="",$E319,$E319*0.1538461538+O318*0.8461538462))</f>
        <v>0</v>
      </c>
      <c r="P319">
        <f>IF($E319="","",IF($E318="",$E319,$E319*0.0740740741+P318*0.9259259259))</f>
        <v>0</v>
      </c>
      <c r="Q319">
        <f>IF(OR(O319="",P319=""),"",O319-P319)</f>
        <v>0</v>
      </c>
      <c r="R319">
        <f>IF(Q319="","",IF(R318="",Q319,Q319*0.2000000000+R318*0.8000000000))</f>
        <v>0</v>
      </c>
      <c r="S319">
        <f>IF(OR(Q319="",R319=""),"",Q319-R319)</f>
        <v>0</v>
      </c>
      <c r="T319">
        <f>IF(COUNT($E$2:$E319)&lt;14,"",MAX($C$306:$C$319))</f>
        <v>0</v>
      </c>
      <c r="U319">
        <f>IF(COUNT($E$2:$E319)&lt;14,"",MIN($D$306:$D$319))</f>
        <v>0</v>
      </c>
      <c r="V319">
        <f>IF(OR(T319="",U319="",T319=U319),"",100*($E319-U319)/(T319-U319))</f>
        <v>0</v>
      </c>
      <c r="W319">
        <f>IF(COUNT($V$317:$V$319)&lt;3,"",AVERAGE($V$317:$V$319))</f>
        <v>0</v>
      </c>
      <c r="X319">
        <f>IF(COUNT($N$306:$N$319)&lt;14,"",MIN($N$306:$N$319))</f>
        <v>0</v>
      </c>
      <c r="Y319">
        <f>IF(COUNT($N$306:$N$319)&lt;14,"",MAX($N$306:$N$319))</f>
        <v>0</v>
      </c>
      <c r="Z319">
        <f>IF(OR(N319="",X319="",Y319="",Y319=X319),"",100*(N319-X319)/(Y319-X319))</f>
        <v>0</v>
      </c>
      <c r="AA319">
        <f>IF(COUNT($Z$317:$Z$319)&lt;3,"",AVERAGE($Z$317:$Z$319))</f>
        <v>0</v>
      </c>
      <c r="AB319">
        <f>IF(COUNT($AA$317:$AA$319)&lt;3,"",AVERAGE($AA$317:$AA$319))</f>
        <v>0</v>
      </c>
      <c r="AC319">
        <f>IF($E319="","",MAX($C319-$D319,ABS($C319-$E318),ABS($D319-$E318)))</f>
        <v>0</v>
      </c>
      <c r="AD319">
        <f>IF(COUNT($E$2:$E319)&lt;15,"",AVERAGE($AC$306:$AC$319))</f>
        <v>0</v>
      </c>
      <c r="AE319">
        <f>IF(OR($E319="",$E318=""),"",IF(AND(($C319-$C318)&gt;($D318-$D319),($C319-$C318)&gt;0),$C319-$C318,0))</f>
        <v>0</v>
      </c>
      <c r="AF319">
        <f>IF(OR($E319="",$E318=""),"",IF(AND(($D318-$D319)&gt;($C319-$C318),($D318-$D319)&gt;0),$D318-$D319,0))</f>
        <v>0</v>
      </c>
      <c r="AG319">
        <f>IF(COUNT($E$2:$E319)&lt;15,"",IF(SUM($AC$306:$AC$319)=0,0,100*SUM($AE$306:$AE$319)/SUM($AC$306:$AC$319)))</f>
        <v>0</v>
      </c>
      <c r="AH319">
        <f>IF(COUNT($E$2:$E319)&lt;15,"",IF(SUM($AC$306:$AC$319)=0,0,100*SUM($AF$306:$AF$319)/SUM($AC$306:$AC$319)))</f>
        <v>0</v>
      </c>
      <c r="AI319">
        <f>IF(OR(AG319="",AH319=""),"",IF((AG319+AH319)=0,0,100*ABS(AG319-AH319)/(AG319+AH319)))</f>
        <v>0</v>
      </c>
      <c r="AJ319">
        <f>IF(COUNT($AI$306:$AI$319)&lt;14,"",AVERAGE($AI$306:$AI$319))</f>
        <v>0</v>
      </c>
      <c r="AK319">
        <f>IF(COUNT($E$2:$E319)&lt;20,"",AVERAGE($E$300:$E$319))</f>
        <v>0</v>
      </c>
      <c r="AL319">
        <f>IF(COUNT($E$2:$E319)&lt;20,"",STDEVP($E$300:$E$319))</f>
        <v>0</v>
      </c>
      <c r="AM319">
        <f>IF(AK319="","",AK319+2*AL319)</f>
        <v>0</v>
      </c>
      <c r="AN319">
        <f>IF(AK319="","",AK319-2*AL319)</f>
        <v>0</v>
      </c>
      <c r="AO319">
        <f>IF(OR(AM319="",AN319="",AM319=AN319),"",($E319-AN319)/(AM319-AN319))</f>
        <v>0</v>
      </c>
      <c r="AP319">
        <f>IF(OR(AM319="",AK319="",AK319=0),"",(AM319-AN319)/AK319)</f>
        <v>0</v>
      </c>
      <c r="AQ319">
        <f>IF(COUNT($E$2:$E319)&lt;20,"",MAX($C$300:$C$319))</f>
        <v>0</v>
      </c>
      <c r="AR319">
        <f>IF(COUNT($E$2:$E319)&lt;20,"",MIN($D$300:$D$319))</f>
        <v>0</v>
      </c>
      <c r="AS319">
        <f>IF(OR(AQ319="",AR319=""),"",(AQ319+AR319)/2)</f>
        <v>0</v>
      </c>
      <c r="AT319">
        <f>IF(COUNT($G$300:$G$319)&lt;20,"",STDEV($G$300:$G$319)*SQRT(252))</f>
        <v>0</v>
      </c>
      <c r="AU319">
        <f>IF(COUNT($E$2:$E319)&lt;9,"",(MAX($C$311:$C$319)+MIN($D$311:$D$319))/2)</f>
        <v>0</v>
      </c>
      <c r="AV319">
        <f>IF(COUNT($E$2:$E319)&lt;26,"",(MAX($C$294:$C$319)+MIN($D$294:$D$319))/2)</f>
        <v>0</v>
      </c>
      <c r="AW319">
        <f>IF(OR(AU319="",AV319=""),"",(AU319+AV319)/2)</f>
        <v>0</v>
      </c>
      <c r="AX319">
        <f>IF(COUNT($E$2:$E319)&lt;52,"",(MAX($C$268:$C$319)+MIN($D$268:$D$319))/2)</f>
        <v>0</v>
      </c>
      <c r="AY319">
        <f>IF(COUNT($E$2:$E319)&lt;20,"",MAX($C$220:$C$319))</f>
        <v>0</v>
      </c>
      <c r="AZ319">
        <f>IF(COUNT($E$2:$E319)&lt;20,"",MIN($D$220:$D$319))</f>
        <v>0</v>
      </c>
      <c r="BA319">
        <f>IF(COUNT($E$2:$E319)&lt;20,"",SLOPE($E$220:$E$319,$F$220:$F$319))</f>
        <v>0</v>
      </c>
      <c r="BB319">
        <f>IF(COUNT($E$2:$E319)&lt;20,"",INTERCEPT($E$220:$E$319,$F$220:$F$319))</f>
        <v>0</v>
      </c>
      <c r="BC319">
        <f>IF(OR(BA319="",BB319=""),"",BB319+BA319*F319)</f>
        <v>0</v>
      </c>
      <c r="BD319">
        <f>IF(COUNT($E$2:$E319)&lt;20,"",STEYX($E$220:$E$319,$F$220:$F$319))</f>
        <v>0</v>
      </c>
      <c r="BE319">
        <f>IF($E319="","",IF(AND(COUNT($E$320:$E$323)&gt;=4,$C319=MAX($C$315:$C$323)),$C319,""))</f>
        <v>0</v>
      </c>
      <c r="BF319">
        <f>IF($E319="","",IF(AND(COUNT($E$320:$E$323)&gt;=4,$D319=MIN($D$315:$D$323)),$D319,""))</f>
        <v>0</v>
      </c>
      <c r="BG319">
        <f>IF($A319="","",$A319-WEEKDAY($A319,2)+1)</f>
        <v>0</v>
      </c>
      <c r="BH319">
        <f>IF($A319="","",IF($A318="",1,IF(BG319&lt;&gt;BG318,1,0)))</f>
        <v>0</v>
      </c>
      <c r="BI319">
        <f>IF($A319="","",IF($A320="",1,IF(BG320&lt;&gt;BG319,1,0)))</f>
        <v>0</v>
      </c>
      <c r="BJ319">
        <f>IF($A319="","",IF(BH319=1,$B319,BJ318))</f>
        <v>0</v>
      </c>
      <c r="BK319">
        <f>IF($A319="","",IF(BH319=1,$C319,MAX($C319,BK318)))</f>
        <v>0</v>
      </c>
      <c r="BL319">
        <f>IF($A319="","",IF(BH319=1,$D319,MIN($D319,BL318)))</f>
        <v>0</v>
      </c>
      <c r="BM319">
        <f>IF($A319="","",IF(BI319=1,F319,""))</f>
        <v>0</v>
      </c>
      <c r="BN319">
        <f>IF($A319="","",DATE(YEAR($A319),MONTH($A319),1))</f>
        <v>0</v>
      </c>
      <c r="BO319">
        <f>IF($A319="","",IF($A318="",1,IF(BN319&lt;&gt;BN318,1,0)))</f>
        <v>0</v>
      </c>
      <c r="BP319">
        <f>IF($A319="","",IF($A320="",1,IF(BN320&lt;&gt;BN319,1,0)))</f>
        <v>0</v>
      </c>
      <c r="BQ319">
        <f>IF($A319="","",IF(BO319=1,$B319,BQ318))</f>
        <v>0</v>
      </c>
      <c r="BR319">
        <f>IF($A319="","",IF(BO319=1,$C319,MAX($C319,BR318)))</f>
        <v>0</v>
      </c>
      <c r="BS319">
        <f>IF($A319="","",IF(BO319=1,$D319,MIN($D319,BS318)))</f>
        <v>0</v>
      </c>
      <c r="BT319">
        <f>IF($A319="","",IF(BP319=1,F319,""))</f>
        <v>0</v>
      </c>
    </row>
    <row r="320" spans="1:72">
      <c r="A320" s="27">
        <f>IF(Data!$A320="","",Data!$A320)</f>
        <v>0</v>
      </c>
      <c r="B320">
        <f>IF(Data!$B320="","",Data!$B320)</f>
        <v>0</v>
      </c>
      <c r="C320">
        <f>IF(Data!$C320="","",Data!$C320)</f>
        <v>0</v>
      </c>
      <c r="D320">
        <f>IF(Data!$D320="","",Data!$D320)</f>
        <v>0</v>
      </c>
      <c r="E320">
        <f>IF(Data!$E320="","",Data!$E320)</f>
        <v>0</v>
      </c>
      <c r="F320">
        <f>IF($E320="","",N(F319)+1)</f>
        <v>0</v>
      </c>
      <c r="G320">
        <f>IF(OR($E320="",$E319=""),"",LN($E320/$E319))</f>
        <v>0</v>
      </c>
      <c r="H320">
        <f>IF($E320="","",IF($E319="",$E320,$E320*0.0952380952+H319*0.9047619048))</f>
        <v>0</v>
      </c>
      <c r="I320">
        <f>IF($E320="","",IF($E319="",$E320,$E320*0.0392156863+I319*0.9607843137))</f>
        <v>0</v>
      </c>
      <c r="J320">
        <f>IF($E320="","",IF($E319="",$E320,$E320*0.0198019802+J319*0.9801980198))</f>
        <v>0</v>
      </c>
      <c r="K320">
        <f>IF($E320="","",IF($E319="",$E320,$E320*0.0099502488+K319*0.9900497512))</f>
        <v>0</v>
      </c>
      <c r="L320">
        <f>IF(OR($E320="",$E319=""),"",MAX($E320-$E319,0))</f>
        <v>0</v>
      </c>
      <c r="M320">
        <f>IF(OR($E320="",$E319=""),"",MAX($E319-$E320,0))</f>
        <v>0</v>
      </c>
      <c r="N320">
        <f>IF(COUNT($E$2:$E320)&lt;15,"",IF(AVERAGE($M$307:$M$320)=0,100,100-100/(1+AVERAGE($L$307:$L$320)/AVERAGE($M$307:$M$320))))</f>
        <v>0</v>
      </c>
      <c r="O320">
        <f>IF($E320="","",IF($E319="",$E320,$E320*0.1538461538+O319*0.8461538462))</f>
        <v>0</v>
      </c>
      <c r="P320">
        <f>IF($E320="","",IF($E319="",$E320,$E320*0.0740740741+P319*0.9259259259))</f>
        <v>0</v>
      </c>
      <c r="Q320">
        <f>IF(OR(O320="",P320=""),"",O320-P320)</f>
        <v>0</v>
      </c>
      <c r="R320">
        <f>IF(Q320="","",IF(R319="",Q320,Q320*0.2000000000+R319*0.8000000000))</f>
        <v>0</v>
      </c>
      <c r="S320">
        <f>IF(OR(Q320="",R320=""),"",Q320-R320)</f>
        <v>0</v>
      </c>
      <c r="T320">
        <f>IF(COUNT($E$2:$E320)&lt;14,"",MAX($C$307:$C$320))</f>
        <v>0</v>
      </c>
      <c r="U320">
        <f>IF(COUNT($E$2:$E320)&lt;14,"",MIN($D$307:$D$320))</f>
        <v>0</v>
      </c>
      <c r="V320">
        <f>IF(OR(T320="",U320="",T320=U320),"",100*($E320-U320)/(T320-U320))</f>
        <v>0</v>
      </c>
      <c r="W320">
        <f>IF(COUNT($V$318:$V$320)&lt;3,"",AVERAGE($V$318:$V$320))</f>
        <v>0</v>
      </c>
      <c r="X320">
        <f>IF(COUNT($N$307:$N$320)&lt;14,"",MIN($N$307:$N$320))</f>
        <v>0</v>
      </c>
      <c r="Y320">
        <f>IF(COUNT($N$307:$N$320)&lt;14,"",MAX($N$307:$N$320))</f>
        <v>0</v>
      </c>
      <c r="Z320">
        <f>IF(OR(N320="",X320="",Y320="",Y320=X320),"",100*(N320-X320)/(Y320-X320))</f>
        <v>0</v>
      </c>
      <c r="AA320">
        <f>IF(COUNT($Z$318:$Z$320)&lt;3,"",AVERAGE($Z$318:$Z$320))</f>
        <v>0</v>
      </c>
      <c r="AB320">
        <f>IF(COUNT($AA$318:$AA$320)&lt;3,"",AVERAGE($AA$318:$AA$320))</f>
        <v>0</v>
      </c>
      <c r="AC320">
        <f>IF($E320="","",MAX($C320-$D320,ABS($C320-$E319),ABS($D320-$E319)))</f>
        <v>0</v>
      </c>
      <c r="AD320">
        <f>IF(COUNT($E$2:$E320)&lt;15,"",AVERAGE($AC$307:$AC$320))</f>
        <v>0</v>
      </c>
      <c r="AE320">
        <f>IF(OR($E320="",$E319=""),"",IF(AND(($C320-$C319)&gt;($D319-$D320),($C320-$C319)&gt;0),$C320-$C319,0))</f>
        <v>0</v>
      </c>
      <c r="AF320">
        <f>IF(OR($E320="",$E319=""),"",IF(AND(($D319-$D320)&gt;($C320-$C319),($D319-$D320)&gt;0),$D319-$D320,0))</f>
        <v>0</v>
      </c>
      <c r="AG320">
        <f>IF(COUNT($E$2:$E320)&lt;15,"",IF(SUM($AC$307:$AC$320)=0,0,100*SUM($AE$307:$AE$320)/SUM($AC$307:$AC$320)))</f>
        <v>0</v>
      </c>
      <c r="AH320">
        <f>IF(COUNT($E$2:$E320)&lt;15,"",IF(SUM($AC$307:$AC$320)=0,0,100*SUM($AF$307:$AF$320)/SUM($AC$307:$AC$320)))</f>
        <v>0</v>
      </c>
      <c r="AI320">
        <f>IF(OR(AG320="",AH320=""),"",IF((AG320+AH320)=0,0,100*ABS(AG320-AH320)/(AG320+AH320)))</f>
        <v>0</v>
      </c>
      <c r="AJ320">
        <f>IF(COUNT($AI$307:$AI$320)&lt;14,"",AVERAGE($AI$307:$AI$320))</f>
        <v>0</v>
      </c>
      <c r="AK320">
        <f>IF(COUNT($E$2:$E320)&lt;20,"",AVERAGE($E$301:$E$320))</f>
        <v>0</v>
      </c>
      <c r="AL320">
        <f>IF(COUNT($E$2:$E320)&lt;20,"",STDEVP($E$301:$E$320))</f>
        <v>0</v>
      </c>
      <c r="AM320">
        <f>IF(AK320="","",AK320+2*AL320)</f>
        <v>0</v>
      </c>
      <c r="AN320">
        <f>IF(AK320="","",AK320-2*AL320)</f>
        <v>0</v>
      </c>
      <c r="AO320">
        <f>IF(OR(AM320="",AN320="",AM320=AN320),"",($E320-AN320)/(AM320-AN320))</f>
        <v>0</v>
      </c>
      <c r="AP320">
        <f>IF(OR(AM320="",AK320="",AK320=0),"",(AM320-AN320)/AK320)</f>
        <v>0</v>
      </c>
      <c r="AQ320">
        <f>IF(COUNT($E$2:$E320)&lt;20,"",MAX($C$301:$C$320))</f>
        <v>0</v>
      </c>
      <c r="AR320">
        <f>IF(COUNT($E$2:$E320)&lt;20,"",MIN($D$301:$D$320))</f>
        <v>0</v>
      </c>
      <c r="AS320">
        <f>IF(OR(AQ320="",AR320=""),"",(AQ320+AR320)/2)</f>
        <v>0</v>
      </c>
      <c r="AT320">
        <f>IF(COUNT($G$301:$G$320)&lt;20,"",STDEV($G$301:$G$320)*SQRT(252))</f>
        <v>0</v>
      </c>
      <c r="AU320">
        <f>IF(COUNT($E$2:$E320)&lt;9,"",(MAX($C$312:$C$320)+MIN($D$312:$D$320))/2)</f>
        <v>0</v>
      </c>
      <c r="AV320">
        <f>IF(COUNT($E$2:$E320)&lt;26,"",(MAX($C$295:$C$320)+MIN($D$295:$D$320))/2)</f>
        <v>0</v>
      </c>
      <c r="AW320">
        <f>IF(OR(AU320="",AV320=""),"",(AU320+AV320)/2)</f>
        <v>0</v>
      </c>
      <c r="AX320">
        <f>IF(COUNT($E$2:$E320)&lt;52,"",(MAX($C$269:$C$320)+MIN($D$269:$D$320))/2)</f>
        <v>0</v>
      </c>
      <c r="AY320">
        <f>IF(COUNT($E$2:$E320)&lt;20,"",MAX($C$221:$C$320))</f>
        <v>0</v>
      </c>
      <c r="AZ320">
        <f>IF(COUNT($E$2:$E320)&lt;20,"",MIN($D$221:$D$320))</f>
        <v>0</v>
      </c>
      <c r="BA320">
        <f>IF(COUNT($E$2:$E320)&lt;20,"",SLOPE($E$221:$E$320,$F$221:$F$320))</f>
        <v>0</v>
      </c>
      <c r="BB320">
        <f>IF(COUNT($E$2:$E320)&lt;20,"",INTERCEPT($E$221:$E$320,$F$221:$F$320))</f>
        <v>0</v>
      </c>
      <c r="BC320">
        <f>IF(OR(BA320="",BB320=""),"",BB320+BA320*F320)</f>
        <v>0</v>
      </c>
      <c r="BD320">
        <f>IF(COUNT($E$2:$E320)&lt;20,"",STEYX($E$221:$E$320,$F$221:$F$320))</f>
        <v>0</v>
      </c>
      <c r="BE320">
        <f>IF($E320="","",IF(AND(COUNT($E$321:$E$324)&gt;=4,$C320=MAX($C$316:$C$324)),$C320,""))</f>
        <v>0</v>
      </c>
      <c r="BF320">
        <f>IF($E320="","",IF(AND(COUNT($E$321:$E$324)&gt;=4,$D320=MIN($D$316:$D$324)),$D320,""))</f>
        <v>0</v>
      </c>
      <c r="BG320">
        <f>IF($A320="","",$A320-WEEKDAY($A320,2)+1)</f>
        <v>0</v>
      </c>
      <c r="BH320">
        <f>IF($A320="","",IF($A319="",1,IF(BG320&lt;&gt;BG319,1,0)))</f>
        <v>0</v>
      </c>
      <c r="BI320">
        <f>IF($A320="","",IF($A321="",1,IF(BG321&lt;&gt;BG320,1,0)))</f>
        <v>0</v>
      </c>
      <c r="BJ320">
        <f>IF($A320="","",IF(BH320=1,$B320,BJ319))</f>
        <v>0</v>
      </c>
      <c r="BK320">
        <f>IF($A320="","",IF(BH320=1,$C320,MAX($C320,BK319)))</f>
        <v>0</v>
      </c>
      <c r="BL320">
        <f>IF($A320="","",IF(BH320=1,$D320,MIN($D320,BL319)))</f>
        <v>0</v>
      </c>
      <c r="BM320">
        <f>IF($A320="","",IF(BI320=1,F320,""))</f>
        <v>0</v>
      </c>
      <c r="BN320">
        <f>IF($A320="","",DATE(YEAR($A320),MONTH($A320),1))</f>
        <v>0</v>
      </c>
      <c r="BO320">
        <f>IF($A320="","",IF($A319="",1,IF(BN320&lt;&gt;BN319,1,0)))</f>
        <v>0</v>
      </c>
      <c r="BP320">
        <f>IF($A320="","",IF($A321="",1,IF(BN321&lt;&gt;BN320,1,0)))</f>
        <v>0</v>
      </c>
      <c r="BQ320">
        <f>IF($A320="","",IF(BO320=1,$B320,BQ319))</f>
        <v>0</v>
      </c>
      <c r="BR320">
        <f>IF($A320="","",IF(BO320=1,$C320,MAX($C320,BR319)))</f>
        <v>0</v>
      </c>
      <c r="BS320">
        <f>IF($A320="","",IF(BO320=1,$D320,MIN($D320,BS319)))</f>
        <v>0</v>
      </c>
      <c r="BT320">
        <f>IF($A320="","",IF(BP320=1,F320,""))</f>
        <v>0</v>
      </c>
    </row>
    <row r="321" spans="1:72">
      <c r="A321" s="27">
        <f>IF(Data!$A321="","",Data!$A321)</f>
        <v>0</v>
      </c>
      <c r="B321">
        <f>IF(Data!$B321="","",Data!$B321)</f>
        <v>0</v>
      </c>
      <c r="C321">
        <f>IF(Data!$C321="","",Data!$C321)</f>
        <v>0</v>
      </c>
      <c r="D321">
        <f>IF(Data!$D321="","",Data!$D321)</f>
        <v>0</v>
      </c>
      <c r="E321">
        <f>IF(Data!$E321="","",Data!$E321)</f>
        <v>0</v>
      </c>
      <c r="F321">
        <f>IF($E321="","",N(F320)+1)</f>
        <v>0</v>
      </c>
      <c r="G321">
        <f>IF(OR($E321="",$E320=""),"",LN($E321/$E320))</f>
        <v>0</v>
      </c>
      <c r="H321">
        <f>IF($E321="","",IF($E320="",$E321,$E321*0.0952380952+H320*0.9047619048))</f>
        <v>0</v>
      </c>
      <c r="I321">
        <f>IF($E321="","",IF($E320="",$E321,$E321*0.0392156863+I320*0.9607843137))</f>
        <v>0</v>
      </c>
      <c r="J321">
        <f>IF($E321="","",IF($E320="",$E321,$E321*0.0198019802+J320*0.9801980198))</f>
        <v>0</v>
      </c>
      <c r="K321">
        <f>IF($E321="","",IF($E320="",$E321,$E321*0.0099502488+K320*0.9900497512))</f>
        <v>0</v>
      </c>
      <c r="L321">
        <f>IF(OR($E321="",$E320=""),"",MAX($E321-$E320,0))</f>
        <v>0</v>
      </c>
      <c r="M321">
        <f>IF(OR($E321="",$E320=""),"",MAX($E320-$E321,0))</f>
        <v>0</v>
      </c>
      <c r="N321">
        <f>IF(COUNT($E$2:$E321)&lt;15,"",IF(AVERAGE($M$308:$M$321)=0,100,100-100/(1+AVERAGE($L$308:$L$321)/AVERAGE($M$308:$M$321))))</f>
        <v>0</v>
      </c>
      <c r="O321">
        <f>IF($E321="","",IF($E320="",$E321,$E321*0.1538461538+O320*0.8461538462))</f>
        <v>0</v>
      </c>
      <c r="P321">
        <f>IF($E321="","",IF($E320="",$E321,$E321*0.0740740741+P320*0.9259259259))</f>
        <v>0</v>
      </c>
      <c r="Q321">
        <f>IF(OR(O321="",P321=""),"",O321-P321)</f>
        <v>0</v>
      </c>
      <c r="R321">
        <f>IF(Q321="","",IF(R320="",Q321,Q321*0.2000000000+R320*0.8000000000))</f>
        <v>0</v>
      </c>
      <c r="S321">
        <f>IF(OR(Q321="",R321=""),"",Q321-R321)</f>
        <v>0</v>
      </c>
      <c r="T321">
        <f>IF(COUNT($E$2:$E321)&lt;14,"",MAX($C$308:$C$321))</f>
        <v>0</v>
      </c>
      <c r="U321">
        <f>IF(COUNT($E$2:$E321)&lt;14,"",MIN($D$308:$D$321))</f>
        <v>0</v>
      </c>
      <c r="V321">
        <f>IF(OR(T321="",U321="",T321=U321),"",100*($E321-U321)/(T321-U321))</f>
        <v>0</v>
      </c>
      <c r="W321">
        <f>IF(COUNT($V$319:$V$321)&lt;3,"",AVERAGE($V$319:$V$321))</f>
        <v>0</v>
      </c>
      <c r="X321">
        <f>IF(COUNT($N$308:$N$321)&lt;14,"",MIN($N$308:$N$321))</f>
        <v>0</v>
      </c>
      <c r="Y321">
        <f>IF(COUNT($N$308:$N$321)&lt;14,"",MAX($N$308:$N$321))</f>
        <v>0</v>
      </c>
      <c r="Z321">
        <f>IF(OR(N321="",X321="",Y321="",Y321=X321),"",100*(N321-X321)/(Y321-X321))</f>
        <v>0</v>
      </c>
      <c r="AA321">
        <f>IF(COUNT($Z$319:$Z$321)&lt;3,"",AVERAGE($Z$319:$Z$321))</f>
        <v>0</v>
      </c>
      <c r="AB321">
        <f>IF(COUNT($AA$319:$AA$321)&lt;3,"",AVERAGE($AA$319:$AA$321))</f>
        <v>0</v>
      </c>
      <c r="AC321">
        <f>IF($E321="","",MAX($C321-$D321,ABS($C321-$E320),ABS($D321-$E320)))</f>
        <v>0</v>
      </c>
      <c r="AD321">
        <f>IF(COUNT($E$2:$E321)&lt;15,"",AVERAGE($AC$308:$AC$321))</f>
        <v>0</v>
      </c>
      <c r="AE321">
        <f>IF(OR($E321="",$E320=""),"",IF(AND(($C321-$C320)&gt;($D320-$D321),($C321-$C320)&gt;0),$C321-$C320,0))</f>
        <v>0</v>
      </c>
      <c r="AF321">
        <f>IF(OR($E321="",$E320=""),"",IF(AND(($D320-$D321)&gt;($C321-$C320),($D320-$D321)&gt;0),$D320-$D321,0))</f>
        <v>0</v>
      </c>
      <c r="AG321">
        <f>IF(COUNT($E$2:$E321)&lt;15,"",IF(SUM($AC$308:$AC$321)=0,0,100*SUM($AE$308:$AE$321)/SUM($AC$308:$AC$321)))</f>
        <v>0</v>
      </c>
      <c r="AH321">
        <f>IF(COUNT($E$2:$E321)&lt;15,"",IF(SUM($AC$308:$AC$321)=0,0,100*SUM($AF$308:$AF$321)/SUM($AC$308:$AC$321)))</f>
        <v>0</v>
      </c>
      <c r="AI321">
        <f>IF(OR(AG321="",AH321=""),"",IF((AG321+AH321)=0,0,100*ABS(AG321-AH321)/(AG321+AH321)))</f>
        <v>0</v>
      </c>
      <c r="AJ321">
        <f>IF(COUNT($AI$308:$AI$321)&lt;14,"",AVERAGE($AI$308:$AI$321))</f>
        <v>0</v>
      </c>
      <c r="AK321">
        <f>IF(COUNT($E$2:$E321)&lt;20,"",AVERAGE($E$302:$E$321))</f>
        <v>0</v>
      </c>
      <c r="AL321">
        <f>IF(COUNT($E$2:$E321)&lt;20,"",STDEVP($E$302:$E$321))</f>
        <v>0</v>
      </c>
      <c r="AM321">
        <f>IF(AK321="","",AK321+2*AL321)</f>
        <v>0</v>
      </c>
      <c r="AN321">
        <f>IF(AK321="","",AK321-2*AL321)</f>
        <v>0</v>
      </c>
      <c r="AO321">
        <f>IF(OR(AM321="",AN321="",AM321=AN321),"",($E321-AN321)/(AM321-AN321))</f>
        <v>0</v>
      </c>
      <c r="AP321">
        <f>IF(OR(AM321="",AK321="",AK321=0),"",(AM321-AN321)/AK321)</f>
        <v>0</v>
      </c>
      <c r="AQ321">
        <f>IF(COUNT($E$2:$E321)&lt;20,"",MAX($C$302:$C$321))</f>
        <v>0</v>
      </c>
      <c r="AR321">
        <f>IF(COUNT($E$2:$E321)&lt;20,"",MIN($D$302:$D$321))</f>
        <v>0</v>
      </c>
      <c r="AS321">
        <f>IF(OR(AQ321="",AR321=""),"",(AQ321+AR321)/2)</f>
        <v>0</v>
      </c>
      <c r="AT321">
        <f>IF(COUNT($G$302:$G$321)&lt;20,"",STDEV($G$302:$G$321)*SQRT(252))</f>
        <v>0</v>
      </c>
      <c r="AU321">
        <f>IF(COUNT($E$2:$E321)&lt;9,"",(MAX($C$313:$C$321)+MIN($D$313:$D$321))/2)</f>
        <v>0</v>
      </c>
      <c r="AV321">
        <f>IF(COUNT($E$2:$E321)&lt;26,"",(MAX($C$296:$C$321)+MIN($D$296:$D$321))/2)</f>
        <v>0</v>
      </c>
      <c r="AW321">
        <f>IF(OR(AU321="",AV321=""),"",(AU321+AV321)/2)</f>
        <v>0</v>
      </c>
      <c r="AX321">
        <f>IF(COUNT($E$2:$E321)&lt;52,"",(MAX($C$270:$C$321)+MIN($D$270:$D$321))/2)</f>
        <v>0</v>
      </c>
      <c r="AY321">
        <f>IF(COUNT($E$2:$E321)&lt;20,"",MAX($C$222:$C$321))</f>
        <v>0</v>
      </c>
      <c r="AZ321">
        <f>IF(COUNT($E$2:$E321)&lt;20,"",MIN($D$222:$D$321))</f>
        <v>0</v>
      </c>
      <c r="BA321">
        <f>IF(COUNT($E$2:$E321)&lt;20,"",SLOPE($E$222:$E$321,$F$222:$F$321))</f>
        <v>0</v>
      </c>
      <c r="BB321">
        <f>IF(COUNT($E$2:$E321)&lt;20,"",INTERCEPT($E$222:$E$321,$F$222:$F$321))</f>
        <v>0</v>
      </c>
      <c r="BC321">
        <f>IF(OR(BA321="",BB321=""),"",BB321+BA321*F321)</f>
        <v>0</v>
      </c>
      <c r="BD321">
        <f>IF(COUNT($E$2:$E321)&lt;20,"",STEYX($E$222:$E$321,$F$222:$F$321))</f>
        <v>0</v>
      </c>
      <c r="BE321">
        <f>IF($E321="","",IF(AND(COUNT($E$322:$E$325)&gt;=4,$C321=MAX($C$317:$C$325)),$C321,""))</f>
        <v>0</v>
      </c>
      <c r="BF321">
        <f>IF($E321="","",IF(AND(COUNT($E$322:$E$325)&gt;=4,$D321=MIN($D$317:$D$325)),$D321,""))</f>
        <v>0</v>
      </c>
      <c r="BG321">
        <f>IF($A321="","",$A321-WEEKDAY($A321,2)+1)</f>
        <v>0</v>
      </c>
      <c r="BH321">
        <f>IF($A321="","",IF($A320="",1,IF(BG321&lt;&gt;BG320,1,0)))</f>
        <v>0</v>
      </c>
      <c r="BI321">
        <f>IF($A321="","",IF($A322="",1,IF(BG322&lt;&gt;BG321,1,0)))</f>
        <v>0</v>
      </c>
      <c r="BJ321">
        <f>IF($A321="","",IF(BH321=1,$B321,BJ320))</f>
        <v>0</v>
      </c>
      <c r="BK321">
        <f>IF($A321="","",IF(BH321=1,$C321,MAX($C321,BK320)))</f>
        <v>0</v>
      </c>
      <c r="BL321">
        <f>IF($A321="","",IF(BH321=1,$D321,MIN($D321,BL320)))</f>
        <v>0</v>
      </c>
      <c r="BM321">
        <f>IF($A321="","",IF(BI321=1,F321,""))</f>
        <v>0</v>
      </c>
      <c r="BN321">
        <f>IF($A321="","",DATE(YEAR($A321),MONTH($A321),1))</f>
        <v>0</v>
      </c>
      <c r="BO321">
        <f>IF($A321="","",IF($A320="",1,IF(BN321&lt;&gt;BN320,1,0)))</f>
        <v>0</v>
      </c>
      <c r="BP321">
        <f>IF($A321="","",IF($A322="",1,IF(BN322&lt;&gt;BN321,1,0)))</f>
        <v>0</v>
      </c>
      <c r="BQ321">
        <f>IF($A321="","",IF(BO321=1,$B321,BQ320))</f>
        <v>0</v>
      </c>
      <c r="BR321">
        <f>IF($A321="","",IF(BO321=1,$C321,MAX($C321,BR320)))</f>
        <v>0</v>
      </c>
      <c r="BS321">
        <f>IF($A321="","",IF(BO321=1,$D321,MIN($D321,BS320)))</f>
        <v>0</v>
      </c>
      <c r="BT321">
        <f>IF($A321="","",IF(BP321=1,F321,""))</f>
        <v>0</v>
      </c>
    </row>
    <row r="322" spans="1:72">
      <c r="A322" s="27">
        <f>IF(Data!$A322="","",Data!$A322)</f>
        <v>0</v>
      </c>
      <c r="B322">
        <f>IF(Data!$B322="","",Data!$B322)</f>
        <v>0</v>
      </c>
      <c r="C322">
        <f>IF(Data!$C322="","",Data!$C322)</f>
        <v>0</v>
      </c>
      <c r="D322">
        <f>IF(Data!$D322="","",Data!$D322)</f>
        <v>0</v>
      </c>
      <c r="E322">
        <f>IF(Data!$E322="","",Data!$E322)</f>
        <v>0</v>
      </c>
      <c r="F322">
        <f>IF($E322="","",N(F321)+1)</f>
        <v>0</v>
      </c>
      <c r="G322">
        <f>IF(OR($E322="",$E321=""),"",LN($E322/$E321))</f>
        <v>0</v>
      </c>
      <c r="H322">
        <f>IF($E322="","",IF($E321="",$E322,$E322*0.0952380952+H321*0.9047619048))</f>
        <v>0</v>
      </c>
      <c r="I322">
        <f>IF($E322="","",IF($E321="",$E322,$E322*0.0392156863+I321*0.9607843137))</f>
        <v>0</v>
      </c>
      <c r="J322">
        <f>IF($E322="","",IF($E321="",$E322,$E322*0.0198019802+J321*0.9801980198))</f>
        <v>0</v>
      </c>
      <c r="K322">
        <f>IF($E322="","",IF($E321="",$E322,$E322*0.0099502488+K321*0.9900497512))</f>
        <v>0</v>
      </c>
      <c r="L322">
        <f>IF(OR($E322="",$E321=""),"",MAX($E322-$E321,0))</f>
        <v>0</v>
      </c>
      <c r="M322">
        <f>IF(OR($E322="",$E321=""),"",MAX($E321-$E322,0))</f>
        <v>0</v>
      </c>
      <c r="N322">
        <f>IF(COUNT($E$2:$E322)&lt;15,"",IF(AVERAGE($M$309:$M$322)=0,100,100-100/(1+AVERAGE($L$309:$L$322)/AVERAGE($M$309:$M$322))))</f>
        <v>0</v>
      </c>
      <c r="O322">
        <f>IF($E322="","",IF($E321="",$E322,$E322*0.1538461538+O321*0.8461538462))</f>
        <v>0</v>
      </c>
      <c r="P322">
        <f>IF($E322="","",IF($E321="",$E322,$E322*0.0740740741+P321*0.9259259259))</f>
        <v>0</v>
      </c>
      <c r="Q322">
        <f>IF(OR(O322="",P322=""),"",O322-P322)</f>
        <v>0</v>
      </c>
      <c r="R322">
        <f>IF(Q322="","",IF(R321="",Q322,Q322*0.2000000000+R321*0.8000000000))</f>
        <v>0</v>
      </c>
      <c r="S322">
        <f>IF(OR(Q322="",R322=""),"",Q322-R322)</f>
        <v>0</v>
      </c>
      <c r="T322">
        <f>IF(COUNT($E$2:$E322)&lt;14,"",MAX($C$309:$C$322))</f>
        <v>0</v>
      </c>
      <c r="U322">
        <f>IF(COUNT($E$2:$E322)&lt;14,"",MIN($D$309:$D$322))</f>
        <v>0</v>
      </c>
      <c r="V322">
        <f>IF(OR(T322="",U322="",T322=U322),"",100*($E322-U322)/(T322-U322))</f>
        <v>0</v>
      </c>
      <c r="W322">
        <f>IF(COUNT($V$320:$V$322)&lt;3,"",AVERAGE($V$320:$V$322))</f>
        <v>0</v>
      </c>
      <c r="X322">
        <f>IF(COUNT($N$309:$N$322)&lt;14,"",MIN($N$309:$N$322))</f>
        <v>0</v>
      </c>
      <c r="Y322">
        <f>IF(COUNT($N$309:$N$322)&lt;14,"",MAX($N$309:$N$322))</f>
        <v>0</v>
      </c>
      <c r="Z322">
        <f>IF(OR(N322="",X322="",Y322="",Y322=X322),"",100*(N322-X322)/(Y322-X322))</f>
        <v>0</v>
      </c>
      <c r="AA322">
        <f>IF(COUNT($Z$320:$Z$322)&lt;3,"",AVERAGE($Z$320:$Z$322))</f>
        <v>0</v>
      </c>
      <c r="AB322">
        <f>IF(COUNT($AA$320:$AA$322)&lt;3,"",AVERAGE($AA$320:$AA$322))</f>
        <v>0</v>
      </c>
      <c r="AC322">
        <f>IF($E322="","",MAX($C322-$D322,ABS($C322-$E321),ABS($D322-$E321)))</f>
        <v>0</v>
      </c>
      <c r="AD322">
        <f>IF(COUNT($E$2:$E322)&lt;15,"",AVERAGE($AC$309:$AC$322))</f>
        <v>0</v>
      </c>
      <c r="AE322">
        <f>IF(OR($E322="",$E321=""),"",IF(AND(($C322-$C321)&gt;($D321-$D322),($C322-$C321)&gt;0),$C322-$C321,0))</f>
        <v>0</v>
      </c>
      <c r="AF322">
        <f>IF(OR($E322="",$E321=""),"",IF(AND(($D321-$D322)&gt;($C322-$C321),($D321-$D322)&gt;0),$D321-$D322,0))</f>
        <v>0</v>
      </c>
      <c r="AG322">
        <f>IF(COUNT($E$2:$E322)&lt;15,"",IF(SUM($AC$309:$AC$322)=0,0,100*SUM($AE$309:$AE$322)/SUM($AC$309:$AC$322)))</f>
        <v>0</v>
      </c>
      <c r="AH322">
        <f>IF(COUNT($E$2:$E322)&lt;15,"",IF(SUM($AC$309:$AC$322)=0,0,100*SUM($AF$309:$AF$322)/SUM($AC$309:$AC$322)))</f>
        <v>0</v>
      </c>
      <c r="AI322">
        <f>IF(OR(AG322="",AH322=""),"",IF((AG322+AH322)=0,0,100*ABS(AG322-AH322)/(AG322+AH322)))</f>
        <v>0</v>
      </c>
      <c r="AJ322">
        <f>IF(COUNT($AI$309:$AI$322)&lt;14,"",AVERAGE($AI$309:$AI$322))</f>
        <v>0</v>
      </c>
      <c r="AK322">
        <f>IF(COUNT($E$2:$E322)&lt;20,"",AVERAGE($E$303:$E$322))</f>
        <v>0</v>
      </c>
      <c r="AL322">
        <f>IF(COUNT($E$2:$E322)&lt;20,"",STDEVP($E$303:$E$322))</f>
        <v>0</v>
      </c>
      <c r="AM322">
        <f>IF(AK322="","",AK322+2*AL322)</f>
        <v>0</v>
      </c>
      <c r="AN322">
        <f>IF(AK322="","",AK322-2*AL322)</f>
        <v>0</v>
      </c>
      <c r="AO322">
        <f>IF(OR(AM322="",AN322="",AM322=AN322),"",($E322-AN322)/(AM322-AN322))</f>
        <v>0</v>
      </c>
      <c r="AP322">
        <f>IF(OR(AM322="",AK322="",AK322=0),"",(AM322-AN322)/AK322)</f>
        <v>0</v>
      </c>
      <c r="AQ322">
        <f>IF(COUNT($E$2:$E322)&lt;20,"",MAX($C$303:$C$322))</f>
        <v>0</v>
      </c>
      <c r="AR322">
        <f>IF(COUNT($E$2:$E322)&lt;20,"",MIN($D$303:$D$322))</f>
        <v>0</v>
      </c>
      <c r="AS322">
        <f>IF(OR(AQ322="",AR322=""),"",(AQ322+AR322)/2)</f>
        <v>0</v>
      </c>
      <c r="AT322">
        <f>IF(COUNT($G$303:$G$322)&lt;20,"",STDEV($G$303:$G$322)*SQRT(252))</f>
        <v>0</v>
      </c>
      <c r="AU322">
        <f>IF(COUNT($E$2:$E322)&lt;9,"",(MAX($C$314:$C$322)+MIN($D$314:$D$322))/2)</f>
        <v>0</v>
      </c>
      <c r="AV322">
        <f>IF(COUNT($E$2:$E322)&lt;26,"",(MAX($C$297:$C$322)+MIN($D$297:$D$322))/2)</f>
        <v>0</v>
      </c>
      <c r="AW322">
        <f>IF(OR(AU322="",AV322=""),"",(AU322+AV322)/2)</f>
        <v>0</v>
      </c>
      <c r="AX322">
        <f>IF(COUNT($E$2:$E322)&lt;52,"",(MAX($C$271:$C$322)+MIN($D$271:$D$322))/2)</f>
        <v>0</v>
      </c>
      <c r="AY322">
        <f>IF(COUNT($E$2:$E322)&lt;20,"",MAX($C$223:$C$322))</f>
        <v>0</v>
      </c>
      <c r="AZ322">
        <f>IF(COUNT($E$2:$E322)&lt;20,"",MIN($D$223:$D$322))</f>
        <v>0</v>
      </c>
      <c r="BA322">
        <f>IF(COUNT($E$2:$E322)&lt;20,"",SLOPE($E$223:$E$322,$F$223:$F$322))</f>
        <v>0</v>
      </c>
      <c r="BB322">
        <f>IF(COUNT($E$2:$E322)&lt;20,"",INTERCEPT($E$223:$E$322,$F$223:$F$322))</f>
        <v>0</v>
      </c>
      <c r="BC322">
        <f>IF(OR(BA322="",BB322=""),"",BB322+BA322*F322)</f>
        <v>0</v>
      </c>
      <c r="BD322">
        <f>IF(COUNT($E$2:$E322)&lt;20,"",STEYX($E$223:$E$322,$F$223:$F$322))</f>
        <v>0</v>
      </c>
      <c r="BE322">
        <f>IF($E322="","",IF(AND(COUNT($E$323:$E$326)&gt;=4,$C322=MAX($C$318:$C$326)),$C322,""))</f>
        <v>0</v>
      </c>
      <c r="BF322">
        <f>IF($E322="","",IF(AND(COUNT($E$323:$E$326)&gt;=4,$D322=MIN($D$318:$D$326)),$D322,""))</f>
        <v>0</v>
      </c>
      <c r="BG322">
        <f>IF($A322="","",$A322-WEEKDAY($A322,2)+1)</f>
        <v>0</v>
      </c>
      <c r="BH322">
        <f>IF($A322="","",IF($A321="",1,IF(BG322&lt;&gt;BG321,1,0)))</f>
        <v>0</v>
      </c>
      <c r="BI322">
        <f>IF($A322="","",IF($A323="",1,IF(BG323&lt;&gt;BG322,1,0)))</f>
        <v>0</v>
      </c>
      <c r="BJ322">
        <f>IF($A322="","",IF(BH322=1,$B322,BJ321))</f>
        <v>0</v>
      </c>
      <c r="BK322">
        <f>IF($A322="","",IF(BH322=1,$C322,MAX($C322,BK321)))</f>
        <v>0</v>
      </c>
      <c r="BL322">
        <f>IF($A322="","",IF(BH322=1,$D322,MIN($D322,BL321)))</f>
        <v>0</v>
      </c>
      <c r="BM322">
        <f>IF($A322="","",IF(BI322=1,F322,""))</f>
        <v>0</v>
      </c>
      <c r="BN322">
        <f>IF($A322="","",DATE(YEAR($A322),MONTH($A322),1))</f>
        <v>0</v>
      </c>
      <c r="BO322">
        <f>IF($A322="","",IF($A321="",1,IF(BN322&lt;&gt;BN321,1,0)))</f>
        <v>0</v>
      </c>
      <c r="BP322">
        <f>IF($A322="","",IF($A323="",1,IF(BN323&lt;&gt;BN322,1,0)))</f>
        <v>0</v>
      </c>
      <c r="BQ322">
        <f>IF($A322="","",IF(BO322=1,$B322,BQ321))</f>
        <v>0</v>
      </c>
      <c r="BR322">
        <f>IF($A322="","",IF(BO322=1,$C322,MAX($C322,BR321)))</f>
        <v>0</v>
      </c>
      <c r="BS322">
        <f>IF($A322="","",IF(BO322=1,$D322,MIN($D322,BS321)))</f>
        <v>0</v>
      </c>
      <c r="BT322">
        <f>IF($A322="","",IF(BP322=1,F322,""))</f>
        <v>0</v>
      </c>
    </row>
    <row r="323" spans="1:72">
      <c r="A323" s="27">
        <f>IF(Data!$A323="","",Data!$A323)</f>
        <v>0</v>
      </c>
      <c r="B323">
        <f>IF(Data!$B323="","",Data!$B323)</f>
        <v>0</v>
      </c>
      <c r="C323">
        <f>IF(Data!$C323="","",Data!$C323)</f>
        <v>0</v>
      </c>
      <c r="D323">
        <f>IF(Data!$D323="","",Data!$D323)</f>
        <v>0</v>
      </c>
      <c r="E323">
        <f>IF(Data!$E323="","",Data!$E323)</f>
        <v>0</v>
      </c>
      <c r="F323">
        <f>IF($E323="","",N(F322)+1)</f>
        <v>0</v>
      </c>
      <c r="G323">
        <f>IF(OR($E323="",$E322=""),"",LN($E323/$E322))</f>
        <v>0</v>
      </c>
      <c r="H323">
        <f>IF($E323="","",IF($E322="",$E323,$E323*0.0952380952+H322*0.9047619048))</f>
        <v>0</v>
      </c>
      <c r="I323">
        <f>IF($E323="","",IF($E322="",$E323,$E323*0.0392156863+I322*0.9607843137))</f>
        <v>0</v>
      </c>
      <c r="J323">
        <f>IF($E323="","",IF($E322="",$E323,$E323*0.0198019802+J322*0.9801980198))</f>
        <v>0</v>
      </c>
      <c r="K323">
        <f>IF($E323="","",IF($E322="",$E323,$E323*0.0099502488+K322*0.9900497512))</f>
        <v>0</v>
      </c>
      <c r="L323">
        <f>IF(OR($E323="",$E322=""),"",MAX($E323-$E322,0))</f>
        <v>0</v>
      </c>
      <c r="M323">
        <f>IF(OR($E323="",$E322=""),"",MAX($E322-$E323,0))</f>
        <v>0</v>
      </c>
      <c r="N323">
        <f>IF(COUNT($E$2:$E323)&lt;15,"",IF(AVERAGE($M$310:$M$323)=0,100,100-100/(1+AVERAGE($L$310:$L$323)/AVERAGE($M$310:$M$323))))</f>
        <v>0</v>
      </c>
      <c r="O323">
        <f>IF($E323="","",IF($E322="",$E323,$E323*0.1538461538+O322*0.8461538462))</f>
        <v>0</v>
      </c>
      <c r="P323">
        <f>IF($E323="","",IF($E322="",$E323,$E323*0.0740740741+P322*0.9259259259))</f>
        <v>0</v>
      </c>
      <c r="Q323">
        <f>IF(OR(O323="",P323=""),"",O323-P323)</f>
        <v>0</v>
      </c>
      <c r="R323">
        <f>IF(Q323="","",IF(R322="",Q323,Q323*0.2000000000+R322*0.8000000000))</f>
        <v>0</v>
      </c>
      <c r="S323">
        <f>IF(OR(Q323="",R323=""),"",Q323-R323)</f>
        <v>0</v>
      </c>
      <c r="T323">
        <f>IF(COUNT($E$2:$E323)&lt;14,"",MAX($C$310:$C$323))</f>
        <v>0</v>
      </c>
      <c r="U323">
        <f>IF(COUNT($E$2:$E323)&lt;14,"",MIN($D$310:$D$323))</f>
        <v>0</v>
      </c>
      <c r="V323">
        <f>IF(OR(T323="",U323="",T323=U323),"",100*($E323-U323)/(T323-U323))</f>
        <v>0</v>
      </c>
      <c r="W323">
        <f>IF(COUNT($V$321:$V$323)&lt;3,"",AVERAGE($V$321:$V$323))</f>
        <v>0</v>
      </c>
      <c r="X323">
        <f>IF(COUNT($N$310:$N$323)&lt;14,"",MIN($N$310:$N$323))</f>
        <v>0</v>
      </c>
      <c r="Y323">
        <f>IF(COUNT($N$310:$N$323)&lt;14,"",MAX($N$310:$N$323))</f>
        <v>0</v>
      </c>
      <c r="Z323">
        <f>IF(OR(N323="",X323="",Y323="",Y323=X323),"",100*(N323-X323)/(Y323-X323))</f>
        <v>0</v>
      </c>
      <c r="AA323">
        <f>IF(COUNT($Z$321:$Z$323)&lt;3,"",AVERAGE($Z$321:$Z$323))</f>
        <v>0</v>
      </c>
      <c r="AB323">
        <f>IF(COUNT($AA$321:$AA$323)&lt;3,"",AVERAGE($AA$321:$AA$323))</f>
        <v>0</v>
      </c>
      <c r="AC323">
        <f>IF($E323="","",MAX($C323-$D323,ABS($C323-$E322),ABS($D323-$E322)))</f>
        <v>0</v>
      </c>
      <c r="AD323">
        <f>IF(COUNT($E$2:$E323)&lt;15,"",AVERAGE($AC$310:$AC$323))</f>
        <v>0</v>
      </c>
      <c r="AE323">
        <f>IF(OR($E323="",$E322=""),"",IF(AND(($C323-$C322)&gt;($D322-$D323),($C323-$C322)&gt;0),$C323-$C322,0))</f>
        <v>0</v>
      </c>
      <c r="AF323">
        <f>IF(OR($E323="",$E322=""),"",IF(AND(($D322-$D323)&gt;($C323-$C322),($D322-$D323)&gt;0),$D322-$D323,0))</f>
        <v>0</v>
      </c>
      <c r="AG323">
        <f>IF(COUNT($E$2:$E323)&lt;15,"",IF(SUM($AC$310:$AC$323)=0,0,100*SUM($AE$310:$AE$323)/SUM($AC$310:$AC$323)))</f>
        <v>0</v>
      </c>
      <c r="AH323">
        <f>IF(COUNT($E$2:$E323)&lt;15,"",IF(SUM($AC$310:$AC$323)=0,0,100*SUM($AF$310:$AF$323)/SUM($AC$310:$AC$323)))</f>
        <v>0</v>
      </c>
      <c r="AI323">
        <f>IF(OR(AG323="",AH323=""),"",IF((AG323+AH323)=0,0,100*ABS(AG323-AH323)/(AG323+AH323)))</f>
        <v>0</v>
      </c>
      <c r="AJ323">
        <f>IF(COUNT($AI$310:$AI$323)&lt;14,"",AVERAGE($AI$310:$AI$323))</f>
        <v>0</v>
      </c>
      <c r="AK323">
        <f>IF(COUNT($E$2:$E323)&lt;20,"",AVERAGE($E$304:$E$323))</f>
        <v>0</v>
      </c>
      <c r="AL323">
        <f>IF(COUNT($E$2:$E323)&lt;20,"",STDEVP($E$304:$E$323))</f>
        <v>0</v>
      </c>
      <c r="AM323">
        <f>IF(AK323="","",AK323+2*AL323)</f>
        <v>0</v>
      </c>
      <c r="AN323">
        <f>IF(AK323="","",AK323-2*AL323)</f>
        <v>0</v>
      </c>
      <c r="AO323">
        <f>IF(OR(AM323="",AN323="",AM323=AN323),"",($E323-AN323)/(AM323-AN323))</f>
        <v>0</v>
      </c>
      <c r="AP323">
        <f>IF(OR(AM323="",AK323="",AK323=0),"",(AM323-AN323)/AK323)</f>
        <v>0</v>
      </c>
      <c r="AQ323">
        <f>IF(COUNT($E$2:$E323)&lt;20,"",MAX($C$304:$C$323))</f>
        <v>0</v>
      </c>
      <c r="AR323">
        <f>IF(COUNT($E$2:$E323)&lt;20,"",MIN($D$304:$D$323))</f>
        <v>0</v>
      </c>
      <c r="AS323">
        <f>IF(OR(AQ323="",AR323=""),"",(AQ323+AR323)/2)</f>
        <v>0</v>
      </c>
      <c r="AT323">
        <f>IF(COUNT($G$304:$G$323)&lt;20,"",STDEV($G$304:$G$323)*SQRT(252))</f>
        <v>0</v>
      </c>
      <c r="AU323">
        <f>IF(COUNT($E$2:$E323)&lt;9,"",(MAX($C$315:$C$323)+MIN($D$315:$D$323))/2)</f>
        <v>0</v>
      </c>
      <c r="AV323">
        <f>IF(COUNT($E$2:$E323)&lt;26,"",(MAX($C$298:$C$323)+MIN($D$298:$D$323))/2)</f>
        <v>0</v>
      </c>
      <c r="AW323">
        <f>IF(OR(AU323="",AV323=""),"",(AU323+AV323)/2)</f>
        <v>0</v>
      </c>
      <c r="AX323">
        <f>IF(COUNT($E$2:$E323)&lt;52,"",(MAX($C$272:$C$323)+MIN($D$272:$D$323))/2)</f>
        <v>0</v>
      </c>
      <c r="AY323">
        <f>IF(COUNT($E$2:$E323)&lt;20,"",MAX($C$224:$C$323))</f>
        <v>0</v>
      </c>
      <c r="AZ323">
        <f>IF(COUNT($E$2:$E323)&lt;20,"",MIN($D$224:$D$323))</f>
        <v>0</v>
      </c>
      <c r="BA323">
        <f>IF(COUNT($E$2:$E323)&lt;20,"",SLOPE($E$224:$E$323,$F$224:$F$323))</f>
        <v>0</v>
      </c>
      <c r="BB323">
        <f>IF(COUNT($E$2:$E323)&lt;20,"",INTERCEPT($E$224:$E$323,$F$224:$F$323))</f>
        <v>0</v>
      </c>
      <c r="BC323">
        <f>IF(OR(BA323="",BB323=""),"",BB323+BA323*F323)</f>
        <v>0</v>
      </c>
      <c r="BD323">
        <f>IF(COUNT($E$2:$E323)&lt;20,"",STEYX($E$224:$E$323,$F$224:$F$323))</f>
        <v>0</v>
      </c>
      <c r="BE323">
        <f>IF($E323="","",IF(AND(COUNT($E$324:$E$327)&gt;=4,$C323=MAX($C$319:$C$327)),$C323,""))</f>
        <v>0</v>
      </c>
      <c r="BF323">
        <f>IF($E323="","",IF(AND(COUNT($E$324:$E$327)&gt;=4,$D323=MIN($D$319:$D$327)),$D323,""))</f>
        <v>0</v>
      </c>
      <c r="BG323">
        <f>IF($A323="","",$A323-WEEKDAY($A323,2)+1)</f>
        <v>0</v>
      </c>
      <c r="BH323">
        <f>IF($A323="","",IF($A322="",1,IF(BG323&lt;&gt;BG322,1,0)))</f>
        <v>0</v>
      </c>
      <c r="BI323">
        <f>IF($A323="","",IF($A324="",1,IF(BG324&lt;&gt;BG323,1,0)))</f>
        <v>0</v>
      </c>
      <c r="BJ323">
        <f>IF($A323="","",IF(BH323=1,$B323,BJ322))</f>
        <v>0</v>
      </c>
      <c r="BK323">
        <f>IF($A323="","",IF(BH323=1,$C323,MAX($C323,BK322)))</f>
        <v>0</v>
      </c>
      <c r="BL323">
        <f>IF($A323="","",IF(BH323=1,$D323,MIN($D323,BL322)))</f>
        <v>0</v>
      </c>
      <c r="BM323">
        <f>IF($A323="","",IF(BI323=1,F323,""))</f>
        <v>0</v>
      </c>
      <c r="BN323">
        <f>IF($A323="","",DATE(YEAR($A323),MONTH($A323),1))</f>
        <v>0</v>
      </c>
      <c r="BO323">
        <f>IF($A323="","",IF($A322="",1,IF(BN323&lt;&gt;BN322,1,0)))</f>
        <v>0</v>
      </c>
      <c r="BP323">
        <f>IF($A323="","",IF($A324="",1,IF(BN324&lt;&gt;BN323,1,0)))</f>
        <v>0</v>
      </c>
      <c r="BQ323">
        <f>IF($A323="","",IF(BO323=1,$B323,BQ322))</f>
        <v>0</v>
      </c>
      <c r="BR323">
        <f>IF($A323="","",IF(BO323=1,$C323,MAX($C323,BR322)))</f>
        <v>0</v>
      </c>
      <c r="BS323">
        <f>IF($A323="","",IF(BO323=1,$D323,MIN($D323,BS322)))</f>
        <v>0</v>
      </c>
      <c r="BT323">
        <f>IF($A323="","",IF(BP323=1,F323,""))</f>
        <v>0</v>
      </c>
    </row>
    <row r="324" spans="1:72">
      <c r="A324" s="27">
        <f>IF(Data!$A324="","",Data!$A324)</f>
        <v>0</v>
      </c>
      <c r="B324">
        <f>IF(Data!$B324="","",Data!$B324)</f>
        <v>0</v>
      </c>
      <c r="C324">
        <f>IF(Data!$C324="","",Data!$C324)</f>
        <v>0</v>
      </c>
      <c r="D324">
        <f>IF(Data!$D324="","",Data!$D324)</f>
        <v>0</v>
      </c>
      <c r="E324">
        <f>IF(Data!$E324="","",Data!$E324)</f>
        <v>0</v>
      </c>
      <c r="F324">
        <f>IF($E324="","",N(F323)+1)</f>
        <v>0</v>
      </c>
      <c r="G324">
        <f>IF(OR($E324="",$E323=""),"",LN($E324/$E323))</f>
        <v>0</v>
      </c>
      <c r="H324">
        <f>IF($E324="","",IF($E323="",$E324,$E324*0.0952380952+H323*0.9047619048))</f>
        <v>0</v>
      </c>
      <c r="I324">
        <f>IF($E324="","",IF($E323="",$E324,$E324*0.0392156863+I323*0.9607843137))</f>
        <v>0</v>
      </c>
      <c r="J324">
        <f>IF($E324="","",IF($E323="",$E324,$E324*0.0198019802+J323*0.9801980198))</f>
        <v>0</v>
      </c>
      <c r="K324">
        <f>IF($E324="","",IF($E323="",$E324,$E324*0.0099502488+K323*0.9900497512))</f>
        <v>0</v>
      </c>
      <c r="L324">
        <f>IF(OR($E324="",$E323=""),"",MAX($E324-$E323,0))</f>
        <v>0</v>
      </c>
      <c r="M324">
        <f>IF(OR($E324="",$E323=""),"",MAX($E323-$E324,0))</f>
        <v>0</v>
      </c>
      <c r="N324">
        <f>IF(COUNT($E$2:$E324)&lt;15,"",IF(AVERAGE($M$311:$M$324)=0,100,100-100/(1+AVERAGE($L$311:$L$324)/AVERAGE($M$311:$M$324))))</f>
        <v>0</v>
      </c>
      <c r="O324">
        <f>IF($E324="","",IF($E323="",$E324,$E324*0.1538461538+O323*0.8461538462))</f>
        <v>0</v>
      </c>
      <c r="P324">
        <f>IF($E324="","",IF($E323="",$E324,$E324*0.0740740741+P323*0.9259259259))</f>
        <v>0</v>
      </c>
      <c r="Q324">
        <f>IF(OR(O324="",P324=""),"",O324-P324)</f>
        <v>0</v>
      </c>
      <c r="R324">
        <f>IF(Q324="","",IF(R323="",Q324,Q324*0.2000000000+R323*0.8000000000))</f>
        <v>0</v>
      </c>
      <c r="S324">
        <f>IF(OR(Q324="",R324=""),"",Q324-R324)</f>
        <v>0</v>
      </c>
      <c r="T324">
        <f>IF(COUNT($E$2:$E324)&lt;14,"",MAX($C$311:$C$324))</f>
        <v>0</v>
      </c>
      <c r="U324">
        <f>IF(COUNT($E$2:$E324)&lt;14,"",MIN($D$311:$D$324))</f>
        <v>0</v>
      </c>
      <c r="V324">
        <f>IF(OR(T324="",U324="",T324=U324),"",100*($E324-U324)/(T324-U324))</f>
        <v>0</v>
      </c>
      <c r="W324">
        <f>IF(COUNT($V$322:$V$324)&lt;3,"",AVERAGE($V$322:$V$324))</f>
        <v>0</v>
      </c>
      <c r="X324">
        <f>IF(COUNT($N$311:$N$324)&lt;14,"",MIN($N$311:$N$324))</f>
        <v>0</v>
      </c>
      <c r="Y324">
        <f>IF(COUNT($N$311:$N$324)&lt;14,"",MAX($N$311:$N$324))</f>
        <v>0</v>
      </c>
      <c r="Z324">
        <f>IF(OR(N324="",X324="",Y324="",Y324=X324),"",100*(N324-X324)/(Y324-X324))</f>
        <v>0</v>
      </c>
      <c r="AA324">
        <f>IF(COUNT($Z$322:$Z$324)&lt;3,"",AVERAGE($Z$322:$Z$324))</f>
        <v>0</v>
      </c>
      <c r="AB324">
        <f>IF(COUNT($AA$322:$AA$324)&lt;3,"",AVERAGE($AA$322:$AA$324))</f>
        <v>0</v>
      </c>
      <c r="AC324">
        <f>IF($E324="","",MAX($C324-$D324,ABS($C324-$E323),ABS($D324-$E323)))</f>
        <v>0</v>
      </c>
      <c r="AD324">
        <f>IF(COUNT($E$2:$E324)&lt;15,"",AVERAGE($AC$311:$AC$324))</f>
        <v>0</v>
      </c>
      <c r="AE324">
        <f>IF(OR($E324="",$E323=""),"",IF(AND(($C324-$C323)&gt;($D323-$D324),($C324-$C323)&gt;0),$C324-$C323,0))</f>
        <v>0</v>
      </c>
      <c r="AF324">
        <f>IF(OR($E324="",$E323=""),"",IF(AND(($D323-$D324)&gt;($C324-$C323),($D323-$D324)&gt;0),$D323-$D324,0))</f>
        <v>0</v>
      </c>
      <c r="AG324">
        <f>IF(COUNT($E$2:$E324)&lt;15,"",IF(SUM($AC$311:$AC$324)=0,0,100*SUM($AE$311:$AE$324)/SUM($AC$311:$AC$324)))</f>
        <v>0</v>
      </c>
      <c r="AH324">
        <f>IF(COUNT($E$2:$E324)&lt;15,"",IF(SUM($AC$311:$AC$324)=0,0,100*SUM($AF$311:$AF$324)/SUM($AC$311:$AC$324)))</f>
        <v>0</v>
      </c>
      <c r="AI324">
        <f>IF(OR(AG324="",AH324=""),"",IF((AG324+AH324)=0,0,100*ABS(AG324-AH324)/(AG324+AH324)))</f>
        <v>0</v>
      </c>
      <c r="AJ324">
        <f>IF(COUNT($AI$311:$AI$324)&lt;14,"",AVERAGE($AI$311:$AI$324))</f>
        <v>0</v>
      </c>
      <c r="AK324">
        <f>IF(COUNT($E$2:$E324)&lt;20,"",AVERAGE($E$305:$E$324))</f>
        <v>0</v>
      </c>
      <c r="AL324">
        <f>IF(COUNT($E$2:$E324)&lt;20,"",STDEVP($E$305:$E$324))</f>
        <v>0</v>
      </c>
      <c r="AM324">
        <f>IF(AK324="","",AK324+2*AL324)</f>
        <v>0</v>
      </c>
      <c r="AN324">
        <f>IF(AK324="","",AK324-2*AL324)</f>
        <v>0</v>
      </c>
      <c r="AO324">
        <f>IF(OR(AM324="",AN324="",AM324=AN324),"",($E324-AN324)/(AM324-AN324))</f>
        <v>0</v>
      </c>
      <c r="AP324">
        <f>IF(OR(AM324="",AK324="",AK324=0),"",(AM324-AN324)/AK324)</f>
        <v>0</v>
      </c>
      <c r="AQ324">
        <f>IF(COUNT($E$2:$E324)&lt;20,"",MAX($C$305:$C$324))</f>
        <v>0</v>
      </c>
      <c r="AR324">
        <f>IF(COUNT($E$2:$E324)&lt;20,"",MIN($D$305:$D$324))</f>
        <v>0</v>
      </c>
      <c r="AS324">
        <f>IF(OR(AQ324="",AR324=""),"",(AQ324+AR324)/2)</f>
        <v>0</v>
      </c>
      <c r="AT324">
        <f>IF(COUNT($G$305:$G$324)&lt;20,"",STDEV($G$305:$G$324)*SQRT(252))</f>
        <v>0</v>
      </c>
      <c r="AU324">
        <f>IF(COUNT($E$2:$E324)&lt;9,"",(MAX($C$316:$C$324)+MIN($D$316:$D$324))/2)</f>
        <v>0</v>
      </c>
      <c r="AV324">
        <f>IF(COUNT($E$2:$E324)&lt;26,"",(MAX($C$299:$C$324)+MIN($D$299:$D$324))/2)</f>
        <v>0</v>
      </c>
      <c r="AW324">
        <f>IF(OR(AU324="",AV324=""),"",(AU324+AV324)/2)</f>
        <v>0</v>
      </c>
      <c r="AX324">
        <f>IF(COUNT($E$2:$E324)&lt;52,"",(MAX($C$273:$C$324)+MIN($D$273:$D$324))/2)</f>
        <v>0</v>
      </c>
      <c r="AY324">
        <f>IF(COUNT($E$2:$E324)&lt;20,"",MAX($C$225:$C$324))</f>
        <v>0</v>
      </c>
      <c r="AZ324">
        <f>IF(COUNT($E$2:$E324)&lt;20,"",MIN($D$225:$D$324))</f>
        <v>0</v>
      </c>
      <c r="BA324">
        <f>IF(COUNT($E$2:$E324)&lt;20,"",SLOPE($E$225:$E$324,$F$225:$F$324))</f>
        <v>0</v>
      </c>
      <c r="BB324">
        <f>IF(COUNT($E$2:$E324)&lt;20,"",INTERCEPT($E$225:$E$324,$F$225:$F$324))</f>
        <v>0</v>
      </c>
      <c r="BC324">
        <f>IF(OR(BA324="",BB324=""),"",BB324+BA324*F324)</f>
        <v>0</v>
      </c>
      <c r="BD324">
        <f>IF(COUNT($E$2:$E324)&lt;20,"",STEYX($E$225:$E$324,$F$225:$F$324))</f>
        <v>0</v>
      </c>
      <c r="BE324">
        <f>IF($E324="","",IF(AND(COUNT($E$325:$E$328)&gt;=4,$C324=MAX($C$320:$C$328)),$C324,""))</f>
        <v>0</v>
      </c>
      <c r="BF324">
        <f>IF($E324="","",IF(AND(COUNT($E$325:$E$328)&gt;=4,$D324=MIN($D$320:$D$328)),$D324,""))</f>
        <v>0</v>
      </c>
      <c r="BG324">
        <f>IF($A324="","",$A324-WEEKDAY($A324,2)+1)</f>
        <v>0</v>
      </c>
      <c r="BH324">
        <f>IF($A324="","",IF($A323="",1,IF(BG324&lt;&gt;BG323,1,0)))</f>
        <v>0</v>
      </c>
      <c r="BI324">
        <f>IF($A324="","",IF($A325="",1,IF(BG325&lt;&gt;BG324,1,0)))</f>
        <v>0</v>
      </c>
      <c r="BJ324">
        <f>IF($A324="","",IF(BH324=1,$B324,BJ323))</f>
        <v>0</v>
      </c>
      <c r="BK324">
        <f>IF($A324="","",IF(BH324=1,$C324,MAX($C324,BK323)))</f>
        <v>0</v>
      </c>
      <c r="BL324">
        <f>IF($A324="","",IF(BH324=1,$D324,MIN($D324,BL323)))</f>
        <v>0</v>
      </c>
      <c r="BM324">
        <f>IF($A324="","",IF(BI324=1,F324,""))</f>
        <v>0</v>
      </c>
      <c r="BN324">
        <f>IF($A324="","",DATE(YEAR($A324),MONTH($A324),1))</f>
        <v>0</v>
      </c>
      <c r="BO324">
        <f>IF($A324="","",IF($A323="",1,IF(BN324&lt;&gt;BN323,1,0)))</f>
        <v>0</v>
      </c>
      <c r="BP324">
        <f>IF($A324="","",IF($A325="",1,IF(BN325&lt;&gt;BN324,1,0)))</f>
        <v>0</v>
      </c>
      <c r="BQ324">
        <f>IF($A324="","",IF(BO324=1,$B324,BQ323))</f>
        <v>0</v>
      </c>
      <c r="BR324">
        <f>IF($A324="","",IF(BO324=1,$C324,MAX($C324,BR323)))</f>
        <v>0</v>
      </c>
      <c r="BS324">
        <f>IF($A324="","",IF(BO324=1,$D324,MIN($D324,BS323)))</f>
        <v>0</v>
      </c>
      <c r="BT324">
        <f>IF($A324="","",IF(BP324=1,F324,""))</f>
        <v>0</v>
      </c>
    </row>
    <row r="325" spans="1:72">
      <c r="A325" s="27">
        <f>IF(Data!$A325="","",Data!$A325)</f>
        <v>0</v>
      </c>
      <c r="B325">
        <f>IF(Data!$B325="","",Data!$B325)</f>
        <v>0</v>
      </c>
      <c r="C325">
        <f>IF(Data!$C325="","",Data!$C325)</f>
        <v>0</v>
      </c>
      <c r="D325">
        <f>IF(Data!$D325="","",Data!$D325)</f>
        <v>0</v>
      </c>
      <c r="E325">
        <f>IF(Data!$E325="","",Data!$E325)</f>
        <v>0</v>
      </c>
      <c r="F325">
        <f>IF($E325="","",N(F324)+1)</f>
        <v>0</v>
      </c>
      <c r="G325">
        <f>IF(OR($E325="",$E324=""),"",LN($E325/$E324))</f>
        <v>0</v>
      </c>
      <c r="H325">
        <f>IF($E325="","",IF($E324="",$E325,$E325*0.0952380952+H324*0.9047619048))</f>
        <v>0</v>
      </c>
      <c r="I325">
        <f>IF($E325="","",IF($E324="",$E325,$E325*0.0392156863+I324*0.9607843137))</f>
        <v>0</v>
      </c>
      <c r="J325">
        <f>IF($E325="","",IF($E324="",$E325,$E325*0.0198019802+J324*0.9801980198))</f>
        <v>0</v>
      </c>
      <c r="K325">
        <f>IF($E325="","",IF($E324="",$E325,$E325*0.0099502488+K324*0.9900497512))</f>
        <v>0</v>
      </c>
      <c r="L325">
        <f>IF(OR($E325="",$E324=""),"",MAX($E325-$E324,0))</f>
        <v>0</v>
      </c>
      <c r="M325">
        <f>IF(OR($E325="",$E324=""),"",MAX($E324-$E325,0))</f>
        <v>0</v>
      </c>
      <c r="N325">
        <f>IF(COUNT($E$2:$E325)&lt;15,"",IF(AVERAGE($M$312:$M$325)=0,100,100-100/(1+AVERAGE($L$312:$L$325)/AVERAGE($M$312:$M$325))))</f>
        <v>0</v>
      </c>
      <c r="O325">
        <f>IF($E325="","",IF($E324="",$E325,$E325*0.1538461538+O324*0.8461538462))</f>
        <v>0</v>
      </c>
      <c r="P325">
        <f>IF($E325="","",IF($E324="",$E325,$E325*0.0740740741+P324*0.9259259259))</f>
        <v>0</v>
      </c>
      <c r="Q325">
        <f>IF(OR(O325="",P325=""),"",O325-P325)</f>
        <v>0</v>
      </c>
      <c r="R325">
        <f>IF(Q325="","",IF(R324="",Q325,Q325*0.2000000000+R324*0.8000000000))</f>
        <v>0</v>
      </c>
      <c r="S325">
        <f>IF(OR(Q325="",R325=""),"",Q325-R325)</f>
        <v>0</v>
      </c>
      <c r="T325">
        <f>IF(COUNT($E$2:$E325)&lt;14,"",MAX($C$312:$C$325))</f>
        <v>0</v>
      </c>
      <c r="U325">
        <f>IF(COUNT($E$2:$E325)&lt;14,"",MIN($D$312:$D$325))</f>
        <v>0</v>
      </c>
      <c r="V325">
        <f>IF(OR(T325="",U325="",T325=U325),"",100*($E325-U325)/(T325-U325))</f>
        <v>0</v>
      </c>
      <c r="W325">
        <f>IF(COUNT($V$323:$V$325)&lt;3,"",AVERAGE($V$323:$V$325))</f>
        <v>0</v>
      </c>
      <c r="X325">
        <f>IF(COUNT($N$312:$N$325)&lt;14,"",MIN($N$312:$N$325))</f>
        <v>0</v>
      </c>
      <c r="Y325">
        <f>IF(COUNT($N$312:$N$325)&lt;14,"",MAX($N$312:$N$325))</f>
        <v>0</v>
      </c>
      <c r="Z325">
        <f>IF(OR(N325="",X325="",Y325="",Y325=X325),"",100*(N325-X325)/(Y325-X325))</f>
        <v>0</v>
      </c>
      <c r="AA325">
        <f>IF(COUNT($Z$323:$Z$325)&lt;3,"",AVERAGE($Z$323:$Z$325))</f>
        <v>0</v>
      </c>
      <c r="AB325">
        <f>IF(COUNT($AA$323:$AA$325)&lt;3,"",AVERAGE($AA$323:$AA$325))</f>
        <v>0</v>
      </c>
      <c r="AC325">
        <f>IF($E325="","",MAX($C325-$D325,ABS($C325-$E324),ABS($D325-$E324)))</f>
        <v>0</v>
      </c>
      <c r="AD325">
        <f>IF(COUNT($E$2:$E325)&lt;15,"",AVERAGE($AC$312:$AC$325))</f>
        <v>0</v>
      </c>
      <c r="AE325">
        <f>IF(OR($E325="",$E324=""),"",IF(AND(($C325-$C324)&gt;($D324-$D325),($C325-$C324)&gt;0),$C325-$C324,0))</f>
        <v>0</v>
      </c>
      <c r="AF325">
        <f>IF(OR($E325="",$E324=""),"",IF(AND(($D324-$D325)&gt;($C325-$C324),($D324-$D325)&gt;0),$D324-$D325,0))</f>
        <v>0</v>
      </c>
      <c r="AG325">
        <f>IF(COUNT($E$2:$E325)&lt;15,"",IF(SUM($AC$312:$AC$325)=0,0,100*SUM($AE$312:$AE$325)/SUM($AC$312:$AC$325)))</f>
        <v>0</v>
      </c>
      <c r="AH325">
        <f>IF(COUNT($E$2:$E325)&lt;15,"",IF(SUM($AC$312:$AC$325)=0,0,100*SUM($AF$312:$AF$325)/SUM($AC$312:$AC$325)))</f>
        <v>0</v>
      </c>
      <c r="AI325">
        <f>IF(OR(AG325="",AH325=""),"",IF((AG325+AH325)=0,0,100*ABS(AG325-AH325)/(AG325+AH325)))</f>
        <v>0</v>
      </c>
      <c r="AJ325">
        <f>IF(COUNT($AI$312:$AI$325)&lt;14,"",AVERAGE($AI$312:$AI$325))</f>
        <v>0</v>
      </c>
      <c r="AK325">
        <f>IF(COUNT($E$2:$E325)&lt;20,"",AVERAGE($E$306:$E$325))</f>
        <v>0</v>
      </c>
      <c r="AL325">
        <f>IF(COUNT($E$2:$E325)&lt;20,"",STDEVP($E$306:$E$325))</f>
        <v>0</v>
      </c>
      <c r="AM325">
        <f>IF(AK325="","",AK325+2*AL325)</f>
        <v>0</v>
      </c>
      <c r="AN325">
        <f>IF(AK325="","",AK325-2*AL325)</f>
        <v>0</v>
      </c>
      <c r="AO325">
        <f>IF(OR(AM325="",AN325="",AM325=AN325),"",($E325-AN325)/(AM325-AN325))</f>
        <v>0</v>
      </c>
      <c r="AP325">
        <f>IF(OR(AM325="",AK325="",AK325=0),"",(AM325-AN325)/AK325)</f>
        <v>0</v>
      </c>
      <c r="AQ325">
        <f>IF(COUNT($E$2:$E325)&lt;20,"",MAX($C$306:$C$325))</f>
        <v>0</v>
      </c>
      <c r="AR325">
        <f>IF(COUNT($E$2:$E325)&lt;20,"",MIN($D$306:$D$325))</f>
        <v>0</v>
      </c>
      <c r="AS325">
        <f>IF(OR(AQ325="",AR325=""),"",(AQ325+AR325)/2)</f>
        <v>0</v>
      </c>
      <c r="AT325">
        <f>IF(COUNT($G$306:$G$325)&lt;20,"",STDEV($G$306:$G$325)*SQRT(252))</f>
        <v>0</v>
      </c>
      <c r="AU325">
        <f>IF(COUNT($E$2:$E325)&lt;9,"",(MAX($C$317:$C$325)+MIN($D$317:$D$325))/2)</f>
        <v>0</v>
      </c>
      <c r="AV325">
        <f>IF(COUNT($E$2:$E325)&lt;26,"",(MAX($C$300:$C$325)+MIN($D$300:$D$325))/2)</f>
        <v>0</v>
      </c>
      <c r="AW325">
        <f>IF(OR(AU325="",AV325=""),"",(AU325+AV325)/2)</f>
        <v>0</v>
      </c>
      <c r="AX325">
        <f>IF(COUNT($E$2:$E325)&lt;52,"",(MAX($C$274:$C$325)+MIN($D$274:$D$325))/2)</f>
        <v>0</v>
      </c>
      <c r="AY325">
        <f>IF(COUNT($E$2:$E325)&lt;20,"",MAX($C$226:$C$325))</f>
        <v>0</v>
      </c>
      <c r="AZ325">
        <f>IF(COUNT($E$2:$E325)&lt;20,"",MIN($D$226:$D$325))</f>
        <v>0</v>
      </c>
      <c r="BA325">
        <f>IF(COUNT($E$2:$E325)&lt;20,"",SLOPE($E$226:$E$325,$F$226:$F$325))</f>
        <v>0</v>
      </c>
      <c r="BB325">
        <f>IF(COUNT($E$2:$E325)&lt;20,"",INTERCEPT($E$226:$E$325,$F$226:$F$325))</f>
        <v>0</v>
      </c>
      <c r="BC325">
        <f>IF(OR(BA325="",BB325=""),"",BB325+BA325*F325)</f>
        <v>0</v>
      </c>
      <c r="BD325">
        <f>IF(COUNT($E$2:$E325)&lt;20,"",STEYX($E$226:$E$325,$F$226:$F$325))</f>
        <v>0</v>
      </c>
      <c r="BE325">
        <f>IF($E325="","",IF(AND(COUNT($E$326:$E$329)&gt;=4,$C325=MAX($C$321:$C$329)),$C325,""))</f>
        <v>0</v>
      </c>
      <c r="BF325">
        <f>IF($E325="","",IF(AND(COUNT($E$326:$E$329)&gt;=4,$D325=MIN($D$321:$D$329)),$D325,""))</f>
        <v>0</v>
      </c>
      <c r="BG325">
        <f>IF($A325="","",$A325-WEEKDAY($A325,2)+1)</f>
        <v>0</v>
      </c>
      <c r="BH325">
        <f>IF($A325="","",IF($A324="",1,IF(BG325&lt;&gt;BG324,1,0)))</f>
        <v>0</v>
      </c>
      <c r="BI325">
        <f>IF($A325="","",IF($A326="",1,IF(BG326&lt;&gt;BG325,1,0)))</f>
        <v>0</v>
      </c>
      <c r="BJ325">
        <f>IF($A325="","",IF(BH325=1,$B325,BJ324))</f>
        <v>0</v>
      </c>
      <c r="BK325">
        <f>IF($A325="","",IF(BH325=1,$C325,MAX($C325,BK324)))</f>
        <v>0</v>
      </c>
      <c r="BL325">
        <f>IF($A325="","",IF(BH325=1,$D325,MIN($D325,BL324)))</f>
        <v>0</v>
      </c>
      <c r="BM325">
        <f>IF($A325="","",IF(BI325=1,F325,""))</f>
        <v>0</v>
      </c>
      <c r="BN325">
        <f>IF($A325="","",DATE(YEAR($A325),MONTH($A325),1))</f>
        <v>0</v>
      </c>
      <c r="BO325">
        <f>IF($A325="","",IF($A324="",1,IF(BN325&lt;&gt;BN324,1,0)))</f>
        <v>0</v>
      </c>
      <c r="BP325">
        <f>IF($A325="","",IF($A326="",1,IF(BN326&lt;&gt;BN325,1,0)))</f>
        <v>0</v>
      </c>
      <c r="BQ325">
        <f>IF($A325="","",IF(BO325=1,$B325,BQ324))</f>
        <v>0</v>
      </c>
      <c r="BR325">
        <f>IF($A325="","",IF(BO325=1,$C325,MAX($C325,BR324)))</f>
        <v>0</v>
      </c>
      <c r="BS325">
        <f>IF($A325="","",IF(BO325=1,$D325,MIN($D325,BS324)))</f>
        <v>0</v>
      </c>
      <c r="BT325">
        <f>IF($A325="","",IF(BP325=1,F325,""))</f>
        <v>0</v>
      </c>
    </row>
    <row r="326" spans="1:72">
      <c r="A326" s="27">
        <f>IF(Data!$A326="","",Data!$A326)</f>
        <v>0</v>
      </c>
      <c r="B326">
        <f>IF(Data!$B326="","",Data!$B326)</f>
        <v>0</v>
      </c>
      <c r="C326">
        <f>IF(Data!$C326="","",Data!$C326)</f>
        <v>0</v>
      </c>
      <c r="D326">
        <f>IF(Data!$D326="","",Data!$D326)</f>
        <v>0</v>
      </c>
      <c r="E326">
        <f>IF(Data!$E326="","",Data!$E326)</f>
        <v>0</v>
      </c>
      <c r="F326">
        <f>IF($E326="","",N(F325)+1)</f>
        <v>0</v>
      </c>
      <c r="G326">
        <f>IF(OR($E326="",$E325=""),"",LN($E326/$E325))</f>
        <v>0</v>
      </c>
      <c r="H326">
        <f>IF($E326="","",IF($E325="",$E326,$E326*0.0952380952+H325*0.9047619048))</f>
        <v>0</v>
      </c>
      <c r="I326">
        <f>IF($E326="","",IF($E325="",$E326,$E326*0.0392156863+I325*0.9607843137))</f>
        <v>0</v>
      </c>
      <c r="J326">
        <f>IF($E326="","",IF($E325="",$E326,$E326*0.0198019802+J325*0.9801980198))</f>
        <v>0</v>
      </c>
      <c r="K326">
        <f>IF($E326="","",IF($E325="",$E326,$E326*0.0099502488+K325*0.9900497512))</f>
        <v>0</v>
      </c>
      <c r="L326">
        <f>IF(OR($E326="",$E325=""),"",MAX($E326-$E325,0))</f>
        <v>0</v>
      </c>
      <c r="M326">
        <f>IF(OR($E326="",$E325=""),"",MAX($E325-$E326,0))</f>
        <v>0</v>
      </c>
      <c r="N326">
        <f>IF(COUNT($E$2:$E326)&lt;15,"",IF(AVERAGE($M$313:$M$326)=0,100,100-100/(1+AVERAGE($L$313:$L$326)/AVERAGE($M$313:$M$326))))</f>
        <v>0</v>
      </c>
      <c r="O326">
        <f>IF($E326="","",IF($E325="",$E326,$E326*0.1538461538+O325*0.8461538462))</f>
        <v>0</v>
      </c>
      <c r="P326">
        <f>IF($E326="","",IF($E325="",$E326,$E326*0.0740740741+P325*0.9259259259))</f>
        <v>0</v>
      </c>
      <c r="Q326">
        <f>IF(OR(O326="",P326=""),"",O326-P326)</f>
        <v>0</v>
      </c>
      <c r="R326">
        <f>IF(Q326="","",IF(R325="",Q326,Q326*0.2000000000+R325*0.8000000000))</f>
        <v>0</v>
      </c>
      <c r="S326">
        <f>IF(OR(Q326="",R326=""),"",Q326-R326)</f>
        <v>0</v>
      </c>
      <c r="T326">
        <f>IF(COUNT($E$2:$E326)&lt;14,"",MAX($C$313:$C$326))</f>
        <v>0</v>
      </c>
      <c r="U326">
        <f>IF(COUNT($E$2:$E326)&lt;14,"",MIN($D$313:$D$326))</f>
        <v>0</v>
      </c>
      <c r="V326">
        <f>IF(OR(T326="",U326="",T326=U326),"",100*($E326-U326)/(T326-U326))</f>
        <v>0</v>
      </c>
      <c r="W326">
        <f>IF(COUNT($V$324:$V$326)&lt;3,"",AVERAGE($V$324:$V$326))</f>
        <v>0</v>
      </c>
      <c r="X326">
        <f>IF(COUNT($N$313:$N$326)&lt;14,"",MIN($N$313:$N$326))</f>
        <v>0</v>
      </c>
      <c r="Y326">
        <f>IF(COUNT($N$313:$N$326)&lt;14,"",MAX($N$313:$N$326))</f>
        <v>0</v>
      </c>
      <c r="Z326">
        <f>IF(OR(N326="",X326="",Y326="",Y326=X326),"",100*(N326-X326)/(Y326-X326))</f>
        <v>0</v>
      </c>
      <c r="AA326">
        <f>IF(COUNT($Z$324:$Z$326)&lt;3,"",AVERAGE($Z$324:$Z$326))</f>
        <v>0</v>
      </c>
      <c r="AB326">
        <f>IF(COUNT($AA$324:$AA$326)&lt;3,"",AVERAGE($AA$324:$AA$326))</f>
        <v>0</v>
      </c>
      <c r="AC326">
        <f>IF($E326="","",MAX($C326-$D326,ABS($C326-$E325),ABS($D326-$E325)))</f>
        <v>0</v>
      </c>
      <c r="AD326">
        <f>IF(COUNT($E$2:$E326)&lt;15,"",AVERAGE($AC$313:$AC$326))</f>
        <v>0</v>
      </c>
      <c r="AE326">
        <f>IF(OR($E326="",$E325=""),"",IF(AND(($C326-$C325)&gt;($D325-$D326),($C326-$C325)&gt;0),$C326-$C325,0))</f>
        <v>0</v>
      </c>
      <c r="AF326">
        <f>IF(OR($E326="",$E325=""),"",IF(AND(($D325-$D326)&gt;($C326-$C325),($D325-$D326)&gt;0),$D325-$D326,0))</f>
        <v>0</v>
      </c>
      <c r="AG326">
        <f>IF(COUNT($E$2:$E326)&lt;15,"",IF(SUM($AC$313:$AC$326)=0,0,100*SUM($AE$313:$AE$326)/SUM($AC$313:$AC$326)))</f>
        <v>0</v>
      </c>
      <c r="AH326">
        <f>IF(COUNT($E$2:$E326)&lt;15,"",IF(SUM($AC$313:$AC$326)=0,0,100*SUM($AF$313:$AF$326)/SUM($AC$313:$AC$326)))</f>
        <v>0</v>
      </c>
      <c r="AI326">
        <f>IF(OR(AG326="",AH326=""),"",IF((AG326+AH326)=0,0,100*ABS(AG326-AH326)/(AG326+AH326)))</f>
        <v>0</v>
      </c>
      <c r="AJ326">
        <f>IF(COUNT($AI$313:$AI$326)&lt;14,"",AVERAGE($AI$313:$AI$326))</f>
        <v>0</v>
      </c>
      <c r="AK326">
        <f>IF(COUNT($E$2:$E326)&lt;20,"",AVERAGE($E$307:$E$326))</f>
        <v>0</v>
      </c>
      <c r="AL326">
        <f>IF(COUNT($E$2:$E326)&lt;20,"",STDEVP($E$307:$E$326))</f>
        <v>0</v>
      </c>
      <c r="AM326">
        <f>IF(AK326="","",AK326+2*AL326)</f>
        <v>0</v>
      </c>
      <c r="AN326">
        <f>IF(AK326="","",AK326-2*AL326)</f>
        <v>0</v>
      </c>
      <c r="AO326">
        <f>IF(OR(AM326="",AN326="",AM326=AN326),"",($E326-AN326)/(AM326-AN326))</f>
        <v>0</v>
      </c>
      <c r="AP326">
        <f>IF(OR(AM326="",AK326="",AK326=0),"",(AM326-AN326)/AK326)</f>
        <v>0</v>
      </c>
      <c r="AQ326">
        <f>IF(COUNT($E$2:$E326)&lt;20,"",MAX($C$307:$C$326))</f>
        <v>0</v>
      </c>
      <c r="AR326">
        <f>IF(COUNT($E$2:$E326)&lt;20,"",MIN($D$307:$D$326))</f>
        <v>0</v>
      </c>
      <c r="AS326">
        <f>IF(OR(AQ326="",AR326=""),"",(AQ326+AR326)/2)</f>
        <v>0</v>
      </c>
      <c r="AT326">
        <f>IF(COUNT($G$307:$G$326)&lt;20,"",STDEV($G$307:$G$326)*SQRT(252))</f>
        <v>0</v>
      </c>
      <c r="AU326">
        <f>IF(COUNT($E$2:$E326)&lt;9,"",(MAX($C$318:$C$326)+MIN($D$318:$D$326))/2)</f>
        <v>0</v>
      </c>
      <c r="AV326">
        <f>IF(COUNT($E$2:$E326)&lt;26,"",(MAX($C$301:$C$326)+MIN($D$301:$D$326))/2)</f>
        <v>0</v>
      </c>
      <c r="AW326">
        <f>IF(OR(AU326="",AV326=""),"",(AU326+AV326)/2)</f>
        <v>0</v>
      </c>
      <c r="AX326">
        <f>IF(COUNT($E$2:$E326)&lt;52,"",(MAX($C$275:$C$326)+MIN($D$275:$D$326))/2)</f>
        <v>0</v>
      </c>
      <c r="AY326">
        <f>IF(COUNT($E$2:$E326)&lt;20,"",MAX($C$227:$C$326))</f>
        <v>0</v>
      </c>
      <c r="AZ326">
        <f>IF(COUNT($E$2:$E326)&lt;20,"",MIN($D$227:$D$326))</f>
        <v>0</v>
      </c>
      <c r="BA326">
        <f>IF(COUNT($E$2:$E326)&lt;20,"",SLOPE($E$227:$E$326,$F$227:$F$326))</f>
        <v>0</v>
      </c>
      <c r="BB326">
        <f>IF(COUNT($E$2:$E326)&lt;20,"",INTERCEPT($E$227:$E$326,$F$227:$F$326))</f>
        <v>0</v>
      </c>
      <c r="BC326">
        <f>IF(OR(BA326="",BB326=""),"",BB326+BA326*F326)</f>
        <v>0</v>
      </c>
      <c r="BD326">
        <f>IF(COUNT($E$2:$E326)&lt;20,"",STEYX($E$227:$E$326,$F$227:$F$326))</f>
        <v>0</v>
      </c>
      <c r="BE326">
        <f>IF($E326="","",IF(AND(COUNT($E$327:$E$330)&gt;=4,$C326=MAX($C$322:$C$330)),$C326,""))</f>
        <v>0</v>
      </c>
      <c r="BF326">
        <f>IF($E326="","",IF(AND(COUNT($E$327:$E$330)&gt;=4,$D326=MIN($D$322:$D$330)),$D326,""))</f>
        <v>0</v>
      </c>
      <c r="BG326">
        <f>IF($A326="","",$A326-WEEKDAY($A326,2)+1)</f>
        <v>0</v>
      </c>
      <c r="BH326">
        <f>IF($A326="","",IF($A325="",1,IF(BG326&lt;&gt;BG325,1,0)))</f>
        <v>0</v>
      </c>
      <c r="BI326">
        <f>IF($A326="","",IF($A327="",1,IF(BG327&lt;&gt;BG326,1,0)))</f>
        <v>0</v>
      </c>
      <c r="BJ326">
        <f>IF($A326="","",IF(BH326=1,$B326,BJ325))</f>
        <v>0</v>
      </c>
      <c r="BK326">
        <f>IF($A326="","",IF(BH326=1,$C326,MAX($C326,BK325)))</f>
        <v>0</v>
      </c>
      <c r="BL326">
        <f>IF($A326="","",IF(BH326=1,$D326,MIN($D326,BL325)))</f>
        <v>0</v>
      </c>
      <c r="BM326">
        <f>IF($A326="","",IF(BI326=1,F326,""))</f>
        <v>0</v>
      </c>
      <c r="BN326">
        <f>IF($A326="","",DATE(YEAR($A326),MONTH($A326),1))</f>
        <v>0</v>
      </c>
      <c r="BO326">
        <f>IF($A326="","",IF($A325="",1,IF(BN326&lt;&gt;BN325,1,0)))</f>
        <v>0</v>
      </c>
      <c r="BP326">
        <f>IF($A326="","",IF($A327="",1,IF(BN327&lt;&gt;BN326,1,0)))</f>
        <v>0</v>
      </c>
      <c r="BQ326">
        <f>IF($A326="","",IF(BO326=1,$B326,BQ325))</f>
        <v>0</v>
      </c>
      <c r="BR326">
        <f>IF($A326="","",IF(BO326=1,$C326,MAX($C326,BR325)))</f>
        <v>0</v>
      </c>
      <c r="BS326">
        <f>IF($A326="","",IF(BO326=1,$D326,MIN($D326,BS325)))</f>
        <v>0</v>
      </c>
      <c r="BT326">
        <f>IF($A326="","",IF(BP326=1,F326,""))</f>
        <v>0</v>
      </c>
    </row>
    <row r="327" spans="1:72">
      <c r="A327" s="27">
        <f>IF(Data!$A327="","",Data!$A327)</f>
        <v>0</v>
      </c>
      <c r="B327">
        <f>IF(Data!$B327="","",Data!$B327)</f>
        <v>0</v>
      </c>
      <c r="C327">
        <f>IF(Data!$C327="","",Data!$C327)</f>
        <v>0</v>
      </c>
      <c r="D327">
        <f>IF(Data!$D327="","",Data!$D327)</f>
        <v>0</v>
      </c>
      <c r="E327">
        <f>IF(Data!$E327="","",Data!$E327)</f>
        <v>0</v>
      </c>
      <c r="F327">
        <f>IF($E327="","",N(F326)+1)</f>
        <v>0</v>
      </c>
      <c r="G327">
        <f>IF(OR($E327="",$E326=""),"",LN($E327/$E326))</f>
        <v>0</v>
      </c>
      <c r="H327">
        <f>IF($E327="","",IF($E326="",$E327,$E327*0.0952380952+H326*0.9047619048))</f>
        <v>0</v>
      </c>
      <c r="I327">
        <f>IF($E327="","",IF($E326="",$E327,$E327*0.0392156863+I326*0.9607843137))</f>
        <v>0</v>
      </c>
      <c r="J327">
        <f>IF($E327="","",IF($E326="",$E327,$E327*0.0198019802+J326*0.9801980198))</f>
        <v>0</v>
      </c>
      <c r="K327">
        <f>IF($E327="","",IF($E326="",$E327,$E327*0.0099502488+K326*0.9900497512))</f>
        <v>0</v>
      </c>
      <c r="L327">
        <f>IF(OR($E327="",$E326=""),"",MAX($E327-$E326,0))</f>
        <v>0</v>
      </c>
      <c r="M327">
        <f>IF(OR($E327="",$E326=""),"",MAX($E326-$E327,0))</f>
        <v>0</v>
      </c>
      <c r="N327">
        <f>IF(COUNT($E$2:$E327)&lt;15,"",IF(AVERAGE($M$314:$M$327)=0,100,100-100/(1+AVERAGE($L$314:$L$327)/AVERAGE($M$314:$M$327))))</f>
        <v>0</v>
      </c>
      <c r="O327">
        <f>IF($E327="","",IF($E326="",$E327,$E327*0.1538461538+O326*0.8461538462))</f>
        <v>0</v>
      </c>
      <c r="P327">
        <f>IF($E327="","",IF($E326="",$E327,$E327*0.0740740741+P326*0.9259259259))</f>
        <v>0</v>
      </c>
      <c r="Q327">
        <f>IF(OR(O327="",P327=""),"",O327-P327)</f>
        <v>0</v>
      </c>
      <c r="R327">
        <f>IF(Q327="","",IF(R326="",Q327,Q327*0.2000000000+R326*0.8000000000))</f>
        <v>0</v>
      </c>
      <c r="S327">
        <f>IF(OR(Q327="",R327=""),"",Q327-R327)</f>
        <v>0</v>
      </c>
      <c r="T327">
        <f>IF(COUNT($E$2:$E327)&lt;14,"",MAX($C$314:$C$327))</f>
        <v>0</v>
      </c>
      <c r="U327">
        <f>IF(COUNT($E$2:$E327)&lt;14,"",MIN($D$314:$D$327))</f>
        <v>0</v>
      </c>
      <c r="V327">
        <f>IF(OR(T327="",U327="",T327=U327),"",100*($E327-U327)/(T327-U327))</f>
        <v>0</v>
      </c>
      <c r="W327">
        <f>IF(COUNT($V$325:$V$327)&lt;3,"",AVERAGE($V$325:$V$327))</f>
        <v>0</v>
      </c>
      <c r="X327">
        <f>IF(COUNT($N$314:$N$327)&lt;14,"",MIN($N$314:$N$327))</f>
        <v>0</v>
      </c>
      <c r="Y327">
        <f>IF(COUNT($N$314:$N$327)&lt;14,"",MAX($N$314:$N$327))</f>
        <v>0</v>
      </c>
      <c r="Z327">
        <f>IF(OR(N327="",X327="",Y327="",Y327=X327),"",100*(N327-X327)/(Y327-X327))</f>
        <v>0</v>
      </c>
      <c r="AA327">
        <f>IF(COUNT($Z$325:$Z$327)&lt;3,"",AVERAGE($Z$325:$Z$327))</f>
        <v>0</v>
      </c>
      <c r="AB327">
        <f>IF(COUNT($AA$325:$AA$327)&lt;3,"",AVERAGE($AA$325:$AA$327))</f>
        <v>0</v>
      </c>
      <c r="AC327">
        <f>IF($E327="","",MAX($C327-$D327,ABS($C327-$E326),ABS($D327-$E326)))</f>
        <v>0</v>
      </c>
      <c r="AD327">
        <f>IF(COUNT($E$2:$E327)&lt;15,"",AVERAGE($AC$314:$AC$327))</f>
        <v>0</v>
      </c>
      <c r="AE327">
        <f>IF(OR($E327="",$E326=""),"",IF(AND(($C327-$C326)&gt;($D326-$D327),($C327-$C326)&gt;0),$C327-$C326,0))</f>
        <v>0</v>
      </c>
      <c r="AF327">
        <f>IF(OR($E327="",$E326=""),"",IF(AND(($D326-$D327)&gt;($C327-$C326),($D326-$D327)&gt;0),$D326-$D327,0))</f>
        <v>0</v>
      </c>
      <c r="AG327">
        <f>IF(COUNT($E$2:$E327)&lt;15,"",IF(SUM($AC$314:$AC$327)=0,0,100*SUM($AE$314:$AE$327)/SUM($AC$314:$AC$327)))</f>
        <v>0</v>
      </c>
      <c r="AH327">
        <f>IF(COUNT($E$2:$E327)&lt;15,"",IF(SUM($AC$314:$AC$327)=0,0,100*SUM($AF$314:$AF$327)/SUM($AC$314:$AC$327)))</f>
        <v>0</v>
      </c>
      <c r="AI327">
        <f>IF(OR(AG327="",AH327=""),"",IF((AG327+AH327)=0,0,100*ABS(AG327-AH327)/(AG327+AH327)))</f>
        <v>0</v>
      </c>
      <c r="AJ327">
        <f>IF(COUNT($AI$314:$AI$327)&lt;14,"",AVERAGE($AI$314:$AI$327))</f>
        <v>0</v>
      </c>
      <c r="AK327">
        <f>IF(COUNT($E$2:$E327)&lt;20,"",AVERAGE($E$308:$E$327))</f>
        <v>0</v>
      </c>
      <c r="AL327">
        <f>IF(COUNT($E$2:$E327)&lt;20,"",STDEVP($E$308:$E$327))</f>
        <v>0</v>
      </c>
      <c r="AM327">
        <f>IF(AK327="","",AK327+2*AL327)</f>
        <v>0</v>
      </c>
      <c r="AN327">
        <f>IF(AK327="","",AK327-2*AL327)</f>
        <v>0</v>
      </c>
      <c r="AO327">
        <f>IF(OR(AM327="",AN327="",AM327=AN327),"",($E327-AN327)/(AM327-AN327))</f>
        <v>0</v>
      </c>
      <c r="AP327">
        <f>IF(OR(AM327="",AK327="",AK327=0),"",(AM327-AN327)/AK327)</f>
        <v>0</v>
      </c>
      <c r="AQ327">
        <f>IF(COUNT($E$2:$E327)&lt;20,"",MAX($C$308:$C$327))</f>
        <v>0</v>
      </c>
      <c r="AR327">
        <f>IF(COUNT($E$2:$E327)&lt;20,"",MIN($D$308:$D$327))</f>
        <v>0</v>
      </c>
      <c r="AS327">
        <f>IF(OR(AQ327="",AR327=""),"",(AQ327+AR327)/2)</f>
        <v>0</v>
      </c>
      <c r="AT327">
        <f>IF(COUNT($G$308:$G$327)&lt;20,"",STDEV($G$308:$G$327)*SQRT(252))</f>
        <v>0</v>
      </c>
      <c r="AU327">
        <f>IF(COUNT($E$2:$E327)&lt;9,"",(MAX($C$319:$C$327)+MIN($D$319:$D$327))/2)</f>
        <v>0</v>
      </c>
      <c r="AV327">
        <f>IF(COUNT($E$2:$E327)&lt;26,"",(MAX($C$302:$C$327)+MIN($D$302:$D$327))/2)</f>
        <v>0</v>
      </c>
      <c r="AW327">
        <f>IF(OR(AU327="",AV327=""),"",(AU327+AV327)/2)</f>
        <v>0</v>
      </c>
      <c r="AX327">
        <f>IF(COUNT($E$2:$E327)&lt;52,"",(MAX($C$276:$C$327)+MIN($D$276:$D$327))/2)</f>
        <v>0</v>
      </c>
      <c r="AY327">
        <f>IF(COUNT($E$2:$E327)&lt;20,"",MAX($C$228:$C$327))</f>
        <v>0</v>
      </c>
      <c r="AZ327">
        <f>IF(COUNT($E$2:$E327)&lt;20,"",MIN($D$228:$D$327))</f>
        <v>0</v>
      </c>
      <c r="BA327">
        <f>IF(COUNT($E$2:$E327)&lt;20,"",SLOPE($E$228:$E$327,$F$228:$F$327))</f>
        <v>0</v>
      </c>
      <c r="BB327">
        <f>IF(COUNT($E$2:$E327)&lt;20,"",INTERCEPT($E$228:$E$327,$F$228:$F$327))</f>
        <v>0</v>
      </c>
      <c r="BC327">
        <f>IF(OR(BA327="",BB327=""),"",BB327+BA327*F327)</f>
        <v>0</v>
      </c>
      <c r="BD327">
        <f>IF(COUNT($E$2:$E327)&lt;20,"",STEYX($E$228:$E$327,$F$228:$F$327))</f>
        <v>0</v>
      </c>
      <c r="BE327">
        <f>IF($E327="","",IF(AND(COUNT($E$328:$E$331)&gt;=4,$C327=MAX($C$323:$C$331)),$C327,""))</f>
        <v>0</v>
      </c>
      <c r="BF327">
        <f>IF($E327="","",IF(AND(COUNT($E$328:$E$331)&gt;=4,$D327=MIN($D$323:$D$331)),$D327,""))</f>
        <v>0</v>
      </c>
      <c r="BG327">
        <f>IF($A327="","",$A327-WEEKDAY($A327,2)+1)</f>
        <v>0</v>
      </c>
      <c r="BH327">
        <f>IF($A327="","",IF($A326="",1,IF(BG327&lt;&gt;BG326,1,0)))</f>
        <v>0</v>
      </c>
      <c r="BI327">
        <f>IF($A327="","",IF($A328="",1,IF(BG328&lt;&gt;BG327,1,0)))</f>
        <v>0</v>
      </c>
      <c r="BJ327">
        <f>IF($A327="","",IF(BH327=1,$B327,BJ326))</f>
        <v>0</v>
      </c>
      <c r="BK327">
        <f>IF($A327="","",IF(BH327=1,$C327,MAX($C327,BK326)))</f>
        <v>0</v>
      </c>
      <c r="BL327">
        <f>IF($A327="","",IF(BH327=1,$D327,MIN($D327,BL326)))</f>
        <v>0</v>
      </c>
      <c r="BM327">
        <f>IF($A327="","",IF(BI327=1,F327,""))</f>
        <v>0</v>
      </c>
      <c r="BN327">
        <f>IF($A327="","",DATE(YEAR($A327),MONTH($A327),1))</f>
        <v>0</v>
      </c>
      <c r="BO327">
        <f>IF($A327="","",IF($A326="",1,IF(BN327&lt;&gt;BN326,1,0)))</f>
        <v>0</v>
      </c>
      <c r="BP327">
        <f>IF($A327="","",IF($A328="",1,IF(BN328&lt;&gt;BN327,1,0)))</f>
        <v>0</v>
      </c>
      <c r="BQ327">
        <f>IF($A327="","",IF(BO327=1,$B327,BQ326))</f>
        <v>0</v>
      </c>
      <c r="BR327">
        <f>IF($A327="","",IF(BO327=1,$C327,MAX($C327,BR326)))</f>
        <v>0</v>
      </c>
      <c r="BS327">
        <f>IF($A327="","",IF(BO327=1,$D327,MIN($D327,BS326)))</f>
        <v>0</v>
      </c>
      <c r="BT327">
        <f>IF($A327="","",IF(BP327=1,F327,""))</f>
        <v>0</v>
      </c>
    </row>
    <row r="328" spans="1:72">
      <c r="A328" s="27">
        <f>IF(Data!$A328="","",Data!$A328)</f>
        <v>0</v>
      </c>
      <c r="B328">
        <f>IF(Data!$B328="","",Data!$B328)</f>
        <v>0</v>
      </c>
      <c r="C328">
        <f>IF(Data!$C328="","",Data!$C328)</f>
        <v>0</v>
      </c>
      <c r="D328">
        <f>IF(Data!$D328="","",Data!$D328)</f>
        <v>0</v>
      </c>
      <c r="E328">
        <f>IF(Data!$E328="","",Data!$E328)</f>
        <v>0</v>
      </c>
      <c r="F328">
        <f>IF($E328="","",N(F327)+1)</f>
        <v>0</v>
      </c>
      <c r="G328">
        <f>IF(OR($E328="",$E327=""),"",LN($E328/$E327))</f>
        <v>0</v>
      </c>
      <c r="H328">
        <f>IF($E328="","",IF($E327="",$E328,$E328*0.0952380952+H327*0.9047619048))</f>
        <v>0</v>
      </c>
      <c r="I328">
        <f>IF($E328="","",IF($E327="",$E328,$E328*0.0392156863+I327*0.9607843137))</f>
        <v>0</v>
      </c>
      <c r="J328">
        <f>IF($E328="","",IF($E327="",$E328,$E328*0.0198019802+J327*0.9801980198))</f>
        <v>0</v>
      </c>
      <c r="K328">
        <f>IF($E328="","",IF($E327="",$E328,$E328*0.0099502488+K327*0.9900497512))</f>
        <v>0</v>
      </c>
      <c r="L328">
        <f>IF(OR($E328="",$E327=""),"",MAX($E328-$E327,0))</f>
        <v>0</v>
      </c>
      <c r="M328">
        <f>IF(OR($E328="",$E327=""),"",MAX($E327-$E328,0))</f>
        <v>0</v>
      </c>
      <c r="N328">
        <f>IF(COUNT($E$2:$E328)&lt;15,"",IF(AVERAGE($M$315:$M$328)=0,100,100-100/(1+AVERAGE($L$315:$L$328)/AVERAGE($M$315:$M$328))))</f>
        <v>0</v>
      </c>
      <c r="O328">
        <f>IF($E328="","",IF($E327="",$E328,$E328*0.1538461538+O327*0.8461538462))</f>
        <v>0</v>
      </c>
      <c r="P328">
        <f>IF($E328="","",IF($E327="",$E328,$E328*0.0740740741+P327*0.9259259259))</f>
        <v>0</v>
      </c>
      <c r="Q328">
        <f>IF(OR(O328="",P328=""),"",O328-P328)</f>
        <v>0</v>
      </c>
      <c r="R328">
        <f>IF(Q328="","",IF(R327="",Q328,Q328*0.2000000000+R327*0.8000000000))</f>
        <v>0</v>
      </c>
      <c r="S328">
        <f>IF(OR(Q328="",R328=""),"",Q328-R328)</f>
        <v>0</v>
      </c>
      <c r="T328">
        <f>IF(COUNT($E$2:$E328)&lt;14,"",MAX($C$315:$C$328))</f>
        <v>0</v>
      </c>
      <c r="U328">
        <f>IF(COUNT($E$2:$E328)&lt;14,"",MIN($D$315:$D$328))</f>
        <v>0</v>
      </c>
      <c r="V328">
        <f>IF(OR(T328="",U328="",T328=U328),"",100*($E328-U328)/(T328-U328))</f>
        <v>0</v>
      </c>
      <c r="W328">
        <f>IF(COUNT($V$326:$V$328)&lt;3,"",AVERAGE($V$326:$V$328))</f>
        <v>0</v>
      </c>
      <c r="X328">
        <f>IF(COUNT($N$315:$N$328)&lt;14,"",MIN($N$315:$N$328))</f>
        <v>0</v>
      </c>
      <c r="Y328">
        <f>IF(COUNT($N$315:$N$328)&lt;14,"",MAX($N$315:$N$328))</f>
        <v>0</v>
      </c>
      <c r="Z328">
        <f>IF(OR(N328="",X328="",Y328="",Y328=X328),"",100*(N328-X328)/(Y328-X328))</f>
        <v>0</v>
      </c>
      <c r="AA328">
        <f>IF(COUNT($Z$326:$Z$328)&lt;3,"",AVERAGE($Z$326:$Z$328))</f>
        <v>0</v>
      </c>
      <c r="AB328">
        <f>IF(COUNT($AA$326:$AA$328)&lt;3,"",AVERAGE($AA$326:$AA$328))</f>
        <v>0</v>
      </c>
      <c r="AC328">
        <f>IF($E328="","",MAX($C328-$D328,ABS($C328-$E327),ABS($D328-$E327)))</f>
        <v>0</v>
      </c>
      <c r="AD328">
        <f>IF(COUNT($E$2:$E328)&lt;15,"",AVERAGE($AC$315:$AC$328))</f>
        <v>0</v>
      </c>
      <c r="AE328">
        <f>IF(OR($E328="",$E327=""),"",IF(AND(($C328-$C327)&gt;($D327-$D328),($C328-$C327)&gt;0),$C328-$C327,0))</f>
        <v>0</v>
      </c>
      <c r="AF328">
        <f>IF(OR($E328="",$E327=""),"",IF(AND(($D327-$D328)&gt;($C328-$C327),($D327-$D328)&gt;0),$D327-$D328,0))</f>
        <v>0</v>
      </c>
      <c r="AG328">
        <f>IF(COUNT($E$2:$E328)&lt;15,"",IF(SUM($AC$315:$AC$328)=0,0,100*SUM($AE$315:$AE$328)/SUM($AC$315:$AC$328)))</f>
        <v>0</v>
      </c>
      <c r="AH328">
        <f>IF(COUNT($E$2:$E328)&lt;15,"",IF(SUM($AC$315:$AC$328)=0,0,100*SUM($AF$315:$AF$328)/SUM($AC$315:$AC$328)))</f>
        <v>0</v>
      </c>
      <c r="AI328">
        <f>IF(OR(AG328="",AH328=""),"",IF((AG328+AH328)=0,0,100*ABS(AG328-AH328)/(AG328+AH328)))</f>
        <v>0</v>
      </c>
      <c r="AJ328">
        <f>IF(COUNT($AI$315:$AI$328)&lt;14,"",AVERAGE($AI$315:$AI$328))</f>
        <v>0</v>
      </c>
      <c r="AK328">
        <f>IF(COUNT($E$2:$E328)&lt;20,"",AVERAGE($E$309:$E$328))</f>
        <v>0</v>
      </c>
      <c r="AL328">
        <f>IF(COUNT($E$2:$E328)&lt;20,"",STDEVP($E$309:$E$328))</f>
        <v>0</v>
      </c>
      <c r="AM328">
        <f>IF(AK328="","",AK328+2*AL328)</f>
        <v>0</v>
      </c>
      <c r="AN328">
        <f>IF(AK328="","",AK328-2*AL328)</f>
        <v>0</v>
      </c>
      <c r="AO328">
        <f>IF(OR(AM328="",AN328="",AM328=AN328),"",($E328-AN328)/(AM328-AN328))</f>
        <v>0</v>
      </c>
      <c r="AP328">
        <f>IF(OR(AM328="",AK328="",AK328=0),"",(AM328-AN328)/AK328)</f>
        <v>0</v>
      </c>
      <c r="AQ328">
        <f>IF(COUNT($E$2:$E328)&lt;20,"",MAX($C$309:$C$328))</f>
        <v>0</v>
      </c>
      <c r="AR328">
        <f>IF(COUNT($E$2:$E328)&lt;20,"",MIN($D$309:$D$328))</f>
        <v>0</v>
      </c>
      <c r="AS328">
        <f>IF(OR(AQ328="",AR328=""),"",(AQ328+AR328)/2)</f>
        <v>0</v>
      </c>
      <c r="AT328">
        <f>IF(COUNT($G$309:$G$328)&lt;20,"",STDEV($G$309:$G$328)*SQRT(252))</f>
        <v>0</v>
      </c>
      <c r="AU328">
        <f>IF(COUNT($E$2:$E328)&lt;9,"",(MAX($C$320:$C$328)+MIN($D$320:$D$328))/2)</f>
        <v>0</v>
      </c>
      <c r="AV328">
        <f>IF(COUNT($E$2:$E328)&lt;26,"",(MAX($C$303:$C$328)+MIN($D$303:$D$328))/2)</f>
        <v>0</v>
      </c>
      <c r="AW328">
        <f>IF(OR(AU328="",AV328=""),"",(AU328+AV328)/2)</f>
        <v>0</v>
      </c>
      <c r="AX328">
        <f>IF(COUNT($E$2:$E328)&lt;52,"",(MAX($C$277:$C$328)+MIN($D$277:$D$328))/2)</f>
        <v>0</v>
      </c>
      <c r="AY328">
        <f>IF(COUNT($E$2:$E328)&lt;20,"",MAX($C$229:$C$328))</f>
        <v>0</v>
      </c>
      <c r="AZ328">
        <f>IF(COUNT($E$2:$E328)&lt;20,"",MIN($D$229:$D$328))</f>
        <v>0</v>
      </c>
      <c r="BA328">
        <f>IF(COUNT($E$2:$E328)&lt;20,"",SLOPE($E$229:$E$328,$F$229:$F$328))</f>
        <v>0</v>
      </c>
      <c r="BB328">
        <f>IF(COUNT($E$2:$E328)&lt;20,"",INTERCEPT($E$229:$E$328,$F$229:$F$328))</f>
        <v>0</v>
      </c>
      <c r="BC328">
        <f>IF(OR(BA328="",BB328=""),"",BB328+BA328*F328)</f>
        <v>0</v>
      </c>
      <c r="BD328">
        <f>IF(COUNT($E$2:$E328)&lt;20,"",STEYX($E$229:$E$328,$F$229:$F$328))</f>
        <v>0</v>
      </c>
      <c r="BE328">
        <f>IF($E328="","",IF(AND(COUNT($E$329:$E$332)&gt;=4,$C328=MAX($C$324:$C$332)),$C328,""))</f>
        <v>0</v>
      </c>
      <c r="BF328">
        <f>IF($E328="","",IF(AND(COUNT($E$329:$E$332)&gt;=4,$D328=MIN($D$324:$D$332)),$D328,""))</f>
        <v>0</v>
      </c>
      <c r="BG328">
        <f>IF($A328="","",$A328-WEEKDAY($A328,2)+1)</f>
        <v>0</v>
      </c>
      <c r="BH328">
        <f>IF($A328="","",IF($A327="",1,IF(BG328&lt;&gt;BG327,1,0)))</f>
        <v>0</v>
      </c>
      <c r="BI328">
        <f>IF($A328="","",IF($A329="",1,IF(BG329&lt;&gt;BG328,1,0)))</f>
        <v>0</v>
      </c>
      <c r="BJ328">
        <f>IF($A328="","",IF(BH328=1,$B328,BJ327))</f>
        <v>0</v>
      </c>
      <c r="BK328">
        <f>IF($A328="","",IF(BH328=1,$C328,MAX($C328,BK327)))</f>
        <v>0</v>
      </c>
      <c r="BL328">
        <f>IF($A328="","",IF(BH328=1,$D328,MIN($D328,BL327)))</f>
        <v>0</v>
      </c>
      <c r="BM328">
        <f>IF($A328="","",IF(BI328=1,F328,""))</f>
        <v>0</v>
      </c>
      <c r="BN328">
        <f>IF($A328="","",DATE(YEAR($A328),MONTH($A328),1))</f>
        <v>0</v>
      </c>
      <c r="BO328">
        <f>IF($A328="","",IF($A327="",1,IF(BN328&lt;&gt;BN327,1,0)))</f>
        <v>0</v>
      </c>
      <c r="BP328">
        <f>IF($A328="","",IF($A329="",1,IF(BN329&lt;&gt;BN328,1,0)))</f>
        <v>0</v>
      </c>
      <c r="BQ328">
        <f>IF($A328="","",IF(BO328=1,$B328,BQ327))</f>
        <v>0</v>
      </c>
      <c r="BR328">
        <f>IF($A328="","",IF(BO328=1,$C328,MAX($C328,BR327)))</f>
        <v>0</v>
      </c>
      <c r="BS328">
        <f>IF($A328="","",IF(BO328=1,$D328,MIN($D328,BS327)))</f>
        <v>0</v>
      </c>
      <c r="BT328">
        <f>IF($A328="","",IF(BP328=1,F328,""))</f>
        <v>0</v>
      </c>
    </row>
    <row r="329" spans="1:72">
      <c r="A329" s="27">
        <f>IF(Data!$A329="","",Data!$A329)</f>
        <v>0</v>
      </c>
      <c r="B329">
        <f>IF(Data!$B329="","",Data!$B329)</f>
        <v>0</v>
      </c>
      <c r="C329">
        <f>IF(Data!$C329="","",Data!$C329)</f>
        <v>0</v>
      </c>
      <c r="D329">
        <f>IF(Data!$D329="","",Data!$D329)</f>
        <v>0</v>
      </c>
      <c r="E329">
        <f>IF(Data!$E329="","",Data!$E329)</f>
        <v>0</v>
      </c>
      <c r="F329">
        <f>IF($E329="","",N(F328)+1)</f>
        <v>0</v>
      </c>
      <c r="G329">
        <f>IF(OR($E329="",$E328=""),"",LN($E329/$E328))</f>
        <v>0</v>
      </c>
      <c r="H329">
        <f>IF($E329="","",IF($E328="",$E329,$E329*0.0952380952+H328*0.9047619048))</f>
        <v>0</v>
      </c>
      <c r="I329">
        <f>IF($E329="","",IF($E328="",$E329,$E329*0.0392156863+I328*0.9607843137))</f>
        <v>0</v>
      </c>
      <c r="J329">
        <f>IF($E329="","",IF($E328="",$E329,$E329*0.0198019802+J328*0.9801980198))</f>
        <v>0</v>
      </c>
      <c r="K329">
        <f>IF($E329="","",IF($E328="",$E329,$E329*0.0099502488+K328*0.9900497512))</f>
        <v>0</v>
      </c>
      <c r="L329">
        <f>IF(OR($E329="",$E328=""),"",MAX($E329-$E328,0))</f>
        <v>0</v>
      </c>
      <c r="M329">
        <f>IF(OR($E329="",$E328=""),"",MAX($E328-$E329,0))</f>
        <v>0</v>
      </c>
      <c r="N329">
        <f>IF(COUNT($E$2:$E329)&lt;15,"",IF(AVERAGE($M$316:$M$329)=0,100,100-100/(1+AVERAGE($L$316:$L$329)/AVERAGE($M$316:$M$329))))</f>
        <v>0</v>
      </c>
      <c r="O329">
        <f>IF($E329="","",IF($E328="",$E329,$E329*0.1538461538+O328*0.8461538462))</f>
        <v>0</v>
      </c>
      <c r="P329">
        <f>IF($E329="","",IF($E328="",$E329,$E329*0.0740740741+P328*0.9259259259))</f>
        <v>0</v>
      </c>
      <c r="Q329">
        <f>IF(OR(O329="",P329=""),"",O329-P329)</f>
        <v>0</v>
      </c>
      <c r="R329">
        <f>IF(Q329="","",IF(R328="",Q329,Q329*0.2000000000+R328*0.8000000000))</f>
        <v>0</v>
      </c>
      <c r="S329">
        <f>IF(OR(Q329="",R329=""),"",Q329-R329)</f>
        <v>0</v>
      </c>
      <c r="T329">
        <f>IF(COUNT($E$2:$E329)&lt;14,"",MAX($C$316:$C$329))</f>
        <v>0</v>
      </c>
      <c r="U329">
        <f>IF(COUNT($E$2:$E329)&lt;14,"",MIN($D$316:$D$329))</f>
        <v>0</v>
      </c>
      <c r="V329">
        <f>IF(OR(T329="",U329="",T329=U329),"",100*($E329-U329)/(T329-U329))</f>
        <v>0</v>
      </c>
      <c r="W329">
        <f>IF(COUNT($V$327:$V$329)&lt;3,"",AVERAGE($V$327:$V$329))</f>
        <v>0</v>
      </c>
      <c r="X329">
        <f>IF(COUNT($N$316:$N$329)&lt;14,"",MIN($N$316:$N$329))</f>
        <v>0</v>
      </c>
      <c r="Y329">
        <f>IF(COUNT($N$316:$N$329)&lt;14,"",MAX($N$316:$N$329))</f>
        <v>0</v>
      </c>
      <c r="Z329">
        <f>IF(OR(N329="",X329="",Y329="",Y329=X329),"",100*(N329-X329)/(Y329-X329))</f>
        <v>0</v>
      </c>
      <c r="AA329">
        <f>IF(COUNT($Z$327:$Z$329)&lt;3,"",AVERAGE($Z$327:$Z$329))</f>
        <v>0</v>
      </c>
      <c r="AB329">
        <f>IF(COUNT($AA$327:$AA$329)&lt;3,"",AVERAGE($AA$327:$AA$329))</f>
        <v>0</v>
      </c>
      <c r="AC329">
        <f>IF($E329="","",MAX($C329-$D329,ABS($C329-$E328),ABS($D329-$E328)))</f>
        <v>0</v>
      </c>
      <c r="AD329">
        <f>IF(COUNT($E$2:$E329)&lt;15,"",AVERAGE($AC$316:$AC$329))</f>
        <v>0</v>
      </c>
      <c r="AE329">
        <f>IF(OR($E329="",$E328=""),"",IF(AND(($C329-$C328)&gt;($D328-$D329),($C329-$C328)&gt;0),$C329-$C328,0))</f>
        <v>0</v>
      </c>
      <c r="AF329">
        <f>IF(OR($E329="",$E328=""),"",IF(AND(($D328-$D329)&gt;($C329-$C328),($D328-$D329)&gt;0),$D328-$D329,0))</f>
        <v>0</v>
      </c>
      <c r="AG329">
        <f>IF(COUNT($E$2:$E329)&lt;15,"",IF(SUM($AC$316:$AC$329)=0,0,100*SUM($AE$316:$AE$329)/SUM($AC$316:$AC$329)))</f>
        <v>0</v>
      </c>
      <c r="AH329">
        <f>IF(COUNT($E$2:$E329)&lt;15,"",IF(SUM($AC$316:$AC$329)=0,0,100*SUM($AF$316:$AF$329)/SUM($AC$316:$AC$329)))</f>
        <v>0</v>
      </c>
      <c r="AI329">
        <f>IF(OR(AG329="",AH329=""),"",IF((AG329+AH329)=0,0,100*ABS(AG329-AH329)/(AG329+AH329)))</f>
        <v>0</v>
      </c>
      <c r="AJ329">
        <f>IF(COUNT($AI$316:$AI$329)&lt;14,"",AVERAGE($AI$316:$AI$329))</f>
        <v>0</v>
      </c>
      <c r="AK329">
        <f>IF(COUNT($E$2:$E329)&lt;20,"",AVERAGE($E$310:$E$329))</f>
        <v>0</v>
      </c>
      <c r="AL329">
        <f>IF(COUNT($E$2:$E329)&lt;20,"",STDEVP($E$310:$E$329))</f>
        <v>0</v>
      </c>
      <c r="AM329">
        <f>IF(AK329="","",AK329+2*AL329)</f>
        <v>0</v>
      </c>
      <c r="AN329">
        <f>IF(AK329="","",AK329-2*AL329)</f>
        <v>0</v>
      </c>
      <c r="AO329">
        <f>IF(OR(AM329="",AN329="",AM329=AN329),"",($E329-AN329)/(AM329-AN329))</f>
        <v>0</v>
      </c>
      <c r="AP329">
        <f>IF(OR(AM329="",AK329="",AK329=0),"",(AM329-AN329)/AK329)</f>
        <v>0</v>
      </c>
      <c r="AQ329">
        <f>IF(COUNT($E$2:$E329)&lt;20,"",MAX($C$310:$C$329))</f>
        <v>0</v>
      </c>
      <c r="AR329">
        <f>IF(COUNT($E$2:$E329)&lt;20,"",MIN($D$310:$D$329))</f>
        <v>0</v>
      </c>
      <c r="AS329">
        <f>IF(OR(AQ329="",AR329=""),"",(AQ329+AR329)/2)</f>
        <v>0</v>
      </c>
      <c r="AT329">
        <f>IF(COUNT($G$310:$G$329)&lt;20,"",STDEV($G$310:$G$329)*SQRT(252))</f>
        <v>0</v>
      </c>
      <c r="AU329">
        <f>IF(COUNT($E$2:$E329)&lt;9,"",(MAX($C$321:$C$329)+MIN($D$321:$D$329))/2)</f>
        <v>0</v>
      </c>
      <c r="AV329">
        <f>IF(COUNT($E$2:$E329)&lt;26,"",(MAX($C$304:$C$329)+MIN($D$304:$D$329))/2)</f>
        <v>0</v>
      </c>
      <c r="AW329">
        <f>IF(OR(AU329="",AV329=""),"",(AU329+AV329)/2)</f>
        <v>0</v>
      </c>
      <c r="AX329">
        <f>IF(COUNT($E$2:$E329)&lt;52,"",(MAX($C$278:$C$329)+MIN($D$278:$D$329))/2)</f>
        <v>0</v>
      </c>
      <c r="AY329">
        <f>IF(COUNT($E$2:$E329)&lt;20,"",MAX($C$230:$C$329))</f>
        <v>0</v>
      </c>
      <c r="AZ329">
        <f>IF(COUNT($E$2:$E329)&lt;20,"",MIN($D$230:$D$329))</f>
        <v>0</v>
      </c>
      <c r="BA329">
        <f>IF(COUNT($E$2:$E329)&lt;20,"",SLOPE($E$230:$E$329,$F$230:$F$329))</f>
        <v>0</v>
      </c>
      <c r="BB329">
        <f>IF(COUNT($E$2:$E329)&lt;20,"",INTERCEPT($E$230:$E$329,$F$230:$F$329))</f>
        <v>0</v>
      </c>
      <c r="BC329">
        <f>IF(OR(BA329="",BB329=""),"",BB329+BA329*F329)</f>
        <v>0</v>
      </c>
      <c r="BD329">
        <f>IF(COUNT($E$2:$E329)&lt;20,"",STEYX($E$230:$E$329,$F$230:$F$329))</f>
        <v>0</v>
      </c>
      <c r="BE329">
        <f>IF($E329="","",IF(AND(COUNT($E$330:$E$333)&gt;=4,$C329=MAX($C$325:$C$333)),$C329,""))</f>
        <v>0</v>
      </c>
      <c r="BF329">
        <f>IF($E329="","",IF(AND(COUNT($E$330:$E$333)&gt;=4,$D329=MIN($D$325:$D$333)),$D329,""))</f>
        <v>0</v>
      </c>
      <c r="BG329">
        <f>IF($A329="","",$A329-WEEKDAY($A329,2)+1)</f>
        <v>0</v>
      </c>
      <c r="BH329">
        <f>IF($A329="","",IF($A328="",1,IF(BG329&lt;&gt;BG328,1,0)))</f>
        <v>0</v>
      </c>
      <c r="BI329">
        <f>IF($A329="","",IF($A330="",1,IF(BG330&lt;&gt;BG329,1,0)))</f>
        <v>0</v>
      </c>
      <c r="BJ329">
        <f>IF($A329="","",IF(BH329=1,$B329,BJ328))</f>
        <v>0</v>
      </c>
      <c r="BK329">
        <f>IF($A329="","",IF(BH329=1,$C329,MAX($C329,BK328)))</f>
        <v>0</v>
      </c>
      <c r="BL329">
        <f>IF($A329="","",IF(BH329=1,$D329,MIN($D329,BL328)))</f>
        <v>0</v>
      </c>
      <c r="BM329">
        <f>IF($A329="","",IF(BI329=1,F329,""))</f>
        <v>0</v>
      </c>
      <c r="BN329">
        <f>IF($A329="","",DATE(YEAR($A329),MONTH($A329),1))</f>
        <v>0</v>
      </c>
      <c r="BO329">
        <f>IF($A329="","",IF($A328="",1,IF(BN329&lt;&gt;BN328,1,0)))</f>
        <v>0</v>
      </c>
      <c r="BP329">
        <f>IF($A329="","",IF($A330="",1,IF(BN330&lt;&gt;BN329,1,0)))</f>
        <v>0</v>
      </c>
      <c r="BQ329">
        <f>IF($A329="","",IF(BO329=1,$B329,BQ328))</f>
        <v>0</v>
      </c>
      <c r="BR329">
        <f>IF($A329="","",IF(BO329=1,$C329,MAX($C329,BR328)))</f>
        <v>0</v>
      </c>
      <c r="BS329">
        <f>IF($A329="","",IF(BO329=1,$D329,MIN($D329,BS328)))</f>
        <v>0</v>
      </c>
      <c r="BT329">
        <f>IF($A329="","",IF(BP329=1,F329,""))</f>
        <v>0</v>
      </c>
    </row>
    <row r="330" spans="1:72">
      <c r="A330" s="27">
        <f>IF(Data!$A330="","",Data!$A330)</f>
        <v>0</v>
      </c>
      <c r="B330">
        <f>IF(Data!$B330="","",Data!$B330)</f>
        <v>0</v>
      </c>
      <c r="C330">
        <f>IF(Data!$C330="","",Data!$C330)</f>
        <v>0</v>
      </c>
      <c r="D330">
        <f>IF(Data!$D330="","",Data!$D330)</f>
        <v>0</v>
      </c>
      <c r="E330">
        <f>IF(Data!$E330="","",Data!$E330)</f>
        <v>0</v>
      </c>
      <c r="F330">
        <f>IF($E330="","",N(F329)+1)</f>
        <v>0</v>
      </c>
      <c r="G330">
        <f>IF(OR($E330="",$E329=""),"",LN($E330/$E329))</f>
        <v>0</v>
      </c>
      <c r="H330">
        <f>IF($E330="","",IF($E329="",$E330,$E330*0.0952380952+H329*0.9047619048))</f>
        <v>0</v>
      </c>
      <c r="I330">
        <f>IF($E330="","",IF($E329="",$E330,$E330*0.0392156863+I329*0.9607843137))</f>
        <v>0</v>
      </c>
      <c r="J330">
        <f>IF($E330="","",IF($E329="",$E330,$E330*0.0198019802+J329*0.9801980198))</f>
        <v>0</v>
      </c>
      <c r="K330">
        <f>IF($E330="","",IF($E329="",$E330,$E330*0.0099502488+K329*0.9900497512))</f>
        <v>0</v>
      </c>
      <c r="L330">
        <f>IF(OR($E330="",$E329=""),"",MAX($E330-$E329,0))</f>
        <v>0</v>
      </c>
      <c r="M330">
        <f>IF(OR($E330="",$E329=""),"",MAX($E329-$E330,0))</f>
        <v>0</v>
      </c>
      <c r="N330">
        <f>IF(COUNT($E$2:$E330)&lt;15,"",IF(AVERAGE($M$317:$M$330)=0,100,100-100/(1+AVERAGE($L$317:$L$330)/AVERAGE($M$317:$M$330))))</f>
        <v>0</v>
      </c>
      <c r="O330">
        <f>IF($E330="","",IF($E329="",$E330,$E330*0.1538461538+O329*0.8461538462))</f>
        <v>0</v>
      </c>
      <c r="P330">
        <f>IF($E330="","",IF($E329="",$E330,$E330*0.0740740741+P329*0.9259259259))</f>
        <v>0</v>
      </c>
      <c r="Q330">
        <f>IF(OR(O330="",P330=""),"",O330-P330)</f>
        <v>0</v>
      </c>
      <c r="R330">
        <f>IF(Q330="","",IF(R329="",Q330,Q330*0.2000000000+R329*0.8000000000))</f>
        <v>0</v>
      </c>
      <c r="S330">
        <f>IF(OR(Q330="",R330=""),"",Q330-R330)</f>
        <v>0</v>
      </c>
      <c r="T330">
        <f>IF(COUNT($E$2:$E330)&lt;14,"",MAX($C$317:$C$330))</f>
        <v>0</v>
      </c>
      <c r="U330">
        <f>IF(COUNT($E$2:$E330)&lt;14,"",MIN($D$317:$D$330))</f>
        <v>0</v>
      </c>
      <c r="V330">
        <f>IF(OR(T330="",U330="",T330=U330),"",100*($E330-U330)/(T330-U330))</f>
        <v>0</v>
      </c>
      <c r="W330">
        <f>IF(COUNT($V$328:$V$330)&lt;3,"",AVERAGE($V$328:$V$330))</f>
        <v>0</v>
      </c>
      <c r="X330">
        <f>IF(COUNT($N$317:$N$330)&lt;14,"",MIN($N$317:$N$330))</f>
        <v>0</v>
      </c>
      <c r="Y330">
        <f>IF(COUNT($N$317:$N$330)&lt;14,"",MAX($N$317:$N$330))</f>
        <v>0</v>
      </c>
      <c r="Z330">
        <f>IF(OR(N330="",X330="",Y330="",Y330=X330),"",100*(N330-X330)/(Y330-X330))</f>
        <v>0</v>
      </c>
      <c r="AA330">
        <f>IF(COUNT($Z$328:$Z$330)&lt;3,"",AVERAGE($Z$328:$Z$330))</f>
        <v>0</v>
      </c>
      <c r="AB330">
        <f>IF(COUNT($AA$328:$AA$330)&lt;3,"",AVERAGE($AA$328:$AA$330))</f>
        <v>0</v>
      </c>
      <c r="AC330">
        <f>IF($E330="","",MAX($C330-$D330,ABS($C330-$E329),ABS($D330-$E329)))</f>
        <v>0</v>
      </c>
      <c r="AD330">
        <f>IF(COUNT($E$2:$E330)&lt;15,"",AVERAGE($AC$317:$AC$330))</f>
        <v>0</v>
      </c>
      <c r="AE330">
        <f>IF(OR($E330="",$E329=""),"",IF(AND(($C330-$C329)&gt;($D329-$D330),($C330-$C329)&gt;0),$C330-$C329,0))</f>
        <v>0</v>
      </c>
      <c r="AF330">
        <f>IF(OR($E330="",$E329=""),"",IF(AND(($D329-$D330)&gt;($C330-$C329),($D329-$D330)&gt;0),$D329-$D330,0))</f>
        <v>0</v>
      </c>
      <c r="AG330">
        <f>IF(COUNT($E$2:$E330)&lt;15,"",IF(SUM($AC$317:$AC$330)=0,0,100*SUM($AE$317:$AE$330)/SUM($AC$317:$AC$330)))</f>
        <v>0</v>
      </c>
      <c r="AH330">
        <f>IF(COUNT($E$2:$E330)&lt;15,"",IF(SUM($AC$317:$AC$330)=0,0,100*SUM($AF$317:$AF$330)/SUM($AC$317:$AC$330)))</f>
        <v>0</v>
      </c>
      <c r="AI330">
        <f>IF(OR(AG330="",AH330=""),"",IF((AG330+AH330)=0,0,100*ABS(AG330-AH330)/(AG330+AH330)))</f>
        <v>0</v>
      </c>
      <c r="AJ330">
        <f>IF(COUNT($AI$317:$AI$330)&lt;14,"",AVERAGE($AI$317:$AI$330))</f>
        <v>0</v>
      </c>
      <c r="AK330">
        <f>IF(COUNT($E$2:$E330)&lt;20,"",AVERAGE($E$311:$E$330))</f>
        <v>0</v>
      </c>
      <c r="AL330">
        <f>IF(COUNT($E$2:$E330)&lt;20,"",STDEVP($E$311:$E$330))</f>
        <v>0</v>
      </c>
      <c r="AM330">
        <f>IF(AK330="","",AK330+2*AL330)</f>
        <v>0</v>
      </c>
      <c r="AN330">
        <f>IF(AK330="","",AK330-2*AL330)</f>
        <v>0</v>
      </c>
      <c r="AO330">
        <f>IF(OR(AM330="",AN330="",AM330=AN330),"",($E330-AN330)/(AM330-AN330))</f>
        <v>0</v>
      </c>
      <c r="AP330">
        <f>IF(OR(AM330="",AK330="",AK330=0),"",(AM330-AN330)/AK330)</f>
        <v>0</v>
      </c>
      <c r="AQ330">
        <f>IF(COUNT($E$2:$E330)&lt;20,"",MAX($C$311:$C$330))</f>
        <v>0</v>
      </c>
      <c r="AR330">
        <f>IF(COUNT($E$2:$E330)&lt;20,"",MIN($D$311:$D$330))</f>
        <v>0</v>
      </c>
      <c r="AS330">
        <f>IF(OR(AQ330="",AR330=""),"",(AQ330+AR330)/2)</f>
        <v>0</v>
      </c>
      <c r="AT330">
        <f>IF(COUNT($G$311:$G$330)&lt;20,"",STDEV($G$311:$G$330)*SQRT(252))</f>
        <v>0</v>
      </c>
      <c r="AU330">
        <f>IF(COUNT($E$2:$E330)&lt;9,"",(MAX($C$322:$C$330)+MIN($D$322:$D$330))/2)</f>
        <v>0</v>
      </c>
      <c r="AV330">
        <f>IF(COUNT($E$2:$E330)&lt;26,"",(MAX($C$305:$C$330)+MIN($D$305:$D$330))/2)</f>
        <v>0</v>
      </c>
      <c r="AW330">
        <f>IF(OR(AU330="",AV330=""),"",(AU330+AV330)/2)</f>
        <v>0</v>
      </c>
      <c r="AX330">
        <f>IF(COUNT($E$2:$E330)&lt;52,"",(MAX($C$279:$C$330)+MIN($D$279:$D$330))/2)</f>
        <v>0</v>
      </c>
      <c r="AY330">
        <f>IF(COUNT($E$2:$E330)&lt;20,"",MAX($C$231:$C$330))</f>
        <v>0</v>
      </c>
      <c r="AZ330">
        <f>IF(COUNT($E$2:$E330)&lt;20,"",MIN($D$231:$D$330))</f>
        <v>0</v>
      </c>
      <c r="BA330">
        <f>IF(COUNT($E$2:$E330)&lt;20,"",SLOPE($E$231:$E$330,$F$231:$F$330))</f>
        <v>0</v>
      </c>
      <c r="BB330">
        <f>IF(COUNT($E$2:$E330)&lt;20,"",INTERCEPT($E$231:$E$330,$F$231:$F$330))</f>
        <v>0</v>
      </c>
      <c r="BC330">
        <f>IF(OR(BA330="",BB330=""),"",BB330+BA330*F330)</f>
        <v>0</v>
      </c>
      <c r="BD330">
        <f>IF(COUNT($E$2:$E330)&lt;20,"",STEYX($E$231:$E$330,$F$231:$F$330))</f>
        <v>0</v>
      </c>
      <c r="BE330">
        <f>IF($E330="","",IF(AND(COUNT($E$331:$E$334)&gt;=4,$C330=MAX($C$326:$C$334)),$C330,""))</f>
        <v>0</v>
      </c>
      <c r="BF330">
        <f>IF($E330="","",IF(AND(COUNT($E$331:$E$334)&gt;=4,$D330=MIN($D$326:$D$334)),$D330,""))</f>
        <v>0</v>
      </c>
      <c r="BG330">
        <f>IF($A330="","",$A330-WEEKDAY($A330,2)+1)</f>
        <v>0</v>
      </c>
      <c r="BH330">
        <f>IF($A330="","",IF($A329="",1,IF(BG330&lt;&gt;BG329,1,0)))</f>
        <v>0</v>
      </c>
      <c r="BI330">
        <f>IF($A330="","",IF($A331="",1,IF(BG331&lt;&gt;BG330,1,0)))</f>
        <v>0</v>
      </c>
      <c r="BJ330">
        <f>IF($A330="","",IF(BH330=1,$B330,BJ329))</f>
        <v>0</v>
      </c>
      <c r="BK330">
        <f>IF($A330="","",IF(BH330=1,$C330,MAX($C330,BK329)))</f>
        <v>0</v>
      </c>
      <c r="BL330">
        <f>IF($A330="","",IF(BH330=1,$D330,MIN($D330,BL329)))</f>
        <v>0</v>
      </c>
      <c r="BM330">
        <f>IF($A330="","",IF(BI330=1,F330,""))</f>
        <v>0</v>
      </c>
      <c r="BN330">
        <f>IF($A330="","",DATE(YEAR($A330),MONTH($A330),1))</f>
        <v>0</v>
      </c>
      <c r="BO330">
        <f>IF($A330="","",IF($A329="",1,IF(BN330&lt;&gt;BN329,1,0)))</f>
        <v>0</v>
      </c>
      <c r="BP330">
        <f>IF($A330="","",IF($A331="",1,IF(BN331&lt;&gt;BN330,1,0)))</f>
        <v>0</v>
      </c>
      <c r="BQ330">
        <f>IF($A330="","",IF(BO330=1,$B330,BQ329))</f>
        <v>0</v>
      </c>
      <c r="BR330">
        <f>IF($A330="","",IF(BO330=1,$C330,MAX($C330,BR329)))</f>
        <v>0</v>
      </c>
      <c r="BS330">
        <f>IF($A330="","",IF(BO330=1,$D330,MIN($D330,BS329)))</f>
        <v>0</v>
      </c>
      <c r="BT330">
        <f>IF($A330="","",IF(BP330=1,F330,""))</f>
        <v>0</v>
      </c>
    </row>
    <row r="331" spans="1:72">
      <c r="A331" s="27">
        <f>IF(Data!$A331="","",Data!$A331)</f>
        <v>0</v>
      </c>
      <c r="B331">
        <f>IF(Data!$B331="","",Data!$B331)</f>
        <v>0</v>
      </c>
      <c r="C331">
        <f>IF(Data!$C331="","",Data!$C331)</f>
        <v>0</v>
      </c>
      <c r="D331">
        <f>IF(Data!$D331="","",Data!$D331)</f>
        <v>0</v>
      </c>
      <c r="E331">
        <f>IF(Data!$E331="","",Data!$E331)</f>
        <v>0</v>
      </c>
      <c r="F331">
        <f>IF($E331="","",N(F330)+1)</f>
        <v>0</v>
      </c>
      <c r="G331">
        <f>IF(OR($E331="",$E330=""),"",LN($E331/$E330))</f>
        <v>0</v>
      </c>
      <c r="H331">
        <f>IF($E331="","",IF($E330="",$E331,$E331*0.0952380952+H330*0.9047619048))</f>
        <v>0</v>
      </c>
      <c r="I331">
        <f>IF($E331="","",IF($E330="",$E331,$E331*0.0392156863+I330*0.9607843137))</f>
        <v>0</v>
      </c>
      <c r="J331">
        <f>IF($E331="","",IF($E330="",$E331,$E331*0.0198019802+J330*0.9801980198))</f>
        <v>0</v>
      </c>
      <c r="K331">
        <f>IF($E331="","",IF($E330="",$E331,$E331*0.0099502488+K330*0.9900497512))</f>
        <v>0</v>
      </c>
      <c r="L331">
        <f>IF(OR($E331="",$E330=""),"",MAX($E331-$E330,0))</f>
        <v>0</v>
      </c>
      <c r="M331">
        <f>IF(OR($E331="",$E330=""),"",MAX($E330-$E331,0))</f>
        <v>0</v>
      </c>
      <c r="N331">
        <f>IF(COUNT($E$2:$E331)&lt;15,"",IF(AVERAGE($M$318:$M$331)=0,100,100-100/(1+AVERAGE($L$318:$L$331)/AVERAGE($M$318:$M$331))))</f>
        <v>0</v>
      </c>
      <c r="O331">
        <f>IF($E331="","",IF($E330="",$E331,$E331*0.1538461538+O330*0.8461538462))</f>
        <v>0</v>
      </c>
      <c r="P331">
        <f>IF($E331="","",IF($E330="",$E331,$E331*0.0740740741+P330*0.9259259259))</f>
        <v>0</v>
      </c>
      <c r="Q331">
        <f>IF(OR(O331="",P331=""),"",O331-P331)</f>
        <v>0</v>
      </c>
      <c r="R331">
        <f>IF(Q331="","",IF(R330="",Q331,Q331*0.2000000000+R330*0.8000000000))</f>
        <v>0</v>
      </c>
      <c r="S331">
        <f>IF(OR(Q331="",R331=""),"",Q331-R331)</f>
        <v>0</v>
      </c>
      <c r="T331">
        <f>IF(COUNT($E$2:$E331)&lt;14,"",MAX($C$318:$C$331))</f>
        <v>0</v>
      </c>
      <c r="U331">
        <f>IF(COUNT($E$2:$E331)&lt;14,"",MIN($D$318:$D$331))</f>
        <v>0</v>
      </c>
      <c r="V331">
        <f>IF(OR(T331="",U331="",T331=U331),"",100*($E331-U331)/(T331-U331))</f>
        <v>0</v>
      </c>
      <c r="W331">
        <f>IF(COUNT($V$329:$V$331)&lt;3,"",AVERAGE($V$329:$V$331))</f>
        <v>0</v>
      </c>
      <c r="X331">
        <f>IF(COUNT($N$318:$N$331)&lt;14,"",MIN($N$318:$N$331))</f>
        <v>0</v>
      </c>
      <c r="Y331">
        <f>IF(COUNT($N$318:$N$331)&lt;14,"",MAX($N$318:$N$331))</f>
        <v>0</v>
      </c>
      <c r="Z331">
        <f>IF(OR(N331="",X331="",Y331="",Y331=X331),"",100*(N331-X331)/(Y331-X331))</f>
        <v>0</v>
      </c>
      <c r="AA331">
        <f>IF(COUNT($Z$329:$Z$331)&lt;3,"",AVERAGE($Z$329:$Z$331))</f>
        <v>0</v>
      </c>
      <c r="AB331">
        <f>IF(COUNT($AA$329:$AA$331)&lt;3,"",AVERAGE($AA$329:$AA$331))</f>
        <v>0</v>
      </c>
      <c r="AC331">
        <f>IF($E331="","",MAX($C331-$D331,ABS($C331-$E330),ABS($D331-$E330)))</f>
        <v>0</v>
      </c>
      <c r="AD331">
        <f>IF(COUNT($E$2:$E331)&lt;15,"",AVERAGE($AC$318:$AC$331))</f>
        <v>0</v>
      </c>
      <c r="AE331">
        <f>IF(OR($E331="",$E330=""),"",IF(AND(($C331-$C330)&gt;($D330-$D331),($C331-$C330)&gt;0),$C331-$C330,0))</f>
        <v>0</v>
      </c>
      <c r="AF331">
        <f>IF(OR($E331="",$E330=""),"",IF(AND(($D330-$D331)&gt;($C331-$C330),($D330-$D331)&gt;0),$D330-$D331,0))</f>
        <v>0</v>
      </c>
      <c r="AG331">
        <f>IF(COUNT($E$2:$E331)&lt;15,"",IF(SUM($AC$318:$AC$331)=0,0,100*SUM($AE$318:$AE$331)/SUM($AC$318:$AC$331)))</f>
        <v>0</v>
      </c>
      <c r="AH331">
        <f>IF(COUNT($E$2:$E331)&lt;15,"",IF(SUM($AC$318:$AC$331)=0,0,100*SUM($AF$318:$AF$331)/SUM($AC$318:$AC$331)))</f>
        <v>0</v>
      </c>
      <c r="AI331">
        <f>IF(OR(AG331="",AH331=""),"",IF((AG331+AH331)=0,0,100*ABS(AG331-AH331)/(AG331+AH331)))</f>
        <v>0</v>
      </c>
      <c r="AJ331">
        <f>IF(COUNT($AI$318:$AI$331)&lt;14,"",AVERAGE($AI$318:$AI$331))</f>
        <v>0</v>
      </c>
      <c r="AK331">
        <f>IF(COUNT($E$2:$E331)&lt;20,"",AVERAGE($E$312:$E$331))</f>
        <v>0</v>
      </c>
      <c r="AL331">
        <f>IF(COUNT($E$2:$E331)&lt;20,"",STDEVP($E$312:$E$331))</f>
        <v>0</v>
      </c>
      <c r="AM331">
        <f>IF(AK331="","",AK331+2*AL331)</f>
        <v>0</v>
      </c>
      <c r="AN331">
        <f>IF(AK331="","",AK331-2*AL331)</f>
        <v>0</v>
      </c>
      <c r="AO331">
        <f>IF(OR(AM331="",AN331="",AM331=AN331),"",($E331-AN331)/(AM331-AN331))</f>
        <v>0</v>
      </c>
      <c r="AP331">
        <f>IF(OR(AM331="",AK331="",AK331=0),"",(AM331-AN331)/AK331)</f>
        <v>0</v>
      </c>
      <c r="AQ331">
        <f>IF(COUNT($E$2:$E331)&lt;20,"",MAX($C$312:$C$331))</f>
        <v>0</v>
      </c>
      <c r="AR331">
        <f>IF(COUNT($E$2:$E331)&lt;20,"",MIN($D$312:$D$331))</f>
        <v>0</v>
      </c>
      <c r="AS331">
        <f>IF(OR(AQ331="",AR331=""),"",(AQ331+AR331)/2)</f>
        <v>0</v>
      </c>
      <c r="AT331">
        <f>IF(COUNT($G$312:$G$331)&lt;20,"",STDEV($G$312:$G$331)*SQRT(252))</f>
        <v>0</v>
      </c>
      <c r="AU331">
        <f>IF(COUNT($E$2:$E331)&lt;9,"",(MAX($C$323:$C$331)+MIN($D$323:$D$331))/2)</f>
        <v>0</v>
      </c>
      <c r="AV331">
        <f>IF(COUNT($E$2:$E331)&lt;26,"",(MAX($C$306:$C$331)+MIN($D$306:$D$331))/2)</f>
        <v>0</v>
      </c>
      <c r="AW331">
        <f>IF(OR(AU331="",AV331=""),"",(AU331+AV331)/2)</f>
        <v>0</v>
      </c>
      <c r="AX331">
        <f>IF(COUNT($E$2:$E331)&lt;52,"",(MAX($C$280:$C$331)+MIN($D$280:$D$331))/2)</f>
        <v>0</v>
      </c>
      <c r="AY331">
        <f>IF(COUNT($E$2:$E331)&lt;20,"",MAX($C$232:$C$331))</f>
        <v>0</v>
      </c>
      <c r="AZ331">
        <f>IF(COUNT($E$2:$E331)&lt;20,"",MIN($D$232:$D$331))</f>
        <v>0</v>
      </c>
      <c r="BA331">
        <f>IF(COUNT($E$2:$E331)&lt;20,"",SLOPE($E$232:$E$331,$F$232:$F$331))</f>
        <v>0</v>
      </c>
      <c r="BB331">
        <f>IF(COUNT($E$2:$E331)&lt;20,"",INTERCEPT($E$232:$E$331,$F$232:$F$331))</f>
        <v>0</v>
      </c>
      <c r="BC331">
        <f>IF(OR(BA331="",BB331=""),"",BB331+BA331*F331)</f>
        <v>0</v>
      </c>
      <c r="BD331">
        <f>IF(COUNT($E$2:$E331)&lt;20,"",STEYX($E$232:$E$331,$F$232:$F$331))</f>
        <v>0</v>
      </c>
      <c r="BE331">
        <f>IF($E331="","",IF(AND(COUNT($E$332:$E$335)&gt;=4,$C331=MAX($C$327:$C$335)),$C331,""))</f>
        <v>0</v>
      </c>
      <c r="BF331">
        <f>IF($E331="","",IF(AND(COUNT($E$332:$E$335)&gt;=4,$D331=MIN($D$327:$D$335)),$D331,""))</f>
        <v>0</v>
      </c>
      <c r="BG331">
        <f>IF($A331="","",$A331-WEEKDAY($A331,2)+1)</f>
        <v>0</v>
      </c>
      <c r="BH331">
        <f>IF($A331="","",IF($A330="",1,IF(BG331&lt;&gt;BG330,1,0)))</f>
        <v>0</v>
      </c>
      <c r="BI331">
        <f>IF($A331="","",IF($A332="",1,IF(BG332&lt;&gt;BG331,1,0)))</f>
        <v>0</v>
      </c>
      <c r="BJ331">
        <f>IF($A331="","",IF(BH331=1,$B331,BJ330))</f>
        <v>0</v>
      </c>
      <c r="BK331">
        <f>IF($A331="","",IF(BH331=1,$C331,MAX($C331,BK330)))</f>
        <v>0</v>
      </c>
      <c r="BL331">
        <f>IF($A331="","",IF(BH331=1,$D331,MIN($D331,BL330)))</f>
        <v>0</v>
      </c>
      <c r="BM331">
        <f>IF($A331="","",IF(BI331=1,F331,""))</f>
        <v>0</v>
      </c>
      <c r="BN331">
        <f>IF($A331="","",DATE(YEAR($A331),MONTH($A331),1))</f>
        <v>0</v>
      </c>
      <c r="BO331">
        <f>IF($A331="","",IF($A330="",1,IF(BN331&lt;&gt;BN330,1,0)))</f>
        <v>0</v>
      </c>
      <c r="BP331">
        <f>IF($A331="","",IF($A332="",1,IF(BN332&lt;&gt;BN331,1,0)))</f>
        <v>0</v>
      </c>
      <c r="BQ331">
        <f>IF($A331="","",IF(BO331=1,$B331,BQ330))</f>
        <v>0</v>
      </c>
      <c r="BR331">
        <f>IF($A331="","",IF(BO331=1,$C331,MAX($C331,BR330)))</f>
        <v>0</v>
      </c>
      <c r="BS331">
        <f>IF($A331="","",IF(BO331=1,$D331,MIN($D331,BS330)))</f>
        <v>0</v>
      </c>
      <c r="BT331">
        <f>IF($A331="","",IF(BP331=1,F331,""))</f>
        <v>0</v>
      </c>
    </row>
    <row r="332" spans="1:72">
      <c r="A332" s="27">
        <f>IF(Data!$A332="","",Data!$A332)</f>
        <v>0</v>
      </c>
      <c r="B332">
        <f>IF(Data!$B332="","",Data!$B332)</f>
        <v>0</v>
      </c>
      <c r="C332">
        <f>IF(Data!$C332="","",Data!$C332)</f>
        <v>0</v>
      </c>
      <c r="D332">
        <f>IF(Data!$D332="","",Data!$D332)</f>
        <v>0</v>
      </c>
      <c r="E332">
        <f>IF(Data!$E332="","",Data!$E332)</f>
        <v>0</v>
      </c>
      <c r="F332">
        <f>IF($E332="","",N(F331)+1)</f>
        <v>0</v>
      </c>
      <c r="G332">
        <f>IF(OR($E332="",$E331=""),"",LN($E332/$E331))</f>
        <v>0</v>
      </c>
      <c r="H332">
        <f>IF($E332="","",IF($E331="",$E332,$E332*0.0952380952+H331*0.9047619048))</f>
        <v>0</v>
      </c>
      <c r="I332">
        <f>IF($E332="","",IF($E331="",$E332,$E332*0.0392156863+I331*0.9607843137))</f>
        <v>0</v>
      </c>
      <c r="J332">
        <f>IF($E332="","",IF($E331="",$E332,$E332*0.0198019802+J331*0.9801980198))</f>
        <v>0</v>
      </c>
      <c r="K332">
        <f>IF($E332="","",IF($E331="",$E332,$E332*0.0099502488+K331*0.9900497512))</f>
        <v>0</v>
      </c>
      <c r="L332">
        <f>IF(OR($E332="",$E331=""),"",MAX($E332-$E331,0))</f>
        <v>0</v>
      </c>
      <c r="M332">
        <f>IF(OR($E332="",$E331=""),"",MAX($E331-$E332,0))</f>
        <v>0</v>
      </c>
      <c r="N332">
        <f>IF(COUNT($E$2:$E332)&lt;15,"",IF(AVERAGE($M$319:$M$332)=0,100,100-100/(1+AVERAGE($L$319:$L$332)/AVERAGE($M$319:$M$332))))</f>
        <v>0</v>
      </c>
      <c r="O332">
        <f>IF($E332="","",IF($E331="",$E332,$E332*0.1538461538+O331*0.8461538462))</f>
        <v>0</v>
      </c>
      <c r="P332">
        <f>IF($E332="","",IF($E331="",$E332,$E332*0.0740740741+P331*0.9259259259))</f>
        <v>0</v>
      </c>
      <c r="Q332">
        <f>IF(OR(O332="",P332=""),"",O332-P332)</f>
        <v>0</v>
      </c>
      <c r="R332">
        <f>IF(Q332="","",IF(R331="",Q332,Q332*0.2000000000+R331*0.8000000000))</f>
        <v>0</v>
      </c>
      <c r="S332">
        <f>IF(OR(Q332="",R332=""),"",Q332-R332)</f>
        <v>0</v>
      </c>
      <c r="T332">
        <f>IF(COUNT($E$2:$E332)&lt;14,"",MAX($C$319:$C$332))</f>
        <v>0</v>
      </c>
      <c r="U332">
        <f>IF(COUNT($E$2:$E332)&lt;14,"",MIN($D$319:$D$332))</f>
        <v>0</v>
      </c>
      <c r="V332">
        <f>IF(OR(T332="",U332="",T332=U332),"",100*($E332-U332)/(T332-U332))</f>
        <v>0</v>
      </c>
      <c r="W332">
        <f>IF(COUNT($V$330:$V$332)&lt;3,"",AVERAGE($V$330:$V$332))</f>
        <v>0</v>
      </c>
      <c r="X332">
        <f>IF(COUNT($N$319:$N$332)&lt;14,"",MIN($N$319:$N$332))</f>
        <v>0</v>
      </c>
      <c r="Y332">
        <f>IF(COUNT($N$319:$N$332)&lt;14,"",MAX($N$319:$N$332))</f>
        <v>0</v>
      </c>
      <c r="Z332">
        <f>IF(OR(N332="",X332="",Y332="",Y332=X332),"",100*(N332-X332)/(Y332-X332))</f>
        <v>0</v>
      </c>
      <c r="AA332">
        <f>IF(COUNT($Z$330:$Z$332)&lt;3,"",AVERAGE($Z$330:$Z$332))</f>
        <v>0</v>
      </c>
      <c r="AB332">
        <f>IF(COUNT($AA$330:$AA$332)&lt;3,"",AVERAGE($AA$330:$AA$332))</f>
        <v>0</v>
      </c>
      <c r="AC332">
        <f>IF($E332="","",MAX($C332-$D332,ABS($C332-$E331),ABS($D332-$E331)))</f>
        <v>0</v>
      </c>
      <c r="AD332">
        <f>IF(COUNT($E$2:$E332)&lt;15,"",AVERAGE($AC$319:$AC$332))</f>
        <v>0</v>
      </c>
      <c r="AE332">
        <f>IF(OR($E332="",$E331=""),"",IF(AND(($C332-$C331)&gt;($D331-$D332),($C332-$C331)&gt;0),$C332-$C331,0))</f>
        <v>0</v>
      </c>
      <c r="AF332">
        <f>IF(OR($E332="",$E331=""),"",IF(AND(($D331-$D332)&gt;($C332-$C331),($D331-$D332)&gt;0),$D331-$D332,0))</f>
        <v>0</v>
      </c>
      <c r="AG332">
        <f>IF(COUNT($E$2:$E332)&lt;15,"",IF(SUM($AC$319:$AC$332)=0,0,100*SUM($AE$319:$AE$332)/SUM($AC$319:$AC$332)))</f>
        <v>0</v>
      </c>
      <c r="AH332">
        <f>IF(COUNT($E$2:$E332)&lt;15,"",IF(SUM($AC$319:$AC$332)=0,0,100*SUM($AF$319:$AF$332)/SUM($AC$319:$AC$332)))</f>
        <v>0</v>
      </c>
      <c r="AI332">
        <f>IF(OR(AG332="",AH332=""),"",IF((AG332+AH332)=0,0,100*ABS(AG332-AH332)/(AG332+AH332)))</f>
        <v>0</v>
      </c>
      <c r="AJ332">
        <f>IF(COUNT($AI$319:$AI$332)&lt;14,"",AVERAGE($AI$319:$AI$332))</f>
        <v>0</v>
      </c>
      <c r="AK332">
        <f>IF(COUNT($E$2:$E332)&lt;20,"",AVERAGE($E$313:$E$332))</f>
        <v>0</v>
      </c>
      <c r="AL332">
        <f>IF(COUNT($E$2:$E332)&lt;20,"",STDEVP($E$313:$E$332))</f>
        <v>0</v>
      </c>
      <c r="AM332">
        <f>IF(AK332="","",AK332+2*AL332)</f>
        <v>0</v>
      </c>
      <c r="AN332">
        <f>IF(AK332="","",AK332-2*AL332)</f>
        <v>0</v>
      </c>
      <c r="AO332">
        <f>IF(OR(AM332="",AN332="",AM332=AN332),"",($E332-AN332)/(AM332-AN332))</f>
        <v>0</v>
      </c>
      <c r="AP332">
        <f>IF(OR(AM332="",AK332="",AK332=0),"",(AM332-AN332)/AK332)</f>
        <v>0</v>
      </c>
      <c r="AQ332">
        <f>IF(COUNT($E$2:$E332)&lt;20,"",MAX($C$313:$C$332))</f>
        <v>0</v>
      </c>
      <c r="AR332">
        <f>IF(COUNT($E$2:$E332)&lt;20,"",MIN($D$313:$D$332))</f>
        <v>0</v>
      </c>
      <c r="AS332">
        <f>IF(OR(AQ332="",AR332=""),"",(AQ332+AR332)/2)</f>
        <v>0</v>
      </c>
      <c r="AT332">
        <f>IF(COUNT($G$313:$G$332)&lt;20,"",STDEV($G$313:$G$332)*SQRT(252))</f>
        <v>0</v>
      </c>
      <c r="AU332">
        <f>IF(COUNT($E$2:$E332)&lt;9,"",(MAX($C$324:$C$332)+MIN($D$324:$D$332))/2)</f>
        <v>0</v>
      </c>
      <c r="AV332">
        <f>IF(COUNT($E$2:$E332)&lt;26,"",(MAX($C$307:$C$332)+MIN($D$307:$D$332))/2)</f>
        <v>0</v>
      </c>
      <c r="AW332">
        <f>IF(OR(AU332="",AV332=""),"",(AU332+AV332)/2)</f>
        <v>0</v>
      </c>
      <c r="AX332">
        <f>IF(COUNT($E$2:$E332)&lt;52,"",(MAX($C$281:$C$332)+MIN($D$281:$D$332))/2)</f>
        <v>0</v>
      </c>
      <c r="AY332">
        <f>IF(COUNT($E$2:$E332)&lt;20,"",MAX($C$233:$C$332))</f>
        <v>0</v>
      </c>
      <c r="AZ332">
        <f>IF(COUNT($E$2:$E332)&lt;20,"",MIN($D$233:$D$332))</f>
        <v>0</v>
      </c>
      <c r="BA332">
        <f>IF(COUNT($E$2:$E332)&lt;20,"",SLOPE($E$233:$E$332,$F$233:$F$332))</f>
        <v>0</v>
      </c>
      <c r="BB332">
        <f>IF(COUNT($E$2:$E332)&lt;20,"",INTERCEPT($E$233:$E$332,$F$233:$F$332))</f>
        <v>0</v>
      </c>
      <c r="BC332">
        <f>IF(OR(BA332="",BB332=""),"",BB332+BA332*F332)</f>
        <v>0</v>
      </c>
      <c r="BD332">
        <f>IF(COUNT($E$2:$E332)&lt;20,"",STEYX($E$233:$E$332,$F$233:$F$332))</f>
        <v>0</v>
      </c>
      <c r="BE332">
        <f>IF($E332="","",IF(AND(COUNT($E$333:$E$336)&gt;=4,$C332=MAX($C$328:$C$336)),$C332,""))</f>
        <v>0</v>
      </c>
      <c r="BF332">
        <f>IF($E332="","",IF(AND(COUNT($E$333:$E$336)&gt;=4,$D332=MIN($D$328:$D$336)),$D332,""))</f>
        <v>0</v>
      </c>
      <c r="BG332">
        <f>IF($A332="","",$A332-WEEKDAY($A332,2)+1)</f>
        <v>0</v>
      </c>
      <c r="BH332">
        <f>IF($A332="","",IF($A331="",1,IF(BG332&lt;&gt;BG331,1,0)))</f>
        <v>0</v>
      </c>
      <c r="BI332">
        <f>IF($A332="","",IF($A333="",1,IF(BG333&lt;&gt;BG332,1,0)))</f>
        <v>0</v>
      </c>
      <c r="BJ332">
        <f>IF($A332="","",IF(BH332=1,$B332,BJ331))</f>
        <v>0</v>
      </c>
      <c r="BK332">
        <f>IF($A332="","",IF(BH332=1,$C332,MAX($C332,BK331)))</f>
        <v>0</v>
      </c>
      <c r="BL332">
        <f>IF($A332="","",IF(BH332=1,$D332,MIN($D332,BL331)))</f>
        <v>0</v>
      </c>
      <c r="BM332">
        <f>IF($A332="","",IF(BI332=1,F332,""))</f>
        <v>0</v>
      </c>
      <c r="BN332">
        <f>IF($A332="","",DATE(YEAR($A332),MONTH($A332),1))</f>
        <v>0</v>
      </c>
      <c r="BO332">
        <f>IF($A332="","",IF($A331="",1,IF(BN332&lt;&gt;BN331,1,0)))</f>
        <v>0</v>
      </c>
      <c r="BP332">
        <f>IF($A332="","",IF($A333="",1,IF(BN333&lt;&gt;BN332,1,0)))</f>
        <v>0</v>
      </c>
      <c r="BQ332">
        <f>IF($A332="","",IF(BO332=1,$B332,BQ331))</f>
        <v>0</v>
      </c>
      <c r="BR332">
        <f>IF($A332="","",IF(BO332=1,$C332,MAX($C332,BR331)))</f>
        <v>0</v>
      </c>
      <c r="BS332">
        <f>IF($A332="","",IF(BO332=1,$D332,MIN($D332,BS331)))</f>
        <v>0</v>
      </c>
      <c r="BT332">
        <f>IF($A332="","",IF(BP332=1,F332,""))</f>
        <v>0</v>
      </c>
    </row>
    <row r="333" spans="1:72">
      <c r="A333" s="27">
        <f>IF(Data!$A333="","",Data!$A333)</f>
        <v>0</v>
      </c>
      <c r="B333">
        <f>IF(Data!$B333="","",Data!$B333)</f>
        <v>0</v>
      </c>
      <c r="C333">
        <f>IF(Data!$C333="","",Data!$C333)</f>
        <v>0</v>
      </c>
      <c r="D333">
        <f>IF(Data!$D333="","",Data!$D333)</f>
        <v>0</v>
      </c>
      <c r="E333">
        <f>IF(Data!$E333="","",Data!$E333)</f>
        <v>0</v>
      </c>
      <c r="F333">
        <f>IF($E333="","",N(F332)+1)</f>
        <v>0</v>
      </c>
      <c r="G333">
        <f>IF(OR($E333="",$E332=""),"",LN($E333/$E332))</f>
        <v>0</v>
      </c>
      <c r="H333">
        <f>IF($E333="","",IF($E332="",$E333,$E333*0.0952380952+H332*0.9047619048))</f>
        <v>0</v>
      </c>
      <c r="I333">
        <f>IF($E333="","",IF($E332="",$E333,$E333*0.0392156863+I332*0.9607843137))</f>
        <v>0</v>
      </c>
      <c r="J333">
        <f>IF($E333="","",IF($E332="",$E333,$E333*0.0198019802+J332*0.9801980198))</f>
        <v>0</v>
      </c>
      <c r="K333">
        <f>IF($E333="","",IF($E332="",$E333,$E333*0.0099502488+K332*0.9900497512))</f>
        <v>0</v>
      </c>
      <c r="L333">
        <f>IF(OR($E333="",$E332=""),"",MAX($E333-$E332,0))</f>
        <v>0</v>
      </c>
      <c r="M333">
        <f>IF(OR($E333="",$E332=""),"",MAX($E332-$E333,0))</f>
        <v>0</v>
      </c>
      <c r="N333">
        <f>IF(COUNT($E$2:$E333)&lt;15,"",IF(AVERAGE($M$320:$M$333)=0,100,100-100/(1+AVERAGE($L$320:$L$333)/AVERAGE($M$320:$M$333))))</f>
        <v>0</v>
      </c>
      <c r="O333">
        <f>IF($E333="","",IF($E332="",$E333,$E333*0.1538461538+O332*0.8461538462))</f>
        <v>0</v>
      </c>
      <c r="P333">
        <f>IF($E333="","",IF($E332="",$E333,$E333*0.0740740741+P332*0.9259259259))</f>
        <v>0</v>
      </c>
      <c r="Q333">
        <f>IF(OR(O333="",P333=""),"",O333-P333)</f>
        <v>0</v>
      </c>
      <c r="R333">
        <f>IF(Q333="","",IF(R332="",Q333,Q333*0.2000000000+R332*0.8000000000))</f>
        <v>0</v>
      </c>
      <c r="S333">
        <f>IF(OR(Q333="",R333=""),"",Q333-R333)</f>
        <v>0</v>
      </c>
      <c r="T333">
        <f>IF(COUNT($E$2:$E333)&lt;14,"",MAX($C$320:$C$333))</f>
        <v>0</v>
      </c>
      <c r="U333">
        <f>IF(COUNT($E$2:$E333)&lt;14,"",MIN($D$320:$D$333))</f>
        <v>0</v>
      </c>
      <c r="V333">
        <f>IF(OR(T333="",U333="",T333=U333),"",100*($E333-U333)/(T333-U333))</f>
        <v>0</v>
      </c>
      <c r="W333">
        <f>IF(COUNT($V$331:$V$333)&lt;3,"",AVERAGE($V$331:$V$333))</f>
        <v>0</v>
      </c>
      <c r="X333">
        <f>IF(COUNT($N$320:$N$333)&lt;14,"",MIN($N$320:$N$333))</f>
        <v>0</v>
      </c>
      <c r="Y333">
        <f>IF(COUNT($N$320:$N$333)&lt;14,"",MAX($N$320:$N$333))</f>
        <v>0</v>
      </c>
      <c r="Z333">
        <f>IF(OR(N333="",X333="",Y333="",Y333=X333),"",100*(N333-X333)/(Y333-X333))</f>
        <v>0</v>
      </c>
      <c r="AA333">
        <f>IF(COUNT($Z$331:$Z$333)&lt;3,"",AVERAGE($Z$331:$Z$333))</f>
        <v>0</v>
      </c>
      <c r="AB333">
        <f>IF(COUNT($AA$331:$AA$333)&lt;3,"",AVERAGE($AA$331:$AA$333))</f>
        <v>0</v>
      </c>
      <c r="AC333">
        <f>IF($E333="","",MAX($C333-$D333,ABS($C333-$E332),ABS($D333-$E332)))</f>
        <v>0</v>
      </c>
      <c r="AD333">
        <f>IF(COUNT($E$2:$E333)&lt;15,"",AVERAGE($AC$320:$AC$333))</f>
        <v>0</v>
      </c>
      <c r="AE333">
        <f>IF(OR($E333="",$E332=""),"",IF(AND(($C333-$C332)&gt;($D332-$D333),($C333-$C332)&gt;0),$C333-$C332,0))</f>
        <v>0</v>
      </c>
      <c r="AF333">
        <f>IF(OR($E333="",$E332=""),"",IF(AND(($D332-$D333)&gt;($C333-$C332),($D332-$D333)&gt;0),$D332-$D333,0))</f>
        <v>0</v>
      </c>
      <c r="AG333">
        <f>IF(COUNT($E$2:$E333)&lt;15,"",IF(SUM($AC$320:$AC$333)=0,0,100*SUM($AE$320:$AE$333)/SUM($AC$320:$AC$333)))</f>
        <v>0</v>
      </c>
      <c r="AH333">
        <f>IF(COUNT($E$2:$E333)&lt;15,"",IF(SUM($AC$320:$AC$333)=0,0,100*SUM($AF$320:$AF$333)/SUM($AC$320:$AC$333)))</f>
        <v>0</v>
      </c>
      <c r="AI333">
        <f>IF(OR(AG333="",AH333=""),"",IF((AG333+AH333)=0,0,100*ABS(AG333-AH333)/(AG333+AH333)))</f>
        <v>0</v>
      </c>
      <c r="AJ333">
        <f>IF(COUNT($AI$320:$AI$333)&lt;14,"",AVERAGE($AI$320:$AI$333))</f>
        <v>0</v>
      </c>
      <c r="AK333">
        <f>IF(COUNT($E$2:$E333)&lt;20,"",AVERAGE($E$314:$E$333))</f>
        <v>0</v>
      </c>
      <c r="AL333">
        <f>IF(COUNT($E$2:$E333)&lt;20,"",STDEVP($E$314:$E$333))</f>
        <v>0</v>
      </c>
      <c r="AM333">
        <f>IF(AK333="","",AK333+2*AL333)</f>
        <v>0</v>
      </c>
      <c r="AN333">
        <f>IF(AK333="","",AK333-2*AL333)</f>
        <v>0</v>
      </c>
      <c r="AO333">
        <f>IF(OR(AM333="",AN333="",AM333=AN333),"",($E333-AN333)/(AM333-AN333))</f>
        <v>0</v>
      </c>
      <c r="AP333">
        <f>IF(OR(AM333="",AK333="",AK333=0),"",(AM333-AN333)/AK333)</f>
        <v>0</v>
      </c>
      <c r="AQ333">
        <f>IF(COUNT($E$2:$E333)&lt;20,"",MAX($C$314:$C$333))</f>
        <v>0</v>
      </c>
      <c r="AR333">
        <f>IF(COUNT($E$2:$E333)&lt;20,"",MIN($D$314:$D$333))</f>
        <v>0</v>
      </c>
      <c r="AS333">
        <f>IF(OR(AQ333="",AR333=""),"",(AQ333+AR333)/2)</f>
        <v>0</v>
      </c>
      <c r="AT333">
        <f>IF(COUNT($G$314:$G$333)&lt;20,"",STDEV($G$314:$G$333)*SQRT(252))</f>
        <v>0</v>
      </c>
      <c r="AU333">
        <f>IF(COUNT($E$2:$E333)&lt;9,"",(MAX($C$325:$C$333)+MIN($D$325:$D$333))/2)</f>
        <v>0</v>
      </c>
      <c r="AV333">
        <f>IF(COUNT($E$2:$E333)&lt;26,"",(MAX($C$308:$C$333)+MIN($D$308:$D$333))/2)</f>
        <v>0</v>
      </c>
      <c r="AW333">
        <f>IF(OR(AU333="",AV333=""),"",(AU333+AV333)/2)</f>
        <v>0</v>
      </c>
      <c r="AX333">
        <f>IF(COUNT($E$2:$E333)&lt;52,"",(MAX($C$282:$C$333)+MIN($D$282:$D$333))/2)</f>
        <v>0</v>
      </c>
      <c r="AY333">
        <f>IF(COUNT($E$2:$E333)&lt;20,"",MAX($C$234:$C$333))</f>
        <v>0</v>
      </c>
      <c r="AZ333">
        <f>IF(COUNT($E$2:$E333)&lt;20,"",MIN($D$234:$D$333))</f>
        <v>0</v>
      </c>
      <c r="BA333">
        <f>IF(COUNT($E$2:$E333)&lt;20,"",SLOPE($E$234:$E$333,$F$234:$F$333))</f>
        <v>0</v>
      </c>
      <c r="BB333">
        <f>IF(COUNT($E$2:$E333)&lt;20,"",INTERCEPT($E$234:$E$333,$F$234:$F$333))</f>
        <v>0</v>
      </c>
      <c r="BC333">
        <f>IF(OR(BA333="",BB333=""),"",BB333+BA333*F333)</f>
        <v>0</v>
      </c>
      <c r="BD333">
        <f>IF(COUNT($E$2:$E333)&lt;20,"",STEYX($E$234:$E$333,$F$234:$F$333))</f>
        <v>0</v>
      </c>
      <c r="BE333">
        <f>IF($E333="","",IF(AND(COUNT($E$334:$E$337)&gt;=4,$C333=MAX($C$329:$C$337)),$C333,""))</f>
        <v>0</v>
      </c>
      <c r="BF333">
        <f>IF($E333="","",IF(AND(COUNT($E$334:$E$337)&gt;=4,$D333=MIN($D$329:$D$337)),$D333,""))</f>
        <v>0</v>
      </c>
      <c r="BG333">
        <f>IF($A333="","",$A333-WEEKDAY($A333,2)+1)</f>
        <v>0</v>
      </c>
      <c r="BH333">
        <f>IF($A333="","",IF($A332="",1,IF(BG333&lt;&gt;BG332,1,0)))</f>
        <v>0</v>
      </c>
      <c r="BI333">
        <f>IF($A333="","",IF($A334="",1,IF(BG334&lt;&gt;BG333,1,0)))</f>
        <v>0</v>
      </c>
      <c r="BJ333">
        <f>IF($A333="","",IF(BH333=1,$B333,BJ332))</f>
        <v>0</v>
      </c>
      <c r="BK333">
        <f>IF($A333="","",IF(BH333=1,$C333,MAX($C333,BK332)))</f>
        <v>0</v>
      </c>
      <c r="BL333">
        <f>IF($A333="","",IF(BH333=1,$D333,MIN($D333,BL332)))</f>
        <v>0</v>
      </c>
      <c r="BM333">
        <f>IF($A333="","",IF(BI333=1,F333,""))</f>
        <v>0</v>
      </c>
      <c r="BN333">
        <f>IF($A333="","",DATE(YEAR($A333),MONTH($A333),1))</f>
        <v>0</v>
      </c>
      <c r="BO333">
        <f>IF($A333="","",IF($A332="",1,IF(BN333&lt;&gt;BN332,1,0)))</f>
        <v>0</v>
      </c>
      <c r="BP333">
        <f>IF($A333="","",IF($A334="",1,IF(BN334&lt;&gt;BN333,1,0)))</f>
        <v>0</v>
      </c>
      <c r="BQ333">
        <f>IF($A333="","",IF(BO333=1,$B333,BQ332))</f>
        <v>0</v>
      </c>
      <c r="BR333">
        <f>IF($A333="","",IF(BO333=1,$C333,MAX($C333,BR332)))</f>
        <v>0</v>
      </c>
      <c r="BS333">
        <f>IF($A333="","",IF(BO333=1,$D333,MIN($D333,BS332)))</f>
        <v>0</v>
      </c>
      <c r="BT333">
        <f>IF($A333="","",IF(BP333=1,F333,""))</f>
        <v>0</v>
      </c>
    </row>
    <row r="334" spans="1:72">
      <c r="A334" s="27">
        <f>IF(Data!$A334="","",Data!$A334)</f>
        <v>0</v>
      </c>
      <c r="B334">
        <f>IF(Data!$B334="","",Data!$B334)</f>
        <v>0</v>
      </c>
      <c r="C334">
        <f>IF(Data!$C334="","",Data!$C334)</f>
        <v>0</v>
      </c>
      <c r="D334">
        <f>IF(Data!$D334="","",Data!$D334)</f>
        <v>0</v>
      </c>
      <c r="E334">
        <f>IF(Data!$E334="","",Data!$E334)</f>
        <v>0</v>
      </c>
      <c r="F334">
        <f>IF($E334="","",N(F333)+1)</f>
        <v>0</v>
      </c>
      <c r="G334">
        <f>IF(OR($E334="",$E333=""),"",LN($E334/$E333))</f>
        <v>0</v>
      </c>
      <c r="H334">
        <f>IF($E334="","",IF($E333="",$E334,$E334*0.0952380952+H333*0.9047619048))</f>
        <v>0</v>
      </c>
      <c r="I334">
        <f>IF($E334="","",IF($E333="",$E334,$E334*0.0392156863+I333*0.9607843137))</f>
        <v>0</v>
      </c>
      <c r="J334">
        <f>IF($E334="","",IF($E333="",$E334,$E334*0.0198019802+J333*0.9801980198))</f>
        <v>0</v>
      </c>
      <c r="K334">
        <f>IF($E334="","",IF($E333="",$E334,$E334*0.0099502488+K333*0.9900497512))</f>
        <v>0</v>
      </c>
      <c r="L334">
        <f>IF(OR($E334="",$E333=""),"",MAX($E334-$E333,0))</f>
        <v>0</v>
      </c>
      <c r="M334">
        <f>IF(OR($E334="",$E333=""),"",MAX($E333-$E334,0))</f>
        <v>0</v>
      </c>
      <c r="N334">
        <f>IF(COUNT($E$2:$E334)&lt;15,"",IF(AVERAGE($M$321:$M$334)=0,100,100-100/(1+AVERAGE($L$321:$L$334)/AVERAGE($M$321:$M$334))))</f>
        <v>0</v>
      </c>
      <c r="O334">
        <f>IF($E334="","",IF($E333="",$E334,$E334*0.1538461538+O333*0.8461538462))</f>
        <v>0</v>
      </c>
      <c r="P334">
        <f>IF($E334="","",IF($E333="",$E334,$E334*0.0740740741+P333*0.9259259259))</f>
        <v>0</v>
      </c>
      <c r="Q334">
        <f>IF(OR(O334="",P334=""),"",O334-P334)</f>
        <v>0</v>
      </c>
      <c r="R334">
        <f>IF(Q334="","",IF(R333="",Q334,Q334*0.2000000000+R333*0.8000000000))</f>
        <v>0</v>
      </c>
      <c r="S334">
        <f>IF(OR(Q334="",R334=""),"",Q334-R334)</f>
        <v>0</v>
      </c>
      <c r="T334">
        <f>IF(COUNT($E$2:$E334)&lt;14,"",MAX($C$321:$C$334))</f>
        <v>0</v>
      </c>
      <c r="U334">
        <f>IF(COUNT($E$2:$E334)&lt;14,"",MIN($D$321:$D$334))</f>
        <v>0</v>
      </c>
      <c r="V334">
        <f>IF(OR(T334="",U334="",T334=U334),"",100*($E334-U334)/(T334-U334))</f>
        <v>0</v>
      </c>
      <c r="W334">
        <f>IF(COUNT($V$332:$V$334)&lt;3,"",AVERAGE($V$332:$V$334))</f>
        <v>0</v>
      </c>
      <c r="X334">
        <f>IF(COUNT($N$321:$N$334)&lt;14,"",MIN($N$321:$N$334))</f>
        <v>0</v>
      </c>
      <c r="Y334">
        <f>IF(COUNT($N$321:$N$334)&lt;14,"",MAX($N$321:$N$334))</f>
        <v>0</v>
      </c>
      <c r="Z334">
        <f>IF(OR(N334="",X334="",Y334="",Y334=X334),"",100*(N334-X334)/(Y334-X334))</f>
        <v>0</v>
      </c>
      <c r="AA334">
        <f>IF(COUNT($Z$332:$Z$334)&lt;3,"",AVERAGE($Z$332:$Z$334))</f>
        <v>0</v>
      </c>
      <c r="AB334">
        <f>IF(COUNT($AA$332:$AA$334)&lt;3,"",AVERAGE($AA$332:$AA$334))</f>
        <v>0</v>
      </c>
      <c r="AC334">
        <f>IF($E334="","",MAX($C334-$D334,ABS($C334-$E333),ABS($D334-$E333)))</f>
        <v>0</v>
      </c>
      <c r="AD334">
        <f>IF(COUNT($E$2:$E334)&lt;15,"",AVERAGE($AC$321:$AC$334))</f>
        <v>0</v>
      </c>
      <c r="AE334">
        <f>IF(OR($E334="",$E333=""),"",IF(AND(($C334-$C333)&gt;($D333-$D334),($C334-$C333)&gt;0),$C334-$C333,0))</f>
        <v>0</v>
      </c>
      <c r="AF334">
        <f>IF(OR($E334="",$E333=""),"",IF(AND(($D333-$D334)&gt;($C334-$C333),($D333-$D334)&gt;0),$D333-$D334,0))</f>
        <v>0</v>
      </c>
      <c r="AG334">
        <f>IF(COUNT($E$2:$E334)&lt;15,"",IF(SUM($AC$321:$AC$334)=0,0,100*SUM($AE$321:$AE$334)/SUM($AC$321:$AC$334)))</f>
        <v>0</v>
      </c>
      <c r="AH334">
        <f>IF(COUNT($E$2:$E334)&lt;15,"",IF(SUM($AC$321:$AC$334)=0,0,100*SUM($AF$321:$AF$334)/SUM($AC$321:$AC$334)))</f>
        <v>0</v>
      </c>
      <c r="AI334">
        <f>IF(OR(AG334="",AH334=""),"",IF((AG334+AH334)=0,0,100*ABS(AG334-AH334)/(AG334+AH334)))</f>
        <v>0</v>
      </c>
      <c r="AJ334">
        <f>IF(COUNT($AI$321:$AI$334)&lt;14,"",AVERAGE($AI$321:$AI$334))</f>
        <v>0</v>
      </c>
      <c r="AK334">
        <f>IF(COUNT($E$2:$E334)&lt;20,"",AVERAGE($E$315:$E$334))</f>
        <v>0</v>
      </c>
      <c r="AL334">
        <f>IF(COUNT($E$2:$E334)&lt;20,"",STDEVP($E$315:$E$334))</f>
        <v>0</v>
      </c>
      <c r="AM334">
        <f>IF(AK334="","",AK334+2*AL334)</f>
        <v>0</v>
      </c>
      <c r="AN334">
        <f>IF(AK334="","",AK334-2*AL334)</f>
        <v>0</v>
      </c>
      <c r="AO334">
        <f>IF(OR(AM334="",AN334="",AM334=AN334),"",($E334-AN334)/(AM334-AN334))</f>
        <v>0</v>
      </c>
      <c r="AP334">
        <f>IF(OR(AM334="",AK334="",AK334=0),"",(AM334-AN334)/AK334)</f>
        <v>0</v>
      </c>
      <c r="AQ334">
        <f>IF(COUNT($E$2:$E334)&lt;20,"",MAX($C$315:$C$334))</f>
        <v>0</v>
      </c>
      <c r="AR334">
        <f>IF(COUNT($E$2:$E334)&lt;20,"",MIN($D$315:$D$334))</f>
        <v>0</v>
      </c>
      <c r="AS334">
        <f>IF(OR(AQ334="",AR334=""),"",(AQ334+AR334)/2)</f>
        <v>0</v>
      </c>
      <c r="AT334">
        <f>IF(COUNT($G$315:$G$334)&lt;20,"",STDEV($G$315:$G$334)*SQRT(252))</f>
        <v>0</v>
      </c>
      <c r="AU334">
        <f>IF(COUNT($E$2:$E334)&lt;9,"",(MAX($C$326:$C$334)+MIN($D$326:$D$334))/2)</f>
        <v>0</v>
      </c>
      <c r="AV334">
        <f>IF(COUNT($E$2:$E334)&lt;26,"",(MAX($C$309:$C$334)+MIN($D$309:$D$334))/2)</f>
        <v>0</v>
      </c>
      <c r="AW334">
        <f>IF(OR(AU334="",AV334=""),"",(AU334+AV334)/2)</f>
        <v>0</v>
      </c>
      <c r="AX334">
        <f>IF(COUNT($E$2:$E334)&lt;52,"",(MAX($C$283:$C$334)+MIN($D$283:$D$334))/2)</f>
        <v>0</v>
      </c>
      <c r="AY334">
        <f>IF(COUNT($E$2:$E334)&lt;20,"",MAX($C$235:$C$334))</f>
        <v>0</v>
      </c>
      <c r="AZ334">
        <f>IF(COUNT($E$2:$E334)&lt;20,"",MIN($D$235:$D$334))</f>
        <v>0</v>
      </c>
      <c r="BA334">
        <f>IF(COUNT($E$2:$E334)&lt;20,"",SLOPE($E$235:$E$334,$F$235:$F$334))</f>
        <v>0</v>
      </c>
      <c r="BB334">
        <f>IF(COUNT($E$2:$E334)&lt;20,"",INTERCEPT($E$235:$E$334,$F$235:$F$334))</f>
        <v>0</v>
      </c>
      <c r="BC334">
        <f>IF(OR(BA334="",BB334=""),"",BB334+BA334*F334)</f>
        <v>0</v>
      </c>
      <c r="BD334">
        <f>IF(COUNT($E$2:$E334)&lt;20,"",STEYX($E$235:$E$334,$F$235:$F$334))</f>
        <v>0</v>
      </c>
      <c r="BE334">
        <f>IF($E334="","",IF(AND(COUNT($E$335:$E$338)&gt;=4,$C334=MAX($C$330:$C$338)),$C334,""))</f>
        <v>0</v>
      </c>
      <c r="BF334">
        <f>IF($E334="","",IF(AND(COUNT($E$335:$E$338)&gt;=4,$D334=MIN($D$330:$D$338)),$D334,""))</f>
        <v>0</v>
      </c>
      <c r="BG334">
        <f>IF($A334="","",$A334-WEEKDAY($A334,2)+1)</f>
        <v>0</v>
      </c>
      <c r="BH334">
        <f>IF($A334="","",IF($A333="",1,IF(BG334&lt;&gt;BG333,1,0)))</f>
        <v>0</v>
      </c>
      <c r="BI334">
        <f>IF($A334="","",IF($A335="",1,IF(BG335&lt;&gt;BG334,1,0)))</f>
        <v>0</v>
      </c>
      <c r="BJ334">
        <f>IF($A334="","",IF(BH334=1,$B334,BJ333))</f>
        <v>0</v>
      </c>
      <c r="BK334">
        <f>IF($A334="","",IF(BH334=1,$C334,MAX($C334,BK333)))</f>
        <v>0</v>
      </c>
      <c r="BL334">
        <f>IF($A334="","",IF(BH334=1,$D334,MIN($D334,BL333)))</f>
        <v>0</v>
      </c>
      <c r="BM334">
        <f>IF($A334="","",IF(BI334=1,F334,""))</f>
        <v>0</v>
      </c>
      <c r="BN334">
        <f>IF($A334="","",DATE(YEAR($A334),MONTH($A334),1))</f>
        <v>0</v>
      </c>
      <c r="BO334">
        <f>IF($A334="","",IF($A333="",1,IF(BN334&lt;&gt;BN333,1,0)))</f>
        <v>0</v>
      </c>
      <c r="BP334">
        <f>IF($A334="","",IF($A335="",1,IF(BN335&lt;&gt;BN334,1,0)))</f>
        <v>0</v>
      </c>
      <c r="BQ334">
        <f>IF($A334="","",IF(BO334=1,$B334,BQ333))</f>
        <v>0</v>
      </c>
      <c r="BR334">
        <f>IF($A334="","",IF(BO334=1,$C334,MAX($C334,BR333)))</f>
        <v>0</v>
      </c>
      <c r="BS334">
        <f>IF($A334="","",IF(BO334=1,$D334,MIN($D334,BS333)))</f>
        <v>0</v>
      </c>
      <c r="BT334">
        <f>IF($A334="","",IF(BP334=1,F334,""))</f>
        <v>0</v>
      </c>
    </row>
    <row r="335" spans="1:72">
      <c r="A335" s="27">
        <f>IF(Data!$A335="","",Data!$A335)</f>
        <v>0</v>
      </c>
      <c r="B335">
        <f>IF(Data!$B335="","",Data!$B335)</f>
        <v>0</v>
      </c>
      <c r="C335">
        <f>IF(Data!$C335="","",Data!$C335)</f>
        <v>0</v>
      </c>
      <c r="D335">
        <f>IF(Data!$D335="","",Data!$D335)</f>
        <v>0</v>
      </c>
      <c r="E335">
        <f>IF(Data!$E335="","",Data!$E335)</f>
        <v>0</v>
      </c>
      <c r="F335">
        <f>IF($E335="","",N(F334)+1)</f>
        <v>0</v>
      </c>
      <c r="G335">
        <f>IF(OR($E335="",$E334=""),"",LN($E335/$E334))</f>
        <v>0</v>
      </c>
      <c r="H335">
        <f>IF($E335="","",IF($E334="",$E335,$E335*0.0952380952+H334*0.9047619048))</f>
        <v>0</v>
      </c>
      <c r="I335">
        <f>IF($E335="","",IF($E334="",$E335,$E335*0.0392156863+I334*0.9607843137))</f>
        <v>0</v>
      </c>
      <c r="J335">
        <f>IF($E335="","",IF($E334="",$E335,$E335*0.0198019802+J334*0.9801980198))</f>
        <v>0</v>
      </c>
      <c r="K335">
        <f>IF($E335="","",IF($E334="",$E335,$E335*0.0099502488+K334*0.9900497512))</f>
        <v>0</v>
      </c>
      <c r="L335">
        <f>IF(OR($E335="",$E334=""),"",MAX($E335-$E334,0))</f>
        <v>0</v>
      </c>
      <c r="M335">
        <f>IF(OR($E335="",$E334=""),"",MAX($E334-$E335,0))</f>
        <v>0</v>
      </c>
      <c r="N335">
        <f>IF(COUNT($E$2:$E335)&lt;15,"",IF(AVERAGE($M$322:$M$335)=0,100,100-100/(1+AVERAGE($L$322:$L$335)/AVERAGE($M$322:$M$335))))</f>
        <v>0</v>
      </c>
      <c r="O335">
        <f>IF($E335="","",IF($E334="",$E335,$E335*0.1538461538+O334*0.8461538462))</f>
        <v>0</v>
      </c>
      <c r="P335">
        <f>IF($E335="","",IF($E334="",$E335,$E335*0.0740740741+P334*0.9259259259))</f>
        <v>0</v>
      </c>
      <c r="Q335">
        <f>IF(OR(O335="",P335=""),"",O335-P335)</f>
        <v>0</v>
      </c>
      <c r="R335">
        <f>IF(Q335="","",IF(R334="",Q335,Q335*0.2000000000+R334*0.8000000000))</f>
        <v>0</v>
      </c>
      <c r="S335">
        <f>IF(OR(Q335="",R335=""),"",Q335-R335)</f>
        <v>0</v>
      </c>
      <c r="T335">
        <f>IF(COUNT($E$2:$E335)&lt;14,"",MAX($C$322:$C$335))</f>
        <v>0</v>
      </c>
      <c r="U335">
        <f>IF(COUNT($E$2:$E335)&lt;14,"",MIN($D$322:$D$335))</f>
        <v>0</v>
      </c>
      <c r="V335">
        <f>IF(OR(T335="",U335="",T335=U335),"",100*($E335-U335)/(T335-U335))</f>
        <v>0</v>
      </c>
      <c r="W335">
        <f>IF(COUNT($V$333:$V$335)&lt;3,"",AVERAGE($V$333:$V$335))</f>
        <v>0</v>
      </c>
      <c r="X335">
        <f>IF(COUNT($N$322:$N$335)&lt;14,"",MIN($N$322:$N$335))</f>
        <v>0</v>
      </c>
      <c r="Y335">
        <f>IF(COUNT($N$322:$N$335)&lt;14,"",MAX($N$322:$N$335))</f>
        <v>0</v>
      </c>
      <c r="Z335">
        <f>IF(OR(N335="",X335="",Y335="",Y335=X335),"",100*(N335-X335)/(Y335-X335))</f>
        <v>0</v>
      </c>
      <c r="AA335">
        <f>IF(COUNT($Z$333:$Z$335)&lt;3,"",AVERAGE($Z$333:$Z$335))</f>
        <v>0</v>
      </c>
      <c r="AB335">
        <f>IF(COUNT($AA$333:$AA$335)&lt;3,"",AVERAGE($AA$333:$AA$335))</f>
        <v>0</v>
      </c>
      <c r="AC335">
        <f>IF($E335="","",MAX($C335-$D335,ABS($C335-$E334),ABS($D335-$E334)))</f>
        <v>0</v>
      </c>
      <c r="AD335">
        <f>IF(COUNT($E$2:$E335)&lt;15,"",AVERAGE($AC$322:$AC$335))</f>
        <v>0</v>
      </c>
      <c r="AE335">
        <f>IF(OR($E335="",$E334=""),"",IF(AND(($C335-$C334)&gt;($D334-$D335),($C335-$C334)&gt;0),$C335-$C334,0))</f>
        <v>0</v>
      </c>
      <c r="AF335">
        <f>IF(OR($E335="",$E334=""),"",IF(AND(($D334-$D335)&gt;($C335-$C334),($D334-$D335)&gt;0),$D334-$D335,0))</f>
        <v>0</v>
      </c>
      <c r="AG335">
        <f>IF(COUNT($E$2:$E335)&lt;15,"",IF(SUM($AC$322:$AC$335)=0,0,100*SUM($AE$322:$AE$335)/SUM($AC$322:$AC$335)))</f>
        <v>0</v>
      </c>
      <c r="AH335">
        <f>IF(COUNT($E$2:$E335)&lt;15,"",IF(SUM($AC$322:$AC$335)=0,0,100*SUM($AF$322:$AF$335)/SUM($AC$322:$AC$335)))</f>
        <v>0</v>
      </c>
      <c r="AI335">
        <f>IF(OR(AG335="",AH335=""),"",IF((AG335+AH335)=0,0,100*ABS(AG335-AH335)/(AG335+AH335)))</f>
        <v>0</v>
      </c>
      <c r="AJ335">
        <f>IF(COUNT($AI$322:$AI$335)&lt;14,"",AVERAGE($AI$322:$AI$335))</f>
        <v>0</v>
      </c>
      <c r="AK335">
        <f>IF(COUNT($E$2:$E335)&lt;20,"",AVERAGE($E$316:$E$335))</f>
        <v>0</v>
      </c>
      <c r="AL335">
        <f>IF(COUNT($E$2:$E335)&lt;20,"",STDEVP($E$316:$E$335))</f>
        <v>0</v>
      </c>
      <c r="AM335">
        <f>IF(AK335="","",AK335+2*AL335)</f>
        <v>0</v>
      </c>
      <c r="AN335">
        <f>IF(AK335="","",AK335-2*AL335)</f>
        <v>0</v>
      </c>
      <c r="AO335">
        <f>IF(OR(AM335="",AN335="",AM335=AN335),"",($E335-AN335)/(AM335-AN335))</f>
        <v>0</v>
      </c>
      <c r="AP335">
        <f>IF(OR(AM335="",AK335="",AK335=0),"",(AM335-AN335)/AK335)</f>
        <v>0</v>
      </c>
      <c r="AQ335">
        <f>IF(COUNT($E$2:$E335)&lt;20,"",MAX($C$316:$C$335))</f>
        <v>0</v>
      </c>
      <c r="AR335">
        <f>IF(COUNT($E$2:$E335)&lt;20,"",MIN($D$316:$D$335))</f>
        <v>0</v>
      </c>
      <c r="AS335">
        <f>IF(OR(AQ335="",AR335=""),"",(AQ335+AR335)/2)</f>
        <v>0</v>
      </c>
      <c r="AT335">
        <f>IF(COUNT($G$316:$G$335)&lt;20,"",STDEV($G$316:$G$335)*SQRT(252))</f>
        <v>0</v>
      </c>
      <c r="AU335">
        <f>IF(COUNT($E$2:$E335)&lt;9,"",(MAX($C$327:$C$335)+MIN($D$327:$D$335))/2)</f>
        <v>0</v>
      </c>
      <c r="AV335">
        <f>IF(COUNT($E$2:$E335)&lt;26,"",(MAX($C$310:$C$335)+MIN($D$310:$D$335))/2)</f>
        <v>0</v>
      </c>
      <c r="AW335">
        <f>IF(OR(AU335="",AV335=""),"",(AU335+AV335)/2)</f>
        <v>0</v>
      </c>
      <c r="AX335">
        <f>IF(COUNT($E$2:$E335)&lt;52,"",(MAX($C$284:$C$335)+MIN($D$284:$D$335))/2)</f>
        <v>0</v>
      </c>
      <c r="AY335">
        <f>IF(COUNT($E$2:$E335)&lt;20,"",MAX($C$236:$C$335))</f>
        <v>0</v>
      </c>
      <c r="AZ335">
        <f>IF(COUNT($E$2:$E335)&lt;20,"",MIN($D$236:$D$335))</f>
        <v>0</v>
      </c>
      <c r="BA335">
        <f>IF(COUNT($E$2:$E335)&lt;20,"",SLOPE($E$236:$E$335,$F$236:$F$335))</f>
        <v>0</v>
      </c>
      <c r="BB335">
        <f>IF(COUNT($E$2:$E335)&lt;20,"",INTERCEPT($E$236:$E$335,$F$236:$F$335))</f>
        <v>0</v>
      </c>
      <c r="BC335">
        <f>IF(OR(BA335="",BB335=""),"",BB335+BA335*F335)</f>
        <v>0</v>
      </c>
      <c r="BD335">
        <f>IF(COUNT($E$2:$E335)&lt;20,"",STEYX($E$236:$E$335,$F$236:$F$335))</f>
        <v>0</v>
      </c>
      <c r="BE335">
        <f>IF($E335="","",IF(AND(COUNT($E$336:$E$339)&gt;=4,$C335=MAX($C$331:$C$339)),$C335,""))</f>
        <v>0</v>
      </c>
      <c r="BF335">
        <f>IF($E335="","",IF(AND(COUNT($E$336:$E$339)&gt;=4,$D335=MIN($D$331:$D$339)),$D335,""))</f>
        <v>0</v>
      </c>
      <c r="BG335">
        <f>IF($A335="","",$A335-WEEKDAY($A335,2)+1)</f>
        <v>0</v>
      </c>
      <c r="BH335">
        <f>IF($A335="","",IF($A334="",1,IF(BG335&lt;&gt;BG334,1,0)))</f>
        <v>0</v>
      </c>
      <c r="BI335">
        <f>IF($A335="","",IF($A336="",1,IF(BG336&lt;&gt;BG335,1,0)))</f>
        <v>0</v>
      </c>
      <c r="BJ335">
        <f>IF($A335="","",IF(BH335=1,$B335,BJ334))</f>
        <v>0</v>
      </c>
      <c r="BK335">
        <f>IF($A335="","",IF(BH335=1,$C335,MAX($C335,BK334)))</f>
        <v>0</v>
      </c>
      <c r="BL335">
        <f>IF($A335="","",IF(BH335=1,$D335,MIN($D335,BL334)))</f>
        <v>0</v>
      </c>
      <c r="BM335">
        <f>IF($A335="","",IF(BI335=1,F335,""))</f>
        <v>0</v>
      </c>
      <c r="BN335">
        <f>IF($A335="","",DATE(YEAR($A335),MONTH($A335),1))</f>
        <v>0</v>
      </c>
      <c r="BO335">
        <f>IF($A335="","",IF($A334="",1,IF(BN335&lt;&gt;BN334,1,0)))</f>
        <v>0</v>
      </c>
      <c r="BP335">
        <f>IF($A335="","",IF($A336="",1,IF(BN336&lt;&gt;BN335,1,0)))</f>
        <v>0</v>
      </c>
      <c r="BQ335">
        <f>IF($A335="","",IF(BO335=1,$B335,BQ334))</f>
        <v>0</v>
      </c>
      <c r="BR335">
        <f>IF($A335="","",IF(BO335=1,$C335,MAX($C335,BR334)))</f>
        <v>0</v>
      </c>
      <c r="BS335">
        <f>IF($A335="","",IF(BO335=1,$D335,MIN($D335,BS334)))</f>
        <v>0</v>
      </c>
      <c r="BT335">
        <f>IF($A335="","",IF(BP335=1,F335,""))</f>
        <v>0</v>
      </c>
    </row>
    <row r="336" spans="1:72">
      <c r="A336" s="27">
        <f>IF(Data!$A336="","",Data!$A336)</f>
        <v>0</v>
      </c>
      <c r="B336">
        <f>IF(Data!$B336="","",Data!$B336)</f>
        <v>0</v>
      </c>
      <c r="C336">
        <f>IF(Data!$C336="","",Data!$C336)</f>
        <v>0</v>
      </c>
      <c r="D336">
        <f>IF(Data!$D336="","",Data!$D336)</f>
        <v>0</v>
      </c>
      <c r="E336">
        <f>IF(Data!$E336="","",Data!$E336)</f>
        <v>0</v>
      </c>
      <c r="F336">
        <f>IF($E336="","",N(F335)+1)</f>
        <v>0</v>
      </c>
      <c r="G336">
        <f>IF(OR($E336="",$E335=""),"",LN($E336/$E335))</f>
        <v>0</v>
      </c>
      <c r="H336">
        <f>IF($E336="","",IF($E335="",$E336,$E336*0.0952380952+H335*0.9047619048))</f>
        <v>0</v>
      </c>
      <c r="I336">
        <f>IF($E336="","",IF($E335="",$E336,$E336*0.0392156863+I335*0.9607843137))</f>
        <v>0</v>
      </c>
      <c r="J336">
        <f>IF($E336="","",IF($E335="",$E336,$E336*0.0198019802+J335*0.9801980198))</f>
        <v>0</v>
      </c>
      <c r="K336">
        <f>IF($E336="","",IF($E335="",$E336,$E336*0.0099502488+K335*0.9900497512))</f>
        <v>0</v>
      </c>
      <c r="L336">
        <f>IF(OR($E336="",$E335=""),"",MAX($E336-$E335,0))</f>
        <v>0</v>
      </c>
      <c r="M336">
        <f>IF(OR($E336="",$E335=""),"",MAX($E335-$E336,0))</f>
        <v>0</v>
      </c>
      <c r="N336">
        <f>IF(COUNT($E$2:$E336)&lt;15,"",IF(AVERAGE($M$323:$M$336)=0,100,100-100/(1+AVERAGE($L$323:$L$336)/AVERAGE($M$323:$M$336))))</f>
        <v>0</v>
      </c>
      <c r="O336">
        <f>IF($E336="","",IF($E335="",$E336,$E336*0.1538461538+O335*0.8461538462))</f>
        <v>0</v>
      </c>
      <c r="P336">
        <f>IF($E336="","",IF($E335="",$E336,$E336*0.0740740741+P335*0.9259259259))</f>
        <v>0</v>
      </c>
      <c r="Q336">
        <f>IF(OR(O336="",P336=""),"",O336-P336)</f>
        <v>0</v>
      </c>
      <c r="R336">
        <f>IF(Q336="","",IF(R335="",Q336,Q336*0.2000000000+R335*0.8000000000))</f>
        <v>0</v>
      </c>
      <c r="S336">
        <f>IF(OR(Q336="",R336=""),"",Q336-R336)</f>
        <v>0</v>
      </c>
      <c r="T336">
        <f>IF(COUNT($E$2:$E336)&lt;14,"",MAX($C$323:$C$336))</f>
        <v>0</v>
      </c>
      <c r="U336">
        <f>IF(COUNT($E$2:$E336)&lt;14,"",MIN($D$323:$D$336))</f>
        <v>0</v>
      </c>
      <c r="V336">
        <f>IF(OR(T336="",U336="",T336=U336),"",100*($E336-U336)/(T336-U336))</f>
        <v>0</v>
      </c>
      <c r="W336">
        <f>IF(COUNT($V$334:$V$336)&lt;3,"",AVERAGE($V$334:$V$336))</f>
        <v>0</v>
      </c>
      <c r="X336">
        <f>IF(COUNT($N$323:$N$336)&lt;14,"",MIN($N$323:$N$336))</f>
        <v>0</v>
      </c>
      <c r="Y336">
        <f>IF(COUNT($N$323:$N$336)&lt;14,"",MAX($N$323:$N$336))</f>
        <v>0</v>
      </c>
      <c r="Z336">
        <f>IF(OR(N336="",X336="",Y336="",Y336=X336),"",100*(N336-X336)/(Y336-X336))</f>
        <v>0</v>
      </c>
      <c r="AA336">
        <f>IF(COUNT($Z$334:$Z$336)&lt;3,"",AVERAGE($Z$334:$Z$336))</f>
        <v>0</v>
      </c>
      <c r="AB336">
        <f>IF(COUNT($AA$334:$AA$336)&lt;3,"",AVERAGE($AA$334:$AA$336))</f>
        <v>0</v>
      </c>
      <c r="AC336">
        <f>IF($E336="","",MAX($C336-$D336,ABS($C336-$E335),ABS($D336-$E335)))</f>
        <v>0</v>
      </c>
      <c r="AD336">
        <f>IF(COUNT($E$2:$E336)&lt;15,"",AVERAGE($AC$323:$AC$336))</f>
        <v>0</v>
      </c>
      <c r="AE336">
        <f>IF(OR($E336="",$E335=""),"",IF(AND(($C336-$C335)&gt;($D335-$D336),($C336-$C335)&gt;0),$C336-$C335,0))</f>
        <v>0</v>
      </c>
      <c r="AF336">
        <f>IF(OR($E336="",$E335=""),"",IF(AND(($D335-$D336)&gt;($C336-$C335),($D335-$D336)&gt;0),$D335-$D336,0))</f>
        <v>0</v>
      </c>
      <c r="AG336">
        <f>IF(COUNT($E$2:$E336)&lt;15,"",IF(SUM($AC$323:$AC$336)=0,0,100*SUM($AE$323:$AE$336)/SUM($AC$323:$AC$336)))</f>
        <v>0</v>
      </c>
      <c r="AH336">
        <f>IF(COUNT($E$2:$E336)&lt;15,"",IF(SUM($AC$323:$AC$336)=0,0,100*SUM($AF$323:$AF$336)/SUM($AC$323:$AC$336)))</f>
        <v>0</v>
      </c>
      <c r="AI336">
        <f>IF(OR(AG336="",AH336=""),"",IF((AG336+AH336)=0,0,100*ABS(AG336-AH336)/(AG336+AH336)))</f>
        <v>0</v>
      </c>
      <c r="AJ336">
        <f>IF(COUNT($AI$323:$AI$336)&lt;14,"",AVERAGE($AI$323:$AI$336))</f>
        <v>0</v>
      </c>
      <c r="AK336">
        <f>IF(COUNT($E$2:$E336)&lt;20,"",AVERAGE($E$317:$E$336))</f>
        <v>0</v>
      </c>
      <c r="AL336">
        <f>IF(COUNT($E$2:$E336)&lt;20,"",STDEVP($E$317:$E$336))</f>
        <v>0</v>
      </c>
      <c r="AM336">
        <f>IF(AK336="","",AK336+2*AL336)</f>
        <v>0</v>
      </c>
      <c r="AN336">
        <f>IF(AK336="","",AK336-2*AL336)</f>
        <v>0</v>
      </c>
      <c r="AO336">
        <f>IF(OR(AM336="",AN336="",AM336=AN336),"",($E336-AN336)/(AM336-AN336))</f>
        <v>0</v>
      </c>
      <c r="AP336">
        <f>IF(OR(AM336="",AK336="",AK336=0),"",(AM336-AN336)/AK336)</f>
        <v>0</v>
      </c>
      <c r="AQ336">
        <f>IF(COUNT($E$2:$E336)&lt;20,"",MAX($C$317:$C$336))</f>
        <v>0</v>
      </c>
      <c r="AR336">
        <f>IF(COUNT($E$2:$E336)&lt;20,"",MIN($D$317:$D$336))</f>
        <v>0</v>
      </c>
      <c r="AS336">
        <f>IF(OR(AQ336="",AR336=""),"",(AQ336+AR336)/2)</f>
        <v>0</v>
      </c>
      <c r="AT336">
        <f>IF(COUNT($G$317:$G$336)&lt;20,"",STDEV($G$317:$G$336)*SQRT(252))</f>
        <v>0</v>
      </c>
      <c r="AU336">
        <f>IF(COUNT($E$2:$E336)&lt;9,"",(MAX($C$328:$C$336)+MIN($D$328:$D$336))/2)</f>
        <v>0</v>
      </c>
      <c r="AV336">
        <f>IF(COUNT($E$2:$E336)&lt;26,"",(MAX($C$311:$C$336)+MIN($D$311:$D$336))/2)</f>
        <v>0</v>
      </c>
      <c r="AW336">
        <f>IF(OR(AU336="",AV336=""),"",(AU336+AV336)/2)</f>
        <v>0</v>
      </c>
      <c r="AX336">
        <f>IF(COUNT($E$2:$E336)&lt;52,"",(MAX($C$285:$C$336)+MIN($D$285:$D$336))/2)</f>
        <v>0</v>
      </c>
      <c r="AY336">
        <f>IF(COUNT($E$2:$E336)&lt;20,"",MAX($C$237:$C$336))</f>
        <v>0</v>
      </c>
      <c r="AZ336">
        <f>IF(COUNT($E$2:$E336)&lt;20,"",MIN($D$237:$D$336))</f>
        <v>0</v>
      </c>
      <c r="BA336">
        <f>IF(COUNT($E$2:$E336)&lt;20,"",SLOPE($E$237:$E$336,$F$237:$F$336))</f>
        <v>0</v>
      </c>
      <c r="BB336">
        <f>IF(COUNT($E$2:$E336)&lt;20,"",INTERCEPT($E$237:$E$336,$F$237:$F$336))</f>
        <v>0</v>
      </c>
      <c r="BC336">
        <f>IF(OR(BA336="",BB336=""),"",BB336+BA336*F336)</f>
        <v>0</v>
      </c>
      <c r="BD336">
        <f>IF(COUNT($E$2:$E336)&lt;20,"",STEYX($E$237:$E$336,$F$237:$F$336))</f>
        <v>0</v>
      </c>
      <c r="BE336">
        <f>IF($E336="","",IF(AND(COUNT($E$337:$E$340)&gt;=4,$C336=MAX($C$332:$C$340)),$C336,""))</f>
        <v>0</v>
      </c>
      <c r="BF336">
        <f>IF($E336="","",IF(AND(COUNT($E$337:$E$340)&gt;=4,$D336=MIN($D$332:$D$340)),$D336,""))</f>
        <v>0</v>
      </c>
      <c r="BG336">
        <f>IF($A336="","",$A336-WEEKDAY($A336,2)+1)</f>
        <v>0</v>
      </c>
      <c r="BH336">
        <f>IF($A336="","",IF($A335="",1,IF(BG336&lt;&gt;BG335,1,0)))</f>
        <v>0</v>
      </c>
      <c r="BI336">
        <f>IF($A336="","",IF($A337="",1,IF(BG337&lt;&gt;BG336,1,0)))</f>
        <v>0</v>
      </c>
      <c r="BJ336">
        <f>IF($A336="","",IF(BH336=1,$B336,BJ335))</f>
        <v>0</v>
      </c>
      <c r="BK336">
        <f>IF($A336="","",IF(BH336=1,$C336,MAX($C336,BK335)))</f>
        <v>0</v>
      </c>
      <c r="BL336">
        <f>IF($A336="","",IF(BH336=1,$D336,MIN($D336,BL335)))</f>
        <v>0</v>
      </c>
      <c r="BM336">
        <f>IF($A336="","",IF(BI336=1,F336,""))</f>
        <v>0</v>
      </c>
      <c r="BN336">
        <f>IF($A336="","",DATE(YEAR($A336),MONTH($A336),1))</f>
        <v>0</v>
      </c>
      <c r="BO336">
        <f>IF($A336="","",IF($A335="",1,IF(BN336&lt;&gt;BN335,1,0)))</f>
        <v>0</v>
      </c>
      <c r="BP336">
        <f>IF($A336="","",IF($A337="",1,IF(BN337&lt;&gt;BN336,1,0)))</f>
        <v>0</v>
      </c>
      <c r="BQ336">
        <f>IF($A336="","",IF(BO336=1,$B336,BQ335))</f>
        <v>0</v>
      </c>
      <c r="BR336">
        <f>IF($A336="","",IF(BO336=1,$C336,MAX($C336,BR335)))</f>
        <v>0</v>
      </c>
      <c r="BS336">
        <f>IF($A336="","",IF(BO336=1,$D336,MIN($D336,BS335)))</f>
        <v>0</v>
      </c>
      <c r="BT336">
        <f>IF($A336="","",IF(BP336=1,F336,""))</f>
        <v>0</v>
      </c>
    </row>
    <row r="337" spans="1:72">
      <c r="A337" s="27">
        <f>IF(Data!$A337="","",Data!$A337)</f>
        <v>0</v>
      </c>
      <c r="B337">
        <f>IF(Data!$B337="","",Data!$B337)</f>
        <v>0</v>
      </c>
      <c r="C337">
        <f>IF(Data!$C337="","",Data!$C337)</f>
        <v>0</v>
      </c>
      <c r="D337">
        <f>IF(Data!$D337="","",Data!$D337)</f>
        <v>0</v>
      </c>
      <c r="E337">
        <f>IF(Data!$E337="","",Data!$E337)</f>
        <v>0</v>
      </c>
      <c r="F337">
        <f>IF($E337="","",N(F336)+1)</f>
        <v>0</v>
      </c>
      <c r="G337">
        <f>IF(OR($E337="",$E336=""),"",LN($E337/$E336))</f>
        <v>0</v>
      </c>
      <c r="H337">
        <f>IF($E337="","",IF($E336="",$E337,$E337*0.0952380952+H336*0.9047619048))</f>
        <v>0</v>
      </c>
      <c r="I337">
        <f>IF($E337="","",IF($E336="",$E337,$E337*0.0392156863+I336*0.9607843137))</f>
        <v>0</v>
      </c>
      <c r="J337">
        <f>IF($E337="","",IF($E336="",$E337,$E337*0.0198019802+J336*0.9801980198))</f>
        <v>0</v>
      </c>
      <c r="K337">
        <f>IF($E337="","",IF($E336="",$E337,$E337*0.0099502488+K336*0.9900497512))</f>
        <v>0</v>
      </c>
      <c r="L337">
        <f>IF(OR($E337="",$E336=""),"",MAX($E337-$E336,0))</f>
        <v>0</v>
      </c>
      <c r="M337">
        <f>IF(OR($E337="",$E336=""),"",MAX($E336-$E337,0))</f>
        <v>0</v>
      </c>
      <c r="N337">
        <f>IF(COUNT($E$2:$E337)&lt;15,"",IF(AVERAGE($M$324:$M$337)=0,100,100-100/(1+AVERAGE($L$324:$L$337)/AVERAGE($M$324:$M$337))))</f>
        <v>0</v>
      </c>
      <c r="O337">
        <f>IF($E337="","",IF($E336="",$E337,$E337*0.1538461538+O336*0.8461538462))</f>
        <v>0</v>
      </c>
      <c r="P337">
        <f>IF($E337="","",IF($E336="",$E337,$E337*0.0740740741+P336*0.9259259259))</f>
        <v>0</v>
      </c>
      <c r="Q337">
        <f>IF(OR(O337="",P337=""),"",O337-P337)</f>
        <v>0</v>
      </c>
      <c r="R337">
        <f>IF(Q337="","",IF(R336="",Q337,Q337*0.2000000000+R336*0.8000000000))</f>
        <v>0</v>
      </c>
      <c r="S337">
        <f>IF(OR(Q337="",R337=""),"",Q337-R337)</f>
        <v>0</v>
      </c>
      <c r="T337">
        <f>IF(COUNT($E$2:$E337)&lt;14,"",MAX($C$324:$C$337))</f>
        <v>0</v>
      </c>
      <c r="U337">
        <f>IF(COUNT($E$2:$E337)&lt;14,"",MIN($D$324:$D$337))</f>
        <v>0</v>
      </c>
      <c r="V337">
        <f>IF(OR(T337="",U337="",T337=U337),"",100*($E337-U337)/(T337-U337))</f>
        <v>0</v>
      </c>
      <c r="W337">
        <f>IF(COUNT($V$335:$V$337)&lt;3,"",AVERAGE($V$335:$V$337))</f>
        <v>0</v>
      </c>
      <c r="X337">
        <f>IF(COUNT($N$324:$N$337)&lt;14,"",MIN($N$324:$N$337))</f>
        <v>0</v>
      </c>
      <c r="Y337">
        <f>IF(COUNT($N$324:$N$337)&lt;14,"",MAX($N$324:$N$337))</f>
        <v>0</v>
      </c>
      <c r="Z337">
        <f>IF(OR(N337="",X337="",Y337="",Y337=X337),"",100*(N337-X337)/(Y337-X337))</f>
        <v>0</v>
      </c>
      <c r="AA337">
        <f>IF(COUNT($Z$335:$Z$337)&lt;3,"",AVERAGE($Z$335:$Z$337))</f>
        <v>0</v>
      </c>
      <c r="AB337">
        <f>IF(COUNT($AA$335:$AA$337)&lt;3,"",AVERAGE($AA$335:$AA$337))</f>
        <v>0</v>
      </c>
      <c r="AC337">
        <f>IF($E337="","",MAX($C337-$D337,ABS($C337-$E336),ABS($D337-$E336)))</f>
        <v>0</v>
      </c>
      <c r="AD337">
        <f>IF(COUNT($E$2:$E337)&lt;15,"",AVERAGE($AC$324:$AC$337))</f>
        <v>0</v>
      </c>
      <c r="AE337">
        <f>IF(OR($E337="",$E336=""),"",IF(AND(($C337-$C336)&gt;($D336-$D337),($C337-$C336)&gt;0),$C337-$C336,0))</f>
        <v>0</v>
      </c>
      <c r="AF337">
        <f>IF(OR($E337="",$E336=""),"",IF(AND(($D336-$D337)&gt;($C337-$C336),($D336-$D337)&gt;0),$D336-$D337,0))</f>
        <v>0</v>
      </c>
      <c r="AG337">
        <f>IF(COUNT($E$2:$E337)&lt;15,"",IF(SUM($AC$324:$AC$337)=0,0,100*SUM($AE$324:$AE$337)/SUM($AC$324:$AC$337)))</f>
        <v>0</v>
      </c>
      <c r="AH337">
        <f>IF(COUNT($E$2:$E337)&lt;15,"",IF(SUM($AC$324:$AC$337)=0,0,100*SUM($AF$324:$AF$337)/SUM($AC$324:$AC$337)))</f>
        <v>0</v>
      </c>
      <c r="AI337">
        <f>IF(OR(AG337="",AH337=""),"",IF((AG337+AH337)=0,0,100*ABS(AG337-AH337)/(AG337+AH337)))</f>
        <v>0</v>
      </c>
      <c r="AJ337">
        <f>IF(COUNT($AI$324:$AI$337)&lt;14,"",AVERAGE($AI$324:$AI$337))</f>
        <v>0</v>
      </c>
      <c r="AK337">
        <f>IF(COUNT($E$2:$E337)&lt;20,"",AVERAGE($E$318:$E$337))</f>
        <v>0</v>
      </c>
      <c r="AL337">
        <f>IF(COUNT($E$2:$E337)&lt;20,"",STDEVP($E$318:$E$337))</f>
        <v>0</v>
      </c>
      <c r="AM337">
        <f>IF(AK337="","",AK337+2*AL337)</f>
        <v>0</v>
      </c>
      <c r="AN337">
        <f>IF(AK337="","",AK337-2*AL337)</f>
        <v>0</v>
      </c>
      <c r="AO337">
        <f>IF(OR(AM337="",AN337="",AM337=AN337),"",($E337-AN337)/(AM337-AN337))</f>
        <v>0</v>
      </c>
      <c r="AP337">
        <f>IF(OR(AM337="",AK337="",AK337=0),"",(AM337-AN337)/AK337)</f>
        <v>0</v>
      </c>
      <c r="AQ337">
        <f>IF(COUNT($E$2:$E337)&lt;20,"",MAX($C$318:$C$337))</f>
        <v>0</v>
      </c>
      <c r="AR337">
        <f>IF(COUNT($E$2:$E337)&lt;20,"",MIN($D$318:$D$337))</f>
        <v>0</v>
      </c>
      <c r="AS337">
        <f>IF(OR(AQ337="",AR337=""),"",(AQ337+AR337)/2)</f>
        <v>0</v>
      </c>
      <c r="AT337">
        <f>IF(COUNT($G$318:$G$337)&lt;20,"",STDEV($G$318:$G$337)*SQRT(252))</f>
        <v>0</v>
      </c>
      <c r="AU337">
        <f>IF(COUNT($E$2:$E337)&lt;9,"",(MAX($C$329:$C$337)+MIN($D$329:$D$337))/2)</f>
        <v>0</v>
      </c>
      <c r="AV337">
        <f>IF(COUNT($E$2:$E337)&lt;26,"",(MAX($C$312:$C$337)+MIN($D$312:$D$337))/2)</f>
        <v>0</v>
      </c>
      <c r="AW337">
        <f>IF(OR(AU337="",AV337=""),"",(AU337+AV337)/2)</f>
        <v>0</v>
      </c>
      <c r="AX337">
        <f>IF(COUNT($E$2:$E337)&lt;52,"",(MAX($C$286:$C$337)+MIN($D$286:$D$337))/2)</f>
        <v>0</v>
      </c>
      <c r="AY337">
        <f>IF(COUNT($E$2:$E337)&lt;20,"",MAX($C$238:$C$337))</f>
        <v>0</v>
      </c>
      <c r="AZ337">
        <f>IF(COUNT($E$2:$E337)&lt;20,"",MIN($D$238:$D$337))</f>
        <v>0</v>
      </c>
      <c r="BA337">
        <f>IF(COUNT($E$2:$E337)&lt;20,"",SLOPE($E$238:$E$337,$F$238:$F$337))</f>
        <v>0</v>
      </c>
      <c r="BB337">
        <f>IF(COUNT($E$2:$E337)&lt;20,"",INTERCEPT($E$238:$E$337,$F$238:$F$337))</f>
        <v>0</v>
      </c>
      <c r="BC337">
        <f>IF(OR(BA337="",BB337=""),"",BB337+BA337*F337)</f>
        <v>0</v>
      </c>
      <c r="BD337">
        <f>IF(COUNT($E$2:$E337)&lt;20,"",STEYX($E$238:$E$337,$F$238:$F$337))</f>
        <v>0</v>
      </c>
      <c r="BE337">
        <f>IF($E337="","",IF(AND(COUNT($E$338:$E$341)&gt;=4,$C337=MAX($C$333:$C$341)),$C337,""))</f>
        <v>0</v>
      </c>
      <c r="BF337">
        <f>IF($E337="","",IF(AND(COUNT($E$338:$E$341)&gt;=4,$D337=MIN($D$333:$D$341)),$D337,""))</f>
        <v>0</v>
      </c>
      <c r="BG337">
        <f>IF($A337="","",$A337-WEEKDAY($A337,2)+1)</f>
        <v>0</v>
      </c>
      <c r="BH337">
        <f>IF($A337="","",IF($A336="",1,IF(BG337&lt;&gt;BG336,1,0)))</f>
        <v>0</v>
      </c>
      <c r="BI337">
        <f>IF($A337="","",IF($A338="",1,IF(BG338&lt;&gt;BG337,1,0)))</f>
        <v>0</v>
      </c>
      <c r="BJ337">
        <f>IF($A337="","",IF(BH337=1,$B337,BJ336))</f>
        <v>0</v>
      </c>
      <c r="BK337">
        <f>IF($A337="","",IF(BH337=1,$C337,MAX($C337,BK336)))</f>
        <v>0</v>
      </c>
      <c r="BL337">
        <f>IF($A337="","",IF(BH337=1,$D337,MIN($D337,BL336)))</f>
        <v>0</v>
      </c>
      <c r="BM337">
        <f>IF($A337="","",IF(BI337=1,F337,""))</f>
        <v>0</v>
      </c>
      <c r="BN337">
        <f>IF($A337="","",DATE(YEAR($A337),MONTH($A337),1))</f>
        <v>0</v>
      </c>
      <c r="BO337">
        <f>IF($A337="","",IF($A336="",1,IF(BN337&lt;&gt;BN336,1,0)))</f>
        <v>0</v>
      </c>
      <c r="BP337">
        <f>IF($A337="","",IF($A338="",1,IF(BN338&lt;&gt;BN337,1,0)))</f>
        <v>0</v>
      </c>
      <c r="BQ337">
        <f>IF($A337="","",IF(BO337=1,$B337,BQ336))</f>
        <v>0</v>
      </c>
      <c r="BR337">
        <f>IF($A337="","",IF(BO337=1,$C337,MAX($C337,BR336)))</f>
        <v>0</v>
      </c>
      <c r="BS337">
        <f>IF($A337="","",IF(BO337=1,$D337,MIN($D337,BS336)))</f>
        <v>0</v>
      </c>
      <c r="BT337">
        <f>IF($A337="","",IF(BP337=1,F337,""))</f>
        <v>0</v>
      </c>
    </row>
    <row r="338" spans="1:72">
      <c r="A338" s="27">
        <f>IF(Data!$A338="","",Data!$A338)</f>
        <v>0</v>
      </c>
      <c r="B338">
        <f>IF(Data!$B338="","",Data!$B338)</f>
        <v>0</v>
      </c>
      <c r="C338">
        <f>IF(Data!$C338="","",Data!$C338)</f>
        <v>0</v>
      </c>
      <c r="D338">
        <f>IF(Data!$D338="","",Data!$D338)</f>
        <v>0</v>
      </c>
      <c r="E338">
        <f>IF(Data!$E338="","",Data!$E338)</f>
        <v>0</v>
      </c>
      <c r="F338">
        <f>IF($E338="","",N(F337)+1)</f>
        <v>0</v>
      </c>
      <c r="G338">
        <f>IF(OR($E338="",$E337=""),"",LN($E338/$E337))</f>
        <v>0</v>
      </c>
      <c r="H338">
        <f>IF($E338="","",IF($E337="",$E338,$E338*0.0952380952+H337*0.9047619048))</f>
        <v>0</v>
      </c>
      <c r="I338">
        <f>IF($E338="","",IF($E337="",$E338,$E338*0.0392156863+I337*0.9607843137))</f>
        <v>0</v>
      </c>
      <c r="J338">
        <f>IF($E338="","",IF($E337="",$E338,$E338*0.0198019802+J337*0.9801980198))</f>
        <v>0</v>
      </c>
      <c r="K338">
        <f>IF($E338="","",IF($E337="",$E338,$E338*0.0099502488+K337*0.9900497512))</f>
        <v>0</v>
      </c>
      <c r="L338">
        <f>IF(OR($E338="",$E337=""),"",MAX($E338-$E337,0))</f>
        <v>0</v>
      </c>
      <c r="M338">
        <f>IF(OR($E338="",$E337=""),"",MAX($E337-$E338,0))</f>
        <v>0</v>
      </c>
      <c r="N338">
        <f>IF(COUNT($E$2:$E338)&lt;15,"",IF(AVERAGE($M$325:$M$338)=0,100,100-100/(1+AVERAGE($L$325:$L$338)/AVERAGE($M$325:$M$338))))</f>
        <v>0</v>
      </c>
      <c r="O338">
        <f>IF($E338="","",IF($E337="",$E338,$E338*0.1538461538+O337*0.8461538462))</f>
        <v>0</v>
      </c>
      <c r="P338">
        <f>IF($E338="","",IF($E337="",$E338,$E338*0.0740740741+P337*0.9259259259))</f>
        <v>0</v>
      </c>
      <c r="Q338">
        <f>IF(OR(O338="",P338=""),"",O338-P338)</f>
        <v>0</v>
      </c>
      <c r="R338">
        <f>IF(Q338="","",IF(R337="",Q338,Q338*0.2000000000+R337*0.8000000000))</f>
        <v>0</v>
      </c>
      <c r="S338">
        <f>IF(OR(Q338="",R338=""),"",Q338-R338)</f>
        <v>0</v>
      </c>
      <c r="T338">
        <f>IF(COUNT($E$2:$E338)&lt;14,"",MAX($C$325:$C$338))</f>
        <v>0</v>
      </c>
      <c r="U338">
        <f>IF(COUNT($E$2:$E338)&lt;14,"",MIN($D$325:$D$338))</f>
        <v>0</v>
      </c>
      <c r="V338">
        <f>IF(OR(T338="",U338="",T338=U338),"",100*($E338-U338)/(T338-U338))</f>
        <v>0</v>
      </c>
      <c r="W338">
        <f>IF(COUNT($V$336:$V$338)&lt;3,"",AVERAGE($V$336:$V$338))</f>
        <v>0</v>
      </c>
      <c r="X338">
        <f>IF(COUNT($N$325:$N$338)&lt;14,"",MIN($N$325:$N$338))</f>
        <v>0</v>
      </c>
      <c r="Y338">
        <f>IF(COUNT($N$325:$N$338)&lt;14,"",MAX($N$325:$N$338))</f>
        <v>0</v>
      </c>
      <c r="Z338">
        <f>IF(OR(N338="",X338="",Y338="",Y338=X338),"",100*(N338-X338)/(Y338-X338))</f>
        <v>0</v>
      </c>
      <c r="AA338">
        <f>IF(COUNT($Z$336:$Z$338)&lt;3,"",AVERAGE($Z$336:$Z$338))</f>
        <v>0</v>
      </c>
      <c r="AB338">
        <f>IF(COUNT($AA$336:$AA$338)&lt;3,"",AVERAGE($AA$336:$AA$338))</f>
        <v>0</v>
      </c>
      <c r="AC338">
        <f>IF($E338="","",MAX($C338-$D338,ABS($C338-$E337),ABS($D338-$E337)))</f>
        <v>0</v>
      </c>
      <c r="AD338">
        <f>IF(COUNT($E$2:$E338)&lt;15,"",AVERAGE($AC$325:$AC$338))</f>
        <v>0</v>
      </c>
      <c r="AE338">
        <f>IF(OR($E338="",$E337=""),"",IF(AND(($C338-$C337)&gt;($D337-$D338),($C338-$C337)&gt;0),$C338-$C337,0))</f>
        <v>0</v>
      </c>
      <c r="AF338">
        <f>IF(OR($E338="",$E337=""),"",IF(AND(($D337-$D338)&gt;($C338-$C337),($D337-$D338)&gt;0),$D337-$D338,0))</f>
        <v>0</v>
      </c>
      <c r="AG338">
        <f>IF(COUNT($E$2:$E338)&lt;15,"",IF(SUM($AC$325:$AC$338)=0,0,100*SUM($AE$325:$AE$338)/SUM($AC$325:$AC$338)))</f>
        <v>0</v>
      </c>
      <c r="AH338">
        <f>IF(COUNT($E$2:$E338)&lt;15,"",IF(SUM($AC$325:$AC$338)=0,0,100*SUM($AF$325:$AF$338)/SUM($AC$325:$AC$338)))</f>
        <v>0</v>
      </c>
      <c r="AI338">
        <f>IF(OR(AG338="",AH338=""),"",IF((AG338+AH338)=0,0,100*ABS(AG338-AH338)/(AG338+AH338)))</f>
        <v>0</v>
      </c>
      <c r="AJ338">
        <f>IF(COUNT($AI$325:$AI$338)&lt;14,"",AVERAGE($AI$325:$AI$338))</f>
        <v>0</v>
      </c>
      <c r="AK338">
        <f>IF(COUNT($E$2:$E338)&lt;20,"",AVERAGE($E$319:$E$338))</f>
        <v>0</v>
      </c>
      <c r="AL338">
        <f>IF(COUNT($E$2:$E338)&lt;20,"",STDEVP($E$319:$E$338))</f>
        <v>0</v>
      </c>
      <c r="AM338">
        <f>IF(AK338="","",AK338+2*AL338)</f>
        <v>0</v>
      </c>
      <c r="AN338">
        <f>IF(AK338="","",AK338-2*AL338)</f>
        <v>0</v>
      </c>
      <c r="AO338">
        <f>IF(OR(AM338="",AN338="",AM338=AN338),"",($E338-AN338)/(AM338-AN338))</f>
        <v>0</v>
      </c>
      <c r="AP338">
        <f>IF(OR(AM338="",AK338="",AK338=0),"",(AM338-AN338)/AK338)</f>
        <v>0</v>
      </c>
      <c r="AQ338">
        <f>IF(COUNT($E$2:$E338)&lt;20,"",MAX($C$319:$C$338))</f>
        <v>0</v>
      </c>
      <c r="AR338">
        <f>IF(COUNT($E$2:$E338)&lt;20,"",MIN($D$319:$D$338))</f>
        <v>0</v>
      </c>
      <c r="AS338">
        <f>IF(OR(AQ338="",AR338=""),"",(AQ338+AR338)/2)</f>
        <v>0</v>
      </c>
      <c r="AT338">
        <f>IF(COUNT($G$319:$G$338)&lt;20,"",STDEV($G$319:$G$338)*SQRT(252))</f>
        <v>0</v>
      </c>
      <c r="AU338">
        <f>IF(COUNT($E$2:$E338)&lt;9,"",(MAX($C$330:$C$338)+MIN($D$330:$D$338))/2)</f>
        <v>0</v>
      </c>
      <c r="AV338">
        <f>IF(COUNT($E$2:$E338)&lt;26,"",(MAX($C$313:$C$338)+MIN($D$313:$D$338))/2)</f>
        <v>0</v>
      </c>
      <c r="AW338">
        <f>IF(OR(AU338="",AV338=""),"",(AU338+AV338)/2)</f>
        <v>0</v>
      </c>
      <c r="AX338">
        <f>IF(COUNT($E$2:$E338)&lt;52,"",(MAX($C$287:$C$338)+MIN($D$287:$D$338))/2)</f>
        <v>0</v>
      </c>
      <c r="AY338">
        <f>IF(COUNT($E$2:$E338)&lt;20,"",MAX($C$239:$C$338))</f>
        <v>0</v>
      </c>
      <c r="AZ338">
        <f>IF(COUNT($E$2:$E338)&lt;20,"",MIN($D$239:$D$338))</f>
        <v>0</v>
      </c>
      <c r="BA338">
        <f>IF(COUNT($E$2:$E338)&lt;20,"",SLOPE($E$239:$E$338,$F$239:$F$338))</f>
        <v>0</v>
      </c>
      <c r="BB338">
        <f>IF(COUNT($E$2:$E338)&lt;20,"",INTERCEPT($E$239:$E$338,$F$239:$F$338))</f>
        <v>0</v>
      </c>
      <c r="BC338">
        <f>IF(OR(BA338="",BB338=""),"",BB338+BA338*F338)</f>
        <v>0</v>
      </c>
      <c r="BD338">
        <f>IF(COUNT($E$2:$E338)&lt;20,"",STEYX($E$239:$E$338,$F$239:$F$338))</f>
        <v>0</v>
      </c>
      <c r="BE338">
        <f>IF($E338="","",IF(AND(COUNT($E$339:$E$342)&gt;=4,$C338=MAX($C$334:$C$342)),$C338,""))</f>
        <v>0</v>
      </c>
      <c r="BF338">
        <f>IF($E338="","",IF(AND(COUNT($E$339:$E$342)&gt;=4,$D338=MIN($D$334:$D$342)),$D338,""))</f>
        <v>0</v>
      </c>
      <c r="BG338">
        <f>IF($A338="","",$A338-WEEKDAY($A338,2)+1)</f>
        <v>0</v>
      </c>
      <c r="BH338">
        <f>IF($A338="","",IF($A337="",1,IF(BG338&lt;&gt;BG337,1,0)))</f>
        <v>0</v>
      </c>
      <c r="BI338">
        <f>IF($A338="","",IF($A339="",1,IF(BG339&lt;&gt;BG338,1,0)))</f>
        <v>0</v>
      </c>
      <c r="BJ338">
        <f>IF($A338="","",IF(BH338=1,$B338,BJ337))</f>
        <v>0</v>
      </c>
      <c r="BK338">
        <f>IF($A338="","",IF(BH338=1,$C338,MAX($C338,BK337)))</f>
        <v>0</v>
      </c>
      <c r="BL338">
        <f>IF($A338="","",IF(BH338=1,$D338,MIN($D338,BL337)))</f>
        <v>0</v>
      </c>
      <c r="BM338">
        <f>IF($A338="","",IF(BI338=1,F338,""))</f>
        <v>0</v>
      </c>
      <c r="BN338">
        <f>IF($A338="","",DATE(YEAR($A338),MONTH($A338),1))</f>
        <v>0</v>
      </c>
      <c r="BO338">
        <f>IF($A338="","",IF($A337="",1,IF(BN338&lt;&gt;BN337,1,0)))</f>
        <v>0</v>
      </c>
      <c r="BP338">
        <f>IF($A338="","",IF($A339="",1,IF(BN339&lt;&gt;BN338,1,0)))</f>
        <v>0</v>
      </c>
      <c r="BQ338">
        <f>IF($A338="","",IF(BO338=1,$B338,BQ337))</f>
        <v>0</v>
      </c>
      <c r="BR338">
        <f>IF($A338="","",IF(BO338=1,$C338,MAX($C338,BR337)))</f>
        <v>0</v>
      </c>
      <c r="BS338">
        <f>IF($A338="","",IF(BO338=1,$D338,MIN($D338,BS337)))</f>
        <v>0</v>
      </c>
      <c r="BT338">
        <f>IF($A338="","",IF(BP338=1,F338,""))</f>
        <v>0</v>
      </c>
    </row>
    <row r="339" spans="1:72">
      <c r="A339" s="27">
        <f>IF(Data!$A339="","",Data!$A339)</f>
        <v>0</v>
      </c>
      <c r="B339">
        <f>IF(Data!$B339="","",Data!$B339)</f>
        <v>0</v>
      </c>
      <c r="C339">
        <f>IF(Data!$C339="","",Data!$C339)</f>
        <v>0</v>
      </c>
      <c r="D339">
        <f>IF(Data!$D339="","",Data!$D339)</f>
        <v>0</v>
      </c>
      <c r="E339">
        <f>IF(Data!$E339="","",Data!$E339)</f>
        <v>0</v>
      </c>
      <c r="F339">
        <f>IF($E339="","",N(F338)+1)</f>
        <v>0</v>
      </c>
      <c r="G339">
        <f>IF(OR($E339="",$E338=""),"",LN($E339/$E338))</f>
        <v>0</v>
      </c>
      <c r="H339">
        <f>IF($E339="","",IF($E338="",$E339,$E339*0.0952380952+H338*0.9047619048))</f>
        <v>0</v>
      </c>
      <c r="I339">
        <f>IF($E339="","",IF($E338="",$E339,$E339*0.0392156863+I338*0.9607843137))</f>
        <v>0</v>
      </c>
      <c r="J339">
        <f>IF($E339="","",IF($E338="",$E339,$E339*0.0198019802+J338*0.9801980198))</f>
        <v>0</v>
      </c>
      <c r="K339">
        <f>IF($E339="","",IF($E338="",$E339,$E339*0.0099502488+K338*0.9900497512))</f>
        <v>0</v>
      </c>
      <c r="L339">
        <f>IF(OR($E339="",$E338=""),"",MAX($E339-$E338,0))</f>
        <v>0</v>
      </c>
      <c r="M339">
        <f>IF(OR($E339="",$E338=""),"",MAX($E338-$E339,0))</f>
        <v>0</v>
      </c>
      <c r="N339">
        <f>IF(COUNT($E$2:$E339)&lt;15,"",IF(AVERAGE($M$326:$M$339)=0,100,100-100/(1+AVERAGE($L$326:$L$339)/AVERAGE($M$326:$M$339))))</f>
        <v>0</v>
      </c>
      <c r="O339">
        <f>IF($E339="","",IF($E338="",$E339,$E339*0.1538461538+O338*0.8461538462))</f>
        <v>0</v>
      </c>
      <c r="P339">
        <f>IF($E339="","",IF($E338="",$E339,$E339*0.0740740741+P338*0.9259259259))</f>
        <v>0</v>
      </c>
      <c r="Q339">
        <f>IF(OR(O339="",P339=""),"",O339-P339)</f>
        <v>0</v>
      </c>
      <c r="R339">
        <f>IF(Q339="","",IF(R338="",Q339,Q339*0.2000000000+R338*0.8000000000))</f>
        <v>0</v>
      </c>
      <c r="S339">
        <f>IF(OR(Q339="",R339=""),"",Q339-R339)</f>
        <v>0</v>
      </c>
      <c r="T339">
        <f>IF(COUNT($E$2:$E339)&lt;14,"",MAX($C$326:$C$339))</f>
        <v>0</v>
      </c>
      <c r="U339">
        <f>IF(COUNT($E$2:$E339)&lt;14,"",MIN($D$326:$D$339))</f>
        <v>0</v>
      </c>
      <c r="V339">
        <f>IF(OR(T339="",U339="",T339=U339),"",100*($E339-U339)/(T339-U339))</f>
        <v>0</v>
      </c>
      <c r="W339">
        <f>IF(COUNT($V$337:$V$339)&lt;3,"",AVERAGE($V$337:$V$339))</f>
        <v>0</v>
      </c>
      <c r="X339">
        <f>IF(COUNT($N$326:$N$339)&lt;14,"",MIN($N$326:$N$339))</f>
        <v>0</v>
      </c>
      <c r="Y339">
        <f>IF(COUNT($N$326:$N$339)&lt;14,"",MAX($N$326:$N$339))</f>
        <v>0</v>
      </c>
      <c r="Z339">
        <f>IF(OR(N339="",X339="",Y339="",Y339=X339),"",100*(N339-X339)/(Y339-X339))</f>
        <v>0</v>
      </c>
      <c r="AA339">
        <f>IF(COUNT($Z$337:$Z$339)&lt;3,"",AVERAGE($Z$337:$Z$339))</f>
        <v>0</v>
      </c>
      <c r="AB339">
        <f>IF(COUNT($AA$337:$AA$339)&lt;3,"",AVERAGE($AA$337:$AA$339))</f>
        <v>0</v>
      </c>
      <c r="AC339">
        <f>IF($E339="","",MAX($C339-$D339,ABS($C339-$E338),ABS($D339-$E338)))</f>
        <v>0</v>
      </c>
      <c r="AD339">
        <f>IF(COUNT($E$2:$E339)&lt;15,"",AVERAGE($AC$326:$AC$339))</f>
        <v>0</v>
      </c>
      <c r="AE339">
        <f>IF(OR($E339="",$E338=""),"",IF(AND(($C339-$C338)&gt;($D338-$D339),($C339-$C338)&gt;0),$C339-$C338,0))</f>
        <v>0</v>
      </c>
      <c r="AF339">
        <f>IF(OR($E339="",$E338=""),"",IF(AND(($D338-$D339)&gt;($C339-$C338),($D338-$D339)&gt;0),$D338-$D339,0))</f>
        <v>0</v>
      </c>
      <c r="AG339">
        <f>IF(COUNT($E$2:$E339)&lt;15,"",IF(SUM($AC$326:$AC$339)=0,0,100*SUM($AE$326:$AE$339)/SUM($AC$326:$AC$339)))</f>
        <v>0</v>
      </c>
      <c r="AH339">
        <f>IF(COUNT($E$2:$E339)&lt;15,"",IF(SUM($AC$326:$AC$339)=0,0,100*SUM($AF$326:$AF$339)/SUM($AC$326:$AC$339)))</f>
        <v>0</v>
      </c>
      <c r="AI339">
        <f>IF(OR(AG339="",AH339=""),"",IF((AG339+AH339)=0,0,100*ABS(AG339-AH339)/(AG339+AH339)))</f>
        <v>0</v>
      </c>
      <c r="AJ339">
        <f>IF(COUNT($AI$326:$AI$339)&lt;14,"",AVERAGE($AI$326:$AI$339))</f>
        <v>0</v>
      </c>
      <c r="AK339">
        <f>IF(COUNT($E$2:$E339)&lt;20,"",AVERAGE($E$320:$E$339))</f>
        <v>0</v>
      </c>
      <c r="AL339">
        <f>IF(COUNT($E$2:$E339)&lt;20,"",STDEVP($E$320:$E$339))</f>
        <v>0</v>
      </c>
      <c r="AM339">
        <f>IF(AK339="","",AK339+2*AL339)</f>
        <v>0</v>
      </c>
      <c r="AN339">
        <f>IF(AK339="","",AK339-2*AL339)</f>
        <v>0</v>
      </c>
      <c r="AO339">
        <f>IF(OR(AM339="",AN339="",AM339=AN339),"",($E339-AN339)/(AM339-AN339))</f>
        <v>0</v>
      </c>
      <c r="AP339">
        <f>IF(OR(AM339="",AK339="",AK339=0),"",(AM339-AN339)/AK339)</f>
        <v>0</v>
      </c>
      <c r="AQ339">
        <f>IF(COUNT($E$2:$E339)&lt;20,"",MAX($C$320:$C$339))</f>
        <v>0</v>
      </c>
      <c r="AR339">
        <f>IF(COUNT($E$2:$E339)&lt;20,"",MIN($D$320:$D$339))</f>
        <v>0</v>
      </c>
      <c r="AS339">
        <f>IF(OR(AQ339="",AR339=""),"",(AQ339+AR339)/2)</f>
        <v>0</v>
      </c>
      <c r="AT339">
        <f>IF(COUNT($G$320:$G$339)&lt;20,"",STDEV($G$320:$G$339)*SQRT(252))</f>
        <v>0</v>
      </c>
      <c r="AU339">
        <f>IF(COUNT($E$2:$E339)&lt;9,"",(MAX($C$331:$C$339)+MIN($D$331:$D$339))/2)</f>
        <v>0</v>
      </c>
      <c r="AV339">
        <f>IF(COUNT($E$2:$E339)&lt;26,"",(MAX($C$314:$C$339)+MIN($D$314:$D$339))/2)</f>
        <v>0</v>
      </c>
      <c r="AW339">
        <f>IF(OR(AU339="",AV339=""),"",(AU339+AV339)/2)</f>
        <v>0</v>
      </c>
      <c r="AX339">
        <f>IF(COUNT($E$2:$E339)&lt;52,"",(MAX($C$288:$C$339)+MIN($D$288:$D$339))/2)</f>
        <v>0</v>
      </c>
      <c r="AY339">
        <f>IF(COUNT($E$2:$E339)&lt;20,"",MAX($C$240:$C$339))</f>
        <v>0</v>
      </c>
      <c r="AZ339">
        <f>IF(COUNT($E$2:$E339)&lt;20,"",MIN($D$240:$D$339))</f>
        <v>0</v>
      </c>
      <c r="BA339">
        <f>IF(COUNT($E$2:$E339)&lt;20,"",SLOPE($E$240:$E$339,$F$240:$F$339))</f>
        <v>0</v>
      </c>
      <c r="BB339">
        <f>IF(COUNT($E$2:$E339)&lt;20,"",INTERCEPT($E$240:$E$339,$F$240:$F$339))</f>
        <v>0</v>
      </c>
      <c r="BC339">
        <f>IF(OR(BA339="",BB339=""),"",BB339+BA339*F339)</f>
        <v>0</v>
      </c>
      <c r="BD339">
        <f>IF(COUNT($E$2:$E339)&lt;20,"",STEYX($E$240:$E$339,$F$240:$F$339))</f>
        <v>0</v>
      </c>
      <c r="BE339">
        <f>IF($E339="","",IF(AND(COUNT($E$340:$E$343)&gt;=4,$C339=MAX($C$335:$C$343)),$C339,""))</f>
        <v>0</v>
      </c>
      <c r="BF339">
        <f>IF($E339="","",IF(AND(COUNT($E$340:$E$343)&gt;=4,$D339=MIN($D$335:$D$343)),$D339,""))</f>
        <v>0</v>
      </c>
      <c r="BG339">
        <f>IF($A339="","",$A339-WEEKDAY($A339,2)+1)</f>
        <v>0</v>
      </c>
      <c r="BH339">
        <f>IF($A339="","",IF($A338="",1,IF(BG339&lt;&gt;BG338,1,0)))</f>
        <v>0</v>
      </c>
      <c r="BI339">
        <f>IF($A339="","",IF($A340="",1,IF(BG340&lt;&gt;BG339,1,0)))</f>
        <v>0</v>
      </c>
      <c r="BJ339">
        <f>IF($A339="","",IF(BH339=1,$B339,BJ338))</f>
        <v>0</v>
      </c>
      <c r="BK339">
        <f>IF($A339="","",IF(BH339=1,$C339,MAX($C339,BK338)))</f>
        <v>0</v>
      </c>
      <c r="BL339">
        <f>IF($A339="","",IF(BH339=1,$D339,MIN($D339,BL338)))</f>
        <v>0</v>
      </c>
      <c r="BM339">
        <f>IF($A339="","",IF(BI339=1,F339,""))</f>
        <v>0</v>
      </c>
      <c r="BN339">
        <f>IF($A339="","",DATE(YEAR($A339),MONTH($A339),1))</f>
        <v>0</v>
      </c>
      <c r="BO339">
        <f>IF($A339="","",IF($A338="",1,IF(BN339&lt;&gt;BN338,1,0)))</f>
        <v>0</v>
      </c>
      <c r="BP339">
        <f>IF($A339="","",IF($A340="",1,IF(BN340&lt;&gt;BN339,1,0)))</f>
        <v>0</v>
      </c>
      <c r="BQ339">
        <f>IF($A339="","",IF(BO339=1,$B339,BQ338))</f>
        <v>0</v>
      </c>
      <c r="BR339">
        <f>IF($A339="","",IF(BO339=1,$C339,MAX($C339,BR338)))</f>
        <v>0</v>
      </c>
      <c r="BS339">
        <f>IF($A339="","",IF(BO339=1,$D339,MIN($D339,BS338)))</f>
        <v>0</v>
      </c>
      <c r="BT339">
        <f>IF($A339="","",IF(BP339=1,F339,""))</f>
        <v>0</v>
      </c>
    </row>
    <row r="340" spans="1:72">
      <c r="A340" s="27">
        <f>IF(Data!$A340="","",Data!$A340)</f>
        <v>0</v>
      </c>
      <c r="B340">
        <f>IF(Data!$B340="","",Data!$B340)</f>
        <v>0</v>
      </c>
      <c r="C340">
        <f>IF(Data!$C340="","",Data!$C340)</f>
        <v>0</v>
      </c>
      <c r="D340">
        <f>IF(Data!$D340="","",Data!$D340)</f>
        <v>0</v>
      </c>
      <c r="E340">
        <f>IF(Data!$E340="","",Data!$E340)</f>
        <v>0</v>
      </c>
      <c r="F340">
        <f>IF($E340="","",N(F339)+1)</f>
        <v>0</v>
      </c>
      <c r="G340">
        <f>IF(OR($E340="",$E339=""),"",LN($E340/$E339))</f>
        <v>0</v>
      </c>
      <c r="H340">
        <f>IF($E340="","",IF($E339="",$E340,$E340*0.0952380952+H339*0.9047619048))</f>
        <v>0</v>
      </c>
      <c r="I340">
        <f>IF($E340="","",IF($E339="",$E340,$E340*0.0392156863+I339*0.9607843137))</f>
        <v>0</v>
      </c>
      <c r="J340">
        <f>IF($E340="","",IF($E339="",$E340,$E340*0.0198019802+J339*0.9801980198))</f>
        <v>0</v>
      </c>
      <c r="K340">
        <f>IF($E340="","",IF($E339="",$E340,$E340*0.0099502488+K339*0.9900497512))</f>
        <v>0</v>
      </c>
      <c r="L340">
        <f>IF(OR($E340="",$E339=""),"",MAX($E340-$E339,0))</f>
        <v>0</v>
      </c>
      <c r="M340">
        <f>IF(OR($E340="",$E339=""),"",MAX($E339-$E340,0))</f>
        <v>0</v>
      </c>
      <c r="N340">
        <f>IF(COUNT($E$2:$E340)&lt;15,"",IF(AVERAGE($M$327:$M$340)=0,100,100-100/(1+AVERAGE($L$327:$L$340)/AVERAGE($M$327:$M$340))))</f>
        <v>0</v>
      </c>
      <c r="O340">
        <f>IF($E340="","",IF($E339="",$E340,$E340*0.1538461538+O339*0.8461538462))</f>
        <v>0</v>
      </c>
      <c r="P340">
        <f>IF($E340="","",IF($E339="",$E340,$E340*0.0740740741+P339*0.9259259259))</f>
        <v>0</v>
      </c>
      <c r="Q340">
        <f>IF(OR(O340="",P340=""),"",O340-P340)</f>
        <v>0</v>
      </c>
      <c r="R340">
        <f>IF(Q340="","",IF(R339="",Q340,Q340*0.2000000000+R339*0.8000000000))</f>
        <v>0</v>
      </c>
      <c r="S340">
        <f>IF(OR(Q340="",R340=""),"",Q340-R340)</f>
        <v>0</v>
      </c>
      <c r="T340">
        <f>IF(COUNT($E$2:$E340)&lt;14,"",MAX($C$327:$C$340))</f>
        <v>0</v>
      </c>
      <c r="U340">
        <f>IF(COUNT($E$2:$E340)&lt;14,"",MIN($D$327:$D$340))</f>
        <v>0</v>
      </c>
      <c r="V340">
        <f>IF(OR(T340="",U340="",T340=U340),"",100*($E340-U340)/(T340-U340))</f>
        <v>0</v>
      </c>
      <c r="W340">
        <f>IF(COUNT($V$338:$V$340)&lt;3,"",AVERAGE($V$338:$V$340))</f>
        <v>0</v>
      </c>
      <c r="X340">
        <f>IF(COUNT($N$327:$N$340)&lt;14,"",MIN($N$327:$N$340))</f>
        <v>0</v>
      </c>
      <c r="Y340">
        <f>IF(COUNT($N$327:$N$340)&lt;14,"",MAX($N$327:$N$340))</f>
        <v>0</v>
      </c>
      <c r="Z340">
        <f>IF(OR(N340="",X340="",Y340="",Y340=X340),"",100*(N340-X340)/(Y340-X340))</f>
        <v>0</v>
      </c>
      <c r="AA340">
        <f>IF(COUNT($Z$338:$Z$340)&lt;3,"",AVERAGE($Z$338:$Z$340))</f>
        <v>0</v>
      </c>
      <c r="AB340">
        <f>IF(COUNT($AA$338:$AA$340)&lt;3,"",AVERAGE($AA$338:$AA$340))</f>
        <v>0</v>
      </c>
      <c r="AC340">
        <f>IF($E340="","",MAX($C340-$D340,ABS($C340-$E339),ABS($D340-$E339)))</f>
        <v>0</v>
      </c>
      <c r="AD340">
        <f>IF(COUNT($E$2:$E340)&lt;15,"",AVERAGE($AC$327:$AC$340))</f>
        <v>0</v>
      </c>
      <c r="AE340">
        <f>IF(OR($E340="",$E339=""),"",IF(AND(($C340-$C339)&gt;($D339-$D340),($C340-$C339)&gt;0),$C340-$C339,0))</f>
        <v>0</v>
      </c>
      <c r="AF340">
        <f>IF(OR($E340="",$E339=""),"",IF(AND(($D339-$D340)&gt;($C340-$C339),($D339-$D340)&gt;0),$D339-$D340,0))</f>
        <v>0</v>
      </c>
      <c r="AG340">
        <f>IF(COUNT($E$2:$E340)&lt;15,"",IF(SUM($AC$327:$AC$340)=0,0,100*SUM($AE$327:$AE$340)/SUM($AC$327:$AC$340)))</f>
        <v>0</v>
      </c>
      <c r="AH340">
        <f>IF(COUNT($E$2:$E340)&lt;15,"",IF(SUM($AC$327:$AC$340)=0,0,100*SUM($AF$327:$AF$340)/SUM($AC$327:$AC$340)))</f>
        <v>0</v>
      </c>
      <c r="AI340">
        <f>IF(OR(AG340="",AH340=""),"",IF((AG340+AH340)=0,0,100*ABS(AG340-AH340)/(AG340+AH340)))</f>
        <v>0</v>
      </c>
      <c r="AJ340">
        <f>IF(COUNT($AI$327:$AI$340)&lt;14,"",AVERAGE($AI$327:$AI$340))</f>
        <v>0</v>
      </c>
      <c r="AK340">
        <f>IF(COUNT($E$2:$E340)&lt;20,"",AVERAGE($E$321:$E$340))</f>
        <v>0</v>
      </c>
      <c r="AL340">
        <f>IF(COUNT($E$2:$E340)&lt;20,"",STDEVP($E$321:$E$340))</f>
        <v>0</v>
      </c>
      <c r="AM340">
        <f>IF(AK340="","",AK340+2*AL340)</f>
        <v>0</v>
      </c>
      <c r="AN340">
        <f>IF(AK340="","",AK340-2*AL340)</f>
        <v>0</v>
      </c>
      <c r="AO340">
        <f>IF(OR(AM340="",AN340="",AM340=AN340),"",($E340-AN340)/(AM340-AN340))</f>
        <v>0</v>
      </c>
      <c r="AP340">
        <f>IF(OR(AM340="",AK340="",AK340=0),"",(AM340-AN340)/AK340)</f>
        <v>0</v>
      </c>
      <c r="AQ340">
        <f>IF(COUNT($E$2:$E340)&lt;20,"",MAX($C$321:$C$340))</f>
        <v>0</v>
      </c>
      <c r="AR340">
        <f>IF(COUNT($E$2:$E340)&lt;20,"",MIN($D$321:$D$340))</f>
        <v>0</v>
      </c>
      <c r="AS340">
        <f>IF(OR(AQ340="",AR340=""),"",(AQ340+AR340)/2)</f>
        <v>0</v>
      </c>
      <c r="AT340">
        <f>IF(COUNT($G$321:$G$340)&lt;20,"",STDEV($G$321:$G$340)*SQRT(252))</f>
        <v>0</v>
      </c>
      <c r="AU340">
        <f>IF(COUNT($E$2:$E340)&lt;9,"",(MAX($C$332:$C$340)+MIN($D$332:$D$340))/2)</f>
        <v>0</v>
      </c>
      <c r="AV340">
        <f>IF(COUNT($E$2:$E340)&lt;26,"",(MAX($C$315:$C$340)+MIN($D$315:$D$340))/2)</f>
        <v>0</v>
      </c>
      <c r="AW340">
        <f>IF(OR(AU340="",AV340=""),"",(AU340+AV340)/2)</f>
        <v>0</v>
      </c>
      <c r="AX340">
        <f>IF(COUNT($E$2:$E340)&lt;52,"",(MAX($C$289:$C$340)+MIN($D$289:$D$340))/2)</f>
        <v>0</v>
      </c>
      <c r="AY340">
        <f>IF(COUNT($E$2:$E340)&lt;20,"",MAX($C$241:$C$340))</f>
        <v>0</v>
      </c>
      <c r="AZ340">
        <f>IF(COUNT($E$2:$E340)&lt;20,"",MIN($D$241:$D$340))</f>
        <v>0</v>
      </c>
      <c r="BA340">
        <f>IF(COUNT($E$2:$E340)&lt;20,"",SLOPE($E$241:$E$340,$F$241:$F$340))</f>
        <v>0</v>
      </c>
      <c r="BB340">
        <f>IF(COUNT($E$2:$E340)&lt;20,"",INTERCEPT($E$241:$E$340,$F$241:$F$340))</f>
        <v>0</v>
      </c>
      <c r="BC340">
        <f>IF(OR(BA340="",BB340=""),"",BB340+BA340*F340)</f>
        <v>0</v>
      </c>
      <c r="BD340">
        <f>IF(COUNT($E$2:$E340)&lt;20,"",STEYX($E$241:$E$340,$F$241:$F$340))</f>
        <v>0</v>
      </c>
      <c r="BE340">
        <f>IF($E340="","",IF(AND(COUNT($E$341:$E$344)&gt;=4,$C340=MAX($C$336:$C$344)),$C340,""))</f>
        <v>0</v>
      </c>
      <c r="BF340">
        <f>IF($E340="","",IF(AND(COUNT($E$341:$E$344)&gt;=4,$D340=MIN($D$336:$D$344)),$D340,""))</f>
        <v>0</v>
      </c>
      <c r="BG340">
        <f>IF($A340="","",$A340-WEEKDAY($A340,2)+1)</f>
        <v>0</v>
      </c>
      <c r="BH340">
        <f>IF($A340="","",IF($A339="",1,IF(BG340&lt;&gt;BG339,1,0)))</f>
        <v>0</v>
      </c>
      <c r="BI340">
        <f>IF($A340="","",IF($A341="",1,IF(BG341&lt;&gt;BG340,1,0)))</f>
        <v>0</v>
      </c>
      <c r="BJ340">
        <f>IF($A340="","",IF(BH340=1,$B340,BJ339))</f>
        <v>0</v>
      </c>
      <c r="BK340">
        <f>IF($A340="","",IF(BH340=1,$C340,MAX($C340,BK339)))</f>
        <v>0</v>
      </c>
      <c r="BL340">
        <f>IF($A340="","",IF(BH340=1,$D340,MIN($D340,BL339)))</f>
        <v>0</v>
      </c>
      <c r="BM340">
        <f>IF($A340="","",IF(BI340=1,F340,""))</f>
        <v>0</v>
      </c>
      <c r="BN340">
        <f>IF($A340="","",DATE(YEAR($A340),MONTH($A340),1))</f>
        <v>0</v>
      </c>
      <c r="BO340">
        <f>IF($A340="","",IF($A339="",1,IF(BN340&lt;&gt;BN339,1,0)))</f>
        <v>0</v>
      </c>
      <c r="BP340">
        <f>IF($A340="","",IF($A341="",1,IF(BN341&lt;&gt;BN340,1,0)))</f>
        <v>0</v>
      </c>
      <c r="BQ340">
        <f>IF($A340="","",IF(BO340=1,$B340,BQ339))</f>
        <v>0</v>
      </c>
      <c r="BR340">
        <f>IF($A340="","",IF(BO340=1,$C340,MAX($C340,BR339)))</f>
        <v>0</v>
      </c>
      <c r="BS340">
        <f>IF($A340="","",IF(BO340=1,$D340,MIN($D340,BS339)))</f>
        <v>0</v>
      </c>
      <c r="BT340">
        <f>IF($A340="","",IF(BP340=1,F340,""))</f>
        <v>0</v>
      </c>
    </row>
    <row r="341" spans="1:72">
      <c r="A341" s="27">
        <f>IF(Data!$A341="","",Data!$A341)</f>
        <v>0</v>
      </c>
      <c r="B341">
        <f>IF(Data!$B341="","",Data!$B341)</f>
        <v>0</v>
      </c>
      <c r="C341">
        <f>IF(Data!$C341="","",Data!$C341)</f>
        <v>0</v>
      </c>
      <c r="D341">
        <f>IF(Data!$D341="","",Data!$D341)</f>
        <v>0</v>
      </c>
      <c r="E341">
        <f>IF(Data!$E341="","",Data!$E341)</f>
        <v>0</v>
      </c>
      <c r="F341">
        <f>IF($E341="","",N(F340)+1)</f>
        <v>0</v>
      </c>
      <c r="G341">
        <f>IF(OR($E341="",$E340=""),"",LN($E341/$E340))</f>
        <v>0</v>
      </c>
      <c r="H341">
        <f>IF($E341="","",IF($E340="",$E341,$E341*0.0952380952+H340*0.9047619048))</f>
        <v>0</v>
      </c>
      <c r="I341">
        <f>IF($E341="","",IF($E340="",$E341,$E341*0.0392156863+I340*0.9607843137))</f>
        <v>0</v>
      </c>
      <c r="J341">
        <f>IF($E341="","",IF($E340="",$E341,$E341*0.0198019802+J340*0.9801980198))</f>
        <v>0</v>
      </c>
      <c r="K341">
        <f>IF($E341="","",IF($E340="",$E341,$E341*0.0099502488+K340*0.9900497512))</f>
        <v>0</v>
      </c>
      <c r="L341">
        <f>IF(OR($E341="",$E340=""),"",MAX($E341-$E340,0))</f>
        <v>0</v>
      </c>
      <c r="M341">
        <f>IF(OR($E341="",$E340=""),"",MAX($E340-$E341,0))</f>
        <v>0</v>
      </c>
      <c r="N341">
        <f>IF(COUNT($E$2:$E341)&lt;15,"",IF(AVERAGE($M$328:$M$341)=0,100,100-100/(1+AVERAGE($L$328:$L$341)/AVERAGE($M$328:$M$341))))</f>
        <v>0</v>
      </c>
      <c r="O341">
        <f>IF($E341="","",IF($E340="",$E341,$E341*0.1538461538+O340*0.8461538462))</f>
        <v>0</v>
      </c>
      <c r="P341">
        <f>IF($E341="","",IF($E340="",$E341,$E341*0.0740740741+P340*0.9259259259))</f>
        <v>0</v>
      </c>
      <c r="Q341">
        <f>IF(OR(O341="",P341=""),"",O341-P341)</f>
        <v>0</v>
      </c>
      <c r="R341">
        <f>IF(Q341="","",IF(R340="",Q341,Q341*0.2000000000+R340*0.8000000000))</f>
        <v>0</v>
      </c>
      <c r="S341">
        <f>IF(OR(Q341="",R341=""),"",Q341-R341)</f>
        <v>0</v>
      </c>
      <c r="T341">
        <f>IF(COUNT($E$2:$E341)&lt;14,"",MAX($C$328:$C$341))</f>
        <v>0</v>
      </c>
      <c r="U341">
        <f>IF(COUNT($E$2:$E341)&lt;14,"",MIN($D$328:$D$341))</f>
        <v>0</v>
      </c>
      <c r="V341">
        <f>IF(OR(T341="",U341="",T341=U341),"",100*($E341-U341)/(T341-U341))</f>
        <v>0</v>
      </c>
      <c r="W341">
        <f>IF(COUNT($V$339:$V$341)&lt;3,"",AVERAGE($V$339:$V$341))</f>
        <v>0</v>
      </c>
      <c r="X341">
        <f>IF(COUNT($N$328:$N$341)&lt;14,"",MIN($N$328:$N$341))</f>
        <v>0</v>
      </c>
      <c r="Y341">
        <f>IF(COUNT($N$328:$N$341)&lt;14,"",MAX($N$328:$N$341))</f>
        <v>0</v>
      </c>
      <c r="Z341">
        <f>IF(OR(N341="",X341="",Y341="",Y341=X341),"",100*(N341-X341)/(Y341-X341))</f>
        <v>0</v>
      </c>
      <c r="AA341">
        <f>IF(COUNT($Z$339:$Z$341)&lt;3,"",AVERAGE($Z$339:$Z$341))</f>
        <v>0</v>
      </c>
      <c r="AB341">
        <f>IF(COUNT($AA$339:$AA$341)&lt;3,"",AVERAGE($AA$339:$AA$341))</f>
        <v>0</v>
      </c>
      <c r="AC341">
        <f>IF($E341="","",MAX($C341-$D341,ABS($C341-$E340),ABS($D341-$E340)))</f>
        <v>0</v>
      </c>
      <c r="AD341">
        <f>IF(COUNT($E$2:$E341)&lt;15,"",AVERAGE($AC$328:$AC$341))</f>
        <v>0</v>
      </c>
      <c r="AE341">
        <f>IF(OR($E341="",$E340=""),"",IF(AND(($C341-$C340)&gt;($D340-$D341),($C341-$C340)&gt;0),$C341-$C340,0))</f>
        <v>0</v>
      </c>
      <c r="AF341">
        <f>IF(OR($E341="",$E340=""),"",IF(AND(($D340-$D341)&gt;($C341-$C340),($D340-$D341)&gt;0),$D340-$D341,0))</f>
        <v>0</v>
      </c>
      <c r="AG341">
        <f>IF(COUNT($E$2:$E341)&lt;15,"",IF(SUM($AC$328:$AC$341)=0,0,100*SUM($AE$328:$AE$341)/SUM($AC$328:$AC$341)))</f>
        <v>0</v>
      </c>
      <c r="AH341">
        <f>IF(COUNT($E$2:$E341)&lt;15,"",IF(SUM($AC$328:$AC$341)=0,0,100*SUM($AF$328:$AF$341)/SUM($AC$328:$AC$341)))</f>
        <v>0</v>
      </c>
      <c r="AI341">
        <f>IF(OR(AG341="",AH341=""),"",IF((AG341+AH341)=0,0,100*ABS(AG341-AH341)/(AG341+AH341)))</f>
        <v>0</v>
      </c>
      <c r="AJ341">
        <f>IF(COUNT($AI$328:$AI$341)&lt;14,"",AVERAGE($AI$328:$AI$341))</f>
        <v>0</v>
      </c>
      <c r="AK341">
        <f>IF(COUNT($E$2:$E341)&lt;20,"",AVERAGE($E$322:$E$341))</f>
        <v>0</v>
      </c>
      <c r="AL341">
        <f>IF(COUNT($E$2:$E341)&lt;20,"",STDEVP($E$322:$E$341))</f>
        <v>0</v>
      </c>
      <c r="AM341">
        <f>IF(AK341="","",AK341+2*AL341)</f>
        <v>0</v>
      </c>
      <c r="AN341">
        <f>IF(AK341="","",AK341-2*AL341)</f>
        <v>0</v>
      </c>
      <c r="AO341">
        <f>IF(OR(AM341="",AN341="",AM341=AN341),"",($E341-AN341)/(AM341-AN341))</f>
        <v>0</v>
      </c>
      <c r="AP341">
        <f>IF(OR(AM341="",AK341="",AK341=0),"",(AM341-AN341)/AK341)</f>
        <v>0</v>
      </c>
      <c r="AQ341">
        <f>IF(COUNT($E$2:$E341)&lt;20,"",MAX($C$322:$C$341))</f>
        <v>0</v>
      </c>
      <c r="AR341">
        <f>IF(COUNT($E$2:$E341)&lt;20,"",MIN($D$322:$D$341))</f>
        <v>0</v>
      </c>
      <c r="AS341">
        <f>IF(OR(AQ341="",AR341=""),"",(AQ341+AR341)/2)</f>
        <v>0</v>
      </c>
      <c r="AT341">
        <f>IF(COUNT($G$322:$G$341)&lt;20,"",STDEV($G$322:$G$341)*SQRT(252))</f>
        <v>0</v>
      </c>
      <c r="AU341">
        <f>IF(COUNT($E$2:$E341)&lt;9,"",(MAX($C$333:$C$341)+MIN($D$333:$D$341))/2)</f>
        <v>0</v>
      </c>
      <c r="AV341">
        <f>IF(COUNT($E$2:$E341)&lt;26,"",(MAX($C$316:$C$341)+MIN($D$316:$D$341))/2)</f>
        <v>0</v>
      </c>
      <c r="AW341">
        <f>IF(OR(AU341="",AV341=""),"",(AU341+AV341)/2)</f>
        <v>0</v>
      </c>
      <c r="AX341">
        <f>IF(COUNT($E$2:$E341)&lt;52,"",(MAX($C$290:$C$341)+MIN($D$290:$D$341))/2)</f>
        <v>0</v>
      </c>
      <c r="AY341">
        <f>IF(COUNT($E$2:$E341)&lt;20,"",MAX($C$242:$C$341))</f>
        <v>0</v>
      </c>
      <c r="AZ341">
        <f>IF(COUNT($E$2:$E341)&lt;20,"",MIN($D$242:$D$341))</f>
        <v>0</v>
      </c>
      <c r="BA341">
        <f>IF(COUNT($E$2:$E341)&lt;20,"",SLOPE($E$242:$E$341,$F$242:$F$341))</f>
        <v>0</v>
      </c>
      <c r="BB341">
        <f>IF(COUNT($E$2:$E341)&lt;20,"",INTERCEPT($E$242:$E$341,$F$242:$F$341))</f>
        <v>0</v>
      </c>
      <c r="BC341">
        <f>IF(OR(BA341="",BB341=""),"",BB341+BA341*F341)</f>
        <v>0</v>
      </c>
      <c r="BD341">
        <f>IF(COUNT($E$2:$E341)&lt;20,"",STEYX($E$242:$E$341,$F$242:$F$341))</f>
        <v>0</v>
      </c>
      <c r="BE341">
        <f>IF($E341="","",IF(AND(COUNT($E$342:$E$345)&gt;=4,$C341=MAX($C$337:$C$345)),$C341,""))</f>
        <v>0</v>
      </c>
      <c r="BF341">
        <f>IF($E341="","",IF(AND(COUNT($E$342:$E$345)&gt;=4,$D341=MIN($D$337:$D$345)),$D341,""))</f>
        <v>0</v>
      </c>
      <c r="BG341">
        <f>IF($A341="","",$A341-WEEKDAY($A341,2)+1)</f>
        <v>0</v>
      </c>
      <c r="BH341">
        <f>IF($A341="","",IF($A340="",1,IF(BG341&lt;&gt;BG340,1,0)))</f>
        <v>0</v>
      </c>
      <c r="BI341">
        <f>IF($A341="","",IF($A342="",1,IF(BG342&lt;&gt;BG341,1,0)))</f>
        <v>0</v>
      </c>
      <c r="BJ341">
        <f>IF($A341="","",IF(BH341=1,$B341,BJ340))</f>
        <v>0</v>
      </c>
      <c r="BK341">
        <f>IF($A341="","",IF(BH341=1,$C341,MAX($C341,BK340)))</f>
        <v>0</v>
      </c>
      <c r="BL341">
        <f>IF($A341="","",IF(BH341=1,$D341,MIN($D341,BL340)))</f>
        <v>0</v>
      </c>
      <c r="BM341">
        <f>IF($A341="","",IF(BI341=1,F341,""))</f>
        <v>0</v>
      </c>
      <c r="BN341">
        <f>IF($A341="","",DATE(YEAR($A341),MONTH($A341),1))</f>
        <v>0</v>
      </c>
      <c r="BO341">
        <f>IF($A341="","",IF($A340="",1,IF(BN341&lt;&gt;BN340,1,0)))</f>
        <v>0</v>
      </c>
      <c r="BP341">
        <f>IF($A341="","",IF($A342="",1,IF(BN342&lt;&gt;BN341,1,0)))</f>
        <v>0</v>
      </c>
      <c r="BQ341">
        <f>IF($A341="","",IF(BO341=1,$B341,BQ340))</f>
        <v>0</v>
      </c>
      <c r="BR341">
        <f>IF($A341="","",IF(BO341=1,$C341,MAX($C341,BR340)))</f>
        <v>0</v>
      </c>
      <c r="BS341">
        <f>IF($A341="","",IF(BO341=1,$D341,MIN($D341,BS340)))</f>
        <v>0</v>
      </c>
      <c r="BT341">
        <f>IF($A341="","",IF(BP341=1,F341,""))</f>
        <v>0</v>
      </c>
    </row>
    <row r="342" spans="1:72">
      <c r="A342" s="27">
        <f>IF(Data!$A342="","",Data!$A342)</f>
        <v>0</v>
      </c>
      <c r="B342">
        <f>IF(Data!$B342="","",Data!$B342)</f>
        <v>0</v>
      </c>
      <c r="C342">
        <f>IF(Data!$C342="","",Data!$C342)</f>
        <v>0</v>
      </c>
      <c r="D342">
        <f>IF(Data!$D342="","",Data!$D342)</f>
        <v>0</v>
      </c>
      <c r="E342">
        <f>IF(Data!$E342="","",Data!$E342)</f>
        <v>0</v>
      </c>
      <c r="F342">
        <f>IF($E342="","",N(F341)+1)</f>
        <v>0</v>
      </c>
      <c r="G342">
        <f>IF(OR($E342="",$E341=""),"",LN($E342/$E341))</f>
        <v>0</v>
      </c>
      <c r="H342">
        <f>IF($E342="","",IF($E341="",$E342,$E342*0.0952380952+H341*0.9047619048))</f>
        <v>0</v>
      </c>
      <c r="I342">
        <f>IF($E342="","",IF($E341="",$E342,$E342*0.0392156863+I341*0.9607843137))</f>
        <v>0</v>
      </c>
      <c r="J342">
        <f>IF($E342="","",IF($E341="",$E342,$E342*0.0198019802+J341*0.9801980198))</f>
        <v>0</v>
      </c>
      <c r="K342">
        <f>IF($E342="","",IF($E341="",$E342,$E342*0.0099502488+K341*0.9900497512))</f>
        <v>0</v>
      </c>
      <c r="L342">
        <f>IF(OR($E342="",$E341=""),"",MAX($E342-$E341,0))</f>
        <v>0</v>
      </c>
      <c r="M342">
        <f>IF(OR($E342="",$E341=""),"",MAX($E341-$E342,0))</f>
        <v>0</v>
      </c>
      <c r="N342">
        <f>IF(COUNT($E$2:$E342)&lt;15,"",IF(AVERAGE($M$329:$M$342)=0,100,100-100/(1+AVERAGE($L$329:$L$342)/AVERAGE($M$329:$M$342))))</f>
        <v>0</v>
      </c>
      <c r="O342">
        <f>IF($E342="","",IF($E341="",$E342,$E342*0.1538461538+O341*0.8461538462))</f>
        <v>0</v>
      </c>
      <c r="P342">
        <f>IF($E342="","",IF($E341="",$E342,$E342*0.0740740741+P341*0.9259259259))</f>
        <v>0</v>
      </c>
      <c r="Q342">
        <f>IF(OR(O342="",P342=""),"",O342-P342)</f>
        <v>0</v>
      </c>
      <c r="R342">
        <f>IF(Q342="","",IF(R341="",Q342,Q342*0.2000000000+R341*0.8000000000))</f>
        <v>0</v>
      </c>
      <c r="S342">
        <f>IF(OR(Q342="",R342=""),"",Q342-R342)</f>
        <v>0</v>
      </c>
      <c r="T342">
        <f>IF(COUNT($E$2:$E342)&lt;14,"",MAX($C$329:$C$342))</f>
        <v>0</v>
      </c>
      <c r="U342">
        <f>IF(COUNT($E$2:$E342)&lt;14,"",MIN($D$329:$D$342))</f>
        <v>0</v>
      </c>
      <c r="V342">
        <f>IF(OR(T342="",U342="",T342=U342),"",100*($E342-U342)/(T342-U342))</f>
        <v>0</v>
      </c>
      <c r="W342">
        <f>IF(COUNT($V$340:$V$342)&lt;3,"",AVERAGE($V$340:$V$342))</f>
        <v>0</v>
      </c>
      <c r="X342">
        <f>IF(COUNT($N$329:$N$342)&lt;14,"",MIN($N$329:$N$342))</f>
        <v>0</v>
      </c>
      <c r="Y342">
        <f>IF(COUNT($N$329:$N$342)&lt;14,"",MAX($N$329:$N$342))</f>
        <v>0</v>
      </c>
      <c r="Z342">
        <f>IF(OR(N342="",X342="",Y342="",Y342=X342),"",100*(N342-X342)/(Y342-X342))</f>
        <v>0</v>
      </c>
      <c r="AA342">
        <f>IF(COUNT($Z$340:$Z$342)&lt;3,"",AVERAGE($Z$340:$Z$342))</f>
        <v>0</v>
      </c>
      <c r="AB342">
        <f>IF(COUNT($AA$340:$AA$342)&lt;3,"",AVERAGE($AA$340:$AA$342))</f>
        <v>0</v>
      </c>
      <c r="AC342">
        <f>IF($E342="","",MAX($C342-$D342,ABS($C342-$E341),ABS($D342-$E341)))</f>
        <v>0</v>
      </c>
      <c r="AD342">
        <f>IF(COUNT($E$2:$E342)&lt;15,"",AVERAGE($AC$329:$AC$342))</f>
        <v>0</v>
      </c>
      <c r="AE342">
        <f>IF(OR($E342="",$E341=""),"",IF(AND(($C342-$C341)&gt;($D341-$D342),($C342-$C341)&gt;0),$C342-$C341,0))</f>
        <v>0</v>
      </c>
      <c r="AF342">
        <f>IF(OR($E342="",$E341=""),"",IF(AND(($D341-$D342)&gt;($C342-$C341),($D341-$D342)&gt;0),$D341-$D342,0))</f>
        <v>0</v>
      </c>
      <c r="AG342">
        <f>IF(COUNT($E$2:$E342)&lt;15,"",IF(SUM($AC$329:$AC$342)=0,0,100*SUM($AE$329:$AE$342)/SUM($AC$329:$AC$342)))</f>
        <v>0</v>
      </c>
      <c r="AH342">
        <f>IF(COUNT($E$2:$E342)&lt;15,"",IF(SUM($AC$329:$AC$342)=0,0,100*SUM($AF$329:$AF$342)/SUM($AC$329:$AC$342)))</f>
        <v>0</v>
      </c>
      <c r="AI342">
        <f>IF(OR(AG342="",AH342=""),"",IF((AG342+AH342)=0,0,100*ABS(AG342-AH342)/(AG342+AH342)))</f>
        <v>0</v>
      </c>
      <c r="AJ342">
        <f>IF(COUNT($AI$329:$AI$342)&lt;14,"",AVERAGE($AI$329:$AI$342))</f>
        <v>0</v>
      </c>
      <c r="AK342">
        <f>IF(COUNT($E$2:$E342)&lt;20,"",AVERAGE($E$323:$E$342))</f>
        <v>0</v>
      </c>
      <c r="AL342">
        <f>IF(COUNT($E$2:$E342)&lt;20,"",STDEVP($E$323:$E$342))</f>
        <v>0</v>
      </c>
      <c r="AM342">
        <f>IF(AK342="","",AK342+2*AL342)</f>
        <v>0</v>
      </c>
      <c r="AN342">
        <f>IF(AK342="","",AK342-2*AL342)</f>
        <v>0</v>
      </c>
      <c r="AO342">
        <f>IF(OR(AM342="",AN342="",AM342=AN342),"",($E342-AN342)/(AM342-AN342))</f>
        <v>0</v>
      </c>
      <c r="AP342">
        <f>IF(OR(AM342="",AK342="",AK342=0),"",(AM342-AN342)/AK342)</f>
        <v>0</v>
      </c>
      <c r="AQ342">
        <f>IF(COUNT($E$2:$E342)&lt;20,"",MAX($C$323:$C$342))</f>
        <v>0</v>
      </c>
      <c r="AR342">
        <f>IF(COUNT($E$2:$E342)&lt;20,"",MIN($D$323:$D$342))</f>
        <v>0</v>
      </c>
      <c r="AS342">
        <f>IF(OR(AQ342="",AR342=""),"",(AQ342+AR342)/2)</f>
        <v>0</v>
      </c>
      <c r="AT342">
        <f>IF(COUNT($G$323:$G$342)&lt;20,"",STDEV($G$323:$G$342)*SQRT(252))</f>
        <v>0</v>
      </c>
      <c r="AU342">
        <f>IF(COUNT($E$2:$E342)&lt;9,"",(MAX($C$334:$C$342)+MIN($D$334:$D$342))/2)</f>
        <v>0</v>
      </c>
      <c r="AV342">
        <f>IF(COUNT($E$2:$E342)&lt;26,"",(MAX($C$317:$C$342)+MIN($D$317:$D$342))/2)</f>
        <v>0</v>
      </c>
      <c r="AW342">
        <f>IF(OR(AU342="",AV342=""),"",(AU342+AV342)/2)</f>
        <v>0</v>
      </c>
      <c r="AX342">
        <f>IF(COUNT($E$2:$E342)&lt;52,"",(MAX($C$291:$C$342)+MIN($D$291:$D$342))/2)</f>
        <v>0</v>
      </c>
      <c r="AY342">
        <f>IF(COUNT($E$2:$E342)&lt;20,"",MAX($C$243:$C$342))</f>
        <v>0</v>
      </c>
      <c r="AZ342">
        <f>IF(COUNT($E$2:$E342)&lt;20,"",MIN($D$243:$D$342))</f>
        <v>0</v>
      </c>
      <c r="BA342">
        <f>IF(COUNT($E$2:$E342)&lt;20,"",SLOPE($E$243:$E$342,$F$243:$F$342))</f>
        <v>0</v>
      </c>
      <c r="BB342">
        <f>IF(COUNT($E$2:$E342)&lt;20,"",INTERCEPT($E$243:$E$342,$F$243:$F$342))</f>
        <v>0</v>
      </c>
      <c r="BC342">
        <f>IF(OR(BA342="",BB342=""),"",BB342+BA342*F342)</f>
        <v>0</v>
      </c>
      <c r="BD342">
        <f>IF(COUNT($E$2:$E342)&lt;20,"",STEYX($E$243:$E$342,$F$243:$F$342))</f>
        <v>0</v>
      </c>
      <c r="BE342">
        <f>IF($E342="","",IF(AND(COUNT($E$343:$E$346)&gt;=4,$C342=MAX($C$338:$C$346)),$C342,""))</f>
        <v>0</v>
      </c>
      <c r="BF342">
        <f>IF($E342="","",IF(AND(COUNT($E$343:$E$346)&gt;=4,$D342=MIN($D$338:$D$346)),$D342,""))</f>
        <v>0</v>
      </c>
      <c r="BG342">
        <f>IF($A342="","",$A342-WEEKDAY($A342,2)+1)</f>
        <v>0</v>
      </c>
      <c r="BH342">
        <f>IF($A342="","",IF($A341="",1,IF(BG342&lt;&gt;BG341,1,0)))</f>
        <v>0</v>
      </c>
      <c r="BI342">
        <f>IF($A342="","",IF($A343="",1,IF(BG343&lt;&gt;BG342,1,0)))</f>
        <v>0</v>
      </c>
      <c r="BJ342">
        <f>IF($A342="","",IF(BH342=1,$B342,BJ341))</f>
        <v>0</v>
      </c>
      <c r="BK342">
        <f>IF($A342="","",IF(BH342=1,$C342,MAX($C342,BK341)))</f>
        <v>0</v>
      </c>
      <c r="BL342">
        <f>IF($A342="","",IF(BH342=1,$D342,MIN($D342,BL341)))</f>
        <v>0</v>
      </c>
      <c r="BM342">
        <f>IF($A342="","",IF(BI342=1,F342,""))</f>
        <v>0</v>
      </c>
      <c r="BN342">
        <f>IF($A342="","",DATE(YEAR($A342),MONTH($A342),1))</f>
        <v>0</v>
      </c>
      <c r="BO342">
        <f>IF($A342="","",IF($A341="",1,IF(BN342&lt;&gt;BN341,1,0)))</f>
        <v>0</v>
      </c>
      <c r="BP342">
        <f>IF($A342="","",IF($A343="",1,IF(BN343&lt;&gt;BN342,1,0)))</f>
        <v>0</v>
      </c>
      <c r="BQ342">
        <f>IF($A342="","",IF(BO342=1,$B342,BQ341))</f>
        <v>0</v>
      </c>
      <c r="BR342">
        <f>IF($A342="","",IF(BO342=1,$C342,MAX($C342,BR341)))</f>
        <v>0</v>
      </c>
      <c r="BS342">
        <f>IF($A342="","",IF(BO342=1,$D342,MIN($D342,BS341)))</f>
        <v>0</v>
      </c>
      <c r="BT342">
        <f>IF($A342="","",IF(BP342=1,F342,""))</f>
        <v>0</v>
      </c>
    </row>
    <row r="343" spans="1:72">
      <c r="A343" s="27">
        <f>IF(Data!$A343="","",Data!$A343)</f>
        <v>0</v>
      </c>
      <c r="B343">
        <f>IF(Data!$B343="","",Data!$B343)</f>
        <v>0</v>
      </c>
      <c r="C343">
        <f>IF(Data!$C343="","",Data!$C343)</f>
        <v>0</v>
      </c>
      <c r="D343">
        <f>IF(Data!$D343="","",Data!$D343)</f>
        <v>0</v>
      </c>
      <c r="E343">
        <f>IF(Data!$E343="","",Data!$E343)</f>
        <v>0</v>
      </c>
      <c r="F343">
        <f>IF($E343="","",N(F342)+1)</f>
        <v>0</v>
      </c>
      <c r="G343">
        <f>IF(OR($E343="",$E342=""),"",LN($E343/$E342))</f>
        <v>0</v>
      </c>
      <c r="H343">
        <f>IF($E343="","",IF($E342="",$E343,$E343*0.0952380952+H342*0.9047619048))</f>
        <v>0</v>
      </c>
      <c r="I343">
        <f>IF($E343="","",IF($E342="",$E343,$E343*0.0392156863+I342*0.9607843137))</f>
        <v>0</v>
      </c>
      <c r="J343">
        <f>IF($E343="","",IF($E342="",$E343,$E343*0.0198019802+J342*0.9801980198))</f>
        <v>0</v>
      </c>
      <c r="K343">
        <f>IF($E343="","",IF($E342="",$E343,$E343*0.0099502488+K342*0.9900497512))</f>
        <v>0</v>
      </c>
      <c r="L343">
        <f>IF(OR($E343="",$E342=""),"",MAX($E343-$E342,0))</f>
        <v>0</v>
      </c>
      <c r="M343">
        <f>IF(OR($E343="",$E342=""),"",MAX($E342-$E343,0))</f>
        <v>0</v>
      </c>
      <c r="N343">
        <f>IF(COUNT($E$2:$E343)&lt;15,"",IF(AVERAGE($M$330:$M$343)=0,100,100-100/(1+AVERAGE($L$330:$L$343)/AVERAGE($M$330:$M$343))))</f>
        <v>0</v>
      </c>
      <c r="O343">
        <f>IF($E343="","",IF($E342="",$E343,$E343*0.1538461538+O342*0.8461538462))</f>
        <v>0</v>
      </c>
      <c r="P343">
        <f>IF($E343="","",IF($E342="",$E343,$E343*0.0740740741+P342*0.9259259259))</f>
        <v>0</v>
      </c>
      <c r="Q343">
        <f>IF(OR(O343="",P343=""),"",O343-P343)</f>
        <v>0</v>
      </c>
      <c r="R343">
        <f>IF(Q343="","",IF(R342="",Q343,Q343*0.2000000000+R342*0.8000000000))</f>
        <v>0</v>
      </c>
      <c r="S343">
        <f>IF(OR(Q343="",R343=""),"",Q343-R343)</f>
        <v>0</v>
      </c>
      <c r="T343">
        <f>IF(COUNT($E$2:$E343)&lt;14,"",MAX($C$330:$C$343))</f>
        <v>0</v>
      </c>
      <c r="U343">
        <f>IF(COUNT($E$2:$E343)&lt;14,"",MIN($D$330:$D$343))</f>
        <v>0</v>
      </c>
      <c r="V343">
        <f>IF(OR(T343="",U343="",T343=U343),"",100*($E343-U343)/(T343-U343))</f>
        <v>0</v>
      </c>
      <c r="W343">
        <f>IF(COUNT($V$341:$V$343)&lt;3,"",AVERAGE($V$341:$V$343))</f>
        <v>0</v>
      </c>
      <c r="X343">
        <f>IF(COUNT($N$330:$N$343)&lt;14,"",MIN($N$330:$N$343))</f>
        <v>0</v>
      </c>
      <c r="Y343">
        <f>IF(COUNT($N$330:$N$343)&lt;14,"",MAX($N$330:$N$343))</f>
        <v>0</v>
      </c>
      <c r="Z343">
        <f>IF(OR(N343="",X343="",Y343="",Y343=X343),"",100*(N343-X343)/(Y343-X343))</f>
        <v>0</v>
      </c>
      <c r="AA343">
        <f>IF(COUNT($Z$341:$Z$343)&lt;3,"",AVERAGE($Z$341:$Z$343))</f>
        <v>0</v>
      </c>
      <c r="AB343">
        <f>IF(COUNT($AA$341:$AA$343)&lt;3,"",AVERAGE($AA$341:$AA$343))</f>
        <v>0</v>
      </c>
      <c r="AC343">
        <f>IF($E343="","",MAX($C343-$D343,ABS($C343-$E342),ABS($D343-$E342)))</f>
        <v>0</v>
      </c>
      <c r="AD343">
        <f>IF(COUNT($E$2:$E343)&lt;15,"",AVERAGE($AC$330:$AC$343))</f>
        <v>0</v>
      </c>
      <c r="AE343">
        <f>IF(OR($E343="",$E342=""),"",IF(AND(($C343-$C342)&gt;($D342-$D343),($C343-$C342)&gt;0),$C343-$C342,0))</f>
        <v>0</v>
      </c>
      <c r="AF343">
        <f>IF(OR($E343="",$E342=""),"",IF(AND(($D342-$D343)&gt;($C343-$C342),($D342-$D343)&gt;0),$D342-$D343,0))</f>
        <v>0</v>
      </c>
      <c r="AG343">
        <f>IF(COUNT($E$2:$E343)&lt;15,"",IF(SUM($AC$330:$AC$343)=0,0,100*SUM($AE$330:$AE$343)/SUM($AC$330:$AC$343)))</f>
        <v>0</v>
      </c>
      <c r="AH343">
        <f>IF(COUNT($E$2:$E343)&lt;15,"",IF(SUM($AC$330:$AC$343)=0,0,100*SUM($AF$330:$AF$343)/SUM($AC$330:$AC$343)))</f>
        <v>0</v>
      </c>
      <c r="AI343">
        <f>IF(OR(AG343="",AH343=""),"",IF((AG343+AH343)=0,0,100*ABS(AG343-AH343)/(AG343+AH343)))</f>
        <v>0</v>
      </c>
      <c r="AJ343">
        <f>IF(COUNT($AI$330:$AI$343)&lt;14,"",AVERAGE($AI$330:$AI$343))</f>
        <v>0</v>
      </c>
      <c r="AK343">
        <f>IF(COUNT($E$2:$E343)&lt;20,"",AVERAGE($E$324:$E$343))</f>
        <v>0</v>
      </c>
      <c r="AL343">
        <f>IF(COUNT($E$2:$E343)&lt;20,"",STDEVP($E$324:$E$343))</f>
        <v>0</v>
      </c>
      <c r="AM343">
        <f>IF(AK343="","",AK343+2*AL343)</f>
        <v>0</v>
      </c>
      <c r="AN343">
        <f>IF(AK343="","",AK343-2*AL343)</f>
        <v>0</v>
      </c>
      <c r="AO343">
        <f>IF(OR(AM343="",AN343="",AM343=AN343),"",($E343-AN343)/(AM343-AN343))</f>
        <v>0</v>
      </c>
      <c r="AP343">
        <f>IF(OR(AM343="",AK343="",AK343=0),"",(AM343-AN343)/AK343)</f>
        <v>0</v>
      </c>
      <c r="AQ343">
        <f>IF(COUNT($E$2:$E343)&lt;20,"",MAX($C$324:$C$343))</f>
        <v>0</v>
      </c>
      <c r="AR343">
        <f>IF(COUNT($E$2:$E343)&lt;20,"",MIN($D$324:$D$343))</f>
        <v>0</v>
      </c>
      <c r="AS343">
        <f>IF(OR(AQ343="",AR343=""),"",(AQ343+AR343)/2)</f>
        <v>0</v>
      </c>
      <c r="AT343">
        <f>IF(COUNT($G$324:$G$343)&lt;20,"",STDEV($G$324:$G$343)*SQRT(252))</f>
        <v>0</v>
      </c>
      <c r="AU343">
        <f>IF(COUNT($E$2:$E343)&lt;9,"",(MAX($C$335:$C$343)+MIN($D$335:$D$343))/2)</f>
        <v>0</v>
      </c>
      <c r="AV343">
        <f>IF(COUNT($E$2:$E343)&lt;26,"",(MAX($C$318:$C$343)+MIN($D$318:$D$343))/2)</f>
        <v>0</v>
      </c>
      <c r="AW343">
        <f>IF(OR(AU343="",AV343=""),"",(AU343+AV343)/2)</f>
        <v>0</v>
      </c>
      <c r="AX343">
        <f>IF(COUNT($E$2:$E343)&lt;52,"",(MAX($C$292:$C$343)+MIN($D$292:$D$343))/2)</f>
        <v>0</v>
      </c>
      <c r="AY343">
        <f>IF(COUNT($E$2:$E343)&lt;20,"",MAX($C$244:$C$343))</f>
        <v>0</v>
      </c>
      <c r="AZ343">
        <f>IF(COUNT($E$2:$E343)&lt;20,"",MIN($D$244:$D$343))</f>
        <v>0</v>
      </c>
      <c r="BA343">
        <f>IF(COUNT($E$2:$E343)&lt;20,"",SLOPE($E$244:$E$343,$F$244:$F$343))</f>
        <v>0</v>
      </c>
      <c r="BB343">
        <f>IF(COUNT($E$2:$E343)&lt;20,"",INTERCEPT($E$244:$E$343,$F$244:$F$343))</f>
        <v>0</v>
      </c>
      <c r="BC343">
        <f>IF(OR(BA343="",BB343=""),"",BB343+BA343*F343)</f>
        <v>0</v>
      </c>
      <c r="BD343">
        <f>IF(COUNT($E$2:$E343)&lt;20,"",STEYX($E$244:$E$343,$F$244:$F$343))</f>
        <v>0</v>
      </c>
      <c r="BE343">
        <f>IF($E343="","",IF(AND(COUNT($E$344:$E$347)&gt;=4,$C343=MAX($C$339:$C$347)),$C343,""))</f>
        <v>0</v>
      </c>
      <c r="BF343">
        <f>IF($E343="","",IF(AND(COUNT($E$344:$E$347)&gt;=4,$D343=MIN($D$339:$D$347)),$D343,""))</f>
        <v>0</v>
      </c>
      <c r="BG343">
        <f>IF($A343="","",$A343-WEEKDAY($A343,2)+1)</f>
        <v>0</v>
      </c>
      <c r="BH343">
        <f>IF($A343="","",IF($A342="",1,IF(BG343&lt;&gt;BG342,1,0)))</f>
        <v>0</v>
      </c>
      <c r="BI343">
        <f>IF($A343="","",IF($A344="",1,IF(BG344&lt;&gt;BG343,1,0)))</f>
        <v>0</v>
      </c>
      <c r="BJ343">
        <f>IF($A343="","",IF(BH343=1,$B343,BJ342))</f>
        <v>0</v>
      </c>
      <c r="BK343">
        <f>IF($A343="","",IF(BH343=1,$C343,MAX($C343,BK342)))</f>
        <v>0</v>
      </c>
      <c r="BL343">
        <f>IF($A343="","",IF(BH343=1,$D343,MIN($D343,BL342)))</f>
        <v>0</v>
      </c>
      <c r="BM343">
        <f>IF($A343="","",IF(BI343=1,F343,""))</f>
        <v>0</v>
      </c>
      <c r="BN343">
        <f>IF($A343="","",DATE(YEAR($A343),MONTH($A343),1))</f>
        <v>0</v>
      </c>
      <c r="BO343">
        <f>IF($A343="","",IF($A342="",1,IF(BN343&lt;&gt;BN342,1,0)))</f>
        <v>0</v>
      </c>
      <c r="BP343">
        <f>IF($A343="","",IF($A344="",1,IF(BN344&lt;&gt;BN343,1,0)))</f>
        <v>0</v>
      </c>
      <c r="BQ343">
        <f>IF($A343="","",IF(BO343=1,$B343,BQ342))</f>
        <v>0</v>
      </c>
      <c r="BR343">
        <f>IF($A343="","",IF(BO343=1,$C343,MAX($C343,BR342)))</f>
        <v>0</v>
      </c>
      <c r="BS343">
        <f>IF($A343="","",IF(BO343=1,$D343,MIN($D343,BS342)))</f>
        <v>0</v>
      </c>
      <c r="BT343">
        <f>IF($A343="","",IF(BP343=1,F343,""))</f>
        <v>0</v>
      </c>
    </row>
    <row r="344" spans="1:72">
      <c r="A344" s="27">
        <f>IF(Data!$A344="","",Data!$A344)</f>
        <v>0</v>
      </c>
      <c r="B344">
        <f>IF(Data!$B344="","",Data!$B344)</f>
        <v>0</v>
      </c>
      <c r="C344">
        <f>IF(Data!$C344="","",Data!$C344)</f>
        <v>0</v>
      </c>
      <c r="D344">
        <f>IF(Data!$D344="","",Data!$D344)</f>
        <v>0</v>
      </c>
      <c r="E344">
        <f>IF(Data!$E344="","",Data!$E344)</f>
        <v>0</v>
      </c>
      <c r="F344">
        <f>IF($E344="","",N(F343)+1)</f>
        <v>0</v>
      </c>
      <c r="G344">
        <f>IF(OR($E344="",$E343=""),"",LN($E344/$E343))</f>
        <v>0</v>
      </c>
      <c r="H344">
        <f>IF($E344="","",IF($E343="",$E344,$E344*0.0952380952+H343*0.9047619048))</f>
        <v>0</v>
      </c>
      <c r="I344">
        <f>IF($E344="","",IF($E343="",$E344,$E344*0.0392156863+I343*0.9607843137))</f>
        <v>0</v>
      </c>
      <c r="J344">
        <f>IF($E344="","",IF($E343="",$E344,$E344*0.0198019802+J343*0.9801980198))</f>
        <v>0</v>
      </c>
      <c r="K344">
        <f>IF($E344="","",IF($E343="",$E344,$E344*0.0099502488+K343*0.9900497512))</f>
        <v>0</v>
      </c>
      <c r="L344">
        <f>IF(OR($E344="",$E343=""),"",MAX($E344-$E343,0))</f>
        <v>0</v>
      </c>
      <c r="M344">
        <f>IF(OR($E344="",$E343=""),"",MAX($E343-$E344,0))</f>
        <v>0</v>
      </c>
      <c r="N344">
        <f>IF(COUNT($E$2:$E344)&lt;15,"",IF(AVERAGE($M$331:$M$344)=0,100,100-100/(1+AVERAGE($L$331:$L$344)/AVERAGE($M$331:$M$344))))</f>
        <v>0</v>
      </c>
      <c r="O344">
        <f>IF($E344="","",IF($E343="",$E344,$E344*0.1538461538+O343*0.8461538462))</f>
        <v>0</v>
      </c>
      <c r="P344">
        <f>IF($E344="","",IF($E343="",$E344,$E344*0.0740740741+P343*0.9259259259))</f>
        <v>0</v>
      </c>
      <c r="Q344">
        <f>IF(OR(O344="",P344=""),"",O344-P344)</f>
        <v>0</v>
      </c>
      <c r="R344">
        <f>IF(Q344="","",IF(R343="",Q344,Q344*0.2000000000+R343*0.8000000000))</f>
        <v>0</v>
      </c>
      <c r="S344">
        <f>IF(OR(Q344="",R344=""),"",Q344-R344)</f>
        <v>0</v>
      </c>
      <c r="T344">
        <f>IF(COUNT($E$2:$E344)&lt;14,"",MAX($C$331:$C$344))</f>
        <v>0</v>
      </c>
      <c r="U344">
        <f>IF(COUNT($E$2:$E344)&lt;14,"",MIN($D$331:$D$344))</f>
        <v>0</v>
      </c>
      <c r="V344">
        <f>IF(OR(T344="",U344="",T344=U344),"",100*($E344-U344)/(T344-U344))</f>
        <v>0</v>
      </c>
      <c r="W344">
        <f>IF(COUNT($V$342:$V$344)&lt;3,"",AVERAGE($V$342:$V$344))</f>
        <v>0</v>
      </c>
      <c r="X344">
        <f>IF(COUNT($N$331:$N$344)&lt;14,"",MIN($N$331:$N$344))</f>
        <v>0</v>
      </c>
      <c r="Y344">
        <f>IF(COUNT($N$331:$N$344)&lt;14,"",MAX($N$331:$N$344))</f>
        <v>0</v>
      </c>
      <c r="Z344">
        <f>IF(OR(N344="",X344="",Y344="",Y344=X344),"",100*(N344-X344)/(Y344-X344))</f>
        <v>0</v>
      </c>
      <c r="AA344">
        <f>IF(COUNT($Z$342:$Z$344)&lt;3,"",AVERAGE($Z$342:$Z$344))</f>
        <v>0</v>
      </c>
      <c r="AB344">
        <f>IF(COUNT($AA$342:$AA$344)&lt;3,"",AVERAGE($AA$342:$AA$344))</f>
        <v>0</v>
      </c>
      <c r="AC344">
        <f>IF($E344="","",MAX($C344-$D344,ABS($C344-$E343),ABS($D344-$E343)))</f>
        <v>0</v>
      </c>
      <c r="AD344">
        <f>IF(COUNT($E$2:$E344)&lt;15,"",AVERAGE($AC$331:$AC$344))</f>
        <v>0</v>
      </c>
      <c r="AE344">
        <f>IF(OR($E344="",$E343=""),"",IF(AND(($C344-$C343)&gt;($D343-$D344),($C344-$C343)&gt;0),$C344-$C343,0))</f>
        <v>0</v>
      </c>
      <c r="AF344">
        <f>IF(OR($E344="",$E343=""),"",IF(AND(($D343-$D344)&gt;($C344-$C343),($D343-$D344)&gt;0),$D343-$D344,0))</f>
        <v>0</v>
      </c>
      <c r="AG344">
        <f>IF(COUNT($E$2:$E344)&lt;15,"",IF(SUM($AC$331:$AC$344)=0,0,100*SUM($AE$331:$AE$344)/SUM($AC$331:$AC$344)))</f>
        <v>0</v>
      </c>
      <c r="AH344">
        <f>IF(COUNT($E$2:$E344)&lt;15,"",IF(SUM($AC$331:$AC$344)=0,0,100*SUM($AF$331:$AF$344)/SUM($AC$331:$AC$344)))</f>
        <v>0</v>
      </c>
      <c r="AI344">
        <f>IF(OR(AG344="",AH344=""),"",IF((AG344+AH344)=0,0,100*ABS(AG344-AH344)/(AG344+AH344)))</f>
        <v>0</v>
      </c>
      <c r="AJ344">
        <f>IF(COUNT($AI$331:$AI$344)&lt;14,"",AVERAGE($AI$331:$AI$344))</f>
        <v>0</v>
      </c>
      <c r="AK344">
        <f>IF(COUNT($E$2:$E344)&lt;20,"",AVERAGE($E$325:$E$344))</f>
        <v>0</v>
      </c>
      <c r="AL344">
        <f>IF(COUNT($E$2:$E344)&lt;20,"",STDEVP($E$325:$E$344))</f>
        <v>0</v>
      </c>
      <c r="AM344">
        <f>IF(AK344="","",AK344+2*AL344)</f>
        <v>0</v>
      </c>
      <c r="AN344">
        <f>IF(AK344="","",AK344-2*AL344)</f>
        <v>0</v>
      </c>
      <c r="AO344">
        <f>IF(OR(AM344="",AN344="",AM344=AN344),"",($E344-AN344)/(AM344-AN344))</f>
        <v>0</v>
      </c>
      <c r="AP344">
        <f>IF(OR(AM344="",AK344="",AK344=0),"",(AM344-AN344)/AK344)</f>
        <v>0</v>
      </c>
      <c r="AQ344">
        <f>IF(COUNT($E$2:$E344)&lt;20,"",MAX($C$325:$C$344))</f>
        <v>0</v>
      </c>
      <c r="AR344">
        <f>IF(COUNT($E$2:$E344)&lt;20,"",MIN($D$325:$D$344))</f>
        <v>0</v>
      </c>
      <c r="AS344">
        <f>IF(OR(AQ344="",AR344=""),"",(AQ344+AR344)/2)</f>
        <v>0</v>
      </c>
      <c r="AT344">
        <f>IF(COUNT($G$325:$G$344)&lt;20,"",STDEV($G$325:$G$344)*SQRT(252))</f>
        <v>0</v>
      </c>
      <c r="AU344">
        <f>IF(COUNT($E$2:$E344)&lt;9,"",(MAX($C$336:$C$344)+MIN($D$336:$D$344))/2)</f>
        <v>0</v>
      </c>
      <c r="AV344">
        <f>IF(COUNT($E$2:$E344)&lt;26,"",(MAX($C$319:$C$344)+MIN($D$319:$D$344))/2)</f>
        <v>0</v>
      </c>
      <c r="AW344">
        <f>IF(OR(AU344="",AV344=""),"",(AU344+AV344)/2)</f>
        <v>0</v>
      </c>
      <c r="AX344">
        <f>IF(COUNT($E$2:$E344)&lt;52,"",(MAX($C$293:$C$344)+MIN($D$293:$D$344))/2)</f>
        <v>0</v>
      </c>
      <c r="AY344">
        <f>IF(COUNT($E$2:$E344)&lt;20,"",MAX($C$245:$C$344))</f>
        <v>0</v>
      </c>
      <c r="AZ344">
        <f>IF(COUNT($E$2:$E344)&lt;20,"",MIN($D$245:$D$344))</f>
        <v>0</v>
      </c>
      <c r="BA344">
        <f>IF(COUNT($E$2:$E344)&lt;20,"",SLOPE($E$245:$E$344,$F$245:$F$344))</f>
        <v>0</v>
      </c>
      <c r="BB344">
        <f>IF(COUNT($E$2:$E344)&lt;20,"",INTERCEPT($E$245:$E$344,$F$245:$F$344))</f>
        <v>0</v>
      </c>
      <c r="BC344">
        <f>IF(OR(BA344="",BB344=""),"",BB344+BA344*F344)</f>
        <v>0</v>
      </c>
      <c r="BD344">
        <f>IF(COUNT($E$2:$E344)&lt;20,"",STEYX($E$245:$E$344,$F$245:$F$344))</f>
        <v>0</v>
      </c>
      <c r="BE344">
        <f>IF($E344="","",IF(AND(COUNT($E$345:$E$348)&gt;=4,$C344=MAX($C$340:$C$348)),$C344,""))</f>
        <v>0</v>
      </c>
      <c r="BF344">
        <f>IF($E344="","",IF(AND(COUNT($E$345:$E$348)&gt;=4,$D344=MIN($D$340:$D$348)),$D344,""))</f>
        <v>0</v>
      </c>
      <c r="BG344">
        <f>IF($A344="","",$A344-WEEKDAY($A344,2)+1)</f>
        <v>0</v>
      </c>
      <c r="BH344">
        <f>IF($A344="","",IF($A343="",1,IF(BG344&lt;&gt;BG343,1,0)))</f>
        <v>0</v>
      </c>
      <c r="BI344">
        <f>IF($A344="","",IF($A345="",1,IF(BG345&lt;&gt;BG344,1,0)))</f>
        <v>0</v>
      </c>
      <c r="BJ344">
        <f>IF($A344="","",IF(BH344=1,$B344,BJ343))</f>
        <v>0</v>
      </c>
      <c r="BK344">
        <f>IF($A344="","",IF(BH344=1,$C344,MAX($C344,BK343)))</f>
        <v>0</v>
      </c>
      <c r="BL344">
        <f>IF($A344="","",IF(BH344=1,$D344,MIN($D344,BL343)))</f>
        <v>0</v>
      </c>
      <c r="BM344">
        <f>IF($A344="","",IF(BI344=1,F344,""))</f>
        <v>0</v>
      </c>
      <c r="BN344">
        <f>IF($A344="","",DATE(YEAR($A344),MONTH($A344),1))</f>
        <v>0</v>
      </c>
      <c r="BO344">
        <f>IF($A344="","",IF($A343="",1,IF(BN344&lt;&gt;BN343,1,0)))</f>
        <v>0</v>
      </c>
      <c r="BP344">
        <f>IF($A344="","",IF($A345="",1,IF(BN345&lt;&gt;BN344,1,0)))</f>
        <v>0</v>
      </c>
      <c r="BQ344">
        <f>IF($A344="","",IF(BO344=1,$B344,BQ343))</f>
        <v>0</v>
      </c>
      <c r="BR344">
        <f>IF($A344="","",IF(BO344=1,$C344,MAX($C344,BR343)))</f>
        <v>0</v>
      </c>
      <c r="BS344">
        <f>IF($A344="","",IF(BO344=1,$D344,MIN($D344,BS343)))</f>
        <v>0</v>
      </c>
      <c r="BT344">
        <f>IF($A344="","",IF(BP344=1,F344,""))</f>
        <v>0</v>
      </c>
    </row>
    <row r="345" spans="1:72">
      <c r="A345" s="27">
        <f>IF(Data!$A345="","",Data!$A345)</f>
        <v>0</v>
      </c>
      <c r="B345">
        <f>IF(Data!$B345="","",Data!$B345)</f>
        <v>0</v>
      </c>
      <c r="C345">
        <f>IF(Data!$C345="","",Data!$C345)</f>
        <v>0</v>
      </c>
      <c r="D345">
        <f>IF(Data!$D345="","",Data!$D345)</f>
        <v>0</v>
      </c>
      <c r="E345">
        <f>IF(Data!$E345="","",Data!$E345)</f>
        <v>0</v>
      </c>
      <c r="F345">
        <f>IF($E345="","",N(F344)+1)</f>
        <v>0</v>
      </c>
      <c r="G345">
        <f>IF(OR($E345="",$E344=""),"",LN($E345/$E344))</f>
        <v>0</v>
      </c>
      <c r="H345">
        <f>IF($E345="","",IF($E344="",$E345,$E345*0.0952380952+H344*0.9047619048))</f>
        <v>0</v>
      </c>
      <c r="I345">
        <f>IF($E345="","",IF($E344="",$E345,$E345*0.0392156863+I344*0.9607843137))</f>
        <v>0</v>
      </c>
      <c r="J345">
        <f>IF($E345="","",IF($E344="",$E345,$E345*0.0198019802+J344*0.9801980198))</f>
        <v>0</v>
      </c>
      <c r="K345">
        <f>IF($E345="","",IF($E344="",$E345,$E345*0.0099502488+K344*0.9900497512))</f>
        <v>0</v>
      </c>
      <c r="L345">
        <f>IF(OR($E345="",$E344=""),"",MAX($E345-$E344,0))</f>
        <v>0</v>
      </c>
      <c r="M345">
        <f>IF(OR($E345="",$E344=""),"",MAX($E344-$E345,0))</f>
        <v>0</v>
      </c>
      <c r="N345">
        <f>IF(COUNT($E$2:$E345)&lt;15,"",IF(AVERAGE($M$332:$M$345)=0,100,100-100/(1+AVERAGE($L$332:$L$345)/AVERAGE($M$332:$M$345))))</f>
        <v>0</v>
      </c>
      <c r="O345">
        <f>IF($E345="","",IF($E344="",$E345,$E345*0.1538461538+O344*0.8461538462))</f>
        <v>0</v>
      </c>
      <c r="P345">
        <f>IF($E345="","",IF($E344="",$E345,$E345*0.0740740741+P344*0.9259259259))</f>
        <v>0</v>
      </c>
      <c r="Q345">
        <f>IF(OR(O345="",P345=""),"",O345-P345)</f>
        <v>0</v>
      </c>
      <c r="R345">
        <f>IF(Q345="","",IF(R344="",Q345,Q345*0.2000000000+R344*0.8000000000))</f>
        <v>0</v>
      </c>
      <c r="S345">
        <f>IF(OR(Q345="",R345=""),"",Q345-R345)</f>
        <v>0</v>
      </c>
      <c r="T345">
        <f>IF(COUNT($E$2:$E345)&lt;14,"",MAX($C$332:$C$345))</f>
        <v>0</v>
      </c>
      <c r="U345">
        <f>IF(COUNT($E$2:$E345)&lt;14,"",MIN($D$332:$D$345))</f>
        <v>0</v>
      </c>
      <c r="V345">
        <f>IF(OR(T345="",U345="",T345=U345),"",100*($E345-U345)/(T345-U345))</f>
        <v>0</v>
      </c>
      <c r="W345">
        <f>IF(COUNT($V$343:$V$345)&lt;3,"",AVERAGE($V$343:$V$345))</f>
        <v>0</v>
      </c>
      <c r="X345">
        <f>IF(COUNT($N$332:$N$345)&lt;14,"",MIN($N$332:$N$345))</f>
        <v>0</v>
      </c>
      <c r="Y345">
        <f>IF(COUNT($N$332:$N$345)&lt;14,"",MAX($N$332:$N$345))</f>
        <v>0</v>
      </c>
      <c r="Z345">
        <f>IF(OR(N345="",X345="",Y345="",Y345=X345),"",100*(N345-X345)/(Y345-X345))</f>
        <v>0</v>
      </c>
      <c r="AA345">
        <f>IF(COUNT($Z$343:$Z$345)&lt;3,"",AVERAGE($Z$343:$Z$345))</f>
        <v>0</v>
      </c>
      <c r="AB345">
        <f>IF(COUNT($AA$343:$AA$345)&lt;3,"",AVERAGE($AA$343:$AA$345))</f>
        <v>0</v>
      </c>
      <c r="AC345">
        <f>IF($E345="","",MAX($C345-$D345,ABS($C345-$E344),ABS($D345-$E344)))</f>
        <v>0</v>
      </c>
      <c r="AD345">
        <f>IF(COUNT($E$2:$E345)&lt;15,"",AVERAGE($AC$332:$AC$345))</f>
        <v>0</v>
      </c>
      <c r="AE345">
        <f>IF(OR($E345="",$E344=""),"",IF(AND(($C345-$C344)&gt;($D344-$D345),($C345-$C344)&gt;0),$C345-$C344,0))</f>
        <v>0</v>
      </c>
      <c r="AF345">
        <f>IF(OR($E345="",$E344=""),"",IF(AND(($D344-$D345)&gt;($C345-$C344),($D344-$D345)&gt;0),$D344-$D345,0))</f>
        <v>0</v>
      </c>
      <c r="AG345">
        <f>IF(COUNT($E$2:$E345)&lt;15,"",IF(SUM($AC$332:$AC$345)=0,0,100*SUM($AE$332:$AE$345)/SUM($AC$332:$AC$345)))</f>
        <v>0</v>
      </c>
      <c r="AH345">
        <f>IF(COUNT($E$2:$E345)&lt;15,"",IF(SUM($AC$332:$AC$345)=0,0,100*SUM($AF$332:$AF$345)/SUM($AC$332:$AC$345)))</f>
        <v>0</v>
      </c>
      <c r="AI345">
        <f>IF(OR(AG345="",AH345=""),"",IF((AG345+AH345)=0,0,100*ABS(AG345-AH345)/(AG345+AH345)))</f>
        <v>0</v>
      </c>
      <c r="AJ345">
        <f>IF(COUNT($AI$332:$AI$345)&lt;14,"",AVERAGE($AI$332:$AI$345))</f>
        <v>0</v>
      </c>
      <c r="AK345">
        <f>IF(COUNT($E$2:$E345)&lt;20,"",AVERAGE($E$326:$E$345))</f>
        <v>0</v>
      </c>
      <c r="AL345">
        <f>IF(COUNT($E$2:$E345)&lt;20,"",STDEVP($E$326:$E$345))</f>
        <v>0</v>
      </c>
      <c r="AM345">
        <f>IF(AK345="","",AK345+2*AL345)</f>
        <v>0</v>
      </c>
      <c r="AN345">
        <f>IF(AK345="","",AK345-2*AL345)</f>
        <v>0</v>
      </c>
      <c r="AO345">
        <f>IF(OR(AM345="",AN345="",AM345=AN345),"",($E345-AN345)/(AM345-AN345))</f>
        <v>0</v>
      </c>
      <c r="AP345">
        <f>IF(OR(AM345="",AK345="",AK345=0),"",(AM345-AN345)/AK345)</f>
        <v>0</v>
      </c>
      <c r="AQ345">
        <f>IF(COUNT($E$2:$E345)&lt;20,"",MAX($C$326:$C$345))</f>
        <v>0</v>
      </c>
      <c r="AR345">
        <f>IF(COUNT($E$2:$E345)&lt;20,"",MIN($D$326:$D$345))</f>
        <v>0</v>
      </c>
      <c r="AS345">
        <f>IF(OR(AQ345="",AR345=""),"",(AQ345+AR345)/2)</f>
        <v>0</v>
      </c>
      <c r="AT345">
        <f>IF(COUNT($G$326:$G$345)&lt;20,"",STDEV($G$326:$G$345)*SQRT(252))</f>
        <v>0</v>
      </c>
      <c r="AU345">
        <f>IF(COUNT($E$2:$E345)&lt;9,"",(MAX($C$337:$C$345)+MIN($D$337:$D$345))/2)</f>
        <v>0</v>
      </c>
      <c r="AV345">
        <f>IF(COUNT($E$2:$E345)&lt;26,"",(MAX($C$320:$C$345)+MIN($D$320:$D$345))/2)</f>
        <v>0</v>
      </c>
      <c r="AW345">
        <f>IF(OR(AU345="",AV345=""),"",(AU345+AV345)/2)</f>
        <v>0</v>
      </c>
      <c r="AX345">
        <f>IF(COUNT($E$2:$E345)&lt;52,"",(MAX($C$294:$C$345)+MIN($D$294:$D$345))/2)</f>
        <v>0</v>
      </c>
      <c r="AY345">
        <f>IF(COUNT($E$2:$E345)&lt;20,"",MAX($C$246:$C$345))</f>
        <v>0</v>
      </c>
      <c r="AZ345">
        <f>IF(COUNT($E$2:$E345)&lt;20,"",MIN($D$246:$D$345))</f>
        <v>0</v>
      </c>
      <c r="BA345">
        <f>IF(COUNT($E$2:$E345)&lt;20,"",SLOPE($E$246:$E$345,$F$246:$F$345))</f>
        <v>0</v>
      </c>
      <c r="BB345">
        <f>IF(COUNT($E$2:$E345)&lt;20,"",INTERCEPT($E$246:$E$345,$F$246:$F$345))</f>
        <v>0</v>
      </c>
      <c r="BC345">
        <f>IF(OR(BA345="",BB345=""),"",BB345+BA345*F345)</f>
        <v>0</v>
      </c>
      <c r="BD345">
        <f>IF(COUNT($E$2:$E345)&lt;20,"",STEYX($E$246:$E$345,$F$246:$F$345))</f>
        <v>0</v>
      </c>
      <c r="BE345">
        <f>IF($E345="","",IF(AND(COUNT($E$346:$E$349)&gt;=4,$C345=MAX($C$341:$C$349)),$C345,""))</f>
        <v>0</v>
      </c>
      <c r="BF345">
        <f>IF($E345="","",IF(AND(COUNT($E$346:$E$349)&gt;=4,$D345=MIN($D$341:$D$349)),$D345,""))</f>
        <v>0</v>
      </c>
      <c r="BG345">
        <f>IF($A345="","",$A345-WEEKDAY($A345,2)+1)</f>
        <v>0</v>
      </c>
      <c r="BH345">
        <f>IF($A345="","",IF($A344="",1,IF(BG345&lt;&gt;BG344,1,0)))</f>
        <v>0</v>
      </c>
      <c r="BI345">
        <f>IF($A345="","",IF($A346="",1,IF(BG346&lt;&gt;BG345,1,0)))</f>
        <v>0</v>
      </c>
      <c r="BJ345">
        <f>IF($A345="","",IF(BH345=1,$B345,BJ344))</f>
        <v>0</v>
      </c>
      <c r="BK345">
        <f>IF($A345="","",IF(BH345=1,$C345,MAX($C345,BK344)))</f>
        <v>0</v>
      </c>
      <c r="BL345">
        <f>IF($A345="","",IF(BH345=1,$D345,MIN($D345,BL344)))</f>
        <v>0</v>
      </c>
      <c r="BM345">
        <f>IF($A345="","",IF(BI345=1,F345,""))</f>
        <v>0</v>
      </c>
      <c r="BN345">
        <f>IF($A345="","",DATE(YEAR($A345),MONTH($A345),1))</f>
        <v>0</v>
      </c>
      <c r="BO345">
        <f>IF($A345="","",IF($A344="",1,IF(BN345&lt;&gt;BN344,1,0)))</f>
        <v>0</v>
      </c>
      <c r="BP345">
        <f>IF($A345="","",IF($A346="",1,IF(BN346&lt;&gt;BN345,1,0)))</f>
        <v>0</v>
      </c>
      <c r="BQ345">
        <f>IF($A345="","",IF(BO345=1,$B345,BQ344))</f>
        <v>0</v>
      </c>
      <c r="BR345">
        <f>IF($A345="","",IF(BO345=1,$C345,MAX($C345,BR344)))</f>
        <v>0</v>
      </c>
      <c r="BS345">
        <f>IF($A345="","",IF(BO345=1,$D345,MIN($D345,BS344)))</f>
        <v>0</v>
      </c>
      <c r="BT345">
        <f>IF($A345="","",IF(BP345=1,F345,""))</f>
        <v>0</v>
      </c>
    </row>
    <row r="346" spans="1:72">
      <c r="A346" s="27">
        <f>IF(Data!$A346="","",Data!$A346)</f>
        <v>0</v>
      </c>
      <c r="B346">
        <f>IF(Data!$B346="","",Data!$B346)</f>
        <v>0</v>
      </c>
      <c r="C346">
        <f>IF(Data!$C346="","",Data!$C346)</f>
        <v>0</v>
      </c>
      <c r="D346">
        <f>IF(Data!$D346="","",Data!$D346)</f>
        <v>0</v>
      </c>
      <c r="E346">
        <f>IF(Data!$E346="","",Data!$E346)</f>
        <v>0</v>
      </c>
      <c r="F346">
        <f>IF($E346="","",N(F345)+1)</f>
        <v>0</v>
      </c>
      <c r="G346">
        <f>IF(OR($E346="",$E345=""),"",LN($E346/$E345))</f>
        <v>0</v>
      </c>
      <c r="H346">
        <f>IF($E346="","",IF($E345="",$E346,$E346*0.0952380952+H345*0.9047619048))</f>
        <v>0</v>
      </c>
      <c r="I346">
        <f>IF($E346="","",IF($E345="",$E346,$E346*0.0392156863+I345*0.9607843137))</f>
        <v>0</v>
      </c>
      <c r="J346">
        <f>IF($E346="","",IF($E345="",$E346,$E346*0.0198019802+J345*0.9801980198))</f>
        <v>0</v>
      </c>
      <c r="K346">
        <f>IF($E346="","",IF($E345="",$E346,$E346*0.0099502488+K345*0.9900497512))</f>
        <v>0</v>
      </c>
      <c r="L346">
        <f>IF(OR($E346="",$E345=""),"",MAX($E346-$E345,0))</f>
        <v>0</v>
      </c>
      <c r="M346">
        <f>IF(OR($E346="",$E345=""),"",MAX($E345-$E346,0))</f>
        <v>0</v>
      </c>
      <c r="N346">
        <f>IF(COUNT($E$2:$E346)&lt;15,"",IF(AVERAGE($M$333:$M$346)=0,100,100-100/(1+AVERAGE($L$333:$L$346)/AVERAGE($M$333:$M$346))))</f>
        <v>0</v>
      </c>
      <c r="O346">
        <f>IF($E346="","",IF($E345="",$E346,$E346*0.1538461538+O345*0.8461538462))</f>
        <v>0</v>
      </c>
      <c r="P346">
        <f>IF($E346="","",IF($E345="",$E346,$E346*0.0740740741+P345*0.9259259259))</f>
        <v>0</v>
      </c>
      <c r="Q346">
        <f>IF(OR(O346="",P346=""),"",O346-P346)</f>
        <v>0</v>
      </c>
      <c r="R346">
        <f>IF(Q346="","",IF(R345="",Q346,Q346*0.2000000000+R345*0.8000000000))</f>
        <v>0</v>
      </c>
      <c r="S346">
        <f>IF(OR(Q346="",R346=""),"",Q346-R346)</f>
        <v>0</v>
      </c>
      <c r="T346">
        <f>IF(COUNT($E$2:$E346)&lt;14,"",MAX($C$333:$C$346))</f>
        <v>0</v>
      </c>
      <c r="U346">
        <f>IF(COUNT($E$2:$E346)&lt;14,"",MIN($D$333:$D$346))</f>
        <v>0</v>
      </c>
      <c r="V346">
        <f>IF(OR(T346="",U346="",T346=U346),"",100*($E346-U346)/(T346-U346))</f>
        <v>0</v>
      </c>
      <c r="W346">
        <f>IF(COUNT($V$344:$V$346)&lt;3,"",AVERAGE($V$344:$V$346))</f>
        <v>0</v>
      </c>
      <c r="X346">
        <f>IF(COUNT($N$333:$N$346)&lt;14,"",MIN($N$333:$N$346))</f>
        <v>0</v>
      </c>
      <c r="Y346">
        <f>IF(COUNT($N$333:$N$346)&lt;14,"",MAX($N$333:$N$346))</f>
        <v>0</v>
      </c>
      <c r="Z346">
        <f>IF(OR(N346="",X346="",Y346="",Y346=X346),"",100*(N346-X346)/(Y346-X346))</f>
        <v>0</v>
      </c>
      <c r="AA346">
        <f>IF(COUNT($Z$344:$Z$346)&lt;3,"",AVERAGE($Z$344:$Z$346))</f>
        <v>0</v>
      </c>
      <c r="AB346">
        <f>IF(COUNT($AA$344:$AA$346)&lt;3,"",AVERAGE($AA$344:$AA$346))</f>
        <v>0</v>
      </c>
      <c r="AC346">
        <f>IF($E346="","",MAX($C346-$D346,ABS($C346-$E345),ABS($D346-$E345)))</f>
        <v>0</v>
      </c>
      <c r="AD346">
        <f>IF(COUNT($E$2:$E346)&lt;15,"",AVERAGE($AC$333:$AC$346))</f>
        <v>0</v>
      </c>
      <c r="AE346">
        <f>IF(OR($E346="",$E345=""),"",IF(AND(($C346-$C345)&gt;($D345-$D346),($C346-$C345)&gt;0),$C346-$C345,0))</f>
        <v>0</v>
      </c>
      <c r="AF346">
        <f>IF(OR($E346="",$E345=""),"",IF(AND(($D345-$D346)&gt;($C346-$C345),($D345-$D346)&gt;0),$D345-$D346,0))</f>
        <v>0</v>
      </c>
      <c r="AG346">
        <f>IF(COUNT($E$2:$E346)&lt;15,"",IF(SUM($AC$333:$AC$346)=0,0,100*SUM($AE$333:$AE$346)/SUM($AC$333:$AC$346)))</f>
        <v>0</v>
      </c>
      <c r="AH346">
        <f>IF(COUNT($E$2:$E346)&lt;15,"",IF(SUM($AC$333:$AC$346)=0,0,100*SUM($AF$333:$AF$346)/SUM($AC$333:$AC$346)))</f>
        <v>0</v>
      </c>
      <c r="AI346">
        <f>IF(OR(AG346="",AH346=""),"",IF((AG346+AH346)=0,0,100*ABS(AG346-AH346)/(AG346+AH346)))</f>
        <v>0</v>
      </c>
      <c r="AJ346">
        <f>IF(COUNT($AI$333:$AI$346)&lt;14,"",AVERAGE($AI$333:$AI$346))</f>
        <v>0</v>
      </c>
      <c r="AK346">
        <f>IF(COUNT($E$2:$E346)&lt;20,"",AVERAGE($E$327:$E$346))</f>
        <v>0</v>
      </c>
      <c r="AL346">
        <f>IF(COUNT($E$2:$E346)&lt;20,"",STDEVP($E$327:$E$346))</f>
        <v>0</v>
      </c>
      <c r="AM346">
        <f>IF(AK346="","",AK346+2*AL346)</f>
        <v>0</v>
      </c>
      <c r="AN346">
        <f>IF(AK346="","",AK346-2*AL346)</f>
        <v>0</v>
      </c>
      <c r="AO346">
        <f>IF(OR(AM346="",AN346="",AM346=AN346),"",($E346-AN346)/(AM346-AN346))</f>
        <v>0</v>
      </c>
      <c r="AP346">
        <f>IF(OR(AM346="",AK346="",AK346=0),"",(AM346-AN346)/AK346)</f>
        <v>0</v>
      </c>
      <c r="AQ346">
        <f>IF(COUNT($E$2:$E346)&lt;20,"",MAX($C$327:$C$346))</f>
        <v>0</v>
      </c>
      <c r="AR346">
        <f>IF(COUNT($E$2:$E346)&lt;20,"",MIN($D$327:$D$346))</f>
        <v>0</v>
      </c>
      <c r="AS346">
        <f>IF(OR(AQ346="",AR346=""),"",(AQ346+AR346)/2)</f>
        <v>0</v>
      </c>
      <c r="AT346">
        <f>IF(COUNT($G$327:$G$346)&lt;20,"",STDEV($G$327:$G$346)*SQRT(252))</f>
        <v>0</v>
      </c>
      <c r="AU346">
        <f>IF(COUNT($E$2:$E346)&lt;9,"",(MAX($C$338:$C$346)+MIN($D$338:$D$346))/2)</f>
        <v>0</v>
      </c>
      <c r="AV346">
        <f>IF(COUNT($E$2:$E346)&lt;26,"",(MAX($C$321:$C$346)+MIN($D$321:$D$346))/2)</f>
        <v>0</v>
      </c>
      <c r="AW346">
        <f>IF(OR(AU346="",AV346=""),"",(AU346+AV346)/2)</f>
        <v>0</v>
      </c>
      <c r="AX346">
        <f>IF(COUNT($E$2:$E346)&lt;52,"",(MAX($C$295:$C$346)+MIN($D$295:$D$346))/2)</f>
        <v>0</v>
      </c>
      <c r="AY346">
        <f>IF(COUNT($E$2:$E346)&lt;20,"",MAX($C$247:$C$346))</f>
        <v>0</v>
      </c>
      <c r="AZ346">
        <f>IF(COUNT($E$2:$E346)&lt;20,"",MIN($D$247:$D$346))</f>
        <v>0</v>
      </c>
      <c r="BA346">
        <f>IF(COUNT($E$2:$E346)&lt;20,"",SLOPE($E$247:$E$346,$F$247:$F$346))</f>
        <v>0</v>
      </c>
      <c r="BB346">
        <f>IF(COUNT($E$2:$E346)&lt;20,"",INTERCEPT($E$247:$E$346,$F$247:$F$346))</f>
        <v>0</v>
      </c>
      <c r="BC346">
        <f>IF(OR(BA346="",BB346=""),"",BB346+BA346*F346)</f>
        <v>0</v>
      </c>
      <c r="BD346">
        <f>IF(COUNT($E$2:$E346)&lt;20,"",STEYX($E$247:$E$346,$F$247:$F$346))</f>
        <v>0</v>
      </c>
      <c r="BE346">
        <f>IF($E346="","",IF(AND(COUNT($E$347:$E$350)&gt;=4,$C346=MAX($C$342:$C$350)),$C346,""))</f>
        <v>0</v>
      </c>
      <c r="BF346">
        <f>IF($E346="","",IF(AND(COUNT($E$347:$E$350)&gt;=4,$D346=MIN($D$342:$D$350)),$D346,""))</f>
        <v>0</v>
      </c>
      <c r="BG346">
        <f>IF($A346="","",$A346-WEEKDAY($A346,2)+1)</f>
        <v>0</v>
      </c>
      <c r="BH346">
        <f>IF($A346="","",IF($A345="",1,IF(BG346&lt;&gt;BG345,1,0)))</f>
        <v>0</v>
      </c>
      <c r="BI346">
        <f>IF($A346="","",IF($A347="",1,IF(BG347&lt;&gt;BG346,1,0)))</f>
        <v>0</v>
      </c>
      <c r="BJ346">
        <f>IF($A346="","",IF(BH346=1,$B346,BJ345))</f>
        <v>0</v>
      </c>
      <c r="BK346">
        <f>IF($A346="","",IF(BH346=1,$C346,MAX($C346,BK345)))</f>
        <v>0</v>
      </c>
      <c r="BL346">
        <f>IF($A346="","",IF(BH346=1,$D346,MIN($D346,BL345)))</f>
        <v>0</v>
      </c>
      <c r="BM346">
        <f>IF($A346="","",IF(BI346=1,F346,""))</f>
        <v>0</v>
      </c>
      <c r="BN346">
        <f>IF($A346="","",DATE(YEAR($A346),MONTH($A346),1))</f>
        <v>0</v>
      </c>
      <c r="BO346">
        <f>IF($A346="","",IF($A345="",1,IF(BN346&lt;&gt;BN345,1,0)))</f>
        <v>0</v>
      </c>
      <c r="BP346">
        <f>IF($A346="","",IF($A347="",1,IF(BN347&lt;&gt;BN346,1,0)))</f>
        <v>0</v>
      </c>
      <c r="BQ346">
        <f>IF($A346="","",IF(BO346=1,$B346,BQ345))</f>
        <v>0</v>
      </c>
      <c r="BR346">
        <f>IF($A346="","",IF(BO346=1,$C346,MAX($C346,BR345)))</f>
        <v>0</v>
      </c>
      <c r="BS346">
        <f>IF($A346="","",IF(BO346=1,$D346,MIN($D346,BS345)))</f>
        <v>0</v>
      </c>
      <c r="BT346">
        <f>IF($A346="","",IF(BP346=1,F346,""))</f>
        <v>0</v>
      </c>
    </row>
    <row r="347" spans="1:72">
      <c r="A347" s="27">
        <f>IF(Data!$A347="","",Data!$A347)</f>
        <v>0</v>
      </c>
      <c r="B347">
        <f>IF(Data!$B347="","",Data!$B347)</f>
        <v>0</v>
      </c>
      <c r="C347">
        <f>IF(Data!$C347="","",Data!$C347)</f>
        <v>0</v>
      </c>
      <c r="D347">
        <f>IF(Data!$D347="","",Data!$D347)</f>
        <v>0</v>
      </c>
      <c r="E347">
        <f>IF(Data!$E347="","",Data!$E347)</f>
        <v>0</v>
      </c>
      <c r="F347">
        <f>IF($E347="","",N(F346)+1)</f>
        <v>0</v>
      </c>
      <c r="G347">
        <f>IF(OR($E347="",$E346=""),"",LN($E347/$E346))</f>
        <v>0</v>
      </c>
      <c r="H347">
        <f>IF($E347="","",IF($E346="",$E347,$E347*0.0952380952+H346*0.9047619048))</f>
        <v>0</v>
      </c>
      <c r="I347">
        <f>IF($E347="","",IF($E346="",$E347,$E347*0.0392156863+I346*0.9607843137))</f>
        <v>0</v>
      </c>
      <c r="J347">
        <f>IF($E347="","",IF($E346="",$E347,$E347*0.0198019802+J346*0.9801980198))</f>
        <v>0</v>
      </c>
      <c r="K347">
        <f>IF($E347="","",IF($E346="",$E347,$E347*0.0099502488+K346*0.9900497512))</f>
        <v>0</v>
      </c>
      <c r="L347">
        <f>IF(OR($E347="",$E346=""),"",MAX($E347-$E346,0))</f>
        <v>0</v>
      </c>
      <c r="M347">
        <f>IF(OR($E347="",$E346=""),"",MAX($E346-$E347,0))</f>
        <v>0</v>
      </c>
      <c r="N347">
        <f>IF(COUNT($E$2:$E347)&lt;15,"",IF(AVERAGE($M$334:$M$347)=0,100,100-100/(1+AVERAGE($L$334:$L$347)/AVERAGE($M$334:$M$347))))</f>
        <v>0</v>
      </c>
      <c r="O347">
        <f>IF($E347="","",IF($E346="",$E347,$E347*0.1538461538+O346*0.8461538462))</f>
        <v>0</v>
      </c>
      <c r="P347">
        <f>IF($E347="","",IF($E346="",$E347,$E347*0.0740740741+P346*0.9259259259))</f>
        <v>0</v>
      </c>
      <c r="Q347">
        <f>IF(OR(O347="",P347=""),"",O347-P347)</f>
        <v>0</v>
      </c>
      <c r="R347">
        <f>IF(Q347="","",IF(R346="",Q347,Q347*0.2000000000+R346*0.8000000000))</f>
        <v>0</v>
      </c>
      <c r="S347">
        <f>IF(OR(Q347="",R347=""),"",Q347-R347)</f>
        <v>0</v>
      </c>
      <c r="T347">
        <f>IF(COUNT($E$2:$E347)&lt;14,"",MAX($C$334:$C$347))</f>
        <v>0</v>
      </c>
      <c r="U347">
        <f>IF(COUNT($E$2:$E347)&lt;14,"",MIN($D$334:$D$347))</f>
        <v>0</v>
      </c>
      <c r="V347">
        <f>IF(OR(T347="",U347="",T347=U347),"",100*($E347-U347)/(T347-U347))</f>
        <v>0</v>
      </c>
      <c r="W347">
        <f>IF(COUNT($V$345:$V$347)&lt;3,"",AVERAGE($V$345:$V$347))</f>
        <v>0</v>
      </c>
      <c r="X347">
        <f>IF(COUNT($N$334:$N$347)&lt;14,"",MIN($N$334:$N$347))</f>
        <v>0</v>
      </c>
      <c r="Y347">
        <f>IF(COUNT($N$334:$N$347)&lt;14,"",MAX($N$334:$N$347))</f>
        <v>0</v>
      </c>
      <c r="Z347">
        <f>IF(OR(N347="",X347="",Y347="",Y347=X347),"",100*(N347-X347)/(Y347-X347))</f>
        <v>0</v>
      </c>
      <c r="AA347">
        <f>IF(COUNT($Z$345:$Z$347)&lt;3,"",AVERAGE($Z$345:$Z$347))</f>
        <v>0</v>
      </c>
      <c r="AB347">
        <f>IF(COUNT($AA$345:$AA$347)&lt;3,"",AVERAGE($AA$345:$AA$347))</f>
        <v>0</v>
      </c>
      <c r="AC347">
        <f>IF($E347="","",MAX($C347-$D347,ABS($C347-$E346),ABS($D347-$E346)))</f>
        <v>0</v>
      </c>
      <c r="AD347">
        <f>IF(COUNT($E$2:$E347)&lt;15,"",AVERAGE($AC$334:$AC$347))</f>
        <v>0</v>
      </c>
      <c r="AE347">
        <f>IF(OR($E347="",$E346=""),"",IF(AND(($C347-$C346)&gt;($D346-$D347),($C347-$C346)&gt;0),$C347-$C346,0))</f>
        <v>0</v>
      </c>
      <c r="AF347">
        <f>IF(OR($E347="",$E346=""),"",IF(AND(($D346-$D347)&gt;($C347-$C346),($D346-$D347)&gt;0),$D346-$D347,0))</f>
        <v>0</v>
      </c>
      <c r="AG347">
        <f>IF(COUNT($E$2:$E347)&lt;15,"",IF(SUM($AC$334:$AC$347)=0,0,100*SUM($AE$334:$AE$347)/SUM($AC$334:$AC$347)))</f>
        <v>0</v>
      </c>
      <c r="AH347">
        <f>IF(COUNT($E$2:$E347)&lt;15,"",IF(SUM($AC$334:$AC$347)=0,0,100*SUM($AF$334:$AF$347)/SUM($AC$334:$AC$347)))</f>
        <v>0</v>
      </c>
      <c r="AI347">
        <f>IF(OR(AG347="",AH347=""),"",IF((AG347+AH347)=0,0,100*ABS(AG347-AH347)/(AG347+AH347)))</f>
        <v>0</v>
      </c>
      <c r="AJ347">
        <f>IF(COUNT($AI$334:$AI$347)&lt;14,"",AVERAGE($AI$334:$AI$347))</f>
        <v>0</v>
      </c>
      <c r="AK347">
        <f>IF(COUNT($E$2:$E347)&lt;20,"",AVERAGE($E$328:$E$347))</f>
        <v>0</v>
      </c>
      <c r="AL347">
        <f>IF(COUNT($E$2:$E347)&lt;20,"",STDEVP($E$328:$E$347))</f>
        <v>0</v>
      </c>
      <c r="AM347">
        <f>IF(AK347="","",AK347+2*AL347)</f>
        <v>0</v>
      </c>
      <c r="AN347">
        <f>IF(AK347="","",AK347-2*AL347)</f>
        <v>0</v>
      </c>
      <c r="AO347">
        <f>IF(OR(AM347="",AN347="",AM347=AN347),"",($E347-AN347)/(AM347-AN347))</f>
        <v>0</v>
      </c>
      <c r="AP347">
        <f>IF(OR(AM347="",AK347="",AK347=0),"",(AM347-AN347)/AK347)</f>
        <v>0</v>
      </c>
      <c r="AQ347">
        <f>IF(COUNT($E$2:$E347)&lt;20,"",MAX($C$328:$C$347))</f>
        <v>0</v>
      </c>
      <c r="AR347">
        <f>IF(COUNT($E$2:$E347)&lt;20,"",MIN($D$328:$D$347))</f>
        <v>0</v>
      </c>
      <c r="AS347">
        <f>IF(OR(AQ347="",AR347=""),"",(AQ347+AR347)/2)</f>
        <v>0</v>
      </c>
      <c r="AT347">
        <f>IF(COUNT($G$328:$G$347)&lt;20,"",STDEV($G$328:$G$347)*SQRT(252))</f>
        <v>0</v>
      </c>
      <c r="AU347">
        <f>IF(COUNT($E$2:$E347)&lt;9,"",(MAX($C$339:$C$347)+MIN($D$339:$D$347))/2)</f>
        <v>0</v>
      </c>
      <c r="AV347">
        <f>IF(COUNT($E$2:$E347)&lt;26,"",(MAX($C$322:$C$347)+MIN($D$322:$D$347))/2)</f>
        <v>0</v>
      </c>
      <c r="AW347">
        <f>IF(OR(AU347="",AV347=""),"",(AU347+AV347)/2)</f>
        <v>0</v>
      </c>
      <c r="AX347">
        <f>IF(COUNT($E$2:$E347)&lt;52,"",(MAX($C$296:$C$347)+MIN($D$296:$D$347))/2)</f>
        <v>0</v>
      </c>
      <c r="AY347">
        <f>IF(COUNT($E$2:$E347)&lt;20,"",MAX($C$248:$C$347))</f>
        <v>0</v>
      </c>
      <c r="AZ347">
        <f>IF(COUNT($E$2:$E347)&lt;20,"",MIN($D$248:$D$347))</f>
        <v>0</v>
      </c>
      <c r="BA347">
        <f>IF(COUNT($E$2:$E347)&lt;20,"",SLOPE($E$248:$E$347,$F$248:$F$347))</f>
        <v>0</v>
      </c>
      <c r="BB347">
        <f>IF(COUNT($E$2:$E347)&lt;20,"",INTERCEPT($E$248:$E$347,$F$248:$F$347))</f>
        <v>0</v>
      </c>
      <c r="BC347">
        <f>IF(OR(BA347="",BB347=""),"",BB347+BA347*F347)</f>
        <v>0</v>
      </c>
      <c r="BD347">
        <f>IF(COUNT($E$2:$E347)&lt;20,"",STEYX($E$248:$E$347,$F$248:$F$347))</f>
        <v>0</v>
      </c>
      <c r="BE347">
        <f>IF($E347="","",IF(AND(COUNT($E$348:$E$351)&gt;=4,$C347=MAX($C$343:$C$351)),$C347,""))</f>
        <v>0</v>
      </c>
      <c r="BF347">
        <f>IF($E347="","",IF(AND(COUNT($E$348:$E$351)&gt;=4,$D347=MIN($D$343:$D$351)),$D347,""))</f>
        <v>0</v>
      </c>
      <c r="BG347">
        <f>IF($A347="","",$A347-WEEKDAY($A347,2)+1)</f>
        <v>0</v>
      </c>
      <c r="BH347">
        <f>IF($A347="","",IF($A346="",1,IF(BG347&lt;&gt;BG346,1,0)))</f>
        <v>0</v>
      </c>
      <c r="BI347">
        <f>IF($A347="","",IF($A348="",1,IF(BG348&lt;&gt;BG347,1,0)))</f>
        <v>0</v>
      </c>
      <c r="BJ347">
        <f>IF($A347="","",IF(BH347=1,$B347,BJ346))</f>
        <v>0</v>
      </c>
      <c r="BK347">
        <f>IF($A347="","",IF(BH347=1,$C347,MAX($C347,BK346)))</f>
        <v>0</v>
      </c>
      <c r="BL347">
        <f>IF($A347="","",IF(BH347=1,$D347,MIN($D347,BL346)))</f>
        <v>0</v>
      </c>
      <c r="BM347">
        <f>IF($A347="","",IF(BI347=1,F347,""))</f>
        <v>0</v>
      </c>
      <c r="BN347">
        <f>IF($A347="","",DATE(YEAR($A347),MONTH($A347),1))</f>
        <v>0</v>
      </c>
      <c r="BO347">
        <f>IF($A347="","",IF($A346="",1,IF(BN347&lt;&gt;BN346,1,0)))</f>
        <v>0</v>
      </c>
      <c r="BP347">
        <f>IF($A347="","",IF($A348="",1,IF(BN348&lt;&gt;BN347,1,0)))</f>
        <v>0</v>
      </c>
      <c r="BQ347">
        <f>IF($A347="","",IF(BO347=1,$B347,BQ346))</f>
        <v>0</v>
      </c>
      <c r="BR347">
        <f>IF($A347="","",IF(BO347=1,$C347,MAX($C347,BR346)))</f>
        <v>0</v>
      </c>
      <c r="BS347">
        <f>IF($A347="","",IF(BO347=1,$D347,MIN($D347,BS346)))</f>
        <v>0</v>
      </c>
      <c r="BT347">
        <f>IF($A347="","",IF(BP347=1,F347,""))</f>
        <v>0</v>
      </c>
    </row>
    <row r="348" spans="1:72">
      <c r="A348" s="27">
        <f>IF(Data!$A348="","",Data!$A348)</f>
        <v>0</v>
      </c>
      <c r="B348">
        <f>IF(Data!$B348="","",Data!$B348)</f>
        <v>0</v>
      </c>
      <c r="C348">
        <f>IF(Data!$C348="","",Data!$C348)</f>
        <v>0</v>
      </c>
      <c r="D348">
        <f>IF(Data!$D348="","",Data!$D348)</f>
        <v>0</v>
      </c>
      <c r="E348">
        <f>IF(Data!$E348="","",Data!$E348)</f>
        <v>0</v>
      </c>
      <c r="F348">
        <f>IF($E348="","",N(F347)+1)</f>
        <v>0</v>
      </c>
      <c r="G348">
        <f>IF(OR($E348="",$E347=""),"",LN($E348/$E347))</f>
        <v>0</v>
      </c>
      <c r="H348">
        <f>IF($E348="","",IF($E347="",$E348,$E348*0.0952380952+H347*0.9047619048))</f>
        <v>0</v>
      </c>
      <c r="I348">
        <f>IF($E348="","",IF($E347="",$E348,$E348*0.0392156863+I347*0.9607843137))</f>
        <v>0</v>
      </c>
      <c r="J348">
        <f>IF($E348="","",IF($E347="",$E348,$E348*0.0198019802+J347*0.9801980198))</f>
        <v>0</v>
      </c>
      <c r="K348">
        <f>IF($E348="","",IF($E347="",$E348,$E348*0.0099502488+K347*0.9900497512))</f>
        <v>0</v>
      </c>
      <c r="L348">
        <f>IF(OR($E348="",$E347=""),"",MAX($E348-$E347,0))</f>
        <v>0</v>
      </c>
      <c r="M348">
        <f>IF(OR($E348="",$E347=""),"",MAX($E347-$E348,0))</f>
        <v>0</v>
      </c>
      <c r="N348">
        <f>IF(COUNT($E$2:$E348)&lt;15,"",IF(AVERAGE($M$335:$M$348)=0,100,100-100/(1+AVERAGE($L$335:$L$348)/AVERAGE($M$335:$M$348))))</f>
        <v>0</v>
      </c>
      <c r="O348">
        <f>IF($E348="","",IF($E347="",$E348,$E348*0.1538461538+O347*0.8461538462))</f>
        <v>0</v>
      </c>
      <c r="P348">
        <f>IF($E348="","",IF($E347="",$E348,$E348*0.0740740741+P347*0.9259259259))</f>
        <v>0</v>
      </c>
      <c r="Q348">
        <f>IF(OR(O348="",P348=""),"",O348-P348)</f>
        <v>0</v>
      </c>
      <c r="R348">
        <f>IF(Q348="","",IF(R347="",Q348,Q348*0.2000000000+R347*0.8000000000))</f>
        <v>0</v>
      </c>
      <c r="S348">
        <f>IF(OR(Q348="",R348=""),"",Q348-R348)</f>
        <v>0</v>
      </c>
      <c r="T348">
        <f>IF(COUNT($E$2:$E348)&lt;14,"",MAX($C$335:$C$348))</f>
        <v>0</v>
      </c>
      <c r="U348">
        <f>IF(COUNT($E$2:$E348)&lt;14,"",MIN($D$335:$D$348))</f>
        <v>0</v>
      </c>
      <c r="V348">
        <f>IF(OR(T348="",U348="",T348=U348),"",100*($E348-U348)/(T348-U348))</f>
        <v>0</v>
      </c>
      <c r="W348">
        <f>IF(COUNT($V$346:$V$348)&lt;3,"",AVERAGE($V$346:$V$348))</f>
        <v>0</v>
      </c>
      <c r="X348">
        <f>IF(COUNT($N$335:$N$348)&lt;14,"",MIN($N$335:$N$348))</f>
        <v>0</v>
      </c>
      <c r="Y348">
        <f>IF(COUNT($N$335:$N$348)&lt;14,"",MAX($N$335:$N$348))</f>
        <v>0</v>
      </c>
      <c r="Z348">
        <f>IF(OR(N348="",X348="",Y348="",Y348=X348),"",100*(N348-X348)/(Y348-X348))</f>
        <v>0</v>
      </c>
      <c r="AA348">
        <f>IF(COUNT($Z$346:$Z$348)&lt;3,"",AVERAGE($Z$346:$Z$348))</f>
        <v>0</v>
      </c>
      <c r="AB348">
        <f>IF(COUNT($AA$346:$AA$348)&lt;3,"",AVERAGE($AA$346:$AA$348))</f>
        <v>0</v>
      </c>
      <c r="AC348">
        <f>IF($E348="","",MAX($C348-$D348,ABS($C348-$E347),ABS($D348-$E347)))</f>
        <v>0</v>
      </c>
      <c r="AD348">
        <f>IF(COUNT($E$2:$E348)&lt;15,"",AVERAGE($AC$335:$AC$348))</f>
        <v>0</v>
      </c>
      <c r="AE348">
        <f>IF(OR($E348="",$E347=""),"",IF(AND(($C348-$C347)&gt;($D347-$D348),($C348-$C347)&gt;0),$C348-$C347,0))</f>
        <v>0</v>
      </c>
      <c r="AF348">
        <f>IF(OR($E348="",$E347=""),"",IF(AND(($D347-$D348)&gt;($C348-$C347),($D347-$D348)&gt;0),$D347-$D348,0))</f>
        <v>0</v>
      </c>
      <c r="AG348">
        <f>IF(COUNT($E$2:$E348)&lt;15,"",IF(SUM($AC$335:$AC$348)=0,0,100*SUM($AE$335:$AE$348)/SUM($AC$335:$AC$348)))</f>
        <v>0</v>
      </c>
      <c r="AH348">
        <f>IF(COUNT($E$2:$E348)&lt;15,"",IF(SUM($AC$335:$AC$348)=0,0,100*SUM($AF$335:$AF$348)/SUM($AC$335:$AC$348)))</f>
        <v>0</v>
      </c>
      <c r="AI348">
        <f>IF(OR(AG348="",AH348=""),"",IF((AG348+AH348)=0,0,100*ABS(AG348-AH348)/(AG348+AH348)))</f>
        <v>0</v>
      </c>
      <c r="AJ348">
        <f>IF(COUNT($AI$335:$AI$348)&lt;14,"",AVERAGE($AI$335:$AI$348))</f>
        <v>0</v>
      </c>
      <c r="AK348">
        <f>IF(COUNT($E$2:$E348)&lt;20,"",AVERAGE($E$329:$E$348))</f>
        <v>0</v>
      </c>
      <c r="AL348">
        <f>IF(COUNT($E$2:$E348)&lt;20,"",STDEVP($E$329:$E$348))</f>
        <v>0</v>
      </c>
      <c r="AM348">
        <f>IF(AK348="","",AK348+2*AL348)</f>
        <v>0</v>
      </c>
      <c r="AN348">
        <f>IF(AK348="","",AK348-2*AL348)</f>
        <v>0</v>
      </c>
      <c r="AO348">
        <f>IF(OR(AM348="",AN348="",AM348=AN348),"",($E348-AN348)/(AM348-AN348))</f>
        <v>0</v>
      </c>
      <c r="AP348">
        <f>IF(OR(AM348="",AK348="",AK348=0),"",(AM348-AN348)/AK348)</f>
        <v>0</v>
      </c>
      <c r="AQ348">
        <f>IF(COUNT($E$2:$E348)&lt;20,"",MAX($C$329:$C$348))</f>
        <v>0</v>
      </c>
      <c r="AR348">
        <f>IF(COUNT($E$2:$E348)&lt;20,"",MIN($D$329:$D$348))</f>
        <v>0</v>
      </c>
      <c r="AS348">
        <f>IF(OR(AQ348="",AR348=""),"",(AQ348+AR348)/2)</f>
        <v>0</v>
      </c>
      <c r="AT348">
        <f>IF(COUNT($G$329:$G$348)&lt;20,"",STDEV($G$329:$G$348)*SQRT(252))</f>
        <v>0</v>
      </c>
      <c r="AU348">
        <f>IF(COUNT($E$2:$E348)&lt;9,"",(MAX($C$340:$C$348)+MIN($D$340:$D$348))/2)</f>
        <v>0</v>
      </c>
      <c r="AV348">
        <f>IF(COUNT($E$2:$E348)&lt;26,"",(MAX($C$323:$C$348)+MIN($D$323:$D$348))/2)</f>
        <v>0</v>
      </c>
      <c r="AW348">
        <f>IF(OR(AU348="",AV348=""),"",(AU348+AV348)/2)</f>
        <v>0</v>
      </c>
      <c r="AX348">
        <f>IF(COUNT($E$2:$E348)&lt;52,"",(MAX($C$297:$C$348)+MIN($D$297:$D$348))/2)</f>
        <v>0</v>
      </c>
      <c r="AY348">
        <f>IF(COUNT($E$2:$E348)&lt;20,"",MAX($C$249:$C$348))</f>
        <v>0</v>
      </c>
      <c r="AZ348">
        <f>IF(COUNT($E$2:$E348)&lt;20,"",MIN($D$249:$D$348))</f>
        <v>0</v>
      </c>
      <c r="BA348">
        <f>IF(COUNT($E$2:$E348)&lt;20,"",SLOPE($E$249:$E$348,$F$249:$F$348))</f>
        <v>0</v>
      </c>
      <c r="BB348">
        <f>IF(COUNT($E$2:$E348)&lt;20,"",INTERCEPT($E$249:$E$348,$F$249:$F$348))</f>
        <v>0</v>
      </c>
      <c r="BC348">
        <f>IF(OR(BA348="",BB348=""),"",BB348+BA348*F348)</f>
        <v>0</v>
      </c>
      <c r="BD348">
        <f>IF(COUNT($E$2:$E348)&lt;20,"",STEYX($E$249:$E$348,$F$249:$F$348))</f>
        <v>0</v>
      </c>
      <c r="BE348">
        <f>IF($E348="","",IF(AND(COUNT($E$349:$E$352)&gt;=4,$C348=MAX($C$344:$C$352)),$C348,""))</f>
        <v>0</v>
      </c>
      <c r="BF348">
        <f>IF($E348="","",IF(AND(COUNT($E$349:$E$352)&gt;=4,$D348=MIN($D$344:$D$352)),$D348,""))</f>
        <v>0</v>
      </c>
      <c r="BG348">
        <f>IF($A348="","",$A348-WEEKDAY($A348,2)+1)</f>
        <v>0</v>
      </c>
      <c r="BH348">
        <f>IF($A348="","",IF($A347="",1,IF(BG348&lt;&gt;BG347,1,0)))</f>
        <v>0</v>
      </c>
      <c r="BI348">
        <f>IF($A348="","",IF($A349="",1,IF(BG349&lt;&gt;BG348,1,0)))</f>
        <v>0</v>
      </c>
      <c r="BJ348">
        <f>IF($A348="","",IF(BH348=1,$B348,BJ347))</f>
        <v>0</v>
      </c>
      <c r="BK348">
        <f>IF($A348="","",IF(BH348=1,$C348,MAX($C348,BK347)))</f>
        <v>0</v>
      </c>
      <c r="BL348">
        <f>IF($A348="","",IF(BH348=1,$D348,MIN($D348,BL347)))</f>
        <v>0</v>
      </c>
      <c r="BM348">
        <f>IF($A348="","",IF(BI348=1,F348,""))</f>
        <v>0</v>
      </c>
      <c r="BN348">
        <f>IF($A348="","",DATE(YEAR($A348),MONTH($A348),1))</f>
        <v>0</v>
      </c>
      <c r="BO348">
        <f>IF($A348="","",IF($A347="",1,IF(BN348&lt;&gt;BN347,1,0)))</f>
        <v>0</v>
      </c>
      <c r="BP348">
        <f>IF($A348="","",IF($A349="",1,IF(BN349&lt;&gt;BN348,1,0)))</f>
        <v>0</v>
      </c>
      <c r="BQ348">
        <f>IF($A348="","",IF(BO348=1,$B348,BQ347))</f>
        <v>0</v>
      </c>
      <c r="BR348">
        <f>IF($A348="","",IF(BO348=1,$C348,MAX($C348,BR347)))</f>
        <v>0</v>
      </c>
      <c r="BS348">
        <f>IF($A348="","",IF(BO348=1,$D348,MIN($D348,BS347)))</f>
        <v>0</v>
      </c>
      <c r="BT348">
        <f>IF($A348="","",IF(BP348=1,F348,""))</f>
        <v>0</v>
      </c>
    </row>
    <row r="349" spans="1:72">
      <c r="A349" s="27">
        <f>IF(Data!$A349="","",Data!$A349)</f>
        <v>0</v>
      </c>
      <c r="B349">
        <f>IF(Data!$B349="","",Data!$B349)</f>
        <v>0</v>
      </c>
      <c r="C349">
        <f>IF(Data!$C349="","",Data!$C349)</f>
        <v>0</v>
      </c>
      <c r="D349">
        <f>IF(Data!$D349="","",Data!$D349)</f>
        <v>0</v>
      </c>
      <c r="E349">
        <f>IF(Data!$E349="","",Data!$E349)</f>
        <v>0</v>
      </c>
      <c r="F349">
        <f>IF($E349="","",N(F348)+1)</f>
        <v>0</v>
      </c>
      <c r="G349">
        <f>IF(OR($E349="",$E348=""),"",LN($E349/$E348))</f>
        <v>0</v>
      </c>
      <c r="H349">
        <f>IF($E349="","",IF($E348="",$E349,$E349*0.0952380952+H348*0.9047619048))</f>
        <v>0</v>
      </c>
      <c r="I349">
        <f>IF($E349="","",IF($E348="",$E349,$E349*0.0392156863+I348*0.9607843137))</f>
        <v>0</v>
      </c>
      <c r="J349">
        <f>IF($E349="","",IF($E348="",$E349,$E349*0.0198019802+J348*0.9801980198))</f>
        <v>0</v>
      </c>
      <c r="K349">
        <f>IF($E349="","",IF($E348="",$E349,$E349*0.0099502488+K348*0.9900497512))</f>
        <v>0</v>
      </c>
      <c r="L349">
        <f>IF(OR($E349="",$E348=""),"",MAX($E349-$E348,0))</f>
        <v>0</v>
      </c>
      <c r="M349">
        <f>IF(OR($E349="",$E348=""),"",MAX($E348-$E349,0))</f>
        <v>0</v>
      </c>
      <c r="N349">
        <f>IF(COUNT($E$2:$E349)&lt;15,"",IF(AVERAGE($M$336:$M$349)=0,100,100-100/(1+AVERAGE($L$336:$L$349)/AVERAGE($M$336:$M$349))))</f>
        <v>0</v>
      </c>
      <c r="O349">
        <f>IF($E349="","",IF($E348="",$E349,$E349*0.1538461538+O348*0.8461538462))</f>
        <v>0</v>
      </c>
      <c r="P349">
        <f>IF($E349="","",IF($E348="",$E349,$E349*0.0740740741+P348*0.9259259259))</f>
        <v>0</v>
      </c>
      <c r="Q349">
        <f>IF(OR(O349="",P349=""),"",O349-P349)</f>
        <v>0</v>
      </c>
      <c r="R349">
        <f>IF(Q349="","",IF(R348="",Q349,Q349*0.2000000000+R348*0.8000000000))</f>
        <v>0</v>
      </c>
      <c r="S349">
        <f>IF(OR(Q349="",R349=""),"",Q349-R349)</f>
        <v>0</v>
      </c>
      <c r="T349">
        <f>IF(COUNT($E$2:$E349)&lt;14,"",MAX($C$336:$C$349))</f>
        <v>0</v>
      </c>
      <c r="U349">
        <f>IF(COUNT($E$2:$E349)&lt;14,"",MIN($D$336:$D$349))</f>
        <v>0</v>
      </c>
      <c r="V349">
        <f>IF(OR(T349="",U349="",T349=U349),"",100*($E349-U349)/(T349-U349))</f>
        <v>0</v>
      </c>
      <c r="W349">
        <f>IF(COUNT($V$347:$V$349)&lt;3,"",AVERAGE($V$347:$V$349))</f>
        <v>0</v>
      </c>
      <c r="X349">
        <f>IF(COUNT($N$336:$N$349)&lt;14,"",MIN($N$336:$N$349))</f>
        <v>0</v>
      </c>
      <c r="Y349">
        <f>IF(COUNT($N$336:$N$349)&lt;14,"",MAX($N$336:$N$349))</f>
        <v>0</v>
      </c>
      <c r="Z349">
        <f>IF(OR(N349="",X349="",Y349="",Y349=X349),"",100*(N349-X349)/(Y349-X349))</f>
        <v>0</v>
      </c>
      <c r="AA349">
        <f>IF(COUNT($Z$347:$Z$349)&lt;3,"",AVERAGE($Z$347:$Z$349))</f>
        <v>0</v>
      </c>
      <c r="AB349">
        <f>IF(COUNT($AA$347:$AA$349)&lt;3,"",AVERAGE($AA$347:$AA$349))</f>
        <v>0</v>
      </c>
      <c r="AC349">
        <f>IF($E349="","",MAX($C349-$D349,ABS($C349-$E348),ABS($D349-$E348)))</f>
        <v>0</v>
      </c>
      <c r="AD349">
        <f>IF(COUNT($E$2:$E349)&lt;15,"",AVERAGE($AC$336:$AC$349))</f>
        <v>0</v>
      </c>
      <c r="AE349">
        <f>IF(OR($E349="",$E348=""),"",IF(AND(($C349-$C348)&gt;($D348-$D349),($C349-$C348)&gt;0),$C349-$C348,0))</f>
        <v>0</v>
      </c>
      <c r="AF349">
        <f>IF(OR($E349="",$E348=""),"",IF(AND(($D348-$D349)&gt;($C349-$C348),($D348-$D349)&gt;0),$D348-$D349,0))</f>
        <v>0</v>
      </c>
      <c r="AG349">
        <f>IF(COUNT($E$2:$E349)&lt;15,"",IF(SUM($AC$336:$AC$349)=0,0,100*SUM($AE$336:$AE$349)/SUM($AC$336:$AC$349)))</f>
        <v>0</v>
      </c>
      <c r="AH349">
        <f>IF(COUNT($E$2:$E349)&lt;15,"",IF(SUM($AC$336:$AC$349)=0,0,100*SUM($AF$336:$AF$349)/SUM($AC$336:$AC$349)))</f>
        <v>0</v>
      </c>
      <c r="AI349">
        <f>IF(OR(AG349="",AH349=""),"",IF((AG349+AH349)=0,0,100*ABS(AG349-AH349)/(AG349+AH349)))</f>
        <v>0</v>
      </c>
      <c r="AJ349">
        <f>IF(COUNT($AI$336:$AI$349)&lt;14,"",AVERAGE($AI$336:$AI$349))</f>
        <v>0</v>
      </c>
      <c r="AK349">
        <f>IF(COUNT($E$2:$E349)&lt;20,"",AVERAGE($E$330:$E$349))</f>
        <v>0</v>
      </c>
      <c r="AL349">
        <f>IF(COUNT($E$2:$E349)&lt;20,"",STDEVP($E$330:$E$349))</f>
        <v>0</v>
      </c>
      <c r="AM349">
        <f>IF(AK349="","",AK349+2*AL349)</f>
        <v>0</v>
      </c>
      <c r="AN349">
        <f>IF(AK349="","",AK349-2*AL349)</f>
        <v>0</v>
      </c>
      <c r="AO349">
        <f>IF(OR(AM349="",AN349="",AM349=AN349),"",($E349-AN349)/(AM349-AN349))</f>
        <v>0</v>
      </c>
      <c r="AP349">
        <f>IF(OR(AM349="",AK349="",AK349=0),"",(AM349-AN349)/AK349)</f>
        <v>0</v>
      </c>
      <c r="AQ349">
        <f>IF(COUNT($E$2:$E349)&lt;20,"",MAX($C$330:$C$349))</f>
        <v>0</v>
      </c>
      <c r="AR349">
        <f>IF(COUNT($E$2:$E349)&lt;20,"",MIN($D$330:$D$349))</f>
        <v>0</v>
      </c>
      <c r="AS349">
        <f>IF(OR(AQ349="",AR349=""),"",(AQ349+AR349)/2)</f>
        <v>0</v>
      </c>
      <c r="AT349">
        <f>IF(COUNT($G$330:$G$349)&lt;20,"",STDEV($G$330:$G$349)*SQRT(252))</f>
        <v>0</v>
      </c>
      <c r="AU349">
        <f>IF(COUNT($E$2:$E349)&lt;9,"",(MAX($C$341:$C$349)+MIN($D$341:$D$349))/2)</f>
        <v>0</v>
      </c>
      <c r="AV349">
        <f>IF(COUNT($E$2:$E349)&lt;26,"",(MAX($C$324:$C$349)+MIN($D$324:$D$349))/2)</f>
        <v>0</v>
      </c>
      <c r="AW349">
        <f>IF(OR(AU349="",AV349=""),"",(AU349+AV349)/2)</f>
        <v>0</v>
      </c>
      <c r="AX349">
        <f>IF(COUNT($E$2:$E349)&lt;52,"",(MAX($C$298:$C$349)+MIN($D$298:$D$349))/2)</f>
        <v>0</v>
      </c>
      <c r="AY349">
        <f>IF(COUNT($E$2:$E349)&lt;20,"",MAX($C$250:$C$349))</f>
        <v>0</v>
      </c>
      <c r="AZ349">
        <f>IF(COUNT($E$2:$E349)&lt;20,"",MIN($D$250:$D$349))</f>
        <v>0</v>
      </c>
      <c r="BA349">
        <f>IF(COUNT($E$2:$E349)&lt;20,"",SLOPE($E$250:$E$349,$F$250:$F$349))</f>
        <v>0</v>
      </c>
      <c r="BB349">
        <f>IF(COUNT($E$2:$E349)&lt;20,"",INTERCEPT($E$250:$E$349,$F$250:$F$349))</f>
        <v>0</v>
      </c>
      <c r="BC349">
        <f>IF(OR(BA349="",BB349=""),"",BB349+BA349*F349)</f>
        <v>0</v>
      </c>
      <c r="BD349">
        <f>IF(COUNT($E$2:$E349)&lt;20,"",STEYX($E$250:$E$349,$F$250:$F$349))</f>
        <v>0</v>
      </c>
      <c r="BE349">
        <f>IF($E349="","",IF(AND(COUNT($E$350:$E$353)&gt;=4,$C349=MAX($C$345:$C$353)),$C349,""))</f>
        <v>0</v>
      </c>
      <c r="BF349">
        <f>IF($E349="","",IF(AND(COUNT($E$350:$E$353)&gt;=4,$D349=MIN($D$345:$D$353)),$D349,""))</f>
        <v>0</v>
      </c>
      <c r="BG349">
        <f>IF($A349="","",$A349-WEEKDAY($A349,2)+1)</f>
        <v>0</v>
      </c>
      <c r="BH349">
        <f>IF($A349="","",IF($A348="",1,IF(BG349&lt;&gt;BG348,1,0)))</f>
        <v>0</v>
      </c>
      <c r="BI349">
        <f>IF($A349="","",IF($A350="",1,IF(BG350&lt;&gt;BG349,1,0)))</f>
        <v>0</v>
      </c>
      <c r="BJ349">
        <f>IF($A349="","",IF(BH349=1,$B349,BJ348))</f>
        <v>0</v>
      </c>
      <c r="BK349">
        <f>IF($A349="","",IF(BH349=1,$C349,MAX($C349,BK348)))</f>
        <v>0</v>
      </c>
      <c r="BL349">
        <f>IF($A349="","",IF(BH349=1,$D349,MIN($D349,BL348)))</f>
        <v>0</v>
      </c>
      <c r="BM349">
        <f>IF($A349="","",IF(BI349=1,F349,""))</f>
        <v>0</v>
      </c>
      <c r="BN349">
        <f>IF($A349="","",DATE(YEAR($A349),MONTH($A349),1))</f>
        <v>0</v>
      </c>
      <c r="BO349">
        <f>IF($A349="","",IF($A348="",1,IF(BN349&lt;&gt;BN348,1,0)))</f>
        <v>0</v>
      </c>
      <c r="BP349">
        <f>IF($A349="","",IF($A350="",1,IF(BN350&lt;&gt;BN349,1,0)))</f>
        <v>0</v>
      </c>
      <c r="BQ349">
        <f>IF($A349="","",IF(BO349=1,$B349,BQ348))</f>
        <v>0</v>
      </c>
      <c r="BR349">
        <f>IF($A349="","",IF(BO349=1,$C349,MAX($C349,BR348)))</f>
        <v>0</v>
      </c>
      <c r="BS349">
        <f>IF($A349="","",IF(BO349=1,$D349,MIN($D349,BS348)))</f>
        <v>0</v>
      </c>
      <c r="BT349">
        <f>IF($A349="","",IF(BP349=1,F349,""))</f>
        <v>0</v>
      </c>
    </row>
    <row r="350" spans="1:72">
      <c r="A350" s="27">
        <f>IF(Data!$A350="","",Data!$A350)</f>
        <v>0</v>
      </c>
      <c r="B350">
        <f>IF(Data!$B350="","",Data!$B350)</f>
        <v>0</v>
      </c>
      <c r="C350">
        <f>IF(Data!$C350="","",Data!$C350)</f>
        <v>0</v>
      </c>
      <c r="D350">
        <f>IF(Data!$D350="","",Data!$D350)</f>
        <v>0</v>
      </c>
      <c r="E350">
        <f>IF(Data!$E350="","",Data!$E350)</f>
        <v>0</v>
      </c>
      <c r="F350">
        <f>IF($E350="","",N(F349)+1)</f>
        <v>0</v>
      </c>
      <c r="G350">
        <f>IF(OR($E350="",$E349=""),"",LN($E350/$E349))</f>
        <v>0</v>
      </c>
      <c r="H350">
        <f>IF($E350="","",IF($E349="",$E350,$E350*0.0952380952+H349*0.9047619048))</f>
        <v>0</v>
      </c>
      <c r="I350">
        <f>IF($E350="","",IF($E349="",$E350,$E350*0.0392156863+I349*0.9607843137))</f>
        <v>0</v>
      </c>
      <c r="J350">
        <f>IF($E350="","",IF($E349="",$E350,$E350*0.0198019802+J349*0.9801980198))</f>
        <v>0</v>
      </c>
      <c r="K350">
        <f>IF($E350="","",IF($E349="",$E350,$E350*0.0099502488+K349*0.9900497512))</f>
        <v>0</v>
      </c>
      <c r="L350">
        <f>IF(OR($E350="",$E349=""),"",MAX($E350-$E349,0))</f>
        <v>0</v>
      </c>
      <c r="M350">
        <f>IF(OR($E350="",$E349=""),"",MAX($E349-$E350,0))</f>
        <v>0</v>
      </c>
      <c r="N350">
        <f>IF(COUNT($E$2:$E350)&lt;15,"",IF(AVERAGE($M$337:$M$350)=0,100,100-100/(1+AVERAGE($L$337:$L$350)/AVERAGE($M$337:$M$350))))</f>
        <v>0</v>
      </c>
      <c r="O350">
        <f>IF($E350="","",IF($E349="",$E350,$E350*0.1538461538+O349*0.8461538462))</f>
        <v>0</v>
      </c>
      <c r="P350">
        <f>IF($E350="","",IF($E349="",$E350,$E350*0.0740740741+P349*0.9259259259))</f>
        <v>0</v>
      </c>
      <c r="Q350">
        <f>IF(OR(O350="",P350=""),"",O350-P350)</f>
        <v>0</v>
      </c>
      <c r="R350">
        <f>IF(Q350="","",IF(R349="",Q350,Q350*0.2000000000+R349*0.8000000000))</f>
        <v>0</v>
      </c>
      <c r="S350">
        <f>IF(OR(Q350="",R350=""),"",Q350-R350)</f>
        <v>0</v>
      </c>
      <c r="T350">
        <f>IF(COUNT($E$2:$E350)&lt;14,"",MAX($C$337:$C$350))</f>
        <v>0</v>
      </c>
      <c r="U350">
        <f>IF(COUNT($E$2:$E350)&lt;14,"",MIN($D$337:$D$350))</f>
        <v>0</v>
      </c>
      <c r="V350">
        <f>IF(OR(T350="",U350="",T350=U350),"",100*($E350-U350)/(T350-U350))</f>
        <v>0</v>
      </c>
      <c r="W350">
        <f>IF(COUNT($V$348:$V$350)&lt;3,"",AVERAGE($V$348:$V$350))</f>
        <v>0</v>
      </c>
      <c r="X350">
        <f>IF(COUNT($N$337:$N$350)&lt;14,"",MIN($N$337:$N$350))</f>
        <v>0</v>
      </c>
      <c r="Y350">
        <f>IF(COUNT($N$337:$N$350)&lt;14,"",MAX($N$337:$N$350))</f>
        <v>0</v>
      </c>
      <c r="Z350">
        <f>IF(OR(N350="",X350="",Y350="",Y350=X350),"",100*(N350-X350)/(Y350-X350))</f>
        <v>0</v>
      </c>
      <c r="AA350">
        <f>IF(COUNT($Z$348:$Z$350)&lt;3,"",AVERAGE($Z$348:$Z$350))</f>
        <v>0</v>
      </c>
      <c r="AB350">
        <f>IF(COUNT($AA$348:$AA$350)&lt;3,"",AVERAGE($AA$348:$AA$350))</f>
        <v>0</v>
      </c>
      <c r="AC350">
        <f>IF($E350="","",MAX($C350-$D350,ABS($C350-$E349),ABS($D350-$E349)))</f>
        <v>0</v>
      </c>
      <c r="AD350">
        <f>IF(COUNT($E$2:$E350)&lt;15,"",AVERAGE($AC$337:$AC$350))</f>
        <v>0</v>
      </c>
      <c r="AE350">
        <f>IF(OR($E350="",$E349=""),"",IF(AND(($C350-$C349)&gt;($D349-$D350),($C350-$C349)&gt;0),$C350-$C349,0))</f>
        <v>0</v>
      </c>
      <c r="AF350">
        <f>IF(OR($E350="",$E349=""),"",IF(AND(($D349-$D350)&gt;($C350-$C349),($D349-$D350)&gt;0),$D349-$D350,0))</f>
        <v>0</v>
      </c>
      <c r="AG350">
        <f>IF(COUNT($E$2:$E350)&lt;15,"",IF(SUM($AC$337:$AC$350)=0,0,100*SUM($AE$337:$AE$350)/SUM($AC$337:$AC$350)))</f>
        <v>0</v>
      </c>
      <c r="AH350">
        <f>IF(COUNT($E$2:$E350)&lt;15,"",IF(SUM($AC$337:$AC$350)=0,0,100*SUM($AF$337:$AF$350)/SUM($AC$337:$AC$350)))</f>
        <v>0</v>
      </c>
      <c r="AI350">
        <f>IF(OR(AG350="",AH350=""),"",IF((AG350+AH350)=0,0,100*ABS(AG350-AH350)/(AG350+AH350)))</f>
        <v>0</v>
      </c>
      <c r="AJ350">
        <f>IF(COUNT($AI$337:$AI$350)&lt;14,"",AVERAGE($AI$337:$AI$350))</f>
        <v>0</v>
      </c>
      <c r="AK350">
        <f>IF(COUNT($E$2:$E350)&lt;20,"",AVERAGE($E$331:$E$350))</f>
        <v>0</v>
      </c>
      <c r="AL350">
        <f>IF(COUNT($E$2:$E350)&lt;20,"",STDEVP($E$331:$E$350))</f>
        <v>0</v>
      </c>
      <c r="AM350">
        <f>IF(AK350="","",AK350+2*AL350)</f>
        <v>0</v>
      </c>
      <c r="AN350">
        <f>IF(AK350="","",AK350-2*AL350)</f>
        <v>0</v>
      </c>
      <c r="AO350">
        <f>IF(OR(AM350="",AN350="",AM350=AN350),"",($E350-AN350)/(AM350-AN350))</f>
        <v>0</v>
      </c>
      <c r="AP350">
        <f>IF(OR(AM350="",AK350="",AK350=0),"",(AM350-AN350)/AK350)</f>
        <v>0</v>
      </c>
      <c r="AQ350">
        <f>IF(COUNT($E$2:$E350)&lt;20,"",MAX($C$331:$C$350))</f>
        <v>0</v>
      </c>
      <c r="AR350">
        <f>IF(COUNT($E$2:$E350)&lt;20,"",MIN($D$331:$D$350))</f>
        <v>0</v>
      </c>
      <c r="AS350">
        <f>IF(OR(AQ350="",AR350=""),"",(AQ350+AR350)/2)</f>
        <v>0</v>
      </c>
      <c r="AT350">
        <f>IF(COUNT($G$331:$G$350)&lt;20,"",STDEV($G$331:$G$350)*SQRT(252))</f>
        <v>0</v>
      </c>
      <c r="AU350">
        <f>IF(COUNT($E$2:$E350)&lt;9,"",(MAX($C$342:$C$350)+MIN($D$342:$D$350))/2)</f>
        <v>0</v>
      </c>
      <c r="AV350">
        <f>IF(COUNT($E$2:$E350)&lt;26,"",(MAX($C$325:$C$350)+MIN($D$325:$D$350))/2)</f>
        <v>0</v>
      </c>
      <c r="AW350">
        <f>IF(OR(AU350="",AV350=""),"",(AU350+AV350)/2)</f>
        <v>0</v>
      </c>
      <c r="AX350">
        <f>IF(COUNT($E$2:$E350)&lt;52,"",(MAX($C$299:$C$350)+MIN($D$299:$D$350))/2)</f>
        <v>0</v>
      </c>
      <c r="AY350">
        <f>IF(COUNT($E$2:$E350)&lt;20,"",MAX($C$251:$C$350))</f>
        <v>0</v>
      </c>
      <c r="AZ350">
        <f>IF(COUNT($E$2:$E350)&lt;20,"",MIN($D$251:$D$350))</f>
        <v>0</v>
      </c>
      <c r="BA350">
        <f>IF(COUNT($E$2:$E350)&lt;20,"",SLOPE($E$251:$E$350,$F$251:$F$350))</f>
        <v>0</v>
      </c>
      <c r="BB350">
        <f>IF(COUNT($E$2:$E350)&lt;20,"",INTERCEPT($E$251:$E$350,$F$251:$F$350))</f>
        <v>0</v>
      </c>
      <c r="BC350">
        <f>IF(OR(BA350="",BB350=""),"",BB350+BA350*F350)</f>
        <v>0</v>
      </c>
      <c r="BD350">
        <f>IF(COUNT($E$2:$E350)&lt;20,"",STEYX($E$251:$E$350,$F$251:$F$350))</f>
        <v>0</v>
      </c>
      <c r="BE350">
        <f>IF($E350="","",IF(AND(COUNT($E$351:$E$354)&gt;=4,$C350=MAX($C$346:$C$354)),$C350,""))</f>
        <v>0</v>
      </c>
      <c r="BF350">
        <f>IF($E350="","",IF(AND(COUNT($E$351:$E$354)&gt;=4,$D350=MIN($D$346:$D$354)),$D350,""))</f>
        <v>0</v>
      </c>
      <c r="BG350">
        <f>IF($A350="","",$A350-WEEKDAY($A350,2)+1)</f>
        <v>0</v>
      </c>
      <c r="BH350">
        <f>IF($A350="","",IF($A349="",1,IF(BG350&lt;&gt;BG349,1,0)))</f>
        <v>0</v>
      </c>
      <c r="BI350">
        <f>IF($A350="","",IF($A351="",1,IF(BG351&lt;&gt;BG350,1,0)))</f>
        <v>0</v>
      </c>
      <c r="BJ350">
        <f>IF($A350="","",IF(BH350=1,$B350,BJ349))</f>
        <v>0</v>
      </c>
      <c r="BK350">
        <f>IF($A350="","",IF(BH350=1,$C350,MAX($C350,BK349)))</f>
        <v>0</v>
      </c>
      <c r="BL350">
        <f>IF($A350="","",IF(BH350=1,$D350,MIN($D350,BL349)))</f>
        <v>0</v>
      </c>
      <c r="BM350">
        <f>IF($A350="","",IF(BI350=1,F350,""))</f>
        <v>0</v>
      </c>
      <c r="BN350">
        <f>IF($A350="","",DATE(YEAR($A350),MONTH($A350),1))</f>
        <v>0</v>
      </c>
      <c r="BO350">
        <f>IF($A350="","",IF($A349="",1,IF(BN350&lt;&gt;BN349,1,0)))</f>
        <v>0</v>
      </c>
      <c r="BP350">
        <f>IF($A350="","",IF($A351="",1,IF(BN351&lt;&gt;BN350,1,0)))</f>
        <v>0</v>
      </c>
      <c r="BQ350">
        <f>IF($A350="","",IF(BO350=1,$B350,BQ349))</f>
        <v>0</v>
      </c>
      <c r="BR350">
        <f>IF($A350="","",IF(BO350=1,$C350,MAX($C350,BR349)))</f>
        <v>0</v>
      </c>
      <c r="BS350">
        <f>IF($A350="","",IF(BO350=1,$D350,MIN($D350,BS349)))</f>
        <v>0</v>
      </c>
      <c r="BT350">
        <f>IF($A350="","",IF(BP350=1,F350,""))</f>
        <v>0</v>
      </c>
    </row>
    <row r="351" spans="1:72">
      <c r="A351" s="27">
        <f>IF(Data!$A351="","",Data!$A351)</f>
        <v>0</v>
      </c>
      <c r="B351">
        <f>IF(Data!$B351="","",Data!$B351)</f>
        <v>0</v>
      </c>
      <c r="C351">
        <f>IF(Data!$C351="","",Data!$C351)</f>
        <v>0</v>
      </c>
      <c r="D351">
        <f>IF(Data!$D351="","",Data!$D351)</f>
        <v>0</v>
      </c>
      <c r="E351">
        <f>IF(Data!$E351="","",Data!$E351)</f>
        <v>0</v>
      </c>
      <c r="F351">
        <f>IF($E351="","",N(F350)+1)</f>
        <v>0</v>
      </c>
      <c r="G351">
        <f>IF(OR($E351="",$E350=""),"",LN($E351/$E350))</f>
        <v>0</v>
      </c>
      <c r="H351">
        <f>IF($E351="","",IF($E350="",$E351,$E351*0.0952380952+H350*0.9047619048))</f>
        <v>0</v>
      </c>
      <c r="I351">
        <f>IF($E351="","",IF($E350="",$E351,$E351*0.0392156863+I350*0.9607843137))</f>
        <v>0</v>
      </c>
      <c r="J351">
        <f>IF($E351="","",IF($E350="",$E351,$E351*0.0198019802+J350*0.9801980198))</f>
        <v>0</v>
      </c>
      <c r="K351">
        <f>IF($E351="","",IF($E350="",$E351,$E351*0.0099502488+K350*0.9900497512))</f>
        <v>0</v>
      </c>
      <c r="L351">
        <f>IF(OR($E351="",$E350=""),"",MAX($E351-$E350,0))</f>
        <v>0</v>
      </c>
      <c r="M351">
        <f>IF(OR($E351="",$E350=""),"",MAX($E350-$E351,0))</f>
        <v>0</v>
      </c>
      <c r="N351">
        <f>IF(COUNT($E$2:$E351)&lt;15,"",IF(AVERAGE($M$338:$M$351)=0,100,100-100/(1+AVERAGE($L$338:$L$351)/AVERAGE($M$338:$M$351))))</f>
        <v>0</v>
      </c>
      <c r="O351">
        <f>IF($E351="","",IF($E350="",$E351,$E351*0.1538461538+O350*0.8461538462))</f>
        <v>0</v>
      </c>
      <c r="P351">
        <f>IF($E351="","",IF($E350="",$E351,$E351*0.0740740741+P350*0.9259259259))</f>
        <v>0</v>
      </c>
      <c r="Q351">
        <f>IF(OR(O351="",P351=""),"",O351-P351)</f>
        <v>0</v>
      </c>
      <c r="R351">
        <f>IF(Q351="","",IF(R350="",Q351,Q351*0.2000000000+R350*0.8000000000))</f>
        <v>0</v>
      </c>
      <c r="S351">
        <f>IF(OR(Q351="",R351=""),"",Q351-R351)</f>
        <v>0</v>
      </c>
      <c r="T351">
        <f>IF(COUNT($E$2:$E351)&lt;14,"",MAX($C$338:$C$351))</f>
        <v>0</v>
      </c>
      <c r="U351">
        <f>IF(COUNT($E$2:$E351)&lt;14,"",MIN($D$338:$D$351))</f>
        <v>0</v>
      </c>
      <c r="V351">
        <f>IF(OR(T351="",U351="",T351=U351),"",100*($E351-U351)/(T351-U351))</f>
        <v>0</v>
      </c>
      <c r="W351">
        <f>IF(COUNT($V$349:$V$351)&lt;3,"",AVERAGE($V$349:$V$351))</f>
        <v>0</v>
      </c>
      <c r="X351">
        <f>IF(COUNT($N$338:$N$351)&lt;14,"",MIN($N$338:$N$351))</f>
        <v>0</v>
      </c>
      <c r="Y351">
        <f>IF(COUNT($N$338:$N$351)&lt;14,"",MAX($N$338:$N$351))</f>
        <v>0</v>
      </c>
      <c r="Z351">
        <f>IF(OR(N351="",X351="",Y351="",Y351=X351),"",100*(N351-X351)/(Y351-X351))</f>
        <v>0</v>
      </c>
      <c r="AA351">
        <f>IF(COUNT($Z$349:$Z$351)&lt;3,"",AVERAGE($Z$349:$Z$351))</f>
        <v>0</v>
      </c>
      <c r="AB351">
        <f>IF(COUNT($AA$349:$AA$351)&lt;3,"",AVERAGE($AA$349:$AA$351))</f>
        <v>0</v>
      </c>
      <c r="AC351">
        <f>IF($E351="","",MAX($C351-$D351,ABS($C351-$E350),ABS($D351-$E350)))</f>
        <v>0</v>
      </c>
      <c r="AD351">
        <f>IF(COUNT($E$2:$E351)&lt;15,"",AVERAGE($AC$338:$AC$351))</f>
        <v>0</v>
      </c>
      <c r="AE351">
        <f>IF(OR($E351="",$E350=""),"",IF(AND(($C351-$C350)&gt;($D350-$D351),($C351-$C350)&gt;0),$C351-$C350,0))</f>
        <v>0</v>
      </c>
      <c r="AF351">
        <f>IF(OR($E351="",$E350=""),"",IF(AND(($D350-$D351)&gt;($C351-$C350),($D350-$D351)&gt;0),$D350-$D351,0))</f>
        <v>0</v>
      </c>
      <c r="AG351">
        <f>IF(COUNT($E$2:$E351)&lt;15,"",IF(SUM($AC$338:$AC$351)=0,0,100*SUM($AE$338:$AE$351)/SUM($AC$338:$AC$351)))</f>
        <v>0</v>
      </c>
      <c r="AH351">
        <f>IF(COUNT($E$2:$E351)&lt;15,"",IF(SUM($AC$338:$AC$351)=0,0,100*SUM($AF$338:$AF$351)/SUM($AC$338:$AC$351)))</f>
        <v>0</v>
      </c>
      <c r="AI351">
        <f>IF(OR(AG351="",AH351=""),"",IF((AG351+AH351)=0,0,100*ABS(AG351-AH351)/(AG351+AH351)))</f>
        <v>0</v>
      </c>
      <c r="AJ351">
        <f>IF(COUNT($AI$338:$AI$351)&lt;14,"",AVERAGE($AI$338:$AI$351))</f>
        <v>0</v>
      </c>
      <c r="AK351">
        <f>IF(COUNT($E$2:$E351)&lt;20,"",AVERAGE($E$332:$E$351))</f>
        <v>0</v>
      </c>
      <c r="AL351">
        <f>IF(COUNT($E$2:$E351)&lt;20,"",STDEVP($E$332:$E$351))</f>
        <v>0</v>
      </c>
      <c r="AM351">
        <f>IF(AK351="","",AK351+2*AL351)</f>
        <v>0</v>
      </c>
      <c r="AN351">
        <f>IF(AK351="","",AK351-2*AL351)</f>
        <v>0</v>
      </c>
      <c r="AO351">
        <f>IF(OR(AM351="",AN351="",AM351=AN351),"",($E351-AN351)/(AM351-AN351))</f>
        <v>0</v>
      </c>
      <c r="AP351">
        <f>IF(OR(AM351="",AK351="",AK351=0),"",(AM351-AN351)/AK351)</f>
        <v>0</v>
      </c>
      <c r="AQ351">
        <f>IF(COUNT($E$2:$E351)&lt;20,"",MAX($C$332:$C$351))</f>
        <v>0</v>
      </c>
      <c r="AR351">
        <f>IF(COUNT($E$2:$E351)&lt;20,"",MIN($D$332:$D$351))</f>
        <v>0</v>
      </c>
      <c r="AS351">
        <f>IF(OR(AQ351="",AR351=""),"",(AQ351+AR351)/2)</f>
        <v>0</v>
      </c>
      <c r="AT351">
        <f>IF(COUNT($G$332:$G$351)&lt;20,"",STDEV($G$332:$G$351)*SQRT(252))</f>
        <v>0</v>
      </c>
      <c r="AU351">
        <f>IF(COUNT($E$2:$E351)&lt;9,"",(MAX($C$343:$C$351)+MIN($D$343:$D$351))/2)</f>
        <v>0</v>
      </c>
      <c r="AV351">
        <f>IF(COUNT($E$2:$E351)&lt;26,"",(MAX($C$326:$C$351)+MIN($D$326:$D$351))/2)</f>
        <v>0</v>
      </c>
      <c r="AW351">
        <f>IF(OR(AU351="",AV351=""),"",(AU351+AV351)/2)</f>
        <v>0</v>
      </c>
      <c r="AX351">
        <f>IF(COUNT($E$2:$E351)&lt;52,"",(MAX($C$300:$C$351)+MIN($D$300:$D$351))/2)</f>
        <v>0</v>
      </c>
      <c r="AY351">
        <f>IF(COUNT($E$2:$E351)&lt;20,"",MAX($C$252:$C$351))</f>
        <v>0</v>
      </c>
      <c r="AZ351">
        <f>IF(COUNT($E$2:$E351)&lt;20,"",MIN($D$252:$D$351))</f>
        <v>0</v>
      </c>
      <c r="BA351">
        <f>IF(COUNT($E$2:$E351)&lt;20,"",SLOPE($E$252:$E$351,$F$252:$F$351))</f>
        <v>0</v>
      </c>
      <c r="BB351">
        <f>IF(COUNT($E$2:$E351)&lt;20,"",INTERCEPT($E$252:$E$351,$F$252:$F$351))</f>
        <v>0</v>
      </c>
      <c r="BC351">
        <f>IF(OR(BA351="",BB351=""),"",BB351+BA351*F351)</f>
        <v>0</v>
      </c>
      <c r="BD351">
        <f>IF(COUNT($E$2:$E351)&lt;20,"",STEYX($E$252:$E$351,$F$252:$F$351))</f>
        <v>0</v>
      </c>
      <c r="BE351">
        <f>IF($E351="","",IF(AND(COUNT($E$352:$E$355)&gt;=4,$C351=MAX($C$347:$C$355)),$C351,""))</f>
        <v>0</v>
      </c>
      <c r="BF351">
        <f>IF($E351="","",IF(AND(COUNT($E$352:$E$355)&gt;=4,$D351=MIN($D$347:$D$355)),$D351,""))</f>
        <v>0</v>
      </c>
      <c r="BG351">
        <f>IF($A351="","",$A351-WEEKDAY($A351,2)+1)</f>
        <v>0</v>
      </c>
      <c r="BH351">
        <f>IF($A351="","",IF($A350="",1,IF(BG351&lt;&gt;BG350,1,0)))</f>
        <v>0</v>
      </c>
      <c r="BI351">
        <f>IF($A351="","",IF($A352="",1,IF(BG352&lt;&gt;BG351,1,0)))</f>
        <v>0</v>
      </c>
      <c r="BJ351">
        <f>IF($A351="","",IF(BH351=1,$B351,BJ350))</f>
        <v>0</v>
      </c>
      <c r="BK351">
        <f>IF($A351="","",IF(BH351=1,$C351,MAX($C351,BK350)))</f>
        <v>0</v>
      </c>
      <c r="BL351">
        <f>IF($A351="","",IF(BH351=1,$D351,MIN($D351,BL350)))</f>
        <v>0</v>
      </c>
      <c r="BM351">
        <f>IF($A351="","",IF(BI351=1,F351,""))</f>
        <v>0</v>
      </c>
      <c r="BN351">
        <f>IF($A351="","",DATE(YEAR($A351),MONTH($A351),1))</f>
        <v>0</v>
      </c>
      <c r="BO351">
        <f>IF($A351="","",IF($A350="",1,IF(BN351&lt;&gt;BN350,1,0)))</f>
        <v>0</v>
      </c>
      <c r="BP351">
        <f>IF($A351="","",IF($A352="",1,IF(BN352&lt;&gt;BN351,1,0)))</f>
        <v>0</v>
      </c>
      <c r="BQ351">
        <f>IF($A351="","",IF(BO351=1,$B351,BQ350))</f>
        <v>0</v>
      </c>
      <c r="BR351">
        <f>IF($A351="","",IF(BO351=1,$C351,MAX($C351,BR350)))</f>
        <v>0</v>
      </c>
      <c r="BS351">
        <f>IF($A351="","",IF(BO351=1,$D351,MIN($D351,BS350)))</f>
        <v>0</v>
      </c>
      <c r="BT351">
        <f>IF($A351="","",IF(BP351=1,F351,""))</f>
        <v>0</v>
      </c>
    </row>
    <row r="352" spans="1:72">
      <c r="A352" s="27">
        <f>IF(Data!$A352="","",Data!$A352)</f>
        <v>0</v>
      </c>
      <c r="B352">
        <f>IF(Data!$B352="","",Data!$B352)</f>
        <v>0</v>
      </c>
      <c r="C352">
        <f>IF(Data!$C352="","",Data!$C352)</f>
        <v>0</v>
      </c>
      <c r="D352">
        <f>IF(Data!$D352="","",Data!$D352)</f>
        <v>0</v>
      </c>
      <c r="E352">
        <f>IF(Data!$E352="","",Data!$E352)</f>
        <v>0</v>
      </c>
      <c r="F352">
        <f>IF($E352="","",N(F351)+1)</f>
        <v>0</v>
      </c>
      <c r="G352">
        <f>IF(OR($E352="",$E351=""),"",LN($E352/$E351))</f>
        <v>0</v>
      </c>
      <c r="H352">
        <f>IF($E352="","",IF($E351="",$E352,$E352*0.0952380952+H351*0.9047619048))</f>
        <v>0</v>
      </c>
      <c r="I352">
        <f>IF($E352="","",IF($E351="",$E352,$E352*0.0392156863+I351*0.9607843137))</f>
        <v>0</v>
      </c>
      <c r="J352">
        <f>IF($E352="","",IF($E351="",$E352,$E352*0.0198019802+J351*0.9801980198))</f>
        <v>0</v>
      </c>
      <c r="K352">
        <f>IF($E352="","",IF($E351="",$E352,$E352*0.0099502488+K351*0.9900497512))</f>
        <v>0</v>
      </c>
      <c r="L352">
        <f>IF(OR($E352="",$E351=""),"",MAX($E352-$E351,0))</f>
        <v>0</v>
      </c>
      <c r="M352">
        <f>IF(OR($E352="",$E351=""),"",MAX($E351-$E352,0))</f>
        <v>0</v>
      </c>
      <c r="N352">
        <f>IF(COUNT($E$2:$E352)&lt;15,"",IF(AVERAGE($M$339:$M$352)=0,100,100-100/(1+AVERAGE($L$339:$L$352)/AVERAGE($M$339:$M$352))))</f>
        <v>0</v>
      </c>
      <c r="O352">
        <f>IF($E352="","",IF($E351="",$E352,$E352*0.1538461538+O351*0.8461538462))</f>
        <v>0</v>
      </c>
      <c r="P352">
        <f>IF($E352="","",IF($E351="",$E352,$E352*0.0740740741+P351*0.9259259259))</f>
        <v>0</v>
      </c>
      <c r="Q352">
        <f>IF(OR(O352="",P352=""),"",O352-P352)</f>
        <v>0</v>
      </c>
      <c r="R352">
        <f>IF(Q352="","",IF(R351="",Q352,Q352*0.2000000000+R351*0.8000000000))</f>
        <v>0</v>
      </c>
      <c r="S352">
        <f>IF(OR(Q352="",R352=""),"",Q352-R352)</f>
        <v>0</v>
      </c>
      <c r="T352">
        <f>IF(COUNT($E$2:$E352)&lt;14,"",MAX($C$339:$C$352))</f>
        <v>0</v>
      </c>
      <c r="U352">
        <f>IF(COUNT($E$2:$E352)&lt;14,"",MIN($D$339:$D$352))</f>
        <v>0</v>
      </c>
      <c r="V352">
        <f>IF(OR(T352="",U352="",T352=U352),"",100*($E352-U352)/(T352-U352))</f>
        <v>0</v>
      </c>
      <c r="W352">
        <f>IF(COUNT($V$350:$V$352)&lt;3,"",AVERAGE($V$350:$V$352))</f>
        <v>0</v>
      </c>
      <c r="X352">
        <f>IF(COUNT($N$339:$N$352)&lt;14,"",MIN($N$339:$N$352))</f>
        <v>0</v>
      </c>
      <c r="Y352">
        <f>IF(COUNT($N$339:$N$352)&lt;14,"",MAX($N$339:$N$352))</f>
        <v>0</v>
      </c>
      <c r="Z352">
        <f>IF(OR(N352="",X352="",Y352="",Y352=X352),"",100*(N352-X352)/(Y352-X352))</f>
        <v>0</v>
      </c>
      <c r="AA352">
        <f>IF(COUNT($Z$350:$Z$352)&lt;3,"",AVERAGE($Z$350:$Z$352))</f>
        <v>0</v>
      </c>
      <c r="AB352">
        <f>IF(COUNT($AA$350:$AA$352)&lt;3,"",AVERAGE($AA$350:$AA$352))</f>
        <v>0</v>
      </c>
      <c r="AC352">
        <f>IF($E352="","",MAX($C352-$D352,ABS($C352-$E351),ABS($D352-$E351)))</f>
        <v>0</v>
      </c>
      <c r="AD352">
        <f>IF(COUNT($E$2:$E352)&lt;15,"",AVERAGE($AC$339:$AC$352))</f>
        <v>0</v>
      </c>
      <c r="AE352">
        <f>IF(OR($E352="",$E351=""),"",IF(AND(($C352-$C351)&gt;($D351-$D352),($C352-$C351)&gt;0),$C352-$C351,0))</f>
        <v>0</v>
      </c>
      <c r="AF352">
        <f>IF(OR($E352="",$E351=""),"",IF(AND(($D351-$D352)&gt;($C352-$C351),($D351-$D352)&gt;0),$D351-$D352,0))</f>
        <v>0</v>
      </c>
      <c r="AG352">
        <f>IF(COUNT($E$2:$E352)&lt;15,"",IF(SUM($AC$339:$AC$352)=0,0,100*SUM($AE$339:$AE$352)/SUM($AC$339:$AC$352)))</f>
        <v>0</v>
      </c>
      <c r="AH352">
        <f>IF(COUNT($E$2:$E352)&lt;15,"",IF(SUM($AC$339:$AC$352)=0,0,100*SUM($AF$339:$AF$352)/SUM($AC$339:$AC$352)))</f>
        <v>0</v>
      </c>
      <c r="AI352">
        <f>IF(OR(AG352="",AH352=""),"",IF((AG352+AH352)=0,0,100*ABS(AG352-AH352)/(AG352+AH352)))</f>
        <v>0</v>
      </c>
      <c r="AJ352">
        <f>IF(COUNT($AI$339:$AI$352)&lt;14,"",AVERAGE($AI$339:$AI$352))</f>
        <v>0</v>
      </c>
      <c r="AK352">
        <f>IF(COUNT($E$2:$E352)&lt;20,"",AVERAGE($E$333:$E$352))</f>
        <v>0</v>
      </c>
      <c r="AL352">
        <f>IF(COUNT($E$2:$E352)&lt;20,"",STDEVP($E$333:$E$352))</f>
        <v>0</v>
      </c>
      <c r="AM352">
        <f>IF(AK352="","",AK352+2*AL352)</f>
        <v>0</v>
      </c>
      <c r="AN352">
        <f>IF(AK352="","",AK352-2*AL352)</f>
        <v>0</v>
      </c>
      <c r="AO352">
        <f>IF(OR(AM352="",AN352="",AM352=AN352),"",($E352-AN352)/(AM352-AN352))</f>
        <v>0</v>
      </c>
      <c r="AP352">
        <f>IF(OR(AM352="",AK352="",AK352=0),"",(AM352-AN352)/AK352)</f>
        <v>0</v>
      </c>
      <c r="AQ352">
        <f>IF(COUNT($E$2:$E352)&lt;20,"",MAX($C$333:$C$352))</f>
        <v>0</v>
      </c>
      <c r="AR352">
        <f>IF(COUNT($E$2:$E352)&lt;20,"",MIN($D$333:$D$352))</f>
        <v>0</v>
      </c>
      <c r="AS352">
        <f>IF(OR(AQ352="",AR352=""),"",(AQ352+AR352)/2)</f>
        <v>0</v>
      </c>
      <c r="AT352">
        <f>IF(COUNT($G$333:$G$352)&lt;20,"",STDEV($G$333:$G$352)*SQRT(252))</f>
        <v>0</v>
      </c>
      <c r="AU352">
        <f>IF(COUNT($E$2:$E352)&lt;9,"",(MAX($C$344:$C$352)+MIN($D$344:$D$352))/2)</f>
        <v>0</v>
      </c>
      <c r="AV352">
        <f>IF(COUNT($E$2:$E352)&lt;26,"",(MAX($C$327:$C$352)+MIN($D$327:$D$352))/2)</f>
        <v>0</v>
      </c>
      <c r="AW352">
        <f>IF(OR(AU352="",AV352=""),"",(AU352+AV352)/2)</f>
        <v>0</v>
      </c>
      <c r="AX352">
        <f>IF(COUNT($E$2:$E352)&lt;52,"",(MAX($C$301:$C$352)+MIN($D$301:$D$352))/2)</f>
        <v>0</v>
      </c>
      <c r="AY352">
        <f>IF(COUNT($E$2:$E352)&lt;20,"",MAX($C$253:$C$352))</f>
        <v>0</v>
      </c>
      <c r="AZ352">
        <f>IF(COUNT($E$2:$E352)&lt;20,"",MIN($D$253:$D$352))</f>
        <v>0</v>
      </c>
      <c r="BA352">
        <f>IF(COUNT($E$2:$E352)&lt;20,"",SLOPE($E$253:$E$352,$F$253:$F$352))</f>
        <v>0</v>
      </c>
      <c r="BB352">
        <f>IF(COUNT($E$2:$E352)&lt;20,"",INTERCEPT($E$253:$E$352,$F$253:$F$352))</f>
        <v>0</v>
      </c>
      <c r="BC352">
        <f>IF(OR(BA352="",BB352=""),"",BB352+BA352*F352)</f>
        <v>0</v>
      </c>
      <c r="BD352">
        <f>IF(COUNT($E$2:$E352)&lt;20,"",STEYX($E$253:$E$352,$F$253:$F$352))</f>
        <v>0</v>
      </c>
      <c r="BE352">
        <f>IF($E352="","",IF(AND(COUNT($E$353:$E$356)&gt;=4,$C352=MAX($C$348:$C$356)),$C352,""))</f>
        <v>0</v>
      </c>
      <c r="BF352">
        <f>IF($E352="","",IF(AND(COUNT($E$353:$E$356)&gt;=4,$D352=MIN($D$348:$D$356)),$D352,""))</f>
        <v>0</v>
      </c>
      <c r="BG352">
        <f>IF($A352="","",$A352-WEEKDAY($A352,2)+1)</f>
        <v>0</v>
      </c>
      <c r="BH352">
        <f>IF($A352="","",IF($A351="",1,IF(BG352&lt;&gt;BG351,1,0)))</f>
        <v>0</v>
      </c>
      <c r="BI352">
        <f>IF($A352="","",IF($A353="",1,IF(BG353&lt;&gt;BG352,1,0)))</f>
        <v>0</v>
      </c>
      <c r="BJ352">
        <f>IF($A352="","",IF(BH352=1,$B352,BJ351))</f>
        <v>0</v>
      </c>
      <c r="BK352">
        <f>IF($A352="","",IF(BH352=1,$C352,MAX($C352,BK351)))</f>
        <v>0</v>
      </c>
      <c r="BL352">
        <f>IF($A352="","",IF(BH352=1,$D352,MIN($D352,BL351)))</f>
        <v>0</v>
      </c>
      <c r="BM352">
        <f>IF($A352="","",IF(BI352=1,F352,""))</f>
        <v>0</v>
      </c>
      <c r="BN352">
        <f>IF($A352="","",DATE(YEAR($A352),MONTH($A352),1))</f>
        <v>0</v>
      </c>
      <c r="BO352">
        <f>IF($A352="","",IF($A351="",1,IF(BN352&lt;&gt;BN351,1,0)))</f>
        <v>0</v>
      </c>
      <c r="BP352">
        <f>IF($A352="","",IF($A353="",1,IF(BN353&lt;&gt;BN352,1,0)))</f>
        <v>0</v>
      </c>
      <c r="BQ352">
        <f>IF($A352="","",IF(BO352=1,$B352,BQ351))</f>
        <v>0</v>
      </c>
      <c r="BR352">
        <f>IF($A352="","",IF(BO352=1,$C352,MAX($C352,BR351)))</f>
        <v>0</v>
      </c>
      <c r="BS352">
        <f>IF($A352="","",IF(BO352=1,$D352,MIN($D352,BS351)))</f>
        <v>0</v>
      </c>
      <c r="BT352">
        <f>IF($A352="","",IF(BP352=1,F352,""))</f>
        <v>0</v>
      </c>
    </row>
    <row r="353" spans="1:72">
      <c r="A353" s="27">
        <f>IF(Data!$A353="","",Data!$A353)</f>
        <v>0</v>
      </c>
      <c r="B353">
        <f>IF(Data!$B353="","",Data!$B353)</f>
        <v>0</v>
      </c>
      <c r="C353">
        <f>IF(Data!$C353="","",Data!$C353)</f>
        <v>0</v>
      </c>
      <c r="D353">
        <f>IF(Data!$D353="","",Data!$D353)</f>
        <v>0</v>
      </c>
      <c r="E353">
        <f>IF(Data!$E353="","",Data!$E353)</f>
        <v>0</v>
      </c>
      <c r="F353">
        <f>IF($E353="","",N(F352)+1)</f>
        <v>0</v>
      </c>
      <c r="G353">
        <f>IF(OR($E353="",$E352=""),"",LN($E353/$E352))</f>
        <v>0</v>
      </c>
      <c r="H353">
        <f>IF($E353="","",IF($E352="",$E353,$E353*0.0952380952+H352*0.9047619048))</f>
        <v>0</v>
      </c>
      <c r="I353">
        <f>IF($E353="","",IF($E352="",$E353,$E353*0.0392156863+I352*0.9607843137))</f>
        <v>0</v>
      </c>
      <c r="J353">
        <f>IF($E353="","",IF($E352="",$E353,$E353*0.0198019802+J352*0.9801980198))</f>
        <v>0</v>
      </c>
      <c r="K353">
        <f>IF($E353="","",IF($E352="",$E353,$E353*0.0099502488+K352*0.9900497512))</f>
        <v>0</v>
      </c>
      <c r="L353">
        <f>IF(OR($E353="",$E352=""),"",MAX($E353-$E352,0))</f>
        <v>0</v>
      </c>
      <c r="M353">
        <f>IF(OR($E353="",$E352=""),"",MAX($E352-$E353,0))</f>
        <v>0</v>
      </c>
      <c r="N353">
        <f>IF(COUNT($E$2:$E353)&lt;15,"",IF(AVERAGE($M$340:$M$353)=0,100,100-100/(1+AVERAGE($L$340:$L$353)/AVERAGE($M$340:$M$353))))</f>
        <v>0</v>
      </c>
      <c r="O353">
        <f>IF($E353="","",IF($E352="",$E353,$E353*0.1538461538+O352*0.8461538462))</f>
        <v>0</v>
      </c>
      <c r="P353">
        <f>IF($E353="","",IF($E352="",$E353,$E353*0.0740740741+P352*0.9259259259))</f>
        <v>0</v>
      </c>
      <c r="Q353">
        <f>IF(OR(O353="",P353=""),"",O353-P353)</f>
        <v>0</v>
      </c>
      <c r="R353">
        <f>IF(Q353="","",IF(R352="",Q353,Q353*0.2000000000+R352*0.8000000000))</f>
        <v>0</v>
      </c>
      <c r="S353">
        <f>IF(OR(Q353="",R353=""),"",Q353-R353)</f>
        <v>0</v>
      </c>
      <c r="T353">
        <f>IF(COUNT($E$2:$E353)&lt;14,"",MAX($C$340:$C$353))</f>
        <v>0</v>
      </c>
      <c r="U353">
        <f>IF(COUNT($E$2:$E353)&lt;14,"",MIN($D$340:$D$353))</f>
        <v>0</v>
      </c>
      <c r="V353">
        <f>IF(OR(T353="",U353="",T353=U353),"",100*($E353-U353)/(T353-U353))</f>
        <v>0</v>
      </c>
      <c r="W353">
        <f>IF(COUNT($V$351:$V$353)&lt;3,"",AVERAGE($V$351:$V$353))</f>
        <v>0</v>
      </c>
      <c r="X353">
        <f>IF(COUNT($N$340:$N$353)&lt;14,"",MIN($N$340:$N$353))</f>
        <v>0</v>
      </c>
      <c r="Y353">
        <f>IF(COUNT($N$340:$N$353)&lt;14,"",MAX($N$340:$N$353))</f>
        <v>0</v>
      </c>
      <c r="Z353">
        <f>IF(OR(N353="",X353="",Y353="",Y353=X353),"",100*(N353-X353)/(Y353-X353))</f>
        <v>0</v>
      </c>
      <c r="AA353">
        <f>IF(COUNT($Z$351:$Z$353)&lt;3,"",AVERAGE($Z$351:$Z$353))</f>
        <v>0</v>
      </c>
      <c r="AB353">
        <f>IF(COUNT($AA$351:$AA$353)&lt;3,"",AVERAGE($AA$351:$AA$353))</f>
        <v>0</v>
      </c>
      <c r="AC353">
        <f>IF($E353="","",MAX($C353-$D353,ABS($C353-$E352),ABS($D353-$E352)))</f>
        <v>0</v>
      </c>
      <c r="AD353">
        <f>IF(COUNT($E$2:$E353)&lt;15,"",AVERAGE($AC$340:$AC$353))</f>
        <v>0</v>
      </c>
      <c r="AE353">
        <f>IF(OR($E353="",$E352=""),"",IF(AND(($C353-$C352)&gt;($D352-$D353),($C353-$C352)&gt;0),$C353-$C352,0))</f>
        <v>0</v>
      </c>
      <c r="AF353">
        <f>IF(OR($E353="",$E352=""),"",IF(AND(($D352-$D353)&gt;($C353-$C352),($D352-$D353)&gt;0),$D352-$D353,0))</f>
        <v>0</v>
      </c>
      <c r="AG353">
        <f>IF(COUNT($E$2:$E353)&lt;15,"",IF(SUM($AC$340:$AC$353)=0,0,100*SUM($AE$340:$AE$353)/SUM($AC$340:$AC$353)))</f>
        <v>0</v>
      </c>
      <c r="AH353">
        <f>IF(COUNT($E$2:$E353)&lt;15,"",IF(SUM($AC$340:$AC$353)=0,0,100*SUM($AF$340:$AF$353)/SUM($AC$340:$AC$353)))</f>
        <v>0</v>
      </c>
      <c r="AI353">
        <f>IF(OR(AG353="",AH353=""),"",IF((AG353+AH353)=0,0,100*ABS(AG353-AH353)/(AG353+AH353)))</f>
        <v>0</v>
      </c>
      <c r="AJ353">
        <f>IF(COUNT($AI$340:$AI$353)&lt;14,"",AVERAGE($AI$340:$AI$353))</f>
        <v>0</v>
      </c>
      <c r="AK353">
        <f>IF(COUNT($E$2:$E353)&lt;20,"",AVERAGE($E$334:$E$353))</f>
        <v>0</v>
      </c>
      <c r="AL353">
        <f>IF(COUNT($E$2:$E353)&lt;20,"",STDEVP($E$334:$E$353))</f>
        <v>0</v>
      </c>
      <c r="AM353">
        <f>IF(AK353="","",AK353+2*AL353)</f>
        <v>0</v>
      </c>
      <c r="AN353">
        <f>IF(AK353="","",AK353-2*AL353)</f>
        <v>0</v>
      </c>
      <c r="AO353">
        <f>IF(OR(AM353="",AN353="",AM353=AN353),"",($E353-AN353)/(AM353-AN353))</f>
        <v>0</v>
      </c>
      <c r="AP353">
        <f>IF(OR(AM353="",AK353="",AK353=0),"",(AM353-AN353)/AK353)</f>
        <v>0</v>
      </c>
      <c r="AQ353">
        <f>IF(COUNT($E$2:$E353)&lt;20,"",MAX($C$334:$C$353))</f>
        <v>0</v>
      </c>
      <c r="AR353">
        <f>IF(COUNT($E$2:$E353)&lt;20,"",MIN($D$334:$D$353))</f>
        <v>0</v>
      </c>
      <c r="AS353">
        <f>IF(OR(AQ353="",AR353=""),"",(AQ353+AR353)/2)</f>
        <v>0</v>
      </c>
      <c r="AT353">
        <f>IF(COUNT($G$334:$G$353)&lt;20,"",STDEV($G$334:$G$353)*SQRT(252))</f>
        <v>0</v>
      </c>
      <c r="AU353">
        <f>IF(COUNT($E$2:$E353)&lt;9,"",(MAX($C$345:$C$353)+MIN($D$345:$D$353))/2)</f>
        <v>0</v>
      </c>
      <c r="AV353">
        <f>IF(COUNT($E$2:$E353)&lt;26,"",(MAX($C$328:$C$353)+MIN($D$328:$D$353))/2)</f>
        <v>0</v>
      </c>
      <c r="AW353">
        <f>IF(OR(AU353="",AV353=""),"",(AU353+AV353)/2)</f>
        <v>0</v>
      </c>
      <c r="AX353">
        <f>IF(COUNT($E$2:$E353)&lt;52,"",(MAX($C$302:$C$353)+MIN($D$302:$D$353))/2)</f>
        <v>0</v>
      </c>
      <c r="AY353">
        <f>IF(COUNT($E$2:$E353)&lt;20,"",MAX($C$254:$C$353))</f>
        <v>0</v>
      </c>
      <c r="AZ353">
        <f>IF(COUNT($E$2:$E353)&lt;20,"",MIN($D$254:$D$353))</f>
        <v>0</v>
      </c>
      <c r="BA353">
        <f>IF(COUNT($E$2:$E353)&lt;20,"",SLOPE($E$254:$E$353,$F$254:$F$353))</f>
        <v>0</v>
      </c>
      <c r="BB353">
        <f>IF(COUNT($E$2:$E353)&lt;20,"",INTERCEPT($E$254:$E$353,$F$254:$F$353))</f>
        <v>0</v>
      </c>
      <c r="BC353">
        <f>IF(OR(BA353="",BB353=""),"",BB353+BA353*F353)</f>
        <v>0</v>
      </c>
      <c r="BD353">
        <f>IF(COUNT($E$2:$E353)&lt;20,"",STEYX($E$254:$E$353,$F$254:$F$353))</f>
        <v>0</v>
      </c>
      <c r="BE353">
        <f>IF($E353="","",IF(AND(COUNT($E$354:$E$357)&gt;=4,$C353=MAX($C$349:$C$357)),$C353,""))</f>
        <v>0</v>
      </c>
      <c r="BF353">
        <f>IF($E353="","",IF(AND(COUNT($E$354:$E$357)&gt;=4,$D353=MIN($D$349:$D$357)),$D353,""))</f>
        <v>0</v>
      </c>
      <c r="BG353">
        <f>IF($A353="","",$A353-WEEKDAY($A353,2)+1)</f>
        <v>0</v>
      </c>
      <c r="BH353">
        <f>IF($A353="","",IF($A352="",1,IF(BG353&lt;&gt;BG352,1,0)))</f>
        <v>0</v>
      </c>
      <c r="BI353">
        <f>IF($A353="","",IF($A354="",1,IF(BG354&lt;&gt;BG353,1,0)))</f>
        <v>0</v>
      </c>
      <c r="BJ353">
        <f>IF($A353="","",IF(BH353=1,$B353,BJ352))</f>
        <v>0</v>
      </c>
      <c r="BK353">
        <f>IF($A353="","",IF(BH353=1,$C353,MAX($C353,BK352)))</f>
        <v>0</v>
      </c>
      <c r="BL353">
        <f>IF($A353="","",IF(BH353=1,$D353,MIN($D353,BL352)))</f>
        <v>0</v>
      </c>
      <c r="BM353">
        <f>IF($A353="","",IF(BI353=1,F353,""))</f>
        <v>0</v>
      </c>
      <c r="BN353">
        <f>IF($A353="","",DATE(YEAR($A353),MONTH($A353),1))</f>
        <v>0</v>
      </c>
      <c r="BO353">
        <f>IF($A353="","",IF($A352="",1,IF(BN353&lt;&gt;BN352,1,0)))</f>
        <v>0</v>
      </c>
      <c r="BP353">
        <f>IF($A353="","",IF($A354="",1,IF(BN354&lt;&gt;BN353,1,0)))</f>
        <v>0</v>
      </c>
      <c r="BQ353">
        <f>IF($A353="","",IF(BO353=1,$B353,BQ352))</f>
        <v>0</v>
      </c>
      <c r="BR353">
        <f>IF($A353="","",IF(BO353=1,$C353,MAX($C353,BR352)))</f>
        <v>0</v>
      </c>
      <c r="BS353">
        <f>IF($A353="","",IF(BO353=1,$D353,MIN($D353,BS352)))</f>
        <v>0</v>
      </c>
      <c r="BT353">
        <f>IF($A353="","",IF(BP353=1,F353,""))</f>
        <v>0</v>
      </c>
    </row>
    <row r="354" spans="1:72">
      <c r="A354" s="27">
        <f>IF(Data!$A354="","",Data!$A354)</f>
        <v>0</v>
      </c>
      <c r="B354">
        <f>IF(Data!$B354="","",Data!$B354)</f>
        <v>0</v>
      </c>
      <c r="C354">
        <f>IF(Data!$C354="","",Data!$C354)</f>
        <v>0</v>
      </c>
      <c r="D354">
        <f>IF(Data!$D354="","",Data!$D354)</f>
        <v>0</v>
      </c>
      <c r="E354">
        <f>IF(Data!$E354="","",Data!$E354)</f>
        <v>0</v>
      </c>
      <c r="F354">
        <f>IF($E354="","",N(F353)+1)</f>
        <v>0</v>
      </c>
      <c r="G354">
        <f>IF(OR($E354="",$E353=""),"",LN($E354/$E353))</f>
        <v>0</v>
      </c>
      <c r="H354">
        <f>IF($E354="","",IF($E353="",$E354,$E354*0.0952380952+H353*0.9047619048))</f>
        <v>0</v>
      </c>
      <c r="I354">
        <f>IF($E354="","",IF($E353="",$E354,$E354*0.0392156863+I353*0.9607843137))</f>
        <v>0</v>
      </c>
      <c r="J354">
        <f>IF($E354="","",IF($E353="",$E354,$E354*0.0198019802+J353*0.9801980198))</f>
        <v>0</v>
      </c>
      <c r="K354">
        <f>IF($E354="","",IF($E353="",$E354,$E354*0.0099502488+K353*0.9900497512))</f>
        <v>0</v>
      </c>
      <c r="L354">
        <f>IF(OR($E354="",$E353=""),"",MAX($E354-$E353,0))</f>
        <v>0</v>
      </c>
      <c r="M354">
        <f>IF(OR($E354="",$E353=""),"",MAX($E353-$E354,0))</f>
        <v>0</v>
      </c>
      <c r="N354">
        <f>IF(COUNT($E$2:$E354)&lt;15,"",IF(AVERAGE($M$341:$M$354)=0,100,100-100/(1+AVERAGE($L$341:$L$354)/AVERAGE($M$341:$M$354))))</f>
        <v>0</v>
      </c>
      <c r="O354">
        <f>IF($E354="","",IF($E353="",$E354,$E354*0.1538461538+O353*0.8461538462))</f>
        <v>0</v>
      </c>
      <c r="P354">
        <f>IF($E354="","",IF($E353="",$E354,$E354*0.0740740741+P353*0.9259259259))</f>
        <v>0</v>
      </c>
      <c r="Q354">
        <f>IF(OR(O354="",P354=""),"",O354-P354)</f>
        <v>0</v>
      </c>
      <c r="R354">
        <f>IF(Q354="","",IF(R353="",Q354,Q354*0.2000000000+R353*0.8000000000))</f>
        <v>0</v>
      </c>
      <c r="S354">
        <f>IF(OR(Q354="",R354=""),"",Q354-R354)</f>
        <v>0</v>
      </c>
      <c r="T354">
        <f>IF(COUNT($E$2:$E354)&lt;14,"",MAX($C$341:$C$354))</f>
        <v>0</v>
      </c>
      <c r="U354">
        <f>IF(COUNT($E$2:$E354)&lt;14,"",MIN($D$341:$D$354))</f>
        <v>0</v>
      </c>
      <c r="V354">
        <f>IF(OR(T354="",U354="",T354=U354),"",100*($E354-U354)/(T354-U354))</f>
        <v>0</v>
      </c>
      <c r="W354">
        <f>IF(COUNT($V$352:$V$354)&lt;3,"",AVERAGE($V$352:$V$354))</f>
        <v>0</v>
      </c>
      <c r="X354">
        <f>IF(COUNT($N$341:$N$354)&lt;14,"",MIN($N$341:$N$354))</f>
        <v>0</v>
      </c>
      <c r="Y354">
        <f>IF(COUNT($N$341:$N$354)&lt;14,"",MAX($N$341:$N$354))</f>
        <v>0</v>
      </c>
      <c r="Z354">
        <f>IF(OR(N354="",X354="",Y354="",Y354=X354),"",100*(N354-X354)/(Y354-X354))</f>
        <v>0</v>
      </c>
      <c r="AA354">
        <f>IF(COUNT($Z$352:$Z$354)&lt;3,"",AVERAGE($Z$352:$Z$354))</f>
        <v>0</v>
      </c>
      <c r="AB354">
        <f>IF(COUNT($AA$352:$AA$354)&lt;3,"",AVERAGE($AA$352:$AA$354))</f>
        <v>0</v>
      </c>
      <c r="AC354">
        <f>IF($E354="","",MAX($C354-$D354,ABS($C354-$E353),ABS($D354-$E353)))</f>
        <v>0</v>
      </c>
      <c r="AD354">
        <f>IF(COUNT($E$2:$E354)&lt;15,"",AVERAGE($AC$341:$AC$354))</f>
        <v>0</v>
      </c>
      <c r="AE354">
        <f>IF(OR($E354="",$E353=""),"",IF(AND(($C354-$C353)&gt;($D353-$D354),($C354-$C353)&gt;0),$C354-$C353,0))</f>
        <v>0</v>
      </c>
      <c r="AF354">
        <f>IF(OR($E354="",$E353=""),"",IF(AND(($D353-$D354)&gt;($C354-$C353),($D353-$D354)&gt;0),$D353-$D354,0))</f>
        <v>0</v>
      </c>
      <c r="AG354">
        <f>IF(COUNT($E$2:$E354)&lt;15,"",IF(SUM($AC$341:$AC$354)=0,0,100*SUM($AE$341:$AE$354)/SUM($AC$341:$AC$354)))</f>
        <v>0</v>
      </c>
      <c r="AH354">
        <f>IF(COUNT($E$2:$E354)&lt;15,"",IF(SUM($AC$341:$AC$354)=0,0,100*SUM($AF$341:$AF$354)/SUM($AC$341:$AC$354)))</f>
        <v>0</v>
      </c>
      <c r="AI354">
        <f>IF(OR(AG354="",AH354=""),"",IF((AG354+AH354)=0,0,100*ABS(AG354-AH354)/(AG354+AH354)))</f>
        <v>0</v>
      </c>
      <c r="AJ354">
        <f>IF(COUNT($AI$341:$AI$354)&lt;14,"",AVERAGE($AI$341:$AI$354))</f>
        <v>0</v>
      </c>
      <c r="AK354">
        <f>IF(COUNT($E$2:$E354)&lt;20,"",AVERAGE($E$335:$E$354))</f>
        <v>0</v>
      </c>
      <c r="AL354">
        <f>IF(COUNT($E$2:$E354)&lt;20,"",STDEVP($E$335:$E$354))</f>
        <v>0</v>
      </c>
      <c r="AM354">
        <f>IF(AK354="","",AK354+2*AL354)</f>
        <v>0</v>
      </c>
      <c r="AN354">
        <f>IF(AK354="","",AK354-2*AL354)</f>
        <v>0</v>
      </c>
      <c r="AO354">
        <f>IF(OR(AM354="",AN354="",AM354=AN354),"",($E354-AN354)/(AM354-AN354))</f>
        <v>0</v>
      </c>
      <c r="AP354">
        <f>IF(OR(AM354="",AK354="",AK354=0),"",(AM354-AN354)/AK354)</f>
        <v>0</v>
      </c>
      <c r="AQ354">
        <f>IF(COUNT($E$2:$E354)&lt;20,"",MAX($C$335:$C$354))</f>
        <v>0</v>
      </c>
      <c r="AR354">
        <f>IF(COUNT($E$2:$E354)&lt;20,"",MIN($D$335:$D$354))</f>
        <v>0</v>
      </c>
      <c r="AS354">
        <f>IF(OR(AQ354="",AR354=""),"",(AQ354+AR354)/2)</f>
        <v>0</v>
      </c>
      <c r="AT354">
        <f>IF(COUNT($G$335:$G$354)&lt;20,"",STDEV($G$335:$G$354)*SQRT(252))</f>
        <v>0</v>
      </c>
      <c r="AU354">
        <f>IF(COUNT($E$2:$E354)&lt;9,"",(MAX($C$346:$C$354)+MIN($D$346:$D$354))/2)</f>
        <v>0</v>
      </c>
      <c r="AV354">
        <f>IF(COUNT($E$2:$E354)&lt;26,"",(MAX($C$329:$C$354)+MIN($D$329:$D$354))/2)</f>
        <v>0</v>
      </c>
      <c r="AW354">
        <f>IF(OR(AU354="",AV354=""),"",(AU354+AV354)/2)</f>
        <v>0</v>
      </c>
      <c r="AX354">
        <f>IF(COUNT($E$2:$E354)&lt;52,"",(MAX($C$303:$C$354)+MIN($D$303:$D$354))/2)</f>
        <v>0</v>
      </c>
      <c r="AY354">
        <f>IF(COUNT($E$2:$E354)&lt;20,"",MAX($C$255:$C$354))</f>
        <v>0</v>
      </c>
      <c r="AZ354">
        <f>IF(COUNT($E$2:$E354)&lt;20,"",MIN($D$255:$D$354))</f>
        <v>0</v>
      </c>
      <c r="BA354">
        <f>IF(COUNT($E$2:$E354)&lt;20,"",SLOPE($E$255:$E$354,$F$255:$F$354))</f>
        <v>0</v>
      </c>
      <c r="BB354">
        <f>IF(COUNT($E$2:$E354)&lt;20,"",INTERCEPT($E$255:$E$354,$F$255:$F$354))</f>
        <v>0</v>
      </c>
      <c r="BC354">
        <f>IF(OR(BA354="",BB354=""),"",BB354+BA354*F354)</f>
        <v>0</v>
      </c>
      <c r="BD354">
        <f>IF(COUNT($E$2:$E354)&lt;20,"",STEYX($E$255:$E$354,$F$255:$F$354))</f>
        <v>0</v>
      </c>
      <c r="BE354">
        <f>IF($E354="","",IF(AND(COUNT($E$355:$E$358)&gt;=4,$C354=MAX($C$350:$C$358)),$C354,""))</f>
        <v>0</v>
      </c>
      <c r="BF354">
        <f>IF($E354="","",IF(AND(COUNT($E$355:$E$358)&gt;=4,$D354=MIN($D$350:$D$358)),$D354,""))</f>
        <v>0</v>
      </c>
      <c r="BG354">
        <f>IF($A354="","",$A354-WEEKDAY($A354,2)+1)</f>
        <v>0</v>
      </c>
      <c r="BH354">
        <f>IF($A354="","",IF($A353="",1,IF(BG354&lt;&gt;BG353,1,0)))</f>
        <v>0</v>
      </c>
      <c r="BI354">
        <f>IF($A354="","",IF($A355="",1,IF(BG355&lt;&gt;BG354,1,0)))</f>
        <v>0</v>
      </c>
      <c r="BJ354">
        <f>IF($A354="","",IF(BH354=1,$B354,BJ353))</f>
        <v>0</v>
      </c>
      <c r="BK354">
        <f>IF($A354="","",IF(BH354=1,$C354,MAX($C354,BK353)))</f>
        <v>0</v>
      </c>
      <c r="BL354">
        <f>IF($A354="","",IF(BH354=1,$D354,MIN($D354,BL353)))</f>
        <v>0</v>
      </c>
      <c r="BM354">
        <f>IF($A354="","",IF(BI354=1,F354,""))</f>
        <v>0</v>
      </c>
      <c r="BN354">
        <f>IF($A354="","",DATE(YEAR($A354),MONTH($A354),1))</f>
        <v>0</v>
      </c>
      <c r="BO354">
        <f>IF($A354="","",IF($A353="",1,IF(BN354&lt;&gt;BN353,1,0)))</f>
        <v>0</v>
      </c>
      <c r="BP354">
        <f>IF($A354="","",IF($A355="",1,IF(BN355&lt;&gt;BN354,1,0)))</f>
        <v>0</v>
      </c>
      <c r="BQ354">
        <f>IF($A354="","",IF(BO354=1,$B354,BQ353))</f>
        <v>0</v>
      </c>
      <c r="BR354">
        <f>IF($A354="","",IF(BO354=1,$C354,MAX($C354,BR353)))</f>
        <v>0</v>
      </c>
      <c r="BS354">
        <f>IF($A354="","",IF(BO354=1,$D354,MIN($D354,BS353)))</f>
        <v>0</v>
      </c>
      <c r="BT354">
        <f>IF($A354="","",IF(BP354=1,F354,""))</f>
        <v>0</v>
      </c>
    </row>
    <row r="355" spans="1:72">
      <c r="A355" s="27">
        <f>IF(Data!$A355="","",Data!$A355)</f>
        <v>0</v>
      </c>
      <c r="B355">
        <f>IF(Data!$B355="","",Data!$B355)</f>
        <v>0</v>
      </c>
      <c r="C355">
        <f>IF(Data!$C355="","",Data!$C355)</f>
        <v>0</v>
      </c>
      <c r="D355">
        <f>IF(Data!$D355="","",Data!$D355)</f>
        <v>0</v>
      </c>
      <c r="E355">
        <f>IF(Data!$E355="","",Data!$E355)</f>
        <v>0</v>
      </c>
      <c r="F355">
        <f>IF($E355="","",N(F354)+1)</f>
        <v>0</v>
      </c>
      <c r="G355">
        <f>IF(OR($E355="",$E354=""),"",LN($E355/$E354))</f>
        <v>0</v>
      </c>
      <c r="H355">
        <f>IF($E355="","",IF($E354="",$E355,$E355*0.0952380952+H354*0.9047619048))</f>
        <v>0</v>
      </c>
      <c r="I355">
        <f>IF($E355="","",IF($E354="",$E355,$E355*0.0392156863+I354*0.9607843137))</f>
        <v>0</v>
      </c>
      <c r="J355">
        <f>IF($E355="","",IF($E354="",$E355,$E355*0.0198019802+J354*0.9801980198))</f>
        <v>0</v>
      </c>
      <c r="K355">
        <f>IF($E355="","",IF($E354="",$E355,$E355*0.0099502488+K354*0.9900497512))</f>
        <v>0</v>
      </c>
      <c r="L355">
        <f>IF(OR($E355="",$E354=""),"",MAX($E355-$E354,0))</f>
        <v>0</v>
      </c>
      <c r="M355">
        <f>IF(OR($E355="",$E354=""),"",MAX($E354-$E355,0))</f>
        <v>0</v>
      </c>
      <c r="N355">
        <f>IF(COUNT($E$2:$E355)&lt;15,"",IF(AVERAGE($M$342:$M$355)=0,100,100-100/(1+AVERAGE($L$342:$L$355)/AVERAGE($M$342:$M$355))))</f>
        <v>0</v>
      </c>
      <c r="O355">
        <f>IF($E355="","",IF($E354="",$E355,$E355*0.1538461538+O354*0.8461538462))</f>
        <v>0</v>
      </c>
      <c r="P355">
        <f>IF($E355="","",IF($E354="",$E355,$E355*0.0740740741+P354*0.9259259259))</f>
        <v>0</v>
      </c>
      <c r="Q355">
        <f>IF(OR(O355="",P355=""),"",O355-P355)</f>
        <v>0</v>
      </c>
      <c r="R355">
        <f>IF(Q355="","",IF(R354="",Q355,Q355*0.2000000000+R354*0.8000000000))</f>
        <v>0</v>
      </c>
      <c r="S355">
        <f>IF(OR(Q355="",R355=""),"",Q355-R355)</f>
        <v>0</v>
      </c>
      <c r="T355">
        <f>IF(COUNT($E$2:$E355)&lt;14,"",MAX($C$342:$C$355))</f>
        <v>0</v>
      </c>
      <c r="U355">
        <f>IF(COUNT($E$2:$E355)&lt;14,"",MIN($D$342:$D$355))</f>
        <v>0</v>
      </c>
      <c r="V355">
        <f>IF(OR(T355="",U355="",T355=U355),"",100*($E355-U355)/(T355-U355))</f>
        <v>0</v>
      </c>
      <c r="W355">
        <f>IF(COUNT($V$353:$V$355)&lt;3,"",AVERAGE($V$353:$V$355))</f>
        <v>0</v>
      </c>
      <c r="X355">
        <f>IF(COUNT($N$342:$N$355)&lt;14,"",MIN($N$342:$N$355))</f>
        <v>0</v>
      </c>
      <c r="Y355">
        <f>IF(COUNT($N$342:$N$355)&lt;14,"",MAX($N$342:$N$355))</f>
        <v>0</v>
      </c>
      <c r="Z355">
        <f>IF(OR(N355="",X355="",Y355="",Y355=X355),"",100*(N355-X355)/(Y355-X355))</f>
        <v>0</v>
      </c>
      <c r="AA355">
        <f>IF(COUNT($Z$353:$Z$355)&lt;3,"",AVERAGE($Z$353:$Z$355))</f>
        <v>0</v>
      </c>
      <c r="AB355">
        <f>IF(COUNT($AA$353:$AA$355)&lt;3,"",AVERAGE($AA$353:$AA$355))</f>
        <v>0</v>
      </c>
      <c r="AC355">
        <f>IF($E355="","",MAX($C355-$D355,ABS($C355-$E354),ABS($D355-$E354)))</f>
        <v>0</v>
      </c>
      <c r="AD355">
        <f>IF(COUNT($E$2:$E355)&lt;15,"",AVERAGE($AC$342:$AC$355))</f>
        <v>0</v>
      </c>
      <c r="AE355">
        <f>IF(OR($E355="",$E354=""),"",IF(AND(($C355-$C354)&gt;($D354-$D355),($C355-$C354)&gt;0),$C355-$C354,0))</f>
        <v>0</v>
      </c>
      <c r="AF355">
        <f>IF(OR($E355="",$E354=""),"",IF(AND(($D354-$D355)&gt;($C355-$C354),($D354-$D355)&gt;0),$D354-$D355,0))</f>
        <v>0</v>
      </c>
      <c r="AG355">
        <f>IF(COUNT($E$2:$E355)&lt;15,"",IF(SUM($AC$342:$AC$355)=0,0,100*SUM($AE$342:$AE$355)/SUM($AC$342:$AC$355)))</f>
        <v>0</v>
      </c>
      <c r="AH355">
        <f>IF(COUNT($E$2:$E355)&lt;15,"",IF(SUM($AC$342:$AC$355)=0,0,100*SUM($AF$342:$AF$355)/SUM($AC$342:$AC$355)))</f>
        <v>0</v>
      </c>
      <c r="AI355">
        <f>IF(OR(AG355="",AH355=""),"",IF((AG355+AH355)=0,0,100*ABS(AG355-AH355)/(AG355+AH355)))</f>
        <v>0</v>
      </c>
      <c r="AJ355">
        <f>IF(COUNT($AI$342:$AI$355)&lt;14,"",AVERAGE($AI$342:$AI$355))</f>
        <v>0</v>
      </c>
      <c r="AK355">
        <f>IF(COUNT($E$2:$E355)&lt;20,"",AVERAGE($E$336:$E$355))</f>
        <v>0</v>
      </c>
      <c r="AL355">
        <f>IF(COUNT($E$2:$E355)&lt;20,"",STDEVP($E$336:$E$355))</f>
        <v>0</v>
      </c>
      <c r="AM355">
        <f>IF(AK355="","",AK355+2*AL355)</f>
        <v>0</v>
      </c>
      <c r="AN355">
        <f>IF(AK355="","",AK355-2*AL355)</f>
        <v>0</v>
      </c>
      <c r="AO355">
        <f>IF(OR(AM355="",AN355="",AM355=AN355),"",($E355-AN355)/(AM355-AN355))</f>
        <v>0</v>
      </c>
      <c r="AP355">
        <f>IF(OR(AM355="",AK355="",AK355=0),"",(AM355-AN355)/AK355)</f>
        <v>0</v>
      </c>
      <c r="AQ355">
        <f>IF(COUNT($E$2:$E355)&lt;20,"",MAX($C$336:$C$355))</f>
        <v>0</v>
      </c>
      <c r="AR355">
        <f>IF(COUNT($E$2:$E355)&lt;20,"",MIN($D$336:$D$355))</f>
        <v>0</v>
      </c>
      <c r="AS355">
        <f>IF(OR(AQ355="",AR355=""),"",(AQ355+AR355)/2)</f>
        <v>0</v>
      </c>
      <c r="AT355">
        <f>IF(COUNT($G$336:$G$355)&lt;20,"",STDEV($G$336:$G$355)*SQRT(252))</f>
        <v>0</v>
      </c>
      <c r="AU355">
        <f>IF(COUNT($E$2:$E355)&lt;9,"",(MAX($C$347:$C$355)+MIN($D$347:$D$355))/2)</f>
        <v>0</v>
      </c>
      <c r="AV355">
        <f>IF(COUNT($E$2:$E355)&lt;26,"",(MAX($C$330:$C$355)+MIN($D$330:$D$355))/2)</f>
        <v>0</v>
      </c>
      <c r="AW355">
        <f>IF(OR(AU355="",AV355=""),"",(AU355+AV355)/2)</f>
        <v>0</v>
      </c>
      <c r="AX355">
        <f>IF(COUNT($E$2:$E355)&lt;52,"",(MAX($C$304:$C$355)+MIN($D$304:$D$355))/2)</f>
        <v>0</v>
      </c>
      <c r="AY355">
        <f>IF(COUNT($E$2:$E355)&lt;20,"",MAX($C$256:$C$355))</f>
        <v>0</v>
      </c>
      <c r="AZ355">
        <f>IF(COUNT($E$2:$E355)&lt;20,"",MIN($D$256:$D$355))</f>
        <v>0</v>
      </c>
      <c r="BA355">
        <f>IF(COUNT($E$2:$E355)&lt;20,"",SLOPE($E$256:$E$355,$F$256:$F$355))</f>
        <v>0</v>
      </c>
      <c r="BB355">
        <f>IF(COUNT($E$2:$E355)&lt;20,"",INTERCEPT($E$256:$E$355,$F$256:$F$355))</f>
        <v>0</v>
      </c>
      <c r="BC355">
        <f>IF(OR(BA355="",BB355=""),"",BB355+BA355*F355)</f>
        <v>0</v>
      </c>
      <c r="BD355">
        <f>IF(COUNT($E$2:$E355)&lt;20,"",STEYX($E$256:$E$355,$F$256:$F$355))</f>
        <v>0</v>
      </c>
      <c r="BE355">
        <f>IF($E355="","",IF(AND(COUNT($E$356:$E$359)&gt;=4,$C355=MAX($C$351:$C$359)),$C355,""))</f>
        <v>0</v>
      </c>
      <c r="BF355">
        <f>IF($E355="","",IF(AND(COUNT($E$356:$E$359)&gt;=4,$D355=MIN($D$351:$D$359)),$D355,""))</f>
        <v>0</v>
      </c>
      <c r="BG355">
        <f>IF($A355="","",$A355-WEEKDAY($A355,2)+1)</f>
        <v>0</v>
      </c>
      <c r="BH355">
        <f>IF($A355="","",IF($A354="",1,IF(BG355&lt;&gt;BG354,1,0)))</f>
        <v>0</v>
      </c>
      <c r="BI355">
        <f>IF($A355="","",IF($A356="",1,IF(BG356&lt;&gt;BG355,1,0)))</f>
        <v>0</v>
      </c>
      <c r="BJ355">
        <f>IF($A355="","",IF(BH355=1,$B355,BJ354))</f>
        <v>0</v>
      </c>
      <c r="BK355">
        <f>IF($A355="","",IF(BH355=1,$C355,MAX($C355,BK354)))</f>
        <v>0</v>
      </c>
      <c r="BL355">
        <f>IF($A355="","",IF(BH355=1,$D355,MIN($D355,BL354)))</f>
        <v>0</v>
      </c>
      <c r="BM355">
        <f>IF($A355="","",IF(BI355=1,F355,""))</f>
        <v>0</v>
      </c>
      <c r="BN355">
        <f>IF($A355="","",DATE(YEAR($A355),MONTH($A355),1))</f>
        <v>0</v>
      </c>
      <c r="BO355">
        <f>IF($A355="","",IF($A354="",1,IF(BN355&lt;&gt;BN354,1,0)))</f>
        <v>0</v>
      </c>
      <c r="BP355">
        <f>IF($A355="","",IF($A356="",1,IF(BN356&lt;&gt;BN355,1,0)))</f>
        <v>0</v>
      </c>
      <c r="BQ355">
        <f>IF($A355="","",IF(BO355=1,$B355,BQ354))</f>
        <v>0</v>
      </c>
      <c r="BR355">
        <f>IF($A355="","",IF(BO355=1,$C355,MAX($C355,BR354)))</f>
        <v>0</v>
      </c>
      <c r="BS355">
        <f>IF($A355="","",IF(BO355=1,$D355,MIN($D355,BS354)))</f>
        <v>0</v>
      </c>
      <c r="BT355">
        <f>IF($A355="","",IF(BP355=1,F355,""))</f>
        <v>0</v>
      </c>
    </row>
    <row r="356" spans="1:72">
      <c r="A356" s="27">
        <f>IF(Data!$A356="","",Data!$A356)</f>
        <v>0</v>
      </c>
      <c r="B356">
        <f>IF(Data!$B356="","",Data!$B356)</f>
        <v>0</v>
      </c>
      <c r="C356">
        <f>IF(Data!$C356="","",Data!$C356)</f>
        <v>0</v>
      </c>
      <c r="D356">
        <f>IF(Data!$D356="","",Data!$D356)</f>
        <v>0</v>
      </c>
      <c r="E356">
        <f>IF(Data!$E356="","",Data!$E356)</f>
        <v>0</v>
      </c>
      <c r="F356">
        <f>IF($E356="","",N(F355)+1)</f>
        <v>0</v>
      </c>
      <c r="G356">
        <f>IF(OR($E356="",$E355=""),"",LN($E356/$E355))</f>
        <v>0</v>
      </c>
      <c r="H356">
        <f>IF($E356="","",IF($E355="",$E356,$E356*0.0952380952+H355*0.9047619048))</f>
        <v>0</v>
      </c>
      <c r="I356">
        <f>IF($E356="","",IF($E355="",$E356,$E356*0.0392156863+I355*0.9607843137))</f>
        <v>0</v>
      </c>
      <c r="J356">
        <f>IF($E356="","",IF($E355="",$E356,$E356*0.0198019802+J355*0.9801980198))</f>
        <v>0</v>
      </c>
      <c r="K356">
        <f>IF($E356="","",IF($E355="",$E356,$E356*0.0099502488+K355*0.9900497512))</f>
        <v>0</v>
      </c>
      <c r="L356">
        <f>IF(OR($E356="",$E355=""),"",MAX($E356-$E355,0))</f>
        <v>0</v>
      </c>
      <c r="M356">
        <f>IF(OR($E356="",$E355=""),"",MAX($E355-$E356,0))</f>
        <v>0</v>
      </c>
      <c r="N356">
        <f>IF(COUNT($E$2:$E356)&lt;15,"",IF(AVERAGE($M$343:$M$356)=0,100,100-100/(1+AVERAGE($L$343:$L$356)/AVERAGE($M$343:$M$356))))</f>
        <v>0</v>
      </c>
      <c r="O356">
        <f>IF($E356="","",IF($E355="",$E356,$E356*0.1538461538+O355*0.8461538462))</f>
        <v>0</v>
      </c>
      <c r="P356">
        <f>IF($E356="","",IF($E355="",$E356,$E356*0.0740740741+P355*0.9259259259))</f>
        <v>0</v>
      </c>
      <c r="Q356">
        <f>IF(OR(O356="",P356=""),"",O356-P356)</f>
        <v>0</v>
      </c>
      <c r="R356">
        <f>IF(Q356="","",IF(R355="",Q356,Q356*0.2000000000+R355*0.8000000000))</f>
        <v>0</v>
      </c>
      <c r="S356">
        <f>IF(OR(Q356="",R356=""),"",Q356-R356)</f>
        <v>0</v>
      </c>
      <c r="T356">
        <f>IF(COUNT($E$2:$E356)&lt;14,"",MAX($C$343:$C$356))</f>
        <v>0</v>
      </c>
      <c r="U356">
        <f>IF(COUNT($E$2:$E356)&lt;14,"",MIN($D$343:$D$356))</f>
        <v>0</v>
      </c>
      <c r="V356">
        <f>IF(OR(T356="",U356="",T356=U356),"",100*($E356-U356)/(T356-U356))</f>
        <v>0</v>
      </c>
      <c r="W356">
        <f>IF(COUNT($V$354:$V$356)&lt;3,"",AVERAGE($V$354:$V$356))</f>
        <v>0</v>
      </c>
      <c r="X356">
        <f>IF(COUNT($N$343:$N$356)&lt;14,"",MIN($N$343:$N$356))</f>
        <v>0</v>
      </c>
      <c r="Y356">
        <f>IF(COUNT($N$343:$N$356)&lt;14,"",MAX($N$343:$N$356))</f>
        <v>0</v>
      </c>
      <c r="Z356">
        <f>IF(OR(N356="",X356="",Y356="",Y356=X356),"",100*(N356-X356)/(Y356-X356))</f>
        <v>0</v>
      </c>
      <c r="AA356">
        <f>IF(COUNT($Z$354:$Z$356)&lt;3,"",AVERAGE($Z$354:$Z$356))</f>
        <v>0</v>
      </c>
      <c r="AB356">
        <f>IF(COUNT($AA$354:$AA$356)&lt;3,"",AVERAGE($AA$354:$AA$356))</f>
        <v>0</v>
      </c>
      <c r="AC356">
        <f>IF($E356="","",MAX($C356-$D356,ABS($C356-$E355),ABS($D356-$E355)))</f>
        <v>0</v>
      </c>
      <c r="AD356">
        <f>IF(COUNT($E$2:$E356)&lt;15,"",AVERAGE($AC$343:$AC$356))</f>
        <v>0</v>
      </c>
      <c r="AE356">
        <f>IF(OR($E356="",$E355=""),"",IF(AND(($C356-$C355)&gt;($D355-$D356),($C356-$C355)&gt;0),$C356-$C355,0))</f>
        <v>0</v>
      </c>
      <c r="AF356">
        <f>IF(OR($E356="",$E355=""),"",IF(AND(($D355-$D356)&gt;($C356-$C355),($D355-$D356)&gt;0),$D355-$D356,0))</f>
        <v>0</v>
      </c>
      <c r="AG356">
        <f>IF(COUNT($E$2:$E356)&lt;15,"",IF(SUM($AC$343:$AC$356)=0,0,100*SUM($AE$343:$AE$356)/SUM($AC$343:$AC$356)))</f>
        <v>0</v>
      </c>
      <c r="AH356">
        <f>IF(COUNT($E$2:$E356)&lt;15,"",IF(SUM($AC$343:$AC$356)=0,0,100*SUM($AF$343:$AF$356)/SUM($AC$343:$AC$356)))</f>
        <v>0</v>
      </c>
      <c r="AI356">
        <f>IF(OR(AG356="",AH356=""),"",IF((AG356+AH356)=0,0,100*ABS(AG356-AH356)/(AG356+AH356)))</f>
        <v>0</v>
      </c>
      <c r="AJ356">
        <f>IF(COUNT($AI$343:$AI$356)&lt;14,"",AVERAGE($AI$343:$AI$356))</f>
        <v>0</v>
      </c>
      <c r="AK356">
        <f>IF(COUNT($E$2:$E356)&lt;20,"",AVERAGE($E$337:$E$356))</f>
        <v>0</v>
      </c>
      <c r="AL356">
        <f>IF(COUNT($E$2:$E356)&lt;20,"",STDEVP($E$337:$E$356))</f>
        <v>0</v>
      </c>
      <c r="AM356">
        <f>IF(AK356="","",AK356+2*AL356)</f>
        <v>0</v>
      </c>
      <c r="AN356">
        <f>IF(AK356="","",AK356-2*AL356)</f>
        <v>0</v>
      </c>
      <c r="AO356">
        <f>IF(OR(AM356="",AN356="",AM356=AN356),"",($E356-AN356)/(AM356-AN356))</f>
        <v>0</v>
      </c>
      <c r="AP356">
        <f>IF(OR(AM356="",AK356="",AK356=0),"",(AM356-AN356)/AK356)</f>
        <v>0</v>
      </c>
      <c r="AQ356">
        <f>IF(COUNT($E$2:$E356)&lt;20,"",MAX($C$337:$C$356))</f>
        <v>0</v>
      </c>
      <c r="AR356">
        <f>IF(COUNT($E$2:$E356)&lt;20,"",MIN($D$337:$D$356))</f>
        <v>0</v>
      </c>
      <c r="AS356">
        <f>IF(OR(AQ356="",AR356=""),"",(AQ356+AR356)/2)</f>
        <v>0</v>
      </c>
      <c r="AT356">
        <f>IF(COUNT($G$337:$G$356)&lt;20,"",STDEV($G$337:$G$356)*SQRT(252))</f>
        <v>0</v>
      </c>
      <c r="AU356">
        <f>IF(COUNT($E$2:$E356)&lt;9,"",(MAX($C$348:$C$356)+MIN($D$348:$D$356))/2)</f>
        <v>0</v>
      </c>
      <c r="AV356">
        <f>IF(COUNT($E$2:$E356)&lt;26,"",(MAX($C$331:$C$356)+MIN($D$331:$D$356))/2)</f>
        <v>0</v>
      </c>
      <c r="AW356">
        <f>IF(OR(AU356="",AV356=""),"",(AU356+AV356)/2)</f>
        <v>0</v>
      </c>
      <c r="AX356">
        <f>IF(COUNT($E$2:$E356)&lt;52,"",(MAX($C$305:$C$356)+MIN($D$305:$D$356))/2)</f>
        <v>0</v>
      </c>
      <c r="AY356">
        <f>IF(COUNT($E$2:$E356)&lt;20,"",MAX($C$257:$C$356))</f>
        <v>0</v>
      </c>
      <c r="AZ356">
        <f>IF(COUNT($E$2:$E356)&lt;20,"",MIN($D$257:$D$356))</f>
        <v>0</v>
      </c>
      <c r="BA356">
        <f>IF(COUNT($E$2:$E356)&lt;20,"",SLOPE($E$257:$E$356,$F$257:$F$356))</f>
        <v>0</v>
      </c>
      <c r="BB356">
        <f>IF(COUNT($E$2:$E356)&lt;20,"",INTERCEPT($E$257:$E$356,$F$257:$F$356))</f>
        <v>0</v>
      </c>
      <c r="BC356">
        <f>IF(OR(BA356="",BB356=""),"",BB356+BA356*F356)</f>
        <v>0</v>
      </c>
      <c r="BD356">
        <f>IF(COUNT($E$2:$E356)&lt;20,"",STEYX($E$257:$E$356,$F$257:$F$356))</f>
        <v>0</v>
      </c>
      <c r="BE356">
        <f>IF($E356="","",IF(AND(COUNT($E$357:$E$360)&gt;=4,$C356=MAX($C$352:$C$360)),$C356,""))</f>
        <v>0</v>
      </c>
      <c r="BF356">
        <f>IF($E356="","",IF(AND(COUNT($E$357:$E$360)&gt;=4,$D356=MIN($D$352:$D$360)),$D356,""))</f>
        <v>0</v>
      </c>
      <c r="BG356">
        <f>IF($A356="","",$A356-WEEKDAY($A356,2)+1)</f>
        <v>0</v>
      </c>
      <c r="BH356">
        <f>IF($A356="","",IF($A355="",1,IF(BG356&lt;&gt;BG355,1,0)))</f>
        <v>0</v>
      </c>
      <c r="BI356">
        <f>IF($A356="","",IF($A357="",1,IF(BG357&lt;&gt;BG356,1,0)))</f>
        <v>0</v>
      </c>
      <c r="BJ356">
        <f>IF($A356="","",IF(BH356=1,$B356,BJ355))</f>
        <v>0</v>
      </c>
      <c r="BK356">
        <f>IF($A356="","",IF(BH356=1,$C356,MAX($C356,BK355)))</f>
        <v>0</v>
      </c>
      <c r="BL356">
        <f>IF($A356="","",IF(BH356=1,$D356,MIN($D356,BL355)))</f>
        <v>0</v>
      </c>
      <c r="BM356">
        <f>IF($A356="","",IF(BI356=1,F356,""))</f>
        <v>0</v>
      </c>
      <c r="BN356">
        <f>IF($A356="","",DATE(YEAR($A356),MONTH($A356),1))</f>
        <v>0</v>
      </c>
      <c r="BO356">
        <f>IF($A356="","",IF($A355="",1,IF(BN356&lt;&gt;BN355,1,0)))</f>
        <v>0</v>
      </c>
      <c r="BP356">
        <f>IF($A356="","",IF($A357="",1,IF(BN357&lt;&gt;BN356,1,0)))</f>
        <v>0</v>
      </c>
      <c r="BQ356">
        <f>IF($A356="","",IF(BO356=1,$B356,BQ355))</f>
        <v>0</v>
      </c>
      <c r="BR356">
        <f>IF($A356="","",IF(BO356=1,$C356,MAX($C356,BR355)))</f>
        <v>0</v>
      </c>
      <c r="BS356">
        <f>IF($A356="","",IF(BO356=1,$D356,MIN($D356,BS355)))</f>
        <v>0</v>
      </c>
      <c r="BT356">
        <f>IF($A356="","",IF(BP356=1,F356,""))</f>
        <v>0</v>
      </c>
    </row>
    <row r="357" spans="1:72">
      <c r="A357" s="27">
        <f>IF(Data!$A357="","",Data!$A357)</f>
        <v>0</v>
      </c>
      <c r="B357">
        <f>IF(Data!$B357="","",Data!$B357)</f>
        <v>0</v>
      </c>
      <c r="C357">
        <f>IF(Data!$C357="","",Data!$C357)</f>
        <v>0</v>
      </c>
      <c r="D357">
        <f>IF(Data!$D357="","",Data!$D357)</f>
        <v>0</v>
      </c>
      <c r="E357">
        <f>IF(Data!$E357="","",Data!$E357)</f>
        <v>0</v>
      </c>
      <c r="F357">
        <f>IF($E357="","",N(F356)+1)</f>
        <v>0</v>
      </c>
      <c r="G357">
        <f>IF(OR($E357="",$E356=""),"",LN($E357/$E356))</f>
        <v>0</v>
      </c>
      <c r="H357">
        <f>IF($E357="","",IF($E356="",$E357,$E357*0.0952380952+H356*0.9047619048))</f>
        <v>0</v>
      </c>
      <c r="I357">
        <f>IF($E357="","",IF($E356="",$E357,$E357*0.0392156863+I356*0.9607843137))</f>
        <v>0</v>
      </c>
      <c r="J357">
        <f>IF($E357="","",IF($E356="",$E357,$E357*0.0198019802+J356*0.9801980198))</f>
        <v>0</v>
      </c>
      <c r="K357">
        <f>IF($E357="","",IF($E356="",$E357,$E357*0.0099502488+K356*0.9900497512))</f>
        <v>0</v>
      </c>
      <c r="L357">
        <f>IF(OR($E357="",$E356=""),"",MAX($E357-$E356,0))</f>
        <v>0</v>
      </c>
      <c r="M357">
        <f>IF(OR($E357="",$E356=""),"",MAX($E356-$E357,0))</f>
        <v>0</v>
      </c>
      <c r="N357">
        <f>IF(COUNT($E$2:$E357)&lt;15,"",IF(AVERAGE($M$344:$M$357)=0,100,100-100/(1+AVERAGE($L$344:$L$357)/AVERAGE($M$344:$M$357))))</f>
        <v>0</v>
      </c>
      <c r="O357">
        <f>IF($E357="","",IF($E356="",$E357,$E357*0.1538461538+O356*0.8461538462))</f>
        <v>0</v>
      </c>
      <c r="P357">
        <f>IF($E357="","",IF($E356="",$E357,$E357*0.0740740741+P356*0.9259259259))</f>
        <v>0</v>
      </c>
      <c r="Q357">
        <f>IF(OR(O357="",P357=""),"",O357-P357)</f>
        <v>0</v>
      </c>
      <c r="R357">
        <f>IF(Q357="","",IF(R356="",Q357,Q357*0.2000000000+R356*0.8000000000))</f>
        <v>0</v>
      </c>
      <c r="S357">
        <f>IF(OR(Q357="",R357=""),"",Q357-R357)</f>
        <v>0</v>
      </c>
      <c r="T357">
        <f>IF(COUNT($E$2:$E357)&lt;14,"",MAX($C$344:$C$357))</f>
        <v>0</v>
      </c>
      <c r="U357">
        <f>IF(COUNT($E$2:$E357)&lt;14,"",MIN($D$344:$D$357))</f>
        <v>0</v>
      </c>
      <c r="V357">
        <f>IF(OR(T357="",U357="",T357=U357),"",100*($E357-U357)/(T357-U357))</f>
        <v>0</v>
      </c>
      <c r="W357">
        <f>IF(COUNT($V$355:$V$357)&lt;3,"",AVERAGE($V$355:$V$357))</f>
        <v>0</v>
      </c>
      <c r="X357">
        <f>IF(COUNT($N$344:$N$357)&lt;14,"",MIN($N$344:$N$357))</f>
        <v>0</v>
      </c>
      <c r="Y357">
        <f>IF(COUNT($N$344:$N$357)&lt;14,"",MAX($N$344:$N$357))</f>
        <v>0</v>
      </c>
      <c r="Z357">
        <f>IF(OR(N357="",X357="",Y357="",Y357=X357),"",100*(N357-X357)/(Y357-X357))</f>
        <v>0</v>
      </c>
      <c r="AA357">
        <f>IF(COUNT($Z$355:$Z$357)&lt;3,"",AVERAGE($Z$355:$Z$357))</f>
        <v>0</v>
      </c>
      <c r="AB357">
        <f>IF(COUNT($AA$355:$AA$357)&lt;3,"",AVERAGE($AA$355:$AA$357))</f>
        <v>0</v>
      </c>
      <c r="AC357">
        <f>IF($E357="","",MAX($C357-$D357,ABS($C357-$E356),ABS($D357-$E356)))</f>
        <v>0</v>
      </c>
      <c r="AD357">
        <f>IF(COUNT($E$2:$E357)&lt;15,"",AVERAGE($AC$344:$AC$357))</f>
        <v>0</v>
      </c>
      <c r="AE357">
        <f>IF(OR($E357="",$E356=""),"",IF(AND(($C357-$C356)&gt;($D356-$D357),($C357-$C356)&gt;0),$C357-$C356,0))</f>
        <v>0</v>
      </c>
      <c r="AF357">
        <f>IF(OR($E357="",$E356=""),"",IF(AND(($D356-$D357)&gt;($C357-$C356),($D356-$D357)&gt;0),$D356-$D357,0))</f>
        <v>0</v>
      </c>
      <c r="AG357">
        <f>IF(COUNT($E$2:$E357)&lt;15,"",IF(SUM($AC$344:$AC$357)=0,0,100*SUM($AE$344:$AE$357)/SUM($AC$344:$AC$357)))</f>
        <v>0</v>
      </c>
      <c r="AH357">
        <f>IF(COUNT($E$2:$E357)&lt;15,"",IF(SUM($AC$344:$AC$357)=0,0,100*SUM($AF$344:$AF$357)/SUM($AC$344:$AC$357)))</f>
        <v>0</v>
      </c>
      <c r="AI357">
        <f>IF(OR(AG357="",AH357=""),"",IF((AG357+AH357)=0,0,100*ABS(AG357-AH357)/(AG357+AH357)))</f>
        <v>0</v>
      </c>
      <c r="AJ357">
        <f>IF(COUNT($AI$344:$AI$357)&lt;14,"",AVERAGE($AI$344:$AI$357))</f>
        <v>0</v>
      </c>
      <c r="AK357">
        <f>IF(COUNT($E$2:$E357)&lt;20,"",AVERAGE($E$338:$E$357))</f>
        <v>0</v>
      </c>
      <c r="AL357">
        <f>IF(COUNT($E$2:$E357)&lt;20,"",STDEVP($E$338:$E$357))</f>
        <v>0</v>
      </c>
      <c r="AM357">
        <f>IF(AK357="","",AK357+2*AL357)</f>
        <v>0</v>
      </c>
      <c r="AN357">
        <f>IF(AK357="","",AK357-2*AL357)</f>
        <v>0</v>
      </c>
      <c r="AO357">
        <f>IF(OR(AM357="",AN357="",AM357=AN357),"",($E357-AN357)/(AM357-AN357))</f>
        <v>0</v>
      </c>
      <c r="AP357">
        <f>IF(OR(AM357="",AK357="",AK357=0),"",(AM357-AN357)/AK357)</f>
        <v>0</v>
      </c>
      <c r="AQ357">
        <f>IF(COUNT($E$2:$E357)&lt;20,"",MAX($C$338:$C$357))</f>
        <v>0</v>
      </c>
      <c r="AR357">
        <f>IF(COUNT($E$2:$E357)&lt;20,"",MIN($D$338:$D$357))</f>
        <v>0</v>
      </c>
      <c r="AS357">
        <f>IF(OR(AQ357="",AR357=""),"",(AQ357+AR357)/2)</f>
        <v>0</v>
      </c>
      <c r="AT357">
        <f>IF(COUNT($G$338:$G$357)&lt;20,"",STDEV($G$338:$G$357)*SQRT(252))</f>
        <v>0</v>
      </c>
      <c r="AU357">
        <f>IF(COUNT($E$2:$E357)&lt;9,"",(MAX($C$349:$C$357)+MIN($D$349:$D$357))/2)</f>
        <v>0</v>
      </c>
      <c r="AV357">
        <f>IF(COUNT($E$2:$E357)&lt;26,"",(MAX($C$332:$C$357)+MIN($D$332:$D$357))/2)</f>
        <v>0</v>
      </c>
      <c r="AW357">
        <f>IF(OR(AU357="",AV357=""),"",(AU357+AV357)/2)</f>
        <v>0</v>
      </c>
      <c r="AX357">
        <f>IF(COUNT($E$2:$E357)&lt;52,"",(MAX($C$306:$C$357)+MIN($D$306:$D$357))/2)</f>
        <v>0</v>
      </c>
      <c r="AY357">
        <f>IF(COUNT($E$2:$E357)&lt;20,"",MAX($C$258:$C$357))</f>
        <v>0</v>
      </c>
      <c r="AZ357">
        <f>IF(COUNT($E$2:$E357)&lt;20,"",MIN($D$258:$D$357))</f>
        <v>0</v>
      </c>
      <c r="BA357">
        <f>IF(COUNT($E$2:$E357)&lt;20,"",SLOPE($E$258:$E$357,$F$258:$F$357))</f>
        <v>0</v>
      </c>
      <c r="BB357">
        <f>IF(COUNT($E$2:$E357)&lt;20,"",INTERCEPT($E$258:$E$357,$F$258:$F$357))</f>
        <v>0</v>
      </c>
      <c r="BC357">
        <f>IF(OR(BA357="",BB357=""),"",BB357+BA357*F357)</f>
        <v>0</v>
      </c>
      <c r="BD357">
        <f>IF(COUNT($E$2:$E357)&lt;20,"",STEYX($E$258:$E$357,$F$258:$F$357))</f>
        <v>0</v>
      </c>
      <c r="BE357">
        <f>IF($E357="","",IF(AND(COUNT($E$358:$E$361)&gt;=4,$C357=MAX($C$353:$C$361)),$C357,""))</f>
        <v>0</v>
      </c>
      <c r="BF357">
        <f>IF($E357="","",IF(AND(COUNT($E$358:$E$361)&gt;=4,$D357=MIN($D$353:$D$361)),$D357,""))</f>
        <v>0</v>
      </c>
      <c r="BG357">
        <f>IF($A357="","",$A357-WEEKDAY($A357,2)+1)</f>
        <v>0</v>
      </c>
      <c r="BH357">
        <f>IF($A357="","",IF($A356="",1,IF(BG357&lt;&gt;BG356,1,0)))</f>
        <v>0</v>
      </c>
      <c r="BI357">
        <f>IF($A357="","",IF($A358="",1,IF(BG358&lt;&gt;BG357,1,0)))</f>
        <v>0</v>
      </c>
      <c r="BJ357">
        <f>IF($A357="","",IF(BH357=1,$B357,BJ356))</f>
        <v>0</v>
      </c>
      <c r="BK357">
        <f>IF($A357="","",IF(BH357=1,$C357,MAX($C357,BK356)))</f>
        <v>0</v>
      </c>
      <c r="BL357">
        <f>IF($A357="","",IF(BH357=1,$D357,MIN($D357,BL356)))</f>
        <v>0</v>
      </c>
      <c r="BM357">
        <f>IF($A357="","",IF(BI357=1,F357,""))</f>
        <v>0</v>
      </c>
      <c r="BN357">
        <f>IF($A357="","",DATE(YEAR($A357),MONTH($A357),1))</f>
        <v>0</v>
      </c>
      <c r="BO357">
        <f>IF($A357="","",IF($A356="",1,IF(BN357&lt;&gt;BN356,1,0)))</f>
        <v>0</v>
      </c>
      <c r="BP357">
        <f>IF($A357="","",IF($A358="",1,IF(BN358&lt;&gt;BN357,1,0)))</f>
        <v>0</v>
      </c>
      <c r="BQ357">
        <f>IF($A357="","",IF(BO357=1,$B357,BQ356))</f>
        <v>0</v>
      </c>
      <c r="BR357">
        <f>IF($A357="","",IF(BO357=1,$C357,MAX($C357,BR356)))</f>
        <v>0</v>
      </c>
      <c r="BS357">
        <f>IF($A357="","",IF(BO357=1,$D357,MIN($D357,BS356)))</f>
        <v>0</v>
      </c>
      <c r="BT357">
        <f>IF($A357="","",IF(BP357=1,F357,""))</f>
        <v>0</v>
      </c>
    </row>
    <row r="358" spans="1:72">
      <c r="A358" s="27">
        <f>IF(Data!$A358="","",Data!$A358)</f>
        <v>0</v>
      </c>
      <c r="B358">
        <f>IF(Data!$B358="","",Data!$B358)</f>
        <v>0</v>
      </c>
      <c r="C358">
        <f>IF(Data!$C358="","",Data!$C358)</f>
        <v>0</v>
      </c>
      <c r="D358">
        <f>IF(Data!$D358="","",Data!$D358)</f>
        <v>0</v>
      </c>
      <c r="E358">
        <f>IF(Data!$E358="","",Data!$E358)</f>
        <v>0</v>
      </c>
      <c r="F358">
        <f>IF($E358="","",N(F357)+1)</f>
        <v>0</v>
      </c>
      <c r="G358">
        <f>IF(OR($E358="",$E357=""),"",LN($E358/$E357))</f>
        <v>0</v>
      </c>
      <c r="H358">
        <f>IF($E358="","",IF($E357="",$E358,$E358*0.0952380952+H357*0.9047619048))</f>
        <v>0</v>
      </c>
      <c r="I358">
        <f>IF($E358="","",IF($E357="",$E358,$E358*0.0392156863+I357*0.9607843137))</f>
        <v>0</v>
      </c>
      <c r="J358">
        <f>IF($E358="","",IF($E357="",$E358,$E358*0.0198019802+J357*0.9801980198))</f>
        <v>0</v>
      </c>
      <c r="K358">
        <f>IF($E358="","",IF($E357="",$E358,$E358*0.0099502488+K357*0.9900497512))</f>
        <v>0</v>
      </c>
      <c r="L358">
        <f>IF(OR($E358="",$E357=""),"",MAX($E358-$E357,0))</f>
        <v>0</v>
      </c>
      <c r="M358">
        <f>IF(OR($E358="",$E357=""),"",MAX($E357-$E358,0))</f>
        <v>0</v>
      </c>
      <c r="N358">
        <f>IF(COUNT($E$2:$E358)&lt;15,"",IF(AVERAGE($M$345:$M$358)=0,100,100-100/(1+AVERAGE($L$345:$L$358)/AVERAGE($M$345:$M$358))))</f>
        <v>0</v>
      </c>
      <c r="O358">
        <f>IF($E358="","",IF($E357="",$E358,$E358*0.1538461538+O357*0.8461538462))</f>
        <v>0</v>
      </c>
      <c r="P358">
        <f>IF($E358="","",IF($E357="",$E358,$E358*0.0740740741+P357*0.9259259259))</f>
        <v>0</v>
      </c>
      <c r="Q358">
        <f>IF(OR(O358="",P358=""),"",O358-P358)</f>
        <v>0</v>
      </c>
      <c r="R358">
        <f>IF(Q358="","",IF(R357="",Q358,Q358*0.2000000000+R357*0.8000000000))</f>
        <v>0</v>
      </c>
      <c r="S358">
        <f>IF(OR(Q358="",R358=""),"",Q358-R358)</f>
        <v>0</v>
      </c>
      <c r="T358">
        <f>IF(COUNT($E$2:$E358)&lt;14,"",MAX($C$345:$C$358))</f>
        <v>0</v>
      </c>
      <c r="U358">
        <f>IF(COUNT($E$2:$E358)&lt;14,"",MIN($D$345:$D$358))</f>
        <v>0</v>
      </c>
      <c r="V358">
        <f>IF(OR(T358="",U358="",T358=U358),"",100*($E358-U358)/(T358-U358))</f>
        <v>0</v>
      </c>
      <c r="W358">
        <f>IF(COUNT($V$356:$V$358)&lt;3,"",AVERAGE($V$356:$V$358))</f>
        <v>0</v>
      </c>
      <c r="X358">
        <f>IF(COUNT($N$345:$N$358)&lt;14,"",MIN($N$345:$N$358))</f>
        <v>0</v>
      </c>
      <c r="Y358">
        <f>IF(COUNT($N$345:$N$358)&lt;14,"",MAX($N$345:$N$358))</f>
        <v>0</v>
      </c>
      <c r="Z358">
        <f>IF(OR(N358="",X358="",Y358="",Y358=X358),"",100*(N358-X358)/(Y358-X358))</f>
        <v>0</v>
      </c>
      <c r="AA358">
        <f>IF(COUNT($Z$356:$Z$358)&lt;3,"",AVERAGE($Z$356:$Z$358))</f>
        <v>0</v>
      </c>
      <c r="AB358">
        <f>IF(COUNT($AA$356:$AA$358)&lt;3,"",AVERAGE($AA$356:$AA$358))</f>
        <v>0</v>
      </c>
      <c r="AC358">
        <f>IF($E358="","",MAX($C358-$D358,ABS($C358-$E357),ABS($D358-$E357)))</f>
        <v>0</v>
      </c>
      <c r="AD358">
        <f>IF(COUNT($E$2:$E358)&lt;15,"",AVERAGE($AC$345:$AC$358))</f>
        <v>0</v>
      </c>
      <c r="AE358">
        <f>IF(OR($E358="",$E357=""),"",IF(AND(($C358-$C357)&gt;($D357-$D358),($C358-$C357)&gt;0),$C358-$C357,0))</f>
        <v>0</v>
      </c>
      <c r="AF358">
        <f>IF(OR($E358="",$E357=""),"",IF(AND(($D357-$D358)&gt;($C358-$C357),($D357-$D358)&gt;0),$D357-$D358,0))</f>
        <v>0</v>
      </c>
      <c r="AG358">
        <f>IF(COUNT($E$2:$E358)&lt;15,"",IF(SUM($AC$345:$AC$358)=0,0,100*SUM($AE$345:$AE$358)/SUM($AC$345:$AC$358)))</f>
        <v>0</v>
      </c>
      <c r="AH358">
        <f>IF(COUNT($E$2:$E358)&lt;15,"",IF(SUM($AC$345:$AC$358)=0,0,100*SUM($AF$345:$AF$358)/SUM($AC$345:$AC$358)))</f>
        <v>0</v>
      </c>
      <c r="AI358">
        <f>IF(OR(AG358="",AH358=""),"",IF((AG358+AH358)=0,0,100*ABS(AG358-AH358)/(AG358+AH358)))</f>
        <v>0</v>
      </c>
      <c r="AJ358">
        <f>IF(COUNT($AI$345:$AI$358)&lt;14,"",AVERAGE($AI$345:$AI$358))</f>
        <v>0</v>
      </c>
      <c r="AK358">
        <f>IF(COUNT($E$2:$E358)&lt;20,"",AVERAGE($E$339:$E$358))</f>
        <v>0</v>
      </c>
      <c r="AL358">
        <f>IF(COUNT($E$2:$E358)&lt;20,"",STDEVP($E$339:$E$358))</f>
        <v>0</v>
      </c>
      <c r="AM358">
        <f>IF(AK358="","",AK358+2*AL358)</f>
        <v>0</v>
      </c>
      <c r="AN358">
        <f>IF(AK358="","",AK358-2*AL358)</f>
        <v>0</v>
      </c>
      <c r="AO358">
        <f>IF(OR(AM358="",AN358="",AM358=AN358),"",($E358-AN358)/(AM358-AN358))</f>
        <v>0</v>
      </c>
      <c r="AP358">
        <f>IF(OR(AM358="",AK358="",AK358=0),"",(AM358-AN358)/AK358)</f>
        <v>0</v>
      </c>
      <c r="AQ358">
        <f>IF(COUNT($E$2:$E358)&lt;20,"",MAX($C$339:$C$358))</f>
        <v>0</v>
      </c>
      <c r="AR358">
        <f>IF(COUNT($E$2:$E358)&lt;20,"",MIN($D$339:$D$358))</f>
        <v>0</v>
      </c>
      <c r="AS358">
        <f>IF(OR(AQ358="",AR358=""),"",(AQ358+AR358)/2)</f>
        <v>0</v>
      </c>
      <c r="AT358">
        <f>IF(COUNT($G$339:$G$358)&lt;20,"",STDEV($G$339:$G$358)*SQRT(252))</f>
        <v>0</v>
      </c>
      <c r="AU358">
        <f>IF(COUNT($E$2:$E358)&lt;9,"",(MAX($C$350:$C$358)+MIN($D$350:$D$358))/2)</f>
        <v>0</v>
      </c>
      <c r="AV358">
        <f>IF(COUNT($E$2:$E358)&lt;26,"",(MAX($C$333:$C$358)+MIN($D$333:$D$358))/2)</f>
        <v>0</v>
      </c>
      <c r="AW358">
        <f>IF(OR(AU358="",AV358=""),"",(AU358+AV358)/2)</f>
        <v>0</v>
      </c>
      <c r="AX358">
        <f>IF(COUNT($E$2:$E358)&lt;52,"",(MAX($C$307:$C$358)+MIN($D$307:$D$358))/2)</f>
        <v>0</v>
      </c>
      <c r="AY358">
        <f>IF(COUNT($E$2:$E358)&lt;20,"",MAX($C$259:$C$358))</f>
        <v>0</v>
      </c>
      <c r="AZ358">
        <f>IF(COUNT($E$2:$E358)&lt;20,"",MIN($D$259:$D$358))</f>
        <v>0</v>
      </c>
      <c r="BA358">
        <f>IF(COUNT($E$2:$E358)&lt;20,"",SLOPE($E$259:$E$358,$F$259:$F$358))</f>
        <v>0</v>
      </c>
      <c r="BB358">
        <f>IF(COUNT($E$2:$E358)&lt;20,"",INTERCEPT($E$259:$E$358,$F$259:$F$358))</f>
        <v>0</v>
      </c>
      <c r="BC358">
        <f>IF(OR(BA358="",BB358=""),"",BB358+BA358*F358)</f>
        <v>0</v>
      </c>
      <c r="BD358">
        <f>IF(COUNT($E$2:$E358)&lt;20,"",STEYX($E$259:$E$358,$F$259:$F$358))</f>
        <v>0</v>
      </c>
      <c r="BE358">
        <f>IF($E358="","",IF(AND(COUNT($E$359:$E$362)&gt;=4,$C358=MAX($C$354:$C$362)),$C358,""))</f>
        <v>0</v>
      </c>
      <c r="BF358">
        <f>IF($E358="","",IF(AND(COUNT($E$359:$E$362)&gt;=4,$D358=MIN($D$354:$D$362)),$D358,""))</f>
        <v>0</v>
      </c>
      <c r="BG358">
        <f>IF($A358="","",$A358-WEEKDAY($A358,2)+1)</f>
        <v>0</v>
      </c>
      <c r="BH358">
        <f>IF($A358="","",IF($A357="",1,IF(BG358&lt;&gt;BG357,1,0)))</f>
        <v>0</v>
      </c>
      <c r="BI358">
        <f>IF($A358="","",IF($A359="",1,IF(BG359&lt;&gt;BG358,1,0)))</f>
        <v>0</v>
      </c>
      <c r="BJ358">
        <f>IF($A358="","",IF(BH358=1,$B358,BJ357))</f>
        <v>0</v>
      </c>
      <c r="BK358">
        <f>IF($A358="","",IF(BH358=1,$C358,MAX($C358,BK357)))</f>
        <v>0</v>
      </c>
      <c r="BL358">
        <f>IF($A358="","",IF(BH358=1,$D358,MIN($D358,BL357)))</f>
        <v>0</v>
      </c>
      <c r="BM358">
        <f>IF($A358="","",IF(BI358=1,F358,""))</f>
        <v>0</v>
      </c>
      <c r="BN358">
        <f>IF($A358="","",DATE(YEAR($A358),MONTH($A358),1))</f>
        <v>0</v>
      </c>
      <c r="BO358">
        <f>IF($A358="","",IF($A357="",1,IF(BN358&lt;&gt;BN357,1,0)))</f>
        <v>0</v>
      </c>
      <c r="BP358">
        <f>IF($A358="","",IF($A359="",1,IF(BN359&lt;&gt;BN358,1,0)))</f>
        <v>0</v>
      </c>
      <c r="BQ358">
        <f>IF($A358="","",IF(BO358=1,$B358,BQ357))</f>
        <v>0</v>
      </c>
      <c r="BR358">
        <f>IF($A358="","",IF(BO358=1,$C358,MAX($C358,BR357)))</f>
        <v>0</v>
      </c>
      <c r="BS358">
        <f>IF($A358="","",IF(BO358=1,$D358,MIN($D358,BS357)))</f>
        <v>0</v>
      </c>
      <c r="BT358">
        <f>IF($A358="","",IF(BP358=1,F358,""))</f>
        <v>0</v>
      </c>
    </row>
    <row r="359" spans="1:72">
      <c r="A359" s="27">
        <f>IF(Data!$A359="","",Data!$A359)</f>
        <v>0</v>
      </c>
      <c r="B359">
        <f>IF(Data!$B359="","",Data!$B359)</f>
        <v>0</v>
      </c>
      <c r="C359">
        <f>IF(Data!$C359="","",Data!$C359)</f>
        <v>0</v>
      </c>
      <c r="D359">
        <f>IF(Data!$D359="","",Data!$D359)</f>
        <v>0</v>
      </c>
      <c r="E359">
        <f>IF(Data!$E359="","",Data!$E359)</f>
        <v>0</v>
      </c>
      <c r="F359">
        <f>IF($E359="","",N(F358)+1)</f>
        <v>0</v>
      </c>
      <c r="G359">
        <f>IF(OR($E359="",$E358=""),"",LN($E359/$E358))</f>
        <v>0</v>
      </c>
      <c r="H359">
        <f>IF($E359="","",IF($E358="",$E359,$E359*0.0952380952+H358*0.9047619048))</f>
        <v>0</v>
      </c>
      <c r="I359">
        <f>IF($E359="","",IF($E358="",$E359,$E359*0.0392156863+I358*0.9607843137))</f>
        <v>0</v>
      </c>
      <c r="J359">
        <f>IF($E359="","",IF($E358="",$E359,$E359*0.0198019802+J358*0.9801980198))</f>
        <v>0</v>
      </c>
      <c r="K359">
        <f>IF($E359="","",IF($E358="",$E359,$E359*0.0099502488+K358*0.9900497512))</f>
        <v>0</v>
      </c>
      <c r="L359">
        <f>IF(OR($E359="",$E358=""),"",MAX($E359-$E358,0))</f>
        <v>0</v>
      </c>
      <c r="M359">
        <f>IF(OR($E359="",$E358=""),"",MAX($E358-$E359,0))</f>
        <v>0</v>
      </c>
      <c r="N359">
        <f>IF(COUNT($E$2:$E359)&lt;15,"",IF(AVERAGE($M$346:$M$359)=0,100,100-100/(1+AVERAGE($L$346:$L$359)/AVERAGE($M$346:$M$359))))</f>
        <v>0</v>
      </c>
      <c r="O359">
        <f>IF($E359="","",IF($E358="",$E359,$E359*0.1538461538+O358*0.8461538462))</f>
        <v>0</v>
      </c>
      <c r="P359">
        <f>IF($E359="","",IF($E358="",$E359,$E359*0.0740740741+P358*0.9259259259))</f>
        <v>0</v>
      </c>
      <c r="Q359">
        <f>IF(OR(O359="",P359=""),"",O359-P359)</f>
        <v>0</v>
      </c>
      <c r="R359">
        <f>IF(Q359="","",IF(R358="",Q359,Q359*0.2000000000+R358*0.8000000000))</f>
        <v>0</v>
      </c>
      <c r="S359">
        <f>IF(OR(Q359="",R359=""),"",Q359-R359)</f>
        <v>0</v>
      </c>
      <c r="T359">
        <f>IF(COUNT($E$2:$E359)&lt;14,"",MAX($C$346:$C$359))</f>
        <v>0</v>
      </c>
      <c r="U359">
        <f>IF(COUNT($E$2:$E359)&lt;14,"",MIN($D$346:$D$359))</f>
        <v>0</v>
      </c>
      <c r="V359">
        <f>IF(OR(T359="",U359="",T359=U359),"",100*($E359-U359)/(T359-U359))</f>
        <v>0</v>
      </c>
      <c r="W359">
        <f>IF(COUNT($V$357:$V$359)&lt;3,"",AVERAGE($V$357:$V$359))</f>
        <v>0</v>
      </c>
      <c r="X359">
        <f>IF(COUNT($N$346:$N$359)&lt;14,"",MIN($N$346:$N$359))</f>
        <v>0</v>
      </c>
      <c r="Y359">
        <f>IF(COUNT($N$346:$N$359)&lt;14,"",MAX($N$346:$N$359))</f>
        <v>0</v>
      </c>
      <c r="Z359">
        <f>IF(OR(N359="",X359="",Y359="",Y359=X359),"",100*(N359-X359)/(Y359-X359))</f>
        <v>0</v>
      </c>
      <c r="AA359">
        <f>IF(COUNT($Z$357:$Z$359)&lt;3,"",AVERAGE($Z$357:$Z$359))</f>
        <v>0</v>
      </c>
      <c r="AB359">
        <f>IF(COUNT($AA$357:$AA$359)&lt;3,"",AVERAGE($AA$357:$AA$359))</f>
        <v>0</v>
      </c>
      <c r="AC359">
        <f>IF($E359="","",MAX($C359-$D359,ABS($C359-$E358),ABS($D359-$E358)))</f>
        <v>0</v>
      </c>
      <c r="AD359">
        <f>IF(COUNT($E$2:$E359)&lt;15,"",AVERAGE($AC$346:$AC$359))</f>
        <v>0</v>
      </c>
      <c r="AE359">
        <f>IF(OR($E359="",$E358=""),"",IF(AND(($C359-$C358)&gt;($D358-$D359),($C359-$C358)&gt;0),$C359-$C358,0))</f>
        <v>0</v>
      </c>
      <c r="AF359">
        <f>IF(OR($E359="",$E358=""),"",IF(AND(($D358-$D359)&gt;($C359-$C358),($D358-$D359)&gt;0),$D358-$D359,0))</f>
        <v>0</v>
      </c>
      <c r="AG359">
        <f>IF(COUNT($E$2:$E359)&lt;15,"",IF(SUM($AC$346:$AC$359)=0,0,100*SUM($AE$346:$AE$359)/SUM($AC$346:$AC$359)))</f>
        <v>0</v>
      </c>
      <c r="AH359">
        <f>IF(COUNT($E$2:$E359)&lt;15,"",IF(SUM($AC$346:$AC$359)=0,0,100*SUM($AF$346:$AF$359)/SUM($AC$346:$AC$359)))</f>
        <v>0</v>
      </c>
      <c r="AI359">
        <f>IF(OR(AG359="",AH359=""),"",IF((AG359+AH359)=0,0,100*ABS(AG359-AH359)/(AG359+AH359)))</f>
        <v>0</v>
      </c>
      <c r="AJ359">
        <f>IF(COUNT($AI$346:$AI$359)&lt;14,"",AVERAGE($AI$346:$AI$359))</f>
        <v>0</v>
      </c>
      <c r="AK359">
        <f>IF(COUNT($E$2:$E359)&lt;20,"",AVERAGE($E$340:$E$359))</f>
        <v>0</v>
      </c>
      <c r="AL359">
        <f>IF(COUNT($E$2:$E359)&lt;20,"",STDEVP($E$340:$E$359))</f>
        <v>0</v>
      </c>
      <c r="AM359">
        <f>IF(AK359="","",AK359+2*AL359)</f>
        <v>0</v>
      </c>
      <c r="AN359">
        <f>IF(AK359="","",AK359-2*AL359)</f>
        <v>0</v>
      </c>
      <c r="AO359">
        <f>IF(OR(AM359="",AN359="",AM359=AN359),"",($E359-AN359)/(AM359-AN359))</f>
        <v>0</v>
      </c>
      <c r="AP359">
        <f>IF(OR(AM359="",AK359="",AK359=0),"",(AM359-AN359)/AK359)</f>
        <v>0</v>
      </c>
      <c r="AQ359">
        <f>IF(COUNT($E$2:$E359)&lt;20,"",MAX($C$340:$C$359))</f>
        <v>0</v>
      </c>
      <c r="AR359">
        <f>IF(COUNT($E$2:$E359)&lt;20,"",MIN($D$340:$D$359))</f>
        <v>0</v>
      </c>
      <c r="AS359">
        <f>IF(OR(AQ359="",AR359=""),"",(AQ359+AR359)/2)</f>
        <v>0</v>
      </c>
      <c r="AT359">
        <f>IF(COUNT($G$340:$G$359)&lt;20,"",STDEV($G$340:$G$359)*SQRT(252))</f>
        <v>0</v>
      </c>
      <c r="AU359">
        <f>IF(COUNT($E$2:$E359)&lt;9,"",(MAX($C$351:$C$359)+MIN($D$351:$D$359))/2)</f>
        <v>0</v>
      </c>
      <c r="AV359">
        <f>IF(COUNT($E$2:$E359)&lt;26,"",(MAX($C$334:$C$359)+MIN($D$334:$D$359))/2)</f>
        <v>0</v>
      </c>
      <c r="AW359">
        <f>IF(OR(AU359="",AV359=""),"",(AU359+AV359)/2)</f>
        <v>0</v>
      </c>
      <c r="AX359">
        <f>IF(COUNT($E$2:$E359)&lt;52,"",(MAX($C$308:$C$359)+MIN($D$308:$D$359))/2)</f>
        <v>0</v>
      </c>
      <c r="AY359">
        <f>IF(COUNT($E$2:$E359)&lt;20,"",MAX($C$260:$C$359))</f>
        <v>0</v>
      </c>
      <c r="AZ359">
        <f>IF(COUNT($E$2:$E359)&lt;20,"",MIN($D$260:$D$359))</f>
        <v>0</v>
      </c>
      <c r="BA359">
        <f>IF(COUNT($E$2:$E359)&lt;20,"",SLOPE($E$260:$E$359,$F$260:$F$359))</f>
        <v>0</v>
      </c>
      <c r="BB359">
        <f>IF(COUNT($E$2:$E359)&lt;20,"",INTERCEPT($E$260:$E$359,$F$260:$F$359))</f>
        <v>0</v>
      </c>
      <c r="BC359">
        <f>IF(OR(BA359="",BB359=""),"",BB359+BA359*F359)</f>
        <v>0</v>
      </c>
      <c r="BD359">
        <f>IF(COUNT($E$2:$E359)&lt;20,"",STEYX($E$260:$E$359,$F$260:$F$359))</f>
        <v>0</v>
      </c>
      <c r="BE359">
        <f>IF($E359="","",IF(AND(COUNT($E$360:$E$363)&gt;=4,$C359=MAX($C$355:$C$363)),$C359,""))</f>
        <v>0</v>
      </c>
      <c r="BF359">
        <f>IF($E359="","",IF(AND(COUNT($E$360:$E$363)&gt;=4,$D359=MIN($D$355:$D$363)),$D359,""))</f>
        <v>0</v>
      </c>
      <c r="BG359">
        <f>IF($A359="","",$A359-WEEKDAY($A359,2)+1)</f>
        <v>0</v>
      </c>
      <c r="BH359">
        <f>IF($A359="","",IF($A358="",1,IF(BG359&lt;&gt;BG358,1,0)))</f>
        <v>0</v>
      </c>
      <c r="BI359">
        <f>IF($A359="","",IF($A360="",1,IF(BG360&lt;&gt;BG359,1,0)))</f>
        <v>0</v>
      </c>
      <c r="BJ359">
        <f>IF($A359="","",IF(BH359=1,$B359,BJ358))</f>
        <v>0</v>
      </c>
      <c r="BK359">
        <f>IF($A359="","",IF(BH359=1,$C359,MAX($C359,BK358)))</f>
        <v>0</v>
      </c>
      <c r="BL359">
        <f>IF($A359="","",IF(BH359=1,$D359,MIN($D359,BL358)))</f>
        <v>0</v>
      </c>
      <c r="BM359">
        <f>IF($A359="","",IF(BI359=1,F359,""))</f>
        <v>0</v>
      </c>
      <c r="BN359">
        <f>IF($A359="","",DATE(YEAR($A359),MONTH($A359),1))</f>
        <v>0</v>
      </c>
      <c r="BO359">
        <f>IF($A359="","",IF($A358="",1,IF(BN359&lt;&gt;BN358,1,0)))</f>
        <v>0</v>
      </c>
      <c r="BP359">
        <f>IF($A359="","",IF($A360="",1,IF(BN360&lt;&gt;BN359,1,0)))</f>
        <v>0</v>
      </c>
      <c r="BQ359">
        <f>IF($A359="","",IF(BO359=1,$B359,BQ358))</f>
        <v>0</v>
      </c>
      <c r="BR359">
        <f>IF($A359="","",IF(BO359=1,$C359,MAX($C359,BR358)))</f>
        <v>0</v>
      </c>
      <c r="BS359">
        <f>IF($A359="","",IF(BO359=1,$D359,MIN($D359,BS358)))</f>
        <v>0</v>
      </c>
      <c r="BT359">
        <f>IF($A359="","",IF(BP359=1,F359,""))</f>
        <v>0</v>
      </c>
    </row>
    <row r="360" spans="1:72">
      <c r="A360" s="27">
        <f>IF(Data!$A360="","",Data!$A360)</f>
        <v>0</v>
      </c>
      <c r="B360">
        <f>IF(Data!$B360="","",Data!$B360)</f>
        <v>0</v>
      </c>
      <c r="C360">
        <f>IF(Data!$C360="","",Data!$C360)</f>
        <v>0</v>
      </c>
      <c r="D360">
        <f>IF(Data!$D360="","",Data!$D360)</f>
        <v>0</v>
      </c>
      <c r="E360">
        <f>IF(Data!$E360="","",Data!$E360)</f>
        <v>0</v>
      </c>
      <c r="F360">
        <f>IF($E360="","",N(F359)+1)</f>
        <v>0</v>
      </c>
      <c r="G360">
        <f>IF(OR($E360="",$E359=""),"",LN($E360/$E359))</f>
        <v>0</v>
      </c>
      <c r="H360">
        <f>IF($E360="","",IF($E359="",$E360,$E360*0.0952380952+H359*0.9047619048))</f>
        <v>0</v>
      </c>
      <c r="I360">
        <f>IF($E360="","",IF($E359="",$E360,$E360*0.0392156863+I359*0.9607843137))</f>
        <v>0</v>
      </c>
      <c r="J360">
        <f>IF($E360="","",IF($E359="",$E360,$E360*0.0198019802+J359*0.9801980198))</f>
        <v>0</v>
      </c>
      <c r="K360">
        <f>IF($E360="","",IF($E359="",$E360,$E360*0.0099502488+K359*0.9900497512))</f>
        <v>0</v>
      </c>
      <c r="L360">
        <f>IF(OR($E360="",$E359=""),"",MAX($E360-$E359,0))</f>
        <v>0</v>
      </c>
      <c r="M360">
        <f>IF(OR($E360="",$E359=""),"",MAX($E359-$E360,0))</f>
        <v>0</v>
      </c>
      <c r="N360">
        <f>IF(COUNT($E$2:$E360)&lt;15,"",IF(AVERAGE($M$347:$M$360)=0,100,100-100/(1+AVERAGE($L$347:$L$360)/AVERAGE($M$347:$M$360))))</f>
        <v>0</v>
      </c>
      <c r="O360">
        <f>IF($E360="","",IF($E359="",$E360,$E360*0.1538461538+O359*0.8461538462))</f>
        <v>0</v>
      </c>
      <c r="P360">
        <f>IF($E360="","",IF($E359="",$E360,$E360*0.0740740741+P359*0.9259259259))</f>
        <v>0</v>
      </c>
      <c r="Q360">
        <f>IF(OR(O360="",P360=""),"",O360-P360)</f>
        <v>0</v>
      </c>
      <c r="R360">
        <f>IF(Q360="","",IF(R359="",Q360,Q360*0.2000000000+R359*0.8000000000))</f>
        <v>0</v>
      </c>
      <c r="S360">
        <f>IF(OR(Q360="",R360=""),"",Q360-R360)</f>
        <v>0</v>
      </c>
      <c r="T360">
        <f>IF(COUNT($E$2:$E360)&lt;14,"",MAX($C$347:$C$360))</f>
        <v>0</v>
      </c>
      <c r="U360">
        <f>IF(COUNT($E$2:$E360)&lt;14,"",MIN($D$347:$D$360))</f>
        <v>0</v>
      </c>
      <c r="V360">
        <f>IF(OR(T360="",U360="",T360=U360),"",100*($E360-U360)/(T360-U360))</f>
        <v>0</v>
      </c>
      <c r="W360">
        <f>IF(COUNT($V$358:$V$360)&lt;3,"",AVERAGE($V$358:$V$360))</f>
        <v>0</v>
      </c>
      <c r="X360">
        <f>IF(COUNT($N$347:$N$360)&lt;14,"",MIN($N$347:$N$360))</f>
        <v>0</v>
      </c>
      <c r="Y360">
        <f>IF(COUNT($N$347:$N$360)&lt;14,"",MAX($N$347:$N$360))</f>
        <v>0</v>
      </c>
      <c r="Z360">
        <f>IF(OR(N360="",X360="",Y360="",Y360=X360),"",100*(N360-X360)/(Y360-X360))</f>
        <v>0</v>
      </c>
      <c r="AA360">
        <f>IF(COUNT($Z$358:$Z$360)&lt;3,"",AVERAGE($Z$358:$Z$360))</f>
        <v>0</v>
      </c>
      <c r="AB360">
        <f>IF(COUNT($AA$358:$AA$360)&lt;3,"",AVERAGE($AA$358:$AA$360))</f>
        <v>0</v>
      </c>
      <c r="AC360">
        <f>IF($E360="","",MAX($C360-$D360,ABS($C360-$E359),ABS($D360-$E359)))</f>
        <v>0</v>
      </c>
      <c r="AD360">
        <f>IF(COUNT($E$2:$E360)&lt;15,"",AVERAGE($AC$347:$AC$360))</f>
        <v>0</v>
      </c>
      <c r="AE360">
        <f>IF(OR($E360="",$E359=""),"",IF(AND(($C360-$C359)&gt;($D359-$D360),($C360-$C359)&gt;0),$C360-$C359,0))</f>
        <v>0</v>
      </c>
      <c r="AF360">
        <f>IF(OR($E360="",$E359=""),"",IF(AND(($D359-$D360)&gt;($C360-$C359),($D359-$D360)&gt;0),$D359-$D360,0))</f>
        <v>0</v>
      </c>
      <c r="AG360">
        <f>IF(COUNT($E$2:$E360)&lt;15,"",IF(SUM($AC$347:$AC$360)=0,0,100*SUM($AE$347:$AE$360)/SUM($AC$347:$AC$360)))</f>
        <v>0</v>
      </c>
      <c r="AH360">
        <f>IF(COUNT($E$2:$E360)&lt;15,"",IF(SUM($AC$347:$AC$360)=0,0,100*SUM($AF$347:$AF$360)/SUM($AC$347:$AC$360)))</f>
        <v>0</v>
      </c>
      <c r="AI360">
        <f>IF(OR(AG360="",AH360=""),"",IF((AG360+AH360)=0,0,100*ABS(AG360-AH360)/(AG360+AH360)))</f>
        <v>0</v>
      </c>
      <c r="AJ360">
        <f>IF(COUNT($AI$347:$AI$360)&lt;14,"",AVERAGE($AI$347:$AI$360))</f>
        <v>0</v>
      </c>
      <c r="AK360">
        <f>IF(COUNT($E$2:$E360)&lt;20,"",AVERAGE($E$341:$E$360))</f>
        <v>0</v>
      </c>
      <c r="AL360">
        <f>IF(COUNT($E$2:$E360)&lt;20,"",STDEVP($E$341:$E$360))</f>
        <v>0</v>
      </c>
      <c r="AM360">
        <f>IF(AK360="","",AK360+2*AL360)</f>
        <v>0</v>
      </c>
      <c r="AN360">
        <f>IF(AK360="","",AK360-2*AL360)</f>
        <v>0</v>
      </c>
      <c r="AO360">
        <f>IF(OR(AM360="",AN360="",AM360=AN360),"",($E360-AN360)/(AM360-AN360))</f>
        <v>0</v>
      </c>
      <c r="AP360">
        <f>IF(OR(AM360="",AK360="",AK360=0),"",(AM360-AN360)/AK360)</f>
        <v>0</v>
      </c>
      <c r="AQ360">
        <f>IF(COUNT($E$2:$E360)&lt;20,"",MAX($C$341:$C$360))</f>
        <v>0</v>
      </c>
      <c r="AR360">
        <f>IF(COUNT($E$2:$E360)&lt;20,"",MIN($D$341:$D$360))</f>
        <v>0</v>
      </c>
      <c r="AS360">
        <f>IF(OR(AQ360="",AR360=""),"",(AQ360+AR360)/2)</f>
        <v>0</v>
      </c>
      <c r="AT360">
        <f>IF(COUNT($G$341:$G$360)&lt;20,"",STDEV($G$341:$G$360)*SQRT(252))</f>
        <v>0</v>
      </c>
      <c r="AU360">
        <f>IF(COUNT($E$2:$E360)&lt;9,"",(MAX($C$352:$C$360)+MIN($D$352:$D$360))/2)</f>
        <v>0</v>
      </c>
      <c r="AV360">
        <f>IF(COUNT($E$2:$E360)&lt;26,"",(MAX($C$335:$C$360)+MIN($D$335:$D$360))/2)</f>
        <v>0</v>
      </c>
      <c r="AW360">
        <f>IF(OR(AU360="",AV360=""),"",(AU360+AV360)/2)</f>
        <v>0</v>
      </c>
      <c r="AX360">
        <f>IF(COUNT($E$2:$E360)&lt;52,"",(MAX($C$309:$C$360)+MIN($D$309:$D$360))/2)</f>
        <v>0</v>
      </c>
      <c r="AY360">
        <f>IF(COUNT($E$2:$E360)&lt;20,"",MAX($C$261:$C$360))</f>
        <v>0</v>
      </c>
      <c r="AZ360">
        <f>IF(COUNT($E$2:$E360)&lt;20,"",MIN($D$261:$D$360))</f>
        <v>0</v>
      </c>
      <c r="BA360">
        <f>IF(COUNT($E$2:$E360)&lt;20,"",SLOPE($E$261:$E$360,$F$261:$F$360))</f>
        <v>0</v>
      </c>
      <c r="BB360">
        <f>IF(COUNT($E$2:$E360)&lt;20,"",INTERCEPT($E$261:$E$360,$F$261:$F$360))</f>
        <v>0</v>
      </c>
      <c r="BC360">
        <f>IF(OR(BA360="",BB360=""),"",BB360+BA360*F360)</f>
        <v>0</v>
      </c>
      <c r="BD360">
        <f>IF(COUNT($E$2:$E360)&lt;20,"",STEYX($E$261:$E$360,$F$261:$F$360))</f>
        <v>0</v>
      </c>
      <c r="BE360">
        <f>IF($E360="","",IF(AND(COUNT($E$361:$E$364)&gt;=4,$C360=MAX($C$356:$C$364)),$C360,""))</f>
        <v>0</v>
      </c>
      <c r="BF360">
        <f>IF($E360="","",IF(AND(COUNT($E$361:$E$364)&gt;=4,$D360=MIN($D$356:$D$364)),$D360,""))</f>
        <v>0</v>
      </c>
      <c r="BG360">
        <f>IF($A360="","",$A360-WEEKDAY($A360,2)+1)</f>
        <v>0</v>
      </c>
      <c r="BH360">
        <f>IF($A360="","",IF($A359="",1,IF(BG360&lt;&gt;BG359,1,0)))</f>
        <v>0</v>
      </c>
      <c r="BI360">
        <f>IF($A360="","",IF($A361="",1,IF(BG361&lt;&gt;BG360,1,0)))</f>
        <v>0</v>
      </c>
      <c r="BJ360">
        <f>IF($A360="","",IF(BH360=1,$B360,BJ359))</f>
        <v>0</v>
      </c>
      <c r="BK360">
        <f>IF($A360="","",IF(BH360=1,$C360,MAX($C360,BK359)))</f>
        <v>0</v>
      </c>
      <c r="BL360">
        <f>IF($A360="","",IF(BH360=1,$D360,MIN($D360,BL359)))</f>
        <v>0</v>
      </c>
      <c r="BM360">
        <f>IF($A360="","",IF(BI360=1,F360,""))</f>
        <v>0</v>
      </c>
      <c r="BN360">
        <f>IF($A360="","",DATE(YEAR($A360),MONTH($A360),1))</f>
        <v>0</v>
      </c>
      <c r="BO360">
        <f>IF($A360="","",IF($A359="",1,IF(BN360&lt;&gt;BN359,1,0)))</f>
        <v>0</v>
      </c>
      <c r="BP360">
        <f>IF($A360="","",IF($A361="",1,IF(BN361&lt;&gt;BN360,1,0)))</f>
        <v>0</v>
      </c>
      <c r="BQ360">
        <f>IF($A360="","",IF(BO360=1,$B360,BQ359))</f>
        <v>0</v>
      </c>
      <c r="BR360">
        <f>IF($A360="","",IF(BO360=1,$C360,MAX($C360,BR359)))</f>
        <v>0</v>
      </c>
      <c r="BS360">
        <f>IF($A360="","",IF(BO360=1,$D360,MIN($D360,BS359)))</f>
        <v>0</v>
      </c>
      <c r="BT360">
        <f>IF($A360="","",IF(BP360=1,F360,""))</f>
        <v>0</v>
      </c>
    </row>
    <row r="361" spans="1:72">
      <c r="A361" s="27">
        <f>IF(Data!$A361="","",Data!$A361)</f>
        <v>0</v>
      </c>
      <c r="B361">
        <f>IF(Data!$B361="","",Data!$B361)</f>
        <v>0</v>
      </c>
      <c r="C361">
        <f>IF(Data!$C361="","",Data!$C361)</f>
        <v>0</v>
      </c>
      <c r="D361">
        <f>IF(Data!$D361="","",Data!$D361)</f>
        <v>0</v>
      </c>
      <c r="E361">
        <f>IF(Data!$E361="","",Data!$E361)</f>
        <v>0</v>
      </c>
      <c r="F361">
        <f>IF($E361="","",N(F360)+1)</f>
        <v>0</v>
      </c>
      <c r="G361">
        <f>IF(OR($E361="",$E360=""),"",LN($E361/$E360))</f>
        <v>0</v>
      </c>
      <c r="H361">
        <f>IF($E361="","",IF($E360="",$E361,$E361*0.0952380952+H360*0.9047619048))</f>
        <v>0</v>
      </c>
      <c r="I361">
        <f>IF($E361="","",IF($E360="",$E361,$E361*0.0392156863+I360*0.9607843137))</f>
        <v>0</v>
      </c>
      <c r="J361">
        <f>IF($E361="","",IF($E360="",$E361,$E361*0.0198019802+J360*0.9801980198))</f>
        <v>0</v>
      </c>
      <c r="K361">
        <f>IF($E361="","",IF($E360="",$E361,$E361*0.0099502488+K360*0.9900497512))</f>
        <v>0</v>
      </c>
      <c r="L361">
        <f>IF(OR($E361="",$E360=""),"",MAX($E361-$E360,0))</f>
        <v>0</v>
      </c>
      <c r="M361">
        <f>IF(OR($E361="",$E360=""),"",MAX($E360-$E361,0))</f>
        <v>0</v>
      </c>
      <c r="N361">
        <f>IF(COUNT($E$2:$E361)&lt;15,"",IF(AVERAGE($M$348:$M$361)=0,100,100-100/(1+AVERAGE($L$348:$L$361)/AVERAGE($M$348:$M$361))))</f>
        <v>0</v>
      </c>
      <c r="O361">
        <f>IF($E361="","",IF($E360="",$E361,$E361*0.1538461538+O360*0.8461538462))</f>
        <v>0</v>
      </c>
      <c r="P361">
        <f>IF($E361="","",IF($E360="",$E361,$E361*0.0740740741+P360*0.9259259259))</f>
        <v>0</v>
      </c>
      <c r="Q361">
        <f>IF(OR(O361="",P361=""),"",O361-P361)</f>
        <v>0</v>
      </c>
      <c r="R361">
        <f>IF(Q361="","",IF(R360="",Q361,Q361*0.2000000000+R360*0.8000000000))</f>
        <v>0</v>
      </c>
      <c r="S361">
        <f>IF(OR(Q361="",R361=""),"",Q361-R361)</f>
        <v>0</v>
      </c>
      <c r="T361">
        <f>IF(COUNT($E$2:$E361)&lt;14,"",MAX($C$348:$C$361))</f>
        <v>0</v>
      </c>
      <c r="U361">
        <f>IF(COUNT($E$2:$E361)&lt;14,"",MIN($D$348:$D$361))</f>
        <v>0</v>
      </c>
      <c r="V361">
        <f>IF(OR(T361="",U361="",T361=U361),"",100*($E361-U361)/(T361-U361))</f>
        <v>0</v>
      </c>
      <c r="W361">
        <f>IF(COUNT($V$359:$V$361)&lt;3,"",AVERAGE($V$359:$V$361))</f>
        <v>0</v>
      </c>
      <c r="X361">
        <f>IF(COUNT($N$348:$N$361)&lt;14,"",MIN($N$348:$N$361))</f>
        <v>0</v>
      </c>
      <c r="Y361">
        <f>IF(COUNT($N$348:$N$361)&lt;14,"",MAX($N$348:$N$361))</f>
        <v>0</v>
      </c>
      <c r="Z361">
        <f>IF(OR(N361="",X361="",Y361="",Y361=X361),"",100*(N361-X361)/(Y361-X361))</f>
        <v>0</v>
      </c>
      <c r="AA361">
        <f>IF(COUNT($Z$359:$Z$361)&lt;3,"",AVERAGE($Z$359:$Z$361))</f>
        <v>0</v>
      </c>
      <c r="AB361">
        <f>IF(COUNT($AA$359:$AA$361)&lt;3,"",AVERAGE($AA$359:$AA$361))</f>
        <v>0</v>
      </c>
      <c r="AC361">
        <f>IF($E361="","",MAX($C361-$D361,ABS($C361-$E360),ABS($D361-$E360)))</f>
        <v>0</v>
      </c>
      <c r="AD361">
        <f>IF(COUNT($E$2:$E361)&lt;15,"",AVERAGE($AC$348:$AC$361))</f>
        <v>0</v>
      </c>
      <c r="AE361">
        <f>IF(OR($E361="",$E360=""),"",IF(AND(($C361-$C360)&gt;($D360-$D361),($C361-$C360)&gt;0),$C361-$C360,0))</f>
        <v>0</v>
      </c>
      <c r="AF361">
        <f>IF(OR($E361="",$E360=""),"",IF(AND(($D360-$D361)&gt;($C361-$C360),($D360-$D361)&gt;0),$D360-$D361,0))</f>
        <v>0</v>
      </c>
      <c r="AG361">
        <f>IF(COUNT($E$2:$E361)&lt;15,"",IF(SUM($AC$348:$AC$361)=0,0,100*SUM($AE$348:$AE$361)/SUM($AC$348:$AC$361)))</f>
        <v>0</v>
      </c>
      <c r="AH361">
        <f>IF(COUNT($E$2:$E361)&lt;15,"",IF(SUM($AC$348:$AC$361)=0,0,100*SUM($AF$348:$AF$361)/SUM($AC$348:$AC$361)))</f>
        <v>0</v>
      </c>
      <c r="AI361">
        <f>IF(OR(AG361="",AH361=""),"",IF((AG361+AH361)=0,0,100*ABS(AG361-AH361)/(AG361+AH361)))</f>
        <v>0</v>
      </c>
      <c r="AJ361">
        <f>IF(COUNT($AI$348:$AI$361)&lt;14,"",AVERAGE($AI$348:$AI$361))</f>
        <v>0</v>
      </c>
      <c r="AK361">
        <f>IF(COUNT($E$2:$E361)&lt;20,"",AVERAGE($E$342:$E$361))</f>
        <v>0</v>
      </c>
      <c r="AL361">
        <f>IF(COUNT($E$2:$E361)&lt;20,"",STDEVP($E$342:$E$361))</f>
        <v>0</v>
      </c>
      <c r="AM361">
        <f>IF(AK361="","",AK361+2*AL361)</f>
        <v>0</v>
      </c>
      <c r="AN361">
        <f>IF(AK361="","",AK361-2*AL361)</f>
        <v>0</v>
      </c>
      <c r="AO361">
        <f>IF(OR(AM361="",AN361="",AM361=AN361),"",($E361-AN361)/(AM361-AN361))</f>
        <v>0</v>
      </c>
      <c r="AP361">
        <f>IF(OR(AM361="",AK361="",AK361=0),"",(AM361-AN361)/AK361)</f>
        <v>0</v>
      </c>
      <c r="AQ361">
        <f>IF(COUNT($E$2:$E361)&lt;20,"",MAX($C$342:$C$361))</f>
        <v>0</v>
      </c>
      <c r="AR361">
        <f>IF(COUNT($E$2:$E361)&lt;20,"",MIN($D$342:$D$361))</f>
        <v>0</v>
      </c>
      <c r="AS361">
        <f>IF(OR(AQ361="",AR361=""),"",(AQ361+AR361)/2)</f>
        <v>0</v>
      </c>
      <c r="AT361">
        <f>IF(COUNT($G$342:$G$361)&lt;20,"",STDEV($G$342:$G$361)*SQRT(252))</f>
        <v>0</v>
      </c>
      <c r="AU361">
        <f>IF(COUNT($E$2:$E361)&lt;9,"",(MAX($C$353:$C$361)+MIN($D$353:$D$361))/2)</f>
        <v>0</v>
      </c>
      <c r="AV361">
        <f>IF(COUNT($E$2:$E361)&lt;26,"",(MAX($C$336:$C$361)+MIN($D$336:$D$361))/2)</f>
        <v>0</v>
      </c>
      <c r="AW361">
        <f>IF(OR(AU361="",AV361=""),"",(AU361+AV361)/2)</f>
        <v>0</v>
      </c>
      <c r="AX361">
        <f>IF(COUNT($E$2:$E361)&lt;52,"",(MAX($C$310:$C$361)+MIN($D$310:$D$361))/2)</f>
        <v>0</v>
      </c>
      <c r="AY361">
        <f>IF(COUNT($E$2:$E361)&lt;20,"",MAX($C$262:$C$361))</f>
        <v>0</v>
      </c>
      <c r="AZ361">
        <f>IF(COUNT($E$2:$E361)&lt;20,"",MIN($D$262:$D$361))</f>
        <v>0</v>
      </c>
      <c r="BA361">
        <f>IF(COUNT($E$2:$E361)&lt;20,"",SLOPE($E$262:$E$361,$F$262:$F$361))</f>
        <v>0</v>
      </c>
      <c r="BB361">
        <f>IF(COUNT($E$2:$E361)&lt;20,"",INTERCEPT($E$262:$E$361,$F$262:$F$361))</f>
        <v>0</v>
      </c>
      <c r="BC361">
        <f>IF(OR(BA361="",BB361=""),"",BB361+BA361*F361)</f>
        <v>0</v>
      </c>
      <c r="BD361">
        <f>IF(COUNT($E$2:$E361)&lt;20,"",STEYX($E$262:$E$361,$F$262:$F$361))</f>
        <v>0</v>
      </c>
      <c r="BE361">
        <f>IF($E361="","",IF(AND(COUNT($E$362:$E$365)&gt;=4,$C361=MAX($C$357:$C$365)),$C361,""))</f>
        <v>0</v>
      </c>
      <c r="BF361">
        <f>IF($E361="","",IF(AND(COUNT($E$362:$E$365)&gt;=4,$D361=MIN($D$357:$D$365)),$D361,""))</f>
        <v>0</v>
      </c>
      <c r="BG361">
        <f>IF($A361="","",$A361-WEEKDAY($A361,2)+1)</f>
        <v>0</v>
      </c>
      <c r="BH361">
        <f>IF($A361="","",IF($A360="",1,IF(BG361&lt;&gt;BG360,1,0)))</f>
        <v>0</v>
      </c>
      <c r="BI361">
        <f>IF($A361="","",IF($A362="",1,IF(BG362&lt;&gt;BG361,1,0)))</f>
        <v>0</v>
      </c>
      <c r="BJ361">
        <f>IF($A361="","",IF(BH361=1,$B361,BJ360))</f>
        <v>0</v>
      </c>
      <c r="BK361">
        <f>IF($A361="","",IF(BH361=1,$C361,MAX($C361,BK360)))</f>
        <v>0</v>
      </c>
      <c r="BL361">
        <f>IF($A361="","",IF(BH361=1,$D361,MIN($D361,BL360)))</f>
        <v>0</v>
      </c>
      <c r="BM361">
        <f>IF($A361="","",IF(BI361=1,F361,""))</f>
        <v>0</v>
      </c>
      <c r="BN361">
        <f>IF($A361="","",DATE(YEAR($A361),MONTH($A361),1))</f>
        <v>0</v>
      </c>
      <c r="BO361">
        <f>IF($A361="","",IF($A360="",1,IF(BN361&lt;&gt;BN360,1,0)))</f>
        <v>0</v>
      </c>
      <c r="BP361">
        <f>IF($A361="","",IF($A362="",1,IF(BN362&lt;&gt;BN361,1,0)))</f>
        <v>0</v>
      </c>
      <c r="BQ361">
        <f>IF($A361="","",IF(BO361=1,$B361,BQ360))</f>
        <v>0</v>
      </c>
      <c r="BR361">
        <f>IF($A361="","",IF(BO361=1,$C361,MAX($C361,BR360)))</f>
        <v>0</v>
      </c>
      <c r="BS361">
        <f>IF($A361="","",IF(BO361=1,$D361,MIN($D361,BS360)))</f>
        <v>0</v>
      </c>
      <c r="BT361">
        <f>IF($A361="","",IF(BP361=1,F361,""))</f>
        <v>0</v>
      </c>
    </row>
    <row r="362" spans="1:72">
      <c r="A362" s="27">
        <f>IF(Data!$A362="","",Data!$A362)</f>
        <v>0</v>
      </c>
      <c r="B362">
        <f>IF(Data!$B362="","",Data!$B362)</f>
        <v>0</v>
      </c>
      <c r="C362">
        <f>IF(Data!$C362="","",Data!$C362)</f>
        <v>0</v>
      </c>
      <c r="D362">
        <f>IF(Data!$D362="","",Data!$D362)</f>
        <v>0</v>
      </c>
      <c r="E362">
        <f>IF(Data!$E362="","",Data!$E362)</f>
        <v>0</v>
      </c>
      <c r="F362">
        <f>IF($E362="","",N(F361)+1)</f>
        <v>0</v>
      </c>
      <c r="G362">
        <f>IF(OR($E362="",$E361=""),"",LN($E362/$E361))</f>
        <v>0</v>
      </c>
      <c r="H362">
        <f>IF($E362="","",IF($E361="",$E362,$E362*0.0952380952+H361*0.9047619048))</f>
        <v>0</v>
      </c>
      <c r="I362">
        <f>IF($E362="","",IF($E361="",$E362,$E362*0.0392156863+I361*0.9607843137))</f>
        <v>0</v>
      </c>
      <c r="J362">
        <f>IF($E362="","",IF($E361="",$E362,$E362*0.0198019802+J361*0.9801980198))</f>
        <v>0</v>
      </c>
      <c r="K362">
        <f>IF($E362="","",IF($E361="",$E362,$E362*0.0099502488+K361*0.9900497512))</f>
        <v>0</v>
      </c>
      <c r="L362">
        <f>IF(OR($E362="",$E361=""),"",MAX($E362-$E361,0))</f>
        <v>0</v>
      </c>
      <c r="M362">
        <f>IF(OR($E362="",$E361=""),"",MAX($E361-$E362,0))</f>
        <v>0</v>
      </c>
      <c r="N362">
        <f>IF(COUNT($E$2:$E362)&lt;15,"",IF(AVERAGE($M$349:$M$362)=0,100,100-100/(1+AVERAGE($L$349:$L$362)/AVERAGE($M$349:$M$362))))</f>
        <v>0</v>
      </c>
      <c r="O362">
        <f>IF($E362="","",IF($E361="",$E362,$E362*0.1538461538+O361*0.8461538462))</f>
        <v>0</v>
      </c>
      <c r="P362">
        <f>IF($E362="","",IF($E361="",$E362,$E362*0.0740740741+P361*0.9259259259))</f>
        <v>0</v>
      </c>
      <c r="Q362">
        <f>IF(OR(O362="",P362=""),"",O362-P362)</f>
        <v>0</v>
      </c>
      <c r="R362">
        <f>IF(Q362="","",IF(R361="",Q362,Q362*0.2000000000+R361*0.8000000000))</f>
        <v>0</v>
      </c>
      <c r="S362">
        <f>IF(OR(Q362="",R362=""),"",Q362-R362)</f>
        <v>0</v>
      </c>
      <c r="T362">
        <f>IF(COUNT($E$2:$E362)&lt;14,"",MAX($C$349:$C$362))</f>
        <v>0</v>
      </c>
      <c r="U362">
        <f>IF(COUNT($E$2:$E362)&lt;14,"",MIN($D$349:$D$362))</f>
        <v>0</v>
      </c>
      <c r="V362">
        <f>IF(OR(T362="",U362="",T362=U362),"",100*($E362-U362)/(T362-U362))</f>
        <v>0</v>
      </c>
      <c r="W362">
        <f>IF(COUNT($V$360:$V$362)&lt;3,"",AVERAGE($V$360:$V$362))</f>
        <v>0</v>
      </c>
      <c r="X362">
        <f>IF(COUNT($N$349:$N$362)&lt;14,"",MIN($N$349:$N$362))</f>
        <v>0</v>
      </c>
      <c r="Y362">
        <f>IF(COUNT($N$349:$N$362)&lt;14,"",MAX($N$349:$N$362))</f>
        <v>0</v>
      </c>
      <c r="Z362">
        <f>IF(OR(N362="",X362="",Y362="",Y362=X362),"",100*(N362-X362)/(Y362-X362))</f>
        <v>0</v>
      </c>
      <c r="AA362">
        <f>IF(COUNT($Z$360:$Z$362)&lt;3,"",AVERAGE($Z$360:$Z$362))</f>
        <v>0</v>
      </c>
      <c r="AB362">
        <f>IF(COUNT($AA$360:$AA$362)&lt;3,"",AVERAGE($AA$360:$AA$362))</f>
        <v>0</v>
      </c>
      <c r="AC362">
        <f>IF($E362="","",MAX($C362-$D362,ABS($C362-$E361),ABS($D362-$E361)))</f>
        <v>0</v>
      </c>
      <c r="AD362">
        <f>IF(COUNT($E$2:$E362)&lt;15,"",AVERAGE($AC$349:$AC$362))</f>
        <v>0</v>
      </c>
      <c r="AE362">
        <f>IF(OR($E362="",$E361=""),"",IF(AND(($C362-$C361)&gt;($D361-$D362),($C362-$C361)&gt;0),$C362-$C361,0))</f>
        <v>0</v>
      </c>
      <c r="AF362">
        <f>IF(OR($E362="",$E361=""),"",IF(AND(($D361-$D362)&gt;($C362-$C361),($D361-$D362)&gt;0),$D361-$D362,0))</f>
        <v>0</v>
      </c>
      <c r="AG362">
        <f>IF(COUNT($E$2:$E362)&lt;15,"",IF(SUM($AC$349:$AC$362)=0,0,100*SUM($AE$349:$AE$362)/SUM($AC$349:$AC$362)))</f>
        <v>0</v>
      </c>
      <c r="AH362">
        <f>IF(COUNT($E$2:$E362)&lt;15,"",IF(SUM($AC$349:$AC$362)=0,0,100*SUM($AF$349:$AF$362)/SUM($AC$349:$AC$362)))</f>
        <v>0</v>
      </c>
      <c r="AI362">
        <f>IF(OR(AG362="",AH362=""),"",IF((AG362+AH362)=0,0,100*ABS(AG362-AH362)/(AG362+AH362)))</f>
        <v>0</v>
      </c>
      <c r="AJ362">
        <f>IF(COUNT($AI$349:$AI$362)&lt;14,"",AVERAGE($AI$349:$AI$362))</f>
        <v>0</v>
      </c>
      <c r="AK362">
        <f>IF(COUNT($E$2:$E362)&lt;20,"",AVERAGE($E$343:$E$362))</f>
        <v>0</v>
      </c>
      <c r="AL362">
        <f>IF(COUNT($E$2:$E362)&lt;20,"",STDEVP($E$343:$E$362))</f>
        <v>0</v>
      </c>
      <c r="AM362">
        <f>IF(AK362="","",AK362+2*AL362)</f>
        <v>0</v>
      </c>
      <c r="AN362">
        <f>IF(AK362="","",AK362-2*AL362)</f>
        <v>0</v>
      </c>
      <c r="AO362">
        <f>IF(OR(AM362="",AN362="",AM362=AN362),"",($E362-AN362)/(AM362-AN362))</f>
        <v>0</v>
      </c>
      <c r="AP362">
        <f>IF(OR(AM362="",AK362="",AK362=0),"",(AM362-AN362)/AK362)</f>
        <v>0</v>
      </c>
      <c r="AQ362">
        <f>IF(COUNT($E$2:$E362)&lt;20,"",MAX($C$343:$C$362))</f>
        <v>0</v>
      </c>
      <c r="AR362">
        <f>IF(COUNT($E$2:$E362)&lt;20,"",MIN($D$343:$D$362))</f>
        <v>0</v>
      </c>
      <c r="AS362">
        <f>IF(OR(AQ362="",AR362=""),"",(AQ362+AR362)/2)</f>
        <v>0</v>
      </c>
      <c r="AT362">
        <f>IF(COUNT($G$343:$G$362)&lt;20,"",STDEV($G$343:$G$362)*SQRT(252))</f>
        <v>0</v>
      </c>
      <c r="AU362">
        <f>IF(COUNT($E$2:$E362)&lt;9,"",(MAX($C$354:$C$362)+MIN($D$354:$D$362))/2)</f>
        <v>0</v>
      </c>
      <c r="AV362">
        <f>IF(COUNT($E$2:$E362)&lt;26,"",(MAX($C$337:$C$362)+MIN($D$337:$D$362))/2)</f>
        <v>0</v>
      </c>
      <c r="AW362">
        <f>IF(OR(AU362="",AV362=""),"",(AU362+AV362)/2)</f>
        <v>0</v>
      </c>
      <c r="AX362">
        <f>IF(COUNT($E$2:$E362)&lt;52,"",(MAX($C$311:$C$362)+MIN($D$311:$D$362))/2)</f>
        <v>0</v>
      </c>
      <c r="AY362">
        <f>IF(COUNT($E$2:$E362)&lt;20,"",MAX($C$263:$C$362))</f>
        <v>0</v>
      </c>
      <c r="AZ362">
        <f>IF(COUNT($E$2:$E362)&lt;20,"",MIN($D$263:$D$362))</f>
        <v>0</v>
      </c>
      <c r="BA362">
        <f>IF(COUNT($E$2:$E362)&lt;20,"",SLOPE($E$263:$E$362,$F$263:$F$362))</f>
        <v>0</v>
      </c>
      <c r="BB362">
        <f>IF(COUNT($E$2:$E362)&lt;20,"",INTERCEPT($E$263:$E$362,$F$263:$F$362))</f>
        <v>0</v>
      </c>
      <c r="BC362">
        <f>IF(OR(BA362="",BB362=""),"",BB362+BA362*F362)</f>
        <v>0</v>
      </c>
      <c r="BD362">
        <f>IF(COUNT($E$2:$E362)&lt;20,"",STEYX($E$263:$E$362,$F$263:$F$362))</f>
        <v>0</v>
      </c>
      <c r="BE362">
        <f>IF($E362="","",IF(AND(COUNT($E$363:$E$366)&gt;=4,$C362=MAX($C$358:$C$366)),$C362,""))</f>
        <v>0</v>
      </c>
      <c r="BF362">
        <f>IF($E362="","",IF(AND(COUNT($E$363:$E$366)&gt;=4,$D362=MIN($D$358:$D$366)),$D362,""))</f>
        <v>0</v>
      </c>
      <c r="BG362">
        <f>IF($A362="","",$A362-WEEKDAY($A362,2)+1)</f>
        <v>0</v>
      </c>
      <c r="BH362">
        <f>IF($A362="","",IF($A361="",1,IF(BG362&lt;&gt;BG361,1,0)))</f>
        <v>0</v>
      </c>
      <c r="BI362">
        <f>IF($A362="","",IF($A363="",1,IF(BG363&lt;&gt;BG362,1,0)))</f>
        <v>0</v>
      </c>
      <c r="BJ362">
        <f>IF($A362="","",IF(BH362=1,$B362,BJ361))</f>
        <v>0</v>
      </c>
      <c r="BK362">
        <f>IF($A362="","",IF(BH362=1,$C362,MAX($C362,BK361)))</f>
        <v>0</v>
      </c>
      <c r="BL362">
        <f>IF($A362="","",IF(BH362=1,$D362,MIN($D362,BL361)))</f>
        <v>0</v>
      </c>
      <c r="BM362">
        <f>IF($A362="","",IF(BI362=1,F362,""))</f>
        <v>0</v>
      </c>
      <c r="BN362">
        <f>IF($A362="","",DATE(YEAR($A362),MONTH($A362),1))</f>
        <v>0</v>
      </c>
      <c r="BO362">
        <f>IF($A362="","",IF($A361="",1,IF(BN362&lt;&gt;BN361,1,0)))</f>
        <v>0</v>
      </c>
      <c r="BP362">
        <f>IF($A362="","",IF($A363="",1,IF(BN363&lt;&gt;BN362,1,0)))</f>
        <v>0</v>
      </c>
      <c r="BQ362">
        <f>IF($A362="","",IF(BO362=1,$B362,BQ361))</f>
        <v>0</v>
      </c>
      <c r="BR362">
        <f>IF($A362="","",IF(BO362=1,$C362,MAX($C362,BR361)))</f>
        <v>0</v>
      </c>
      <c r="BS362">
        <f>IF($A362="","",IF(BO362=1,$D362,MIN($D362,BS361)))</f>
        <v>0</v>
      </c>
      <c r="BT362">
        <f>IF($A362="","",IF(BP362=1,F362,""))</f>
        <v>0</v>
      </c>
    </row>
    <row r="363" spans="1:72">
      <c r="A363" s="27">
        <f>IF(Data!$A363="","",Data!$A363)</f>
        <v>0</v>
      </c>
      <c r="B363">
        <f>IF(Data!$B363="","",Data!$B363)</f>
        <v>0</v>
      </c>
      <c r="C363">
        <f>IF(Data!$C363="","",Data!$C363)</f>
        <v>0</v>
      </c>
      <c r="D363">
        <f>IF(Data!$D363="","",Data!$D363)</f>
        <v>0</v>
      </c>
      <c r="E363">
        <f>IF(Data!$E363="","",Data!$E363)</f>
        <v>0</v>
      </c>
      <c r="F363">
        <f>IF($E363="","",N(F362)+1)</f>
        <v>0</v>
      </c>
      <c r="G363">
        <f>IF(OR($E363="",$E362=""),"",LN($E363/$E362))</f>
        <v>0</v>
      </c>
      <c r="H363">
        <f>IF($E363="","",IF($E362="",$E363,$E363*0.0952380952+H362*0.9047619048))</f>
        <v>0</v>
      </c>
      <c r="I363">
        <f>IF($E363="","",IF($E362="",$E363,$E363*0.0392156863+I362*0.9607843137))</f>
        <v>0</v>
      </c>
      <c r="J363">
        <f>IF($E363="","",IF($E362="",$E363,$E363*0.0198019802+J362*0.9801980198))</f>
        <v>0</v>
      </c>
      <c r="K363">
        <f>IF($E363="","",IF($E362="",$E363,$E363*0.0099502488+K362*0.9900497512))</f>
        <v>0</v>
      </c>
      <c r="L363">
        <f>IF(OR($E363="",$E362=""),"",MAX($E363-$E362,0))</f>
        <v>0</v>
      </c>
      <c r="M363">
        <f>IF(OR($E363="",$E362=""),"",MAX($E362-$E363,0))</f>
        <v>0</v>
      </c>
      <c r="N363">
        <f>IF(COUNT($E$2:$E363)&lt;15,"",IF(AVERAGE($M$350:$M$363)=0,100,100-100/(1+AVERAGE($L$350:$L$363)/AVERAGE($M$350:$M$363))))</f>
        <v>0</v>
      </c>
      <c r="O363">
        <f>IF($E363="","",IF($E362="",$E363,$E363*0.1538461538+O362*0.8461538462))</f>
        <v>0</v>
      </c>
      <c r="P363">
        <f>IF($E363="","",IF($E362="",$E363,$E363*0.0740740741+P362*0.9259259259))</f>
        <v>0</v>
      </c>
      <c r="Q363">
        <f>IF(OR(O363="",P363=""),"",O363-P363)</f>
        <v>0</v>
      </c>
      <c r="R363">
        <f>IF(Q363="","",IF(R362="",Q363,Q363*0.2000000000+R362*0.8000000000))</f>
        <v>0</v>
      </c>
      <c r="S363">
        <f>IF(OR(Q363="",R363=""),"",Q363-R363)</f>
        <v>0</v>
      </c>
      <c r="T363">
        <f>IF(COUNT($E$2:$E363)&lt;14,"",MAX($C$350:$C$363))</f>
        <v>0</v>
      </c>
      <c r="U363">
        <f>IF(COUNT($E$2:$E363)&lt;14,"",MIN($D$350:$D$363))</f>
        <v>0</v>
      </c>
      <c r="V363">
        <f>IF(OR(T363="",U363="",T363=U363),"",100*($E363-U363)/(T363-U363))</f>
        <v>0</v>
      </c>
      <c r="W363">
        <f>IF(COUNT($V$361:$V$363)&lt;3,"",AVERAGE($V$361:$V$363))</f>
        <v>0</v>
      </c>
      <c r="X363">
        <f>IF(COUNT($N$350:$N$363)&lt;14,"",MIN($N$350:$N$363))</f>
        <v>0</v>
      </c>
      <c r="Y363">
        <f>IF(COUNT($N$350:$N$363)&lt;14,"",MAX($N$350:$N$363))</f>
        <v>0</v>
      </c>
      <c r="Z363">
        <f>IF(OR(N363="",X363="",Y363="",Y363=X363),"",100*(N363-X363)/(Y363-X363))</f>
        <v>0</v>
      </c>
      <c r="AA363">
        <f>IF(COUNT($Z$361:$Z$363)&lt;3,"",AVERAGE($Z$361:$Z$363))</f>
        <v>0</v>
      </c>
      <c r="AB363">
        <f>IF(COUNT($AA$361:$AA$363)&lt;3,"",AVERAGE($AA$361:$AA$363))</f>
        <v>0</v>
      </c>
      <c r="AC363">
        <f>IF($E363="","",MAX($C363-$D363,ABS($C363-$E362),ABS($D363-$E362)))</f>
        <v>0</v>
      </c>
      <c r="AD363">
        <f>IF(COUNT($E$2:$E363)&lt;15,"",AVERAGE($AC$350:$AC$363))</f>
        <v>0</v>
      </c>
      <c r="AE363">
        <f>IF(OR($E363="",$E362=""),"",IF(AND(($C363-$C362)&gt;($D362-$D363),($C363-$C362)&gt;0),$C363-$C362,0))</f>
        <v>0</v>
      </c>
      <c r="AF363">
        <f>IF(OR($E363="",$E362=""),"",IF(AND(($D362-$D363)&gt;($C363-$C362),($D362-$D363)&gt;0),$D362-$D363,0))</f>
        <v>0</v>
      </c>
      <c r="AG363">
        <f>IF(COUNT($E$2:$E363)&lt;15,"",IF(SUM($AC$350:$AC$363)=0,0,100*SUM($AE$350:$AE$363)/SUM($AC$350:$AC$363)))</f>
        <v>0</v>
      </c>
      <c r="AH363">
        <f>IF(COUNT($E$2:$E363)&lt;15,"",IF(SUM($AC$350:$AC$363)=0,0,100*SUM($AF$350:$AF$363)/SUM($AC$350:$AC$363)))</f>
        <v>0</v>
      </c>
      <c r="AI363">
        <f>IF(OR(AG363="",AH363=""),"",IF((AG363+AH363)=0,0,100*ABS(AG363-AH363)/(AG363+AH363)))</f>
        <v>0</v>
      </c>
      <c r="AJ363">
        <f>IF(COUNT($AI$350:$AI$363)&lt;14,"",AVERAGE($AI$350:$AI$363))</f>
        <v>0</v>
      </c>
      <c r="AK363">
        <f>IF(COUNT($E$2:$E363)&lt;20,"",AVERAGE($E$344:$E$363))</f>
        <v>0</v>
      </c>
      <c r="AL363">
        <f>IF(COUNT($E$2:$E363)&lt;20,"",STDEVP($E$344:$E$363))</f>
        <v>0</v>
      </c>
      <c r="AM363">
        <f>IF(AK363="","",AK363+2*AL363)</f>
        <v>0</v>
      </c>
      <c r="AN363">
        <f>IF(AK363="","",AK363-2*AL363)</f>
        <v>0</v>
      </c>
      <c r="AO363">
        <f>IF(OR(AM363="",AN363="",AM363=AN363),"",($E363-AN363)/(AM363-AN363))</f>
        <v>0</v>
      </c>
      <c r="AP363">
        <f>IF(OR(AM363="",AK363="",AK363=0),"",(AM363-AN363)/AK363)</f>
        <v>0</v>
      </c>
      <c r="AQ363">
        <f>IF(COUNT($E$2:$E363)&lt;20,"",MAX($C$344:$C$363))</f>
        <v>0</v>
      </c>
      <c r="AR363">
        <f>IF(COUNT($E$2:$E363)&lt;20,"",MIN($D$344:$D$363))</f>
        <v>0</v>
      </c>
      <c r="AS363">
        <f>IF(OR(AQ363="",AR363=""),"",(AQ363+AR363)/2)</f>
        <v>0</v>
      </c>
      <c r="AT363">
        <f>IF(COUNT($G$344:$G$363)&lt;20,"",STDEV($G$344:$G$363)*SQRT(252))</f>
        <v>0</v>
      </c>
      <c r="AU363">
        <f>IF(COUNT($E$2:$E363)&lt;9,"",(MAX($C$355:$C$363)+MIN($D$355:$D$363))/2)</f>
        <v>0</v>
      </c>
      <c r="AV363">
        <f>IF(COUNT($E$2:$E363)&lt;26,"",(MAX($C$338:$C$363)+MIN($D$338:$D$363))/2)</f>
        <v>0</v>
      </c>
      <c r="AW363">
        <f>IF(OR(AU363="",AV363=""),"",(AU363+AV363)/2)</f>
        <v>0</v>
      </c>
      <c r="AX363">
        <f>IF(COUNT($E$2:$E363)&lt;52,"",(MAX($C$312:$C$363)+MIN($D$312:$D$363))/2)</f>
        <v>0</v>
      </c>
      <c r="AY363">
        <f>IF(COUNT($E$2:$E363)&lt;20,"",MAX($C$264:$C$363))</f>
        <v>0</v>
      </c>
      <c r="AZ363">
        <f>IF(COUNT($E$2:$E363)&lt;20,"",MIN($D$264:$D$363))</f>
        <v>0</v>
      </c>
      <c r="BA363">
        <f>IF(COUNT($E$2:$E363)&lt;20,"",SLOPE($E$264:$E$363,$F$264:$F$363))</f>
        <v>0</v>
      </c>
      <c r="BB363">
        <f>IF(COUNT($E$2:$E363)&lt;20,"",INTERCEPT($E$264:$E$363,$F$264:$F$363))</f>
        <v>0</v>
      </c>
      <c r="BC363">
        <f>IF(OR(BA363="",BB363=""),"",BB363+BA363*F363)</f>
        <v>0</v>
      </c>
      <c r="BD363">
        <f>IF(COUNT($E$2:$E363)&lt;20,"",STEYX($E$264:$E$363,$F$264:$F$363))</f>
        <v>0</v>
      </c>
      <c r="BE363">
        <f>IF($E363="","",IF(AND(COUNT($E$364:$E$367)&gt;=4,$C363=MAX($C$359:$C$367)),$C363,""))</f>
        <v>0</v>
      </c>
      <c r="BF363">
        <f>IF($E363="","",IF(AND(COUNT($E$364:$E$367)&gt;=4,$D363=MIN($D$359:$D$367)),$D363,""))</f>
        <v>0</v>
      </c>
      <c r="BG363">
        <f>IF($A363="","",$A363-WEEKDAY($A363,2)+1)</f>
        <v>0</v>
      </c>
      <c r="BH363">
        <f>IF($A363="","",IF($A362="",1,IF(BG363&lt;&gt;BG362,1,0)))</f>
        <v>0</v>
      </c>
      <c r="BI363">
        <f>IF($A363="","",IF($A364="",1,IF(BG364&lt;&gt;BG363,1,0)))</f>
        <v>0</v>
      </c>
      <c r="BJ363">
        <f>IF($A363="","",IF(BH363=1,$B363,BJ362))</f>
        <v>0</v>
      </c>
      <c r="BK363">
        <f>IF($A363="","",IF(BH363=1,$C363,MAX($C363,BK362)))</f>
        <v>0</v>
      </c>
      <c r="BL363">
        <f>IF($A363="","",IF(BH363=1,$D363,MIN($D363,BL362)))</f>
        <v>0</v>
      </c>
      <c r="BM363">
        <f>IF($A363="","",IF(BI363=1,F363,""))</f>
        <v>0</v>
      </c>
      <c r="BN363">
        <f>IF($A363="","",DATE(YEAR($A363),MONTH($A363),1))</f>
        <v>0</v>
      </c>
      <c r="BO363">
        <f>IF($A363="","",IF($A362="",1,IF(BN363&lt;&gt;BN362,1,0)))</f>
        <v>0</v>
      </c>
      <c r="BP363">
        <f>IF($A363="","",IF($A364="",1,IF(BN364&lt;&gt;BN363,1,0)))</f>
        <v>0</v>
      </c>
      <c r="BQ363">
        <f>IF($A363="","",IF(BO363=1,$B363,BQ362))</f>
        <v>0</v>
      </c>
      <c r="BR363">
        <f>IF($A363="","",IF(BO363=1,$C363,MAX($C363,BR362)))</f>
        <v>0</v>
      </c>
      <c r="BS363">
        <f>IF($A363="","",IF(BO363=1,$D363,MIN($D363,BS362)))</f>
        <v>0</v>
      </c>
      <c r="BT363">
        <f>IF($A363="","",IF(BP363=1,F363,""))</f>
        <v>0</v>
      </c>
    </row>
    <row r="364" spans="1:72">
      <c r="A364" s="27">
        <f>IF(Data!$A364="","",Data!$A364)</f>
        <v>0</v>
      </c>
      <c r="B364">
        <f>IF(Data!$B364="","",Data!$B364)</f>
        <v>0</v>
      </c>
      <c r="C364">
        <f>IF(Data!$C364="","",Data!$C364)</f>
        <v>0</v>
      </c>
      <c r="D364">
        <f>IF(Data!$D364="","",Data!$D364)</f>
        <v>0</v>
      </c>
      <c r="E364">
        <f>IF(Data!$E364="","",Data!$E364)</f>
        <v>0</v>
      </c>
      <c r="F364">
        <f>IF($E364="","",N(F363)+1)</f>
        <v>0</v>
      </c>
      <c r="G364">
        <f>IF(OR($E364="",$E363=""),"",LN($E364/$E363))</f>
        <v>0</v>
      </c>
      <c r="H364">
        <f>IF($E364="","",IF($E363="",$E364,$E364*0.0952380952+H363*0.9047619048))</f>
        <v>0</v>
      </c>
      <c r="I364">
        <f>IF($E364="","",IF($E363="",$E364,$E364*0.0392156863+I363*0.9607843137))</f>
        <v>0</v>
      </c>
      <c r="J364">
        <f>IF($E364="","",IF($E363="",$E364,$E364*0.0198019802+J363*0.9801980198))</f>
        <v>0</v>
      </c>
      <c r="K364">
        <f>IF($E364="","",IF($E363="",$E364,$E364*0.0099502488+K363*0.9900497512))</f>
        <v>0</v>
      </c>
      <c r="L364">
        <f>IF(OR($E364="",$E363=""),"",MAX($E364-$E363,0))</f>
        <v>0</v>
      </c>
      <c r="M364">
        <f>IF(OR($E364="",$E363=""),"",MAX($E363-$E364,0))</f>
        <v>0</v>
      </c>
      <c r="N364">
        <f>IF(COUNT($E$2:$E364)&lt;15,"",IF(AVERAGE($M$351:$M$364)=0,100,100-100/(1+AVERAGE($L$351:$L$364)/AVERAGE($M$351:$M$364))))</f>
        <v>0</v>
      </c>
      <c r="O364">
        <f>IF($E364="","",IF($E363="",$E364,$E364*0.1538461538+O363*0.8461538462))</f>
        <v>0</v>
      </c>
      <c r="P364">
        <f>IF($E364="","",IF($E363="",$E364,$E364*0.0740740741+P363*0.9259259259))</f>
        <v>0</v>
      </c>
      <c r="Q364">
        <f>IF(OR(O364="",P364=""),"",O364-P364)</f>
        <v>0</v>
      </c>
      <c r="R364">
        <f>IF(Q364="","",IF(R363="",Q364,Q364*0.2000000000+R363*0.8000000000))</f>
        <v>0</v>
      </c>
      <c r="S364">
        <f>IF(OR(Q364="",R364=""),"",Q364-R364)</f>
        <v>0</v>
      </c>
      <c r="T364">
        <f>IF(COUNT($E$2:$E364)&lt;14,"",MAX($C$351:$C$364))</f>
        <v>0</v>
      </c>
      <c r="U364">
        <f>IF(COUNT($E$2:$E364)&lt;14,"",MIN($D$351:$D$364))</f>
        <v>0</v>
      </c>
      <c r="V364">
        <f>IF(OR(T364="",U364="",T364=U364),"",100*($E364-U364)/(T364-U364))</f>
        <v>0</v>
      </c>
      <c r="W364">
        <f>IF(COUNT($V$362:$V$364)&lt;3,"",AVERAGE($V$362:$V$364))</f>
        <v>0</v>
      </c>
      <c r="X364">
        <f>IF(COUNT($N$351:$N$364)&lt;14,"",MIN($N$351:$N$364))</f>
        <v>0</v>
      </c>
      <c r="Y364">
        <f>IF(COUNT($N$351:$N$364)&lt;14,"",MAX($N$351:$N$364))</f>
        <v>0</v>
      </c>
      <c r="Z364">
        <f>IF(OR(N364="",X364="",Y364="",Y364=X364),"",100*(N364-X364)/(Y364-X364))</f>
        <v>0</v>
      </c>
      <c r="AA364">
        <f>IF(COUNT($Z$362:$Z$364)&lt;3,"",AVERAGE($Z$362:$Z$364))</f>
        <v>0</v>
      </c>
      <c r="AB364">
        <f>IF(COUNT($AA$362:$AA$364)&lt;3,"",AVERAGE($AA$362:$AA$364))</f>
        <v>0</v>
      </c>
      <c r="AC364">
        <f>IF($E364="","",MAX($C364-$D364,ABS($C364-$E363),ABS($D364-$E363)))</f>
        <v>0</v>
      </c>
      <c r="AD364">
        <f>IF(COUNT($E$2:$E364)&lt;15,"",AVERAGE($AC$351:$AC$364))</f>
        <v>0</v>
      </c>
      <c r="AE364">
        <f>IF(OR($E364="",$E363=""),"",IF(AND(($C364-$C363)&gt;($D363-$D364),($C364-$C363)&gt;0),$C364-$C363,0))</f>
        <v>0</v>
      </c>
      <c r="AF364">
        <f>IF(OR($E364="",$E363=""),"",IF(AND(($D363-$D364)&gt;($C364-$C363),($D363-$D364)&gt;0),$D363-$D364,0))</f>
        <v>0</v>
      </c>
      <c r="AG364">
        <f>IF(COUNT($E$2:$E364)&lt;15,"",IF(SUM($AC$351:$AC$364)=0,0,100*SUM($AE$351:$AE$364)/SUM($AC$351:$AC$364)))</f>
        <v>0</v>
      </c>
      <c r="AH364">
        <f>IF(COUNT($E$2:$E364)&lt;15,"",IF(SUM($AC$351:$AC$364)=0,0,100*SUM($AF$351:$AF$364)/SUM($AC$351:$AC$364)))</f>
        <v>0</v>
      </c>
      <c r="AI364">
        <f>IF(OR(AG364="",AH364=""),"",IF((AG364+AH364)=0,0,100*ABS(AG364-AH364)/(AG364+AH364)))</f>
        <v>0</v>
      </c>
      <c r="AJ364">
        <f>IF(COUNT($AI$351:$AI$364)&lt;14,"",AVERAGE($AI$351:$AI$364))</f>
        <v>0</v>
      </c>
      <c r="AK364">
        <f>IF(COUNT($E$2:$E364)&lt;20,"",AVERAGE($E$345:$E$364))</f>
        <v>0</v>
      </c>
      <c r="AL364">
        <f>IF(COUNT($E$2:$E364)&lt;20,"",STDEVP($E$345:$E$364))</f>
        <v>0</v>
      </c>
      <c r="AM364">
        <f>IF(AK364="","",AK364+2*AL364)</f>
        <v>0</v>
      </c>
      <c r="AN364">
        <f>IF(AK364="","",AK364-2*AL364)</f>
        <v>0</v>
      </c>
      <c r="AO364">
        <f>IF(OR(AM364="",AN364="",AM364=AN364),"",($E364-AN364)/(AM364-AN364))</f>
        <v>0</v>
      </c>
      <c r="AP364">
        <f>IF(OR(AM364="",AK364="",AK364=0),"",(AM364-AN364)/AK364)</f>
        <v>0</v>
      </c>
      <c r="AQ364">
        <f>IF(COUNT($E$2:$E364)&lt;20,"",MAX($C$345:$C$364))</f>
        <v>0</v>
      </c>
      <c r="AR364">
        <f>IF(COUNT($E$2:$E364)&lt;20,"",MIN($D$345:$D$364))</f>
        <v>0</v>
      </c>
      <c r="AS364">
        <f>IF(OR(AQ364="",AR364=""),"",(AQ364+AR364)/2)</f>
        <v>0</v>
      </c>
      <c r="AT364">
        <f>IF(COUNT($G$345:$G$364)&lt;20,"",STDEV($G$345:$G$364)*SQRT(252))</f>
        <v>0</v>
      </c>
      <c r="AU364">
        <f>IF(COUNT($E$2:$E364)&lt;9,"",(MAX($C$356:$C$364)+MIN($D$356:$D$364))/2)</f>
        <v>0</v>
      </c>
      <c r="AV364">
        <f>IF(COUNT($E$2:$E364)&lt;26,"",(MAX($C$339:$C$364)+MIN($D$339:$D$364))/2)</f>
        <v>0</v>
      </c>
      <c r="AW364">
        <f>IF(OR(AU364="",AV364=""),"",(AU364+AV364)/2)</f>
        <v>0</v>
      </c>
      <c r="AX364">
        <f>IF(COUNT($E$2:$E364)&lt;52,"",(MAX($C$313:$C$364)+MIN($D$313:$D$364))/2)</f>
        <v>0</v>
      </c>
      <c r="AY364">
        <f>IF(COUNT($E$2:$E364)&lt;20,"",MAX($C$265:$C$364))</f>
        <v>0</v>
      </c>
      <c r="AZ364">
        <f>IF(COUNT($E$2:$E364)&lt;20,"",MIN($D$265:$D$364))</f>
        <v>0</v>
      </c>
      <c r="BA364">
        <f>IF(COUNT($E$2:$E364)&lt;20,"",SLOPE($E$265:$E$364,$F$265:$F$364))</f>
        <v>0</v>
      </c>
      <c r="BB364">
        <f>IF(COUNT($E$2:$E364)&lt;20,"",INTERCEPT($E$265:$E$364,$F$265:$F$364))</f>
        <v>0</v>
      </c>
      <c r="BC364">
        <f>IF(OR(BA364="",BB364=""),"",BB364+BA364*F364)</f>
        <v>0</v>
      </c>
      <c r="BD364">
        <f>IF(COUNT($E$2:$E364)&lt;20,"",STEYX($E$265:$E$364,$F$265:$F$364))</f>
        <v>0</v>
      </c>
      <c r="BE364">
        <f>IF($E364="","",IF(AND(COUNT($E$365:$E$368)&gt;=4,$C364=MAX($C$360:$C$368)),$C364,""))</f>
        <v>0</v>
      </c>
      <c r="BF364">
        <f>IF($E364="","",IF(AND(COUNT($E$365:$E$368)&gt;=4,$D364=MIN($D$360:$D$368)),$D364,""))</f>
        <v>0</v>
      </c>
      <c r="BG364">
        <f>IF($A364="","",$A364-WEEKDAY($A364,2)+1)</f>
        <v>0</v>
      </c>
      <c r="BH364">
        <f>IF($A364="","",IF($A363="",1,IF(BG364&lt;&gt;BG363,1,0)))</f>
        <v>0</v>
      </c>
      <c r="BI364">
        <f>IF($A364="","",IF($A365="",1,IF(BG365&lt;&gt;BG364,1,0)))</f>
        <v>0</v>
      </c>
      <c r="BJ364">
        <f>IF($A364="","",IF(BH364=1,$B364,BJ363))</f>
        <v>0</v>
      </c>
      <c r="BK364">
        <f>IF($A364="","",IF(BH364=1,$C364,MAX($C364,BK363)))</f>
        <v>0</v>
      </c>
      <c r="BL364">
        <f>IF($A364="","",IF(BH364=1,$D364,MIN($D364,BL363)))</f>
        <v>0</v>
      </c>
      <c r="BM364">
        <f>IF($A364="","",IF(BI364=1,F364,""))</f>
        <v>0</v>
      </c>
      <c r="BN364">
        <f>IF($A364="","",DATE(YEAR($A364),MONTH($A364),1))</f>
        <v>0</v>
      </c>
      <c r="BO364">
        <f>IF($A364="","",IF($A363="",1,IF(BN364&lt;&gt;BN363,1,0)))</f>
        <v>0</v>
      </c>
      <c r="BP364">
        <f>IF($A364="","",IF($A365="",1,IF(BN365&lt;&gt;BN364,1,0)))</f>
        <v>0</v>
      </c>
      <c r="BQ364">
        <f>IF($A364="","",IF(BO364=1,$B364,BQ363))</f>
        <v>0</v>
      </c>
      <c r="BR364">
        <f>IF($A364="","",IF(BO364=1,$C364,MAX($C364,BR363)))</f>
        <v>0</v>
      </c>
      <c r="BS364">
        <f>IF($A364="","",IF(BO364=1,$D364,MIN($D364,BS363)))</f>
        <v>0</v>
      </c>
      <c r="BT364">
        <f>IF($A364="","",IF(BP364=1,F364,""))</f>
        <v>0</v>
      </c>
    </row>
    <row r="365" spans="1:72">
      <c r="A365" s="27">
        <f>IF(Data!$A365="","",Data!$A365)</f>
        <v>0</v>
      </c>
      <c r="B365">
        <f>IF(Data!$B365="","",Data!$B365)</f>
        <v>0</v>
      </c>
      <c r="C365">
        <f>IF(Data!$C365="","",Data!$C365)</f>
        <v>0</v>
      </c>
      <c r="D365">
        <f>IF(Data!$D365="","",Data!$D365)</f>
        <v>0</v>
      </c>
      <c r="E365">
        <f>IF(Data!$E365="","",Data!$E365)</f>
        <v>0</v>
      </c>
      <c r="F365">
        <f>IF($E365="","",N(F364)+1)</f>
        <v>0</v>
      </c>
      <c r="G365">
        <f>IF(OR($E365="",$E364=""),"",LN($E365/$E364))</f>
        <v>0</v>
      </c>
      <c r="H365">
        <f>IF($E365="","",IF($E364="",$E365,$E365*0.0952380952+H364*0.9047619048))</f>
        <v>0</v>
      </c>
      <c r="I365">
        <f>IF($E365="","",IF($E364="",$E365,$E365*0.0392156863+I364*0.9607843137))</f>
        <v>0</v>
      </c>
      <c r="J365">
        <f>IF($E365="","",IF($E364="",$E365,$E365*0.0198019802+J364*0.9801980198))</f>
        <v>0</v>
      </c>
      <c r="K365">
        <f>IF($E365="","",IF($E364="",$E365,$E365*0.0099502488+K364*0.9900497512))</f>
        <v>0</v>
      </c>
      <c r="L365">
        <f>IF(OR($E365="",$E364=""),"",MAX($E365-$E364,0))</f>
        <v>0</v>
      </c>
      <c r="M365">
        <f>IF(OR($E365="",$E364=""),"",MAX($E364-$E365,0))</f>
        <v>0</v>
      </c>
      <c r="N365">
        <f>IF(COUNT($E$2:$E365)&lt;15,"",IF(AVERAGE($M$352:$M$365)=0,100,100-100/(1+AVERAGE($L$352:$L$365)/AVERAGE($M$352:$M$365))))</f>
        <v>0</v>
      </c>
      <c r="O365">
        <f>IF($E365="","",IF($E364="",$E365,$E365*0.1538461538+O364*0.8461538462))</f>
        <v>0</v>
      </c>
      <c r="P365">
        <f>IF($E365="","",IF($E364="",$E365,$E365*0.0740740741+P364*0.9259259259))</f>
        <v>0</v>
      </c>
      <c r="Q365">
        <f>IF(OR(O365="",P365=""),"",O365-P365)</f>
        <v>0</v>
      </c>
      <c r="R365">
        <f>IF(Q365="","",IF(R364="",Q365,Q365*0.2000000000+R364*0.8000000000))</f>
        <v>0</v>
      </c>
      <c r="S365">
        <f>IF(OR(Q365="",R365=""),"",Q365-R365)</f>
        <v>0</v>
      </c>
      <c r="T365">
        <f>IF(COUNT($E$2:$E365)&lt;14,"",MAX($C$352:$C$365))</f>
        <v>0</v>
      </c>
      <c r="U365">
        <f>IF(COUNT($E$2:$E365)&lt;14,"",MIN($D$352:$D$365))</f>
        <v>0</v>
      </c>
      <c r="V365">
        <f>IF(OR(T365="",U365="",T365=U365),"",100*($E365-U365)/(T365-U365))</f>
        <v>0</v>
      </c>
      <c r="W365">
        <f>IF(COUNT($V$363:$V$365)&lt;3,"",AVERAGE($V$363:$V$365))</f>
        <v>0</v>
      </c>
      <c r="X365">
        <f>IF(COUNT($N$352:$N$365)&lt;14,"",MIN($N$352:$N$365))</f>
        <v>0</v>
      </c>
      <c r="Y365">
        <f>IF(COUNT($N$352:$N$365)&lt;14,"",MAX($N$352:$N$365))</f>
        <v>0</v>
      </c>
      <c r="Z365">
        <f>IF(OR(N365="",X365="",Y365="",Y365=X365),"",100*(N365-X365)/(Y365-X365))</f>
        <v>0</v>
      </c>
      <c r="AA365">
        <f>IF(COUNT($Z$363:$Z$365)&lt;3,"",AVERAGE($Z$363:$Z$365))</f>
        <v>0</v>
      </c>
      <c r="AB365">
        <f>IF(COUNT($AA$363:$AA$365)&lt;3,"",AVERAGE($AA$363:$AA$365))</f>
        <v>0</v>
      </c>
      <c r="AC365">
        <f>IF($E365="","",MAX($C365-$D365,ABS($C365-$E364),ABS($D365-$E364)))</f>
        <v>0</v>
      </c>
      <c r="AD365">
        <f>IF(COUNT($E$2:$E365)&lt;15,"",AVERAGE($AC$352:$AC$365))</f>
        <v>0</v>
      </c>
      <c r="AE365">
        <f>IF(OR($E365="",$E364=""),"",IF(AND(($C365-$C364)&gt;($D364-$D365),($C365-$C364)&gt;0),$C365-$C364,0))</f>
        <v>0</v>
      </c>
      <c r="AF365">
        <f>IF(OR($E365="",$E364=""),"",IF(AND(($D364-$D365)&gt;($C365-$C364),($D364-$D365)&gt;0),$D364-$D365,0))</f>
        <v>0</v>
      </c>
      <c r="AG365">
        <f>IF(COUNT($E$2:$E365)&lt;15,"",IF(SUM($AC$352:$AC$365)=0,0,100*SUM($AE$352:$AE$365)/SUM($AC$352:$AC$365)))</f>
        <v>0</v>
      </c>
      <c r="AH365">
        <f>IF(COUNT($E$2:$E365)&lt;15,"",IF(SUM($AC$352:$AC$365)=0,0,100*SUM($AF$352:$AF$365)/SUM($AC$352:$AC$365)))</f>
        <v>0</v>
      </c>
      <c r="AI365">
        <f>IF(OR(AG365="",AH365=""),"",IF((AG365+AH365)=0,0,100*ABS(AG365-AH365)/(AG365+AH365)))</f>
        <v>0</v>
      </c>
      <c r="AJ365">
        <f>IF(COUNT($AI$352:$AI$365)&lt;14,"",AVERAGE($AI$352:$AI$365))</f>
        <v>0</v>
      </c>
      <c r="AK365">
        <f>IF(COUNT($E$2:$E365)&lt;20,"",AVERAGE($E$346:$E$365))</f>
        <v>0</v>
      </c>
      <c r="AL365">
        <f>IF(COUNT($E$2:$E365)&lt;20,"",STDEVP($E$346:$E$365))</f>
        <v>0</v>
      </c>
      <c r="AM365">
        <f>IF(AK365="","",AK365+2*AL365)</f>
        <v>0</v>
      </c>
      <c r="AN365">
        <f>IF(AK365="","",AK365-2*AL365)</f>
        <v>0</v>
      </c>
      <c r="AO365">
        <f>IF(OR(AM365="",AN365="",AM365=AN365),"",($E365-AN365)/(AM365-AN365))</f>
        <v>0</v>
      </c>
      <c r="AP365">
        <f>IF(OR(AM365="",AK365="",AK365=0),"",(AM365-AN365)/AK365)</f>
        <v>0</v>
      </c>
      <c r="AQ365">
        <f>IF(COUNT($E$2:$E365)&lt;20,"",MAX($C$346:$C$365))</f>
        <v>0</v>
      </c>
      <c r="AR365">
        <f>IF(COUNT($E$2:$E365)&lt;20,"",MIN($D$346:$D$365))</f>
        <v>0</v>
      </c>
      <c r="AS365">
        <f>IF(OR(AQ365="",AR365=""),"",(AQ365+AR365)/2)</f>
        <v>0</v>
      </c>
      <c r="AT365">
        <f>IF(COUNT($G$346:$G$365)&lt;20,"",STDEV($G$346:$G$365)*SQRT(252))</f>
        <v>0</v>
      </c>
      <c r="AU365">
        <f>IF(COUNT($E$2:$E365)&lt;9,"",(MAX($C$357:$C$365)+MIN($D$357:$D$365))/2)</f>
        <v>0</v>
      </c>
      <c r="AV365">
        <f>IF(COUNT($E$2:$E365)&lt;26,"",(MAX($C$340:$C$365)+MIN($D$340:$D$365))/2)</f>
        <v>0</v>
      </c>
      <c r="AW365">
        <f>IF(OR(AU365="",AV365=""),"",(AU365+AV365)/2)</f>
        <v>0</v>
      </c>
      <c r="AX365">
        <f>IF(COUNT($E$2:$E365)&lt;52,"",(MAX($C$314:$C$365)+MIN($D$314:$D$365))/2)</f>
        <v>0</v>
      </c>
      <c r="AY365">
        <f>IF(COUNT($E$2:$E365)&lt;20,"",MAX($C$266:$C$365))</f>
        <v>0</v>
      </c>
      <c r="AZ365">
        <f>IF(COUNT($E$2:$E365)&lt;20,"",MIN($D$266:$D$365))</f>
        <v>0</v>
      </c>
      <c r="BA365">
        <f>IF(COUNT($E$2:$E365)&lt;20,"",SLOPE($E$266:$E$365,$F$266:$F$365))</f>
        <v>0</v>
      </c>
      <c r="BB365">
        <f>IF(COUNT($E$2:$E365)&lt;20,"",INTERCEPT($E$266:$E$365,$F$266:$F$365))</f>
        <v>0</v>
      </c>
      <c r="BC365">
        <f>IF(OR(BA365="",BB365=""),"",BB365+BA365*F365)</f>
        <v>0</v>
      </c>
      <c r="BD365">
        <f>IF(COUNT($E$2:$E365)&lt;20,"",STEYX($E$266:$E$365,$F$266:$F$365))</f>
        <v>0</v>
      </c>
      <c r="BE365">
        <f>IF($E365="","",IF(AND(COUNT($E$366:$E$369)&gt;=4,$C365=MAX($C$361:$C$369)),$C365,""))</f>
        <v>0</v>
      </c>
      <c r="BF365">
        <f>IF($E365="","",IF(AND(COUNT($E$366:$E$369)&gt;=4,$D365=MIN($D$361:$D$369)),$D365,""))</f>
        <v>0</v>
      </c>
      <c r="BG365">
        <f>IF($A365="","",$A365-WEEKDAY($A365,2)+1)</f>
        <v>0</v>
      </c>
      <c r="BH365">
        <f>IF($A365="","",IF($A364="",1,IF(BG365&lt;&gt;BG364,1,0)))</f>
        <v>0</v>
      </c>
      <c r="BI365">
        <f>IF($A365="","",IF($A366="",1,IF(BG366&lt;&gt;BG365,1,0)))</f>
        <v>0</v>
      </c>
      <c r="BJ365">
        <f>IF($A365="","",IF(BH365=1,$B365,BJ364))</f>
        <v>0</v>
      </c>
      <c r="BK365">
        <f>IF($A365="","",IF(BH365=1,$C365,MAX($C365,BK364)))</f>
        <v>0</v>
      </c>
      <c r="BL365">
        <f>IF($A365="","",IF(BH365=1,$D365,MIN($D365,BL364)))</f>
        <v>0</v>
      </c>
      <c r="BM365">
        <f>IF($A365="","",IF(BI365=1,F365,""))</f>
        <v>0</v>
      </c>
      <c r="BN365">
        <f>IF($A365="","",DATE(YEAR($A365),MONTH($A365),1))</f>
        <v>0</v>
      </c>
      <c r="BO365">
        <f>IF($A365="","",IF($A364="",1,IF(BN365&lt;&gt;BN364,1,0)))</f>
        <v>0</v>
      </c>
      <c r="BP365">
        <f>IF($A365="","",IF($A366="",1,IF(BN366&lt;&gt;BN365,1,0)))</f>
        <v>0</v>
      </c>
      <c r="BQ365">
        <f>IF($A365="","",IF(BO365=1,$B365,BQ364))</f>
        <v>0</v>
      </c>
      <c r="BR365">
        <f>IF($A365="","",IF(BO365=1,$C365,MAX($C365,BR364)))</f>
        <v>0</v>
      </c>
      <c r="BS365">
        <f>IF($A365="","",IF(BO365=1,$D365,MIN($D365,BS364)))</f>
        <v>0</v>
      </c>
      <c r="BT365">
        <f>IF($A365="","",IF(BP365=1,F365,""))</f>
        <v>0</v>
      </c>
    </row>
    <row r="366" spans="1:72">
      <c r="A366" s="27">
        <f>IF(Data!$A366="","",Data!$A366)</f>
        <v>0</v>
      </c>
      <c r="B366">
        <f>IF(Data!$B366="","",Data!$B366)</f>
        <v>0</v>
      </c>
      <c r="C366">
        <f>IF(Data!$C366="","",Data!$C366)</f>
        <v>0</v>
      </c>
      <c r="D366">
        <f>IF(Data!$D366="","",Data!$D366)</f>
        <v>0</v>
      </c>
      <c r="E366">
        <f>IF(Data!$E366="","",Data!$E366)</f>
        <v>0</v>
      </c>
      <c r="F366">
        <f>IF($E366="","",N(F365)+1)</f>
        <v>0</v>
      </c>
      <c r="G366">
        <f>IF(OR($E366="",$E365=""),"",LN($E366/$E365))</f>
        <v>0</v>
      </c>
      <c r="H366">
        <f>IF($E366="","",IF($E365="",$E366,$E366*0.0952380952+H365*0.9047619048))</f>
        <v>0</v>
      </c>
      <c r="I366">
        <f>IF($E366="","",IF($E365="",$E366,$E366*0.0392156863+I365*0.9607843137))</f>
        <v>0</v>
      </c>
      <c r="J366">
        <f>IF($E366="","",IF($E365="",$E366,$E366*0.0198019802+J365*0.9801980198))</f>
        <v>0</v>
      </c>
      <c r="K366">
        <f>IF($E366="","",IF($E365="",$E366,$E366*0.0099502488+K365*0.9900497512))</f>
        <v>0</v>
      </c>
      <c r="L366">
        <f>IF(OR($E366="",$E365=""),"",MAX($E366-$E365,0))</f>
        <v>0</v>
      </c>
      <c r="M366">
        <f>IF(OR($E366="",$E365=""),"",MAX($E365-$E366,0))</f>
        <v>0</v>
      </c>
      <c r="N366">
        <f>IF(COUNT($E$2:$E366)&lt;15,"",IF(AVERAGE($M$353:$M$366)=0,100,100-100/(1+AVERAGE($L$353:$L$366)/AVERAGE($M$353:$M$366))))</f>
        <v>0</v>
      </c>
      <c r="O366">
        <f>IF($E366="","",IF($E365="",$E366,$E366*0.1538461538+O365*0.8461538462))</f>
        <v>0</v>
      </c>
      <c r="P366">
        <f>IF($E366="","",IF($E365="",$E366,$E366*0.0740740741+P365*0.9259259259))</f>
        <v>0</v>
      </c>
      <c r="Q366">
        <f>IF(OR(O366="",P366=""),"",O366-P366)</f>
        <v>0</v>
      </c>
      <c r="R366">
        <f>IF(Q366="","",IF(R365="",Q366,Q366*0.2000000000+R365*0.8000000000))</f>
        <v>0</v>
      </c>
      <c r="S366">
        <f>IF(OR(Q366="",R366=""),"",Q366-R366)</f>
        <v>0</v>
      </c>
      <c r="T366">
        <f>IF(COUNT($E$2:$E366)&lt;14,"",MAX($C$353:$C$366))</f>
        <v>0</v>
      </c>
      <c r="U366">
        <f>IF(COUNT($E$2:$E366)&lt;14,"",MIN($D$353:$D$366))</f>
        <v>0</v>
      </c>
      <c r="V366">
        <f>IF(OR(T366="",U366="",T366=U366),"",100*($E366-U366)/(T366-U366))</f>
        <v>0</v>
      </c>
      <c r="W366">
        <f>IF(COUNT($V$364:$V$366)&lt;3,"",AVERAGE($V$364:$V$366))</f>
        <v>0</v>
      </c>
      <c r="X366">
        <f>IF(COUNT($N$353:$N$366)&lt;14,"",MIN($N$353:$N$366))</f>
        <v>0</v>
      </c>
      <c r="Y366">
        <f>IF(COUNT($N$353:$N$366)&lt;14,"",MAX($N$353:$N$366))</f>
        <v>0</v>
      </c>
      <c r="Z366">
        <f>IF(OR(N366="",X366="",Y366="",Y366=X366),"",100*(N366-X366)/(Y366-X366))</f>
        <v>0</v>
      </c>
      <c r="AA366">
        <f>IF(COUNT($Z$364:$Z$366)&lt;3,"",AVERAGE($Z$364:$Z$366))</f>
        <v>0</v>
      </c>
      <c r="AB366">
        <f>IF(COUNT($AA$364:$AA$366)&lt;3,"",AVERAGE($AA$364:$AA$366))</f>
        <v>0</v>
      </c>
      <c r="AC366">
        <f>IF($E366="","",MAX($C366-$D366,ABS($C366-$E365),ABS($D366-$E365)))</f>
        <v>0</v>
      </c>
      <c r="AD366">
        <f>IF(COUNT($E$2:$E366)&lt;15,"",AVERAGE($AC$353:$AC$366))</f>
        <v>0</v>
      </c>
      <c r="AE366">
        <f>IF(OR($E366="",$E365=""),"",IF(AND(($C366-$C365)&gt;($D365-$D366),($C366-$C365)&gt;0),$C366-$C365,0))</f>
        <v>0</v>
      </c>
      <c r="AF366">
        <f>IF(OR($E366="",$E365=""),"",IF(AND(($D365-$D366)&gt;($C366-$C365),($D365-$D366)&gt;0),$D365-$D366,0))</f>
        <v>0</v>
      </c>
      <c r="AG366">
        <f>IF(COUNT($E$2:$E366)&lt;15,"",IF(SUM($AC$353:$AC$366)=0,0,100*SUM($AE$353:$AE$366)/SUM($AC$353:$AC$366)))</f>
        <v>0</v>
      </c>
      <c r="AH366">
        <f>IF(COUNT($E$2:$E366)&lt;15,"",IF(SUM($AC$353:$AC$366)=0,0,100*SUM($AF$353:$AF$366)/SUM($AC$353:$AC$366)))</f>
        <v>0</v>
      </c>
      <c r="AI366">
        <f>IF(OR(AG366="",AH366=""),"",IF((AG366+AH366)=0,0,100*ABS(AG366-AH366)/(AG366+AH366)))</f>
        <v>0</v>
      </c>
      <c r="AJ366">
        <f>IF(COUNT($AI$353:$AI$366)&lt;14,"",AVERAGE($AI$353:$AI$366))</f>
        <v>0</v>
      </c>
      <c r="AK366">
        <f>IF(COUNT($E$2:$E366)&lt;20,"",AVERAGE($E$347:$E$366))</f>
        <v>0</v>
      </c>
      <c r="AL366">
        <f>IF(COUNT($E$2:$E366)&lt;20,"",STDEVP($E$347:$E$366))</f>
        <v>0</v>
      </c>
      <c r="AM366">
        <f>IF(AK366="","",AK366+2*AL366)</f>
        <v>0</v>
      </c>
      <c r="AN366">
        <f>IF(AK366="","",AK366-2*AL366)</f>
        <v>0</v>
      </c>
      <c r="AO366">
        <f>IF(OR(AM366="",AN366="",AM366=AN366),"",($E366-AN366)/(AM366-AN366))</f>
        <v>0</v>
      </c>
      <c r="AP366">
        <f>IF(OR(AM366="",AK366="",AK366=0),"",(AM366-AN366)/AK366)</f>
        <v>0</v>
      </c>
      <c r="AQ366">
        <f>IF(COUNT($E$2:$E366)&lt;20,"",MAX($C$347:$C$366))</f>
        <v>0</v>
      </c>
      <c r="AR366">
        <f>IF(COUNT($E$2:$E366)&lt;20,"",MIN($D$347:$D$366))</f>
        <v>0</v>
      </c>
      <c r="AS366">
        <f>IF(OR(AQ366="",AR366=""),"",(AQ366+AR366)/2)</f>
        <v>0</v>
      </c>
      <c r="AT366">
        <f>IF(COUNT($G$347:$G$366)&lt;20,"",STDEV($G$347:$G$366)*SQRT(252))</f>
        <v>0</v>
      </c>
      <c r="AU366">
        <f>IF(COUNT($E$2:$E366)&lt;9,"",(MAX($C$358:$C$366)+MIN($D$358:$D$366))/2)</f>
        <v>0</v>
      </c>
      <c r="AV366">
        <f>IF(COUNT($E$2:$E366)&lt;26,"",(MAX($C$341:$C$366)+MIN($D$341:$D$366))/2)</f>
        <v>0</v>
      </c>
      <c r="AW366">
        <f>IF(OR(AU366="",AV366=""),"",(AU366+AV366)/2)</f>
        <v>0</v>
      </c>
      <c r="AX366">
        <f>IF(COUNT($E$2:$E366)&lt;52,"",(MAX($C$315:$C$366)+MIN($D$315:$D$366))/2)</f>
        <v>0</v>
      </c>
      <c r="AY366">
        <f>IF(COUNT($E$2:$E366)&lt;20,"",MAX($C$267:$C$366))</f>
        <v>0</v>
      </c>
      <c r="AZ366">
        <f>IF(COUNT($E$2:$E366)&lt;20,"",MIN($D$267:$D$366))</f>
        <v>0</v>
      </c>
      <c r="BA366">
        <f>IF(COUNT($E$2:$E366)&lt;20,"",SLOPE($E$267:$E$366,$F$267:$F$366))</f>
        <v>0</v>
      </c>
      <c r="BB366">
        <f>IF(COUNT($E$2:$E366)&lt;20,"",INTERCEPT($E$267:$E$366,$F$267:$F$366))</f>
        <v>0</v>
      </c>
      <c r="BC366">
        <f>IF(OR(BA366="",BB366=""),"",BB366+BA366*F366)</f>
        <v>0</v>
      </c>
      <c r="BD366">
        <f>IF(COUNT($E$2:$E366)&lt;20,"",STEYX($E$267:$E$366,$F$267:$F$366))</f>
        <v>0</v>
      </c>
      <c r="BE366">
        <f>IF($E366="","",IF(AND(COUNT($E$367:$E$370)&gt;=4,$C366=MAX($C$362:$C$370)),$C366,""))</f>
        <v>0</v>
      </c>
      <c r="BF366">
        <f>IF($E366="","",IF(AND(COUNT($E$367:$E$370)&gt;=4,$D366=MIN($D$362:$D$370)),$D366,""))</f>
        <v>0</v>
      </c>
      <c r="BG366">
        <f>IF($A366="","",$A366-WEEKDAY($A366,2)+1)</f>
        <v>0</v>
      </c>
      <c r="BH366">
        <f>IF($A366="","",IF($A365="",1,IF(BG366&lt;&gt;BG365,1,0)))</f>
        <v>0</v>
      </c>
      <c r="BI366">
        <f>IF($A366="","",IF($A367="",1,IF(BG367&lt;&gt;BG366,1,0)))</f>
        <v>0</v>
      </c>
      <c r="BJ366">
        <f>IF($A366="","",IF(BH366=1,$B366,BJ365))</f>
        <v>0</v>
      </c>
      <c r="BK366">
        <f>IF($A366="","",IF(BH366=1,$C366,MAX($C366,BK365)))</f>
        <v>0</v>
      </c>
      <c r="BL366">
        <f>IF($A366="","",IF(BH366=1,$D366,MIN($D366,BL365)))</f>
        <v>0</v>
      </c>
      <c r="BM366">
        <f>IF($A366="","",IF(BI366=1,F366,""))</f>
        <v>0</v>
      </c>
      <c r="BN366">
        <f>IF($A366="","",DATE(YEAR($A366),MONTH($A366),1))</f>
        <v>0</v>
      </c>
      <c r="BO366">
        <f>IF($A366="","",IF($A365="",1,IF(BN366&lt;&gt;BN365,1,0)))</f>
        <v>0</v>
      </c>
      <c r="BP366">
        <f>IF($A366="","",IF($A367="",1,IF(BN367&lt;&gt;BN366,1,0)))</f>
        <v>0</v>
      </c>
      <c r="BQ366">
        <f>IF($A366="","",IF(BO366=1,$B366,BQ365))</f>
        <v>0</v>
      </c>
      <c r="BR366">
        <f>IF($A366="","",IF(BO366=1,$C366,MAX($C366,BR365)))</f>
        <v>0</v>
      </c>
      <c r="BS366">
        <f>IF($A366="","",IF(BO366=1,$D366,MIN($D366,BS365)))</f>
        <v>0</v>
      </c>
      <c r="BT366">
        <f>IF($A366="","",IF(BP366=1,F366,""))</f>
        <v>0</v>
      </c>
    </row>
    <row r="367" spans="1:72">
      <c r="A367" s="27">
        <f>IF(Data!$A367="","",Data!$A367)</f>
        <v>0</v>
      </c>
      <c r="B367">
        <f>IF(Data!$B367="","",Data!$B367)</f>
        <v>0</v>
      </c>
      <c r="C367">
        <f>IF(Data!$C367="","",Data!$C367)</f>
        <v>0</v>
      </c>
      <c r="D367">
        <f>IF(Data!$D367="","",Data!$D367)</f>
        <v>0</v>
      </c>
      <c r="E367">
        <f>IF(Data!$E367="","",Data!$E367)</f>
        <v>0</v>
      </c>
      <c r="F367">
        <f>IF($E367="","",N(F366)+1)</f>
        <v>0</v>
      </c>
      <c r="G367">
        <f>IF(OR($E367="",$E366=""),"",LN($E367/$E366))</f>
        <v>0</v>
      </c>
      <c r="H367">
        <f>IF($E367="","",IF($E366="",$E367,$E367*0.0952380952+H366*0.9047619048))</f>
        <v>0</v>
      </c>
      <c r="I367">
        <f>IF($E367="","",IF($E366="",$E367,$E367*0.0392156863+I366*0.9607843137))</f>
        <v>0</v>
      </c>
      <c r="J367">
        <f>IF($E367="","",IF($E366="",$E367,$E367*0.0198019802+J366*0.9801980198))</f>
        <v>0</v>
      </c>
      <c r="K367">
        <f>IF($E367="","",IF($E366="",$E367,$E367*0.0099502488+K366*0.9900497512))</f>
        <v>0</v>
      </c>
      <c r="L367">
        <f>IF(OR($E367="",$E366=""),"",MAX($E367-$E366,0))</f>
        <v>0</v>
      </c>
      <c r="M367">
        <f>IF(OR($E367="",$E366=""),"",MAX($E366-$E367,0))</f>
        <v>0</v>
      </c>
      <c r="N367">
        <f>IF(COUNT($E$2:$E367)&lt;15,"",IF(AVERAGE($M$354:$M$367)=0,100,100-100/(1+AVERAGE($L$354:$L$367)/AVERAGE($M$354:$M$367))))</f>
        <v>0</v>
      </c>
      <c r="O367">
        <f>IF($E367="","",IF($E366="",$E367,$E367*0.1538461538+O366*0.8461538462))</f>
        <v>0</v>
      </c>
      <c r="P367">
        <f>IF($E367="","",IF($E366="",$E367,$E367*0.0740740741+P366*0.9259259259))</f>
        <v>0</v>
      </c>
      <c r="Q367">
        <f>IF(OR(O367="",P367=""),"",O367-P367)</f>
        <v>0</v>
      </c>
      <c r="R367">
        <f>IF(Q367="","",IF(R366="",Q367,Q367*0.2000000000+R366*0.8000000000))</f>
        <v>0</v>
      </c>
      <c r="S367">
        <f>IF(OR(Q367="",R367=""),"",Q367-R367)</f>
        <v>0</v>
      </c>
      <c r="T367">
        <f>IF(COUNT($E$2:$E367)&lt;14,"",MAX($C$354:$C$367))</f>
        <v>0</v>
      </c>
      <c r="U367">
        <f>IF(COUNT($E$2:$E367)&lt;14,"",MIN($D$354:$D$367))</f>
        <v>0</v>
      </c>
      <c r="V367">
        <f>IF(OR(T367="",U367="",T367=U367),"",100*($E367-U367)/(T367-U367))</f>
        <v>0</v>
      </c>
      <c r="W367">
        <f>IF(COUNT($V$365:$V$367)&lt;3,"",AVERAGE($V$365:$V$367))</f>
        <v>0</v>
      </c>
      <c r="X367">
        <f>IF(COUNT($N$354:$N$367)&lt;14,"",MIN($N$354:$N$367))</f>
        <v>0</v>
      </c>
      <c r="Y367">
        <f>IF(COUNT($N$354:$N$367)&lt;14,"",MAX($N$354:$N$367))</f>
        <v>0</v>
      </c>
      <c r="Z367">
        <f>IF(OR(N367="",X367="",Y367="",Y367=X367),"",100*(N367-X367)/(Y367-X367))</f>
        <v>0</v>
      </c>
      <c r="AA367">
        <f>IF(COUNT($Z$365:$Z$367)&lt;3,"",AVERAGE($Z$365:$Z$367))</f>
        <v>0</v>
      </c>
      <c r="AB367">
        <f>IF(COUNT($AA$365:$AA$367)&lt;3,"",AVERAGE($AA$365:$AA$367))</f>
        <v>0</v>
      </c>
      <c r="AC367">
        <f>IF($E367="","",MAX($C367-$D367,ABS($C367-$E366),ABS($D367-$E366)))</f>
        <v>0</v>
      </c>
      <c r="AD367">
        <f>IF(COUNT($E$2:$E367)&lt;15,"",AVERAGE($AC$354:$AC$367))</f>
        <v>0</v>
      </c>
      <c r="AE367">
        <f>IF(OR($E367="",$E366=""),"",IF(AND(($C367-$C366)&gt;($D366-$D367),($C367-$C366)&gt;0),$C367-$C366,0))</f>
        <v>0</v>
      </c>
      <c r="AF367">
        <f>IF(OR($E367="",$E366=""),"",IF(AND(($D366-$D367)&gt;($C367-$C366),($D366-$D367)&gt;0),$D366-$D367,0))</f>
        <v>0</v>
      </c>
      <c r="AG367">
        <f>IF(COUNT($E$2:$E367)&lt;15,"",IF(SUM($AC$354:$AC$367)=0,0,100*SUM($AE$354:$AE$367)/SUM($AC$354:$AC$367)))</f>
        <v>0</v>
      </c>
      <c r="AH367">
        <f>IF(COUNT($E$2:$E367)&lt;15,"",IF(SUM($AC$354:$AC$367)=0,0,100*SUM($AF$354:$AF$367)/SUM($AC$354:$AC$367)))</f>
        <v>0</v>
      </c>
      <c r="AI367">
        <f>IF(OR(AG367="",AH367=""),"",IF((AG367+AH367)=0,0,100*ABS(AG367-AH367)/(AG367+AH367)))</f>
        <v>0</v>
      </c>
      <c r="AJ367">
        <f>IF(COUNT($AI$354:$AI$367)&lt;14,"",AVERAGE($AI$354:$AI$367))</f>
        <v>0</v>
      </c>
      <c r="AK367">
        <f>IF(COUNT($E$2:$E367)&lt;20,"",AVERAGE($E$348:$E$367))</f>
        <v>0</v>
      </c>
      <c r="AL367">
        <f>IF(COUNT($E$2:$E367)&lt;20,"",STDEVP($E$348:$E$367))</f>
        <v>0</v>
      </c>
      <c r="AM367">
        <f>IF(AK367="","",AK367+2*AL367)</f>
        <v>0</v>
      </c>
      <c r="AN367">
        <f>IF(AK367="","",AK367-2*AL367)</f>
        <v>0</v>
      </c>
      <c r="AO367">
        <f>IF(OR(AM367="",AN367="",AM367=AN367),"",($E367-AN367)/(AM367-AN367))</f>
        <v>0</v>
      </c>
      <c r="AP367">
        <f>IF(OR(AM367="",AK367="",AK367=0),"",(AM367-AN367)/AK367)</f>
        <v>0</v>
      </c>
      <c r="AQ367">
        <f>IF(COUNT($E$2:$E367)&lt;20,"",MAX($C$348:$C$367))</f>
        <v>0</v>
      </c>
      <c r="AR367">
        <f>IF(COUNT($E$2:$E367)&lt;20,"",MIN($D$348:$D$367))</f>
        <v>0</v>
      </c>
      <c r="AS367">
        <f>IF(OR(AQ367="",AR367=""),"",(AQ367+AR367)/2)</f>
        <v>0</v>
      </c>
      <c r="AT367">
        <f>IF(COUNT($G$348:$G$367)&lt;20,"",STDEV($G$348:$G$367)*SQRT(252))</f>
        <v>0</v>
      </c>
      <c r="AU367">
        <f>IF(COUNT($E$2:$E367)&lt;9,"",(MAX($C$359:$C$367)+MIN($D$359:$D$367))/2)</f>
        <v>0</v>
      </c>
      <c r="AV367">
        <f>IF(COUNT($E$2:$E367)&lt;26,"",(MAX($C$342:$C$367)+MIN($D$342:$D$367))/2)</f>
        <v>0</v>
      </c>
      <c r="AW367">
        <f>IF(OR(AU367="",AV367=""),"",(AU367+AV367)/2)</f>
        <v>0</v>
      </c>
      <c r="AX367">
        <f>IF(COUNT($E$2:$E367)&lt;52,"",(MAX($C$316:$C$367)+MIN($D$316:$D$367))/2)</f>
        <v>0</v>
      </c>
      <c r="AY367">
        <f>IF(COUNT($E$2:$E367)&lt;20,"",MAX($C$268:$C$367))</f>
        <v>0</v>
      </c>
      <c r="AZ367">
        <f>IF(COUNT($E$2:$E367)&lt;20,"",MIN($D$268:$D$367))</f>
        <v>0</v>
      </c>
      <c r="BA367">
        <f>IF(COUNT($E$2:$E367)&lt;20,"",SLOPE($E$268:$E$367,$F$268:$F$367))</f>
        <v>0</v>
      </c>
      <c r="BB367">
        <f>IF(COUNT($E$2:$E367)&lt;20,"",INTERCEPT($E$268:$E$367,$F$268:$F$367))</f>
        <v>0</v>
      </c>
      <c r="BC367">
        <f>IF(OR(BA367="",BB367=""),"",BB367+BA367*F367)</f>
        <v>0</v>
      </c>
      <c r="BD367">
        <f>IF(COUNT($E$2:$E367)&lt;20,"",STEYX($E$268:$E$367,$F$268:$F$367))</f>
        <v>0</v>
      </c>
      <c r="BE367">
        <f>IF($E367="","",IF(AND(COUNT($E$368:$E$371)&gt;=4,$C367=MAX($C$363:$C$371)),$C367,""))</f>
        <v>0</v>
      </c>
      <c r="BF367">
        <f>IF($E367="","",IF(AND(COUNT($E$368:$E$371)&gt;=4,$D367=MIN($D$363:$D$371)),$D367,""))</f>
        <v>0</v>
      </c>
      <c r="BG367">
        <f>IF($A367="","",$A367-WEEKDAY($A367,2)+1)</f>
        <v>0</v>
      </c>
      <c r="BH367">
        <f>IF($A367="","",IF($A366="",1,IF(BG367&lt;&gt;BG366,1,0)))</f>
        <v>0</v>
      </c>
      <c r="BI367">
        <f>IF($A367="","",IF($A368="",1,IF(BG368&lt;&gt;BG367,1,0)))</f>
        <v>0</v>
      </c>
      <c r="BJ367">
        <f>IF($A367="","",IF(BH367=1,$B367,BJ366))</f>
        <v>0</v>
      </c>
      <c r="BK367">
        <f>IF($A367="","",IF(BH367=1,$C367,MAX($C367,BK366)))</f>
        <v>0</v>
      </c>
      <c r="BL367">
        <f>IF($A367="","",IF(BH367=1,$D367,MIN($D367,BL366)))</f>
        <v>0</v>
      </c>
      <c r="BM367">
        <f>IF($A367="","",IF(BI367=1,F367,""))</f>
        <v>0</v>
      </c>
      <c r="BN367">
        <f>IF($A367="","",DATE(YEAR($A367),MONTH($A367),1))</f>
        <v>0</v>
      </c>
      <c r="BO367">
        <f>IF($A367="","",IF($A366="",1,IF(BN367&lt;&gt;BN366,1,0)))</f>
        <v>0</v>
      </c>
      <c r="BP367">
        <f>IF($A367="","",IF($A368="",1,IF(BN368&lt;&gt;BN367,1,0)))</f>
        <v>0</v>
      </c>
      <c r="BQ367">
        <f>IF($A367="","",IF(BO367=1,$B367,BQ366))</f>
        <v>0</v>
      </c>
      <c r="BR367">
        <f>IF($A367="","",IF(BO367=1,$C367,MAX($C367,BR366)))</f>
        <v>0</v>
      </c>
      <c r="BS367">
        <f>IF($A367="","",IF(BO367=1,$D367,MIN($D367,BS366)))</f>
        <v>0</v>
      </c>
      <c r="BT367">
        <f>IF($A367="","",IF(BP367=1,F367,""))</f>
        <v>0</v>
      </c>
    </row>
    <row r="368" spans="1:72">
      <c r="A368" s="27">
        <f>IF(Data!$A368="","",Data!$A368)</f>
        <v>0</v>
      </c>
      <c r="B368">
        <f>IF(Data!$B368="","",Data!$B368)</f>
        <v>0</v>
      </c>
      <c r="C368">
        <f>IF(Data!$C368="","",Data!$C368)</f>
        <v>0</v>
      </c>
      <c r="D368">
        <f>IF(Data!$D368="","",Data!$D368)</f>
        <v>0</v>
      </c>
      <c r="E368">
        <f>IF(Data!$E368="","",Data!$E368)</f>
        <v>0</v>
      </c>
      <c r="F368">
        <f>IF($E368="","",N(F367)+1)</f>
        <v>0</v>
      </c>
      <c r="G368">
        <f>IF(OR($E368="",$E367=""),"",LN($E368/$E367))</f>
        <v>0</v>
      </c>
      <c r="H368">
        <f>IF($E368="","",IF($E367="",$E368,$E368*0.0952380952+H367*0.9047619048))</f>
        <v>0</v>
      </c>
      <c r="I368">
        <f>IF($E368="","",IF($E367="",$E368,$E368*0.0392156863+I367*0.9607843137))</f>
        <v>0</v>
      </c>
      <c r="J368">
        <f>IF($E368="","",IF($E367="",$E368,$E368*0.0198019802+J367*0.9801980198))</f>
        <v>0</v>
      </c>
      <c r="K368">
        <f>IF($E368="","",IF($E367="",$E368,$E368*0.0099502488+K367*0.9900497512))</f>
        <v>0</v>
      </c>
      <c r="L368">
        <f>IF(OR($E368="",$E367=""),"",MAX($E368-$E367,0))</f>
        <v>0</v>
      </c>
      <c r="M368">
        <f>IF(OR($E368="",$E367=""),"",MAX($E367-$E368,0))</f>
        <v>0</v>
      </c>
      <c r="N368">
        <f>IF(COUNT($E$2:$E368)&lt;15,"",IF(AVERAGE($M$355:$M$368)=0,100,100-100/(1+AVERAGE($L$355:$L$368)/AVERAGE($M$355:$M$368))))</f>
        <v>0</v>
      </c>
      <c r="O368">
        <f>IF($E368="","",IF($E367="",$E368,$E368*0.1538461538+O367*0.8461538462))</f>
        <v>0</v>
      </c>
      <c r="P368">
        <f>IF($E368="","",IF($E367="",$E368,$E368*0.0740740741+P367*0.9259259259))</f>
        <v>0</v>
      </c>
      <c r="Q368">
        <f>IF(OR(O368="",P368=""),"",O368-P368)</f>
        <v>0</v>
      </c>
      <c r="R368">
        <f>IF(Q368="","",IF(R367="",Q368,Q368*0.2000000000+R367*0.8000000000))</f>
        <v>0</v>
      </c>
      <c r="S368">
        <f>IF(OR(Q368="",R368=""),"",Q368-R368)</f>
        <v>0</v>
      </c>
      <c r="T368">
        <f>IF(COUNT($E$2:$E368)&lt;14,"",MAX($C$355:$C$368))</f>
        <v>0</v>
      </c>
      <c r="U368">
        <f>IF(COUNT($E$2:$E368)&lt;14,"",MIN($D$355:$D$368))</f>
        <v>0</v>
      </c>
      <c r="V368">
        <f>IF(OR(T368="",U368="",T368=U368),"",100*($E368-U368)/(T368-U368))</f>
        <v>0</v>
      </c>
      <c r="W368">
        <f>IF(COUNT($V$366:$V$368)&lt;3,"",AVERAGE($V$366:$V$368))</f>
        <v>0</v>
      </c>
      <c r="X368">
        <f>IF(COUNT($N$355:$N$368)&lt;14,"",MIN($N$355:$N$368))</f>
        <v>0</v>
      </c>
      <c r="Y368">
        <f>IF(COUNT($N$355:$N$368)&lt;14,"",MAX($N$355:$N$368))</f>
        <v>0</v>
      </c>
      <c r="Z368">
        <f>IF(OR(N368="",X368="",Y368="",Y368=X368),"",100*(N368-X368)/(Y368-X368))</f>
        <v>0</v>
      </c>
      <c r="AA368">
        <f>IF(COUNT($Z$366:$Z$368)&lt;3,"",AVERAGE($Z$366:$Z$368))</f>
        <v>0</v>
      </c>
      <c r="AB368">
        <f>IF(COUNT($AA$366:$AA$368)&lt;3,"",AVERAGE($AA$366:$AA$368))</f>
        <v>0</v>
      </c>
      <c r="AC368">
        <f>IF($E368="","",MAX($C368-$D368,ABS($C368-$E367),ABS($D368-$E367)))</f>
        <v>0</v>
      </c>
      <c r="AD368">
        <f>IF(COUNT($E$2:$E368)&lt;15,"",AVERAGE($AC$355:$AC$368))</f>
        <v>0</v>
      </c>
      <c r="AE368">
        <f>IF(OR($E368="",$E367=""),"",IF(AND(($C368-$C367)&gt;($D367-$D368),($C368-$C367)&gt;0),$C368-$C367,0))</f>
        <v>0</v>
      </c>
      <c r="AF368">
        <f>IF(OR($E368="",$E367=""),"",IF(AND(($D367-$D368)&gt;($C368-$C367),($D367-$D368)&gt;0),$D367-$D368,0))</f>
        <v>0</v>
      </c>
      <c r="AG368">
        <f>IF(COUNT($E$2:$E368)&lt;15,"",IF(SUM($AC$355:$AC$368)=0,0,100*SUM($AE$355:$AE$368)/SUM($AC$355:$AC$368)))</f>
        <v>0</v>
      </c>
      <c r="AH368">
        <f>IF(COUNT($E$2:$E368)&lt;15,"",IF(SUM($AC$355:$AC$368)=0,0,100*SUM($AF$355:$AF$368)/SUM($AC$355:$AC$368)))</f>
        <v>0</v>
      </c>
      <c r="AI368">
        <f>IF(OR(AG368="",AH368=""),"",IF((AG368+AH368)=0,0,100*ABS(AG368-AH368)/(AG368+AH368)))</f>
        <v>0</v>
      </c>
      <c r="AJ368">
        <f>IF(COUNT($AI$355:$AI$368)&lt;14,"",AVERAGE($AI$355:$AI$368))</f>
        <v>0</v>
      </c>
      <c r="AK368">
        <f>IF(COUNT($E$2:$E368)&lt;20,"",AVERAGE($E$349:$E$368))</f>
        <v>0</v>
      </c>
      <c r="AL368">
        <f>IF(COUNT($E$2:$E368)&lt;20,"",STDEVP($E$349:$E$368))</f>
        <v>0</v>
      </c>
      <c r="AM368">
        <f>IF(AK368="","",AK368+2*AL368)</f>
        <v>0</v>
      </c>
      <c r="AN368">
        <f>IF(AK368="","",AK368-2*AL368)</f>
        <v>0</v>
      </c>
      <c r="AO368">
        <f>IF(OR(AM368="",AN368="",AM368=AN368),"",($E368-AN368)/(AM368-AN368))</f>
        <v>0</v>
      </c>
      <c r="AP368">
        <f>IF(OR(AM368="",AK368="",AK368=0),"",(AM368-AN368)/AK368)</f>
        <v>0</v>
      </c>
      <c r="AQ368">
        <f>IF(COUNT($E$2:$E368)&lt;20,"",MAX($C$349:$C$368))</f>
        <v>0</v>
      </c>
      <c r="AR368">
        <f>IF(COUNT($E$2:$E368)&lt;20,"",MIN($D$349:$D$368))</f>
        <v>0</v>
      </c>
      <c r="AS368">
        <f>IF(OR(AQ368="",AR368=""),"",(AQ368+AR368)/2)</f>
        <v>0</v>
      </c>
      <c r="AT368">
        <f>IF(COUNT($G$349:$G$368)&lt;20,"",STDEV($G$349:$G$368)*SQRT(252))</f>
        <v>0</v>
      </c>
      <c r="AU368">
        <f>IF(COUNT($E$2:$E368)&lt;9,"",(MAX($C$360:$C$368)+MIN($D$360:$D$368))/2)</f>
        <v>0</v>
      </c>
      <c r="AV368">
        <f>IF(COUNT($E$2:$E368)&lt;26,"",(MAX($C$343:$C$368)+MIN($D$343:$D$368))/2)</f>
        <v>0</v>
      </c>
      <c r="AW368">
        <f>IF(OR(AU368="",AV368=""),"",(AU368+AV368)/2)</f>
        <v>0</v>
      </c>
      <c r="AX368">
        <f>IF(COUNT($E$2:$E368)&lt;52,"",(MAX($C$317:$C$368)+MIN($D$317:$D$368))/2)</f>
        <v>0</v>
      </c>
      <c r="AY368">
        <f>IF(COUNT($E$2:$E368)&lt;20,"",MAX($C$269:$C$368))</f>
        <v>0</v>
      </c>
      <c r="AZ368">
        <f>IF(COUNT($E$2:$E368)&lt;20,"",MIN($D$269:$D$368))</f>
        <v>0</v>
      </c>
      <c r="BA368">
        <f>IF(COUNT($E$2:$E368)&lt;20,"",SLOPE($E$269:$E$368,$F$269:$F$368))</f>
        <v>0</v>
      </c>
      <c r="BB368">
        <f>IF(COUNT($E$2:$E368)&lt;20,"",INTERCEPT($E$269:$E$368,$F$269:$F$368))</f>
        <v>0</v>
      </c>
      <c r="BC368">
        <f>IF(OR(BA368="",BB368=""),"",BB368+BA368*F368)</f>
        <v>0</v>
      </c>
      <c r="BD368">
        <f>IF(COUNT($E$2:$E368)&lt;20,"",STEYX($E$269:$E$368,$F$269:$F$368))</f>
        <v>0</v>
      </c>
      <c r="BE368">
        <f>IF($E368="","",IF(AND(COUNT($E$369:$E$372)&gt;=4,$C368=MAX($C$364:$C$372)),$C368,""))</f>
        <v>0</v>
      </c>
      <c r="BF368">
        <f>IF($E368="","",IF(AND(COUNT($E$369:$E$372)&gt;=4,$D368=MIN($D$364:$D$372)),$D368,""))</f>
        <v>0</v>
      </c>
      <c r="BG368">
        <f>IF($A368="","",$A368-WEEKDAY($A368,2)+1)</f>
        <v>0</v>
      </c>
      <c r="BH368">
        <f>IF($A368="","",IF($A367="",1,IF(BG368&lt;&gt;BG367,1,0)))</f>
        <v>0</v>
      </c>
      <c r="BI368">
        <f>IF($A368="","",IF($A369="",1,IF(BG369&lt;&gt;BG368,1,0)))</f>
        <v>0</v>
      </c>
      <c r="BJ368">
        <f>IF($A368="","",IF(BH368=1,$B368,BJ367))</f>
        <v>0</v>
      </c>
      <c r="BK368">
        <f>IF($A368="","",IF(BH368=1,$C368,MAX($C368,BK367)))</f>
        <v>0</v>
      </c>
      <c r="BL368">
        <f>IF($A368="","",IF(BH368=1,$D368,MIN($D368,BL367)))</f>
        <v>0</v>
      </c>
      <c r="BM368">
        <f>IF($A368="","",IF(BI368=1,F368,""))</f>
        <v>0</v>
      </c>
      <c r="BN368">
        <f>IF($A368="","",DATE(YEAR($A368),MONTH($A368),1))</f>
        <v>0</v>
      </c>
      <c r="BO368">
        <f>IF($A368="","",IF($A367="",1,IF(BN368&lt;&gt;BN367,1,0)))</f>
        <v>0</v>
      </c>
      <c r="BP368">
        <f>IF($A368="","",IF($A369="",1,IF(BN369&lt;&gt;BN368,1,0)))</f>
        <v>0</v>
      </c>
      <c r="BQ368">
        <f>IF($A368="","",IF(BO368=1,$B368,BQ367))</f>
        <v>0</v>
      </c>
      <c r="BR368">
        <f>IF($A368="","",IF(BO368=1,$C368,MAX($C368,BR367)))</f>
        <v>0</v>
      </c>
      <c r="BS368">
        <f>IF($A368="","",IF(BO368=1,$D368,MIN($D368,BS367)))</f>
        <v>0</v>
      </c>
      <c r="BT368">
        <f>IF($A368="","",IF(BP368=1,F368,""))</f>
        <v>0</v>
      </c>
    </row>
    <row r="369" spans="1:72">
      <c r="A369" s="27">
        <f>IF(Data!$A369="","",Data!$A369)</f>
        <v>0</v>
      </c>
      <c r="B369">
        <f>IF(Data!$B369="","",Data!$B369)</f>
        <v>0</v>
      </c>
      <c r="C369">
        <f>IF(Data!$C369="","",Data!$C369)</f>
        <v>0</v>
      </c>
      <c r="D369">
        <f>IF(Data!$D369="","",Data!$D369)</f>
        <v>0</v>
      </c>
      <c r="E369">
        <f>IF(Data!$E369="","",Data!$E369)</f>
        <v>0</v>
      </c>
      <c r="F369">
        <f>IF($E369="","",N(F368)+1)</f>
        <v>0</v>
      </c>
      <c r="G369">
        <f>IF(OR($E369="",$E368=""),"",LN($E369/$E368))</f>
        <v>0</v>
      </c>
      <c r="H369">
        <f>IF($E369="","",IF($E368="",$E369,$E369*0.0952380952+H368*0.9047619048))</f>
        <v>0</v>
      </c>
      <c r="I369">
        <f>IF($E369="","",IF($E368="",$E369,$E369*0.0392156863+I368*0.9607843137))</f>
        <v>0</v>
      </c>
      <c r="J369">
        <f>IF($E369="","",IF($E368="",$E369,$E369*0.0198019802+J368*0.9801980198))</f>
        <v>0</v>
      </c>
      <c r="K369">
        <f>IF($E369="","",IF($E368="",$E369,$E369*0.0099502488+K368*0.9900497512))</f>
        <v>0</v>
      </c>
      <c r="L369">
        <f>IF(OR($E369="",$E368=""),"",MAX($E369-$E368,0))</f>
        <v>0</v>
      </c>
      <c r="M369">
        <f>IF(OR($E369="",$E368=""),"",MAX($E368-$E369,0))</f>
        <v>0</v>
      </c>
      <c r="N369">
        <f>IF(COUNT($E$2:$E369)&lt;15,"",IF(AVERAGE($M$356:$M$369)=0,100,100-100/(1+AVERAGE($L$356:$L$369)/AVERAGE($M$356:$M$369))))</f>
        <v>0</v>
      </c>
      <c r="O369">
        <f>IF($E369="","",IF($E368="",$E369,$E369*0.1538461538+O368*0.8461538462))</f>
        <v>0</v>
      </c>
      <c r="P369">
        <f>IF($E369="","",IF($E368="",$E369,$E369*0.0740740741+P368*0.9259259259))</f>
        <v>0</v>
      </c>
      <c r="Q369">
        <f>IF(OR(O369="",P369=""),"",O369-P369)</f>
        <v>0</v>
      </c>
      <c r="R369">
        <f>IF(Q369="","",IF(R368="",Q369,Q369*0.2000000000+R368*0.8000000000))</f>
        <v>0</v>
      </c>
      <c r="S369">
        <f>IF(OR(Q369="",R369=""),"",Q369-R369)</f>
        <v>0</v>
      </c>
      <c r="T369">
        <f>IF(COUNT($E$2:$E369)&lt;14,"",MAX($C$356:$C$369))</f>
        <v>0</v>
      </c>
      <c r="U369">
        <f>IF(COUNT($E$2:$E369)&lt;14,"",MIN($D$356:$D$369))</f>
        <v>0</v>
      </c>
      <c r="V369">
        <f>IF(OR(T369="",U369="",T369=U369),"",100*($E369-U369)/(T369-U369))</f>
        <v>0</v>
      </c>
      <c r="W369">
        <f>IF(COUNT($V$367:$V$369)&lt;3,"",AVERAGE($V$367:$V$369))</f>
        <v>0</v>
      </c>
      <c r="X369">
        <f>IF(COUNT($N$356:$N$369)&lt;14,"",MIN($N$356:$N$369))</f>
        <v>0</v>
      </c>
      <c r="Y369">
        <f>IF(COUNT($N$356:$N$369)&lt;14,"",MAX($N$356:$N$369))</f>
        <v>0</v>
      </c>
      <c r="Z369">
        <f>IF(OR(N369="",X369="",Y369="",Y369=X369),"",100*(N369-X369)/(Y369-X369))</f>
        <v>0</v>
      </c>
      <c r="AA369">
        <f>IF(COUNT($Z$367:$Z$369)&lt;3,"",AVERAGE($Z$367:$Z$369))</f>
        <v>0</v>
      </c>
      <c r="AB369">
        <f>IF(COUNT($AA$367:$AA$369)&lt;3,"",AVERAGE($AA$367:$AA$369))</f>
        <v>0</v>
      </c>
      <c r="AC369">
        <f>IF($E369="","",MAX($C369-$D369,ABS($C369-$E368),ABS($D369-$E368)))</f>
        <v>0</v>
      </c>
      <c r="AD369">
        <f>IF(COUNT($E$2:$E369)&lt;15,"",AVERAGE($AC$356:$AC$369))</f>
        <v>0</v>
      </c>
      <c r="AE369">
        <f>IF(OR($E369="",$E368=""),"",IF(AND(($C369-$C368)&gt;($D368-$D369),($C369-$C368)&gt;0),$C369-$C368,0))</f>
        <v>0</v>
      </c>
      <c r="AF369">
        <f>IF(OR($E369="",$E368=""),"",IF(AND(($D368-$D369)&gt;($C369-$C368),($D368-$D369)&gt;0),$D368-$D369,0))</f>
        <v>0</v>
      </c>
      <c r="AG369">
        <f>IF(COUNT($E$2:$E369)&lt;15,"",IF(SUM($AC$356:$AC$369)=0,0,100*SUM($AE$356:$AE$369)/SUM($AC$356:$AC$369)))</f>
        <v>0</v>
      </c>
      <c r="AH369">
        <f>IF(COUNT($E$2:$E369)&lt;15,"",IF(SUM($AC$356:$AC$369)=0,0,100*SUM($AF$356:$AF$369)/SUM($AC$356:$AC$369)))</f>
        <v>0</v>
      </c>
      <c r="AI369">
        <f>IF(OR(AG369="",AH369=""),"",IF((AG369+AH369)=0,0,100*ABS(AG369-AH369)/(AG369+AH369)))</f>
        <v>0</v>
      </c>
      <c r="AJ369">
        <f>IF(COUNT($AI$356:$AI$369)&lt;14,"",AVERAGE($AI$356:$AI$369))</f>
        <v>0</v>
      </c>
      <c r="AK369">
        <f>IF(COUNT($E$2:$E369)&lt;20,"",AVERAGE($E$350:$E$369))</f>
        <v>0</v>
      </c>
      <c r="AL369">
        <f>IF(COUNT($E$2:$E369)&lt;20,"",STDEVP($E$350:$E$369))</f>
        <v>0</v>
      </c>
      <c r="AM369">
        <f>IF(AK369="","",AK369+2*AL369)</f>
        <v>0</v>
      </c>
      <c r="AN369">
        <f>IF(AK369="","",AK369-2*AL369)</f>
        <v>0</v>
      </c>
      <c r="AO369">
        <f>IF(OR(AM369="",AN369="",AM369=AN369),"",($E369-AN369)/(AM369-AN369))</f>
        <v>0</v>
      </c>
      <c r="AP369">
        <f>IF(OR(AM369="",AK369="",AK369=0),"",(AM369-AN369)/AK369)</f>
        <v>0</v>
      </c>
      <c r="AQ369">
        <f>IF(COUNT($E$2:$E369)&lt;20,"",MAX($C$350:$C$369))</f>
        <v>0</v>
      </c>
      <c r="AR369">
        <f>IF(COUNT($E$2:$E369)&lt;20,"",MIN($D$350:$D$369))</f>
        <v>0</v>
      </c>
      <c r="AS369">
        <f>IF(OR(AQ369="",AR369=""),"",(AQ369+AR369)/2)</f>
        <v>0</v>
      </c>
      <c r="AT369">
        <f>IF(COUNT($G$350:$G$369)&lt;20,"",STDEV($G$350:$G$369)*SQRT(252))</f>
        <v>0</v>
      </c>
      <c r="AU369">
        <f>IF(COUNT($E$2:$E369)&lt;9,"",(MAX($C$361:$C$369)+MIN($D$361:$D$369))/2)</f>
        <v>0</v>
      </c>
      <c r="AV369">
        <f>IF(COUNT($E$2:$E369)&lt;26,"",(MAX($C$344:$C$369)+MIN($D$344:$D$369))/2)</f>
        <v>0</v>
      </c>
      <c r="AW369">
        <f>IF(OR(AU369="",AV369=""),"",(AU369+AV369)/2)</f>
        <v>0</v>
      </c>
      <c r="AX369">
        <f>IF(COUNT($E$2:$E369)&lt;52,"",(MAX($C$318:$C$369)+MIN($D$318:$D$369))/2)</f>
        <v>0</v>
      </c>
      <c r="AY369">
        <f>IF(COUNT($E$2:$E369)&lt;20,"",MAX($C$270:$C$369))</f>
        <v>0</v>
      </c>
      <c r="AZ369">
        <f>IF(COUNT($E$2:$E369)&lt;20,"",MIN($D$270:$D$369))</f>
        <v>0</v>
      </c>
      <c r="BA369">
        <f>IF(COUNT($E$2:$E369)&lt;20,"",SLOPE($E$270:$E$369,$F$270:$F$369))</f>
        <v>0</v>
      </c>
      <c r="BB369">
        <f>IF(COUNT($E$2:$E369)&lt;20,"",INTERCEPT($E$270:$E$369,$F$270:$F$369))</f>
        <v>0</v>
      </c>
      <c r="BC369">
        <f>IF(OR(BA369="",BB369=""),"",BB369+BA369*F369)</f>
        <v>0</v>
      </c>
      <c r="BD369">
        <f>IF(COUNT($E$2:$E369)&lt;20,"",STEYX($E$270:$E$369,$F$270:$F$369))</f>
        <v>0</v>
      </c>
      <c r="BE369">
        <f>IF($E369="","",IF(AND(COUNT($E$370:$E$373)&gt;=4,$C369=MAX($C$365:$C$373)),$C369,""))</f>
        <v>0</v>
      </c>
      <c r="BF369">
        <f>IF($E369="","",IF(AND(COUNT($E$370:$E$373)&gt;=4,$D369=MIN($D$365:$D$373)),$D369,""))</f>
        <v>0</v>
      </c>
      <c r="BG369">
        <f>IF($A369="","",$A369-WEEKDAY($A369,2)+1)</f>
        <v>0</v>
      </c>
      <c r="BH369">
        <f>IF($A369="","",IF($A368="",1,IF(BG369&lt;&gt;BG368,1,0)))</f>
        <v>0</v>
      </c>
      <c r="BI369">
        <f>IF($A369="","",IF($A370="",1,IF(BG370&lt;&gt;BG369,1,0)))</f>
        <v>0</v>
      </c>
      <c r="BJ369">
        <f>IF($A369="","",IF(BH369=1,$B369,BJ368))</f>
        <v>0</v>
      </c>
      <c r="BK369">
        <f>IF($A369="","",IF(BH369=1,$C369,MAX($C369,BK368)))</f>
        <v>0</v>
      </c>
      <c r="BL369">
        <f>IF($A369="","",IF(BH369=1,$D369,MIN($D369,BL368)))</f>
        <v>0</v>
      </c>
      <c r="BM369">
        <f>IF($A369="","",IF(BI369=1,F369,""))</f>
        <v>0</v>
      </c>
      <c r="BN369">
        <f>IF($A369="","",DATE(YEAR($A369),MONTH($A369),1))</f>
        <v>0</v>
      </c>
      <c r="BO369">
        <f>IF($A369="","",IF($A368="",1,IF(BN369&lt;&gt;BN368,1,0)))</f>
        <v>0</v>
      </c>
      <c r="BP369">
        <f>IF($A369="","",IF($A370="",1,IF(BN370&lt;&gt;BN369,1,0)))</f>
        <v>0</v>
      </c>
      <c r="BQ369">
        <f>IF($A369="","",IF(BO369=1,$B369,BQ368))</f>
        <v>0</v>
      </c>
      <c r="BR369">
        <f>IF($A369="","",IF(BO369=1,$C369,MAX($C369,BR368)))</f>
        <v>0</v>
      </c>
      <c r="BS369">
        <f>IF($A369="","",IF(BO369=1,$D369,MIN($D369,BS368)))</f>
        <v>0</v>
      </c>
      <c r="BT369">
        <f>IF($A369="","",IF(BP369=1,F369,""))</f>
        <v>0</v>
      </c>
    </row>
    <row r="370" spans="1:72">
      <c r="A370" s="27">
        <f>IF(Data!$A370="","",Data!$A370)</f>
        <v>0</v>
      </c>
      <c r="B370">
        <f>IF(Data!$B370="","",Data!$B370)</f>
        <v>0</v>
      </c>
      <c r="C370">
        <f>IF(Data!$C370="","",Data!$C370)</f>
        <v>0</v>
      </c>
      <c r="D370">
        <f>IF(Data!$D370="","",Data!$D370)</f>
        <v>0</v>
      </c>
      <c r="E370">
        <f>IF(Data!$E370="","",Data!$E370)</f>
        <v>0</v>
      </c>
      <c r="F370">
        <f>IF($E370="","",N(F369)+1)</f>
        <v>0</v>
      </c>
      <c r="G370">
        <f>IF(OR($E370="",$E369=""),"",LN($E370/$E369))</f>
        <v>0</v>
      </c>
      <c r="H370">
        <f>IF($E370="","",IF($E369="",$E370,$E370*0.0952380952+H369*0.9047619048))</f>
        <v>0</v>
      </c>
      <c r="I370">
        <f>IF($E370="","",IF($E369="",$E370,$E370*0.0392156863+I369*0.9607843137))</f>
        <v>0</v>
      </c>
      <c r="J370">
        <f>IF($E370="","",IF($E369="",$E370,$E370*0.0198019802+J369*0.9801980198))</f>
        <v>0</v>
      </c>
      <c r="K370">
        <f>IF($E370="","",IF($E369="",$E370,$E370*0.0099502488+K369*0.9900497512))</f>
        <v>0</v>
      </c>
      <c r="L370">
        <f>IF(OR($E370="",$E369=""),"",MAX($E370-$E369,0))</f>
        <v>0</v>
      </c>
      <c r="M370">
        <f>IF(OR($E370="",$E369=""),"",MAX($E369-$E370,0))</f>
        <v>0</v>
      </c>
      <c r="N370">
        <f>IF(COUNT($E$2:$E370)&lt;15,"",IF(AVERAGE($M$357:$M$370)=0,100,100-100/(1+AVERAGE($L$357:$L$370)/AVERAGE($M$357:$M$370))))</f>
        <v>0</v>
      </c>
      <c r="O370">
        <f>IF($E370="","",IF($E369="",$E370,$E370*0.1538461538+O369*0.8461538462))</f>
        <v>0</v>
      </c>
      <c r="P370">
        <f>IF($E370="","",IF($E369="",$E370,$E370*0.0740740741+P369*0.9259259259))</f>
        <v>0</v>
      </c>
      <c r="Q370">
        <f>IF(OR(O370="",P370=""),"",O370-P370)</f>
        <v>0</v>
      </c>
      <c r="R370">
        <f>IF(Q370="","",IF(R369="",Q370,Q370*0.2000000000+R369*0.8000000000))</f>
        <v>0</v>
      </c>
      <c r="S370">
        <f>IF(OR(Q370="",R370=""),"",Q370-R370)</f>
        <v>0</v>
      </c>
      <c r="T370">
        <f>IF(COUNT($E$2:$E370)&lt;14,"",MAX($C$357:$C$370))</f>
        <v>0</v>
      </c>
      <c r="U370">
        <f>IF(COUNT($E$2:$E370)&lt;14,"",MIN($D$357:$D$370))</f>
        <v>0</v>
      </c>
      <c r="V370">
        <f>IF(OR(T370="",U370="",T370=U370),"",100*($E370-U370)/(T370-U370))</f>
        <v>0</v>
      </c>
      <c r="W370">
        <f>IF(COUNT($V$368:$V$370)&lt;3,"",AVERAGE($V$368:$V$370))</f>
        <v>0</v>
      </c>
      <c r="X370">
        <f>IF(COUNT($N$357:$N$370)&lt;14,"",MIN($N$357:$N$370))</f>
        <v>0</v>
      </c>
      <c r="Y370">
        <f>IF(COUNT($N$357:$N$370)&lt;14,"",MAX($N$357:$N$370))</f>
        <v>0</v>
      </c>
      <c r="Z370">
        <f>IF(OR(N370="",X370="",Y370="",Y370=X370),"",100*(N370-X370)/(Y370-X370))</f>
        <v>0</v>
      </c>
      <c r="AA370">
        <f>IF(COUNT($Z$368:$Z$370)&lt;3,"",AVERAGE($Z$368:$Z$370))</f>
        <v>0</v>
      </c>
      <c r="AB370">
        <f>IF(COUNT($AA$368:$AA$370)&lt;3,"",AVERAGE($AA$368:$AA$370))</f>
        <v>0</v>
      </c>
      <c r="AC370">
        <f>IF($E370="","",MAX($C370-$D370,ABS($C370-$E369),ABS($D370-$E369)))</f>
        <v>0</v>
      </c>
      <c r="AD370">
        <f>IF(COUNT($E$2:$E370)&lt;15,"",AVERAGE($AC$357:$AC$370))</f>
        <v>0</v>
      </c>
      <c r="AE370">
        <f>IF(OR($E370="",$E369=""),"",IF(AND(($C370-$C369)&gt;($D369-$D370),($C370-$C369)&gt;0),$C370-$C369,0))</f>
        <v>0</v>
      </c>
      <c r="AF370">
        <f>IF(OR($E370="",$E369=""),"",IF(AND(($D369-$D370)&gt;($C370-$C369),($D369-$D370)&gt;0),$D369-$D370,0))</f>
        <v>0</v>
      </c>
      <c r="AG370">
        <f>IF(COUNT($E$2:$E370)&lt;15,"",IF(SUM($AC$357:$AC$370)=0,0,100*SUM($AE$357:$AE$370)/SUM($AC$357:$AC$370)))</f>
        <v>0</v>
      </c>
      <c r="AH370">
        <f>IF(COUNT($E$2:$E370)&lt;15,"",IF(SUM($AC$357:$AC$370)=0,0,100*SUM($AF$357:$AF$370)/SUM($AC$357:$AC$370)))</f>
        <v>0</v>
      </c>
      <c r="AI370">
        <f>IF(OR(AG370="",AH370=""),"",IF((AG370+AH370)=0,0,100*ABS(AG370-AH370)/(AG370+AH370)))</f>
        <v>0</v>
      </c>
      <c r="AJ370">
        <f>IF(COUNT($AI$357:$AI$370)&lt;14,"",AVERAGE($AI$357:$AI$370))</f>
        <v>0</v>
      </c>
      <c r="AK370">
        <f>IF(COUNT($E$2:$E370)&lt;20,"",AVERAGE($E$351:$E$370))</f>
        <v>0</v>
      </c>
      <c r="AL370">
        <f>IF(COUNT($E$2:$E370)&lt;20,"",STDEVP($E$351:$E$370))</f>
        <v>0</v>
      </c>
      <c r="AM370">
        <f>IF(AK370="","",AK370+2*AL370)</f>
        <v>0</v>
      </c>
      <c r="AN370">
        <f>IF(AK370="","",AK370-2*AL370)</f>
        <v>0</v>
      </c>
      <c r="AO370">
        <f>IF(OR(AM370="",AN370="",AM370=AN370),"",($E370-AN370)/(AM370-AN370))</f>
        <v>0</v>
      </c>
      <c r="AP370">
        <f>IF(OR(AM370="",AK370="",AK370=0),"",(AM370-AN370)/AK370)</f>
        <v>0</v>
      </c>
      <c r="AQ370">
        <f>IF(COUNT($E$2:$E370)&lt;20,"",MAX($C$351:$C$370))</f>
        <v>0</v>
      </c>
      <c r="AR370">
        <f>IF(COUNT($E$2:$E370)&lt;20,"",MIN($D$351:$D$370))</f>
        <v>0</v>
      </c>
      <c r="AS370">
        <f>IF(OR(AQ370="",AR370=""),"",(AQ370+AR370)/2)</f>
        <v>0</v>
      </c>
      <c r="AT370">
        <f>IF(COUNT($G$351:$G$370)&lt;20,"",STDEV($G$351:$G$370)*SQRT(252))</f>
        <v>0</v>
      </c>
      <c r="AU370">
        <f>IF(COUNT($E$2:$E370)&lt;9,"",(MAX($C$362:$C$370)+MIN($D$362:$D$370))/2)</f>
        <v>0</v>
      </c>
      <c r="AV370">
        <f>IF(COUNT($E$2:$E370)&lt;26,"",(MAX($C$345:$C$370)+MIN($D$345:$D$370))/2)</f>
        <v>0</v>
      </c>
      <c r="AW370">
        <f>IF(OR(AU370="",AV370=""),"",(AU370+AV370)/2)</f>
        <v>0</v>
      </c>
      <c r="AX370">
        <f>IF(COUNT($E$2:$E370)&lt;52,"",(MAX($C$319:$C$370)+MIN($D$319:$D$370))/2)</f>
        <v>0</v>
      </c>
      <c r="AY370">
        <f>IF(COUNT($E$2:$E370)&lt;20,"",MAX($C$271:$C$370))</f>
        <v>0</v>
      </c>
      <c r="AZ370">
        <f>IF(COUNT($E$2:$E370)&lt;20,"",MIN($D$271:$D$370))</f>
        <v>0</v>
      </c>
      <c r="BA370">
        <f>IF(COUNT($E$2:$E370)&lt;20,"",SLOPE($E$271:$E$370,$F$271:$F$370))</f>
        <v>0</v>
      </c>
      <c r="BB370">
        <f>IF(COUNT($E$2:$E370)&lt;20,"",INTERCEPT($E$271:$E$370,$F$271:$F$370))</f>
        <v>0</v>
      </c>
      <c r="BC370">
        <f>IF(OR(BA370="",BB370=""),"",BB370+BA370*F370)</f>
        <v>0</v>
      </c>
      <c r="BD370">
        <f>IF(COUNT($E$2:$E370)&lt;20,"",STEYX($E$271:$E$370,$F$271:$F$370))</f>
        <v>0</v>
      </c>
      <c r="BE370">
        <f>IF($E370="","",IF(AND(COUNT($E$371:$E$374)&gt;=4,$C370=MAX($C$366:$C$374)),$C370,""))</f>
        <v>0</v>
      </c>
      <c r="BF370">
        <f>IF($E370="","",IF(AND(COUNT($E$371:$E$374)&gt;=4,$D370=MIN($D$366:$D$374)),$D370,""))</f>
        <v>0</v>
      </c>
      <c r="BG370">
        <f>IF($A370="","",$A370-WEEKDAY($A370,2)+1)</f>
        <v>0</v>
      </c>
      <c r="BH370">
        <f>IF($A370="","",IF($A369="",1,IF(BG370&lt;&gt;BG369,1,0)))</f>
        <v>0</v>
      </c>
      <c r="BI370">
        <f>IF($A370="","",IF($A371="",1,IF(BG371&lt;&gt;BG370,1,0)))</f>
        <v>0</v>
      </c>
      <c r="BJ370">
        <f>IF($A370="","",IF(BH370=1,$B370,BJ369))</f>
        <v>0</v>
      </c>
      <c r="BK370">
        <f>IF($A370="","",IF(BH370=1,$C370,MAX($C370,BK369)))</f>
        <v>0</v>
      </c>
      <c r="BL370">
        <f>IF($A370="","",IF(BH370=1,$D370,MIN($D370,BL369)))</f>
        <v>0</v>
      </c>
      <c r="BM370">
        <f>IF($A370="","",IF(BI370=1,F370,""))</f>
        <v>0</v>
      </c>
      <c r="BN370">
        <f>IF($A370="","",DATE(YEAR($A370),MONTH($A370),1))</f>
        <v>0</v>
      </c>
      <c r="BO370">
        <f>IF($A370="","",IF($A369="",1,IF(BN370&lt;&gt;BN369,1,0)))</f>
        <v>0</v>
      </c>
      <c r="BP370">
        <f>IF($A370="","",IF($A371="",1,IF(BN371&lt;&gt;BN370,1,0)))</f>
        <v>0</v>
      </c>
      <c r="BQ370">
        <f>IF($A370="","",IF(BO370=1,$B370,BQ369))</f>
        <v>0</v>
      </c>
      <c r="BR370">
        <f>IF($A370="","",IF(BO370=1,$C370,MAX($C370,BR369)))</f>
        <v>0</v>
      </c>
      <c r="BS370">
        <f>IF($A370="","",IF(BO370=1,$D370,MIN($D370,BS369)))</f>
        <v>0</v>
      </c>
      <c r="BT370">
        <f>IF($A370="","",IF(BP370=1,F370,""))</f>
        <v>0</v>
      </c>
    </row>
    <row r="371" spans="1:72">
      <c r="A371" s="27">
        <f>IF(Data!$A371="","",Data!$A371)</f>
        <v>0</v>
      </c>
      <c r="B371">
        <f>IF(Data!$B371="","",Data!$B371)</f>
        <v>0</v>
      </c>
      <c r="C371">
        <f>IF(Data!$C371="","",Data!$C371)</f>
        <v>0</v>
      </c>
      <c r="D371">
        <f>IF(Data!$D371="","",Data!$D371)</f>
        <v>0</v>
      </c>
      <c r="E371">
        <f>IF(Data!$E371="","",Data!$E371)</f>
        <v>0</v>
      </c>
      <c r="F371">
        <f>IF($E371="","",N(F370)+1)</f>
        <v>0</v>
      </c>
      <c r="G371">
        <f>IF(OR($E371="",$E370=""),"",LN($E371/$E370))</f>
        <v>0</v>
      </c>
      <c r="H371">
        <f>IF($E371="","",IF($E370="",$E371,$E371*0.0952380952+H370*0.9047619048))</f>
        <v>0</v>
      </c>
      <c r="I371">
        <f>IF($E371="","",IF($E370="",$E371,$E371*0.0392156863+I370*0.9607843137))</f>
        <v>0</v>
      </c>
      <c r="J371">
        <f>IF($E371="","",IF($E370="",$E371,$E371*0.0198019802+J370*0.9801980198))</f>
        <v>0</v>
      </c>
      <c r="K371">
        <f>IF($E371="","",IF($E370="",$E371,$E371*0.0099502488+K370*0.9900497512))</f>
        <v>0</v>
      </c>
      <c r="L371">
        <f>IF(OR($E371="",$E370=""),"",MAX($E371-$E370,0))</f>
        <v>0</v>
      </c>
      <c r="M371">
        <f>IF(OR($E371="",$E370=""),"",MAX($E370-$E371,0))</f>
        <v>0</v>
      </c>
      <c r="N371">
        <f>IF(COUNT($E$2:$E371)&lt;15,"",IF(AVERAGE($M$358:$M$371)=0,100,100-100/(1+AVERAGE($L$358:$L$371)/AVERAGE($M$358:$M$371))))</f>
        <v>0</v>
      </c>
      <c r="O371">
        <f>IF($E371="","",IF($E370="",$E371,$E371*0.1538461538+O370*0.8461538462))</f>
        <v>0</v>
      </c>
      <c r="P371">
        <f>IF($E371="","",IF($E370="",$E371,$E371*0.0740740741+P370*0.9259259259))</f>
        <v>0</v>
      </c>
      <c r="Q371">
        <f>IF(OR(O371="",P371=""),"",O371-P371)</f>
        <v>0</v>
      </c>
      <c r="R371">
        <f>IF(Q371="","",IF(R370="",Q371,Q371*0.2000000000+R370*0.8000000000))</f>
        <v>0</v>
      </c>
      <c r="S371">
        <f>IF(OR(Q371="",R371=""),"",Q371-R371)</f>
        <v>0</v>
      </c>
      <c r="T371">
        <f>IF(COUNT($E$2:$E371)&lt;14,"",MAX($C$358:$C$371))</f>
        <v>0</v>
      </c>
      <c r="U371">
        <f>IF(COUNT($E$2:$E371)&lt;14,"",MIN($D$358:$D$371))</f>
        <v>0</v>
      </c>
      <c r="V371">
        <f>IF(OR(T371="",U371="",T371=U371),"",100*($E371-U371)/(T371-U371))</f>
        <v>0</v>
      </c>
      <c r="W371">
        <f>IF(COUNT($V$369:$V$371)&lt;3,"",AVERAGE($V$369:$V$371))</f>
        <v>0</v>
      </c>
      <c r="X371">
        <f>IF(COUNT($N$358:$N$371)&lt;14,"",MIN($N$358:$N$371))</f>
        <v>0</v>
      </c>
      <c r="Y371">
        <f>IF(COUNT($N$358:$N$371)&lt;14,"",MAX($N$358:$N$371))</f>
        <v>0</v>
      </c>
      <c r="Z371">
        <f>IF(OR(N371="",X371="",Y371="",Y371=X371),"",100*(N371-X371)/(Y371-X371))</f>
        <v>0</v>
      </c>
      <c r="AA371">
        <f>IF(COUNT($Z$369:$Z$371)&lt;3,"",AVERAGE($Z$369:$Z$371))</f>
        <v>0</v>
      </c>
      <c r="AB371">
        <f>IF(COUNT($AA$369:$AA$371)&lt;3,"",AVERAGE($AA$369:$AA$371))</f>
        <v>0</v>
      </c>
      <c r="AC371">
        <f>IF($E371="","",MAX($C371-$D371,ABS($C371-$E370),ABS($D371-$E370)))</f>
        <v>0</v>
      </c>
      <c r="AD371">
        <f>IF(COUNT($E$2:$E371)&lt;15,"",AVERAGE($AC$358:$AC$371))</f>
        <v>0</v>
      </c>
      <c r="AE371">
        <f>IF(OR($E371="",$E370=""),"",IF(AND(($C371-$C370)&gt;($D370-$D371),($C371-$C370)&gt;0),$C371-$C370,0))</f>
        <v>0</v>
      </c>
      <c r="AF371">
        <f>IF(OR($E371="",$E370=""),"",IF(AND(($D370-$D371)&gt;($C371-$C370),($D370-$D371)&gt;0),$D370-$D371,0))</f>
        <v>0</v>
      </c>
      <c r="AG371">
        <f>IF(COUNT($E$2:$E371)&lt;15,"",IF(SUM($AC$358:$AC$371)=0,0,100*SUM($AE$358:$AE$371)/SUM($AC$358:$AC$371)))</f>
        <v>0</v>
      </c>
      <c r="AH371">
        <f>IF(COUNT($E$2:$E371)&lt;15,"",IF(SUM($AC$358:$AC$371)=0,0,100*SUM($AF$358:$AF$371)/SUM($AC$358:$AC$371)))</f>
        <v>0</v>
      </c>
      <c r="AI371">
        <f>IF(OR(AG371="",AH371=""),"",IF((AG371+AH371)=0,0,100*ABS(AG371-AH371)/(AG371+AH371)))</f>
        <v>0</v>
      </c>
      <c r="AJ371">
        <f>IF(COUNT($AI$358:$AI$371)&lt;14,"",AVERAGE($AI$358:$AI$371))</f>
        <v>0</v>
      </c>
      <c r="AK371">
        <f>IF(COUNT($E$2:$E371)&lt;20,"",AVERAGE($E$352:$E$371))</f>
        <v>0</v>
      </c>
      <c r="AL371">
        <f>IF(COUNT($E$2:$E371)&lt;20,"",STDEVP($E$352:$E$371))</f>
        <v>0</v>
      </c>
      <c r="AM371">
        <f>IF(AK371="","",AK371+2*AL371)</f>
        <v>0</v>
      </c>
      <c r="AN371">
        <f>IF(AK371="","",AK371-2*AL371)</f>
        <v>0</v>
      </c>
      <c r="AO371">
        <f>IF(OR(AM371="",AN371="",AM371=AN371),"",($E371-AN371)/(AM371-AN371))</f>
        <v>0</v>
      </c>
      <c r="AP371">
        <f>IF(OR(AM371="",AK371="",AK371=0),"",(AM371-AN371)/AK371)</f>
        <v>0</v>
      </c>
      <c r="AQ371">
        <f>IF(COUNT($E$2:$E371)&lt;20,"",MAX($C$352:$C$371))</f>
        <v>0</v>
      </c>
      <c r="AR371">
        <f>IF(COUNT($E$2:$E371)&lt;20,"",MIN($D$352:$D$371))</f>
        <v>0</v>
      </c>
      <c r="AS371">
        <f>IF(OR(AQ371="",AR371=""),"",(AQ371+AR371)/2)</f>
        <v>0</v>
      </c>
      <c r="AT371">
        <f>IF(COUNT($G$352:$G$371)&lt;20,"",STDEV($G$352:$G$371)*SQRT(252))</f>
        <v>0</v>
      </c>
      <c r="AU371">
        <f>IF(COUNT($E$2:$E371)&lt;9,"",(MAX($C$363:$C$371)+MIN($D$363:$D$371))/2)</f>
        <v>0</v>
      </c>
      <c r="AV371">
        <f>IF(COUNT($E$2:$E371)&lt;26,"",(MAX($C$346:$C$371)+MIN($D$346:$D$371))/2)</f>
        <v>0</v>
      </c>
      <c r="AW371">
        <f>IF(OR(AU371="",AV371=""),"",(AU371+AV371)/2)</f>
        <v>0</v>
      </c>
      <c r="AX371">
        <f>IF(COUNT($E$2:$E371)&lt;52,"",(MAX($C$320:$C$371)+MIN($D$320:$D$371))/2)</f>
        <v>0</v>
      </c>
      <c r="AY371">
        <f>IF(COUNT($E$2:$E371)&lt;20,"",MAX($C$272:$C$371))</f>
        <v>0</v>
      </c>
      <c r="AZ371">
        <f>IF(COUNT($E$2:$E371)&lt;20,"",MIN($D$272:$D$371))</f>
        <v>0</v>
      </c>
      <c r="BA371">
        <f>IF(COUNT($E$2:$E371)&lt;20,"",SLOPE($E$272:$E$371,$F$272:$F$371))</f>
        <v>0</v>
      </c>
      <c r="BB371">
        <f>IF(COUNT($E$2:$E371)&lt;20,"",INTERCEPT($E$272:$E$371,$F$272:$F$371))</f>
        <v>0</v>
      </c>
      <c r="BC371">
        <f>IF(OR(BA371="",BB371=""),"",BB371+BA371*F371)</f>
        <v>0</v>
      </c>
      <c r="BD371">
        <f>IF(COUNT($E$2:$E371)&lt;20,"",STEYX($E$272:$E$371,$F$272:$F$371))</f>
        <v>0</v>
      </c>
      <c r="BE371">
        <f>IF($E371="","",IF(AND(COUNT($E$372:$E$375)&gt;=4,$C371=MAX($C$367:$C$375)),$C371,""))</f>
        <v>0</v>
      </c>
      <c r="BF371">
        <f>IF($E371="","",IF(AND(COUNT($E$372:$E$375)&gt;=4,$D371=MIN($D$367:$D$375)),$D371,""))</f>
        <v>0</v>
      </c>
      <c r="BG371">
        <f>IF($A371="","",$A371-WEEKDAY($A371,2)+1)</f>
        <v>0</v>
      </c>
      <c r="BH371">
        <f>IF($A371="","",IF($A370="",1,IF(BG371&lt;&gt;BG370,1,0)))</f>
        <v>0</v>
      </c>
      <c r="BI371">
        <f>IF($A371="","",IF($A372="",1,IF(BG372&lt;&gt;BG371,1,0)))</f>
        <v>0</v>
      </c>
      <c r="BJ371">
        <f>IF($A371="","",IF(BH371=1,$B371,BJ370))</f>
        <v>0</v>
      </c>
      <c r="BK371">
        <f>IF($A371="","",IF(BH371=1,$C371,MAX($C371,BK370)))</f>
        <v>0</v>
      </c>
      <c r="BL371">
        <f>IF($A371="","",IF(BH371=1,$D371,MIN($D371,BL370)))</f>
        <v>0</v>
      </c>
      <c r="BM371">
        <f>IF($A371="","",IF(BI371=1,F371,""))</f>
        <v>0</v>
      </c>
      <c r="BN371">
        <f>IF($A371="","",DATE(YEAR($A371),MONTH($A371),1))</f>
        <v>0</v>
      </c>
      <c r="BO371">
        <f>IF($A371="","",IF($A370="",1,IF(BN371&lt;&gt;BN370,1,0)))</f>
        <v>0</v>
      </c>
      <c r="BP371">
        <f>IF($A371="","",IF($A372="",1,IF(BN372&lt;&gt;BN371,1,0)))</f>
        <v>0</v>
      </c>
      <c r="BQ371">
        <f>IF($A371="","",IF(BO371=1,$B371,BQ370))</f>
        <v>0</v>
      </c>
      <c r="BR371">
        <f>IF($A371="","",IF(BO371=1,$C371,MAX($C371,BR370)))</f>
        <v>0</v>
      </c>
      <c r="BS371">
        <f>IF($A371="","",IF(BO371=1,$D371,MIN($D371,BS370)))</f>
        <v>0</v>
      </c>
      <c r="BT371">
        <f>IF($A371="","",IF(BP371=1,F371,""))</f>
        <v>0</v>
      </c>
    </row>
    <row r="372" spans="1:72">
      <c r="A372" s="27">
        <f>IF(Data!$A372="","",Data!$A372)</f>
        <v>0</v>
      </c>
      <c r="B372">
        <f>IF(Data!$B372="","",Data!$B372)</f>
        <v>0</v>
      </c>
      <c r="C372">
        <f>IF(Data!$C372="","",Data!$C372)</f>
        <v>0</v>
      </c>
      <c r="D372">
        <f>IF(Data!$D372="","",Data!$D372)</f>
        <v>0</v>
      </c>
      <c r="E372">
        <f>IF(Data!$E372="","",Data!$E372)</f>
        <v>0</v>
      </c>
      <c r="F372">
        <f>IF($E372="","",N(F371)+1)</f>
        <v>0</v>
      </c>
      <c r="G372">
        <f>IF(OR($E372="",$E371=""),"",LN($E372/$E371))</f>
        <v>0</v>
      </c>
      <c r="H372">
        <f>IF($E372="","",IF($E371="",$E372,$E372*0.0952380952+H371*0.9047619048))</f>
        <v>0</v>
      </c>
      <c r="I372">
        <f>IF($E372="","",IF($E371="",$E372,$E372*0.0392156863+I371*0.9607843137))</f>
        <v>0</v>
      </c>
      <c r="J372">
        <f>IF($E372="","",IF($E371="",$E372,$E372*0.0198019802+J371*0.9801980198))</f>
        <v>0</v>
      </c>
      <c r="K372">
        <f>IF($E372="","",IF($E371="",$E372,$E372*0.0099502488+K371*0.9900497512))</f>
        <v>0</v>
      </c>
      <c r="L372">
        <f>IF(OR($E372="",$E371=""),"",MAX($E372-$E371,0))</f>
        <v>0</v>
      </c>
      <c r="M372">
        <f>IF(OR($E372="",$E371=""),"",MAX($E371-$E372,0))</f>
        <v>0</v>
      </c>
      <c r="N372">
        <f>IF(COUNT($E$2:$E372)&lt;15,"",IF(AVERAGE($M$359:$M$372)=0,100,100-100/(1+AVERAGE($L$359:$L$372)/AVERAGE($M$359:$M$372))))</f>
        <v>0</v>
      </c>
      <c r="O372">
        <f>IF($E372="","",IF($E371="",$E372,$E372*0.1538461538+O371*0.8461538462))</f>
        <v>0</v>
      </c>
      <c r="P372">
        <f>IF($E372="","",IF($E371="",$E372,$E372*0.0740740741+P371*0.9259259259))</f>
        <v>0</v>
      </c>
      <c r="Q372">
        <f>IF(OR(O372="",P372=""),"",O372-P372)</f>
        <v>0</v>
      </c>
      <c r="R372">
        <f>IF(Q372="","",IF(R371="",Q372,Q372*0.2000000000+R371*0.8000000000))</f>
        <v>0</v>
      </c>
      <c r="S372">
        <f>IF(OR(Q372="",R372=""),"",Q372-R372)</f>
        <v>0</v>
      </c>
      <c r="T372">
        <f>IF(COUNT($E$2:$E372)&lt;14,"",MAX($C$359:$C$372))</f>
        <v>0</v>
      </c>
      <c r="U372">
        <f>IF(COUNT($E$2:$E372)&lt;14,"",MIN($D$359:$D$372))</f>
        <v>0</v>
      </c>
      <c r="V372">
        <f>IF(OR(T372="",U372="",T372=U372),"",100*($E372-U372)/(T372-U372))</f>
        <v>0</v>
      </c>
      <c r="W372">
        <f>IF(COUNT($V$370:$V$372)&lt;3,"",AVERAGE($V$370:$V$372))</f>
        <v>0</v>
      </c>
      <c r="X372">
        <f>IF(COUNT($N$359:$N$372)&lt;14,"",MIN($N$359:$N$372))</f>
        <v>0</v>
      </c>
      <c r="Y372">
        <f>IF(COUNT($N$359:$N$372)&lt;14,"",MAX($N$359:$N$372))</f>
        <v>0</v>
      </c>
      <c r="Z372">
        <f>IF(OR(N372="",X372="",Y372="",Y372=X372),"",100*(N372-X372)/(Y372-X372))</f>
        <v>0</v>
      </c>
      <c r="AA372">
        <f>IF(COUNT($Z$370:$Z$372)&lt;3,"",AVERAGE($Z$370:$Z$372))</f>
        <v>0</v>
      </c>
      <c r="AB372">
        <f>IF(COUNT($AA$370:$AA$372)&lt;3,"",AVERAGE($AA$370:$AA$372))</f>
        <v>0</v>
      </c>
      <c r="AC372">
        <f>IF($E372="","",MAX($C372-$D372,ABS($C372-$E371),ABS($D372-$E371)))</f>
        <v>0</v>
      </c>
      <c r="AD372">
        <f>IF(COUNT($E$2:$E372)&lt;15,"",AVERAGE($AC$359:$AC$372))</f>
        <v>0</v>
      </c>
      <c r="AE372">
        <f>IF(OR($E372="",$E371=""),"",IF(AND(($C372-$C371)&gt;($D371-$D372),($C372-$C371)&gt;0),$C372-$C371,0))</f>
        <v>0</v>
      </c>
      <c r="AF372">
        <f>IF(OR($E372="",$E371=""),"",IF(AND(($D371-$D372)&gt;($C372-$C371),($D371-$D372)&gt;0),$D371-$D372,0))</f>
        <v>0</v>
      </c>
      <c r="AG372">
        <f>IF(COUNT($E$2:$E372)&lt;15,"",IF(SUM($AC$359:$AC$372)=0,0,100*SUM($AE$359:$AE$372)/SUM($AC$359:$AC$372)))</f>
        <v>0</v>
      </c>
      <c r="AH372">
        <f>IF(COUNT($E$2:$E372)&lt;15,"",IF(SUM($AC$359:$AC$372)=0,0,100*SUM($AF$359:$AF$372)/SUM($AC$359:$AC$372)))</f>
        <v>0</v>
      </c>
      <c r="AI372">
        <f>IF(OR(AG372="",AH372=""),"",IF((AG372+AH372)=0,0,100*ABS(AG372-AH372)/(AG372+AH372)))</f>
        <v>0</v>
      </c>
      <c r="AJ372">
        <f>IF(COUNT($AI$359:$AI$372)&lt;14,"",AVERAGE($AI$359:$AI$372))</f>
        <v>0</v>
      </c>
      <c r="AK372">
        <f>IF(COUNT($E$2:$E372)&lt;20,"",AVERAGE($E$353:$E$372))</f>
        <v>0</v>
      </c>
      <c r="AL372">
        <f>IF(COUNT($E$2:$E372)&lt;20,"",STDEVP($E$353:$E$372))</f>
        <v>0</v>
      </c>
      <c r="AM372">
        <f>IF(AK372="","",AK372+2*AL372)</f>
        <v>0</v>
      </c>
      <c r="AN372">
        <f>IF(AK372="","",AK372-2*AL372)</f>
        <v>0</v>
      </c>
      <c r="AO372">
        <f>IF(OR(AM372="",AN372="",AM372=AN372),"",($E372-AN372)/(AM372-AN372))</f>
        <v>0</v>
      </c>
      <c r="AP372">
        <f>IF(OR(AM372="",AK372="",AK372=0),"",(AM372-AN372)/AK372)</f>
        <v>0</v>
      </c>
      <c r="AQ372">
        <f>IF(COUNT($E$2:$E372)&lt;20,"",MAX($C$353:$C$372))</f>
        <v>0</v>
      </c>
      <c r="AR372">
        <f>IF(COUNT($E$2:$E372)&lt;20,"",MIN($D$353:$D$372))</f>
        <v>0</v>
      </c>
      <c r="AS372">
        <f>IF(OR(AQ372="",AR372=""),"",(AQ372+AR372)/2)</f>
        <v>0</v>
      </c>
      <c r="AT372">
        <f>IF(COUNT($G$353:$G$372)&lt;20,"",STDEV($G$353:$G$372)*SQRT(252))</f>
        <v>0</v>
      </c>
      <c r="AU372">
        <f>IF(COUNT($E$2:$E372)&lt;9,"",(MAX($C$364:$C$372)+MIN($D$364:$D$372))/2)</f>
        <v>0</v>
      </c>
      <c r="AV372">
        <f>IF(COUNT($E$2:$E372)&lt;26,"",(MAX($C$347:$C$372)+MIN($D$347:$D$372))/2)</f>
        <v>0</v>
      </c>
      <c r="AW372">
        <f>IF(OR(AU372="",AV372=""),"",(AU372+AV372)/2)</f>
        <v>0</v>
      </c>
      <c r="AX372">
        <f>IF(COUNT($E$2:$E372)&lt;52,"",(MAX($C$321:$C$372)+MIN($D$321:$D$372))/2)</f>
        <v>0</v>
      </c>
      <c r="AY372">
        <f>IF(COUNT($E$2:$E372)&lt;20,"",MAX($C$273:$C$372))</f>
        <v>0</v>
      </c>
      <c r="AZ372">
        <f>IF(COUNT($E$2:$E372)&lt;20,"",MIN($D$273:$D$372))</f>
        <v>0</v>
      </c>
      <c r="BA372">
        <f>IF(COUNT($E$2:$E372)&lt;20,"",SLOPE($E$273:$E$372,$F$273:$F$372))</f>
        <v>0</v>
      </c>
      <c r="BB372">
        <f>IF(COUNT($E$2:$E372)&lt;20,"",INTERCEPT($E$273:$E$372,$F$273:$F$372))</f>
        <v>0</v>
      </c>
      <c r="BC372">
        <f>IF(OR(BA372="",BB372=""),"",BB372+BA372*F372)</f>
        <v>0</v>
      </c>
      <c r="BD372">
        <f>IF(COUNT($E$2:$E372)&lt;20,"",STEYX($E$273:$E$372,$F$273:$F$372))</f>
        <v>0</v>
      </c>
      <c r="BE372">
        <f>IF($E372="","",IF(AND(COUNT($E$373:$E$376)&gt;=4,$C372=MAX($C$368:$C$376)),$C372,""))</f>
        <v>0</v>
      </c>
      <c r="BF372">
        <f>IF($E372="","",IF(AND(COUNT($E$373:$E$376)&gt;=4,$D372=MIN($D$368:$D$376)),$D372,""))</f>
        <v>0</v>
      </c>
      <c r="BG372">
        <f>IF($A372="","",$A372-WEEKDAY($A372,2)+1)</f>
        <v>0</v>
      </c>
      <c r="BH372">
        <f>IF($A372="","",IF($A371="",1,IF(BG372&lt;&gt;BG371,1,0)))</f>
        <v>0</v>
      </c>
      <c r="BI372">
        <f>IF($A372="","",IF($A373="",1,IF(BG373&lt;&gt;BG372,1,0)))</f>
        <v>0</v>
      </c>
      <c r="BJ372">
        <f>IF($A372="","",IF(BH372=1,$B372,BJ371))</f>
        <v>0</v>
      </c>
      <c r="BK372">
        <f>IF($A372="","",IF(BH372=1,$C372,MAX($C372,BK371)))</f>
        <v>0</v>
      </c>
      <c r="BL372">
        <f>IF($A372="","",IF(BH372=1,$D372,MIN($D372,BL371)))</f>
        <v>0</v>
      </c>
      <c r="BM372">
        <f>IF($A372="","",IF(BI372=1,F372,""))</f>
        <v>0</v>
      </c>
      <c r="BN372">
        <f>IF($A372="","",DATE(YEAR($A372),MONTH($A372),1))</f>
        <v>0</v>
      </c>
      <c r="BO372">
        <f>IF($A372="","",IF($A371="",1,IF(BN372&lt;&gt;BN371,1,0)))</f>
        <v>0</v>
      </c>
      <c r="BP372">
        <f>IF($A372="","",IF($A373="",1,IF(BN373&lt;&gt;BN372,1,0)))</f>
        <v>0</v>
      </c>
      <c r="BQ372">
        <f>IF($A372="","",IF(BO372=1,$B372,BQ371))</f>
        <v>0</v>
      </c>
      <c r="BR372">
        <f>IF($A372="","",IF(BO372=1,$C372,MAX($C372,BR371)))</f>
        <v>0</v>
      </c>
      <c r="BS372">
        <f>IF($A372="","",IF(BO372=1,$D372,MIN($D372,BS371)))</f>
        <v>0</v>
      </c>
      <c r="BT372">
        <f>IF($A372="","",IF(BP372=1,F372,""))</f>
        <v>0</v>
      </c>
    </row>
    <row r="373" spans="1:72">
      <c r="A373" s="27">
        <f>IF(Data!$A373="","",Data!$A373)</f>
        <v>0</v>
      </c>
      <c r="B373">
        <f>IF(Data!$B373="","",Data!$B373)</f>
        <v>0</v>
      </c>
      <c r="C373">
        <f>IF(Data!$C373="","",Data!$C373)</f>
        <v>0</v>
      </c>
      <c r="D373">
        <f>IF(Data!$D373="","",Data!$D373)</f>
        <v>0</v>
      </c>
      <c r="E373">
        <f>IF(Data!$E373="","",Data!$E373)</f>
        <v>0</v>
      </c>
      <c r="F373">
        <f>IF($E373="","",N(F372)+1)</f>
        <v>0</v>
      </c>
      <c r="G373">
        <f>IF(OR($E373="",$E372=""),"",LN($E373/$E372))</f>
        <v>0</v>
      </c>
      <c r="H373">
        <f>IF($E373="","",IF($E372="",$E373,$E373*0.0952380952+H372*0.9047619048))</f>
        <v>0</v>
      </c>
      <c r="I373">
        <f>IF($E373="","",IF($E372="",$E373,$E373*0.0392156863+I372*0.9607843137))</f>
        <v>0</v>
      </c>
      <c r="J373">
        <f>IF($E373="","",IF($E372="",$E373,$E373*0.0198019802+J372*0.9801980198))</f>
        <v>0</v>
      </c>
      <c r="K373">
        <f>IF($E373="","",IF($E372="",$E373,$E373*0.0099502488+K372*0.9900497512))</f>
        <v>0</v>
      </c>
      <c r="L373">
        <f>IF(OR($E373="",$E372=""),"",MAX($E373-$E372,0))</f>
        <v>0</v>
      </c>
      <c r="M373">
        <f>IF(OR($E373="",$E372=""),"",MAX($E372-$E373,0))</f>
        <v>0</v>
      </c>
      <c r="N373">
        <f>IF(COUNT($E$2:$E373)&lt;15,"",IF(AVERAGE($M$360:$M$373)=0,100,100-100/(1+AVERAGE($L$360:$L$373)/AVERAGE($M$360:$M$373))))</f>
        <v>0</v>
      </c>
      <c r="O373">
        <f>IF($E373="","",IF($E372="",$E373,$E373*0.1538461538+O372*0.8461538462))</f>
        <v>0</v>
      </c>
      <c r="P373">
        <f>IF($E373="","",IF($E372="",$E373,$E373*0.0740740741+P372*0.9259259259))</f>
        <v>0</v>
      </c>
      <c r="Q373">
        <f>IF(OR(O373="",P373=""),"",O373-P373)</f>
        <v>0</v>
      </c>
      <c r="R373">
        <f>IF(Q373="","",IF(R372="",Q373,Q373*0.2000000000+R372*0.8000000000))</f>
        <v>0</v>
      </c>
      <c r="S373">
        <f>IF(OR(Q373="",R373=""),"",Q373-R373)</f>
        <v>0</v>
      </c>
      <c r="T373">
        <f>IF(COUNT($E$2:$E373)&lt;14,"",MAX($C$360:$C$373))</f>
        <v>0</v>
      </c>
      <c r="U373">
        <f>IF(COUNT($E$2:$E373)&lt;14,"",MIN($D$360:$D$373))</f>
        <v>0</v>
      </c>
      <c r="V373">
        <f>IF(OR(T373="",U373="",T373=U373),"",100*($E373-U373)/(T373-U373))</f>
        <v>0</v>
      </c>
      <c r="W373">
        <f>IF(COUNT($V$371:$V$373)&lt;3,"",AVERAGE($V$371:$V$373))</f>
        <v>0</v>
      </c>
      <c r="X373">
        <f>IF(COUNT($N$360:$N$373)&lt;14,"",MIN($N$360:$N$373))</f>
        <v>0</v>
      </c>
      <c r="Y373">
        <f>IF(COUNT($N$360:$N$373)&lt;14,"",MAX($N$360:$N$373))</f>
        <v>0</v>
      </c>
      <c r="Z373">
        <f>IF(OR(N373="",X373="",Y373="",Y373=X373),"",100*(N373-X373)/(Y373-X373))</f>
        <v>0</v>
      </c>
      <c r="AA373">
        <f>IF(COUNT($Z$371:$Z$373)&lt;3,"",AVERAGE($Z$371:$Z$373))</f>
        <v>0</v>
      </c>
      <c r="AB373">
        <f>IF(COUNT($AA$371:$AA$373)&lt;3,"",AVERAGE($AA$371:$AA$373))</f>
        <v>0</v>
      </c>
      <c r="AC373">
        <f>IF($E373="","",MAX($C373-$D373,ABS($C373-$E372),ABS($D373-$E372)))</f>
        <v>0</v>
      </c>
      <c r="AD373">
        <f>IF(COUNT($E$2:$E373)&lt;15,"",AVERAGE($AC$360:$AC$373))</f>
        <v>0</v>
      </c>
      <c r="AE373">
        <f>IF(OR($E373="",$E372=""),"",IF(AND(($C373-$C372)&gt;($D372-$D373),($C373-$C372)&gt;0),$C373-$C372,0))</f>
        <v>0</v>
      </c>
      <c r="AF373">
        <f>IF(OR($E373="",$E372=""),"",IF(AND(($D372-$D373)&gt;($C373-$C372),($D372-$D373)&gt;0),$D372-$D373,0))</f>
        <v>0</v>
      </c>
      <c r="AG373">
        <f>IF(COUNT($E$2:$E373)&lt;15,"",IF(SUM($AC$360:$AC$373)=0,0,100*SUM($AE$360:$AE$373)/SUM($AC$360:$AC$373)))</f>
        <v>0</v>
      </c>
      <c r="AH373">
        <f>IF(COUNT($E$2:$E373)&lt;15,"",IF(SUM($AC$360:$AC$373)=0,0,100*SUM($AF$360:$AF$373)/SUM($AC$360:$AC$373)))</f>
        <v>0</v>
      </c>
      <c r="AI373">
        <f>IF(OR(AG373="",AH373=""),"",IF((AG373+AH373)=0,0,100*ABS(AG373-AH373)/(AG373+AH373)))</f>
        <v>0</v>
      </c>
      <c r="AJ373">
        <f>IF(COUNT($AI$360:$AI$373)&lt;14,"",AVERAGE($AI$360:$AI$373))</f>
        <v>0</v>
      </c>
      <c r="AK373">
        <f>IF(COUNT($E$2:$E373)&lt;20,"",AVERAGE($E$354:$E$373))</f>
        <v>0</v>
      </c>
      <c r="AL373">
        <f>IF(COUNT($E$2:$E373)&lt;20,"",STDEVP($E$354:$E$373))</f>
        <v>0</v>
      </c>
      <c r="AM373">
        <f>IF(AK373="","",AK373+2*AL373)</f>
        <v>0</v>
      </c>
      <c r="AN373">
        <f>IF(AK373="","",AK373-2*AL373)</f>
        <v>0</v>
      </c>
      <c r="AO373">
        <f>IF(OR(AM373="",AN373="",AM373=AN373),"",($E373-AN373)/(AM373-AN373))</f>
        <v>0</v>
      </c>
      <c r="AP373">
        <f>IF(OR(AM373="",AK373="",AK373=0),"",(AM373-AN373)/AK373)</f>
        <v>0</v>
      </c>
      <c r="AQ373">
        <f>IF(COUNT($E$2:$E373)&lt;20,"",MAX($C$354:$C$373))</f>
        <v>0</v>
      </c>
      <c r="AR373">
        <f>IF(COUNT($E$2:$E373)&lt;20,"",MIN($D$354:$D$373))</f>
        <v>0</v>
      </c>
      <c r="AS373">
        <f>IF(OR(AQ373="",AR373=""),"",(AQ373+AR373)/2)</f>
        <v>0</v>
      </c>
      <c r="AT373">
        <f>IF(COUNT($G$354:$G$373)&lt;20,"",STDEV($G$354:$G$373)*SQRT(252))</f>
        <v>0</v>
      </c>
      <c r="AU373">
        <f>IF(COUNT($E$2:$E373)&lt;9,"",(MAX($C$365:$C$373)+MIN($D$365:$D$373))/2)</f>
        <v>0</v>
      </c>
      <c r="AV373">
        <f>IF(COUNT($E$2:$E373)&lt;26,"",(MAX($C$348:$C$373)+MIN($D$348:$D$373))/2)</f>
        <v>0</v>
      </c>
      <c r="AW373">
        <f>IF(OR(AU373="",AV373=""),"",(AU373+AV373)/2)</f>
        <v>0</v>
      </c>
      <c r="AX373">
        <f>IF(COUNT($E$2:$E373)&lt;52,"",(MAX($C$322:$C$373)+MIN($D$322:$D$373))/2)</f>
        <v>0</v>
      </c>
      <c r="AY373">
        <f>IF(COUNT($E$2:$E373)&lt;20,"",MAX($C$274:$C$373))</f>
        <v>0</v>
      </c>
      <c r="AZ373">
        <f>IF(COUNT($E$2:$E373)&lt;20,"",MIN($D$274:$D$373))</f>
        <v>0</v>
      </c>
      <c r="BA373">
        <f>IF(COUNT($E$2:$E373)&lt;20,"",SLOPE($E$274:$E$373,$F$274:$F$373))</f>
        <v>0</v>
      </c>
      <c r="BB373">
        <f>IF(COUNT($E$2:$E373)&lt;20,"",INTERCEPT($E$274:$E$373,$F$274:$F$373))</f>
        <v>0</v>
      </c>
      <c r="BC373">
        <f>IF(OR(BA373="",BB373=""),"",BB373+BA373*F373)</f>
        <v>0</v>
      </c>
      <c r="BD373">
        <f>IF(COUNT($E$2:$E373)&lt;20,"",STEYX($E$274:$E$373,$F$274:$F$373))</f>
        <v>0</v>
      </c>
      <c r="BE373">
        <f>IF($E373="","",IF(AND(COUNT($E$374:$E$377)&gt;=4,$C373=MAX($C$369:$C$377)),$C373,""))</f>
        <v>0</v>
      </c>
      <c r="BF373">
        <f>IF($E373="","",IF(AND(COUNT($E$374:$E$377)&gt;=4,$D373=MIN($D$369:$D$377)),$D373,""))</f>
        <v>0</v>
      </c>
      <c r="BG373">
        <f>IF($A373="","",$A373-WEEKDAY($A373,2)+1)</f>
        <v>0</v>
      </c>
      <c r="BH373">
        <f>IF($A373="","",IF($A372="",1,IF(BG373&lt;&gt;BG372,1,0)))</f>
        <v>0</v>
      </c>
      <c r="BI373">
        <f>IF($A373="","",IF($A374="",1,IF(BG374&lt;&gt;BG373,1,0)))</f>
        <v>0</v>
      </c>
      <c r="BJ373">
        <f>IF($A373="","",IF(BH373=1,$B373,BJ372))</f>
        <v>0</v>
      </c>
      <c r="BK373">
        <f>IF($A373="","",IF(BH373=1,$C373,MAX($C373,BK372)))</f>
        <v>0</v>
      </c>
      <c r="BL373">
        <f>IF($A373="","",IF(BH373=1,$D373,MIN($D373,BL372)))</f>
        <v>0</v>
      </c>
      <c r="BM373">
        <f>IF($A373="","",IF(BI373=1,F373,""))</f>
        <v>0</v>
      </c>
      <c r="BN373">
        <f>IF($A373="","",DATE(YEAR($A373),MONTH($A373),1))</f>
        <v>0</v>
      </c>
      <c r="BO373">
        <f>IF($A373="","",IF($A372="",1,IF(BN373&lt;&gt;BN372,1,0)))</f>
        <v>0</v>
      </c>
      <c r="BP373">
        <f>IF($A373="","",IF($A374="",1,IF(BN374&lt;&gt;BN373,1,0)))</f>
        <v>0</v>
      </c>
      <c r="BQ373">
        <f>IF($A373="","",IF(BO373=1,$B373,BQ372))</f>
        <v>0</v>
      </c>
      <c r="BR373">
        <f>IF($A373="","",IF(BO373=1,$C373,MAX($C373,BR372)))</f>
        <v>0</v>
      </c>
      <c r="BS373">
        <f>IF($A373="","",IF(BO373=1,$D373,MIN($D373,BS372)))</f>
        <v>0</v>
      </c>
      <c r="BT373">
        <f>IF($A373="","",IF(BP373=1,F373,""))</f>
        <v>0</v>
      </c>
    </row>
    <row r="374" spans="1:72">
      <c r="A374" s="27">
        <f>IF(Data!$A374="","",Data!$A374)</f>
        <v>0</v>
      </c>
      <c r="B374">
        <f>IF(Data!$B374="","",Data!$B374)</f>
        <v>0</v>
      </c>
      <c r="C374">
        <f>IF(Data!$C374="","",Data!$C374)</f>
        <v>0</v>
      </c>
      <c r="D374">
        <f>IF(Data!$D374="","",Data!$D374)</f>
        <v>0</v>
      </c>
      <c r="E374">
        <f>IF(Data!$E374="","",Data!$E374)</f>
        <v>0</v>
      </c>
      <c r="F374">
        <f>IF($E374="","",N(F373)+1)</f>
        <v>0</v>
      </c>
      <c r="G374">
        <f>IF(OR($E374="",$E373=""),"",LN($E374/$E373))</f>
        <v>0</v>
      </c>
      <c r="H374">
        <f>IF($E374="","",IF($E373="",$E374,$E374*0.0952380952+H373*0.9047619048))</f>
        <v>0</v>
      </c>
      <c r="I374">
        <f>IF($E374="","",IF($E373="",$E374,$E374*0.0392156863+I373*0.9607843137))</f>
        <v>0</v>
      </c>
      <c r="J374">
        <f>IF($E374="","",IF($E373="",$E374,$E374*0.0198019802+J373*0.9801980198))</f>
        <v>0</v>
      </c>
      <c r="K374">
        <f>IF($E374="","",IF($E373="",$E374,$E374*0.0099502488+K373*0.9900497512))</f>
        <v>0</v>
      </c>
      <c r="L374">
        <f>IF(OR($E374="",$E373=""),"",MAX($E374-$E373,0))</f>
        <v>0</v>
      </c>
      <c r="M374">
        <f>IF(OR($E374="",$E373=""),"",MAX($E373-$E374,0))</f>
        <v>0</v>
      </c>
      <c r="N374">
        <f>IF(COUNT($E$2:$E374)&lt;15,"",IF(AVERAGE($M$361:$M$374)=0,100,100-100/(1+AVERAGE($L$361:$L$374)/AVERAGE($M$361:$M$374))))</f>
        <v>0</v>
      </c>
      <c r="O374">
        <f>IF($E374="","",IF($E373="",$E374,$E374*0.1538461538+O373*0.8461538462))</f>
        <v>0</v>
      </c>
      <c r="P374">
        <f>IF($E374="","",IF($E373="",$E374,$E374*0.0740740741+P373*0.9259259259))</f>
        <v>0</v>
      </c>
      <c r="Q374">
        <f>IF(OR(O374="",P374=""),"",O374-P374)</f>
        <v>0</v>
      </c>
      <c r="R374">
        <f>IF(Q374="","",IF(R373="",Q374,Q374*0.2000000000+R373*0.8000000000))</f>
        <v>0</v>
      </c>
      <c r="S374">
        <f>IF(OR(Q374="",R374=""),"",Q374-R374)</f>
        <v>0</v>
      </c>
      <c r="T374">
        <f>IF(COUNT($E$2:$E374)&lt;14,"",MAX($C$361:$C$374))</f>
        <v>0</v>
      </c>
      <c r="U374">
        <f>IF(COUNT($E$2:$E374)&lt;14,"",MIN($D$361:$D$374))</f>
        <v>0</v>
      </c>
      <c r="V374">
        <f>IF(OR(T374="",U374="",T374=U374),"",100*($E374-U374)/(T374-U374))</f>
        <v>0</v>
      </c>
      <c r="W374">
        <f>IF(COUNT($V$372:$V$374)&lt;3,"",AVERAGE($V$372:$V$374))</f>
        <v>0</v>
      </c>
      <c r="X374">
        <f>IF(COUNT($N$361:$N$374)&lt;14,"",MIN($N$361:$N$374))</f>
        <v>0</v>
      </c>
      <c r="Y374">
        <f>IF(COUNT($N$361:$N$374)&lt;14,"",MAX($N$361:$N$374))</f>
        <v>0</v>
      </c>
      <c r="Z374">
        <f>IF(OR(N374="",X374="",Y374="",Y374=X374),"",100*(N374-X374)/(Y374-X374))</f>
        <v>0</v>
      </c>
      <c r="AA374">
        <f>IF(COUNT($Z$372:$Z$374)&lt;3,"",AVERAGE($Z$372:$Z$374))</f>
        <v>0</v>
      </c>
      <c r="AB374">
        <f>IF(COUNT($AA$372:$AA$374)&lt;3,"",AVERAGE($AA$372:$AA$374))</f>
        <v>0</v>
      </c>
      <c r="AC374">
        <f>IF($E374="","",MAX($C374-$D374,ABS($C374-$E373),ABS($D374-$E373)))</f>
        <v>0</v>
      </c>
      <c r="AD374">
        <f>IF(COUNT($E$2:$E374)&lt;15,"",AVERAGE($AC$361:$AC$374))</f>
        <v>0</v>
      </c>
      <c r="AE374">
        <f>IF(OR($E374="",$E373=""),"",IF(AND(($C374-$C373)&gt;($D373-$D374),($C374-$C373)&gt;0),$C374-$C373,0))</f>
        <v>0</v>
      </c>
      <c r="AF374">
        <f>IF(OR($E374="",$E373=""),"",IF(AND(($D373-$D374)&gt;($C374-$C373),($D373-$D374)&gt;0),$D373-$D374,0))</f>
        <v>0</v>
      </c>
      <c r="AG374">
        <f>IF(COUNT($E$2:$E374)&lt;15,"",IF(SUM($AC$361:$AC$374)=0,0,100*SUM($AE$361:$AE$374)/SUM($AC$361:$AC$374)))</f>
        <v>0</v>
      </c>
      <c r="AH374">
        <f>IF(COUNT($E$2:$E374)&lt;15,"",IF(SUM($AC$361:$AC$374)=0,0,100*SUM($AF$361:$AF$374)/SUM($AC$361:$AC$374)))</f>
        <v>0</v>
      </c>
      <c r="AI374">
        <f>IF(OR(AG374="",AH374=""),"",IF((AG374+AH374)=0,0,100*ABS(AG374-AH374)/(AG374+AH374)))</f>
        <v>0</v>
      </c>
      <c r="AJ374">
        <f>IF(COUNT($AI$361:$AI$374)&lt;14,"",AVERAGE($AI$361:$AI$374))</f>
        <v>0</v>
      </c>
      <c r="AK374">
        <f>IF(COUNT($E$2:$E374)&lt;20,"",AVERAGE($E$355:$E$374))</f>
        <v>0</v>
      </c>
      <c r="AL374">
        <f>IF(COUNT($E$2:$E374)&lt;20,"",STDEVP($E$355:$E$374))</f>
        <v>0</v>
      </c>
      <c r="AM374">
        <f>IF(AK374="","",AK374+2*AL374)</f>
        <v>0</v>
      </c>
      <c r="AN374">
        <f>IF(AK374="","",AK374-2*AL374)</f>
        <v>0</v>
      </c>
      <c r="AO374">
        <f>IF(OR(AM374="",AN374="",AM374=AN374),"",($E374-AN374)/(AM374-AN374))</f>
        <v>0</v>
      </c>
      <c r="AP374">
        <f>IF(OR(AM374="",AK374="",AK374=0),"",(AM374-AN374)/AK374)</f>
        <v>0</v>
      </c>
      <c r="AQ374">
        <f>IF(COUNT($E$2:$E374)&lt;20,"",MAX($C$355:$C$374))</f>
        <v>0</v>
      </c>
      <c r="AR374">
        <f>IF(COUNT($E$2:$E374)&lt;20,"",MIN($D$355:$D$374))</f>
        <v>0</v>
      </c>
      <c r="AS374">
        <f>IF(OR(AQ374="",AR374=""),"",(AQ374+AR374)/2)</f>
        <v>0</v>
      </c>
      <c r="AT374">
        <f>IF(COUNT($G$355:$G$374)&lt;20,"",STDEV($G$355:$G$374)*SQRT(252))</f>
        <v>0</v>
      </c>
      <c r="AU374">
        <f>IF(COUNT($E$2:$E374)&lt;9,"",(MAX($C$366:$C$374)+MIN($D$366:$D$374))/2)</f>
        <v>0</v>
      </c>
      <c r="AV374">
        <f>IF(COUNT($E$2:$E374)&lt;26,"",(MAX($C$349:$C$374)+MIN($D$349:$D$374))/2)</f>
        <v>0</v>
      </c>
      <c r="AW374">
        <f>IF(OR(AU374="",AV374=""),"",(AU374+AV374)/2)</f>
        <v>0</v>
      </c>
      <c r="AX374">
        <f>IF(COUNT($E$2:$E374)&lt;52,"",(MAX($C$323:$C$374)+MIN($D$323:$D$374))/2)</f>
        <v>0</v>
      </c>
      <c r="AY374">
        <f>IF(COUNT($E$2:$E374)&lt;20,"",MAX($C$275:$C$374))</f>
        <v>0</v>
      </c>
      <c r="AZ374">
        <f>IF(COUNT($E$2:$E374)&lt;20,"",MIN($D$275:$D$374))</f>
        <v>0</v>
      </c>
      <c r="BA374">
        <f>IF(COUNT($E$2:$E374)&lt;20,"",SLOPE($E$275:$E$374,$F$275:$F$374))</f>
        <v>0</v>
      </c>
      <c r="BB374">
        <f>IF(COUNT($E$2:$E374)&lt;20,"",INTERCEPT($E$275:$E$374,$F$275:$F$374))</f>
        <v>0</v>
      </c>
      <c r="BC374">
        <f>IF(OR(BA374="",BB374=""),"",BB374+BA374*F374)</f>
        <v>0</v>
      </c>
      <c r="BD374">
        <f>IF(COUNT($E$2:$E374)&lt;20,"",STEYX($E$275:$E$374,$F$275:$F$374))</f>
        <v>0</v>
      </c>
      <c r="BE374">
        <f>IF($E374="","",IF(AND(COUNT($E$375:$E$378)&gt;=4,$C374=MAX($C$370:$C$378)),$C374,""))</f>
        <v>0</v>
      </c>
      <c r="BF374">
        <f>IF($E374="","",IF(AND(COUNT($E$375:$E$378)&gt;=4,$D374=MIN($D$370:$D$378)),$D374,""))</f>
        <v>0</v>
      </c>
      <c r="BG374">
        <f>IF($A374="","",$A374-WEEKDAY($A374,2)+1)</f>
        <v>0</v>
      </c>
      <c r="BH374">
        <f>IF($A374="","",IF($A373="",1,IF(BG374&lt;&gt;BG373,1,0)))</f>
        <v>0</v>
      </c>
      <c r="BI374">
        <f>IF($A374="","",IF($A375="",1,IF(BG375&lt;&gt;BG374,1,0)))</f>
        <v>0</v>
      </c>
      <c r="BJ374">
        <f>IF($A374="","",IF(BH374=1,$B374,BJ373))</f>
        <v>0</v>
      </c>
      <c r="BK374">
        <f>IF($A374="","",IF(BH374=1,$C374,MAX($C374,BK373)))</f>
        <v>0</v>
      </c>
      <c r="BL374">
        <f>IF($A374="","",IF(BH374=1,$D374,MIN($D374,BL373)))</f>
        <v>0</v>
      </c>
      <c r="BM374">
        <f>IF($A374="","",IF(BI374=1,F374,""))</f>
        <v>0</v>
      </c>
      <c r="BN374">
        <f>IF($A374="","",DATE(YEAR($A374),MONTH($A374),1))</f>
        <v>0</v>
      </c>
      <c r="BO374">
        <f>IF($A374="","",IF($A373="",1,IF(BN374&lt;&gt;BN373,1,0)))</f>
        <v>0</v>
      </c>
      <c r="BP374">
        <f>IF($A374="","",IF($A375="",1,IF(BN375&lt;&gt;BN374,1,0)))</f>
        <v>0</v>
      </c>
      <c r="BQ374">
        <f>IF($A374="","",IF(BO374=1,$B374,BQ373))</f>
        <v>0</v>
      </c>
      <c r="BR374">
        <f>IF($A374="","",IF(BO374=1,$C374,MAX($C374,BR373)))</f>
        <v>0</v>
      </c>
      <c r="BS374">
        <f>IF($A374="","",IF(BO374=1,$D374,MIN($D374,BS373)))</f>
        <v>0</v>
      </c>
      <c r="BT374">
        <f>IF($A374="","",IF(BP374=1,F374,""))</f>
        <v>0</v>
      </c>
    </row>
    <row r="375" spans="1:72">
      <c r="A375" s="27">
        <f>IF(Data!$A375="","",Data!$A375)</f>
        <v>0</v>
      </c>
      <c r="B375">
        <f>IF(Data!$B375="","",Data!$B375)</f>
        <v>0</v>
      </c>
      <c r="C375">
        <f>IF(Data!$C375="","",Data!$C375)</f>
        <v>0</v>
      </c>
      <c r="D375">
        <f>IF(Data!$D375="","",Data!$D375)</f>
        <v>0</v>
      </c>
      <c r="E375">
        <f>IF(Data!$E375="","",Data!$E375)</f>
        <v>0</v>
      </c>
      <c r="F375">
        <f>IF($E375="","",N(F374)+1)</f>
        <v>0</v>
      </c>
      <c r="G375">
        <f>IF(OR($E375="",$E374=""),"",LN($E375/$E374))</f>
        <v>0</v>
      </c>
      <c r="H375">
        <f>IF($E375="","",IF($E374="",$E375,$E375*0.0952380952+H374*0.9047619048))</f>
        <v>0</v>
      </c>
      <c r="I375">
        <f>IF($E375="","",IF($E374="",$E375,$E375*0.0392156863+I374*0.9607843137))</f>
        <v>0</v>
      </c>
      <c r="J375">
        <f>IF($E375="","",IF($E374="",$E375,$E375*0.0198019802+J374*0.9801980198))</f>
        <v>0</v>
      </c>
      <c r="K375">
        <f>IF($E375="","",IF($E374="",$E375,$E375*0.0099502488+K374*0.9900497512))</f>
        <v>0</v>
      </c>
      <c r="L375">
        <f>IF(OR($E375="",$E374=""),"",MAX($E375-$E374,0))</f>
        <v>0</v>
      </c>
      <c r="M375">
        <f>IF(OR($E375="",$E374=""),"",MAX($E374-$E375,0))</f>
        <v>0</v>
      </c>
      <c r="N375">
        <f>IF(COUNT($E$2:$E375)&lt;15,"",IF(AVERAGE($M$362:$M$375)=0,100,100-100/(1+AVERAGE($L$362:$L$375)/AVERAGE($M$362:$M$375))))</f>
        <v>0</v>
      </c>
      <c r="O375">
        <f>IF($E375="","",IF($E374="",$E375,$E375*0.1538461538+O374*0.8461538462))</f>
        <v>0</v>
      </c>
      <c r="P375">
        <f>IF($E375="","",IF($E374="",$E375,$E375*0.0740740741+P374*0.9259259259))</f>
        <v>0</v>
      </c>
      <c r="Q375">
        <f>IF(OR(O375="",P375=""),"",O375-P375)</f>
        <v>0</v>
      </c>
      <c r="R375">
        <f>IF(Q375="","",IF(R374="",Q375,Q375*0.2000000000+R374*0.8000000000))</f>
        <v>0</v>
      </c>
      <c r="S375">
        <f>IF(OR(Q375="",R375=""),"",Q375-R375)</f>
        <v>0</v>
      </c>
      <c r="T375">
        <f>IF(COUNT($E$2:$E375)&lt;14,"",MAX($C$362:$C$375))</f>
        <v>0</v>
      </c>
      <c r="U375">
        <f>IF(COUNT($E$2:$E375)&lt;14,"",MIN($D$362:$D$375))</f>
        <v>0</v>
      </c>
      <c r="V375">
        <f>IF(OR(T375="",U375="",T375=U375),"",100*($E375-U375)/(T375-U375))</f>
        <v>0</v>
      </c>
      <c r="W375">
        <f>IF(COUNT($V$373:$V$375)&lt;3,"",AVERAGE($V$373:$V$375))</f>
        <v>0</v>
      </c>
      <c r="X375">
        <f>IF(COUNT($N$362:$N$375)&lt;14,"",MIN($N$362:$N$375))</f>
        <v>0</v>
      </c>
      <c r="Y375">
        <f>IF(COUNT($N$362:$N$375)&lt;14,"",MAX($N$362:$N$375))</f>
        <v>0</v>
      </c>
      <c r="Z375">
        <f>IF(OR(N375="",X375="",Y375="",Y375=X375),"",100*(N375-X375)/(Y375-X375))</f>
        <v>0</v>
      </c>
      <c r="AA375">
        <f>IF(COUNT($Z$373:$Z$375)&lt;3,"",AVERAGE($Z$373:$Z$375))</f>
        <v>0</v>
      </c>
      <c r="AB375">
        <f>IF(COUNT($AA$373:$AA$375)&lt;3,"",AVERAGE($AA$373:$AA$375))</f>
        <v>0</v>
      </c>
      <c r="AC375">
        <f>IF($E375="","",MAX($C375-$D375,ABS($C375-$E374),ABS($D375-$E374)))</f>
        <v>0</v>
      </c>
      <c r="AD375">
        <f>IF(COUNT($E$2:$E375)&lt;15,"",AVERAGE($AC$362:$AC$375))</f>
        <v>0</v>
      </c>
      <c r="AE375">
        <f>IF(OR($E375="",$E374=""),"",IF(AND(($C375-$C374)&gt;($D374-$D375),($C375-$C374)&gt;0),$C375-$C374,0))</f>
        <v>0</v>
      </c>
      <c r="AF375">
        <f>IF(OR($E375="",$E374=""),"",IF(AND(($D374-$D375)&gt;($C375-$C374),($D374-$D375)&gt;0),$D374-$D375,0))</f>
        <v>0</v>
      </c>
      <c r="AG375">
        <f>IF(COUNT($E$2:$E375)&lt;15,"",IF(SUM($AC$362:$AC$375)=0,0,100*SUM($AE$362:$AE$375)/SUM($AC$362:$AC$375)))</f>
        <v>0</v>
      </c>
      <c r="AH375">
        <f>IF(COUNT($E$2:$E375)&lt;15,"",IF(SUM($AC$362:$AC$375)=0,0,100*SUM($AF$362:$AF$375)/SUM($AC$362:$AC$375)))</f>
        <v>0</v>
      </c>
      <c r="AI375">
        <f>IF(OR(AG375="",AH375=""),"",IF((AG375+AH375)=0,0,100*ABS(AG375-AH375)/(AG375+AH375)))</f>
        <v>0</v>
      </c>
      <c r="AJ375">
        <f>IF(COUNT($AI$362:$AI$375)&lt;14,"",AVERAGE($AI$362:$AI$375))</f>
        <v>0</v>
      </c>
      <c r="AK375">
        <f>IF(COUNT($E$2:$E375)&lt;20,"",AVERAGE($E$356:$E$375))</f>
        <v>0</v>
      </c>
      <c r="AL375">
        <f>IF(COUNT($E$2:$E375)&lt;20,"",STDEVP($E$356:$E$375))</f>
        <v>0</v>
      </c>
      <c r="AM375">
        <f>IF(AK375="","",AK375+2*AL375)</f>
        <v>0</v>
      </c>
      <c r="AN375">
        <f>IF(AK375="","",AK375-2*AL375)</f>
        <v>0</v>
      </c>
      <c r="AO375">
        <f>IF(OR(AM375="",AN375="",AM375=AN375),"",($E375-AN375)/(AM375-AN375))</f>
        <v>0</v>
      </c>
      <c r="AP375">
        <f>IF(OR(AM375="",AK375="",AK375=0),"",(AM375-AN375)/AK375)</f>
        <v>0</v>
      </c>
      <c r="AQ375">
        <f>IF(COUNT($E$2:$E375)&lt;20,"",MAX($C$356:$C$375))</f>
        <v>0</v>
      </c>
      <c r="AR375">
        <f>IF(COUNT($E$2:$E375)&lt;20,"",MIN($D$356:$D$375))</f>
        <v>0</v>
      </c>
      <c r="AS375">
        <f>IF(OR(AQ375="",AR375=""),"",(AQ375+AR375)/2)</f>
        <v>0</v>
      </c>
      <c r="AT375">
        <f>IF(COUNT($G$356:$G$375)&lt;20,"",STDEV($G$356:$G$375)*SQRT(252))</f>
        <v>0</v>
      </c>
      <c r="AU375">
        <f>IF(COUNT($E$2:$E375)&lt;9,"",(MAX($C$367:$C$375)+MIN($D$367:$D$375))/2)</f>
        <v>0</v>
      </c>
      <c r="AV375">
        <f>IF(COUNT($E$2:$E375)&lt;26,"",(MAX($C$350:$C$375)+MIN($D$350:$D$375))/2)</f>
        <v>0</v>
      </c>
      <c r="AW375">
        <f>IF(OR(AU375="",AV375=""),"",(AU375+AV375)/2)</f>
        <v>0</v>
      </c>
      <c r="AX375">
        <f>IF(COUNT($E$2:$E375)&lt;52,"",(MAX($C$324:$C$375)+MIN($D$324:$D$375))/2)</f>
        <v>0</v>
      </c>
      <c r="AY375">
        <f>IF(COUNT($E$2:$E375)&lt;20,"",MAX($C$276:$C$375))</f>
        <v>0</v>
      </c>
      <c r="AZ375">
        <f>IF(COUNT($E$2:$E375)&lt;20,"",MIN($D$276:$D$375))</f>
        <v>0</v>
      </c>
      <c r="BA375">
        <f>IF(COUNT($E$2:$E375)&lt;20,"",SLOPE($E$276:$E$375,$F$276:$F$375))</f>
        <v>0</v>
      </c>
      <c r="BB375">
        <f>IF(COUNT($E$2:$E375)&lt;20,"",INTERCEPT($E$276:$E$375,$F$276:$F$375))</f>
        <v>0</v>
      </c>
      <c r="BC375">
        <f>IF(OR(BA375="",BB375=""),"",BB375+BA375*F375)</f>
        <v>0</v>
      </c>
      <c r="BD375">
        <f>IF(COUNT($E$2:$E375)&lt;20,"",STEYX($E$276:$E$375,$F$276:$F$375))</f>
        <v>0</v>
      </c>
      <c r="BE375">
        <f>IF($E375="","",IF(AND(COUNT($E$376:$E$379)&gt;=4,$C375=MAX($C$371:$C$379)),$C375,""))</f>
        <v>0</v>
      </c>
      <c r="BF375">
        <f>IF($E375="","",IF(AND(COUNT($E$376:$E$379)&gt;=4,$D375=MIN($D$371:$D$379)),$D375,""))</f>
        <v>0</v>
      </c>
      <c r="BG375">
        <f>IF($A375="","",$A375-WEEKDAY($A375,2)+1)</f>
        <v>0</v>
      </c>
      <c r="BH375">
        <f>IF($A375="","",IF($A374="",1,IF(BG375&lt;&gt;BG374,1,0)))</f>
        <v>0</v>
      </c>
      <c r="BI375">
        <f>IF($A375="","",IF($A376="",1,IF(BG376&lt;&gt;BG375,1,0)))</f>
        <v>0</v>
      </c>
      <c r="BJ375">
        <f>IF($A375="","",IF(BH375=1,$B375,BJ374))</f>
        <v>0</v>
      </c>
      <c r="BK375">
        <f>IF($A375="","",IF(BH375=1,$C375,MAX($C375,BK374)))</f>
        <v>0</v>
      </c>
      <c r="BL375">
        <f>IF($A375="","",IF(BH375=1,$D375,MIN($D375,BL374)))</f>
        <v>0</v>
      </c>
      <c r="BM375">
        <f>IF($A375="","",IF(BI375=1,F375,""))</f>
        <v>0</v>
      </c>
      <c r="BN375">
        <f>IF($A375="","",DATE(YEAR($A375),MONTH($A375),1))</f>
        <v>0</v>
      </c>
      <c r="BO375">
        <f>IF($A375="","",IF($A374="",1,IF(BN375&lt;&gt;BN374,1,0)))</f>
        <v>0</v>
      </c>
      <c r="BP375">
        <f>IF($A375="","",IF($A376="",1,IF(BN376&lt;&gt;BN375,1,0)))</f>
        <v>0</v>
      </c>
      <c r="BQ375">
        <f>IF($A375="","",IF(BO375=1,$B375,BQ374))</f>
        <v>0</v>
      </c>
      <c r="BR375">
        <f>IF($A375="","",IF(BO375=1,$C375,MAX($C375,BR374)))</f>
        <v>0</v>
      </c>
      <c r="BS375">
        <f>IF($A375="","",IF(BO375=1,$D375,MIN($D375,BS374)))</f>
        <v>0</v>
      </c>
      <c r="BT375">
        <f>IF($A375="","",IF(BP375=1,F375,""))</f>
        <v>0</v>
      </c>
    </row>
    <row r="376" spans="1:72">
      <c r="A376" s="27">
        <f>IF(Data!$A376="","",Data!$A376)</f>
        <v>0</v>
      </c>
      <c r="B376">
        <f>IF(Data!$B376="","",Data!$B376)</f>
        <v>0</v>
      </c>
      <c r="C376">
        <f>IF(Data!$C376="","",Data!$C376)</f>
        <v>0</v>
      </c>
      <c r="D376">
        <f>IF(Data!$D376="","",Data!$D376)</f>
        <v>0</v>
      </c>
      <c r="E376">
        <f>IF(Data!$E376="","",Data!$E376)</f>
        <v>0</v>
      </c>
      <c r="F376">
        <f>IF($E376="","",N(F375)+1)</f>
        <v>0</v>
      </c>
      <c r="G376">
        <f>IF(OR($E376="",$E375=""),"",LN($E376/$E375))</f>
        <v>0</v>
      </c>
      <c r="H376">
        <f>IF($E376="","",IF($E375="",$E376,$E376*0.0952380952+H375*0.9047619048))</f>
        <v>0</v>
      </c>
      <c r="I376">
        <f>IF($E376="","",IF($E375="",$E376,$E376*0.0392156863+I375*0.9607843137))</f>
        <v>0</v>
      </c>
      <c r="J376">
        <f>IF($E376="","",IF($E375="",$E376,$E376*0.0198019802+J375*0.9801980198))</f>
        <v>0</v>
      </c>
      <c r="K376">
        <f>IF($E376="","",IF($E375="",$E376,$E376*0.0099502488+K375*0.9900497512))</f>
        <v>0</v>
      </c>
      <c r="L376">
        <f>IF(OR($E376="",$E375=""),"",MAX($E376-$E375,0))</f>
        <v>0</v>
      </c>
      <c r="M376">
        <f>IF(OR($E376="",$E375=""),"",MAX($E375-$E376,0))</f>
        <v>0</v>
      </c>
      <c r="N376">
        <f>IF(COUNT($E$2:$E376)&lt;15,"",IF(AVERAGE($M$363:$M$376)=0,100,100-100/(1+AVERAGE($L$363:$L$376)/AVERAGE($M$363:$M$376))))</f>
        <v>0</v>
      </c>
      <c r="O376">
        <f>IF($E376="","",IF($E375="",$E376,$E376*0.1538461538+O375*0.8461538462))</f>
        <v>0</v>
      </c>
      <c r="P376">
        <f>IF($E376="","",IF($E375="",$E376,$E376*0.0740740741+P375*0.9259259259))</f>
        <v>0</v>
      </c>
      <c r="Q376">
        <f>IF(OR(O376="",P376=""),"",O376-P376)</f>
        <v>0</v>
      </c>
      <c r="R376">
        <f>IF(Q376="","",IF(R375="",Q376,Q376*0.2000000000+R375*0.8000000000))</f>
        <v>0</v>
      </c>
      <c r="S376">
        <f>IF(OR(Q376="",R376=""),"",Q376-R376)</f>
        <v>0</v>
      </c>
      <c r="T376">
        <f>IF(COUNT($E$2:$E376)&lt;14,"",MAX($C$363:$C$376))</f>
        <v>0</v>
      </c>
      <c r="U376">
        <f>IF(COUNT($E$2:$E376)&lt;14,"",MIN($D$363:$D$376))</f>
        <v>0</v>
      </c>
      <c r="V376">
        <f>IF(OR(T376="",U376="",T376=U376),"",100*($E376-U376)/(T376-U376))</f>
        <v>0</v>
      </c>
      <c r="W376">
        <f>IF(COUNT($V$374:$V$376)&lt;3,"",AVERAGE($V$374:$V$376))</f>
        <v>0</v>
      </c>
      <c r="X376">
        <f>IF(COUNT($N$363:$N$376)&lt;14,"",MIN($N$363:$N$376))</f>
        <v>0</v>
      </c>
      <c r="Y376">
        <f>IF(COUNT($N$363:$N$376)&lt;14,"",MAX($N$363:$N$376))</f>
        <v>0</v>
      </c>
      <c r="Z376">
        <f>IF(OR(N376="",X376="",Y376="",Y376=X376),"",100*(N376-X376)/(Y376-X376))</f>
        <v>0</v>
      </c>
      <c r="AA376">
        <f>IF(COUNT($Z$374:$Z$376)&lt;3,"",AVERAGE($Z$374:$Z$376))</f>
        <v>0</v>
      </c>
      <c r="AB376">
        <f>IF(COUNT($AA$374:$AA$376)&lt;3,"",AVERAGE($AA$374:$AA$376))</f>
        <v>0</v>
      </c>
      <c r="AC376">
        <f>IF($E376="","",MAX($C376-$D376,ABS($C376-$E375),ABS($D376-$E375)))</f>
        <v>0</v>
      </c>
      <c r="AD376">
        <f>IF(COUNT($E$2:$E376)&lt;15,"",AVERAGE($AC$363:$AC$376))</f>
        <v>0</v>
      </c>
      <c r="AE376">
        <f>IF(OR($E376="",$E375=""),"",IF(AND(($C376-$C375)&gt;($D375-$D376),($C376-$C375)&gt;0),$C376-$C375,0))</f>
        <v>0</v>
      </c>
      <c r="AF376">
        <f>IF(OR($E376="",$E375=""),"",IF(AND(($D375-$D376)&gt;($C376-$C375),($D375-$D376)&gt;0),$D375-$D376,0))</f>
        <v>0</v>
      </c>
      <c r="AG376">
        <f>IF(COUNT($E$2:$E376)&lt;15,"",IF(SUM($AC$363:$AC$376)=0,0,100*SUM($AE$363:$AE$376)/SUM($AC$363:$AC$376)))</f>
        <v>0</v>
      </c>
      <c r="AH376">
        <f>IF(COUNT($E$2:$E376)&lt;15,"",IF(SUM($AC$363:$AC$376)=0,0,100*SUM($AF$363:$AF$376)/SUM($AC$363:$AC$376)))</f>
        <v>0</v>
      </c>
      <c r="AI376">
        <f>IF(OR(AG376="",AH376=""),"",IF((AG376+AH376)=0,0,100*ABS(AG376-AH376)/(AG376+AH376)))</f>
        <v>0</v>
      </c>
      <c r="AJ376">
        <f>IF(COUNT($AI$363:$AI$376)&lt;14,"",AVERAGE($AI$363:$AI$376))</f>
        <v>0</v>
      </c>
      <c r="AK376">
        <f>IF(COUNT($E$2:$E376)&lt;20,"",AVERAGE($E$357:$E$376))</f>
        <v>0</v>
      </c>
      <c r="AL376">
        <f>IF(COUNT($E$2:$E376)&lt;20,"",STDEVP($E$357:$E$376))</f>
        <v>0</v>
      </c>
      <c r="AM376">
        <f>IF(AK376="","",AK376+2*AL376)</f>
        <v>0</v>
      </c>
      <c r="AN376">
        <f>IF(AK376="","",AK376-2*AL376)</f>
        <v>0</v>
      </c>
      <c r="AO376">
        <f>IF(OR(AM376="",AN376="",AM376=AN376),"",($E376-AN376)/(AM376-AN376))</f>
        <v>0</v>
      </c>
      <c r="AP376">
        <f>IF(OR(AM376="",AK376="",AK376=0),"",(AM376-AN376)/AK376)</f>
        <v>0</v>
      </c>
      <c r="AQ376">
        <f>IF(COUNT($E$2:$E376)&lt;20,"",MAX($C$357:$C$376))</f>
        <v>0</v>
      </c>
      <c r="AR376">
        <f>IF(COUNT($E$2:$E376)&lt;20,"",MIN($D$357:$D$376))</f>
        <v>0</v>
      </c>
      <c r="AS376">
        <f>IF(OR(AQ376="",AR376=""),"",(AQ376+AR376)/2)</f>
        <v>0</v>
      </c>
      <c r="AT376">
        <f>IF(COUNT($G$357:$G$376)&lt;20,"",STDEV($G$357:$G$376)*SQRT(252))</f>
        <v>0</v>
      </c>
      <c r="AU376">
        <f>IF(COUNT($E$2:$E376)&lt;9,"",(MAX($C$368:$C$376)+MIN($D$368:$D$376))/2)</f>
        <v>0</v>
      </c>
      <c r="AV376">
        <f>IF(COUNT($E$2:$E376)&lt;26,"",(MAX($C$351:$C$376)+MIN($D$351:$D$376))/2)</f>
        <v>0</v>
      </c>
      <c r="AW376">
        <f>IF(OR(AU376="",AV376=""),"",(AU376+AV376)/2)</f>
        <v>0</v>
      </c>
      <c r="AX376">
        <f>IF(COUNT($E$2:$E376)&lt;52,"",(MAX($C$325:$C$376)+MIN($D$325:$D$376))/2)</f>
        <v>0</v>
      </c>
      <c r="AY376">
        <f>IF(COUNT($E$2:$E376)&lt;20,"",MAX($C$277:$C$376))</f>
        <v>0</v>
      </c>
      <c r="AZ376">
        <f>IF(COUNT($E$2:$E376)&lt;20,"",MIN($D$277:$D$376))</f>
        <v>0</v>
      </c>
      <c r="BA376">
        <f>IF(COUNT($E$2:$E376)&lt;20,"",SLOPE($E$277:$E$376,$F$277:$F$376))</f>
        <v>0</v>
      </c>
      <c r="BB376">
        <f>IF(COUNT($E$2:$E376)&lt;20,"",INTERCEPT($E$277:$E$376,$F$277:$F$376))</f>
        <v>0</v>
      </c>
      <c r="BC376">
        <f>IF(OR(BA376="",BB376=""),"",BB376+BA376*F376)</f>
        <v>0</v>
      </c>
      <c r="BD376">
        <f>IF(COUNT($E$2:$E376)&lt;20,"",STEYX($E$277:$E$376,$F$277:$F$376))</f>
        <v>0</v>
      </c>
      <c r="BE376">
        <f>IF($E376="","",IF(AND(COUNT($E$377:$E$380)&gt;=4,$C376=MAX($C$372:$C$380)),$C376,""))</f>
        <v>0</v>
      </c>
      <c r="BF376">
        <f>IF($E376="","",IF(AND(COUNT($E$377:$E$380)&gt;=4,$D376=MIN($D$372:$D$380)),$D376,""))</f>
        <v>0</v>
      </c>
      <c r="BG376">
        <f>IF($A376="","",$A376-WEEKDAY($A376,2)+1)</f>
        <v>0</v>
      </c>
      <c r="BH376">
        <f>IF($A376="","",IF($A375="",1,IF(BG376&lt;&gt;BG375,1,0)))</f>
        <v>0</v>
      </c>
      <c r="BI376">
        <f>IF($A376="","",IF($A377="",1,IF(BG377&lt;&gt;BG376,1,0)))</f>
        <v>0</v>
      </c>
      <c r="BJ376">
        <f>IF($A376="","",IF(BH376=1,$B376,BJ375))</f>
        <v>0</v>
      </c>
      <c r="BK376">
        <f>IF($A376="","",IF(BH376=1,$C376,MAX($C376,BK375)))</f>
        <v>0</v>
      </c>
      <c r="BL376">
        <f>IF($A376="","",IF(BH376=1,$D376,MIN($D376,BL375)))</f>
        <v>0</v>
      </c>
      <c r="BM376">
        <f>IF($A376="","",IF(BI376=1,F376,""))</f>
        <v>0</v>
      </c>
      <c r="BN376">
        <f>IF($A376="","",DATE(YEAR($A376),MONTH($A376),1))</f>
        <v>0</v>
      </c>
      <c r="BO376">
        <f>IF($A376="","",IF($A375="",1,IF(BN376&lt;&gt;BN375,1,0)))</f>
        <v>0</v>
      </c>
      <c r="BP376">
        <f>IF($A376="","",IF($A377="",1,IF(BN377&lt;&gt;BN376,1,0)))</f>
        <v>0</v>
      </c>
      <c r="BQ376">
        <f>IF($A376="","",IF(BO376=1,$B376,BQ375))</f>
        <v>0</v>
      </c>
      <c r="BR376">
        <f>IF($A376="","",IF(BO376=1,$C376,MAX($C376,BR375)))</f>
        <v>0</v>
      </c>
      <c r="BS376">
        <f>IF($A376="","",IF(BO376=1,$D376,MIN($D376,BS375)))</f>
        <v>0</v>
      </c>
      <c r="BT376">
        <f>IF($A376="","",IF(BP376=1,F376,""))</f>
        <v>0</v>
      </c>
    </row>
    <row r="377" spans="1:72">
      <c r="A377" s="27">
        <f>IF(Data!$A377="","",Data!$A377)</f>
        <v>0</v>
      </c>
      <c r="B377">
        <f>IF(Data!$B377="","",Data!$B377)</f>
        <v>0</v>
      </c>
      <c r="C377">
        <f>IF(Data!$C377="","",Data!$C377)</f>
        <v>0</v>
      </c>
      <c r="D377">
        <f>IF(Data!$D377="","",Data!$D377)</f>
        <v>0</v>
      </c>
      <c r="E377">
        <f>IF(Data!$E377="","",Data!$E377)</f>
        <v>0</v>
      </c>
      <c r="F377">
        <f>IF($E377="","",N(F376)+1)</f>
        <v>0</v>
      </c>
      <c r="G377">
        <f>IF(OR($E377="",$E376=""),"",LN($E377/$E376))</f>
        <v>0</v>
      </c>
      <c r="H377">
        <f>IF($E377="","",IF($E376="",$E377,$E377*0.0952380952+H376*0.9047619048))</f>
        <v>0</v>
      </c>
      <c r="I377">
        <f>IF($E377="","",IF($E376="",$E377,$E377*0.0392156863+I376*0.9607843137))</f>
        <v>0</v>
      </c>
      <c r="J377">
        <f>IF($E377="","",IF($E376="",$E377,$E377*0.0198019802+J376*0.9801980198))</f>
        <v>0</v>
      </c>
      <c r="K377">
        <f>IF($E377="","",IF($E376="",$E377,$E377*0.0099502488+K376*0.9900497512))</f>
        <v>0</v>
      </c>
      <c r="L377">
        <f>IF(OR($E377="",$E376=""),"",MAX($E377-$E376,0))</f>
        <v>0</v>
      </c>
      <c r="M377">
        <f>IF(OR($E377="",$E376=""),"",MAX($E376-$E377,0))</f>
        <v>0</v>
      </c>
      <c r="N377">
        <f>IF(COUNT($E$2:$E377)&lt;15,"",IF(AVERAGE($M$364:$M$377)=0,100,100-100/(1+AVERAGE($L$364:$L$377)/AVERAGE($M$364:$M$377))))</f>
        <v>0</v>
      </c>
      <c r="O377">
        <f>IF($E377="","",IF($E376="",$E377,$E377*0.1538461538+O376*0.8461538462))</f>
        <v>0</v>
      </c>
      <c r="P377">
        <f>IF($E377="","",IF($E376="",$E377,$E377*0.0740740741+P376*0.9259259259))</f>
        <v>0</v>
      </c>
      <c r="Q377">
        <f>IF(OR(O377="",P377=""),"",O377-P377)</f>
        <v>0</v>
      </c>
      <c r="R377">
        <f>IF(Q377="","",IF(R376="",Q377,Q377*0.2000000000+R376*0.8000000000))</f>
        <v>0</v>
      </c>
      <c r="S377">
        <f>IF(OR(Q377="",R377=""),"",Q377-R377)</f>
        <v>0</v>
      </c>
      <c r="T377">
        <f>IF(COUNT($E$2:$E377)&lt;14,"",MAX($C$364:$C$377))</f>
        <v>0</v>
      </c>
      <c r="U377">
        <f>IF(COUNT($E$2:$E377)&lt;14,"",MIN($D$364:$D$377))</f>
        <v>0</v>
      </c>
      <c r="V377">
        <f>IF(OR(T377="",U377="",T377=U377),"",100*($E377-U377)/(T377-U377))</f>
        <v>0</v>
      </c>
      <c r="W377">
        <f>IF(COUNT($V$375:$V$377)&lt;3,"",AVERAGE($V$375:$V$377))</f>
        <v>0</v>
      </c>
      <c r="X377">
        <f>IF(COUNT($N$364:$N$377)&lt;14,"",MIN($N$364:$N$377))</f>
        <v>0</v>
      </c>
      <c r="Y377">
        <f>IF(COUNT($N$364:$N$377)&lt;14,"",MAX($N$364:$N$377))</f>
        <v>0</v>
      </c>
      <c r="Z377">
        <f>IF(OR(N377="",X377="",Y377="",Y377=X377),"",100*(N377-X377)/(Y377-X377))</f>
        <v>0</v>
      </c>
      <c r="AA377">
        <f>IF(COUNT($Z$375:$Z$377)&lt;3,"",AVERAGE($Z$375:$Z$377))</f>
        <v>0</v>
      </c>
      <c r="AB377">
        <f>IF(COUNT($AA$375:$AA$377)&lt;3,"",AVERAGE($AA$375:$AA$377))</f>
        <v>0</v>
      </c>
      <c r="AC377">
        <f>IF($E377="","",MAX($C377-$D377,ABS($C377-$E376),ABS($D377-$E376)))</f>
        <v>0</v>
      </c>
      <c r="AD377">
        <f>IF(COUNT($E$2:$E377)&lt;15,"",AVERAGE($AC$364:$AC$377))</f>
        <v>0</v>
      </c>
      <c r="AE377">
        <f>IF(OR($E377="",$E376=""),"",IF(AND(($C377-$C376)&gt;($D376-$D377),($C377-$C376)&gt;0),$C377-$C376,0))</f>
        <v>0</v>
      </c>
      <c r="AF377">
        <f>IF(OR($E377="",$E376=""),"",IF(AND(($D376-$D377)&gt;($C377-$C376),($D376-$D377)&gt;0),$D376-$D377,0))</f>
        <v>0</v>
      </c>
      <c r="AG377">
        <f>IF(COUNT($E$2:$E377)&lt;15,"",IF(SUM($AC$364:$AC$377)=0,0,100*SUM($AE$364:$AE$377)/SUM($AC$364:$AC$377)))</f>
        <v>0</v>
      </c>
      <c r="AH377">
        <f>IF(COUNT($E$2:$E377)&lt;15,"",IF(SUM($AC$364:$AC$377)=0,0,100*SUM($AF$364:$AF$377)/SUM($AC$364:$AC$377)))</f>
        <v>0</v>
      </c>
      <c r="AI377">
        <f>IF(OR(AG377="",AH377=""),"",IF((AG377+AH377)=0,0,100*ABS(AG377-AH377)/(AG377+AH377)))</f>
        <v>0</v>
      </c>
      <c r="AJ377">
        <f>IF(COUNT($AI$364:$AI$377)&lt;14,"",AVERAGE($AI$364:$AI$377))</f>
        <v>0</v>
      </c>
      <c r="AK377">
        <f>IF(COUNT($E$2:$E377)&lt;20,"",AVERAGE($E$358:$E$377))</f>
        <v>0</v>
      </c>
      <c r="AL377">
        <f>IF(COUNT($E$2:$E377)&lt;20,"",STDEVP($E$358:$E$377))</f>
        <v>0</v>
      </c>
      <c r="AM377">
        <f>IF(AK377="","",AK377+2*AL377)</f>
        <v>0</v>
      </c>
      <c r="AN377">
        <f>IF(AK377="","",AK377-2*AL377)</f>
        <v>0</v>
      </c>
      <c r="AO377">
        <f>IF(OR(AM377="",AN377="",AM377=AN377),"",($E377-AN377)/(AM377-AN377))</f>
        <v>0</v>
      </c>
      <c r="AP377">
        <f>IF(OR(AM377="",AK377="",AK377=0),"",(AM377-AN377)/AK377)</f>
        <v>0</v>
      </c>
      <c r="AQ377">
        <f>IF(COUNT($E$2:$E377)&lt;20,"",MAX($C$358:$C$377))</f>
        <v>0</v>
      </c>
      <c r="AR377">
        <f>IF(COUNT($E$2:$E377)&lt;20,"",MIN($D$358:$D$377))</f>
        <v>0</v>
      </c>
      <c r="AS377">
        <f>IF(OR(AQ377="",AR377=""),"",(AQ377+AR377)/2)</f>
        <v>0</v>
      </c>
      <c r="AT377">
        <f>IF(COUNT($G$358:$G$377)&lt;20,"",STDEV($G$358:$G$377)*SQRT(252))</f>
        <v>0</v>
      </c>
      <c r="AU377">
        <f>IF(COUNT($E$2:$E377)&lt;9,"",(MAX($C$369:$C$377)+MIN($D$369:$D$377))/2)</f>
        <v>0</v>
      </c>
      <c r="AV377">
        <f>IF(COUNT($E$2:$E377)&lt;26,"",(MAX($C$352:$C$377)+MIN($D$352:$D$377))/2)</f>
        <v>0</v>
      </c>
      <c r="AW377">
        <f>IF(OR(AU377="",AV377=""),"",(AU377+AV377)/2)</f>
        <v>0</v>
      </c>
      <c r="AX377">
        <f>IF(COUNT($E$2:$E377)&lt;52,"",(MAX($C$326:$C$377)+MIN($D$326:$D$377))/2)</f>
        <v>0</v>
      </c>
      <c r="AY377">
        <f>IF(COUNT($E$2:$E377)&lt;20,"",MAX($C$278:$C$377))</f>
        <v>0</v>
      </c>
      <c r="AZ377">
        <f>IF(COUNT($E$2:$E377)&lt;20,"",MIN($D$278:$D$377))</f>
        <v>0</v>
      </c>
      <c r="BA377">
        <f>IF(COUNT($E$2:$E377)&lt;20,"",SLOPE($E$278:$E$377,$F$278:$F$377))</f>
        <v>0</v>
      </c>
      <c r="BB377">
        <f>IF(COUNT($E$2:$E377)&lt;20,"",INTERCEPT($E$278:$E$377,$F$278:$F$377))</f>
        <v>0</v>
      </c>
      <c r="BC377">
        <f>IF(OR(BA377="",BB377=""),"",BB377+BA377*F377)</f>
        <v>0</v>
      </c>
      <c r="BD377">
        <f>IF(COUNT($E$2:$E377)&lt;20,"",STEYX($E$278:$E$377,$F$278:$F$377))</f>
        <v>0</v>
      </c>
      <c r="BE377">
        <f>IF($E377="","",IF(AND(COUNT($E$378:$E$381)&gt;=4,$C377=MAX($C$373:$C$381)),$C377,""))</f>
        <v>0</v>
      </c>
      <c r="BF377">
        <f>IF($E377="","",IF(AND(COUNT($E$378:$E$381)&gt;=4,$D377=MIN($D$373:$D$381)),$D377,""))</f>
        <v>0</v>
      </c>
      <c r="BG377">
        <f>IF($A377="","",$A377-WEEKDAY($A377,2)+1)</f>
        <v>0</v>
      </c>
      <c r="BH377">
        <f>IF($A377="","",IF($A376="",1,IF(BG377&lt;&gt;BG376,1,0)))</f>
        <v>0</v>
      </c>
      <c r="BI377">
        <f>IF($A377="","",IF($A378="",1,IF(BG378&lt;&gt;BG377,1,0)))</f>
        <v>0</v>
      </c>
      <c r="BJ377">
        <f>IF($A377="","",IF(BH377=1,$B377,BJ376))</f>
        <v>0</v>
      </c>
      <c r="BK377">
        <f>IF($A377="","",IF(BH377=1,$C377,MAX($C377,BK376)))</f>
        <v>0</v>
      </c>
      <c r="BL377">
        <f>IF($A377="","",IF(BH377=1,$D377,MIN($D377,BL376)))</f>
        <v>0</v>
      </c>
      <c r="BM377">
        <f>IF($A377="","",IF(BI377=1,F377,""))</f>
        <v>0</v>
      </c>
      <c r="BN377">
        <f>IF($A377="","",DATE(YEAR($A377),MONTH($A377),1))</f>
        <v>0</v>
      </c>
      <c r="BO377">
        <f>IF($A377="","",IF($A376="",1,IF(BN377&lt;&gt;BN376,1,0)))</f>
        <v>0</v>
      </c>
      <c r="BP377">
        <f>IF($A377="","",IF($A378="",1,IF(BN378&lt;&gt;BN377,1,0)))</f>
        <v>0</v>
      </c>
      <c r="BQ377">
        <f>IF($A377="","",IF(BO377=1,$B377,BQ376))</f>
        <v>0</v>
      </c>
      <c r="BR377">
        <f>IF($A377="","",IF(BO377=1,$C377,MAX($C377,BR376)))</f>
        <v>0</v>
      </c>
      <c r="BS377">
        <f>IF($A377="","",IF(BO377=1,$D377,MIN($D377,BS376)))</f>
        <v>0</v>
      </c>
      <c r="BT377">
        <f>IF($A377="","",IF(BP377=1,F377,""))</f>
        <v>0</v>
      </c>
    </row>
    <row r="378" spans="1:72">
      <c r="A378" s="27">
        <f>IF(Data!$A378="","",Data!$A378)</f>
        <v>0</v>
      </c>
      <c r="B378">
        <f>IF(Data!$B378="","",Data!$B378)</f>
        <v>0</v>
      </c>
      <c r="C378">
        <f>IF(Data!$C378="","",Data!$C378)</f>
        <v>0</v>
      </c>
      <c r="D378">
        <f>IF(Data!$D378="","",Data!$D378)</f>
        <v>0</v>
      </c>
      <c r="E378">
        <f>IF(Data!$E378="","",Data!$E378)</f>
        <v>0</v>
      </c>
      <c r="F378">
        <f>IF($E378="","",N(F377)+1)</f>
        <v>0</v>
      </c>
      <c r="G378">
        <f>IF(OR($E378="",$E377=""),"",LN($E378/$E377))</f>
        <v>0</v>
      </c>
      <c r="H378">
        <f>IF($E378="","",IF($E377="",$E378,$E378*0.0952380952+H377*0.9047619048))</f>
        <v>0</v>
      </c>
      <c r="I378">
        <f>IF($E378="","",IF($E377="",$E378,$E378*0.0392156863+I377*0.9607843137))</f>
        <v>0</v>
      </c>
      <c r="J378">
        <f>IF($E378="","",IF($E377="",$E378,$E378*0.0198019802+J377*0.9801980198))</f>
        <v>0</v>
      </c>
      <c r="K378">
        <f>IF($E378="","",IF($E377="",$E378,$E378*0.0099502488+K377*0.9900497512))</f>
        <v>0</v>
      </c>
      <c r="L378">
        <f>IF(OR($E378="",$E377=""),"",MAX($E378-$E377,0))</f>
        <v>0</v>
      </c>
      <c r="M378">
        <f>IF(OR($E378="",$E377=""),"",MAX($E377-$E378,0))</f>
        <v>0</v>
      </c>
      <c r="N378">
        <f>IF(COUNT($E$2:$E378)&lt;15,"",IF(AVERAGE($M$365:$M$378)=0,100,100-100/(1+AVERAGE($L$365:$L$378)/AVERAGE($M$365:$M$378))))</f>
        <v>0</v>
      </c>
      <c r="O378">
        <f>IF($E378="","",IF($E377="",$E378,$E378*0.1538461538+O377*0.8461538462))</f>
        <v>0</v>
      </c>
      <c r="P378">
        <f>IF($E378="","",IF($E377="",$E378,$E378*0.0740740741+P377*0.9259259259))</f>
        <v>0</v>
      </c>
      <c r="Q378">
        <f>IF(OR(O378="",P378=""),"",O378-P378)</f>
        <v>0</v>
      </c>
      <c r="R378">
        <f>IF(Q378="","",IF(R377="",Q378,Q378*0.2000000000+R377*0.8000000000))</f>
        <v>0</v>
      </c>
      <c r="S378">
        <f>IF(OR(Q378="",R378=""),"",Q378-R378)</f>
        <v>0</v>
      </c>
      <c r="T378">
        <f>IF(COUNT($E$2:$E378)&lt;14,"",MAX($C$365:$C$378))</f>
        <v>0</v>
      </c>
      <c r="U378">
        <f>IF(COUNT($E$2:$E378)&lt;14,"",MIN($D$365:$D$378))</f>
        <v>0</v>
      </c>
      <c r="V378">
        <f>IF(OR(T378="",U378="",T378=U378),"",100*($E378-U378)/(T378-U378))</f>
        <v>0</v>
      </c>
      <c r="W378">
        <f>IF(COUNT($V$376:$V$378)&lt;3,"",AVERAGE($V$376:$V$378))</f>
        <v>0</v>
      </c>
      <c r="X378">
        <f>IF(COUNT($N$365:$N$378)&lt;14,"",MIN($N$365:$N$378))</f>
        <v>0</v>
      </c>
      <c r="Y378">
        <f>IF(COUNT($N$365:$N$378)&lt;14,"",MAX($N$365:$N$378))</f>
        <v>0</v>
      </c>
      <c r="Z378">
        <f>IF(OR(N378="",X378="",Y378="",Y378=X378),"",100*(N378-X378)/(Y378-X378))</f>
        <v>0</v>
      </c>
      <c r="AA378">
        <f>IF(COUNT($Z$376:$Z$378)&lt;3,"",AVERAGE($Z$376:$Z$378))</f>
        <v>0</v>
      </c>
      <c r="AB378">
        <f>IF(COUNT($AA$376:$AA$378)&lt;3,"",AVERAGE($AA$376:$AA$378))</f>
        <v>0</v>
      </c>
      <c r="AC378">
        <f>IF($E378="","",MAX($C378-$D378,ABS($C378-$E377),ABS($D378-$E377)))</f>
        <v>0</v>
      </c>
      <c r="AD378">
        <f>IF(COUNT($E$2:$E378)&lt;15,"",AVERAGE($AC$365:$AC$378))</f>
        <v>0</v>
      </c>
      <c r="AE378">
        <f>IF(OR($E378="",$E377=""),"",IF(AND(($C378-$C377)&gt;($D377-$D378),($C378-$C377)&gt;0),$C378-$C377,0))</f>
        <v>0</v>
      </c>
      <c r="AF378">
        <f>IF(OR($E378="",$E377=""),"",IF(AND(($D377-$D378)&gt;($C378-$C377),($D377-$D378)&gt;0),$D377-$D378,0))</f>
        <v>0</v>
      </c>
      <c r="AG378">
        <f>IF(COUNT($E$2:$E378)&lt;15,"",IF(SUM($AC$365:$AC$378)=0,0,100*SUM($AE$365:$AE$378)/SUM($AC$365:$AC$378)))</f>
        <v>0</v>
      </c>
      <c r="AH378">
        <f>IF(COUNT($E$2:$E378)&lt;15,"",IF(SUM($AC$365:$AC$378)=0,0,100*SUM($AF$365:$AF$378)/SUM($AC$365:$AC$378)))</f>
        <v>0</v>
      </c>
      <c r="AI378">
        <f>IF(OR(AG378="",AH378=""),"",IF((AG378+AH378)=0,0,100*ABS(AG378-AH378)/(AG378+AH378)))</f>
        <v>0</v>
      </c>
      <c r="AJ378">
        <f>IF(COUNT($AI$365:$AI$378)&lt;14,"",AVERAGE($AI$365:$AI$378))</f>
        <v>0</v>
      </c>
      <c r="AK378">
        <f>IF(COUNT($E$2:$E378)&lt;20,"",AVERAGE($E$359:$E$378))</f>
        <v>0</v>
      </c>
      <c r="AL378">
        <f>IF(COUNT($E$2:$E378)&lt;20,"",STDEVP($E$359:$E$378))</f>
        <v>0</v>
      </c>
      <c r="AM378">
        <f>IF(AK378="","",AK378+2*AL378)</f>
        <v>0</v>
      </c>
      <c r="AN378">
        <f>IF(AK378="","",AK378-2*AL378)</f>
        <v>0</v>
      </c>
      <c r="AO378">
        <f>IF(OR(AM378="",AN378="",AM378=AN378),"",($E378-AN378)/(AM378-AN378))</f>
        <v>0</v>
      </c>
      <c r="AP378">
        <f>IF(OR(AM378="",AK378="",AK378=0),"",(AM378-AN378)/AK378)</f>
        <v>0</v>
      </c>
      <c r="AQ378">
        <f>IF(COUNT($E$2:$E378)&lt;20,"",MAX($C$359:$C$378))</f>
        <v>0</v>
      </c>
      <c r="AR378">
        <f>IF(COUNT($E$2:$E378)&lt;20,"",MIN($D$359:$D$378))</f>
        <v>0</v>
      </c>
      <c r="AS378">
        <f>IF(OR(AQ378="",AR378=""),"",(AQ378+AR378)/2)</f>
        <v>0</v>
      </c>
      <c r="AT378">
        <f>IF(COUNT($G$359:$G$378)&lt;20,"",STDEV($G$359:$G$378)*SQRT(252))</f>
        <v>0</v>
      </c>
      <c r="AU378">
        <f>IF(COUNT($E$2:$E378)&lt;9,"",(MAX($C$370:$C$378)+MIN($D$370:$D$378))/2)</f>
        <v>0</v>
      </c>
      <c r="AV378">
        <f>IF(COUNT($E$2:$E378)&lt;26,"",(MAX($C$353:$C$378)+MIN($D$353:$D$378))/2)</f>
        <v>0</v>
      </c>
      <c r="AW378">
        <f>IF(OR(AU378="",AV378=""),"",(AU378+AV378)/2)</f>
        <v>0</v>
      </c>
      <c r="AX378">
        <f>IF(COUNT($E$2:$E378)&lt;52,"",(MAX($C$327:$C$378)+MIN($D$327:$D$378))/2)</f>
        <v>0</v>
      </c>
      <c r="AY378">
        <f>IF(COUNT($E$2:$E378)&lt;20,"",MAX($C$279:$C$378))</f>
        <v>0</v>
      </c>
      <c r="AZ378">
        <f>IF(COUNT($E$2:$E378)&lt;20,"",MIN($D$279:$D$378))</f>
        <v>0</v>
      </c>
      <c r="BA378">
        <f>IF(COUNT($E$2:$E378)&lt;20,"",SLOPE($E$279:$E$378,$F$279:$F$378))</f>
        <v>0</v>
      </c>
      <c r="BB378">
        <f>IF(COUNT($E$2:$E378)&lt;20,"",INTERCEPT($E$279:$E$378,$F$279:$F$378))</f>
        <v>0</v>
      </c>
      <c r="BC378">
        <f>IF(OR(BA378="",BB378=""),"",BB378+BA378*F378)</f>
        <v>0</v>
      </c>
      <c r="BD378">
        <f>IF(COUNT($E$2:$E378)&lt;20,"",STEYX($E$279:$E$378,$F$279:$F$378))</f>
        <v>0</v>
      </c>
      <c r="BE378">
        <f>IF($E378="","",IF(AND(COUNT($E$379:$E$382)&gt;=4,$C378=MAX($C$374:$C$382)),$C378,""))</f>
        <v>0</v>
      </c>
      <c r="BF378">
        <f>IF($E378="","",IF(AND(COUNT($E$379:$E$382)&gt;=4,$D378=MIN($D$374:$D$382)),$D378,""))</f>
        <v>0</v>
      </c>
      <c r="BG378">
        <f>IF($A378="","",$A378-WEEKDAY($A378,2)+1)</f>
        <v>0</v>
      </c>
      <c r="BH378">
        <f>IF($A378="","",IF($A377="",1,IF(BG378&lt;&gt;BG377,1,0)))</f>
        <v>0</v>
      </c>
      <c r="BI378">
        <f>IF($A378="","",IF($A379="",1,IF(BG379&lt;&gt;BG378,1,0)))</f>
        <v>0</v>
      </c>
      <c r="BJ378">
        <f>IF($A378="","",IF(BH378=1,$B378,BJ377))</f>
        <v>0</v>
      </c>
      <c r="BK378">
        <f>IF($A378="","",IF(BH378=1,$C378,MAX($C378,BK377)))</f>
        <v>0</v>
      </c>
      <c r="BL378">
        <f>IF($A378="","",IF(BH378=1,$D378,MIN($D378,BL377)))</f>
        <v>0</v>
      </c>
      <c r="BM378">
        <f>IF($A378="","",IF(BI378=1,F378,""))</f>
        <v>0</v>
      </c>
      <c r="BN378">
        <f>IF($A378="","",DATE(YEAR($A378),MONTH($A378),1))</f>
        <v>0</v>
      </c>
      <c r="BO378">
        <f>IF($A378="","",IF($A377="",1,IF(BN378&lt;&gt;BN377,1,0)))</f>
        <v>0</v>
      </c>
      <c r="BP378">
        <f>IF($A378="","",IF($A379="",1,IF(BN379&lt;&gt;BN378,1,0)))</f>
        <v>0</v>
      </c>
      <c r="BQ378">
        <f>IF($A378="","",IF(BO378=1,$B378,BQ377))</f>
        <v>0</v>
      </c>
      <c r="BR378">
        <f>IF($A378="","",IF(BO378=1,$C378,MAX($C378,BR377)))</f>
        <v>0</v>
      </c>
      <c r="BS378">
        <f>IF($A378="","",IF(BO378=1,$D378,MIN($D378,BS377)))</f>
        <v>0</v>
      </c>
      <c r="BT378">
        <f>IF($A378="","",IF(BP378=1,F378,""))</f>
        <v>0</v>
      </c>
    </row>
    <row r="379" spans="1:72">
      <c r="A379" s="27">
        <f>IF(Data!$A379="","",Data!$A379)</f>
        <v>0</v>
      </c>
      <c r="B379">
        <f>IF(Data!$B379="","",Data!$B379)</f>
        <v>0</v>
      </c>
      <c r="C379">
        <f>IF(Data!$C379="","",Data!$C379)</f>
        <v>0</v>
      </c>
      <c r="D379">
        <f>IF(Data!$D379="","",Data!$D379)</f>
        <v>0</v>
      </c>
      <c r="E379">
        <f>IF(Data!$E379="","",Data!$E379)</f>
        <v>0</v>
      </c>
      <c r="F379">
        <f>IF($E379="","",N(F378)+1)</f>
        <v>0</v>
      </c>
      <c r="G379">
        <f>IF(OR($E379="",$E378=""),"",LN($E379/$E378))</f>
        <v>0</v>
      </c>
      <c r="H379">
        <f>IF($E379="","",IF($E378="",$E379,$E379*0.0952380952+H378*0.9047619048))</f>
        <v>0</v>
      </c>
      <c r="I379">
        <f>IF($E379="","",IF($E378="",$E379,$E379*0.0392156863+I378*0.9607843137))</f>
        <v>0</v>
      </c>
      <c r="J379">
        <f>IF($E379="","",IF($E378="",$E379,$E379*0.0198019802+J378*0.9801980198))</f>
        <v>0</v>
      </c>
      <c r="K379">
        <f>IF($E379="","",IF($E378="",$E379,$E379*0.0099502488+K378*0.9900497512))</f>
        <v>0</v>
      </c>
      <c r="L379">
        <f>IF(OR($E379="",$E378=""),"",MAX($E379-$E378,0))</f>
        <v>0</v>
      </c>
      <c r="M379">
        <f>IF(OR($E379="",$E378=""),"",MAX($E378-$E379,0))</f>
        <v>0</v>
      </c>
      <c r="N379">
        <f>IF(COUNT($E$2:$E379)&lt;15,"",IF(AVERAGE($M$366:$M$379)=0,100,100-100/(1+AVERAGE($L$366:$L$379)/AVERAGE($M$366:$M$379))))</f>
        <v>0</v>
      </c>
      <c r="O379">
        <f>IF($E379="","",IF($E378="",$E379,$E379*0.1538461538+O378*0.8461538462))</f>
        <v>0</v>
      </c>
      <c r="P379">
        <f>IF($E379="","",IF($E378="",$E379,$E379*0.0740740741+P378*0.9259259259))</f>
        <v>0</v>
      </c>
      <c r="Q379">
        <f>IF(OR(O379="",P379=""),"",O379-P379)</f>
        <v>0</v>
      </c>
      <c r="R379">
        <f>IF(Q379="","",IF(R378="",Q379,Q379*0.2000000000+R378*0.8000000000))</f>
        <v>0</v>
      </c>
      <c r="S379">
        <f>IF(OR(Q379="",R379=""),"",Q379-R379)</f>
        <v>0</v>
      </c>
      <c r="T379">
        <f>IF(COUNT($E$2:$E379)&lt;14,"",MAX($C$366:$C$379))</f>
        <v>0</v>
      </c>
      <c r="U379">
        <f>IF(COUNT($E$2:$E379)&lt;14,"",MIN($D$366:$D$379))</f>
        <v>0</v>
      </c>
      <c r="V379">
        <f>IF(OR(T379="",U379="",T379=U379),"",100*($E379-U379)/(T379-U379))</f>
        <v>0</v>
      </c>
      <c r="W379">
        <f>IF(COUNT($V$377:$V$379)&lt;3,"",AVERAGE($V$377:$V$379))</f>
        <v>0</v>
      </c>
      <c r="X379">
        <f>IF(COUNT($N$366:$N$379)&lt;14,"",MIN($N$366:$N$379))</f>
        <v>0</v>
      </c>
      <c r="Y379">
        <f>IF(COUNT($N$366:$N$379)&lt;14,"",MAX($N$366:$N$379))</f>
        <v>0</v>
      </c>
      <c r="Z379">
        <f>IF(OR(N379="",X379="",Y379="",Y379=X379),"",100*(N379-X379)/(Y379-X379))</f>
        <v>0</v>
      </c>
      <c r="AA379">
        <f>IF(COUNT($Z$377:$Z$379)&lt;3,"",AVERAGE($Z$377:$Z$379))</f>
        <v>0</v>
      </c>
      <c r="AB379">
        <f>IF(COUNT($AA$377:$AA$379)&lt;3,"",AVERAGE($AA$377:$AA$379))</f>
        <v>0</v>
      </c>
      <c r="AC379">
        <f>IF($E379="","",MAX($C379-$D379,ABS($C379-$E378),ABS($D379-$E378)))</f>
        <v>0</v>
      </c>
      <c r="AD379">
        <f>IF(COUNT($E$2:$E379)&lt;15,"",AVERAGE($AC$366:$AC$379))</f>
        <v>0</v>
      </c>
      <c r="AE379">
        <f>IF(OR($E379="",$E378=""),"",IF(AND(($C379-$C378)&gt;($D378-$D379),($C379-$C378)&gt;0),$C379-$C378,0))</f>
        <v>0</v>
      </c>
      <c r="AF379">
        <f>IF(OR($E379="",$E378=""),"",IF(AND(($D378-$D379)&gt;($C379-$C378),($D378-$D379)&gt;0),$D378-$D379,0))</f>
        <v>0</v>
      </c>
      <c r="AG379">
        <f>IF(COUNT($E$2:$E379)&lt;15,"",IF(SUM($AC$366:$AC$379)=0,0,100*SUM($AE$366:$AE$379)/SUM($AC$366:$AC$379)))</f>
        <v>0</v>
      </c>
      <c r="AH379">
        <f>IF(COUNT($E$2:$E379)&lt;15,"",IF(SUM($AC$366:$AC$379)=0,0,100*SUM($AF$366:$AF$379)/SUM($AC$366:$AC$379)))</f>
        <v>0</v>
      </c>
      <c r="AI379">
        <f>IF(OR(AG379="",AH379=""),"",IF((AG379+AH379)=0,0,100*ABS(AG379-AH379)/(AG379+AH379)))</f>
        <v>0</v>
      </c>
      <c r="AJ379">
        <f>IF(COUNT($AI$366:$AI$379)&lt;14,"",AVERAGE($AI$366:$AI$379))</f>
        <v>0</v>
      </c>
      <c r="AK379">
        <f>IF(COUNT($E$2:$E379)&lt;20,"",AVERAGE($E$360:$E$379))</f>
        <v>0</v>
      </c>
      <c r="AL379">
        <f>IF(COUNT($E$2:$E379)&lt;20,"",STDEVP($E$360:$E$379))</f>
        <v>0</v>
      </c>
      <c r="AM379">
        <f>IF(AK379="","",AK379+2*AL379)</f>
        <v>0</v>
      </c>
      <c r="AN379">
        <f>IF(AK379="","",AK379-2*AL379)</f>
        <v>0</v>
      </c>
      <c r="AO379">
        <f>IF(OR(AM379="",AN379="",AM379=AN379),"",($E379-AN379)/(AM379-AN379))</f>
        <v>0</v>
      </c>
      <c r="AP379">
        <f>IF(OR(AM379="",AK379="",AK379=0),"",(AM379-AN379)/AK379)</f>
        <v>0</v>
      </c>
      <c r="AQ379">
        <f>IF(COUNT($E$2:$E379)&lt;20,"",MAX($C$360:$C$379))</f>
        <v>0</v>
      </c>
      <c r="AR379">
        <f>IF(COUNT($E$2:$E379)&lt;20,"",MIN($D$360:$D$379))</f>
        <v>0</v>
      </c>
      <c r="AS379">
        <f>IF(OR(AQ379="",AR379=""),"",(AQ379+AR379)/2)</f>
        <v>0</v>
      </c>
      <c r="AT379">
        <f>IF(COUNT($G$360:$G$379)&lt;20,"",STDEV($G$360:$G$379)*SQRT(252))</f>
        <v>0</v>
      </c>
      <c r="AU379">
        <f>IF(COUNT($E$2:$E379)&lt;9,"",(MAX($C$371:$C$379)+MIN($D$371:$D$379))/2)</f>
        <v>0</v>
      </c>
      <c r="AV379">
        <f>IF(COUNT($E$2:$E379)&lt;26,"",(MAX($C$354:$C$379)+MIN($D$354:$D$379))/2)</f>
        <v>0</v>
      </c>
      <c r="AW379">
        <f>IF(OR(AU379="",AV379=""),"",(AU379+AV379)/2)</f>
        <v>0</v>
      </c>
      <c r="AX379">
        <f>IF(COUNT($E$2:$E379)&lt;52,"",(MAX($C$328:$C$379)+MIN($D$328:$D$379))/2)</f>
        <v>0</v>
      </c>
      <c r="AY379">
        <f>IF(COUNT($E$2:$E379)&lt;20,"",MAX($C$280:$C$379))</f>
        <v>0</v>
      </c>
      <c r="AZ379">
        <f>IF(COUNT($E$2:$E379)&lt;20,"",MIN($D$280:$D$379))</f>
        <v>0</v>
      </c>
      <c r="BA379">
        <f>IF(COUNT($E$2:$E379)&lt;20,"",SLOPE($E$280:$E$379,$F$280:$F$379))</f>
        <v>0</v>
      </c>
      <c r="BB379">
        <f>IF(COUNT($E$2:$E379)&lt;20,"",INTERCEPT($E$280:$E$379,$F$280:$F$379))</f>
        <v>0</v>
      </c>
      <c r="BC379">
        <f>IF(OR(BA379="",BB379=""),"",BB379+BA379*F379)</f>
        <v>0</v>
      </c>
      <c r="BD379">
        <f>IF(COUNT($E$2:$E379)&lt;20,"",STEYX($E$280:$E$379,$F$280:$F$379))</f>
        <v>0</v>
      </c>
      <c r="BE379">
        <f>IF($E379="","",IF(AND(COUNT($E$380:$E$383)&gt;=4,$C379=MAX($C$375:$C$383)),$C379,""))</f>
        <v>0</v>
      </c>
      <c r="BF379">
        <f>IF($E379="","",IF(AND(COUNT($E$380:$E$383)&gt;=4,$D379=MIN($D$375:$D$383)),$D379,""))</f>
        <v>0</v>
      </c>
      <c r="BG379">
        <f>IF($A379="","",$A379-WEEKDAY($A379,2)+1)</f>
        <v>0</v>
      </c>
      <c r="BH379">
        <f>IF($A379="","",IF($A378="",1,IF(BG379&lt;&gt;BG378,1,0)))</f>
        <v>0</v>
      </c>
      <c r="BI379">
        <f>IF($A379="","",IF($A380="",1,IF(BG380&lt;&gt;BG379,1,0)))</f>
        <v>0</v>
      </c>
      <c r="BJ379">
        <f>IF($A379="","",IF(BH379=1,$B379,BJ378))</f>
        <v>0</v>
      </c>
      <c r="BK379">
        <f>IF($A379="","",IF(BH379=1,$C379,MAX($C379,BK378)))</f>
        <v>0</v>
      </c>
      <c r="BL379">
        <f>IF($A379="","",IF(BH379=1,$D379,MIN($D379,BL378)))</f>
        <v>0</v>
      </c>
      <c r="BM379">
        <f>IF($A379="","",IF(BI379=1,F379,""))</f>
        <v>0</v>
      </c>
      <c r="BN379">
        <f>IF($A379="","",DATE(YEAR($A379),MONTH($A379),1))</f>
        <v>0</v>
      </c>
      <c r="BO379">
        <f>IF($A379="","",IF($A378="",1,IF(BN379&lt;&gt;BN378,1,0)))</f>
        <v>0</v>
      </c>
      <c r="BP379">
        <f>IF($A379="","",IF($A380="",1,IF(BN380&lt;&gt;BN379,1,0)))</f>
        <v>0</v>
      </c>
      <c r="BQ379">
        <f>IF($A379="","",IF(BO379=1,$B379,BQ378))</f>
        <v>0</v>
      </c>
      <c r="BR379">
        <f>IF($A379="","",IF(BO379=1,$C379,MAX($C379,BR378)))</f>
        <v>0</v>
      </c>
      <c r="BS379">
        <f>IF($A379="","",IF(BO379=1,$D379,MIN($D379,BS378)))</f>
        <v>0</v>
      </c>
      <c r="BT379">
        <f>IF($A379="","",IF(BP379=1,F379,""))</f>
        <v>0</v>
      </c>
    </row>
    <row r="380" spans="1:72">
      <c r="A380" s="27">
        <f>IF(Data!$A380="","",Data!$A380)</f>
        <v>0</v>
      </c>
      <c r="B380">
        <f>IF(Data!$B380="","",Data!$B380)</f>
        <v>0</v>
      </c>
      <c r="C380">
        <f>IF(Data!$C380="","",Data!$C380)</f>
        <v>0</v>
      </c>
      <c r="D380">
        <f>IF(Data!$D380="","",Data!$D380)</f>
        <v>0</v>
      </c>
      <c r="E380">
        <f>IF(Data!$E380="","",Data!$E380)</f>
        <v>0</v>
      </c>
      <c r="F380">
        <f>IF($E380="","",N(F379)+1)</f>
        <v>0</v>
      </c>
      <c r="G380">
        <f>IF(OR($E380="",$E379=""),"",LN($E380/$E379))</f>
        <v>0</v>
      </c>
      <c r="H380">
        <f>IF($E380="","",IF($E379="",$E380,$E380*0.0952380952+H379*0.9047619048))</f>
        <v>0</v>
      </c>
      <c r="I380">
        <f>IF($E380="","",IF($E379="",$E380,$E380*0.0392156863+I379*0.9607843137))</f>
        <v>0</v>
      </c>
      <c r="J380">
        <f>IF($E380="","",IF($E379="",$E380,$E380*0.0198019802+J379*0.9801980198))</f>
        <v>0</v>
      </c>
      <c r="K380">
        <f>IF($E380="","",IF($E379="",$E380,$E380*0.0099502488+K379*0.9900497512))</f>
        <v>0</v>
      </c>
      <c r="L380">
        <f>IF(OR($E380="",$E379=""),"",MAX($E380-$E379,0))</f>
        <v>0</v>
      </c>
      <c r="M380">
        <f>IF(OR($E380="",$E379=""),"",MAX($E379-$E380,0))</f>
        <v>0</v>
      </c>
      <c r="N380">
        <f>IF(COUNT($E$2:$E380)&lt;15,"",IF(AVERAGE($M$367:$M$380)=0,100,100-100/(1+AVERAGE($L$367:$L$380)/AVERAGE($M$367:$M$380))))</f>
        <v>0</v>
      </c>
      <c r="O380">
        <f>IF($E380="","",IF($E379="",$E380,$E380*0.1538461538+O379*0.8461538462))</f>
        <v>0</v>
      </c>
      <c r="P380">
        <f>IF($E380="","",IF($E379="",$E380,$E380*0.0740740741+P379*0.9259259259))</f>
        <v>0</v>
      </c>
      <c r="Q380">
        <f>IF(OR(O380="",P380=""),"",O380-P380)</f>
        <v>0</v>
      </c>
      <c r="R380">
        <f>IF(Q380="","",IF(R379="",Q380,Q380*0.2000000000+R379*0.8000000000))</f>
        <v>0</v>
      </c>
      <c r="S380">
        <f>IF(OR(Q380="",R380=""),"",Q380-R380)</f>
        <v>0</v>
      </c>
      <c r="T380">
        <f>IF(COUNT($E$2:$E380)&lt;14,"",MAX($C$367:$C$380))</f>
        <v>0</v>
      </c>
      <c r="U380">
        <f>IF(COUNT($E$2:$E380)&lt;14,"",MIN($D$367:$D$380))</f>
        <v>0</v>
      </c>
      <c r="V380">
        <f>IF(OR(T380="",U380="",T380=U380),"",100*($E380-U380)/(T380-U380))</f>
        <v>0</v>
      </c>
      <c r="W380">
        <f>IF(COUNT($V$378:$V$380)&lt;3,"",AVERAGE($V$378:$V$380))</f>
        <v>0</v>
      </c>
      <c r="X380">
        <f>IF(COUNT($N$367:$N$380)&lt;14,"",MIN($N$367:$N$380))</f>
        <v>0</v>
      </c>
      <c r="Y380">
        <f>IF(COUNT($N$367:$N$380)&lt;14,"",MAX($N$367:$N$380))</f>
        <v>0</v>
      </c>
      <c r="Z380">
        <f>IF(OR(N380="",X380="",Y380="",Y380=X380),"",100*(N380-X380)/(Y380-X380))</f>
        <v>0</v>
      </c>
      <c r="AA380">
        <f>IF(COUNT($Z$378:$Z$380)&lt;3,"",AVERAGE($Z$378:$Z$380))</f>
        <v>0</v>
      </c>
      <c r="AB380">
        <f>IF(COUNT($AA$378:$AA$380)&lt;3,"",AVERAGE($AA$378:$AA$380))</f>
        <v>0</v>
      </c>
      <c r="AC380">
        <f>IF($E380="","",MAX($C380-$D380,ABS($C380-$E379),ABS($D380-$E379)))</f>
        <v>0</v>
      </c>
      <c r="AD380">
        <f>IF(COUNT($E$2:$E380)&lt;15,"",AVERAGE($AC$367:$AC$380))</f>
        <v>0</v>
      </c>
      <c r="AE380">
        <f>IF(OR($E380="",$E379=""),"",IF(AND(($C380-$C379)&gt;($D379-$D380),($C380-$C379)&gt;0),$C380-$C379,0))</f>
        <v>0</v>
      </c>
      <c r="AF380">
        <f>IF(OR($E380="",$E379=""),"",IF(AND(($D379-$D380)&gt;($C380-$C379),($D379-$D380)&gt;0),$D379-$D380,0))</f>
        <v>0</v>
      </c>
      <c r="AG380">
        <f>IF(COUNT($E$2:$E380)&lt;15,"",IF(SUM($AC$367:$AC$380)=0,0,100*SUM($AE$367:$AE$380)/SUM($AC$367:$AC$380)))</f>
        <v>0</v>
      </c>
      <c r="AH380">
        <f>IF(COUNT($E$2:$E380)&lt;15,"",IF(SUM($AC$367:$AC$380)=0,0,100*SUM($AF$367:$AF$380)/SUM($AC$367:$AC$380)))</f>
        <v>0</v>
      </c>
      <c r="AI380">
        <f>IF(OR(AG380="",AH380=""),"",IF((AG380+AH380)=0,0,100*ABS(AG380-AH380)/(AG380+AH380)))</f>
        <v>0</v>
      </c>
      <c r="AJ380">
        <f>IF(COUNT($AI$367:$AI$380)&lt;14,"",AVERAGE($AI$367:$AI$380))</f>
        <v>0</v>
      </c>
      <c r="AK380">
        <f>IF(COUNT($E$2:$E380)&lt;20,"",AVERAGE($E$361:$E$380))</f>
        <v>0</v>
      </c>
      <c r="AL380">
        <f>IF(COUNT($E$2:$E380)&lt;20,"",STDEVP($E$361:$E$380))</f>
        <v>0</v>
      </c>
      <c r="AM380">
        <f>IF(AK380="","",AK380+2*AL380)</f>
        <v>0</v>
      </c>
      <c r="AN380">
        <f>IF(AK380="","",AK380-2*AL380)</f>
        <v>0</v>
      </c>
      <c r="AO380">
        <f>IF(OR(AM380="",AN380="",AM380=AN380),"",($E380-AN380)/(AM380-AN380))</f>
        <v>0</v>
      </c>
      <c r="AP380">
        <f>IF(OR(AM380="",AK380="",AK380=0),"",(AM380-AN380)/AK380)</f>
        <v>0</v>
      </c>
      <c r="AQ380">
        <f>IF(COUNT($E$2:$E380)&lt;20,"",MAX($C$361:$C$380))</f>
        <v>0</v>
      </c>
      <c r="AR380">
        <f>IF(COUNT($E$2:$E380)&lt;20,"",MIN($D$361:$D$380))</f>
        <v>0</v>
      </c>
      <c r="AS380">
        <f>IF(OR(AQ380="",AR380=""),"",(AQ380+AR380)/2)</f>
        <v>0</v>
      </c>
      <c r="AT380">
        <f>IF(COUNT($G$361:$G$380)&lt;20,"",STDEV($G$361:$G$380)*SQRT(252))</f>
        <v>0</v>
      </c>
      <c r="AU380">
        <f>IF(COUNT($E$2:$E380)&lt;9,"",(MAX($C$372:$C$380)+MIN($D$372:$D$380))/2)</f>
        <v>0</v>
      </c>
      <c r="AV380">
        <f>IF(COUNT($E$2:$E380)&lt;26,"",(MAX($C$355:$C$380)+MIN($D$355:$D$380))/2)</f>
        <v>0</v>
      </c>
      <c r="AW380">
        <f>IF(OR(AU380="",AV380=""),"",(AU380+AV380)/2)</f>
        <v>0</v>
      </c>
      <c r="AX380">
        <f>IF(COUNT($E$2:$E380)&lt;52,"",(MAX($C$329:$C$380)+MIN($D$329:$D$380))/2)</f>
        <v>0</v>
      </c>
      <c r="AY380">
        <f>IF(COUNT($E$2:$E380)&lt;20,"",MAX($C$281:$C$380))</f>
        <v>0</v>
      </c>
      <c r="AZ380">
        <f>IF(COUNT($E$2:$E380)&lt;20,"",MIN($D$281:$D$380))</f>
        <v>0</v>
      </c>
      <c r="BA380">
        <f>IF(COUNT($E$2:$E380)&lt;20,"",SLOPE($E$281:$E$380,$F$281:$F$380))</f>
        <v>0</v>
      </c>
      <c r="BB380">
        <f>IF(COUNT($E$2:$E380)&lt;20,"",INTERCEPT($E$281:$E$380,$F$281:$F$380))</f>
        <v>0</v>
      </c>
      <c r="BC380">
        <f>IF(OR(BA380="",BB380=""),"",BB380+BA380*F380)</f>
        <v>0</v>
      </c>
      <c r="BD380">
        <f>IF(COUNT($E$2:$E380)&lt;20,"",STEYX($E$281:$E$380,$F$281:$F$380))</f>
        <v>0</v>
      </c>
      <c r="BE380">
        <f>IF($E380="","",IF(AND(COUNT($E$381:$E$384)&gt;=4,$C380=MAX($C$376:$C$384)),$C380,""))</f>
        <v>0</v>
      </c>
      <c r="BF380">
        <f>IF($E380="","",IF(AND(COUNT($E$381:$E$384)&gt;=4,$D380=MIN($D$376:$D$384)),$D380,""))</f>
        <v>0</v>
      </c>
      <c r="BG380">
        <f>IF($A380="","",$A380-WEEKDAY($A380,2)+1)</f>
        <v>0</v>
      </c>
      <c r="BH380">
        <f>IF($A380="","",IF($A379="",1,IF(BG380&lt;&gt;BG379,1,0)))</f>
        <v>0</v>
      </c>
      <c r="BI380">
        <f>IF($A380="","",IF($A381="",1,IF(BG381&lt;&gt;BG380,1,0)))</f>
        <v>0</v>
      </c>
      <c r="BJ380">
        <f>IF($A380="","",IF(BH380=1,$B380,BJ379))</f>
        <v>0</v>
      </c>
      <c r="BK380">
        <f>IF($A380="","",IF(BH380=1,$C380,MAX($C380,BK379)))</f>
        <v>0</v>
      </c>
      <c r="BL380">
        <f>IF($A380="","",IF(BH380=1,$D380,MIN($D380,BL379)))</f>
        <v>0</v>
      </c>
      <c r="BM380">
        <f>IF($A380="","",IF(BI380=1,F380,""))</f>
        <v>0</v>
      </c>
      <c r="BN380">
        <f>IF($A380="","",DATE(YEAR($A380),MONTH($A380),1))</f>
        <v>0</v>
      </c>
      <c r="BO380">
        <f>IF($A380="","",IF($A379="",1,IF(BN380&lt;&gt;BN379,1,0)))</f>
        <v>0</v>
      </c>
      <c r="BP380">
        <f>IF($A380="","",IF($A381="",1,IF(BN381&lt;&gt;BN380,1,0)))</f>
        <v>0</v>
      </c>
      <c r="BQ380">
        <f>IF($A380="","",IF(BO380=1,$B380,BQ379))</f>
        <v>0</v>
      </c>
      <c r="BR380">
        <f>IF($A380="","",IF(BO380=1,$C380,MAX($C380,BR379)))</f>
        <v>0</v>
      </c>
      <c r="BS380">
        <f>IF($A380="","",IF(BO380=1,$D380,MIN($D380,BS379)))</f>
        <v>0</v>
      </c>
      <c r="BT380">
        <f>IF($A380="","",IF(BP380=1,F380,""))</f>
        <v>0</v>
      </c>
    </row>
    <row r="381" spans="1:72">
      <c r="A381" s="27">
        <f>IF(Data!$A381="","",Data!$A381)</f>
        <v>0</v>
      </c>
      <c r="B381">
        <f>IF(Data!$B381="","",Data!$B381)</f>
        <v>0</v>
      </c>
      <c r="C381">
        <f>IF(Data!$C381="","",Data!$C381)</f>
        <v>0</v>
      </c>
      <c r="D381">
        <f>IF(Data!$D381="","",Data!$D381)</f>
        <v>0</v>
      </c>
      <c r="E381">
        <f>IF(Data!$E381="","",Data!$E381)</f>
        <v>0</v>
      </c>
      <c r="F381">
        <f>IF($E381="","",N(F380)+1)</f>
        <v>0</v>
      </c>
      <c r="G381">
        <f>IF(OR($E381="",$E380=""),"",LN($E381/$E380))</f>
        <v>0</v>
      </c>
      <c r="H381">
        <f>IF($E381="","",IF($E380="",$E381,$E381*0.0952380952+H380*0.9047619048))</f>
        <v>0</v>
      </c>
      <c r="I381">
        <f>IF($E381="","",IF($E380="",$E381,$E381*0.0392156863+I380*0.9607843137))</f>
        <v>0</v>
      </c>
      <c r="J381">
        <f>IF($E381="","",IF($E380="",$E381,$E381*0.0198019802+J380*0.9801980198))</f>
        <v>0</v>
      </c>
      <c r="K381">
        <f>IF($E381="","",IF($E380="",$E381,$E381*0.0099502488+K380*0.9900497512))</f>
        <v>0</v>
      </c>
      <c r="L381">
        <f>IF(OR($E381="",$E380=""),"",MAX($E381-$E380,0))</f>
        <v>0</v>
      </c>
      <c r="M381">
        <f>IF(OR($E381="",$E380=""),"",MAX($E380-$E381,0))</f>
        <v>0</v>
      </c>
      <c r="N381">
        <f>IF(COUNT($E$2:$E381)&lt;15,"",IF(AVERAGE($M$368:$M$381)=0,100,100-100/(1+AVERAGE($L$368:$L$381)/AVERAGE($M$368:$M$381))))</f>
        <v>0</v>
      </c>
      <c r="O381">
        <f>IF($E381="","",IF($E380="",$E381,$E381*0.1538461538+O380*0.8461538462))</f>
        <v>0</v>
      </c>
      <c r="P381">
        <f>IF($E381="","",IF($E380="",$E381,$E381*0.0740740741+P380*0.9259259259))</f>
        <v>0</v>
      </c>
      <c r="Q381">
        <f>IF(OR(O381="",P381=""),"",O381-P381)</f>
        <v>0</v>
      </c>
      <c r="R381">
        <f>IF(Q381="","",IF(R380="",Q381,Q381*0.2000000000+R380*0.8000000000))</f>
        <v>0</v>
      </c>
      <c r="S381">
        <f>IF(OR(Q381="",R381=""),"",Q381-R381)</f>
        <v>0</v>
      </c>
      <c r="T381">
        <f>IF(COUNT($E$2:$E381)&lt;14,"",MAX($C$368:$C$381))</f>
        <v>0</v>
      </c>
      <c r="U381">
        <f>IF(COUNT($E$2:$E381)&lt;14,"",MIN($D$368:$D$381))</f>
        <v>0</v>
      </c>
      <c r="V381">
        <f>IF(OR(T381="",U381="",T381=U381),"",100*($E381-U381)/(T381-U381))</f>
        <v>0</v>
      </c>
      <c r="W381">
        <f>IF(COUNT($V$379:$V$381)&lt;3,"",AVERAGE($V$379:$V$381))</f>
        <v>0</v>
      </c>
      <c r="X381">
        <f>IF(COUNT($N$368:$N$381)&lt;14,"",MIN($N$368:$N$381))</f>
        <v>0</v>
      </c>
      <c r="Y381">
        <f>IF(COUNT($N$368:$N$381)&lt;14,"",MAX($N$368:$N$381))</f>
        <v>0</v>
      </c>
      <c r="Z381">
        <f>IF(OR(N381="",X381="",Y381="",Y381=X381),"",100*(N381-X381)/(Y381-X381))</f>
        <v>0</v>
      </c>
      <c r="AA381">
        <f>IF(COUNT($Z$379:$Z$381)&lt;3,"",AVERAGE($Z$379:$Z$381))</f>
        <v>0</v>
      </c>
      <c r="AB381">
        <f>IF(COUNT($AA$379:$AA$381)&lt;3,"",AVERAGE($AA$379:$AA$381))</f>
        <v>0</v>
      </c>
      <c r="AC381">
        <f>IF($E381="","",MAX($C381-$D381,ABS($C381-$E380),ABS($D381-$E380)))</f>
        <v>0</v>
      </c>
      <c r="AD381">
        <f>IF(COUNT($E$2:$E381)&lt;15,"",AVERAGE($AC$368:$AC$381))</f>
        <v>0</v>
      </c>
      <c r="AE381">
        <f>IF(OR($E381="",$E380=""),"",IF(AND(($C381-$C380)&gt;($D380-$D381),($C381-$C380)&gt;0),$C381-$C380,0))</f>
        <v>0</v>
      </c>
      <c r="AF381">
        <f>IF(OR($E381="",$E380=""),"",IF(AND(($D380-$D381)&gt;($C381-$C380),($D380-$D381)&gt;0),$D380-$D381,0))</f>
        <v>0</v>
      </c>
      <c r="AG381">
        <f>IF(COUNT($E$2:$E381)&lt;15,"",IF(SUM($AC$368:$AC$381)=0,0,100*SUM($AE$368:$AE$381)/SUM($AC$368:$AC$381)))</f>
        <v>0</v>
      </c>
      <c r="AH381">
        <f>IF(COUNT($E$2:$E381)&lt;15,"",IF(SUM($AC$368:$AC$381)=0,0,100*SUM($AF$368:$AF$381)/SUM($AC$368:$AC$381)))</f>
        <v>0</v>
      </c>
      <c r="AI381">
        <f>IF(OR(AG381="",AH381=""),"",IF((AG381+AH381)=0,0,100*ABS(AG381-AH381)/(AG381+AH381)))</f>
        <v>0</v>
      </c>
      <c r="AJ381">
        <f>IF(COUNT($AI$368:$AI$381)&lt;14,"",AVERAGE($AI$368:$AI$381))</f>
        <v>0</v>
      </c>
      <c r="AK381">
        <f>IF(COUNT($E$2:$E381)&lt;20,"",AVERAGE($E$362:$E$381))</f>
        <v>0</v>
      </c>
      <c r="AL381">
        <f>IF(COUNT($E$2:$E381)&lt;20,"",STDEVP($E$362:$E$381))</f>
        <v>0</v>
      </c>
      <c r="AM381">
        <f>IF(AK381="","",AK381+2*AL381)</f>
        <v>0</v>
      </c>
      <c r="AN381">
        <f>IF(AK381="","",AK381-2*AL381)</f>
        <v>0</v>
      </c>
      <c r="AO381">
        <f>IF(OR(AM381="",AN381="",AM381=AN381),"",($E381-AN381)/(AM381-AN381))</f>
        <v>0</v>
      </c>
      <c r="AP381">
        <f>IF(OR(AM381="",AK381="",AK381=0),"",(AM381-AN381)/AK381)</f>
        <v>0</v>
      </c>
      <c r="AQ381">
        <f>IF(COUNT($E$2:$E381)&lt;20,"",MAX($C$362:$C$381))</f>
        <v>0</v>
      </c>
      <c r="AR381">
        <f>IF(COUNT($E$2:$E381)&lt;20,"",MIN($D$362:$D$381))</f>
        <v>0</v>
      </c>
      <c r="AS381">
        <f>IF(OR(AQ381="",AR381=""),"",(AQ381+AR381)/2)</f>
        <v>0</v>
      </c>
      <c r="AT381">
        <f>IF(COUNT($G$362:$G$381)&lt;20,"",STDEV($G$362:$G$381)*SQRT(252))</f>
        <v>0</v>
      </c>
      <c r="AU381">
        <f>IF(COUNT($E$2:$E381)&lt;9,"",(MAX($C$373:$C$381)+MIN($D$373:$D$381))/2)</f>
        <v>0</v>
      </c>
      <c r="AV381">
        <f>IF(COUNT($E$2:$E381)&lt;26,"",(MAX($C$356:$C$381)+MIN($D$356:$D$381))/2)</f>
        <v>0</v>
      </c>
      <c r="AW381">
        <f>IF(OR(AU381="",AV381=""),"",(AU381+AV381)/2)</f>
        <v>0</v>
      </c>
      <c r="AX381">
        <f>IF(COUNT($E$2:$E381)&lt;52,"",(MAX($C$330:$C$381)+MIN($D$330:$D$381))/2)</f>
        <v>0</v>
      </c>
      <c r="AY381">
        <f>IF(COUNT($E$2:$E381)&lt;20,"",MAX($C$282:$C$381))</f>
        <v>0</v>
      </c>
      <c r="AZ381">
        <f>IF(COUNT($E$2:$E381)&lt;20,"",MIN($D$282:$D$381))</f>
        <v>0</v>
      </c>
      <c r="BA381">
        <f>IF(COUNT($E$2:$E381)&lt;20,"",SLOPE($E$282:$E$381,$F$282:$F$381))</f>
        <v>0</v>
      </c>
      <c r="BB381">
        <f>IF(COUNT($E$2:$E381)&lt;20,"",INTERCEPT($E$282:$E$381,$F$282:$F$381))</f>
        <v>0</v>
      </c>
      <c r="BC381">
        <f>IF(OR(BA381="",BB381=""),"",BB381+BA381*F381)</f>
        <v>0</v>
      </c>
      <c r="BD381">
        <f>IF(COUNT($E$2:$E381)&lt;20,"",STEYX($E$282:$E$381,$F$282:$F$381))</f>
        <v>0</v>
      </c>
      <c r="BE381">
        <f>IF($E381="","",IF(AND(COUNT($E$382:$E$385)&gt;=4,$C381=MAX($C$377:$C$385)),$C381,""))</f>
        <v>0</v>
      </c>
      <c r="BF381">
        <f>IF($E381="","",IF(AND(COUNT($E$382:$E$385)&gt;=4,$D381=MIN($D$377:$D$385)),$D381,""))</f>
        <v>0</v>
      </c>
      <c r="BG381">
        <f>IF($A381="","",$A381-WEEKDAY($A381,2)+1)</f>
        <v>0</v>
      </c>
      <c r="BH381">
        <f>IF($A381="","",IF($A380="",1,IF(BG381&lt;&gt;BG380,1,0)))</f>
        <v>0</v>
      </c>
      <c r="BI381">
        <f>IF($A381="","",IF($A382="",1,IF(BG382&lt;&gt;BG381,1,0)))</f>
        <v>0</v>
      </c>
      <c r="BJ381">
        <f>IF($A381="","",IF(BH381=1,$B381,BJ380))</f>
        <v>0</v>
      </c>
      <c r="BK381">
        <f>IF($A381="","",IF(BH381=1,$C381,MAX($C381,BK380)))</f>
        <v>0</v>
      </c>
      <c r="BL381">
        <f>IF($A381="","",IF(BH381=1,$D381,MIN($D381,BL380)))</f>
        <v>0</v>
      </c>
      <c r="BM381">
        <f>IF($A381="","",IF(BI381=1,F381,""))</f>
        <v>0</v>
      </c>
      <c r="BN381">
        <f>IF($A381="","",DATE(YEAR($A381),MONTH($A381),1))</f>
        <v>0</v>
      </c>
      <c r="BO381">
        <f>IF($A381="","",IF($A380="",1,IF(BN381&lt;&gt;BN380,1,0)))</f>
        <v>0</v>
      </c>
      <c r="BP381">
        <f>IF($A381="","",IF($A382="",1,IF(BN382&lt;&gt;BN381,1,0)))</f>
        <v>0</v>
      </c>
      <c r="BQ381">
        <f>IF($A381="","",IF(BO381=1,$B381,BQ380))</f>
        <v>0</v>
      </c>
      <c r="BR381">
        <f>IF($A381="","",IF(BO381=1,$C381,MAX($C381,BR380)))</f>
        <v>0</v>
      </c>
      <c r="BS381">
        <f>IF($A381="","",IF(BO381=1,$D381,MIN($D381,BS380)))</f>
        <v>0</v>
      </c>
      <c r="BT381">
        <f>IF($A381="","",IF(BP381=1,F381,""))</f>
        <v>0</v>
      </c>
    </row>
    <row r="382" spans="1:72">
      <c r="A382" s="27">
        <f>IF(Data!$A382="","",Data!$A382)</f>
        <v>0</v>
      </c>
      <c r="B382">
        <f>IF(Data!$B382="","",Data!$B382)</f>
        <v>0</v>
      </c>
      <c r="C382">
        <f>IF(Data!$C382="","",Data!$C382)</f>
        <v>0</v>
      </c>
      <c r="D382">
        <f>IF(Data!$D382="","",Data!$D382)</f>
        <v>0</v>
      </c>
      <c r="E382">
        <f>IF(Data!$E382="","",Data!$E382)</f>
        <v>0</v>
      </c>
      <c r="F382">
        <f>IF($E382="","",N(F381)+1)</f>
        <v>0</v>
      </c>
      <c r="G382">
        <f>IF(OR($E382="",$E381=""),"",LN($E382/$E381))</f>
        <v>0</v>
      </c>
      <c r="H382">
        <f>IF($E382="","",IF($E381="",$E382,$E382*0.0952380952+H381*0.9047619048))</f>
        <v>0</v>
      </c>
      <c r="I382">
        <f>IF($E382="","",IF($E381="",$E382,$E382*0.0392156863+I381*0.9607843137))</f>
        <v>0</v>
      </c>
      <c r="J382">
        <f>IF($E382="","",IF($E381="",$E382,$E382*0.0198019802+J381*0.9801980198))</f>
        <v>0</v>
      </c>
      <c r="K382">
        <f>IF($E382="","",IF($E381="",$E382,$E382*0.0099502488+K381*0.9900497512))</f>
        <v>0</v>
      </c>
      <c r="L382">
        <f>IF(OR($E382="",$E381=""),"",MAX($E382-$E381,0))</f>
        <v>0</v>
      </c>
      <c r="M382">
        <f>IF(OR($E382="",$E381=""),"",MAX($E381-$E382,0))</f>
        <v>0</v>
      </c>
      <c r="N382">
        <f>IF(COUNT($E$2:$E382)&lt;15,"",IF(AVERAGE($M$369:$M$382)=0,100,100-100/(1+AVERAGE($L$369:$L$382)/AVERAGE($M$369:$M$382))))</f>
        <v>0</v>
      </c>
      <c r="O382">
        <f>IF($E382="","",IF($E381="",$E382,$E382*0.1538461538+O381*0.8461538462))</f>
        <v>0</v>
      </c>
      <c r="P382">
        <f>IF($E382="","",IF($E381="",$E382,$E382*0.0740740741+P381*0.9259259259))</f>
        <v>0</v>
      </c>
      <c r="Q382">
        <f>IF(OR(O382="",P382=""),"",O382-P382)</f>
        <v>0</v>
      </c>
      <c r="R382">
        <f>IF(Q382="","",IF(R381="",Q382,Q382*0.2000000000+R381*0.8000000000))</f>
        <v>0</v>
      </c>
      <c r="S382">
        <f>IF(OR(Q382="",R382=""),"",Q382-R382)</f>
        <v>0</v>
      </c>
      <c r="T382">
        <f>IF(COUNT($E$2:$E382)&lt;14,"",MAX($C$369:$C$382))</f>
        <v>0</v>
      </c>
      <c r="U382">
        <f>IF(COUNT($E$2:$E382)&lt;14,"",MIN($D$369:$D$382))</f>
        <v>0</v>
      </c>
      <c r="V382">
        <f>IF(OR(T382="",U382="",T382=U382),"",100*($E382-U382)/(T382-U382))</f>
        <v>0</v>
      </c>
      <c r="W382">
        <f>IF(COUNT($V$380:$V$382)&lt;3,"",AVERAGE($V$380:$V$382))</f>
        <v>0</v>
      </c>
      <c r="X382">
        <f>IF(COUNT($N$369:$N$382)&lt;14,"",MIN($N$369:$N$382))</f>
        <v>0</v>
      </c>
      <c r="Y382">
        <f>IF(COUNT($N$369:$N$382)&lt;14,"",MAX($N$369:$N$382))</f>
        <v>0</v>
      </c>
      <c r="Z382">
        <f>IF(OR(N382="",X382="",Y382="",Y382=X382),"",100*(N382-X382)/(Y382-X382))</f>
        <v>0</v>
      </c>
      <c r="AA382">
        <f>IF(COUNT($Z$380:$Z$382)&lt;3,"",AVERAGE($Z$380:$Z$382))</f>
        <v>0</v>
      </c>
      <c r="AB382">
        <f>IF(COUNT($AA$380:$AA$382)&lt;3,"",AVERAGE($AA$380:$AA$382))</f>
        <v>0</v>
      </c>
      <c r="AC382">
        <f>IF($E382="","",MAX($C382-$D382,ABS($C382-$E381),ABS($D382-$E381)))</f>
        <v>0</v>
      </c>
      <c r="AD382">
        <f>IF(COUNT($E$2:$E382)&lt;15,"",AVERAGE($AC$369:$AC$382))</f>
        <v>0</v>
      </c>
      <c r="AE382">
        <f>IF(OR($E382="",$E381=""),"",IF(AND(($C382-$C381)&gt;($D381-$D382),($C382-$C381)&gt;0),$C382-$C381,0))</f>
        <v>0</v>
      </c>
      <c r="AF382">
        <f>IF(OR($E382="",$E381=""),"",IF(AND(($D381-$D382)&gt;($C382-$C381),($D381-$D382)&gt;0),$D381-$D382,0))</f>
        <v>0</v>
      </c>
      <c r="AG382">
        <f>IF(COUNT($E$2:$E382)&lt;15,"",IF(SUM($AC$369:$AC$382)=0,0,100*SUM($AE$369:$AE$382)/SUM($AC$369:$AC$382)))</f>
        <v>0</v>
      </c>
      <c r="AH382">
        <f>IF(COUNT($E$2:$E382)&lt;15,"",IF(SUM($AC$369:$AC$382)=0,0,100*SUM($AF$369:$AF$382)/SUM($AC$369:$AC$382)))</f>
        <v>0</v>
      </c>
      <c r="AI382">
        <f>IF(OR(AG382="",AH382=""),"",IF((AG382+AH382)=0,0,100*ABS(AG382-AH382)/(AG382+AH382)))</f>
        <v>0</v>
      </c>
      <c r="AJ382">
        <f>IF(COUNT($AI$369:$AI$382)&lt;14,"",AVERAGE($AI$369:$AI$382))</f>
        <v>0</v>
      </c>
      <c r="AK382">
        <f>IF(COUNT($E$2:$E382)&lt;20,"",AVERAGE($E$363:$E$382))</f>
        <v>0</v>
      </c>
      <c r="AL382">
        <f>IF(COUNT($E$2:$E382)&lt;20,"",STDEVP($E$363:$E$382))</f>
        <v>0</v>
      </c>
      <c r="AM382">
        <f>IF(AK382="","",AK382+2*AL382)</f>
        <v>0</v>
      </c>
      <c r="AN382">
        <f>IF(AK382="","",AK382-2*AL382)</f>
        <v>0</v>
      </c>
      <c r="AO382">
        <f>IF(OR(AM382="",AN382="",AM382=AN382),"",($E382-AN382)/(AM382-AN382))</f>
        <v>0</v>
      </c>
      <c r="AP382">
        <f>IF(OR(AM382="",AK382="",AK382=0),"",(AM382-AN382)/AK382)</f>
        <v>0</v>
      </c>
      <c r="AQ382">
        <f>IF(COUNT($E$2:$E382)&lt;20,"",MAX($C$363:$C$382))</f>
        <v>0</v>
      </c>
      <c r="AR382">
        <f>IF(COUNT($E$2:$E382)&lt;20,"",MIN($D$363:$D$382))</f>
        <v>0</v>
      </c>
      <c r="AS382">
        <f>IF(OR(AQ382="",AR382=""),"",(AQ382+AR382)/2)</f>
        <v>0</v>
      </c>
      <c r="AT382">
        <f>IF(COUNT($G$363:$G$382)&lt;20,"",STDEV($G$363:$G$382)*SQRT(252))</f>
        <v>0</v>
      </c>
      <c r="AU382">
        <f>IF(COUNT($E$2:$E382)&lt;9,"",(MAX($C$374:$C$382)+MIN($D$374:$D$382))/2)</f>
        <v>0</v>
      </c>
      <c r="AV382">
        <f>IF(COUNT($E$2:$E382)&lt;26,"",(MAX($C$357:$C$382)+MIN($D$357:$D$382))/2)</f>
        <v>0</v>
      </c>
      <c r="AW382">
        <f>IF(OR(AU382="",AV382=""),"",(AU382+AV382)/2)</f>
        <v>0</v>
      </c>
      <c r="AX382">
        <f>IF(COUNT($E$2:$E382)&lt;52,"",(MAX($C$331:$C$382)+MIN($D$331:$D$382))/2)</f>
        <v>0</v>
      </c>
      <c r="AY382">
        <f>IF(COUNT($E$2:$E382)&lt;20,"",MAX($C$283:$C$382))</f>
        <v>0</v>
      </c>
      <c r="AZ382">
        <f>IF(COUNT($E$2:$E382)&lt;20,"",MIN($D$283:$D$382))</f>
        <v>0</v>
      </c>
      <c r="BA382">
        <f>IF(COUNT($E$2:$E382)&lt;20,"",SLOPE($E$283:$E$382,$F$283:$F$382))</f>
        <v>0</v>
      </c>
      <c r="BB382">
        <f>IF(COUNT($E$2:$E382)&lt;20,"",INTERCEPT($E$283:$E$382,$F$283:$F$382))</f>
        <v>0</v>
      </c>
      <c r="BC382">
        <f>IF(OR(BA382="",BB382=""),"",BB382+BA382*F382)</f>
        <v>0</v>
      </c>
      <c r="BD382">
        <f>IF(COUNT($E$2:$E382)&lt;20,"",STEYX($E$283:$E$382,$F$283:$F$382))</f>
        <v>0</v>
      </c>
      <c r="BE382">
        <f>IF($E382="","",IF(AND(COUNT($E$383:$E$386)&gt;=4,$C382=MAX($C$378:$C$386)),$C382,""))</f>
        <v>0</v>
      </c>
      <c r="BF382">
        <f>IF($E382="","",IF(AND(COUNT($E$383:$E$386)&gt;=4,$D382=MIN($D$378:$D$386)),$D382,""))</f>
        <v>0</v>
      </c>
      <c r="BG382">
        <f>IF($A382="","",$A382-WEEKDAY($A382,2)+1)</f>
        <v>0</v>
      </c>
      <c r="BH382">
        <f>IF($A382="","",IF($A381="",1,IF(BG382&lt;&gt;BG381,1,0)))</f>
        <v>0</v>
      </c>
      <c r="BI382">
        <f>IF($A382="","",IF($A383="",1,IF(BG383&lt;&gt;BG382,1,0)))</f>
        <v>0</v>
      </c>
      <c r="BJ382">
        <f>IF($A382="","",IF(BH382=1,$B382,BJ381))</f>
        <v>0</v>
      </c>
      <c r="BK382">
        <f>IF($A382="","",IF(BH382=1,$C382,MAX($C382,BK381)))</f>
        <v>0</v>
      </c>
      <c r="BL382">
        <f>IF($A382="","",IF(BH382=1,$D382,MIN($D382,BL381)))</f>
        <v>0</v>
      </c>
      <c r="BM382">
        <f>IF($A382="","",IF(BI382=1,F382,""))</f>
        <v>0</v>
      </c>
      <c r="BN382">
        <f>IF($A382="","",DATE(YEAR($A382),MONTH($A382),1))</f>
        <v>0</v>
      </c>
      <c r="BO382">
        <f>IF($A382="","",IF($A381="",1,IF(BN382&lt;&gt;BN381,1,0)))</f>
        <v>0</v>
      </c>
      <c r="BP382">
        <f>IF($A382="","",IF($A383="",1,IF(BN383&lt;&gt;BN382,1,0)))</f>
        <v>0</v>
      </c>
      <c r="BQ382">
        <f>IF($A382="","",IF(BO382=1,$B382,BQ381))</f>
        <v>0</v>
      </c>
      <c r="BR382">
        <f>IF($A382="","",IF(BO382=1,$C382,MAX($C382,BR381)))</f>
        <v>0</v>
      </c>
      <c r="BS382">
        <f>IF($A382="","",IF(BO382=1,$D382,MIN($D382,BS381)))</f>
        <v>0</v>
      </c>
      <c r="BT382">
        <f>IF($A382="","",IF(BP382=1,F382,""))</f>
        <v>0</v>
      </c>
    </row>
    <row r="383" spans="1:72">
      <c r="A383" s="27">
        <f>IF(Data!$A383="","",Data!$A383)</f>
        <v>0</v>
      </c>
      <c r="B383">
        <f>IF(Data!$B383="","",Data!$B383)</f>
        <v>0</v>
      </c>
      <c r="C383">
        <f>IF(Data!$C383="","",Data!$C383)</f>
        <v>0</v>
      </c>
      <c r="D383">
        <f>IF(Data!$D383="","",Data!$D383)</f>
        <v>0</v>
      </c>
      <c r="E383">
        <f>IF(Data!$E383="","",Data!$E383)</f>
        <v>0</v>
      </c>
      <c r="F383">
        <f>IF($E383="","",N(F382)+1)</f>
        <v>0</v>
      </c>
      <c r="G383">
        <f>IF(OR($E383="",$E382=""),"",LN($E383/$E382))</f>
        <v>0</v>
      </c>
      <c r="H383">
        <f>IF($E383="","",IF($E382="",$E383,$E383*0.0952380952+H382*0.9047619048))</f>
        <v>0</v>
      </c>
      <c r="I383">
        <f>IF($E383="","",IF($E382="",$E383,$E383*0.0392156863+I382*0.9607843137))</f>
        <v>0</v>
      </c>
      <c r="J383">
        <f>IF($E383="","",IF($E382="",$E383,$E383*0.0198019802+J382*0.9801980198))</f>
        <v>0</v>
      </c>
      <c r="K383">
        <f>IF($E383="","",IF($E382="",$E383,$E383*0.0099502488+K382*0.9900497512))</f>
        <v>0</v>
      </c>
      <c r="L383">
        <f>IF(OR($E383="",$E382=""),"",MAX($E383-$E382,0))</f>
        <v>0</v>
      </c>
      <c r="M383">
        <f>IF(OR($E383="",$E382=""),"",MAX($E382-$E383,0))</f>
        <v>0</v>
      </c>
      <c r="N383">
        <f>IF(COUNT($E$2:$E383)&lt;15,"",IF(AVERAGE($M$370:$M$383)=0,100,100-100/(1+AVERAGE($L$370:$L$383)/AVERAGE($M$370:$M$383))))</f>
        <v>0</v>
      </c>
      <c r="O383">
        <f>IF($E383="","",IF($E382="",$E383,$E383*0.1538461538+O382*0.8461538462))</f>
        <v>0</v>
      </c>
      <c r="P383">
        <f>IF($E383="","",IF($E382="",$E383,$E383*0.0740740741+P382*0.9259259259))</f>
        <v>0</v>
      </c>
      <c r="Q383">
        <f>IF(OR(O383="",P383=""),"",O383-P383)</f>
        <v>0</v>
      </c>
      <c r="R383">
        <f>IF(Q383="","",IF(R382="",Q383,Q383*0.2000000000+R382*0.8000000000))</f>
        <v>0</v>
      </c>
      <c r="S383">
        <f>IF(OR(Q383="",R383=""),"",Q383-R383)</f>
        <v>0</v>
      </c>
      <c r="T383">
        <f>IF(COUNT($E$2:$E383)&lt;14,"",MAX($C$370:$C$383))</f>
        <v>0</v>
      </c>
      <c r="U383">
        <f>IF(COUNT($E$2:$E383)&lt;14,"",MIN($D$370:$D$383))</f>
        <v>0</v>
      </c>
      <c r="V383">
        <f>IF(OR(T383="",U383="",T383=U383),"",100*($E383-U383)/(T383-U383))</f>
        <v>0</v>
      </c>
      <c r="W383">
        <f>IF(COUNT($V$381:$V$383)&lt;3,"",AVERAGE($V$381:$V$383))</f>
        <v>0</v>
      </c>
      <c r="X383">
        <f>IF(COUNT($N$370:$N$383)&lt;14,"",MIN($N$370:$N$383))</f>
        <v>0</v>
      </c>
      <c r="Y383">
        <f>IF(COUNT($N$370:$N$383)&lt;14,"",MAX($N$370:$N$383))</f>
        <v>0</v>
      </c>
      <c r="Z383">
        <f>IF(OR(N383="",X383="",Y383="",Y383=X383),"",100*(N383-X383)/(Y383-X383))</f>
        <v>0</v>
      </c>
      <c r="AA383">
        <f>IF(COUNT($Z$381:$Z$383)&lt;3,"",AVERAGE($Z$381:$Z$383))</f>
        <v>0</v>
      </c>
      <c r="AB383">
        <f>IF(COUNT($AA$381:$AA$383)&lt;3,"",AVERAGE($AA$381:$AA$383))</f>
        <v>0</v>
      </c>
      <c r="AC383">
        <f>IF($E383="","",MAX($C383-$D383,ABS($C383-$E382),ABS($D383-$E382)))</f>
        <v>0</v>
      </c>
      <c r="AD383">
        <f>IF(COUNT($E$2:$E383)&lt;15,"",AVERAGE($AC$370:$AC$383))</f>
        <v>0</v>
      </c>
      <c r="AE383">
        <f>IF(OR($E383="",$E382=""),"",IF(AND(($C383-$C382)&gt;($D382-$D383),($C383-$C382)&gt;0),$C383-$C382,0))</f>
        <v>0</v>
      </c>
      <c r="AF383">
        <f>IF(OR($E383="",$E382=""),"",IF(AND(($D382-$D383)&gt;($C383-$C382),($D382-$D383)&gt;0),$D382-$D383,0))</f>
        <v>0</v>
      </c>
      <c r="AG383">
        <f>IF(COUNT($E$2:$E383)&lt;15,"",IF(SUM($AC$370:$AC$383)=0,0,100*SUM($AE$370:$AE$383)/SUM($AC$370:$AC$383)))</f>
        <v>0</v>
      </c>
      <c r="AH383">
        <f>IF(COUNT($E$2:$E383)&lt;15,"",IF(SUM($AC$370:$AC$383)=0,0,100*SUM($AF$370:$AF$383)/SUM($AC$370:$AC$383)))</f>
        <v>0</v>
      </c>
      <c r="AI383">
        <f>IF(OR(AG383="",AH383=""),"",IF((AG383+AH383)=0,0,100*ABS(AG383-AH383)/(AG383+AH383)))</f>
        <v>0</v>
      </c>
      <c r="AJ383">
        <f>IF(COUNT($AI$370:$AI$383)&lt;14,"",AVERAGE($AI$370:$AI$383))</f>
        <v>0</v>
      </c>
      <c r="AK383">
        <f>IF(COUNT($E$2:$E383)&lt;20,"",AVERAGE($E$364:$E$383))</f>
        <v>0</v>
      </c>
      <c r="AL383">
        <f>IF(COUNT($E$2:$E383)&lt;20,"",STDEVP($E$364:$E$383))</f>
        <v>0</v>
      </c>
      <c r="AM383">
        <f>IF(AK383="","",AK383+2*AL383)</f>
        <v>0</v>
      </c>
      <c r="AN383">
        <f>IF(AK383="","",AK383-2*AL383)</f>
        <v>0</v>
      </c>
      <c r="AO383">
        <f>IF(OR(AM383="",AN383="",AM383=AN383),"",($E383-AN383)/(AM383-AN383))</f>
        <v>0</v>
      </c>
      <c r="AP383">
        <f>IF(OR(AM383="",AK383="",AK383=0),"",(AM383-AN383)/AK383)</f>
        <v>0</v>
      </c>
      <c r="AQ383">
        <f>IF(COUNT($E$2:$E383)&lt;20,"",MAX($C$364:$C$383))</f>
        <v>0</v>
      </c>
      <c r="AR383">
        <f>IF(COUNT($E$2:$E383)&lt;20,"",MIN($D$364:$D$383))</f>
        <v>0</v>
      </c>
      <c r="AS383">
        <f>IF(OR(AQ383="",AR383=""),"",(AQ383+AR383)/2)</f>
        <v>0</v>
      </c>
      <c r="AT383">
        <f>IF(COUNT($G$364:$G$383)&lt;20,"",STDEV($G$364:$G$383)*SQRT(252))</f>
        <v>0</v>
      </c>
      <c r="AU383">
        <f>IF(COUNT($E$2:$E383)&lt;9,"",(MAX($C$375:$C$383)+MIN($D$375:$D$383))/2)</f>
        <v>0</v>
      </c>
      <c r="AV383">
        <f>IF(COUNT($E$2:$E383)&lt;26,"",(MAX($C$358:$C$383)+MIN($D$358:$D$383))/2)</f>
        <v>0</v>
      </c>
      <c r="AW383">
        <f>IF(OR(AU383="",AV383=""),"",(AU383+AV383)/2)</f>
        <v>0</v>
      </c>
      <c r="AX383">
        <f>IF(COUNT($E$2:$E383)&lt;52,"",(MAX($C$332:$C$383)+MIN($D$332:$D$383))/2)</f>
        <v>0</v>
      </c>
      <c r="AY383">
        <f>IF(COUNT($E$2:$E383)&lt;20,"",MAX($C$284:$C$383))</f>
        <v>0</v>
      </c>
      <c r="AZ383">
        <f>IF(COUNT($E$2:$E383)&lt;20,"",MIN($D$284:$D$383))</f>
        <v>0</v>
      </c>
      <c r="BA383">
        <f>IF(COUNT($E$2:$E383)&lt;20,"",SLOPE($E$284:$E$383,$F$284:$F$383))</f>
        <v>0</v>
      </c>
      <c r="BB383">
        <f>IF(COUNT($E$2:$E383)&lt;20,"",INTERCEPT($E$284:$E$383,$F$284:$F$383))</f>
        <v>0</v>
      </c>
      <c r="BC383">
        <f>IF(OR(BA383="",BB383=""),"",BB383+BA383*F383)</f>
        <v>0</v>
      </c>
      <c r="BD383">
        <f>IF(COUNT($E$2:$E383)&lt;20,"",STEYX($E$284:$E$383,$F$284:$F$383))</f>
        <v>0</v>
      </c>
      <c r="BE383">
        <f>IF($E383="","",IF(AND(COUNT($E$384:$E$387)&gt;=4,$C383=MAX($C$379:$C$387)),$C383,""))</f>
        <v>0</v>
      </c>
      <c r="BF383">
        <f>IF($E383="","",IF(AND(COUNT($E$384:$E$387)&gt;=4,$D383=MIN($D$379:$D$387)),$D383,""))</f>
        <v>0</v>
      </c>
      <c r="BG383">
        <f>IF($A383="","",$A383-WEEKDAY($A383,2)+1)</f>
        <v>0</v>
      </c>
      <c r="BH383">
        <f>IF($A383="","",IF($A382="",1,IF(BG383&lt;&gt;BG382,1,0)))</f>
        <v>0</v>
      </c>
      <c r="BI383">
        <f>IF($A383="","",IF($A384="",1,IF(BG384&lt;&gt;BG383,1,0)))</f>
        <v>0</v>
      </c>
      <c r="BJ383">
        <f>IF($A383="","",IF(BH383=1,$B383,BJ382))</f>
        <v>0</v>
      </c>
      <c r="BK383">
        <f>IF($A383="","",IF(BH383=1,$C383,MAX($C383,BK382)))</f>
        <v>0</v>
      </c>
      <c r="BL383">
        <f>IF($A383="","",IF(BH383=1,$D383,MIN($D383,BL382)))</f>
        <v>0</v>
      </c>
      <c r="BM383">
        <f>IF($A383="","",IF(BI383=1,F383,""))</f>
        <v>0</v>
      </c>
      <c r="BN383">
        <f>IF($A383="","",DATE(YEAR($A383),MONTH($A383),1))</f>
        <v>0</v>
      </c>
      <c r="BO383">
        <f>IF($A383="","",IF($A382="",1,IF(BN383&lt;&gt;BN382,1,0)))</f>
        <v>0</v>
      </c>
      <c r="BP383">
        <f>IF($A383="","",IF($A384="",1,IF(BN384&lt;&gt;BN383,1,0)))</f>
        <v>0</v>
      </c>
      <c r="BQ383">
        <f>IF($A383="","",IF(BO383=1,$B383,BQ382))</f>
        <v>0</v>
      </c>
      <c r="BR383">
        <f>IF($A383="","",IF(BO383=1,$C383,MAX($C383,BR382)))</f>
        <v>0</v>
      </c>
      <c r="BS383">
        <f>IF($A383="","",IF(BO383=1,$D383,MIN($D383,BS382)))</f>
        <v>0</v>
      </c>
      <c r="BT383">
        <f>IF($A383="","",IF(BP383=1,F383,""))</f>
        <v>0</v>
      </c>
    </row>
    <row r="384" spans="1:72">
      <c r="A384" s="27">
        <f>IF(Data!$A384="","",Data!$A384)</f>
        <v>0</v>
      </c>
      <c r="B384">
        <f>IF(Data!$B384="","",Data!$B384)</f>
        <v>0</v>
      </c>
      <c r="C384">
        <f>IF(Data!$C384="","",Data!$C384)</f>
        <v>0</v>
      </c>
      <c r="D384">
        <f>IF(Data!$D384="","",Data!$D384)</f>
        <v>0</v>
      </c>
      <c r="E384">
        <f>IF(Data!$E384="","",Data!$E384)</f>
        <v>0</v>
      </c>
      <c r="F384">
        <f>IF($E384="","",N(F383)+1)</f>
        <v>0</v>
      </c>
      <c r="G384">
        <f>IF(OR($E384="",$E383=""),"",LN($E384/$E383))</f>
        <v>0</v>
      </c>
      <c r="H384">
        <f>IF($E384="","",IF($E383="",$E384,$E384*0.0952380952+H383*0.9047619048))</f>
        <v>0</v>
      </c>
      <c r="I384">
        <f>IF($E384="","",IF($E383="",$E384,$E384*0.0392156863+I383*0.9607843137))</f>
        <v>0</v>
      </c>
      <c r="J384">
        <f>IF($E384="","",IF($E383="",$E384,$E384*0.0198019802+J383*0.9801980198))</f>
        <v>0</v>
      </c>
      <c r="K384">
        <f>IF($E384="","",IF($E383="",$E384,$E384*0.0099502488+K383*0.9900497512))</f>
        <v>0</v>
      </c>
      <c r="L384">
        <f>IF(OR($E384="",$E383=""),"",MAX($E384-$E383,0))</f>
        <v>0</v>
      </c>
      <c r="M384">
        <f>IF(OR($E384="",$E383=""),"",MAX($E383-$E384,0))</f>
        <v>0</v>
      </c>
      <c r="N384">
        <f>IF(COUNT($E$2:$E384)&lt;15,"",IF(AVERAGE($M$371:$M$384)=0,100,100-100/(1+AVERAGE($L$371:$L$384)/AVERAGE($M$371:$M$384))))</f>
        <v>0</v>
      </c>
      <c r="O384">
        <f>IF($E384="","",IF($E383="",$E384,$E384*0.1538461538+O383*0.8461538462))</f>
        <v>0</v>
      </c>
      <c r="P384">
        <f>IF($E384="","",IF($E383="",$E384,$E384*0.0740740741+P383*0.9259259259))</f>
        <v>0</v>
      </c>
      <c r="Q384">
        <f>IF(OR(O384="",P384=""),"",O384-P384)</f>
        <v>0</v>
      </c>
      <c r="R384">
        <f>IF(Q384="","",IF(R383="",Q384,Q384*0.2000000000+R383*0.8000000000))</f>
        <v>0</v>
      </c>
      <c r="S384">
        <f>IF(OR(Q384="",R384=""),"",Q384-R384)</f>
        <v>0</v>
      </c>
      <c r="T384">
        <f>IF(COUNT($E$2:$E384)&lt;14,"",MAX($C$371:$C$384))</f>
        <v>0</v>
      </c>
      <c r="U384">
        <f>IF(COUNT($E$2:$E384)&lt;14,"",MIN($D$371:$D$384))</f>
        <v>0</v>
      </c>
      <c r="V384">
        <f>IF(OR(T384="",U384="",T384=U384),"",100*($E384-U384)/(T384-U384))</f>
        <v>0</v>
      </c>
      <c r="W384">
        <f>IF(COUNT($V$382:$V$384)&lt;3,"",AVERAGE($V$382:$V$384))</f>
        <v>0</v>
      </c>
      <c r="X384">
        <f>IF(COUNT($N$371:$N$384)&lt;14,"",MIN($N$371:$N$384))</f>
        <v>0</v>
      </c>
      <c r="Y384">
        <f>IF(COUNT($N$371:$N$384)&lt;14,"",MAX($N$371:$N$384))</f>
        <v>0</v>
      </c>
      <c r="Z384">
        <f>IF(OR(N384="",X384="",Y384="",Y384=X384),"",100*(N384-X384)/(Y384-X384))</f>
        <v>0</v>
      </c>
      <c r="AA384">
        <f>IF(COUNT($Z$382:$Z$384)&lt;3,"",AVERAGE($Z$382:$Z$384))</f>
        <v>0</v>
      </c>
      <c r="AB384">
        <f>IF(COUNT($AA$382:$AA$384)&lt;3,"",AVERAGE($AA$382:$AA$384))</f>
        <v>0</v>
      </c>
      <c r="AC384">
        <f>IF($E384="","",MAX($C384-$D384,ABS($C384-$E383),ABS($D384-$E383)))</f>
        <v>0</v>
      </c>
      <c r="AD384">
        <f>IF(COUNT($E$2:$E384)&lt;15,"",AVERAGE($AC$371:$AC$384))</f>
        <v>0</v>
      </c>
      <c r="AE384">
        <f>IF(OR($E384="",$E383=""),"",IF(AND(($C384-$C383)&gt;($D383-$D384),($C384-$C383)&gt;0),$C384-$C383,0))</f>
        <v>0</v>
      </c>
      <c r="AF384">
        <f>IF(OR($E384="",$E383=""),"",IF(AND(($D383-$D384)&gt;($C384-$C383),($D383-$D384)&gt;0),$D383-$D384,0))</f>
        <v>0</v>
      </c>
      <c r="AG384">
        <f>IF(COUNT($E$2:$E384)&lt;15,"",IF(SUM($AC$371:$AC$384)=0,0,100*SUM($AE$371:$AE$384)/SUM($AC$371:$AC$384)))</f>
        <v>0</v>
      </c>
      <c r="AH384">
        <f>IF(COUNT($E$2:$E384)&lt;15,"",IF(SUM($AC$371:$AC$384)=0,0,100*SUM($AF$371:$AF$384)/SUM($AC$371:$AC$384)))</f>
        <v>0</v>
      </c>
      <c r="AI384">
        <f>IF(OR(AG384="",AH384=""),"",IF((AG384+AH384)=0,0,100*ABS(AG384-AH384)/(AG384+AH384)))</f>
        <v>0</v>
      </c>
      <c r="AJ384">
        <f>IF(COUNT($AI$371:$AI$384)&lt;14,"",AVERAGE($AI$371:$AI$384))</f>
        <v>0</v>
      </c>
      <c r="AK384">
        <f>IF(COUNT($E$2:$E384)&lt;20,"",AVERAGE($E$365:$E$384))</f>
        <v>0</v>
      </c>
      <c r="AL384">
        <f>IF(COUNT($E$2:$E384)&lt;20,"",STDEVP($E$365:$E$384))</f>
        <v>0</v>
      </c>
      <c r="AM384">
        <f>IF(AK384="","",AK384+2*AL384)</f>
        <v>0</v>
      </c>
      <c r="AN384">
        <f>IF(AK384="","",AK384-2*AL384)</f>
        <v>0</v>
      </c>
      <c r="AO384">
        <f>IF(OR(AM384="",AN384="",AM384=AN384),"",($E384-AN384)/(AM384-AN384))</f>
        <v>0</v>
      </c>
      <c r="AP384">
        <f>IF(OR(AM384="",AK384="",AK384=0),"",(AM384-AN384)/AK384)</f>
        <v>0</v>
      </c>
      <c r="AQ384">
        <f>IF(COUNT($E$2:$E384)&lt;20,"",MAX($C$365:$C$384))</f>
        <v>0</v>
      </c>
      <c r="AR384">
        <f>IF(COUNT($E$2:$E384)&lt;20,"",MIN($D$365:$D$384))</f>
        <v>0</v>
      </c>
      <c r="AS384">
        <f>IF(OR(AQ384="",AR384=""),"",(AQ384+AR384)/2)</f>
        <v>0</v>
      </c>
      <c r="AT384">
        <f>IF(COUNT($G$365:$G$384)&lt;20,"",STDEV($G$365:$G$384)*SQRT(252))</f>
        <v>0</v>
      </c>
      <c r="AU384">
        <f>IF(COUNT($E$2:$E384)&lt;9,"",(MAX($C$376:$C$384)+MIN($D$376:$D$384))/2)</f>
        <v>0</v>
      </c>
      <c r="AV384">
        <f>IF(COUNT($E$2:$E384)&lt;26,"",(MAX($C$359:$C$384)+MIN($D$359:$D$384))/2)</f>
        <v>0</v>
      </c>
      <c r="AW384">
        <f>IF(OR(AU384="",AV384=""),"",(AU384+AV384)/2)</f>
        <v>0</v>
      </c>
      <c r="AX384">
        <f>IF(COUNT($E$2:$E384)&lt;52,"",(MAX($C$333:$C$384)+MIN($D$333:$D$384))/2)</f>
        <v>0</v>
      </c>
      <c r="AY384">
        <f>IF(COUNT($E$2:$E384)&lt;20,"",MAX($C$285:$C$384))</f>
        <v>0</v>
      </c>
      <c r="AZ384">
        <f>IF(COUNT($E$2:$E384)&lt;20,"",MIN($D$285:$D$384))</f>
        <v>0</v>
      </c>
      <c r="BA384">
        <f>IF(COUNT($E$2:$E384)&lt;20,"",SLOPE($E$285:$E$384,$F$285:$F$384))</f>
        <v>0</v>
      </c>
      <c r="BB384">
        <f>IF(COUNT($E$2:$E384)&lt;20,"",INTERCEPT($E$285:$E$384,$F$285:$F$384))</f>
        <v>0</v>
      </c>
      <c r="BC384">
        <f>IF(OR(BA384="",BB384=""),"",BB384+BA384*F384)</f>
        <v>0</v>
      </c>
      <c r="BD384">
        <f>IF(COUNT($E$2:$E384)&lt;20,"",STEYX($E$285:$E$384,$F$285:$F$384))</f>
        <v>0</v>
      </c>
      <c r="BE384">
        <f>IF($E384="","",IF(AND(COUNT($E$385:$E$388)&gt;=4,$C384=MAX($C$380:$C$388)),$C384,""))</f>
        <v>0</v>
      </c>
      <c r="BF384">
        <f>IF($E384="","",IF(AND(COUNT($E$385:$E$388)&gt;=4,$D384=MIN($D$380:$D$388)),$D384,""))</f>
        <v>0</v>
      </c>
      <c r="BG384">
        <f>IF($A384="","",$A384-WEEKDAY($A384,2)+1)</f>
        <v>0</v>
      </c>
      <c r="BH384">
        <f>IF($A384="","",IF($A383="",1,IF(BG384&lt;&gt;BG383,1,0)))</f>
        <v>0</v>
      </c>
      <c r="BI384">
        <f>IF($A384="","",IF($A385="",1,IF(BG385&lt;&gt;BG384,1,0)))</f>
        <v>0</v>
      </c>
      <c r="BJ384">
        <f>IF($A384="","",IF(BH384=1,$B384,BJ383))</f>
        <v>0</v>
      </c>
      <c r="BK384">
        <f>IF($A384="","",IF(BH384=1,$C384,MAX($C384,BK383)))</f>
        <v>0</v>
      </c>
      <c r="BL384">
        <f>IF($A384="","",IF(BH384=1,$D384,MIN($D384,BL383)))</f>
        <v>0</v>
      </c>
      <c r="BM384">
        <f>IF($A384="","",IF(BI384=1,F384,""))</f>
        <v>0</v>
      </c>
      <c r="BN384">
        <f>IF($A384="","",DATE(YEAR($A384),MONTH($A384),1))</f>
        <v>0</v>
      </c>
      <c r="BO384">
        <f>IF($A384="","",IF($A383="",1,IF(BN384&lt;&gt;BN383,1,0)))</f>
        <v>0</v>
      </c>
      <c r="BP384">
        <f>IF($A384="","",IF($A385="",1,IF(BN385&lt;&gt;BN384,1,0)))</f>
        <v>0</v>
      </c>
      <c r="BQ384">
        <f>IF($A384="","",IF(BO384=1,$B384,BQ383))</f>
        <v>0</v>
      </c>
      <c r="BR384">
        <f>IF($A384="","",IF(BO384=1,$C384,MAX($C384,BR383)))</f>
        <v>0</v>
      </c>
      <c r="BS384">
        <f>IF($A384="","",IF(BO384=1,$D384,MIN($D384,BS383)))</f>
        <v>0</v>
      </c>
      <c r="BT384">
        <f>IF($A384="","",IF(BP384=1,F384,""))</f>
        <v>0</v>
      </c>
    </row>
    <row r="385" spans="1:72">
      <c r="A385" s="27">
        <f>IF(Data!$A385="","",Data!$A385)</f>
        <v>0</v>
      </c>
      <c r="B385">
        <f>IF(Data!$B385="","",Data!$B385)</f>
        <v>0</v>
      </c>
      <c r="C385">
        <f>IF(Data!$C385="","",Data!$C385)</f>
        <v>0</v>
      </c>
      <c r="D385">
        <f>IF(Data!$D385="","",Data!$D385)</f>
        <v>0</v>
      </c>
      <c r="E385">
        <f>IF(Data!$E385="","",Data!$E385)</f>
        <v>0</v>
      </c>
      <c r="F385">
        <f>IF($E385="","",N(F384)+1)</f>
        <v>0</v>
      </c>
      <c r="G385">
        <f>IF(OR($E385="",$E384=""),"",LN($E385/$E384))</f>
        <v>0</v>
      </c>
      <c r="H385">
        <f>IF($E385="","",IF($E384="",$E385,$E385*0.0952380952+H384*0.9047619048))</f>
        <v>0</v>
      </c>
      <c r="I385">
        <f>IF($E385="","",IF($E384="",$E385,$E385*0.0392156863+I384*0.9607843137))</f>
        <v>0</v>
      </c>
      <c r="J385">
        <f>IF($E385="","",IF($E384="",$E385,$E385*0.0198019802+J384*0.9801980198))</f>
        <v>0</v>
      </c>
      <c r="K385">
        <f>IF($E385="","",IF($E384="",$E385,$E385*0.0099502488+K384*0.9900497512))</f>
        <v>0</v>
      </c>
      <c r="L385">
        <f>IF(OR($E385="",$E384=""),"",MAX($E385-$E384,0))</f>
        <v>0</v>
      </c>
      <c r="M385">
        <f>IF(OR($E385="",$E384=""),"",MAX($E384-$E385,0))</f>
        <v>0</v>
      </c>
      <c r="N385">
        <f>IF(COUNT($E$2:$E385)&lt;15,"",IF(AVERAGE($M$372:$M$385)=0,100,100-100/(1+AVERAGE($L$372:$L$385)/AVERAGE($M$372:$M$385))))</f>
        <v>0</v>
      </c>
      <c r="O385">
        <f>IF($E385="","",IF($E384="",$E385,$E385*0.1538461538+O384*0.8461538462))</f>
        <v>0</v>
      </c>
      <c r="P385">
        <f>IF($E385="","",IF($E384="",$E385,$E385*0.0740740741+P384*0.9259259259))</f>
        <v>0</v>
      </c>
      <c r="Q385">
        <f>IF(OR(O385="",P385=""),"",O385-P385)</f>
        <v>0</v>
      </c>
      <c r="R385">
        <f>IF(Q385="","",IF(R384="",Q385,Q385*0.2000000000+R384*0.8000000000))</f>
        <v>0</v>
      </c>
      <c r="S385">
        <f>IF(OR(Q385="",R385=""),"",Q385-R385)</f>
        <v>0</v>
      </c>
      <c r="T385">
        <f>IF(COUNT($E$2:$E385)&lt;14,"",MAX($C$372:$C$385))</f>
        <v>0</v>
      </c>
      <c r="U385">
        <f>IF(COUNT($E$2:$E385)&lt;14,"",MIN($D$372:$D$385))</f>
        <v>0</v>
      </c>
      <c r="V385">
        <f>IF(OR(T385="",U385="",T385=U385),"",100*($E385-U385)/(T385-U385))</f>
        <v>0</v>
      </c>
      <c r="W385">
        <f>IF(COUNT($V$383:$V$385)&lt;3,"",AVERAGE($V$383:$V$385))</f>
        <v>0</v>
      </c>
      <c r="X385">
        <f>IF(COUNT($N$372:$N$385)&lt;14,"",MIN($N$372:$N$385))</f>
        <v>0</v>
      </c>
      <c r="Y385">
        <f>IF(COUNT($N$372:$N$385)&lt;14,"",MAX($N$372:$N$385))</f>
        <v>0</v>
      </c>
      <c r="Z385">
        <f>IF(OR(N385="",X385="",Y385="",Y385=X385),"",100*(N385-X385)/(Y385-X385))</f>
        <v>0</v>
      </c>
      <c r="AA385">
        <f>IF(COUNT($Z$383:$Z$385)&lt;3,"",AVERAGE($Z$383:$Z$385))</f>
        <v>0</v>
      </c>
      <c r="AB385">
        <f>IF(COUNT($AA$383:$AA$385)&lt;3,"",AVERAGE($AA$383:$AA$385))</f>
        <v>0</v>
      </c>
      <c r="AC385">
        <f>IF($E385="","",MAX($C385-$D385,ABS($C385-$E384),ABS($D385-$E384)))</f>
        <v>0</v>
      </c>
      <c r="AD385">
        <f>IF(COUNT($E$2:$E385)&lt;15,"",AVERAGE($AC$372:$AC$385))</f>
        <v>0</v>
      </c>
      <c r="AE385">
        <f>IF(OR($E385="",$E384=""),"",IF(AND(($C385-$C384)&gt;($D384-$D385),($C385-$C384)&gt;0),$C385-$C384,0))</f>
        <v>0</v>
      </c>
      <c r="AF385">
        <f>IF(OR($E385="",$E384=""),"",IF(AND(($D384-$D385)&gt;($C385-$C384),($D384-$D385)&gt;0),$D384-$D385,0))</f>
        <v>0</v>
      </c>
      <c r="AG385">
        <f>IF(COUNT($E$2:$E385)&lt;15,"",IF(SUM($AC$372:$AC$385)=0,0,100*SUM($AE$372:$AE$385)/SUM($AC$372:$AC$385)))</f>
        <v>0</v>
      </c>
      <c r="AH385">
        <f>IF(COUNT($E$2:$E385)&lt;15,"",IF(SUM($AC$372:$AC$385)=0,0,100*SUM($AF$372:$AF$385)/SUM($AC$372:$AC$385)))</f>
        <v>0</v>
      </c>
      <c r="AI385">
        <f>IF(OR(AG385="",AH385=""),"",IF((AG385+AH385)=0,0,100*ABS(AG385-AH385)/(AG385+AH385)))</f>
        <v>0</v>
      </c>
      <c r="AJ385">
        <f>IF(COUNT($AI$372:$AI$385)&lt;14,"",AVERAGE($AI$372:$AI$385))</f>
        <v>0</v>
      </c>
      <c r="AK385">
        <f>IF(COUNT($E$2:$E385)&lt;20,"",AVERAGE($E$366:$E$385))</f>
        <v>0</v>
      </c>
      <c r="AL385">
        <f>IF(COUNT($E$2:$E385)&lt;20,"",STDEVP($E$366:$E$385))</f>
        <v>0</v>
      </c>
      <c r="AM385">
        <f>IF(AK385="","",AK385+2*AL385)</f>
        <v>0</v>
      </c>
      <c r="AN385">
        <f>IF(AK385="","",AK385-2*AL385)</f>
        <v>0</v>
      </c>
      <c r="AO385">
        <f>IF(OR(AM385="",AN385="",AM385=AN385),"",($E385-AN385)/(AM385-AN385))</f>
        <v>0</v>
      </c>
      <c r="AP385">
        <f>IF(OR(AM385="",AK385="",AK385=0),"",(AM385-AN385)/AK385)</f>
        <v>0</v>
      </c>
      <c r="AQ385">
        <f>IF(COUNT($E$2:$E385)&lt;20,"",MAX($C$366:$C$385))</f>
        <v>0</v>
      </c>
      <c r="AR385">
        <f>IF(COUNT($E$2:$E385)&lt;20,"",MIN($D$366:$D$385))</f>
        <v>0</v>
      </c>
      <c r="AS385">
        <f>IF(OR(AQ385="",AR385=""),"",(AQ385+AR385)/2)</f>
        <v>0</v>
      </c>
      <c r="AT385">
        <f>IF(COUNT($G$366:$G$385)&lt;20,"",STDEV($G$366:$G$385)*SQRT(252))</f>
        <v>0</v>
      </c>
      <c r="AU385">
        <f>IF(COUNT($E$2:$E385)&lt;9,"",(MAX($C$377:$C$385)+MIN($D$377:$D$385))/2)</f>
        <v>0</v>
      </c>
      <c r="AV385">
        <f>IF(COUNT($E$2:$E385)&lt;26,"",(MAX($C$360:$C$385)+MIN($D$360:$D$385))/2)</f>
        <v>0</v>
      </c>
      <c r="AW385">
        <f>IF(OR(AU385="",AV385=""),"",(AU385+AV385)/2)</f>
        <v>0</v>
      </c>
      <c r="AX385">
        <f>IF(COUNT($E$2:$E385)&lt;52,"",(MAX($C$334:$C$385)+MIN($D$334:$D$385))/2)</f>
        <v>0</v>
      </c>
      <c r="AY385">
        <f>IF(COUNT($E$2:$E385)&lt;20,"",MAX($C$286:$C$385))</f>
        <v>0</v>
      </c>
      <c r="AZ385">
        <f>IF(COUNT($E$2:$E385)&lt;20,"",MIN($D$286:$D$385))</f>
        <v>0</v>
      </c>
      <c r="BA385">
        <f>IF(COUNT($E$2:$E385)&lt;20,"",SLOPE($E$286:$E$385,$F$286:$F$385))</f>
        <v>0</v>
      </c>
      <c r="BB385">
        <f>IF(COUNT($E$2:$E385)&lt;20,"",INTERCEPT($E$286:$E$385,$F$286:$F$385))</f>
        <v>0</v>
      </c>
      <c r="BC385">
        <f>IF(OR(BA385="",BB385=""),"",BB385+BA385*F385)</f>
        <v>0</v>
      </c>
      <c r="BD385">
        <f>IF(COUNT($E$2:$E385)&lt;20,"",STEYX($E$286:$E$385,$F$286:$F$385))</f>
        <v>0</v>
      </c>
      <c r="BE385">
        <f>IF($E385="","",IF(AND(COUNT($E$386:$E$389)&gt;=4,$C385=MAX($C$381:$C$389)),$C385,""))</f>
        <v>0</v>
      </c>
      <c r="BF385">
        <f>IF($E385="","",IF(AND(COUNT($E$386:$E$389)&gt;=4,$D385=MIN($D$381:$D$389)),$D385,""))</f>
        <v>0</v>
      </c>
      <c r="BG385">
        <f>IF($A385="","",$A385-WEEKDAY($A385,2)+1)</f>
        <v>0</v>
      </c>
      <c r="BH385">
        <f>IF($A385="","",IF($A384="",1,IF(BG385&lt;&gt;BG384,1,0)))</f>
        <v>0</v>
      </c>
      <c r="BI385">
        <f>IF($A385="","",IF($A386="",1,IF(BG386&lt;&gt;BG385,1,0)))</f>
        <v>0</v>
      </c>
      <c r="BJ385">
        <f>IF($A385="","",IF(BH385=1,$B385,BJ384))</f>
        <v>0</v>
      </c>
      <c r="BK385">
        <f>IF($A385="","",IF(BH385=1,$C385,MAX($C385,BK384)))</f>
        <v>0</v>
      </c>
      <c r="BL385">
        <f>IF($A385="","",IF(BH385=1,$D385,MIN($D385,BL384)))</f>
        <v>0</v>
      </c>
      <c r="BM385">
        <f>IF($A385="","",IF(BI385=1,F385,""))</f>
        <v>0</v>
      </c>
      <c r="BN385">
        <f>IF($A385="","",DATE(YEAR($A385),MONTH($A385),1))</f>
        <v>0</v>
      </c>
      <c r="BO385">
        <f>IF($A385="","",IF($A384="",1,IF(BN385&lt;&gt;BN384,1,0)))</f>
        <v>0</v>
      </c>
      <c r="BP385">
        <f>IF($A385="","",IF($A386="",1,IF(BN386&lt;&gt;BN385,1,0)))</f>
        <v>0</v>
      </c>
      <c r="BQ385">
        <f>IF($A385="","",IF(BO385=1,$B385,BQ384))</f>
        <v>0</v>
      </c>
      <c r="BR385">
        <f>IF($A385="","",IF(BO385=1,$C385,MAX($C385,BR384)))</f>
        <v>0</v>
      </c>
      <c r="BS385">
        <f>IF($A385="","",IF(BO385=1,$D385,MIN($D385,BS384)))</f>
        <v>0</v>
      </c>
      <c r="BT385">
        <f>IF($A385="","",IF(BP385=1,F385,""))</f>
        <v>0</v>
      </c>
    </row>
    <row r="386" spans="1:72">
      <c r="A386" s="27">
        <f>IF(Data!$A386="","",Data!$A386)</f>
        <v>0</v>
      </c>
      <c r="B386">
        <f>IF(Data!$B386="","",Data!$B386)</f>
        <v>0</v>
      </c>
      <c r="C386">
        <f>IF(Data!$C386="","",Data!$C386)</f>
        <v>0</v>
      </c>
      <c r="D386">
        <f>IF(Data!$D386="","",Data!$D386)</f>
        <v>0</v>
      </c>
      <c r="E386">
        <f>IF(Data!$E386="","",Data!$E386)</f>
        <v>0</v>
      </c>
      <c r="F386">
        <f>IF($E386="","",N(F385)+1)</f>
        <v>0</v>
      </c>
      <c r="G386">
        <f>IF(OR($E386="",$E385=""),"",LN($E386/$E385))</f>
        <v>0</v>
      </c>
      <c r="H386">
        <f>IF($E386="","",IF($E385="",$E386,$E386*0.0952380952+H385*0.9047619048))</f>
        <v>0</v>
      </c>
      <c r="I386">
        <f>IF($E386="","",IF($E385="",$E386,$E386*0.0392156863+I385*0.9607843137))</f>
        <v>0</v>
      </c>
      <c r="J386">
        <f>IF($E386="","",IF($E385="",$E386,$E386*0.0198019802+J385*0.9801980198))</f>
        <v>0</v>
      </c>
      <c r="K386">
        <f>IF($E386="","",IF($E385="",$E386,$E386*0.0099502488+K385*0.9900497512))</f>
        <v>0</v>
      </c>
      <c r="L386">
        <f>IF(OR($E386="",$E385=""),"",MAX($E386-$E385,0))</f>
        <v>0</v>
      </c>
      <c r="M386">
        <f>IF(OR($E386="",$E385=""),"",MAX($E385-$E386,0))</f>
        <v>0</v>
      </c>
      <c r="N386">
        <f>IF(COUNT($E$2:$E386)&lt;15,"",IF(AVERAGE($M$373:$M$386)=0,100,100-100/(1+AVERAGE($L$373:$L$386)/AVERAGE($M$373:$M$386))))</f>
        <v>0</v>
      </c>
      <c r="O386">
        <f>IF($E386="","",IF($E385="",$E386,$E386*0.1538461538+O385*0.8461538462))</f>
        <v>0</v>
      </c>
      <c r="P386">
        <f>IF($E386="","",IF($E385="",$E386,$E386*0.0740740741+P385*0.9259259259))</f>
        <v>0</v>
      </c>
      <c r="Q386">
        <f>IF(OR(O386="",P386=""),"",O386-P386)</f>
        <v>0</v>
      </c>
      <c r="R386">
        <f>IF(Q386="","",IF(R385="",Q386,Q386*0.2000000000+R385*0.8000000000))</f>
        <v>0</v>
      </c>
      <c r="S386">
        <f>IF(OR(Q386="",R386=""),"",Q386-R386)</f>
        <v>0</v>
      </c>
      <c r="T386">
        <f>IF(COUNT($E$2:$E386)&lt;14,"",MAX($C$373:$C$386))</f>
        <v>0</v>
      </c>
      <c r="U386">
        <f>IF(COUNT($E$2:$E386)&lt;14,"",MIN($D$373:$D$386))</f>
        <v>0</v>
      </c>
      <c r="V386">
        <f>IF(OR(T386="",U386="",T386=U386),"",100*($E386-U386)/(T386-U386))</f>
        <v>0</v>
      </c>
      <c r="W386">
        <f>IF(COUNT($V$384:$V$386)&lt;3,"",AVERAGE($V$384:$V$386))</f>
        <v>0</v>
      </c>
      <c r="X386">
        <f>IF(COUNT($N$373:$N$386)&lt;14,"",MIN($N$373:$N$386))</f>
        <v>0</v>
      </c>
      <c r="Y386">
        <f>IF(COUNT($N$373:$N$386)&lt;14,"",MAX($N$373:$N$386))</f>
        <v>0</v>
      </c>
      <c r="Z386">
        <f>IF(OR(N386="",X386="",Y386="",Y386=X386),"",100*(N386-X386)/(Y386-X386))</f>
        <v>0</v>
      </c>
      <c r="AA386">
        <f>IF(COUNT($Z$384:$Z$386)&lt;3,"",AVERAGE($Z$384:$Z$386))</f>
        <v>0</v>
      </c>
      <c r="AB386">
        <f>IF(COUNT($AA$384:$AA$386)&lt;3,"",AVERAGE($AA$384:$AA$386))</f>
        <v>0</v>
      </c>
      <c r="AC386">
        <f>IF($E386="","",MAX($C386-$D386,ABS($C386-$E385),ABS($D386-$E385)))</f>
        <v>0</v>
      </c>
      <c r="AD386">
        <f>IF(COUNT($E$2:$E386)&lt;15,"",AVERAGE($AC$373:$AC$386))</f>
        <v>0</v>
      </c>
      <c r="AE386">
        <f>IF(OR($E386="",$E385=""),"",IF(AND(($C386-$C385)&gt;($D385-$D386),($C386-$C385)&gt;0),$C386-$C385,0))</f>
        <v>0</v>
      </c>
      <c r="AF386">
        <f>IF(OR($E386="",$E385=""),"",IF(AND(($D385-$D386)&gt;($C386-$C385),($D385-$D386)&gt;0),$D385-$D386,0))</f>
        <v>0</v>
      </c>
      <c r="AG386">
        <f>IF(COUNT($E$2:$E386)&lt;15,"",IF(SUM($AC$373:$AC$386)=0,0,100*SUM($AE$373:$AE$386)/SUM($AC$373:$AC$386)))</f>
        <v>0</v>
      </c>
      <c r="AH386">
        <f>IF(COUNT($E$2:$E386)&lt;15,"",IF(SUM($AC$373:$AC$386)=0,0,100*SUM($AF$373:$AF$386)/SUM($AC$373:$AC$386)))</f>
        <v>0</v>
      </c>
      <c r="AI386">
        <f>IF(OR(AG386="",AH386=""),"",IF((AG386+AH386)=0,0,100*ABS(AG386-AH386)/(AG386+AH386)))</f>
        <v>0</v>
      </c>
      <c r="AJ386">
        <f>IF(COUNT($AI$373:$AI$386)&lt;14,"",AVERAGE($AI$373:$AI$386))</f>
        <v>0</v>
      </c>
      <c r="AK386">
        <f>IF(COUNT($E$2:$E386)&lt;20,"",AVERAGE($E$367:$E$386))</f>
        <v>0</v>
      </c>
      <c r="AL386">
        <f>IF(COUNT($E$2:$E386)&lt;20,"",STDEVP($E$367:$E$386))</f>
        <v>0</v>
      </c>
      <c r="AM386">
        <f>IF(AK386="","",AK386+2*AL386)</f>
        <v>0</v>
      </c>
      <c r="AN386">
        <f>IF(AK386="","",AK386-2*AL386)</f>
        <v>0</v>
      </c>
      <c r="AO386">
        <f>IF(OR(AM386="",AN386="",AM386=AN386),"",($E386-AN386)/(AM386-AN386))</f>
        <v>0</v>
      </c>
      <c r="AP386">
        <f>IF(OR(AM386="",AK386="",AK386=0),"",(AM386-AN386)/AK386)</f>
        <v>0</v>
      </c>
      <c r="AQ386">
        <f>IF(COUNT($E$2:$E386)&lt;20,"",MAX($C$367:$C$386))</f>
        <v>0</v>
      </c>
      <c r="AR386">
        <f>IF(COUNT($E$2:$E386)&lt;20,"",MIN($D$367:$D$386))</f>
        <v>0</v>
      </c>
      <c r="AS386">
        <f>IF(OR(AQ386="",AR386=""),"",(AQ386+AR386)/2)</f>
        <v>0</v>
      </c>
      <c r="AT386">
        <f>IF(COUNT($G$367:$G$386)&lt;20,"",STDEV($G$367:$G$386)*SQRT(252))</f>
        <v>0</v>
      </c>
      <c r="AU386">
        <f>IF(COUNT($E$2:$E386)&lt;9,"",(MAX($C$378:$C$386)+MIN($D$378:$D$386))/2)</f>
        <v>0</v>
      </c>
      <c r="AV386">
        <f>IF(COUNT($E$2:$E386)&lt;26,"",(MAX($C$361:$C$386)+MIN($D$361:$D$386))/2)</f>
        <v>0</v>
      </c>
      <c r="AW386">
        <f>IF(OR(AU386="",AV386=""),"",(AU386+AV386)/2)</f>
        <v>0</v>
      </c>
      <c r="AX386">
        <f>IF(COUNT($E$2:$E386)&lt;52,"",(MAX($C$335:$C$386)+MIN($D$335:$D$386))/2)</f>
        <v>0</v>
      </c>
      <c r="AY386">
        <f>IF(COUNT($E$2:$E386)&lt;20,"",MAX($C$287:$C$386))</f>
        <v>0</v>
      </c>
      <c r="AZ386">
        <f>IF(COUNT($E$2:$E386)&lt;20,"",MIN($D$287:$D$386))</f>
        <v>0</v>
      </c>
      <c r="BA386">
        <f>IF(COUNT($E$2:$E386)&lt;20,"",SLOPE($E$287:$E$386,$F$287:$F$386))</f>
        <v>0</v>
      </c>
      <c r="BB386">
        <f>IF(COUNT($E$2:$E386)&lt;20,"",INTERCEPT($E$287:$E$386,$F$287:$F$386))</f>
        <v>0</v>
      </c>
      <c r="BC386">
        <f>IF(OR(BA386="",BB386=""),"",BB386+BA386*F386)</f>
        <v>0</v>
      </c>
      <c r="BD386">
        <f>IF(COUNT($E$2:$E386)&lt;20,"",STEYX($E$287:$E$386,$F$287:$F$386))</f>
        <v>0</v>
      </c>
      <c r="BE386">
        <f>IF($E386="","",IF(AND(COUNT($E$387:$E$390)&gt;=4,$C386=MAX($C$382:$C$390)),$C386,""))</f>
        <v>0</v>
      </c>
      <c r="BF386">
        <f>IF($E386="","",IF(AND(COUNT($E$387:$E$390)&gt;=4,$D386=MIN($D$382:$D$390)),$D386,""))</f>
        <v>0</v>
      </c>
      <c r="BG386">
        <f>IF($A386="","",$A386-WEEKDAY($A386,2)+1)</f>
        <v>0</v>
      </c>
      <c r="BH386">
        <f>IF($A386="","",IF($A385="",1,IF(BG386&lt;&gt;BG385,1,0)))</f>
        <v>0</v>
      </c>
      <c r="BI386">
        <f>IF($A386="","",IF($A387="",1,IF(BG387&lt;&gt;BG386,1,0)))</f>
        <v>0</v>
      </c>
      <c r="BJ386">
        <f>IF($A386="","",IF(BH386=1,$B386,BJ385))</f>
        <v>0</v>
      </c>
      <c r="BK386">
        <f>IF($A386="","",IF(BH386=1,$C386,MAX($C386,BK385)))</f>
        <v>0</v>
      </c>
      <c r="BL386">
        <f>IF($A386="","",IF(BH386=1,$D386,MIN($D386,BL385)))</f>
        <v>0</v>
      </c>
      <c r="BM386">
        <f>IF($A386="","",IF(BI386=1,F386,""))</f>
        <v>0</v>
      </c>
      <c r="BN386">
        <f>IF($A386="","",DATE(YEAR($A386),MONTH($A386),1))</f>
        <v>0</v>
      </c>
      <c r="BO386">
        <f>IF($A386="","",IF($A385="",1,IF(BN386&lt;&gt;BN385,1,0)))</f>
        <v>0</v>
      </c>
      <c r="BP386">
        <f>IF($A386="","",IF($A387="",1,IF(BN387&lt;&gt;BN386,1,0)))</f>
        <v>0</v>
      </c>
      <c r="BQ386">
        <f>IF($A386="","",IF(BO386=1,$B386,BQ385))</f>
        <v>0</v>
      </c>
      <c r="BR386">
        <f>IF($A386="","",IF(BO386=1,$C386,MAX($C386,BR385)))</f>
        <v>0</v>
      </c>
      <c r="BS386">
        <f>IF($A386="","",IF(BO386=1,$D386,MIN($D386,BS385)))</f>
        <v>0</v>
      </c>
      <c r="BT386">
        <f>IF($A386="","",IF(BP386=1,F386,""))</f>
        <v>0</v>
      </c>
    </row>
    <row r="387" spans="1:72">
      <c r="A387" s="27">
        <f>IF(Data!$A387="","",Data!$A387)</f>
        <v>0</v>
      </c>
      <c r="B387">
        <f>IF(Data!$B387="","",Data!$B387)</f>
        <v>0</v>
      </c>
      <c r="C387">
        <f>IF(Data!$C387="","",Data!$C387)</f>
        <v>0</v>
      </c>
      <c r="D387">
        <f>IF(Data!$D387="","",Data!$D387)</f>
        <v>0</v>
      </c>
      <c r="E387">
        <f>IF(Data!$E387="","",Data!$E387)</f>
        <v>0</v>
      </c>
      <c r="F387">
        <f>IF($E387="","",N(F386)+1)</f>
        <v>0</v>
      </c>
      <c r="G387">
        <f>IF(OR($E387="",$E386=""),"",LN($E387/$E386))</f>
        <v>0</v>
      </c>
      <c r="H387">
        <f>IF($E387="","",IF($E386="",$E387,$E387*0.0952380952+H386*0.9047619048))</f>
        <v>0</v>
      </c>
      <c r="I387">
        <f>IF($E387="","",IF($E386="",$E387,$E387*0.0392156863+I386*0.9607843137))</f>
        <v>0</v>
      </c>
      <c r="J387">
        <f>IF($E387="","",IF($E386="",$E387,$E387*0.0198019802+J386*0.9801980198))</f>
        <v>0</v>
      </c>
      <c r="K387">
        <f>IF($E387="","",IF($E386="",$E387,$E387*0.0099502488+K386*0.9900497512))</f>
        <v>0</v>
      </c>
      <c r="L387">
        <f>IF(OR($E387="",$E386=""),"",MAX($E387-$E386,0))</f>
        <v>0</v>
      </c>
      <c r="M387">
        <f>IF(OR($E387="",$E386=""),"",MAX($E386-$E387,0))</f>
        <v>0</v>
      </c>
      <c r="N387">
        <f>IF(COUNT($E$2:$E387)&lt;15,"",IF(AVERAGE($M$374:$M$387)=0,100,100-100/(1+AVERAGE($L$374:$L$387)/AVERAGE($M$374:$M$387))))</f>
        <v>0</v>
      </c>
      <c r="O387">
        <f>IF($E387="","",IF($E386="",$E387,$E387*0.1538461538+O386*0.8461538462))</f>
        <v>0</v>
      </c>
      <c r="P387">
        <f>IF($E387="","",IF($E386="",$E387,$E387*0.0740740741+P386*0.9259259259))</f>
        <v>0</v>
      </c>
      <c r="Q387">
        <f>IF(OR(O387="",P387=""),"",O387-P387)</f>
        <v>0</v>
      </c>
      <c r="R387">
        <f>IF(Q387="","",IF(R386="",Q387,Q387*0.2000000000+R386*0.8000000000))</f>
        <v>0</v>
      </c>
      <c r="S387">
        <f>IF(OR(Q387="",R387=""),"",Q387-R387)</f>
        <v>0</v>
      </c>
      <c r="T387">
        <f>IF(COUNT($E$2:$E387)&lt;14,"",MAX($C$374:$C$387))</f>
        <v>0</v>
      </c>
      <c r="U387">
        <f>IF(COUNT($E$2:$E387)&lt;14,"",MIN($D$374:$D$387))</f>
        <v>0</v>
      </c>
      <c r="V387">
        <f>IF(OR(T387="",U387="",T387=U387),"",100*($E387-U387)/(T387-U387))</f>
        <v>0</v>
      </c>
      <c r="W387">
        <f>IF(COUNT($V$385:$V$387)&lt;3,"",AVERAGE($V$385:$V$387))</f>
        <v>0</v>
      </c>
      <c r="X387">
        <f>IF(COUNT($N$374:$N$387)&lt;14,"",MIN($N$374:$N$387))</f>
        <v>0</v>
      </c>
      <c r="Y387">
        <f>IF(COUNT($N$374:$N$387)&lt;14,"",MAX($N$374:$N$387))</f>
        <v>0</v>
      </c>
      <c r="Z387">
        <f>IF(OR(N387="",X387="",Y387="",Y387=X387),"",100*(N387-X387)/(Y387-X387))</f>
        <v>0</v>
      </c>
      <c r="AA387">
        <f>IF(COUNT($Z$385:$Z$387)&lt;3,"",AVERAGE($Z$385:$Z$387))</f>
        <v>0</v>
      </c>
      <c r="AB387">
        <f>IF(COUNT($AA$385:$AA$387)&lt;3,"",AVERAGE($AA$385:$AA$387))</f>
        <v>0</v>
      </c>
      <c r="AC387">
        <f>IF($E387="","",MAX($C387-$D387,ABS($C387-$E386),ABS($D387-$E386)))</f>
        <v>0</v>
      </c>
      <c r="AD387">
        <f>IF(COUNT($E$2:$E387)&lt;15,"",AVERAGE($AC$374:$AC$387))</f>
        <v>0</v>
      </c>
      <c r="AE387">
        <f>IF(OR($E387="",$E386=""),"",IF(AND(($C387-$C386)&gt;($D386-$D387),($C387-$C386)&gt;0),$C387-$C386,0))</f>
        <v>0</v>
      </c>
      <c r="AF387">
        <f>IF(OR($E387="",$E386=""),"",IF(AND(($D386-$D387)&gt;($C387-$C386),($D386-$D387)&gt;0),$D386-$D387,0))</f>
        <v>0</v>
      </c>
      <c r="AG387">
        <f>IF(COUNT($E$2:$E387)&lt;15,"",IF(SUM($AC$374:$AC$387)=0,0,100*SUM($AE$374:$AE$387)/SUM($AC$374:$AC$387)))</f>
        <v>0</v>
      </c>
      <c r="AH387">
        <f>IF(COUNT($E$2:$E387)&lt;15,"",IF(SUM($AC$374:$AC$387)=0,0,100*SUM($AF$374:$AF$387)/SUM($AC$374:$AC$387)))</f>
        <v>0</v>
      </c>
      <c r="AI387">
        <f>IF(OR(AG387="",AH387=""),"",IF((AG387+AH387)=0,0,100*ABS(AG387-AH387)/(AG387+AH387)))</f>
        <v>0</v>
      </c>
      <c r="AJ387">
        <f>IF(COUNT($AI$374:$AI$387)&lt;14,"",AVERAGE($AI$374:$AI$387))</f>
        <v>0</v>
      </c>
      <c r="AK387">
        <f>IF(COUNT($E$2:$E387)&lt;20,"",AVERAGE($E$368:$E$387))</f>
        <v>0</v>
      </c>
      <c r="AL387">
        <f>IF(COUNT($E$2:$E387)&lt;20,"",STDEVP($E$368:$E$387))</f>
        <v>0</v>
      </c>
      <c r="AM387">
        <f>IF(AK387="","",AK387+2*AL387)</f>
        <v>0</v>
      </c>
      <c r="AN387">
        <f>IF(AK387="","",AK387-2*AL387)</f>
        <v>0</v>
      </c>
      <c r="AO387">
        <f>IF(OR(AM387="",AN387="",AM387=AN387),"",($E387-AN387)/(AM387-AN387))</f>
        <v>0</v>
      </c>
      <c r="AP387">
        <f>IF(OR(AM387="",AK387="",AK387=0),"",(AM387-AN387)/AK387)</f>
        <v>0</v>
      </c>
      <c r="AQ387">
        <f>IF(COUNT($E$2:$E387)&lt;20,"",MAX($C$368:$C$387))</f>
        <v>0</v>
      </c>
      <c r="AR387">
        <f>IF(COUNT($E$2:$E387)&lt;20,"",MIN($D$368:$D$387))</f>
        <v>0</v>
      </c>
      <c r="AS387">
        <f>IF(OR(AQ387="",AR387=""),"",(AQ387+AR387)/2)</f>
        <v>0</v>
      </c>
      <c r="AT387">
        <f>IF(COUNT($G$368:$G$387)&lt;20,"",STDEV($G$368:$G$387)*SQRT(252))</f>
        <v>0</v>
      </c>
      <c r="AU387">
        <f>IF(COUNT($E$2:$E387)&lt;9,"",(MAX($C$379:$C$387)+MIN($D$379:$D$387))/2)</f>
        <v>0</v>
      </c>
      <c r="AV387">
        <f>IF(COUNT($E$2:$E387)&lt;26,"",(MAX($C$362:$C$387)+MIN($D$362:$D$387))/2)</f>
        <v>0</v>
      </c>
      <c r="AW387">
        <f>IF(OR(AU387="",AV387=""),"",(AU387+AV387)/2)</f>
        <v>0</v>
      </c>
      <c r="AX387">
        <f>IF(COUNT($E$2:$E387)&lt;52,"",(MAX($C$336:$C$387)+MIN($D$336:$D$387))/2)</f>
        <v>0</v>
      </c>
      <c r="AY387">
        <f>IF(COUNT($E$2:$E387)&lt;20,"",MAX($C$288:$C$387))</f>
        <v>0</v>
      </c>
      <c r="AZ387">
        <f>IF(COUNT($E$2:$E387)&lt;20,"",MIN($D$288:$D$387))</f>
        <v>0</v>
      </c>
      <c r="BA387">
        <f>IF(COUNT($E$2:$E387)&lt;20,"",SLOPE($E$288:$E$387,$F$288:$F$387))</f>
        <v>0</v>
      </c>
      <c r="BB387">
        <f>IF(COUNT($E$2:$E387)&lt;20,"",INTERCEPT($E$288:$E$387,$F$288:$F$387))</f>
        <v>0</v>
      </c>
      <c r="BC387">
        <f>IF(OR(BA387="",BB387=""),"",BB387+BA387*F387)</f>
        <v>0</v>
      </c>
      <c r="BD387">
        <f>IF(COUNT($E$2:$E387)&lt;20,"",STEYX($E$288:$E$387,$F$288:$F$387))</f>
        <v>0</v>
      </c>
      <c r="BE387">
        <f>IF($E387="","",IF(AND(COUNT($E$388:$E$391)&gt;=4,$C387=MAX($C$383:$C$391)),$C387,""))</f>
        <v>0</v>
      </c>
      <c r="BF387">
        <f>IF($E387="","",IF(AND(COUNT($E$388:$E$391)&gt;=4,$D387=MIN($D$383:$D$391)),$D387,""))</f>
        <v>0</v>
      </c>
      <c r="BG387">
        <f>IF($A387="","",$A387-WEEKDAY($A387,2)+1)</f>
        <v>0</v>
      </c>
      <c r="BH387">
        <f>IF($A387="","",IF($A386="",1,IF(BG387&lt;&gt;BG386,1,0)))</f>
        <v>0</v>
      </c>
      <c r="BI387">
        <f>IF($A387="","",IF($A388="",1,IF(BG388&lt;&gt;BG387,1,0)))</f>
        <v>0</v>
      </c>
      <c r="BJ387">
        <f>IF($A387="","",IF(BH387=1,$B387,BJ386))</f>
        <v>0</v>
      </c>
      <c r="BK387">
        <f>IF($A387="","",IF(BH387=1,$C387,MAX($C387,BK386)))</f>
        <v>0</v>
      </c>
      <c r="BL387">
        <f>IF($A387="","",IF(BH387=1,$D387,MIN($D387,BL386)))</f>
        <v>0</v>
      </c>
      <c r="BM387">
        <f>IF($A387="","",IF(BI387=1,F387,""))</f>
        <v>0</v>
      </c>
      <c r="BN387">
        <f>IF($A387="","",DATE(YEAR($A387),MONTH($A387),1))</f>
        <v>0</v>
      </c>
      <c r="BO387">
        <f>IF($A387="","",IF($A386="",1,IF(BN387&lt;&gt;BN386,1,0)))</f>
        <v>0</v>
      </c>
      <c r="BP387">
        <f>IF($A387="","",IF($A388="",1,IF(BN388&lt;&gt;BN387,1,0)))</f>
        <v>0</v>
      </c>
      <c r="BQ387">
        <f>IF($A387="","",IF(BO387=1,$B387,BQ386))</f>
        <v>0</v>
      </c>
      <c r="BR387">
        <f>IF($A387="","",IF(BO387=1,$C387,MAX($C387,BR386)))</f>
        <v>0</v>
      </c>
      <c r="BS387">
        <f>IF($A387="","",IF(BO387=1,$D387,MIN($D387,BS386)))</f>
        <v>0</v>
      </c>
      <c r="BT387">
        <f>IF($A387="","",IF(BP387=1,F387,""))</f>
        <v>0</v>
      </c>
    </row>
    <row r="388" spans="1:72">
      <c r="A388" s="27">
        <f>IF(Data!$A388="","",Data!$A388)</f>
        <v>0</v>
      </c>
      <c r="B388">
        <f>IF(Data!$B388="","",Data!$B388)</f>
        <v>0</v>
      </c>
      <c r="C388">
        <f>IF(Data!$C388="","",Data!$C388)</f>
        <v>0</v>
      </c>
      <c r="D388">
        <f>IF(Data!$D388="","",Data!$D388)</f>
        <v>0</v>
      </c>
      <c r="E388">
        <f>IF(Data!$E388="","",Data!$E388)</f>
        <v>0</v>
      </c>
      <c r="F388">
        <f>IF($E388="","",N(F387)+1)</f>
        <v>0</v>
      </c>
      <c r="G388">
        <f>IF(OR($E388="",$E387=""),"",LN($E388/$E387))</f>
        <v>0</v>
      </c>
      <c r="H388">
        <f>IF($E388="","",IF($E387="",$E388,$E388*0.0952380952+H387*0.9047619048))</f>
        <v>0</v>
      </c>
      <c r="I388">
        <f>IF($E388="","",IF($E387="",$E388,$E388*0.0392156863+I387*0.9607843137))</f>
        <v>0</v>
      </c>
      <c r="J388">
        <f>IF($E388="","",IF($E387="",$E388,$E388*0.0198019802+J387*0.9801980198))</f>
        <v>0</v>
      </c>
      <c r="K388">
        <f>IF($E388="","",IF($E387="",$E388,$E388*0.0099502488+K387*0.9900497512))</f>
        <v>0</v>
      </c>
      <c r="L388">
        <f>IF(OR($E388="",$E387=""),"",MAX($E388-$E387,0))</f>
        <v>0</v>
      </c>
      <c r="M388">
        <f>IF(OR($E388="",$E387=""),"",MAX($E387-$E388,0))</f>
        <v>0</v>
      </c>
      <c r="N388">
        <f>IF(COUNT($E$2:$E388)&lt;15,"",IF(AVERAGE($M$375:$M$388)=0,100,100-100/(1+AVERAGE($L$375:$L$388)/AVERAGE($M$375:$M$388))))</f>
        <v>0</v>
      </c>
      <c r="O388">
        <f>IF($E388="","",IF($E387="",$E388,$E388*0.1538461538+O387*0.8461538462))</f>
        <v>0</v>
      </c>
      <c r="P388">
        <f>IF($E388="","",IF($E387="",$E388,$E388*0.0740740741+P387*0.9259259259))</f>
        <v>0</v>
      </c>
      <c r="Q388">
        <f>IF(OR(O388="",P388=""),"",O388-P388)</f>
        <v>0</v>
      </c>
      <c r="R388">
        <f>IF(Q388="","",IF(R387="",Q388,Q388*0.2000000000+R387*0.8000000000))</f>
        <v>0</v>
      </c>
      <c r="S388">
        <f>IF(OR(Q388="",R388=""),"",Q388-R388)</f>
        <v>0</v>
      </c>
      <c r="T388">
        <f>IF(COUNT($E$2:$E388)&lt;14,"",MAX($C$375:$C$388))</f>
        <v>0</v>
      </c>
      <c r="U388">
        <f>IF(COUNT($E$2:$E388)&lt;14,"",MIN($D$375:$D$388))</f>
        <v>0</v>
      </c>
      <c r="V388">
        <f>IF(OR(T388="",U388="",T388=U388),"",100*($E388-U388)/(T388-U388))</f>
        <v>0</v>
      </c>
      <c r="W388">
        <f>IF(COUNT($V$386:$V$388)&lt;3,"",AVERAGE($V$386:$V$388))</f>
        <v>0</v>
      </c>
      <c r="X388">
        <f>IF(COUNT($N$375:$N$388)&lt;14,"",MIN($N$375:$N$388))</f>
        <v>0</v>
      </c>
      <c r="Y388">
        <f>IF(COUNT($N$375:$N$388)&lt;14,"",MAX($N$375:$N$388))</f>
        <v>0</v>
      </c>
      <c r="Z388">
        <f>IF(OR(N388="",X388="",Y388="",Y388=X388),"",100*(N388-X388)/(Y388-X388))</f>
        <v>0</v>
      </c>
      <c r="AA388">
        <f>IF(COUNT($Z$386:$Z$388)&lt;3,"",AVERAGE($Z$386:$Z$388))</f>
        <v>0</v>
      </c>
      <c r="AB388">
        <f>IF(COUNT($AA$386:$AA$388)&lt;3,"",AVERAGE($AA$386:$AA$388))</f>
        <v>0</v>
      </c>
      <c r="AC388">
        <f>IF($E388="","",MAX($C388-$D388,ABS($C388-$E387),ABS($D388-$E387)))</f>
        <v>0</v>
      </c>
      <c r="AD388">
        <f>IF(COUNT($E$2:$E388)&lt;15,"",AVERAGE($AC$375:$AC$388))</f>
        <v>0</v>
      </c>
      <c r="AE388">
        <f>IF(OR($E388="",$E387=""),"",IF(AND(($C388-$C387)&gt;($D387-$D388),($C388-$C387)&gt;0),$C388-$C387,0))</f>
        <v>0</v>
      </c>
      <c r="AF388">
        <f>IF(OR($E388="",$E387=""),"",IF(AND(($D387-$D388)&gt;($C388-$C387),($D387-$D388)&gt;0),$D387-$D388,0))</f>
        <v>0</v>
      </c>
      <c r="AG388">
        <f>IF(COUNT($E$2:$E388)&lt;15,"",IF(SUM($AC$375:$AC$388)=0,0,100*SUM($AE$375:$AE$388)/SUM($AC$375:$AC$388)))</f>
        <v>0</v>
      </c>
      <c r="AH388">
        <f>IF(COUNT($E$2:$E388)&lt;15,"",IF(SUM($AC$375:$AC$388)=0,0,100*SUM($AF$375:$AF$388)/SUM($AC$375:$AC$388)))</f>
        <v>0</v>
      </c>
      <c r="AI388">
        <f>IF(OR(AG388="",AH388=""),"",IF((AG388+AH388)=0,0,100*ABS(AG388-AH388)/(AG388+AH388)))</f>
        <v>0</v>
      </c>
      <c r="AJ388">
        <f>IF(COUNT($AI$375:$AI$388)&lt;14,"",AVERAGE($AI$375:$AI$388))</f>
        <v>0</v>
      </c>
      <c r="AK388">
        <f>IF(COUNT($E$2:$E388)&lt;20,"",AVERAGE($E$369:$E$388))</f>
        <v>0</v>
      </c>
      <c r="AL388">
        <f>IF(COUNT($E$2:$E388)&lt;20,"",STDEVP($E$369:$E$388))</f>
        <v>0</v>
      </c>
      <c r="AM388">
        <f>IF(AK388="","",AK388+2*AL388)</f>
        <v>0</v>
      </c>
      <c r="AN388">
        <f>IF(AK388="","",AK388-2*AL388)</f>
        <v>0</v>
      </c>
      <c r="AO388">
        <f>IF(OR(AM388="",AN388="",AM388=AN388),"",($E388-AN388)/(AM388-AN388))</f>
        <v>0</v>
      </c>
      <c r="AP388">
        <f>IF(OR(AM388="",AK388="",AK388=0),"",(AM388-AN388)/AK388)</f>
        <v>0</v>
      </c>
      <c r="AQ388">
        <f>IF(COUNT($E$2:$E388)&lt;20,"",MAX($C$369:$C$388))</f>
        <v>0</v>
      </c>
      <c r="AR388">
        <f>IF(COUNT($E$2:$E388)&lt;20,"",MIN($D$369:$D$388))</f>
        <v>0</v>
      </c>
      <c r="AS388">
        <f>IF(OR(AQ388="",AR388=""),"",(AQ388+AR388)/2)</f>
        <v>0</v>
      </c>
      <c r="AT388">
        <f>IF(COUNT($G$369:$G$388)&lt;20,"",STDEV($G$369:$G$388)*SQRT(252))</f>
        <v>0</v>
      </c>
      <c r="AU388">
        <f>IF(COUNT($E$2:$E388)&lt;9,"",(MAX($C$380:$C$388)+MIN($D$380:$D$388))/2)</f>
        <v>0</v>
      </c>
      <c r="AV388">
        <f>IF(COUNT($E$2:$E388)&lt;26,"",(MAX($C$363:$C$388)+MIN($D$363:$D$388))/2)</f>
        <v>0</v>
      </c>
      <c r="AW388">
        <f>IF(OR(AU388="",AV388=""),"",(AU388+AV388)/2)</f>
        <v>0</v>
      </c>
      <c r="AX388">
        <f>IF(COUNT($E$2:$E388)&lt;52,"",(MAX($C$337:$C$388)+MIN($D$337:$D$388))/2)</f>
        <v>0</v>
      </c>
      <c r="AY388">
        <f>IF(COUNT($E$2:$E388)&lt;20,"",MAX($C$289:$C$388))</f>
        <v>0</v>
      </c>
      <c r="AZ388">
        <f>IF(COUNT($E$2:$E388)&lt;20,"",MIN($D$289:$D$388))</f>
        <v>0</v>
      </c>
      <c r="BA388">
        <f>IF(COUNT($E$2:$E388)&lt;20,"",SLOPE($E$289:$E$388,$F$289:$F$388))</f>
        <v>0</v>
      </c>
      <c r="BB388">
        <f>IF(COUNT($E$2:$E388)&lt;20,"",INTERCEPT($E$289:$E$388,$F$289:$F$388))</f>
        <v>0</v>
      </c>
      <c r="BC388">
        <f>IF(OR(BA388="",BB388=""),"",BB388+BA388*F388)</f>
        <v>0</v>
      </c>
      <c r="BD388">
        <f>IF(COUNT($E$2:$E388)&lt;20,"",STEYX($E$289:$E$388,$F$289:$F$388))</f>
        <v>0</v>
      </c>
      <c r="BE388">
        <f>IF($E388="","",IF(AND(COUNT($E$389:$E$392)&gt;=4,$C388=MAX($C$384:$C$392)),$C388,""))</f>
        <v>0</v>
      </c>
      <c r="BF388">
        <f>IF($E388="","",IF(AND(COUNT($E$389:$E$392)&gt;=4,$D388=MIN($D$384:$D$392)),$D388,""))</f>
        <v>0</v>
      </c>
      <c r="BG388">
        <f>IF($A388="","",$A388-WEEKDAY($A388,2)+1)</f>
        <v>0</v>
      </c>
      <c r="BH388">
        <f>IF($A388="","",IF($A387="",1,IF(BG388&lt;&gt;BG387,1,0)))</f>
        <v>0</v>
      </c>
      <c r="BI388">
        <f>IF($A388="","",IF($A389="",1,IF(BG389&lt;&gt;BG388,1,0)))</f>
        <v>0</v>
      </c>
      <c r="BJ388">
        <f>IF($A388="","",IF(BH388=1,$B388,BJ387))</f>
        <v>0</v>
      </c>
      <c r="BK388">
        <f>IF($A388="","",IF(BH388=1,$C388,MAX($C388,BK387)))</f>
        <v>0</v>
      </c>
      <c r="BL388">
        <f>IF($A388="","",IF(BH388=1,$D388,MIN($D388,BL387)))</f>
        <v>0</v>
      </c>
      <c r="BM388">
        <f>IF($A388="","",IF(BI388=1,F388,""))</f>
        <v>0</v>
      </c>
      <c r="BN388">
        <f>IF($A388="","",DATE(YEAR($A388),MONTH($A388),1))</f>
        <v>0</v>
      </c>
      <c r="BO388">
        <f>IF($A388="","",IF($A387="",1,IF(BN388&lt;&gt;BN387,1,0)))</f>
        <v>0</v>
      </c>
      <c r="BP388">
        <f>IF($A388="","",IF($A389="",1,IF(BN389&lt;&gt;BN388,1,0)))</f>
        <v>0</v>
      </c>
      <c r="BQ388">
        <f>IF($A388="","",IF(BO388=1,$B388,BQ387))</f>
        <v>0</v>
      </c>
      <c r="BR388">
        <f>IF($A388="","",IF(BO388=1,$C388,MAX($C388,BR387)))</f>
        <v>0</v>
      </c>
      <c r="BS388">
        <f>IF($A388="","",IF(BO388=1,$D388,MIN($D388,BS387)))</f>
        <v>0</v>
      </c>
      <c r="BT388">
        <f>IF($A388="","",IF(BP388=1,F388,""))</f>
        <v>0</v>
      </c>
    </row>
    <row r="389" spans="1:72">
      <c r="A389" s="27">
        <f>IF(Data!$A389="","",Data!$A389)</f>
        <v>0</v>
      </c>
      <c r="B389">
        <f>IF(Data!$B389="","",Data!$B389)</f>
        <v>0</v>
      </c>
      <c r="C389">
        <f>IF(Data!$C389="","",Data!$C389)</f>
        <v>0</v>
      </c>
      <c r="D389">
        <f>IF(Data!$D389="","",Data!$D389)</f>
        <v>0</v>
      </c>
      <c r="E389">
        <f>IF(Data!$E389="","",Data!$E389)</f>
        <v>0</v>
      </c>
      <c r="F389">
        <f>IF($E389="","",N(F388)+1)</f>
        <v>0</v>
      </c>
      <c r="G389">
        <f>IF(OR($E389="",$E388=""),"",LN($E389/$E388))</f>
        <v>0</v>
      </c>
      <c r="H389">
        <f>IF($E389="","",IF($E388="",$E389,$E389*0.0952380952+H388*0.9047619048))</f>
        <v>0</v>
      </c>
      <c r="I389">
        <f>IF($E389="","",IF($E388="",$E389,$E389*0.0392156863+I388*0.9607843137))</f>
        <v>0</v>
      </c>
      <c r="J389">
        <f>IF($E389="","",IF($E388="",$E389,$E389*0.0198019802+J388*0.9801980198))</f>
        <v>0</v>
      </c>
      <c r="K389">
        <f>IF($E389="","",IF($E388="",$E389,$E389*0.0099502488+K388*0.9900497512))</f>
        <v>0</v>
      </c>
      <c r="L389">
        <f>IF(OR($E389="",$E388=""),"",MAX($E389-$E388,0))</f>
        <v>0</v>
      </c>
      <c r="M389">
        <f>IF(OR($E389="",$E388=""),"",MAX($E388-$E389,0))</f>
        <v>0</v>
      </c>
      <c r="N389">
        <f>IF(COUNT($E$2:$E389)&lt;15,"",IF(AVERAGE($M$376:$M$389)=0,100,100-100/(1+AVERAGE($L$376:$L$389)/AVERAGE($M$376:$M$389))))</f>
        <v>0</v>
      </c>
      <c r="O389">
        <f>IF($E389="","",IF($E388="",$E389,$E389*0.1538461538+O388*0.8461538462))</f>
        <v>0</v>
      </c>
      <c r="P389">
        <f>IF($E389="","",IF($E388="",$E389,$E389*0.0740740741+P388*0.9259259259))</f>
        <v>0</v>
      </c>
      <c r="Q389">
        <f>IF(OR(O389="",P389=""),"",O389-P389)</f>
        <v>0</v>
      </c>
      <c r="R389">
        <f>IF(Q389="","",IF(R388="",Q389,Q389*0.2000000000+R388*0.8000000000))</f>
        <v>0</v>
      </c>
      <c r="S389">
        <f>IF(OR(Q389="",R389=""),"",Q389-R389)</f>
        <v>0</v>
      </c>
      <c r="T389">
        <f>IF(COUNT($E$2:$E389)&lt;14,"",MAX($C$376:$C$389))</f>
        <v>0</v>
      </c>
      <c r="U389">
        <f>IF(COUNT($E$2:$E389)&lt;14,"",MIN($D$376:$D$389))</f>
        <v>0</v>
      </c>
      <c r="V389">
        <f>IF(OR(T389="",U389="",T389=U389),"",100*($E389-U389)/(T389-U389))</f>
        <v>0</v>
      </c>
      <c r="W389">
        <f>IF(COUNT($V$387:$V$389)&lt;3,"",AVERAGE($V$387:$V$389))</f>
        <v>0</v>
      </c>
      <c r="X389">
        <f>IF(COUNT($N$376:$N$389)&lt;14,"",MIN($N$376:$N$389))</f>
        <v>0</v>
      </c>
      <c r="Y389">
        <f>IF(COUNT($N$376:$N$389)&lt;14,"",MAX($N$376:$N$389))</f>
        <v>0</v>
      </c>
      <c r="Z389">
        <f>IF(OR(N389="",X389="",Y389="",Y389=X389),"",100*(N389-X389)/(Y389-X389))</f>
        <v>0</v>
      </c>
      <c r="AA389">
        <f>IF(COUNT($Z$387:$Z$389)&lt;3,"",AVERAGE($Z$387:$Z$389))</f>
        <v>0</v>
      </c>
      <c r="AB389">
        <f>IF(COUNT($AA$387:$AA$389)&lt;3,"",AVERAGE($AA$387:$AA$389))</f>
        <v>0</v>
      </c>
      <c r="AC389">
        <f>IF($E389="","",MAX($C389-$D389,ABS($C389-$E388),ABS($D389-$E388)))</f>
        <v>0</v>
      </c>
      <c r="AD389">
        <f>IF(COUNT($E$2:$E389)&lt;15,"",AVERAGE($AC$376:$AC$389))</f>
        <v>0</v>
      </c>
      <c r="AE389">
        <f>IF(OR($E389="",$E388=""),"",IF(AND(($C389-$C388)&gt;($D388-$D389),($C389-$C388)&gt;0),$C389-$C388,0))</f>
        <v>0</v>
      </c>
      <c r="AF389">
        <f>IF(OR($E389="",$E388=""),"",IF(AND(($D388-$D389)&gt;($C389-$C388),($D388-$D389)&gt;0),$D388-$D389,0))</f>
        <v>0</v>
      </c>
      <c r="AG389">
        <f>IF(COUNT($E$2:$E389)&lt;15,"",IF(SUM($AC$376:$AC$389)=0,0,100*SUM($AE$376:$AE$389)/SUM($AC$376:$AC$389)))</f>
        <v>0</v>
      </c>
      <c r="AH389">
        <f>IF(COUNT($E$2:$E389)&lt;15,"",IF(SUM($AC$376:$AC$389)=0,0,100*SUM($AF$376:$AF$389)/SUM($AC$376:$AC$389)))</f>
        <v>0</v>
      </c>
      <c r="AI389">
        <f>IF(OR(AG389="",AH389=""),"",IF((AG389+AH389)=0,0,100*ABS(AG389-AH389)/(AG389+AH389)))</f>
        <v>0</v>
      </c>
      <c r="AJ389">
        <f>IF(COUNT($AI$376:$AI$389)&lt;14,"",AVERAGE($AI$376:$AI$389))</f>
        <v>0</v>
      </c>
      <c r="AK389">
        <f>IF(COUNT($E$2:$E389)&lt;20,"",AVERAGE($E$370:$E$389))</f>
        <v>0</v>
      </c>
      <c r="AL389">
        <f>IF(COUNT($E$2:$E389)&lt;20,"",STDEVP($E$370:$E$389))</f>
        <v>0</v>
      </c>
      <c r="AM389">
        <f>IF(AK389="","",AK389+2*AL389)</f>
        <v>0</v>
      </c>
      <c r="AN389">
        <f>IF(AK389="","",AK389-2*AL389)</f>
        <v>0</v>
      </c>
      <c r="AO389">
        <f>IF(OR(AM389="",AN389="",AM389=AN389),"",($E389-AN389)/(AM389-AN389))</f>
        <v>0</v>
      </c>
      <c r="AP389">
        <f>IF(OR(AM389="",AK389="",AK389=0),"",(AM389-AN389)/AK389)</f>
        <v>0</v>
      </c>
      <c r="AQ389">
        <f>IF(COUNT($E$2:$E389)&lt;20,"",MAX($C$370:$C$389))</f>
        <v>0</v>
      </c>
      <c r="AR389">
        <f>IF(COUNT($E$2:$E389)&lt;20,"",MIN($D$370:$D$389))</f>
        <v>0</v>
      </c>
      <c r="AS389">
        <f>IF(OR(AQ389="",AR389=""),"",(AQ389+AR389)/2)</f>
        <v>0</v>
      </c>
      <c r="AT389">
        <f>IF(COUNT($G$370:$G$389)&lt;20,"",STDEV($G$370:$G$389)*SQRT(252))</f>
        <v>0</v>
      </c>
      <c r="AU389">
        <f>IF(COUNT($E$2:$E389)&lt;9,"",(MAX($C$381:$C$389)+MIN($D$381:$D$389))/2)</f>
        <v>0</v>
      </c>
      <c r="AV389">
        <f>IF(COUNT($E$2:$E389)&lt;26,"",(MAX($C$364:$C$389)+MIN($D$364:$D$389))/2)</f>
        <v>0</v>
      </c>
      <c r="AW389">
        <f>IF(OR(AU389="",AV389=""),"",(AU389+AV389)/2)</f>
        <v>0</v>
      </c>
      <c r="AX389">
        <f>IF(COUNT($E$2:$E389)&lt;52,"",(MAX($C$338:$C$389)+MIN($D$338:$D$389))/2)</f>
        <v>0</v>
      </c>
      <c r="AY389">
        <f>IF(COUNT($E$2:$E389)&lt;20,"",MAX($C$290:$C$389))</f>
        <v>0</v>
      </c>
      <c r="AZ389">
        <f>IF(COUNT($E$2:$E389)&lt;20,"",MIN($D$290:$D$389))</f>
        <v>0</v>
      </c>
      <c r="BA389">
        <f>IF(COUNT($E$2:$E389)&lt;20,"",SLOPE($E$290:$E$389,$F$290:$F$389))</f>
        <v>0</v>
      </c>
      <c r="BB389">
        <f>IF(COUNT($E$2:$E389)&lt;20,"",INTERCEPT($E$290:$E$389,$F$290:$F$389))</f>
        <v>0</v>
      </c>
      <c r="BC389">
        <f>IF(OR(BA389="",BB389=""),"",BB389+BA389*F389)</f>
        <v>0</v>
      </c>
      <c r="BD389">
        <f>IF(COUNT($E$2:$E389)&lt;20,"",STEYX($E$290:$E$389,$F$290:$F$389))</f>
        <v>0</v>
      </c>
      <c r="BE389">
        <f>IF($E389="","",IF(AND(COUNT($E$390:$E$393)&gt;=4,$C389=MAX($C$385:$C$393)),$C389,""))</f>
        <v>0</v>
      </c>
      <c r="BF389">
        <f>IF($E389="","",IF(AND(COUNT($E$390:$E$393)&gt;=4,$D389=MIN($D$385:$D$393)),$D389,""))</f>
        <v>0</v>
      </c>
      <c r="BG389">
        <f>IF($A389="","",$A389-WEEKDAY($A389,2)+1)</f>
        <v>0</v>
      </c>
      <c r="BH389">
        <f>IF($A389="","",IF($A388="",1,IF(BG389&lt;&gt;BG388,1,0)))</f>
        <v>0</v>
      </c>
      <c r="BI389">
        <f>IF($A389="","",IF($A390="",1,IF(BG390&lt;&gt;BG389,1,0)))</f>
        <v>0</v>
      </c>
      <c r="BJ389">
        <f>IF($A389="","",IF(BH389=1,$B389,BJ388))</f>
        <v>0</v>
      </c>
      <c r="BK389">
        <f>IF($A389="","",IF(BH389=1,$C389,MAX($C389,BK388)))</f>
        <v>0</v>
      </c>
      <c r="BL389">
        <f>IF($A389="","",IF(BH389=1,$D389,MIN($D389,BL388)))</f>
        <v>0</v>
      </c>
      <c r="BM389">
        <f>IF($A389="","",IF(BI389=1,F389,""))</f>
        <v>0</v>
      </c>
      <c r="BN389">
        <f>IF($A389="","",DATE(YEAR($A389),MONTH($A389),1))</f>
        <v>0</v>
      </c>
      <c r="BO389">
        <f>IF($A389="","",IF($A388="",1,IF(BN389&lt;&gt;BN388,1,0)))</f>
        <v>0</v>
      </c>
      <c r="BP389">
        <f>IF($A389="","",IF($A390="",1,IF(BN390&lt;&gt;BN389,1,0)))</f>
        <v>0</v>
      </c>
      <c r="BQ389">
        <f>IF($A389="","",IF(BO389=1,$B389,BQ388))</f>
        <v>0</v>
      </c>
      <c r="BR389">
        <f>IF($A389="","",IF(BO389=1,$C389,MAX($C389,BR388)))</f>
        <v>0</v>
      </c>
      <c r="BS389">
        <f>IF($A389="","",IF(BO389=1,$D389,MIN($D389,BS388)))</f>
        <v>0</v>
      </c>
      <c r="BT389">
        <f>IF($A389="","",IF(BP389=1,F389,""))</f>
        <v>0</v>
      </c>
    </row>
    <row r="390" spans="1:72">
      <c r="A390" s="27">
        <f>IF(Data!$A390="","",Data!$A390)</f>
        <v>0</v>
      </c>
      <c r="B390">
        <f>IF(Data!$B390="","",Data!$B390)</f>
        <v>0</v>
      </c>
      <c r="C390">
        <f>IF(Data!$C390="","",Data!$C390)</f>
        <v>0</v>
      </c>
      <c r="D390">
        <f>IF(Data!$D390="","",Data!$D390)</f>
        <v>0</v>
      </c>
      <c r="E390">
        <f>IF(Data!$E390="","",Data!$E390)</f>
        <v>0</v>
      </c>
      <c r="F390">
        <f>IF($E390="","",N(F389)+1)</f>
        <v>0</v>
      </c>
      <c r="G390">
        <f>IF(OR($E390="",$E389=""),"",LN($E390/$E389))</f>
        <v>0</v>
      </c>
      <c r="H390">
        <f>IF($E390="","",IF($E389="",$E390,$E390*0.0952380952+H389*0.9047619048))</f>
        <v>0</v>
      </c>
      <c r="I390">
        <f>IF($E390="","",IF($E389="",$E390,$E390*0.0392156863+I389*0.9607843137))</f>
        <v>0</v>
      </c>
      <c r="J390">
        <f>IF($E390="","",IF($E389="",$E390,$E390*0.0198019802+J389*0.9801980198))</f>
        <v>0</v>
      </c>
      <c r="K390">
        <f>IF($E390="","",IF($E389="",$E390,$E390*0.0099502488+K389*0.9900497512))</f>
        <v>0</v>
      </c>
      <c r="L390">
        <f>IF(OR($E390="",$E389=""),"",MAX($E390-$E389,0))</f>
        <v>0</v>
      </c>
      <c r="M390">
        <f>IF(OR($E390="",$E389=""),"",MAX($E389-$E390,0))</f>
        <v>0</v>
      </c>
      <c r="N390">
        <f>IF(COUNT($E$2:$E390)&lt;15,"",IF(AVERAGE($M$377:$M$390)=0,100,100-100/(1+AVERAGE($L$377:$L$390)/AVERAGE($M$377:$M$390))))</f>
        <v>0</v>
      </c>
      <c r="O390">
        <f>IF($E390="","",IF($E389="",$E390,$E390*0.1538461538+O389*0.8461538462))</f>
        <v>0</v>
      </c>
      <c r="P390">
        <f>IF($E390="","",IF($E389="",$E390,$E390*0.0740740741+P389*0.9259259259))</f>
        <v>0</v>
      </c>
      <c r="Q390">
        <f>IF(OR(O390="",P390=""),"",O390-P390)</f>
        <v>0</v>
      </c>
      <c r="R390">
        <f>IF(Q390="","",IF(R389="",Q390,Q390*0.2000000000+R389*0.8000000000))</f>
        <v>0</v>
      </c>
      <c r="S390">
        <f>IF(OR(Q390="",R390=""),"",Q390-R390)</f>
        <v>0</v>
      </c>
      <c r="T390">
        <f>IF(COUNT($E$2:$E390)&lt;14,"",MAX($C$377:$C$390))</f>
        <v>0</v>
      </c>
      <c r="U390">
        <f>IF(COUNT($E$2:$E390)&lt;14,"",MIN($D$377:$D$390))</f>
        <v>0</v>
      </c>
      <c r="V390">
        <f>IF(OR(T390="",U390="",T390=U390),"",100*($E390-U390)/(T390-U390))</f>
        <v>0</v>
      </c>
      <c r="W390">
        <f>IF(COUNT($V$388:$V$390)&lt;3,"",AVERAGE($V$388:$V$390))</f>
        <v>0</v>
      </c>
      <c r="X390">
        <f>IF(COUNT($N$377:$N$390)&lt;14,"",MIN($N$377:$N$390))</f>
        <v>0</v>
      </c>
      <c r="Y390">
        <f>IF(COUNT($N$377:$N$390)&lt;14,"",MAX($N$377:$N$390))</f>
        <v>0</v>
      </c>
      <c r="Z390">
        <f>IF(OR(N390="",X390="",Y390="",Y390=X390),"",100*(N390-X390)/(Y390-X390))</f>
        <v>0</v>
      </c>
      <c r="AA390">
        <f>IF(COUNT($Z$388:$Z$390)&lt;3,"",AVERAGE($Z$388:$Z$390))</f>
        <v>0</v>
      </c>
      <c r="AB390">
        <f>IF(COUNT($AA$388:$AA$390)&lt;3,"",AVERAGE($AA$388:$AA$390))</f>
        <v>0</v>
      </c>
      <c r="AC390">
        <f>IF($E390="","",MAX($C390-$D390,ABS($C390-$E389),ABS($D390-$E389)))</f>
        <v>0</v>
      </c>
      <c r="AD390">
        <f>IF(COUNT($E$2:$E390)&lt;15,"",AVERAGE($AC$377:$AC$390))</f>
        <v>0</v>
      </c>
      <c r="AE390">
        <f>IF(OR($E390="",$E389=""),"",IF(AND(($C390-$C389)&gt;($D389-$D390),($C390-$C389)&gt;0),$C390-$C389,0))</f>
        <v>0</v>
      </c>
      <c r="AF390">
        <f>IF(OR($E390="",$E389=""),"",IF(AND(($D389-$D390)&gt;($C390-$C389),($D389-$D390)&gt;0),$D389-$D390,0))</f>
        <v>0</v>
      </c>
      <c r="AG390">
        <f>IF(COUNT($E$2:$E390)&lt;15,"",IF(SUM($AC$377:$AC$390)=0,0,100*SUM($AE$377:$AE$390)/SUM($AC$377:$AC$390)))</f>
        <v>0</v>
      </c>
      <c r="AH390">
        <f>IF(COUNT($E$2:$E390)&lt;15,"",IF(SUM($AC$377:$AC$390)=0,0,100*SUM($AF$377:$AF$390)/SUM($AC$377:$AC$390)))</f>
        <v>0</v>
      </c>
      <c r="AI390">
        <f>IF(OR(AG390="",AH390=""),"",IF((AG390+AH390)=0,0,100*ABS(AG390-AH390)/(AG390+AH390)))</f>
        <v>0</v>
      </c>
      <c r="AJ390">
        <f>IF(COUNT($AI$377:$AI$390)&lt;14,"",AVERAGE($AI$377:$AI$390))</f>
        <v>0</v>
      </c>
      <c r="AK390">
        <f>IF(COUNT($E$2:$E390)&lt;20,"",AVERAGE($E$371:$E$390))</f>
        <v>0</v>
      </c>
      <c r="AL390">
        <f>IF(COUNT($E$2:$E390)&lt;20,"",STDEVP($E$371:$E$390))</f>
        <v>0</v>
      </c>
      <c r="AM390">
        <f>IF(AK390="","",AK390+2*AL390)</f>
        <v>0</v>
      </c>
      <c r="AN390">
        <f>IF(AK390="","",AK390-2*AL390)</f>
        <v>0</v>
      </c>
      <c r="AO390">
        <f>IF(OR(AM390="",AN390="",AM390=AN390),"",($E390-AN390)/(AM390-AN390))</f>
        <v>0</v>
      </c>
      <c r="AP390">
        <f>IF(OR(AM390="",AK390="",AK390=0),"",(AM390-AN390)/AK390)</f>
        <v>0</v>
      </c>
      <c r="AQ390">
        <f>IF(COUNT($E$2:$E390)&lt;20,"",MAX($C$371:$C$390))</f>
        <v>0</v>
      </c>
      <c r="AR390">
        <f>IF(COUNT($E$2:$E390)&lt;20,"",MIN($D$371:$D$390))</f>
        <v>0</v>
      </c>
      <c r="AS390">
        <f>IF(OR(AQ390="",AR390=""),"",(AQ390+AR390)/2)</f>
        <v>0</v>
      </c>
      <c r="AT390">
        <f>IF(COUNT($G$371:$G$390)&lt;20,"",STDEV($G$371:$G$390)*SQRT(252))</f>
        <v>0</v>
      </c>
      <c r="AU390">
        <f>IF(COUNT($E$2:$E390)&lt;9,"",(MAX($C$382:$C$390)+MIN($D$382:$D$390))/2)</f>
        <v>0</v>
      </c>
      <c r="AV390">
        <f>IF(COUNT($E$2:$E390)&lt;26,"",(MAX($C$365:$C$390)+MIN($D$365:$D$390))/2)</f>
        <v>0</v>
      </c>
      <c r="AW390">
        <f>IF(OR(AU390="",AV390=""),"",(AU390+AV390)/2)</f>
        <v>0</v>
      </c>
      <c r="AX390">
        <f>IF(COUNT($E$2:$E390)&lt;52,"",(MAX($C$339:$C$390)+MIN($D$339:$D$390))/2)</f>
        <v>0</v>
      </c>
      <c r="AY390">
        <f>IF(COUNT($E$2:$E390)&lt;20,"",MAX($C$291:$C$390))</f>
        <v>0</v>
      </c>
      <c r="AZ390">
        <f>IF(COUNT($E$2:$E390)&lt;20,"",MIN($D$291:$D$390))</f>
        <v>0</v>
      </c>
      <c r="BA390">
        <f>IF(COUNT($E$2:$E390)&lt;20,"",SLOPE($E$291:$E$390,$F$291:$F$390))</f>
        <v>0</v>
      </c>
      <c r="BB390">
        <f>IF(COUNT($E$2:$E390)&lt;20,"",INTERCEPT($E$291:$E$390,$F$291:$F$390))</f>
        <v>0</v>
      </c>
      <c r="BC390">
        <f>IF(OR(BA390="",BB390=""),"",BB390+BA390*F390)</f>
        <v>0</v>
      </c>
      <c r="BD390">
        <f>IF(COUNT($E$2:$E390)&lt;20,"",STEYX($E$291:$E$390,$F$291:$F$390))</f>
        <v>0</v>
      </c>
      <c r="BE390">
        <f>IF($E390="","",IF(AND(COUNT($E$391:$E$394)&gt;=4,$C390=MAX($C$386:$C$394)),$C390,""))</f>
        <v>0</v>
      </c>
      <c r="BF390">
        <f>IF($E390="","",IF(AND(COUNT($E$391:$E$394)&gt;=4,$D390=MIN($D$386:$D$394)),$D390,""))</f>
        <v>0</v>
      </c>
      <c r="BG390">
        <f>IF($A390="","",$A390-WEEKDAY($A390,2)+1)</f>
        <v>0</v>
      </c>
      <c r="BH390">
        <f>IF($A390="","",IF($A389="",1,IF(BG390&lt;&gt;BG389,1,0)))</f>
        <v>0</v>
      </c>
      <c r="BI390">
        <f>IF($A390="","",IF($A391="",1,IF(BG391&lt;&gt;BG390,1,0)))</f>
        <v>0</v>
      </c>
      <c r="BJ390">
        <f>IF($A390="","",IF(BH390=1,$B390,BJ389))</f>
        <v>0</v>
      </c>
      <c r="BK390">
        <f>IF($A390="","",IF(BH390=1,$C390,MAX($C390,BK389)))</f>
        <v>0</v>
      </c>
      <c r="BL390">
        <f>IF($A390="","",IF(BH390=1,$D390,MIN($D390,BL389)))</f>
        <v>0</v>
      </c>
      <c r="BM390">
        <f>IF($A390="","",IF(BI390=1,F390,""))</f>
        <v>0</v>
      </c>
      <c r="BN390">
        <f>IF($A390="","",DATE(YEAR($A390),MONTH($A390),1))</f>
        <v>0</v>
      </c>
      <c r="BO390">
        <f>IF($A390="","",IF($A389="",1,IF(BN390&lt;&gt;BN389,1,0)))</f>
        <v>0</v>
      </c>
      <c r="BP390">
        <f>IF($A390="","",IF($A391="",1,IF(BN391&lt;&gt;BN390,1,0)))</f>
        <v>0</v>
      </c>
      <c r="BQ390">
        <f>IF($A390="","",IF(BO390=1,$B390,BQ389))</f>
        <v>0</v>
      </c>
      <c r="BR390">
        <f>IF($A390="","",IF(BO390=1,$C390,MAX($C390,BR389)))</f>
        <v>0</v>
      </c>
      <c r="BS390">
        <f>IF($A390="","",IF(BO390=1,$D390,MIN($D390,BS389)))</f>
        <v>0</v>
      </c>
      <c r="BT390">
        <f>IF($A390="","",IF(BP390=1,F390,""))</f>
        <v>0</v>
      </c>
    </row>
    <row r="391" spans="1:72">
      <c r="A391" s="27">
        <f>IF(Data!$A391="","",Data!$A391)</f>
        <v>0</v>
      </c>
      <c r="B391">
        <f>IF(Data!$B391="","",Data!$B391)</f>
        <v>0</v>
      </c>
      <c r="C391">
        <f>IF(Data!$C391="","",Data!$C391)</f>
        <v>0</v>
      </c>
      <c r="D391">
        <f>IF(Data!$D391="","",Data!$D391)</f>
        <v>0</v>
      </c>
      <c r="E391">
        <f>IF(Data!$E391="","",Data!$E391)</f>
        <v>0</v>
      </c>
      <c r="F391">
        <f>IF($E391="","",N(F390)+1)</f>
        <v>0</v>
      </c>
      <c r="G391">
        <f>IF(OR($E391="",$E390=""),"",LN($E391/$E390))</f>
        <v>0</v>
      </c>
      <c r="H391">
        <f>IF($E391="","",IF($E390="",$E391,$E391*0.0952380952+H390*0.9047619048))</f>
        <v>0</v>
      </c>
      <c r="I391">
        <f>IF($E391="","",IF($E390="",$E391,$E391*0.0392156863+I390*0.9607843137))</f>
        <v>0</v>
      </c>
      <c r="J391">
        <f>IF($E391="","",IF($E390="",$E391,$E391*0.0198019802+J390*0.9801980198))</f>
        <v>0</v>
      </c>
      <c r="K391">
        <f>IF($E391="","",IF($E390="",$E391,$E391*0.0099502488+K390*0.9900497512))</f>
        <v>0</v>
      </c>
      <c r="L391">
        <f>IF(OR($E391="",$E390=""),"",MAX($E391-$E390,0))</f>
        <v>0</v>
      </c>
      <c r="M391">
        <f>IF(OR($E391="",$E390=""),"",MAX($E390-$E391,0))</f>
        <v>0</v>
      </c>
      <c r="N391">
        <f>IF(COUNT($E$2:$E391)&lt;15,"",IF(AVERAGE($M$378:$M$391)=0,100,100-100/(1+AVERAGE($L$378:$L$391)/AVERAGE($M$378:$M$391))))</f>
        <v>0</v>
      </c>
      <c r="O391">
        <f>IF($E391="","",IF($E390="",$E391,$E391*0.1538461538+O390*0.8461538462))</f>
        <v>0</v>
      </c>
      <c r="P391">
        <f>IF($E391="","",IF($E390="",$E391,$E391*0.0740740741+P390*0.9259259259))</f>
        <v>0</v>
      </c>
      <c r="Q391">
        <f>IF(OR(O391="",P391=""),"",O391-P391)</f>
        <v>0</v>
      </c>
      <c r="R391">
        <f>IF(Q391="","",IF(R390="",Q391,Q391*0.2000000000+R390*0.8000000000))</f>
        <v>0</v>
      </c>
      <c r="S391">
        <f>IF(OR(Q391="",R391=""),"",Q391-R391)</f>
        <v>0</v>
      </c>
      <c r="T391">
        <f>IF(COUNT($E$2:$E391)&lt;14,"",MAX($C$378:$C$391))</f>
        <v>0</v>
      </c>
      <c r="U391">
        <f>IF(COUNT($E$2:$E391)&lt;14,"",MIN($D$378:$D$391))</f>
        <v>0</v>
      </c>
      <c r="V391">
        <f>IF(OR(T391="",U391="",T391=U391),"",100*($E391-U391)/(T391-U391))</f>
        <v>0</v>
      </c>
      <c r="W391">
        <f>IF(COUNT($V$389:$V$391)&lt;3,"",AVERAGE($V$389:$V$391))</f>
        <v>0</v>
      </c>
      <c r="X391">
        <f>IF(COUNT($N$378:$N$391)&lt;14,"",MIN($N$378:$N$391))</f>
        <v>0</v>
      </c>
      <c r="Y391">
        <f>IF(COUNT($N$378:$N$391)&lt;14,"",MAX($N$378:$N$391))</f>
        <v>0</v>
      </c>
      <c r="Z391">
        <f>IF(OR(N391="",X391="",Y391="",Y391=X391),"",100*(N391-X391)/(Y391-X391))</f>
        <v>0</v>
      </c>
      <c r="AA391">
        <f>IF(COUNT($Z$389:$Z$391)&lt;3,"",AVERAGE($Z$389:$Z$391))</f>
        <v>0</v>
      </c>
      <c r="AB391">
        <f>IF(COUNT($AA$389:$AA$391)&lt;3,"",AVERAGE($AA$389:$AA$391))</f>
        <v>0</v>
      </c>
      <c r="AC391">
        <f>IF($E391="","",MAX($C391-$D391,ABS($C391-$E390),ABS($D391-$E390)))</f>
        <v>0</v>
      </c>
      <c r="AD391">
        <f>IF(COUNT($E$2:$E391)&lt;15,"",AVERAGE($AC$378:$AC$391))</f>
        <v>0</v>
      </c>
      <c r="AE391">
        <f>IF(OR($E391="",$E390=""),"",IF(AND(($C391-$C390)&gt;($D390-$D391),($C391-$C390)&gt;0),$C391-$C390,0))</f>
        <v>0</v>
      </c>
      <c r="AF391">
        <f>IF(OR($E391="",$E390=""),"",IF(AND(($D390-$D391)&gt;($C391-$C390),($D390-$D391)&gt;0),$D390-$D391,0))</f>
        <v>0</v>
      </c>
      <c r="AG391">
        <f>IF(COUNT($E$2:$E391)&lt;15,"",IF(SUM($AC$378:$AC$391)=0,0,100*SUM($AE$378:$AE$391)/SUM($AC$378:$AC$391)))</f>
        <v>0</v>
      </c>
      <c r="AH391">
        <f>IF(COUNT($E$2:$E391)&lt;15,"",IF(SUM($AC$378:$AC$391)=0,0,100*SUM($AF$378:$AF$391)/SUM($AC$378:$AC$391)))</f>
        <v>0</v>
      </c>
      <c r="AI391">
        <f>IF(OR(AG391="",AH391=""),"",IF((AG391+AH391)=0,0,100*ABS(AG391-AH391)/(AG391+AH391)))</f>
        <v>0</v>
      </c>
      <c r="AJ391">
        <f>IF(COUNT($AI$378:$AI$391)&lt;14,"",AVERAGE($AI$378:$AI$391))</f>
        <v>0</v>
      </c>
      <c r="AK391">
        <f>IF(COUNT($E$2:$E391)&lt;20,"",AVERAGE($E$372:$E$391))</f>
        <v>0</v>
      </c>
      <c r="AL391">
        <f>IF(COUNT($E$2:$E391)&lt;20,"",STDEVP($E$372:$E$391))</f>
        <v>0</v>
      </c>
      <c r="AM391">
        <f>IF(AK391="","",AK391+2*AL391)</f>
        <v>0</v>
      </c>
      <c r="AN391">
        <f>IF(AK391="","",AK391-2*AL391)</f>
        <v>0</v>
      </c>
      <c r="AO391">
        <f>IF(OR(AM391="",AN391="",AM391=AN391),"",($E391-AN391)/(AM391-AN391))</f>
        <v>0</v>
      </c>
      <c r="AP391">
        <f>IF(OR(AM391="",AK391="",AK391=0),"",(AM391-AN391)/AK391)</f>
        <v>0</v>
      </c>
      <c r="AQ391">
        <f>IF(COUNT($E$2:$E391)&lt;20,"",MAX($C$372:$C$391))</f>
        <v>0</v>
      </c>
      <c r="AR391">
        <f>IF(COUNT($E$2:$E391)&lt;20,"",MIN($D$372:$D$391))</f>
        <v>0</v>
      </c>
      <c r="AS391">
        <f>IF(OR(AQ391="",AR391=""),"",(AQ391+AR391)/2)</f>
        <v>0</v>
      </c>
      <c r="AT391">
        <f>IF(COUNT($G$372:$G$391)&lt;20,"",STDEV($G$372:$G$391)*SQRT(252))</f>
        <v>0</v>
      </c>
      <c r="AU391">
        <f>IF(COUNT($E$2:$E391)&lt;9,"",(MAX($C$383:$C$391)+MIN($D$383:$D$391))/2)</f>
        <v>0</v>
      </c>
      <c r="AV391">
        <f>IF(COUNT($E$2:$E391)&lt;26,"",(MAX($C$366:$C$391)+MIN($D$366:$D$391))/2)</f>
        <v>0</v>
      </c>
      <c r="AW391">
        <f>IF(OR(AU391="",AV391=""),"",(AU391+AV391)/2)</f>
        <v>0</v>
      </c>
      <c r="AX391">
        <f>IF(COUNT($E$2:$E391)&lt;52,"",(MAX($C$340:$C$391)+MIN($D$340:$D$391))/2)</f>
        <v>0</v>
      </c>
      <c r="AY391">
        <f>IF(COUNT($E$2:$E391)&lt;20,"",MAX($C$292:$C$391))</f>
        <v>0</v>
      </c>
      <c r="AZ391">
        <f>IF(COUNT($E$2:$E391)&lt;20,"",MIN($D$292:$D$391))</f>
        <v>0</v>
      </c>
      <c r="BA391">
        <f>IF(COUNT($E$2:$E391)&lt;20,"",SLOPE($E$292:$E$391,$F$292:$F$391))</f>
        <v>0</v>
      </c>
      <c r="BB391">
        <f>IF(COUNT($E$2:$E391)&lt;20,"",INTERCEPT($E$292:$E$391,$F$292:$F$391))</f>
        <v>0</v>
      </c>
      <c r="BC391">
        <f>IF(OR(BA391="",BB391=""),"",BB391+BA391*F391)</f>
        <v>0</v>
      </c>
      <c r="BD391">
        <f>IF(COUNT($E$2:$E391)&lt;20,"",STEYX($E$292:$E$391,$F$292:$F$391))</f>
        <v>0</v>
      </c>
      <c r="BE391">
        <f>IF($E391="","",IF(AND(COUNT($E$392:$E$395)&gt;=4,$C391=MAX($C$387:$C$395)),$C391,""))</f>
        <v>0</v>
      </c>
      <c r="BF391">
        <f>IF($E391="","",IF(AND(COUNT($E$392:$E$395)&gt;=4,$D391=MIN($D$387:$D$395)),$D391,""))</f>
        <v>0</v>
      </c>
      <c r="BG391">
        <f>IF($A391="","",$A391-WEEKDAY($A391,2)+1)</f>
        <v>0</v>
      </c>
      <c r="BH391">
        <f>IF($A391="","",IF($A390="",1,IF(BG391&lt;&gt;BG390,1,0)))</f>
        <v>0</v>
      </c>
      <c r="BI391">
        <f>IF($A391="","",IF($A392="",1,IF(BG392&lt;&gt;BG391,1,0)))</f>
        <v>0</v>
      </c>
      <c r="BJ391">
        <f>IF($A391="","",IF(BH391=1,$B391,BJ390))</f>
        <v>0</v>
      </c>
      <c r="BK391">
        <f>IF($A391="","",IF(BH391=1,$C391,MAX($C391,BK390)))</f>
        <v>0</v>
      </c>
      <c r="BL391">
        <f>IF($A391="","",IF(BH391=1,$D391,MIN($D391,BL390)))</f>
        <v>0</v>
      </c>
      <c r="BM391">
        <f>IF($A391="","",IF(BI391=1,F391,""))</f>
        <v>0</v>
      </c>
      <c r="BN391">
        <f>IF($A391="","",DATE(YEAR($A391),MONTH($A391),1))</f>
        <v>0</v>
      </c>
      <c r="BO391">
        <f>IF($A391="","",IF($A390="",1,IF(BN391&lt;&gt;BN390,1,0)))</f>
        <v>0</v>
      </c>
      <c r="BP391">
        <f>IF($A391="","",IF($A392="",1,IF(BN392&lt;&gt;BN391,1,0)))</f>
        <v>0</v>
      </c>
      <c r="BQ391">
        <f>IF($A391="","",IF(BO391=1,$B391,BQ390))</f>
        <v>0</v>
      </c>
      <c r="BR391">
        <f>IF($A391="","",IF(BO391=1,$C391,MAX($C391,BR390)))</f>
        <v>0</v>
      </c>
      <c r="BS391">
        <f>IF($A391="","",IF(BO391=1,$D391,MIN($D391,BS390)))</f>
        <v>0</v>
      </c>
      <c r="BT391">
        <f>IF($A391="","",IF(BP391=1,F391,""))</f>
        <v>0</v>
      </c>
    </row>
    <row r="392" spans="1:72">
      <c r="A392" s="27">
        <f>IF(Data!$A392="","",Data!$A392)</f>
        <v>0</v>
      </c>
      <c r="B392">
        <f>IF(Data!$B392="","",Data!$B392)</f>
        <v>0</v>
      </c>
      <c r="C392">
        <f>IF(Data!$C392="","",Data!$C392)</f>
        <v>0</v>
      </c>
      <c r="D392">
        <f>IF(Data!$D392="","",Data!$D392)</f>
        <v>0</v>
      </c>
      <c r="E392">
        <f>IF(Data!$E392="","",Data!$E392)</f>
        <v>0</v>
      </c>
      <c r="F392">
        <f>IF($E392="","",N(F391)+1)</f>
        <v>0</v>
      </c>
      <c r="G392">
        <f>IF(OR($E392="",$E391=""),"",LN($E392/$E391))</f>
        <v>0</v>
      </c>
      <c r="H392">
        <f>IF($E392="","",IF($E391="",$E392,$E392*0.0952380952+H391*0.9047619048))</f>
        <v>0</v>
      </c>
      <c r="I392">
        <f>IF($E392="","",IF($E391="",$E392,$E392*0.0392156863+I391*0.9607843137))</f>
        <v>0</v>
      </c>
      <c r="J392">
        <f>IF($E392="","",IF($E391="",$E392,$E392*0.0198019802+J391*0.9801980198))</f>
        <v>0</v>
      </c>
      <c r="K392">
        <f>IF($E392="","",IF($E391="",$E392,$E392*0.0099502488+K391*0.9900497512))</f>
        <v>0</v>
      </c>
      <c r="L392">
        <f>IF(OR($E392="",$E391=""),"",MAX($E392-$E391,0))</f>
        <v>0</v>
      </c>
      <c r="M392">
        <f>IF(OR($E392="",$E391=""),"",MAX($E391-$E392,0))</f>
        <v>0</v>
      </c>
      <c r="N392">
        <f>IF(COUNT($E$2:$E392)&lt;15,"",IF(AVERAGE($M$379:$M$392)=0,100,100-100/(1+AVERAGE($L$379:$L$392)/AVERAGE($M$379:$M$392))))</f>
        <v>0</v>
      </c>
      <c r="O392">
        <f>IF($E392="","",IF($E391="",$E392,$E392*0.1538461538+O391*0.8461538462))</f>
        <v>0</v>
      </c>
      <c r="P392">
        <f>IF($E392="","",IF($E391="",$E392,$E392*0.0740740741+P391*0.9259259259))</f>
        <v>0</v>
      </c>
      <c r="Q392">
        <f>IF(OR(O392="",P392=""),"",O392-P392)</f>
        <v>0</v>
      </c>
      <c r="R392">
        <f>IF(Q392="","",IF(R391="",Q392,Q392*0.2000000000+R391*0.8000000000))</f>
        <v>0</v>
      </c>
      <c r="S392">
        <f>IF(OR(Q392="",R392=""),"",Q392-R392)</f>
        <v>0</v>
      </c>
      <c r="T392">
        <f>IF(COUNT($E$2:$E392)&lt;14,"",MAX($C$379:$C$392))</f>
        <v>0</v>
      </c>
      <c r="U392">
        <f>IF(COUNT($E$2:$E392)&lt;14,"",MIN($D$379:$D$392))</f>
        <v>0</v>
      </c>
      <c r="V392">
        <f>IF(OR(T392="",U392="",T392=U392),"",100*($E392-U392)/(T392-U392))</f>
        <v>0</v>
      </c>
      <c r="W392">
        <f>IF(COUNT($V$390:$V$392)&lt;3,"",AVERAGE($V$390:$V$392))</f>
        <v>0</v>
      </c>
      <c r="X392">
        <f>IF(COUNT($N$379:$N$392)&lt;14,"",MIN($N$379:$N$392))</f>
        <v>0</v>
      </c>
      <c r="Y392">
        <f>IF(COUNT($N$379:$N$392)&lt;14,"",MAX($N$379:$N$392))</f>
        <v>0</v>
      </c>
      <c r="Z392">
        <f>IF(OR(N392="",X392="",Y392="",Y392=X392),"",100*(N392-X392)/(Y392-X392))</f>
        <v>0</v>
      </c>
      <c r="AA392">
        <f>IF(COUNT($Z$390:$Z$392)&lt;3,"",AVERAGE($Z$390:$Z$392))</f>
        <v>0</v>
      </c>
      <c r="AB392">
        <f>IF(COUNT($AA$390:$AA$392)&lt;3,"",AVERAGE($AA$390:$AA$392))</f>
        <v>0</v>
      </c>
      <c r="AC392">
        <f>IF($E392="","",MAX($C392-$D392,ABS($C392-$E391),ABS($D392-$E391)))</f>
        <v>0</v>
      </c>
      <c r="AD392">
        <f>IF(COUNT($E$2:$E392)&lt;15,"",AVERAGE($AC$379:$AC$392))</f>
        <v>0</v>
      </c>
      <c r="AE392">
        <f>IF(OR($E392="",$E391=""),"",IF(AND(($C392-$C391)&gt;($D391-$D392),($C392-$C391)&gt;0),$C392-$C391,0))</f>
        <v>0</v>
      </c>
      <c r="AF392">
        <f>IF(OR($E392="",$E391=""),"",IF(AND(($D391-$D392)&gt;($C392-$C391),($D391-$D392)&gt;0),$D391-$D392,0))</f>
        <v>0</v>
      </c>
      <c r="AG392">
        <f>IF(COUNT($E$2:$E392)&lt;15,"",IF(SUM($AC$379:$AC$392)=0,0,100*SUM($AE$379:$AE$392)/SUM($AC$379:$AC$392)))</f>
        <v>0</v>
      </c>
      <c r="AH392">
        <f>IF(COUNT($E$2:$E392)&lt;15,"",IF(SUM($AC$379:$AC$392)=0,0,100*SUM($AF$379:$AF$392)/SUM($AC$379:$AC$392)))</f>
        <v>0</v>
      </c>
      <c r="AI392">
        <f>IF(OR(AG392="",AH392=""),"",IF((AG392+AH392)=0,0,100*ABS(AG392-AH392)/(AG392+AH392)))</f>
        <v>0</v>
      </c>
      <c r="AJ392">
        <f>IF(COUNT($AI$379:$AI$392)&lt;14,"",AVERAGE($AI$379:$AI$392))</f>
        <v>0</v>
      </c>
      <c r="AK392">
        <f>IF(COUNT($E$2:$E392)&lt;20,"",AVERAGE($E$373:$E$392))</f>
        <v>0</v>
      </c>
      <c r="AL392">
        <f>IF(COUNT($E$2:$E392)&lt;20,"",STDEVP($E$373:$E$392))</f>
        <v>0</v>
      </c>
      <c r="AM392">
        <f>IF(AK392="","",AK392+2*AL392)</f>
        <v>0</v>
      </c>
      <c r="AN392">
        <f>IF(AK392="","",AK392-2*AL392)</f>
        <v>0</v>
      </c>
      <c r="AO392">
        <f>IF(OR(AM392="",AN392="",AM392=AN392),"",($E392-AN392)/(AM392-AN392))</f>
        <v>0</v>
      </c>
      <c r="AP392">
        <f>IF(OR(AM392="",AK392="",AK392=0),"",(AM392-AN392)/AK392)</f>
        <v>0</v>
      </c>
      <c r="AQ392">
        <f>IF(COUNT($E$2:$E392)&lt;20,"",MAX($C$373:$C$392))</f>
        <v>0</v>
      </c>
      <c r="AR392">
        <f>IF(COUNT($E$2:$E392)&lt;20,"",MIN($D$373:$D$392))</f>
        <v>0</v>
      </c>
      <c r="AS392">
        <f>IF(OR(AQ392="",AR392=""),"",(AQ392+AR392)/2)</f>
        <v>0</v>
      </c>
      <c r="AT392">
        <f>IF(COUNT($G$373:$G$392)&lt;20,"",STDEV($G$373:$G$392)*SQRT(252))</f>
        <v>0</v>
      </c>
      <c r="AU392">
        <f>IF(COUNT($E$2:$E392)&lt;9,"",(MAX($C$384:$C$392)+MIN($D$384:$D$392))/2)</f>
        <v>0</v>
      </c>
      <c r="AV392">
        <f>IF(COUNT($E$2:$E392)&lt;26,"",(MAX($C$367:$C$392)+MIN($D$367:$D$392))/2)</f>
        <v>0</v>
      </c>
      <c r="AW392">
        <f>IF(OR(AU392="",AV392=""),"",(AU392+AV392)/2)</f>
        <v>0</v>
      </c>
      <c r="AX392">
        <f>IF(COUNT($E$2:$E392)&lt;52,"",(MAX($C$341:$C$392)+MIN($D$341:$D$392))/2)</f>
        <v>0</v>
      </c>
      <c r="AY392">
        <f>IF(COUNT($E$2:$E392)&lt;20,"",MAX($C$293:$C$392))</f>
        <v>0</v>
      </c>
      <c r="AZ392">
        <f>IF(COUNT($E$2:$E392)&lt;20,"",MIN($D$293:$D$392))</f>
        <v>0</v>
      </c>
      <c r="BA392">
        <f>IF(COUNT($E$2:$E392)&lt;20,"",SLOPE($E$293:$E$392,$F$293:$F$392))</f>
        <v>0</v>
      </c>
      <c r="BB392">
        <f>IF(COUNT($E$2:$E392)&lt;20,"",INTERCEPT($E$293:$E$392,$F$293:$F$392))</f>
        <v>0</v>
      </c>
      <c r="BC392">
        <f>IF(OR(BA392="",BB392=""),"",BB392+BA392*F392)</f>
        <v>0</v>
      </c>
      <c r="BD392">
        <f>IF(COUNT($E$2:$E392)&lt;20,"",STEYX($E$293:$E$392,$F$293:$F$392))</f>
        <v>0</v>
      </c>
      <c r="BE392">
        <f>IF($E392="","",IF(AND(COUNT($E$393:$E$396)&gt;=4,$C392=MAX($C$388:$C$396)),$C392,""))</f>
        <v>0</v>
      </c>
      <c r="BF392">
        <f>IF($E392="","",IF(AND(COUNT($E$393:$E$396)&gt;=4,$D392=MIN($D$388:$D$396)),$D392,""))</f>
        <v>0</v>
      </c>
      <c r="BG392">
        <f>IF($A392="","",$A392-WEEKDAY($A392,2)+1)</f>
        <v>0</v>
      </c>
      <c r="BH392">
        <f>IF($A392="","",IF($A391="",1,IF(BG392&lt;&gt;BG391,1,0)))</f>
        <v>0</v>
      </c>
      <c r="BI392">
        <f>IF($A392="","",IF($A393="",1,IF(BG393&lt;&gt;BG392,1,0)))</f>
        <v>0</v>
      </c>
      <c r="BJ392">
        <f>IF($A392="","",IF(BH392=1,$B392,BJ391))</f>
        <v>0</v>
      </c>
      <c r="BK392">
        <f>IF($A392="","",IF(BH392=1,$C392,MAX($C392,BK391)))</f>
        <v>0</v>
      </c>
      <c r="BL392">
        <f>IF($A392="","",IF(BH392=1,$D392,MIN($D392,BL391)))</f>
        <v>0</v>
      </c>
      <c r="BM392">
        <f>IF($A392="","",IF(BI392=1,F392,""))</f>
        <v>0</v>
      </c>
      <c r="BN392">
        <f>IF($A392="","",DATE(YEAR($A392),MONTH($A392),1))</f>
        <v>0</v>
      </c>
      <c r="BO392">
        <f>IF($A392="","",IF($A391="",1,IF(BN392&lt;&gt;BN391,1,0)))</f>
        <v>0</v>
      </c>
      <c r="BP392">
        <f>IF($A392="","",IF($A393="",1,IF(BN393&lt;&gt;BN392,1,0)))</f>
        <v>0</v>
      </c>
      <c r="BQ392">
        <f>IF($A392="","",IF(BO392=1,$B392,BQ391))</f>
        <v>0</v>
      </c>
      <c r="BR392">
        <f>IF($A392="","",IF(BO392=1,$C392,MAX($C392,BR391)))</f>
        <v>0</v>
      </c>
      <c r="BS392">
        <f>IF($A392="","",IF(BO392=1,$D392,MIN($D392,BS391)))</f>
        <v>0</v>
      </c>
      <c r="BT392">
        <f>IF($A392="","",IF(BP392=1,F392,""))</f>
        <v>0</v>
      </c>
    </row>
    <row r="393" spans="1:72">
      <c r="A393" s="27">
        <f>IF(Data!$A393="","",Data!$A393)</f>
        <v>0</v>
      </c>
      <c r="B393">
        <f>IF(Data!$B393="","",Data!$B393)</f>
        <v>0</v>
      </c>
      <c r="C393">
        <f>IF(Data!$C393="","",Data!$C393)</f>
        <v>0</v>
      </c>
      <c r="D393">
        <f>IF(Data!$D393="","",Data!$D393)</f>
        <v>0</v>
      </c>
      <c r="E393">
        <f>IF(Data!$E393="","",Data!$E393)</f>
        <v>0</v>
      </c>
      <c r="F393">
        <f>IF($E393="","",N(F392)+1)</f>
        <v>0</v>
      </c>
      <c r="G393">
        <f>IF(OR($E393="",$E392=""),"",LN($E393/$E392))</f>
        <v>0</v>
      </c>
      <c r="H393">
        <f>IF($E393="","",IF($E392="",$E393,$E393*0.0952380952+H392*0.9047619048))</f>
        <v>0</v>
      </c>
      <c r="I393">
        <f>IF($E393="","",IF($E392="",$E393,$E393*0.0392156863+I392*0.9607843137))</f>
        <v>0</v>
      </c>
      <c r="J393">
        <f>IF($E393="","",IF($E392="",$E393,$E393*0.0198019802+J392*0.9801980198))</f>
        <v>0</v>
      </c>
      <c r="K393">
        <f>IF($E393="","",IF($E392="",$E393,$E393*0.0099502488+K392*0.9900497512))</f>
        <v>0</v>
      </c>
      <c r="L393">
        <f>IF(OR($E393="",$E392=""),"",MAX($E393-$E392,0))</f>
        <v>0</v>
      </c>
      <c r="M393">
        <f>IF(OR($E393="",$E392=""),"",MAX($E392-$E393,0))</f>
        <v>0</v>
      </c>
      <c r="N393">
        <f>IF(COUNT($E$2:$E393)&lt;15,"",IF(AVERAGE($M$380:$M$393)=0,100,100-100/(1+AVERAGE($L$380:$L$393)/AVERAGE($M$380:$M$393))))</f>
        <v>0</v>
      </c>
      <c r="O393">
        <f>IF($E393="","",IF($E392="",$E393,$E393*0.1538461538+O392*0.8461538462))</f>
        <v>0</v>
      </c>
      <c r="P393">
        <f>IF($E393="","",IF($E392="",$E393,$E393*0.0740740741+P392*0.9259259259))</f>
        <v>0</v>
      </c>
      <c r="Q393">
        <f>IF(OR(O393="",P393=""),"",O393-P393)</f>
        <v>0</v>
      </c>
      <c r="R393">
        <f>IF(Q393="","",IF(R392="",Q393,Q393*0.2000000000+R392*0.8000000000))</f>
        <v>0</v>
      </c>
      <c r="S393">
        <f>IF(OR(Q393="",R393=""),"",Q393-R393)</f>
        <v>0</v>
      </c>
      <c r="T393">
        <f>IF(COUNT($E$2:$E393)&lt;14,"",MAX($C$380:$C$393))</f>
        <v>0</v>
      </c>
      <c r="U393">
        <f>IF(COUNT($E$2:$E393)&lt;14,"",MIN($D$380:$D$393))</f>
        <v>0</v>
      </c>
      <c r="V393">
        <f>IF(OR(T393="",U393="",T393=U393),"",100*($E393-U393)/(T393-U393))</f>
        <v>0</v>
      </c>
      <c r="W393">
        <f>IF(COUNT($V$391:$V$393)&lt;3,"",AVERAGE($V$391:$V$393))</f>
        <v>0</v>
      </c>
      <c r="X393">
        <f>IF(COUNT($N$380:$N$393)&lt;14,"",MIN($N$380:$N$393))</f>
        <v>0</v>
      </c>
      <c r="Y393">
        <f>IF(COUNT($N$380:$N$393)&lt;14,"",MAX($N$380:$N$393))</f>
        <v>0</v>
      </c>
      <c r="Z393">
        <f>IF(OR(N393="",X393="",Y393="",Y393=X393),"",100*(N393-X393)/(Y393-X393))</f>
        <v>0</v>
      </c>
      <c r="AA393">
        <f>IF(COUNT($Z$391:$Z$393)&lt;3,"",AVERAGE($Z$391:$Z$393))</f>
        <v>0</v>
      </c>
      <c r="AB393">
        <f>IF(COUNT($AA$391:$AA$393)&lt;3,"",AVERAGE($AA$391:$AA$393))</f>
        <v>0</v>
      </c>
      <c r="AC393">
        <f>IF($E393="","",MAX($C393-$D393,ABS($C393-$E392),ABS($D393-$E392)))</f>
        <v>0</v>
      </c>
      <c r="AD393">
        <f>IF(COUNT($E$2:$E393)&lt;15,"",AVERAGE($AC$380:$AC$393))</f>
        <v>0</v>
      </c>
      <c r="AE393">
        <f>IF(OR($E393="",$E392=""),"",IF(AND(($C393-$C392)&gt;($D392-$D393),($C393-$C392)&gt;0),$C393-$C392,0))</f>
        <v>0</v>
      </c>
      <c r="AF393">
        <f>IF(OR($E393="",$E392=""),"",IF(AND(($D392-$D393)&gt;($C393-$C392),($D392-$D393)&gt;0),$D392-$D393,0))</f>
        <v>0</v>
      </c>
      <c r="AG393">
        <f>IF(COUNT($E$2:$E393)&lt;15,"",IF(SUM($AC$380:$AC$393)=0,0,100*SUM($AE$380:$AE$393)/SUM($AC$380:$AC$393)))</f>
        <v>0</v>
      </c>
      <c r="AH393">
        <f>IF(COUNT($E$2:$E393)&lt;15,"",IF(SUM($AC$380:$AC$393)=0,0,100*SUM($AF$380:$AF$393)/SUM($AC$380:$AC$393)))</f>
        <v>0</v>
      </c>
      <c r="AI393">
        <f>IF(OR(AG393="",AH393=""),"",IF((AG393+AH393)=0,0,100*ABS(AG393-AH393)/(AG393+AH393)))</f>
        <v>0</v>
      </c>
      <c r="AJ393">
        <f>IF(COUNT($AI$380:$AI$393)&lt;14,"",AVERAGE($AI$380:$AI$393))</f>
        <v>0</v>
      </c>
      <c r="AK393">
        <f>IF(COUNT($E$2:$E393)&lt;20,"",AVERAGE($E$374:$E$393))</f>
        <v>0</v>
      </c>
      <c r="AL393">
        <f>IF(COUNT($E$2:$E393)&lt;20,"",STDEVP($E$374:$E$393))</f>
        <v>0</v>
      </c>
      <c r="AM393">
        <f>IF(AK393="","",AK393+2*AL393)</f>
        <v>0</v>
      </c>
      <c r="AN393">
        <f>IF(AK393="","",AK393-2*AL393)</f>
        <v>0</v>
      </c>
      <c r="AO393">
        <f>IF(OR(AM393="",AN393="",AM393=AN393),"",($E393-AN393)/(AM393-AN393))</f>
        <v>0</v>
      </c>
      <c r="AP393">
        <f>IF(OR(AM393="",AK393="",AK393=0),"",(AM393-AN393)/AK393)</f>
        <v>0</v>
      </c>
      <c r="AQ393">
        <f>IF(COUNT($E$2:$E393)&lt;20,"",MAX($C$374:$C$393))</f>
        <v>0</v>
      </c>
      <c r="AR393">
        <f>IF(COUNT($E$2:$E393)&lt;20,"",MIN($D$374:$D$393))</f>
        <v>0</v>
      </c>
      <c r="AS393">
        <f>IF(OR(AQ393="",AR393=""),"",(AQ393+AR393)/2)</f>
        <v>0</v>
      </c>
      <c r="AT393">
        <f>IF(COUNT($G$374:$G$393)&lt;20,"",STDEV($G$374:$G$393)*SQRT(252))</f>
        <v>0</v>
      </c>
      <c r="AU393">
        <f>IF(COUNT($E$2:$E393)&lt;9,"",(MAX($C$385:$C$393)+MIN($D$385:$D$393))/2)</f>
        <v>0</v>
      </c>
      <c r="AV393">
        <f>IF(COUNT($E$2:$E393)&lt;26,"",(MAX($C$368:$C$393)+MIN($D$368:$D$393))/2)</f>
        <v>0</v>
      </c>
      <c r="AW393">
        <f>IF(OR(AU393="",AV393=""),"",(AU393+AV393)/2)</f>
        <v>0</v>
      </c>
      <c r="AX393">
        <f>IF(COUNT($E$2:$E393)&lt;52,"",(MAX($C$342:$C$393)+MIN($D$342:$D$393))/2)</f>
        <v>0</v>
      </c>
      <c r="AY393">
        <f>IF(COUNT($E$2:$E393)&lt;20,"",MAX($C$294:$C$393))</f>
        <v>0</v>
      </c>
      <c r="AZ393">
        <f>IF(COUNT($E$2:$E393)&lt;20,"",MIN($D$294:$D$393))</f>
        <v>0</v>
      </c>
      <c r="BA393">
        <f>IF(COUNT($E$2:$E393)&lt;20,"",SLOPE($E$294:$E$393,$F$294:$F$393))</f>
        <v>0</v>
      </c>
      <c r="BB393">
        <f>IF(COUNT($E$2:$E393)&lt;20,"",INTERCEPT($E$294:$E$393,$F$294:$F$393))</f>
        <v>0</v>
      </c>
      <c r="BC393">
        <f>IF(OR(BA393="",BB393=""),"",BB393+BA393*F393)</f>
        <v>0</v>
      </c>
      <c r="BD393">
        <f>IF(COUNT($E$2:$E393)&lt;20,"",STEYX($E$294:$E$393,$F$294:$F$393))</f>
        <v>0</v>
      </c>
      <c r="BE393">
        <f>IF($E393="","",IF(AND(COUNT($E$394:$E$397)&gt;=4,$C393=MAX($C$389:$C$397)),$C393,""))</f>
        <v>0</v>
      </c>
      <c r="BF393">
        <f>IF($E393="","",IF(AND(COUNT($E$394:$E$397)&gt;=4,$D393=MIN($D$389:$D$397)),$D393,""))</f>
        <v>0</v>
      </c>
      <c r="BG393">
        <f>IF($A393="","",$A393-WEEKDAY($A393,2)+1)</f>
        <v>0</v>
      </c>
      <c r="BH393">
        <f>IF($A393="","",IF($A392="",1,IF(BG393&lt;&gt;BG392,1,0)))</f>
        <v>0</v>
      </c>
      <c r="BI393">
        <f>IF($A393="","",IF($A394="",1,IF(BG394&lt;&gt;BG393,1,0)))</f>
        <v>0</v>
      </c>
      <c r="BJ393">
        <f>IF($A393="","",IF(BH393=1,$B393,BJ392))</f>
        <v>0</v>
      </c>
      <c r="BK393">
        <f>IF($A393="","",IF(BH393=1,$C393,MAX($C393,BK392)))</f>
        <v>0</v>
      </c>
      <c r="BL393">
        <f>IF($A393="","",IF(BH393=1,$D393,MIN($D393,BL392)))</f>
        <v>0</v>
      </c>
      <c r="BM393">
        <f>IF($A393="","",IF(BI393=1,F393,""))</f>
        <v>0</v>
      </c>
      <c r="BN393">
        <f>IF($A393="","",DATE(YEAR($A393),MONTH($A393),1))</f>
        <v>0</v>
      </c>
      <c r="BO393">
        <f>IF($A393="","",IF($A392="",1,IF(BN393&lt;&gt;BN392,1,0)))</f>
        <v>0</v>
      </c>
      <c r="BP393">
        <f>IF($A393="","",IF($A394="",1,IF(BN394&lt;&gt;BN393,1,0)))</f>
        <v>0</v>
      </c>
      <c r="BQ393">
        <f>IF($A393="","",IF(BO393=1,$B393,BQ392))</f>
        <v>0</v>
      </c>
      <c r="BR393">
        <f>IF($A393="","",IF(BO393=1,$C393,MAX($C393,BR392)))</f>
        <v>0</v>
      </c>
      <c r="BS393">
        <f>IF($A393="","",IF(BO393=1,$D393,MIN($D393,BS392)))</f>
        <v>0</v>
      </c>
      <c r="BT393">
        <f>IF($A393="","",IF(BP393=1,F393,""))</f>
        <v>0</v>
      </c>
    </row>
    <row r="394" spans="1:72">
      <c r="A394" s="27">
        <f>IF(Data!$A394="","",Data!$A394)</f>
        <v>0</v>
      </c>
      <c r="B394">
        <f>IF(Data!$B394="","",Data!$B394)</f>
        <v>0</v>
      </c>
      <c r="C394">
        <f>IF(Data!$C394="","",Data!$C394)</f>
        <v>0</v>
      </c>
      <c r="D394">
        <f>IF(Data!$D394="","",Data!$D394)</f>
        <v>0</v>
      </c>
      <c r="E394">
        <f>IF(Data!$E394="","",Data!$E394)</f>
        <v>0</v>
      </c>
      <c r="F394">
        <f>IF($E394="","",N(F393)+1)</f>
        <v>0</v>
      </c>
      <c r="G394">
        <f>IF(OR($E394="",$E393=""),"",LN($E394/$E393))</f>
        <v>0</v>
      </c>
      <c r="H394">
        <f>IF($E394="","",IF($E393="",$E394,$E394*0.0952380952+H393*0.9047619048))</f>
        <v>0</v>
      </c>
      <c r="I394">
        <f>IF($E394="","",IF($E393="",$E394,$E394*0.0392156863+I393*0.9607843137))</f>
        <v>0</v>
      </c>
      <c r="J394">
        <f>IF($E394="","",IF($E393="",$E394,$E394*0.0198019802+J393*0.9801980198))</f>
        <v>0</v>
      </c>
      <c r="K394">
        <f>IF($E394="","",IF($E393="",$E394,$E394*0.0099502488+K393*0.9900497512))</f>
        <v>0</v>
      </c>
      <c r="L394">
        <f>IF(OR($E394="",$E393=""),"",MAX($E394-$E393,0))</f>
        <v>0</v>
      </c>
      <c r="M394">
        <f>IF(OR($E394="",$E393=""),"",MAX($E393-$E394,0))</f>
        <v>0</v>
      </c>
      <c r="N394">
        <f>IF(COUNT($E$2:$E394)&lt;15,"",IF(AVERAGE($M$381:$M$394)=0,100,100-100/(1+AVERAGE($L$381:$L$394)/AVERAGE($M$381:$M$394))))</f>
        <v>0</v>
      </c>
      <c r="O394">
        <f>IF($E394="","",IF($E393="",$E394,$E394*0.1538461538+O393*0.8461538462))</f>
        <v>0</v>
      </c>
      <c r="P394">
        <f>IF($E394="","",IF($E393="",$E394,$E394*0.0740740741+P393*0.9259259259))</f>
        <v>0</v>
      </c>
      <c r="Q394">
        <f>IF(OR(O394="",P394=""),"",O394-P394)</f>
        <v>0</v>
      </c>
      <c r="R394">
        <f>IF(Q394="","",IF(R393="",Q394,Q394*0.2000000000+R393*0.8000000000))</f>
        <v>0</v>
      </c>
      <c r="S394">
        <f>IF(OR(Q394="",R394=""),"",Q394-R394)</f>
        <v>0</v>
      </c>
      <c r="T394">
        <f>IF(COUNT($E$2:$E394)&lt;14,"",MAX($C$381:$C$394))</f>
        <v>0</v>
      </c>
      <c r="U394">
        <f>IF(COUNT($E$2:$E394)&lt;14,"",MIN($D$381:$D$394))</f>
        <v>0</v>
      </c>
      <c r="V394">
        <f>IF(OR(T394="",U394="",T394=U394),"",100*($E394-U394)/(T394-U394))</f>
        <v>0</v>
      </c>
      <c r="W394">
        <f>IF(COUNT($V$392:$V$394)&lt;3,"",AVERAGE($V$392:$V$394))</f>
        <v>0</v>
      </c>
      <c r="X394">
        <f>IF(COUNT($N$381:$N$394)&lt;14,"",MIN($N$381:$N$394))</f>
        <v>0</v>
      </c>
      <c r="Y394">
        <f>IF(COUNT($N$381:$N$394)&lt;14,"",MAX($N$381:$N$394))</f>
        <v>0</v>
      </c>
      <c r="Z394">
        <f>IF(OR(N394="",X394="",Y394="",Y394=X394),"",100*(N394-X394)/(Y394-X394))</f>
        <v>0</v>
      </c>
      <c r="AA394">
        <f>IF(COUNT($Z$392:$Z$394)&lt;3,"",AVERAGE($Z$392:$Z$394))</f>
        <v>0</v>
      </c>
      <c r="AB394">
        <f>IF(COUNT($AA$392:$AA$394)&lt;3,"",AVERAGE($AA$392:$AA$394))</f>
        <v>0</v>
      </c>
      <c r="AC394">
        <f>IF($E394="","",MAX($C394-$D394,ABS($C394-$E393),ABS($D394-$E393)))</f>
        <v>0</v>
      </c>
      <c r="AD394">
        <f>IF(COUNT($E$2:$E394)&lt;15,"",AVERAGE($AC$381:$AC$394))</f>
        <v>0</v>
      </c>
      <c r="AE394">
        <f>IF(OR($E394="",$E393=""),"",IF(AND(($C394-$C393)&gt;($D393-$D394),($C394-$C393)&gt;0),$C394-$C393,0))</f>
        <v>0</v>
      </c>
      <c r="AF394">
        <f>IF(OR($E394="",$E393=""),"",IF(AND(($D393-$D394)&gt;($C394-$C393),($D393-$D394)&gt;0),$D393-$D394,0))</f>
        <v>0</v>
      </c>
      <c r="AG394">
        <f>IF(COUNT($E$2:$E394)&lt;15,"",IF(SUM($AC$381:$AC$394)=0,0,100*SUM($AE$381:$AE$394)/SUM($AC$381:$AC$394)))</f>
        <v>0</v>
      </c>
      <c r="AH394">
        <f>IF(COUNT($E$2:$E394)&lt;15,"",IF(SUM($AC$381:$AC$394)=0,0,100*SUM($AF$381:$AF$394)/SUM($AC$381:$AC$394)))</f>
        <v>0</v>
      </c>
      <c r="AI394">
        <f>IF(OR(AG394="",AH394=""),"",IF((AG394+AH394)=0,0,100*ABS(AG394-AH394)/(AG394+AH394)))</f>
        <v>0</v>
      </c>
      <c r="AJ394">
        <f>IF(COUNT($AI$381:$AI$394)&lt;14,"",AVERAGE($AI$381:$AI$394))</f>
        <v>0</v>
      </c>
      <c r="AK394">
        <f>IF(COUNT($E$2:$E394)&lt;20,"",AVERAGE($E$375:$E$394))</f>
        <v>0</v>
      </c>
      <c r="AL394">
        <f>IF(COUNT($E$2:$E394)&lt;20,"",STDEVP($E$375:$E$394))</f>
        <v>0</v>
      </c>
      <c r="AM394">
        <f>IF(AK394="","",AK394+2*AL394)</f>
        <v>0</v>
      </c>
      <c r="AN394">
        <f>IF(AK394="","",AK394-2*AL394)</f>
        <v>0</v>
      </c>
      <c r="AO394">
        <f>IF(OR(AM394="",AN394="",AM394=AN394),"",($E394-AN394)/(AM394-AN394))</f>
        <v>0</v>
      </c>
      <c r="AP394">
        <f>IF(OR(AM394="",AK394="",AK394=0),"",(AM394-AN394)/AK394)</f>
        <v>0</v>
      </c>
      <c r="AQ394">
        <f>IF(COUNT($E$2:$E394)&lt;20,"",MAX($C$375:$C$394))</f>
        <v>0</v>
      </c>
      <c r="AR394">
        <f>IF(COUNT($E$2:$E394)&lt;20,"",MIN($D$375:$D$394))</f>
        <v>0</v>
      </c>
      <c r="AS394">
        <f>IF(OR(AQ394="",AR394=""),"",(AQ394+AR394)/2)</f>
        <v>0</v>
      </c>
      <c r="AT394">
        <f>IF(COUNT($G$375:$G$394)&lt;20,"",STDEV($G$375:$G$394)*SQRT(252))</f>
        <v>0</v>
      </c>
      <c r="AU394">
        <f>IF(COUNT($E$2:$E394)&lt;9,"",(MAX($C$386:$C$394)+MIN($D$386:$D$394))/2)</f>
        <v>0</v>
      </c>
      <c r="AV394">
        <f>IF(COUNT($E$2:$E394)&lt;26,"",(MAX($C$369:$C$394)+MIN($D$369:$D$394))/2)</f>
        <v>0</v>
      </c>
      <c r="AW394">
        <f>IF(OR(AU394="",AV394=""),"",(AU394+AV394)/2)</f>
        <v>0</v>
      </c>
      <c r="AX394">
        <f>IF(COUNT($E$2:$E394)&lt;52,"",(MAX($C$343:$C$394)+MIN($D$343:$D$394))/2)</f>
        <v>0</v>
      </c>
      <c r="AY394">
        <f>IF(COUNT($E$2:$E394)&lt;20,"",MAX($C$295:$C$394))</f>
        <v>0</v>
      </c>
      <c r="AZ394">
        <f>IF(COUNT($E$2:$E394)&lt;20,"",MIN($D$295:$D$394))</f>
        <v>0</v>
      </c>
      <c r="BA394">
        <f>IF(COUNT($E$2:$E394)&lt;20,"",SLOPE($E$295:$E$394,$F$295:$F$394))</f>
        <v>0</v>
      </c>
      <c r="BB394">
        <f>IF(COUNT($E$2:$E394)&lt;20,"",INTERCEPT($E$295:$E$394,$F$295:$F$394))</f>
        <v>0</v>
      </c>
      <c r="BC394">
        <f>IF(OR(BA394="",BB394=""),"",BB394+BA394*F394)</f>
        <v>0</v>
      </c>
      <c r="BD394">
        <f>IF(COUNT($E$2:$E394)&lt;20,"",STEYX($E$295:$E$394,$F$295:$F$394))</f>
        <v>0</v>
      </c>
      <c r="BE394">
        <f>IF($E394="","",IF(AND(COUNT($E$395:$E$398)&gt;=4,$C394=MAX($C$390:$C$398)),$C394,""))</f>
        <v>0</v>
      </c>
      <c r="BF394">
        <f>IF($E394="","",IF(AND(COUNT($E$395:$E$398)&gt;=4,$D394=MIN($D$390:$D$398)),$D394,""))</f>
        <v>0</v>
      </c>
      <c r="BG394">
        <f>IF($A394="","",$A394-WEEKDAY($A394,2)+1)</f>
        <v>0</v>
      </c>
      <c r="BH394">
        <f>IF($A394="","",IF($A393="",1,IF(BG394&lt;&gt;BG393,1,0)))</f>
        <v>0</v>
      </c>
      <c r="BI394">
        <f>IF($A394="","",IF($A395="",1,IF(BG395&lt;&gt;BG394,1,0)))</f>
        <v>0</v>
      </c>
      <c r="BJ394">
        <f>IF($A394="","",IF(BH394=1,$B394,BJ393))</f>
        <v>0</v>
      </c>
      <c r="BK394">
        <f>IF($A394="","",IF(BH394=1,$C394,MAX($C394,BK393)))</f>
        <v>0</v>
      </c>
      <c r="BL394">
        <f>IF($A394="","",IF(BH394=1,$D394,MIN($D394,BL393)))</f>
        <v>0</v>
      </c>
      <c r="BM394">
        <f>IF($A394="","",IF(BI394=1,F394,""))</f>
        <v>0</v>
      </c>
      <c r="BN394">
        <f>IF($A394="","",DATE(YEAR($A394),MONTH($A394),1))</f>
        <v>0</v>
      </c>
      <c r="BO394">
        <f>IF($A394="","",IF($A393="",1,IF(BN394&lt;&gt;BN393,1,0)))</f>
        <v>0</v>
      </c>
      <c r="BP394">
        <f>IF($A394="","",IF($A395="",1,IF(BN395&lt;&gt;BN394,1,0)))</f>
        <v>0</v>
      </c>
      <c r="BQ394">
        <f>IF($A394="","",IF(BO394=1,$B394,BQ393))</f>
        <v>0</v>
      </c>
      <c r="BR394">
        <f>IF($A394="","",IF(BO394=1,$C394,MAX($C394,BR393)))</f>
        <v>0</v>
      </c>
      <c r="BS394">
        <f>IF($A394="","",IF(BO394=1,$D394,MIN($D394,BS393)))</f>
        <v>0</v>
      </c>
      <c r="BT394">
        <f>IF($A394="","",IF(BP394=1,F394,""))</f>
        <v>0</v>
      </c>
    </row>
    <row r="395" spans="1:72">
      <c r="A395" s="27">
        <f>IF(Data!$A395="","",Data!$A395)</f>
        <v>0</v>
      </c>
      <c r="B395">
        <f>IF(Data!$B395="","",Data!$B395)</f>
        <v>0</v>
      </c>
      <c r="C395">
        <f>IF(Data!$C395="","",Data!$C395)</f>
        <v>0</v>
      </c>
      <c r="D395">
        <f>IF(Data!$D395="","",Data!$D395)</f>
        <v>0</v>
      </c>
      <c r="E395">
        <f>IF(Data!$E395="","",Data!$E395)</f>
        <v>0</v>
      </c>
      <c r="F395">
        <f>IF($E395="","",N(F394)+1)</f>
        <v>0</v>
      </c>
      <c r="G395">
        <f>IF(OR($E395="",$E394=""),"",LN($E395/$E394))</f>
        <v>0</v>
      </c>
      <c r="H395">
        <f>IF($E395="","",IF($E394="",$E395,$E395*0.0952380952+H394*0.9047619048))</f>
        <v>0</v>
      </c>
      <c r="I395">
        <f>IF($E395="","",IF($E394="",$E395,$E395*0.0392156863+I394*0.9607843137))</f>
        <v>0</v>
      </c>
      <c r="J395">
        <f>IF($E395="","",IF($E394="",$E395,$E395*0.0198019802+J394*0.9801980198))</f>
        <v>0</v>
      </c>
      <c r="K395">
        <f>IF($E395="","",IF($E394="",$E395,$E395*0.0099502488+K394*0.9900497512))</f>
        <v>0</v>
      </c>
      <c r="L395">
        <f>IF(OR($E395="",$E394=""),"",MAX($E395-$E394,0))</f>
        <v>0</v>
      </c>
      <c r="M395">
        <f>IF(OR($E395="",$E394=""),"",MAX($E394-$E395,0))</f>
        <v>0</v>
      </c>
      <c r="N395">
        <f>IF(COUNT($E$2:$E395)&lt;15,"",IF(AVERAGE($M$382:$M$395)=0,100,100-100/(1+AVERAGE($L$382:$L$395)/AVERAGE($M$382:$M$395))))</f>
        <v>0</v>
      </c>
      <c r="O395">
        <f>IF($E395="","",IF($E394="",$E395,$E395*0.1538461538+O394*0.8461538462))</f>
        <v>0</v>
      </c>
      <c r="P395">
        <f>IF($E395="","",IF($E394="",$E395,$E395*0.0740740741+P394*0.9259259259))</f>
        <v>0</v>
      </c>
      <c r="Q395">
        <f>IF(OR(O395="",P395=""),"",O395-P395)</f>
        <v>0</v>
      </c>
      <c r="R395">
        <f>IF(Q395="","",IF(R394="",Q395,Q395*0.2000000000+R394*0.8000000000))</f>
        <v>0</v>
      </c>
      <c r="S395">
        <f>IF(OR(Q395="",R395=""),"",Q395-R395)</f>
        <v>0</v>
      </c>
      <c r="T395">
        <f>IF(COUNT($E$2:$E395)&lt;14,"",MAX($C$382:$C$395))</f>
        <v>0</v>
      </c>
      <c r="U395">
        <f>IF(COUNT($E$2:$E395)&lt;14,"",MIN($D$382:$D$395))</f>
        <v>0</v>
      </c>
      <c r="V395">
        <f>IF(OR(T395="",U395="",T395=U395),"",100*($E395-U395)/(T395-U395))</f>
        <v>0</v>
      </c>
      <c r="W395">
        <f>IF(COUNT($V$393:$V$395)&lt;3,"",AVERAGE($V$393:$V$395))</f>
        <v>0</v>
      </c>
      <c r="X395">
        <f>IF(COUNT($N$382:$N$395)&lt;14,"",MIN($N$382:$N$395))</f>
        <v>0</v>
      </c>
      <c r="Y395">
        <f>IF(COUNT($N$382:$N$395)&lt;14,"",MAX($N$382:$N$395))</f>
        <v>0</v>
      </c>
      <c r="Z395">
        <f>IF(OR(N395="",X395="",Y395="",Y395=X395),"",100*(N395-X395)/(Y395-X395))</f>
        <v>0</v>
      </c>
      <c r="AA395">
        <f>IF(COUNT($Z$393:$Z$395)&lt;3,"",AVERAGE($Z$393:$Z$395))</f>
        <v>0</v>
      </c>
      <c r="AB395">
        <f>IF(COUNT($AA$393:$AA$395)&lt;3,"",AVERAGE($AA$393:$AA$395))</f>
        <v>0</v>
      </c>
      <c r="AC395">
        <f>IF($E395="","",MAX($C395-$D395,ABS($C395-$E394),ABS($D395-$E394)))</f>
        <v>0</v>
      </c>
      <c r="AD395">
        <f>IF(COUNT($E$2:$E395)&lt;15,"",AVERAGE($AC$382:$AC$395))</f>
        <v>0</v>
      </c>
      <c r="AE395">
        <f>IF(OR($E395="",$E394=""),"",IF(AND(($C395-$C394)&gt;($D394-$D395),($C395-$C394)&gt;0),$C395-$C394,0))</f>
        <v>0</v>
      </c>
      <c r="AF395">
        <f>IF(OR($E395="",$E394=""),"",IF(AND(($D394-$D395)&gt;($C395-$C394),($D394-$D395)&gt;0),$D394-$D395,0))</f>
        <v>0</v>
      </c>
      <c r="AG395">
        <f>IF(COUNT($E$2:$E395)&lt;15,"",IF(SUM($AC$382:$AC$395)=0,0,100*SUM($AE$382:$AE$395)/SUM($AC$382:$AC$395)))</f>
        <v>0</v>
      </c>
      <c r="AH395">
        <f>IF(COUNT($E$2:$E395)&lt;15,"",IF(SUM($AC$382:$AC$395)=0,0,100*SUM($AF$382:$AF$395)/SUM($AC$382:$AC$395)))</f>
        <v>0</v>
      </c>
      <c r="AI395">
        <f>IF(OR(AG395="",AH395=""),"",IF((AG395+AH395)=0,0,100*ABS(AG395-AH395)/(AG395+AH395)))</f>
        <v>0</v>
      </c>
      <c r="AJ395">
        <f>IF(COUNT($AI$382:$AI$395)&lt;14,"",AVERAGE($AI$382:$AI$395))</f>
        <v>0</v>
      </c>
      <c r="AK395">
        <f>IF(COUNT($E$2:$E395)&lt;20,"",AVERAGE($E$376:$E$395))</f>
        <v>0</v>
      </c>
      <c r="AL395">
        <f>IF(COUNT($E$2:$E395)&lt;20,"",STDEVP($E$376:$E$395))</f>
        <v>0</v>
      </c>
      <c r="AM395">
        <f>IF(AK395="","",AK395+2*AL395)</f>
        <v>0</v>
      </c>
      <c r="AN395">
        <f>IF(AK395="","",AK395-2*AL395)</f>
        <v>0</v>
      </c>
      <c r="AO395">
        <f>IF(OR(AM395="",AN395="",AM395=AN395),"",($E395-AN395)/(AM395-AN395))</f>
        <v>0</v>
      </c>
      <c r="AP395">
        <f>IF(OR(AM395="",AK395="",AK395=0),"",(AM395-AN395)/AK395)</f>
        <v>0</v>
      </c>
      <c r="AQ395">
        <f>IF(COUNT($E$2:$E395)&lt;20,"",MAX($C$376:$C$395))</f>
        <v>0</v>
      </c>
      <c r="AR395">
        <f>IF(COUNT($E$2:$E395)&lt;20,"",MIN($D$376:$D$395))</f>
        <v>0</v>
      </c>
      <c r="AS395">
        <f>IF(OR(AQ395="",AR395=""),"",(AQ395+AR395)/2)</f>
        <v>0</v>
      </c>
      <c r="AT395">
        <f>IF(COUNT($G$376:$G$395)&lt;20,"",STDEV($G$376:$G$395)*SQRT(252))</f>
        <v>0</v>
      </c>
      <c r="AU395">
        <f>IF(COUNT($E$2:$E395)&lt;9,"",(MAX($C$387:$C$395)+MIN($D$387:$D$395))/2)</f>
        <v>0</v>
      </c>
      <c r="AV395">
        <f>IF(COUNT($E$2:$E395)&lt;26,"",(MAX($C$370:$C$395)+MIN($D$370:$D$395))/2)</f>
        <v>0</v>
      </c>
      <c r="AW395">
        <f>IF(OR(AU395="",AV395=""),"",(AU395+AV395)/2)</f>
        <v>0</v>
      </c>
      <c r="AX395">
        <f>IF(COUNT($E$2:$E395)&lt;52,"",(MAX($C$344:$C$395)+MIN($D$344:$D$395))/2)</f>
        <v>0</v>
      </c>
      <c r="AY395">
        <f>IF(COUNT($E$2:$E395)&lt;20,"",MAX($C$296:$C$395))</f>
        <v>0</v>
      </c>
      <c r="AZ395">
        <f>IF(COUNT($E$2:$E395)&lt;20,"",MIN($D$296:$D$395))</f>
        <v>0</v>
      </c>
      <c r="BA395">
        <f>IF(COUNT($E$2:$E395)&lt;20,"",SLOPE($E$296:$E$395,$F$296:$F$395))</f>
        <v>0</v>
      </c>
      <c r="BB395">
        <f>IF(COUNT($E$2:$E395)&lt;20,"",INTERCEPT($E$296:$E$395,$F$296:$F$395))</f>
        <v>0</v>
      </c>
      <c r="BC395">
        <f>IF(OR(BA395="",BB395=""),"",BB395+BA395*F395)</f>
        <v>0</v>
      </c>
      <c r="BD395">
        <f>IF(COUNT($E$2:$E395)&lt;20,"",STEYX($E$296:$E$395,$F$296:$F$395))</f>
        <v>0</v>
      </c>
      <c r="BE395">
        <f>IF($E395="","",IF(AND(COUNT($E$396:$E$399)&gt;=4,$C395=MAX($C$391:$C$399)),$C395,""))</f>
        <v>0</v>
      </c>
      <c r="BF395">
        <f>IF($E395="","",IF(AND(COUNT($E$396:$E$399)&gt;=4,$D395=MIN($D$391:$D$399)),$D395,""))</f>
        <v>0</v>
      </c>
      <c r="BG395">
        <f>IF($A395="","",$A395-WEEKDAY($A395,2)+1)</f>
        <v>0</v>
      </c>
      <c r="BH395">
        <f>IF($A395="","",IF($A394="",1,IF(BG395&lt;&gt;BG394,1,0)))</f>
        <v>0</v>
      </c>
      <c r="BI395">
        <f>IF($A395="","",IF($A396="",1,IF(BG396&lt;&gt;BG395,1,0)))</f>
        <v>0</v>
      </c>
      <c r="BJ395">
        <f>IF($A395="","",IF(BH395=1,$B395,BJ394))</f>
        <v>0</v>
      </c>
      <c r="BK395">
        <f>IF($A395="","",IF(BH395=1,$C395,MAX($C395,BK394)))</f>
        <v>0</v>
      </c>
      <c r="BL395">
        <f>IF($A395="","",IF(BH395=1,$D395,MIN($D395,BL394)))</f>
        <v>0</v>
      </c>
      <c r="BM395">
        <f>IF($A395="","",IF(BI395=1,F395,""))</f>
        <v>0</v>
      </c>
      <c r="BN395">
        <f>IF($A395="","",DATE(YEAR($A395),MONTH($A395),1))</f>
        <v>0</v>
      </c>
      <c r="BO395">
        <f>IF($A395="","",IF($A394="",1,IF(BN395&lt;&gt;BN394,1,0)))</f>
        <v>0</v>
      </c>
      <c r="BP395">
        <f>IF($A395="","",IF($A396="",1,IF(BN396&lt;&gt;BN395,1,0)))</f>
        <v>0</v>
      </c>
      <c r="BQ395">
        <f>IF($A395="","",IF(BO395=1,$B395,BQ394))</f>
        <v>0</v>
      </c>
      <c r="BR395">
        <f>IF($A395="","",IF(BO395=1,$C395,MAX($C395,BR394)))</f>
        <v>0</v>
      </c>
      <c r="BS395">
        <f>IF($A395="","",IF(BO395=1,$D395,MIN($D395,BS394)))</f>
        <v>0</v>
      </c>
      <c r="BT395">
        <f>IF($A395="","",IF(BP395=1,F395,""))</f>
        <v>0</v>
      </c>
    </row>
    <row r="396" spans="1:72">
      <c r="A396" s="27">
        <f>IF(Data!$A396="","",Data!$A396)</f>
        <v>0</v>
      </c>
      <c r="B396">
        <f>IF(Data!$B396="","",Data!$B396)</f>
        <v>0</v>
      </c>
      <c r="C396">
        <f>IF(Data!$C396="","",Data!$C396)</f>
        <v>0</v>
      </c>
      <c r="D396">
        <f>IF(Data!$D396="","",Data!$D396)</f>
        <v>0</v>
      </c>
      <c r="E396">
        <f>IF(Data!$E396="","",Data!$E396)</f>
        <v>0</v>
      </c>
      <c r="F396">
        <f>IF($E396="","",N(F395)+1)</f>
        <v>0</v>
      </c>
      <c r="G396">
        <f>IF(OR($E396="",$E395=""),"",LN($E396/$E395))</f>
        <v>0</v>
      </c>
      <c r="H396">
        <f>IF($E396="","",IF($E395="",$E396,$E396*0.0952380952+H395*0.9047619048))</f>
        <v>0</v>
      </c>
      <c r="I396">
        <f>IF($E396="","",IF($E395="",$E396,$E396*0.0392156863+I395*0.9607843137))</f>
        <v>0</v>
      </c>
      <c r="J396">
        <f>IF($E396="","",IF($E395="",$E396,$E396*0.0198019802+J395*0.9801980198))</f>
        <v>0</v>
      </c>
      <c r="K396">
        <f>IF($E396="","",IF($E395="",$E396,$E396*0.0099502488+K395*0.9900497512))</f>
        <v>0</v>
      </c>
      <c r="L396">
        <f>IF(OR($E396="",$E395=""),"",MAX($E396-$E395,0))</f>
        <v>0</v>
      </c>
      <c r="M396">
        <f>IF(OR($E396="",$E395=""),"",MAX($E395-$E396,0))</f>
        <v>0</v>
      </c>
      <c r="N396">
        <f>IF(COUNT($E$2:$E396)&lt;15,"",IF(AVERAGE($M$383:$M$396)=0,100,100-100/(1+AVERAGE($L$383:$L$396)/AVERAGE($M$383:$M$396))))</f>
        <v>0</v>
      </c>
      <c r="O396">
        <f>IF($E396="","",IF($E395="",$E396,$E396*0.1538461538+O395*0.8461538462))</f>
        <v>0</v>
      </c>
      <c r="P396">
        <f>IF($E396="","",IF($E395="",$E396,$E396*0.0740740741+P395*0.9259259259))</f>
        <v>0</v>
      </c>
      <c r="Q396">
        <f>IF(OR(O396="",P396=""),"",O396-P396)</f>
        <v>0</v>
      </c>
      <c r="R396">
        <f>IF(Q396="","",IF(R395="",Q396,Q396*0.2000000000+R395*0.8000000000))</f>
        <v>0</v>
      </c>
      <c r="S396">
        <f>IF(OR(Q396="",R396=""),"",Q396-R396)</f>
        <v>0</v>
      </c>
      <c r="T396">
        <f>IF(COUNT($E$2:$E396)&lt;14,"",MAX($C$383:$C$396))</f>
        <v>0</v>
      </c>
      <c r="U396">
        <f>IF(COUNT($E$2:$E396)&lt;14,"",MIN($D$383:$D$396))</f>
        <v>0</v>
      </c>
      <c r="V396">
        <f>IF(OR(T396="",U396="",T396=U396),"",100*($E396-U396)/(T396-U396))</f>
        <v>0</v>
      </c>
      <c r="W396">
        <f>IF(COUNT($V$394:$V$396)&lt;3,"",AVERAGE($V$394:$V$396))</f>
        <v>0</v>
      </c>
      <c r="X396">
        <f>IF(COUNT($N$383:$N$396)&lt;14,"",MIN($N$383:$N$396))</f>
        <v>0</v>
      </c>
      <c r="Y396">
        <f>IF(COUNT($N$383:$N$396)&lt;14,"",MAX($N$383:$N$396))</f>
        <v>0</v>
      </c>
      <c r="Z396">
        <f>IF(OR(N396="",X396="",Y396="",Y396=X396),"",100*(N396-X396)/(Y396-X396))</f>
        <v>0</v>
      </c>
      <c r="AA396">
        <f>IF(COUNT($Z$394:$Z$396)&lt;3,"",AVERAGE($Z$394:$Z$396))</f>
        <v>0</v>
      </c>
      <c r="AB396">
        <f>IF(COUNT($AA$394:$AA$396)&lt;3,"",AVERAGE($AA$394:$AA$396))</f>
        <v>0</v>
      </c>
      <c r="AC396">
        <f>IF($E396="","",MAX($C396-$D396,ABS($C396-$E395),ABS($D396-$E395)))</f>
        <v>0</v>
      </c>
      <c r="AD396">
        <f>IF(COUNT($E$2:$E396)&lt;15,"",AVERAGE($AC$383:$AC$396))</f>
        <v>0</v>
      </c>
      <c r="AE396">
        <f>IF(OR($E396="",$E395=""),"",IF(AND(($C396-$C395)&gt;($D395-$D396),($C396-$C395)&gt;0),$C396-$C395,0))</f>
        <v>0</v>
      </c>
      <c r="AF396">
        <f>IF(OR($E396="",$E395=""),"",IF(AND(($D395-$D396)&gt;($C396-$C395),($D395-$D396)&gt;0),$D395-$D396,0))</f>
        <v>0</v>
      </c>
      <c r="AG396">
        <f>IF(COUNT($E$2:$E396)&lt;15,"",IF(SUM($AC$383:$AC$396)=0,0,100*SUM($AE$383:$AE$396)/SUM($AC$383:$AC$396)))</f>
        <v>0</v>
      </c>
      <c r="AH396">
        <f>IF(COUNT($E$2:$E396)&lt;15,"",IF(SUM($AC$383:$AC$396)=0,0,100*SUM($AF$383:$AF$396)/SUM($AC$383:$AC$396)))</f>
        <v>0</v>
      </c>
      <c r="AI396">
        <f>IF(OR(AG396="",AH396=""),"",IF((AG396+AH396)=0,0,100*ABS(AG396-AH396)/(AG396+AH396)))</f>
        <v>0</v>
      </c>
      <c r="AJ396">
        <f>IF(COUNT($AI$383:$AI$396)&lt;14,"",AVERAGE($AI$383:$AI$396))</f>
        <v>0</v>
      </c>
      <c r="AK396">
        <f>IF(COUNT($E$2:$E396)&lt;20,"",AVERAGE($E$377:$E$396))</f>
        <v>0</v>
      </c>
      <c r="AL396">
        <f>IF(COUNT($E$2:$E396)&lt;20,"",STDEVP($E$377:$E$396))</f>
        <v>0</v>
      </c>
      <c r="AM396">
        <f>IF(AK396="","",AK396+2*AL396)</f>
        <v>0</v>
      </c>
      <c r="AN396">
        <f>IF(AK396="","",AK396-2*AL396)</f>
        <v>0</v>
      </c>
      <c r="AO396">
        <f>IF(OR(AM396="",AN396="",AM396=AN396),"",($E396-AN396)/(AM396-AN396))</f>
        <v>0</v>
      </c>
      <c r="AP396">
        <f>IF(OR(AM396="",AK396="",AK396=0),"",(AM396-AN396)/AK396)</f>
        <v>0</v>
      </c>
      <c r="AQ396">
        <f>IF(COUNT($E$2:$E396)&lt;20,"",MAX($C$377:$C$396))</f>
        <v>0</v>
      </c>
      <c r="AR396">
        <f>IF(COUNT($E$2:$E396)&lt;20,"",MIN($D$377:$D$396))</f>
        <v>0</v>
      </c>
      <c r="AS396">
        <f>IF(OR(AQ396="",AR396=""),"",(AQ396+AR396)/2)</f>
        <v>0</v>
      </c>
      <c r="AT396">
        <f>IF(COUNT($G$377:$G$396)&lt;20,"",STDEV($G$377:$G$396)*SQRT(252))</f>
        <v>0</v>
      </c>
      <c r="AU396">
        <f>IF(COUNT($E$2:$E396)&lt;9,"",(MAX($C$388:$C$396)+MIN($D$388:$D$396))/2)</f>
        <v>0</v>
      </c>
      <c r="AV396">
        <f>IF(COUNT($E$2:$E396)&lt;26,"",(MAX($C$371:$C$396)+MIN($D$371:$D$396))/2)</f>
        <v>0</v>
      </c>
      <c r="AW396">
        <f>IF(OR(AU396="",AV396=""),"",(AU396+AV396)/2)</f>
        <v>0</v>
      </c>
      <c r="AX396">
        <f>IF(COUNT($E$2:$E396)&lt;52,"",(MAX($C$345:$C$396)+MIN($D$345:$D$396))/2)</f>
        <v>0</v>
      </c>
      <c r="AY396">
        <f>IF(COUNT($E$2:$E396)&lt;20,"",MAX($C$297:$C$396))</f>
        <v>0</v>
      </c>
      <c r="AZ396">
        <f>IF(COUNT($E$2:$E396)&lt;20,"",MIN($D$297:$D$396))</f>
        <v>0</v>
      </c>
      <c r="BA396">
        <f>IF(COUNT($E$2:$E396)&lt;20,"",SLOPE($E$297:$E$396,$F$297:$F$396))</f>
        <v>0</v>
      </c>
      <c r="BB396">
        <f>IF(COUNT($E$2:$E396)&lt;20,"",INTERCEPT($E$297:$E$396,$F$297:$F$396))</f>
        <v>0</v>
      </c>
      <c r="BC396">
        <f>IF(OR(BA396="",BB396=""),"",BB396+BA396*F396)</f>
        <v>0</v>
      </c>
      <c r="BD396">
        <f>IF(COUNT($E$2:$E396)&lt;20,"",STEYX($E$297:$E$396,$F$297:$F$396))</f>
        <v>0</v>
      </c>
      <c r="BE396">
        <f>IF($E396="","",IF(AND(COUNT($E$397:$E$400)&gt;=4,$C396=MAX($C$392:$C$400)),$C396,""))</f>
        <v>0</v>
      </c>
      <c r="BF396">
        <f>IF($E396="","",IF(AND(COUNT($E$397:$E$400)&gt;=4,$D396=MIN($D$392:$D$400)),$D396,""))</f>
        <v>0</v>
      </c>
      <c r="BG396">
        <f>IF($A396="","",$A396-WEEKDAY($A396,2)+1)</f>
        <v>0</v>
      </c>
      <c r="BH396">
        <f>IF($A396="","",IF($A395="",1,IF(BG396&lt;&gt;BG395,1,0)))</f>
        <v>0</v>
      </c>
      <c r="BI396">
        <f>IF($A396="","",IF($A397="",1,IF(BG397&lt;&gt;BG396,1,0)))</f>
        <v>0</v>
      </c>
      <c r="BJ396">
        <f>IF($A396="","",IF(BH396=1,$B396,BJ395))</f>
        <v>0</v>
      </c>
      <c r="BK396">
        <f>IF($A396="","",IF(BH396=1,$C396,MAX($C396,BK395)))</f>
        <v>0</v>
      </c>
      <c r="BL396">
        <f>IF($A396="","",IF(BH396=1,$D396,MIN($D396,BL395)))</f>
        <v>0</v>
      </c>
      <c r="BM396">
        <f>IF($A396="","",IF(BI396=1,F396,""))</f>
        <v>0</v>
      </c>
      <c r="BN396">
        <f>IF($A396="","",DATE(YEAR($A396),MONTH($A396),1))</f>
        <v>0</v>
      </c>
      <c r="BO396">
        <f>IF($A396="","",IF($A395="",1,IF(BN396&lt;&gt;BN395,1,0)))</f>
        <v>0</v>
      </c>
      <c r="BP396">
        <f>IF($A396="","",IF($A397="",1,IF(BN397&lt;&gt;BN396,1,0)))</f>
        <v>0</v>
      </c>
      <c r="BQ396">
        <f>IF($A396="","",IF(BO396=1,$B396,BQ395))</f>
        <v>0</v>
      </c>
      <c r="BR396">
        <f>IF($A396="","",IF(BO396=1,$C396,MAX($C396,BR395)))</f>
        <v>0</v>
      </c>
      <c r="BS396">
        <f>IF($A396="","",IF(BO396=1,$D396,MIN($D396,BS395)))</f>
        <v>0</v>
      </c>
      <c r="BT396">
        <f>IF($A396="","",IF(BP396=1,F396,""))</f>
        <v>0</v>
      </c>
    </row>
    <row r="397" spans="1:72">
      <c r="A397" s="27">
        <f>IF(Data!$A397="","",Data!$A397)</f>
        <v>0</v>
      </c>
      <c r="B397">
        <f>IF(Data!$B397="","",Data!$B397)</f>
        <v>0</v>
      </c>
      <c r="C397">
        <f>IF(Data!$C397="","",Data!$C397)</f>
        <v>0</v>
      </c>
      <c r="D397">
        <f>IF(Data!$D397="","",Data!$D397)</f>
        <v>0</v>
      </c>
      <c r="E397">
        <f>IF(Data!$E397="","",Data!$E397)</f>
        <v>0</v>
      </c>
      <c r="F397">
        <f>IF($E397="","",N(F396)+1)</f>
        <v>0</v>
      </c>
      <c r="G397">
        <f>IF(OR($E397="",$E396=""),"",LN($E397/$E396))</f>
        <v>0</v>
      </c>
      <c r="H397">
        <f>IF($E397="","",IF($E396="",$E397,$E397*0.0952380952+H396*0.9047619048))</f>
        <v>0</v>
      </c>
      <c r="I397">
        <f>IF($E397="","",IF($E396="",$E397,$E397*0.0392156863+I396*0.9607843137))</f>
        <v>0</v>
      </c>
      <c r="J397">
        <f>IF($E397="","",IF($E396="",$E397,$E397*0.0198019802+J396*0.9801980198))</f>
        <v>0</v>
      </c>
      <c r="K397">
        <f>IF($E397="","",IF($E396="",$E397,$E397*0.0099502488+K396*0.9900497512))</f>
        <v>0</v>
      </c>
      <c r="L397">
        <f>IF(OR($E397="",$E396=""),"",MAX($E397-$E396,0))</f>
        <v>0</v>
      </c>
      <c r="M397">
        <f>IF(OR($E397="",$E396=""),"",MAX($E396-$E397,0))</f>
        <v>0</v>
      </c>
      <c r="N397">
        <f>IF(COUNT($E$2:$E397)&lt;15,"",IF(AVERAGE($M$384:$M$397)=0,100,100-100/(1+AVERAGE($L$384:$L$397)/AVERAGE($M$384:$M$397))))</f>
        <v>0</v>
      </c>
      <c r="O397">
        <f>IF($E397="","",IF($E396="",$E397,$E397*0.1538461538+O396*0.8461538462))</f>
        <v>0</v>
      </c>
      <c r="P397">
        <f>IF($E397="","",IF($E396="",$E397,$E397*0.0740740741+P396*0.9259259259))</f>
        <v>0</v>
      </c>
      <c r="Q397">
        <f>IF(OR(O397="",P397=""),"",O397-P397)</f>
        <v>0</v>
      </c>
      <c r="R397">
        <f>IF(Q397="","",IF(R396="",Q397,Q397*0.2000000000+R396*0.8000000000))</f>
        <v>0</v>
      </c>
      <c r="S397">
        <f>IF(OR(Q397="",R397=""),"",Q397-R397)</f>
        <v>0</v>
      </c>
      <c r="T397">
        <f>IF(COUNT($E$2:$E397)&lt;14,"",MAX($C$384:$C$397))</f>
        <v>0</v>
      </c>
      <c r="U397">
        <f>IF(COUNT($E$2:$E397)&lt;14,"",MIN($D$384:$D$397))</f>
        <v>0</v>
      </c>
      <c r="V397">
        <f>IF(OR(T397="",U397="",T397=U397),"",100*($E397-U397)/(T397-U397))</f>
        <v>0</v>
      </c>
      <c r="W397">
        <f>IF(COUNT($V$395:$V$397)&lt;3,"",AVERAGE($V$395:$V$397))</f>
        <v>0</v>
      </c>
      <c r="X397">
        <f>IF(COUNT($N$384:$N$397)&lt;14,"",MIN($N$384:$N$397))</f>
        <v>0</v>
      </c>
      <c r="Y397">
        <f>IF(COUNT($N$384:$N$397)&lt;14,"",MAX($N$384:$N$397))</f>
        <v>0</v>
      </c>
      <c r="Z397">
        <f>IF(OR(N397="",X397="",Y397="",Y397=X397),"",100*(N397-X397)/(Y397-X397))</f>
        <v>0</v>
      </c>
      <c r="AA397">
        <f>IF(COUNT($Z$395:$Z$397)&lt;3,"",AVERAGE($Z$395:$Z$397))</f>
        <v>0</v>
      </c>
      <c r="AB397">
        <f>IF(COUNT($AA$395:$AA$397)&lt;3,"",AVERAGE($AA$395:$AA$397))</f>
        <v>0</v>
      </c>
      <c r="AC397">
        <f>IF($E397="","",MAX($C397-$D397,ABS($C397-$E396),ABS($D397-$E396)))</f>
        <v>0</v>
      </c>
      <c r="AD397">
        <f>IF(COUNT($E$2:$E397)&lt;15,"",AVERAGE($AC$384:$AC$397))</f>
        <v>0</v>
      </c>
      <c r="AE397">
        <f>IF(OR($E397="",$E396=""),"",IF(AND(($C397-$C396)&gt;($D396-$D397),($C397-$C396)&gt;0),$C397-$C396,0))</f>
        <v>0</v>
      </c>
      <c r="AF397">
        <f>IF(OR($E397="",$E396=""),"",IF(AND(($D396-$D397)&gt;($C397-$C396),($D396-$D397)&gt;0),$D396-$D397,0))</f>
        <v>0</v>
      </c>
      <c r="AG397">
        <f>IF(COUNT($E$2:$E397)&lt;15,"",IF(SUM($AC$384:$AC$397)=0,0,100*SUM($AE$384:$AE$397)/SUM($AC$384:$AC$397)))</f>
        <v>0</v>
      </c>
      <c r="AH397">
        <f>IF(COUNT($E$2:$E397)&lt;15,"",IF(SUM($AC$384:$AC$397)=0,0,100*SUM($AF$384:$AF$397)/SUM($AC$384:$AC$397)))</f>
        <v>0</v>
      </c>
      <c r="AI397">
        <f>IF(OR(AG397="",AH397=""),"",IF((AG397+AH397)=0,0,100*ABS(AG397-AH397)/(AG397+AH397)))</f>
        <v>0</v>
      </c>
      <c r="AJ397">
        <f>IF(COUNT($AI$384:$AI$397)&lt;14,"",AVERAGE($AI$384:$AI$397))</f>
        <v>0</v>
      </c>
      <c r="AK397">
        <f>IF(COUNT($E$2:$E397)&lt;20,"",AVERAGE($E$378:$E$397))</f>
        <v>0</v>
      </c>
      <c r="AL397">
        <f>IF(COUNT($E$2:$E397)&lt;20,"",STDEVP($E$378:$E$397))</f>
        <v>0</v>
      </c>
      <c r="AM397">
        <f>IF(AK397="","",AK397+2*AL397)</f>
        <v>0</v>
      </c>
      <c r="AN397">
        <f>IF(AK397="","",AK397-2*AL397)</f>
        <v>0</v>
      </c>
      <c r="AO397">
        <f>IF(OR(AM397="",AN397="",AM397=AN397),"",($E397-AN397)/(AM397-AN397))</f>
        <v>0</v>
      </c>
      <c r="AP397">
        <f>IF(OR(AM397="",AK397="",AK397=0),"",(AM397-AN397)/AK397)</f>
        <v>0</v>
      </c>
      <c r="AQ397">
        <f>IF(COUNT($E$2:$E397)&lt;20,"",MAX($C$378:$C$397))</f>
        <v>0</v>
      </c>
      <c r="AR397">
        <f>IF(COUNT($E$2:$E397)&lt;20,"",MIN($D$378:$D$397))</f>
        <v>0</v>
      </c>
      <c r="AS397">
        <f>IF(OR(AQ397="",AR397=""),"",(AQ397+AR397)/2)</f>
        <v>0</v>
      </c>
      <c r="AT397">
        <f>IF(COUNT($G$378:$G$397)&lt;20,"",STDEV($G$378:$G$397)*SQRT(252))</f>
        <v>0</v>
      </c>
      <c r="AU397">
        <f>IF(COUNT($E$2:$E397)&lt;9,"",(MAX($C$389:$C$397)+MIN($D$389:$D$397))/2)</f>
        <v>0</v>
      </c>
      <c r="AV397">
        <f>IF(COUNT($E$2:$E397)&lt;26,"",(MAX($C$372:$C$397)+MIN($D$372:$D$397))/2)</f>
        <v>0</v>
      </c>
      <c r="AW397">
        <f>IF(OR(AU397="",AV397=""),"",(AU397+AV397)/2)</f>
        <v>0</v>
      </c>
      <c r="AX397">
        <f>IF(COUNT($E$2:$E397)&lt;52,"",(MAX($C$346:$C$397)+MIN($D$346:$D$397))/2)</f>
        <v>0</v>
      </c>
      <c r="AY397">
        <f>IF(COUNT($E$2:$E397)&lt;20,"",MAX($C$298:$C$397))</f>
        <v>0</v>
      </c>
      <c r="AZ397">
        <f>IF(COUNT($E$2:$E397)&lt;20,"",MIN($D$298:$D$397))</f>
        <v>0</v>
      </c>
      <c r="BA397">
        <f>IF(COUNT($E$2:$E397)&lt;20,"",SLOPE($E$298:$E$397,$F$298:$F$397))</f>
        <v>0</v>
      </c>
      <c r="BB397">
        <f>IF(COUNT($E$2:$E397)&lt;20,"",INTERCEPT($E$298:$E$397,$F$298:$F$397))</f>
        <v>0</v>
      </c>
      <c r="BC397">
        <f>IF(OR(BA397="",BB397=""),"",BB397+BA397*F397)</f>
        <v>0</v>
      </c>
      <c r="BD397">
        <f>IF(COUNT($E$2:$E397)&lt;20,"",STEYX($E$298:$E$397,$F$298:$F$397))</f>
        <v>0</v>
      </c>
      <c r="BE397">
        <f>IF($E397="","",IF(AND(COUNT($E$398:$E$401)&gt;=4,$C397=MAX($C$393:$C$401)),$C397,""))</f>
        <v>0</v>
      </c>
      <c r="BF397">
        <f>IF($E397="","",IF(AND(COUNT($E$398:$E$401)&gt;=4,$D397=MIN($D$393:$D$401)),$D397,""))</f>
        <v>0</v>
      </c>
      <c r="BG397">
        <f>IF($A397="","",$A397-WEEKDAY($A397,2)+1)</f>
        <v>0</v>
      </c>
      <c r="BH397">
        <f>IF($A397="","",IF($A396="",1,IF(BG397&lt;&gt;BG396,1,0)))</f>
        <v>0</v>
      </c>
      <c r="BI397">
        <f>IF($A397="","",IF($A398="",1,IF(BG398&lt;&gt;BG397,1,0)))</f>
        <v>0</v>
      </c>
      <c r="BJ397">
        <f>IF($A397="","",IF(BH397=1,$B397,BJ396))</f>
        <v>0</v>
      </c>
      <c r="BK397">
        <f>IF($A397="","",IF(BH397=1,$C397,MAX($C397,BK396)))</f>
        <v>0</v>
      </c>
      <c r="BL397">
        <f>IF($A397="","",IF(BH397=1,$D397,MIN($D397,BL396)))</f>
        <v>0</v>
      </c>
      <c r="BM397">
        <f>IF($A397="","",IF(BI397=1,F397,""))</f>
        <v>0</v>
      </c>
      <c r="BN397">
        <f>IF($A397="","",DATE(YEAR($A397),MONTH($A397),1))</f>
        <v>0</v>
      </c>
      <c r="BO397">
        <f>IF($A397="","",IF($A396="",1,IF(BN397&lt;&gt;BN396,1,0)))</f>
        <v>0</v>
      </c>
      <c r="BP397">
        <f>IF($A397="","",IF($A398="",1,IF(BN398&lt;&gt;BN397,1,0)))</f>
        <v>0</v>
      </c>
      <c r="BQ397">
        <f>IF($A397="","",IF(BO397=1,$B397,BQ396))</f>
        <v>0</v>
      </c>
      <c r="BR397">
        <f>IF($A397="","",IF(BO397=1,$C397,MAX($C397,BR396)))</f>
        <v>0</v>
      </c>
      <c r="BS397">
        <f>IF($A397="","",IF(BO397=1,$D397,MIN($D397,BS396)))</f>
        <v>0</v>
      </c>
      <c r="BT397">
        <f>IF($A397="","",IF(BP397=1,F397,""))</f>
        <v>0</v>
      </c>
    </row>
    <row r="398" spans="1:72">
      <c r="A398" s="27">
        <f>IF(Data!$A398="","",Data!$A398)</f>
        <v>0</v>
      </c>
      <c r="B398">
        <f>IF(Data!$B398="","",Data!$B398)</f>
        <v>0</v>
      </c>
      <c r="C398">
        <f>IF(Data!$C398="","",Data!$C398)</f>
        <v>0</v>
      </c>
      <c r="D398">
        <f>IF(Data!$D398="","",Data!$D398)</f>
        <v>0</v>
      </c>
      <c r="E398">
        <f>IF(Data!$E398="","",Data!$E398)</f>
        <v>0</v>
      </c>
      <c r="F398">
        <f>IF($E398="","",N(F397)+1)</f>
        <v>0</v>
      </c>
      <c r="G398">
        <f>IF(OR($E398="",$E397=""),"",LN($E398/$E397))</f>
        <v>0</v>
      </c>
      <c r="H398">
        <f>IF($E398="","",IF($E397="",$E398,$E398*0.0952380952+H397*0.9047619048))</f>
        <v>0</v>
      </c>
      <c r="I398">
        <f>IF($E398="","",IF($E397="",$E398,$E398*0.0392156863+I397*0.9607843137))</f>
        <v>0</v>
      </c>
      <c r="J398">
        <f>IF($E398="","",IF($E397="",$E398,$E398*0.0198019802+J397*0.9801980198))</f>
        <v>0</v>
      </c>
      <c r="K398">
        <f>IF($E398="","",IF($E397="",$E398,$E398*0.0099502488+K397*0.9900497512))</f>
        <v>0</v>
      </c>
      <c r="L398">
        <f>IF(OR($E398="",$E397=""),"",MAX($E398-$E397,0))</f>
        <v>0</v>
      </c>
      <c r="M398">
        <f>IF(OR($E398="",$E397=""),"",MAX($E397-$E398,0))</f>
        <v>0</v>
      </c>
      <c r="N398">
        <f>IF(COUNT($E$2:$E398)&lt;15,"",IF(AVERAGE($M$385:$M$398)=0,100,100-100/(1+AVERAGE($L$385:$L$398)/AVERAGE($M$385:$M$398))))</f>
        <v>0</v>
      </c>
      <c r="O398">
        <f>IF($E398="","",IF($E397="",$E398,$E398*0.1538461538+O397*0.8461538462))</f>
        <v>0</v>
      </c>
      <c r="P398">
        <f>IF($E398="","",IF($E397="",$E398,$E398*0.0740740741+P397*0.9259259259))</f>
        <v>0</v>
      </c>
      <c r="Q398">
        <f>IF(OR(O398="",P398=""),"",O398-P398)</f>
        <v>0</v>
      </c>
      <c r="R398">
        <f>IF(Q398="","",IF(R397="",Q398,Q398*0.2000000000+R397*0.8000000000))</f>
        <v>0</v>
      </c>
      <c r="S398">
        <f>IF(OR(Q398="",R398=""),"",Q398-R398)</f>
        <v>0</v>
      </c>
      <c r="T398">
        <f>IF(COUNT($E$2:$E398)&lt;14,"",MAX($C$385:$C$398))</f>
        <v>0</v>
      </c>
      <c r="U398">
        <f>IF(COUNT($E$2:$E398)&lt;14,"",MIN($D$385:$D$398))</f>
        <v>0</v>
      </c>
      <c r="V398">
        <f>IF(OR(T398="",U398="",T398=U398),"",100*($E398-U398)/(T398-U398))</f>
        <v>0</v>
      </c>
      <c r="W398">
        <f>IF(COUNT($V$396:$V$398)&lt;3,"",AVERAGE($V$396:$V$398))</f>
        <v>0</v>
      </c>
      <c r="X398">
        <f>IF(COUNT($N$385:$N$398)&lt;14,"",MIN($N$385:$N$398))</f>
        <v>0</v>
      </c>
      <c r="Y398">
        <f>IF(COUNT($N$385:$N$398)&lt;14,"",MAX($N$385:$N$398))</f>
        <v>0</v>
      </c>
      <c r="Z398">
        <f>IF(OR(N398="",X398="",Y398="",Y398=X398),"",100*(N398-X398)/(Y398-X398))</f>
        <v>0</v>
      </c>
      <c r="AA398">
        <f>IF(COUNT($Z$396:$Z$398)&lt;3,"",AVERAGE($Z$396:$Z$398))</f>
        <v>0</v>
      </c>
      <c r="AB398">
        <f>IF(COUNT($AA$396:$AA$398)&lt;3,"",AVERAGE($AA$396:$AA$398))</f>
        <v>0</v>
      </c>
      <c r="AC398">
        <f>IF($E398="","",MAX($C398-$D398,ABS($C398-$E397),ABS($D398-$E397)))</f>
        <v>0</v>
      </c>
      <c r="AD398">
        <f>IF(COUNT($E$2:$E398)&lt;15,"",AVERAGE($AC$385:$AC$398))</f>
        <v>0</v>
      </c>
      <c r="AE398">
        <f>IF(OR($E398="",$E397=""),"",IF(AND(($C398-$C397)&gt;($D397-$D398),($C398-$C397)&gt;0),$C398-$C397,0))</f>
        <v>0</v>
      </c>
      <c r="AF398">
        <f>IF(OR($E398="",$E397=""),"",IF(AND(($D397-$D398)&gt;($C398-$C397),($D397-$D398)&gt;0),$D397-$D398,0))</f>
        <v>0</v>
      </c>
      <c r="AG398">
        <f>IF(COUNT($E$2:$E398)&lt;15,"",IF(SUM($AC$385:$AC$398)=0,0,100*SUM($AE$385:$AE$398)/SUM($AC$385:$AC$398)))</f>
        <v>0</v>
      </c>
      <c r="AH398">
        <f>IF(COUNT($E$2:$E398)&lt;15,"",IF(SUM($AC$385:$AC$398)=0,0,100*SUM($AF$385:$AF$398)/SUM($AC$385:$AC$398)))</f>
        <v>0</v>
      </c>
      <c r="AI398">
        <f>IF(OR(AG398="",AH398=""),"",IF((AG398+AH398)=0,0,100*ABS(AG398-AH398)/(AG398+AH398)))</f>
        <v>0</v>
      </c>
      <c r="AJ398">
        <f>IF(COUNT($AI$385:$AI$398)&lt;14,"",AVERAGE($AI$385:$AI$398))</f>
        <v>0</v>
      </c>
      <c r="AK398">
        <f>IF(COUNT($E$2:$E398)&lt;20,"",AVERAGE($E$379:$E$398))</f>
        <v>0</v>
      </c>
      <c r="AL398">
        <f>IF(COUNT($E$2:$E398)&lt;20,"",STDEVP($E$379:$E$398))</f>
        <v>0</v>
      </c>
      <c r="AM398">
        <f>IF(AK398="","",AK398+2*AL398)</f>
        <v>0</v>
      </c>
      <c r="AN398">
        <f>IF(AK398="","",AK398-2*AL398)</f>
        <v>0</v>
      </c>
      <c r="AO398">
        <f>IF(OR(AM398="",AN398="",AM398=AN398),"",($E398-AN398)/(AM398-AN398))</f>
        <v>0</v>
      </c>
      <c r="AP398">
        <f>IF(OR(AM398="",AK398="",AK398=0),"",(AM398-AN398)/AK398)</f>
        <v>0</v>
      </c>
      <c r="AQ398">
        <f>IF(COUNT($E$2:$E398)&lt;20,"",MAX($C$379:$C$398))</f>
        <v>0</v>
      </c>
      <c r="AR398">
        <f>IF(COUNT($E$2:$E398)&lt;20,"",MIN($D$379:$D$398))</f>
        <v>0</v>
      </c>
      <c r="AS398">
        <f>IF(OR(AQ398="",AR398=""),"",(AQ398+AR398)/2)</f>
        <v>0</v>
      </c>
      <c r="AT398">
        <f>IF(COUNT($G$379:$G$398)&lt;20,"",STDEV($G$379:$G$398)*SQRT(252))</f>
        <v>0</v>
      </c>
      <c r="AU398">
        <f>IF(COUNT($E$2:$E398)&lt;9,"",(MAX($C$390:$C$398)+MIN($D$390:$D$398))/2)</f>
        <v>0</v>
      </c>
      <c r="AV398">
        <f>IF(COUNT($E$2:$E398)&lt;26,"",(MAX($C$373:$C$398)+MIN($D$373:$D$398))/2)</f>
        <v>0</v>
      </c>
      <c r="AW398">
        <f>IF(OR(AU398="",AV398=""),"",(AU398+AV398)/2)</f>
        <v>0</v>
      </c>
      <c r="AX398">
        <f>IF(COUNT($E$2:$E398)&lt;52,"",(MAX($C$347:$C$398)+MIN($D$347:$D$398))/2)</f>
        <v>0</v>
      </c>
      <c r="AY398">
        <f>IF(COUNT($E$2:$E398)&lt;20,"",MAX($C$299:$C$398))</f>
        <v>0</v>
      </c>
      <c r="AZ398">
        <f>IF(COUNT($E$2:$E398)&lt;20,"",MIN($D$299:$D$398))</f>
        <v>0</v>
      </c>
      <c r="BA398">
        <f>IF(COUNT($E$2:$E398)&lt;20,"",SLOPE($E$299:$E$398,$F$299:$F$398))</f>
        <v>0</v>
      </c>
      <c r="BB398">
        <f>IF(COUNT($E$2:$E398)&lt;20,"",INTERCEPT($E$299:$E$398,$F$299:$F$398))</f>
        <v>0</v>
      </c>
      <c r="BC398">
        <f>IF(OR(BA398="",BB398=""),"",BB398+BA398*F398)</f>
        <v>0</v>
      </c>
      <c r="BD398">
        <f>IF(COUNT($E$2:$E398)&lt;20,"",STEYX($E$299:$E$398,$F$299:$F$398))</f>
        <v>0</v>
      </c>
      <c r="BE398">
        <f>IF($E398="","",IF(AND(COUNT($E$399:$E$402)&gt;=4,$C398=MAX($C$394:$C$402)),$C398,""))</f>
        <v>0</v>
      </c>
      <c r="BF398">
        <f>IF($E398="","",IF(AND(COUNT($E$399:$E$402)&gt;=4,$D398=MIN($D$394:$D$402)),$D398,""))</f>
        <v>0</v>
      </c>
      <c r="BG398">
        <f>IF($A398="","",$A398-WEEKDAY($A398,2)+1)</f>
        <v>0</v>
      </c>
      <c r="BH398">
        <f>IF($A398="","",IF($A397="",1,IF(BG398&lt;&gt;BG397,1,0)))</f>
        <v>0</v>
      </c>
      <c r="BI398">
        <f>IF($A398="","",IF($A399="",1,IF(BG399&lt;&gt;BG398,1,0)))</f>
        <v>0</v>
      </c>
      <c r="BJ398">
        <f>IF($A398="","",IF(BH398=1,$B398,BJ397))</f>
        <v>0</v>
      </c>
      <c r="BK398">
        <f>IF($A398="","",IF(BH398=1,$C398,MAX($C398,BK397)))</f>
        <v>0</v>
      </c>
      <c r="BL398">
        <f>IF($A398="","",IF(BH398=1,$D398,MIN($D398,BL397)))</f>
        <v>0</v>
      </c>
      <c r="BM398">
        <f>IF($A398="","",IF(BI398=1,F398,""))</f>
        <v>0</v>
      </c>
      <c r="BN398">
        <f>IF($A398="","",DATE(YEAR($A398),MONTH($A398),1))</f>
        <v>0</v>
      </c>
      <c r="BO398">
        <f>IF($A398="","",IF($A397="",1,IF(BN398&lt;&gt;BN397,1,0)))</f>
        <v>0</v>
      </c>
      <c r="BP398">
        <f>IF($A398="","",IF($A399="",1,IF(BN399&lt;&gt;BN398,1,0)))</f>
        <v>0</v>
      </c>
      <c r="BQ398">
        <f>IF($A398="","",IF(BO398=1,$B398,BQ397))</f>
        <v>0</v>
      </c>
      <c r="BR398">
        <f>IF($A398="","",IF(BO398=1,$C398,MAX($C398,BR397)))</f>
        <v>0</v>
      </c>
      <c r="BS398">
        <f>IF($A398="","",IF(BO398=1,$D398,MIN($D398,BS397)))</f>
        <v>0</v>
      </c>
      <c r="BT398">
        <f>IF($A398="","",IF(BP398=1,F398,""))</f>
        <v>0</v>
      </c>
    </row>
    <row r="399" spans="1:72">
      <c r="A399" s="27">
        <f>IF(Data!$A399="","",Data!$A399)</f>
        <v>0</v>
      </c>
      <c r="B399">
        <f>IF(Data!$B399="","",Data!$B399)</f>
        <v>0</v>
      </c>
      <c r="C399">
        <f>IF(Data!$C399="","",Data!$C399)</f>
        <v>0</v>
      </c>
      <c r="D399">
        <f>IF(Data!$D399="","",Data!$D399)</f>
        <v>0</v>
      </c>
      <c r="E399">
        <f>IF(Data!$E399="","",Data!$E399)</f>
        <v>0</v>
      </c>
      <c r="F399">
        <f>IF($E399="","",N(F398)+1)</f>
        <v>0</v>
      </c>
      <c r="G399">
        <f>IF(OR($E399="",$E398=""),"",LN($E399/$E398))</f>
        <v>0</v>
      </c>
      <c r="H399">
        <f>IF($E399="","",IF($E398="",$E399,$E399*0.0952380952+H398*0.9047619048))</f>
        <v>0</v>
      </c>
      <c r="I399">
        <f>IF($E399="","",IF($E398="",$E399,$E399*0.0392156863+I398*0.9607843137))</f>
        <v>0</v>
      </c>
      <c r="J399">
        <f>IF($E399="","",IF($E398="",$E399,$E399*0.0198019802+J398*0.9801980198))</f>
        <v>0</v>
      </c>
      <c r="K399">
        <f>IF($E399="","",IF($E398="",$E399,$E399*0.0099502488+K398*0.9900497512))</f>
        <v>0</v>
      </c>
      <c r="L399">
        <f>IF(OR($E399="",$E398=""),"",MAX($E399-$E398,0))</f>
        <v>0</v>
      </c>
      <c r="M399">
        <f>IF(OR($E399="",$E398=""),"",MAX($E398-$E399,0))</f>
        <v>0</v>
      </c>
      <c r="N399">
        <f>IF(COUNT($E$2:$E399)&lt;15,"",IF(AVERAGE($M$386:$M$399)=0,100,100-100/(1+AVERAGE($L$386:$L$399)/AVERAGE($M$386:$M$399))))</f>
        <v>0</v>
      </c>
      <c r="O399">
        <f>IF($E399="","",IF($E398="",$E399,$E399*0.1538461538+O398*0.8461538462))</f>
        <v>0</v>
      </c>
      <c r="P399">
        <f>IF($E399="","",IF($E398="",$E399,$E399*0.0740740741+P398*0.9259259259))</f>
        <v>0</v>
      </c>
      <c r="Q399">
        <f>IF(OR(O399="",P399=""),"",O399-P399)</f>
        <v>0</v>
      </c>
      <c r="R399">
        <f>IF(Q399="","",IF(R398="",Q399,Q399*0.2000000000+R398*0.8000000000))</f>
        <v>0</v>
      </c>
      <c r="S399">
        <f>IF(OR(Q399="",R399=""),"",Q399-R399)</f>
        <v>0</v>
      </c>
      <c r="T399">
        <f>IF(COUNT($E$2:$E399)&lt;14,"",MAX($C$386:$C$399))</f>
        <v>0</v>
      </c>
      <c r="U399">
        <f>IF(COUNT($E$2:$E399)&lt;14,"",MIN($D$386:$D$399))</f>
        <v>0</v>
      </c>
      <c r="V399">
        <f>IF(OR(T399="",U399="",T399=U399),"",100*($E399-U399)/(T399-U399))</f>
        <v>0</v>
      </c>
      <c r="W399">
        <f>IF(COUNT($V$397:$V$399)&lt;3,"",AVERAGE($V$397:$V$399))</f>
        <v>0</v>
      </c>
      <c r="X399">
        <f>IF(COUNT($N$386:$N$399)&lt;14,"",MIN($N$386:$N$399))</f>
        <v>0</v>
      </c>
      <c r="Y399">
        <f>IF(COUNT($N$386:$N$399)&lt;14,"",MAX($N$386:$N$399))</f>
        <v>0</v>
      </c>
      <c r="Z399">
        <f>IF(OR(N399="",X399="",Y399="",Y399=X399),"",100*(N399-X399)/(Y399-X399))</f>
        <v>0</v>
      </c>
      <c r="AA399">
        <f>IF(COUNT($Z$397:$Z$399)&lt;3,"",AVERAGE($Z$397:$Z$399))</f>
        <v>0</v>
      </c>
      <c r="AB399">
        <f>IF(COUNT($AA$397:$AA$399)&lt;3,"",AVERAGE($AA$397:$AA$399))</f>
        <v>0</v>
      </c>
      <c r="AC399">
        <f>IF($E399="","",MAX($C399-$D399,ABS($C399-$E398),ABS($D399-$E398)))</f>
        <v>0</v>
      </c>
      <c r="AD399">
        <f>IF(COUNT($E$2:$E399)&lt;15,"",AVERAGE($AC$386:$AC$399))</f>
        <v>0</v>
      </c>
      <c r="AE399">
        <f>IF(OR($E399="",$E398=""),"",IF(AND(($C399-$C398)&gt;($D398-$D399),($C399-$C398)&gt;0),$C399-$C398,0))</f>
        <v>0</v>
      </c>
      <c r="AF399">
        <f>IF(OR($E399="",$E398=""),"",IF(AND(($D398-$D399)&gt;($C399-$C398),($D398-$D399)&gt;0),$D398-$D399,0))</f>
        <v>0</v>
      </c>
      <c r="AG399">
        <f>IF(COUNT($E$2:$E399)&lt;15,"",IF(SUM($AC$386:$AC$399)=0,0,100*SUM($AE$386:$AE$399)/SUM($AC$386:$AC$399)))</f>
        <v>0</v>
      </c>
      <c r="AH399">
        <f>IF(COUNT($E$2:$E399)&lt;15,"",IF(SUM($AC$386:$AC$399)=0,0,100*SUM($AF$386:$AF$399)/SUM($AC$386:$AC$399)))</f>
        <v>0</v>
      </c>
      <c r="AI399">
        <f>IF(OR(AG399="",AH399=""),"",IF((AG399+AH399)=0,0,100*ABS(AG399-AH399)/(AG399+AH399)))</f>
        <v>0</v>
      </c>
      <c r="AJ399">
        <f>IF(COUNT($AI$386:$AI$399)&lt;14,"",AVERAGE($AI$386:$AI$399))</f>
        <v>0</v>
      </c>
      <c r="AK399">
        <f>IF(COUNT($E$2:$E399)&lt;20,"",AVERAGE($E$380:$E$399))</f>
        <v>0</v>
      </c>
      <c r="AL399">
        <f>IF(COUNT($E$2:$E399)&lt;20,"",STDEVP($E$380:$E$399))</f>
        <v>0</v>
      </c>
      <c r="AM399">
        <f>IF(AK399="","",AK399+2*AL399)</f>
        <v>0</v>
      </c>
      <c r="AN399">
        <f>IF(AK399="","",AK399-2*AL399)</f>
        <v>0</v>
      </c>
      <c r="AO399">
        <f>IF(OR(AM399="",AN399="",AM399=AN399),"",($E399-AN399)/(AM399-AN399))</f>
        <v>0</v>
      </c>
      <c r="AP399">
        <f>IF(OR(AM399="",AK399="",AK399=0),"",(AM399-AN399)/AK399)</f>
        <v>0</v>
      </c>
      <c r="AQ399">
        <f>IF(COUNT($E$2:$E399)&lt;20,"",MAX($C$380:$C$399))</f>
        <v>0</v>
      </c>
      <c r="AR399">
        <f>IF(COUNT($E$2:$E399)&lt;20,"",MIN($D$380:$D$399))</f>
        <v>0</v>
      </c>
      <c r="AS399">
        <f>IF(OR(AQ399="",AR399=""),"",(AQ399+AR399)/2)</f>
        <v>0</v>
      </c>
      <c r="AT399">
        <f>IF(COUNT($G$380:$G$399)&lt;20,"",STDEV($G$380:$G$399)*SQRT(252))</f>
        <v>0</v>
      </c>
      <c r="AU399">
        <f>IF(COUNT($E$2:$E399)&lt;9,"",(MAX($C$391:$C$399)+MIN($D$391:$D$399))/2)</f>
        <v>0</v>
      </c>
      <c r="AV399">
        <f>IF(COUNT($E$2:$E399)&lt;26,"",(MAX($C$374:$C$399)+MIN($D$374:$D$399))/2)</f>
        <v>0</v>
      </c>
      <c r="AW399">
        <f>IF(OR(AU399="",AV399=""),"",(AU399+AV399)/2)</f>
        <v>0</v>
      </c>
      <c r="AX399">
        <f>IF(COUNT($E$2:$E399)&lt;52,"",(MAX($C$348:$C$399)+MIN($D$348:$D$399))/2)</f>
        <v>0</v>
      </c>
      <c r="AY399">
        <f>IF(COUNT($E$2:$E399)&lt;20,"",MAX($C$300:$C$399))</f>
        <v>0</v>
      </c>
      <c r="AZ399">
        <f>IF(COUNT($E$2:$E399)&lt;20,"",MIN($D$300:$D$399))</f>
        <v>0</v>
      </c>
      <c r="BA399">
        <f>IF(COUNT($E$2:$E399)&lt;20,"",SLOPE($E$300:$E$399,$F$300:$F$399))</f>
        <v>0</v>
      </c>
      <c r="BB399">
        <f>IF(COUNT($E$2:$E399)&lt;20,"",INTERCEPT($E$300:$E$399,$F$300:$F$399))</f>
        <v>0</v>
      </c>
      <c r="BC399">
        <f>IF(OR(BA399="",BB399=""),"",BB399+BA399*F399)</f>
        <v>0</v>
      </c>
      <c r="BD399">
        <f>IF(COUNT($E$2:$E399)&lt;20,"",STEYX($E$300:$E$399,$F$300:$F$399))</f>
        <v>0</v>
      </c>
      <c r="BE399">
        <f>IF($E399="","",IF(AND(COUNT($E$400:$E$403)&gt;=4,$C399=MAX($C$395:$C$403)),$C399,""))</f>
        <v>0</v>
      </c>
      <c r="BF399">
        <f>IF($E399="","",IF(AND(COUNT($E$400:$E$403)&gt;=4,$D399=MIN($D$395:$D$403)),$D399,""))</f>
        <v>0</v>
      </c>
      <c r="BG399">
        <f>IF($A399="","",$A399-WEEKDAY($A399,2)+1)</f>
        <v>0</v>
      </c>
      <c r="BH399">
        <f>IF($A399="","",IF($A398="",1,IF(BG399&lt;&gt;BG398,1,0)))</f>
        <v>0</v>
      </c>
      <c r="BI399">
        <f>IF($A399="","",IF($A400="",1,IF(BG400&lt;&gt;BG399,1,0)))</f>
        <v>0</v>
      </c>
      <c r="BJ399">
        <f>IF($A399="","",IF(BH399=1,$B399,BJ398))</f>
        <v>0</v>
      </c>
      <c r="BK399">
        <f>IF($A399="","",IF(BH399=1,$C399,MAX($C399,BK398)))</f>
        <v>0</v>
      </c>
      <c r="BL399">
        <f>IF($A399="","",IF(BH399=1,$D399,MIN($D399,BL398)))</f>
        <v>0</v>
      </c>
      <c r="BM399">
        <f>IF($A399="","",IF(BI399=1,F399,""))</f>
        <v>0</v>
      </c>
      <c r="BN399">
        <f>IF($A399="","",DATE(YEAR($A399),MONTH($A399),1))</f>
        <v>0</v>
      </c>
      <c r="BO399">
        <f>IF($A399="","",IF($A398="",1,IF(BN399&lt;&gt;BN398,1,0)))</f>
        <v>0</v>
      </c>
      <c r="BP399">
        <f>IF($A399="","",IF($A400="",1,IF(BN400&lt;&gt;BN399,1,0)))</f>
        <v>0</v>
      </c>
      <c r="BQ399">
        <f>IF($A399="","",IF(BO399=1,$B399,BQ398))</f>
        <v>0</v>
      </c>
      <c r="BR399">
        <f>IF($A399="","",IF(BO399=1,$C399,MAX($C399,BR398)))</f>
        <v>0</v>
      </c>
      <c r="BS399">
        <f>IF($A399="","",IF(BO399=1,$D399,MIN($D399,BS398)))</f>
        <v>0</v>
      </c>
      <c r="BT399">
        <f>IF($A399="","",IF(BP399=1,F399,""))</f>
        <v>0</v>
      </c>
    </row>
    <row r="400" spans="1:72">
      <c r="A400" s="27">
        <f>IF(Data!$A400="","",Data!$A400)</f>
        <v>0</v>
      </c>
      <c r="B400">
        <f>IF(Data!$B400="","",Data!$B400)</f>
        <v>0</v>
      </c>
      <c r="C400">
        <f>IF(Data!$C400="","",Data!$C400)</f>
        <v>0</v>
      </c>
      <c r="D400">
        <f>IF(Data!$D400="","",Data!$D400)</f>
        <v>0</v>
      </c>
      <c r="E400">
        <f>IF(Data!$E400="","",Data!$E400)</f>
        <v>0</v>
      </c>
      <c r="F400">
        <f>IF($E400="","",N(F399)+1)</f>
        <v>0</v>
      </c>
      <c r="G400">
        <f>IF(OR($E400="",$E399=""),"",LN($E400/$E399))</f>
        <v>0</v>
      </c>
      <c r="H400">
        <f>IF($E400="","",IF($E399="",$E400,$E400*0.0952380952+H399*0.9047619048))</f>
        <v>0</v>
      </c>
      <c r="I400">
        <f>IF($E400="","",IF($E399="",$E400,$E400*0.0392156863+I399*0.9607843137))</f>
        <v>0</v>
      </c>
      <c r="J400">
        <f>IF($E400="","",IF($E399="",$E400,$E400*0.0198019802+J399*0.9801980198))</f>
        <v>0</v>
      </c>
      <c r="K400">
        <f>IF($E400="","",IF($E399="",$E400,$E400*0.0099502488+K399*0.9900497512))</f>
        <v>0</v>
      </c>
      <c r="L400">
        <f>IF(OR($E400="",$E399=""),"",MAX($E400-$E399,0))</f>
        <v>0</v>
      </c>
      <c r="M400">
        <f>IF(OR($E400="",$E399=""),"",MAX($E399-$E400,0))</f>
        <v>0</v>
      </c>
      <c r="N400">
        <f>IF(COUNT($E$2:$E400)&lt;15,"",IF(AVERAGE($M$387:$M$400)=0,100,100-100/(1+AVERAGE($L$387:$L$400)/AVERAGE($M$387:$M$400))))</f>
        <v>0</v>
      </c>
      <c r="O400">
        <f>IF($E400="","",IF($E399="",$E400,$E400*0.1538461538+O399*0.8461538462))</f>
        <v>0</v>
      </c>
      <c r="P400">
        <f>IF($E400="","",IF($E399="",$E400,$E400*0.0740740741+P399*0.9259259259))</f>
        <v>0</v>
      </c>
      <c r="Q400">
        <f>IF(OR(O400="",P400=""),"",O400-P400)</f>
        <v>0</v>
      </c>
      <c r="R400">
        <f>IF(Q400="","",IF(R399="",Q400,Q400*0.2000000000+R399*0.8000000000))</f>
        <v>0</v>
      </c>
      <c r="S400">
        <f>IF(OR(Q400="",R400=""),"",Q400-R400)</f>
        <v>0</v>
      </c>
      <c r="T400">
        <f>IF(COUNT($E$2:$E400)&lt;14,"",MAX($C$387:$C$400))</f>
        <v>0</v>
      </c>
      <c r="U400">
        <f>IF(COUNT($E$2:$E400)&lt;14,"",MIN($D$387:$D$400))</f>
        <v>0</v>
      </c>
      <c r="V400">
        <f>IF(OR(T400="",U400="",T400=U400),"",100*($E400-U400)/(T400-U400))</f>
        <v>0</v>
      </c>
      <c r="W400">
        <f>IF(COUNT($V$398:$V$400)&lt;3,"",AVERAGE($V$398:$V$400))</f>
        <v>0</v>
      </c>
      <c r="X400">
        <f>IF(COUNT($N$387:$N$400)&lt;14,"",MIN($N$387:$N$400))</f>
        <v>0</v>
      </c>
      <c r="Y400">
        <f>IF(COUNT($N$387:$N$400)&lt;14,"",MAX($N$387:$N$400))</f>
        <v>0</v>
      </c>
      <c r="Z400">
        <f>IF(OR(N400="",X400="",Y400="",Y400=X400),"",100*(N400-X400)/(Y400-X400))</f>
        <v>0</v>
      </c>
      <c r="AA400">
        <f>IF(COUNT($Z$398:$Z$400)&lt;3,"",AVERAGE($Z$398:$Z$400))</f>
        <v>0</v>
      </c>
      <c r="AB400">
        <f>IF(COUNT($AA$398:$AA$400)&lt;3,"",AVERAGE($AA$398:$AA$400))</f>
        <v>0</v>
      </c>
      <c r="AC400">
        <f>IF($E400="","",MAX($C400-$D400,ABS($C400-$E399),ABS($D400-$E399)))</f>
        <v>0</v>
      </c>
      <c r="AD400">
        <f>IF(COUNT($E$2:$E400)&lt;15,"",AVERAGE($AC$387:$AC$400))</f>
        <v>0</v>
      </c>
      <c r="AE400">
        <f>IF(OR($E400="",$E399=""),"",IF(AND(($C400-$C399)&gt;($D399-$D400),($C400-$C399)&gt;0),$C400-$C399,0))</f>
        <v>0</v>
      </c>
      <c r="AF400">
        <f>IF(OR($E400="",$E399=""),"",IF(AND(($D399-$D400)&gt;($C400-$C399),($D399-$D400)&gt;0),$D399-$D400,0))</f>
        <v>0</v>
      </c>
      <c r="AG400">
        <f>IF(COUNT($E$2:$E400)&lt;15,"",IF(SUM($AC$387:$AC$400)=0,0,100*SUM($AE$387:$AE$400)/SUM($AC$387:$AC$400)))</f>
        <v>0</v>
      </c>
      <c r="AH400">
        <f>IF(COUNT($E$2:$E400)&lt;15,"",IF(SUM($AC$387:$AC$400)=0,0,100*SUM($AF$387:$AF$400)/SUM($AC$387:$AC$400)))</f>
        <v>0</v>
      </c>
      <c r="AI400">
        <f>IF(OR(AG400="",AH400=""),"",IF((AG400+AH400)=0,0,100*ABS(AG400-AH400)/(AG400+AH400)))</f>
        <v>0</v>
      </c>
      <c r="AJ400">
        <f>IF(COUNT($AI$387:$AI$400)&lt;14,"",AVERAGE($AI$387:$AI$400))</f>
        <v>0</v>
      </c>
      <c r="AK400">
        <f>IF(COUNT($E$2:$E400)&lt;20,"",AVERAGE($E$381:$E$400))</f>
        <v>0</v>
      </c>
      <c r="AL400">
        <f>IF(COUNT($E$2:$E400)&lt;20,"",STDEVP($E$381:$E$400))</f>
        <v>0</v>
      </c>
      <c r="AM400">
        <f>IF(AK400="","",AK400+2*AL400)</f>
        <v>0</v>
      </c>
      <c r="AN400">
        <f>IF(AK400="","",AK400-2*AL400)</f>
        <v>0</v>
      </c>
      <c r="AO400">
        <f>IF(OR(AM400="",AN400="",AM400=AN400),"",($E400-AN400)/(AM400-AN400))</f>
        <v>0</v>
      </c>
      <c r="AP400">
        <f>IF(OR(AM400="",AK400="",AK400=0),"",(AM400-AN400)/AK400)</f>
        <v>0</v>
      </c>
      <c r="AQ400">
        <f>IF(COUNT($E$2:$E400)&lt;20,"",MAX($C$381:$C$400))</f>
        <v>0</v>
      </c>
      <c r="AR400">
        <f>IF(COUNT($E$2:$E400)&lt;20,"",MIN($D$381:$D$400))</f>
        <v>0</v>
      </c>
      <c r="AS400">
        <f>IF(OR(AQ400="",AR400=""),"",(AQ400+AR400)/2)</f>
        <v>0</v>
      </c>
      <c r="AT400">
        <f>IF(COUNT($G$381:$G$400)&lt;20,"",STDEV($G$381:$G$400)*SQRT(252))</f>
        <v>0</v>
      </c>
      <c r="AU400">
        <f>IF(COUNT($E$2:$E400)&lt;9,"",(MAX($C$392:$C$400)+MIN($D$392:$D$400))/2)</f>
        <v>0</v>
      </c>
      <c r="AV400">
        <f>IF(COUNT($E$2:$E400)&lt;26,"",(MAX($C$375:$C$400)+MIN($D$375:$D$400))/2)</f>
        <v>0</v>
      </c>
      <c r="AW400">
        <f>IF(OR(AU400="",AV400=""),"",(AU400+AV400)/2)</f>
        <v>0</v>
      </c>
      <c r="AX400">
        <f>IF(COUNT($E$2:$E400)&lt;52,"",(MAX($C$349:$C$400)+MIN($D$349:$D$400))/2)</f>
        <v>0</v>
      </c>
      <c r="AY400">
        <f>IF(COUNT($E$2:$E400)&lt;20,"",MAX($C$301:$C$400))</f>
        <v>0</v>
      </c>
      <c r="AZ400">
        <f>IF(COUNT($E$2:$E400)&lt;20,"",MIN($D$301:$D$400))</f>
        <v>0</v>
      </c>
      <c r="BA400">
        <f>IF(COUNT($E$2:$E400)&lt;20,"",SLOPE($E$301:$E$400,$F$301:$F$400))</f>
        <v>0</v>
      </c>
      <c r="BB400">
        <f>IF(COUNT($E$2:$E400)&lt;20,"",INTERCEPT($E$301:$E$400,$F$301:$F$400))</f>
        <v>0</v>
      </c>
      <c r="BC400">
        <f>IF(OR(BA400="",BB400=""),"",BB400+BA400*F400)</f>
        <v>0</v>
      </c>
      <c r="BD400">
        <f>IF(COUNT($E$2:$E400)&lt;20,"",STEYX($E$301:$E$400,$F$301:$F$400))</f>
        <v>0</v>
      </c>
      <c r="BE400">
        <f>IF($E400="","",IF(AND(COUNT($E$401:$E$404)&gt;=4,$C400=MAX($C$396:$C$404)),$C400,""))</f>
        <v>0</v>
      </c>
      <c r="BF400">
        <f>IF($E400="","",IF(AND(COUNT($E$401:$E$404)&gt;=4,$D400=MIN($D$396:$D$404)),$D400,""))</f>
        <v>0</v>
      </c>
      <c r="BG400">
        <f>IF($A400="","",$A400-WEEKDAY($A400,2)+1)</f>
        <v>0</v>
      </c>
      <c r="BH400">
        <f>IF($A400="","",IF($A399="",1,IF(BG400&lt;&gt;BG399,1,0)))</f>
        <v>0</v>
      </c>
      <c r="BI400">
        <f>IF($A400="","",IF($A401="",1,IF(BG401&lt;&gt;BG400,1,0)))</f>
        <v>0</v>
      </c>
      <c r="BJ400">
        <f>IF($A400="","",IF(BH400=1,$B400,BJ399))</f>
        <v>0</v>
      </c>
      <c r="BK400">
        <f>IF($A400="","",IF(BH400=1,$C400,MAX($C400,BK399)))</f>
        <v>0</v>
      </c>
      <c r="BL400">
        <f>IF($A400="","",IF(BH400=1,$D400,MIN($D400,BL399)))</f>
        <v>0</v>
      </c>
      <c r="BM400">
        <f>IF($A400="","",IF(BI400=1,F400,""))</f>
        <v>0</v>
      </c>
      <c r="BN400">
        <f>IF($A400="","",DATE(YEAR($A400),MONTH($A400),1))</f>
        <v>0</v>
      </c>
      <c r="BO400">
        <f>IF($A400="","",IF($A399="",1,IF(BN400&lt;&gt;BN399,1,0)))</f>
        <v>0</v>
      </c>
      <c r="BP400">
        <f>IF($A400="","",IF($A401="",1,IF(BN401&lt;&gt;BN400,1,0)))</f>
        <v>0</v>
      </c>
      <c r="BQ400">
        <f>IF($A400="","",IF(BO400=1,$B400,BQ399))</f>
        <v>0</v>
      </c>
      <c r="BR400">
        <f>IF($A400="","",IF(BO400=1,$C400,MAX($C400,BR399)))</f>
        <v>0</v>
      </c>
      <c r="BS400">
        <f>IF($A400="","",IF(BO400=1,$D400,MIN($D400,BS399)))</f>
        <v>0</v>
      </c>
      <c r="BT400">
        <f>IF($A400="","",IF(BP400=1,F400,""))</f>
        <v>0</v>
      </c>
    </row>
    <row r="401" spans="1:72">
      <c r="A401" s="27">
        <f>IF(Data!$A401="","",Data!$A401)</f>
        <v>0</v>
      </c>
      <c r="B401">
        <f>IF(Data!$B401="","",Data!$B401)</f>
        <v>0</v>
      </c>
      <c r="C401">
        <f>IF(Data!$C401="","",Data!$C401)</f>
        <v>0</v>
      </c>
      <c r="D401">
        <f>IF(Data!$D401="","",Data!$D401)</f>
        <v>0</v>
      </c>
      <c r="E401">
        <f>IF(Data!$E401="","",Data!$E401)</f>
        <v>0</v>
      </c>
      <c r="F401">
        <f>IF($E401="","",N(F400)+1)</f>
        <v>0</v>
      </c>
      <c r="G401">
        <f>IF(OR($E401="",$E400=""),"",LN($E401/$E400))</f>
        <v>0</v>
      </c>
      <c r="H401">
        <f>IF($E401="","",IF($E400="",$E401,$E401*0.0952380952+H400*0.9047619048))</f>
        <v>0</v>
      </c>
      <c r="I401">
        <f>IF($E401="","",IF($E400="",$E401,$E401*0.0392156863+I400*0.9607843137))</f>
        <v>0</v>
      </c>
      <c r="J401">
        <f>IF($E401="","",IF($E400="",$E401,$E401*0.0198019802+J400*0.9801980198))</f>
        <v>0</v>
      </c>
      <c r="K401">
        <f>IF($E401="","",IF($E400="",$E401,$E401*0.0099502488+K400*0.9900497512))</f>
        <v>0</v>
      </c>
      <c r="L401">
        <f>IF(OR($E401="",$E400=""),"",MAX($E401-$E400,0))</f>
        <v>0</v>
      </c>
      <c r="M401">
        <f>IF(OR($E401="",$E400=""),"",MAX($E400-$E401,0))</f>
        <v>0</v>
      </c>
      <c r="N401">
        <f>IF(COUNT($E$2:$E401)&lt;15,"",IF(AVERAGE($M$388:$M$401)=0,100,100-100/(1+AVERAGE($L$388:$L$401)/AVERAGE($M$388:$M$401))))</f>
        <v>0</v>
      </c>
      <c r="O401">
        <f>IF($E401="","",IF($E400="",$E401,$E401*0.1538461538+O400*0.8461538462))</f>
        <v>0</v>
      </c>
      <c r="P401">
        <f>IF($E401="","",IF($E400="",$E401,$E401*0.0740740741+P400*0.9259259259))</f>
        <v>0</v>
      </c>
      <c r="Q401">
        <f>IF(OR(O401="",P401=""),"",O401-P401)</f>
        <v>0</v>
      </c>
      <c r="R401">
        <f>IF(Q401="","",IF(R400="",Q401,Q401*0.2000000000+R400*0.8000000000))</f>
        <v>0</v>
      </c>
      <c r="S401">
        <f>IF(OR(Q401="",R401=""),"",Q401-R401)</f>
        <v>0</v>
      </c>
      <c r="T401">
        <f>IF(COUNT($E$2:$E401)&lt;14,"",MAX($C$388:$C$401))</f>
        <v>0</v>
      </c>
      <c r="U401">
        <f>IF(COUNT($E$2:$E401)&lt;14,"",MIN($D$388:$D$401))</f>
        <v>0</v>
      </c>
      <c r="V401">
        <f>IF(OR(T401="",U401="",T401=U401),"",100*($E401-U401)/(T401-U401))</f>
        <v>0</v>
      </c>
      <c r="W401">
        <f>IF(COUNT($V$399:$V$401)&lt;3,"",AVERAGE($V$399:$V$401))</f>
        <v>0</v>
      </c>
      <c r="X401">
        <f>IF(COUNT($N$388:$N$401)&lt;14,"",MIN($N$388:$N$401))</f>
        <v>0</v>
      </c>
      <c r="Y401">
        <f>IF(COUNT($N$388:$N$401)&lt;14,"",MAX($N$388:$N$401))</f>
        <v>0</v>
      </c>
      <c r="Z401">
        <f>IF(OR(N401="",X401="",Y401="",Y401=X401),"",100*(N401-X401)/(Y401-X401))</f>
        <v>0</v>
      </c>
      <c r="AA401">
        <f>IF(COUNT($Z$399:$Z$401)&lt;3,"",AVERAGE($Z$399:$Z$401))</f>
        <v>0</v>
      </c>
      <c r="AB401">
        <f>IF(COUNT($AA$399:$AA$401)&lt;3,"",AVERAGE($AA$399:$AA$401))</f>
        <v>0</v>
      </c>
      <c r="AC401">
        <f>IF($E401="","",MAX($C401-$D401,ABS($C401-$E400),ABS($D401-$E400)))</f>
        <v>0</v>
      </c>
      <c r="AD401">
        <f>IF(COUNT($E$2:$E401)&lt;15,"",AVERAGE($AC$388:$AC$401))</f>
        <v>0</v>
      </c>
      <c r="AE401">
        <f>IF(OR($E401="",$E400=""),"",IF(AND(($C401-$C400)&gt;($D400-$D401),($C401-$C400)&gt;0),$C401-$C400,0))</f>
        <v>0</v>
      </c>
      <c r="AF401">
        <f>IF(OR($E401="",$E400=""),"",IF(AND(($D400-$D401)&gt;($C401-$C400),($D400-$D401)&gt;0),$D400-$D401,0))</f>
        <v>0</v>
      </c>
      <c r="AG401">
        <f>IF(COUNT($E$2:$E401)&lt;15,"",IF(SUM($AC$388:$AC$401)=0,0,100*SUM($AE$388:$AE$401)/SUM($AC$388:$AC$401)))</f>
        <v>0</v>
      </c>
      <c r="AH401">
        <f>IF(COUNT($E$2:$E401)&lt;15,"",IF(SUM($AC$388:$AC$401)=0,0,100*SUM($AF$388:$AF$401)/SUM($AC$388:$AC$401)))</f>
        <v>0</v>
      </c>
      <c r="AI401">
        <f>IF(OR(AG401="",AH401=""),"",IF((AG401+AH401)=0,0,100*ABS(AG401-AH401)/(AG401+AH401)))</f>
        <v>0</v>
      </c>
      <c r="AJ401">
        <f>IF(COUNT($AI$388:$AI$401)&lt;14,"",AVERAGE($AI$388:$AI$401))</f>
        <v>0</v>
      </c>
      <c r="AK401">
        <f>IF(COUNT($E$2:$E401)&lt;20,"",AVERAGE($E$382:$E$401))</f>
        <v>0</v>
      </c>
      <c r="AL401">
        <f>IF(COUNT($E$2:$E401)&lt;20,"",STDEVP($E$382:$E$401))</f>
        <v>0</v>
      </c>
      <c r="AM401">
        <f>IF(AK401="","",AK401+2*AL401)</f>
        <v>0</v>
      </c>
      <c r="AN401">
        <f>IF(AK401="","",AK401-2*AL401)</f>
        <v>0</v>
      </c>
      <c r="AO401">
        <f>IF(OR(AM401="",AN401="",AM401=AN401),"",($E401-AN401)/(AM401-AN401))</f>
        <v>0</v>
      </c>
      <c r="AP401">
        <f>IF(OR(AM401="",AK401="",AK401=0),"",(AM401-AN401)/AK401)</f>
        <v>0</v>
      </c>
      <c r="AQ401">
        <f>IF(COUNT($E$2:$E401)&lt;20,"",MAX($C$382:$C$401))</f>
        <v>0</v>
      </c>
      <c r="AR401">
        <f>IF(COUNT($E$2:$E401)&lt;20,"",MIN($D$382:$D$401))</f>
        <v>0</v>
      </c>
      <c r="AS401">
        <f>IF(OR(AQ401="",AR401=""),"",(AQ401+AR401)/2)</f>
        <v>0</v>
      </c>
      <c r="AT401">
        <f>IF(COUNT($G$382:$G$401)&lt;20,"",STDEV($G$382:$G$401)*SQRT(252))</f>
        <v>0</v>
      </c>
      <c r="AU401">
        <f>IF(COUNT($E$2:$E401)&lt;9,"",(MAX($C$393:$C$401)+MIN($D$393:$D$401))/2)</f>
        <v>0</v>
      </c>
      <c r="AV401">
        <f>IF(COUNT($E$2:$E401)&lt;26,"",(MAX($C$376:$C$401)+MIN($D$376:$D$401))/2)</f>
        <v>0</v>
      </c>
      <c r="AW401">
        <f>IF(OR(AU401="",AV401=""),"",(AU401+AV401)/2)</f>
        <v>0</v>
      </c>
      <c r="AX401">
        <f>IF(COUNT($E$2:$E401)&lt;52,"",(MAX($C$350:$C$401)+MIN($D$350:$D$401))/2)</f>
        <v>0</v>
      </c>
      <c r="AY401">
        <f>IF(COUNT($E$2:$E401)&lt;20,"",MAX($C$302:$C$401))</f>
        <v>0</v>
      </c>
      <c r="AZ401">
        <f>IF(COUNT($E$2:$E401)&lt;20,"",MIN($D$302:$D$401))</f>
        <v>0</v>
      </c>
      <c r="BA401">
        <f>IF(COUNT($E$2:$E401)&lt;20,"",SLOPE($E$302:$E$401,$F$302:$F$401))</f>
        <v>0</v>
      </c>
      <c r="BB401">
        <f>IF(COUNT($E$2:$E401)&lt;20,"",INTERCEPT($E$302:$E$401,$F$302:$F$401))</f>
        <v>0</v>
      </c>
      <c r="BC401">
        <f>IF(OR(BA401="",BB401=""),"",BB401+BA401*F401)</f>
        <v>0</v>
      </c>
      <c r="BD401">
        <f>IF(COUNT($E$2:$E401)&lt;20,"",STEYX($E$302:$E$401,$F$302:$F$401))</f>
        <v>0</v>
      </c>
      <c r="BE401">
        <f>IF($E401="","",IF(AND(COUNT($E$402:$E$405)&gt;=4,$C401=MAX($C$397:$C$405)),$C401,""))</f>
        <v>0</v>
      </c>
      <c r="BF401">
        <f>IF($E401="","",IF(AND(COUNT($E$402:$E$405)&gt;=4,$D401=MIN($D$397:$D$405)),$D401,""))</f>
        <v>0</v>
      </c>
      <c r="BG401">
        <f>IF($A401="","",$A401-WEEKDAY($A401,2)+1)</f>
        <v>0</v>
      </c>
      <c r="BH401">
        <f>IF($A401="","",IF($A400="",1,IF(BG401&lt;&gt;BG400,1,0)))</f>
        <v>0</v>
      </c>
      <c r="BI401">
        <f>IF($A401="","",IF($A402="",1,IF(BG402&lt;&gt;BG401,1,0)))</f>
        <v>0</v>
      </c>
      <c r="BJ401">
        <f>IF($A401="","",IF(BH401=1,$B401,BJ400))</f>
        <v>0</v>
      </c>
      <c r="BK401">
        <f>IF($A401="","",IF(BH401=1,$C401,MAX($C401,BK400)))</f>
        <v>0</v>
      </c>
      <c r="BL401">
        <f>IF($A401="","",IF(BH401=1,$D401,MIN($D401,BL400)))</f>
        <v>0</v>
      </c>
      <c r="BM401">
        <f>IF($A401="","",IF(BI401=1,F401,""))</f>
        <v>0</v>
      </c>
      <c r="BN401">
        <f>IF($A401="","",DATE(YEAR($A401),MONTH($A401),1))</f>
        <v>0</v>
      </c>
      <c r="BO401">
        <f>IF($A401="","",IF($A400="",1,IF(BN401&lt;&gt;BN400,1,0)))</f>
        <v>0</v>
      </c>
      <c r="BP401">
        <f>IF($A401="","",IF($A402="",1,IF(BN402&lt;&gt;BN401,1,0)))</f>
        <v>0</v>
      </c>
      <c r="BQ401">
        <f>IF($A401="","",IF(BO401=1,$B401,BQ400))</f>
        <v>0</v>
      </c>
      <c r="BR401">
        <f>IF($A401="","",IF(BO401=1,$C401,MAX($C401,BR400)))</f>
        <v>0</v>
      </c>
      <c r="BS401">
        <f>IF($A401="","",IF(BO401=1,$D401,MIN($D401,BS400)))</f>
        <v>0</v>
      </c>
      <c r="BT401">
        <f>IF($A401="","",IF(BP401=1,F401,""))</f>
        <v>0</v>
      </c>
    </row>
    <row r="402" spans="1:72">
      <c r="A402" s="27">
        <f>IF(Data!$A402="","",Data!$A402)</f>
        <v>0</v>
      </c>
      <c r="B402">
        <f>IF(Data!$B402="","",Data!$B402)</f>
        <v>0</v>
      </c>
      <c r="C402">
        <f>IF(Data!$C402="","",Data!$C402)</f>
        <v>0</v>
      </c>
      <c r="D402">
        <f>IF(Data!$D402="","",Data!$D402)</f>
        <v>0</v>
      </c>
      <c r="E402">
        <f>IF(Data!$E402="","",Data!$E402)</f>
        <v>0</v>
      </c>
      <c r="F402">
        <f>IF($E402="","",N(F401)+1)</f>
        <v>0</v>
      </c>
      <c r="G402">
        <f>IF(OR($E402="",$E401=""),"",LN($E402/$E401))</f>
        <v>0</v>
      </c>
      <c r="H402">
        <f>IF($E402="","",IF($E401="",$E402,$E402*0.0952380952+H401*0.9047619048))</f>
        <v>0</v>
      </c>
      <c r="I402">
        <f>IF($E402="","",IF($E401="",$E402,$E402*0.0392156863+I401*0.9607843137))</f>
        <v>0</v>
      </c>
      <c r="J402">
        <f>IF($E402="","",IF($E401="",$E402,$E402*0.0198019802+J401*0.9801980198))</f>
        <v>0</v>
      </c>
      <c r="K402">
        <f>IF($E402="","",IF($E401="",$E402,$E402*0.0099502488+K401*0.9900497512))</f>
        <v>0</v>
      </c>
      <c r="L402">
        <f>IF(OR($E402="",$E401=""),"",MAX($E402-$E401,0))</f>
        <v>0</v>
      </c>
      <c r="M402">
        <f>IF(OR($E402="",$E401=""),"",MAX($E401-$E402,0))</f>
        <v>0</v>
      </c>
      <c r="N402">
        <f>IF(COUNT($E$2:$E402)&lt;15,"",IF(AVERAGE($M$389:$M$402)=0,100,100-100/(1+AVERAGE($L$389:$L$402)/AVERAGE($M$389:$M$402))))</f>
        <v>0</v>
      </c>
      <c r="O402">
        <f>IF($E402="","",IF($E401="",$E402,$E402*0.1538461538+O401*0.8461538462))</f>
        <v>0</v>
      </c>
      <c r="P402">
        <f>IF($E402="","",IF($E401="",$E402,$E402*0.0740740741+P401*0.9259259259))</f>
        <v>0</v>
      </c>
      <c r="Q402">
        <f>IF(OR(O402="",P402=""),"",O402-P402)</f>
        <v>0</v>
      </c>
      <c r="R402">
        <f>IF(Q402="","",IF(R401="",Q402,Q402*0.2000000000+R401*0.8000000000))</f>
        <v>0</v>
      </c>
      <c r="S402">
        <f>IF(OR(Q402="",R402=""),"",Q402-R402)</f>
        <v>0</v>
      </c>
      <c r="T402">
        <f>IF(COUNT($E$2:$E402)&lt;14,"",MAX($C$389:$C$402))</f>
        <v>0</v>
      </c>
      <c r="U402">
        <f>IF(COUNT($E$2:$E402)&lt;14,"",MIN($D$389:$D$402))</f>
        <v>0</v>
      </c>
      <c r="V402">
        <f>IF(OR(T402="",U402="",T402=U402),"",100*($E402-U402)/(T402-U402))</f>
        <v>0</v>
      </c>
      <c r="W402">
        <f>IF(COUNT($V$400:$V$402)&lt;3,"",AVERAGE($V$400:$V$402))</f>
        <v>0</v>
      </c>
      <c r="X402">
        <f>IF(COUNT($N$389:$N$402)&lt;14,"",MIN($N$389:$N$402))</f>
        <v>0</v>
      </c>
      <c r="Y402">
        <f>IF(COUNT($N$389:$N$402)&lt;14,"",MAX($N$389:$N$402))</f>
        <v>0</v>
      </c>
      <c r="Z402">
        <f>IF(OR(N402="",X402="",Y402="",Y402=X402),"",100*(N402-X402)/(Y402-X402))</f>
        <v>0</v>
      </c>
      <c r="AA402">
        <f>IF(COUNT($Z$400:$Z$402)&lt;3,"",AVERAGE($Z$400:$Z$402))</f>
        <v>0</v>
      </c>
      <c r="AB402">
        <f>IF(COUNT($AA$400:$AA$402)&lt;3,"",AVERAGE($AA$400:$AA$402))</f>
        <v>0</v>
      </c>
      <c r="AC402">
        <f>IF($E402="","",MAX($C402-$D402,ABS($C402-$E401),ABS($D402-$E401)))</f>
        <v>0</v>
      </c>
      <c r="AD402">
        <f>IF(COUNT($E$2:$E402)&lt;15,"",AVERAGE($AC$389:$AC$402))</f>
        <v>0</v>
      </c>
      <c r="AE402">
        <f>IF(OR($E402="",$E401=""),"",IF(AND(($C402-$C401)&gt;($D401-$D402),($C402-$C401)&gt;0),$C402-$C401,0))</f>
        <v>0</v>
      </c>
      <c r="AF402">
        <f>IF(OR($E402="",$E401=""),"",IF(AND(($D401-$D402)&gt;($C402-$C401),($D401-$D402)&gt;0),$D401-$D402,0))</f>
        <v>0</v>
      </c>
      <c r="AG402">
        <f>IF(COUNT($E$2:$E402)&lt;15,"",IF(SUM($AC$389:$AC$402)=0,0,100*SUM($AE$389:$AE$402)/SUM($AC$389:$AC$402)))</f>
        <v>0</v>
      </c>
      <c r="AH402">
        <f>IF(COUNT($E$2:$E402)&lt;15,"",IF(SUM($AC$389:$AC$402)=0,0,100*SUM($AF$389:$AF$402)/SUM($AC$389:$AC$402)))</f>
        <v>0</v>
      </c>
      <c r="AI402">
        <f>IF(OR(AG402="",AH402=""),"",IF((AG402+AH402)=0,0,100*ABS(AG402-AH402)/(AG402+AH402)))</f>
        <v>0</v>
      </c>
      <c r="AJ402">
        <f>IF(COUNT($AI$389:$AI$402)&lt;14,"",AVERAGE($AI$389:$AI$402))</f>
        <v>0</v>
      </c>
      <c r="AK402">
        <f>IF(COUNT($E$2:$E402)&lt;20,"",AVERAGE($E$383:$E$402))</f>
        <v>0</v>
      </c>
      <c r="AL402">
        <f>IF(COUNT($E$2:$E402)&lt;20,"",STDEVP($E$383:$E$402))</f>
        <v>0</v>
      </c>
      <c r="AM402">
        <f>IF(AK402="","",AK402+2*AL402)</f>
        <v>0</v>
      </c>
      <c r="AN402">
        <f>IF(AK402="","",AK402-2*AL402)</f>
        <v>0</v>
      </c>
      <c r="AO402">
        <f>IF(OR(AM402="",AN402="",AM402=AN402),"",($E402-AN402)/(AM402-AN402))</f>
        <v>0</v>
      </c>
      <c r="AP402">
        <f>IF(OR(AM402="",AK402="",AK402=0),"",(AM402-AN402)/AK402)</f>
        <v>0</v>
      </c>
      <c r="AQ402">
        <f>IF(COUNT($E$2:$E402)&lt;20,"",MAX($C$383:$C$402))</f>
        <v>0</v>
      </c>
      <c r="AR402">
        <f>IF(COUNT($E$2:$E402)&lt;20,"",MIN($D$383:$D$402))</f>
        <v>0</v>
      </c>
      <c r="AS402">
        <f>IF(OR(AQ402="",AR402=""),"",(AQ402+AR402)/2)</f>
        <v>0</v>
      </c>
      <c r="AT402">
        <f>IF(COUNT($G$383:$G$402)&lt;20,"",STDEV($G$383:$G$402)*SQRT(252))</f>
        <v>0</v>
      </c>
      <c r="AU402">
        <f>IF(COUNT($E$2:$E402)&lt;9,"",(MAX($C$394:$C$402)+MIN($D$394:$D$402))/2)</f>
        <v>0</v>
      </c>
      <c r="AV402">
        <f>IF(COUNT($E$2:$E402)&lt;26,"",(MAX($C$377:$C$402)+MIN($D$377:$D$402))/2)</f>
        <v>0</v>
      </c>
      <c r="AW402">
        <f>IF(OR(AU402="",AV402=""),"",(AU402+AV402)/2)</f>
        <v>0</v>
      </c>
      <c r="AX402">
        <f>IF(COUNT($E$2:$E402)&lt;52,"",(MAX($C$351:$C$402)+MIN($D$351:$D$402))/2)</f>
        <v>0</v>
      </c>
      <c r="AY402">
        <f>IF(COUNT($E$2:$E402)&lt;20,"",MAX($C$303:$C$402))</f>
        <v>0</v>
      </c>
      <c r="AZ402">
        <f>IF(COUNT($E$2:$E402)&lt;20,"",MIN($D$303:$D$402))</f>
        <v>0</v>
      </c>
      <c r="BA402">
        <f>IF(COUNT($E$2:$E402)&lt;20,"",SLOPE($E$303:$E$402,$F$303:$F$402))</f>
        <v>0</v>
      </c>
      <c r="BB402">
        <f>IF(COUNT($E$2:$E402)&lt;20,"",INTERCEPT($E$303:$E$402,$F$303:$F$402))</f>
        <v>0</v>
      </c>
      <c r="BC402">
        <f>IF(OR(BA402="",BB402=""),"",BB402+BA402*F402)</f>
        <v>0</v>
      </c>
      <c r="BD402">
        <f>IF(COUNT($E$2:$E402)&lt;20,"",STEYX($E$303:$E$402,$F$303:$F$402))</f>
        <v>0</v>
      </c>
      <c r="BE402">
        <f>IF($E402="","",IF(AND(COUNT($E$403:$E$406)&gt;=4,$C402=MAX($C$398:$C$406)),$C402,""))</f>
        <v>0</v>
      </c>
      <c r="BF402">
        <f>IF($E402="","",IF(AND(COUNT($E$403:$E$406)&gt;=4,$D402=MIN($D$398:$D$406)),$D402,""))</f>
        <v>0</v>
      </c>
      <c r="BG402">
        <f>IF($A402="","",$A402-WEEKDAY($A402,2)+1)</f>
        <v>0</v>
      </c>
      <c r="BH402">
        <f>IF($A402="","",IF($A401="",1,IF(BG402&lt;&gt;BG401,1,0)))</f>
        <v>0</v>
      </c>
      <c r="BI402">
        <f>IF($A402="","",IF($A403="",1,IF(BG403&lt;&gt;BG402,1,0)))</f>
        <v>0</v>
      </c>
      <c r="BJ402">
        <f>IF($A402="","",IF(BH402=1,$B402,BJ401))</f>
        <v>0</v>
      </c>
      <c r="BK402">
        <f>IF($A402="","",IF(BH402=1,$C402,MAX($C402,BK401)))</f>
        <v>0</v>
      </c>
      <c r="BL402">
        <f>IF($A402="","",IF(BH402=1,$D402,MIN($D402,BL401)))</f>
        <v>0</v>
      </c>
      <c r="BM402">
        <f>IF($A402="","",IF(BI402=1,F402,""))</f>
        <v>0</v>
      </c>
      <c r="BN402">
        <f>IF($A402="","",DATE(YEAR($A402),MONTH($A402),1))</f>
        <v>0</v>
      </c>
      <c r="BO402">
        <f>IF($A402="","",IF($A401="",1,IF(BN402&lt;&gt;BN401,1,0)))</f>
        <v>0</v>
      </c>
      <c r="BP402">
        <f>IF($A402="","",IF($A403="",1,IF(BN403&lt;&gt;BN402,1,0)))</f>
        <v>0</v>
      </c>
      <c r="BQ402">
        <f>IF($A402="","",IF(BO402=1,$B402,BQ401))</f>
        <v>0</v>
      </c>
      <c r="BR402">
        <f>IF($A402="","",IF(BO402=1,$C402,MAX($C402,BR401)))</f>
        <v>0</v>
      </c>
      <c r="BS402">
        <f>IF($A402="","",IF(BO402=1,$D402,MIN($D402,BS401)))</f>
        <v>0</v>
      </c>
      <c r="BT402">
        <f>IF($A402="","",IF(BP402=1,F402,""))</f>
        <v>0</v>
      </c>
    </row>
    <row r="403" spans="1:72">
      <c r="A403" s="27">
        <f>IF(Data!$A403="","",Data!$A403)</f>
        <v>0</v>
      </c>
      <c r="B403">
        <f>IF(Data!$B403="","",Data!$B403)</f>
        <v>0</v>
      </c>
      <c r="C403">
        <f>IF(Data!$C403="","",Data!$C403)</f>
        <v>0</v>
      </c>
      <c r="D403">
        <f>IF(Data!$D403="","",Data!$D403)</f>
        <v>0</v>
      </c>
      <c r="E403">
        <f>IF(Data!$E403="","",Data!$E403)</f>
        <v>0</v>
      </c>
      <c r="F403">
        <f>IF($E403="","",N(F402)+1)</f>
        <v>0</v>
      </c>
      <c r="G403">
        <f>IF(OR($E403="",$E402=""),"",LN($E403/$E402))</f>
        <v>0</v>
      </c>
      <c r="H403">
        <f>IF($E403="","",IF($E402="",$E403,$E403*0.0952380952+H402*0.9047619048))</f>
        <v>0</v>
      </c>
      <c r="I403">
        <f>IF($E403="","",IF($E402="",$E403,$E403*0.0392156863+I402*0.9607843137))</f>
        <v>0</v>
      </c>
      <c r="J403">
        <f>IF($E403="","",IF($E402="",$E403,$E403*0.0198019802+J402*0.9801980198))</f>
        <v>0</v>
      </c>
      <c r="K403">
        <f>IF($E403="","",IF($E402="",$E403,$E403*0.0099502488+K402*0.9900497512))</f>
        <v>0</v>
      </c>
      <c r="L403">
        <f>IF(OR($E403="",$E402=""),"",MAX($E403-$E402,0))</f>
        <v>0</v>
      </c>
      <c r="M403">
        <f>IF(OR($E403="",$E402=""),"",MAX($E402-$E403,0))</f>
        <v>0</v>
      </c>
      <c r="N403">
        <f>IF(COUNT($E$2:$E403)&lt;15,"",IF(AVERAGE($M$390:$M$403)=0,100,100-100/(1+AVERAGE($L$390:$L$403)/AVERAGE($M$390:$M$403))))</f>
        <v>0</v>
      </c>
      <c r="O403">
        <f>IF($E403="","",IF($E402="",$E403,$E403*0.1538461538+O402*0.8461538462))</f>
        <v>0</v>
      </c>
      <c r="P403">
        <f>IF($E403="","",IF($E402="",$E403,$E403*0.0740740741+P402*0.9259259259))</f>
        <v>0</v>
      </c>
      <c r="Q403">
        <f>IF(OR(O403="",P403=""),"",O403-P403)</f>
        <v>0</v>
      </c>
      <c r="R403">
        <f>IF(Q403="","",IF(R402="",Q403,Q403*0.2000000000+R402*0.8000000000))</f>
        <v>0</v>
      </c>
      <c r="S403">
        <f>IF(OR(Q403="",R403=""),"",Q403-R403)</f>
        <v>0</v>
      </c>
      <c r="T403">
        <f>IF(COUNT($E$2:$E403)&lt;14,"",MAX($C$390:$C$403))</f>
        <v>0</v>
      </c>
      <c r="U403">
        <f>IF(COUNT($E$2:$E403)&lt;14,"",MIN($D$390:$D$403))</f>
        <v>0</v>
      </c>
      <c r="V403">
        <f>IF(OR(T403="",U403="",T403=U403),"",100*($E403-U403)/(T403-U403))</f>
        <v>0</v>
      </c>
      <c r="W403">
        <f>IF(COUNT($V$401:$V$403)&lt;3,"",AVERAGE($V$401:$V$403))</f>
        <v>0</v>
      </c>
      <c r="X403">
        <f>IF(COUNT($N$390:$N$403)&lt;14,"",MIN($N$390:$N$403))</f>
        <v>0</v>
      </c>
      <c r="Y403">
        <f>IF(COUNT($N$390:$N$403)&lt;14,"",MAX($N$390:$N$403))</f>
        <v>0</v>
      </c>
      <c r="Z403">
        <f>IF(OR(N403="",X403="",Y403="",Y403=X403),"",100*(N403-X403)/(Y403-X403))</f>
        <v>0</v>
      </c>
      <c r="AA403">
        <f>IF(COUNT($Z$401:$Z$403)&lt;3,"",AVERAGE($Z$401:$Z$403))</f>
        <v>0</v>
      </c>
      <c r="AB403">
        <f>IF(COUNT($AA$401:$AA$403)&lt;3,"",AVERAGE($AA$401:$AA$403))</f>
        <v>0</v>
      </c>
      <c r="AC403">
        <f>IF($E403="","",MAX($C403-$D403,ABS($C403-$E402),ABS($D403-$E402)))</f>
        <v>0</v>
      </c>
      <c r="AD403">
        <f>IF(COUNT($E$2:$E403)&lt;15,"",AVERAGE($AC$390:$AC$403))</f>
        <v>0</v>
      </c>
      <c r="AE403">
        <f>IF(OR($E403="",$E402=""),"",IF(AND(($C403-$C402)&gt;($D402-$D403),($C403-$C402)&gt;0),$C403-$C402,0))</f>
        <v>0</v>
      </c>
      <c r="AF403">
        <f>IF(OR($E403="",$E402=""),"",IF(AND(($D402-$D403)&gt;($C403-$C402),($D402-$D403)&gt;0),$D402-$D403,0))</f>
        <v>0</v>
      </c>
      <c r="AG403">
        <f>IF(COUNT($E$2:$E403)&lt;15,"",IF(SUM($AC$390:$AC$403)=0,0,100*SUM($AE$390:$AE$403)/SUM($AC$390:$AC$403)))</f>
        <v>0</v>
      </c>
      <c r="AH403">
        <f>IF(COUNT($E$2:$E403)&lt;15,"",IF(SUM($AC$390:$AC$403)=0,0,100*SUM($AF$390:$AF$403)/SUM($AC$390:$AC$403)))</f>
        <v>0</v>
      </c>
      <c r="AI403">
        <f>IF(OR(AG403="",AH403=""),"",IF((AG403+AH403)=0,0,100*ABS(AG403-AH403)/(AG403+AH403)))</f>
        <v>0</v>
      </c>
      <c r="AJ403">
        <f>IF(COUNT($AI$390:$AI$403)&lt;14,"",AVERAGE($AI$390:$AI$403))</f>
        <v>0</v>
      </c>
      <c r="AK403">
        <f>IF(COUNT($E$2:$E403)&lt;20,"",AVERAGE($E$384:$E$403))</f>
        <v>0</v>
      </c>
      <c r="AL403">
        <f>IF(COUNT($E$2:$E403)&lt;20,"",STDEVP($E$384:$E$403))</f>
        <v>0</v>
      </c>
      <c r="AM403">
        <f>IF(AK403="","",AK403+2*AL403)</f>
        <v>0</v>
      </c>
      <c r="AN403">
        <f>IF(AK403="","",AK403-2*AL403)</f>
        <v>0</v>
      </c>
      <c r="AO403">
        <f>IF(OR(AM403="",AN403="",AM403=AN403),"",($E403-AN403)/(AM403-AN403))</f>
        <v>0</v>
      </c>
      <c r="AP403">
        <f>IF(OR(AM403="",AK403="",AK403=0),"",(AM403-AN403)/AK403)</f>
        <v>0</v>
      </c>
      <c r="AQ403">
        <f>IF(COUNT($E$2:$E403)&lt;20,"",MAX($C$384:$C$403))</f>
        <v>0</v>
      </c>
      <c r="AR403">
        <f>IF(COUNT($E$2:$E403)&lt;20,"",MIN($D$384:$D$403))</f>
        <v>0</v>
      </c>
      <c r="AS403">
        <f>IF(OR(AQ403="",AR403=""),"",(AQ403+AR403)/2)</f>
        <v>0</v>
      </c>
      <c r="AT403">
        <f>IF(COUNT($G$384:$G$403)&lt;20,"",STDEV($G$384:$G$403)*SQRT(252))</f>
        <v>0</v>
      </c>
      <c r="AU403">
        <f>IF(COUNT($E$2:$E403)&lt;9,"",(MAX($C$395:$C$403)+MIN($D$395:$D$403))/2)</f>
        <v>0</v>
      </c>
      <c r="AV403">
        <f>IF(COUNT($E$2:$E403)&lt;26,"",(MAX($C$378:$C$403)+MIN($D$378:$D$403))/2)</f>
        <v>0</v>
      </c>
      <c r="AW403">
        <f>IF(OR(AU403="",AV403=""),"",(AU403+AV403)/2)</f>
        <v>0</v>
      </c>
      <c r="AX403">
        <f>IF(COUNT($E$2:$E403)&lt;52,"",(MAX($C$352:$C$403)+MIN($D$352:$D$403))/2)</f>
        <v>0</v>
      </c>
      <c r="AY403">
        <f>IF(COUNT($E$2:$E403)&lt;20,"",MAX($C$304:$C$403))</f>
        <v>0</v>
      </c>
      <c r="AZ403">
        <f>IF(COUNT($E$2:$E403)&lt;20,"",MIN($D$304:$D$403))</f>
        <v>0</v>
      </c>
      <c r="BA403">
        <f>IF(COUNT($E$2:$E403)&lt;20,"",SLOPE($E$304:$E$403,$F$304:$F$403))</f>
        <v>0</v>
      </c>
      <c r="BB403">
        <f>IF(COUNT($E$2:$E403)&lt;20,"",INTERCEPT($E$304:$E$403,$F$304:$F$403))</f>
        <v>0</v>
      </c>
      <c r="BC403">
        <f>IF(OR(BA403="",BB403=""),"",BB403+BA403*F403)</f>
        <v>0</v>
      </c>
      <c r="BD403">
        <f>IF(COUNT($E$2:$E403)&lt;20,"",STEYX($E$304:$E$403,$F$304:$F$403))</f>
        <v>0</v>
      </c>
      <c r="BE403">
        <f>IF($E403="","",IF(AND(COUNT($E$404:$E$407)&gt;=4,$C403=MAX($C$399:$C$407)),$C403,""))</f>
        <v>0</v>
      </c>
      <c r="BF403">
        <f>IF($E403="","",IF(AND(COUNT($E$404:$E$407)&gt;=4,$D403=MIN($D$399:$D$407)),$D403,""))</f>
        <v>0</v>
      </c>
      <c r="BG403">
        <f>IF($A403="","",$A403-WEEKDAY($A403,2)+1)</f>
        <v>0</v>
      </c>
      <c r="BH403">
        <f>IF($A403="","",IF($A402="",1,IF(BG403&lt;&gt;BG402,1,0)))</f>
        <v>0</v>
      </c>
      <c r="BI403">
        <f>IF($A403="","",IF($A404="",1,IF(BG404&lt;&gt;BG403,1,0)))</f>
        <v>0</v>
      </c>
      <c r="BJ403">
        <f>IF($A403="","",IF(BH403=1,$B403,BJ402))</f>
        <v>0</v>
      </c>
      <c r="BK403">
        <f>IF($A403="","",IF(BH403=1,$C403,MAX($C403,BK402)))</f>
        <v>0</v>
      </c>
      <c r="BL403">
        <f>IF($A403="","",IF(BH403=1,$D403,MIN($D403,BL402)))</f>
        <v>0</v>
      </c>
      <c r="BM403">
        <f>IF($A403="","",IF(BI403=1,F403,""))</f>
        <v>0</v>
      </c>
      <c r="BN403">
        <f>IF($A403="","",DATE(YEAR($A403),MONTH($A403),1))</f>
        <v>0</v>
      </c>
      <c r="BO403">
        <f>IF($A403="","",IF($A402="",1,IF(BN403&lt;&gt;BN402,1,0)))</f>
        <v>0</v>
      </c>
      <c r="BP403">
        <f>IF($A403="","",IF($A404="",1,IF(BN404&lt;&gt;BN403,1,0)))</f>
        <v>0</v>
      </c>
      <c r="BQ403">
        <f>IF($A403="","",IF(BO403=1,$B403,BQ402))</f>
        <v>0</v>
      </c>
      <c r="BR403">
        <f>IF($A403="","",IF(BO403=1,$C403,MAX($C403,BR402)))</f>
        <v>0</v>
      </c>
      <c r="BS403">
        <f>IF($A403="","",IF(BO403=1,$D403,MIN($D403,BS402)))</f>
        <v>0</v>
      </c>
      <c r="BT403">
        <f>IF($A403="","",IF(BP403=1,F403,""))</f>
        <v>0</v>
      </c>
    </row>
    <row r="404" spans="1:72">
      <c r="A404" s="27">
        <f>IF(Data!$A404="","",Data!$A404)</f>
        <v>0</v>
      </c>
      <c r="B404">
        <f>IF(Data!$B404="","",Data!$B404)</f>
        <v>0</v>
      </c>
      <c r="C404">
        <f>IF(Data!$C404="","",Data!$C404)</f>
        <v>0</v>
      </c>
      <c r="D404">
        <f>IF(Data!$D404="","",Data!$D404)</f>
        <v>0</v>
      </c>
      <c r="E404">
        <f>IF(Data!$E404="","",Data!$E404)</f>
        <v>0</v>
      </c>
      <c r="F404">
        <f>IF($E404="","",N(F403)+1)</f>
        <v>0</v>
      </c>
      <c r="G404">
        <f>IF(OR($E404="",$E403=""),"",LN($E404/$E403))</f>
        <v>0</v>
      </c>
      <c r="H404">
        <f>IF($E404="","",IF($E403="",$E404,$E404*0.0952380952+H403*0.9047619048))</f>
        <v>0</v>
      </c>
      <c r="I404">
        <f>IF($E404="","",IF($E403="",$E404,$E404*0.0392156863+I403*0.9607843137))</f>
        <v>0</v>
      </c>
      <c r="J404">
        <f>IF($E404="","",IF($E403="",$E404,$E404*0.0198019802+J403*0.9801980198))</f>
        <v>0</v>
      </c>
      <c r="K404">
        <f>IF($E404="","",IF($E403="",$E404,$E404*0.0099502488+K403*0.9900497512))</f>
        <v>0</v>
      </c>
      <c r="L404">
        <f>IF(OR($E404="",$E403=""),"",MAX($E404-$E403,0))</f>
        <v>0</v>
      </c>
      <c r="M404">
        <f>IF(OR($E404="",$E403=""),"",MAX($E403-$E404,0))</f>
        <v>0</v>
      </c>
      <c r="N404">
        <f>IF(COUNT($E$2:$E404)&lt;15,"",IF(AVERAGE($M$391:$M$404)=0,100,100-100/(1+AVERAGE($L$391:$L$404)/AVERAGE($M$391:$M$404))))</f>
        <v>0</v>
      </c>
      <c r="O404">
        <f>IF($E404="","",IF($E403="",$E404,$E404*0.1538461538+O403*0.8461538462))</f>
        <v>0</v>
      </c>
      <c r="P404">
        <f>IF($E404="","",IF($E403="",$E404,$E404*0.0740740741+P403*0.9259259259))</f>
        <v>0</v>
      </c>
      <c r="Q404">
        <f>IF(OR(O404="",P404=""),"",O404-P404)</f>
        <v>0</v>
      </c>
      <c r="R404">
        <f>IF(Q404="","",IF(R403="",Q404,Q404*0.2000000000+R403*0.8000000000))</f>
        <v>0</v>
      </c>
      <c r="S404">
        <f>IF(OR(Q404="",R404=""),"",Q404-R404)</f>
        <v>0</v>
      </c>
      <c r="T404">
        <f>IF(COUNT($E$2:$E404)&lt;14,"",MAX($C$391:$C$404))</f>
        <v>0</v>
      </c>
      <c r="U404">
        <f>IF(COUNT($E$2:$E404)&lt;14,"",MIN($D$391:$D$404))</f>
        <v>0</v>
      </c>
      <c r="V404">
        <f>IF(OR(T404="",U404="",T404=U404),"",100*($E404-U404)/(T404-U404))</f>
        <v>0</v>
      </c>
      <c r="W404">
        <f>IF(COUNT($V$402:$V$404)&lt;3,"",AVERAGE($V$402:$V$404))</f>
        <v>0</v>
      </c>
      <c r="X404">
        <f>IF(COUNT($N$391:$N$404)&lt;14,"",MIN($N$391:$N$404))</f>
        <v>0</v>
      </c>
      <c r="Y404">
        <f>IF(COUNT($N$391:$N$404)&lt;14,"",MAX($N$391:$N$404))</f>
        <v>0</v>
      </c>
      <c r="Z404">
        <f>IF(OR(N404="",X404="",Y404="",Y404=X404),"",100*(N404-X404)/(Y404-X404))</f>
        <v>0</v>
      </c>
      <c r="AA404">
        <f>IF(COUNT($Z$402:$Z$404)&lt;3,"",AVERAGE($Z$402:$Z$404))</f>
        <v>0</v>
      </c>
      <c r="AB404">
        <f>IF(COUNT($AA$402:$AA$404)&lt;3,"",AVERAGE($AA$402:$AA$404))</f>
        <v>0</v>
      </c>
      <c r="AC404">
        <f>IF($E404="","",MAX($C404-$D404,ABS($C404-$E403),ABS($D404-$E403)))</f>
        <v>0</v>
      </c>
      <c r="AD404">
        <f>IF(COUNT($E$2:$E404)&lt;15,"",AVERAGE($AC$391:$AC$404))</f>
        <v>0</v>
      </c>
      <c r="AE404">
        <f>IF(OR($E404="",$E403=""),"",IF(AND(($C404-$C403)&gt;($D403-$D404),($C404-$C403)&gt;0),$C404-$C403,0))</f>
        <v>0</v>
      </c>
      <c r="AF404">
        <f>IF(OR($E404="",$E403=""),"",IF(AND(($D403-$D404)&gt;($C404-$C403),($D403-$D404)&gt;0),$D403-$D404,0))</f>
        <v>0</v>
      </c>
      <c r="AG404">
        <f>IF(COUNT($E$2:$E404)&lt;15,"",IF(SUM($AC$391:$AC$404)=0,0,100*SUM($AE$391:$AE$404)/SUM($AC$391:$AC$404)))</f>
        <v>0</v>
      </c>
      <c r="AH404">
        <f>IF(COUNT($E$2:$E404)&lt;15,"",IF(SUM($AC$391:$AC$404)=0,0,100*SUM($AF$391:$AF$404)/SUM($AC$391:$AC$404)))</f>
        <v>0</v>
      </c>
      <c r="AI404">
        <f>IF(OR(AG404="",AH404=""),"",IF((AG404+AH404)=0,0,100*ABS(AG404-AH404)/(AG404+AH404)))</f>
        <v>0</v>
      </c>
      <c r="AJ404">
        <f>IF(COUNT($AI$391:$AI$404)&lt;14,"",AVERAGE($AI$391:$AI$404))</f>
        <v>0</v>
      </c>
      <c r="AK404">
        <f>IF(COUNT($E$2:$E404)&lt;20,"",AVERAGE($E$385:$E$404))</f>
        <v>0</v>
      </c>
      <c r="AL404">
        <f>IF(COUNT($E$2:$E404)&lt;20,"",STDEVP($E$385:$E$404))</f>
        <v>0</v>
      </c>
      <c r="AM404">
        <f>IF(AK404="","",AK404+2*AL404)</f>
        <v>0</v>
      </c>
      <c r="AN404">
        <f>IF(AK404="","",AK404-2*AL404)</f>
        <v>0</v>
      </c>
      <c r="AO404">
        <f>IF(OR(AM404="",AN404="",AM404=AN404),"",($E404-AN404)/(AM404-AN404))</f>
        <v>0</v>
      </c>
      <c r="AP404">
        <f>IF(OR(AM404="",AK404="",AK404=0),"",(AM404-AN404)/AK404)</f>
        <v>0</v>
      </c>
      <c r="AQ404">
        <f>IF(COUNT($E$2:$E404)&lt;20,"",MAX($C$385:$C$404))</f>
        <v>0</v>
      </c>
      <c r="AR404">
        <f>IF(COUNT($E$2:$E404)&lt;20,"",MIN($D$385:$D$404))</f>
        <v>0</v>
      </c>
      <c r="AS404">
        <f>IF(OR(AQ404="",AR404=""),"",(AQ404+AR404)/2)</f>
        <v>0</v>
      </c>
      <c r="AT404">
        <f>IF(COUNT($G$385:$G$404)&lt;20,"",STDEV($G$385:$G$404)*SQRT(252))</f>
        <v>0</v>
      </c>
      <c r="AU404">
        <f>IF(COUNT($E$2:$E404)&lt;9,"",(MAX($C$396:$C$404)+MIN($D$396:$D$404))/2)</f>
        <v>0</v>
      </c>
      <c r="AV404">
        <f>IF(COUNT($E$2:$E404)&lt;26,"",(MAX($C$379:$C$404)+MIN($D$379:$D$404))/2)</f>
        <v>0</v>
      </c>
      <c r="AW404">
        <f>IF(OR(AU404="",AV404=""),"",(AU404+AV404)/2)</f>
        <v>0</v>
      </c>
      <c r="AX404">
        <f>IF(COUNT($E$2:$E404)&lt;52,"",(MAX($C$353:$C$404)+MIN($D$353:$D$404))/2)</f>
        <v>0</v>
      </c>
      <c r="AY404">
        <f>IF(COUNT($E$2:$E404)&lt;20,"",MAX($C$305:$C$404))</f>
        <v>0</v>
      </c>
      <c r="AZ404">
        <f>IF(COUNT($E$2:$E404)&lt;20,"",MIN($D$305:$D$404))</f>
        <v>0</v>
      </c>
      <c r="BA404">
        <f>IF(COUNT($E$2:$E404)&lt;20,"",SLOPE($E$305:$E$404,$F$305:$F$404))</f>
        <v>0</v>
      </c>
      <c r="BB404">
        <f>IF(COUNT($E$2:$E404)&lt;20,"",INTERCEPT($E$305:$E$404,$F$305:$F$404))</f>
        <v>0</v>
      </c>
      <c r="BC404">
        <f>IF(OR(BA404="",BB404=""),"",BB404+BA404*F404)</f>
        <v>0</v>
      </c>
      <c r="BD404">
        <f>IF(COUNT($E$2:$E404)&lt;20,"",STEYX($E$305:$E$404,$F$305:$F$404))</f>
        <v>0</v>
      </c>
      <c r="BE404">
        <f>IF($E404="","",IF(AND(COUNT($E$405:$E$408)&gt;=4,$C404=MAX($C$400:$C$408)),$C404,""))</f>
        <v>0</v>
      </c>
      <c r="BF404">
        <f>IF($E404="","",IF(AND(COUNT($E$405:$E$408)&gt;=4,$D404=MIN($D$400:$D$408)),$D404,""))</f>
        <v>0</v>
      </c>
      <c r="BG404">
        <f>IF($A404="","",$A404-WEEKDAY($A404,2)+1)</f>
        <v>0</v>
      </c>
      <c r="BH404">
        <f>IF($A404="","",IF($A403="",1,IF(BG404&lt;&gt;BG403,1,0)))</f>
        <v>0</v>
      </c>
      <c r="BI404">
        <f>IF($A404="","",IF($A405="",1,IF(BG405&lt;&gt;BG404,1,0)))</f>
        <v>0</v>
      </c>
      <c r="BJ404">
        <f>IF($A404="","",IF(BH404=1,$B404,BJ403))</f>
        <v>0</v>
      </c>
      <c r="BK404">
        <f>IF($A404="","",IF(BH404=1,$C404,MAX($C404,BK403)))</f>
        <v>0</v>
      </c>
      <c r="BL404">
        <f>IF($A404="","",IF(BH404=1,$D404,MIN($D404,BL403)))</f>
        <v>0</v>
      </c>
      <c r="BM404">
        <f>IF($A404="","",IF(BI404=1,F404,""))</f>
        <v>0</v>
      </c>
      <c r="BN404">
        <f>IF($A404="","",DATE(YEAR($A404),MONTH($A404),1))</f>
        <v>0</v>
      </c>
      <c r="BO404">
        <f>IF($A404="","",IF($A403="",1,IF(BN404&lt;&gt;BN403,1,0)))</f>
        <v>0</v>
      </c>
      <c r="BP404">
        <f>IF($A404="","",IF($A405="",1,IF(BN405&lt;&gt;BN404,1,0)))</f>
        <v>0</v>
      </c>
      <c r="BQ404">
        <f>IF($A404="","",IF(BO404=1,$B404,BQ403))</f>
        <v>0</v>
      </c>
      <c r="BR404">
        <f>IF($A404="","",IF(BO404=1,$C404,MAX($C404,BR403)))</f>
        <v>0</v>
      </c>
      <c r="BS404">
        <f>IF($A404="","",IF(BO404=1,$D404,MIN($D404,BS403)))</f>
        <v>0</v>
      </c>
      <c r="BT404">
        <f>IF($A404="","",IF(BP404=1,F404,""))</f>
        <v>0</v>
      </c>
    </row>
    <row r="405" spans="1:72">
      <c r="A405" s="27">
        <f>IF(Data!$A405="","",Data!$A405)</f>
        <v>0</v>
      </c>
      <c r="B405">
        <f>IF(Data!$B405="","",Data!$B405)</f>
        <v>0</v>
      </c>
      <c r="C405">
        <f>IF(Data!$C405="","",Data!$C405)</f>
        <v>0</v>
      </c>
      <c r="D405">
        <f>IF(Data!$D405="","",Data!$D405)</f>
        <v>0</v>
      </c>
      <c r="E405">
        <f>IF(Data!$E405="","",Data!$E405)</f>
        <v>0</v>
      </c>
      <c r="F405">
        <f>IF($E405="","",N(F404)+1)</f>
        <v>0</v>
      </c>
      <c r="G405">
        <f>IF(OR($E405="",$E404=""),"",LN($E405/$E404))</f>
        <v>0</v>
      </c>
      <c r="H405">
        <f>IF($E405="","",IF($E404="",$E405,$E405*0.0952380952+H404*0.9047619048))</f>
        <v>0</v>
      </c>
      <c r="I405">
        <f>IF($E405="","",IF($E404="",$E405,$E405*0.0392156863+I404*0.9607843137))</f>
        <v>0</v>
      </c>
      <c r="J405">
        <f>IF($E405="","",IF($E404="",$E405,$E405*0.0198019802+J404*0.9801980198))</f>
        <v>0</v>
      </c>
      <c r="K405">
        <f>IF($E405="","",IF($E404="",$E405,$E405*0.0099502488+K404*0.9900497512))</f>
        <v>0</v>
      </c>
      <c r="L405">
        <f>IF(OR($E405="",$E404=""),"",MAX($E405-$E404,0))</f>
        <v>0</v>
      </c>
      <c r="M405">
        <f>IF(OR($E405="",$E404=""),"",MAX($E404-$E405,0))</f>
        <v>0</v>
      </c>
      <c r="N405">
        <f>IF(COUNT($E$2:$E405)&lt;15,"",IF(AVERAGE($M$392:$M$405)=0,100,100-100/(1+AVERAGE($L$392:$L$405)/AVERAGE($M$392:$M$405))))</f>
        <v>0</v>
      </c>
      <c r="O405">
        <f>IF($E405="","",IF($E404="",$E405,$E405*0.1538461538+O404*0.8461538462))</f>
        <v>0</v>
      </c>
      <c r="P405">
        <f>IF($E405="","",IF($E404="",$E405,$E405*0.0740740741+P404*0.9259259259))</f>
        <v>0</v>
      </c>
      <c r="Q405">
        <f>IF(OR(O405="",P405=""),"",O405-P405)</f>
        <v>0</v>
      </c>
      <c r="R405">
        <f>IF(Q405="","",IF(R404="",Q405,Q405*0.2000000000+R404*0.8000000000))</f>
        <v>0</v>
      </c>
      <c r="S405">
        <f>IF(OR(Q405="",R405=""),"",Q405-R405)</f>
        <v>0</v>
      </c>
      <c r="T405">
        <f>IF(COUNT($E$2:$E405)&lt;14,"",MAX($C$392:$C$405))</f>
        <v>0</v>
      </c>
      <c r="U405">
        <f>IF(COUNT($E$2:$E405)&lt;14,"",MIN($D$392:$D$405))</f>
        <v>0</v>
      </c>
      <c r="V405">
        <f>IF(OR(T405="",U405="",T405=U405),"",100*($E405-U405)/(T405-U405))</f>
        <v>0</v>
      </c>
      <c r="W405">
        <f>IF(COUNT($V$403:$V$405)&lt;3,"",AVERAGE($V$403:$V$405))</f>
        <v>0</v>
      </c>
      <c r="X405">
        <f>IF(COUNT($N$392:$N$405)&lt;14,"",MIN($N$392:$N$405))</f>
        <v>0</v>
      </c>
      <c r="Y405">
        <f>IF(COUNT($N$392:$N$405)&lt;14,"",MAX($N$392:$N$405))</f>
        <v>0</v>
      </c>
      <c r="Z405">
        <f>IF(OR(N405="",X405="",Y405="",Y405=X405),"",100*(N405-X405)/(Y405-X405))</f>
        <v>0</v>
      </c>
      <c r="AA405">
        <f>IF(COUNT($Z$403:$Z$405)&lt;3,"",AVERAGE($Z$403:$Z$405))</f>
        <v>0</v>
      </c>
      <c r="AB405">
        <f>IF(COUNT($AA$403:$AA$405)&lt;3,"",AVERAGE($AA$403:$AA$405))</f>
        <v>0</v>
      </c>
      <c r="AC405">
        <f>IF($E405="","",MAX($C405-$D405,ABS($C405-$E404),ABS($D405-$E404)))</f>
        <v>0</v>
      </c>
      <c r="AD405">
        <f>IF(COUNT($E$2:$E405)&lt;15,"",AVERAGE($AC$392:$AC$405))</f>
        <v>0</v>
      </c>
      <c r="AE405">
        <f>IF(OR($E405="",$E404=""),"",IF(AND(($C405-$C404)&gt;($D404-$D405),($C405-$C404)&gt;0),$C405-$C404,0))</f>
        <v>0</v>
      </c>
      <c r="AF405">
        <f>IF(OR($E405="",$E404=""),"",IF(AND(($D404-$D405)&gt;($C405-$C404),($D404-$D405)&gt;0),$D404-$D405,0))</f>
        <v>0</v>
      </c>
      <c r="AG405">
        <f>IF(COUNT($E$2:$E405)&lt;15,"",IF(SUM($AC$392:$AC$405)=0,0,100*SUM($AE$392:$AE$405)/SUM($AC$392:$AC$405)))</f>
        <v>0</v>
      </c>
      <c r="AH405">
        <f>IF(COUNT($E$2:$E405)&lt;15,"",IF(SUM($AC$392:$AC$405)=0,0,100*SUM($AF$392:$AF$405)/SUM($AC$392:$AC$405)))</f>
        <v>0</v>
      </c>
      <c r="AI405">
        <f>IF(OR(AG405="",AH405=""),"",IF((AG405+AH405)=0,0,100*ABS(AG405-AH405)/(AG405+AH405)))</f>
        <v>0</v>
      </c>
      <c r="AJ405">
        <f>IF(COUNT($AI$392:$AI$405)&lt;14,"",AVERAGE($AI$392:$AI$405))</f>
        <v>0</v>
      </c>
      <c r="AK405">
        <f>IF(COUNT($E$2:$E405)&lt;20,"",AVERAGE($E$386:$E$405))</f>
        <v>0</v>
      </c>
      <c r="AL405">
        <f>IF(COUNT($E$2:$E405)&lt;20,"",STDEVP($E$386:$E$405))</f>
        <v>0</v>
      </c>
      <c r="AM405">
        <f>IF(AK405="","",AK405+2*AL405)</f>
        <v>0</v>
      </c>
      <c r="AN405">
        <f>IF(AK405="","",AK405-2*AL405)</f>
        <v>0</v>
      </c>
      <c r="AO405">
        <f>IF(OR(AM405="",AN405="",AM405=AN405),"",($E405-AN405)/(AM405-AN405))</f>
        <v>0</v>
      </c>
      <c r="AP405">
        <f>IF(OR(AM405="",AK405="",AK405=0),"",(AM405-AN405)/AK405)</f>
        <v>0</v>
      </c>
      <c r="AQ405">
        <f>IF(COUNT($E$2:$E405)&lt;20,"",MAX($C$386:$C$405))</f>
        <v>0</v>
      </c>
      <c r="AR405">
        <f>IF(COUNT($E$2:$E405)&lt;20,"",MIN($D$386:$D$405))</f>
        <v>0</v>
      </c>
      <c r="AS405">
        <f>IF(OR(AQ405="",AR405=""),"",(AQ405+AR405)/2)</f>
        <v>0</v>
      </c>
      <c r="AT405">
        <f>IF(COUNT($G$386:$G$405)&lt;20,"",STDEV($G$386:$G$405)*SQRT(252))</f>
        <v>0</v>
      </c>
      <c r="AU405">
        <f>IF(COUNT($E$2:$E405)&lt;9,"",(MAX($C$397:$C$405)+MIN($D$397:$D$405))/2)</f>
        <v>0</v>
      </c>
      <c r="AV405">
        <f>IF(COUNT($E$2:$E405)&lt;26,"",(MAX($C$380:$C$405)+MIN($D$380:$D$405))/2)</f>
        <v>0</v>
      </c>
      <c r="AW405">
        <f>IF(OR(AU405="",AV405=""),"",(AU405+AV405)/2)</f>
        <v>0</v>
      </c>
      <c r="AX405">
        <f>IF(COUNT($E$2:$E405)&lt;52,"",(MAX($C$354:$C$405)+MIN($D$354:$D$405))/2)</f>
        <v>0</v>
      </c>
      <c r="AY405">
        <f>IF(COUNT($E$2:$E405)&lt;20,"",MAX($C$306:$C$405))</f>
        <v>0</v>
      </c>
      <c r="AZ405">
        <f>IF(COUNT($E$2:$E405)&lt;20,"",MIN($D$306:$D$405))</f>
        <v>0</v>
      </c>
      <c r="BA405">
        <f>IF(COUNT($E$2:$E405)&lt;20,"",SLOPE($E$306:$E$405,$F$306:$F$405))</f>
        <v>0</v>
      </c>
      <c r="BB405">
        <f>IF(COUNT($E$2:$E405)&lt;20,"",INTERCEPT($E$306:$E$405,$F$306:$F$405))</f>
        <v>0</v>
      </c>
      <c r="BC405">
        <f>IF(OR(BA405="",BB405=""),"",BB405+BA405*F405)</f>
        <v>0</v>
      </c>
      <c r="BD405">
        <f>IF(COUNT($E$2:$E405)&lt;20,"",STEYX($E$306:$E$405,$F$306:$F$405))</f>
        <v>0</v>
      </c>
      <c r="BE405">
        <f>IF($E405="","",IF(AND(COUNT($E$406:$E$409)&gt;=4,$C405=MAX($C$401:$C$409)),$C405,""))</f>
        <v>0</v>
      </c>
      <c r="BF405">
        <f>IF($E405="","",IF(AND(COUNT($E$406:$E$409)&gt;=4,$D405=MIN($D$401:$D$409)),$D405,""))</f>
        <v>0</v>
      </c>
      <c r="BG405">
        <f>IF($A405="","",$A405-WEEKDAY($A405,2)+1)</f>
        <v>0</v>
      </c>
      <c r="BH405">
        <f>IF($A405="","",IF($A404="",1,IF(BG405&lt;&gt;BG404,1,0)))</f>
        <v>0</v>
      </c>
      <c r="BI405">
        <f>IF($A405="","",IF($A406="",1,IF(BG406&lt;&gt;BG405,1,0)))</f>
        <v>0</v>
      </c>
      <c r="BJ405">
        <f>IF($A405="","",IF(BH405=1,$B405,BJ404))</f>
        <v>0</v>
      </c>
      <c r="BK405">
        <f>IF($A405="","",IF(BH405=1,$C405,MAX($C405,BK404)))</f>
        <v>0</v>
      </c>
      <c r="BL405">
        <f>IF($A405="","",IF(BH405=1,$D405,MIN($D405,BL404)))</f>
        <v>0</v>
      </c>
      <c r="BM405">
        <f>IF($A405="","",IF(BI405=1,F405,""))</f>
        <v>0</v>
      </c>
      <c r="BN405">
        <f>IF($A405="","",DATE(YEAR($A405),MONTH($A405),1))</f>
        <v>0</v>
      </c>
      <c r="BO405">
        <f>IF($A405="","",IF($A404="",1,IF(BN405&lt;&gt;BN404,1,0)))</f>
        <v>0</v>
      </c>
      <c r="BP405">
        <f>IF($A405="","",IF($A406="",1,IF(BN406&lt;&gt;BN405,1,0)))</f>
        <v>0</v>
      </c>
      <c r="BQ405">
        <f>IF($A405="","",IF(BO405=1,$B405,BQ404))</f>
        <v>0</v>
      </c>
      <c r="BR405">
        <f>IF($A405="","",IF(BO405=1,$C405,MAX($C405,BR404)))</f>
        <v>0</v>
      </c>
      <c r="BS405">
        <f>IF($A405="","",IF(BO405=1,$D405,MIN($D405,BS404)))</f>
        <v>0</v>
      </c>
      <c r="BT405">
        <f>IF($A405="","",IF(BP405=1,F405,""))</f>
        <v>0</v>
      </c>
    </row>
    <row r="406" spans="1:72">
      <c r="A406" s="27">
        <f>IF(Data!$A406="","",Data!$A406)</f>
        <v>0</v>
      </c>
      <c r="B406">
        <f>IF(Data!$B406="","",Data!$B406)</f>
        <v>0</v>
      </c>
      <c r="C406">
        <f>IF(Data!$C406="","",Data!$C406)</f>
        <v>0</v>
      </c>
      <c r="D406">
        <f>IF(Data!$D406="","",Data!$D406)</f>
        <v>0</v>
      </c>
      <c r="E406">
        <f>IF(Data!$E406="","",Data!$E406)</f>
        <v>0</v>
      </c>
      <c r="F406">
        <f>IF($E406="","",N(F405)+1)</f>
        <v>0</v>
      </c>
      <c r="G406">
        <f>IF(OR($E406="",$E405=""),"",LN($E406/$E405))</f>
        <v>0</v>
      </c>
      <c r="H406">
        <f>IF($E406="","",IF($E405="",$E406,$E406*0.0952380952+H405*0.9047619048))</f>
        <v>0</v>
      </c>
      <c r="I406">
        <f>IF($E406="","",IF($E405="",$E406,$E406*0.0392156863+I405*0.9607843137))</f>
        <v>0</v>
      </c>
      <c r="J406">
        <f>IF($E406="","",IF($E405="",$E406,$E406*0.0198019802+J405*0.9801980198))</f>
        <v>0</v>
      </c>
      <c r="K406">
        <f>IF($E406="","",IF($E405="",$E406,$E406*0.0099502488+K405*0.9900497512))</f>
        <v>0</v>
      </c>
      <c r="L406">
        <f>IF(OR($E406="",$E405=""),"",MAX($E406-$E405,0))</f>
        <v>0</v>
      </c>
      <c r="M406">
        <f>IF(OR($E406="",$E405=""),"",MAX($E405-$E406,0))</f>
        <v>0</v>
      </c>
      <c r="N406">
        <f>IF(COUNT($E$2:$E406)&lt;15,"",IF(AVERAGE($M$393:$M$406)=0,100,100-100/(1+AVERAGE($L$393:$L$406)/AVERAGE($M$393:$M$406))))</f>
        <v>0</v>
      </c>
      <c r="O406">
        <f>IF($E406="","",IF($E405="",$E406,$E406*0.1538461538+O405*0.8461538462))</f>
        <v>0</v>
      </c>
      <c r="P406">
        <f>IF($E406="","",IF($E405="",$E406,$E406*0.0740740741+P405*0.9259259259))</f>
        <v>0</v>
      </c>
      <c r="Q406">
        <f>IF(OR(O406="",P406=""),"",O406-P406)</f>
        <v>0</v>
      </c>
      <c r="R406">
        <f>IF(Q406="","",IF(R405="",Q406,Q406*0.2000000000+R405*0.8000000000))</f>
        <v>0</v>
      </c>
      <c r="S406">
        <f>IF(OR(Q406="",R406=""),"",Q406-R406)</f>
        <v>0</v>
      </c>
      <c r="T406">
        <f>IF(COUNT($E$2:$E406)&lt;14,"",MAX($C$393:$C$406))</f>
        <v>0</v>
      </c>
      <c r="U406">
        <f>IF(COUNT($E$2:$E406)&lt;14,"",MIN($D$393:$D$406))</f>
        <v>0</v>
      </c>
      <c r="V406">
        <f>IF(OR(T406="",U406="",T406=U406),"",100*($E406-U406)/(T406-U406))</f>
        <v>0</v>
      </c>
      <c r="W406">
        <f>IF(COUNT($V$404:$V$406)&lt;3,"",AVERAGE($V$404:$V$406))</f>
        <v>0</v>
      </c>
      <c r="X406">
        <f>IF(COUNT($N$393:$N$406)&lt;14,"",MIN($N$393:$N$406))</f>
        <v>0</v>
      </c>
      <c r="Y406">
        <f>IF(COUNT($N$393:$N$406)&lt;14,"",MAX($N$393:$N$406))</f>
        <v>0</v>
      </c>
      <c r="Z406">
        <f>IF(OR(N406="",X406="",Y406="",Y406=X406),"",100*(N406-X406)/(Y406-X406))</f>
        <v>0</v>
      </c>
      <c r="AA406">
        <f>IF(COUNT($Z$404:$Z$406)&lt;3,"",AVERAGE($Z$404:$Z$406))</f>
        <v>0</v>
      </c>
      <c r="AB406">
        <f>IF(COUNT($AA$404:$AA$406)&lt;3,"",AVERAGE($AA$404:$AA$406))</f>
        <v>0</v>
      </c>
      <c r="AC406">
        <f>IF($E406="","",MAX($C406-$D406,ABS($C406-$E405),ABS($D406-$E405)))</f>
        <v>0</v>
      </c>
      <c r="AD406">
        <f>IF(COUNT($E$2:$E406)&lt;15,"",AVERAGE($AC$393:$AC$406))</f>
        <v>0</v>
      </c>
      <c r="AE406">
        <f>IF(OR($E406="",$E405=""),"",IF(AND(($C406-$C405)&gt;($D405-$D406),($C406-$C405)&gt;0),$C406-$C405,0))</f>
        <v>0</v>
      </c>
      <c r="AF406">
        <f>IF(OR($E406="",$E405=""),"",IF(AND(($D405-$D406)&gt;($C406-$C405),($D405-$D406)&gt;0),$D405-$D406,0))</f>
        <v>0</v>
      </c>
      <c r="AG406">
        <f>IF(COUNT($E$2:$E406)&lt;15,"",IF(SUM($AC$393:$AC$406)=0,0,100*SUM($AE$393:$AE$406)/SUM($AC$393:$AC$406)))</f>
        <v>0</v>
      </c>
      <c r="AH406">
        <f>IF(COUNT($E$2:$E406)&lt;15,"",IF(SUM($AC$393:$AC$406)=0,0,100*SUM($AF$393:$AF$406)/SUM($AC$393:$AC$406)))</f>
        <v>0</v>
      </c>
      <c r="AI406">
        <f>IF(OR(AG406="",AH406=""),"",IF((AG406+AH406)=0,0,100*ABS(AG406-AH406)/(AG406+AH406)))</f>
        <v>0</v>
      </c>
      <c r="AJ406">
        <f>IF(COUNT($AI$393:$AI$406)&lt;14,"",AVERAGE($AI$393:$AI$406))</f>
        <v>0</v>
      </c>
      <c r="AK406">
        <f>IF(COUNT($E$2:$E406)&lt;20,"",AVERAGE($E$387:$E$406))</f>
        <v>0</v>
      </c>
      <c r="AL406">
        <f>IF(COUNT($E$2:$E406)&lt;20,"",STDEVP($E$387:$E$406))</f>
        <v>0</v>
      </c>
      <c r="AM406">
        <f>IF(AK406="","",AK406+2*AL406)</f>
        <v>0</v>
      </c>
      <c r="AN406">
        <f>IF(AK406="","",AK406-2*AL406)</f>
        <v>0</v>
      </c>
      <c r="AO406">
        <f>IF(OR(AM406="",AN406="",AM406=AN406),"",($E406-AN406)/(AM406-AN406))</f>
        <v>0</v>
      </c>
      <c r="AP406">
        <f>IF(OR(AM406="",AK406="",AK406=0),"",(AM406-AN406)/AK406)</f>
        <v>0</v>
      </c>
      <c r="AQ406">
        <f>IF(COUNT($E$2:$E406)&lt;20,"",MAX($C$387:$C$406))</f>
        <v>0</v>
      </c>
      <c r="AR406">
        <f>IF(COUNT($E$2:$E406)&lt;20,"",MIN($D$387:$D$406))</f>
        <v>0</v>
      </c>
      <c r="AS406">
        <f>IF(OR(AQ406="",AR406=""),"",(AQ406+AR406)/2)</f>
        <v>0</v>
      </c>
      <c r="AT406">
        <f>IF(COUNT($G$387:$G$406)&lt;20,"",STDEV($G$387:$G$406)*SQRT(252))</f>
        <v>0</v>
      </c>
      <c r="AU406">
        <f>IF(COUNT($E$2:$E406)&lt;9,"",(MAX($C$398:$C$406)+MIN($D$398:$D$406))/2)</f>
        <v>0</v>
      </c>
      <c r="AV406">
        <f>IF(COUNT($E$2:$E406)&lt;26,"",(MAX($C$381:$C$406)+MIN($D$381:$D$406))/2)</f>
        <v>0</v>
      </c>
      <c r="AW406">
        <f>IF(OR(AU406="",AV406=""),"",(AU406+AV406)/2)</f>
        <v>0</v>
      </c>
      <c r="AX406">
        <f>IF(COUNT($E$2:$E406)&lt;52,"",(MAX($C$355:$C$406)+MIN($D$355:$D$406))/2)</f>
        <v>0</v>
      </c>
      <c r="AY406">
        <f>IF(COUNT($E$2:$E406)&lt;20,"",MAX($C$307:$C$406))</f>
        <v>0</v>
      </c>
      <c r="AZ406">
        <f>IF(COUNT($E$2:$E406)&lt;20,"",MIN($D$307:$D$406))</f>
        <v>0</v>
      </c>
      <c r="BA406">
        <f>IF(COUNT($E$2:$E406)&lt;20,"",SLOPE($E$307:$E$406,$F$307:$F$406))</f>
        <v>0</v>
      </c>
      <c r="BB406">
        <f>IF(COUNT($E$2:$E406)&lt;20,"",INTERCEPT($E$307:$E$406,$F$307:$F$406))</f>
        <v>0</v>
      </c>
      <c r="BC406">
        <f>IF(OR(BA406="",BB406=""),"",BB406+BA406*F406)</f>
        <v>0</v>
      </c>
      <c r="BD406">
        <f>IF(COUNT($E$2:$E406)&lt;20,"",STEYX($E$307:$E$406,$F$307:$F$406))</f>
        <v>0</v>
      </c>
      <c r="BE406">
        <f>IF($E406="","",IF(AND(COUNT($E$407:$E$410)&gt;=4,$C406=MAX($C$402:$C$410)),$C406,""))</f>
        <v>0</v>
      </c>
      <c r="BF406">
        <f>IF($E406="","",IF(AND(COUNT($E$407:$E$410)&gt;=4,$D406=MIN($D$402:$D$410)),$D406,""))</f>
        <v>0</v>
      </c>
      <c r="BG406">
        <f>IF($A406="","",$A406-WEEKDAY($A406,2)+1)</f>
        <v>0</v>
      </c>
      <c r="BH406">
        <f>IF($A406="","",IF($A405="",1,IF(BG406&lt;&gt;BG405,1,0)))</f>
        <v>0</v>
      </c>
      <c r="BI406">
        <f>IF($A406="","",IF($A407="",1,IF(BG407&lt;&gt;BG406,1,0)))</f>
        <v>0</v>
      </c>
      <c r="BJ406">
        <f>IF($A406="","",IF(BH406=1,$B406,BJ405))</f>
        <v>0</v>
      </c>
      <c r="BK406">
        <f>IF($A406="","",IF(BH406=1,$C406,MAX($C406,BK405)))</f>
        <v>0</v>
      </c>
      <c r="BL406">
        <f>IF($A406="","",IF(BH406=1,$D406,MIN($D406,BL405)))</f>
        <v>0</v>
      </c>
      <c r="BM406">
        <f>IF($A406="","",IF(BI406=1,F406,""))</f>
        <v>0</v>
      </c>
      <c r="BN406">
        <f>IF($A406="","",DATE(YEAR($A406),MONTH($A406),1))</f>
        <v>0</v>
      </c>
      <c r="BO406">
        <f>IF($A406="","",IF($A405="",1,IF(BN406&lt;&gt;BN405,1,0)))</f>
        <v>0</v>
      </c>
      <c r="BP406">
        <f>IF($A406="","",IF($A407="",1,IF(BN407&lt;&gt;BN406,1,0)))</f>
        <v>0</v>
      </c>
      <c r="BQ406">
        <f>IF($A406="","",IF(BO406=1,$B406,BQ405))</f>
        <v>0</v>
      </c>
      <c r="BR406">
        <f>IF($A406="","",IF(BO406=1,$C406,MAX($C406,BR405)))</f>
        <v>0</v>
      </c>
      <c r="BS406">
        <f>IF($A406="","",IF(BO406=1,$D406,MIN($D406,BS405)))</f>
        <v>0</v>
      </c>
      <c r="BT406">
        <f>IF($A406="","",IF(BP406=1,F406,""))</f>
        <v>0</v>
      </c>
    </row>
    <row r="407" spans="1:72">
      <c r="A407" s="27">
        <f>IF(Data!$A407="","",Data!$A407)</f>
        <v>0</v>
      </c>
      <c r="B407">
        <f>IF(Data!$B407="","",Data!$B407)</f>
        <v>0</v>
      </c>
      <c r="C407">
        <f>IF(Data!$C407="","",Data!$C407)</f>
        <v>0</v>
      </c>
      <c r="D407">
        <f>IF(Data!$D407="","",Data!$D407)</f>
        <v>0</v>
      </c>
      <c r="E407">
        <f>IF(Data!$E407="","",Data!$E407)</f>
        <v>0</v>
      </c>
      <c r="F407">
        <f>IF($E407="","",N(F406)+1)</f>
        <v>0</v>
      </c>
      <c r="G407">
        <f>IF(OR($E407="",$E406=""),"",LN($E407/$E406))</f>
        <v>0</v>
      </c>
      <c r="H407">
        <f>IF($E407="","",IF($E406="",$E407,$E407*0.0952380952+H406*0.9047619048))</f>
        <v>0</v>
      </c>
      <c r="I407">
        <f>IF($E407="","",IF($E406="",$E407,$E407*0.0392156863+I406*0.9607843137))</f>
        <v>0</v>
      </c>
      <c r="J407">
        <f>IF($E407="","",IF($E406="",$E407,$E407*0.0198019802+J406*0.9801980198))</f>
        <v>0</v>
      </c>
      <c r="K407">
        <f>IF($E407="","",IF($E406="",$E407,$E407*0.0099502488+K406*0.9900497512))</f>
        <v>0</v>
      </c>
      <c r="L407">
        <f>IF(OR($E407="",$E406=""),"",MAX($E407-$E406,0))</f>
        <v>0</v>
      </c>
      <c r="M407">
        <f>IF(OR($E407="",$E406=""),"",MAX($E406-$E407,0))</f>
        <v>0</v>
      </c>
      <c r="N407">
        <f>IF(COUNT($E$2:$E407)&lt;15,"",IF(AVERAGE($M$394:$M$407)=0,100,100-100/(1+AVERAGE($L$394:$L$407)/AVERAGE($M$394:$M$407))))</f>
        <v>0</v>
      </c>
      <c r="O407">
        <f>IF($E407="","",IF($E406="",$E407,$E407*0.1538461538+O406*0.8461538462))</f>
        <v>0</v>
      </c>
      <c r="P407">
        <f>IF($E407="","",IF($E406="",$E407,$E407*0.0740740741+P406*0.9259259259))</f>
        <v>0</v>
      </c>
      <c r="Q407">
        <f>IF(OR(O407="",P407=""),"",O407-P407)</f>
        <v>0</v>
      </c>
      <c r="R407">
        <f>IF(Q407="","",IF(R406="",Q407,Q407*0.2000000000+R406*0.8000000000))</f>
        <v>0</v>
      </c>
      <c r="S407">
        <f>IF(OR(Q407="",R407=""),"",Q407-R407)</f>
        <v>0</v>
      </c>
      <c r="T407">
        <f>IF(COUNT($E$2:$E407)&lt;14,"",MAX($C$394:$C$407))</f>
        <v>0</v>
      </c>
      <c r="U407">
        <f>IF(COUNT($E$2:$E407)&lt;14,"",MIN($D$394:$D$407))</f>
        <v>0</v>
      </c>
      <c r="V407">
        <f>IF(OR(T407="",U407="",T407=U407),"",100*($E407-U407)/(T407-U407))</f>
        <v>0</v>
      </c>
      <c r="W407">
        <f>IF(COUNT($V$405:$V$407)&lt;3,"",AVERAGE($V$405:$V$407))</f>
        <v>0</v>
      </c>
      <c r="X407">
        <f>IF(COUNT($N$394:$N$407)&lt;14,"",MIN($N$394:$N$407))</f>
        <v>0</v>
      </c>
      <c r="Y407">
        <f>IF(COUNT($N$394:$N$407)&lt;14,"",MAX($N$394:$N$407))</f>
        <v>0</v>
      </c>
      <c r="Z407">
        <f>IF(OR(N407="",X407="",Y407="",Y407=X407),"",100*(N407-X407)/(Y407-X407))</f>
        <v>0</v>
      </c>
      <c r="AA407">
        <f>IF(COUNT($Z$405:$Z$407)&lt;3,"",AVERAGE($Z$405:$Z$407))</f>
        <v>0</v>
      </c>
      <c r="AB407">
        <f>IF(COUNT($AA$405:$AA$407)&lt;3,"",AVERAGE($AA$405:$AA$407))</f>
        <v>0</v>
      </c>
      <c r="AC407">
        <f>IF($E407="","",MAX($C407-$D407,ABS($C407-$E406),ABS($D407-$E406)))</f>
        <v>0</v>
      </c>
      <c r="AD407">
        <f>IF(COUNT($E$2:$E407)&lt;15,"",AVERAGE($AC$394:$AC$407))</f>
        <v>0</v>
      </c>
      <c r="AE407">
        <f>IF(OR($E407="",$E406=""),"",IF(AND(($C407-$C406)&gt;($D406-$D407),($C407-$C406)&gt;0),$C407-$C406,0))</f>
        <v>0</v>
      </c>
      <c r="AF407">
        <f>IF(OR($E407="",$E406=""),"",IF(AND(($D406-$D407)&gt;($C407-$C406),($D406-$D407)&gt;0),$D406-$D407,0))</f>
        <v>0</v>
      </c>
      <c r="AG407">
        <f>IF(COUNT($E$2:$E407)&lt;15,"",IF(SUM($AC$394:$AC$407)=0,0,100*SUM($AE$394:$AE$407)/SUM($AC$394:$AC$407)))</f>
        <v>0</v>
      </c>
      <c r="AH407">
        <f>IF(COUNT($E$2:$E407)&lt;15,"",IF(SUM($AC$394:$AC$407)=0,0,100*SUM($AF$394:$AF$407)/SUM($AC$394:$AC$407)))</f>
        <v>0</v>
      </c>
      <c r="AI407">
        <f>IF(OR(AG407="",AH407=""),"",IF((AG407+AH407)=0,0,100*ABS(AG407-AH407)/(AG407+AH407)))</f>
        <v>0</v>
      </c>
      <c r="AJ407">
        <f>IF(COUNT($AI$394:$AI$407)&lt;14,"",AVERAGE($AI$394:$AI$407))</f>
        <v>0</v>
      </c>
      <c r="AK407">
        <f>IF(COUNT($E$2:$E407)&lt;20,"",AVERAGE($E$388:$E$407))</f>
        <v>0</v>
      </c>
      <c r="AL407">
        <f>IF(COUNT($E$2:$E407)&lt;20,"",STDEVP($E$388:$E$407))</f>
        <v>0</v>
      </c>
      <c r="AM407">
        <f>IF(AK407="","",AK407+2*AL407)</f>
        <v>0</v>
      </c>
      <c r="AN407">
        <f>IF(AK407="","",AK407-2*AL407)</f>
        <v>0</v>
      </c>
      <c r="AO407">
        <f>IF(OR(AM407="",AN407="",AM407=AN407),"",($E407-AN407)/(AM407-AN407))</f>
        <v>0</v>
      </c>
      <c r="AP407">
        <f>IF(OR(AM407="",AK407="",AK407=0),"",(AM407-AN407)/AK407)</f>
        <v>0</v>
      </c>
      <c r="AQ407">
        <f>IF(COUNT($E$2:$E407)&lt;20,"",MAX($C$388:$C$407))</f>
        <v>0</v>
      </c>
      <c r="AR407">
        <f>IF(COUNT($E$2:$E407)&lt;20,"",MIN($D$388:$D$407))</f>
        <v>0</v>
      </c>
      <c r="AS407">
        <f>IF(OR(AQ407="",AR407=""),"",(AQ407+AR407)/2)</f>
        <v>0</v>
      </c>
      <c r="AT407">
        <f>IF(COUNT($G$388:$G$407)&lt;20,"",STDEV($G$388:$G$407)*SQRT(252))</f>
        <v>0</v>
      </c>
      <c r="AU407">
        <f>IF(COUNT($E$2:$E407)&lt;9,"",(MAX($C$399:$C$407)+MIN($D$399:$D$407))/2)</f>
        <v>0</v>
      </c>
      <c r="AV407">
        <f>IF(COUNT($E$2:$E407)&lt;26,"",(MAX($C$382:$C$407)+MIN($D$382:$D$407))/2)</f>
        <v>0</v>
      </c>
      <c r="AW407">
        <f>IF(OR(AU407="",AV407=""),"",(AU407+AV407)/2)</f>
        <v>0</v>
      </c>
      <c r="AX407">
        <f>IF(COUNT($E$2:$E407)&lt;52,"",(MAX($C$356:$C$407)+MIN($D$356:$D$407))/2)</f>
        <v>0</v>
      </c>
      <c r="AY407">
        <f>IF(COUNT($E$2:$E407)&lt;20,"",MAX($C$308:$C$407))</f>
        <v>0</v>
      </c>
      <c r="AZ407">
        <f>IF(COUNT($E$2:$E407)&lt;20,"",MIN($D$308:$D$407))</f>
        <v>0</v>
      </c>
      <c r="BA407">
        <f>IF(COUNT($E$2:$E407)&lt;20,"",SLOPE($E$308:$E$407,$F$308:$F$407))</f>
        <v>0</v>
      </c>
      <c r="BB407">
        <f>IF(COUNT($E$2:$E407)&lt;20,"",INTERCEPT($E$308:$E$407,$F$308:$F$407))</f>
        <v>0</v>
      </c>
      <c r="BC407">
        <f>IF(OR(BA407="",BB407=""),"",BB407+BA407*F407)</f>
        <v>0</v>
      </c>
      <c r="BD407">
        <f>IF(COUNT($E$2:$E407)&lt;20,"",STEYX($E$308:$E$407,$F$308:$F$407))</f>
        <v>0</v>
      </c>
      <c r="BE407">
        <f>IF($E407="","",IF(AND(COUNT($E$408:$E$411)&gt;=4,$C407=MAX($C$403:$C$411)),$C407,""))</f>
        <v>0</v>
      </c>
      <c r="BF407">
        <f>IF($E407="","",IF(AND(COUNT($E$408:$E$411)&gt;=4,$D407=MIN($D$403:$D$411)),$D407,""))</f>
        <v>0</v>
      </c>
      <c r="BG407">
        <f>IF($A407="","",$A407-WEEKDAY($A407,2)+1)</f>
        <v>0</v>
      </c>
      <c r="BH407">
        <f>IF($A407="","",IF($A406="",1,IF(BG407&lt;&gt;BG406,1,0)))</f>
        <v>0</v>
      </c>
      <c r="BI407">
        <f>IF($A407="","",IF($A408="",1,IF(BG408&lt;&gt;BG407,1,0)))</f>
        <v>0</v>
      </c>
      <c r="BJ407">
        <f>IF($A407="","",IF(BH407=1,$B407,BJ406))</f>
        <v>0</v>
      </c>
      <c r="BK407">
        <f>IF($A407="","",IF(BH407=1,$C407,MAX($C407,BK406)))</f>
        <v>0</v>
      </c>
      <c r="BL407">
        <f>IF($A407="","",IF(BH407=1,$D407,MIN($D407,BL406)))</f>
        <v>0</v>
      </c>
      <c r="BM407">
        <f>IF($A407="","",IF(BI407=1,F407,""))</f>
        <v>0</v>
      </c>
      <c r="BN407">
        <f>IF($A407="","",DATE(YEAR($A407),MONTH($A407),1))</f>
        <v>0</v>
      </c>
      <c r="BO407">
        <f>IF($A407="","",IF($A406="",1,IF(BN407&lt;&gt;BN406,1,0)))</f>
        <v>0</v>
      </c>
      <c r="BP407">
        <f>IF($A407="","",IF($A408="",1,IF(BN408&lt;&gt;BN407,1,0)))</f>
        <v>0</v>
      </c>
      <c r="BQ407">
        <f>IF($A407="","",IF(BO407=1,$B407,BQ406))</f>
        <v>0</v>
      </c>
      <c r="BR407">
        <f>IF($A407="","",IF(BO407=1,$C407,MAX($C407,BR406)))</f>
        <v>0</v>
      </c>
      <c r="BS407">
        <f>IF($A407="","",IF(BO407=1,$D407,MIN($D407,BS406)))</f>
        <v>0</v>
      </c>
      <c r="BT407">
        <f>IF($A407="","",IF(BP407=1,F407,""))</f>
        <v>0</v>
      </c>
    </row>
    <row r="408" spans="1:72">
      <c r="A408" s="27">
        <f>IF(Data!$A408="","",Data!$A408)</f>
        <v>0</v>
      </c>
      <c r="B408">
        <f>IF(Data!$B408="","",Data!$B408)</f>
        <v>0</v>
      </c>
      <c r="C408">
        <f>IF(Data!$C408="","",Data!$C408)</f>
        <v>0</v>
      </c>
      <c r="D408">
        <f>IF(Data!$D408="","",Data!$D408)</f>
        <v>0</v>
      </c>
      <c r="E408">
        <f>IF(Data!$E408="","",Data!$E408)</f>
        <v>0</v>
      </c>
      <c r="F408">
        <f>IF($E408="","",N(F407)+1)</f>
        <v>0</v>
      </c>
      <c r="G408">
        <f>IF(OR($E408="",$E407=""),"",LN($E408/$E407))</f>
        <v>0</v>
      </c>
      <c r="H408">
        <f>IF($E408="","",IF($E407="",$E408,$E408*0.0952380952+H407*0.9047619048))</f>
        <v>0</v>
      </c>
      <c r="I408">
        <f>IF($E408="","",IF($E407="",$E408,$E408*0.0392156863+I407*0.9607843137))</f>
        <v>0</v>
      </c>
      <c r="J408">
        <f>IF($E408="","",IF($E407="",$E408,$E408*0.0198019802+J407*0.9801980198))</f>
        <v>0</v>
      </c>
      <c r="K408">
        <f>IF($E408="","",IF($E407="",$E408,$E408*0.0099502488+K407*0.9900497512))</f>
        <v>0</v>
      </c>
      <c r="L408">
        <f>IF(OR($E408="",$E407=""),"",MAX($E408-$E407,0))</f>
        <v>0</v>
      </c>
      <c r="M408">
        <f>IF(OR($E408="",$E407=""),"",MAX($E407-$E408,0))</f>
        <v>0</v>
      </c>
      <c r="N408">
        <f>IF(COUNT($E$2:$E408)&lt;15,"",IF(AVERAGE($M$395:$M$408)=0,100,100-100/(1+AVERAGE($L$395:$L$408)/AVERAGE($M$395:$M$408))))</f>
        <v>0</v>
      </c>
      <c r="O408">
        <f>IF($E408="","",IF($E407="",$E408,$E408*0.1538461538+O407*0.8461538462))</f>
        <v>0</v>
      </c>
      <c r="P408">
        <f>IF($E408="","",IF($E407="",$E408,$E408*0.0740740741+P407*0.9259259259))</f>
        <v>0</v>
      </c>
      <c r="Q408">
        <f>IF(OR(O408="",P408=""),"",O408-P408)</f>
        <v>0</v>
      </c>
      <c r="R408">
        <f>IF(Q408="","",IF(R407="",Q408,Q408*0.2000000000+R407*0.8000000000))</f>
        <v>0</v>
      </c>
      <c r="S408">
        <f>IF(OR(Q408="",R408=""),"",Q408-R408)</f>
        <v>0</v>
      </c>
      <c r="T408">
        <f>IF(COUNT($E$2:$E408)&lt;14,"",MAX($C$395:$C$408))</f>
        <v>0</v>
      </c>
      <c r="U408">
        <f>IF(COUNT($E$2:$E408)&lt;14,"",MIN($D$395:$D$408))</f>
        <v>0</v>
      </c>
      <c r="V408">
        <f>IF(OR(T408="",U408="",T408=U408),"",100*($E408-U408)/(T408-U408))</f>
        <v>0</v>
      </c>
      <c r="W408">
        <f>IF(COUNT($V$406:$V$408)&lt;3,"",AVERAGE($V$406:$V$408))</f>
        <v>0</v>
      </c>
      <c r="X408">
        <f>IF(COUNT($N$395:$N$408)&lt;14,"",MIN($N$395:$N$408))</f>
        <v>0</v>
      </c>
      <c r="Y408">
        <f>IF(COUNT($N$395:$N$408)&lt;14,"",MAX($N$395:$N$408))</f>
        <v>0</v>
      </c>
      <c r="Z408">
        <f>IF(OR(N408="",X408="",Y408="",Y408=X408),"",100*(N408-X408)/(Y408-X408))</f>
        <v>0</v>
      </c>
      <c r="AA408">
        <f>IF(COUNT($Z$406:$Z$408)&lt;3,"",AVERAGE($Z$406:$Z$408))</f>
        <v>0</v>
      </c>
      <c r="AB408">
        <f>IF(COUNT($AA$406:$AA$408)&lt;3,"",AVERAGE($AA$406:$AA$408))</f>
        <v>0</v>
      </c>
      <c r="AC408">
        <f>IF($E408="","",MAX($C408-$D408,ABS($C408-$E407),ABS($D408-$E407)))</f>
        <v>0</v>
      </c>
      <c r="AD408">
        <f>IF(COUNT($E$2:$E408)&lt;15,"",AVERAGE($AC$395:$AC$408))</f>
        <v>0</v>
      </c>
      <c r="AE408">
        <f>IF(OR($E408="",$E407=""),"",IF(AND(($C408-$C407)&gt;($D407-$D408),($C408-$C407)&gt;0),$C408-$C407,0))</f>
        <v>0</v>
      </c>
      <c r="AF408">
        <f>IF(OR($E408="",$E407=""),"",IF(AND(($D407-$D408)&gt;($C408-$C407),($D407-$D408)&gt;0),$D407-$D408,0))</f>
        <v>0</v>
      </c>
      <c r="AG408">
        <f>IF(COUNT($E$2:$E408)&lt;15,"",IF(SUM($AC$395:$AC$408)=0,0,100*SUM($AE$395:$AE$408)/SUM($AC$395:$AC$408)))</f>
        <v>0</v>
      </c>
      <c r="AH408">
        <f>IF(COUNT($E$2:$E408)&lt;15,"",IF(SUM($AC$395:$AC$408)=0,0,100*SUM($AF$395:$AF$408)/SUM($AC$395:$AC$408)))</f>
        <v>0</v>
      </c>
      <c r="AI408">
        <f>IF(OR(AG408="",AH408=""),"",IF((AG408+AH408)=0,0,100*ABS(AG408-AH408)/(AG408+AH408)))</f>
        <v>0</v>
      </c>
      <c r="AJ408">
        <f>IF(COUNT($AI$395:$AI$408)&lt;14,"",AVERAGE($AI$395:$AI$408))</f>
        <v>0</v>
      </c>
      <c r="AK408">
        <f>IF(COUNT($E$2:$E408)&lt;20,"",AVERAGE($E$389:$E$408))</f>
        <v>0</v>
      </c>
      <c r="AL408">
        <f>IF(COUNT($E$2:$E408)&lt;20,"",STDEVP($E$389:$E$408))</f>
        <v>0</v>
      </c>
      <c r="AM408">
        <f>IF(AK408="","",AK408+2*AL408)</f>
        <v>0</v>
      </c>
      <c r="AN408">
        <f>IF(AK408="","",AK408-2*AL408)</f>
        <v>0</v>
      </c>
      <c r="AO408">
        <f>IF(OR(AM408="",AN408="",AM408=AN408),"",($E408-AN408)/(AM408-AN408))</f>
        <v>0</v>
      </c>
      <c r="AP408">
        <f>IF(OR(AM408="",AK408="",AK408=0),"",(AM408-AN408)/AK408)</f>
        <v>0</v>
      </c>
      <c r="AQ408">
        <f>IF(COUNT($E$2:$E408)&lt;20,"",MAX($C$389:$C$408))</f>
        <v>0</v>
      </c>
      <c r="AR408">
        <f>IF(COUNT($E$2:$E408)&lt;20,"",MIN($D$389:$D$408))</f>
        <v>0</v>
      </c>
      <c r="AS408">
        <f>IF(OR(AQ408="",AR408=""),"",(AQ408+AR408)/2)</f>
        <v>0</v>
      </c>
      <c r="AT408">
        <f>IF(COUNT($G$389:$G$408)&lt;20,"",STDEV($G$389:$G$408)*SQRT(252))</f>
        <v>0</v>
      </c>
      <c r="AU408">
        <f>IF(COUNT($E$2:$E408)&lt;9,"",(MAX($C$400:$C$408)+MIN($D$400:$D$408))/2)</f>
        <v>0</v>
      </c>
      <c r="AV408">
        <f>IF(COUNT($E$2:$E408)&lt;26,"",(MAX($C$383:$C$408)+MIN($D$383:$D$408))/2)</f>
        <v>0</v>
      </c>
      <c r="AW408">
        <f>IF(OR(AU408="",AV408=""),"",(AU408+AV408)/2)</f>
        <v>0</v>
      </c>
      <c r="AX408">
        <f>IF(COUNT($E$2:$E408)&lt;52,"",(MAX($C$357:$C$408)+MIN($D$357:$D$408))/2)</f>
        <v>0</v>
      </c>
      <c r="AY408">
        <f>IF(COUNT($E$2:$E408)&lt;20,"",MAX($C$309:$C$408))</f>
        <v>0</v>
      </c>
      <c r="AZ408">
        <f>IF(COUNT($E$2:$E408)&lt;20,"",MIN($D$309:$D$408))</f>
        <v>0</v>
      </c>
      <c r="BA408">
        <f>IF(COUNT($E$2:$E408)&lt;20,"",SLOPE($E$309:$E$408,$F$309:$F$408))</f>
        <v>0</v>
      </c>
      <c r="BB408">
        <f>IF(COUNT($E$2:$E408)&lt;20,"",INTERCEPT($E$309:$E$408,$F$309:$F$408))</f>
        <v>0</v>
      </c>
      <c r="BC408">
        <f>IF(OR(BA408="",BB408=""),"",BB408+BA408*F408)</f>
        <v>0</v>
      </c>
      <c r="BD408">
        <f>IF(COUNT($E$2:$E408)&lt;20,"",STEYX($E$309:$E$408,$F$309:$F$408))</f>
        <v>0</v>
      </c>
      <c r="BE408">
        <f>IF($E408="","",IF(AND(COUNT($E$409:$E$412)&gt;=4,$C408=MAX($C$404:$C$412)),$C408,""))</f>
        <v>0</v>
      </c>
      <c r="BF408">
        <f>IF($E408="","",IF(AND(COUNT($E$409:$E$412)&gt;=4,$D408=MIN($D$404:$D$412)),$D408,""))</f>
        <v>0</v>
      </c>
      <c r="BG408">
        <f>IF($A408="","",$A408-WEEKDAY($A408,2)+1)</f>
        <v>0</v>
      </c>
      <c r="BH408">
        <f>IF($A408="","",IF($A407="",1,IF(BG408&lt;&gt;BG407,1,0)))</f>
        <v>0</v>
      </c>
      <c r="BI408">
        <f>IF($A408="","",IF($A409="",1,IF(BG409&lt;&gt;BG408,1,0)))</f>
        <v>0</v>
      </c>
      <c r="BJ408">
        <f>IF($A408="","",IF(BH408=1,$B408,BJ407))</f>
        <v>0</v>
      </c>
      <c r="BK408">
        <f>IF($A408="","",IF(BH408=1,$C408,MAX($C408,BK407)))</f>
        <v>0</v>
      </c>
      <c r="BL408">
        <f>IF($A408="","",IF(BH408=1,$D408,MIN($D408,BL407)))</f>
        <v>0</v>
      </c>
      <c r="BM408">
        <f>IF($A408="","",IF(BI408=1,F408,""))</f>
        <v>0</v>
      </c>
      <c r="BN408">
        <f>IF($A408="","",DATE(YEAR($A408),MONTH($A408),1))</f>
        <v>0</v>
      </c>
      <c r="BO408">
        <f>IF($A408="","",IF($A407="",1,IF(BN408&lt;&gt;BN407,1,0)))</f>
        <v>0</v>
      </c>
      <c r="BP408">
        <f>IF($A408="","",IF($A409="",1,IF(BN409&lt;&gt;BN408,1,0)))</f>
        <v>0</v>
      </c>
      <c r="BQ408">
        <f>IF($A408="","",IF(BO408=1,$B408,BQ407))</f>
        <v>0</v>
      </c>
      <c r="BR408">
        <f>IF($A408="","",IF(BO408=1,$C408,MAX($C408,BR407)))</f>
        <v>0</v>
      </c>
      <c r="BS408">
        <f>IF($A408="","",IF(BO408=1,$D408,MIN($D408,BS407)))</f>
        <v>0</v>
      </c>
      <c r="BT408">
        <f>IF($A408="","",IF(BP408=1,F408,""))</f>
        <v>0</v>
      </c>
    </row>
    <row r="409" spans="1:72">
      <c r="A409" s="27">
        <f>IF(Data!$A409="","",Data!$A409)</f>
        <v>0</v>
      </c>
      <c r="B409">
        <f>IF(Data!$B409="","",Data!$B409)</f>
        <v>0</v>
      </c>
      <c r="C409">
        <f>IF(Data!$C409="","",Data!$C409)</f>
        <v>0</v>
      </c>
      <c r="D409">
        <f>IF(Data!$D409="","",Data!$D409)</f>
        <v>0</v>
      </c>
      <c r="E409">
        <f>IF(Data!$E409="","",Data!$E409)</f>
        <v>0</v>
      </c>
      <c r="F409">
        <f>IF($E409="","",N(F408)+1)</f>
        <v>0</v>
      </c>
      <c r="G409">
        <f>IF(OR($E409="",$E408=""),"",LN($E409/$E408))</f>
        <v>0</v>
      </c>
      <c r="H409">
        <f>IF($E409="","",IF($E408="",$E409,$E409*0.0952380952+H408*0.9047619048))</f>
        <v>0</v>
      </c>
      <c r="I409">
        <f>IF($E409="","",IF($E408="",$E409,$E409*0.0392156863+I408*0.9607843137))</f>
        <v>0</v>
      </c>
      <c r="J409">
        <f>IF($E409="","",IF($E408="",$E409,$E409*0.0198019802+J408*0.9801980198))</f>
        <v>0</v>
      </c>
      <c r="K409">
        <f>IF($E409="","",IF($E408="",$E409,$E409*0.0099502488+K408*0.9900497512))</f>
        <v>0</v>
      </c>
      <c r="L409">
        <f>IF(OR($E409="",$E408=""),"",MAX($E409-$E408,0))</f>
        <v>0</v>
      </c>
      <c r="M409">
        <f>IF(OR($E409="",$E408=""),"",MAX($E408-$E409,0))</f>
        <v>0</v>
      </c>
      <c r="N409">
        <f>IF(COUNT($E$2:$E409)&lt;15,"",IF(AVERAGE($M$396:$M$409)=0,100,100-100/(1+AVERAGE($L$396:$L$409)/AVERAGE($M$396:$M$409))))</f>
        <v>0</v>
      </c>
      <c r="O409">
        <f>IF($E409="","",IF($E408="",$E409,$E409*0.1538461538+O408*0.8461538462))</f>
        <v>0</v>
      </c>
      <c r="P409">
        <f>IF($E409="","",IF($E408="",$E409,$E409*0.0740740741+P408*0.9259259259))</f>
        <v>0</v>
      </c>
      <c r="Q409">
        <f>IF(OR(O409="",P409=""),"",O409-P409)</f>
        <v>0</v>
      </c>
      <c r="R409">
        <f>IF(Q409="","",IF(R408="",Q409,Q409*0.2000000000+R408*0.8000000000))</f>
        <v>0</v>
      </c>
      <c r="S409">
        <f>IF(OR(Q409="",R409=""),"",Q409-R409)</f>
        <v>0</v>
      </c>
      <c r="T409">
        <f>IF(COUNT($E$2:$E409)&lt;14,"",MAX($C$396:$C$409))</f>
        <v>0</v>
      </c>
      <c r="U409">
        <f>IF(COUNT($E$2:$E409)&lt;14,"",MIN($D$396:$D$409))</f>
        <v>0</v>
      </c>
      <c r="V409">
        <f>IF(OR(T409="",U409="",T409=U409),"",100*($E409-U409)/(T409-U409))</f>
        <v>0</v>
      </c>
      <c r="W409">
        <f>IF(COUNT($V$407:$V$409)&lt;3,"",AVERAGE($V$407:$V$409))</f>
        <v>0</v>
      </c>
      <c r="X409">
        <f>IF(COUNT($N$396:$N$409)&lt;14,"",MIN($N$396:$N$409))</f>
        <v>0</v>
      </c>
      <c r="Y409">
        <f>IF(COUNT($N$396:$N$409)&lt;14,"",MAX($N$396:$N$409))</f>
        <v>0</v>
      </c>
      <c r="Z409">
        <f>IF(OR(N409="",X409="",Y409="",Y409=X409),"",100*(N409-X409)/(Y409-X409))</f>
        <v>0</v>
      </c>
      <c r="AA409">
        <f>IF(COUNT($Z$407:$Z$409)&lt;3,"",AVERAGE($Z$407:$Z$409))</f>
        <v>0</v>
      </c>
      <c r="AB409">
        <f>IF(COUNT($AA$407:$AA$409)&lt;3,"",AVERAGE($AA$407:$AA$409))</f>
        <v>0</v>
      </c>
      <c r="AC409">
        <f>IF($E409="","",MAX($C409-$D409,ABS($C409-$E408),ABS($D409-$E408)))</f>
        <v>0</v>
      </c>
      <c r="AD409">
        <f>IF(COUNT($E$2:$E409)&lt;15,"",AVERAGE($AC$396:$AC$409))</f>
        <v>0</v>
      </c>
      <c r="AE409">
        <f>IF(OR($E409="",$E408=""),"",IF(AND(($C409-$C408)&gt;($D408-$D409),($C409-$C408)&gt;0),$C409-$C408,0))</f>
        <v>0</v>
      </c>
      <c r="AF409">
        <f>IF(OR($E409="",$E408=""),"",IF(AND(($D408-$D409)&gt;($C409-$C408),($D408-$D409)&gt;0),$D408-$D409,0))</f>
        <v>0</v>
      </c>
      <c r="AG409">
        <f>IF(COUNT($E$2:$E409)&lt;15,"",IF(SUM($AC$396:$AC$409)=0,0,100*SUM($AE$396:$AE$409)/SUM($AC$396:$AC$409)))</f>
        <v>0</v>
      </c>
      <c r="AH409">
        <f>IF(COUNT($E$2:$E409)&lt;15,"",IF(SUM($AC$396:$AC$409)=0,0,100*SUM($AF$396:$AF$409)/SUM($AC$396:$AC$409)))</f>
        <v>0</v>
      </c>
      <c r="AI409">
        <f>IF(OR(AG409="",AH409=""),"",IF((AG409+AH409)=0,0,100*ABS(AG409-AH409)/(AG409+AH409)))</f>
        <v>0</v>
      </c>
      <c r="AJ409">
        <f>IF(COUNT($AI$396:$AI$409)&lt;14,"",AVERAGE($AI$396:$AI$409))</f>
        <v>0</v>
      </c>
      <c r="AK409">
        <f>IF(COUNT($E$2:$E409)&lt;20,"",AVERAGE($E$390:$E$409))</f>
        <v>0</v>
      </c>
      <c r="AL409">
        <f>IF(COUNT($E$2:$E409)&lt;20,"",STDEVP($E$390:$E$409))</f>
        <v>0</v>
      </c>
      <c r="AM409">
        <f>IF(AK409="","",AK409+2*AL409)</f>
        <v>0</v>
      </c>
      <c r="AN409">
        <f>IF(AK409="","",AK409-2*AL409)</f>
        <v>0</v>
      </c>
      <c r="AO409">
        <f>IF(OR(AM409="",AN409="",AM409=AN409),"",($E409-AN409)/(AM409-AN409))</f>
        <v>0</v>
      </c>
      <c r="AP409">
        <f>IF(OR(AM409="",AK409="",AK409=0),"",(AM409-AN409)/AK409)</f>
        <v>0</v>
      </c>
      <c r="AQ409">
        <f>IF(COUNT($E$2:$E409)&lt;20,"",MAX($C$390:$C$409))</f>
        <v>0</v>
      </c>
      <c r="AR409">
        <f>IF(COUNT($E$2:$E409)&lt;20,"",MIN($D$390:$D$409))</f>
        <v>0</v>
      </c>
      <c r="AS409">
        <f>IF(OR(AQ409="",AR409=""),"",(AQ409+AR409)/2)</f>
        <v>0</v>
      </c>
      <c r="AT409">
        <f>IF(COUNT($G$390:$G$409)&lt;20,"",STDEV($G$390:$G$409)*SQRT(252))</f>
        <v>0</v>
      </c>
      <c r="AU409">
        <f>IF(COUNT($E$2:$E409)&lt;9,"",(MAX($C$401:$C$409)+MIN($D$401:$D$409))/2)</f>
        <v>0</v>
      </c>
      <c r="AV409">
        <f>IF(COUNT($E$2:$E409)&lt;26,"",(MAX($C$384:$C$409)+MIN($D$384:$D$409))/2)</f>
        <v>0</v>
      </c>
      <c r="AW409">
        <f>IF(OR(AU409="",AV409=""),"",(AU409+AV409)/2)</f>
        <v>0</v>
      </c>
      <c r="AX409">
        <f>IF(COUNT($E$2:$E409)&lt;52,"",(MAX($C$358:$C$409)+MIN($D$358:$D$409))/2)</f>
        <v>0</v>
      </c>
      <c r="AY409">
        <f>IF(COUNT($E$2:$E409)&lt;20,"",MAX($C$310:$C$409))</f>
        <v>0</v>
      </c>
      <c r="AZ409">
        <f>IF(COUNT($E$2:$E409)&lt;20,"",MIN($D$310:$D$409))</f>
        <v>0</v>
      </c>
      <c r="BA409">
        <f>IF(COUNT($E$2:$E409)&lt;20,"",SLOPE($E$310:$E$409,$F$310:$F$409))</f>
        <v>0</v>
      </c>
      <c r="BB409">
        <f>IF(COUNT($E$2:$E409)&lt;20,"",INTERCEPT($E$310:$E$409,$F$310:$F$409))</f>
        <v>0</v>
      </c>
      <c r="BC409">
        <f>IF(OR(BA409="",BB409=""),"",BB409+BA409*F409)</f>
        <v>0</v>
      </c>
      <c r="BD409">
        <f>IF(COUNT($E$2:$E409)&lt;20,"",STEYX($E$310:$E$409,$F$310:$F$409))</f>
        <v>0</v>
      </c>
      <c r="BE409">
        <f>IF($E409="","",IF(AND(COUNT($E$410:$E$413)&gt;=4,$C409=MAX($C$405:$C$413)),$C409,""))</f>
        <v>0</v>
      </c>
      <c r="BF409">
        <f>IF($E409="","",IF(AND(COUNT($E$410:$E$413)&gt;=4,$D409=MIN($D$405:$D$413)),$D409,""))</f>
        <v>0</v>
      </c>
      <c r="BG409">
        <f>IF($A409="","",$A409-WEEKDAY($A409,2)+1)</f>
        <v>0</v>
      </c>
      <c r="BH409">
        <f>IF($A409="","",IF($A408="",1,IF(BG409&lt;&gt;BG408,1,0)))</f>
        <v>0</v>
      </c>
      <c r="BI409">
        <f>IF($A409="","",IF($A410="",1,IF(BG410&lt;&gt;BG409,1,0)))</f>
        <v>0</v>
      </c>
      <c r="BJ409">
        <f>IF($A409="","",IF(BH409=1,$B409,BJ408))</f>
        <v>0</v>
      </c>
      <c r="BK409">
        <f>IF($A409="","",IF(BH409=1,$C409,MAX($C409,BK408)))</f>
        <v>0</v>
      </c>
      <c r="BL409">
        <f>IF($A409="","",IF(BH409=1,$D409,MIN($D409,BL408)))</f>
        <v>0</v>
      </c>
      <c r="BM409">
        <f>IF($A409="","",IF(BI409=1,F409,""))</f>
        <v>0</v>
      </c>
      <c r="BN409">
        <f>IF($A409="","",DATE(YEAR($A409),MONTH($A409),1))</f>
        <v>0</v>
      </c>
      <c r="BO409">
        <f>IF($A409="","",IF($A408="",1,IF(BN409&lt;&gt;BN408,1,0)))</f>
        <v>0</v>
      </c>
      <c r="BP409">
        <f>IF($A409="","",IF($A410="",1,IF(BN410&lt;&gt;BN409,1,0)))</f>
        <v>0</v>
      </c>
      <c r="BQ409">
        <f>IF($A409="","",IF(BO409=1,$B409,BQ408))</f>
        <v>0</v>
      </c>
      <c r="BR409">
        <f>IF($A409="","",IF(BO409=1,$C409,MAX($C409,BR408)))</f>
        <v>0</v>
      </c>
      <c r="BS409">
        <f>IF($A409="","",IF(BO409=1,$D409,MIN($D409,BS408)))</f>
        <v>0</v>
      </c>
      <c r="BT409">
        <f>IF($A409="","",IF(BP409=1,F409,""))</f>
        <v>0</v>
      </c>
    </row>
    <row r="410" spans="1:72">
      <c r="A410" s="27">
        <f>IF(Data!$A410="","",Data!$A410)</f>
        <v>0</v>
      </c>
      <c r="B410">
        <f>IF(Data!$B410="","",Data!$B410)</f>
        <v>0</v>
      </c>
      <c r="C410">
        <f>IF(Data!$C410="","",Data!$C410)</f>
        <v>0</v>
      </c>
      <c r="D410">
        <f>IF(Data!$D410="","",Data!$D410)</f>
        <v>0</v>
      </c>
      <c r="E410">
        <f>IF(Data!$E410="","",Data!$E410)</f>
        <v>0</v>
      </c>
      <c r="F410">
        <f>IF($E410="","",N(F409)+1)</f>
        <v>0</v>
      </c>
      <c r="G410">
        <f>IF(OR($E410="",$E409=""),"",LN($E410/$E409))</f>
        <v>0</v>
      </c>
      <c r="H410">
        <f>IF($E410="","",IF($E409="",$E410,$E410*0.0952380952+H409*0.9047619048))</f>
        <v>0</v>
      </c>
      <c r="I410">
        <f>IF($E410="","",IF($E409="",$E410,$E410*0.0392156863+I409*0.9607843137))</f>
        <v>0</v>
      </c>
      <c r="J410">
        <f>IF($E410="","",IF($E409="",$E410,$E410*0.0198019802+J409*0.9801980198))</f>
        <v>0</v>
      </c>
      <c r="K410">
        <f>IF($E410="","",IF($E409="",$E410,$E410*0.0099502488+K409*0.9900497512))</f>
        <v>0</v>
      </c>
      <c r="L410">
        <f>IF(OR($E410="",$E409=""),"",MAX($E410-$E409,0))</f>
        <v>0</v>
      </c>
      <c r="M410">
        <f>IF(OR($E410="",$E409=""),"",MAX($E409-$E410,0))</f>
        <v>0</v>
      </c>
      <c r="N410">
        <f>IF(COUNT($E$2:$E410)&lt;15,"",IF(AVERAGE($M$397:$M$410)=0,100,100-100/(1+AVERAGE($L$397:$L$410)/AVERAGE($M$397:$M$410))))</f>
        <v>0</v>
      </c>
      <c r="O410">
        <f>IF($E410="","",IF($E409="",$E410,$E410*0.1538461538+O409*0.8461538462))</f>
        <v>0</v>
      </c>
      <c r="P410">
        <f>IF($E410="","",IF($E409="",$E410,$E410*0.0740740741+P409*0.9259259259))</f>
        <v>0</v>
      </c>
      <c r="Q410">
        <f>IF(OR(O410="",P410=""),"",O410-P410)</f>
        <v>0</v>
      </c>
      <c r="R410">
        <f>IF(Q410="","",IF(R409="",Q410,Q410*0.2000000000+R409*0.8000000000))</f>
        <v>0</v>
      </c>
      <c r="S410">
        <f>IF(OR(Q410="",R410=""),"",Q410-R410)</f>
        <v>0</v>
      </c>
      <c r="T410">
        <f>IF(COUNT($E$2:$E410)&lt;14,"",MAX($C$397:$C$410))</f>
        <v>0</v>
      </c>
      <c r="U410">
        <f>IF(COUNT($E$2:$E410)&lt;14,"",MIN($D$397:$D$410))</f>
        <v>0</v>
      </c>
      <c r="V410">
        <f>IF(OR(T410="",U410="",T410=U410),"",100*($E410-U410)/(T410-U410))</f>
        <v>0</v>
      </c>
      <c r="W410">
        <f>IF(COUNT($V$408:$V$410)&lt;3,"",AVERAGE($V$408:$V$410))</f>
        <v>0</v>
      </c>
      <c r="X410">
        <f>IF(COUNT($N$397:$N$410)&lt;14,"",MIN($N$397:$N$410))</f>
        <v>0</v>
      </c>
      <c r="Y410">
        <f>IF(COUNT($N$397:$N$410)&lt;14,"",MAX($N$397:$N$410))</f>
        <v>0</v>
      </c>
      <c r="Z410">
        <f>IF(OR(N410="",X410="",Y410="",Y410=X410),"",100*(N410-X410)/(Y410-X410))</f>
        <v>0</v>
      </c>
      <c r="AA410">
        <f>IF(COUNT($Z$408:$Z$410)&lt;3,"",AVERAGE($Z$408:$Z$410))</f>
        <v>0</v>
      </c>
      <c r="AB410">
        <f>IF(COUNT($AA$408:$AA$410)&lt;3,"",AVERAGE($AA$408:$AA$410))</f>
        <v>0</v>
      </c>
      <c r="AC410">
        <f>IF($E410="","",MAX($C410-$D410,ABS($C410-$E409),ABS($D410-$E409)))</f>
        <v>0</v>
      </c>
      <c r="AD410">
        <f>IF(COUNT($E$2:$E410)&lt;15,"",AVERAGE($AC$397:$AC$410))</f>
        <v>0</v>
      </c>
      <c r="AE410">
        <f>IF(OR($E410="",$E409=""),"",IF(AND(($C410-$C409)&gt;($D409-$D410),($C410-$C409)&gt;0),$C410-$C409,0))</f>
        <v>0</v>
      </c>
      <c r="AF410">
        <f>IF(OR($E410="",$E409=""),"",IF(AND(($D409-$D410)&gt;($C410-$C409),($D409-$D410)&gt;0),$D409-$D410,0))</f>
        <v>0</v>
      </c>
      <c r="AG410">
        <f>IF(COUNT($E$2:$E410)&lt;15,"",IF(SUM($AC$397:$AC$410)=0,0,100*SUM($AE$397:$AE$410)/SUM($AC$397:$AC$410)))</f>
        <v>0</v>
      </c>
      <c r="AH410">
        <f>IF(COUNT($E$2:$E410)&lt;15,"",IF(SUM($AC$397:$AC$410)=0,0,100*SUM($AF$397:$AF$410)/SUM($AC$397:$AC$410)))</f>
        <v>0</v>
      </c>
      <c r="AI410">
        <f>IF(OR(AG410="",AH410=""),"",IF((AG410+AH410)=0,0,100*ABS(AG410-AH410)/(AG410+AH410)))</f>
        <v>0</v>
      </c>
      <c r="AJ410">
        <f>IF(COUNT($AI$397:$AI$410)&lt;14,"",AVERAGE($AI$397:$AI$410))</f>
        <v>0</v>
      </c>
      <c r="AK410">
        <f>IF(COUNT($E$2:$E410)&lt;20,"",AVERAGE($E$391:$E$410))</f>
        <v>0</v>
      </c>
      <c r="AL410">
        <f>IF(COUNT($E$2:$E410)&lt;20,"",STDEVP($E$391:$E$410))</f>
        <v>0</v>
      </c>
      <c r="AM410">
        <f>IF(AK410="","",AK410+2*AL410)</f>
        <v>0</v>
      </c>
      <c r="AN410">
        <f>IF(AK410="","",AK410-2*AL410)</f>
        <v>0</v>
      </c>
      <c r="AO410">
        <f>IF(OR(AM410="",AN410="",AM410=AN410),"",($E410-AN410)/(AM410-AN410))</f>
        <v>0</v>
      </c>
      <c r="AP410">
        <f>IF(OR(AM410="",AK410="",AK410=0),"",(AM410-AN410)/AK410)</f>
        <v>0</v>
      </c>
      <c r="AQ410">
        <f>IF(COUNT($E$2:$E410)&lt;20,"",MAX($C$391:$C$410))</f>
        <v>0</v>
      </c>
      <c r="AR410">
        <f>IF(COUNT($E$2:$E410)&lt;20,"",MIN($D$391:$D$410))</f>
        <v>0</v>
      </c>
      <c r="AS410">
        <f>IF(OR(AQ410="",AR410=""),"",(AQ410+AR410)/2)</f>
        <v>0</v>
      </c>
      <c r="AT410">
        <f>IF(COUNT($G$391:$G$410)&lt;20,"",STDEV($G$391:$G$410)*SQRT(252))</f>
        <v>0</v>
      </c>
      <c r="AU410">
        <f>IF(COUNT($E$2:$E410)&lt;9,"",(MAX($C$402:$C$410)+MIN($D$402:$D$410))/2)</f>
        <v>0</v>
      </c>
      <c r="AV410">
        <f>IF(COUNT($E$2:$E410)&lt;26,"",(MAX($C$385:$C$410)+MIN($D$385:$D$410))/2)</f>
        <v>0</v>
      </c>
      <c r="AW410">
        <f>IF(OR(AU410="",AV410=""),"",(AU410+AV410)/2)</f>
        <v>0</v>
      </c>
      <c r="AX410">
        <f>IF(COUNT($E$2:$E410)&lt;52,"",(MAX($C$359:$C$410)+MIN($D$359:$D$410))/2)</f>
        <v>0</v>
      </c>
      <c r="AY410">
        <f>IF(COUNT($E$2:$E410)&lt;20,"",MAX($C$311:$C$410))</f>
        <v>0</v>
      </c>
      <c r="AZ410">
        <f>IF(COUNT($E$2:$E410)&lt;20,"",MIN($D$311:$D$410))</f>
        <v>0</v>
      </c>
      <c r="BA410">
        <f>IF(COUNT($E$2:$E410)&lt;20,"",SLOPE($E$311:$E$410,$F$311:$F$410))</f>
        <v>0</v>
      </c>
      <c r="BB410">
        <f>IF(COUNT($E$2:$E410)&lt;20,"",INTERCEPT($E$311:$E$410,$F$311:$F$410))</f>
        <v>0</v>
      </c>
      <c r="BC410">
        <f>IF(OR(BA410="",BB410=""),"",BB410+BA410*F410)</f>
        <v>0</v>
      </c>
      <c r="BD410">
        <f>IF(COUNT($E$2:$E410)&lt;20,"",STEYX($E$311:$E$410,$F$311:$F$410))</f>
        <v>0</v>
      </c>
      <c r="BE410">
        <f>IF($E410="","",IF(AND(COUNT($E$411:$E$414)&gt;=4,$C410=MAX($C$406:$C$414)),$C410,""))</f>
        <v>0</v>
      </c>
      <c r="BF410">
        <f>IF($E410="","",IF(AND(COUNT($E$411:$E$414)&gt;=4,$D410=MIN($D$406:$D$414)),$D410,""))</f>
        <v>0</v>
      </c>
      <c r="BG410">
        <f>IF($A410="","",$A410-WEEKDAY($A410,2)+1)</f>
        <v>0</v>
      </c>
      <c r="BH410">
        <f>IF($A410="","",IF($A409="",1,IF(BG410&lt;&gt;BG409,1,0)))</f>
        <v>0</v>
      </c>
      <c r="BI410">
        <f>IF($A410="","",IF($A411="",1,IF(BG411&lt;&gt;BG410,1,0)))</f>
        <v>0</v>
      </c>
      <c r="BJ410">
        <f>IF($A410="","",IF(BH410=1,$B410,BJ409))</f>
        <v>0</v>
      </c>
      <c r="BK410">
        <f>IF($A410="","",IF(BH410=1,$C410,MAX($C410,BK409)))</f>
        <v>0</v>
      </c>
      <c r="BL410">
        <f>IF($A410="","",IF(BH410=1,$D410,MIN($D410,BL409)))</f>
        <v>0</v>
      </c>
      <c r="BM410">
        <f>IF($A410="","",IF(BI410=1,F410,""))</f>
        <v>0</v>
      </c>
      <c r="BN410">
        <f>IF($A410="","",DATE(YEAR($A410),MONTH($A410),1))</f>
        <v>0</v>
      </c>
      <c r="BO410">
        <f>IF($A410="","",IF($A409="",1,IF(BN410&lt;&gt;BN409,1,0)))</f>
        <v>0</v>
      </c>
      <c r="BP410">
        <f>IF($A410="","",IF($A411="",1,IF(BN411&lt;&gt;BN410,1,0)))</f>
        <v>0</v>
      </c>
      <c r="BQ410">
        <f>IF($A410="","",IF(BO410=1,$B410,BQ409))</f>
        <v>0</v>
      </c>
      <c r="BR410">
        <f>IF($A410="","",IF(BO410=1,$C410,MAX($C410,BR409)))</f>
        <v>0</v>
      </c>
      <c r="BS410">
        <f>IF($A410="","",IF(BO410=1,$D410,MIN($D410,BS409)))</f>
        <v>0</v>
      </c>
      <c r="BT410">
        <f>IF($A410="","",IF(BP410=1,F410,""))</f>
        <v>0</v>
      </c>
    </row>
    <row r="411" spans="1:72">
      <c r="A411" s="27">
        <f>IF(Data!$A411="","",Data!$A411)</f>
        <v>0</v>
      </c>
      <c r="B411">
        <f>IF(Data!$B411="","",Data!$B411)</f>
        <v>0</v>
      </c>
      <c r="C411">
        <f>IF(Data!$C411="","",Data!$C411)</f>
        <v>0</v>
      </c>
      <c r="D411">
        <f>IF(Data!$D411="","",Data!$D411)</f>
        <v>0</v>
      </c>
      <c r="E411">
        <f>IF(Data!$E411="","",Data!$E411)</f>
        <v>0</v>
      </c>
      <c r="F411">
        <f>IF($E411="","",N(F410)+1)</f>
        <v>0</v>
      </c>
      <c r="G411">
        <f>IF(OR($E411="",$E410=""),"",LN($E411/$E410))</f>
        <v>0</v>
      </c>
      <c r="H411">
        <f>IF($E411="","",IF($E410="",$E411,$E411*0.0952380952+H410*0.9047619048))</f>
        <v>0</v>
      </c>
      <c r="I411">
        <f>IF($E411="","",IF($E410="",$E411,$E411*0.0392156863+I410*0.9607843137))</f>
        <v>0</v>
      </c>
      <c r="J411">
        <f>IF($E411="","",IF($E410="",$E411,$E411*0.0198019802+J410*0.9801980198))</f>
        <v>0</v>
      </c>
      <c r="K411">
        <f>IF($E411="","",IF($E410="",$E411,$E411*0.0099502488+K410*0.9900497512))</f>
        <v>0</v>
      </c>
      <c r="L411">
        <f>IF(OR($E411="",$E410=""),"",MAX($E411-$E410,0))</f>
        <v>0</v>
      </c>
      <c r="M411">
        <f>IF(OR($E411="",$E410=""),"",MAX($E410-$E411,0))</f>
        <v>0</v>
      </c>
      <c r="N411">
        <f>IF(COUNT($E$2:$E411)&lt;15,"",IF(AVERAGE($M$398:$M$411)=0,100,100-100/(1+AVERAGE($L$398:$L$411)/AVERAGE($M$398:$M$411))))</f>
        <v>0</v>
      </c>
      <c r="O411">
        <f>IF($E411="","",IF($E410="",$E411,$E411*0.1538461538+O410*0.8461538462))</f>
        <v>0</v>
      </c>
      <c r="P411">
        <f>IF($E411="","",IF($E410="",$E411,$E411*0.0740740741+P410*0.9259259259))</f>
        <v>0</v>
      </c>
      <c r="Q411">
        <f>IF(OR(O411="",P411=""),"",O411-P411)</f>
        <v>0</v>
      </c>
      <c r="R411">
        <f>IF(Q411="","",IF(R410="",Q411,Q411*0.2000000000+R410*0.8000000000))</f>
        <v>0</v>
      </c>
      <c r="S411">
        <f>IF(OR(Q411="",R411=""),"",Q411-R411)</f>
        <v>0</v>
      </c>
      <c r="T411">
        <f>IF(COUNT($E$2:$E411)&lt;14,"",MAX($C$398:$C$411))</f>
        <v>0</v>
      </c>
      <c r="U411">
        <f>IF(COUNT($E$2:$E411)&lt;14,"",MIN($D$398:$D$411))</f>
        <v>0</v>
      </c>
      <c r="V411">
        <f>IF(OR(T411="",U411="",T411=U411),"",100*($E411-U411)/(T411-U411))</f>
        <v>0</v>
      </c>
      <c r="W411">
        <f>IF(COUNT($V$409:$V$411)&lt;3,"",AVERAGE($V$409:$V$411))</f>
        <v>0</v>
      </c>
      <c r="X411">
        <f>IF(COUNT($N$398:$N$411)&lt;14,"",MIN($N$398:$N$411))</f>
        <v>0</v>
      </c>
      <c r="Y411">
        <f>IF(COUNT($N$398:$N$411)&lt;14,"",MAX($N$398:$N$411))</f>
        <v>0</v>
      </c>
      <c r="Z411">
        <f>IF(OR(N411="",X411="",Y411="",Y411=X411),"",100*(N411-X411)/(Y411-X411))</f>
        <v>0</v>
      </c>
      <c r="AA411">
        <f>IF(COUNT($Z$409:$Z$411)&lt;3,"",AVERAGE($Z$409:$Z$411))</f>
        <v>0</v>
      </c>
      <c r="AB411">
        <f>IF(COUNT($AA$409:$AA$411)&lt;3,"",AVERAGE($AA$409:$AA$411))</f>
        <v>0</v>
      </c>
      <c r="AC411">
        <f>IF($E411="","",MAX($C411-$D411,ABS($C411-$E410),ABS($D411-$E410)))</f>
        <v>0</v>
      </c>
      <c r="AD411">
        <f>IF(COUNT($E$2:$E411)&lt;15,"",AVERAGE($AC$398:$AC$411))</f>
        <v>0</v>
      </c>
      <c r="AE411">
        <f>IF(OR($E411="",$E410=""),"",IF(AND(($C411-$C410)&gt;($D410-$D411),($C411-$C410)&gt;0),$C411-$C410,0))</f>
        <v>0</v>
      </c>
      <c r="AF411">
        <f>IF(OR($E411="",$E410=""),"",IF(AND(($D410-$D411)&gt;($C411-$C410),($D410-$D411)&gt;0),$D410-$D411,0))</f>
        <v>0</v>
      </c>
      <c r="AG411">
        <f>IF(COUNT($E$2:$E411)&lt;15,"",IF(SUM($AC$398:$AC$411)=0,0,100*SUM($AE$398:$AE$411)/SUM($AC$398:$AC$411)))</f>
        <v>0</v>
      </c>
      <c r="AH411">
        <f>IF(COUNT($E$2:$E411)&lt;15,"",IF(SUM($AC$398:$AC$411)=0,0,100*SUM($AF$398:$AF$411)/SUM($AC$398:$AC$411)))</f>
        <v>0</v>
      </c>
      <c r="AI411">
        <f>IF(OR(AG411="",AH411=""),"",IF((AG411+AH411)=0,0,100*ABS(AG411-AH411)/(AG411+AH411)))</f>
        <v>0</v>
      </c>
      <c r="AJ411">
        <f>IF(COUNT($AI$398:$AI$411)&lt;14,"",AVERAGE($AI$398:$AI$411))</f>
        <v>0</v>
      </c>
      <c r="AK411">
        <f>IF(COUNT($E$2:$E411)&lt;20,"",AVERAGE($E$392:$E$411))</f>
        <v>0</v>
      </c>
      <c r="AL411">
        <f>IF(COUNT($E$2:$E411)&lt;20,"",STDEVP($E$392:$E$411))</f>
        <v>0</v>
      </c>
      <c r="AM411">
        <f>IF(AK411="","",AK411+2*AL411)</f>
        <v>0</v>
      </c>
      <c r="AN411">
        <f>IF(AK411="","",AK411-2*AL411)</f>
        <v>0</v>
      </c>
      <c r="AO411">
        <f>IF(OR(AM411="",AN411="",AM411=AN411),"",($E411-AN411)/(AM411-AN411))</f>
        <v>0</v>
      </c>
      <c r="AP411">
        <f>IF(OR(AM411="",AK411="",AK411=0),"",(AM411-AN411)/AK411)</f>
        <v>0</v>
      </c>
      <c r="AQ411">
        <f>IF(COUNT($E$2:$E411)&lt;20,"",MAX($C$392:$C$411))</f>
        <v>0</v>
      </c>
      <c r="AR411">
        <f>IF(COUNT($E$2:$E411)&lt;20,"",MIN($D$392:$D$411))</f>
        <v>0</v>
      </c>
      <c r="AS411">
        <f>IF(OR(AQ411="",AR411=""),"",(AQ411+AR411)/2)</f>
        <v>0</v>
      </c>
      <c r="AT411">
        <f>IF(COUNT($G$392:$G$411)&lt;20,"",STDEV($G$392:$G$411)*SQRT(252))</f>
        <v>0</v>
      </c>
      <c r="AU411">
        <f>IF(COUNT($E$2:$E411)&lt;9,"",(MAX($C$403:$C$411)+MIN($D$403:$D$411))/2)</f>
        <v>0</v>
      </c>
      <c r="AV411">
        <f>IF(COUNT($E$2:$E411)&lt;26,"",(MAX($C$386:$C$411)+MIN($D$386:$D$411))/2)</f>
        <v>0</v>
      </c>
      <c r="AW411">
        <f>IF(OR(AU411="",AV411=""),"",(AU411+AV411)/2)</f>
        <v>0</v>
      </c>
      <c r="AX411">
        <f>IF(COUNT($E$2:$E411)&lt;52,"",(MAX($C$360:$C$411)+MIN($D$360:$D$411))/2)</f>
        <v>0</v>
      </c>
      <c r="AY411">
        <f>IF(COUNT($E$2:$E411)&lt;20,"",MAX($C$312:$C$411))</f>
        <v>0</v>
      </c>
      <c r="AZ411">
        <f>IF(COUNT($E$2:$E411)&lt;20,"",MIN($D$312:$D$411))</f>
        <v>0</v>
      </c>
      <c r="BA411">
        <f>IF(COUNT($E$2:$E411)&lt;20,"",SLOPE($E$312:$E$411,$F$312:$F$411))</f>
        <v>0</v>
      </c>
      <c r="BB411">
        <f>IF(COUNT($E$2:$E411)&lt;20,"",INTERCEPT($E$312:$E$411,$F$312:$F$411))</f>
        <v>0</v>
      </c>
      <c r="BC411">
        <f>IF(OR(BA411="",BB411=""),"",BB411+BA411*F411)</f>
        <v>0</v>
      </c>
      <c r="BD411">
        <f>IF(COUNT($E$2:$E411)&lt;20,"",STEYX($E$312:$E$411,$F$312:$F$411))</f>
        <v>0</v>
      </c>
      <c r="BE411">
        <f>IF($E411="","",IF(AND(COUNT($E$412:$E$415)&gt;=4,$C411=MAX($C$407:$C$415)),$C411,""))</f>
        <v>0</v>
      </c>
      <c r="BF411">
        <f>IF($E411="","",IF(AND(COUNT($E$412:$E$415)&gt;=4,$D411=MIN($D$407:$D$415)),$D411,""))</f>
        <v>0</v>
      </c>
      <c r="BG411">
        <f>IF($A411="","",$A411-WEEKDAY($A411,2)+1)</f>
        <v>0</v>
      </c>
      <c r="BH411">
        <f>IF($A411="","",IF($A410="",1,IF(BG411&lt;&gt;BG410,1,0)))</f>
        <v>0</v>
      </c>
      <c r="BI411">
        <f>IF($A411="","",IF($A412="",1,IF(BG412&lt;&gt;BG411,1,0)))</f>
        <v>0</v>
      </c>
      <c r="BJ411">
        <f>IF($A411="","",IF(BH411=1,$B411,BJ410))</f>
        <v>0</v>
      </c>
      <c r="BK411">
        <f>IF($A411="","",IF(BH411=1,$C411,MAX($C411,BK410)))</f>
        <v>0</v>
      </c>
      <c r="BL411">
        <f>IF($A411="","",IF(BH411=1,$D411,MIN($D411,BL410)))</f>
        <v>0</v>
      </c>
      <c r="BM411">
        <f>IF($A411="","",IF(BI411=1,F411,""))</f>
        <v>0</v>
      </c>
      <c r="BN411">
        <f>IF($A411="","",DATE(YEAR($A411),MONTH($A411),1))</f>
        <v>0</v>
      </c>
      <c r="BO411">
        <f>IF($A411="","",IF($A410="",1,IF(BN411&lt;&gt;BN410,1,0)))</f>
        <v>0</v>
      </c>
      <c r="BP411">
        <f>IF($A411="","",IF($A412="",1,IF(BN412&lt;&gt;BN411,1,0)))</f>
        <v>0</v>
      </c>
      <c r="BQ411">
        <f>IF($A411="","",IF(BO411=1,$B411,BQ410))</f>
        <v>0</v>
      </c>
      <c r="BR411">
        <f>IF($A411="","",IF(BO411=1,$C411,MAX($C411,BR410)))</f>
        <v>0</v>
      </c>
      <c r="BS411">
        <f>IF($A411="","",IF(BO411=1,$D411,MIN($D411,BS410)))</f>
        <v>0</v>
      </c>
      <c r="BT411">
        <f>IF($A411="","",IF(BP411=1,F411,""))</f>
        <v>0</v>
      </c>
    </row>
    <row r="412" spans="1:72">
      <c r="A412" s="27">
        <f>IF(Data!$A412="","",Data!$A412)</f>
        <v>0</v>
      </c>
      <c r="B412">
        <f>IF(Data!$B412="","",Data!$B412)</f>
        <v>0</v>
      </c>
      <c r="C412">
        <f>IF(Data!$C412="","",Data!$C412)</f>
        <v>0</v>
      </c>
      <c r="D412">
        <f>IF(Data!$D412="","",Data!$D412)</f>
        <v>0</v>
      </c>
      <c r="E412">
        <f>IF(Data!$E412="","",Data!$E412)</f>
        <v>0</v>
      </c>
      <c r="F412">
        <f>IF($E412="","",N(F411)+1)</f>
        <v>0</v>
      </c>
      <c r="G412">
        <f>IF(OR($E412="",$E411=""),"",LN($E412/$E411))</f>
        <v>0</v>
      </c>
      <c r="H412">
        <f>IF($E412="","",IF($E411="",$E412,$E412*0.0952380952+H411*0.9047619048))</f>
        <v>0</v>
      </c>
      <c r="I412">
        <f>IF($E412="","",IF($E411="",$E412,$E412*0.0392156863+I411*0.9607843137))</f>
        <v>0</v>
      </c>
      <c r="J412">
        <f>IF($E412="","",IF($E411="",$E412,$E412*0.0198019802+J411*0.9801980198))</f>
        <v>0</v>
      </c>
      <c r="K412">
        <f>IF($E412="","",IF($E411="",$E412,$E412*0.0099502488+K411*0.9900497512))</f>
        <v>0</v>
      </c>
      <c r="L412">
        <f>IF(OR($E412="",$E411=""),"",MAX($E412-$E411,0))</f>
        <v>0</v>
      </c>
      <c r="M412">
        <f>IF(OR($E412="",$E411=""),"",MAX($E411-$E412,0))</f>
        <v>0</v>
      </c>
      <c r="N412">
        <f>IF(COUNT($E$2:$E412)&lt;15,"",IF(AVERAGE($M$399:$M$412)=0,100,100-100/(1+AVERAGE($L$399:$L$412)/AVERAGE($M$399:$M$412))))</f>
        <v>0</v>
      </c>
      <c r="O412">
        <f>IF($E412="","",IF($E411="",$E412,$E412*0.1538461538+O411*0.8461538462))</f>
        <v>0</v>
      </c>
      <c r="P412">
        <f>IF($E412="","",IF($E411="",$E412,$E412*0.0740740741+P411*0.9259259259))</f>
        <v>0</v>
      </c>
      <c r="Q412">
        <f>IF(OR(O412="",P412=""),"",O412-P412)</f>
        <v>0</v>
      </c>
      <c r="R412">
        <f>IF(Q412="","",IF(R411="",Q412,Q412*0.2000000000+R411*0.8000000000))</f>
        <v>0</v>
      </c>
      <c r="S412">
        <f>IF(OR(Q412="",R412=""),"",Q412-R412)</f>
        <v>0</v>
      </c>
      <c r="T412">
        <f>IF(COUNT($E$2:$E412)&lt;14,"",MAX($C$399:$C$412))</f>
        <v>0</v>
      </c>
      <c r="U412">
        <f>IF(COUNT($E$2:$E412)&lt;14,"",MIN($D$399:$D$412))</f>
        <v>0</v>
      </c>
      <c r="V412">
        <f>IF(OR(T412="",U412="",T412=U412),"",100*($E412-U412)/(T412-U412))</f>
        <v>0</v>
      </c>
      <c r="W412">
        <f>IF(COUNT($V$410:$V$412)&lt;3,"",AVERAGE($V$410:$V$412))</f>
        <v>0</v>
      </c>
      <c r="X412">
        <f>IF(COUNT($N$399:$N$412)&lt;14,"",MIN($N$399:$N$412))</f>
        <v>0</v>
      </c>
      <c r="Y412">
        <f>IF(COUNT($N$399:$N$412)&lt;14,"",MAX($N$399:$N$412))</f>
        <v>0</v>
      </c>
      <c r="Z412">
        <f>IF(OR(N412="",X412="",Y412="",Y412=X412),"",100*(N412-X412)/(Y412-X412))</f>
        <v>0</v>
      </c>
      <c r="AA412">
        <f>IF(COUNT($Z$410:$Z$412)&lt;3,"",AVERAGE($Z$410:$Z$412))</f>
        <v>0</v>
      </c>
      <c r="AB412">
        <f>IF(COUNT($AA$410:$AA$412)&lt;3,"",AVERAGE($AA$410:$AA$412))</f>
        <v>0</v>
      </c>
      <c r="AC412">
        <f>IF($E412="","",MAX($C412-$D412,ABS($C412-$E411),ABS($D412-$E411)))</f>
        <v>0</v>
      </c>
      <c r="AD412">
        <f>IF(COUNT($E$2:$E412)&lt;15,"",AVERAGE($AC$399:$AC$412))</f>
        <v>0</v>
      </c>
      <c r="AE412">
        <f>IF(OR($E412="",$E411=""),"",IF(AND(($C412-$C411)&gt;($D411-$D412),($C412-$C411)&gt;0),$C412-$C411,0))</f>
        <v>0</v>
      </c>
      <c r="AF412">
        <f>IF(OR($E412="",$E411=""),"",IF(AND(($D411-$D412)&gt;($C412-$C411),($D411-$D412)&gt;0),$D411-$D412,0))</f>
        <v>0</v>
      </c>
      <c r="AG412">
        <f>IF(COUNT($E$2:$E412)&lt;15,"",IF(SUM($AC$399:$AC$412)=0,0,100*SUM($AE$399:$AE$412)/SUM($AC$399:$AC$412)))</f>
        <v>0</v>
      </c>
      <c r="AH412">
        <f>IF(COUNT($E$2:$E412)&lt;15,"",IF(SUM($AC$399:$AC$412)=0,0,100*SUM($AF$399:$AF$412)/SUM($AC$399:$AC$412)))</f>
        <v>0</v>
      </c>
      <c r="AI412">
        <f>IF(OR(AG412="",AH412=""),"",IF((AG412+AH412)=0,0,100*ABS(AG412-AH412)/(AG412+AH412)))</f>
        <v>0</v>
      </c>
      <c r="AJ412">
        <f>IF(COUNT($AI$399:$AI$412)&lt;14,"",AVERAGE($AI$399:$AI$412))</f>
        <v>0</v>
      </c>
      <c r="AK412">
        <f>IF(COUNT($E$2:$E412)&lt;20,"",AVERAGE($E$393:$E$412))</f>
        <v>0</v>
      </c>
      <c r="AL412">
        <f>IF(COUNT($E$2:$E412)&lt;20,"",STDEVP($E$393:$E$412))</f>
        <v>0</v>
      </c>
      <c r="AM412">
        <f>IF(AK412="","",AK412+2*AL412)</f>
        <v>0</v>
      </c>
      <c r="AN412">
        <f>IF(AK412="","",AK412-2*AL412)</f>
        <v>0</v>
      </c>
      <c r="AO412">
        <f>IF(OR(AM412="",AN412="",AM412=AN412),"",($E412-AN412)/(AM412-AN412))</f>
        <v>0</v>
      </c>
      <c r="AP412">
        <f>IF(OR(AM412="",AK412="",AK412=0),"",(AM412-AN412)/AK412)</f>
        <v>0</v>
      </c>
      <c r="AQ412">
        <f>IF(COUNT($E$2:$E412)&lt;20,"",MAX($C$393:$C$412))</f>
        <v>0</v>
      </c>
      <c r="AR412">
        <f>IF(COUNT($E$2:$E412)&lt;20,"",MIN($D$393:$D$412))</f>
        <v>0</v>
      </c>
      <c r="AS412">
        <f>IF(OR(AQ412="",AR412=""),"",(AQ412+AR412)/2)</f>
        <v>0</v>
      </c>
      <c r="AT412">
        <f>IF(COUNT($G$393:$G$412)&lt;20,"",STDEV($G$393:$G$412)*SQRT(252))</f>
        <v>0</v>
      </c>
      <c r="AU412">
        <f>IF(COUNT($E$2:$E412)&lt;9,"",(MAX($C$404:$C$412)+MIN($D$404:$D$412))/2)</f>
        <v>0</v>
      </c>
      <c r="AV412">
        <f>IF(COUNT($E$2:$E412)&lt;26,"",(MAX($C$387:$C$412)+MIN($D$387:$D$412))/2)</f>
        <v>0</v>
      </c>
      <c r="AW412">
        <f>IF(OR(AU412="",AV412=""),"",(AU412+AV412)/2)</f>
        <v>0</v>
      </c>
      <c r="AX412">
        <f>IF(COUNT($E$2:$E412)&lt;52,"",(MAX($C$361:$C$412)+MIN($D$361:$D$412))/2)</f>
        <v>0</v>
      </c>
      <c r="AY412">
        <f>IF(COUNT($E$2:$E412)&lt;20,"",MAX($C$313:$C$412))</f>
        <v>0</v>
      </c>
      <c r="AZ412">
        <f>IF(COUNT($E$2:$E412)&lt;20,"",MIN($D$313:$D$412))</f>
        <v>0</v>
      </c>
      <c r="BA412">
        <f>IF(COUNT($E$2:$E412)&lt;20,"",SLOPE($E$313:$E$412,$F$313:$F$412))</f>
        <v>0</v>
      </c>
      <c r="BB412">
        <f>IF(COUNT($E$2:$E412)&lt;20,"",INTERCEPT($E$313:$E$412,$F$313:$F$412))</f>
        <v>0</v>
      </c>
      <c r="BC412">
        <f>IF(OR(BA412="",BB412=""),"",BB412+BA412*F412)</f>
        <v>0</v>
      </c>
      <c r="BD412">
        <f>IF(COUNT($E$2:$E412)&lt;20,"",STEYX($E$313:$E$412,$F$313:$F$412))</f>
        <v>0</v>
      </c>
      <c r="BE412">
        <f>IF($E412="","",IF(AND(COUNT($E$413:$E$416)&gt;=4,$C412=MAX($C$408:$C$416)),$C412,""))</f>
        <v>0</v>
      </c>
      <c r="BF412">
        <f>IF($E412="","",IF(AND(COUNT($E$413:$E$416)&gt;=4,$D412=MIN($D$408:$D$416)),$D412,""))</f>
        <v>0</v>
      </c>
      <c r="BG412">
        <f>IF($A412="","",$A412-WEEKDAY($A412,2)+1)</f>
        <v>0</v>
      </c>
      <c r="BH412">
        <f>IF($A412="","",IF($A411="",1,IF(BG412&lt;&gt;BG411,1,0)))</f>
        <v>0</v>
      </c>
      <c r="BI412">
        <f>IF($A412="","",IF($A413="",1,IF(BG413&lt;&gt;BG412,1,0)))</f>
        <v>0</v>
      </c>
      <c r="BJ412">
        <f>IF($A412="","",IF(BH412=1,$B412,BJ411))</f>
        <v>0</v>
      </c>
      <c r="BK412">
        <f>IF($A412="","",IF(BH412=1,$C412,MAX($C412,BK411)))</f>
        <v>0</v>
      </c>
      <c r="BL412">
        <f>IF($A412="","",IF(BH412=1,$D412,MIN($D412,BL411)))</f>
        <v>0</v>
      </c>
      <c r="BM412">
        <f>IF($A412="","",IF(BI412=1,F412,""))</f>
        <v>0</v>
      </c>
      <c r="BN412">
        <f>IF($A412="","",DATE(YEAR($A412),MONTH($A412),1))</f>
        <v>0</v>
      </c>
      <c r="BO412">
        <f>IF($A412="","",IF($A411="",1,IF(BN412&lt;&gt;BN411,1,0)))</f>
        <v>0</v>
      </c>
      <c r="BP412">
        <f>IF($A412="","",IF($A413="",1,IF(BN413&lt;&gt;BN412,1,0)))</f>
        <v>0</v>
      </c>
      <c r="BQ412">
        <f>IF($A412="","",IF(BO412=1,$B412,BQ411))</f>
        <v>0</v>
      </c>
      <c r="BR412">
        <f>IF($A412="","",IF(BO412=1,$C412,MAX($C412,BR411)))</f>
        <v>0</v>
      </c>
      <c r="BS412">
        <f>IF($A412="","",IF(BO412=1,$D412,MIN($D412,BS411)))</f>
        <v>0</v>
      </c>
      <c r="BT412">
        <f>IF($A412="","",IF(BP412=1,F412,""))</f>
        <v>0</v>
      </c>
    </row>
    <row r="413" spans="1:72">
      <c r="A413" s="27">
        <f>IF(Data!$A413="","",Data!$A413)</f>
        <v>0</v>
      </c>
      <c r="B413">
        <f>IF(Data!$B413="","",Data!$B413)</f>
        <v>0</v>
      </c>
      <c r="C413">
        <f>IF(Data!$C413="","",Data!$C413)</f>
        <v>0</v>
      </c>
      <c r="D413">
        <f>IF(Data!$D413="","",Data!$D413)</f>
        <v>0</v>
      </c>
      <c r="E413">
        <f>IF(Data!$E413="","",Data!$E413)</f>
        <v>0</v>
      </c>
      <c r="F413">
        <f>IF($E413="","",N(F412)+1)</f>
        <v>0</v>
      </c>
      <c r="G413">
        <f>IF(OR($E413="",$E412=""),"",LN($E413/$E412))</f>
        <v>0</v>
      </c>
      <c r="H413">
        <f>IF($E413="","",IF($E412="",$E413,$E413*0.0952380952+H412*0.9047619048))</f>
        <v>0</v>
      </c>
      <c r="I413">
        <f>IF($E413="","",IF($E412="",$E413,$E413*0.0392156863+I412*0.9607843137))</f>
        <v>0</v>
      </c>
      <c r="J413">
        <f>IF($E413="","",IF($E412="",$E413,$E413*0.0198019802+J412*0.9801980198))</f>
        <v>0</v>
      </c>
      <c r="K413">
        <f>IF($E413="","",IF($E412="",$E413,$E413*0.0099502488+K412*0.9900497512))</f>
        <v>0</v>
      </c>
      <c r="L413">
        <f>IF(OR($E413="",$E412=""),"",MAX($E413-$E412,0))</f>
        <v>0</v>
      </c>
      <c r="M413">
        <f>IF(OR($E413="",$E412=""),"",MAX($E412-$E413,0))</f>
        <v>0</v>
      </c>
      <c r="N413">
        <f>IF(COUNT($E$2:$E413)&lt;15,"",IF(AVERAGE($M$400:$M$413)=0,100,100-100/(1+AVERAGE($L$400:$L$413)/AVERAGE($M$400:$M$413))))</f>
        <v>0</v>
      </c>
      <c r="O413">
        <f>IF($E413="","",IF($E412="",$E413,$E413*0.1538461538+O412*0.8461538462))</f>
        <v>0</v>
      </c>
      <c r="P413">
        <f>IF($E413="","",IF($E412="",$E413,$E413*0.0740740741+P412*0.9259259259))</f>
        <v>0</v>
      </c>
      <c r="Q413">
        <f>IF(OR(O413="",P413=""),"",O413-P413)</f>
        <v>0</v>
      </c>
      <c r="R413">
        <f>IF(Q413="","",IF(R412="",Q413,Q413*0.2000000000+R412*0.8000000000))</f>
        <v>0</v>
      </c>
      <c r="S413">
        <f>IF(OR(Q413="",R413=""),"",Q413-R413)</f>
        <v>0</v>
      </c>
      <c r="T413">
        <f>IF(COUNT($E$2:$E413)&lt;14,"",MAX($C$400:$C$413))</f>
        <v>0</v>
      </c>
      <c r="U413">
        <f>IF(COUNT($E$2:$E413)&lt;14,"",MIN($D$400:$D$413))</f>
        <v>0</v>
      </c>
      <c r="V413">
        <f>IF(OR(T413="",U413="",T413=U413),"",100*($E413-U413)/(T413-U413))</f>
        <v>0</v>
      </c>
      <c r="W413">
        <f>IF(COUNT($V$411:$V$413)&lt;3,"",AVERAGE($V$411:$V$413))</f>
        <v>0</v>
      </c>
      <c r="X413">
        <f>IF(COUNT($N$400:$N$413)&lt;14,"",MIN($N$400:$N$413))</f>
        <v>0</v>
      </c>
      <c r="Y413">
        <f>IF(COUNT($N$400:$N$413)&lt;14,"",MAX($N$400:$N$413))</f>
        <v>0</v>
      </c>
      <c r="Z413">
        <f>IF(OR(N413="",X413="",Y413="",Y413=X413),"",100*(N413-X413)/(Y413-X413))</f>
        <v>0</v>
      </c>
      <c r="AA413">
        <f>IF(COUNT($Z$411:$Z$413)&lt;3,"",AVERAGE($Z$411:$Z$413))</f>
        <v>0</v>
      </c>
      <c r="AB413">
        <f>IF(COUNT($AA$411:$AA$413)&lt;3,"",AVERAGE($AA$411:$AA$413))</f>
        <v>0</v>
      </c>
      <c r="AC413">
        <f>IF($E413="","",MAX($C413-$D413,ABS($C413-$E412),ABS($D413-$E412)))</f>
        <v>0</v>
      </c>
      <c r="AD413">
        <f>IF(COUNT($E$2:$E413)&lt;15,"",AVERAGE($AC$400:$AC$413))</f>
        <v>0</v>
      </c>
      <c r="AE413">
        <f>IF(OR($E413="",$E412=""),"",IF(AND(($C413-$C412)&gt;($D412-$D413),($C413-$C412)&gt;0),$C413-$C412,0))</f>
        <v>0</v>
      </c>
      <c r="AF413">
        <f>IF(OR($E413="",$E412=""),"",IF(AND(($D412-$D413)&gt;($C413-$C412),($D412-$D413)&gt;0),$D412-$D413,0))</f>
        <v>0</v>
      </c>
      <c r="AG413">
        <f>IF(COUNT($E$2:$E413)&lt;15,"",IF(SUM($AC$400:$AC$413)=0,0,100*SUM($AE$400:$AE$413)/SUM($AC$400:$AC$413)))</f>
        <v>0</v>
      </c>
      <c r="AH413">
        <f>IF(COUNT($E$2:$E413)&lt;15,"",IF(SUM($AC$400:$AC$413)=0,0,100*SUM($AF$400:$AF$413)/SUM($AC$400:$AC$413)))</f>
        <v>0</v>
      </c>
      <c r="AI413">
        <f>IF(OR(AG413="",AH413=""),"",IF((AG413+AH413)=0,0,100*ABS(AG413-AH413)/(AG413+AH413)))</f>
        <v>0</v>
      </c>
      <c r="AJ413">
        <f>IF(COUNT($AI$400:$AI$413)&lt;14,"",AVERAGE($AI$400:$AI$413))</f>
        <v>0</v>
      </c>
      <c r="AK413">
        <f>IF(COUNT($E$2:$E413)&lt;20,"",AVERAGE($E$394:$E$413))</f>
        <v>0</v>
      </c>
      <c r="AL413">
        <f>IF(COUNT($E$2:$E413)&lt;20,"",STDEVP($E$394:$E$413))</f>
        <v>0</v>
      </c>
      <c r="AM413">
        <f>IF(AK413="","",AK413+2*AL413)</f>
        <v>0</v>
      </c>
      <c r="AN413">
        <f>IF(AK413="","",AK413-2*AL413)</f>
        <v>0</v>
      </c>
      <c r="AO413">
        <f>IF(OR(AM413="",AN413="",AM413=AN413),"",($E413-AN413)/(AM413-AN413))</f>
        <v>0</v>
      </c>
      <c r="AP413">
        <f>IF(OR(AM413="",AK413="",AK413=0),"",(AM413-AN413)/AK413)</f>
        <v>0</v>
      </c>
      <c r="AQ413">
        <f>IF(COUNT($E$2:$E413)&lt;20,"",MAX($C$394:$C$413))</f>
        <v>0</v>
      </c>
      <c r="AR413">
        <f>IF(COUNT($E$2:$E413)&lt;20,"",MIN($D$394:$D$413))</f>
        <v>0</v>
      </c>
      <c r="AS413">
        <f>IF(OR(AQ413="",AR413=""),"",(AQ413+AR413)/2)</f>
        <v>0</v>
      </c>
      <c r="AT413">
        <f>IF(COUNT($G$394:$G$413)&lt;20,"",STDEV($G$394:$G$413)*SQRT(252))</f>
        <v>0</v>
      </c>
      <c r="AU413">
        <f>IF(COUNT($E$2:$E413)&lt;9,"",(MAX($C$405:$C$413)+MIN($D$405:$D$413))/2)</f>
        <v>0</v>
      </c>
      <c r="AV413">
        <f>IF(COUNT($E$2:$E413)&lt;26,"",(MAX($C$388:$C$413)+MIN($D$388:$D$413))/2)</f>
        <v>0</v>
      </c>
      <c r="AW413">
        <f>IF(OR(AU413="",AV413=""),"",(AU413+AV413)/2)</f>
        <v>0</v>
      </c>
      <c r="AX413">
        <f>IF(COUNT($E$2:$E413)&lt;52,"",(MAX($C$362:$C$413)+MIN($D$362:$D$413))/2)</f>
        <v>0</v>
      </c>
      <c r="AY413">
        <f>IF(COUNT($E$2:$E413)&lt;20,"",MAX($C$314:$C$413))</f>
        <v>0</v>
      </c>
      <c r="AZ413">
        <f>IF(COUNT($E$2:$E413)&lt;20,"",MIN($D$314:$D$413))</f>
        <v>0</v>
      </c>
      <c r="BA413">
        <f>IF(COUNT($E$2:$E413)&lt;20,"",SLOPE($E$314:$E$413,$F$314:$F$413))</f>
        <v>0</v>
      </c>
      <c r="BB413">
        <f>IF(COUNT($E$2:$E413)&lt;20,"",INTERCEPT($E$314:$E$413,$F$314:$F$413))</f>
        <v>0</v>
      </c>
      <c r="BC413">
        <f>IF(OR(BA413="",BB413=""),"",BB413+BA413*F413)</f>
        <v>0</v>
      </c>
      <c r="BD413">
        <f>IF(COUNT($E$2:$E413)&lt;20,"",STEYX($E$314:$E$413,$F$314:$F$413))</f>
        <v>0</v>
      </c>
      <c r="BE413">
        <f>IF($E413="","",IF(AND(COUNT($E$414:$E$417)&gt;=4,$C413=MAX($C$409:$C$417)),$C413,""))</f>
        <v>0</v>
      </c>
      <c r="BF413">
        <f>IF($E413="","",IF(AND(COUNT($E$414:$E$417)&gt;=4,$D413=MIN($D$409:$D$417)),$D413,""))</f>
        <v>0</v>
      </c>
      <c r="BG413">
        <f>IF($A413="","",$A413-WEEKDAY($A413,2)+1)</f>
        <v>0</v>
      </c>
      <c r="BH413">
        <f>IF($A413="","",IF($A412="",1,IF(BG413&lt;&gt;BG412,1,0)))</f>
        <v>0</v>
      </c>
      <c r="BI413">
        <f>IF($A413="","",IF($A414="",1,IF(BG414&lt;&gt;BG413,1,0)))</f>
        <v>0</v>
      </c>
      <c r="BJ413">
        <f>IF($A413="","",IF(BH413=1,$B413,BJ412))</f>
        <v>0</v>
      </c>
      <c r="BK413">
        <f>IF($A413="","",IF(BH413=1,$C413,MAX($C413,BK412)))</f>
        <v>0</v>
      </c>
      <c r="BL413">
        <f>IF($A413="","",IF(BH413=1,$D413,MIN($D413,BL412)))</f>
        <v>0</v>
      </c>
      <c r="BM413">
        <f>IF($A413="","",IF(BI413=1,F413,""))</f>
        <v>0</v>
      </c>
      <c r="BN413">
        <f>IF($A413="","",DATE(YEAR($A413),MONTH($A413),1))</f>
        <v>0</v>
      </c>
      <c r="BO413">
        <f>IF($A413="","",IF($A412="",1,IF(BN413&lt;&gt;BN412,1,0)))</f>
        <v>0</v>
      </c>
      <c r="BP413">
        <f>IF($A413="","",IF($A414="",1,IF(BN414&lt;&gt;BN413,1,0)))</f>
        <v>0</v>
      </c>
      <c r="BQ413">
        <f>IF($A413="","",IF(BO413=1,$B413,BQ412))</f>
        <v>0</v>
      </c>
      <c r="BR413">
        <f>IF($A413="","",IF(BO413=1,$C413,MAX($C413,BR412)))</f>
        <v>0</v>
      </c>
      <c r="BS413">
        <f>IF($A413="","",IF(BO413=1,$D413,MIN($D413,BS412)))</f>
        <v>0</v>
      </c>
      <c r="BT413">
        <f>IF($A413="","",IF(BP413=1,F413,""))</f>
        <v>0</v>
      </c>
    </row>
    <row r="414" spans="1:72">
      <c r="A414" s="27">
        <f>IF(Data!$A414="","",Data!$A414)</f>
        <v>0</v>
      </c>
      <c r="B414">
        <f>IF(Data!$B414="","",Data!$B414)</f>
        <v>0</v>
      </c>
      <c r="C414">
        <f>IF(Data!$C414="","",Data!$C414)</f>
        <v>0</v>
      </c>
      <c r="D414">
        <f>IF(Data!$D414="","",Data!$D414)</f>
        <v>0</v>
      </c>
      <c r="E414">
        <f>IF(Data!$E414="","",Data!$E414)</f>
        <v>0</v>
      </c>
      <c r="F414">
        <f>IF($E414="","",N(F413)+1)</f>
        <v>0</v>
      </c>
      <c r="G414">
        <f>IF(OR($E414="",$E413=""),"",LN($E414/$E413))</f>
        <v>0</v>
      </c>
      <c r="H414">
        <f>IF($E414="","",IF($E413="",$E414,$E414*0.0952380952+H413*0.9047619048))</f>
        <v>0</v>
      </c>
      <c r="I414">
        <f>IF($E414="","",IF($E413="",$E414,$E414*0.0392156863+I413*0.9607843137))</f>
        <v>0</v>
      </c>
      <c r="J414">
        <f>IF($E414="","",IF($E413="",$E414,$E414*0.0198019802+J413*0.9801980198))</f>
        <v>0</v>
      </c>
      <c r="K414">
        <f>IF($E414="","",IF($E413="",$E414,$E414*0.0099502488+K413*0.9900497512))</f>
        <v>0</v>
      </c>
      <c r="L414">
        <f>IF(OR($E414="",$E413=""),"",MAX($E414-$E413,0))</f>
        <v>0</v>
      </c>
      <c r="M414">
        <f>IF(OR($E414="",$E413=""),"",MAX($E413-$E414,0))</f>
        <v>0</v>
      </c>
      <c r="N414">
        <f>IF(COUNT($E$2:$E414)&lt;15,"",IF(AVERAGE($M$401:$M$414)=0,100,100-100/(1+AVERAGE($L$401:$L$414)/AVERAGE($M$401:$M$414))))</f>
        <v>0</v>
      </c>
      <c r="O414">
        <f>IF($E414="","",IF($E413="",$E414,$E414*0.1538461538+O413*0.8461538462))</f>
        <v>0</v>
      </c>
      <c r="P414">
        <f>IF($E414="","",IF($E413="",$E414,$E414*0.0740740741+P413*0.9259259259))</f>
        <v>0</v>
      </c>
      <c r="Q414">
        <f>IF(OR(O414="",P414=""),"",O414-P414)</f>
        <v>0</v>
      </c>
      <c r="R414">
        <f>IF(Q414="","",IF(R413="",Q414,Q414*0.2000000000+R413*0.8000000000))</f>
        <v>0</v>
      </c>
      <c r="S414">
        <f>IF(OR(Q414="",R414=""),"",Q414-R414)</f>
        <v>0</v>
      </c>
      <c r="T414">
        <f>IF(COUNT($E$2:$E414)&lt;14,"",MAX($C$401:$C$414))</f>
        <v>0</v>
      </c>
      <c r="U414">
        <f>IF(COUNT($E$2:$E414)&lt;14,"",MIN($D$401:$D$414))</f>
        <v>0</v>
      </c>
      <c r="V414">
        <f>IF(OR(T414="",U414="",T414=U414),"",100*($E414-U414)/(T414-U414))</f>
        <v>0</v>
      </c>
      <c r="W414">
        <f>IF(COUNT($V$412:$V$414)&lt;3,"",AVERAGE($V$412:$V$414))</f>
        <v>0</v>
      </c>
      <c r="X414">
        <f>IF(COUNT($N$401:$N$414)&lt;14,"",MIN($N$401:$N$414))</f>
        <v>0</v>
      </c>
      <c r="Y414">
        <f>IF(COUNT($N$401:$N$414)&lt;14,"",MAX($N$401:$N$414))</f>
        <v>0</v>
      </c>
      <c r="Z414">
        <f>IF(OR(N414="",X414="",Y414="",Y414=X414),"",100*(N414-X414)/(Y414-X414))</f>
        <v>0</v>
      </c>
      <c r="AA414">
        <f>IF(COUNT($Z$412:$Z$414)&lt;3,"",AVERAGE($Z$412:$Z$414))</f>
        <v>0</v>
      </c>
      <c r="AB414">
        <f>IF(COUNT($AA$412:$AA$414)&lt;3,"",AVERAGE($AA$412:$AA$414))</f>
        <v>0</v>
      </c>
      <c r="AC414">
        <f>IF($E414="","",MAX($C414-$D414,ABS($C414-$E413),ABS($D414-$E413)))</f>
        <v>0</v>
      </c>
      <c r="AD414">
        <f>IF(COUNT($E$2:$E414)&lt;15,"",AVERAGE($AC$401:$AC$414))</f>
        <v>0</v>
      </c>
      <c r="AE414">
        <f>IF(OR($E414="",$E413=""),"",IF(AND(($C414-$C413)&gt;($D413-$D414),($C414-$C413)&gt;0),$C414-$C413,0))</f>
        <v>0</v>
      </c>
      <c r="AF414">
        <f>IF(OR($E414="",$E413=""),"",IF(AND(($D413-$D414)&gt;($C414-$C413),($D413-$D414)&gt;0),$D413-$D414,0))</f>
        <v>0</v>
      </c>
      <c r="AG414">
        <f>IF(COUNT($E$2:$E414)&lt;15,"",IF(SUM($AC$401:$AC$414)=0,0,100*SUM($AE$401:$AE$414)/SUM($AC$401:$AC$414)))</f>
        <v>0</v>
      </c>
      <c r="AH414">
        <f>IF(COUNT($E$2:$E414)&lt;15,"",IF(SUM($AC$401:$AC$414)=0,0,100*SUM($AF$401:$AF$414)/SUM($AC$401:$AC$414)))</f>
        <v>0</v>
      </c>
      <c r="AI414">
        <f>IF(OR(AG414="",AH414=""),"",IF((AG414+AH414)=0,0,100*ABS(AG414-AH414)/(AG414+AH414)))</f>
        <v>0</v>
      </c>
      <c r="AJ414">
        <f>IF(COUNT($AI$401:$AI$414)&lt;14,"",AVERAGE($AI$401:$AI$414))</f>
        <v>0</v>
      </c>
      <c r="AK414">
        <f>IF(COUNT($E$2:$E414)&lt;20,"",AVERAGE($E$395:$E$414))</f>
        <v>0</v>
      </c>
      <c r="AL414">
        <f>IF(COUNT($E$2:$E414)&lt;20,"",STDEVP($E$395:$E$414))</f>
        <v>0</v>
      </c>
      <c r="AM414">
        <f>IF(AK414="","",AK414+2*AL414)</f>
        <v>0</v>
      </c>
      <c r="AN414">
        <f>IF(AK414="","",AK414-2*AL414)</f>
        <v>0</v>
      </c>
      <c r="AO414">
        <f>IF(OR(AM414="",AN414="",AM414=AN414),"",($E414-AN414)/(AM414-AN414))</f>
        <v>0</v>
      </c>
      <c r="AP414">
        <f>IF(OR(AM414="",AK414="",AK414=0),"",(AM414-AN414)/AK414)</f>
        <v>0</v>
      </c>
      <c r="AQ414">
        <f>IF(COUNT($E$2:$E414)&lt;20,"",MAX($C$395:$C$414))</f>
        <v>0</v>
      </c>
      <c r="AR414">
        <f>IF(COUNT($E$2:$E414)&lt;20,"",MIN($D$395:$D$414))</f>
        <v>0</v>
      </c>
      <c r="AS414">
        <f>IF(OR(AQ414="",AR414=""),"",(AQ414+AR414)/2)</f>
        <v>0</v>
      </c>
      <c r="AT414">
        <f>IF(COUNT($G$395:$G$414)&lt;20,"",STDEV($G$395:$G$414)*SQRT(252))</f>
        <v>0</v>
      </c>
      <c r="AU414">
        <f>IF(COUNT($E$2:$E414)&lt;9,"",(MAX($C$406:$C$414)+MIN($D$406:$D$414))/2)</f>
        <v>0</v>
      </c>
      <c r="AV414">
        <f>IF(COUNT($E$2:$E414)&lt;26,"",(MAX($C$389:$C$414)+MIN($D$389:$D$414))/2)</f>
        <v>0</v>
      </c>
      <c r="AW414">
        <f>IF(OR(AU414="",AV414=""),"",(AU414+AV414)/2)</f>
        <v>0</v>
      </c>
      <c r="AX414">
        <f>IF(COUNT($E$2:$E414)&lt;52,"",(MAX($C$363:$C$414)+MIN($D$363:$D$414))/2)</f>
        <v>0</v>
      </c>
      <c r="AY414">
        <f>IF(COUNT($E$2:$E414)&lt;20,"",MAX($C$315:$C$414))</f>
        <v>0</v>
      </c>
      <c r="AZ414">
        <f>IF(COUNT($E$2:$E414)&lt;20,"",MIN($D$315:$D$414))</f>
        <v>0</v>
      </c>
      <c r="BA414">
        <f>IF(COUNT($E$2:$E414)&lt;20,"",SLOPE($E$315:$E$414,$F$315:$F$414))</f>
        <v>0</v>
      </c>
      <c r="BB414">
        <f>IF(COUNT($E$2:$E414)&lt;20,"",INTERCEPT($E$315:$E$414,$F$315:$F$414))</f>
        <v>0</v>
      </c>
      <c r="BC414">
        <f>IF(OR(BA414="",BB414=""),"",BB414+BA414*F414)</f>
        <v>0</v>
      </c>
      <c r="BD414">
        <f>IF(COUNT($E$2:$E414)&lt;20,"",STEYX($E$315:$E$414,$F$315:$F$414))</f>
        <v>0</v>
      </c>
      <c r="BE414">
        <f>IF($E414="","",IF(AND(COUNT($E$415:$E$418)&gt;=4,$C414=MAX($C$410:$C$418)),$C414,""))</f>
        <v>0</v>
      </c>
      <c r="BF414">
        <f>IF($E414="","",IF(AND(COUNT($E$415:$E$418)&gt;=4,$D414=MIN($D$410:$D$418)),$D414,""))</f>
        <v>0</v>
      </c>
      <c r="BG414">
        <f>IF($A414="","",$A414-WEEKDAY($A414,2)+1)</f>
        <v>0</v>
      </c>
      <c r="BH414">
        <f>IF($A414="","",IF($A413="",1,IF(BG414&lt;&gt;BG413,1,0)))</f>
        <v>0</v>
      </c>
      <c r="BI414">
        <f>IF($A414="","",IF($A415="",1,IF(BG415&lt;&gt;BG414,1,0)))</f>
        <v>0</v>
      </c>
      <c r="BJ414">
        <f>IF($A414="","",IF(BH414=1,$B414,BJ413))</f>
        <v>0</v>
      </c>
      <c r="BK414">
        <f>IF($A414="","",IF(BH414=1,$C414,MAX($C414,BK413)))</f>
        <v>0</v>
      </c>
      <c r="BL414">
        <f>IF($A414="","",IF(BH414=1,$D414,MIN($D414,BL413)))</f>
        <v>0</v>
      </c>
      <c r="BM414">
        <f>IF($A414="","",IF(BI414=1,F414,""))</f>
        <v>0</v>
      </c>
      <c r="BN414">
        <f>IF($A414="","",DATE(YEAR($A414),MONTH($A414),1))</f>
        <v>0</v>
      </c>
      <c r="BO414">
        <f>IF($A414="","",IF($A413="",1,IF(BN414&lt;&gt;BN413,1,0)))</f>
        <v>0</v>
      </c>
      <c r="BP414">
        <f>IF($A414="","",IF($A415="",1,IF(BN415&lt;&gt;BN414,1,0)))</f>
        <v>0</v>
      </c>
      <c r="BQ414">
        <f>IF($A414="","",IF(BO414=1,$B414,BQ413))</f>
        <v>0</v>
      </c>
      <c r="BR414">
        <f>IF($A414="","",IF(BO414=1,$C414,MAX($C414,BR413)))</f>
        <v>0</v>
      </c>
      <c r="BS414">
        <f>IF($A414="","",IF(BO414=1,$D414,MIN($D414,BS413)))</f>
        <v>0</v>
      </c>
      <c r="BT414">
        <f>IF($A414="","",IF(BP414=1,F414,""))</f>
        <v>0</v>
      </c>
    </row>
    <row r="415" spans="1:72">
      <c r="A415" s="27">
        <f>IF(Data!$A415="","",Data!$A415)</f>
        <v>0</v>
      </c>
      <c r="B415">
        <f>IF(Data!$B415="","",Data!$B415)</f>
        <v>0</v>
      </c>
      <c r="C415">
        <f>IF(Data!$C415="","",Data!$C415)</f>
        <v>0</v>
      </c>
      <c r="D415">
        <f>IF(Data!$D415="","",Data!$D415)</f>
        <v>0</v>
      </c>
      <c r="E415">
        <f>IF(Data!$E415="","",Data!$E415)</f>
        <v>0</v>
      </c>
      <c r="F415">
        <f>IF($E415="","",N(F414)+1)</f>
        <v>0</v>
      </c>
      <c r="G415">
        <f>IF(OR($E415="",$E414=""),"",LN($E415/$E414))</f>
        <v>0</v>
      </c>
      <c r="H415">
        <f>IF($E415="","",IF($E414="",$E415,$E415*0.0952380952+H414*0.9047619048))</f>
        <v>0</v>
      </c>
      <c r="I415">
        <f>IF($E415="","",IF($E414="",$E415,$E415*0.0392156863+I414*0.9607843137))</f>
        <v>0</v>
      </c>
      <c r="J415">
        <f>IF($E415="","",IF($E414="",$E415,$E415*0.0198019802+J414*0.9801980198))</f>
        <v>0</v>
      </c>
      <c r="K415">
        <f>IF($E415="","",IF($E414="",$E415,$E415*0.0099502488+K414*0.9900497512))</f>
        <v>0</v>
      </c>
      <c r="L415">
        <f>IF(OR($E415="",$E414=""),"",MAX($E415-$E414,0))</f>
        <v>0</v>
      </c>
      <c r="M415">
        <f>IF(OR($E415="",$E414=""),"",MAX($E414-$E415,0))</f>
        <v>0</v>
      </c>
      <c r="N415">
        <f>IF(COUNT($E$2:$E415)&lt;15,"",IF(AVERAGE($M$402:$M$415)=0,100,100-100/(1+AVERAGE($L$402:$L$415)/AVERAGE($M$402:$M$415))))</f>
        <v>0</v>
      </c>
      <c r="O415">
        <f>IF($E415="","",IF($E414="",$E415,$E415*0.1538461538+O414*0.8461538462))</f>
        <v>0</v>
      </c>
      <c r="P415">
        <f>IF($E415="","",IF($E414="",$E415,$E415*0.0740740741+P414*0.9259259259))</f>
        <v>0</v>
      </c>
      <c r="Q415">
        <f>IF(OR(O415="",P415=""),"",O415-P415)</f>
        <v>0</v>
      </c>
      <c r="R415">
        <f>IF(Q415="","",IF(R414="",Q415,Q415*0.2000000000+R414*0.8000000000))</f>
        <v>0</v>
      </c>
      <c r="S415">
        <f>IF(OR(Q415="",R415=""),"",Q415-R415)</f>
        <v>0</v>
      </c>
      <c r="T415">
        <f>IF(COUNT($E$2:$E415)&lt;14,"",MAX($C$402:$C$415))</f>
        <v>0</v>
      </c>
      <c r="U415">
        <f>IF(COUNT($E$2:$E415)&lt;14,"",MIN($D$402:$D$415))</f>
        <v>0</v>
      </c>
      <c r="V415">
        <f>IF(OR(T415="",U415="",T415=U415),"",100*($E415-U415)/(T415-U415))</f>
        <v>0</v>
      </c>
      <c r="W415">
        <f>IF(COUNT($V$413:$V$415)&lt;3,"",AVERAGE($V$413:$V$415))</f>
        <v>0</v>
      </c>
      <c r="X415">
        <f>IF(COUNT($N$402:$N$415)&lt;14,"",MIN($N$402:$N$415))</f>
        <v>0</v>
      </c>
      <c r="Y415">
        <f>IF(COUNT($N$402:$N$415)&lt;14,"",MAX($N$402:$N$415))</f>
        <v>0</v>
      </c>
      <c r="Z415">
        <f>IF(OR(N415="",X415="",Y415="",Y415=X415),"",100*(N415-X415)/(Y415-X415))</f>
        <v>0</v>
      </c>
      <c r="AA415">
        <f>IF(COUNT($Z$413:$Z$415)&lt;3,"",AVERAGE($Z$413:$Z$415))</f>
        <v>0</v>
      </c>
      <c r="AB415">
        <f>IF(COUNT($AA$413:$AA$415)&lt;3,"",AVERAGE($AA$413:$AA$415))</f>
        <v>0</v>
      </c>
      <c r="AC415">
        <f>IF($E415="","",MAX($C415-$D415,ABS($C415-$E414),ABS($D415-$E414)))</f>
        <v>0</v>
      </c>
      <c r="AD415">
        <f>IF(COUNT($E$2:$E415)&lt;15,"",AVERAGE($AC$402:$AC$415))</f>
        <v>0</v>
      </c>
      <c r="AE415">
        <f>IF(OR($E415="",$E414=""),"",IF(AND(($C415-$C414)&gt;($D414-$D415),($C415-$C414)&gt;0),$C415-$C414,0))</f>
        <v>0</v>
      </c>
      <c r="AF415">
        <f>IF(OR($E415="",$E414=""),"",IF(AND(($D414-$D415)&gt;($C415-$C414),($D414-$D415)&gt;0),$D414-$D415,0))</f>
        <v>0</v>
      </c>
      <c r="AG415">
        <f>IF(COUNT($E$2:$E415)&lt;15,"",IF(SUM($AC$402:$AC$415)=0,0,100*SUM($AE$402:$AE$415)/SUM($AC$402:$AC$415)))</f>
        <v>0</v>
      </c>
      <c r="AH415">
        <f>IF(COUNT($E$2:$E415)&lt;15,"",IF(SUM($AC$402:$AC$415)=0,0,100*SUM($AF$402:$AF$415)/SUM($AC$402:$AC$415)))</f>
        <v>0</v>
      </c>
      <c r="AI415">
        <f>IF(OR(AG415="",AH415=""),"",IF((AG415+AH415)=0,0,100*ABS(AG415-AH415)/(AG415+AH415)))</f>
        <v>0</v>
      </c>
      <c r="AJ415">
        <f>IF(COUNT($AI$402:$AI$415)&lt;14,"",AVERAGE($AI$402:$AI$415))</f>
        <v>0</v>
      </c>
      <c r="AK415">
        <f>IF(COUNT($E$2:$E415)&lt;20,"",AVERAGE($E$396:$E$415))</f>
        <v>0</v>
      </c>
      <c r="AL415">
        <f>IF(COUNT($E$2:$E415)&lt;20,"",STDEVP($E$396:$E$415))</f>
        <v>0</v>
      </c>
      <c r="AM415">
        <f>IF(AK415="","",AK415+2*AL415)</f>
        <v>0</v>
      </c>
      <c r="AN415">
        <f>IF(AK415="","",AK415-2*AL415)</f>
        <v>0</v>
      </c>
      <c r="AO415">
        <f>IF(OR(AM415="",AN415="",AM415=AN415),"",($E415-AN415)/(AM415-AN415))</f>
        <v>0</v>
      </c>
      <c r="AP415">
        <f>IF(OR(AM415="",AK415="",AK415=0),"",(AM415-AN415)/AK415)</f>
        <v>0</v>
      </c>
      <c r="AQ415">
        <f>IF(COUNT($E$2:$E415)&lt;20,"",MAX($C$396:$C$415))</f>
        <v>0</v>
      </c>
      <c r="AR415">
        <f>IF(COUNT($E$2:$E415)&lt;20,"",MIN($D$396:$D$415))</f>
        <v>0</v>
      </c>
      <c r="AS415">
        <f>IF(OR(AQ415="",AR415=""),"",(AQ415+AR415)/2)</f>
        <v>0</v>
      </c>
      <c r="AT415">
        <f>IF(COUNT($G$396:$G$415)&lt;20,"",STDEV($G$396:$G$415)*SQRT(252))</f>
        <v>0</v>
      </c>
      <c r="AU415">
        <f>IF(COUNT($E$2:$E415)&lt;9,"",(MAX($C$407:$C$415)+MIN($D$407:$D$415))/2)</f>
        <v>0</v>
      </c>
      <c r="AV415">
        <f>IF(COUNT($E$2:$E415)&lt;26,"",(MAX($C$390:$C$415)+MIN($D$390:$D$415))/2)</f>
        <v>0</v>
      </c>
      <c r="AW415">
        <f>IF(OR(AU415="",AV415=""),"",(AU415+AV415)/2)</f>
        <v>0</v>
      </c>
      <c r="AX415">
        <f>IF(COUNT($E$2:$E415)&lt;52,"",(MAX($C$364:$C$415)+MIN($D$364:$D$415))/2)</f>
        <v>0</v>
      </c>
      <c r="AY415">
        <f>IF(COUNT($E$2:$E415)&lt;20,"",MAX($C$316:$C$415))</f>
        <v>0</v>
      </c>
      <c r="AZ415">
        <f>IF(COUNT($E$2:$E415)&lt;20,"",MIN($D$316:$D$415))</f>
        <v>0</v>
      </c>
      <c r="BA415">
        <f>IF(COUNT($E$2:$E415)&lt;20,"",SLOPE($E$316:$E$415,$F$316:$F$415))</f>
        <v>0</v>
      </c>
      <c r="BB415">
        <f>IF(COUNT($E$2:$E415)&lt;20,"",INTERCEPT($E$316:$E$415,$F$316:$F$415))</f>
        <v>0</v>
      </c>
      <c r="BC415">
        <f>IF(OR(BA415="",BB415=""),"",BB415+BA415*F415)</f>
        <v>0</v>
      </c>
      <c r="BD415">
        <f>IF(COUNT($E$2:$E415)&lt;20,"",STEYX($E$316:$E$415,$F$316:$F$415))</f>
        <v>0</v>
      </c>
      <c r="BE415">
        <f>IF($E415="","",IF(AND(COUNT($E$416:$E$419)&gt;=4,$C415=MAX($C$411:$C$419)),$C415,""))</f>
        <v>0</v>
      </c>
      <c r="BF415">
        <f>IF($E415="","",IF(AND(COUNT($E$416:$E$419)&gt;=4,$D415=MIN($D$411:$D$419)),$D415,""))</f>
        <v>0</v>
      </c>
      <c r="BG415">
        <f>IF($A415="","",$A415-WEEKDAY($A415,2)+1)</f>
        <v>0</v>
      </c>
      <c r="BH415">
        <f>IF($A415="","",IF($A414="",1,IF(BG415&lt;&gt;BG414,1,0)))</f>
        <v>0</v>
      </c>
      <c r="BI415">
        <f>IF($A415="","",IF($A416="",1,IF(BG416&lt;&gt;BG415,1,0)))</f>
        <v>0</v>
      </c>
      <c r="BJ415">
        <f>IF($A415="","",IF(BH415=1,$B415,BJ414))</f>
        <v>0</v>
      </c>
      <c r="BK415">
        <f>IF($A415="","",IF(BH415=1,$C415,MAX($C415,BK414)))</f>
        <v>0</v>
      </c>
      <c r="BL415">
        <f>IF($A415="","",IF(BH415=1,$D415,MIN($D415,BL414)))</f>
        <v>0</v>
      </c>
      <c r="BM415">
        <f>IF($A415="","",IF(BI415=1,F415,""))</f>
        <v>0</v>
      </c>
      <c r="BN415">
        <f>IF($A415="","",DATE(YEAR($A415),MONTH($A415),1))</f>
        <v>0</v>
      </c>
      <c r="BO415">
        <f>IF($A415="","",IF($A414="",1,IF(BN415&lt;&gt;BN414,1,0)))</f>
        <v>0</v>
      </c>
      <c r="BP415">
        <f>IF($A415="","",IF($A416="",1,IF(BN416&lt;&gt;BN415,1,0)))</f>
        <v>0</v>
      </c>
      <c r="BQ415">
        <f>IF($A415="","",IF(BO415=1,$B415,BQ414))</f>
        <v>0</v>
      </c>
      <c r="BR415">
        <f>IF($A415="","",IF(BO415=1,$C415,MAX($C415,BR414)))</f>
        <v>0</v>
      </c>
      <c r="BS415">
        <f>IF($A415="","",IF(BO415=1,$D415,MIN($D415,BS414)))</f>
        <v>0</v>
      </c>
      <c r="BT415">
        <f>IF($A415="","",IF(BP415=1,F415,""))</f>
        <v>0</v>
      </c>
    </row>
    <row r="416" spans="1:72">
      <c r="A416" s="27">
        <f>IF(Data!$A416="","",Data!$A416)</f>
        <v>0</v>
      </c>
      <c r="B416">
        <f>IF(Data!$B416="","",Data!$B416)</f>
        <v>0</v>
      </c>
      <c r="C416">
        <f>IF(Data!$C416="","",Data!$C416)</f>
        <v>0</v>
      </c>
      <c r="D416">
        <f>IF(Data!$D416="","",Data!$D416)</f>
        <v>0</v>
      </c>
      <c r="E416">
        <f>IF(Data!$E416="","",Data!$E416)</f>
        <v>0</v>
      </c>
      <c r="F416">
        <f>IF($E416="","",N(F415)+1)</f>
        <v>0</v>
      </c>
      <c r="G416">
        <f>IF(OR($E416="",$E415=""),"",LN($E416/$E415))</f>
        <v>0</v>
      </c>
      <c r="H416">
        <f>IF($E416="","",IF($E415="",$E416,$E416*0.0952380952+H415*0.9047619048))</f>
        <v>0</v>
      </c>
      <c r="I416">
        <f>IF($E416="","",IF($E415="",$E416,$E416*0.0392156863+I415*0.9607843137))</f>
        <v>0</v>
      </c>
      <c r="J416">
        <f>IF($E416="","",IF($E415="",$E416,$E416*0.0198019802+J415*0.9801980198))</f>
        <v>0</v>
      </c>
      <c r="K416">
        <f>IF($E416="","",IF($E415="",$E416,$E416*0.0099502488+K415*0.9900497512))</f>
        <v>0</v>
      </c>
      <c r="L416">
        <f>IF(OR($E416="",$E415=""),"",MAX($E416-$E415,0))</f>
        <v>0</v>
      </c>
      <c r="M416">
        <f>IF(OR($E416="",$E415=""),"",MAX($E415-$E416,0))</f>
        <v>0</v>
      </c>
      <c r="N416">
        <f>IF(COUNT($E$2:$E416)&lt;15,"",IF(AVERAGE($M$403:$M$416)=0,100,100-100/(1+AVERAGE($L$403:$L$416)/AVERAGE($M$403:$M$416))))</f>
        <v>0</v>
      </c>
      <c r="O416">
        <f>IF($E416="","",IF($E415="",$E416,$E416*0.1538461538+O415*0.8461538462))</f>
        <v>0</v>
      </c>
      <c r="P416">
        <f>IF($E416="","",IF($E415="",$E416,$E416*0.0740740741+P415*0.9259259259))</f>
        <v>0</v>
      </c>
      <c r="Q416">
        <f>IF(OR(O416="",P416=""),"",O416-P416)</f>
        <v>0</v>
      </c>
      <c r="R416">
        <f>IF(Q416="","",IF(R415="",Q416,Q416*0.2000000000+R415*0.8000000000))</f>
        <v>0</v>
      </c>
      <c r="S416">
        <f>IF(OR(Q416="",R416=""),"",Q416-R416)</f>
        <v>0</v>
      </c>
      <c r="T416">
        <f>IF(COUNT($E$2:$E416)&lt;14,"",MAX($C$403:$C$416))</f>
        <v>0</v>
      </c>
      <c r="U416">
        <f>IF(COUNT($E$2:$E416)&lt;14,"",MIN($D$403:$D$416))</f>
        <v>0</v>
      </c>
      <c r="V416">
        <f>IF(OR(T416="",U416="",T416=U416),"",100*($E416-U416)/(T416-U416))</f>
        <v>0</v>
      </c>
      <c r="W416">
        <f>IF(COUNT($V$414:$V$416)&lt;3,"",AVERAGE($V$414:$V$416))</f>
        <v>0</v>
      </c>
      <c r="X416">
        <f>IF(COUNT($N$403:$N$416)&lt;14,"",MIN($N$403:$N$416))</f>
        <v>0</v>
      </c>
      <c r="Y416">
        <f>IF(COUNT($N$403:$N$416)&lt;14,"",MAX($N$403:$N$416))</f>
        <v>0</v>
      </c>
      <c r="Z416">
        <f>IF(OR(N416="",X416="",Y416="",Y416=X416),"",100*(N416-X416)/(Y416-X416))</f>
        <v>0</v>
      </c>
      <c r="AA416">
        <f>IF(COUNT($Z$414:$Z$416)&lt;3,"",AVERAGE($Z$414:$Z$416))</f>
        <v>0</v>
      </c>
      <c r="AB416">
        <f>IF(COUNT($AA$414:$AA$416)&lt;3,"",AVERAGE($AA$414:$AA$416))</f>
        <v>0</v>
      </c>
      <c r="AC416">
        <f>IF($E416="","",MAX($C416-$D416,ABS($C416-$E415),ABS($D416-$E415)))</f>
        <v>0</v>
      </c>
      <c r="AD416">
        <f>IF(COUNT($E$2:$E416)&lt;15,"",AVERAGE($AC$403:$AC$416))</f>
        <v>0</v>
      </c>
      <c r="AE416">
        <f>IF(OR($E416="",$E415=""),"",IF(AND(($C416-$C415)&gt;($D415-$D416),($C416-$C415)&gt;0),$C416-$C415,0))</f>
        <v>0</v>
      </c>
      <c r="AF416">
        <f>IF(OR($E416="",$E415=""),"",IF(AND(($D415-$D416)&gt;($C416-$C415),($D415-$D416)&gt;0),$D415-$D416,0))</f>
        <v>0</v>
      </c>
      <c r="AG416">
        <f>IF(COUNT($E$2:$E416)&lt;15,"",IF(SUM($AC$403:$AC$416)=0,0,100*SUM($AE$403:$AE$416)/SUM($AC$403:$AC$416)))</f>
        <v>0</v>
      </c>
      <c r="AH416">
        <f>IF(COUNT($E$2:$E416)&lt;15,"",IF(SUM($AC$403:$AC$416)=0,0,100*SUM($AF$403:$AF$416)/SUM($AC$403:$AC$416)))</f>
        <v>0</v>
      </c>
      <c r="AI416">
        <f>IF(OR(AG416="",AH416=""),"",IF((AG416+AH416)=0,0,100*ABS(AG416-AH416)/(AG416+AH416)))</f>
        <v>0</v>
      </c>
      <c r="AJ416">
        <f>IF(COUNT($AI$403:$AI$416)&lt;14,"",AVERAGE($AI$403:$AI$416))</f>
        <v>0</v>
      </c>
      <c r="AK416">
        <f>IF(COUNT($E$2:$E416)&lt;20,"",AVERAGE($E$397:$E$416))</f>
        <v>0</v>
      </c>
      <c r="AL416">
        <f>IF(COUNT($E$2:$E416)&lt;20,"",STDEVP($E$397:$E$416))</f>
        <v>0</v>
      </c>
      <c r="AM416">
        <f>IF(AK416="","",AK416+2*AL416)</f>
        <v>0</v>
      </c>
      <c r="AN416">
        <f>IF(AK416="","",AK416-2*AL416)</f>
        <v>0</v>
      </c>
      <c r="AO416">
        <f>IF(OR(AM416="",AN416="",AM416=AN416),"",($E416-AN416)/(AM416-AN416))</f>
        <v>0</v>
      </c>
      <c r="AP416">
        <f>IF(OR(AM416="",AK416="",AK416=0),"",(AM416-AN416)/AK416)</f>
        <v>0</v>
      </c>
      <c r="AQ416">
        <f>IF(COUNT($E$2:$E416)&lt;20,"",MAX($C$397:$C$416))</f>
        <v>0</v>
      </c>
      <c r="AR416">
        <f>IF(COUNT($E$2:$E416)&lt;20,"",MIN($D$397:$D$416))</f>
        <v>0</v>
      </c>
      <c r="AS416">
        <f>IF(OR(AQ416="",AR416=""),"",(AQ416+AR416)/2)</f>
        <v>0</v>
      </c>
      <c r="AT416">
        <f>IF(COUNT($G$397:$G$416)&lt;20,"",STDEV($G$397:$G$416)*SQRT(252))</f>
        <v>0</v>
      </c>
      <c r="AU416">
        <f>IF(COUNT($E$2:$E416)&lt;9,"",(MAX($C$408:$C$416)+MIN($D$408:$D$416))/2)</f>
        <v>0</v>
      </c>
      <c r="AV416">
        <f>IF(COUNT($E$2:$E416)&lt;26,"",(MAX($C$391:$C$416)+MIN($D$391:$D$416))/2)</f>
        <v>0</v>
      </c>
      <c r="AW416">
        <f>IF(OR(AU416="",AV416=""),"",(AU416+AV416)/2)</f>
        <v>0</v>
      </c>
      <c r="AX416">
        <f>IF(COUNT($E$2:$E416)&lt;52,"",(MAX($C$365:$C$416)+MIN($D$365:$D$416))/2)</f>
        <v>0</v>
      </c>
      <c r="AY416">
        <f>IF(COUNT($E$2:$E416)&lt;20,"",MAX($C$317:$C$416))</f>
        <v>0</v>
      </c>
      <c r="AZ416">
        <f>IF(COUNT($E$2:$E416)&lt;20,"",MIN($D$317:$D$416))</f>
        <v>0</v>
      </c>
      <c r="BA416">
        <f>IF(COUNT($E$2:$E416)&lt;20,"",SLOPE($E$317:$E$416,$F$317:$F$416))</f>
        <v>0</v>
      </c>
      <c r="BB416">
        <f>IF(COUNT($E$2:$E416)&lt;20,"",INTERCEPT($E$317:$E$416,$F$317:$F$416))</f>
        <v>0</v>
      </c>
      <c r="BC416">
        <f>IF(OR(BA416="",BB416=""),"",BB416+BA416*F416)</f>
        <v>0</v>
      </c>
      <c r="BD416">
        <f>IF(COUNT($E$2:$E416)&lt;20,"",STEYX($E$317:$E$416,$F$317:$F$416))</f>
        <v>0</v>
      </c>
      <c r="BE416">
        <f>IF($E416="","",IF(AND(COUNT($E$417:$E$420)&gt;=4,$C416=MAX($C$412:$C$420)),$C416,""))</f>
        <v>0</v>
      </c>
      <c r="BF416">
        <f>IF($E416="","",IF(AND(COUNT($E$417:$E$420)&gt;=4,$D416=MIN($D$412:$D$420)),$D416,""))</f>
        <v>0</v>
      </c>
      <c r="BG416">
        <f>IF($A416="","",$A416-WEEKDAY($A416,2)+1)</f>
        <v>0</v>
      </c>
      <c r="BH416">
        <f>IF($A416="","",IF($A415="",1,IF(BG416&lt;&gt;BG415,1,0)))</f>
        <v>0</v>
      </c>
      <c r="BI416">
        <f>IF($A416="","",IF($A417="",1,IF(BG417&lt;&gt;BG416,1,0)))</f>
        <v>0</v>
      </c>
      <c r="BJ416">
        <f>IF($A416="","",IF(BH416=1,$B416,BJ415))</f>
        <v>0</v>
      </c>
      <c r="BK416">
        <f>IF($A416="","",IF(BH416=1,$C416,MAX($C416,BK415)))</f>
        <v>0</v>
      </c>
      <c r="BL416">
        <f>IF($A416="","",IF(BH416=1,$D416,MIN($D416,BL415)))</f>
        <v>0</v>
      </c>
      <c r="BM416">
        <f>IF($A416="","",IF(BI416=1,F416,""))</f>
        <v>0</v>
      </c>
      <c r="BN416">
        <f>IF($A416="","",DATE(YEAR($A416),MONTH($A416),1))</f>
        <v>0</v>
      </c>
      <c r="BO416">
        <f>IF($A416="","",IF($A415="",1,IF(BN416&lt;&gt;BN415,1,0)))</f>
        <v>0</v>
      </c>
      <c r="BP416">
        <f>IF($A416="","",IF($A417="",1,IF(BN417&lt;&gt;BN416,1,0)))</f>
        <v>0</v>
      </c>
      <c r="BQ416">
        <f>IF($A416="","",IF(BO416=1,$B416,BQ415))</f>
        <v>0</v>
      </c>
      <c r="BR416">
        <f>IF($A416="","",IF(BO416=1,$C416,MAX($C416,BR415)))</f>
        <v>0</v>
      </c>
      <c r="BS416">
        <f>IF($A416="","",IF(BO416=1,$D416,MIN($D416,BS415)))</f>
        <v>0</v>
      </c>
      <c r="BT416">
        <f>IF($A416="","",IF(BP416=1,F416,""))</f>
        <v>0</v>
      </c>
    </row>
    <row r="417" spans="1:72">
      <c r="A417" s="27">
        <f>IF(Data!$A417="","",Data!$A417)</f>
        <v>0</v>
      </c>
      <c r="B417">
        <f>IF(Data!$B417="","",Data!$B417)</f>
        <v>0</v>
      </c>
      <c r="C417">
        <f>IF(Data!$C417="","",Data!$C417)</f>
        <v>0</v>
      </c>
      <c r="D417">
        <f>IF(Data!$D417="","",Data!$D417)</f>
        <v>0</v>
      </c>
      <c r="E417">
        <f>IF(Data!$E417="","",Data!$E417)</f>
        <v>0</v>
      </c>
      <c r="F417">
        <f>IF($E417="","",N(F416)+1)</f>
        <v>0</v>
      </c>
      <c r="G417">
        <f>IF(OR($E417="",$E416=""),"",LN($E417/$E416))</f>
        <v>0</v>
      </c>
      <c r="H417">
        <f>IF($E417="","",IF($E416="",$E417,$E417*0.0952380952+H416*0.9047619048))</f>
        <v>0</v>
      </c>
      <c r="I417">
        <f>IF($E417="","",IF($E416="",$E417,$E417*0.0392156863+I416*0.9607843137))</f>
        <v>0</v>
      </c>
      <c r="J417">
        <f>IF($E417="","",IF($E416="",$E417,$E417*0.0198019802+J416*0.9801980198))</f>
        <v>0</v>
      </c>
      <c r="K417">
        <f>IF($E417="","",IF($E416="",$E417,$E417*0.0099502488+K416*0.9900497512))</f>
        <v>0</v>
      </c>
      <c r="L417">
        <f>IF(OR($E417="",$E416=""),"",MAX($E417-$E416,0))</f>
        <v>0</v>
      </c>
      <c r="M417">
        <f>IF(OR($E417="",$E416=""),"",MAX($E416-$E417,0))</f>
        <v>0</v>
      </c>
      <c r="N417">
        <f>IF(COUNT($E$2:$E417)&lt;15,"",IF(AVERAGE($M$404:$M$417)=0,100,100-100/(1+AVERAGE($L$404:$L$417)/AVERAGE($M$404:$M$417))))</f>
        <v>0</v>
      </c>
      <c r="O417">
        <f>IF($E417="","",IF($E416="",$E417,$E417*0.1538461538+O416*0.8461538462))</f>
        <v>0</v>
      </c>
      <c r="P417">
        <f>IF($E417="","",IF($E416="",$E417,$E417*0.0740740741+P416*0.9259259259))</f>
        <v>0</v>
      </c>
      <c r="Q417">
        <f>IF(OR(O417="",P417=""),"",O417-P417)</f>
        <v>0</v>
      </c>
      <c r="R417">
        <f>IF(Q417="","",IF(R416="",Q417,Q417*0.2000000000+R416*0.8000000000))</f>
        <v>0</v>
      </c>
      <c r="S417">
        <f>IF(OR(Q417="",R417=""),"",Q417-R417)</f>
        <v>0</v>
      </c>
      <c r="T417">
        <f>IF(COUNT($E$2:$E417)&lt;14,"",MAX($C$404:$C$417))</f>
        <v>0</v>
      </c>
      <c r="U417">
        <f>IF(COUNT($E$2:$E417)&lt;14,"",MIN($D$404:$D$417))</f>
        <v>0</v>
      </c>
      <c r="V417">
        <f>IF(OR(T417="",U417="",T417=U417),"",100*($E417-U417)/(T417-U417))</f>
        <v>0</v>
      </c>
      <c r="W417">
        <f>IF(COUNT($V$415:$V$417)&lt;3,"",AVERAGE($V$415:$V$417))</f>
        <v>0</v>
      </c>
      <c r="X417">
        <f>IF(COUNT($N$404:$N$417)&lt;14,"",MIN($N$404:$N$417))</f>
        <v>0</v>
      </c>
      <c r="Y417">
        <f>IF(COUNT($N$404:$N$417)&lt;14,"",MAX($N$404:$N$417))</f>
        <v>0</v>
      </c>
      <c r="Z417">
        <f>IF(OR(N417="",X417="",Y417="",Y417=X417),"",100*(N417-X417)/(Y417-X417))</f>
        <v>0</v>
      </c>
      <c r="AA417">
        <f>IF(COUNT($Z$415:$Z$417)&lt;3,"",AVERAGE($Z$415:$Z$417))</f>
        <v>0</v>
      </c>
      <c r="AB417">
        <f>IF(COUNT($AA$415:$AA$417)&lt;3,"",AVERAGE($AA$415:$AA$417))</f>
        <v>0</v>
      </c>
      <c r="AC417">
        <f>IF($E417="","",MAX($C417-$D417,ABS($C417-$E416),ABS($D417-$E416)))</f>
        <v>0</v>
      </c>
      <c r="AD417">
        <f>IF(COUNT($E$2:$E417)&lt;15,"",AVERAGE($AC$404:$AC$417))</f>
        <v>0</v>
      </c>
      <c r="AE417">
        <f>IF(OR($E417="",$E416=""),"",IF(AND(($C417-$C416)&gt;($D416-$D417),($C417-$C416)&gt;0),$C417-$C416,0))</f>
        <v>0</v>
      </c>
      <c r="AF417">
        <f>IF(OR($E417="",$E416=""),"",IF(AND(($D416-$D417)&gt;($C417-$C416),($D416-$D417)&gt;0),$D416-$D417,0))</f>
        <v>0</v>
      </c>
      <c r="AG417">
        <f>IF(COUNT($E$2:$E417)&lt;15,"",IF(SUM($AC$404:$AC$417)=0,0,100*SUM($AE$404:$AE$417)/SUM($AC$404:$AC$417)))</f>
        <v>0</v>
      </c>
      <c r="AH417">
        <f>IF(COUNT($E$2:$E417)&lt;15,"",IF(SUM($AC$404:$AC$417)=0,0,100*SUM($AF$404:$AF$417)/SUM($AC$404:$AC$417)))</f>
        <v>0</v>
      </c>
      <c r="AI417">
        <f>IF(OR(AG417="",AH417=""),"",IF((AG417+AH417)=0,0,100*ABS(AG417-AH417)/(AG417+AH417)))</f>
        <v>0</v>
      </c>
      <c r="AJ417">
        <f>IF(COUNT($AI$404:$AI$417)&lt;14,"",AVERAGE($AI$404:$AI$417))</f>
        <v>0</v>
      </c>
      <c r="AK417">
        <f>IF(COUNT($E$2:$E417)&lt;20,"",AVERAGE($E$398:$E$417))</f>
        <v>0</v>
      </c>
      <c r="AL417">
        <f>IF(COUNT($E$2:$E417)&lt;20,"",STDEVP($E$398:$E$417))</f>
        <v>0</v>
      </c>
      <c r="AM417">
        <f>IF(AK417="","",AK417+2*AL417)</f>
        <v>0</v>
      </c>
      <c r="AN417">
        <f>IF(AK417="","",AK417-2*AL417)</f>
        <v>0</v>
      </c>
      <c r="AO417">
        <f>IF(OR(AM417="",AN417="",AM417=AN417),"",($E417-AN417)/(AM417-AN417))</f>
        <v>0</v>
      </c>
      <c r="AP417">
        <f>IF(OR(AM417="",AK417="",AK417=0),"",(AM417-AN417)/AK417)</f>
        <v>0</v>
      </c>
      <c r="AQ417">
        <f>IF(COUNT($E$2:$E417)&lt;20,"",MAX($C$398:$C$417))</f>
        <v>0</v>
      </c>
      <c r="AR417">
        <f>IF(COUNT($E$2:$E417)&lt;20,"",MIN($D$398:$D$417))</f>
        <v>0</v>
      </c>
      <c r="AS417">
        <f>IF(OR(AQ417="",AR417=""),"",(AQ417+AR417)/2)</f>
        <v>0</v>
      </c>
      <c r="AT417">
        <f>IF(COUNT($G$398:$G$417)&lt;20,"",STDEV($G$398:$G$417)*SQRT(252))</f>
        <v>0</v>
      </c>
      <c r="AU417">
        <f>IF(COUNT($E$2:$E417)&lt;9,"",(MAX($C$409:$C$417)+MIN($D$409:$D$417))/2)</f>
        <v>0</v>
      </c>
      <c r="AV417">
        <f>IF(COUNT($E$2:$E417)&lt;26,"",(MAX($C$392:$C$417)+MIN($D$392:$D$417))/2)</f>
        <v>0</v>
      </c>
      <c r="AW417">
        <f>IF(OR(AU417="",AV417=""),"",(AU417+AV417)/2)</f>
        <v>0</v>
      </c>
      <c r="AX417">
        <f>IF(COUNT($E$2:$E417)&lt;52,"",(MAX($C$366:$C$417)+MIN($D$366:$D$417))/2)</f>
        <v>0</v>
      </c>
      <c r="AY417">
        <f>IF(COUNT($E$2:$E417)&lt;20,"",MAX($C$318:$C$417))</f>
        <v>0</v>
      </c>
      <c r="AZ417">
        <f>IF(COUNT($E$2:$E417)&lt;20,"",MIN($D$318:$D$417))</f>
        <v>0</v>
      </c>
      <c r="BA417">
        <f>IF(COUNT($E$2:$E417)&lt;20,"",SLOPE($E$318:$E$417,$F$318:$F$417))</f>
        <v>0</v>
      </c>
      <c r="BB417">
        <f>IF(COUNT($E$2:$E417)&lt;20,"",INTERCEPT($E$318:$E$417,$F$318:$F$417))</f>
        <v>0</v>
      </c>
      <c r="BC417">
        <f>IF(OR(BA417="",BB417=""),"",BB417+BA417*F417)</f>
        <v>0</v>
      </c>
      <c r="BD417">
        <f>IF(COUNT($E$2:$E417)&lt;20,"",STEYX($E$318:$E$417,$F$318:$F$417))</f>
        <v>0</v>
      </c>
      <c r="BE417">
        <f>IF($E417="","",IF(AND(COUNT($E$418:$E$421)&gt;=4,$C417=MAX($C$413:$C$421)),$C417,""))</f>
        <v>0</v>
      </c>
      <c r="BF417">
        <f>IF($E417="","",IF(AND(COUNT($E$418:$E$421)&gt;=4,$D417=MIN($D$413:$D$421)),$D417,""))</f>
        <v>0</v>
      </c>
      <c r="BG417">
        <f>IF($A417="","",$A417-WEEKDAY($A417,2)+1)</f>
        <v>0</v>
      </c>
      <c r="BH417">
        <f>IF($A417="","",IF($A416="",1,IF(BG417&lt;&gt;BG416,1,0)))</f>
        <v>0</v>
      </c>
      <c r="BI417">
        <f>IF($A417="","",IF($A418="",1,IF(BG418&lt;&gt;BG417,1,0)))</f>
        <v>0</v>
      </c>
      <c r="BJ417">
        <f>IF($A417="","",IF(BH417=1,$B417,BJ416))</f>
        <v>0</v>
      </c>
      <c r="BK417">
        <f>IF($A417="","",IF(BH417=1,$C417,MAX($C417,BK416)))</f>
        <v>0</v>
      </c>
      <c r="BL417">
        <f>IF($A417="","",IF(BH417=1,$D417,MIN($D417,BL416)))</f>
        <v>0</v>
      </c>
      <c r="BM417">
        <f>IF($A417="","",IF(BI417=1,F417,""))</f>
        <v>0</v>
      </c>
      <c r="BN417">
        <f>IF($A417="","",DATE(YEAR($A417),MONTH($A417),1))</f>
        <v>0</v>
      </c>
      <c r="BO417">
        <f>IF($A417="","",IF($A416="",1,IF(BN417&lt;&gt;BN416,1,0)))</f>
        <v>0</v>
      </c>
      <c r="BP417">
        <f>IF($A417="","",IF($A418="",1,IF(BN418&lt;&gt;BN417,1,0)))</f>
        <v>0</v>
      </c>
      <c r="BQ417">
        <f>IF($A417="","",IF(BO417=1,$B417,BQ416))</f>
        <v>0</v>
      </c>
      <c r="BR417">
        <f>IF($A417="","",IF(BO417=1,$C417,MAX($C417,BR416)))</f>
        <v>0</v>
      </c>
      <c r="BS417">
        <f>IF($A417="","",IF(BO417=1,$D417,MIN($D417,BS416)))</f>
        <v>0</v>
      </c>
      <c r="BT417">
        <f>IF($A417="","",IF(BP417=1,F417,""))</f>
        <v>0</v>
      </c>
    </row>
    <row r="418" spans="1:72">
      <c r="A418" s="27">
        <f>IF(Data!$A418="","",Data!$A418)</f>
        <v>0</v>
      </c>
      <c r="B418">
        <f>IF(Data!$B418="","",Data!$B418)</f>
        <v>0</v>
      </c>
      <c r="C418">
        <f>IF(Data!$C418="","",Data!$C418)</f>
        <v>0</v>
      </c>
      <c r="D418">
        <f>IF(Data!$D418="","",Data!$D418)</f>
        <v>0</v>
      </c>
      <c r="E418">
        <f>IF(Data!$E418="","",Data!$E418)</f>
        <v>0</v>
      </c>
      <c r="F418">
        <f>IF($E418="","",N(F417)+1)</f>
        <v>0</v>
      </c>
      <c r="G418">
        <f>IF(OR($E418="",$E417=""),"",LN($E418/$E417))</f>
        <v>0</v>
      </c>
      <c r="H418">
        <f>IF($E418="","",IF($E417="",$E418,$E418*0.0952380952+H417*0.9047619048))</f>
        <v>0</v>
      </c>
      <c r="I418">
        <f>IF($E418="","",IF($E417="",$E418,$E418*0.0392156863+I417*0.9607843137))</f>
        <v>0</v>
      </c>
      <c r="J418">
        <f>IF($E418="","",IF($E417="",$E418,$E418*0.0198019802+J417*0.9801980198))</f>
        <v>0</v>
      </c>
      <c r="K418">
        <f>IF($E418="","",IF($E417="",$E418,$E418*0.0099502488+K417*0.9900497512))</f>
        <v>0</v>
      </c>
      <c r="L418">
        <f>IF(OR($E418="",$E417=""),"",MAX($E418-$E417,0))</f>
        <v>0</v>
      </c>
      <c r="M418">
        <f>IF(OR($E418="",$E417=""),"",MAX($E417-$E418,0))</f>
        <v>0</v>
      </c>
      <c r="N418">
        <f>IF(COUNT($E$2:$E418)&lt;15,"",IF(AVERAGE($M$405:$M$418)=0,100,100-100/(1+AVERAGE($L$405:$L$418)/AVERAGE($M$405:$M$418))))</f>
        <v>0</v>
      </c>
      <c r="O418">
        <f>IF($E418="","",IF($E417="",$E418,$E418*0.1538461538+O417*0.8461538462))</f>
        <v>0</v>
      </c>
      <c r="P418">
        <f>IF($E418="","",IF($E417="",$E418,$E418*0.0740740741+P417*0.9259259259))</f>
        <v>0</v>
      </c>
      <c r="Q418">
        <f>IF(OR(O418="",P418=""),"",O418-P418)</f>
        <v>0</v>
      </c>
      <c r="R418">
        <f>IF(Q418="","",IF(R417="",Q418,Q418*0.2000000000+R417*0.8000000000))</f>
        <v>0</v>
      </c>
      <c r="S418">
        <f>IF(OR(Q418="",R418=""),"",Q418-R418)</f>
        <v>0</v>
      </c>
      <c r="T418">
        <f>IF(COUNT($E$2:$E418)&lt;14,"",MAX($C$405:$C$418))</f>
        <v>0</v>
      </c>
      <c r="U418">
        <f>IF(COUNT($E$2:$E418)&lt;14,"",MIN($D$405:$D$418))</f>
        <v>0</v>
      </c>
      <c r="V418">
        <f>IF(OR(T418="",U418="",T418=U418),"",100*($E418-U418)/(T418-U418))</f>
        <v>0</v>
      </c>
      <c r="W418">
        <f>IF(COUNT($V$416:$V$418)&lt;3,"",AVERAGE($V$416:$V$418))</f>
        <v>0</v>
      </c>
      <c r="X418">
        <f>IF(COUNT($N$405:$N$418)&lt;14,"",MIN($N$405:$N$418))</f>
        <v>0</v>
      </c>
      <c r="Y418">
        <f>IF(COUNT($N$405:$N$418)&lt;14,"",MAX($N$405:$N$418))</f>
        <v>0</v>
      </c>
      <c r="Z418">
        <f>IF(OR(N418="",X418="",Y418="",Y418=X418),"",100*(N418-X418)/(Y418-X418))</f>
        <v>0</v>
      </c>
      <c r="AA418">
        <f>IF(COUNT($Z$416:$Z$418)&lt;3,"",AVERAGE($Z$416:$Z$418))</f>
        <v>0</v>
      </c>
      <c r="AB418">
        <f>IF(COUNT($AA$416:$AA$418)&lt;3,"",AVERAGE($AA$416:$AA$418))</f>
        <v>0</v>
      </c>
      <c r="AC418">
        <f>IF($E418="","",MAX($C418-$D418,ABS($C418-$E417),ABS($D418-$E417)))</f>
        <v>0</v>
      </c>
      <c r="AD418">
        <f>IF(COUNT($E$2:$E418)&lt;15,"",AVERAGE($AC$405:$AC$418))</f>
        <v>0</v>
      </c>
      <c r="AE418">
        <f>IF(OR($E418="",$E417=""),"",IF(AND(($C418-$C417)&gt;($D417-$D418),($C418-$C417)&gt;0),$C418-$C417,0))</f>
        <v>0</v>
      </c>
      <c r="AF418">
        <f>IF(OR($E418="",$E417=""),"",IF(AND(($D417-$D418)&gt;($C418-$C417),($D417-$D418)&gt;0),$D417-$D418,0))</f>
        <v>0</v>
      </c>
      <c r="AG418">
        <f>IF(COUNT($E$2:$E418)&lt;15,"",IF(SUM($AC$405:$AC$418)=0,0,100*SUM($AE$405:$AE$418)/SUM($AC$405:$AC$418)))</f>
        <v>0</v>
      </c>
      <c r="AH418">
        <f>IF(COUNT($E$2:$E418)&lt;15,"",IF(SUM($AC$405:$AC$418)=0,0,100*SUM($AF$405:$AF$418)/SUM($AC$405:$AC$418)))</f>
        <v>0</v>
      </c>
      <c r="AI418">
        <f>IF(OR(AG418="",AH418=""),"",IF((AG418+AH418)=0,0,100*ABS(AG418-AH418)/(AG418+AH418)))</f>
        <v>0</v>
      </c>
      <c r="AJ418">
        <f>IF(COUNT($AI$405:$AI$418)&lt;14,"",AVERAGE($AI$405:$AI$418))</f>
        <v>0</v>
      </c>
      <c r="AK418">
        <f>IF(COUNT($E$2:$E418)&lt;20,"",AVERAGE($E$399:$E$418))</f>
        <v>0</v>
      </c>
      <c r="AL418">
        <f>IF(COUNT($E$2:$E418)&lt;20,"",STDEVP($E$399:$E$418))</f>
        <v>0</v>
      </c>
      <c r="AM418">
        <f>IF(AK418="","",AK418+2*AL418)</f>
        <v>0</v>
      </c>
      <c r="AN418">
        <f>IF(AK418="","",AK418-2*AL418)</f>
        <v>0</v>
      </c>
      <c r="AO418">
        <f>IF(OR(AM418="",AN418="",AM418=AN418),"",($E418-AN418)/(AM418-AN418))</f>
        <v>0</v>
      </c>
      <c r="AP418">
        <f>IF(OR(AM418="",AK418="",AK418=0),"",(AM418-AN418)/AK418)</f>
        <v>0</v>
      </c>
      <c r="AQ418">
        <f>IF(COUNT($E$2:$E418)&lt;20,"",MAX($C$399:$C$418))</f>
        <v>0</v>
      </c>
      <c r="AR418">
        <f>IF(COUNT($E$2:$E418)&lt;20,"",MIN($D$399:$D$418))</f>
        <v>0</v>
      </c>
      <c r="AS418">
        <f>IF(OR(AQ418="",AR418=""),"",(AQ418+AR418)/2)</f>
        <v>0</v>
      </c>
      <c r="AT418">
        <f>IF(COUNT($G$399:$G$418)&lt;20,"",STDEV($G$399:$G$418)*SQRT(252))</f>
        <v>0</v>
      </c>
      <c r="AU418">
        <f>IF(COUNT($E$2:$E418)&lt;9,"",(MAX($C$410:$C$418)+MIN($D$410:$D$418))/2)</f>
        <v>0</v>
      </c>
      <c r="AV418">
        <f>IF(COUNT($E$2:$E418)&lt;26,"",(MAX($C$393:$C$418)+MIN($D$393:$D$418))/2)</f>
        <v>0</v>
      </c>
      <c r="AW418">
        <f>IF(OR(AU418="",AV418=""),"",(AU418+AV418)/2)</f>
        <v>0</v>
      </c>
      <c r="AX418">
        <f>IF(COUNT($E$2:$E418)&lt;52,"",(MAX($C$367:$C$418)+MIN($D$367:$D$418))/2)</f>
        <v>0</v>
      </c>
      <c r="AY418">
        <f>IF(COUNT($E$2:$E418)&lt;20,"",MAX($C$319:$C$418))</f>
        <v>0</v>
      </c>
      <c r="AZ418">
        <f>IF(COUNT($E$2:$E418)&lt;20,"",MIN($D$319:$D$418))</f>
        <v>0</v>
      </c>
      <c r="BA418">
        <f>IF(COUNT($E$2:$E418)&lt;20,"",SLOPE($E$319:$E$418,$F$319:$F$418))</f>
        <v>0</v>
      </c>
      <c r="BB418">
        <f>IF(COUNT($E$2:$E418)&lt;20,"",INTERCEPT($E$319:$E$418,$F$319:$F$418))</f>
        <v>0</v>
      </c>
      <c r="BC418">
        <f>IF(OR(BA418="",BB418=""),"",BB418+BA418*F418)</f>
        <v>0</v>
      </c>
      <c r="BD418">
        <f>IF(COUNT($E$2:$E418)&lt;20,"",STEYX($E$319:$E$418,$F$319:$F$418))</f>
        <v>0</v>
      </c>
      <c r="BE418">
        <f>IF($E418="","",IF(AND(COUNT($E$419:$E$422)&gt;=4,$C418=MAX($C$414:$C$422)),$C418,""))</f>
        <v>0</v>
      </c>
      <c r="BF418">
        <f>IF($E418="","",IF(AND(COUNT($E$419:$E$422)&gt;=4,$D418=MIN($D$414:$D$422)),$D418,""))</f>
        <v>0</v>
      </c>
      <c r="BG418">
        <f>IF($A418="","",$A418-WEEKDAY($A418,2)+1)</f>
        <v>0</v>
      </c>
      <c r="BH418">
        <f>IF($A418="","",IF($A417="",1,IF(BG418&lt;&gt;BG417,1,0)))</f>
        <v>0</v>
      </c>
      <c r="BI418">
        <f>IF($A418="","",IF($A419="",1,IF(BG419&lt;&gt;BG418,1,0)))</f>
        <v>0</v>
      </c>
      <c r="BJ418">
        <f>IF($A418="","",IF(BH418=1,$B418,BJ417))</f>
        <v>0</v>
      </c>
      <c r="BK418">
        <f>IF($A418="","",IF(BH418=1,$C418,MAX($C418,BK417)))</f>
        <v>0</v>
      </c>
      <c r="BL418">
        <f>IF($A418="","",IF(BH418=1,$D418,MIN($D418,BL417)))</f>
        <v>0</v>
      </c>
      <c r="BM418">
        <f>IF($A418="","",IF(BI418=1,F418,""))</f>
        <v>0</v>
      </c>
      <c r="BN418">
        <f>IF($A418="","",DATE(YEAR($A418),MONTH($A418),1))</f>
        <v>0</v>
      </c>
      <c r="BO418">
        <f>IF($A418="","",IF($A417="",1,IF(BN418&lt;&gt;BN417,1,0)))</f>
        <v>0</v>
      </c>
      <c r="BP418">
        <f>IF($A418="","",IF($A419="",1,IF(BN419&lt;&gt;BN418,1,0)))</f>
        <v>0</v>
      </c>
      <c r="BQ418">
        <f>IF($A418="","",IF(BO418=1,$B418,BQ417))</f>
        <v>0</v>
      </c>
      <c r="BR418">
        <f>IF($A418="","",IF(BO418=1,$C418,MAX($C418,BR417)))</f>
        <v>0</v>
      </c>
      <c r="BS418">
        <f>IF($A418="","",IF(BO418=1,$D418,MIN($D418,BS417)))</f>
        <v>0</v>
      </c>
      <c r="BT418">
        <f>IF($A418="","",IF(BP418=1,F418,""))</f>
        <v>0</v>
      </c>
    </row>
    <row r="419" spans="1:72">
      <c r="A419" s="27">
        <f>IF(Data!$A419="","",Data!$A419)</f>
        <v>0</v>
      </c>
      <c r="B419">
        <f>IF(Data!$B419="","",Data!$B419)</f>
        <v>0</v>
      </c>
      <c r="C419">
        <f>IF(Data!$C419="","",Data!$C419)</f>
        <v>0</v>
      </c>
      <c r="D419">
        <f>IF(Data!$D419="","",Data!$D419)</f>
        <v>0</v>
      </c>
      <c r="E419">
        <f>IF(Data!$E419="","",Data!$E419)</f>
        <v>0</v>
      </c>
      <c r="F419">
        <f>IF($E419="","",N(F418)+1)</f>
        <v>0</v>
      </c>
      <c r="G419">
        <f>IF(OR($E419="",$E418=""),"",LN($E419/$E418))</f>
        <v>0</v>
      </c>
      <c r="H419">
        <f>IF($E419="","",IF($E418="",$E419,$E419*0.0952380952+H418*0.9047619048))</f>
        <v>0</v>
      </c>
      <c r="I419">
        <f>IF($E419="","",IF($E418="",$E419,$E419*0.0392156863+I418*0.9607843137))</f>
        <v>0</v>
      </c>
      <c r="J419">
        <f>IF($E419="","",IF($E418="",$E419,$E419*0.0198019802+J418*0.9801980198))</f>
        <v>0</v>
      </c>
      <c r="K419">
        <f>IF($E419="","",IF($E418="",$E419,$E419*0.0099502488+K418*0.9900497512))</f>
        <v>0</v>
      </c>
      <c r="L419">
        <f>IF(OR($E419="",$E418=""),"",MAX($E419-$E418,0))</f>
        <v>0</v>
      </c>
      <c r="M419">
        <f>IF(OR($E419="",$E418=""),"",MAX($E418-$E419,0))</f>
        <v>0</v>
      </c>
      <c r="N419">
        <f>IF(COUNT($E$2:$E419)&lt;15,"",IF(AVERAGE($M$406:$M$419)=0,100,100-100/(1+AVERAGE($L$406:$L$419)/AVERAGE($M$406:$M$419))))</f>
        <v>0</v>
      </c>
      <c r="O419">
        <f>IF($E419="","",IF($E418="",$E419,$E419*0.1538461538+O418*0.8461538462))</f>
        <v>0</v>
      </c>
      <c r="P419">
        <f>IF($E419="","",IF($E418="",$E419,$E419*0.0740740741+P418*0.9259259259))</f>
        <v>0</v>
      </c>
      <c r="Q419">
        <f>IF(OR(O419="",P419=""),"",O419-P419)</f>
        <v>0</v>
      </c>
      <c r="R419">
        <f>IF(Q419="","",IF(R418="",Q419,Q419*0.2000000000+R418*0.8000000000))</f>
        <v>0</v>
      </c>
      <c r="S419">
        <f>IF(OR(Q419="",R419=""),"",Q419-R419)</f>
        <v>0</v>
      </c>
      <c r="T419">
        <f>IF(COUNT($E$2:$E419)&lt;14,"",MAX($C$406:$C$419))</f>
        <v>0</v>
      </c>
      <c r="U419">
        <f>IF(COUNT($E$2:$E419)&lt;14,"",MIN($D$406:$D$419))</f>
        <v>0</v>
      </c>
      <c r="V419">
        <f>IF(OR(T419="",U419="",T419=U419),"",100*($E419-U419)/(T419-U419))</f>
        <v>0</v>
      </c>
      <c r="W419">
        <f>IF(COUNT($V$417:$V$419)&lt;3,"",AVERAGE($V$417:$V$419))</f>
        <v>0</v>
      </c>
      <c r="X419">
        <f>IF(COUNT($N$406:$N$419)&lt;14,"",MIN($N$406:$N$419))</f>
        <v>0</v>
      </c>
      <c r="Y419">
        <f>IF(COUNT($N$406:$N$419)&lt;14,"",MAX($N$406:$N$419))</f>
        <v>0</v>
      </c>
      <c r="Z419">
        <f>IF(OR(N419="",X419="",Y419="",Y419=X419),"",100*(N419-X419)/(Y419-X419))</f>
        <v>0</v>
      </c>
      <c r="AA419">
        <f>IF(COUNT($Z$417:$Z$419)&lt;3,"",AVERAGE($Z$417:$Z$419))</f>
        <v>0</v>
      </c>
      <c r="AB419">
        <f>IF(COUNT($AA$417:$AA$419)&lt;3,"",AVERAGE($AA$417:$AA$419))</f>
        <v>0</v>
      </c>
      <c r="AC419">
        <f>IF($E419="","",MAX($C419-$D419,ABS($C419-$E418),ABS($D419-$E418)))</f>
        <v>0</v>
      </c>
      <c r="AD419">
        <f>IF(COUNT($E$2:$E419)&lt;15,"",AVERAGE($AC$406:$AC$419))</f>
        <v>0</v>
      </c>
      <c r="AE419">
        <f>IF(OR($E419="",$E418=""),"",IF(AND(($C419-$C418)&gt;($D418-$D419),($C419-$C418)&gt;0),$C419-$C418,0))</f>
        <v>0</v>
      </c>
      <c r="AF419">
        <f>IF(OR($E419="",$E418=""),"",IF(AND(($D418-$D419)&gt;($C419-$C418),($D418-$D419)&gt;0),$D418-$D419,0))</f>
        <v>0</v>
      </c>
      <c r="AG419">
        <f>IF(COUNT($E$2:$E419)&lt;15,"",IF(SUM($AC$406:$AC$419)=0,0,100*SUM($AE$406:$AE$419)/SUM($AC$406:$AC$419)))</f>
        <v>0</v>
      </c>
      <c r="AH419">
        <f>IF(COUNT($E$2:$E419)&lt;15,"",IF(SUM($AC$406:$AC$419)=0,0,100*SUM($AF$406:$AF$419)/SUM($AC$406:$AC$419)))</f>
        <v>0</v>
      </c>
      <c r="AI419">
        <f>IF(OR(AG419="",AH419=""),"",IF((AG419+AH419)=0,0,100*ABS(AG419-AH419)/(AG419+AH419)))</f>
        <v>0</v>
      </c>
      <c r="AJ419">
        <f>IF(COUNT($AI$406:$AI$419)&lt;14,"",AVERAGE($AI$406:$AI$419))</f>
        <v>0</v>
      </c>
      <c r="AK419">
        <f>IF(COUNT($E$2:$E419)&lt;20,"",AVERAGE($E$400:$E$419))</f>
        <v>0</v>
      </c>
      <c r="AL419">
        <f>IF(COUNT($E$2:$E419)&lt;20,"",STDEVP($E$400:$E$419))</f>
        <v>0</v>
      </c>
      <c r="AM419">
        <f>IF(AK419="","",AK419+2*AL419)</f>
        <v>0</v>
      </c>
      <c r="AN419">
        <f>IF(AK419="","",AK419-2*AL419)</f>
        <v>0</v>
      </c>
      <c r="AO419">
        <f>IF(OR(AM419="",AN419="",AM419=AN419),"",($E419-AN419)/(AM419-AN419))</f>
        <v>0</v>
      </c>
      <c r="AP419">
        <f>IF(OR(AM419="",AK419="",AK419=0),"",(AM419-AN419)/AK419)</f>
        <v>0</v>
      </c>
      <c r="AQ419">
        <f>IF(COUNT($E$2:$E419)&lt;20,"",MAX($C$400:$C$419))</f>
        <v>0</v>
      </c>
      <c r="AR419">
        <f>IF(COUNT($E$2:$E419)&lt;20,"",MIN($D$400:$D$419))</f>
        <v>0</v>
      </c>
      <c r="AS419">
        <f>IF(OR(AQ419="",AR419=""),"",(AQ419+AR419)/2)</f>
        <v>0</v>
      </c>
      <c r="AT419">
        <f>IF(COUNT($G$400:$G$419)&lt;20,"",STDEV($G$400:$G$419)*SQRT(252))</f>
        <v>0</v>
      </c>
      <c r="AU419">
        <f>IF(COUNT($E$2:$E419)&lt;9,"",(MAX($C$411:$C$419)+MIN($D$411:$D$419))/2)</f>
        <v>0</v>
      </c>
      <c r="AV419">
        <f>IF(COUNT($E$2:$E419)&lt;26,"",(MAX($C$394:$C$419)+MIN($D$394:$D$419))/2)</f>
        <v>0</v>
      </c>
      <c r="AW419">
        <f>IF(OR(AU419="",AV419=""),"",(AU419+AV419)/2)</f>
        <v>0</v>
      </c>
      <c r="AX419">
        <f>IF(COUNT($E$2:$E419)&lt;52,"",(MAX($C$368:$C$419)+MIN($D$368:$D$419))/2)</f>
        <v>0</v>
      </c>
      <c r="AY419">
        <f>IF(COUNT($E$2:$E419)&lt;20,"",MAX($C$320:$C$419))</f>
        <v>0</v>
      </c>
      <c r="AZ419">
        <f>IF(COUNT($E$2:$E419)&lt;20,"",MIN($D$320:$D$419))</f>
        <v>0</v>
      </c>
      <c r="BA419">
        <f>IF(COUNT($E$2:$E419)&lt;20,"",SLOPE($E$320:$E$419,$F$320:$F$419))</f>
        <v>0</v>
      </c>
      <c r="BB419">
        <f>IF(COUNT($E$2:$E419)&lt;20,"",INTERCEPT($E$320:$E$419,$F$320:$F$419))</f>
        <v>0</v>
      </c>
      <c r="BC419">
        <f>IF(OR(BA419="",BB419=""),"",BB419+BA419*F419)</f>
        <v>0</v>
      </c>
      <c r="BD419">
        <f>IF(COUNT($E$2:$E419)&lt;20,"",STEYX($E$320:$E$419,$F$320:$F$419))</f>
        <v>0</v>
      </c>
      <c r="BE419">
        <f>IF($E419="","",IF(AND(COUNT($E$420:$E$423)&gt;=4,$C419=MAX($C$415:$C$423)),$C419,""))</f>
        <v>0</v>
      </c>
      <c r="BF419">
        <f>IF($E419="","",IF(AND(COUNT($E$420:$E$423)&gt;=4,$D419=MIN($D$415:$D$423)),$D419,""))</f>
        <v>0</v>
      </c>
      <c r="BG419">
        <f>IF($A419="","",$A419-WEEKDAY($A419,2)+1)</f>
        <v>0</v>
      </c>
      <c r="BH419">
        <f>IF($A419="","",IF($A418="",1,IF(BG419&lt;&gt;BG418,1,0)))</f>
        <v>0</v>
      </c>
      <c r="BI419">
        <f>IF($A419="","",IF($A420="",1,IF(BG420&lt;&gt;BG419,1,0)))</f>
        <v>0</v>
      </c>
      <c r="BJ419">
        <f>IF($A419="","",IF(BH419=1,$B419,BJ418))</f>
        <v>0</v>
      </c>
      <c r="BK419">
        <f>IF($A419="","",IF(BH419=1,$C419,MAX($C419,BK418)))</f>
        <v>0</v>
      </c>
      <c r="BL419">
        <f>IF($A419="","",IF(BH419=1,$D419,MIN($D419,BL418)))</f>
        <v>0</v>
      </c>
      <c r="BM419">
        <f>IF($A419="","",IF(BI419=1,F419,""))</f>
        <v>0</v>
      </c>
      <c r="BN419">
        <f>IF($A419="","",DATE(YEAR($A419),MONTH($A419),1))</f>
        <v>0</v>
      </c>
      <c r="BO419">
        <f>IF($A419="","",IF($A418="",1,IF(BN419&lt;&gt;BN418,1,0)))</f>
        <v>0</v>
      </c>
      <c r="BP419">
        <f>IF($A419="","",IF($A420="",1,IF(BN420&lt;&gt;BN419,1,0)))</f>
        <v>0</v>
      </c>
      <c r="BQ419">
        <f>IF($A419="","",IF(BO419=1,$B419,BQ418))</f>
        <v>0</v>
      </c>
      <c r="BR419">
        <f>IF($A419="","",IF(BO419=1,$C419,MAX($C419,BR418)))</f>
        <v>0</v>
      </c>
      <c r="BS419">
        <f>IF($A419="","",IF(BO419=1,$D419,MIN($D419,BS418)))</f>
        <v>0</v>
      </c>
      <c r="BT419">
        <f>IF($A419="","",IF(BP419=1,F419,""))</f>
        <v>0</v>
      </c>
    </row>
    <row r="420" spans="1:72">
      <c r="A420" s="27">
        <f>IF(Data!$A420="","",Data!$A420)</f>
        <v>0</v>
      </c>
      <c r="B420">
        <f>IF(Data!$B420="","",Data!$B420)</f>
        <v>0</v>
      </c>
      <c r="C420">
        <f>IF(Data!$C420="","",Data!$C420)</f>
        <v>0</v>
      </c>
      <c r="D420">
        <f>IF(Data!$D420="","",Data!$D420)</f>
        <v>0</v>
      </c>
      <c r="E420">
        <f>IF(Data!$E420="","",Data!$E420)</f>
        <v>0</v>
      </c>
      <c r="F420">
        <f>IF($E420="","",N(F419)+1)</f>
        <v>0</v>
      </c>
      <c r="G420">
        <f>IF(OR($E420="",$E419=""),"",LN($E420/$E419))</f>
        <v>0</v>
      </c>
      <c r="H420">
        <f>IF($E420="","",IF($E419="",$E420,$E420*0.0952380952+H419*0.9047619048))</f>
        <v>0</v>
      </c>
      <c r="I420">
        <f>IF($E420="","",IF($E419="",$E420,$E420*0.0392156863+I419*0.9607843137))</f>
        <v>0</v>
      </c>
      <c r="J420">
        <f>IF($E420="","",IF($E419="",$E420,$E420*0.0198019802+J419*0.9801980198))</f>
        <v>0</v>
      </c>
      <c r="K420">
        <f>IF($E420="","",IF($E419="",$E420,$E420*0.0099502488+K419*0.9900497512))</f>
        <v>0</v>
      </c>
      <c r="L420">
        <f>IF(OR($E420="",$E419=""),"",MAX($E420-$E419,0))</f>
        <v>0</v>
      </c>
      <c r="M420">
        <f>IF(OR($E420="",$E419=""),"",MAX($E419-$E420,0))</f>
        <v>0</v>
      </c>
      <c r="N420">
        <f>IF(COUNT($E$2:$E420)&lt;15,"",IF(AVERAGE($M$407:$M$420)=0,100,100-100/(1+AVERAGE($L$407:$L$420)/AVERAGE($M$407:$M$420))))</f>
        <v>0</v>
      </c>
      <c r="O420">
        <f>IF($E420="","",IF($E419="",$E420,$E420*0.1538461538+O419*0.8461538462))</f>
        <v>0</v>
      </c>
      <c r="P420">
        <f>IF($E420="","",IF($E419="",$E420,$E420*0.0740740741+P419*0.9259259259))</f>
        <v>0</v>
      </c>
      <c r="Q420">
        <f>IF(OR(O420="",P420=""),"",O420-P420)</f>
        <v>0</v>
      </c>
      <c r="R420">
        <f>IF(Q420="","",IF(R419="",Q420,Q420*0.2000000000+R419*0.8000000000))</f>
        <v>0</v>
      </c>
      <c r="S420">
        <f>IF(OR(Q420="",R420=""),"",Q420-R420)</f>
        <v>0</v>
      </c>
      <c r="T420">
        <f>IF(COUNT($E$2:$E420)&lt;14,"",MAX($C$407:$C$420))</f>
        <v>0</v>
      </c>
      <c r="U420">
        <f>IF(COUNT($E$2:$E420)&lt;14,"",MIN($D$407:$D$420))</f>
        <v>0</v>
      </c>
      <c r="V420">
        <f>IF(OR(T420="",U420="",T420=U420),"",100*($E420-U420)/(T420-U420))</f>
        <v>0</v>
      </c>
      <c r="W420">
        <f>IF(COUNT($V$418:$V$420)&lt;3,"",AVERAGE($V$418:$V$420))</f>
        <v>0</v>
      </c>
      <c r="X420">
        <f>IF(COUNT($N$407:$N$420)&lt;14,"",MIN($N$407:$N$420))</f>
        <v>0</v>
      </c>
      <c r="Y420">
        <f>IF(COUNT($N$407:$N$420)&lt;14,"",MAX($N$407:$N$420))</f>
        <v>0</v>
      </c>
      <c r="Z420">
        <f>IF(OR(N420="",X420="",Y420="",Y420=X420),"",100*(N420-X420)/(Y420-X420))</f>
        <v>0</v>
      </c>
      <c r="AA420">
        <f>IF(COUNT($Z$418:$Z$420)&lt;3,"",AVERAGE($Z$418:$Z$420))</f>
        <v>0</v>
      </c>
      <c r="AB420">
        <f>IF(COUNT($AA$418:$AA$420)&lt;3,"",AVERAGE($AA$418:$AA$420))</f>
        <v>0</v>
      </c>
      <c r="AC420">
        <f>IF($E420="","",MAX($C420-$D420,ABS($C420-$E419),ABS($D420-$E419)))</f>
        <v>0</v>
      </c>
      <c r="AD420">
        <f>IF(COUNT($E$2:$E420)&lt;15,"",AVERAGE($AC$407:$AC$420))</f>
        <v>0</v>
      </c>
      <c r="AE420">
        <f>IF(OR($E420="",$E419=""),"",IF(AND(($C420-$C419)&gt;($D419-$D420),($C420-$C419)&gt;0),$C420-$C419,0))</f>
        <v>0</v>
      </c>
      <c r="AF420">
        <f>IF(OR($E420="",$E419=""),"",IF(AND(($D419-$D420)&gt;($C420-$C419),($D419-$D420)&gt;0),$D419-$D420,0))</f>
        <v>0</v>
      </c>
      <c r="AG420">
        <f>IF(COUNT($E$2:$E420)&lt;15,"",IF(SUM($AC$407:$AC$420)=0,0,100*SUM($AE$407:$AE$420)/SUM($AC$407:$AC$420)))</f>
        <v>0</v>
      </c>
      <c r="AH420">
        <f>IF(COUNT($E$2:$E420)&lt;15,"",IF(SUM($AC$407:$AC$420)=0,0,100*SUM($AF$407:$AF$420)/SUM($AC$407:$AC$420)))</f>
        <v>0</v>
      </c>
      <c r="AI420">
        <f>IF(OR(AG420="",AH420=""),"",IF((AG420+AH420)=0,0,100*ABS(AG420-AH420)/(AG420+AH420)))</f>
        <v>0</v>
      </c>
      <c r="AJ420">
        <f>IF(COUNT($AI$407:$AI$420)&lt;14,"",AVERAGE($AI$407:$AI$420))</f>
        <v>0</v>
      </c>
      <c r="AK420">
        <f>IF(COUNT($E$2:$E420)&lt;20,"",AVERAGE($E$401:$E$420))</f>
        <v>0</v>
      </c>
      <c r="AL420">
        <f>IF(COUNT($E$2:$E420)&lt;20,"",STDEVP($E$401:$E$420))</f>
        <v>0</v>
      </c>
      <c r="AM420">
        <f>IF(AK420="","",AK420+2*AL420)</f>
        <v>0</v>
      </c>
      <c r="AN420">
        <f>IF(AK420="","",AK420-2*AL420)</f>
        <v>0</v>
      </c>
      <c r="AO420">
        <f>IF(OR(AM420="",AN420="",AM420=AN420),"",($E420-AN420)/(AM420-AN420))</f>
        <v>0</v>
      </c>
      <c r="AP420">
        <f>IF(OR(AM420="",AK420="",AK420=0),"",(AM420-AN420)/AK420)</f>
        <v>0</v>
      </c>
      <c r="AQ420">
        <f>IF(COUNT($E$2:$E420)&lt;20,"",MAX($C$401:$C$420))</f>
        <v>0</v>
      </c>
      <c r="AR420">
        <f>IF(COUNT($E$2:$E420)&lt;20,"",MIN($D$401:$D$420))</f>
        <v>0</v>
      </c>
      <c r="AS420">
        <f>IF(OR(AQ420="",AR420=""),"",(AQ420+AR420)/2)</f>
        <v>0</v>
      </c>
      <c r="AT420">
        <f>IF(COUNT($G$401:$G$420)&lt;20,"",STDEV($G$401:$G$420)*SQRT(252))</f>
        <v>0</v>
      </c>
      <c r="AU420">
        <f>IF(COUNT($E$2:$E420)&lt;9,"",(MAX($C$412:$C$420)+MIN($D$412:$D$420))/2)</f>
        <v>0</v>
      </c>
      <c r="AV420">
        <f>IF(COUNT($E$2:$E420)&lt;26,"",(MAX($C$395:$C$420)+MIN($D$395:$D$420))/2)</f>
        <v>0</v>
      </c>
      <c r="AW420">
        <f>IF(OR(AU420="",AV420=""),"",(AU420+AV420)/2)</f>
        <v>0</v>
      </c>
      <c r="AX420">
        <f>IF(COUNT($E$2:$E420)&lt;52,"",(MAX($C$369:$C$420)+MIN($D$369:$D$420))/2)</f>
        <v>0</v>
      </c>
      <c r="AY420">
        <f>IF(COUNT($E$2:$E420)&lt;20,"",MAX($C$321:$C$420))</f>
        <v>0</v>
      </c>
      <c r="AZ420">
        <f>IF(COUNT($E$2:$E420)&lt;20,"",MIN($D$321:$D$420))</f>
        <v>0</v>
      </c>
      <c r="BA420">
        <f>IF(COUNT($E$2:$E420)&lt;20,"",SLOPE($E$321:$E$420,$F$321:$F$420))</f>
        <v>0</v>
      </c>
      <c r="BB420">
        <f>IF(COUNT($E$2:$E420)&lt;20,"",INTERCEPT($E$321:$E$420,$F$321:$F$420))</f>
        <v>0</v>
      </c>
      <c r="BC420">
        <f>IF(OR(BA420="",BB420=""),"",BB420+BA420*F420)</f>
        <v>0</v>
      </c>
      <c r="BD420">
        <f>IF(COUNT($E$2:$E420)&lt;20,"",STEYX($E$321:$E$420,$F$321:$F$420))</f>
        <v>0</v>
      </c>
      <c r="BE420">
        <f>IF($E420="","",IF(AND(COUNT($E$421:$E$424)&gt;=4,$C420=MAX($C$416:$C$424)),$C420,""))</f>
        <v>0</v>
      </c>
      <c r="BF420">
        <f>IF($E420="","",IF(AND(COUNT($E$421:$E$424)&gt;=4,$D420=MIN($D$416:$D$424)),$D420,""))</f>
        <v>0</v>
      </c>
      <c r="BG420">
        <f>IF($A420="","",$A420-WEEKDAY($A420,2)+1)</f>
        <v>0</v>
      </c>
      <c r="BH420">
        <f>IF($A420="","",IF($A419="",1,IF(BG420&lt;&gt;BG419,1,0)))</f>
        <v>0</v>
      </c>
      <c r="BI420">
        <f>IF($A420="","",IF($A421="",1,IF(BG421&lt;&gt;BG420,1,0)))</f>
        <v>0</v>
      </c>
      <c r="BJ420">
        <f>IF($A420="","",IF(BH420=1,$B420,BJ419))</f>
        <v>0</v>
      </c>
      <c r="BK420">
        <f>IF($A420="","",IF(BH420=1,$C420,MAX($C420,BK419)))</f>
        <v>0</v>
      </c>
      <c r="BL420">
        <f>IF($A420="","",IF(BH420=1,$D420,MIN($D420,BL419)))</f>
        <v>0</v>
      </c>
      <c r="BM420">
        <f>IF($A420="","",IF(BI420=1,F420,""))</f>
        <v>0</v>
      </c>
      <c r="BN420">
        <f>IF($A420="","",DATE(YEAR($A420),MONTH($A420),1))</f>
        <v>0</v>
      </c>
      <c r="BO420">
        <f>IF($A420="","",IF($A419="",1,IF(BN420&lt;&gt;BN419,1,0)))</f>
        <v>0</v>
      </c>
      <c r="BP420">
        <f>IF($A420="","",IF($A421="",1,IF(BN421&lt;&gt;BN420,1,0)))</f>
        <v>0</v>
      </c>
      <c r="BQ420">
        <f>IF($A420="","",IF(BO420=1,$B420,BQ419))</f>
        <v>0</v>
      </c>
      <c r="BR420">
        <f>IF($A420="","",IF(BO420=1,$C420,MAX($C420,BR419)))</f>
        <v>0</v>
      </c>
      <c r="BS420">
        <f>IF($A420="","",IF(BO420=1,$D420,MIN($D420,BS419)))</f>
        <v>0</v>
      </c>
      <c r="BT420">
        <f>IF($A420="","",IF(BP420=1,F420,""))</f>
        <v>0</v>
      </c>
    </row>
    <row r="421" spans="1:72">
      <c r="A421" s="27">
        <f>IF(Data!$A421="","",Data!$A421)</f>
        <v>0</v>
      </c>
      <c r="B421">
        <f>IF(Data!$B421="","",Data!$B421)</f>
        <v>0</v>
      </c>
      <c r="C421">
        <f>IF(Data!$C421="","",Data!$C421)</f>
        <v>0</v>
      </c>
      <c r="D421">
        <f>IF(Data!$D421="","",Data!$D421)</f>
        <v>0</v>
      </c>
      <c r="E421">
        <f>IF(Data!$E421="","",Data!$E421)</f>
        <v>0</v>
      </c>
      <c r="F421">
        <f>IF($E421="","",N(F420)+1)</f>
        <v>0</v>
      </c>
      <c r="G421">
        <f>IF(OR($E421="",$E420=""),"",LN($E421/$E420))</f>
        <v>0</v>
      </c>
      <c r="H421">
        <f>IF($E421="","",IF($E420="",$E421,$E421*0.0952380952+H420*0.9047619048))</f>
        <v>0</v>
      </c>
      <c r="I421">
        <f>IF($E421="","",IF($E420="",$E421,$E421*0.0392156863+I420*0.9607843137))</f>
        <v>0</v>
      </c>
      <c r="J421">
        <f>IF($E421="","",IF($E420="",$E421,$E421*0.0198019802+J420*0.9801980198))</f>
        <v>0</v>
      </c>
      <c r="K421">
        <f>IF($E421="","",IF($E420="",$E421,$E421*0.0099502488+K420*0.9900497512))</f>
        <v>0</v>
      </c>
      <c r="L421">
        <f>IF(OR($E421="",$E420=""),"",MAX($E421-$E420,0))</f>
        <v>0</v>
      </c>
      <c r="M421">
        <f>IF(OR($E421="",$E420=""),"",MAX($E420-$E421,0))</f>
        <v>0</v>
      </c>
      <c r="N421">
        <f>IF(COUNT($E$2:$E421)&lt;15,"",IF(AVERAGE($M$408:$M$421)=0,100,100-100/(1+AVERAGE($L$408:$L$421)/AVERAGE($M$408:$M$421))))</f>
        <v>0</v>
      </c>
      <c r="O421">
        <f>IF($E421="","",IF($E420="",$E421,$E421*0.1538461538+O420*0.8461538462))</f>
        <v>0</v>
      </c>
      <c r="P421">
        <f>IF($E421="","",IF($E420="",$E421,$E421*0.0740740741+P420*0.9259259259))</f>
        <v>0</v>
      </c>
      <c r="Q421">
        <f>IF(OR(O421="",P421=""),"",O421-P421)</f>
        <v>0</v>
      </c>
      <c r="R421">
        <f>IF(Q421="","",IF(R420="",Q421,Q421*0.2000000000+R420*0.8000000000))</f>
        <v>0</v>
      </c>
      <c r="S421">
        <f>IF(OR(Q421="",R421=""),"",Q421-R421)</f>
        <v>0</v>
      </c>
      <c r="T421">
        <f>IF(COUNT($E$2:$E421)&lt;14,"",MAX($C$408:$C$421))</f>
        <v>0</v>
      </c>
      <c r="U421">
        <f>IF(COUNT($E$2:$E421)&lt;14,"",MIN($D$408:$D$421))</f>
        <v>0</v>
      </c>
      <c r="V421">
        <f>IF(OR(T421="",U421="",T421=U421),"",100*($E421-U421)/(T421-U421))</f>
        <v>0</v>
      </c>
      <c r="W421">
        <f>IF(COUNT($V$419:$V$421)&lt;3,"",AVERAGE($V$419:$V$421))</f>
        <v>0</v>
      </c>
      <c r="X421">
        <f>IF(COUNT($N$408:$N$421)&lt;14,"",MIN($N$408:$N$421))</f>
        <v>0</v>
      </c>
      <c r="Y421">
        <f>IF(COUNT($N$408:$N$421)&lt;14,"",MAX($N$408:$N$421))</f>
        <v>0</v>
      </c>
      <c r="Z421">
        <f>IF(OR(N421="",X421="",Y421="",Y421=X421),"",100*(N421-X421)/(Y421-X421))</f>
        <v>0</v>
      </c>
      <c r="AA421">
        <f>IF(COUNT($Z$419:$Z$421)&lt;3,"",AVERAGE($Z$419:$Z$421))</f>
        <v>0</v>
      </c>
      <c r="AB421">
        <f>IF(COUNT($AA$419:$AA$421)&lt;3,"",AVERAGE($AA$419:$AA$421))</f>
        <v>0</v>
      </c>
      <c r="AC421">
        <f>IF($E421="","",MAX($C421-$D421,ABS($C421-$E420),ABS($D421-$E420)))</f>
        <v>0</v>
      </c>
      <c r="AD421">
        <f>IF(COUNT($E$2:$E421)&lt;15,"",AVERAGE($AC$408:$AC$421))</f>
        <v>0</v>
      </c>
      <c r="AE421">
        <f>IF(OR($E421="",$E420=""),"",IF(AND(($C421-$C420)&gt;($D420-$D421),($C421-$C420)&gt;0),$C421-$C420,0))</f>
        <v>0</v>
      </c>
      <c r="AF421">
        <f>IF(OR($E421="",$E420=""),"",IF(AND(($D420-$D421)&gt;($C421-$C420),($D420-$D421)&gt;0),$D420-$D421,0))</f>
        <v>0</v>
      </c>
      <c r="AG421">
        <f>IF(COUNT($E$2:$E421)&lt;15,"",IF(SUM($AC$408:$AC$421)=0,0,100*SUM($AE$408:$AE$421)/SUM($AC$408:$AC$421)))</f>
        <v>0</v>
      </c>
      <c r="AH421">
        <f>IF(COUNT($E$2:$E421)&lt;15,"",IF(SUM($AC$408:$AC$421)=0,0,100*SUM($AF$408:$AF$421)/SUM($AC$408:$AC$421)))</f>
        <v>0</v>
      </c>
      <c r="AI421">
        <f>IF(OR(AG421="",AH421=""),"",IF((AG421+AH421)=0,0,100*ABS(AG421-AH421)/(AG421+AH421)))</f>
        <v>0</v>
      </c>
      <c r="AJ421">
        <f>IF(COUNT($AI$408:$AI$421)&lt;14,"",AVERAGE($AI$408:$AI$421))</f>
        <v>0</v>
      </c>
      <c r="AK421">
        <f>IF(COUNT($E$2:$E421)&lt;20,"",AVERAGE($E$402:$E$421))</f>
        <v>0</v>
      </c>
      <c r="AL421">
        <f>IF(COUNT($E$2:$E421)&lt;20,"",STDEVP($E$402:$E$421))</f>
        <v>0</v>
      </c>
      <c r="AM421">
        <f>IF(AK421="","",AK421+2*AL421)</f>
        <v>0</v>
      </c>
      <c r="AN421">
        <f>IF(AK421="","",AK421-2*AL421)</f>
        <v>0</v>
      </c>
      <c r="AO421">
        <f>IF(OR(AM421="",AN421="",AM421=AN421),"",($E421-AN421)/(AM421-AN421))</f>
        <v>0</v>
      </c>
      <c r="AP421">
        <f>IF(OR(AM421="",AK421="",AK421=0),"",(AM421-AN421)/AK421)</f>
        <v>0</v>
      </c>
      <c r="AQ421">
        <f>IF(COUNT($E$2:$E421)&lt;20,"",MAX($C$402:$C$421))</f>
        <v>0</v>
      </c>
      <c r="AR421">
        <f>IF(COUNT($E$2:$E421)&lt;20,"",MIN($D$402:$D$421))</f>
        <v>0</v>
      </c>
      <c r="AS421">
        <f>IF(OR(AQ421="",AR421=""),"",(AQ421+AR421)/2)</f>
        <v>0</v>
      </c>
      <c r="AT421">
        <f>IF(COUNT($G$402:$G$421)&lt;20,"",STDEV($G$402:$G$421)*SQRT(252))</f>
        <v>0</v>
      </c>
      <c r="AU421">
        <f>IF(COUNT($E$2:$E421)&lt;9,"",(MAX($C$413:$C$421)+MIN($D$413:$D$421))/2)</f>
        <v>0</v>
      </c>
      <c r="AV421">
        <f>IF(COUNT($E$2:$E421)&lt;26,"",(MAX($C$396:$C$421)+MIN($D$396:$D$421))/2)</f>
        <v>0</v>
      </c>
      <c r="AW421">
        <f>IF(OR(AU421="",AV421=""),"",(AU421+AV421)/2)</f>
        <v>0</v>
      </c>
      <c r="AX421">
        <f>IF(COUNT($E$2:$E421)&lt;52,"",(MAX($C$370:$C$421)+MIN($D$370:$D$421))/2)</f>
        <v>0</v>
      </c>
      <c r="AY421">
        <f>IF(COUNT($E$2:$E421)&lt;20,"",MAX($C$322:$C$421))</f>
        <v>0</v>
      </c>
      <c r="AZ421">
        <f>IF(COUNT($E$2:$E421)&lt;20,"",MIN($D$322:$D$421))</f>
        <v>0</v>
      </c>
      <c r="BA421">
        <f>IF(COUNT($E$2:$E421)&lt;20,"",SLOPE($E$322:$E$421,$F$322:$F$421))</f>
        <v>0</v>
      </c>
      <c r="BB421">
        <f>IF(COUNT($E$2:$E421)&lt;20,"",INTERCEPT($E$322:$E$421,$F$322:$F$421))</f>
        <v>0</v>
      </c>
      <c r="BC421">
        <f>IF(OR(BA421="",BB421=""),"",BB421+BA421*F421)</f>
        <v>0</v>
      </c>
      <c r="BD421">
        <f>IF(COUNT($E$2:$E421)&lt;20,"",STEYX($E$322:$E$421,$F$322:$F$421))</f>
        <v>0</v>
      </c>
      <c r="BE421">
        <f>IF($E421="","",IF(AND(COUNT($E$422:$E$425)&gt;=4,$C421=MAX($C$417:$C$425)),$C421,""))</f>
        <v>0</v>
      </c>
      <c r="BF421">
        <f>IF($E421="","",IF(AND(COUNT($E$422:$E$425)&gt;=4,$D421=MIN($D$417:$D$425)),$D421,""))</f>
        <v>0</v>
      </c>
      <c r="BG421">
        <f>IF($A421="","",$A421-WEEKDAY($A421,2)+1)</f>
        <v>0</v>
      </c>
      <c r="BH421">
        <f>IF($A421="","",IF($A420="",1,IF(BG421&lt;&gt;BG420,1,0)))</f>
        <v>0</v>
      </c>
      <c r="BI421">
        <f>IF($A421="","",IF($A422="",1,IF(BG422&lt;&gt;BG421,1,0)))</f>
        <v>0</v>
      </c>
      <c r="BJ421">
        <f>IF($A421="","",IF(BH421=1,$B421,BJ420))</f>
        <v>0</v>
      </c>
      <c r="BK421">
        <f>IF($A421="","",IF(BH421=1,$C421,MAX($C421,BK420)))</f>
        <v>0</v>
      </c>
      <c r="BL421">
        <f>IF($A421="","",IF(BH421=1,$D421,MIN($D421,BL420)))</f>
        <v>0</v>
      </c>
      <c r="BM421">
        <f>IF($A421="","",IF(BI421=1,F421,""))</f>
        <v>0</v>
      </c>
      <c r="BN421">
        <f>IF($A421="","",DATE(YEAR($A421),MONTH($A421),1))</f>
        <v>0</v>
      </c>
      <c r="BO421">
        <f>IF($A421="","",IF($A420="",1,IF(BN421&lt;&gt;BN420,1,0)))</f>
        <v>0</v>
      </c>
      <c r="BP421">
        <f>IF($A421="","",IF($A422="",1,IF(BN422&lt;&gt;BN421,1,0)))</f>
        <v>0</v>
      </c>
      <c r="BQ421">
        <f>IF($A421="","",IF(BO421=1,$B421,BQ420))</f>
        <v>0</v>
      </c>
      <c r="BR421">
        <f>IF($A421="","",IF(BO421=1,$C421,MAX($C421,BR420)))</f>
        <v>0</v>
      </c>
      <c r="BS421">
        <f>IF($A421="","",IF(BO421=1,$D421,MIN($D421,BS420)))</f>
        <v>0</v>
      </c>
      <c r="BT421">
        <f>IF($A421="","",IF(BP421=1,F421,""))</f>
        <v>0</v>
      </c>
    </row>
    <row r="422" spans="1:72">
      <c r="A422" s="27">
        <f>IF(Data!$A422="","",Data!$A422)</f>
        <v>0</v>
      </c>
      <c r="B422">
        <f>IF(Data!$B422="","",Data!$B422)</f>
        <v>0</v>
      </c>
      <c r="C422">
        <f>IF(Data!$C422="","",Data!$C422)</f>
        <v>0</v>
      </c>
      <c r="D422">
        <f>IF(Data!$D422="","",Data!$D422)</f>
        <v>0</v>
      </c>
      <c r="E422">
        <f>IF(Data!$E422="","",Data!$E422)</f>
        <v>0</v>
      </c>
      <c r="F422">
        <f>IF($E422="","",N(F421)+1)</f>
        <v>0</v>
      </c>
      <c r="G422">
        <f>IF(OR($E422="",$E421=""),"",LN($E422/$E421))</f>
        <v>0</v>
      </c>
      <c r="H422">
        <f>IF($E422="","",IF($E421="",$E422,$E422*0.0952380952+H421*0.9047619048))</f>
        <v>0</v>
      </c>
      <c r="I422">
        <f>IF($E422="","",IF($E421="",$E422,$E422*0.0392156863+I421*0.9607843137))</f>
        <v>0</v>
      </c>
      <c r="J422">
        <f>IF($E422="","",IF($E421="",$E422,$E422*0.0198019802+J421*0.9801980198))</f>
        <v>0</v>
      </c>
      <c r="K422">
        <f>IF($E422="","",IF($E421="",$E422,$E422*0.0099502488+K421*0.9900497512))</f>
        <v>0</v>
      </c>
      <c r="L422">
        <f>IF(OR($E422="",$E421=""),"",MAX($E422-$E421,0))</f>
        <v>0</v>
      </c>
      <c r="M422">
        <f>IF(OR($E422="",$E421=""),"",MAX($E421-$E422,0))</f>
        <v>0</v>
      </c>
      <c r="N422">
        <f>IF(COUNT($E$2:$E422)&lt;15,"",IF(AVERAGE($M$409:$M$422)=0,100,100-100/(1+AVERAGE($L$409:$L$422)/AVERAGE($M$409:$M$422))))</f>
        <v>0</v>
      </c>
      <c r="O422">
        <f>IF($E422="","",IF($E421="",$E422,$E422*0.1538461538+O421*0.8461538462))</f>
        <v>0</v>
      </c>
      <c r="P422">
        <f>IF($E422="","",IF($E421="",$E422,$E422*0.0740740741+P421*0.9259259259))</f>
        <v>0</v>
      </c>
      <c r="Q422">
        <f>IF(OR(O422="",P422=""),"",O422-P422)</f>
        <v>0</v>
      </c>
      <c r="R422">
        <f>IF(Q422="","",IF(R421="",Q422,Q422*0.2000000000+R421*0.8000000000))</f>
        <v>0</v>
      </c>
      <c r="S422">
        <f>IF(OR(Q422="",R422=""),"",Q422-R422)</f>
        <v>0</v>
      </c>
      <c r="T422">
        <f>IF(COUNT($E$2:$E422)&lt;14,"",MAX($C$409:$C$422))</f>
        <v>0</v>
      </c>
      <c r="U422">
        <f>IF(COUNT($E$2:$E422)&lt;14,"",MIN($D$409:$D$422))</f>
        <v>0</v>
      </c>
      <c r="V422">
        <f>IF(OR(T422="",U422="",T422=U422),"",100*($E422-U422)/(T422-U422))</f>
        <v>0</v>
      </c>
      <c r="W422">
        <f>IF(COUNT($V$420:$V$422)&lt;3,"",AVERAGE($V$420:$V$422))</f>
        <v>0</v>
      </c>
      <c r="X422">
        <f>IF(COUNT($N$409:$N$422)&lt;14,"",MIN($N$409:$N$422))</f>
        <v>0</v>
      </c>
      <c r="Y422">
        <f>IF(COUNT($N$409:$N$422)&lt;14,"",MAX($N$409:$N$422))</f>
        <v>0</v>
      </c>
      <c r="Z422">
        <f>IF(OR(N422="",X422="",Y422="",Y422=X422),"",100*(N422-X422)/(Y422-X422))</f>
        <v>0</v>
      </c>
      <c r="AA422">
        <f>IF(COUNT($Z$420:$Z$422)&lt;3,"",AVERAGE($Z$420:$Z$422))</f>
        <v>0</v>
      </c>
      <c r="AB422">
        <f>IF(COUNT($AA$420:$AA$422)&lt;3,"",AVERAGE($AA$420:$AA$422))</f>
        <v>0</v>
      </c>
      <c r="AC422">
        <f>IF($E422="","",MAX($C422-$D422,ABS($C422-$E421),ABS($D422-$E421)))</f>
        <v>0</v>
      </c>
      <c r="AD422">
        <f>IF(COUNT($E$2:$E422)&lt;15,"",AVERAGE($AC$409:$AC$422))</f>
        <v>0</v>
      </c>
      <c r="AE422">
        <f>IF(OR($E422="",$E421=""),"",IF(AND(($C422-$C421)&gt;($D421-$D422),($C422-$C421)&gt;0),$C422-$C421,0))</f>
        <v>0</v>
      </c>
      <c r="AF422">
        <f>IF(OR($E422="",$E421=""),"",IF(AND(($D421-$D422)&gt;($C422-$C421),($D421-$D422)&gt;0),$D421-$D422,0))</f>
        <v>0</v>
      </c>
      <c r="AG422">
        <f>IF(COUNT($E$2:$E422)&lt;15,"",IF(SUM($AC$409:$AC$422)=0,0,100*SUM($AE$409:$AE$422)/SUM($AC$409:$AC$422)))</f>
        <v>0</v>
      </c>
      <c r="AH422">
        <f>IF(COUNT($E$2:$E422)&lt;15,"",IF(SUM($AC$409:$AC$422)=0,0,100*SUM($AF$409:$AF$422)/SUM($AC$409:$AC$422)))</f>
        <v>0</v>
      </c>
      <c r="AI422">
        <f>IF(OR(AG422="",AH422=""),"",IF((AG422+AH422)=0,0,100*ABS(AG422-AH422)/(AG422+AH422)))</f>
        <v>0</v>
      </c>
      <c r="AJ422">
        <f>IF(COUNT($AI$409:$AI$422)&lt;14,"",AVERAGE($AI$409:$AI$422))</f>
        <v>0</v>
      </c>
      <c r="AK422">
        <f>IF(COUNT($E$2:$E422)&lt;20,"",AVERAGE($E$403:$E$422))</f>
        <v>0</v>
      </c>
      <c r="AL422">
        <f>IF(COUNT($E$2:$E422)&lt;20,"",STDEVP($E$403:$E$422))</f>
        <v>0</v>
      </c>
      <c r="AM422">
        <f>IF(AK422="","",AK422+2*AL422)</f>
        <v>0</v>
      </c>
      <c r="AN422">
        <f>IF(AK422="","",AK422-2*AL422)</f>
        <v>0</v>
      </c>
      <c r="AO422">
        <f>IF(OR(AM422="",AN422="",AM422=AN422),"",($E422-AN422)/(AM422-AN422))</f>
        <v>0</v>
      </c>
      <c r="AP422">
        <f>IF(OR(AM422="",AK422="",AK422=0),"",(AM422-AN422)/AK422)</f>
        <v>0</v>
      </c>
      <c r="AQ422">
        <f>IF(COUNT($E$2:$E422)&lt;20,"",MAX($C$403:$C$422))</f>
        <v>0</v>
      </c>
      <c r="AR422">
        <f>IF(COUNT($E$2:$E422)&lt;20,"",MIN($D$403:$D$422))</f>
        <v>0</v>
      </c>
      <c r="AS422">
        <f>IF(OR(AQ422="",AR422=""),"",(AQ422+AR422)/2)</f>
        <v>0</v>
      </c>
      <c r="AT422">
        <f>IF(COUNT($G$403:$G$422)&lt;20,"",STDEV($G$403:$G$422)*SQRT(252))</f>
        <v>0</v>
      </c>
      <c r="AU422">
        <f>IF(COUNT($E$2:$E422)&lt;9,"",(MAX($C$414:$C$422)+MIN($D$414:$D$422))/2)</f>
        <v>0</v>
      </c>
      <c r="AV422">
        <f>IF(COUNT($E$2:$E422)&lt;26,"",(MAX($C$397:$C$422)+MIN($D$397:$D$422))/2)</f>
        <v>0</v>
      </c>
      <c r="AW422">
        <f>IF(OR(AU422="",AV422=""),"",(AU422+AV422)/2)</f>
        <v>0</v>
      </c>
      <c r="AX422">
        <f>IF(COUNT($E$2:$E422)&lt;52,"",(MAX($C$371:$C$422)+MIN($D$371:$D$422))/2)</f>
        <v>0</v>
      </c>
      <c r="AY422">
        <f>IF(COUNT($E$2:$E422)&lt;20,"",MAX($C$323:$C$422))</f>
        <v>0</v>
      </c>
      <c r="AZ422">
        <f>IF(COUNT($E$2:$E422)&lt;20,"",MIN($D$323:$D$422))</f>
        <v>0</v>
      </c>
      <c r="BA422">
        <f>IF(COUNT($E$2:$E422)&lt;20,"",SLOPE($E$323:$E$422,$F$323:$F$422))</f>
        <v>0</v>
      </c>
      <c r="BB422">
        <f>IF(COUNT($E$2:$E422)&lt;20,"",INTERCEPT($E$323:$E$422,$F$323:$F$422))</f>
        <v>0</v>
      </c>
      <c r="BC422">
        <f>IF(OR(BA422="",BB422=""),"",BB422+BA422*F422)</f>
        <v>0</v>
      </c>
      <c r="BD422">
        <f>IF(COUNT($E$2:$E422)&lt;20,"",STEYX($E$323:$E$422,$F$323:$F$422))</f>
        <v>0</v>
      </c>
      <c r="BE422">
        <f>IF($E422="","",IF(AND(COUNT($E$423:$E$426)&gt;=4,$C422=MAX($C$418:$C$426)),$C422,""))</f>
        <v>0</v>
      </c>
      <c r="BF422">
        <f>IF($E422="","",IF(AND(COUNT($E$423:$E$426)&gt;=4,$D422=MIN($D$418:$D$426)),$D422,""))</f>
        <v>0</v>
      </c>
      <c r="BG422">
        <f>IF($A422="","",$A422-WEEKDAY($A422,2)+1)</f>
        <v>0</v>
      </c>
      <c r="BH422">
        <f>IF($A422="","",IF($A421="",1,IF(BG422&lt;&gt;BG421,1,0)))</f>
        <v>0</v>
      </c>
      <c r="BI422">
        <f>IF($A422="","",IF($A423="",1,IF(BG423&lt;&gt;BG422,1,0)))</f>
        <v>0</v>
      </c>
      <c r="BJ422">
        <f>IF($A422="","",IF(BH422=1,$B422,BJ421))</f>
        <v>0</v>
      </c>
      <c r="BK422">
        <f>IF($A422="","",IF(BH422=1,$C422,MAX($C422,BK421)))</f>
        <v>0</v>
      </c>
      <c r="BL422">
        <f>IF($A422="","",IF(BH422=1,$D422,MIN($D422,BL421)))</f>
        <v>0</v>
      </c>
      <c r="BM422">
        <f>IF($A422="","",IF(BI422=1,F422,""))</f>
        <v>0</v>
      </c>
      <c r="BN422">
        <f>IF($A422="","",DATE(YEAR($A422),MONTH($A422),1))</f>
        <v>0</v>
      </c>
      <c r="BO422">
        <f>IF($A422="","",IF($A421="",1,IF(BN422&lt;&gt;BN421,1,0)))</f>
        <v>0</v>
      </c>
      <c r="BP422">
        <f>IF($A422="","",IF($A423="",1,IF(BN423&lt;&gt;BN422,1,0)))</f>
        <v>0</v>
      </c>
      <c r="BQ422">
        <f>IF($A422="","",IF(BO422=1,$B422,BQ421))</f>
        <v>0</v>
      </c>
      <c r="BR422">
        <f>IF($A422="","",IF(BO422=1,$C422,MAX($C422,BR421)))</f>
        <v>0</v>
      </c>
      <c r="BS422">
        <f>IF($A422="","",IF(BO422=1,$D422,MIN($D422,BS421)))</f>
        <v>0</v>
      </c>
      <c r="BT422">
        <f>IF($A422="","",IF(BP422=1,F422,""))</f>
        <v>0</v>
      </c>
    </row>
    <row r="423" spans="1:72">
      <c r="A423" s="27">
        <f>IF(Data!$A423="","",Data!$A423)</f>
        <v>0</v>
      </c>
      <c r="B423">
        <f>IF(Data!$B423="","",Data!$B423)</f>
        <v>0</v>
      </c>
      <c r="C423">
        <f>IF(Data!$C423="","",Data!$C423)</f>
        <v>0</v>
      </c>
      <c r="D423">
        <f>IF(Data!$D423="","",Data!$D423)</f>
        <v>0</v>
      </c>
      <c r="E423">
        <f>IF(Data!$E423="","",Data!$E423)</f>
        <v>0</v>
      </c>
      <c r="F423">
        <f>IF($E423="","",N(F422)+1)</f>
        <v>0</v>
      </c>
      <c r="G423">
        <f>IF(OR($E423="",$E422=""),"",LN($E423/$E422))</f>
        <v>0</v>
      </c>
      <c r="H423">
        <f>IF($E423="","",IF($E422="",$E423,$E423*0.0952380952+H422*0.9047619048))</f>
        <v>0</v>
      </c>
      <c r="I423">
        <f>IF($E423="","",IF($E422="",$E423,$E423*0.0392156863+I422*0.9607843137))</f>
        <v>0</v>
      </c>
      <c r="J423">
        <f>IF($E423="","",IF($E422="",$E423,$E423*0.0198019802+J422*0.9801980198))</f>
        <v>0</v>
      </c>
      <c r="K423">
        <f>IF($E423="","",IF($E422="",$E423,$E423*0.0099502488+K422*0.9900497512))</f>
        <v>0</v>
      </c>
      <c r="L423">
        <f>IF(OR($E423="",$E422=""),"",MAX($E423-$E422,0))</f>
        <v>0</v>
      </c>
      <c r="M423">
        <f>IF(OR($E423="",$E422=""),"",MAX($E422-$E423,0))</f>
        <v>0</v>
      </c>
      <c r="N423">
        <f>IF(COUNT($E$2:$E423)&lt;15,"",IF(AVERAGE($M$410:$M$423)=0,100,100-100/(1+AVERAGE($L$410:$L$423)/AVERAGE($M$410:$M$423))))</f>
        <v>0</v>
      </c>
      <c r="O423">
        <f>IF($E423="","",IF($E422="",$E423,$E423*0.1538461538+O422*0.8461538462))</f>
        <v>0</v>
      </c>
      <c r="P423">
        <f>IF($E423="","",IF($E422="",$E423,$E423*0.0740740741+P422*0.9259259259))</f>
        <v>0</v>
      </c>
      <c r="Q423">
        <f>IF(OR(O423="",P423=""),"",O423-P423)</f>
        <v>0</v>
      </c>
      <c r="R423">
        <f>IF(Q423="","",IF(R422="",Q423,Q423*0.2000000000+R422*0.8000000000))</f>
        <v>0</v>
      </c>
      <c r="S423">
        <f>IF(OR(Q423="",R423=""),"",Q423-R423)</f>
        <v>0</v>
      </c>
      <c r="T423">
        <f>IF(COUNT($E$2:$E423)&lt;14,"",MAX($C$410:$C$423))</f>
        <v>0</v>
      </c>
      <c r="U423">
        <f>IF(COUNT($E$2:$E423)&lt;14,"",MIN($D$410:$D$423))</f>
        <v>0</v>
      </c>
      <c r="V423">
        <f>IF(OR(T423="",U423="",T423=U423),"",100*($E423-U423)/(T423-U423))</f>
        <v>0</v>
      </c>
      <c r="W423">
        <f>IF(COUNT($V$421:$V$423)&lt;3,"",AVERAGE($V$421:$V$423))</f>
        <v>0</v>
      </c>
      <c r="X423">
        <f>IF(COUNT($N$410:$N$423)&lt;14,"",MIN($N$410:$N$423))</f>
        <v>0</v>
      </c>
      <c r="Y423">
        <f>IF(COUNT($N$410:$N$423)&lt;14,"",MAX($N$410:$N$423))</f>
        <v>0</v>
      </c>
      <c r="Z423">
        <f>IF(OR(N423="",X423="",Y423="",Y423=X423),"",100*(N423-X423)/(Y423-X423))</f>
        <v>0</v>
      </c>
      <c r="AA423">
        <f>IF(COUNT($Z$421:$Z$423)&lt;3,"",AVERAGE($Z$421:$Z$423))</f>
        <v>0</v>
      </c>
      <c r="AB423">
        <f>IF(COUNT($AA$421:$AA$423)&lt;3,"",AVERAGE($AA$421:$AA$423))</f>
        <v>0</v>
      </c>
      <c r="AC423">
        <f>IF($E423="","",MAX($C423-$D423,ABS($C423-$E422),ABS($D423-$E422)))</f>
        <v>0</v>
      </c>
      <c r="AD423">
        <f>IF(COUNT($E$2:$E423)&lt;15,"",AVERAGE($AC$410:$AC$423))</f>
        <v>0</v>
      </c>
      <c r="AE423">
        <f>IF(OR($E423="",$E422=""),"",IF(AND(($C423-$C422)&gt;($D422-$D423),($C423-$C422)&gt;0),$C423-$C422,0))</f>
        <v>0</v>
      </c>
      <c r="AF423">
        <f>IF(OR($E423="",$E422=""),"",IF(AND(($D422-$D423)&gt;($C423-$C422),($D422-$D423)&gt;0),$D422-$D423,0))</f>
        <v>0</v>
      </c>
      <c r="AG423">
        <f>IF(COUNT($E$2:$E423)&lt;15,"",IF(SUM($AC$410:$AC$423)=0,0,100*SUM($AE$410:$AE$423)/SUM($AC$410:$AC$423)))</f>
        <v>0</v>
      </c>
      <c r="AH423">
        <f>IF(COUNT($E$2:$E423)&lt;15,"",IF(SUM($AC$410:$AC$423)=0,0,100*SUM($AF$410:$AF$423)/SUM($AC$410:$AC$423)))</f>
        <v>0</v>
      </c>
      <c r="AI423">
        <f>IF(OR(AG423="",AH423=""),"",IF((AG423+AH423)=0,0,100*ABS(AG423-AH423)/(AG423+AH423)))</f>
        <v>0</v>
      </c>
      <c r="AJ423">
        <f>IF(COUNT($AI$410:$AI$423)&lt;14,"",AVERAGE($AI$410:$AI$423))</f>
        <v>0</v>
      </c>
      <c r="AK423">
        <f>IF(COUNT($E$2:$E423)&lt;20,"",AVERAGE($E$404:$E$423))</f>
        <v>0</v>
      </c>
      <c r="AL423">
        <f>IF(COUNT($E$2:$E423)&lt;20,"",STDEVP($E$404:$E$423))</f>
        <v>0</v>
      </c>
      <c r="AM423">
        <f>IF(AK423="","",AK423+2*AL423)</f>
        <v>0</v>
      </c>
      <c r="AN423">
        <f>IF(AK423="","",AK423-2*AL423)</f>
        <v>0</v>
      </c>
      <c r="AO423">
        <f>IF(OR(AM423="",AN423="",AM423=AN423),"",($E423-AN423)/(AM423-AN423))</f>
        <v>0</v>
      </c>
      <c r="AP423">
        <f>IF(OR(AM423="",AK423="",AK423=0),"",(AM423-AN423)/AK423)</f>
        <v>0</v>
      </c>
      <c r="AQ423">
        <f>IF(COUNT($E$2:$E423)&lt;20,"",MAX($C$404:$C$423))</f>
        <v>0</v>
      </c>
      <c r="AR423">
        <f>IF(COUNT($E$2:$E423)&lt;20,"",MIN($D$404:$D$423))</f>
        <v>0</v>
      </c>
      <c r="AS423">
        <f>IF(OR(AQ423="",AR423=""),"",(AQ423+AR423)/2)</f>
        <v>0</v>
      </c>
      <c r="AT423">
        <f>IF(COUNT($G$404:$G$423)&lt;20,"",STDEV($G$404:$G$423)*SQRT(252))</f>
        <v>0</v>
      </c>
      <c r="AU423">
        <f>IF(COUNT($E$2:$E423)&lt;9,"",(MAX($C$415:$C$423)+MIN($D$415:$D$423))/2)</f>
        <v>0</v>
      </c>
      <c r="AV423">
        <f>IF(COUNT($E$2:$E423)&lt;26,"",(MAX($C$398:$C$423)+MIN($D$398:$D$423))/2)</f>
        <v>0</v>
      </c>
      <c r="AW423">
        <f>IF(OR(AU423="",AV423=""),"",(AU423+AV423)/2)</f>
        <v>0</v>
      </c>
      <c r="AX423">
        <f>IF(COUNT($E$2:$E423)&lt;52,"",(MAX($C$372:$C$423)+MIN($D$372:$D$423))/2)</f>
        <v>0</v>
      </c>
      <c r="AY423">
        <f>IF(COUNT($E$2:$E423)&lt;20,"",MAX($C$324:$C$423))</f>
        <v>0</v>
      </c>
      <c r="AZ423">
        <f>IF(COUNT($E$2:$E423)&lt;20,"",MIN($D$324:$D$423))</f>
        <v>0</v>
      </c>
      <c r="BA423">
        <f>IF(COUNT($E$2:$E423)&lt;20,"",SLOPE($E$324:$E$423,$F$324:$F$423))</f>
        <v>0</v>
      </c>
      <c r="BB423">
        <f>IF(COUNT($E$2:$E423)&lt;20,"",INTERCEPT($E$324:$E$423,$F$324:$F$423))</f>
        <v>0</v>
      </c>
      <c r="BC423">
        <f>IF(OR(BA423="",BB423=""),"",BB423+BA423*F423)</f>
        <v>0</v>
      </c>
      <c r="BD423">
        <f>IF(COUNT($E$2:$E423)&lt;20,"",STEYX($E$324:$E$423,$F$324:$F$423))</f>
        <v>0</v>
      </c>
      <c r="BE423">
        <f>IF($E423="","",IF(AND(COUNT($E$424:$E$427)&gt;=4,$C423=MAX($C$419:$C$427)),$C423,""))</f>
        <v>0</v>
      </c>
      <c r="BF423">
        <f>IF($E423="","",IF(AND(COUNT($E$424:$E$427)&gt;=4,$D423=MIN($D$419:$D$427)),$D423,""))</f>
        <v>0</v>
      </c>
      <c r="BG423">
        <f>IF($A423="","",$A423-WEEKDAY($A423,2)+1)</f>
        <v>0</v>
      </c>
      <c r="BH423">
        <f>IF($A423="","",IF($A422="",1,IF(BG423&lt;&gt;BG422,1,0)))</f>
        <v>0</v>
      </c>
      <c r="BI423">
        <f>IF($A423="","",IF($A424="",1,IF(BG424&lt;&gt;BG423,1,0)))</f>
        <v>0</v>
      </c>
      <c r="BJ423">
        <f>IF($A423="","",IF(BH423=1,$B423,BJ422))</f>
        <v>0</v>
      </c>
      <c r="BK423">
        <f>IF($A423="","",IF(BH423=1,$C423,MAX($C423,BK422)))</f>
        <v>0</v>
      </c>
      <c r="BL423">
        <f>IF($A423="","",IF(BH423=1,$D423,MIN($D423,BL422)))</f>
        <v>0</v>
      </c>
      <c r="BM423">
        <f>IF($A423="","",IF(BI423=1,F423,""))</f>
        <v>0</v>
      </c>
      <c r="BN423">
        <f>IF($A423="","",DATE(YEAR($A423),MONTH($A423),1))</f>
        <v>0</v>
      </c>
      <c r="BO423">
        <f>IF($A423="","",IF($A422="",1,IF(BN423&lt;&gt;BN422,1,0)))</f>
        <v>0</v>
      </c>
      <c r="BP423">
        <f>IF($A423="","",IF($A424="",1,IF(BN424&lt;&gt;BN423,1,0)))</f>
        <v>0</v>
      </c>
      <c r="BQ423">
        <f>IF($A423="","",IF(BO423=1,$B423,BQ422))</f>
        <v>0</v>
      </c>
      <c r="BR423">
        <f>IF($A423="","",IF(BO423=1,$C423,MAX($C423,BR422)))</f>
        <v>0</v>
      </c>
      <c r="BS423">
        <f>IF($A423="","",IF(BO423=1,$D423,MIN($D423,BS422)))</f>
        <v>0</v>
      </c>
      <c r="BT423">
        <f>IF($A423="","",IF(BP423=1,F423,""))</f>
        <v>0</v>
      </c>
    </row>
    <row r="424" spans="1:72">
      <c r="A424" s="27">
        <f>IF(Data!$A424="","",Data!$A424)</f>
        <v>0</v>
      </c>
      <c r="B424">
        <f>IF(Data!$B424="","",Data!$B424)</f>
        <v>0</v>
      </c>
      <c r="C424">
        <f>IF(Data!$C424="","",Data!$C424)</f>
        <v>0</v>
      </c>
      <c r="D424">
        <f>IF(Data!$D424="","",Data!$D424)</f>
        <v>0</v>
      </c>
      <c r="E424">
        <f>IF(Data!$E424="","",Data!$E424)</f>
        <v>0</v>
      </c>
      <c r="F424">
        <f>IF($E424="","",N(F423)+1)</f>
        <v>0</v>
      </c>
      <c r="G424">
        <f>IF(OR($E424="",$E423=""),"",LN($E424/$E423))</f>
        <v>0</v>
      </c>
      <c r="H424">
        <f>IF($E424="","",IF($E423="",$E424,$E424*0.0952380952+H423*0.9047619048))</f>
        <v>0</v>
      </c>
      <c r="I424">
        <f>IF($E424="","",IF($E423="",$E424,$E424*0.0392156863+I423*0.9607843137))</f>
        <v>0</v>
      </c>
      <c r="J424">
        <f>IF($E424="","",IF($E423="",$E424,$E424*0.0198019802+J423*0.9801980198))</f>
        <v>0</v>
      </c>
      <c r="K424">
        <f>IF($E424="","",IF($E423="",$E424,$E424*0.0099502488+K423*0.9900497512))</f>
        <v>0</v>
      </c>
      <c r="L424">
        <f>IF(OR($E424="",$E423=""),"",MAX($E424-$E423,0))</f>
        <v>0</v>
      </c>
      <c r="M424">
        <f>IF(OR($E424="",$E423=""),"",MAX($E423-$E424,0))</f>
        <v>0</v>
      </c>
      <c r="N424">
        <f>IF(COUNT($E$2:$E424)&lt;15,"",IF(AVERAGE($M$411:$M$424)=0,100,100-100/(1+AVERAGE($L$411:$L$424)/AVERAGE($M$411:$M$424))))</f>
        <v>0</v>
      </c>
      <c r="O424">
        <f>IF($E424="","",IF($E423="",$E424,$E424*0.1538461538+O423*0.8461538462))</f>
        <v>0</v>
      </c>
      <c r="P424">
        <f>IF($E424="","",IF($E423="",$E424,$E424*0.0740740741+P423*0.9259259259))</f>
        <v>0</v>
      </c>
      <c r="Q424">
        <f>IF(OR(O424="",P424=""),"",O424-P424)</f>
        <v>0</v>
      </c>
      <c r="R424">
        <f>IF(Q424="","",IF(R423="",Q424,Q424*0.2000000000+R423*0.8000000000))</f>
        <v>0</v>
      </c>
      <c r="S424">
        <f>IF(OR(Q424="",R424=""),"",Q424-R424)</f>
        <v>0</v>
      </c>
      <c r="T424">
        <f>IF(COUNT($E$2:$E424)&lt;14,"",MAX($C$411:$C$424))</f>
        <v>0</v>
      </c>
      <c r="U424">
        <f>IF(COUNT($E$2:$E424)&lt;14,"",MIN($D$411:$D$424))</f>
        <v>0</v>
      </c>
      <c r="V424">
        <f>IF(OR(T424="",U424="",T424=U424),"",100*($E424-U424)/(T424-U424))</f>
        <v>0</v>
      </c>
      <c r="W424">
        <f>IF(COUNT($V$422:$V$424)&lt;3,"",AVERAGE($V$422:$V$424))</f>
        <v>0</v>
      </c>
      <c r="X424">
        <f>IF(COUNT($N$411:$N$424)&lt;14,"",MIN($N$411:$N$424))</f>
        <v>0</v>
      </c>
      <c r="Y424">
        <f>IF(COUNT($N$411:$N$424)&lt;14,"",MAX($N$411:$N$424))</f>
        <v>0</v>
      </c>
      <c r="Z424">
        <f>IF(OR(N424="",X424="",Y424="",Y424=X424),"",100*(N424-X424)/(Y424-X424))</f>
        <v>0</v>
      </c>
      <c r="AA424">
        <f>IF(COUNT($Z$422:$Z$424)&lt;3,"",AVERAGE($Z$422:$Z$424))</f>
        <v>0</v>
      </c>
      <c r="AB424">
        <f>IF(COUNT($AA$422:$AA$424)&lt;3,"",AVERAGE($AA$422:$AA$424))</f>
        <v>0</v>
      </c>
      <c r="AC424">
        <f>IF($E424="","",MAX($C424-$D424,ABS($C424-$E423),ABS($D424-$E423)))</f>
        <v>0</v>
      </c>
      <c r="AD424">
        <f>IF(COUNT($E$2:$E424)&lt;15,"",AVERAGE($AC$411:$AC$424))</f>
        <v>0</v>
      </c>
      <c r="AE424">
        <f>IF(OR($E424="",$E423=""),"",IF(AND(($C424-$C423)&gt;($D423-$D424),($C424-$C423)&gt;0),$C424-$C423,0))</f>
        <v>0</v>
      </c>
      <c r="AF424">
        <f>IF(OR($E424="",$E423=""),"",IF(AND(($D423-$D424)&gt;($C424-$C423),($D423-$D424)&gt;0),$D423-$D424,0))</f>
        <v>0</v>
      </c>
      <c r="AG424">
        <f>IF(COUNT($E$2:$E424)&lt;15,"",IF(SUM($AC$411:$AC$424)=0,0,100*SUM($AE$411:$AE$424)/SUM($AC$411:$AC$424)))</f>
        <v>0</v>
      </c>
      <c r="AH424">
        <f>IF(COUNT($E$2:$E424)&lt;15,"",IF(SUM($AC$411:$AC$424)=0,0,100*SUM($AF$411:$AF$424)/SUM($AC$411:$AC$424)))</f>
        <v>0</v>
      </c>
      <c r="AI424">
        <f>IF(OR(AG424="",AH424=""),"",IF((AG424+AH424)=0,0,100*ABS(AG424-AH424)/(AG424+AH424)))</f>
        <v>0</v>
      </c>
      <c r="AJ424">
        <f>IF(COUNT($AI$411:$AI$424)&lt;14,"",AVERAGE($AI$411:$AI$424))</f>
        <v>0</v>
      </c>
      <c r="AK424">
        <f>IF(COUNT($E$2:$E424)&lt;20,"",AVERAGE($E$405:$E$424))</f>
        <v>0</v>
      </c>
      <c r="AL424">
        <f>IF(COUNT($E$2:$E424)&lt;20,"",STDEVP($E$405:$E$424))</f>
        <v>0</v>
      </c>
      <c r="AM424">
        <f>IF(AK424="","",AK424+2*AL424)</f>
        <v>0</v>
      </c>
      <c r="AN424">
        <f>IF(AK424="","",AK424-2*AL424)</f>
        <v>0</v>
      </c>
      <c r="AO424">
        <f>IF(OR(AM424="",AN424="",AM424=AN424),"",($E424-AN424)/(AM424-AN424))</f>
        <v>0</v>
      </c>
      <c r="AP424">
        <f>IF(OR(AM424="",AK424="",AK424=0),"",(AM424-AN424)/AK424)</f>
        <v>0</v>
      </c>
      <c r="AQ424">
        <f>IF(COUNT($E$2:$E424)&lt;20,"",MAX($C$405:$C$424))</f>
        <v>0</v>
      </c>
      <c r="AR424">
        <f>IF(COUNT($E$2:$E424)&lt;20,"",MIN($D$405:$D$424))</f>
        <v>0</v>
      </c>
      <c r="AS424">
        <f>IF(OR(AQ424="",AR424=""),"",(AQ424+AR424)/2)</f>
        <v>0</v>
      </c>
      <c r="AT424">
        <f>IF(COUNT($G$405:$G$424)&lt;20,"",STDEV($G$405:$G$424)*SQRT(252))</f>
        <v>0</v>
      </c>
      <c r="AU424">
        <f>IF(COUNT($E$2:$E424)&lt;9,"",(MAX($C$416:$C$424)+MIN($D$416:$D$424))/2)</f>
        <v>0</v>
      </c>
      <c r="AV424">
        <f>IF(COUNT($E$2:$E424)&lt;26,"",(MAX($C$399:$C$424)+MIN($D$399:$D$424))/2)</f>
        <v>0</v>
      </c>
      <c r="AW424">
        <f>IF(OR(AU424="",AV424=""),"",(AU424+AV424)/2)</f>
        <v>0</v>
      </c>
      <c r="AX424">
        <f>IF(COUNT($E$2:$E424)&lt;52,"",(MAX($C$373:$C$424)+MIN($D$373:$D$424))/2)</f>
        <v>0</v>
      </c>
      <c r="AY424">
        <f>IF(COUNT($E$2:$E424)&lt;20,"",MAX($C$325:$C$424))</f>
        <v>0</v>
      </c>
      <c r="AZ424">
        <f>IF(COUNT($E$2:$E424)&lt;20,"",MIN($D$325:$D$424))</f>
        <v>0</v>
      </c>
      <c r="BA424">
        <f>IF(COUNT($E$2:$E424)&lt;20,"",SLOPE($E$325:$E$424,$F$325:$F$424))</f>
        <v>0</v>
      </c>
      <c r="BB424">
        <f>IF(COUNT($E$2:$E424)&lt;20,"",INTERCEPT($E$325:$E$424,$F$325:$F$424))</f>
        <v>0</v>
      </c>
      <c r="BC424">
        <f>IF(OR(BA424="",BB424=""),"",BB424+BA424*F424)</f>
        <v>0</v>
      </c>
      <c r="BD424">
        <f>IF(COUNT($E$2:$E424)&lt;20,"",STEYX($E$325:$E$424,$F$325:$F$424))</f>
        <v>0</v>
      </c>
      <c r="BE424">
        <f>IF($E424="","",IF(AND(COUNT($E$425:$E$428)&gt;=4,$C424=MAX($C$420:$C$428)),$C424,""))</f>
        <v>0</v>
      </c>
      <c r="BF424">
        <f>IF($E424="","",IF(AND(COUNT($E$425:$E$428)&gt;=4,$D424=MIN($D$420:$D$428)),$D424,""))</f>
        <v>0</v>
      </c>
      <c r="BG424">
        <f>IF($A424="","",$A424-WEEKDAY($A424,2)+1)</f>
        <v>0</v>
      </c>
      <c r="BH424">
        <f>IF($A424="","",IF($A423="",1,IF(BG424&lt;&gt;BG423,1,0)))</f>
        <v>0</v>
      </c>
      <c r="BI424">
        <f>IF($A424="","",IF($A425="",1,IF(BG425&lt;&gt;BG424,1,0)))</f>
        <v>0</v>
      </c>
      <c r="BJ424">
        <f>IF($A424="","",IF(BH424=1,$B424,BJ423))</f>
        <v>0</v>
      </c>
      <c r="BK424">
        <f>IF($A424="","",IF(BH424=1,$C424,MAX($C424,BK423)))</f>
        <v>0</v>
      </c>
      <c r="BL424">
        <f>IF($A424="","",IF(BH424=1,$D424,MIN($D424,BL423)))</f>
        <v>0</v>
      </c>
      <c r="BM424">
        <f>IF($A424="","",IF(BI424=1,F424,""))</f>
        <v>0</v>
      </c>
      <c r="BN424">
        <f>IF($A424="","",DATE(YEAR($A424),MONTH($A424),1))</f>
        <v>0</v>
      </c>
      <c r="BO424">
        <f>IF($A424="","",IF($A423="",1,IF(BN424&lt;&gt;BN423,1,0)))</f>
        <v>0</v>
      </c>
      <c r="BP424">
        <f>IF($A424="","",IF($A425="",1,IF(BN425&lt;&gt;BN424,1,0)))</f>
        <v>0</v>
      </c>
      <c r="BQ424">
        <f>IF($A424="","",IF(BO424=1,$B424,BQ423))</f>
        <v>0</v>
      </c>
      <c r="BR424">
        <f>IF($A424="","",IF(BO424=1,$C424,MAX($C424,BR423)))</f>
        <v>0</v>
      </c>
      <c r="BS424">
        <f>IF($A424="","",IF(BO424=1,$D424,MIN($D424,BS423)))</f>
        <v>0</v>
      </c>
      <c r="BT424">
        <f>IF($A424="","",IF(BP424=1,F424,""))</f>
        <v>0</v>
      </c>
    </row>
    <row r="425" spans="1:72">
      <c r="A425" s="27">
        <f>IF(Data!$A425="","",Data!$A425)</f>
        <v>0</v>
      </c>
      <c r="B425">
        <f>IF(Data!$B425="","",Data!$B425)</f>
        <v>0</v>
      </c>
      <c r="C425">
        <f>IF(Data!$C425="","",Data!$C425)</f>
        <v>0</v>
      </c>
      <c r="D425">
        <f>IF(Data!$D425="","",Data!$D425)</f>
        <v>0</v>
      </c>
      <c r="E425">
        <f>IF(Data!$E425="","",Data!$E425)</f>
        <v>0</v>
      </c>
      <c r="F425">
        <f>IF($E425="","",N(F424)+1)</f>
        <v>0</v>
      </c>
      <c r="G425">
        <f>IF(OR($E425="",$E424=""),"",LN($E425/$E424))</f>
        <v>0</v>
      </c>
      <c r="H425">
        <f>IF($E425="","",IF($E424="",$E425,$E425*0.0952380952+H424*0.9047619048))</f>
        <v>0</v>
      </c>
      <c r="I425">
        <f>IF($E425="","",IF($E424="",$E425,$E425*0.0392156863+I424*0.9607843137))</f>
        <v>0</v>
      </c>
      <c r="J425">
        <f>IF($E425="","",IF($E424="",$E425,$E425*0.0198019802+J424*0.9801980198))</f>
        <v>0</v>
      </c>
      <c r="K425">
        <f>IF($E425="","",IF($E424="",$E425,$E425*0.0099502488+K424*0.9900497512))</f>
        <v>0</v>
      </c>
      <c r="L425">
        <f>IF(OR($E425="",$E424=""),"",MAX($E425-$E424,0))</f>
        <v>0</v>
      </c>
      <c r="M425">
        <f>IF(OR($E425="",$E424=""),"",MAX($E424-$E425,0))</f>
        <v>0</v>
      </c>
      <c r="N425">
        <f>IF(COUNT($E$2:$E425)&lt;15,"",IF(AVERAGE($M$412:$M$425)=0,100,100-100/(1+AVERAGE($L$412:$L$425)/AVERAGE($M$412:$M$425))))</f>
        <v>0</v>
      </c>
      <c r="O425">
        <f>IF($E425="","",IF($E424="",$E425,$E425*0.1538461538+O424*0.8461538462))</f>
        <v>0</v>
      </c>
      <c r="P425">
        <f>IF($E425="","",IF($E424="",$E425,$E425*0.0740740741+P424*0.9259259259))</f>
        <v>0</v>
      </c>
      <c r="Q425">
        <f>IF(OR(O425="",P425=""),"",O425-P425)</f>
        <v>0</v>
      </c>
      <c r="R425">
        <f>IF(Q425="","",IF(R424="",Q425,Q425*0.2000000000+R424*0.8000000000))</f>
        <v>0</v>
      </c>
      <c r="S425">
        <f>IF(OR(Q425="",R425=""),"",Q425-R425)</f>
        <v>0</v>
      </c>
      <c r="T425">
        <f>IF(COUNT($E$2:$E425)&lt;14,"",MAX($C$412:$C$425))</f>
        <v>0</v>
      </c>
      <c r="U425">
        <f>IF(COUNT($E$2:$E425)&lt;14,"",MIN($D$412:$D$425))</f>
        <v>0</v>
      </c>
      <c r="V425">
        <f>IF(OR(T425="",U425="",T425=U425),"",100*($E425-U425)/(T425-U425))</f>
        <v>0</v>
      </c>
      <c r="W425">
        <f>IF(COUNT($V$423:$V$425)&lt;3,"",AVERAGE($V$423:$V$425))</f>
        <v>0</v>
      </c>
      <c r="X425">
        <f>IF(COUNT($N$412:$N$425)&lt;14,"",MIN($N$412:$N$425))</f>
        <v>0</v>
      </c>
      <c r="Y425">
        <f>IF(COUNT($N$412:$N$425)&lt;14,"",MAX($N$412:$N$425))</f>
        <v>0</v>
      </c>
      <c r="Z425">
        <f>IF(OR(N425="",X425="",Y425="",Y425=X425),"",100*(N425-X425)/(Y425-X425))</f>
        <v>0</v>
      </c>
      <c r="AA425">
        <f>IF(COUNT($Z$423:$Z$425)&lt;3,"",AVERAGE($Z$423:$Z$425))</f>
        <v>0</v>
      </c>
      <c r="AB425">
        <f>IF(COUNT($AA$423:$AA$425)&lt;3,"",AVERAGE($AA$423:$AA$425))</f>
        <v>0</v>
      </c>
      <c r="AC425">
        <f>IF($E425="","",MAX($C425-$D425,ABS($C425-$E424),ABS($D425-$E424)))</f>
        <v>0</v>
      </c>
      <c r="AD425">
        <f>IF(COUNT($E$2:$E425)&lt;15,"",AVERAGE($AC$412:$AC$425))</f>
        <v>0</v>
      </c>
      <c r="AE425">
        <f>IF(OR($E425="",$E424=""),"",IF(AND(($C425-$C424)&gt;($D424-$D425),($C425-$C424)&gt;0),$C425-$C424,0))</f>
        <v>0</v>
      </c>
      <c r="AF425">
        <f>IF(OR($E425="",$E424=""),"",IF(AND(($D424-$D425)&gt;($C425-$C424),($D424-$D425)&gt;0),$D424-$D425,0))</f>
        <v>0</v>
      </c>
      <c r="AG425">
        <f>IF(COUNT($E$2:$E425)&lt;15,"",IF(SUM($AC$412:$AC$425)=0,0,100*SUM($AE$412:$AE$425)/SUM($AC$412:$AC$425)))</f>
        <v>0</v>
      </c>
      <c r="AH425">
        <f>IF(COUNT($E$2:$E425)&lt;15,"",IF(SUM($AC$412:$AC$425)=0,0,100*SUM($AF$412:$AF$425)/SUM($AC$412:$AC$425)))</f>
        <v>0</v>
      </c>
      <c r="AI425">
        <f>IF(OR(AG425="",AH425=""),"",IF((AG425+AH425)=0,0,100*ABS(AG425-AH425)/(AG425+AH425)))</f>
        <v>0</v>
      </c>
      <c r="AJ425">
        <f>IF(COUNT($AI$412:$AI$425)&lt;14,"",AVERAGE($AI$412:$AI$425))</f>
        <v>0</v>
      </c>
      <c r="AK425">
        <f>IF(COUNT($E$2:$E425)&lt;20,"",AVERAGE($E$406:$E$425))</f>
        <v>0</v>
      </c>
      <c r="AL425">
        <f>IF(COUNT($E$2:$E425)&lt;20,"",STDEVP($E$406:$E$425))</f>
        <v>0</v>
      </c>
      <c r="AM425">
        <f>IF(AK425="","",AK425+2*AL425)</f>
        <v>0</v>
      </c>
      <c r="AN425">
        <f>IF(AK425="","",AK425-2*AL425)</f>
        <v>0</v>
      </c>
      <c r="AO425">
        <f>IF(OR(AM425="",AN425="",AM425=AN425),"",($E425-AN425)/(AM425-AN425))</f>
        <v>0</v>
      </c>
      <c r="AP425">
        <f>IF(OR(AM425="",AK425="",AK425=0),"",(AM425-AN425)/AK425)</f>
        <v>0</v>
      </c>
      <c r="AQ425">
        <f>IF(COUNT($E$2:$E425)&lt;20,"",MAX($C$406:$C$425))</f>
        <v>0</v>
      </c>
      <c r="AR425">
        <f>IF(COUNT($E$2:$E425)&lt;20,"",MIN($D$406:$D$425))</f>
        <v>0</v>
      </c>
      <c r="AS425">
        <f>IF(OR(AQ425="",AR425=""),"",(AQ425+AR425)/2)</f>
        <v>0</v>
      </c>
      <c r="AT425">
        <f>IF(COUNT($G$406:$G$425)&lt;20,"",STDEV($G$406:$G$425)*SQRT(252))</f>
        <v>0</v>
      </c>
      <c r="AU425">
        <f>IF(COUNT($E$2:$E425)&lt;9,"",(MAX($C$417:$C$425)+MIN($D$417:$D$425))/2)</f>
        <v>0</v>
      </c>
      <c r="AV425">
        <f>IF(COUNT($E$2:$E425)&lt;26,"",(MAX($C$400:$C$425)+MIN($D$400:$D$425))/2)</f>
        <v>0</v>
      </c>
      <c r="AW425">
        <f>IF(OR(AU425="",AV425=""),"",(AU425+AV425)/2)</f>
        <v>0</v>
      </c>
      <c r="AX425">
        <f>IF(COUNT($E$2:$E425)&lt;52,"",(MAX($C$374:$C$425)+MIN($D$374:$D$425))/2)</f>
        <v>0</v>
      </c>
      <c r="AY425">
        <f>IF(COUNT($E$2:$E425)&lt;20,"",MAX($C$326:$C$425))</f>
        <v>0</v>
      </c>
      <c r="AZ425">
        <f>IF(COUNT($E$2:$E425)&lt;20,"",MIN($D$326:$D$425))</f>
        <v>0</v>
      </c>
      <c r="BA425">
        <f>IF(COUNT($E$2:$E425)&lt;20,"",SLOPE($E$326:$E$425,$F$326:$F$425))</f>
        <v>0</v>
      </c>
      <c r="BB425">
        <f>IF(COUNT($E$2:$E425)&lt;20,"",INTERCEPT($E$326:$E$425,$F$326:$F$425))</f>
        <v>0</v>
      </c>
      <c r="BC425">
        <f>IF(OR(BA425="",BB425=""),"",BB425+BA425*F425)</f>
        <v>0</v>
      </c>
      <c r="BD425">
        <f>IF(COUNT($E$2:$E425)&lt;20,"",STEYX($E$326:$E$425,$F$326:$F$425))</f>
        <v>0</v>
      </c>
      <c r="BE425">
        <f>IF($E425="","",IF(AND(COUNT($E$426:$E$429)&gt;=4,$C425=MAX($C$421:$C$429)),$C425,""))</f>
        <v>0</v>
      </c>
      <c r="BF425">
        <f>IF($E425="","",IF(AND(COUNT($E$426:$E$429)&gt;=4,$D425=MIN($D$421:$D$429)),$D425,""))</f>
        <v>0</v>
      </c>
      <c r="BG425">
        <f>IF($A425="","",$A425-WEEKDAY($A425,2)+1)</f>
        <v>0</v>
      </c>
      <c r="BH425">
        <f>IF($A425="","",IF($A424="",1,IF(BG425&lt;&gt;BG424,1,0)))</f>
        <v>0</v>
      </c>
      <c r="BI425">
        <f>IF($A425="","",IF($A426="",1,IF(BG426&lt;&gt;BG425,1,0)))</f>
        <v>0</v>
      </c>
      <c r="BJ425">
        <f>IF($A425="","",IF(BH425=1,$B425,BJ424))</f>
        <v>0</v>
      </c>
      <c r="BK425">
        <f>IF($A425="","",IF(BH425=1,$C425,MAX($C425,BK424)))</f>
        <v>0</v>
      </c>
      <c r="BL425">
        <f>IF($A425="","",IF(BH425=1,$D425,MIN($D425,BL424)))</f>
        <v>0</v>
      </c>
      <c r="BM425">
        <f>IF($A425="","",IF(BI425=1,F425,""))</f>
        <v>0</v>
      </c>
      <c r="BN425">
        <f>IF($A425="","",DATE(YEAR($A425),MONTH($A425),1))</f>
        <v>0</v>
      </c>
      <c r="BO425">
        <f>IF($A425="","",IF($A424="",1,IF(BN425&lt;&gt;BN424,1,0)))</f>
        <v>0</v>
      </c>
      <c r="BP425">
        <f>IF($A425="","",IF($A426="",1,IF(BN426&lt;&gt;BN425,1,0)))</f>
        <v>0</v>
      </c>
      <c r="BQ425">
        <f>IF($A425="","",IF(BO425=1,$B425,BQ424))</f>
        <v>0</v>
      </c>
      <c r="BR425">
        <f>IF($A425="","",IF(BO425=1,$C425,MAX($C425,BR424)))</f>
        <v>0</v>
      </c>
      <c r="BS425">
        <f>IF($A425="","",IF(BO425=1,$D425,MIN($D425,BS424)))</f>
        <v>0</v>
      </c>
      <c r="BT425">
        <f>IF($A425="","",IF(BP425=1,F425,""))</f>
        <v>0</v>
      </c>
    </row>
    <row r="426" spans="1:72">
      <c r="A426" s="27">
        <f>IF(Data!$A426="","",Data!$A426)</f>
        <v>0</v>
      </c>
      <c r="B426">
        <f>IF(Data!$B426="","",Data!$B426)</f>
        <v>0</v>
      </c>
      <c r="C426">
        <f>IF(Data!$C426="","",Data!$C426)</f>
        <v>0</v>
      </c>
      <c r="D426">
        <f>IF(Data!$D426="","",Data!$D426)</f>
        <v>0</v>
      </c>
      <c r="E426">
        <f>IF(Data!$E426="","",Data!$E426)</f>
        <v>0</v>
      </c>
      <c r="F426">
        <f>IF($E426="","",N(F425)+1)</f>
        <v>0</v>
      </c>
      <c r="G426">
        <f>IF(OR($E426="",$E425=""),"",LN($E426/$E425))</f>
        <v>0</v>
      </c>
      <c r="H426">
        <f>IF($E426="","",IF($E425="",$E426,$E426*0.0952380952+H425*0.9047619048))</f>
        <v>0</v>
      </c>
      <c r="I426">
        <f>IF($E426="","",IF($E425="",$E426,$E426*0.0392156863+I425*0.9607843137))</f>
        <v>0</v>
      </c>
      <c r="J426">
        <f>IF($E426="","",IF($E425="",$E426,$E426*0.0198019802+J425*0.9801980198))</f>
        <v>0</v>
      </c>
      <c r="K426">
        <f>IF($E426="","",IF($E425="",$E426,$E426*0.0099502488+K425*0.9900497512))</f>
        <v>0</v>
      </c>
      <c r="L426">
        <f>IF(OR($E426="",$E425=""),"",MAX($E426-$E425,0))</f>
        <v>0</v>
      </c>
      <c r="M426">
        <f>IF(OR($E426="",$E425=""),"",MAX($E425-$E426,0))</f>
        <v>0</v>
      </c>
      <c r="N426">
        <f>IF(COUNT($E$2:$E426)&lt;15,"",IF(AVERAGE($M$413:$M$426)=0,100,100-100/(1+AVERAGE($L$413:$L$426)/AVERAGE($M$413:$M$426))))</f>
        <v>0</v>
      </c>
      <c r="O426">
        <f>IF($E426="","",IF($E425="",$E426,$E426*0.1538461538+O425*0.8461538462))</f>
        <v>0</v>
      </c>
      <c r="P426">
        <f>IF($E426="","",IF($E425="",$E426,$E426*0.0740740741+P425*0.9259259259))</f>
        <v>0</v>
      </c>
      <c r="Q426">
        <f>IF(OR(O426="",P426=""),"",O426-P426)</f>
        <v>0</v>
      </c>
      <c r="R426">
        <f>IF(Q426="","",IF(R425="",Q426,Q426*0.2000000000+R425*0.8000000000))</f>
        <v>0</v>
      </c>
      <c r="S426">
        <f>IF(OR(Q426="",R426=""),"",Q426-R426)</f>
        <v>0</v>
      </c>
      <c r="T426">
        <f>IF(COUNT($E$2:$E426)&lt;14,"",MAX($C$413:$C$426))</f>
        <v>0</v>
      </c>
      <c r="U426">
        <f>IF(COUNT($E$2:$E426)&lt;14,"",MIN($D$413:$D$426))</f>
        <v>0</v>
      </c>
      <c r="V426">
        <f>IF(OR(T426="",U426="",T426=U426),"",100*($E426-U426)/(T426-U426))</f>
        <v>0</v>
      </c>
      <c r="W426">
        <f>IF(COUNT($V$424:$V$426)&lt;3,"",AVERAGE($V$424:$V$426))</f>
        <v>0</v>
      </c>
      <c r="X426">
        <f>IF(COUNT($N$413:$N$426)&lt;14,"",MIN($N$413:$N$426))</f>
        <v>0</v>
      </c>
      <c r="Y426">
        <f>IF(COUNT($N$413:$N$426)&lt;14,"",MAX($N$413:$N$426))</f>
        <v>0</v>
      </c>
      <c r="Z426">
        <f>IF(OR(N426="",X426="",Y426="",Y426=X426),"",100*(N426-X426)/(Y426-X426))</f>
        <v>0</v>
      </c>
      <c r="AA426">
        <f>IF(COUNT($Z$424:$Z$426)&lt;3,"",AVERAGE($Z$424:$Z$426))</f>
        <v>0</v>
      </c>
      <c r="AB426">
        <f>IF(COUNT($AA$424:$AA$426)&lt;3,"",AVERAGE($AA$424:$AA$426))</f>
        <v>0</v>
      </c>
      <c r="AC426">
        <f>IF($E426="","",MAX($C426-$D426,ABS($C426-$E425),ABS($D426-$E425)))</f>
        <v>0</v>
      </c>
      <c r="AD426">
        <f>IF(COUNT($E$2:$E426)&lt;15,"",AVERAGE($AC$413:$AC$426))</f>
        <v>0</v>
      </c>
      <c r="AE426">
        <f>IF(OR($E426="",$E425=""),"",IF(AND(($C426-$C425)&gt;($D425-$D426),($C426-$C425)&gt;0),$C426-$C425,0))</f>
        <v>0</v>
      </c>
      <c r="AF426">
        <f>IF(OR($E426="",$E425=""),"",IF(AND(($D425-$D426)&gt;($C426-$C425),($D425-$D426)&gt;0),$D425-$D426,0))</f>
        <v>0</v>
      </c>
      <c r="AG426">
        <f>IF(COUNT($E$2:$E426)&lt;15,"",IF(SUM($AC$413:$AC$426)=0,0,100*SUM($AE$413:$AE$426)/SUM($AC$413:$AC$426)))</f>
        <v>0</v>
      </c>
      <c r="AH426">
        <f>IF(COUNT($E$2:$E426)&lt;15,"",IF(SUM($AC$413:$AC$426)=0,0,100*SUM($AF$413:$AF$426)/SUM($AC$413:$AC$426)))</f>
        <v>0</v>
      </c>
      <c r="AI426">
        <f>IF(OR(AG426="",AH426=""),"",IF((AG426+AH426)=0,0,100*ABS(AG426-AH426)/(AG426+AH426)))</f>
        <v>0</v>
      </c>
      <c r="AJ426">
        <f>IF(COUNT($AI$413:$AI$426)&lt;14,"",AVERAGE($AI$413:$AI$426))</f>
        <v>0</v>
      </c>
      <c r="AK426">
        <f>IF(COUNT($E$2:$E426)&lt;20,"",AVERAGE($E$407:$E$426))</f>
        <v>0</v>
      </c>
      <c r="AL426">
        <f>IF(COUNT($E$2:$E426)&lt;20,"",STDEVP($E$407:$E$426))</f>
        <v>0</v>
      </c>
      <c r="AM426">
        <f>IF(AK426="","",AK426+2*AL426)</f>
        <v>0</v>
      </c>
      <c r="AN426">
        <f>IF(AK426="","",AK426-2*AL426)</f>
        <v>0</v>
      </c>
      <c r="AO426">
        <f>IF(OR(AM426="",AN426="",AM426=AN426),"",($E426-AN426)/(AM426-AN426))</f>
        <v>0</v>
      </c>
      <c r="AP426">
        <f>IF(OR(AM426="",AK426="",AK426=0),"",(AM426-AN426)/AK426)</f>
        <v>0</v>
      </c>
      <c r="AQ426">
        <f>IF(COUNT($E$2:$E426)&lt;20,"",MAX($C$407:$C$426))</f>
        <v>0</v>
      </c>
      <c r="AR426">
        <f>IF(COUNT($E$2:$E426)&lt;20,"",MIN($D$407:$D$426))</f>
        <v>0</v>
      </c>
      <c r="AS426">
        <f>IF(OR(AQ426="",AR426=""),"",(AQ426+AR426)/2)</f>
        <v>0</v>
      </c>
      <c r="AT426">
        <f>IF(COUNT($G$407:$G$426)&lt;20,"",STDEV($G$407:$G$426)*SQRT(252))</f>
        <v>0</v>
      </c>
      <c r="AU426">
        <f>IF(COUNT($E$2:$E426)&lt;9,"",(MAX($C$418:$C$426)+MIN($D$418:$D$426))/2)</f>
        <v>0</v>
      </c>
      <c r="AV426">
        <f>IF(COUNT($E$2:$E426)&lt;26,"",(MAX($C$401:$C$426)+MIN($D$401:$D$426))/2)</f>
        <v>0</v>
      </c>
      <c r="AW426">
        <f>IF(OR(AU426="",AV426=""),"",(AU426+AV426)/2)</f>
        <v>0</v>
      </c>
      <c r="AX426">
        <f>IF(COUNT($E$2:$E426)&lt;52,"",(MAX($C$375:$C$426)+MIN($D$375:$D$426))/2)</f>
        <v>0</v>
      </c>
      <c r="AY426">
        <f>IF(COUNT($E$2:$E426)&lt;20,"",MAX($C$327:$C$426))</f>
        <v>0</v>
      </c>
      <c r="AZ426">
        <f>IF(COUNT($E$2:$E426)&lt;20,"",MIN($D$327:$D$426))</f>
        <v>0</v>
      </c>
      <c r="BA426">
        <f>IF(COUNT($E$2:$E426)&lt;20,"",SLOPE($E$327:$E$426,$F$327:$F$426))</f>
        <v>0</v>
      </c>
      <c r="BB426">
        <f>IF(COUNT($E$2:$E426)&lt;20,"",INTERCEPT($E$327:$E$426,$F$327:$F$426))</f>
        <v>0</v>
      </c>
      <c r="BC426">
        <f>IF(OR(BA426="",BB426=""),"",BB426+BA426*F426)</f>
        <v>0</v>
      </c>
      <c r="BD426">
        <f>IF(COUNT($E$2:$E426)&lt;20,"",STEYX($E$327:$E$426,$F$327:$F$426))</f>
        <v>0</v>
      </c>
      <c r="BE426">
        <f>IF($E426="","",IF(AND(COUNT($E$427:$E$430)&gt;=4,$C426=MAX($C$422:$C$430)),$C426,""))</f>
        <v>0</v>
      </c>
      <c r="BF426">
        <f>IF($E426="","",IF(AND(COUNT($E$427:$E$430)&gt;=4,$D426=MIN($D$422:$D$430)),$D426,""))</f>
        <v>0</v>
      </c>
      <c r="BG426">
        <f>IF($A426="","",$A426-WEEKDAY($A426,2)+1)</f>
        <v>0</v>
      </c>
      <c r="BH426">
        <f>IF($A426="","",IF($A425="",1,IF(BG426&lt;&gt;BG425,1,0)))</f>
        <v>0</v>
      </c>
      <c r="BI426">
        <f>IF($A426="","",IF($A427="",1,IF(BG427&lt;&gt;BG426,1,0)))</f>
        <v>0</v>
      </c>
      <c r="BJ426">
        <f>IF($A426="","",IF(BH426=1,$B426,BJ425))</f>
        <v>0</v>
      </c>
      <c r="BK426">
        <f>IF($A426="","",IF(BH426=1,$C426,MAX($C426,BK425)))</f>
        <v>0</v>
      </c>
      <c r="BL426">
        <f>IF($A426="","",IF(BH426=1,$D426,MIN($D426,BL425)))</f>
        <v>0</v>
      </c>
      <c r="BM426">
        <f>IF($A426="","",IF(BI426=1,F426,""))</f>
        <v>0</v>
      </c>
      <c r="BN426">
        <f>IF($A426="","",DATE(YEAR($A426),MONTH($A426),1))</f>
        <v>0</v>
      </c>
      <c r="BO426">
        <f>IF($A426="","",IF($A425="",1,IF(BN426&lt;&gt;BN425,1,0)))</f>
        <v>0</v>
      </c>
      <c r="BP426">
        <f>IF($A426="","",IF($A427="",1,IF(BN427&lt;&gt;BN426,1,0)))</f>
        <v>0</v>
      </c>
      <c r="BQ426">
        <f>IF($A426="","",IF(BO426=1,$B426,BQ425))</f>
        <v>0</v>
      </c>
      <c r="BR426">
        <f>IF($A426="","",IF(BO426=1,$C426,MAX($C426,BR425)))</f>
        <v>0</v>
      </c>
      <c r="BS426">
        <f>IF($A426="","",IF(BO426=1,$D426,MIN($D426,BS425)))</f>
        <v>0</v>
      </c>
      <c r="BT426">
        <f>IF($A426="","",IF(BP426=1,F426,""))</f>
        <v>0</v>
      </c>
    </row>
    <row r="427" spans="1:72">
      <c r="A427" s="27">
        <f>IF(Data!$A427="","",Data!$A427)</f>
        <v>0</v>
      </c>
      <c r="B427">
        <f>IF(Data!$B427="","",Data!$B427)</f>
        <v>0</v>
      </c>
      <c r="C427">
        <f>IF(Data!$C427="","",Data!$C427)</f>
        <v>0</v>
      </c>
      <c r="D427">
        <f>IF(Data!$D427="","",Data!$D427)</f>
        <v>0</v>
      </c>
      <c r="E427">
        <f>IF(Data!$E427="","",Data!$E427)</f>
        <v>0</v>
      </c>
      <c r="F427">
        <f>IF($E427="","",N(F426)+1)</f>
        <v>0</v>
      </c>
      <c r="G427">
        <f>IF(OR($E427="",$E426=""),"",LN($E427/$E426))</f>
        <v>0</v>
      </c>
      <c r="H427">
        <f>IF($E427="","",IF($E426="",$E427,$E427*0.0952380952+H426*0.9047619048))</f>
        <v>0</v>
      </c>
      <c r="I427">
        <f>IF($E427="","",IF($E426="",$E427,$E427*0.0392156863+I426*0.9607843137))</f>
        <v>0</v>
      </c>
      <c r="J427">
        <f>IF($E427="","",IF($E426="",$E427,$E427*0.0198019802+J426*0.9801980198))</f>
        <v>0</v>
      </c>
      <c r="K427">
        <f>IF($E427="","",IF($E426="",$E427,$E427*0.0099502488+K426*0.9900497512))</f>
        <v>0</v>
      </c>
      <c r="L427">
        <f>IF(OR($E427="",$E426=""),"",MAX($E427-$E426,0))</f>
        <v>0</v>
      </c>
      <c r="M427">
        <f>IF(OR($E427="",$E426=""),"",MAX($E426-$E427,0))</f>
        <v>0</v>
      </c>
      <c r="N427">
        <f>IF(COUNT($E$2:$E427)&lt;15,"",IF(AVERAGE($M$414:$M$427)=0,100,100-100/(1+AVERAGE($L$414:$L$427)/AVERAGE($M$414:$M$427))))</f>
        <v>0</v>
      </c>
      <c r="O427">
        <f>IF($E427="","",IF($E426="",$E427,$E427*0.1538461538+O426*0.8461538462))</f>
        <v>0</v>
      </c>
      <c r="P427">
        <f>IF($E427="","",IF($E426="",$E427,$E427*0.0740740741+P426*0.9259259259))</f>
        <v>0</v>
      </c>
      <c r="Q427">
        <f>IF(OR(O427="",P427=""),"",O427-P427)</f>
        <v>0</v>
      </c>
      <c r="R427">
        <f>IF(Q427="","",IF(R426="",Q427,Q427*0.2000000000+R426*0.8000000000))</f>
        <v>0</v>
      </c>
      <c r="S427">
        <f>IF(OR(Q427="",R427=""),"",Q427-R427)</f>
        <v>0</v>
      </c>
      <c r="T427">
        <f>IF(COUNT($E$2:$E427)&lt;14,"",MAX($C$414:$C$427))</f>
        <v>0</v>
      </c>
      <c r="U427">
        <f>IF(COUNT($E$2:$E427)&lt;14,"",MIN($D$414:$D$427))</f>
        <v>0</v>
      </c>
      <c r="V427">
        <f>IF(OR(T427="",U427="",T427=U427),"",100*($E427-U427)/(T427-U427))</f>
        <v>0</v>
      </c>
      <c r="W427">
        <f>IF(COUNT($V$425:$V$427)&lt;3,"",AVERAGE($V$425:$V$427))</f>
        <v>0</v>
      </c>
      <c r="X427">
        <f>IF(COUNT($N$414:$N$427)&lt;14,"",MIN($N$414:$N$427))</f>
        <v>0</v>
      </c>
      <c r="Y427">
        <f>IF(COUNT($N$414:$N$427)&lt;14,"",MAX($N$414:$N$427))</f>
        <v>0</v>
      </c>
      <c r="Z427">
        <f>IF(OR(N427="",X427="",Y427="",Y427=X427),"",100*(N427-X427)/(Y427-X427))</f>
        <v>0</v>
      </c>
      <c r="AA427">
        <f>IF(COUNT($Z$425:$Z$427)&lt;3,"",AVERAGE($Z$425:$Z$427))</f>
        <v>0</v>
      </c>
      <c r="AB427">
        <f>IF(COUNT($AA$425:$AA$427)&lt;3,"",AVERAGE($AA$425:$AA$427))</f>
        <v>0</v>
      </c>
      <c r="AC427">
        <f>IF($E427="","",MAX($C427-$D427,ABS($C427-$E426),ABS($D427-$E426)))</f>
        <v>0</v>
      </c>
      <c r="AD427">
        <f>IF(COUNT($E$2:$E427)&lt;15,"",AVERAGE($AC$414:$AC$427))</f>
        <v>0</v>
      </c>
      <c r="AE427">
        <f>IF(OR($E427="",$E426=""),"",IF(AND(($C427-$C426)&gt;($D426-$D427),($C427-$C426)&gt;0),$C427-$C426,0))</f>
        <v>0</v>
      </c>
      <c r="AF427">
        <f>IF(OR($E427="",$E426=""),"",IF(AND(($D426-$D427)&gt;($C427-$C426),($D426-$D427)&gt;0),$D426-$D427,0))</f>
        <v>0</v>
      </c>
      <c r="AG427">
        <f>IF(COUNT($E$2:$E427)&lt;15,"",IF(SUM($AC$414:$AC$427)=0,0,100*SUM($AE$414:$AE$427)/SUM($AC$414:$AC$427)))</f>
        <v>0</v>
      </c>
      <c r="AH427">
        <f>IF(COUNT($E$2:$E427)&lt;15,"",IF(SUM($AC$414:$AC$427)=0,0,100*SUM($AF$414:$AF$427)/SUM($AC$414:$AC$427)))</f>
        <v>0</v>
      </c>
      <c r="AI427">
        <f>IF(OR(AG427="",AH427=""),"",IF((AG427+AH427)=0,0,100*ABS(AG427-AH427)/(AG427+AH427)))</f>
        <v>0</v>
      </c>
      <c r="AJ427">
        <f>IF(COUNT($AI$414:$AI$427)&lt;14,"",AVERAGE($AI$414:$AI$427))</f>
        <v>0</v>
      </c>
      <c r="AK427">
        <f>IF(COUNT($E$2:$E427)&lt;20,"",AVERAGE($E$408:$E$427))</f>
        <v>0</v>
      </c>
      <c r="AL427">
        <f>IF(COUNT($E$2:$E427)&lt;20,"",STDEVP($E$408:$E$427))</f>
        <v>0</v>
      </c>
      <c r="AM427">
        <f>IF(AK427="","",AK427+2*AL427)</f>
        <v>0</v>
      </c>
      <c r="AN427">
        <f>IF(AK427="","",AK427-2*AL427)</f>
        <v>0</v>
      </c>
      <c r="AO427">
        <f>IF(OR(AM427="",AN427="",AM427=AN427),"",($E427-AN427)/(AM427-AN427))</f>
        <v>0</v>
      </c>
      <c r="AP427">
        <f>IF(OR(AM427="",AK427="",AK427=0),"",(AM427-AN427)/AK427)</f>
        <v>0</v>
      </c>
      <c r="AQ427">
        <f>IF(COUNT($E$2:$E427)&lt;20,"",MAX($C$408:$C$427))</f>
        <v>0</v>
      </c>
      <c r="AR427">
        <f>IF(COUNT($E$2:$E427)&lt;20,"",MIN($D$408:$D$427))</f>
        <v>0</v>
      </c>
      <c r="AS427">
        <f>IF(OR(AQ427="",AR427=""),"",(AQ427+AR427)/2)</f>
        <v>0</v>
      </c>
      <c r="AT427">
        <f>IF(COUNT($G$408:$G$427)&lt;20,"",STDEV($G$408:$G$427)*SQRT(252))</f>
        <v>0</v>
      </c>
      <c r="AU427">
        <f>IF(COUNT($E$2:$E427)&lt;9,"",(MAX($C$419:$C$427)+MIN($D$419:$D$427))/2)</f>
        <v>0</v>
      </c>
      <c r="AV427">
        <f>IF(COUNT($E$2:$E427)&lt;26,"",(MAX($C$402:$C$427)+MIN($D$402:$D$427))/2)</f>
        <v>0</v>
      </c>
      <c r="AW427">
        <f>IF(OR(AU427="",AV427=""),"",(AU427+AV427)/2)</f>
        <v>0</v>
      </c>
      <c r="AX427">
        <f>IF(COUNT($E$2:$E427)&lt;52,"",(MAX($C$376:$C$427)+MIN($D$376:$D$427))/2)</f>
        <v>0</v>
      </c>
      <c r="AY427">
        <f>IF(COUNT($E$2:$E427)&lt;20,"",MAX($C$328:$C$427))</f>
        <v>0</v>
      </c>
      <c r="AZ427">
        <f>IF(COUNT($E$2:$E427)&lt;20,"",MIN($D$328:$D$427))</f>
        <v>0</v>
      </c>
      <c r="BA427">
        <f>IF(COUNT($E$2:$E427)&lt;20,"",SLOPE($E$328:$E$427,$F$328:$F$427))</f>
        <v>0</v>
      </c>
      <c r="BB427">
        <f>IF(COUNT($E$2:$E427)&lt;20,"",INTERCEPT($E$328:$E$427,$F$328:$F$427))</f>
        <v>0</v>
      </c>
      <c r="BC427">
        <f>IF(OR(BA427="",BB427=""),"",BB427+BA427*F427)</f>
        <v>0</v>
      </c>
      <c r="BD427">
        <f>IF(COUNT($E$2:$E427)&lt;20,"",STEYX($E$328:$E$427,$F$328:$F$427))</f>
        <v>0</v>
      </c>
      <c r="BE427">
        <f>IF($E427="","",IF(AND(COUNT($E$428:$E$431)&gt;=4,$C427=MAX($C$423:$C$431)),$C427,""))</f>
        <v>0</v>
      </c>
      <c r="BF427">
        <f>IF($E427="","",IF(AND(COUNT($E$428:$E$431)&gt;=4,$D427=MIN($D$423:$D$431)),$D427,""))</f>
        <v>0</v>
      </c>
      <c r="BG427">
        <f>IF($A427="","",$A427-WEEKDAY($A427,2)+1)</f>
        <v>0</v>
      </c>
      <c r="BH427">
        <f>IF($A427="","",IF($A426="",1,IF(BG427&lt;&gt;BG426,1,0)))</f>
        <v>0</v>
      </c>
      <c r="BI427">
        <f>IF($A427="","",IF($A428="",1,IF(BG428&lt;&gt;BG427,1,0)))</f>
        <v>0</v>
      </c>
      <c r="BJ427">
        <f>IF($A427="","",IF(BH427=1,$B427,BJ426))</f>
        <v>0</v>
      </c>
      <c r="BK427">
        <f>IF($A427="","",IF(BH427=1,$C427,MAX($C427,BK426)))</f>
        <v>0</v>
      </c>
      <c r="BL427">
        <f>IF($A427="","",IF(BH427=1,$D427,MIN($D427,BL426)))</f>
        <v>0</v>
      </c>
      <c r="BM427">
        <f>IF($A427="","",IF(BI427=1,F427,""))</f>
        <v>0</v>
      </c>
      <c r="BN427">
        <f>IF($A427="","",DATE(YEAR($A427),MONTH($A427),1))</f>
        <v>0</v>
      </c>
      <c r="BO427">
        <f>IF($A427="","",IF($A426="",1,IF(BN427&lt;&gt;BN426,1,0)))</f>
        <v>0</v>
      </c>
      <c r="BP427">
        <f>IF($A427="","",IF($A428="",1,IF(BN428&lt;&gt;BN427,1,0)))</f>
        <v>0</v>
      </c>
      <c r="BQ427">
        <f>IF($A427="","",IF(BO427=1,$B427,BQ426))</f>
        <v>0</v>
      </c>
      <c r="BR427">
        <f>IF($A427="","",IF(BO427=1,$C427,MAX($C427,BR426)))</f>
        <v>0</v>
      </c>
      <c r="BS427">
        <f>IF($A427="","",IF(BO427=1,$D427,MIN($D427,BS426)))</f>
        <v>0</v>
      </c>
      <c r="BT427">
        <f>IF($A427="","",IF(BP427=1,F427,""))</f>
        <v>0</v>
      </c>
    </row>
    <row r="428" spans="1:72">
      <c r="A428" s="27">
        <f>IF(Data!$A428="","",Data!$A428)</f>
        <v>0</v>
      </c>
      <c r="B428">
        <f>IF(Data!$B428="","",Data!$B428)</f>
        <v>0</v>
      </c>
      <c r="C428">
        <f>IF(Data!$C428="","",Data!$C428)</f>
        <v>0</v>
      </c>
      <c r="D428">
        <f>IF(Data!$D428="","",Data!$D428)</f>
        <v>0</v>
      </c>
      <c r="E428">
        <f>IF(Data!$E428="","",Data!$E428)</f>
        <v>0</v>
      </c>
      <c r="F428">
        <f>IF($E428="","",N(F427)+1)</f>
        <v>0</v>
      </c>
      <c r="G428">
        <f>IF(OR($E428="",$E427=""),"",LN($E428/$E427))</f>
        <v>0</v>
      </c>
      <c r="H428">
        <f>IF($E428="","",IF($E427="",$E428,$E428*0.0952380952+H427*0.9047619048))</f>
        <v>0</v>
      </c>
      <c r="I428">
        <f>IF($E428="","",IF($E427="",$E428,$E428*0.0392156863+I427*0.9607843137))</f>
        <v>0</v>
      </c>
      <c r="J428">
        <f>IF($E428="","",IF($E427="",$E428,$E428*0.0198019802+J427*0.9801980198))</f>
        <v>0</v>
      </c>
      <c r="K428">
        <f>IF($E428="","",IF($E427="",$E428,$E428*0.0099502488+K427*0.9900497512))</f>
        <v>0</v>
      </c>
      <c r="L428">
        <f>IF(OR($E428="",$E427=""),"",MAX($E428-$E427,0))</f>
        <v>0</v>
      </c>
      <c r="M428">
        <f>IF(OR($E428="",$E427=""),"",MAX($E427-$E428,0))</f>
        <v>0</v>
      </c>
      <c r="N428">
        <f>IF(COUNT($E$2:$E428)&lt;15,"",IF(AVERAGE($M$415:$M$428)=0,100,100-100/(1+AVERAGE($L$415:$L$428)/AVERAGE($M$415:$M$428))))</f>
        <v>0</v>
      </c>
      <c r="O428">
        <f>IF($E428="","",IF($E427="",$E428,$E428*0.1538461538+O427*0.8461538462))</f>
        <v>0</v>
      </c>
      <c r="P428">
        <f>IF($E428="","",IF($E427="",$E428,$E428*0.0740740741+P427*0.9259259259))</f>
        <v>0</v>
      </c>
      <c r="Q428">
        <f>IF(OR(O428="",P428=""),"",O428-P428)</f>
        <v>0</v>
      </c>
      <c r="R428">
        <f>IF(Q428="","",IF(R427="",Q428,Q428*0.2000000000+R427*0.8000000000))</f>
        <v>0</v>
      </c>
      <c r="S428">
        <f>IF(OR(Q428="",R428=""),"",Q428-R428)</f>
        <v>0</v>
      </c>
      <c r="T428">
        <f>IF(COUNT($E$2:$E428)&lt;14,"",MAX($C$415:$C$428))</f>
        <v>0</v>
      </c>
      <c r="U428">
        <f>IF(COUNT($E$2:$E428)&lt;14,"",MIN($D$415:$D$428))</f>
        <v>0</v>
      </c>
      <c r="V428">
        <f>IF(OR(T428="",U428="",T428=U428),"",100*($E428-U428)/(T428-U428))</f>
        <v>0</v>
      </c>
      <c r="W428">
        <f>IF(COUNT($V$426:$V$428)&lt;3,"",AVERAGE($V$426:$V$428))</f>
        <v>0</v>
      </c>
      <c r="X428">
        <f>IF(COUNT($N$415:$N$428)&lt;14,"",MIN($N$415:$N$428))</f>
        <v>0</v>
      </c>
      <c r="Y428">
        <f>IF(COUNT($N$415:$N$428)&lt;14,"",MAX($N$415:$N$428))</f>
        <v>0</v>
      </c>
      <c r="Z428">
        <f>IF(OR(N428="",X428="",Y428="",Y428=X428),"",100*(N428-X428)/(Y428-X428))</f>
        <v>0</v>
      </c>
      <c r="AA428">
        <f>IF(COUNT($Z$426:$Z$428)&lt;3,"",AVERAGE($Z$426:$Z$428))</f>
        <v>0</v>
      </c>
      <c r="AB428">
        <f>IF(COUNT($AA$426:$AA$428)&lt;3,"",AVERAGE($AA$426:$AA$428))</f>
        <v>0</v>
      </c>
      <c r="AC428">
        <f>IF($E428="","",MAX($C428-$D428,ABS($C428-$E427),ABS($D428-$E427)))</f>
        <v>0</v>
      </c>
      <c r="AD428">
        <f>IF(COUNT($E$2:$E428)&lt;15,"",AVERAGE($AC$415:$AC$428))</f>
        <v>0</v>
      </c>
      <c r="AE428">
        <f>IF(OR($E428="",$E427=""),"",IF(AND(($C428-$C427)&gt;($D427-$D428),($C428-$C427)&gt;0),$C428-$C427,0))</f>
        <v>0</v>
      </c>
      <c r="AF428">
        <f>IF(OR($E428="",$E427=""),"",IF(AND(($D427-$D428)&gt;($C428-$C427),($D427-$D428)&gt;0),$D427-$D428,0))</f>
        <v>0</v>
      </c>
      <c r="AG428">
        <f>IF(COUNT($E$2:$E428)&lt;15,"",IF(SUM($AC$415:$AC$428)=0,0,100*SUM($AE$415:$AE$428)/SUM($AC$415:$AC$428)))</f>
        <v>0</v>
      </c>
      <c r="AH428">
        <f>IF(COUNT($E$2:$E428)&lt;15,"",IF(SUM($AC$415:$AC$428)=0,0,100*SUM($AF$415:$AF$428)/SUM($AC$415:$AC$428)))</f>
        <v>0</v>
      </c>
      <c r="AI428">
        <f>IF(OR(AG428="",AH428=""),"",IF((AG428+AH428)=0,0,100*ABS(AG428-AH428)/(AG428+AH428)))</f>
        <v>0</v>
      </c>
      <c r="AJ428">
        <f>IF(COUNT($AI$415:$AI$428)&lt;14,"",AVERAGE($AI$415:$AI$428))</f>
        <v>0</v>
      </c>
      <c r="AK428">
        <f>IF(COUNT($E$2:$E428)&lt;20,"",AVERAGE($E$409:$E$428))</f>
        <v>0</v>
      </c>
      <c r="AL428">
        <f>IF(COUNT($E$2:$E428)&lt;20,"",STDEVP($E$409:$E$428))</f>
        <v>0</v>
      </c>
      <c r="AM428">
        <f>IF(AK428="","",AK428+2*AL428)</f>
        <v>0</v>
      </c>
      <c r="AN428">
        <f>IF(AK428="","",AK428-2*AL428)</f>
        <v>0</v>
      </c>
      <c r="AO428">
        <f>IF(OR(AM428="",AN428="",AM428=AN428),"",($E428-AN428)/(AM428-AN428))</f>
        <v>0</v>
      </c>
      <c r="AP428">
        <f>IF(OR(AM428="",AK428="",AK428=0),"",(AM428-AN428)/AK428)</f>
        <v>0</v>
      </c>
      <c r="AQ428">
        <f>IF(COUNT($E$2:$E428)&lt;20,"",MAX($C$409:$C$428))</f>
        <v>0</v>
      </c>
      <c r="AR428">
        <f>IF(COUNT($E$2:$E428)&lt;20,"",MIN($D$409:$D$428))</f>
        <v>0</v>
      </c>
      <c r="AS428">
        <f>IF(OR(AQ428="",AR428=""),"",(AQ428+AR428)/2)</f>
        <v>0</v>
      </c>
      <c r="AT428">
        <f>IF(COUNT($G$409:$G$428)&lt;20,"",STDEV($G$409:$G$428)*SQRT(252))</f>
        <v>0</v>
      </c>
      <c r="AU428">
        <f>IF(COUNT($E$2:$E428)&lt;9,"",(MAX($C$420:$C$428)+MIN($D$420:$D$428))/2)</f>
        <v>0</v>
      </c>
      <c r="AV428">
        <f>IF(COUNT($E$2:$E428)&lt;26,"",(MAX($C$403:$C$428)+MIN($D$403:$D$428))/2)</f>
        <v>0</v>
      </c>
      <c r="AW428">
        <f>IF(OR(AU428="",AV428=""),"",(AU428+AV428)/2)</f>
        <v>0</v>
      </c>
      <c r="AX428">
        <f>IF(COUNT($E$2:$E428)&lt;52,"",(MAX($C$377:$C$428)+MIN($D$377:$D$428))/2)</f>
        <v>0</v>
      </c>
      <c r="AY428">
        <f>IF(COUNT($E$2:$E428)&lt;20,"",MAX($C$329:$C$428))</f>
        <v>0</v>
      </c>
      <c r="AZ428">
        <f>IF(COUNT($E$2:$E428)&lt;20,"",MIN($D$329:$D$428))</f>
        <v>0</v>
      </c>
      <c r="BA428">
        <f>IF(COUNT($E$2:$E428)&lt;20,"",SLOPE($E$329:$E$428,$F$329:$F$428))</f>
        <v>0</v>
      </c>
      <c r="BB428">
        <f>IF(COUNT($E$2:$E428)&lt;20,"",INTERCEPT($E$329:$E$428,$F$329:$F$428))</f>
        <v>0</v>
      </c>
      <c r="BC428">
        <f>IF(OR(BA428="",BB428=""),"",BB428+BA428*F428)</f>
        <v>0</v>
      </c>
      <c r="BD428">
        <f>IF(COUNT($E$2:$E428)&lt;20,"",STEYX($E$329:$E$428,$F$329:$F$428))</f>
        <v>0</v>
      </c>
      <c r="BE428">
        <f>IF($E428="","",IF(AND(COUNT($E$429:$E$432)&gt;=4,$C428=MAX($C$424:$C$432)),$C428,""))</f>
        <v>0</v>
      </c>
      <c r="BF428">
        <f>IF($E428="","",IF(AND(COUNT($E$429:$E$432)&gt;=4,$D428=MIN($D$424:$D$432)),$D428,""))</f>
        <v>0</v>
      </c>
      <c r="BG428">
        <f>IF($A428="","",$A428-WEEKDAY($A428,2)+1)</f>
        <v>0</v>
      </c>
      <c r="BH428">
        <f>IF($A428="","",IF($A427="",1,IF(BG428&lt;&gt;BG427,1,0)))</f>
        <v>0</v>
      </c>
      <c r="BI428">
        <f>IF($A428="","",IF($A429="",1,IF(BG429&lt;&gt;BG428,1,0)))</f>
        <v>0</v>
      </c>
      <c r="BJ428">
        <f>IF($A428="","",IF(BH428=1,$B428,BJ427))</f>
        <v>0</v>
      </c>
      <c r="BK428">
        <f>IF($A428="","",IF(BH428=1,$C428,MAX($C428,BK427)))</f>
        <v>0</v>
      </c>
      <c r="BL428">
        <f>IF($A428="","",IF(BH428=1,$D428,MIN($D428,BL427)))</f>
        <v>0</v>
      </c>
      <c r="BM428">
        <f>IF($A428="","",IF(BI428=1,F428,""))</f>
        <v>0</v>
      </c>
      <c r="BN428">
        <f>IF($A428="","",DATE(YEAR($A428),MONTH($A428),1))</f>
        <v>0</v>
      </c>
      <c r="BO428">
        <f>IF($A428="","",IF($A427="",1,IF(BN428&lt;&gt;BN427,1,0)))</f>
        <v>0</v>
      </c>
      <c r="BP428">
        <f>IF($A428="","",IF($A429="",1,IF(BN429&lt;&gt;BN428,1,0)))</f>
        <v>0</v>
      </c>
      <c r="BQ428">
        <f>IF($A428="","",IF(BO428=1,$B428,BQ427))</f>
        <v>0</v>
      </c>
      <c r="BR428">
        <f>IF($A428="","",IF(BO428=1,$C428,MAX($C428,BR427)))</f>
        <v>0</v>
      </c>
      <c r="BS428">
        <f>IF($A428="","",IF(BO428=1,$D428,MIN($D428,BS427)))</f>
        <v>0</v>
      </c>
      <c r="BT428">
        <f>IF($A428="","",IF(BP428=1,F428,""))</f>
        <v>0</v>
      </c>
    </row>
    <row r="429" spans="1:72">
      <c r="A429" s="27">
        <f>IF(Data!$A429="","",Data!$A429)</f>
        <v>0</v>
      </c>
      <c r="B429">
        <f>IF(Data!$B429="","",Data!$B429)</f>
        <v>0</v>
      </c>
      <c r="C429">
        <f>IF(Data!$C429="","",Data!$C429)</f>
        <v>0</v>
      </c>
      <c r="D429">
        <f>IF(Data!$D429="","",Data!$D429)</f>
        <v>0</v>
      </c>
      <c r="E429">
        <f>IF(Data!$E429="","",Data!$E429)</f>
        <v>0</v>
      </c>
      <c r="F429">
        <f>IF($E429="","",N(F428)+1)</f>
        <v>0</v>
      </c>
      <c r="G429">
        <f>IF(OR($E429="",$E428=""),"",LN($E429/$E428))</f>
        <v>0</v>
      </c>
      <c r="H429">
        <f>IF($E429="","",IF($E428="",$E429,$E429*0.0952380952+H428*0.9047619048))</f>
        <v>0</v>
      </c>
      <c r="I429">
        <f>IF($E429="","",IF($E428="",$E429,$E429*0.0392156863+I428*0.9607843137))</f>
        <v>0</v>
      </c>
      <c r="J429">
        <f>IF($E429="","",IF($E428="",$E429,$E429*0.0198019802+J428*0.9801980198))</f>
        <v>0</v>
      </c>
      <c r="K429">
        <f>IF($E429="","",IF($E428="",$E429,$E429*0.0099502488+K428*0.9900497512))</f>
        <v>0</v>
      </c>
      <c r="L429">
        <f>IF(OR($E429="",$E428=""),"",MAX($E429-$E428,0))</f>
        <v>0</v>
      </c>
      <c r="M429">
        <f>IF(OR($E429="",$E428=""),"",MAX($E428-$E429,0))</f>
        <v>0</v>
      </c>
      <c r="N429">
        <f>IF(COUNT($E$2:$E429)&lt;15,"",IF(AVERAGE($M$416:$M$429)=0,100,100-100/(1+AVERAGE($L$416:$L$429)/AVERAGE($M$416:$M$429))))</f>
        <v>0</v>
      </c>
      <c r="O429">
        <f>IF($E429="","",IF($E428="",$E429,$E429*0.1538461538+O428*0.8461538462))</f>
        <v>0</v>
      </c>
      <c r="P429">
        <f>IF($E429="","",IF($E428="",$E429,$E429*0.0740740741+P428*0.9259259259))</f>
        <v>0</v>
      </c>
      <c r="Q429">
        <f>IF(OR(O429="",P429=""),"",O429-P429)</f>
        <v>0</v>
      </c>
      <c r="R429">
        <f>IF(Q429="","",IF(R428="",Q429,Q429*0.2000000000+R428*0.8000000000))</f>
        <v>0</v>
      </c>
      <c r="S429">
        <f>IF(OR(Q429="",R429=""),"",Q429-R429)</f>
        <v>0</v>
      </c>
      <c r="T429">
        <f>IF(COUNT($E$2:$E429)&lt;14,"",MAX($C$416:$C$429))</f>
        <v>0</v>
      </c>
      <c r="U429">
        <f>IF(COUNT($E$2:$E429)&lt;14,"",MIN($D$416:$D$429))</f>
        <v>0</v>
      </c>
      <c r="V429">
        <f>IF(OR(T429="",U429="",T429=U429),"",100*($E429-U429)/(T429-U429))</f>
        <v>0</v>
      </c>
      <c r="W429">
        <f>IF(COUNT($V$427:$V$429)&lt;3,"",AVERAGE($V$427:$V$429))</f>
        <v>0</v>
      </c>
      <c r="X429">
        <f>IF(COUNT($N$416:$N$429)&lt;14,"",MIN($N$416:$N$429))</f>
        <v>0</v>
      </c>
      <c r="Y429">
        <f>IF(COUNT($N$416:$N$429)&lt;14,"",MAX($N$416:$N$429))</f>
        <v>0</v>
      </c>
      <c r="Z429">
        <f>IF(OR(N429="",X429="",Y429="",Y429=X429),"",100*(N429-X429)/(Y429-X429))</f>
        <v>0</v>
      </c>
      <c r="AA429">
        <f>IF(COUNT($Z$427:$Z$429)&lt;3,"",AVERAGE($Z$427:$Z$429))</f>
        <v>0</v>
      </c>
      <c r="AB429">
        <f>IF(COUNT($AA$427:$AA$429)&lt;3,"",AVERAGE($AA$427:$AA$429))</f>
        <v>0</v>
      </c>
      <c r="AC429">
        <f>IF($E429="","",MAX($C429-$D429,ABS($C429-$E428),ABS($D429-$E428)))</f>
        <v>0</v>
      </c>
      <c r="AD429">
        <f>IF(COUNT($E$2:$E429)&lt;15,"",AVERAGE($AC$416:$AC$429))</f>
        <v>0</v>
      </c>
      <c r="AE429">
        <f>IF(OR($E429="",$E428=""),"",IF(AND(($C429-$C428)&gt;($D428-$D429),($C429-$C428)&gt;0),$C429-$C428,0))</f>
        <v>0</v>
      </c>
      <c r="AF429">
        <f>IF(OR($E429="",$E428=""),"",IF(AND(($D428-$D429)&gt;($C429-$C428),($D428-$D429)&gt;0),$D428-$D429,0))</f>
        <v>0</v>
      </c>
      <c r="AG429">
        <f>IF(COUNT($E$2:$E429)&lt;15,"",IF(SUM($AC$416:$AC$429)=0,0,100*SUM($AE$416:$AE$429)/SUM($AC$416:$AC$429)))</f>
        <v>0</v>
      </c>
      <c r="AH429">
        <f>IF(COUNT($E$2:$E429)&lt;15,"",IF(SUM($AC$416:$AC$429)=0,0,100*SUM($AF$416:$AF$429)/SUM($AC$416:$AC$429)))</f>
        <v>0</v>
      </c>
      <c r="AI429">
        <f>IF(OR(AG429="",AH429=""),"",IF((AG429+AH429)=0,0,100*ABS(AG429-AH429)/(AG429+AH429)))</f>
        <v>0</v>
      </c>
      <c r="AJ429">
        <f>IF(COUNT($AI$416:$AI$429)&lt;14,"",AVERAGE($AI$416:$AI$429))</f>
        <v>0</v>
      </c>
      <c r="AK429">
        <f>IF(COUNT($E$2:$E429)&lt;20,"",AVERAGE($E$410:$E$429))</f>
        <v>0</v>
      </c>
      <c r="AL429">
        <f>IF(COUNT($E$2:$E429)&lt;20,"",STDEVP($E$410:$E$429))</f>
        <v>0</v>
      </c>
      <c r="AM429">
        <f>IF(AK429="","",AK429+2*AL429)</f>
        <v>0</v>
      </c>
      <c r="AN429">
        <f>IF(AK429="","",AK429-2*AL429)</f>
        <v>0</v>
      </c>
      <c r="AO429">
        <f>IF(OR(AM429="",AN429="",AM429=AN429),"",($E429-AN429)/(AM429-AN429))</f>
        <v>0</v>
      </c>
      <c r="AP429">
        <f>IF(OR(AM429="",AK429="",AK429=0),"",(AM429-AN429)/AK429)</f>
        <v>0</v>
      </c>
      <c r="AQ429">
        <f>IF(COUNT($E$2:$E429)&lt;20,"",MAX($C$410:$C$429))</f>
        <v>0</v>
      </c>
      <c r="AR429">
        <f>IF(COUNT($E$2:$E429)&lt;20,"",MIN($D$410:$D$429))</f>
        <v>0</v>
      </c>
      <c r="AS429">
        <f>IF(OR(AQ429="",AR429=""),"",(AQ429+AR429)/2)</f>
        <v>0</v>
      </c>
      <c r="AT429">
        <f>IF(COUNT($G$410:$G$429)&lt;20,"",STDEV($G$410:$G$429)*SQRT(252))</f>
        <v>0</v>
      </c>
      <c r="AU429">
        <f>IF(COUNT($E$2:$E429)&lt;9,"",(MAX($C$421:$C$429)+MIN($D$421:$D$429))/2)</f>
        <v>0</v>
      </c>
      <c r="AV429">
        <f>IF(COUNT($E$2:$E429)&lt;26,"",(MAX($C$404:$C$429)+MIN($D$404:$D$429))/2)</f>
        <v>0</v>
      </c>
      <c r="AW429">
        <f>IF(OR(AU429="",AV429=""),"",(AU429+AV429)/2)</f>
        <v>0</v>
      </c>
      <c r="AX429">
        <f>IF(COUNT($E$2:$E429)&lt;52,"",(MAX($C$378:$C$429)+MIN($D$378:$D$429))/2)</f>
        <v>0</v>
      </c>
      <c r="AY429">
        <f>IF(COUNT($E$2:$E429)&lt;20,"",MAX($C$330:$C$429))</f>
        <v>0</v>
      </c>
      <c r="AZ429">
        <f>IF(COUNT($E$2:$E429)&lt;20,"",MIN($D$330:$D$429))</f>
        <v>0</v>
      </c>
      <c r="BA429">
        <f>IF(COUNT($E$2:$E429)&lt;20,"",SLOPE($E$330:$E$429,$F$330:$F$429))</f>
        <v>0</v>
      </c>
      <c r="BB429">
        <f>IF(COUNT($E$2:$E429)&lt;20,"",INTERCEPT($E$330:$E$429,$F$330:$F$429))</f>
        <v>0</v>
      </c>
      <c r="BC429">
        <f>IF(OR(BA429="",BB429=""),"",BB429+BA429*F429)</f>
        <v>0</v>
      </c>
      <c r="BD429">
        <f>IF(COUNT($E$2:$E429)&lt;20,"",STEYX($E$330:$E$429,$F$330:$F$429))</f>
        <v>0</v>
      </c>
      <c r="BE429">
        <f>IF($E429="","",IF(AND(COUNT($E$430:$E$433)&gt;=4,$C429=MAX($C$425:$C$433)),$C429,""))</f>
        <v>0</v>
      </c>
      <c r="BF429">
        <f>IF($E429="","",IF(AND(COUNT($E$430:$E$433)&gt;=4,$D429=MIN($D$425:$D$433)),$D429,""))</f>
        <v>0</v>
      </c>
      <c r="BG429">
        <f>IF($A429="","",$A429-WEEKDAY($A429,2)+1)</f>
        <v>0</v>
      </c>
      <c r="BH429">
        <f>IF($A429="","",IF($A428="",1,IF(BG429&lt;&gt;BG428,1,0)))</f>
        <v>0</v>
      </c>
      <c r="BI429">
        <f>IF($A429="","",IF($A430="",1,IF(BG430&lt;&gt;BG429,1,0)))</f>
        <v>0</v>
      </c>
      <c r="BJ429">
        <f>IF($A429="","",IF(BH429=1,$B429,BJ428))</f>
        <v>0</v>
      </c>
      <c r="BK429">
        <f>IF($A429="","",IF(BH429=1,$C429,MAX($C429,BK428)))</f>
        <v>0</v>
      </c>
      <c r="BL429">
        <f>IF($A429="","",IF(BH429=1,$D429,MIN($D429,BL428)))</f>
        <v>0</v>
      </c>
      <c r="BM429">
        <f>IF($A429="","",IF(BI429=1,F429,""))</f>
        <v>0</v>
      </c>
      <c r="BN429">
        <f>IF($A429="","",DATE(YEAR($A429),MONTH($A429),1))</f>
        <v>0</v>
      </c>
      <c r="BO429">
        <f>IF($A429="","",IF($A428="",1,IF(BN429&lt;&gt;BN428,1,0)))</f>
        <v>0</v>
      </c>
      <c r="BP429">
        <f>IF($A429="","",IF($A430="",1,IF(BN430&lt;&gt;BN429,1,0)))</f>
        <v>0</v>
      </c>
      <c r="BQ429">
        <f>IF($A429="","",IF(BO429=1,$B429,BQ428))</f>
        <v>0</v>
      </c>
      <c r="BR429">
        <f>IF($A429="","",IF(BO429=1,$C429,MAX($C429,BR428)))</f>
        <v>0</v>
      </c>
      <c r="BS429">
        <f>IF($A429="","",IF(BO429=1,$D429,MIN($D429,BS428)))</f>
        <v>0</v>
      </c>
      <c r="BT429">
        <f>IF($A429="","",IF(BP429=1,F429,""))</f>
        <v>0</v>
      </c>
    </row>
    <row r="430" spans="1:72">
      <c r="A430" s="27">
        <f>IF(Data!$A430="","",Data!$A430)</f>
        <v>0</v>
      </c>
      <c r="B430">
        <f>IF(Data!$B430="","",Data!$B430)</f>
        <v>0</v>
      </c>
      <c r="C430">
        <f>IF(Data!$C430="","",Data!$C430)</f>
        <v>0</v>
      </c>
      <c r="D430">
        <f>IF(Data!$D430="","",Data!$D430)</f>
        <v>0</v>
      </c>
      <c r="E430">
        <f>IF(Data!$E430="","",Data!$E430)</f>
        <v>0</v>
      </c>
      <c r="F430">
        <f>IF($E430="","",N(F429)+1)</f>
        <v>0</v>
      </c>
      <c r="G430">
        <f>IF(OR($E430="",$E429=""),"",LN($E430/$E429))</f>
        <v>0</v>
      </c>
      <c r="H430">
        <f>IF($E430="","",IF($E429="",$E430,$E430*0.0952380952+H429*0.9047619048))</f>
        <v>0</v>
      </c>
      <c r="I430">
        <f>IF($E430="","",IF($E429="",$E430,$E430*0.0392156863+I429*0.9607843137))</f>
        <v>0</v>
      </c>
      <c r="J430">
        <f>IF($E430="","",IF($E429="",$E430,$E430*0.0198019802+J429*0.9801980198))</f>
        <v>0</v>
      </c>
      <c r="K430">
        <f>IF($E430="","",IF($E429="",$E430,$E430*0.0099502488+K429*0.9900497512))</f>
        <v>0</v>
      </c>
      <c r="L430">
        <f>IF(OR($E430="",$E429=""),"",MAX($E430-$E429,0))</f>
        <v>0</v>
      </c>
      <c r="M430">
        <f>IF(OR($E430="",$E429=""),"",MAX($E429-$E430,0))</f>
        <v>0</v>
      </c>
      <c r="N430">
        <f>IF(COUNT($E$2:$E430)&lt;15,"",IF(AVERAGE($M$417:$M$430)=0,100,100-100/(1+AVERAGE($L$417:$L$430)/AVERAGE($M$417:$M$430))))</f>
        <v>0</v>
      </c>
      <c r="O430">
        <f>IF($E430="","",IF($E429="",$E430,$E430*0.1538461538+O429*0.8461538462))</f>
        <v>0</v>
      </c>
      <c r="P430">
        <f>IF($E430="","",IF($E429="",$E430,$E430*0.0740740741+P429*0.9259259259))</f>
        <v>0</v>
      </c>
      <c r="Q430">
        <f>IF(OR(O430="",P430=""),"",O430-P430)</f>
        <v>0</v>
      </c>
      <c r="R430">
        <f>IF(Q430="","",IF(R429="",Q430,Q430*0.2000000000+R429*0.8000000000))</f>
        <v>0</v>
      </c>
      <c r="S430">
        <f>IF(OR(Q430="",R430=""),"",Q430-R430)</f>
        <v>0</v>
      </c>
      <c r="T430">
        <f>IF(COUNT($E$2:$E430)&lt;14,"",MAX($C$417:$C$430))</f>
        <v>0</v>
      </c>
      <c r="U430">
        <f>IF(COUNT($E$2:$E430)&lt;14,"",MIN($D$417:$D$430))</f>
        <v>0</v>
      </c>
      <c r="V430">
        <f>IF(OR(T430="",U430="",T430=U430),"",100*($E430-U430)/(T430-U430))</f>
        <v>0</v>
      </c>
      <c r="W430">
        <f>IF(COUNT($V$428:$V$430)&lt;3,"",AVERAGE($V$428:$V$430))</f>
        <v>0</v>
      </c>
      <c r="X430">
        <f>IF(COUNT($N$417:$N$430)&lt;14,"",MIN($N$417:$N$430))</f>
        <v>0</v>
      </c>
      <c r="Y430">
        <f>IF(COUNT($N$417:$N$430)&lt;14,"",MAX($N$417:$N$430))</f>
        <v>0</v>
      </c>
      <c r="Z430">
        <f>IF(OR(N430="",X430="",Y430="",Y430=X430),"",100*(N430-X430)/(Y430-X430))</f>
        <v>0</v>
      </c>
      <c r="AA430">
        <f>IF(COUNT($Z$428:$Z$430)&lt;3,"",AVERAGE($Z$428:$Z$430))</f>
        <v>0</v>
      </c>
      <c r="AB430">
        <f>IF(COUNT($AA$428:$AA$430)&lt;3,"",AVERAGE($AA$428:$AA$430))</f>
        <v>0</v>
      </c>
      <c r="AC430">
        <f>IF($E430="","",MAX($C430-$D430,ABS($C430-$E429),ABS($D430-$E429)))</f>
        <v>0</v>
      </c>
      <c r="AD430">
        <f>IF(COUNT($E$2:$E430)&lt;15,"",AVERAGE($AC$417:$AC$430))</f>
        <v>0</v>
      </c>
      <c r="AE430">
        <f>IF(OR($E430="",$E429=""),"",IF(AND(($C430-$C429)&gt;($D429-$D430),($C430-$C429)&gt;0),$C430-$C429,0))</f>
        <v>0</v>
      </c>
      <c r="AF430">
        <f>IF(OR($E430="",$E429=""),"",IF(AND(($D429-$D430)&gt;($C430-$C429),($D429-$D430)&gt;0),$D429-$D430,0))</f>
        <v>0</v>
      </c>
      <c r="AG430">
        <f>IF(COUNT($E$2:$E430)&lt;15,"",IF(SUM($AC$417:$AC$430)=0,0,100*SUM($AE$417:$AE$430)/SUM($AC$417:$AC$430)))</f>
        <v>0</v>
      </c>
      <c r="AH430">
        <f>IF(COUNT($E$2:$E430)&lt;15,"",IF(SUM($AC$417:$AC$430)=0,0,100*SUM($AF$417:$AF$430)/SUM($AC$417:$AC$430)))</f>
        <v>0</v>
      </c>
      <c r="AI430">
        <f>IF(OR(AG430="",AH430=""),"",IF((AG430+AH430)=0,0,100*ABS(AG430-AH430)/(AG430+AH430)))</f>
        <v>0</v>
      </c>
      <c r="AJ430">
        <f>IF(COUNT($AI$417:$AI$430)&lt;14,"",AVERAGE($AI$417:$AI$430))</f>
        <v>0</v>
      </c>
      <c r="AK430">
        <f>IF(COUNT($E$2:$E430)&lt;20,"",AVERAGE($E$411:$E$430))</f>
        <v>0</v>
      </c>
      <c r="AL430">
        <f>IF(COUNT($E$2:$E430)&lt;20,"",STDEVP($E$411:$E$430))</f>
        <v>0</v>
      </c>
      <c r="AM430">
        <f>IF(AK430="","",AK430+2*AL430)</f>
        <v>0</v>
      </c>
      <c r="AN430">
        <f>IF(AK430="","",AK430-2*AL430)</f>
        <v>0</v>
      </c>
      <c r="AO430">
        <f>IF(OR(AM430="",AN430="",AM430=AN430),"",($E430-AN430)/(AM430-AN430))</f>
        <v>0</v>
      </c>
      <c r="AP430">
        <f>IF(OR(AM430="",AK430="",AK430=0),"",(AM430-AN430)/AK430)</f>
        <v>0</v>
      </c>
      <c r="AQ430">
        <f>IF(COUNT($E$2:$E430)&lt;20,"",MAX($C$411:$C$430))</f>
        <v>0</v>
      </c>
      <c r="AR430">
        <f>IF(COUNT($E$2:$E430)&lt;20,"",MIN($D$411:$D$430))</f>
        <v>0</v>
      </c>
      <c r="AS430">
        <f>IF(OR(AQ430="",AR430=""),"",(AQ430+AR430)/2)</f>
        <v>0</v>
      </c>
      <c r="AT430">
        <f>IF(COUNT($G$411:$G$430)&lt;20,"",STDEV($G$411:$G$430)*SQRT(252))</f>
        <v>0</v>
      </c>
      <c r="AU430">
        <f>IF(COUNT($E$2:$E430)&lt;9,"",(MAX($C$422:$C$430)+MIN($D$422:$D$430))/2)</f>
        <v>0</v>
      </c>
      <c r="AV430">
        <f>IF(COUNT($E$2:$E430)&lt;26,"",(MAX($C$405:$C$430)+MIN($D$405:$D$430))/2)</f>
        <v>0</v>
      </c>
      <c r="AW430">
        <f>IF(OR(AU430="",AV430=""),"",(AU430+AV430)/2)</f>
        <v>0</v>
      </c>
      <c r="AX430">
        <f>IF(COUNT($E$2:$E430)&lt;52,"",(MAX($C$379:$C$430)+MIN($D$379:$D$430))/2)</f>
        <v>0</v>
      </c>
      <c r="AY430">
        <f>IF(COUNT($E$2:$E430)&lt;20,"",MAX($C$331:$C$430))</f>
        <v>0</v>
      </c>
      <c r="AZ430">
        <f>IF(COUNT($E$2:$E430)&lt;20,"",MIN($D$331:$D$430))</f>
        <v>0</v>
      </c>
      <c r="BA430">
        <f>IF(COUNT($E$2:$E430)&lt;20,"",SLOPE($E$331:$E$430,$F$331:$F$430))</f>
        <v>0</v>
      </c>
      <c r="BB430">
        <f>IF(COUNT($E$2:$E430)&lt;20,"",INTERCEPT($E$331:$E$430,$F$331:$F$430))</f>
        <v>0</v>
      </c>
      <c r="BC430">
        <f>IF(OR(BA430="",BB430=""),"",BB430+BA430*F430)</f>
        <v>0</v>
      </c>
      <c r="BD430">
        <f>IF(COUNT($E$2:$E430)&lt;20,"",STEYX($E$331:$E$430,$F$331:$F$430))</f>
        <v>0</v>
      </c>
      <c r="BE430">
        <f>IF($E430="","",IF(AND(COUNT($E$431:$E$434)&gt;=4,$C430=MAX($C$426:$C$434)),$C430,""))</f>
        <v>0</v>
      </c>
      <c r="BF430">
        <f>IF($E430="","",IF(AND(COUNT($E$431:$E$434)&gt;=4,$D430=MIN($D$426:$D$434)),$D430,""))</f>
        <v>0</v>
      </c>
      <c r="BG430">
        <f>IF($A430="","",$A430-WEEKDAY($A430,2)+1)</f>
        <v>0</v>
      </c>
      <c r="BH430">
        <f>IF($A430="","",IF($A429="",1,IF(BG430&lt;&gt;BG429,1,0)))</f>
        <v>0</v>
      </c>
      <c r="BI430">
        <f>IF($A430="","",IF($A431="",1,IF(BG431&lt;&gt;BG430,1,0)))</f>
        <v>0</v>
      </c>
      <c r="BJ430">
        <f>IF($A430="","",IF(BH430=1,$B430,BJ429))</f>
        <v>0</v>
      </c>
      <c r="BK430">
        <f>IF($A430="","",IF(BH430=1,$C430,MAX($C430,BK429)))</f>
        <v>0</v>
      </c>
      <c r="BL430">
        <f>IF($A430="","",IF(BH430=1,$D430,MIN($D430,BL429)))</f>
        <v>0</v>
      </c>
      <c r="BM430">
        <f>IF($A430="","",IF(BI430=1,F430,""))</f>
        <v>0</v>
      </c>
      <c r="BN430">
        <f>IF($A430="","",DATE(YEAR($A430),MONTH($A430),1))</f>
        <v>0</v>
      </c>
      <c r="BO430">
        <f>IF($A430="","",IF($A429="",1,IF(BN430&lt;&gt;BN429,1,0)))</f>
        <v>0</v>
      </c>
      <c r="BP430">
        <f>IF($A430="","",IF($A431="",1,IF(BN431&lt;&gt;BN430,1,0)))</f>
        <v>0</v>
      </c>
      <c r="BQ430">
        <f>IF($A430="","",IF(BO430=1,$B430,BQ429))</f>
        <v>0</v>
      </c>
      <c r="BR430">
        <f>IF($A430="","",IF(BO430=1,$C430,MAX($C430,BR429)))</f>
        <v>0</v>
      </c>
      <c r="BS430">
        <f>IF($A430="","",IF(BO430=1,$D430,MIN($D430,BS429)))</f>
        <v>0</v>
      </c>
      <c r="BT430">
        <f>IF($A430="","",IF(BP430=1,F430,""))</f>
        <v>0</v>
      </c>
    </row>
    <row r="431" spans="1:72">
      <c r="A431" s="27">
        <f>IF(Data!$A431="","",Data!$A431)</f>
        <v>0</v>
      </c>
      <c r="B431">
        <f>IF(Data!$B431="","",Data!$B431)</f>
        <v>0</v>
      </c>
      <c r="C431">
        <f>IF(Data!$C431="","",Data!$C431)</f>
        <v>0</v>
      </c>
      <c r="D431">
        <f>IF(Data!$D431="","",Data!$D431)</f>
        <v>0</v>
      </c>
      <c r="E431">
        <f>IF(Data!$E431="","",Data!$E431)</f>
        <v>0</v>
      </c>
      <c r="F431">
        <f>IF($E431="","",N(F430)+1)</f>
        <v>0</v>
      </c>
      <c r="G431">
        <f>IF(OR($E431="",$E430=""),"",LN($E431/$E430))</f>
        <v>0</v>
      </c>
      <c r="H431">
        <f>IF($E431="","",IF($E430="",$E431,$E431*0.0952380952+H430*0.9047619048))</f>
        <v>0</v>
      </c>
      <c r="I431">
        <f>IF($E431="","",IF($E430="",$E431,$E431*0.0392156863+I430*0.9607843137))</f>
        <v>0</v>
      </c>
      <c r="J431">
        <f>IF($E431="","",IF($E430="",$E431,$E431*0.0198019802+J430*0.9801980198))</f>
        <v>0</v>
      </c>
      <c r="K431">
        <f>IF($E431="","",IF($E430="",$E431,$E431*0.0099502488+K430*0.9900497512))</f>
        <v>0</v>
      </c>
      <c r="L431">
        <f>IF(OR($E431="",$E430=""),"",MAX($E431-$E430,0))</f>
        <v>0</v>
      </c>
      <c r="M431">
        <f>IF(OR($E431="",$E430=""),"",MAX($E430-$E431,0))</f>
        <v>0</v>
      </c>
      <c r="N431">
        <f>IF(COUNT($E$2:$E431)&lt;15,"",IF(AVERAGE($M$418:$M$431)=0,100,100-100/(1+AVERAGE($L$418:$L$431)/AVERAGE($M$418:$M$431))))</f>
        <v>0</v>
      </c>
      <c r="O431">
        <f>IF($E431="","",IF($E430="",$E431,$E431*0.1538461538+O430*0.8461538462))</f>
        <v>0</v>
      </c>
      <c r="P431">
        <f>IF($E431="","",IF($E430="",$E431,$E431*0.0740740741+P430*0.9259259259))</f>
        <v>0</v>
      </c>
      <c r="Q431">
        <f>IF(OR(O431="",P431=""),"",O431-P431)</f>
        <v>0</v>
      </c>
      <c r="R431">
        <f>IF(Q431="","",IF(R430="",Q431,Q431*0.2000000000+R430*0.8000000000))</f>
        <v>0</v>
      </c>
      <c r="S431">
        <f>IF(OR(Q431="",R431=""),"",Q431-R431)</f>
        <v>0</v>
      </c>
      <c r="T431">
        <f>IF(COUNT($E$2:$E431)&lt;14,"",MAX($C$418:$C$431))</f>
        <v>0</v>
      </c>
      <c r="U431">
        <f>IF(COUNT($E$2:$E431)&lt;14,"",MIN($D$418:$D$431))</f>
        <v>0</v>
      </c>
      <c r="V431">
        <f>IF(OR(T431="",U431="",T431=U431),"",100*($E431-U431)/(T431-U431))</f>
        <v>0</v>
      </c>
      <c r="W431">
        <f>IF(COUNT($V$429:$V$431)&lt;3,"",AVERAGE($V$429:$V$431))</f>
        <v>0</v>
      </c>
      <c r="X431">
        <f>IF(COUNT($N$418:$N$431)&lt;14,"",MIN($N$418:$N$431))</f>
        <v>0</v>
      </c>
      <c r="Y431">
        <f>IF(COUNT($N$418:$N$431)&lt;14,"",MAX($N$418:$N$431))</f>
        <v>0</v>
      </c>
      <c r="Z431">
        <f>IF(OR(N431="",X431="",Y431="",Y431=X431),"",100*(N431-X431)/(Y431-X431))</f>
        <v>0</v>
      </c>
      <c r="AA431">
        <f>IF(COUNT($Z$429:$Z$431)&lt;3,"",AVERAGE($Z$429:$Z$431))</f>
        <v>0</v>
      </c>
      <c r="AB431">
        <f>IF(COUNT($AA$429:$AA$431)&lt;3,"",AVERAGE($AA$429:$AA$431))</f>
        <v>0</v>
      </c>
      <c r="AC431">
        <f>IF($E431="","",MAX($C431-$D431,ABS($C431-$E430),ABS($D431-$E430)))</f>
        <v>0</v>
      </c>
      <c r="AD431">
        <f>IF(COUNT($E$2:$E431)&lt;15,"",AVERAGE($AC$418:$AC$431))</f>
        <v>0</v>
      </c>
      <c r="AE431">
        <f>IF(OR($E431="",$E430=""),"",IF(AND(($C431-$C430)&gt;($D430-$D431),($C431-$C430)&gt;0),$C431-$C430,0))</f>
        <v>0</v>
      </c>
      <c r="AF431">
        <f>IF(OR($E431="",$E430=""),"",IF(AND(($D430-$D431)&gt;($C431-$C430),($D430-$D431)&gt;0),$D430-$D431,0))</f>
        <v>0</v>
      </c>
      <c r="AG431">
        <f>IF(COUNT($E$2:$E431)&lt;15,"",IF(SUM($AC$418:$AC$431)=0,0,100*SUM($AE$418:$AE$431)/SUM($AC$418:$AC$431)))</f>
        <v>0</v>
      </c>
      <c r="AH431">
        <f>IF(COUNT($E$2:$E431)&lt;15,"",IF(SUM($AC$418:$AC$431)=0,0,100*SUM($AF$418:$AF$431)/SUM($AC$418:$AC$431)))</f>
        <v>0</v>
      </c>
      <c r="AI431">
        <f>IF(OR(AG431="",AH431=""),"",IF((AG431+AH431)=0,0,100*ABS(AG431-AH431)/(AG431+AH431)))</f>
        <v>0</v>
      </c>
      <c r="AJ431">
        <f>IF(COUNT($AI$418:$AI$431)&lt;14,"",AVERAGE($AI$418:$AI$431))</f>
        <v>0</v>
      </c>
      <c r="AK431">
        <f>IF(COUNT($E$2:$E431)&lt;20,"",AVERAGE($E$412:$E$431))</f>
        <v>0</v>
      </c>
      <c r="AL431">
        <f>IF(COUNT($E$2:$E431)&lt;20,"",STDEVP($E$412:$E$431))</f>
        <v>0</v>
      </c>
      <c r="AM431">
        <f>IF(AK431="","",AK431+2*AL431)</f>
        <v>0</v>
      </c>
      <c r="AN431">
        <f>IF(AK431="","",AK431-2*AL431)</f>
        <v>0</v>
      </c>
      <c r="AO431">
        <f>IF(OR(AM431="",AN431="",AM431=AN431),"",($E431-AN431)/(AM431-AN431))</f>
        <v>0</v>
      </c>
      <c r="AP431">
        <f>IF(OR(AM431="",AK431="",AK431=0),"",(AM431-AN431)/AK431)</f>
        <v>0</v>
      </c>
      <c r="AQ431">
        <f>IF(COUNT($E$2:$E431)&lt;20,"",MAX($C$412:$C$431))</f>
        <v>0</v>
      </c>
      <c r="AR431">
        <f>IF(COUNT($E$2:$E431)&lt;20,"",MIN($D$412:$D$431))</f>
        <v>0</v>
      </c>
      <c r="AS431">
        <f>IF(OR(AQ431="",AR431=""),"",(AQ431+AR431)/2)</f>
        <v>0</v>
      </c>
      <c r="AT431">
        <f>IF(COUNT($G$412:$G$431)&lt;20,"",STDEV($G$412:$G$431)*SQRT(252))</f>
        <v>0</v>
      </c>
      <c r="AU431">
        <f>IF(COUNT($E$2:$E431)&lt;9,"",(MAX($C$423:$C$431)+MIN($D$423:$D$431))/2)</f>
        <v>0</v>
      </c>
      <c r="AV431">
        <f>IF(COUNT($E$2:$E431)&lt;26,"",(MAX($C$406:$C$431)+MIN($D$406:$D$431))/2)</f>
        <v>0</v>
      </c>
      <c r="AW431">
        <f>IF(OR(AU431="",AV431=""),"",(AU431+AV431)/2)</f>
        <v>0</v>
      </c>
      <c r="AX431">
        <f>IF(COUNT($E$2:$E431)&lt;52,"",(MAX($C$380:$C$431)+MIN($D$380:$D$431))/2)</f>
        <v>0</v>
      </c>
      <c r="AY431">
        <f>IF(COUNT($E$2:$E431)&lt;20,"",MAX($C$332:$C$431))</f>
        <v>0</v>
      </c>
      <c r="AZ431">
        <f>IF(COUNT($E$2:$E431)&lt;20,"",MIN($D$332:$D$431))</f>
        <v>0</v>
      </c>
      <c r="BA431">
        <f>IF(COUNT($E$2:$E431)&lt;20,"",SLOPE($E$332:$E$431,$F$332:$F$431))</f>
        <v>0</v>
      </c>
      <c r="BB431">
        <f>IF(COUNT($E$2:$E431)&lt;20,"",INTERCEPT($E$332:$E$431,$F$332:$F$431))</f>
        <v>0</v>
      </c>
      <c r="BC431">
        <f>IF(OR(BA431="",BB431=""),"",BB431+BA431*F431)</f>
        <v>0</v>
      </c>
      <c r="BD431">
        <f>IF(COUNT($E$2:$E431)&lt;20,"",STEYX($E$332:$E$431,$F$332:$F$431))</f>
        <v>0</v>
      </c>
      <c r="BE431">
        <f>IF($E431="","",IF(AND(COUNT($E$432:$E$435)&gt;=4,$C431=MAX($C$427:$C$435)),$C431,""))</f>
        <v>0</v>
      </c>
      <c r="BF431">
        <f>IF($E431="","",IF(AND(COUNT($E$432:$E$435)&gt;=4,$D431=MIN($D$427:$D$435)),$D431,""))</f>
        <v>0</v>
      </c>
      <c r="BG431">
        <f>IF($A431="","",$A431-WEEKDAY($A431,2)+1)</f>
        <v>0</v>
      </c>
      <c r="BH431">
        <f>IF($A431="","",IF($A430="",1,IF(BG431&lt;&gt;BG430,1,0)))</f>
        <v>0</v>
      </c>
      <c r="BI431">
        <f>IF($A431="","",IF($A432="",1,IF(BG432&lt;&gt;BG431,1,0)))</f>
        <v>0</v>
      </c>
      <c r="BJ431">
        <f>IF($A431="","",IF(BH431=1,$B431,BJ430))</f>
        <v>0</v>
      </c>
      <c r="BK431">
        <f>IF($A431="","",IF(BH431=1,$C431,MAX($C431,BK430)))</f>
        <v>0</v>
      </c>
      <c r="BL431">
        <f>IF($A431="","",IF(BH431=1,$D431,MIN($D431,BL430)))</f>
        <v>0</v>
      </c>
      <c r="BM431">
        <f>IF($A431="","",IF(BI431=1,F431,""))</f>
        <v>0</v>
      </c>
      <c r="BN431">
        <f>IF($A431="","",DATE(YEAR($A431),MONTH($A431),1))</f>
        <v>0</v>
      </c>
      <c r="BO431">
        <f>IF($A431="","",IF($A430="",1,IF(BN431&lt;&gt;BN430,1,0)))</f>
        <v>0</v>
      </c>
      <c r="BP431">
        <f>IF($A431="","",IF($A432="",1,IF(BN432&lt;&gt;BN431,1,0)))</f>
        <v>0</v>
      </c>
      <c r="BQ431">
        <f>IF($A431="","",IF(BO431=1,$B431,BQ430))</f>
        <v>0</v>
      </c>
      <c r="BR431">
        <f>IF($A431="","",IF(BO431=1,$C431,MAX($C431,BR430)))</f>
        <v>0</v>
      </c>
      <c r="BS431">
        <f>IF($A431="","",IF(BO431=1,$D431,MIN($D431,BS430)))</f>
        <v>0</v>
      </c>
      <c r="BT431">
        <f>IF($A431="","",IF(BP431=1,F431,""))</f>
        <v>0</v>
      </c>
    </row>
    <row r="432" spans="1:72">
      <c r="A432" s="27">
        <f>IF(Data!$A432="","",Data!$A432)</f>
        <v>0</v>
      </c>
      <c r="B432">
        <f>IF(Data!$B432="","",Data!$B432)</f>
        <v>0</v>
      </c>
      <c r="C432">
        <f>IF(Data!$C432="","",Data!$C432)</f>
        <v>0</v>
      </c>
      <c r="D432">
        <f>IF(Data!$D432="","",Data!$D432)</f>
        <v>0</v>
      </c>
      <c r="E432">
        <f>IF(Data!$E432="","",Data!$E432)</f>
        <v>0</v>
      </c>
      <c r="F432">
        <f>IF($E432="","",N(F431)+1)</f>
        <v>0</v>
      </c>
      <c r="G432">
        <f>IF(OR($E432="",$E431=""),"",LN($E432/$E431))</f>
        <v>0</v>
      </c>
      <c r="H432">
        <f>IF($E432="","",IF($E431="",$E432,$E432*0.0952380952+H431*0.9047619048))</f>
        <v>0</v>
      </c>
      <c r="I432">
        <f>IF($E432="","",IF($E431="",$E432,$E432*0.0392156863+I431*0.9607843137))</f>
        <v>0</v>
      </c>
      <c r="J432">
        <f>IF($E432="","",IF($E431="",$E432,$E432*0.0198019802+J431*0.9801980198))</f>
        <v>0</v>
      </c>
      <c r="K432">
        <f>IF($E432="","",IF($E431="",$E432,$E432*0.0099502488+K431*0.9900497512))</f>
        <v>0</v>
      </c>
      <c r="L432">
        <f>IF(OR($E432="",$E431=""),"",MAX($E432-$E431,0))</f>
        <v>0</v>
      </c>
      <c r="M432">
        <f>IF(OR($E432="",$E431=""),"",MAX($E431-$E432,0))</f>
        <v>0</v>
      </c>
      <c r="N432">
        <f>IF(COUNT($E$2:$E432)&lt;15,"",IF(AVERAGE($M$419:$M$432)=0,100,100-100/(1+AVERAGE($L$419:$L$432)/AVERAGE($M$419:$M$432))))</f>
        <v>0</v>
      </c>
      <c r="O432">
        <f>IF($E432="","",IF($E431="",$E432,$E432*0.1538461538+O431*0.8461538462))</f>
        <v>0</v>
      </c>
      <c r="P432">
        <f>IF($E432="","",IF($E431="",$E432,$E432*0.0740740741+P431*0.9259259259))</f>
        <v>0</v>
      </c>
      <c r="Q432">
        <f>IF(OR(O432="",P432=""),"",O432-P432)</f>
        <v>0</v>
      </c>
      <c r="R432">
        <f>IF(Q432="","",IF(R431="",Q432,Q432*0.2000000000+R431*0.8000000000))</f>
        <v>0</v>
      </c>
      <c r="S432">
        <f>IF(OR(Q432="",R432=""),"",Q432-R432)</f>
        <v>0</v>
      </c>
      <c r="T432">
        <f>IF(COUNT($E$2:$E432)&lt;14,"",MAX($C$419:$C$432))</f>
        <v>0</v>
      </c>
      <c r="U432">
        <f>IF(COUNT($E$2:$E432)&lt;14,"",MIN($D$419:$D$432))</f>
        <v>0</v>
      </c>
      <c r="V432">
        <f>IF(OR(T432="",U432="",T432=U432),"",100*($E432-U432)/(T432-U432))</f>
        <v>0</v>
      </c>
      <c r="W432">
        <f>IF(COUNT($V$430:$V$432)&lt;3,"",AVERAGE($V$430:$V$432))</f>
        <v>0</v>
      </c>
      <c r="X432">
        <f>IF(COUNT($N$419:$N$432)&lt;14,"",MIN($N$419:$N$432))</f>
        <v>0</v>
      </c>
      <c r="Y432">
        <f>IF(COUNT($N$419:$N$432)&lt;14,"",MAX($N$419:$N$432))</f>
        <v>0</v>
      </c>
      <c r="Z432">
        <f>IF(OR(N432="",X432="",Y432="",Y432=X432),"",100*(N432-X432)/(Y432-X432))</f>
        <v>0</v>
      </c>
      <c r="AA432">
        <f>IF(COUNT($Z$430:$Z$432)&lt;3,"",AVERAGE($Z$430:$Z$432))</f>
        <v>0</v>
      </c>
      <c r="AB432">
        <f>IF(COUNT($AA$430:$AA$432)&lt;3,"",AVERAGE($AA$430:$AA$432))</f>
        <v>0</v>
      </c>
      <c r="AC432">
        <f>IF($E432="","",MAX($C432-$D432,ABS($C432-$E431),ABS($D432-$E431)))</f>
        <v>0</v>
      </c>
      <c r="AD432">
        <f>IF(COUNT($E$2:$E432)&lt;15,"",AVERAGE($AC$419:$AC$432))</f>
        <v>0</v>
      </c>
      <c r="AE432">
        <f>IF(OR($E432="",$E431=""),"",IF(AND(($C432-$C431)&gt;($D431-$D432),($C432-$C431)&gt;0),$C432-$C431,0))</f>
        <v>0</v>
      </c>
      <c r="AF432">
        <f>IF(OR($E432="",$E431=""),"",IF(AND(($D431-$D432)&gt;($C432-$C431),($D431-$D432)&gt;0),$D431-$D432,0))</f>
        <v>0</v>
      </c>
      <c r="AG432">
        <f>IF(COUNT($E$2:$E432)&lt;15,"",IF(SUM($AC$419:$AC$432)=0,0,100*SUM($AE$419:$AE$432)/SUM($AC$419:$AC$432)))</f>
        <v>0</v>
      </c>
      <c r="AH432">
        <f>IF(COUNT($E$2:$E432)&lt;15,"",IF(SUM($AC$419:$AC$432)=0,0,100*SUM($AF$419:$AF$432)/SUM($AC$419:$AC$432)))</f>
        <v>0</v>
      </c>
      <c r="AI432">
        <f>IF(OR(AG432="",AH432=""),"",IF((AG432+AH432)=0,0,100*ABS(AG432-AH432)/(AG432+AH432)))</f>
        <v>0</v>
      </c>
      <c r="AJ432">
        <f>IF(COUNT($AI$419:$AI$432)&lt;14,"",AVERAGE($AI$419:$AI$432))</f>
        <v>0</v>
      </c>
      <c r="AK432">
        <f>IF(COUNT($E$2:$E432)&lt;20,"",AVERAGE($E$413:$E$432))</f>
        <v>0</v>
      </c>
      <c r="AL432">
        <f>IF(COUNT($E$2:$E432)&lt;20,"",STDEVP($E$413:$E$432))</f>
        <v>0</v>
      </c>
      <c r="AM432">
        <f>IF(AK432="","",AK432+2*AL432)</f>
        <v>0</v>
      </c>
      <c r="AN432">
        <f>IF(AK432="","",AK432-2*AL432)</f>
        <v>0</v>
      </c>
      <c r="AO432">
        <f>IF(OR(AM432="",AN432="",AM432=AN432),"",($E432-AN432)/(AM432-AN432))</f>
        <v>0</v>
      </c>
      <c r="AP432">
        <f>IF(OR(AM432="",AK432="",AK432=0),"",(AM432-AN432)/AK432)</f>
        <v>0</v>
      </c>
      <c r="AQ432">
        <f>IF(COUNT($E$2:$E432)&lt;20,"",MAX($C$413:$C$432))</f>
        <v>0</v>
      </c>
      <c r="AR432">
        <f>IF(COUNT($E$2:$E432)&lt;20,"",MIN($D$413:$D$432))</f>
        <v>0</v>
      </c>
      <c r="AS432">
        <f>IF(OR(AQ432="",AR432=""),"",(AQ432+AR432)/2)</f>
        <v>0</v>
      </c>
      <c r="AT432">
        <f>IF(COUNT($G$413:$G$432)&lt;20,"",STDEV($G$413:$G$432)*SQRT(252))</f>
        <v>0</v>
      </c>
      <c r="AU432">
        <f>IF(COUNT($E$2:$E432)&lt;9,"",(MAX($C$424:$C$432)+MIN($D$424:$D$432))/2)</f>
        <v>0</v>
      </c>
      <c r="AV432">
        <f>IF(COUNT($E$2:$E432)&lt;26,"",(MAX($C$407:$C$432)+MIN($D$407:$D$432))/2)</f>
        <v>0</v>
      </c>
      <c r="AW432">
        <f>IF(OR(AU432="",AV432=""),"",(AU432+AV432)/2)</f>
        <v>0</v>
      </c>
      <c r="AX432">
        <f>IF(COUNT($E$2:$E432)&lt;52,"",(MAX($C$381:$C$432)+MIN($D$381:$D$432))/2)</f>
        <v>0</v>
      </c>
      <c r="AY432">
        <f>IF(COUNT($E$2:$E432)&lt;20,"",MAX($C$333:$C$432))</f>
        <v>0</v>
      </c>
      <c r="AZ432">
        <f>IF(COUNT($E$2:$E432)&lt;20,"",MIN($D$333:$D$432))</f>
        <v>0</v>
      </c>
      <c r="BA432">
        <f>IF(COUNT($E$2:$E432)&lt;20,"",SLOPE($E$333:$E$432,$F$333:$F$432))</f>
        <v>0</v>
      </c>
      <c r="BB432">
        <f>IF(COUNT($E$2:$E432)&lt;20,"",INTERCEPT($E$333:$E$432,$F$333:$F$432))</f>
        <v>0</v>
      </c>
      <c r="BC432">
        <f>IF(OR(BA432="",BB432=""),"",BB432+BA432*F432)</f>
        <v>0</v>
      </c>
      <c r="BD432">
        <f>IF(COUNT($E$2:$E432)&lt;20,"",STEYX($E$333:$E$432,$F$333:$F$432))</f>
        <v>0</v>
      </c>
      <c r="BE432">
        <f>IF($E432="","",IF(AND(COUNT($E$433:$E$436)&gt;=4,$C432=MAX($C$428:$C$436)),$C432,""))</f>
        <v>0</v>
      </c>
      <c r="BF432">
        <f>IF($E432="","",IF(AND(COUNT($E$433:$E$436)&gt;=4,$D432=MIN($D$428:$D$436)),$D432,""))</f>
        <v>0</v>
      </c>
      <c r="BG432">
        <f>IF($A432="","",$A432-WEEKDAY($A432,2)+1)</f>
        <v>0</v>
      </c>
      <c r="BH432">
        <f>IF($A432="","",IF($A431="",1,IF(BG432&lt;&gt;BG431,1,0)))</f>
        <v>0</v>
      </c>
      <c r="BI432">
        <f>IF($A432="","",IF($A433="",1,IF(BG433&lt;&gt;BG432,1,0)))</f>
        <v>0</v>
      </c>
      <c r="BJ432">
        <f>IF($A432="","",IF(BH432=1,$B432,BJ431))</f>
        <v>0</v>
      </c>
      <c r="BK432">
        <f>IF($A432="","",IF(BH432=1,$C432,MAX($C432,BK431)))</f>
        <v>0</v>
      </c>
      <c r="BL432">
        <f>IF($A432="","",IF(BH432=1,$D432,MIN($D432,BL431)))</f>
        <v>0</v>
      </c>
      <c r="BM432">
        <f>IF($A432="","",IF(BI432=1,F432,""))</f>
        <v>0</v>
      </c>
      <c r="BN432">
        <f>IF($A432="","",DATE(YEAR($A432),MONTH($A432),1))</f>
        <v>0</v>
      </c>
      <c r="BO432">
        <f>IF($A432="","",IF($A431="",1,IF(BN432&lt;&gt;BN431,1,0)))</f>
        <v>0</v>
      </c>
      <c r="BP432">
        <f>IF($A432="","",IF($A433="",1,IF(BN433&lt;&gt;BN432,1,0)))</f>
        <v>0</v>
      </c>
      <c r="BQ432">
        <f>IF($A432="","",IF(BO432=1,$B432,BQ431))</f>
        <v>0</v>
      </c>
      <c r="BR432">
        <f>IF($A432="","",IF(BO432=1,$C432,MAX($C432,BR431)))</f>
        <v>0</v>
      </c>
      <c r="BS432">
        <f>IF($A432="","",IF(BO432=1,$D432,MIN($D432,BS431)))</f>
        <v>0</v>
      </c>
      <c r="BT432">
        <f>IF($A432="","",IF(BP432=1,F432,""))</f>
        <v>0</v>
      </c>
    </row>
    <row r="433" spans="1:72">
      <c r="A433" s="27">
        <f>IF(Data!$A433="","",Data!$A433)</f>
        <v>0</v>
      </c>
      <c r="B433">
        <f>IF(Data!$B433="","",Data!$B433)</f>
        <v>0</v>
      </c>
      <c r="C433">
        <f>IF(Data!$C433="","",Data!$C433)</f>
        <v>0</v>
      </c>
      <c r="D433">
        <f>IF(Data!$D433="","",Data!$D433)</f>
        <v>0</v>
      </c>
      <c r="E433">
        <f>IF(Data!$E433="","",Data!$E433)</f>
        <v>0</v>
      </c>
      <c r="F433">
        <f>IF($E433="","",N(F432)+1)</f>
        <v>0</v>
      </c>
      <c r="G433">
        <f>IF(OR($E433="",$E432=""),"",LN($E433/$E432))</f>
        <v>0</v>
      </c>
      <c r="H433">
        <f>IF($E433="","",IF($E432="",$E433,$E433*0.0952380952+H432*0.9047619048))</f>
        <v>0</v>
      </c>
      <c r="I433">
        <f>IF($E433="","",IF($E432="",$E433,$E433*0.0392156863+I432*0.9607843137))</f>
        <v>0</v>
      </c>
      <c r="J433">
        <f>IF($E433="","",IF($E432="",$E433,$E433*0.0198019802+J432*0.9801980198))</f>
        <v>0</v>
      </c>
      <c r="K433">
        <f>IF($E433="","",IF($E432="",$E433,$E433*0.0099502488+K432*0.9900497512))</f>
        <v>0</v>
      </c>
      <c r="L433">
        <f>IF(OR($E433="",$E432=""),"",MAX($E433-$E432,0))</f>
        <v>0</v>
      </c>
      <c r="M433">
        <f>IF(OR($E433="",$E432=""),"",MAX($E432-$E433,0))</f>
        <v>0</v>
      </c>
      <c r="N433">
        <f>IF(COUNT($E$2:$E433)&lt;15,"",IF(AVERAGE($M$420:$M$433)=0,100,100-100/(1+AVERAGE($L$420:$L$433)/AVERAGE($M$420:$M$433))))</f>
        <v>0</v>
      </c>
      <c r="O433">
        <f>IF($E433="","",IF($E432="",$E433,$E433*0.1538461538+O432*0.8461538462))</f>
        <v>0</v>
      </c>
      <c r="P433">
        <f>IF($E433="","",IF($E432="",$E433,$E433*0.0740740741+P432*0.9259259259))</f>
        <v>0</v>
      </c>
      <c r="Q433">
        <f>IF(OR(O433="",P433=""),"",O433-P433)</f>
        <v>0</v>
      </c>
      <c r="R433">
        <f>IF(Q433="","",IF(R432="",Q433,Q433*0.2000000000+R432*0.8000000000))</f>
        <v>0</v>
      </c>
      <c r="S433">
        <f>IF(OR(Q433="",R433=""),"",Q433-R433)</f>
        <v>0</v>
      </c>
      <c r="T433">
        <f>IF(COUNT($E$2:$E433)&lt;14,"",MAX($C$420:$C$433))</f>
        <v>0</v>
      </c>
      <c r="U433">
        <f>IF(COUNT($E$2:$E433)&lt;14,"",MIN($D$420:$D$433))</f>
        <v>0</v>
      </c>
      <c r="V433">
        <f>IF(OR(T433="",U433="",T433=U433),"",100*($E433-U433)/(T433-U433))</f>
        <v>0</v>
      </c>
      <c r="W433">
        <f>IF(COUNT($V$431:$V$433)&lt;3,"",AVERAGE($V$431:$V$433))</f>
        <v>0</v>
      </c>
      <c r="X433">
        <f>IF(COUNT($N$420:$N$433)&lt;14,"",MIN($N$420:$N$433))</f>
        <v>0</v>
      </c>
      <c r="Y433">
        <f>IF(COUNT($N$420:$N$433)&lt;14,"",MAX($N$420:$N$433))</f>
        <v>0</v>
      </c>
      <c r="Z433">
        <f>IF(OR(N433="",X433="",Y433="",Y433=X433),"",100*(N433-X433)/(Y433-X433))</f>
        <v>0</v>
      </c>
      <c r="AA433">
        <f>IF(COUNT($Z$431:$Z$433)&lt;3,"",AVERAGE($Z$431:$Z$433))</f>
        <v>0</v>
      </c>
      <c r="AB433">
        <f>IF(COUNT($AA$431:$AA$433)&lt;3,"",AVERAGE($AA$431:$AA$433))</f>
        <v>0</v>
      </c>
      <c r="AC433">
        <f>IF($E433="","",MAX($C433-$D433,ABS($C433-$E432),ABS($D433-$E432)))</f>
        <v>0</v>
      </c>
      <c r="AD433">
        <f>IF(COUNT($E$2:$E433)&lt;15,"",AVERAGE($AC$420:$AC$433))</f>
        <v>0</v>
      </c>
      <c r="AE433">
        <f>IF(OR($E433="",$E432=""),"",IF(AND(($C433-$C432)&gt;($D432-$D433),($C433-$C432)&gt;0),$C433-$C432,0))</f>
        <v>0</v>
      </c>
      <c r="AF433">
        <f>IF(OR($E433="",$E432=""),"",IF(AND(($D432-$D433)&gt;($C433-$C432),($D432-$D433)&gt;0),$D432-$D433,0))</f>
        <v>0</v>
      </c>
      <c r="AG433">
        <f>IF(COUNT($E$2:$E433)&lt;15,"",IF(SUM($AC$420:$AC$433)=0,0,100*SUM($AE$420:$AE$433)/SUM($AC$420:$AC$433)))</f>
        <v>0</v>
      </c>
      <c r="AH433">
        <f>IF(COUNT($E$2:$E433)&lt;15,"",IF(SUM($AC$420:$AC$433)=0,0,100*SUM($AF$420:$AF$433)/SUM($AC$420:$AC$433)))</f>
        <v>0</v>
      </c>
      <c r="AI433">
        <f>IF(OR(AG433="",AH433=""),"",IF((AG433+AH433)=0,0,100*ABS(AG433-AH433)/(AG433+AH433)))</f>
        <v>0</v>
      </c>
      <c r="AJ433">
        <f>IF(COUNT($AI$420:$AI$433)&lt;14,"",AVERAGE($AI$420:$AI$433))</f>
        <v>0</v>
      </c>
      <c r="AK433">
        <f>IF(COUNT($E$2:$E433)&lt;20,"",AVERAGE($E$414:$E$433))</f>
        <v>0</v>
      </c>
      <c r="AL433">
        <f>IF(COUNT($E$2:$E433)&lt;20,"",STDEVP($E$414:$E$433))</f>
        <v>0</v>
      </c>
      <c r="AM433">
        <f>IF(AK433="","",AK433+2*AL433)</f>
        <v>0</v>
      </c>
      <c r="AN433">
        <f>IF(AK433="","",AK433-2*AL433)</f>
        <v>0</v>
      </c>
      <c r="AO433">
        <f>IF(OR(AM433="",AN433="",AM433=AN433),"",($E433-AN433)/(AM433-AN433))</f>
        <v>0</v>
      </c>
      <c r="AP433">
        <f>IF(OR(AM433="",AK433="",AK433=0),"",(AM433-AN433)/AK433)</f>
        <v>0</v>
      </c>
      <c r="AQ433">
        <f>IF(COUNT($E$2:$E433)&lt;20,"",MAX($C$414:$C$433))</f>
        <v>0</v>
      </c>
      <c r="AR433">
        <f>IF(COUNT($E$2:$E433)&lt;20,"",MIN($D$414:$D$433))</f>
        <v>0</v>
      </c>
      <c r="AS433">
        <f>IF(OR(AQ433="",AR433=""),"",(AQ433+AR433)/2)</f>
        <v>0</v>
      </c>
      <c r="AT433">
        <f>IF(COUNT($G$414:$G$433)&lt;20,"",STDEV($G$414:$G$433)*SQRT(252))</f>
        <v>0</v>
      </c>
      <c r="AU433">
        <f>IF(COUNT($E$2:$E433)&lt;9,"",(MAX($C$425:$C$433)+MIN($D$425:$D$433))/2)</f>
        <v>0</v>
      </c>
      <c r="AV433">
        <f>IF(COUNT($E$2:$E433)&lt;26,"",(MAX($C$408:$C$433)+MIN($D$408:$D$433))/2)</f>
        <v>0</v>
      </c>
      <c r="AW433">
        <f>IF(OR(AU433="",AV433=""),"",(AU433+AV433)/2)</f>
        <v>0</v>
      </c>
      <c r="AX433">
        <f>IF(COUNT($E$2:$E433)&lt;52,"",(MAX($C$382:$C$433)+MIN($D$382:$D$433))/2)</f>
        <v>0</v>
      </c>
      <c r="AY433">
        <f>IF(COUNT($E$2:$E433)&lt;20,"",MAX($C$334:$C$433))</f>
        <v>0</v>
      </c>
      <c r="AZ433">
        <f>IF(COUNT($E$2:$E433)&lt;20,"",MIN($D$334:$D$433))</f>
        <v>0</v>
      </c>
      <c r="BA433">
        <f>IF(COUNT($E$2:$E433)&lt;20,"",SLOPE($E$334:$E$433,$F$334:$F$433))</f>
        <v>0</v>
      </c>
      <c r="BB433">
        <f>IF(COUNT($E$2:$E433)&lt;20,"",INTERCEPT($E$334:$E$433,$F$334:$F$433))</f>
        <v>0</v>
      </c>
      <c r="BC433">
        <f>IF(OR(BA433="",BB433=""),"",BB433+BA433*F433)</f>
        <v>0</v>
      </c>
      <c r="BD433">
        <f>IF(COUNT($E$2:$E433)&lt;20,"",STEYX($E$334:$E$433,$F$334:$F$433))</f>
        <v>0</v>
      </c>
      <c r="BE433">
        <f>IF($E433="","",IF(AND(COUNT($E$434:$E$437)&gt;=4,$C433=MAX($C$429:$C$437)),$C433,""))</f>
        <v>0</v>
      </c>
      <c r="BF433">
        <f>IF($E433="","",IF(AND(COUNT($E$434:$E$437)&gt;=4,$D433=MIN($D$429:$D$437)),$D433,""))</f>
        <v>0</v>
      </c>
      <c r="BG433">
        <f>IF($A433="","",$A433-WEEKDAY($A433,2)+1)</f>
        <v>0</v>
      </c>
      <c r="BH433">
        <f>IF($A433="","",IF($A432="",1,IF(BG433&lt;&gt;BG432,1,0)))</f>
        <v>0</v>
      </c>
      <c r="BI433">
        <f>IF($A433="","",IF($A434="",1,IF(BG434&lt;&gt;BG433,1,0)))</f>
        <v>0</v>
      </c>
      <c r="BJ433">
        <f>IF($A433="","",IF(BH433=1,$B433,BJ432))</f>
        <v>0</v>
      </c>
      <c r="BK433">
        <f>IF($A433="","",IF(BH433=1,$C433,MAX($C433,BK432)))</f>
        <v>0</v>
      </c>
      <c r="BL433">
        <f>IF($A433="","",IF(BH433=1,$D433,MIN($D433,BL432)))</f>
        <v>0</v>
      </c>
      <c r="BM433">
        <f>IF($A433="","",IF(BI433=1,F433,""))</f>
        <v>0</v>
      </c>
      <c r="BN433">
        <f>IF($A433="","",DATE(YEAR($A433),MONTH($A433),1))</f>
        <v>0</v>
      </c>
      <c r="BO433">
        <f>IF($A433="","",IF($A432="",1,IF(BN433&lt;&gt;BN432,1,0)))</f>
        <v>0</v>
      </c>
      <c r="BP433">
        <f>IF($A433="","",IF($A434="",1,IF(BN434&lt;&gt;BN433,1,0)))</f>
        <v>0</v>
      </c>
      <c r="BQ433">
        <f>IF($A433="","",IF(BO433=1,$B433,BQ432))</f>
        <v>0</v>
      </c>
      <c r="BR433">
        <f>IF($A433="","",IF(BO433=1,$C433,MAX($C433,BR432)))</f>
        <v>0</v>
      </c>
      <c r="BS433">
        <f>IF($A433="","",IF(BO433=1,$D433,MIN($D433,BS432)))</f>
        <v>0</v>
      </c>
      <c r="BT433">
        <f>IF($A433="","",IF(BP433=1,F433,""))</f>
        <v>0</v>
      </c>
    </row>
    <row r="434" spans="1:72">
      <c r="A434" s="27">
        <f>IF(Data!$A434="","",Data!$A434)</f>
        <v>0</v>
      </c>
      <c r="B434">
        <f>IF(Data!$B434="","",Data!$B434)</f>
        <v>0</v>
      </c>
      <c r="C434">
        <f>IF(Data!$C434="","",Data!$C434)</f>
        <v>0</v>
      </c>
      <c r="D434">
        <f>IF(Data!$D434="","",Data!$D434)</f>
        <v>0</v>
      </c>
      <c r="E434">
        <f>IF(Data!$E434="","",Data!$E434)</f>
        <v>0</v>
      </c>
      <c r="F434">
        <f>IF($E434="","",N(F433)+1)</f>
        <v>0</v>
      </c>
      <c r="G434">
        <f>IF(OR($E434="",$E433=""),"",LN($E434/$E433))</f>
        <v>0</v>
      </c>
      <c r="H434">
        <f>IF($E434="","",IF($E433="",$E434,$E434*0.0952380952+H433*0.9047619048))</f>
        <v>0</v>
      </c>
      <c r="I434">
        <f>IF($E434="","",IF($E433="",$E434,$E434*0.0392156863+I433*0.9607843137))</f>
        <v>0</v>
      </c>
      <c r="J434">
        <f>IF($E434="","",IF($E433="",$E434,$E434*0.0198019802+J433*0.9801980198))</f>
        <v>0</v>
      </c>
      <c r="K434">
        <f>IF($E434="","",IF($E433="",$E434,$E434*0.0099502488+K433*0.9900497512))</f>
        <v>0</v>
      </c>
      <c r="L434">
        <f>IF(OR($E434="",$E433=""),"",MAX($E434-$E433,0))</f>
        <v>0</v>
      </c>
      <c r="M434">
        <f>IF(OR($E434="",$E433=""),"",MAX($E433-$E434,0))</f>
        <v>0</v>
      </c>
      <c r="N434">
        <f>IF(COUNT($E$2:$E434)&lt;15,"",IF(AVERAGE($M$421:$M$434)=0,100,100-100/(1+AVERAGE($L$421:$L$434)/AVERAGE($M$421:$M$434))))</f>
        <v>0</v>
      </c>
      <c r="O434">
        <f>IF($E434="","",IF($E433="",$E434,$E434*0.1538461538+O433*0.8461538462))</f>
        <v>0</v>
      </c>
      <c r="P434">
        <f>IF($E434="","",IF($E433="",$E434,$E434*0.0740740741+P433*0.9259259259))</f>
        <v>0</v>
      </c>
      <c r="Q434">
        <f>IF(OR(O434="",P434=""),"",O434-P434)</f>
        <v>0</v>
      </c>
      <c r="R434">
        <f>IF(Q434="","",IF(R433="",Q434,Q434*0.2000000000+R433*0.8000000000))</f>
        <v>0</v>
      </c>
      <c r="S434">
        <f>IF(OR(Q434="",R434=""),"",Q434-R434)</f>
        <v>0</v>
      </c>
      <c r="T434">
        <f>IF(COUNT($E$2:$E434)&lt;14,"",MAX($C$421:$C$434))</f>
        <v>0</v>
      </c>
      <c r="U434">
        <f>IF(COUNT($E$2:$E434)&lt;14,"",MIN($D$421:$D$434))</f>
        <v>0</v>
      </c>
      <c r="V434">
        <f>IF(OR(T434="",U434="",T434=U434),"",100*($E434-U434)/(T434-U434))</f>
        <v>0</v>
      </c>
      <c r="W434">
        <f>IF(COUNT($V$432:$V$434)&lt;3,"",AVERAGE($V$432:$V$434))</f>
        <v>0</v>
      </c>
      <c r="X434">
        <f>IF(COUNT($N$421:$N$434)&lt;14,"",MIN($N$421:$N$434))</f>
        <v>0</v>
      </c>
      <c r="Y434">
        <f>IF(COUNT($N$421:$N$434)&lt;14,"",MAX($N$421:$N$434))</f>
        <v>0</v>
      </c>
      <c r="Z434">
        <f>IF(OR(N434="",X434="",Y434="",Y434=X434),"",100*(N434-X434)/(Y434-X434))</f>
        <v>0</v>
      </c>
      <c r="AA434">
        <f>IF(COUNT($Z$432:$Z$434)&lt;3,"",AVERAGE($Z$432:$Z$434))</f>
        <v>0</v>
      </c>
      <c r="AB434">
        <f>IF(COUNT($AA$432:$AA$434)&lt;3,"",AVERAGE($AA$432:$AA$434))</f>
        <v>0</v>
      </c>
      <c r="AC434">
        <f>IF($E434="","",MAX($C434-$D434,ABS($C434-$E433),ABS($D434-$E433)))</f>
        <v>0</v>
      </c>
      <c r="AD434">
        <f>IF(COUNT($E$2:$E434)&lt;15,"",AVERAGE($AC$421:$AC$434))</f>
        <v>0</v>
      </c>
      <c r="AE434">
        <f>IF(OR($E434="",$E433=""),"",IF(AND(($C434-$C433)&gt;($D433-$D434),($C434-$C433)&gt;0),$C434-$C433,0))</f>
        <v>0</v>
      </c>
      <c r="AF434">
        <f>IF(OR($E434="",$E433=""),"",IF(AND(($D433-$D434)&gt;($C434-$C433),($D433-$D434)&gt;0),$D433-$D434,0))</f>
        <v>0</v>
      </c>
      <c r="AG434">
        <f>IF(COUNT($E$2:$E434)&lt;15,"",IF(SUM($AC$421:$AC$434)=0,0,100*SUM($AE$421:$AE$434)/SUM($AC$421:$AC$434)))</f>
        <v>0</v>
      </c>
      <c r="AH434">
        <f>IF(COUNT($E$2:$E434)&lt;15,"",IF(SUM($AC$421:$AC$434)=0,0,100*SUM($AF$421:$AF$434)/SUM($AC$421:$AC$434)))</f>
        <v>0</v>
      </c>
      <c r="AI434">
        <f>IF(OR(AG434="",AH434=""),"",IF((AG434+AH434)=0,0,100*ABS(AG434-AH434)/(AG434+AH434)))</f>
        <v>0</v>
      </c>
      <c r="AJ434">
        <f>IF(COUNT($AI$421:$AI$434)&lt;14,"",AVERAGE($AI$421:$AI$434))</f>
        <v>0</v>
      </c>
      <c r="AK434">
        <f>IF(COUNT($E$2:$E434)&lt;20,"",AVERAGE($E$415:$E$434))</f>
        <v>0</v>
      </c>
      <c r="AL434">
        <f>IF(COUNT($E$2:$E434)&lt;20,"",STDEVP($E$415:$E$434))</f>
        <v>0</v>
      </c>
      <c r="AM434">
        <f>IF(AK434="","",AK434+2*AL434)</f>
        <v>0</v>
      </c>
      <c r="AN434">
        <f>IF(AK434="","",AK434-2*AL434)</f>
        <v>0</v>
      </c>
      <c r="AO434">
        <f>IF(OR(AM434="",AN434="",AM434=AN434),"",($E434-AN434)/(AM434-AN434))</f>
        <v>0</v>
      </c>
      <c r="AP434">
        <f>IF(OR(AM434="",AK434="",AK434=0),"",(AM434-AN434)/AK434)</f>
        <v>0</v>
      </c>
      <c r="AQ434">
        <f>IF(COUNT($E$2:$E434)&lt;20,"",MAX($C$415:$C$434))</f>
        <v>0</v>
      </c>
      <c r="AR434">
        <f>IF(COUNT($E$2:$E434)&lt;20,"",MIN($D$415:$D$434))</f>
        <v>0</v>
      </c>
      <c r="AS434">
        <f>IF(OR(AQ434="",AR434=""),"",(AQ434+AR434)/2)</f>
        <v>0</v>
      </c>
      <c r="AT434">
        <f>IF(COUNT($G$415:$G$434)&lt;20,"",STDEV($G$415:$G$434)*SQRT(252))</f>
        <v>0</v>
      </c>
      <c r="AU434">
        <f>IF(COUNT($E$2:$E434)&lt;9,"",(MAX($C$426:$C$434)+MIN($D$426:$D$434))/2)</f>
        <v>0</v>
      </c>
      <c r="AV434">
        <f>IF(COUNT($E$2:$E434)&lt;26,"",(MAX($C$409:$C$434)+MIN($D$409:$D$434))/2)</f>
        <v>0</v>
      </c>
      <c r="AW434">
        <f>IF(OR(AU434="",AV434=""),"",(AU434+AV434)/2)</f>
        <v>0</v>
      </c>
      <c r="AX434">
        <f>IF(COUNT($E$2:$E434)&lt;52,"",(MAX($C$383:$C$434)+MIN($D$383:$D$434))/2)</f>
        <v>0</v>
      </c>
      <c r="AY434">
        <f>IF(COUNT($E$2:$E434)&lt;20,"",MAX($C$335:$C$434))</f>
        <v>0</v>
      </c>
      <c r="AZ434">
        <f>IF(COUNT($E$2:$E434)&lt;20,"",MIN($D$335:$D$434))</f>
        <v>0</v>
      </c>
      <c r="BA434">
        <f>IF(COUNT($E$2:$E434)&lt;20,"",SLOPE($E$335:$E$434,$F$335:$F$434))</f>
        <v>0</v>
      </c>
      <c r="BB434">
        <f>IF(COUNT($E$2:$E434)&lt;20,"",INTERCEPT($E$335:$E$434,$F$335:$F$434))</f>
        <v>0</v>
      </c>
      <c r="BC434">
        <f>IF(OR(BA434="",BB434=""),"",BB434+BA434*F434)</f>
        <v>0</v>
      </c>
      <c r="BD434">
        <f>IF(COUNT($E$2:$E434)&lt;20,"",STEYX($E$335:$E$434,$F$335:$F$434))</f>
        <v>0</v>
      </c>
      <c r="BE434">
        <f>IF($E434="","",IF(AND(COUNT($E$435:$E$438)&gt;=4,$C434=MAX($C$430:$C$438)),$C434,""))</f>
        <v>0</v>
      </c>
      <c r="BF434">
        <f>IF($E434="","",IF(AND(COUNT($E$435:$E$438)&gt;=4,$D434=MIN($D$430:$D$438)),$D434,""))</f>
        <v>0</v>
      </c>
      <c r="BG434">
        <f>IF($A434="","",$A434-WEEKDAY($A434,2)+1)</f>
        <v>0</v>
      </c>
      <c r="BH434">
        <f>IF($A434="","",IF($A433="",1,IF(BG434&lt;&gt;BG433,1,0)))</f>
        <v>0</v>
      </c>
      <c r="BI434">
        <f>IF($A434="","",IF($A435="",1,IF(BG435&lt;&gt;BG434,1,0)))</f>
        <v>0</v>
      </c>
      <c r="BJ434">
        <f>IF($A434="","",IF(BH434=1,$B434,BJ433))</f>
        <v>0</v>
      </c>
      <c r="BK434">
        <f>IF($A434="","",IF(BH434=1,$C434,MAX($C434,BK433)))</f>
        <v>0</v>
      </c>
      <c r="BL434">
        <f>IF($A434="","",IF(BH434=1,$D434,MIN($D434,BL433)))</f>
        <v>0</v>
      </c>
      <c r="BM434">
        <f>IF($A434="","",IF(BI434=1,F434,""))</f>
        <v>0</v>
      </c>
      <c r="BN434">
        <f>IF($A434="","",DATE(YEAR($A434),MONTH($A434),1))</f>
        <v>0</v>
      </c>
      <c r="BO434">
        <f>IF($A434="","",IF($A433="",1,IF(BN434&lt;&gt;BN433,1,0)))</f>
        <v>0</v>
      </c>
      <c r="BP434">
        <f>IF($A434="","",IF($A435="",1,IF(BN435&lt;&gt;BN434,1,0)))</f>
        <v>0</v>
      </c>
      <c r="BQ434">
        <f>IF($A434="","",IF(BO434=1,$B434,BQ433))</f>
        <v>0</v>
      </c>
      <c r="BR434">
        <f>IF($A434="","",IF(BO434=1,$C434,MAX($C434,BR433)))</f>
        <v>0</v>
      </c>
      <c r="BS434">
        <f>IF($A434="","",IF(BO434=1,$D434,MIN($D434,BS433)))</f>
        <v>0</v>
      </c>
      <c r="BT434">
        <f>IF($A434="","",IF(BP434=1,F434,""))</f>
        <v>0</v>
      </c>
    </row>
    <row r="435" spans="1:72">
      <c r="A435" s="27">
        <f>IF(Data!$A435="","",Data!$A435)</f>
        <v>0</v>
      </c>
      <c r="B435">
        <f>IF(Data!$B435="","",Data!$B435)</f>
        <v>0</v>
      </c>
      <c r="C435">
        <f>IF(Data!$C435="","",Data!$C435)</f>
        <v>0</v>
      </c>
      <c r="D435">
        <f>IF(Data!$D435="","",Data!$D435)</f>
        <v>0</v>
      </c>
      <c r="E435">
        <f>IF(Data!$E435="","",Data!$E435)</f>
        <v>0</v>
      </c>
      <c r="F435">
        <f>IF($E435="","",N(F434)+1)</f>
        <v>0</v>
      </c>
      <c r="G435">
        <f>IF(OR($E435="",$E434=""),"",LN($E435/$E434))</f>
        <v>0</v>
      </c>
      <c r="H435">
        <f>IF($E435="","",IF($E434="",$E435,$E435*0.0952380952+H434*0.9047619048))</f>
        <v>0</v>
      </c>
      <c r="I435">
        <f>IF($E435="","",IF($E434="",$E435,$E435*0.0392156863+I434*0.9607843137))</f>
        <v>0</v>
      </c>
      <c r="J435">
        <f>IF($E435="","",IF($E434="",$E435,$E435*0.0198019802+J434*0.9801980198))</f>
        <v>0</v>
      </c>
      <c r="K435">
        <f>IF($E435="","",IF($E434="",$E435,$E435*0.0099502488+K434*0.9900497512))</f>
        <v>0</v>
      </c>
      <c r="L435">
        <f>IF(OR($E435="",$E434=""),"",MAX($E435-$E434,0))</f>
        <v>0</v>
      </c>
      <c r="M435">
        <f>IF(OR($E435="",$E434=""),"",MAX($E434-$E435,0))</f>
        <v>0</v>
      </c>
      <c r="N435">
        <f>IF(COUNT($E$2:$E435)&lt;15,"",IF(AVERAGE($M$422:$M$435)=0,100,100-100/(1+AVERAGE($L$422:$L$435)/AVERAGE($M$422:$M$435))))</f>
        <v>0</v>
      </c>
      <c r="O435">
        <f>IF($E435="","",IF($E434="",$E435,$E435*0.1538461538+O434*0.8461538462))</f>
        <v>0</v>
      </c>
      <c r="P435">
        <f>IF($E435="","",IF($E434="",$E435,$E435*0.0740740741+P434*0.9259259259))</f>
        <v>0</v>
      </c>
      <c r="Q435">
        <f>IF(OR(O435="",P435=""),"",O435-P435)</f>
        <v>0</v>
      </c>
      <c r="R435">
        <f>IF(Q435="","",IF(R434="",Q435,Q435*0.2000000000+R434*0.8000000000))</f>
        <v>0</v>
      </c>
      <c r="S435">
        <f>IF(OR(Q435="",R435=""),"",Q435-R435)</f>
        <v>0</v>
      </c>
      <c r="T435">
        <f>IF(COUNT($E$2:$E435)&lt;14,"",MAX($C$422:$C$435))</f>
        <v>0</v>
      </c>
      <c r="U435">
        <f>IF(COUNT($E$2:$E435)&lt;14,"",MIN($D$422:$D$435))</f>
        <v>0</v>
      </c>
      <c r="V435">
        <f>IF(OR(T435="",U435="",T435=U435),"",100*($E435-U435)/(T435-U435))</f>
        <v>0</v>
      </c>
      <c r="W435">
        <f>IF(COUNT($V$433:$V$435)&lt;3,"",AVERAGE($V$433:$V$435))</f>
        <v>0</v>
      </c>
      <c r="X435">
        <f>IF(COUNT($N$422:$N$435)&lt;14,"",MIN($N$422:$N$435))</f>
        <v>0</v>
      </c>
      <c r="Y435">
        <f>IF(COUNT($N$422:$N$435)&lt;14,"",MAX($N$422:$N$435))</f>
        <v>0</v>
      </c>
      <c r="Z435">
        <f>IF(OR(N435="",X435="",Y435="",Y435=X435),"",100*(N435-X435)/(Y435-X435))</f>
        <v>0</v>
      </c>
      <c r="AA435">
        <f>IF(COUNT($Z$433:$Z$435)&lt;3,"",AVERAGE($Z$433:$Z$435))</f>
        <v>0</v>
      </c>
      <c r="AB435">
        <f>IF(COUNT($AA$433:$AA$435)&lt;3,"",AVERAGE($AA$433:$AA$435))</f>
        <v>0</v>
      </c>
      <c r="AC435">
        <f>IF($E435="","",MAX($C435-$D435,ABS($C435-$E434),ABS($D435-$E434)))</f>
        <v>0</v>
      </c>
      <c r="AD435">
        <f>IF(COUNT($E$2:$E435)&lt;15,"",AVERAGE($AC$422:$AC$435))</f>
        <v>0</v>
      </c>
      <c r="AE435">
        <f>IF(OR($E435="",$E434=""),"",IF(AND(($C435-$C434)&gt;($D434-$D435),($C435-$C434)&gt;0),$C435-$C434,0))</f>
        <v>0</v>
      </c>
      <c r="AF435">
        <f>IF(OR($E435="",$E434=""),"",IF(AND(($D434-$D435)&gt;($C435-$C434),($D434-$D435)&gt;0),$D434-$D435,0))</f>
        <v>0</v>
      </c>
      <c r="AG435">
        <f>IF(COUNT($E$2:$E435)&lt;15,"",IF(SUM($AC$422:$AC$435)=0,0,100*SUM($AE$422:$AE$435)/SUM($AC$422:$AC$435)))</f>
        <v>0</v>
      </c>
      <c r="AH435">
        <f>IF(COUNT($E$2:$E435)&lt;15,"",IF(SUM($AC$422:$AC$435)=0,0,100*SUM($AF$422:$AF$435)/SUM($AC$422:$AC$435)))</f>
        <v>0</v>
      </c>
      <c r="AI435">
        <f>IF(OR(AG435="",AH435=""),"",IF((AG435+AH435)=0,0,100*ABS(AG435-AH435)/(AG435+AH435)))</f>
        <v>0</v>
      </c>
      <c r="AJ435">
        <f>IF(COUNT($AI$422:$AI$435)&lt;14,"",AVERAGE($AI$422:$AI$435))</f>
        <v>0</v>
      </c>
      <c r="AK435">
        <f>IF(COUNT($E$2:$E435)&lt;20,"",AVERAGE($E$416:$E$435))</f>
        <v>0</v>
      </c>
      <c r="AL435">
        <f>IF(COUNT($E$2:$E435)&lt;20,"",STDEVP($E$416:$E$435))</f>
        <v>0</v>
      </c>
      <c r="AM435">
        <f>IF(AK435="","",AK435+2*AL435)</f>
        <v>0</v>
      </c>
      <c r="AN435">
        <f>IF(AK435="","",AK435-2*AL435)</f>
        <v>0</v>
      </c>
      <c r="AO435">
        <f>IF(OR(AM435="",AN435="",AM435=AN435),"",($E435-AN435)/(AM435-AN435))</f>
        <v>0</v>
      </c>
      <c r="AP435">
        <f>IF(OR(AM435="",AK435="",AK435=0),"",(AM435-AN435)/AK435)</f>
        <v>0</v>
      </c>
      <c r="AQ435">
        <f>IF(COUNT($E$2:$E435)&lt;20,"",MAX($C$416:$C$435))</f>
        <v>0</v>
      </c>
      <c r="AR435">
        <f>IF(COUNT($E$2:$E435)&lt;20,"",MIN($D$416:$D$435))</f>
        <v>0</v>
      </c>
      <c r="AS435">
        <f>IF(OR(AQ435="",AR435=""),"",(AQ435+AR435)/2)</f>
        <v>0</v>
      </c>
      <c r="AT435">
        <f>IF(COUNT($G$416:$G$435)&lt;20,"",STDEV($G$416:$G$435)*SQRT(252))</f>
        <v>0</v>
      </c>
      <c r="AU435">
        <f>IF(COUNT($E$2:$E435)&lt;9,"",(MAX($C$427:$C$435)+MIN($D$427:$D$435))/2)</f>
        <v>0</v>
      </c>
      <c r="AV435">
        <f>IF(COUNT($E$2:$E435)&lt;26,"",(MAX($C$410:$C$435)+MIN($D$410:$D$435))/2)</f>
        <v>0</v>
      </c>
      <c r="AW435">
        <f>IF(OR(AU435="",AV435=""),"",(AU435+AV435)/2)</f>
        <v>0</v>
      </c>
      <c r="AX435">
        <f>IF(COUNT($E$2:$E435)&lt;52,"",(MAX($C$384:$C$435)+MIN($D$384:$D$435))/2)</f>
        <v>0</v>
      </c>
      <c r="AY435">
        <f>IF(COUNT($E$2:$E435)&lt;20,"",MAX($C$336:$C$435))</f>
        <v>0</v>
      </c>
      <c r="AZ435">
        <f>IF(COUNT($E$2:$E435)&lt;20,"",MIN($D$336:$D$435))</f>
        <v>0</v>
      </c>
      <c r="BA435">
        <f>IF(COUNT($E$2:$E435)&lt;20,"",SLOPE($E$336:$E$435,$F$336:$F$435))</f>
        <v>0</v>
      </c>
      <c r="BB435">
        <f>IF(COUNT($E$2:$E435)&lt;20,"",INTERCEPT($E$336:$E$435,$F$336:$F$435))</f>
        <v>0</v>
      </c>
      <c r="BC435">
        <f>IF(OR(BA435="",BB435=""),"",BB435+BA435*F435)</f>
        <v>0</v>
      </c>
      <c r="BD435">
        <f>IF(COUNT($E$2:$E435)&lt;20,"",STEYX($E$336:$E$435,$F$336:$F$435))</f>
        <v>0</v>
      </c>
      <c r="BE435">
        <f>IF($E435="","",IF(AND(COUNT($E$436:$E$439)&gt;=4,$C435=MAX($C$431:$C$439)),$C435,""))</f>
        <v>0</v>
      </c>
      <c r="BF435">
        <f>IF($E435="","",IF(AND(COUNT($E$436:$E$439)&gt;=4,$D435=MIN($D$431:$D$439)),$D435,""))</f>
        <v>0</v>
      </c>
      <c r="BG435">
        <f>IF($A435="","",$A435-WEEKDAY($A435,2)+1)</f>
        <v>0</v>
      </c>
      <c r="BH435">
        <f>IF($A435="","",IF($A434="",1,IF(BG435&lt;&gt;BG434,1,0)))</f>
        <v>0</v>
      </c>
      <c r="BI435">
        <f>IF($A435="","",IF($A436="",1,IF(BG436&lt;&gt;BG435,1,0)))</f>
        <v>0</v>
      </c>
      <c r="BJ435">
        <f>IF($A435="","",IF(BH435=1,$B435,BJ434))</f>
        <v>0</v>
      </c>
      <c r="BK435">
        <f>IF($A435="","",IF(BH435=1,$C435,MAX($C435,BK434)))</f>
        <v>0</v>
      </c>
      <c r="BL435">
        <f>IF($A435="","",IF(BH435=1,$D435,MIN($D435,BL434)))</f>
        <v>0</v>
      </c>
      <c r="BM435">
        <f>IF($A435="","",IF(BI435=1,F435,""))</f>
        <v>0</v>
      </c>
      <c r="BN435">
        <f>IF($A435="","",DATE(YEAR($A435),MONTH($A435),1))</f>
        <v>0</v>
      </c>
      <c r="BO435">
        <f>IF($A435="","",IF($A434="",1,IF(BN435&lt;&gt;BN434,1,0)))</f>
        <v>0</v>
      </c>
      <c r="BP435">
        <f>IF($A435="","",IF($A436="",1,IF(BN436&lt;&gt;BN435,1,0)))</f>
        <v>0</v>
      </c>
      <c r="BQ435">
        <f>IF($A435="","",IF(BO435=1,$B435,BQ434))</f>
        <v>0</v>
      </c>
      <c r="BR435">
        <f>IF($A435="","",IF(BO435=1,$C435,MAX($C435,BR434)))</f>
        <v>0</v>
      </c>
      <c r="BS435">
        <f>IF($A435="","",IF(BO435=1,$D435,MIN($D435,BS434)))</f>
        <v>0</v>
      </c>
      <c r="BT435">
        <f>IF($A435="","",IF(BP435=1,F435,""))</f>
        <v>0</v>
      </c>
    </row>
    <row r="436" spans="1:72">
      <c r="A436" s="27">
        <f>IF(Data!$A436="","",Data!$A436)</f>
        <v>0</v>
      </c>
      <c r="B436">
        <f>IF(Data!$B436="","",Data!$B436)</f>
        <v>0</v>
      </c>
      <c r="C436">
        <f>IF(Data!$C436="","",Data!$C436)</f>
        <v>0</v>
      </c>
      <c r="D436">
        <f>IF(Data!$D436="","",Data!$D436)</f>
        <v>0</v>
      </c>
      <c r="E436">
        <f>IF(Data!$E436="","",Data!$E436)</f>
        <v>0</v>
      </c>
      <c r="F436">
        <f>IF($E436="","",N(F435)+1)</f>
        <v>0</v>
      </c>
      <c r="G436">
        <f>IF(OR($E436="",$E435=""),"",LN($E436/$E435))</f>
        <v>0</v>
      </c>
      <c r="H436">
        <f>IF($E436="","",IF($E435="",$E436,$E436*0.0952380952+H435*0.9047619048))</f>
        <v>0</v>
      </c>
      <c r="I436">
        <f>IF($E436="","",IF($E435="",$E436,$E436*0.0392156863+I435*0.9607843137))</f>
        <v>0</v>
      </c>
      <c r="J436">
        <f>IF($E436="","",IF($E435="",$E436,$E436*0.0198019802+J435*0.9801980198))</f>
        <v>0</v>
      </c>
      <c r="K436">
        <f>IF($E436="","",IF($E435="",$E436,$E436*0.0099502488+K435*0.9900497512))</f>
        <v>0</v>
      </c>
      <c r="L436">
        <f>IF(OR($E436="",$E435=""),"",MAX($E436-$E435,0))</f>
        <v>0</v>
      </c>
      <c r="M436">
        <f>IF(OR($E436="",$E435=""),"",MAX($E435-$E436,0))</f>
        <v>0</v>
      </c>
      <c r="N436">
        <f>IF(COUNT($E$2:$E436)&lt;15,"",IF(AVERAGE($M$423:$M$436)=0,100,100-100/(1+AVERAGE($L$423:$L$436)/AVERAGE($M$423:$M$436))))</f>
        <v>0</v>
      </c>
      <c r="O436">
        <f>IF($E436="","",IF($E435="",$E436,$E436*0.1538461538+O435*0.8461538462))</f>
        <v>0</v>
      </c>
      <c r="P436">
        <f>IF($E436="","",IF($E435="",$E436,$E436*0.0740740741+P435*0.9259259259))</f>
        <v>0</v>
      </c>
      <c r="Q436">
        <f>IF(OR(O436="",P436=""),"",O436-P436)</f>
        <v>0</v>
      </c>
      <c r="R436">
        <f>IF(Q436="","",IF(R435="",Q436,Q436*0.2000000000+R435*0.8000000000))</f>
        <v>0</v>
      </c>
      <c r="S436">
        <f>IF(OR(Q436="",R436=""),"",Q436-R436)</f>
        <v>0</v>
      </c>
      <c r="T436">
        <f>IF(COUNT($E$2:$E436)&lt;14,"",MAX($C$423:$C$436))</f>
        <v>0</v>
      </c>
      <c r="U436">
        <f>IF(COUNT($E$2:$E436)&lt;14,"",MIN($D$423:$D$436))</f>
        <v>0</v>
      </c>
      <c r="V436">
        <f>IF(OR(T436="",U436="",T436=U436),"",100*($E436-U436)/(T436-U436))</f>
        <v>0</v>
      </c>
      <c r="W436">
        <f>IF(COUNT($V$434:$V$436)&lt;3,"",AVERAGE($V$434:$V$436))</f>
        <v>0</v>
      </c>
      <c r="X436">
        <f>IF(COUNT($N$423:$N$436)&lt;14,"",MIN($N$423:$N$436))</f>
        <v>0</v>
      </c>
      <c r="Y436">
        <f>IF(COUNT($N$423:$N$436)&lt;14,"",MAX($N$423:$N$436))</f>
        <v>0</v>
      </c>
      <c r="Z436">
        <f>IF(OR(N436="",X436="",Y436="",Y436=X436),"",100*(N436-X436)/(Y436-X436))</f>
        <v>0</v>
      </c>
      <c r="AA436">
        <f>IF(COUNT($Z$434:$Z$436)&lt;3,"",AVERAGE($Z$434:$Z$436))</f>
        <v>0</v>
      </c>
      <c r="AB436">
        <f>IF(COUNT($AA$434:$AA$436)&lt;3,"",AVERAGE($AA$434:$AA$436))</f>
        <v>0</v>
      </c>
      <c r="AC436">
        <f>IF($E436="","",MAX($C436-$D436,ABS($C436-$E435),ABS($D436-$E435)))</f>
        <v>0</v>
      </c>
      <c r="AD436">
        <f>IF(COUNT($E$2:$E436)&lt;15,"",AVERAGE($AC$423:$AC$436))</f>
        <v>0</v>
      </c>
      <c r="AE436">
        <f>IF(OR($E436="",$E435=""),"",IF(AND(($C436-$C435)&gt;($D435-$D436),($C436-$C435)&gt;0),$C436-$C435,0))</f>
        <v>0</v>
      </c>
      <c r="AF436">
        <f>IF(OR($E436="",$E435=""),"",IF(AND(($D435-$D436)&gt;($C436-$C435),($D435-$D436)&gt;0),$D435-$D436,0))</f>
        <v>0</v>
      </c>
      <c r="AG436">
        <f>IF(COUNT($E$2:$E436)&lt;15,"",IF(SUM($AC$423:$AC$436)=0,0,100*SUM($AE$423:$AE$436)/SUM($AC$423:$AC$436)))</f>
        <v>0</v>
      </c>
      <c r="AH436">
        <f>IF(COUNT($E$2:$E436)&lt;15,"",IF(SUM($AC$423:$AC$436)=0,0,100*SUM($AF$423:$AF$436)/SUM($AC$423:$AC$436)))</f>
        <v>0</v>
      </c>
      <c r="AI436">
        <f>IF(OR(AG436="",AH436=""),"",IF((AG436+AH436)=0,0,100*ABS(AG436-AH436)/(AG436+AH436)))</f>
        <v>0</v>
      </c>
      <c r="AJ436">
        <f>IF(COUNT($AI$423:$AI$436)&lt;14,"",AVERAGE($AI$423:$AI$436))</f>
        <v>0</v>
      </c>
      <c r="AK436">
        <f>IF(COUNT($E$2:$E436)&lt;20,"",AVERAGE($E$417:$E$436))</f>
        <v>0</v>
      </c>
      <c r="AL436">
        <f>IF(COUNT($E$2:$E436)&lt;20,"",STDEVP($E$417:$E$436))</f>
        <v>0</v>
      </c>
      <c r="AM436">
        <f>IF(AK436="","",AK436+2*AL436)</f>
        <v>0</v>
      </c>
      <c r="AN436">
        <f>IF(AK436="","",AK436-2*AL436)</f>
        <v>0</v>
      </c>
      <c r="AO436">
        <f>IF(OR(AM436="",AN436="",AM436=AN436),"",($E436-AN436)/(AM436-AN436))</f>
        <v>0</v>
      </c>
      <c r="AP436">
        <f>IF(OR(AM436="",AK436="",AK436=0),"",(AM436-AN436)/AK436)</f>
        <v>0</v>
      </c>
      <c r="AQ436">
        <f>IF(COUNT($E$2:$E436)&lt;20,"",MAX($C$417:$C$436))</f>
        <v>0</v>
      </c>
      <c r="AR436">
        <f>IF(COUNT($E$2:$E436)&lt;20,"",MIN($D$417:$D$436))</f>
        <v>0</v>
      </c>
      <c r="AS436">
        <f>IF(OR(AQ436="",AR436=""),"",(AQ436+AR436)/2)</f>
        <v>0</v>
      </c>
      <c r="AT436">
        <f>IF(COUNT($G$417:$G$436)&lt;20,"",STDEV($G$417:$G$436)*SQRT(252))</f>
        <v>0</v>
      </c>
      <c r="AU436">
        <f>IF(COUNT($E$2:$E436)&lt;9,"",(MAX($C$428:$C$436)+MIN($D$428:$D$436))/2)</f>
        <v>0</v>
      </c>
      <c r="AV436">
        <f>IF(COUNT($E$2:$E436)&lt;26,"",(MAX($C$411:$C$436)+MIN($D$411:$D$436))/2)</f>
        <v>0</v>
      </c>
      <c r="AW436">
        <f>IF(OR(AU436="",AV436=""),"",(AU436+AV436)/2)</f>
        <v>0</v>
      </c>
      <c r="AX436">
        <f>IF(COUNT($E$2:$E436)&lt;52,"",(MAX($C$385:$C$436)+MIN($D$385:$D$436))/2)</f>
        <v>0</v>
      </c>
      <c r="AY436">
        <f>IF(COUNT($E$2:$E436)&lt;20,"",MAX($C$337:$C$436))</f>
        <v>0</v>
      </c>
      <c r="AZ436">
        <f>IF(COUNT($E$2:$E436)&lt;20,"",MIN($D$337:$D$436))</f>
        <v>0</v>
      </c>
      <c r="BA436">
        <f>IF(COUNT($E$2:$E436)&lt;20,"",SLOPE($E$337:$E$436,$F$337:$F$436))</f>
        <v>0</v>
      </c>
      <c r="BB436">
        <f>IF(COUNT($E$2:$E436)&lt;20,"",INTERCEPT($E$337:$E$436,$F$337:$F$436))</f>
        <v>0</v>
      </c>
      <c r="BC436">
        <f>IF(OR(BA436="",BB436=""),"",BB436+BA436*F436)</f>
        <v>0</v>
      </c>
      <c r="BD436">
        <f>IF(COUNT($E$2:$E436)&lt;20,"",STEYX($E$337:$E$436,$F$337:$F$436))</f>
        <v>0</v>
      </c>
      <c r="BE436">
        <f>IF($E436="","",IF(AND(COUNT($E$437:$E$440)&gt;=4,$C436=MAX($C$432:$C$440)),$C436,""))</f>
        <v>0</v>
      </c>
      <c r="BF436">
        <f>IF($E436="","",IF(AND(COUNT($E$437:$E$440)&gt;=4,$D436=MIN($D$432:$D$440)),$D436,""))</f>
        <v>0</v>
      </c>
      <c r="BG436">
        <f>IF($A436="","",$A436-WEEKDAY($A436,2)+1)</f>
        <v>0</v>
      </c>
      <c r="BH436">
        <f>IF($A436="","",IF($A435="",1,IF(BG436&lt;&gt;BG435,1,0)))</f>
        <v>0</v>
      </c>
      <c r="BI436">
        <f>IF($A436="","",IF($A437="",1,IF(BG437&lt;&gt;BG436,1,0)))</f>
        <v>0</v>
      </c>
      <c r="BJ436">
        <f>IF($A436="","",IF(BH436=1,$B436,BJ435))</f>
        <v>0</v>
      </c>
      <c r="BK436">
        <f>IF($A436="","",IF(BH436=1,$C436,MAX($C436,BK435)))</f>
        <v>0</v>
      </c>
      <c r="BL436">
        <f>IF($A436="","",IF(BH436=1,$D436,MIN($D436,BL435)))</f>
        <v>0</v>
      </c>
      <c r="BM436">
        <f>IF($A436="","",IF(BI436=1,F436,""))</f>
        <v>0</v>
      </c>
      <c r="BN436">
        <f>IF($A436="","",DATE(YEAR($A436),MONTH($A436),1))</f>
        <v>0</v>
      </c>
      <c r="BO436">
        <f>IF($A436="","",IF($A435="",1,IF(BN436&lt;&gt;BN435,1,0)))</f>
        <v>0</v>
      </c>
      <c r="BP436">
        <f>IF($A436="","",IF($A437="",1,IF(BN437&lt;&gt;BN436,1,0)))</f>
        <v>0</v>
      </c>
      <c r="BQ436">
        <f>IF($A436="","",IF(BO436=1,$B436,BQ435))</f>
        <v>0</v>
      </c>
      <c r="BR436">
        <f>IF($A436="","",IF(BO436=1,$C436,MAX($C436,BR435)))</f>
        <v>0</v>
      </c>
      <c r="BS436">
        <f>IF($A436="","",IF(BO436=1,$D436,MIN($D436,BS435)))</f>
        <v>0</v>
      </c>
      <c r="BT436">
        <f>IF($A436="","",IF(BP436=1,F436,""))</f>
        <v>0</v>
      </c>
    </row>
    <row r="437" spans="1:72">
      <c r="A437" s="27">
        <f>IF(Data!$A437="","",Data!$A437)</f>
        <v>0</v>
      </c>
      <c r="B437">
        <f>IF(Data!$B437="","",Data!$B437)</f>
        <v>0</v>
      </c>
      <c r="C437">
        <f>IF(Data!$C437="","",Data!$C437)</f>
        <v>0</v>
      </c>
      <c r="D437">
        <f>IF(Data!$D437="","",Data!$D437)</f>
        <v>0</v>
      </c>
      <c r="E437">
        <f>IF(Data!$E437="","",Data!$E437)</f>
        <v>0</v>
      </c>
      <c r="F437">
        <f>IF($E437="","",N(F436)+1)</f>
        <v>0</v>
      </c>
      <c r="G437">
        <f>IF(OR($E437="",$E436=""),"",LN($E437/$E436))</f>
        <v>0</v>
      </c>
      <c r="H437">
        <f>IF($E437="","",IF($E436="",$E437,$E437*0.0952380952+H436*0.9047619048))</f>
        <v>0</v>
      </c>
      <c r="I437">
        <f>IF($E437="","",IF($E436="",$E437,$E437*0.0392156863+I436*0.9607843137))</f>
        <v>0</v>
      </c>
      <c r="J437">
        <f>IF($E437="","",IF($E436="",$E437,$E437*0.0198019802+J436*0.9801980198))</f>
        <v>0</v>
      </c>
      <c r="K437">
        <f>IF($E437="","",IF($E436="",$E437,$E437*0.0099502488+K436*0.9900497512))</f>
        <v>0</v>
      </c>
      <c r="L437">
        <f>IF(OR($E437="",$E436=""),"",MAX($E437-$E436,0))</f>
        <v>0</v>
      </c>
      <c r="M437">
        <f>IF(OR($E437="",$E436=""),"",MAX($E436-$E437,0))</f>
        <v>0</v>
      </c>
      <c r="N437">
        <f>IF(COUNT($E$2:$E437)&lt;15,"",IF(AVERAGE($M$424:$M$437)=0,100,100-100/(1+AVERAGE($L$424:$L$437)/AVERAGE($M$424:$M$437))))</f>
        <v>0</v>
      </c>
      <c r="O437">
        <f>IF($E437="","",IF($E436="",$E437,$E437*0.1538461538+O436*0.8461538462))</f>
        <v>0</v>
      </c>
      <c r="P437">
        <f>IF($E437="","",IF($E436="",$E437,$E437*0.0740740741+P436*0.9259259259))</f>
        <v>0</v>
      </c>
      <c r="Q437">
        <f>IF(OR(O437="",P437=""),"",O437-P437)</f>
        <v>0</v>
      </c>
      <c r="R437">
        <f>IF(Q437="","",IF(R436="",Q437,Q437*0.2000000000+R436*0.8000000000))</f>
        <v>0</v>
      </c>
      <c r="S437">
        <f>IF(OR(Q437="",R437=""),"",Q437-R437)</f>
        <v>0</v>
      </c>
      <c r="T437">
        <f>IF(COUNT($E$2:$E437)&lt;14,"",MAX($C$424:$C$437))</f>
        <v>0</v>
      </c>
      <c r="U437">
        <f>IF(COUNT($E$2:$E437)&lt;14,"",MIN($D$424:$D$437))</f>
        <v>0</v>
      </c>
      <c r="V437">
        <f>IF(OR(T437="",U437="",T437=U437),"",100*($E437-U437)/(T437-U437))</f>
        <v>0</v>
      </c>
      <c r="W437">
        <f>IF(COUNT($V$435:$V$437)&lt;3,"",AVERAGE($V$435:$V$437))</f>
        <v>0</v>
      </c>
      <c r="X437">
        <f>IF(COUNT($N$424:$N$437)&lt;14,"",MIN($N$424:$N$437))</f>
        <v>0</v>
      </c>
      <c r="Y437">
        <f>IF(COUNT($N$424:$N$437)&lt;14,"",MAX($N$424:$N$437))</f>
        <v>0</v>
      </c>
      <c r="Z437">
        <f>IF(OR(N437="",X437="",Y437="",Y437=X437),"",100*(N437-X437)/(Y437-X437))</f>
        <v>0</v>
      </c>
      <c r="AA437">
        <f>IF(COUNT($Z$435:$Z$437)&lt;3,"",AVERAGE($Z$435:$Z$437))</f>
        <v>0</v>
      </c>
      <c r="AB437">
        <f>IF(COUNT($AA$435:$AA$437)&lt;3,"",AVERAGE($AA$435:$AA$437))</f>
        <v>0</v>
      </c>
      <c r="AC437">
        <f>IF($E437="","",MAX($C437-$D437,ABS($C437-$E436),ABS($D437-$E436)))</f>
        <v>0</v>
      </c>
      <c r="AD437">
        <f>IF(COUNT($E$2:$E437)&lt;15,"",AVERAGE($AC$424:$AC$437))</f>
        <v>0</v>
      </c>
      <c r="AE437">
        <f>IF(OR($E437="",$E436=""),"",IF(AND(($C437-$C436)&gt;($D436-$D437),($C437-$C436)&gt;0),$C437-$C436,0))</f>
        <v>0</v>
      </c>
      <c r="AF437">
        <f>IF(OR($E437="",$E436=""),"",IF(AND(($D436-$D437)&gt;($C437-$C436),($D436-$D437)&gt;0),$D436-$D437,0))</f>
        <v>0</v>
      </c>
      <c r="AG437">
        <f>IF(COUNT($E$2:$E437)&lt;15,"",IF(SUM($AC$424:$AC$437)=0,0,100*SUM($AE$424:$AE$437)/SUM($AC$424:$AC$437)))</f>
        <v>0</v>
      </c>
      <c r="AH437">
        <f>IF(COUNT($E$2:$E437)&lt;15,"",IF(SUM($AC$424:$AC$437)=0,0,100*SUM($AF$424:$AF$437)/SUM($AC$424:$AC$437)))</f>
        <v>0</v>
      </c>
      <c r="AI437">
        <f>IF(OR(AG437="",AH437=""),"",IF((AG437+AH437)=0,0,100*ABS(AG437-AH437)/(AG437+AH437)))</f>
        <v>0</v>
      </c>
      <c r="AJ437">
        <f>IF(COUNT($AI$424:$AI$437)&lt;14,"",AVERAGE($AI$424:$AI$437))</f>
        <v>0</v>
      </c>
      <c r="AK437">
        <f>IF(COUNT($E$2:$E437)&lt;20,"",AVERAGE($E$418:$E$437))</f>
        <v>0</v>
      </c>
      <c r="AL437">
        <f>IF(COUNT($E$2:$E437)&lt;20,"",STDEVP($E$418:$E$437))</f>
        <v>0</v>
      </c>
      <c r="AM437">
        <f>IF(AK437="","",AK437+2*AL437)</f>
        <v>0</v>
      </c>
      <c r="AN437">
        <f>IF(AK437="","",AK437-2*AL437)</f>
        <v>0</v>
      </c>
      <c r="AO437">
        <f>IF(OR(AM437="",AN437="",AM437=AN437),"",($E437-AN437)/(AM437-AN437))</f>
        <v>0</v>
      </c>
      <c r="AP437">
        <f>IF(OR(AM437="",AK437="",AK437=0),"",(AM437-AN437)/AK437)</f>
        <v>0</v>
      </c>
      <c r="AQ437">
        <f>IF(COUNT($E$2:$E437)&lt;20,"",MAX($C$418:$C$437))</f>
        <v>0</v>
      </c>
      <c r="AR437">
        <f>IF(COUNT($E$2:$E437)&lt;20,"",MIN($D$418:$D$437))</f>
        <v>0</v>
      </c>
      <c r="AS437">
        <f>IF(OR(AQ437="",AR437=""),"",(AQ437+AR437)/2)</f>
        <v>0</v>
      </c>
      <c r="AT437">
        <f>IF(COUNT($G$418:$G$437)&lt;20,"",STDEV($G$418:$G$437)*SQRT(252))</f>
        <v>0</v>
      </c>
      <c r="AU437">
        <f>IF(COUNT($E$2:$E437)&lt;9,"",(MAX($C$429:$C$437)+MIN($D$429:$D$437))/2)</f>
        <v>0</v>
      </c>
      <c r="AV437">
        <f>IF(COUNT($E$2:$E437)&lt;26,"",(MAX($C$412:$C$437)+MIN($D$412:$D$437))/2)</f>
        <v>0</v>
      </c>
      <c r="AW437">
        <f>IF(OR(AU437="",AV437=""),"",(AU437+AV437)/2)</f>
        <v>0</v>
      </c>
      <c r="AX437">
        <f>IF(COUNT($E$2:$E437)&lt;52,"",(MAX($C$386:$C$437)+MIN($D$386:$D$437))/2)</f>
        <v>0</v>
      </c>
      <c r="AY437">
        <f>IF(COUNT($E$2:$E437)&lt;20,"",MAX($C$338:$C$437))</f>
        <v>0</v>
      </c>
      <c r="AZ437">
        <f>IF(COUNT($E$2:$E437)&lt;20,"",MIN($D$338:$D$437))</f>
        <v>0</v>
      </c>
      <c r="BA437">
        <f>IF(COUNT($E$2:$E437)&lt;20,"",SLOPE($E$338:$E$437,$F$338:$F$437))</f>
        <v>0</v>
      </c>
      <c r="BB437">
        <f>IF(COUNT($E$2:$E437)&lt;20,"",INTERCEPT($E$338:$E$437,$F$338:$F$437))</f>
        <v>0</v>
      </c>
      <c r="BC437">
        <f>IF(OR(BA437="",BB437=""),"",BB437+BA437*F437)</f>
        <v>0</v>
      </c>
      <c r="BD437">
        <f>IF(COUNT($E$2:$E437)&lt;20,"",STEYX($E$338:$E$437,$F$338:$F$437))</f>
        <v>0</v>
      </c>
      <c r="BE437">
        <f>IF($E437="","",IF(AND(COUNT($E$438:$E$441)&gt;=4,$C437=MAX($C$433:$C$441)),$C437,""))</f>
        <v>0</v>
      </c>
      <c r="BF437">
        <f>IF($E437="","",IF(AND(COUNT($E$438:$E$441)&gt;=4,$D437=MIN($D$433:$D$441)),$D437,""))</f>
        <v>0</v>
      </c>
      <c r="BG437">
        <f>IF($A437="","",$A437-WEEKDAY($A437,2)+1)</f>
        <v>0</v>
      </c>
      <c r="BH437">
        <f>IF($A437="","",IF($A436="",1,IF(BG437&lt;&gt;BG436,1,0)))</f>
        <v>0</v>
      </c>
      <c r="BI437">
        <f>IF($A437="","",IF($A438="",1,IF(BG438&lt;&gt;BG437,1,0)))</f>
        <v>0</v>
      </c>
      <c r="BJ437">
        <f>IF($A437="","",IF(BH437=1,$B437,BJ436))</f>
        <v>0</v>
      </c>
      <c r="BK437">
        <f>IF($A437="","",IF(BH437=1,$C437,MAX($C437,BK436)))</f>
        <v>0</v>
      </c>
      <c r="BL437">
        <f>IF($A437="","",IF(BH437=1,$D437,MIN($D437,BL436)))</f>
        <v>0</v>
      </c>
      <c r="BM437">
        <f>IF($A437="","",IF(BI437=1,F437,""))</f>
        <v>0</v>
      </c>
      <c r="BN437">
        <f>IF($A437="","",DATE(YEAR($A437),MONTH($A437),1))</f>
        <v>0</v>
      </c>
      <c r="BO437">
        <f>IF($A437="","",IF($A436="",1,IF(BN437&lt;&gt;BN436,1,0)))</f>
        <v>0</v>
      </c>
      <c r="BP437">
        <f>IF($A437="","",IF($A438="",1,IF(BN438&lt;&gt;BN437,1,0)))</f>
        <v>0</v>
      </c>
      <c r="BQ437">
        <f>IF($A437="","",IF(BO437=1,$B437,BQ436))</f>
        <v>0</v>
      </c>
      <c r="BR437">
        <f>IF($A437="","",IF(BO437=1,$C437,MAX($C437,BR436)))</f>
        <v>0</v>
      </c>
      <c r="BS437">
        <f>IF($A437="","",IF(BO437=1,$D437,MIN($D437,BS436)))</f>
        <v>0</v>
      </c>
      <c r="BT437">
        <f>IF($A437="","",IF(BP437=1,F437,""))</f>
        <v>0</v>
      </c>
    </row>
    <row r="438" spans="1:72">
      <c r="A438" s="27">
        <f>IF(Data!$A438="","",Data!$A438)</f>
        <v>0</v>
      </c>
      <c r="B438">
        <f>IF(Data!$B438="","",Data!$B438)</f>
        <v>0</v>
      </c>
      <c r="C438">
        <f>IF(Data!$C438="","",Data!$C438)</f>
        <v>0</v>
      </c>
      <c r="D438">
        <f>IF(Data!$D438="","",Data!$D438)</f>
        <v>0</v>
      </c>
      <c r="E438">
        <f>IF(Data!$E438="","",Data!$E438)</f>
        <v>0</v>
      </c>
      <c r="F438">
        <f>IF($E438="","",N(F437)+1)</f>
        <v>0</v>
      </c>
      <c r="G438">
        <f>IF(OR($E438="",$E437=""),"",LN($E438/$E437))</f>
        <v>0</v>
      </c>
      <c r="H438">
        <f>IF($E438="","",IF($E437="",$E438,$E438*0.0952380952+H437*0.9047619048))</f>
        <v>0</v>
      </c>
      <c r="I438">
        <f>IF($E438="","",IF($E437="",$E438,$E438*0.0392156863+I437*0.9607843137))</f>
        <v>0</v>
      </c>
      <c r="J438">
        <f>IF($E438="","",IF($E437="",$E438,$E438*0.0198019802+J437*0.9801980198))</f>
        <v>0</v>
      </c>
      <c r="K438">
        <f>IF($E438="","",IF($E437="",$E438,$E438*0.0099502488+K437*0.9900497512))</f>
        <v>0</v>
      </c>
      <c r="L438">
        <f>IF(OR($E438="",$E437=""),"",MAX($E438-$E437,0))</f>
        <v>0</v>
      </c>
      <c r="M438">
        <f>IF(OR($E438="",$E437=""),"",MAX($E437-$E438,0))</f>
        <v>0</v>
      </c>
      <c r="N438">
        <f>IF(COUNT($E$2:$E438)&lt;15,"",IF(AVERAGE($M$425:$M$438)=0,100,100-100/(1+AVERAGE($L$425:$L$438)/AVERAGE($M$425:$M$438))))</f>
        <v>0</v>
      </c>
      <c r="O438">
        <f>IF($E438="","",IF($E437="",$E438,$E438*0.1538461538+O437*0.8461538462))</f>
        <v>0</v>
      </c>
      <c r="P438">
        <f>IF($E438="","",IF($E437="",$E438,$E438*0.0740740741+P437*0.9259259259))</f>
        <v>0</v>
      </c>
      <c r="Q438">
        <f>IF(OR(O438="",P438=""),"",O438-P438)</f>
        <v>0</v>
      </c>
      <c r="R438">
        <f>IF(Q438="","",IF(R437="",Q438,Q438*0.2000000000+R437*0.8000000000))</f>
        <v>0</v>
      </c>
      <c r="S438">
        <f>IF(OR(Q438="",R438=""),"",Q438-R438)</f>
        <v>0</v>
      </c>
      <c r="T438">
        <f>IF(COUNT($E$2:$E438)&lt;14,"",MAX($C$425:$C$438))</f>
        <v>0</v>
      </c>
      <c r="U438">
        <f>IF(COUNT($E$2:$E438)&lt;14,"",MIN($D$425:$D$438))</f>
        <v>0</v>
      </c>
      <c r="V438">
        <f>IF(OR(T438="",U438="",T438=U438),"",100*($E438-U438)/(T438-U438))</f>
        <v>0</v>
      </c>
      <c r="W438">
        <f>IF(COUNT($V$436:$V$438)&lt;3,"",AVERAGE($V$436:$V$438))</f>
        <v>0</v>
      </c>
      <c r="X438">
        <f>IF(COUNT($N$425:$N$438)&lt;14,"",MIN($N$425:$N$438))</f>
        <v>0</v>
      </c>
      <c r="Y438">
        <f>IF(COUNT($N$425:$N$438)&lt;14,"",MAX($N$425:$N$438))</f>
        <v>0</v>
      </c>
      <c r="Z438">
        <f>IF(OR(N438="",X438="",Y438="",Y438=X438),"",100*(N438-X438)/(Y438-X438))</f>
        <v>0</v>
      </c>
      <c r="AA438">
        <f>IF(COUNT($Z$436:$Z$438)&lt;3,"",AVERAGE($Z$436:$Z$438))</f>
        <v>0</v>
      </c>
      <c r="AB438">
        <f>IF(COUNT($AA$436:$AA$438)&lt;3,"",AVERAGE($AA$436:$AA$438))</f>
        <v>0</v>
      </c>
      <c r="AC438">
        <f>IF($E438="","",MAX($C438-$D438,ABS($C438-$E437),ABS($D438-$E437)))</f>
        <v>0</v>
      </c>
      <c r="AD438">
        <f>IF(COUNT($E$2:$E438)&lt;15,"",AVERAGE($AC$425:$AC$438))</f>
        <v>0</v>
      </c>
      <c r="AE438">
        <f>IF(OR($E438="",$E437=""),"",IF(AND(($C438-$C437)&gt;($D437-$D438),($C438-$C437)&gt;0),$C438-$C437,0))</f>
        <v>0</v>
      </c>
      <c r="AF438">
        <f>IF(OR($E438="",$E437=""),"",IF(AND(($D437-$D438)&gt;($C438-$C437),($D437-$D438)&gt;0),$D437-$D438,0))</f>
        <v>0</v>
      </c>
      <c r="AG438">
        <f>IF(COUNT($E$2:$E438)&lt;15,"",IF(SUM($AC$425:$AC$438)=0,0,100*SUM($AE$425:$AE$438)/SUM($AC$425:$AC$438)))</f>
        <v>0</v>
      </c>
      <c r="AH438">
        <f>IF(COUNT($E$2:$E438)&lt;15,"",IF(SUM($AC$425:$AC$438)=0,0,100*SUM($AF$425:$AF$438)/SUM($AC$425:$AC$438)))</f>
        <v>0</v>
      </c>
      <c r="AI438">
        <f>IF(OR(AG438="",AH438=""),"",IF((AG438+AH438)=0,0,100*ABS(AG438-AH438)/(AG438+AH438)))</f>
        <v>0</v>
      </c>
      <c r="AJ438">
        <f>IF(COUNT($AI$425:$AI$438)&lt;14,"",AVERAGE($AI$425:$AI$438))</f>
        <v>0</v>
      </c>
      <c r="AK438">
        <f>IF(COUNT($E$2:$E438)&lt;20,"",AVERAGE($E$419:$E$438))</f>
        <v>0</v>
      </c>
      <c r="AL438">
        <f>IF(COUNT($E$2:$E438)&lt;20,"",STDEVP($E$419:$E$438))</f>
        <v>0</v>
      </c>
      <c r="AM438">
        <f>IF(AK438="","",AK438+2*AL438)</f>
        <v>0</v>
      </c>
      <c r="AN438">
        <f>IF(AK438="","",AK438-2*AL438)</f>
        <v>0</v>
      </c>
      <c r="AO438">
        <f>IF(OR(AM438="",AN438="",AM438=AN438),"",($E438-AN438)/(AM438-AN438))</f>
        <v>0</v>
      </c>
      <c r="AP438">
        <f>IF(OR(AM438="",AK438="",AK438=0),"",(AM438-AN438)/AK438)</f>
        <v>0</v>
      </c>
      <c r="AQ438">
        <f>IF(COUNT($E$2:$E438)&lt;20,"",MAX($C$419:$C$438))</f>
        <v>0</v>
      </c>
      <c r="AR438">
        <f>IF(COUNT($E$2:$E438)&lt;20,"",MIN($D$419:$D$438))</f>
        <v>0</v>
      </c>
      <c r="AS438">
        <f>IF(OR(AQ438="",AR438=""),"",(AQ438+AR438)/2)</f>
        <v>0</v>
      </c>
      <c r="AT438">
        <f>IF(COUNT($G$419:$G$438)&lt;20,"",STDEV($G$419:$G$438)*SQRT(252))</f>
        <v>0</v>
      </c>
      <c r="AU438">
        <f>IF(COUNT($E$2:$E438)&lt;9,"",(MAX($C$430:$C$438)+MIN($D$430:$D$438))/2)</f>
        <v>0</v>
      </c>
      <c r="AV438">
        <f>IF(COUNT($E$2:$E438)&lt;26,"",(MAX($C$413:$C$438)+MIN($D$413:$D$438))/2)</f>
        <v>0</v>
      </c>
      <c r="AW438">
        <f>IF(OR(AU438="",AV438=""),"",(AU438+AV438)/2)</f>
        <v>0</v>
      </c>
      <c r="AX438">
        <f>IF(COUNT($E$2:$E438)&lt;52,"",(MAX($C$387:$C$438)+MIN($D$387:$D$438))/2)</f>
        <v>0</v>
      </c>
      <c r="AY438">
        <f>IF(COUNT($E$2:$E438)&lt;20,"",MAX($C$339:$C$438))</f>
        <v>0</v>
      </c>
      <c r="AZ438">
        <f>IF(COUNT($E$2:$E438)&lt;20,"",MIN($D$339:$D$438))</f>
        <v>0</v>
      </c>
      <c r="BA438">
        <f>IF(COUNT($E$2:$E438)&lt;20,"",SLOPE($E$339:$E$438,$F$339:$F$438))</f>
        <v>0</v>
      </c>
      <c r="BB438">
        <f>IF(COUNT($E$2:$E438)&lt;20,"",INTERCEPT($E$339:$E$438,$F$339:$F$438))</f>
        <v>0</v>
      </c>
      <c r="BC438">
        <f>IF(OR(BA438="",BB438=""),"",BB438+BA438*F438)</f>
        <v>0</v>
      </c>
      <c r="BD438">
        <f>IF(COUNT($E$2:$E438)&lt;20,"",STEYX($E$339:$E$438,$F$339:$F$438))</f>
        <v>0</v>
      </c>
      <c r="BE438">
        <f>IF($E438="","",IF(AND(COUNT($E$439:$E$442)&gt;=4,$C438=MAX($C$434:$C$442)),$C438,""))</f>
        <v>0</v>
      </c>
      <c r="BF438">
        <f>IF($E438="","",IF(AND(COUNT($E$439:$E$442)&gt;=4,$D438=MIN($D$434:$D$442)),$D438,""))</f>
        <v>0</v>
      </c>
      <c r="BG438">
        <f>IF($A438="","",$A438-WEEKDAY($A438,2)+1)</f>
        <v>0</v>
      </c>
      <c r="BH438">
        <f>IF($A438="","",IF($A437="",1,IF(BG438&lt;&gt;BG437,1,0)))</f>
        <v>0</v>
      </c>
      <c r="BI438">
        <f>IF($A438="","",IF($A439="",1,IF(BG439&lt;&gt;BG438,1,0)))</f>
        <v>0</v>
      </c>
      <c r="BJ438">
        <f>IF($A438="","",IF(BH438=1,$B438,BJ437))</f>
        <v>0</v>
      </c>
      <c r="BK438">
        <f>IF($A438="","",IF(BH438=1,$C438,MAX($C438,BK437)))</f>
        <v>0</v>
      </c>
      <c r="BL438">
        <f>IF($A438="","",IF(BH438=1,$D438,MIN($D438,BL437)))</f>
        <v>0</v>
      </c>
      <c r="BM438">
        <f>IF($A438="","",IF(BI438=1,F438,""))</f>
        <v>0</v>
      </c>
      <c r="BN438">
        <f>IF($A438="","",DATE(YEAR($A438),MONTH($A438),1))</f>
        <v>0</v>
      </c>
      <c r="BO438">
        <f>IF($A438="","",IF($A437="",1,IF(BN438&lt;&gt;BN437,1,0)))</f>
        <v>0</v>
      </c>
      <c r="BP438">
        <f>IF($A438="","",IF($A439="",1,IF(BN439&lt;&gt;BN438,1,0)))</f>
        <v>0</v>
      </c>
      <c r="BQ438">
        <f>IF($A438="","",IF(BO438=1,$B438,BQ437))</f>
        <v>0</v>
      </c>
      <c r="BR438">
        <f>IF($A438="","",IF(BO438=1,$C438,MAX($C438,BR437)))</f>
        <v>0</v>
      </c>
      <c r="BS438">
        <f>IF($A438="","",IF(BO438=1,$D438,MIN($D438,BS437)))</f>
        <v>0</v>
      </c>
      <c r="BT438">
        <f>IF($A438="","",IF(BP438=1,F438,""))</f>
        <v>0</v>
      </c>
    </row>
    <row r="439" spans="1:72">
      <c r="A439" s="27">
        <f>IF(Data!$A439="","",Data!$A439)</f>
        <v>0</v>
      </c>
      <c r="B439">
        <f>IF(Data!$B439="","",Data!$B439)</f>
        <v>0</v>
      </c>
      <c r="C439">
        <f>IF(Data!$C439="","",Data!$C439)</f>
        <v>0</v>
      </c>
      <c r="D439">
        <f>IF(Data!$D439="","",Data!$D439)</f>
        <v>0</v>
      </c>
      <c r="E439">
        <f>IF(Data!$E439="","",Data!$E439)</f>
        <v>0</v>
      </c>
      <c r="F439">
        <f>IF($E439="","",N(F438)+1)</f>
        <v>0</v>
      </c>
      <c r="G439">
        <f>IF(OR($E439="",$E438=""),"",LN($E439/$E438))</f>
        <v>0</v>
      </c>
      <c r="H439">
        <f>IF($E439="","",IF($E438="",$E439,$E439*0.0952380952+H438*0.9047619048))</f>
        <v>0</v>
      </c>
      <c r="I439">
        <f>IF($E439="","",IF($E438="",$E439,$E439*0.0392156863+I438*0.9607843137))</f>
        <v>0</v>
      </c>
      <c r="J439">
        <f>IF($E439="","",IF($E438="",$E439,$E439*0.0198019802+J438*0.9801980198))</f>
        <v>0</v>
      </c>
      <c r="K439">
        <f>IF($E439="","",IF($E438="",$E439,$E439*0.0099502488+K438*0.9900497512))</f>
        <v>0</v>
      </c>
      <c r="L439">
        <f>IF(OR($E439="",$E438=""),"",MAX($E439-$E438,0))</f>
        <v>0</v>
      </c>
      <c r="M439">
        <f>IF(OR($E439="",$E438=""),"",MAX($E438-$E439,0))</f>
        <v>0</v>
      </c>
      <c r="N439">
        <f>IF(COUNT($E$2:$E439)&lt;15,"",IF(AVERAGE($M$426:$M$439)=0,100,100-100/(1+AVERAGE($L$426:$L$439)/AVERAGE($M$426:$M$439))))</f>
        <v>0</v>
      </c>
      <c r="O439">
        <f>IF($E439="","",IF($E438="",$E439,$E439*0.1538461538+O438*0.8461538462))</f>
        <v>0</v>
      </c>
      <c r="P439">
        <f>IF($E439="","",IF($E438="",$E439,$E439*0.0740740741+P438*0.9259259259))</f>
        <v>0</v>
      </c>
      <c r="Q439">
        <f>IF(OR(O439="",P439=""),"",O439-P439)</f>
        <v>0</v>
      </c>
      <c r="R439">
        <f>IF(Q439="","",IF(R438="",Q439,Q439*0.2000000000+R438*0.8000000000))</f>
        <v>0</v>
      </c>
      <c r="S439">
        <f>IF(OR(Q439="",R439=""),"",Q439-R439)</f>
        <v>0</v>
      </c>
      <c r="T439">
        <f>IF(COUNT($E$2:$E439)&lt;14,"",MAX($C$426:$C$439))</f>
        <v>0</v>
      </c>
      <c r="U439">
        <f>IF(COUNT($E$2:$E439)&lt;14,"",MIN($D$426:$D$439))</f>
        <v>0</v>
      </c>
      <c r="V439">
        <f>IF(OR(T439="",U439="",T439=U439),"",100*($E439-U439)/(T439-U439))</f>
        <v>0</v>
      </c>
      <c r="W439">
        <f>IF(COUNT($V$437:$V$439)&lt;3,"",AVERAGE($V$437:$V$439))</f>
        <v>0</v>
      </c>
      <c r="X439">
        <f>IF(COUNT($N$426:$N$439)&lt;14,"",MIN($N$426:$N$439))</f>
        <v>0</v>
      </c>
      <c r="Y439">
        <f>IF(COUNT($N$426:$N$439)&lt;14,"",MAX($N$426:$N$439))</f>
        <v>0</v>
      </c>
      <c r="Z439">
        <f>IF(OR(N439="",X439="",Y439="",Y439=X439),"",100*(N439-X439)/(Y439-X439))</f>
        <v>0</v>
      </c>
      <c r="AA439">
        <f>IF(COUNT($Z$437:$Z$439)&lt;3,"",AVERAGE($Z$437:$Z$439))</f>
        <v>0</v>
      </c>
      <c r="AB439">
        <f>IF(COUNT($AA$437:$AA$439)&lt;3,"",AVERAGE($AA$437:$AA$439))</f>
        <v>0</v>
      </c>
      <c r="AC439">
        <f>IF($E439="","",MAX($C439-$D439,ABS($C439-$E438),ABS($D439-$E438)))</f>
        <v>0</v>
      </c>
      <c r="AD439">
        <f>IF(COUNT($E$2:$E439)&lt;15,"",AVERAGE($AC$426:$AC$439))</f>
        <v>0</v>
      </c>
      <c r="AE439">
        <f>IF(OR($E439="",$E438=""),"",IF(AND(($C439-$C438)&gt;($D438-$D439),($C439-$C438)&gt;0),$C439-$C438,0))</f>
        <v>0</v>
      </c>
      <c r="AF439">
        <f>IF(OR($E439="",$E438=""),"",IF(AND(($D438-$D439)&gt;($C439-$C438),($D438-$D439)&gt;0),$D438-$D439,0))</f>
        <v>0</v>
      </c>
      <c r="AG439">
        <f>IF(COUNT($E$2:$E439)&lt;15,"",IF(SUM($AC$426:$AC$439)=0,0,100*SUM($AE$426:$AE$439)/SUM($AC$426:$AC$439)))</f>
        <v>0</v>
      </c>
      <c r="AH439">
        <f>IF(COUNT($E$2:$E439)&lt;15,"",IF(SUM($AC$426:$AC$439)=0,0,100*SUM($AF$426:$AF$439)/SUM($AC$426:$AC$439)))</f>
        <v>0</v>
      </c>
      <c r="AI439">
        <f>IF(OR(AG439="",AH439=""),"",IF((AG439+AH439)=0,0,100*ABS(AG439-AH439)/(AG439+AH439)))</f>
        <v>0</v>
      </c>
      <c r="AJ439">
        <f>IF(COUNT($AI$426:$AI$439)&lt;14,"",AVERAGE($AI$426:$AI$439))</f>
        <v>0</v>
      </c>
      <c r="AK439">
        <f>IF(COUNT($E$2:$E439)&lt;20,"",AVERAGE($E$420:$E$439))</f>
        <v>0</v>
      </c>
      <c r="AL439">
        <f>IF(COUNT($E$2:$E439)&lt;20,"",STDEVP($E$420:$E$439))</f>
        <v>0</v>
      </c>
      <c r="AM439">
        <f>IF(AK439="","",AK439+2*AL439)</f>
        <v>0</v>
      </c>
      <c r="AN439">
        <f>IF(AK439="","",AK439-2*AL439)</f>
        <v>0</v>
      </c>
      <c r="AO439">
        <f>IF(OR(AM439="",AN439="",AM439=AN439),"",($E439-AN439)/(AM439-AN439))</f>
        <v>0</v>
      </c>
      <c r="AP439">
        <f>IF(OR(AM439="",AK439="",AK439=0),"",(AM439-AN439)/AK439)</f>
        <v>0</v>
      </c>
      <c r="AQ439">
        <f>IF(COUNT($E$2:$E439)&lt;20,"",MAX($C$420:$C$439))</f>
        <v>0</v>
      </c>
      <c r="AR439">
        <f>IF(COUNT($E$2:$E439)&lt;20,"",MIN($D$420:$D$439))</f>
        <v>0</v>
      </c>
      <c r="AS439">
        <f>IF(OR(AQ439="",AR439=""),"",(AQ439+AR439)/2)</f>
        <v>0</v>
      </c>
      <c r="AT439">
        <f>IF(COUNT($G$420:$G$439)&lt;20,"",STDEV($G$420:$G$439)*SQRT(252))</f>
        <v>0</v>
      </c>
      <c r="AU439">
        <f>IF(COUNT($E$2:$E439)&lt;9,"",(MAX($C$431:$C$439)+MIN($D$431:$D$439))/2)</f>
        <v>0</v>
      </c>
      <c r="AV439">
        <f>IF(COUNT($E$2:$E439)&lt;26,"",(MAX($C$414:$C$439)+MIN($D$414:$D$439))/2)</f>
        <v>0</v>
      </c>
      <c r="AW439">
        <f>IF(OR(AU439="",AV439=""),"",(AU439+AV439)/2)</f>
        <v>0</v>
      </c>
      <c r="AX439">
        <f>IF(COUNT($E$2:$E439)&lt;52,"",(MAX($C$388:$C$439)+MIN($D$388:$D$439))/2)</f>
        <v>0</v>
      </c>
      <c r="AY439">
        <f>IF(COUNT($E$2:$E439)&lt;20,"",MAX($C$340:$C$439))</f>
        <v>0</v>
      </c>
      <c r="AZ439">
        <f>IF(COUNT($E$2:$E439)&lt;20,"",MIN($D$340:$D$439))</f>
        <v>0</v>
      </c>
      <c r="BA439">
        <f>IF(COUNT($E$2:$E439)&lt;20,"",SLOPE($E$340:$E$439,$F$340:$F$439))</f>
        <v>0</v>
      </c>
      <c r="BB439">
        <f>IF(COUNT($E$2:$E439)&lt;20,"",INTERCEPT($E$340:$E$439,$F$340:$F$439))</f>
        <v>0</v>
      </c>
      <c r="BC439">
        <f>IF(OR(BA439="",BB439=""),"",BB439+BA439*F439)</f>
        <v>0</v>
      </c>
      <c r="BD439">
        <f>IF(COUNT($E$2:$E439)&lt;20,"",STEYX($E$340:$E$439,$F$340:$F$439))</f>
        <v>0</v>
      </c>
      <c r="BE439">
        <f>IF($E439="","",IF(AND(COUNT($E$440:$E$443)&gt;=4,$C439=MAX($C$435:$C$443)),$C439,""))</f>
        <v>0</v>
      </c>
      <c r="BF439">
        <f>IF($E439="","",IF(AND(COUNT($E$440:$E$443)&gt;=4,$D439=MIN($D$435:$D$443)),$D439,""))</f>
        <v>0</v>
      </c>
      <c r="BG439">
        <f>IF($A439="","",$A439-WEEKDAY($A439,2)+1)</f>
        <v>0</v>
      </c>
      <c r="BH439">
        <f>IF($A439="","",IF($A438="",1,IF(BG439&lt;&gt;BG438,1,0)))</f>
        <v>0</v>
      </c>
      <c r="BI439">
        <f>IF($A439="","",IF($A440="",1,IF(BG440&lt;&gt;BG439,1,0)))</f>
        <v>0</v>
      </c>
      <c r="BJ439">
        <f>IF($A439="","",IF(BH439=1,$B439,BJ438))</f>
        <v>0</v>
      </c>
      <c r="BK439">
        <f>IF($A439="","",IF(BH439=1,$C439,MAX($C439,BK438)))</f>
        <v>0</v>
      </c>
      <c r="BL439">
        <f>IF($A439="","",IF(BH439=1,$D439,MIN($D439,BL438)))</f>
        <v>0</v>
      </c>
      <c r="BM439">
        <f>IF($A439="","",IF(BI439=1,F439,""))</f>
        <v>0</v>
      </c>
      <c r="BN439">
        <f>IF($A439="","",DATE(YEAR($A439),MONTH($A439),1))</f>
        <v>0</v>
      </c>
      <c r="BO439">
        <f>IF($A439="","",IF($A438="",1,IF(BN439&lt;&gt;BN438,1,0)))</f>
        <v>0</v>
      </c>
      <c r="BP439">
        <f>IF($A439="","",IF($A440="",1,IF(BN440&lt;&gt;BN439,1,0)))</f>
        <v>0</v>
      </c>
      <c r="BQ439">
        <f>IF($A439="","",IF(BO439=1,$B439,BQ438))</f>
        <v>0</v>
      </c>
      <c r="BR439">
        <f>IF($A439="","",IF(BO439=1,$C439,MAX($C439,BR438)))</f>
        <v>0</v>
      </c>
      <c r="BS439">
        <f>IF($A439="","",IF(BO439=1,$D439,MIN($D439,BS438)))</f>
        <v>0</v>
      </c>
      <c r="BT439">
        <f>IF($A439="","",IF(BP439=1,F439,""))</f>
        <v>0</v>
      </c>
    </row>
    <row r="440" spans="1:72">
      <c r="A440" s="27">
        <f>IF(Data!$A440="","",Data!$A440)</f>
        <v>0</v>
      </c>
      <c r="B440">
        <f>IF(Data!$B440="","",Data!$B440)</f>
        <v>0</v>
      </c>
      <c r="C440">
        <f>IF(Data!$C440="","",Data!$C440)</f>
        <v>0</v>
      </c>
      <c r="D440">
        <f>IF(Data!$D440="","",Data!$D440)</f>
        <v>0</v>
      </c>
      <c r="E440">
        <f>IF(Data!$E440="","",Data!$E440)</f>
        <v>0</v>
      </c>
      <c r="F440">
        <f>IF($E440="","",N(F439)+1)</f>
        <v>0</v>
      </c>
      <c r="G440">
        <f>IF(OR($E440="",$E439=""),"",LN($E440/$E439))</f>
        <v>0</v>
      </c>
      <c r="H440">
        <f>IF($E440="","",IF($E439="",$E440,$E440*0.0952380952+H439*0.9047619048))</f>
        <v>0</v>
      </c>
      <c r="I440">
        <f>IF($E440="","",IF($E439="",$E440,$E440*0.0392156863+I439*0.9607843137))</f>
        <v>0</v>
      </c>
      <c r="J440">
        <f>IF($E440="","",IF($E439="",$E440,$E440*0.0198019802+J439*0.9801980198))</f>
        <v>0</v>
      </c>
      <c r="K440">
        <f>IF($E440="","",IF($E439="",$E440,$E440*0.0099502488+K439*0.9900497512))</f>
        <v>0</v>
      </c>
      <c r="L440">
        <f>IF(OR($E440="",$E439=""),"",MAX($E440-$E439,0))</f>
        <v>0</v>
      </c>
      <c r="M440">
        <f>IF(OR($E440="",$E439=""),"",MAX($E439-$E440,0))</f>
        <v>0</v>
      </c>
      <c r="N440">
        <f>IF(COUNT($E$2:$E440)&lt;15,"",IF(AVERAGE($M$427:$M$440)=0,100,100-100/(1+AVERAGE($L$427:$L$440)/AVERAGE($M$427:$M$440))))</f>
        <v>0</v>
      </c>
      <c r="O440">
        <f>IF($E440="","",IF($E439="",$E440,$E440*0.1538461538+O439*0.8461538462))</f>
        <v>0</v>
      </c>
      <c r="P440">
        <f>IF($E440="","",IF($E439="",$E440,$E440*0.0740740741+P439*0.9259259259))</f>
        <v>0</v>
      </c>
      <c r="Q440">
        <f>IF(OR(O440="",P440=""),"",O440-P440)</f>
        <v>0</v>
      </c>
      <c r="R440">
        <f>IF(Q440="","",IF(R439="",Q440,Q440*0.2000000000+R439*0.8000000000))</f>
        <v>0</v>
      </c>
      <c r="S440">
        <f>IF(OR(Q440="",R440=""),"",Q440-R440)</f>
        <v>0</v>
      </c>
      <c r="T440">
        <f>IF(COUNT($E$2:$E440)&lt;14,"",MAX($C$427:$C$440))</f>
        <v>0</v>
      </c>
      <c r="U440">
        <f>IF(COUNT($E$2:$E440)&lt;14,"",MIN($D$427:$D$440))</f>
        <v>0</v>
      </c>
      <c r="V440">
        <f>IF(OR(T440="",U440="",T440=U440),"",100*($E440-U440)/(T440-U440))</f>
        <v>0</v>
      </c>
      <c r="W440">
        <f>IF(COUNT($V$438:$V$440)&lt;3,"",AVERAGE($V$438:$V$440))</f>
        <v>0</v>
      </c>
      <c r="X440">
        <f>IF(COUNT($N$427:$N$440)&lt;14,"",MIN($N$427:$N$440))</f>
        <v>0</v>
      </c>
      <c r="Y440">
        <f>IF(COUNT($N$427:$N$440)&lt;14,"",MAX($N$427:$N$440))</f>
        <v>0</v>
      </c>
      <c r="Z440">
        <f>IF(OR(N440="",X440="",Y440="",Y440=X440),"",100*(N440-X440)/(Y440-X440))</f>
        <v>0</v>
      </c>
      <c r="AA440">
        <f>IF(COUNT($Z$438:$Z$440)&lt;3,"",AVERAGE($Z$438:$Z$440))</f>
        <v>0</v>
      </c>
      <c r="AB440">
        <f>IF(COUNT($AA$438:$AA$440)&lt;3,"",AVERAGE($AA$438:$AA$440))</f>
        <v>0</v>
      </c>
      <c r="AC440">
        <f>IF($E440="","",MAX($C440-$D440,ABS($C440-$E439),ABS($D440-$E439)))</f>
        <v>0</v>
      </c>
      <c r="AD440">
        <f>IF(COUNT($E$2:$E440)&lt;15,"",AVERAGE($AC$427:$AC$440))</f>
        <v>0</v>
      </c>
      <c r="AE440">
        <f>IF(OR($E440="",$E439=""),"",IF(AND(($C440-$C439)&gt;($D439-$D440),($C440-$C439)&gt;0),$C440-$C439,0))</f>
        <v>0</v>
      </c>
      <c r="AF440">
        <f>IF(OR($E440="",$E439=""),"",IF(AND(($D439-$D440)&gt;($C440-$C439),($D439-$D440)&gt;0),$D439-$D440,0))</f>
        <v>0</v>
      </c>
      <c r="AG440">
        <f>IF(COUNT($E$2:$E440)&lt;15,"",IF(SUM($AC$427:$AC$440)=0,0,100*SUM($AE$427:$AE$440)/SUM($AC$427:$AC$440)))</f>
        <v>0</v>
      </c>
      <c r="AH440">
        <f>IF(COUNT($E$2:$E440)&lt;15,"",IF(SUM($AC$427:$AC$440)=0,0,100*SUM($AF$427:$AF$440)/SUM($AC$427:$AC$440)))</f>
        <v>0</v>
      </c>
      <c r="AI440">
        <f>IF(OR(AG440="",AH440=""),"",IF((AG440+AH440)=0,0,100*ABS(AG440-AH440)/(AG440+AH440)))</f>
        <v>0</v>
      </c>
      <c r="AJ440">
        <f>IF(COUNT($AI$427:$AI$440)&lt;14,"",AVERAGE($AI$427:$AI$440))</f>
        <v>0</v>
      </c>
      <c r="AK440">
        <f>IF(COUNT($E$2:$E440)&lt;20,"",AVERAGE($E$421:$E$440))</f>
        <v>0</v>
      </c>
      <c r="AL440">
        <f>IF(COUNT($E$2:$E440)&lt;20,"",STDEVP($E$421:$E$440))</f>
        <v>0</v>
      </c>
      <c r="AM440">
        <f>IF(AK440="","",AK440+2*AL440)</f>
        <v>0</v>
      </c>
      <c r="AN440">
        <f>IF(AK440="","",AK440-2*AL440)</f>
        <v>0</v>
      </c>
      <c r="AO440">
        <f>IF(OR(AM440="",AN440="",AM440=AN440),"",($E440-AN440)/(AM440-AN440))</f>
        <v>0</v>
      </c>
      <c r="AP440">
        <f>IF(OR(AM440="",AK440="",AK440=0),"",(AM440-AN440)/AK440)</f>
        <v>0</v>
      </c>
      <c r="AQ440">
        <f>IF(COUNT($E$2:$E440)&lt;20,"",MAX($C$421:$C$440))</f>
        <v>0</v>
      </c>
      <c r="AR440">
        <f>IF(COUNT($E$2:$E440)&lt;20,"",MIN($D$421:$D$440))</f>
        <v>0</v>
      </c>
      <c r="AS440">
        <f>IF(OR(AQ440="",AR440=""),"",(AQ440+AR440)/2)</f>
        <v>0</v>
      </c>
      <c r="AT440">
        <f>IF(COUNT($G$421:$G$440)&lt;20,"",STDEV($G$421:$G$440)*SQRT(252))</f>
        <v>0</v>
      </c>
      <c r="AU440">
        <f>IF(COUNT($E$2:$E440)&lt;9,"",(MAX($C$432:$C$440)+MIN($D$432:$D$440))/2)</f>
        <v>0</v>
      </c>
      <c r="AV440">
        <f>IF(COUNT($E$2:$E440)&lt;26,"",(MAX($C$415:$C$440)+MIN($D$415:$D$440))/2)</f>
        <v>0</v>
      </c>
      <c r="AW440">
        <f>IF(OR(AU440="",AV440=""),"",(AU440+AV440)/2)</f>
        <v>0</v>
      </c>
      <c r="AX440">
        <f>IF(COUNT($E$2:$E440)&lt;52,"",(MAX($C$389:$C$440)+MIN($D$389:$D$440))/2)</f>
        <v>0</v>
      </c>
      <c r="AY440">
        <f>IF(COUNT($E$2:$E440)&lt;20,"",MAX($C$341:$C$440))</f>
        <v>0</v>
      </c>
      <c r="AZ440">
        <f>IF(COUNT($E$2:$E440)&lt;20,"",MIN($D$341:$D$440))</f>
        <v>0</v>
      </c>
      <c r="BA440">
        <f>IF(COUNT($E$2:$E440)&lt;20,"",SLOPE($E$341:$E$440,$F$341:$F$440))</f>
        <v>0</v>
      </c>
      <c r="BB440">
        <f>IF(COUNT($E$2:$E440)&lt;20,"",INTERCEPT($E$341:$E$440,$F$341:$F$440))</f>
        <v>0</v>
      </c>
      <c r="BC440">
        <f>IF(OR(BA440="",BB440=""),"",BB440+BA440*F440)</f>
        <v>0</v>
      </c>
      <c r="BD440">
        <f>IF(COUNT($E$2:$E440)&lt;20,"",STEYX($E$341:$E$440,$F$341:$F$440))</f>
        <v>0</v>
      </c>
      <c r="BE440">
        <f>IF($E440="","",IF(AND(COUNT($E$441:$E$444)&gt;=4,$C440=MAX($C$436:$C$444)),$C440,""))</f>
        <v>0</v>
      </c>
      <c r="BF440">
        <f>IF($E440="","",IF(AND(COUNT($E$441:$E$444)&gt;=4,$D440=MIN($D$436:$D$444)),$D440,""))</f>
        <v>0</v>
      </c>
      <c r="BG440">
        <f>IF($A440="","",$A440-WEEKDAY($A440,2)+1)</f>
        <v>0</v>
      </c>
      <c r="BH440">
        <f>IF($A440="","",IF($A439="",1,IF(BG440&lt;&gt;BG439,1,0)))</f>
        <v>0</v>
      </c>
      <c r="BI440">
        <f>IF($A440="","",IF($A441="",1,IF(BG441&lt;&gt;BG440,1,0)))</f>
        <v>0</v>
      </c>
      <c r="BJ440">
        <f>IF($A440="","",IF(BH440=1,$B440,BJ439))</f>
        <v>0</v>
      </c>
      <c r="BK440">
        <f>IF($A440="","",IF(BH440=1,$C440,MAX($C440,BK439)))</f>
        <v>0</v>
      </c>
      <c r="BL440">
        <f>IF($A440="","",IF(BH440=1,$D440,MIN($D440,BL439)))</f>
        <v>0</v>
      </c>
      <c r="BM440">
        <f>IF($A440="","",IF(BI440=1,F440,""))</f>
        <v>0</v>
      </c>
      <c r="BN440">
        <f>IF($A440="","",DATE(YEAR($A440),MONTH($A440),1))</f>
        <v>0</v>
      </c>
      <c r="BO440">
        <f>IF($A440="","",IF($A439="",1,IF(BN440&lt;&gt;BN439,1,0)))</f>
        <v>0</v>
      </c>
      <c r="BP440">
        <f>IF($A440="","",IF($A441="",1,IF(BN441&lt;&gt;BN440,1,0)))</f>
        <v>0</v>
      </c>
      <c r="BQ440">
        <f>IF($A440="","",IF(BO440=1,$B440,BQ439))</f>
        <v>0</v>
      </c>
      <c r="BR440">
        <f>IF($A440="","",IF(BO440=1,$C440,MAX($C440,BR439)))</f>
        <v>0</v>
      </c>
      <c r="BS440">
        <f>IF($A440="","",IF(BO440=1,$D440,MIN($D440,BS439)))</f>
        <v>0</v>
      </c>
      <c r="BT440">
        <f>IF($A440="","",IF(BP440=1,F440,""))</f>
        <v>0</v>
      </c>
    </row>
    <row r="441" spans="1:72">
      <c r="A441" s="27">
        <f>IF(Data!$A441="","",Data!$A441)</f>
        <v>0</v>
      </c>
      <c r="B441">
        <f>IF(Data!$B441="","",Data!$B441)</f>
        <v>0</v>
      </c>
      <c r="C441">
        <f>IF(Data!$C441="","",Data!$C441)</f>
        <v>0</v>
      </c>
      <c r="D441">
        <f>IF(Data!$D441="","",Data!$D441)</f>
        <v>0</v>
      </c>
      <c r="E441">
        <f>IF(Data!$E441="","",Data!$E441)</f>
        <v>0</v>
      </c>
      <c r="F441">
        <f>IF($E441="","",N(F440)+1)</f>
        <v>0</v>
      </c>
      <c r="G441">
        <f>IF(OR($E441="",$E440=""),"",LN($E441/$E440))</f>
        <v>0</v>
      </c>
      <c r="H441">
        <f>IF($E441="","",IF($E440="",$E441,$E441*0.0952380952+H440*0.9047619048))</f>
        <v>0</v>
      </c>
      <c r="I441">
        <f>IF($E441="","",IF($E440="",$E441,$E441*0.0392156863+I440*0.9607843137))</f>
        <v>0</v>
      </c>
      <c r="J441">
        <f>IF($E441="","",IF($E440="",$E441,$E441*0.0198019802+J440*0.9801980198))</f>
        <v>0</v>
      </c>
      <c r="K441">
        <f>IF($E441="","",IF($E440="",$E441,$E441*0.0099502488+K440*0.9900497512))</f>
        <v>0</v>
      </c>
      <c r="L441">
        <f>IF(OR($E441="",$E440=""),"",MAX($E441-$E440,0))</f>
        <v>0</v>
      </c>
      <c r="M441">
        <f>IF(OR($E441="",$E440=""),"",MAX($E440-$E441,0))</f>
        <v>0</v>
      </c>
      <c r="N441">
        <f>IF(COUNT($E$2:$E441)&lt;15,"",IF(AVERAGE($M$428:$M$441)=0,100,100-100/(1+AVERAGE($L$428:$L$441)/AVERAGE($M$428:$M$441))))</f>
        <v>0</v>
      </c>
      <c r="O441">
        <f>IF($E441="","",IF($E440="",$E441,$E441*0.1538461538+O440*0.8461538462))</f>
        <v>0</v>
      </c>
      <c r="P441">
        <f>IF($E441="","",IF($E440="",$E441,$E441*0.0740740741+P440*0.9259259259))</f>
        <v>0</v>
      </c>
      <c r="Q441">
        <f>IF(OR(O441="",P441=""),"",O441-P441)</f>
        <v>0</v>
      </c>
      <c r="R441">
        <f>IF(Q441="","",IF(R440="",Q441,Q441*0.2000000000+R440*0.8000000000))</f>
        <v>0</v>
      </c>
      <c r="S441">
        <f>IF(OR(Q441="",R441=""),"",Q441-R441)</f>
        <v>0</v>
      </c>
      <c r="T441">
        <f>IF(COUNT($E$2:$E441)&lt;14,"",MAX($C$428:$C$441))</f>
        <v>0</v>
      </c>
      <c r="U441">
        <f>IF(COUNT($E$2:$E441)&lt;14,"",MIN($D$428:$D$441))</f>
        <v>0</v>
      </c>
      <c r="V441">
        <f>IF(OR(T441="",U441="",T441=U441),"",100*($E441-U441)/(T441-U441))</f>
        <v>0</v>
      </c>
      <c r="W441">
        <f>IF(COUNT($V$439:$V$441)&lt;3,"",AVERAGE($V$439:$V$441))</f>
        <v>0</v>
      </c>
      <c r="X441">
        <f>IF(COUNT($N$428:$N$441)&lt;14,"",MIN($N$428:$N$441))</f>
        <v>0</v>
      </c>
      <c r="Y441">
        <f>IF(COUNT($N$428:$N$441)&lt;14,"",MAX($N$428:$N$441))</f>
        <v>0</v>
      </c>
      <c r="Z441">
        <f>IF(OR(N441="",X441="",Y441="",Y441=X441),"",100*(N441-X441)/(Y441-X441))</f>
        <v>0</v>
      </c>
      <c r="AA441">
        <f>IF(COUNT($Z$439:$Z$441)&lt;3,"",AVERAGE($Z$439:$Z$441))</f>
        <v>0</v>
      </c>
      <c r="AB441">
        <f>IF(COUNT($AA$439:$AA$441)&lt;3,"",AVERAGE($AA$439:$AA$441))</f>
        <v>0</v>
      </c>
      <c r="AC441">
        <f>IF($E441="","",MAX($C441-$D441,ABS($C441-$E440),ABS($D441-$E440)))</f>
        <v>0</v>
      </c>
      <c r="AD441">
        <f>IF(COUNT($E$2:$E441)&lt;15,"",AVERAGE($AC$428:$AC$441))</f>
        <v>0</v>
      </c>
      <c r="AE441">
        <f>IF(OR($E441="",$E440=""),"",IF(AND(($C441-$C440)&gt;($D440-$D441),($C441-$C440)&gt;0),$C441-$C440,0))</f>
        <v>0</v>
      </c>
      <c r="AF441">
        <f>IF(OR($E441="",$E440=""),"",IF(AND(($D440-$D441)&gt;($C441-$C440),($D440-$D441)&gt;0),$D440-$D441,0))</f>
        <v>0</v>
      </c>
      <c r="AG441">
        <f>IF(COUNT($E$2:$E441)&lt;15,"",IF(SUM($AC$428:$AC$441)=0,0,100*SUM($AE$428:$AE$441)/SUM($AC$428:$AC$441)))</f>
        <v>0</v>
      </c>
      <c r="AH441">
        <f>IF(COUNT($E$2:$E441)&lt;15,"",IF(SUM($AC$428:$AC$441)=0,0,100*SUM($AF$428:$AF$441)/SUM($AC$428:$AC$441)))</f>
        <v>0</v>
      </c>
      <c r="AI441">
        <f>IF(OR(AG441="",AH441=""),"",IF((AG441+AH441)=0,0,100*ABS(AG441-AH441)/(AG441+AH441)))</f>
        <v>0</v>
      </c>
      <c r="AJ441">
        <f>IF(COUNT($AI$428:$AI$441)&lt;14,"",AVERAGE($AI$428:$AI$441))</f>
        <v>0</v>
      </c>
      <c r="AK441">
        <f>IF(COUNT($E$2:$E441)&lt;20,"",AVERAGE($E$422:$E$441))</f>
        <v>0</v>
      </c>
      <c r="AL441">
        <f>IF(COUNT($E$2:$E441)&lt;20,"",STDEVP($E$422:$E$441))</f>
        <v>0</v>
      </c>
      <c r="AM441">
        <f>IF(AK441="","",AK441+2*AL441)</f>
        <v>0</v>
      </c>
      <c r="AN441">
        <f>IF(AK441="","",AK441-2*AL441)</f>
        <v>0</v>
      </c>
      <c r="AO441">
        <f>IF(OR(AM441="",AN441="",AM441=AN441),"",($E441-AN441)/(AM441-AN441))</f>
        <v>0</v>
      </c>
      <c r="AP441">
        <f>IF(OR(AM441="",AK441="",AK441=0),"",(AM441-AN441)/AK441)</f>
        <v>0</v>
      </c>
      <c r="AQ441">
        <f>IF(COUNT($E$2:$E441)&lt;20,"",MAX($C$422:$C$441))</f>
        <v>0</v>
      </c>
      <c r="AR441">
        <f>IF(COUNT($E$2:$E441)&lt;20,"",MIN($D$422:$D$441))</f>
        <v>0</v>
      </c>
      <c r="AS441">
        <f>IF(OR(AQ441="",AR441=""),"",(AQ441+AR441)/2)</f>
        <v>0</v>
      </c>
      <c r="AT441">
        <f>IF(COUNT($G$422:$G$441)&lt;20,"",STDEV($G$422:$G$441)*SQRT(252))</f>
        <v>0</v>
      </c>
      <c r="AU441">
        <f>IF(COUNT($E$2:$E441)&lt;9,"",(MAX($C$433:$C$441)+MIN($D$433:$D$441))/2)</f>
        <v>0</v>
      </c>
      <c r="AV441">
        <f>IF(COUNT($E$2:$E441)&lt;26,"",(MAX($C$416:$C$441)+MIN($D$416:$D$441))/2)</f>
        <v>0</v>
      </c>
      <c r="AW441">
        <f>IF(OR(AU441="",AV441=""),"",(AU441+AV441)/2)</f>
        <v>0</v>
      </c>
      <c r="AX441">
        <f>IF(COUNT($E$2:$E441)&lt;52,"",(MAX($C$390:$C$441)+MIN($D$390:$D$441))/2)</f>
        <v>0</v>
      </c>
      <c r="AY441">
        <f>IF(COUNT($E$2:$E441)&lt;20,"",MAX($C$342:$C$441))</f>
        <v>0</v>
      </c>
      <c r="AZ441">
        <f>IF(COUNT($E$2:$E441)&lt;20,"",MIN($D$342:$D$441))</f>
        <v>0</v>
      </c>
      <c r="BA441">
        <f>IF(COUNT($E$2:$E441)&lt;20,"",SLOPE($E$342:$E$441,$F$342:$F$441))</f>
        <v>0</v>
      </c>
      <c r="BB441">
        <f>IF(COUNT($E$2:$E441)&lt;20,"",INTERCEPT($E$342:$E$441,$F$342:$F$441))</f>
        <v>0</v>
      </c>
      <c r="BC441">
        <f>IF(OR(BA441="",BB441=""),"",BB441+BA441*F441)</f>
        <v>0</v>
      </c>
      <c r="BD441">
        <f>IF(COUNT($E$2:$E441)&lt;20,"",STEYX($E$342:$E$441,$F$342:$F$441))</f>
        <v>0</v>
      </c>
      <c r="BE441">
        <f>IF($E441="","",IF(AND(COUNT($E$442:$E$445)&gt;=4,$C441=MAX($C$437:$C$445)),$C441,""))</f>
        <v>0</v>
      </c>
      <c r="BF441">
        <f>IF($E441="","",IF(AND(COUNT($E$442:$E$445)&gt;=4,$D441=MIN($D$437:$D$445)),$D441,""))</f>
        <v>0</v>
      </c>
      <c r="BG441">
        <f>IF($A441="","",$A441-WEEKDAY($A441,2)+1)</f>
        <v>0</v>
      </c>
      <c r="BH441">
        <f>IF($A441="","",IF($A440="",1,IF(BG441&lt;&gt;BG440,1,0)))</f>
        <v>0</v>
      </c>
      <c r="BI441">
        <f>IF($A441="","",IF($A442="",1,IF(BG442&lt;&gt;BG441,1,0)))</f>
        <v>0</v>
      </c>
      <c r="BJ441">
        <f>IF($A441="","",IF(BH441=1,$B441,BJ440))</f>
        <v>0</v>
      </c>
      <c r="BK441">
        <f>IF($A441="","",IF(BH441=1,$C441,MAX($C441,BK440)))</f>
        <v>0</v>
      </c>
      <c r="BL441">
        <f>IF($A441="","",IF(BH441=1,$D441,MIN($D441,BL440)))</f>
        <v>0</v>
      </c>
      <c r="BM441">
        <f>IF($A441="","",IF(BI441=1,F441,""))</f>
        <v>0</v>
      </c>
      <c r="BN441">
        <f>IF($A441="","",DATE(YEAR($A441),MONTH($A441),1))</f>
        <v>0</v>
      </c>
      <c r="BO441">
        <f>IF($A441="","",IF($A440="",1,IF(BN441&lt;&gt;BN440,1,0)))</f>
        <v>0</v>
      </c>
      <c r="BP441">
        <f>IF($A441="","",IF($A442="",1,IF(BN442&lt;&gt;BN441,1,0)))</f>
        <v>0</v>
      </c>
      <c r="BQ441">
        <f>IF($A441="","",IF(BO441=1,$B441,BQ440))</f>
        <v>0</v>
      </c>
      <c r="BR441">
        <f>IF($A441="","",IF(BO441=1,$C441,MAX($C441,BR440)))</f>
        <v>0</v>
      </c>
      <c r="BS441">
        <f>IF($A441="","",IF(BO441=1,$D441,MIN($D441,BS440)))</f>
        <v>0</v>
      </c>
      <c r="BT441">
        <f>IF($A441="","",IF(BP441=1,F441,""))</f>
        <v>0</v>
      </c>
    </row>
    <row r="442" spans="1:72">
      <c r="A442" s="27">
        <f>IF(Data!$A442="","",Data!$A442)</f>
        <v>0</v>
      </c>
      <c r="B442">
        <f>IF(Data!$B442="","",Data!$B442)</f>
        <v>0</v>
      </c>
      <c r="C442">
        <f>IF(Data!$C442="","",Data!$C442)</f>
        <v>0</v>
      </c>
      <c r="D442">
        <f>IF(Data!$D442="","",Data!$D442)</f>
        <v>0</v>
      </c>
      <c r="E442">
        <f>IF(Data!$E442="","",Data!$E442)</f>
        <v>0</v>
      </c>
      <c r="F442">
        <f>IF($E442="","",N(F441)+1)</f>
        <v>0</v>
      </c>
      <c r="G442">
        <f>IF(OR($E442="",$E441=""),"",LN($E442/$E441))</f>
        <v>0</v>
      </c>
      <c r="H442">
        <f>IF($E442="","",IF($E441="",$E442,$E442*0.0952380952+H441*0.9047619048))</f>
        <v>0</v>
      </c>
      <c r="I442">
        <f>IF($E442="","",IF($E441="",$E442,$E442*0.0392156863+I441*0.9607843137))</f>
        <v>0</v>
      </c>
      <c r="J442">
        <f>IF($E442="","",IF($E441="",$E442,$E442*0.0198019802+J441*0.9801980198))</f>
        <v>0</v>
      </c>
      <c r="K442">
        <f>IF($E442="","",IF($E441="",$E442,$E442*0.0099502488+K441*0.9900497512))</f>
        <v>0</v>
      </c>
      <c r="L442">
        <f>IF(OR($E442="",$E441=""),"",MAX($E442-$E441,0))</f>
        <v>0</v>
      </c>
      <c r="M442">
        <f>IF(OR($E442="",$E441=""),"",MAX($E441-$E442,0))</f>
        <v>0</v>
      </c>
      <c r="N442">
        <f>IF(COUNT($E$2:$E442)&lt;15,"",IF(AVERAGE($M$429:$M$442)=0,100,100-100/(1+AVERAGE($L$429:$L$442)/AVERAGE($M$429:$M$442))))</f>
        <v>0</v>
      </c>
      <c r="O442">
        <f>IF($E442="","",IF($E441="",$E442,$E442*0.1538461538+O441*0.8461538462))</f>
        <v>0</v>
      </c>
      <c r="P442">
        <f>IF($E442="","",IF($E441="",$E442,$E442*0.0740740741+P441*0.9259259259))</f>
        <v>0</v>
      </c>
      <c r="Q442">
        <f>IF(OR(O442="",P442=""),"",O442-P442)</f>
        <v>0</v>
      </c>
      <c r="R442">
        <f>IF(Q442="","",IF(R441="",Q442,Q442*0.2000000000+R441*0.8000000000))</f>
        <v>0</v>
      </c>
      <c r="S442">
        <f>IF(OR(Q442="",R442=""),"",Q442-R442)</f>
        <v>0</v>
      </c>
      <c r="T442">
        <f>IF(COUNT($E$2:$E442)&lt;14,"",MAX($C$429:$C$442))</f>
        <v>0</v>
      </c>
      <c r="U442">
        <f>IF(COUNT($E$2:$E442)&lt;14,"",MIN($D$429:$D$442))</f>
        <v>0</v>
      </c>
      <c r="V442">
        <f>IF(OR(T442="",U442="",T442=U442),"",100*($E442-U442)/(T442-U442))</f>
        <v>0</v>
      </c>
      <c r="W442">
        <f>IF(COUNT($V$440:$V$442)&lt;3,"",AVERAGE($V$440:$V$442))</f>
        <v>0</v>
      </c>
      <c r="X442">
        <f>IF(COUNT($N$429:$N$442)&lt;14,"",MIN($N$429:$N$442))</f>
        <v>0</v>
      </c>
      <c r="Y442">
        <f>IF(COUNT($N$429:$N$442)&lt;14,"",MAX($N$429:$N$442))</f>
        <v>0</v>
      </c>
      <c r="Z442">
        <f>IF(OR(N442="",X442="",Y442="",Y442=X442),"",100*(N442-X442)/(Y442-X442))</f>
        <v>0</v>
      </c>
      <c r="AA442">
        <f>IF(COUNT($Z$440:$Z$442)&lt;3,"",AVERAGE($Z$440:$Z$442))</f>
        <v>0</v>
      </c>
      <c r="AB442">
        <f>IF(COUNT($AA$440:$AA$442)&lt;3,"",AVERAGE($AA$440:$AA$442))</f>
        <v>0</v>
      </c>
      <c r="AC442">
        <f>IF($E442="","",MAX($C442-$D442,ABS($C442-$E441),ABS($D442-$E441)))</f>
        <v>0</v>
      </c>
      <c r="AD442">
        <f>IF(COUNT($E$2:$E442)&lt;15,"",AVERAGE($AC$429:$AC$442))</f>
        <v>0</v>
      </c>
      <c r="AE442">
        <f>IF(OR($E442="",$E441=""),"",IF(AND(($C442-$C441)&gt;($D441-$D442),($C442-$C441)&gt;0),$C442-$C441,0))</f>
        <v>0</v>
      </c>
      <c r="AF442">
        <f>IF(OR($E442="",$E441=""),"",IF(AND(($D441-$D442)&gt;($C442-$C441),($D441-$D442)&gt;0),$D441-$D442,0))</f>
        <v>0</v>
      </c>
      <c r="AG442">
        <f>IF(COUNT($E$2:$E442)&lt;15,"",IF(SUM($AC$429:$AC$442)=0,0,100*SUM($AE$429:$AE$442)/SUM($AC$429:$AC$442)))</f>
        <v>0</v>
      </c>
      <c r="AH442">
        <f>IF(COUNT($E$2:$E442)&lt;15,"",IF(SUM($AC$429:$AC$442)=0,0,100*SUM($AF$429:$AF$442)/SUM($AC$429:$AC$442)))</f>
        <v>0</v>
      </c>
      <c r="AI442">
        <f>IF(OR(AG442="",AH442=""),"",IF((AG442+AH442)=0,0,100*ABS(AG442-AH442)/(AG442+AH442)))</f>
        <v>0</v>
      </c>
      <c r="AJ442">
        <f>IF(COUNT($AI$429:$AI$442)&lt;14,"",AVERAGE($AI$429:$AI$442))</f>
        <v>0</v>
      </c>
      <c r="AK442">
        <f>IF(COUNT($E$2:$E442)&lt;20,"",AVERAGE($E$423:$E$442))</f>
        <v>0</v>
      </c>
      <c r="AL442">
        <f>IF(COUNT($E$2:$E442)&lt;20,"",STDEVP($E$423:$E$442))</f>
        <v>0</v>
      </c>
      <c r="AM442">
        <f>IF(AK442="","",AK442+2*AL442)</f>
        <v>0</v>
      </c>
      <c r="AN442">
        <f>IF(AK442="","",AK442-2*AL442)</f>
        <v>0</v>
      </c>
      <c r="AO442">
        <f>IF(OR(AM442="",AN442="",AM442=AN442),"",($E442-AN442)/(AM442-AN442))</f>
        <v>0</v>
      </c>
      <c r="AP442">
        <f>IF(OR(AM442="",AK442="",AK442=0),"",(AM442-AN442)/AK442)</f>
        <v>0</v>
      </c>
      <c r="AQ442">
        <f>IF(COUNT($E$2:$E442)&lt;20,"",MAX($C$423:$C$442))</f>
        <v>0</v>
      </c>
      <c r="AR442">
        <f>IF(COUNT($E$2:$E442)&lt;20,"",MIN($D$423:$D$442))</f>
        <v>0</v>
      </c>
      <c r="AS442">
        <f>IF(OR(AQ442="",AR442=""),"",(AQ442+AR442)/2)</f>
        <v>0</v>
      </c>
      <c r="AT442">
        <f>IF(COUNT($G$423:$G$442)&lt;20,"",STDEV($G$423:$G$442)*SQRT(252))</f>
        <v>0</v>
      </c>
      <c r="AU442">
        <f>IF(COUNT($E$2:$E442)&lt;9,"",(MAX($C$434:$C$442)+MIN($D$434:$D$442))/2)</f>
        <v>0</v>
      </c>
      <c r="AV442">
        <f>IF(COUNT($E$2:$E442)&lt;26,"",(MAX($C$417:$C$442)+MIN($D$417:$D$442))/2)</f>
        <v>0</v>
      </c>
      <c r="AW442">
        <f>IF(OR(AU442="",AV442=""),"",(AU442+AV442)/2)</f>
        <v>0</v>
      </c>
      <c r="AX442">
        <f>IF(COUNT($E$2:$E442)&lt;52,"",(MAX($C$391:$C$442)+MIN($D$391:$D$442))/2)</f>
        <v>0</v>
      </c>
      <c r="AY442">
        <f>IF(COUNT($E$2:$E442)&lt;20,"",MAX($C$343:$C$442))</f>
        <v>0</v>
      </c>
      <c r="AZ442">
        <f>IF(COUNT($E$2:$E442)&lt;20,"",MIN($D$343:$D$442))</f>
        <v>0</v>
      </c>
      <c r="BA442">
        <f>IF(COUNT($E$2:$E442)&lt;20,"",SLOPE($E$343:$E$442,$F$343:$F$442))</f>
        <v>0</v>
      </c>
      <c r="BB442">
        <f>IF(COUNT($E$2:$E442)&lt;20,"",INTERCEPT($E$343:$E$442,$F$343:$F$442))</f>
        <v>0</v>
      </c>
      <c r="BC442">
        <f>IF(OR(BA442="",BB442=""),"",BB442+BA442*F442)</f>
        <v>0</v>
      </c>
      <c r="BD442">
        <f>IF(COUNT($E$2:$E442)&lt;20,"",STEYX($E$343:$E$442,$F$343:$F$442))</f>
        <v>0</v>
      </c>
      <c r="BE442">
        <f>IF($E442="","",IF(AND(COUNT($E$443:$E$446)&gt;=4,$C442=MAX($C$438:$C$446)),$C442,""))</f>
        <v>0</v>
      </c>
      <c r="BF442">
        <f>IF($E442="","",IF(AND(COUNT($E$443:$E$446)&gt;=4,$D442=MIN($D$438:$D$446)),$D442,""))</f>
        <v>0</v>
      </c>
      <c r="BG442">
        <f>IF($A442="","",$A442-WEEKDAY($A442,2)+1)</f>
        <v>0</v>
      </c>
      <c r="BH442">
        <f>IF($A442="","",IF($A441="",1,IF(BG442&lt;&gt;BG441,1,0)))</f>
        <v>0</v>
      </c>
      <c r="BI442">
        <f>IF($A442="","",IF($A443="",1,IF(BG443&lt;&gt;BG442,1,0)))</f>
        <v>0</v>
      </c>
      <c r="BJ442">
        <f>IF($A442="","",IF(BH442=1,$B442,BJ441))</f>
        <v>0</v>
      </c>
      <c r="BK442">
        <f>IF($A442="","",IF(BH442=1,$C442,MAX($C442,BK441)))</f>
        <v>0</v>
      </c>
      <c r="BL442">
        <f>IF($A442="","",IF(BH442=1,$D442,MIN($D442,BL441)))</f>
        <v>0</v>
      </c>
      <c r="BM442">
        <f>IF($A442="","",IF(BI442=1,F442,""))</f>
        <v>0</v>
      </c>
      <c r="BN442">
        <f>IF($A442="","",DATE(YEAR($A442),MONTH($A442),1))</f>
        <v>0</v>
      </c>
      <c r="BO442">
        <f>IF($A442="","",IF($A441="",1,IF(BN442&lt;&gt;BN441,1,0)))</f>
        <v>0</v>
      </c>
      <c r="BP442">
        <f>IF($A442="","",IF($A443="",1,IF(BN443&lt;&gt;BN442,1,0)))</f>
        <v>0</v>
      </c>
      <c r="BQ442">
        <f>IF($A442="","",IF(BO442=1,$B442,BQ441))</f>
        <v>0</v>
      </c>
      <c r="BR442">
        <f>IF($A442="","",IF(BO442=1,$C442,MAX($C442,BR441)))</f>
        <v>0</v>
      </c>
      <c r="BS442">
        <f>IF($A442="","",IF(BO442=1,$D442,MIN($D442,BS441)))</f>
        <v>0</v>
      </c>
      <c r="BT442">
        <f>IF($A442="","",IF(BP442=1,F442,""))</f>
        <v>0</v>
      </c>
    </row>
    <row r="443" spans="1:72">
      <c r="A443" s="27">
        <f>IF(Data!$A443="","",Data!$A443)</f>
        <v>0</v>
      </c>
      <c r="B443">
        <f>IF(Data!$B443="","",Data!$B443)</f>
        <v>0</v>
      </c>
      <c r="C443">
        <f>IF(Data!$C443="","",Data!$C443)</f>
        <v>0</v>
      </c>
      <c r="D443">
        <f>IF(Data!$D443="","",Data!$D443)</f>
        <v>0</v>
      </c>
      <c r="E443">
        <f>IF(Data!$E443="","",Data!$E443)</f>
        <v>0</v>
      </c>
      <c r="F443">
        <f>IF($E443="","",N(F442)+1)</f>
        <v>0</v>
      </c>
      <c r="G443">
        <f>IF(OR($E443="",$E442=""),"",LN($E443/$E442))</f>
        <v>0</v>
      </c>
      <c r="H443">
        <f>IF($E443="","",IF($E442="",$E443,$E443*0.0952380952+H442*0.9047619048))</f>
        <v>0</v>
      </c>
      <c r="I443">
        <f>IF($E443="","",IF($E442="",$E443,$E443*0.0392156863+I442*0.9607843137))</f>
        <v>0</v>
      </c>
      <c r="J443">
        <f>IF($E443="","",IF($E442="",$E443,$E443*0.0198019802+J442*0.9801980198))</f>
        <v>0</v>
      </c>
      <c r="K443">
        <f>IF($E443="","",IF($E442="",$E443,$E443*0.0099502488+K442*0.9900497512))</f>
        <v>0</v>
      </c>
      <c r="L443">
        <f>IF(OR($E443="",$E442=""),"",MAX($E443-$E442,0))</f>
        <v>0</v>
      </c>
      <c r="M443">
        <f>IF(OR($E443="",$E442=""),"",MAX($E442-$E443,0))</f>
        <v>0</v>
      </c>
      <c r="N443">
        <f>IF(COUNT($E$2:$E443)&lt;15,"",IF(AVERAGE($M$430:$M$443)=0,100,100-100/(1+AVERAGE($L$430:$L$443)/AVERAGE($M$430:$M$443))))</f>
        <v>0</v>
      </c>
      <c r="O443">
        <f>IF($E443="","",IF($E442="",$E443,$E443*0.1538461538+O442*0.8461538462))</f>
        <v>0</v>
      </c>
      <c r="P443">
        <f>IF($E443="","",IF($E442="",$E443,$E443*0.0740740741+P442*0.9259259259))</f>
        <v>0</v>
      </c>
      <c r="Q443">
        <f>IF(OR(O443="",P443=""),"",O443-P443)</f>
        <v>0</v>
      </c>
      <c r="R443">
        <f>IF(Q443="","",IF(R442="",Q443,Q443*0.2000000000+R442*0.8000000000))</f>
        <v>0</v>
      </c>
      <c r="S443">
        <f>IF(OR(Q443="",R443=""),"",Q443-R443)</f>
        <v>0</v>
      </c>
      <c r="T443">
        <f>IF(COUNT($E$2:$E443)&lt;14,"",MAX($C$430:$C$443))</f>
        <v>0</v>
      </c>
      <c r="U443">
        <f>IF(COUNT($E$2:$E443)&lt;14,"",MIN($D$430:$D$443))</f>
        <v>0</v>
      </c>
      <c r="V443">
        <f>IF(OR(T443="",U443="",T443=U443),"",100*($E443-U443)/(T443-U443))</f>
        <v>0</v>
      </c>
      <c r="W443">
        <f>IF(COUNT($V$441:$V$443)&lt;3,"",AVERAGE($V$441:$V$443))</f>
        <v>0</v>
      </c>
      <c r="X443">
        <f>IF(COUNT($N$430:$N$443)&lt;14,"",MIN($N$430:$N$443))</f>
        <v>0</v>
      </c>
      <c r="Y443">
        <f>IF(COUNT($N$430:$N$443)&lt;14,"",MAX($N$430:$N$443))</f>
        <v>0</v>
      </c>
      <c r="Z443">
        <f>IF(OR(N443="",X443="",Y443="",Y443=X443),"",100*(N443-X443)/(Y443-X443))</f>
        <v>0</v>
      </c>
      <c r="AA443">
        <f>IF(COUNT($Z$441:$Z$443)&lt;3,"",AVERAGE($Z$441:$Z$443))</f>
        <v>0</v>
      </c>
      <c r="AB443">
        <f>IF(COUNT($AA$441:$AA$443)&lt;3,"",AVERAGE($AA$441:$AA$443))</f>
        <v>0</v>
      </c>
      <c r="AC443">
        <f>IF($E443="","",MAX($C443-$D443,ABS($C443-$E442),ABS($D443-$E442)))</f>
        <v>0</v>
      </c>
      <c r="AD443">
        <f>IF(COUNT($E$2:$E443)&lt;15,"",AVERAGE($AC$430:$AC$443))</f>
        <v>0</v>
      </c>
      <c r="AE443">
        <f>IF(OR($E443="",$E442=""),"",IF(AND(($C443-$C442)&gt;($D442-$D443),($C443-$C442)&gt;0),$C443-$C442,0))</f>
        <v>0</v>
      </c>
      <c r="AF443">
        <f>IF(OR($E443="",$E442=""),"",IF(AND(($D442-$D443)&gt;($C443-$C442),($D442-$D443)&gt;0),$D442-$D443,0))</f>
        <v>0</v>
      </c>
      <c r="AG443">
        <f>IF(COUNT($E$2:$E443)&lt;15,"",IF(SUM($AC$430:$AC$443)=0,0,100*SUM($AE$430:$AE$443)/SUM($AC$430:$AC$443)))</f>
        <v>0</v>
      </c>
      <c r="AH443">
        <f>IF(COUNT($E$2:$E443)&lt;15,"",IF(SUM($AC$430:$AC$443)=0,0,100*SUM($AF$430:$AF$443)/SUM($AC$430:$AC$443)))</f>
        <v>0</v>
      </c>
      <c r="AI443">
        <f>IF(OR(AG443="",AH443=""),"",IF((AG443+AH443)=0,0,100*ABS(AG443-AH443)/(AG443+AH443)))</f>
        <v>0</v>
      </c>
      <c r="AJ443">
        <f>IF(COUNT($AI$430:$AI$443)&lt;14,"",AVERAGE($AI$430:$AI$443))</f>
        <v>0</v>
      </c>
      <c r="AK443">
        <f>IF(COUNT($E$2:$E443)&lt;20,"",AVERAGE($E$424:$E$443))</f>
        <v>0</v>
      </c>
      <c r="AL443">
        <f>IF(COUNT($E$2:$E443)&lt;20,"",STDEVP($E$424:$E$443))</f>
        <v>0</v>
      </c>
      <c r="AM443">
        <f>IF(AK443="","",AK443+2*AL443)</f>
        <v>0</v>
      </c>
      <c r="AN443">
        <f>IF(AK443="","",AK443-2*AL443)</f>
        <v>0</v>
      </c>
      <c r="AO443">
        <f>IF(OR(AM443="",AN443="",AM443=AN443),"",($E443-AN443)/(AM443-AN443))</f>
        <v>0</v>
      </c>
      <c r="AP443">
        <f>IF(OR(AM443="",AK443="",AK443=0),"",(AM443-AN443)/AK443)</f>
        <v>0</v>
      </c>
      <c r="AQ443">
        <f>IF(COUNT($E$2:$E443)&lt;20,"",MAX($C$424:$C$443))</f>
        <v>0</v>
      </c>
      <c r="AR443">
        <f>IF(COUNT($E$2:$E443)&lt;20,"",MIN($D$424:$D$443))</f>
        <v>0</v>
      </c>
      <c r="AS443">
        <f>IF(OR(AQ443="",AR443=""),"",(AQ443+AR443)/2)</f>
        <v>0</v>
      </c>
      <c r="AT443">
        <f>IF(COUNT($G$424:$G$443)&lt;20,"",STDEV($G$424:$G$443)*SQRT(252))</f>
        <v>0</v>
      </c>
      <c r="AU443">
        <f>IF(COUNT($E$2:$E443)&lt;9,"",(MAX($C$435:$C$443)+MIN($D$435:$D$443))/2)</f>
        <v>0</v>
      </c>
      <c r="AV443">
        <f>IF(COUNT($E$2:$E443)&lt;26,"",(MAX($C$418:$C$443)+MIN($D$418:$D$443))/2)</f>
        <v>0</v>
      </c>
      <c r="AW443">
        <f>IF(OR(AU443="",AV443=""),"",(AU443+AV443)/2)</f>
        <v>0</v>
      </c>
      <c r="AX443">
        <f>IF(COUNT($E$2:$E443)&lt;52,"",(MAX($C$392:$C$443)+MIN($D$392:$D$443))/2)</f>
        <v>0</v>
      </c>
      <c r="AY443">
        <f>IF(COUNT($E$2:$E443)&lt;20,"",MAX($C$344:$C$443))</f>
        <v>0</v>
      </c>
      <c r="AZ443">
        <f>IF(COUNT($E$2:$E443)&lt;20,"",MIN($D$344:$D$443))</f>
        <v>0</v>
      </c>
      <c r="BA443">
        <f>IF(COUNT($E$2:$E443)&lt;20,"",SLOPE($E$344:$E$443,$F$344:$F$443))</f>
        <v>0</v>
      </c>
      <c r="BB443">
        <f>IF(COUNT($E$2:$E443)&lt;20,"",INTERCEPT($E$344:$E$443,$F$344:$F$443))</f>
        <v>0</v>
      </c>
      <c r="BC443">
        <f>IF(OR(BA443="",BB443=""),"",BB443+BA443*F443)</f>
        <v>0</v>
      </c>
      <c r="BD443">
        <f>IF(COUNT($E$2:$E443)&lt;20,"",STEYX($E$344:$E$443,$F$344:$F$443))</f>
        <v>0</v>
      </c>
      <c r="BE443">
        <f>IF($E443="","",IF(AND(COUNT($E$444:$E$447)&gt;=4,$C443=MAX($C$439:$C$447)),$C443,""))</f>
        <v>0</v>
      </c>
      <c r="BF443">
        <f>IF($E443="","",IF(AND(COUNT($E$444:$E$447)&gt;=4,$D443=MIN($D$439:$D$447)),$D443,""))</f>
        <v>0</v>
      </c>
      <c r="BG443">
        <f>IF($A443="","",$A443-WEEKDAY($A443,2)+1)</f>
        <v>0</v>
      </c>
      <c r="BH443">
        <f>IF($A443="","",IF($A442="",1,IF(BG443&lt;&gt;BG442,1,0)))</f>
        <v>0</v>
      </c>
      <c r="BI443">
        <f>IF($A443="","",IF($A444="",1,IF(BG444&lt;&gt;BG443,1,0)))</f>
        <v>0</v>
      </c>
      <c r="BJ443">
        <f>IF($A443="","",IF(BH443=1,$B443,BJ442))</f>
        <v>0</v>
      </c>
      <c r="BK443">
        <f>IF($A443="","",IF(BH443=1,$C443,MAX($C443,BK442)))</f>
        <v>0</v>
      </c>
      <c r="BL443">
        <f>IF($A443="","",IF(BH443=1,$D443,MIN($D443,BL442)))</f>
        <v>0</v>
      </c>
      <c r="BM443">
        <f>IF($A443="","",IF(BI443=1,F443,""))</f>
        <v>0</v>
      </c>
      <c r="BN443">
        <f>IF($A443="","",DATE(YEAR($A443),MONTH($A443),1))</f>
        <v>0</v>
      </c>
      <c r="BO443">
        <f>IF($A443="","",IF($A442="",1,IF(BN443&lt;&gt;BN442,1,0)))</f>
        <v>0</v>
      </c>
      <c r="BP443">
        <f>IF($A443="","",IF($A444="",1,IF(BN444&lt;&gt;BN443,1,0)))</f>
        <v>0</v>
      </c>
      <c r="BQ443">
        <f>IF($A443="","",IF(BO443=1,$B443,BQ442))</f>
        <v>0</v>
      </c>
      <c r="BR443">
        <f>IF($A443="","",IF(BO443=1,$C443,MAX($C443,BR442)))</f>
        <v>0</v>
      </c>
      <c r="BS443">
        <f>IF($A443="","",IF(BO443=1,$D443,MIN($D443,BS442)))</f>
        <v>0</v>
      </c>
      <c r="BT443">
        <f>IF($A443="","",IF(BP443=1,F443,""))</f>
        <v>0</v>
      </c>
    </row>
    <row r="444" spans="1:72">
      <c r="A444" s="27">
        <f>IF(Data!$A444="","",Data!$A444)</f>
        <v>0</v>
      </c>
      <c r="B444">
        <f>IF(Data!$B444="","",Data!$B444)</f>
        <v>0</v>
      </c>
      <c r="C444">
        <f>IF(Data!$C444="","",Data!$C444)</f>
        <v>0</v>
      </c>
      <c r="D444">
        <f>IF(Data!$D444="","",Data!$D444)</f>
        <v>0</v>
      </c>
      <c r="E444">
        <f>IF(Data!$E444="","",Data!$E444)</f>
        <v>0</v>
      </c>
      <c r="F444">
        <f>IF($E444="","",N(F443)+1)</f>
        <v>0</v>
      </c>
      <c r="G444">
        <f>IF(OR($E444="",$E443=""),"",LN($E444/$E443))</f>
        <v>0</v>
      </c>
      <c r="H444">
        <f>IF($E444="","",IF($E443="",$E444,$E444*0.0952380952+H443*0.9047619048))</f>
        <v>0</v>
      </c>
      <c r="I444">
        <f>IF($E444="","",IF($E443="",$E444,$E444*0.0392156863+I443*0.9607843137))</f>
        <v>0</v>
      </c>
      <c r="J444">
        <f>IF($E444="","",IF($E443="",$E444,$E444*0.0198019802+J443*0.9801980198))</f>
        <v>0</v>
      </c>
      <c r="K444">
        <f>IF($E444="","",IF($E443="",$E444,$E444*0.0099502488+K443*0.9900497512))</f>
        <v>0</v>
      </c>
      <c r="L444">
        <f>IF(OR($E444="",$E443=""),"",MAX($E444-$E443,0))</f>
        <v>0</v>
      </c>
      <c r="M444">
        <f>IF(OR($E444="",$E443=""),"",MAX($E443-$E444,0))</f>
        <v>0</v>
      </c>
      <c r="N444">
        <f>IF(COUNT($E$2:$E444)&lt;15,"",IF(AVERAGE($M$431:$M$444)=0,100,100-100/(1+AVERAGE($L$431:$L$444)/AVERAGE($M$431:$M$444))))</f>
        <v>0</v>
      </c>
      <c r="O444">
        <f>IF($E444="","",IF($E443="",$E444,$E444*0.1538461538+O443*0.8461538462))</f>
        <v>0</v>
      </c>
      <c r="P444">
        <f>IF($E444="","",IF($E443="",$E444,$E444*0.0740740741+P443*0.9259259259))</f>
        <v>0</v>
      </c>
      <c r="Q444">
        <f>IF(OR(O444="",P444=""),"",O444-P444)</f>
        <v>0</v>
      </c>
      <c r="R444">
        <f>IF(Q444="","",IF(R443="",Q444,Q444*0.2000000000+R443*0.8000000000))</f>
        <v>0</v>
      </c>
      <c r="S444">
        <f>IF(OR(Q444="",R444=""),"",Q444-R444)</f>
        <v>0</v>
      </c>
      <c r="T444">
        <f>IF(COUNT($E$2:$E444)&lt;14,"",MAX($C$431:$C$444))</f>
        <v>0</v>
      </c>
      <c r="U444">
        <f>IF(COUNT($E$2:$E444)&lt;14,"",MIN($D$431:$D$444))</f>
        <v>0</v>
      </c>
      <c r="V444">
        <f>IF(OR(T444="",U444="",T444=U444),"",100*($E444-U444)/(T444-U444))</f>
        <v>0</v>
      </c>
      <c r="W444">
        <f>IF(COUNT($V$442:$V$444)&lt;3,"",AVERAGE($V$442:$V$444))</f>
        <v>0</v>
      </c>
      <c r="X444">
        <f>IF(COUNT($N$431:$N$444)&lt;14,"",MIN($N$431:$N$444))</f>
        <v>0</v>
      </c>
      <c r="Y444">
        <f>IF(COUNT($N$431:$N$444)&lt;14,"",MAX($N$431:$N$444))</f>
        <v>0</v>
      </c>
      <c r="Z444">
        <f>IF(OR(N444="",X444="",Y444="",Y444=X444),"",100*(N444-X444)/(Y444-X444))</f>
        <v>0</v>
      </c>
      <c r="AA444">
        <f>IF(COUNT($Z$442:$Z$444)&lt;3,"",AVERAGE($Z$442:$Z$444))</f>
        <v>0</v>
      </c>
      <c r="AB444">
        <f>IF(COUNT($AA$442:$AA$444)&lt;3,"",AVERAGE($AA$442:$AA$444))</f>
        <v>0</v>
      </c>
      <c r="AC444">
        <f>IF($E444="","",MAX($C444-$D444,ABS($C444-$E443),ABS($D444-$E443)))</f>
        <v>0</v>
      </c>
      <c r="AD444">
        <f>IF(COUNT($E$2:$E444)&lt;15,"",AVERAGE($AC$431:$AC$444))</f>
        <v>0</v>
      </c>
      <c r="AE444">
        <f>IF(OR($E444="",$E443=""),"",IF(AND(($C444-$C443)&gt;($D443-$D444),($C444-$C443)&gt;0),$C444-$C443,0))</f>
        <v>0</v>
      </c>
      <c r="AF444">
        <f>IF(OR($E444="",$E443=""),"",IF(AND(($D443-$D444)&gt;($C444-$C443),($D443-$D444)&gt;0),$D443-$D444,0))</f>
        <v>0</v>
      </c>
      <c r="AG444">
        <f>IF(COUNT($E$2:$E444)&lt;15,"",IF(SUM($AC$431:$AC$444)=0,0,100*SUM($AE$431:$AE$444)/SUM($AC$431:$AC$444)))</f>
        <v>0</v>
      </c>
      <c r="AH444">
        <f>IF(COUNT($E$2:$E444)&lt;15,"",IF(SUM($AC$431:$AC$444)=0,0,100*SUM($AF$431:$AF$444)/SUM($AC$431:$AC$444)))</f>
        <v>0</v>
      </c>
      <c r="AI444">
        <f>IF(OR(AG444="",AH444=""),"",IF((AG444+AH444)=0,0,100*ABS(AG444-AH444)/(AG444+AH444)))</f>
        <v>0</v>
      </c>
      <c r="AJ444">
        <f>IF(COUNT($AI$431:$AI$444)&lt;14,"",AVERAGE($AI$431:$AI$444))</f>
        <v>0</v>
      </c>
      <c r="AK444">
        <f>IF(COUNT($E$2:$E444)&lt;20,"",AVERAGE($E$425:$E$444))</f>
        <v>0</v>
      </c>
      <c r="AL444">
        <f>IF(COUNT($E$2:$E444)&lt;20,"",STDEVP($E$425:$E$444))</f>
        <v>0</v>
      </c>
      <c r="AM444">
        <f>IF(AK444="","",AK444+2*AL444)</f>
        <v>0</v>
      </c>
      <c r="AN444">
        <f>IF(AK444="","",AK444-2*AL444)</f>
        <v>0</v>
      </c>
      <c r="AO444">
        <f>IF(OR(AM444="",AN444="",AM444=AN444),"",($E444-AN444)/(AM444-AN444))</f>
        <v>0</v>
      </c>
      <c r="AP444">
        <f>IF(OR(AM444="",AK444="",AK444=0),"",(AM444-AN444)/AK444)</f>
        <v>0</v>
      </c>
      <c r="AQ444">
        <f>IF(COUNT($E$2:$E444)&lt;20,"",MAX($C$425:$C$444))</f>
        <v>0</v>
      </c>
      <c r="AR444">
        <f>IF(COUNT($E$2:$E444)&lt;20,"",MIN($D$425:$D$444))</f>
        <v>0</v>
      </c>
      <c r="AS444">
        <f>IF(OR(AQ444="",AR444=""),"",(AQ444+AR444)/2)</f>
        <v>0</v>
      </c>
      <c r="AT444">
        <f>IF(COUNT($G$425:$G$444)&lt;20,"",STDEV($G$425:$G$444)*SQRT(252))</f>
        <v>0</v>
      </c>
      <c r="AU444">
        <f>IF(COUNT($E$2:$E444)&lt;9,"",(MAX($C$436:$C$444)+MIN($D$436:$D$444))/2)</f>
        <v>0</v>
      </c>
      <c r="AV444">
        <f>IF(COUNT($E$2:$E444)&lt;26,"",(MAX($C$419:$C$444)+MIN($D$419:$D$444))/2)</f>
        <v>0</v>
      </c>
      <c r="AW444">
        <f>IF(OR(AU444="",AV444=""),"",(AU444+AV444)/2)</f>
        <v>0</v>
      </c>
      <c r="AX444">
        <f>IF(COUNT($E$2:$E444)&lt;52,"",(MAX($C$393:$C$444)+MIN($D$393:$D$444))/2)</f>
        <v>0</v>
      </c>
      <c r="AY444">
        <f>IF(COUNT($E$2:$E444)&lt;20,"",MAX($C$345:$C$444))</f>
        <v>0</v>
      </c>
      <c r="AZ444">
        <f>IF(COUNT($E$2:$E444)&lt;20,"",MIN($D$345:$D$444))</f>
        <v>0</v>
      </c>
      <c r="BA444">
        <f>IF(COUNT($E$2:$E444)&lt;20,"",SLOPE($E$345:$E$444,$F$345:$F$444))</f>
        <v>0</v>
      </c>
      <c r="BB444">
        <f>IF(COUNT($E$2:$E444)&lt;20,"",INTERCEPT($E$345:$E$444,$F$345:$F$444))</f>
        <v>0</v>
      </c>
      <c r="BC444">
        <f>IF(OR(BA444="",BB444=""),"",BB444+BA444*F444)</f>
        <v>0</v>
      </c>
      <c r="BD444">
        <f>IF(COUNT($E$2:$E444)&lt;20,"",STEYX($E$345:$E$444,$F$345:$F$444))</f>
        <v>0</v>
      </c>
      <c r="BE444">
        <f>IF($E444="","",IF(AND(COUNT($E$445:$E$448)&gt;=4,$C444=MAX($C$440:$C$448)),$C444,""))</f>
        <v>0</v>
      </c>
      <c r="BF444">
        <f>IF($E444="","",IF(AND(COUNT($E$445:$E$448)&gt;=4,$D444=MIN($D$440:$D$448)),$D444,""))</f>
        <v>0</v>
      </c>
      <c r="BG444">
        <f>IF($A444="","",$A444-WEEKDAY($A444,2)+1)</f>
        <v>0</v>
      </c>
      <c r="BH444">
        <f>IF($A444="","",IF($A443="",1,IF(BG444&lt;&gt;BG443,1,0)))</f>
        <v>0</v>
      </c>
      <c r="BI444">
        <f>IF($A444="","",IF($A445="",1,IF(BG445&lt;&gt;BG444,1,0)))</f>
        <v>0</v>
      </c>
      <c r="BJ444">
        <f>IF($A444="","",IF(BH444=1,$B444,BJ443))</f>
        <v>0</v>
      </c>
      <c r="BK444">
        <f>IF($A444="","",IF(BH444=1,$C444,MAX($C444,BK443)))</f>
        <v>0</v>
      </c>
      <c r="BL444">
        <f>IF($A444="","",IF(BH444=1,$D444,MIN($D444,BL443)))</f>
        <v>0</v>
      </c>
      <c r="BM444">
        <f>IF($A444="","",IF(BI444=1,F444,""))</f>
        <v>0</v>
      </c>
      <c r="BN444">
        <f>IF($A444="","",DATE(YEAR($A444),MONTH($A444),1))</f>
        <v>0</v>
      </c>
      <c r="BO444">
        <f>IF($A444="","",IF($A443="",1,IF(BN444&lt;&gt;BN443,1,0)))</f>
        <v>0</v>
      </c>
      <c r="BP444">
        <f>IF($A444="","",IF($A445="",1,IF(BN445&lt;&gt;BN444,1,0)))</f>
        <v>0</v>
      </c>
      <c r="BQ444">
        <f>IF($A444="","",IF(BO444=1,$B444,BQ443))</f>
        <v>0</v>
      </c>
      <c r="BR444">
        <f>IF($A444="","",IF(BO444=1,$C444,MAX($C444,BR443)))</f>
        <v>0</v>
      </c>
      <c r="BS444">
        <f>IF($A444="","",IF(BO444=1,$D444,MIN($D444,BS443)))</f>
        <v>0</v>
      </c>
      <c r="BT444">
        <f>IF($A444="","",IF(BP444=1,F444,""))</f>
        <v>0</v>
      </c>
    </row>
    <row r="445" spans="1:72">
      <c r="A445" s="27">
        <f>IF(Data!$A445="","",Data!$A445)</f>
        <v>0</v>
      </c>
      <c r="B445">
        <f>IF(Data!$B445="","",Data!$B445)</f>
        <v>0</v>
      </c>
      <c r="C445">
        <f>IF(Data!$C445="","",Data!$C445)</f>
        <v>0</v>
      </c>
      <c r="D445">
        <f>IF(Data!$D445="","",Data!$D445)</f>
        <v>0</v>
      </c>
      <c r="E445">
        <f>IF(Data!$E445="","",Data!$E445)</f>
        <v>0</v>
      </c>
      <c r="F445">
        <f>IF($E445="","",N(F444)+1)</f>
        <v>0</v>
      </c>
      <c r="G445">
        <f>IF(OR($E445="",$E444=""),"",LN($E445/$E444))</f>
        <v>0</v>
      </c>
      <c r="H445">
        <f>IF($E445="","",IF($E444="",$E445,$E445*0.0952380952+H444*0.9047619048))</f>
        <v>0</v>
      </c>
      <c r="I445">
        <f>IF($E445="","",IF($E444="",$E445,$E445*0.0392156863+I444*0.9607843137))</f>
        <v>0</v>
      </c>
      <c r="J445">
        <f>IF($E445="","",IF($E444="",$E445,$E445*0.0198019802+J444*0.9801980198))</f>
        <v>0</v>
      </c>
      <c r="K445">
        <f>IF($E445="","",IF($E444="",$E445,$E445*0.0099502488+K444*0.9900497512))</f>
        <v>0</v>
      </c>
      <c r="L445">
        <f>IF(OR($E445="",$E444=""),"",MAX($E445-$E444,0))</f>
        <v>0</v>
      </c>
      <c r="M445">
        <f>IF(OR($E445="",$E444=""),"",MAX($E444-$E445,0))</f>
        <v>0</v>
      </c>
      <c r="N445">
        <f>IF(COUNT($E$2:$E445)&lt;15,"",IF(AVERAGE($M$432:$M$445)=0,100,100-100/(1+AVERAGE($L$432:$L$445)/AVERAGE($M$432:$M$445))))</f>
        <v>0</v>
      </c>
      <c r="O445">
        <f>IF($E445="","",IF($E444="",$E445,$E445*0.1538461538+O444*0.8461538462))</f>
        <v>0</v>
      </c>
      <c r="P445">
        <f>IF($E445="","",IF($E444="",$E445,$E445*0.0740740741+P444*0.9259259259))</f>
        <v>0</v>
      </c>
      <c r="Q445">
        <f>IF(OR(O445="",P445=""),"",O445-P445)</f>
        <v>0</v>
      </c>
      <c r="R445">
        <f>IF(Q445="","",IF(R444="",Q445,Q445*0.2000000000+R444*0.8000000000))</f>
        <v>0</v>
      </c>
      <c r="S445">
        <f>IF(OR(Q445="",R445=""),"",Q445-R445)</f>
        <v>0</v>
      </c>
      <c r="T445">
        <f>IF(COUNT($E$2:$E445)&lt;14,"",MAX($C$432:$C$445))</f>
        <v>0</v>
      </c>
      <c r="U445">
        <f>IF(COUNT($E$2:$E445)&lt;14,"",MIN($D$432:$D$445))</f>
        <v>0</v>
      </c>
      <c r="V445">
        <f>IF(OR(T445="",U445="",T445=U445),"",100*($E445-U445)/(T445-U445))</f>
        <v>0</v>
      </c>
      <c r="W445">
        <f>IF(COUNT($V$443:$V$445)&lt;3,"",AVERAGE($V$443:$V$445))</f>
        <v>0</v>
      </c>
      <c r="X445">
        <f>IF(COUNT($N$432:$N$445)&lt;14,"",MIN($N$432:$N$445))</f>
        <v>0</v>
      </c>
      <c r="Y445">
        <f>IF(COUNT($N$432:$N$445)&lt;14,"",MAX($N$432:$N$445))</f>
        <v>0</v>
      </c>
      <c r="Z445">
        <f>IF(OR(N445="",X445="",Y445="",Y445=X445),"",100*(N445-X445)/(Y445-X445))</f>
        <v>0</v>
      </c>
      <c r="AA445">
        <f>IF(COUNT($Z$443:$Z$445)&lt;3,"",AVERAGE($Z$443:$Z$445))</f>
        <v>0</v>
      </c>
      <c r="AB445">
        <f>IF(COUNT($AA$443:$AA$445)&lt;3,"",AVERAGE($AA$443:$AA$445))</f>
        <v>0</v>
      </c>
      <c r="AC445">
        <f>IF($E445="","",MAX($C445-$D445,ABS($C445-$E444),ABS($D445-$E444)))</f>
        <v>0</v>
      </c>
      <c r="AD445">
        <f>IF(COUNT($E$2:$E445)&lt;15,"",AVERAGE($AC$432:$AC$445))</f>
        <v>0</v>
      </c>
      <c r="AE445">
        <f>IF(OR($E445="",$E444=""),"",IF(AND(($C445-$C444)&gt;($D444-$D445),($C445-$C444)&gt;0),$C445-$C444,0))</f>
        <v>0</v>
      </c>
      <c r="AF445">
        <f>IF(OR($E445="",$E444=""),"",IF(AND(($D444-$D445)&gt;($C445-$C444),($D444-$D445)&gt;0),$D444-$D445,0))</f>
        <v>0</v>
      </c>
      <c r="AG445">
        <f>IF(COUNT($E$2:$E445)&lt;15,"",IF(SUM($AC$432:$AC$445)=0,0,100*SUM($AE$432:$AE$445)/SUM($AC$432:$AC$445)))</f>
        <v>0</v>
      </c>
      <c r="AH445">
        <f>IF(COUNT($E$2:$E445)&lt;15,"",IF(SUM($AC$432:$AC$445)=0,0,100*SUM($AF$432:$AF$445)/SUM($AC$432:$AC$445)))</f>
        <v>0</v>
      </c>
      <c r="AI445">
        <f>IF(OR(AG445="",AH445=""),"",IF((AG445+AH445)=0,0,100*ABS(AG445-AH445)/(AG445+AH445)))</f>
        <v>0</v>
      </c>
      <c r="AJ445">
        <f>IF(COUNT($AI$432:$AI$445)&lt;14,"",AVERAGE($AI$432:$AI$445))</f>
        <v>0</v>
      </c>
      <c r="AK445">
        <f>IF(COUNT($E$2:$E445)&lt;20,"",AVERAGE($E$426:$E$445))</f>
        <v>0</v>
      </c>
      <c r="AL445">
        <f>IF(COUNT($E$2:$E445)&lt;20,"",STDEVP($E$426:$E$445))</f>
        <v>0</v>
      </c>
      <c r="AM445">
        <f>IF(AK445="","",AK445+2*AL445)</f>
        <v>0</v>
      </c>
      <c r="AN445">
        <f>IF(AK445="","",AK445-2*AL445)</f>
        <v>0</v>
      </c>
      <c r="AO445">
        <f>IF(OR(AM445="",AN445="",AM445=AN445),"",($E445-AN445)/(AM445-AN445))</f>
        <v>0</v>
      </c>
      <c r="AP445">
        <f>IF(OR(AM445="",AK445="",AK445=0),"",(AM445-AN445)/AK445)</f>
        <v>0</v>
      </c>
      <c r="AQ445">
        <f>IF(COUNT($E$2:$E445)&lt;20,"",MAX($C$426:$C$445))</f>
        <v>0</v>
      </c>
      <c r="AR445">
        <f>IF(COUNT($E$2:$E445)&lt;20,"",MIN($D$426:$D$445))</f>
        <v>0</v>
      </c>
      <c r="AS445">
        <f>IF(OR(AQ445="",AR445=""),"",(AQ445+AR445)/2)</f>
        <v>0</v>
      </c>
      <c r="AT445">
        <f>IF(COUNT($G$426:$G$445)&lt;20,"",STDEV($G$426:$G$445)*SQRT(252))</f>
        <v>0</v>
      </c>
      <c r="AU445">
        <f>IF(COUNT($E$2:$E445)&lt;9,"",(MAX($C$437:$C$445)+MIN($D$437:$D$445))/2)</f>
        <v>0</v>
      </c>
      <c r="AV445">
        <f>IF(COUNT($E$2:$E445)&lt;26,"",(MAX($C$420:$C$445)+MIN($D$420:$D$445))/2)</f>
        <v>0</v>
      </c>
      <c r="AW445">
        <f>IF(OR(AU445="",AV445=""),"",(AU445+AV445)/2)</f>
        <v>0</v>
      </c>
      <c r="AX445">
        <f>IF(COUNT($E$2:$E445)&lt;52,"",(MAX($C$394:$C$445)+MIN($D$394:$D$445))/2)</f>
        <v>0</v>
      </c>
      <c r="AY445">
        <f>IF(COUNT($E$2:$E445)&lt;20,"",MAX($C$346:$C$445))</f>
        <v>0</v>
      </c>
      <c r="AZ445">
        <f>IF(COUNT($E$2:$E445)&lt;20,"",MIN($D$346:$D$445))</f>
        <v>0</v>
      </c>
      <c r="BA445">
        <f>IF(COUNT($E$2:$E445)&lt;20,"",SLOPE($E$346:$E$445,$F$346:$F$445))</f>
        <v>0</v>
      </c>
      <c r="BB445">
        <f>IF(COUNT($E$2:$E445)&lt;20,"",INTERCEPT($E$346:$E$445,$F$346:$F$445))</f>
        <v>0</v>
      </c>
      <c r="BC445">
        <f>IF(OR(BA445="",BB445=""),"",BB445+BA445*F445)</f>
        <v>0</v>
      </c>
      <c r="BD445">
        <f>IF(COUNT($E$2:$E445)&lt;20,"",STEYX($E$346:$E$445,$F$346:$F$445))</f>
        <v>0</v>
      </c>
      <c r="BE445">
        <f>IF($E445="","",IF(AND(COUNT($E$446:$E$449)&gt;=4,$C445=MAX($C$441:$C$449)),$C445,""))</f>
        <v>0</v>
      </c>
      <c r="BF445">
        <f>IF($E445="","",IF(AND(COUNT($E$446:$E$449)&gt;=4,$D445=MIN($D$441:$D$449)),$D445,""))</f>
        <v>0</v>
      </c>
      <c r="BG445">
        <f>IF($A445="","",$A445-WEEKDAY($A445,2)+1)</f>
        <v>0</v>
      </c>
      <c r="BH445">
        <f>IF($A445="","",IF($A444="",1,IF(BG445&lt;&gt;BG444,1,0)))</f>
        <v>0</v>
      </c>
      <c r="BI445">
        <f>IF($A445="","",IF($A446="",1,IF(BG446&lt;&gt;BG445,1,0)))</f>
        <v>0</v>
      </c>
      <c r="BJ445">
        <f>IF($A445="","",IF(BH445=1,$B445,BJ444))</f>
        <v>0</v>
      </c>
      <c r="BK445">
        <f>IF($A445="","",IF(BH445=1,$C445,MAX($C445,BK444)))</f>
        <v>0</v>
      </c>
      <c r="BL445">
        <f>IF($A445="","",IF(BH445=1,$D445,MIN($D445,BL444)))</f>
        <v>0</v>
      </c>
      <c r="BM445">
        <f>IF($A445="","",IF(BI445=1,F445,""))</f>
        <v>0</v>
      </c>
      <c r="BN445">
        <f>IF($A445="","",DATE(YEAR($A445),MONTH($A445),1))</f>
        <v>0</v>
      </c>
      <c r="BO445">
        <f>IF($A445="","",IF($A444="",1,IF(BN445&lt;&gt;BN444,1,0)))</f>
        <v>0</v>
      </c>
      <c r="BP445">
        <f>IF($A445="","",IF($A446="",1,IF(BN446&lt;&gt;BN445,1,0)))</f>
        <v>0</v>
      </c>
      <c r="BQ445">
        <f>IF($A445="","",IF(BO445=1,$B445,BQ444))</f>
        <v>0</v>
      </c>
      <c r="BR445">
        <f>IF($A445="","",IF(BO445=1,$C445,MAX($C445,BR444)))</f>
        <v>0</v>
      </c>
      <c r="BS445">
        <f>IF($A445="","",IF(BO445=1,$D445,MIN($D445,BS444)))</f>
        <v>0</v>
      </c>
      <c r="BT445">
        <f>IF($A445="","",IF(BP445=1,F445,""))</f>
        <v>0</v>
      </c>
    </row>
    <row r="446" spans="1:72">
      <c r="A446" s="27">
        <f>IF(Data!$A446="","",Data!$A446)</f>
        <v>0</v>
      </c>
      <c r="B446">
        <f>IF(Data!$B446="","",Data!$B446)</f>
        <v>0</v>
      </c>
      <c r="C446">
        <f>IF(Data!$C446="","",Data!$C446)</f>
        <v>0</v>
      </c>
      <c r="D446">
        <f>IF(Data!$D446="","",Data!$D446)</f>
        <v>0</v>
      </c>
      <c r="E446">
        <f>IF(Data!$E446="","",Data!$E446)</f>
        <v>0</v>
      </c>
      <c r="F446">
        <f>IF($E446="","",N(F445)+1)</f>
        <v>0</v>
      </c>
      <c r="G446">
        <f>IF(OR($E446="",$E445=""),"",LN($E446/$E445))</f>
        <v>0</v>
      </c>
      <c r="H446">
        <f>IF($E446="","",IF($E445="",$E446,$E446*0.0952380952+H445*0.9047619048))</f>
        <v>0</v>
      </c>
      <c r="I446">
        <f>IF($E446="","",IF($E445="",$E446,$E446*0.0392156863+I445*0.9607843137))</f>
        <v>0</v>
      </c>
      <c r="J446">
        <f>IF($E446="","",IF($E445="",$E446,$E446*0.0198019802+J445*0.9801980198))</f>
        <v>0</v>
      </c>
      <c r="K446">
        <f>IF($E446="","",IF($E445="",$E446,$E446*0.0099502488+K445*0.9900497512))</f>
        <v>0</v>
      </c>
      <c r="L446">
        <f>IF(OR($E446="",$E445=""),"",MAX($E446-$E445,0))</f>
        <v>0</v>
      </c>
      <c r="M446">
        <f>IF(OR($E446="",$E445=""),"",MAX($E445-$E446,0))</f>
        <v>0</v>
      </c>
      <c r="N446">
        <f>IF(COUNT($E$2:$E446)&lt;15,"",IF(AVERAGE($M$433:$M$446)=0,100,100-100/(1+AVERAGE($L$433:$L$446)/AVERAGE($M$433:$M$446))))</f>
        <v>0</v>
      </c>
      <c r="O446">
        <f>IF($E446="","",IF($E445="",$E446,$E446*0.1538461538+O445*0.8461538462))</f>
        <v>0</v>
      </c>
      <c r="P446">
        <f>IF($E446="","",IF($E445="",$E446,$E446*0.0740740741+P445*0.9259259259))</f>
        <v>0</v>
      </c>
      <c r="Q446">
        <f>IF(OR(O446="",P446=""),"",O446-P446)</f>
        <v>0</v>
      </c>
      <c r="R446">
        <f>IF(Q446="","",IF(R445="",Q446,Q446*0.2000000000+R445*0.8000000000))</f>
        <v>0</v>
      </c>
      <c r="S446">
        <f>IF(OR(Q446="",R446=""),"",Q446-R446)</f>
        <v>0</v>
      </c>
      <c r="T446">
        <f>IF(COUNT($E$2:$E446)&lt;14,"",MAX($C$433:$C$446))</f>
        <v>0</v>
      </c>
      <c r="U446">
        <f>IF(COUNT($E$2:$E446)&lt;14,"",MIN($D$433:$D$446))</f>
        <v>0</v>
      </c>
      <c r="V446">
        <f>IF(OR(T446="",U446="",T446=U446),"",100*($E446-U446)/(T446-U446))</f>
        <v>0</v>
      </c>
      <c r="W446">
        <f>IF(COUNT($V$444:$V$446)&lt;3,"",AVERAGE($V$444:$V$446))</f>
        <v>0</v>
      </c>
      <c r="X446">
        <f>IF(COUNT($N$433:$N$446)&lt;14,"",MIN($N$433:$N$446))</f>
        <v>0</v>
      </c>
      <c r="Y446">
        <f>IF(COUNT($N$433:$N$446)&lt;14,"",MAX($N$433:$N$446))</f>
        <v>0</v>
      </c>
      <c r="Z446">
        <f>IF(OR(N446="",X446="",Y446="",Y446=X446),"",100*(N446-X446)/(Y446-X446))</f>
        <v>0</v>
      </c>
      <c r="AA446">
        <f>IF(COUNT($Z$444:$Z$446)&lt;3,"",AVERAGE($Z$444:$Z$446))</f>
        <v>0</v>
      </c>
      <c r="AB446">
        <f>IF(COUNT($AA$444:$AA$446)&lt;3,"",AVERAGE($AA$444:$AA$446))</f>
        <v>0</v>
      </c>
      <c r="AC446">
        <f>IF($E446="","",MAX($C446-$D446,ABS($C446-$E445),ABS($D446-$E445)))</f>
        <v>0</v>
      </c>
      <c r="AD446">
        <f>IF(COUNT($E$2:$E446)&lt;15,"",AVERAGE($AC$433:$AC$446))</f>
        <v>0</v>
      </c>
      <c r="AE446">
        <f>IF(OR($E446="",$E445=""),"",IF(AND(($C446-$C445)&gt;($D445-$D446),($C446-$C445)&gt;0),$C446-$C445,0))</f>
        <v>0</v>
      </c>
      <c r="AF446">
        <f>IF(OR($E446="",$E445=""),"",IF(AND(($D445-$D446)&gt;($C446-$C445),($D445-$D446)&gt;0),$D445-$D446,0))</f>
        <v>0</v>
      </c>
      <c r="AG446">
        <f>IF(COUNT($E$2:$E446)&lt;15,"",IF(SUM($AC$433:$AC$446)=0,0,100*SUM($AE$433:$AE$446)/SUM($AC$433:$AC$446)))</f>
        <v>0</v>
      </c>
      <c r="AH446">
        <f>IF(COUNT($E$2:$E446)&lt;15,"",IF(SUM($AC$433:$AC$446)=0,0,100*SUM($AF$433:$AF$446)/SUM($AC$433:$AC$446)))</f>
        <v>0</v>
      </c>
      <c r="AI446">
        <f>IF(OR(AG446="",AH446=""),"",IF((AG446+AH446)=0,0,100*ABS(AG446-AH446)/(AG446+AH446)))</f>
        <v>0</v>
      </c>
      <c r="AJ446">
        <f>IF(COUNT($AI$433:$AI$446)&lt;14,"",AVERAGE($AI$433:$AI$446))</f>
        <v>0</v>
      </c>
      <c r="AK446">
        <f>IF(COUNT($E$2:$E446)&lt;20,"",AVERAGE($E$427:$E$446))</f>
        <v>0</v>
      </c>
      <c r="AL446">
        <f>IF(COUNT($E$2:$E446)&lt;20,"",STDEVP($E$427:$E$446))</f>
        <v>0</v>
      </c>
      <c r="AM446">
        <f>IF(AK446="","",AK446+2*AL446)</f>
        <v>0</v>
      </c>
      <c r="AN446">
        <f>IF(AK446="","",AK446-2*AL446)</f>
        <v>0</v>
      </c>
      <c r="AO446">
        <f>IF(OR(AM446="",AN446="",AM446=AN446),"",($E446-AN446)/(AM446-AN446))</f>
        <v>0</v>
      </c>
      <c r="AP446">
        <f>IF(OR(AM446="",AK446="",AK446=0),"",(AM446-AN446)/AK446)</f>
        <v>0</v>
      </c>
      <c r="AQ446">
        <f>IF(COUNT($E$2:$E446)&lt;20,"",MAX($C$427:$C$446))</f>
        <v>0</v>
      </c>
      <c r="AR446">
        <f>IF(COUNT($E$2:$E446)&lt;20,"",MIN($D$427:$D$446))</f>
        <v>0</v>
      </c>
      <c r="AS446">
        <f>IF(OR(AQ446="",AR446=""),"",(AQ446+AR446)/2)</f>
        <v>0</v>
      </c>
      <c r="AT446">
        <f>IF(COUNT($G$427:$G$446)&lt;20,"",STDEV($G$427:$G$446)*SQRT(252))</f>
        <v>0</v>
      </c>
      <c r="AU446">
        <f>IF(COUNT($E$2:$E446)&lt;9,"",(MAX($C$438:$C$446)+MIN($D$438:$D$446))/2)</f>
        <v>0</v>
      </c>
      <c r="AV446">
        <f>IF(COUNT($E$2:$E446)&lt;26,"",(MAX($C$421:$C$446)+MIN($D$421:$D$446))/2)</f>
        <v>0</v>
      </c>
      <c r="AW446">
        <f>IF(OR(AU446="",AV446=""),"",(AU446+AV446)/2)</f>
        <v>0</v>
      </c>
      <c r="AX446">
        <f>IF(COUNT($E$2:$E446)&lt;52,"",(MAX($C$395:$C$446)+MIN($D$395:$D$446))/2)</f>
        <v>0</v>
      </c>
      <c r="AY446">
        <f>IF(COUNT($E$2:$E446)&lt;20,"",MAX($C$347:$C$446))</f>
        <v>0</v>
      </c>
      <c r="AZ446">
        <f>IF(COUNT($E$2:$E446)&lt;20,"",MIN($D$347:$D$446))</f>
        <v>0</v>
      </c>
      <c r="BA446">
        <f>IF(COUNT($E$2:$E446)&lt;20,"",SLOPE($E$347:$E$446,$F$347:$F$446))</f>
        <v>0</v>
      </c>
      <c r="BB446">
        <f>IF(COUNT($E$2:$E446)&lt;20,"",INTERCEPT($E$347:$E$446,$F$347:$F$446))</f>
        <v>0</v>
      </c>
      <c r="BC446">
        <f>IF(OR(BA446="",BB446=""),"",BB446+BA446*F446)</f>
        <v>0</v>
      </c>
      <c r="BD446">
        <f>IF(COUNT($E$2:$E446)&lt;20,"",STEYX($E$347:$E$446,$F$347:$F$446))</f>
        <v>0</v>
      </c>
      <c r="BE446">
        <f>IF($E446="","",IF(AND(COUNT($E$447:$E$450)&gt;=4,$C446=MAX($C$442:$C$450)),$C446,""))</f>
        <v>0</v>
      </c>
      <c r="BF446">
        <f>IF($E446="","",IF(AND(COUNT($E$447:$E$450)&gt;=4,$D446=MIN($D$442:$D$450)),$D446,""))</f>
        <v>0</v>
      </c>
      <c r="BG446">
        <f>IF($A446="","",$A446-WEEKDAY($A446,2)+1)</f>
        <v>0</v>
      </c>
      <c r="BH446">
        <f>IF($A446="","",IF($A445="",1,IF(BG446&lt;&gt;BG445,1,0)))</f>
        <v>0</v>
      </c>
      <c r="BI446">
        <f>IF($A446="","",IF($A447="",1,IF(BG447&lt;&gt;BG446,1,0)))</f>
        <v>0</v>
      </c>
      <c r="BJ446">
        <f>IF($A446="","",IF(BH446=1,$B446,BJ445))</f>
        <v>0</v>
      </c>
      <c r="BK446">
        <f>IF($A446="","",IF(BH446=1,$C446,MAX($C446,BK445)))</f>
        <v>0</v>
      </c>
      <c r="BL446">
        <f>IF($A446="","",IF(BH446=1,$D446,MIN($D446,BL445)))</f>
        <v>0</v>
      </c>
      <c r="BM446">
        <f>IF($A446="","",IF(BI446=1,F446,""))</f>
        <v>0</v>
      </c>
      <c r="BN446">
        <f>IF($A446="","",DATE(YEAR($A446),MONTH($A446),1))</f>
        <v>0</v>
      </c>
      <c r="BO446">
        <f>IF($A446="","",IF($A445="",1,IF(BN446&lt;&gt;BN445,1,0)))</f>
        <v>0</v>
      </c>
      <c r="BP446">
        <f>IF($A446="","",IF($A447="",1,IF(BN447&lt;&gt;BN446,1,0)))</f>
        <v>0</v>
      </c>
      <c r="BQ446">
        <f>IF($A446="","",IF(BO446=1,$B446,BQ445))</f>
        <v>0</v>
      </c>
      <c r="BR446">
        <f>IF($A446="","",IF(BO446=1,$C446,MAX($C446,BR445)))</f>
        <v>0</v>
      </c>
      <c r="BS446">
        <f>IF($A446="","",IF(BO446=1,$D446,MIN($D446,BS445)))</f>
        <v>0</v>
      </c>
      <c r="BT446">
        <f>IF($A446="","",IF(BP446=1,F446,""))</f>
        <v>0</v>
      </c>
    </row>
    <row r="447" spans="1:72">
      <c r="A447" s="27">
        <f>IF(Data!$A447="","",Data!$A447)</f>
        <v>0</v>
      </c>
      <c r="B447">
        <f>IF(Data!$B447="","",Data!$B447)</f>
        <v>0</v>
      </c>
      <c r="C447">
        <f>IF(Data!$C447="","",Data!$C447)</f>
        <v>0</v>
      </c>
      <c r="D447">
        <f>IF(Data!$D447="","",Data!$D447)</f>
        <v>0</v>
      </c>
      <c r="E447">
        <f>IF(Data!$E447="","",Data!$E447)</f>
        <v>0</v>
      </c>
      <c r="F447">
        <f>IF($E447="","",N(F446)+1)</f>
        <v>0</v>
      </c>
      <c r="G447">
        <f>IF(OR($E447="",$E446=""),"",LN($E447/$E446))</f>
        <v>0</v>
      </c>
      <c r="H447">
        <f>IF($E447="","",IF($E446="",$E447,$E447*0.0952380952+H446*0.9047619048))</f>
        <v>0</v>
      </c>
      <c r="I447">
        <f>IF($E447="","",IF($E446="",$E447,$E447*0.0392156863+I446*0.9607843137))</f>
        <v>0</v>
      </c>
      <c r="J447">
        <f>IF($E447="","",IF($E446="",$E447,$E447*0.0198019802+J446*0.9801980198))</f>
        <v>0</v>
      </c>
      <c r="K447">
        <f>IF($E447="","",IF($E446="",$E447,$E447*0.0099502488+K446*0.9900497512))</f>
        <v>0</v>
      </c>
      <c r="L447">
        <f>IF(OR($E447="",$E446=""),"",MAX($E447-$E446,0))</f>
        <v>0</v>
      </c>
      <c r="M447">
        <f>IF(OR($E447="",$E446=""),"",MAX($E446-$E447,0))</f>
        <v>0</v>
      </c>
      <c r="N447">
        <f>IF(COUNT($E$2:$E447)&lt;15,"",IF(AVERAGE($M$434:$M$447)=0,100,100-100/(1+AVERAGE($L$434:$L$447)/AVERAGE($M$434:$M$447))))</f>
        <v>0</v>
      </c>
      <c r="O447">
        <f>IF($E447="","",IF($E446="",$E447,$E447*0.1538461538+O446*0.8461538462))</f>
        <v>0</v>
      </c>
      <c r="P447">
        <f>IF($E447="","",IF($E446="",$E447,$E447*0.0740740741+P446*0.9259259259))</f>
        <v>0</v>
      </c>
      <c r="Q447">
        <f>IF(OR(O447="",P447=""),"",O447-P447)</f>
        <v>0</v>
      </c>
      <c r="R447">
        <f>IF(Q447="","",IF(R446="",Q447,Q447*0.2000000000+R446*0.8000000000))</f>
        <v>0</v>
      </c>
      <c r="S447">
        <f>IF(OR(Q447="",R447=""),"",Q447-R447)</f>
        <v>0</v>
      </c>
      <c r="T447">
        <f>IF(COUNT($E$2:$E447)&lt;14,"",MAX($C$434:$C$447))</f>
        <v>0</v>
      </c>
      <c r="U447">
        <f>IF(COUNT($E$2:$E447)&lt;14,"",MIN($D$434:$D$447))</f>
        <v>0</v>
      </c>
      <c r="V447">
        <f>IF(OR(T447="",U447="",T447=U447),"",100*($E447-U447)/(T447-U447))</f>
        <v>0</v>
      </c>
      <c r="W447">
        <f>IF(COUNT($V$445:$V$447)&lt;3,"",AVERAGE($V$445:$V$447))</f>
        <v>0</v>
      </c>
      <c r="X447">
        <f>IF(COUNT($N$434:$N$447)&lt;14,"",MIN($N$434:$N$447))</f>
        <v>0</v>
      </c>
      <c r="Y447">
        <f>IF(COUNT($N$434:$N$447)&lt;14,"",MAX($N$434:$N$447))</f>
        <v>0</v>
      </c>
      <c r="Z447">
        <f>IF(OR(N447="",X447="",Y447="",Y447=X447),"",100*(N447-X447)/(Y447-X447))</f>
        <v>0</v>
      </c>
      <c r="AA447">
        <f>IF(COUNT($Z$445:$Z$447)&lt;3,"",AVERAGE($Z$445:$Z$447))</f>
        <v>0</v>
      </c>
      <c r="AB447">
        <f>IF(COUNT($AA$445:$AA$447)&lt;3,"",AVERAGE($AA$445:$AA$447))</f>
        <v>0</v>
      </c>
      <c r="AC447">
        <f>IF($E447="","",MAX($C447-$D447,ABS($C447-$E446),ABS($D447-$E446)))</f>
        <v>0</v>
      </c>
      <c r="AD447">
        <f>IF(COUNT($E$2:$E447)&lt;15,"",AVERAGE($AC$434:$AC$447))</f>
        <v>0</v>
      </c>
      <c r="AE447">
        <f>IF(OR($E447="",$E446=""),"",IF(AND(($C447-$C446)&gt;($D446-$D447),($C447-$C446)&gt;0),$C447-$C446,0))</f>
        <v>0</v>
      </c>
      <c r="AF447">
        <f>IF(OR($E447="",$E446=""),"",IF(AND(($D446-$D447)&gt;($C447-$C446),($D446-$D447)&gt;0),$D446-$D447,0))</f>
        <v>0</v>
      </c>
      <c r="AG447">
        <f>IF(COUNT($E$2:$E447)&lt;15,"",IF(SUM($AC$434:$AC$447)=0,0,100*SUM($AE$434:$AE$447)/SUM($AC$434:$AC$447)))</f>
        <v>0</v>
      </c>
      <c r="AH447">
        <f>IF(COUNT($E$2:$E447)&lt;15,"",IF(SUM($AC$434:$AC$447)=0,0,100*SUM($AF$434:$AF$447)/SUM($AC$434:$AC$447)))</f>
        <v>0</v>
      </c>
      <c r="AI447">
        <f>IF(OR(AG447="",AH447=""),"",IF((AG447+AH447)=0,0,100*ABS(AG447-AH447)/(AG447+AH447)))</f>
        <v>0</v>
      </c>
      <c r="AJ447">
        <f>IF(COUNT($AI$434:$AI$447)&lt;14,"",AVERAGE($AI$434:$AI$447))</f>
        <v>0</v>
      </c>
      <c r="AK447">
        <f>IF(COUNT($E$2:$E447)&lt;20,"",AVERAGE($E$428:$E$447))</f>
        <v>0</v>
      </c>
      <c r="AL447">
        <f>IF(COUNT($E$2:$E447)&lt;20,"",STDEVP($E$428:$E$447))</f>
        <v>0</v>
      </c>
      <c r="AM447">
        <f>IF(AK447="","",AK447+2*AL447)</f>
        <v>0</v>
      </c>
      <c r="AN447">
        <f>IF(AK447="","",AK447-2*AL447)</f>
        <v>0</v>
      </c>
      <c r="AO447">
        <f>IF(OR(AM447="",AN447="",AM447=AN447),"",($E447-AN447)/(AM447-AN447))</f>
        <v>0</v>
      </c>
      <c r="AP447">
        <f>IF(OR(AM447="",AK447="",AK447=0),"",(AM447-AN447)/AK447)</f>
        <v>0</v>
      </c>
      <c r="AQ447">
        <f>IF(COUNT($E$2:$E447)&lt;20,"",MAX($C$428:$C$447))</f>
        <v>0</v>
      </c>
      <c r="AR447">
        <f>IF(COUNT($E$2:$E447)&lt;20,"",MIN($D$428:$D$447))</f>
        <v>0</v>
      </c>
      <c r="AS447">
        <f>IF(OR(AQ447="",AR447=""),"",(AQ447+AR447)/2)</f>
        <v>0</v>
      </c>
      <c r="AT447">
        <f>IF(COUNT($G$428:$G$447)&lt;20,"",STDEV($G$428:$G$447)*SQRT(252))</f>
        <v>0</v>
      </c>
      <c r="AU447">
        <f>IF(COUNT($E$2:$E447)&lt;9,"",(MAX($C$439:$C$447)+MIN($D$439:$D$447))/2)</f>
        <v>0</v>
      </c>
      <c r="AV447">
        <f>IF(COUNT($E$2:$E447)&lt;26,"",(MAX($C$422:$C$447)+MIN($D$422:$D$447))/2)</f>
        <v>0</v>
      </c>
      <c r="AW447">
        <f>IF(OR(AU447="",AV447=""),"",(AU447+AV447)/2)</f>
        <v>0</v>
      </c>
      <c r="AX447">
        <f>IF(COUNT($E$2:$E447)&lt;52,"",(MAX($C$396:$C$447)+MIN($D$396:$D$447))/2)</f>
        <v>0</v>
      </c>
      <c r="AY447">
        <f>IF(COUNT($E$2:$E447)&lt;20,"",MAX($C$348:$C$447))</f>
        <v>0</v>
      </c>
      <c r="AZ447">
        <f>IF(COUNT($E$2:$E447)&lt;20,"",MIN($D$348:$D$447))</f>
        <v>0</v>
      </c>
      <c r="BA447">
        <f>IF(COUNT($E$2:$E447)&lt;20,"",SLOPE($E$348:$E$447,$F$348:$F$447))</f>
        <v>0</v>
      </c>
      <c r="BB447">
        <f>IF(COUNT($E$2:$E447)&lt;20,"",INTERCEPT($E$348:$E$447,$F$348:$F$447))</f>
        <v>0</v>
      </c>
      <c r="BC447">
        <f>IF(OR(BA447="",BB447=""),"",BB447+BA447*F447)</f>
        <v>0</v>
      </c>
      <c r="BD447">
        <f>IF(COUNT($E$2:$E447)&lt;20,"",STEYX($E$348:$E$447,$F$348:$F$447))</f>
        <v>0</v>
      </c>
      <c r="BE447">
        <f>IF($E447="","",IF(AND(COUNT($E$448:$E$451)&gt;=4,$C447=MAX($C$443:$C$451)),$C447,""))</f>
        <v>0</v>
      </c>
      <c r="BF447">
        <f>IF($E447="","",IF(AND(COUNT($E$448:$E$451)&gt;=4,$D447=MIN($D$443:$D$451)),$D447,""))</f>
        <v>0</v>
      </c>
      <c r="BG447">
        <f>IF($A447="","",$A447-WEEKDAY($A447,2)+1)</f>
        <v>0</v>
      </c>
      <c r="BH447">
        <f>IF($A447="","",IF($A446="",1,IF(BG447&lt;&gt;BG446,1,0)))</f>
        <v>0</v>
      </c>
      <c r="BI447">
        <f>IF($A447="","",IF($A448="",1,IF(BG448&lt;&gt;BG447,1,0)))</f>
        <v>0</v>
      </c>
      <c r="BJ447">
        <f>IF($A447="","",IF(BH447=1,$B447,BJ446))</f>
        <v>0</v>
      </c>
      <c r="BK447">
        <f>IF($A447="","",IF(BH447=1,$C447,MAX($C447,BK446)))</f>
        <v>0</v>
      </c>
      <c r="BL447">
        <f>IF($A447="","",IF(BH447=1,$D447,MIN($D447,BL446)))</f>
        <v>0</v>
      </c>
      <c r="BM447">
        <f>IF($A447="","",IF(BI447=1,F447,""))</f>
        <v>0</v>
      </c>
      <c r="BN447">
        <f>IF($A447="","",DATE(YEAR($A447),MONTH($A447),1))</f>
        <v>0</v>
      </c>
      <c r="BO447">
        <f>IF($A447="","",IF($A446="",1,IF(BN447&lt;&gt;BN446,1,0)))</f>
        <v>0</v>
      </c>
      <c r="BP447">
        <f>IF($A447="","",IF($A448="",1,IF(BN448&lt;&gt;BN447,1,0)))</f>
        <v>0</v>
      </c>
      <c r="BQ447">
        <f>IF($A447="","",IF(BO447=1,$B447,BQ446))</f>
        <v>0</v>
      </c>
      <c r="BR447">
        <f>IF($A447="","",IF(BO447=1,$C447,MAX($C447,BR446)))</f>
        <v>0</v>
      </c>
      <c r="BS447">
        <f>IF($A447="","",IF(BO447=1,$D447,MIN($D447,BS446)))</f>
        <v>0</v>
      </c>
      <c r="BT447">
        <f>IF($A447="","",IF(BP447=1,F447,""))</f>
        <v>0</v>
      </c>
    </row>
    <row r="448" spans="1:72">
      <c r="A448" s="27">
        <f>IF(Data!$A448="","",Data!$A448)</f>
        <v>0</v>
      </c>
      <c r="B448">
        <f>IF(Data!$B448="","",Data!$B448)</f>
        <v>0</v>
      </c>
      <c r="C448">
        <f>IF(Data!$C448="","",Data!$C448)</f>
        <v>0</v>
      </c>
      <c r="D448">
        <f>IF(Data!$D448="","",Data!$D448)</f>
        <v>0</v>
      </c>
      <c r="E448">
        <f>IF(Data!$E448="","",Data!$E448)</f>
        <v>0</v>
      </c>
      <c r="F448">
        <f>IF($E448="","",N(F447)+1)</f>
        <v>0</v>
      </c>
      <c r="G448">
        <f>IF(OR($E448="",$E447=""),"",LN($E448/$E447))</f>
        <v>0</v>
      </c>
      <c r="H448">
        <f>IF($E448="","",IF($E447="",$E448,$E448*0.0952380952+H447*0.9047619048))</f>
        <v>0</v>
      </c>
      <c r="I448">
        <f>IF($E448="","",IF($E447="",$E448,$E448*0.0392156863+I447*0.9607843137))</f>
        <v>0</v>
      </c>
      <c r="J448">
        <f>IF($E448="","",IF($E447="",$E448,$E448*0.0198019802+J447*0.9801980198))</f>
        <v>0</v>
      </c>
      <c r="K448">
        <f>IF($E448="","",IF($E447="",$E448,$E448*0.0099502488+K447*0.9900497512))</f>
        <v>0</v>
      </c>
      <c r="L448">
        <f>IF(OR($E448="",$E447=""),"",MAX($E448-$E447,0))</f>
        <v>0</v>
      </c>
      <c r="M448">
        <f>IF(OR($E448="",$E447=""),"",MAX($E447-$E448,0))</f>
        <v>0</v>
      </c>
      <c r="N448">
        <f>IF(COUNT($E$2:$E448)&lt;15,"",IF(AVERAGE($M$435:$M$448)=0,100,100-100/(1+AVERAGE($L$435:$L$448)/AVERAGE($M$435:$M$448))))</f>
        <v>0</v>
      </c>
      <c r="O448">
        <f>IF($E448="","",IF($E447="",$E448,$E448*0.1538461538+O447*0.8461538462))</f>
        <v>0</v>
      </c>
      <c r="P448">
        <f>IF($E448="","",IF($E447="",$E448,$E448*0.0740740741+P447*0.9259259259))</f>
        <v>0</v>
      </c>
      <c r="Q448">
        <f>IF(OR(O448="",P448=""),"",O448-P448)</f>
        <v>0</v>
      </c>
      <c r="R448">
        <f>IF(Q448="","",IF(R447="",Q448,Q448*0.2000000000+R447*0.8000000000))</f>
        <v>0</v>
      </c>
      <c r="S448">
        <f>IF(OR(Q448="",R448=""),"",Q448-R448)</f>
        <v>0</v>
      </c>
      <c r="T448">
        <f>IF(COUNT($E$2:$E448)&lt;14,"",MAX($C$435:$C$448))</f>
        <v>0</v>
      </c>
      <c r="U448">
        <f>IF(COUNT($E$2:$E448)&lt;14,"",MIN($D$435:$D$448))</f>
        <v>0</v>
      </c>
      <c r="V448">
        <f>IF(OR(T448="",U448="",T448=U448),"",100*($E448-U448)/(T448-U448))</f>
        <v>0</v>
      </c>
      <c r="W448">
        <f>IF(COUNT($V$446:$V$448)&lt;3,"",AVERAGE($V$446:$V$448))</f>
        <v>0</v>
      </c>
      <c r="X448">
        <f>IF(COUNT($N$435:$N$448)&lt;14,"",MIN($N$435:$N$448))</f>
        <v>0</v>
      </c>
      <c r="Y448">
        <f>IF(COUNT($N$435:$N$448)&lt;14,"",MAX($N$435:$N$448))</f>
        <v>0</v>
      </c>
      <c r="Z448">
        <f>IF(OR(N448="",X448="",Y448="",Y448=X448),"",100*(N448-X448)/(Y448-X448))</f>
        <v>0</v>
      </c>
      <c r="AA448">
        <f>IF(COUNT($Z$446:$Z$448)&lt;3,"",AVERAGE($Z$446:$Z$448))</f>
        <v>0</v>
      </c>
      <c r="AB448">
        <f>IF(COUNT($AA$446:$AA$448)&lt;3,"",AVERAGE($AA$446:$AA$448))</f>
        <v>0</v>
      </c>
      <c r="AC448">
        <f>IF($E448="","",MAX($C448-$D448,ABS($C448-$E447),ABS($D448-$E447)))</f>
        <v>0</v>
      </c>
      <c r="AD448">
        <f>IF(COUNT($E$2:$E448)&lt;15,"",AVERAGE($AC$435:$AC$448))</f>
        <v>0</v>
      </c>
      <c r="AE448">
        <f>IF(OR($E448="",$E447=""),"",IF(AND(($C448-$C447)&gt;($D447-$D448),($C448-$C447)&gt;0),$C448-$C447,0))</f>
        <v>0</v>
      </c>
      <c r="AF448">
        <f>IF(OR($E448="",$E447=""),"",IF(AND(($D447-$D448)&gt;($C448-$C447),($D447-$D448)&gt;0),$D447-$D448,0))</f>
        <v>0</v>
      </c>
      <c r="AG448">
        <f>IF(COUNT($E$2:$E448)&lt;15,"",IF(SUM($AC$435:$AC$448)=0,0,100*SUM($AE$435:$AE$448)/SUM($AC$435:$AC$448)))</f>
        <v>0</v>
      </c>
      <c r="AH448">
        <f>IF(COUNT($E$2:$E448)&lt;15,"",IF(SUM($AC$435:$AC$448)=0,0,100*SUM($AF$435:$AF$448)/SUM($AC$435:$AC$448)))</f>
        <v>0</v>
      </c>
      <c r="AI448">
        <f>IF(OR(AG448="",AH448=""),"",IF((AG448+AH448)=0,0,100*ABS(AG448-AH448)/(AG448+AH448)))</f>
        <v>0</v>
      </c>
      <c r="AJ448">
        <f>IF(COUNT($AI$435:$AI$448)&lt;14,"",AVERAGE($AI$435:$AI$448))</f>
        <v>0</v>
      </c>
      <c r="AK448">
        <f>IF(COUNT($E$2:$E448)&lt;20,"",AVERAGE($E$429:$E$448))</f>
        <v>0</v>
      </c>
      <c r="AL448">
        <f>IF(COUNT($E$2:$E448)&lt;20,"",STDEVP($E$429:$E$448))</f>
        <v>0</v>
      </c>
      <c r="AM448">
        <f>IF(AK448="","",AK448+2*AL448)</f>
        <v>0</v>
      </c>
      <c r="AN448">
        <f>IF(AK448="","",AK448-2*AL448)</f>
        <v>0</v>
      </c>
      <c r="AO448">
        <f>IF(OR(AM448="",AN448="",AM448=AN448),"",($E448-AN448)/(AM448-AN448))</f>
        <v>0</v>
      </c>
      <c r="AP448">
        <f>IF(OR(AM448="",AK448="",AK448=0),"",(AM448-AN448)/AK448)</f>
        <v>0</v>
      </c>
      <c r="AQ448">
        <f>IF(COUNT($E$2:$E448)&lt;20,"",MAX($C$429:$C$448))</f>
        <v>0</v>
      </c>
      <c r="AR448">
        <f>IF(COUNT($E$2:$E448)&lt;20,"",MIN($D$429:$D$448))</f>
        <v>0</v>
      </c>
      <c r="AS448">
        <f>IF(OR(AQ448="",AR448=""),"",(AQ448+AR448)/2)</f>
        <v>0</v>
      </c>
      <c r="AT448">
        <f>IF(COUNT($G$429:$G$448)&lt;20,"",STDEV($G$429:$G$448)*SQRT(252))</f>
        <v>0</v>
      </c>
      <c r="AU448">
        <f>IF(COUNT($E$2:$E448)&lt;9,"",(MAX($C$440:$C$448)+MIN($D$440:$D$448))/2)</f>
        <v>0</v>
      </c>
      <c r="AV448">
        <f>IF(COUNT($E$2:$E448)&lt;26,"",(MAX($C$423:$C$448)+MIN($D$423:$D$448))/2)</f>
        <v>0</v>
      </c>
      <c r="AW448">
        <f>IF(OR(AU448="",AV448=""),"",(AU448+AV448)/2)</f>
        <v>0</v>
      </c>
      <c r="AX448">
        <f>IF(COUNT($E$2:$E448)&lt;52,"",(MAX($C$397:$C$448)+MIN($D$397:$D$448))/2)</f>
        <v>0</v>
      </c>
      <c r="AY448">
        <f>IF(COUNT($E$2:$E448)&lt;20,"",MAX($C$349:$C$448))</f>
        <v>0</v>
      </c>
      <c r="AZ448">
        <f>IF(COUNT($E$2:$E448)&lt;20,"",MIN($D$349:$D$448))</f>
        <v>0</v>
      </c>
      <c r="BA448">
        <f>IF(COUNT($E$2:$E448)&lt;20,"",SLOPE($E$349:$E$448,$F$349:$F$448))</f>
        <v>0</v>
      </c>
      <c r="BB448">
        <f>IF(COUNT($E$2:$E448)&lt;20,"",INTERCEPT($E$349:$E$448,$F$349:$F$448))</f>
        <v>0</v>
      </c>
      <c r="BC448">
        <f>IF(OR(BA448="",BB448=""),"",BB448+BA448*F448)</f>
        <v>0</v>
      </c>
      <c r="BD448">
        <f>IF(COUNT($E$2:$E448)&lt;20,"",STEYX($E$349:$E$448,$F$349:$F$448))</f>
        <v>0</v>
      </c>
      <c r="BE448">
        <f>IF($E448="","",IF(AND(COUNT($E$449:$E$452)&gt;=4,$C448=MAX($C$444:$C$452)),$C448,""))</f>
        <v>0</v>
      </c>
      <c r="BF448">
        <f>IF($E448="","",IF(AND(COUNT($E$449:$E$452)&gt;=4,$D448=MIN($D$444:$D$452)),$D448,""))</f>
        <v>0</v>
      </c>
      <c r="BG448">
        <f>IF($A448="","",$A448-WEEKDAY($A448,2)+1)</f>
        <v>0</v>
      </c>
      <c r="BH448">
        <f>IF($A448="","",IF($A447="",1,IF(BG448&lt;&gt;BG447,1,0)))</f>
        <v>0</v>
      </c>
      <c r="BI448">
        <f>IF($A448="","",IF($A449="",1,IF(BG449&lt;&gt;BG448,1,0)))</f>
        <v>0</v>
      </c>
      <c r="BJ448">
        <f>IF($A448="","",IF(BH448=1,$B448,BJ447))</f>
        <v>0</v>
      </c>
      <c r="BK448">
        <f>IF($A448="","",IF(BH448=1,$C448,MAX($C448,BK447)))</f>
        <v>0</v>
      </c>
      <c r="BL448">
        <f>IF($A448="","",IF(BH448=1,$D448,MIN($D448,BL447)))</f>
        <v>0</v>
      </c>
      <c r="BM448">
        <f>IF($A448="","",IF(BI448=1,F448,""))</f>
        <v>0</v>
      </c>
      <c r="BN448">
        <f>IF($A448="","",DATE(YEAR($A448),MONTH($A448),1))</f>
        <v>0</v>
      </c>
      <c r="BO448">
        <f>IF($A448="","",IF($A447="",1,IF(BN448&lt;&gt;BN447,1,0)))</f>
        <v>0</v>
      </c>
      <c r="BP448">
        <f>IF($A448="","",IF($A449="",1,IF(BN449&lt;&gt;BN448,1,0)))</f>
        <v>0</v>
      </c>
      <c r="BQ448">
        <f>IF($A448="","",IF(BO448=1,$B448,BQ447))</f>
        <v>0</v>
      </c>
      <c r="BR448">
        <f>IF($A448="","",IF(BO448=1,$C448,MAX($C448,BR447)))</f>
        <v>0</v>
      </c>
      <c r="BS448">
        <f>IF($A448="","",IF(BO448=1,$D448,MIN($D448,BS447)))</f>
        <v>0</v>
      </c>
      <c r="BT448">
        <f>IF($A448="","",IF(BP448=1,F448,""))</f>
        <v>0</v>
      </c>
    </row>
    <row r="449" spans="1:72">
      <c r="A449" s="27">
        <f>IF(Data!$A449="","",Data!$A449)</f>
        <v>0</v>
      </c>
      <c r="B449">
        <f>IF(Data!$B449="","",Data!$B449)</f>
        <v>0</v>
      </c>
      <c r="C449">
        <f>IF(Data!$C449="","",Data!$C449)</f>
        <v>0</v>
      </c>
      <c r="D449">
        <f>IF(Data!$D449="","",Data!$D449)</f>
        <v>0</v>
      </c>
      <c r="E449">
        <f>IF(Data!$E449="","",Data!$E449)</f>
        <v>0</v>
      </c>
      <c r="F449">
        <f>IF($E449="","",N(F448)+1)</f>
        <v>0</v>
      </c>
      <c r="G449">
        <f>IF(OR($E449="",$E448=""),"",LN($E449/$E448))</f>
        <v>0</v>
      </c>
      <c r="H449">
        <f>IF($E449="","",IF($E448="",$E449,$E449*0.0952380952+H448*0.9047619048))</f>
        <v>0</v>
      </c>
      <c r="I449">
        <f>IF($E449="","",IF($E448="",$E449,$E449*0.0392156863+I448*0.9607843137))</f>
        <v>0</v>
      </c>
      <c r="J449">
        <f>IF($E449="","",IF($E448="",$E449,$E449*0.0198019802+J448*0.9801980198))</f>
        <v>0</v>
      </c>
      <c r="K449">
        <f>IF($E449="","",IF($E448="",$E449,$E449*0.0099502488+K448*0.9900497512))</f>
        <v>0</v>
      </c>
      <c r="L449">
        <f>IF(OR($E449="",$E448=""),"",MAX($E449-$E448,0))</f>
        <v>0</v>
      </c>
      <c r="M449">
        <f>IF(OR($E449="",$E448=""),"",MAX($E448-$E449,0))</f>
        <v>0</v>
      </c>
      <c r="N449">
        <f>IF(COUNT($E$2:$E449)&lt;15,"",IF(AVERAGE($M$436:$M$449)=0,100,100-100/(1+AVERAGE($L$436:$L$449)/AVERAGE($M$436:$M$449))))</f>
        <v>0</v>
      </c>
      <c r="O449">
        <f>IF($E449="","",IF($E448="",$E449,$E449*0.1538461538+O448*0.8461538462))</f>
        <v>0</v>
      </c>
      <c r="P449">
        <f>IF($E449="","",IF($E448="",$E449,$E449*0.0740740741+P448*0.9259259259))</f>
        <v>0</v>
      </c>
      <c r="Q449">
        <f>IF(OR(O449="",P449=""),"",O449-P449)</f>
        <v>0</v>
      </c>
      <c r="R449">
        <f>IF(Q449="","",IF(R448="",Q449,Q449*0.2000000000+R448*0.8000000000))</f>
        <v>0</v>
      </c>
      <c r="S449">
        <f>IF(OR(Q449="",R449=""),"",Q449-R449)</f>
        <v>0</v>
      </c>
      <c r="T449">
        <f>IF(COUNT($E$2:$E449)&lt;14,"",MAX($C$436:$C$449))</f>
        <v>0</v>
      </c>
      <c r="U449">
        <f>IF(COUNT($E$2:$E449)&lt;14,"",MIN($D$436:$D$449))</f>
        <v>0</v>
      </c>
      <c r="V449">
        <f>IF(OR(T449="",U449="",T449=U449),"",100*($E449-U449)/(T449-U449))</f>
        <v>0</v>
      </c>
      <c r="W449">
        <f>IF(COUNT($V$447:$V$449)&lt;3,"",AVERAGE($V$447:$V$449))</f>
        <v>0</v>
      </c>
      <c r="X449">
        <f>IF(COUNT($N$436:$N$449)&lt;14,"",MIN($N$436:$N$449))</f>
        <v>0</v>
      </c>
      <c r="Y449">
        <f>IF(COUNT($N$436:$N$449)&lt;14,"",MAX($N$436:$N$449))</f>
        <v>0</v>
      </c>
      <c r="Z449">
        <f>IF(OR(N449="",X449="",Y449="",Y449=X449),"",100*(N449-X449)/(Y449-X449))</f>
        <v>0</v>
      </c>
      <c r="AA449">
        <f>IF(COUNT($Z$447:$Z$449)&lt;3,"",AVERAGE($Z$447:$Z$449))</f>
        <v>0</v>
      </c>
      <c r="AB449">
        <f>IF(COUNT($AA$447:$AA$449)&lt;3,"",AVERAGE($AA$447:$AA$449))</f>
        <v>0</v>
      </c>
      <c r="AC449">
        <f>IF($E449="","",MAX($C449-$D449,ABS($C449-$E448),ABS($D449-$E448)))</f>
        <v>0</v>
      </c>
      <c r="AD449">
        <f>IF(COUNT($E$2:$E449)&lt;15,"",AVERAGE($AC$436:$AC$449))</f>
        <v>0</v>
      </c>
      <c r="AE449">
        <f>IF(OR($E449="",$E448=""),"",IF(AND(($C449-$C448)&gt;($D448-$D449),($C449-$C448)&gt;0),$C449-$C448,0))</f>
        <v>0</v>
      </c>
      <c r="AF449">
        <f>IF(OR($E449="",$E448=""),"",IF(AND(($D448-$D449)&gt;($C449-$C448),($D448-$D449)&gt;0),$D448-$D449,0))</f>
        <v>0</v>
      </c>
      <c r="AG449">
        <f>IF(COUNT($E$2:$E449)&lt;15,"",IF(SUM($AC$436:$AC$449)=0,0,100*SUM($AE$436:$AE$449)/SUM($AC$436:$AC$449)))</f>
        <v>0</v>
      </c>
      <c r="AH449">
        <f>IF(COUNT($E$2:$E449)&lt;15,"",IF(SUM($AC$436:$AC$449)=0,0,100*SUM($AF$436:$AF$449)/SUM($AC$436:$AC$449)))</f>
        <v>0</v>
      </c>
      <c r="AI449">
        <f>IF(OR(AG449="",AH449=""),"",IF((AG449+AH449)=0,0,100*ABS(AG449-AH449)/(AG449+AH449)))</f>
        <v>0</v>
      </c>
      <c r="AJ449">
        <f>IF(COUNT($AI$436:$AI$449)&lt;14,"",AVERAGE($AI$436:$AI$449))</f>
        <v>0</v>
      </c>
      <c r="AK449">
        <f>IF(COUNT($E$2:$E449)&lt;20,"",AVERAGE($E$430:$E$449))</f>
        <v>0</v>
      </c>
      <c r="AL449">
        <f>IF(COUNT($E$2:$E449)&lt;20,"",STDEVP($E$430:$E$449))</f>
        <v>0</v>
      </c>
      <c r="AM449">
        <f>IF(AK449="","",AK449+2*AL449)</f>
        <v>0</v>
      </c>
      <c r="AN449">
        <f>IF(AK449="","",AK449-2*AL449)</f>
        <v>0</v>
      </c>
      <c r="AO449">
        <f>IF(OR(AM449="",AN449="",AM449=AN449),"",($E449-AN449)/(AM449-AN449))</f>
        <v>0</v>
      </c>
      <c r="AP449">
        <f>IF(OR(AM449="",AK449="",AK449=0),"",(AM449-AN449)/AK449)</f>
        <v>0</v>
      </c>
      <c r="AQ449">
        <f>IF(COUNT($E$2:$E449)&lt;20,"",MAX($C$430:$C$449))</f>
        <v>0</v>
      </c>
      <c r="AR449">
        <f>IF(COUNT($E$2:$E449)&lt;20,"",MIN($D$430:$D$449))</f>
        <v>0</v>
      </c>
      <c r="AS449">
        <f>IF(OR(AQ449="",AR449=""),"",(AQ449+AR449)/2)</f>
        <v>0</v>
      </c>
      <c r="AT449">
        <f>IF(COUNT($G$430:$G$449)&lt;20,"",STDEV($G$430:$G$449)*SQRT(252))</f>
        <v>0</v>
      </c>
      <c r="AU449">
        <f>IF(COUNT($E$2:$E449)&lt;9,"",(MAX($C$441:$C$449)+MIN($D$441:$D$449))/2)</f>
        <v>0</v>
      </c>
      <c r="AV449">
        <f>IF(COUNT($E$2:$E449)&lt;26,"",(MAX($C$424:$C$449)+MIN($D$424:$D$449))/2)</f>
        <v>0</v>
      </c>
      <c r="AW449">
        <f>IF(OR(AU449="",AV449=""),"",(AU449+AV449)/2)</f>
        <v>0</v>
      </c>
      <c r="AX449">
        <f>IF(COUNT($E$2:$E449)&lt;52,"",(MAX($C$398:$C$449)+MIN($D$398:$D$449))/2)</f>
        <v>0</v>
      </c>
      <c r="AY449">
        <f>IF(COUNT($E$2:$E449)&lt;20,"",MAX($C$350:$C$449))</f>
        <v>0</v>
      </c>
      <c r="AZ449">
        <f>IF(COUNT($E$2:$E449)&lt;20,"",MIN($D$350:$D$449))</f>
        <v>0</v>
      </c>
      <c r="BA449">
        <f>IF(COUNT($E$2:$E449)&lt;20,"",SLOPE($E$350:$E$449,$F$350:$F$449))</f>
        <v>0</v>
      </c>
      <c r="BB449">
        <f>IF(COUNT($E$2:$E449)&lt;20,"",INTERCEPT($E$350:$E$449,$F$350:$F$449))</f>
        <v>0</v>
      </c>
      <c r="BC449">
        <f>IF(OR(BA449="",BB449=""),"",BB449+BA449*F449)</f>
        <v>0</v>
      </c>
      <c r="BD449">
        <f>IF(COUNT($E$2:$E449)&lt;20,"",STEYX($E$350:$E$449,$F$350:$F$449))</f>
        <v>0</v>
      </c>
      <c r="BE449">
        <f>IF($E449="","",IF(AND(COUNT($E$450:$E$453)&gt;=4,$C449=MAX($C$445:$C$453)),$C449,""))</f>
        <v>0</v>
      </c>
      <c r="BF449">
        <f>IF($E449="","",IF(AND(COUNT($E$450:$E$453)&gt;=4,$D449=MIN($D$445:$D$453)),$D449,""))</f>
        <v>0</v>
      </c>
      <c r="BG449">
        <f>IF($A449="","",$A449-WEEKDAY($A449,2)+1)</f>
        <v>0</v>
      </c>
      <c r="BH449">
        <f>IF($A449="","",IF($A448="",1,IF(BG449&lt;&gt;BG448,1,0)))</f>
        <v>0</v>
      </c>
      <c r="BI449">
        <f>IF($A449="","",IF($A450="",1,IF(BG450&lt;&gt;BG449,1,0)))</f>
        <v>0</v>
      </c>
      <c r="BJ449">
        <f>IF($A449="","",IF(BH449=1,$B449,BJ448))</f>
        <v>0</v>
      </c>
      <c r="BK449">
        <f>IF($A449="","",IF(BH449=1,$C449,MAX($C449,BK448)))</f>
        <v>0</v>
      </c>
      <c r="BL449">
        <f>IF($A449="","",IF(BH449=1,$D449,MIN($D449,BL448)))</f>
        <v>0</v>
      </c>
      <c r="BM449">
        <f>IF($A449="","",IF(BI449=1,F449,""))</f>
        <v>0</v>
      </c>
      <c r="BN449">
        <f>IF($A449="","",DATE(YEAR($A449),MONTH($A449),1))</f>
        <v>0</v>
      </c>
      <c r="BO449">
        <f>IF($A449="","",IF($A448="",1,IF(BN449&lt;&gt;BN448,1,0)))</f>
        <v>0</v>
      </c>
      <c r="BP449">
        <f>IF($A449="","",IF($A450="",1,IF(BN450&lt;&gt;BN449,1,0)))</f>
        <v>0</v>
      </c>
      <c r="BQ449">
        <f>IF($A449="","",IF(BO449=1,$B449,BQ448))</f>
        <v>0</v>
      </c>
      <c r="BR449">
        <f>IF($A449="","",IF(BO449=1,$C449,MAX($C449,BR448)))</f>
        <v>0</v>
      </c>
      <c r="BS449">
        <f>IF($A449="","",IF(BO449=1,$D449,MIN($D449,BS448)))</f>
        <v>0</v>
      </c>
      <c r="BT449">
        <f>IF($A449="","",IF(BP449=1,F449,""))</f>
        <v>0</v>
      </c>
    </row>
    <row r="450" spans="1:72">
      <c r="A450" s="27">
        <f>IF(Data!$A450="","",Data!$A450)</f>
        <v>0</v>
      </c>
      <c r="B450">
        <f>IF(Data!$B450="","",Data!$B450)</f>
        <v>0</v>
      </c>
      <c r="C450">
        <f>IF(Data!$C450="","",Data!$C450)</f>
        <v>0</v>
      </c>
      <c r="D450">
        <f>IF(Data!$D450="","",Data!$D450)</f>
        <v>0</v>
      </c>
      <c r="E450">
        <f>IF(Data!$E450="","",Data!$E450)</f>
        <v>0</v>
      </c>
      <c r="F450">
        <f>IF($E450="","",N(F449)+1)</f>
        <v>0</v>
      </c>
      <c r="G450">
        <f>IF(OR($E450="",$E449=""),"",LN($E450/$E449))</f>
        <v>0</v>
      </c>
      <c r="H450">
        <f>IF($E450="","",IF($E449="",$E450,$E450*0.0952380952+H449*0.9047619048))</f>
        <v>0</v>
      </c>
      <c r="I450">
        <f>IF($E450="","",IF($E449="",$E450,$E450*0.0392156863+I449*0.9607843137))</f>
        <v>0</v>
      </c>
      <c r="J450">
        <f>IF($E450="","",IF($E449="",$E450,$E450*0.0198019802+J449*0.9801980198))</f>
        <v>0</v>
      </c>
      <c r="K450">
        <f>IF($E450="","",IF($E449="",$E450,$E450*0.0099502488+K449*0.9900497512))</f>
        <v>0</v>
      </c>
      <c r="L450">
        <f>IF(OR($E450="",$E449=""),"",MAX($E450-$E449,0))</f>
        <v>0</v>
      </c>
      <c r="M450">
        <f>IF(OR($E450="",$E449=""),"",MAX($E449-$E450,0))</f>
        <v>0</v>
      </c>
      <c r="N450">
        <f>IF(COUNT($E$2:$E450)&lt;15,"",IF(AVERAGE($M$437:$M$450)=0,100,100-100/(1+AVERAGE($L$437:$L$450)/AVERAGE($M$437:$M$450))))</f>
        <v>0</v>
      </c>
      <c r="O450">
        <f>IF($E450="","",IF($E449="",$E450,$E450*0.1538461538+O449*0.8461538462))</f>
        <v>0</v>
      </c>
      <c r="P450">
        <f>IF($E450="","",IF($E449="",$E450,$E450*0.0740740741+P449*0.9259259259))</f>
        <v>0</v>
      </c>
      <c r="Q450">
        <f>IF(OR(O450="",P450=""),"",O450-P450)</f>
        <v>0</v>
      </c>
      <c r="R450">
        <f>IF(Q450="","",IF(R449="",Q450,Q450*0.2000000000+R449*0.8000000000))</f>
        <v>0</v>
      </c>
      <c r="S450">
        <f>IF(OR(Q450="",R450=""),"",Q450-R450)</f>
        <v>0</v>
      </c>
      <c r="T450">
        <f>IF(COUNT($E$2:$E450)&lt;14,"",MAX($C$437:$C$450))</f>
        <v>0</v>
      </c>
      <c r="U450">
        <f>IF(COUNT($E$2:$E450)&lt;14,"",MIN($D$437:$D$450))</f>
        <v>0</v>
      </c>
      <c r="V450">
        <f>IF(OR(T450="",U450="",T450=U450),"",100*($E450-U450)/(T450-U450))</f>
        <v>0</v>
      </c>
      <c r="W450">
        <f>IF(COUNT($V$448:$V$450)&lt;3,"",AVERAGE($V$448:$V$450))</f>
        <v>0</v>
      </c>
      <c r="X450">
        <f>IF(COUNT($N$437:$N$450)&lt;14,"",MIN($N$437:$N$450))</f>
        <v>0</v>
      </c>
      <c r="Y450">
        <f>IF(COUNT($N$437:$N$450)&lt;14,"",MAX($N$437:$N$450))</f>
        <v>0</v>
      </c>
      <c r="Z450">
        <f>IF(OR(N450="",X450="",Y450="",Y450=X450),"",100*(N450-X450)/(Y450-X450))</f>
        <v>0</v>
      </c>
      <c r="AA450">
        <f>IF(COUNT($Z$448:$Z$450)&lt;3,"",AVERAGE($Z$448:$Z$450))</f>
        <v>0</v>
      </c>
      <c r="AB450">
        <f>IF(COUNT($AA$448:$AA$450)&lt;3,"",AVERAGE($AA$448:$AA$450))</f>
        <v>0</v>
      </c>
      <c r="AC450">
        <f>IF($E450="","",MAX($C450-$D450,ABS($C450-$E449),ABS($D450-$E449)))</f>
        <v>0</v>
      </c>
      <c r="AD450">
        <f>IF(COUNT($E$2:$E450)&lt;15,"",AVERAGE($AC$437:$AC$450))</f>
        <v>0</v>
      </c>
      <c r="AE450">
        <f>IF(OR($E450="",$E449=""),"",IF(AND(($C450-$C449)&gt;($D449-$D450),($C450-$C449)&gt;0),$C450-$C449,0))</f>
        <v>0</v>
      </c>
      <c r="AF450">
        <f>IF(OR($E450="",$E449=""),"",IF(AND(($D449-$D450)&gt;($C450-$C449),($D449-$D450)&gt;0),$D449-$D450,0))</f>
        <v>0</v>
      </c>
      <c r="AG450">
        <f>IF(COUNT($E$2:$E450)&lt;15,"",IF(SUM($AC$437:$AC$450)=0,0,100*SUM($AE$437:$AE$450)/SUM($AC$437:$AC$450)))</f>
        <v>0</v>
      </c>
      <c r="AH450">
        <f>IF(COUNT($E$2:$E450)&lt;15,"",IF(SUM($AC$437:$AC$450)=0,0,100*SUM($AF$437:$AF$450)/SUM($AC$437:$AC$450)))</f>
        <v>0</v>
      </c>
      <c r="AI450">
        <f>IF(OR(AG450="",AH450=""),"",IF((AG450+AH450)=0,0,100*ABS(AG450-AH450)/(AG450+AH450)))</f>
        <v>0</v>
      </c>
      <c r="AJ450">
        <f>IF(COUNT($AI$437:$AI$450)&lt;14,"",AVERAGE($AI$437:$AI$450))</f>
        <v>0</v>
      </c>
      <c r="AK450">
        <f>IF(COUNT($E$2:$E450)&lt;20,"",AVERAGE($E$431:$E$450))</f>
        <v>0</v>
      </c>
      <c r="AL450">
        <f>IF(COUNT($E$2:$E450)&lt;20,"",STDEVP($E$431:$E$450))</f>
        <v>0</v>
      </c>
      <c r="AM450">
        <f>IF(AK450="","",AK450+2*AL450)</f>
        <v>0</v>
      </c>
      <c r="AN450">
        <f>IF(AK450="","",AK450-2*AL450)</f>
        <v>0</v>
      </c>
      <c r="AO450">
        <f>IF(OR(AM450="",AN450="",AM450=AN450),"",($E450-AN450)/(AM450-AN450))</f>
        <v>0</v>
      </c>
      <c r="AP450">
        <f>IF(OR(AM450="",AK450="",AK450=0),"",(AM450-AN450)/AK450)</f>
        <v>0</v>
      </c>
      <c r="AQ450">
        <f>IF(COUNT($E$2:$E450)&lt;20,"",MAX($C$431:$C$450))</f>
        <v>0</v>
      </c>
      <c r="AR450">
        <f>IF(COUNT($E$2:$E450)&lt;20,"",MIN($D$431:$D$450))</f>
        <v>0</v>
      </c>
      <c r="AS450">
        <f>IF(OR(AQ450="",AR450=""),"",(AQ450+AR450)/2)</f>
        <v>0</v>
      </c>
      <c r="AT450">
        <f>IF(COUNT($G$431:$G$450)&lt;20,"",STDEV($G$431:$G$450)*SQRT(252))</f>
        <v>0</v>
      </c>
      <c r="AU450">
        <f>IF(COUNT($E$2:$E450)&lt;9,"",(MAX($C$442:$C$450)+MIN($D$442:$D$450))/2)</f>
        <v>0</v>
      </c>
      <c r="AV450">
        <f>IF(COUNT($E$2:$E450)&lt;26,"",(MAX($C$425:$C$450)+MIN($D$425:$D$450))/2)</f>
        <v>0</v>
      </c>
      <c r="AW450">
        <f>IF(OR(AU450="",AV450=""),"",(AU450+AV450)/2)</f>
        <v>0</v>
      </c>
      <c r="AX450">
        <f>IF(COUNT($E$2:$E450)&lt;52,"",(MAX($C$399:$C$450)+MIN($D$399:$D$450))/2)</f>
        <v>0</v>
      </c>
      <c r="AY450">
        <f>IF(COUNT($E$2:$E450)&lt;20,"",MAX($C$351:$C$450))</f>
        <v>0</v>
      </c>
      <c r="AZ450">
        <f>IF(COUNT($E$2:$E450)&lt;20,"",MIN($D$351:$D$450))</f>
        <v>0</v>
      </c>
      <c r="BA450">
        <f>IF(COUNT($E$2:$E450)&lt;20,"",SLOPE($E$351:$E$450,$F$351:$F$450))</f>
        <v>0</v>
      </c>
      <c r="BB450">
        <f>IF(COUNT($E$2:$E450)&lt;20,"",INTERCEPT($E$351:$E$450,$F$351:$F$450))</f>
        <v>0</v>
      </c>
      <c r="BC450">
        <f>IF(OR(BA450="",BB450=""),"",BB450+BA450*F450)</f>
        <v>0</v>
      </c>
      <c r="BD450">
        <f>IF(COUNT($E$2:$E450)&lt;20,"",STEYX($E$351:$E$450,$F$351:$F$450))</f>
        <v>0</v>
      </c>
      <c r="BE450">
        <f>IF($E450="","",IF(AND(COUNT($E$451:$E$454)&gt;=4,$C450=MAX($C$446:$C$454)),$C450,""))</f>
        <v>0</v>
      </c>
      <c r="BF450">
        <f>IF($E450="","",IF(AND(COUNT($E$451:$E$454)&gt;=4,$D450=MIN($D$446:$D$454)),$D450,""))</f>
        <v>0</v>
      </c>
      <c r="BG450">
        <f>IF($A450="","",$A450-WEEKDAY($A450,2)+1)</f>
        <v>0</v>
      </c>
      <c r="BH450">
        <f>IF($A450="","",IF($A449="",1,IF(BG450&lt;&gt;BG449,1,0)))</f>
        <v>0</v>
      </c>
      <c r="BI450">
        <f>IF($A450="","",IF($A451="",1,IF(BG451&lt;&gt;BG450,1,0)))</f>
        <v>0</v>
      </c>
      <c r="BJ450">
        <f>IF($A450="","",IF(BH450=1,$B450,BJ449))</f>
        <v>0</v>
      </c>
      <c r="BK450">
        <f>IF($A450="","",IF(BH450=1,$C450,MAX($C450,BK449)))</f>
        <v>0</v>
      </c>
      <c r="BL450">
        <f>IF($A450="","",IF(BH450=1,$D450,MIN($D450,BL449)))</f>
        <v>0</v>
      </c>
      <c r="BM450">
        <f>IF($A450="","",IF(BI450=1,F450,""))</f>
        <v>0</v>
      </c>
      <c r="BN450">
        <f>IF($A450="","",DATE(YEAR($A450),MONTH($A450),1))</f>
        <v>0</v>
      </c>
      <c r="BO450">
        <f>IF($A450="","",IF($A449="",1,IF(BN450&lt;&gt;BN449,1,0)))</f>
        <v>0</v>
      </c>
      <c r="BP450">
        <f>IF($A450="","",IF($A451="",1,IF(BN451&lt;&gt;BN450,1,0)))</f>
        <v>0</v>
      </c>
      <c r="BQ450">
        <f>IF($A450="","",IF(BO450=1,$B450,BQ449))</f>
        <v>0</v>
      </c>
      <c r="BR450">
        <f>IF($A450="","",IF(BO450=1,$C450,MAX($C450,BR449)))</f>
        <v>0</v>
      </c>
      <c r="BS450">
        <f>IF($A450="","",IF(BO450=1,$D450,MIN($D450,BS449)))</f>
        <v>0</v>
      </c>
      <c r="BT450">
        <f>IF($A450="","",IF(BP450=1,F450,""))</f>
        <v>0</v>
      </c>
    </row>
    <row r="451" spans="1:72">
      <c r="A451" s="27">
        <f>IF(Data!$A451="","",Data!$A451)</f>
        <v>0</v>
      </c>
      <c r="B451">
        <f>IF(Data!$B451="","",Data!$B451)</f>
        <v>0</v>
      </c>
      <c r="C451">
        <f>IF(Data!$C451="","",Data!$C451)</f>
        <v>0</v>
      </c>
      <c r="D451">
        <f>IF(Data!$D451="","",Data!$D451)</f>
        <v>0</v>
      </c>
      <c r="E451">
        <f>IF(Data!$E451="","",Data!$E451)</f>
        <v>0</v>
      </c>
      <c r="F451">
        <f>IF($E451="","",N(F450)+1)</f>
        <v>0</v>
      </c>
      <c r="G451">
        <f>IF(OR($E451="",$E450=""),"",LN($E451/$E450))</f>
        <v>0</v>
      </c>
      <c r="H451">
        <f>IF($E451="","",IF($E450="",$E451,$E451*0.0952380952+H450*0.9047619048))</f>
        <v>0</v>
      </c>
      <c r="I451">
        <f>IF($E451="","",IF($E450="",$E451,$E451*0.0392156863+I450*0.9607843137))</f>
        <v>0</v>
      </c>
      <c r="J451">
        <f>IF($E451="","",IF($E450="",$E451,$E451*0.0198019802+J450*0.9801980198))</f>
        <v>0</v>
      </c>
      <c r="K451">
        <f>IF($E451="","",IF($E450="",$E451,$E451*0.0099502488+K450*0.9900497512))</f>
        <v>0</v>
      </c>
      <c r="L451">
        <f>IF(OR($E451="",$E450=""),"",MAX($E451-$E450,0))</f>
        <v>0</v>
      </c>
      <c r="M451">
        <f>IF(OR($E451="",$E450=""),"",MAX($E450-$E451,0))</f>
        <v>0</v>
      </c>
      <c r="N451">
        <f>IF(COUNT($E$2:$E451)&lt;15,"",IF(AVERAGE($M$438:$M$451)=0,100,100-100/(1+AVERAGE($L$438:$L$451)/AVERAGE($M$438:$M$451))))</f>
        <v>0</v>
      </c>
      <c r="O451">
        <f>IF($E451="","",IF($E450="",$E451,$E451*0.1538461538+O450*0.8461538462))</f>
        <v>0</v>
      </c>
      <c r="P451">
        <f>IF($E451="","",IF($E450="",$E451,$E451*0.0740740741+P450*0.9259259259))</f>
        <v>0</v>
      </c>
      <c r="Q451">
        <f>IF(OR(O451="",P451=""),"",O451-P451)</f>
        <v>0</v>
      </c>
      <c r="R451">
        <f>IF(Q451="","",IF(R450="",Q451,Q451*0.2000000000+R450*0.8000000000))</f>
        <v>0</v>
      </c>
      <c r="S451">
        <f>IF(OR(Q451="",R451=""),"",Q451-R451)</f>
        <v>0</v>
      </c>
      <c r="T451">
        <f>IF(COUNT($E$2:$E451)&lt;14,"",MAX($C$438:$C$451))</f>
        <v>0</v>
      </c>
      <c r="U451">
        <f>IF(COUNT($E$2:$E451)&lt;14,"",MIN($D$438:$D$451))</f>
        <v>0</v>
      </c>
      <c r="V451">
        <f>IF(OR(T451="",U451="",T451=U451),"",100*($E451-U451)/(T451-U451))</f>
        <v>0</v>
      </c>
      <c r="W451">
        <f>IF(COUNT($V$449:$V$451)&lt;3,"",AVERAGE($V$449:$V$451))</f>
        <v>0</v>
      </c>
      <c r="X451">
        <f>IF(COUNT($N$438:$N$451)&lt;14,"",MIN($N$438:$N$451))</f>
        <v>0</v>
      </c>
      <c r="Y451">
        <f>IF(COUNT($N$438:$N$451)&lt;14,"",MAX($N$438:$N$451))</f>
        <v>0</v>
      </c>
      <c r="Z451">
        <f>IF(OR(N451="",X451="",Y451="",Y451=X451),"",100*(N451-X451)/(Y451-X451))</f>
        <v>0</v>
      </c>
      <c r="AA451">
        <f>IF(COUNT($Z$449:$Z$451)&lt;3,"",AVERAGE($Z$449:$Z$451))</f>
        <v>0</v>
      </c>
      <c r="AB451">
        <f>IF(COUNT($AA$449:$AA$451)&lt;3,"",AVERAGE($AA$449:$AA$451))</f>
        <v>0</v>
      </c>
      <c r="AC451">
        <f>IF($E451="","",MAX($C451-$D451,ABS($C451-$E450),ABS($D451-$E450)))</f>
        <v>0</v>
      </c>
      <c r="AD451">
        <f>IF(COUNT($E$2:$E451)&lt;15,"",AVERAGE($AC$438:$AC$451))</f>
        <v>0</v>
      </c>
      <c r="AE451">
        <f>IF(OR($E451="",$E450=""),"",IF(AND(($C451-$C450)&gt;($D450-$D451),($C451-$C450)&gt;0),$C451-$C450,0))</f>
        <v>0</v>
      </c>
      <c r="AF451">
        <f>IF(OR($E451="",$E450=""),"",IF(AND(($D450-$D451)&gt;($C451-$C450),($D450-$D451)&gt;0),$D450-$D451,0))</f>
        <v>0</v>
      </c>
      <c r="AG451">
        <f>IF(COUNT($E$2:$E451)&lt;15,"",IF(SUM($AC$438:$AC$451)=0,0,100*SUM($AE$438:$AE$451)/SUM($AC$438:$AC$451)))</f>
        <v>0</v>
      </c>
      <c r="AH451">
        <f>IF(COUNT($E$2:$E451)&lt;15,"",IF(SUM($AC$438:$AC$451)=0,0,100*SUM($AF$438:$AF$451)/SUM($AC$438:$AC$451)))</f>
        <v>0</v>
      </c>
      <c r="AI451">
        <f>IF(OR(AG451="",AH451=""),"",IF((AG451+AH451)=0,0,100*ABS(AG451-AH451)/(AG451+AH451)))</f>
        <v>0</v>
      </c>
      <c r="AJ451">
        <f>IF(COUNT($AI$438:$AI$451)&lt;14,"",AVERAGE($AI$438:$AI$451))</f>
        <v>0</v>
      </c>
      <c r="AK451">
        <f>IF(COUNT($E$2:$E451)&lt;20,"",AVERAGE($E$432:$E$451))</f>
        <v>0</v>
      </c>
      <c r="AL451">
        <f>IF(COUNT($E$2:$E451)&lt;20,"",STDEVP($E$432:$E$451))</f>
        <v>0</v>
      </c>
      <c r="AM451">
        <f>IF(AK451="","",AK451+2*AL451)</f>
        <v>0</v>
      </c>
      <c r="AN451">
        <f>IF(AK451="","",AK451-2*AL451)</f>
        <v>0</v>
      </c>
      <c r="AO451">
        <f>IF(OR(AM451="",AN451="",AM451=AN451),"",($E451-AN451)/(AM451-AN451))</f>
        <v>0</v>
      </c>
      <c r="AP451">
        <f>IF(OR(AM451="",AK451="",AK451=0),"",(AM451-AN451)/AK451)</f>
        <v>0</v>
      </c>
      <c r="AQ451">
        <f>IF(COUNT($E$2:$E451)&lt;20,"",MAX($C$432:$C$451))</f>
        <v>0</v>
      </c>
      <c r="AR451">
        <f>IF(COUNT($E$2:$E451)&lt;20,"",MIN($D$432:$D$451))</f>
        <v>0</v>
      </c>
      <c r="AS451">
        <f>IF(OR(AQ451="",AR451=""),"",(AQ451+AR451)/2)</f>
        <v>0</v>
      </c>
      <c r="AT451">
        <f>IF(COUNT($G$432:$G$451)&lt;20,"",STDEV($G$432:$G$451)*SQRT(252))</f>
        <v>0</v>
      </c>
      <c r="AU451">
        <f>IF(COUNT($E$2:$E451)&lt;9,"",(MAX($C$443:$C$451)+MIN($D$443:$D$451))/2)</f>
        <v>0</v>
      </c>
      <c r="AV451">
        <f>IF(COUNT($E$2:$E451)&lt;26,"",(MAX($C$426:$C$451)+MIN($D$426:$D$451))/2)</f>
        <v>0</v>
      </c>
      <c r="AW451">
        <f>IF(OR(AU451="",AV451=""),"",(AU451+AV451)/2)</f>
        <v>0</v>
      </c>
      <c r="AX451">
        <f>IF(COUNT($E$2:$E451)&lt;52,"",(MAX($C$400:$C$451)+MIN($D$400:$D$451))/2)</f>
        <v>0</v>
      </c>
      <c r="AY451">
        <f>IF(COUNT($E$2:$E451)&lt;20,"",MAX($C$352:$C$451))</f>
        <v>0</v>
      </c>
      <c r="AZ451">
        <f>IF(COUNT($E$2:$E451)&lt;20,"",MIN($D$352:$D$451))</f>
        <v>0</v>
      </c>
      <c r="BA451">
        <f>IF(COUNT($E$2:$E451)&lt;20,"",SLOPE($E$352:$E$451,$F$352:$F$451))</f>
        <v>0</v>
      </c>
      <c r="BB451">
        <f>IF(COUNT($E$2:$E451)&lt;20,"",INTERCEPT($E$352:$E$451,$F$352:$F$451))</f>
        <v>0</v>
      </c>
      <c r="BC451">
        <f>IF(OR(BA451="",BB451=""),"",BB451+BA451*F451)</f>
        <v>0</v>
      </c>
      <c r="BD451">
        <f>IF(COUNT($E$2:$E451)&lt;20,"",STEYX($E$352:$E$451,$F$352:$F$451))</f>
        <v>0</v>
      </c>
      <c r="BE451">
        <f>IF($E451="","",IF(AND(COUNT($E$452:$E$455)&gt;=4,$C451=MAX($C$447:$C$455)),$C451,""))</f>
        <v>0</v>
      </c>
      <c r="BF451">
        <f>IF($E451="","",IF(AND(COUNT($E$452:$E$455)&gt;=4,$D451=MIN($D$447:$D$455)),$D451,""))</f>
        <v>0</v>
      </c>
      <c r="BG451">
        <f>IF($A451="","",$A451-WEEKDAY($A451,2)+1)</f>
        <v>0</v>
      </c>
      <c r="BH451">
        <f>IF($A451="","",IF($A450="",1,IF(BG451&lt;&gt;BG450,1,0)))</f>
        <v>0</v>
      </c>
      <c r="BI451">
        <f>IF($A451="","",IF($A452="",1,IF(BG452&lt;&gt;BG451,1,0)))</f>
        <v>0</v>
      </c>
      <c r="BJ451">
        <f>IF($A451="","",IF(BH451=1,$B451,BJ450))</f>
        <v>0</v>
      </c>
      <c r="BK451">
        <f>IF($A451="","",IF(BH451=1,$C451,MAX($C451,BK450)))</f>
        <v>0</v>
      </c>
      <c r="BL451">
        <f>IF($A451="","",IF(BH451=1,$D451,MIN($D451,BL450)))</f>
        <v>0</v>
      </c>
      <c r="BM451">
        <f>IF($A451="","",IF(BI451=1,F451,""))</f>
        <v>0</v>
      </c>
      <c r="BN451">
        <f>IF($A451="","",DATE(YEAR($A451),MONTH($A451),1))</f>
        <v>0</v>
      </c>
      <c r="BO451">
        <f>IF($A451="","",IF($A450="",1,IF(BN451&lt;&gt;BN450,1,0)))</f>
        <v>0</v>
      </c>
      <c r="BP451">
        <f>IF($A451="","",IF($A452="",1,IF(BN452&lt;&gt;BN451,1,0)))</f>
        <v>0</v>
      </c>
      <c r="BQ451">
        <f>IF($A451="","",IF(BO451=1,$B451,BQ450))</f>
        <v>0</v>
      </c>
      <c r="BR451">
        <f>IF($A451="","",IF(BO451=1,$C451,MAX($C451,BR450)))</f>
        <v>0</v>
      </c>
      <c r="BS451">
        <f>IF($A451="","",IF(BO451=1,$D451,MIN($D451,BS450)))</f>
        <v>0</v>
      </c>
      <c r="BT451">
        <f>IF($A451="","",IF(BP451=1,F451,""))</f>
        <v>0</v>
      </c>
    </row>
    <row r="452" spans="1:72">
      <c r="A452" s="27">
        <f>IF(Data!$A452="","",Data!$A452)</f>
        <v>0</v>
      </c>
      <c r="B452">
        <f>IF(Data!$B452="","",Data!$B452)</f>
        <v>0</v>
      </c>
      <c r="C452">
        <f>IF(Data!$C452="","",Data!$C452)</f>
        <v>0</v>
      </c>
      <c r="D452">
        <f>IF(Data!$D452="","",Data!$D452)</f>
        <v>0</v>
      </c>
      <c r="E452">
        <f>IF(Data!$E452="","",Data!$E452)</f>
        <v>0</v>
      </c>
      <c r="F452">
        <f>IF($E452="","",N(F451)+1)</f>
        <v>0</v>
      </c>
      <c r="G452">
        <f>IF(OR($E452="",$E451=""),"",LN($E452/$E451))</f>
        <v>0</v>
      </c>
      <c r="H452">
        <f>IF($E452="","",IF($E451="",$E452,$E452*0.0952380952+H451*0.9047619048))</f>
        <v>0</v>
      </c>
      <c r="I452">
        <f>IF($E452="","",IF($E451="",$E452,$E452*0.0392156863+I451*0.9607843137))</f>
        <v>0</v>
      </c>
      <c r="J452">
        <f>IF($E452="","",IF($E451="",$E452,$E452*0.0198019802+J451*0.9801980198))</f>
        <v>0</v>
      </c>
      <c r="K452">
        <f>IF($E452="","",IF($E451="",$E452,$E452*0.0099502488+K451*0.9900497512))</f>
        <v>0</v>
      </c>
      <c r="L452">
        <f>IF(OR($E452="",$E451=""),"",MAX($E452-$E451,0))</f>
        <v>0</v>
      </c>
      <c r="M452">
        <f>IF(OR($E452="",$E451=""),"",MAX($E451-$E452,0))</f>
        <v>0</v>
      </c>
      <c r="N452">
        <f>IF(COUNT($E$2:$E452)&lt;15,"",IF(AVERAGE($M$439:$M$452)=0,100,100-100/(1+AVERAGE($L$439:$L$452)/AVERAGE($M$439:$M$452))))</f>
        <v>0</v>
      </c>
      <c r="O452">
        <f>IF($E452="","",IF($E451="",$E452,$E452*0.1538461538+O451*0.8461538462))</f>
        <v>0</v>
      </c>
      <c r="P452">
        <f>IF($E452="","",IF($E451="",$E452,$E452*0.0740740741+P451*0.9259259259))</f>
        <v>0</v>
      </c>
      <c r="Q452">
        <f>IF(OR(O452="",P452=""),"",O452-P452)</f>
        <v>0</v>
      </c>
      <c r="R452">
        <f>IF(Q452="","",IF(R451="",Q452,Q452*0.2000000000+R451*0.8000000000))</f>
        <v>0</v>
      </c>
      <c r="S452">
        <f>IF(OR(Q452="",R452=""),"",Q452-R452)</f>
        <v>0</v>
      </c>
      <c r="T452">
        <f>IF(COUNT($E$2:$E452)&lt;14,"",MAX($C$439:$C$452))</f>
        <v>0</v>
      </c>
      <c r="U452">
        <f>IF(COUNT($E$2:$E452)&lt;14,"",MIN($D$439:$D$452))</f>
        <v>0</v>
      </c>
      <c r="V452">
        <f>IF(OR(T452="",U452="",T452=U452),"",100*($E452-U452)/(T452-U452))</f>
        <v>0</v>
      </c>
      <c r="W452">
        <f>IF(COUNT($V$450:$V$452)&lt;3,"",AVERAGE($V$450:$V$452))</f>
        <v>0</v>
      </c>
      <c r="X452">
        <f>IF(COUNT($N$439:$N$452)&lt;14,"",MIN($N$439:$N$452))</f>
        <v>0</v>
      </c>
      <c r="Y452">
        <f>IF(COUNT($N$439:$N$452)&lt;14,"",MAX($N$439:$N$452))</f>
        <v>0</v>
      </c>
      <c r="Z452">
        <f>IF(OR(N452="",X452="",Y452="",Y452=X452),"",100*(N452-X452)/(Y452-X452))</f>
        <v>0</v>
      </c>
      <c r="AA452">
        <f>IF(COUNT($Z$450:$Z$452)&lt;3,"",AVERAGE($Z$450:$Z$452))</f>
        <v>0</v>
      </c>
      <c r="AB452">
        <f>IF(COUNT($AA$450:$AA$452)&lt;3,"",AVERAGE($AA$450:$AA$452))</f>
        <v>0</v>
      </c>
      <c r="AC452">
        <f>IF($E452="","",MAX($C452-$D452,ABS($C452-$E451),ABS($D452-$E451)))</f>
        <v>0</v>
      </c>
      <c r="AD452">
        <f>IF(COUNT($E$2:$E452)&lt;15,"",AVERAGE($AC$439:$AC$452))</f>
        <v>0</v>
      </c>
      <c r="AE452">
        <f>IF(OR($E452="",$E451=""),"",IF(AND(($C452-$C451)&gt;($D451-$D452),($C452-$C451)&gt;0),$C452-$C451,0))</f>
        <v>0</v>
      </c>
      <c r="AF452">
        <f>IF(OR($E452="",$E451=""),"",IF(AND(($D451-$D452)&gt;($C452-$C451),($D451-$D452)&gt;0),$D451-$D452,0))</f>
        <v>0</v>
      </c>
      <c r="AG452">
        <f>IF(COUNT($E$2:$E452)&lt;15,"",IF(SUM($AC$439:$AC$452)=0,0,100*SUM($AE$439:$AE$452)/SUM($AC$439:$AC$452)))</f>
        <v>0</v>
      </c>
      <c r="AH452">
        <f>IF(COUNT($E$2:$E452)&lt;15,"",IF(SUM($AC$439:$AC$452)=0,0,100*SUM($AF$439:$AF$452)/SUM($AC$439:$AC$452)))</f>
        <v>0</v>
      </c>
      <c r="AI452">
        <f>IF(OR(AG452="",AH452=""),"",IF((AG452+AH452)=0,0,100*ABS(AG452-AH452)/(AG452+AH452)))</f>
        <v>0</v>
      </c>
      <c r="AJ452">
        <f>IF(COUNT($AI$439:$AI$452)&lt;14,"",AVERAGE($AI$439:$AI$452))</f>
        <v>0</v>
      </c>
      <c r="AK452">
        <f>IF(COUNT($E$2:$E452)&lt;20,"",AVERAGE($E$433:$E$452))</f>
        <v>0</v>
      </c>
      <c r="AL452">
        <f>IF(COUNT($E$2:$E452)&lt;20,"",STDEVP($E$433:$E$452))</f>
        <v>0</v>
      </c>
      <c r="AM452">
        <f>IF(AK452="","",AK452+2*AL452)</f>
        <v>0</v>
      </c>
      <c r="AN452">
        <f>IF(AK452="","",AK452-2*AL452)</f>
        <v>0</v>
      </c>
      <c r="AO452">
        <f>IF(OR(AM452="",AN452="",AM452=AN452),"",($E452-AN452)/(AM452-AN452))</f>
        <v>0</v>
      </c>
      <c r="AP452">
        <f>IF(OR(AM452="",AK452="",AK452=0),"",(AM452-AN452)/AK452)</f>
        <v>0</v>
      </c>
      <c r="AQ452">
        <f>IF(COUNT($E$2:$E452)&lt;20,"",MAX($C$433:$C$452))</f>
        <v>0</v>
      </c>
      <c r="AR452">
        <f>IF(COUNT($E$2:$E452)&lt;20,"",MIN($D$433:$D$452))</f>
        <v>0</v>
      </c>
      <c r="AS452">
        <f>IF(OR(AQ452="",AR452=""),"",(AQ452+AR452)/2)</f>
        <v>0</v>
      </c>
      <c r="AT452">
        <f>IF(COUNT($G$433:$G$452)&lt;20,"",STDEV($G$433:$G$452)*SQRT(252))</f>
        <v>0</v>
      </c>
      <c r="AU452">
        <f>IF(COUNT($E$2:$E452)&lt;9,"",(MAX($C$444:$C$452)+MIN($D$444:$D$452))/2)</f>
        <v>0</v>
      </c>
      <c r="AV452">
        <f>IF(COUNT($E$2:$E452)&lt;26,"",(MAX($C$427:$C$452)+MIN($D$427:$D$452))/2)</f>
        <v>0</v>
      </c>
      <c r="AW452">
        <f>IF(OR(AU452="",AV452=""),"",(AU452+AV452)/2)</f>
        <v>0</v>
      </c>
      <c r="AX452">
        <f>IF(COUNT($E$2:$E452)&lt;52,"",(MAX($C$401:$C$452)+MIN($D$401:$D$452))/2)</f>
        <v>0</v>
      </c>
      <c r="AY452">
        <f>IF(COUNT($E$2:$E452)&lt;20,"",MAX($C$353:$C$452))</f>
        <v>0</v>
      </c>
      <c r="AZ452">
        <f>IF(COUNT($E$2:$E452)&lt;20,"",MIN($D$353:$D$452))</f>
        <v>0</v>
      </c>
      <c r="BA452">
        <f>IF(COUNT($E$2:$E452)&lt;20,"",SLOPE($E$353:$E$452,$F$353:$F$452))</f>
        <v>0</v>
      </c>
      <c r="BB452">
        <f>IF(COUNT($E$2:$E452)&lt;20,"",INTERCEPT($E$353:$E$452,$F$353:$F$452))</f>
        <v>0</v>
      </c>
      <c r="BC452">
        <f>IF(OR(BA452="",BB452=""),"",BB452+BA452*F452)</f>
        <v>0</v>
      </c>
      <c r="BD452">
        <f>IF(COUNT($E$2:$E452)&lt;20,"",STEYX($E$353:$E$452,$F$353:$F$452))</f>
        <v>0</v>
      </c>
      <c r="BE452">
        <f>IF($E452="","",IF(AND(COUNT($E$453:$E$456)&gt;=4,$C452=MAX($C$448:$C$456)),$C452,""))</f>
        <v>0</v>
      </c>
      <c r="BF452">
        <f>IF($E452="","",IF(AND(COUNT($E$453:$E$456)&gt;=4,$D452=MIN($D$448:$D$456)),$D452,""))</f>
        <v>0</v>
      </c>
      <c r="BG452">
        <f>IF($A452="","",$A452-WEEKDAY($A452,2)+1)</f>
        <v>0</v>
      </c>
      <c r="BH452">
        <f>IF($A452="","",IF($A451="",1,IF(BG452&lt;&gt;BG451,1,0)))</f>
        <v>0</v>
      </c>
      <c r="BI452">
        <f>IF($A452="","",IF($A453="",1,IF(BG453&lt;&gt;BG452,1,0)))</f>
        <v>0</v>
      </c>
      <c r="BJ452">
        <f>IF($A452="","",IF(BH452=1,$B452,BJ451))</f>
        <v>0</v>
      </c>
      <c r="BK452">
        <f>IF($A452="","",IF(BH452=1,$C452,MAX($C452,BK451)))</f>
        <v>0</v>
      </c>
      <c r="BL452">
        <f>IF($A452="","",IF(BH452=1,$D452,MIN($D452,BL451)))</f>
        <v>0</v>
      </c>
      <c r="BM452">
        <f>IF($A452="","",IF(BI452=1,F452,""))</f>
        <v>0</v>
      </c>
      <c r="BN452">
        <f>IF($A452="","",DATE(YEAR($A452),MONTH($A452),1))</f>
        <v>0</v>
      </c>
      <c r="BO452">
        <f>IF($A452="","",IF($A451="",1,IF(BN452&lt;&gt;BN451,1,0)))</f>
        <v>0</v>
      </c>
      <c r="BP452">
        <f>IF($A452="","",IF($A453="",1,IF(BN453&lt;&gt;BN452,1,0)))</f>
        <v>0</v>
      </c>
      <c r="BQ452">
        <f>IF($A452="","",IF(BO452=1,$B452,BQ451))</f>
        <v>0</v>
      </c>
      <c r="BR452">
        <f>IF($A452="","",IF(BO452=1,$C452,MAX($C452,BR451)))</f>
        <v>0</v>
      </c>
      <c r="BS452">
        <f>IF($A452="","",IF(BO452=1,$D452,MIN($D452,BS451)))</f>
        <v>0</v>
      </c>
      <c r="BT452">
        <f>IF($A452="","",IF(BP452=1,F452,""))</f>
        <v>0</v>
      </c>
    </row>
    <row r="453" spans="1:72">
      <c r="A453" s="27">
        <f>IF(Data!$A453="","",Data!$A453)</f>
        <v>0</v>
      </c>
      <c r="B453">
        <f>IF(Data!$B453="","",Data!$B453)</f>
        <v>0</v>
      </c>
      <c r="C453">
        <f>IF(Data!$C453="","",Data!$C453)</f>
        <v>0</v>
      </c>
      <c r="D453">
        <f>IF(Data!$D453="","",Data!$D453)</f>
        <v>0</v>
      </c>
      <c r="E453">
        <f>IF(Data!$E453="","",Data!$E453)</f>
        <v>0</v>
      </c>
      <c r="F453">
        <f>IF($E453="","",N(F452)+1)</f>
        <v>0</v>
      </c>
      <c r="G453">
        <f>IF(OR($E453="",$E452=""),"",LN($E453/$E452))</f>
        <v>0</v>
      </c>
      <c r="H453">
        <f>IF($E453="","",IF($E452="",$E453,$E453*0.0952380952+H452*0.9047619048))</f>
        <v>0</v>
      </c>
      <c r="I453">
        <f>IF($E453="","",IF($E452="",$E453,$E453*0.0392156863+I452*0.9607843137))</f>
        <v>0</v>
      </c>
      <c r="J453">
        <f>IF($E453="","",IF($E452="",$E453,$E453*0.0198019802+J452*0.9801980198))</f>
        <v>0</v>
      </c>
      <c r="K453">
        <f>IF($E453="","",IF($E452="",$E453,$E453*0.0099502488+K452*0.9900497512))</f>
        <v>0</v>
      </c>
      <c r="L453">
        <f>IF(OR($E453="",$E452=""),"",MAX($E453-$E452,0))</f>
        <v>0</v>
      </c>
      <c r="M453">
        <f>IF(OR($E453="",$E452=""),"",MAX($E452-$E453,0))</f>
        <v>0</v>
      </c>
      <c r="N453">
        <f>IF(COUNT($E$2:$E453)&lt;15,"",IF(AVERAGE($M$440:$M$453)=0,100,100-100/(1+AVERAGE($L$440:$L$453)/AVERAGE($M$440:$M$453))))</f>
        <v>0</v>
      </c>
      <c r="O453">
        <f>IF($E453="","",IF($E452="",$E453,$E453*0.1538461538+O452*0.8461538462))</f>
        <v>0</v>
      </c>
      <c r="P453">
        <f>IF($E453="","",IF($E452="",$E453,$E453*0.0740740741+P452*0.9259259259))</f>
        <v>0</v>
      </c>
      <c r="Q453">
        <f>IF(OR(O453="",P453=""),"",O453-P453)</f>
        <v>0</v>
      </c>
      <c r="R453">
        <f>IF(Q453="","",IF(R452="",Q453,Q453*0.2000000000+R452*0.8000000000))</f>
        <v>0</v>
      </c>
      <c r="S453">
        <f>IF(OR(Q453="",R453=""),"",Q453-R453)</f>
        <v>0</v>
      </c>
      <c r="T453">
        <f>IF(COUNT($E$2:$E453)&lt;14,"",MAX($C$440:$C$453))</f>
        <v>0</v>
      </c>
      <c r="U453">
        <f>IF(COUNT($E$2:$E453)&lt;14,"",MIN($D$440:$D$453))</f>
        <v>0</v>
      </c>
      <c r="V453">
        <f>IF(OR(T453="",U453="",T453=U453),"",100*($E453-U453)/(T453-U453))</f>
        <v>0</v>
      </c>
      <c r="W453">
        <f>IF(COUNT($V$451:$V$453)&lt;3,"",AVERAGE($V$451:$V$453))</f>
        <v>0</v>
      </c>
      <c r="X453">
        <f>IF(COUNT($N$440:$N$453)&lt;14,"",MIN($N$440:$N$453))</f>
        <v>0</v>
      </c>
      <c r="Y453">
        <f>IF(COUNT($N$440:$N$453)&lt;14,"",MAX($N$440:$N$453))</f>
        <v>0</v>
      </c>
      <c r="Z453">
        <f>IF(OR(N453="",X453="",Y453="",Y453=X453),"",100*(N453-X453)/(Y453-X453))</f>
        <v>0</v>
      </c>
      <c r="AA453">
        <f>IF(COUNT($Z$451:$Z$453)&lt;3,"",AVERAGE($Z$451:$Z$453))</f>
        <v>0</v>
      </c>
      <c r="AB453">
        <f>IF(COUNT($AA$451:$AA$453)&lt;3,"",AVERAGE($AA$451:$AA$453))</f>
        <v>0</v>
      </c>
      <c r="AC453">
        <f>IF($E453="","",MAX($C453-$D453,ABS($C453-$E452),ABS($D453-$E452)))</f>
        <v>0</v>
      </c>
      <c r="AD453">
        <f>IF(COUNT($E$2:$E453)&lt;15,"",AVERAGE($AC$440:$AC$453))</f>
        <v>0</v>
      </c>
      <c r="AE453">
        <f>IF(OR($E453="",$E452=""),"",IF(AND(($C453-$C452)&gt;($D452-$D453),($C453-$C452)&gt;0),$C453-$C452,0))</f>
        <v>0</v>
      </c>
      <c r="AF453">
        <f>IF(OR($E453="",$E452=""),"",IF(AND(($D452-$D453)&gt;($C453-$C452),($D452-$D453)&gt;0),$D452-$D453,0))</f>
        <v>0</v>
      </c>
      <c r="AG453">
        <f>IF(COUNT($E$2:$E453)&lt;15,"",IF(SUM($AC$440:$AC$453)=0,0,100*SUM($AE$440:$AE$453)/SUM($AC$440:$AC$453)))</f>
        <v>0</v>
      </c>
      <c r="AH453">
        <f>IF(COUNT($E$2:$E453)&lt;15,"",IF(SUM($AC$440:$AC$453)=0,0,100*SUM($AF$440:$AF$453)/SUM($AC$440:$AC$453)))</f>
        <v>0</v>
      </c>
      <c r="AI453">
        <f>IF(OR(AG453="",AH453=""),"",IF((AG453+AH453)=0,0,100*ABS(AG453-AH453)/(AG453+AH453)))</f>
        <v>0</v>
      </c>
      <c r="AJ453">
        <f>IF(COUNT($AI$440:$AI$453)&lt;14,"",AVERAGE($AI$440:$AI$453))</f>
        <v>0</v>
      </c>
      <c r="AK453">
        <f>IF(COUNT($E$2:$E453)&lt;20,"",AVERAGE($E$434:$E$453))</f>
        <v>0</v>
      </c>
      <c r="AL453">
        <f>IF(COUNT($E$2:$E453)&lt;20,"",STDEVP($E$434:$E$453))</f>
        <v>0</v>
      </c>
      <c r="AM453">
        <f>IF(AK453="","",AK453+2*AL453)</f>
        <v>0</v>
      </c>
      <c r="AN453">
        <f>IF(AK453="","",AK453-2*AL453)</f>
        <v>0</v>
      </c>
      <c r="AO453">
        <f>IF(OR(AM453="",AN453="",AM453=AN453),"",($E453-AN453)/(AM453-AN453))</f>
        <v>0</v>
      </c>
      <c r="AP453">
        <f>IF(OR(AM453="",AK453="",AK453=0),"",(AM453-AN453)/AK453)</f>
        <v>0</v>
      </c>
      <c r="AQ453">
        <f>IF(COUNT($E$2:$E453)&lt;20,"",MAX($C$434:$C$453))</f>
        <v>0</v>
      </c>
      <c r="AR453">
        <f>IF(COUNT($E$2:$E453)&lt;20,"",MIN($D$434:$D$453))</f>
        <v>0</v>
      </c>
      <c r="AS453">
        <f>IF(OR(AQ453="",AR453=""),"",(AQ453+AR453)/2)</f>
        <v>0</v>
      </c>
      <c r="AT453">
        <f>IF(COUNT($G$434:$G$453)&lt;20,"",STDEV($G$434:$G$453)*SQRT(252))</f>
        <v>0</v>
      </c>
      <c r="AU453">
        <f>IF(COUNT($E$2:$E453)&lt;9,"",(MAX($C$445:$C$453)+MIN($D$445:$D$453))/2)</f>
        <v>0</v>
      </c>
      <c r="AV453">
        <f>IF(COUNT($E$2:$E453)&lt;26,"",(MAX($C$428:$C$453)+MIN($D$428:$D$453))/2)</f>
        <v>0</v>
      </c>
      <c r="AW453">
        <f>IF(OR(AU453="",AV453=""),"",(AU453+AV453)/2)</f>
        <v>0</v>
      </c>
      <c r="AX453">
        <f>IF(COUNT($E$2:$E453)&lt;52,"",(MAX($C$402:$C$453)+MIN($D$402:$D$453))/2)</f>
        <v>0</v>
      </c>
      <c r="AY453">
        <f>IF(COUNT($E$2:$E453)&lt;20,"",MAX($C$354:$C$453))</f>
        <v>0</v>
      </c>
      <c r="AZ453">
        <f>IF(COUNT($E$2:$E453)&lt;20,"",MIN($D$354:$D$453))</f>
        <v>0</v>
      </c>
      <c r="BA453">
        <f>IF(COUNT($E$2:$E453)&lt;20,"",SLOPE($E$354:$E$453,$F$354:$F$453))</f>
        <v>0</v>
      </c>
      <c r="BB453">
        <f>IF(COUNT($E$2:$E453)&lt;20,"",INTERCEPT($E$354:$E$453,$F$354:$F$453))</f>
        <v>0</v>
      </c>
      <c r="BC453">
        <f>IF(OR(BA453="",BB453=""),"",BB453+BA453*F453)</f>
        <v>0</v>
      </c>
      <c r="BD453">
        <f>IF(COUNT($E$2:$E453)&lt;20,"",STEYX($E$354:$E$453,$F$354:$F$453))</f>
        <v>0</v>
      </c>
      <c r="BE453">
        <f>IF($E453="","",IF(AND(COUNT($E$454:$E$457)&gt;=4,$C453=MAX($C$449:$C$457)),$C453,""))</f>
        <v>0</v>
      </c>
      <c r="BF453">
        <f>IF($E453="","",IF(AND(COUNT($E$454:$E$457)&gt;=4,$D453=MIN($D$449:$D$457)),$D453,""))</f>
        <v>0</v>
      </c>
      <c r="BG453">
        <f>IF($A453="","",$A453-WEEKDAY($A453,2)+1)</f>
        <v>0</v>
      </c>
      <c r="BH453">
        <f>IF($A453="","",IF($A452="",1,IF(BG453&lt;&gt;BG452,1,0)))</f>
        <v>0</v>
      </c>
      <c r="BI453">
        <f>IF($A453="","",IF($A454="",1,IF(BG454&lt;&gt;BG453,1,0)))</f>
        <v>0</v>
      </c>
      <c r="BJ453">
        <f>IF($A453="","",IF(BH453=1,$B453,BJ452))</f>
        <v>0</v>
      </c>
      <c r="BK453">
        <f>IF($A453="","",IF(BH453=1,$C453,MAX($C453,BK452)))</f>
        <v>0</v>
      </c>
      <c r="BL453">
        <f>IF($A453="","",IF(BH453=1,$D453,MIN($D453,BL452)))</f>
        <v>0</v>
      </c>
      <c r="BM453">
        <f>IF($A453="","",IF(BI453=1,F453,""))</f>
        <v>0</v>
      </c>
      <c r="BN453">
        <f>IF($A453="","",DATE(YEAR($A453),MONTH($A453),1))</f>
        <v>0</v>
      </c>
      <c r="BO453">
        <f>IF($A453="","",IF($A452="",1,IF(BN453&lt;&gt;BN452,1,0)))</f>
        <v>0</v>
      </c>
      <c r="BP453">
        <f>IF($A453="","",IF($A454="",1,IF(BN454&lt;&gt;BN453,1,0)))</f>
        <v>0</v>
      </c>
      <c r="BQ453">
        <f>IF($A453="","",IF(BO453=1,$B453,BQ452))</f>
        <v>0</v>
      </c>
      <c r="BR453">
        <f>IF($A453="","",IF(BO453=1,$C453,MAX($C453,BR452)))</f>
        <v>0</v>
      </c>
      <c r="BS453">
        <f>IF($A453="","",IF(BO453=1,$D453,MIN($D453,BS452)))</f>
        <v>0</v>
      </c>
      <c r="BT453">
        <f>IF($A453="","",IF(BP453=1,F453,""))</f>
        <v>0</v>
      </c>
    </row>
    <row r="454" spans="1:72">
      <c r="A454" s="27">
        <f>IF(Data!$A454="","",Data!$A454)</f>
        <v>0</v>
      </c>
      <c r="B454">
        <f>IF(Data!$B454="","",Data!$B454)</f>
        <v>0</v>
      </c>
      <c r="C454">
        <f>IF(Data!$C454="","",Data!$C454)</f>
        <v>0</v>
      </c>
      <c r="D454">
        <f>IF(Data!$D454="","",Data!$D454)</f>
        <v>0</v>
      </c>
      <c r="E454">
        <f>IF(Data!$E454="","",Data!$E454)</f>
        <v>0</v>
      </c>
      <c r="F454">
        <f>IF($E454="","",N(F453)+1)</f>
        <v>0</v>
      </c>
      <c r="G454">
        <f>IF(OR($E454="",$E453=""),"",LN($E454/$E453))</f>
        <v>0</v>
      </c>
      <c r="H454">
        <f>IF($E454="","",IF($E453="",$E454,$E454*0.0952380952+H453*0.9047619048))</f>
        <v>0</v>
      </c>
      <c r="I454">
        <f>IF($E454="","",IF($E453="",$E454,$E454*0.0392156863+I453*0.9607843137))</f>
        <v>0</v>
      </c>
      <c r="J454">
        <f>IF($E454="","",IF($E453="",$E454,$E454*0.0198019802+J453*0.9801980198))</f>
        <v>0</v>
      </c>
      <c r="K454">
        <f>IF($E454="","",IF($E453="",$E454,$E454*0.0099502488+K453*0.9900497512))</f>
        <v>0</v>
      </c>
      <c r="L454">
        <f>IF(OR($E454="",$E453=""),"",MAX($E454-$E453,0))</f>
        <v>0</v>
      </c>
      <c r="M454">
        <f>IF(OR($E454="",$E453=""),"",MAX($E453-$E454,0))</f>
        <v>0</v>
      </c>
      <c r="N454">
        <f>IF(COUNT($E$2:$E454)&lt;15,"",IF(AVERAGE($M$441:$M$454)=0,100,100-100/(1+AVERAGE($L$441:$L$454)/AVERAGE($M$441:$M$454))))</f>
        <v>0</v>
      </c>
      <c r="O454">
        <f>IF($E454="","",IF($E453="",$E454,$E454*0.1538461538+O453*0.8461538462))</f>
        <v>0</v>
      </c>
      <c r="P454">
        <f>IF($E454="","",IF($E453="",$E454,$E454*0.0740740741+P453*0.9259259259))</f>
        <v>0</v>
      </c>
      <c r="Q454">
        <f>IF(OR(O454="",P454=""),"",O454-P454)</f>
        <v>0</v>
      </c>
      <c r="R454">
        <f>IF(Q454="","",IF(R453="",Q454,Q454*0.2000000000+R453*0.8000000000))</f>
        <v>0</v>
      </c>
      <c r="S454">
        <f>IF(OR(Q454="",R454=""),"",Q454-R454)</f>
        <v>0</v>
      </c>
      <c r="T454">
        <f>IF(COUNT($E$2:$E454)&lt;14,"",MAX($C$441:$C$454))</f>
        <v>0</v>
      </c>
      <c r="U454">
        <f>IF(COUNT($E$2:$E454)&lt;14,"",MIN($D$441:$D$454))</f>
        <v>0</v>
      </c>
      <c r="V454">
        <f>IF(OR(T454="",U454="",T454=U454),"",100*($E454-U454)/(T454-U454))</f>
        <v>0</v>
      </c>
      <c r="W454">
        <f>IF(COUNT($V$452:$V$454)&lt;3,"",AVERAGE($V$452:$V$454))</f>
        <v>0</v>
      </c>
      <c r="X454">
        <f>IF(COUNT($N$441:$N$454)&lt;14,"",MIN($N$441:$N$454))</f>
        <v>0</v>
      </c>
      <c r="Y454">
        <f>IF(COUNT($N$441:$N$454)&lt;14,"",MAX($N$441:$N$454))</f>
        <v>0</v>
      </c>
      <c r="Z454">
        <f>IF(OR(N454="",X454="",Y454="",Y454=X454),"",100*(N454-X454)/(Y454-X454))</f>
        <v>0</v>
      </c>
      <c r="AA454">
        <f>IF(COUNT($Z$452:$Z$454)&lt;3,"",AVERAGE($Z$452:$Z$454))</f>
        <v>0</v>
      </c>
      <c r="AB454">
        <f>IF(COUNT($AA$452:$AA$454)&lt;3,"",AVERAGE($AA$452:$AA$454))</f>
        <v>0</v>
      </c>
      <c r="AC454">
        <f>IF($E454="","",MAX($C454-$D454,ABS($C454-$E453),ABS($D454-$E453)))</f>
        <v>0</v>
      </c>
      <c r="AD454">
        <f>IF(COUNT($E$2:$E454)&lt;15,"",AVERAGE($AC$441:$AC$454))</f>
        <v>0</v>
      </c>
      <c r="AE454">
        <f>IF(OR($E454="",$E453=""),"",IF(AND(($C454-$C453)&gt;($D453-$D454),($C454-$C453)&gt;0),$C454-$C453,0))</f>
        <v>0</v>
      </c>
      <c r="AF454">
        <f>IF(OR($E454="",$E453=""),"",IF(AND(($D453-$D454)&gt;($C454-$C453),($D453-$D454)&gt;0),$D453-$D454,0))</f>
        <v>0</v>
      </c>
      <c r="AG454">
        <f>IF(COUNT($E$2:$E454)&lt;15,"",IF(SUM($AC$441:$AC$454)=0,0,100*SUM($AE$441:$AE$454)/SUM($AC$441:$AC$454)))</f>
        <v>0</v>
      </c>
      <c r="AH454">
        <f>IF(COUNT($E$2:$E454)&lt;15,"",IF(SUM($AC$441:$AC$454)=0,0,100*SUM($AF$441:$AF$454)/SUM($AC$441:$AC$454)))</f>
        <v>0</v>
      </c>
      <c r="AI454">
        <f>IF(OR(AG454="",AH454=""),"",IF((AG454+AH454)=0,0,100*ABS(AG454-AH454)/(AG454+AH454)))</f>
        <v>0</v>
      </c>
      <c r="AJ454">
        <f>IF(COUNT($AI$441:$AI$454)&lt;14,"",AVERAGE($AI$441:$AI$454))</f>
        <v>0</v>
      </c>
      <c r="AK454">
        <f>IF(COUNT($E$2:$E454)&lt;20,"",AVERAGE($E$435:$E$454))</f>
        <v>0</v>
      </c>
      <c r="AL454">
        <f>IF(COUNT($E$2:$E454)&lt;20,"",STDEVP($E$435:$E$454))</f>
        <v>0</v>
      </c>
      <c r="AM454">
        <f>IF(AK454="","",AK454+2*AL454)</f>
        <v>0</v>
      </c>
      <c r="AN454">
        <f>IF(AK454="","",AK454-2*AL454)</f>
        <v>0</v>
      </c>
      <c r="AO454">
        <f>IF(OR(AM454="",AN454="",AM454=AN454),"",($E454-AN454)/(AM454-AN454))</f>
        <v>0</v>
      </c>
      <c r="AP454">
        <f>IF(OR(AM454="",AK454="",AK454=0),"",(AM454-AN454)/AK454)</f>
        <v>0</v>
      </c>
      <c r="AQ454">
        <f>IF(COUNT($E$2:$E454)&lt;20,"",MAX($C$435:$C$454))</f>
        <v>0</v>
      </c>
      <c r="AR454">
        <f>IF(COUNT($E$2:$E454)&lt;20,"",MIN($D$435:$D$454))</f>
        <v>0</v>
      </c>
      <c r="AS454">
        <f>IF(OR(AQ454="",AR454=""),"",(AQ454+AR454)/2)</f>
        <v>0</v>
      </c>
      <c r="AT454">
        <f>IF(COUNT($G$435:$G$454)&lt;20,"",STDEV($G$435:$G$454)*SQRT(252))</f>
        <v>0</v>
      </c>
      <c r="AU454">
        <f>IF(COUNT($E$2:$E454)&lt;9,"",(MAX($C$446:$C$454)+MIN($D$446:$D$454))/2)</f>
        <v>0</v>
      </c>
      <c r="AV454">
        <f>IF(COUNT($E$2:$E454)&lt;26,"",(MAX($C$429:$C$454)+MIN($D$429:$D$454))/2)</f>
        <v>0</v>
      </c>
      <c r="AW454">
        <f>IF(OR(AU454="",AV454=""),"",(AU454+AV454)/2)</f>
        <v>0</v>
      </c>
      <c r="AX454">
        <f>IF(COUNT($E$2:$E454)&lt;52,"",(MAX($C$403:$C$454)+MIN($D$403:$D$454))/2)</f>
        <v>0</v>
      </c>
      <c r="AY454">
        <f>IF(COUNT($E$2:$E454)&lt;20,"",MAX($C$355:$C$454))</f>
        <v>0</v>
      </c>
      <c r="AZ454">
        <f>IF(COUNT($E$2:$E454)&lt;20,"",MIN($D$355:$D$454))</f>
        <v>0</v>
      </c>
      <c r="BA454">
        <f>IF(COUNT($E$2:$E454)&lt;20,"",SLOPE($E$355:$E$454,$F$355:$F$454))</f>
        <v>0</v>
      </c>
      <c r="BB454">
        <f>IF(COUNT($E$2:$E454)&lt;20,"",INTERCEPT($E$355:$E$454,$F$355:$F$454))</f>
        <v>0</v>
      </c>
      <c r="BC454">
        <f>IF(OR(BA454="",BB454=""),"",BB454+BA454*F454)</f>
        <v>0</v>
      </c>
      <c r="BD454">
        <f>IF(COUNT($E$2:$E454)&lt;20,"",STEYX($E$355:$E$454,$F$355:$F$454))</f>
        <v>0</v>
      </c>
      <c r="BE454">
        <f>IF($E454="","",IF(AND(COUNT($E$455:$E$458)&gt;=4,$C454=MAX($C$450:$C$458)),$C454,""))</f>
        <v>0</v>
      </c>
      <c r="BF454">
        <f>IF($E454="","",IF(AND(COUNT($E$455:$E$458)&gt;=4,$D454=MIN($D$450:$D$458)),$D454,""))</f>
        <v>0</v>
      </c>
      <c r="BG454">
        <f>IF($A454="","",$A454-WEEKDAY($A454,2)+1)</f>
        <v>0</v>
      </c>
      <c r="BH454">
        <f>IF($A454="","",IF($A453="",1,IF(BG454&lt;&gt;BG453,1,0)))</f>
        <v>0</v>
      </c>
      <c r="BI454">
        <f>IF($A454="","",IF($A455="",1,IF(BG455&lt;&gt;BG454,1,0)))</f>
        <v>0</v>
      </c>
      <c r="BJ454">
        <f>IF($A454="","",IF(BH454=1,$B454,BJ453))</f>
        <v>0</v>
      </c>
      <c r="BK454">
        <f>IF($A454="","",IF(BH454=1,$C454,MAX($C454,BK453)))</f>
        <v>0</v>
      </c>
      <c r="BL454">
        <f>IF($A454="","",IF(BH454=1,$D454,MIN($D454,BL453)))</f>
        <v>0</v>
      </c>
      <c r="BM454">
        <f>IF($A454="","",IF(BI454=1,F454,""))</f>
        <v>0</v>
      </c>
      <c r="BN454">
        <f>IF($A454="","",DATE(YEAR($A454),MONTH($A454),1))</f>
        <v>0</v>
      </c>
      <c r="BO454">
        <f>IF($A454="","",IF($A453="",1,IF(BN454&lt;&gt;BN453,1,0)))</f>
        <v>0</v>
      </c>
      <c r="BP454">
        <f>IF($A454="","",IF($A455="",1,IF(BN455&lt;&gt;BN454,1,0)))</f>
        <v>0</v>
      </c>
      <c r="BQ454">
        <f>IF($A454="","",IF(BO454=1,$B454,BQ453))</f>
        <v>0</v>
      </c>
      <c r="BR454">
        <f>IF($A454="","",IF(BO454=1,$C454,MAX($C454,BR453)))</f>
        <v>0</v>
      </c>
      <c r="BS454">
        <f>IF($A454="","",IF(BO454=1,$D454,MIN($D454,BS453)))</f>
        <v>0</v>
      </c>
      <c r="BT454">
        <f>IF($A454="","",IF(BP454=1,F454,""))</f>
        <v>0</v>
      </c>
    </row>
    <row r="455" spans="1:72">
      <c r="A455" s="27">
        <f>IF(Data!$A455="","",Data!$A455)</f>
        <v>0</v>
      </c>
      <c r="B455">
        <f>IF(Data!$B455="","",Data!$B455)</f>
        <v>0</v>
      </c>
      <c r="C455">
        <f>IF(Data!$C455="","",Data!$C455)</f>
        <v>0</v>
      </c>
      <c r="D455">
        <f>IF(Data!$D455="","",Data!$D455)</f>
        <v>0</v>
      </c>
      <c r="E455">
        <f>IF(Data!$E455="","",Data!$E455)</f>
        <v>0</v>
      </c>
      <c r="F455">
        <f>IF($E455="","",N(F454)+1)</f>
        <v>0</v>
      </c>
      <c r="G455">
        <f>IF(OR($E455="",$E454=""),"",LN($E455/$E454))</f>
        <v>0</v>
      </c>
      <c r="H455">
        <f>IF($E455="","",IF($E454="",$E455,$E455*0.0952380952+H454*0.9047619048))</f>
        <v>0</v>
      </c>
      <c r="I455">
        <f>IF($E455="","",IF($E454="",$E455,$E455*0.0392156863+I454*0.9607843137))</f>
        <v>0</v>
      </c>
      <c r="J455">
        <f>IF($E455="","",IF($E454="",$E455,$E455*0.0198019802+J454*0.9801980198))</f>
        <v>0</v>
      </c>
      <c r="K455">
        <f>IF($E455="","",IF($E454="",$E455,$E455*0.0099502488+K454*0.9900497512))</f>
        <v>0</v>
      </c>
      <c r="L455">
        <f>IF(OR($E455="",$E454=""),"",MAX($E455-$E454,0))</f>
        <v>0</v>
      </c>
      <c r="M455">
        <f>IF(OR($E455="",$E454=""),"",MAX($E454-$E455,0))</f>
        <v>0</v>
      </c>
      <c r="N455">
        <f>IF(COUNT($E$2:$E455)&lt;15,"",IF(AVERAGE($M$442:$M$455)=0,100,100-100/(1+AVERAGE($L$442:$L$455)/AVERAGE($M$442:$M$455))))</f>
        <v>0</v>
      </c>
      <c r="O455">
        <f>IF($E455="","",IF($E454="",$E455,$E455*0.1538461538+O454*0.8461538462))</f>
        <v>0</v>
      </c>
      <c r="P455">
        <f>IF($E455="","",IF($E454="",$E455,$E455*0.0740740741+P454*0.9259259259))</f>
        <v>0</v>
      </c>
      <c r="Q455">
        <f>IF(OR(O455="",P455=""),"",O455-P455)</f>
        <v>0</v>
      </c>
      <c r="R455">
        <f>IF(Q455="","",IF(R454="",Q455,Q455*0.2000000000+R454*0.8000000000))</f>
        <v>0</v>
      </c>
      <c r="S455">
        <f>IF(OR(Q455="",R455=""),"",Q455-R455)</f>
        <v>0</v>
      </c>
      <c r="T455">
        <f>IF(COUNT($E$2:$E455)&lt;14,"",MAX($C$442:$C$455))</f>
        <v>0</v>
      </c>
      <c r="U455">
        <f>IF(COUNT($E$2:$E455)&lt;14,"",MIN($D$442:$D$455))</f>
        <v>0</v>
      </c>
      <c r="V455">
        <f>IF(OR(T455="",U455="",T455=U455),"",100*($E455-U455)/(T455-U455))</f>
        <v>0</v>
      </c>
      <c r="W455">
        <f>IF(COUNT($V$453:$V$455)&lt;3,"",AVERAGE($V$453:$V$455))</f>
        <v>0</v>
      </c>
      <c r="X455">
        <f>IF(COUNT($N$442:$N$455)&lt;14,"",MIN($N$442:$N$455))</f>
        <v>0</v>
      </c>
      <c r="Y455">
        <f>IF(COUNT($N$442:$N$455)&lt;14,"",MAX($N$442:$N$455))</f>
        <v>0</v>
      </c>
      <c r="Z455">
        <f>IF(OR(N455="",X455="",Y455="",Y455=X455),"",100*(N455-X455)/(Y455-X455))</f>
        <v>0</v>
      </c>
      <c r="AA455">
        <f>IF(COUNT($Z$453:$Z$455)&lt;3,"",AVERAGE($Z$453:$Z$455))</f>
        <v>0</v>
      </c>
      <c r="AB455">
        <f>IF(COUNT($AA$453:$AA$455)&lt;3,"",AVERAGE($AA$453:$AA$455))</f>
        <v>0</v>
      </c>
      <c r="AC455">
        <f>IF($E455="","",MAX($C455-$D455,ABS($C455-$E454),ABS($D455-$E454)))</f>
        <v>0</v>
      </c>
      <c r="AD455">
        <f>IF(COUNT($E$2:$E455)&lt;15,"",AVERAGE($AC$442:$AC$455))</f>
        <v>0</v>
      </c>
      <c r="AE455">
        <f>IF(OR($E455="",$E454=""),"",IF(AND(($C455-$C454)&gt;($D454-$D455),($C455-$C454)&gt;0),$C455-$C454,0))</f>
        <v>0</v>
      </c>
      <c r="AF455">
        <f>IF(OR($E455="",$E454=""),"",IF(AND(($D454-$D455)&gt;($C455-$C454),($D454-$D455)&gt;0),$D454-$D455,0))</f>
        <v>0</v>
      </c>
      <c r="AG455">
        <f>IF(COUNT($E$2:$E455)&lt;15,"",IF(SUM($AC$442:$AC$455)=0,0,100*SUM($AE$442:$AE$455)/SUM($AC$442:$AC$455)))</f>
        <v>0</v>
      </c>
      <c r="AH455">
        <f>IF(COUNT($E$2:$E455)&lt;15,"",IF(SUM($AC$442:$AC$455)=0,0,100*SUM($AF$442:$AF$455)/SUM($AC$442:$AC$455)))</f>
        <v>0</v>
      </c>
      <c r="AI455">
        <f>IF(OR(AG455="",AH455=""),"",IF((AG455+AH455)=0,0,100*ABS(AG455-AH455)/(AG455+AH455)))</f>
        <v>0</v>
      </c>
      <c r="AJ455">
        <f>IF(COUNT($AI$442:$AI$455)&lt;14,"",AVERAGE($AI$442:$AI$455))</f>
        <v>0</v>
      </c>
      <c r="AK455">
        <f>IF(COUNT($E$2:$E455)&lt;20,"",AVERAGE($E$436:$E$455))</f>
        <v>0</v>
      </c>
      <c r="AL455">
        <f>IF(COUNT($E$2:$E455)&lt;20,"",STDEVP($E$436:$E$455))</f>
        <v>0</v>
      </c>
      <c r="AM455">
        <f>IF(AK455="","",AK455+2*AL455)</f>
        <v>0</v>
      </c>
      <c r="AN455">
        <f>IF(AK455="","",AK455-2*AL455)</f>
        <v>0</v>
      </c>
      <c r="AO455">
        <f>IF(OR(AM455="",AN455="",AM455=AN455),"",($E455-AN455)/(AM455-AN455))</f>
        <v>0</v>
      </c>
      <c r="AP455">
        <f>IF(OR(AM455="",AK455="",AK455=0),"",(AM455-AN455)/AK455)</f>
        <v>0</v>
      </c>
      <c r="AQ455">
        <f>IF(COUNT($E$2:$E455)&lt;20,"",MAX($C$436:$C$455))</f>
        <v>0</v>
      </c>
      <c r="AR455">
        <f>IF(COUNT($E$2:$E455)&lt;20,"",MIN($D$436:$D$455))</f>
        <v>0</v>
      </c>
      <c r="AS455">
        <f>IF(OR(AQ455="",AR455=""),"",(AQ455+AR455)/2)</f>
        <v>0</v>
      </c>
      <c r="AT455">
        <f>IF(COUNT($G$436:$G$455)&lt;20,"",STDEV($G$436:$G$455)*SQRT(252))</f>
        <v>0</v>
      </c>
      <c r="AU455">
        <f>IF(COUNT($E$2:$E455)&lt;9,"",(MAX($C$447:$C$455)+MIN($D$447:$D$455))/2)</f>
        <v>0</v>
      </c>
      <c r="AV455">
        <f>IF(COUNT($E$2:$E455)&lt;26,"",(MAX($C$430:$C$455)+MIN($D$430:$D$455))/2)</f>
        <v>0</v>
      </c>
      <c r="AW455">
        <f>IF(OR(AU455="",AV455=""),"",(AU455+AV455)/2)</f>
        <v>0</v>
      </c>
      <c r="AX455">
        <f>IF(COUNT($E$2:$E455)&lt;52,"",(MAX($C$404:$C$455)+MIN($D$404:$D$455))/2)</f>
        <v>0</v>
      </c>
      <c r="AY455">
        <f>IF(COUNT($E$2:$E455)&lt;20,"",MAX($C$356:$C$455))</f>
        <v>0</v>
      </c>
      <c r="AZ455">
        <f>IF(COUNT($E$2:$E455)&lt;20,"",MIN($D$356:$D$455))</f>
        <v>0</v>
      </c>
      <c r="BA455">
        <f>IF(COUNT($E$2:$E455)&lt;20,"",SLOPE($E$356:$E$455,$F$356:$F$455))</f>
        <v>0</v>
      </c>
      <c r="BB455">
        <f>IF(COUNT($E$2:$E455)&lt;20,"",INTERCEPT($E$356:$E$455,$F$356:$F$455))</f>
        <v>0</v>
      </c>
      <c r="BC455">
        <f>IF(OR(BA455="",BB455=""),"",BB455+BA455*F455)</f>
        <v>0</v>
      </c>
      <c r="BD455">
        <f>IF(COUNT($E$2:$E455)&lt;20,"",STEYX($E$356:$E$455,$F$356:$F$455))</f>
        <v>0</v>
      </c>
      <c r="BE455">
        <f>IF($E455="","",IF(AND(COUNT($E$456:$E$459)&gt;=4,$C455=MAX($C$451:$C$459)),$C455,""))</f>
        <v>0</v>
      </c>
      <c r="BF455">
        <f>IF($E455="","",IF(AND(COUNT($E$456:$E$459)&gt;=4,$D455=MIN($D$451:$D$459)),$D455,""))</f>
        <v>0</v>
      </c>
      <c r="BG455">
        <f>IF($A455="","",$A455-WEEKDAY($A455,2)+1)</f>
        <v>0</v>
      </c>
      <c r="BH455">
        <f>IF($A455="","",IF($A454="",1,IF(BG455&lt;&gt;BG454,1,0)))</f>
        <v>0</v>
      </c>
      <c r="BI455">
        <f>IF($A455="","",IF($A456="",1,IF(BG456&lt;&gt;BG455,1,0)))</f>
        <v>0</v>
      </c>
      <c r="BJ455">
        <f>IF($A455="","",IF(BH455=1,$B455,BJ454))</f>
        <v>0</v>
      </c>
      <c r="BK455">
        <f>IF($A455="","",IF(BH455=1,$C455,MAX($C455,BK454)))</f>
        <v>0</v>
      </c>
      <c r="BL455">
        <f>IF($A455="","",IF(BH455=1,$D455,MIN($D455,BL454)))</f>
        <v>0</v>
      </c>
      <c r="BM455">
        <f>IF($A455="","",IF(BI455=1,F455,""))</f>
        <v>0</v>
      </c>
      <c r="BN455">
        <f>IF($A455="","",DATE(YEAR($A455),MONTH($A455),1))</f>
        <v>0</v>
      </c>
      <c r="BO455">
        <f>IF($A455="","",IF($A454="",1,IF(BN455&lt;&gt;BN454,1,0)))</f>
        <v>0</v>
      </c>
      <c r="BP455">
        <f>IF($A455="","",IF($A456="",1,IF(BN456&lt;&gt;BN455,1,0)))</f>
        <v>0</v>
      </c>
      <c r="BQ455">
        <f>IF($A455="","",IF(BO455=1,$B455,BQ454))</f>
        <v>0</v>
      </c>
      <c r="BR455">
        <f>IF($A455="","",IF(BO455=1,$C455,MAX($C455,BR454)))</f>
        <v>0</v>
      </c>
      <c r="BS455">
        <f>IF($A455="","",IF(BO455=1,$D455,MIN($D455,BS454)))</f>
        <v>0</v>
      </c>
      <c r="BT455">
        <f>IF($A455="","",IF(BP455=1,F455,""))</f>
        <v>0</v>
      </c>
    </row>
    <row r="456" spans="1:72">
      <c r="A456" s="27">
        <f>IF(Data!$A456="","",Data!$A456)</f>
        <v>0</v>
      </c>
      <c r="B456">
        <f>IF(Data!$B456="","",Data!$B456)</f>
        <v>0</v>
      </c>
      <c r="C456">
        <f>IF(Data!$C456="","",Data!$C456)</f>
        <v>0</v>
      </c>
      <c r="D456">
        <f>IF(Data!$D456="","",Data!$D456)</f>
        <v>0</v>
      </c>
      <c r="E456">
        <f>IF(Data!$E456="","",Data!$E456)</f>
        <v>0</v>
      </c>
      <c r="F456">
        <f>IF($E456="","",N(F455)+1)</f>
        <v>0</v>
      </c>
      <c r="G456">
        <f>IF(OR($E456="",$E455=""),"",LN($E456/$E455))</f>
        <v>0</v>
      </c>
      <c r="H456">
        <f>IF($E456="","",IF($E455="",$E456,$E456*0.0952380952+H455*0.9047619048))</f>
        <v>0</v>
      </c>
      <c r="I456">
        <f>IF($E456="","",IF($E455="",$E456,$E456*0.0392156863+I455*0.9607843137))</f>
        <v>0</v>
      </c>
      <c r="J456">
        <f>IF($E456="","",IF($E455="",$E456,$E456*0.0198019802+J455*0.9801980198))</f>
        <v>0</v>
      </c>
      <c r="K456">
        <f>IF($E456="","",IF($E455="",$E456,$E456*0.0099502488+K455*0.9900497512))</f>
        <v>0</v>
      </c>
      <c r="L456">
        <f>IF(OR($E456="",$E455=""),"",MAX($E456-$E455,0))</f>
        <v>0</v>
      </c>
      <c r="M456">
        <f>IF(OR($E456="",$E455=""),"",MAX($E455-$E456,0))</f>
        <v>0</v>
      </c>
      <c r="N456">
        <f>IF(COUNT($E$2:$E456)&lt;15,"",IF(AVERAGE($M$443:$M$456)=0,100,100-100/(1+AVERAGE($L$443:$L$456)/AVERAGE($M$443:$M$456))))</f>
        <v>0</v>
      </c>
      <c r="O456">
        <f>IF($E456="","",IF($E455="",$E456,$E456*0.1538461538+O455*0.8461538462))</f>
        <v>0</v>
      </c>
      <c r="P456">
        <f>IF($E456="","",IF($E455="",$E456,$E456*0.0740740741+P455*0.9259259259))</f>
        <v>0</v>
      </c>
      <c r="Q456">
        <f>IF(OR(O456="",P456=""),"",O456-P456)</f>
        <v>0</v>
      </c>
      <c r="R456">
        <f>IF(Q456="","",IF(R455="",Q456,Q456*0.2000000000+R455*0.8000000000))</f>
        <v>0</v>
      </c>
      <c r="S456">
        <f>IF(OR(Q456="",R456=""),"",Q456-R456)</f>
        <v>0</v>
      </c>
      <c r="T456">
        <f>IF(COUNT($E$2:$E456)&lt;14,"",MAX($C$443:$C$456))</f>
        <v>0</v>
      </c>
      <c r="U456">
        <f>IF(COUNT($E$2:$E456)&lt;14,"",MIN($D$443:$D$456))</f>
        <v>0</v>
      </c>
      <c r="V456">
        <f>IF(OR(T456="",U456="",T456=U456),"",100*($E456-U456)/(T456-U456))</f>
        <v>0</v>
      </c>
      <c r="W456">
        <f>IF(COUNT($V$454:$V$456)&lt;3,"",AVERAGE($V$454:$V$456))</f>
        <v>0</v>
      </c>
      <c r="X456">
        <f>IF(COUNT($N$443:$N$456)&lt;14,"",MIN($N$443:$N$456))</f>
        <v>0</v>
      </c>
      <c r="Y456">
        <f>IF(COUNT($N$443:$N$456)&lt;14,"",MAX($N$443:$N$456))</f>
        <v>0</v>
      </c>
      <c r="Z456">
        <f>IF(OR(N456="",X456="",Y456="",Y456=X456),"",100*(N456-X456)/(Y456-X456))</f>
        <v>0</v>
      </c>
      <c r="AA456">
        <f>IF(COUNT($Z$454:$Z$456)&lt;3,"",AVERAGE($Z$454:$Z$456))</f>
        <v>0</v>
      </c>
      <c r="AB456">
        <f>IF(COUNT($AA$454:$AA$456)&lt;3,"",AVERAGE($AA$454:$AA$456))</f>
        <v>0</v>
      </c>
      <c r="AC456">
        <f>IF($E456="","",MAX($C456-$D456,ABS($C456-$E455),ABS($D456-$E455)))</f>
        <v>0</v>
      </c>
      <c r="AD456">
        <f>IF(COUNT($E$2:$E456)&lt;15,"",AVERAGE($AC$443:$AC$456))</f>
        <v>0</v>
      </c>
      <c r="AE456">
        <f>IF(OR($E456="",$E455=""),"",IF(AND(($C456-$C455)&gt;($D455-$D456),($C456-$C455)&gt;0),$C456-$C455,0))</f>
        <v>0</v>
      </c>
      <c r="AF456">
        <f>IF(OR($E456="",$E455=""),"",IF(AND(($D455-$D456)&gt;($C456-$C455),($D455-$D456)&gt;0),$D455-$D456,0))</f>
        <v>0</v>
      </c>
      <c r="AG456">
        <f>IF(COUNT($E$2:$E456)&lt;15,"",IF(SUM($AC$443:$AC$456)=0,0,100*SUM($AE$443:$AE$456)/SUM($AC$443:$AC$456)))</f>
        <v>0</v>
      </c>
      <c r="AH456">
        <f>IF(COUNT($E$2:$E456)&lt;15,"",IF(SUM($AC$443:$AC$456)=0,0,100*SUM($AF$443:$AF$456)/SUM($AC$443:$AC$456)))</f>
        <v>0</v>
      </c>
      <c r="AI456">
        <f>IF(OR(AG456="",AH456=""),"",IF((AG456+AH456)=0,0,100*ABS(AG456-AH456)/(AG456+AH456)))</f>
        <v>0</v>
      </c>
      <c r="AJ456">
        <f>IF(COUNT($AI$443:$AI$456)&lt;14,"",AVERAGE($AI$443:$AI$456))</f>
        <v>0</v>
      </c>
      <c r="AK456">
        <f>IF(COUNT($E$2:$E456)&lt;20,"",AVERAGE($E$437:$E$456))</f>
        <v>0</v>
      </c>
      <c r="AL456">
        <f>IF(COUNT($E$2:$E456)&lt;20,"",STDEVP($E$437:$E$456))</f>
        <v>0</v>
      </c>
      <c r="AM456">
        <f>IF(AK456="","",AK456+2*AL456)</f>
        <v>0</v>
      </c>
      <c r="AN456">
        <f>IF(AK456="","",AK456-2*AL456)</f>
        <v>0</v>
      </c>
      <c r="AO456">
        <f>IF(OR(AM456="",AN456="",AM456=AN456),"",($E456-AN456)/(AM456-AN456))</f>
        <v>0</v>
      </c>
      <c r="AP456">
        <f>IF(OR(AM456="",AK456="",AK456=0),"",(AM456-AN456)/AK456)</f>
        <v>0</v>
      </c>
      <c r="AQ456">
        <f>IF(COUNT($E$2:$E456)&lt;20,"",MAX($C$437:$C$456))</f>
        <v>0</v>
      </c>
      <c r="AR456">
        <f>IF(COUNT($E$2:$E456)&lt;20,"",MIN($D$437:$D$456))</f>
        <v>0</v>
      </c>
      <c r="AS456">
        <f>IF(OR(AQ456="",AR456=""),"",(AQ456+AR456)/2)</f>
        <v>0</v>
      </c>
      <c r="AT456">
        <f>IF(COUNT($G$437:$G$456)&lt;20,"",STDEV($G$437:$G$456)*SQRT(252))</f>
        <v>0</v>
      </c>
      <c r="AU456">
        <f>IF(COUNT($E$2:$E456)&lt;9,"",(MAX($C$448:$C$456)+MIN($D$448:$D$456))/2)</f>
        <v>0</v>
      </c>
      <c r="AV456">
        <f>IF(COUNT($E$2:$E456)&lt;26,"",(MAX($C$431:$C$456)+MIN($D$431:$D$456))/2)</f>
        <v>0</v>
      </c>
      <c r="AW456">
        <f>IF(OR(AU456="",AV456=""),"",(AU456+AV456)/2)</f>
        <v>0</v>
      </c>
      <c r="AX456">
        <f>IF(COUNT($E$2:$E456)&lt;52,"",(MAX($C$405:$C$456)+MIN($D$405:$D$456))/2)</f>
        <v>0</v>
      </c>
      <c r="AY456">
        <f>IF(COUNT($E$2:$E456)&lt;20,"",MAX($C$357:$C$456))</f>
        <v>0</v>
      </c>
      <c r="AZ456">
        <f>IF(COUNT($E$2:$E456)&lt;20,"",MIN($D$357:$D$456))</f>
        <v>0</v>
      </c>
      <c r="BA456">
        <f>IF(COUNT($E$2:$E456)&lt;20,"",SLOPE($E$357:$E$456,$F$357:$F$456))</f>
        <v>0</v>
      </c>
      <c r="BB456">
        <f>IF(COUNT($E$2:$E456)&lt;20,"",INTERCEPT($E$357:$E$456,$F$357:$F$456))</f>
        <v>0</v>
      </c>
      <c r="BC456">
        <f>IF(OR(BA456="",BB456=""),"",BB456+BA456*F456)</f>
        <v>0</v>
      </c>
      <c r="BD456">
        <f>IF(COUNT($E$2:$E456)&lt;20,"",STEYX($E$357:$E$456,$F$357:$F$456))</f>
        <v>0</v>
      </c>
      <c r="BE456">
        <f>IF($E456="","",IF(AND(COUNT($E$457:$E$460)&gt;=4,$C456=MAX($C$452:$C$460)),$C456,""))</f>
        <v>0</v>
      </c>
      <c r="BF456">
        <f>IF($E456="","",IF(AND(COUNT($E$457:$E$460)&gt;=4,$D456=MIN($D$452:$D$460)),$D456,""))</f>
        <v>0</v>
      </c>
      <c r="BG456">
        <f>IF($A456="","",$A456-WEEKDAY($A456,2)+1)</f>
        <v>0</v>
      </c>
      <c r="BH456">
        <f>IF($A456="","",IF($A455="",1,IF(BG456&lt;&gt;BG455,1,0)))</f>
        <v>0</v>
      </c>
      <c r="BI456">
        <f>IF($A456="","",IF($A457="",1,IF(BG457&lt;&gt;BG456,1,0)))</f>
        <v>0</v>
      </c>
      <c r="BJ456">
        <f>IF($A456="","",IF(BH456=1,$B456,BJ455))</f>
        <v>0</v>
      </c>
      <c r="BK456">
        <f>IF($A456="","",IF(BH456=1,$C456,MAX($C456,BK455)))</f>
        <v>0</v>
      </c>
      <c r="BL456">
        <f>IF($A456="","",IF(BH456=1,$D456,MIN($D456,BL455)))</f>
        <v>0</v>
      </c>
      <c r="BM456">
        <f>IF($A456="","",IF(BI456=1,F456,""))</f>
        <v>0</v>
      </c>
      <c r="BN456">
        <f>IF($A456="","",DATE(YEAR($A456),MONTH($A456),1))</f>
        <v>0</v>
      </c>
      <c r="BO456">
        <f>IF($A456="","",IF($A455="",1,IF(BN456&lt;&gt;BN455,1,0)))</f>
        <v>0</v>
      </c>
      <c r="BP456">
        <f>IF($A456="","",IF($A457="",1,IF(BN457&lt;&gt;BN456,1,0)))</f>
        <v>0</v>
      </c>
      <c r="BQ456">
        <f>IF($A456="","",IF(BO456=1,$B456,BQ455))</f>
        <v>0</v>
      </c>
      <c r="BR456">
        <f>IF($A456="","",IF(BO456=1,$C456,MAX($C456,BR455)))</f>
        <v>0</v>
      </c>
      <c r="BS456">
        <f>IF($A456="","",IF(BO456=1,$D456,MIN($D456,BS455)))</f>
        <v>0</v>
      </c>
      <c r="BT456">
        <f>IF($A456="","",IF(BP456=1,F456,""))</f>
        <v>0</v>
      </c>
    </row>
    <row r="457" spans="1:72">
      <c r="A457" s="27">
        <f>IF(Data!$A457="","",Data!$A457)</f>
        <v>0</v>
      </c>
      <c r="B457">
        <f>IF(Data!$B457="","",Data!$B457)</f>
        <v>0</v>
      </c>
      <c r="C457">
        <f>IF(Data!$C457="","",Data!$C457)</f>
        <v>0</v>
      </c>
      <c r="D457">
        <f>IF(Data!$D457="","",Data!$D457)</f>
        <v>0</v>
      </c>
      <c r="E457">
        <f>IF(Data!$E457="","",Data!$E457)</f>
        <v>0</v>
      </c>
      <c r="F457">
        <f>IF($E457="","",N(F456)+1)</f>
        <v>0</v>
      </c>
      <c r="G457">
        <f>IF(OR($E457="",$E456=""),"",LN($E457/$E456))</f>
        <v>0</v>
      </c>
      <c r="H457">
        <f>IF($E457="","",IF($E456="",$E457,$E457*0.0952380952+H456*0.9047619048))</f>
        <v>0</v>
      </c>
      <c r="I457">
        <f>IF($E457="","",IF($E456="",$E457,$E457*0.0392156863+I456*0.9607843137))</f>
        <v>0</v>
      </c>
      <c r="J457">
        <f>IF($E457="","",IF($E456="",$E457,$E457*0.0198019802+J456*0.9801980198))</f>
        <v>0</v>
      </c>
      <c r="K457">
        <f>IF($E457="","",IF($E456="",$E457,$E457*0.0099502488+K456*0.9900497512))</f>
        <v>0</v>
      </c>
      <c r="L457">
        <f>IF(OR($E457="",$E456=""),"",MAX($E457-$E456,0))</f>
        <v>0</v>
      </c>
      <c r="M457">
        <f>IF(OR($E457="",$E456=""),"",MAX($E456-$E457,0))</f>
        <v>0</v>
      </c>
      <c r="N457">
        <f>IF(COUNT($E$2:$E457)&lt;15,"",IF(AVERAGE($M$444:$M$457)=0,100,100-100/(1+AVERAGE($L$444:$L$457)/AVERAGE($M$444:$M$457))))</f>
        <v>0</v>
      </c>
      <c r="O457">
        <f>IF($E457="","",IF($E456="",$E457,$E457*0.1538461538+O456*0.8461538462))</f>
        <v>0</v>
      </c>
      <c r="P457">
        <f>IF($E457="","",IF($E456="",$E457,$E457*0.0740740741+P456*0.9259259259))</f>
        <v>0</v>
      </c>
      <c r="Q457">
        <f>IF(OR(O457="",P457=""),"",O457-P457)</f>
        <v>0</v>
      </c>
      <c r="R457">
        <f>IF(Q457="","",IF(R456="",Q457,Q457*0.2000000000+R456*0.8000000000))</f>
        <v>0</v>
      </c>
      <c r="S457">
        <f>IF(OR(Q457="",R457=""),"",Q457-R457)</f>
        <v>0</v>
      </c>
      <c r="T457">
        <f>IF(COUNT($E$2:$E457)&lt;14,"",MAX($C$444:$C$457))</f>
        <v>0</v>
      </c>
      <c r="U457">
        <f>IF(COUNT($E$2:$E457)&lt;14,"",MIN($D$444:$D$457))</f>
        <v>0</v>
      </c>
      <c r="V457">
        <f>IF(OR(T457="",U457="",T457=U457),"",100*($E457-U457)/(T457-U457))</f>
        <v>0</v>
      </c>
      <c r="W457">
        <f>IF(COUNT($V$455:$V$457)&lt;3,"",AVERAGE($V$455:$V$457))</f>
        <v>0</v>
      </c>
      <c r="X457">
        <f>IF(COUNT($N$444:$N$457)&lt;14,"",MIN($N$444:$N$457))</f>
        <v>0</v>
      </c>
      <c r="Y457">
        <f>IF(COUNT($N$444:$N$457)&lt;14,"",MAX($N$444:$N$457))</f>
        <v>0</v>
      </c>
      <c r="Z457">
        <f>IF(OR(N457="",X457="",Y457="",Y457=X457),"",100*(N457-X457)/(Y457-X457))</f>
        <v>0</v>
      </c>
      <c r="AA457">
        <f>IF(COUNT($Z$455:$Z$457)&lt;3,"",AVERAGE($Z$455:$Z$457))</f>
        <v>0</v>
      </c>
      <c r="AB457">
        <f>IF(COUNT($AA$455:$AA$457)&lt;3,"",AVERAGE($AA$455:$AA$457))</f>
        <v>0</v>
      </c>
      <c r="AC457">
        <f>IF($E457="","",MAX($C457-$D457,ABS($C457-$E456),ABS($D457-$E456)))</f>
        <v>0</v>
      </c>
      <c r="AD457">
        <f>IF(COUNT($E$2:$E457)&lt;15,"",AVERAGE($AC$444:$AC$457))</f>
        <v>0</v>
      </c>
      <c r="AE457">
        <f>IF(OR($E457="",$E456=""),"",IF(AND(($C457-$C456)&gt;($D456-$D457),($C457-$C456)&gt;0),$C457-$C456,0))</f>
        <v>0</v>
      </c>
      <c r="AF457">
        <f>IF(OR($E457="",$E456=""),"",IF(AND(($D456-$D457)&gt;($C457-$C456),($D456-$D457)&gt;0),$D456-$D457,0))</f>
        <v>0</v>
      </c>
      <c r="AG457">
        <f>IF(COUNT($E$2:$E457)&lt;15,"",IF(SUM($AC$444:$AC$457)=0,0,100*SUM($AE$444:$AE$457)/SUM($AC$444:$AC$457)))</f>
        <v>0</v>
      </c>
      <c r="AH457">
        <f>IF(COUNT($E$2:$E457)&lt;15,"",IF(SUM($AC$444:$AC$457)=0,0,100*SUM($AF$444:$AF$457)/SUM($AC$444:$AC$457)))</f>
        <v>0</v>
      </c>
      <c r="AI457">
        <f>IF(OR(AG457="",AH457=""),"",IF((AG457+AH457)=0,0,100*ABS(AG457-AH457)/(AG457+AH457)))</f>
        <v>0</v>
      </c>
      <c r="AJ457">
        <f>IF(COUNT($AI$444:$AI$457)&lt;14,"",AVERAGE($AI$444:$AI$457))</f>
        <v>0</v>
      </c>
      <c r="AK457">
        <f>IF(COUNT($E$2:$E457)&lt;20,"",AVERAGE($E$438:$E$457))</f>
        <v>0</v>
      </c>
      <c r="AL457">
        <f>IF(COUNT($E$2:$E457)&lt;20,"",STDEVP($E$438:$E$457))</f>
        <v>0</v>
      </c>
      <c r="AM457">
        <f>IF(AK457="","",AK457+2*AL457)</f>
        <v>0</v>
      </c>
      <c r="AN457">
        <f>IF(AK457="","",AK457-2*AL457)</f>
        <v>0</v>
      </c>
      <c r="AO457">
        <f>IF(OR(AM457="",AN457="",AM457=AN457),"",($E457-AN457)/(AM457-AN457))</f>
        <v>0</v>
      </c>
      <c r="AP457">
        <f>IF(OR(AM457="",AK457="",AK457=0),"",(AM457-AN457)/AK457)</f>
        <v>0</v>
      </c>
      <c r="AQ457">
        <f>IF(COUNT($E$2:$E457)&lt;20,"",MAX($C$438:$C$457))</f>
        <v>0</v>
      </c>
      <c r="AR457">
        <f>IF(COUNT($E$2:$E457)&lt;20,"",MIN($D$438:$D$457))</f>
        <v>0</v>
      </c>
      <c r="AS457">
        <f>IF(OR(AQ457="",AR457=""),"",(AQ457+AR457)/2)</f>
        <v>0</v>
      </c>
      <c r="AT457">
        <f>IF(COUNT($G$438:$G$457)&lt;20,"",STDEV($G$438:$G$457)*SQRT(252))</f>
        <v>0</v>
      </c>
      <c r="AU457">
        <f>IF(COUNT($E$2:$E457)&lt;9,"",(MAX($C$449:$C$457)+MIN($D$449:$D$457))/2)</f>
        <v>0</v>
      </c>
      <c r="AV457">
        <f>IF(COUNT($E$2:$E457)&lt;26,"",(MAX($C$432:$C$457)+MIN($D$432:$D$457))/2)</f>
        <v>0</v>
      </c>
      <c r="AW457">
        <f>IF(OR(AU457="",AV457=""),"",(AU457+AV457)/2)</f>
        <v>0</v>
      </c>
      <c r="AX457">
        <f>IF(COUNT($E$2:$E457)&lt;52,"",(MAX($C$406:$C$457)+MIN($D$406:$D$457))/2)</f>
        <v>0</v>
      </c>
      <c r="AY457">
        <f>IF(COUNT($E$2:$E457)&lt;20,"",MAX($C$358:$C$457))</f>
        <v>0</v>
      </c>
      <c r="AZ457">
        <f>IF(COUNT($E$2:$E457)&lt;20,"",MIN($D$358:$D$457))</f>
        <v>0</v>
      </c>
      <c r="BA457">
        <f>IF(COUNT($E$2:$E457)&lt;20,"",SLOPE($E$358:$E$457,$F$358:$F$457))</f>
        <v>0</v>
      </c>
      <c r="BB457">
        <f>IF(COUNT($E$2:$E457)&lt;20,"",INTERCEPT($E$358:$E$457,$F$358:$F$457))</f>
        <v>0</v>
      </c>
      <c r="BC457">
        <f>IF(OR(BA457="",BB457=""),"",BB457+BA457*F457)</f>
        <v>0</v>
      </c>
      <c r="BD457">
        <f>IF(COUNT($E$2:$E457)&lt;20,"",STEYX($E$358:$E$457,$F$358:$F$457))</f>
        <v>0</v>
      </c>
      <c r="BE457">
        <f>IF($E457="","",IF(AND(COUNT($E$458:$E$461)&gt;=4,$C457=MAX($C$453:$C$461)),$C457,""))</f>
        <v>0</v>
      </c>
      <c r="BF457">
        <f>IF($E457="","",IF(AND(COUNT($E$458:$E$461)&gt;=4,$D457=MIN($D$453:$D$461)),$D457,""))</f>
        <v>0</v>
      </c>
      <c r="BG457">
        <f>IF($A457="","",$A457-WEEKDAY($A457,2)+1)</f>
        <v>0</v>
      </c>
      <c r="BH457">
        <f>IF($A457="","",IF($A456="",1,IF(BG457&lt;&gt;BG456,1,0)))</f>
        <v>0</v>
      </c>
      <c r="BI457">
        <f>IF($A457="","",IF($A458="",1,IF(BG458&lt;&gt;BG457,1,0)))</f>
        <v>0</v>
      </c>
      <c r="BJ457">
        <f>IF($A457="","",IF(BH457=1,$B457,BJ456))</f>
        <v>0</v>
      </c>
      <c r="BK457">
        <f>IF($A457="","",IF(BH457=1,$C457,MAX($C457,BK456)))</f>
        <v>0</v>
      </c>
      <c r="BL457">
        <f>IF($A457="","",IF(BH457=1,$D457,MIN($D457,BL456)))</f>
        <v>0</v>
      </c>
      <c r="BM457">
        <f>IF($A457="","",IF(BI457=1,F457,""))</f>
        <v>0</v>
      </c>
      <c r="BN457">
        <f>IF($A457="","",DATE(YEAR($A457),MONTH($A457),1))</f>
        <v>0</v>
      </c>
      <c r="BO457">
        <f>IF($A457="","",IF($A456="",1,IF(BN457&lt;&gt;BN456,1,0)))</f>
        <v>0</v>
      </c>
      <c r="BP457">
        <f>IF($A457="","",IF($A458="",1,IF(BN458&lt;&gt;BN457,1,0)))</f>
        <v>0</v>
      </c>
      <c r="BQ457">
        <f>IF($A457="","",IF(BO457=1,$B457,BQ456))</f>
        <v>0</v>
      </c>
      <c r="BR457">
        <f>IF($A457="","",IF(BO457=1,$C457,MAX($C457,BR456)))</f>
        <v>0</v>
      </c>
      <c r="BS457">
        <f>IF($A457="","",IF(BO457=1,$D457,MIN($D457,BS456)))</f>
        <v>0</v>
      </c>
      <c r="BT457">
        <f>IF($A457="","",IF(BP457=1,F457,""))</f>
        <v>0</v>
      </c>
    </row>
    <row r="458" spans="1:72">
      <c r="A458" s="27">
        <f>IF(Data!$A458="","",Data!$A458)</f>
        <v>0</v>
      </c>
      <c r="B458">
        <f>IF(Data!$B458="","",Data!$B458)</f>
        <v>0</v>
      </c>
      <c r="C458">
        <f>IF(Data!$C458="","",Data!$C458)</f>
        <v>0</v>
      </c>
      <c r="D458">
        <f>IF(Data!$D458="","",Data!$D458)</f>
        <v>0</v>
      </c>
      <c r="E458">
        <f>IF(Data!$E458="","",Data!$E458)</f>
        <v>0</v>
      </c>
      <c r="F458">
        <f>IF($E458="","",N(F457)+1)</f>
        <v>0</v>
      </c>
      <c r="G458">
        <f>IF(OR($E458="",$E457=""),"",LN($E458/$E457))</f>
        <v>0</v>
      </c>
      <c r="H458">
        <f>IF($E458="","",IF($E457="",$E458,$E458*0.0952380952+H457*0.9047619048))</f>
        <v>0</v>
      </c>
      <c r="I458">
        <f>IF($E458="","",IF($E457="",$E458,$E458*0.0392156863+I457*0.9607843137))</f>
        <v>0</v>
      </c>
      <c r="J458">
        <f>IF($E458="","",IF($E457="",$E458,$E458*0.0198019802+J457*0.9801980198))</f>
        <v>0</v>
      </c>
      <c r="K458">
        <f>IF($E458="","",IF($E457="",$E458,$E458*0.0099502488+K457*0.9900497512))</f>
        <v>0</v>
      </c>
      <c r="L458">
        <f>IF(OR($E458="",$E457=""),"",MAX($E458-$E457,0))</f>
        <v>0</v>
      </c>
      <c r="M458">
        <f>IF(OR($E458="",$E457=""),"",MAX($E457-$E458,0))</f>
        <v>0</v>
      </c>
      <c r="N458">
        <f>IF(COUNT($E$2:$E458)&lt;15,"",IF(AVERAGE($M$445:$M$458)=0,100,100-100/(1+AVERAGE($L$445:$L$458)/AVERAGE($M$445:$M$458))))</f>
        <v>0</v>
      </c>
      <c r="O458">
        <f>IF($E458="","",IF($E457="",$E458,$E458*0.1538461538+O457*0.8461538462))</f>
        <v>0</v>
      </c>
      <c r="P458">
        <f>IF($E458="","",IF($E457="",$E458,$E458*0.0740740741+P457*0.9259259259))</f>
        <v>0</v>
      </c>
      <c r="Q458">
        <f>IF(OR(O458="",P458=""),"",O458-P458)</f>
        <v>0</v>
      </c>
      <c r="R458">
        <f>IF(Q458="","",IF(R457="",Q458,Q458*0.2000000000+R457*0.8000000000))</f>
        <v>0</v>
      </c>
      <c r="S458">
        <f>IF(OR(Q458="",R458=""),"",Q458-R458)</f>
        <v>0</v>
      </c>
      <c r="T458">
        <f>IF(COUNT($E$2:$E458)&lt;14,"",MAX($C$445:$C$458))</f>
        <v>0</v>
      </c>
      <c r="U458">
        <f>IF(COUNT($E$2:$E458)&lt;14,"",MIN($D$445:$D$458))</f>
        <v>0</v>
      </c>
      <c r="V458">
        <f>IF(OR(T458="",U458="",T458=U458),"",100*($E458-U458)/(T458-U458))</f>
        <v>0</v>
      </c>
      <c r="W458">
        <f>IF(COUNT($V$456:$V$458)&lt;3,"",AVERAGE($V$456:$V$458))</f>
        <v>0</v>
      </c>
      <c r="X458">
        <f>IF(COUNT($N$445:$N$458)&lt;14,"",MIN($N$445:$N$458))</f>
        <v>0</v>
      </c>
      <c r="Y458">
        <f>IF(COUNT($N$445:$N$458)&lt;14,"",MAX($N$445:$N$458))</f>
        <v>0</v>
      </c>
      <c r="Z458">
        <f>IF(OR(N458="",X458="",Y458="",Y458=X458),"",100*(N458-X458)/(Y458-X458))</f>
        <v>0</v>
      </c>
      <c r="AA458">
        <f>IF(COUNT($Z$456:$Z$458)&lt;3,"",AVERAGE($Z$456:$Z$458))</f>
        <v>0</v>
      </c>
      <c r="AB458">
        <f>IF(COUNT($AA$456:$AA$458)&lt;3,"",AVERAGE($AA$456:$AA$458))</f>
        <v>0</v>
      </c>
      <c r="AC458">
        <f>IF($E458="","",MAX($C458-$D458,ABS($C458-$E457),ABS($D458-$E457)))</f>
        <v>0</v>
      </c>
      <c r="AD458">
        <f>IF(COUNT($E$2:$E458)&lt;15,"",AVERAGE($AC$445:$AC$458))</f>
        <v>0</v>
      </c>
      <c r="AE458">
        <f>IF(OR($E458="",$E457=""),"",IF(AND(($C458-$C457)&gt;($D457-$D458),($C458-$C457)&gt;0),$C458-$C457,0))</f>
        <v>0</v>
      </c>
      <c r="AF458">
        <f>IF(OR($E458="",$E457=""),"",IF(AND(($D457-$D458)&gt;($C458-$C457),($D457-$D458)&gt;0),$D457-$D458,0))</f>
        <v>0</v>
      </c>
      <c r="AG458">
        <f>IF(COUNT($E$2:$E458)&lt;15,"",IF(SUM($AC$445:$AC$458)=0,0,100*SUM($AE$445:$AE$458)/SUM($AC$445:$AC$458)))</f>
        <v>0</v>
      </c>
      <c r="AH458">
        <f>IF(COUNT($E$2:$E458)&lt;15,"",IF(SUM($AC$445:$AC$458)=0,0,100*SUM($AF$445:$AF$458)/SUM($AC$445:$AC$458)))</f>
        <v>0</v>
      </c>
      <c r="AI458">
        <f>IF(OR(AG458="",AH458=""),"",IF((AG458+AH458)=0,0,100*ABS(AG458-AH458)/(AG458+AH458)))</f>
        <v>0</v>
      </c>
      <c r="AJ458">
        <f>IF(COUNT($AI$445:$AI$458)&lt;14,"",AVERAGE($AI$445:$AI$458))</f>
        <v>0</v>
      </c>
      <c r="AK458">
        <f>IF(COUNT($E$2:$E458)&lt;20,"",AVERAGE($E$439:$E$458))</f>
        <v>0</v>
      </c>
      <c r="AL458">
        <f>IF(COUNT($E$2:$E458)&lt;20,"",STDEVP($E$439:$E$458))</f>
        <v>0</v>
      </c>
      <c r="AM458">
        <f>IF(AK458="","",AK458+2*AL458)</f>
        <v>0</v>
      </c>
      <c r="AN458">
        <f>IF(AK458="","",AK458-2*AL458)</f>
        <v>0</v>
      </c>
      <c r="AO458">
        <f>IF(OR(AM458="",AN458="",AM458=AN458),"",($E458-AN458)/(AM458-AN458))</f>
        <v>0</v>
      </c>
      <c r="AP458">
        <f>IF(OR(AM458="",AK458="",AK458=0),"",(AM458-AN458)/AK458)</f>
        <v>0</v>
      </c>
      <c r="AQ458">
        <f>IF(COUNT($E$2:$E458)&lt;20,"",MAX($C$439:$C$458))</f>
        <v>0</v>
      </c>
      <c r="AR458">
        <f>IF(COUNT($E$2:$E458)&lt;20,"",MIN($D$439:$D$458))</f>
        <v>0</v>
      </c>
      <c r="AS458">
        <f>IF(OR(AQ458="",AR458=""),"",(AQ458+AR458)/2)</f>
        <v>0</v>
      </c>
      <c r="AT458">
        <f>IF(COUNT($G$439:$G$458)&lt;20,"",STDEV($G$439:$G$458)*SQRT(252))</f>
        <v>0</v>
      </c>
      <c r="AU458">
        <f>IF(COUNT($E$2:$E458)&lt;9,"",(MAX($C$450:$C$458)+MIN($D$450:$D$458))/2)</f>
        <v>0</v>
      </c>
      <c r="AV458">
        <f>IF(COUNT($E$2:$E458)&lt;26,"",(MAX($C$433:$C$458)+MIN($D$433:$D$458))/2)</f>
        <v>0</v>
      </c>
      <c r="AW458">
        <f>IF(OR(AU458="",AV458=""),"",(AU458+AV458)/2)</f>
        <v>0</v>
      </c>
      <c r="AX458">
        <f>IF(COUNT($E$2:$E458)&lt;52,"",(MAX($C$407:$C$458)+MIN($D$407:$D$458))/2)</f>
        <v>0</v>
      </c>
      <c r="AY458">
        <f>IF(COUNT($E$2:$E458)&lt;20,"",MAX($C$359:$C$458))</f>
        <v>0</v>
      </c>
      <c r="AZ458">
        <f>IF(COUNT($E$2:$E458)&lt;20,"",MIN($D$359:$D$458))</f>
        <v>0</v>
      </c>
      <c r="BA458">
        <f>IF(COUNT($E$2:$E458)&lt;20,"",SLOPE($E$359:$E$458,$F$359:$F$458))</f>
        <v>0</v>
      </c>
      <c r="BB458">
        <f>IF(COUNT($E$2:$E458)&lt;20,"",INTERCEPT($E$359:$E$458,$F$359:$F$458))</f>
        <v>0</v>
      </c>
      <c r="BC458">
        <f>IF(OR(BA458="",BB458=""),"",BB458+BA458*F458)</f>
        <v>0</v>
      </c>
      <c r="BD458">
        <f>IF(COUNT($E$2:$E458)&lt;20,"",STEYX($E$359:$E$458,$F$359:$F$458))</f>
        <v>0</v>
      </c>
      <c r="BE458">
        <f>IF($E458="","",IF(AND(COUNT($E$459:$E$462)&gt;=4,$C458=MAX($C$454:$C$462)),$C458,""))</f>
        <v>0</v>
      </c>
      <c r="BF458">
        <f>IF($E458="","",IF(AND(COUNT($E$459:$E$462)&gt;=4,$D458=MIN($D$454:$D$462)),$D458,""))</f>
        <v>0</v>
      </c>
      <c r="BG458">
        <f>IF($A458="","",$A458-WEEKDAY($A458,2)+1)</f>
        <v>0</v>
      </c>
      <c r="BH458">
        <f>IF($A458="","",IF($A457="",1,IF(BG458&lt;&gt;BG457,1,0)))</f>
        <v>0</v>
      </c>
      <c r="BI458">
        <f>IF($A458="","",IF($A459="",1,IF(BG459&lt;&gt;BG458,1,0)))</f>
        <v>0</v>
      </c>
      <c r="BJ458">
        <f>IF($A458="","",IF(BH458=1,$B458,BJ457))</f>
        <v>0</v>
      </c>
      <c r="BK458">
        <f>IF($A458="","",IF(BH458=1,$C458,MAX($C458,BK457)))</f>
        <v>0</v>
      </c>
      <c r="BL458">
        <f>IF($A458="","",IF(BH458=1,$D458,MIN($D458,BL457)))</f>
        <v>0</v>
      </c>
      <c r="BM458">
        <f>IF($A458="","",IF(BI458=1,F458,""))</f>
        <v>0</v>
      </c>
      <c r="BN458">
        <f>IF($A458="","",DATE(YEAR($A458),MONTH($A458),1))</f>
        <v>0</v>
      </c>
      <c r="BO458">
        <f>IF($A458="","",IF($A457="",1,IF(BN458&lt;&gt;BN457,1,0)))</f>
        <v>0</v>
      </c>
      <c r="BP458">
        <f>IF($A458="","",IF($A459="",1,IF(BN459&lt;&gt;BN458,1,0)))</f>
        <v>0</v>
      </c>
      <c r="BQ458">
        <f>IF($A458="","",IF(BO458=1,$B458,BQ457))</f>
        <v>0</v>
      </c>
      <c r="BR458">
        <f>IF($A458="","",IF(BO458=1,$C458,MAX($C458,BR457)))</f>
        <v>0</v>
      </c>
      <c r="BS458">
        <f>IF($A458="","",IF(BO458=1,$D458,MIN($D458,BS457)))</f>
        <v>0</v>
      </c>
      <c r="BT458">
        <f>IF($A458="","",IF(BP458=1,F458,""))</f>
        <v>0</v>
      </c>
    </row>
    <row r="459" spans="1:72">
      <c r="A459" s="27">
        <f>IF(Data!$A459="","",Data!$A459)</f>
        <v>0</v>
      </c>
      <c r="B459">
        <f>IF(Data!$B459="","",Data!$B459)</f>
        <v>0</v>
      </c>
      <c r="C459">
        <f>IF(Data!$C459="","",Data!$C459)</f>
        <v>0</v>
      </c>
      <c r="D459">
        <f>IF(Data!$D459="","",Data!$D459)</f>
        <v>0</v>
      </c>
      <c r="E459">
        <f>IF(Data!$E459="","",Data!$E459)</f>
        <v>0</v>
      </c>
      <c r="F459">
        <f>IF($E459="","",N(F458)+1)</f>
        <v>0</v>
      </c>
      <c r="G459">
        <f>IF(OR($E459="",$E458=""),"",LN($E459/$E458))</f>
        <v>0</v>
      </c>
      <c r="H459">
        <f>IF($E459="","",IF($E458="",$E459,$E459*0.0952380952+H458*0.9047619048))</f>
        <v>0</v>
      </c>
      <c r="I459">
        <f>IF($E459="","",IF($E458="",$E459,$E459*0.0392156863+I458*0.9607843137))</f>
        <v>0</v>
      </c>
      <c r="J459">
        <f>IF($E459="","",IF($E458="",$E459,$E459*0.0198019802+J458*0.9801980198))</f>
        <v>0</v>
      </c>
      <c r="K459">
        <f>IF($E459="","",IF($E458="",$E459,$E459*0.0099502488+K458*0.9900497512))</f>
        <v>0</v>
      </c>
      <c r="L459">
        <f>IF(OR($E459="",$E458=""),"",MAX($E459-$E458,0))</f>
        <v>0</v>
      </c>
      <c r="M459">
        <f>IF(OR($E459="",$E458=""),"",MAX($E458-$E459,0))</f>
        <v>0</v>
      </c>
      <c r="N459">
        <f>IF(COUNT($E$2:$E459)&lt;15,"",IF(AVERAGE($M$446:$M$459)=0,100,100-100/(1+AVERAGE($L$446:$L$459)/AVERAGE($M$446:$M$459))))</f>
        <v>0</v>
      </c>
      <c r="O459">
        <f>IF($E459="","",IF($E458="",$E459,$E459*0.1538461538+O458*0.8461538462))</f>
        <v>0</v>
      </c>
      <c r="P459">
        <f>IF($E459="","",IF($E458="",$E459,$E459*0.0740740741+P458*0.9259259259))</f>
        <v>0</v>
      </c>
      <c r="Q459">
        <f>IF(OR(O459="",P459=""),"",O459-P459)</f>
        <v>0</v>
      </c>
      <c r="R459">
        <f>IF(Q459="","",IF(R458="",Q459,Q459*0.2000000000+R458*0.8000000000))</f>
        <v>0</v>
      </c>
      <c r="S459">
        <f>IF(OR(Q459="",R459=""),"",Q459-R459)</f>
        <v>0</v>
      </c>
      <c r="T459">
        <f>IF(COUNT($E$2:$E459)&lt;14,"",MAX($C$446:$C$459))</f>
        <v>0</v>
      </c>
      <c r="U459">
        <f>IF(COUNT($E$2:$E459)&lt;14,"",MIN($D$446:$D$459))</f>
        <v>0</v>
      </c>
      <c r="V459">
        <f>IF(OR(T459="",U459="",T459=U459),"",100*($E459-U459)/(T459-U459))</f>
        <v>0</v>
      </c>
      <c r="W459">
        <f>IF(COUNT($V$457:$V$459)&lt;3,"",AVERAGE($V$457:$V$459))</f>
        <v>0</v>
      </c>
      <c r="X459">
        <f>IF(COUNT($N$446:$N$459)&lt;14,"",MIN($N$446:$N$459))</f>
        <v>0</v>
      </c>
      <c r="Y459">
        <f>IF(COUNT($N$446:$N$459)&lt;14,"",MAX($N$446:$N$459))</f>
        <v>0</v>
      </c>
      <c r="Z459">
        <f>IF(OR(N459="",X459="",Y459="",Y459=X459),"",100*(N459-X459)/(Y459-X459))</f>
        <v>0</v>
      </c>
      <c r="AA459">
        <f>IF(COUNT($Z$457:$Z$459)&lt;3,"",AVERAGE($Z$457:$Z$459))</f>
        <v>0</v>
      </c>
      <c r="AB459">
        <f>IF(COUNT($AA$457:$AA$459)&lt;3,"",AVERAGE($AA$457:$AA$459))</f>
        <v>0</v>
      </c>
      <c r="AC459">
        <f>IF($E459="","",MAX($C459-$D459,ABS($C459-$E458),ABS($D459-$E458)))</f>
        <v>0</v>
      </c>
      <c r="AD459">
        <f>IF(COUNT($E$2:$E459)&lt;15,"",AVERAGE($AC$446:$AC$459))</f>
        <v>0</v>
      </c>
      <c r="AE459">
        <f>IF(OR($E459="",$E458=""),"",IF(AND(($C459-$C458)&gt;($D458-$D459),($C459-$C458)&gt;0),$C459-$C458,0))</f>
        <v>0</v>
      </c>
      <c r="AF459">
        <f>IF(OR($E459="",$E458=""),"",IF(AND(($D458-$D459)&gt;($C459-$C458),($D458-$D459)&gt;0),$D458-$D459,0))</f>
        <v>0</v>
      </c>
      <c r="AG459">
        <f>IF(COUNT($E$2:$E459)&lt;15,"",IF(SUM($AC$446:$AC$459)=0,0,100*SUM($AE$446:$AE$459)/SUM($AC$446:$AC$459)))</f>
        <v>0</v>
      </c>
      <c r="AH459">
        <f>IF(COUNT($E$2:$E459)&lt;15,"",IF(SUM($AC$446:$AC$459)=0,0,100*SUM($AF$446:$AF$459)/SUM($AC$446:$AC$459)))</f>
        <v>0</v>
      </c>
      <c r="AI459">
        <f>IF(OR(AG459="",AH459=""),"",IF((AG459+AH459)=0,0,100*ABS(AG459-AH459)/(AG459+AH459)))</f>
        <v>0</v>
      </c>
      <c r="AJ459">
        <f>IF(COUNT($AI$446:$AI$459)&lt;14,"",AVERAGE($AI$446:$AI$459))</f>
        <v>0</v>
      </c>
      <c r="AK459">
        <f>IF(COUNT($E$2:$E459)&lt;20,"",AVERAGE($E$440:$E$459))</f>
        <v>0</v>
      </c>
      <c r="AL459">
        <f>IF(COUNT($E$2:$E459)&lt;20,"",STDEVP($E$440:$E$459))</f>
        <v>0</v>
      </c>
      <c r="AM459">
        <f>IF(AK459="","",AK459+2*AL459)</f>
        <v>0</v>
      </c>
      <c r="AN459">
        <f>IF(AK459="","",AK459-2*AL459)</f>
        <v>0</v>
      </c>
      <c r="AO459">
        <f>IF(OR(AM459="",AN459="",AM459=AN459),"",($E459-AN459)/(AM459-AN459))</f>
        <v>0</v>
      </c>
      <c r="AP459">
        <f>IF(OR(AM459="",AK459="",AK459=0),"",(AM459-AN459)/AK459)</f>
        <v>0</v>
      </c>
      <c r="AQ459">
        <f>IF(COUNT($E$2:$E459)&lt;20,"",MAX($C$440:$C$459))</f>
        <v>0</v>
      </c>
      <c r="AR459">
        <f>IF(COUNT($E$2:$E459)&lt;20,"",MIN($D$440:$D$459))</f>
        <v>0</v>
      </c>
      <c r="AS459">
        <f>IF(OR(AQ459="",AR459=""),"",(AQ459+AR459)/2)</f>
        <v>0</v>
      </c>
      <c r="AT459">
        <f>IF(COUNT($G$440:$G$459)&lt;20,"",STDEV($G$440:$G$459)*SQRT(252))</f>
        <v>0</v>
      </c>
      <c r="AU459">
        <f>IF(COUNT($E$2:$E459)&lt;9,"",(MAX($C$451:$C$459)+MIN($D$451:$D$459))/2)</f>
        <v>0</v>
      </c>
      <c r="AV459">
        <f>IF(COUNT($E$2:$E459)&lt;26,"",(MAX($C$434:$C$459)+MIN($D$434:$D$459))/2)</f>
        <v>0</v>
      </c>
      <c r="AW459">
        <f>IF(OR(AU459="",AV459=""),"",(AU459+AV459)/2)</f>
        <v>0</v>
      </c>
      <c r="AX459">
        <f>IF(COUNT($E$2:$E459)&lt;52,"",(MAX($C$408:$C$459)+MIN($D$408:$D$459))/2)</f>
        <v>0</v>
      </c>
      <c r="AY459">
        <f>IF(COUNT($E$2:$E459)&lt;20,"",MAX($C$360:$C$459))</f>
        <v>0</v>
      </c>
      <c r="AZ459">
        <f>IF(COUNT($E$2:$E459)&lt;20,"",MIN($D$360:$D$459))</f>
        <v>0</v>
      </c>
      <c r="BA459">
        <f>IF(COUNT($E$2:$E459)&lt;20,"",SLOPE($E$360:$E$459,$F$360:$F$459))</f>
        <v>0</v>
      </c>
      <c r="BB459">
        <f>IF(COUNT($E$2:$E459)&lt;20,"",INTERCEPT($E$360:$E$459,$F$360:$F$459))</f>
        <v>0</v>
      </c>
      <c r="BC459">
        <f>IF(OR(BA459="",BB459=""),"",BB459+BA459*F459)</f>
        <v>0</v>
      </c>
      <c r="BD459">
        <f>IF(COUNT($E$2:$E459)&lt;20,"",STEYX($E$360:$E$459,$F$360:$F$459))</f>
        <v>0</v>
      </c>
      <c r="BE459">
        <f>IF($E459="","",IF(AND(COUNT($E$460:$E$463)&gt;=4,$C459=MAX($C$455:$C$463)),$C459,""))</f>
        <v>0</v>
      </c>
      <c r="BF459">
        <f>IF($E459="","",IF(AND(COUNT($E$460:$E$463)&gt;=4,$D459=MIN($D$455:$D$463)),$D459,""))</f>
        <v>0</v>
      </c>
      <c r="BG459">
        <f>IF($A459="","",$A459-WEEKDAY($A459,2)+1)</f>
        <v>0</v>
      </c>
      <c r="BH459">
        <f>IF($A459="","",IF($A458="",1,IF(BG459&lt;&gt;BG458,1,0)))</f>
        <v>0</v>
      </c>
      <c r="BI459">
        <f>IF($A459="","",IF($A460="",1,IF(BG460&lt;&gt;BG459,1,0)))</f>
        <v>0</v>
      </c>
      <c r="BJ459">
        <f>IF($A459="","",IF(BH459=1,$B459,BJ458))</f>
        <v>0</v>
      </c>
      <c r="BK459">
        <f>IF($A459="","",IF(BH459=1,$C459,MAX($C459,BK458)))</f>
        <v>0</v>
      </c>
      <c r="BL459">
        <f>IF($A459="","",IF(BH459=1,$D459,MIN($D459,BL458)))</f>
        <v>0</v>
      </c>
      <c r="BM459">
        <f>IF($A459="","",IF(BI459=1,F459,""))</f>
        <v>0</v>
      </c>
      <c r="BN459">
        <f>IF($A459="","",DATE(YEAR($A459),MONTH($A459),1))</f>
        <v>0</v>
      </c>
      <c r="BO459">
        <f>IF($A459="","",IF($A458="",1,IF(BN459&lt;&gt;BN458,1,0)))</f>
        <v>0</v>
      </c>
      <c r="BP459">
        <f>IF($A459="","",IF($A460="",1,IF(BN460&lt;&gt;BN459,1,0)))</f>
        <v>0</v>
      </c>
      <c r="BQ459">
        <f>IF($A459="","",IF(BO459=1,$B459,BQ458))</f>
        <v>0</v>
      </c>
      <c r="BR459">
        <f>IF($A459="","",IF(BO459=1,$C459,MAX($C459,BR458)))</f>
        <v>0</v>
      </c>
      <c r="BS459">
        <f>IF($A459="","",IF(BO459=1,$D459,MIN($D459,BS458)))</f>
        <v>0</v>
      </c>
      <c r="BT459">
        <f>IF($A459="","",IF(BP459=1,F459,""))</f>
        <v>0</v>
      </c>
    </row>
    <row r="460" spans="1:72">
      <c r="A460" s="27">
        <f>IF(Data!$A460="","",Data!$A460)</f>
        <v>0</v>
      </c>
      <c r="B460">
        <f>IF(Data!$B460="","",Data!$B460)</f>
        <v>0</v>
      </c>
      <c r="C460">
        <f>IF(Data!$C460="","",Data!$C460)</f>
        <v>0</v>
      </c>
      <c r="D460">
        <f>IF(Data!$D460="","",Data!$D460)</f>
        <v>0</v>
      </c>
      <c r="E460">
        <f>IF(Data!$E460="","",Data!$E460)</f>
        <v>0</v>
      </c>
      <c r="F460">
        <f>IF($E460="","",N(F459)+1)</f>
        <v>0</v>
      </c>
      <c r="G460">
        <f>IF(OR($E460="",$E459=""),"",LN($E460/$E459))</f>
        <v>0</v>
      </c>
      <c r="H460">
        <f>IF($E460="","",IF($E459="",$E460,$E460*0.0952380952+H459*0.9047619048))</f>
        <v>0</v>
      </c>
      <c r="I460">
        <f>IF($E460="","",IF($E459="",$E460,$E460*0.0392156863+I459*0.9607843137))</f>
        <v>0</v>
      </c>
      <c r="J460">
        <f>IF($E460="","",IF($E459="",$E460,$E460*0.0198019802+J459*0.9801980198))</f>
        <v>0</v>
      </c>
      <c r="K460">
        <f>IF($E460="","",IF($E459="",$E460,$E460*0.0099502488+K459*0.9900497512))</f>
        <v>0</v>
      </c>
      <c r="L460">
        <f>IF(OR($E460="",$E459=""),"",MAX($E460-$E459,0))</f>
        <v>0</v>
      </c>
      <c r="M460">
        <f>IF(OR($E460="",$E459=""),"",MAX($E459-$E460,0))</f>
        <v>0</v>
      </c>
      <c r="N460">
        <f>IF(COUNT($E$2:$E460)&lt;15,"",IF(AVERAGE($M$447:$M$460)=0,100,100-100/(1+AVERAGE($L$447:$L$460)/AVERAGE($M$447:$M$460))))</f>
        <v>0</v>
      </c>
      <c r="O460">
        <f>IF($E460="","",IF($E459="",$E460,$E460*0.1538461538+O459*0.8461538462))</f>
        <v>0</v>
      </c>
      <c r="P460">
        <f>IF($E460="","",IF($E459="",$E460,$E460*0.0740740741+P459*0.9259259259))</f>
        <v>0</v>
      </c>
      <c r="Q460">
        <f>IF(OR(O460="",P460=""),"",O460-P460)</f>
        <v>0</v>
      </c>
      <c r="R460">
        <f>IF(Q460="","",IF(R459="",Q460,Q460*0.2000000000+R459*0.8000000000))</f>
        <v>0</v>
      </c>
      <c r="S460">
        <f>IF(OR(Q460="",R460=""),"",Q460-R460)</f>
        <v>0</v>
      </c>
      <c r="T460">
        <f>IF(COUNT($E$2:$E460)&lt;14,"",MAX($C$447:$C$460))</f>
        <v>0</v>
      </c>
      <c r="U460">
        <f>IF(COUNT($E$2:$E460)&lt;14,"",MIN($D$447:$D$460))</f>
        <v>0</v>
      </c>
      <c r="V460">
        <f>IF(OR(T460="",U460="",T460=U460),"",100*($E460-U460)/(T460-U460))</f>
        <v>0</v>
      </c>
      <c r="W460">
        <f>IF(COUNT($V$458:$V$460)&lt;3,"",AVERAGE($V$458:$V$460))</f>
        <v>0</v>
      </c>
      <c r="X460">
        <f>IF(COUNT($N$447:$N$460)&lt;14,"",MIN($N$447:$N$460))</f>
        <v>0</v>
      </c>
      <c r="Y460">
        <f>IF(COUNT($N$447:$N$460)&lt;14,"",MAX($N$447:$N$460))</f>
        <v>0</v>
      </c>
      <c r="Z460">
        <f>IF(OR(N460="",X460="",Y460="",Y460=X460),"",100*(N460-X460)/(Y460-X460))</f>
        <v>0</v>
      </c>
      <c r="AA460">
        <f>IF(COUNT($Z$458:$Z$460)&lt;3,"",AVERAGE($Z$458:$Z$460))</f>
        <v>0</v>
      </c>
      <c r="AB460">
        <f>IF(COUNT($AA$458:$AA$460)&lt;3,"",AVERAGE($AA$458:$AA$460))</f>
        <v>0</v>
      </c>
      <c r="AC460">
        <f>IF($E460="","",MAX($C460-$D460,ABS($C460-$E459),ABS($D460-$E459)))</f>
        <v>0</v>
      </c>
      <c r="AD460">
        <f>IF(COUNT($E$2:$E460)&lt;15,"",AVERAGE($AC$447:$AC$460))</f>
        <v>0</v>
      </c>
      <c r="AE460">
        <f>IF(OR($E460="",$E459=""),"",IF(AND(($C460-$C459)&gt;($D459-$D460),($C460-$C459)&gt;0),$C460-$C459,0))</f>
        <v>0</v>
      </c>
      <c r="AF460">
        <f>IF(OR($E460="",$E459=""),"",IF(AND(($D459-$D460)&gt;($C460-$C459),($D459-$D460)&gt;0),$D459-$D460,0))</f>
        <v>0</v>
      </c>
      <c r="AG460">
        <f>IF(COUNT($E$2:$E460)&lt;15,"",IF(SUM($AC$447:$AC$460)=0,0,100*SUM($AE$447:$AE$460)/SUM($AC$447:$AC$460)))</f>
        <v>0</v>
      </c>
      <c r="AH460">
        <f>IF(COUNT($E$2:$E460)&lt;15,"",IF(SUM($AC$447:$AC$460)=0,0,100*SUM($AF$447:$AF$460)/SUM($AC$447:$AC$460)))</f>
        <v>0</v>
      </c>
      <c r="AI460">
        <f>IF(OR(AG460="",AH460=""),"",IF((AG460+AH460)=0,0,100*ABS(AG460-AH460)/(AG460+AH460)))</f>
        <v>0</v>
      </c>
      <c r="AJ460">
        <f>IF(COUNT($AI$447:$AI$460)&lt;14,"",AVERAGE($AI$447:$AI$460))</f>
        <v>0</v>
      </c>
      <c r="AK460">
        <f>IF(COUNT($E$2:$E460)&lt;20,"",AVERAGE($E$441:$E$460))</f>
        <v>0</v>
      </c>
      <c r="AL460">
        <f>IF(COUNT($E$2:$E460)&lt;20,"",STDEVP($E$441:$E$460))</f>
        <v>0</v>
      </c>
      <c r="AM460">
        <f>IF(AK460="","",AK460+2*AL460)</f>
        <v>0</v>
      </c>
      <c r="AN460">
        <f>IF(AK460="","",AK460-2*AL460)</f>
        <v>0</v>
      </c>
      <c r="AO460">
        <f>IF(OR(AM460="",AN460="",AM460=AN460),"",($E460-AN460)/(AM460-AN460))</f>
        <v>0</v>
      </c>
      <c r="AP460">
        <f>IF(OR(AM460="",AK460="",AK460=0),"",(AM460-AN460)/AK460)</f>
        <v>0</v>
      </c>
      <c r="AQ460">
        <f>IF(COUNT($E$2:$E460)&lt;20,"",MAX($C$441:$C$460))</f>
        <v>0</v>
      </c>
      <c r="AR460">
        <f>IF(COUNT($E$2:$E460)&lt;20,"",MIN($D$441:$D$460))</f>
        <v>0</v>
      </c>
      <c r="AS460">
        <f>IF(OR(AQ460="",AR460=""),"",(AQ460+AR460)/2)</f>
        <v>0</v>
      </c>
      <c r="AT460">
        <f>IF(COUNT($G$441:$G$460)&lt;20,"",STDEV($G$441:$G$460)*SQRT(252))</f>
        <v>0</v>
      </c>
      <c r="AU460">
        <f>IF(COUNT($E$2:$E460)&lt;9,"",(MAX($C$452:$C$460)+MIN($D$452:$D$460))/2)</f>
        <v>0</v>
      </c>
      <c r="AV460">
        <f>IF(COUNT($E$2:$E460)&lt;26,"",(MAX($C$435:$C$460)+MIN($D$435:$D$460))/2)</f>
        <v>0</v>
      </c>
      <c r="AW460">
        <f>IF(OR(AU460="",AV460=""),"",(AU460+AV460)/2)</f>
        <v>0</v>
      </c>
      <c r="AX460">
        <f>IF(COUNT($E$2:$E460)&lt;52,"",(MAX($C$409:$C$460)+MIN($D$409:$D$460))/2)</f>
        <v>0</v>
      </c>
      <c r="AY460">
        <f>IF(COUNT($E$2:$E460)&lt;20,"",MAX($C$361:$C$460))</f>
        <v>0</v>
      </c>
      <c r="AZ460">
        <f>IF(COUNT($E$2:$E460)&lt;20,"",MIN($D$361:$D$460))</f>
        <v>0</v>
      </c>
      <c r="BA460">
        <f>IF(COUNT($E$2:$E460)&lt;20,"",SLOPE($E$361:$E$460,$F$361:$F$460))</f>
        <v>0</v>
      </c>
      <c r="BB460">
        <f>IF(COUNT($E$2:$E460)&lt;20,"",INTERCEPT($E$361:$E$460,$F$361:$F$460))</f>
        <v>0</v>
      </c>
      <c r="BC460">
        <f>IF(OR(BA460="",BB460=""),"",BB460+BA460*F460)</f>
        <v>0</v>
      </c>
      <c r="BD460">
        <f>IF(COUNT($E$2:$E460)&lt;20,"",STEYX($E$361:$E$460,$F$361:$F$460))</f>
        <v>0</v>
      </c>
      <c r="BE460">
        <f>IF($E460="","",IF(AND(COUNT($E$461:$E$464)&gt;=4,$C460=MAX($C$456:$C$464)),$C460,""))</f>
        <v>0</v>
      </c>
      <c r="BF460">
        <f>IF($E460="","",IF(AND(COUNT($E$461:$E$464)&gt;=4,$D460=MIN($D$456:$D$464)),$D460,""))</f>
        <v>0</v>
      </c>
      <c r="BG460">
        <f>IF($A460="","",$A460-WEEKDAY($A460,2)+1)</f>
        <v>0</v>
      </c>
      <c r="BH460">
        <f>IF($A460="","",IF($A459="",1,IF(BG460&lt;&gt;BG459,1,0)))</f>
        <v>0</v>
      </c>
      <c r="BI460">
        <f>IF($A460="","",IF($A461="",1,IF(BG461&lt;&gt;BG460,1,0)))</f>
        <v>0</v>
      </c>
      <c r="BJ460">
        <f>IF($A460="","",IF(BH460=1,$B460,BJ459))</f>
        <v>0</v>
      </c>
      <c r="BK460">
        <f>IF($A460="","",IF(BH460=1,$C460,MAX($C460,BK459)))</f>
        <v>0</v>
      </c>
      <c r="BL460">
        <f>IF($A460="","",IF(BH460=1,$D460,MIN($D460,BL459)))</f>
        <v>0</v>
      </c>
      <c r="BM460">
        <f>IF($A460="","",IF(BI460=1,F460,""))</f>
        <v>0</v>
      </c>
      <c r="BN460">
        <f>IF($A460="","",DATE(YEAR($A460),MONTH($A460),1))</f>
        <v>0</v>
      </c>
      <c r="BO460">
        <f>IF($A460="","",IF($A459="",1,IF(BN460&lt;&gt;BN459,1,0)))</f>
        <v>0</v>
      </c>
      <c r="BP460">
        <f>IF($A460="","",IF($A461="",1,IF(BN461&lt;&gt;BN460,1,0)))</f>
        <v>0</v>
      </c>
      <c r="BQ460">
        <f>IF($A460="","",IF(BO460=1,$B460,BQ459))</f>
        <v>0</v>
      </c>
      <c r="BR460">
        <f>IF($A460="","",IF(BO460=1,$C460,MAX($C460,BR459)))</f>
        <v>0</v>
      </c>
      <c r="BS460">
        <f>IF($A460="","",IF(BO460=1,$D460,MIN($D460,BS459)))</f>
        <v>0</v>
      </c>
      <c r="BT460">
        <f>IF($A460="","",IF(BP460=1,F460,""))</f>
        <v>0</v>
      </c>
    </row>
    <row r="461" spans="1:72">
      <c r="A461" s="27">
        <f>IF(Data!$A461="","",Data!$A461)</f>
        <v>0</v>
      </c>
      <c r="B461">
        <f>IF(Data!$B461="","",Data!$B461)</f>
        <v>0</v>
      </c>
      <c r="C461">
        <f>IF(Data!$C461="","",Data!$C461)</f>
        <v>0</v>
      </c>
      <c r="D461">
        <f>IF(Data!$D461="","",Data!$D461)</f>
        <v>0</v>
      </c>
      <c r="E461">
        <f>IF(Data!$E461="","",Data!$E461)</f>
        <v>0</v>
      </c>
      <c r="F461">
        <f>IF($E461="","",N(F460)+1)</f>
        <v>0</v>
      </c>
      <c r="G461">
        <f>IF(OR($E461="",$E460=""),"",LN($E461/$E460))</f>
        <v>0</v>
      </c>
      <c r="H461">
        <f>IF($E461="","",IF($E460="",$E461,$E461*0.0952380952+H460*0.9047619048))</f>
        <v>0</v>
      </c>
      <c r="I461">
        <f>IF($E461="","",IF($E460="",$E461,$E461*0.0392156863+I460*0.9607843137))</f>
        <v>0</v>
      </c>
      <c r="J461">
        <f>IF($E461="","",IF($E460="",$E461,$E461*0.0198019802+J460*0.9801980198))</f>
        <v>0</v>
      </c>
      <c r="K461">
        <f>IF($E461="","",IF($E460="",$E461,$E461*0.0099502488+K460*0.9900497512))</f>
        <v>0</v>
      </c>
      <c r="L461">
        <f>IF(OR($E461="",$E460=""),"",MAX($E461-$E460,0))</f>
        <v>0</v>
      </c>
      <c r="M461">
        <f>IF(OR($E461="",$E460=""),"",MAX($E460-$E461,0))</f>
        <v>0</v>
      </c>
      <c r="N461">
        <f>IF(COUNT($E$2:$E461)&lt;15,"",IF(AVERAGE($M$448:$M$461)=0,100,100-100/(1+AVERAGE($L$448:$L$461)/AVERAGE($M$448:$M$461))))</f>
        <v>0</v>
      </c>
      <c r="O461">
        <f>IF($E461="","",IF($E460="",$E461,$E461*0.1538461538+O460*0.8461538462))</f>
        <v>0</v>
      </c>
      <c r="P461">
        <f>IF($E461="","",IF($E460="",$E461,$E461*0.0740740741+P460*0.9259259259))</f>
        <v>0</v>
      </c>
      <c r="Q461">
        <f>IF(OR(O461="",P461=""),"",O461-P461)</f>
        <v>0</v>
      </c>
      <c r="R461">
        <f>IF(Q461="","",IF(R460="",Q461,Q461*0.2000000000+R460*0.8000000000))</f>
        <v>0</v>
      </c>
      <c r="S461">
        <f>IF(OR(Q461="",R461=""),"",Q461-R461)</f>
        <v>0</v>
      </c>
      <c r="T461">
        <f>IF(COUNT($E$2:$E461)&lt;14,"",MAX($C$448:$C$461))</f>
        <v>0</v>
      </c>
      <c r="U461">
        <f>IF(COUNT($E$2:$E461)&lt;14,"",MIN($D$448:$D$461))</f>
        <v>0</v>
      </c>
      <c r="V461">
        <f>IF(OR(T461="",U461="",T461=U461),"",100*($E461-U461)/(T461-U461))</f>
        <v>0</v>
      </c>
      <c r="W461">
        <f>IF(COUNT($V$459:$V$461)&lt;3,"",AVERAGE($V$459:$V$461))</f>
        <v>0</v>
      </c>
      <c r="X461">
        <f>IF(COUNT($N$448:$N$461)&lt;14,"",MIN($N$448:$N$461))</f>
        <v>0</v>
      </c>
      <c r="Y461">
        <f>IF(COUNT($N$448:$N$461)&lt;14,"",MAX($N$448:$N$461))</f>
        <v>0</v>
      </c>
      <c r="Z461">
        <f>IF(OR(N461="",X461="",Y461="",Y461=X461),"",100*(N461-X461)/(Y461-X461))</f>
        <v>0</v>
      </c>
      <c r="AA461">
        <f>IF(COUNT($Z$459:$Z$461)&lt;3,"",AVERAGE($Z$459:$Z$461))</f>
        <v>0</v>
      </c>
      <c r="AB461">
        <f>IF(COUNT($AA$459:$AA$461)&lt;3,"",AVERAGE($AA$459:$AA$461))</f>
        <v>0</v>
      </c>
      <c r="AC461">
        <f>IF($E461="","",MAX($C461-$D461,ABS($C461-$E460),ABS($D461-$E460)))</f>
        <v>0</v>
      </c>
      <c r="AD461">
        <f>IF(COUNT($E$2:$E461)&lt;15,"",AVERAGE($AC$448:$AC$461))</f>
        <v>0</v>
      </c>
      <c r="AE461">
        <f>IF(OR($E461="",$E460=""),"",IF(AND(($C461-$C460)&gt;($D460-$D461),($C461-$C460)&gt;0),$C461-$C460,0))</f>
        <v>0</v>
      </c>
      <c r="AF461">
        <f>IF(OR($E461="",$E460=""),"",IF(AND(($D460-$D461)&gt;($C461-$C460),($D460-$D461)&gt;0),$D460-$D461,0))</f>
        <v>0</v>
      </c>
      <c r="AG461">
        <f>IF(COUNT($E$2:$E461)&lt;15,"",IF(SUM($AC$448:$AC$461)=0,0,100*SUM($AE$448:$AE$461)/SUM($AC$448:$AC$461)))</f>
        <v>0</v>
      </c>
      <c r="AH461">
        <f>IF(COUNT($E$2:$E461)&lt;15,"",IF(SUM($AC$448:$AC$461)=0,0,100*SUM($AF$448:$AF$461)/SUM($AC$448:$AC$461)))</f>
        <v>0</v>
      </c>
      <c r="AI461">
        <f>IF(OR(AG461="",AH461=""),"",IF((AG461+AH461)=0,0,100*ABS(AG461-AH461)/(AG461+AH461)))</f>
        <v>0</v>
      </c>
      <c r="AJ461">
        <f>IF(COUNT($AI$448:$AI$461)&lt;14,"",AVERAGE($AI$448:$AI$461))</f>
        <v>0</v>
      </c>
      <c r="AK461">
        <f>IF(COUNT($E$2:$E461)&lt;20,"",AVERAGE($E$442:$E$461))</f>
        <v>0</v>
      </c>
      <c r="AL461">
        <f>IF(COUNT($E$2:$E461)&lt;20,"",STDEVP($E$442:$E$461))</f>
        <v>0</v>
      </c>
      <c r="AM461">
        <f>IF(AK461="","",AK461+2*AL461)</f>
        <v>0</v>
      </c>
      <c r="AN461">
        <f>IF(AK461="","",AK461-2*AL461)</f>
        <v>0</v>
      </c>
      <c r="AO461">
        <f>IF(OR(AM461="",AN461="",AM461=AN461),"",($E461-AN461)/(AM461-AN461))</f>
        <v>0</v>
      </c>
      <c r="AP461">
        <f>IF(OR(AM461="",AK461="",AK461=0),"",(AM461-AN461)/AK461)</f>
        <v>0</v>
      </c>
      <c r="AQ461">
        <f>IF(COUNT($E$2:$E461)&lt;20,"",MAX($C$442:$C$461))</f>
        <v>0</v>
      </c>
      <c r="AR461">
        <f>IF(COUNT($E$2:$E461)&lt;20,"",MIN($D$442:$D$461))</f>
        <v>0</v>
      </c>
      <c r="AS461">
        <f>IF(OR(AQ461="",AR461=""),"",(AQ461+AR461)/2)</f>
        <v>0</v>
      </c>
      <c r="AT461">
        <f>IF(COUNT($G$442:$G$461)&lt;20,"",STDEV($G$442:$G$461)*SQRT(252))</f>
        <v>0</v>
      </c>
      <c r="AU461">
        <f>IF(COUNT($E$2:$E461)&lt;9,"",(MAX($C$453:$C$461)+MIN($D$453:$D$461))/2)</f>
        <v>0</v>
      </c>
      <c r="AV461">
        <f>IF(COUNT($E$2:$E461)&lt;26,"",(MAX($C$436:$C$461)+MIN($D$436:$D$461))/2)</f>
        <v>0</v>
      </c>
      <c r="AW461">
        <f>IF(OR(AU461="",AV461=""),"",(AU461+AV461)/2)</f>
        <v>0</v>
      </c>
      <c r="AX461">
        <f>IF(COUNT($E$2:$E461)&lt;52,"",(MAX($C$410:$C$461)+MIN($D$410:$D$461))/2)</f>
        <v>0</v>
      </c>
      <c r="AY461">
        <f>IF(COUNT($E$2:$E461)&lt;20,"",MAX($C$362:$C$461))</f>
        <v>0</v>
      </c>
      <c r="AZ461">
        <f>IF(COUNT($E$2:$E461)&lt;20,"",MIN($D$362:$D$461))</f>
        <v>0</v>
      </c>
      <c r="BA461">
        <f>IF(COUNT($E$2:$E461)&lt;20,"",SLOPE($E$362:$E$461,$F$362:$F$461))</f>
        <v>0</v>
      </c>
      <c r="BB461">
        <f>IF(COUNT($E$2:$E461)&lt;20,"",INTERCEPT($E$362:$E$461,$F$362:$F$461))</f>
        <v>0</v>
      </c>
      <c r="BC461">
        <f>IF(OR(BA461="",BB461=""),"",BB461+BA461*F461)</f>
        <v>0</v>
      </c>
      <c r="BD461">
        <f>IF(COUNT($E$2:$E461)&lt;20,"",STEYX($E$362:$E$461,$F$362:$F$461))</f>
        <v>0</v>
      </c>
      <c r="BE461">
        <f>IF($E461="","",IF(AND(COUNT($E$462:$E$465)&gt;=4,$C461=MAX($C$457:$C$465)),$C461,""))</f>
        <v>0</v>
      </c>
      <c r="BF461">
        <f>IF($E461="","",IF(AND(COUNT($E$462:$E$465)&gt;=4,$D461=MIN($D$457:$D$465)),$D461,""))</f>
        <v>0</v>
      </c>
      <c r="BG461">
        <f>IF($A461="","",$A461-WEEKDAY($A461,2)+1)</f>
        <v>0</v>
      </c>
      <c r="BH461">
        <f>IF($A461="","",IF($A460="",1,IF(BG461&lt;&gt;BG460,1,0)))</f>
        <v>0</v>
      </c>
      <c r="BI461">
        <f>IF($A461="","",IF($A462="",1,IF(BG462&lt;&gt;BG461,1,0)))</f>
        <v>0</v>
      </c>
      <c r="BJ461">
        <f>IF($A461="","",IF(BH461=1,$B461,BJ460))</f>
        <v>0</v>
      </c>
      <c r="BK461">
        <f>IF($A461="","",IF(BH461=1,$C461,MAX($C461,BK460)))</f>
        <v>0</v>
      </c>
      <c r="BL461">
        <f>IF($A461="","",IF(BH461=1,$D461,MIN($D461,BL460)))</f>
        <v>0</v>
      </c>
      <c r="BM461">
        <f>IF($A461="","",IF(BI461=1,F461,""))</f>
        <v>0</v>
      </c>
      <c r="BN461">
        <f>IF($A461="","",DATE(YEAR($A461),MONTH($A461),1))</f>
        <v>0</v>
      </c>
      <c r="BO461">
        <f>IF($A461="","",IF($A460="",1,IF(BN461&lt;&gt;BN460,1,0)))</f>
        <v>0</v>
      </c>
      <c r="BP461">
        <f>IF($A461="","",IF($A462="",1,IF(BN462&lt;&gt;BN461,1,0)))</f>
        <v>0</v>
      </c>
      <c r="BQ461">
        <f>IF($A461="","",IF(BO461=1,$B461,BQ460))</f>
        <v>0</v>
      </c>
      <c r="BR461">
        <f>IF($A461="","",IF(BO461=1,$C461,MAX($C461,BR460)))</f>
        <v>0</v>
      </c>
      <c r="BS461">
        <f>IF($A461="","",IF(BO461=1,$D461,MIN($D461,BS460)))</f>
        <v>0</v>
      </c>
      <c r="BT461">
        <f>IF($A461="","",IF(BP461=1,F461,""))</f>
        <v>0</v>
      </c>
    </row>
    <row r="462" spans="1:72">
      <c r="A462" s="27">
        <f>IF(Data!$A462="","",Data!$A462)</f>
        <v>0</v>
      </c>
      <c r="B462">
        <f>IF(Data!$B462="","",Data!$B462)</f>
        <v>0</v>
      </c>
      <c r="C462">
        <f>IF(Data!$C462="","",Data!$C462)</f>
        <v>0</v>
      </c>
      <c r="D462">
        <f>IF(Data!$D462="","",Data!$D462)</f>
        <v>0</v>
      </c>
      <c r="E462">
        <f>IF(Data!$E462="","",Data!$E462)</f>
        <v>0</v>
      </c>
      <c r="F462">
        <f>IF($E462="","",N(F461)+1)</f>
        <v>0</v>
      </c>
      <c r="G462">
        <f>IF(OR($E462="",$E461=""),"",LN($E462/$E461))</f>
        <v>0</v>
      </c>
      <c r="H462">
        <f>IF($E462="","",IF($E461="",$E462,$E462*0.0952380952+H461*0.9047619048))</f>
        <v>0</v>
      </c>
      <c r="I462">
        <f>IF($E462="","",IF($E461="",$E462,$E462*0.0392156863+I461*0.9607843137))</f>
        <v>0</v>
      </c>
      <c r="J462">
        <f>IF($E462="","",IF($E461="",$E462,$E462*0.0198019802+J461*0.9801980198))</f>
        <v>0</v>
      </c>
      <c r="K462">
        <f>IF($E462="","",IF($E461="",$E462,$E462*0.0099502488+K461*0.9900497512))</f>
        <v>0</v>
      </c>
      <c r="L462">
        <f>IF(OR($E462="",$E461=""),"",MAX($E462-$E461,0))</f>
        <v>0</v>
      </c>
      <c r="M462">
        <f>IF(OR($E462="",$E461=""),"",MAX($E461-$E462,0))</f>
        <v>0</v>
      </c>
      <c r="N462">
        <f>IF(COUNT($E$2:$E462)&lt;15,"",IF(AVERAGE($M$449:$M$462)=0,100,100-100/(1+AVERAGE($L$449:$L$462)/AVERAGE($M$449:$M$462))))</f>
        <v>0</v>
      </c>
      <c r="O462">
        <f>IF($E462="","",IF($E461="",$E462,$E462*0.1538461538+O461*0.8461538462))</f>
        <v>0</v>
      </c>
      <c r="P462">
        <f>IF($E462="","",IF($E461="",$E462,$E462*0.0740740741+P461*0.9259259259))</f>
        <v>0</v>
      </c>
      <c r="Q462">
        <f>IF(OR(O462="",P462=""),"",O462-P462)</f>
        <v>0</v>
      </c>
      <c r="R462">
        <f>IF(Q462="","",IF(R461="",Q462,Q462*0.2000000000+R461*0.8000000000))</f>
        <v>0</v>
      </c>
      <c r="S462">
        <f>IF(OR(Q462="",R462=""),"",Q462-R462)</f>
        <v>0</v>
      </c>
      <c r="T462">
        <f>IF(COUNT($E$2:$E462)&lt;14,"",MAX($C$449:$C$462))</f>
        <v>0</v>
      </c>
      <c r="U462">
        <f>IF(COUNT($E$2:$E462)&lt;14,"",MIN($D$449:$D$462))</f>
        <v>0</v>
      </c>
      <c r="V462">
        <f>IF(OR(T462="",U462="",T462=U462),"",100*($E462-U462)/(T462-U462))</f>
        <v>0</v>
      </c>
      <c r="W462">
        <f>IF(COUNT($V$460:$V$462)&lt;3,"",AVERAGE($V$460:$V$462))</f>
        <v>0</v>
      </c>
      <c r="X462">
        <f>IF(COUNT($N$449:$N$462)&lt;14,"",MIN($N$449:$N$462))</f>
        <v>0</v>
      </c>
      <c r="Y462">
        <f>IF(COUNT($N$449:$N$462)&lt;14,"",MAX($N$449:$N$462))</f>
        <v>0</v>
      </c>
      <c r="Z462">
        <f>IF(OR(N462="",X462="",Y462="",Y462=X462),"",100*(N462-X462)/(Y462-X462))</f>
        <v>0</v>
      </c>
      <c r="AA462">
        <f>IF(COUNT($Z$460:$Z$462)&lt;3,"",AVERAGE($Z$460:$Z$462))</f>
        <v>0</v>
      </c>
      <c r="AB462">
        <f>IF(COUNT($AA$460:$AA$462)&lt;3,"",AVERAGE($AA$460:$AA$462))</f>
        <v>0</v>
      </c>
      <c r="AC462">
        <f>IF($E462="","",MAX($C462-$D462,ABS($C462-$E461),ABS($D462-$E461)))</f>
        <v>0</v>
      </c>
      <c r="AD462">
        <f>IF(COUNT($E$2:$E462)&lt;15,"",AVERAGE($AC$449:$AC$462))</f>
        <v>0</v>
      </c>
      <c r="AE462">
        <f>IF(OR($E462="",$E461=""),"",IF(AND(($C462-$C461)&gt;($D461-$D462),($C462-$C461)&gt;0),$C462-$C461,0))</f>
        <v>0</v>
      </c>
      <c r="AF462">
        <f>IF(OR($E462="",$E461=""),"",IF(AND(($D461-$D462)&gt;($C462-$C461),($D461-$D462)&gt;0),$D461-$D462,0))</f>
        <v>0</v>
      </c>
      <c r="AG462">
        <f>IF(COUNT($E$2:$E462)&lt;15,"",IF(SUM($AC$449:$AC$462)=0,0,100*SUM($AE$449:$AE$462)/SUM($AC$449:$AC$462)))</f>
        <v>0</v>
      </c>
      <c r="AH462">
        <f>IF(COUNT($E$2:$E462)&lt;15,"",IF(SUM($AC$449:$AC$462)=0,0,100*SUM($AF$449:$AF$462)/SUM($AC$449:$AC$462)))</f>
        <v>0</v>
      </c>
      <c r="AI462">
        <f>IF(OR(AG462="",AH462=""),"",IF((AG462+AH462)=0,0,100*ABS(AG462-AH462)/(AG462+AH462)))</f>
        <v>0</v>
      </c>
      <c r="AJ462">
        <f>IF(COUNT($AI$449:$AI$462)&lt;14,"",AVERAGE($AI$449:$AI$462))</f>
        <v>0</v>
      </c>
      <c r="AK462">
        <f>IF(COUNT($E$2:$E462)&lt;20,"",AVERAGE($E$443:$E$462))</f>
        <v>0</v>
      </c>
      <c r="AL462">
        <f>IF(COUNT($E$2:$E462)&lt;20,"",STDEVP($E$443:$E$462))</f>
        <v>0</v>
      </c>
      <c r="AM462">
        <f>IF(AK462="","",AK462+2*AL462)</f>
        <v>0</v>
      </c>
      <c r="AN462">
        <f>IF(AK462="","",AK462-2*AL462)</f>
        <v>0</v>
      </c>
      <c r="AO462">
        <f>IF(OR(AM462="",AN462="",AM462=AN462),"",($E462-AN462)/(AM462-AN462))</f>
        <v>0</v>
      </c>
      <c r="AP462">
        <f>IF(OR(AM462="",AK462="",AK462=0),"",(AM462-AN462)/AK462)</f>
        <v>0</v>
      </c>
      <c r="AQ462">
        <f>IF(COUNT($E$2:$E462)&lt;20,"",MAX($C$443:$C$462))</f>
        <v>0</v>
      </c>
      <c r="AR462">
        <f>IF(COUNT($E$2:$E462)&lt;20,"",MIN($D$443:$D$462))</f>
        <v>0</v>
      </c>
      <c r="AS462">
        <f>IF(OR(AQ462="",AR462=""),"",(AQ462+AR462)/2)</f>
        <v>0</v>
      </c>
      <c r="AT462">
        <f>IF(COUNT($G$443:$G$462)&lt;20,"",STDEV($G$443:$G$462)*SQRT(252))</f>
        <v>0</v>
      </c>
      <c r="AU462">
        <f>IF(COUNT($E$2:$E462)&lt;9,"",(MAX($C$454:$C$462)+MIN($D$454:$D$462))/2)</f>
        <v>0</v>
      </c>
      <c r="AV462">
        <f>IF(COUNT($E$2:$E462)&lt;26,"",(MAX($C$437:$C$462)+MIN($D$437:$D$462))/2)</f>
        <v>0</v>
      </c>
      <c r="AW462">
        <f>IF(OR(AU462="",AV462=""),"",(AU462+AV462)/2)</f>
        <v>0</v>
      </c>
      <c r="AX462">
        <f>IF(COUNT($E$2:$E462)&lt;52,"",(MAX($C$411:$C$462)+MIN($D$411:$D$462))/2)</f>
        <v>0</v>
      </c>
      <c r="AY462">
        <f>IF(COUNT($E$2:$E462)&lt;20,"",MAX($C$363:$C$462))</f>
        <v>0</v>
      </c>
      <c r="AZ462">
        <f>IF(COUNT($E$2:$E462)&lt;20,"",MIN($D$363:$D$462))</f>
        <v>0</v>
      </c>
      <c r="BA462">
        <f>IF(COUNT($E$2:$E462)&lt;20,"",SLOPE($E$363:$E$462,$F$363:$F$462))</f>
        <v>0</v>
      </c>
      <c r="BB462">
        <f>IF(COUNT($E$2:$E462)&lt;20,"",INTERCEPT($E$363:$E$462,$F$363:$F$462))</f>
        <v>0</v>
      </c>
      <c r="BC462">
        <f>IF(OR(BA462="",BB462=""),"",BB462+BA462*F462)</f>
        <v>0</v>
      </c>
      <c r="BD462">
        <f>IF(COUNT($E$2:$E462)&lt;20,"",STEYX($E$363:$E$462,$F$363:$F$462))</f>
        <v>0</v>
      </c>
      <c r="BE462">
        <f>IF($E462="","",IF(AND(COUNT($E$463:$E$466)&gt;=4,$C462=MAX($C$458:$C$466)),$C462,""))</f>
        <v>0</v>
      </c>
      <c r="BF462">
        <f>IF($E462="","",IF(AND(COUNT($E$463:$E$466)&gt;=4,$D462=MIN($D$458:$D$466)),$D462,""))</f>
        <v>0</v>
      </c>
      <c r="BG462">
        <f>IF($A462="","",$A462-WEEKDAY($A462,2)+1)</f>
        <v>0</v>
      </c>
      <c r="BH462">
        <f>IF($A462="","",IF($A461="",1,IF(BG462&lt;&gt;BG461,1,0)))</f>
        <v>0</v>
      </c>
      <c r="BI462">
        <f>IF($A462="","",IF($A463="",1,IF(BG463&lt;&gt;BG462,1,0)))</f>
        <v>0</v>
      </c>
      <c r="BJ462">
        <f>IF($A462="","",IF(BH462=1,$B462,BJ461))</f>
        <v>0</v>
      </c>
      <c r="BK462">
        <f>IF($A462="","",IF(BH462=1,$C462,MAX($C462,BK461)))</f>
        <v>0</v>
      </c>
      <c r="BL462">
        <f>IF($A462="","",IF(BH462=1,$D462,MIN($D462,BL461)))</f>
        <v>0</v>
      </c>
      <c r="BM462">
        <f>IF($A462="","",IF(BI462=1,F462,""))</f>
        <v>0</v>
      </c>
      <c r="BN462">
        <f>IF($A462="","",DATE(YEAR($A462),MONTH($A462),1))</f>
        <v>0</v>
      </c>
      <c r="BO462">
        <f>IF($A462="","",IF($A461="",1,IF(BN462&lt;&gt;BN461,1,0)))</f>
        <v>0</v>
      </c>
      <c r="BP462">
        <f>IF($A462="","",IF($A463="",1,IF(BN463&lt;&gt;BN462,1,0)))</f>
        <v>0</v>
      </c>
      <c r="BQ462">
        <f>IF($A462="","",IF(BO462=1,$B462,BQ461))</f>
        <v>0</v>
      </c>
      <c r="BR462">
        <f>IF($A462="","",IF(BO462=1,$C462,MAX($C462,BR461)))</f>
        <v>0</v>
      </c>
      <c r="BS462">
        <f>IF($A462="","",IF(BO462=1,$D462,MIN($D462,BS461)))</f>
        <v>0</v>
      </c>
      <c r="BT462">
        <f>IF($A462="","",IF(BP462=1,F462,""))</f>
        <v>0</v>
      </c>
    </row>
    <row r="463" spans="1:72">
      <c r="A463" s="27">
        <f>IF(Data!$A463="","",Data!$A463)</f>
        <v>0</v>
      </c>
      <c r="B463">
        <f>IF(Data!$B463="","",Data!$B463)</f>
        <v>0</v>
      </c>
      <c r="C463">
        <f>IF(Data!$C463="","",Data!$C463)</f>
        <v>0</v>
      </c>
      <c r="D463">
        <f>IF(Data!$D463="","",Data!$D463)</f>
        <v>0</v>
      </c>
      <c r="E463">
        <f>IF(Data!$E463="","",Data!$E463)</f>
        <v>0</v>
      </c>
      <c r="F463">
        <f>IF($E463="","",N(F462)+1)</f>
        <v>0</v>
      </c>
      <c r="G463">
        <f>IF(OR($E463="",$E462=""),"",LN($E463/$E462))</f>
        <v>0</v>
      </c>
      <c r="H463">
        <f>IF($E463="","",IF($E462="",$E463,$E463*0.0952380952+H462*0.9047619048))</f>
        <v>0</v>
      </c>
      <c r="I463">
        <f>IF($E463="","",IF($E462="",$E463,$E463*0.0392156863+I462*0.9607843137))</f>
        <v>0</v>
      </c>
      <c r="J463">
        <f>IF($E463="","",IF($E462="",$E463,$E463*0.0198019802+J462*0.9801980198))</f>
        <v>0</v>
      </c>
      <c r="K463">
        <f>IF($E463="","",IF($E462="",$E463,$E463*0.0099502488+K462*0.9900497512))</f>
        <v>0</v>
      </c>
      <c r="L463">
        <f>IF(OR($E463="",$E462=""),"",MAX($E463-$E462,0))</f>
        <v>0</v>
      </c>
      <c r="M463">
        <f>IF(OR($E463="",$E462=""),"",MAX($E462-$E463,0))</f>
        <v>0</v>
      </c>
      <c r="N463">
        <f>IF(COUNT($E$2:$E463)&lt;15,"",IF(AVERAGE($M$450:$M$463)=0,100,100-100/(1+AVERAGE($L$450:$L$463)/AVERAGE($M$450:$M$463))))</f>
        <v>0</v>
      </c>
      <c r="O463">
        <f>IF($E463="","",IF($E462="",$E463,$E463*0.1538461538+O462*0.8461538462))</f>
        <v>0</v>
      </c>
      <c r="P463">
        <f>IF($E463="","",IF($E462="",$E463,$E463*0.0740740741+P462*0.9259259259))</f>
        <v>0</v>
      </c>
      <c r="Q463">
        <f>IF(OR(O463="",P463=""),"",O463-P463)</f>
        <v>0</v>
      </c>
      <c r="R463">
        <f>IF(Q463="","",IF(R462="",Q463,Q463*0.2000000000+R462*0.8000000000))</f>
        <v>0</v>
      </c>
      <c r="S463">
        <f>IF(OR(Q463="",R463=""),"",Q463-R463)</f>
        <v>0</v>
      </c>
      <c r="T463">
        <f>IF(COUNT($E$2:$E463)&lt;14,"",MAX($C$450:$C$463))</f>
        <v>0</v>
      </c>
      <c r="U463">
        <f>IF(COUNT($E$2:$E463)&lt;14,"",MIN($D$450:$D$463))</f>
        <v>0</v>
      </c>
      <c r="V463">
        <f>IF(OR(T463="",U463="",T463=U463),"",100*($E463-U463)/(T463-U463))</f>
        <v>0</v>
      </c>
      <c r="W463">
        <f>IF(COUNT($V$461:$V$463)&lt;3,"",AVERAGE($V$461:$V$463))</f>
        <v>0</v>
      </c>
      <c r="X463">
        <f>IF(COUNT($N$450:$N$463)&lt;14,"",MIN($N$450:$N$463))</f>
        <v>0</v>
      </c>
      <c r="Y463">
        <f>IF(COUNT($N$450:$N$463)&lt;14,"",MAX($N$450:$N$463))</f>
        <v>0</v>
      </c>
      <c r="Z463">
        <f>IF(OR(N463="",X463="",Y463="",Y463=X463),"",100*(N463-X463)/(Y463-X463))</f>
        <v>0</v>
      </c>
      <c r="AA463">
        <f>IF(COUNT($Z$461:$Z$463)&lt;3,"",AVERAGE($Z$461:$Z$463))</f>
        <v>0</v>
      </c>
      <c r="AB463">
        <f>IF(COUNT($AA$461:$AA$463)&lt;3,"",AVERAGE($AA$461:$AA$463))</f>
        <v>0</v>
      </c>
      <c r="AC463">
        <f>IF($E463="","",MAX($C463-$D463,ABS($C463-$E462),ABS($D463-$E462)))</f>
        <v>0</v>
      </c>
      <c r="AD463">
        <f>IF(COUNT($E$2:$E463)&lt;15,"",AVERAGE($AC$450:$AC$463))</f>
        <v>0</v>
      </c>
      <c r="AE463">
        <f>IF(OR($E463="",$E462=""),"",IF(AND(($C463-$C462)&gt;($D462-$D463),($C463-$C462)&gt;0),$C463-$C462,0))</f>
        <v>0</v>
      </c>
      <c r="AF463">
        <f>IF(OR($E463="",$E462=""),"",IF(AND(($D462-$D463)&gt;($C463-$C462),($D462-$D463)&gt;0),$D462-$D463,0))</f>
        <v>0</v>
      </c>
      <c r="AG463">
        <f>IF(COUNT($E$2:$E463)&lt;15,"",IF(SUM($AC$450:$AC$463)=0,0,100*SUM($AE$450:$AE$463)/SUM($AC$450:$AC$463)))</f>
        <v>0</v>
      </c>
      <c r="AH463">
        <f>IF(COUNT($E$2:$E463)&lt;15,"",IF(SUM($AC$450:$AC$463)=0,0,100*SUM($AF$450:$AF$463)/SUM($AC$450:$AC$463)))</f>
        <v>0</v>
      </c>
      <c r="AI463">
        <f>IF(OR(AG463="",AH463=""),"",IF((AG463+AH463)=0,0,100*ABS(AG463-AH463)/(AG463+AH463)))</f>
        <v>0</v>
      </c>
      <c r="AJ463">
        <f>IF(COUNT($AI$450:$AI$463)&lt;14,"",AVERAGE($AI$450:$AI$463))</f>
        <v>0</v>
      </c>
      <c r="AK463">
        <f>IF(COUNT($E$2:$E463)&lt;20,"",AVERAGE($E$444:$E$463))</f>
        <v>0</v>
      </c>
      <c r="AL463">
        <f>IF(COUNT($E$2:$E463)&lt;20,"",STDEVP($E$444:$E$463))</f>
        <v>0</v>
      </c>
      <c r="AM463">
        <f>IF(AK463="","",AK463+2*AL463)</f>
        <v>0</v>
      </c>
      <c r="AN463">
        <f>IF(AK463="","",AK463-2*AL463)</f>
        <v>0</v>
      </c>
      <c r="AO463">
        <f>IF(OR(AM463="",AN463="",AM463=AN463),"",($E463-AN463)/(AM463-AN463))</f>
        <v>0</v>
      </c>
      <c r="AP463">
        <f>IF(OR(AM463="",AK463="",AK463=0),"",(AM463-AN463)/AK463)</f>
        <v>0</v>
      </c>
      <c r="AQ463">
        <f>IF(COUNT($E$2:$E463)&lt;20,"",MAX($C$444:$C$463))</f>
        <v>0</v>
      </c>
      <c r="AR463">
        <f>IF(COUNT($E$2:$E463)&lt;20,"",MIN($D$444:$D$463))</f>
        <v>0</v>
      </c>
      <c r="AS463">
        <f>IF(OR(AQ463="",AR463=""),"",(AQ463+AR463)/2)</f>
        <v>0</v>
      </c>
      <c r="AT463">
        <f>IF(COUNT($G$444:$G$463)&lt;20,"",STDEV($G$444:$G$463)*SQRT(252))</f>
        <v>0</v>
      </c>
      <c r="AU463">
        <f>IF(COUNT($E$2:$E463)&lt;9,"",(MAX($C$455:$C$463)+MIN($D$455:$D$463))/2)</f>
        <v>0</v>
      </c>
      <c r="AV463">
        <f>IF(COUNT($E$2:$E463)&lt;26,"",(MAX($C$438:$C$463)+MIN($D$438:$D$463))/2)</f>
        <v>0</v>
      </c>
      <c r="AW463">
        <f>IF(OR(AU463="",AV463=""),"",(AU463+AV463)/2)</f>
        <v>0</v>
      </c>
      <c r="AX463">
        <f>IF(COUNT($E$2:$E463)&lt;52,"",(MAX($C$412:$C$463)+MIN($D$412:$D$463))/2)</f>
        <v>0</v>
      </c>
      <c r="AY463">
        <f>IF(COUNT($E$2:$E463)&lt;20,"",MAX($C$364:$C$463))</f>
        <v>0</v>
      </c>
      <c r="AZ463">
        <f>IF(COUNT($E$2:$E463)&lt;20,"",MIN($D$364:$D$463))</f>
        <v>0</v>
      </c>
      <c r="BA463">
        <f>IF(COUNT($E$2:$E463)&lt;20,"",SLOPE($E$364:$E$463,$F$364:$F$463))</f>
        <v>0</v>
      </c>
      <c r="BB463">
        <f>IF(COUNT($E$2:$E463)&lt;20,"",INTERCEPT($E$364:$E$463,$F$364:$F$463))</f>
        <v>0</v>
      </c>
      <c r="BC463">
        <f>IF(OR(BA463="",BB463=""),"",BB463+BA463*F463)</f>
        <v>0</v>
      </c>
      <c r="BD463">
        <f>IF(COUNT($E$2:$E463)&lt;20,"",STEYX($E$364:$E$463,$F$364:$F$463))</f>
        <v>0</v>
      </c>
      <c r="BE463">
        <f>IF($E463="","",IF(AND(COUNT($E$464:$E$467)&gt;=4,$C463=MAX($C$459:$C$467)),$C463,""))</f>
        <v>0</v>
      </c>
      <c r="BF463">
        <f>IF($E463="","",IF(AND(COUNT($E$464:$E$467)&gt;=4,$D463=MIN($D$459:$D$467)),$D463,""))</f>
        <v>0</v>
      </c>
      <c r="BG463">
        <f>IF($A463="","",$A463-WEEKDAY($A463,2)+1)</f>
        <v>0</v>
      </c>
      <c r="BH463">
        <f>IF($A463="","",IF($A462="",1,IF(BG463&lt;&gt;BG462,1,0)))</f>
        <v>0</v>
      </c>
      <c r="BI463">
        <f>IF($A463="","",IF($A464="",1,IF(BG464&lt;&gt;BG463,1,0)))</f>
        <v>0</v>
      </c>
      <c r="BJ463">
        <f>IF($A463="","",IF(BH463=1,$B463,BJ462))</f>
        <v>0</v>
      </c>
      <c r="BK463">
        <f>IF($A463="","",IF(BH463=1,$C463,MAX($C463,BK462)))</f>
        <v>0</v>
      </c>
      <c r="BL463">
        <f>IF($A463="","",IF(BH463=1,$D463,MIN($D463,BL462)))</f>
        <v>0</v>
      </c>
      <c r="BM463">
        <f>IF($A463="","",IF(BI463=1,F463,""))</f>
        <v>0</v>
      </c>
      <c r="BN463">
        <f>IF($A463="","",DATE(YEAR($A463),MONTH($A463),1))</f>
        <v>0</v>
      </c>
      <c r="BO463">
        <f>IF($A463="","",IF($A462="",1,IF(BN463&lt;&gt;BN462,1,0)))</f>
        <v>0</v>
      </c>
      <c r="BP463">
        <f>IF($A463="","",IF($A464="",1,IF(BN464&lt;&gt;BN463,1,0)))</f>
        <v>0</v>
      </c>
      <c r="BQ463">
        <f>IF($A463="","",IF(BO463=1,$B463,BQ462))</f>
        <v>0</v>
      </c>
      <c r="BR463">
        <f>IF($A463="","",IF(BO463=1,$C463,MAX($C463,BR462)))</f>
        <v>0</v>
      </c>
      <c r="BS463">
        <f>IF($A463="","",IF(BO463=1,$D463,MIN($D463,BS462)))</f>
        <v>0</v>
      </c>
      <c r="BT463">
        <f>IF($A463="","",IF(BP463=1,F463,""))</f>
        <v>0</v>
      </c>
    </row>
    <row r="464" spans="1:72">
      <c r="A464" s="27">
        <f>IF(Data!$A464="","",Data!$A464)</f>
        <v>0</v>
      </c>
      <c r="B464">
        <f>IF(Data!$B464="","",Data!$B464)</f>
        <v>0</v>
      </c>
      <c r="C464">
        <f>IF(Data!$C464="","",Data!$C464)</f>
        <v>0</v>
      </c>
      <c r="D464">
        <f>IF(Data!$D464="","",Data!$D464)</f>
        <v>0</v>
      </c>
      <c r="E464">
        <f>IF(Data!$E464="","",Data!$E464)</f>
        <v>0</v>
      </c>
      <c r="F464">
        <f>IF($E464="","",N(F463)+1)</f>
        <v>0</v>
      </c>
      <c r="G464">
        <f>IF(OR($E464="",$E463=""),"",LN($E464/$E463))</f>
        <v>0</v>
      </c>
      <c r="H464">
        <f>IF($E464="","",IF($E463="",$E464,$E464*0.0952380952+H463*0.9047619048))</f>
        <v>0</v>
      </c>
      <c r="I464">
        <f>IF($E464="","",IF($E463="",$E464,$E464*0.0392156863+I463*0.9607843137))</f>
        <v>0</v>
      </c>
      <c r="J464">
        <f>IF($E464="","",IF($E463="",$E464,$E464*0.0198019802+J463*0.9801980198))</f>
        <v>0</v>
      </c>
      <c r="K464">
        <f>IF($E464="","",IF($E463="",$E464,$E464*0.0099502488+K463*0.9900497512))</f>
        <v>0</v>
      </c>
      <c r="L464">
        <f>IF(OR($E464="",$E463=""),"",MAX($E464-$E463,0))</f>
        <v>0</v>
      </c>
      <c r="M464">
        <f>IF(OR($E464="",$E463=""),"",MAX($E463-$E464,0))</f>
        <v>0</v>
      </c>
      <c r="N464">
        <f>IF(COUNT($E$2:$E464)&lt;15,"",IF(AVERAGE($M$451:$M$464)=0,100,100-100/(1+AVERAGE($L$451:$L$464)/AVERAGE($M$451:$M$464))))</f>
        <v>0</v>
      </c>
      <c r="O464">
        <f>IF($E464="","",IF($E463="",$E464,$E464*0.1538461538+O463*0.8461538462))</f>
        <v>0</v>
      </c>
      <c r="P464">
        <f>IF($E464="","",IF($E463="",$E464,$E464*0.0740740741+P463*0.9259259259))</f>
        <v>0</v>
      </c>
      <c r="Q464">
        <f>IF(OR(O464="",P464=""),"",O464-P464)</f>
        <v>0</v>
      </c>
      <c r="R464">
        <f>IF(Q464="","",IF(R463="",Q464,Q464*0.2000000000+R463*0.8000000000))</f>
        <v>0</v>
      </c>
      <c r="S464">
        <f>IF(OR(Q464="",R464=""),"",Q464-R464)</f>
        <v>0</v>
      </c>
      <c r="T464">
        <f>IF(COUNT($E$2:$E464)&lt;14,"",MAX($C$451:$C$464))</f>
        <v>0</v>
      </c>
      <c r="U464">
        <f>IF(COUNT($E$2:$E464)&lt;14,"",MIN($D$451:$D$464))</f>
        <v>0</v>
      </c>
      <c r="V464">
        <f>IF(OR(T464="",U464="",T464=U464),"",100*($E464-U464)/(T464-U464))</f>
        <v>0</v>
      </c>
      <c r="W464">
        <f>IF(COUNT($V$462:$V$464)&lt;3,"",AVERAGE($V$462:$V$464))</f>
        <v>0</v>
      </c>
      <c r="X464">
        <f>IF(COUNT($N$451:$N$464)&lt;14,"",MIN($N$451:$N$464))</f>
        <v>0</v>
      </c>
      <c r="Y464">
        <f>IF(COUNT($N$451:$N$464)&lt;14,"",MAX($N$451:$N$464))</f>
        <v>0</v>
      </c>
      <c r="Z464">
        <f>IF(OR(N464="",X464="",Y464="",Y464=X464),"",100*(N464-X464)/(Y464-X464))</f>
        <v>0</v>
      </c>
      <c r="AA464">
        <f>IF(COUNT($Z$462:$Z$464)&lt;3,"",AVERAGE($Z$462:$Z$464))</f>
        <v>0</v>
      </c>
      <c r="AB464">
        <f>IF(COUNT($AA$462:$AA$464)&lt;3,"",AVERAGE($AA$462:$AA$464))</f>
        <v>0</v>
      </c>
      <c r="AC464">
        <f>IF($E464="","",MAX($C464-$D464,ABS($C464-$E463),ABS($D464-$E463)))</f>
        <v>0</v>
      </c>
      <c r="AD464">
        <f>IF(COUNT($E$2:$E464)&lt;15,"",AVERAGE($AC$451:$AC$464))</f>
        <v>0</v>
      </c>
      <c r="AE464">
        <f>IF(OR($E464="",$E463=""),"",IF(AND(($C464-$C463)&gt;($D463-$D464),($C464-$C463)&gt;0),$C464-$C463,0))</f>
        <v>0</v>
      </c>
      <c r="AF464">
        <f>IF(OR($E464="",$E463=""),"",IF(AND(($D463-$D464)&gt;($C464-$C463),($D463-$D464)&gt;0),$D463-$D464,0))</f>
        <v>0</v>
      </c>
      <c r="AG464">
        <f>IF(COUNT($E$2:$E464)&lt;15,"",IF(SUM($AC$451:$AC$464)=0,0,100*SUM($AE$451:$AE$464)/SUM($AC$451:$AC$464)))</f>
        <v>0</v>
      </c>
      <c r="AH464">
        <f>IF(COUNT($E$2:$E464)&lt;15,"",IF(SUM($AC$451:$AC$464)=0,0,100*SUM($AF$451:$AF$464)/SUM($AC$451:$AC$464)))</f>
        <v>0</v>
      </c>
      <c r="AI464">
        <f>IF(OR(AG464="",AH464=""),"",IF((AG464+AH464)=0,0,100*ABS(AG464-AH464)/(AG464+AH464)))</f>
        <v>0</v>
      </c>
      <c r="AJ464">
        <f>IF(COUNT($AI$451:$AI$464)&lt;14,"",AVERAGE($AI$451:$AI$464))</f>
        <v>0</v>
      </c>
      <c r="AK464">
        <f>IF(COUNT($E$2:$E464)&lt;20,"",AVERAGE($E$445:$E$464))</f>
        <v>0</v>
      </c>
      <c r="AL464">
        <f>IF(COUNT($E$2:$E464)&lt;20,"",STDEVP($E$445:$E$464))</f>
        <v>0</v>
      </c>
      <c r="AM464">
        <f>IF(AK464="","",AK464+2*AL464)</f>
        <v>0</v>
      </c>
      <c r="AN464">
        <f>IF(AK464="","",AK464-2*AL464)</f>
        <v>0</v>
      </c>
      <c r="AO464">
        <f>IF(OR(AM464="",AN464="",AM464=AN464),"",($E464-AN464)/(AM464-AN464))</f>
        <v>0</v>
      </c>
      <c r="AP464">
        <f>IF(OR(AM464="",AK464="",AK464=0),"",(AM464-AN464)/AK464)</f>
        <v>0</v>
      </c>
      <c r="AQ464">
        <f>IF(COUNT($E$2:$E464)&lt;20,"",MAX($C$445:$C$464))</f>
        <v>0</v>
      </c>
      <c r="AR464">
        <f>IF(COUNT($E$2:$E464)&lt;20,"",MIN($D$445:$D$464))</f>
        <v>0</v>
      </c>
      <c r="AS464">
        <f>IF(OR(AQ464="",AR464=""),"",(AQ464+AR464)/2)</f>
        <v>0</v>
      </c>
      <c r="AT464">
        <f>IF(COUNT($G$445:$G$464)&lt;20,"",STDEV($G$445:$G$464)*SQRT(252))</f>
        <v>0</v>
      </c>
      <c r="AU464">
        <f>IF(COUNT($E$2:$E464)&lt;9,"",(MAX($C$456:$C$464)+MIN($D$456:$D$464))/2)</f>
        <v>0</v>
      </c>
      <c r="AV464">
        <f>IF(COUNT($E$2:$E464)&lt;26,"",(MAX($C$439:$C$464)+MIN($D$439:$D$464))/2)</f>
        <v>0</v>
      </c>
      <c r="AW464">
        <f>IF(OR(AU464="",AV464=""),"",(AU464+AV464)/2)</f>
        <v>0</v>
      </c>
      <c r="AX464">
        <f>IF(COUNT($E$2:$E464)&lt;52,"",(MAX($C$413:$C$464)+MIN($D$413:$D$464))/2)</f>
        <v>0</v>
      </c>
      <c r="AY464">
        <f>IF(COUNT($E$2:$E464)&lt;20,"",MAX($C$365:$C$464))</f>
        <v>0</v>
      </c>
      <c r="AZ464">
        <f>IF(COUNT($E$2:$E464)&lt;20,"",MIN($D$365:$D$464))</f>
        <v>0</v>
      </c>
      <c r="BA464">
        <f>IF(COUNT($E$2:$E464)&lt;20,"",SLOPE($E$365:$E$464,$F$365:$F$464))</f>
        <v>0</v>
      </c>
      <c r="BB464">
        <f>IF(COUNT($E$2:$E464)&lt;20,"",INTERCEPT($E$365:$E$464,$F$365:$F$464))</f>
        <v>0</v>
      </c>
      <c r="BC464">
        <f>IF(OR(BA464="",BB464=""),"",BB464+BA464*F464)</f>
        <v>0</v>
      </c>
      <c r="BD464">
        <f>IF(COUNT($E$2:$E464)&lt;20,"",STEYX($E$365:$E$464,$F$365:$F$464))</f>
        <v>0</v>
      </c>
      <c r="BE464">
        <f>IF($E464="","",IF(AND(COUNT($E$465:$E$468)&gt;=4,$C464=MAX($C$460:$C$468)),$C464,""))</f>
        <v>0</v>
      </c>
      <c r="BF464">
        <f>IF($E464="","",IF(AND(COUNT($E$465:$E$468)&gt;=4,$D464=MIN($D$460:$D$468)),$D464,""))</f>
        <v>0</v>
      </c>
      <c r="BG464">
        <f>IF($A464="","",$A464-WEEKDAY($A464,2)+1)</f>
        <v>0</v>
      </c>
      <c r="BH464">
        <f>IF($A464="","",IF($A463="",1,IF(BG464&lt;&gt;BG463,1,0)))</f>
        <v>0</v>
      </c>
      <c r="BI464">
        <f>IF($A464="","",IF($A465="",1,IF(BG465&lt;&gt;BG464,1,0)))</f>
        <v>0</v>
      </c>
      <c r="BJ464">
        <f>IF($A464="","",IF(BH464=1,$B464,BJ463))</f>
        <v>0</v>
      </c>
      <c r="BK464">
        <f>IF($A464="","",IF(BH464=1,$C464,MAX($C464,BK463)))</f>
        <v>0</v>
      </c>
      <c r="BL464">
        <f>IF($A464="","",IF(BH464=1,$D464,MIN($D464,BL463)))</f>
        <v>0</v>
      </c>
      <c r="BM464">
        <f>IF($A464="","",IF(BI464=1,F464,""))</f>
        <v>0</v>
      </c>
      <c r="BN464">
        <f>IF($A464="","",DATE(YEAR($A464),MONTH($A464),1))</f>
        <v>0</v>
      </c>
      <c r="BO464">
        <f>IF($A464="","",IF($A463="",1,IF(BN464&lt;&gt;BN463,1,0)))</f>
        <v>0</v>
      </c>
      <c r="BP464">
        <f>IF($A464="","",IF($A465="",1,IF(BN465&lt;&gt;BN464,1,0)))</f>
        <v>0</v>
      </c>
      <c r="BQ464">
        <f>IF($A464="","",IF(BO464=1,$B464,BQ463))</f>
        <v>0</v>
      </c>
      <c r="BR464">
        <f>IF($A464="","",IF(BO464=1,$C464,MAX($C464,BR463)))</f>
        <v>0</v>
      </c>
      <c r="BS464">
        <f>IF($A464="","",IF(BO464=1,$D464,MIN($D464,BS463)))</f>
        <v>0</v>
      </c>
      <c r="BT464">
        <f>IF($A464="","",IF(BP464=1,F464,""))</f>
        <v>0</v>
      </c>
    </row>
    <row r="465" spans="1:72">
      <c r="A465" s="27">
        <f>IF(Data!$A465="","",Data!$A465)</f>
        <v>0</v>
      </c>
      <c r="B465">
        <f>IF(Data!$B465="","",Data!$B465)</f>
        <v>0</v>
      </c>
      <c r="C465">
        <f>IF(Data!$C465="","",Data!$C465)</f>
        <v>0</v>
      </c>
      <c r="D465">
        <f>IF(Data!$D465="","",Data!$D465)</f>
        <v>0</v>
      </c>
      <c r="E465">
        <f>IF(Data!$E465="","",Data!$E465)</f>
        <v>0</v>
      </c>
      <c r="F465">
        <f>IF($E465="","",N(F464)+1)</f>
        <v>0</v>
      </c>
      <c r="G465">
        <f>IF(OR($E465="",$E464=""),"",LN($E465/$E464))</f>
        <v>0</v>
      </c>
      <c r="H465">
        <f>IF($E465="","",IF($E464="",$E465,$E465*0.0952380952+H464*0.9047619048))</f>
        <v>0</v>
      </c>
      <c r="I465">
        <f>IF($E465="","",IF($E464="",$E465,$E465*0.0392156863+I464*0.9607843137))</f>
        <v>0</v>
      </c>
      <c r="J465">
        <f>IF($E465="","",IF($E464="",$E465,$E465*0.0198019802+J464*0.9801980198))</f>
        <v>0</v>
      </c>
      <c r="K465">
        <f>IF($E465="","",IF($E464="",$E465,$E465*0.0099502488+K464*0.9900497512))</f>
        <v>0</v>
      </c>
      <c r="L465">
        <f>IF(OR($E465="",$E464=""),"",MAX($E465-$E464,0))</f>
        <v>0</v>
      </c>
      <c r="M465">
        <f>IF(OR($E465="",$E464=""),"",MAX($E464-$E465,0))</f>
        <v>0</v>
      </c>
      <c r="N465">
        <f>IF(COUNT($E$2:$E465)&lt;15,"",IF(AVERAGE($M$452:$M$465)=0,100,100-100/(1+AVERAGE($L$452:$L$465)/AVERAGE($M$452:$M$465))))</f>
        <v>0</v>
      </c>
      <c r="O465">
        <f>IF($E465="","",IF($E464="",$E465,$E465*0.1538461538+O464*0.8461538462))</f>
        <v>0</v>
      </c>
      <c r="P465">
        <f>IF($E465="","",IF($E464="",$E465,$E465*0.0740740741+P464*0.9259259259))</f>
        <v>0</v>
      </c>
      <c r="Q465">
        <f>IF(OR(O465="",P465=""),"",O465-P465)</f>
        <v>0</v>
      </c>
      <c r="R465">
        <f>IF(Q465="","",IF(R464="",Q465,Q465*0.2000000000+R464*0.8000000000))</f>
        <v>0</v>
      </c>
      <c r="S465">
        <f>IF(OR(Q465="",R465=""),"",Q465-R465)</f>
        <v>0</v>
      </c>
      <c r="T465">
        <f>IF(COUNT($E$2:$E465)&lt;14,"",MAX($C$452:$C$465))</f>
        <v>0</v>
      </c>
      <c r="U465">
        <f>IF(COUNT($E$2:$E465)&lt;14,"",MIN($D$452:$D$465))</f>
        <v>0</v>
      </c>
      <c r="V465">
        <f>IF(OR(T465="",U465="",T465=U465),"",100*($E465-U465)/(T465-U465))</f>
        <v>0</v>
      </c>
      <c r="W465">
        <f>IF(COUNT($V$463:$V$465)&lt;3,"",AVERAGE($V$463:$V$465))</f>
        <v>0</v>
      </c>
      <c r="X465">
        <f>IF(COUNT($N$452:$N$465)&lt;14,"",MIN($N$452:$N$465))</f>
        <v>0</v>
      </c>
      <c r="Y465">
        <f>IF(COUNT($N$452:$N$465)&lt;14,"",MAX($N$452:$N$465))</f>
        <v>0</v>
      </c>
      <c r="Z465">
        <f>IF(OR(N465="",X465="",Y465="",Y465=X465),"",100*(N465-X465)/(Y465-X465))</f>
        <v>0</v>
      </c>
      <c r="AA465">
        <f>IF(COUNT($Z$463:$Z$465)&lt;3,"",AVERAGE($Z$463:$Z$465))</f>
        <v>0</v>
      </c>
      <c r="AB465">
        <f>IF(COUNT($AA$463:$AA$465)&lt;3,"",AVERAGE($AA$463:$AA$465))</f>
        <v>0</v>
      </c>
      <c r="AC465">
        <f>IF($E465="","",MAX($C465-$D465,ABS($C465-$E464),ABS($D465-$E464)))</f>
        <v>0</v>
      </c>
      <c r="AD465">
        <f>IF(COUNT($E$2:$E465)&lt;15,"",AVERAGE($AC$452:$AC$465))</f>
        <v>0</v>
      </c>
      <c r="AE465">
        <f>IF(OR($E465="",$E464=""),"",IF(AND(($C465-$C464)&gt;($D464-$D465),($C465-$C464)&gt;0),$C465-$C464,0))</f>
        <v>0</v>
      </c>
      <c r="AF465">
        <f>IF(OR($E465="",$E464=""),"",IF(AND(($D464-$D465)&gt;($C465-$C464),($D464-$D465)&gt;0),$D464-$D465,0))</f>
        <v>0</v>
      </c>
      <c r="AG465">
        <f>IF(COUNT($E$2:$E465)&lt;15,"",IF(SUM($AC$452:$AC$465)=0,0,100*SUM($AE$452:$AE$465)/SUM($AC$452:$AC$465)))</f>
        <v>0</v>
      </c>
      <c r="AH465">
        <f>IF(COUNT($E$2:$E465)&lt;15,"",IF(SUM($AC$452:$AC$465)=0,0,100*SUM($AF$452:$AF$465)/SUM($AC$452:$AC$465)))</f>
        <v>0</v>
      </c>
      <c r="AI465">
        <f>IF(OR(AG465="",AH465=""),"",IF((AG465+AH465)=0,0,100*ABS(AG465-AH465)/(AG465+AH465)))</f>
        <v>0</v>
      </c>
      <c r="AJ465">
        <f>IF(COUNT($AI$452:$AI$465)&lt;14,"",AVERAGE($AI$452:$AI$465))</f>
        <v>0</v>
      </c>
      <c r="AK465">
        <f>IF(COUNT($E$2:$E465)&lt;20,"",AVERAGE($E$446:$E$465))</f>
        <v>0</v>
      </c>
      <c r="AL465">
        <f>IF(COUNT($E$2:$E465)&lt;20,"",STDEVP($E$446:$E$465))</f>
        <v>0</v>
      </c>
      <c r="AM465">
        <f>IF(AK465="","",AK465+2*AL465)</f>
        <v>0</v>
      </c>
      <c r="AN465">
        <f>IF(AK465="","",AK465-2*AL465)</f>
        <v>0</v>
      </c>
      <c r="AO465">
        <f>IF(OR(AM465="",AN465="",AM465=AN465),"",($E465-AN465)/(AM465-AN465))</f>
        <v>0</v>
      </c>
      <c r="AP465">
        <f>IF(OR(AM465="",AK465="",AK465=0),"",(AM465-AN465)/AK465)</f>
        <v>0</v>
      </c>
      <c r="AQ465">
        <f>IF(COUNT($E$2:$E465)&lt;20,"",MAX($C$446:$C$465))</f>
        <v>0</v>
      </c>
      <c r="AR465">
        <f>IF(COUNT($E$2:$E465)&lt;20,"",MIN($D$446:$D$465))</f>
        <v>0</v>
      </c>
      <c r="AS465">
        <f>IF(OR(AQ465="",AR465=""),"",(AQ465+AR465)/2)</f>
        <v>0</v>
      </c>
      <c r="AT465">
        <f>IF(COUNT($G$446:$G$465)&lt;20,"",STDEV($G$446:$G$465)*SQRT(252))</f>
        <v>0</v>
      </c>
      <c r="AU465">
        <f>IF(COUNT($E$2:$E465)&lt;9,"",(MAX($C$457:$C$465)+MIN($D$457:$D$465))/2)</f>
        <v>0</v>
      </c>
      <c r="AV465">
        <f>IF(COUNT($E$2:$E465)&lt;26,"",(MAX($C$440:$C$465)+MIN($D$440:$D$465))/2)</f>
        <v>0</v>
      </c>
      <c r="AW465">
        <f>IF(OR(AU465="",AV465=""),"",(AU465+AV465)/2)</f>
        <v>0</v>
      </c>
      <c r="AX465">
        <f>IF(COUNT($E$2:$E465)&lt;52,"",(MAX($C$414:$C$465)+MIN($D$414:$D$465))/2)</f>
        <v>0</v>
      </c>
      <c r="AY465">
        <f>IF(COUNT($E$2:$E465)&lt;20,"",MAX($C$366:$C$465))</f>
        <v>0</v>
      </c>
      <c r="AZ465">
        <f>IF(COUNT($E$2:$E465)&lt;20,"",MIN($D$366:$D$465))</f>
        <v>0</v>
      </c>
      <c r="BA465">
        <f>IF(COUNT($E$2:$E465)&lt;20,"",SLOPE($E$366:$E$465,$F$366:$F$465))</f>
        <v>0</v>
      </c>
      <c r="BB465">
        <f>IF(COUNT($E$2:$E465)&lt;20,"",INTERCEPT($E$366:$E$465,$F$366:$F$465))</f>
        <v>0</v>
      </c>
      <c r="BC465">
        <f>IF(OR(BA465="",BB465=""),"",BB465+BA465*F465)</f>
        <v>0</v>
      </c>
      <c r="BD465">
        <f>IF(COUNT($E$2:$E465)&lt;20,"",STEYX($E$366:$E$465,$F$366:$F$465))</f>
        <v>0</v>
      </c>
      <c r="BE465">
        <f>IF($E465="","",IF(AND(COUNT($E$466:$E$469)&gt;=4,$C465=MAX($C$461:$C$469)),$C465,""))</f>
        <v>0</v>
      </c>
      <c r="BF465">
        <f>IF($E465="","",IF(AND(COUNT($E$466:$E$469)&gt;=4,$D465=MIN($D$461:$D$469)),$D465,""))</f>
        <v>0</v>
      </c>
      <c r="BG465">
        <f>IF($A465="","",$A465-WEEKDAY($A465,2)+1)</f>
        <v>0</v>
      </c>
      <c r="BH465">
        <f>IF($A465="","",IF($A464="",1,IF(BG465&lt;&gt;BG464,1,0)))</f>
        <v>0</v>
      </c>
      <c r="BI465">
        <f>IF($A465="","",IF($A466="",1,IF(BG466&lt;&gt;BG465,1,0)))</f>
        <v>0</v>
      </c>
      <c r="BJ465">
        <f>IF($A465="","",IF(BH465=1,$B465,BJ464))</f>
        <v>0</v>
      </c>
      <c r="BK465">
        <f>IF($A465="","",IF(BH465=1,$C465,MAX($C465,BK464)))</f>
        <v>0</v>
      </c>
      <c r="BL465">
        <f>IF($A465="","",IF(BH465=1,$D465,MIN($D465,BL464)))</f>
        <v>0</v>
      </c>
      <c r="BM465">
        <f>IF($A465="","",IF(BI465=1,F465,""))</f>
        <v>0</v>
      </c>
      <c r="BN465">
        <f>IF($A465="","",DATE(YEAR($A465),MONTH($A465),1))</f>
        <v>0</v>
      </c>
      <c r="BO465">
        <f>IF($A465="","",IF($A464="",1,IF(BN465&lt;&gt;BN464,1,0)))</f>
        <v>0</v>
      </c>
      <c r="BP465">
        <f>IF($A465="","",IF($A466="",1,IF(BN466&lt;&gt;BN465,1,0)))</f>
        <v>0</v>
      </c>
      <c r="BQ465">
        <f>IF($A465="","",IF(BO465=1,$B465,BQ464))</f>
        <v>0</v>
      </c>
      <c r="BR465">
        <f>IF($A465="","",IF(BO465=1,$C465,MAX($C465,BR464)))</f>
        <v>0</v>
      </c>
      <c r="BS465">
        <f>IF($A465="","",IF(BO465=1,$D465,MIN($D465,BS464)))</f>
        <v>0</v>
      </c>
      <c r="BT465">
        <f>IF($A465="","",IF(BP465=1,F465,""))</f>
        <v>0</v>
      </c>
    </row>
    <row r="466" spans="1:72">
      <c r="A466" s="27">
        <f>IF(Data!$A466="","",Data!$A466)</f>
        <v>0</v>
      </c>
      <c r="B466">
        <f>IF(Data!$B466="","",Data!$B466)</f>
        <v>0</v>
      </c>
      <c r="C466">
        <f>IF(Data!$C466="","",Data!$C466)</f>
        <v>0</v>
      </c>
      <c r="D466">
        <f>IF(Data!$D466="","",Data!$D466)</f>
        <v>0</v>
      </c>
      <c r="E466">
        <f>IF(Data!$E466="","",Data!$E466)</f>
        <v>0</v>
      </c>
      <c r="F466">
        <f>IF($E466="","",N(F465)+1)</f>
        <v>0</v>
      </c>
      <c r="G466">
        <f>IF(OR($E466="",$E465=""),"",LN($E466/$E465))</f>
        <v>0</v>
      </c>
      <c r="H466">
        <f>IF($E466="","",IF($E465="",$E466,$E466*0.0952380952+H465*0.9047619048))</f>
        <v>0</v>
      </c>
      <c r="I466">
        <f>IF($E466="","",IF($E465="",$E466,$E466*0.0392156863+I465*0.9607843137))</f>
        <v>0</v>
      </c>
      <c r="J466">
        <f>IF($E466="","",IF($E465="",$E466,$E466*0.0198019802+J465*0.9801980198))</f>
        <v>0</v>
      </c>
      <c r="K466">
        <f>IF($E466="","",IF($E465="",$E466,$E466*0.0099502488+K465*0.9900497512))</f>
        <v>0</v>
      </c>
      <c r="L466">
        <f>IF(OR($E466="",$E465=""),"",MAX($E466-$E465,0))</f>
        <v>0</v>
      </c>
      <c r="M466">
        <f>IF(OR($E466="",$E465=""),"",MAX($E465-$E466,0))</f>
        <v>0</v>
      </c>
      <c r="N466">
        <f>IF(COUNT($E$2:$E466)&lt;15,"",IF(AVERAGE($M$453:$M$466)=0,100,100-100/(1+AVERAGE($L$453:$L$466)/AVERAGE($M$453:$M$466))))</f>
        <v>0</v>
      </c>
      <c r="O466">
        <f>IF($E466="","",IF($E465="",$E466,$E466*0.1538461538+O465*0.8461538462))</f>
        <v>0</v>
      </c>
      <c r="P466">
        <f>IF($E466="","",IF($E465="",$E466,$E466*0.0740740741+P465*0.9259259259))</f>
        <v>0</v>
      </c>
      <c r="Q466">
        <f>IF(OR(O466="",P466=""),"",O466-P466)</f>
        <v>0</v>
      </c>
      <c r="R466">
        <f>IF(Q466="","",IF(R465="",Q466,Q466*0.2000000000+R465*0.8000000000))</f>
        <v>0</v>
      </c>
      <c r="S466">
        <f>IF(OR(Q466="",R466=""),"",Q466-R466)</f>
        <v>0</v>
      </c>
      <c r="T466">
        <f>IF(COUNT($E$2:$E466)&lt;14,"",MAX($C$453:$C$466))</f>
        <v>0</v>
      </c>
      <c r="U466">
        <f>IF(COUNT($E$2:$E466)&lt;14,"",MIN($D$453:$D$466))</f>
        <v>0</v>
      </c>
      <c r="V466">
        <f>IF(OR(T466="",U466="",T466=U466),"",100*($E466-U466)/(T466-U466))</f>
        <v>0</v>
      </c>
      <c r="W466">
        <f>IF(COUNT($V$464:$V$466)&lt;3,"",AVERAGE($V$464:$V$466))</f>
        <v>0</v>
      </c>
      <c r="X466">
        <f>IF(COUNT($N$453:$N$466)&lt;14,"",MIN($N$453:$N$466))</f>
        <v>0</v>
      </c>
      <c r="Y466">
        <f>IF(COUNT($N$453:$N$466)&lt;14,"",MAX($N$453:$N$466))</f>
        <v>0</v>
      </c>
      <c r="Z466">
        <f>IF(OR(N466="",X466="",Y466="",Y466=X466),"",100*(N466-X466)/(Y466-X466))</f>
        <v>0</v>
      </c>
      <c r="AA466">
        <f>IF(COUNT($Z$464:$Z$466)&lt;3,"",AVERAGE($Z$464:$Z$466))</f>
        <v>0</v>
      </c>
      <c r="AB466">
        <f>IF(COUNT($AA$464:$AA$466)&lt;3,"",AVERAGE($AA$464:$AA$466))</f>
        <v>0</v>
      </c>
      <c r="AC466">
        <f>IF($E466="","",MAX($C466-$D466,ABS($C466-$E465),ABS($D466-$E465)))</f>
        <v>0</v>
      </c>
      <c r="AD466">
        <f>IF(COUNT($E$2:$E466)&lt;15,"",AVERAGE($AC$453:$AC$466))</f>
        <v>0</v>
      </c>
      <c r="AE466">
        <f>IF(OR($E466="",$E465=""),"",IF(AND(($C466-$C465)&gt;($D465-$D466),($C466-$C465)&gt;0),$C466-$C465,0))</f>
        <v>0</v>
      </c>
      <c r="AF466">
        <f>IF(OR($E466="",$E465=""),"",IF(AND(($D465-$D466)&gt;($C466-$C465),($D465-$D466)&gt;0),$D465-$D466,0))</f>
        <v>0</v>
      </c>
      <c r="AG466">
        <f>IF(COUNT($E$2:$E466)&lt;15,"",IF(SUM($AC$453:$AC$466)=0,0,100*SUM($AE$453:$AE$466)/SUM($AC$453:$AC$466)))</f>
        <v>0</v>
      </c>
      <c r="AH466">
        <f>IF(COUNT($E$2:$E466)&lt;15,"",IF(SUM($AC$453:$AC$466)=0,0,100*SUM($AF$453:$AF$466)/SUM($AC$453:$AC$466)))</f>
        <v>0</v>
      </c>
      <c r="AI466">
        <f>IF(OR(AG466="",AH466=""),"",IF((AG466+AH466)=0,0,100*ABS(AG466-AH466)/(AG466+AH466)))</f>
        <v>0</v>
      </c>
      <c r="AJ466">
        <f>IF(COUNT($AI$453:$AI$466)&lt;14,"",AVERAGE($AI$453:$AI$466))</f>
        <v>0</v>
      </c>
      <c r="AK466">
        <f>IF(COUNT($E$2:$E466)&lt;20,"",AVERAGE($E$447:$E$466))</f>
        <v>0</v>
      </c>
      <c r="AL466">
        <f>IF(COUNT($E$2:$E466)&lt;20,"",STDEVP($E$447:$E$466))</f>
        <v>0</v>
      </c>
      <c r="AM466">
        <f>IF(AK466="","",AK466+2*AL466)</f>
        <v>0</v>
      </c>
      <c r="AN466">
        <f>IF(AK466="","",AK466-2*AL466)</f>
        <v>0</v>
      </c>
      <c r="AO466">
        <f>IF(OR(AM466="",AN466="",AM466=AN466),"",($E466-AN466)/(AM466-AN466))</f>
        <v>0</v>
      </c>
      <c r="AP466">
        <f>IF(OR(AM466="",AK466="",AK466=0),"",(AM466-AN466)/AK466)</f>
        <v>0</v>
      </c>
      <c r="AQ466">
        <f>IF(COUNT($E$2:$E466)&lt;20,"",MAX($C$447:$C$466))</f>
        <v>0</v>
      </c>
      <c r="AR466">
        <f>IF(COUNT($E$2:$E466)&lt;20,"",MIN($D$447:$D$466))</f>
        <v>0</v>
      </c>
      <c r="AS466">
        <f>IF(OR(AQ466="",AR466=""),"",(AQ466+AR466)/2)</f>
        <v>0</v>
      </c>
      <c r="AT466">
        <f>IF(COUNT($G$447:$G$466)&lt;20,"",STDEV($G$447:$G$466)*SQRT(252))</f>
        <v>0</v>
      </c>
      <c r="AU466">
        <f>IF(COUNT($E$2:$E466)&lt;9,"",(MAX($C$458:$C$466)+MIN($D$458:$D$466))/2)</f>
        <v>0</v>
      </c>
      <c r="AV466">
        <f>IF(COUNT($E$2:$E466)&lt;26,"",(MAX($C$441:$C$466)+MIN($D$441:$D$466))/2)</f>
        <v>0</v>
      </c>
      <c r="AW466">
        <f>IF(OR(AU466="",AV466=""),"",(AU466+AV466)/2)</f>
        <v>0</v>
      </c>
      <c r="AX466">
        <f>IF(COUNT($E$2:$E466)&lt;52,"",(MAX($C$415:$C$466)+MIN($D$415:$D$466))/2)</f>
        <v>0</v>
      </c>
      <c r="AY466">
        <f>IF(COUNT($E$2:$E466)&lt;20,"",MAX($C$367:$C$466))</f>
        <v>0</v>
      </c>
      <c r="AZ466">
        <f>IF(COUNT($E$2:$E466)&lt;20,"",MIN($D$367:$D$466))</f>
        <v>0</v>
      </c>
      <c r="BA466">
        <f>IF(COUNT($E$2:$E466)&lt;20,"",SLOPE($E$367:$E$466,$F$367:$F$466))</f>
        <v>0</v>
      </c>
      <c r="BB466">
        <f>IF(COUNT($E$2:$E466)&lt;20,"",INTERCEPT($E$367:$E$466,$F$367:$F$466))</f>
        <v>0</v>
      </c>
      <c r="BC466">
        <f>IF(OR(BA466="",BB466=""),"",BB466+BA466*F466)</f>
        <v>0</v>
      </c>
      <c r="BD466">
        <f>IF(COUNT($E$2:$E466)&lt;20,"",STEYX($E$367:$E$466,$F$367:$F$466))</f>
        <v>0</v>
      </c>
      <c r="BE466">
        <f>IF($E466="","",IF(AND(COUNT($E$467:$E$470)&gt;=4,$C466=MAX($C$462:$C$470)),$C466,""))</f>
        <v>0</v>
      </c>
      <c r="BF466">
        <f>IF($E466="","",IF(AND(COUNT($E$467:$E$470)&gt;=4,$D466=MIN($D$462:$D$470)),$D466,""))</f>
        <v>0</v>
      </c>
      <c r="BG466">
        <f>IF($A466="","",$A466-WEEKDAY($A466,2)+1)</f>
        <v>0</v>
      </c>
      <c r="BH466">
        <f>IF($A466="","",IF($A465="",1,IF(BG466&lt;&gt;BG465,1,0)))</f>
        <v>0</v>
      </c>
      <c r="BI466">
        <f>IF($A466="","",IF($A467="",1,IF(BG467&lt;&gt;BG466,1,0)))</f>
        <v>0</v>
      </c>
      <c r="BJ466">
        <f>IF($A466="","",IF(BH466=1,$B466,BJ465))</f>
        <v>0</v>
      </c>
      <c r="BK466">
        <f>IF($A466="","",IF(BH466=1,$C466,MAX($C466,BK465)))</f>
        <v>0</v>
      </c>
      <c r="BL466">
        <f>IF($A466="","",IF(BH466=1,$D466,MIN($D466,BL465)))</f>
        <v>0</v>
      </c>
      <c r="BM466">
        <f>IF($A466="","",IF(BI466=1,F466,""))</f>
        <v>0</v>
      </c>
      <c r="BN466">
        <f>IF($A466="","",DATE(YEAR($A466),MONTH($A466),1))</f>
        <v>0</v>
      </c>
      <c r="BO466">
        <f>IF($A466="","",IF($A465="",1,IF(BN466&lt;&gt;BN465,1,0)))</f>
        <v>0</v>
      </c>
      <c r="BP466">
        <f>IF($A466="","",IF($A467="",1,IF(BN467&lt;&gt;BN466,1,0)))</f>
        <v>0</v>
      </c>
      <c r="BQ466">
        <f>IF($A466="","",IF(BO466=1,$B466,BQ465))</f>
        <v>0</v>
      </c>
      <c r="BR466">
        <f>IF($A466="","",IF(BO466=1,$C466,MAX($C466,BR465)))</f>
        <v>0</v>
      </c>
      <c r="BS466">
        <f>IF($A466="","",IF(BO466=1,$D466,MIN($D466,BS465)))</f>
        <v>0</v>
      </c>
      <c r="BT466">
        <f>IF($A466="","",IF(BP466=1,F466,""))</f>
        <v>0</v>
      </c>
    </row>
    <row r="467" spans="1:72">
      <c r="A467" s="27">
        <f>IF(Data!$A467="","",Data!$A467)</f>
        <v>0</v>
      </c>
      <c r="B467">
        <f>IF(Data!$B467="","",Data!$B467)</f>
        <v>0</v>
      </c>
      <c r="C467">
        <f>IF(Data!$C467="","",Data!$C467)</f>
        <v>0</v>
      </c>
      <c r="D467">
        <f>IF(Data!$D467="","",Data!$D467)</f>
        <v>0</v>
      </c>
      <c r="E467">
        <f>IF(Data!$E467="","",Data!$E467)</f>
        <v>0</v>
      </c>
      <c r="F467">
        <f>IF($E467="","",N(F466)+1)</f>
        <v>0</v>
      </c>
      <c r="G467">
        <f>IF(OR($E467="",$E466=""),"",LN($E467/$E466))</f>
        <v>0</v>
      </c>
      <c r="H467">
        <f>IF($E467="","",IF($E466="",$E467,$E467*0.0952380952+H466*0.9047619048))</f>
        <v>0</v>
      </c>
      <c r="I467">
        <f>IF($E467="","",IF($E466="",$E467,$E467*0.0392156863+I466*0.9607843137))</f>
        <v>0</v>
      </c>
      <c r="J467">
        <f>IF($E467="","",IF($E466="",$E467,$E467*0.0198019802+J466*0.9801980198))</f>
        <v>0</v>
      </c>
      <c r="K467">
        <f>IF($E467="","",IF($E466="",$E467,$E467*0.0099502488+K466*0.9900497512))</f>
        <v>0</v>
      </c>
      <c r="L467">
        <f>IF(OR($E467="",$E466=""),"",MAX($E467-$E466,0))</f>
        <v>0</v>
      </c>
      <c r="M467">
        <f>IF(OR($E467="",$E466=""),"",MAX($E466-$E467,0))</f>
        <v>0</v>
      </c>
      <c r="N467">
        <f>IF(COUNT($E$2:$E467)&lt;15,"",IF(AVERAGE($M$454:$M$467)=0,100,100-100/(1+AVERAGE($L$454:$L$467)/AVERAGE($M$454:$M$467))))</f>
        <v>0</v>
      </c>
      <c r="O467">
        <f>IF($E467="","",IF($E466="",$E467,$E467*0.1538461538+O466*0.8461538462))</f>
        <v>0</v>
      </c>
      <c r="P467">
        <f>IF($E467="","",IF($E466="",$E467,$E467*0.0740740741+P466*0.9259259259))</f>
        <v>0</v>
      </c>
      <c r="Q467">
        <f>IF(OR(O467="",P467=""),"",O467-P467)</f>
        <v>0</v>
      </c>
      <c r="R467">
        <f>IF(Q467="","",IF(R466="",Q467,Q467*0.2000000000+R466*0.8000000000))</f>
        <v>0</v>
      </c>
      <c r="S467">
        <f>IF(OR(Q467="",R467=""),"",Q467-R467)</f>
        <v>0</v>
      </c>
      <c r="T467">
        <f>IF(COUNT($E$2:$E467)&lt;14,"",MAX($C$454:$C$467))</f>
        <v>0</v>
      </c>
      <c r="U467">
        <f>IF(COUNT($E$2:$E467)&lt;14,"",MIN($D$454:$D$467))</f>
        <v>0</v>
      </c>
      <c r="V467">
        <f>IF(OR(T467="",U467="",T467=U467),"",100*($E467-U467)/(T467-U467))</f>
        <v>0</v>
      </c>
      <c r="W467">
        <f>IF(COUNT($V$465:$V$467)&lt;3,"",AVERAGE($V$465:$V$467))</f>
        <v>0</v>
      </c>
      <c r="X467">
        <f>IF(COUNT($N$454:$N$467)&lt;14,"",MIN($N$454:$N$467))</f>
        <v>0</v>
      </c>
      <c r="Y467">
        <f>IF(COUNT($N$454:$N$467)&lt;14,"",MAX($N$454:$N$467))</f>
        <v>0</v>
      </c>
      <c r="Z467">
        <f>IF(OR(N467="",X467="",Y467="",Y467=X467),"",100*(N467-X467)/(Y467-X467))</f>
        <v>0</v>
      </c>
      <c r="AA467">
        <f>IF(COUNT($Z$465:$Z$467)&lt;3,"",AVERAGE($Z$465:$Z$467))</f>
        <v>0</v>
      </c>
      <c r="AB467">
        <f>IF(COUNT($AA$465:$AA$467)&lt;3,"",AVERAGE($AA$465:$AA$467))</f>
        <v>0</v>
      </c>
      <c r="AC467">
        <f>IF($E467="","",MAX($C467-$D467,ABS($C467-$E466),ABS($D467-$E466)))</f>
        <v>0</v>
      </c>
      <c r="AD467">
        <f>IF(COUNT($E$2:$E467)&lt;15,"",AVERAGE($AC$454:$AC$467))</f>
        <v>0</v>
      </c>
      <c r="AE467">
        <f>IF(OR($E467="",$E466=""),"",IF(AND(($C467-$C466)&gt;($D466-$D467),($C467-$C466)&gt;0),$C467-$C466,0))</f>
        <v>0</v>
      </c>
      <c r="AF467">
        <f>IF(OR($E467="",$E466=""),"",IF(AND(($D466-$D467)&gt;($C467-$C466),($D466-$D467)&gt;0),$D466-$D467,0))</f>
        <v>0</v>
      </c>
      <c r="AG467">
        <f>IF(COUNT($E$2:$E467)&lt;15,"",IF(SUM($AC$454:$AC$467)=0,0,100*SUM($AE$454:$AE$467)/SUM($AC$454:$AC$467)))</f>
        <v>0</v>
      </c>
      <c r="AH467">
        <f>IF(COUNT($E$2:$E467)&lt;15,"",IF(SUM($AC$454:$AC$467)=0,0,100*SUM($AF$454:$AF$467)/SUM($AC$454:$AC$467)))</f>
        <v>0</v>
      </c>
      <c r="AI467">
        <f>IF(OR(AG467="",AH467=""),"",IF((AG467+AH467)=0,0,100*ABS(AG467-AH467)/(AG467+AH467)))</f>
        <v>0</v>
      </c>
      <c r="AJ467">
        <f>IF(COUNT($AI$454:$AI$467)&lt;14,"",AVERAGE($AI$454:$AI$467))</f>
        <v>0</v>
      </c>
      <c r="AK467">
        <f>IF(COUNT($E$2:$E467)&lt;20,"",AVERAGE($E$448:$E$467))</f>
        <v>0</v>
      </c>
      <c r="AL467">
        <f>IF(COUNT($E$2:$E467)&lt;20,"",STDEVP($E$448:$E$467))</f>
        <v>0</v>
      </c>
      <c r="AM467">
        <f>IF(AK467="","",AK467+2*AL467)</f>
        <v>0</v>
      </c>
      <c r="AN467">
        <f>IF(AK467="","",AK467-2*AL467)</f>
        <v>0</v>
      </c>
      <c r="AO467">
        <f>IF(OR(AM467="",AN467="",AM467=AN467),"",($E467-AN467)/(AM467-AN467))</f>
        <v>0</v>
      </c>
      <c r="AP467">
        <f>IF(OR(AM467="",AK467="",AK467=0),"",(AM467-AN467)/AK467)</f>
        <v>0</v>
      </c>
      <c r="AQ467">
        <f>IF(COUNT($E$2:$E467)&lt;20,"",MAX($C$448:$C$467))</f>
        <v>0</v>
      </c>
      <c r="AR467">
        <f>IF(COUNT($E$2:$E467)&lt;20,"",MIN($D$448:$D$467))</f>
        <v>0</v>
      </c>
      <c r="AS467">
        <f>IF(OR(AQ467="",AR467=""),"",(AQ467+AR467)/2)</f>
        <v>0</v>
      </c>
      <c r="AT467">
        <f>IF(COUNT($G$448:$G$467)&lt;20,"",STDEV($G$448:$G$467)*SQRT(252))</f>
        <v>0</v>
      </c>
      <c r="AU467">
        <f>IF(COUNT($E$2:$E467)&lt;9,"",(MAX($C$459:$C$467)+MIN($D$459:$D$467))/2)</f>
        <v>0</v>
      </c>
      <c r="AV467">
        <f>IF(COUNT($E$2:$E467)&lt;26,"",(MAX($C$442:$C$467)+MIN($D$442:$D$467))/2)</f>
        <v>0</v>
      </c>
      <c r="AW467">
        <f>IF(OR(AU467="",AV467=""),"",(AU467+AV467)/2)</f>
        <v>0</v>
      </c>
      <c r="AX467">
        <f>IF(COUNT($E$2:$E467)&lt;52,"",(MAX($C$416:$C$467)+MIN($D$416:$D$467))/2)</f>
        <v>0</v>
      </c>
      <c r="AY467">
        <f>IF(COUNT($E$2:$E467)&lt;20,"",MAX($C$368:$C$467))</f>
        <v>0</v>
      </c>
      <c r="AZ467">
        <f>IF(COUNT($E$2:$E467)&lt;20,"",MIN($D$368:$D$467))</f>
        <v>0</v>
      </c>
      <c r="BA467">
        <f>IF(COUNT($E$2:$E467)&lt;20,"",SLOPE($E$368:$E$467,$F$368:$F$467))</f>
        <v>0</v>
      </c>
      <c r="BB467">
        <f>IF(COUNT($E$2:$E467)&lt;20,"",INTERCEPT($E$368:$E$467,$F$368:$F$467))</f>
        <v>0</v>
      </c>
      <c r="BC467">
        <f>IF(OR(BA467="",BB467=""),"",BB467+BA467*F467)</f>
        <v>0</v>
      </c>
      <c r="BD467">
        <f>IF(COUNT($E$2:$E467)&lt;20,"",STEYX($E$368:$E$467,$F$368:$F$467))</f>
        <v>0</v>
      </c>
      <c r="BE467">
        <f>IF($E467="","",IF(AND(COUNT($E$468:$E$471)&gt;=4,$C467=MAX($C$463:$C$471)),$C467,""))</f>
        <v>0</v>
      </c>
      <c r="BF467">
        <f>IF($E467="","",IF(AND(COUNT($E$468:$E$471)&gt;=4,$D467=MIN($D$463:$D$471)),$D467,""))</f>
        <v>0</v>
      </c>
      <c r="BG467">
        <f>IF($A467="","",$A467-WEEKDAY($A467,2)+1)</f>
        <v>0</v>
      </c>
      <c r="BH467">
        <f>IF($A467="","",IF($A466="",1,IF(BG467&lt;&gt;BG466,1,0)))</f>
        <v>0</v>
      </c>
      <c r="BI467">
        <f>IF($A467="","",IF($A468="",1,IF(BG468&lt;&gt;BG467,1,0)))</f>
        <v>0</v>
      </c>
      <c r="BJ467">
        <f>IF($A467="","",IF(BH467=1,$B467,BJ466))</f>
        <v>0</v>
      </c>
      <c r="BK467">
        <f>IF($A467="","",IF(BH467=1,$C467,MAX($C467,BK466)))</f>
        <v>0</v>
      </c>
      <c r="BL467">
        <f>IF($A467="","",IF(BH467=1,$D467,MIN($D467,BL466)))</f>
        <v>0</v>
      </c>
      <c r="BM467">
        <f>IF($A467="","",IF(BI467=1,F467,""))</f>
        <v>0</v>
      </c>
      <c r="BN467">
        <f>IF($A467="","",DATE(YEAR($A467),MONTH($A467),1))</f>
        <v>0</v>
      </c>
      <c r="BO467">
        <f>IF($A467="","",IF($A466="",1,IF(BN467&lt;&gt;BN466,1,0)))</f>
        <v>0</v>
      </c>
      <c r="BP467">
        <f>IF($A467="","",IF($A468="",1,IF(BN468&lt;&gt;BN467,1,0)))</f>
        <v>0</v>
      </c>
      <c r="BQ467">
        <f>IF($A467="","",IF(BO467=1,$B467,BQ466))</f>
        <v>0</v>
      </c>
      <c r="BR467">
        <f>IF($A467="","",IF(BO467=1,$C467,MAX($C467,BR466)))</f>
        <v>0</v>
      </c>
      <c r="BS467">
        <f>IF($A467="","",IF(BO467=1,$D467,MIN($D467,BS466)))</f>
        <v>0</v>
      </c>
      <c r="BT467">
        <f>IF($A467="","",IF(BP467=1,F467,""))</f>
        <v>0</v>
      </c>
    </row>
    <row r="468" spans="1:72">
      <c r="A468" s="27">
        <f>IF(Data!$A468="","",Data!$A468)</f>
        <v>0</v>
      </c>
      <c r="B468">
        <f>IF(Data!$B468="","",Data!$B468)</f>
        <v>0</v>
      </c>
      <c r="C468">
        <f>IF(Data!$C468="","",Data!$C468)</f>
        <v>0</v>
      </c>
      <c r="D468">
        <f>IF(Data!$D468="","",Data!$D468)</f>
        <v>0</v>
      </c>
      <c r="E468">
        <f>IF(Data!$E468="","",Data!$E468)</f>
        <v>0</v>
      </c>
      <c r="F468">
        <f>IF($E468="","",N(F467)+1)</f>
        <v>0</v>
      </c>
      <c r="G468">
        <f>IF(OR($E468="",$E467=""),"",LN($E468/$E467))</f>
        <v>0</v>
      </c>
      <c r="H468">
        <f>IF($E468="","",IF($E467="",$E468,$E468*0.0952380952+H467*0.9047619048))</f>
        <v>0</v>
      </c>
      <c r="I468">
        <f>IF($E468="","",IF($E467="",$E468,$E468*0.0392156863+I467*0.9607843137))</f>
        <v>0</v>
      </c>
      <c r="J468">
        <f>IF($E468="","",IF($E467="",$E468,$E468*0.0198019802+J467*0.9801980198))</f>
        <v>0</v>
      </c>
      <c r="K468">
        <f>IF($E468="","",IF($E467="",$E468,$E468*0.0099502488+K467*0.9900497512))</f>
        <v>0</v>
      </c>
      <c r="L468">
        <f>IF(OR($E468="",$E467=""),"",MAX($E468-$E467,0))</f>
        <v>0</v>
      </c>
      <c r="M468">
        <f>IF(OR($E468="",$E467=""),"",MAX($E467-$E468,0))</f>
        <v>0</v>
      </c>
      <c r="N468">
        <f>IF(COUNT($E$2:$E468)&lt;15,"",IF(AVERAGE($M$455:$M$468)=0,100,100-100/(1+AVERAGE($L$455:$L$468)/AVERAGE($M$455:$M$468))))</f>
        <v>0</v>
      </c>
      <c r="O468">
        <f>IF($E468="","",IF($E467="",$E468,$E468*0.1538461538+O467*0.8461538462))</f>
        <v>0</v>
      </c>
      <c r="P468">
        <f>IF($E468="","",IF($E467="",$E468,$E468*0.0740740741+P467*0.9259259259))</f>
        <v>0</v>
      </c>
      <c r="Q468">
        <f>IF(OR(O468="",P468=""),"",O468-P468)</f>
        <v>0</v>
      </c>
      <c r="R468">
        <f>IF(Q468="","",IF(R467="",Q468,Q468*0.2000000000+R467*0.8000000000))</f>
        <v>0</v>
      </c>
      <c r="S468">
        <f>IF(OR(Q468="",R468=""),"",Q468-R468)</f>
        <v>0</v>
      </c>
      <c r="T468">
        <f>IF(COUNT($E$2:$E468)&lt;14,"",MAX($C$455:$C$468))</f>
        <v>0</v>
      </c>
      <c r="U468">
        <f>IF(COUNT($E$2:$E468)&lt;14,"",MIN($D$455:$D$468))</f>
        <v>0</v>
      </c>
      <c r="V468">
        <f>IF(OR(T468="",U468="",T468=U468),"",100*($E468-U468)/(T468-U468))</f>
        <v>0</v>
      </c>
      <c r="W468">
        <f>IF(COUNT($V$466:$V$468)&lt;3,"",AVERAGE($V$466:$V$468))</f>
        <v>0</v>
      </c>
      <c r="X468">
        <f>IF(COUNT($N$455:$N$468)&lt;14,"",MIN($N$455:$N$468))</f>
        <v>0</v>
      </c>
      <c r="Y468">
        <f>IF(COUNT($N$455:$N$468)&lt;14,"",MAX($N$455:$N$468))</f>
        <v>0</v>
      </c>
      <c r="Z468">
        <f>IF(OR(N468="",X468="",Y468="",Y468=X468),"",100*(N468-X468)/(Y468-X468))</f>
        <v>0</v>
      </c>
      <c r="AA468">
        <f>IF(COUNT($Z$466:$Z$468)&lt;3,"",AVERAGE($Z$466:$Z$468))</f>
        <v>0</v>
      </c>
      <c r="AB468">
        <f>IF(COUNT($AA$466:$AA$468)&lt;3,"",AVERAGE($AA$466:$AA$468))</f>
        <v>0</v>
      </c>
      <c r="AC468">
        <f>IF($E468="","",MAX($C468-$D468,ABS($C468-$E467),ABS($D468-$E467)))</f>
        <v>0</v>
      </c>
      <c r="AD468">
        <f>IF(COUNT($E$2:$E468)&lt;15,"",AVERAGE($AC$455:$AC$468))</f>
        <v>0</v>
      </c>
      <c r="AE468">
        <f>IF(OR($E468="",$E467=""),"",IF(AND(($C468-$C467)&gt;($D467-$D468),($C468-$C467)&gt;0),$C468-$C467,0))</f>
        <v>0</v>
      </c>
      <c r="AF468">
        <f>IF(OR($E468="",$E467=""),"",IF(AND(($D467-$D468)&gt;($C468-$C467),($D467-$D468)&gt;0),$D467-$D468,0))</f>
        <v>0</v>
      </c>
      <c r="AG468">
        <f>IF(COUNT($E$2:$E468)&lt;15,"",IF(SUM($AC$455:$AC$468)=0,0,100*SUM($AE$455:$AE$468)/SUM($AC$455:$AC$468)))</f>
        <v>0</v>
      </c>
      <c r="AH468">
        <f>IF(COUNT($E$2:$E468)&lt;15,"",IF(SUM($AC$455:$AC$468)=0,0,100*SUM($AF$455:$AF$468)/SUM($AC$455:$AC$468)))</f>
        <v>0</v>
      </c>
      <c r="AI468">
        <f>IF(OR(AG468="",AH468=""),"",IF((AG468+AH468)=0,0,100*ABS(AG468-AH468)/(AG468+AH468)))</f>
        <v>0</v>
      </c>
      <c r="AJ468">
        <f>IF(COUNT($AI$455:$AI$468)&lt;14,"",AVERAGE($AI$455:$AI$468))</f>
        <v>0</v>
      </c>
      <c r="AK468">
        <f>IF(COUNT($E$2:$E468)&lt;20,"",AVERAGE($E$449:$E$468))</f>
        <v>0</v>
      </c>
      <c r="AL468">
        <f>IF(COUNT($E$2:$E468)&lt;20,"",STDEVP($E$449:$E$468))</f>
        <v>0</v>
      </c>
      <c r="AM468">
        <f>IF(AK468="","",AK468+2*AL468)</f>
        <v>0</v>
      </c>
      <c r="AN468">
        <f>IF(AK468="","",AK468-2*AL468)</f>
        <v>0</v>
      </c>
      <c r="AO468">
        <f>IF(OR(AM468="",AN468="",AM468=AN468),"",($E468-AN468)/(AM468-AN468))</f>
        <v>0</v>
      </c>
      <c r="AP468">
        <f>IF(OR(AM468="",AK468="",AK468=0),"",(AM468-AN468)/AK468)</f>
        <v>0</v>
      </c>
      <c r="AQ468">
        <f>IF(COUNT($E$2:$E468)&lt;20,"",MAX($C$449:$C$468))</f>
        <v>0</v>
      </c>
      <c r="AR468">
        <f>IF(COUNT($E$2:$E468)&lt;20,"",MIN($D$449:$D$468))</f>
        <v>0</v>
      </c>
      <c r="AS468">
        <f>IF(OR(AQ468="",AR468=""),"",(AQ468+AR468)/2)</f>
        <v>0</v>
      </c>
      <c r="AT468">
        <f>IF(COUNT($G$449:$G$468)&lt;20,"",STDEV($G$449:$G$468)*SQRT(252))</f>
        <v>0</v>
      </c>
      <c r="AU468">
        <f>IF(COUNT($E$2:$E468)&lt;9,"",(MAX($C$460:$C$468)+MIN($D$460:$D$468))/2)</f>
        <v>0</v>
      </c>
      <c r="AV468">
        <f>IF(COUNT($E$2:$E468)&lt;26,"",(MAX($C$443:$C$468)+MIN($D$443:$D$468))/2)</f>
        <v>0</v>
      </c>
      <c r="AW468">
        <f>IF(OR(AU468="",AV468=""),"",(AU468+AV468)/2)</f>
        <v>0</v>
      </c>
      <c r="AX468">
        <f>IF(COUNT($E$2:$E468)&lt;52,"",(MAX($C$417:$C$468)+MIN($D$417:$D$468))/2)</f>
        <v>0</v>
      </c>
      <c r="AY468">
        <f>IF(COUNT($E$2:$E468)&lt;20,"",MAX($C$369:$C$468))</f>
        <v>0</v>
      </c>
      <c r="AZ468">
        <f>IF(COUNT($E$2:$E468)&lt;20,"",MIN($D$369:$D$468))</f>
        <v>0</v>
      </c>
      <c r="BA468">
        <f>IF(COUNT($E$2:$E468)&lt;20,"",SLOPE($E$369:$E$468,$F$369:$F$468))</f>
        <v>0</v>
      </c>
      <c r="BB468">
        <f>IF(COUNT($E$2:$E468)&lt;20,"",INTERCEPT($E$369:$E$468,$F$369:$F$468))</f>
        <v>0</v>
      </c>
      <c r="BC468">
        <f>IF(OR(BA468="",BB468=""),"",BB468+BA468*F468)</f>
        <v>0</v>
      </c>
      <c r="BD468">
        <f>IF(COUNT($E$2:$E468)&lt;20,"",STEYX($E$369:$E$468,$F$369:$F$468))</f>
        <v>0</v>
      </c>
      <c r="BE468">
        <f>IF($E468="","",IF(AND(COUNT($E$469:$E$472)&gt;=4,$C468=MAX($C$464:$C$472)),$C468,""))</f>
        <v>0</v>
      </c>
      <c r="BF468">
        <f>IF($E468="","",IF(AND(COUNT($E$469:$E$472)&gt;=4,$D468=MIN($D$464:$D$472)),$D468,""))</f>
        <v>0</v>
      </c>
      <c r="BG468">
        <f>IF($A468="","",$A468-WEEKDAY($A468,2)+1)</f>
        <v>0</v>
      </c>
      <c r="BH468">
        <f>IF($A468="","",IF($A467="",1,IF(BG468&lt;&gt;BG467,1,0)))</f>
        <v>0</v>
      </c>
      <c r="BI468">
        <f>IF($A468="","",IF($A469="",1,IF(BG469&lt;&gt;BG468,1,0)))</f>
        <v>0</v>
      </c>
      <c r="BJ468">
        <f>IF($A468="","",IF(BH468=1,$B468,BJ467))</f>
        <v>0</v>
      </c>
      <c r="BK468">
        <f>IF($A468="","",IF(BH468=1,$C468,MAX($C468,BK467)))</f>
        <v>0</v>
      </c>
      <c r="BL468">
        <f>IF($A468="","",IF(BH468=1,$D468,MIN($D468,BL467)))</f>
        <v>0</v>
      </c>
      <c r="BM468">
        <f>IF($A468="","",IF(BI468=1,F468,""))</f>
        <v>0</v>
      </c>
      <c r="BN468">
        <f>IF($A468="","",DATE(YEAR($A468),MONTH($A468),1))</f>
        <v>0</v>
      </c>
      <c r="BO468">
        <f>IF($A468="","",IF($A467="",1,IF(BN468&lt;&gt;BN467,1,0)))</f>
        <v>0</v>
      </c>
      <c r="BP468">
        <f>IF($A468="","",IF($A469="",1,IF(BN469&lt;&gt;BN468,1,0)))</f>
        <v>0</v>
      </c>
      <c r="BQ468">
        <f>IF($A468="","",IF(BO468=1,$B468,BQ467))</f>
        <v>0</v>
      </c>
      <c r="BR468">
        <f>IF($A468="","",IF(BO468=1,$C468,MAX($C468,BR467)))</f>
        <v>0</v>
      </c>
      <c r="BS468">
        <f>IF($A468="","",IF(BO468=1,$D468,MIN($D468,BS467)))</f>
        <v>0</v>
      </c>
      <c r="BT468">
        <f>IF($A468="","",IF(BP468=1,F468,""))</f>
        <v>0</v>
      </c>
    </row>
    <row r="469" spans="1:72">
      <c r="A469" s="27">
        <f>IF(Data!$A469="","",Data!$A469)</f>
        <v>0</v>
      </c>
      <c r="B469">
        <f>IF(Data!$B469="","",Data!$B469)</f>
        <v>0</v>
      </c>
      <c r="C469">
        <f>IF(Data!$C469="","",Data!$C469)</f>
        <v>0</v>
      </c>
      <c r="D469">
        <f>IF(Data!$D469="","",Data!$D469)</f>
        <v>0</v>
      </c>
      <c r="E469">
        <f>IF(Data!$E469="","",Data!$E469)</f>
        <v>0</v>
      </c>
      <c r="F469">
        <f>IF($E469="","",N(F468)+1)</f>
        <v>0</v>
      </c>
      <c r="G469">
        <f>IF(OR($E469="",$E468=""),"",LN($E469/$E468))</f>
        <v>0</v>
      </c>
      <c r="H469">
        <f>IF($E469="","",IF($E468="",$E469,$E469*0.0952380952+H468*0.9047619048))</f>
        <v>0</v>
      </c>
      <c r="I469">
        <f>IF($E469="","",IF($E468="",$E469,$E469*0.0392156863+I468*0.9607843137))</f>
        <v>0</v>
      </c>
      <c r="J469">
        <f>IF($E469="","",IF($E468="",$E469,$E469*0.0198019802+J468*0.9801980198))</f>
        <v>0</v>
      </c>
      <c r="K469">
        <f>IF($E469="","",IF($E468="",$E469,$E469*0.0099502488+K468*0.9900497512))</f>
        <v>0</v>
      </c>
      <c r="L469">
        <f>IF(OR($E469="",$E468=""),"",MAX($E469-$E468,0))</f>
        <v>0</v>
      </c>
      <c r="M469">
        <f>IF(OR($E469="",$E468=""),"",MAX($E468-$E469,0))</f>
        <v>0</v>
      </c>
      <c r="N469">
        <f>IF(COUNT($E$2:$E469)&lt;15,"",IF(AVERAGE($M$456:$M$469)=0,100,100-100/(1+AVERAGE($L$456:$L$469)/AVERAGE($M$456:$M$469))))</f>
        <v>0</v>
      </c>
      <c r="O469">
        <f>IF($E469="","",IF($E468="",$E469,$E469*0.1538461538+O468*0.8461538462))</f>
        <v>0</v>
      </c>
      <c r="P469">
        <f>IF($E469="","",IF($E468="",$E469,$E469*0.0740740741+P468*0.9259259259))</f>
        <v>0</v>
      </c>
      <c r="Q469">
        <f>IF(OR(O469="",P469=""),"",O469-P469)</f>
        <v>0</v>
      </c>
      <c r="R469">
        <f>IF(Q469="","",IF(R468="",Q469,Q469*0.2000000000+R468*0.8000000000))</f>
        <v>0</v>
      </c>
      <c r="S469">
        <f>IF(OR(Q469="",R469=""),"",Q469-R469)</f>
        <v>0</v>
      </c>
      <c r="T469">
        <f>IF(COUNT($E$2:$E469)&lt;14,"",MAX($C$456:$C$469))</f>
        <v>0</v>
      </c>
      <c r="U469">
        <f>IF(COUNT($E$2:$E469)&lt;14,"",MIN($D$456:$D$469))</f>
        <v>0</v>
      </c>
      <c r="V469">
        <f>IF(OR(T469="",U469="",T469=U469),"",100*($E469-U469)/(T469-U469))</f>
        <v>0</v>
      </c>
      <c r="W469">
        <f>IF(COUNT($V$467:$V$469)&lt;3,"",AVERAGE($V$467:$V$469))</f>
        <v>0</v>
      </c>
      <c r="X469">
        <f>IF(COUNT($N$456:$N$469)&lt;14,"",MIN($N$456:$N$469))</f>
        <v>0</v>
      </c>
      <c r="Y469">
        <f>IF(COUNT($N$456:$N$469)&lt;14,"",MAX($N$456:$N$469))</f>
        <v>0</v>
      </c>
      <c r="Z469">
        <f>IF(OR(N469="",X469="",Y469="",Y469=X469),"",100*(N469-X469)/(Y469-X469))</f>
        <v>0</v>
      </c>
      <c r="AA469">
        <f>IF(COUNT($Z$467:$Z$469)&lt;3,"",AVERAGE($Z$467:$Z$469))</f>
        <v>0</v>
      </c>
      <c r="AB469">
        <f>IF(COUNT($AA$467:$AA$469)&lt;3,"",AVERAGE($AA$467:$AA$469))</f>
        <v>0</v>
      </c>
      <c r="AC469">
        <f>IF($E469="","",MAX($C469-$D469,ABS($C469-$E468),ABS($D469-$E468)))</f>
        <v>0</v>
      </c>
      <c r="AD469">
        <f>IF(COUNT($E$2:$E469)&lt;15,"",AVERAGE($AC$456:$AC$469))</f>
        <v>0</v>
      </c>
      <c r="AE469">
        <f>IF(OR($E469="",$E468=""),"",IF(AND(($C469-$C468)&gt;($D468-$D469),($C469-$C468)&gt;0),$C469-$C468,0))</f>
        <v>0</v>
      </c>
      <c r="AF469">
        <f>IF(OR($E469="",$E468=""),"",IF(AND(($D468-$D469)&gt;($C469-$C468),($D468-$D469)&gt;0),$D468-$D469,0))</f>
        <v>0</v>
      </c>
      <c r="AG469">
        <f>IF(COUNT($E$2:$E469)&lt;15,"",IF(SUM($AC$456:$AC$469)=0,0,100*SUM($AE$456:$AE$469)/SUM($AC$456:$AC$469)))</f>
        <v>0</v>
      </c>
      <c r="AH469">
        <f>IF(COUNT($E$2:$E469)&lt;15,"",IF(SUM($AC$456:$AC$469)=0,0,100*SUM($AF$456:$AF$469)/SUM($AC$456:$AC$469)))</f>
        <v>0</v>
      </c>
      <c r="AI469">
        <f>IF(OR(AG469="",AH469=""),"",IF((AG469+AH469)=0,0,100*ABS(AG469-AH469)/(AG469+AH469)))</f>
        <v>0</v>
      </c>
      <c r="AJ469">
        <f>IF(COUNT($AI$456:$AI$469)&lt;14,"",AVERAGE($AI$456:$AI$469))</f>
        <v>0</v>
      </c>
      <c r="AK469">
        <f>IF(COUNT($E$2:$E469)&lt;20,"",AVERAGE($E$450:$E$469))</f>
        <v>0</v>
      </c>
      <c r="AL469">
        <f>IF(COUNT($E$2:$E469)&lt;20,"",STDEVP($E$450:$E$469))</f>
        <v>0</v>
      </c>
      <c r="AM469">
        <f>IF(AK469="","",AK469+2*AL469)</f>
        <v>0</v>
      </c>
      <c r="AN469">
        <f>IF(AK469="","",AK469-2*AL469)</f>
        <v>0</v>
      </c>
      <c r="AO469">
        <f>IF(OR(AM469="",AN469="",AM469=AN469),"",($E469-AN469)/(AM469-AN469))</f>
        <v>0</v>
      </c>
      <c r="AP469">
        <f>IF(OR(AM469="",AK469="",AK469=0),"",(AM469-AN469)/AK469)</f>
        <v>0</v>
      </c>
      <c r="AQ469">
        <f>IF(COUNT($E$2:$E469)&lt;20,"",MAX($C$450:$C$469))</f>
        <v>0</v>
      </c>
      <c r="AR469">
        <f>IF(COUNT($E$2:$E469)&lt;20,"",MIN($D$450:$D$469))</f>
        <v>0</v>
      </c>
      <c r="AS469">
        <f>IF(OR(AQ469="",AR469=""),"",(AQ469+AR469)/2)</f>
        <v>0</v>
      </c>
      <c r="AT469">
        <f>IF(COUNT($G$450:$G$469)&lt;20,"",STDEV($G$450:$G$469)*SQRT(252))</f>
        <v>0</v>
      </c>
      <c r="AU469">
        <f>IF(COUNT($E$2:$E469)&lt;9,"",(MAX($C$461:$C$469)+MIN($D$461:$D$469))/2)</f>
        <v>0</v>
      </c>
      <c r="AV469">
        <f>IF(COUNT($E$2:$E469)&lt;26,"",(MAX($C$444:$C$469)+MIN($D$444:$D$469))/2)</f>
        <v>0</v>
      </c>
      <c r="AW469">
        <f>IF(OR(AU469="",AV469=""),"",(AU469+AV469)/2)</f>
        <v>0</v>
      </c>
      <c r="AX469">
        <f>IF(COUNT($E$2:$E469)&lt;52,"",(MAX($C$418:$C$469)+MIN($D$418:$D$469))/2)</f>
        <v>0</v>
      </c>
      <c r="AY469">
        <f>IF(COUNT($E$2:$E469)&lt;20,"",MAX($C$370:$C$469))</f>
        <v>0</v>
      </c>
      <c r="AZ469">
        <f>IF(COUNT($E$2:$E469)&lt;20,"",MIN($D$370:$D$469))</f>
        <v>0</v>
      </c>
      <c r="BA469">
        <f>IF(COUNT($E$2:$E469)&lt;20,"",SLOPE($E$370:$E$469,$F$370:$F$469))</f>
        <v>0</v>
      </c>
      <c r="BB469">
        <f>IF(COUNT($E$2:$E469)&lt;20,"",INTERCEPT($E$370:$E$469,$F$370:$F$469))</f>
        <v>0</v>
      </c>
      <c r="BC469">
        <f>IF(OR(BA469="",BB469=""),"",BB469+BA469*F469)</f>
        <v>0</v>
      </c>
      <c r="BD469">
        <f>IF(COUNT($E$2:$E469)&lt;20,"",STEYX($E$370:$E$469,$F$370:$F$469))</f>
        <v>0</v>
      </c>
      <c r="BE469">
        <f>IF($E469="","",IF(AND(COUNT($E$470:$E$473)&gt;=4,$C469=MAX($C$465:$C$473)),$C469,""))</f>
        <v>0</v>
      </c>
      <c r="BF469">
        <f>IF($E469="","",IF(AND(COUNT($E$470:$E$473)&gt;=4,$D469=MIN($D$465:$D$473)),$D469,""))</f>
        <v>0</v>
      </c>
      <c r="BG469">
        <f>IF($A469="","",$A469-WEEKDAY($A469,2)+1)</f>
        <v>0</v>
      </c>
      <c r="BH469">
        <f>IF($A469="","",IF($A468="",1,IF(BG469&lt;&gt;BG468,1,0)))</f>
        <v>0</v>
      </c>
      <c r="BI469">
        <f>IF($A469="","",IF($A470="",1,IF(BG470&lt;&gt;BG469,1,0)))</f>
        <v>0</v>
      </c>
      <c r="BJ469">
        <f>IF($A469="","",IF(BH469=1,$B469,BJ468))</f>
        <v>0</v>
      </c>
      <c r="BK469">
        <f>IF($A469="","",IF(BH469=1,$C469,MAX($C469,BK468)))</f>
        <v>0</v>
      </c>
      <c r="BL469">
        <f>IF($A469="","",IF(BH469=1,$D469,MIN($D469,BL468)))</f>
        <v>0</v>
      </c>
      <c r="BM469">
        <f>IF($A469="","",IF(BI469=1,F469,""))</f>
        <v>0</v>
      </c>
      <c r="BN469">
        <f>IF($A469="","",DATE(YEAR($A469),MONTH($A469),1))</f>
        <v>0</v>
      </c>
      <c r="BO469">
        <f>IF($A469="","",IF($A468="",1,IF(BN469&lt;&gt;BN468,1,0)))</f>
        <v>0</v>
      </c>
      <c r="BP469">
        <f>IF($A469="","",IF($A470="",1,IF(BN470&lt;&gt;BN469,1,0)))</f>
        <v>0</v>
      </c>
      <c r="BQ469">
        <f>IF($A469="","",IF(BO469=1,$B469,BQ468))</f>
        <v>0</v>
      </c>
      <c r="BR469">
        <f>IF($A469="","",IF(BO469=1,$C469,MAX($C469,BR468)))</f>
        <v>0</v>
      </c>
      <c r="BS469">
        <f>IF($A469="","",IF(BO469=1,$D469,MIN($D469,BS468)))</f>
        <v>0</v>
      </c>
      <c r="BT469">
        <f>IF($A469="","",IF(BP469=1,F469,""))</f>
        <v>0</v>
      </c>
    </row>
    <row r="470" spans="1:72">
      <c r="A470" s="27">
        <f>IF(Data!$A470="","",Data!$A470)</f>
        <v>0</v>
      </c>
      <c r="B470">
        <f>IF(Data!$B470="","",Data!$B470)</f>
        <v>0</v>
      </c>
      <c r="C470">
        <f>IF(Data!$C470="","",Data!$C470)</f>
        <v>0</v>
      </c>
      <c r="D470">
        <f>IF(Data!$D470="","",Data!$D470)</f>
        <v>0</v>
      </c>
      <c r="E470">
        <f>IF(Data!$E470="","",Data!$E470)</f>
        <v>0</v>
      </c>
      <c r="F470">
        <f>IF($E470="","",N(F469)+1)</f>
        <v>0</v>
      </c>
      <c r="G470">
        <f>IF(OR($E470="",$E469=""),"",LN($E470/$E469))</f>
        <v>0</v>
      </c>
      <c r="H470">
        <f>IF($E470="","",IF($E469="",$E470,$E470*0.0952380952+H469*0.9047619048))</f>
        <v>0</v>
      </c>
      <c r="I470">
        <f>IF($E470="","",IF($E469="",$E470,$E470*0.0392156863+I469*0.9607843137))</f>
        <v>0</v>
      </c>
      <c r="J470">
        <f>IF($E470="","",IF($E469="",$E470,$E470*0.0198019802+J469*0.9801980198))</f>
        <v>0</v>
      </c>
      <c r="K470">
        <f>IF($E470="","",IF($E469="",$E470,$E470*0.0099502488+K469*0.9900497512))</f>
        <v>0</v>
      </c>
      <c r="L470">
        <f>IF(OR($E470="",$E469=""),"",MAX($E470-$E469,0))</f>
        <v>0</v>
      </c>
      <c r="M470">
        <f>IF(OR($E470="",$E469=""),"",MAX($E469-$E470,0))</f>
        <v>0</v>
      </c>
      <c r="N470">
        <f>IF(COUNT($E$2:$E470)&lt;15,"",IF(AVERAGE($M$457:$M$470)=0,100,100-100/(1+AVERAGE($L$457:$L$470)/AVERAGE($M$457:$M$470))))</f>
        <v>0</v>
      </c>
      <c r="O470">
        <f>IF($E470="","",IF($E469="",$E470,$E470*0.1538461538+O469*0.8461538462))</f>
        <v>0</v>
      </c>
      <c r="P470">
        <f>IF($E470="","",IF($E469="",$E470,$E470*0.0740740741+P469*0.9259259259))</f>
        <v>0</v>
      </c>
      <c r="Q470">
        <f>IF(OR(O470="",P470=""),"",O470-P470)</f>
        <v>0</v>
      </c>
      <c r="R470">
        <f>IF(Q470="","",IF(R469="",Q470,Q470*0.2000000000+R469*0.8000000000))</f>
        <v>0</v>
      </c>
      <c r="S470">
        <f>IF(OR(Q470="",R470=""),"",Q470-R470)</f>
        <v>0</v>
      </c>
      <c r="T470">
        <f>IF(COUNT($E$2:$E470)&lt;14,"",MAX($C$457:$C$470))</f>
        <v>0</v>
      </c>
      <c r="U470">
        <f>IF(COUNT($E$2:$E470)&lt;14,"",MIN($D$457:$D$470))</f>
        <v>0</v>
      </c>
      <c r="V470">
        <f>IF(OR(T470="",U470="",T470=U470),"",100*($E470-U470)/(T470-U470))</f>
        <v>0</v>
      </c>
      <c r="W470">
        <f>IF(COUNT($V$468:$V$470)&lt;3,"",AVERAGE($V$468:$V$470))</f>
        <v>0</v>
      </c>
      <c r="X470">
        <f>IF(COUNT($N$457:$N$470)&lt;14,"",MIN($N$457:$N$470))</f>
        <v>0</v>
      </c>
      <c r="Y470">
        <f>IF(COUNT($N$457:$N$470)&lt;14,"",MAX($N$457:$N$470))</f>
        <v>0</v>
      </c>
      <c r="Z470">
        <f>IF(OR(N470="",X470="",Y470="",Y470=X470),"",100*(N470-X470)/(Y470-X470))</f>
        <v>0</v>
      </c>
      <c r="AA470">
        <f>IF(COUNT($Z$468:$Z$470)&lt;3,"",AVERAGE($Z$468:$Z$470))</f>
        <v>0</v>
      </c>
      <c r="AB470">
        <f>IF(COUNT($AA$468:$AA$470)&lt;3,"",AVERAGE($AA$468:$AA$470))</f>
        <v>0</v>
      </c>
      <c r="AC470">
        <f>IF($E470="","",MAX($C470-$D470,ABS($C470-$E469),ABS($D470-$E469)))</f>
        <v>0</v>
      </c>
      <c r="AD470">
        <f>IF(COUNT($E$2:$E470)&lt;15,"",AVERAGE($AC$457:$AC$470))</f>
        <v>0</v>
      </c>
      <c r="AE470">
        <f>IF(OR($E470="",$E469=""),"",IF(AND(($C470-$C469)&gt;($D469-$D470),($C470-$C469)&gt;0),$C470-$C469,0))</f>
        <v>0</v>
      </c>
      <c r="AF470">
        <f>IF(OR($E470="",$E469=""),"",IF(AND(($D469-$D470)&gt;($C470-$C469),($D469-$D470)&gt;0),$D469-$D470,0))</f>
        <v>0</v>
      </c>
      <c r="AG470">
        <f>IF(COUNT($E$2:$E470)&lt;15,"",IF(SUM($AC$457:$AC$470)=0,0,100*SUM($AE$457:$AE$470)/SUM($AC$457:$AC$470)))</f>
        <v>0</v>
      </c>
      <c r="AH470">
        <f>IF(COUNT($E$2:$E470)&lt;15,"",IF(SUM($AC$457:$AC$470)=0,0,100*SUM($AF$457:$AF$470)/SUM($AC$457:$AC$470)))</f>
        <v>0</v>
      </c>
      <c r="AI470">
        <f>IF(OR(AG470="",AH470=""),"",IF((AG470+AH470)=0,0,100*ABS(AG470-AH470)/(AG470+AH470)))</f>
        <v>0</v>
      </c>
      <c r="AJ470">
        <f>IF(COUNT($AI$457:$AI$470)&lt;14,"",AVERAGE($AI$457:$AI$470))</f>
        <v>0</v>
      </c>
      <c r="AK470">
        <f>IF(COUNT($E$2:$E470)&lt;20,"",AVERAGE($E$451:$E$470))</f>
        <v>0</v>
      </c>
      <c r="AL470">
        <f>IF(COUNT($E$2:$E470)&lt;20,"",STDEVP($E$451:$E$470))</f>
        <v>0</v>
      </c>
      <c r="AM470">
        <f>IF(AK470="","",AK470+2*AL470)</f>
        <v>0</v>
      </c>
      <c r="AN470">
        <f>IF(AK470="","",AK470-2*AL470)</f>
        <v>0</v>
      </c>
      <c r="AO470">
        <f>IF(OR(AM470="",AN470="",AM470=AN470),"",($E470-AN470)/(AM470-AN470))</f>
        <v>0</v>
      </c>
      <c r="AP470">
        <f>IF(OR(AM470="",AK470="",AK470=0),"",(AM470-AN470)/AK470)</f>
        <v>0</v>
      </c>
      <c r="AQ470">
        <f>IF(COUNT($E$2:$E470)&lt;20,"",MAX($C$451:$C$470))</f>
        <v>0</v>
      </c>
      <c r="AR470">
        <f>IF(COUNT($E$2:$E470)&lt;20,"",MIN($D$451:$D$470))</f>
        <v>0</v>
      </c>
      <c r="AS470">
        <f>IF(OR(AQ470="",AR470=""),"",(AQ470+AR470)/2)</f>
        <v>0</v>
      </c>
      <c r="AT470">
        <f>IF(COUNT($G$451:$G$470)&lt;20,"",STDEV($G$451:$G$470)*SQRT(252))</f>
        <v>0</v>
      </c>
      <c r="AU470">
        <f>IF(COUNT($E$2:$E470)&lt;9,"",(MAX($C$462:$C$470)+MIN($D$462:$D$470))/2)</f>
        <v>0</v>
      </c>
      <c r="AV470">
        <f>IF(COUNT($E$2:$E470)&lt;26,"",(MAX($C$445:$C$470)+MIN($D$445:$D$470))/2)</f>
        <v>0</v>
      </c>
      <c r="AW470">
        <f>IF(OR(AU470="",AV470=""),"",(AU470+AV470)/2)</f>
        <v>0</v>
      </c>
      <c r="AX470">
        <f>IF(COUNT($E$2:$E470)&lt;52,"",(MAX($C$419:$C$470)+MIN($D$419:$D$470))/2)</f>
        <v>0</v>
      </c>
      <c r="AY470">
        <f>IF(COUNT($E$2:$E470)&lt;20,"",MAX($C$371:$C$470))</f>
        <v>0</v>
      </c>
      <c r="AZ470">
        <f>IF(COUNT($E$2:$E470)&lt;20,"",MIN($D$371:$D$470))</f>
        <v>0</v>
      </c>
      <c r="BA470">
        <f>IF(COUNT($E$2:$E470)&lt;20,"",SLOPE($E$371:$E$470,$F$371:$F$470))</f>
        <v>0</v>
      </c>
      <c r="BB470">
        <f>IF(COUNT($E$2:$E470)&lt;20,"",INTERCEPT($E$371:$E$470,$F$371:$F$470))</f>
        <v>0</v>
      </c>
      <c r="BC470">
        <f>IF(OR(BA470="",BB470=""),"",BB470+BA470*F470)</f>
        <v>0</v>
      </c>
      <c r="BD470">
        <f>IF(COUNT($E$2:$E470)&lt;20,"",STEYX($E$371:$E$470,$F$371:$F$470))</f>
        <v>0</v>
      </c>
      <c r="BE470">
        <f>IF($E470="","",IF(AND(COUNT($E$471:$E$474)&gt;=4,$C470=MAX($C$466:$C$474)),$C470,""))</f>
        <v>0</v>
      </c>
      <c r="BF470">
        <f>IF($E470="","",IF(AND(COUNT($E$471:$E$474)&gt;=4,$D470=MIN($D$466:$D$474)),$D470,""))</f>
        <v>0</v>
      </c>
      <c r="BG470">
        <f>IF($A470="","",$A470-WEEKDAY($A470,2)+1)</f>
        <v>0</v>
      </c>
      <c r="BH470">
        <f>IF($A470="","",IF($A469="",1,IF(BG470&lt;&gt;BG469,1,0)))</f>
        <v>0</v>
      </c>
      <c r="BI470">
        <f>IF($A470="","",IF($A471="",1,IF(BG471&lt;&gt;BG470,1,0)))</f>
        <v>0</v>
      </c>
      <c r="BJ470">
        <f>IF($A470="","",IF(BH470=1,$B470,BJ469))</f>
        <v>0</v>
      </c>
      <c r="BK470">
        <f>IF($A470="","",IF(BH470=1,$C470,MAX($C470,BK469)))</f>
        <v>0</v>
      </c>
      <c r="BL470">
        <f>IF($A470="","",IF(BH470=1,$D470,MIN($D470,BL469)))</f>
        <v>0</v>
      </c>
      <c r="BM470">
        <f>IF($A470="","",IF(BI470=1,F470,""))</f>
        <v>0</v>
      </c>
      <c r="BN470">
        <f>IF($A470="","",DATE(YEAR($A470),MONTH($A470),1))</f>
        <v>0</v>
      </c>
      <c r="BO470">
        <f>IF($A470="","",IF($A469="",1,IF(BN470&lt;&gt;BN469,1,0)))</f>
        <v>0</v>
      </c>
      <c r="BP470">
        <f>IF($A470="","",IF($A471="",1,IF(BN471&lt;&gt;BN470,1,0)))</f>
        <v>0</v>
      </c>
      <c r="BQ470">
        <f>IF($A470="","",IF(BO470=1,$B470,BQ469))</f>
        <v>0</v>
      </c>
      <c r="BR470">
        <f>IF($A470="","",IF(BO470=1,$C470,MAX($C470,BR469)))</f>
        <v>0</v>
      </c>
      <c r="BS470">
        <f>IF($A470="","",IF(BO470=1,$D470,MIN($D470,BS469)))</f>
        <v>0</v>
      </c>
      <c r="BT470">
        <f>IF($A470="","",IF(BP470=1,F470,""))</f>
        <v>0</v>
      </c>
    </row>
    <row r="471" spans="1:72">
      <c r="A471" s="27">
        <f>IF(Data!$A471="","",Data!$A471)</f>
        <v>0</v>
      </c>
      <c r="B471">
        <f>IF(Data!$B471="","",Data!$B471)</f>
        <v>0</v>
      </c>
      <c r="C471">
        <f>IF(Data!$C471="","",Data!$C471)</f>
        <v>0</v>
      </c>
      <c r="D471">
        <f>IF(Data!$D471="","",Data!$D471)</f>
        <v>0</v>
      </c>
      <c r="E471">
        <f>IF(Data!$E471="","",Data!$E471)</f>
        <v>0</v>
      </c>
      <c r="F471">
        <f>IF($E471="","",N(F470)+1)</f>
        <v>0</v>
      </c>
      <c r="G471">
        <f>IF(OR($E471="",$E470=""),"",LN($E471/$E470))</f>
        <v>0</v>
      </c>
      <c r="H471">
        <f>IF($E471="","",IF($E470="",$E471,$E471*0.0952380952+H470*0.9047619048))</f>
        <v>0</v>
      </c>
      <c r="I471">
        <f>IF($E471="","",IF($E470="",$E471,$E471*0.0392156863+I470*0.9607843137))</f>
        <v>0</v>
      </c>
      <c r="J471">
        <f>IF($E471="","",IF($E470="",$E471,$E471*0.0198019802+J470*0.9801980198))</f>
        <v>0</v>
      </c>
      <c r="K471">
        <f>IF($E471="","",IF($E470="",$E471,$E471*0.0099502488+K470*0.9900497512))</f>
        <v>0</v>
      </c>
      <c r="L471">
        <f>IF(OR($E471="",$E470=""),"",MAX($E471-$E470,0))</f>
        <v>0</v>
      </c>
      <c r="M471">
        <f>IF(OR($E471="",$E470=""),"",MAX($E470-$E471,0))</f>
        <v>0</v>
      </c>
      <c r="N471">
        <f>IF(COUNT($E$2:$E471)&lt;15,"",IF(AVERAGE($M$458:$M$471)=0,100,100-100/(1+AVERAGE($L$458:$L$471)/AVERAGE($M$458:$M$471))))</f>
        <v>0</v>
      </c>
      <c r="O471">
        <f>IF($E471="","",IF($E470="",$E471,$E471*0.1538461538+O470*0.8461538462))</f>
        <v>0</v>
      </c>
      <c r="P471">
        <f>IF($E471="","",IF($E470="",$E471,$E471*0.0740740741+P470*0.9259259259))</f>
        <v>0</v>
      </c>
      <c r="Q471">
        <f>IF(OR(O471="",P471=""),"",O471-P471)</f>
        <v>0</v>
      </c>
      <c r="R471">
        <f>IF(Q471="","",IF(R470="",Q471,Q471*0.2000000000+R470*0.8000000000))</f>
        <v>0</v>
      </c>
      <c r="S471">
        <f>IF(OR(Q471="",R471=""),"",Q471-R471)</f>
        <v>0</v>
      </c>
      <c r="T471">
        <f>IF(COUNT($E$2:$E471)&lt;14,"",MAX($C$458:$C$471))</f>
        <v>0</v>
      </c>
      <c r="U471">
        <f>IF(COUNT($E$2:$E471)&lt;14,"",MIN($D$458:$D$471))</f>
        <v>0</v>
      </c>
      <c r="V471">
        <f>IF(OR(T471="",U471="",T471=U471),"",100*($E471-U471)/(T471-U471))</f>
        <v>0</v>
      </c>
      <c r="W471">
        <f>IF(COUNT($V$469:$V$471)&lt;3,"",AVERAGE($V$469:$V$471))</f>
        <v>0</v>
      </c>
      <c r="X471">
        <f>IF(COUNT($N$458:$N$471)&lt;14,"",MIN($N$458:$N$471))</f>
        <v>0</v>
      </c>
      <c r="Y471">
        <f>IF(COUNT($N$458:$N$471)&lt;14,"",MAX($N$458:$N$471))</f>
        <v>0</v>
      </c>
      <c r="Z471">
        <f>IF(OR(N471="",X471="",Y471="",Y471=X471),"",100*(N471-X471)/(Y471-X471))</f>
        <v>0</v>
      </c>
      <c r="AA471">
        <f>IF(COUNT($Z$469:$Z$471)&lt;3,"",AVERAGE($Z$469:$Z$471))</f>
        <v>0</v>
      </c>
      <c r="AB471">
        <f>IF(COUNT($AA$469:$AA$471)&lt;3,"",AVERAGE($AA$469:$AA$471))</f>
        <v>0</v>
      </c>
      <c r="AC471">
        <f>IF($E471="","",MAX($C471-$D471,ABS($C471-$E470),ABS($D471-$E470)))</f>
        <v>0</v>
      </c>
      <c r="AD471">
        <f>IF(COUNT($E$2:$E471)&lt;15,"",AVERAGE($AC$458:$AC$471))</f>
        <v>0</v>
      </c>
      <c r="AE471">
        <f>IF(OR($E471="",$E470=""),"",IF(AND(($C471-$C470)&gt;($D470-$D471),($C471-$C470)&gt;0),$C471-$C470,0))</f>
        <v>0</v>
      </c>
      <c r="AF471">
        <f>IF(OR($E471="",$E470=""),"",IF(AND(($D470-$D471)&gt;($C471-$C470),($D470-$D471)&gt;0),$D470-$D471,0))</f>
        <v>0</v>
      </c>
      <c r="AG471">
        <f>IF(COUNT($E$2:$E471)&lt;15,"",IF(SUM($AC$458:$AC$471)=0,0,100*SUM($AE$458:$AE$471)/SUM($AC$458:$AC$471)))</f>
        <v>0</v>
      </c>
      <c r="AH471">
        <f>IF(COUNT($E$2:$E471)&lt;15,"",IF(SUM($AC$458:$AC$471)=0,0,100*SUM($AF$458:$AF$471)/SUM($AC$458:$AC$471)))</f>
        <v>0</v>
      </c>
      <c r="AI471">
        <f>IF(OR(AG471="",AH471=""),"",IF((AG471+AH471)=0,0,100*ABS(AG471-AH471)/(AG471+AH471)))</f>
        <v>0</v>
      </c>
      <c r="AJ471">
        <f>IF(COUNT($AI$458:$AI$471)&lt;14,"",AVERAGE($AI$458:$AI$471))</f>
        <v>0</v>
      </c>
      <c r="AK471">
        <f>IF(COUNT($E$2:$E471)&lt;20,"",AVERAGE($E$452:$E$471))</f>
        <v>0</v>
      </c>
      <c r="AL471">
        <f>IF(COUNT($E$2:$E471)&lt;20,"",STDEVP($E$452:$E$471))</f>
        <v>0</v>
      </c>
      <c r="AM471">
        <f>IF(AK471="","",AK471+2*AL471)</f>
        <v>0</v>
      </c>
      <c r="AN471">
        <f>IF(AK471="","",AK471-2*AL471)</f>
        <v>0</v>
      </c>
      <c r="AO471">
        <f>IF(OR(AM471="",AN471="",AM471=AN471),"",($E471-AN471)/(AM471-AN471))</f>
        <v>0</v>
      </c>
      <c r="AP471">
        <f>IF(OR(AM471="",AK471="",AK471=0),"",(AM471-AN471)/AK471)</f>
        <v>0</v>
      </c>
      <c r="AQ471">
        <f>IF(COUNT($E$2:$E471)&lt;20,"",MAX($C$452:$C$471))</f>
        <v>0</v>
      </c>
      <c r="AR471">
        <f>IF(COUNT($E$2:$E471)&lt;20,"",MIN($D$452:$D$471))</f>
        <v>0</v>
      </c>
      <c r="AS471">
        <f>IF(OR(AQ471="",AR471=""),"",(AQ471+AR471)/2)</f>
        <v>0</v>
      </c>
      <c r="AT471">
        <f>IF(COUNT($G$452:$G$471)&lt;20,"",STDEV($G$452:$G$471)*SQRT(252))</f>
        <v>0</v>
      </c>
      <c r="AU471">
        <f>IF(COUNT($E$2:$E471)&lt;9,"",(MAX($C$463:$C$471)+MIN($D$463:$D$471))/2)</f>
        <v>0</v>
      </c>
      <c r="AV471">
        <f>IF(COUNT($E$2:$E471)&lt;26,"",(MAX($C$446:$C$471)+MIN($D$446:$D$471))/2)</f>
        <v>0</v>
      </c>
      <c r="AW471">
        <f>IF(OR(AU471="",AV471=""),"",(AU471+AV471)/2)</f>
        <v>0</v>
      </c>
      <c r="AX471">
        <f>IF(COUNT($E$2:$E471)&lt;52,"",(MAX($C$420:$C$471)+MIN($D$420:$D$471))/2)</f>
        <v>0</v>
      </c>
      <c r="AY471">
        <f>IF(COUNT($E$2:$E471)&lt;20,"",MAX($C$372:$C$471))</f>
        <v>0</v>
      </c>
      <c r="AZ471">
        <f>IF(COUNT($E$2:$E471)&lt;20,"",MIN($D$372:$D$471))</f>
        <v>0</v>
      </c>
      <c r="BA471">
        <f>IF(COUNT($E$2:$E471)&lt;20,"",SLOPE($E$372:$E$471,$F$372:$F$471))</f>
        <v>0</v>
      </c>
      <c r="BB471">
        <f>IF(COUNT($E$2:$E471)&lt;20,"",INTERCEPT($E$372:$E$471,$F$372:$F$471))</f>
        <v>0</v>
      </c>
      <c r="BC471">
        <f>IF(OR(BA471="",BB471=""),"",BB471+BA471*F471)</f>
        <v>0</v>
      </c>
      <c r="BD471">
        <f>IF(COUNT($E$2:$E471)&lt;20,"",STEYX($E$372:$E$471,$F$372:$F$471))</f>
        <v>0</v>
      </c>
      <c r="BE471">
        <f>IF($E471="","",IF(AND(COUNT($E$472:$E$475)&gt;=4,$C471=MAX($C$467:$C$475)),$C471,""))</f>
        <v>0</v>
      </c>
      <c r="BF471">
        <f>IF($E471="","",IF(AND(COUNT($E$472:$E$475)&gt;=4,$D471=MIN($D$467:$D$475)),$D471,""))</f>
        <v>0</v>
      </c>
      <c r="BG471">
        <f>IF($A471="","",$A471-WEEKDAY($A471,2)+1)</f>
        <v>0</v>
      </c>
      <c r="BH471">
        <f>IF($A471="","",IF($A470="",1,IF(BG471&lt;&gt;BG470,1,0)))</f>
        <v>0</v>
      </c>
      <c r="BI471">
        <f>IF($A471="","",IF($A472="",1,IF(BG472&lt;&gt;BG471,1,0)))</f>
        <v>0</v>
      </c>
      <c r="BJ471">
        <f>IF($A471="","",IF(BH471=1,$B471,BJ470))</f>
        <v>0</v>
      </c>
      <c r="BK471">
        <f>IF($A471="","",IF(BH471=1,$C471,MAX($C471,BK470)))</f>
        <v>0</v>
      </c>
      <c r="BL471">
        <f>IF($A471="","",IF(BH471=1,$D471,MIN($D471,BL470)))</f>
        <v>0</v>
      </c>
      <c r="BM471">
        <f>IF($A471="","",IF(BI471=1,F471,""))</f>
        <v>0</v>
      </c>
      <c r="BN471">
        <f>IF($A471="","",DATE(YEAR($A471),MONTH($A471),1))</f>
        <v>0</v>
      </c>
      <c r="BO471">
        <f>IF($A471="","",IF($A470="",1,IF(BN471&lt;&gt;BN470,1,0)))</f>
        <v>0</v>
      </c>
      <c r="BP471">
        <f>IF($A471="","",IF($A472="",1,IF(BN472&lt;&gt;BN471,1,0)))</f>
        <v>0</v>
      </c>
      <c r="BQ471">
        <f>IF($A471="","",IF(BO471=1,$B471,BQ470))</f>
        <v>0</v>
      </c>
      <c r="BR471">
        <f>IF($A471="","",IF(BO471=1,$C471,MAX($C471,BR470)))</f>
        <v>0</v>
      </c>
      <c r="BS471">
        <f>IF($A471="","",IF(BO471=1,$D471,MIN($D471,BS470)))</f>
        <v>0</v>
      </c>
      <c r="BT471">
        <f>IF($A471="","",IF(BP471=1,F471,""))</f>
        <v>0</v>
      </c>
    </row>
    <row r="472" spans="1:72">
      <c r="A472" s="27">
        <f>IF(Data!$A472="","",Data!$A472)</f>
        <v>0</v>
      </c>
      <c r="B472">
        <f>IF(Data!$B472="","",Data!$B472)</f>
        <v>0</v>
      </c>
      <c r="C472">
        <f>IF(Data!$C472="","",Data!$C472)</f>
        <v>0</v>
      </c>
      <c r="D472">
        <f>IF(Data!$D472="","",Data!$D472)</f>
        <v>0</v>
      </c>
      <c r="E472">
        <f>IF(Data!$E472="","",Data!$E472)</f>
        <v>0</v>
      </c>
      <c r="F472">
        <f>IF($E472="","",N(F471)+1)</f>
        <v>0</v>
      </c>
      <c r="G472">
        <f>IF(OR($E472="",$E471=""),"",LN($E472/$E471))</f>
        <v>0</v>
      </c>
      <c r="H472">
        <f>IF($E472="","",IF($E471="",$E472,$E472*0.0952380952+H471*0.9047619048))</f>
        <v>0</v>
      </c>
      <c r="I472">
        <f>IF($E472="","",IF($E471="",$E472,$E472*0.0392156863+I471*0.9607843137))</f>
        <v>0</v>
      </c>
      <c r="J472">
        <f>IF($E472="","",IF($E471="",$E472,$E472*0.0198019802+J471*0.9801980198))</f>
        <v>0</v>
      </c>
      <c r="K472">
        <f>IF($E472="","",IF($E471="",$E472,$E472*0.0099502488+K471*0.9900497512))</f>
        <v>0</v>
      </c>
      <c r="L472">
        <f>IF(OR($E472="",$E471=""),"",MAX($E472-$E471,0))</f>
        <v>0</v>
      </c>
      <c r="M472">
        <f>IF(OR($E472="",$E471=""),"",MAX($E471-$E472,0))</f>
        <v>0</v>
      </c>
      <c r="N472">
        <f>IF(COUNT($E$2:$E472)&lt;15,"",IF(AVERAGE($M$459:$M$472)=0,100,100-100/(1+AVERAGE($L$459:$L$472)/AVERAGE($M$459:$M$472))))</f>
        <v>0</v>
      </c>
      <c r="O472">
        <f>IF($E472="","",IF($E471="",$E472,$E472*0.1538461538+O471*0.8461538462))</f>
        <v>0</v>
      </c>
      <c r="P472">
        <f>IF($E472="","",IF($E471="",$E472,$E472*0.0740740741+P471*0.9259259259))</f>
        <v>0</v>
      </c>
      <c r="Q472">
        <f>IF(OR(O472="",P472=""),"",O472-P472)</f>
        <v>0</v>
      </c>
      <c r="R472">
        <f>IF(Q472="","",IF(R471="",Q472,Q472*0.2000000000+R471*0.8000000000))</f>
        <v>0</v>
      </c>
      <c r="S472">
        <f>IF(OR(Q472="",R472=""),"",Q472-R472)</f>
        <v>0</v>
      </c>
      <c r="T472">
        <f>IF(COUNT($E$2:$E472)&lt;14,"",MAX($C$459:$C$472))</f>
        <v>0</v>
      </c>
      <c r="U472">
        <f>IF(COUNT($E$2:$E472)&lt;14,"",MIN($D$459:$D$472))</f>
        <v>0</v>
      </c>
      <c r="V472">
        <f>IF(OR(T472="",U472="",T472=U472),"",100*($E472-U472)/(T472-U472))</f>
        <v>0</v>
      </c>
      <c r="W472">
        <f>IF(COUNT($V$470:$V$472)&lt;3,"",AVERAGE($V$470:$V$472))</f>
        <v>0</v>
      </c>
      <c r="X472">
        <f>IF(COUNT($N$459:$N$472)&lt;14,"",MIN($N$459:$N$472))</f>
        <v>0</v>
      </c>
      <c r="Y472">
        <f>IF(COUNT($N$459:$N$472)&lt;14,"",MAX($N$459:$N$472))</f>
        <v>0</v>
      </c>
      <c r="Z472">
        <f>IF(OR(N472="",X472="",Y472="",Y472=X472),"",100*(N472-X472)/(Y472-X472))</f>
        <v>0</v>
      </c>
      <c r="AA472">
        <f>IF(COUNT($Z$470:$Z$472)&lt;3,"",AVERAGE($Z$470:$Z$472))</f>
        <v>0</v>
      </c>
      <c r="AB472">
        <f>IF(COUNT($AA$470:$AA$472)&lt;3,"",AVERAGE($AA$470:$AA$472))</f>
        <v>0</v>
      </c>
      <c r="AC472">
        <f>IF($E472="","",MAX($C472-$D472,ABS($C472-$E471),ABS($D472-$E471)))</f>
        <v>0</v>
      </c>
      <c r="AD472">
        <f>IF(COUNT($E$2:$E472)&lt;15,"",AVERAGE($AC$459:$AC$472))</f>
        <v>0</v>
      </c>
      <c r="AE472">
        <f>IF(OR($E472="",$E471=""),"",IF(AND(($C472-$C471)&gt;($D471-$D472),($C472-$C471)&gt;0),$C472-$C471,0))</f>
        <v>0</v>
      </c>
      <c r="AF472">
        <f>IF(OR($E472="",$E471=""),"",IF(AND(($D471-$D472)&gt;($C472-$C471),($D471-$D472)&gt;0),$D471-$D472,0))</f>
        <v>0</v>
      </c>
      <c r="AG472">
        <f>IF(COUNT($E$2:$E472)&lt;15,"",IF(SUM($AC$459:$AC$472)=0,0,100*SUM($AE$459:$AE$472)/SUM($AC$459:$AC$472)))</f>
        <v>0</v>
      </c>
      <c r="AH472">
        <f>IF(COUNT($E$2:$E472)&lt;15,"",IF(SUM($AC$459:$AC$472)=0,0,100*SUM($AF$459:$AF$472)/SUM($AC$459:$AC$472)))</f>
        <v>0</v>
      </c>
      <c r="AI472">
        <f>IF(OR(AG472="",AH472=""),"",IF((AG472+AH472)=0,0,100*ABS(AG472-AH472)/(AG472+AH472)))</f>
        <v>0</v>
      </c>
      <c r="AJ472">
        <f>IF(COUNT($AI$459:$AI$472)&lt;14,"",AVERAGE($AI$459:$AI$472))</f>
        <v>0</v>
      </c>
      <c r="AK472">
        <f>IF(COUNT($E$2:$E472)&lt;20,"",AVERAGE($E$453:$E$472))</f>
        <v>0</v>
      </c>
      <c r="AL472">
        <f>IF(COUNT($E$2:$E472)&lt;20,"",STDEVP($E$453:$E$472))</f>
        <v>0</v>
      </c>
      <c r="AM472">
        <f>IF(AK472="","",AK472+2*AL472)</f>
        <v>0</v>
      </c>
      <c r="AN472">
        <f>IF(AK472="","",AK472-2*AL472)</f>
        <v>0</v>
      </c>
      <c r="AO472">
        <f>IF(OR(AM472="",AN472="",AM472=AN472),"",($E472-AN472)/(AM472-AN472))</f>
        <v>0</v>
      </c>
      <c r="AP472">
        <f>IF(OR(AM472="",AK472="",AK472=0),"",(AM472-AN472)/AK472)</f>
        <v>0</v>
      </c>
      <c r="AQ472">
        <f>IF(COUNT($E$2:$E472)&lt;20,"",MAX($C$453:$C$472))</f>
        <v>0</v>
      </c>
      <c r="AR472">
        <f>IF(COUNT($E$2:$E472)&lt;20,"",MIN($D$453:$D$472))</f>
        <v>0</v>
      </c>
      <c r="AS472">
        <f>IF(OR(AQ472="",AR472=""),"",(AQ472+AR472)/2)</f>
        <v>0</v>
      </c>
      <c r="AT472">
        <f>IF(COUNT($G$453:$G$472)&lt;20,"",STDEV($G$453:$G$472)*SQRT(252))</f>
        <v>0</v>
      </c>
      <c r="AU472">
        <f>IF(COUNT($E$2:$E472)&lt;9,"",(MAX($C$464:$C$472)+MIN($D$464:$D$472))/2)</f>
        <v>0</v>
      </c>
      <c r="AV472">
        <f>IF(COUNT($E$2:$E472)&lt;26,"",(MAX($C$447:$C$472)+MIN($D$447:$D$472))/2)</f>
        <v>0</v>
      </c>
      <c r="AW472">
        <f>IF(OR(AU472="",AV472=""),"",(AU472+AV472)/2)</f>
        <v>0</v>
      </c>
      <c r="AX472">
        <f>IF(COUNT($E$2:$E472)&lt;52,"",(MAX($C$421:$C$472)+MIN($D$421:$D$472))/2)</f>
        <v>0</v>
      </c>
      <c r="AY472">
        <f>IF(COUNT($E$2:$E472)&lt;20,"",MAX($C$373:$C$472))</f>
        <v>0</v>
      </c>
      <c r="AZ472">
        <f>IF(COUNT($E$2:$E472)&lt;20,"",MIN($D$373:$D$472))</f>
        <v>0</v>
      </c>
      <c r="BA472">
        <f>IF(COUNT($E$2:$E472)&lt;20,"",SLOPE($E$373:$E$472,$F$373:$F$472))</f>
        <v>0</v>
      </c>
      <c r="BB472">
        <f>IF(COUNT($E$2:$E472)&lt;20,"",INTERCEPT($E$373:$E$472,$F$373:$F$472))</f>
        <v>0</v>
      </c>
      <c r="BC472">
        <f>IF(OR(BA472="",BB472=""),"",BB472+BA472*F472)</f>
        <v>0</v>
      </c>
      <c r="BD472">
        <f>IF(COUNT($E$2:$E472)&lt;20,"",STEYX($E$373:$E$472,$F$373:$F$472))</f>
        <v>0</v>
      </c>
      <c r="BE472">
        <f>IF($E472="","",IF(AND(COUNT($E$473:$E$476)&gt;=4,$C472=MAX($C$468:$C$476)),$C472,""))</f>
        <v>0</v>
      </c>
      <c r="BF472">
        <f>IF($E472="","",IF(AND(COUNT($E$473:$E$476)&gt;=4,$D472=MIN($D$468:$D$476)),$D472,""))</f>
        <v>0</v>
      </c>
      <c r="BG472">
        <f>IF($A472="","",$A472-WEEKDAY($A472,2)+1)</f>
        <v>0</v>
      </c>
      <c r="BH472">
        <f>IF($A472="","",IF($A471="",1,IF(BG472&lt;&gt;BG471,1,0)))</f>
        <v>0</v>
      </c>
      <c r="BI472">
        <f>IF($A472="","",IF($A473="",1,IF(BG473&lt;&gt;BG472,1,0)))</f>
        <v>0</v>
      </c>
      <c r="BJ472">
        <f>IF($A472="","",IF(BH472=1,$B472,BJ471))</f>
        <v>0</v>
      </c>
      <c r="BK472">
        <f>IF($A472="","",IF(BH472=1,$C472,MAX($C472,BK471)))</f>
        <v>0</v>
      </c>
      <c r="BL472">
        <f>IF($A472="","",IF(BH472=1,$D472,MIN($D472,BL471)))</f>
        <v>0</v>
      </c>
      <c r="BM472">
        <f>IF($A472="","",IF(BI472=1,F472,""))</f>
        <v>0</v>
      </c>
      <c r="BN472">
        <f>IF($A472="","",DATE(YEAR($A472),MONTH($A472),1))</f>
        <v>0</v>
      </c>
      <c r="BO472">
        <f>IF($A472="","",IF($A471="",1,IF(BN472&lt;&gt;BN471,1,0)))</f>
        <v>0</v>
      </c>
      <c r="BP472">
        <f>IF($A472="","",IF($A473="",1,IF(BN473&lt;&gt;BN472,1,0)))</f>
        <v>0</v>
      </c>
      <c r="BQ472">
        <f>IF($A472="","",IF(BO472=1,$B472,BQ471))</f>
        <v>0</v>
      </c>
      <c r="BR472">
        <f>IF($A472="","",IF(BO472=1,$C472,MAX($C472,BR471)))</f>
        <v>0</v>
      </c>
      <c r="BS472">
        <f>IF($A472="","",IF(BO472=1,$D472,MIN($D472,BS471)))</f>
        <v>0</v>
      </c>
      <c r="BT472">
        <f>IF($A472="","",IF(BP472=1,F472,""))</f>
        <v>0</v>
      </c>
    </row>
    <row r="473" spans="1:72">
      <c r="A473" s="27">
        <f>IF(Data!$A473="","",Data!$A473)</f>
        <v>0</v>
      </c>
      <c r="B473">
        <f>IF(Data!$B473="","",Data!$B473)</f>
        <v>0</v>
      </c>
      <c r="C473">
        <f>IF(Data!$C473="","",Data!$C473)</f>
        <v>0</v>
      </c>
      <c r="D473">
        <f>IF(Data!$D473="","",Data!$D473)</f>
        <v>0</v>
      </c>
      <c r="E473">
        <f>IF(Data!$E473="","",Data!$E473)</f>
        <v>0</v>
      </c>
      <c r="F473">
        <f>IF($E473="","",N(F472)+1)</f>
        <v>0</v>
      </c>
      <c r="G473">
        <f>IF(OR($E473="",$E472=""),"",LN($E473/$E472))</f>
        <v>0</v>
      </c>
      <c r="H473">
        <f>IF($E473="","",IF($E472="",$E473,$E473*0.0952380952+H472*0.9047619048))</f>
        <v>0</v>
      </c>
      <c r="I473">
        <f>IF($E473="","",IF($E472="",$E473,$E473*0.0392156863+I472*0.9607843137))</f>
        <v>0</v>
      </c>
      <c r="J473">
        <f>IF($E473="","",IF($E472="",$E473,$E473*0.0198019802+J472*0.9801980198))</f>
        <v>0</v>
      </c>
      <c r="K473">
        <f>IF($E473="","",IF($E472="",$E473,$E473*0.0099502488+K472*0.9900497512))</f>
        <v>0</v>
      </c>
      <c r="L473">
        <f>IF(OR($E473="",$E472=""),"",MAX($E473-$E472,0))</f>
        <v>0</v>
      </c>
      <c r="M473">
        <f>IF(OR($E473="",$E472=""),"",MAX($E472-$E473,0))</f>
        <v>0</v>
      </c>
      <c r="N473">
        <f>IF(COUNT($E$2:$E473)&lt;15,"",IF(AVERAGE($M$460:$M$473)=0,100,100-100/(1+AVERAGE($L$460:$L$473)/AVERAGE($M$460:$M$473))))</f>
        <v>0</v>
      </c>
      <c r="O473">
        <f>IF($E473="","",IF($E472="",$E473,$E473*0.1538461538+O472*0.8461538462))</f>
        <v>0</v>
      </c>
      <c r="P473">
        <f>IF($E473="","",IF($E472="",$E473,$E473*0.0740740741+P472*0.9259259259))</f>
        <v>0</v>
      </c>
      <c r="Q473">
        <f>IF(OR(O473="",P473=""),"",O473-P473)</f>
        <v>0</v>
      </c>
      <c r="R473">
        <f>IF(Q473="","",IF(R472="",Q473,Q473*0.2000000000+R472*0.8000000000))</f>
        <v>0</v>
      </c>
      <c r="S473">
        <f>IF(OR(Q473="",R473=""),"",Q473-R473)</f>
        <v>0</v>
      </c>
      <c r="T473">
        <f>IF(COUNT($E$2:$E473)&lt;14,"",MAX($C$460:$C$473))</f>
        <v>0</v>
      </c>
      <c r="U473">
        <f>IF(COUNT($E$2:$E473)&lt;14,"",MIN($D$460:$D$473))</f>
        <v>0</v>
      </c>
      <c r="V473">
        <f>IF(OR(T473="",U473="",T473=U473),"",100*($E473-U473)/(T473-U473))</f>
        <v>0</v>
      </c>
      <c r="W473">
        <f>IF(COUNT($V$471:$V$473)&lt;3,"",AVERAGE($V$471:$V$473))</f>
        <v>0</v>
      </c>
      <c r="X473">
        <f>IF(COUNT($N$460:$N$473)&lt;14,"",MIN($N$460:$N$473))</f>
        <v>0</v>
      </c>
      <c r="Y473">
        <f>IF(COUNT($N$460:$N$473)&lt;14,"",MAX($N$460:$N$473))</f>
        <v>0</v>
      </c>
      <c r="Z473">
        <f>IF(OR(N473="",X473="",Y473="",Y473=X473),"",100*(N473-X473)/(Y473-X473))</f>
        <v>0</v>
      </c>
      <c r="AA473">
        <f>IF(COUNT($Z$471:$Z$473)&lt;3,"",AVERAGE($Z$471:$Z$473))</f>
        <v>0</v>
      </c>
      <c r="AB473">
        <f>IF(COUNT($AA$471:$AA$473)&lt;3,"",AVERAGE($AA$471:$AA$473))</f>
        <v>0</v>
      </c>
      <c r="AC473">
        <f>IF($E473="","",MAX($C473-$D473,ABS($C473-$E472),ABS($D473-$E472)))</f>
        <v>0</v>
      </c>
      <c r="AD473">
        <f>IF(COUNT($E$2:$E473)&lt;15,"",AVERAGE($AC$460:$AC$473))</f>
        <v>0</v>
      </c>
      <c r="AE473">
        <f>IF(OR($E473="",$E472=""),"",IF(AND(($C473-$C472)&gt;($D472-$D473),($C473-$C472)&gt;0),$C473-$C472,0))</f>
        <v>0</v>
      </c>
      <c r="AF473">
        <f>IF(OR($E473="",$E472=""),"",IF(AND(($D472-$D473)&gt;($C473-$C472),($D472-$D473)&gt;0),$D472-$D473,0))</f>
        <v>0</v>
      </c>
      <c r="AG473">
        <f>IF(COUNT($E$2:$E473)&lt;15,"",IF(SUM($AC$460:$AC$473)=0,0,100*SUM($AE$460:$AE$473)/SUM($AC$460:$AC$473)))</f>
        <v>0</v>
      </c>
      <c r="AH473">
        <f>IF(COUNT($E$2:$E473)&lt;15,"",IF(SUM($AC$460:$AC$473)=0,0,100*SUM($AF$460:$AF$473)/SUM($AC$460:$AC$473)))</f>
        <v>0</v>
      </c>
      <c r="AI473">
        <f>IF(OR(AG473="",AH473=""),"",IF((AG473+AH473)=0,0,100*ABS(AG473-AH473)/(AG473+AH473)))</f>
        <v>0</v>
      </c>
      <c r="AJ473">
        <f>IF(COUNT($AI$460:$AI$473)&lt;14,"",AVERAGE($AI$460:$AI$473))</f>
        <v>0</v>
      </c>
      <c r="AK473">
        <f>IF(COUNT($E$2:$E473)&lt;20,"",AVERAGE($E$454:$E$473))</f>
        <v>0</v>
      </c>
      <c r="AL473">
        <f>IF(COUNT($E$2:$E473)&lt;20,"",STDEVP($E$454:$E$473))</f>
        <v>0</v>
      </c>
      <c r="AM473">
        <f>IF(AK473="","",AK473+2*AL473)</f>
        <v>0</v>
      </c>
      <c r="AN473">
        <f>IF(AK473="","",AK473-2*AL473)</f>
        <v>0</v>
      </c>
      <c r="AO473">
        <f>IF(OR(AM473="",AN473="",AM473=AN473),"",($E473-AN473)/(AM473-AN473))</f>
        <v>0</v>
      </c>
      <c r="AP473">
        <f>IF(OR(AM473="",AK473="",AK473=0),"",(AM473-AN473)/AK473)</f>
        <v>0</v>
      </c>
      <c r="AQ473">
        <f>IF(COUNT($E$2:$E473)&lt;20,"",MAX($C$454:$C$473))</f>
        <v>0</v>
      </c>
      <c r="AR473">
        <f>IF(COUNT($E$2:$E473)&lt;20,"",MIN($D$454:$D$473))</f>
        <v>0</v>
      </c>
      <c r="AS473">
        <f>IF(OR(AQ473="",AR473=""),"",(AQ473+AR473)/2)</f>
        <v>0</v>
      </c>
      <c r="AT473">
        <f>IF(COUNT($G$454:$G$473)&lt;20,"",STDEV($G$454:$G$473)*SQRT(252))</f>
        <v>0</v>
      </c>
      <c r="AU473">
        <f>IF(COUNT($E$2:$E473)&lt;9,"",(MAX($C$465:$C$473)+MIN($D$465:$D$473))/2)</f>
        <v>0</v>
      </c>
      <c r="AV473">
        <f>IF(COUNT($E$2:$E473)&lt;26,"",(MAX($C$448:$C$473)+MIN($D$448:$D$473))/2)</f>
        <v>0</v>
      </c>
      <c r="AW473">
        <f>IF(OR(AU473="",AV473=""),"",(AU473+AV473)/2)</f>
        <v>0</v>
      </c>
      <c r="AX473">
        <f>IF(COUNT($E$2:$E473)&lt;52,"",(MAX($C$422:$C$473)+MIN($D$422:$D$473))/2)</f>
        <v>0</v>
      </c>
      <c r="AY473">
        <f>IF(COUNT($E$2:$E473)&lt;20,"",MAX($C$374:$C$473))</f>
        <v>0</v>
      </c>
      <c r="AZ473">
        <f>IF(COUNT($E$2:$E473)&lt;20,"",MIN($D$374:$D$473))</f>
        <v>0</v>
      </c>
      <c r="BA473">
        <f>IF(COUNT($E$2:$E473)&lt;20,"",SLOPE($E$374:$E$473,$F$374:$F$473))</f>
        <v>0</v>
      </c>
      <c r="BB473">
        <f>IF(COUNT($E$2:$E473)&lt;20,"",INTERCEPT($E$374:$E$473,$F$374:$F$473))</f>
        <v>0</v>
      </c>
      <c r="BC473">
        <f>IF(OR(BA473="",BB473=""),"",BB473+BA473*F473)</f>
        <v>0</v>
      </c>
      <c r="BD473">
        <f>IF(COUNT($E$2:$E473)&lt;20,"",STEYX($E$374:$E$473,$F$374:$F$473))</f>
        <v>0</v>
      </c>
      <c r="BE473">
        <f>IF($E473="","",IF(AND(COUNT($E$474:$E$477)&gt;=4,$C473=MAX($C$469:$C$477)),$C473,""))</f>
        <v>0</v>
      </c>
      <c r="BF473">
        <f>IF($E473="","",IF(AND(COUNT($E$474:$E$477)&gt;=4,$D473=MIN($D$469:$D$477)),$D473,""))</f>
        <v>0</v>
      </c>
      <c r="BG473">
        <f>IF($A473="","",$A473-WEEKDAY($A473,2)+1)</f>
        <v>0</v>
      </c>
      <c r="BH473">
        <f>IF($A473="","",IF($A472="",1,IF(BG473&lt;&gt;BG472,1,0)))</f>
        <v>0</v>
      </c>
      <c r="BI473">
        <f>IF($A473="","",IF($A474="",1,IF(BG474&lt;&gt;BG473,1,0)))</f>
        <v>0</v>
      </c>
      <c r="BJ473">
        <f>IF($A473="","",IF(BH473=1,$B473,BJ472))</f>
        <v>0</v>
      </c>
      <c r="BK473">
        <f>IF($A473="","",IF(BH473=1,$C473,MAX($C473,BK472)))</f>
        <v>0</v>
      </c>
      <c r="BL473">
        <f>IF($A473="","",IF(BH473=1,$D473,MIN($D473,BL472)))</f>
        <v>0</v>
      </c>
      <c r="BM473">
        <f>IF($A473="","",IF(BI473=1,F473,""))</f>
        <v>0</v>
      </c>
      <c r="BN473">
        <f>IF($A473="","",DATE(YEAR($A473),MONTH($A473),1))</f>
        <v>0</v>
      </c>
      <c r="BO473">
        <f>IF($A473="","",IF($A472="",1,IF(BN473&lt;&gt;BN472,1,0)))</f>
        <v>0</v>
      </c>
      <c r="BP473">
        <f>IF($A473="","",IF($A474="",1,IF(BN474&lt;&gt;BN473,1,0)))</f>
        <v>0</v>
      </c>
      <c r="BQ473">
        <f>IF($A473="","",IF(BO473=1,$B473,BQ472))</f>
        <v>0</v>
      </c>
      <c r="BR473">
        <f>IF($A473="","",IF(BO473=1,$C473,MAX($C473,BR472)))</f>
        <v>0</v>
      </c>
      <c r="BS473">
        <f>IF($A473="","",IF(BO473=1,$D473,MIN($D473,BS472)))</f>
        <v>0</v>
      </c>
      <c r="BT473">
        <f>IF($A473="","",IF(BP473=1,F473,""))</f>
        <v>0</v>
      </c>
    </row>
    <row r="474" spans="1:72">
      <c r="A474" s="27">
        <f>IF(Data!$A474="","",Data!$A474)</f>
        <v>0</v>
      </c>
      <c r="B474">
        <f>IF(Data!$B474="","",Data!$B474)</f>
        <v>0</v>
      </c>
      <c r="C474">
        <f>IF(Data!$C474="","",Data!$C474)</f>
        <v>0</v>
      </c>
      <c r="D474">
        <f>IF(Data!$D474="","",Data!$D474)</f>
        <v>0</v>
      </c>
      <c r="E474">
        <f>IF(Data!$E474="","",Data!$E474)</f>
        <v>0</v>
      </c>
      <c r="F474">
        <f>IF($E474="","",N(F473)+1)</f>
        <v>0</v>
      </c>
      <c r="G474">
        <f>IF(OR($E474="",$E473=""),"",LN($E474/$E473))</f>
        <v>0</v>
      </c>
      <c r="H474">
        <f>IF($E474="","",IF($E473="",$E474,$E474*0.0952380952+H473*0.9047619048))</f>
        <v>0</v>
      </c>
      <c r="I474">
        <f>IF($E474="","",IF($E473="",$E474,$E474*0.0392156863+I473*0.9607843137))</f>
        <v>0</v>
      </c>
      <c r="J474">
        <f>IF($E474="","",IF($E473="",$E474,$E474*0.0198019802+J473*0.9801980198))</f>
        <v>0</v>
      </c>
      <c r="K474">
        <f>IF($E474="","",IF($E473="",$E474,$E474*0.0099502488+K473*0.9900497512))</f>
        <v>0</v>
      </c>
      <c r="L474">
        <f>IF(OR($E474="",$E473=""),"",MAX($E474-$E473,0))</f>
        <v>0</v>
      </c>
      <c r="M474">
        <f>IF(OR($E474="",$E473=""),"",MAX($E473-$E474,0))</f>
        <v>0</v>
      </c>
      <c r="N474">
        <f>IF(COUNT($E$2:$E474)&lt;15,"",IF(AVERAGE($M$461:$M$474)=0,100,100-100/(1+AVERAGE($L$461:$L$474)/AVERAGE($M$461:$M$474))))</f>
        <v>0</v>
      </c>
      <c r="O474">
        <f>IF($E474="","",IF($E473="",$E474,$E474*0.1538461538+O473*0.8461538462))</f>
        <v>0</v>
      </c>
      <c r="P474">
        <f>IF($E474="","",IF($E473="",$E474,$E474*0.0740740741+P473*0.9259259259))</f>
        <v>0</v>
      </c>
      <c r="Q474">
        <f>IF(OR(O474="",P474=""),"",O474-P474)</f>
        <v>0</v>
      </c>
      <c r="R474">
        <f>IF(Q474="","",IF(R473="",Q474,Q474*0.2000000000+R473*0.8000000000))</f>
        <v>0</v>
      </c>
      <c r="S474">
        <f>IF(OR(Q474="",R474=""),"",Q474-R474)</f>
        <v>0</v>
      </c>
      <c r="T474">
        <f>IF(COUNT($E$2:$E474)&lt;14,"",MAX($C$461:$C$474))</f>
        <v>0</v>
      </c>
      <c r="U474">
        <f>IF(COUNT($E$2:$E474)&lt;14,"",MIN($D$461:$D$474))</f>
        <v>0</v>
      </c>
      <c r="V474">
        <f>IF(OR(T474="",U474="",T474=U474),"",100*($E474-U474)/(T474-U474))</f>
        <v>0</v>
      </c>
      <c r="W474">
        <f>IF(COUNT($V$472:$V$474)&lt;3,"",AVERAGE($V$472:$V$474))</f>
        <v>0</v>
      </c>
      <c r="X474">
        <f>IF(COUNT($N$461:$N$474)&lt;14,"",MIN($N$461:$N$474))</f>
        <v>0</v>
      </c>
      <c r="Y474">
        <f>IF(COUNT($N$461:$N$474)&lt;14,"",MAX($N$461:$N$474))</f>
        <v>0</v>
      </c>
      <c r="Z474">
        <f>IF(OR(N474="",X474="",Y474="",Y474=X474),"",100*(N474-X474)/(Y474-X474))</f>
        <v>0</v>
      </c>
      <c r="AA474">
        <f>IF(COUNT($Z$472:$Z$474)&lt;3,"",AVERAGE($Z$472:$Z$474))</f>
        <v>0</v>
      </c>
      <c r="AB474">
        <f>IF(COUNT($AA$472:$AA$474)&lt;3,"",AVERAGE($AA$472:$AA$474))</f>
        <v>0</v>
      </c>
      <c r="AC474">
        <f>IF($E474="","",MAX($C474-$D474,ABS($C474-$E473),ABS($D474-$E473)))</f>
        <v>0</v>
      </c>
      <c r="AD474">
        <f>IF(COUNT($E$2:$E474)&lt;15,"",AVERAGE($AC$461:$AC$474))</f>
        <v>0</v>
      </c>
      <c r="AE474">
        <f>IF(OR($E474="",$E473=""),"",IF(AND(($C474-$C473)&gt;($D473-$D474),($C474-$C473)&gt;0),$C474-$C473,0))</f>
        <v>0</v>
      </c>
      <c r="AF474">
        <f>IF(OR($E474="",$E473=""),"",IF(AND(($D473-$D474)&gt;($C474-$C473),($D473-$D474)&gt;0),$D473-$D474,0))</f>
        <v>0</v>
      </c>
      <c r="AG474">
        <f>IF(COUNT($E$2:$E474)&lt;15,"",IF(SUM($AC$461:$AC$474)=0,0,100*SUM($AE$461:$AE$474)/SUM($AC$461:$AC$474)))</f>
        <v>0</v>
      </c>
      <c r="AH474">
        <f>IF(COUNT($E$2:$E474)&lt;15,"",IF(SUM($AC$461:$AC$474)=0,0,100*SUM($AF$461:$AF$474)/SUM($AC$461:$AC$474)))</f>
        <v>0</v>
      </c>
      <c r="AI474">
        <f>IF(OR(AG474="",AH474=""),"",IF((AG474+AH474)=0,0,100*ABS(AG474-AH474)/(AG474+AH474)))</f>
        <v>0</v>
      </c>
      <c r="AJ474">
        <f>IF(COUNT($AI$461:$AI$474)&lt;14,"",AVERAGE($AI$461:$AI$474))</f>
        <v>0</v>
      </c>
      <c r="AK474">
        <f>IF(COUNT($E$2:$E474)&lt;20,"",AVERAGE($E$455:$E$474))</f>
        <v>0</v>
      </c>
      <c r="AL474">
        <f>IF(COUNT($E$2:$E474)&lt;20,"",STDEVP($E$455:$E$474))</f>
        <v>0</v>
      </c>
      <c r="AM474">
        <f>IF(AK474="","",AK474+2*AL474)</f>
        <v>0</v>
      </c>
      <c r="AN474">
        <f>IF(AK474="","",AK474-2*AL474)</f>
        <v>0</v>
      </c>
      <c r="AO474">
        <f>IF(OR(AM474="",AN474="",AM474=AN474),"",($E474-AN474)/(AM474-AN474))</f>
        <v>0</v>
      </c>
      <c r="AP474">
        <f>IF(OR(AM474="",AK474="",AK474=0),"",(AM474-AN474)/AK474)</f>
        <v>0</v>
      </c>
      <c r="AQ474">
        <f>IF(COUNT($E$2:$E474)&lt;20,"",MAX($C$455:$C$474))</f>
        <v>0</v>
      </c>
      <c r="AR474">
        <f>IF(COUNT($E$2:$E474)&lt;20,"",MIN($D$455:$D$474))</f>
        <v>0</v>
      </c>
      <c r="AS474">
        <f>IF(OR(AQ474="",AR474=""),"",(AQ474+AR474)/2)</f>
        <v>0</v>
      </c>
      <c r="AT474">
        <f>IF(COUNT($G$455:$G$474)&lt;20,"",STDEV($G$455:$G$474)*SQRT(252))</f>
        <v>0</v>
      </c>
      <c r="AU474">
        <f>IF(COUNT($E$2:$E474)&lt;9,"",(MAX($C$466:$C$474)+MIN($D$466:$D$474))/2)</f>
        <v>0</v>
      </c>
      <c r="AV474">
        <f>IF(COUNT($E$2:$E474)&lt;26,"",(MAX($C$449:$C$474)+MIN($D$449:$D$474))/2)</f>
        <v>0</v>
      </c>
      <c r="AW474">
        <f>IF(OR(AU474="",AV474=""),"",(AU474+AV474)/2)</f>
        <v>0</v>
      </c>
      <c r="AX474">
        <f>IF(COUNT($E$2:$E474)&lt;52,"",(MAX($C$423:$C$474)+MIN($D$423:$D$474))/2)</f>
        <v>0</v>
      </c>
      <c r="AY474">
        <f>IF(COUNT($E$2:$E474)&lt;20,"",MAX($C$375:$C$474))</f>
        <v>0</v>
      </c>
      <c r="AZ474">
        <f>IF(COUNT($E$2:$E474)&lt;20,"",MIN($D$375:$D$474))</f>
        <v>0</v>
      </c>
      <c r="BA474">
        <f>IF(COUNT($E$2:$E474)&lt;20,"",SLOPE($E$375:$E$474,$F$375:$F$474))</f>
        <v>0</v>
      </c>
      <c r="BB474">
        <f>IF(COUNT($E$2:$E474)&lt;20,"",INTERCEPT($E$375:$E$474,$F$375:$F$474))</f>
        <v>0</v>
      </c>
      <c r="BC474">
        <f>IF(OR(BA474="",BB474=""),"",BB474+BA474*F474)</f>
        <v>0</v>
      </c>
      <c r="BD474">
        <f>IF(COUNT($E$2:$E474)&lt;20,"",STEYX($E$375:$E$474,$F$375:$F$474))</f>
        <v>0</v>
      </c>
      <c r="BE474">
        <f>IF($E474="","",IF(AND(COUNT($E$475:$E$478)&gt;=4,$C474=MAX($C$470:$C$478)),$C474,""))</f>
        <v>0</v>
      </c>
      <c r="BF474">
        <f>IF($E474="","",IF(AND(COUNT($E$475:$E$478)&gt;=4,$D474=MIN($D$470:$D$478)),$D474,""))</f>
        <v>0</v>
      </c>
      <c r="BG474">
        <f>IF($A474="","",$A474-WEEKDAY($A474,2)+1)</f>
        <v>0</v>
      </c>
      <c r="BH474">
        <f>IF($A474="","",IF($A473="",1,IF(BG474&lt;&gt;BG473,1,0)))</f>
        <v>0</v>
      </c>
      <c r="BI474">
        <f>IF($A474="","",IF($A475="",1,IF(BG475&lt;&gt;BG474,1,0)))</f>
        <v>0</v>
      </c>
      <c r="BJ474">
        <f>IF($A474="","",IF(BH474=1,$B474,BJ473))</f>
        <v>0</v>
      </c>
      <c r="BK474">
        <f>IF($A474="","",IF(BH474=1,$C474,MAX($C474,BK473)))</f>
        <v>0</v>
      </c>
      <c r="BL474">
        <f>IF($A474="","",IF(BH474=1,$D474,MIN($D474,BL473)))</f>
        <v>0</v>
      </c>
      <c r="BM474">
        <f>IF($A474="","",IF(BI474=1,F474,""))</f>
        <v>0</v>
      </c>
      <c r="BN474">
        <f>IF($A474="","",DATE(YEAR($A474),MONTH($A474),1))</f>
        <v>0</v>
      </c>
      <c r="BO474">
        <f>IF($A474="","",IF($A473="",1,IF(BN474&lt;&gt;BN473,1,0)))</f>
        <v>0</v>
      </c>
      <c r="BP474">
        <f>IF($A474="","",IF($A475="",1,IF(BN475&lt;&gt;BN474,1,0)))</f>
        <v>0</v>
      </c>
      <c r="BQ474">
        <f>IF($A474="","",IF(BO474=1,$B474,BQ473))</f>
        <v>0</v>
      </c>
      <c r="BR474">
        <f>IF($A474="","",IF(BO474=1,$C474,MAX($C474,BR473)))</f>
        <v>0</v>
      </c>
      <c r="BS474">
        <f>IF($A474="","",IF(BO474=1,$D474,MIN($D474,BS473)))</f>
        <v>0</v>
      </c>
      <c r="BT474">
        <f>IF($A474="","",IF(BP474=1,F474,""))</f>
        <v>0</v>
      </c>
    </row>
    <row r="475" spans="1:72">
      <c r="A475" s="27">
        <f>IF(Data!$A475="","",Data!$A475)</f>
        <v>0</v>
      </c>
      <c r="B475">
        <f>IF(Data!$B475="","",Data!$B475)</f>
        <v>0</v>
      </c>
      <c r="C475">
        <f>IF(Data!$C475="","",Data!$C475)</f>
        <v>0</v>
      </c>
      <c r="D475">
        <f>IF(Data!$D475="","",Data!$D475)</f>
        <v>0</v>
      </c>
      <c r="E475">
        <f>IF(Data!$E475="","",Data!$E475)</f>
        <v>0</v>
      </c>
      <c r="F475">
        <f>IF($E475="","",N(F474)+1)</f>
        <v>0</v>
      </c>
      <c r="G475">
        <f>IF(OR($E475="",$E474=""),"",LN($E475/$E474))</f>
        <v>0</v>
      </c>
      <c r="H475">
        <f>IF($E475="","",IF($E474="",$E475,$E475*0.0952380952+H474*0.9047619048))</f>
        <v>0</v>
      </c>
      <c r="I475">
        <f>IF($E475="","",IF($E474="",$E475,$E475*0.0392156863+I474*0.9607843137))</f>
        <v>0</v>
      </c>
      <c r="J475">
        <f>IF($E475="","",IF($E474="",$E475,$E475*0.0198019802+J474*0.9801980198))</f>
        <v>0</v>
      </c>
      <c r="K475">
        <f>IF($E475="","",IF($E474="",$E475,$E475*0.0099502488+K474*0.9900497512))</f>
        <v>0</v>
      </c>
      <c r="L475">
        <f>IF(OR($E475="",$E474=""),"",MAX($E475-$E474,0))</f>
        <v>0</v>
      </c>
      <c r="M475">
        <f>IF(OR($E475="",$E474=""),"",MAX($E474-$E475,0))</f>
        <v>0</v>
      </c>
      <c r="N475">
        <f>IF(COUNT($E$2:$E475)&lt;15,"",IF(AVERAGE($M$462:$M$475)=0,100,100-100/(1+AVERAGE($L$462:$L$475)/AVERAGE($M$462:$M$475))))</f>
        <v>0</v>
      </c>
      <c r="O475">
        <f>IF($E475="","",IF($E474="",$E475,$E475*0.1538461538+O474*0.8461538462))</f>
        <v>0</v>
      </c>
      <c r="P475">
        <f>IF($E475="","",IF($E474="",$E475,$E475*0.0740740741+P474*0.9259259259))</f>
        <v>0</v>
      </c>
      <c r="Q475">
        <f>IF(OR(O475="",P475=""),"",O475-P475)</f>
        <v>0</v>
      </c>
      <c r="R475">
        <f>IF(Q475="","",IF(R474="",Q475,Q475*0.2000000000+R474*0.8000000000))</f>
        <v>0</v>
      </c>
      <c r="S475">
        <f>IF(OR(Q475="",R475=""),"",Q475-R475)</f>
        <v>0</v>
      </c>
      <c r="T475">
        <f>IF(COUNT($E$2:$E475)&lt;14,"",MAX($C$462:$C$475))</f>
        <v>0</v>
      </c>
      <c r="U475">
        <f>IF(COUNT($E$2:$E475)&lt;14,"",MIN($D$462:$D$475))</f>
        <v>0</v>
      </c>
      <c r="V475">
        <f>IF(OR(T475="",U475="",T475=U475),"",100*($E475-U475)/(T475-U475))</f>
        <v>0</v>
      </c>
      <c r="W475">
        <f>IF(COUNT($V$473:$V$475)&lt;3,"",AVERAGE($V$473:$V$475))</f>
        <v>0</v>
      </c>
      <c r="X475">
        <f>IF(COUNT($N$462:$N$475)&lt;14,"",MIN($N$462:$N$475))</f>
        <v>0</v>
      </c>
      <c r="Y475">
        <f>IF(COUNT($N$462:$N$475)&lt;14,"",MAX($N$462:$N$475))</f>
        <v>0</v>
      </c>
      <c r="Z475">
        <f>IF(OR(N475="",X475="",Y475="",Y475=X475),"",100*(N475-X475)/(Y475-X475))</f>
        <v>0</v>
      </c>
      <c r="AA475">
        <f>IF(COUNT($Z$473:$Z$475)&lt;3,"",AVERAGE($Z$473:$Z$475))</f>
        <v>0</v>
      </c>
      <c r="AB475">
        <f>IF(COUNT($AA$473:$AA$475)&lt;3,"",AVERAGE($AA$473:$AA$475))</f>
        <v>0</v>
      </c>
      <c r="AC475">
        <f>IF($E475="","",MAX($C475-$D475,ABS($C475-$E474),ABS($D475-$E474)))</f>
        <v>0</v>
      </c>
      <c r="AD475">
        <f>IF(COUNT($E$2:$E475)&lt;15,"",AVERAGE($AC$462:$AC$475))</f>
        <v>0</v>
      </c>
      <c r="AE475">
        <f>IF(OR($E475="",$E474=""),"",IF(AND(($C475-$C474)&gt;($D474-$D475),($C475-$C474)&gt;0),$C475-$C474,0))</f>
        <v>0</v>
      </c>
      <c r="AF475">
        <f>IF(OR($E475="",$E474=""),"",IF(AND(($D474-$D475)&gt;($C475-$C474),($D474-$D475)&gt;0),$D474-$D475,0))</f>
        <v>0</v>
      </c>
      <c r="AG475">
        <f>IF(COUNT($E$2:$E475)&lt;15,"",IF(SUM($AC$462:$AC$475)=0,0,100*SUM($AE$462:$AE$475)/SUM($AC$462:$AC$475)))</f>
        <v>0</v>
      </c>
      <c r="AH475">
        <f>IF(COUNT($E$2:$E475)&lt;15,"",IF(SUM($AC$462:$AC$475)=0,0,100*SUM($AF$462:$AF$475)/SUM($AC$462:$AC$475)))</f>
        <v>0</v>
      </c>
      <c r="AI475">
        <f>IF(OR(AG475="",AH475=""),"",IF((AG475+AH475)=0,0,100*ABS(AG475-AH475)/(AG475+AH475)))</f>
        <v>0</v>
      </c>
      <c r="AJ475">
        <f>IF(COUNT($AI$462:$AI$475)&lt;14,"",AVERAGE($AI$462:$AI$475))</f>
        <v>0</v>
      </c>
      <c r="AK475">
        <f>IF(COUNT($E$2:$E475)&lt;20,"",AVERAGE($E$456:$E$475))</f>
        <v>0</v>
      </c>
      <c r="AL475">
        <f>IF(COUNT($E$2:$E475)&lt;20,"",STDEVP($E$456:$E$475))</f>
        <v>0</v>
      </c>
      <c r="AM475">
        <f>IF(AK475="","",AK475+2*AL475)</f>
        <v>0</v>
      </c>
      <c r="AN475">
        <f>IF(AK475="","",AK475-2*AL475)</f>
        <v>0</v>
      </c>
      <c r="AO475">
        <f>IF(OR(AM475="",AN475="",AM475=AN475),"",($E475-AN475)/(AM475-AN475))</f>
        <v>0</v>
      </c>
      <c r="AP475">
        <f>IF(OR(AM475="",AK475="",AK475=0),"",(AM475-AN475)/AK475)</f>
        <v>0</v>
      </c>
      <c r="AQ475">
        <f>IF(COUNT($E$2:$E475)&lt;20,"",MAX($C$456:$C$475))</f>
        <v>0</v>
      </c>
      <c r="AR475">
        <f>IF(COUNT($E$2:$E475)&lt;20,"",MIN($D$456:$D$475))</f>
        <v>0</v>
      </c>
      <c r="AS475">
        <f>IF(OR(AQ475="",AR475=""),"",(AQ475+AR475)/2)</f>
        <v>0</v>
      </c>
      <c r="AT475">
        <f>IF(COUNT($G$456:$G$475)&lt;20,"",STDEV($G$456:$G$475)*SQRT(252))</f>
        <v>0</v>
      </c>
      <c r="AU475">
        <f>IF(COUNT($E$2:$E475)&lt;9,"",(MAX($C$467:$C$475)+MIN($D$467:$D$475))/2)</f>
        <v>0</v>
      </c>
      <c r="AV475">
        <f>IF(COUNT($E$2:$E475)&lt;26,"",(MAX($C$450:$C$475)+MIN($D$450:$D$475))/2)</f>
        <v>0</v>
      </c>
      <c r="AW475">
        <f>IF(OR(AU475="",AV475=""),"",(AU475+AV475)/2)</f>
        <v>0</v>
      </c>
      <c r="AX475">
        <f>IF(COUNT($E$2:$E475)&lt;52,"",(MAX($C$424:$C$475)+MIN($D$424:$D$475))/2)</f>
        <v>0</v>
      </c>
      <c r="AY475">
        <f>IF(COUNT($E$2:$E475)&lt;20,"",MAX($C$376:$C$475))</f>
        <v>0</v>
      </c>
      <c r="AZ475">
        <f>IF(COUNT($E$2:$E475)&lt;20,"",MIN($D$376:$D$475))</f>
        <v>0</v>
      </c>
      <c r="BA475">
        <f>IF(COUNT($E$2:$E475)&lt;20,"",SLOPE($E$376:$E$475,$F$376:$F$475))</f>
        <v>0</v>
      </c>
      <c r="BB475">
        <f>IF(COUNT($E$2:$E475)&lt;20,"",INTERCEPT($E$376:$E$475,$F$376:$F$475))</f>
        <v>0</v>
      </c>
      <c r="BC475">
        <f>IF(OR(BA475="",BB475=""),"",BB475+BA475*F475)</f>
        <v>0</v>
      </c>
      <c r="BD475">
        <f>IF(COUNT($E$2:$E475)&lt;20,"",STEYX($E$376:$E$475,$F$376:$F$475))</f>
        <v>0</v>
      </c>
      <c r="BE475">
        <f>IF($E475="","",IF(AND(COUNT($E$476:$E$479)&gt;=4,$C475=MAX($C$471:$C$479)),$C475,""))</f>
        <v>0</v>
      </c>
      <c r="BF475">
        <f>IF($E475="","",IF(AND(COUNT($E$476:$E$479)&gt;=4,$D475=MIN($D$471:$D$479)),$D475,""))</f>
        <v>0</v>
      </c>
      <c r="BG475">
        <f>IF($A475="","",$A475-WEEKDAY($A475,2)+1)</f>
        <v>0</v>
      </c>
      <c r="BH475">
        <f>IF($A475="","",IF($A474="",1,IF(BG475&lt;&gt;BG474,1,0)))</f>
        <v>0</v>
      </c>
      <c r="BI475">
        <f>IF($A475="","",IF($A476="",1,IF(BG476&lt;&gt;BG475,1,0)))</f>
        <v>0</v>
      </c>
      <c r="BJ475">
        <f>IF($A475="","",IF(BH475=1,$B475,BJ474))</f>
        <v>0</v>
      </c>
      <c r="BK475">
        <f>IF($A475="","",IF(BH475=1,$C475,MAX($C475,BK474)))</f>
        <v>0</v>
      </c>
      <c r="BL475">
        <f>IF($A475="","",IF(BH475=1,$D475,MIN($D475,BL474)))</f>
        <v>0</v>
      </c>
      <c r="BM475">
        <f>IF($A475="","",IF(BI475=1,F475,""))</f>
        <v>0</v>
      </c>
      <c r="BN475">
        <f>IF($A475="","",DATE(YEAR($A475),MONTH($A475),1))</f>
        <v>0</v>
      </c>
      <c r="BO475">
        <f>IF($A475="","",IF($A474="",1,IF(BN475&lt;&gt;BN474,1,0)))</f>
        <v>0</v>
      </c>
      <c r="BP475">
        <f>IF($A475="","",IF($A476="",1,IF(BN476&lt;&gt;BN475,1,0)))</f>
        <v>0</v>
      </c>
      <c r="BQ475">
        <f>IF($A475="","",IF(BO475=1,$B475,BQ474))</f>
        <v>0</v>
      </c>
      <c r="BR475">
        <f>IF($A475="","",IF(BO475=1,$C475,MAX($C475,BR474)))</f>
        <v>0</v>
      </c>
      <c r="BS475">
        <f>IF($A475="","",IF(BO475=1,$D475,MIN($D475,BS474)))</f>
        <v>0</v>
      </c>
      <c r="BT475">
        <f>IF($A475="","",IF(BP475=1,F475,""))</f>
        <v>0</v>
      </c>
    </row>
    <row r="476" spans="1:72">
      <c r="A476" s="27">
        <f>IF(Data!$A476="","",Data!$A476)</f>
        <v>0</v>
      </c>
      <c r="B476">
        <f>IF(Data!$B476="","",Data!$B476)</f>
        <v>0</v>
      </c>
      <c r="C476">
        <f>IF(Data!$C476="","",Data!$C476)</f>
        <v>0</v>
      </c>
      <c r="D476">
        <f>IF(Data!$D476="","",Data!$D476)</f>
        <v>0</v>
      </c>
      <c r="E476">
        <f>IF(Data!$E476="","",Data!$E476)</f>
        <v>0</v>
      </c>
      <c r="F476">
        <f>IF($E476="","",N(F475)+1)</f>
        <v>0</v>
      </c>
      <c r="G476">
        <f>IF(OR($E476="",$E475=""),"",LN($E476/$E475))</f>
        <v>0</v>
      </c>
      <c r="H476">
        <f>IF($E476="","",IF($E475="",$E476,$E476*0.0952380952+H475*0.9047619048))</f>
        <v>0</v>
      </c>
      <c r="I476">
        <f>IF($E476="","",IF($E475="",$E476,$E476*0.0392156863+I475*0.9607843137))</f>
        <v>0</v>
      </c>
      <c r="J476">
        <f>IF($E476="","",IF($E475="",$E476,$E476*0.0198019802+J475*0.9801980198))</f>
        <v>0</v>
      </c>
      <c r="K476">
        <f>IF($E476="","",IF($E475="",$E476,$E476*0.0099502488+K475*0.9900497512))</f>
        <v>0</v>
      </c>
      <c r="L476">
        <f>IF(OR($E476="",$E475=""),"",MAX($E476-$E475,0))</f>
        <v>0</v>
      </c>
      <c r="M476">
        <f>IF(OR($E476="",$E475=""),"",MAX($E475-$E476,0))</f>
        <v>0</v>
      </c>
      <c r="N476">
        <f>IF(COUNT($E$2:$E476)&lt;15,"",IF(AVERAGE($M$463:$M$476)=0,100,100-100/(1+AVERAGE($L$463:$L$476)/AVERAGE($M$463:$M$476))))</f>
        <v>0</v>
      </c>
      <c r="O476">
        <f>IF($E476="","",IF($E475="",$E476,$E476*0.1538461538+O475*0.8461538462))</f>
        <v>0</v>
      </c>
      <c r="P476">
        <f>IF($E476="","",IF($E475="",$E476,$E476*0.0740740741+P475*0.9259259259))</f>
        <v>0</v>
      </c>
      <c r="Q476">
        <f>IF(OR(O476="",P476=""),"",O476-P476)</f>
        <v>0</v>
      </c>
      <c r="R476">
        <f>IF(Q476="","",IF(R475="",Q476,Q476*0.2000000000+R475*0.8000000000))</f>
        <v>0</v>
      </c>
      <c r="S476">
        <f>IF(OR(Q476="",R476=""),"",Q476-R476)</f>
        <v>0</v>
      </c>
      <c r="T476">
        <f>IF(COUNT($E$2:$E476)&lt;14,"",MAX($C$463:$C$476))</f>
        <v>0</v>
      </c>
      <c r="U476">
        <f>IF(COUNT($E$2:$E476)&lt;14,"",MIN($D$463:$D$476))</f>
        <v>0</v>
      </c>
      <c r="V476">
        <f>IF(OR(T476="",U476="",T476=U476),"",100*($E476-U476)/(T476-U476))</f>
        <v>0</v>
      </c>
      <c r="W476">
        <f>IF(COUNT($V$474:$V$476)&lt;3,"",AVERAGE($V$474:$V$476))</f>
        <v>0</v>
      </c>
      <c r="X476">
        <f>IF(COUNT($N$463:$N$476)&lt;14,"",MIN($N$463:$N$476))</f>
        <v>0</v>
      </c>
      <c r="Y476">
        <f>IF(COUNT($N$463:$N$476)&lt;14,"",MAX($N$463:$N$476))</f>
        <v>0</v>
      </c>
      <c r="Z476">
        <f>IF(OR(N476="",X476="",Y476="",Y476=X476),"",100*(N476-X476)/(Y476-X476))</f>
        <v>0</v>
      </c>
      <c r="AA476">
        <f>IF(COUNT($Z$474:$Z$476)&lt;3,"",AVERAGE($Z$474:$Z$476))</f>
        <v>0</v>
      </c>
      <c r="AB476">
        <f>IF(COUNT($AA$474:$AA$476)&lt;3,"",AVERAGE($AA$474:$AA$476))</f>
        <v>0</v>
      </c>
      <c r="AC476">
        <f>IF($E476="","",MAX($C476-$D476,ABS($C476-$E475),ABS($D476-$E475)))</f>
        <v>0</v>
      </c>
      <c r="AD476">
        <f>IF(COUNT($E$2:$E476)&lt;15,"",AVERAGE($AC$463:$AC$476))</f>
        <v>0</v>
      </c>
      <c r="AE476">
        <f>IF(OR($E476="",$E475=""),"",IF(AND(($C476-$C475)&gt;($D475-$D476),($C476-$C475)&gt;0),$C476-$C475,0))</f>
        <v>0</v>
      </c>
      <c r="AF476">
        <f>IF(OR($E476="",$E475=""),"",IF(AND(($D475-$D476)&gt;($C476-$C475),($D475-$D476)&gt;0),$D475-$D476,0))</f>
        <v>0</v>
      </c>
      <c r="AG476">
        <f>IF(COUNT($E$2:$E476)&lt;15,"",IF(SUM($AC$463:$AC$476)=0,0,100*SUM($AE$463:$AE$476)/SUM($AC$463:$AC$476)))</f>
        <v>0</v>
      </c>
      <c r="AH476">
        <f>IF(COUNT($E$2:$E476)&lt;15,"",IF(SUM($AC$463:$AC$476)=0,0,100*SUM($AF$463:$AF$476)/SUM($AC$463:$AC$476)))</f>
        <v>0</v>
      </c>
      <c r="AI476">
        <f>IF(OR(AG476="",AH476=""),"",IF((AG476+AH476)=0,0,100*ABS(AG476-AH476)/(AG476+AH476)))</f>
        <v>0</v>
      </c>
      <c r="AJ476">
        <f>IF(COUNT($AI$463:$AI$476)&lt;14,"",AVERAGE($AI$463:$AI$476))</f>
        <v>0</v>
      </c>
      <c r="AK476">
        <f>IF(COUNT($E$2:$E476)&lt;20,"",AVERAGE($E$457:$E$476))</f>
        <v>0</v>
      </c>
      <c r="AL476">
        <f>IF(COUNT($E$2:$E476)&lt;20,"",STDEVP($E$457:$E$476))</f>
        <v>0</v>
      </c>
      <c r="AM476">
        <f>IF(AK476="","",AK476+2*AL476)</f>
        <v>0</v>
      </c>
      <c r="AN476">
        <f>IF(AK476="","",AK476-2*AL476)</f>
        <v>0</v>
      </c>
      <c r="AO476">
        <f>IF(OR(AM476="",AN476="",AM476=AN476),"",($E476-AN476)/(AM476-AN476))</f>
        <v>0</v>
      </c>
      <c r="AP476">
        <f>IF(OR(AM476="",AK476="",AK476=0),"",(AM476-AN476)/AK476)</f>
        <v>0</v>
      </c>
      <c r="AQ476">
        <f>IF(COUNT($E$2:$E476)&lt;20,"",MAX($C$457:$C$476))</f>
        <v>0</v>
      </c>
      <c r="AR476">
        <f>IF(COUNT($E$2:$E476)&lt;20,"",MIN($D$457:$D$476))</f>
        <v>0</v>
      </c>
      <c r="AS476">
        <f>IF(OR(AQ476="",AR476=""),"",(AQ476+AR476)/2)</f>
        <v>0</v>
      </c>
      <c r="AT476">
        <f>IF(COUNT($G$457:$G$476)&lt;20,"",STDEV($G$457:$G$476)*SQRT(252))</f>
        <v>0</v>
      </c>
      <c r="AU476">
        <f>IF(COUNT($E$2:$E476)&lt;9,"",(MAX($C$468:$C$476)+MIN($D$468:$D$476))/2)</f>
        <v>0</v>
      </c>
      <c r="AV476">
        <f>IF(COUNT($E$2:$E476)&lt;26,"",(MAX($C$451:$C$476)+MIN($D$451:$D$476))/2)</f>
        <v>0</v>
      </c>
      <c r="AW476">
        <f>IF(OR(AU476="",AV476=""),"",(AU476+AV476)/2)</f>
        <v>0</v>
      </c>
      <c r="AX476">
        <f>IF(COUNT($E$2:$E476)&lt;52,"",(MAX($C$425:$C$476)+MIN($D$425:$D$476))/2)</f>
        <v>0</v>
      </c>
      <c r="AY476">
        <f>IF(COUNT($E$2:$E476)&lt;20,"",MAX($C$377:$C$476))</f>
        <v>0</v>
      </c>
      <c r="AZ476">
        <f>IF(COUNT($E$2:$E476)&lt;20,"",MIN($D$377:$D$476))</f>
        <v>0</v>
      </c>
      <c r="BA476">
        <f>IF(COUNT($E$2:$E476)&lt;20,"",SLOPE($E$377:$E$476,$F$377:$F$476))</f>
        <v>0</v>
      </c>
      <c r="BB476">
        <f>IF(COUNT($E$2:$E476)&lt;20,"",INTERCEPT($E$377:$E$476,$F$377:$F$476))</f>
        <v>0</v>
      </c>
      <c r="BC476">
        <f>IF(OR(BA476="",BB476=""),"",BB476+BA476*F476)</f>
        <v>0</v>
      </c>
      <c r="BD476">
        <f>IF(COUNT($E$2:$E476)&lt;20,"",STEYX($E$377:$E$476,$F$377:$F$476))</f>
        <v>0</v>
      </c>
      <c r="BE476">
        <f>IF($E476="","",IF(AND(COUNT($E$477:$E$480)&gt;=4,$C476=MAX($C$472:$C$480)),$C476,""))</f>
        <v>0</v>
      </c>
      <c r="BF476">
        <f>IF($E476="","",IF(AND(COUNT($E$477:$E$480)&gt;=4,$D476=MIN($D$472:$D$480)),$D476,""))</f>
        <v>0</v>
      </c>
      <c r="BG476">
        <f>IF($A476="","",$A476-WEEKDAY($A476,2)+1)</f>
        <v>0</v>
      </c>
      <c r="BH476">
        <f>IF($A476="","",IF($A475="",1,IF(BG476&lt;&gt;BG475,1,0)))</f>
        <v>0</v>
      </c>
      <c r="BI476">
        <f>IF($A476="","",IF($A477="",1,IF(BG477&lt;&gt;BG476,1,0)))</f>
        <v>0</v>
      </c>
      <c r="BJ476">
        <f>IF($A476="","",IF(BH476=1,$B476,BJ475))</f>
        <v>0</v>
      </c>
      <c r="BK476">
        <f>IF($A476="","",IF(BH476=1,$C476,MAX($C476,BK475)))</f>
        <v>0</v>
      </c>
      <c r="BL476">
        <f>IF($A476="","",IF(BH476=1,$D476,MIN($D476,BL475)))</f>
        <v>0</v>
      </c>
      <c r="BM476">
        <f>IF($A476="","",IF(BI476=1,F476,""))</f>
        <v>0</v>
      </c>
      <c r="BN476">
        <f>IF($A476="","",DATE(YEAR($A476),MONTH($A476),1))</f>
        <v>0</v>
      </c>
      <c r="BO476">
        <f>IF($A476="","",IF($A475="",1,IF(BN476&lt;&gt;BN475,1,0)))</f>
        <v>0</v>
      </c>
      <c r="BP476">
        <f>IF($A476="","",IF($A477="",1,IF(BN477&lt;&gt;BN476,1,0)))</f>
        <v>0</v>
      </c>
      <c r="BQ476">
        <f>IF($A476="","",IF(BO476=1,$B476,BQ475))</f>
        <v>0</v>
      </c>
      <c r="BR476">
        <f>IF($A476="","",IF(BO476=1,$C476,MAX($C476,BR475)))</f>
        <v>0</v>
      </c>
      <c r="BS476">
        <f>IF($A476="","",IF(BO476=1,$D476,MIN($D476,BS475)))</f>
        <v>0</v>
      </c>
      <c r="BT476">
        <f>IF($A476="","",IF(BP476=1,F476,""))</f>
        <v>0</v>
      </c>
    </row>
    <row r="477" spans="1:72">
      <c r="A477" s="27">
        <f>IF(Data!$A477="","",Data!$A477)</f>
        <v>0</v>
      </c>
      <c r="B477">
        <f>IF(Data!$B477="","",Data!$B477)</f>
        <v>0</v>
      </c>
      <c r="C477">
        <f>IF(Data!$C477="","",Data!$C477)</f>
        <v>0</v>
      </c>
      <c r="D477">
        <f>IF(Data!$D477="","",Data!$D477)</f>
        <v>0</v>
      </c>
      <c r="E477">
        <f>IF(Data!$E477="","",Data!$E477)</f>
        <v>0</v>
      </c>
      <c r="F477">
        <f>IF($E477="","",N(F476)+1)</f>
        <v>0</v>
      </c>
      <c r="G477">
        <f>IF(OR($E477="",$E476=""),"",LN($E477/$E476))</f>
        <v>0</v>
      </c>
      <c r="H477">
        <f>IF($E477="","",IF($E476="",$E477,$E477*0.0952380952+H476*0.9047619048))</f>
        <v>0</v>
      </c>
      <c r="I477">
        <f>IF($E477="","",IF($E476="",$E477,$E477*0.0392156863+I476*0.9607843137))</f>
        <v>0</v>
      </c>
      <c r="J477">
        <f>IF($E477="","",IF($E476="",$E477,$E477*0.0198019802+J476*0.9801980198))</f>
        <v>0</v>
      </c>
      <c r="K477">
        <f>IF($E477="","",IF($E476="",$E477,$E477*0.0099502488+K476*0.9900497512))</f>
        <v>0</v>
      </c>
      <c r="L477">
        <f>IF(OR($E477="",$E476=""),"",MAX($E477-$E476,0))</f>
        <v>0</v>
      </c>
      <c r="M477">
        <f>IF(OR($E477="",$E476=""),"",MAX($E476-$E477,0))</f>
        <v>0</v>
      </c>
      <c r="N477">
        <f>IF(COUNT($E$2:$E477)&lt;15,"",IF(AVERAGE($M$464:$M$477)=0,100,100-100/(1+AVERAGE($L$464:$L$477)/AVERAGE($M$464:$M$477))))</f>
        <v>0</v>
      </c>
      <c r="O477">
        <f>IF($E477="","",IF($E476="",$E477,$E477*0.1538461538+O476*0.8461538462))</f>
        <v>0</v>
      </c>
      <c r="P477">
        <f>IF($E477="","",IF($E476="",$E477,$E477*0.0740740741+P476*0.9259259259))</f>
        <v>0</v>
      </c>
      <c r="Q477">
        <f>IF(OR(O477="",P477=""),"",O477-P477)</f>
        <v>0</v>
      </c>
      <c r="R477">
        <f>IF(Q477="","",IF(R476="",Q477,Q477*0.2000000000+R476*0.8000000000))</f>
        <v>0</v>
      </c>
      <c r="S477">
        <f>IF(OR(Q477="",R477=""),"",Q477-R477)</f>
        <v>0</v>
      </c>
      <c r="T477">
        <f>IF(COUNT($E$2:$E477)&lt;14,"",MAX($C$464:$C$477))</f>
        <v>0</v>
      </c>
      <c r="U477">
        <f>IF(COUNT($E$2:$E477)&lt;14,"",MIN($D$464:$D$477))</f>
        <v>0</v>
      </c>
      <c r="V477">
        <f>IF(OR(T477="",U477="",T477=U477),"",100*($E477-U477)/(T477-U477))</f>
        <v>0</v>
      </c>
      <c r="W477">
        <f>IF(COUNT($V$475:$V$477)&lt;3,"",AVERAGE($V$475:$V$477))</f>
        <v>0</v>
      </c>
      <c r="X477">
        <f>IF(COUNT($N$464:$N$477)&lt;14,"",MIN($N$464:$N$477))</f>
        <v>0</v>
      </c>
      <c r="Y477">
        <f>IF(COUNT($N$464:$N$477)&lt;14,"",MAX($N$464:$N$477))</f>
        <v>0</v>
      </c>
      <c r="Z477">
        <f>IF(OR(N477="",X477="",Y477="",Y477=X477),"",100*(N477-X477)/(Y477-X477))</f>
        <v>0</v>
      </c>
      <c r="AA477">
        <f>IF(COUNT($Z$475:$Z$477)&lt;3,"",AVERAGE($Z$475:$Z$477))</f>
        <v>0</v>
      </c>
      <c r="AB477">
        <f>IF(COUNT($AA$475:$AA$477)&lt;3,"",AVERAGE($AA$475:$AA$477))</f>
        <v>0</v>
      </c>
      <c r="AC477">
        <f>IF($E477="","",MAX($C477-$D477,ABS($C477-$E476),ABS($D477-$E476)))</f>
        <v>0</v>
      </c>
      <c r="AD477">
        <f>IF(COUNT($E$2:$E477)&lt;15,"",AVERAGE($AC$464:$AC$477))</f>
        <v>0</v>
      </c>
      <c r="AE477">
        <f>IF(OR($E477="",$E476=""),"",IF(AND(($C477-$C476)&gt;($D476-$D477),($C477-$C476)&gt;0),$C477-$C476,0))</f>
        <v>0</v>
      </c>
      <c r="AF477">
        <f>IF(OR($E477="",$E476=""),"",IF(AND(($D476-$D477)&gt;($C477-$C476),($D476-$D477)&gt;0),$D476-$D477,0))</f>
        <v>0</v>
      </c>
      <c r="AG477">
        <f>IF(COUNT($E$2:$E477)&lt;15,"",IF(SUM($AC$464:$AC$477)=0,0,100*SUM($AE$464:$AE$477)/SUM($AC$464:$AC$477)))</f>
        <v>0</v>
      </c>
      <c r="AH477">
        <f>IF(COUNT($E$2:$E477)&lt;15,"",IF(SUM($AC$464:$AC$477)=0,0,100*SUM($AF$464:$AF$477)/SUM($AC$464:$AC$477)))</f>
        <v>0</v>
      </c>
      <c r="AI477">
        <f>IF(OR(AG477="",AH477=""),"",IF((AG477+AH477)=0,0,100*ABS(AG477-AH477)/(AG477+AH477)))</f>
        <v>0</v>
      </c>
      <c r="AJ477">
        <f>IF(COUNT($AI$464:$AI$477)&lt;14,"",AVERAGE($AI$464:$AI$477))</f>
        <v>0</v>
      </c>
      <c r="AK477">
        <f>IF(COUNT($E$2:$E477)&lt;20,"",AVERAGE($E$458:$E$477))</f>
        <v>0</v>
      </c>
      <c r="AL477">
        <f>IF(COUNT($E$2:$E477)&lt;20,"",STDEVP($E$458:$E$477))</f>
        <v>0</v>
      </c>
      <c r="AM477">
        <f>IF(AK477="","",AK477+2*AL477)</f>
        <v>0</v>
      </c>
      <c r="AN477">
        <f>IF(AK477="","",AK477-2*AL477)</f>
        <v>0</v>
      </c>
      <c r="AO477">
        <f>IF(OR(AM477="",AN477="",AM477=AN477),"",($E477-AN477)/(AM477-AN477))</f>
        <v>0</v>
      </c>
      <c r="AP477">
        <f>IF(OR(AM477="",AK477="",AK477=0),"",(AM477-AN477)/AK477)</f>
        <v>0</v>
      </c>
      <c r="AQ477">
        <f>IF(COUNT($E$2:$E477)&lt;20,"",MAX($C$458:$C$477))</f>
        <v>0</v>
      </c>
      <c r="AR477">
        <f>IF(COUNT($E$2:$E477)&lt;20,"",MIN($D$458:$D$477))</f>
        <v>0</v>
      </c>
      <c r="AS477">
        <f>IF(OR(AQ477="",AR477=""),"",(AQ477+AR477)/2)</f>
        <v>0</v>
      </c>
      <c r="AT477">
        <f>IF(COUNT($G$458:$G$477)&lt;20,"",STDEV($G$458:$G$477)*SQRT(252))</f>
        <v>0</v>
      </c>
      <c r="AU477">
        <f>IF(COUNT($E$2:$E477)&lt;9,"",(MAX($C$469:$C$477)+MIN($D$469:$D$477))/2)</f>
        <v>0</v>
      </c>
      <c r="AV477">
        <f>IF(COUNT($E$2:$E477)&lt;26,"",(MAX($C$452:$C$477)+MIN($D$452:$D$477))/2)</f>
        <v>0</v>
      </c>
      <c r="AW477">
        <f>IF(OR(AU477="",AV477=""),"",(AU477+AV477)/2)</f>
        <v>0</v>
      </c>
      <c r="AX477">
        <f>IF(COUNT($E$2:$E477)&lt;52,"",(MAX($C$426:$C$477)+MIN($D$426:$D$477))/2)</f>
        <v>0</v>
      </c>
      <c r="AY477">
        <f>IF(COUNT($E$2:$E477)&lt;20,"",MAX($C$378:$C$477))</f>
        <v>0</v>
      </c>
      <c r="AZ477">
        <f>IF(COUNT($E$2:$E477)&lt;20,"",MIN($D$378:$D$477))</f>
        <v>0</v>
      </c>
      <c r="BA477">
        <f>IF(COUNT($E$2:$E477)&lt;20,"",SLOPE($E$378:$E$477,$F$378:$F$477))</f>
        <v>0</v>
      </c>
      <c r="BB477">
        <f>IF(COUNT($E$2:$E477)&lt;20,"",INTERCEPT($E$378:$E$477,$F$378:$F$477))</f>
        <v>0</v>
      </c>
      <c r="BC477">
        <f>IF(OR(BA477="",BB477=""),"",BB477+BA477*F477)</f>
        <v>0</v>
      </c>
      <c r="BD477">
        <f>IF(COUNT($E$2:$E477)&lt;20,"",STEYX($E$378:$E$477,$F$378:$F$477))</f>
        <v>0</v>
      </c>
      <c r="BE477">
        <f>IF($E477="","",IF(AND(COUNT($E$478:$E$481)&gt;=4,$C477=MAX($C$473:$C$481)),$C477,""))</f>
        <v>0</v>
      </c>
      <c r="BF477">
        <f>IF($E477="","",IF(AND(COUNT($E$478:$E$481)&gt;=4,$D477=MIN($D$473:$D$481)),$D477,""))</f>
        <v>0</v>
      </c>
      <c r="BG477">
        <f>IF($A477="","",$A477-WEEKDAY($A477,2)+1)</f>
        <v>0</v>
      </c>
      <c r="BH477">
        <f>IF($A477="","",IF($A476="",1,IF(BG477&lt;&gt;BG476,1,0)))</f>
        <v>0</v>
      </c>
      <c r="BI477">
        <f>IF($A477="","",IF($A478="",1,IF(BG478&lt;&gt;BG477,1,0)))</f>
        <v>0</v>
      </c>
      <c r="BJ477">
        <f>IF($A477="","",IF(BH477=1,$B477,BJ476))</f>
        <v>0</v>
      </c>
      <c r="BK477">
        <f>IF($A477="","",IF(BH477=1,$C477,MAX($C477,BK476)))</f>
        <v>0</v>
      </c>
      <c r="BL477">
        <f>IF($A477="","",IF(BH477=1,$D477,MIN($D477,BL476)))</f>
        <v>0</v>
      </c>
      <c r="BM477">
        <f>IF($A477="","",IF(BI477=1,F477,""))</f>
        <v>0</v>
      </c>
      <c r="BN477">
        <f>IF($A477="","",DATE(YEAR($A477),MONTH($A477),1))</f>
        <v>0</v>
      </c>
      <c r="BO477">
        <f>IF($A477="","",IF($A476="",1,IF(BN477&lt;&gt;BN476,1,0)))</f>
        <v>0</v>
      </c>
      <c r="BP477">
        <f>IF($A477="","",IF($A478="",1,IF(BN478&lt;&gt;BN477,1,0)))</f>
        <v>0</v>
      </c>
      <c r="BQ477">
        <f>IF($A477="","",IF(BO477=1,$B477,BQ476))</f>
        <v>0</v>
      </c>
      <c r="BR477">
        <f>IF($A477="","",IF(BO477=1,$C477,MAX($C477,BR476)))</f>
        <v>0</v>
      </c>
      <c r="BS477">
        <f>IF($A477="","",IF(BO477=1,$D477,MIN($D477,BS476)))</f>
        <v>0</v>
      </c>
      <c r="BT477">
        <f>IF($A477="","",IF(BP477=1,F477,""))</f>
        <v>0</v>
      </c>
    </row>
    <row r="478" spans="1:72">
      <c r="A478" s="27">
        <f>IF(Data!$A478="","",Data!$A478)</f>
        <v>0</v>
      </c>
      <c r="B478">
        <f>IF(Data!$B478="","",Data!$B478)</f>
        <v>0</v>
      </c>
      <c r="C478">
        <f>IF(Data!$C478="","",Data!$C478)</f>
        <v>0</v>
      </c>
      <c r="D478">
        <f>IF(Data!$D478="","",Data!$D478)</f>
        <v>0</v>
      </c>
      <c r="E478">
        <f>IF(Data!$E478="","",Data!$E478)</f>
        <v>0</v>
      </c>
      <c r="F478">
        <f>IF($E478="","",N(F477)+1)</f>
        <v>0</v>
      </c>
      <c r="G478">
        <f>IF(OR($E478="",$E477=""),"",LN($E478/$E477))</f>
        <v>0</v>
      </c>
      <c r="H478">
        <f>IF($E478="","",IF($E477="",$E478,$E478*0.0952380952+H477*0.9047619048))</f>
        <v>0</v>
      </c>
      <c r="I478">
        <f>IF($E478="","",IF($E477="",$E478,$E478*0.0392156863+I477*0.9607843137))</f>
        <v>0</v>
      </c>
      <c r="J478">
        <f>IF($E478="","",IF($E477="",$E478,$E478*0.0198019802+J477*0.9801980198))</f>
        <v>0</v>
      </c>
      <c r="K478">
        <f>IF($E478="","",IF($E477="",$E478,$E478*0.0099502488+K477*0.9900497512))</f>
        <v>0</v>
      </c>
      <c r="L478">
        <f>IF(OR($E478="",$E477=""),"",MAX($E478-$E477,0))</f>
        <v>0</v>
      </c>
      <c r="M478">
        <f>IF(OR($E478="",$E477=""),"",MAX($E477-$E478,0))</f>
        <v>0</v>
      </c>
      <c r="N478">
        <f>IF(COUNT($E$2:$E478)&lt;15,"",IF(AVERAGE($M$465:$M$478)=0,100,100-100/(1+AVERAGE($L$465:$L$478)/AVERAGE($M$465:$M$478))))</f>
        <v>0</v>
      </c>
      <c r="O478">
        <f>IF($E478="","",IF($E477="",$E478,$E478*0.1538461538+O477*0.8461538462))</f>
        <v>0</v>
      </c>
      <c r="P478">
        <f>IF($E478="","",IF($E477="",$E478,$E478*0.0740740741+P477*0.9259259259))</f>
        <v>0</v>
      </c>
      <c r="Q478">
        <f>IF(OR(O478="",P478=""),"",O478-P478)</f>
        <v>0</v>
      </c>
      <c r="R478">
        <f>IF(Q478="","",IF(R477="",Q478,Q478*0.2000000000+R477*0.8000000000))</f>
        <v>0</v>
      </c>
      <c r="S478">
        <f>IF(OR(Q478="",R478=""),"",Q478-R478)</f>
        <v>0</v>
      </c>
      <c r="T478">
        <f>IF(COUNT($E$2:$E478)&lt;14,"",MAX($C$465:$C$478))</f>
        <v>0</v>
      </c>
      <c r="U478">
        <f>IF(COUNT($E$2:$E478)&lt;14,"",MIN($D$465:$D$478))</f>
        <v>0</v>
      </c>
      <c r="V478">
        <f>IF(OR(T478="",U478="",T478=U478),"",100*($E478-U478)/(T478-U478))</f>
        <v>0</v>
      </c>
      <c r="W478">
        <f>IF(COUNT($V$476:$V$478)&lt;3,"",AVERAGE($V$476:$V$478))</f>
        <v>0</v>
      </c>
      <c r="X478">
        <f>IF(COUNT($N$465:$N$478)&lt;14,"",MIN($N$465:$N$478))</f>
        <v>0</v>
      </c>
      <c r="Y478">
        <f>IF(COUNT($N$465:$N$478)&lt;14,"",MAX($N$465:$N$478))</f>
        <v>0</v>
      </c>
      <c r="Z478">
        <f>IF(OR(N478="",X478="",Y478="",Y478=X478),"",100*(N478-X478)/(Y478-X478))</f>
        <v>0</v>
      </c>
      <c r="AA478">
        <f>IF(COUNT($Z$476:$Z$478)&lt;3,"",AVERAGE($Z$476:$Z$478))</f>
        <v>0</v>
      </c>
      <c r="AB478">
        <f>IF(COUNT($AA$476:$AA$478)&lt;3,"",AVERAGE($AA$476:$AA$478))</f>
        <v>0</v>
      </c>
      <c r="AC478">
        <f>IF($E478="","",MAX($C478-$D478,ABS($C478-$E477),ABS($D478-$E477)))</f>
        <v>0</v>
      </c>
      <c r="AD478">
        <f>IF(COUNT($E$2:$E478)&lt;15,"",AVERAGE($AC$465:$AC$478))</f>
        <v>0</v>
      </c>
      <c r="AE478">
        <f>IF(OR($E478="",$E477=""),"",IF(AND(($C478-$C477)&gt;($D477-$D478),($C478-$C477)&gt;0),$C478-$C477,0))</f>
        <v>0</v>
      </c>
      <c r="AF478">
        <f>IF(OR($E478="",$E477=""),"",IF(AND(($D477-$D478)&gt;($C478-$C477),($D477-$D478)&gt;0),$D477-$D478,0))</f>
        <v>0</v>
      </c>
      <c r="AG478">
        <f>IF(COUNT($E$2:$E478)&lt;15,"",IF(SUM($AC$465:$AC$478)=0,0,100*SUM($AE$465:$AE$478)/SUM($AC$465:$AC$478)))</f>
        <v>0</v>
      </c>
      <c r="AH478">
        <f>IF(COUNT($E$2:$E478)&lt;15,"",IF(SUM($AC$465:$AC$478)=0,0,100*SUM($AF$465:$AF$478)/SUM($AC$465:$AC$478)))</f>
        <v>0</v>
      </c>
      <c r="AI478">
        <f>IF(OR(AG478="",AH478=""),"",IF((AG478+AH478)=0,0,100*ABS(AG478-AH478)/(AG478+AH478)))</f>
        <v>0</v>
      </c>
      <c r="AJ478">
        <f>IF(COUNT($AI$465:$AI$478)&lt;14,"",AVERAGE($AI$465:$AI$478))</f>
        <v>0</v>
      </c>
      <c r="AK478">
        <f>IF(COUNT($E$2:$E478)&lt;20,"",AVERAGE($E$459:$E$478))</f>
        <v>0</v>
      </c>
      <c r="AL478">
        <f>IF(COUNT($E$2:$E478)&lt;20,"",STDEVP($E$459:$E$478))</f>
        <v>0</v>
      </c>
      <c r="AM478">
        <f>IF(AK478="","",AK478+2*AL478)</f>
        <v>0</v>
      </c>
      <c r="AN478">
        <f>IF(AK478="","",AK478-2*AL478)</f>
        <v>0</v>
      </c>
      <c r="AO478">
        <f>IF(OR(AM478="",AN478="",AM478=AN478),"",($E478-AN478)/(AM478-AN478))</f>
        <v>0</v>
      </c>
      <c r="AP478">
        <f>IF(OR(AM478="",AK478="",AK478=0),"",(AM478-AN478)/AK478)</f>
        <v>0</v>
      </c>
      <c r="AQ478">
        <f>IF(COUNT($E$2:$E478)&lt;20,"",MAX($C$459:$C$478))</f>
        <v>0</v>
      </c>
      <c r="AR478">
        <f>IF(COUNT($E$2:$E478)&lt;20,"",MIN($D$459:$D$478))</f>
        <v>0</v>
      </c>
      <c r="AS478">
        <f>IF(OR(AQ478="",AR478=""),"",(AQ478+AR478)/2)</f>
        <v>0</v>
      </c>
      <c r="AT478">
        <f>IF(COUNT($G$459:$G$478)&lt;20,"",STDEV($G$459:$G$478)*SQRT(252))</f>
        <v>0</v>
      </c>
      <c r="AU478">
        <f>IF(COUNT($E$2:$E478)&lt;9,"",(MAX($C$470:$C$478)+MIN($D$470:$D$478))/2)</f>
        <v>0</v>
      </c>
      <c r="AV478">
        <f>IF(COUNT($E$2:$E478)&lt;26,"",(MAX($C$453:$C$478)+MIN($D$453:$D$478))/2)</f>
        <v>0</v>
      </c>
      <c r="AW478">
        <f>IF(OR(AU478="",AV478=""),"",(AU478+AV478)/2)</f>
        <v>0</v>
      </c>
      <c r="AX478">
        <f>IF(COUNT($E$2:$E478)&lt;52,"",(MAX($C$427:$C$478)+MIN($D$427:$D$478))/2)</f>
        <v>0</v>
      </c>
      <c r="AY478">
        <f>IF(COUNT($E$2:$E478)&lt;20,"",MAX($C$379:$C$478))</f>
        <v>0</v>
      </c>
      <c r="AZ478">
        <f>IF(COUNT($E$2:$E478)&lt;20,"",MIN($D$379:$D$478))</f>
        <v>0</v>
      </c>
      <c r="BA478">
        <f>IF(COUNT($E$2:$E478)&lt;20,"",SLOPE($E$379:$E$478,$F$379:$F$478))</f>
        <v>0</v>
      </c>
      <c r="BB478">
        <f>IF(COUNT($E$2:$E478)&lt;20,"",INTERCEPT($E$379:$E$478,$F$379:$F$478))</f>
        <v>0</v>
      </c>
      <c r="BC478">
        <f>IF(OR(BA478="",BB478=""),"",BB478+BA478*F478)</f>
        <v>0</v>
      </c>
      <c r="BD478">
        <f>IF(COUNT($E$2:$E478)&lt;20,"",STEYX($E$379:$E$478,$F$379:$F$478))</f>
        <v>0</v>
      </c>
      <c r="BE478">
        <f>IF($E478="","",IF(AND(COUNT($E$479:$E$482)&gt;=4,$C478=MAX($C$474:$C$482)),$C478,""))</f>
        <v>0</v>
      </c>
      <c r="BF478">
        <f>IF($E478="","",IF(AND(COUNT($E$479:$E$482)&gt;=4,$D478=MIN($D$474:$D$482)),$D478,""))</f>
        <v>0</v>
      </c>
      <c r="BG478">
        <f>IF($A478="","",$A478-WEEKDAY($A478,2)+1)</f>
        <v>0</v>
      </c>
      <c r="BH478">
        <f>IF($A478="","",IF($A477="",1,IF(BG478&lt;&gt;BG477,1,0)))</f>
        <v>0</v>
      </c>
      <c r="BI478">
        <f>IF($A478="","",IF($A479="",1,IF(BG479&lt;&gt;BG478,1,0)))</f>
        <v>0</v>
      </c>
      <c r="BJ478">
        <f>IF($A478="","",IF(BH478=1,$B478,BJ477))</f>
        <v>0</v>
      </c>
      <c r="BK478">
        <f>IF($A478="","",IF(BH478=1,$C478,MAX($C478,BK477)))</f>
        <v>0</v>
      </c>
      <c r="BL478">
        <f>IF($A478="","",IF(BH478=1,$D478,MIN($D478,BL477)))</f>
        <v>0</v>
      </c>
      <c r="BM478">
        <f>IF($A478="","",IF(BI478=1,F478,""))</f>
        <v>0</v>
      </c>
      <c r="BN478">
        <f>IF($A478="","",DATE(YEAR($A478),MONTH($A478),1))</f>
        <v>0</v>
      </c>
      <c r="BO478">
        <f>IF($A478="","",IF($A477="",1,IF(BN478&lt;&gt;BN477,1,0)))</f>
        <v>0</v>
      </c>
      <c r="BP478">
        <f>IF($A478="","",IF($A479="",1,IF(BN479&lt;&gt;BN478,1,0)))</f>
        <v>0</v>
      </c>
      <c r="BQ478">
        <f>IF($A478="","",IF(BO478=1,$B478,BQ477))</f>
        <v>0</v>
      </c>
      <c r="BR478">
        <f>IF($A478="","",IF(BO478=1,$C478,MAX($C478,BR477)))</f>
        <v>0</v>
      </c>
      <c r="BS478">
        <f>IF($A478="","",IF(BO478=1,$D478,MIN($D478,BS477)))</f>
        <v>0</v>
      </c>
      <c r="BT478">
        <f>IF($A478="","",IF(BP478=1,F478,""))</f>
        <v>0</v>
      </c>
    </row>
    <row r="479" spans="1:72">
      <c r="A479" s="27">
        <f>IF(Data!$A479="","",Data!$A479)</f>
        <v>0</v>
      </c>
      <c r="B479">
        <f>IF(Data!$B479="","",Data!$B479)</f>
        <v>0</v>
      </c>
      <c r="C479">
        <f>IF(Data!$C479="","",Data!$C479)</f>
        <v>0</v>
      </c>
      <c r="D479">
        <f>IF(Data!$D479="","",Data!$D479)</f>
        <v>0</v>
      </c>
      <c r="E479">
        <f>IF(Data!$E479="","",Data!$E479)</f>
        <v>0</v>
      </c>
      <c r="F479">
        <f>IF($E479="","",N(F478)+1)</f>
        <v>0</v>
      </c>
      <c r="G479">
        <f>IF(OR($E479="",$E478=""),"",LN($E479/$E478))</f>
        <v>0</v>
      </c>
      <c r="H479">
        <f>IF($E479="","",IF($E478="",$E479,$E479*0.0952380952+H478*0.9047619048))</f>
        <v>0</v>
      </c>
      <c r="I479">
        <f>IF($E479="","",IF($E478="",$E479,$E479*0.0392156863+I478*0.9607843137))</f>
        <v>0</v>
      </c>
      <c r="J479">
        <f>IF($E479="","",IF($E478="",$E479,$E479*0.0198019802+J478*0.9801980198))</f>
        <v>0</v>
      </c>
      <c r="K479">
        <f>IF($E479="","",IF($E478="",$E479,$E479*0.0099502488+K478*0.9900497512))</f>
        <v>0</v>
      </c>
      <c r="L479">
        <f>IF(OR($E479="",$E478=""),"",MAX($E479-$E478,0))</f>
        <v>0</v>
      </c>
      <c r="M479">
        <f>IF(OR($E479="",$E478=""),"",MAX($E478-$E479,0))</f>
        <v>0</v>
      </c>
      <c r="N479">
        <f>IF(COUNT($E$2:$E479)&lt;15,"",IF(AVERAGE($M$466:$M$479)=0,100,100-100/(1+AVERAGE($L$466:$L$479)/AVERAGE($M$466:$M$479))))</f>
        <v>0</v>
      </c>
      <c r="O479">
        <f>IF($E479="","",IF($E478="",$E479,$E479*0.1538461538+O478*0.8461538462))</f>
        <v>0</v>
      </c>
      <c r="P479">
        <f>IF($E479="","",IF($E478="",$E479,$E479*0.0740740741+P478*0.9259259259))</f>
        <v>0</v>
      </c>
      <c r="Q479">
        <f>IF(OR(O479="",P479=""),"",O479-P479)</f>
        <v>0</v>
      </c>
      <c r="R479">
        <f>IF(Q479="","",IF(R478="",Q479,Q479*0.2000000000+R478*0.8000000000))</f>
        <v>0</v>
      </c>
      <c r="S479">
        <f>IF(OR(Q479="",R479=""),"",Q479-R479)</f>
        <v>0</v>
      </c>
      <c r="T479">
        <f>IF(COUNT($E$2:$E479)&lt;14,"",MAX($C$466:$C$479))</f>
        <v>0</v>
      </c>
      <c r="U479">
        <f>IF(COUNT($E$2:$E479)&lt;14,"",MIN($D$466:$D$479))</f>
        <v>0</v>
      </c>
      <c r="V479">
        <f>IF(OR(T479="",U479="",T479=U479),"",100*($E479-U479)/(T479-U479))</f>
        <v>0</v>
      </c>
      <c r="W479">
        <f>IF(COUNT($V$477:$V$479)&lt;3,"",AVERAGE($V$477:$V$479))</f>
        <v>0</v>
      </c>
      <c r="X479">
        <f>IF(COUNT($N$466:$N$479)&lt;14,"",MIN($N$466:$N$479))</f>
        <v>0</v>
      </c>
      <c r="Y479">
        <f>IF(COUNT($N$466:$N$479)&lt;14,"",MAX($N$466:$N$479))</f>
        <v>0</v>
      </c>
      <c r="Z479">
        <f>IF(OR(N479="",X479="",Y479="",Y479=X479),"",100*(N479-X479)/(Y479-X479))</f>
        <v>0</v>
      </c>
      <c r="AA479">
        <f>IF(COUNT($Z$477:$Z$479)&lt;3,"",AVERAGE($Z$477:$Z$479))</f>
        <v>0</v>
      </c>
      <c r="AB479">
        <f>IF(COUNT($AA$477:$AA$479)&lt;3,"",AVERAGE($AA$477:$AA$479))</f>
        <v>0</v>
      </c>
      <c r="AC479">
        <f>IF($E479="","",MAX($C479-$D479,ABS($C479-$E478),ABS($D479-$E478)))</f>
        <v>0</v>
      </c>
      <c r="AD479">
        <f>IF(COUNT($E$2:$E479)&lt;15,"",AVERAGE($AC$466:$AC$479))</f>
        <v>0</v>
      </c>
      <c r="AE479">
        <f>IF(OR($E479="",$E478=""),"",IF(AND(($C479-$C478)&gt;($D478-$D479),($C479-$C478)&gt;0),$C479-$C478,0))</f>
        <v>0</v>
      </c>
      <c r="AF479">
        <f>IF(OR($E479="",$E478=""),"",IF(AND(($D478-$D479)&gt;($C479-$C478),($D478-$D479)&gt;0),$D478-$D479,0))</f>
        <v>0</v>
      </c>
      <c r="AG479">
        <f>IF(COUNT($E$2:$E479)&lt;15,"",IF(SUM($AC$466:$AC$479)=0,0,100*SUM($AE$466:$AE$479)/SUM($AC$466:$AC$479)))</f>
        <v>0</v>
      </c>
      <c r="AH479">
        <f>IF(COUNT($E$2:$E479)&lt;15,"",IF(SUM($AC$466:$AC$479)=0,0,100*SUM($AF$466:$AF$479)/SUM($AC$466:$AC$479)))</f>
        <v>0</v>
      </c>
      <c r="AI479">
        <f>IF(OR(AG479="",AH479=""),"",IF((AG479+AH479)=0,0,100*ABS(AG479-AH479)/(AG479+AH479)))</f>
        <v>0</v>
      </c>
      <c r="AJ479">
        <f>IF(COUNT($AI$466:$AI$479)&lt;14,"",AVERAGE($AI$466:$AI$479))</f>
        <v>0</v>
      </c>
      <c r="AK479">
        <f>IF(COUNT($E$2:$E479)&lt;20,"",AVERAGE($E$460:$E$479))</f>
        <v>0</v>
      </c>
      <c r="AL479">
        <f>IF(COUNT($E$2:$E479)&lt;20,"",STDEVP($E$460:$E$479))</f>
        <v>0</v>
      </c>
      <c r="AM479">
        <f>IF(AK479="","",AK479+2*AL479)</f>
        <v>0</v>
      </c>
      <c r="AN479">
        <f>IF(AK479="","",AK479-2*AL479)</f>
        <v>0</v>
      </c>
      <c r="AO479">
        <f>IF(OR(AM479="",AN479="",AM479=AN479),"",($E479-AN479)/(AM479-AN479))</f>
        <v>0</v>
      </c>
      <c r="AP479">
        <f>IF(OR(AM479="",AK479="",AK479=0),"",(AM479-AN479)/AK479)</f>
        <v>0</v>
      </c>
      <c r="AQ479">
        <f>IF(COUNT($E$2:$E479)&lt;20,"",MAX($C$460:$C$479))</f>
        <v>0</v>
      </c>
      <c r="AR479">
        <f>IF(COUNT($E$2:$E479)&lt;20,"",MIN($D$460:$D$479))</f>
        <v>0</v>
      </c>
      <c r="AS479">
        <f>IF(OR(AQ479="",AR479=""),"",(AQ479+AR479)/2)</f>
        <v>0</v>
      </c>
      <c r="AT479">
        <f>IF(COUNT($G$460:$G$479)&lt;20,"",STDEV($G$460:$G$479)*SQRT(252))</f>
        <v>0</v>
      </c>
      <c r="AU479">
        <f>IF(COUNT($E$2:$E479)&lt;9,"",(MAX($C$471:$C$479)+MIN($D$471:$D$479))/2)</f>
        <v>0</v>
      </c>
      <c r="AV479">
        <f>IF(COUNT($E$2:$E479)&lt;26,"",(MAX($C$454:$C$479)+MIN($D$454:$D$479))/2)</f>
        <v>0</v>
      </c>
      <c r="AW479">
        <f>IF(OR(AU479="",AV479=""),"",(AU479+AV479)/2)</f>
        <v>0</v>
      </c>
      <c r="AX479">
        <f>IF(COUNT($E$2:$E479)&lt;52,"",(MAX($C$428:$C$479)+MIN($D$428:$D$479))/2)</f>
        <v>0</v>
      </c>
      <c r="AY479">
        <f>IF(COUNT($E$2:$E479)&lt;20,"",MAX($C$380:$C$479))</f>
        <v>0</v>
      </c>
      <c r="AZ479">
        <f>IF(COUNT($E$2:$E479)&lt;20,"",MIN($D$380:$D$479))</f>
        <v>0</v>
      </c>
      <c r="BA479">
        <f>IF(COUNT($E$2:$E479)&lt;20,"",SLOPE($E$380:$E$479,$F$380:$F$479))</f>
        <v>0</v>
      </c>
      <c r="BB479">
        <f>IF(COUNT($E$2:$E479)&lt;20,"",INTERCEPT($E$380:$E$479,$F$380:$F$479))</f>
        <v>0</v>
      </c>
      <c r="BC479">
        <f>IF(OR(BA479="",BB479=""),"",BB479+BA479*F479)</f>
        <v>0</v>
      </c>
      <c r="BD479">
        <f>IF(COUNT($E$2:$E479)&lt;20,"",STEYX($E$380:$E$479,$F$380:$F$479))</f>
        <v>0</v>
      </c>
      <c r="BE479">
        <f>IF($E479="","",IF(AND(COUNT($E$480:$E$483)&gt;=4,$C479=MAX($C$475:$C$483)),$C479,""))</f>
        <v>0</v>
      </c>
      <c r="BF479">
        <f>IF($E479="","",IF(AND(COUNT($E$480:$E$483)&gt;=4,$D479=MIN($D$475:$D$483)),$D479,""))</f>
        <v>0</v>
      </c>
      <c r="BG479">
        <f>IF($A479="","",$A479-WEEKDAY($A479,2)+1)</f>
        <v>0</v>
      </c>
      <c r="BH479">
        <f>IF($A479="","",IF($A478="",1,IF(BG479&lt;&gt;BG478,1,0)))</f>
        <v>0</v>
      </c>
      <c r="BI479">
        <f>IF($A479="","",IF($A480="",1,IF(BG480&lt;&gt;BG479,1,0)))</f>
        <v>0</v>
      </c>
      <c r="BJ479">
        <f>IF($A479="","",IF(BH479=1,$B479,BJ478))</f>
        <v>0</v>
      </c>
      <c r="BK479">
        <f>IF($A479="","",IF(BH479=1,$C479,MAX($C479,BK478)))</f>
        <v>0</v>
      </c>
      <c r="BL479">
        <f>IF($A479="","",IF(BH479=1,$D479,MIN($D479,BL478)))</f>
        <v>0</v>
      </c>
      <c r="BM479">
        <f>IF($A479="","",IF(BI479=1,F479,""))</f>
        <v>0</v>
      </c>
      <c r="BN479">
        <f>IF($A479="","",DATE(YEAR($A479),MONTH($A479),1))</f>
        <v>0</v>
      </c>
      <c r="BO479">
        <f>IF($A479="","",IF($A478="",1,IF(BN479&lt;&gt;BN478,1,0)))</f>
        <v>0</v>
      </c>
      <c r="BP479">
        <f>IF($A479="","",IF($A480="",1,IF(BN480&lt;&gt;BN479,1,0)))</f>
        <v>0</v>
      </c>
      <c r="BQ479">
        <f>IF($A479="","",IF(BO479=1,$B479,BQ478))</f>
        <v>0</v>
      </c>
      <c r="BR479">
        <f>IF($A479="","",IF(BO479=1,$C479,MAX($C479,BR478)))</f>
        <v>0</v>
      </c>
      <c r="BS479">
        <f>IF($A479="","",IF(BO479=1,$D479,MIN($D479,BS478)))</f>
        <v>0</v>
      </c>
      <c r="BT479">
        <f>IF($A479="","",IF(BP479=1,F479,""))</f>
        <v>0</v>
      </c>
    </row>
    <row r="480" spans="1:72">
      <c r="A480" s="27">
        <f>IF(Data!$A480="","",Data!$A480)</f>
        <v>0</v>
      </c>
      <c r="B480">
        <f>IF(Data!$B480="","",Data!$B480)</f>
        <v>0</v>
      </c>
      <c r="C480">
        <f>IF(Data!$C480="","",Data!$C480)</f>
        <v>0</v>
      </c>
      <c r="D480">
        <f>IF(Data!$D480="","",Data!$D480)</f>
        <v>0</v>
      </c>
      <c r="E480">
        <f>IF(Data!$E480="","",Data!$E480)</f>
        <v>0</v>
      </c>
      <c r="F480">
        <f>IF($E480="","",N(F479)+1)</f>
        <v>0</v>
      </c>
      <c r="G480">
        <f>IF(OR($E480="",$E479=""),"",LN($E480/$E479))</f>
        <v>0</v>
      </c>
      <c r="H480">
        <f>IF($E480="","",IF($E479="",$E480,$E480*0.0952380952+H479*0.9047619048))</f>
        <v>0</v>
      </c>
      <c r="I480">
        <f>IF($E480="","",IF($E479="",$E480,$E480*0.0392156863+I479*0.9607843137))</f>
        <v>0</v>
      </c>
      <c r="J480">
        <f>IF($E480="","",IF($E479="",$E480,$E480*0.0198019802+J479*0.9801980198))</f>
        <v>0</v>
      </c>
      <c r="K480">
        <f>IF($E480="","",IF($E479="",$E480,$E480*0.0099502488+K479*0.9900497512))</f>
        <v>0</v>
      </c>
      <c r="L480">
        <f>IF(OR($E480="",$E479=""),"",MAX($E480-$E479,0))</f>
        <v>0</v>
      </c>
      <c r="M480">
        <f>IF(OR($E480="",$E479=""),"",MAX($E479-$E480,0))</f>
        <v>0</v>
      </c>
      <c r="N480">
        <f>IF(COUNT($E$2:$E480)&lt;15,"",IF(AVERAGE($M$467:$M$480)=0,100,100-100/(1+AVERAGE($L$467:$L$480)/AVERAGE($M$467:$M$480))))</f>
        <v>0</v>
      </c>
      <c r="O480">
        <f>IF($E480="","",IF($E479="",$E480,$E480*0.1538461538+O479*0.8461538462))</f>
        <v>0</v>
      </c>
      <c r="P480">
        <f>IF($E480="","",IF($E479="",$E480,$E480*0.0740740741+P479*0.9259259259))</f>
        <v>0</v>
      </c>
      <c r="Q480">
        <f>IF(OR(O480="",P480=""),"",O480-P480)</f>
        <v>0</v>
      </c>
      <c r="R480">
        <f>IF(Q480="","",IF(R479="",Q480,Q480*0.2000000000+R479*0.8000000000))</f>
        <v>0</v>
      </c>
      <c r="S480">
        <f>IF(OR(Q480="",R480=""),"",Q480-R480)</f>
        <v>0</v>
      </c>
      <c r="T480">
        <f>IF(COUNT($E$2:$E480)&lt;14,"",MAX($C$467:$C$480))</f>
        <v>0</v>
      </c>
      <c r="U480">
        <f>IF(COUNT($E$2:$E480)&lt;14,"",MIN($D$467:$D$480))</f>
        <v>0</v>
      </c>
      <c r="V480">
        <f>IF(OR(T480="",U480="",T480=U480),"",100*($E480-U480)/(T480-U480))</f>
        <v>0</v>
      </c>
      <c r="W480">
        <f>IF(COUNT($V$478:$V$480)&lt;3,"",AVERAGE($V$478:$V$480))</f>
        <v>0</v>
      </c>
      <c r="X480">
        <f>IF(COUNT($N$467:$N$480)&lt;14,"",MIN($N$467:$N$480))</f>
        <v>0</v>
      </c>
      <c r="Y480">
        <f>IF(COUNT($N$467:$N$480)&lt;14,"",MAX($N$467:$N$480))</f>
        <v>0</v>
      </c>
      <c r="Z480">
        <f>IF(OR(N480="",X480="",Y480="",Y480=X480),"",100*(N480-X480)/(Y480-X480))</f>
        <v>0</v>
      </c>
      <c r="AA480">
        <f>IF(COUNT($Z$478:$Z$480)&lt;3,"",AVERAGE($Z$478:$Z$480))</f>
        <v>0</v>
      </c>
      <c r="AB480">
        <f>IF(COUNT($AA$478:$AA$480)&lt;3,"",AVERAGE($AA$478:$AA$480))</f>
        <v>0</v>
      </c>
      <c r="AC480">
        <f>IF($E480="","",MAX($C480-$D480,ABS($C480-$E479),ABS($D480-$E479)))</f>
        <v>0</v>
      </c>
      <c r="AD480">
        <f>IF(COUNT($E$2:$E480)&lt;15,"",AVERAGE($AC$467:$AC$480))</f>
        <v>0</v>
      </c>
      <c r="AE480">
        <f>IF(OR($E480="",$E479=""),"",IF(AND(($C480-$C479)&gt;($D479-$D480),($C480-$C479)&gt;0),$C480-$C479,0))</f>
        <v>0</v>
      </c>
      <c r="AF480">
        <f>IF(OR($E480="",$E479=""),"",IF(AND(($D479-$D480)&gt;($C480-$C479),($D479-$D480)&gt;0),$D479-$D480,0))</f>
        <v>0</v>
      </c>
      <c r="AG480">
        <f>IF(COUNT($E$2:$E480)&lt;15,"",IF(SUM($AC$467:$AC$480)=0,0,100*SUM($AE$467:$AE$480)/SUM($AC$467:$AC$480)))</f>
        <v>0</v>
      </c>
      <c r="AH480">
        <f>IF(COUNT($E$2:$E480)&lt;15,"",IF(SUM($AC$467:$AC$480)=0,0,100*SUM($AF$467:$AF$480)/SUM($AC$467:$AC$480)))</f>
        <v>0</v>
      </c>
      <c r="AI480">
        <f>IF(OR(AG480="",AH480=""),"",IF((AG480+AH480)=0,0,100*ABS(AG480-AH480)/(AG480+AH480)))</f>
        <v>0</v>
      </c>
      <c r="AJ480">
        <f>IF(COUNT($AI$467:$AI$480)&lt;14,"",AVERAGE($AI$467:$AI$480))</f>
        <v>0</v>
      </c>
      <c r="AK480">
        <f>IF(COUNT($E$2:$E480)&lt;20,"",AVERAGE($E$461:$E$480))</f>
        <v>0</v>
      </c>
      <c r="AL480">
        <f>IF(COUNT($E$2:$E480)&lt;20,"",STDEVP($E$461:$E$480))</f>
        <v>0</v>
      </c>
      <c r="AM480">
        <f>IF(AK480="","",AK480+2*AL480)</f>
        <v>0</v>
      </c>
      <c r="AN480">
        <f>IF(AK480="","",AK480-2*AL480)</f>
        <v>0</v>
      </c>
      <c r="AO480">
        <f>IF(OR(AM480="",AN480="",AM480=AN480),"",($E480-AN480)/(AM480-AN480))</f>
        <v>0</v>
      </c>
      <c r="AP480">
        <f>IF(OR(AM480="",AK480="",AK480=0),"",(AM480-AN480)/AK480)</f>
        <v>0</v>
      </c>
      <c r="AQ480">
        <f>IF(COUNT($E$2:$E480)&lt;20,"",MAX($C$461:$C$480))</f>
        <v>0</v>
      </c>
      <c r="AR480">
        <f>IF(COUNT($E$2:$E480)&lt;20,"",MIN($D$461:$D$480))</f>
        <v>0</v>
      </c>
      <c r="AS480">
        <f>IF(OR(AQ480="",AR480=""),"",(AQ480+AR480)/2)</f>
        <v>0</v>
      </c>
      <c r="AT480">
        <f>IF(COUNT($G$461:$G$480)&lt;20,"",STDEV($G$461:$G$480)*SQRT(252))</f>
        <v>0</v>
      </c>
      <c r="AU480">
        <f>IF(COUNT($E$2:$E480)&lt;9,"",(MAX($C$472:$C$480)+MIN($D$472:$D$480))/2)</f>
        <v>0</v>
      </c>
      <c r="AV480">
        <f>IF(COUNT($E$2:$E480)&lt;26,"",(MAX($C$455:$C$480)+MIN($D$455:$D$480))/2)</f>
        <v>0</v>
      </c>
      <c r="AW480">
        <f>IF(OR(AU480="",AV480=""),"",(AU480+AV480)/2)</f>
        <v>0</v>
      </c>
      <c r="AX480">
        <f>IF(COUNT($E$2:$E480)&lt;52,"",(MAX($C$429:$C$480)+MIN($D$429:$D$480))/2)</f>
        <v>0</v>
      </c>
      <c r="AY480">
        <f>IF(COUNT($E$2:$E480)&lt;20,"",MAX($C$381:$C$480))</f>
        <v>0</v>
      </c>
      <c r="AZ480">
        <f>IF(COUNT($E$2:$E480)&lt;20,"",MIN($D$381:$D$480))</f>
        <v>0</v>
      </c>
      <c r="BA480">
        <f>IF(COUNT($E$2:$E480)&lt;20,"",SLOPE($E$381:$E$480,$F$381:$F$480))</f>
        <v>0</v>
      </c>
      <c r="BB480">
        <f>IF(COUNT($E$2:$E480)&lt;20,"",INTERCEPT($E$381:$E$480,$F$381:$F$480))</f>
        <v>0</v>
      </c>
      <c r="BC480">
        <f>IF(OR(BA480="",BB480=""),"",BB480+BA480*F480)</f>
        <v>0</v>
      </c>
      <c r="BD480">
        <f>IF(COUNT($E$2:$E480)&lt;20,"",STEYX($E$381:$E$480,$F$381:$F$480))</f>
        <v>0</v>
      </c>
      <c r="BE480">
        <f>IF($E480="","",IF(AND(COUNT($E$481:$E$484)&gt;=4,$C480=MAX($C$476:$C$484)),$C480,""))</f>
        <v>0</v>
      </c>
      <c r="BF480">
        <f>IF($E480="","",IF(AND(COUNT($E$481:$E$484)&gt;=4,$D480=MIN($D$476:$D$484)),$D480,""))</f>
        <v>0</v>
      </c>
      <c r="BG480">
        <f>IF($A480="","",$A480-WEEKDAY($A480,2)+1)</f>
        <v>0</v>
      </c>
      <c r="BH480">
        <f>IF($A480="","",IF($A479="",1,IF(BG480&lt;&gt;BG479,1,0)))</f>
        <v>0</v>
      </c>
      <c r="BI480">
        <f>IF($A480="","",IF($A481="",1,IF(BG481&lt;&gt;BG480,1,0)))</f>
        <v>0</v>
      </c>
      <c r="BJ480">
        <f>IF($A480="","",IF(BH480=1,$B480,BJ479))</f>
        <v>0</v>
      </c>
      <c r="BK480">
        <f>IF($A480="","",IF(BH480=1,$C480,MAX($C480,BK479)))</f>
        <v>0</v>
      </c>
      <c r="BL480">
        <f>IF($A480="","",IF(BH480=1,$D480,MIN($D480,BL479)))</f>
        <v>0</v>
      </c>
      <c r="BM480">
        <f>IF($A480="","",IF(BI480=1,F480,""))</f>
        <v>0</v>
      </c>
      <c r="BN480">
        <f>IF($A480="","",DATE(YEAR($A480),MONTH($A480),1))</f>
        <v>0</v>
      </c>
      <c r="BO480">
        <f>IF($A480="","",IF($A479="",1,IF(BN480&lt;&gt;BN479,1,0)))</f>
        <v>0</v>
      </c>
      <c r="BP480">
        <f>IF($A480="","",IF($A481="",1,IF(BN481&lt;&gt;BN480,1,0)))</f>
        <v>0</v>
      </c>
      <c r="BQ480">
        <f>IF($A480="","",IF(BO480=1,$B480,BQ479))</f>
        <v>0</v>
      </c>
      <c r="BR480">
        <f>IF($A480="","",IF(BO480=1,$C480,MAX($C480,BR479)))</f>
        <v>0</v>
      </c>
      <c r="BS480">
        <f>IF($A480="","",IF(BO480=1,$D480,MIN($D480,BS479)))</f>
        <v>0</v>
      </c>
      <c r="BT480">
        <f>IF($A480="","",IF(BP480=1,F480,""))</f>
        <v>0</v>
      </c>
    </row>
    <row r="481" spans="1:72">
      <c r="A481" s="27">
        <f>IF(Data!$A481="","",Data!$A481)</f>
        <v>0</v>
      </c>
      <c r="B481">
        <f>IF(Data!$B481="","",Data!$B481)</f>
        <v>0</v>
      </c>
      <c r="C481">
        <f>IF(Data!$C481="","",Data!$C481)</f>
        <v>0</v>
      </c>
      <c r="D481">
        <f>IF(Data!$D481="","",Data!$D481)</f>
        <v>0</v>
      </c>
      <c r="E481">
        <f>IF(Data!$E481="","",Data!$E481)</f>
        <v>0</v>
      </c>
      <c r="F481">
        <f>IF($E481="","",N(F480)+1)</f>
        <v>0</v>
      </c>
      <c r="G481">
        <f>IF(OR($E481="",$E480=""),"",LN($E481/$E480))</f>
        <v>0</v>
      </c>
      <c r="H481">
        <f>IF($E481="","",IF($E480="",$E481,$E481*0.0952380952+H480*0.9047619048))</f>
        <v>0</v>
      </c>
      <c r="I481">
        <f>IF($E481="","",IF($E480="",$E481,$E481*0.0392156863+I480*0.9607843137))</f>
        <v>0</v>
      </c>
      <c r="J481">
        <f>IF($E481="","",IF($E480="",$E481,$E481*0.0198019802+J480*0.9801980198))</f>
        <v>0</v>
      </c>
      <c r="K481">
        <f>IF($E481="","",IF($E480="",$E481,$E481*0.0099502488+K480*0.9900497512))</f>
        <v>0</v>
      </c>
      <c r="L481">
        <f>IF(OR($E481="",$E480=""),"",MAX($E481-$E480,0))</f>
        <v>0</v>
      </c>
      <c r="M481">
        <f>IF(OR($E481="",$E480=""),"",MAX($E480-$E481,0))</f>
        <v>0</v>
      </c>
      <c r="N481">
        <f>IF(COUNT($E$2:$E481)&lt;15,"",IF(AVERAGE($M$468:$M$481)=0,100,100-100/(1+AVERAGE($L$468:$L$481)/AVERAGE($M$468:$M$481))))</f>
        <v>0</v>
      </c>
      <c r="O481">
        <f>IF($E481="","",IF($E480="",$E481,$E481*0.1538461538+O480*0.8461538462))</f>
        <v>0</v>
      </c>
      <c r="P481">
        <f>IF($E481="","",IF($E480="",$E481,$E481*0.0740740741+P480*0.9259259259))</f>
        <v>0</v>
      </c>
      <c r="Q481">
        <f>IF(OR(O481="",P481=""),"",O481-P481)</f>
        <v>0</v>
      </c>
      <c r="R481">
        <f>IF(Q481="","",IF(R480="",Q481,Q481*0.2000000000+R480*0.8000000000))</f>
        <v>0</v>
      </c>
      <c r="S481">
        <f>IF(OR(Q481="",R481=""),"",Q481-R481)</f>
        <v>0</v>
      </c>
      <c r="T481">
        <f>IF(COUNT($E$2:$E481)&lt;14,"",MAX($C$468:$C$481))</f>
        <v>0</v>
      </c>
      <c r="U481">
        <f>IF(COUNT($E$2:$E481)&lt;14,"",MIN($D$468:$D$481))</f>
        <v>0</v>
      </c>
      <c r="V481">
        <f>IF(OR(T481="",U481="",T481=U481),"",100*($E481-U481)/(T481-U481))</f>
        <v>0</v>
      </c>
      <c r="W481">
        <f>IF(COUNT($V$479:$V$481)&lt;3,"",AVERAGE($V$479:$V$481))</f>
        <v>0</v>
      </c>
      <c r="X481">
        <f>IF(COUNT($N$468:$N$481)&lt;14,"",MIN($N$468:$N$481))</f>
        <v>0</v>
      </c>
      <c r="Y481">
        <f>IF(COUNT($N$468:$N$481)&lt;14,"",MAX($N$468:$N$481))</f>
        <v>0</v>
      </c>
      <c r="Z481">
        <f>IF(OR(N481="",X481="",Y481="",Y481=X481),"",100*(N481-X481)/(Y481-X481))</f>
        <v>0</v>
      </c>
      <c r="AA481">
        <f>IF(COUNT($Z$479:$Z$481)&lt;3,"",AVERAGE($Z$479:$Z$481))</f>
        <v>0</v>
      </c>
      <c r="AB481">
        <f>IF(COUNT($AA$479:$AA$481)&lt;3,"",AVERAGE($AA$479:$AA$481))</f>
        <v>0</v>
      </c>
      <c r="AC481">
        <f>IF($E481="","",MAX($C481-$D481,ABS($C481-$E480),ABS($D481-$E480)))</f>
        <v>0</v>
      </c>
      <c r="AD481">
        <f>IF(COUNT($E$2:$E481)&lt;15,"",AVERAGE($AC$468:$AC$481))</f>
        <v>0</v>
      </c>
      <c r="AE481">
        <f>IF(OR($E481="",$E480=""),"",IF(AND(($C481-$C480)&gt;($D480-$D481),($C481-$C480)&gt;0),$C481-$C480,0))</f>
        <v>0</v>
      </c>
      <c r="AF481">
        <f>IF(OR($E481="",$E480=""),"",IF(AND(($D480-$D481)&gt;($C481-$C480),($D480-$D481)&gt;0),$D480-$D481,0))</f>
        <v>0</v>
      </c>
      <c r="AG481">
        <f>IF(COUNT($E$2:$E481)&lt;15,"",IF(SUM($AC$468:$AC$481)=0,0,100*SUM($AE$468:$AE$481)/SUM($AC$468:$AC$481)))</f>
        <v>0</v>
      </c>
      <c r="AH481">
        <f>IF(COUNT($E$2:$E481)&lt;15,"",IF(SUM($AC$468:$AC$481)=0,0,100*SUM($AF$468:$AF$481)/SUM($AC$468:$AC$481)))</f>
        <v>0</v>
      </c>
      <c r="AI481">
        <f>IF(OR(AG481="",AH481=""),"",IF((AG481+AH481)=0,0,100*ABS(AG481-AH481)/(AG481+AH481)))</f>
        <v>0</v>
      </c>
      <c r="AJ481">
        <f>IF(COUNT($AI$468:$AI$481)&lt;14,"",AVERAGE($AI$468:$AI$481))</f>
        <v>0</v>
      </c>
      <c r="AK481">
        <f>IF(COUNT($E$2:$E481)&lt;20,"",AVERAGE($E$462:$E$481))</f>
        <v>0</v>
      </c>
      <c r="AL481">
        <f>IF(COUNT($E$2:$E481)&lt;20,"",STDEVP($E$462:$E$481))</f>
        <v>0</v>
      </c>
      <c r="AM481">
        <f>IF(AK481="","",AK481+2*AL481)</f>
        <v>0</v>
      </c>
      <c r="AN481">
        <f>IF(AK481="","",AK481-2*AL481)</f>
        <v>0</v>
      </c>
      <c r="AO481">
        <f>IF(OR(AM481="",AN481="",AM481=AN481),"",($E481-AN481)/(AM481-AN481))</f>
        <v>0</v>
      </c>
      <c r="AP481">
        <f>IF(OR(AM481="",AK481="",AK481=0),"",(AM481-AN481)/AK481)</f>
        <v>0</v>
      </c>
      <c r="AQ481">
        <f>IF(COUNT($E$2:$E481)&lt;20,"",MAX($C$462:$C$481))</f>
        <v>0</v>
      </c>
      <c r="AR481">
        <f>IF(COUNT($E$2:$E481)&lt;20,"",MIN($D$462:$D$481))</f>
        <v>0</v>
      </c>
      <c r="AS481">
        <f>IF(OR(AQ481="",AR481=""),"",(AQ481+AR481)/2)</f>
        <v>0</v>
      </c>
      <c r="AT481">
        <f>IF(COUNT($G$462:$G$481)&lt;20,"",STDEV($G$462:$G$481)*SQRT(252))</f>
        <v>0</v>
      </c>
      <c r="AU481">
        <f>IF(COUNT($E$2:$E481)&lt;9,"",(MAX($C$473:$C$481)+MIN($D$473:$D$481))/2)</f>
        <v>0</v>
      </c>
      <c r="AV481">
        <f>IF(COUNT($E$2:$E481)&lt;26,"",(MAX($C$456:$C$481)+MIN($D$456:$D$481))/2)</f>
        <v>0</v>
      </c>
      <c r="AW481">
        <f>IF(OR(AU481="",AV481=""),"",(AU481+AV481)/2)</f>
        <v>0</v>
      </c>
      <c r="AX481">
        <f>IF(COUNT($E$2:$E481)&lt;52,"",(MAX($C$430:$C$481)+MIN($D$430:$D$481))/2)</f>
        <v>0</v>
      </c>
      <c r="AY481">
        <f>IF(COUNT($E$2:$E481)&lt;20,"",MAX($C$382:$C$481))</f>
        <v>0</v>
      </c>
      <c r="AZ481">
        <f>IF(COUNT($E$2:$E481)&lt;20,"",MIN($D$382:$D$481))</f>
        <v>0</v>
      </c>
      <c r="BA481">
        <f>IF(COUNT($E$2:$E481)&lt;20,"",SLOPE($E$382:$E$481,$F$382:$F$481))</f>
        <v>0</v>
      </c>
      <c r="BB481">
        <f>IF(COUNT($E$2:$E481)&lt;20,"",INTERCEPT($E$382:$E$481,$F$382:$F$481))</f>
        <v>0</v>
      </c>
      <c r="BC481">
        <f>IF(OR(BA481="",BB481=""),"",BB481+BA481*F481)</f>
        <v>0</v>
      </c>
      <c r="BD481">
        <f>IF(COUNT($E$2:$E481)&lt;20,"",STEYX($E$382:$E$481,$F$382:$F$481))</f>
        <v>0</v>
      </c>
      <c r="BE481">
        <f>IF($E481="","",IF(AND(COUNT($E$482:$E$485)&gt;=4,$C481=MAX($C$477:$C$485)),$C481,""))</f>
        <v>0</v>
      </c>
      <c r="BF481">
        <f>IF($E481="","",IF(AND(COUNT($E$482:$E$485)&gt;=4,$D481=MIN($D$477:$D$485)),$D481,""))</f>
        <v>0</v>
      </c>
      <c r="BG481">
        <f>IF($A481="","",$A481-WEEKDAY($A481,2)+1)</f>
        <v>0</v>
      </c>
      <c r="BH481">
        <f>IF($A481="","",IF($A480="",1,IF(BG481&lt;&gt;BG480,1,0)))</f>
        <v>0</v>
      </c>
      <c r="BI481">
        <f>IF($A481="","",IF($A482="",1,IF(BG482&lt;&gt;BG481,1,0)))</f>
        <v>0</v>
      </c>
      <c r="BJ481">
        <f>IF($A481="","",IF(BH481=1,$B481,BJ480))</f>
        <v>0</v>
      </c>
      <c r="BK481">
        <f>IF($A481="","",IF(BH481=1,$C481,MAX($C481,BK480)))</f>
        <v>0</v>
      </c>
      <c r="BL481">
        <f>IF($A481="","",IF(BH481=1,$D481,MIN($D481,BL480)))</f>
        <v>0</v>
      </c>
      <c r="BM481">
        <f>IF($A481="","",IF(BI481=1,F481,""))</f>
        <v>0</v>
      </c>
      <c r="BN481">
        <f>IF($A481="","",DATE(YEAR($A481),MONTH($A481),1))</f>
        <v>0</v>
      </c>
      <c r="BO481">
        <f>IF($A481="","",IF($A480="",1,IF(BN481&lt;&gt;BN480,1,0)))</f>
        <v>0</v>
      </c>
      <c r="BP481">
        <f>IF($A481="","",IF($A482="",1,IF(BN482&lt;&gt;BN481,1,0)))</f>
        <v>0</v>
      </c>
      <c r="BQ481">
        <f>IF($A481="","",IF(BO481=1,$B481,BQ480))</f>
        <v>0</v>
      </c>
      <c r="BR481">
        <f>IF($A481="","",IF(BO481=1,$C481,MAX($C481,BR480)))</f>
        <v>0</v>
      </c>
      <c r="BS481">
        <f>IF($A481="","",IF(BO481=1,$D481,MIN($D481,BS480)))</f>
        <v>0</v>
      </c>
      <c r="BT481">
        <f>IF($A481="","",IF(BP481=1,F481,""))</f>
        <v>0</v>
      </c>
    </row>
    <row r="482" spans="1:72">
      <c r="A482" s="27">
        <f>IF(Data!$A482="","",Data!$A482)</f>
        <v>0</v>
      </c>
      <c r="B482">
        <f>IF(Data!$B482="","",Data!$B482)</f>
        <v>0</v>
      </c>
      <c r="C482">
        <f>IF(Data!$C482="","",Data!$C482)</f>
        <v>0</v>
      </c>
      <c r="D482">
        <f>IF(Data!$D482="","",Data!$D482)</f>
        <v>0</v>
      </c>
      <c r="E482">
        <f>IF(Data!$E482="","",Data!$E482)</f>
        <v>0</v>
      </c>
      <c r="F482">
        <f>IF($E482="","",N(F481)+1)</f>
        <v>0</v>
      </c>
      <c r="G482">
        <f>IF(OR($E482="",$E481=""),"",LN($E482/$E481))</f>
        <v>0</v>
      </c>
      <c r="H482">
        <f>IF($E482="","",IF($E481="",$E482,$E482*0.0952380952+H481*0.9047619048))</f>
        <v>0</v>
      </c>
      <c r="I482">
        <f>IF($E482="","",IF($E481="",$E482,$E482*0.0392156863+I481*0.9607843137))</f>
        <v>0</v>
      </c>
      <c r="J482">
        <f>IF($E482="","",IF($E481="",$E482,$E482*0.0198019802+J481*0.9801980198))</f>
        <v>0</v>
      </c>
      <c r="K482">
        <f>IF($E482="","",IF($E481="",$E482,$E482*0.0099502488+K481*0.9900497512))</f>
        <v>0</v>
      </c>
      <c r="L482">
        <f>IF(OR($E482="",$E481=""),"",MAX($E482-$E481,0))</f>
        <v>0</v>
      </c>
      <c r="M482">
        <f>IF(OR($E482="",$E481=""),"",MAX($E481-$E482,0))</f>
        <v>0</v>
      </c>
      <c r="N482">
        <f>IF(COUNT($E$2:$E482)&lt;15,"",IF(AVERAGE($M$469:$M$482)=0,100,100-100/(1+AVERAGE($L$469:$L$482)/AVERAGE($M$469:$M$482))))</f>
        <v>0</v>
      </c>
      <c r="O482">
        <f>IF($E482="","",IF($E481="",$E482,$E482*0.1538461538+O481*0.8461538462))</f>
        <v>0</v>
      </c>
      <c r="P482">
        <f>IF($E482="","",IF($E481="",$E482,$E482*0.0740740741+P481*0.9259259259))</f>
        <v>0</v>
      </c>
      <c r="Q482">
        <f>IF(OR(O482="",P482=""),"",O482-P482)</f>
        <v>0</v>
      </c>
      <c r="R482">
        <f>IF(Q482="","",IF(R481="",Q482,Q482*0.2000000000+R481*0.8000000000))</f>
        <v>0</v>
      </c>
      <c r="S482">
        <f>IF(OR(Q482="",R482=""),"",Q482-R482)</f>
        <v>0</v>
      </c>
      <c r="T482">
        <f>IF(COUNT($E$2:$E482)&lt;14,"",MAX($C$469:$C$482))</f>
        <v>0</v>
      </c>
      <c r="U482">
        <f>IF(COUNT($E$2:$E482)&lt;14,"",MIN($D$469:$D$482))</f>
        <v>0</v>
      </c>
      <c r="V482">
        <f>IF(OR(T482="",U482="",T482=U482),"",100*($E482-U482)/(T482-U482))</f>
        <v>0</v>
      </c>
      <c r="W482">
        <f>IF(COUNT($V$480:$V$482)&lt;3,"",AVERAGE($V$480:$V$482))</f>
        <v>0</v>
      </c>
      <c r="X482">
        <f>IF(COUNT($N$469:$N$482)&lt;14,"",MIN($N$469:$N$482))</f>
        <v>0</v>
      </c>
      <c r="Y482">
        <f>IF(COUNT($N$469:$N$482)&lt;14,"",MAX($N$469:$N$482))</f>
        <v>0</v>
      </c>
      <c r="Z482">
        <f>IF(OR(N482="",X482="",Y482="",Y482=X482),"",100*(N482-X482)/(Y482-X482))</f>
        <v>0</v>
      </c>
      <c r="AA482">
        <f>IF(COUNT($Z$480:$Z$482)&lt;3,"",AVERAGE($Z$480:$Z$482))</f>
        <v>0</v>
      </c>
      <c r="AB482">
        <f>IF(COUNT($AA$480:$AA$482)&lt;3,"",AVERAGE($AA$480:$AA$482))</f>
        <v>0</v>
      </c>
      <c r="AC482">
        <f>IF($E482="","",MAX($C482-$D482,ABS($C482-$E481),ABS($D482-$E481)))</f>
        <v>0</v>
      </c>
      <c r="AD482">
        <f>IF(COUNT($E$2:$E482)&lt;15,"",AVERAGE($AC$469:$AC$482))</f>
        <v>0</v>
      </c>
      <c r="AE482">
        <f>IF(OR($E482="",$E481=""),"",IF(AND(($C482-$C481)&gt;($D481-$D482),($C482-$C481)&gt;0),$C482-$C481,0))</f>
        <v>0</v>
      </c>
      <c r="AF482">
        <f>IF(OR($E482="",$E481=""),"",IF(AND(($D481-$D482)&gt;($C482-$C481),($D481-$D482)&gt;0),$D481-$D482,0))</f>
        <v>0</v>
      </c>
      <c r="AG482">
        <f>IF(COUNT($E$2:$E482)&lt;15,"",IF(SUM($AC$469:$AC$482)=0,0,100*SUM($AE$469:$AE$482)/SUM($AC$469:$AC$482)))</f>
        <v>0</v>
      </c>
      <c r="AH482">
        <f>IF(COUNT($E$2:$E482)&lt;15,"",IF(SUM($AC$469:$AC$482)=0,0,100*SUM($AF$469:$AF$482)/SUM($AC$469:$AC$482)))</f>
        <v>0</v>
      </c>
      <c r="AI482">
        <f>IF(OR(AG482="",AH482=""),"",IF((AG482+AH482)=0,0,100*ABS(AG482-AH482)/(AG482+AH482)))</f>
        <v>0</v>
      </c>
      <c r="AJ482">
        <f>IF(COUNT($AI$469:$AI$482)&lt;14,"",AVERAGE($AI$469:$AI$482))</f>
        <v>0</v>
      </c>
      <c r="AK482">
        <f>IF(COUNT($E$2:$E482)&lt;20,"",AVERAGE($E$463:$E$482))</f>
        <v>0</v>
      </c>
      <c r="AL482">
        <f>IF(COUNT($E$2:$E482)&lt;20,"",STDEVP($E$463:$E$482))</f>
        <v>0</v>
      </c>
      <c r="AM482">
        <f>IF(AK482="","",AK482+2*AL482)</f>
        <v>0</v>
      </c>
      <c r="AN482">
        <f>IF(AK482="","",AK482-2*AL482)</f>
        <v>0</v>
      </c>
      <c r="AO482">
        <f>IF(OR(AM482="",AN482="",AM482=AN482),"",($E482-AN482)/(AM482-AN482))</f>
        <v>0</v>
      </c>
      <c r="AP482">
        <f>IF(OR(AM482="",AK482="",AK482=0),"",(AM482-AN482)/AK482)</f>
        <v>0</v>
      </c>
      <c r="AQ482">
        <f>IF(COUNT($E$2:$E482)&lt;20,"",MAX($C$463:$C$482))</f>
        <v>0</v>
      </c>
      <c r="AR482">
        <f>IF(COUNT($E$2:$E482)&lt;20,"",MIN($D$463:$D$482))</f>
        <v>0</v>
      </c>
      <c r="AS482">
        <f>IF(OR(AQ482="",AR482=""),"",(AQ482+AR482)/2)</f>
        <v>0</v>
      </c>
      <c r="AT482">
        <f>IF(COUNT($G$463:$G$482)&lt;20,"",STDEV($G$463:$G$482)*SQRT(252))</f>
        <v>0</v>
      </c>
      <c r="AU482">
        <f>IF(COUNT($E$2:$E482)&lt;9,"",(MAX($C$474:$C$482)+MIN($D$474:$D$482))/2)</f>
        <v>0</v>
      </c>
      <c r="AV482">
        <f>IF(COUNT($E$2:$E482)&lt;26,"",(MAX($C$457:$C$482)+MIN($D$457:$D$482))/2)</f>
        <v>0</v>
      </c>
      <c r="AW482">
        <f>IF(OR(AU482="",AV482=""),"",(AU482+AV482)/2)</f>
        <v>0</v>
      </c>
      <c r="AX482">
        <f>IF(COUNT($E$2:$E482)&lt;52,"",(MAX($C$431:$C$482)+MIN($D$431:$D$482))/2)</f>
        <v>0</v>
      </c>
      <c r="AY482">
        <f>IF(COUNT($E$2:$E482)&lt;20,"",MAX($C$383:$C$482))</f>
        <v>0</v>
      </c>
      <c r="AZ482">
        <f>IF(COUNT($E$2:$E482)&lt;20,"",MIN($D$383:$D$482))</f>
        <v>0</v>
      </c>
      <c r="BA482">
        <f>IF(COUNT($E$2:$E482)&lt;20,"",SLOPE($E$383:$E$482,$F$383:$F$482))</f>
        <v>0</v>
      </c>
      <c r="BB482">
        <f>IF(COUNT($E$2:$E482)&lt;20,"",INTERCEPT($E$383:$E$482,$F$383:$F$482))</f>
        <v>0</v>
      </c>
      <c r="BC482">
        <f>IF(OR(BA482="",BB482=""),"",BB482+BA482*F482)</f>
        <v>0</v>
      </c>
      <c r="BD482">
        <f>IF(COUNT($E$2:$E482)&lt;20,"",STEYX($E$383:$E$482,$F$383:$F$482))</f>
        <v>0</v>
      </c>
      <c r="BE482">
        <f>IF($E482="","",IF(AND(COUNT($E$483:$E$486)&gt;=4,$C482=MAX($C$478:$C$486)),$C482,""))</f>
        <v>0</v>
      </c>
      <c r="BF482">
        <f>IF($E482="","",IF(AND(COUNT($E$483:$E$486)&gt;=4,$D482=MIN($D$478:$D$486)),$D482,""))</f>
        <v>0</v>
      </c>
      <c r="BG482">
        <f>IF($A482="","",$A482-WEEKDAY($A482,2)+1)</f>
        <v>0</v>
      </c>
      <c r="BH482">
        <f>IF($A482="","",IF($A481="",1,IF(BG482&lt;&gt;BG481,1,0)))</f>
        <v>0</v>
      </c>
      <c r="BI482">
        <f>IF($A482="","",IF($A483="",1,IF(BG483&lt;&gt;BG482,1,0)))</f>
        <v>0</v>
      </c>
      <c r="BJ482">
        <f>IF($A482="","",IF(BH482=1,$B482,BJ481))</f>
        <v>0</v>
      </c>
      <c r="BK482">
        <f>IF($A482="","",IF(BH482=1,$C482,MAX($C482,BK481)))</f>
        <v>0</v>
      </c>
      <c r="BL482">
        <f>IF($A482="","",IF(BH482=1,$D482,MIN($D482,BL481)))</f>
        <v>0</v>
      </c>
      <c r="BM482">
        <f>IF($A482="","",IF(BI482=1,F482,""))</f>
        <v>0</v>
      </c>
      <c r="BN482">
        <f>IF($A482="","",DATE(YEAR($A482),MONTH($A482),1))</f>
        <v>0</v>
      </c>
      <c r="BO482">
        <f>IF($A482="","",IF($A481="",1,IF(BN482&lt;&gt;BN481,1,0)))</f>
        <v>0</v>
      </c>
      <c r="BP482">
        <f>IF($A482="","",IF($A483="",1,IF(BN483&lt;&gt;BN482,1,0)))</f>
        <v>0</v>
      </c>
      <c r="BQ482">
        <f>IF($A482="","",IF(BO482=1,$B482,BQ481))</f>
        <v>0</v>
      </c>
      <c r="BR482">
        <f>IF($A482="","",IF(BO482=1,$C482,MAX($C482,BR481)))</f>
        <v>0</v>
      </c>
      <c r="BS482">
        <f>IF($A482="","",IF(BO482=1,$D482,MIN($D482,BS481)))</f>
        <v>0</v>
      </c>
      <c r="BT482">
        <f>IF($A482="","",IF(BP482=1,F482,""))</f>
        <v>0</v>
      </c>
    </row>
    <row r="483" spans="1:72">
      <c r="A483" s="27">
        <f>IF(Data!$A483="","",Data!$A483)</f>
        <v>0</v>
      </c>
      <c r="B483">
        <f>IF(Data!$B483="","",Data!$B483)</f>
        <v>0</v>
      </c>
      <c r="C483">
        <f>IF(Data!$C483="","",Data!$C483)</f>
        <v>0</v>
      </c>
      <c r="D483">
        <f>IF(Data!$D483="","",Data!$D483)</f>
        <v>0</v>
      </c>
      <c r="E483">
        <f>IF(Data!$E483="","",Data!$E483)</f>
        <v>0</v>
      </c>
      <c r="F483">
        <f>IF($E483="","",N(F482)+1)</f>
        <v>0</v>
      </c>
      <c r="G483">
        <f>IF(OR($E483="",$E482=""),"",LN($E483/$E482))</f>
        <v>0</v>
      </c>
      <c r="H483">
        <f>IF($E483="","",IF($E482="",$E483,$E483*0.0952380952+H482*0.9047619048))</f>
        <v>0</v>
      </c>
      <c r="I483">
        <f>IF($E483="","",IF($E482="",$E483,$E483*0.0392156863+I482*0.9607843137))</f>
        <v>0</v>
      </c>
      <c r="J483">
        <f>IF($E483="","",IF($E482="",$E483,$E483*0.0198019802+J482*0.9801980198))</f>
        <v>0</v>
      </c>
      <c r="K483">
        <f>IF($E483="","",IF($E482="",$E483,$E483*0.0099502488+K482*0.9900497512))</f>
        <v>0</v>
      </c>
      <c r="L483">
        <f>IF(OR($E483="",$E482=""),"",MAX($E483-$E482,0))</f>
        <v>0</v>
      </c>
      <c r="M483">
        <f>IF(OR($E483="",$E482=""),"",MAX($E482-$E483,0))</f>
        <v>0</v>
      </c>
      <c r="N483">
        <f>IF(COUNT($E$2:$E483)&lt;15,"",IF(AVERAGE($M$470:$M$483)=0,100,100-100/(1+AVERAGE($L$470:$L$483)/AVERAGE($M$470:$M$483))))</f>
        <v>0</v>
      </c>
      <c r="O483">
        <f>IF($E483="","",IF($E482="",$E483,$E483*0.1538461538+O482*0.8461538462))</f>
        <v>0</v>
      </c>
      <c r="P483">
        <f>IF($E483="","",IF($E482="",$E483,$E483*0.0740740741+P482*0.9259259259))</f>
        <v>0</v>
      </c>
      <c r="Q483">
        <f>IF(OR(O483="",P483=""),"",O483-P483)</f>
        <v>0</v>
      </c>
      <c r="R483">
        <f>IF(Q483="","",IF(R482="",Q483,Q483*0.2000000000+R482*0.8000000000))</f>
        <v>0</v>
      </c>
      <c r="S483">
        <f>IF(OR(Q483="",R483=""),"",Q483-R483)</f>
        <v>0</v>
      </c>
      <c r="T483">
        <f>IF(COUNT($E$2:$E483)&lt;14,"",MAX($C$470:$C$483))</f>
        <v>0</v>
      </c>
      <c r="U483">
        <f>IF(COUNT($E$2:$E483)&lt;14,"",MIN($D$470:$D$483))</f>
        <v>0</v>
      </c>
      <c r="V483">
        <f>IF(OR(T483="",U483="",T483=U483),"",100*($E483-U483)/(T483-U483))</f>
        <v>0</v>
      </c>
      <c r="W483">
        <f>IF(COUNT($V$481:$V$483)&lt;3,"",AVERAGE($V$481:$V$483))</f>
        <v>0</v>
      </c>
      <c r="X483">
        <f>IF(COUNT($N$470:$N$483)&lt;14,"",MIN($N$470:$N$483))</f>
        <v>0</v>
      </c>
      <c r="Y483">
        <f>IF(COUNT($N$470:$N$483)&lt;14,"",MAX($N$470:$N$483))</f>
        <v>0</v>
      </c>
      <c r="Z483">
        <f>IF(OR(N483="",X483="",Y483="",Y483=X483),"",100*(N483-X483)/(Y483-X483))</f>
        <v>0</v>
      </c>
      <c r="AA483">
        <f>IF(COUNT($Z$481:$Z$483)&lt;3,"",AVERAGE($Z$481:$Z$483))</f>
        <v>0</v>
      </c>
      <c r="AB483">
        <f>IF(COUNT($AA$481:$AA$483)&lt;3,"",AVERAGE($AA$481:$AA$483))</f>
        <v>0</v>
      </c>
      <c r="AC483">
        <f>IF($E483="","",MAX($C483-$D483,ABS($C483-$E482),ABS($D483-$E482)))</f>
        <v>0</v>
      </c>
      <c r="AD483">
        <f>IF(COUNT($E$2:$E483)&lt;15,"",AVERAGE($AC$470:$AC$483))</f>
        <v>0</v>
      </c>
      <c r="AE483">
        <f>IF(OR($E483="",$E482=""),"",IF(AND(($C483-$C482)&gt;($D482-$D483),($C483-$C482)&gt;0),$C483-$C482,0))</f>
        <v>0</v>
      </c>
      <c r="AF483">
        <f>IF(OR($E483="",$E482=""),"",IF(AND(($D482-$D483)&gt;($C483-$C482),($D482-$D483)&gt;0),$D482-$D483,0))</f>
        <v>0</v>
      </c>
      <c r="AG483">
        <f>IF(COUNT($E$2:$E483)&lt;15,"",IF(SUM($AC$470:$AC$483)=0,0,100*SUM($AE$470:$AE$483)/SUM($AC$470:$AC$483)))</f>
        <v>0</v>
      </c>
      <c r="AH483">
        <f>IF(COUNT($E$2:$E483)&lt;15,"",IF(SUM($AC$470:$AC$483)=0,0,100*SUM($AF$470:$AF$483)/SUM($AC$470:$AC$483)))</f>
        <v>0</v>
      </c>
      <c r="AI483">
        <f>IF(OR(AG483="",AH483=""),"",IF((AG483+AH483)=0,0,100*ABS(AG483-AH483)/(AG483+AH483)))</f>
        <v>0</v>
      </c>
      <c r="AJ483">
        <f>IF(COUNT($AI$470:$AI$483)&lt;14,"",AVERAGE($AI$470:$AI$483))</f>
        <v>0</v>
      </c>
      <c r="AK483">
        <f>IF(COUNT($E$2:$E483)&lt;20,"",AVERAGE($E$464:$E$483))</f>
        <v>0</v>
      </c>
      <c r="AL483">
        <f>IF(COUNT($E$2:$E483)&lt;20,"",STDEVP($E$464:$E$483))</f>
        <v>0</v>
      </c>
      <c r="AM483">
        <f>IF(AK483="","",AK483+2*AL483)</f>
        <v>0</v>
      </c>
      <c r="AN483">
        <f>IF(AK483="","",AK483-2*AL483)</f>
        <v>0</v>
      </c>
      <c r="AO483">
        <f>IF(OR(AM483="",AN483="",AM483=AN483),"",($E483-AN483)/(AM483-AN483))</f>
        <v>0</v>
      </c>
      <c r="AP483">
        <f>IF(OR(AM483="",AK483="",AK483=0),"",(AM483-AN483)/AK483)</f>
        <v>0</v>
      </c>
      <c r="AQ483">
        <f>IF(COUNT($E$2:$E483)&lt;20,"",MAX($C$464:$C$483))</f>
        <v>0</v>
      </c>
      <c r="AR483">
        <f>IF(COUNT($E$2:$E483)&lt;20,"",MIN($D$464:$D$483))</f>
        <v>0</v>
      </c>
      <c r="AS483">
        <f>IF(OR(AQ483="",AR483=""),"",(AQ483+AR483)/2)</f>
        <v>0</v>
      </c>
      <c r="AT483">
        <f>IF(COUNT($G$464:$G$483)&lt;20,"",STDEV($G$464:$G$483)*SQRT(252))</f>
        <v>0</v>
      </c>
      <c r="AU483">
        <f>IF(COUNT($E$2:$E483)&lt;9,"",(MAX($C$475:$C$483)+MIN($D$475:$D$483))/2)</f>
        <v>0</v>
      </c>
      <c r="AV483">
        <f>IF(COUNT($E$2:$E483)&lt;26,"",(MAX($C$458:$C$483)+MIN($D$458:$D$483))/2)</f>
        <v>0</v>
      </c>
      <c r="AW483">
        <f>IF(OR(AU483="",AV483=""),"",(AU483+AV483)/2)</f>
        <v>0</v>
      </c>
      <c r="AX483">
        <f>IF(COUNT($E$2:$E483)&lt;52,"",(MAX($C$432:$C$483)+MIN($D$432:$D$483))/2)</f>
        <v>0</v>
      </c>
      <c r="AY483">
        <f>IF(COUNT($E$2:$E483)&lt;20,"",MAX($C$384:$C$483))</f>
        <v>0</v>
      </c>
      <c r="AZ483">
        <f>IF(COUNT($E$2:$E483)&lt;20,"",MIN($D$384:$D$483))</f>
        <v>0</v>
      </c>
      <c r="BA483">
        <f>IF(COUNT($E$2:$E483)&lt;20,"",SLOPE($E$384:$E$483,$F$384:$F$483))</f>
        <v>0</v>
      </c>
      <c r="BB483">
        <f>IF(COUNT($E$2:$E483)&lt;20,"",INTERCEPT($E$384:$E$483,$F$384:$F$483))</f>
        <v>0</v>
      </c>
      <c r="BC483">
        <f>IF(OR(BA483="",BB483=""),"",BB483+BA483*F483)</f>
        <v>0</v>
      </c>
      <c r="BD483">
        <f>IF(COUNT($E$2:$E483)&lt;20,"",STEYX($E$384:$E$483,$F$384:$F$483))</f>
        <v>0</v>
      </c>
      <c r="BE483">
        <f>IF($E483="","",IF(AND(COUNT($E$484:$E$487)&gt;=4,$C483=MAX($C$479:$C$487)),$C483,""))</f>
        <v>0</v>
      </c>
      <c r="BF483">
        <f>IF($E483="","",IF(AND(COUNT($E$484:$E$487)&gt;=4,$D483=MIN($D$479:$D$487)),$D483,""))</f>
        <v>0</v>
      </c>
      <c r="BG483">
        <f>IF($A483="","",$A483-WEEKDAY($A483,2)+1)</f>
        <v>0</v>
      </c>
      <c r="BH483">
        <f>IF($A483="","",IF($A482="",1,IF(BG483&lt;&gt;BG482,1,0)))</f>
        <v>0</v>
      </c>
      <c r="BI483">
        <f>IF($A483="","",IF($A484="",1,IF(BG484&lt;&gt;BG483,1,0)))</f>
        <v>0</v>
      </c>
      <c r="BJ483">
        <f>IF($A483="","",IF(BH483=1,$B483,BJ482))</f>
        <v>0</v>
      </c>
      <c r="BK483">
        <f>IF($A483="","",IF(BH483=1,$C483,MAX($C483,BK482)))</f>
        <v>0</v>
      </c>
      <c r="BL483">
        <f>IF($A483="","",IF(BH483=1,$D483,MIN($D483,BL482)))</f>
        <v>0</v>
      </c>
      <c r="BM483">
        <f>IF($A483="","",IF(BI483=1,F483,""))</f>
        <v>0</v>
      </c>
      <c r="BN483">
        <f>IF($A483="","",DATE(YEAR($A483),MONTH($A483),1))</f>
        <v>0</v>
      </c>
      <c r="BO483">
        <f>IF($A483="","",IF($A482="",1,IF(BN483&lt;&gt;BN482,1,0)))</f>
        <v>0</v>
      </c>
      <c r="BP483">
        <f>IF($A483="","",IF($A484="",1,IF(BN484&lt;&gt;BN483,1,0)))</f>
        <v>0</v>
      </c>
      <c r="BQ483">
        <f>IF($A483="","",IF(BO483=1,$B483,BQ482))</f>
        <v>0</v>
      </c>
      <c r="BR483">
        <f>IF($A483="","",IF(BO483=1,$C483,MAX($C483,BR482)))</f>
        <v>0</v>
      </c>
      <c r="BS483">
        <f>IF($A483="","",IF(BO483=1,$D483,MIN($D483,BS482)))</f>
        <v>0</v>
      </c>
      <c r="BT483">
        <f>IF($A483="","",IF(BP483=1,F483,""))</f>
        <v>0</v>
      </c>
    </row>
    <row r="484" spans="1:72">
      <c r="A484" s="27">
        <f>IF(Data!$A484="","",Data!$A484)</f>
        <v>0</v>
      </c>
      <c r="B484">
        <f>IF(Data!$B484="","",Data!$B484)</f>
        <v>0</v>
      </c>
      <c r="C484">
        <f>IF(Data!$C484="","",Data!$C484)</f>
        <v>0</v>
      </c>
      <c r="D484">
        <f>IF(Data!$D484="","",Data!$D484)</f>
        <v>0</v>
      </c>
      <c r="E484">
        <f>IF(Data!$E484="","",Data!$E484)</f>
        <v>0</v>
      </c>
      <c r="F484">
        <f>IF($E484="","",N(F483)+1)</f>
        <v>0</v>
      </c>
      <c r="G484">
        <f>IF(OR($E484="",$E483=""),"",LN($E484/$E483))</f>
        <v>0</v>
      </c>
      <c r="H484">
        <f>IF($E484="","",IF($E483="",$E484,$E484*0.0952380952+H483*0.9047619048))</f>
        <v>0</v>
      </c>
      <c r="I484">
        <f>IF($E484="","",IF($E483="",$E484,$E484*0.0392156863+I483*0.9607843137))</f>
        <v>0</v>
      </c>
      <c r="J484">
        <f>IF($E484="","",IF($E483="",$E484,$E484*0.0198019802+J483*0.9801980198))</f>
        <v>0</v>
      </c>
      <c r="K484">
        <f>IF($E484="","",IF($E483="",$E484,$E484*0.0099502488+K483*0.9900497512))</f>
        <v>0</v>
      </c>
      <c r="L484">
        <f>IF(OR($E484="",$E483=""),"",MAX($E484-$E483,0))</f>
        <v>0</v>
      </c>
      <c r="M484">
        <f>IF(OR($E484="",$E483=""),"",MAX($E483-$E484,0))</f>
        <v>0</v>
      </c>
      <c r="N484">
        <f>IF(COUNT($E$2:$E484)&lt;15,"",IF(AVERAGE($M$471:$M$484)=0,100,100-100/(1+AVERAGE($L$471:$L$484)/AVERAGE($M$471:$M$484))))</f>
        <v>0</v>
      </c>
      <c r="O484">
        <f>IF($E484="","",IF($E483="",$E484,$E484*0.1538461538+O483*0.8461538462))</f>
        <v>0</v>
      </c>
      <c r="P484">
        <f>IF($E484="","",IF($E483="",$E484,$E484*0.0740740741+P483*0.9259259259))</f>
        <v>0</v>
      </c>
      <c r="Q484">
        <f>IF(OR(O484="",P484=""),"",O484-P484)</f>
        <v>0</v>
      </c>
      <c r="R484">
        <f>IF(Q484="","",IF(R483="",Q484,Q484*0.2000000000+R483*0.8000000000))</f>
        <v>0</v>
      </c>
      <c r="S484">
        <f>IF(OR(Q484="",R484=""),"",Q484-R484)</f>
        <v>0</v>
      </c>
      <c r="T484">
        <f>IF(COUNT($E$2:$E484)&lt;14,"",MAX($C$471:$C$484))</f>
        <v>0</v>
      </c>
      <c r="U484">
        <f>IF(COUNT($E$2:$E484)&lt;14,"",MIN($D$471:$D$484))</f>
        <v>0</v>
      </c>
      <c r="V484">
        <f>IF(OR(T484="",U484="",T484=U484),"",100*($E484-U484)/(T484-U484))</f>
        <v>0</v>
      </c>
      <c r="W484">
        <f>IF(COUNT($V$482:$V$484)&lt;3,"",AVERAGE($V$482:$V$484))</f>
        <v>0</v>
      </c>
      <c r="X484">
        <f>IF(COUNT($N$471:$N$484)&lt;14,"",MIN($N$471:$N$484))</f>
        <v>0</v>
      </c>
      <c r="Y484">
        <f>IF(COUNT($N$471:$N$484)&lt;14,"",MAX($N$471:$N$484))</f>
        <v>0</v>
      </c>
      <c r="Z484">
        <f>IF(OR(N484="",X484="",Y484="",Y484=X484),"",100*(N484-X484)/(Y484-X484))</f>
        <v>0</v>
      </c>
      <c r="AA484">
        <f>IF(COUNT($Z$482:$Z$484)&lt;3,"",AVERAGE($Z$482:$Z$484))</f>
        <v>0</v>
      </c>
      <c r="AB484">
        <f>IF(COUNT($AA$482:$AA$484)&lt;3,"",AVERAGE($AA$482:$AA$484))</f>
        <v>0</v>
      </c>
      <c r="AC484">
        <f>IF($E484="","",MAX($C484-$D484,ABS($C484-$E483),ABS($D484-$E483)))</f>
        <v>0</v>
      </c>
      <c r="AD484">
        <f>IF(COUNT($E$2:$E484)&lt;15,"",AVERAGE($AC$471:$AC$484))</f>
        <v>0</v>
      </c>
      <c r="AE484">
        <f>IF(OR($E484="",$E483=""),"",IF(AND(($C484-$C483)&gt;($D483-$D484),($C484-$C483)&gt;0),$C484-$C483,0))</f>
        <v>0</v>
      </c>
      <c r="AF484">
        <f>IF(OR($E484="",$E483=""),"",IF(AND(($D483-$D484)&gt;($C484-$C483),($D483-$D484)&gt;0),$D483-$D484,0))</f>
        <v>0</v>
      </c>
      <c r="AG484">
        <f>IF(COUNT($E$2:$E484)&lt;15,"",IF(SUM($AC$471:$AC$484)=0,0,100*SUM($AE$471:$AE$484)/SUM($AC$471:$AC$484)))</f>
        <v>0</v>
      </c>
      <c r="AH484">
        <f>IF(COUNT($E$2:$E484)&lt;15,"",IF(SUM($AC$471:$AC$484)=0,0,100*SUM($AF$471:$AF$484)/SUM($AC$471:$AC$484)))</f>
        <v>0</v>
      </c>
      <c r="AI484">
        <f>IF(OR(AG484="",AH484=""),"",IF((AG484+AH484)=0,0,100*ABS(AG484-AH484)/(AG484+AH484)))</f>
        <v>0</v>
      </c>
      <c r="AJ484">
        <f>IF(COUNT($AI$471:$AI$484)&lt;14,"",AVERAGE($AI$471:$AI$484))</f>
        <v>0</v>
      </c>
      <c r="AK484">
        <f>IF(COUNT($E$2:$E484)&lt;20,"",AVERAGE($E$465:$E$484))</f>
        <v>0</v>
      </c>
      <c r="AL484">
        <f>IF(COUNT($E$2:$E484)&lt;20,"",STDEVP($E$465:$E$484))</f>
        <v>0</v>
      </c>
      <c r="AM484">
        <f>IF(AK484="","",AK484+2*AL484)</f>
        <v>0</v>
      </c>
      <c r="AN484">
        <f>IF(AK484="","",AK484-2*AL484)</f>
        <v>0</v>
      </c>
      <c r="AO484">
        <f>IF(OR(AM484="",AN484="",AM484=AN484),"",($E484-AN484)/(AM484-AN484))</f>
        <v>0</v>
      </c>
      <c r="AP484">
        <f>IF(OR(AM484="",AK484="",AK484=0),"",(AM484-AN484)/AK484)</f>
        <v>0</v>
      </c>
      <c r="AQ484">
        <f>IF(COUNT($E$2:$E484)&lt;20,"",MAX($C$465:$C$484))</f>
        <v>0</v>
      </c>
      <c r="AR484">
        <f>IF(COUNT($E$2:$E484)&lt;20,"",MIN($D$465:$D$484))</f>
        <v>0</v>
      </c>
      <c r="AS484">
        <f>IF(OR(AQ484="",AR484=""),"",(AQ484+AR484)/2)</f>
        <v>0</v>
      </c>
      <c r="AT484">
        <f>IF(COUNT($G$465:$G$484)&lt;20,"",STDEV($G$465:$G$484)*SQRT(252))</f>
        <v>0</v>
      </c>
      <c r="AU484">
        <f>IF(COUNT($E$2:$E484)&lt;9,"",(MAX($C$476:$C$484)+MIN($D$476:$D$484))/2)</f>
        <v>0</v>
      </c>
      <c r="AV484">
        <f>IF(COUNT($E$2:$E484)&lt;26,"",(MAX($C$459:$C$484)+MIN($D$459:$D$484))/2)</f>
        <v>0</v>
      </c>
      <c r="AW484">
        <f>IF(OR(AU484="",AV484=""),"",(AU484+AV484)/2)</f>
        <v>0</v>
      </c>
      <c r="AX484">
        <f>IF(COUNT($E$2:$E484)&lt;52,"",(MAX($C$433:$C$484)+MIN($D$433:$D$484))/2)</f>
        <v>0</v>
      </c>
      <c r="AY484">
        <f>IF(COUNT($E$2:$E484)&lt;20,"",MAX($C$385:$C$484))</f>
        <v>0</v>
      </c>
      <c r="AZ484">
        <f>IF(COUNT($E$2:$E484)&lt;20,"",MIN($D$385:$D$484))</f>
        <v>0</v>
      </c>
      <c r="BA484">
        <f>IF(COUNT($E$2:$E484)&lt;20,"",SLOPE($E$385:$E$484,$F$385:$F$484))</f>
        <v>0</v>
      </c>
      <c r="BB484">
        <f>IF(COUNT($E$2:$E484)&lt;20,"",INTERCEPT($E$385:$E$484,$F$385:$F$484))</f>
        <v>0</v>
      </c>
      <c r="BC484">
        <f>IF(OR(BA484="",BB484=""),"",BB484+BA484*F484)</f>
        <v>0</v>
      </c>
      <c r="BD484">
        <f>IF(COUNT($E$2:$E484)&lt;20,"",STEYX($E$385:$E$484,$F$385:$F$484))</f>
        <v>0</v>
      </c>
      <c r="BE484">
        <f>IF($E484="","",IF(AND(COUNT($E$485:$E$488)&gt;=4,$C484=MAX($C$480:$C$488)),$C484,""))</f>
        <v>0</v>
      </c>
      <c r="BF484">
        <f>IF($E484="","",IF(AND(COUNT($E$485:$E$488)&gt;=4,$D484=MIN($D$480:$D$488)),$D484,""))</f>
        <v>0</v>
      </c>
      <c r="BG484">
        <f>IF($A484="","",$A484-WEEKDAY($A484,2)+1)</f>
        <v>0</v>
      </c>
      <c r="BH484">
        <f>IF($A484="","",IF($A483="",1,IF(BG484&lt;&gt;BG483,1,0)))</f>
        <v>0</v>
      </c>
      <c r="BI484">
        <f>IF($A484="","",IF($A485="",1,IF(BG485&lt;&gt;BG484,1,0)))</f>
        <v>0</v>
      </c>
      <c r="BJ484">
        <f>IF($A484="","",IF(BH484=1,$B484,BJ483))</f>
        <v>0</v>
      </c>
      <c r="BK484">
        <f>IF($A484="","",IF(BH484=1,$C484,MAX($C484,BK483)))</f>
        <v>0</v>
      </c>
      <c r="BL484">
        <f>IF($A484="","",IF(BH484=1,$D484,MIN($D484,BL483)))</f>
        <v>0</v>
      </c>
      <c r="BM484">
        <f>IF($A484="","",IF(BI484=1,F484,""))</f>
        <v>0</v>
      </c>
      <c r="BN484">
        <f>IF($A484="","",DATE(YEAR($A484),MONTH($A484),1))</f>
        <v>0</v>
      </c>
      <c r="BO484">
        <f>IF($A484="","",IF($A483="",1,IF(BN484&lt;&gt;BN483,1,0)))</f>
        <v>0</v>
      </c>
      <c r="BP484">
        <f>IF($A484="","",IF($A485="",1,IF(BN485&lt;&gt;BN484,1,0)))</f>
        <v>0</v>
      </c>
      <c r="BQ484">
        <f>IF($A484="","",IF(BO484=1,$B484,BQ483))</f>
        <v>0</v>
      </c>
      <c r="BR484">
        <f>IF($A484="","",IF(BO484=1,$C484,MAX($C484,BR483)))</f>
        <v>0</v>
      </c>
      <c r="BS484">
        <f>IF($A484="","",IF(BO484=1,$D484,MIN($D484,BS483)))</f>
        <v>0</v>
      </c>
      <c r="BT484">
        <f>IF($A484="","",IF(BP484=1,F484,""))</f>
        <v>0</v>
      </c>
    </row>
    <row r="485" spans="1:72">
      <c r="A485" s="27">
        <f>IF(Data!$A485="","",Data!$A485)</f>
        <v>0</v>
      </c>
      <c r="B485">
        <f>IF(Data!$B485="","",Data!$B485)</f>
        <v>0</v>
      </c>
      <c r="C485">
        <f>IF(Data!$C485="","",Data!$C485)</f>
        <v>0</v>
      </c>
      <c r="D485">
        <f>IF(Data!$D485="","",Data!$D485)</f>
        <v>0</v>
      </c>
      <c r="E485">
        <f>IF(Data!$E485="","",Data!$E485)</f>
        <v>0</v>
      </c>
      <c r="F485">
        <f>IF($E485="","",N(F484)+1)</f>
        <v>0</v>
      </c>
      <c r="G485">
        <f>IF(OR($E485="",$E484=""),"",LN($E485/$E484))</f>
        <v>0</v>
      </c>
      <c r="H485">
        <f>IF($E485="","",IF($E484="",$E485,$E485*0.0952380952+H484*0.9047619048))</f>
        <v>0</v>
      </c>
      <c r="I485">
        <f>IF($E485="","",IF($E484="",$E485,$E485*0.0392156863+I484*0.9607843137))</f>
        <v>0</v>
      </c>
      <c r="J485">
        <f>IF($E485="","",IF($E484="",$E485,$E485*0.0198019802+J484*0.9801980198))</f>
        <v>0</v>
      </c>
      <c r="K485">
        <f>IF($E485="","",IF($E484="",$E485,$E485*0.0099502488+K484*0.9900497512))</f>
        <v>0</v>
      </c>
      <c r="L485">
        <f>IF(OR($E485="",$E484=""),"",MAX($E485-$E484,0))</f>
        <v>0</v>
      </c>
      <c r="M485">
        <f>IF(OR($E485="",$E484=""),"",MAX($E484-$E485,0))</f>
        <v>0</v>
      </c>
      <c r="N485">
        <f>IF(COUNT($E$2:$E485)&lt;15,"",IF(AVERAGE($M$472:$M$485)=0,100,100-100/(1+AVERAGE($L$472:$L$485)/AVERAGE($M$472:$M$485))))</f>
        <v>0</v>
      </c>
      <c r="O485">
        <f>IF($E485="","",IF($E484="",$E485,$E485*0.1538461538+O484*0.8461538462))</f>
        <v>0</v>
      </c>
      <c r="P485">
        <f>IF($E485="","",IF($E484="",$E485,$E485*0.0740740741+P484*0.9259259259))</f>
        <v>0</v>
      </c>
      <c r="Q485">
        <f>IF(OR(O485="",P485=""),"",O485-P485)</f>
        <v>0</v>
      </c>
      <c r="R485">
        <f>IF(Q485="","",IF(R484="",Q485,Q485*0.2000000000+R484*0.8000000000))</f>
        <v>0</v>
      </c>
      <c r="S485">
        <f>IF(OR(Q485="",R485=""),"",Q485-R485)</f>
        <v>0</v>
      </c>
      <c r="T485">
        <f>IF(COUNT($E$2:$E485)&lt;14,"",MAX($C$472:$C$485))</f>
        <v>0</v>
      </c>
      <c r="U485">
        <f>IF(COUNT($E$2:$E485)&lt;14,"",MIN($D$472:$D$485))</f>
        <v>0</v>
      </c>
      <c r="V485">
        <f>IF(OR(T485="",U485="",T485=U485),"",100*($E485-U485)/(T485-U485))</f>
        <v>0</v>
      </c>
      <c r="W485">
        <f>IF(COUNT($V$483:$V$485)&lt;3,"",AVERAGE($V$483:$V$485))</f>
        <v>0</v>
      </c>
      <c r="X485">
        <f>IF(COUNT($N$472:$N$485)&lt;14,"",MIN($N$472:$N$485))</f>
        <v>0</v>
      </c>
      <c r="Y485">
        <f>IF(COUNT($N$472:$N$485)&lt;14,"",MAX($N$472:$N$485))</f>
        <v>0</v>
      </c>
      <c r="Z485">
        <f>IF(OR(N485="",X485="",Y485="",Y485=X485),"",100*(N485-X485)/(Y485-X485))</f>
        <v>0</v>
      </c>
      <c r="AA485">
        <f>IF(COUNT($Z$483:$Z$485)&lt;3,"",AVERAGE($Z$483:$Z$485))</f>
        <v>0</v>
      </c>
      <c r="AB485">
        <f>IF(COUNT($AA$483:$AA$485)&lt;3,"",AVERAGE($AA$483:$AA$485))</f>
        <v>0</v>
      </c>
      <c r="AC485">
        <f>IF($E485="","",MAX($C485-$D485,ABS($C485-$E484),ABS($D485-$E484)))</f>
        <v>0</v>
      </c>
      <c r="AD485">
        <f>IF(COUNT($E$2:$E485)&lt;15,"",AVERAGE($AC$472:$AC$485))</f>
        <v>0</v>
      </c>
      <c r="AE485">
        <f>IF(OR($E485="",$E484=""),"",IF(AND(($C485-$C484)&gt;($D484-$D485),($C485-$C484)&gt;0),$C485-$C484,0))</f>
        <v>0</v>
      </c>
      <c r="AF485">
        <f>IF(OR($E485="",$E484=""),"",IF(AND(($D484-$D485)&gt;($C485-$C484),($D484-$D485)&gt;0),$D484-$D485,0))</f>
        <v>0</v>
      </c>
      <c r="AG485">
        <f>IF(COUNT($E$2:$E485)&lt;15,"",IF(SUM($AC$472:$AC$485)=0,0,100*SUM($AE$472:$AE$485)/SUM($AC$472:$AC$485)))</f>
        <v>0</v>
      </c>
      <c r="AH485">
        <f>IF(COUNT($E$2:$E485)&lt;15,"",IF(SUM($AC$472:$AC$485)=0,0,100*SUM($AF$472:$AF$485)/SUM($AC$472:$AC$485)))</f>
        <v>0</v>
      </c>
      <c r="AI485">
        <f>IF(OR(AG485="",AH485=""),"",IF((AG485+AH485)=0,0,100*ABS(AG485-AH485)/(AG485+AH485)))</f>
        <v>0</v>
      </c>
      <c r="AJ485">
        <f>IF(COUNT($AI$472:$AI$485)&lt;14,"",AVERAGE($AI$472:$AI$485))</f>
        <v>0</v>
      </c>
      <c r="AK485">
        <f>IF(COUNT($E$2:$E485)&lt;20,"",AVERAGE($E$466:$E$485))</f>
        <v>0</v>
      </c>
      <c r="AL485">
        <f>IF(COUNT($E$2:$E485)&lt;20,"",STDEVP($E$466:$E$485))</f>
        <v>0</v>
      </c>
      <c r="AM485">
        <f>IF(AK485="","",AK485+2*AL485)</f>
        <v>0</v>
      </c>
      <c r="AN485">
        <f>IF(AK485="","",AK485-2*AL485)</f>
        <v>0</v>
      </c>
      <c r="AO485">
        <f>IF(OR(AM485="",AN485="",AM485=AN485),"",($E485-AN485)/(AM485-AN485))</f>
        <v>0</v>
      </c>
      <c r="AP485">
        <f>IF(OR(AM485="",AK485="",AK485=0),"",(AM485-AN485)/AK485)</f>
        <v>0</v>
      </c>
      <c r="AQ485">
        <f>IF(COUNT($E$2:$E485)&lt;20,"",MAX($C$466:$C$485))</f>
        <v>0</v>
      </c>
      <c r="AR485">
        <f>IF(COUNT($E$2:$E485)&lt;20,"",MIN($D$466:$D$485))</f>
        <v>0</v>
      </c>
      <c r="AS485">
        <f>IF(OR(AQ485="",AR485=""),"",(AQ485+AR485)/2)</f>
        <v>0</v>
      </c>
      <c r="AT485">
        <f>IF(COUNT($G$466:$G$485)&lt;20,"",STDEV($G$466:$G$485)*SQRT(252))</f>
        <v>0</v>
      </c>
      <c r="AU485">
        <f>IF(COUNT($E$2:$E485)&lt;9,"",(MAX($C$477:$C$485)+MIN($D$477:$D$485))/2)</f>
        <v>0</v>
      </c>
      <c r="AV485">
        <f>IF(COUNT($E$2:$E485)&lt;26,"",(MAX($C$460:$C$485)+MIN($D$460:$D$485))/2)</f>
        <v>0</v>
      </c>
      <c r="AW485">
        <f>IF(OR(AU485="",AV485=""),"",(AU485+AV485)/2)</f>
        <v>0</v>
      </c>
      <c r="AX485">
        <f>IF(COUNT($E$2:$E485)&lt;52,"",(MAX($C$434:$C$485)+MIN($D$434:$D$485))/2)</f>
        <v>0</v>
      </c>
      <c r="AY485">
        <f>IF(COUNT($E$2:$E485)&lt;20,"",MAX($C$386:$C$485))</f>
        <v>0</v>
      </c>
      <c r="AZ485">
        <f>IF(COUNT($E$2:$E485)&lt;20,"",MIN($D$386:$D$485))</f>
        <v>0</v>
      </c>
      <c r="BA485">
        <f>IF(COUNT($E$2:$E485)&lt;20,"",SLOPE($E$386:$E$485,$F$386:$F$485))</f>
        <v>0</v>
      </c>
      <c r="BB485">
        <f>IF(COUNT($E$2:$E485)&lt;20,"",INTERCEPT($E$386:$E$485,$F$386:$F$485))</f>
        <v>0</v>
      </c>
      <c r="BC485">
        <f>IF(OR(BA485="",BB485=""),"",BB485+BA485*F485)</f>
        <v>0</v>
      </c>
      <c r="BD485">
        <f>IF(COUNT($E$2:$E485)&lt;20,"",STEYX($E$386:$E$485,$F$386:$F$485))</f>
        <v>0</v>
      </c>
      <c r="BE485">
        <f>IF($E485="","",IF(AND(COUNT($E$486:$E$489)&gt;=4,$C485=MAX($C$481:$C$489)),$C485,""))</f>
        <v>0</v>
      </c>
      <c r="BF485">
        <f>IF($E485="","",IF(AND(COUNT($E$486:$E$489)&gt;=4,$D485=MIN($D$481:$D$489)),$D485,""))</f>
        <v>0</v>
      </c>
      <c r="BG485">
        <f>IF($A485="","",$A485-WEEKDAY($A485,2)+1)</f>
        <v>0</v>
      </c>
      <c r="BH485">
        <f>IF($A485="","",IF($A484="",1,IF(BG485&lt;&gt;BG484,1,0)))</f>
        <v>0</v>
      </c>
      <c r="BI485">
        <f>IF($A485="","",IF($A486="",1,IF(BG486&lt;&gt;BG485,1,0)))</f>
        <v>0</v>
      </c>
      <c r="BJ485">
        <f>IF($A485="","",IF(BH485=1,$B485,BJ484))</f>
        <v>0</v>
      </c>
      <c r="BK485">
        <f>IF($A485="","",IF(BH485=1,$C485,MAX($C485,BK484)))</f>
        <v>0</v>
      </c>
      <c r="BL485">
        <f>IF($A485="","",IF(BH485=1,$D485,MIN($D485,BL484)))</f>
        <v>0</v>
      </c>
      <c r="BM485">
        <f>IF($A485="","",IF(BI485=1,F485,""))</f>
        <v>0</v>
      </c>
      <c r="BN485">
        <f>IF($A485="","",DATE(YEAR($A485),MONTH($A485),1))</f>
        <v>0</v>
      </c>
      <c r="BO485">
        <f>IF($A485="","",IF($A484="",1,IF(BN485&lt;&gt;BN484,1,0)))</f>
        <v>0</v>
      </c>
      <c r="BP485">
        <f>IF($A485="","",IF($A486="",1,IF(BN486&lt;&gt;BN485,1,0)))</f>
        <v>0</v>
      </c>
      <c r="BQ485">
        <f>IF($A485="","",IF(BO485=1,$B485,BQ484))</f>
        <v>0</v>
      </c>
      <c r="BR485">
        <f>IF($A485="","",IF(BO485=1,$C485,MAX($C485,BR484)))</f>
        <v>0</v>
      </c>
      <c r="BS485">
        <f>IF($A485="","",IF(BO485=1,$D485,MIN($D485,BS484)))</f>
        <v>0</v>
      </c>
      <c r="BT485">
        <f>IF($A485="","",IF(BP485=1,F485,""))</f>
        <v>0</v>
      </c>
    </row>
    <row r="486" spans="1:72">
      <c r="A486" s="27">
        <f>IF(Data!$A486="","",Data!$A486)</f>
        <v>0</v>
      </c>
      <c r="B486">
        <f>IF(Data!$B486="","",Data!$B486)</f>
        <v>0</v>
      </c>
      <c r="C486">
        <f>IF(Data!$C486="","",Data!$C486)</f>
        <v>0</v>
      </c>
      <c r="D486">
        <f>IF(Data!$D486="","",Data!$D486)</f>
        <v>0</v>
      </c>
      <c r="E486">
        <f>IF(Data!$E486="","",Data!$E486)</f>
        <v>0</v>
      </c>
      <c r="F486">
        <f>IF($E486="","",N(F485)+1)</f>
        <v>0</v>
      </c>
      <c r="G486">
        <f>IF(OR($E486="",$E485=""),"",LN($E486/$E485))</f>
        <v>0</v>
      </c>
      <c r="H486">
        <f>IF($E486="","",IF($E485="",$E486,$E486*0.0952380952+H485*0.9047619048))</f>
        <v>0</v>
      </c>
      <c r="I486">
        <f>IF($E486="","",IF($E485="",$E486,$E486*0.0392156863+I485*0.9607843137))</f>
        <v>0</v>
      </c>
      <c r="J486">
        <f>IF($E486="","",IF($E485="",$E486,$E486*0.0198019802+J485*0.9801980198))</f>
        <v>0</v>
      </c>
      <c r="K486">
        <f>IF($E486="","",IF($E485="",$E486,$E486*0.0099502488+K485*0.9900497512))</f>
        <v>0</v>
      </c>
      <c r="L486">
        <f>IF(OR($E486="",$E485=""),"",MAX($E486-$E485,0))</f>
        <v>0</v>
      </c>
      <c r="M486">
        <f>IF(OR($E486="",$E485=""),"",MAX($E485-$E486,0))</f>
        <v>0</v>
      </c>
      <c r="N486">
        <f>IF(COUNT($E$2:$E486)&lt;15,"",IF(AVERAGE($M$473:$M$486)=0,100,100-100/(1+AVERAGE($L$473:$L$486)/AVERAGE($M$473:$M$486))))</f>
        <v>0</v>
      </c>
      <c r="O486">
        <f>IF($E486="","",IF($E485="",$E486,$E486*0.1538461538+O485*0.8461538462))</f>
        <v>0</v>
      </c>
      <c r="P486">
        <f>IF($E486="","",IF($E485="",$E486,$E486*0.0740740741+P485*0.9259259259))</f>
        <v>0</v>
      </c>
      <c r="Q486">
        <f>IF(OR(O486="",P486=""),"",O486-P486)</f>
        <v>0</v>
      </c>
      <c r="R486">
        <f>IF(Q486="","",IF(R485="",Q486,Q486*0.2000000000+R485*0.8000000000))</f>
        <v>0</v>
      </c>
      <c r="S486">
        <f>IF(OR(Q486="",R486=""),"",Q486-R486)</f>
        <v>0</v>
      </c>
      <c r="T486">
        <f>IF(COUNT($E$2:$E486)&lt;14,"",MAX($C$473:$C$486))</f>
        <v>0</v>
      </c>
      <c r="U486">
        <f>IF(COUNT($E$2:$E486)&lt;14,"",MIN($D$473:$D$486))</f>
        <v>0</v>
      </c>
      <c r="V486">
        <f>IF(OR(T486="",U486="",T486=U486),"",100*($E486-U486)/(T486-U486))</f>
        <v>0</v>
      </c>
      <c r="W486">
        <f>IF(COUNT($V$484:$V$486)&lt;3,"",AVERAGE($V$484:$V$486))</f>
        <v>0</v>
      </c>
      <c r="X486">
        <f>IF(COUNT($N$473:$N$486)&lt;14,"",MIN($N$473:$N$486))</f>
        <v>0</v>
      </c>
      <c r="Y486">
        <f>IF(COUNT($N$473:$N$486)&lt;14,"",MAX($N$473:$N$486))</f>
        <v>0</v>
      </c>
      <c r="Z486">
        <f>IF(OR(N486="",X486="",Y486="",Y486=X486),"",100*(N486-X486)/(Y486-X486))</f>
        <v>0</v>
      </c>
      <c r="AA486">
        <f>IF(COUNT($Z$484:$Z$486)&lt;3,"",AVERAGE($Z$484:$Z$486))</f>
        <v>0</v>
      </c>
      <c r="AB486">
        <f>IF(COUNT($AA$484:$AA$486)&lt;3,"",AVERAGE($AA$484:$AA$486))</f>
        <v>0</v>
      </c>
      <c r="AC486">
        <f>IF($E486="","",MAX($C486-$D486,ABS($C486-$E485),ABS($D486-$E485)))</f>
        <v>0</v>
      </c>
      <c r="AD486">
        <f>IF(COUNT($E$2:$E486)&lt;15,"",AVERAGE($AC$473:$AC$486))</f>
        <v>0</v>
      </c>
      <c r="AE486">
        <f>IF(OR($E486="",$E485=""),"",IF(AND(($C486-$C485)&gt;($D485-$D486),($C486-$C485)&gt;0),$C486-$C485,0))</f>
        <v>0</v>
      </c>
      <c r="AF486">
        <f>IF(OR($E486="",$E485=""),"",IF(AND(($D485-$D486)&gt;($C486-$C485),($D485-$D486)&gt;0),$D485-$D486,0))</f>
        <v>0</v>
      </c>
      <c r="AG486">
        <f>IF(COUNT($E$2:$E486)&lt;15,"",IF(SUM($AC$473:$AC$486)=0,0,100*SUM($AE$473:$AE$486)/SUM($AC$473:$AC$486)))</f>
        <v>0</v>
      </c>
      <c r="AH486">
        <f>IF(COUNT($E$2:$E486)&lt;15,"",IF(SUM($AC$473:$AC$486)=0,0,100*SUM($AF$473:$AF$486)/SUM($AC$473:$AC$486)))</f>
        <v>0</v>
      </c>
      <c r="AI486">
        <f>IF(OR(AG486="",AH486=""),"",IF((AG486+AH486)=0,0,100*ABS(AG486-AH486)/(AG486+AH486)))</f>
        <v>0</v>
      </c>
      <c r="AJ486">
        <f>IF(COUNT($AI$473:$AI$486)&lt;14,"",AVERAGE($AI$473:$AI$486))</f>
        <v>0</v>
      </c>
      <c r="AK486">
        <f>IF(COUNT($E$2:$E486)&lt;20,"",AVERAGE($E$467:$E$486))</f>
        <v>0</v>
      </c>
      <c r="AL486">
        <f>IF(COUNT($E$2:$E486)&lt;20,"",STDEVP($E$467:$E$486))</f>
        <v>0</v>
      </c>
      <c r="AM486">
        <f>IF(AK486="","",AK486+2*AL486)</f>
        <v>0</v>
      </c>
      <c r="AN486">
        <f>IF(AK486="","",AK486-2*AL486)</f>
        <v>0</v>
      </c>
      <c r="AO486">
        <f>IF(OR(AM486="",AN486="",AM486=AN486),"",($E486-AN486)/(AM486-AN486))</f>
        <v>0</v>
      </c>
      <c r="AP486">
        <f>IF(OR(AM486="",AK486="",AK486=0),"",(AM486-AN486)/AK486)</f>
        <v>0</v>
      </c>
      <c r="AQ486">
        <f>IF(COUNT($E$2:$E486)&lt;20,"",MAX($C$467:$C$486))</f>
        <v>0</v>
      </c>
      <c r="AR486">
        <f>IF(COUNT($E$2:$E486)&lt;20,"",MIN($D$467:$D$486))</f>
        <v>0</v>
      </c>
      <c r="AS486">
        <f>IF(OR(AQ486="",AR486=""),"",(AQ486+AR486)/2)</f>
        <v>0</v>
      </c>
      <c r="AT486">
        <f>IF(COUNT($G$467:$G$486)&lt;20,"",STDEV($G$467:$G$486)*SQRT(252))</f>
        <v>0</v>
      </c>
      <c r="AU486">
        <f>IF(COUNT($E$2:$E486)&lt;9,"",(MAX($C$478:$C$486)+MIN($D$478:$D$486))/2)</f>
        <v>0</v>
      </c>
      <c r="AV486">
        <f>IF(COUNT($E$2:$E486)&lt;26,"",(MAX($C$461:$C$486)+MIN($D$461:$D$486))/2)</f>
        <v>0</v>
      </c>
      <c r="AW486">
        <f>IF(OR(AU486="",AV486=""),"",(AU486+AV486)/2)</f>
        <v>0</v>
      </c>
      <c r="AX486">
        <f>IF(COUNT($E$2:$E486)&lt;52,"",(MAX($C$435:$C$486)+MIN($D$435:$D$486))/2)</f>
        <v>0</v>
      </c>
      <c r="AY486">
        <f>IF(COUNT($E$2:$E486)&lt;20,"",MAX($C$387:$C$486))</f>
        <v>0</v>
      </c>
      <c r="AZ486">
        <f>IF(COUNT($E$2:$E486)&lt;20,"",MIN($D$387:$D$486))</f>
        <v>0</v>
      </c>
      <c r="BA486">
        <f>IF(COUNT($E$2:$E486)&lt;20,"",SLOPE($E$387:$E$486,$F$387:$F$486))</f>
        <v>0</v>
      </c>
      <c r="BB486">
        <f>IF(COUNT($E$2:$E486)&lt;20,"",INTERCEPT($E$387:$E$486,$F$387:$F$486))</f>
        <v>0</v>
      </c>
      <c r="BC486">
        <f>IF(OR(BA486="",BB486=""),"",BB486+BA486*F486)</f>
        <v>0</v>
      </c>
      <c r="BD486">
        <f>IF(COUNT($E$2:$E486)&lt;20,"",STEYX($E$387:$E$486,$F$387:$F$486))</f>
        <v>0</v>
      </c>
      <c r="BE486">
        <f>IF($E486="","",IF(AND(COUNT($E$487:$E$490)&gt;=4,$C486=MAX($C$482:$C$490)),$C486,""))</f>
        <v>0</v>
      </c>
      <c r="BF486">
        <f>IF($E486="","",IF(AND(COUNT($E$487:$E$490)&gt;=4,$D486=MIN($D$482:$D$490)),$D486,""))</f>
        <v>0</v>
      </c>
      <c r="BG486">
        <f>IF($A486="","",$A486-WEEKDAY($A486,2)+1)</f>
        <v>0</v>
      </c>
      <c r="BH486">
        <f>IF($A486="","",IF($A485="",1,IF(BG486&lt;&gt;BG485,1,0)))</f>
        <v>0</v>
      </c>
      <c r="BI486">
        <f>IF($A486="","",IF($A487="",1,IF(BG487&lt;&gt;BG486,1,0)))</f>
        <v>0</v>
      </c>
      <c r="BJ486">
        <f>IF($A486="","",IF(BH486=1,$B486,BJ485))</f>
        <v>0</v>
      </c>
      <c r="BK486">
        <f>IF($A486="","",IF(BH486=1,$C486,MAX($C486,BK485)))</f>
        <v>0</v>
      </c>
      <c r="BL486">
        <f>IF($A486="","",IF(BH486=1,$D486,MIN($D486,BL485)))</f>
        <v>0</v>
      </c>
      <c r="BM486">
        <f>IF($A486="","",IF(BI486=1,F486,""))</f>
        <v>0</v>
      </c>
      <c r="BN486">
        <f>IF($A486="","",DATE(YEAR($A486),MONTH($A486),1))</f>
        <v>0</v>
      </c>
      <c r="BO486">
        <f>IF($A486="","",IF($A485="",1,IF(BN486&lt;&gt;BN485,1,0)))</f>
        <v>0</v>
      </c>
      <c r="BP486">
        <f>IF($A486="","",IF($A487="",1,IF(BN487&lt;&gt;BN486,1,0)))</f>
        <v>0</v>
      </c>
      <c r="BQ486">
        <f>IF($A486="","",IF(BO486=1,$B486,BQ485))</f>
        <v>0</v>
      </c>
      <c r="BR486">
        <f>IF($A486="","",IF(BO486=1,$C486,MAX($C486,BR485)))</f>
        <v>0</v>
      </c>
      <c r="BS486">
        <f>IF($A486="","",IF(BO486=1,$D486,MIN($D486,BS485)))</f>
        <v>0</v>
      </c>
      <c r="BT486">
        <f>IF($A486="","",IF(BP486=1,F486,""))</f>
        <v>0</v>
      </c>
    </row>
    <row r="487" spans="1:72">
      <c r="A487" s="27">
        <f>IF(Data!$A487="","",Data!$A487)</f>
        <v>0</v>
      </c>
      <c r="B487">
        <f>IF(Data!$B487="","",Data!$B487)</f>
        <v>0</v>
      </c>
      <c r="C487">
        <f>IF(Data!$C487="","",Data!$C487)</f>
        <v>0</v>
      </c>
      <c r="D487">
        <f>IF(Data!$D487="","",Data!$D487)</f>
        <v>0</v>
      </c>
      <c r="E487">
        <f>IF(Data!$E487="","",Data!$E487)</f>
        <v>0</v>
      </c>
      <c r="F487">
        <f>IF($E487="","",N(F486)+1)</f>
        <v>0</v>
      </c>
      <c r="G487">
        <f>IF(OR($E487="",$E486=""),"",LN($E487/$E486))</f>
        <v>0</v>
      </c>
      <c r="H487">
        <f>IF($E487="","",IF($E486="",$E487,$E487*0.0952380952+H486*0.9047619048))</f>
        <v>0</v>
      </c>
      <c r="I487">
        <f>IF($E487="","",IF($E486="",$E487,$E487*0.0392156863+I486*0.9607843137))</f>
        <v>0</v>
      </c>
      <c r="J487">
        <f>IF($E487="","",IF($E486="",$E487,$E487*0.0198019802+J486*0.9801980198))</f>
        <v>0</v>
      </c>
      <c r="K487">
        <f>IF($E487="","",IF($E486="",$E487,$E487*0.0099502488+K486*0.9900497512))</f>
        <v>0</v>
      </c>
      <c r="L487">
        <f>IF(OR($E487="",$E486=""),"",MAX($E487-$E486,0))</f>
        <v>0</v>
      </c>
      <c r="M487">
        <f>IF(OR($E487="",$E486=""),"",MAX($E486-$E487,0))</f>
        <v>0</v>
      </c>
      <c r="N487">
        <f>IF(COUNT($E$2:$E487)&lt;15,"",IF(AVERAGE($M$474:$M$487)=0,100,100-100/(1+AVERAGE($L$474:$L$487)/AVERAGE($M$474:$M$487))))</f>
        <v>0</v>
      </c>
      <c r="O487">
        <f>IF($E487="","",IF($E486="",$E487,$E487*0.1538461538+O486*0.8461538462))</f>
        <v>0</v>
      </c>
      <c r="P487">
        <f>IF($E487="","",IF($E486="",$E487,$E487*0.0740740741+P486*0.9259259259))</f>
        <v>0</v>
      </c>
      <c r="Q487">
        <f>IF(OR(O487="",P487=""),"",O487-P487)</f>
        <v>0</v>
      </c>
      <c r="R487">
        <f>IF(Q487="","",IF(R486="",Q487,Q487*0.2000000000+R486*0.8000000000))</f>
        <v>0</v>
      </c>
      <c r="S487">
        <f>IF(OR(Q487="",R487=""),"",Q487-R487)</f>
        <v>0</v>
      </c>
      <c r="T487">
        <f>IF(COUNT($E$2:$E487)&lt;14,"",MAX($C$474:$C$487))</f>
        <v>0</v>
      </c>
      <c r="U487">
        <f>IF(COUNT($E$2:$E487)&lt;14,"",MIN($D$474:$D$487))</f>
        <v>0</v>
      </c>
      <c r="V487">
        <f>IF(OR(T487="",U487="",T487=U487),"",100*($E487-U487)/(T487-U487))</f>
        <v>0</v>
      </c>
      <c r="W487">
        <f>IF(COUNT($V$485:$V$487)&lt;3,"",AVERAGE($V$485:$V$487))</f>
        <v>0</v>
      </c>
      <c r="X487">
        <f>IF(COUNT($N$474:$N$487)&lt;14,"",MIN($N$474:$N$487))</f>
        <v>0</v>
      </c>
      <c r="Y487">
        <f>IF(COUNT($N$474:$N$487)&lt;14,"",MAX($N$474:$N$487))</f>
        <v>0</v>
      </c>
      <c r="Z487">
        <f>IF(OR(N487="",X487="",Y487="",Y487=X487),"",100*(N487-X487)/(Y487-X487))</f>
        <v>0</v>
      </c>
      <c r="AA487">
        <f>IF(COUNT($Z$485:$Z$487)&lt;3,"",AVERAGE($Z$485:$Z$487))</f>
        <v>0</v>
      </c>
      <c r="AB487">
        <f>IF(COUNT($AA$485:$AA$487)&lt;3,"",AVERAGE($AA$485:$AA$487))</f>
        <v>0</v>
      </c>
      <c r="AC487">
        <f>IF($E487="","",MAX($C487-$D487,ABS($C487-$E486),ABS($D487-$E486)))</f>
        <v>0</v>
      </c>
      <c r="AD487">
        <f>IF(COUNT($E$2:$E487)&lt;15,"",AVERAGE($AC$474:$AC$487))</f>
        <v>0</v>
      </c>
      <c r="AE487">
        <f>IF(OR($E487="",$E486=""),"",IF(AND(($C487-$C486)&gt;($D486-$D487),($C487-$C486)&gt;0),$C487-$C486,0))</f>
        <v>0</v>
      </c>
      <c r="AF487">
        <f>IF(OR($E487="",$E486=""),"",IF(AND(($D486-$D487)&gt;($C487-$C486),($D486-$D487)&gt;0),$D486-$D487,0))</f>
        <v>0</v>
      </c>
      <c r="AG487">
        <f>IF(COUNT($E$2:$E487)&lt;15,"",IF(SUM($AC$474:$AC$487)=0,0,100*SUM($AE$474:$AE$487)/SUM($AC$474:$AC$487)))</f>
        <v>0</v>
      </c>
      <c r="AH487">
        <f>IF(COUNT($E$2:$E487)&lt;15,"",IF(SUM($AC$474:$AC$487)=0,0,100*SUM($AF$474:$AF$487)/SUM($AC$474:$AC$487)))</f>
        <v>0</v>
      </c>
      <c r="AI487">
        <f>IF(OR(AG487="",AH487=""),"",IF((AG487+AH487)=0,0,100*ABS(AG487-AH487)/(AG487+AH487)))</f>
        <v>0</v>
      </c>
      <c r="AJ487">
        <f>IF(COUNT($AI$474:$AI$487)&lt;14,"",AVERAGE($AI$474:$AI$487))</f>
        <v>0</v>
      </c>
      <c r="AK487">
        <f>IF(COUNT($E$2:$E487)&lt;20,"",AVERAGE($E$468:$E$487))</f>
        <v>0</v>
      </c>
      <c r="AL487">
        <f>IF(COUNT($E$2:$E487)&lt;20,"",STDEVP($E$468:$E$487))</f>
        <v>0</v>
      </c>
      <c r="AM487">
        <f>IF(AK487="","",AK487+2*AL487)</f>
        <v>0</v>
      </c>
      <c r="AN487">
        <f>IF(AK487="","",AK487-2*AL487)</f>
        <v>0</v>
      </c>
      <c r="AO487">
        <f>IF(OR(AM487="",AN487="",AM487=AN487),"",($E487-AN487)/(AM487-AN487))</f>
        <v>0</v>
      </c>
      <c r="AP487">
        <f>IF(OR(AM487="",AK487="",AK487=0),"",(AM487-AN487)/AK487)</f>
        <v>0</v>
      </c>
      <c r="AQ487">
        <f>IF(COUNT($E$2:$E487)&lt;20,"",MAX($C$468:$C$487))</f>
        <v>0</v>
      </c>
      <c r="AR487">
        <f>IF(COUNT($E$2:$E487)&lt;20,"",MIN($D$468:$D$487))</f>
        <v>0</v>
      </c>
      <c r="AS487">
        <f>IF(OR(AQ487="",AR487=""),"",(AQ487+AR487)/2)</f>
        <v>0</v>
      </c>
      <c r="AT487">
        <f>IF(COUNT($G$468:$G$487)&lt;20,"",STDEV($G$468:$G$487)*SQRT(252))</f>
        <v>0</v>
      </c>
      <c r="AU487">
        <f>IF(COUNT($E$2:$E487)&lt;9,"",(MAX($C$479:$C$487)+MIN($D$479:$D$487))/2)</f>
        <v>0</v>
      </c>
      <c r="AV487">
        <f>IF(COUNT($E$2:$E487)&lt;26,"",(MAX($C$462:$C$487)+MIN($D$462:$D$487))/2)</f>
        <v>0</v>
      </c>
      <c r="AW487">
        <f>IF(OR(AU487="",AV487=""),"",(AU487+AV487)/2)</f>
        <v>0</v>
      </c>
      <c r="AX487">
        <f>IF(COUNT($E$2:$E487)&lt;52,"",(MAX($C$436:$C$487)+MIN($D$436:$D$487))/2)</f>
        <v>0</v>
      </c>
      <c r="AY487">
        <f>IF(COUNT($E$2:$E487)&lt;20,"",MAX($C$388:$C$487))</f>
        <v>0</v>
      </c>
      <c r="AZ487">
        <f>IF(COUNT($E$2:$E487)&lt;20,"",MIN($D$388:$D$487))</f>
        <v>0</v>
      </c>
      <c r="BA487">
        <f>IF(COUNT($E$2:$E487)&lt;20,"",SLOPE($E$388:$E$487,$F$388:$F$487))</f>
        <v>0</v>
      </c>
      <c r="BB487">
        <f>IF(COUNT($E$2:$E487)&lt;20,"",INTERCEPT($E$388:$E$487,$F$388:$F$487))</f>
        <v>0</v>
      </c>
      <c r="BC487">
        <f>IF(OR(BA487="",BB487=""),"",BB487+BA487*F487)</f>
        <v>0</v>
      </c>
      <c r="BD487">
        <f>IF(COUNT($E$2:$E487)&lt;20,"",STEYX($E$388:$E$487,$F$388:$F$487))</f>
        <v>0</v>
      </c>
      <c r="BE487">
        <f>IF($E487="","",IF(AND(COUNT($E$488:$E$491)&gt;=4,$C487=MAX($C$483:$C$491)),$C487,""))</f>
        <v>0</v>
      </c>
      <c r="BF487">
        <f>IF($E487="","",IF(AND(COUNT($E$488:$E$491)&gt;=4,$D487=MIN($D$483:$D$491)),$D487,""))</f>
        <v>0</v>
      </c>
      <c r="BG487">
        <f>IF($A487="","",$A487-WEEKDAY($A487,2)+1)</f>
        <v>0</v>
      </c>
      <c r="BH487">
        <f>IF($A487="","",IF($A486="",1,IF(BG487&lt;&gt;BG486,1,0)))</f>
        <v>0</v>
      </c>
      <c r="BI487">
        <f>IF($A487="","",IF($A488="",1,IF(BG488&lt;&gt;BG487,1,0)))</f>
        <v>0</v>
      </c>
      <c r="BJ487">
        <f>IF($A487="","",IF(BH487=1,$B487,BJ486))</f>
        <v>0</v>
      </c>
      <c r="BK487">
        <f>IF($A487="","",IF(BH487=1,$C487,MAX($C487,BK486)))</f>
        <v>0</v>
      </c>
      <c r="BL487">
        <f>IF($A487="","",IF(BH487=1,$D487,MIN($D487,BL486)))</f>
        <v>0</v>
      </c>
      <c r="BM487">
        <f>IF($A487="","",IF(BI487=1,F487,""))</f>
        <v>0</v>
      </c>
      <c r="BN487">
        <f>IF($A487="","",DATE(YEAR($A487),MONTH($A487),1))</f>
        <v>0</v>
      </c>
      <c r="BO487">
        <f>IF($A487="","",IF($A486="",1,IF(BN487&lt;&gt;BN486,1,0)))</f>
        <v>0</v>
      </c>
      <c r="BP487">
        <f>IF($A487="","",IF($A488="",1,IF(BN488&lt;&gt;BN487,1,0)))</f>
        <v>0</v>
      </c>
      <c r="BQ487">
        <f>IF($A487="","",IF(BO487=1,$B487,BQ486))</f>
        <v>0</v>
      </c>
      <c r="BR487">
        <f>IF($A487="","",IF(BO487=1,$C487,MAX($C487,BR486)))</f>
        <v>0</v>
      </c>
      <c r="BS487">
        <f>IF($A487="","",IF(BO487=1,$D487,MIN($D487,BS486)))</f>
        <v>0</v>
      </c>
      <c r="BT487">
        <f>IF($A487="","",IF(BP487=1,F487,""))</f>
        <v>0</v>
      </c>
    </row>
    <row r="488" spans="1:72">
      <c r="A488" s="27">
        <f>IF(Data!$A488="","",Data!$A488)</f>
        <v>0</v>
      </c>
      <c r="B488">
        <f>IF(Data!$B488="","",Data!$B488)</f>
        <v>0</v>
      </c>
      <c r="C488">
        <f>IF(Data!$C488="","",Data!$C488)</f>
        <v>0</v>
      </c>
      <c r="D488">
        <f>IF(Data!$D488="","",Data!$D488)</f>
        <v>0</v>
      </c>
      <c r="E488">
        <f>IF(Data!$E488="","",Data!$E488)</f>
        <v>0</v>
      </c>
      <c r="F488">
        <f>IF($E488="","",N(F487)+1)</f>
        <v>0</v>
      </c>
      <c r="G488">
        <f>IF(OR($E488="",$E487=""),"",LN($E488/$E487))</f>
        <v>0</v>
      </c>
      <c r="H488">
        <f>IF($E488="","",IF($E487="",$E488,$E488*0.0952380952+H487*0.9047619048))</f>
        <v>0</v>
      </c>
      <c r="I488">
        <f>IF($E488="","",IF($E487="",$E488,$E488*0.0392156863+I487*0.9607843137))</f>
        <v>0</v>
      </c>
      <c r="J488">
        <f>IF($E488="","",IF($E487="",$E488,$E488*0.0198019802+J487*0.9801980198))</f>
        <v>0</v>
      </c>
      <c r="K488">
        <f>IF($E488="","",IF($E487="",$E488,$E488*0.0099502488+K487*0.9900497512))</f>
        <v>0</v>
      </c>
      <c r="L488">
        <f>IF(OR($E488="",$E487=""),"",MAX($E488-$E487,0))</f>
        <v>0</v>
      </c>
      <c r="M488">
        <f>IF(OR($E488="",$E487=""),"",MAX($E487-$E488,0))</f>
        <v>0</v>
      </c>
      <c r="N488">
        <f>IF(COUNT($E$2:$E488)&lt;15,"",IF(AVERAGE($M$475:$M$488)=0,100,100-100/(1+AVERAGE($L$475:$L$488)/AVERAGE($M$475:$M$488))))</f>
        <v>0</v>
      </c>
      <c r="O488">
        <f>IF($E488="","",IF($E487="",$E488,$E488*0.1538461538+O487*0.8461538462))</f>
        <v>0</v>
      </c>
      <c r="P488">
        <f>IF($E488="","",IF($E487="",$E488,$E488*0.0740740741+P487*0.9259259259))</f>
        <v>0</v>
      </c>
      <c r="Q488">
        <f>IF(OR(O488="",P488=""),"",O488-P488)</f>
        <v>0</v>
      </c>
      <c r="R488">
        <f>IF(Q488="","",IF(R487="",Q488,Q488*0.2000000000+R487*0.8000000000))</f>
        <v>0</v>
      </c>
      <c r="S488">
        <f>IF(OR(Q488="",R488=""),"",Q488-R488)</f>
        <v>0</v>
      </c>
      <c r="T488">
        <f>IF(COUNT($E$2:$E488)&lt;14,"",MAX($C$475:$C$488))</f>
        <v>0</v>
      </c>
      <c r="U488">
        <f>IF(COUNT($E$2:$E488)&lt;14,"",MIN($D$475:$D$488))</f>
        <v>0</v>
      </c>
      <c r="V488">
        <f>IF(OR(T488="",U488="",T488=U488),"",100*($E488-U488)/(T488-U488))</f>
        <v>0</v>
      </c>
      <c r="W488">
        <f>IF(COUNT($V$486:$V$488)&lt;3,"",AVERAGE($V$486:$V$488))</f>
        <v>0</v>
      </c>
      <c r="X488">
        <f>IF(COUNT($N$475:$N$488)&lt;14,"",MIN($N$475:$N$488))</f>
        <v>0</v>
      </c>
      <c r="Y488">
        <f>IF(COUNT($N$475:$N$488)&lt;14,"",MAX($N$475:$N$488))</f>
        <v>0</v>
      </c>
      <c r="Z488">
        <f>IF(OR(N488="",X488="",Y488="",Y488=X488),"",100*(N488-X488)/(Y488-X488))</f>
        <v>0</v>
      </c>
      <c r="AA488">
        <f>IF(COUNT($Z$486:$Z$488)&lt;3,"",AVERAGE($Z$486:$Z$488))</f>
        <v>0</v>
      </c>
      <c r="AB488">
        <f>IF(COUNT($AA$486:$AA$488)&lt;3,"",AVERAGE($AA$486:$AA$488))</f>
        <v>0</v>
      </c>
      <c r="AC488">
        <f>IF($E488="","",MAX($C488-$D488,ABS($C488-$E487),ABS($D488-$E487)))</f>
        <v>0</v>
      </c>
      <c r="AD488">
        <f>IF(COUNT($E$2:$E488)&lt;15,"",AVERAGE($AC$475:$AC$488))</f>
        <v>0</v>
      </c>
      <c r="AE488">
        <f>IF(OR($E488="",$E487=""),"",IF(AND(($C488-$C487)&gt;($D487-$D488),($C488-$C487)&gt;0),$C488-$C487,0))</f>
        <v>0</v>
      </c>
      <c r="AF488">
        <f>IF(OR($E488="",$E487=""),"",IF(AND(($D487-$D488)&gt;($C488-$C487),($D487-$D488)&gt;0),$D487-$D488,0))</f>
        <v>0</v>
      </c>
      <c r="AG488">
        <f>IF(COUNT($E$2:$E488)&lt;15,"",IF(SUM($AC$475:$AC$488)=0,0,100*SUM($AE$475:$AE$488)/SUM($AC$475:$AC$488)))</f>
        <v>0</v>
      </c>
      <c r="AH488">
        <f>IF(COUNT($E$2:$E488)&lt;15,"",IF(SUM($AC$475:$AC$488)=0,0,100*SUM($AF$475:$AF$488)/SUM($AC$475:$AC$488)))</f>
        <v>0</v>
      </c>
      <c r="AI488">
        <f>IF(OR(AG488="",AH488=""),"",IF((AG488+AH488)=0,0,100*ABS(AG488-AH488)/(AG488+AH488)))</f>
        <v>0</v>
      </c>
      <c r="AJ488">
        <f>IF(COUNT($AI$475:$AI$488)&lt;14,"",AVERAGE($AI$475:$AI$488))</f>
        <v>0</v>
      </c>
      <c r="AK488">
        <f>IF(COUNT($E$2:$E488)&lt;20,"",AVERAGE($E$469:$E$488))</f>
        <v>0</v>
      </c>
      <c r="AL488">
        <f>IF(COUNT($E$2:$E488)&lt;20,"",STDEVP($E$469:$E$488))</f>
        <v>0</v>
      </c>
      <c r="AM488">
        <f>IF(AK488="","",AK488+2*AL488)</f>
        <v>0</v>
      </c>
      <c r="AN488">
        <f>IF(AK488="","",AK488-2*AL488)</f>
        <v>0</v>
      </c>
      <c r="AO488">
        <f>IF(OR(AM488="",AN488="",AM488=AN488),"",($E488-AN488)/(AM488-AN488))</f>
        <v>0</v>
      </c>
      <c r="AP488">
        <f>IF(OR(AM488="",AK488="",AK488=0),"",(AM488-AN488)/AK488)</f>
        <v>0</v>
      </c>
      <c r="AQ488">
        <f>IF(COUNT($E$2:$E488)&lt;20,"",MAX($C$469:$C$488))</f>
        <v>0</v>
      </c>
      <c r="AR488">
        <f>IF(COUNT($E$2:$E488)&lt;20,"",MIN($D$469:$D$488))</f>
        <v>0</v>
      </c>
      <c r="AS488">
        <f>IF(OR(AQ488="",AR488=""),"",(AQ488+AR488)/2)</f>
        <v>0</v>
      </c>
      <c r="AT488">
        <f>IF(COUNT($G$469:$G$488)&lt;20,"",STDEV($G$469:$G$488)*SQRT(252))</f>
        <v>0</v>
      </c>
      <c r="AU488">
        <f>IF(COUNT($E$2:$E488)&lt;9,"",(MAX($C$480:$C$488)+MIN($D$480:$D$488))/2)</f>
        <v>0</v>
      </c>
      <c r="AV488">
        <f>IF(COUNT($E$2:$E488)&lt;26,"",(MAX($C$463:$C$488)+MIN($D$463:$D$488))/2)</f>
        <v>0</v>
      </c>
      <c r="AW488">
        <f>IF(OR(AU488="",AV488=""),"",(AU488+AV488)/2)</f>
        <v>0</v>
      </c>
      <c r="AX488">
        <f>IF(COUNT($E$2:$E488)&lt;52,"",(MAX($C$437:$C$488)+MIN($D$437:$D$488))/2)</f>
        <v>0</v>
      </c>
      <c r="AY488">
        <f>IF(COUNT($E$2:$E488)&lt;20,"",MAX($C$389:$C$488))</f>
        <v>0</v>
      </c>
      <c r="AZ488">
        <f>IF(COUNT($E$2:$E488)&lt;20,"",MIN($D$389:$D$488))</f>
        <v>0</v>
      </c>
      <c r="BA488">
        <f>IF(COUNT($E$2:$E488)&lt;20,"",SLOPE($E$389:$E$488,$F$389:$F$488))</f>
        <v>0</v>
      </c>
      <c r="BB488">
        <f>IF(COUNT($E$2:$E488)&lt;20,"",INTERCEPT($E$389:$E$488,$F$389:$F$488))</f>
        <v>0</v>
      </c>
      <c r="BC488">
        <f>IF(OR(BA488="",BB488=""),"",BB488+BA488*F488)</f>
        <v>0</v>
      </c>
      <c r="BD488">
        <f>IF(COUNT($E$2:$E488)&lt;20,"",STEYX($E$389:$E$488,$F$389:$F$488))</f>
        <v>0</v>
      </c>
      <c r="BE488">
        <f>IF($E488="","",IF(AND(COUNT($E$489:$E$492)&gt;=4,$C488=MAX($C$484:$C$492)),$C488,""))</f>
        <v>0</v>
      </c>
      <c r="BF488">
        <f>IF($E488="","",IF(AND(COUNT($E$489:$E$492)&gt;=4,$D488=MIN($D$484:$D$492)),$D488,""))</f>
        <v>0</v>
      </c>
      <c r="BG488">
        <f>IF($A488="","",$A488-WEEKDAY($A488,2)+1)</f>
        <v>0</v>
      </c>
      <c r="BH488">
        <f>IF($A488="","",IF($A487="",1,IF(BG488&lt;&gt;BG487,1,0)))</f>
        <v>0</v>
      </c>
      <c r="BI488">
        <f>IF($A488="","",IF($A489="",1,IF(BG489&lt;&gt;BG488,1,0)))</f>
        <v>0</v>
      </c>
      <c r="BJ488">
        <f>IF($A488="","",IF(BH488=1,$B488,BJ487))</f>
        <v>0</v>
      </c>
      <c r="BK488">
        <f>IF($A488="","",IF(BH488=1,$C488,MAX($C488,BK487)))</f>
        <v>0</v>
      </c>
      <c r="BL488">
        <f>IF($A488="","",IF(BH488=1,$D488,MIN($D488,BL487)))</f>
        <v>0</v>
      </c>
      <c r="BM488">
        <f>IF($A488="","",IF(BI488=1,F488,""))</f>
        <v>0</v>
      </c>
      <c r="BN488">
        <f>IF($A488="","",DATE(YEAR($A488),MONTH($A488),1))</f>
        <v>0</v>
      </c>
      <c r="BO488">
        <f>IF($A488="","",IF($A487="",1,IF(BN488&lt;&gt;BN487,1,0)))</f>
        <v>0</v>
      </c>
      <c r="BP488">
        <f>IF($A488="","",IF($A489="",1,IF(BN489&lt;&gt;BN488,1,0)))</f>
        <v>0</v>
      </c>
      <c r="BQ488">
        <f>IF($A488="","",IF(BO488=1,$B488,BQ487))</f>
        <v>0</v>
      </c>
      <c r="BR488">
        <f>IF($A488="","",IF(BO488=1,$C488,MAX($C488,BR487)))</f>
        <v>0</v>
      </c>
      <c r="BS488">
        <f>IF($A488="","",IF(BO488=1,$D488,MIN($D488,BS487)))</f>
        <v>0</v>
      </c>
      <c r="BT488">
        <f>IF($A488="","",IF(BP488=1,F488,""))</f>
        <v>0</v>
      </c>
    </row>
    <row r="489" spans="1:72">
      <c r="A489" s="27">
        <f>IF(Data!$A489="","",Data!$A489)</f>
        <v>0</v>
      </c>
      <c r="B489">
        <f>IF(Data!$B489="","",Data!$B489)</f>
        <v>0</v>
      </c>
      <c r="C489">
        <f>IF(Data!$C489="","",Data!$C489)</f>
        <v>0</v>
      </c>
      <c r="D489">
        <f>IF(Data!$D489="","",Data!$D489)</f>
        <v>0</v>
      </c>
      <c r="E489">
        <f>IF(Data!$E489="","",Data!$E489)</f>
        <v>0</v>
      </c>
      <c r="F489">
        <f>IF($E489="","",N(F488)+1)</f>
        <v>0</v>
      </c>
      <c r="G489">
        <f>IF(OR($E489="",$E488=""),"",LN($E489/$E488))</f>
        <v>0</v>
      </c>
      <c r="H489">
        <f>IF($E489="","",IF($E488="",$E489,$E489*0.0952380952+H488*0.9047619048))</f>
        <v>0</v>
      </c>
      <c r="I489">
        <f>IF($E489="","",IF($E488="",$E489,$E489*0.0392156863+I488*0.9607843137))</f>
        <v>0</v>
      </c>
      <c r="J489">
        <f>IF($E489="","",IF($E488="",$E489,$E489*0.0198019802+J488*0.9801980198))</f>
        <v>0</v>
      </c>
      <c r="K489">
        <f>IF($E489="","",IF($E488="",$E489,$E489*0.0099502488+K488*0.9900497512))</f>
        <v>0</v>
      </c>
      <c r="L489">
        <f>IF(OR($E489="",$E488=""),"",MAX($E489-$E488,0))</f>
        <v>0</v>
      </c>
      <c r="M489">
        <f>IF(OR($E489="",$E488=""),"",MAX($E488-$E489,0))</f>
        <v>0</v>
      </c>
      <c r="N489">
        <f>IF(COUNT($E$2:$E489)&lt;15,"",IF(AVERAGE($M$476:$M$489)=0,100,100-100/(1+AVERAGE($L$476:$L$489)/AVERAGE($M$476:$M$489))))</f>
        <v>0</v>
      </c>
      <c r="O489">
        <f>IF($E489="","",IF($E488="",$E489,$E489*0.1538461538+O488*0.8461538462))</f>
        <v>0</v>
      </c>
      <c r="P489">
        <f>IF($E489="","",IF($E488="",$E489,$E489*0.0740740741+P488*0.9259259259))</f>
        <v>0</v>
      </c>
      <c r="Q489">
        <f>IF(OR(O489="",P489=""),"",O489-P489)</f>
        <v>0</v>
      </c>
      <c r="R489">
        <f>IF(Q489="","",IF(R488="",Q489,Q489*0.2000000000+R488*0.8000000000))</f>
        <v>0</v>
      </c>
      <c r="S489">
        <f>IF(OR(Q489="",R489=""),"",Q489-R489)</f>
        <v>0</v>
      </c>
      <c r="T489">
        <f>IF(COUNT($E$2:$E489)&lt;14,"",MAX($C$476:$C$489))</f>
        <v>0</v>
      </c>
      <c r="U489">
        <f>IF(COUNT($E$2:$E489)&lt;14,"",MIN($D$476:$D$489))</f>
        <v>0</v>
      </c>
      <c r="V489">
        <f>IF(OR(T489="",U489="",T489=U489),"",100*($E489-U489)/(T489-U489))</f>
        <v>0</v>
      </c>
      <c r="W489">
        <f>IF(COUNT($V$487:$V$489)&lt;3,"",AVERAGE($V$487:$V$489))</f>
        <v>0</v>
      </c>
      <c r="X489">
        <f>IF(COUNT($N$476:$N$489)&lt;14,"",MIN($N$476:$N$489))</f>
        <v>0</v>
      </c>
      <c r="Y489">
        <f>IF(COUNT($N$476:$N$489)&lt;14,"",MAX($N$476:$N$489))</f>
        <v>0</v>
      </c>
      <c r="Z489">
        <f>IF(OR(N489="",X489="",Y489="",Y489=X489),"",100*(N489-X489)/(Y489-X489))</f>
        <v>0</v>
      </c>
      <c r="AA489">
        <f>IF(COUNT($Z$487:$Z$489)&lt;3,"",AVERAGE($Z$487:$Z$489))</f>
        <v>0</v>
      </c>
      <c r="AB489">
        <f>IF(COUNT($AA$487:$AA$489)&lt;3,"",AVERAGE($AA$487:$AA$489))</f>
        <v>0</v>
      </c>
      <c r="AC489">
        <f>IF($E489="","",MAX($C489-$D489,ABS($C489-$E488),ABS($D489-$E488)))</f>
        <v>0</v>
      </c>
      <c r="AD489">
        <f>IF(COUNT($E$2:$E489)&lt;15,"",AVERAGE($AC$476:$AC$489))</f>
        <v>0</v>
      </c>
      <c r="AE489">
        <f>IF(OR($E489="",$E488=""),"",IF(AND(($C489-$C488)&gt;($D488-$D489),($C489-$C488)&gt;0),$C489-$C488,0))</f>
        <v>0</v>
      </c>
      <c r="AF489">
        <f>IF(OR($E489="",$E488=""),"",IF(AND(($D488-$D489)&gt;($C489-$C488),($D488-$D489)&gt;0),$D488-$D489,0))</f>
        <v>0</v>
      </c>
      <c r="AG489">
        <f>IF(COUNT($E$2:$E489)&lt;15,"",IF(SUM($AC$476:$AC$489)=0,0,100*SUM($AE$476:$AE$489)/SUM($AC$476:$AC$489)))</f>
        <v>0</v>
      </c>
      <c r="AH489">
        <f>IF(COUNT($E$2:$E489)&lt;15,"",IF(SUM($AC$476:$AC$489)=0,0,100*SUM($AF$476:$AF$489)/SUM($AC$476:$AC$489)))</f>
        <v>0</v>
      </c>
      <c r="AI489">
        <f>IF(OR(AG489="",AH489=""),"",IF((AG489+AH489)=0,0,100*ABS(AG489-AH489)/(AG489+AH489)))</f>
        <v>0</v>
      </c>
      <c r="AJ489">
        <f>IF(COUNT($AI$476:$AI$489)&lt;14,"",AVERAGE($AI$476:$AI$489))</f>
        <v>0</v>
      </c>
      <c r="AK489">
        <f>IF(COUNT($E$2:$E489)&lt;20,"",AVERAGE($E$470:$E$489))</f>
        <v>0</v>
      </c>
      <c r="AL489">
        <f>IF(COUNT($E$2:$E489)&lt;20,"",STDEVP($E$470:$E$489))</f>
        <v>0</v>
      </c>
      <c r="AM489">
        <f>IF(AK489="","",AK489+2*AL489)</f>
        <v>0</v>
      </c>
      <c r="AN489">
        <f>IF(AK489="","",AK489-2*AL489)</f>
        <v>0</v>
      </c>
      <c r="AO489">
        <f>IF(OR(AM489="",AN489="",AM489=AN489),"",($E489-AN489)/(AM489-AN489))</f>
        <v>0</v>
      </c>
      <c r="AP489">
        <f>IF(OR(AM489="",AK489="",AK489=0),"",(AM489-AN489)/AK489)</f>
        <v>0</v>
      </c>
      <c r="AQ489">
        <f>IF(COUNT($E$2:$E489)&lt;20,"",MAX($C$470:$C$489))</f>
        <v>0</v>
      </c>
      <c r="AR489">
        <f>IF(COUNT($E$2:$E489)&lt;20,"",MIN($D$470:$D$489))</f>
        <v>0</v>
      </c>
      <c r="AS489">
        <f>IF(OR(AQ489="",AR489=""),"",(AQ489+AR489)/2)</f>
        <v>0</v>
      </c>
      <c r="AT489">
        <f>IF(COUNT($G$470:$G$489)&lt;20,"",STDEV($G$470:$G$489)*SQRT(252))</f>
        <v>0</v>
      </c>
      <c r="AU489">
        <f>IF(COUNT($E$2:$E489)&lt;9,"",(MAX($C$481:$C$489)+MIN($D$481:$D$489))/2)</f>
        <v>0</v>
      </c>
      <c r="AV489">
        <f>IF(COUNT($E$2:$E489)&lt;26,"",(MAX($C$464:$C$489)+MIN($D$464:$D$489))/2)</f>
        <v>0</v>
      </c>
      <c r="AW489">
        <f>IF(OR(AU489="",AV489=""),"",(AU489+AV489)/2)</f>
        <v>0</v>
      </c>
      <c r="AX489">
        <f>IF(COUNT($E$2:$E489)&lt;52,"",(MAX($C$438:$C$489)+MIN($D$438:$D$489))/2)</f>
        <v>0</v>
      </c>
      <c r="AY489">
        <f>IF(COUNT($E$2:$E489)&lt;20,"",MAX($C$390:$C$489))</f>
        <v>0</v>
      </c>
      <c r="AZ489">
        <f>IF(COUNT($E$2:$E489)&lt;20,"",MIN($D$390:$D$489))</f>
        <v>0</v>
      </c>
      <c r="BA489">
        <f>IF(COUNT($E$2:$E489)&lt;20,"",SLOPE($E$390:$E$489,$F$390:$F$489))</f>
        <v>0</v>
      </c>
      <c r="BB489">
        <f>IF(COUNT($E$2:$E489)&lt;20,"",INTERCEPT($E$390:$E$489,$F$390:$F$489))</f>
        <v>0</v>
      </c>
      <c r="BC489">
        <f>IF(OR(BA489="",BB489=""),"",BB489+BA489*F489)</f>
        <v>0</v>
      </c>
      <c r="BD489">
        <f>IF(COUNT($E$2:$E489)&lt;20,"",STEYX($E$390:$E$489,$F$390:$F$489))</f>
        <v>0</v>
      </c>
      <c r="BE489">
        <f>IF($E489="","",IF(AND(COUNT($E$490:$E$493)&gt;=4,$C489=MAX($C$485:$C$493)),$C489,""))</f>
        <v>0</v>
      </c>
      <c r="BF489">
        <f>IF($E489="","",IF(AND(COUNT($E$490:$E$493)&gt;=4,$D489=MIN($D$485:$D$493)),$D489,""))</f>
        <v>0</v>
      </c>
      <c r="BG489">
        <f>IF($A489="","",$A489-WEEKDAY($A489,2)+1)</f>
        <v>0</v>
      </c>
      <c r="BH489">
        <f>IF($A489="","",IF($A488="",1,IF(BG489&lt;&gt;BG488,1,0)))</f>
        <v>0</v>
      </c>
      <c r="BI489">
        <f>IF($A489="","",IF($A490="",1,IF(BG490&lt;&gt;BG489,1,0)))</f>
        <v>0</v>
      </c>
      <c r="BJ489">
        <f>IF($A489="","",IF(BH489=1,$B489,BJ488))</f>
        <v>0</v>
      </c>
      <c r="BK489">
        <f>IF($A489="","",IF(BH489=1,$C489,MAX($C489,BK488)))</f>
        <v>0</v>
      </c>
      <c r="BL489">
        <f>IF($A489="","",IF(BH489=1,$D489,MIN($D489,BL488)))</f>
        <v>0</v>
      </c>
      <c r="BM489">
        <f>IF($A489="","",IF(BI489=1,F489,""))</f>
        <v>0</v>
      </c>
      <c r="BN489">
        <f>IF($A489="","",DATE(YEAR($A489),MONTH($A489),1))</f>
        <v>0</v>
      </c>
      <c r="BO489">
        <f>IF($A489="","",IF($A488="",1,IF(BN489&lt;&gt;BN488,1,0)))</f>
        <v>0</v>
      </c>
      <c r="BP489">
        <f>IF($A489="","",IF($A490="",1,IF(BN490&lt;&gt;BN489,1,0)))</f>
        <v>0</v>
      </c>
      <c r="BQ489">
        <f>IF($A489="","",IF(BO489=1,$B489,BQ488))</f>
        <v>0</v>
      </c>
      <c r="BR489">
        <f>IF($A489="","",IF(BO489=1,$C489,MAX($C489,BR488)))</f>
        <v>0</v>
      </c>
      <c r="BS489">
        <f>IF($A489="","",IF(BO489=1,$D489,MIN($D489,BS488)))</f>
        <v>0</v>
      </c>
      <c r="BT489">
        <f>IF($A489="","",IF(BP489=1,F489,""))</f>
        <v>0</v>
      </c>
    </row>
    <row r="490" spans="1:72">
      <c r="A490" s="27">
        <f>IF(Data!$A490="","",Data!$A490)</f>
        <v>0</v>
      </c>
      <c r="B490">
        <f>IF(Data!$B490="","",Data!$B490)</f>
        <v>0</v>
      </c>
      <c r="C490">
        <f>IF(Data!$C490="","",Data!$C490)</f>
        <v>0</v>
      </c>
      <c r="D490">
        <f>IF(Data!$D490="","",Data!$D490)</f>
        <v>0</v>
      </c>
      <c r="E490">
        <f>IF(Data!$E490="","",Data!$E490)</f>
        <v>0</v>
      </c>
      <c r="F490">
        <f>IF($E490="","",N(F489)+1)</f>
        <v>0</v>
      </c>
      <c r="G490">
        <f>IF(OR($E490="",$E489=""),"",LN($E490/$E489))</f>
        <v>0</v>
      </c>
      <c r="H490">
        <f>IF($E490="","",IF($E489="",$E490,$E490*0.0952380952+H489*0.9047619048))</f>
        <v>0</v>
      </c>
      <c r="I490">
        <f>IF($E490="","",IF($E489="",$E490,$E490*0.0392156863+I489*0.9607843137))</f>
        <v>0</v>
      </c>
      <c r="J490">
        <f>IF($E490="","",IF($E489="",$E490,$E490*0.0198019802+J489*0.9801980198))</f>
        <v>0</v>
      </c>
      <c r="K490">
        <f>IF($E490="","",IF($E489="",$E490,$E490*0.0099502488+K489*0.9900497512))</f>
        <v>0</v>
      </c>
      <c r="L490">
        <f>IF(OR($E490="",$E489=""),"",MAX($E490-$E489,0))</f>
        <v>0</v>
      </c>
      <c r="M490">
        <f>IF(OR($E490="",$E489=""),"",MAX($E489-$E490,0))</f>
        <v>0</v>
      </c>
      <c r="N490">
        <f>IF(COUNT($E$2:$E490)&lt;15,"",IF(AVERAGE($M$477:$M$490)=0,100,100-100/(1+AVERAGE($L$477:$L$490)/AVERAGE($M$477:$M$490))))</f>
        <v>0</v>
      </c>
      <c r="O490">
        <f>IF($E490="","",IF($E489="",$E490,$E490*0.1538461538+O489*0.8461538462))</f>
        <v>0</v>
      </c>
      <c r="P490">
        <f>IF($E490="","",IF($E489="",$E490,$E490*0.0740740741+P489*0.9259259259))</f>
        <v>0</v>
      </c>
      <c r="Q490">
        <f>IF(OR(O490="",P490=""),"",O490-P490)</f>
        <v>0</v>
      </c>
      <c r="R490">
        <f>IF(Q490="","",IF(R489="",Q490,Q490*0.2000000000+R489*0.8000000000))</f>
        <v>0</v>
      </c>
      <c r="S490">
        <f>IF(OR(Q490="",R490=""),"",Q490-R490)</f>
        <v>0</v>
      </c>
      <c r="T490">
        <f>IF(COUNT($E$2:$E490)&lt;14,"",MAX($C$477:$C$490))</f>
        <v>0</v>
      </c>
      <c r="U490">
        <f>IF(COUNT($E$2:$E490)&lt;14,"",MIN($D$477:$D$490))</f>
        <v>0</v>
      </c>
      <c r="V490">
        <f>IF(OR(T490="",U490="",T490=U490),"",100*($E490-U490)/(T490-U490))</f>
        <v>0</v>
      </c>
      <c r="W490">
        <f>IF(COUNT($V$488:$V$490)&lt;3,"",AVERAGE($V$488:$V$490))</f>
        <v>0</v>
      </c>
      <c r="X490">
        <f>IF(COUNT($N$477:$N$490)&lt;14,"",MIN($N$477:$N$490))</f>
        <v>0</v>
      </c>
      <c r="Y490">
        <f>IF(COUNT($N$477:$N$490)&lt;14,"",MAX($N$477:$N$490))</f>
        <v>0</v>
      </c>
      <c r="Z490">
        <f>IF(OR(N490="",X490="",Y490="",Y490=X490),"",100*(N490-X490)/(Y490-X490))</f>
        <v>0</v>
      </c>
      <c r="AA490">
        <f>IF(COUNT($Z$488:$Z$490)&lt;3,"",AVERAGE($Z$488:$Z$490))</f>
        <v>0</v>
      </c>
      <c r="AB490">
        <f>IF(COUNT($AA$488:$AA$490)&lt;3,"",AVERAGE($AA$488:$AA$490))</f>
        <v>0</v>
      </c>
      <c r="AC490">
        <f>IF($E490="","",MAX($C490-$D490,ABS($C490-$E489),ABS($D490-$E489)))</f>
        <v>0</v>
      </c>
      <c r="AD490">
        <f>IF(COUNT($E$2:$E490)&lt;15,"",AVERAGE($AC$477:$AC$490))</f>
        <v>0</v>
      </c>
      <c r="AE490">
        <f>IF(OR($E490="",$E489=""),"",IF(AND(($C490-$C489)&gt;($D489-$D490),($C490-$C489)&gt;0),$C490-$C489,0))</f>
        <v>0</v>
      </c>
      <c r="AF490">
        <f>IF(OR($E490="",$E489=""),"",IF(AND(($D489-$D490)&gt;($C490-$C489),($D489-$D490)&gt;0),$D489-$D490,0))</f>
        <v>0</v>
      </c>
      <c r="AG490">
        <f>IF(COUNT($E$2:$E490)&lt;15,"",IF(SUM($AC$477:$AC$490)=0,0,100*SUM($AE$477:$AE$490)/SUM($AC$477:$AC$490)))</f>
        <v>0</v>
      </c>
      <c r="AH490">
        <f>IF(COUNT($E$2:$E490)&lt;15,"",IF(SUM($AC$477:$AC$490)=0,0,100*SUM($AF$477:$AF$490)/SUM($AC$477:$AC$490)))</f>
        <v>0</v>
      </c>
      <c r="AI490">
        <f>IF(OR(AG490="",AH490=""),"",IF((AG490+AH490)=0,0,100*ABS(AG490-AH490)/(AG490+AH490)))</f>
        <v>0</v>
      </c>
      <c r="AJ490">
        <f>IF(COUNT($AI$477:$AI$490)&lt;14,"",AVERAGE($AI$477:$AI$490))</f>
        <v>0</v>
      </c>
      <c r="AK490">
        <f>IF(COUNT($E$2:$E490)&lt;20,"",AVERAGE($E$471:$E$490))</f>
        <v>0</v>
      </c>
      <c r="AL490">
        <f>IF(COUNT($E$2:$E490)&lt;20,"",STDEVP($E$471:$E$490))</f>
        <v>0</v>
      </c>
      <c r="AM490">
        <f>IF(AK490="","",AK490+2*AL490)</f>
        <v>0</v>
      </c>
      <c r="AN490">
        <f>IF(AK490="","",AK490-2*AL490)</f>
        <v>0</v>
      </c>
      <c r="AO490">
        <f>IF(OR(AM490="",AN490="",AM490=AN490),"",($E490-AN490)/(AM490-AN490))</f>
        <v>0</v>
      </c>
      <c r="AP490">
        <f>IF(OR(AM490="",AK490="",AK490=0),"",(AM490-AN490)/AK490)</f>
        <v>0</v>
      </c>
      <c r="AQ490">
        <f>IF(COUNT($E$2:$E490)&lt;20,"",MAX($C$471:$C$490))</f>
        <v>0</v>
      </c>
      <c r="AR490">
        <f>IF(COUNT($E$2:$E490)&lt;20,"",MIN($D$471:$D$490))</f>
        <v>0</v>
      </c>
      <c r="AS490">
        <f>IF(OR(AQ490="",AR490=""),"",(AQ490+AR490)/2)</f>
        <v>0</v>
      </c>
      <c r="AT490">
        <f>IF(COUNT($G$471:$G$490)&lt;20,"",STDEV($G$471:$G$490)*SQRT(252))</f>
        <v>0</v>
      </c>
      <c r="AU490">
        <f>IF(COUNT($E$2:$E490)&lt;9,"",(MAX($C$482:$C$490)+MIN($D$482:$D$490))/2)</f>
        <v>0</v>
      </c>
      <c r="AV490">
        <f>IF(COUNT($E$2:$E490)&lt;26,"",(MAX($C$465:$C$490)+MIN($D$465:$D$490))/2)</f>
        <v>0</v>
      </c>
      <c r="AW490">
        <f>IF(OR(AU490="",AV490=""),"",(AU490+AV490)/2)</f>
        <v>0</v>
      </c>
      <c r="AX490">
        <f>IF(COUNT($E$2:$E490)&lt;52,"",(MAX($C$439:$C$490)+MIN($D$439:$D$490))/2)</f>
        <v>0</v>
      </c>
      <c r="AY490">
        <f>IF(COUNT($E$2:$E490)&lt;20,"",MAX($C$391:$C$490))</f>
        <v>0</v>
      </c>
      <c r="AZ490">
        <f>IF(COUNT($E$2:$E490)&lt;20,"",MIN($D$391:$D$490))</f>
        <v>0</v>
      </c>
      <c r="BA490">
        <f>IF(COUNT($E$2:$E490)&lt;20,"",SLOPE($E$391:$E$490,$F$391:$F$490))</f>
        <v>0</v>
      </c>
      <c r="BB490">
        <f>IF(COUNT($E$2:$E490)&lt;20,"",INTERCEPT($E$391:$E$490,$F$391:$F$490))</f>
        <v>0</v>
      </c>
      <c r="BC490">
        <f>IF(OR(BA490="",BB490=""),"",BB490+BA490*F490)</f>
        <v>0</v>
      </c>
      <c r="BD490">
        <f>IF(COUNT($E$2:$E490)&lt;20,"",STEYX($E$391:$E$490,$F$391:$F$490))</f>
        <v>0</v>
      </c>
      <c r="BE490">
        <f>IF($E490="","",IF(AND(COUNT($E$491:$E$494)&gt;=4,$C490=MAX($C$486:$C$494)),$C490,""))</f>
        <v>0</v>
      </c>
      <c r="BF490">
        <f>IF($E490="","",IF(AND(COUNT($E$491:$E$494)&gt;=4,$D490=MIN($D$486:$D$494)),$D490,""))</f>
        <v>0</v>
      </c>
      <c r="BG490">
        <f>IF($A490="","",$A490-WEEKDAY($A490,2)+1)</f>
        <v>0</v>
      </c>
      <c r="BH490">
        <f>IF($A490="","",IF($A489="",1,IF(BG490&lt;&gt;BG489,1,0)))</f>
        <v>0</v>
      </c>
      <c r="BI490">
        <f>IF($A490="","",IF($A491="",1,IF(BG491&lt;&gt;BG490,1,0)))</f>
        <v>0</v>
      </c>
      <c r="BJ490">
        <f>IF($A490="","",IF(BH490=1,$B490,BJ489))</f>
        <v>0</v>
      </c>
      <c r="BK490">
        <f>IF($A490="","",IF(BH490=1,$C490,MAX($C490,BK489)))</f>
        <v>0</v>
      </c>
      <c r="BL490">
        <f>IF($A490="","",IF(BH490=1,$D490,MIN($D490,BL489)))</f>
        <v>0</v>
      </c>
      <c r="BM490">
        <f>IF($A490="","",IF(BI490=1,F490,""))</f>
        <v>0</v>
      </c>
      <c r="BN490">
        <f>IF($A490="","",DATE(YEAR($A490),MONTH($A490),1))</f>
        <v>0</v>
      </c>
      <c r="BO490">
        <f>IF($A490="","",IF($A489="",1,IF(BN490&lt;&gt;BN489,1,0)))</f>
        <v>0</v>
      </c>
      <c r="BP490">
        <f>IF($A490="","",IF($A491="",1,IF(BN491&lt;&gt;BN490,1,0)))</f>
        <v>0</v>
      </c>
      <c r="BQ490">
        <f>IF($A490="","",IF(BO490=1,$B490,BQ489))</f>
        <v>0</v>
      </c>
      <c r="BR490">
        <f>IF($A490="","",IF(BO490=1,$C490,MAX($C490,BR489)))</f>
        <v>0</v>
      </c>
      <c r="BS490">
        <f>IF($A490="","",IF(BO490=1,$D490,MIN($D490,BS489)))</f>
        <v>0</v>
      </c>
      <c r="BT490">
        <f>IF($A490="","",IF(BP490=1,F490,""))</f>
        <v>0</v>
      </c>
    </row>
    <row r="491" spans="1:72">
      <c r="A491" s="27">
        <f>IF(Data!$A491="","",Data!$A491)</f>
        <v>0</v>
      </c>
      <c r="B491">
        <f>IF(Data!$B491="","",Data!$B491)</f>
        <v>0</v>
      </c>
      <c r="C491">
        <f>IF(Data!$C491="","",Data!$C491)</f>
        <v>0</v>
      </c>
      <c r="D491">
        <f>IF(Data!$D491="","",Data!$D491)</f>
        <v>0</v>
      </c>
      <c r="E491">
        <f>IF(Data!$E491="","",Data!$E491)</f>
        <v>0</v>
      </c>
      <c r="F491">
        <f>IF($E491="","",N(F490)+1)</f>
        <v>0</v>
      </c>
      <c r="G491">
        <f>IF(OR($E491="",$E490=""),"",LN($E491/$E490))</f>
        <v>0</v>
      </c>
      <c r="H491">
        <f>IF($E491="","",IF($E490="",$E491,$E491*0.0952380952+H490*0.9047619048))</f>
        <v>0</v>
      </c>
      <c r="I491">
        <f>IF($E491="","",IF($E490="",$E491,$E491*0.0392156863+I490*0.9607843137))</f>
        <v>0</v>
      </c>
      <c r="J491">
        <f>IF($E491="","",IF($E490="",$E491,$E491*0.0198019802+J490*0.9801980198))</f>
        <v>0</v>
      </c>
      <c r="K491">
        <f>IF($E491="","",IF($E490="",$E491,$E491*0.0099502488+K490*0.9900497512))</f>
        <v>0</v>
      </c>
      <c r="L491">
        <f>IF(OR($E491="",$E490=""),"",MAX($E491-$E490,0))</f>
        <v>0</v>
      </c>
      <c r="M491">
        <f>IF(OR($E491="",$E490=""),"",MAX($E490-$E491,0))</f>
        <v>0</v>
      </c>
      <c r="N491">
        <f>IF(COUNT($E$2:$E491)&lt;15,"",IF(AVERAGE($M$478:$M$491)=0,100,100-100/(1+AVERAGE($L$478:$L$491)/AVERAGE($M$478:$M$491))))</f>
        <v>0</v>
      </c>
      <c r="O491">
        <f>IF($E491="","",IF($E490="",$E491,$E491*0.1538461538+O490*0.8461538462))</f>
        <v>0</v>
      </c>
      <c r="P491">
        <f>IF($E491="","",IF($E490="",$E491,$E491*0.0740740741+P490*0.9259259259))</f>
        <v>0</v>
      </c>
      <c r="Q491">
        <f>IF(OR(O491="",P491=""),"",O491-P491)</f>
        <v>0</v>
      </c>
      <c r="R491">
        <f>IF(Q491="","",IF(R490="",Q491,Q491*0.2000000000+R490*0.8000000000))</f>
        <v>0</v>
      </c>
      <c r="S491">
        <f>IF(OR(Q491="",R491=""),"",Q491-R491)</f>
        <v>0</v>
      </c>
      <c r="T491">
        <f>IF(COUNT($E$2:$E491)&lt;14,"",MAX($C$478:$C$491))</f>
        <v>0</v>
      </c>
      <c r="U491">
        <f>IF(COUNT($E$2:$E491)&lt;14,"",MIN($D$478:$D$491))</f>
        <v>0</v>
      </c>
      <c r="V491">
        <f>IF(OR(T491="",U491="",T491=U491),"",100*($E491-U491)/(T491-U491))</f>
        <v>0</v>
      </c>
      <c r="W491">
        <f>IF(COUNT($V$489:$V$491)&lt;3,"",AVERAGE($V$489:$V$491))</f>
        <v>0</v>
      </c>
      <c r="X491">
        <f>IF(COUNT($N$478:$N$491)&lt;14,"",MIN($N$478:$N$491))</f>
        <v>0</v>
      </c>
      <c r="Y491">
        <f>IF(COUNT($N$478:$N$491)&lt;14,"",MAX($N$478:$N$491))</f>
        <v>0</v>
      </c>
      <c r="Z491">
        <f>IF(OR(N491="",X491="",Y491="",Y491=X491),"",100*(N491-X491)/(Y491-X491))</f>
        <v>0</v>
      </c>
      <c r="AA491">
        <f>IF(COUNT($Z$489:$Z$491)&lt;3,"",AVERAGE($Z$489:$Z$491))</f>
        <v>0</v>
      </c>
      <c r="AB491">
        <f>IF(COUNT($AA$489:$AA$491)&lt;3,"",AVERAGE($AA$489:$AA$491))</f>
        <v>0</v>
      </c>
      <c r="AC491">
        <f>IF($E491="","",MAX($C491-$D491,ABS($C491-$E490),ABS($D491-$E490)))</f>
        <v>0</v>
      </c>
      <c r="AD491">
        <f>IF(COUNT($E$2:$E491)&lt;15,"",AVERAGE($AC$478:$AC$491))</f>
        <v>0</v>
      </c>
      <c r="AE491">
        <f>IF(OR($E491="",$E490=""),"",IF(AND(($C491-$C490)&gt;($D490-$D491),($C491-$C490)&gt;0),$C491-$C490,0))</f>
        <v>0</v>
      </c>
      <c r="AF491">
        <f>IF(OR($E491="",$E490=""),"",IF(AND(($D490-$D491)&gt;($C491-$C490),($D490-$D491)&gt;0),$D490-$D491,0))</f>
        <v>0</v>
      </c>
      <c r="AG491">
        <f>IF(COUNT($E$2:$E491)&lt;15,"",IF(SUM($AC$478:$AC$491)=0,0,100*SUM($AE$478:$AE$491)/SUM($AC$478:$AC$491)))</f>
        <v>0</v>
      </c>
      <c r="AH491">
        <f>IF(COUNT($E$2:$E491)&lt;15,"",IF(SUM($AC$478:$AC$491)=0,0,100*SUM($AF$478:$AF$491)/SUM($AC$478:$AC$491)))</f>
        <v>0</v>
      </c>
      <c r="AI491">
        <f>IF(OR(AG491="",AH491=""),"",IF((AG491+AH491)=0,0,100*ABS(AG491-AH491)/(AG491+AH491)))</f>
        <v>0</v>
      </c>
      <c r="AJ491">
        <f>IF(COUNT($AI$478:$AI$491)&lt;14,"",AVERAGE($AI$478:$AI$491))</f>
        <v>0</v>
      </c>
      <c r="AK491">
        <f>IF(COUNT($E$2:$E491)&lt;20,"",AVERAGE($E$472:$E$491))</f>
        <v>0</v>
      </c>
      <c r="AL491">
        <f>IF(COUNT($E$2:$E491)&lt;20,"",STDEVP($E$472:$E$491))</f>
        <v>0</v>
      </c>
      <c r="AM491">
        <f>IF(AK491="","",AK491+2*AL491)</f>
        <v>0</v>
      </c>
      <c r="AN491">
        <f>IF(AK491="","",AK491-2*AL491)</f>
        <v>0</v>
      </c>
      <c r="AO491">
        <f>IF(OR(AM491="",AN491="",AM491=AN491),"",($E491-AN491)/(AM491-AN491))</f>
        <v>0</v>
      </c>
      <c r="AP491">
        <f>IF(OR(AM491="",AK491="",AK491=0),"",(AM491-AN491)/AK491)</f>
        <v>0</v>
      </c>
      <c r="AQ491">
        <f>IF(COUNT($E$2:$E491)&lt;20,"",MAX($C$472:$C$491))</f>
        <v>0</v>
      </c>
      <c r="AR491">
        <f>IF(COUNT($E$2:$E491)&lt;20,"",MIN($D$472:$D$491))</f>
        <v>0</v>
      </c>
      <c r="AS491">
        <f>IF(OR(AQ491="",AR491=""),"",(AQ491+AR491)/2)</f>
        <v>0</v>
      </c>
      <c r="AT491">
        <f>IF(COUNT($G$472:$G$491)&lt;20,"",STDEV($G$472:$G$491)*SQRT(252))</f>
        <v>0</v>
      </c>
      <c r="AU491">
        <f>IF(COUNT($E$2:$E491)&lt;9,"",(MAX($C$483:$C$491)+MIN($D$483:$D$491))/2)</f>
        <v>0</v>
      </c>
      <c r="AV491">
        <f>IF(COUNT($E$2:$E491)&lt;26,"",(MAX($C$466:$C$491)+MIN($D$466:$D$491))/2)</f>
        <v>0</v>
      </c>
      <c r="AW491">
        <f>IF(OR(AU491="",AV491=""),"",(AU491+AV491)/2)</f>
        <v>0</v>
      </c>
      <c r="AX491">
        <f>IF(COUNT($E$2:$E491)&lt;52,"",(MAX($C$440:$C$491)+MIN($D$440:$D$491))/2)</f>
        <v>0</v>
      </c>
      <c r="AY491">
        <f>IF(COUNT($E$2:$E491)&lt;20,"",MAX($C$392:$C$491))</f>
        <v>0</v>
      </c>
      <c r="AZ491">
        <f>IF(COUNT($E$2:$E491)&lt;20,"",MIN($D$392:$D$491))</f>
        <v>0</v>
      </c>
      <c r="BA491">
        <f>IF(COUNT($E$2:$E491)&lt;20,"",SLOPE($E$392:$E$491,$F$392:$F$491))</f>
        <v>0</v>
      </c>
      <c r="BB491">
        <f>IF(COUNT($E$2:$E491)&lt;20,"",INTERCEPT($E$392:$E$491,$F$392:$F$491))</f>
        <v>0</v>
      </c>
      <c r="BC491">
        <f>IF(OR(BA491="",BB491=""),"",BB491+BA491*F491)</f>
        <v>0</v>
      </c>
      <c r="BD491">
        <f>IF(COUNT($E$2:$E491)&lt;20,"",STEYX($E$392:$E$491,$F$392:$F$491))</f>
        <v>0</v>
      </c>
      <c r="BE491">
        <f>IF($E491="","",IF(AND(COUNT($E$492:$E$495)&gt;=4,$C491=MAX($C$487:$C$495)),$C491,""))</f>
        <v>0</v>
      </c>
      <c r="BF491">
        <f>IF($E491="","",IF(AND(COUNT($E$492:$E$495)&gt;=4,$D491=MIN($D$487:$D$495)),$D491,""))</f>
        <v>0</v>
      </c>
      <c r="BG491">
        <f>IF($A491="","",$A491-WEEKDAY($A491,2)+1)</f>
        <v>0</v>
      </c>
      <c r="BH491">
        <f>IF($A491="","",IF($A490="",1,IF(BG491&lt;&gt;BG490,1,0)))</f>
        <v>0</v>
      </c>
      <c r="BI491">
        <f>IF($A491="","",IF($A492="",1,IF(BG492&lt;&gt;BG491,1,0)))</f>
        <v>0</v>
      </c>
      <c r="BJ491">
        <f>IF($A491="","",IF(BH491=1,$B491,BJ490))</f>
        <v>0</v>
      </c>
      <c r="BK491">
        <f>IF($A491="","",IF(BH491=1,$C491,MAX($C491,BK490)))</f>
        <v>0</v>
      </c>
      <c r="BL491">
        <f>IF($A491="","",IF(BH491=1,$D491,MIN($D491,BL490)))</f>
        <v>0</v>
      </c>
      <c r="BM491">
        <f>IF($A491="","",IF(BI491=1,F491,""))</f>
        <v>0</v>
      </c>
      <c r="BN491">
        <f>IF($A491="","",DATE(YEAR($A491),MONTH($A491),1))</f>
        <v>0</v>
      </c>
      <c r="BO491">
        <f>IF($A491="","",IF($A490="",1,IF(BN491&lt;&gt;BN490,1,0)))</f>
        <v>0</v>
      </c>
      <c r="BP491">
        <f>IF($A491="","",IF($A492="",1,IF(BN492&lt;&gt;BN491,1,0)))</f>
        <v>0</v>
      </c>
      <c r="BQ491">
        <f>IF($A491="","",IF(BO491=1,$B491,BQ490))</f>
        <v>0</v>
      </c>
      <c r="BR491">
        <f>IF($A491="","",IF(BO491=1,$C491,MAX($C491,BR490)))</f>
        <v>0</v>
      </c>
      <c r="BS491">
        <f>IF($A491="","",IF(BO491=1,$D491,MIN($D491,BS490)))</f>
        <v>0</v>
      </c>
      <c r="BT491">
        <f>IF($A491="","",IF(BP491=1,F491,""))</f>
        <v>0</v>
      </c>
    </row>
    <row r="492" spans="1:72">
      <c r="A492" s="27">
        <f>IF(Data!$A492="","",Data!$A492)</f>
        <v>0</v>
      </c>
      <c r="B492">
        <f>IF(Data!$B492="","",Data!$B492)</f>
        <v>0</v>
      </c>
      <c r="C492">
        <f>IF(Data!$C492="","",Data!$C492)</f>
        <v>0</v>
      </c>
      <c r="D492">
        <f>IF(Data!$D492="","",Data!$D492)</f>
        <v>0</v>
      </c>
      <c r="E492">
        <f>IF(Data!$E492="","",Data!$E492)</f>
        <v>0</v>
      </c>
      <c r="F492">
        <f>IF($E492="","",N(F491)+1)</f>
        <v>0</v>
      </c>
      <c r="G492">
        <f>IF(OR($E492="",$E491=""),"",LN($E492/$E491))</f>
        <v>0</v>
      </c>
      <c r="H492">
        <f>IF($E492="","",IF($E491="",$E492,$E492*0.0952380952+H491*0.9047619048))</f>
        <v>0</v>
      </c>
      <c r="I492">
        <f>IF($E492="","",IF($E491="",$E492,$E492*0.0392156863+I491*0.9607843137))</f>
        <v>0</v>
      </c>
      <c r="J492">
        <f>IF($E492="","",IF($E491="",$E492,$E492*0.0198019802+J491*0.9801980198))</f>
        <v>0</v>
      </c>
      <c r="K492">
        <f>IF($E492="","",IF($E491="",$E492,$E492*0.0099502488+K491*0.9900497512))</f>
        <v>0</v>
      </c>
      <c r="L492">
        <f>IF(OR($E492="",$E491=""),"",MAX($E492-$E491,0))</f>
        <v>0</v>
      </c>
      <c r="M492">
        <f>IF(OR($E492="",$E491=""),"",MAX($E491-$E492,0))</f>
        <v>0</v>
      </c>
      <c r="N492">
        <f>IF(COUNT($E$2:$E492)&lt;15,"",IF(AVERAGE($M$479:$M$492)=0,100,100-100/(1+AVERAGE($L$479:$L$492)/AVERAGE($M$479:$M$492))))</f>
        <v>0</v>
      </c>
      <c r="O492">
        <f>IF($E492="","",IF($E491="",$E492,$E492*0.1538461538+O491*0.8461538462))</f>
        <v>0</v>
      </c>
      <c r="P492">
        <f>IF($E492="","",IF($E491="",$E492,$E492*0.0740740741+P491*0.9259259259))</f>
        <v>0</v>
      </c>
      <c r="Q492">
        <f>IF(OR(O492="",P492=""),"",O492-P492)</f>
        <v>0</v>
      </c>
      <c r="R492">
        <f>IF(Q492="","",IF(R491="",Q492,Q492*0.2000000000+R491*0.8000000000))</f>
        <v>0</v>
      </c>
      <c r="S492">
        <f>IF(OR(Q492="",R492=""),"",Q492-R492)</f>
        <v>0</v>
      </c>
      <c r="T492">
        <f>IF(COUNT($E$2:$E492)&lt;14,"",MAX($C$479:$C$492))</f>
        <v>0</v>
      </c>
      <c r="U492">
        <f>IF(COUNT($E$2:$E492)&lt;14,"",MIN($D$479:$D$492))</f>
        <v>0</v>
      </c>
      <c r="V492">
        <f>IF(OR(T492="",U492="",T492=U492),"",100*($E492-U492)/(T492-U492))</f>
        <v>0</v>
      </c>
      <c r="W492">
        <f>IF(COUNT($V$490:$V$492)&lt;3,"",AVERAGE($V$490:$V$492))</f>
        <v>0</v>
      </c>
      <c r="X492">
        <f>IF(COUNT($N$479:$N$492)&lt;14,"",MIN($N$479:$N$492))</f>
        <v>0</v>
      </c>
      <c r="Y492">
        <f>IF(COUNT($N$479:$N$492)&lt;14,"",MAX($N$479:$N$492))</f>
        <v>0</v>
      </c>
      <c r="Z492">
        <f>IF(OR(N492="",X492="",Y492="",Y492=X492),"",100*(N492-X492)/(Y492-X492))</f>
        <v>0</v>
      </c>
      <c r="AA492">
        <f>IF(COUNT($Z$490:$Z$492)&lt;3,"",AVERAGE($Z$490:$Z$492))</f>
        <v>0</v>
      </c>
      <c r="AB492">
        <f>IF(COUNT($AA$490:$AA$492)&lt;3,"",AVERAGE($AA$490:$AA$492))</f>
        <v>0</v>
      </c>
      <c r="AC492">
        <f>IF($E492="","",MAX($C492-$D492,ABS($C492-$E491),ABS($D492-$E491)))</f>
        <v>0</v>
      </c>
      <c r="AD492">
        <f>IF(COUNT($E$2:$E492)&lt;15,"",AVERAGE($AC$479:$AC$492))</f>
        <v>0</v>
      </c>
      <c r="AE492">
        <f>IF(OR($E492="",$E491=""),"",IF(AND(($C492-$C491)&gt;($D491-$D492),($C492-$C491)&gt;0),$C492-$C491,0))</f>
        <v>0</v>
      </c>
      <c r="AF492">
        <f>IF(OR($E492="",$E491=""),"",IF(AND(($D491-$D492)&gt;($C492-$C491),($D491-$D492)&gt;0),$D491-$D492,0))</f>
        <v>0</v>
      </c>
      <c r="AG492">
        <f>IF(COUNT($E$2:$E492)&lt;15,"",IF(SUM($AC$479:$AC$492)=0,0,100*SUM($AE$479:$AE$492)/SUM($AC$479:$AC$492)))</f>
        <v>0</v>
      </c>
      <c r="AH492">
        <f>IF(COUNT($E$2:$E492)&lt;15,"",IF(SUM($AC$479:$AC$492)=0,0,100*SUM($AF$479:$AF$492)/SUM($AC$479:$AC$492)))</f>
        <v>0</v>
      </c>
      <c r="AI492">
        <f>IF(OR(AG492="",AH492=""),"",IF((AG492+AH492)=0,0,100*ABS(AG492-AH492)/(AG492+AH492)))</f>
        <v>0</v>
      </c>
      <c r="AJ492">
        <f>IF(COUNT($AI$479:$AI$492)&lt;14,"",AVERAGE($AI$479:$AI$492))</f>
        <v>0</v>
      </c>
      <c r="AK492">
        <f>IF(COUNT($E$2:$E492)&lt;20,"",AVERAGE($E$473:$E$492))</f>
        <v>0</v>
      </c>
      <c r="AL492">
        <f>IF(COUNT($E$2:$E492)&lt;20,"",STDEVP($E$473:$E$492))</f>
        <v>0</v>
      </c>
      <c r="AM492">
        <f>IF(AK492="","",AK492+2*AL492)</f>
        <v>0</v>
      </c>
      <c r="AN492">
        <f>IF(AK492="","",AK492-2*AL492)</f>
        <v>0</v>
      </c>
      <c r="AO492">
        <f>IF(OR(AM492="",AN492="",AM492=AN492),"",($E492-AN492)/(AM492-AN492))</f>
        <v>0</v>
      </c>
      <c r="AP492">
        <f>IF(OR(AM492="",AK492="",AK492=0),"",(AM492-AN492)/AK492)</f>
        <v>0</v>
      </c>
      <c r="AQ492">
        <f>IF(COUNT($E$2:$E492)&lt;20,"",MAX($C$473:$C$492))</f>
        <v>0</v>
      </c>
      <c r="AR492">
        <f>IF(COUNT($E$2:$E492)&lt;20,"",MIN($D$473:$D$492))</f>
        <v>0</v>
      </c>
      <c r="AS492">
        <f>IF(OR(AQ492="",AR492=""),"",(AQ492+AR492)/2)</f>
        <v>0</v>
      </c>
      <c r="AT492">
        <f>IF(COUNT($G$473:$G$492)&lt;20,"",STDEV($G$473:$G$492)*SQRT(252))</f>
        <v>0</v>
      </c>
      <c r="AU492">
        <f>IF(COUNT($E$2:$E492)&lt;9,"",(MAX($C$484:$C$492)+MIN($D$484:$D$492))/2)</f>
        <v>0</v>
      </c>
      <c r="AV492">
        <f>IF(COUNT($E$2:$E492)&lt;26,"",(MAX($C$467:$C$492)+MIN($D$467:$D$492))/2)</f>
        <v>0</v>
      </c>
      <c r="AW492">
        <f>IF(OR(AU492="",AV492=""),"",(AU492+AV492)/2)</f>
        <v>0</v>
      </c>
      <c r="AX492">
        <f>IF(COUNT($E$2:$E492)&lt;52,"",(MAX($C$441:$C$492)+MIN($D$441:$D$492))/2)</f>
        <v>0</v>
      </c>
      <c r="AY492">
        <f>IF(COUNT($E$2:$E492)&lt;20,"",MAX($C$393:$C$492))</f>
        <v>0</v>
      </c>
      <c r="AZ492">
        <f>IF(COUNT($E$2:$E492)&lt;20,"",MIN($D$393:$D$492))</f>
        <v>0</v>
      </c>
      <c r="BA492">
        <f>IF(COUNT($E$2:$E492)&lt;20,"",SLOPE($E$393:$E$492,$F$393:$F$492))</f>
        <v>0</v>
      </c>
      <c r="BB492">
        <f>IF(COUNT($E$2:$E492)&lt;20,"",INTERCEPT($E$393:$E$492,$F$393:$F$492))</f>
        <v>0</v>
      </c>
      <c r="BC492">
        <f>IF(OR(BA492="",BB492=""),"",BB492+BA492*F492)</f>
        <v>0</v>
      </c>
      <c r="BD492">
        <f>IF(COUNT($E$2:$E492)&lt;20,"",STEYX($E$393:$E$492,$F$393:$F$492))</f>
        <v>0</v>
      </c>
      <c r="BE492">
        <f>IF($E492="","",IF(AND(COUNT($E$493:$E$496)&gt;=4,$C492=MAX($C$488:$C$496)),$C492,""))</f>
        <v>0</v>
      </c>
      <c r="BF492">
        <f>IF($E492="","",IF(AND(COUNT($E$493:$E$496)&gt;=4,$D492=MIN($D$488:$D$496)),$D492,""))</f>
        <v>0</v>
      </c>
      <c r="BG492">
        <f>IF($A492="","",$A492-WEEKDAY($A492,2)+1)</f>
        <v>0</v>
      </c>
      <c r="BH492">
        <f>IF($A492="","",IF($A491="",1,IF(BG492&lt;&gt;BG491,1,0)))</f>
        <v>0</v>
      </c>
      <c r="BI492">
        <f>IF($A492="","",IF($A493="",1,IF(BG493&lt;&gt;BG492,1,0)))</f>
        <v>0</v>
      </c>
      <c r="BJ492">
        <f>IF($A492="","",IF(BH492=1,$B492,BJ491))</f>
        <v>0</v>
      </c>
      <c r="BK492">
        <f>IF($A492="","",IF(BH492=1,$C492,MAX($C492,BK491)))</f>
        <v>0</v>
      </c>
      <c r="BL492">
        <f>IF($A492="","",IF(BH492=1,$D492,MIN($D492,BL491)))</f>
        <v>0</v>
      </c>
      <c r="BM492">
        <f>IF($A492="","",IF(BI492=1,F492,""))</f>
        <v>0</v>
      </c>
      <c r="BN492">
        <f>IF($A492="","",DATE(YEAR($A492),MONTH($A492),1))</f>
        <v>0</v>
      </c>
      <c r="BO492">
        <f>IF($A492="","",IF($A491="",1,IF(BN492&lt;&gt;BN491,1,0)))</f>
        <v>0</v>
      </c>
      <c r="BP492">
        <f>IF($A492="","",IF($A493="",1,IF(BN493&lt;&gt;BN492,1,0)))</f>
        <v>0</v>
      </c>
      <c r="BQ492">
        <f>IF($A492="","",IF(BO492=1,$B492,BQ491))</f>
        <v>0</v>
      </c>
      <c r="BR492">
        <f>IF($A492="","",IF(BO492=1,$C492,MAX($C492,BR491)))</f>
        <v>0</v>
      </c>
      <c r="BS492">
        <f>IF($A492="","",IF(BO492=1,$D492,MIN($D492,BS491)))</f>
        <v>0</v>
      </c>
      <c r="BT492">
        <f>IF($A492="","",IF(BP492=1,F492,""))</f>
        <v>0</v>
      </c>
    </row>
    <row r="493" spans="1:72">
      <c r="A493" s="27">
        <f>IF(Data!$A493="","",Data!$A493)</f>
        <v>0</v>
      </c>
      <c r="B493">
        <f>IF(Data!$B493="","",Data!$B493)</f>
        <v>0</v>
      </c>
      <c r="C493">
        <f>IF(Data!$C493="","",Data!$C493)</f>
        <v>0</v>
      </c>
      <c r="D493">
        <f>IF(Data!$D493="","",Data!$D493)</f>
        <v>0</v>
      </c>
      <c r="E493">
        <f>IF(Data!$E493="","",Data!$E493)</f>
        <v>0</v>
      </c>
      <c r="F493">
        <f>IF($E493="","",N(F492)+1)</f>
        <v>0</v>
      </c>
      <c r="G493">
        <f>IF(OR($E493="",$E492=""),"",LN($E493/$E492))</f>
        <v>0</v>
      </c>
      <c r="H493">
        <f>IF($E493="","",IF($E492="",$E493,$E493*0.0952380952+H492*0.9047619048))</f>
        <v>0</v>
      </c>
      <c r="I493">
        <f>IF($E493="","",IF($E492="",$E493,$E493*0.0392156863+I492*0.9607843137))</f>
        <v>0</v>
      </c>
      <c r="J493">
        <f>IF($E493="","",IF($E492="",$E493,$E493*0.0198019802+J492*0.9801980198))</f>
        <v>0</v>
      </c>
      <c r="K493">
        <f>IF($E493="","",IF($E492="",$E493,$E493*0.0099502488+K492*0.9900497512))</f>
        <v>0</v>
      </c>
      <c r="L493">
        <f>IF(OR($E493="",$E492=""),"",MAX($E493-$E492,0))</f>
        <v>0</v>
      </c>
      <c r="M493">
        <f>IF(OR($E493="",$E492=""),"",MAX($E492-$E493,0))</f>
        <v>0</v>
      </c>
      <c r="N493">
        <f>IF(COUNT($E$2:$E493)&lt;15,"",IF(AVERAGE($M$480:$M$493)=0,100,100-100/(1+AVERAGE($L$480:$L$493)/AVERAGE($M$480:$M$493))))</f>
        <v>0</v>
      </c>
      <c r="O493">
        <f>IF($E493="","",IF($E492="",$E493,$E493*0.1538461538+O492*0.8461538462))</f>
        <v>0</v>
      </c>
      <c r="P493">
        <f>IF($E493="","",IF($E492="",$E493,$E493*0.0740740741+P492*0.9259259259))</f>
        <v>0</v>
      </c>
      <c r="Q493">
        <f>IF(OR(O493="",P493=""),"",O493-P493)</f>
        <v>0</v>
      </c>
      <c r="R493">
        <f>IF(Q493="","",IF(R492="",Q493,Q493*0.2000000000+R492*0.8000000000))</f>
        <v>0</v>
      </c>
      <c r="S493">
        <f>IF(OR(Q493="",R493=""),"",Q493-R493)</f>
        <v>0</v>
      </c>
      <c r="T493">
        <f>IF(COUNT($E$2:$E493)&lt;14,"",MAX($C$480:$C$493))</f>
        <v>0</v>
      </c>
      <c r="U493">
        <f>IF(COUNT($E$2:$E493)&lt;14,"",MIN($D$480:$D$493))</f>
        <v>0</v>
      </c>
      <c r="V493">
        <f>IF(OR(T493="",U493="",T493=U493),"",100*($E493-U493)/(T493-U493))</f>
        <v>0</v>
      </c>
      <c r="W493">
        <f>IF(COUNT($V$491:$V$493)&lt;3,"",AVERAGE($V$491:$V$493))</f>
        <v>0</v>
      </c>
      <c r="X493">
        <f>IF(COUNT($N$480:$N$493)&lt;14,"",MIN($N$480:$N$493))</f>
        <v>0</v>
      </c>
      <c r="Y493">
        <f>IF(COUNT($N$480:$N$493)&lt;14,"",MAX($N$480:$N$493))</f>
        <v>0</v>
      </c>
      <c r="Z493">
        <f>IF(OR(N493="",X493="",Y493="",Y493=X493),"",100*(N493-X493)/(Y493-X493))</f>
        <v>0</v>
      </c>
      <c r="AA493">
        <f>IF(COUNT($Z$491:$Z$493)&lt;3,"",AVERAGE($Z$491:$Z$493))</f>
        <v>0</v>
      </c>
      <c r="AB493">
        <f>IF(COUNT($AA$491:$AA$493)&lt;3,"",AVERAGE($AA$491:$AA$493))</f>
        <v>0</v>
      </c>
      <c r="AC493">
        <f>IF($E493="","",MAX($C493-$D493,ABS($C493-$E492),ABS($D493-$E492)))</f>
        <v>0</v>
      </c>
      <c r="AD493">
        <f>IF(COUNT($E$2:$E493)&lt;15,"",AVERAGE($AC$480:$AC$493))</f>
        <v>0</v>
      </c>
      <c r="AE493">
        <f>IF(OR($E493="",$E492=""),"",IF(AND(($C493-$C492)&gt;($D492-$D493),($C493-$C492)&gt;0),$C493-$C492,0))</f>
        <v>0</v>
      </c>
      <c r="AF493">
        <f>IF(OR($E493="",$E492=""),"",IF(AND(($D492-$D493)&gt;($C493-$C492),($D492-$D493)&gt;0),$D492-$D493,0))</f>
        <v>0</v>
      </c>
      <c r="AG493">
        <f>IF(COUNT($E$2:$E493)&lt;15,"",IF(SUM($AC$480:$AC$493)=0,0,100*SUM($AE$480:$AE$493)/SUM($AC$480:$AC$493)))</f>
        <v>0</v>
      </c>
      <c r="AH493">
        <f>IF(COUNT($E$2:$E493)&lt;15,"",IF(SUM($AC$480:$AC$493)=0,0,100*SUM($AF$480:$AF$493)/SUM($AC$480:$AC$493)))</f>
        <v>0</v>
      </c>
      <c r="AI493">
        <f>IF(OR(AG493="",AH493=""),"",IF((AG493+AH493)=0,0,100*ABS(AG493-AH493)/(AG493+AH493)))</f>
        <v>0</v>
      </c>
      <c r="AJ493">
        <f>IF(COUNT($AI$480:$AI$493)&lt;14,"",AVERAGE($AI$480:$AI$493))</f>
        <v>0</v>
      </c>
      <c r="AK493">
        <f>IF(COUNT($E$2:$E493)&lt;20,"",AVERAGE($E$474:$E$493))</f>
        <v>0</v>
      </c>
      <c r="AL493">
        <f>IF(COUNT($E$2:$E493)&lt;20,"",STDEVP($E$474:$E$493))</f>
        <v>0</v>
      </c>
      <c r="AM493">
        <f>IF(AK493="","",AK493+2*AL493)</f>
        <v>0</v>
      </c>
      <c r="AN493">
        <f>IF(AK493="","",AK493-2*AL493)</f>
        <v>0</v>
      </c>
      <c r="AO493">
        <f>IF(OR(AM493="",AN493="",AM493=AN493),"",($E493-AN493)/(AM493-AN493))</f>
        <v>0</v>
      </c>
      <c r="AP493">
        <f>IF(OR(AM493="",AK493="",AK493=0),"",(AM493-AN493)/AK493)</f>
        <v>0</v>
      </c>
      <c r="AQ493">
        <f>IF(COUNT($E$2:$E493)&lt;20,"",MAX($C$474:$C$493))</f>
        <v>0</v>
      </c>
      <c r="AR493">
        <f>IF(COUNT($E$2:$E493)&lt;20,"",MIN($D$474:$D$493))</f>
        <v>0</v>
      </c>
      <c r="AS493">
        <f>IF(OR(AQ493="",AR493=""),"",(AQ493+AR493)/2)</f>
        <v>0</v>
      </c>
      <c r="AT493">
        <f>IF(COUNT($G$474:$G$493)&lt;20,"",STDEV($G$474:$G$493)*SQRT(252))</f>
        <v>0</v>
      </c>
      <c r="AU493">
        <f>IF(COUNT($E$2:$E493)&lt;9,"",(MAX($C$485:$C$493)+MIN($D$485:$D$493))/2)</f>
        <v>0</v>
      </c>
      <c r="AV493">
        <f>IF(COUNT($E$2:$E493)&lt;26,"",(MAX($C$468:$C$493)+MIN($D$468:$D$493))/2)</f>
        <v>0</v>
      </c>
      <c r="AW493">
        <f>IF(OR(AU493="",AV493=""),"",(AU493+AV493)/2)</f>
        <v>0</v>
      </c>
      <c r="AX493">
        <f>IF(COUNT($E$2:$E493)&lt;52,"",(MAX($C$442:$C$493)+MIN($D$442:$D$493))/2)</f>
        <v>0</v>
      </c>
      <c r="AY493">
        <f>IF(COUNT($E$2:$E493)&lt;20,"",MAX($C$394:$C$493))</f>
        <v>0</v>
      </c>
      <c r="AZ493">
        <f>IF(COUNT($E$2:$E493)&lt;20,"",MIN($D$394:$D$493))</f>
        <v>0</v>
      </c>
      <c r="BA493">
        <f>IF(COUNT($E$2:$E493)&lt;20,"",SLOPE($E$394:$E$493,$F$394:$F$493))</f>
        <v>0</v>
      </c>
      <c r="BB493">
        <f>IF(COUNT($E$2:$E493)&lt;20,"",INTERCEPT($E$394:$E$493,$F$394:$F$493))</f>
        <v>0</v>
      </c>
      <c r="BC493">
        <f>IF(OR(BA493="",BB493=""),"",BB493+BA493*F493)</f>
        <v>0</v>
      </c>
      <c r="BD493">
        <f>IF(COUNT($E$2:$E493)&lt;20,"",STEYX($E$394:$E$493,$F$394:$F$493))</f>
        <v>0</v>
      </c>
      <c r="BE493">
        <f>IF($E493="","",IF(AND(COUNT($E$494:$E$497)&gt;=4,$C493=MAX($C$489:$C$497)),$C493,""))</f>
        <v>0</v>
      </c>
      <c r="BF493">
        <f>IF($E493="","",IF(AND(COUNT($E$494:$E$497)&gt;=4,$D493=MIN($D$489:$D$497)),$D493,""))</f>
        <v>0</v>
      </c>
      <c r="BG493">
        <f>IF($A493="","",$A493-WEEKDAY($A493,2)+1)</f>
        <v>0</v>
      </c>
      <c r="BH493">
        <f>IF($A493="","",IF($A492="",1,IF(BG493&lt;&gt;BG492,1,0)))</f>
        <v>0</v>
      </c>
      <c r="BI493">
        <f>IF($A493="","",IF($A494="",1,IF(BG494&lt;&gt;BG493,1,0)))</f>
        <v>0</v>
      </c>
      <c r="BJ493">
        <f>IF($A493="","",IF(BH493=1,$B493,BJ492))</f>
        <v>0</v>
      </c>
      <c r="BK493">
        <f>IF($A493="","",IF(BH493=1,$C493,MAX($C493,BK492)))</f>
        <v>0</v>
      </c>
      <c r="BL493">
        <f>IF($A493="","",IF(BH493=1,$D493,MIN($D493,BL492)))</f>
        <v>0</v>
      </c>
      <c r="BM493">
        <f>IF($A493="","",IF(BI493=1,F493,""))</f>
        <v>0</v>
      </c>
      <c r="BN493">
        <f>IF($A493="","",DATE(YEAR($A493),MONTH($A493),1))</f>
        <v>0</v>
      </c>
      <c r="BO493">
        <f>IF($A493="","",IF($A492="",1,IF(BN493&lt;&gt;BN492,1,0)))</f>
        <v>0</v>
      </c>
      <c r="BP493">
        <f>IF($A493="","",IF($A494="",1,IF(BN494&lt;&gt;BN493,1,0)))</f>
        <v>0</v>
      </c>
      <c r="BQ493">
        <f>IF($A493="","",IF(BO493=1,$B493,BQ492))</f>
        <v>0</v>
      </c>
      <c r="BR493">
        <f>IF($A493="","",IF(BO493=1,$C493,MAX($C493,BR492)))</f>
        <v>0</v>
      </c>
      <c r="BS493">
        <f>IF($A493="","",IF(BO493=1,$D493,MIN($D493,BS492)))</f>
        <v>0</v>
      </c>
      <c r="BT493">
        <f>IF($A493="","",IF(BP493=1,F493,""))</f>
        <v>0</v>
      </c>
    </row>
    <row r="494" spans="1:72">
      <c r="A494" s="27">
        <f>IF(Data!$A494="","",Data!$A494)</f>
        <v>0</v>
      </c>
      <c r="B494">
        <f>IF(Data!$B494="","",Data!$B494)</f>
        <v>0</v>
      </c>
      <c r="C494">
        <f>IF(Data!$C494="","",Data!$C494)</f>
        <v>0</v>
      </c>
      <c r="D494">
        <f>IF(Data!$D494="","",Data!$D494)</f>
        <v>0</v>
      </c>
      <c r="E494">
        <f>IF(Data!$E494="","",Data!$E494)</f>
        <v>0</v>
      </c>
      <c r="F494">
        <f>IF($E494="","",N(F493)+1)</f>
        <v>0</v>
      </c>
      <c r="G494">
        <f>IF(OR($E494="",$E493=""),"",LN($E494/$E493))</f>
        <v>0</v>
      </c>
      <c r="H494">
        <f>IF($E494="","",IF($E493="",$E494,$E494*0.0952380952+H493*0.9047619048))</f>
        <v>0</v>
      </c>
      <c r="I494">
        <f>IF($E494="","",IF($E493="",$E494,$E494*0.0392156863+I493*0.9607843137))</f>
        <v>0</v>
      </c>
      <c r="J494">
        <f>IF($E494="","",IF($E493="",$E494,$E494*0.0198019802+J493*0.9801980198))</f>
        <v>0</v>
      </c>
      <c r="K494">
        <f>IF($E494="","",IF($E493="",$E494,$E494*0.0099502488+K493*0.9900497512))</f>
        <v>0</v>
      </c>
      <c r="L494">
        <f>IF(OR($E494="",$E493=""),"",MAX($E494-$E493,0))</f>
        <v>0</v>
      </c>
      <c r="M494">
        <f>IF(OR($E494="",$E493=""),"",MAX($E493-$E494,0))</f>
        <v>0</v>
      </c>
      <c r="N494">
        <f>IF(COUNT($E$2:$E494)&lt;15,"",IF(AVERAGE($M$481:$M$494)=0,100,100-100/(1+AVERAGE($L$481:$L$494)/AVERAGE($M$481:$M$494))))</f>
        <v>0</v>
      </c>
      <c r="O494">
        <f>IF($E494="","",IF($E493="",$E494,$E494*0.1538461538+O493*0.8461538462))</f>
        <v>0</v>
      </c>
      <c r="P494">
        <f>IF($E494="","",IF($E493="",$E494,$E494*0.0740740741+P493*0.9259259259))</f>
        <v>0</v>
      </c>
      <c r="Q494">
        <f>IF(OR(O494="",P494=""),"",O494-P494)</f>
        <v>0</v>
      </c>
      <c r="R494">
        <f>IF(Q494="","",IF(R493="",Q494,Q494*0.2000000000+R493*0.8000000000))</f>
        <v>0</v>
      </c>
      <c r="S494">
        <f>IF(OR(Q494="",R494=""),"",Q494-R494)</f>
        <v>0</v>
      </c>
      <c r="T494">
        <f>IF(COUNT($E$2:$E494)&lt;14,"",MAX($C$481:$C$494))</f>
        <v>0</v>
      </c>
      <c r="U494">
        <f>IF(COUNT($E$2:$E494)&lt;14,"",MIN($D$481:$D$494))</f>
        <v>0</v>
      </c>
      <c r="V494">
        <f>IF(OR(T494="",U494="",T494=U494),"",100*($E494-U494)/(T494-U494))</f>
        <v>0</v>
      </c>
      <c r="W494">
        <f>IF(COUNT($V$492:$V$494)&lt;3,"",AVERAGE($V$492:$V$494))</f>
        <v>0</v>
      </c>
      <c r="X494">
        <f>IF(COUNT($N$481:$N$494)&lt;14,"",MIN($N$481:$N$494))</f>
        <v>0</v>
      </c>
      <c r="Y494">
        <f>IF(COUNT($N$481:$N$494)&lt;14,"",MAX($N$481:$N$494))</f>
        <v>0</v>
      </c>
      <c r="Z494">
        <f>IF(OR(N494="",X494="",Y494="",Y494=X494),"",100*(N494-X494)/(Y494-X494))</f>
        <v>0</v>
      </c>
      <c r="AA494">
        <f>IF(COUNT($Z$492:$Z$494)&lt;3,"",AVERAGE($Z$492:$Z$494))</f>
        <v>0</v>
      </c>
      <c r="AB494">
        <f>IF(COUNT($AA$492:$AA$494)&lt;3,"",AVERAGE($AA$492:$AA$494))</f>
        <v>0</v>
      </c>
      <c r="AC494">
        <f>IF($E494="","",MAX($C494-$D494,ABS($C494-$E493),ABS($D494-$E493)))</f>
        <v>0</v>
      </c>
      <c r="AD494">
        <f>IF(COUNT($E$2:$E494)&lt;15,"",AVERAGE($AC$481:$AC$494))</f>
        <v>0</v>
      </c>
      <c r="AE494">
        <f>IF(OR($E494="",$E493=""),"",IF(AND(($C494-$C493)&gt;($D493-$D494),($C494-$C493)&gt;0),$C494-$C493,0))</f>
        <v>0</v>
      </c>
      <c r="AF494">
        <f>IF(OR($E494="",$E493=""),"",IF(AND(($D493-$D494)&gt;($C494-$C493),($D493-$D494)&gt;0),$D493-$D494,0))</f>
        <v>0</v>
      </c>
      <c r="AG494">
        <f>IF(COUNT($E$2:$E494)&lt;15,"",IF(SUM($AC$481:$AC$494)=0,0,100*SUM($AE$481:$AE$494)/SUM($AC$481:$AC$494)))</f>
        <v>0</v>
      </c>
      <c r="AH494">
        <f>IF(COUNT($E$2:$E494)&lt;15,"",IF(SUM($AC$481:$AC$494)=0,0,100*SUM($AF$481:$AF$494)/SUM($AC$481:$AC$494)))</f>
        <v>0</v>
      </c>
      <c r="AI494">
        <f>IF(OR(AG494="",AH494=""),"",IF((AG494+AH494)=0,0,100*ABS(AG494-AH494)/(AG494+AH494)))</f>
        <v>0</v>
      </c>
      <c r="AJ494">
        <f>IF(COUNT($AI$481:$AI$494)&lt;14,"",AVERAGE($AI$481:$AI$494))</f>
        <v>0</v>
      </c>
      <c r="AK494">
        <f>IF(COUNT($E$2:$E494)&lt;20,"",AVERAGE($E$475:$E$494))</f>
        <v>0</v>
      </c>
      <c r="AL494">
        <f>IF(COUNT($E$2:$E494)&lt;20,"",STDEVP($E$475:$E$494))</f>
        <v>0</v>
      </c>
      <c r="AM494">
        <f>IF(AK494="","",AK494+2*AL494)</f>
        <v>0</v>
      </c>
      <c r="AN494">
        <f>IF(AK494="","",AK494-2*AL494)</f>
        <v>0</v>
      </c>
      <c r="AO494">
        <f>IF(OR(AM494="",AN494="",AM494=AN494),"",($E494-AN494)/(AM494-AN494))</f>
        <v>0</v>
      </c>
      <c r="AP494">
        <f>IF(OR(AM494="",AK494="",AK494=0),"",(AM494-AN494)/AK494)</f>
        <v>0</v>
      </c>
      <c r="AQ494">
        <f>IF(COUNT($E$2:$E494)&lt;20,"",MAX($C$475:$C$494))</f>
        <v>0</v>
      </c>
      <c r="AR494">
        <f>IF(COUNT($E$2:$E494)&lt;20,"",MIN($D$475:$D$494))</f>
        <v>0</v>
      </c>
      <c r="AS494">
        <f>IF(OR(AQ494="",AR494=""),"",(AQ494+AR494)/2)</f>
        <v>0</v>
      </c>
      <c r="AT494">
        <f>IF(COUNT($G$475:$G$494)&lt;20,"",STDEV($G$475:$G$494)*SQRT(252))</f>
        <v>0</v>
      </c>
      <c r="AU494">
        <f>IF(COUNT($E$2:$E494)&lt;9,"",(MAX($C$486:$C$494)+MIN($D$486:$D$494))/2)</f>
        <v>0</v>
      </c>
      <c r="AV494">
        <f>IF(COUNT($E$2:$E494)&lt;26,"",(MAX($C$469:$C$494)+MIN($D$469:$D$494))/2)</f>
        <v>0</v>
      </c>
      <c r="AW494">
        <f>IF(OR(AU494="",AV494=""),"",(AU494+AV494)/2)</f>
        <v>0</v>
      </c>
      <c r="AX494">
        <f>IF(COUNT($E$2:$E494)&lt;52,"",(MAX($C$443:$C$494)+MIN($D$443:$D$494))/2)</f>
        <v>0</v>
      </c>
      <c r="AY494">
        <f>IF(COUNT($E$2:$E494)&lt;20,"",MAX($C$395:$C$494))</f>
        <v>0</v>
      </c>
      <c r="AZ494">
        <f>IF(COUNT($E$2:$E494)&lt;20,"",MIN($D$395:$D$494))</f>
        <v>0</v>
      </c>
      <c r="BA494">
        <f>IF(COUNT($E$2:$E494)&lt;20,"",SLOPE($E$395:$E$494,$F$395:$F$494))</f>
        <v>0</v>
      </c>
      <c r="BB494">
        <f>IF(COUNT($E$2:$E494)&lt;20,"",INTERCEPT($E$395:$E$494,$F$395:$F$494))</f>
        <v>0</v>
      </c>
      <c r="BC494">
        <f>IF(OR(BA494="",BB494=""),"",BB494+BA494*F494)</f>
        <v>0</v>
      </c>
      <c r="BD494">
        <f>IF(COUNT($E$2:$E494)&lt;20,"",STEYX($E$395:$E$494,$F$395:$F$494))</f>
        <v>0</v>
      </c>
      <c r="BE494">
        <f>IF($E494="","",IF(AND(COUNT($E$495:$E$498)&gt;=4,$C494=MAX($C$490:$C$498)),$C494,""))</f>
        <v>0</v>
      </c>
      <c r="BF494">
        <f>IF($E494="","",IF(AND(COUNT($E$495:$E$498)&gt;=4,$D494=MIN($D$490:$D$498)),$D494,""))</f>
        <v>0</v>
      </c>
      <c r="BG494">
        <f>IF($A494="","",$A494-WEEKDAY($A494,2)+1)</f>
        <v>0</v>
      </c>
      <c r="BH494">
        <f>IF($A494="","",IF($A493="",1,IF(BG494&lt;&gt;BG493,1,0)))</f>
        <v>0</v>
      </c>
      <c r="BI494">
        <f>IF($A494="","",IF($A495="",1,IF(BG495&lt;&gt;BG494,1,0)))</f>
        <v>0</v>
      </c>
      <c r="BJ494">
        <f>IF($A494="","",IF(BH494=1,$B494,BJ493))</f>
        <v>0</v>
      </c>
      <c r="BK494">
        <f>IF($A494="","",IF(BH494=1,$C494,MAX($C494,BK493)))</f>
        <v>0</v>
      </c>
      <c r="BL494">
        <f>IF($A494="","",IF(BH494=1,$D494,MIN($D494,BL493)))</f>
        <v>0</v>
      </c>
      <c r="BM494">
        <f>IF($A494="","",IF(BI494=1,F494,""))</f>
        <v>0</v>
      </c>
      <c r="BN494">
        <f>IF($A494="","",DATE(YEAR($A494),MONTH($A494),1))</f>
        <v>0</v>
      </c>
      <c r="BO494">
        <f>IF($A494="","",IF($A493="",1,IF(BN494&lt;&gt;BN493,1,0)))</f>
        <v>0</v>
      </c>
      <c r="BP494">
        <f>IF($A494="","",IF($A495="",1,IF(BN495&lt;&gt;BN494,1,0)))</f>
        <v>0</v>
      </c>
      <c r="BQ494">
        <f>IF($A494="","",IF(BO494=1,$B494,BQ493))</f>
        <v>0</v>
      </c>
      <c r="BR494">
        <f>IF($A494="","",IF(BO494=1,$C494,MAX($C494,BR493)))</f>
        <v>0</v>
      </c>
      <c r="BS494">
        <f>IF($A494="","",IF(BO494=1,$D494,MIN($D494,BS493)))</f>
        <v>0</v>
      </c>
      <c r="BT494">
        <f>IF($A494="","",IF(BP494=1,F494,""))</f>
        <v>0</v>
      </c>
    </row>
    <row r="495" spans="1:72">
      <c r="A495" s="27">
        <f>IF(Data!$A495="","",Data!$A495)</f>
        <v>0</v>
      </c>
      <c r="B495">
        <f>IF(Data!$B495="","",Data!$B495)</f>
        <v>0</v>
      </c>
      <c r="C495">
        <f>IF(Data!$C495="","",Data!$C495)</f>
        <v>0</v>
      </c>
      <c r="D495">
        <f>IF(Data!$D495="","",Data!$D495)</f>
        <v>0</v>
      </c>
      <c r="E495">
        <f>IF(Data!$E495="","",Data!$E495)</f>
        <v>0</v>
      </c>
      <c r="F495">
        <f>IF($E495="","",N(F494)+1)</f>
        <v>0</v>
      </c>
      <c r="G495">
        <f>IF(OR($E495="",$E494=""),"",LN($E495/$E494))</f>
        <v>0</v>
      </c>
      <c r="H495">
        <f>IF($E495="","",IF($E494="",$E495,$E495*0.0952380952+H494*0.9047619048))</f>
        <v>0</v>
      </c>
      <c r="I495">
        <f>IF($E495="","",IF($E494="",$E495,$E495*0.0392156863+I494*0.9607843137))</f>
        <v>0</v>
      </c>
      <c r="J495">
        <f>IF($E495="","",IF($E494="",$E495,$E495*0.0198019802+J494*0.9801980198))</f>
        <v>0</v>
      </c>
      <c r="K495">
        <f>IF($E495="","",IF($E494="",$E495,$E495*0.0099502488+K494*0.9900497512))</f>
        <v>0</v>
      </c>
      <c r="L495">
        <f>IF(OR($E495="",$E494=""),"",MAX($E495-$E494,0))</f>
        <v>0</v>
      </c>
      <c r="M495">
        <f>IF(OR($E495="",$E494=""),"",MAX($E494-$E495,0))</f>
        <v>0</v>
      </c>
      <c r="N495">
        <f>IF(COUNT($E$2:$E495)&lt;15,"",IF(AVERAGE($M$482:$M$495)=0,100,100-100/(1+AVERAGE($L$482:$L$495)/AVERAGE($M$482:$M$495))))</f>
        <v>0</v>
      </c>
      <c r="O495">
        <f>IF($E495="","",IF($E494="",$E495,$E495*0.1538461538+O494*0.8461538462))</f>
        <v>0</v>
      </c>
      <c r="P495">
        <f>IF($E495="","",IF($E494="",$E495,$E495*0.0740740741+P494*0.9259259259))</f>
        <v>0</v>
      </c>
      <c r="Q495">
        <f>IF(OR(O495="",P495=""),"",O495-P495)</f>
        <v>0</v>
      </c>
      <c r="R495">
        <f>IF(Q495="","",IF(R494="",Q495,Q495*0.2000000000+R494*0.8000000000))</f>
        <v>0</v>
      </c>
      <c r="S495">
        <f>IF(OR(Q495="",R495=""),"",Q495-R495)</f>
        <v>0</v>
      </c>
      <c r="T495">
        <f>IF(COUNT($E$2:$E495)&lt;14,"",MAX($C$482:$C$495))</f>
        <v>0</v>
      </c>
      <c r="U495">
        <f>IF(COUNT($E$2:$E495)&lt;14,"",MIN($D$482:$D$495))</f>
        <v>0</v>
      </c>
      <c r="V495">
        <f>IF(OR(T495="",U495="",T495=U495),"",100*($E495-U495)/(T495-U495))</f>
        <v>0</v>
      </c>
      <c r="W495">
        <f>IF(COUNT($V$493:$V$495)&lt;3,"",AVERAGE($V$493:$V$495))</f>
        <v>0</v>
      </c>
      <c r="X495">
        <f>IF(COUNT($N$482:$N$495)&lt;14,"",MIN($N$482:$N$495))</f>
        <v>0</v>
      </c>
      <c r="Y495">
        <f>IF(COUNT($N$482:$N$495)&lt;14,"",MAX($N$482:$N$495))</f>
        <v>0</v>
      </c>
      <c r="Z495">
        <f>IF(OR(N495="",X495="",Y495="",Y495=X495),"",100*(N495-X495)/(Y495-X495))</f>
        <v>0</v>
      </c>
      <c r="AA495">
        <f>IF(COUNT($Z$493:$Z$495)&lt;3,"",AVERAGE($Z$493:$Z$495))</f>
        <v>0</v>
      </c>
      <c r="AB495">
        <f>IF(COUNT($AA$493:$AA$495)&lt;3,"",AVERAGE($AA$493:$AA$495))</f>
        <v>0</v>
      </c>
      <c r="AC495">
        <f>IF($E495="","",MAX($C495-$D495,ABS($C495-$E494),ABS($D495-$E494)))</f>
        <v>0</v>
      </c>
      <c r="AD495">
        <f>IF(COUNT($E$2:$E495)&lt;15,"",AVERAGE($AC$482:$AC$495))</f>
        <v>0</v>
      </c>
      <c r="AE495">
        <f>IF(OR($E495="",$E494=""),"",IF(AND(($C495-$C494)&gt;($D494-$D495),($C495-$C494)&gt;0),$C495-$C494,0))</f>
        <v>0</v>
      </c>
      <c r="AF495">
        <f>IF(OR($E495="",$E494=""),"",IF(AND(($D494-$D495)&gt;($C495-$C494),($D494-$D495)&gt;0),$D494-$D495,0))</f>
        <v>0</v>
      </c>
      <c r="AG495">
        <f>IF(COUNT($E$2:$E495)&lt;15,"",IF(SUM($AC$482:$AC$495)=0,0,100*SUM($AE$482:$AE$495)/SUM($AC$482:$AC$495)))</f>
        <v>0</v>
      </c>
      <c r="AH495">
        <f>IF(COUNT($E$2:$E495)&lt;15,"",IF(SUM($AC$482:$AC$495)=0,0,100*SUM($AF$482:$AF$495)/SUM($AC$482:$AC$495)))</f>
        <v>0</v>
      </c>
      <c r="AI495">
        <f>IF(OR(AG495="",AH495=""),"",IF((AG495+AH495)=0,0,100*ABS(AG495-AH495)/(AG495+AH495)))</f>
        <v>0</v>
      </c>
      <c r="AJ495">
        <f>IF(COUNT($AI$482:$AI$495)&lt;14,"",AVERAGE($AI$482:$AI$495))</f>
        <v>0</v>
      </c>
      <c r="AK495">
        <f>IF(COUNT($E$2:$E495)&lt;20,"",AVERAGE($E$476:$E$495))</f>
        <v>0</v>
      </c>
      <c r="AL495">
        <f>IF(COUNT($E$2:$E495)&lt;20,"",STDEVP($E$476:$E$495))</f>
        <v>0</v>
      </c>
      <c r="AM495">
        <f>IF(AK495="","",AK495+2*AL495)</f>
        <v>0</v>
      </c>
      <c r="AN495">
        <f>IF(AK495="","",AK495-2*AL495)</f>
        <v>0</v>
      </c>
      <c r="AO495">
        <f>IF(OR(AM495="",AN495="",AM495=AN495),"",($E495-AN495)/(AM495-AN495))</f>
        <v>0</v>
      </c>
      <c r="AP495">
        <f>IF(OR(AM495="",AK495="",AK495=0),"",(AM495-AN495)/AK495)</f>
        <v>0</v>
      </c>
      <c r="AQ495">
        <f>IF(COUNT($E$2:$E495)&lt;20,"",MAX($C$476:$C$495))</f>
        <v>0</v>
      </c>
      <c r="AR495">
        <f>IF(COUNT($E$2:$E495)&lt;20,"",MIN($D$476:$D$495))</f>
        <v>0</v>
      </c>
      <c r="AS495">
        <f>IF(OR(AQ495="",AR495=""),"",(AQ495+AR495)/2)</f>
        <v>0</v>
      </c>
      <c r="AT495">
        <f>IF(COUNT($G$476:$G$495)&lt;20,"",STDEV($G$476:$G$495)*SQRT(252))</f>
        <v>0</v>
      </c>
      <c r="AU495">
        <f>IF(COUNT($E$2:$E495)&lt;9,"",(MAX($C$487:$C$495)+MIN($D$487:$D$495))/2)</f>
        <v>0</v>
      </c>
      <c r="AV495">
        <f>IF(COUNT($E$2:$E495)&lt;26,"",(MAX($C$470:$C$495)+MIN($D$470:$D$495))/2)</f>
        <v>0</v>
      </c>
      <c r="AW495">
        <f>IF(OR(AU495="",AV495=""),"",(AU495+AV495)/2)</f>
        <v>0</v>
      </c>
      <c r="AX495">
        <f>IF(COUNT($E$2:$E495)&lt;52,"",(MAX($C$444:$C$495)+MIN($D$444:$D$495))/2)</f>
        <v>0</v>
      </c>
      <c r="AY495">
        <f>IF(COUNT($E$2:$E495)&lt;20,"",MAX($C$396:$C$495))</f>
        <v>0</v>
      </c>
      <c r="AZ495">
        <f>IF(COUNT($E$2:$E495)&lt;20,"",MIN($D$396:$D$495))</f>
        <v>0</v>
      </c>
      <c r="BA495">
        <f>IF(COUNT($E$2:$E495)&lt;20,"",SLOPE($E$396:$E$495,$F$396:$F$495))</f>
        <v>0</v>
      </c>
      <c r="BB495">
        <f>IF(COUNT($E$2:$E495)&lt;20,"",INTERCEPT($E$396:$E$495,$F$396:$F$495))</f>
        <v>0</v>
      </c>
      <c r="BC495">
        <f>IF(OR(BA495="",BB495=""),"",BB495+BA495*F495)</f>
        <v>0</v>
      </c>
      <c r="BD495">
        <f>IF(COUNT($E$2:$E495)&lt;20,"",STEYX($E$396:$E$495,$F$396:$F$495))</f>
        <v>0</v>
      </c>
      <c r="BE495">
        <f>IF($E495="","",IF(AND(COUNT($E$496:$E$499)&gt;=4,$C495=MAX($C$491:$C$499)),$C495,""))</f>
        <v>0</v>
      </c>
      <c r="BF495">
        <f>IF($E495="","",IF(AND(COUNT($E$496:$E$499)&gt;=4,$D495=MIN($D$491:$D$499)),$D495,""))</f>
        <v>0</v>
      </c>
      <c r="BG495">
        <f>IF($A495="","",$A495-WEEKDAY($A495,2)+1)</f>
        <v>0</v>
      </c>
      <c r="BH495">
        <f>IF($A495="","",IF($A494="",1,IF(BG495&lt;&gt;BG494,1,0)))</f>
        <v>0</v>
      </c>
      <c r="BI495">
        <f>IF($A495="","",IF($A496="",1,IF(BG496&lt;&gt;BG495,1,0)))</f>
        <v>0</v>
      </c>
      <c r="BJ495">
        <f>IF($A495="","",IF(BH495=1,$B495,BJ494))</f>
        <v>0</v>
      </c>
      <c r="BK495">
        <f>IF($A495="","",IF(BH495=1,$C495,MAX($C495,BK494)))</f>
        <v>0</v>
      </c>
      <c r="BL495">
        <f>IF($A495="","",IF(BH495=1,$D495,MIN($D495,BL494)))</f>
        <v>0</v>
      </c>
      <c r="BM495">
        <f>IF($A495="","",IF(BI495=1,F495,""))</f>
        <v>0</v>
      </c>
      <c r="BN495">
        <f>IF($A495="","",DATE(YEAR($A495),MONTH($A495),1))</f>
        <v>0</v>
      </c>
      <c r="BO495">
        <f>IF($A495="","",IF($A494="",1,IF(BN495&lt;&gt;BN494,1,0)))</f>
        <v>0</v>
      </c>
      <c r="BP495">
        <f>IF($A495="","",IF($A496="",1,IF(BN496&lt;&gt;BN495,1,0)))</f>
        <v>0</v>
      </c>
      <c r="BQ495">
        <f>IF($A495="","",IF(BO495=1,$B495,BQ494))</f>
        <v>0</v>
      </c>
      <c r="BR495">
        <f>IF($A495="","",IF(BO495=1,$C495,MAX($C495,BR494)))</f>
        <v>0</v>
      </c>
      <c r="BS495">
        <f>IF($A495="","",IF(BO495=1,$D495,MIN($D495,BS494)))</f>
        <v>0</v>
      </c>
      <c r="BT495">
        <f>IF($A495="","",IF(BP495=1,F495,""))</f>
        <v>0</v>
      </c>
    </row>
    <row r="496" spans="1:72">
      <c r="A496" s="27">
        <f>IF(Data!$A496="","",Data!$A496)</f>
        <v>0</v>
      </c>
      <c r="B496">
        <f>IF(Data!$B496="","",Data!$B496)</f>
        <v>0</v>
      </c>
      <c r="C496">
        <f>IF(Data!$C496="","",Data!$C496)</f>
        <v>0</v>
      </c>
      <c r="D496">
        <f>IF(Data!$D496="","",Data!$D496)</f>
        <v>0</v>
      </c>
      <c r="E496">
        <f>IF(Data!$E496="","",Data!$E496)</f>
        <v>0</v>
      </c>
      <c r="F496">
        <f>IF($E496="","",N(F495)+1)</f>
        <v>0</v>
      </c>
      <c r="G496">
        <f>IF(OR($E496="",$E495=""),"",LN($E496/$E495))</f>
        <v>0</v>
      </c>
      <c r="H496">
        <f>IF($E496="","",IF($E495="",$E496,$E496*0.0952380952+H495*0.9047619048))</f>
        <v>0</v>
      </c>
      <c r="I496">
        <f>IF($E496="","",IF($E495="",$E496,$E496*0.0392156863+I495*0.9607843137))</f>
        <v>0</v>
      </c>
      <c r="J496">
        <f>IF($E496="","",IF($E495="",$E496,$E496*0.0198019802+J495*0.9801980198))</f>
        <v>0</v>
      </c>
      <c r="K496">
        <f>IF($E496="","",IF($E495="",$E496,$E496*0.0099502488+K495*0.9900497512))</f>
        <v>0</v>
      </c>
      <c r="L496">
        <f>IF(OR($E496="",$E495=""),"",MAX($E496-$E495,0))</f>
        <v>0</v>
      </c>
      <c r="M496">
        <f>IF(OR($E496="",$E495=""),"",MAX($E495-$E496,0))</f>
        <v>0</v>
      </c>
      <c r="N496">
        <f>IF(COUNT($E$2:$E496)&lt;15,"",IF(AVERAGE($M$483:$M$496)=0,100,100-100/(1+AVERAGE($L$483:$L$496)/AVERAGE($M$483:$M$496))))</f>
        <v>0</v>
      </c>
      <c r="O496">
        <f>IF($E496="","",IF($E495="",$E496,$E496*0.1538461538+O495*0.8461538462))</f>
        <v>0</v>
      </c>
      <c r="P496">
        <f>IF($E496="","",IF($E495="",$E496,$E496*0.0740740741+P495*0.9259259259))</f>
        <v>0</v>
      </c>
      <c r="Q496">
        <f>IF(OR(O496="",P496=""),"",O496-P496)</f>
        <v>0</v>
      </c>
      <c r="R496">
        <f>IF(Q496="","",IF(R495="",Q496,Q496*0.2000000000+R495*0.8000000000))</f>
        <v>0</v>
      </c>
      <c r="S496">
        <f>IF(OR(Q496="",R496=""),"",Q496-R496)</f>
        <v>0</v>
      </c>
      <c r="T496">
        <f>IF(COUNT($E$2:$E496)&lt;14,"",MAX($C$483:$C$496))</f>
        <v>0</v>
      </c>
      <c r="U496">
        <f>IF(COUNT($E$2:$E496)&lt;14,"",MIN($D$483:$D$496))</f>
        <v>0</v>
      </c>
      <c r="V496">
        <f>IF(OR(T496="",U496="",T496=U496),"",100*($E496-U496)/(T496-U496))</f>
        <v>0</v>
      </c>
      <c r="W496">
        <f>IF(COUNT($V$494:$V$496)&lt;3,"",AVERAGE($V$494:$V$496))</f>
        <v>0</v>
      </c>
      <c r="X496">
        <f>IF(COUNT($N$483:$N$496)&lt;14,"",MIN($N$483:$N$496))</f>
        <v>0</v>
      </c>
      <c r="Y496">
        <f>IF(COUNT($N$483:$N$496)&lt;14,"",MAX($N$483:$N$496))</f>
        <v>0</v>
      </c>
      <c r="Z496">
        <f>IF(OR(N496="",X496="",Y496="",Y496=X496),"",100*(N496-X496)/(Y496-X496))</f>
        <v>0</v>
      </c>
      <c r="AA496">
        <f>IF(COUNT($Z$494:$Z$496)&lt;3,"",AVERAGE($Z$494:$Z$496))</f>
        <v>0</v>
      </c>
      <c r="AB496">
        <f>IF(COUNT($AA$494:$AA$496)&lt;3,"",AVERAGE($AA$494:$AA$496))</f>
        <v>0</v>
      </c>
      <c r="AC496">
        <f>IF($E496="","",MAX($C496-$D496,ABS($C496-$E495),ABS($D496-$E495)))</f>
        <v>0</v>
      </c>
      <c r="AD496">
        <f>IF(COUNT($E$2:$E496)&lt;15,"",AVERAGE($AC$483:$AC$496))</f>
        <v>0</v>
      </c>
      <c r="AE496">
        <f>IF(OR($E496="",$E495=""),"",IF(AND(($C496-$C495)&gt;($D495-$D496),($C496-$C495)&gt;0),$C496-$C495,0))</f>
        <v>0</v>
      </c>
      <c r="AF496">
        <f>IF(OR($E496="",$E495=""),"",IF(AND(($D495-$D496)&gt;($C496-$C495),($D495-$D496)&gt;0),$D495-$D496,0))</f>
        <v>0</v>
      </c>
      <c r="AG496">
        <f>IF(COUNT($E$2:$E496)&lt;15,"",IF(SUM($AC$483:$AC$496)=0,0,100*SUM($AE$483:$AE$496)/SUM($AC$483:$AC$496)))</f>
        <v>0</v>
      </c>
      <c r="AH496">
        <f>IF(COUNT($E$2:$E496)&lt;15,"",IF(SUM($AC$483:$AC$496)=0,0,100*SUM($AF$483:$AF$496)/SUM($AC$483:$AC$496)))</f>
        <v>0</v>
      </c>
      <c r="AI496">
        <f>IF(OR(AG496="",AH496=""),"",IF((AG496+AH496)=0,0,100*ABS(AG496-AH496)/(AG496+AH496)))</f>
        <v>0</v>
      </c>
      <c r="AJ496">
        <f>IF(COUNT($AI$483:$AI$496)&lt;14,"",AVERAGE($AI$483:$AI$496))</f>
        <v>0</v>
      </c>
      <c r="AK496">
        <f>IF(COUNT($E$2:$E496)&lt;20,"",AVERAGE($E$477:$E$496))</f>
        <v>0</v>
      </c>
      <c r="AL496">
        <f>IF(COUNT($E$2:$E496)&lt;20,"",STDEVP($E$477:$E$496))</f>
        <v>0</v>
      </c>
      <c r="AM496">
        <f>IF(AK496="","",AK496+2*AL496)</f>
        <v>0</v>
      </c>
      <c r="AN496">
        <f>IF(AK496="","",AK496-2*AL496)</f>
        <v>0</v>
      </c>
      <c r="AO496">
        <f>IF(OR(AM496="",AN496="",AM496=AN496),"",($E496-AN496)/(AM496-AN496))</f>
        <v>0</v>
      </c>
      <c r="AP496">
        <f>IF(OR(AM496="",AK496="",AK496=0),"",(AM496-AN496)/AK496)</f>
        <v>0</v>
      </c>
      <c r="AQ496">
        <f>IF(COUNT($E$2:$E496)&lt;20,"",MAX($C$477:$C$496))</f>
        <v>0</v>
      </c>
      <c r="AR496">
        <f>IF(COUNT($E$2:$E496)&lt;20,"",MIN($D$477:$D$496))</f>
        <v>0</v>
      </c>
      <c r="AS496">
        <f>IF(OR(AQ496="",AR496=""),"",(AQ496+AR496)/2)</f>
        <v>0</v>
      </c>
      <c r="AT496">
        <f>IF(COUNT($G$477:$G$496)&lt;20,"",STDEV($G$477:$G$496)*SQRT(252))</f>
        <v>0</v>
      </c>
      <c r="AU496">
        <f>IF(COUNT($E$2:$E496)&lt;9,"",(MAX($C$488:$C$496)+MIN($D$488:$D$496))/2)</f>
        <v>0</v>
      </c>
      <c r="AV496">
        <f>IF(COUNT($E$2:$E496)&lt;26,"",(MAX($C$471:$C$496)+MIN($D$471:$D$496))/2)</f>
        <v>0</v>
      </c>
      <c r="AW496">
        <f>IF(OR(AU496="",AV496=""),"",(AU496+AV496)/2)</f>
        <v>0</v>
      </c>
      <c r="AX496">
        <f>IF(COUNT($E$2:$E496)&lt;52,"",(MAX($C$445:$C$496)+MIN($D$445:$D$496))/2)</f>
        <v>0</v>
      </c>
      <c r="AY496">
        <f>IF(COUNT($E$2:$E496)&lt;20,"",MAX($C$397:$C$496))</f>
        <v>0</v>
      </c>
      <c r="AZ496">
        <f>IF(COUNT($E$2:$E496)&lt;20,"",MIN($D$397:$D$496))</f>
        <v>0</v>
      </c>
      <c r="BA496">
        <f>IF(COUNT($E$2:$E496)&lt;20,"",SLOPE($E$397:$E$496,$F$397:$F$496))</f>
        <v>0</v>
      </c>
      <c r="BB496">
        <f>IF(COUNT($E$2:$E496)&lt;20,"",INTERCEPT($E$397:$E$496,$F$397:$F$496))</f>
        <v>0</v>
      </c>
      <c r="BC496">
        <f>IF(OR(BA496="",BB496=""),"",BB496+BA496*F496)</f>
        <v>0</v>
      </c>
      <c r="BD496">
        <f>IF(COUNT($E$2:$E496)&lt;20,"",STEYX($E$397:$E$496,$F$397:$F$496))</f>
        <v>0</v>
      </c>
      <c r="BE496">
        <f>IF($E496="","",IF(AND(COUNT($E$497:$E$500)&gt;=4,$C496=MAX($C$492:$C$500)),$C496,""))</f>
        <v>0</v>
      </c>
      <c r="BF496">
        <f>IF($E496="","",IF(AND(COUNT($E$497:$E$500)&gt;=4,$D496=MIN($D$492:$D$500)),$D496,""))</f>
        <v>0</v>
      </c>
      <c r="BG496">
        <f>IF($A496="","",$A496-WEEKDAY($A496,2)+1)</f>
        <v>0</v>
      </c>
      <c r="BH496">
        <f>IF($A496="","",IF($A495="",1,IF(BG496&lt;&gt;BG495,1,0)))</f>
        <v>0</v>
      </c>
      <c r="BI496">
        <f>IF($A496="","",IF($A497="",1,IF(BG497&lt;&gt;BG496,1,0)))</f>
        <v>0</v>
      </c>
      <c r="BJ496">
        <f>IF($A496="","",IF(BH496=1,$B496,BJ495))</f>
        <v>0</v>
      </c>
      <c r="BK496">
        <f>IF($A496="","",IF(BH496=1,$C496,MAX($C496,BK495)))</f>
        <v>0</v>
      </c>
      <c r="BL496">
        <f>IF($A496="","",IF(BH496=1,$D496,MIN($D496,BL495)))</f>
        <v>0</v>
      </c>
      <c r="BM496">
        <f>IF($A496="","",IF(BI496=1,F496,""))</f>
        <v>0</v>
      </c>
      <c r="BN496">
        <f>IF($A496="","",DATE(YEAR($A496),MONTH($A496),1))</f>
        <v>0</v>
      </c>
      <c r="BO496">
        <f>IF($A496="","",IF($A495="",1,IF(BN496&lt;&gt;BN495,1,0)))</f>
        <v>0</v>
      </c>
      <c r="BP496">
        <f>IF($A496="","",IF($A497="",1,IF(BN497&lt;&gt;BN496,1,0)))</f>
        <v>0</v>
      </c>
      <c r="BQ496">
        <f>IF($A496="","",IF(BO496=1,$B496,BQ495))</f>
        <v>0</v>
      </c>
      <c r="BR496">
        <f>IF($A496="","",IF(BO496=1,$C496,MAX($C496,BR495)))</f>
        <v>0</v>
      </c>
      <c r="BS496">
        <f>IF($A496="","",IF(BO496=1,$D496,MIN($D496,BS495)))</f>
        <v>0</v>
      </c>
      <c r="BT496">
        <f>IF($A496="","",IF(BP496=1,F496,""))</f>
        <v>0</v>
      </c>
    </row>
    <row r="497" spans="1:72">
      <c r="A497" s="27">
        <f>IF(Data!$A497="","",Data!$A497)</f>
        <v>0</v>
      </c>
      <c r="B497">
        <f>IF(Data!$B497="","",Data!$B497)</f>
        <v>0</v>
      </c>
      <c r="C497">
        <f>IF(Data!$C497="","",Data!$C497)</f>
        <v>0</v>
      </c>
      <c r="D497">
        <f>IF(Data!$D497="","",Data!$D497)</f>
        <v>0</v>
      </c>
      <c r="E497">
        <f>IF(Data!$E497="","",Data!$E497)</f>
        <v>0</v>
      </c>
      <c r="F497">
        <f>IF($E497="","",N(F496)+1)</f>
        <v>0</v>
      </c>
      <c r="G497">
        <f>IF(OR($E497="",$E496=""),"",LN($E497/$E496))</f>
        <v>0</v>
      </c>
      <c r="H497">
        <f>IF($E497="","",IF($E496="",$E497,$E497*0.0952380952+H496*0.9047619048))</f>
        <v>0</v>
      </c>
      <c r="I497">
        <f>IF($E497="","",IF($E496="",$E497,$E497*0.0392156863+I496*0.9607843137))</f>
        <v>0</v>
      </c>
      <c r="J497">
        <f>IF($E497="","",IF($E496="",$E497,$E497*0.0198019802+J496*0.9801980198))</f>
        <v>0</v>
      </c>
      <c r="K497">
        <f>IF($E497="","",IF($E496="",$E497,$E497*0.0099502488+K496*0.9900497512))</f>
        <v>0</v>
      </c>
      <c r="L497">
        <f>IF(OR($E497="",$E496=""),"",MAX($E497-$E496,0))</f>
        <v>0</v>
      </c>
      <c r="M497">
        <f>IF(OR($E497="",$E496=""),"",MAX($E496-$E497,0))</f>
        <v>0</v>
      </c>
      <c r="N497">
        <f>IF(COUNT($E$2:$E497)&lt;15,"",IF(AVERAGE($M$484:$M$497)=0,100,100-100/(1+AVERAGE($L$484:$L$497)/AVERAGE($M$484:$M$497))))</f>
        <v>0</v>
      </c>
      <c r="O497">
        <f>IF($E497="","",IF($E496="",$E497,$E497*0.1538461538+O496*0.8461538462))</f>
        <v>0</v>
      </c>
      <c r="P497">
        <f>IF($E497="","",IF($E496="",$E497,$E497*0.0740740741+P496*0.9259259259))</f>
        <v>0</v>
      </c>
      <c r="Q497">
        <f>IF(OR(O497="",P497=""),"",O497-P497)</f>
        <v>0</v>
      </c>
      <c r="R497">
        <f>IF(Q497="","",IF(R496="",Q497,Q497*0.2000000000+R496*0.8000000000))</f>
        <v>0</v>
      </c>
      <c r="S497">
        <f>IF(OR(Q497="",R497=""),"",Q497-R497)</f>
        <v>0</v>
      </c>
      <c r="T497">
        <f>IF(COUNT($E$2:$E497)&lt;14,"",MAX($C$484:$C$497))</f>
        <v>0</v>
      </c>
      <c r="U497">
        <f>IF(COUNT($E$2:$E497)&lt;14,"",MIN($D$484:$D$497))</f>
        <v>0</v>
      </c>
      <c r="V497">
        <f>IF(OR(T497="",U497="",T497=U497),"",100*($E497-U497)/(T497-U497))</f>
        <v>0</v>
      </c>
      <c r="W497">
        <f>IF(COUNT($V$495:$V$497)&lt;3,"",AVERAGE($V$495:$V$497))</f>
        <v>0</v>
      </c>
      <c r="X497">
        <f>IF(COUNT($N$484:$N$497)&lt;14,"",MIN($N$484:$N$497))</f>
        <v>0</v>
      </c>
      <c r="Y497">
        <f>IF(COUNT($N$484:$N$497)&lt;14,"",MAX($N$484:$N$497))</f>
        <v>0</v>
      </c>
      <c r="Z497">
        <f>IF(OR(N497="",X497="",Y497="",Y497=X497),"",100*(N497-X497)/(Y497-X497))</f>
        <v>0</v>
      </c>
      <c r="AA497">
        <f>IF(COUNT($Z$495:$Z$497)&lt;3,"",AVERAGE($Z$495:$Z$497))</f>
        <v>0</v>
      </c>
      <c r="AB497">
        <f>IF(COUNT($AA$495:$AA$497)&lt;3,"",AVERAGE($AA$495:$AA$497))</f>
        <v>0</v>
      </c>
      <c r="AC497">
        <f>IF($E497="","",MAX($C497-$D497,ABS($C497-$E496),ABS($D497-$E496)))</f>
        <v>0</v>
      </c>
      <c r="AD497">
        <f>IF(COUNT($E$2:$E497)&lt;15,"",AVERAGE($AC$484:$AC$497))</f>
        <v>0</v>
      </c>
      <c r="AE497">
        <f>IF(OR($E497="",$E496=""),"",IF(AND(($C497-$C496)&gt;($D496-$D497),($C497-$C496)&gt;0),$C497-$C496,0))</f>
        <v>0</v>
      </c>
      <c r="AF497">
        <f>IF(OR($E497="",$E496=""),"",IF(AND(($D496-$D497)&gt;($C497-$C496),($D496-$D497)&gt;0),$D496-$D497,0))</f>
        <v>0</v>
      </c>
      <c r="AG497">
        <f>IF(COUNT($E$2:$E497)&lt;15,"",IF(SUM($AC$484:$AC$497)=0,0,100*SUM($AE$484:$AE$497)/SUM($AC$484:$AC$497)))</f>
        <v>0</v>
      </c>
      <c r="AH497">
        <f>IF(COUNT($E$2:$E497)&lt;15,"",IF(SUM($AC$484:$AC$497)=0,0,100*SUM($AF$484:$AF$497)/SUM($AC$484:$AC$497)))</f>
        <v>0</v>
      </c>
      <c r="AI497">
        <f>IF(OR(AG497="",AH497=""),"",IF((AG497+AH497)=0,0,100*ABS(AG497-AH497)/(AG497+AH497)))</f>
        <v>0</v>
      </c>
      <c r="AJ497">
        <f>IF(COUNT($AI$484:$AI$497)&lt;14,"",AVERAGE($AI$484:$AI$497))</f>
        <v>0</v>
      </c>
      <c r="AK497">
        <f>IF(COUNT($E$2:$E497)&lt;20,"",AVERAGE($E$478:$E$497))</f>
        <v>0</v>
      </c>
      <c r="AL497">
        <f>IF(COUNT($E$2:$E497)&lt;20,"",STDEVP($E$478:$E$497))</f>
        <v>0</v>
      </c>
      <c r="AM497">
        <f>IF(AK497="","",AK497+2*AL497)</f>
        <v>0</v>
      </c>
      <c r="AN497">
        <f>IF(AK497="","",AK497-2*AL497)</f>
        <v>0</v>
      </c>
      <c r="AO497">
        <f>IF(OR(AM497="",AN497="",AM497=AN497),"",($E497-AN497)/(AM497-AN497))</f>
        <v>0</v>
      </c>
      <c r="AP497">
        <f>IF(OR(AM497="",AK497="",AK497=0),"",(AM497-AN497)/AK497)</f>
        <v>0</v>
      </c>
      <c r="AQ497">
        <f>IF(COUNT($E$2:$E497)&lt;20,"",MAX($C$478:$C$497))</f>
        <v>0</v>
      </c>
      <c r="AR497">
        <f>IF(COUNT($E$2:$E497)&lt;20,"",MIN($D$478:$D$497))</f>
        <v>0</v>
      </c>
      <c r="AS497">
        <f>IF(OR(AQ497="",AR497=""),"",(AQ497+AR497)/2)</f>
        <v>0</v>
      </c>
      <c r="AT497">
        <f>IF(COUNT($G$478:$G$497)&lt;20,"",STDEV($G$478:$G$497)*SQRT(252))</f>
        <v>0</v>
      </c>
      <c r="AU497">
        <f>IF(COUNT($E$2:$E497)&lt;9,"",(MAX($C$489:$C$497)+MIN($D$489:$D$497))/2)</f>
        <v>0</v>
      </c>
      <c r="AV497">
        <f>IF(COUNT($E$2:$E497)&lt;26,"",(MAX($C$472:$C$497)+MIN($D$472:$D$497))/2)</f>
        <v>0</v>
      </c>
      <c r="AW497">
        <f>IF(OR(AU497="",AV497=""),"",(AU497+AV497)/2)</f>
        <v>0</v>
      </c>
      <c r="AX497">
        <f>IF(COUNT($E$2:$E497)&lt;52,"",(MAX($C$446:$C$497)+MIN($D$446:$D$497))/2)</f>
        <v>0</v>
      </c>
      <c r="AY497">
        <f>IF(COUNT($E$2:$E497)&lt;20,"",MAX($C$398:$C$497))</f>
        <v>0</v>
      </c>
      <c r="AZ497">
        <f>IF(COUNT($E$2:$E497)&lt;20,"",MIN($D$398:$D$497))</f>
        <v>0</v>
      </c>
      <c r="BA497">
        <f>IF(COUNT($E$2:$E497)&lt;20,"",SLOPE($E$398:$E$497,$F$398:$F$497))</f>
        <v>0</v>
      </c>
      <c r="BB497">
        <f>IF(COUNT($E$2:$E497)&lt;20,"",INTERCEPT($E$398:$E$497,$F$398:$F$497))</f>
        <v>0</v>
      </c>
      <c r="BC497">
        <f>IF(OR(BA497="",BB497=""),"",BB497+BA497*F497)</f>
        <v>0</v>
      </c>
      <c r="BD497">
        <f>IF(COUNT($E$2:$E497)&lt;20,"",STEYX($E$398:$E$497,$F$398:$F$497))</f>
        <v>0</v>
      </c>
      <c r="BE497">
        <f>IF($E497="","",IF(AND(COUNT($E$498:$E$501)&gt;=4,$C497=MAX($C$493:$C$501)),$C497,""))</f>
        <v>0</v>
      </c>
      <c r="BF497">
        <f>IF($E497="","",IF(AND(COUNT($E$498:$E$501)&gt;=4,$D497=MIN($D$493:$D$501)),$D497,""))</f>
        <v>0</v>
      </c>
      <c r="BG497">
        <f>IF($A497="","",$A497-WEEKDAY($A497,2)+1)</f>
        <v>0</v>
      </c>
      <c r="BH497">
        <f>IF($A497="","",IF($A496="",1,IF(BG497&lt;&gt;BG496,1,0)))</f>
        <v>0</v>
      </c>
      <c r="BI497">
        <f>IF($A497="","",IF($A498="",1,IF(BG498&lt;&gt;BG497,1,0)))</f>
        <v>0</v>
      </c>
      <c r="BJ497">
        <f>IF($A497="","",IF(BH497=1,$B497,BJ496))</f>
        <v>0</v>
      </c>
      <c r="BK497">
        <f>IF($A497="","",IF(BH497=1,$C497,MAX($C497,BK496)))</f>
        <v>0</v>
      </c>
      <c r="BL497">
        <f>IF($A497="","",IF(BH497=1,$D497,MIN($D497,BL496)))</f>
        <v>0</v>
      </c>
      <c r="BM497">
        <f>IF($A497="","",IF(BI497=1,F497,""))</f>
        <v>0</v>
      </c>
      <c r="BN497">
        <f>IF($A497="","",DATE(YEAR($A497),MONTH($A497),1))</f>
        <v>0</v>
      </c>
      <c r="BO497">
        <f>IF($A497="","",IF($A496="",1,IF(BN497&lt;&gt;BN496,1,0)))</f>
        <v>0</v>
      </c>
      <c r="BP497">
        <f>IF($A497="","",IF($A498="",1,IF(BN498&lt;&gt;BN497,1,0)))</f>
        <v>0</v>
      </c>
      <c r="BQ497">
        <f>IF($A497="","",IF(BO497=1,$B497,BQ496))</f>
        <v>0</v>
      </c>
      <c r="BR497">
        <f>IF($A497="","",IF(BO497=1,$C497,MAX($C497,BR496)))</f>
        <v>0</v>
      </c>
      <c r="BS497">
        <f>IF($A497="","",IF(BO497=1,$D497,MIN($D497,BS496)))</f>
        <v>0</v>
      </c>
      <c r="BT497">
        <f>IF($A497="","",IF(BP497=1,F497,""))</f>
        <v>0</v>
      </c>
    </row>
    <row r="498" spans="1:72">
      <c r="A498" s="27">
        <f>IF(Data!$A498="","",Data!$A498)</f>
        <v>0</v>
      </c>
      <c r="B498">
        <f>IF(Data!$B498="","",Data!$B498)</f>
        <v>0</v>
      </c>
      <c r="C498">
        <f>IF(Data!$C498="","",Data!$C498)</f>
        <v>0</v>
      </c>
      <c r="D498">
        <f>IF(Data!$D498="","",Data!$D498)</f>
        <v>0</v>
      </c>
      <c r="E498">
        <f>IF(Data!$E498="","",Data!$E498)</f>
        <v>0</v>
      </c>
      <c r="F498">
        <f>IF($E498="","",N(F497)+1)</f>
        <v>0</v>
      </c>
      <c r="G498">
        <f>IF(OR($E498="",$E497=""),"",LN($E498/$E497))</f>
        <v>0</v>
      </c>
      <c r="H498">
        <f>IF($E498="","",IF($E497="",$E498,$E498*0.0952380952+H497*0.9047619048))</f>
        <v>0</v>
      </c>
      <c r="I498">
        <f>IF($E498="","",IF($E497="",$E498,$E498*0.0392156863+I497*0.9607843137))</f>
        <v>0</v>
      </c>
      <c r="J498">
        <f>IF($E498="","",IF($E497="",$E498,$E498*0.0198019802+J497*0.9801980198))</f>
        <v>0</v>
      </c>
      <c r="K498">
        <f>IF($E498="","",IF($E497="",$E498,$E498*0.0099502488+K497*0.9900497512))</f>
        <v>0</v>
      </c>
      <c r="L498">
        <f>IF(OR($E498="",$E497=""),"",MAX($E498-$E497,0))</f>
        <v>0</v>
      </c>
      <c r="M498">
        <f>IF(OR($E498="",$E497=""),"",MAX($E497-$E498,0))</f>
        <v>0</v>
      </c>
      <c r="N498">
        <f>IF(COUNT($E$2:$E498)&lt;15,"",IF(AVERAGE($M$485:$M$498)=0,100,100-100/(1+AVERAGE($L$485:$L$498)/AVERAGE($M$485:$M$498))))</f>
        <v>0</v>
      </c>
      <c r="O498">
        <f>IF($E498="","",IF($E497="",$E498,$E498*0.1538461538+O497*0.8461538462))</f>
        <v>0</v>
      </c>
      <c r="P498">
        <f>IF($E498="","",IF($E497="",$E498,$E498*0.0740740741+P497*0.9259259259))</f>
        <v>0</v>
      </c>
      <c r="Q498">
        <f>IF(OR(O498="",P498=""),"",O498-P498)</f>
        <v>0</v>
      </c>
      <c r="R498">
        <f>IF(Q498="","",IF(R497="",Q498,Q498*0.2000000000+R497*0.8000000000))</f>
        <v>0</v>
      </c>
      <c r="S498">
        <f>IF(OR(Q498="",R498=""),"",Q498-R498)</f>
        <v>0</v>
      </c>
      <c r="T498">
        <f>IF(COUNT($E$2:$E498)&lt;14,"",MAX($C$485:$C$498))</f>
        <v>0</v>
      </c>
      <c r="U498">
        <f>IF(COUNT($E$2:$E498)&lt;14,"",MIN($D$485:$D$498))</f>
        <v>0</v>
      </c>
      <c r="V498">
        <f>IF(OR(T498="",U498="",T498=U498),"",100*($E498-U498)/(T498-U498))</f>
        <v>0</v>
      </c>
      <c r="W498">
        <f>IF(COUNT($V$496:$V$498)&lt;3,"",AVERAGE($V$496:$V$498))</f>
        <v>0</v>
      </c>
      <c r="X498">
        <f>IF(COUNT($N$485:$N$498)&lt;14,"",MIN($N$485:$N$498))</f>
        <v>0</v>
      </c>
      <c r="Y498">
        <f>IF(COUNT($N$485:$N$498)&lt;14,"",MAX($N$485:$N$498))</f>
        <v>0</v>
      </c>
      <c r="Z498">
        <f>IF(OR(N498="",X498="",Y498="",Y498=X498),"",100*(N498-X498)/(Y498-X498))</f>
        <v>0</v>
      </c>
      <c r="AA498">
        <f>IF(COUNT($Z$496:$Z$498)&lt;3,"",AVERAGE($Z$496:$Z$498))</f>
        <v>0</v>
      </c>
      <c r="AB498">
        <f>IF(COUNT($AA$496:$AA$498)&lt;3,"",AVERAGE($AA$496:$AA$498))</f>
        <v>0</v>
      </c>
      <c r="AC498">
        <f>IF($E498="","",MAX($C498-$D498,ABS($C498-$E497),ABS($D498-$E497)))</f>
        <v>0</v>
      </c>
      <c r="AD498">
        <f>IF(COUNT($E$2:$E498)&lt;15,"",AVERAGE($AC$485:$AC$498))</f>
        <v>0</v>
      </c>
      <c r="AE498">
        <f>IF(OR($E498="",$E497=""),"",IF(AND(($C498-$C497)&gt;($D497-$D498),($C498-$C497)&gt;0),$C498-$C497,0))</f>
        <v>0</v>
      </c>
      <c r="AF498">
        <f>IF(OR($E498="",$E497=""),"",IF(AND(($D497-$D498)&gt;($C498-$C497),($D497-$D498)&gt;0),$D497-$D498,0))</f>
        <v>0</v>
      </c>
      <c r="AG498">
        <f>IF(COUNT($E$2:$E498)&lt;15,"",IF(SUM($AC$485:$AC$498)=0,0,100*SUM($AE$485:$AE$498)/SUM($AC$485:$AC$498)))</f>
        <v>0</v>
      </c>
      <c r="AH498">
        <f>IF(COUNT($E$2:$E498)&lt;15,"",IF(SUM($AC$485:$AC$498)=0,0,100*SUM($AF$485:$AF$498)/SUM($AC$485:$AC$498)))</f>
        <v>0</v>
      </c>
      <c r="AI498">
        <f>IF(OR(AG498="",AH498=""),"",IF((AG498+AH498)=0,0,100*ABS(AG498-AH498)/(AG498+AH498)))</f>
        <v>0</v>
      </c>
      <c r="AJ498">
        <f>IF(COUNT($AI$485:$AI$498)&lt;14,"",AVERAGE($AI$485:$AI$498))</f>
        <v>0</v>
      </c>
      <c r="AK498">
        <f>IF(COUNT($E$2:$E498)&lt;20,"",AVERAGE($E$479:$E$498))</f>
        <v>0</v>
      </c>
      <c r="AL498">
        <f>IF(COUNT($E$2:$E498)&lt;20,"",STDEVP($E$479:$E$498))</f>
        <v>0</v>
      </c>
      <c r="AM498">
        <f>IF(AK498="","",AK498+2*AL498)</f>
        <v>0</v>
      </c>
      <c r="AN498">
        <f>IF(AK498="","",AK498-2*AL498)</f>
        <v>0</v>
      </c>
      <c r="AO498">
        <f>IF(OR(AM498="",AN498="",AM498=AN498),"",($E498-AN498)/(AM498-AN498))</f>
        <v>0</v>
      </c>
      <c r="AP498">
        <f>IF(OR(AM498="",AK498="",AK498=0),"",(AM498-AN498)/AK498)</f>
        <v>0</v>
      </c>
      <c r="AQ498">
        <f>IF(COUNT($E$2:$E498)&lt;20,"",MAX($C$479:$C$498))</f>
        <v>0</v>
      </c>
      <c r="AR498">
        <f>IF(COUNT($E$2:$E498)&lt;20,"",MIN($D$479:$D$498))</f>
        <v>0</v>
      </c>
      <c r="AS498">
        <f>IF(OR(AQ498="",AR498=""),"",(AQ498+AR498)/2)</f>
        <v>0</v>
      </c>
      <c r="AT498">
        <f>IF(COUNT($G$479:$G$498)&lt;20,"",STDEV($G$479:$G$498)*SQRT(252))</f>
        <v>0</v>
      </c>
      <c r="AU498">
        <f>IF(COUNT($E$2:$E498)&lt;9,"",(MAX($C$490:$C$498)+MIN($D$490:$D$498))/2)</f>
        <v>0</v>
      </c>
      <c r="AV498">
        <f>IF(COUNT($E$2:$E498)&lt;26,"",(MAX($C$473:$C$498)+MIN($D$473:$D$498))/2)</f>
        <v>0</v>
      </c>
      <c r="AW498">
        <f>IF(OR(AU498="",AV498=""),"",(AU498+AV498)/2)</f>
        <v>0</v>
      </c>
      <c r="AX498">
        <f>IF(COUNT($E$2:$E498)&lt;52,"",(MAX($C$447:$C$498)+MIN($D$447:$D$498))/2)</f>
        <v>0</v>
      </c>
      <c r="AY498">
        <f>IF(COUNT($E$2:$E498)&lt;20,"",MAX($C$399:$C$498))</f>
        <v>0</v>
      </c>
      <c r="AZ498">
        <f>IF(COUNT($E$2:$E498)&lt;20,"",MIN($D$399:$D$498))</f>
        <v>0</v>
      </c>
      <c r="BA498">
        <f>IF(COUNT($E$2:$E498)&lt;20,"",SLOPE($E$399:$E$498,$F$399:$F$498))</f>
        <v>0</v>
      </c>
      <c r="BB498">
        <f>IF(COUNT($E$2:$E498)&lt;20,"",INTERCEPT($E$399:$E$498,$F$399:$F$498))</f>
        <v>0</v>
      </c>
      <c r="BC498">
        <f>IF(OR(BA498="",BB498=""),"",BB498+BA498*F498)</f>
        <v>0</v>
      </c>
      <c r="BD498">
        <f>IF(COUNT($E$2:$E498)&lt;20,"",STEYX($E$399:$E$498,$F$399:$F$498))</f>
        <v>0</v>
      </c>
      <c r="BE498">
        <f>IF($E498="","",IF(AND(COUNT($E$499:$E$502)&gt;=4,$C498=MAX($C$494:$C$502)),$C498,""))</f>
        <v>0</v>
      </c>
      <c r="BF498">
        <f>IF($E498="","",IF(AND(COUNT($E$499:$E$502)&gt;=4,$D498=MIN($D$494:$D$502)),$D498,""))</f>
        <v>0</v>
      </c>
      <c r="BG498">
        <f>IF($A498="","",$A498-WEEKDAY($A498,2)+1)</f>
        <v>0</v>
      </c>
      <c r="BH498">
        <f>IF($A498="","",IF($A497="",1,IF(BG498&lt;&gt;BG497,1,0)))</f>
        <v>0</v>
      </c>
      <c r="BI498">
        <f>IF($A498="","",IF($A499="",1,IF(BG499&lt;&gt;BG498,1,0)))</f>
        <v>0</v>
      </c>
      <c r="BJ498">
        <f>IF($A498="","",IF(BH498=1,$B498,BJ497))</f>
        <v>0</v>
      </c>
      <c r="BK498">
        <f>IF($A498="","",IF(BH498=1,$C498,MAX($C498,BK497)))</f>
        <v>0</v>
      </c>
      <c r="BL498">
        <f>IF($A498="","",IF(BH498=1,$D498,MIN($D498,BL497)))</f>
        <v>0</v>
      </c>
      <c r="BM498">
        <f>IF($A498="","",IF(BI498=1,F498,""))</f>
        <v>0</v>
      </c>
      <c r="BN498">
        <f>IF($A498="","",DATE(YEAR($A498),MONTH($A498),1))</f>
        <v>0</v>
      </c>
      <c r="BO498">
        <f>IF($A498="","",IF($A497="",1,IF(BN498&lt;&gt;BN497,1,0)))</f>
        <v>0</v>
      </c>
      <c r="BP498">
        <f>IF($A498="","",IF($A499="",1,IF(BN499&lt;&gt;BN498,1,0)))</f>
        <v>0</v>
      </c>
      <c r="BQ498">
        <f>IF($A498="","",IF(BO498=1,$B498,BQ497))</f>
        <v>0</v>
      </c>
      <c r="BR498">
        <f>IF($A498="","",IF(BO498=1,$C498,MAX($C498,BR497)))</f>
        <v>0</v>
      </c>
      <c r="BS498">
        <f>IF($A498="","",IF(BO498=1,$D498,MIN($D498,BS497)))</f>
        <v>0</v>
      </c>
      <c r="BT498">
        <f>IF($A498="","",IF(BP498=1,F498,""))</f>
        <v>0</v>
      </c>
    </row>
    <row r="499" spans="1:72">
      <c r="A499" s="27">
        <f>IF(Data!$A499="","",Data!$A499)</f>
        <v>0</v>
      </c>
      <c r="B499">
        <f>IF(Data!$B499="","",Data!$B499)</f>
        <v>0</v>
      </c>
      <c r="C499">
        <f>IF(Data!$C499="","",Data!$C499)</f>
        <v>0</v>
      </c>
      <c r="D499">
        <f>IF(Data!$D499="","",Data!$D499)</f>
        <v>0</v>
      </c>
      <c r="E499">
        <f>IF(Data!$E499="","",Data!$E499)</f>
        <v>0</v>
      </c>
      <c r="F499">
        <f>IF($E499="","",N(F498)+1)</f>
        <v>0</v>
      </c>
      <c r="G499">
        <f>IF(OR($E499="",$E498=""),"",LN($E499/$E498))</f>
        <v>0</v>
      </c>
      <c r="H499">
        <f>IF($E499="","",IF($E498="",$E499,$E499*0.0952380952+H498*0.9047619048))</f>
        <v>0</v>
      </c>
      <c r="I499">
        <f>IF($E499="","",IF($E498="",$E499,$E499*0.0392156863+I498*0.9607843137))</f>
        <v>0</v>
      </c>
      <c r="J499">
        <f>IF($E499="","",IF($E498="",$E499,$E499*0.0198019802+J498*0.9801980198))</f>
        <v>0</v>
      </c>
      <c r="K499">
        <f>IF($E499="","",IF($E498="",$E499,$E499*0.0099502488+K498*0.9900497512))</f>
        <v>0</v>
      </c>
      <c r="L499">
        <f>IF(OR($E499="",$E498=""),"",MAX($E499-$E498,0))</f>
        <v>0</v>
      </c>
      <c r="M499">
        <f>IF(OR($E499="",$E498=""),"",MAX($E498-$E499,0))</f>
        <v>0</v>
      </c>
      <c r="N499">
        <f>IF(COUNT($E$2:$E499)&lt;15,"",IF(AVERAGE($M$486:$M$499)=0,100,100-100/(1+AVERAGE($L$486:$L$499)/AVERAGE($M$486:$M$499))))</f>
        <v>0</v>
      </c>
      <c r="O499">
        <f>IF($E499="","",IF($E498="",$E499,$E499*0.1538461538+O498*0.8461538462))</f>
        <v>0</v>
      </c>
      <c r="P499">
        <f>IF($E499="","",IF($E498="",$E499,$E499*0.0740740741+P498*0.9259259259))</f>
        <v>0</v>
      </c>
      <c r="Q499">
        <f>IF(OR(O499="",P499=""),"",O499-P499)</f>
        <v>0</v>
      </c>
      <c r="R499">
        <f>IF(Q499="","",IF(R498="",Q499,Q499*0.2000000000+R498*0.8000000000))</f>
        <v>0</v>
      </c>
      <c r="S499">
        <f>IF(OR(Q499="",R499=""),"",Q499-R499)</f>
        <v>0</v>
      </c>
      <c r="T499">
        <f>IF(COUNT($E$2:$E499)&lt;14,"",MAX($C$486:$C$499))</f>
        <v>0</v>
      </c>
      <c r="U499">
        <f>IF(COUNT($E$2:$E499)&lt;14,"",MIN($D$486:$D$499))</f>
        <v>0</v>
      </c>
      <c r="V499">
        <f>IF(OR(T499="",U499="",T499=U499),"",100*($E499-U499)/(T499-U499))</f>
        <v>0</v>
      </c>
      <c r="W499">
        <f>IF(COUNT($V$497:$V$499)&lt;3,"",AVERAGE($V$497:$V$499))</f>
        <v>0</v>
      </c>
      <c r="X499">
        <f>IF(COUNT($N$486:$N$499)&lt;14,"",MIN($N$486:$N$499))</f>
        <v>0</v>
      </c>
      <c r="Y499">
        <f>IF(COUNT($N$486:$N$499)&lt;14,"",MAX($N$486:$N$499))</f>
        <v>0</v>
      </c>
      <c r="Z499">
        <f>IF(OR(N499="",X499="",Y499="",Y499=X499),"",100*(N499-X499)/(Y499-X499))</f>
        <v>0</v>
      </c>
      <c r="AA499">
        <f>IF(COUNT($Z$497:$Z$499)&lt;3,"",AVERAGE($Z$497:$Z$499))</f>
        <v>0</v>
      </c>
      <c r="AB499">
        <f>IF(COUNT($AA$497:$AA$499)&lt;3,"",AVERAGE($AA$497:$AA$499))</f>
        <v>0</v>
      </c>
      <c r="AC499">
        <f>IF($E499="","",MAX($C499-$D499,ABS($C499-$E498),ABS($D499-$E498)))</f>
        <v>0</v>
      </c>
      <c r="AD499">
        <f>IF(COUNT($E$2:$E499)&lt;15,"",AVERAGE($AC$486:$AC$499))</f>
        <v>0</v>
      </c>
      <c r="AE499">
        <f>IF(OR($E499="",$E498=""),"",IF(AND(($C499-$C498)&gt;($D498-$D499),($C499-$C498)&gt;0),$C499-$C498,0))</f>
        <v>0</v>
      </c>
      <c r="AF499">
        <f>IF(OR($E499="",$E498=""),"",IF(AND(($D498-$D499)&gt;($C499-$C498),($D498-$D499)&gt;0),$D498-$D499,0))</f>
        <v>0</v>
      </c>
      <c r="AG499">
        <f>IF(COUNT($E$2:$E499)&lt;15,"",IF(SUM($AC$486:$AC$499)=0,0,100*SUM($AE$486:$AE$499)/SUM($AC$486:$AC$499)))</f>
        <v>0</v>
      </c>
      <c r="AH499">
        <f>IF(COUNT($E$2:$E499)&lt;15,"",IF(SUM($AC$486:$AC$499)=0,0,100*SUM($AF$486:$AF$499)/SUM($AC$486:$AC$499)))</f>
        <v>0</v>
      </c>
      <c r="AI499">
        <f>IF(OR(AG499="",AH499=""),"",IF((AG499+AH499)=0,0,100*ABS(AG499-AH499)/(AG499+AH499)))</f>
        <v>0</v>
      </c>
      <c r="AJ499">
        <f>IF(COUNT($AI$486:$AI$499)&lt;14,"",AVERAGE($AI$486:$AI$499))</f>
        <v>0</v>
      </c>
      <c r="AK499">
        <f>IF(COUNT($E$2:$E499)&lt;20,"",AVERAGE($E$480:$E$499))</f>
        <v>0</v>
      </c>
      <c r="AL499">
        <f>IF(COUNT($E$2:$E499)&lt;20,"",STDEVP($E$480:$E$499))</f>
        <v>0</v>
      </c>
      <c r="AM499">
        <f>IF(AK499="","",AK499+2*AL499)</f>
        <v>0</v>
      </c>
      <c r="AN499">
        <f>IF(AK499="","",AK499-2*AL499)</f>
        <v>0</v>
      </c>
      <c r="AO499">
        <f>IF(OR(AM499="",AN499="",AM499=AN499),"",($E499-AN499)/(AM499-AN499))</f>
        <v>0</v>
      </c>
      <c r="AP499">
        <f>IF(OR(AM499="",AK499="",AK499=0),"",(AM499-AN499)/AK499)</f>
        <v>0</v>
      </c>
      <c r="AQ499">
        <f>IF(COUNT($E$2:$E499)&lt;20,"",MAX($C$480:$C$499))</f>
        <v>0</v>
      </c>
      <c r="AR499">
        <f>IF(COUNT($E$2:$E499)&lt;20,"",MIN($D$480:$D$499))</f>
        <v>0</v>
      </c>
      <c r="AS499">
        <f>IF(OR(AQ499="",AR499=""),"",(AQ499+AR499)/2)</f>
        <v>0</v>
      </c>
      <c r="AT499">
        <f>IF(COUNT($G$480:$G$499)&lt;20,"",STDEV($G$480:$G$499)*SQRT(252))</f>
        <v>0</v>
      </c>
      <c r="AU499">
        <f>IF(COUNT($E$2:$E499)&lt;9,"",(MAX($C$491:$C$499)+MIN($D$491:$D$499))/2)</f>
        <v>0</v>
      </c>
      <c r="AV499">
        <f>IF(COUNT($E$2:$E499)&lt;26,"",(MAX($C$474:$C$499)+MIN($D$474:$D$499))/2)</f>
        <v>0</v>
      </c>
      <c r="AW499">
        <f>IF(OR(AU499="",AV499=""),"",(AU499+AV499)/2)</f>
        <v>0</v>
      </c>
      <c r="AX499">
        <f>IF(COUNT($E$2:$E499)&lt;52,"",(MAX($C$448:$C$499)+MIN($D$448:$D$499))/2)</f>
        <v>0</v>
      </c>
      <c r="AY499">
        <f>IF(COUNT($E$2:$E499)&lt;20,"",MAX($C$400:$C$499))</f>
        <v>0</v>
      </c>
      <c r="AZ499">
        <f>IF(COUNT($E$2:$E499)&lt;20,"",MIN($D$400:$D$499))</f>
        <v>0</v>
      </c>
      <c r="BA499">
        <f>IF(COUNT($E$2:$E499)&lt;20,"",SLOPE($E$400:$E$499,$F$400:$F$499))</f>
        <v>0</v>
      </c>
      <c r="BB499">
        <f>IF(COUNT($E$2:$E499)&lt;20,"",INTERCEPT($E$400:$E$499,$F$400:$F$499))</f>
        <v>0</v>
      </c>
      <c r="BC499">
        <f>IF(OR(BA499="",BB499=""),"",BB499+BA499*F499)</f>
        <v>0</v>
      </c>
      <c r="BD499">
        <f>IF(COUNT($E$2:$E499)&lt;20,"",STEYX($E$400:$E$499,$F$400:$F$499))</f>
        <v>0</v>
      </c>
      <c r="BE499">
        <f>IF($E499="","",IF(AND(COUNT($E$500:$E$503)&gt;=4,$C499=MAX($C$495:$C$503)),$C499,""))</f>
        <v>0</v>
      </c>
      <c r="BF499">
        <f>IF($E499="","",IF(AND(COUNT($E$500:$E$503)&gt;=4,$D499=MIN($D$495:$D$503)),$D499,""))</f>
        <v>0</v>
      </c>
      <c r="BG499">
        <f>IF($A499="","",$A499-WEEKDAY($A499,2)+1)</f>
        <v>0</v>
      </c>
      <c r="BH499">
        <f>IF($A499="","",IF($A498="",1,IF(BG499&lt;&gt;BG498,1,0)))</f>
        <v>0</v>
      </c>
      <c r="BI499">
        <f>IF($A499="","",IF($A500="",1,IF(BG500&lt;&gt;BG499,1,0)))</f>
        <v>0</v>
      </c>
      <c r="BJ499">
        <f>IF($A499="","",IF(BH499=1,$B499,BJ498))</f>
        <v>0</v>
      </c>
      <c r="BK499">
        <f>IF($A499="","",IF(BH499=1,$C499,MAX($C499,BK498)))</f>
        <v>0</v>
      </c>
      <c r="BL499">
        <f>IF($A499="","",IF(BH499=1,$D499,MIN($D499,BL498)))</f>
        <v>0</v>
      </c>
      <c r="BM499">
        <f>IF($A499="","",IF(BI499=1,F499,""))</f>
        <v>0</v>
      </c>
      <c r="BN499">
        <f>IF($A499="","",DATE(YEAR($A499),MONTH($A499),1))</f>
        <v>0</v>
      </c>
      <c r="BO499">
        <f>IF($A499="","",IF($A498="",1,IF(BN499&lt;&gt;BN498,1,0)))</f>
        <v>0</v>
      </c>
      <c r="BP499">
        <f>IF($A499="","",IF($A500="",1,IF(BN500&lt;&gt;BN499,1,0)))</f>
        <v>0</v>
      </c>
      <c r="BQ499">
        <f>IF($A499="","",IF(BO499=1,$B499,BQ498))</f>
        <v>0</v>
      </c>
      <c r="BR499">
        <f>IF($A499="","",IF(BO499=1,$C499,MAX($C499,BR498)))</f>
        <v>0</v>
      </c>
      <c r="BS499">
        <f>IF($A499="","",IF(BO499=1,$D499,MIN($D499,BS498)))</f>
        <v>0</v>
      </c>
      <c r="BT499">
        <f>IF($A499="","",IF(BP499=1,F499,""))</f>
        <v>0</v>
      </c>
    </row>
    <row r="500" spans="1:72">
      <c r="A500" s="27">
        <f>IF(Data!$A500="","",Data!$A500)</f>
        <v>0</v>
      </c>
      <c r="B500">
        <f>IF(Data!$B500="","",Data!$B500)</f>
        <v>0</v>
      </c>
      <c r="C500">
        <f>IF(Data!$C500="","",Data!$C500)</f>
        <v>0</v>
      </c>
      <c r="D500">
        <f>IF(Data!$D500="","",Data!$D500)</f>
        <v>0</v>
      </c>
      <c r="E500">
        <f>IF(Data!$E500="","",Data!$E500)</f>
        <v>0</v>
      </c>
      <c r="F500">
        <f>IF($E500="","",N(F499)+1)</f>
        <v>0</v>
      </c>
      <c r="G500">
        <f>IF(OR($E500="",$E499=""),"",LN($E500/$E499))</f>
        <v>0</v>
      </c>
      <c r="H500">
        <f>IF($E500="","",IF($E499="",$E500,$E500*0.0952380952+H499*0.9047619048))</f>
        <v>0</v>
      </c>
      <c r="I500">
        <f>IF($E500="","",IF($E499="",$E500,$E500*0.0392156863+I499*0.9607843137))</f>
        <v>0</v>
      </c>
      <c r="J500">
        <f>IF($E500="","",IF($E499="",$E500,$E500*0.0198019802+J499*0.9801980198))</f>
        <v>0</v>
      </c>
      <c r="K500">
        <f>IF($E500="","",IF($E499="",$E500,$E500*0.0099502488+K499*0.9900497512))</f>
        <v>0</v>
      </c>
      <c r="L500">
        <f>IF(OR($E500="",$E499=""),"",MAX($E500-$E499,0))</f>
        <v>0</v>
      </c>
      <c r="M500">
        <f>IF(OR($E500="",$E499=""),"",MAX($E499-$E500,0))</f>
        <v>0</v>
      </c>
      <c r="N500">
        <f>IF(COUNT($E$2:$E500)&lt;15,"",IF(AVERAGE($M$487:$M$500)=0,100,100-100/(1+AVERAGE($L$487:$L$500)/AVERAGE($M$487:$M$500))))</f>
        <v>0</v>
      </c>
      <c r="O500">
        <f>IF($E500="","",IF($E499="",$E500,$E500*0.1538461538+O499*0.8461538462))</f>
        <v>0</v>
      </c>
      <c r="P500">
        <f>IF($E500="","",IF($E499="",$E500,$E500*0.0740740741+P499*0.9259259259))</f>
        <v>0</v>
      </c>
      <c r="Q500">
        <f>IF(OR(O500="",P500=""),"",O500-P500)</f>
        <v>0</v>
      </c>
      <c r="R500">
        <f>IF(Q500="","",IF(R499="",Q500,Q500*0.2000000000+R499*0.8000000000))</f>
        <v>0</v>
      </c>
      <c r="S500">
        <f>IF(OR(Q500="",R500=""),"",Q500-R500)</f>
        <v>0</v>
      </c>
      <c r="T500">
        <f>IF(COUNT($E$2:$E500)&lt;14,"",MAX($C$487:$C$500))</f>
        <v>0</v>
      </c>
      <c r="U500">
        <f>IF(COUNT($E$2:$E500)&lt;14,"",MIN($D$487:$D$500))</f>
        <v>0</v>
      </c>
      <c r="V500">
        <f>IF(OR(T500="",U500="",T500=U500),"",100*($E500-U500)/(T500-U500))</f>
        <v>0</v>
      </c>
      <c r="W500">
        <f>IF(COUNT($V$498:$V$500)&lt;3,"",AVERAGE($V$498:$V$500))</f>
        <v>0</v>
      </c>
      <c r="X500">
        <f>IF(COUNT($N$487:$N$500)&lt;14,"",MIN($N$487:$N$500))</f>
        <v>0</v>
      </c>
      <c r="Y500">
        <f>IF(COUNT($N$487:$N$500)&lt;14,"",MAX($N$487:$N$500))</f>
        <v>0</v>
      </c>
      <c r="Z500">
        <f>IF(OR(N500="",X500="",Y500="",Y500=X500),"",100*(N500-X500)/(Y500-X500))</f>
        <v>0</v>
      </c>
      <c r="AA500">
        <f>IF(COUNT($Z$498:$Z$500)&lt;3,"",AVERAGE($Z$498:$Z$500))</f>
        <v>0</v>
      </c>
      <c r="AB500">
        <f>IF(COUNT($AA$498:$AA$500)&lt;3,"",AVERAGE($AA$498:$AA$500))</f>
        <v>0</v>
      </c>
      <c r="AC500">
        <f>IF($E500="","",MAX($C500-$D500,ABS($C500-$E499),ABS($D500-$E499)))</f>
        <v>0</v>
      </c>
      <c r="AD500">
        <f>IF(COUNT($E$2:$E500)&lt;15,"",AVERAGE($AC$487:$AC$500))</f>
        <v>0</v>
      </c>
      <c r="AE500">
        <f>IF(OR($E500="",$E499=""),"",IF(AND(($C500-$C499)&gt;($D499-$D500),($C500-$C499)&gt;0),$C500-$C499,0))</f>
        <v>0</v>
      </c>
      <c r="AF500">
        <f>IF(OR($E500="",$E499=""),"",IF(AND(($D499-$D500)&gt;($C500-$C499),($D499-$D500)&gt;0),$D499-$D500,0))</f>
        <v>0</v>
      </c>
      <c r="AG500">
        <f>IF(COUNT($E$2:$E500)&lt;15,"",IF(SUM($AC$487:$AC$500)=0,0,100*SUM($AE$487:$AE$500)/SUM($AC$487:$AC$500)))</f>
        <v>0</v>
      </c>
      <c r="AH500">
        <f>IF(COUNT($E$2:$E500)&lt;15,"",IF(SUM($AC$487:$AC$500)=0,0,100*SUM($AF$487:$AF$500)/SUM($AC$487:$AC$500)))</f>
        <v>0</v>
      </c>
      <c r="AI500">
        <f>IF(OR(AG500="",AH500=""),"",IF((AG500+AH500)=0,0,100*ABS(AG500-AH500)/(AG500+AH500)))</f>
        <v>0</v>
      </c>
      <c r="AJ500">
        <f>IF(COUNT($AI$487:$AI$500)&lt;14,"",AVERAGE($AI$487:$AI$500))</f>
        <v>0</v>
      </c>
      <c r="AK500">
        <f>IF(COUNT($E$2:$E500)&lt;20,"",AVERAGE($E$481:$E$500))</f>
        <v>0</v>
      </c>
      <c r="AL500">
        <f>IF(COUNT($E$2:$E500)&lt;20,"",STDEVP($E$481:$E$500))</f>
        <v>0</v>
      </c>
      <c r="AM500">
        <f>IF(AK500="","",AK500+2*AL500)</f>
        <v>0</v>
      </c>
      <c r="AN500">
        <f>IF(AK500="","",AK500-2*AL500)</f>
        <v>0</v>
      </c>
      <c r="AO500">
        <f>IF(OR(AM500="",AN500="",AM500=AN500),"",($E500-AN500)/(AM500-AN500))</f>
        <v>0</v>
      </c>
      <c r="AP500">
        <f>IF(OR(AM500="",AK500="",AK500=0),"",(AM500-AN500)/AK500)</f>
        <v>0</v>
      </c>
      <c r="AQ500">
        <f>IF(COUNT($E$2:$E500)&lt;20,"",MAX($C$481:$C$500))</f>
        <v>0</v>
      </c>
      <c r="AR500">
        <f>IF(COUNT($E$2:$E500)&lt;20,"",MIN($D$481:$D$500))</f>
        <v>0</v>
      </c>
      <c r="AS500">
        <f>IF(OR(AQ500="",AR500=""),"",(AQ500+AR500)/2)</f>
        <v>0</v>
      </c>
      <c r="AT500">
        <f>IF(COUNT($G$481:$G$500)&lt;20,"",STDEV($G$481:$G$500)*SQRT(252))</f>
        <v>0</v>
      </c>
      <c r="AU500">
        <f>IF(COUNT($E$2:$E500)&lt;9,"",(MAX($C$492:$C$500)+MIN($D$492:$D$500))/2)</f>
        <v>0</v>
      </c>
      <c r="AV500">
        <f>IF(COUNT($E$2:$E500)&lt;26,"",(MAX($C$475:$C$500)+MIN($D$475:$D$500))/2)</f>
        <v>0</v>
      </c>
      <c r="AW500">
        <f>IF(OR(AU500="",AV500=""),"",(AU500+AV500)/2)</f>
        <v>0</v>
      </c>
      <c r="AX500">
        <f>IF(COUNT($E$2:$E500)&lt;52,"",(MAX($C$449:$C$500)+MIN($D$449:$D$500))/2)</f>
        <v>0</v>
      </c>
      <c r="AY500">
        <f>IF(COUNT($E$2:$E500)&lt;20,"",MAX($C$401:$C$500))</f>
        <v>0</v>
      </c>
      <c r="AZ500">
        <f>IF(COUNT($E$2:$E500)&lt;20,"",MIN($D$401:$D$500))</f>
        <v>0</v>
      </c>
      <c r="BA500">
        <f>IF(COUNT($E$2:$E500)&lt;20,"",SLOPE($E$401:$E$500,$F$401:$F$500))</f>
        <v>0</v>
      </c>
      <c r="BB500">
        <f>IF(COUNT($E$2:$E500)&lt;20,"",INTERCEPT($E$401:$E$500,$F$401:$F$500))</f>
        <v>0</v>
      </c>
      <c r="BC500">
        <f>IF(OR(BA500="",BB500=""),"",BB500+BA500*F500)</f>
        <v>0</v>
      </c>
      <c r="BD500">
        <f>IF(COUNT($E$2:$E500)&lt;20,"",STEYX($E$401:$E$500,$F$401:$F$500))</f>
        <v>0</v>
      </c>
      <c r="BE500">
        <f>IF($E500="","",IF(AND(COUNT($E$501:$E$504)&gt;=4,$C500=MAX($C$496:$C$504)),$C500,""))</f>
        <v>0</v>
      </c>
      <c r="BF500">
        <f>IF($E500="","",IF(AND(COUNT($E$501:$E$504)&gt;=4,$D500=MIN($D$496:$D$504)),$D500,""))</f>
        <v>0</v>
      </c>
      <c r="BG500">
        <f>IF($A500="","",$A500-WEEKDAY($A500,2)+1)</f>
        <v>0</v>
      </c>
      <c r="BH500">
        <f>IF($A500="","",IF($A499="",1,IF(BG500&lt;&gt;BG499,1,0)))</f>
        <v>0</v>
      </c>
      <c r="BI500">
        <f>IF($A500="","",IF($A501="",1,IF(BG501&lt;&gt;BG500,1,0)))</f>
        <v>0</v>
      </c>
      <c r="BJ500">
        <f>IF($A500="","",IF(BH500=1,$B500,BJ499))</f>
        <v>0</v>
      </c>
      <c r="BK500">
        <f>IF($A500="","",IF(BH500=1,$C500,MAX($C500,BK499)))</f>
        <v>0</v>
      </c>
      <c r="BL500">
        <f>IF($A500="","",IF(BH500=1,$D500,MIN($D500,BL499)))</f>
        <v>0</v>
      </c>
      <c r="BM500">
        <f>IF($A500="","",IF(BI500=1,F500,""))</f>
        <v>0</v>
      </c>
      <c r="BN500">
        <f>IF($A500="","",DATE(YEAR($A500),MONTH($A500),1))</f>
        <v>0</v>
      </c>
      <c r="BO500">
        <f>IF($A500="","",IF($A499="",1,IF(BN500&lt;&gt;BN499,1,0)))</f>
        <v>0</v>
      </c>
      <c r="BP500">
        <f>IF($A500="","",IF($A501="",1,IF(BN501&lt;&gt;BN500,1,0)))</f>
        <v>0</v>
      </c>
      <c r="BQ500">
        <f>IF($A500="","",IF(BO500=1,$B500,BQ499))</f>
        <v>0</v>
      </c>
      <c r="BR500">
        <f>IF($A500="","",IF(BO500=1,$C500,MAX($C500,BR499)))</f>
        <v>0</v>
      </c>
      <c r="BS500">
        <f>IF($A500="","",IF(BO500=1,$D500,MIN($D500,BS499)))</f>
        <v>0</v>
      </c>
      <c r="BT500">
        <f>IF($A500="","",IF(BP500=1,F500,""))</f>
        <v>0</v>
      </c>
    </row>
    <row r="501" spans="1:72">
      <c r="A501" s="27">
        <f>IF(Data!$A501="","",Data!$A501)</f>
        <v>0</v>
      </c>
      <c r="B501">
        <f>IF(Data!$B501="","",Data!$B501)</f>
        <v>0</v>
      </c>
      <c r="C501">
        <f>IF(Data!$C501="","",Data!$C501)</f>
        <v>0</v>
      </c>
      <c r="D501">
        <f>IF(Data!$D501="","",Data!$D501)</f>
        <v>0</v>
      </c>
      <c r="E501">
        <f>IF(Data!$E501="","",Data!$E501)</f>
        <v>0</v>
      </c>
      <c r="F501">
        <f>IF($E501="","",N(F500)+1)</f>
        <v>0</v>
      </c>
      <c r="G501">
        <f>IF(OR($E501="",$E500=""),"",LN($E501/$E500))</f>
        <v>0</v>
      </c>
      <c r="H501">
        <f>IF($E501="","",IF($E500="",$E501,$E501*0.0952380952+H500*0.9047619048))</f>
        <v>0</v>
      </c>
      <c r="I501">
        <f>IF($E501="","",IF($E500="",$E501,$E501*0.0392156863+I500*0.9607843137))</f>
        <v>0</v>
      </c>
      <c r="J501">
        <f>IF($E501="","",IF($E500="",$E501,$E501*0.0198019802+J500*0.9801980198))</f>
        <v>0</v>
      </c>
      <c r="K501">
        <f>IF($E501="","",IF($E500="",$E501,$E501*0.0099502488+K500*0.9900497512))</f>
        <v>0</v>
      </c>
      <c r="L501">
        <f>IF(OR($E501="",$E500=""),"",MAX($E501-$E500,0))</f>
        <v>0</v>
      </c>
      <c r="M501">
        <f>IF(OR($E501="",$E500=""),"",MAX($E500-$E501,0))</f>
        <v>0</v>
      </c>
      <c r="N501">
        <f>IF(COUNT($E$2:$E501)&lt;15,"",IF(AVERAGE($M$488:$M$501)=0,100,100-100/(1+AVERAGE($L$488:$L$501)/AVERAGE($M$488:$M$501))))</f>
        <v>0</v>
      </c>
      <c r="O501">
        <f>IF($E501="","",IF($E500="",$E501,$E501*0.1538461538+O500*0.8461538462))</f>
        <v>0</v>
      </c>
      <c r="P501">
        <f>IF($E501="","",IF($E500="",$E501,$E501*0.0740740741+P500*0.9259259259))</f>
        <v>0</v>
      </c>
      <c r="Q501">
        <f>IF(OR(O501="",P501=""),"",O501-P501)</f>
        <v>0</v>
      </c>
      <c r="R501">
        <f>IF(Q501="","",IF(R500="",Q501,Q501*0.2000000000+R500*0.8000000000))</f>
        <v>0</v>
      </c>
      <c r="S501">
        <f>IF(OR(Q501="",R501=""),"",Q501-R501)</f>
        <v>0</v>
      </c>
      <c r="T501">
        <f>IF(COUNT($E$2:$E501)&lt;14,"",MAX($C$488:$C$501))</f>
        <v>0</v>
      </c>
      <c r="U501">
        <f>IF(COUNT($E$2:$E501)&lt;14,"",MIN($D$488:$D$501))</f>
        <v>0</v>
      </c>
      <c r="V501">
        <f>IF(OR(T501="",U501="",T501=U501),"",100*($E501-U501)/(T501-U501))</f>
        <v>0</v>
      </c>
      <c r="W501">
        <f>IF(COUNT($V$499:$V$501)&lt;3,"",AVERAGE($V$499:$V$501))</f>
        <v>0</v>
      </c>
      <c r="X501">
        <f>IF(COUNT($N$488:$N$501)&lt;14,"",MIN($N$488:$N$501))</f>
        <v>0</v>
      </c>
      <c r="Y501">
        <f>IF(COUNT($N$488:$N$501)&lt;14,"",MAX($N$488:$N$501))</f>
        <v>0</v>
      </c>
      <c r="Z501">
        <f>IF(OR(N501="",X501="",Y501="",Y501=X501),"",100*(N501-X501)/(Y501-X501))</f>
        <v>0</v>
      </c>
      <c r="AA501">
        <f>IF(COUNT($Z$499:$Z$501)&lt;3,"",AVERAGE($Z$499:$Z$501))</f>
        <v>0</v>
      </c>
      <c r="AB501">
        <f>IF(COUNT($AA$499:$AA$501)&lt;3,"",AVERAGE($AA$499:$AA$501))</f>
        <v>0</v>
      </c>
      <c r="AC501">
        <f>IF($E501="","",MAX($C501-$D501,ABS($C501-$E500),ABS($D501-$E500)))</f>
        <v>0</v>
      </c>
      <c r="AD501">
        <f>IF(COUNT($E$2:$E501)&lt;15,"",AVERAGE($AC$488:$AC$501))</f>
        <v>0</v>
      </c>
      <c r="AE501">
        <f>IF(OR($E501="",$E500=""),"",IF(AND(($C501-$C500)&gt;($D500-$D501),($C501-$C500)&gt;0),$C501-$C500,0))</f>
        <v>0</v>
      </c>
      <c r="AF501">
        <f>IF(OR($E501="",$E500=""),"",IF(AND(($D500-$D501)&gt;($C501-$C500),($D500-$D501)&gt;0),$D500-$D501,0))</f>
        <v>0</v>
      </c>
      <c r="AG501">
        <f>IF(COUNT($E$2:$E501)&lt;15,"",IF(SUM($AC$488:$AC$501)=0,0,100*SUM($AE$488:$AE$501)/SUM($AC$488:$AC$501)))</f>
        <v>0</v>
      </c>
      <c r="AH501">
        <f>IF(COUNT($E$2:$E501)&lt;15,"",IF(SUM($AC$488:$AC$501)=0,0,100*SUM($AF$488:$AF$501)/SUM($AC$488:$AC$501)))</f>
        <v>0</v>
      </c>
      <c r="AI501">
        <f>IF(OR(AG501="",AH501=""),"",IF((AG501+AH501)=0,0,100*ABS(AG501-AH501)/(AG501+AH501)))</f>
        <v>0</v>
      </c>
      <c r="AJ501">
        <f>IF(COUNT($AI$488:$AI$501)&lt;14,"",AVERAGE($AI$488:$AI$501))</f>
        <v>0</v>
      </c>
      <c r="AK501">
        <f>IF(COUNT($E$2:$E501)&lt;20,"",AVERAGE($E$482:$E$501))</f>
        <v>0</v>
      </c>
      <c r="AL501">
        <f>IF(COUNT($E$2:$E501)&lt;20,"",STDEVP($E$482:$E$501))</f>
        <v>0</v>
      </c>
      <c r="AM501">
        <f>IF(AK501="","",AK501+2*AL501)</f>
        <v>0</v>
      </c>
      <c r="AN501">
        <f>IF(AK501="","",AK501-2*AL501)</f>
        <v>0</v>
      </c>
      <c r="AO501">
        <f>IF(OR(AM501="",AN501="",AM501=AN501),"",($E501-AN501)/(AM501-AN501))</f>
        <v>0</v>
      </c>
      <c r="AP501">
        <f>IF(OR(AM501="",AK501="",AK501=0),"",(AM501-AN501)/AK501)</f>
        <v>0</v>
      </c>
      <c r="AQ501">
        <f>IF(COUNT($E$2:$E501)&lt;20,"",MAX($C$482:$C$501))</f>
        <v>0</v>
      </c>
      <c r="AR501">
        <f>IF(COUNT($E$2:$E501)&lt;20,"",MIN($D$482:$D$501))</f>
        <v>0</v>
      </c>
      <c r="AS501">
        <f>IF(OR(AQ501="",AR501=""),"",(AQ501+AR501)/2)</f>
        <v>0</v>
      </c>
      <c r="AT501">
        <f>IF(COUNT($G$482:$G$501)&lt;20,"",STDEV($G$482:$G$501)*SQRT(252))</f>
        <v>0</v>
      </c>
      <c r="AU501">
        <f>IF(COUNT($E$2:$E501)&lt;9,"",(MAX($C$493:$C$501)+MIN($D$493:$D$501))/2)</f>
        <v>0</v>
      </c>
      <c r="AV501">
        <f>IF(COUNT($E$2:$E501)&lt;26,"",(MAX($C$476:$C$501)+MIN($D$476:$D$501))/2)</f>
        <v>0</v>
      </c>
      <c r="AW501">
        <f>IF(OR(AU501="",AV501=""),"",(AU501+AV501)/2)</f>
        <v>0</v>
      </c>
      <c r="AX501">
        <f>IF(COUNT($E$2:$E501)&lt;52,"",(MAX($C$450:$C$501)+MIN($D$450:$D$501))/2)</f>
        <v>0</v>
      </c>
      <c r="AY501">
        <f>IF(COUNT($E$2:$E501)&lt;20,"",MAX($C$402:$C$501))</f>
        <v>0</v>
      </c>
      <c r="AZ501">
        <f>IF(COUNT($E$2:$E501)&lt;20,"",MIN($D$402:$D$501))</f>
        <v>0</v>
      </c>
      <c r="BA501">
        <f>IF(COUNT($E$2:$E501)&lt;20,"",SLOPE($E$402:$E$501,$F$402:$F$501))</f>
        <v>0</v>
      </c>
      <c r="BB501">
        <f>IF(COUNT($E$2:$E501)&lt;20,"",INTERCEPT($E$402:$E$501,$F$402:$F$501))</f>
        <v>0</v>
      </c>
      <c r="BC501">
        <f>IF(OR(BA501="",BB501=""),"",BB501+BA501*F501)</f>
        <v>0</v>
      </c>
      <c r="BD501">
        <f>IF(COUNT($E$2:$E501)&lt;20,"",STEYX($E$402:$E$501,$F$402:$F$501))</f>
        <v>0</v>
      </c>
      <c r="BE501">
        <f>IF($E501="","",IF(AND(COUNT($E$502:$E$505)&gt;=4,$C501=MAX($C$497:$C$505)),$C501,""))</f>
        <v>0</v>
      </c>
      <c r="BF501">
        <f>IF($E501="","",IF(AND(COUNT($E$502:$E$505)&gt;=4,$D501=MIN($D$497:$D$505)),$D501,""))</f>
        <v>0</v>
      </c>
      <c r="BG501">
        <f>IF($A501="","",$A501-WEEKDAY($A501,2)+1)</f>
        <v>0</v>
      </c>
      <c r="BH501">
        <f>IF($A501="","",IF($A500="",1,IF(BG501&lt;&gt;BG500,1,0)))</f>
        <v>0</v>
      </c>
      <c r="BI501">
        <f>IF($A501="","",IF($A502="",1,IF(BG502&lt;&gt;BG501,1,0)))</f>
        <v>0</v>
      </c>
      <c r="BJ501">
        <f>IF($A501="","",IF(BH501=1,$B501,BJ500))</f>
        <v>0</v>
      </c>
      <c r="BK501">
        <f>IF($A501="","",IF(BH501=1,$C501,MAX($C501,BK500)))</f>
        <v>0</v>
      </c>
      <c r="BL501">
        <f>IF($A501="","",IF(BH501=1,$D501,MIN($D501,BL500)))</f>
        <v>0</v>
      </c>
      <c r="BM501">
        <f>IF($A501="","",IF(BI501=1,F501,""))</f>
        <v>0</v>
      </c>
      <c r="BN501">
        <f>IF($A501="","",DATE(YEAR($A501),MONTH($A501),1))</f>
        <v>0</v>
      </c>
      <c r="BO501">
        <f>IF($A501="","",IF($A500="",1,IF(BN501&lt;&gt;BN500,1,0)))</f>
        <v>0</v>
      </c>
      <c r="BP501">
        <f>IF($A501="","",IF($A502="",1,IF(BN502&lt;&gt;BN501,1,0)))</f>
        <v>0</v>
      </c>
      <c r="BQ501">
        <f>IF($A501="","",IF(BO501=1,$B501,BQ500))</f>
        <v>0</v>
      </c>
      <c r="BR501">
        <f>IF($A501="","",IF(BO501=1,$C501,MAX($C501,BR500)))</f>
        <v>0</v>
      </c>
      <c r="BS501">
        <f>IF($A501="","",IF(BO501=1,$D501,MIN($D501,BS500)))</f>
        <v>0</v>
      </c>
      <c r="BT501">
        <f>IF($A501="","",IF(BP501=1,F501,""))</f>
        <v>0</v>
      </c>
    </row>
    <row r="502" spans="1:72">
      <c r="A502" s="27">
        <f>IF(Data!$A502="","",Data!$A502)</f>
        <v>0</v>
      </c>
      <c r="B502">
        <f>IF(Data!$B502="","",Data!$B502)</f>
        <v>0</v>
      </c>
      <c r="C502">
        <f>IF(Data!$C502="","",Data!$C502)</f>
        <v>0</v>
      </c>
      <c r="D502">
        <f>IF(Data!$D502="","",Data!$D502)</f>
        <v>0</v>
      </c>
      <c r="E502">
        <f>IF(Data!$E502="","",Data!$E502)</f>
        <v>0</v>
      </c>
      <c r="F502">
        <f>IF($E502="","",N(F501)+1)</f>
        <v>0</v>
      </c>
      <c r="G502">
        <f>IF(OR($E502="",$E501=""),"",LN($E502/$E501))</f>
        <v>0</v>
      </c>
      <c r="H502">
        <f>IF($E502="","",IF($E501="",$E502,$E502*0.0952380952+H501*0.9047619048))</f>
        <v>0</v>
      </c>
      <c r="I502">
        <f>IF($E502="","",IF($E501="",$E502,$E502*0.0392156863+I501*0.9607843137))</f>
        <v>0</v>
      </c>
      <c r="J502">
        <f>IF($E502="","",IF($E501="",$E502,$E502*0.0198019802+J501*0.9801980198))</f>
        <v>0</v>
      </c>
      <c r="K502">
        <f>IF($E502="","",IF($E501="",$E502,$E502*0.0099502488+K501*0.9900497512))</f>
        <v>0</v>
      </c>
      <c r="L502">
        <f>IF(OR($E502="",$E501=""),"",MAX($E502-$E501,0))</f>
        <v>0</v>
      </c>
      <c r="M502">
        <f>IF(OR($E502="",$E501=""),"",MAX($E501-$E502,0))</f>
        <v>0</v>
      </c>
      <c r="N502">
        <f>IF(COUNT($E$2:$E502)&lt;15,"",IF(AVERAGE($M$489:$M$502)=0,100,100-100/(1+AVERAGE($L$489:$L$502)/AVERAGE($M$489:$M$502))))</f>
        <v>0</v>
      </c>
      <c r="O502">
        <f>IF($E502="","",IF($E501="",$E502,$E502*0.1538461538+O501*0.8461538462))</f>
        <v>0</v>
      </c>
      <c r="P502">
        <f>IF($E502="","",IF($E501="",$E502,$E502*0.0740740741+P501*0.9259259259))</f>
        <v>0</v>
      </c>
      <c r="Q502">
        <f>IF(OR(O502="",P502=""),"",O502-P502)</f>
        <v>0</v>
      </c>
      <c r="R502">
        <f>IF(Q502="","",IF(R501="",Q502,Q502*0.2000000000+R501*0.8000000000))</f>
        <v>0</v>
      </c>
      <c r="S502">
        <f>IF(OR(Q502="",R502=""),"",Q502-R502)</f>
        <v>0</v>
      </c>
      <c r="T502">
        <f>IF(COUNT($E$2:$E502)&lt;14,"",MAX($C$489:$C$502))</f>
        <v>0</v>
      </c>
      <c r="U502">
        <f>IF(COUNT($E$2:$E502)&lt;14,"",MIN($D$489:$D$502))</f>
        <v>0</v>
      </c>
      <c r="V502">
        <f>IF(OR(T502="",U502="",T502=U502),"",100*($E502-U502)/(T502-U502))</f>
        <v>0</v>
      </c>
      <c r="W502">
        <f>IF(COUNT($V$500:$V$502)&lt;3,"",AVERAGE($V$500:$V$502))</f>
        <v>0</v>
      </c>
      <c r="X502">
        <f>IF(COUNT($N$489:$N$502)&lt;14,"",MIN($N$489:$N$502))</f>
        <v>0</v>
      </c>
      <c r="Y502">
        <f>IF(COUNT($N$489:$N$502)&lt;14,"",MAX($N$489:$N$502))</f>
        <v>0</v>
      </c>
      <c r="Z502">
        <f>IF(OR(N502="",X502="",Y502="",Y502=X502),"",100*(N502-X502)/(Y502-X502))</f>
        <v>0</v>
      </c>
      <c r="AA502">
        <f>IF(COUNT($Z$500:$Z$502)&lt;3,"",AVERAGE($Z$500:$Z$502))</f>
        <v>0</v>
      </c>
      <c r="AB502">
        <f>IF(COUNT($AA$500:$AA$502)&lt;3,"",AVERAGE($AA$500:$AA$502))</f>
        <v>0</v>
      </c>
      <c r="AC502">
        <f>IF($E502="","",MAX($C502-$D502,ABS($C502-$E501),ABS($D502-$E501)))</f>
        <v>0</v>
      </c>
      <c r="AD502">
        <f>IF(COUNT($E$2:$E502)&lt;15,"",AVERAGE($AC$489:$AC$502))</f>
        <v>0</v>
      </c>
      <c r="AE502">
        <f>IF(OR($E502="",$E501=""),"",IF(AND(($C502-$C501)&gt;($D501-$D502),($C502-$C501)&gt;0),$C502-$C501,0))</f>
        <v>0</v>
      </c>
      <c r="AF502">
        <f>IF(OR($E502="",$E501=""),"",IF(AND(($D501-$D502)&gt;($C502-$C501),($D501-$D502)&gt;0),$D501-$D502,0))</f>
        <v>0</v>
      </c>
      <c r="AG502">
        <f>IF(COUNT($E$2:$E502)&lt;15,"",IF(SUM($AC$489:$AC$502)=0,0,100*SUM($AE$489:$AE$502)/SUM($AC$489:$AC$502)))</f>
        <v>0</v>
      </c>
      <c r="AH502">
        <f>IF(COUNT($E$2:$E502)&lt;15,"",IF(SUM($AC$489:$AC$502)=0,0,100*SUM($AF$489:$AF$502)/SUM($AC$489:$AC$502)))</f>
        <v>0</v>
      </c>
      <c r="AI502">
        <f>IF(OR(AG502="",AH502=""),"",IF((AG502+AH502)=0,0,100*ABS(AG502-AH502)/(AG502+AH502)))</f>
        <v>0</v>
      </c>
      <c r="AJ502">
        <f>IF(COUNT($AI$489:$AI$502)&lt;14,"",AVERAGE($AI$489:$AI$502))</f>
        <v>0</v>
      </c>
      <c r="AK502">
        <f>IF(COUNT($E$2:$E502)&lt;20,"",AVERAGE($E$483:$E$502))</f>
        <v>0</v>
      </c>
      <c r="AL502">
        <f>IF(COUNT($E$2:$E502)&lt;20,"",STDEVP($E$483:$E$502))</f>
        <v>0</v>
      </c>
      <c r="AM502">
        <f>IF(AK502="","",AK502+2*AL502)</f>
        <v>0</v>
      </c>
      <c r="AN502">
        <f>IF(AK502="","",AK502-2*AL502)</f>
        <v>0</v>
      </c>
      <c r="AO502">
        <f>IF(OR(AM502="",AN502="",AM502=AN502),"",($E502-AN502)/(AM502-AN502))</f>
        <v>0</v>
      </c>
      <c r="AP502">
        <f>IF(OR(AM502="",AK502="",AK502=0),"",(AM502-AN502)/AK502)</f>
        <v>0</v>
      </c>
      <c r="AQ502">
        <f>IF(COUNT($E$2:$E502)&lt;20,"",MAX($C$483:$C$502))</f>
        <v>0</v>
      </c>
      <c r="AR502">
        <f>IF(COUNT($E$2:$E502)&lt;20,"",MIN($D$483:$D$502))</f>
        <v>0</v>
      </c>
      <c r="AS502">
        <f>IF(OR(AQ502="",AR502=""),"",(AQ502+AR502)/2)</f>
        <v>0</v>
      </c>
      <c r="AT502">
        <f>IF(COUNT($G$483:$G$502)&lt;20,"",STDEV($G$483:$G$502)*SQRT(252))</f>
        <v>0</v>
      </c>
      <c r="AU502">
        <f>IF(COUNT($E$2:$E502)&lt;9,"",(MAX($C$494:$C$502)+MIN($D$494:$D$502))/2)</f>
        <v>0</v>
      </c>
      <c r="AV502">
        <f>IF(COUNT($E$2:$E502)&lt;26,"",(MAX($C$477:$C$502)+MIN($D$477:$D$502))/2)</f>
        <v>0</v>
      </c>
      <c r="AW502">
        <f>IF(OR(AU502="",AV502=""),"",(AU502+AV502)/2)</f>
        <v>0</v>
      </c>
      <c r="AX502">
        <f>IF(COUNT($E$2:$E502)&lt;52,"",(MAX($C$451:$C$502)+MIN($D$451:$D$502))/2)</f>
        <v>0</v>
      </c>
      <c r="AY502">
        <f>IF(COUNT($E$2:$E502)&lt;20,"",MAX($C$403:$C$502))</f>
        <v>0</v>
      </c>
      <c r="AZ502">
        <f>IF(COUNT($E$2:$E502)&lt;20,"",MIN($D$403:$D$502))</f>
        <v>0</v>
      </c>
      <c r="BA502">
        <f>IF(COUNT($E$2:$E502)&lt;20,"",SLOPE($E$403:$E$502,$F$403:$F$502))</f>
        <v>0</v>
      </c>
      <c r="BB502">
        <f>IF(COUNT($E$2:$E502)&lt;20,"",INTERCEPT($E$403:$E$502,$F$403:$F$502))</f>
        <v>0</v>
      </c>
      <c r="BC502">
        <f>IF(OR(BA502="",BB502=""),"",BB502+BA502*F502)</f>
        <v>0</v>
      </c>
      <c r="BD502">
        <f>IF(COUNT($E$2:$E502)&lt;20,"",STEYX($E$403:$E$502,$F$403:$F$502))</f>
        <v>0</v>
      </c>
      <c r="BE502">
        <f>IF($E502="","",IF(AND(COUNT($E$503:$E$506)&gt;=4,$C502=MAX($C$498:$C$506)),$C502,""))</f>
        <v>0</v>
      </c>
      <c r="BF502">
        <f>IF($E502="","",IF(AND(COUNT($E$503:$E$506)&gt;=4,$D502=MIN($D$498:$D$506)),$D502,""))</f>
        <v>0</v>
      </c>
      <c r="BG502">
        <f>IF($A502="","",$A502-WEEKDAY($A502,2)+1)</f>
        <v>0</v>
      </c>
      <c r="BH502">
        <f>IF($A502="","",IF($A501="",1,IF(BG502&lt;&gt;BG501,1,0)))</f>
        <v>0</v>
      </c>
      <c r="BI502">
        <f>IF($A502="","",IF($A503="",1,IF(BG503&lt;&gt;BG502,1,0)))</f>
        <v>0</v>
      </c>
      <c r="BJ502">
        <f>IF($A502="","",IF(BH502=1,$B502,BJ501))</f>
        <v>0</v>
      </c>
      <c r="BK502">
        <f>IF($A502="","",IF(BH502=1,$C502,MAX($C502,BK501)))</f>
        <v>0</v>
      </c>
      <c r="BL502">
        <f>IF($A502="","",IF(BH502=1,$D502,MIN($D502,BL501)))</f>
        <v>0</v>
      </c>
      <c r="BM502">
        <f>IF($A502="","",IF(BI502=1,F502,""))</f>
        <v>0</v>
      </c>
      <c r="BN502">
        <f>IF($A502="","",DATE(YEAR($A502),MONTH($A502),1))</f>
        <v>0</v>
      </c>
      <c r="BO502">
        <f>IF($A502="","",IF($A501="",1,IF(BN502&lt;&gt;BN501,1,0)))</f>
        <v>0</v>
      </c>
      <c r="BP502">
        <f>IF($A502="","",IF($A503="",1,IF(BN503&lt;&gt;BN502,1,0)))</f>
        <v>0</v>
      </c>
      <c r="BQ502">
        <f>IF($A502="","",IF(BO502=1,$B502,BQ501))</f>
        <v>0</v>
      </c>
      <c r="BR502">
        <f>IF($A502="","",IF(BO502=1,$C502,MAX($C502,BR501)))</f>
        <v>0</v>
      </c>
      <c r="BS502">
        <f>IF($A502="","",IF(BO502=1,$D502,MIN($D502,BS501)))</f>
        <v>0</v>
      </c>
      <c r="BT502">
        <f>IF($A502="","",IF(BP502=1,F502,""))</f>
        <v>0</v>
      </c>
    </row>
    <row r="503" spans="1:72">
      <c r="A503" s="27">
        <f>IF(Data!$A503="","",Data!$A503)</f>
        <v>0</v>
      </c>
      <c r="B503">
        <f>IF(Data!$B503="","",Data!$B503)</f>
        <v>0</v>
      </c>
      <c r="C503">
        <f>IF(Data!$C503="","",Data!$C503)</f>
        <v>0</v>
      </c>
      <c r="D503">
        <f>IF(Data!$D503="","",Data!$D503)</f>
        <v>0</v>
      </c>
      <c r="E503">
        <f>IF(Data!$E503="","",Data!$E503)</f>
        <v>0</v>
      </c>
      <c r="F503">
        <f>IF($E503="","",N(F502)+1)</f>
        <v>0</v>
      </c>
      <c r="G503">
        <f>IF(OR($E503="",$E502=""),"",LN($E503/$E502))</f>
        <v>0</v>
      </c>
      <c r="H503">
        <f>IF($E503="","",IF($E502="",$E503,$E503*0.0952380952+H502*0.9047619048))</f>
        <v>0</v>
      </c>
      <c r="I503">
        <f>IF($E503="","",IF($E502="",$E503,$E503*0.0392156863+I502*0.9607843137))</f>
        <v>0</v>
      </c>
      <c r="J503">
        <f>IF($E503="","",IF($E502="",$E503,$E503*0.0198019802+J502*0.9801980198))</f>
        <v>0</v>
      </c>
      <c r="K503">
        <f>IF($E503="","",IF($E502="",$E503,$E503*0.0099502488+K502*0.9900497512))</f>
        <v>0</v>
      </c>
      <c r="L503">
        <f>IF(OR($E503="",$E502=""),"",MAX($E503-$E502,0))</f>
        <v>0</v>
      </c>
      <c r="M503">
        <f>IF(OR($E503="",$E502=""),"",MAX($E502-$E503,0))</f>
        <v>0</v>
      </c>
      <c r="N503">
        <f>IF(COUNT($E$2:$E503)&lt;15,"",IF(AVERAGE($M$490:$M$503)=0,100,100-100/(1+AVERAGE($L$490:$L$503)/AVERAGE($M$490:$M$503))))</f>
        <v>0</v>
      </c>
      <c r="O503">
        <f>IF($E503="","",IF($E502="",$E503,$E503*0.1538461538+O502*0.8461538462))</f>
        <v>0</v>
      </c>
      <c r="P503">
        <f>IF($E503="","",IF($E502="",$E503,$E503*0.0740740741+P502*0.9259259259))</f>
        <v>0</v>
      </c>
      <c r="Q503">
        <f>IF(OR(O503="",P503=""),"",O503-P503)</f>
        <v>0</v>
      </c>
      <c r="R503">
        <f>IF(Q503="","",IF(R502="",Q503,Q503*0.2000000000+R502*0.8000000000))</f>
        <v>0</v>
      </c>
      <c r="S503">
        <f>IF(OR(Q503="",R503=""),"",Q503-R503)</f>
        <v>0</v>
      </c>
      <c r="T503">
        <f>IF(COUNT($E$2:$E503)&lt;14,"",MAX($C$490:$C$503))</f>
        <v>0</v>
      </c>
      <c r="U503">
        <f>IF(COUNT($E$2:$E503)&lt;14,"",MIN($D$490:$D$503))</f>
        <v>0</v>
      </c>
      <c r="V503">
        <f>IF(OR(T503="",U503="",T503=U503),"",100*($E503-U503)/(T503-U503))</f>
        <v>0</v>
      </c>
      <c r="W503">
        <f>IF(COUNT($V$501:$V$503)&lt;3,"",AVERAGE($V$501:$V$503))</f>
        <v>0</v>
      </c>
      <c r="X503">
        <f>IF(COUNT($N$490:$N$503)&lt;14,"",MIN($N$490:$N$503))</f>
        <v>0</v>
      </c>
      <c r="Y503">
        <f>IF(COUNT($N$490:$N$503)&lt;14,"",MAX($N$490:$N$503))</f>
        <v>0</v>
      </c>
      <c r="Z503">
        <f>IF(OR(N503="",X503="",Y503="",Y503=X503),"",100*(N503-X503)/(Y503-X503))</f>
        <v>0</v>
      </c>
      <c r="AA503">
        <f>IF(COUNT($Z$501:$Z$503)&lt;3,"",AVERAGE($Z$501:$Z$503))</f>
        <v>0</v>
      </c>
      <c r="AB503">
        <f>IF(COUNT($AA$501:$AA$503)&lt;3,"",AVERAGE($AA$501:$AA$503))</f>
        <v>0</v>
      </c>
      <c r="AC503">
        <f>IF($E503="","",MAX($C503-$D503,ABS($C503-$E502),ABS($D503-$E502)))</f>
        <v>0</v>
      </c>
      <c r="AD503">
        <f>IF(COUNT($E$2:$E503)&lt;15,"",AVERAGE($AC$490:$AC$503))</f>
        <v>0</v>
      </c>
      <c r="AE503">
        <f>IF(OR($E503="",$E502=""),"",IF(AND(($C503-$C502)&gt;($D502-$D503),($C503-$C502)&gt;0),$C503-$C502,0))</f>
        <v>0</v>
      </c>
      <c r="AF503">
        <f>IF(OR($E503="",$E502=""),"",IF(AND(($D502-$D503)&gt;($C503-$C502),($D502-$D503)&gt;0),$D502-$D503,0))</f>
        <v>0</v>
      </c>
      <c r="AG503">
        <f>IF(COUNT($E$2:$E503)&lt;15,"",IF(SUM($AC$490:$AC$503)=0,0,100*SUM($AE$490:$AE$503)/SUM($AC$490:$AC$503)))</f>
        <v>0</v>
      </c>
      <c r="AH503">
        <f>IF(COUNT($E$2:$E503)&lt;15,"",IF(SUM($AC$490:$AC$503)=0,0,100*SUM($AF$490:$AF$503)/SUM($AC$490:$AC$503)))</f>
        <v>0</v>
      </c>
      <c r="AI503">
        <f>IF(OR(AG503="",AH503=""),"",IF((AG503+AH503)=0,0,100*ABS(AG503-AH503)/(AG503+AH503)))</f>
        <v>0</v>
      </c>
      <c r="AJ503">
        <f>IF(COUNT($AI$490:$AI$503)&lt;14,"",AVERAGE($AI$490:$AI$503))</f>
        <v>0</v>
      </c>
      <c r="AK503">
        <f>IF(COUNT($E$2:$E503)&lt;20,"",AVERAGE($E$484:$E$503))</f>
        <v>0</v>
      </c>
      <c r="AL503">
        <f>IF(COUNT($E$2:$E503)&lt;20,"",STDEVP($E$484:$E$503))</f>
        <v>0</v>
      </c>
      <c r="AM503">
        <f>IF(AK503="","",AK503+2*AL503)</f>
        <v>0</v>
      </c>
      <c r="AN503">
        <f>IF(AK503="","",AK503-2*AL503)</f>
        <v>0</v>
      </c>
      <c r="AO503">
        <f>IF(OR(AM503="",AN503="",AM503=AN503),"",($E503-AN503)/(AM503-AN503))</f>
        <v>0</v>
      </c>
      <c r="AP503">
        <f>IF(OR(AM503="",AK503="",AK503=0),"",(AM503-AN503)/AK503)</f>
        <v>0</v>
      </c>
      <c r="AQ503">
        <f>IF(COUNT($E$2:$E503)&lt;20,"",MAX($C$484:$C$503))</f>
        <v>0</v>
      </c>
      <c r="AR503">
        <f>IF(COUNT($E$2:$E503)&lt;20,"",MIN($D$484:$D$503))</f>
        <v>0</v>
      </c>
      <c r="AS503">
        <f>IF(OR(AQ503="",AR503=""),"",(AQ503+AR503)/2)</f>
        <v>0</v>
      </c>
      <c r="AT503">
        <f>IF(COUNT($G$484:$G$503)&lt;20,"",STDEV($G$484:$G$503)*SQRT(252))</f>
        <v>0</v>
      </c>
      <c r="AU503">
        <f>IF(COUNT($E$2:$E503)&lt;9,"",(MAX($C$495:$C$503)+MIN($D$495:$D$503))/2)</f>
        <v>0</v>
      </c>
      <c r="AV503">
        <f>IF(COUNT($E$2:$E503)&lt;26,"",(MAX($C$478:$C$503)+MIN($D$478:$D$503))/2)</f>
        <v>0</v>
      </c>
      <c r="AW503">
        <f>IF(OR(AU503="",AV503=""),"",(AU503+AV503)/2)</f>
        <v>0</v>
      </c>
      <c r="AX503">
        <f>IF(COUNT($E$2:$E503)&lt;52,"",(MAX($C$452:$C$503)+MIN($D$452:$D$503))/2)</f>
        <v>0</v>
      </c>
      <c r="AY503">
        <f>IF(COUNT($E$2:$E503)&lt;20,"",MAX($C$404:$C$503))</f>
        <v>0</v>
      </c>
      <c r="AZ503">
        <f>IF(COUNT($E$2:$E503)&lt;20,"",MIN($D$404:$D$503))</f>
        <v>0</v>
      </c>
      <c r="BA503">
        <f>IF(COUNT($E$2:$E503)&lt;20,"",SLOPE($E$404:$E$503,$F$404:$F$503))</f>
        <v>0</v>
      </c>
      <c r="BB503">
        <f>IF(COUNT($E$2:$E503)&lt;20,"",INTERCEPT($E$404:$E$503,$F$404:$F$503))</f>
        <v>0</v>
      </c>
      <c r="BC503">
        <f>IF(OR(BA503="",BB503=""),"",BB503+BA503*F503)</f>
        <v>0</v>
      </c>
      <c r="BD503">
        <f>IF(COUNT($E$2:$E503)&lt;20,"",STEYX($E$404:$E$503,$F$404:$F$503))</f>
        <v>0</v>
      </c>
      <c r="BE503">
        <f>IF($E503="","",IF(AND(COUNT($E$504:$E$507)&gt;=4,$C503=MAX($C$499:$C$507)),$C503,""))</f>
        <v>0</v>
      </c>
      <c r="BF503">
        <f>IF($E503="","",IF(AND(COUNT($E$504:$E$507)&gt;=4,$D503=MIN($D$499:$D$507)),$D503,""))</f>
        <v>0</v>
      </c>
      <c r="BG503">
        <f>IF($A503="","",$A503-WEEKDAY($A503,2)+1)</f>
        <v>0</v>
      </c>
      <c r="BH503">
        <f>IF($A503="","",IF($A502="",1,IF(BG503&lt;&gt;BG502,1,0)))</f>
        <v>0</v>
      </c>
      <c r="BI503">
        <f>IF($A503="","",IF($A504="",1,IF(BG504&lt;&gt;BG503,1,0)))</f>
        <v>0</v>
      </c>
      <c r="BJ503">
        <f>IF($A503="","",IF(BH503=1,$B503,BJ502))</f>
        <v>0</v>
      </c>
      <c r="BK503">
        <f>IF($A503="","",IF(BH503=1,$C503,MAX($C503,BK502)))</f>
        <v>0</v>
      </c>
      <c r="BL503">
        <f>IF($A503="","",IF(BH503=1,$D503,MIN($D503,BL502)))</f>
        <v>0</v>
      </c>
      <c r="BM503">
        <f>IF($A503="","",IF(BI503=1,F503,""))</f>
        <v>0</v>
      </c>
      <c r="BN503">
        <f>IF($A503="","",DATE(YEAR($A503),MONTH($A503),1))</f>
        <v>0</v>
      </c>
      <c r="BO503">
        <f>IF($A503="","",IF($A502="",1,IF(BN503&lt;&gt;BN502,1,0)))</f>
        <v>0</v>
      </c>
      <c r="BP503">
        <f>IF($A503="","",IF($A504="",1,IF(BN504&lt;&gt;BN503,1,0)))</f>
        <v>0</v>
      </c>
      <c r="BQ503">
        <f>IF($A503="","",IF(BO503=1,$B503,BQ502))</f>
        <v>0</v>
      </c>
      <c r="BR503">
        <f>IF($A503="","",IF(BO503=1,$C503,MAX($C503,BR502)))</f>
        <v>0</v>
      </c>
      <c r="BS503">
        <f>IF($A503="","",IF(BO503=1,$D503,MIN($D503,BS502)))</f>
        <v>0</v>
      </c>
      <c r="BT503">
        <f>IF($A503="","",IF(BP503=1,F503,""))</f>
        <v>0</v>
      </c>
    </row>
    <row r="504" spans="1:72">
      <c r="A504" s="27">
        <f>IF(Data!$A504="","",Data!$A504)</f>
        <v>0</v>
      </c>
      <c r="B504">
        <f>IF(Data!$B504="","",Data!$B504)</f>
        <v>0</v>
      </c>
      <c r="C504">
        <f>IF(Data!$C504="","",Data!$C504)</f>
        <v>0</v>
      </c>
      <c r="D504">
        <f>IF(Data!$D504="","",Data!$D504)</f>
        <v>0</v>
      </c>
      <c r="E504">
        <f>IF(Data!$E504="","",Data!$E504)</f>
        <v>0</v>
      </c>
      <c r="F504">
        <f>IF($E504="","",N(F503)+1)</f>
        <v>0</v>
      </c>
      <c r="G504">
        <f>IF(OR($E504="",$E503=""),"",LN($E504/$E503))</f>
        <v>0</v>
      </c>
      <c r="H504">
        <f>IF($E504="","",IF($E503="",$E504,$E504*0.0952380952+H503*0.9047619048))</f>
        <v>0</v>
      </c>
      <c r="I504">
        <f>IF($E504="","",IF($E503="",$E504,$E504*0.0392156863+I503*0.9607843137))</f>
        <v>0</v>
      </c>
      <c r="J504">
        <f>IF($E504="","",IF($E503="",$E504,$E504*0.0198019802+J503*0.9801980198))</f>
        <v>0</v>
      </c>
      <c r="K504">
        <f>IF($E504="","",IF($E503="",$E504,$E504*0.0099502488+K503*0.9900497512))</f>
        <v>0</v>
      </c>
      <c r="L504">
        <f>IF(OR($E504="",$E503=""),"",MAX($E504-$E503,0))</f>
        <v>0</v>
      </c>
      <c r="M504">
        <f>IF(OR($E504="",$E503=""),"",MAX($E503-$E504,0))</f>
        <v>0</v>
      </c>
      <c r="N504">
        <f>IF(COUNT($E$2:$E504)&lt;15,"",IF(AVERAGE($M$491:$M$504)=0,100,100-100/(1+AVERAGE($L$491:$L$504)/AVERAGE($M$491:$M$504))))</f>
        <v>0</v>
      </c>
      <c r="O504">
        <f>IF($E504="","",IF($E503="",$E504,$E504*0.1538461538+O503*0.8461538462))</f>
        <v>0</v>
      </c>
      <c r="P504">
        <f>IF($E504="","",IF($E503="",$E504,$E504*0.0740740741+P503*0.9259259259))</f>
        <v>0</v>
      </c>
      <c r="Q504">
        <f>IF(OR(O504="",P504=""),"",O504-P504)</f>
        <v>0</v>
      </c>
      <c r="R504">
        <f>IF(Q504="","",IF(R503="",Q504,Q504*0.2000000000+R503*0.8000000000))</f>
        <v>0</v>
      </c>
      <c r="S504">
        <f>IF(OR(Q504="",R504=""),"",Q504-R504)</f>
        <v>0</v>
      </c>
      <c r="T504">
        <f>IF(COUNT($E$2:$E504)&lt;14,"",MAX($C$491:$C$504))</f>
        <v>0</v>
      </c>
      <c r="U504">
        <f>IF(COUNT($E$2:$E504)&lt;14,"",MIN($D$491:$D$504))</f>
        <v>0</v>
      </c>
      <c r="V504">
        <f>IF(OR(T504="",U504="",T504=U504),"",100*($E504-U504)/(T504-U504))</f>
        <v>0</v>
      </c>
      <c r="W504">
        <f>IF(COUNT($V$502:$V$504)&lt;3,"",AVERAGE($V$502:$V$504))</f>
        <v>0</v>
      </c>
      <c r="X504">
        <f>IF(COUNT($N$491:$N$504)&lt;14,"",MIN($N$491:$N$504))</f>
        <v>0</v>
      </c>
      <c r="Y504">
        <f>IF(COUNT($N$491:$N$504)&lt;14,"",MAX($N$491:$N$504))</f>
        <v>0</v>
      </c>
      <c r="Z504">
        <f>IF(OR(N504="",X504="",Y504="",Y504=X504),"",100*(N504-X504)/(Y504-X504))</f>
        <v>0</v>
      </c>
      <c r="AA504">
        <f>IF(COUNT($Z$502:$Z$504)&lt;3,"",AVERAGE($Z$502:$Z$504))</f>
        <v>0</v>
      </c>
      <c r="AB504">
        <f>IF(COUNT($AA$502:$AA$504)&lt;3,"",AVERAGE($AA$502:$AA$504))</f>
        <v>0</v>
      </c>
      <c r="AC504">
        <f>IF($E504="","",MAX($C504-$D504,ABS($C504-$E503),ABS($D504-$E503)))</f>
        <v>0</v>
      </c>
      <c r="AD504">
        <f>IF(COUNT($E$2:$E504)&lt;15,"",AVERAGE($AC$491:$AC$504))</f>
        <v>0</v>
      </c>
      <c r="AE504">
        <f>IF(OR($E504="",$E503=""),"",IF(AND(($C504-$C503)&gt;($D503-$D504),($C504-$C503)&gt;0),$C504-$C503,0))</f>
        <v>0</v>
      </c>
      <c r="AF504">
        <f>IF(OR($E504="",$E503=""),"",IF(AND(($D503-$D504)&gt;($C504-$C503),($D503-$D504)&gt;0),$D503-$D504,0))</f>
        <v>0</v>
      </c>
      <c r="AG504">
        <f>IF(COUNT($E$2:$E504)&lt;15,"",IF(SUM($AC$491:$AC$504)=0,0,100*SUM($AE$491:$AE$504)/SUM($AC$491:$AC$504)))</f>
        <v>0</v>
      </c>
      <c r="AH504">
        <f>IF(COUNT($E$2:$E504)&lt;15,"",IF(SUM($AC$491:$AC$504)=0,0,100*SUM($AF$491:$AF$504)/SUM($AC$491:$AC$504)))</f>
        <v>0</v>
      </c>
      <c r="AI504">
        <f>IF(OR(AG504="",AH504=""),"",IF((AG504+AH504)=0,0,100*ABS(AG504-AH504)/(AG504+AH504)))</f>
        <v>0</v>
      </c>
      <c r="AJ504">
        <f>IF(COUNT($AI$491:$AI$504)&lt;14,"",AVERAGE($AI$491:$AI$504))</f>
        <v>0</v>
      </c>
      <c r="AK504">
        <f>IF(COUNT($E$2:$E504)&lt;20,"",AVERAGE($E$485:$E$504))</f>
        <v>0</v>
      </c>
      <c r="AL504">
        <f>IF(COUNT($E$2:$E504)&lt;20,"",STDEVP($E$485:$E$504))</f>
        <v>0</v>
      </c>
      <c r="AM504">
        <f>IF(AK504="","",AK504+2*AL504)</f>
        <v>0</v>
      </c>
      <c r="AN504">
        <f>IF(AK504="","",AK504-2*AL504)</f>
        <v>0</v>
      </c>
      <c r="AO504">
        <f>IF(OR(AM504="",AN504="",AM504=AN504),"",($E504-AN504)/(AM504-AN504))</f>
        <v>0</v>
      </c>
      <c r="AP504">
        <f>IF(OR(AM504="",AK504="",AK504=0),"",(AM504-AN504)/AK504)</f>
        <v>0</v>
      </c>
      <c r="AQ504">
        <f>IF(COUNT($E$2:$E504)&lt;20,"",MAX($C$485:$C$504))</f>
        <v>0</v>
      </c>
      <c r="AR504">
        <f>IF(COUNT($E$2:$E504)&lt;20,"",MIN($D$485:$D$504))</f>
        <v>0</v>
      </c>
      <c r="AS504">
        <f>IF(OR(AQ504="",AR504=""),"",(AQ504+AR504)/2)</f>
        <v>0</v>
      </c>
      <c r="AT504">
        <f>IF(COUNT($G$485:$G$504)&lt;20,"",STDEV($G$485:$G$504)*SQRT(252))</f>
        <v>0</v>
      </c>
      <c r="AU504">
        <f>IF(COUNT($E$2:$E504)&lt;9,"",(MAX($C$496:$C$504)+MIN($D$496:$D$504))/2)</f>
        <v>0</v>
      </c>
      <c r="AV504">
        <f>IF(COUNT($E$2:$E504)&lt;26,"",(MAX($C$479:$C$504)+MIN($D$479:$D$504))/2)</f>
        <v>0</v>
      </c>
      <c r="AW504">
        <f>IF(OR(AU504="",AV504=""),"",(AU504+AV504)/2)</f>
        <v>0</v>
      </c>
      <c r="AX504">
        <f>IF(COUNT($E$2:$E504)&lt;52,"",(MAX($C$453:$C$504)+MIN($D$453:$D$504))/2)</f>
        <v>0</v>
      </c>
      <c r="AY504">
        <f>IF(COUNT($E$2:$E504)&lt;20,"",MAX($C$405:$C$504))</f>
        <v>0</v>
      </c>
      <c r="AZ504">
        <f>IF(COUNT($E$2:$E504)&lt;20,"",MIN($D$405:$D$504))</f>
        <v>0</v>
      </c>
      <c r="BA504">
        <f>IF(COUNT($E$2:$E504)&lt;20,"",SLOPE($E$405:$E$504,$F$405:$F$504))</f>
        <v>0</v>
      </c>
      <c r="BB504">
        <f>IF(COUNT($E$2:$E504)&lt;20,"",INTERCEPT($E$405:$E$504,$F$405:$F$504))</f>
        <v>0</v>
      </c>
      <c r="BC504">
        <f>IF(OR(BA504="",BB504=""),"",BB504+BA504*F504)</f>
        <v>0</v>
      </c>
      <c r="BD504">
        <f>IF(COUNT($E$2:$E504)&lt;20,"",STEYX($E$405:$E$504,$F$405:$F$504))</f>
        <v>0</v>
      </c>
      <c r="BE504">
        <f>IF($E504="","",IF(AND(COUNT($E$505:$E$508)&gt;=4,$C504=MAX($C$500:$C$508)),$C504,""))</f>
        <v>0</v>
      </c>
      <c r="BF504">
        <f>IF($E504="","",IF(AND(COUNT($E$505:$E$508)&gt;=4,$D504=MIN($D$500:$D$508)),$D504,""))</f>
        <v>0</v>
      </c>
      <c r="BG504">
        <f>IF($A504="","",$A504-WEEKDAY($A504,2)+1)</f>
        <v>0</v>
      </c>
      <c r="BH504">
        <f>IF($A504="","",IF($A503="",1,IF(BG504&lt;&gt;BG503,1,0)))</f>
        <v>0</v>
      </c>
      <c r="BI504">
        <f>IF($A504="","",IF($A505="",1,IF(BG505&lt;&gt;BG504,1,0)))</f>
        <v>0</v>
      </c>
      <c r="BJ504">
        <f>IF($A504="","",IF(BH504=1,$B504,BJ503))</f>
        <v>0</v>
      </c>
      <c r="BK504">
        <f>IF($A504="","",IF(BH504=1,$C504,MAX($C504,BK503)))</f>
        <v>0</v>
      </c>
      <c r="BL504">
        <f>IF($A504="","",IF(BH504=1,$D504,MIN($D504,BL503)))</f>
        <v>0</v>
      </c>
      <c r="BM504">
        <f>IF($A504="","",IF(BI504=1,F504,""))</f>
        <v>0</v>
      </c>
      <c r="BN504">
        <f>IF($A504="","",DATE(YEAR($A504),MONTH($A504),1))</f>
        <v>0</v>
      </c>
      <c r="BO504">
        <f>IF($A504="","",IF($A503="",1,IF(BN504&lt;&gt;BN503,1,0)))</f>
        <v>0</v>
      </c>
      <c r="BP504">
        <f>IF($A504="","",IF($A505="",1,IF(BN505&lt;&gt;BN504,1,0)))</f>
        <v>0</v>
      </c>
      <c r="BQ504">
        <f>IF($A504="","",IF(BO504=1,$B504,BQ503))</f>
        <v>0</v>
      </c>
      <c r="BR504">
        <f>IF($A504="","",IF(BO504=1,$C504,MAX($C504,BR503)))</f>
        <v>0</v>
      </c>
      <c r="BS504">
        <f>IF($A504="","",IF(BO504=1,$D504,MIN($D504,BS503)))</f>
        <v>0</v>
      </c>
      <c r="BT504">
        <f>IF($A504="","",IF(BP504=1,F504,""))</f>
        <v>0</v>
      </c>
    </row>
    <row r="505" spans="1:72">
      <c r="A505" s="27">
        <f>IF(Data!$A505="","",Data!$A505)</f>
        <v>0</v>
      </c>
      <c r="B505">
        <f>IF(Data!$B505="","",Data!$B505)</f>
        <v>0</v>
      </c>
      <c r="C505">
        <f>IF(Data!$C505="","",Data!$C505)</f>
        <v>0</v>
      </c>
      <c r="D505">
        <f>IF(Data!$D505="","",Data!$D505)</f>
        <v>0</v>
      </c>
      <c r="E505">
        <f>IF(Data!$E505="","",Data!$E505)</f>
        <v>0</v>
      </c>
      <c r="F505">
        <f>IF($E505="","",N(F504)+1)</f>
        <v>0</v>
      </c>
      <c r="G505">
        <f>IF(OR($E505="",$E504=""),"",LN($E505/$E504))</f>
        <v>0</v>
      </c>
      <c r="H505">
        <f>IF($E505="","",IF($E504="",$E505,$E505*0.0952380952+H504*0.9047619048))</f>
        <v>0</v>
      </c>
      <c r="I505">
        <f>IF($E505="","",IF($E504="",$E505,$E505*0.0392156863+I504*0.9607843137))</f>
        <v>0</v>
      </c>
      <c r="J505">
        <f>IF($E505="","",IF($E504="",$E505,$E505*0.0198019802+J504*0.9801980198))</f>
        <v>0</v>
      </c>
      <c r="K505">
        <f>IF($E505="","",IF($E504="",$E505,$E505*0.0099502488+K504*0.9900497512))</f>
        <v>0</v>
      </c>
      <c r="L505">
        <f>IF(OR($E505="",$E504=""),"",MAX($E505-$E504,0))</f>
        <v>0</v>
      </c>
      <c r="M505">
        <f>IF(OR($E505="",$E504=""),"",MAX($E504-$E505,0))</f>
        <v>0</v>
      </c>
      <c r="N505">
        <f>IF(COUNT($E$2:$E505)&lt;15,"",IF(AVERAGE($M$492:$M$505)=0,100,100-100/(1+AVERAGE($L$492:$L$505)/AVERAGE($M$492:$M$505))))</f>
        <v>0</v>
      </c>
      <c r="O505">
        <f>IF($E505="","",IF($E504="",$E505,$E505*0.1538461538+O504*0.8461538462))</f>
        <v>0</v>
      </c>
      <c r="P505">
        <f>IF($E505="","",IF($E504="",$E505,$E505*0.0740740741+P504*0.9259259259))</f>
        <v>0</v>
      </c>
      <c r="Q505">
        <f>IF(OR(O505="",P505=""),"",O505-P505)</f>
        <v>0</v>
      </c>
      <c r="R505">
        <f>IF(Q505="","",IF(R504="",Q505,Q505*0.2000000000+R504*0.8000000000))</f>
        <v>0</v>
      </c>
      <c r="S505">
        <f>IF(OR(Q505="",R505=""),"",Q505-R505)</f>
        <v>0</v>
      </c>
      <c r="T505">
        <f>IF(COUNT($E$2:$E505)&lt;14,"",MAX($C$492:$C$505))</f>
        <v>0</v>
      </c>
      <c r="U505">
        <f>IF(COUNT($E$2:$E505)&lt;14,"",MIN($D$492:$D$505))</f>
        <v>0</v>
      </c>
      <c r="V505">
        <f>IF(OR(T505="",U505="",T505=U505),"",100*($E505-U505)/(T505-U505))</f>
        <v>0</v>
      </c>
      <c r="W505">
        <f>IF(COUNT($V$503:$V$505)&lt;3,"",AVERAGE($V$503:$V$505))</f>
        <v>0</v>
      </c>
      <c r="X505">
        <f>IF(COUNT($N$492:$N$505)&lt;14,"",MIN($N$492:$N$505))</f>
        <v>0</v>
      </c>
      <c r="Y505">
        <f>IF(COUNT($N$492:$N$505)&lt;14,"",MAX($N$492:$N$505))</f>
        <v>0</v>
      </c>
      <c r="Z505">
        <f>IF(OR(N505="",X505="",Y505="",Y505=X505),"",100*(N505-X505)/(Y505-X505))</f>
        <v>0</v>
      </c>
      <c r="AA505">
        <f>IF(COUNT($Z$503:$Z$505)&lt;3,"",AVERAGE($Z$503:$Z$505))</f>
        <v>0</v>
      </c>
      <c r="AB505">
        <f>IF(COUNT($AA$503:$AA$505)&lt;3,"",AVERAGE($AA$503:$AA$505))</f>
        <v>0</v>
      </c>
      <c r="AC505">
        <f>IF($E505="","",MAX($C505-$D505,ABS($C505-$E504),ABS($D505-$E504)))</f>
        <v>0</v>
      </c>
      <c r="AD505">
        <f>IF(COUNT($E$2:$E505)&lt;15,"",AVERAGE($AC$492:$AC$505))</f>
        <v>0</v>
      </c>
      <c r="AE505">
        <f>IF(OR($E505="",$E504=""),"",IF(AND(($C505-$C504)&gt;($D504-$D505),($C505-$C504)&gt;0),$C505-$C504,0))</f>
        <v>0</v>
      </c>
      <c r="AF505">
        <f>IF(OR($E505="",$E504=""),"",IF(AND(($D504-$D505)&gt;($C505-$C504),($D504-$D505)&gt;0),$D504-$D505,0))</f>
        <v>0</v>
      </c>
      <c r="AG505">
        <f>IF(COUNT($E$2:$E505)&lt;15,"",IF(SUM($AC$492:$AC$505)=0,0,100*SUM($AE$492:$AE$505)/SUM($AC$492:$AC$505)))</f>
        <v>0</v>
      </c>
      <c r="AH505">
        <f>IF(COUNT($E$2:$E505)&lt;15,"",IF(SUM($AC$492:$AC$505)=0,0,100*SUM($AF$492:$AF$505)/SUM($AC$492:$AC$505)))</f>
        <v>0</v>
      </c>
      <c r="AI505">
        <f>IF(OR(AG505="",AH505=""),"",IF((AG505+AH505)=0,0,100*ABS(AG505-AH505)/(AG505+AH505)))</f>
        <v>0</v>
      </c>
      <c r="AJ505">
        <f>IF(COUNT($AI$492:$AI$505)&lt;14,"",AVERAGE($AI$492:$AI$505))</f>
        <v>0</v>
      </c>
      <c r="AK505">
        <f>IF(COUNT($E$2:$E505)&lt;20,"",AVERAGE($E$486:$E$505))</f>
        <v>0</v>
      </c>
      <c r="AL505">
        <f>IF(COUNT($E$2:$E505)&lt;20,"",STDEVP($E$486:$E$505))</f>
        <v>0</v>
      </c>
      <c r="AM505">
        <f>IF(AK505="","",AK505+2*AL505)</f>
        <v>0</v>
      </c>
      <c r="AN505">
        <f>IF(AK505="","",AK505-2*AL505)</f>
        <v>0</v>
      </c>
      <c r="AO505">
        <f>IF(OR(AM505="",AN505="",AM505=AN505),"",($E505-AN505)/(AM505-AN505))</f>
        <v>0</v>
      </c>
      <c r="AP505">
        <f>IF(OR(AM505="",AK505="",AK505=0),"",(AM505-AN505)/AK505)</f>
        <v>0</v>
      </c>
      <c r="AQ505">
        <f>IF(COUNT($E$2:$E505)&lt;20,"",MAX($C$486:$C$505))</f>
        <v>0</v>
      </c>
      <c r="AR505">
        <f>IF(COUNT($E$2:$E505)&lt;20,"",MIN($D$486:$D$505))</f>
        <v>0</v>
      </c>
      <c r="AS505">
        <f>IF(OR(AQ505="",AR505=""),"",(AQ505+AR505)/2)</f>
        <v>0</v>
      </c>
      <c r="AT505">
        <f>IF(COUNT($G$486:$G$505)&lt;20,"",STDEV($G$486:$G$505)*SQRT(252))</f>
        <v>0</v>
      </c>
      <c r="AU505">
        <f>IF(COUNT($E$2:$E505)&lt;9,"",(MAX($C$497:$C$505)+MIN($D$497:$D$505))/2)</f>
        <v>0</v>
      </c>
      <c r="AV505">
        <f>IF(COUNT($E$2:$E505)&lt;26,"",(MAX($C$480:$C$505)+MIN($D$480:$D$505))/2)</f>
        <v>0</v>
      </c>
      <c r="AW505">
        <f>IF(OR(AU505="",AV505=""),"",(AU505+AV505)/2)</f>
        <v>0</v>
      </c>
      <c r="AX505">
        <f>IF(COUNT($E$2:$E505)&lt;52,"",(MAX($C$454:$C$505)+MIN($D$454:$D$505))/2)</f>
        <v>0</v>
      </c>
      <c r="AY505">
        <f>IF(COUNT($E$2:$E505)&lt;20,"",MAX($C$406:$C$505))</f>
        <v>0</v>
      </c>
      <c r="AZ505">
        <f>IF(COUNT($E$2:$E505)&lt;20,"",MIN($D$406:$D$505))</f>
        <v>0</v>
      </c>
      <c r="BA505">
        <f>IF(COUNT($E$2:$E505)&lt;20,"",SLOPE($E$406:$E$505,$F$406:$F$505))</f>
        <v>0</v>
      </c>
      <c r="BB505">
        <f>IF(COUNT($E$2:$E505)&lt;20,"",INTERCEPT($E$406:$E$505,$F$406:$F$505))</f>
        <v>0</v>
      </c>
      <c r="BC505">
        <f>IF(OR(BA505="",BB505=""),"",BB505+BA505*F505)</f>
        <v>0</v>
      </c>
      <c r="BD505">
        <f>IF(COUNT($E$2:$E505)&lt;20,"",STEYX($E$406:$E$505,$F$406:$F$505))</f>
        <v>0</v>
      </c>
      <c r="BE505">
        <f>IF($E505="","",IF(AND(COUNT($E$506:$E$509)&gt;=4,$C505=MAX($C$501:$C$509)),$C505,""))</f>
        <v>0</v>
      </c>
      <c r="BF505">
        <f>IF($E505="","",IF(AND(COUNT($E$506:$E$509)&gt;=4,$D505=MIN($D$501:$D$509)),$D505,""))</f>
        <v>0</v>
      </c>
      <c r="BG505">
        <f>IF($A505="","",$A505-WEEKDAY($A505,2)+1)</f>
        <v>0</v>
      </c>
      <c r="BH505">
        <f>IF($A505="","",IF($A504="",1,IF(BG505&lt;&gt;BG504,1,0)))</f>
        <v>0</v>
      </c>
      <c r="BI505">
        <f>IF($A505="","",IF($A506="",1,IF(BG506&lt;&gt;BG505,1,0)))</f>
        <v>0</v>
      </c>
      <c r="BJ505">
        <f>IF($A505="","",IF(BH505=1,$B505,BJ504))</f>
        <v>0</v>
      </c>
      <c r="BK505">
        <f>IF($A505="","",IF(BH505=1,$C505,MAX($C505,BK504)))</f>
        <v>0</v>
      </c>
      <c r="BL505">
        <f>IF($A505="","",IF(BH505=1,$D505,MIN($D505,BL504)))</f>
        <v>0</v>
      </c>
      <c r="BM505">
        <f>IF($A505="","",IF(BI505=1,F505,""))</f>
        <v>0</v>
      </c>
      <c r="BN505">
        <f>IF($A505="","",DATE(YEAR($A505),MONTH($A505),1))</f>
        <v>0</v>
      </c>
      <c r="BO505">
        <f>IF($A505="","",IF($A504="",1,IF(BN505&lt;&gt;BN504,1,0)))</f>
        <v>0</v>
      </c>
      <c r="BP505">
        <f>IF($A505="","",IF($A506="",1,IF(BN506&lt;&gt;BN505,1,0)))</f>
        <v>0</v>
      </c>
      <c r="BQ505">
        <f>IF($A505="","",IF(BO505=1,$B505,BQ504))</f>
        <v>0</v>
      </c>
      <c r="BR505">
        <f>IF($A505="","",IF(BO505=1,$C505,MAX($C505,BR504)))</f>
        <v>0</v>
      </c>
      <c r="BS505">
        <f>IF($A505="","",IF(BO505=1,$D505,MIN($D505,BS504)))</f>
        <v>0</v>
      </c>
      <c r="BT505">
        <f>IF($A505="","",IF(BP505=1,F505,""))</f>
        <v>0</v>
      </c>
    </row>
    <row r="506" spans="1:72">
      <c r="A506" s="27">
        <f>IF(Data!$A506="","",Data!$A506)</f>
        <v>0</v>
      </c>
      <c r="B506">
        <f>IF(Data!$B506="","",Data!$B506)</f>
        <v>0</v>
      </c>
      <c r="C506">
        <f>IF(Data!$C506="","",Data!$C506)</f>
        <v>0</v>
      </c>
      <c r="D506">
        <f>IF(Data!$D506="","",Data!$D506)</f>
        <v>0</v>
      </c>
      <c r="E506">
        <f>IF(Data!$E506="","",Data!$E506)</f>
        <v>0</v>
      </c>
      <c r="F506">
        <f>IF($E506="","",N(F505)+1)</f>
        <v>0</v>
      </c>
      <c r="G506">
        <f>IF(OR($E506="",$E505=""),"",LN($E506/$E505))</f>
        <v>0</v>
      </c>
      <c r="H506">
        <f>IF($E506="","",IF($E505="",$E506,$E506*0.0952380952+H505*0.9047619048))</f>
        <v>0</v>
      </c>
      <c r="I506">
        <f>IF($E506="","",IF($E505="",$E506,$E506*0.0392156863+I505*0.9607843137))</f>
        <v>0</v>
      </c>
      <c r="J506">
        <f>IF($E506="","",IF($E505="",$E506,$E506*0.0198019802+J505*0.9801980198))</f>
        <v>0</v>
      </c>
      <c r="K506">
        <f>IF($E506="","",IF($E505="",$E506,$E506*0.0099502488+K505*0.9900497512))</f>
        <v>0</v>
      </c>
      <c r="L506">
        <f>IF(OR($E506="",$E505=""),"",MAX($E506-$E505,0))</f>
        <v>0</v>
      </c>
      <c r="M506">
        <f>IF(OR($E506="",$E505=""),"",MAX($E505-$E506,0))</f>
        <v>0</v>
      </c>
      <c r="N506">
        <f>IF(COUNT($E$2:$E506)&lt;15,"",IF(AVERAGE($M$493:$M$506)=0,100,100-100/(1+AVERAGE($L$493:$L$506)/AVERAGE($M$493:$M$506))))</f>
        <v>0</v>
      </c>
      <c r="O506">
        <f>IF($E506="","",IF($E505="",$E506,$E506*0.1538461538+O505*0.8461538462))</f>
        <v>0</v>
      </c>
      <c r="P506">
        <f>IF($E506="","",IF($E505="",$E506,$E506*0.0740740741+P505*0.9259259259))</f>
        <v>0</v>
      </c>
      <c r="Q506">
        <f>IF(OR(O506="",P506=""),"",O506-P506)</f>
        <v>0</v>
      </c>
      <c r="R506">
        <f>IF(Q506="","",IF(R505="",Q506,Q506*0.2000000000+R505*0.8000000000))</f>
        <v>0</v>
      </c>
      <c r="S506">
        <f>IF(OR(Q506="",R506=""),"",Q506-R506)</f>
        <v>0</v>
      </c>
      <c r="T506">
        <f>IF(COUNT($E$2:$E506)&lt;14,"",MAX($C$493:$C$506))</f>
        <v>0</v>
      </c>
      <c r="U506">
        <f>IF(COUNT($E$2:$E506)&lt;14,"",MIN($D$493:$D$506))</f>
        <v>0</v>
      </c>
      <c r="V506">
        <f>IF(OR(T506="",U506="",T506=U506),"",100*($E506-U506)/(T506-U506))</f>
        <v>0</v>
      </c>
      <c r="W506">
        <f>IF(COUNT($V$504:$V$506)&lt;3,"",AVERAGE($V$504:$V$506))</f>
        <v>0</v>
      </c>
      <c r="X506">
        <f>IF(COUNT($N$493:$N$506)&lt;14,"",MIN($N$493:$N$506))</f>
        <v>0</v>
      </c>
      <c r="Y506">
        <f>IF(COUNT($N$493:$N$506)&lt;14,"",MAX($N$493:$N$506))</f>
        <v>0</v>
      </c>
      <c r="Z506">
        <f>IF(OR(N506="",X506="",Y506="",Y506=X506),"",100*(N506-X506)/(Y506-X506))</f>
        <v>0</v>
      </c>
      <c r="AA506">
        <f>IF(COUNT($Z$504:$Z$506)&lt;3,"",AVERAGE($Z$504:$Z$506))</f>
        <v>0</v>
      </c>
      <c r="AB506">
        <f>IF(COUNT($AA$504:$AA$506)&lt;3,"",AVERAGE($AA$504:$AA$506))</f>
        <v>0</v>
      </c>
      <c r="AC506">
        <f>IF($E506="","",MAX($C506-$D506,ABS($C506-$E505),ABS($D506-$E505)))</f>
        <v>0</v>
      </c>
      <c r="AD506">
        <f>IF(COUNT($E$2:$E506)&lt;15,"",AVERAGE($AC$493:$AC$506))</f>
        <v>0</v>
      </c>
      <c r="AE506">
        <f>IF(OR($E506="",$E505=""),"",IF(AND(($C506-$C505)&gt;($D505-$D506),($C506-$C505)&gt;0),$C506-$C505,0))</f>
        <v>0</v>
      </c>
      <c r="AF506">
        <f>IF(OR($E506="",$E505=""),"",IF(AND(($D505-$D506)&gt;($C506-$C505),($D505-$D506)&gt;0),$D505-$D506,0))</f>
        <v>0</v>
      </c>
      <c r="AG506">
        <f>IF(COUNT($E$2:$E506)&lt;15,"",IF(SUM($AC$493:$AC$506)=0,0,100*SUM($AE$493:$AE$506)/SUM($AC$493:$AC$506)))</f>
        <v>0</v>
      </c>
      <c r="AH506">
        <f>IF(COUNT($E$2:$E506)&lt;15,"",IF(SUM($AC$493:$AC$506)=0,0,100*SUM($AF$493:$AF$506)/SUM($AC$493:$AC$506)))</f>
        <v>0</v>
      </c>
      <c r="AI506">
        <f>IF(OR(AG506="",AH506=""),"",IF((AG506+AH506)=0,0,100*ABS(AG506-AH506)/(AG506+AH506)))</f>
        <v>0</v>
      </c>
      <c r="AJ506">
        <f>IF(COUNT($AI$493:$AI$506)&lt;14,"",AVERAGE($AI$493:$AI$506))</f>
        <v>0</v>
      </c>
      <c r="AK506">
        <f>IF(COUNT($E$2:$E506)&lt;20,"",AVERAGE($E$487:$E$506))</f>
        <v>0</v>
      </c>
      <c r="AL506">
        <f>IF(COUNT($E$2:$E506)&lt;20,"",STDEVP($E$487:$E$506))</f>
        <v>0</v>
      </c>
      <c r="AM506">
        <f>IF(AK506="","",AK506+2*AL506)</f>
        <v>0</v>
      </c>
      <c r="AN506">
        <f>IF(AK506="","",AK506-2*AL506)</f>
        <v>0</v>
      </c>
      <c r="AO506">
        <f>IF(OR(AM506="",AN506="",AM506=AN506),"",($E506-AN506)/(AM506-AN506))</f>
        <v>0</v>
      </c>
      <c r="AP506">
        <f>IF(OR(AM506="",AK506="",AK506=0),"",(AM506-AN506)/AK506)</f>
        <v>0</v>
      </c>
      <c r="AQ506">
        <f>IF(COUNT($E$2:$E506)&lt;20,"",MAX($C$487:$C$506))</f>
        <v>0</v>
      </c>
      <c r="AR506">
        <f>IF(COUNT($E$2:$E506)&lt;20,"",MIN($D$487:$D$506))</f>
        <v>0</v>
      </c>
      <c r="AS506">
        <f>IF(OR(AQ506="",AR506=""),"",(AQ506+AR506)/2)</f>
        <v>0</v>
      </c>
      <c r="AT506">
        <f>IF(COUNT($G$487:$G$506)&lt;20,"",STDEV($G$487:$G$506)*SQRT(252))</f>
        <v>0</v>
      </c>
      <c r="AU506">
        <f>IF(COUNT($E$2:$E506)&lt;9,"",(MAX($C$498:$C$506)+MIN($D$498:$D$506))/2)</f>
        <v>0</v>
      </c>
      <c r="AV506">
        <f>IF(COUNT($E$2:$E506)&lt;26,"",(MAX($C$481:$C$506)+MIN($D$481:$D$506))/2)</f>
        <v>0</v>
      </c>
      <c r="AW506">
        <f>IF(OR(AU506="",AV506=""),"",(AU506+AV506)/2)</f>
        <v>0</v>
      </c>
      <c r="AX506">
        <f>IF(COUNT($E$2:$E506)&lt;52,"",(MAX($C$455:$C$506)+MIN($D$455:$D$506))/2)</f>
        <v>0</v>
      </c>
      <c r="AY506">
        <f>IF(COUNT($E$2:$E506)&lt;20,"",MAX($C$407:$C$506))</f>
        <v>0</v>
      </c>
      <c r="AZ506">
        <f>IF(COUNT($E$2:$E506)&lt;20,"",MIN($D$407:$D$506))</f>
        <v>0</v>
      </c>
      <c r="BA506">
        <f>IF(COUNT($E$2:$E506)&lt;20,"",SLOPE($E$407:$E$506,$F$407:$F$506))</f>
        <v>0</v>
      </c>
      <c r="BB506">
        <f>IF(COUNT($E$2:$E506)&lt;20,"",INTERCEPT($E$407:$E$506,$F$407:$F$506))</f>
        <v>0</v>
      </c>
      <c r="BC506">
        <f>IF(OR(BA506="",BB506=""),"",BB506+BA506*F506)</f>
        <v>0</v>
      </c>
      <c r="BD506">
        <f>IF(COUNT($E$2:$E506)&lt;20,"",STEYX($E$407:$E$506,$F$407:$F$506))</f>
        <v>0</v>
      </c>
      <c r="BE506">
        <f>IF($E506="","",IF(AND(COUNT($E$507:$E$510)&gt;=4,$C506=MAX($C$502:$C$510)),$C506,""))</f>
        <v>0</v>
      </c>
      <c r="BF506">
        <f>IF($E506="","",IF(AND(COUNT($E$507:$E$510)&gt;=4,$D506=MIN($D$502:$D$510)),$D506,""))</f>
        <v>0</v>
      </c>
      <c r="BG506">
        <f>IF($A506="","",$A506-WEEKDAY($A506,2)+1)</f>
        <v>0</v>
      </c>
      <c r="BH506">
        <f>IF($A506="","",IF($A505="",1,IF(BG506&lt;&gt;BG505,1,0)))</f>
        <v>0</v>
      </c>
      <c r="BI506">
        <f>IF($A506="","",IF($A507="",1,IF(BG507&lt;&gt;BG506,1,0)))</f>
        <v>0</v>
      </c>
      <c r="BJ506">
        <f>IF($A506="","",IF(BH506=1,$B506,BJ505))</f>
        <v>0</v>
      </c>
      <c r="BK506">
        <f>IF($A506="","",IF(BH506=1,$C506,MAX($C506,BK505)))</f>
        <v>0</v>
      </c>
      <c r="BL506">
        <f>IF($A506="","",IF(BH506=1,$D506,MIN($D506,BL505)))</f>
        <v>0</v>
      </c>
      <c r="BM506">
        <f>IF($A506="","",IF(BI506=1,F506,""))</f>
        <v>0</v>
      </c>
      <c r="BN506">
        <f>IF($A506="","",DATE(YEAR($A506),MONTH($A506),1))</f>
        <v>0</v>
      </c>
      <c r="BO506">
        <f>IF($A506="","",IF($A505="",1,IF(BN506&lt;&gt;BN505,1,0)))</f>
        <v>0</v>
      </c>
      <c r="BP506">
        <f>IF($A506="","",IF($A507="",1,IF(BN507&lt;&gt;BN506,1,0)))</f>
        <v>0</v>
      </c>
      <c r="BQ506">
        <f>IF($A506="","",IF(BO506=1,$B506,BQ505))</f>
        <v>0</v>
      </c>
      <c r="BR506">
        <f>IF($A506="","",IF(BO506=1,$C506,MAX($C506,BR505)))</f>
        <v>0</v>
      </c>
      <c r="BS506">
        <f>IF($A506="","",IF(BO506=1,$D506,MIN($D506,BS505)))</f>
        <v>0</v>
      </c>
      <c r="BT506">
        <f>IF($A506="","",IF(BP506=1,F506,""))</f>
        <v>0</v>
      </c>
    </row>
    <row r="507" spans="1:72">
      <c r="A507" s="27">
        <f>IF(Data!$A507="","",Data!$A507)</f>
        <v>0</v>
      </c>
      <c r="B507">
        <f>IF(Data!$B507="","",Data!$B507)</f>
        <v>0</v>
      </c>
      <c r="C507">
        <f>IF(Data!$C507="","",Data!$C507)</f>
        <v>0</v>
      </c>
      <c r="D507">
        <f>IF(Data!$D507="","",Data!$D507)</f>
        <v>0</v>
      </c>
      <c r="E507">
        <f>IF(Data!$E507="","",Data!$E507)</f>
        <v>0</v>
      </c>
      <c r="F507">
        <f>IF($E507="","",N(F506)+1)</f>
        <v>0</v>
      </c>
      <c r="G507">
        <f>IF(OR($E507="",$E506=""),"",LN($E507/$E506))</f>
        <v>0</v>
      </c>
      <c r="H507">
        <f>IF($E507="","",IF($E506="",$E507,$E507*0.0952380952+H506*0.9047619048))</f>
        <v>0</v>
      </c>
      <c r="I507">
        <f>IF($E507="","",IF($E506="",$E507,$E507*0.0392156863+I506*0.9607843137))</f>
        <v>0</v>
      </c>
      <c r="J507">
        <f>IF($E507="","",IF($E506="",$E507,$E507*0.0198019802+J506*0.9801980198))</f>
        <v>0</v>
      </c>
      <c r="K507">
        <f>IF($E507="","",IF($E506="",$E507,$E507*0.0099502488+K506*0.9900497512))</f>
        <v>0</v>
      </c>
      <c r="L507">
        <f>IF(OR($E507="",$E506=""),"",MAX($E507-$E506,0))</f>
        <v>0</v>
      </c>
      <c r="M507">
        <f>IF(OR($E507="",$E506=""),"",MAX($E506-$E507,0))</f>
        <v>0</v>
      </c>
      <c r="N507">
        <f>IF(COUNT($E$2:$E507)&lt;15,"",IF(AVERAGE($M$494:$M$507)=0,100,100-100/(1+AVERAGE($L$494:$L$507)/AVERAGE($M$494:$M$507))))</f>
        <v>0</v>
      </c>
      <c r="O507">
        <f>IF($E507="","",IF($E506="",$E507,$E507*0.1538461538+O506*0.8461538462))</f>
        <v>0</v>
      </c>
      <c r="P507">
        <f>IF($E507="","",IF($E506="",$E507,$E507*0.0740740741+P506*0.9259259259))</f>
        <v>0</v>
      </c>
      <c r="Q507">
        <f>IF(OR(O507="",P507=""),"",O507-P507)</f>
        <v>0</v>
      </c>
      <c r="R507">
        <f>IF(Q507="","",IF(R506="",Q507,Q507*0.2000000000+R506*0.8000000000))</f>
        <v>0</v>
      </c>
      <c r="S507">
        <f>IF(OR(Q507="",R507=""),"",Q507-R507)</f>
        <v>0</v>
      </c>
      <c r="T507">
        <f>IF(COUNT($E$2:$E507)&lt;14,"",MAX($C$494:$C$507))</f>
        <v>0</v>
      </c>
      <c r="U507">
        <f>IF(COUNT($E$2:$E507)&lt;14,"",MIN($D$494:$D$507))</f>
        <v>0</v>
      </c>
      <c r="V507">
        <f>IF(OR(T507="",U507="",T507=U507),"",100*($E507-U507)/(T507-U507))</f>
        <v>0</v>
      </c>
      <c r="W507">
        <f>IF(COUNT($V$505:$V$507)&lt;3,"",AVERAGE($V$505:$V$507))</f>
        <v>0</v>
      </c>
      <c r="X507">
        <f>IF(COUNT($N$494:$N$507)&lt;14,"",MIN($N$494:$N$507))</f>
        <v>0</v>
      </c>
      <c r="Y507">
        <f>IF(COUNT($N$494:$N$507)&lt;14,"",MAX($N$494:$N$507))</f>
        <v>0</v>
      </c>
      <c r="Z507">
        <f>IF(OR(N507="",X507="",Y507="",Y507=X507),"",100*(N507-X507)/(Y507-X507))</f>
        <v>0</v>
      </c>
      <c r="AA507">
        <f>IF(COUNT($Z$505:$Z$507)&lt;3,"",AVERAGE($Z$505:$Z$507))</f>
        <v>0</v>
      </c>
      <c r="AB507">
        <f>IF(COUNT($AA$505:$AA$507)&lt;3,"",AVERAGE($AA$505:$AA$507))</f>
        <v>0</v>
      </c>
      <c r="AC507">
        <f>IF($E507="","",MAX($C507-$D507,ABS($C507-$E506),ABS($D507-$E506)))</f>
        <v>0</v>
      </c>
      <c r="AD507">
        <f>IF(COUNT($E$2:$E507)&lt;15,"",AVERAGE($AC$494:$AC$507))</f>
        <v>0</v>
      </c>
      <c r="AE507">
        <f>IF(OR($E507="",$E506=""),"",IF(AND(($C507-$C506)&gt;($D506-$D507),($C507-$C506)&gt;0),$C507-$C506,0))</f>
        <v>0</v>
      </c>
      <c r="AF507">
        <f>IF(OR($E507="",$E506=""),"",IF(AND(($D506-$D507)&gt;($C507-$C506),($D506-$D507)&gt;0),$D506-$D507,0))</f>
        <v>0</v>
      </c>
      <c r="AG507">
        <f>IF(COUNT($E$2:$E507)&lt;15,"",IF(SUM($AC$494:$AC$507)=0,0,100*SUM($AE$494:$AE$507)/SUM($AC$494:$AC$507)))</f>
        <v>0</v>
      </c>
      <c r="AH507">
        <f>IF(COUNT($E$2:$E507)&lt;15,"",IF(SUM($AC$494:$AC$507)=0,0,100*SUM($AF$494:$AF$507)/SUM($AC$494:$AC$507)))</f>
        <v>0</v>
      </c>
      <c r="AI507">
        <f>IF(OR(AG507="",AH507=""),"",IF((AG507+AH507)=0,0,100*ABS(AG507-AH507)/(AG507+AH507)))</f>
        <v>0</v>
      </c>
      <c r="AJ507">
        <f>IF(COUNT($AI$494:$AI$507)&lt;14,"",AVERAGE($AI$494:$AI$507))</f>
        <v>0</v>
      </c>
      <c r="AK507">
        <f>IF(COUNT($E$2:$E507)&lt;20,"",AVERAGE($E$488:$E$507))</f>
        <v>0</v>
      </c>
      <c r="AL507">
        <f>IF(COUNT($E$2:$E507)&lt;20,"",STDEVP($E$488:$E$507))</f>
        <v>0</v>
      </c>
      <c r="AM507">
        <f>IF(AK507="","",AK507+2*AL507)</f>
        <v>0</v>
      </c>
      <c r="AN507">
        <f>IF(AK507="","",AK507-2*AL507)</f>
        <v>0</v>
      </c>
      <c r="AO507">
        <f>IF(OR(AM507="",AN507="",AM507=AN507),"",($E507-AN507)/(AM507-AN507))</f>
        <v>0</v>
      </c>
      <c r="AP507">
        <f>IF(OR(AM507="",AK507="",AK507=0),"",(AM507-AN507)/AK507)</f>
        <v>0</v>
      </c>
      <c r="AQ507">
        <f>IF(COUNT($E$2:$E507)&lt;20,"",MAX($C$488:$C$507))</f>
        <v>0</v>
      </c>
      <c r="AR507">
        <f>IF(COUNT($E$2:$E507)&lt;20,"",MIN($D$488:$D$507))</f>
        <v>0</v>
      </c>
      <c r="AS507">
        <f>IF(OR(AQ507="",AR507=""),"",(AQ507+AR507)/2)</f>
        <v>0</v>
      </c>
      <c r="AT507">
        <f>IF(COUNT($G$488:$G$507)&lt;20,"",STDEV($G$488:$G$507)*SQRT(252))</f>
        <v>0</v>
      </c>
      <c r="AU507">
        <f>IF(COUNT($E$2:$E507)&lt;9,"",(MAX($C$499:$C$507)+MIN($D$499:$D$507))/2)</f>
        <v>0</v>
      </c>
      <c r="AV507">
        <f>IF(COUNT($E$2:$E507)&lt;26,"",(MAX($C$482:$C$507)+MIN($D$482:$D$507))/2)</f>
        <v>0</v>
      </c>
      <c r="AW507">
        <f>IF(OR(AU507="",AV507=""),"",(AU507+AV507)/2)</f>
        <v>0</v>
      </c>
      <c r="AX507">
        <f>IF(COUNT($E$2:$E507)&lt;52,"",(MAX($C$456:$C$507)+MIN($D$456:$D$507))/2)</f>
        <v>0</v>
      </c>
      <c r="AY507">
        <f>IF(COUNT($E$2:$E507)&lt;20,"",MAX($C$408:$C$507))</f>
        <v>0</v>
      </c>
      <c r="AZ507">
        <f>IF(COUNT($E$2:$E507)&lt;20,"",MIN($D$408:$D$507))</f>
        <v>0</v>
      </c>
      <c r="BA507">
        <f>IF(COUNT($E$2:$E507)&lt;20,"",SLOPE($E$408:$E$507,$F$408:$F$507))</f>
        <v>0</v>
      </c>
      <c r="BB507">
        <f>IF(COUNT($E$2:$E507)&lt;20,"",INTERCEPT($E$408:$E$507,$F$408:$F$507))</f>
        <v>0</v>
      </c>
      <c r="BC507">
        <f>IF(OR(BA507="",BB507=""),"",BB507+BA507*F507)</f>
        <v>0</v>
      </c>
      <c r="BD507">
        <f>IF(COUNT($E$2:$E507)&lt;20,"",STEYX($E$408:$E$507,$F$408:$F$507))</f>
        <v>0</v>
      </c>
      <c r="BE507">
        <f>IF($E507="","",IF(AND(COUNT($E$508:$E$511)&gt;=4,$C507=MAX($C$503:$C$511)),$C507,""))</f>
        <v>0</v>
      </c>
      <c r="BF507">
        <f>IF($E507="","",IF(AND(COUNT($E$508:$E$511)&gt;=4,$D507=MIN($D$503:$D$511)),$D507,""))</f>
        <v>0</v>
      </c>
      <c r="BG507">
        <f>IF($A507="","",$A507-WEEKDAY($A507,2)+1)</f>
        <v>0</v>
      </c>
      <c r="BH507">
        <f>IF($A507="","",IF($A506="",1,IF(BG507&lt;&gt;BG506,1,0)))</f>
        <v>0</v>
      </c>
      <c r="BI507">
        <f>IF($A507="","",IF($A508="",1,IF(BG508&lt;&gt;BG507,1,0)))</f>
        <v>0</v>
      </c>
      <c r="BJ507">
        <f>IF($A507="","",IF(BH507=1,$B507,BJ506))</f>
        <v>0</v>
      </c>
      <c r="BK507">
        <f>IF($A507="","",IF(BH507=1,$C507,MAX($C507,BK506)))</f>
        <v>0</v>
      </c>
      <c r="BL507">
        <f>IF($A507="","",IF(BH507=1,$D507,MIN($D507,BL506)))</f>
        <v>0</v>
      </c>
      <c r="BM507">
        <f>IF($A507="","",IF(BI507=1,F507,""))</f>
        <v>0</v>
      </c>
      <c r="BN507">
        <f>IF($A507="","",DATE(YEAR($A507),MONTH($A507),1))</f>
        <v>0</v>
      </c>
      <c r="BO507">
        <f>IF($A507="","",IF($A506="",1,IF(BN507&lt;&gt;BN506,1,0)))</f>
        <v>0</v>
      </c>
      <c r="BP507">
        <f>IF($A507="","",IF($A508="",1,IF(BN508&lt;&gt;BN507,1,0)))</f>
        <v>0</v>
      </c>
      <c r="BQ507">
        <f>IF($A507="","",IF(BO507=1,$B507,BQ506))</f>
        <v>0</v>
      </c>
      <c r="BR507">
        <f>IF($A507="","",IF(BO507=1,$C507,MAX($C507,BR506)))</f>
        <v>0</v>
      </c>
      <c r="BS507">
        <f>IF($A507="","",IF(BO507=1,$D507,MIN($D507,BS506)))</f>
        <v>0</v>
      </c>
      <c r="BT507">
        <f>IF($A507="","",IF(BP507=1,F507,""))</f>
        <v>0</v>
      </c>
    </row>
    <row r="508" spans="1:72">
      <c r="A508" s="27">
        <f>IF(Data!$A508="","",Data!$A508)</f>
        <v>0</v>
      </c>
      <c r="B508">
        <f>IF(Data!$B508="","",Data!$B508)</f>
        <v>0</v>
      </c>
      <c r="C508">
        <f>IF(Data!$C508="","",Data!$C508)</f>
        <v>0</v>
      </c>
      <c r="D508">
        <f>IF(Data!$D508="","",Data!$D508)</f>
        <v>0</v>
      </c>
      <c r="E508">
        <f>IF(Data!$E508="","",Data!$E508)</f>
        <v>0</v>
      </c>
      <c r="F508">
        <f>IF($E508="","",N(F507)+1)</f>
        <v>0</v>
      </c>
      <c r="G508">
        <f>IF(OR($E508="",$E507=""),"",LN($E508/$E507))</f>
        <v>0</v>
      </c>
      <c r="H508">
        <f>IF($E508="","",IF($E507="",$E508,$E508*0.0952380952+H507*0.9047619048))</f>
        <v>0</v>
      </c>
      <c r="I508">
        <f>IF($E508="","",IF($E507="",$E508,$E508*0.0392156863+I507*0.9607843137))</f>
        <v>0</v>
      </c>
      <c r="J508">
        <f>IF($E508="","",IF($E507="",$E508,$E508*0.0198019802+J507*0.9801980198))</f>
        <v>0</v>
      </c>
      <c r="K508">
        <f>IF($E508="","",IF($E507="",$E508,$E508*0.0099502488+K507*0.9900497512))</f>
        <v>0</v>
      </c>
      <c r="L508">
        <f>IF(OR($E508="",$E507=""),"",MAX($E508-$E507,0))</f>
        <v>0</v>
      </c>
      <c r="M508">
        <f>IF(OR($E508="",$E507=""),"",MAX($E507-$E508,0))</f>
        <v>0</v>
      </c>
      <c r="N508">
        <f>IF(COUNT($E$2:$E508)&lt;15,"",IF(AVERAGE($M$495:$M$508)=0,100,100-100/(1+AVERAGE($L$495:$L$508)/AVERAGE($M$495:$M$508))))</f>
        <v>0</v>
      </c>
      <c r="O508">
        <f>IF($E508="","",IF($E507="",$E508,$E508*0.1538461538+O507*0.8461538462))</f>
        <v>0</v>
      </c>
      <c r="P508">
        <f>IF($E508="","",IF($E507="",$E508,$E508*0.0740740741+P507*0.9259259259))</f>
        <v>0</v>
      </c>
      <c r="Q508">
        <f>IF(OR(O508="",P508=""),"",O508-P508)</f>
        <v>0</v>
      </c>
      <c r="R508">
        <f>IF(Q508="","",IF(R507="",Q508,Q508*0.2000000000+R507*0.8000000000))</f>
        <v>0</v>
      </c>
      <c r="S508">
        <f>IF(OR(Q508="",R508=""),"",Q508-R508)</f>
        <v>0</v>
      </c>
      <c r="T508">
        <f>IF(COUNT($E$2:$E508)&lt;14,"",MAX($C$495:$C$508))</f>
        <v>0</v>
      </c>
      <c r="U508">
        <f>IF(COUNT($E$2:$E508)&lt;14,"",MIN($D$495:$D$508))</f>
        <v>0</v>
      </c>
      <c r="V508">
        <f>IF(OR(T508="",U508="",T508=U508),"",100*($E508-U508)/(T508-U508))</f>
        <v>0</v>
      </c>
      <c r="W508">
        <f>IF(COUNT($V$506:$V$508)&lt;3,"",AVERAGE($V$506:$V$508))</f>
        <v>0</v>
      </c>
      <c r="X508">
        <f>IF(COUNT($N$495:$N$508)&lt;14,"",MIN($N$495:$N$508))</f>
        <v>0</v>
      </c>
      <c r="Y508">
        <f>IF(COUNT($N$495:$N$508)&lt;14,"",MAX($N$495:$N$508))</f>
        <v>0</v>
      </c>
      <c r="Z508">
        <f>IF(OR(N508="",X508="",Y508="",Y508=X508),"",100*(N508-X508)/(Y508-X508))</f>
        <v>0</v>
      </c>
      <c r="AA508">
        <f>IF(COUNT($Z$506:$Z$508)&lt;3,"",AVERAGE($Z$506:$Z$508))</f>
        <v>0</v>
      </c>
      <c r="AB508">
        <f>IF(COUNT($AA$506:$AA$508)&lt;3,"",AVERAGE($AA$506:$AA$508))</f>
        <v>0</v>
      </c>
      <c r="AC508">
        <f>IF($E508="","",MAX($C508-$D508,ABS($C508-$E507),ABS($D508-$E507)))</f>
        <v>0</v>
      </c>
      <c r="AD508">
        <f>IF(COUNT($E$2:$E508)&lt;15,"",AVERAGE($AC$495:$AC$508))</f>
        <v>0</v>
      </c>
      <c r="AE508">
        <f>IF(OR($E508="",$E507=""),"",IF(AND(($C508-$C507)&gt;($D507-$D508),($C508-$C507)&gt;0),$C508-$C507,0))</f>
        <v>0</v>
      </c>
      <c r="AF508">
        <f>IF(OR($E508="",$E507=""),"",IF(AND(($D507-$D508)&gt;($C508-$C507),($D507-$D508)&gt;0),$D507-$D508,0))</f>
        <v>0</v>
      </c>
      <c r="AG508">
        <f>IF(COUNT($E$2:$E508)&lt;15,"",IF(SUM($AC$495:$AC$508)=0,0,100*SUM($AE$495:$AE$508)/SUM($AC$495:$AC$508)))</f>
        <v>0</v>
      </c>
      <c r="AH508">
        <f>IF(COUNT($E$2:$E508)&lt;15,"",IF(SUM($AC$495:$AC$508)=0,0,100*SUM($AF$495:$AF$508)/SUM($AC$495:$AC$508)))</f>
        <v>0</v>
      </c>
      <c r="AI508">
        <f>IF(OR(AG508="",AH508=""),"",IF((AG508+AH508)=0,0,100*ABS(AG508-AH508)/(AG508+AH508)))</f>
        <v>0</v>
      </c>
      <c r="AJ508">
        <f>IF(COUNT($AI$495:$AI$508)&lt;14,"",AVERAGE($AI$495:$AI$508))</f>
        <v>0</v>
      </c>
      <c r="AK508">
        <f>IF(COUNT($E$2:$E508)&lt;20,"",AVERAGE($E$489:$E$508))</f>
        <v>0</v>
      </c>
      <c r="AL508">
        <f>IF(COUNT($E$2:$E508)&lt;20,"",STDEVP($E$489:$E$508))</f>
        <v>0</v>
      </c>
      <c r="AM508">
        <f>IF(AK508="","",AK508+2*AL508)</f>
        <v>0</v>
      </c>
      <c r="AN508">
        <f>IF(AK508="","",AK508-2*AL508)</f>
        <v>0</v>
      </c>
      <c r="AO508">
        <f>IF(OR(AM508="",AN508="",AM508=AN508),"",($E508-AN508)/(AM508-AN508))</f>
        <v>0</v>
      </c>
      <c r="AP508">
        <f>IF(OR(AM508="",AK508="",AK508=0),"",(AM508-AN508)/AK508)</f>
        <v>0</v>
      </c>
      <c r="AQ508">
        <f>IF(COUNT($E$2:$E508)&lt;20,"",MAX($C$489:$C$508))</f>
        <v>0</v>
      </c>
      <c r="AR508">
        <f>IF(COUNT($E$2:$E508)&lt;20,"",MIN($D$489:$D$508))</f>
        <v>0</v>
      </c>
      <c r="AS508">
        <f>IF(OR(AQ508="",AR508=""),"",(AQ508+AR508)/2)</f>
        <v>0</v>
      </c>
      <c r="AT508">
        <f>IF(COUNT($G$489:$G$508)&lt;20,"",STDEV($G$489:$G$508)*SQRT(252))</f>
        <v>0</v>
      </c>
      <c r="AU508">
        <f>IF(COUNT($E$2:$E508)&lt;9,"",(MAX($C$500:$C$508)+MIN($D$500:$D$508))/2)</f>
        <v>0</v>
      </c>
      <c r="AV508">
        <f>IF(COUNT($E$2:$E508)&lt;26,"",(MAX($C$483:$C$508)+MIN($D$483:$D$508))/2)</f>
        <v>0</v>
      </c>
      <c r="AW508">
        <f>IF(OR(AU508="",AV508=""),"",(AU508+AV508)/2)</f>
        <v>0</v>
      </c>
      <c r="AX508">
        <f>IF(COUNT($E$2:$E508)&lt;52,"",(MAX($C$457:$C$508)+MIN($D$457:$D$508))/2)</f>
        <v>0</v>
      </c>
      <c r="AY508">
        <f>IF(COUNT($E$2:$E508)&lt;20,"",MAX($C$409:$C$508))</f>
        <v>0</v>
      </c>
      <c r="AZ508">
        <f>IF(COUNT($E$2:$E508)&lt;20,"",MIN($D$409:$D$508))</f>
        <v>0</v>
      </c>
      <c r="BA508">
        <f>IF(COUNT($E$2:$E508)&lt;20,"",SLOPE($E$409:$E$508,$F$409:$F$508))</f>
        <v>0</v>
      </c>
      <c r="BB508">
        <f>IF(COUNT($E$2:$E508)&lt;20,"",INTERCEPT($E$409:$E$508,$F$409:$F$508))</f>
        <v>0</v>
      </c>
      <c r="BC508">
        <f>IF(OR(BA508="",BB508=""),"",BB508+BA508*F508)</f>
        <v>0</v>
      </c>
      <c r="BD508">
        <f>IF(COUNT($E$2:$E508)&lt;20,"",STEYX($E$409:$E$508,$F$409:$F$508))</f>
        <v>0</v>
      </c>
      <c r="BE508">
        <f>IF($E508="","",IF(AND(COUNT($E$509:$E$512)&gt;=4,$C508=MAX($C$504:$C$512)),$C508,""))</f>
        <v>0</v>
      </c>
      <c r="BF508">
        <f>IF($E508="","",IF(AND(COUNT($E$509:$E$512)&gt;=4,$D508=MIN($D$504:$D$512)),$D508,""))</f>
        <v>0</v>
      </c>
      <c r="BG508">
        <f>IF($A508="","",$A508-WEEKDAY($A508,2)+1)</f>
        <v>0</v>
      </c>
      <c r="BH508">
        <f>IF($A508="","",IF($A507="",1,IF(BG508&lt;&gt;BG507,1,0)))</f>
        <v>0</v>
      </c>
      <c r="BI508">
        <f>IF($A508="","",IF($A509="",1,IF(BG509&lt;&gt;BG508,1,0)))</f>
        <v>0</v>
      </c>
      <c r="BJ508">
        <f>IF($A508="","",IF(BH508=1,$B508,BJ507))</f>
        <v>0</v>
      </c>
      <c r="BK508">
        <f>IF($A508="","",IF(BH508=1,$C508,MAX($C508,BK507)))</f>
        <v>0</v>
      </c>
      <c r="BL508">
        <f>IF($A508="","",IF(BH508=1,$D508,MIN($D508,BL507)))</f>
        <v>0</v>
      </c>
      <c r="BM508">
        <f>IF($A508="","",IF(BI508=1,F508,""))</f>
        <v>0</v>
      </c>
      <c r="BN508">
        <f>IF($A508="","",DATE(YEAR($A508),MONTH($A508),1))</f>
        <v>0</v>
      </c>
      <c r="BO508">
        <f>IF($A508="","",IF($A507="",1,IF(BN508&lt;&gt;BN507,1,0)))</f>
        <v>0</v>
      </c>
      <c r="BP508">
        <f>IF($A508="","",IF($A509="",1,IF(BN509&lt;&gt;BN508,1,0)))</f>
        <v>0</v>
      </c>
      <c r="BQ508">
        <f>IF($A508="","",IF(BO508=1,$B508,BQ507))</f>
        <v>0</v>
      </c>
      <c r="BR508">
        <f>IF($A508="","",IF(BO508=1,$C508,MAX($C508,BR507)))</f>
        <v>0</v>
      </c>
      <c r="BS508">
        <f>IF($A508="","",IF(BO508=1,$D508,MIN($D508,BS507)))</f>
        <v>0</v>
      </c>
      <c r="BT508">
        <f>IF($A508="","",IF(BP508=1,F508,""))</f>
        <v>0</v>
      </c>
    </row>
    <row r="509" spans="1:72">
      <c r="A509" s="27">
        <f>IF(Data!$A509="","",Data!$A509)</f>
        <v>0</v>
      </c>
      <c r="B509">
        <f>IF(Data!$B509="","",Data!$B509)</f>
        <v>0</v>
      </c>
      <c r="C509">
        <f>IF(Data!$C509="","",Data!$C509)</f>
        <v>0</v>
      </c>
      <c r="D509">
        <f>IF(Data!$D509="","",Data!$D509)</f>
        <v>0</v>
      </c>
      <c r="E509">
        <f>IF(Data!$E509="","",Data!$E509)</f>
        <v>0</v>
      </c>
      <c r="F509">
        <f>IF($E509="","",N(F508)+1)</f>
        <v>0</v>
      </c>
      <c r="G509">
        <f>IF(OR($E509="",$E508=""),"",LN($E509/$E508))</f>
        <v>0</v>
      </c>
      <c r="H509">
        <f>IF($E509="","",IF($E508="",$E509,$E509*0.0952380952+H508*0.9047619048))</f>
        <v>0</v>
      </c>
      <c r="I509">
        <f>IF($E509="","",IF($E508="",$E509,$E509*0.0392156863+I508*0.9607843137))</f>
        <v>0</v>
      </c>
      <c r="J509">
        <f>IF($E509="","",IF($E508="",$E509,$E509*0.0198019802+J508*0.9801980198))</f>
        <v>0</v>
      </c>
      <c r="K509">
        <f>IF($E509="","",IF($E508="",$E509,$E509*0.0099502488+K508*0.9900497512))</f>
        <v>0</v>
      </c>
      <c r="L509">
        <f>IF(OR($E509="",$E508=""),"",MAX($E509-$E508,0))</f>
        <v>0</v>
      </c>
      <c r="M509">
        <f>IF(OR($E509="",$E508=""),"",MAX($E508-$E509,0))</f>
        <v>0</v>
      </c>
      <c r="N509">
        <f>IF(COUNT($E$2:$E509)&lt;15,"",IF(AVERAGE($M$496:$M$509)=0,100,100-100/(1+AVERAGE($L$496:$L$509)/AVERAGE($M$496:$M$509))))</f>
        <v>0</v>
      </c>
      <c r="O509">
        <f>IF($E509="","",IF($E508="",$E509,$E509*0.1538461538+O508*0.8461538462))</f>
        <v>0</v>
      </c>
      <c r="P509">
        <f>IF($E509="","",IF($E508="",$E509,$E509*0.0740740741+P508*0.9259259259))</f>
        <v>0</v>
      </c>
      <c r="Q509">
        <f>IF(OR(O509="",P509=""),"",O509-P509)</f>
        <v>0</v>
      </c>
      <c r="R509">
        <f>IF(Q509="","",IF(R508="",Q509,Q509*0.2000000000+R508*0.8000000000))</f>
        <v>0</v>
      </c>
      <c r="S509">
        <f>IF(OR(Q509="",R509=""),"",Q509-R509)</f>
        <v>0</v>
      </c>
      <c r="T509">
        <f>IF(COUNT($E$2:$E509)&lt;14,"",MAX($C$496:$C$509))</f>
        <v>0</v>
      </c>
      <c r="U509">
        <f>IF(COUNT($E$2:$E509)&lt;14,"",MIN($D$496:$D$509))</f>
        <v>0</v>
      </c>
      <c r="V509">
        <f>IF(OR(T509="",U509="",T509=U509),"",100*($E509-U509)/(T509-U509))</f>
        <v>0</v>
      </c>
      <c r="W509">
        <f>IF(COUNT($V$507:$V$509)&lt;3,"",AVERAGE($V$507:$V$509))</f>
        <v>0</v>
      </c>
      <c r="X509">
        <f>IF(COUNT($N$496:$N$509)&lt;14,"",MIN($N$496:$N$509))</f>
        <v>0</v>
      </c>
      <c r="Y509">
        <f>IF(COUNT($N$496:$N$509)&lt;14,"",MAX($N$496:$N$509))</f>
        <v>0</v>
      </c>
      <c r="Z509">
        <f>IF(OR(N509="",X509="",Y509="",Y509=X509),"",100*(N509-X509)/(Y509-X509))</f>
        <v>0</v>
      </c>
      <c r="AA509">
        <f>IF(COUNT($Z$507:$Z$509)&lt;3,"",AVERAGE($Z$507:$Z$509))</f>
        <v>0</v>
      </c>
      <c r="AB509">
        <f>IF(COUNT($AA$507:$AA$509)&lt;3,"",AVERAGE($AA$507:$AA$509))</f>
        <v>0</v>
      </c>
      <c r="AC509">
        <f>IF($E509="","",MAX($C509-$D509,ABS($C509-$E508),ABS($D509-$E508)))</f>
        <v>0</v>
      </c>
      <c r="AD509">
        <f>IF(COUNT($E$2:$E509)&lt;15,"",AVERAGE($AC$496:$AC$509))</f>
        <v>0</v>
      </c>
      <c r="AE509">
        <f>IF(OR($E509="",$E508=""),"",IF(AND(($C509-$C508)&gt;($D508-$D509),($C509-$C508)&gt;0),$C509-$C508,0))</f>
        <v>0</v>
      </c>
      <c r="AF509">
        <f>IF(OR($E509="",$E508=""),"",IF(AND(($D508-$D509)&gt;($C509-$C508),($D508-$D509)&gt;0),$D508-$D509,0))</f>
        <v>0</v>
      </c>
      <c r="AG509">
        <f>IF(COUNT($E$2:$E509)&lt;15,"",IF(SUM($AC$496:$AC$509)=0,0,100*SUM($AE$496:$AE$509)/SUM($AC$496:$AC$509)))</f>
        <v>0</v>
      </c>
      <c r="AH509">
        <f>IF(COUNT($E$2:$E509)&lt;15,"",IF(SUM($AC$496:$AC$509)=0,0,100*SUM($AF$496:$AF$509)/SUM($AC$496:$AC$509)))</f>
        <v>0</v>
      </c>
      <c r="AI509">
        <f>IF(OR(AG509="",AH509=""),"",IF((AG509+AH509)=0,0,100*ABS(AG509-AH509)/(AG509+AH509)))</f>
        <v>0</v>
      </c>
      <c r="AJ509">
        <f>IF(COUNT($AI$496:$AI$509)&lt;14,"",AVERAGE($AI$496:$AI$509))</f>
        <v>0</v>
      </c>
      <c r="AK509">
        <f>IF(COUNT($E$2:$E509)&lt;20,"",AVERAGE($E$490:$E$509))</f>
        <v>0</v>
      </c>
      <c r="AL509">
        <f>IF(COUNT($E$2:$E509)&lt;20,"",STDEVP($E$490:$E$509))</f>
        <v>0</v>
      </c>
      <c r="AM509">
        <f>IF(AK509="","",AK509+2*AL509)</f>
        <v>0</v>
      </c>
      <c r="AN509">
        <f>IF(AK509="","",AK509-2*AL509)</f>
        <v>0</v>
      </c>
      <c r="AO509">
        <f>IF(OR(AM509="",AN509="",AM509=AN509),"",($E509-AN509)/(AM509-AN509))</f>
        <v>0</v>
      </c>
      <c r="AP509">
        <f>IF(OR(AM509="",AK509="",AK509=0),"",(AM509-AN509)/AK509)</f>
        <v>0</v>
      </c>
      <c r="AQ509">
        <f>IF(COUNT($E$2:$E509)&lt;20,"",MAX($C$490:$C$509))</f>
        <v>0</v>
      </c>
      <c r="AR509">
        <f>IF(COUNT($E$2:$E509)&lt;20,"",MIN($D$490:$D$509))</f>
        <v>0</v>
      </c>
      <c r="AS509">
        <f>IF(OR(AQ509="",AR509=""),"",(AQ509+AR509)/2)</f>
        <v>0</v>
      </c>
      <c r="AT509">
        <f>IF(COUNT($G$490:$G$509)&lt;20,"",STDEV($G$490:$G$509)*SQRT(252))</f>
        <v>0</v>
      </c>
      <c r="AU509">
        <f>IF(COUNT($E$2:$E509)&lt;9,"",(MAX($C$501:$C$509)+MIN($D$501:$D$509))/2)</f>
        <v>0</v>
      </c>
      <c r="AV509">
        <f>IF(COUNT($E$2:$E509)&lt;26,"",(MAX($C$484:$C$509)+MIN($D$484:$D$509))/2)</f>
        <v>0</v>
      </c>
      <c r="AW509">
        <f>IF(OR(AU509="",AV509=""),"",(AU509+AV509)/2)</f>
        <v>0</v>
      </c>
      <c r="AX509">
        <f>IF(COUNT($E$2:$E509)&lt;52,"",(MAX($C$458:$C$509)+MIN($D$458:$D$509))/2)</f>
        <v>0</v>
      </c>
      <c r="AY509">
        <f>IF(COUNT($E$2:$E509)&lt;20,"",MAX($C$410:$C$509))</f>
        <v>0</v>
      </c>
      <c r="AZ509">
        <f>IF(COUNT($E$2:$E509)&lt;20,"",MIN($D$410:$D$509))</f>
        <v>0</v>
      </c>
      <c r="BA509">
        <f>IF(COUNT($E$2:$E509)&lt;20,"",SLOPE($E$410:$E$509,$F$410:$F$509))</f>
        <v>0</v>
      </c>
      <c r="BB509">
        <f>IF(COUNT($E$2:$E509)&lt;20,"",INTERCEPT($E$410:$E$509,$F$410:$F$509))</f>
        <v>0</v>
      </c>
      <c r="BC509">
        <f>IF(OR(BA509="",BB509=""),"",BB509+BA509*F509)</f>
        <v>0</v>
      </c>
      <c r="BD509">
        <f>IF(COUNT($E$2:$E509)&lt;20,"",STEYX($E$410:$E$509,$F$410:$F$509))</f>
        <v>0</v>
      </c>
      <c r="BE509">
        <f>IF($E509="","",IF(AND(COUNT($E$510:$E$513)&gt;=4,$C509=MAX($C$505:$C$513)),$C509,""))</f>
        <v>0</v>
      </c>
      <c r="BF509">
        <f>IF($E509="","",IF(AND(COUNT($E$510:$E$513)&gt;=4,$D509=MIN($D$505:$D$513)),$D509,""))</f>
        <v>0</v>
      </c>
      <c r="BG509">
        <f>IF($A509="","",$A509-WEEKDAY($A509,2)+1)</f>
        <v>0</v>
      </c>
      <c r="BH509">
        <f>IF($A509="","",IF($A508="",1,IF(BG509&lt;&gt;BG508,1,0)))</f>
        <v>0</v>
      </c>
      <c r="BI509">
        <f>IF($A509="","",IF($A510="",1,IF(BG510&lt;&gt;BG509,1,0)))</f>
        <v>0</v>
      </c>
      <c r="BJ509">
        <f>IF($A509="","",IF(BH509=1,$B509,BJ508))</f>
        <v>0</v>
      </c>
      <c r="BK509">
        <f>IF($A509="","",IF(BH509=1,$C509,MAX($C509,BK508)))</f>
        <v>0</v>
      </c>
      <c r="BL509">
        <f>IF($A509="","",IF(BH509=1,$D509,MIN($D509,BL508)))</f>
        <v>0</v>
      </c>
      <c r="BM509">
        <f>IF($A509="","",IF(BI509=1,F509,""))</f>
        <v>0</v>
      </c>
      <c r="BN509">
        <f>IF($A509="","",DATE(YEAR($A509),MONTH($A509),1))</f>
        <v>0</v>
      </c>
      <c r="BO509">
        <f>IF($A509="","",IF($A508="",1,IF(BN509&lt;&gt;BN508,1,0)))</f>
        <v>0</v>
      </c>
      <c r="BP509">
        <f>IF($A509="","",IF($A510="",1,IF(BN510&lt;&gt;BN509,1,0)))</f>
        <v>0</v>
      </c>
      <c r="BQ509">
        <f>IF($A509="","",IF(BO509=1,$B509,BQ508))</f>
        <v>0</v>
      </c>
      <c r="BR509">
        <f>IF($A509="","",IF(BO509=1,$C509,MAX($C509,BR508)))</f>
        <v>0</v>
      </c>
      <c r="BS509">
        <f>IF($A509="","",IF(BO509=1,$D509,MIN($D509,BS508)))</f>
        <v>0</v>
      </c>
      <c r="BT509">
        <f>IF($A509="","",IF(BP509=1,F509,""))</f>
        <v>0</v>
      </c>
    </row>
    <row r="510" spans="1:72">
      <c r="A510" s="27">
        <f>IF(Data!$A510="","",Data!$A510)</f>
        <v>0</v>
      </c>
      <c r="B510">
        <f>IF(Data!$B510="","",Data!$B510)</f>
        <v>0</v>
      </c>
      <c r="C510">
        <f>IF(Data!$C510="","",Data!$C510)</f>
        <v>0</v>
      </c>
      <c r="D510">
        <f>IF(Data!$D510="","",Data!$D510)</f>
        <v>0</v>
      </c>
      <c r="E510">
        <f>IF(Data!$E510="","",Data!$E510)</f>
        <v>0</v>
      </c>
      <c r="F510">
        <f>IF($E510="","",N(F509)+1)</f>
        <v>0</v>
      </c>
      <c r="G510">
        <f>IF(OR($E510="",$E509=""),"",LN($E510/$E509))</f>
        <v>0</v>
      </c>
      <c r="H510">
        <f>IF($E510="","",IF($E509="",$E510,$E510*0.0952380952+H509*0.9047619048))</f>
        <v>0</v>
      </c>
      <c r="I510">
        <f>IF($E510="","",IF($E509="",$E510,$E510*0.0392156863+I509*0.9607843137))</f>
        <v>0</v>
      </c>
      <c r="J510">
        <f>IF($E510="","",IF($E509="",$E510,$E510*0.0198019802+J509*0.9801980198))</f>
        <v>0</v>
      </c>
      <c r="K510">
        <f>IF($E510="","",IF($E509="",$E510,$E510*0.0099502488+K509*0.9900497512))</f>
        <v>0</v>
      </c>
      <c r="L510">
        <f>IF(OR($E510="",$E509=""),"",MAX($E510-$E509,0))</f>
        <v>0</v>
      </c>
      <c r="M510">
        <f>IF(OR($E510="",$E509=""),"",MAX($E509-$E510,0))</f>
        <v>0</v>
      </c>
      <c r="N510">
        <f>IF(COUNT($E$2:$E510)&lt;15,"",IF(AVERAGE($M$497:$M$510)=0,100,100-100/(1+AVERAGE($L$497:$L$510)/AVERAGE($M$497:$M$510))))</f>
        <v>0</v>
      </c>
      <c r="O510">
        <f>IF($E510="","",IF($E509="",$E510,$E510*0.1538461538+O509*0.8461538462))</f>
        <v>0</v>
      </c>
      <c r="P510">
        <f>IF($E510="","",IF($E509="",$E510,$E510*0.0740740741+P509*0.9259259259))</f>
        <v>0</v>
      </c>
      <c r="Q510">
        <f>IF(OR(O510="",P510=""),"",O510-P510)</f>
        <v>0</v>
      </c>
      <c r="R510">
        <f>IF(Q510="","",IF(R509="",Q510,Q510*0.2000000000+R509*0.8000000000))</f>
        <v>0</v>
      </c>
      <c r="S510">
        <f>IF(OR(Q510="",R510=""),"",Q510-R510)</f>
        <v>0</v>
      </c>
      <c r="T510">
        <f>IF(COUNT($E$2:$E510)&lt;14,"",MAX($C$497:$C$510))</f>
        <v>0</v>
      </c>
      <c r="U510">
        <f>IF(COUNT($E$2:$E510)&lt;14,"",MIN($D$497:$D$510))</f>
        <v>0</v>
      </c>
      <c r="V510">
        <f>IF(OR(T510="",U510="",T510=U510),"",100*($E510-U510)/(T510-U510))</f>
        <v>0</v>
      </c>
      <c r="W510">
        <f>IF(COUNT($V$508:$V$510)&lt;3,"",AVERAGE($V$508:$V$510))</f>
        <v>0</v>
      </c>
      <c r="X510">
        <f>IF(COUNT($N$497:$N$510)&lt;14,"",MIN($N$497:$N$510))</f>
        <v>0</v>
      </c>
      <c r="Y510">
        <f>IF(COUNT($N$497:$N$510)&lt;14,"",MAX($N$497:$N$510))</f>
        <v>0</v>
      </c>
      <c r="Z510">
        <f>IF(OR(N510="",X510="",Y510="",Y510=X510),"",100*(N510-X510)/(Y510-X510))</f>
        <v>0</v>
      </c>
      <c r="AA510">
        <f>IF(COUNT($Z$508:$Z$510)&lt;3,"",AVERAGE($Z$508:$Z$510))</f>
        <v>0</v>
      </c>
      <c r="AB510">
        <f>IF(COUNT($AA$508:$AA$510)&lt;3,"",AVERAGE($AA$508:$AA$510))</f>
        <v>0</v>
      </c>
      <c r="AC510">
        <f>IF($E510="","",MAX($C510-$D510,ABS($C510-$E509),ABS($D510-$E509)))</f>
        <v>0</v>
      </c>
      <c r="AD510">
        <f>IF(COUNT($E$2:$E510)&lt;15,"",AVERAGE($AC$497:$AC$510))</f>
        <v>0</v>
      </c>
      <c r="AE510">
        <f>IF(OR($E510="",$E509=""),"",IF(AND(($C510-$C509)&gt;($D509-$D510),($C510-$C509)&gt;0),$C510-$C509,0))</f>
        <v>0</v>
      </c>
      <c r="AF510">
        <f>IF(OR($E510="",$E509=""),"",IF(AND(($D509-$D510)&gt;($C510-$C509),($D509-$D510)&gt;0),$D509-$D510,0))</f>
        <v>0</v>
      </c>
      <c r="AG510">
        <f>IF(COUNT($E$2:$E510)&lt;15,"",IF(SUM($AC$497:$AC$510)=0,0,100*SUM($AE$497:$AE$510)/SUM($AC$497:$AC$510)))</f>
        <v>0</v>
      </c>
      <c r="AH510">
        <f>IF(COUNT($E$2:$E510)&lt;15,"",IF(SUM($AC$497:$AC$510)=0,0,100*SUM($AF$497:$AF$510)/SUM($AC$497:$AC$510)))</f>
        <v>0</v>
      </c>
      <c r="AI510">
        <f>IF(OR(AG510="",AH510=""),"",IF((AG510+AH510)=0,0,100*ABS(AG510-AH510)/(AG510+AH510)))</f>
        <v>0</v>
      </c>
      <c r="AJ510">
        <f>IF(COUNT($AI$497:$AI$510)&lt;14,"",AVERAGE($AI$497:$AI$510))</f>
        <v>0</v>
      </c>
      <c r="AK510">
        <f>IF(COUNT($E$2:$E510)&lt;20,"",AVERAGE($E$491:$E$510))</f>
        <v>0</v>
      </c>
      <c r="AL510">
        <f>IF(COUNT($E$2:$E510)&lt;20,"",STDEVP($E$491:$E$510))</f>
        <v>0</v>
      </c>
      <c r="AM510">
        <f>IF(AK510="","",AK510+2*AL510)</f>
        <v>0</v>
      </c>
      <c r="AN510">
        <f>IF(AK510="","",AK510-2*AL510)</f>
        <v>0</v>
      </c>
      <c r="AO510">
        <f>IF(OR(AM510="",AN510="",AM510=AN510),"",($E510-AN510)/(AM510-AN510))</f>
        <v>0</v>
      </c>
      <c r="AP510">
        <f>IF(OR(AM510="",AK510="",AK510=0),"",(AM510-AN510)/AK510)</f>
        <v>0</v>
      </c>
      <c r="AQ510">
        <f>IF(COUNT($E$2:$E510)&lt;20,"",MAX($C$491:$C$510))</f>
        <v>0</v>
      </c>
      <c r="AR510">
        <f>IF(COUNT($E$2:$E510)&lt;20,"",MIN($D$491:$D$510))</f>
        <v>0</v>
      </c>
      <c r="AS510">
        <f>IF(OR(AQ510="",AR510=""),"",(AQ510+AR510)/2)</f>
        <v>0</v>
      </c>
      <c r="AT510">
        <f>IF(COUNT($G$491:$G$510)&lt;20,"",STDEV($G$491:$G$510)*SQRT(252))</f>
        <v>0</v>
      </c>
      <c r="AU510">
        <f>IF(COUNT($E$2:$E510)&lt;9,"",(MAX($C$502:$C$510)+MIN($D$502:$D$510))/2)</f>
        <v>0</v>
      </c>
      <c r="AV510">
        <f>IF(COUNT($E$2:$E510)&lt;26,"",(MAX($C$485:$C$510)+MIN($D$485:$D$510))/2)</f>
        <v>0</v>
      </c>
      <c r="AW510">
        <f>IF(OR(AU510="",AV510=""),"",(AU510+AV510)/2)</f>
        <v>0</v>
      </c>
      <c r="AX510">
        <f>IF(COUNT($E$2:$E510)&lt;52,"",(MAX($C$459:$C$510)+MIN($D$459:$D$510))/2)</f>
        <v>0</v>
      </c>
      <c r="AY510">
        <f>IF(COUNT($E$2:$E510)&lt;20,"",MAX($C$411:$C$510))</f>
        <v>0</v>
      </c>
      <c r="AZ510">
        <f>IF(COUNT($E$2:$E510)&lt;20,"",MIN($D$411:$D$510))</f>
        <v>0</v>
      </c>
      <c r="BA510">
        <f>IF(COUNT($E$2:$E510)&lt;20,"",SLOPE($E$411:$E$510,$F$411:$F$510))</f>
        <v>0</v>
      </c>
      <c r="BB510">
        <f>IF(COUNT($E$2:$E510)&lt;20,"",INTERCEPT($E$411:$E$510,$F$411:$F$510))</f>
        <v>0</v>
      </c>
      <c r="BC510">
        <f>IF(OR(BA510="",BB510=""),"",BB510+BA510*F510)</f>
        <v>0</v>
      </c>
      <c r="BD510">
        <f>IF(COUNT($E$2:$E510)&lt;20,"",STEYX($E$411:$E$510,$F$411:$F$510))</f>
        <v>0</v>
      </c>
      <c r="BE510">
        <f>IF($E510="","",IF(AND(COUNT($E$511:$E$514)&gt;=4,$C510=MAX($C$506:$C$514)),$C510,""))</f>
        <v>0</v>
      </c>
      <c r="BF510">
        <f>IF($E510="","",IF(AND(COUNT($E$511:$E$514)&gt;=4,$D510=MIN($D$506:$D$514)),$D510,""))</f>
        <v>0</v>
      </c>
      <c r="BG510">
        <f>IF($A510="","",$A510-WEEKDAY($A510,2)+1)</f>
        <v>0</v>
      </c>
      <c r="BH510">
        <f>IF($A510="","",IF($A509="",1,IF(BG510&lt;&gt;BG509,1,0)))</f>
        <v>0</v>
      </c>
      <c r="BI510">
        <f>IF($A510="","",IF($A511="",1,IF(BG511&lt;&gt;BG510,1,0)))</f>
        <v>0</v>
      </c>
      <c r="BJ510">
        <f>IF($A510="","",IF(BH510=1,$B510,BJ509))</f>
        <v>0</v>
      </c>
      <c r="BK510">
        <f>IF($A510="","",IF(BH510=1,$C510,MAX($C510,BK509)))</f>
        <v>0</v>
      </c>
      <c r="BL510">
        <f>IF($A510="","",IF(BH510=1,$D510,MIN($D510,BL509)))</f>
        <v>0</v>
      </c>
      <c r="BM510">
        <f>IF($A510="","",IF(BI510=1,F510,""))</f>
        <v>0</v>
      </c>
      <c r="BN510">
        <f>IF($A510="","",DATE(YEAR($A510),MONTH($A510),1))</f>
        <v>0</v>
      </c>
      <c r="BO510">
        <f>IF($A510="","",IF($A509="",1,IF(BN510&lt;&gt;BN509,1,0)))</f>
        <v>0</v>
      </c>
      <c r="BP510">
        <f>IF($A510="","",IF($A511="",1,IF(BN511&lt;&gt;BN510,1,0)))</f>
        <v>0</v>
      </c>
      <c r="BQ510">
        <f>IF($A510="","",IF(BO510=1,$B510,BQ509))</f>
        <v>0</v>
      </c>
      <c r="BR510">
        <f>IF($A510="","",IF(BO510=1,$C510,MAX($C510,BR509)))</f>
        <v>0</v>
      </c>
      <c r="BS510">
        <f>IF($A510="","",IF(BO510=1,$D510,MIN($D510,BS509)))</f>
        <v>0</v>
      </c>
      <c r="BT510">
        <f>IF($A510="","",IF(BP510=1,F510,""))</f>
        <v>0</v>
      </c>
    </row>
    <row r="511" spans="1:72">
      <c r="A511" s="27">
        <f>IF(Data!$A511="","",Data!$A511)</f>
        <v>0</v>
      </c>
      <c r="B511">
        <f>IF(Data!$B511="","",Data!$B511)</f>
        <v>0</v>
      </c>
      <c r="C511">
        <f>IF(Data!$C511="","",Data!$C511)</f>
        <v>0</v>
      </c>
      <c r="D511">
        <f>IF(Data!$D511="","",Data!$D511)</f>
        <v>0</v>
      </c>
      <c r="E511">
        <f>IF(Data!$E511="","",Data!$E511)</f>
        <v>0</v>
      </c>
      <c r="F511">
        <f>IF($E511="","",N(F510)+1)</f>
        <v>0</v>
      </c>
      <c r="G511">
        <f>IF(OR($E511="",$E510=""),"",LN($E511/$E510))</f>
        <v>0</v>
      </c>
      <c r="H511">
        <f>IF($E511="","",IF($E510="",$E511,$E511*0.0952380952+H510*0.9047619048))</f>
        <v>0</v>
      </c>
      <c r="I511">
        <f>IF($E511="","",IF($E510="",$E511,$E511*0.0392156863+I510*0.9607843137))</f>
        <v>0</v>
      </c>
      <c r="J511">
        <f>IF($E511="","",IF($E510="",$E511,$E511*0.0198019802+J510*0.9801980198))</f>
        <v>0</v>
      </c>
      <c r="K511">
        <f>IF($E511="","",IF($E510="",$E511,$E511*0.0099502488+K510*0.9900497512))</f>
        <v>0</v>
      </c>
      <c r="L511">
        <f>IF(OR($E511="",$E510=""),"",MAX($E511-$E510,0))</f>
        <v>0</v>
      </c>
      <c r="M511">
        <f>IF(OR($E511="",$E510=""),"",MAX($E510-$E511,0))</f>
        <v>0</v>
      </c>
      <c r="N511">
        <f>IF(COUNT($E$2:$E511)&lt;15,"",IF(AVERAGE($M$498:$M$511)=0,100,100-100/(1+AVERAGE($L$498:$L$511)/AVERAGE($M$498:$M$511))))</f>
        <v>0</v>
      </c>
      <c r="O511">
        <f>IF($E511="","",IF($E510="",$E511,$E511*0.1538461538+O510*0.8461538462))</f>
        <v>0</v>
      </c>
      <c r="P511">
        <f>IF($E511="","",IF($E510="",$E511,$E511*0.0740740741+P510*0.9259259259))</f>
        <v>0</v>
      </c>
      <c r="Q511">
        <f>IF(OR(O511="",P511=""),"",O511-P511)</f>
        <v>0</v>
      </c>
      <c r="R511">
        <f>IF(Q511="","",IF(R510="",Q511,Q511*0.2000000000+R510*0.8000000000))</f>
        <v>0</v>
      </c>
      <c r="S511">
        <f>IF(OR(Q511="",R511=""),"",Q511-R511)</f>
        <v>0</v>
      </c>
      <c r="T511">
        <f>IF(COUNT($E$2:$E511)&lt;14,"",MAX($C$498:$C$511))</f>
        <v>0</v>
      </c>
      <c r="U511">
        <f>IF(COUNT($E$2:$E511)&lt;14,"",MIN($D$498:$D$511))</f>
        <v>0</v>
      </c>
      <c r="V511">
        <f>IF(OR(T511="",U511="",T511=U511),"",100*($E511-U511)/(T511-U511))</f>
        <v>0</v>
      </c>
      <c r="W511">
        <f>IF(COUNT($V$509:$V$511)&lt;3,"",AVERAGE($V$509:$V$511))</f>
        <v>0</v>
      </c>
      <c r="X511">
        <f>IF(COUNT($N$498:$N$511)&lt;14,"",MIN($N$498:$N$511))</f>
        <v>0</v>
      </c>
      <c r="Y511">
        <f>IF(COUNT($N$498:$N$511)&lt;14,"",MAX($N$498:$N$511))</f>
        <v>0</v>
      </c>
      <c r="Z511">
        <f>IF(OR(N511="",X511="",Y511="",Y511=X511),"",100*(N511-X511)/(Y511-X511))</f>
        <v>0</v>
      </c>
      <c r="AA511">
        <f>IF(COUNT($Z$509:$Z$511)&lt;3,"",AVERAGE($Z$509:$Z$511))</f>
        <v>0</v>
      </c>
      <c r="AB511">
        <f>IF(COUNT($AA$509:$AA$511)&lt;3,"",AVERAGE($AA$509:$AA$511))</f>
        <v>0</v>
      </c>
      <c r="AC511">
        <f>IF($E511="","",MAX($C511-$D511,ABS($C511-$E510),ABS($D511-$E510)))</f>
        <v>0</v>
      </c>
      <c r="AD511">
        <f>IF(COUNT($E$2:$E511)&lt;15,"",AVERAGE($AC$498:$AC$511))</f>
        <v>0</v>
      </c>
      <c r="AE511">
        <f>IF(OR($E511="",$E510=""),"",IF(AND(($C511-$C510)&gt;($D510-$D511),($C511-$C510)&gt;0),$C511-$C510,0))</f>
        <v>0</v>
      </c>
      <c r="AF511">
        <f>IF(OR($E511="",$E510=""),"",IF(AND(($D510-$D511)&gt;($C511-$C510),($D510-$D511)&gt;0),$D510-$D511,0))</f>
        <v>0</v>
      </c>
      <c r="AG511">
        <f>IF(COUNT($E$2:$E511)&lt;15,"",IF(SUM($AC$498:$AC$511)=0,0,100*SUM($AE$498:$AE$511)/SUM($AC$498:$AC$511)))</f>
        <v>0</v>
      </c>
      <c r="AH511">
        <f>IF(COUNT($E$2:$E511)&lt;15,"",IF(SUM($AC$498:$AC$511)=0,0,100*SUM($AF$498:$AF$511)/SUM($AC$498:$AC$511)))</f>
        <v>0</v>
      </c>
      <c r="AI511">
        <f>IF(OR(AG511="",AH511=""),"",IF((AG511+AH511)=0,0,100*ABS(AG511-AH511)/(AG511+AH511)))</f>
        <v>0</v>
      </c>
      <c r="AJ511">
        <f>IF(COUNT($AI$498:$AI$511)&lt;14,"",AVERAGE($AI$498:$AI$511))</f>
        <v>0</v>
      </c>
      <c r="AK511">
        <f>IF(COUNT($E$2:$E511)&lt;20,"",AVERAGE($E$492:$E$511))</f>
        <v>0</v>
      </c>
      <c r="AL511">
        <f>IF(COUNT($E$2:$E511)&lt;20,"",STDEVP($E$492:$E$511))</f>
        <v>0</v>
      </c>
      <c r="AM511">
        <f>IF(AK511="","",AK511+2*AL511)</f>
        <v>0</v>
      </c>
      <c r="AN511">
        <f>IF(AK511="","",AK511-2*AL511)</f>
        <v>0</v>
      </c>
      <c r="AO511">
        <f>IF(OR(AM511="",AN511="",AM511=AN511),"",($E511-AN511)/(AM511-AN511))</f>
        <v>0</v>
      </c>
      <c r="AP511">
        <f>IF(OR(AM511="",AK511="",AK511=0),"",(AM511-AN511)/AK511)</f>
        <v>0</v>
      </c>
      <c r="AQ511">
        <f>IF(COUNT($E$2:$E511)&lt;20,"",MAX($C$492:$C$511))</f>
        <v>0</v>
      </c>
      <c r="AR511">
        <f>IF(COUNT($E$2:$E511)&lt;20,"",MIN($D$492:$D$511))</f>
        <v>0</v>
      </c>
      <c r="AS511">
        <f>IF(OR(AQ511="",AR511=""),"",(AQ511+AR511)/2)</f>
        <v>0</v>
      </c>
      <c r="AT511">
        <f>IF(COUNT($G$492:$G$511)&lt;20,"",STDEV($G$492:$G$511)*SQRT(252))</f>
        <v>0</v>
      </c>
      <c r="AU511">
        <f>IF(COUNT($E$2:$E511)&lt;9,"",(MAX($C$503:$C$511)+MIN($D$503:$D$511))/2)</f>
        <v>0</v>
      </c>
      <c r="AV511">
        <f>IF(COUNT($E$2:$E511)&lt;26,"",(MAX($C$486:$C$511)+MIN($D$486:$D$511))/2)</f>
        <v>0</v>
      </c>
      <c r="AW511">
        <f>IF(OR(AU511="",AV511=""),"",(AU511+AV511)/2)</f>
        <v>0</v>
      </c>
      <c r="AX511">
        <f>IF(COUNT($E$2:$E511)&lt;52,"",(MAX($C$460:$C$511)+MIN($D$460:$D$511))/2)</f>
        <v>0</v>
      </c>
      <c r="AY511">
        <f>IF(COUNT($E$2:$E511)&lt;20,"",MAX($C$412:$C$511))</f>
        <v>0</v>
      </c>
      <c r="AZ511">
        <f>IF(COUNT($E$2:$E511)&lt;20,"",MIN($D$412:$D$511))</f>
        <v>0</v>
      </c>
      <c r="BA511">
        <f>IF(COUNT($E$2:$E511)&lt;20,"",SLOPE($E$412:$E$511,$F$412:$F$511))</f>
        <v>0</v>
      </c>
      <c r="BB511">
        <f>IF(COUNT($E$2:$E511)&lt;20,"",INTERCEPT($E$412:$E$511,$F$412:$F$511))</f>
        <v>0</v>
      </c>
      <c r="BC511">
        <f>IF(OR(BA511="",BB511=""),"",BB511+BA511*F511)</f>
        <v>0</v>
      </c>
      <c r="BD511">
        <f>IF(COUNT($E$2:$E511)&lt;20,"",STEYX($E$412:$E$511,$F$412:$F$511))</f>
        <v>0</v>
      </c>
      <c r="BE511">
        <f>IF($E511="","",IF(AND(COUNT($E$512:$E$515)&gt;=4,$C511=MAX($C$507:$C$515)),$C511,""))</f>
        <v>0</v>
      </c>
      <c r="BF511">
        <f>IF($E511="","",IF(AND(COUNT($E$512:$E$515)&gt;=4,$D511=MIN($D$507:$D$515)),$D511,""))</f>
        <v>0</v>
      </c>
      <c r="BG511">
        <f>IF($A511="","",$A511-WEEKDAY($A511,2)+1)</f>
        <v>0</v>
      </c>
      <c r="BH511">
        <f>IF($A511="","",IF($A510="",1,IF(BG511&lt;&gt;BG510,1,0)))</f>
        <v>0</v>
      </c>
      <c r="BI511">
        <f>IF($A511="","",IF($A512="",1,IF(BG512&lt;&gt;BG511,1,0)))</f>
        <v>0</v>
      </c>
      <c r="BJ511">
        <f>IF($A511="","",IF(BH511=1,$B511,BJ510))</f>
        <v>0</v>
      </c>
      <c r="BK511">
        <f>IF($A511="","",IF(BH511=1,$C511,MAX($C511,BK510)))</f>
        <v>0</v>
      </c>
      <c r="BL511">
        <f>IF($A511="","",IF(BH511=1,$D511,MIN($D511,BL510)))</f>
        <v>0</v>
      </c>
      <c r="BM511">
        <f>IF($A511="","",IF(BI511=1,F511,""))</f>
        <v>0</v>
      </c>
      <c r="BN511">
        <f>IF($A511="","",DATE(YEAR($A511),MONTH($A511),1))</f>
        <v>0</v>
      </c>
      <c r="BO511">
        <f>IF($A511="","",IF($A510="",1,IF(BN511&lt;&gt;BN510,1,0)))</f>
        <v>0</v>
      </c>
      <c r="BP511">
        <f>IF($A511="","",IF($A512="",1,IF(BN512&lt;&gt;BN511,1,0)))</f>
        <v>0</v>
      </c>
      <c r="BQ511">
        <f>IF($A511="","",IF(BO511=1,$B511,BQ510))</f>
        <v>0</v>
      </c>
      <c r="BR511">
        <f>IF($A511="","",IF(BO511=1,$C511,MAX($C511,BR510)))</f>
        <v>0</v>
      </c>
      <c r="BS511">
        <f>IF($A511="","",IF(BO511=1,$D511,MIN($D511,BS510)))</f>
        <v>0</v>
      </c>
      <c r="BT511">
        <f>IF($A511="","",IF(BP511=1,F511,""))</f>
        <v>0</v>
      </c>
    </row>
    <row r="512" spans="1:72">
      <c r="A512" s="27">
        <f>IF(Data!$A512="","",Data!$A512)</f>
        <v>0</v>
      </c>
      <c r="B512">
        <f>IF(Data!$B512="","",Data!$B512)</f>
        <v>0</v>
      </c>
      <c r="C512">
        <f>IF(Data!$C512="","",Data!$C512)</f>
        <v>0</v>
      </c>
      <c r="D512">
        <f>IF(Data!$D512="","",Data!$D512)</f>
        <v>0</v>
      </c>
      <c r="E512">
        <f>IF(Data!$E512="","",Data!$E512)</f>
        <v>0</v>
      </c>
      <c r="F512">
        <f>IF($E512="","",N(F511)+1)</f>
        <v>0</v>
      </c>
      <c r="G512">
        <f>IF(OR($E512="",$E511=""),"",LN($E512/$E511))</f>
        <v>0</v>
      </c>
      <c r="H512">
        <f>IF($E512="","",IF($E511="",$E512,$E512*0.0952380952+H511*0.9047619048))</f>
        <v>0</v>
      </c>
      <c r="I512">
        <f>IF($E512="","",IF($E511="",$E512,$E512*0.0392156863+I511*0.9607843137))</f>
        <v>0</v>
      </c>
      <c r="J512">
        <f>IF($E512="","",IF($E511="",$E512,$E512*0.0198019802+J511*0.9801980198))</f>
        <v>0</v>
      </c>
      <c r="K512">
        <f>IF($E512="","",IF($E511="",$E512,$E512*0.0099502488+K511*0.9900497512))</f>
        <v>0</v>
      </c>
      <c r="L512">
        <f>IF(OR($E512="",$E511=""),"",MAX($E512-$E511,0))</f>
        <v>0</v>
      </c>
      <c r="M512">
        <f>IF(OR($E512="",$E511=""),"",MAX($E511-$E512,0))</f>
        <v>0</v>
      </c>
      <c r="N512">
        <f>IF(COUNT($E$2:$E512)&lt;15,"",IF(AVERAGE($M$499:$M$512)=0,100,100-100/(1+AVERAGE($L$499:$L$512)/AVERAGE($M$499:$M$512))))</f>
        <v>0</v>
      </c>
      <c r="O512">
        <f>IF($E512="","",IF($E511="",$E512,$E512*0.1538461538+O511*0.8461538462))</f>
        <v>0</v>
      </c>
      <c r="P512">
        <f>IF($E512="","",IF($E511="",$E512,$E512*0.0740740741+P511*0.9259259259))</f>
        <v>0</v>
      </c>
      <c r="Q512">
        <f>IF(OR(O512="",P512=""),"",O512-P512)</f>
        <v>0</v>
      </c>
      <c r="R512">
        <f>IF(Q512="","",IF(R511="",Q512,Q512*0.2000000000+R511*0.8000000000))</f>
        <v>0</v>
      </c>
      <c r="S512">
        <f>IF(OR(Q512="",R512=""),"",Q512-R512)</f>
        <v>0</v>
      </c>
      <c r="T512">
        <f>IF(COUNT($E$2:$E512)&lt;14,"",MAX($C$499:$C$512))</f>
        <v>0</v>
      </c>
      <c r="U512">
        <f>IF(COUNT($E$2:$E512)&lt;14,"",MIN($D$499:$D$512))</f>
        <v>0</v>
      </c>
      <c r="V512">
        <f>IF(OR(T512="",U512="",T512=U512),"",100*($E512-U512)/(T512-U512))</f>
        <v>0</v>
      </c>
      <c r="W512">
        <f>IF(COUNT($V$510:$V$512)&lt;3,"",AVERAGE($V$510:$V$512))</f>
        <v>0</v>
      </c>
      <c r="X512">
        <f>IF(COUNT($N$499:$N$512)&lt;14,"",MIN($N$499:$N$512))</f>
        <v>0</v>
      </c>
      <c r="Y512">
        <f>IF(COUNT($N$499:$N$512)&lt;14,"",MAX($N$499:$N$512))</f>
        <v>0</v>
      </c>
      <c r="Z512">
        <f>IF(OR(N512="",X512="",Y512="",Y512=X512),"",100*(N512-X512)/(Y512-X512))</f>
        <v>0</v>
      </c>
      <c r="AA512">
        <f>IF(COUNT($Z$510:$Z$512)&lt;3,"",AVERAGE($Z$510:$Z$512))</f>
        <v>0</v>
      </c>
      <c r="AB512">
        <f>IF(COUNT($AA$510:$AA$512)&lt;3,"",AVERAGE($AA$510:$AA$512))</f>
        <v>0</v>
      </c>
      <c r="AC512">
        <f>IF($E512="","",MAX($C512-$D512,ABS($C512-$E511),ABS($D512-$E511)))</f>
        <v>0</v>
      </c>
      <c r="AD512">
        <f>IF(COUNT($E$2:$E512)&lt;15,"",AVERAGE($AC$499:$AC$512))</f>
        <v>0</v>
      </c>
      <c r="AE512">
        <f>IF(OR($E512="",$E511=""),"",IF(AND(($C512-$C511)&gt;($D511-$D512),($C512-$C511)&gt;0),$C512-$C511,0))</f>
        <v>0</v>
      </c>
      <c r="AF512">
        <f>IF(OR($E512="",$E511=""),"",IF(AND(($D511-$D512)&gt;($C512-$C511),($D511-$D512)&gt;0),$D511-$D512,0))</f>
        <v>0</v>
      </c>
      <c r="AG512">
        <f>IF(COUNT($E$2:$E512)&lt;15,"",IF(SUM($AC$499:$AC$512)=0,0,100*SUM($AE$499:$AE$512)/SUM($AC$499:$AC$512)))</f>
        <v>0</v>
      </c>
      <c r="AH512">
        <f>IF(COUNT($E$2:$E512)&lt;15,"",IF(SUM($AC$499:$AC$512)=0,0,100*SUM($AF$499:$AF$512)/SUM($AC$499:$AC$512)))</f>
        <v>0</v>
      </c>
      <c r="AI512">
        <f>IF(OR(AG512="",AH512=""),"",IF((AG512+AH512)=0,0,100*ABS(AG512-AH512)/(AG512+AH512)))</f>
        <v>0</v>
      </c>
      <c r="AJ512">
        <f>IF(COUNT($AI$499:$AI$512)&lt;14,"",AVERAGE($AI$499:$AI$512))</f>
        <v>0</v>
      </c>
      <c r="AK512">
        <f>IF(COUNT($E$2:$E512)&lt;20,"",AVERAGE($E$493:$E$512))</f>
        <v>0</v>
      </c>
      <c r="AL512">
        <f>IF(COUNT($E$2:$E512)&lt;20,"",STDEVP($E$493:$E$512))</f>
        <v>0</v>
      </c>
      <c r="AM512">
        <f>IF(AK512="","",AK512+2*AL512)</f>
        <v>0</v>
      </c>
      <c r="AN512">
        <f>IF(AK512="","",AK512-2*AL512)</f>
        <v>0</v>
      </c>
      <c r="AO512">
        <f>IF(OR(AM512="",AN512="",AM512=AN512),"",($E512-AN512)/(AM512-AN512))</f>
        <v>0</v>
      </c>
      <c r="AP512">
        <f>IF(OR(AM512="",AK512="",AK512=0),"",(AM512-AN512)/AK512)</f>
        <v>0</v>
      </c>
      <c r="AQ512">
        <f>IF(COUNT($E$2:$E512)&lt;20,"",MAX($C$493:$C$512))</f>
        <v>0</v>
      </c>
      <c r="AR512">
        <f>IF(COUNT($E$2:$E512)&lt;20,"",MIN($D$493:$D$512))</f>
        <v>0</v>
      </c>
      <c r="AS512">
        <f>IF(OR(AQ512="",AR512=""),"",(AQ512+AR512)/2)</f>
        <v>0</v>
      </c>
      <c r="AT512">
        <f>IF(COUNT($G$493:$G$512)&lt;20,"",STDEV($G$493:$G$512)*SQRT(252))</f>
        <v>0</v>
      </c>
      <c r="AU512">
        <f>IF(COUNT($E$2:$E512)&lt;9,"",(MAX($C$504:$C$512)+MIN($D$504:$D$512))/2)</f>
        <v>0</v>
      </c>
      <c r="AV512">
        <f>IF(COUNT($E$2:$E512)&lt;26,"",(MAX($C$487:$C$512)+MIN($D$487:$D$512))/2)</f>
        <v>0</v>
      </c>
      <c r="AW512">
        <f>IF(OR(AU512="",AV512=""),"",(AU512+AV512)/2)</f>
        <v>0</v>
      </c>
      <c r="AX512">
        <f>IF(COUNT($E$2:$E512)&lt;52,"",(MAX($C$461:$C$512)+MIN($D$461:$D$512))/2)</f>
        <v>0</v>
      </c>
      <c r="AY512">
        <f>IF(COUNT($E$2:$E512)&lt;20,"",MAX($C$413:$C$512))</f>
        <v>0</v>
      </c>
      <c r="AZ512">
        <f>IF(COUNT($E$2:$E512)&lt;20,"",MIN($D$413:$D$512))</f>
        <v>0</v>
      </c>
      <c r="BA512">
        <f>IF(COUNT($E$2:$E512)&lt;20,"",SLOPE($E$413:$E$512,$F$413:$F$512))</f>
        <v>0</v>
      </c>
      <c r="BB512">
        <f>IF(COUNT($E$2:$E512)&lt;20,"",INTERCEPT($E$413:$E$512,$F$413:$F$512))</f>
        <v>0</v>
      </c>
      <c r="BC512">
        <f>IF(OR(BA512="",BB512=""),"",BB512+BA512*F512)</f>
        <v>0</v>
      </c>
      <c r="BD512">
        <f>IF(COUNT($E$2:$E512)&lt;20,"",STEYX($E$413:$E$512,$F$413:$F$512))</f>
        <v>0</v>
      </c>
      <c r="BE512">
        <f>IF($E512="","",IF(AND(COUNT($E$513:$E$516)&gt;=4,$C512=MAX($C$508:$C$516)),$C512,""))</f>
        <v>0</v>
      </c>
      <c r="BF512">
        <f>IF($E512="","",IF(AND(COUNT($E$513:$E$516)&gt;=4,$D512=MIN($D$508:$D$516)),$D512,""))</f>
        <v>0</v>
      </c>
      <c r="BG512">
        <f>IF($A512="","",$A512-WEEKDAY($A512,2)+1)</f>
        <v>0</v>
      </c>
      <c r="BH512">
        <f>IF($A512="","",IF($A511="",1,IF(BG512&lt;&gt;BG511,1,0)))</f>
        <v>0</v>
      </c>
      <c r="BI512">
        <f>IF($A512="","",IF($A513="",1,IF(BG513&lt;&gt;BG512,1,0)))</f>
        <v>0</v>
      </c>
      <c r="BJ512">
        <f>IF($A512="","",IF(BH512=1,$B512,BJ511))</f>
        <v>0</v>
      </c>
      <c r="BK512">
        <f>IF($A512="","",IF(BH512=1,$C512,MAX($C512,BK511)))</f>
        <v>0</v>
      </c>
      <c r="BL512">
        <f>IF($A512="","",IF(BH512=1,$D512,MIN($D512,BL511)))</f>
        <v>0</v>
      </c>
      <c r="BM512">
        <f>IF($A512="","",IF(BI512=1,F512,""))</f>
        <v>0</v>
      </c>
      <c r="BN512">
        <f>IF($A512="","",DATE(YEAR($A512),MONTH($A512),1))</f>
        <v>0</v>
      </c>
      <c r="BO512">
        <f>IF($A512="","",IF($A511="",1,IF(BN512&lt;&gt;BN511,1,0)))</f>
        <v>0</v>
      </c>
      <c r="BP512">
        <f>IF($A512="","",IF($A513="",1,IF(BN513&lt;&gt;BN512,1,0)))</f>
        <v>0</v>
      </c>
      <c r="BQ512">
        <f>IF($A512="","",IF(BO512=1,$B512,BQ511))</f>
        <v>0</v>
      </c>
      <c r="BR512">
        <f>IF($A512="","",IF(BO512=1,$C512,MAX($C512,BR511)))</f>
        <v>0</v>
      </c>
      <c r="BS512">
        <f>IF($A512="","",IF(BO512=1,$D512,MIN($D512,BS511)))</f>
        <v>0</v>
      </c>
      <c r="BT512">
        <f>IF($A512="","",IF(BP512=1,F512,""))</f>
        <v>0</v>
      </c>
    </row>
    <row r="513" spans="1:72">
      <c r="A513" s="27">
        <f>IF(Data!$A513="","",Data!$A513)</f>
        <v>0</v>
      </c>
      <c r="B513">
        <f>IF(Data!$B513="","",Data!$B513)</f>
        <v>0</v>
      </c>
      <c r="C513">
        <f>IF(Data!$C513="","",Data!$C513)</f>
        <v>0</v>
      </c>
      <c r="D513">
        <f>IF(Data!$D513="","",Data!$D513)</f>
        <v>0</v>
      </c>
      <c r="E513">
        <f>IF(Data!$E513="","",Data!$E513)</f>
        <v>0</v>
      </c>
      <c r="F513">
        <f>IF($E513="","",N(F512)+1)</f>
        <v>0</v>
      </c>
      <c r="G513">
        <f>IF(OR($E513="",$E512=""),"",LN($E513/$E512))</f>
        <v>0</v>
      </c>
      <c r="H513">
        <f>IF($E513="","",IF($E512="",$E513,$E513*0.0952380952+H512*0.9047619048))</f>
        <v>0</v>
      </c>
      <c r="I513">
        <f>IF($E513="","",IF($E512="",$E513,$E513*0.0392156863+I512*0.9607843137))</f>
        <v>0</v>
      </c>
      <c r="J513">
        <f>IF($E513="","",IF($E512="",$E513,$E513*0.0198019802+J512*0.9801980198))</f>
        <v>0</v>
      </c>
      <c r="K513">
        <f>IF($E513="","",IF($E512="",$E513,$E513*0.0099502488+K512*0.9900497512))</f>
        <v>0</v>
      </c>
      <c r="L513">
        <f>IF(OR($E513="",$E512=""),"",MAX($E513-$E512,0))</f>
        <v>0</v>
      </c>
      <c r="M513">
        <f>IF(OR($E513="",$E512=""),"",MAX($E512-$E513,0))</f>
        <v>0</v>
      </c>
      <c r="N513">
        <f>IF(COUNT($E$2:$E513)&lt;15,"",IF(AVERAGE($M$500:$M$513)=0,100,100-100/(1+AVERAGE($L$500:$L$513)/AVERAGE($M$500:$M$513))))</f>
        <v>0</v>
      </c>
      <c r="O513">
        <f>IF($E513="","",IF($E512="",$E513,$E513*0.1538461538+O512*0.8461538462))</f>
        <v>0</v>
      </c>
      <c r="P513">
        <f>IF($E513="","",IF($E512="",$E513,$E513*0.0740740741+P512*0.9259259259))</f>
        <v>0</v>
      </c>
      <c r="Q513">
        <f>IF(OR(O513="",P513=""),"",O513-P513)</f>
        <v>0</v>
      </c>
      <c r="R513">
        <f>IF(Q513="","",IF(R512="",Q513,Q513*0.2000000000+R512*0.8000000000))</f>
        <v>0</v>
      </c>
      <c r="S513">
        <f>IF(OR(Q513="",R513=""),"",Q513-R513)</f>
        <v>0</v>
      </c>
      <c r="T513">
        <f>IF(COUNT($E$2:$E513)&lt;14,"",MAX($C$500:$C$513))</f>
        <v>0</v>
      </c>
      <c r="U513">
        <f>IF(COUNT($E$2:$E513)&lt;14,"",MIN($D$500:$D$513))</f>
        <v>0</v>
      </c>
      <c r="V513">
        <f>IF(OR(T513="",U513="",T513=U513),"",100*($E513-U513)/(T513-U513))</f>
        <v>0</v>
      </c>
      <c r="W513">
        <f>IF(COUNT($V$511:$V$513)&lt;3,"",AVERAGE($V$511:$V$513))</f>
        <v>0</v>
      </c>
      <c r="X513">
        <f>IF(COUNT($N$500:$N$513)&lt;14,"",MIN($N$500:$N$513))</f>
        <v>0</v>
      </c>
      <c r="Y513">
        <f>IF(COUNT($N$500:$N$513)&lt;14,"",MAX($N$500:$N$513))</f>
        <v>0</v>
      </c>
      <c r="Z513">
        <f>IF(OR(N513="",X513="",Y513="",Y513=X513),"",100*(N513-X513)/(Y513-X513))</f>
        <v>0</v>
      </c>
      <c r="AA513">
        <f>IF(COUNT($Z$511:$Z$513)&lt;3,"",AVERAGE($Z$511:$Z$513))</f>
        <v>0</v>
      </c>
      <c r="AB513">
        <f>IF(COUNT($AA$511:$AA$513)&lt;3,"",AVERAGE($AA$511:$AA$513))</f>
        <v>0</v>
      </c>
      <c r="AC513">
        <f>IF($E513="","",MAX($C513-$D513,ABS($C513-$E512),ABS($D513-$E512)))</f>
        <v>0</v>
      </c>
      <c r="AD513">
        <f>IF(COUNT($E$2:$E513)&lt;15,"",AVERAGE($AC$500:$AC$513))</f>
        <v>0</v>
      </c>
      <c r="AE513">
        <f>IF(OR($E513="",$E512=""),"",IF(AND(($C513-$C512)&gt;($D512-$D513),($C513-$C512)&gt;0),$C513-$C512,0))</f>
        <v>0</v>
      </c>
      <c r="AF513">
        <f>IF(OR($E513="",$E512=""),"",IF(AND(($D512-$D513)&gt;($C513-$C512),($D512-$D513)&gt;0),$D512-$D513,0))</f>
        <v>0</v>
      </c>
      <c r="AG513">
        <f>IF(COUNT($E$2:$E513)&lt;15,"",IF(SUM($AC$500:$AC$513)=0,0,100*SUM($AE$500:$AE$513)/SUM($AC$500:$AC$513)))</f>
        <v>0</v>
      </c>
      <c r="AH513">
        <f>IF(COUNT($E$2:$E513)&lt;15,"",IF(SUM($AC$500:$AC$513)=0,0,100*SUM($AF$500:$AF$513)/SUM($AC$500:$AC$513)))</f>
        <v>0</v>
      </c>
      <c r="AI513">
        <f>IF(OR(AG513="",AH513=""),"",IF((AG513+AH513)=0,0,100*ABS(AG513-AH513)/(AG513+AH513)))</f>
        <v>0</v>
      </c>
      <c r="AJ513">
        <f>IF(COUNT($AI$500:$AI$513)&lt;14,"",AVERAGE($AI$500:$AI$513))</f>
        <v>0</v>
      </c>
      <c r="AK513">
        <f>IF(COUNT($E$2:$E513)&lt;20,"",AVERAGE($E$494:$E$513))</f>
        <v>0</v>
      </c>
      <c r="AL513">
        <f>IF(COUNT($E$2:$E513)&lt;20,"",STDEVP($E$494:$E$513))</f>
        <v>0</v>
      </c>
      <c r="AM513">
        <f>IF(AK513="","",AK513+2*AL513)</f>
        <v>0</v>
      </c>
      <c r="AN513">
        <f>IF(AK513="","",AK513-2*AL513)</f>
        <v>0</v>
      </c>
      <c r="AO513">
        <f>IF(OR(AM513="",AN513="",AM513=AN513),"",($E513-AN513)/(AM513-AN513))</f>
        <v>0</v>
      </c>
      <c r="AP513">
        <f>IF(OR(AM513="",AK513="",AK513=0),"",(AM513-AN513)/AK513)</f>
        <v>0</v>
      </c>
      <c r="AQ513">
        <f>IF(COUNT($E$2:$E513)&lt;20,"",MAX($C$494:$C$513))</f>
        <v>0</v>
      </c>
      <c r="AR513">
        <f>IF(COUNT($E$2:$E513)&lt;20,"",MIN($D$494:$D$513))</f>
        <v>0</v>
      </c>
      <c r="AS513">
        <f>IF(OR(AQ513="",AR513=""),"",(AQ513+AR513)/2)</f>
        <v>0</v>
      </c>
      <c r="AT513">
        <f>IF(COUNT($G$494:$G$513)&lt;20,"",STDEV($G$494:$G$513)*SQRT(252))</f>
        <v>0</v>
      </c>
      <c r="AU513">
        <f>IF(COUNT($E$2:$E513)&lt;9,"",(MAX($C$505:$C$513)+MIN($D$505:$D$513))/2)</f>
        <v>0</v>
      </c>
      <c r="AV513">
        <f>IF(COUNT($E$2:$E513)&lt;26,"",(MAX($C$488:$C$513)+MIN($D$488:$D$513))/2)</f>
        <v>0</v>
      </c>
      <c r="AW513">
        <f>IF(OR(AU513="",AV513=""),"",(AU513+AV513)/2)</f>
        <v>0</v>
      </c>
      <c r="AX513">
        <f>IF(COUNT($E$2:$E513)&lt;52,"",(MAX($C$462:$C$513)+MIN($D$462:$D$513))/2)</f>
        <v>0</v>
      </c>
      <c r="AY513">
        <f>IF(COUNT($E$2:$E513)&lt;20,"",MAX($C$414:$C$513))</f>
        <v>0</v>
      </c>
      <c r="AZ513">
        <f>IF(COUNT($E$2:$E513)&lt;20,"",MIN($D$414:$D$513))</f>
        <v>0</v>
      </c>
      <c r="BA513">
        <f>IF(COUNT($E$2:$E513)&lt;20,"",SLOPE($E$414:$E$513,$F$414:$F$513))</f>
        <v>0</v>
      </c>
      <c r="BB513">
        <f>IF(COUNT($E$2:$E513)&lt;20,"",INTERCEPT($E$414:$E$513,$F$414:$F$513))</f>
        <v>0</v>
      </c>
      <c r="BC513">
        <f>IF(OR(BA513="",BB513=""),"",BB513+BA513*F513)</f>
        <v>0</v>
      </c>
      <c r="BD513">
        <f>IF(COUNT($E$2:$E513)&lt;20,"",STEYX($E$414:$E$513,$F$414:$F$513))</f>
        <v>0</v>
      </c>
      <c r="BE513">
        <f>IF($E513="","",IF(AND(COUNT($E$514:$E$517)&gt;=4,$C513=MAX($C$509:$C$517)),$C513,""))</f>
        <v>0</v>
      </c>
      <c r="BF513">
        <f>IF($E513="","",IF(AND(COUNT($E$514:$E$517)&gt;=4,$D513=MIN($D$509:$D$517)),$D513,""))</f>
        <v>0</v>
      </c>
      <c r="BG513">
        <f>IF($A513="","",$A513-WEEKDAY($A513,2)+1)</f>
        <v>0</v>
      </c>
      <c r="BH513">
        <f>IF($A513="","",IF($A512="",1,IF(BG513&lt;&gt;BG512,1,0)))</f>
        <v>0</v>
      </c>
      <c r="BI513">
        <f>IF($A513="","",IF($A514="",1,IF(BG514&lt;&gt;BG513,1,0)))</f>
        <v>0</v>
      </c>
      <c r="BJ513">
        <f>IF($A513="","",IF(BH513=1,$B513,BJ512))</f>
        <v>0</v>
      </c>
      <c r="BK513">
        <f>IF($A513="","",IF(BH513=1,$C513,MAX($C513,BK512)))</f>
        <v>0</v>
      </c>
      <c r="BL513">
        <f>IF($A513="","",IF(BH513=1,$D513,MIN($D513,BL512)))</f>
        <v>0</v>
      </c>
      <c r="BM513">
        <f>IF($A513="","",IF(BI513=1,F513,""))</f>
        <v>0</v>
      </c>
      <c r="BN513">
        <f>IF($A513="","",DATE(YEAR($A513),MONTH($A513),1))</f>
        <v>0</v>
      </c>
      <c r="BO513">
        <f>IF($A513="","",IF($A512="",1,IF(BN513&lt;&gt;BN512,1,0)))</f>
        <v>0</v>
      </c>
      <c r="BP513">
        <f>IF($A513="","",IF($A514="",1,IF(BN514&lt;&gt;BN513,1,0)))</f>
        <v>0</v>
      </c>
      <c r="BQ513">
        <f>IF($A513="","",IF(BO513=1,$B513,BQ512))</f>
        <v>0</v>
      </c>
      <c r="BR513">
        <f>IF($A513="","",IF(BO513=1,$C513,MAX($C513,BR512)))</f>
        <v>0</v>
      </c>
      <c r="BS513">
        <f>IF($A513="","",IF(BO513=1,$D513,MIN($D513,BS512)))</f>
        <v>0</v>
      </c>
      <c r="BT513">
        <f>IF($A513="","",IF(BP513=1,F513,""))</f>
        <v>0</v>
      </c>
    </row>
    <row r="514" spans="1:72">
      <c r="A514" s="27">
        <f>IF(Data!$A514="","",Data!$A514)</f>
        <v>0</v>
      </c>
      <c r="B514">
        <f>IF(Data!$B514="","",Data!$B514)</f>
        <v>0</v>
      </c>
      <c r="C514">
        <f>IF(Data!$C514="","",Data!$C514)</f>
        <v>0</v>
      </c>
      <c r="D514">
        <f>IF(Data!$D514="","",Data!$D514)</f>
        <v>0</v>
      </c>
      <c r="E514">
        <f>IF(Data!$E514="","",Data!$E514)</f>
        <v>0</v>
      </c>
      <c r="F514">
        <f>IF($E514="","",N(F513)+1)</f>
        <v>0</v>
      </c>
      <c r="G514">
        <f>IF(OR($E514="",$E513=""),"",LN($E514/$E513))</f>
        <v>0</v>
      </c>
      <c r="H514">
        <f>IF($E514="","",IF($E513="",$E514,$E514*0.0952380952+H513*0.9047619048))</f>
        <v>0</v>
      </c>
      <c r="I514">
        <f>IF($E514="","",IF($E513="",$E514,$E514*0.0392156863+I513*0.9607843137))</f>
        <v>0</v>
      </c>
      <c r="J514">
        <f>IF($E514="","",IF($E513="",$E514,$E514*0.0198019802+J513*0.9801980198))</f>
        <v>0</v>
      </c>
      <c r="K514">
        <f>IF($E514="","",IF($E513="",$E514,$E514*0.0099502488+K513*0.9900497512))</f>
        <v>0</v>
      </c>
      <c r="L514">
        <f>IF(OR($E514="",$E513=""),"",MAX($E514-$E513,0))</f>
        <v>0</v>
      </c>
      <c r="M514">
        <f>IF(OR($E514="",$E513=""),"",MAX($E513-$E514,0))</f>
        <v>0</v>
      </c>
      <c r="N514">
        <f>IF(COUNT($E$2:$E514)&lt;15,"",IF(AVERAGE($M$501:$M$514)=0,100,100-100/(1+AVERAGE($L$501:$L$514)/AVERAGE($M$501:$M$514))))</f>
        <v>0</v>
      </c>
      <c r="O514">
        <f>IF($E514="","",IF($E513="",$E514,$E514*0.1538461538+O513*0.8461538462))</f>
        <v>0</v>
      </c>
      <c r="P514">
        <f>IF($E514="","",IF($E513="",$E514,$E514*0.0740740741+P513*0.9259259259))</f>
        <v>0</v>
      </c>
      <c r="Q514">
        <f>IF(OR(O514="",P514=""),"",O514-P514)</f>
        <v>0</v>
      </c>
      <c r="R514">
        <f>IF(Q514="","",IF(R513="",Q514,Q514*0.2000000000+R513*0.8000000000))</f>
        <v>0</v>
      </c>
      <c r="S514">
        <f>IF(OR(Q514="",R514=""),"",Q514-R514)</f>
        <v>0</v>
      </c>
      <c r="T514">
        <f>IF(COUNT($E$2:$E514)&lt;14,"",MAX($C$501:$C$514))</f>
        <v>0</v>
      </c>
      <c r="U514">
        <f>IF(COUNT($E$2:$E514)&lt;14,"",MIN($D$501:$D$514))</f>
        <v>0</v>
      </c>
      <c r="V514">
        <f>IF(OR(T514="",U514="",T514=U514),"",100*($E514-U514)/(T514-U514))</f>
        <v>0</v>
      </c>
      <c r="W514">
        <f>IF(COUNT($V$512:$V$514)&lt;3,"",AVERAGE($V$512:$V$514))</f>
        <v>0</v>
      </c>
      <c r="X514">
        <f>IF(COUNT($N$501:$N$514)&lt;14,"",MIN($N$501:$N$514))</f>
        <v>0</v>
      </c>
      <c r="Y514">
        <f>IF(COUNT($N$501:$N$514)&lt;14,"",MAX($N$501:$N$514))</f>
        <v>0</v>
      </c>
      <c r="Z514">
        <f>IF(OR(N514="",X514="",Y514="",Y514=X514),"",100*(N514-X514)/(Y514-X514))</f>
        <v>0</v>
      </c>
      <c r="AA514">
        <f>IF(COUNT($Z$512:$Z$514)&lt;3,"",AVERAGE($Z$512:$Z$514))</f>
        <v>0</v>
      </c>
      <c r="AB514">
        <f>IF(COUNT($AA$512:$AA$514)&lt;3,"",AVERAGE($AA$512:$AA$514))</f>
        <v>0</v>
      </c>
      <c r="AC514">
        <f>IF($E514="","",MAX($C514-$D514,ABS($C514-$E513),ABS($D514-$E513)))</f>
        <v>0</v>
      </c>
      <c r="AD514">
        <f>IF(COUNT($E$2:$E514)&lt;15,"",AVERAGE($AC$501:$AC$514))</f>
        <v>0</v>
      </c>
      <c r="AE514">
        <f>IF(OR($E514="",$E513=""),"",IF(AND(($C514-$C513)&gt;($D513-$D514),($C514-$C513)&gt;0),$C514-$C513,0))</f>
        <v>0</v>
      </c>
      <c r="AF514">
        <f>IF(OR($E514="",$E513=""),"",IF(AND(($D513-$D514)&gt;($C514-$C513),($D513-$D514)&gt;0),$D513-$D514,0))</f>
        <v>0</v>
      </c>
      <c r="AG514">
        <f>IF(COUNT($E$2:$E514)&lt;15,"",IF(SUM($AC$501:$AC$514)=0,0,100*SUM($AE$501:$AE$514)/SUM($AC$501:$AC$514)))</f>
        <v>0</v>
      </c>
      <c r="AH514">
        <f>IF(COUNT($E$2:$E514)&lt;15,"",IF(SUM($AC$501:$AC$514)=0,0,100*SUM($AF$501:$AF$514)/SUM($AC$501:$AC$514)))</f>
        <v>0</v>
      </c>
      <c r="AI514">
        <f>IF(OR(AG514="",AH514=""),"",IF((AG514+AH514)=0,0,100*ABS(AG514-AH514)/(AG514+AH514)))</f>
        <v>0</v>
      </c>
      <c r="AJ514">
        <f>IF(COUNT($AI$501:$AI$514)&lt;14,"",AVERAGE($AI$501:$AI$514))</f>
        <v>0</v>
      </c>
      <c r="AK514">
        <f>IF(COUNT($E$2:$E514)&lt;20,"",AVERAGE($E$495:$E$514))</f>
        <v>0</v>
      </c>
      <c r="AL514">
        <f>IF(COUNT($E$2:$E514)&lt;20,"",STDEVP($E$495:$E$514))</f>
        <v>0</v>
      </c>
      <c r="AM514">
        <f>IF(AK514="","",AK514+2*AL514)</f>
        <v>0</v>
      </c>
      <c r="AN514">
        <f>IF(AK514="","",AK514-2*AL514)</f>
        <v>0</v>
      </c>
      <c r="AO514">
        <f>IF(OR(AM514="",AN514="",AM514=AN514),"",($E514-AN514)/(AM514-AN514))</f>
        <v>0</v>
      </c>
      <c r="AP514">
        <f>IF(OR(AM514="",AK514="",AK514=0),"",(AM514-AN514)/AK514)</f>
        <v>0</v>
      </c>
      <c r="AQ514">
        <f>IF(COUNT($E$2:$E514)&lt;20,"",MAX($C$495:$C$514))</f>
        <v>0</v>
      </c>
      <c r="AR514">
        <f>IF(COUNT($E$2:$E514)&lt;20,"",MIN($D$495:$D$514))</f>
        <v>0</v>
      </c>
      <c r="AS514">
        <f>IF(OR(AQ514="",AR514=""),"",(AQ514+AR514)/2)</f>
        <v>0</v>
      </c>
      <c r="AT514">
        <f>IF(COUNT($G$495:$G$514)&lt;20,"",STDEV($G$495:$G$514)*SQRT(252))</f>
        <v>0</v>
      </c>
      <c r="AU514">
        <f>IF(COUNT($E$2:$E514)&lt;9,"",(MAX($C$506:$C$514)+MIN($D$506:$D$514))/2)</f>
        <v>0</v>
      </c>
      <c r="AV514">
        <f>IF(COUNT($E$2:$E514)&lt;26,"",(MAX($C$489:$C$514)+MIN($D$489:$D$514))/2)</f>
        <v>0</v>
      </c>
      <c r="AW514">
        <f>IF(OR(AU514="",AV514=""),"",(AU514+AV514)/2)</f>
        <v>0</v>
      </c>
      <c r="AX514">
        <f>IF(COUNT($E$2:$E514)&lt;52,"",(MAX($C$463:$C$514)+MIN($D$463:$D$514))/2)</f>
        <v>0</v>
      </c>
      <c r="AY514">
        <f>IF(COUNT($E$2:$E514)&lt;20,"",MAX($C$415:$C$514))</f>
        <v>0</v>
      </c>
      <c r="AZ514">
        <f>IF(COUNT($E$2:$E514)&lt;20,"",MIN($D$415:$D$514))</f>
        <v>0</v>
      </c>
      <c r="BA514">
        <f>IF(COUNT($E$2:$E514)&lt;20,"",SLOPE($E$415:$E$514,$F$415:$F$514))</f>
        <v>0</v>
      </c>
      <c r="BB514">
        <f>IF(COUNT($E$2:$E514)&lt;20,"",INTERCEPT($E$415:$E$514,$F$415:$F$514))</f>
        <v>0</v>
      </c>
      <c r="BC514">
        <f>IF(OR(BA514="",BB514=""),"",BB514+BA514*F514)</f>
        <v>0</v>
      </c>
      <c r="BD514">
        <f>IF(COUNT($E$2:$E514)&lt;20,"",STEYX($E$415:$E$514,$F$415:$F$514))</f>
        <v>0</v>
      </c>
      <c r="BE514">
        <f>IF($E514="","",IF(AND(COUNT($E$515:$E$518)&gt;=4,$C514=MAX($C$510:$C$518)),$C514,""))</f>
        <v>0</v>
      </c>
      <c r="BF514">
        <f>IF($E514="","",IF(AND(COUNT($E$515:$E$518)&gt;=4,$D514=MIN($D$510:$D$518)),$D514,""))</f>
        <v>0</v>
      </c>
      <c r="BG514">
        <f>IF($A514="","",$A514-WEEKDAY($A514,2)+1)</f>
        <v>0</v>
      </c>
      <c r="BH514">
        <f>IF($A514="","",IF($A513="",1,IF(BG514&lt;&gt;BG513,1,0)))</f>
        <v>0</v>
      </c>
      <c r="BI514">
        <f>IF($A514="","",IF($A515="",1,IF(BG515&lt;&gt;BG514,1,0)))</f>
        <v>0</v>
      </c>
      <c r="BJ514">
        <f>IF($A514="","",IF(BH514=1,$B514,BJ513))</f>
        <v>0</v>
      </c>
      <c r="BK514">
        <f>IF($A514="","",IF(BH514=1,$C514,MAX($C514,BK513)))</f>
        <v>0</v>
      </c>
      <c r="BL514">
        <f>IF($A514="","",IF(BH514=1,$D514,MIN($D514,BL513)))</f>
        <v>0</v>
      </c>
      <c r="BM514">
        <f>IF($A514="","",IF(BI514=1,F514,""))</f>
        <v>0</v>
      </c>
      <c r="BN514">
        <f>IF($A514="","",DATE(YEAR($A514),MONTH($A514),1))</f>
        <v>0</v>
      </c>
      <c r="BO514">
        <f>IF($A514="","",IF($A513="",1,IF(BN514&lt;&gt;BN513,1,0)))</f>
        <v>0</v>
      </c>
      <c r="BP514">
        <f>IF($A514="","",IF($A515="",1,IF(BN515&lt;&gt;BN514,1,0)))</f>
        <v>0</v>
      </c>
      <c r="BQ514">
        <f>IF($A514="","",IF(BO514=1,$B514,BQ513))</f>
        <v>0</v>
      </c>
      <c r="BR514">
        <f>IF($A514="","",IF(BO514=1,$C514,MAX($C514,BR513)))</f>
        <v>0</v>
      </c>
      <c r="BS514">
        <f>IF($A514="","",IF(BO514=1,$D514,MIN($D514,BS513)))</f>
        <v>0</v>
      </c>
      <c r="BT514">
        <f>IF($A514="","",IF(BP514=1,F514,""))</f>
        <v>0</v>
      </c>
    </row>
    <row r="515" spans="1:72">
      <c r="A515" s="27">
        <f>IF(Data!$A515="","",Data!$A515)</f>
        <v>0</v>
      </c>
      <c r="B515">
        <f>IF(Data!$B515="","",Data!$B515)</f>
        <v>0</v>
      </c>
      <c r="C515">
        <f>IF(Data!$C515="","",Data!$C515)</f>
        <v>0</v>
      </c>
      <c r="D515">
        <f>IF(Data!$D515="","",Data!$D515)</f>
        <v>0</v>
      </c>
      <c r="E515">
        <f>IF(Data!$E515="","",Data!$E515)</f>
        <v>0</v>
      </c>
      <c r="F515">
        <f>IF($E515="","",N(F514)+1)</f>
        <v>0</v>
      </c>
      <c r="G515">
        <f>IF(OR($E515="",$E514=""),"",LN($E515/$E514))</f>
        <v>0</v>
      </c>
      <c r="H515">
        <f>IF($E515="","",IF($E514="",$E515,$E515*0.0952380952+H514*0.9047619048))</f>
        <v>0</v>
      </c>
      <c r="I515">
        <f>IF($E515="","",IF($E514="",$E515,$E515*0.0392156863+I514*0.9607843137))</f>
        <v>0</v>
      </c>
      <c r="J515">
        <f>IF($E515="","",IF($E514="",$E515,$E515*0.0198019802+J514*0.9801980198))</f>
        <v>0</v>
      </c>
      <c r="K515">
        <f>IF($E515="","",IF($E514="",$E515,$E515*0.0099502488+K514*0.9900497512))</f>
        <v>0</v>
      </c>
      <c r="L515">
        <f>IF(OR($E515="",$E514=""),"",MAX($E515-$E514,0))</f>
        <v>0</v>
      </c>
      <c r="M515">
        <f>IF(OR($E515="",$E514=""),"",MAX($E514-$E515,0))</f>
        <v>0</v>
      </c>
      <c r="N515">
        <f>IF(COUNT($E$2:$E515)&lt;15,"",IF(AVERAGE($M$502:$M$515)=0,100,100-100/(1+AVERAGE($L$502:$L$515)/AVERAGE($M$502:$M$515))))</f>
        <v>0</v>
      </c>
      <c r="O515">
        <f>IF($E515="","",IF($E514="",$E515,$E515*0.1538461538+O514*0.8461538462))</f>
        <v>0</v>
      </c>
      <c r="P515">
        <f>IF($E515="","",IF($E514="",$E515,$E515*0.0740740741+P514*0.9259259259))</f>
        <v>0</v>
      </c>
      <c r="Q515">
        <f>IF(OR(O515="",P515=""),"",O515-P515)</f>
        <v>0</v>
      </c>
      <c r="R515">
        <f>IF(Q515="","",IF(R514="",Q515,Q515*0.2000000000+R514*0.8000000000))</f>
        <v>0</v>
      </c>
      <c r="S515">
        <f>IF(OR(Q515="",R515=""),"",Q515-R515)</f>
        <v>0</v>
      </c>
      <c r="T515">
        <f>IF(COUNT($E$2:$E515)&lt;14,"",MAX($C$502:$C$515))</f>
        <v>0</v>
      </c>
      <c r="U515">
        <f>IF(COUNT($E$2:$E515)&lt;14,"",MIN($D$502:$D$515))</f>
        <v>0</v>
      </c>
      <c r="V515">
        <f>IF(OR(T515="",U515="",T515=U515),"",100*($E515-U515)/(T515-U515))</f>
        <v>0</v>
      </c>
      <c r="W515">
        <f>IF(COUNT($V$513:$V$515)&lt;3,"",AVERAGE($V$513:$V$515))</f>
        <v>0</v>
      </c>
      <c r="X515">
        <f>IF(COUNT($N$502:$N$515)&lt;14,"",MIN($N$502:$N$515))</f>
        <v>0</v>
      </c>
      <c r="Y515">
        <f>IF(COUNT($N$502:$N$515)&lt;14,"",MAX($N$502:$N$515))</f>
        <v>0</v>
      </c>
      <c r="Z515">
        <f>IF(OR(N515="",X515="",Y515="",Y515=X515),"",100*(N515-X515)/(Y515-X515))</f>
        <v>0</v>
      </c>
      <c r="AA515">
        <f>IF(COUNT($Z$513:$Z$515)&lt;3,"",AVERAGE($Z$513:$Z$515))</f>
        <v>0</v>
      </c>
      <c r="AB515">
        <f>IF(COUNT($AA$513:$AA$515)&lt;3,"",AVERAGE($AA$513:$AA$515))</f>
        <v>0</v>
      </c>
      <c r="AC515">
        <f>IF($E515="","",MAX($C515-$D515,ABS($C515-$E514),ABS($D515-$E514)))</f>
        <v>0</v>
      </c>
      <c r="AD515">
        <f>IF(COUNT($E$2:$E515)&lt;15,"",AVERAGE($AC$502:$AC$515))</f>
        <v>0</v>
      </c>
      <c r="AE515">
        <f>IF(OR($E515="",$E514=""),"",IF(AND(($C515-$C514)&gt;($D514-$D515),($C515-$C514)&gt;0),$C515-$C514,0))</f>
        <v>0</v>
      </c>
      <c r="AF515">
        <f>IF(OR($E515="",$E514=""),"",IF(AND(($D514-$D515)&gt;($C515-$C514),($D514-$D515)&gt;0),$D514-$D515,0))</f>
        <v>0</v>
      </c>
      <c r="AG515">
        <f>IF(COUNT($E$2:$E515)&lt;15,"",IF(SUM($AC$502:$AC$515)=0,0,100*SUM($AE$502:$AE$515)/SUM($AC$502:$AC$515)))</f>
        <v>0</v>
      </c>
      <c r="AH515">
        <f>IF(COUNT($E$2:$E515)&lt;15,"",IF(SUM($AC$502:$AC$515)=0,0,100*SUM($AF$502:$AF$515)/SUM($AC$502:$AC$515)))</f>
        <v>0</v>
      </c>
      <c r="AI515">
        <f>IF(OR(AG515="",AH515=""),"",IF((AG515+AH515)=0,0,100*ABS(AG515-AH515)/(AG515+AH515)))</f>
        <v>0</v>
      </c>
      <c r="AJ515">
        <f>IF(COUNT($AI$502:$AI$515)&lt;14,"",AVERAGE($AI$502:$AI$515))</f>
        <v>0</v>
      </c>
      <c r="AK515">
        <f>IF(COUNT($E$2:$E515)&lt;20,"",AVERAGE($E$496:$E$515))</f>
        <v>0</v>
      </c>
      <c r="AL515">
        <f>IF(COUNT($E$2:$E515)&lt;20,"",STDEVP($E$496:$E$515))</f>
        <v>0</v>
      </c>
      <c r="AM515">
        <f>IF(AK515="","",AK515+2*AL515)</f>
        <v>0</v>
      </c>
      <c r="AN515">
        <f>IF(AK515="","",AK515-2*AL515)</f>
        <v>0</v>
      </c>
      <c r="AO515">
        <f>IF(OR(AM515="",AN515="",AM515=AN515),"",($E515-AN515)/(AM515-AN515))</f>
        <v>0</v>
      </c>
      <c r="AP515">
        <f>IF(OR(AM515="",AK515="",AK515=0),"",(AM515-AN515)/AK515)</f>
        <v>0</v>
      </c>
      <c r="AQ515">
        <f>IF(COUNT($E$2:$E515)&lt;20,"",MAX($C$496:$C$515))</f>
        <v>0</v>
      </c>
      <c r="AR515">
        <f>IF(COUNT($E$2:$E515)&lt;20,"",MIN($D$496:$D$515))</f>
        <v>0</v>
      </c>
      <c r="AS515">
        <f>IF(OR(AQ515="",AR515=""),"",(AQ515+AR515)/2)</f>
        <v>0</v>
      </c>
      <c r="AT515">
        <f>IF(COUNT($G$496:$G$515)&lt;20,"",STDEV($G$496:$G$515)*SQRT(252))</f>
        <v>0</v>
      </c>
      <c r="AU515">
        <f>IF(COUNT($E$2:$E515)&lt;9,"",(MAX($C$507:$C$515)+MIN($D$507:$D$515))/2)</f>
        <v>0</v>
      </c>
      <c r="AV515">
        <f>IF(COUNT($E$2:$E515)&lt;26,"",(MAX($C$490:$C$515)+MIN($D$490:$D$515))/2)</f>
        <v>0</v>
      </c>
      <c r="AW515">
        <f>IF(OR(AU515="",AV515=""),"",(AU515+AV515)/2)</f>
        <v>0</v>
      </c>
      <c r="AX515">
        <f>IF(COUNT($E$2:$E515)&lt;52,"",(MAX($C$464:$C$515)+MIN($D$464:$D$515))/2)</f>
        <v>0</v>
      </c>
      <c r="AY515">
        <f>IF(COUNT($E$2:$E515)&lt;20,"",MAX($C$416:$C$515))</f>
        <v>0</v>
      </c>
      <c r="AZ515">
        <f>IF(COUNT($E$2:$E515)&lt;20,"",MIN($D$416:$D$515))</f>
        <v>0</v>
      </c>
      <c r="BA515">
        <f>IF(COUNT($E$2:$E515)&lt;20,"",SLOPE($E$416:$E$515,$F$416:$F$515))</f>
        <v>0</v>
      </c>
      <c r="BB515">
        <f>IF(COUNT($E$2:$E515)&lt;20,"",INTERCEPT($E$416:$E$515,$F$416:$F$515))</f>
        <v>0</v>
      </c>
      <c r="BC515">
        <f>IF(OR(BA515="",BB515=""),"",BB515+BA515*F515)</f>
        <v>0</v>
      </c>
      <c r="BD515">
        <f>IF(COUNT($E$2:$E515)&lt;20,"",STEYX($E$416:$E$515,$F$416:$F$515))</f>
        <v>0</v>
      </c>
      <c r="BE515">
        <f>IF($E515="","",IF(AND(COUNT($E$516:$E$519)&gt;=4,$C515=MAX($C$511:$C$519)),$C515,""))</f>
        <v>0</v>
      </c>
      <c r="BF515">
        <f>IF($E515="","",IF(AND(COUNT($E$516:$E$519)&gt;=4,$D515=MIN($D$511:$D$519)),$D515,""))</f>
        <v>0</v>
      </c>
      <c r="BG515">
        <f>IF($A515="","",$A515-WEEKDAY($A515,2)+1)</f>
        <v>0</v>
      </c>
      <c r="BH515">
        <f>IF($A515="","",IF($A514="",1,IF(BG515&lt;&gt;BG514,1,0)))</f>
        <v>0</v>
      </c>
      <c r="BI515">
        <f>IF($A515="","",IF($A516="",1,IF(BG516&lt;&gt;BG515,1,0)))</f>
        <v>0</v>
      </c>
      <c r="BJ515">
        <f>IF($A515="","",IF(BH515=1,$B515,BJ514))</f>
        <v>0</v>
      </c>
      <c r="BK515">
        <f>IF($A515="","",IF(BH515=1,$C515,MAX($C515,BK514)))</f>
        <v>0</v>
      </c>
      <c r="BL515">
        <f>IF($A515="","",IF(BH515=1,$D515,MIN($D515,BL514)))</f>
        <v>0</v>
      </c>
      <c r="BM515">
        <f>IF($A515="","",IF(BI515=1,F515,""))</f>
        <v>0</v>
      </c>
      <c r="BN515">
        <f>IF($A515="","",DATE(YEAR($A515),MONTH($A515),1))</f>
        <v>0</v>
      </c>
      <c r="BO515">
        <f>IF($A515="","",IF($A514="",1,IF(BN515&lt;&gt;BN514,1,0)))</f>
        <v>0</v>
      </c>
      <c r="BP515">
        <f>IF($A515="","",IF($A516="",1,IF(BN516&lt;&gt;BN515,1,0)))</f>
        <v>0</v>
      </c>
      <c r="BQ515">
        <f>IF($A515="","",IF(BO515=1,$B515,BQ514))</f>
        <v>0</v>
      </c>
      <c r="BR515">
        <f>IF($A515="","",IF(BO515=1,$C515,MAX($C515,BR514)))</f>
        <v>0</v>
      </c>
      <c r="BS515">
        <f>IF($A515="","",IF(BO515=1,$D515,MIN($D515,BS514)))</f>
        <v>0</v>
      </c>
      <c r="BT515">
        <f>IF($A515="","",IF(BP515=1,F515,""))</f>
        <v>0</v>
      </c>
    </row>
    <row r="516" spans="1:72">
      <c r="A516" s="27">
        <f>IF(Data!$A516="","",Data!$A516)</f>
        <v>0</v>
      </c>
      <c r="B516">
        <f>IF(Data!$B516="","",Data!$B516)</f>
        <v>0</v>
      </c>
      <c r="C516">
        <f>IF(Data!$C516="","",Data!$C516)</f>
        <v>0</v>
      </c>
      <c r="D516">
        <f>IF(Data!$D516="","",Data!$D516)</f>
        <v>0</v>
      </c>
      <c r="E516">
        <f>IF(Data!$E516="","",Data!$E516)</f>
        <v>0</v>
      </c>
      <c r="F516">
        <f>IF($E516="","",N(F515)+1)</f>
        <v>0</v>
      </c>
      <c r="G516">
        <f>IF(OR($E516="",$E515=""),"",LN($E516/$E515))</f>
        <v>0</v>
      </c>
      <c r="H516">
        <f>IF($E516="","",IF($E515="",$E516,$E516*0.0952380952+H515*0.9047619048))</f>
        <v>0</v>
      </c>
      <c r="I516">
        <f>IF($E516="","",IF($E515="",$E516,$E516*0.0392156863+I515*0.9607843137))</f>
        <v>0</v>
      </c>
      <c r="J516">
        <f>IF($E516="","",IF($E515="",$E516,$E516*0.0198019802+J515*0.9801980198))</f>
        <v>0</v>
      </c>
      <c r="K516">
        <f>IF($E516="","",IF($E515="",$E516,$E516*0.0099502488+K515*0.9900497512))</f>
        <v>0</v>
      </c>
      <c r="L516">
        <f>IF(OR($E516="",$E515=""),"",MAX($E516-$E515,0))</f>
        <v>0</v>
      </c>
      <c r="M516">
        <f>IF(OR($E516="",$E515=""),"",MAX($E515-$E516,0))</f>
        <v>0</v>
      </c>
      <c r="N516">
        <f>IF(COUNT($E$2:$E516)&lt;15,"",IF(AVERAGE($M$503:$M$516)=0,100,100-100/(1+AVERAGE($L$503:$L$516)/AVERAGE($M$503:$M$516))))</f>
        <v>0</v>
      </c>
      <c r="O516">
        <f>IF($E516="","",IF($E515="",$E516,$E516*0.1538461538+O515*0.8461538462))</f>
        <v>0</v>
      </c>
      <c r="P516">
        <f>IF($E516="","",IF($E515="",$E516,$E516*0.0740740741+P515*0.9259259259))</f>
        <v>0</v>
      </c>
      <c r="Q516">
        <f>IF(OR(O516="",P516=""),"",O516-P516)</f>
        <v>0</v>
      </c>
      <c r="R516">
        <f>IF(Q516="","",IF(R515="",Q516,Q516*0.2000000000+R515*0.8000000000))</f>
        <v>0</v>
      </c>
      <c r="S516">
        <f>IF(OR(Q516="",R516=""),"",Q516-R516)</f>
        <v>0</v>
      </c>
      <c r="T516">
        <f>IF(COUNT($E$2:$E516)&lt;14,"",MAX($C$503:$C$516))</f>
        <v>0</v>
      </c>
      <c r="U516">
        <f>IF(COUNT($E$2:$E516)&lt;14,"",MIN($D$503:$D$516))</f>
        <v>0</v>
      </c>
      <c r="V516">
        <f>IF(OR(T516="",U516="",T516=U516),"",100*($E516-U516)/(T516-U516))</f>
        <v>0</v>
      </c>
      <c r="W516">
        <f>IF(COUNT($V$514:$V$516)&lt;3,"",AVERAGE($V$514:$V$516))</f>
        <v>0</v>
      </c>
      <c r="X516">
        <f>IF(COUNT($N$503:$N$516)&lt;14,"",MIN($N$503:$N$516))</f>
        <v>0</v>
      </c>
      <c r="Y516">
        <f>IF(COUNT($N$503:$N$516)&lt;14,"",MAX($N$503:$N$516))</f>
        <v>0</v>
      </c>
      <c r="Z516">
        <f>IF(OR(N516="",X516="",Y516="",Y516=X516),"",100*(N516-X516)/(Y516-X516))</f>
        <v>0</v>
      </c>
      <c r="AA516">
        <f>IF(COUNT($Z$514:$Z$516)&lt;3,"",AVERAGE($Z$514:$Z$516))</f>
        <v>0</v>
      </c>
      <c r="AB516">
        <f>IF(COUNT($AA$514:$AA$516)&lt;3,"",AVERAGE($AA$514:$AA$516))</f>
        <v>0</v>
      </c>
      <c r="AC516">
        <f>IF($E516="","",MAX($C516-$D516,ABS($C516-$E515),ABS($D516-$E515)))</f>
        <v>0</v>
      </c>
      <c r="AD516">
        <f>IF(COUNT($E$2:$E516)&lt;15,"",AVERAGE($AC$503:$AC$516))</f>
        <v>0</v>
      </c>
      <c r="AE516">
        <f>IF(OR($E516="",$E515=""),"",IF(AND(($C516-$C515)&gt;($D515-$D516),($C516-$C515)&gt;0),$C516-$C515,0))</f>
        <v>0</v>
      </c>
      <c r="AF516">
        <f>IF(OR($E516="",$E515=""),"",IF(AND(($D515-$D516)&gt;($C516-$C515),($D515-$D516)&gt;0),$D515-$D516,0))</f>
        <v>0</v>
      </c>
      <c r="AG516">
        <f>IF(COUNT($E$2:$E516)&lt;15,"",IF(SUM($AC$503:$AC$516)=0,0,100*SUM($AE$503:$AE$516)/SUM($AC$503:$AC$516)))</f>
        <v>0</v>
      </c>
      <c r="AH516">
        <f>IF(COUNT($E$2:$E516)&lt;15,"",IF(SUM($AC$503:$AC$516)=0,0,100*SUM($AF$503:$AF$516)/SUM($AC$503:$AC$516)))</f>
        <v>0</v>
      </c>
      <c r="AI516">
        <f>IF(OR(AG516="",AH516=""),"",IF((AG516+AH516)=0,0,100*ABS(AG516-AH516)/(AG516+AH516)))</f>
        <v>0</v>
      </c>
      <c r="AJ516">
        <f>IF(COUNT($AI$503:$AI$516)&lt;14,"",AVERAGE($AI$503:$AI$516))</f>
        <v>0</v>
      </c>
      <c r="AK516">
        <f>IF(COUNT($E$2:$E516)&lt;20,"",AVERAGE($E$497:$E$516))</f>
        <v>0</v>
      </c>
      <c r="AL516">
        <f>IF(COUNT($E$2:$E516)&lt;20,"",STDEVP($E$497:$E$516))</f>
        <v>0</v>
      </c>
      <c r="AM516">
        <f>IF(AK516="","",AK516+2*AL516)</f>
        <v>0</v>
      </c>
      <c r="AN516">
        <f>IF(AK516="","",AK516-2*AL516)</f>
        <v>0</v>
      </c>
      <c r="AO516">
        <f>IF(OR(AM516="",AN516="",AM516=AN516),"",($E516-AN516)/(AM516-AN516))</f>
        <v>0</v>
      </c>
      <c r="AP516">
        <f>IF(OR(AM516="",AK516="",AK516=0),"",(AM516-AN516)/AK516)</f>
        <v>0</v>
      </c>
      <c r="AQ516">
        <f>IF(COUNT($E$2:$E516)&lt;20,"",MAX($C$497:$C$516))</f>
        <v>0</v>
      </c>
      <c r="AR516">
        <f>IF(COUNT($E$2:$E516)&lt;20,"",MIN($D$497:$D$516))</f>
        <v>0</v>
      </c>
      <c r="AS516">
        <f>IF(OR(AQ516="",AR516=""),"",(AQ516+AR516)/2)</f>
        <v>0</v>
      </c>
      <c r="AT516">
        <f>IF(COUNT($G$497:$G$516)&lt;20,"",STDEV($G$497:$G$516)*SQRT(252))</f>
        <v>0</v>
      </c>
      <c r="AU516">
        <f>IF(COUNT($E$2:$E516)&lt;9,"",(MAX($C$508:$C$516)+MIN($D$508:$D$516))/2)</f>
        <v>0</v>
      </c>
      <c r="AV516">
        <f>IF(COUNT($E$2:$E516)&lt;26,"",(MAX($C$491:$C$516)+MIN($D$491:$D$516))/2)</f>
        <v>0</v>
      </c>
      <c r="AW516">
        <f>IF(OR(AU516="",AV516=""),"",(AU516+AV516)/2)</f>
        <v>0</v>
      </c>
      <c r="AX516">
        <f>IF(COUNT($E$2:$E516)&lt;52,"",(MAX($C$465:$C$516)+MIN($D$465:$D$516))/2)</f>
        <v>0</v>
      </c>
      <c r="AY516">
        <f>IF(COUNT($E$2:$E516)&lt;20,"",MAX($C$417:$C$516))</f>
        <v>0</v>
      </c>
      <c r="AZ516">
        <f>IF(COUNT($E$2:$E516)&lt;20,"",MIN($D$417:$D$516))</f>
        <v>0</v>
      </c>
      <c r="BA516">
        <f>IF(COUNT($E$2:$E516)&lt;20,"",SLOPE($E$417:$E$516,$F$417:$F$516))</f>
        <v>0</v>
      </c>
      <c r="BB516">
        <f>IF(COUNT($E$2:$E516)&lt;20,"",INTERCEPT($E$417:$E$516,$F$417:$F$516))</f>
        <v>0</v>
      </c>
      <c r="BC516">
        <f>IF(OR(BA516="",BB516=""),"",BB516+BA516*F516)</f>
        <v>0</v>
      </c>
      <c r="BD516">
        <f>IF(COUNT($E$2:$E516)&lt;20,"",STEYX($E$417:$E$516,$F$417:$F$516))</f>
        <v>0</v>
      </c>
      <c r="BE516">
        <f>IF($E516="","",IF(AND(COUNT($E$517:$E$520)&gt;=4,$C516=MAX($C$512:$C$520)),$C516,""))</f>
        <v>0</v>
      </c>
      <c r="BF516">
        <f>IF($E516="","",IF(AND(COUNT($E$517:$E$520)&gt;=4,$D516=MIN($D$512:$D$520)),$D516,""))</f>
        <v>0</v>
      </c>
      <c r="BG516">
        <f>IF($A516="","",$A516-WEEKDAY($A516,2)+1)</f>
        <v>0</v>
      </c>
      <c r="BH516">
        <f>IF($A516="","",IF($A515="",1,IF(BG516&lt;&gt;BG515,1,0)))</f>
        <v>0</v>
      </c>
      <c r="BI516">
        <f>IF($A516="","",IF($A517="",1,IF(BG517&lt;&gt;BG516,1,0)))</f>
        <v>0</v>
      </c>
      <c r="BJ516">
        <f>IF($A516="","",IF(BH516=1,$B516,BJ515))</f>
        <v>0</v>
      </c>
      <c r="BK516">
        <f>IF($A516="","",IF(BH516=1,$C516,MAX($C516,BK515)))</f>
        <v>0</v>
      </c>
      <c r="BL516">
        <f>IF($A516="","",IF(BH516=1,$D516,MIN($D516,BL515)))</f>
        <v>0</v>
      </c>
      <c r="BM516">
        <f>IF($A516="","",IF(BI516=1,F516,""))</f>
        <v>0</v>
      </c>
      <c r="BN516">
        <f>IF($A516="","",DATE(YEAR($A516),MONTH($A516),1))</f>
        <v>0</v>
      </c>
      <c r="BO516">
        <f>IF($A516="","",IF($A515="",1,IF(BN516&lt;&gt;BN515,1,0)))</f>
        <v>0</v>
      </c>
      <c r="BP516">
        <f>IF($A516="","",IF($A517="",1,IF(BN517&lt;&gt;BN516,1,0)))</f>
        <v>0</v>
      </c>
      <c r="BQ516">
        <f>IF($A516="","",IF(BO516=1,$B516,BQ515))</f>
        <v>0</v>
      </c>
      <c r="BR516">
        <f>IF($A516="","",IF(BO516=1,$C516,MAX($C516,BR515)))</f>
        <v>0</v>
      </c>
      <c r="BS516">
        <f>IF($A516="","",IF(BO516=1,$D516,MIN($D516,BS515)))</f>
        <v>0</v>
      </c>
      <c r="BT516">
        <f>IF($A516="","",IF(BP516=1,F516,""))</f>
        <v>0</v>
      </c>
    </row>
    <row r="517" spans="1:72">
      <c r="A517" s="27">
        <f>IF(Data!$A517="","",Data!$A517)</f>
        <v>0</v>
      </c>
      <c r="B517">
        <f>IF(Data!$B517="","",Data!$B517)</f>
        <v>0</v>
      </c>
      <c r="C517">
        <f>IF(Data!$C517="","",Data!$C517)</f>
        <v>0</v>
      </c>
      <c r="D517">
        <f>IF(Data!$D517="","",Data!$D517)</f>
        <v>0</v>
      </c>
      <c r="E517">
        <f>IF(Data!$E517="","",Data!$E517)</f>
        <v>0</v>
      </c>
      <c r="F517">
        <f>IF($E517="","",N(F516)+1)</f>
        <v>0</v>
      </c>
      <c r="G517">
        <f>IF(OR($E517="",$E516=""),"",LN($E517/$E516))</f>
        <v>0</v>
      </c>
      <c r="H517">
        <f>IF($E517="","",IF($E516="",$E517,$E517*0.0952380952+H516*0.9047619048))</f>
        <v>0</v>
      </c>
      <c r="I517">
        <f>IF($E517="","",IF($E516="",$E517,$E517*0.0392156863+I516*0.9607843137))</f>
        <v>0</v>
      </c>
      <c r="J517">
        <f>IF($E517="","",IF($E516="",$E517,$E517*0.0198019802+J516*0.9801980198))</f>
        <v>0</v>
      </c>
      <c r="K517">
        <f>IF($E517="","",IF($E516="",$E517,$E517*0.0099502488+K516*0.9900497512))</f>
        <v>0</v>
      </c>
      <c r="L517">
        <f>IF(OR($E517="",$E516=""),"",MAX($E517-$E516,0))</f>
        <v>0</v>
      </c>
      <c r="M517">
        <f>IF(OR($E517="",$E516=""),"",MAX($E516-$E517,0))</f>
        <v>0</v>
      </c>
      <c r="N517">
        <f>IF(COUNT($E$2:$E517)&lt;15,"",IF(AVERAGE($M$504:$M$517)=0,100,100-100/(1+AVERAGE($L$504:$L$517)/AVERAGE($M$504:$M$517))))</f>
        <v>0</v>
      </c>
      <c r="O517">
        <f>IF($E517="","",IF($E516="",$E517,$E517*0.1538461538+O516*0.8461538462))</f>
        <v>0</v>
      </c>
      <c r="P517">
        <f>IF($E517="","",IF($E516="",$E517,$E517*0.0740740741+P516*0.9259259259))</f>
        <v>0</v>
      </c>
      <c r="Q517">
        <f>IF(OR(O517="",P517=""),"",O517-P517)</f>
        <v>0</v>
      </c>
      <c r="R517">
        <f>IF(Q517="","",IF(R516="",Q517,Q517*0.2000000000+R516*0.8000000000))</f>
        <v>0</v>
      </c>
      <c r="S517">
        <f>IF(OR(Q517="",R517=""),"",Q517-R517)</f>
        <v>0</v>
      </c>
      <c r="T517">
        <f>IF(COUNT($E$2:$E517)&lt;14,"",MAX($C$504:$C$517))</f>
        <v>0</v>
      </c>
      <c r="U517">
        <f>IF(COUNT($E$2:$E517)&lt;14,"",MIN($D$504:$D$517))</f>
        <v>0</v>
      </c>
      <c r="V517">
        <f>IF(OR(T517="",U517="",T517=U517),"",100*($E517-U517)/(T517-U517))</f>
        <v>0</v>
      </c>
      <c r="W517">
        <f>IF(COUNT($V$515:$V$517)&lt;3,"",AVERAGE($V$515:$V$517))</f>
        <v>0</v>
      </c>
      <c r="X517">
        <f>IF(COUNT($N$504:$N$517)&lt;14,"",MIN($N$504:$N$517))</f>
        <v>0</v>
      </c>
      <c r="Y517">
        <f>IF(COUNT($N$504:$N$517)&lt;14,"",MAX($N$504:$N$517))</f>
        <v>0</v>
      </c>
      <c r="Z517">
        <f>IF(OR(N517="",X517="",Y517="",Y517=X517),"",100*(N517-X517)/(Y517-X517))</f>
        <v>0</v>
      </c>
      <c r="AA517">
        <f>IF(COUNT($Z$515:$Z$517)&lt;3,"",AVERAGE($Z$515:$Z$517))</f>
        <v>0</v>
      </c>
      <c r="AB517">
        <f>IF(COUNT($AA$515:$AA$517)&lt;3,"",AVERAGE($AA$515:$AA$517))</f>
        <v>0</v>
      </c>
      <c r="AC517">
        <f>IF($E517="","",MAX($C517-$D517,ABS($C517-$E516),ABS($D517-$E516)))</f>
        <v>0</v>
      </c>
      <c r="AD517">
        <f>IF(COUNT($E$2:$E517)&lt;15,"",AVERAGE($AC$504:$AC$517))</f>
        <v>0</v>
      </c>
      <c r="AE517">
        <f>IF(OR($E517="",$E516=""),"",IF(AND(($C517-$C516)&gt;($D516-$D517),($C517-$C516)&gt;0),$C517-$C516,0))</f>
        <v>0</v>
      </c>
      <c r="AF517">
        <f>IF(OR($E517="",$E516=""),"",IF(AND(($D516-$D517)&gt;($C517-$C516),($D516-$D517)&gt;0),$D516-$D517,0))</f>
        <v>0</v>
      </c>
      <c r="AG517">
        <f>IF(COUNT($E$2:$E517)&lt;15,"",IF(SUM($AC$504:$AC$517)=0,0,100*SUM($AE$504:$AE$517)/SUM($AC$504:$AC$517)))</f>
        <v>0</v>
      </c>
      <c r="AH517">
        <f>IF(COUNT($E$2:$E517)&lt;15,"",IF(SUM($AC$504:$AC$517)=0,0,100*SUM($AF$504:$AF$517)/SUM($AC$504:$AC$517)))</f>
        <v>0</v>
      </c>
      <c r="AI517">
        <f>IF(OR(AG517="",AH517=""),"",IF((AG517+AH517)=0,0,100*ABS(AG517-AH517)/(AG517+AH517)))</f>
        <v>0</v>
      </c>
      <c r="AJ517">
        <f>IF(COUNT($AI$504:$AI$517)&lt;14,"",AVERAGE($AI$504:$AI$517))</f>
        <v>0</v>
      </c>
      <c r="AK517">
        <f>IF(COUNT($E$2:$E517)&lt;20,"",AVERAGE($E$498:$E$517))</f>
        <v>0</v>
      </c>
      <c r="AL517">
        <f>IF(COUNT($E$2:$E517)&lt;20,"",STDEVP($E$498:$E$517))</f>
        <v>0</v>
      </c>
      <c r="AM517">
        <f>IF(AK517="","",AK517+2*AL517)</f>
        <v>0</v>
      </c>
      <c r="AN517">
        <f>IF(AK517="","",AK517-2*AL517)</f>
        <v>0</v>
      </c>
      <c r="AO517">
        <f>IF(OR(AM517="",AN517="",AM517=AN517),"",($E517-AN517)/(AM517-AN517))</f>
        <v>0</v>
      </c>
      <c r="AP517">
        <f>IF(OR(AM517="",AK517="",AK517=0),"",(AM517-AN517)/AK517)</f>
        <v>0</v>
      </c>
      <c r="AQ517">
        <f>IF(COUNT($E$2:$E517)&lt;20,"",MAX($C$498:$C$517))</f>
        <v>0</v>
      </c>
      <c r="AR517">
        <f>IF(COUNT($E$2:$E517)&lt;20,"",MIN($D$498:$D$517))</f>
        <v>0</v>
      </c>
      <c r="AS517">
        <f>IF(OR(AQ517="",AR517=""),"",(AQ517+AR517)/2)</f>
        <v>0</v>
      </c>
      <c r="AT517">
        <f>IF(COUNT($G$498:$G$517)&lt;20,"",STDEV($G$498:$G$517)*SQRT(252))</f>
        <v>0</v>
      </c>
      <c r="AU517">
        <f>IF(COUNT($E$2:$E517)&lt;9,"",(MAX($C$509:$C$517)+MIN($D$509:$D$517))/2)</f>
        <v>0</v>
      </c>
      <c r="AV517">
        <f>IF(COUNT($E$2:$E517)&lt;26,"",(MAX($C$492:$C$517)+MIN($D$492:$D$517))/2)</f>
        <v>0</v>
      </c>
      <c r="AW517">
        <f>IF(OR(AU517="",AV517=""),"",(AU517+AV517)/2)</f>
        <v>0</v>
      </c>
      <c r="AX517">
        <f>IF(COUNT($E$2:$E517)&lt;52,"",(MAX($C$466:$C$517)+MIN($D$466:$D$517))/2)</f>
        <v>0</v>
      </c>
      <c r="AY517">
        <f>IF(COUNT($E$2:$E517)&lt;20,"",MAX($C$418:$C$517))</f>
        <v>0</v>
      </c>
      <c r="AZ517">
        <f>IF(COUNT($E$2:$E517)&lt;20,"",MIN($D$418:$D$517))</f>
        <v>0</v>
      </c>
      <c r="BA517">
        <f>IF(COUNT($E$2:$E517)&lt;20,"",SLOPE($E$418:$E$517,$F$418:$F$517))</f>
        <v>0</v>
      </c>
      <c r="BB517">
        <f>IF(COUNT($E$2:$E517)&lt;20,"",INTERCEPT($E$418:$E$517,$F$418:$F$517))</f>
        <v>0</v>
      </c>
      <c r="BC517">
        <f>IF(OR(BA517="",BB517=""),"",BB517+BA517*F517)</f>
        <v>0</v>
      </c>
      <c r="BD517">
        <f>IF(COUNT($E$2:$E517)&lt;20,"",STEYX($E$418:$E$517,$F$418:$F$517))</f>
        <v>0</v>
      </c>
      <c r="BE517">
        <f>IF($E517="","",IF(AND(COUNT($E$518:$E$521)&gt;=4,$C517=MAX($C$513:$C$521)),$C517,""))</f>
        <v>0</v>
      </c>
      <c r="BF517">
        <f>IF($E517="","",IF(AND(COUNT($E$518:$E$521)&gt;=4,$D517=MIN($D$513:$D$521)),$D517,""))</f>
        <v>0</v>
      </c>
      <c r="BG517">
        <f>IF($A517="","",$A517-WEEKDAY($A517,2)+1)</f>
        <v>0</v>
      </c>
      <c r="BH517">
        <f>IF($A517="","",IF($A516="",1,IF(BG517&lt;&gt;BG516,1,0)))</f>
        <v>0</v>
      </c>
      <c r="BI517">
        <f>IF($A517="","",IF($A518="",1,IF(BG518&lt;&gt;BG517,1,0)))</f>
        <v>0</v>
      </c>
      <c r="BJ517">
        <f>IF($A517="","",IF(BH517=1,$B517,BJ516))</f>
        <v>0</v>
      </c>
      <c r="BK517">
        <f>IF($A517="","",IF(BH517=1,$C517,MAX($C517,BK516)))</f>
        <v>0</v>
      </c>
      <c r="BL517">
        <f>IF($A517="","",IF(BH517=1,$D517,MIN($D517,BL516)))</f>
        <v>0</v>
      </c>
      <c r="BM517">
        <f>IF($A517="","",IF(BI517=1,F517,""))</f>
        <v>0</v>
      </c>
      <c r="BN517">
        <f>IF($A517="","",DATE(YEAR($A517),MONTH($A517),1))</f>
        <v>0</v>
      </c>
      <c r="BO517">
        <f>IF($A517="","",IF($A516="",1,IF(BN517&lt;&gt;BN516,1,0)))</f>
        <v>0</v>
      </c>
      <c r="BP517">
        <f>IF($A517="","",IF($A518="",1,IF(BN518&lt;&gt;BN517,1,0)))</f>
        <v>0</v>
      </c>
      <c r="BQ517">
        <f>IF($A517="","",IF(BO517=1,$B517,BQ516))</f>
        <v>0</v>
      </c>
      <c r="BR517">
        <f>IF($A517="","",IF(BO517=1,$C517,MAX($C517,BR516)))</f>
        <v>0</v>
      </c>
      <c r="BS517">
        <f>IF($A517="","",IF(BO517=1,$D517,MIN($D517,BS516)))</f>
        <v>0</v>
      </c>
      <c r="BT517">
        <f>IF($A517="","",IF(BP517=1,F517,""))</f>
        <v>0</v>
      </c>
    </row>
    <row r="518" spans="1:72">
      <c r="A518" s="27">
        <f>IF(Data!$A518="","",Data!$A518)</f>
        <v>0</v>
      </c>
      <c r="B518">
        <f>IF(Data!$B518="","",Data!$B518)</f>
        <v>0</v>
      </c>
      <c r="C518">
        <f>IF(Data!$C518="","",Data!$C518)</f>
        <v>0</v>
      </c>
      <c r="D518">
        <f>IF(Data!$D518="","",Data!$D518)</f>
        <v>0</v>
      </c>
      <c r="E518">
        <f>IF(Data!$E518="","",Data!$E518)</f>
        <v>0</v>
      </c>
      <c r="F518">
        <f>IF($E518="","",N(F517)+1)</f>
        <v>0</v>
      </c>
      <c r="G518">
        <f>IF(OR($E518="",$E517=""),"",LN($E518/$E517))</f>
        <v>0</v>
      </c>
      <c r="H518">
        <f>IF($E518="","",IF($E517="",$E518,$E518*0.0952380952+H517*0.9047619048))</f>
        <v>0</v>
      </c>
      <c r="I518">
        <f>IF($E518="","",IF($E517="",$E518,$E518*0.0392156863+I517*0.9607843137))</f>
        <v>0</v>
      </c>
      <c r="J518">
        <f>IF($E518="","",IF($E517="",$E518,$E518*0.0198019802+J517*0.9801980198))</f>
        <v>0</v>
      </c>
      <c r="K518">
        <f>IF($E518="","",IF($E517="",$E518,$E518*0.0099502488+K517*0.9900497512))</f>
        <v>0</v>
      </c>
      <c r="L518">
        <f>IF(OR($E518="",$E517=""),"",MAX($E518-$E517,0))</f>
        <v>0</v>
      </c>
      <c r="M518">
        <f>IF(OR($E518="",$E517=""),"",MAX($E517-$E518,0))</f>
        <v>0</v>
      </c>
      <c r="N518">
        <f>IF(COUNT($E$2:$E518)&lt;15,"",IF(AVERAGE($M$505:$M$518)=0,100,100-100/(1+AVERAGE($L$505:$L$518)/AVERAGE($M$505:$M$518))))</f>
        <v>0</v>
      </c>
      <c r="O518">
        <f>IF($E518="","",IF($E517="",$E518,$E518*0.1538461538+O517*0.8461538462))</f>
        <v>0</v>
      </c>
      <c r="P518">
        <f>IF($E518="","",IF($E517="",$E518,$E518*0.0740740741+P517*0.9259259259))</f>
        <v>0</v>
      </c>
      <c r="Q518">
        <f>IF(OR(O518="",P518=""),"",O518-P518)</f>
        <v>0</v>
      </c>
      <c r="R518">
        <f>IF(Q518="","",IF(R517="",Q518,Q518*0.2000000000+R517*0.8000000000))</f>
        <v>0</v>
      </c>
      <c r="S518">
        <f>IF(OR(Q518="",R518=""),"",Q518-R518)</f>
        <v>0</v>
      </c>
      <c r="T518">
        <f>IF(COUNT($E$2:$E518)&lt;14,"",MAX($C$505:$C$518))</f>
        <v>0</v>
      </c>
      <c r="U518">
        <f>IF(COUNT($E$2:$E518)&lt;14,"",MIN($D$505:$D$518))</f>
        <v>0</v>
      </c>
      <c r="V518">
        <f>IF(OR(T518="",U518="",T518=U518),"",100*($E518-U518)/(T518-U518))</f>
        <v>0</v>
      </c>
      <c r="W518">
        <f>IF(COUNT($V$516:$V$518)&lt;3,"",AVERAGE($V$516:$V$518))</f>
        <v>0</v>
      </c>
      <c r="X518">
        <f>IF(COUNT($N$505:$N$518)&lt;14,"",MIN($N$505:$N$518))</f>
        <v>0</v>
      </c>
      <c r="Y518">
        <f>IF(COUNT($N$505:$N$518)&lt;14,"",MAX($N$505:$N$518))</f>
        <v>0</v>
      </c>
      <c r="Z518">
        <f>IF(OR(N518="",X518="",Y518="",Y518=X518),"",100*(N518-X518)/(Y518-X518))</f>
        <v>0</v>
      </c>
      <c r="AA518">
        <f>IF(COUNT($Z$516:$Z$518)&lt;3,"",AVERAGE($Z$516:$Z$518))</f>
        <v>0</v>
      </c>
      <c r="AB518">
        <f>IF(COUNT($AA$516:$AA$518)&lt;3,"",AVERAGE($AA$516:$AA$518))</f>
        <v>0</v>
      </c>
      <c r="AC518">
        <f>IF($E518="","",MAX($C518-$D518,ABS($C518-$E517),ABS($D518-$E517)))</f>
        <v>0</v>
      </c>
      <c r="AD518">
        <f>IF(COUNT($E$2:$E518)&lt;15,"",AVERAGE($AC$505:$AC$518))</f>
        <v>0</v>
      </c>
      <c r="AE518">
        <f>IF(OR($E518="",$E517=""),"",IF(AND(($C518-$C517)&gt;($D517-$D518),($C518-$C517)&gt;0),$C518-$C517,0))</f>
        <v>0</v>
      </c>
      <c r="AF518">
        <f>IF(OR($E518="",$E517=""),"",IF(AND(($D517-$D518)&gt;($C518-$C517),($D517-$D518)&gt;0),$D517-$D518,0))</f>
        <v>0</v>
      </c>
      <c r="AG518">
        <f>IF(COUNT($E$2:$E518)&lt;15,"",IF(SUM($AC$505:$AC$518)=0,0,100*SUM($AE$505:$AE$518)/SUM($AC$505:$AC$518)))</f>
        <v>0</v>
      </c>
      <c r="AH518">
        <f>IF(COUNT($E$2:$E518)&lt;15,"",IF(SUM($AC$505:$AC$518)=0,0,100*SUM($AF$505:$AF$518)/SUM($AC$505:$AC$518)))</f>
        <v>0</v>
      </c>
      <c r="AI518">
        <f>IF(OR(AG518="",AH518=""),"",IF((AG518+AH518)=0,0,100*ABS(AG518-AH518)/(AG518+AH518)))</f>
        <v>0</v>
      </c>
      <c r="AJ518">
        <f>IF(COUNT($AI$505:$AI$518)&lt;14,"",AVERAGE($AI$505:$AI$518))</f>
        <v>0</v>
      </c>
      <c r="AK518">
        <f>IF(COUNT($E$2:$E518)&lt;20,"",AVERAGE($E$499:$E$518))</f>
        <v>0</v>
      </c>
      <c r="AL518">
        <f>IF(COUNT($E$2:$E518)&lt;20,"",STDEVP($E$499:$E$518))</f>
        <v>0</v>
      </c>
      <c r="AM518">
        <f>IF(AK518="","",AK518+2*AL518)</f>
        <v>0</v>
      </c>
      <c r="AN518">
        <f>IF(AK518="","",AK518-2*AL518)</f>
        <v>0</v>
      </c>
      <c r="AO518">
        <f>IF(OR(AM518="",AN518="",AM518=AN518),"",($E518-AN518)/(AM518-AN518))</f>
        <v>0</v>
      </c>
      <c r="AP518">
        <f>IF(OR(AM518="",AK518="",AK518=0),"",(AM518-AN518)/AK518)</f>
        <v>0</v>
      </c>
      <c r="AQ518">
        <f>IF(COUNT($E$2:$E518)&lt;20,"",MAX($C$499:$C$518))</f>
        <v>0</v>
      </c>
      <c r="AR518">
        <f>IF(COUNT($E$2:$E518)&lt;20,"",MIN($D$499:$D$518))</f>
        <v>0</v>
      </c>
      <c r="AS518">
        <f>IF(OR(AQ518="",AR518=""),"",(AQ518+AR518)/2)</f>
        <v>0</v>
      </c>
      <c r="AT518">
        <f>IF(COUNT($G$499:$G$518)&lt;20,"",STDEV($G$499:$G$518)*SQRT(252))</f>
        <v>0</v>
      </c>
      <c r="AU518">
        <f>IF(COUNT($E$2:$E518)&lt;9,"",(MAX($C$510:$C$518)+MIN($D$510:$D$518))/2)</f>
        <v>0</v>
      </c>
      <c r="AV518">
        <f>IF(COUNT($E$2:$E518)&lt;26,"",(MAX($C$493:$C$518)+MIN($D$493:$D$518))/2)</f>
        <v>0</v>
      </c>
      <c r="AW518">
        <f>IF(OR(AU518="",AV518=""),"",(AU518+AV518)/2)</f>
        <v>0</v>
      </c>
      <c r="AX518">
        <f>IF(COUNT($E$2:$E518)&lt;52,"",(MAX($C$467:$C$518)+MIN($D$467:$D$518))/2)</f>
        <v>0</v>
      </c>
      <c r="AY518">
        <f>IF(COUNT($E$2:$E518)&lt;20,"",MAX($C$419:$C$518))</f>
        <v>0</v>
      </c>
      <c r="AZ518">
        <f>IF(COUNT($E$2:$E518)&lt;20,"",MIN($D$419:$D$518))</f>
        <v>0</v>
      </c>
      <c r="BA518">
        <f>IF(COUNT($E$2:$E518)&lt;20,"",SLOPE($E$419:$E$518,$F$419:$F$518))</f>
        <v>0</v>
      </c>
      <c r="BB518">
        <f>IF(COUNT($E$2:$E518)&lt;20,"",INTERCEPT($E$419:$E$518,$F$419:$F$518))</f>
        <v>0</v>
      </c>
      <c r="BC518">
        <f>IF(OR(BA518="",BB518=""),"",BB518+BA518*F518)</f>
        <v>0</v>
      </c>
      <c r="BD518">
        <f>IF(COUNT($E$2:$E518)&lt;20,"",STEYX($E$419:$E$518,$F$419:$F$518))</f>
        <v>0</v>
      </c>
      <c r="BE518">
        <f>IF($E518="","",IF(AND(COUNT($E$519:$E$522)&gt;=4,$C518=MAX($C$514:$C$522)),$C518,""))</f>
        <v>0</v>
      </c>
      <c r="BF518">
        <f>IF($E518="","",IF(AND(COUNT($E$519:$E$522)&gt;=4,$D518=MIN($D$514:$D$522)),$D518,""))</f>
        <v>0</v>
      </c>
      <c r="BG518">
        <f>IF($A518="","",$A518-WEEKDAY($A518,2)+1)</f>
        <v>0</v>
      </c>
      <c r="BH518">
        <f>IF($A518="","",IF($A517="",1,IF(BG518&lt;&gt;BG517,1,0)))</f>
        <v>0</v>
      </c>
      <c r="BI518">
        <f>IF($A518="","",IF($A519="",1,IF(BG519&lt;&gt;BG518,1,0)))</f>
        <v>0</v>
      </c>
      <c r="BJ518">
        <f>IF($A518="","",IF(BH518=1,$B518,BJ517))</f>
        <v>0</v>
      </c>
      <c r="BK518">
        <f>IF($A518="","",IF(BH518=1,$C518,MAX($C518,BK517)))</f>
        <v>0</v>
      </c>
      <c r="BL518">
        <f>IF($A518="","",IF(BH518=1,$D518,MIN($D518,BL517)))</f>
        <v>0</v>
      </c>
      <c r="BM518">
        <f>IF($A518="","",IF(BI518=1,F518,""))</f>
        <v>0</v>
      </c>
      <c r="BN518">
        <f>IF($A518="","",DATE(YEAR($A518),MONTH($A518),1))</f>
        <v>0</v>
      </c>
      <c r="BO518">
        <f>IF($A518="","",IF($A517="",1,IF(BN518&lt;&gt;BN517,1,0)))</f>
        <v>0</v>
      </c>
      <c r="BP518">
        <f>IF($A518="","",IF($A519="",1,IF(BN519&lt;&gt;BN518,1,0)))</f>
        <v>0</v>
      </c>
      <c r="BQ518">
        <f>IF($A518="","",IF(BO518=1,$B518,BQ517))</f>
        <v>0</v>
      </c>
      <c r="BR518">
        <f>IF($A518="","",IF(BO518=1,$C518,MAX($C518,BR517)))</f>
        <v>0</v>
      </c>
      <c r="BS518">
        <f>IF($A518="","",IF(BO518=1,$D518,MIN($D518,BS517)))</f>
        <v>0</v>
      </c>
      <c r="BT518">
        <f>IF($A518="","",IF(BP518=1,F518,""))</f>
        <v>0</v>
      </c>
    </row>
    <row r="519" spans="1:72">
      <c r="A519" s="27">
        <f>IF(Data!$A519="","",Data!$A519)</f>
        <v>0</v>
      </c>
      <c r="B519">
        <f>IF(Data!$B519="","",Data!$B519)</f>
        <v>0</v>
      </c>
      <c r="C519">
        <f>IF(Data!$C519="","",Data!$C519)</f>
        <v>0</v>
      </c>
      <c r="D519">
        <f>IF(Data!$D519="","",Data!$D519)</f>
        <v>0</v>
      </c>
      <c r="E519">
        <f>IF(Data!$E519="","",Data!$E519)</f>
        <v>0</v>
      </c>
      <c r="F519">
        <f>IF($E519="","",N(F518)+1)</f>
        <v>0</v>
      </c>
      <c r="G519">
        <f>IF(OR($E519="",$E518=""),"",LN($E519/$E518))</f>
        <v>0</v>
      </c>
      <c r="H519">
        <f>IF($E519="","",IF($E518="",$E519,$E519*0.0952380952+H518*0.9047619048))</f>
        <v>0</v>
      </c>
      <c r="I519">
        <f>IF($E519="","",IF($E518="",$E519,$E519*0.0392156863+I518*0.9607843137))</f>
        <v>0</v>
      </c>
      <c r="J519">
        <f>IF($E519="","",IF($E518="",$E519,$E519*0.0198019802+J518*0.9801980198))</f>
        <v>0</v>
      </c>
      <c r="K519">
        <f>IF($E519="","",IF($E518="",$E519,$E519*0.0099502488+K518*0.9900497512))</f>
        <v>0</v>
      </c>
      <c r="L519">
        <f>IF(OR($E519="",$E518=""),"",MAX($E519-$E518,0))</f>
        <v>0</v>
      </c>
      <c r="M519">
        <f>IF(OR($E519="",$E518=""),"",MAX($E518-$E519,0))</f>
        <v>0</v>
      </c>
      <c r="N519">
        <f>IF(COUNT($E$2:$E519)&lt;15,"",IF(AVERAGE($M$506:$M$519)=0,100,100-100/(1+AVERAGE($L$506:$L$519)/AVERAGE($M$506:$M$519))))</f>
        <v>0</v>
      </c>
      <c r="O519">
        <f>IF($E519="","",IF($E518="",$E519,$E519*0.1538461538+O518*0.8461538462))</f>
        <v>0</v>
      </c>
      <c r="P519">
        <f>IF($E519="","",IF($E518="",$E519,$E519*0.0740740741+P518*0.9259259259))</f>
        <v>0</v>
      </c>
      <c r="Q519">
        <f>IF(OR(O519="",P519=""),"",O519-P519)</f>
        <v>0</v>
      </c>
      <c r="R519">
        <f>IF(Q519="","",IF(R518="",Q519,Q519*0.2000000000+R518*0.8000000000))</f>
        <v>0</v>
      </c>
      <c r="S519">
        <f>IF(OR(Q519="",R519=""),"",Q519-R519)</f>
        <v>0</v>
      </c>
      <c r="T519">
        <f>IF(COUNT($E$2:$E519)&lt;14,"",MAX($C$506:$C$519))</f>
        <v>0</v>
      </c>
      <c r="U519">
        <f>IF(COUNT($E$2:$E519)&lt;14,"",MIN($D$506:$D$519))</f>
        <v>0</v>
      </c>
      <c r="V519">
        <f>IF(OR(T519="",U519="",T519=U519),"",100*($E519-U519)/(T519-U519))</f>
        <v>0</v>
      </c>
      <c r="W519">
        <f>IF(COUNT($V$517:$V$519)&lt;3,"",AVERAGE($V$517:$V$519))</f>
        <v>0</v>
      </c>
      <c r="X519">
        <f>IF(COUNT($N$506:$N$519)&lt;14,"",MIN($N$506:$N$519))</f>
        <v>0</v>
      </c>
      <c r="Y519">
        <f>IF(COUNT($N$506:$N$519)&lt;14,"",MAX($N$506:$N$519))</f>
        <v>0</v>
      </c>
      <c r="Z519">
        <f>IF(OR(N519="",X519="",Y519="",Y519=X519),"",100*(N519-X519)/(Y519-X519))</f>
        <v>0</v>
      </c>
      <c r="AA519">
        <f>IF(COUNT($Z$517:$Z$519)&lt;3,"",AVERAGE($Z$517:$Z$519))</f>
        <v>0</v>
      </c>
      <c r="AB519">
        <f>IF(COUNT($AA$517:$AA$519)&lt;3,"",AVERAGE($AA$517:$AA$519))</f>
        <v>0</v>
      </c>
      <c r="AC519">
        <f>IF($E519="","",MAX($C519-$D519,ABS($C519-$E518),ABS($D519-$E518)))</f>
        <v>0</v>
      </c>
      <c r="AD519">
        <f>IF(COUNT($E$2:$E519)&lt;15,"",AVERAGE($AC$506:$AC$519))</f>
        <v>0</v>
      </c>
      <c r="AE519">
        <f>IF(OR($E519="",$E518=""),"",IF(AND(($C519-$C518)&gt;($D518-$D519),($C519-$C518)&gt;0),$C519-$C518,0))</f>
        <v>0</v>
      </c>
      <c r="AF519">
        <f>IF(OR($E519="",$E518=""),"",IF(AND(($D518-$D519)&gt;($C519-$C518),($D518-$D519)&gt;0),$D518-$D519,0))</f>
        <v>0</v>
      </c>
      <c r="AG519">
        <f>IF(COUNT($E$2:$E519)&lt;15,"",IF(SUM($AC$506:$AC$519)=0,0,100*SUM($AE$506:$AE$519)/SUM($AC$506:$AC$519)))</f>
        <v>0</v>
      </c>
      <c r="AH519">
        <f>IF(COUNT($E$2:$E519)&lt;15,"",IF(SUM($AC$506:$AC$519)=0,0,100*SUM($AF$506:$AF$519)/SUM($AC$506:$AC$519)))</f>
        <v>0</v>
      </c>
      <c r="AI519">
        <f>IF(OR(AG519="",AH519=""),"",IF((AG519+AH519)=0,0,100*ABS(AG519-AH519)/(AG519+AH519)))</f>
        <v>0</v>
      </c>
      <c r="AJ519">
        <f>IF(COUNT($AI$506:$AI$519)&lt;14,"",AVERAGE($AI$506:$AI$519))</f>
        <v>0</v>
      </c>
      <c r="AK519">
        <f>IF(COUNT($E$2:$E519)&lt;20,"",AVERAGE($E$500:$E$519))</f>
        <v>0</v>
      </c>
      <c r="AL519">
        <f>IF(COUNT($E$2:$E519)&lt;20,"",STDEVP($E$500:$E$519))</f>
        <v>0</v>
      </c>
      <c r="AM519">
        <f>IF(AK519="","",AK519+2*AL519)</f>
        <v>0</v>
      </c>
      <c r="AN519">
        <f>IF(AK519="","",AK519-2*AL519)</f>
        <v>0</v>
      </c>
      <c r="AO519">
        <f>IF(OR(AM519="",AN519="",AM519=AN519),"",($E519-AN519)/(AM519-AN519))</f>
        <v>0</v>
      </c>
      <c r="AP519">
        <f>IF(OR(AM519="",AK519="",AK519=0),"",(AM519-AN519)/AK519)</f>
        <v>0</v>
      </c>
      <c r="AQ519">
        <f>IF(COUNT($E$2:$E519)&lt;20,"",MAX($C$500:$C$519))</f>
        <v>0</v>
      </c>
      <c r="AR519">
        <f>IF(COUNT($E$2:$E519)&lt;20,"",MIN($D$500:$D$519))</f>
        <v>0</v>
      </c>
      <c r="AS519">
        <f>IF(OR(AQ519="",AR519=""),"",(AQ519+AR519)/2)</f>
        <v>0</v>
      </c>
      <c r="AT519">
        <f>IF(COUNT($G$500:$G$519)&lt;20,"",STDEV($G$500:$G$519)*SQRT(252))</f>
        <v>0</v>
      </c>
      <c r="AU519">
        <f>IF(COUNT($E$2:$E519)&lt;9,"",(MAX($C$511:$C$519)+MIN($D$511:$D$519))/2)</f>
        <v>0</v>
      </c>
      <c r="AV519">
        <f>IF(COUNT($E$2:$E519)&lt;26,"",(MAX($C$494:$C$519)+MIN($D$494:$D$519))/2)</f>
        <v>0</v>
      </c>
      <c r="AW519">
        <f>IF(OR(AU519="",AV519=""),"",(AU519+AV519)/2)</f>
        <v>0</v>
      </c>
      <c r="AX519">
        <f>IF(COUNT($E$2:$E519)&lt;52,"",(MAX($C$468:$C$519)+MIN($D$468:$D$519))/2)</f>
        <v>0</v>
      </c>
      <c r="AY519">
        <f>IF(COUNT($E$2:$E519)&lt;20,"",MAX($C$420:$C$519))</f>
        <v>0</v>
      </c>
      <c r="AZ519">
        <f>IF(COUNT($E$2:$E519)&lt;20,"",MIN($D$420:$D$519))</f>
        <v>0</v>
      </c>
      <c r="BA519">
        <f>IF(COUNT($E$2:$E519)&lt;20,"",SLOPE($E$420:$E$519,$F$420:$F$519))</f>
        <v>0</v>
      </c>
      <c r="BB519">
        <f>IF(COUNT($E$2:$E519)&lt;20,"",INTERCEPT($E$420:$E$519,$F$420:$F$519))</f>
        <v>0</v>
      </c>
      <c r="BC519">
        <f>IF(OR(BA519="",BB519=""),"",BB519+BA519*F519)</f>
        <v>0</v>
      </c>
      <c r="BD519">
        <f>IF(COUNT($E$2:$E519)&lt;20,"",STEYX($E$420:$E$519,$F$420:$F$519))</f>
        <v>0</v>
      </c>
      <c r="BE519">
        <f>IF($E519="","",IF(AND(COUNT($E$520:$E$523)&gt;=4,$C519=MAX($C$515:$C$523)),$C519,""))</f>
        <v>0</v>
      </c>
      <c r="BF519">
        <f>IF($E519="","",IF(AND(COUNT($E$520:$E$523)&gt;=4,$D519=MIN($D$515:$D$523)),$D519,""))</f>
        <v>0</v>
      </c>
      <c r="BG519">
        <f>IF($A519="","",$A519-WEEKDAY($A519,2)+1)</f>
        <v>0</v>
      </c>
      <c r="BH519">
        <f>IF($A519="","",IF($A518="",1,IF(BG519&lt;&gt;BG518,1,0)))</f>
        <v>0</v>
      </c>
      <c r="BI519">
        <f>IF($A519="","",IF($A520="",1,IF(BG520&lt;&gt;BG519,1,0)))</f>
        <v>0</v>
      </c>
      <c r="BJ519">
        <f>IF($A519="","",IF(BH519=1,$B519,BJ518))</f>
        <v>0</v>
      </c>
      <c r="BK519">
        <f>IF($A519="","",IF(BH519=1,$C519,MAX($C519,BK518)))</f>
        <v>0</v>
      </c>
      <c r="BL519">
        <f>IF($A519="","",IF(BH519=1,$D519,MIN($D519,BL518)))</f>
        <v>0</v>
      </c>
      <c r="BM519">
        <f>IF($A519="","",IF(BI519=1,F519,""))</f>
        <v>0</v>
      </c>
      <c r="BN519">
        <f>IF($A519="","",DATE(YEAR($A519),MONTH($A519),1))</f>
        <v>0</v>
      </c>
      <c r="BO519">
        <f>IF($A519="","",IF($A518="",1,IF(BN519&lt;&gt;BN518,1,0)))</f>
        <v>0</v>
      </c>
      <c r="BP519">
        <f>IF($A519="","",IF($A520="",1,IF(BN520&lt;&gt;BN519,1,0)))</f>
        <v>0</v>
      </c>
      <c r="BQ519">
        <f>IF($A519="","",IF(BO519=1,$B519,BQ518))</f>
        <v>0</v>
      </c>
      <c r="BR519">
        <f>IF($A519="","",IF(BO519=1,$C519,MAX($C519,BR518)))</f>
        <v>0</v>
      </c>
      <c r="BS519">
        <f>IF($A519="","",IF(BO519=1,$D519,MIN($D519,BS518)))</f>
        <v>0</v>
      </c>
      <c r="BT519">
        <f>IF($A519="","",IF(BP519=1,F519,""))</f>
        <v>0</v>
      </c>
    </row>
    <row r="520" spans="1:72">
      <c r="A520" s="27">
        <f>IF(Data!$A520="","",Data!$A520)</f>
        <v>0</v>
      </c>
      <c r="B520">
        <f>IF(Data!$B520="","",Data!$B520)</f>
        <v>0</v>
      </c>
      <c r="C520">
        <f>IF(Data!$C520="","",Data!$C520)</f>
        <v>0</v>
      </c>
      <c r="D520">
        <f>IF(Data!$D520="","",Data!$D520)</f>
        <v>0</v>
      </c>
      <c r="E520">
        <f>IF(Data!$E520="","",Data!$E520)</f>
        <v>0</v>
      </c>
      <c r="F520">
        <f>IF($E520="","",N(F519)+1)</f>
        <v>0</v>
      </c>
      <c r="G520">
        <f>IF(OR($E520="",$E519=""),"",LN($E520/$E519))</f>
        <v>0</v>
      </c>
      <c r="H520">
        <f>IF($E520="","",IF($E519="",$E520,$E520*0.0952380952+H519*0.9047619048))</f>
        <v>0</v>
      </c>
      <c r="I520">
        <f>IF($E520="","",IF($E519="",$E520,$E520*0.0392156863+I519*0.9607843137))</f>
        <v>0</v>
      </c>
      <c r="J520">
        <f>IF($E520="","",IF($E519="",$E520,$E520*0.0198019802+J519*0.9801980198))</f>
        <v>0</v>
      </c>
      <c r="K520">
        <f>IF($E520="","",IF($E519="",$E520,$E520*0.0099502488+K519*0.9900497512))</f>
        <v>0</v>
      </c>
      <c r="L520">
        <f>IF(OR($E520="",$E519=""),"",MAX($E520-$E519,0))</f>
        <v>0</v>
      </c>
      <c r="M520">
        <f>IF(OR($E520="",$E519=""),"",MAX($E519-$E520,0))</f>
        <v>0</v>
      </c>
      <c r="N520">
        <f>IF(COUNT($E$2:$E520)&lt;15,"",IF(AVERAGE($M$507:$M$520)=0,100,100-100/(1+AVERAGE($L$507:$L$520)/AVERAGE($M$507:$M$520))))</f>
        <v>0</v>
      </c>
      <c r="O520">
        <f>IF($E520="","",IF($E519="",$E520,$E520*0.1538461538+O519*0.8461538462))</f>
        <v>0</v>
      </c>
      <c r="P520">
        <f>IF($E520="","",IF($E519="",$E520,$E520*0.0740740741+P519*0.9259259259))</f>
        <v>0</v>
      </c>
      <c r="Q520">
        <f>IF(OR(O520="",P520=""),"",O520-P520)</f>
        <v>0</v>
      </c>
      <c r="R520">
        <f>IF(Q520="","",IF(R519="",Q520,Q520*0.2000000000+R519*0.8000000000))</f>
        <v>0</v>
      </c>
      <c r="S520">
        <f>IF(OR(Q520="",R520=""),"",Q520-R520)</f>
        <v>0</v>
      </c>
      <c r="T520">
        <f>IF(COUNT($E$2:$E520)&lt;14,"",MAX($C$507:$C$520))</f>
        <v>0</v>
      </c>
      <c r="U520">
        <f>IF(COUNT($E$2:$E520)&lt;14,"",MIN($D$507:$D$520))</f>
        <v>0</v>
      </c>
      <c r="V520">
        <f>IF(OR(T520="",U520="",T520=U520),"",100*($E520-U520)/(T520-U520))</f>
        <v>0</v>
      </c>
      <c r="W520">
        <f>IF(COUNT($V$518:$V$520)&lt;3,"",AVERAGE($V$518:$V$520))</f>
        <v>0</v>
      </c>
      <c r="X520">
        <f>IF(COUNT($N$507:$N$520)&lt;14,"",MIN($N$507:$N$520))</f>
        <v>0</v>
      </c>
      <c r="Y520">
        <f>IF(COUNT($N$507:$N$520)&lt;14,"",MAX($N$507:$N$520))</f>
        <v>0</v>
      </c>
      <c r="Z520">
        <f>IF(OR(N520="",X520="",Y520="",Y520=X520),"",100*(N520-X520)/(Y520-X520))</f>
        <v>0</v>
      </c>
      <c r="AA520">
        <f>IF(COUNT($Z$518:$Z$520)&lt;3,"",AVERAGE($Z$518:$Z$520))</f>
        <v>0</v>
      </c>
      <c r="AB520">
        <f>IF(COUNT($AA$518:$AA$520)&lt;3,"",AVERAGE($AA$518:$AA$520))</f>
        <v>0</v>
      </c>
      <c r="AC520">
        <f>IF($E520="","",MAX($C520-$D520,ABS($C520-$E519),ABS($D520-$E519)))</f>
        <v>0</v>
      </c>
      <c r="AD520">
        <f>IF(COUNT($E$2:$E520)&lt;15,"",AVERAGE($AC$507:$AC$520))</f>
        <v>0</v>
      </c>
      <c r="AE520">
        <f>IF(OR($E520="",$E519=""),"",IF(AND(($C520-$C519)&gt;($D519-$D520),($C520-$C519)&gt;0),$C520-$C519,0))</f>
        <v>0</v>
      </c>
      <c r="AF520">
        <f>IF(OR($E520="",$E519=""),"",IF(AND(($D519-$D520)&gt;($C520-$C519),($D519-$D520)&gt;0),$D519-$D520,0))</f>
        <v>0</v>
      </c>
      <c r="AG520">
        <f>IF(COUNT($E$2:$E520)&lt;15,"",IF(SUM($AC$507:$AC$520)=0,0,100*SUM($AE$507:$AE$520)/SUM($AC$507:$AC$520)))</f>
        <v>0</v>
      </c>
      <c r="AH520">
        <f>IF(COUNT($E$2:$E520)&lt;15,"",IF(SUM($AC$507:$AC$520)=0,0,100*SUM($AF$507:$AF$520)/SUM($AC$507:$AC$520)))</f>
        <v>0</v>
      </c>
      <c r="AI520">
        <f>IF(OR(AG520="",AH520=""),"",IF((AG520+AH520)=0,0,100*ABS(AG520-AH520)/(AG520+AH520)))</f>
        <v>0</v>
      </c>
      <c r="AJ520">
        <f>IF(COUNT($AI$507:$AI$520)&lt;14,"",AVERAGE($AI$507:$AI$520))</f>
        <v>0</v>
      </c>
      <c r="AK520">
        <f>IF(COUNT($E$2:$E520)&lt;20,"",AVERAGE($E$501:$E$520))</f>
        <v>0</v>
      </c>
      <c r="AL520">
        <f>IF(COUNT($E$2:$E520)&lt;20,"",STDEVP($E$501:$E$520))</f>
        <v>0</v>
      </c>
      <c r="AM520">
        <f>IF(AK520="","",AK520+2*AL520)</f>
        <v>0</v>
      </c>
      <c r="AN520">
        <f>IF(AK520="","",AK520-2*AL520)</f>
        <v>0</v>
      </c>
      <c r="AO520">
        <f>IF(OR(AM520="",AN520="",AM520=AN520),"",($E520-AN520)/(AM520-AN520))</f>
        <v>0</v>
      </c>
      <c r="AP520">
        <f>IF(OR(AM520="",AK520="",AK520=0),"",(AM520-AN520)/AK520)</f>
        <v>0</v>
      </c>
      <c r="AQ520">
        <f>IF(COUNT($E$2:$E520)&lt;20,"",MAX($C$501:$C$520))</f>
        <v>0</v>
      </c>
      <c r="AR520">
        <f>IF(COUNT($E$2:$E520)&lt;20,"",MIN($D$501:$D$520))</f>
        <v>0</v>
      </c>
      <c r="AS520">
        <f>IF(OR(AQ520="",AR520=""),"",(AQ520+AR520)/2)</f>
        <v>0</v>
      </c>
      <c r="AT520">
        <f>IF(COUNT($G$501:$G$520)&lt;20,"",STDEV($G$501:$G$520)*SQRT(252))</f>
        <v>0</v>
      </c>
      <c r="AU520">
        <f>IF(COUNT($E$2:$E520)&lt;9,"",(MAX($C$512:$C$520)+MIN($D$512:$D$520))/2)</f>
        <v>0</v>
      </c>
      <c r="AV520">
        <f>IF(COUNT($E$2:$E520)&lt;26,"",(MAX($C$495:$C$520)+MIN($D$495:$D$520))/2)</f>
        <v>0</v>
      </c>
      <c r="AW520">
        <f>IF(OR(AU520="",AV520=""),"",(AU520+AV520)/2)</f>
        <v>0</v>
      </c>
      <c r="AX520">
        <f>IF(COUNT($E$2:$E520)&lt;52,"",(MAX($C$469:$C$520)+MIN($D$469:$D$520))/2)</f>
        <v>0</v>
      </c>
      <c r="AY520">
        <f>IF(COUNT($E$2:$E520)&lt;20,"",MAX($C$421:$C$520))</f>
        <v>0</v>
      </c>
      <c r="AZ520">
        <f>IF(COUNT($E$2:$E520)&lt;20,"",MIN($D$421:$D$520))</f>
        <v>0</v>
      </c>
      <c r="BA520">
        <f>IF(COUNT($E$2:$E520)&lt;20,"",SLOPE($E$421:$E$520,$F$421:$F$520))</f>
        <v>0</v>
      </c>
      <c r="BB520">
        <f>IF(COUNT($E$2:$E520)&lt;20,"",INTERCEPT($E$421:$E$520,$F$421:$F$520))</f>
        <v>0</v>
      </c>
      <c r="BC520">
        <f>IF(OR(BA520="",BB520=""),"",BB520+BA520*F520)</f>
        <v>0</v>
      </c>
      <c r="BD520">
        <f>IF(COUNT($E$2:$E520)&lt;20,"",STEYX($E$421:$E$520,$F$421:$F$520))</f>
        <v>0</v>
      </c>
      <c r="BE520">
        <f>IF($E520="","",IF(AND(COUNT($E$521:$E$524)&gt;=4,$C520=MAX($C$516:$C$524)),$C520,""))</f>
        <v>0</v>
      </c>
      <c r="BF520">
        <f>IF($E520="","",IF(AND(COUNT($E$521:$E$524)&gt;=4,$D520=MIN($D$516:$D$524)),$D520,""))</f>
        <v>0</v>
      </c>
      <c r="BG520">
        <f>IF($A520="","",$A520-WEEKDAY($A520,2)+1)</f>
        <v>0</v>
      </c>
      <c r="BH520">
        <f>IF($A520="","",IF($A519="",1,IF(BG520&lt;&gt;BG519,1,0)))</f>
        <v>0</v>
      </c>
      <c r="BI520">
        <f>IF($A520="","",IF($A521="",1,IF(BG521&lt;&gt;BG520,1,0)))</f>
        <v>0</v>
      </c>
      <c r="BJ520">
        <f>IF($A520="","",IF(BH520=1,$B520,BJ519))</f>
        <v>0</v>
      </c>
      <c r="BK520">
        <f>IF($A520="","",IF(BH520=1,$C520,MAX($C520,BK519)))</f>
        <v>0</v>
      </c>
      <c r="BL520">
        <f>IF($A520="","",IF(BH520=1,$D520,MIN($D520,BL519)))</f>
        <v>0</v>
      </c>
      <c r="BM520">
        <f>IF($A520="","",IF(BI520=1,F520,""))</f>
        <v>0</v>
      </c>
      <c r="BN520">
        <f>IF($A520="","",DATE(YEAR($A520),MONTH($A520),1))</f>
        <v>0</v>
      </c>
      <c r="BO520">
        <f>IF($A520="","",IF($A519="",1,IF(BN520&lt;&gt;BN519,1,0)))</f>
        <v>0</v>
      </c>
      <c r="BP520">
        <f>IF($A520="","",IF($A521="",1,IF(BN521&lt;&gt;BN520,1,0)))</f>
        <v>0</v>
      </c>
      <c r="BQ520">
        <f>IF($A520="","",IF(BO520=1,$B520,BQ519))</f>
        <v>0</v>
      </c>
      <c r="BR520">
        <f>IF($A520="","",IF(BO520=1,$C520,MAX($C520,BR519)))</f>
        <v>0</v>
      </c>
      <c r="BS520">
        <f>IF($A520="","",IF(BO520=1,$D520,MIN($D520,BS519)))</f>
        <v>0</v>
      </c>
      <c r="BT520">
        <f>IF($A520="","",IF(BP520=1,F520,""))</f>
        <v>0</v>
      </c>
    </row>
    <row r="521" spans="1:72">
      <c r="A521" s="27">
        <f>IF(Data!$A521="","",Data!$A521)</f>
        <v>0</v>
      </c>
      <c r="B521">
        <f>IF(Data!$B521="","",Data!$B521)</f>
        <v>0</v>
      </c>
      <c r="C521">
        <f>IF(Data!$C521="","",Data!$C521)</f>
        <v>0</v>
      </c>
      <c r="D521">
        <f>IF(Data!$D521="","",Data!$D521)</f>
        <v>0</v>
      </c>
      <c r="E521">
        <f>IF(Data!$E521="","",Data!$E521)</f>
        <v>0</v>
      </c>
      <c r="F521">
        <f>IF($E521="","",N(F520)+1)</f>
        <v>0</v>
      </c>
      <c r="G521">
        <f>IF(OR($E521="",$E520=""),"",LN($E521/$E520))</f>
        <v>0</v>
      </c>
      <c r="H521">
        <f>IF($E521="","",IF($E520="",$E521,$E521*0.0952380952+H520*0.9047619048))</f>
        <v>0</v>
      </c>
      <c r="I521">
        <f>IF($E521="","",IF($E520="",$E521,$E521*0.0392156863+I520*0.9607843137))</f>
        <v>0</v>
      </c>
      <c r="J521">
        <f>IF($E521="","",IF($E520="",$E521,$E521*0.0198019802+J520*0.9801980198))</f>
        <v>0</v>
      </c>
      <c r="K521">
        <f>IF($E521="","",IF($E520="",$E521,$E521*0.0099502488+K520*0.9900497512))</f>
        <v>0</v>
      </c>
      <c r="L521">
        <f>IF(OR($E521="",$E520=""),"",MAX($E521-$E520,0))</f>
        <v>0</v>
      </c>
      <c r="M521">
        <f>IF(OR($E521="",$E520=""),"",MAX($E520-$E521,0))</f>
        <v>0</v>
      </c>
      <c r="N521">
        <f>IF(COUNT($E$2:$E521)&lt;15,"",IF(AVERAGE($M$508:$M$521)=0,100,100-100/(1+AVERAGE($L$508:$L$521)/AVERAGE($M$508:$M$521))))</f>
        <v>0</v>
      </c>
      <c r="O521">
        <f>IF($E521="","",IF($E520="",$E521,$E521*0.1538461538+O520*0.8461538462))</f>
        <v>0</v>
      </c>
      <c r="P521">
        <f>IF($E521="","",IF($E520="",$E521,$E521*0.0740740741+P520*0.9259259259))</f>
        <v>0</v>
      </c>
      <c r="Q521">
        <f>IF(OR(O521="",P521=""),"",O521-P521)</f>
        <v>0</v>
      </c>
      <c r="R521">
        <f>IF(Q521="","",IF(R520="",Q521,Q521*0.2000000000+R520*0.8000000000))</f>
        <v>0</v>
      </c>
      <c r="S521">
        <f>IF(OR(Q521="",R521=""),"",Q521-R521)</f>
        <v>0</v>
      </c>
      <c r="T521">
        <f>IF(COUNT($E$2:$E521)&lt;14,"",MAX($C$508:$C$521))</f>
        <v>0</v>
      </c>
      <c r="U521">
        <f>IF(COUNT($E$2:$E521)&lt;14,"",MIN($D$508:$D$521))</f>
        <v>0</v>
      </c>
      <c r="V521">
        <f>IF(OR(T521="",U521="",T521=U521),"",100*($E521-U521)/(T521-U521))</f>
        <v>0</v>
      </c>
      <c r="W521">
        <f>IF(COUNT($V$519:$V$521)&lt;3,"",AVERAGE($V$519:$V$521))</f>
        <v>0</v>
      </c>
      <c r="X521">
        <f>IF(COUNT($N$508:$N$521)&lt;14,"",MIN($N$508:$N$521))</f>
        <v>0</v>
      </c>
      <c r="Y521">
        <f>IF(COUNT($N$508:$N$521)&lt;14,"",MAX($N$508:$N$521))</f>
        <v>0</v>
      </c>
      <c r="Z521">
        <f>IF(OR(N521="",X521="",Y521="",Y521=X521),"",100*(N521-X521)/(Y521-X521))</f>
        <v>0</v>
      </c>
      <c r="AA521">
        <f>IF(COUNT($Z$519:$Z$521)&lt;3,"",AVERAGE($Z$519:$Z$521))</f>
        <v>0</v>
      </c>
      <c r="AB521">
        <f>IF(COUNT($AA$519:$AA$521)&lt;3,"",AVERAGE($AA$519:$AA$521))</f>
        <v>0</v>
      </c>
      <c r="AC521">
        <f>IF($E521="","",MAX($C521-$D521,ABS($C521-$E520),ABS($D521-$E520)))</f>
        <v>0</v>
      </c>
      <c r="AD521">
        <f>IF(COUNT($E$2:$E521)&lt;15,"",AVERAGE($AC$508:$AC$521))</f>
        <v>0</v>
      </c>
      <c r="AE521">
        <f>IF(OR($E521="",$E520=""),"",IF(AND(($C521-$C520)&gt;($D520-$D521),($C521-$C520)&gt;0),$C521-$C520,0))</f>
        <v>0</v>
      </c>
      <c r="AF521">
        <f>IF(OR($E521="",$E520=""),"",IF(AND(($D520-$D521)&gt;($C521-$C520),($D520-$D521)&gt;0),$D520-$D521,0))</f>
        <v>0</v>
      </c>
      <c r="AG521">
        <f>IF(COUNT($E$2:$E521)&lt;15,"",IF(SUM($AC$508:$AC$521)=0,0,100*SUM($AE$508:$AE$521)/SUM($AC$508:$AC$521)))</f>
        <v>0</v>
      </c>
      <c r="AH521">
        <f>IF(COUNT($E$2:$E521)&lt;15,"",IF(SUM($AC$508:$AC$521)=0,0,100*SUM($AF$508:$AF$521)/SUM($AC$508:$AC$521)))</f>
        <v>0</v>
      </c>
      <c r="AI521">
        <f>IF(OR(AG521="",AH521=""),"",IF((AG521+AH521)=0,0,100*ABS(AG521-AH521)/(AG521+AH521)))</f>
        <v>0</v>
      </c>
      <c r="AJ521">
        <f>IF(COUNT($AI$508:$AI$521)&lt;14,"",AVERAGE($AI$508:$AI$521))</f>
        <v>0</v>
      </c>
      <c r="AK521">
        <f>IF(COUNT($E$2:$E521)&lt;20,"",AVERAGE($E$502:$E$521))</f>
        <v>0</v>
      </c>
      <c r="AL521">
        <f>IF(COUNT($E$2:$E521)&lt;20,"",STDEVP($E$502:$E$521))</f>
        <v>0</v>
      </c>
      <c r="AM521">
        <f>IF(AK521="","",AK521+2*AL521)</f>
        <v>0</v>
      </c>
      <c r="AN521">
        <f>IF(AK521="","",AK521-2*AL521)</f>
        <v>0</v>
      </c>
      <c r="AO521">
        <f>IF(OR(AM521="",AN521="",AM521=AN521),"",($E521-AN521)/(AM521-AN521))</f>
        <v>0</v>
      </c>
      <c r="AP521">
        <f>IF(OR(AM521="",AK521="",AK521=0),"",(AM521-AN521)/AK521)</f>
        <v>0</v>
      </c>
      <c r="AQ521">
        <f>IF(COUNT($E$2:$E521)&lt;20,"",MAX($C$502:$C$521))</f>
        <v>0</v>
      </c>
      <c r="AR521">
        <f>IF(COUNT($E$2:$E521)&lt;20,"",MIN($D$502:$D$521))</f>
        <v>0</v>
      </c>
      <c r="AS521">
        <f>IF(OR(AQ521="",AR521=""),"",(AQ521+AR521)/2)</f>
        <v>0</v>
      </c>
      <c r="AT521">
        <f>IF(COUNT($G$502:$G$521)&lt;20,"",STDEV($G$502:$G$521)*SQRT(252))</f>
        <v>0</v>
      </c>
      <c r="AU521">
        <f>IF(COUNT($E$2:$E521)&lt;9,"",(MAX($C$513:$C$521)+MIN($D$513:$D$521))/2)</f>
        <v>0</v>
      </c>
      <c r="AV521">
        <f>IF(COUNT($E$2:$E521)&lt;26,"",(MAX($C$496:$C$521)+MIN($D$496:$D$521))/2)</f>
        <v>0</v>
      </c>
      <c r="AW521">
        <f>IF(OR(AU521="",AV521=""),"",(AU521+AV521)/2)</f>
        <v>0</v>
      </c>
      <c r="AX521">
        <f>IF(COUNT($E$2:$E521)&lt;52,"",(MAX($C$470:$C$521)+MIN($D$470:$D$521))/2)</f>
        <v>0</v>
      </c>
      <c r="AY521">
        <f>IF(COUNT($E$2:$E521)&lt;20,"",MAX($C$422:$C$521))</f>
        <v>0</v>
      </c>
      <c r="AZ521">
        <f>IF(COUNT($E$2:$E521)&lt;20,"",MIN($D$422:$D$521))</f>
        <v>0</v>
      </c>
      <c r="BA521">
        <f>IF(COUNT($E$2:$E521)&lt;20,"",SLOPE($E$422:$E$521,$F$422:$F$521))</f>
        <v>0</v>
      </c>
      <c r="BB521">
        <f>IF(COUNT($E$2:$E521)&lt;20,"",INTERCEPT($E$422:$E$521,$F$422:$F$521))</f>
        <v>0</v>
      </c>
      <c r="BC521">
        <f>IF(OR(BA521="",BB521=""),"",BB521+BA521*F521)</f>
        <v>0</v>
      </c>
      <c r="BD521">
        <f>IF(COUNT($E$2:$E521)&lt;20,"",STEYX($E$422:$E$521,$F$422:$F$521))</f>
        <v>0</v>
      </c>
      <c r="BE521">
        <f>IF($E521="","",IF(AND(COUNT($E$522:$E$525)&gt;=4,$C521=MAX($C$517:$C$525)),$C521,""))</f>
        <v>0</v>
      </c>
      <c r="BF521">
        <f>IF($E521="","",IF(AND(COUNT($E$522:$E$525)&gt;=4,$D521=MIN($D$517:$D$525)),$D521,""))</f>
        <v>0</v>
      </c>
      <c r="BG521">
        <f>IF($A521="","",$A521-WEEKDAY($A521,2)+1)</f>
        <v>0</v>
      </c>
      <c r="BH521">
        <f>IF($A521="","",IF($A520="",1,IF(BG521&lt;&gt;BG520,1,0)))</f>
        <v>0</v>
      </c>
      <c r="BI521">
        <f>IF($A521="","",IF($A522="",1,IF(BG522&lt;&gt;BG521,1,0)))</f>
        <v>0</v>
      </c>
      <c r="BJ521">
        <f>IF($A521="","",IF(BH521=1,$B521,BJ520))</f>
        <v>0</v>
      </c>
      <c r="BK521">
        <f>IF($A521="","",IF(BH521=1,$C521,MAX($C521,BK520)))</f>
        <v>0</v>
      </c>
      <c r="BL521">
        <f>IF($A521="","",IF(BH521=1,$D521,MIN($D521,BL520)))</f>
        <v>0</v>
      </c>
      <c r="BM521">
        <f>IF($A521="","",IF(BI521=1,F521,""))</f>
        <v>0</v>
      </c>
      <c r="BN521">
        <f>IF($A521="","",DATE(YEAR($A521),MONTH($A521),1))</f>
        <v>0</v>
      </c>
      <c r="BO521">
        <f>IF($A521="","",IF($A520="",1,IF(BN521&lt;&gt;BN520,1,0)))</f>
        <v>0</v>
      </c>
      <c r="BP521">
        <f>IF($A521="","",IF($A522="",1,IF(BN522&lt;&gt;BN521,1,0)))</f>
        <v>0</v>
      </c>
      <c r="BQ521">
        <f>IF($A521="","",IF(BO521=1,$B521,BQ520))</f>
        <v>0</v>
      </c>
      <c r="BR521">
        <f>IF($A521="","",IF(BO521=1,$C521,MAX($C521,BR520)))</f>
        <v>0</v>
      </c>
      <c r="BS521">
        <f>IF($A521="","",IF(BO521=1,$D521,MIN($D521,BS520)))</f>
        <v>0</v>
      </c>
      <c r="BT521">
        <f>IF($A521="","",IF(BP521=1,F521,""))</f>
        <v>0</v>
      </c>
    </row>
    <row r="522" spans="1:72">
      <c r="A522" s="27">
        <f>IF(Data!$A522="","",Data!$A522)</f>
        <v>0</v>
      </c>
      <c r="B522">
        <f>IF(Data!$B522="","",Data!$B522)</f>
        <v>0</v>
      </c>
      <c r="C522">
        <f>IF(Data!$C522="","",Data!$C522)</f>
        <v>0</v>
      </c>
      <c r="D522">
        <f>IF(Data!$D522="","",Data!$D522)</f>
        <v>0</v>
      </c>
      <c r="E522">
        <f>IF(Data!$E522="","",Data!$E522)</f>
        <v>0</v>
      </c>
      <c r="F522">
        <f>IF($E522="","",N(F521)+1)</f>
        <v>0</v>
      </c>
      <c r="G522">
        <f>IF(OR($E522="",$E521=""),"",LN($E522/$E521))</f>
        <v>0</v>
      </c>
      <c r="H522">
        <f>IF($E522="","",IF($E521="",$E522,$E522*0.0952380952+H521*0.9047619048))</f>
        <v>0</v>
      </c>
      <c r="I522">
        <f>IF($E522="","",IF($E521="",$E522,$E522*0.0392156863+I521*0.9607843137))</f>
        <v>0</v>
      </c>
      <c r="J522">
        <f>IF($E522="","",IF($E521="",$E522,$E522*0.0198019802+J521*0.9801980198))</f>
        <v>0</v>
      </c>
      <c r="K522">
        <f>IF($E522="","",IF($E521="",$E522,$E522*0.0099502488+K521*0.9900497512))</f>
        <v>0</v>
      </c>
      <c r="L522">
        <f>IF(OR($E522="",$E521=""),"",MAX($E522-$E521,0))</f>
        <v>0</v>
      </c>
      <c r="M522">
        <f>IF(OR($E522="",$E521=""),"",MAX($E521-$E522,0))</f>
        <v>0</v>
      </c>
      <c r="N522">
        <f>IF(COUNT($E$2:$E522)&lt;15,"",IF(AVERAGE($M$509:$M$522)=0,100,100-100/(1+AVERAGE($L$509:$L$522)/AVERAGE($M$509:$M$522))))</f>
        <v>0</v>
      </c>
      <c r="O522">
        <f>IF($E522="","",IF($E521="",$E522,$E522*0.1538461538+O521*0.8461538462))</f>
        <v>0</v>
      </c>
      <c r="P522">
        <f>IF($E522="","",IF($E521="",$E522,$E522*0.0740740741+P521*0.9259259259))</f>
        <v>0</v>
      </c>
      <c r="Q522">
        <f>IF(OR(O522="",P522=""),"",O522-P522)</f>
        <v>0</v>
      </c>
      <c r="R522">
        <f>IF(Q522="","",IF(R521="",Q522,Q522*0.2000000000+R521*0.8000000000))</f>
        <v>0</v>
      </c>
      <c r="S522">
        <f>IF(OR(Q522="",R522=""),"",Q522-R522)</f>
        <v>0</v>
      </c>
      <c r="T522">
        <f>IF(COUNT($E$2:$E522)&lt;14,"",MAX($C$509:$C$522))</f>
        <v>0</v>
      </c>
      <c r="U522">
        <f>IF(COUNT($E$2:$E522)&lt;14,"",MIN($D$509:$D$522))</f>
        <v>0</v>
      </c>
      <c r="V522">
        <f>IF(OR(T522="",U522="",T522=U522),"",100*($E522-U522)/(T522-U522))</f>
        <v>0</v>
      </c>
      <c r="W522">
        <f>IF(COUNT($V$520:$V$522)&lt;3,"",AVERAGE($V$520:$V$522))</f>
        <v>0</v>
      </c>
      <c r="X522">
        <f>IF(COUNT($N$509:$N$522)&lt;14,"",MIN($N$509:$N$522))</f>
        <v>0</v>
      </c>
      <c r="Y522">
        <f>IF(COUNT($N$509:$N$522)&lt;14,"",MAX($N$509:$N$522))</f>
        <v>0</v>
      </c>
      <c r="Z522">
        <f>IF(OR(N522="",X522="",Y522="",Y522=X522),"",100*(N522-X522)/(Y522-X522))</f>
        <v>0</v>
      </c>
      <c r="AA522">
        <f>IF(COUNT($Z$520:$Z$522)&lt;3,"",AVERAGE($Z$520:$Z$522))</f>
        <v>0</v>
      </c>
      <c r="AB522">
        <f>IF(COUNT($AA$520:$AA$522)&lt;3,"",AVERAGE($AA$520:$AA$522))</f>
        <v>0</v>
      </c>
      <c r="AC522">
        <f>IF($E522="","",MAX($C522-$D522,ABS($C522-$E521),ABS($D522-$E521)))</f>
        <v>0</v>
      </c>
      <c r="AD522">
        <f>IF(COUNT($E$2:$E522)&lt;15,"",AVERAGE($AC$509:$AC$522))</f>
        <v>0</v>
      </c>
      <c r="AE522">
        <f>IF(OR($E522="",$E521=""),"",IF(AND(($C522-$C521)&gt;($D521-$D522),($C522-$C521)&gt;0),$C522-$C521,0))</f>
        <v>0</v>
      </c>
      <c r="AF522">
        <f>IF(OR($E522="",$E521=""),"",IF(AND(($D521-$D522)&gt;($C522-$C521),($D521-$D522)&gt;0),$D521-$D522,0))</f>
        <v>0</v>
      </c>
      <c r="AG522">
        <f>IF(COUNT($E$2:$E522)&lt;15,"",IF(SUM($AC$509:$AC$522)=0,0,100*SUM($AE$509:$AE$522)/SUM($AC$509:$AC$522)))</f>
        <v>0</v>
      </c>
      <c r="AH522">
        <f>IF(COUNT($E$2:$E522)&lt;15,"",IF(SUM($AC$509:$AC$522)=0,0,100*SUM($AF$509:$AF$522)/SUM($AC$509:$AC$522)))</f>
        <v>0</v>
      </c>
      <c r="AI522">
        <f>IF(OR(AG522="",AH522=""),"",IF((AG522+AH522)=0,0,100*ABS(AG522-AH522)/(AG522+AH522)))</f>
        <v>0</v>
      </c>
      <c r="AJ522">
        <f>IF(COUNT($AI$509:$AI$522)&lt;14,"",AVERAGE($AI$509:$AI$522))</f>
        <v>0</v>
      </c>
      <c r="AK522">
        <f>IF(COUNT($E$2:$E522)&lt;20,"",AVERAGE($E$503:$E$522))</f>
        <v>0</v>
      </c>
      <c r="AL522">
        <f>IF(COUNT($E$2:$E522)&lt;20,"",STDEVP($E$503:$E$522))</f>
        <v>0</v>
      </c>
      <c r="AM522">
        <f>IF(AK522="","",AK522+2*AL522)</f>
        <v>0</v>
      </c>
      <c r="AN522">
        <f>IF(AK522="","",AK522-2*AL522)</f>
        <v>0</v>
      </c>
      <c r="AO522">
        <f>IF(OR(AM522="",AN522="",AM522=AN522),"",($E522-AN522)/(AM522-AN522))</f>
        <v>0</v>
      </c>
      <c r="AP522">
        <f>IF(OR(AM522="",AK522="",AK522=0),"",(AM522-AN522)/AK522)</f>
        <v>0</v>
      </c>
      <c r="AQ522">
        <f>IF(COUNT($E$2:$E522)&lt;20,"",MAX($C$503:$C$522))</f>
        <v>0</v>
      </c>
      <c r="AR522">
        <f>IF(COUNT($E$2:$E522)&lt;20,"",MIN($D$503:$D$522))</f>
        <v>0</v>
      </c>
      <c r="AS522">
        <f>IF(OR(AQ522="",AR522=""),"",(AQ522+AR522)/2)</f>
        <v>0</v>
      </c>
      <c r="AT522">
        <f>IF(COUNT($G$503:$G$522)&lt;20,"",STDEV($G$503:$G$522)*SQRT(252))</f>
        <v>0</v>
      </c>
      <c r="AU522">
        <f>IF(COUNT($E$2:$E522)&lt;9,"",(MAX($C$514:$C$522)+MIN($D$514:$D$522))/2)</f>
        <v>0</v>
      </c>
      <c r="AV522">
        <f>IF(COUNT($E$2:$E522)&lt;26,"",(MAX($C$497:$C$522)+MIN($D$497:$D$522))/2)</f>
        <v>0</v>
      </c>
      <c r="AW522">
        <f>IF(OR(AU522="",AV522=""),"",(AU522+AV522)/2)</f>
        <v>0</v>
      </c>
      <c r="AX522">
        <f>IF(COUNT($E$2:$E522)&lt;52,"",(MAX($C$471:$C$522)+MIN($D$471:$D$522))/2)</f>
        <v>0</v>
      </c>
      <c r="AY522">
        <f>IF(COUNT($E$2:$E522)&lt;20,"",MAX($C$423:$C$522))</f>
        <v>0</v>
      </c>
      <c r="AZ522">
        <f>IF(COUNT($E$2:$E522)&lt;20,"",MIN($D$423:$D$522))</f>
        <v>0</v>
      </c>
      <c r="BA522">
        <f>IF(COUNT($E$2:$E522)&lt;20,"",SLOPE($E$423:$E$522,$F$423:$F$522))</f>
        <v>0</v>
      </c>
      <c r="BB522">
        <f>IF(COUNT($E$2:$E522)&lt;20,"",INTERCEPT($E$423:$E$522,$F$423:$F$522))</f>
        <v>0</v>
      </c>
      <c r="BC522">
        <f>IF(OR(BA522="",BB522=""),"",BB522+BA522*F522)</f>
        <v>0</v>
      </c>
      <c r="BD522">
        <f>IF(COUNT($E$2:$E522)&lt;20,"",STEYX($E$423:$E$522,$F$423:$F$522))</f>
        <v>0</v>
      </c>
      <c r="BE522">
        <f>IF($E522="","",IF(AND(COUNT($E$523:$E$526)&gt;=4,$C522=MAX($C$518:$C$526)),$C522,""))</f>
        <v>0</v>
      </c>
      <c r="BF522">
        <f>IF($E522="","",IF(AND(COUNT($E$523:$E$526)&gt;=4,$D522=MIN($D$518:$D$526)),$D522,""))</f>
        <v>0</v>
      </c>
      <c r="BG522">
        <f>IF($A522="","",$A522-WEEKDAY($A522,2)+1)</f>
        <v>0</v>
      </c>
      <c r="BH522">
        <f>IF($A522="","",IF($A521="",1,IF(BG522&lt;&gt;BG521,1,0)))</f>
        <v>0</v>
      </c>
      <c r="BI522">
        <f>IF($A522="","",IF($A523="",1,IF(BG523&lt;&gt;BG522,1,0)))</f>
        <v>0</v>
      </c>
      <c r="BJ522">
        <f>IF($A522="","",IF(BH522=1,$B522,BJ521))</f>
        <v>0</v>
      </c>
      <c r="BK522">
        <f>IF($A522="","",IF(BH522=1,$C522,MAX($C522,BK521)))</f>
        <v>0</v>
      </c>
      <c r="BL522">
        <f>IF($A522="","",IF(BH522=1,$D522,MIN($D522,BL521)))</f>
        <v>0</v>
      </c>
      <c r="BM522">
        <f>IF($A522="","",IF(BI522=1,F522,""))</f>
        <v>0</v>
      </c>
      <c r="BN522">
        <f>IF($A522="","",DATE(YEAR($A522),MONTH($A522),1))</f>
        <v>0</v>
      </c>
      <c r="BO522">
        <f>IF($A522="","",IF($A521="",1,IF(BN522&lt;&gt;BN521,1,0)))</f>
        <v>0</v>
      </c>
      <c r="BP522">
        <f>IF($A522="","",IF($A523="",1,IF(BN523&lt;&gt;BN522,1,0)))</f>
        <v>0</v>
      </c>
      <c r="BQ522">
        <f>IF($A522="","",IF(BO522=1,$B522,BQ521))</f>
        <v>0</v>
      </c>
      <c r="BR522">
        <f>IF($A522="","",IF(BO522=1,$C522,MAX($C522,BR521)))</f>
        <v>0</v>
      </c>
      <c r="BS522">
        <f>IF($A522="","",IF(BO522=1,$D522,MIN($D522,BS521)))</f>
        <v>0</v>
      </c>
      <c r="BT522">
        <f>IF($A522="","",IF(BP522=1,F522,""))</f>
        <v>0</v>
      </c>
    </row>
    <row r="523" spans="1:72">
      <c r="A523" s="27">
        <f>IF(Data!$A523="","",Data!$A523)</f>
        <v>0</v>
      </c>
      <c r="B523">
        <f>IF(Data!$B523="","",Data!$B523)</f>
        <v>0</v>
      </c>
      <c r="C523">
        <f>IF(Data!$C523="","",Data!$C523)</f>
        <v>0</v>
      </c>
      <c r="D523">
        <f>IF(Data!$D523="","",Data!$D523)</f>
        <v>0</v>
      </c>
      <c r="E523">
        <f>IF(Data!$E523="","",Data!$E523)</f>
        <v>0</v>
      </c>
      <c r="F523">
        <f>IF($E523="","",N(F522)+1)</f>
        <v>0</v>
      </c>
      <c r="G523">
        <f>IF(OR($E523="",$E522=""),"",LN($E523/$E522))</f>
        <v>0</v>
      </c>
      <c r="H523">
        <f>IF($E523="","",IF($E522="",$E523,$E523*0.0952380952+H522*0.9047619048))</f>
        <v>0</v>
      </c>
      <c r="I523">
        <f>IF($E523="","",IF($E522="",$E523,$E523*0.0392156863+I522*0.9607843137))</f>
        <v>0</v>
      </c>
      <c r="J523">
        <f>IF($E523="","",IF($E522="",$E523,$E523*0.0198019802+J522*0.9801980198))</f>
        <v>0</v>
      </c>
      <c r="K523">
        <f>IF($E523="","",IF($E522="",$E523,$E523*0.0099502488+K522*0.9900497512))</f>
        <v>0</v>
      </c>
      <c r="L523">
        <f>IF(OR($E523="",$E522=""),"",MAX($E523-$E522,0))</f>
        <v>0</v>
      </c>
      <c r="M523">
        <f>IF(OR($E523="",$E522=""),"",MAX($E522-$E523,0))</f>
        <v>0</v>
      </c>
      <c r="N523">
        <f>IF(COUNT($E$2:$E523)&lt;15,"",IF(AVERAGE($M$510:$M$523)=0,100,100-100/(1+AVERAGE($L$510:$L$523)/AVERAGE($M$510:$M$523))))</f>
        <v>0</v>
      </c>
      <c r="O523">
        <f>IF($E523="","",IF($E522="",$E523,$E523*0.1538461538+O522*0.8461538462))</f>
        <v>0</v>
      </c>
      <c r="P523">
        <f>IF($E523="","",IF($E522="",$E523,$E523*0.0740740741+P522*0.9259259259))</f>
        <v>0</v>
      </c>
      <c r="Q523">
        <f>IF(OR(O523="",P523=""),"",O523-P523)</f>
        <v>0</v>
      </c>
      <c r="R523">
        <f>IF(Q523="","",IF(R522="",Q523,Q523*0.2000000000+R522*0.8000000000))</f>
        <v>0</v>
      </c>
      <c r="S523">
        <f>IF(OR(Q523="",R523=""),"",Q523-R523)</f>
        <v>0</v>
      </c>
      <c r="T523">
        <f>IF(COUNT($E$2:$E523)&lt;14,"",MAX($C$510:$C$523))</f>
        <v>0</v>
      </c>
      <c r="U523">
        <f>IF(COUNT($E$2:$E523)&lt;14,"",MIN($D$510:$D$523))</f>
        <v>0</v>
      </c>
      <c r="V523">
        <f>IF(OR(T523="",U523="",T523=U523),"",100*($E523-U523)/(T523-U523))</f>
        <v>0</v>
      </c>
      <c r="W523">
        <f>IF(COUNT($V$521:$V$523)&lt;3,"",AVERAGE($V$521:$V$523))</f>
        <v>0</v>
      </c>
      <c r="X523">
        <f>IF(COUNT($N$510:$N$523)&lt;14,"",MIN($N$510:$N$523))</f>
        <v>0</v>
      </c>
      <c r="Y523">
        <f>IF(COUNT($N$510:$N$523)&lt;14,"",MAX($N$510:$N$523))</f>
        <v>0</v>
      </c>
      <c r="Z523">
        <f>IF(OR(N523="",X523="",Y523="",Y523=X523),"",100*(N523-X523)/(Y523-X523))</f>
        <v>0</v>
      </c>
      <c r="AA523">
        <f>IF(COUNT($Z$521:$Z$523)&lt;3,"",AVERAGE($Z$521:$Z$523))</f>
        <v>0</v>
      </c>
      <c r="AB523">
        <f>IF(COUNT($AA$521:$AA$523)&lt;3,"",AVERAGE($AA$521:$AA$523))</f>
        <v>0</v>
      </c>
      <c r="AC523">
        <f>IF($E523="","",MAX($C523-$D523,ABS($C523-$E522),ABS($D523-$E522)))</f>
        <v>0</v>
      </c>
      <c r="AD523">
        <f>IF(COUNT($E$2:$E523)&lt;15,"",AVERAGE($AC$510:$AC$523))</f>
        <v>0</v>
      </c>
      <c r="AE523">
        <f>IF(OR($E523="",$E522=""),"",IF(AND(($C523-$C522)&gt;($D522-$D523),($C523-$C522)&gt;0),$C523-$C522,0))</f>
        <v>0</v>
      </c>
      <c r="AF523">
        <f>IF(OR($E523="",$E522=""),"",IF(AND(($D522-$D523)&gt;($C523-$C522),($D522-$D523)&gt;0),$D522-$D523,0))</f>
        <v>0</v>
      </c>
      <c r="AG523">
        <f>IF(COUNT($E$2:$E523)&lt;15,"",IF(SUM($AC$510:$AC$523)=0,0,100*SUM($AE$510:$AE$523)/SUM($AC$510:$AC$523)))</f>
        <v>0</v>
      </c>
      <c r="AH523">
        <f>IF(COUNT($E$2:$E523)&lt;15,"",IF(SUM($AC$510:$AC$523)=0,0,100*SUM($AF$510:$AF$523)/SUM($AC$510:$AC$523)))</f>
        <v>0</v>
      </c>
      <c r="AI523">
        <f>IF(OR(AG523="",AH523=""),"",IF((AG523+AH523)=0,0,100*ABS(AG523-AH523)/(AG523+AH523)))</f>
        <v>0</v>
      </c>
      <c r="AJ523">
        <f>IF(COUNT($AI$510:$AI$523)&lt;14,"",AVERAGE($AI$510:$AI$523))</f>
        <v>0</v>
      </c>
      <c r="AK523">
        <f>IF(COUNT($E$2:$E523)&lt;20,"",AVERAGE($E$504:$E$523))</f>
        <v>0</v>
      </c>
      <c r="AL523">
        <f>IF(COUNT($E$2:$E523)&lt;20,"",STDEVP($E$504:$E$523))</f>
        <v>0</v>
      </c>
      <c r="AM523">
        <f>IF(AK523="","",AK523+2*AL523)</f>
        <v>0</v>
      </c>
      <c r="AN523">
        <f>IF(AK523="","",AK523-2*AL523)</f>
        <v>0</v>
      </c>
      <c r="AO523">
        <f>IF(OR(AM523="",AN523="",AM523=AN523),"",($E523-AN523)/(AM523-AN523))</f>
        <v>0</v>
      </c>
      <c r="AP523">
        <f>IF(OR(AM523="",AK523="",AK523=0),"",(AM523-AN523)/AK523)</f>
        <v>0</v>
      </c>
      <c r="AQ523">
        <f>IF(COUNT($E$2:$E523)&lt;20,"",MAX($C$504:$C$523))</f>
        <v>0</v>
      </c>
      <c r="AR523">
        <f>IF(COUNT($E$2:$E523)&lt;20,"",MIN($D$504:$D$523))</f>
        <v>0</v>
      </c>
      <c r="AS523">
        <f>IF(OR(AQ523="",AR523=""),"",(AQ523+AR523)/2)</f>
        <v>0</v>
      </c>
      <c r="AT523">
        <f>IF(COUNT($G$504:$G$523)&lt;20,"",STDEV($G$504:$G$523)*SQRT(252))</f>
        <v>0</v>
      </c>
      <c r="AU523">
        <f>IF(COUNT($E$2:$E523)&lt;9,"",(MAX($C$515:$C$523)+MIN($D$515:$D$523))/2)</f>
        <v>0</v>
      </c>
      <c r="AV523">
        <f>IF(COUNT($E$2:$E523)&lt;26,"",(MAX($C$498:$C$523)+MIN($D$498:$D$523))/2)</f>
        <v>0</v>
      </c>
      <c r="AW523">
        <f>IF(OR(AU523="",AV523=""),"",(AU523+AV523)/2)</f>
        <v>0</v>
      </c>
      <c r="AX523">
        <f>IF(COUNT($E$2:$E523)&lt;52,"",(MAX($C$472:$C$523)+MIN($D$472:$D$523))/2)</f>
        <v>0</v>
      </c>
      <c r="AY523">
        <f>IF(COUNT($E$2:$E523)&lt;20,"",MAX($C$424:$C$523))</f>
        <v>0</v>
      </c>
      <c r="AZ523">
        <f>IF(COUNT($E$2:$E523)&lt;20,"",MIN($D$424:$D$523))</f>
        <v>0</v>
      </c>
      <c r="BA523">
        <f>IF(COUNT($E$2:$E523)&lt;20,"",SLOPE($E$424:$E$523,$F$424:$F$523))</f>
        <v>0</v>
      </c>
      <c r="BB523">
        <f>IF(COUNT($E$2:$E523)&lt;20,"",INTERCEPT($E$424:$E$523,$F$424:$F$523))</f>
        <v>0</v>
      </c>
      <c r="BC523">
        <f>IF(OR(BA523="",BB523=""),"",BB523+BA523*F523)</f>
        <v>0</v>
      </c>
      <c r="BD523">
        <f>IF(COUNT($E$2:$E523)&lt;20,"",STEYX($E$424:$E$523,$F$424:$F$523))</f>
        <v>0</v>
      </c>
      <c r="BE523">
        <f>IF($E523="","",IF(AND(COUNT($E$524:$E$527)&gt;=4,$C523=MAX($C$519:$C$527)),$C523,""))</f>
        <v>0</v>
      </c>
      <c r="BF523">
        <f>IF($E523="","",IF(AND(COUNT($E$524:$E$527)&gt;=4,$D523=MIN($D$519:$D$527)),$D523,""))</f>
        <v>0</v>
      </c>
      <c r="BG523">
        <f>IF($A523="","",$A523-WEEKDAY($A523,2)+1)</f>
        <v>0</v>
      </c>
      <c r="BH523">
        <f>IF($A523="","",IF($A522="",1,IF(BG523&lt;&gt;BG522,1,0)))</f>
        <v>0</v>
      </c>
      <c r="BI523">
        <f>IF($A523="","",IF($A524="",1,IF(BG524&lt;&gt;BG523,1,0)))</f>
        <v>0</v>
      </c>
      <c r="BJ523">
        <f>IF($A523="","",IF(BH523=1,$B523,BJ522))</f>
        <v>0</v>
      </c>
      <c r="BK523">
        <f>IF($A523="","",IF(BH523=1,$C523,MAX($C523,BK522)))</f>
        <v>0</v>
      </c>
      <c r="BL523">
        <f>IF($A523="","",IF(BH523=1,$D523,MIN($D523,BL522)))</f>
        <v>0</v>
      </c>
      <c r="BM523">
        <f>IF($A523="","",IF(BI523=1,F523,""))</f>
        <v>0</v>
      </c>
      <c r="BN523">
        <f>IF($A523="","",DATE(YEAR($A523),MONTH($A523),1))</f>
        <v>0</v>
      </c>
      <c r="BO523">
        <f>IF($A523="","",IF($A522="",1,IF(BN523&lt;&gt;BN522,1,0)))</f>
        <v>0</v>
      </c>
      <c r="BP523">
        <f>IF($A523="","",IF($A524="",1,IF(BN524&lt;&gt;BN523,1,0)))</f>
        <v>0</v>
      </c>
      <c r="BQ523">
        <f>IF($A523="","",IF(BO523=1,$B523,BQ522))</f>
        <v>0</v>
      </c>
      <c r="BR523">
        <f>IF($A523="","",IF(BO523=1,$C523,MAX($C523,BR522)))</f>
        <v>0</v>
      </c>
      <c r="BS523">
        <f>IF($A523="","",IF(BO523=1,$D523,MIN($D523,BS522)))</f>
        <v>0</v>
      </c>
      <c r="BT523">
        <f>IF($A523="","",IF(BP523=1,F523,""))</f>
        <v>0</v>
      </c>
    </row>
    <row r="524" spans="1:72">
      <c r="A524" s="27">
        <f>IF(Data!$A524="","",Data!$A524)</f>
        <v>0</v>
      </c>
      <c r="B524">
        <f>IF(Data!$B524="","",Data!$B524)</f>
        <v>0</v>
      </c>
      <c r="C524">
        <f>IF(Data!$C524="","",Data!$C524)</f>
        <v>0</v>
      </c>
      <c r="D524">
        <f>IF(Data!$D524="","",Data!$D524)</f>
        <v>0</v>
      </c>
      <c r="E524">
        <f>IF(Data!$E524="","",Data!$E524)</f>
        <v>0</v>
      </c>
      <c r="F524">
        <f>IF($E524="","",N(F523)+1)</f>
        <v>0</v>
      </c>
      <c r="G524">
        <f>IF(OR($E524="",$E523=""),"",LN($E524/$E523))</f>
        <v>0</v>
      </c>
      <c r="H524">
        <f>IF($E524="","",IF($E523="",$E524,$E524*0.0952380952+H523*0.9047619048))</f>
        <v>0</v>
      </c>
      <c r="I524">
        <f>IF($E524="","",IF($E523="",$E524,$E524*0.0392156863+I523*0.9607843137))</f>
        <v>0</v>
      </c>
      <c r="J524">
        <f>IF($E524="","",IF($E523="",$E524,$E524*0.0198019802+J523*0.9801980198))</f>
        <v>0</v>
      </c>
      <c r="K524">
        <f>IF($E524="","",IF($E523="",$E524,$E524*0.0099502488+K523*0.9900497512))</f>
        <v>0</v>
      </c>
      <c r="L524">
        <f>IF(OR($E524="",$E523=""),"",MAX($E524-$E523,0))</f>
        <v>0</v>
      </c>
      <c r="M524">
        <f>IF(OR($E524="",$E523=""),"",MAX($E523-$E524,0))</f>
        <v>0</v>
      </c>
      <c r="N524">
        <f>IF(COUNT($E$2:$E524)&lt;15,"",IF(AVERAGE($M$511:$M$524)=0,100,100-100/(1+AVERAGE($L$511:$L$524)/AVERAGE($M$511:$M$524))))</f>
        <v>0</v>
      </c>
      <c r="O524">
        <f>IF($E524="","",IF($E523="",$E524,$E524*0.1538461538+O523*0.8461538462))</f>
        <v>0</v>
      </c>
      <c r="P524">
        <f>IF($E524="","",IF($E523="",$E524,$E524*0.0740740741+P523*0.9259259259))</f>
        <v>0</v>
      </c>
      <c r="Q524">
        <f>IF(OR(O524="",P524=""),"",O524-P524)</f>
        <v>0</v>
      </c>
      <c r="R524">
        <f>IF(Q524="","",IF(R523="",Q524,Q524*0.2000000000+R523*0.8000000000))</f>
        <v>0</v>
      </c>
      <c r="S524">
        <f>IF(OR(Q524="",R524=""),"",Q524-R524)</f>
        <v>0</v>
      </c>
      <c r="T524">
        <f>IF(COUNT($E$2:$E524)&lt;14,"",MAX($C$511:$C$524))</f>
        <v>0</v>
      </c>
      <c r="U524">
        <f>IF(COUNT($E$2:$E524)&lt;14,"",MIN($D$511:$D$524))</f>
        <v>0</v>
      </c>
      <c r="V524">
        <f>IF(OR(T524="",U524="",T524=U524),"",100*($E524-U524)/(T524-U524))</f>
        <v>0</v>
      </c>
      <c r="W524">
        <f>IF(COUNT($V$522:$V$524)&lt;3,"",AVERAGE($V$522:$V$524))</f>
        <v>0</v>
      </c>
      <c r="X524">
        <f>IF(COUNT($N$511:$N$524)&lt;14,"",MIN($N$511:$N$524))</f>
        <v>0</v>
      </c>
      <c r="Y524">
        <f>IF(COUNT($N$511:$N$524)&lt;14,"",MAX($N$511:$N$524))</f>
        <v>0</v>
      </c>
      <c r="Z524">
        <f>IF(OR(N524="",X524="",Y524="",Y524=X524),"",100*(N524-X524)/(Y524-X524))</f>
        <v>0</v>
      </c>
      <c r="AA524">
        <f>IF(COUNT($Z$522:$Z$524)&lt;3,"",AVERAGE($Z$522:$Z$524))</f>
        <v>0</v>
      </c>
      <c r="AB524">
        <f>IF(COUNT($AA$522:$AA$524)&lt;3,"",AVERAGE($AA$522:$AA$524))</f>
        <v>0</v>
      </c>
      <c r="AC524">
        <f>IF($E524="","",MAX($C524-$D524,ABS($C524-$E523),ABS($D524-$E523)))</f>
        <v>0</v>
      </c>
      <c r="AD524">
        <f>IF(COUNT($E$2:$E524)&lt;15,"",AVERAGE($AC$511:$AC$524))</f>
        <v>0</v>
      </c>
      <c r="AE524">
        <f>IF(OR($E524="",$E523=""),"",IF(AND(($C524-$C523)&gt;($D523-$D524),($C524-$C523)&gt;0),$C524-$C523,0))</f>
        <v>0</v>
      </c>
      <c r="AF524">
        <f>IF(OR($E524="",$E523=""),"",IF(AND(($D523-$D524)&gt;($C524-$C523),($D523-$D524)&gt;0),$D523-$D524,0))</f>
        <v>0</v>
      </c>
      <c r="AG524">
        <f>IF(COUNT($E$2:$E524)&lt;15,"",IF(SUM($AC$511:$AC$524)=0,0,100*SUM($AE$511:$AE$524)/SUM($AC$511:$AC$524)))</f>
        <v>0</v>
      </c>
      <c r="AH524">
        <f>IF(COUNT($E$2:$E524)&lt;15,"",IF(SUM($AC$511:$AC$524)=0,0,100*SUM($AF$511:$AF$524)/SUM($AC$511:$AC$524)))</f>
        <v>0</v>
      </c>
      <c r="AI524">
        <f>IF(OR(AG524="",AH524=""),"",IF((AG524+AH524)=0,0,100*ABS(AG524-AH524)/(AG524+AH524)))</f>
        <v>0</v>
      </c>
      <c r="AJ524">
        <f>IF(COUNT($AI$511:$AI$524)&lt;14,"",AVERAGE($AI$511:$AI$524))</f>
        <v>0</v>
      </c>
      <c r="AK524">
        <f>IF(COUNT($E$2:$E524)&lt;20,"",AVERAGE($E$505:$E$524))</f>
        <v>0</v>
      </c>
      <c r="AL524">
        <f>IF(COUNT($E$2:$E524)&lt;20,"",STDEVP($E$505:$E$524))</f>
        <v>0</v>
      </c>
      <c r="AM524">
        <f>IF(AK524="","",AK524+2*AL524)</f>
        <v>0</v>
      </c>
      <c r="AN524">
        <f>IF(AK524="","",AK524-2*AL524)</f>
        <v>0</v>
      </c>
      <c r="AO524">
        <f>IF(OR(AM524="",AN524="",AM524=AN524),"",($E524-AN524)/(AM524-AN524))</f>
        <v>0</v>
      </c>
      <c r="AP524">
        <f>IF(OR(AM524="",AK524="",AK524=0),"",(AM524-AN524)/AK524)</f>
        <v>0</v>
      </c>
      <c r="AQ524">
        <f>IF(COUNT($E$2:$E524)&lt;20,"",MAX($C$505:$C$524))</f>
        <v>0</v>
      </c>
      <c r="AR524">
        <f>IF(COUNT($E$2:$E524)&lt;20,"",MIN($D$505:$D$524))</f>
        <v>0</v>
      </c>
      <c r="AS524">
        <f>IF(OR(AQ524="",AR524=""),"",(AQ524+AR524)/2)</f>
        <v>0</v>
      </c>
      <c r="AT524">
        <f>IF(COUNT($G$505:$G$524)&lt;20,"",STDEV($G$505:$G$524)*SQRT(252))</f>
        <v>0</v>
      </c>
      <c r="AU524">
        <f>IF(COUNT($E$2:$E524)&lt;9,"",(MAX($C$516:$C$524)+MIN($D$516:$D$524))/2)</f>
        <v>0</v>
      </c>
      <c r="AV524">
        <f>IF(COUNT($E$2:$E524)&lt;26,"",(MAX($C$499:$C$524)+MIN($D$499:$D$524))/2)</f>
        <v>0</v>
      </c>
      <c r="AW524">
        <f>IF(OR(AU524="",AV524=""),"",(AU524+AV524)/2)</f>
        <v>0</v>
      </c>
      <c r="AX524">
        <f>IF(COUNT($E$2:$E524)&lt;52,"",(MAX($C$473:$C$524)+MIN($D$473:$D$524))/2)</f>
        <v>0</v>
      </c>
      <c r="AY524">
        <f>IF(COUNT($E$2:$E524)&lt;20,"",MAX($C$425:$C$524))</f>
        <v>0</v>
      </c>
      <c r="AZ524">
        <f>IF(COUNT($E$2:$E524)&lt;20,"",MIN($D$425:$D$524))</f>
        <v>0</v>
      </c>
      <c r="BA524">
        <f>IF(COUNT($E$2:$E524)&lt;20,"",SLOPE($E$425:$E$524,$F$425:$F$524))</f>
        <v>0</v>
      </c>
      <c r="BB524">
        <f>IF(COUNT($E$2:$E524)&lt;20,"",INTERCEPT($E$425:$E$524,$F$425:$F$524))</f>
        <v>0</v>
      </c>
      <c r="BC524">
        <f>IF(OR(BA524="",BB524=""),"",BB524+BA524*F524)</f>
        <v>0</v>
      </c>
      <c r="BD524">
        <f>IF(COUNT($E$2:$E524)&lt;20,"",STEYX($E$425:$E$524,$F$425:$F$524))</f>
        <v>0</v>
      </c>
      <c r="BE524">
        <f>IF($E524="","",IF(AND(COUNT($E$525:$E$528)&gt;=4,$C524=MAX($C$520:$C$528)),$C524,""))</f>
        <v>0</v>
      </c>
      <c r="BF524">
        <f>IF($E524="","",IF(AND(COUNT($E$525:$E$528)&gt;=4,$D524=MIN($D$520:$D$528)),$D524,""))</f>
        <v>0</v>
      </c>
      <c r="BG524">
        <f>IF($A524="","",$A524-WEEKDAY($A524,2)+1)</f>
        <v>0</v>
      </c>
      <c r="BH524">
        <f>IF($A524="","",IF($A523="",1,IF(BG524&lt;&gt;BG523,1,0)))</f>
        <v>0</v>
      </c>
      <c r="BI524">
        <f>IF($A524="","",IF($A525="",1,IF(BG525&lt;&gt;BG524,1,0)))</f>
        <v>0</v>
      </c>
      <c r="BJ524">
        <f>IF($A524="","",IF(BH524=1,$B524,BJ523))</f>
        <v>0</v>
      </c>
      <c r="BK524">
        <f>IF($A524="","",IF(BH524=1,$C524,MAX($C524,BK523)))</f>
        <v>0</v>
      </c>
      <c r="BL524">
        <f>IF($A524="","",IF(BH524=1,$D524,MIN($D524,BL523)))</f>
        <v>0</v>
      </c>
      <c r="BM524">
        <f>IF($A524="","",IF(BI524=1,F524,""))</f>
        <v>0</v>
      </c>
      <c r="BN524">
        <f>IF($A524="","",DATE(YEAR($A524),MONTH($A524),1))</f>
        <v>0</v>
      </c>
      <c r="BO524">
        <f>IF($A524="","",IF($A523="",1,IF(BN524&lt;&gt;BN523,1,0)))</f>
        <v>0</v>
      </c>
      <c r="BP524">
        <f>IF($A524="","",IF($A525="",1,IF(BN525&lt;&gt;BN524,1,0)))</f>
        <v>0</v>
      </c>
      <c r="BQ524">
        <f>IF($A524="","",IF(BO524=1,$B524,BQ523))</f>
        <v>0</v>
      </c>
      <c r="BR524">
        <f>IF($A524="","",IF(BO524=1,$C524,MAX($C524,BR523)))</f>
        <v>0</v>
      </c>
      <c r="BS524">
        <f>IF($A524="","",IF(BO524=1,$D524,MIN($D524,BS523)))</f>
        <v>0</v>
      </c>
      <c r="BT524">
        <f>IF($A524="","",IF(BP524=1,F524,""))</f>
        <v>0</v>
      </c>
    </row>
    <row r="525" spans="1:72">
      <c r="A525" s="27">
        <f>IF(Data!$A525="","",Data!$A525)</f>
        <v>0</v>
      </c>
      <c r="B525">
        <f>IF(Data!$B525="","",Data!$B525)</f>
        <v>0</v>
      </c>
      <c r="C525">
        <f>IF(Data!$C525="","",Data!$C525)</f>
        <v>0</v>
      </c>
      <c r="D525">
        <f>IF(Data!$D525="","",Data!$D525)</f>
        <v>0</v>
      </c>
      <c r="E525">
        <f>IF(Data!$E525="","",Data!$E525)</f>
        <v>0</v>
      </c>
      <c r="F525">
        <f>IF($E525="","",N(F524)+1)</f>
        <v>0</v>
      </c>
      <c r="G525">
        <f>IF(OR($E525="",$E524=""),"",LN($E525/$E524))</f>
        <v>0</v>
      </c>
      <c r="H525">
        <f>IF($E525="","",IF($E524="",$E525,$E525*0.0952380952+H524*0.9047619048))</f>
        <v>0</v>
      </c>
      <c r="I525">
        <f>IF($E525="","",IF($E524="",$E525,$E525*0.0392156863+I524*0.9607843137))</f>
        <v>0</v>
      </c>
      <c r="J525">
        <f>IF($E525="","",IF($E524="",$E525,$E525*0.0198019802+J524*0.9801980198))</f>
        <v>0</v>
      </c>
      <c r="K525">
        <f>IF($E525="","",IF($E524="",$E525,$E525*0.0099502488+K524*0.9900497512))</f>
        <v>0</v>
      </c>
      <c r="L525">
        <f>IF(OR($E525="",$E524=""),"",MAX($E525-$E524,0))</f>
        <v>0</v>
      </c>
      <c r="M525">
        <f>IF(OR($E525="",$E524=""),"",MAX($E524-$E525,0))</f>
        <v>0</v>
      </c>
      <c r="N525">
        <f>IF(COUNT($E$2:$E525)&lt;15,"",IF(AVERAGE($M$512:$M$525)=0,100,100-100/(1+AVERAGE($L$512:$L$525)/AVERAGE($M$512:$M$525))))</f>
        <v>0</v>
      </c>
      <c r="O525">
        <f>IF($E525="","",IF($E524="",$E525,$E525*0.1538461538+O524*0.8461538462))</f>
        <v>0</v>
      </c>
      <c r="P525">
        <f>IF($E525="","",IF($E524="",$E525,$E525*0.0740740741+P524*0.9259259259))</f>
        <v>0</v>
      </c>
      <c r="Q525">
        <f>IF(OR(O525="",P525=""),"",O525-P525)</f>
        <v>0</v>
      </c>
      <c r="R525">
        <f>IF(Q525="","",IF(R524="",Q525,Q525*0.2000000000+R524*0.8000000000))</f>
        <v>0</v>
      </c>
      <c r="S525">
        <f>IF(OR(Q525="",R525=""),"",Q525-R525)</f>
        <v>0</v>
      </c>
      <c r="T525">
        <f>IF(COUNT($E$2:$E525)&lt;14,"",MAX($C$512:$C$525))</f>
        <v>0</v>
      </c>
      <c r="U525">
        <f>IF(COUNT($E$2:$E525)&lt;14,"",MIN($D$512:$D$525))</f>
        <v>0</v>
      </c>
      <c r="V525">
        <f>IF(OR(T525="",U525="",T525=U525),"",100*($E525-U525)/(T525-U525))</f>
        <v>0</v>
      </c>
      <c r="W525">
        <f>IF(COUNT($V$523:$V$525)&lt;3,"",AVERAGE($V$523:$V$525))</f>
        <v>0</v>
      </c>
      <c r="X525">
        <f>IF(COUNT($N$512:$N$525)&lt;14,"",MIN($N$512:$N$525))</f>
        <v>0</v>
      </c>
      <c r="Y525">
        <f>IF(COUNT($N$512:$N$525)&lt;14,"",MAX($N$512:$N$525))</f>
        <v>0</v>
      </c>
      <c r="Z525">
        <f>IF(OR(N525="",X525="",Y525="",Y525=X525),"",100*(N525-X525)/(Y525-X525))</f>
        <v>0</v>
      </c>
      <c r="AA525">
        <f>IF(COUNT($Z$523:$Z$525)&lt;3,"",AVERAGE($Z$523:$Z$525))</f>
        <v>0</v>
      </c>
      <c r="AB525">
        <f>IF(COUNT($AA$523:$AA$525)&lt;3,"",AVERAGE($AA$523:$AA$525))</f>
        <v>0</v>
      </c>
      <c r="AC525">
        <f>IF($E525="","",MAX($C525-$D525,ABS($C525-$E524),ABS($D525-$E524)))</f>
        <v>0</v>
      </c>
      <c r="AD525">
        <f>IF(COUNT($E$2:$E525)&lt;15,"",AVERAGE($AC$512:$AC$525))</f>
        <v>0</v>
      </c>
      <c r="AE525">
        <f>IF(OR($E525="",$E524=""),"",IF(AND(($C525-$C524)&gt;($D524-$D525),($C525-$C524)&gt;0),$C525-$C524,0))</f>
        <v>0</v>
      </c>
      <c r="AF525">
        <f>IF(OR($E525="",$E524=""),"",IF(AND(($D524-$D525)&gt;($C525-$C524),($D524-$D525)&gt;0),$D524-$D525,0))</f>
        <v>0</v>
      </c>
      <c r="AG525">
        <f>IF(COUNT($E$2:$E525)&lt;15,"",IF(SUM($AC$512:$AC$525)=0,0,100*SUM($AE$512:$AE$525)/SUM($AC$512:$AC$525)))</f>
        <v>0</v>
      </c>
      <c r="AH525">
        <f>IF(COUNT($E$2:$E525)&lt;15,"",IF(SUM($AC$512:$AC$525)=0,0,100*SUM($AF$512:$AF$525)/SUM($AC$512:$AC$525)))</f>
        <v>0</v>
      </c>
      <c r="AI525">
        <f>IF(OR(AG525="",AH525=""),"",IF((AG525+AH525)=0,0,100*ABS(AG525-AH525)/(AG525+AH525)))</f>
        <v>0</v>
      </c>
      <c r="AJ525">
        <f>IF(COUNT($AI$512:$AI$525)&lt;14,"",AVERAGE($AI$512:$AI$525))</f>
        <v>0</v>
      </c>
      <c r="AK525">
        <f>IF(COUNT($E$2:$E525)&lt;20,"",AVERAGE($E$506:$E$525))</f>
        <v>0</v>
      </c>
      <c r="AL525">
        <f>IF(COUNT($E$2:$E525)&lt;20,"",STDEVP($E$506:$E$525))</f>
        <v>0</v>
      </c>
      <c r="AM525">
        <f>IF(AK525="","",AK525+2*AL525)</f>
        <v>0</v>
      </c>
      <c r="AN525">
        <f>IF(AK525="","",AK525-2*AL525)</f>
        <v>0</v>
      </c>
      <c r="AO525">
        <f>IF(OR(AM525="",AN525="",AM525=AN525),"",($E525-AN525)/(AM525-AN525))</f>
        <v>0</v>
      </c>
      <c r="AP525">
        <f>IF(OR(AM525="",AK525="",AK525=0),"",(AM525-AN525)/AK525)</f>
        <v>0</v>
      </c>
      <c r="AQ525">
        <f>IF(COUNT($E$2:$E525)&lt;20,"",MAX($C$506:$C$525))</f>
        <v>0</v>
      </c>
      <c r="AR525">
        <f>IF(COUNT($E$2:$E525)&lt;20,"",MIN($D$506:$D$525))</f>
        <v>0</v>
      </c>
      <c r="AS525">
        <f>IF(OR(AQ525="",AR525=""),"",(AQ525+AR525)/2)</f>
        <v>0</v>
      </c>
      <c r="AT525">
        <f>IF(COUNT($G$506:$G$525)&lt;20,"",STDEV($G$506:$G$525)*SQRT(252))</f>
        <v>0</v>
      </c>
      <c r="AU525">
        <f>IF(COUNT($E$2:$E525)&lt;9,"",(MAX($C$517:$C$525)+MIN($D$517:$D$525))/2)</f>
        <v>0</v>
      </c>
      <c r="AV525">
        <f>IF(COUNT($E$2:$E525)&lt;26,"",(MAX($C$500:$C$525)+MIN($D$500:$D$525))/2)</f>
        <v>0</v>
      </c>
      <c r="AW525">
        <f>IF(OR(AU525="",AV525=""),"",(AU525+AV525)/2)</f>
        <v>0</v>
      </c>
      <c r="AX525">
        <f>IF(COUNT($E$2:$E525)&lt;52,"",(MAX($C$474:$C$525)+MIN($D$474:$D$525))/2)</f>
        <v>0</v>
      </c>
      <c r="AY525">
        <f>IF(COUNT($E$2:$E525)&lt;20,"",MAX($C$426:$C$525))</f>
        <v>0</v>
      </c>
      <c r="AZ525">
        <f>IF(COUNT($E$2:$E525)&lt;20,"",MIN($D$426:$D$525))</f>
        <v>0</v>
      </c>
      <c r="BA525">
        <f>IF(COUNT($E$2:$E525)&lt;20,"",SLOPE($E$426:$E$525,$F$426:$F$525))</f>
        <v>0</v>
      </c>
      <c r="BB525">
        <f>IF(COUNT($E$2:$E525)&lt;20,"",INTERCEPT($E$426:$E$525,$F$426:$F$525))</f>
        <v>0</v>
      </c>
      <c r="BC525">
        <f>IF(OR(BA525="",BB525=""),"",BB525+BA525*F525)</f>
        <v>0</v>
      </c>
      <c r="BD525">
        <f>IF(COUNT($E$2:$E525)&lt;20,"",STEYX($E$426:$E$525,$F$426:$F$525))</f>
        <v>0</v>
      </c>
      <c r="BE525">
        <f>IF($E525="","",IF(AND(COUNT($E$526:$E$529)&gt;=4,$C525=MAX($C$521:$C$529)),$C525,""))</f>
        <v>0</v>
      </c>
      <c r="BF525">
        <f>IF($E525="","",IF(AND(COUNT($E$526:$E$529)&gt;=4,$D525=MIN($D$521:$D$529)),$D525,""))</f>
        <v>0</v>
      </c>
      <c r="BG525">
        <f>IF($A525="","",$A525-WEEKDAY($A525,2)+1)</f>
        <v>0</v>
      </c>
      <c r="BH525">
        <f>IF($A525="","",IF($A524="",1,IF(BG525&lt;&gt;BG524,1,0)))</f>
        <v>0</v>
      </c>
      <c r="BI525">
        <f>IF($A525="","",IF($A526="",1,IF(BG526&lt;&gt;BG525,1,0)))</f>
        <v>0</v>
      </c>
      <c r="BJ525">
        <f>IF($A525="","",IF(BH525=1,$B525,BJ524))</f>
        <v>0</v>
      </c>
      <c r="BK525">
        <f>IF($A525="","",IF(BH525=1,$C525,MAX($C525,BK524)))</f>
        <v>0</v>
      </c>
      <c r="BL525">
        <f>IF($A525="","",IF(BH525=1,$D525,MIN($D525,BL524)))</f>
        <v>0</v>
      </c>
      <c r="BM525">
        <f>IF($A525="","",IF(BI525=1,F525,""))</f>
        <v>0</v>
      </c>
      <c r="BN525">
        <f>IF($A525="","",DATE(YEAR($A525),MONTH($A525),1))</f>
        <v>0</v>
      </c>
      <c r="BO525">
        <f>IF($A525="","",IF($A524="",1,IF(BN525&lt;&gt;BN524,1,0)))</f>
        <v>0</v>
      </c>
      <c r="BP525">
        <f>IF($A525="","",IF($A526="",1,IF(BN526&lt;&gt;BN525,1,0)))</f>
        <v>0</v>
      </c>
      <c r="BQ525">
        <f>IF($A525="","",IF(BO525=1,$B525,BQ524))</f>
        <v>0</v>
      </c>
      <c r="BR525">
        <f>IF($A525="","",IF(BO525=1,$C525,MAX($C525,BR524)))</f>
        <v>0</v>
      </c>
      <c r="BS525">
        <f>IF($A525="","",IF(BO525=1,$D525,MIN($D525,BS524)))</f>
        <v>0</v>
      </c>
      <c r="BT525">
        <f>IF($A525="","",IF(BP525=1,F525,""))</f>
        <v>0</v>
      </c>
    </row>
    <row r="526" spans="1:72">
      <c r="A526" s="27">
        <f>IF(Data!$A526="","",Data!$A526)</f>
        <v>0</v>
      </c>
      <c r="B526">
        <f>IF(Data!$B526="","",Data!$B526)</f>
        <v>0</v>
      </c>
      <c r="C526">
        <f>IF(Data!$C526="","",Data!$C526)</f>
        <v>0</v>
      </c>
      <c r="D526">
        <f>IF(Data!$D526="","",Data!$D526)</f>
        <v>0</v>
      </c>
      <c r="E526">
        <f>IF(Data!$E526="","",Data!$E526)</f>
        <v>0</v>
      </c>
      <c r="F526">
        <f>IF($E526="","",N(F525)+1)</f>
        <v>0</v>
      </c>
      <c r="G526">
        <f>IF(OR($E526="",$E525=""),"",LN($E526/$E525))</f>
        <v>0</v>
      </c>
      <c r="H526">
        <f>IF($E526="","",IF($E525="",$E526,$E526*0.0952380952+H525*0.9047619048))</f>
        <v>0</v>
      </c>
      <c r="I526">
        <f>IF($E526="","",IF($E525="",$E526,$E526*0.0392156863+I525*0.9607843137))</f>
        <v>0</v>
      </c>
      <c r="J526">
        <f>IF($E526="","",IF($E525="",$E526,$E526*0.0198019802+J525*0.9801980198))</f>
        <v>0</v>
      </c>
      <c r="K526">
        <f>IF($E526="","",IF($E525="",$E526,$E526*0.0099502488+K525*0.9900497512))</f>
        <v>0</v>
      </c>
      <c r="L526">
        <f>IF(OR($E526="",$E525=""),"",MAX($E526-$E525,0))</f>
        <v>0</v>
      </c>
      <c r="M526">
        <f>IF(OR($E526="",$E525=""),"",MAX($E525-$E526,0))</f>
        <v>0</v>
      </c>
      <c r="N526">
        <f>IF(COUNT($E$2:$E526)&lt;15,"",IF(AVERAGE($M$513:$M$526)=0,100,100-100/(1+AVERAGE($L$513:$L$526)/AVERAGE($M$513:$M$526))))</f>
        <v>0</v>
      </c>
      <c r="O526">
        <f>IF($E526="","",IF($E525="",$E526,$E526*0.1538461538+O525*0.8461538462))</f>
        <v>0</v>
      </c>
      <c r="P526">
        <f>IF($E526="","",IF($E525="",$E526,$E526*0.0740740741+P525*0.9259259259))</f>
        <v>0</v>
      </c>
      <c r="Q526">
        <f>IF(OR(O526="",P526=""),"",O526-P526)</f>
        <v>0</v>
      </c>
      <c r="R526">
        <f>IF(Q526="","",IF(R525="",Q526,Q526*0.2000000000+R525*0.8000000000))</f>
        <v>0</v>
      </c>
      <c r="S526">
        <f>IF(OR(Q526="",R526=""),"",Q526-R526)</f>
        <v>0</v>
      </c>
      <c r="T526">
        <f>IF(COUNT($E$2:$E526)&lt;14,"",MAX($C$513:$C$526))</f>
        <v>0</v>
      </c>
      <c r="U526">
        <f>IF(COUNT($E$2:$E526)&lt;14,"",MIN($D$513:$D$526))</f>
        <v>0</v>
      </c>
      <c r="V526">
        <f>IF(OR(T526="",U526="",T526=U526),"",100*($E526-U526)/(T526-U526))</f>
        <v>0</v>
      </c>
      <c r="W526">
        <f>IF(COUNT($V$524:$V$526)&lt;3,"",AVERAGE($V$524:$V$526))</f>
        <v>0</v>
      </c>
      <c r="X526">
        <f>IF(COUNT($N$513:$N$526)&lt;14,"",MIN($N$513:$N$526))</f>
        <v>0</v>
      </c>
      <c r="Y526">
        <f>IF(COUNT($N$513:$N$526)&lt;14,"",MAX($N$513:$N$526))</f>
        <v>0</v>
      </c>
      <c r="Z526">
        <f>IF(OR(N526="",X526="",Y526="",Y526=X526),"",100*(N526-X526)/(Y526-X526))</f>
        <v>0</v>
      </c>
      <c r="AA526">
        <f>IF(COUNT($Z$524:$Z$526)&lt;3,"",AVERAGE($Z$524:$Z$526))</f>
        <v>0</v>
      </c>
      <c r="AB526">
        <f>IF(COUNT($AA$524:$AA$526)&lt;3,"",AVERAGE($AA$524:$AA$526))</f>
        <v>0</v>
      </c>
      <c r="AC526">
        <f>IF($E526="","",MAX($C526-$D526,ABS($C526-$E525),ABS($D526-$E525)))</f>
        <v>0</v>
      </c>
      <c r="AD526">
        <f>IF(COUNT($E$2:$E526)&lt;15,"",AVERAGE($AC$513:$AC$526))</f>
        <v>0</v>
      </c>
      <c r="AE526">
        <f>IF(OR($E526="",$E525=""),"",IF(AND(($C526-$C525)&gt;($D525-$D526),($C526-$C525)&gt;0),$C526-$C525,0))</f>
        <v>0</v>
      </c>
      <c r="AF526">
        <f>IF(OR($E526="",$E525=""),"",IF(AND(($D525-$D526)&gt;($C526-$C525),($D525-$D526)&gt;0),$D525-$D526,0))</f>
        <v>0</v>
      </c>
      <c r="AG526">
        <f>IF(COUNT($E$2:$E526)&lt;15,"",IF(SUM($AC$513:$AC$526)=0,0,100*SUM($AE$513:$AE$526)/SUM($AC$513:$AC$526)))</f>
        <v>0</v>
      </c>
      <c r="AH526">
        <f>IF(COUNT($E$2:$E526)&lt;15,"",IF(SUM($AC$513:$AC$526)=0,0,100*SUM($AF$513:$AF$526)/SUM($AC$513:$AC$526)))</f>
        <v>0</v>
      </c>
      <c r="AI526">
        <f>IF(OR(AG526="",AH526=""),"",IF((AG526+AH526)=0,0,100*ABS(AG526-AH526)/(AG526+AH526)))</f>
        <v>0</v>
      </c>
      <c r="AJ526">
        <f>IF(COUNT($AI$513:$AI$526)&lt;14,"",AVERAGE($AI$513:$AI$526))</f>
        <v>0</v>
      </c>
      <c r="AK526">
        <f>IF(COUNT($E$2:$E526)&lt;20,"",AVERAGE($E$507:$E$526))</f>
        <v>0</v>
      </c>
      <c r="AL526">
        <f>IF(COUNT($E$2:$E526)&lt;20,"",STDEVP($E$507:$E$526))</f>
        <v>0</v>
      </c>
      <c r="AM526">
        <f>IF(AK526="","",AK526+2*AL526)</f>
        <v>0</v>
      </c>
      <c r="AN526">
        <f>IF(AK526="","",AK526-2*AL526)</f>
        <v>0</v>
      </c>
      <c r="AO526">
        <f>IF(OR(AM526="",AN526="",AM526=AN526),"",($E526-AN526)/(AM526-AN526))</f>
        <v>0</v>
      </c>
      <c r="AP526">
        <f>IF(OR(AM526="",AK526="",AK526=0),"",(AM526-AN526)/AK526)</f>
        <v>0</v>
      </c>
      <c r="AQ526">
        <f>IF(COUNT($E$2:$E526)&lt;20,"",MAX($C$507:$C$526))</f>
        <v>0</v>
      </c>
      <c r="AR526">
        <f>IF(COUNT($E$2:$E526)&lt;20,"",MIN($D$507:$D$526))</f>
        <v>0</v>
      </c>
      <c r="AS526">
        <f>IF(OR(AQ526="",AR526=""),"",(AQ526+AR526)/2)</f>
        <v>0</v>
      </c>
      <c r="AT526">
        <f>IF(COUNT($G$507:$G$526)&lt;20,"",STDEV($G$507:$G$526)*SQRT(252))</f>
        <v>0</v>
      </c>
      <c r="AU526">
        <f>IF(COUNT($E$2:$E526)&lt;9,"",(MAX($C$518:$C$526)+MIN($D$518:$D$526))/2)</f>
        <v>0</v>
      </c>
      <c r="AV526">
        <f>IF(COUNT($E$2:$E526)&lt;26,"",(MAX($C$501:$C$526)+MIN($D$501:$D$526))/2)</f>
        <v>0</v>
      </c>
      <c r="AW526">
        <f>IF(OR(AU526="",AV526=""),"",(AU526+AV526)/2)</f>
        <v>0</v>
      </c>
      <c r="AX526">
        <f>IF(COUNT($E$2:$E526)&lt;52,"",(MAX($C$475:$C$526)+MIN($D$475:$D$526))/2)</f>
        <v>0</v>
      </c>
      <c r="AY526">
        <f>IF(COUNT($E$2:$E526)&lt;20,"",MAX($C$427:$C$526))</f>
        <v>0</v>
      </c>
      <c r="AZ526">
        <f>IF(COUNT($E$2:$E526)&lt;20,"",MIN($D$427:$D$526))</f>
        <v>0</v>
      </c>
      <c r="BA526">
        <f>IF(COUNT($E$2:$E526)&lt;20,"",SLOPE($E$427:$E$526,$F$427:$F$526))</f>
        <v>0</v>
      </c>
      <c r="BB526">
        <f>IF(COUNT($E$2:$E526)&lt;20,"",INTERCEPT($E$427:$E$526,$F$427:$F$526))</f>
        <v>0</v>
      </c>
      <c r="BC526">
        <f>IF(OR(BA526="",BB526=""),"",BB526+BA526*F526)</f>
        <v>0</v>
      </c>
      <c r="BD526">
        <f>IF(COUNT($E$2:$E526)&lt;20,"",STEYX($E$427:$E$526,$F$427:$F$526))</f>
        <v>0</v>
      </c>
      <c r="BE526">
        <f>IF($E526="","",IF(AND(COUNT($E$527:$E$530)&gt;=4,$C526=MAX($C$522:$C$530)),$C526,""))</f>
        <v>0</v>
      </c>
      <c r="BF526">
        <f>IF($E526="","",IF(AND(COUNT($E$527:$E$530)&gt;=4,$D526=MIN($D$522:$D$530)),$D526,""))</f>
        <v>0</v>
      </c>
      <c r="BG526">
        <f>IF($A526="","",$A526-WEEKDAY($A526,2)+1)</f>
        <v>0</v>
      </c>
      <c r="BH526">
        <f>IF($A526="","",IF($A525="",1,IF(BG526&lt;&gt;BG525,1,0)))</f>
        <v>0</v>
      </c>
      <c r="BI526">
        <f>IF($A526="","",IF($A527="",1,IF(BG527&lt;&gt;BG526,1,0)))</f>
        <v>0</v>
      </c>
      <c r="BJ526">
        <f>IF($A526="","",IF(BH526=1,$B526,BJ525))</f>
        <v>0</v>
      </c>
      <c r="BK526">
        <f>IF($A526="","",IF(BH526=1,$C526,MAX($C526,BK525)))</f>
        <v>0</v>
      </c>
      <c r="BL526">
        <f>IF($A526="","",IF(BH526=1,$D526,MIN($D526,BL525)))</f>
        <v>0</v>
      </c>
      <c r="BM526">
        <f>IF($A526="","",IF(BI526=1,F526,""))</f>
        <v>0</v>
      </c>
      <c r="BN526">
        <f>IF($A526="","",DATE(YEAR($A526),MONTH($A526),1))</f>
        <v>0</v>
      </c>
      <c r="BO526">
        <f>IF($A526="","",IF($A525="",1,IF(BN526&lt;&gt;BN525,1,0)))</f>
        <v>0</v>
      </c>
      <c r="BP526">
        <f>IF($A526="","",IF($A527="",1,IF(BN527&lt;&gt;BN526,1,0)))</f>
        <v>0</v>
      </c>
      <c r="BQ526">
        <f>IF($A526="","",IF(BO526=1,$B526,BQ525))</f>
        <v>0</v>
      </c>
      <c r="BR526">
        <f>IF($A526="","",IF(BO526=1,$C526,MAX($C526,BR525)))</f>
        <v>0</v>
      </c>
      <c r="BS526">
        <f>IF($A526="","",IF(BO526=1,$D526,MIN($D526,BS525)))</f>
        <v>0</v>
      </c>
      <c r="BT526">
        <f>IF($A526="","",IF(BP526=1,F526,""))</f>
        <v>0</v>
      </c>
    </row>
    <row r="527" spans="1:72">
      <c r="A527" s="27">
        <f>IF(Data!$A527="","",Data!$A527)</f>
        <v>0</v>
      </c>
      <c r="B527">
        <f>IF(Data!$B527="","",Data!$B527)</f>
        <v>0</v>
      </c>
      <c r="C527">
        <f>IF(Data!$C527="","",Data!$C527)</f>
        <v>0</v>
      </c>
      <c r="D527">
        <f>IF(Data!$D527="","",Data!$D527)</f>
        <v>0</v>
      </c>
      <c r="E527">
        <f>IF(Data!$E527="","",Data!$E527)</f>
        <v>0</v>
      </c>
      <c r="F527">
        <f>IF($E527="","",N(F526)+1)</f>
        <v>0</v>
      </c>
      <c r="G527">
        <f>IF(OR($E527="",$E526=""),"",LN($E527/$E526))</f>
        <v>0</v>
      </c>
      <c r="H527">
        <f>IF($E527="","",IF($E526="",$E527,$E527*0.0952380952+H526*0.9047619048))</f>
        <v>0</v>
      </c>
      <c r="I527">
        <f>IF($E527="","",IF($E526="",$E527,$E527*0.0392156863+I526*0.9607843137))</f>
        <v>0</v>
      </c>
      <c r="J527">
        <f>IF($E527="","",IF($E526="",$E527,$E527*0.0198019802+J526*0.9801980198))</f>
        <v>0</v>
      </c>
      <c r="K527">
        <f>IF($E527="","",IF($E526="",$E527,$E527*0.0099502488+K526*0.9900497512))</f>
        <v>0</v>
      </c>
      <c r="L527">
        <f>IF(OR($E527="",$E526=""),"",MAX($E527-$E526,0))</f>
        <v>0</v>
      </c>
      <c r="M527">
        <f>IF(OR($E527="",$E526=""),"",MAX($E526-$E527,0))</f>
        <v>0</v>
      </c>
      <c r="N527">
        <f>IF(COUNT($E$2:$E527)&lt;15,"",IF(AVERAGE($M$514:$M$527)=0,100,100-100/(1+AVERAGE($L$514:$L$527)/AVERAGE($M$514:$M$527))))</f>
        <v>0</v>
      </c>
      <c r="O527">
        <f>IF($E527="","",IF($E526="",$E527,$E527*0.1538461538+O526*0.8461538462))</f>
        <v>0</v>
      </c>
      <c r="P527">
        <f>IF($E527="","",IF($E526="",$E527,$E527*0.0740740741+P526*0.9259259259))</f>
        <v>0</v>
      </c>
      <c r="Q527">
        <f>IF(OR(O527="",P527=""),"",O527-P527)</f>
        <v>0</v>
      </c>
      <c r="R527">
        <f>IF(Q527="","",IF(R526="",Q527,Q527*0.2000000000+R526*0.8000000000))</f>
        <v>0</v>
      </c>
      <c r="S527">
        <f>IF(OR(Q527="",R527=""),"",Q527-R527)</f>
        <v>0</v>
      </c>
      <c r="T527">
        <f>IF(COUNT($E$2:$E527)&lt;14,"",MAX($C$514:$C$527))</f>
        <v>0</v>
      </c>
      <c r="U527">
        <f>IF(COUNT($E$2:$E527)&lt;14,"",MIN($D$514:$D$527))</f>
        <v>0</v>
      </c>
      <c r="V527">
        <f>IF(OR(T527="",U527="",T527=U527),"",100*($E527-U527)/(T527-U527))</f>
        <v>0</v>
      </c>
      <c r="W527">
        <f>IF(COUNT($V$525:$V$527)&lt;3,"",AVERAGE($V$525:$V$527))</f>
        <v>0</v>
      </c>
      <c r="X527">
        <f>IF(COUNT($N$514:$N$527)&lt;14,"",MIN($N$514:$N$527))</f>
        <v>0</v>
      </c>
      <c r="Y527">
        <f>IF(COUNT($N$514:$N$527)&lt;14,"",MAX($N$514:$N$527))</f>
        <v>0</v>
      </c>
      <c r="Z527">
        <f>IF(OR(N527="",X527="",Y527="",Y527=X527),"",100*(N527-X527)/(Y527-X527))</f>
        <v>0</v>
      </c>
      <c r="AA527">
        <f>IF(COUNT($Z$525:$Z$527)&lt;3,"",AVERAGE($Z$525:$Z$527))</f>
        <v>0</v>
      </c>
      <c r="AB527">
        <f>IF(COUNT($AA$525:$AA$527)&lt;3,"",AVERAGE($AA$525:$AA$527))</f>
        <v>0</v>
      </c>
      <c r="AC527">
        <f>IF($E527="","",MAX($C527-$D527,ABS($C527-$E526),ABS($D527-$E526)))</f>
        <v>0</v>
      </c>
      <c r="AD527">
        <f>IF(COUNT($E$2:$E527)&lt;15,"",AVERAGE($AC$514:$AC$527))</f>
        <v>0</v>
      </c>
      <c r="AE527">
        <f>IF(OR($E527="",$E526=""),"",IF(AND(($C527-$C526)&gt;($D526-$D527),($C527-$C526)&gt;0),$C527-$C526,0))</f>
        <v>0</v>
      </c>
      <c r="AF527">
        <f>IF(OR($E527="",$E526=""),"",IF(AND(($D526-$D527)&gt;($C527-$C526),($D526-$D527)&gt;0),$D526-$D527,0))</f>
        <v>0</v>
      </c>
      <c r="AG527">
        <f>IF(COUNT($E$2:$E527)&lt;15,"",IF(SUM($AC$514:$AC$527)=0,0,100*SUM($AE$514:$AE$527)/SUM($AC$514:$AC$527)))</f>
        <v>0</v>
      </c>
      <c r="AH527">
        <f>IF(COUNT($E$2:$E527)&lt;15,"",IF(SUM($AC$514:$AC$527)=0,0,100*SUM($AF$514:$AF$527)/SUM($AC$514:$AC$527)))</f>
        <v>0</v>
      </c>
      <c r="AI527">
        <f>IF(OR(AG527="",AH527=""),"",IF((AG527+AH527)=0,0,100*ABS(AG527-AH527)/(AG527+AH527)))</f>
        <v>0</v>
      </c>
      <c r="AJ527">
        <f>IF(COUNT($AI$514:$AI$527)&lt;14,"",AVERAGE($AI$514:$AI$527))</f>
        <v>0</v>
      </c>
      <c r="AK527">
        <f>IF(COUNT($E$2:$E527)&lt;20,"",AVERAGE($E$508:$E$527))</f>
        <v>0</v>
      </c>
      <c r="AL527">
        <f>IF(COUNT($E$2:$E527)&lt;20,"",STDEVP($E$508:$E$527))</f>
        <v>0</v>
      </c>
      <c r="AM527">
        <f>IF(AK527="","",AK527+2*AL527)</f>
        <v>0</v>
      </c>
      <c r="AN527">
        <f>IF(AK527="","",AK527-2*AL527)</f>
        <v>0</v>
      </c>
      <c r="AO527">
        <f>IF(OR(AM527="",AN527="",AM527=AN527),"",($E527-AN527)/(AM527-AN527))</f>
        <v>0</v>
      </c>
      <c r="AP527">
        <f>IF(OR(AM527="",AK527="",AK527=0),"",(AM527-AN527)/AK527)</f>
        <v>0</v>
      </c>
      <c r="AQ527">
        <f>IF(COUNT($E$2:$E527)&lt;20,"",MAX($C$508:$C$527))</f>
        <v>0</v>
      </c>
      <c r="AR527">
        <f>IF(COUNT($E$2:$E527)&lt;20,"",MIN($D$508:$D$527))</f>
        <v>0</v>
      </c>
      <c r="AS527">
        <f>IF(OR(AQ527="",AR527=""),"",(AQ527+AR527)/2)</f>
        <v>0</v>
      </c>
      <c r="AT527">
        <f>IF(COUNT($G$508:$G$527)&lt;20,"",STDEV($G$508:$G$527)*SQRT(252))</f>
        <v>0</v>
      </c>
      <c r="AU527">
        <f>IF(COUNT($E$2:$E527)&lt;9,"",(MAX($C$519:$C$527)+MIN($D$519:$D$527))/2)</f>
        <v>0</v>
      </c>
      <c r="AV527">
        <f>IF(COUNT($E$2:$E527)&lt;26,"",(MAX($C$502:$C$527)+MIN($D$502:$D$527))/2)</f>
        <v>0</v>
      </c>
      <c r="AW527">
        <f>IF(OR(AU527="",AV527=""),"",(AU527+AV527)/2)</f>
        <v>0</v>
      </c>
      <c r="AX527">
        <f>IF(COUNT($E$2:$E527)&lt;52,"",(MAX($C$476:$C$527)+MIN($D$476:$D$527))/2)</f>
        <v>0</v>
      </c>
      <c r="AY527">
        <f>IF(COUNT($E$2:$E527)&lt;20,"",MAX($C$428:$C$527))</f>
        <v>0</v>
      </c>
      <c r="AZ527">
        <f>IF(COUNT($E$2:$E527)&lt;20,"",MIN($D$428:$D$527))</f>
        <v>0</v>
      </c>
      <c r="BA527">
        <f>IF(COUNT($E$2:$E527)&lt;20,"",SLOPE($E$428:$E$527,$F$428:$F$527))</f>
        <v>0</v>
      </c>
      <c r="BB527">
        <f>IF(COUNT($E$2:$E527)&lt;20,"",INTERCEPT($E$428:$E$527,$F$428:$F$527))</f>
        <v>0</v>
      </c>
      <c r="BC527">
        <f>IF(OR(BA527="",BB527=""),"",BB527+BA527*F527)</f>
        <v>0</v>
      </c>
      <c r="BD527">
        <f>IF(COUNT($E$2:$E527)&lt;20,"",STEYX($E$428:$E$527,$F$428:$F$527))</f>
        <v>0</v>
      </c>
      <c r="BE527">
        <f>IF($E527="","",IF(AND(COUNT($E$528:$E$531)&gt;=4,$C527=MAX($C$523:$C$531)),$C527,""))</f>
        <v>0</v>
      </c>
      <c r="BF527">
        <f>IF($E527="","",IF(AND(COUNT($E$528:$E$531)&gt;=4,$D527=MIN($D$523:$D$531)),$D527,""))</f>
        <v>0</v>
      </c>
      <c r="BG527">
        <f>IF($A527="","",$A527-WEEKDAY($A527,2)+1)</f>
        <v>0</v>
      </c>
      <c r="BH527">
        <f>IF($A527="","",IF($A526="",1,IF(BG527&lt;&gt;BG526,1,0)))</f>
        <v>0</v>
      </c>
      <c r="BI527">
        <f>IF($A527="","",IF($A528="",1,IF(BG528&lt;&gt;BG527,1,0)))</f>
        <v>0</v>
      </c>
      <c r="BJ527">
        <f>IF($A527="","",IF(BH527=1,$B527,BJ526))</f>
        <v>0</v>
      </c>
      <c r="BK527">
        <f>IF($A527="","",IF(BH527=1,$C527,MAX($C527,BK526)))</f>
        <v>0</v>
      </c>
      <c r="BL527">
        <f>IF($A527="","",IF(BH527=1,$D527,MIN($D527,BL526)))</f>
        <v>0</v>
      </c>
      <c r="BM527">
        <f>IF($A527="","",IF(BI527=1,F527,""))</f>
        <v>0</v>
      </c>
      <c r="BN527">
        <f>IF($A527="","",DATE(YEAR($A527),MONTH($A527),1))</f>
        <v>0</v>
      </c>
      <c r="BO527">
        <f>IF($A527="","",IF($A526="",1,IF(BN527&lt;&gt;BN526,1,0)))</f>
        <v>0</v>
      </c>
      <c r="BP527">
        <f>IF($A527="","",IF($A528="",1,IF(BN528&lt;&gt;BN527,1,0)))</f>
        <v>0</v>
      </c>
      <c r="BQ527">
        <f>IF($A527="","",IF(BO527=1,$B527,BQ526))</f>
        <v>0</v>
      </c>
      <c r="BR527">
        <f>IF($A527="","",IF(BO527=1,$C527,MAX($C527,BR526)))</f>
        <v>0</v>
      </c>
      <c r="BS527">
        <f>IF($A527="","",IF(BO527=1,$D527,MIN($D527,BS526)))</f>
        <v>0</v>
      </c>
      <c r="BT527">
        <f>IF($A527="","",IF(BP527=1,F527,""))</f>
        <v>0</v>
      </c>
    </row>
    <row r="528" spans="1:72">
      <c r="A528" s="27">
        <f>IF(Data!$A528="","",Data!$A528)</f>
        <v>0</v>
      </c>
      <c r="B528">
        <f>IF(Data!$B528="","",Data!$B528)</f>
        <v>0</v>
      </c>
      <c r="C528">
        <f>IF(Data!$C528="","",Data!$C528)</f>
        <v>0</v>
      </c>
      <c r="D528">
        <f>IF(Data!$D528="","",Data!$D528)</f>
        <v>0</v>
      </c>
      <c r="E528">
        <f>IF(Data!$E528="","",Data!$E528)</f>
        <v>0</v>
      </c>
      <c r="F528">
        <f>IF($E528="","",N(F527)+1)</f>
        <v>0</v>
      </c>
      <c r="G528">
        <f>IF(OR($E528="",$E527=""),"",LN($E528/$E527))</f>
        <v>0</v>
      </c>
      <c r="H528">
        <f>IF($E528="","",IF($E527="",$E528,$E528*0.0952380952+H527*0.9047619048))</f>
        <v>0</v>
      </c>
      <c r="I528">
        <f>IF($E528="","",IF($E527="",$E528,$E528*0.0392156863+I527*0.9607843137))</f>
        <v>0</v>
      </c>
      <c r="J528">
        <f>IF($E528="","",IF($E527="",$E528,$E528*0.0198019802+J527*0.9801980198))</f>
        <v>0</v>
      </c>
      <c r="K528">
        <f>IF($E528="","",IF($E527="",$E528,$E528*0.0099502488+K527*0.9900497512))</f>
        <v>0</v>
      </c>
      <c r="L528">
        <f>IF(OR($E528="",$E527=""),"",MAX($E528-$E527,0))</f>
        <v>0</v>
      </c>
      <c r="M528">
        <f>IF(OR($E528="",$E527=""),"",MAX($E527-$E528,0))</f>
        <v>0</v>
      </c>
      <c r="N528">
        <f>IF(COUNT($E$2:$E528)&lt;15,"",IF(AVERAGE($M$515:$M$528)=0,100,100-100/(1+AVERAGE($L$515:$L$528)/AVERAGE($M$515:$M$528))))</f>
        <v>0</v>
      </c>
      <c r="O528">
        <f>IF($E528="","",IF($E527="",$E528,$E528*0.1538461538+O527*0.8461538462))</f>
        <v>0</v>
      </c>
      <c r="P528">
        <f>IF($E528="","",IF($E527="",$E528,$E528*0.0740740741+P527*0.9259259259))</f>
        <v>0</v>
      </c>
      <c r="Q528">
        <f>IF(OR(O528="",P528=""),"",O528-P528)</f>
        <v>0</v>
      </c>
      <c r="R528">
        <f>IF(Q528="","",IF(R527="",Q528,Q528*0.2000000000+R527*0.8000000000))</f>
        <v>0</v>
      </c>
      <c r="S528">
        <f>IF(OR(Q528="",R528=""),"",Q528-R528)</f>
        <v>0</v>
      </c>
      <c r="T528">
        <f>IF(COUNT($E$2:$E528)&lt;14,"",MAX($C$515:$C$528))</f>
        <v>0</v>
      </c>
      <c r="U528">
        <f>IF(COUNT($E$2:$E528)&lt;14,"",MIN($D$515:$D$528))</f>
        <v>0</v>
      </c>
      <c r="V528">
        <f>IF(OR(T528="",U528="",T528=U528),"",100*($E528-U528)/(T528-U528))</f>
        <v>0</v>
      </c>
      <c r="W528">
        <f>IF(COUNT($V$526:$V$528)&lt;3,"",AVERAGE($V$526:$V$528))</f>
        <v>0</v>
      </c>
      <c r="X528">
        <f>IF(COUNT($N$515:$N$528)&lt;14,"",MIN($N$515:$N$528))</f>
        <v>0</v>
      </c>
      <c r="Y528">
        <f>IF(COUNT($N$515:$N$528)&lt;14,"",MAX($N$515:$N$528))</f>
        <v>0</v>
      </c>
      <c r="Z528">
        <f>IF(OR(N528="",X528="",Y528="",Y528=X528),"",100*(N528-X528)/(Y528-X528))</f>
        <v>0</v>
      </c>
      <c r="AA528">
        <f>IF(COUNT($Z$526:$Z$528)&lt;3,"",AVERAGE($Z$526:$Z$528))</f>
        <v>0</v>
      </c>
      <c r="AB528">
        <f>IF(COUNT($AA$526:$AA$528)&lt;3,"",AVERAGE($AA$526:$AA$528))</f>
        <v>0</v>
      </c>
      <c r="AC528">
        <f>IF($E528="","",MAX($C528-$D528,ABS($C528-$E527),ABS($D528-$E527)))</f>
        <v>0</v>
      </c>
      <c r="AD528">
        <f>IF(COUNT($E$2:$E528)&lt;15,"",AVERAGE($AC$515:$AC$528))</f>
        <v>0</v>
      </c>
      <c r="AE528">
        <f>IF(OR($E528="",$E527=""),"",IF(AND(($C528-$C527)&gt;($D527-$D528),($C528-$C527)&gt;0),$C528-$C527,0))</f>
        <v>0</v>
      </c>
      <c r="AF528">
        <f>IF(OR($E528="",$E527=""),"",IF(AND(($D527-$D528)&gt;($C528-$C527),($D527-$D528)&gt;0),$D527-$D528,0))</f>
        <v>0</v>
      </c>
      <c r="AG528">
        <f>IF(COUNT($E$2:$E528)&lt;15,"",IF(SUM($AC$515:$AC$528)=0,0,100*SUM($AE$515:$AE$528)/SUM($AC$515:$AC$528)))</f>
        <v>0</v>
      </c>
      <c r="AH528">
        <f>IF(COUNT($E$2:$E528)&lt;15,"",IF(SUM($AC$515:$AC$528)=0,0,100*SUM($AF$515:$AF$528)/SUM($AC$515:$AC$528)))</f>
        <v>0</v>
      </c>
      <c r="AI528">
        <f>IF(OR(AG528="",AH528=""),"",IF((AG528+AH528)=0,0,100*ABS(AG528-AH528)/(AG528+AH528)))</f>
        <v>0</v>
      </c>
      <c r="AJ528">
        <f>IF(COUNT($AI$515:$AI$528)&lt;14,"",AVERAGE($AI$515:$AI$528))</f>
        <v>0</v>
      </c>
      <c r="AK528">
        <f>IF(COUNT($E$2:$E528)&lt;20,"",AVERAGE($E$509:$E$528))</f>
        <v>0</v>
      </c>
      <c r="AL528">
        <f>IF(COUNT($E$2:$E528)&lt;20,"",STDEVP($E$509:$E$528))</f>
        <v>0</v>
      </c>
      <c r="AM528">
        <f>IF(AK528="","",AK528+2*AL528)</f>
        <v>0</v>
      </c>
      <c r="AN528">
        <f>IF(AK528="","",AK528-2*AL528)</f>
        <v>0</v>
      </c>
      <c r="AO528">
        <f>IF(OR(AM528="",AN528="",AM528=AN528),"",($E528-AN528)/(AM528-AN528))</f>
        <v>0</v>
      </c>
      <c r="AP528">
        <f>IF(OR(AM528="",AK528="",AK528=0),"",(AM528-AN528)/AK528)</f>
        <v>0</v>
      </c>
      <c r="AQ528">
        <f>IF(COUNT($E$2:$E528)&lt;20,"",MAX($C$509:$C$528))</f>
        <v>0</v>
      </c>
      <c r="AR528">
        <f>IF(COUNT($E$2:$E528)&lt;20,"",MIN($D$509:$D$528))</f>
        <v>0</v>
      </c>
      <c r="AS528">
        <f>IF(OR(AQ528="",AR528=""),"",(AQ528+AR528)/2)</f>
        <v>0</v>
      </c>
      <c r="AT528">
        <f>IF(COUNT($G$509:$G$528)&lt;20,"",STDEV($G$509:$G$528)*SQRT(252))</f>
        <v>0</v>
      </c>
      <c r="AU528">
        <f>IF(COUNT($E$2:$E528)&lt;9,"",(MAX($C$520:$C$528)+MIN($D$520:$D$528))/2)</f>
        <v>0</v>
      </c>
      <c r="AV528">
        <f>IF(COUNT($E$2:$E528)&lt;26,"",(MAX($C$503:$C$528)+MIN($D$503:$D$528))/2)</f>
        <v>0</v>
      </c>
      <c r="AW528">
        <f>IF(OR(AU528="",AV528=""),"",(AU528+AV528)/2)</f>
        <v>0</v>
      </c>
      <c r="AX528">
        <f>IF(COUNT($E$2:$E528)&lt;52,"",(MAX($C$477:$C$528)+MIN($D$477:$D$528))/2)</f>
        <v>0</v>
      </c>
      <c r="AY528">
        <f>IF(COUNT($E$2:$E528)&lt;20,"",MAX($C$429:$C$528))</f>
        <v>0</v>
      </c>
      <c r="AZ528">
        <f>IF(COUNT($E$2:$E528)&lt;20,"",MIN($D$429:$D$528))</f>
        <v>0</v>
      </c>
      <c r="BA528">
        <f>IF(COUNT($E$2:$E528)&lt;20,"",SLOPE($E$429:$E$528,$F$429:$F$528))</f>
        <v>0</v>
      </c>
      <c r="BB528">
        <f>IF(COUNT($E$2:$E528)&lt;20,"",INTERCEPT($E$429:$E$528,$F$429:$F$528))</f>
        <v>0</v>
      </c>
      <c r="BC528">
        <f>IF(OR(BA528="",BB528=""),"",BB528+BA528*F528)</f>
        <v>0</v>
      </c>
      <c r="BD528">
        <f>IF(COUNT($E$2:$E528)&lt;20,"",STEYX($E$429:$E$528,$F$429:$F$528))</f>
        <v>0</v>
      </c>
      <c r="BE528">
        <f>IF($E528="","",IF(AND(COUNT($E$529:$E$532)&gt;=4,$C528=MAX($C$524:$C$532)),$C528,""))</f>
        <v>0</v>
      </c>
      <c r="BF528">
        <f>IF($E528="","",IF(AND(COUNT($E$529:$E$532)&gt;=4,$D528=MIN($D$524:$D$532)),$D528,""))</f>
        <v>0</v>
      </c>
      <c r="BG528">
        <f>IF($A528="","",$A528-WEEKDAY($A528,2)+1)</f>
        <v>0</v>
      </c>
      <c r="BH528">
        <f>IF($A528="","",IF($A527="",1,IF(BG528&lt;&gt;BG527,1,0)))</f>
        <v>0</v>
      </c>
      <c r="BI528">
        <f>IF($A528="","",IF($A529="",1,IF(BG529&lt;&gt;BG528,1,0)))</f>
        <v>0</v>
      </c>
      <c r="BJ528">
        <f>IF($A528="","",IF(BH528=1,$B528,BJ527))</f>
        <v>0</v>
      </c>
      <c r="BK528">
        <f>IF($A528="","",IF(BH528=1,$C528,MAX($C528,BK527)))</f>
        <v>0</v>
      </c>
      <c r="BL528">
        <f>IF($A528="","",IF(BH528=1,$D528,MIN($D528,BL527)))</f>
        <v>0</v>
      </c>
      <c r="BM528">
        <f>IF($A528="","",IF(BI528=1,F528,""))</f>
        <v>0</v>
      </c>
      <c r="BN528">
        <f>IF($A528="","",DATE(YEAR($A528),MONTH($A528),1))</f>
        <v>0</v>
      </c>
      <c r="BO528">
        <f>IF($A528="","",IF($A527="",1,IF(BN528&lt;&gt;BN527,1,0)))</f>
        <v>0</v>
      </c>
      <c r="BP528">
        <f>IF($A528="","",IF($A529="",1,IF(BN529&lt;&gt;BN528,1,0)))</f>
        <v>0</v>
      </c>
      <c r="BQ528">
        <f>IF($A528="","",IF(BO528=1,$B528,BQ527))</f>
        <v>0</v>
      </c>
      <c r="BR528">
        <f>IF($A528="","",IF(BO528=1,$C528,MAX($C528,BR527)))</f>
        <v>0</v>
      </c>
      <c r="BS528">
        <f>IF($A528="","",IF(BO528=1,$D528,MIN($D528,BS527)))</f>
        <v>0</v>
      </c>
      <c r="BT528">
        <f>IF($A528="","",IF(BP528=1,F528,""))</f>
        <v>0</v>
      </c>
    </row>
    <row r="529" spans="1:72">
      <c r="A529" s="27">
        <f>IF(Data!$A529="","",Data!$A529)</f>
        <v>0</v>
      </c>
      <c r="B529">
        <f>IF(Data!$B529="","",Data!$B529)</f>
        <v>0</v>
      </c>
      <c r="C529">
        <f>IF(Data!$C529="","",Data!$C529)</f>
        <v>0</v>
      </c>
      <c r="D529">
        <f>IF(Data!$D529="","",Data!$D529)</f>
        <v>0</v>
      </c>
      <c r="E529">
        <f>IF(Data!$E529="","",Data!$E529)</f>
        <v>0</v>
      </c>
      <c r="F529">
        <f>IF($E529="","",N(F528)+1)</f>
        <v>0</v>
      </c>
      <c r="G529">
        <f>IF(OR($E529="",$E528=""),"",LN($E529/$E528))</f>
        <v>0</v>
      </c>
      <c r="H529">
        <f>IF($E529="","",IF($E528="",$E529,$E529*0.0952380952+H528*0.9047619048))</f>
        <v>0</v>
      </c>
      <c r="I529">
        <f>IF($E529="","",IF($E528="",$E529,$E529*0.0392156863+I528*0.9607843137))</f>
        <v>0</v>
      </c>
      <c r="J529">
        <f>IF($E529="","",IF($E528="",$E529,$E529*0.0198019802+J528*0.9801980198))</f>
        <v>0</v>
      </c>
      <c r="K529">
        <f>IF($E529="","",IF($E528="",$E529,$E529*0.0099502488+K528*0.9900497512))</f>
        <v>0</v>
      </c>
      <c r="L529">
        <f>IF(OR($E529="",$E528=""),"",MAX($E529-$E528,0))</f>
        <v>0</v>
      </c>
      <c r="M529">
        <f>IF(OR($E529="",$E528=""),"",MAX($E528-$E529,0))</f>
        <v>0</v>
      </c>
      <c r="N529">
        <f>IF(COUNT($E$2:$E529)&lt;15,"",IF(AVERAGE($M$516:$M$529)=0,100,100-100/(1+AVERAGE($L$516:$L$529)/AVERAGE($M$516:$M$529))))</f>
        <v>0</v>
      </c>
      <c r="O529">
        <f>IF($E529="","",IF($E528="",$E529,$E529*0.1538461538+O528*0.8461538462))</f>
        <v>0</v>
      </c>
      <c r="P529">
        <f>IF($E529="","",IF($E528="",$E529,$E529*0.0740740741+P528*0.9259259259))</f>
        <v>0</v>
      </c>
      <c r="Q529">
        <f>IF(OR(O529="",P529=""),"",O529-P529)</f>
        <v>0</v>
      </c>
      <c r="R529">
        <f>IF(Q529="","",IF(R528="",Q529,Q529*0.2000000000+R528*0.8000000000))</f>
        <v>0</v>
      </c>
      <c r="S529">
        <f>IF(OR(Q529="",R529=""),"",Q529-R529)</f>
        <v>0</v>
      </c>
      <c r="T529">
        <f>IF(COUNT($E$2:$E529)&lt;14,"",MAX($C$516:$C$529))</f>
        <v>0</v>
      </c>
      <c r="U529">
        <f>IF(COUNT($E$2:$E529)&lt;14,"",MIN($D$516:$D$529))</f>
        <v>0</v>
      </c>
      <c r="V529">
        <f>IF(OR(T529="",U529="",T529=U529),"",100*($E529-U529)/(T529-U529))</f>
        <v>0</v>
      </c>
      <c r="W529">
        <f>IF(COUNT($V$527:$V$529)&lt;3,"",AVERAGE($V$527:$V$529))</f>
        <v>0</v>
      </c>
      <c r="X529">
        <f>IF(COUNT($N$516:$N$529)&lt;14,"",MIN($N$516:$N$529))</f>
        <v>0</v>
      </c>
      <c r="Y529">
        <f>IF(COUNT($N$516:$N$529)&lt;14,"",MAX($N$516:$N$529))</f>
        <v>0</v>
      </c>
      <c r="Z529">
        <f>IF(OR(N529="",X529="",Y529="",Y529=X529),"",100*(N529-X529)/(Y529-X529))</f>
        <v>0</v>
      </c>
      <c r="AA529">
        <f>IF(COUNT($Z$527:$Z$529)&lt;3,"",AVERAGE($Z$527:$Z$529))</f>
        <v>0</v>
      </c>
      <c r="AB529">
        <f>IF(COUNT($AA$527:$AA$529)&lt;3,"",AVERAGE($AA$527:$AA$529))</f>
        <v>0</v>
      </c>
      <c r="AC529">
        <f>IF($E529="","",MAX($C529-$D529,ABS($C529-$E528),ABS($D529-$E528)))</f>
        <v>0</v>
      </c>
      <c r="AD529">
        <f>IF(COUNT($E$2:$E529)&lt;15,"",AVERAGE($AC$516:$AC$529))</f>
        <v>0</v>
      </c>
      <c r="AE529">
        <f>IF(OR($E529="",$E528=""),"",IF(AND(($C529-$C528)&gt;($D528-$D529),($C529-$C528)&gt;0),$C529-$C528,0))</f>
        <v>0</v>
      </c>
      <c r="AF529">
        <f>IF(OR($E529="",$E528=""),"",IF(AND(($D528-$D529)&gt;($C529-$C528),($D528-$D529)&gt;0),$D528-$D529,0))</f>
        <v>0</v>
      </c>
      <c r="AG529">
        <f>IF(COUNT($E$2:$E529)&lt;15,"",IF(SUM($AC$516:$AC$529)=0,0,100*SUM($AE$516:$AE$529)/SUM($AC$516:$AC$529)))</f>
        <v>0</v>
      </c>
      <c r="AH529">
        <f>IF(COUNT($E$2:$E529)&lt;15,"",IF(SUM($AC$516:$AC$529)=0,0,100*SUM($AF$516:$AF$529)/SUM($AC$516:$AC$529)))</f>
        <v>0</v>
      </c>
      <c r="AI529">
        <f>IF(OR(AG529="",AH529=""),"",IF((AG529+AH529)=0,0,100*ABS(AG529-AH529)/(AG529+AH529)))</f>
        <v>0</v>
      </c>
      <c r="AJ529">
        <f>IF(COUNT($AI$516:$AI$529)&lt;14,"",AVERAGE($AI$516:$AI$529))</f>
        <v>0</v>
      </c>
      <c r="AK529">
        <f>IF(COUNT($E$2:$E529)&lt;20,"",AVERAGE($E$510:$E$529))</f>
        <v>0</v>
      </c>
      <c r="AL529">
        <f>IF(COUNT($E$2:$E529)&lt;20,"",STDEVP($E$510:$E$529))</f>
        <v>0</v>
      </c>
      <c r="AM529">
        <f>IF(AK529="","",AK529+2*AL529)</f>
        <v>0</v>
      </c>
      <c r="AN529">
        <f>IF(AK529="","",AK529-2*AL529)</f>
        <v>0</v>
      </c>
      <c r="AO529">
        <f>IF(OR(AM529="",AN529="",AM529=AN529),"",($E529-AN529)/(AM529-AN529))</f>
        <v>0</v>
      </c>
      <c r="AP529">
        <f>IF(OR(AM529="",AK529="",AK529=0),"",(AM529-AN529)/AK529)</f>
        <v>0</v>
      </c>
      <c r="AQ529">
        <f>IF(COUNT($E$2:$E529)&lt;20,"",MAX($C$510:$C$529))</f>
        <v>0</v>
      </c>
      <c r="AR529">
        <f>IF(COUNT($E$2:$E529)&lt;20,"",MIN($D$510:$D$529))</f>
        <v>0</v>
      </c>
      <c r="AS529">
        <f>IF(OR(AQ529="",AR529=""),"",(AQ529+AR529)/2)</f>
        <v>0</v>
      </c>
      <c r="AT529">
        <f>IF(COUNT($G$510:$G$529)&lt;20,"",STDEV($G$510:$G$529)*SQRT(252))</f>
        <v>0</v>
      </c>
      <c r="AU529">
        <f>IF(COUNT($E$2:$E529)&lt;9,"",(MAX($C$521:$C$529)+MIN($D$521:$D$529))/2)</f>
        <v>0</v>
      </c>
      <c r="AV529">
        <f>IF(COUNT($E$2:$E529)&lt;26,"",(MAX($C$504:$C$529)+MIN($D$504:$D$529))/2)</f>
        <v>0</v>
      </c>
      <c r="AW529">
        <f>IF(OR(AU529="",AV529=""),"",(AU529+AV529)/2)</f>
        <v>0</v>
      </c>
      <c r="AX529">
        <f>IF(COUNT($E$2:$E529)&lt;52,"",(MAX($C$478:$C$529)+MIN($D$478:$D$529))/2)</f>
        <v>0</v>
      </c>
      <c r="AY529">
        <f>IF(COUNT($E$2:$E529)&lt;20,"",MAX($C$430:$C$529))</f>
        <v>0</v>
      </c>
      <c r="AZ529">
        <f>IF(COUNT($E$2:$E529)&lt;20,"",MIN($D$430:$D$529))</f>
        <v>0</v>
      </c>
      <c r="BA529">
        <f>IF(COUNT($E$2:$E529)&lt;20,"",SLOPE($E$430:$E$529,$F$430:$F$529))</f>
        <v>0</v>
      </c>
      <c r="BB529">
        <f>IF(COUNT($E$2:$E529)&lt;20,"",INTERCEPT($E$430:$E$529,$F$430:$F$529))</f>
        <v>0</v>
      </c>
      <c r="BC529">
        <f>IF(OR(BA529="",BB529=""),"",BB529+BA529*F529)</f>
        <v>0</v>
      </c>
      <c r="BD529">
        <f>IF(COUNT($E$2:$E529)&lt;20,"",STEYX($E$430:$E$529,$F$430:$F$529))</f>
        <v>0</v>
      </c>
      <c r="BE529">
        <f>IF($E529="","",IF(AND(COUNT($E$530:$E$533)&gt;=4,$C529=MAX($C$525:$C$533)),$C529,""))</f>
        <v>0</v>
      </c>
      <c r="BF529">
        <f>IF($E529="","",IF(AND(COUNT($E$530:$E$533)&gt;=4,$D529=MIN($D$525:$D$533)),$D529,""))</f>
        <v>0</v>
      </c>
      <c r="BG529">
        <f>IF($A529="","",$A529-WEEKDAY($A529,2)+1)</f>
        <v>0</v>
      </c>
      <c r="BH529">
        <f>IF($A529="","",IF($A528="",1,IF(BG529&lt;&gt;BG528,1,0)))</f>
        <v>0</v>
      </c>
      <c r="BI529">
        <f>IF($A529="","",IF($A530="",1,IF(BG530&lt;&gt;BG529,1,0)))</f>
        <v>0</v>
      </c>
      <c r="BJ529">
        <f>IF($A529="","",IF(BH529=1,$B529,BJ528))</f>
        <v>0</v>
      </c>
      <c r="BK529">
        <f>IF($A529="","",IF(BH529=1,$C529,MAX($C529,BK528)))</f>
        <v>0</v>
      </c>
      <c r="BL529">
        <f>IF($A529="","",IF(BH529=1,$D529,MIN($D529,BL528)))</f>
        <v>0</v>
      </c>
      <c r="BM529">
        <f>IF($A529="","",IF(BI529=1,F529,""))</f>
        <v>0</v>
      </c>
      <c r="BN529">
        <f>IF($A529="","",DATE(YEAR($A529),MONTH($A529),1))</f>
        <v>0</v>
      </c>
      <c r="BO529">
        <f>IF($A529="","",IF($A528="",1,IF(BN529&lt;&gt;BN528,1,0)))</f>
        <v>0</v>
      </c>
      <c r="BP529">
        <f>IF($A529="","",IF($A530="",1,IF(BN530&lt;&gt;BN529,1,0)))</f>
        <v>0</v>
      </c>
      <c r="BQ529">
        <f>IF($A529="","",IF(BO529=1,$B529,BQ528))</f>
        <v>0</v>
      </c>
      <c r="BR529">
        <f>IF($A529="","",IF(BO529=1,$C529,MAX($C529,BR528)))</f>
        <v>0</v>
      </c>
      <c r="BS529">
        <f>IF($A529="","",IF(BO529=1,$D529,MIN($D529,BS528)))</f>
        <v>0</v>
      </c>
      <c r="BT529">
        <f>IF($A529="","",IF(BP529=1,F529,""))</f>
        <v>0</v>
      </c>
    </row>
    <row r="530" spans="1:72">
      <c r="A530" s="27">
        <f>IF(Data!$A530="","",Data!$A530)</f>
        <v>0</v>
      </c>
      <c r="B530">
        <f>IF(Data!$B530="","",Data!$B530)</f>
        <v>0</v>
      </c>
      <c r="C530">
        <f>IF(Data!$C530="","",Data!$C530)</f>
        <v>0</v>
      </c>
      <c r="D530">
        <f>IF(Data!$D530="","",Data!$D530)</f>
        <v>0</v>
      </c>
      <c r="E530">
        <f>IF(Data!$E530="","",Data!$E530)</f>
        <v>0</v>
      </c>
      <c r="F530">
        <f>IF($E530="","",N(F529)+1)</f>
        <v>0</v>
      </c>
      <c r="G530">
        <f>IF(OR($E530="",$E529=""),"",LN($E530/$E529))</f>
        <v>0</v>
      </c>
      <c r="H530">
        <f>IF($E530="","",IF($E529="",$E530,$E530*0.0952380952+H529*0.9047619048))</f>
        <v>0</v>
      </c>
      <c r="I530">
        <f>IF($E530="","",IF($E529="",$E530,$E530*0.0392156863+I529*0.9607843137))</f>
        <v>0</v>
      </c>
      <c r="J530">
        <f>IF($E530="","",IF($E529="",$E530,$E530*0.0198019802+J529*0.9801980198))</f>
        <v>0</v>
      </c>
      <c r="K530">
        <f>IF($E530="","",IF($E529="",$E530,$E530*0.0099502488+K529*0.9900497512))</f>
        <v>0</v>
      </c>
      <c r="L530">
        <f>IF(OR($E530="",$E529=""),"",MAX($E530-$E529,0))</f>
        <v>0</v>
      </c>
      <c r="M530">
        <f>IF(OR($E530="",$E529=""),"",MAX($E529-$E530,0))</f>
        <v>0</v>
      </c>
      <c r="N530">
        <f>IF(COUNT($E$2:$E530)&lt;15,"",IF(AVERAGE($M$517:$M$530)=0,100,100-100/(1+AVERAGE($L$517:$L$530)/AVERAGE($M$517:$M$530))))</f>
        <v>0</v>
      </c>
      <c r="O530">
        <f>IF($E530="","",IF($E529="",$E530,$E530*0.1538461538+O529*0.8461538462))</f>
        <v>0</v>
      </c>
      <c r="P530">
        <f>IF($E530="","",IF($E529="",$E530,$E530*0.0740740741+P529*0.9259259259))</f>
        <v>0</v>
      </c>
      <c r="Q530">
        <f>IF(OR(O530="",P530=""),"",O530-P530)</f>
        <v>0</v>
      </c>
      <c r="R530">
        <f>IF(Q530="","",IF(R529="",Q530,Q530*0.2000000000+R529*0.8000000000))</f>
        <v>0</v>
      </c>
      <c r="S530">
        <f>IF(OR(Q530="",R530=""),"",Q530-R530)</f>
        <v>0</v>
      </c>
      <c r="T530">
        <f>IF(COUNT($E$2:$E530)&lt;14,"",MAX($C$517:$C$530))</f>
        <v>0</v>
      </c>
      <c r="U530">
        <f>IF(COUNT($E$2:$E530)&lt;14,"",MIN($D$517:$D$530))</f>
        <v>0</v>
      </c>
      <c r="V530">
        <f>IF(OR(T530="",U530="",T530=U530),"",100*($E530-U530)/(T530-U530))</f>
        <v>0</v>
      </c>
      <c r="W530">
        <f>IF(COUNT($V$528:$V$530)&lt;3,"",AVERAGE($V$528:$V$530))</f>
        <v>0</v>
      </c>
      <c r="X530">
        <f>IF(COUNT($N$517:$N$530)&lt;14,"",MIN($N$517:$N$530))</f>
        <v>0</v>
      </c>
      <c r="Y530">
        <f>IF(COUNT($N$517:$N$530)&lt;14,"",MAX($N$517:$N$530))</f>
        <v>0</v>
      </c>
      <c r="Z530">
        <f>IF(OR(N530="",X530="",Y530="",Y530=X530),"",100*(N530-X530)/(Y530-X530))</f>
        <v>0</v>
      </c>
      <c r="AA530">
        <f>IF(COUNT($Z$528:$Z$530)&lt;3,"",AVERAGE($Z$528:$Z$530))</f>
        <v>0</v>
      </c>
      <c r="AB530">
        <f>IF(COUNT($AA$528:$AA$530)&lt;3,"",AVERAGE($AA$528:$AA$530))</f>
        <v>0</v>
      </c>
      <c r="AC530">
        <f>IF($E530="","",MAX($C530-$D530,ABS($C530-$E529),ABS($D530-$E529)))</f>
        <v>0</v>
      </c>
      <c r="AD530">
        <f>IF(COUNT($E$2:$E530)&lt;15,"",AVERAGE($AC$517:$AC$530))</f>
        <v>0</v>
      </c>
      <c r="AE530">
        <f>IF(OR($E530="",$E529=""),"",IF(AND(($C530-$C529)&gt;($D529-$D530),($C530-$C529)&gt;0),$C530-$C529,0))</f>
        <v>0</v>
      </c>
      <c r="AF530">
        <f>IF(OR($E530="",$E529=""),"",IF(AND(($D529-$D530)&gt;($C530-$C529),($D529-$D530)&gt;0),$D529-$D530,0))</f>
        <v>0</v>
      </c>
      <c r="AG530">
        <f>IF(COUNT($E$2:$E530)&lt;15,"",IF(SUM($AC$517:$AC$530)=0,0,100*SUM($AE$517:$AE$530)/SUM($AC$517:$AC$530)))</f>
        <v>0</v>
      </c>
      <c r="AH530">
        <f>IF(COUNT($E$2:$E530)&lt;15,"",IF(SUM($AC$517:$AC$530)=0,0,100*SUM($AF$517:$AF$530)/SUM($AC$517:$AC$530)))</f>
        <v>0</v>
      </c>
      <c r="AI530">
        <f>IF(OR(AG530="",AH530=""),"",IF((AG530+AH530)=0,0,100*ABS(AG530-AH530)/(AG530+AH530)))</f>
        <v>0</v>
      </c>
      <c r="AJ530">
        <f>IF(COUNT($AI$517:$AI$530)&lt;14,"",AVERAGE($AI$517:$AI$530))</f>
        <v>0</v>
      </c>
      <c r="AK530">
        <f>IF(COUNT($E$2:$E530)&lt;20,"",AVERAGE($E$511:$E$530))</f>
        <v>0</v>
      </c>
      <c r="AL530">
        <f>IF(COUNT($E$2:$E530)&lt;20,"",STDEVP($E$511:$E$530))</f>
        <v>0</v>
      </c>
      <c r="AM530">
        <f>IF(AK530="","",AK530+2*AL530)</f>
        <v>0</v>
      </c>
      <c r="AN530">
        <f>IF(AK530="","",AK530-2*AL530)</f>
        <v>0</v>
      </c>
      <c r="AO530">
        <f>IF(OR(AM530="",AN530="",AM530=AN530),"",($E530-AN530)/(AM530-AN530))</f>
        <v>0</v>
      </c>
      <c r="AP530">
        <f>IF(OR(AM530="",AK530="",AK530=0),"",(AM530-AN530)/AK530)</f>
        <v>0</v>
      </c>
      <c r="AQ530">
        <f>IF(COUNT($E$2:$E530)&lt;20,"",MAX($C$511:$C$530))</f>
        <v>0</v>
      </c>
      <c r="AR530">
        <f>IF(COUNT($E$2:$E530)&lt;20,"",MIN($D$511:$D$530))</f>
        <v>0</v>
      </c>
      <c r="AS530">
        <f>IF(OR(AQ530="",AR530=""),"",(AQ530+AR530)/2)</f>
        <v>0</v>
      </c>
      <c r="AT530">
        <f>IF(COUNT($G$511:$G$530)&lt;20,"",STDEV($G$511:$G$530)*SQRT(252))</f>
        <v>0</v>
      </c>
      <c r="AU530">
        <f>IF(COUNT($E$2:$E530)&lt;9,"",(MAX($C$522:$C$530)+MIN($D$522:$D$530))/2)</f>
        <v>0</v>
      </c>
      <c r="AV530">
        <f>IF(COUNT($E$2:$E530)&lt;26,"",(MAX($C$505:$C$530)+MIN($D$505:$D$530))/2)</f>
        <v>0</v>
      </c>
      <c r="AW530">
        <f>IF(OR(AU530="",AV530=""),"",(AU530+AV530)/2)</f>
        <v>0</v>
      </c>
      <c r="AX530">
        <f>IF(COUNT($E$2:$E530)&lt;52,"",(MAX($C$479:$C$530)+MIN($D$479:$D$530))/2)</f>
        <v>0</v>
      </c>
      <c r="AY530">
        <f>IF(COUNT($E$2:$E530)&lt;20,"",MAX($C$431:$C$530))</f>
        <v>0</v>
      </c>
      <c r="AZ530">
        <f>IF(COUNT($E$2:$E530)&lt;20,"",MIN($D$431:$D$530))</f>
        <v>0</v>
      </c>
      <c r="BA530">
        <f>IF(COUNT($E$2:$E530)&lt;20,"",SLOPE($E$431:$E$530,$F$431:$F$530))</f>
        <v>0</v>
      </c>
      <c r="BB530">
        <f>IF(COUNT($E$2:$E530)&lt;20,"",INTERCEPT($E$431:$E$530,$F$431:$F$530))</f>
        <v>0</v>
      </c>
      <c r="BC530">
        <f>IF(OR(BA530="",BB530=""),"",BB530+BA530*F530)</f>
        <v>0</v>
      </c>
      <c r="BD530">
        <f>IF(COUNT($E$2:$E530)&lt;20,"",STEYX($E$431:$E$530,$F$431:$F$530))</f>
        <v>0</v>
      </c>
      <c r="BE530">
        <f>IF($E530="","",IF(AND(COUNT($E$531:$E$534)&gt;=4,$C530=MAX($C$526:$C$534)),$C530,""))</f>
        <v>0</v>
      </c>
      <c r="BF530">
        <f>IF($E530="","",IF(AND(COUNT($E$531:$E$534)&gt;=4,$D530=MIN($D$526:$D$534)),$D530,""))</f>
        <v>0</v>
      </c>
      <c r="BG530">
        <f>IF($A530="","",$A530-WEEKDAY($A530,2)+1)</f>
        <v>0</v>
      </c>
      <c r="BH530">
        <f>IF($A530="","",IF($A529="",1,IF(BG530&lt;&gt;BG529,1,0)))</f>
        <v>0</v>
      </c>
      <c r="BI530">
        <f>IF($A530="","",IF($A531="",1,IF(BG531&lt;&gt;BG530,1,0)))</f>
        <v>0</v>
      </c>
      <c r="BJ530">
        <f>IF($A530="","",IF(BH530=1,$B530,BJ529))</f>
        <v>0</v>
      </c>
      <c r="BK530">
        <f>IF($A530="","",IF(BH530=1,$C530,MAX($C530,BK529)))</f>
        <v>0</v>
      </c>
      <c r="BL530">
        <f>IF($A530="","",IF(BH530=1,$D530,MIN($D530,BL529)))</f>
        <v>0</v>
      </c>
      <c r="BM530">
        <f>IF($A530="","",IF(BI530=1,F530,""))</f>
        <v>0</v>
      </c>
      <c r="BN530">
        <f>IF($A530="","",DATE(YEAR($A530),MONTH($A530),1))</f>
        <v>0</v>
      </c>
      <c r="BO530">
        <f>IF($A530="","",IF($A529="",1,IF(BN530&lt;&gt;BN529,1,0)))</f>
        <v>0</v>
      </c>
      <c r="BP530">
        <f>IF($A530="","",IF($A531="",1,IF(BN531&lt;&gt;BN530,1,0)))</f>
        <v>0</v>
      </c>
      <c r="BQ530">
        <f>IF($A530="","",IF(BO530=1,$B530,BQ529))</f>
        <v>0</v>
      </c>
      <c r="BR530">
        <f>IF($A530="","",IF(BO530=1,$C530,MAX($C530,BR529)))</f>
        <v>0</v>
      </c>
      <c r="BS530">
        <f>IF($A530="","",IF(BO530=1,$D530,MIN($D530,BS529)))</f>
        <v>0</v>
      </c>
      <c r="BT530">
        <f>IF($A530="","",IF(BP530=1,F530,""))</f>
        <v>0</v>
      </c>
    </row>
    <row r="531" spans="1:72">
      <c r="A531" s="27">
        <f>IF(Data!$A531="","",Data!$A531)</f>
        <v>0</v>
      </c>
      <c r="B531">
        <f>IF(Data!$B531="","",Data!$B531)</f>
        <v>0</v>
      </c>
      <c r="C531">
        <f>IF(Data!$C531="","",Data!$C531)</f>
        <v>0</v>
      </c>
      <c r="D531">
        <f>IF(Data!$D531="","",Data!$D531)</f>
        <v>0</v>
      </c>
      <c r="E531">
        <f>IF(Data!$E531="","",Data!$E531)</f>
        <v>0</v>
      </c>
      <c r="F531">
        <f>IF($E531="","",N(F530)+1)</f>
        <v>0</v>
      </c>
      <c r="G531">
        <f>IF(OR($E531="",$E530=""),"",LN($E531/$E530))</f>
        <v>0</v>
      </c>
      <c r="H531">
        <f>IF($E531="","",IF($E530="",$E531,$E531*0.0952380952+H530*0.9047619048))</f>
        <v>0</v>
      </c>
      <c r="I531">
        <f>IF($E531="","",IF($E530="",$E531,$E531*0.0392156863+I530*0.9607843137))</f>
        <v>0</v>
      </c>
      <c r="J531">
        <f>IF($E531="","",IF($E530="",$E531,$E531*0.0198019802+J530*0.9801980198))</f>
        <v>0</v>
      </c>
      <c r="K531">
        <f>IF($E531="","",IF($E530="",$E531,$E531*0.0099502488+K530*0.9900497512))</f>
        <v>0</v>
      </c>
      <c r="L531">
        <f>IF(OR($E531="",$E530=""),"",MAX($E531-$E530,0))</f>
        <v>0</v>
      </c>
      <c r="M531">
        <f>IF(OR($E531="",$E530=""),"",MAX($E530-$E531,0))</f>
        <v>0</v>
      </c>
      <c r="N531">
        <f>IF(COUNT($E$2:$E531)&lt;15,"",IF(AVERAGE($M$518:$M$531)=0,100,100-100/(1+AVERAGE($L$518:$L$531)/AVERAGE($M$518:$M$531))))</f>
        <v>0</v>
      </c>
      <c r="O531">
        <f>IF($E531="","",IF($E530="",$E531,$E531*0.1538461538+O530*0.8461538462))</f>
        <v>0</v>
      </c>
      <c r="P531">
        <f>IF($E531="","",IF($E530="",$E531,$E531*0.0740740741+P530*0.9259259259))</f>
        <v>0</v>
      </c>
      <c r="Q531">
        <f>IF(OR(O531="",P531=""),"",O531-P531)</f>
        <v>0</v>
      </c>
      <c r="R531">
        <f>IF(Q531="","",IF(R530="",Q531,Q531*0.2000000000+R530*0.8000000000))</f>
        <v>0</v>
      </c>
      <c r="S531">
        <f>IF(OR(Q531="",R531=""),"",Q531-R531)</f>
        <v>0</v>
      </c>
      <c r="T531">
        <f>IF(COUNT($E$2:$E531)&lt;14,"",MAX($C$518:$C$531))</f>
        <v>0</v>
      </c>
      <c r="U531">
        <f>IF(COUNT($E$2:$E531)&lt;14,"",MIN($D$518:$D$531))</f>
        <v>0</v>
      </c>
      <c r="V531">
        <f>IF(OR(T531="",U531="",T531=U531),"",100*($E531-U531)/(T531-U531))</f>
        <v>0</v>
      </c>
      <c r="W531">
        <f>IF(COUNT($V$529:$V$531)&lt;3,"",AVERAGE($V$529:$V$531))</f>
        <v>0</v>
      </c>
      <c r="X531">
        <f>IF(COUNT($N$518:$N$531)&lt;14,"",MIN($N$518:$N$531))</f>
        <v>0</v>
      </c>
      <c r="Y531">
        <f>IF(COUNT($N$518:$N$531)&lt;14,"",MAX($N$518:$N$531))</f>
        <v>0</v>
      </c>
      <c r="Z531">
        <f>IF(OR(N531="",X531="",Y531="",Y531=X531),"",100*(N531-X531)/(Y531-X531))</f>
        <v>0</v>
      </c>
      <c r="AA531">
        <f>IF(COUNT($Z$529:$Z$531)&lt;3,"",AVERAGE($Z$529:$Z$531))</f>
        <v>0</v>
      </c>
      <c r="AB531">
        <f>IF(COUNT($AA$529:$AA$531)&lt;3,"",AVERAGE($AA$529:$AA$531))</f>
        <v>0</v>
      </c>
      <c r="AC531">
        <f>IF($E531="","",MAX($C531-$D531,ABS($C531-$E530),ABS($D531-$E530)))</f>
        <v>0</v>
      </c>
      <c r="AD531">
        <f>IF(COUNT($E$2:$E531)&lt;15,"",AVERAGE($AC$518:$AC$531))</f>
        <v>0</v>
      </c>
      <c r="AE531">
        <f>IF(OR($E531="",$E530=""),"",IF(AND(($C531-$C530)&gt;($D530-$D531),($C531-$C530)&gt;0),$C531-$C530,0))</f>
        <v>0</v>
      </c>
      <c r="AF531">
        <f>IF(OR($E531="",$E530=""),"",IF(AND(($D530-$D531)&gt;($C531-$C530),($D530-$D531)&gt;0),$D530-$D531,0))</f>
        <v>0</v>
      </c>
      <c r="AG531">
        <f>IF(COUNT($E$2:$E531)&lt;15,"",IF(SUM($AC$518:$AC$531)=0,0,100*SUM($AE$518:$AE$531)/SUM($AC$518:$AC$531)))</f>
        <v>0</v>
      </c>
      <c r="AH531">
        <f>IF(COUNT($E$2:$E531)&lt;15,"",IF(SUM($AC$518:$AC$531)=0,0,100*SUM($AF$518:$AF$531)/SUM($AC$518:$AC$531)))</f>
        <v>0</v>
      </c>
      <c r="AI531">
        <f>IF(OR(AG531="",AH531=""),"",IF((AG531+AH531)=0,0,100*ABS(AG531-AH531)/(AG531+AH531)))</f>
        <v>0</v>
      </c>
      <c r="AJ531">
        <f>IF(COUNT($AI$518:$AI$531)&lt;14,"",AVERAGE($AI$518:$AI$531))</f>
        <v>0</v>
      </c>
      <c r="AK531">
        <f>IF(COUNT($E$2:$E531)&lt;20,"",AVERAGE($E$512:$E$531))</f>
        <v>0</v>
      </c>
      <c r="AL531">
        <f>IF(COUNT($E$2:$E531)&lt;20,"",STDEVP($E$512:$E$531))</f>
        <v>0</v>
      </c>
      <c r="AM531">
        <f>IF(AK531="","",AK531+2*AL531)</f>
        <v>0</v>
      </c>
      <c r="AN531">
        <f>IF(AK531="","",AK531-2*AL531)</f>
        <v>0</v>
      </c>
      <c r="AO531">
        <f>IF(OR(AM531="",AN531="",AM531=AN531),"",($E531-AN531)/(AM531-AN531))</f>
        <v>0</v>
      </c>
      <c r="AP531">
        <f>IF(OR(AM531="",AK531="",AK531=0),"",(AM531-AN531)/AK531)</f>
        <v>0</v>
      </c>
      <c r="AQ531">
        <f>IF(COUNT($E$2:$E531)&lt;20,"",MAX($C$512:$C$531))</f>
        <v>0</v>
      </c>
      <c r="AR531">
        <f>IF(COUNT($E$2:$E531)&lt;20,"",MIN($D$512:$D$531))</f>
        <v>0</v>
      </c>
      <c r="AS531">
        <f>IF(OR(AQ531="",AR531=""),"",(AQ531+AR531)/2)</f>
        <v>0</v>
      </c>
      <c r="AT531">
        <f>IF(COUNT($G$512:$G$531)&lt;20,"",STDEV($G$512:$G$531)*SQRT(252))</f>
        <v>0</v>
      </c>
      <c r="AU531">
        <f>IF(COUNT($E$2:$E531)&lt;9,"",(MAX($C$523:$C$531)+MIN($D$523:$D$531))/2)</f>
        <v>0</v>
      </c>
      <c r="AV531">
        <f>IF(COUNT($E$2:$E531)&lt;26,"",(MAX($C$506:$C$531)+MIN($D$506:$D$531))/2)</f>
        <v>0</v>
      </c>
      <c r="AW531">
        <f>IF(OR(AU531="",AV531=""),"",(AU531+AV531)/2)</f>
        <v>0</v>
      </c>
      <c r="AX531">
        <f>IF(COUNT($E$2:$E531)&lt;52,"",(MAX($C$480:$C$531)+MIN($D$480:$D$531))/2)</f>
        <v>0</v>
      </c>
      <c r="AY531">
        <f>IF(COUNT($E$2:$E531)&lt;20,"",MAX($C$432:$C$531))</f>
        <v>0</v>
      </c>
      <c r="AZ531">
        <f>IF(COUNT($E$2:$E531)&lt;20,"",MIN($D$432:$D$531))</f>
        <v>0</v>
      </c>
      <c r="BA531">
        <f>IF(COUNT($E$2:$E531)&lt;20,"",SLOPE($E$432:$E$531,$F$432:$F$531))</f>
        <v>0</v>
      </c>
      <c r="BB531">
        <f>IF(COUNT($E$2:$E531)&lt;20,"",INTERCEPT($E$432:$E$531,$F$432:$F$531))</f>
        <v>0</v>
      </c>
      <c r="BC531">
        <f>IF(OR(BA531="",BB531=""),"",BB531+BA531*F531)</f>
        <v>0</v>
      </c>
      <c r="BD531">
        <f>IF(COUNT($E$2:$E531)&lt;20,"",STEYX($E$432:$E$531,$F$432:$F$531))</f>
        <v>0</v>
      </c>
      <c r="BE531">
        <f>IF($E531="","",IF(AND(COUNT($E$532:$E$535)&gt;=4,$C531=MAX($C$527:$C$535)),$C531,""))</f>
        <v>0</v>
      </c>
      <c r="BF531">
        <f>IF($E531="","",IF(AND(COUNT($E$532:$E$535)&gt;=4,$D531=MIN($D$527:$D$535)),$D531,""))</f>
        <v>0</v>
      </c>
      <c r="BG531">
        <f>IF($A531="","",$A531-WEEKDAY($A531,2)+1)</f>
        <v>0</v>
      </c>
      <c r="BH531">
        <f>IF($A531="","",IF($A530="",1,IF(BG531&lt;&gt;BG530,1,0)))</f>
        <v>0</v>
      </c>
      <c r="BI531">
        <f>IF($A531="","",IF($A532="",1,IF(BG532&lt;&gt;BG531,1,0)))</f>
        <v>0</v>
      </c>
      <c r="BJ531">
        <f>IF($A531="","",IF(BH531=1,$B531,BJ530))</f>
        <v>0</v>
      </c>
      <c r="BK531">
        <f>IF($A531="","",IF(BH531=1,$C531,MAX($C531,BK530)))</f>
        <v>0</v>
      </c>
      <c r="BL531">
        <f>IF($A531="","",IF(BH531=1,$D531,MIN($D531,BL530)))</f>
        <v>0</v>
      </c>
      <c r="BM531">
        <f>IF($A531="","",IF(BI531=1,F531,""))</f>
        <v>0</v>
      </c>
      <c r="BN531">
        <f>IF($A531="","",DATE(YEAR($A531),MONTH($A531),1))</f>
        <v>0</v>
      </c>
      <c r="BO531">
        <f>IF($A531="","",IF($A530="",1,IF(BN531&lt;&gt;BN530,1,0)))</f>
        <v>0</v>
      </c>
      <c r="BP531">
        <f>IF($A531="","",IF($A532="",1,IF(BN532&lt;&gt;BN531,1,0)))</f>
        <v>0</v>
      </c>
      <c r="BQ531">
        <f>IF($A531="","",IF(BO531=1,$B531,BQ530))</f>
        <v>0</v>
      </c>
      <c r="BR531">
        <f>IF($A531="","",IF(BO531=1,$C531,MAX($C531,BR530)))</f>
        <v>0</v>
      </c>
      <c r="BS531">
        <f>IF($A531="","",IF(BO531=1,$D531,MIN($D531,BS530)))</f>
        <v>0</v>
      </c>
      <c r="BT531">
        <f>IF($A531="","",IF(BP531=1,F531,""))</f>
        <v>0</v>
      </c>
    </row>
    <row r="532" spans="1:72">
      <c r="A532" s="27">
        <f>IF(Data!$A532="","",Data!$A532)</f>
        <v>0</v>
      </c>
      <c r="B532">
        <f>IF(Data!$B532="","",Data!$B532)</f>
        <v>0</v>
      </c>
      <c r="C532">
        <f>IF(Data!$C532="","",Data!$C532)</f>
        <v>0</v>
      </c>
      <c r="D532">
        <f>IF(Data!$D532="","",Data!$D532)</f>
        <v>0</v>
      </c>
      <c r="E532">
        <f>IF(Data!$E532="","",Data!$E532)</f>
        <v>0</v>
      </c>
      <c r="F532">
        <f>IF($E532="","",N(F531)+1)</f>
        <v>0</v>
      </c>
      <c r="G532">
        <f>IF(OR($E532="",$E531=""),"",LN($E532/$E531))</f>
        <v>0</v>
      </c>
      <c r="H532">
        <f>IF($E532="","",IF($E531="",$E532,$E532*0.0952380952+H531*0.9047619048))</f>
        <v>0</v>
      </c>
      <c r="I532">
        <f>IF($E532="","",IF($E531="",$E532,$E532*0.0392156863+I531*0.9607843137))</f>
        <v>0</v>
      </c>
      <c r="J532">
        <f>IF($E532="","",IF($E531="",$E532,$E532*0.0198019802+J531*0.9801980198))</f>
        <v>0</v>
      </c>
      <c r="K532">
        <f>IF($E532="","",IF($E531="",$E532,$E532*0.0099502488+K531*0.9900497512))</f>
        <v>0</v>
      </c>
      <c r="L532">
        <f>IF(OR($E532="",$E531=""),"",MAX($E532-$E531,0))</f>
        <v>0</v>
      </c>
      <c r="M532">
        <f>IF(OR($E532="",$E531=""),"",MAX($E531-$E532,0))</f>
        <v>0</v>
      </c>
      <c r="N532">
        <f>IF(COUNT($E$2:$E532)&lt;15,"",IF(AVERAGE($M$519:$M$532)=0,100,100-100/(1+AVERAGE($L$519:$L$532)/AVERAGE($M$519:$M$532))))</f>
        <v>0</v>
      </c>
      <c r="O532">
        <f>IF($E532="","",IF($E531="",$E532,$E532*0.1538461538+O531*0.8461538462))</f>
        <v>0</v>
      </c>
      <c r="P532">
        <f>IF($E532="","",IF($E531="",$E532,$E532*0.0740740741+P531*0.9259259259))</f>
        <v>0</v>
      </c>
      <c r="Q532">
        <f>IF(OR(O532="",P532=""),"",O532-P532)</f>
        <v>0</v>
      </c>
      <c r="R532">
        <f>IF(Q532="","",IF(R531="",Q532,Q532*0.2000000000+R531*0.8000000000))</f>
        <v>0</v>
      </c>
      <c r="S532">
        <f>IF(OR(Q532="",R532=""),"",Q532-R532)</f>
        <v>0</v>
      </c>
      <c r="T532">
        <f>IF(COUNT($E$2:$E532)&lt;14,"",MAX($C$519:$C$532))</f>
        <v>0</v>
      </c>
      <c r="U532">
        <f>IF(COUNT($E$2:$E532)&lt;14,"",MIN($D$519:$D$532))</f>
        <v>0</v>
      </c>
      <c r="V532">
        <f>IF(OR(T532="",U532="",T532=U532),"",100*($E532-U532)/(T532-U532))</f>
        <v>0</v>
      </c>
      <c r="W532">
        <f>IF(COUNT($V$530:$V$532)&lt;3,"",AVERAGE($V$530:$V$532))</f>
        <v>0</v>
      </c>
      <c r="X532">
        <f>IF(COUNT($N$519:$N$532)&lt;14,"",MIN($N$519:$N$532))</f>
        <v>0</v>
      </c>
      <c r="Y532">
        <f>IF(COUNT($N$519:$N$532)&lt;14,"",MAX($N$519:$N$532))</f>
        <v>0</v>
      </c>
      <c r="Z532">
        <f>IF(OR(N532="",X532="",Y532="",Y532=X532),"",100*(N532-X532)/(Y532-X532))</f>
        <v>0</v>
      </c>
      <c r="AA532">
        <f>IF(COUNT($Z$530:$Z$532)&lt;3,"",AVERAGE($Z$530:$Z$532))</f>
        <v>0</v>
      </c>
      <c r="AB532">
        <f>IF(COUNT($AA$530:$AA$532)&lt;3,"",AVERAGE($AA$530:$AA$532))</f>
        <v>0</v>
      </c>
      <c r="AC532">
        <f>IF($E532="","",MAX($C532-$D532,ABS($C532-$E531),ABS($D532-$E531)))</f>
        <v>0</v>
      </c>
      <c r="AD532">
        <f>IF(COUNT($E$2:$E532)&lt;15,"",AVERAGE($AC$519:$AC$532))</f>
        <v>0</v>
      </c>
      <c r="AE532">
        <f>IF(OR($E532="",$E531=""),"",IF(AND(($C532-$C531)&gt;($D531-$D532),($C532-$C531)&gt;0),$C532-$C531,0))</f>
        <v>0</v>
      </c>
      <c r="AF532">
        <f>IF(OR($E532="",$E531=""),"",IF(AND(($D531-$D532)&gt;($C532-$C531),($D531-$D532)&gt;0),$D531-$D532,0))</f>
        <v>0</v>
      </c>
      <c r="AG532">
        <f>IF(COUNT($E$2:$E532)&lt;15,"",IF(SUM($AC$519:$AC$532)=0,0,100*SUM($AE$519:$AE$532)/SUM($AC$519:$AC$532)))</f>
        <v>0</v>
      </c>
      <c r="AH532">
        <f>IF(COUNT($E$2:$E532)&lt;15,"",IF(SUM($AC$519:$AC$532)=0,0,100*SUM($AF$519:$AF$532)/SUM($AC$519:$AC$532)))</f>
        <v>0</v>
      </c>
      <c r="AI532">
        <f>IF(OR(AG532="",AH532=""),"",IF((AG532+AH532)=0,0,100*ABS(AG532-AH532)/(AG532+AH532)))</f>
        <v>0</v>
      </c>
      <c r="AJ532">
        <f>IF(COUNT($AI$519:$AI$532)&lt;14,"",AVERAGE($AI$519:$AI$532))</f>
        <v>0</v>
      </c>
      <c r="AK532">
        <f>IF(COUNT($E$2:$E532)&lt;20,"",AVERAGE($E$513:$E$532))</f>
        <v>0</v>
      </c>
      <c r="AL532">
        <f>IF(COUNT($E$2:$E532)&lt;20,"",STDEVP($E$513:$E$532))</f>
        <v>0</v>
      </c>
      <c r="AM532">
        <f>IF(AK532="","",AK532+2*AL532)</f>
        <v>0</v>
      </c>
      <c r="AN532">
        <f>IF(AK532="","",AK532-2*AL532)</f>
        <v>0</v>
      </c>
      <c r="AO532">
        <f>IF(OR(AM532="",AN532="",AM532=AN532),"",($E532-AN532)/(AM532-AN532))</f>
        <v>0</v>
      </c>
      <c r="AP532">
        <f>IF(OR(AM532="",AK532="",AK532=0),"",(AM532-AN532)/AK532)</f>
        <v>0</v>
      </c>
      <c r="AQ532">
        <f>IF(COUNT($E$2:$E532)&lt;20,"",MAX($C$513:$C$532))</f>
        <v>0</v>
      </c>
      <c r="AR532">
        <f>IF(COUNT($E$2:$E532)&lt;20,"",MIN($D$513:$D$532))</f>
        <v>0</v>
      </c>
      <c r="AS532">
        <f>IF(OR(AQ532="",AR532=""),"",(AQ532+AR532)/2)</f>
        <v>0</v>
      </c>
      <c r="AT532">
        <f>IF(COUNT($G$513:$G$532)&lt;20,"",STDEV($G$513:$G$532)*SQRT(252))</f>
        <v>0</v>
      </c>
      <c r="AU532">
        <f>IF(COUNT($E$2:$E532)&lt;9,"",(MAX($C$524:$C$532)+MIN($D$524:$D$532))/2)</f>
        <v>0</v>
      </c>
      <c r="AV532">
        <f>IF(COUNT($E$2:$E532)&lt;26,"",(MAX($C$507:$C$532)+MIN($D$507:$D$532))/2)</f>
        <v>0</v>
      </c>
      <c r="AW532">
        <f>IF(OR(AU532="",AV532=""),"",(AU532+AV532)/2)</f>
        <v>0</v>
      </c>
      <c r="AX532">
        <f>IF(COUNT($E$2:$E532)&lt;52,"",(MAX($C$481:$C$532)+MIN($D$481:$D$532))/2)</f>
        <v>0</v>
      </c>
      <c r="AY532">
        <f>IF(COUNT($E$2:$E532)&lt;20,"",MAX($C$433:$C$532))</f>
        <v>0</v>
      </c>
      <c r="AZ532">
        <f>IF(COUNT($E$2:$E532)&lt;20,"",MIN($D$433:$D$532))</f>
        <v>0</v>
      </c>
      <c r="BA532">
        <f>IF(COUNT($E$2:$E532)&lt;20,"",SLOPE($E$433:$E$532,$F$433:$F$532))</f>
        <v>0</v>
      </c>
      <c r="BB532">
        <f>IF(COUNT($E$2:$E532)&lt;20,"",INTERCEPT($E$433:$E$532,$F$433:$F$532))</f>
        <v>0</v>
      </c>
      <c r="BC532">
        <f>IF(OR(BA532="",BB532=""),"",BB532+BA532*F532)</f>
        <v>0</v>
      </c>
      <c r="BD532">
        <f>IF(COUNT($E$2:$E532)&lt;20,"",STEYX($E$433:$E$532,$F$433:$F$532))</f>
        <v>0</v>
      </c>
      <c r="BE532">
        <f>IF($E532="","",IF(AND(COUNT($E$533:$E$536)&gt;=4,$C532=MAX($C$528:$C$536)),$C532,""))</f>
        <v>0</v>
      </c>
      <c r="BF532">
        <f>IF($E532="","",IF(AND(COUNT($E$533:$E$536)&gt;=4,$D532=MIN($D$528:$D$536)),$D532,""))</f>
        <v>0</v>
      </c>
      <c r="BG532">
        <f>IF($A532="","",$A532-WEEKDAY($A532,2)+1)</f>
        <v>0</v>
      </c>
      <c r="BH532">
        <f>IF($A532="","",IF($A531="",1,IF(BG532&lt;&gt;BG531,1,0)))</f>
        <v>0</v>
      </c>
      <c r="BI532">
        <f>IF($A532="","",IF($A533="",1,IF(BG533&lt;&gt;BG532,1,0)))</f>
        <v>0</v>
      </c>
      <c r="BJ532">
        <f>IF($A532="","",IF(BH532=1,$B532,BJ531))</f>
        <v>0</v>
      </c>
      <c r="BK532">
        <f>IF($A532="","",IF(BH532=1,$C532,MAX($C532,BK531)))</f>
        <v>0</v>
      </c>
      <c r="BL532">
        <f>IF($A532="","",IF(BH532=1,$D532,MIN($D532,BL531)))</f>
        <v>0</v>
      </c>
      <c r="BM532">
        <f>IF($A532="","",IF(BI532=1,F532,""))</f>
        <v>0</v>
      </c>
      <c r="BN532">
        <f>IF($A532="","",DATE(YEAR($A532),MONTH($A532),1))</f>
        <v>0</v>
      </c>
      <c r="BO532">
        <f>IF($A532="","",IF($A531="",1,IF(BN532&lt;&gt;BN531,1,0)))</f>
        <v>0</v>
      </c>
      <c r="BP532">
        <f>IF($A532="","",IF($A533="",1,IF(BN533&lt;&gt;BN532,1,0)))</f>
        <v>0</v>
      </c>
      <c r="BQ532">
        <f>IF($A532="","",IF(BO532=1,$B532,BQ531))</f>
        <v>0</v>
      </c>
      <c r="BR532">
        <f>IF($A532="","",IF(BO532=1,$C532,MAX($C532,BR531)))</f>
        <v>0</v>
      </c>
      <c r="BS532">
        <f>IF($A532="","",IF(BO532=1,$D532,MIN($D532,BS531)))</f>
        <v>0</v>
      </c>
      <c r="BT532">
        <f>IF($A532="","",IF(BP532=1,F532,""))</f>
        <v>0</v>
      </c>
    </row>
    <row r="533" spans="1:72">
      <c r="A533" s="27">
        <f>IF(Data!$A533="","",Data!$A533)</f>
        <v>0</v>
      </c>
      <c r="B533">
        <f>IF(Data!$B533="","",Data!$B533)</f>
        <v>0</v>
      </c>
      <c r="C533">
        <f>IF(Data!$C533="","",Data!$C533)</f>
        <v>0</v>
      </c>
      <c r="D533">
        <f>IF(Data!$D533="","",Data!$D533)</f>
        <v>0</v>
      </c>
      <c r="E533">
        <f>IF(Data!$E533="","",Data!$E533)</f>
        <v>0</v>
      </c>
      <c r="F533">
        <f>IF($E533="","",N(F532)+1)</f>
        <v>0</v>
      </c>
      <c r="G533">
        <f>IF(OR($E533="",$E532=""),"",LN($E533/$E532))</f>
        <v>0</v>
      </c>
      <c r="H533">
        <f>IF($E533="","",IF($E532="",$E533,$E533*0.0952380952+H532*0.9047619048))</f>
        <v>0</v>
      </c>
      <c r="I533">
        <f>IF($E533="","",IF($E532="",$E533,$E533*0.0392156863+I532*0.9607843137))</f>
        <v>0</v>
      </c>
      <c r="J533">
        <f>IF($E533="","",IF($E532="",$E533,$E533*0.0198019802+J532*0.9801980198))</f>
        <v>0</v>
      </c>
      <c r="K533">
        <f>IF($E533="","",IF($E532="",$E533,$E533*0.0099502488+K532*0.9900497512))</f>
        <v>0</v>
      </c>
      <c r="L533">
        <f>IF(OR($E533="",$E532=""),"",MAX($E533-$E532,0))</f>
        <v>0</v>
      </c>
      <c r="M533">
        <f>IF(OR($E533="",$E532=""),"",MAX($E532-$E533,0))</f>
        <v>0</v>
      </c>
      <c r="N533">
        <f>IF(COUNT($E$2:$E533)&lt;15,"",IF(AVERAGE($M$520:$M$533)=0,100,100-100/(1+AVERAGE($L$520:$L$533)/AVERAGE($M$520:$M$533))))</f>
        <v>0</v>
      </c>
      <c r="O533">
        <f>IF($E533="","",IF($E532="",$E533,$E533*0.1538461538+O532*0.8461538462))</f>
        <v>0</v>
      </c>
      <c r="P533">
        <f>IF($E533="","",IF($E532="",$E533,$E533*0.0740740741+P532*0.9259259259))</f>
        <v>0</v>
      </c>
      <c r="Q533">
        <f>IF(OR(O533="",P533=""),"",O533-P533)</f>
        <v>0</v>
      </c>
      <c r="R533">
        <f>IF(Q533="","",IF(R532="",Q533,Q533*0.2000000000+R532*0.8000000000))</f>
        <v>0</v>
      </c>
      <c r="S533">
        <f>IF(OR(Q533="",R533=""),"",Q533-R533)</f>
        <v>0</v>
      </c>
      <c r="T533">
        <f>IF(COUNT($E$2:$E533)&lt;14,"",MAX($C$520:$C$533))</f>
        <v>0</v>
      </c>
      <c r="U533">
        <f>IF(COUNT($E$2:$E533)&lt;14,"",MIN($D$520:$D$533))</f>
        <v>0</v>
      </c>
      <c r="V533">
        <f>IF(OR(T533="",U533="",T533=U533),"",100*($E533-U533)/(T533-U533))</f>
        <v>0</v>
      </c>
      <c r="W533">
        <f>IF(COUNT($V$531:$V$533)&lt;3,"",AVERAGE($V$531:$V$533))</f>
        <v>0</v>
      </c>
      <c r="X533">
        <f>IF(COUNT($N$520:$N$533)&lt;14,"",MIN($N$520:$N$533))</f>
        <v>0</v>
      </c>
      <c r="Y533">
        <f>IF(COUNT($N$520:$N$533)&lt;14,"",MAX($N$520:$N$533))</f>
        <v>0</v>
      </c>
      <c r="Z533">
        <f>IF(OR(N533="",X533="",Y533="",Y533=X533),"",100*(N533-X533)/(Y533-X533))</f>
        <v>0</v>
      </c>
      <c r="AA533">
        <f>IF(COUNT($Z$531:$Z$533)&lt;3,"",AVERAGE($Z$531:$Z$533))</f>
        <v>0</v>
      </c>
      <c r="AB533">
        <f>IF(COUNT($AA$531:$AA$533)&lt;3,"",AVERAGE($AA$531:$AA$533))</f>
        <v>0</v>
      </c>
      <c r="AC533">
        <f>IF($E533="","",MAX($C533-$D533,ABS($C533-$E532),ABS($D533-$E532)))</f>
        <v>0</v>
      </c>
      <c r="AD533">
        <f>IF(COUNT($E$2:$E533)&lt;15,"",AVERAGE($AC$520:$AC$533))</f>
        <v>0</v>
      </c>
      <c r="AE533">
        <f>IF(OR($E533="",$E532=""),"",IF(AND(($C533-$C532)&gt;($D532-$D533),($C533-$C532)&gt;0),$C533-$C532,0))</f>
        <v>0</v>
      </c>
      <c r="AF533">
        <f>IF(OR($E533="",$E532=""),"",IF(AND(($D532-$D533)&gt;($C533-$C532),($D532-$D533)&gt;0),$D532-$D533,0))</f>
        <v>0</v>
      </c>
      <c r="AG533">
        <f>IF(COUNT($E$2:$E533)&lt;15,"",IF(SUM($AC$520:$AC$533)=0,0,100*SUM($AE$520:$AE$533)/SUM($AC$520:$AC$533)))</f>
        <v>0</v>
      </c>
      <c r="AH533">
        <f>IF(COUNT($E$2:$E533)&lt;15,"",IF(SUM($AC$520:$AC$533)=0,0,100*SUM($AF$520:$AF$533)/SUM($AC$520:$AC$533)))</f>
        <v>0</v>
      </c>
      <c r="AI533">
        <f>IF(OR(AG533="",AH533=""),"",IF((AG533+AH533)=0,0,100*ABS(AG533-AH533)/(AG533+AH533)))</f>
        <v>0</v>
      </c>
      <c r="AJ533">
        <f>IF(COUNT($AI$520:$AI$533)&lt;14,"",AVERAGE($AI$520:$AI$533))</f>
        <v>0</v>
      </c>
      <c r="AK533">
        <f>IF(COUNT($E$2:$E533)&lt;20,"",AVERAGE($E$514:$E$533))</f>
        <v>0</v>
      </c>
      <c r="AL533">
        <f>IF(COUNT($E$2:$E533)&lt;20,"",STDEVP($E$514:$E$533))</f>
        <v>0</v>
      </c>
      <c r="AM533">
        <f>IF(AK533="","",AK533+2*AL533)</f>
        <v>0</v>
      </c>
      <c r="AN533">
        <f>IF(AK533="","",AK533-2*AL533)</f>
        <v>0</v>
      </c>
      <c r="AO533">
        <f>IF(OR(AM533="",AN533="",AM533=AN533),"",($E533-AN533)/(AM533-AN533))</f>
        <v>0</v>
      </c>
      <c r="AP533">
        <f>IF(OR(AM533="",AK533="",AK533=0),"",(AM533-AN533)/AK533)</f>
        <v>0</v>
      </c>
      <c r="AQ533">
        <f>IF(COUNT($E$2:$E533)&lt;20,"",MAX($C$514:$C$533))</f>
        <v>0</v>
      </c>
      <c r="AR533">
        <f>IF(COUNT($E$2:$E533)&lt;20,"",MIN($D$514:$D$533))</f>
        <v>0</v>
      </c>
      <c r="AS533">
        <f>IF(OR(AQ533="",AR533=""),"",(AQ533+AR533)/2)</f>
        <v>0</v>
      </c>
      <c r="AT533">
        <f>IF(COUNT($G$514:$G$533)&lt;20,"",STDEV($G$514:$G$533)*SQRT(252))</f>
        <v>0</v>
      </c>
      <c r="AU533">
        <f>IF(COUNT($E$2:$E533)&lt;9,"",(MAX($C$525:$C$533)+MIN($D$525:$D$533))/2)</f>
        <v>0</v>
      </c>
      <c r="AV533">
        <f>IF(COUNT($E$2:$E533)&lt;26,"",(MAX($C$508:$C$533)+MIN($D$508:$D$533))/2)</f>
        <v>0</v>
      </c>
      <c r="AW533">
        <f>IF(OR(AU533="",AV533=""),"",(AU533+AV533)/2)</f>
        <v>0</v>
      </c>
      <c r="AX533">
        <f>IF(COUNT($E$2:$E533)&lt;52,"",(MAX($C$482:$C$533)+MIN($D$482:$D$533))/2)</f>
        <v>0</v>
      </c>
      <c r="AY533">
        <f>IF(COUNT($E$2:$E533)&lt;20,"",MAX($C$434:$C$533))</f>
        <v>0</v>
      </c>
      <c r="AZ533">
        <f>IF(COUNT($E$2:$E533)&lt;20,"",MIN($D$434:$D$533))</f>
        <v>0</v>
      </c>
      <c r="BA533">
        <f>IF(COUNT($E$2:$E533)&lt;20,"",SLOPE($E$434:$E$533,$F$434:$F$533))</f>
        <v>0</v>
      </c>
      <c r="BB533">
        <f>IF(COUNT($E$2:$E533)&lt;20,"",INTERCEPT($E$434:$E$533,$F$434:$F$533))</f>
        <v>0</v>
      </c>
      <c r="BC533">
        <f>IF(OR(BA533="",BB533=""),"",BB533+BA533*F533)</f>
        <v>0</v>
      </c>
      <c r="BD533">
        <f>IF(COUNT($E$2:$E533)&lt;20,"",STEYX($E$434:$E$533,$F$434:$F$533))</f>
        <v>0</v>
      </c>
      <c r="BE533">
        <f>IF($E533="","",IF(AND(COUNT($E$534:$E$537)&gt;=4,$C533=MAX($C$529:$C$537)),$C533,""))</f>
        <v>0</v>
      </c>
      <c r="BF533">
        <f>IF($E533="","",IF(AND(COUNT($E$534:$E$537)&gt;=4,$D533=MIN($D$529:$D$537)),$D533,""))</f>
        <v>0</v>
      </c>
      <c r="BG533">
        <f>IF($A533="","",$A533-WEEKDAY($A533,2)+1)</f>
        <v>0</v>
      </c>
      <c r="BH533">
        <f>IF($A533="","",IF($A532="",1,IF(BG533&lt;&gt;BG532,1,0)))</f>
        <v>0</v>
      </c>
      <c r="BI533">
        <f>IF($A533="","",IF($A534="",1,IF(BG534&lt;&gt;BG533,1,0)))</f>
        <v>0</v>
      </c>
      <c r="BJ533">
        <f>IF($A533="","",IF(BH533=1,$B533,BJ532))</f>
        <v>0</v>
      </c>
      <c r="BK533">
        <f>IF($A533="","",IF(BH533=1,$C533,MAX($C533,BK532)))</f>
        <v>0</v>
      </c>
      <c r="BL533">
        <f>IF($A533="","",IF(BH533=1,$D533,MIN($D533,BL532)))</f>
        <v>0</v>
      </c>
      <c r="BM533">
        <f>IF($A533="","",IF(BI533=1,F533,""))</f>
        <v>0</v>
      </c>
      <c r="BN533">
        <f>IF($A533="","",DATE(YEAR($A533),MONTH($A533),1))</f>
        <v>0</v>
      </c>
      <c r="BO533">
        <f>IF($A533="","",IF($A532="",1,IF(BN533&lt;&gt;BN532,1,0)))</f>
        <v>0</v>
      </c>
      <c r="BP533">
        <f>IF($A533="","",IF($A534="",1,IF(BN534&lt;&gt;BN533,1,0)))</f>
        <v>0</v>
      </c>
      <c r="BQ533">
        <f>IF($A533="","",IF(BO533=1,$B533,BQ532))</f>
        <v>0</v>
      </c>
      <c r="BR533">
        <f>IF($A533="","",IF(BO533=1,$C533,MAX($C533,BR532)))</f>
        <v>0</v>
      </c>
      <c r="BS533">
        <f>IF($A533="","",IF(BO533=1,$D533,MIN($D533,BS532)))</f>
        <v>0</v>
      </c>
      <c r="BT533">
        <f>IF($A533="","",IF(BP533=1,F533,""))</f>
        <v>0</v>
      </c>
    </row>
    <row r="534" spans="1:72">
      <c r="A534" s="27">
        <f>IF(Data!$A534="","",Data!$A534)</f>
        <v>0</v>
      </c>
      <c r="B534">
        <f>IF(Data!$B534="","",Data!$B534)</f>
        <v>0</v>
      </c>
      <c r="C534">
        <f>IF(Data!$C534="","",Data!$C534)</f>
        <v>0</v>
      </c>
      <c r="D534">
        <f>IF(Data!$D534="","",Data!$D534)</f>
        <v>0</v>
      </c>
      <c r="E534">
        <f>IF(Data!$E534="","",Data!$E534)</f>
        <v>0</v>
      </c>
      <c r="F534">
        <f>IF($E534="","",N(F533)+1)</f>
        <v>0</v>
      </c>
      <c r="G534">
        <f>IF(OR($E534="",$E533=""),"",LN($E534/$E533))</f>
        <v>0</v>
      </c>
      <c r="H534">
        <f>IF($E534="","",IF($E533="",$E534,$E534*0.0952380952+H533*0.9047619048))</f>
        <v>0</v>
      </c>
      <c r="I534">
        <f>IF($E534="","",IF($E533="",$E534,$E534*0.0392156863+I533*0.9607843137))</f>
        <v>0</v>
      </c>
      <c r="J534">
        <f>IF($E534="","",IF($E533="",$E534,$E534*0.0198019802+J533*0.9801980198))</f>
        <v>0</v>
      </c>
      <c r="K534">
        <f>IF($E534="","",IF($E533="",$E534,$E534*0.0099502488+K533*0.9900497512))</f>
        <v>0</v>
      </c>
      <c r="L534">
        <f>IF(OR($E534="",$E533=""),"",MAX($E534-$E533,0))</f>
        <v>0</v>
      </c>
      <c r="M534">
        <f>IF(OR($E534="",$E533=""),"",MAX($E533-$E534,0))</f>
        <v>0</v>
      </c>
      <c r="N534">
        <f>IF(COUNT($E$2:$E534)&lt;15,"",IF(AVERAGE($M$521:$M$534)=0,100,100-100/(1+AVERAGE($L$521:$L$534)/AVERAGE($M$521:$M$534))))</f>
        <v>0</v>
      </c>
      <c r="O534">
        <f>IF($E534="","",IF($E533="",$E534,$E534*0.1538461538+O533*0.8461538462))</f>
        <v>0</v>
      </c>
      <c r="P534">
        <f>IF($E534="","",IF($E533="",$E534,$E534*0.0740740741+P533*0.9259259259))</f>
        <v>0</v>
      </c>
      <c r="Q534">
        <f>IF(OR(O534="",P534=""),"",O534-P534)</f>
        <v>0</v>
      </c>
      <c r="R534">
        <f>IF(Q534="","",IF(R533="",Q534,Q534*0.2000000000+R533*0.8000000000))</f>
        <v>0</v>
      </c>
      <c r="S534">
        <f>IF(OR(Q534="",R534=""),"",Q534-R534)</f>
        <v>0</v>
      </c>
      <c r="T534">
        <f>IF(COUNT($E$2:$E534)&lt;14,"",MAX($C$521:$C$534))</f>
        <v>0</v>
      </c>
      <c r="U534">
        <f>IF(COUNT($E$2:$E534)&lt;14,"",MIN($D$521:$D$534))</f>
        <v>0</v>
      </c>
      <c r="V534">
        <f>IF(OR(T534="",U534="",T534=U534),"",100*($E534-U534)/(T534-U534))</f>
        <v>0</v>
      </c>
      <c r="W534">
        <f>IF(COUNT($V$532:$V$534)&lt;3,"",AVERAGE($V$532:$V$534))</f>
        <v>0</v>
      </c>
      <c r="X534">
        <f>IF(COUNT($N$521:$N$534)&lt;14,"",MIN($N$521:$N$534))</f>
        <v>0</v>
      </c>
      <c r="Y534">
        <f>IF(COUNT($N$521:$N$534)&lt;14,"",MAX($N$521:$N$534))</f>
        <v>0</v>
      </c>
      <c r="Z534">
        <f>IF(OR(N534="",X534="",Y534="",Y534=X534),"",100*(N534-X534)/(Y534-X534))</f>
        <v>0</v>
      </c>
      <c r="AA534">
        <f>IF(COUNT($Z$532:$Z$534)&lt;3,"",AVERAGE($Z$532:$Z$534))</f>
        <v>0</v>
      </c>
      <c r="AB534">
        <f>IF(COUNT($AA$532:$AA$534)&lt;3,"",AVERAGE($AA$532:$AA$534))</f>
        <v>0</v>
      </c>
      <c r="AC534">
        <f>IF($E534="","",MAX($C534-$D534,ABS($C534-$E533),ABS($D534-$E533)))</f>
        <v>0</v>
      </c>
      <c r="AD534">
        <f>IF(COUNT($E$2:$E534)&lt;15,"",AVERAGE($AC$521:$AC$534))</f>
        <v>0</v>
      </c>
      <c r="AE534">
        <f>IF(OR($E534="",$E533=""),"",IF(AND(($C534-$C533)&gt;($D533-$D534),($C534-$C533)&gt;0),$C534-$C533,0))</f>
        <v>0</v>
      </c>
      <c r="AF534">
        <f>IF(OR($E534="",$E533=""),"",IF(AND(($D533-$D534)&gt;($C534-$C533),($D533-$D534)&gt;0),$D533-$D534,0))</f>
        <v>0</v>
      </c>
      <c r="AG534">
        <f>IF(COUNT($E$2:$E534)&lt;15,"",IF(SUM($AC$521:$AC$534)=0,0,100*SUM($AE$521:$AE$534)/SUM($AC$521:$AC$534)))</f>
        <v>0</v>
      </c>
      <c r="AH534">
        <f>IF(COUNT($E$2:$E534)&lt;15,"",IF(SUM($AC$521:$AC$534)=0,0,100*SUM($AF$521:$AF$534)/SUM($AC$521:$AC$534)))</f>
        <v>0</v>
      </c>
      <c r="AI534">
        <f>IF(OR(AG534="",AH534=""),"",IF((AG534+AH534)=0,0,100*ABS(AG534-AH534)/(AG534+AH534)))</f>
        <v>0</v>
      </c>
      <c r="AJ534">
        <f>IF(COUNT($AI$521:$AI$534)&lt;14,"",AVERAGE($AI$521:$AI$534))</f>
        <v>0</v>
      </c>
      <c r="AK534">
        <f>IF(COUNT($E$2:$E534)&lt;20,"",AVERAGE($E$515:$E$534))</f>
        <v>0</v>
      </c>
      <c r="AL534">
        <f>IF(COUNT($E$2:$E534)&lt;20,"",STDEVP($E$515:$E$534))</f>
        <v>0</v>
      </c>
      <c r="AM534">
        <f>IF(AK534="","",AK534+2*AL534)</f>
        <v>0</v>
      </c>
      <c r="AN534">
        <f>IF(AK534="","",AK534-2*AL534)</f>
        <v>0</v>
      </c>
      <c r="AO534">
        <f>IF(OR(AM534="",AN534="",AM534=AN534),"",($E534-AN534)/(AM534-AN534))</f>
        <v>0</v>
      </c>
      <c r="AP534">
        <f>IF(OR(AM534="",AK534="",AK534=0),"",(AM534-AN534)/AK534)</f>
        <v>0</v>
      </c>
      <c r="AQ534">
        <f>IF(COUNT($E$2:$E534)&lt;20,"",MAX($C$515:$C$534))</f>
        <v>0</v>
      </c>
      <c r="AR534">
        <f>IF(COUNT($E$2:$E534)&lt;20,"",MIN($D$515:$D$534))</f>
        <v>0</v>
      </c>
      <c r="AS534">
        <f>IF(OR(AQ534="",AR534=""),"",(AQ534+AR534)/2)</f>
        <v>0</v>
      </c>
      <c r="AT534">
        <f>IF(COUNT($G$515:$G$534)&lt;20,"",STDEV($G$515:$G$534)*SQRT(252))</f>
        <v>0</v>
      </c>
      <c r="AU534">
        <f>IF(COUNT($E$2:$E534)&lt;9,"",(MAX($C$526:$C$534)+MIN($D$526:$D$534))/2)</f>
        <v>0</v>
      </c>
      <c r="AV534">
        <f>IF(COUNT($E$2:$E534)&lt;26,"",(MAX($C$509:$C$534)+MIN($D$509:$D$534))/2)</f>
        <v>0</v>
      </c>
      <c r="AW534">
        <f>IF(OR(AU534="",AV534=""),"",(AU534+AV534)/2)</f>
        <v>0</v>
      </c>
      <c r="AX534">
        <f>IF(COUNT($E$2:$E534)&lt;52,"",(MAX($C$483:$C$534)+MIN($D$483:$D$534))/2)</f>
        <v>0</v>
      </c>
      <c r="AY534">
        <f>IF(COUNT($E$2:$E534)&lt;20,"",MAX($C$435:$C$534))</f>
        <v>0</v>
      </c>
      <c r="AZ534">
        <f>IF(COUNT($E$2:$E534)&lt;20,"",MIN($D$435:$D$534))</f>
        <v>0</v>
      </c>
      <c r="BA534">
        <f>IF(COUNT($E$2:$E534)&lt;20,"",SLOPE($E$435:$E$534,$F$435:$F$534))</f>
        <v>0</v>
      </c>
      <c r="BB534">
        <f>IF(COUNT($E$2:$E534)&lt;20,"",INTERCEPT($E$435:$E$534,$F$435:$F$534))</f>
        <v>0</v>
      </c>
      <c r="BC534">
        <f>IF(OR(BA534="",BB534=""),"",BB534+BA534*F534)</f>
        <v>0</v>
      </c>
      <c r="BD534">
        <f>IF(COUNT($E$2:$E534)&lt;20,"",STEYX($E$435:$E$534,$F$435:$F$534))</f>
        <v>0</v>
      </c>
      <c r="BE534">
        <f>IF($E534="","",IF(AND(COUNT($E$535:$E$538)&gt;=4,$C534=MAX($C$530:$C$538)),$C534,""))</f>
        <v>0</v>
      </c>
      <c r="BF534">
        <f>IF($E534="","",IF(AND(COUNT($E$535:$E$538)&gt;=4,$D534=MIN($D$530:$D$538)),$D534,""))</f>
        <v>0</v>
      </c>
      <c r="BG534">
        <f>IF($A534="","",$A534-WEEKDAY($A534,2)+1)</f>
        <v>0</v>
      </c>
      <c r="BH534">
        <f>IF($A534="","",IF($A533="",1,IF(BG534&lt;&gt;BG533,1,0)))</f>
        <v>0</v>
      </c>
      <c r="BI534">
        <f>IF($A534="","",IF($A535="",1,IF(BG535&lt;&gt;BG534,1,0)))</f>
        <v>0</v>
      </c>
      <c r="BJ534">
        <f>IF($A534="","",IF(BH534=1,$B534,BJ533))</f>
        <v>0</v>
      </c>
      <c r="BK534">
        <f>IF($A534="","",IF(BH534=1,$C534,MAX($C534,BK533)))</f>
        <v>0</v>
      </c>
      <c r="BL534">
        <f>IF($A534="","",IF(BH534=1,$D534,MIN($D534,BL533)))</f>
        <v>0</v>
      </c>
      <c r="BM534">
        <f>IF($A534="","",IF(BI534=1,F534,""))</f>
        <v>0</v>
      </c>
      <c r="BN534">
        <f>IF($A534="","",DATE(YEAR($A534),MONTH($A534),1))</f>
        <v>0</v>
      </c>
      <c r="BO534">
        <f>IF($A534="","",IF($A533="",1,IF(BN534&lt;&gt;BN533,1,0)))</f>
        <v>0</v>
      </c>
      <c r="BP534">
        <f>IF($A534="","",IF($A535="",1,IF(BN535&lt;&gt;BN534,1,0)))</f>
        <v>0</v>
      </c>
      <c r="BQ534">
        <f>IF($A534="","",IF(BO534=1,$B534,BQ533))</f>
        <v>0</v>
      </c>
      <c r="BR534">
        <f>IF($A534="","",IF(BO534=1,$C534,MAX($C534,BR533)))</f>
        <v>0</v>
      </c>
      <c r="BS534">
        <f>IF($A534="","",IF(BO534=1,$D534,MIN($D534,BS533)))</f>
        <v>0</v>
      </c>
      <c r="BT534">
        <f>IF($A534="","",IF(BP534=1,F534,""))</f>
        <v>0</v>
      </c>
    </row>
    <row r="535" spans="1:72">
      <c r="A535" s="27">
        <f>IF(Data!$A535="","",Data!$A535)</f>
        <v>0</v>
      </c>
      <c r="B535">
        <f>IF(Data!$B535="","",Data!$B535)</f>
        <v>0</v>
      </c>
      <c r="C535">
        <f>IF(Data!$C535="","",Data!$C535)</f>
        <v>0</v>
      </c>
      <c r="D535">
        <f>IF(Data!$D535="","",Data!$D535)</f>
        <v>0</v>
      </c>
      <c r="E535">
        <f>IF(Data!$E535="","",Data!$E535)</f>
        <v>0</v>
      </c>
      <c r="F535">
        <f>IF($E535="","",N(F534)+1)</f>
        <v>0</v>
      </c>
      <c r="G535">
        <f>IF(OR($E535="",$E534=""),"",LN($E535/$E534))</f>
        <v>0</v>
      </c>
      <c r="H535">
        <f>IF($E535="","",IF($E534="",$E535,$E535*0.0952380952+H534*0.9047619048))</f>
        <v>0</v>
      </c>
      <c r="I535">
        <f>IF($E535="","",IF($E534="",$E535,$E535*0.0392156863+I534*0.9607843137))</f>
        <v>0</v>
      </c>
      <c r="J535">
        <f>IF($E535="","",IF($E534="",$E535,$E535*0.0198019802+J534*0.9801980198))</f>
        <v>0</v>
      </c>
      <c r="K535">
        <f>IF($E535="","",IF($E534="",$E535,$E535*0.0099502488+K534*0.9900497512))</f>
        <v>0</v>
      </c>
      <c r="L535">
        <f>IF(OR($E535="",$E534=""),"",MAX($E535-$E534,0))</f>
        <v>0</v>
      </c>
      <c r="M535">
        <f>IF(OR($E535="",$E534=""),"",MAX($E534-$E535,0))</f>
        <v>0</v>
      </c>
      <c r="N535">
        <f>IF(COUNT($E$2:$E535)&lt;15,"",IF(AVERAGE($M$522:$M$535)=0,100,100-100/(1+AVERAGE($L$522:$L$535)/AVERAGE($M$522:$M$535))))</f>
        <v>0</v>
      </c>
      <c r="O535">
        <f>IF($E535="","",IF($E534="",$E535,$E535*0.1538461538+O534*0.8461538462))</f>
        <v>0</v>
      </c>
      <c r="P535">
        <f>IF($E535="","",IF($E534="",$E535,$E535*0.0740740741+P534*0.9259259259))</f>
        <v>0</v>
      </c>
      <c r="Q535">
        <f>IF(OR(O535="",P535=""),"",O535-P535)</f>
        <v>0</v>
      </c>
      <c r="R535">
        <f>IF(Q535="","",IF(R534="",Q535,Q535*0.2000000000+R534*0.8000000000))</f>
        <v>0</v>
      </c>
      <c r="S535">
        <f>IF(OR(Q535="",R535=""),"",Q535-R535)</f>
        <v>0</v>
      </c>
      <c r="T535">
        <f>IF(COUNT($E$2:$E535)&lt;14,"",MAX($C$522:$C$535))</f>
        <v>0</v>
      </c>
      <c r="U535">
        <f>IF(COUNT($E$2:$E535)&lt;14,"",MIN($D$522:$D$535))</f>
        <v>0</v>
      </c>
      <c r="V535">
        <f>IF(OR(T535="",U535="",T535=U535),"",100*($E535-U535)/(T535-U535))</f>
        <v>0</v>
      </c>
      <c r="W535">
        <f>IF(COUNT($V$533:$V$535)&lt;3,"",AVERAGE($V$533:$V$535))</f>
        <v>0</v>
      </c>
      <c r="X535">
        <f>IF(COUNT($N$522:$N$535)&lt;14,"",MIN($N$522:$N$535))</f>
        <v>0</v>
      </c>
      <c r="Y535">
        <f>IF(COUNT($N$522:$N$535)&lt;14,"",MAX($N$522:$N$535))</f>
        <v>0</v>
      </c>
      <c r="Z535">
        <f>IF(OR(N535="",X535="",Y535="",Y535=X535),"",100*(N535-X535)/(Y535-X535))</f>
        <v>0</v>
      </c>
      <c r="AA535">
        <f>IF(COUNT($Z$533:$Z$535)&lt;3,"",AVERAGE($Z$533:$Z$535))</f>
        <v>0</v>
      </c>
      <c r="AB535">
        <f>IF(COUNT($AA$533:$AA$535)&lt;3,"",AVERAGE($AA$533:$AA$535))</f>
        <v>0</v>
      </c>
      <c r="AC535">
        <f>IF($E535="","",MAX($C535-$D535,ABS($C535-$E534),ABS($D535-$E534)))</f>
        <v>0</v>
      </c>
      <c r="AD535">
        <f>IF(COUNT($E$2:$E535)&lt;15,"",AVERAGE($AC$522:$AC$535))</f>
        <v>0</v>
      </c>
      <c r="AE535">
        <f>IF(OR($E535="",$E534=""),"",IF(AND(($C535-$C534)&gt;($D534-$D535),($C535-$C534)&gt;0),$C535-$C534,0))</f>
        <v>0</v>
      </c>
      <c r="AF535">
        <f>IF(OR($E535="",$E534=""),"",IF(AND(($D534-$D535)&gt;($C535-$C534),($D534-$D535)&gt;0),$D534-$D535,0))</f>
        <v>0</v>
      </c>
      <c r="AG535">
        <f>IF(COUNT($E$2:$E535)&lt;15,"",IF(SUM($AC$522:$AC$535)=0,0,100*SUM($AE$522:$AE$535)/SUM($AC$522:$AC$535)))</f>
        <v>0</v>
      </c>
      <c r="AH535">
        <f>IF(COUNT($E$2:$E535)&lt;15,"",IF(SUM($AC$522:$AC$535)=0,0,100*SUM($AF$522:$AF$535)/SUM($AC$522:$AC$535)))</f>
        <v>0</v>
      </c>
      <c r="AI535">
        <f>IF(OR(AG535="",AH535=""),"",IF((AG535+AH535)=0,0,100*ABS(AG535-AH535)/(AG535+AH535)))</f>
        <v>0</v>
      </c>
      <c r="AJ535">
        <f>IF(COUNT($AI$522:$AI$535)&lt;14,"",AVERAGE($AI$522:$AI$535))</f>
        <v>0</v>
      </c>
      <c r="AK535">
        <f>IF(COUNT($E$2:$E535)&lt;20,"",AVERAGE($E$516:$E$535))</f>
        <v>0</v>
      </c>
      <c r="AL535">
        <f>IF(COUNT($E$2:$E535)&lt;20,"",STDEVP($E$516:$E$535))</f>
        <v>0</v>
      </c>
      <c r="AM535">
        <f>IF(AK535="","",AK535+2*AL535)</f>
        <v>0</v>
      </c>
      <c r="AN535">
        <f>IF(AK535="","",AK535-2*AL535)</f>
        <v>0</v>
      </c>
      <c r="AO535">
        <f>IF(OR(AM535="",AN535="",AM535=AN535),"",($E535-AN535)/(AM535-AN535))</f>
        <v>0</v>
      </c>
      <c r="AP535">
        <f>IF(OR(AM535="",AK535="",AK535=0),"",(AM535-AN535)/AK535)</f>
        <v>0</v>
      </c>
      <c r="AQ535">
        <f>IF(COUNT($E$2:$E535)&lt;20,"",MAX($C$516:$C$535))</f>
        <v>0</v>
      </c>
      <c r="AR535">
        <f>IF(COUNT($E$2:$E535)&lt;20,"",MIN($D$516:$D$535))</f>
        <v>0</v>
      </c>
      <c r="AS535">
        <f>IF(OR(AQ535="",AR535=""),"",(AQ535+AR535)/2)</f>
        <v>0</v>
      </c>
      <c r="AT535">
        <f>IF(COUNT($G$516:$G$535)&lt;20,"",STDEV($G$516:$G$535)*SQRT(252))</f>
        <v>0</v>
      </c>
      <c r="AU535">
        <f>IF(COUNT($E$2:$E535)&lt;9,"",(MAX($C$527:$C$535)+MIN($D$527:$D$535))/2)</f>
        <v>0</v>
      </c>
      <c r="AV535">
        <f>IF(COUNT($E$2:$E535)&lt;26,"",(MAX($C$510:$C$535)+MIN($D$510:$D$535))/2)</f>
        <v>0</v>
      </c>
      <c r="AW535">
        <f>IF(OR(AU535="",AV535=""),"",(AU535+AV535)/2)</f>
        <v>0</v>
      </c>
      <c r="AX535">
        <f>IF(COUNT($E$2:$E535)&lt;52,"",(MAX($C$484:$C$535)+MIN($D$484:$D$535))/2)</f>
        <v>0</v>
      </c>
      <c r="AY535">
        <f>IF(COUNT($E$2:$E535)&lt;20,"",MAX($C$436:$C$535))</f>
        <v>0</v>
      </c>
      <c r="AZ535">
        <f>IF(COUNT($E$2:$E535)&lt;20,"",MIN($D$436:$D$535))</f>
        <v>0</v>
      </c>
      <c r="BA535">
        <f>IF(COUNT($E$2:$E535)&lt;20,"",SLOPE($E$436:$E$535,$F$436:$F$535))</f>
        <v>0</v>
      </c>
      <c r="BB535">
        <f>IF(COUNT($E$2:$E535)&lt;20,"",INTERCEPT($E$436:$E$535,$F$436:$F$535))</f>
        <v>0</v>
      </c>
      <c r="BC535">
        <f>IF(OR(BA535="",BB535=""),"",BB535+BA535*F535)</f>
        <v>0</v>
      </c>
      <c r="BD535">
        <f>IF(COUNT($E$2:$E535)&lt;20,"",STEYX($E$436:$E$535,$F$436:$F$535))</f>
        <v>0</v>
      </c>
      <c r="BE535">
        <f>IF($E535="","",IF(AND(COUNT($E$536:$E$539)&gt;=4,$C535=MAX($C$531:$C$539)),$C535,""))</f>
        <v>0</v>
      </c>
      <c r="BF535">
        <f>IF($E535="","",IF(AND(COUNT($E$536:$E$539)&gt;=4,$D535=MIN($D$531:$D$539)),$D535,""))</f>
        <v>0</v>
      </c>
      <c r="BG535">
        <f>IF($A535="","",$A535-WEEKDAY($A535,2)+1)</f>
        <v>0</v>
      </c>
      <c r="BH535">
        <f>IF($A535="","",IF($A534="",1,IF(BG535&lt;&gt;BG534,1,0)))</f>
        <v>0</v>
      </c>
      <c r="BI535">
        <f>IF($A535="","",IF($A536="",1,IF(BG536&lt;&gt;BG535,1,0)))</f>
        <v>0</v>
      </c>
      <c r="BJ535">
        <f>IF($A535="","",IF(BH535=1,$B535,BJ534))</f>
        <v>0</v>
      </c>
      <c r="BK535">
        <f>IF($A535="","",IF(BH535=1,$C535,MAX($C535,BK534)))</f>
        <v>0</v>
      </c>
      <c r="BL535">
        <f>IF($A535="","",IF(BH535=1,$D535,MIN($D535,BL534)))</f>
        <v>0</v>
      </c>
      <c r="BM535">
        <f>IF($A535="","",IF(BI535=1,F535,""))</f>
        <v>0</v>
      </c>
      <c r="BN535">
        <f>IF($A535="","",DATE(YEAR($A535),MONTH($A535),1))</f>
        <v>0</v>
      </c>
      <c r="BO535">
        <f>IF($A535="","",IF($A534="",1,IF(BN535&lt;&gt;BN534,1,0)))</f>
        <v>0</v>
      </c>
      <c r="BP535">
        <f>IF($A535="","",IF($A536="",1,IF(BN536&lt;&gt;BN535,1,0)))</f>
        <v>0</v>
      </c>
      <c r="BQ535">
        <f>IF($A535="","",IF(BO535=1,$B535,BQ534))</f>
        <v>0</v>
      </c>
      <c r="BR535">
        <f>IF($A535="","",IF(BO535=1,$C535,MAX($C535,BR534)))</f>
        <v>0</v>
      </c>
      <c r="BS535">
        <f>IF($A535="","",IF(BO535=1,$D535,MIN($D535,BS534)))</f>
        <v>0</v>
      </c>
      <c r="BT535">
        <f>IF($A535="","",IF(BP535=1,F535,""))</f>
        <v>0</v>
      </c>
    </row>
    <row r="536" spans="1:72">
      <c r="A536" s="27">
        <f>IF(Data!$A536="","",Data!$A536)</f>
        <v>0</v>
      </c>
      <c r="B536">
        <f>IF(Data!$B536="","",Data!$B536)</f>
        <v>0</v>
      </c>
      <c r="C536">
        <f>IF(Data!$C536="","",Data!$C536)</f>
        <v>0</v>
      </c>
      <c r="D536">
        <f>IF(Data!$D536="","",Data!$D536)</f>
        <v>0</v>
      </c>
      <c r="E536">
        <f>IF(Data!$E536="","",Data!$E536)</f>
        <v>0</v>
      </c>
      <c r="F536">
        <f>IF($E536="","",N(F535)+1)</f>
        <v>0</v>
      </c>
      <c r="G536">
        <f>IF(OR($E536="",$E535=""),"",LN($E536/$E535))</f>
        <v>0</v>
      </c>
      <c r="H536">
        <f>IF($E536="","",IF($E535="",$E536,$E536*0.0952380952+H535*0.9047619048))</f>
        <v>0</v>
      </c>
      <c r="I536">
        <f>IF($E536="","",IF($E535="",$E536,$E536*0.0392156863+I535*0.9607843137))</f>
        <v>0</v>
      </c>
      <c r="J536">
        <f>IF($E536="","",IF($E535="",$E536,$E536*0.0198019802+J535*0.9801980198))</f>
        <v>0</v>
      </c>
      <c r="K536">
        <f>IF($E536="","",IF($E535="",$E536,$E536*0.0099502488+K535*0.9900497512))</f>
        <v>0</v>
      </c>
      <c r="L536">
        <f>IF(OR($E536="",$E535=""),"",MAX($E536-$E535,0))</f>
        <v>0</v>
      </c>
      <c r="M536">
        <f>IF(OR($E536="",$E535=""),"",MAX($E535-$E536,0))</f>
        <v>0</v>
      </c>
      <c r="N536">
        <f>IF(COUNT($E$2:$E536)&lt;15,"",IF(AVERAGE($M$523:$M$536)=0,100,100-100/(1+AVERAGE($L$523:$L$536)/AVERAGE($M$523:$M$536))))</f>
        <v>0</v>
      </c>
      <c r="O536">
        <f>IF($E536="","",IF($E535="",$E536,$E536*0.1538461538+O535*0.8461538462))</f>
        <v>0</v>
      </c>
      <c r="P536">
        <f>IF($E536="","",IF($E535="",$E536,$E536*0.0740740741+P535*0.9259259259))</f>
        <v>0</v>
      </c>
      <c r="Q536">
        <f>IF(OR(O536="",P536=""),"",O536-P536)</f>
        <v>0</v>
      </c>
      <c r="R536">
        <f>IF(Q536="","",IF(R535="",Q536,Q536*0.2000000000+R535*0.8000000000))</f>
        <v>0</v>
      </c>
      <c r="S536">
        <f>IF(OR(Q536="",R536=""),"",Q536-R536)</f>
        <v>0</v>
      </c>
      <c r="T536">
        <f>IF(COUNT($E$2:$E536)&lt;14,"",MAX($C$523:$C$536))</f>
        <v>0</v>
      </c>
      <c r="U536">
        <f>IF(COUNT($E$2:$E536)&lt;14,"",MIN($D$523:$D$536))</f>
        <v>0</v>
      </c>
      <c r="V536">
        <f>IF(OR(T536="",U536="",T536=U536),"",100*($E536-U536)/(T536-U536))</f>
        <v>0</v>
      </c>
      <c r="W536">
        <f>IF(COUNT($V$534:$V$536)&lt;3,"",AVERAGE($V$534:$V$536))</f>
        <v>0</v>
      </c>
      <c r="X536">
        <f>IF(COUNT($N$523:$N$536)&lt;14,"",MIN($N$523:$N$536))</f>
        <v>0</v>
      </c>
      <c r="Y536">
        <f>IF(COUNT($N$523:$N$536)&lt;14,"",MAX($N$523:$N$536))</f>
        <v>0</v>
      </c>
      <c r="Z536">
        <f>IF(OR(N536="",X536="",Y536="",Y536=X536),"",100*(N536-X536)/(Y536-X536))</f>
        <v>0</v>
      </c>
      <c r="AA536">
        <f>IF(COUNT($Z$534:$Z$536)&lt;3,"",AVERAGE($Z$534:$Z$536))</f>
        <v>0</v>
      </c>
      <c r="AB536">
        <f>IF(COUNT($AA$534:$AA$536)&lt;3,"",AVERAGE($AA$534:$AA$536))</f>
        <v>0</v>
      </c>
      <c r="AC536">
        <f>IF($E536="","",MAX($C536-$D536,ABS($C536-$E535),ABS($D536-$E535)))</f>
        <v>0</v>
      </c>
      <c r="AD536">
        <f>IF(COUNT($E$2:$E536)&lt;15,"",AVERAGE($AC$523:$AC$536))</f>
        <v>0</v>
      </c>
      <c r="AE536">
        <f>IF(OR($E536="",$E535=""),"",IF(AND(($C536-$C535)&gt;($D535-$D536),($C536-$C535)&gt;0),$C536-$C535,0))</f>
        <v>0</v>
      </c>
      <c r="AF536">
        <f>IF(OR($E536="",$E535=""),"",IF(AND(($D535-$D536)&gt;($C536-$C535),($D535-$D536)&gt;0),$D535-$D536,0))</f>
        <v>0</v>
      </c>
      <c r="AG536">
        <f>IF(COUNT($E$2:$E536)&lt;15,"",IF(SUM($AC$523:$AC$536)=0,0,100*SUM($AE$523:$AE$536)/SUM($AC$523:$AC$536)))</f>
        <v>0</v>
      </c>
      <c r="AH536">
        <f>IF(COUNT($E$2:$E536)&lt;15,"",IF(SUM($AC$523:$AC$536)=0,0,100*SUM($AF$523:$AF$536)/SUM($AC$523:$AC$536)))</f>
        <v>0</v>
      </c>
      <c r="AI536">
        <f>IF(OR(AG536="",AH536=""),"",IF((AG536+AH536)=0,0,100*ABS(AG536-AH536)/(AG536+AH536)))</f>
        <v>0</v>
      </c>
      <c r="AJ536">
        <f>IF(COUNT($AI$523:$AI$536)&lt;14,"",AVERAGE($AI$523:$AI$536))</f>
        <v>0</v>
      </c>
      <c r="AK536">
        <f>IF(COUNT($E$2:$E536)&lt;20,"",AVERAGE($E$517:$E$536))</f>
        <v>0</v>
      </c>
      <c r="AL536">
        <f>IF(COUNT($E$2:$E536)&lt;20,"",STDEVP($E$517:$E$536))</f>
        <v>0</v>
      </c>
      <c r="AM536">
        <f>IF(AK536="","",AK536+2*AL536)</f>
        <v>0</v>
      </c>
      <c r="AN536">
        <f>IF(AK536="","",AK536-2*AL536)</f>
        <v>0</v>
      </c>
      <c r="AO536">
        <f>IF(OR(AM536="",AN536="",AM536=AN536),"",($E536-AN536)/(AM536-AN536))</f>
        <v>0</v>
      </c>
      <c r="AP536">
        <f>IF(OR(AM536="",AK536="",AK536=0),"",(AM536-AN536)/AK536)</f>
        <v>0</v>
      </c>
      <c r="AQ536">
        <f>IF(COUNT($E$2:$E536)&lt;20,"",MAX($C$517:$C$536))</f>
        <v>0</v>
      </c>
      <c r="AR536">
        <f>IF(COUNT($E$2:$E536)&lt;20,"",MIN($D$517:$D$536))</f>
        <v>0</v>
      </c>
      <c r="AS536">
        <f>IF(OR(AQ536="",AR536=""),"",(AQ536+AR536)/2)</f>
        <v>0</v>
      </c>
      <c r="AT536">
        <f>IF(COUNT($G$517:$G$536)&lt;20,"",STDEV($G$517:$G$536)*SQRT(252))</f>
        <v>0</v>
      </c>
      <c r="AU536">
        <f>IF(COUNT($E$2:$E536)&lt;9,"",(MAX($C$528:$C$536)+MIN($D$528:$D$536))/2)</f>
        <v>0</v>
      </c>
      <c r="AV536">
        <f>IF(COUNT($E$2:$E536)&lt;26,"",(MAX($C$511:$C$536)+MIN($D$511:$D$536))/2)</f>
        <v>0</v>
      </c>
      <c r="AW536">
        <f>IF(OR(AU536="",AV536=""),"",(AU536+AV536)/2)</f>
        <v>0</v>
      </c>
      <c r="AX536">
        <f>IF(COUNT($E$2:$E536)&lt;52,"",(MAX($C$485:$C$536)+MIN($D$485:$D$536))/2)</f>
        <v>0</v>
      </c>
      <c r="AY536">
        <f>IF(COUNT($E$2:$E536)&lt;20,"",MAX($C$437:$C$536))</f>
        <v>0</v>
      </c>
      <c r="AZ536">
        <f>IF(COUNT($E$2:$E536)&lt;20,"",MIN($D$437:$D$536))</f>
        <v>0</v>
      </c>
      <c r="BA536">
        <f>IF(COUNT($E$2:$E536)&lt;20,"",SLOPE($E$437:$E$536,$F$437:$F$536))</f>
        <v>0</v>
      </c>
      <c r="BB536">
        <f>IF(COUNT($E$2:$E536)&lt;20,"",INTERCEPT($E$437:$E$536,$F$437:$F$536))</f>
        <v>0</v>
      </c>
      <c r="BC536">
        <f>IF(OR(BA536="",BB536=""),"",BB536+BA536*F536)</f>
        <v>0</v>
      </c>
      <c r="BD536">
        <f>IF(COUNT($E$2:$E536)&lt;20,"",STEYX($E$437:$E$536,$F$437:$F$536))</f>
        <v>0</v>
      </c>
      <c r="BE536">
        <f>IF($E536="","",IF(AND(COUNT($E$537:$E$540)&gt;=4,$C536=MAX($C$532:$C$540)),$C536,""))</f>
        <v>0</v>
      </c>
      <c r="BF536">
        <f>IF($E536="","",IF(AND(COUNT($E$537:$E$540)&gt;=4,$D536=MIN($D$532:$D$540)),$D536,""))</f>
        <v>0</v>
      </c>
      <c r="BG536">
        <f>IF($A536="","",$A536-WEEKDAY($A536,2)+1)</f>
        <v>0</v>
      </c>
      <c r="BH536">
        <f>IF($A536="","",IF($A535="",1,IF(BG536&lt;&gt;BG535,1,0)))</f>
        <v>0</v>
      </c>
      <c r="BI536">
        <f>IF($A536="","",IF($A537="",1,IF(BG537&lt;&gt;BG536,1,0)))</f>
        <v>0</v>
      </c>
      <c r="BJ536">
        <f>IF($A536="","",IF(BH536=1,$B536,BJ535))</f>
        <v>0</v>
      </c>
      <c r="BK536">
        <f>IF($A536="","",IF(BH536=1,$C536,MAX($C536,BK535)))</f>
        <v>0</v>
      </c>
      <c r="BL536">
        <f>IF($A536="","",IF(BH536=1,$D536,MIN($D536,BL535)))</f>
        <v>0</v>
      </c>
      <c r="BM536">
        <f>IF($A536="","",IF(BI536=1,F536,""))</f>
        <v>0</v>
      </c>
      <c r="BN536">
        <f>IF($A536="","",DATE(YEAR($A536),MONTH($A536),1))</f>
        <v>0</v>
      </c>
      <c r="BO536">
        <f>IF($A536="","",IF($A535="",1,IF(BN536&lt;&gt;BN535,1,0)))</f>
        <v>0</v>
      </c>
      <c r="BP536">
        <f>IF($A536="","",IF($A537="",1,IF(BN537&lt;&gt;BN536,1,0)))</f>
        <v>0</v>
      </c>
      <c r="BQ536">
        <f>IF($A536="","",IF(BO536=1,$B536,BQ535))</f>
        <v>0</v>
      </c>
      <c r="BR536">
        <f>IF($A536="","",IF(BO536=1,$C536,MAX($C536,BR535)))</f>
        <v>0</v>
      </c>
      <c r="BS536">
        <f>IF($A536="","",IF(BO536=1,$D536,MIN($D536,BS535)))</f>
        <v>0</v>
      </c>
      <c r="BT536">
        <f>IF($A536="","",IF(BP536=1,F536,""))</f>
        <v>0</v>
      </c>
    </row>
    <row r="537" spans="1:72">
      <c r="A537" s="27">
        <f>IF(Data!$A537="","",Data!$A537)</f>
        <v>0</v>
      </c>
      <c r="B537">
        <f>IF(Data!$B537="","",Data!$B537)</f>
        <v>0</v>
      </c>
      <c r="C537">
        <f>IF(Data!$C537="","",Data!$C537)</f>
        <v>0</v>
      </c>
      <c r="D537">
        <f>IF(Data!$D537="","",Data!$D537)</f>
        <v>0</v>
      </c>
      <c r="E537">
        <f>IF(Data!$E537="","",Data!$E537)</f>
        <v>0</v>
      </c>
      <c r="F537">
        <f>IF($E537="","",N(F536)+1)</f>
        <v>0</v>
      </c>
      <c r="G537">
        <f>IF(OR($E537="",$E536=""),"",LN($E537/$E536))</f>
        <v>0</v>
      </c>
      <c r="H537">
        <f>IF($E537="","",IF($E536="",$E537,$E537*0.0952380952+H536*0.9047619048))</f>
        <v>0</v>
      </c>
      <c r="I537">
        <f>IF($E537="","",IF($E536="",$E537,$E537*0.0392156863+I536*0.9607843137))</f>
        <v>0</v>
      </c>
      <c r="J537">
        <f>IF($E537="","",IF($E536="",$E537,$E537*0.0198019802+J536*0.9801980198))</f>
        <v>0</v>
      </c>
      <c r="K537">
        <f>IF($E537="","",IF($E536="",$E537,$E537*0.0099502488+K536*0.9900497512))</f>
        <v>0</v>
      </c>
      <c r="L537">
        <f>IF(OR($E537="",$E536=""),"",MAX($E537-$E536,0))</f>
        <v>0</v>
      </c>
      <c r="M537">
        <f>IF(OR($E537="",$E536=""),"",MAX($E536-$E537,0))</f>
        <v>0</v>
      </c>
      <c r="N537">
        <f>IF(COUNT($E$2:$E537)&lt;15,"",IF(AVERAGE($M$524:$M$537)=0,100,100-100/(1+AVERAGE($L$524:$L$537)/AVERAGE($M$524:$M$537))))</f>
        <v>0</v>
      </c>
      <c r="O537">
        <f>IF($E537="","",IF($E536="",$E537,$E537*0.1538461538+O536*0.8461538462))</f>
        <v>0</v>
      </c>
      <c r="P537">
        <f>IF($E537="","",IF($E536="",$E537,$E537*0.0740740741+P536*0.9259259259))</f>
        <v>0</v>
      </c>
      <c r="Q537">
        <f>IF(OR(O537="",P537=""),"",O537-P537)</f>
        <v>0</v>
      </c>
      <c r="R537">
        <f>IF(Q537="","",IF(R536="",Q537,Q537*0.2000000000+R536*0.8000000000))</f>
        <v>0</v>
      </c>
      <c r="S537">
        <f>IF(OR(Q537="",R537=""),"",Q537-R537)</f>
        <v>0</v>
      </c>
      <c r="T537">
        <f>IF(COUNT($E$2:$E537)&lt;14,"",MAX($C$524:$C$537))</f>
        <v>0</v>
      </c>
      <c r="U537">
        <f>IF(COUNT($E$2:$E537)&lt;14,"",MIN($D$524:$D$537))</f>
        <v>0</v>
      </c>
      <c r="V537">
        <f>IF(OR(T537="",U537="",T537=U537),"",100*($E537-U537)/(T537-U537))</f>
        <v>0</v>
      </c>
      <c r="W537">
        <f>IF(COUNT($V$535:$V$537)&lt;3,"",AVERAGE($V$535:$V$537))</f>
        <v>0</v>
      </c>
      <c r="X537">
        <f>IF(COUNT($N$524:$N$537)&lt;14,"",MIN($N$524:$N$537))</f>
        <v>0</v>
      </c>
      <c r="Y537">
        <f>IF(COUNT($N$524:$N$537)&lt;14,"",MAX($N$524:$N$537))</f>
        <v>0</v>
      </c>
      <c r="Z537">
        <f>IF(OR(N537="",X537="",Y537="",Y537=X537),"",100*(N537-X537)/(Y537-X537))</f>
        <v>0</v>
      </c>
      <c r="AA537">
        <f>IF(COUNT($Z$535:$Z$537)&lt;3,"",AVERAGE($Z$535:$Z$537))</f>
        <v>0</v>
      </c>
      <c r="AB537">
        <f>IF(COUNT($AA$535:$AA$537)&lt;3,"",AVERAGE($AA$535:$AA$537))</f>
        <v>0</v>
      </c>
      <c r="AC537">
        <f>IF($E537="","",MAX($C537-$D537,ABS($C537-$E536),ABS($D537-$E536)))</f>
        <v>0</v>
      </c>
      <c r="AD537">
        <f>IF(COUNT($E$2:$E537)&lt;15,"",AVERAGE($AC$524:$AC$537))</f>
        <v>0</v>
      </c>
      <c r="AE537">
        <f>IF(OR($E537="",$E536=""),"",IF(AND(($C537-$C536)&gt;($D536-$D537),($C537-$C536)&gt;0),$C537-$C536,0))</f>
        <v>0</v>
      </c>
      <c r="AF537">
        <f>IF(OR($E537="",$E536=""),"",IF(AND(($D536-$D537)&gt;($C537-$C536),($D536-$D537)&gt;0),$D536-$D537,0))</f>
        <v>0</v>
      </c>
      <c r="AG537">
        <f>IF(COUNT($E$2:$E537)&lt;15,"",IF(SUM($AC$524:$AC$537)=0,0,100*SUM($AE$524:$AE$537)/SUM($AC$524:$AC$537)))</f>
        <v>0</v>
      </c>
      <c r="AH537">
        <f>IF(COUNT($E$2:$E537)&lt;15,"",IF(SUM($AC$524:$AC$537)=0,0,100*SUM($AF$524:$AF$537)/SUM($AC$524:$AC$537)))</f>
        <v>0</v>
      </c>
      <c r="AI537">
        <f>IF(OR(AG537="",AH537=""),"",IF((AG537+AH537)=0,0,100*ABS(AG537-AH537)/(AG537+AH537)))</f>
        <v>0</v>
      </c>
      <c r="AJ537">
        <f>IF(COUNT($AI$524:$AI$537)&lt;14,"",AVERAGE($AI$524:$AI$537))</f>
        <v>0</v>
      </c>
      <c r="AK537">
        <f>IF(COUNT($E$2:$E537)&lt;20,"",AVERAGE($E$518:$E$537))</f>
        <v>0</v>
      </c>
      <c r="AL537">
        <f>IF(COUNT($E$2:$E537)&lt;20,"",STDEVP($E$518:$E$537))</f>
        <v>0</v>
      </c>
      <c r="AM537">
        <f>IF(AK537="","",AK537+2*AL537)</f>
        <v>0</v>
      </c>
      <c r="AN537">
        <f>IF(AK537="","",AK537-2*AL537)</f>
        <v>0</v>
      </c>
      <c r="AO537">
        <f>IF(OR(AM537="",AN537="",AM537=AN537),"",($E537-AN537)/(AM537-AN537))</f>
        <v>0</v>
      </c>
      <c r="AP537">
        <f>IF(OR(AM537="",AK537="",AK537=0),"",(AM537-AN537)/AK537)</f>
        <v>0</v>
      </c>
      <c r="AQ537">
        <f>IF(COUNT($E$2:$E537)&lt;20,"",MAX($C$518:$C$537))</f>
        <v>0</v>
      </c>
      <c r="AR537">
        <f>IF(COUNT($E$2:$E537)&lt;20,"",MIN($D$518:$D$537))</f>
        <v>0</v>
      </c>
      <c r="AS537">
        <f>IF(OR(AQ537="",AR537=""),"",(AQ537+AR537)/2)</f>
        <v>0</v>
      </c>
      <c r="AT537">
        <f>IF(COUNT($G$518:$G$537)&lt;20,"",STDEV($G$518:$G$537)*SQRT(252))</f>
        <v>0</v>
      </c>
      <c r="AU537">
        <f>IF(COUNT($E$2:$E537)&lt;9,"",(MAX($C$529:$C$537)+MIN($D$529:$D$537))/2)</f>
        <v>0</v>
      </c>
      <c r="AV537">
        <f>IF(COUNT($E$2:$E537)&lt;26,"",(MAX($C$512:$C$537)+MIN($D$512:$D$537))/2)</f>
        <v>0</v>
      </c>
      <c r="AW537">
        <f>IF(OR(AU537="",AV537=""),"",(AU537+AV537)/2)</f>
        <v>0</v>
      </c>
      <c r="AX537">
        <f>IF(COUNT($E$2:$E537)&lt;52,"",(MAX($C$486:$C$537)+MIN($D$486:$D$537))/2)</f>
        <v>0</v>
      </c>
      <c r="AY537">
        <f>IF(COUNT($E$2:$E537)&lt;20,"",MAX($C$438:$C$537))</f>
        <v>0</v>
      </c>
      <c r="AZ537">
        <f>IF(COUNT($E$2:$E537)&lt;20,"",MIN($D$438:$D$537))</f>
        <v>0</v>
      </c>
      <c r="BA537">
        <f>IF(COUNT($E$2:$E537)&lt;20,"",SLOPE($E$438:$E$537,$F$438:$F$537))</f>
        <v>0</v>
      </c>
      <c r="BB537">
        <f>IF(COUNT($E$2:$E537)&lt;20,"",INTERCEPT($E$438:$E$537,$F$438:$F$537))</f>
        <v>0</v>
      </c>
      <c r="BC537">
        <f>IF(OR(BA537="",BB537=""),"",BB537+BA537*F537)</f>
        <v>0</v>
      </c>
      <c r="BD537">
        <f>IF(COUNT($E$2:$E537)&lt;20,"",STEYX($E$438:$E$537,$F$438:$F$537))</f>
        <v>0</v>
      </c>
      <c r="BE537">
        <f>IF($E537="","",IF(AND(COUNT($E$538:$E$541)&gt;=4,$C537=MAX($C$533:$C$541)),$C537,""))</f>
        <v>0</v>
      </c>
      <c r="BF537">
        <f>IF($E537="","",IF(AND(COUNT($E$538:$E$541)&gt;=4,$D537=MIN($D$533:$D$541)),$D537,""))</f>
        <v>0</v>
      </c>
      <c r="BG537">
        <f>IF($A537="","",$A537-WEEKDAY($A537,2)+1)</f>
        <v>0</v>
      </c>
      <c r="BH537">
        <f>IF($A537="","",IF($A536="",1,IF(BG537&lt;&gt;BG536,1,0)))</f>
        <v>0</v>
      </c>
      <c r="BI537">
        <f>IF($A537="","",IF($A538="",1,IF(BG538&lt;&gt;BG537,1,0)))</f>
        <v>0</v>
      </c>
      <c r="BJ537">
        <f>IF($A537="","",IF(BH537=1,$B537,BJ536))</f>
        <v>0</v>
      </c>
      <c r="BK537">
        <f>IF($A537="","",IF(BH537=1,$C537,MAX($C537,BK536)))</f>
        <v>0</v>
      </c>
      <c r="BL537">
        <f>IF($A537="","",IF(BH537=1,$D537,MIN($D537,BL536)))</f>
        <v>0</v>
      </c>
      <c r="BM537">
        <f>IF($A537="","",IF(BI537=1,F537,""))</f>
        <v>0</v>
      </c>
      <c r="BN537">
        <f>IF($A537="","",DATE(YEAR($A537),MONTH($A537),1))</f>
        <v>0</v>
      </c>
      <c r="BO537">
        <f>IF($A537="","",IF($A536="",1,IF(BN537&lt;&gt;BN536,1,0)))</f>
        <v>0</v>
      </c>
      <c r="BP537">
        <f>IF($A537="","",IF($A538="",1,IF(BN538&lt;&gt;BN537,1,0)))</f>
        <v>0</v>
      </c>
      <c r="BQ537">
        <f>IF($A537="","",IF(BO537=1,$B537,BQ536))</f>
        <v>0</v>
      </c>
      <c r="BR537">
        <f>IF($A537="","",IF(BO537=1,$C537,MAX($C537,BR536)))</f>
        <v>0</v>
      </c>
      <c r="BS537">
        <f>IF($A537="","",IF(BO537=1,$D537,MIN($D537,BS536)))</f>
        <v>0</v>
      </c>
      <c r="BT537">
        <f>IF($A537="","",IF(BP537=1,F537,""))</f>
        <v>0</v>
      </c>
    </row>
    <row r="538" spans="1:72">
      <c r="A538" s="27">
        <f>IF(Data!$A538="","",Data!$A538)</f>
        <v>0</v>
      </c>
      <c r="B538">
        <f>IF(Data!$B538="","",Data!$B538)</f>
        <v>0</v>
      </c>
      <c r="C538">
        <f>IF(Data!$C538="","",Data!$C538)</f>
        <v>0</v>
      </c>
      <c r="D538">
        <f>IF(Data!$D538="","",Data!$D538)</f>
        <v>0</v>
      </c>
      <c r="E538">
        <f>IF(Data!$E538="","",Data!$E538)</f>
        <v>0</v>
      </c>
      <c r="F538">
        <f>IF($E538="","",N(F537)+1)</f>
        <v>0</v>
      </c>
      <c r="G538">
        <f>IF(OR($E538="",$E537=""),"",LN($E538/$E537))</f>
        <v>0</v>
      </c>
      <c r="H538">
        <f>IF($E538="","",IF($E537="",$E538,$E538*0.0952380952+H537*0.9047619048))</f>
        <v>0</v>
      </c>
      <c r="I538">
        <f>IF($E538="","",IF($E537="",$E538,$E538*0.0392156863+I537*0.9607843137))</f>
        <v>0</v>
      </c>
      <c r="J538">
        <f>IF($E538="","",IF($E537="",$E538,$E538*0.0198019802+J537*0.9801980198))</f>
        <v>0</v>
      </c>
      <c r="K538">
        <f>IF($E538="","",IF($E537="",$E538,$E538*0.0099502488+K537*0.9900497512))</f>
        <v>0</v>
      </c>
      <c r="L538">
        <f>IF(OR($E538="",$E537=""),"",MAX($E538-$E537,0))</f>
        <v>0</v>
      </c>
      <c r="M538">
        <f>IF(OR($E538="",$E537=""),"",MAX($E537-$E538,0))</f>
        <v>0</v>
      </c>
      <c r="N538">
        <f>IF(COUNT($E$2:$E538)&lt;15,"",IF(AVERAGE($M$525:$M$538)=0,100,100-100/(1+AVERAGE($L$525:$L$538)/AVERAGE($M$525:$M$538))))</f>
        <v>0</v>
      </c>
      <c r="O538">
        <f>IF($E538="","",IF($E537="",$E538,$E538*0.1538461538+O537*0.8461538462))</f>
        <v>0</v>
      </c>
      <c r="P538">
        <f>IF($E538="","",IF($E537="",$E538,$E538*0.0740740741+P537*0.9259259259))</f>
        <v>0</v>
      </c>
      <c r="Q538">
        <f>IF(OR(O538="",P538=""),"",O538-P538)</f>
        <v>0</v>
      </c>
      <c r="R538">
        <f>IF(Q538="","",IF(R537="",Q538,Q538*0.2000000000+R537*0.8000000000))</f>
        <v>0</v>
      </c>
      <c r="S538">
        <f>IF(OR(Q538="",R538=""),"",Q538-R538)</f>
        <v>0</v>
      </c>
      <c r="T538">
        <f>IF(COUNT($E$2:$E538)&lt;14,"",MAX($C$525:$C$538))</f>
        <v>0</v>
      </c>
      <c r="U538">
        <f>IF(COUNT($E$2:$E538)&lt;14,"",MIN($D$525:$D$538))</f>
        <v>0</v>
      </c>
      <c r="V538">
        <f>IF(OR(T538="",U538="",T538=U538),"",100*($E538-U538)/(T538-U538))</f>
        <v>0</v>
      </c>
      <c r="W538">
        <f>IF(COUNT($V$536:$V$538)&lt;3,"",AVERAGE($V$536:$V$538))</f>
        <v>0</v>
      </c>
      <c r="X538">
        <f>IF(COUNT($N$525:$N$538)&lt;14,"",MIN($N$525:$N$538))</f>
        <v>0</v>
      </c>
      <c r="Y538">
        <f>IF(COUNT($N$525:$N$538)&lt;14,"",MAX($N$525:$N$538))</f>
        <v>0</v>
      </c>
      <c r="Z538">
        <f>IF(OR(N538="",X538="",Y538="",Y538=X538),"",100*(N538-X538)/(Y538-X538))</f>
        <v>0</v>
      </c>
      <c r="AA538">
        <f>IF(COUNT($Z$536:$Z$538)&lt;3,"",AVERAGE($Z$536:$Z$538))</f>
        <v>0</v>
      </c>
      <c r="AB538">
        <f>IF(COUNT($AA$536:$AA$538)&lt;3,"",AVERAGE($AA$536:$AA$538))</f>
        <v>0</v>
      </c>
      <c r="AC538">
        <f>IF($E538="","",MAX($C538-$D538,ABS($C538-$E537),ABS($D538-$E537)))</f>
        <v>0</v>
      </c>
      <c r="AD538">
        <f>IF(COUNT($E$2:$E538)&lt;15,"",AVERAGE($AC$525:$AC$538))</f>
        <v>0</v>
      </c>
      <c r="AE538">
        <f>IF(OR($E538="",$E537=""),"",IF(AND(($C538-$C537)&gt;($D537-$D538),($C538-$C537)&gt;0),$C538-$C537,0))</f>
        <v>0</v>
      </c>
      <c r="AF538">
        <f>IF(OR($E538="",$E537=""),"",IF(AND(($D537-$D538)&gt;($C538-$C537),($D537-$D538)&gt;0),$D537-$D538,0))</f>
        <v>0</v>
      </c>
      <c r="AG538">
        <f>IF(COUNT($E$2:$E538)&lt;15,"",IF(SUM($AC$525:$AC$538)=0,0,100*SUM($AE$525:$AE$538)/SUM($AC$525:$AC$538)))</f>
        <v>0</v>
      </c>
      <c r="AH538">
        <f>IF(COUNT($E$2:$E538)&lt;15,"",IF(SUM($AC$525:$AC$538)=0,0,100*SUM($AF$525:$AF$538)/SUM($AC$525:$AC$538)))</f>
        <v>0</v>
      </c>
      <c r="AI538">
        <f>IF(OR(AG538="",AH538=""),"",IF((AG538+AH538)=0,0,100*ABS(AG538-AH538)/(AG538+AH538)))</f>
        <v>0</v>
      </c>
      <c r="AJ538">
        <f>IF(COUNT($AI$525:$AI$538)&lt;14,"",AVERAGE($AI$525:$AI$538))</f>
        <v>0</v>
      </c>
      <c r="AK538">
        <f>IF(COUNT($E$2:$E538)&lt;20,"",AVERAGE($E$519:$E$538))</f>
        <v>0</v>
      </c>
      <c r="AL538">
        <f>IF(COUNT($E$2:$E538)&lt;20,"",STDEVP($E$519:$E$538))</f>
        <v>0</v>
      </c>
      <c r="AM538">
        <f>IF(AK538="","",AK538+2*AL538)</f>
        <v>0</v>
      </c>
      <c r="AN538">
        <f>IF(AK538="","",AK538-2*AL538)</f>
        <v>0</v>
      </c>
      <c r="AO538">
        <f>IF(OR(AM538="",AN538="",AM538=AN538),"",($E538-AN538)/(AM538-AN538))</f>
        <v>0</v>
      </c>
      <c r="AP538">
        <f>IF(OR(AM538="",AK538="",AK538=0),"",(AM538-AN538)/AK538)</f>
        <v>0</v>
      </c>
      <c r="AQ538">
        <f>IF(COUNT($E$2:$E538)&lt;20,"",MAX($C$519:$C$538))</f>
        <v>0</v>
      </c>
      <c r="AR538">
        <f>IF(COUNT($E$2:$E538)&lt;20,"",MIN($D$519:$D$538))</f>
        <v>0</v>
      </c>
      <c r="AS538">
        <f>IF(OR(AQ538="",AR538=""),"",(AQ538+AR538)/2)</f>
        <v>0</v>
      </c>
      <c r="AT538">
        <f>IF(COUNT($G$519:$G$538)&lt;20,"",STDEV($G$519:$G$538)*SQRT(252))</f>
        <v>0</v>
      </c>
      <c r="AU538">
        <f>IF(COUNT($E$2:$E538)&lt;9,"",(MAX($C$530:$C$538)+MIN($D$530:$D$538))/2)</f>
        <v>0</v>
      </c>
      <c r="AV538">
        <f>IF(COUNT($E$2:$E538)&lt;26,"",(MAX($C$513:$C$538)+MIN($D$513:$D$538))/2)</f>
        <v>0</v>
      </c>
      <c r="AW538">
        <f>IF(OR(AU538="",AV538=""),"",(AU538+AV538)/2)</f>
        <v>0</v>
      </c>
      <c r="AX538">
        <f>IF(COUNT($E$2:$E538)&lt;52,"",(MAX($C$487:$C$538)+MIN($D$487:$D$538))/2)</f>
        <v>0</v>
      </c>
      <c r="AY538">
        <f>IF(COUNT($E$2:$E538)&lt;20,"",MAX($C$439:$C$538))</f>
        <v>0</v>
      </c>
      <c r="AZ538">
        <f>IF(COUNT($E$2:$E538)&lt;20,"",MIN($D$439:$D$538))</f>
        <v>0</v>
      </c>
      <c r="BA538">
        <f>IF(COUNT($E$2:$E538)&lt;20,"",SLOPE($E$439:$E$538,$F$439:$F$538))</f>
        <v>0</v>
      </c>
      <c r="BB538">
        <f>IF(COUNT($E$2:$E538)&lt;20,"",INTERCEPT($E$439:$E$538,$F$439:$F$538))</f>
        <v>0</v>
      </c>
      <c r="BC538">
        <f>IF(OR(BA538="",BB538=""),"",BB538+BA538*F538)</f>
        <v>0</v>
      </c>
      <c r="BD538">
        <f>IF(COUNT($E$2:$E538)&lt;20,"",STEYX($E$439:$E$538,$F$439:$F$538))</f>
        <v>0</v>
      </c>
      <c r="BE538">
        <f>IF($E538="","",IF(AND(COUNT($E$539:$E$542)&gt;=4,$C538=MAX($C$534:$C$542)),$C538,""))</f>
        <v>0</v>
      </c>
      <c r="BF538">
        <f>IF($E538="","",IF(AND(COUNT($E$539:$E$542)&gt;=4,$D538=MIN($D$534:$D$542)),$D538,""))</f>
        <v>0</v>
      </c>
      <c r="BG538">
        <f>IF($A538="","",$A538-WEEKDAY($A538,2)+1)</f>
        <v>0</v>
      </c>
      <c r="BH538">
        <f>IF($A538="","",IF($A537="",1,IF(BG538&lt;&gt;BG537,1,0)))</f>
        <v>0</v>
      </c>
      <c r="BI538">
        <f>IF($A538="","",IF($A539="",1,IF(BG539&lt;&gt;BG538,1,0)))</f>
        <v>0</v>
      </c>
      <c r="BJ538">
        <f>IF($A538="","",IF(BH538=1,$B538,BJ537))</f>
        <v>0</v>
      </c>
      <c r="BK538">
        <f>IF($A538="","",IF(BH538=1,$C538,MAX($C538,BK537)))</f>
        <v>0</v>
      </c>
      <c r="BL538">
        <f>IF($A538="","",IF(BH538=1,$D538,MIN($D538,BL537)))</f>
        <v>0</v>
      </c>
      <c r="BM538">
        <f>IF($A538="","",IF(BI538=1,F538,""))</f>
        <v>0</v>
      </c>
      <c r="BN538">
        <f>IF($A538="","",DATE(YEAR($A538),MONTH($A538),1))</f>
        <v>0</v>
      </c>
      <c r="BO538">
        <f>IF($A538="","",IF($A537="",1,IF(BN538&lt;&gt;BN537,1,0)))</f>
        <v>0</v>
      </c>
      <c r="BP538">
        <f>IF($A538="","",IF($A539="",1,IF(BN539&lt;&gt;BN538,1,0)))</f>
        <v>0</v>
      </c>
      <c r="BQ538">
        <f>IF($A538="","",IF(BO538=1,$B538,BQ537))</f>
        <v>0</v>
      </c>
      <c r="BR538">
        <f>IF($A538="","",IF(BO538=1,$C538,MAX($C538,BR537)))</f>
        <v>0</v>
      </c>
      <c r="BS538">
        <f>IF($A538="","",IF(BO538=1,$D538,MIN($D538,BS537)))</f>
        <v>0</v>
      </c>
      <c r="BT538">
        <f>IF($A538="","",IF(BP538=1,F538,""))</f>
        <v>0</v>
      </c>
    </row>
    <row r="539" spans="1:72">
      <c r="A539" s="27">
        <f>IF(Data!$A539="","",Data!$A539)</f>
        <v>0</v>
      </c>
      <c r="B539">
        <f>IF(Data!$B539="","",Data!$B539)</f>
        <v>0</v>
      </c>
      <c r="C539">
        <f>IF(Data!$C539="","",Data!$C539)</f>
        <v>0</v>
      </c>
      <c r="D539">
        <f>IF(Data!$D539="","",Data!$D539)</f>
        <v>0</v>
      </c>
      <c r="E539">
        <f>IF(Data!$E539="","",Data!$E539)</f>
        <v>0</v>
      </c>
      <c r="F539">
        <f>IF($E539="","",N(F538)+1)</f>
        <v>0</v>
      </c>
      <c r="G539">
        <f>IF(OR($E539="",$E538=""),"",LN($E539/$E538))</f>
        <v>0</v>
      </c>
      <c r="H539">
        <f>IF($E539="","",IF($E538="",$E539,$E539*0.0952380952+H538*0.9047619048))</f>
        <v>0</v>
      </c>
      <c r="I539">
        <f>IF($E539="","",IF($E538="",$E539,$E539*0.0392156863+I538*0.9607843137))</f>
        <v>0</v>
      </c>
      <c r="J539">
        <f>IF($E539="","",IF($E538="",$E539,$E539*0.0198019802+J538*0.9801980198))</f>
        <v>0</v>
      </c>
      <c r="K539">
        <f>IF($E539="","",IF($E538="",$E539,$E539*0.0099502488+K538*0.9900497512))</f>
        <v>0</v>
      </c>
      <c r="L539">
        <f>IF(OR($E539="",$E538=""),"",MAX($E539-$E538,0))</f>
        <v>0</v>
      </c>
      <c r="M539">
        <f>IF(OR($E539="",$E538=""),"",MAX($E538-$E539,0))</f>
        <v>0</v>
      </c>
      <c r="N539">
        <f>IF(COUNT($E$2:$E539)&lt;15,"",IF(AVERAGE($M$526:$M$539)=0,100,100-100/(1+AVERAGE($L$526:$L$539)/AVERAGE($M$526:$M$539))))</f>
        <v>0</v>
      </c>
      <c r="O539">
        <f>IF($E539="","",IF($E538="",$E539,$E539*0.1538461538+O538*0.8461538462))</f>
        <v>0</v>
      </c>
      <c r="P539">
        <f>IF($E539="","",IF($E538="",$E539,$E539*0.0740740741+P538*0.9259259259))</f>
        <v>0</v>
      </c>
      <c r="Q539">
        <f>IF(OR(O539="",P539=""),"",O539-P539)</f>
        <v>0</v>
      </c>
      <c r="R539">
        <f>IF(Q539="","",IF(R538="",Q539,Q539*0.2000000000+R538*0.8000000000))</f>
        <v>0</v>
      </c>
      <c r="S539">
        <f>IF(OR(Q539="",R539=""),"",Q539-R539)</f>
        <v>0</v>
      </c>
      <c r="T539">
        <f>IF(COUNT($E$2:$E539)&lt;14,"",MAX($C$526:$C$539))</f>
        <v>0</v>
      </c>
      <c r="U539">
        <f>IF(COUNT($E$2:$E539)&lt;14,"",MIN($D$526:$D$539))</f>
        <v>0</v>
      </c>
      <c r="V539">
        <f>IF(OR(T539="",U539="",T539=U539),"",100*($E539-U539)/(T539-U539))</f>
        <v>0</v>
      </c>
      <c r="W539">
        <f>IF(COUNT($V$537:$V$539)&lt;3,"",AVERAGE($V$537:$V$539))</f>
        <v>0</v>
      </c>
      <c r="X539">
        <f>IF(COUNT($N$526:$N$539)&lt;14,"",MIN($N$526:$N$539))</f>
        <v>0</v>
      </c>
      <c r="Y539">
        <f>IF(COUNT($N$526:$N$539)&lt;14,"",MAX($N$526:$N$539))</f>
        <v>0</v>
      </c>
      <c r="Z539">
        <f>IF(OR(N539="",X539="",Y539="",Y539=X539),"",100*(N539-X539)/(Y539-X539))</f>
        <v>0</v>
      </c>
      <c r="AA539">
        <f>IF(COUNT($Z$537:$Z$539)&lt;3,"",AVERAGE($Z$537:$Z$539))</f>
        <v>0</v>
      </c>
      <c r="AB539">
        <f>IF(COUNT($AA$537:$AA$539)&lt;3,"",AVERAGE($AA$537:$AA$539))</f>
        <v>0</v>
      </c>
      <c r="AC539">
        <f>IF($E539="","",MAX($C539-$D539,ABS($C539-$E538),ABS($D539-$E538)))</f>
        <v>0</v>
      </c>
      <c r="AD539">
        <f>IF(COUNT($E$2:$E539)&lt;15,"",AVERAGE($AC$526:$AC$539))</f>
        <v>0</v>
      </c>
      <c r="AE539">
        <f>IF(OR($E539="",$E538=""),"",IF(AND(($C539-$C538)&gt;($D538-$D539),($C539-$C538)&gt;0),$C539-$C538,0))</f>
        <v>0</v>
      </c>
      <c r="AF539">
        <f>IF(OR($E539="",$E538=""),"",IF(AND(($D538-$D539)&gt;($C539-$C538),($D538-$D539)&gt;0),$D538-$D539,0))</f>
        <v>0</v>
      </c>
      <c r="AG539">
        <f>IF(COUNT($E$2:$E539)&lt;15,"",IF(SUM($AC$526:$AC$539)=0,0,100*SUM($AE$526:$AE$539)/SUM($AC$526:$AC$539)))</f>
        <v>0</v>
      </c>
      <c r="AH539">
        <f>IF(COUNT($E$2:$E539)&lt;15,"",IF(SUM($AC$526:$AC$539)=0,0,100*SUM($AF$526:$AF$539)/SUM($AC$526:$AC$539)))</f>
        <v>0</v>
      </c>
      <c r="AI539">
        <f>IF(OR(AG539="",AH539=""),"",IF((AG539+AH539)=0,0,100*ABS(AG539-AH539)/(AG539+AH539)))</f>
        <v>0</v>
      </c>
      <c r="AJ539">
        <f>IF(COUNT($AI$526:$AI$539)&lt;14,"",AVERAGE($AI$526:$AI$539))</f>
        <v>0</v>
      </c>
      <c r="AK539">
        <f>IF(COUNT($E$2:$E539)&lt;20,"",AVERAGE($E$520:$E$539))</f>
        <v>0</v>
      </c>
      <c r="AL539">
        <f>IF(COUNT($E$2:$E539)&lt;20,"",STDEVP($E$520:$E$539))</f>
        <v>0</v>
      </c>
      <c r="AM539">
        <f>IF(AK539="","",AK539+2*AL539)</f>
        <v>0</v>
      </c>
      <c r="AN539">
        <f>IF(AK539="","",AK539-2*AL539)</f>
        <v>0</v>
      </c>
      <c r="AO539">
        <f>IF(OR(AM539="",AN539="",AM539=AN539),"",($E539-AN539)/(AM539-AN539))</f>
        <v>0</v>
      </c>
      <c r="AP539">
        <f>IF(OR(AM539="",AK539="",AK539=0),"",(AM539-AN539)/AK539)</f>
        <v>0</v>
      </c>
      <c r="AQ539">
        <f>IF(COUNT($E$2:$E539)&lt;20,"",MAX($C$520:$C$539))</f>
        <v>0</v>
      </c>
      <c r="AR539">
        <f>IF(COUNT($E$2:$E539)&lt;20,"",MIN($D$520:$D$539))</f>
        <v>0</v>
      </c>
      <c r="AS539">
        <f>IF(OR(AQ539="",AR539=""),"",(AQ539+AR539)/2)</f>
        <v>0</v>
      </c>
      <c r="AT539">
        <f>IF(COUNT($G$520:$G$539)&lt;20,"",STDEV($G$520:$G$539)*SQRT(252))</f>
        <v>0</v>
      </c>
      <c r="AU539">
        <f>IF(COUNT($E$2:$E539)&lt;9,"",(MAX($C$531:$C$539)+MIN($D$531:$D$539))/2)</f>
        <v>0</v>
      </c>
      <c r="AV539">
        <f>IF(COUNT($E$2:$E539)&lt;26,"",(MAX($C$514:$C$539)+MIN($D$514:$D$539))/2)</f>
        <v>0</v>
      </c>
      <c r="AW539">
        <f>IF(OR(AU539="",AV539=""),"",(AU539+AV539)/2)</f>
        <v>0</v>
      </c>
      <c r="AX539">
        <f>IF(COUNT($E$2:$E539)&lt;52,"",(MAX($C$488:$C$539)+MIN($D$488:$D$539))/2)</f>
        <v>0</v>
      </c>
      <c r="AY539">
        <f>IF(COUNT($E$2:$E539)&lt;20,"",MAX($C$440:$C$539))</f>
        <v>0</v>
      </c>
      <c r="AZ539">
        <f>IF(COUNT($E$2:$E539)&lt;20,"",MIN($D$440:$D$539))</f>
        <v>0</v>
      </c>
      <c r="BA539">
        <f>IF(COUNT($E$2:$E539)&lt;20,"",SLOPE($E$440:$E$539,$F$440:$F$539))</f>
        <v>0</v>
      </c>
      <c r="BB539">
        <f>IF(COUNT($E$2:$E539)&lt;20,"",INTERCEPT($E$440:$E$539,$F$440:$F$539))</f>
        <v>0</v>
      </c>
      <c r="BC539">
        <f>IF(OR(BA539="",BB539=""),"",BB539+BA539*F539)</f>
        <v>0</v>
      </c>
      <c r="BD539">
        <f>IF(COUNT($E$2:$E539)&lt;20,"",STEYX($E$440:$E$539,$F$440:$F$539))</f>
        <v>0</v>
      </c>
      <c r="BE539">
        <f>IF($E539="","",IF(AND(COUNT($E$540:$E$543)&gt;=4,$C539=MAX($C$535:$C$543)),$C539,""))</f>
        <v>0</v>
      </c>
      <c r="BF539">
        <f>IF($E539="","",IF(AND(COUNT($E$540:$E$543)&gt;=4,$D539=MIN($D$535:$D$543)),$D539,""))</f>
        <v>0</v>
      </c>
      <c r="BG539">
        <f>IF($A539="","",$A539-WEEKDAY($A539,2)+1)</f>
        <v>0</v>
      </c>
      <c r="BH539">
        <f>IF($A539="","",IF($A538="",1,IF(BG539&lt;&gt;BG538,1,0)))</f>
        <v>0</v>
      </c>
      <c r="BI539">
        <f>IF($A539="","",IF($A540="",1,IF(BG540&lt;&gt;BG539,1,0)))</f>
        <v>0</v>
      </c>
      <c r="BJ539">
        <f>IF($A539="","",IF(BH539=1,$B539,BJ538))</f>
        <v>0</v>
      </c>
      <c r="BK539">
        <f>IF($A539="","",IF(BH539=1,$C539,MAX($C539,BK538)))</f>
        <v>0</v>
      </c>
      <c r="BL539">
        <f>IF($A539="","",IF(BH539=1,$D539,MIN($D539,BL538)))</f>
        <v>0</v>
      </c>
      <c r="BM539">
        <f>IF($A539="","",IF(BI539=1,F539,""))</f>
        <v>0</v>
      </c>
      <c r="BN539">
        <f>IF($A539="","",DATE(YEAR($A539),MONTH($A539),1))</f>
        <v>0</v>
      </c>
      <c r="BO539">
        <f>IF($A539="","",IF($A538="",1,IF(BN539&lt;&gt;BN538,1,0)))</f>
        <v>0</v>
      </c>
      <c r="BP539">
        <f>IF($A539="","",IF($A540="",1,IF(BN540&lt;&gt;BN539,1,0)))</f>
        <v>0</v>
      </c>
      <c r="BQ539">
        <f>IF($A539="","",IF(BO539=1,$B539,BQ538))</f>
        <v>0</v>
      </c>
      <c r="BR539">
        <f>IF($A539="","",IF(BO539=1,$C539,MAX($C539,BR538)))</f>
        <v>0</v>
      </c>
      <c r="BS539">
        <f>IF($A539="","",IF(BO539=1,$D539,MIN($D539,BS538)))</f>
        <v>0</v>
      </c>
      <c r="BT539">
        <f>IF($A539="","",IF(BP539=1,F539,""))</f>
        <v>0</v>
      </c>
    </row>
    <row r="540" spans="1:72">
      <c r="A540" s="27">
        <f>IF(Data!$A540="","",Data!$A540)</f>
        <v>0</v>
      </c>
      <c r="B540">
        <f>IF(Data!$B540="","",Data!$B540)</f>
        <v>0</v>
      </c>
      <c r="C540">
        <f>IF(Data!$C540="","",Data!$C540)</f>
        <v>0</v>
      </c>
      <c r="D540">
        <f>IF(Data!$D540="","",Data!$D540)</f>
        <v>0</v>
      </c>
      <c r="E540">
        <f>IF(Data!$E540="","",Data!$E540)</f>
        <v>0</v>
      </c>
      <c r="F540">
        <f>IF($E540="","",N(F539)+1)</f>
        <v>0</v>
      </c>
      <c r="G540">
        <f>IF(OR($E540="",$E539=""),"",LN($E540/$E539))</f>
        <v>0</v>
      </c>
      <c r="H540">
        <f>IF($E540="","",IF($E539="",$E540,$E540*0.0952380952+H539*0.9047619048))</f>
        <v>0</v>
      </c>
      <c r="I540">
        <f>IF($E540="","",IF($E539="",$E540,$E540*0.0392156863+I539*0.9607843137))</f>
        <v>0</v>
      </c>
      <c r="J540">
        <f>IF($E540="","",IF($E539="",$E540,$E540*0.0198019802+J539*0.9801980198))</f>
        <v>0</v>
      </c>
      <c r="K540">
        <f>IF($E540="","",IF($E539="",$E540,$E540*0.0099502488+K539*0.9900497512))</f>
        <v>0</v>
      </c>
      <c r="L540">
        <f>IF(OR($E540="",$E539=""),"",MAX($E540-$E539,0))</f>
        <v>0</v>
      </c>
      <c r="M540">
        <f>IF(OR($E540="",$E539=""),"",MAX($E539-$E540,0))</f>
        <v>0</v>
      </c>
      <c r="N540">
        <f>IF(COUNT($E$2:$E540)&lt;15,"",IF(AVERAGE($M$527:$M$540)=0,100,100-100/(1+AVERAGE($L$527:$L$540)/AVERAGE($M$527:$M$540))))</f>
        <v>0</v>
      </c>
      <c r="O540">
        <f>IF($E540="","",IF($E539="",$E540,$E540*0.1538461538+O539*0.8461538462))</f>
        <v>0</v>
      </c>
      <c r="P540">
        <f>IF($E540="","",IF($E539="",$E540,$E540*0.0740740741+P539*0.9259259259))</f>
        <v>0</v>
      </c>
      <c r="Q540">
        <f>IF(OR(O540="",P540=""),"",O540-P540)</f>
        <v>0</v>
      </c>
      <c r="R540">
        <f>IF(Q540="","",IF(R539="",Q540,Q540*0.2000000000+R539*0.8000000000))</f>
        <v>0</v>
      </c>
      <c r="S540">
        <f>IF(OR(Q540="",R540=""),"",Q540-R540)</f>
        <v>0</v>
      </c>
      <c r="T540">
        <f>IF(COUNT($E$2:$E540)&lt;14,"",MAX($C$527:$C$540))</f>
        <v>0</v>
      </c>
      <c r="U540">
        <f>IF(COUNT($E$2:$E540)&lt;14,"",MIN($D$527:$D$540))</f>
        <v>0</v>
      </c>
      <c r="V540">
        <f>IF(OR(T540="",U540="",T540=U540),"",100*($E540-U540)/(T540-U540))</f>
        <v>0</v>
      </c>
      <c r="W540">
        <f>IF(COUNT($V$538:$V$540)&lt;3,"",AVERAGE($V$538:$V$540))</f>
        <v>0</v>
      </c>
      <c r="X540">
        <f>IF(COUNT($N$527:$N$540)&lt;14,"",MIN($N$527:$N$540))</f>
        <v>0</v>
      </c>
      <c r="Y540">
        <f>IF(COUNT($N$527:$N$540)&lt;14,"",MAX($N$527:$N$540))</f>
        <v>0</v>
      </c>
      <c r="Z540">
        <f>IF(OR(N540="",X540="",Y540="",Y540=X540),"",100*(N540-X540)/(Y540-X540))</f>
        <v>0</v>
      </c>
      <c r="AA540">
        <f>IF(COUNT($Z$538:$Z$540)&lt;3,"",AVERAGE($Z$538:$Z$540))</f>
        <v>0</v>
      </c>
      <c r="AB540">
        <f>IF(COUNT($AA$538:$AA$540)&lt;3,"",AVERAGE($AA$538:$AA$540))</f>
        <v>0</v>
      </c>
      <c r="AC540">
        <f>IF($E540="","",MAX($C540-$D540,ABS($C540-$E539),ABS($D540-$E539)))</f>
        <v>0</v>
      </c>
      <c r="AD540">
        <f>IF(COUNT($E$2:$E540)&lt;15,"",AVERAGE($AC$527:$AC$540))</f>
        <v>0</v>
      </c>
      <c r="AE540">
        <f>IF(OR($E540="",$E539=""),"",IF(AND(($C540-$C539)&gt;($D539-$D540),($C540-$C539)&gt;0),$C540-$C539,0))</f>
        <v>0</v>
      </c>
      <c r="AF540">
        <f>IF(OR($E540="",$E539=""),"",IF(AND(($D539-$D540)&gt;($C540-$C539),($D539-$D540)&gt;0),$D539-$D540,0))</f>
        <v>0</v>
      </c>
      <c r="AG540">
        <f>IF(COUNT($E$2:$E540)&lt;15,"",IF(SUM($AC$527:$AC$540)=0,0,100*SUM($AE$527:$AE$540)/SUM($AC$527:$AC$540)))</f>
        <v>0</v>
      </c>
      <c r="AH540">
        <f>IF(COUNT($E$2:$E540)&lt;15,"",IF(SUM($AC$527:$AC$540)=0,0,100*SUM($AF$527:$AF$540)/SUM($AC$527:$AC$540)))</f>
        <v>0</v>
      </c>
      <c r="AI540">
        <f>IF(OR(AG540="",AH540=""),"",IF((AG540+AH540)=0,0,100*ABS(AG540-AH540)/(AG540+AH540)))</f>
        <v>0</v>
      </c>
      <c r="AJ540">
        <f>IF(COUNT($AI$527:$AI$540)&lt;14,"",AVERAGE($AI$527:$AI$540))</f>
        <v>0</v>
      </c>
      <c r="AK540">
        <f>IF(COUNT($E$2:$E540)&lt;20,"",AVERAGE($E$521:$E$540))</f>
        <v>0</v>
      </c>
      <c r="AL540">
        <f>IF(COUNT($E$2:$E540)&lt;20,"",STDEVP($E$521:$E$540))</f>
        <v>0</v>
      </c>
      <c r="AM540">
        <f>IF(AK540="","",AK540+2*AL540)</f>
        <v>0</v>
      </c>
      <c r="AN540">
        <f>IF(AK540="","",AK540-2*AL540)</f>
        <v>0</v>
      </c>
      <c r="AO540">
        <f>IF(OR(AM540="",AN540="",AM540=AN540),"",($E540-AN540)/(AM540-AN540))</f>
        <v>0</v>
      </c>
      <c r="AP540">
        <f>IF(OR(AM540="",AK540="",AK540=0),"",(AM540-AN540)/AK540)</f>
        <v>0</v>
      </c>
      <c r="AQ540">
        <f>IF(COUNT($E$2:$E540)&lt;20,"",MAX($C$521:$C$540))</f>
        <v>0</v>
      </c>
      <c r="AR540">
        <f>IF(COUNT($E$2:$E540)&lt;20,"",MIN($D$521:$D$540))</f>
        <v>0</v>
      </c>
      <c r="AS540">
        <f>IF(OR(AQ540="",AR540=""),"",(AQ540+AR540)/2)</f>
        <v>0</v>
      </c>
      <c r="AT540">
        <f>IF(COUNT($G$521:$G$540)&lt;20,"",STDEV($G$521:$G$540)*SQRT(252))</f>
        <v>0</v>
      </c>
      <c r="AU540">
        <f>IF(COUNT($E$2:$E540)&lt;9,"",(MAX($C$532:$C$540)+MIN($D$532:$D$540))/2)</f>
        <v>0</v>
      </c>
      <c r="AV540">
        <f>IF(COUNT($E$2:$E540)&lt;26,"",(MAX($C$515:$C$540)+MIN($D$515:$D$540))/2)</f>
        <v>0</v>
      </c>
      <c r="AW540">
        <f>IF(OR(AU540="",AV540=""),"",(AU540+AV540)/2)</f>
        <v>0</v>
      </c>
      <c r="AX540">
        <f>IF(COUNT($E$2:$E540)&lt;52,"",(MAX($C$489:$C$540)+MIN($D$489:$D$540))/2)</f>
        <v>0</v>
      </c>
      <c r="AY540">
        <f>IF(COUNT($E$2:$E540)&lt;20,"",MAX($C$441:$C$540))</f>
        <v>0</v>
      </c>
      <c r="AZ540">
        <f>IF(COUNT($E$2:$E540)&lt;20,"",MIN($D$441:$D$540))</f>
        <v>0</v>
      </c>
      <c r="BA540">
        <f>IF(COUNT($E$2:$E540)&lt;20,"",SLOPE($E$441:$E$540,$F$441:$F$540))</f>
        <v>0</v>
      </c>
      <c r="BB540">
        <f>IF(COUNT($E$2:$E540)&lt;20,"",INTERCEPT($E$441:$E$540,$F$441:$F$540))</f>
        <v>0</v>
      </c>
      <c r="BC540">
        <f>IF(OR(BA540="",BB540=""),"",BB540+BA540*F540)</f>
        <v>0</v>
      </c>
      <c r="BD540">
        <f>IF(COUNT($E$2:$E540)&lt;20,"",STEYX($E$441:$E$540,$F$441:$F$540))</f>
        <v>0</v>
      </c>
      <c r="BE540">
        <f>IF($E540="","",IF(AND(COUNT($E$541:$E$544)&gt;=4,$C540=MAX($C$536:$C$544)),$C540,""))</f>
        <v>0</v>
      </c>
      <c r="BF540">
        <f>IF($E540="","",IF(AND(COUNT($E$541:$E$544)&gt;=4,$D540=MIN($D$536:$D$544)),$D540,""))</f>
        <v>0</v>
      </c>
      <c r="BG540">
        <f>IF($A540="","",$A540-WEEKDAY($A540,2)+1)</f>
        <v>0</v>
      </c>
      <c r="BH540">
        <f>IF($A540="","",IF($A539="",1,IF(BG540&lt;&gt;BG539,1,0)))</f>
        <v>0</v>
      </c>
      <c r="BI540">
        <f>IF($A540="","",IF($A541="",1,IF(BG541&lt;&gt;BG540,1,0)))</f>
        <v>0</v>
      </c>
      <c r="BJ540">
        <f>IF($A540="","",IF(BH540=1,$B540,BJ539))</f>
        <v>0</v>
      </c>
      <c r="BK540">
        <f>IF($A540="","",IF(BH540=1,$C540,MAX($C540,BK539)))</f>
        <v>0</v>
      </c>
      <c r="BL540">
        <f>IF($A540="","",IF(BH540=1,$D540,MIN($D540,BL539)))</f>
        <v>0</v>
      </c>
      <c r="BM540">
        <f>IF($A540="","",IF(BI540=1,F540,""))</f>
        <v>0</v>
      </c>
      <c r="BN540">
        <f>IF($A540="","",DATE(YEAR($A540),MONTH($A540),1))</f>
        <v>0</v>
      </c>
      <c r="BO540">
        <f>IF($A540="","",IF($A539="",1,IF(BN540&lt;&gt;BN539,1,0)))</f>
        <v>0</v>
      </c>
      <c r="BP540">
        <f>IF($A540="","",IF($A541="",1,IF(BN541&lt;&gt;BN540,1,0)))</f>
        <v>0</v>
      </c>
      <c r="BQ540">
        <f>IF($A540="","",IF(BO540=1,$B540,BQ539))</f>
        <v>0</v>
      </c>
      <c r="BR540">
        <f>IF($A540="","",IF(BO540=1,$C540,MAX($C540,BR539)))</f>
        <v>0</v>
      </c>
      <c r="BS540">
        <f>IF($A540="","",IF(BO540=1,$D540,MIN($D540,BS539)))</f>
        <v>0</v>
      </c>
      <c r="BT540">
        <f>IF($A540="","",IF(BP540=1,F540,""))</f>
        <v>0</v>
      </c>
    </row>
    <row r="541" spans="1:72">
      <c r="A541" s="27">
        <f>IF(Data!$A541="","",Data!$A541)</f>
        <v>0</v>
      </c>
      <c r="B541">
        <f>IF(Data!$B541="","",Data!$B541)</f>
        <v>0</v>
      </c>
      <c r="C541">
        <f>IF(Data!$C541="","",Data!$C541)</f>
        <v>0</v>
      </c>
      <c r="D541">
        <f>IF(Data!$D541="","",Data!$D541)</f>
        <v>0</v>
      </c>
      <c r="E541">
        <f>IF(Data!$E541="","",Data!$E541)</f>
        <v>0</v>
      </c>
      <c r="F541">
        <f>IF($E541="","",N(F540)+1)</f>
        <v>0</v>
      </c>
      <c r="G541">
        <f>IF(OR($E541="",$E540=""),"",LN($E541/$E540))</f>
        <v>0</v>
      </c>
      <c r="H541">
        <f>IF($E541="","",IF($E540="",$E541,$E541*0.0952380952+H540*0.9047619048))</f>
        <v>0</v>
      </c>
      <c r="I541">
        <f>IF($E541="","",IF($E540="",$E541,$E541*0.0392156863+I540*0.9607843137))</f>
        <v>0</v>
      </c>
      <c r="J541">
        <f>IF($E541="","",IF($E540="",$E541,$E541*0.0198019802+J540*0.9801980198))</f>
        <v>0</v>
      </c>
      <c r="K541">
        <f>IF($E541="","",IF($E540="",$E541,$E541*0.0099502488+K540*0.9900497512))</f>
        <v>0</v>
      </c>
      <c r="L541">
        <f>IF(OR($E541="",$E540=""),"",MAX($E541-$E540,0))</f>
        <v>0</v>
      </c>
      <c r="M541">
        <f>IF(OR($E541="",$E540=""),"",MAX($E540-$E541,0))</f>
        <v>0</v>
      </c>
      <c r="N541">
        <f>IF(COUNT($E$2:$E541)&lt;15,"",IF(AVERAGE($M$528:$M$541)=0,100,100-100/(1+AVERAGE($L$528:$L$541)/AVERAGE($M$528:$M$541))))</f>
        <v>0</v>
      </c>
      <c r="O541">
        <f>IF($E541="","",IF($E540="",$E541,$E541*0.1538461538+O540*0.8461538462))</f>
        <v>0</v>
      </c>
      <c r="P541">
        <f>IF($E541="","",IF($E540="",$E541,$E541*0.0740740741+P540*0.9259259259))</f>
        <v>0</v>
      </c>
      <c r="Q541">
        <f>IF(OR(O541="",P541=""),"",O541-P541)</f>
        <v>0</v>
      </c>
      <c r="R541">
        <f>IF(Q541="","",IF(R540="",Q541,Q541*0.2000000000+R540*0.8000000000))</f>
        <v>0</v>
      </c>
      <c r="S541">
        <f>IF(OR(Q541="",R541=""),"",Q541-R541)</f>
        <v>0</v>
      </c>
      <c r="T541">
        <f>IF(COUNT($E$2:$E541)&lt;14,"",MAX($C$528:$C$541))</f>
        <v>0</v>
      </c>
      <c r="U541">
        <f>IF(COUNT($E$2:$E541)&lt;14,"",MIN($D$528:$D$541))</f>
        <v>0</v>
      </c>
      <c r="V541">
        <f>IF(OR(T541="",U541="",T541=U541),"",100*($E541-U541)/(T541-U541))</f>
        <v>0</v>
      </c>
      <c r="W541">
        <f>IF(COUNT($V$539:$V$541)&lt;3,"",AVERAGE($V$539:$V$541))</f>
        <v>0</v>
      </c>
      <c r="X541">
        <f>IF(COUNT($N$528:$N$541)&lt;14,"",MIN($N$528:$N$541))</f>
        <v>0</v>
      </c>
      <c r="Y541">
        <f>IF(COUNT($N$528:$N$541)&lt;14,"",MAX($N$528:$N$541))</f>
        <v>0</v>
      </c>
      <c r="Z541">
        <f>IF(OR(N541="",X541="",Y541="",Y541=X541),"",100*(N541-X541)/(Y541-X541))</f>
        <v>0</v>
      </c>
      <c r="AA541">
        <f>IF(COUNT($Z$539:$Z$541)&lt;3,"",AVERAGE($Z$539:$Z$541))</f>
        <v>0</v>
      </c>
      <c r="AB541">
        <f>IF(COUNT($AA$539:$AA$541)&lt;3,"",AVERAGE($AA$539:$AA$541))</f>
        <v>0</v>
      </c>
      <c r="AC541">
        <f>IF($E541="","",MAX($C541-$D541,ABS($C541-$E540),ABS($D541-$E540)))</f>
        <v>0</v>
      </c>
      <c r="AD541">
        <f>IF(COUNT($E$2:$E541)&lt;15,"",AVERAGE($AC$528:$AC$541))</f>
        <v>0</v>
      </c>
      <c r="AE541">
        <f>IF(OR($E541="",$E540=""),"",IF(AND(($C541-$C540)&gt;($D540-$D541),($C541-$C540)&gt;0),$C541-$C540,0))</f>
        <v>0</v>
      </c>
      <c r="AF541">
        <f>IF(OR($E541="",$E540=""),"",IF(AND(($D540-$D541)&gt;($C541-$C540),($D540-$D541)&gt;0),$D540-$D541,0))</f>
        <v>0</v>
      </c>
      <c r="AG541">
        <f>IF(COUNT($E$2:$E541)&lt;15,"",IF(SUM($AC$528:$AC$541)=0,0,100*SUM($AE$528:$AE$541)/SUM($AC$528:$AC$541)))</f>
        <v>0</v>
      </c>
      <c r="AH541">
        <f>IF(COUNT($E$2:$E541)&lt;15,"",IF(SUM($AC$528:$AC$541)=0,0,100*SUM($AF$528:$AF$541)/SUM($AC$528:$AC$541)))</f>
        <v>0</v>
      </c>
      <c r="AI541">
        <f>IF(OR(AG541="",AH541=""),"",IF((AG541+AH541)=0,0,100*ABS(AG541-AH541)/(AG541+AH541)))</f>
        <v>0</v>
      </c>
      <c r="AJ541">
        <f>IF(COUNT($AI$528:$AI$541)&lt;14,"",AVERAGE($AI$528:$AI$541))</f>
        <v>0</v>
      </c>
      <c r="AK541">
        <f>IF(COUNT($E$2:$E541)&lt;20,"",AVERAGE($E$522:$E$541))</f>
        <v>0</v>
      </c>
      <c r="AL541">
        <f>IF(COUNT($E$2:$E541)&lt;20,"",STDEVP($E$522:$E$541))</f>
        <v>0</v>
      </c>
      <c r="AM541">
        <f>IF(AK541="","",AK541+2*AL541)</f>
        <v>0</v>
      </c>
      <c r="AN541">
        <f>IF(AK541="","",AK541-2*AL541)</f>
        <v>0</v>
      </c>
      <c r="AO541">
        <f>IF(OR(AM541="",AN541="",AM541=AN541),"",($E541-AN541)/(AM541-AN541))</f>
        <v>0</v>
      </c>
      <c r="AP541">
        <f>IF(OR(AM541="",AK541="",AK541=0),"",(AM541-AN541)/AK541)</f>
        <v>0</v>
      </c>
      <c r="AQ541">
        <f>IF(COUNT($E$2:$E541)&lt;20,"",MAX($C$522:$C$541))</f>
        <v>0</v>
      </c>
      <c r="AR541">
        <f>IF(COUNT($E$2:$E541)&lt;20,"",MIN($D$522:$D$541))</f>
        <v>0</v>
      </c>
      <c r="AS541">
        <f>IF(OR(AQ541="",AR541=""),"",(AQ541+AR541)/2)</f>
        <v>0</v>
      </c>
      <c r="AT541">
        <f>IF(COUNT($G$522:$G$541)&lt;20,"",STDEV($G$522:$G$541)*SQRT(252))</f>
        <v>0</v>
      </c>
      <c r="AU541">
        <f>IF(COUNT($E$2:$E541)&lt;9,"",(MAX($C$533:$C$541)+MIN($D$533:$D$541))/2)</f>
        <v>0</v>
      </c>
      <c r="AV541">
        <f>IF(COUNT($E$2:$E541)&lt;26,"",(MAX($C$516:$C$541)+MIN($D$516:$D$541))/2)</f>
        <v>0</v>
      </c>
      <c r="AW541">
        <f>IF(OR(AU541="",AV541=""),"",(AU541+AV541)/2)</f>
        <v>0</v>
      </c>
      <c r="AX541">
        <f>IF(COUNT($E$2:$E541)&lt;52,"",(MAX($C$490:$C$541)+MIN($D$490:$D$541))/2)</f>
        <v>0</v>
      </c>
      <c r="AY541">
        <f>IF(COUNT($E$2:$E541)&lt;20,"",MAX($C$442:$C$541))</f>
        <v>0</v>
      </c>
      <c r="AZ541">
        <f>IF(COUNT($E$2:$E541)&lt;20,"",MIN($D$442:$D$541))</f>
        <v>0</v>
      </c>
      <c r="BA541">
        <f>IF(COUNT($E$2:$E541)&lt;20,"",SLOPE($E$442:$E$541,$F$442:$F$541))</f>
        <v>0</v>
      </c>
      <c r="BB541">
        <f>IF(COUNT($E$2:$E541)&lt;20,"",INTERCEPT($E$442:$E$541,$F$442:$F$541))</f>
        <v>0</v>
      </c>
      <c r="BC541">
        <f>IF(OR(BA541="",BB541=""),"",BB541+BA541*F541)</f>
        <v>0</v>
      </c>
      <c r="BD541">
        <f>IF(COUNT($E$2:$E541)&lt;20,"",STEYX($E$442:$E$541,$F$442:$F$541))</f>
        <v>0</v>
      </c>
      <c r="BE541">
        <f>IF($E541="","",IF(AND(COUNT($E$542:$E$545)&gt;=4,$C541=MAX($C$537:$C$545)),$C541,""))</f>
        <v>0</v>
      </c>
      <c r="BF541">
        <f>IF($E541="","",IF(AND(COUNT($E$542:$E$545)&gt;=4,$D541=MIN($D$537:$D$545)),$D541,""))</f>
        <v>0</v>
      </c>
      <c r="BG541">
        <f>IF($A541="","",$A541-WEEKDAY($A541,2)+1)</f>
        <v>0</v>
      </c>
      <c r="BH541">
        <f>IF($A541="","",IF($A540="",1,IF(BG541&lt;&gt;BG540,1,0)))</f>
        <v>0</v>
      </c>
      <c r="BI541">
        <f>IF($A541="","",IF($A542="",1,IF(BG542&lt;&gt;BG541,1,0)))</f>
        <v>0</v>
      </c>
      <c r="BJ541">
        <f>IF($A541="","",IF(BH541=1,$B541,BJ540))</f>
        <v>0</v>
      </c>
      <c r="BK541">
        <f>IF($A541="","",IF(BH541=1,$C541,MAX($C541,BK540)))</f>
        <v>0</v>
      </c>
      <c r="BL541">
        <f>IF($A541="","",IF(BH541=1,$D541,MIN($D541,BL540)))</f>
        <v>0</v>
      </c>
      <c r="BM541">
        <f>IF($A541="","",IF(BI541=1,F541,""))</f>
        <v>0</v>
      </c>
      <c r="BN541">
        <f>IF($A541="","",DATE(YEAR($A541),MONTH($A541),1))</f>
        <v>0</v>
      </c>
      <c r="BO541">
        <f>IF($A541="","",IF($A540="",1,IF(BN541&lt;&gt;BN540,1,0)))</f>
        <v>0</v>
      </c>
      <c r="BP541">
        <f>IF($A541="","",IF($A542="",1,IF(BN542&lt;&gt;BN541,1,0)))</f>
        <v>0</v>
      </c>
      <c r="BQ541">
        <f>IF($A541="","",IF(BO541=1,$B541,BQ540))</f>
        <v>0</v>
      </c>
      <c r="BR541">
        <f>IF($A541="","",IF(BO541=1,$C541,MAX($C541,BR540)))</f>
        <v>0</v>
      </c>
      <c r="BS541">
        <f>IF($A541="","",IF(BO541=1,$D541,MIN($D541,BS540)))</f>
        <v>0</v>
      </c>
      <c r="BT541">
        <f>IF($A541="","",IF(BP541=1,F541,""))</f>
        <v>0</v>
      </c>
    </row>
    <row r="542" spans="1:72">
      <c r="A542" s="27">
        <f>IF(Data!$A542="","",Data!$A542)</f>
        <v>0</v>
      </c>
      <c r="B542">
        <f>IF(Data!$B542="","",Data!$B542)</f>
        <v>0</v>
      </c>
      <c r="C542">
        <f>IF(Data!$C542="","",Data!$C542)</f>
        <v>0</v>
      </c>
      <c r="D542">
        <f>IF(Data!$D542="","",Data!$D542)</f>
        <v>0</v>
      </c>
      <c r="E542">
        <f>IF(Data!$E542="","",Data!$E542)</f>
        <v>0</v>
      </c>
      <c r="F542">
        <f>IF($E542="","",N(F541)+1)</f>
        <v>0</v>
      </c>
      <c r="G542">
        <f>IF(OR($E542="",$E541=""),"",LN($E542/$E541))</f>
        <v>0</v>
      </c>
      <c r="H542">
        <f>IF($E542="","",IF($E541="",$E542,$E542*0.0952380952+H541*0.9047619048))</f>
        <v>0</v>
      </c>
      <c r="I542">
        <f>IF($E542="","",IF($E541="",$E542,$E542*0.0392156863+I541*0.9607843137))</f>
        <v>0</v>
      </c>
      <c r="J542">
        <f>IF($E542="","",IF($E541="",$E542,$E542*0.0198019802+J541*0.9801980198))</f>
        <v>0</v>
      </c>
      <c r="K542">
        <f>IF($E542="","",IF($E541="",$E542,$E542*0.0099502488+K541*0.9900497512))</f>
        <v>0</v>
      </c>
      <c r="L542">
        <f>IF(OR($E542="",$E541=""),"",MAX($E542-$E541,0))</f>
        <v>0</v>
      </c>
      <c r="M542">
        <f>IF(OR($E542="",$E541=""),"",MAX($E541-$E542,0))</f>
        <v>0</v>
      </c>
      <c r="N542">
        <f>IF(COUNT($E$2:$E542)&lt;15,"",IF(AVERAGE($M$529:$M$542)=0,100,100-100/(1+AVERAGE($L$529:$L$542)/AVERAGE($M$529:$M$542))))</f>
        <v>0</v>
      </c>
      <c r="O542">
        <f>IF($E542="","",IF($E541="",$E542,$E542*0.1538461538+O541*0.8461538462))</f>
        <v>0</v>
      </c>
      <c r="P542">
        <f>IF($E542="","",IF($E541="",$E542,$E542*0.0740740741+P541*0.9259259259))</f>
        <v>0</v>
      </c>
      <c r="Q542">
        <f>IF(OR(O542="",P542=""),"",O542-P542)</f>
        <v>0</v>
      </c>
      <c r="R542">
        <f>IF(Q542="","",IF(R541="",Q542,Q542*0.2000000000+R541*0.8000000000))</f>
        <v>0</v>
      </c>
      <c r="S542">
        <f>IF(OR(Q542="",R542=""),"",Q542-R542)</f>
        <v>0</v>
      </c>
      <c r="T542">
        <f>IF(COUNT($E$2:$E542)&lt;14,"",MAX($C$529:$C$542))</f>
        <v>0</v>
      </c>
      <c r="U542">
        <f>IF(COUNT($E$2:$E542)&lt;14,"",MIN($D$529:$D$542))</f>
        <v>0</v>
      </c>
      <c r="V542">
        <f>IF(OR(T542="",U542="",T542=U542),"",100*($E542-U542)/(T542-U542))</f>
        <v>0</v>
      </c>
      <c r="W542">
        <f>IF(COUNT($V$540:$V$542)&lt;3,"",AVERAGE($V$540:$V$542))</f>
        <v>0</v>
      </c>
      <c r="X542">
        <f>IF(COUNT($N$529:$N$542)&lt;14,"",MIN($N$529:$N$542))</f>
        <v>0</v>
      </c>
      <c r="Y542">
        <f>IF(COUNT($N$529:$N$542)&lt;14,"",MAX($N$529:$N$542))</f>
        <v>0</v>
      </c>
      <c r="Z542">
        <f>IF(OR(N542="",X542="",Y542="",Y542=X542),"",100*(N542-X542)/(Y542-X542))</f>
        <v>0</v>
      </c>
      <c r="AA542">
        <f>IF(COUNT($Z$540:$Z$542)&lt;3,"",AVERAGE($Z$540:$Z$542))</f>
        <v>0</v>
      </c>
      <c r="AB542">
        <f>IF(COUNT($AA$540:$AA$542)&lt;3,"",AVERAGE($AA$540:$AA$542))</f>
        <v>0</v>
      </c>
      <c r="AC542">
        <f>IF($E542="","",MAX($C542-$D542,ABS($C542-$E541),ABS($D542-$E541)))</f>
        <v>0</v>
      </c>
      <c r="AD542">
        <f>IF(COUNT($E$2:$E542)&lt;15,"",AVERAGE($AC$529:$AC$542))</f>
        <v>0</v>
      </c>
      <c r="AE542">
        <f>IF(OR($E542="",$E541=""),"",IF(AND(($C542-$C541)&gt;($D541-$D542),($C542-$C541)&gt;0),$C542-$C541,0))</f>
        <v>0</v>
      </c>
      <c r="AF542">
        <f>IF(OR($E542="",$E541=""),"",IF(AND(($D541-$D542)&gt;($C542-$C541),($D541-$D542)&gt;0),$D541-$D542,0))</f>
        <v>0</v>
      </c>
      <c r="AG542">
        <f>IF(COUNT($E$2:$E542)&lt;15,"",IF(SUM($AC$529:$AC$542)=0,0,100*SUM($AE$529:$AE$542)/SUM($AC$529:$AC$542)))</f>
        <v>0</v>
      </c>
      <c r="AH542">
        <f>IF(COUNT($E$2:$E542)&lt;15,"",IF(SUM($AC$529:$AC$542)=0,0,100*SUM($AF$529:$AF$542)/SUM($AC$529:$AC$542)))</f>
        <v>0</v>
      </c>
      <c r="AI542">
        <f>IF(OR(AG542="",AH542=""),"",IF((AG542+AH542)=0,0,100*ABS(AG542-AH542)/(AG542+AH542)))</f>
        <v>0</v>
      </c>
      <c r="AJ542">
        <f>IF(COUNT($AI$529:$AI$542)&lt;14,"",AVERAGE($AI$529:$AI$542))</f>
        <v>0</v>
      </c>
      <c r="AK542">
        <f>IF(COUNT($E$2:$E542)&lt;20,"",AVERAGE($E$523:$E$542))</f>
        <v>0</v>
      </c>
      <c r="AL542">
        <f>IF(COUNT($E$2:$E542)&lt;20,"",STDEVP($E$523:$E$542))</f>
        <v>0</v>
      </c>
      <c r="AM542">
        <f>IF(AK542="","",AK542+2*AL542)</f>
        <v>0</v>
      </c>
      <c r="AN542">
        <f>IF(AK542="","",AK542-2*AL542)</f>
        <v>0</v>
      </c>
      <c r="AO542">
        <f>IF(OR(AM542="",AN542="",AM542=AN542),"",($E542-AN542)/(AM542-AN542))</f>
        <v>0</v>
      </c>
      <c r="AP542">
        <f>IF(OR(AM542="",AK542="",AK542=0),"",(AM542-AN542)/AK542)</f>
        <v>0</v>
      </c>
      <c r="AQ542">
        <f>IF(COUNT($E$2:$E542)&lt;20,"",MAX($C$523:$C$542))</f>
        <v>0</v>
      </c>
      <c r="AR542">
        <f>IF(COUNT($E$2:$E542)&lt;20,"",MIN($D$523:$D$542))</f>
        <v>0</v>
      </c>
      <c r="AS542">
        <f>IF(OR(AQ542="",AR542=""),"",(AQ542+AR542)/2)</f>
        <v>0</v>
      </c>
      <c r="AT542">
        <f>IF(COUNT($G$523:$G$542)&lt;20,"",STDEV($G$523:$G$542)*SQRT(252))</f>
        <v>0</v>
      </c>
      <c r="AU542">
        <f>IF(COUNT($E$2:$E542)&lt;9,"",(MAX($C$534:$C$542)+MIN($D$534:$D$542))/2)</f>
        <v>0</v>
      </c>
      <c r="AV542">
        <f>IF(COUNT($E$2:$E542)&lt;26,"",(MAX($C$517:$C$542)+MIN($D$517:$D$542))/2)</f>
        <v>0</v>
      </c>
      <c r="AW542">
        <f>IF(OR(AU542="",AV542=""),"",(AU542+AV542)/2)</f>
        <v>0</v>
      </c>
      <c r="AX542">
        <f>IF(COUNT($E$2:$E542)&lt;52,"",(MAX($C$491:$C$542)+MIN($D$491:$D$542))/2)</f>
        <v>0</v>
      </c>
      <c r="AY542">
        <f>IF(COUNT($E$2:$E542)&lt;20,"",MAX($C$443:$C$542))</f>
        <v>0</v>
      </c>
      <c r="AZ542">
        <f>IF(COUNT($E$2:$E542)&lt;20,"",MIN($D$443:$D$542))</f>
        <v>0</v>
      </c>
      <c r="BA542">
        <f>IF(COUNT($E$2:$E542)&lt;20,"",SLOPE($E$443:$E$542,$F$443:$F$542))</f>
        <v>0</v>
      </c>
      <c r="BB542">
        <f>IF(COUNT($E$2:$E542)&lt;20,"",INTERCEPT($E$443:$E$542,$F$443:$F$542))</f>
        <v>0</v>
      </c>
      <c r="BC542">
        <f>IF(OR(BA542="",BB542=""),"",BB542+BA542*F542)</f>
        <v>0</v>
      </c>
      <c r="BD542">
        <f>IF(COUNT($E$2:$E542)&lt;20,"",STEYX($E$443:$E$542,$F$443:$F$542))</f>
        <v>0</v>
      </c>
      <c r="BE542">
        <f>IF($E542="","",IF(AND(COUNT($E$543:$E$546)&gt;=4,$C542=MAX($C$538:$C$546)),$C542,""))</f>
        <v>0</v>
      </c>
      <c r="BF542">
        <f>IF($E542="","",IF(AND(COUNT($E$543:$E$546)&gt;=4,$D542=MIN($D$538:$D$546)),$D542,""))</f>
        <v>0</v>
      </c>
      <c r="BG542">
        <f>IF($A542="","",$A542-WEEKDAY($A542,2)+1)</f>
        <v>0</v>
      </c>
      <c r="BH542">
        <f>IF($A542="","",IF($A541="",1,IF(BG542&lt;&gt;BG541,1,0)))</f>
        <v>0</v>
      </c>
      <c r="BI542">
        <f>IF($A542="","",IF($A543="",1,IF(BG543&lt;&gt;BG542,1,0)))</f>
        <v>0</v>
      </c>
      <c r="BJ542">
        <f>IF($A542="","",IF(BH542=1,$B542,BJ541))</f>
        <v>0</v>
      </c>
      <c r="BK542">
        <f>IF($A542="","",IF(BH542=1,$C542,MAX($C542,BK541)))</f>
        <v>0</v>
      </c>
      <c r="BL542">
        <f>IF($A542="","",IF(BH542=1,$D542,MIN($D542,BL541)))</f>
        <v>0</v>
      </c>
      <c r="BM542">
        <f>IF($A542="","",IF(BI542=1,F542,""))</f>
        <v>0</v>
      </c>
      <c r="BN542">
        <f>IF($A542="","",DATE(YEAR($A542),MONTH($A542),1))</f>
        <v>0</v>
      </c>
      <c r="BO542">
        <f>IF($A542="","",IF($A541="",1,IF(BN542&lt;&gt;BN541,1,0)))</f>
        <v>0</v>
      </c>
      <c r="BP542">
        <f>IF($A542="","",IF($A543="",1,IF(BN543&lt;&gt;BN542,1,0)))</f>
        <v>0</v>
      </c>
      <c r="BQ542">
        <f>IF($A542="","",IF(BO542=1,$B542,BQ541))</f>
        <v>0</v>
      </c>
      <c r="BR542">
        <f>IF($A542="","",IF(BO542=1,$C542,MAX($C542,BR541)))</f>
        <v>0</v>
      </c>
      <c r="BS542">
        <f>IF($A542="","",IF(BO542=1,$D542,MIN($D542,BS541)))</f>
        <v>0</v>
      </c>
      <c r="BT542">
        <f>IF($A542="","",IF(BP542=1,F542,""))</f>
        <v>0</v>
      </c>
    </row>
    <row r="543" spans="1:72">
      <c r="A543" s="27">
        <f>IF(Data!$A543="","",Data!$A543)</f>
        <v>0</v>
      </c>
      <c r="B543">
        <f>IF(Data!$B543="","",Data!$B543)</f>
        <v>0</v>
      </c>
      <c r="C543">
        <f>IF(Data!$C543="","",Data!$C543)</f>
        <v>0</v>
      </c>
      <c r="D543">
        <f>IF(Data!$D543="","",Data!$D543)</f>
        <v>0</v>
      </c>
      <c r="E543">
        <f>IF(Data!$E543="","",Data!$E543)</f>
        <v>0</v>
      </c>
      <c r="F543">
        <f>IF($E543="","",N(F542)+1)</f>
        <v>0</v>
      </c>
      <c r="G543">
        <f>IF(OR($E543="",$E542=""),"",LN($E543/$E542))</f>
        <v>0</v>
      </c>
      <c r="H543">
        <f>IF($E543="","",IF($E542="",$E543,$E543*0.0952380952+H542*0.9047619048))</f>
        <v>0</v>
      </c>
      <c r="I543">
        <f>IF($E543="","",IF($E542="",$E543,$E543*0.0392156863+I542*0.9607843137))</f>
        <v>0</v>
      </c>
      <c r="J543">
        <f>IF($E543="","",IF($E542="",$E543,$E543*0.0198019802+J542*0.9801980198))</f>
        <v>0</v>
      </c>
      <c r="K543">
        <f>IF($E543="","",IF($E542="",$E543,$E543*0.0099502488+K542*0.9900497512))</f>
        <v>0</v>
      </c>
      <c r="L543">
        <f>IF(OR($E543="",$E542=""),"",MAX($E543-$E542,0))</f>
        <v>0</v>
      </c>
      <c r="M543">
        <f>IF(OR($E543="",$E542=""),"",MAX($E542-$E543,0))</f>
        <v>0</v>
      </c>
      <c r="N543">
        <f>IF(COUNT($E$2:$E543)&lt;15,"",IF(AVERAGE($M$530:$M$543)=0,100,100-100/(1+AVERAGE($L$530:$L$543)/AVERAGE($M$530:$M$543))))</f>
        <v>0</v>
      </c>
      <c r="O543">
        <f>IF($E543="","",IF($E542="",$E543,$E543*0.1538461538+O542*0.8461538462))</f>
        <v>0</v>
      </c>
      <c r="P543">
        <f>IF($E543="","",IF($E542="",$E543,$E543*0.0740740741+P542*0.9259259259))</f>
        <v>0</v>
      </c>
      <c r="Q543">
        <f>IF(OR(O543="",P543=""),"",O543-P543)</f>
        <v>0</v>
      </c>
      <c r="R543">
        <f>IF(Q543="","",IF(R542="",Q543,Q543*0.2000000000+R542*0.8000000000))</f>
        <v>0</v>
      </c>
      <c r="S543">
        <f>IF(OR(Q543="",R543=""),"",Q543-R543)</f>
        <v>0</v>
      </c>
      <c r="T543">
        <f>IF(COUNT($E$2:$E543)&lt;14,"",MAX($C$530:$C$543))</f>
        <v>0</v>
      </c>
      <c r="U543">
        <f>IF(COUNT($E$2:$E543)&lt;14,"",MIN($D$530:$D$543))</f>
        <v>0</v>
      </c>
      <c r="V543">
        <f>IF(OR(T543="",U543="",T543=U543),"",100*($E543-U543)/(T543-U543))</f>
        <v>0</v>
      </c>
      <c r="W543">
        <f>IF(COUNT($V$541:$V$543)&lt;3,"",AVERAGE($V$541:$V$543))</f>
        <v>0</v>
      </c>
      <c r="X543">
        <f>IF(COUNT($N$530:$N$543)&lt;14,"",MIN($N$530:$N$543))</f>
        <v>0</v>
      </c>
      <c r="Y543">
        <f>IF(COUNT($N$530:$N$543)&lt;14,"",MAX($N$530:$N$543))</f>
        <v>0</v>
      </c>
      <c r="Z543">
        <f>IF(OR(N543="",X543="",Y543="",Y543=X543),"",100*(N543-X543)/(Y543-X543))</f>
        <v>0</v>
      </c>
      <c r="AA543">
        <f>IF(COUNT($Z$541:$Z$543)&lt;3,"",AVERAGE($Z$541:$Z$543))</f>
        <v>0</v>
      </c>
      <c r="AB543">
        <f>IF(COUNT($AA$541:$AA$543)&lt;3,"",AVERAGE($AA$541:$AA$543))</f>
        <v>0</v>
      </c>
      <c r="AC543">
        <f>IF($E543="","",MAX($C543-$D543,ABS($C543-$E542),ABS($D543-$E542)))</f>
        <v>0</v>
      </c>
      <c r="AD543">
        <f>IF(COUNT($E$2:$E543)&lt;15,"",AVERAGE($AC$530:$AC$543))</f>
        <v>0</v>
      </c>
      <c r="AE543">
        <f>IF(OR($E543="",$E542=""),"",IF(AND(($C543-$C542)&gt;($D542-$D543),($C543-$C542)&gt;0),$C543-$C542,0))</f>
        <v>0</v>
      </c>
      <c r="AF543">
        <f>IF(OR($E543="",$E542=""),"",IF(AND(($D542-$D543)&gt;($C543-$C542),($D542-$D543)&gt;0),$D542-$D543,0))</f>
        <v>0</v>
      </c>
      <c r="AG543">
        <f>IF(COUNT($E$2:$E543)&lt;15,"",IF(SUM($AC$530:$AC$543)=0,0,100*SUM($AE$530:$AE$543)/SUM($AC$530:$AC$543)))</f>
        <v>0</v>
      </c>
      <c r="AH543">
        <f>IF(COUNT($E$2:$E543)&lt;15,"",IF(SUM($AC$530:$AC$543)=0,0,100*SUM($AF$530:$AF$543)/SUM($AC$530:$AC$543)))</f>
        <v>0</v>
      </c>
      <c r="AI543">
        <f>IF(OR(AG543="",AH543=""),"",IF((AG543+AH543)=0,0,100*ABS(AG543-AH543)/(AG543+AH543)))</f>
        <v>0</v>
      </c>
      <c r="AJ543">
        <f>IF(COUNT($AI$530:$AI$543)&lt;14,"",AVERAGE($AI$530:$AI$543))</f>
        <v>0</v>
      </c>
      <c r="AK543">
        <f>IF(COUNT($E$2:$E543)&lt;20,"",AVERAGE($E$524:$E$543))</f>
        <v>0</v>
      </c>
      <c r="AL543">
        <f>IF(COUNT($E$2:$E543)&lt;20,"",STDEVP($E$524:$E$543))</f>
        <v>0</v>
      </c>
      <c r="AM543">
        <f>IF(AK543="","",AK543+2*AL543)</f>
        <v>0</v>
      </c>
      <c r="AN543">
        <f>IF(AK543="","",AK543-2*AL543)</f>
        <v>0</v>
      </c>
      <c r="AO543">
        <f>IF(OR(AM543="",AN543="",AM543=AN543),"",($E543-AN543)/(AM543-AN543))</f>
        <v>0</v>
      </c>
      <c r="AP543">
        <f>IF(OR(AM543="",AK543="",AK543=0),"",(AM543-AN543)/AK543)</f>
        <v>0</v>
      </c>
      <c r="AQ543">
        <f>IF(COUNT($E$2:$E543)&lt;20,"",MAX($C$524:$C$543))</f>
        <v>0</v>
      </c>
      <c r="AR543">
        <f>IF(COUNT($E$2:$E543)&lt;20,"",MIN($D$524:$D$543))</f>
        <v>0</v>
      </c>
      <c r="AS543">
        <f>IF(OR(AQ543="",AR543=""),"",(AQ543+AR543)/2)</f>
        <v>0</v>
      </c>
      <c r="AT543">
        <f>IF(COUNT($G$524:$G$543)&lt;20,"",STDEV($G$524:$G$543)*SQRT(252))</f>
        <v>0</v>
      </c>
      <c r="AU543">
        <f>IF(COUNT($E$2:$E543)&lt;9,"",(MAX($C$535:$C$543)+MIN($D$535:$D$543))/2)</f>
        <v>0</v>
      </c>
      <c r="AV543">
        <f>IF(COUNT($E$2:$E543)&lt;26,"",(MAX($C$518:$C$543)+MIN($D$518:$D$543))/2)</f>
        <v>0</v>
      </c>
      <c r="AW543">
        <f>IF(OR(AU543="",AV543=""),"",(AU543+AV543)/2)</f>
        <v>0</v>
      </c>
      <c r="AX543">
        <f>IF(COUNT($E$2:$E543)&lt;52,"",(MAX($C$492:$C$543)+MIN($D$492:$D$543))/2)</f>
        <v>0</v>
      </c>
      <c r="AY543">
        <f>IF(COUNT($E$2:$E543)&lt;20,"",MAX($C$444:$C$543))</f>
        <v>0</v>
      </c>
      <c r="AZ543">
        <f>IF(COUNT($E$2:$E543)&lt;20,"",MIN($D$444:$D$543))</f>
        <v>0</v>
      </c>
      <c r="BA543">
        <f>IF(COUNT($E$2:$E543)&lt;20,"",SLOPE($E$444:$E$543,$F$444:$F$543))</f>
        <v>0</v>
      </c>
      <c r="BB543">
        <f>IF(COUNT($E$2:$E543)&lt;20,"",INTERCEPT($E$444:$E$543,$F$444:$F$543))</f>
        <v>0</v>
      </c>
      <c r="BC543">
        <f>IF(OR(BA543="",BB543=""),"",BB543+BA543*F543)</f>
        <v>0</v>
      </c>
      <c r="BD543">
        <f>IF(COUNT($E$2:$E543)&lt;20,"",STEYX($E$444:$E$543,$F$444:$F$543))</f>
        <v>0</v>
      </c>
      <c r="BE543">
        <f>IF($E543="","",IF(AND(COUNT($E$544:$E$547)&gt;=4,$C543=MAX($C$539:$C$547)),$C543,""))</f>
        <v>0</v>
      </c>
      <c r="BF543">
        <f>IF($E543="","",IF(AND(COUNT($E$544:$E$547)&gt;=4,$D543=MIN($D$539:$D$547)),$D543,""))</f>
        <v>0</v>
      </c>
      <c r="BG543">
        <f>IF($A543="","",$A543-WEEKDAY($A543,2)+1)</f>
        <v>0</v>
      </c>
      <c r="BH543">
        <f>IF($A543="","",IF($A542="",1,IF(BG543&lt;&gt;BG542,1,0)))</f>
        <v>0</v>
      </c>
      <c r="BI543">
        <f>IF($A543="","",IF($A544="",1,IF(BG544&lt;&gt;BG543,1,0)))</f>
        <v>0</v>
      </c>
      <c r="BJ543">
        <f>IF($A543="","",IF(BH543=1,$B543,BJ542))</f>
        <v>0</v>
      </c>
      <c r="BK543">
        <f>IF($A543="","",IF(BH543=1,$C543,MAX($C543,BK542)))</f>
        <v>0</v>
      </c>
      <c r="BL543">
        <f>IF($A543="","",IF(BH543=1,$D543,MIN($D543,BL542)))</f>
        <v>0</v>
      </c>
      <c r="BM543">
        <f>IF($A543="","",IF(BI543=1,F543,""))</f>
        <v>0</v>
      </c>
      <c r="BN543">
        <f>IF($A543="","",DATE(YEAR($A543),MONTH($A543),1))</f>
        <v>0</v>
      </c>
      <c r="BO543">
        <f>IF($A543="","",IF($A542="",1,IF(BN543&lt;&gt;BN542,1,0)))</f>
        <v>0</v>
      </c>
      <c r="BP543">
        <f>IF($A543="","",IF($A544="",1,IF(BN544&lt;&gt;BN543,1,0)))</f>
        <v>0</v>
      </c>
      <c r="BQ543">
        <f>IF($A543="","",IF(BO543=1,$B543,BQ542))</f>
        <v>0</v>
      </c>
      <c r="BR543">
        <f>IF($A543="","",IF(BO543=1,$C543,MAX($C543,BR542)))</f>
        <v>0</v>
      </c>
      <c r="BS543">
        <f>IF($A543="","",IF(BO543=1,$D543,MIN($D543,BS542)))</f>
        <v>0</v>
      </c>
      <c r="BT543">
        <f>IF($A543="","",IF(BP543=1,F543,""))</f>
        <v>0</v>
      </c>
    </row>
    <row r="544" spans="1:72">
      <c r="A544" s="27">
        <f>IF(Data!$A544="","",Data!$A544)</f>
        <v>0</v>
      </c>
      <c r="B544">
        <f>IF(Data!$B544="","",Data!$B544)</f>
        <v>0</v>
      </c>
      <c r="C544">
        <f>IF(Data!$C544="","",Data!$C544)</f>
        <v>0</v>
      </c>
      <c r="D544">
        <f>IF(Data!$D544="","",Data!$D544)</f>
        <v>0</v>
      </c>
      <c r="E544">
        <f>IF(Data!$E544="","",Data!$E544)</f>
        <v>0</v>
      </c>
      <c r="F544">
        <f>IF($E544="","",N(F543)+1)</f>
        <v>0</v>
      </c>
      <c r="G544">
        <f>IF(OR($E544="",$E543=""),"",LN($E544/$E543))</f>
        <v>0</v>
      </c>
      <c r="H544">
        <f>IF($E544="","",IF($E543="",$E544,$E544*0.0952380952+H543*0.9047619048))</f>
        <v>0</v>
      </c>
      <c r="I544">
        <f>IF($E544="","",IF($E543="",$E544,$E544*0.0392156863+I543*0.9607843137))</f>
        <v>0</v>
      </c>
      <c r="J544">
        <f>IF($E544="","",IF($E543="",$E544,$E544*0.0198019802+J543*0.9801980198))</f>
        <v>0</v>
      </c>
      <c r="K544">
        <f>IF($E544="","",IF($E543="",$E544,$E544*0.0099502488+K543*0.9900497512))</f>
        <v>0</v>
      </c>
      <c r="L544">
        <f>IF(OR($E544="",$E543=""),"",MAX($E544-$E543,0))</f>
        <v>0</v>
      </c>
      <c r="M544">
        <f>IF(OR($E544="",$E543=""),"",MAX($E543-$E544,0))</f>
        <v>0</v>
      </c>
      <c r="N544">
        <f>IF(COUNT($E$2:$E544)&lt;15,"",IF(AVERAGE($M$531:$M$544)=0,100,100-100/(1+AVERAGE($L$531:$L$544)/AVERAGE($M$531:$M$544))))</f>
        <v>0</v>
      </c>
      <c r="O544">
        <f>IF($E544="","",IF($E543="",$E544,$E544*0.1538461538+O543*0.8461538462))</f>
        <v>0</v>
      </c>
      <c r="P544">
        <f>IF($E544="","",IF($E543="",$E544,$E544*0.0740740741+P543*0.9259259259))</f>
        <v>0</v>
      </c>
      <c r="Q544">
        <f>IF(OR(O544="",P544=""),"",O544-P544)</f>
        <v>0</v>
      </c>
      <c r="R544">
        <f>IF(Q544="","",IF(R543="",Q544,Q544*0.2000000000+R543*0.8000000000))</f>
        <v>0</v>
      </c>
      <c r="S544">
        <f>IF(OR(Q544="",R544=""),"",Q544-R544)</f>
        <v>0</v>
      </c>
      <c r="T544">
        <f>IF(COUNT($E$2:$E544)&lt;14,"",MAX($C$531:$C$544))</f>
        <v>0</v>
      </c>
      <c r="U544">
        <f>IF(COUNT($E$2:$E544)&lt;14,"",MIN($D$531:$D$544))</f>
        <v>0</v>
      </c>
      <c r="V544">
        <f>IF(OR(T544="",U544="",T544=U544),"",100*($E544-U544)/(T544-U544))</f>
        <v>0</v>
      </c>
      <c r="W544">
        <f>IF(COUNT($V$542:$V$544)&lt;3,"",AVERAGE($V$542:$V$544))</f>
        <v>0</v>
      </c>
      <c r="X544">
        <f>IF(COUNT($N$531:$N$544)&lt;14,"",MIN($N$531:$N$544))</f>
        <v>0</v>
      </c>
      <c r="Y544">
        <f>IF(COUNT($N$531:$N$544)&lt;14,"",MAX($N$531:$N$544))</f>
        <v>0</v>
      </c>
      <c r="Z544">
        <f>IF(OR(N544="",X544="",Y544="",Y544=X544),"",100*(N544-X544)/(Y544-X544))</f>
        <v>0</v>
      </c>
      <c r="AA544">
        <f>IF(COUNT($Z$542:$Z$544)&lt;3,"",AVERAGE($Z$542:$Z$544))</f>
        <v>0</v>
      </c>
      <c r="AB544">
        <f>IF(COUNT($AA$542:$AA$544)&lt;3,"",AVERAGE($AA$542:$AA$544))</f>
        <v>0</v>
      </c>
      <c r="AC544">
        <f>IF($E544="","",MAX($C544-$D544,ABS($C544-$E543),ABS($D544-$E543)))</f>
        <v>0</v>
      </c>
      <c r="AD544">
        <f>IF(COUNT($E$2:$E544)&lt;15,"",AVERAGE($AC$531:$AC$544))</f>
        <v>0</v>
      </c>
      <c r="AE544">
        <f>IF(OR($E544="",$E543=""),"",IF(AND(($C544-$C543)&gt;($D543-$D544),($C544-$C543)&gt;0),$C544-$C543,0))</f>
        <v>0</v>
      </c>
      <c r="AF544">
        <f>IF(OR($E544="",$E543=""),"",IF(AND(($D543-$D544)&gt;($C544-$C543),($D543-$D544)&gt;0),$D543-$D544,0))</f>
        <v>0</v>
      </c>
      <c r="AG544">
        <f>IF(COUNT($E$2:$E544)&lt;15,"",IF(SUM($AC$531:$AC$544)=0,0,100*SUM($AE$531:$AE$544)/SUM($AC$531:$AC$544)))</f>
        <v>0</v>
      </c>
      <c r="AH544">
        <f>IF(COUNT($E$2:$E544)&lt;15,"",IF(SUM($AC$531:$AC$544)=0,0,100*SUM($AF$531:$AF$544)/SUM($AC$531:$AC$544)))</f>
        <v>0</v>
      </c>
      <c r="AI544">
        <f>IF(OR(AG544="",AH544=""),"",IF((AG544+AH544)=0,0,100*ABS(AG544-AH544)/(AG544+AH544)))</f>
        <v>0</v>
      </c>
      <c r="AJ544">
        <f>IF(COUNT($AI$531:$AI$544)&lt;14,"",AVERAGE($AI$531:$AI$544))</f>
        <v>0</v>
      </c>
      <c r="AK544">
        <f>IF(COUNT($E$2:$E544)&lt;20,"",AVERAGE($E$525:$E$544))</f>
        <v>0</v>
      </c>
      <c r="AL544">
        <f>IF(COUNT($E$2:$E544)&lt;20,"",STDEVP($E$525:$E$544))</f>
        <v>0</v>
      </c>
      <c r="AM544">
        <f>IF(AK544="","",AK544+2*AL544)</f>
        <v>0</v>
      </c>
      <c r="AN544">
        <f>IF(AK544="","",AK544-2*AL544)</f>
        <v>0</v>
      </c>
      <c r="AO544">
        <f>IF(OR(AM544="",AN544="",AM544=AN544),"",($E544-AN544)/(AM544-AN544))</f>
        <v>0</v>
      </c>
      <c r="AP544">
        <f>IF(OR(AM544="",AK544="",AK544=0),"",(AM544-AN544)/AK544)</f>
        <v>0</v>
      </c>
      <c r="AQ544">
        <f>IF(COUNT($E$2:$E544)&lt;20,"",MAX($C$525:$C$544))</f>
        <v>0</v>
      </c>
      <c r="AR544">
        <f>IF(COUNT($E$2:$E544)&lt;20,"",MIN($D$525:$D$544))</f>
        <v>0</v>
      </c>
      <c r="AS544">
        <f>IF(OR(AQ544="",AR544=""),"",(AQ544+AR544)/2)</f>
        <v>0</v>
      </c>
      <c r="AT544">
        <f>IF(COUNT($G$525:$G$544)&lt;20,"",STDEV($G$525:$G$544)*SQRT(252))</f>
        <v>0</v>
      </c>
      <c r="AU544">
        <f>IF(COUNT($E$2:$E544)&lt;9,"",(MAX($C$536:$C$544)+MIN($D$536:$D$544))/2)</f>
        <v>0</v>
      </c>
      <c r="AV544">
        <f>IF(COUNT($E$2:$E544)&lt;26,"",(MAX($C$519:$C$544)+MIN($D$519:$D$544))/2)</f>
        <v>0</v>
      </c>
      <c r="AW544">
        <f>IF(OR(AU544="",AV544=""),"",(AU544+AV544)/2)</f>
        <v>0</v>
      </c>
      <c r="AX544">
        <f>IF(COUNT($E$2:$E544)&lt;52,"",(MAX($C$493:$C$544)+MIN($D$493:$D$544))/2)</f>
        <v>0</v>
      </c>
      <c r="AY544">
        <f>IF(COUNT($E$2:$E544)&lt;20,"",MAX($C$445:$C$544))</f>
        <v>0</v>
      </c>
      <c r="AZ544">
        <f>IF(COUNT($E$2:$E544)&lt;20,"",MIN($D$445:$D$544))</f>
        <v>0</v>
      </c>
      <c r="BA544">
        <f>IF(COUNT($E$2:$E544)&lt;20,"",SLOPE($E$445:$E$544,$F$445:$F$544))</f>
        <v>0</v>
      </c>
      <c r="BB544">
        <f>IF(COUNT($E$2:$E544)&lt;20,"",INTERCEPT($E$445:$E$544,$F$445:$F$544))</f>
        <v>0</v>
      </c>
      <c r="BC544">
        <f>IF(OR(BA544="",BB544=""),"",BB544+BA544*F544)</f>
        <v>0</v>
      </c>
      <c r="BD544">
        <f>IF(COUNT($E$2:$E544)&lt;20,"",STEYX($E$445:$E$544,$F$445:$F$544))</f>
        <v>0</v>
      </c>
      <c r="BE544">
        <f>IF($E544="","",IF(AND(COUNT($E$545:$E$548)&gt;=4,$C544=MAX($C$540:$C$548)),$C544,""))</f>
        <v>0</v>
      </c>
      <c r="BF544">
        <f>IF($E544="","",IF(AND(COUNT($E$545:$E$548)&gt;=4,$D544=MIN($D$540:$D$548)),$D544,""))</f>
        <v>0</v>
      </c>
      <c r="BG544">
        <f>IF($A544="","",$A544-WEEKDAY($A544,2)+1)</f>
        <v>0</v>
      </c>
      <c r="BH544">
        <f>IF($A544="","",IF($A543="",1,IF(BG544&lt;&gt;BG543,1,0)))</f>
        <v>0</v>
      </c>
      <c r="BI544">
        <f>IF($A544="","",IF($A545="",1,IF(BG545&lt;&gt;BG544,1,0)))</f>
        <v>0</v>
      </c>
      <c r="BJ544">
        <f>IF($A544="","",IF(BH544=1,$B544,BJ543))</f>
        <v>0</v>
      </c>
      <c r="BK544">
        <f>IF($A544="","",IF(BH544=1,$C544,MAX($C544,BK543)))</f>
        <v>0</v>
      </c>
      <c r="BL544">
        <f>IF($A544="","",IF(BH544=1,$D544,MIN($D544,BL543)))</f>
        <v>0</v>
      </c>
      <c r="BM544">
        <f>IF($A544="","",IF(BI544=1,F544,""))</f>
        <v>0</v>
      </c>
      <c r="BN544">
        <f>IF($A544="","",DATE(YEAR($A544),MONTH($A544),1))</f>
        <v>0</v>
      </c>
      <c r="BO544">
        <f>IF($A544="","",IF($A543="",1,IF(BN544&lt;&gt;BN543,1,0)))</f>
        <v>0</v>
      </c>
      <c r="BP544">
        <f>IF($A544="","",IF($A545="",1,IF(BN545&lt;&gt;BN544,1,0)))</f>
        <v>0</v>
      </c>
      <c r="BQ544">
        <f>IF($A544="","",IF(BO544=1,$B544,BQ543))</f>
        <v>0</v>
      </c>
      <c r="BR544">
        <f>IF($A544="","",IF(BO544=1,$C544,MAX($C544,BR543)))</f>
        <v>0</v>
      </c>
      <c r="BS544">
        <f>IF($A544="","",IF(BO544=1,$D544,MIN($D544,BS543)))</f>
        <v>0</v>
      </c>
      <c r="BT544">
        <f>IF($A544="","",IF(BP544=1,F544,""))</f>
        <v>0</v>
      </c>
    </row>
    <row r="545" spans="1:72">
      <c r="A545" s="27">
        <f>IF(Data!$A545="","",Data!$A545)</f>
        <v>0</v>
      </c>
      <c r="B545">
        <f>IF(Data!$B545="","",Data!$B545)</f>
        <v>0</v>
      </c>
      <c r="C545">
        <f>IF(Data!$C545="","",Data!$C545)</f>
        <v>0</v>
      </c>
      <c r="D545">
        <f>IF(Data!$D545="","",Data!$D545)</f>
        <v>0</v>
      </c>
      <c r="E545">
        <f>IF(Data!$E545="","",Data!$E545)</f>
        <v>0</v>
      </c>
      <c r="F545">
        <f>IF($E545="","",N(F544)+1)</f>
        <v>0</v>
      </c>
      <c r="G545">
        <f>IF(OR($E545="",$E544=""),"",LN($E545/$E544))</f>
        <v>0</v>
      </c>
      <c r="H545">
        <f>IF($E545="","",IF($E544="",$E545,$E545*0.0952380952+H544*0.9047619048))</f>
        <v>0</v>
      </c>
      <c r="I545">
        <f>IF($E545="","",IF($E544="",$E545,$E545*0.0392156863+I544*0.9607843137))</f>
        <v>0</v>
      </c>
      <c r="J545">
        <f>IF($E545="","",IF($E544="",$E545,$E545*0.0198019802+J544*0.9801980198))</f>
        <v>0</v>
      </c>
      <c r="K545">
        <f>IF($E545="","",IF($E544="",$E545,$E545*0.0099502488+K544*0.9900497512))</f>
        <v>0</v>
      </c>
      <c r="L545">
        <f>IF(OR($E545="",$E544=""),"",MAX($E545-$E544,0))</f>
        <v>0</v>
      </c>
      <c r="M545">
        <f>IF(OR($E545="",$E544=""),"",MAX($E544-$E545,0))</f>
        <v>0</v>
      </c>
      <c r="N545">
        <f>IF(COUNT($E$2:$E545)&lt;15,"",IF(AVERAGE($M$532:$M$545)=0,100,100-100/(1+AVERAGE($L$532:$L$545)/AVERAGE($M$532:$M$545))))</f>
        <v>0</v>
      </c>
      <c r="O545">
        <f>IF($E545="","",IF($E544="",$E545,$E545*0.1538461538+O544*0.8461538462))</f>
        <v>0</v>
      </c>
      <c r="P545">
        <f>IF($E545="","",IF($E544="",$E545,$E545*0.0740740741+P544*0.9259259259))</f>
        <v>0</v>
      </c>
      <c r="Q545">
        <f>IF(OR(O545="",P545=""),"",O545-P545)</f>
        <v>0</v>
      </c>
      <c r="R545">
        <f>IF(Q545="","",IF(R544="",Q545,Q545*0.2000000000+R544*0.8000000000))</f>
        <v>0</v>
      </c>
      <c r="S545">
        <f>IF(OR(Q545="",R545=""),"",Q545-R545)</f>
        <v>0</v>
      </c>
      <c r="T545">
        <f>IF(COUNT($E$2:$E545)&lt;14,"",MAX($C$532:$C$545))</f>
        <v>0</v>
      </c>
      <c r="U545">
        <f>IF(COUNT($E$2:$E545)&lt;14,"",MIN($D$532:$D$545))</f>
        <v>0</v>
      </c>
      <c r="V545">
        <f>IF(OR(T545="",U545="",T545=U545),"",100*($E545-U545)/(T545-U545))</f>
        <v>0</v>
      </c>
      <c r="W545">
        <f>IF(COUNT($V$543:$V$545)&lt;3,"",AVERAGE($V$543:$V$545))</f>
        <v>0</v>
      </c>
      <c r="X545">
        <f>IF(COUNT($N$532:$N$545)&lt;14,"",MIN($N$532:$N$545))</f>
        <v>0</v>
      </c>
      <c r="Y545">
        <f>IF(COUNT($N$532:$N$545)&lt;14,"",MAX($N$532:$N$545))</f>
        <v>0</v>
      </c>
      <c r="Z545">
        <f>IF(OR(N545="",X545="",Y545="",Y545=X545),"",100*(N545-X545)/(Y545-X545))</f>
        <v>0</v>
      </c>
      <c r="AA545">
        <f>IF(COUNT($Z$543:$Z$545)&lt;3,"",AVERAGE($Z$543:$Z$545))</f>
        <v>0</v>
      </c>
      <c r="AB545">
        <f>IF(COUNT($AA$543:$AA$545)&lt;3,"",AVERAGE($AA$543:$AA$545))</f>
        <v>0</v>
      </c>
      <c r="AC545">
        <f>IF($E545="","",MAX($C545-$D545,ABS($C545-$E544),ABS($D545-$E544)))</f>
        <v>0</v>
      </c>
      <c r="AD545">
        <f>IF(COUNT($E$2:$E545)&lt;15,"",AVERAGE($AC$532:$AC$545))</f>
        <v>0</v>
      </c>
      <c r="AE545">
        <f>IF(OR($E545="",$E544=""),"",IF(AND(($C545-$C544)&gt;($D544-$D545),($C545-$C544)&gt;0),$C545-$C544,0))</f>
        <v>0</v>
      </c>
      <c r="AF545">
        <f>IF(OR($E545="",$E544=""),"",IF(AND(($D544-$D545)&gt;($C545-$C544),($D544-$D545)&gt;0),$D544-$D545,0))</f>
        <v>0</v>
      </c>
      <c r="AG545">
        <f>IF(COUNT($E$2:$E545)&lt;15,"",IF(SUM($AC$532:$AC$545)=0,0,100*SUM($AE$532:$AE$545)/SUM($AC$532:$AC$545)))</f>
        <v>0</v>
      </c>
      <c r="AH545">
        <f>IF(COUNT($E$2:$E545)&lt;15,"",IF(SUM($AC$532:$AC$545)=0,0,100*SUM($AF$532:$AF$545)/SUM($AC$532:$AC$545)))</f>
        <v>0</v>
      </c>
      <c r="AI545">
        <f>IF(OR(AG545="",AH545=""),"",IF((AG545+AH545)=0,0,100*ABS(AG545-AH545)/(AG545+AH545)))</f>
        <v>0</v>
      </c>
      <c r="AJ545">
        <f>IF(COUNT($AI$532:$AI$545)&lt;14,"",AVERAGE($AI$532:$AI$545))</f>
        <v>0</v>
      </c>
      <c r="AK545">
        <f>IF(COUNT($E$2:$E545)&lt;20,"",AVERAGE($E$526:$E$545))</f>
        <v>0</v>
      </c>
      <c r="AL545">
        <f>IF(COUNT($E$2:$E545)&lt;20,"",STDEVP($E$526:$E$545))</f>
        <v>0</v>
      </c>
      <c r="AM545">
        <f>IF(AK545="","",AK545+2*AL545)</f>
        <v>0</v>
      </c>
      <c r="AN545">
        <f>IF(AK545="","",AK545-2*AL545)</f>
        <v>0</v>
      </c>
      <c r="AO545">
        <f>IF(OR(AM545="",AN545="",AM545=AN545),"",($E545-AN545)/(AM545-AN545))</f>
        <v>0</v>
      </c>
      <c r="AP545">
        <f>IF(OR(AM545="",AK545="",AK545=0),"",(AM545-AN545)/AK545)</f>
        <v>0</v>
      </c>
      <c r="AQ545">
        <f>IF(COUNT($E$2:$E545)&lt;20,"",MAX($C$526:$C$545))</f>
        <v>0</v>
      </c>
      <c r="AR545">
        <f>IF(COUNT($E$2:$E545)&lt;20,"",MIN($D$526:$D$545))</f>
        <v>0</v>
      </c>
      <c r="AS545">
        <f>IF(OR(AQ545="",AR545=""),"",(AQ545+AR545)/2)</f>
        <v>0</v>
      </c>
      <c r="AT545">
        <f>IF(COUNT($G$526:$G$545)&lt;20,"",STDEV($G$526:$G$545)*SQRT(252))</f>
        <v>0</v>
      </c>
      <c r="AU545">
        <f>IF(COUNT($E$2:$E545)&lt;9,"",(MAX($C$537:$C$545)+MIN($D$537:$D$545))/2)</f>
        <v>0</v>
      </c>
      <c r="AV545">
        <f>IF(COUNT($E$2:$E545)&lt;26,"",(MAX($C$520:$C$545)+MIN($D$520:$D$545))/2)</f>
        <v>0</v>
      </c>
      <c r="AW545">
        <f>IF(OR(AU545="",AV545=""),"",(AU545+AV545)/2)</f>
        <v>0</v>
      </c>
      <c r="AX545">
        <f>IF(COUNT($E$2:$E545)&lt;52,"",(MAX($C$494:$C$545)+MIN($D$494:$D$545))/2)</f>
        <v>0</v>
      </c>
      <c r="AY545">
        <f>IF(COUNT($E$2:$E545)&lt;20,"",MAX($C$446:$C$545))</f>
        <v>0</v>
      </c>
      <c r="AZ545">
        <f>IF(COUNT($E$2:$E545)&lt;20,"",MIN($D$446:$D$545))</f>
        <v>0</v>
      </c>
      <c r="BA545">
        <f>IF(COUNT($E$2:$E545)&lt;20,"",SLOPE($E$446:$E$545,$F$446:$F$545))</f>
        <v>0</v>
      </c>
      <c r="BB545">
        <f>IF(COUNT($E$2:$E545)&lt;20,"",INTERCEPT($E$446:$E$545,$F$446:$F$545))</f>
        <v>0</v>
      </c>
      <c r="BC545">
        <f>IF(OR(BA545="",BB545=""),"",BB545+BA545*F545)</f>
        <v>0</v>
      </c>
      <c r="BD545">
        <f>IF(COUNT($E$2:$E545)&lt;20,"",STEYX($E$446:$E$545,$F$446:$F$545))</f>
        <v>0</v>
      </c>
      <c r="BE545">
        <f>IF($E545="","",IF(AND(COUNT($E$546:$E$549)&gt;=4,$C545=MAX($C$541:$C$549)),$C545,""))</f>
        <v>0</v>
      </c>
      <c r="BF545">
        <f>IF($E545="","",IF(AND(COUNT($E$546:$E$549)&gt;=4,$D545=MIN($D$541:$D$549)),$D545,""))</f>
        <v>0</v>
      </c>
      <c r="BG545">
        <f>IF($A545="","",$A545-WEEKDAY($A545,2)+1)</f>
        <v>0</v>
      </c>
      <c r="BH545">
        <f>IF($A545="","",IF($A544="",1,IF(BG545&lt;&gt;BG544,1,0)))</f>
        <v>0</v>
      </c>
      <c r="BI545">
        <f>IF($A545="","",IF($A546="",1,IF(BG546&lt;&gt;BG545,1,0)))</f>
        <v>0</v>
      </c>
      <c r="BJ545">
        <f>IF($A545="","",IF(BH545=1,$B545,BJ544))</f>
        <v>0</v>
      </c>
      <c r="BK545">
        <f>IF($A545="","",IF(BH545=1,$C545,MAX($C545,BK544)))</f>
        <v>0</v>
      </c>
      <c r="BL545">
        <f>IF($A545="","",IF(BH545=1,$D545,MIN($D545,BL544)))</f>
        <v>0</v>
      </c>
      <c r="BM545">
        <f>IF($A545="","",IF(BI545=1,F545,""))</f>
        <v>0</v>
      </c>
      <c r="BN545">
        <f>IF($A545="","",DATE(YEAR($A545),MONTH($A545),1))</f>
        <v>0</v>
      </c>
      <c r="BO545">
        <f>IF($A545="","",IF($A544="",1,IF(BN545&lt;&gt;BN544,1,0)))</f>
        <v>0</v>
      </c>
      <c r="BP545">
        <f>IF($A545="","",IF($A546="",1,IF(BN546&lt;&gt;BN545,1,0)))</f>
        <v>0</v>
      </c>
      <c r="BQ545">
        <f>IF($A545="","",IF(BO545=1,$B545,BQ544))</f>
        <v>0</v>
      </c>
      <c r="BR545">
        <f>IF($A545="","",IF(BO545=1,$C545,MAX($C545,BR544)))</f>
        <v>0</v>
      </c>
      <c r="BS545">
        <f>IF($A545="","",IF(BO545=1,$D545,MIN($D545,BS544)))</f>
        <v>0</v>
      </c>
      <c r="BT545">
        <f>IF($A545="","",IF(BP545=1,F545,""))</f>
        <v>0</v>
      </c>
    </row>
    <row r="546" spans="1:72">
      <c r="A546" s="27">
        <f>IF(Data!$A546="","",Data!$A546)</f>
        <v>0</v>
      </c>
      <c r="B546">
        <f>IF(Data!$B546="","",Data!$B546)</f>
        <v>0</v>
      </c>
      <c r="C546">
        <f>IF(Data!$C546="","",Data!$C546)</f>
        <v>0</v>
      </c>
      <c r="D546">
        <f>IF(Data!$D546="","",Data!$D546)</f>
        <v>0</v>
      </c>
      <c r="E546">
        <f>IF(Data!$E546="","",Data!$E546)</f>
        <v>0</v>
      </c>
      <c r="F546">
        <f>IF($E546="","",N(F545)+1)</f>
        <v>0</v>
      </c>
      <c r="G546">
        <f>IF(OR($E546="",$E545=""),"",LN($E546/$E545))</f>
        <v>0</v>
      </c>
      <c r="H546">
        <f>IF($E546="","",IF($E545="",$E546,$E546*0.0952380952+H545*0.9047619048))</f>
        <v>0</v>
      </c>
      <c r="I546">
        <f>IF($E546="","",IF($E545="",$E546,$E546*0.0392156863+I545*0.9607843137))</f>
        <v>0</v>
      </c>
      <c r="J546">
        <f>IF($E546="","",IF($E545="",$E546,$E546*0.0198019802+J545*0.9801980198))</f>
        <v>0</v>
      </c>
      <c r="K546">
        <f>IF($E546="","",IF($E545="",$E546,$E546*0.0099502488+K545*0.9900497512))</f>
        <v>0</v>
      </c>
      <c r="L546">
        <f>IF(OR($E546="",$E545=""),"",MAX($E546-$E545,0))</f>
        <v>0</v>
      </c>
      <c r="M546">
        <f>IF(OR($E546="",$E545=""),"",MAX($E545-$E546,0))</f>
        <v>0</v>
      </c>
      <c r="N546">
        <f>IF(COUNT($E$2:$E546)&lt;15,"",IF(AVERAGE($M$533:$M$546)=0,100,100-100/(1+AVERAGE($L$533:$L$546)/AVERAGE($M$533:$M$546))))</f>
        <v>0</v>
      </c>
      <c r="O546">
        <f>IF($E546="","",IF($E545="",$E546,$E546*0.1538461538+O545*0.8461538462))</f>
        <v>0</v>
      </c>
      <c r="P546">
        <f>IF($E546="","",IF($E545="",$E546,$E546*0.0740740741+P545*0.9259259259))</f>
        <v>0</v>
      </c>
      <c r="Q546">
        <f>IF(OR(O546="",P546=""),"",O546-P546)</f>
        <v>0</v>
      </c>
      <c r="R546">
        <f>IF(Q546="","",IF(R545="",Q546,Q546*0.2000000000+R545*0.8000000000))</f>
        <v>0</v>
      </c>
      <c r="S546">
        <f>IF(OR(Q546="",R546=""),"",Q546-R546)</f>
        <v>0</v>
      </c>
      <c r="T546">
        <f>IF(COUNT($E$2:$E546)&lt;14,"",MAX($C$533:$C$546))</f>
        <v>0</v>
      </c>
      <c r="U546">
        <f>IF(COUNT($E$2:$E546)&lt;14,"",MIN($D$533:$D$546))</f>
        <v>0</v>
      </c>
      <c r="V546">
        <f>IF(OR(T546="",U546="",T546=U546),"",100*($E546-U546)/(T546-U546))</f>
        <v>0</v>
      </c>
      <c r="W546">
        <f>IF(COUNT($V$544:$V$546)&lt;3,"",AVERAGE($V$544:$V$546))</f>
        <v>0</v>
      </c>
      <c r="X546">
        <f>IF(COUNT($N$533:$N$546)&lt;14,"",MIN($N$533:$N$546))</f>
        <v>0</v>
      </c>
      <c r="Y546">
        <f>IF(COUNT($N$533:$N$546)&lt;14,"",MAX($N$533:$N$546))</f>
        <v>0</v>
      </c>
      <c r="Z546">
        <f>IF(OR(N546="",X546="",Y546="",Y546=X546),"",100*(N546-X546)/(Y546-X546))</f>
        <v>0</v>
      </c>
      <c r="AA546">
        <f>IF(COUNT($Z$544:$Z$546)&lt;3,"",AVERAGE($Z$544:$Z$546))</f>
        <v>0</v>
      </c>
      <c r="AB546">
        <f>IF(COUNT($AA$544:$AA$546)&lt;3,"",AVERAGE($AA$544:$AA$546))</f>
        <v>0</v>
      </c>
      <c r="AC546">
        <f>IF($E546="","",MAX($C546-$D546,ABS($C546-$E545),ABS($D546-$E545)))</f>
        <v>0</v>
      </c>
      <c r="AD546">
        <f>IF(COUNT($E$2:$E546)&lt;15,"",AVERAGE($AC$533:$AC$546))</f>
        <v>0</v>
      </c>
      <c r="AE546">
        <f>IF(OR($E546="",$E545=""),"",IF(AND(($C546-$C545)&gt;($D545-$D546),($C546-$C545)&gt;0),$C546-$C545,0))</f>
        <v>0</v>
      </c>
      <c r="AF546">
        <f>IF(OR($E546="",$E545=""),"",IF(AND(($D545-$D546)&gt;($C546-$C545),($D545-$D546)&gt;0),$D545-$D546,0))</f>
        <v>0</v>
      </c>
      <c r="AG546">
        <f>IF(COUNT($E$2:$E546)&lt;15,"",IF(SUM($AC$533:$AC$546)=0,0,100*SUM($AE$533:$AE$546)/SUM($AC$533:$AC$546)))</f>
        <v>0</v>
      </c>
      <c r="AH546">
        <f>IF(COUNT($E$2:$E546)&lt;15,"",IF(SUM($AC$533:$AC$546)=0,0,100*SUM($AF$533:$AF$546)/SUM($AC$533:$AC$546)))</f>
        <v>0</v>
      </c>
      <c r="AI546">
        <f>IF(OR(AG546="",AH546=""),"",IF((AG546+AH546)=0,0,100*ABS(AG546-AH546)/(AG546+AH546)))</f>
        <v>0</v>
      </c>
      <c r="AJ546">
        <f>IF(COUNT($AI$533:$AI$546)&lt;14,"",AVERAGE($AI$533:$AI$546))</f>
        <v>0</v>
      </c>
      <c r="AK546">
        <f>IF(COUNT($E$2:$E546)&lt;20,"",AVERAGE($E$527:$E$546))</f>
        <v>0</v>
      </c>
      <c r="AL546">
        <f>IF(COUNT($E$2:$E546)&lt;20,"",STDEVP($E$527:$E$546))</f>
        <v>0</v>
      </c>
      <c r="AM546">
        <f>IF(AK546="","",AK546+2*AL546)</f>
        <v>0</v>
      </c>
      <c r="AN546">
        <f>IF(AK546="","",AK546-2*AL546)</f>
        <v>0</v>
      </c>
      <c r="AO546">
        <f>IF(OR(AM546="",AN546="",AM546=AN546),"",($E546-AN546)/(AM546-AN546))</f>
        <v>0</v>
      </c>
      <c r="AP546">
        <f>IF(OR(AM546="",AK546="",AK546=0),"",(AM546-AN546)/AK546)</f>
        <v>0</v>
      </c>
      <c r="AQ546">
        <f>IF(COUNT($E$2:$E546)&lt;20,"",MAX($C$527:$C$546))</f>
        <v>0</v>
      </c>
      <c r="AR546">
        <f>IF(COUNT($E$2:$E546)&lt;20,"",MIN($D$527:$D$546))</f>
        <v>0</v>
      </c>
      <c r="AS546">
        <f>IF(OR(AQ546="",AR546=""),"",(AQ546+AR546)/2)</f>
        <v>0</v>
      </c>
      <c r="AT546">
        <f>IF(COUNT($G$527:$G$546)&lt;20,"",STDEV($G$527:$G$546)*SQRT(252))</f>
        <v>0</v>
      </c>
      <c r="AU546">
        <f>IF(COUNT($E$2:$E546)&lt;9,"",(MAX($C$538:$C$546)+MIN($D$538:$D$546))/2)</f>
        <v>0</v>
      </c>
      <c r="AV546">
        <f>IF(COUNT($E$2:$E546)&lt;26,"",(MAX($C$521:$C$546)+MIN($D$521:$D$546))/2)</f>
        <v>0</v>
      </c>
      <c r="AW546">
        <f>IF(OR(AU546="",AV546=""),"",(AU546+AV546)/2)</f>
        <v>0</v>
      </c>
      <c r="AX546">
        <f>IF(COUNT($E$2:$E546)&lt;52,"",(MAX($C$495:$C$546)+MIN($D$495:$D$546))/2)</f>
        <v>0</v>
      </c>
      <c r="AY546">
        <f>IF(COUNT($E$2:$E546)&lt;20,"",MAX($C$447:$C$546))</f>
        <v>0</v>
      </c>
      <c r="AZ546">
        <f>IF(COUNT($E$2:$E546)&lt;20,"",MIN($D$447:$D$546))</f>
        <v>0</v>
      </c>
      <c r="BA546">
        <f>IF(COUNT($E$2:$E546)&lt;20,"",SLOPE($E$447:$E$546,$F$447:$F$546))</f>
        <v>0</v>
      </c>
      <c r="BB546">
        <f>IF(COUNT($E$2:$E546)&lt;20,"",INTERCEPT($E$447:$E$546,$F$447:$F$546))</f>
        <v>0</v>
      </c>
      <c r="BC546">
        <f>IF(OR(BA546="",BB546=""),"",BB546+BA546*F546)</f>
        <v>0</v>
      </c>
      <c r="BD546">
        <f>IF(COUNT($E$2:$E546)&lt;20,"",STEYX($E$447:$E$546,$F$447:$F$546))</f>
        <v>0</v>
      </c>
      <c r="BE546">
        <f>IF($E546="","",IF(AND(COUNT($E$547:$E$550)&gt;=4,$C546=MAX($C$542:$C$550)),$C546,""))</f>
        <v>0</v>
      </c>
      <c r="BF546">
        <f>IF($E546="","",IF(AND(COUNT($E$547:$E$550)&gt;=4,$D546=MIN($D$542:$D$550)),$D546,""))</f>
        <v>0</v>
      </c>
      <c r="BG546">
        <f>IF($A546="","",$A546-WEEKDAY($A546,2)+1)</f>
        <v>0</v>
      </c>
      <c r="BH546">
        <f>IF($A546="","",IF($A545="",1,IF(BG546&lt;&gt;BG545,1,0)))</f>
        <v>0</v>
      </c>
      <c r="BI546">
        <f>IF($A546="","",IF($A547="",1,IF(BG547&lt;&gt;BG546,1,0)))</f>
        <v>0</v>
      </c>
      <c r="BJ546">
        <f>IF($A546="","",IF(BH546=1,$B546,BJ545))</f>
        <v>0</v>
      </c>
      <c r="BK546">
        <f>IF($A546="","",IF(BH546=1,$C546,MAX($C546,BK545)))</f>
        <v>0</v>
      </c>
      <c r="BL546">
        <f>IF($A546="","",IF(BH546=1,$D546,MIN($D546,BL545)))</f>
        <v>0</v>
      </c>
      <c r="BM546">
        <f>IF($A546="","",IF(BI546=1,F546,""))</f>
        <v>0</v>
      </c>
      <c r="BN546">
        <f>IF($A546="","",DATE(YEAR($A546),MONTH($A546),1))</f>
        <v>0</v>
      </c>
      <c r="BO546">
        <f>IF($A546="","",IF($A545="",1,IF(BN546&lt;&gt;BN545,1,0)))</f>
        <v>0</v>
      </c>
      <c r="BP546">
        <f>IF($A546="","",IF($A547="",1,IF(BN547&lt;&gt;BN546,1,0)))</f>
        <v>0</v>
      </c>
      <c r="BQ546">
        <f>IF($A546="","",IF(BO546=1,$B546,BQ545))</f>
        <v>0</v>
      </c>
      <c r="BR546">
        <f>IF($A546="","",IF(BO546=1,$C546,MAX($C546,BR545)))</f>
        <v>0</v>
      </c>
      <c r="BS546">
        <f>IF($A546="","",IF(BO546=1,$D546,MIN($D546,BS545)))</f>
        <v>0</v>
      </c>
      <c r="BT546">
        <f>IF($A546="","",IF(BP546=1,F546,""))</f>
        <v>0</v>
      </c>
    </row>
    <row r="547" spans="1:72">
      <c r="A547" s="27">
        <f>IF(Data!$A547="","",Data!$A547)</f>
        <v>0</v>
      </c>
      <c r="B547">
        <f>IF(Data!$B547="","",Data!$B547)</f>
        <v>0</v>
      </c>
      <c r="C547">
        <f>IF(Data!$C547="","",Data!$C547)</f>
        <v>0</v>
      </c>
      <c r="D547">
        <f>IF(Data!$D547="","",Data!$D547)</f>
        <v>0</v>
      </c>
      <c r="E547">
        <f>IF(Data!$E547="","",Data!$E547)</f>
        <v>0</v>
      </c>
      <c r="F547">
        <f>IF($E547="","",N(F546)+1)</f>
        <v>0</v>
      </c>
      <c r="G547">
        <f>IF(OR($E547="",$E546=""),"",LN($E547/$E546))</f>
        <v>0</v>
      </c>
      <c r="H547">
        <f>IF($E547="","",IF($E546="",$E547,$E547*0.0952380952+H546*0.9047619048))</f>
        <v>0</v>
      </c>
      <c r="I547">
        <f>IF($E547="","",IF($E546="",$E547,$E547*0.0392156863+I546*0.9607843137))</f>
        <v>0</v>
      </c>
      <c r="J547">
        <f>IF($E547="","",IF($E546="",$E547,$E547*0.0198019802+J546*0.9801980198))</f>
        <v>0</v>
      </c>
      <c r="K547">
        <f>IF($E547="","",IF($E546="",$E547,$E547*0.0099502488+K546*0.9900497512))</f>
        <v>0</v>
      </c>
      <c r="L547">
        <f>IF(OR($E547="",$E546=""),"",MAX($E547-$E546,0))</f>
        <v>0</v>
      </c>
      <c r="M547">
        <f>IF(OR($E547="",$E546=""),"",MAX($E546-$E547,0))</f>
        <v>0</v>
      </c>
      <c r="N547">
        <f>IF(COUNT($E$2:$E547)&lt;15,"",IF(AVERAGE($M$534:$M$547)=0,100,100-100/(1+AVERAGE($L$534:$L$547)/AVERAGE($M$534:$M$547))))</f>
        <v>0</v>
      </c>
      <c r="O547">
        <f>IF($E547="","",IF($E546="",$E547,$E547*0.1538461538+O546*0.8461538462))</f>
        <v>0</v>
      </c>
      <c r="P547">
        <f>IF($E547="","",IF($E546="",$E547,$E547*0.0740740741+P546*0.9259259259))</f>
        <v>0</v>
      </c>
      <c r="Q547">
        <f>IF(OR(O547="",P547=""),"",O547-P547)</f>
        <v>0</v>
      </c>
      <c r="R547">
        <f>IF(Q547="","",IF(R546="",Q547,Q547*0.2000000000+R546*0.8000000000))</f>
        <v>0</v>
      </c>
      <c r="S547">
        <f>IF(OR(Q547="",R547=""),"",Q547-R547)</f>
        <v>0</v>
      </c>
      <c r="T547">
        <f>IF(COUNT($E$2:$E547)&lt;14,"",MAX($C$534:$C$547))</f>
        <v>0</v>
      </c>
      <c r="U547">
        <f>IF(COUNT($E$2:$E547)&lt;14,"",MIN($D$534:$D$547))</f>
        <v>0</v>
      </c>
      <c r="V547">
        <f>IF(OR(T547="",U547="",T547=U547),"",100*($E547-U547)/(T547-U547))</f>
        <v>0</v>
      </c>
      <c r="W547">
        <f>IF(COUNT($V$545:$V$547)&lt;3,"",AVERAGE($V$545:$V$547))</f>
        <v>0</v>
      </c>
      <c r="X547">
        <f>IF(COUNT($N$534:$N$547)&lt;14,"",MIN($N$534:$N$547))</f>
        <v>0</v>
      </c>
      <c r="Y547">
        <f>IF(COUNT($N$534:$N$547)&lt;14,"",MAX($N$534:$N$547))</f>
        <v>0</v>
      </c>
      <c r="Z547">
        <f>IF(OR(N547="",X547="",Y547="",Y547=X547),"",100*(N547-X547)/(Y547-X547))</f>
        <v>0</v>
      </c>
      <c r="AA547">
        <f>IF(COUNT($Z$545:$Z$547)&lt;3,"",AVERAGE($Z$545:$Z$547))</f>
        <v>0</v>
      </c>
      <c r="AB547">
        <f>IF(COUNT($AA$545:$AA$547)&lt;3,"",AVERAGE($AA$545:$AA$547))</f>
        <v>0</v>
      </c>
      <c r="AC547">
        <f>IF($E547="","",MAX($C547-$D547,ABS($C547-$E546),ABS($D547-$E546)))</f>
        <v>0</v>
      </c>
      <c r="AD547">
        <f>IF(COUNT($E$2:$E547)&lt;15,"",AVERAGE($AC$534:$AC$547))</f>
        <v>0</v>
      </c>
      <c r="AE547">
        <f>IF(OR($E547="",$E546=""),"",IF(AND(($C547-$C546)&gt;($D546-$D547),($C547-$C546)&gt;0),$C547-$C546,0))</f>
        <v>0</v>
      </c>
      <c r="AF547">
        <f>IF(OR($E547="",$E546=""),"",IF(AND(($D546-$D547)&gt;($C547-$C546),($D546-$D547)&gt;0),$D546-$D547,0))</f>
        <v>0</v>
      </c>
      <c r="AG547">
        <f>IF(COUNT($E$2:$E547)&lt;15,"",IF(SUM($AC$534:$AC$547)=0,0,100*SUM($AE$534:$AE$547)/SUM($AC$534:$AC$547)))</f>
        <v>0</v>
      </c>
      <c r="AH547">
        <f>IF(COUNT($E$2:$E547)&lt;15,"",IF(SUM($AC$534:$AC$547)=0,0,100*SUM($AF$534:$AF$547)/SUM($AC$534:$AC$547)))</f>
        <v>0</v>
      </c>
      <c r="AI547">
        <f>IF(OR(AG547="",AH547=""),"",IF((AG547+AH547)=0,0,100*ABS(AG547-AH547)/(AG547+AH547)))</f>
        <v>0</v>
      </c>
      <c r="AJ547">
        <f>IF(COUNT($AI$534:$AI$547)&lt;14,"",AVERAGE($AI$534:$AI$547))</f>
        <v>0</v>
      </c>
      <c r="AK547">
        <f>IF(COUNT($E$2:$E547)&lt;20,"",AVERAGE($E$528:$E$547))</f>
        <v>0</v>
      </c>
      <c r="AL547">
        <f>IF(COUNT($E$2:$E547)&lt;20,"",STDEVP($E$528:$E$547))</f>
        <v>0</v>
      </c>
      <c r="AM547">
        <f>IF(AK547="","",AK547+2*AL547)</f>
        <v>0</v>
      </c>
      <c r="AN547">
        <f>IF(AK547="","",AK547-2*AL547)</f>
        <v>0</v>
      </c>
      <c r="AO547">
        <f>IF(OR(AM547="",AN547="",AM547=AN547),"",($E547-AN547)/(AM547-AN547))</f>
        <v>0</v>
      </c>
      <c r="AP547">
        <f>IF(OR(AM547="",AK547="",AK547=0),"",(AM547-AN547)/AK547)</f>
        <v>0</v>
      </c>
      <c r="AQ547">
        <f>IF(COUNT($E$2:$E547)&lt;20,"",MAX($C$528:$C$547))</f>
        <v>0</v>
      </c>
      <c r="AR547">
        <f>IF(COUNT($E$2:$E547)&lt;20,"",MIN($D$528:$D$547))</f>
        <v>0</v>
      </c>
      <c r="AS547">
        <f>IF(OR(AQ547="",AR547=""),"",(AQ547+AR547)/2)</f>
        <v>0</v>
      </c>
      <c r="AT547">
        <f>IF(COUNT($G$528:$G$547)&lt;20,"",STDEV($G$528:$G$547)*SQRT(252))</f>
        <v>0</v>
      </c>
      <c r="AU547">
        <f>IF(COUNT($E$2:$E547)&lt;9,"",(MAX($C$539:$C$547)+MIN($D$539:$D$547))/2)</f>
        <v>0</v>
      </c>
      <c r="AV547">
        <f>IF(COUNT($E$2:$E547)&lt;26,"",(MAX($C$522:$C$547)+MIN($D$522:$D$547))/2)</f>
        <v>0</v>
      </c>
      <c r="AW547">
        <f>IF(OR(AU547="",AV547=""),"",(AU547+AV547)/2)</f>
        <v>0</v>
      </c>
      <c r="AX547">
        <f>IF(COUNT($E$2:$E547)&lt;52,"",(MAX($C$496:$C$547)+MIN($D$496:$D$547))/2)</f>
        <v>0</v>
      </c>
      <c r="AY547">
        <f>IF(COUNT($E$2:$E547)&lt;20,"",MAX($C$448:$C$547))</f>
        <v>0</v>
      </c>
      <c r="AZ547">
        <f>IF(COUNT($E$2:$E547)&lt;20,"",MIN($D$448:$D$547))</f>
        <v>0</v>
      </c>
      <c r="BA547">
        <f>IF(COUNT($E$2:$E547)&lt;20,"",SLOPE($E$448:$E$547,$F$448:$F$547))</f>
        <v>0</v>
      </c>
      <c r="BB547">
        <f>IF(COUNT($E$2:$E547)&lt;20,"",INTERCEPT($E$448:$E$547,$F$448:$F$547))</f>
        <v>0</v>
      </c>
      <c r="BC547">
        <f>IF(OR(BA547="",BB547=""),"",BB547+BA547*F547)</f>
        <v>0</v>
      </c>
      <c r="BD547">
        <f>IF(COUNT($E$2:$E547)&lt;20,"",STEYX($E$448:$E$547,$F$448:$F$547))</f>
        <v>0</v>
      </c>
      <c r="BE547">
        <f>IF($E547="","",IF(AND(COUNT($E$548:$E$551)&gt;=4,$C547=MAX($C$543:$C$551)),$C547,""))</f>
        <v>0</v>
      </c>
      <c r="BF547">
        <f>IF($E547="","",IF(AND(COUNT($E$548:$E$551)&gt;=4,$D547=MIN($D$543:$D$551)),$D547,""))</f>
        <v>0</v>
      </c>
      <c r="BG547">
        <f>IF($A547="","",$A547-WEEKDAY($A547,2)+1)</f>
        <v>0</v>
      </c>
      <c r="BH547">
        <f>IF($A547="","",IF($A546="",1,IF(BG547&lt;&gt;BG546,1,0)))</f>
        <v>0</v>
      </c>
      <c r="BI547">
        <f>IF($A547="","",IF($A548="",1,IF(BG548&lt;&gt;BG547,1,0)))</f>
        <v>0</v>
      </c>
      <c r="BJ547">
        <f>IF($A547="","",IF(BH547=1,$B547,BJ546))</f>
        <v>0</v>
      </c>
      <c r="BK547">
        <f>IF($A547="","",IF(BH547=1,$C547,MAX($C547,BK546)))</f>
        <v>0</v>
      </c>
      <c r="BL547">
        <f>IF($A547="","",IF(BH547=1,$D547,MIN($D547,BL546)))</f>
        <v>0</v>
      </c>
      <c r="BM547">
        <f>IF($A547="","",IF(BI547=1,F547,""))</f>
        <v>0</v>
      </c>
      <c r="BN547">
        <f>IF($A547="","",DATE(YEAR($A547),MONTH($A547),1))</f>
        <v>0</v>
      </c>
      <c r="BO547">
        <f>IF($A547="","",IF($A546="",1,IF(BN547&lt;&gt;BN546,1,0)))</f>
        <v>0</v>
      </c>
      <c r="BP547">
        <f>IF($A547="","",IF($A548="",1,IF(BN548&lt;&gt;BN547,1,0)))</f>
        <v>0</v>
      </c>
      <c r="BQ547">
        <f>IF($A547="","",IF(BO547=1,$B547,BQ546))</f>
        <v>0</v>
      </c>
      <c r="BR547">
        <f>IF($A547="","",IF(BO547=1,$C547,MAX($C547,BR546)))</f>
        <v>0</v>
      </c>
      <c r="BS547">
        <f>IF($A547="","",IF(BO547=1,$D547,MIN($D547,BS546)))</f>
        <v>0</v>
      </c>
      <c r="BT547">
        <f>IF($A547="","",IF(BP547=1,F547,""))</f>
        <v>0</v>
      </c>
    </row>
    <row r="548" spans="1:72">
      <c r="A548" s="27">
        <f>IF(Data!$A548="","",Data!$A548)</f>
        <v>0</v>
      </c>
      <c r="B548">
        <f>IF(Data!$B548="","",Data!$B548)</f>
        <v>0</v>
      </c>
      <c r="C548">
        <f>IF(Data!$C548="","",Data!$C548)</f>
        <v>0</v>
      </c>
      <c r="D548">
        <f>IF(Data!$D548="","",Data!$D548)</f>
        <v>0</v>
      </c>
      <c r="E548">
        <f>IF(Data!$E548="","",Data!$E548)</f>
        <v>0</v>
      </c>
      <c r="F548">
        <f>IF($E548="","",N(F547)+1)</f>
        <v>0</v>
      </c>
      <c r="G548">
        <f>IF(OR($E548="",$E547=""),"",LN($E548/$E547))</f>
        <v>0</v>
      </c>
      <c r="H548">
        <f>IF($E548="","",IF($E547="",$E548,$E548*0.0952380952+H547*0.9047619048))</f>
        <v>0</v>
      </c>
      <c r="I548">
        <f>IF($E548="","",IF($E547="",$E548,$E548*0.0392156863+I547*0.9607843137))</f>
        <v>0</v>
      </c>
      <c r="J548">
        <f>IF($E548="","",IF($E547="",$E548,$E548*0.0198019802+J547*0.9801980198))</f>
        <v>0</v>
      </c>
      <c r="K548">
        <f>IF($E548="","",IF($E547="",$E548,$E548*0.0099502488+K547*0.9900497512))</f>
        <v>0</v>
      </c>
      <c r="L548">
        <f>IF(OR($E548="",$E547=""),"",MAX($E548-$E547,0))</f>
        <v>0</v>
      </c>
      <c r="M548">
        <f>IF(OR($E548="",$E547=""),"",MAX($E547-$E548,0))</f>
        <v>0</v>
      </c>
      <c r="N548">
        <f>IF(COUNT($E$2:$E548)&lt;15,"",IF(AVERAGE($M$535:$M$548)=0,100,100-100/(1+AVERAGE($L$535:$L$548)/AVERAGE($M$535:$M$548))))</f>
        <v>0</v>
      </c>
      <c r="O548">
        <f>IF($E548="","",IF($E547="",$E548,$E548*0.1538461538+O547*0.8461538462))</f>
        <v>0</v>
      </c>
      <c r="P548">
        <f>IF($E548="","",IF($E547="",$E548,$E548*0.0740740741+P547*0.9259259259))</f>
        <v>0</v>
      </c>
      <c r="Q548">
        <f>IF(OR(O548="",P548=""),"",O548-P548)</f>
        <v>0</v>
      </c>
      <c r="R548">
        <f>IF(Q548="","",IF(R547="",Q548,Q548*0.2000000000+R547*0.8000000000))</f>
        <v>0</v>
      </c>
      <c r="S548">
        <f>IF(OR(Q548="",R548=""),"",Q548-R548)</f>
        <v>0</v>
      </c>
      <c r="T548">
        <f>IF(COUNT($E$2:$E548)&lt;14,"",MAX($C$535:$C$548))</f>
        <v>0</v>
      </c>
      <c r="U548">
        <f>IF(COUNT($E$2:$E548)&lt;14,"",MIN($D$535:$D$548))</f>
        <v>0</v>
      </c>
      <c r="V548">
        <f>IF(OR(T548="",U548="",T548=U548),"",100*($E548-U548)/(T548-U548))</f>
        <v>0</v>
      </c>
      <c r="W548">
        <f>IF(COUNT($V$546:$V$548)&lt;3,"",AVERAGE($V$546:$V$548))</f>
        <v>0</v>
      </c>
      <c r="X548">
        <f>IF(COUNT($N$535:$N$548)&lt;14,"",MIN($N$535:$N$548))</f>
        <v>0</v>
      </c>
      <c r="Y548">
        <f>IF(COUNT($N$535:$N$548)&lt;14,"",MAX($N$535:$N$548))</f>
        <v>0</v>
      </c>
      <c r="Z548">
        <f>IF(OR(N548="",X548="",Y548="",Y548=X548),"",100*(N548-X548)/(Y548-X548))</f>
        <v>0</v>
      </c>
      <c r="AA548">
        <f>IF(COUNT($Z$546:$Z$548)&lt;3,"",AVERAGE($Z$546:$Z$548))</f>
        <v>0</v>
      </c>
      <c r="AB548">
        <f>IF(COUNT($AA$546:$AA$548)&lt;3,"",AVERAGE($AA$546:$AA$548))</f>
        <v>0</v>
      </c>
      <c r="AC548">
        <f>IF($E548="","",MAX($C548-$D548,ABS($C548-$E547),ABS($D548-$E547)))</f>
        <v>0</v>
      </c>
      <c r="AD548">
        <f>IF(COUNT($E$2:$E548)&lt;15,"",AVERAGE($AC$535:$AC$548))</f>
        <v>0</v>
      </c>
      <c r="AE548">
        <f>IF(OR($E548="",$E547=""),"",IF(AND(($C548-$C547)&gt;($D547-$D548),($C548-$C547)&gt;0),$C548-$C547,0))</f>
        <v>0</v>
      </c>
      <c r="AF548">
        <f>IF(OR($E548="",$E547=""),"",IF(AND(($D547-$D548)&gt;($C548-$C547),($D547-$D548)&gt;0),$D547-$D548,0))</f>
        <v>0</v>
      </c>
      <c r="AG548">
        <f>IF(COUNT($E$2:$E548)&lt;15,"",IF(SUM($AC$535:$AC$548)=0,0,100*SUM($AE$535:$AE$548)/SUM($AC$535:$AC$548)))</f>
        <v>0</v>
      </c>
      <c r="AH548">
        <f>IF(COUNT($E$2:$E548)&lt;15,"",IF(SUM($AC$535:$AC$548)=0,0,100*SUM($AF$535:$AF$548)/SUM($AC$535:$AC$548)))</f>
        <v>0</v>
      </c>
      <c r="AI548">
        <f>IF(OR(AG548="",AH548=""),"",IF((AG548+AH548)=0,0,100*ABS(AG548-AH548)/(AG548+AH548)))</f>
        <v>0</v>
      </c>
      <c r="AJ548">
        <f>IF(COUNT($AI$535:$AI$548)&lt;14,"",AVERAGE($AI$535:$AI$548))</f>
        <v>0</v>
      </c>
      <c r="AK548">
        <f>IF(COUNT($E$2:$E548)&lt;20,"",AVERAGE($E$529:$E$548))</f>
        <v>0</v>
      </c>
      <c r="AL548">
        <f>IF(COUNT($E$2:$E548)&lt;20,"",STDEVP($E$529:$E$548))</f>
        <v>0</v>
      </c>
      <c r="AM548">
        <f>IF(AK548="","",AK548+2*AL548)</f>
        <v>0</v>
      </c>
      <c r="AN548">
        <f>IF(AK548="","",AK548-2*AL548)</f>
        <v>0</v>
      </c>
      <c r="AO548">
        <f>IF(OR(AM548="",AN548="",AM548=AN548),"",($E548-AN548)/(AM548-AN548))</f>
        <v>0</v>
      </c>
      <c r="AP548">
        <f>IF(OR(AM548="",AK548="",AK548=0),"",(AM548-AN548)/AK548)</f>
        <v>0</v>
      </c>
      <c r="AQ548">
        <f>IF(COUNT($E$2:$E548)&lt;20,"",MAX($C$529:$C$548))</f>
        <v>0</v>
      </c>
      <c r="AR548">
        <f>IF(COUNT($E$2:$E548)&lt;20,"",MIN($D$529:$D$548))</f>
        <v>0</v>
      </c>
      <c r="AS548">
        <f>IF(OR(AQ548="",AR548=""),"",(AQ548+AR548)/2)</f>
        <v>0</v>
      </c>
      <c r="AT548">
        <f>IF(COUNT($G$529:$G$548)&lt;20,"",STDEV($G$529:$G$548)*SQRT(252))</f>
        <v>0</v>
      </c>
      <c r="AU548">
        <f>IF(COUNT($E$2:$E548)&lt;9,"",(MAX($C$540:$C$548)+MIN($D$540:$D$548))/2)</f>
        <v>0</v>
      </c>
      <c r="AV548">
        <f>IF(COUNT($E$2:$E548)&lt;26,"",(MAX($C$523:$C$548)+MIN($D$523:$D$548))/2)</f>
        <v>0</v>
      </c>
      <c r="AW548">
        <f>IF(OR(AU548="",AV548=""),"",(AU548+AV548)/2)</f>
        <v>0</v>
      </c>
      <c r="AX548">
        <f>IF(COUNT($E$2:$E548)&lt;52,"",(MAX($C$497:$C$548)+MIN($D$497:$D$548))/2)</f>
        <v>0</v>
      </c>
      <c r="AY548">
        <f>IF(COUNT($E$2:$E548)&lt;20,"",MAX($C$449:$C$548))</f>
        <v>0</v>
      </c>
      <c r="AZ548">
        <f>IF(COUNT($E$2:$E548)&lt;20,"",MIN($D$449:$D$548))</f>
        <v>0</v>
      </c>
      <c r="BA548">
        <f>IF(COUNT($E$2:$E548)&lt;20,"",SLOPE($E$449:$E$548,$F$449:$F$548))</f>
        <v>0</v>
      </c>
      <c r="BB548">
        <f>IF(COUNT($E$2:$E548)&lt;20,"",INTERCEPT($E$449:$E$548,$F$449:$F$548))</f>
        <v>0</v>
      </c>
      <c r="BC548">
        <f>IF(OR(BA548="",BB548=""),"",BB548+BA548*F548)</f>
        <v>0</v>
      </c>
      <c r="BD548">
        <f>IF(COUNT($E$2:$E548)&lt;20,"",STEYX($E$449:$E$548,$F$449:$F$548))</f>
        <v>0</v>
      </c>
      <c r="BE548">
        <f>IF($E548="","",IF(AND(COUNT($E$549:$E$552)&gt;=4,$C548=MAX($C$544:$C$552)),$C548,""))</f>
        <v>0</v>
      </c>
      <c r="BF548">
        <f>IF($E548="","",IF(AND(COUNT($E$549:$E$552)&gt;=4,$D548=MIN($D$544:$D$552)),$D548,""))</f>
        <v>0</v>
      </c>
      <c r="BG548">
        <f>IF($A548="","",$A548-WEEKDAY($A548,2)+1)</f>
        <v>0</v>
      </c>
      <c r="BH548">
        <f>IF($A548="","",IF($A547="",1,IF(BG548&lt;&gt;BG547,1,0)))</f>
        <v>0</v>
      </c>
      <c r="BI548">
        <f>IF($A548="","",IF($A549="",1,IF(BG549&lt;&gt;BG548,1,0)))</f>
        <v>0</v>
      </c>
      <c r="BJ548">
        <f>IF($A548="","",IF(BH548=1,$B548,BJ547))</f>
        <v>0</v>
      </c>
      <c r="BK548">
        <f>IF($A548="","",IF(BH548=1,$C548,MAX($C548,BK547)))</f>
        <v>0</v>
      </c>
      <c r="BL548">
        <f>IF($A548="","",IF(BH548=1,$D548,MIN($D548,BL547)))</f>
        <v>0</v>
      </c>
      <c r="BM548">
        <f>IF($A548="","",IF(BI548=1,F548,""))</f>
        <v>0</v>
      </c>
      <c r="BN548">
        <f>IF($A548="","",DATE(YEAR($A548),MONTH($A548),1))</f>
        <v>0</v>
      </c>
      <c r="BO548">
        <f>IF($A548="","",IF($A547="",1,IF(BN548&lt;&gt;BN547,1,0)))</f>
        <v>0</v>
      </c>
      <c r="BP548">
        <f>IF($A548="","",IF($A549="",1,IF(BN549&lt;&gt;BN548,1,0)))</f>
        <v>0</v>
      </c>
      <c r="BQ548">
        <f>IF($A548="","",IF(BO548=1,$B548,BQ547))</f>
        <v>0</v>
      </c>
      <c r="BR548">
        <f>IF($A548="","",IF(BO548=1,$C548,MAX($C548,BR547)))</f>
        <v>0</v>
      </c>
      <c r="BS548">
        <f>IF($A548="","",IF(BO548=1,$D548,MIN($D548,BS547)))</f>
        <v>0</v>
      </c>
      <c r="BT548">
        <f>IF($A548="","",IF(BP548=1,F548,""))</f>
        <v>0</v>
      </c>
    </row>
    <row r="549" spans="1:72">
      <c r="A549" s="27">
        <f>IF(Data!$A549="","",Data!$A549)</f>
        <v>0</v>
      </c>
      <c r="B549">
        <f>IF(Data!$B549="","",Data!$B549)</f>
        <v>0</v>
      </c>
      <c r="C549">
        <f>IF(Data!$C549="","",Data!$C549)</f>
        <v>0</v>
      </c>
      <c r="D549">
        <f>IF(Data!$D549="","",Data!$D549)</f>
        <v>0</v>
      </c>
      <c r="E549">
        <f>IF(Data!$E549="","",Data!$E549)</f>
        <v>0</v>
      </c>
      <c r="F549">
        <f>IF($E549="","",N(F548)+1)</f>
        <v>0</v>
      </c>
      <c r="G549">
        <f>IF(OR($E549="",$E548=""),"",LN($E549/$E548))</f>
        <v>0</v>
      </c>
      <c r="H549">
        <f>IF($E549="","",IF($E548="",$E549,$E549*0.0952380952+H548*0.9047619048))</f>
        <v>0</v>
      </c>
      <c r="I549">
        <f>IF($E549="","",IF($E548="",$E549,$E549*0.0392156863+I548*0.9607843137))</f>
        <v>0</v>
      </c>
      <c r="J549">
        <f>IF($E549="","",IF($E548="",$E549,$E549*0.0198019802+J548*0.9801980198))</f>
        <v>0</v>
      </c>
      <c r="K549">
        <f>IF($E549="","",IF($E548="",$E549,$E549*0.0099502488+K548*0.9900497512))</f>
        <v>0</v>
      </c>
      <c r="L549">
        <f>IF(OR($E549="",$E548=""),"",MAX($E549-$E548,0))</f>
        <v>0</v>
      </c>
      <c r="M549">
        <f>IF(OR($E549="",$E548=""),"",MAX($E548-$E549,0))</f>
        <v>0</v>
      </c>
      <c r="N549">
        <f>IF(COUNT($E$2:$E549)&lt;15,"",IF(AVERAGE($M$536:$M$549)=0,100,100-100/(1+AVERAGE($L$536:$L$549)/AVERAGE($M$536:$M$549))))</f>
        <v>0</v>
      </c>
      <c r="O549">
        <f>IF($E549="","",IF($E548="",$E549,$E549*0.1538461538+O548*0.8461538462))</f>
        <v>0</v>
      </c>
      <c r="P549">
        <f>IF($E549="","",IF($E548="",$E549,$E549*0.0740740741+P548*0.9259259259))</f>
        <v>0</v>
      </c>
      <c r="Q549">
        <f>IF(OR(O549="",P549=""),"",O549-P549)</f>
        <v>0</v>
      </c>
      <c r="R549">
        <f>IF(Q549="","",IF(R548="",Q549,Q549*0.2000000000+R548*0.8000000000))</f>
        <v>0</v>
      </c>
      <c r="S549">
        <f>IF(OR(Q549="",R549=""),"",Q549-R549)</f>
        <v>0</v>
      </c>
      <c r="T549">
        <f>IF(COUNT($E$2:$E549)&lt;14,"",MAX($C$536:$C$549))</f>
        <v>0</v>
      </c>
      <c r="U549">
        <f>IF(COUNT($E$2:$E549)&lt;14,"",MIN($D$536:$D$549))</f>
        <v>0</v>
      </c>
      <c r="V549">
        <f>IF(OR(T549="",U549="",T549=U549),"",100*($E549-U549)/(T549-U549))</f>
        <v>0</v>
      </c>
      <c r="W549">
        <f>IF(COUNT($V$547:$V$549)&lt;3,"",AVERAGE($V$547:$V$549))</f>
        <v>0</v>
      </c>
      <c r="X549">
        <f>IF(COUNT($N$536:$N$549)&lt;14,"",MIN($N$536:$N$549))</f>
        <v>0</v>
      </c>
      <c r="Y549">
        <f>IF(COUNT($N$536:$N$549)&lt;14,"",MAX($N$536:$N$549))</f>
        <v>0</v>
      </c>
      <c r="Z549">
        <f>IF(OR(N549="",X549="",Y549="",Y549=X549),"",100*(N549-X549)/(Y549-X549))</f>
        <v>0</v>
      </c>
      <c r="AA549">
        <f>IF(COUNT($Z$547:$Z$549)&lt;3,"",AVERAGE($Z$547:$Z$549))</f>
        <v>0</v>
      </c>
      <c r="AB549">
        <f>IF(COUNT($AA$547:$AA$549)&lt;3,"",AVERAGE($AA$547:$AA$549))</f>
        <v>0</v>
      </c>
      <c r="AC549">
        <f>IF($E549="","",MAX($C549-$D549,ABS($C549-$E548),ABS($D549-$E548)))</f>
        <v>0</v>
      </c>
      <c r="AD549">
        <f>IF(COUNT($E$2:$E549)&lt;15,"",AVERAGE($AC$536:$AC$549))</f>
        <v>0</v>
      </c>
      <c r="AE549">
        <f>IF(OR($E549="",$E548=""),"",IF(AND(($C549-$C548)&gt;($D548-$D549),($C549-$C548)&gt;0),$C549-$C548,0))</f>
        <v>0</v>
      </c>
      <c r="AF549">
        <f>IF(OR($E549="",$E548=""),"",IF(AND(($D548-$D549)&gt;($C549-$C548),($D548-$D549)&gt;0),$D548-$D549,0))</f>
        <v>0</v>
      </c>
      <c r="AG549">
        <f>IF(COUNT($E$2:$E549)&lt;15,"",IF(SUM($AC$536:$AC$549)=0,0,100*SUM($AE$536:$AE$549)/SUM($AC$536:$AC$549)))</f>
        <v>0</v>
      </c>
      <c r="AH549">
        <f>IF(COUNT($E$2:$E549)&lt;15,"",IF(SUM($AC$536:$AC$549)=0,0,100*SUM($AF$536:$AF$549)/SUM($AC$536:$AC$549)))</f>
        <v>0</v>
      </c>
      <c r="AI549">
        <f>IF(OR(AG549="",AH549=""),"",IF((AG549+AH549)=0,0,100*ABS(AG549-AH549)/(AG549+AH549)))</f>
        <v>0</v>
      </c>
      <c r="AJ549">
        <f>IF(COUNT($AI$536:$AI$549)&lt;14,"",AVERAGE($AI$536:$AI$549))</f>
        <v>0</v>
      </c>
      <c r="AK549">
        <f>IF(COUNT($E$2:$E549)&lt;20,"",AVERAGE($E$530:$E$549))</f>
        <v>0</v>
      </c>
      <c r="AL549">
        <f>IF(COUNT($E$2:$E549)&lt;20,"",STDEVP($E$530:$E$549))</f>
        <v>0</v>
      </c>
      <c r="AM549">
        <f>IF(AK549="","",AK549+2*AL549)</f>
        <v>0</v>
      </c>
      <c r="AN549">
        <f>IF(AK549="","",AK549-2*AL549)</f>
        <v>0</v>
      </c>
      <c r="AO549">
        <f>IF(OR(AM549="",AN549="",AM549=AN549),"",($E549-AN549)/(AM549-AN549))</f>
        <v>0</v>
      </c>
      <c r="AP549">
        <f>IF(OR(AM549="",AK549="",AK549=0),"",(AM549-AN549)/AK549)</f>
        <v>0</v>
      </c>
      <c r="AQ549">
        <f>IF(COUNT($E$2:$E549)&lt;20,"",MAX($C$530:$C$549))</f>
        <v>0</v>
      </c>
      <c r="AR549">
        <f>IF(COUNT($E$2:$E549)&lt;20,"",MIN($D$530:$D$549))</f>
        <v>0</v>
      </c>
      <c r="AS549">
        <f>IF(OR(AQ549="",AR549=""),"",(AQ549+AR549)/2)</f>
        <v>0</v>
      </c>
      <c r="AT549">
        <f>IF(COUNT($G$530:$G$549)&lt;20,"",STDEV($G$530:$G$549)*SQRT(252))</f>
        <v>0</v>
      </c>
      <c r="AU549">
        <f>IF(COUNT($E$2:$E549)&lt;9,"",(MAX($C$541:$C$549)+MIN($D$541:$D$549))/2)</f>
        <v>0</v>
      </c>
      <c r="AV549">
        <f>IF(COUNT($E$2:$E549)&lt;26,"",(MAX($C$524:$C$549)+MIN($D$524:$D$549))/2)</f>
        <v>0</v>
      </c>
      <c r="AW549">
        <f>IF(OR(AU549="",AV549=""),"",(AU549+AV549)/2)</f>
        <v>0</v>
      </c>
      <c r="AX549">
        <f>IF(COUNT($E$2:$E549)&lt;52,"",(MAX($C$498:$C$549)+MIN($D$498:$D$549))/2)</f>
        <v>0</v>
      </c>
      <c r="AY549">
        <f>IF(COUNT($E$2:$E549)&lt;20,"",MAX($C$450:$C$549))</f>
        <v>0</v>
      </c>
      <c r="AZ549">
        <f>IF(COUNT($E$2:$E549)&lt;20,"",MIN($D$450:$D$549))</f>
        <v>0</v>
      </c>
      <c r="BA549">
        <f>IF(COUNT($E$2:$E549)&lt;20,"",SLOPE($E$450:$E$549,$F$450:$F$549))</f>
        <v>0</v>
      </c>
      <c r="BB549">
        <f>IF(COUNT($E$2:$E549)&lt;20,"",INTERCEPT($E$450:$E$549,$F$450:$F$549))</f>
        <v>0</v>
      </c>
      <c r="BC549">
        <f>IF(OR(BA549="",BB549=""),"",BB549+BA549*F549)</f>
        <v>0</v>
      </c>
      <c r="BD549">
        <f>IF(COUNT($E$2:$E549)&lt;20,"",STEYX($E$450:$E$549,$F$450:$F$549))</f>
        <v>0</v>
      </c>
      <c r="BE549">
        <f>IF($E549="","",IF(AND(COUNT($E$550:$E$553)&gt;=4,$C549=MAX($C$545:$C$553)),$C549,""))</f>
        <v>0</v>
      </c>
      <c r="BF549">
        <f>IF($E549="","",IF(AND(COUNT($E$550:$E$553)&gt;=4,$D549=MIN($D$545:$D$553)),$D549,""))</f>
        <v>0</v>
      </c>
      <c r="BG549">
        <f>IF($A549="","",$A549-WEEKDAY($A549,2)+1)</f>
        <v>0</v>
      </c>
      <c r="BH549">
        <f>IF($A549="","",IF($A548="",1,IF(BG549&lt;&gt;BG548,1,0)))</f>
        <v>0</v>
      </c>
      <c r="BI549">
        <f>IF($A549="","",IF($A550="",1,IF(BG550&lt;&gt;BG549,1,0)))</f>
        <v>0</v>
      </c>
      <c r="BJ549">
        <f>IF($A549="","",IF(BH549=1,$B549,BJ548))</f>
        <v>0</v>
      </c>
      <c r="BK549">
        <f>IF($A549="","",IF(BH549=1,$C549,MAX($C549,BK548)))</f>
        <v>0</v>
      </c>
      <c r="BL549">
        <f>IF($A549="","",IF(BH549=1,$D549,MIN($D549,BL548)))</f>
        <v>0</v>
      </c>
      <c r="BM549">
        <f>IF($A549="","",IF(BI549=1,F549,""))</f>
        <v>0</v>
      </c>
      <c r="BN549">
        <f>IF($A549="","",DATE(YEAR($A549),MONTH($A549),1))</f>
        <v>0</v>
      </c>
      <c r="BO549">
        <f>IF($A549="","",IF($A548="",1,IF(BN549&lt;&gt;BN548,1,0)))</f>
        <v>0</v>
      </c>
      <c r="BP549">
        <f>IF($A549="","",IF($A550="",1,IF(BN550&lt;&gt;BN549,1,0)))</f>
        <v>0</v>
      </c>
      <c r="BQ549">
        <f>IF($A549="","",IF(BO549=1,$B549,BQ548))</f>
        <v>0</v>
      </c>
      <c r="BR549">
        <f>IF($A549="","",IF(BO549=1,$C549,MAX($C549,BR548)))</f>
        <v>0</v>
      </c>
      <c r="BS549">
        <f>IF($A549="","",IF(BO549=1,$D549,MIN($D549,BS548)))</f>
        <v>0</v>
      </c>
      <c r="BT549">
        <f>IF($A549="","",IF(BP549=1,F549,""))</f>
        <v>0</v>
      </c>
    </row>
    <row r="550" spans="1:72">
      <c r="A550" s="27">
        <f>IF(Data!$A550="","",Data!$A550)</f>
        <v>0</v>
      </c>
      <c r="B550">
        <f>IF(Data!$B550="","",Data!$B550)</f>
        <v>0</v>
      </c>
      <c r="C550">
        <f>IF(Data!$C550="","",Data!$C550)</f>
        <v>0</v>
      </c>
      <c r="D550">
        <f>IF(Data!$D550="","",Data!$D550)</f>
        <v>0</v>
      </c>
      <c r="E550">
        <f>IF(Data!$E550="","",Data!$E550)</f>
        <v>0</v>
      </c>
      <c r="F550">
        <f>IF($E550="","",N(F549)+1)</f>
        <v>0</v>
      </c>
      <c r="G550">
        <f>IF(OR($E550="",$E549=""),"",LN($E550/$E549))</f>
        <v>0</v>
      </c>
      <c r="H550">
        <f>IF($E550="","",IF($E549="",$E550,$E550*0.0952380952+H549*0.9047619048))</f>
        <v>0</v>
      </c>
      <c r="I550">
        <f>IF($E550="","",IF($E549="",$E550,$E550*0.0392156863+I549*0.9607843137))</f>
        <v>0</v>
      </c>
      <c r="J550">
        <f>IF($E550="","",IF($E549="",$E550,$E550*0.0198019802+J549*0.9801980198))</f>
        <v>0</v>
      </c>
      <c r="K550">
        <f>IF($E550="","",IF($E549="",$E550,$E550*0.0099502488+K549*0.9900497512))</f>
        <v>0</v>
      </c>
      <c r="L550">
        <f>IF(OR($E550="",$E549=""),"",MAX($E550-$E549,0))</f>
        <v>0</v>
      </c>
      <c r="M550">
        <f>IF(OR($E550="",$E549=""),"",MAX($E549-$E550,0))</f>
        <v>0</v>
      </c>
      <c r="N550">
        <f>IF(COUNT($E$2:$E550)&lt;15,"",IF(AVERAGE($M$537:$M$550)=0,100,100-100/(1+AVERAGE($L$537:$L$550)/AVERAGE($M$537:$M$550))))</f>
        <v>0</v>
      </c>
      <c r="O550">
        <f>IF($E550="","",IF($E549="",$E550,$E550*0.1538461538+O549*0.8461538462))</f>
        <v>0</v>
      </c>
      <c r="P550">
        <f>IF($E550="","",IF($E549="",$E550,$E550*0.0740740741+P549*0.9259259259))</f>
        <v>0</v>
      </c>
      <c r="Q550">
        <f>IF(OR(O550="",P550=""),"",O550-P550)</f>
        <v>0</v>
      </c>
      <c r="R550">
        <f>IF(Q550="","",IF(R549="",Q550,Q550*0.2000000000+R549*0.8000000000))</f>
        <v>0</v>
      </c>
      <c r="S550">
        <f>IF(OR(Q550="",R550=""),"",Q550-R550)</f>
        <v>0</v>
      </c>
      <c r="T550">
        <f>IF(COUNT($E$2:$E550)&lt;14,"",MAX($C$537:$C$550))</f>
        <v>0</v>
      </c>
      <c r="U550">
        <f>IF(COUNT($E$2:$E550)&lt;14,"",MIN($D$537:$D$550))</f>
        <v>0</v>
      </c>
      <c r="V550">
        <f>IF(OR(T550="",U550="",T550=U550),"",100*($E550-U550)/(T550-U550))</f>
        <v>0</v>
      </c>
      <c r="W550">
        <f>IF(COUNT($V$548:$V$550)&lt;3,"",AVERAGE($V$548:$V$550))</f>
        <v>0</v>
      </c>
      <c r="X550">
        <f>IF(COUNT($N$537:$N$550)&lt;14,"",MIN($N$537:$N$550))</f>
        <v>0</v>
      </c>
      <c r="Y550">
        <f>IF(COUNT($N$537:$N$550)&lt;14,"",MAX($N$537:$N$550))</f>
        <v>0</v>
      </c>
      <c r="Z550">
        <f>IF(OR(N550="",X550="",Y550="",Y550=X550),"",100*(N550-X550)/(Y550-X550))</f>
        <v>0</v>
      </c>
      <c r="AA550">
        <f>IF(COUNT($Z$548:$Z$550)&lt;3,"",AVERAGE($Z$548:$Z$550))</f>
        <v>0</v>
      </c>
      <c r="AB550">
        <f>IF(COUNT($AA$548:$AA$550)&lt;3,"",AVERAGE($AA$548:$AA$550))</f>
        <v>0</v>
      </c>
      <c r="AC550">
        <f>IF($E550="","",MAX($C550-$D550,ABS($C550-$E549),ABS($D550-$E549)))</f>
        <v>0</v>
      </c>
      <c r="AD550">
        <f>IF(COUNT($E$2:$E550)&lt;15,"",AVERAGE($AC$537:$AC$550))</f>
        <v>0</v>
      </c>
      <c r="AE550">
        <f>IF(OR($E550="",$E549=""),"",IF(AND(($C550-$C549)&gt;($D549-$D550),($C550-$C549)&gt;0),$C550-$C549,0))</f>
        <v>0</v>
      </c>
      <c r="AF550">
        <f>IF(OR($E550="",$E549=""),"",IF(AND(($D549-$D550)&gt;($C550-$C549),($D549-$D550)&gt;0),$D549-$D550,0))</f>
        <v>0</v>
      </c>
      <c r="AG550">
        <f>IF(COUNT($E$2:$E550)&lt;15,"",IF(SUM($AC$537:$AC$550)=0,0,100*SUM($AE$537:$AE$550)/SUM($AC$537:$AC$550)))</f>
        <v>0</v>
      </c>
      <c r="AH550">
        <f>IF(COUNT($E$2:$E550)&lt;15,"",IF(SUM($AC$537:$AC$550)=0,0,100*SUM($AF$537:$AF$550)/SUM($AC$537:$AC$550)))</f>
        <v>0</v>
      </c>
      <c r="AI550">
        <f>IF(OR(AG550="",AH550=""),"",IF((AG550+AH550)=0,0,100*ABS(AG550-AH550)/(AG550+AH550)))</f>
        <v>0</v>
      </c>
      <c r="AJ550">
        <f>IF(COUNT($AI$537:$AI$550)&lt;14,"",AVERAGE($AI$537:$AI$550))</f>
        <v>0</v>
      </c>
      <c r="AK550">
        <f>IF(COUNT($E$2:$E550)&lt;20,"",AVERAGE($E$531:$E$550))</f>
        <v>0</v>
      </c>
      <c r="AL550">
        <f>IF(COUNT($E$2:$E550)&lt;20,"",STDEVP($E$531:$E$550))</f>
        <v>0</v>
      </c>
      <c r="AM550">
        <f>IF(AK550="","",AK550+2*AL550)</f>
        <v>0</v>
      </c>
      <c r="AN550">
        <f>IF(AK550="","",AK550-2*AL550)</f>
        <v>0</v>
      </c>
      <c r="AO550">
        <f>IF(OR(AM550="",AN550="",AM550=AN550),"",($E550-AN550)/(AM550-AN550))</f>
        <v>0</v>
      </c>
      <c r="AP550">
        <f>IF(OR(AM550="",AK550="",AK550=0),"",(AM550-AN550)/AK550)</f>
        <v>0</v>
      </c>
      <c r="AQ550">
        <f>IF(COUNT($E$2:$E550)&lt;20,"",MAX($C$531:$C$550))</f>
        <v>0</v>
      </c>
      <c r="AR550">
        <f>IF(COUNT($E$2:$E550)&lt;20,"",MIN($D$531:$D$550))</f>
        <v>0</v>
      </c>
      <c r="AS550">
        <f>IF(OR(AQ550="",AR550=""),"",(AQ550+AR550)/2)</f>
        <v>0</v>
      </c>
      <c r="AT550">
        <f>IF(COUNT($G$531:$G$550)&lt;20,"",STDEV($G$531:$G$550)*SQRT(252))</f>
        <v>0</v>
      </c>
      <c r="AU550">
        <f>IF(COUNT($E$2:$E550)&lt;9,"",(MAX($C$542:$C$550)+MIN($D$542:$D$550))/2)</f>
        <v>0</v>
      </c>
      <c r="AV550">
        <f>IF(COUNT($E$2:$E550)&lt;26,"",(MAX($C$525:$C$550)+MIN($D$525:$D$550))/2)</f>
        <v>0</v>
      </c>
      <c r="AW550">
        <f>IF(OR(AU550="",AV550=""),"",(AU550+AV550)/2)</f>
        <v>0</v>
      </c>
      <c r="AX550">
        <f>IF(COUNT($E$2:$E550)&lt;52,"",(MAX($C$499:$C$550)+MIN($D$499:$D$550))/2)</f>
        <v>0</v>
      </c>
      <c r="AY550">
        <f>IF(COUNT($E$2:$E550)&lt;20,"",MAX($C$451:$C$550))</f>
        <v>0</v>
      </c>
      <c r="AZ550">
        <f>IF(COUNT($E$2:$E550)&lt;20,"",MIN($D$451:$D$550))</f>
        <v>0</v>
      </c>
      <c r="BA550">
        <f>IF(COUNT($E$2:$E550)&lt;20,"",SLOPE($E$451:$E$550,$F$451:$F$550))</f>
        <v>0</v>
      </c>
      <c r="BB550">
        <f>IF(COUNT($E$2:$E550)&lt;20,"",INTERCEPT($E$451:$E$550,$F$451:$F$550))</f>
        <v>0</v>
      </c>
      <c r="BC550">
        <f>IF(OR(BA550="",BB550=""),"",BB550+BA550*F550)</f>
        <v>0</v>
      </c>
      <c r="BD550">
        <f>IF(COUNT($E$2:$E550)&lt;20,"",STEYX($E$451:$E$550,$F$451:$F$550))</f>
        <v>0</v>
      </c>
      <c r="BE550">
        <f>IF($E550="","",IF(AND(COUNT($E$551:$E$554)&gt;=4,$C550=MAX($C$546:$C$554)),$C550,""))</f>
        <v>0</v>
      </c>
      <c r="BF550">
        <f>IF($E550="","",IF(AND(COUNT($E$551:$E$554)&gt;=4,$D550=MIN($D$546:$D$554)),$D550,""))</f>
        <v>0</v>
      </c>
      <c r="BG550">
        <f>IF($A550="","",$A550-WEEKDAY($A550,2)+1)</f>
        <v>0</v>
      </c>
      <c r="BH550">
        <f>IF($A550="","",IF($A549="",1,IF(BG550&lt;&gt;BG549,1,0)))</f>
        <v>0</v>
      </c>
      <c r="BI550">
        <f>IF($A550="","",IF($A551="",1,IF(BG551&lt;&gt;BG550,1,0)))</f>
        <v>0</v>
      </c>
      <c r="BJ550">
        <f>IF($A550="","",IF(BH550=1,$B550,BJ549))</f>
        <v>0</v>
      </c>
      <c r="BK550">
        <f>IF($A550="","",IF(BH550=1,$C550,MAX($C550,BK549)))</f>
        <v>0</v>
      </c>
      <c r="BL550">
        <f>IF($A550="","",IF(BH550=1,$D550,MIN($D550,BL549)))</f>
        <v>0</v>
      </c>
      <c r="BM550">
        <f>IF($A550="","",IF(BI550=1,F550,""))</f>
        <v>0</v>
      </c>
      <c r="BN550">
        <f>IF($A550="","",DATE(YEAR($A550),MONTH($A550),1))</f>
        <v>0</v>
      </c>
      <c r="BO550">
        <f>IF($A550="","",IF($A549="",1,IF(BN550&lt;&gt;BN549,1,0)))</f>
        <v>0</v>
      </c>
      <c r="BP550">
        <f>IF($A550="","",IF($A551="",1,IF(BN551&lt;&gt;BN550,1,0)))</f>
        <v>0</v>
      </c>
      <c r="BQ550">
        <f>IF($A550="","",IF(BO550=1,$B550,BQ549))</f>
        <v>0</v>
      </c>
      <c r="BR550">
        <f>IF($A550="","",IF(BO550=1,$C550,MAX($C550,BR549)))</f>
        <v>0</v>
      </c>
      <c r="BS550">
        <f>IF($A550="","",IF(BO550=1,$D550,MIN($D550,BS549)))</f>
        <v>0</v>
      </c>
      <c r="BT550">
        <f>IF($A550="","",IF(BP550=1,F550,""))</f>
        <v>0</v>
      </c>
    </row>
    <row r="551" spans="1:72">
      <c r="A551" s="27">
        <f>IF(Data!$A551="","",Data!$A551)</f>
        <v>0</v>
      </c>
      <c r="B551">
        <f>IF(Data!$B551="","",Data!$B551)</f>
        <v>0</v>
      </c>
      <c r="C551">
        <f>IF(Data!$C551="","",Data!$C551)</f>
        <v>0</v>
      </c>
      <c r="D551">
        <f>IF(Data!$D551="","",Data!$D551)</f>
        <v>0</v>
      </c>
      <c r="E551">
        <f>IF(Data!$E551="","",Data!$E551)</f>
        <v>0</v>
      </c>
      <c r="F551">
        <f>IF($E551="","",N(F550)+1)</f>
        <v>0</v>
      </c>
      <c r="G551">
        <f>IF(OR($E551="",$E550=""),"",LN($E551/$E550))</f>
        <v>0</v>
      </c>
      <c r="H551">
        <f>IF($E551="","",IF($E550="",$E551,$E551*0.0952380952+H550*0.9047619048))</f>
        <v>0</v>
      </c>
      <c r="I551">
        <f>IF($E551="","",IF($E550="",$E551,$E551*0.0392156863+I550*0.9607843137))</f>
        <v>0</v>
      </c>
      <c r="J551">
        <f>IF($E551="","",IF($E550="",$E551,$E551*0.0198019802+J550*0.9801980198))</f>
        <v>0</v>
      </c>
      <c r="K551">
        <f>IF($E551="","",IF($E550="",$E551,$E551*0.0099502488+K550*0.9900497512))</f>
        <v>0</v>
      </c>
      <c r="L551">
        <f>IF(OR($E551="",$E550=""),"",MAX($E551-$E550,0))</f>
        <v>0</v>
      </c>
      <c r="M551">
        <f>IF(OR($E551="",$E550=""),"",MAX($E550-$E551,0))</f>
        <v>0</v>
      </c>
      <c r="N551">
        <f>IF(COUNT($E$2:$E551)&lt;15,"",IF(AVERAGE($M$538:$M$551)=0,100,100-100/(1+AVERAGE($L$538:$L$551)/AVERAGE($M$538:$M$551))))</f>
        <v>0</v>
      </c>
      <c r="O551">
        <f>IF($E551="","",IF($E550="",$E551,$E551*0.1538461538+O550*0.8461538462))</f>
        <v>0</v>
      </c>
      <c r="P551">
        <f>IF($E551="","",IF($E550="",$E551,$E551*0.0740740741+P550*0.9259259259))</f>
        <v>0</v>
      </c>
      <c r="Q551">
        <f>IF(OR(O551="",P551=""),"",O551-P551)</f>
        <v>0</v>
      </c>
      <c r="R551">
        <f>IF(Q551="","",IF(R550="",Q551,Q551*0.2000000000+R550*0.8000000000))</f>
        <v>0</v>
      </c>
      <c r="S551">
        <f>IF(OR(Q551="",R551=""),"",Q551-R551)</f>
        <v>0</v>
      </c>
      <c r="T551">
        <f>IF(COUNT($E$2:$E551)&lt;14,"",MAX($C$538:$C$551))</f>
        <v>0</v>
      </c>
      <c r="U551">
        <f>IF(COUNT($E$2:$E551)&lt;14,"",MIN($D$538:$D$551))</f>
        <v>0</v>
      </c>
      <c r="V551">
        <f>IF(OR(T551="",U551="",T551=U551),"",100*($E551-U551)/(T551-U551))</f>
        <v>0</v>
      </c>
      <c r="W551">
        <f>IF(COUNT($V$549:$V$551)&lt;3,"",AVERAGE($V$549:$V$551))</f>
        <v>0</v>
      </c>
      <c r="X551">
        <f>IF(COUNT($N$538:$N$551)&lt;14,"",MIN($N$538:$N$551))</f>
        <v>0</v>
      </c>
      <c r="Y551">
        <f>IF(COUNT($N$538:$N$551)&lt;14,"",MAX($N$538:$N$551))</f>
        <v>0</v>
      </c>
      <c r="Z551">
        <f>IF(OR(N551="",X551="",Y551="",Y551=X551),"",100*(N551-X551)/(Y551-X551))</f>
        <v>0</v>
      </c>
      <c r="AA551">
        <f>IF(COUNT($Z$549:$Z$551)&lt;3,"",AVERAGE($Z$549:$Z$551))</f>
        <v>0</v>
      </c>
      <c r="AB551">
        <f>IF(COUNT($AA$549:$AA$551)&lt;3,"",AVERAGE($AA$549:$AA$551))</f>
        <v>0</v>
      </c>
      <c r="AC551">
        <f>IF($E551="","",MAX($C551-$D551,ABS($C551-$E550),ABS($D551-$E550)))</f>
        <v>0</v>
      </c>
      <c r="AD551">
        <f>IF(COUNT($E$2:$E551)&lt;15,"",AVERAGE($AC$538:$AC$551))</f>
        <v>0</v>
      </c>
      <c r="AE551">
        <f>IF(OR($E551="",$E550=""),"",IF(AND(($C551-$C550)&gt;($D550-$D551),($C551-$C550)&gt;0),$C551-$C550,0))</f>
        <v>0</v>
      </c>
      <c r="AF551">
        <f>IF(OR($E551="",$E550=""),"",IF(AND(($D550-$D551)&gt;($C551-$C550),($D550-$D551)&gt;0),$D550-$D551,0))</f>
        <v>0</v>
      </c>
      <c r="AG551">
        <f>IF(COUNT($E$2:$E551)&lt;15,"",IF(SUM($AC$538:$AC$551)=0,0,100*SUM($AE$538:$AE$551)/SUM($AC$538:$AC$551)))</f>
        <v>0</v>
      </c>
      <c r="AH551">
        <f>IF(COUNT($E$2:$E551)&lt;15,"",IF(SUM($AC$538:$AC$551)=0,0,100*SUM($AF$538:$AF$551)/SUM($AC$538:$AC$551)))</f>
        <v>0</v>
      </c>
      <c r="AI551">
        <f>IF(OR(AG551="",AH551=""),"",IF((AG551+AH551)=0,0,100*ABS(AG551-AH551)/(AG551+AH551)))</f>
        <v>0</v>
      </c>
      <c r="AJ551">
        <f>IF(COUNT($AI$538:$AI$551)&lt;14,"",AVERAGE($AI$538:$AI$551))</f>
        <v>0</v>
      </c>
      <c r="AK551">
        <f>IF(COUNT($E$2:$E551)&lt;20,"",AVERAGE($E$532:$E$551))</f>
        <v>0</v>
      </c>
      <c r="AL551">
        <f>IF(COUNT($E$2:$E551)&lt;20,"",STDEVP($E$532:$E$551))</f>
        <v>0</v>
      </c>
      <c r="AM551">
        <f>IF(AK551="","",AK551+2*AL551)</f>
        <v>0</v>
      </c>
      <c r="AN551">
        <f>IF(AK551="","",AK551-2*AL551)</f>
        <v>0</v>
      </c>
      <c r="AO551">
        <f>IF(OR(AM551="",AN551="",AM551=AN551),"",($E551-AN551)/(AM551-AN551))</f>
        <v>0</v>
      </c>
      <c r="AP551">
        <f>IF(OR(AM551="",AK551="",AK551=0),"",(AM551-AN551)/AK551)</f>
        <v>0</v>
      </c>
      <c r="AQ551">
        <f>IF(COUNT($E$2:$E551)&lt;20,"",MAX($C$532:$C$551))</f>
        <v>0</v>
      </c>
      <c r="AR551">
        <f>IF(COUNT($E$2:$E551)&lt;20,"",MIN($D$532:$D$551))</f>
        <v>0</v>
      </c>
      <c r="AS551">
        <f>IF(OR(AQ551="",AR551=""),"",(AQ551+AR551)/2)</f>
        <v>0</v>
      </c>
      <c r="AT551">
        <f>IF(COUNT($G$532:$G$551)&lt;20,"",STDEV($G$532:$G$551)*SQRT(252))</f>
        <v>0</v>
      </c>
      <c r="AU551">
        <f>IF(COUNT($E$2:$E551)&lt;9,"",(MAX($C$543:$C$551)+MIN($D$543:$D$551))/2)</f>
        <v>0</v>
      </c>
      <c r="AV551">
        <f>IF(COUNT($E$2:$E551)&lt;26,"",(MAX($C$526:$C$551)+MIN($D$526:$D$551))/2)</f>
        <v>0</v>
      </c>
      <c r="AW551">
        <f>IF(OR(AU551="",AV551=""),"",(AU551+AV551)/2)</f>
        <v>0</v>
      </c>
      <c r="AX551">
        <f>IF(COUNT($E$2:$E551)&lt;52,"",(MAX($C$500:$C$551)+MIN($D$500:$D$551))/2)</f>
        <v>0</v>
      </c>
      <c r="AY551">
        <f>IF(COUNT($E$2:$E551)&lt;20,"",MAX($C$452:$C$551))</f>
        <v>0</v>
      </c>
      <c r="AZ551">
        <f>IF(COUNT($E$2:$E551)&lt;20,"",MIN($D$452:$D$551))</f>
        <v>0</v>
      </c>
      <c r="BA551">
        <f>IF(COUNT($E$2:$E551)&lt;20,"",SLOPE($E$452:$E$551,$F$452:$F$551))</f>
        <v>0</v>
      </c>
      <c r="BB551">
        <f>IF(COUNT($E$2:$E551)&lt;20,"",INTERCEPT($E$452:$E$551,$F$452:$F$551))</f>
        <v>0</v>
      </c>
      <c r="BC551">
        <f>IF(OR(BA551="",BB551=""),"",BB551+BA551*F551)</f>
        <v>0</v>
      </c>
      <c r="BD551">
        <f>IF(COUNT($E$2:$E551)&lt;20,"",STEYX($E$452:$E$551,$F$452:$F$551))</f>
        <v>0</v>
      </c>
      <c r="BE551">
        <f>IF($E551="","",IF(AND(COUNT($E$552:$E$555)&gt;=4,$C551=MAX($C$547:$C$555)),$C551,""))</f>
        <v>0</v>
      </c>
      <c r="BF551">
        <f>IF($E551="","",IF(AND(COUNT($E$552:$E$555)&gt;=4,$D551=MIN($D$547:$D$555)),$D551,""))</f>
        <v>0</v>
      </c>
      <c r="BG551">
        <f>IF($A551="","",$A551-WEEKDAY($A551,2)+1)</f>
        <v>0</v>
      </c>
      <c r="BH551">
        <f>IF($A551="","",IF($A550="",1,IF(BG551&lt;&gt;BG550,1,0)))</f>
        <v>0</v>
      </c>
      <c r="BI551">
        <f>IF($A551="","",IF($A552="",1,IF(BG552&lt;&gt;BG551,1,0)))</f>
        <v>0</v>
      </c>
      <c r="BJ551">
        <f>IF($A551="","",IF(BH551=1,$B551,BJ550))</f>
        <v>0</v>
      </c>
      <c r="BK551">
        <f>IF($A551="","",IF(BH551=1,$C551,MAX($C551,BK550)))</f>
        <v>0</v>
      </c>
      <c r="BL551">
        <f>IF($A551="","",IF(BH551=1,$D551,MIN($D551,BL550)))</f>
        <v>0</v>
      </c>
      <c r="BM551">
        <f>IF($A551="","",IF(BI551=1,F551,""))</f>
        <v>0</v>
      </c>
      <c r="BN551">
        <f>IF($A551="","",DATE(YEAR($A551),MONTH($A551),1))</f>
        <v>0</v>
      </c>
      <c r="BO551">
        <f>IF($A551="","",IF($A550="",1,IF(BN551&lt;&gt;BN550,1,0)))</f>
        <v>0</v>
      </c>
      <c r="BP551">
        <f>IF($A551="","",IF($A552="",1,IF(BN552&lt;&gt;BN551,1,0)))</f>
        <v>0</v>
      </c>
      <c r="BQ551">
        <f>IF($A551="","",IF(BO551=1,$B551,BQ550))</f>
        <v>0</v>
      </c>
      <c r="BR551">
        <f>IF($A551="","",IF(BO551=1,$C551,MAX($C551,BR550)))</f>
        <v>0</v>
      </c>
      <c r="BS551">
        <f>IF($A551="","",IF(BO551=1,$D551,MIN($D551,BS550)))</f>
        <v>0</v>
      </c>
      <c r="BT551">
        <f>IF($A551="","",IF(BP551=1,F551,""))</f>
        <v>0</v>
      </c>
    </row>
    <row r="552" spans="1:72">
      <c r="A552" s="27">
        <f>IF(Data!$A552="","",Data!$A552)</f>
        <v>0</v>
      </c>
      <c r="B552">
        <f>IF(Data!$B552="","",Data!$B552)</f>
        <v>0</v>
      </c>
      <c r="C552">
        <f>IF(Data!$C552="","",Data!$C552)</f>
        <v>0</v>
      </c>
      <c r="D552">
        <f>IF(Data!$D552="","",Data!$D552)</f>
        <v>0</v>
      </c>
      <c r="E552">
        <f>IF(Data!$E552="","",Data!$E552)</f>
        <v>0</v>
      </c>
      <c r="F552">
        <f>IF($E552="","",N(F551)+1)</f>
        <v>0</v>
      </c>
      <c r="G552">
        <f>IF(OR($E552="",$E551=""),"",LN($E552/$E551))</f>
        <v>0</v>
      </c>
      <c r="H552">
        <f>IF($E552="","",IF($E551="",$E552,$E552*0.0952380952+H551*0.9047619048))</f>
        <v>0</v>
      </c>
      <c r="I552">
        <f>IF($E552="","",IF($E551="",$E552,$E552*0.0392156863+I551*0.9607843137))</f>
        <v>0</v>
      </c>
      <c r="J552">
        <f>IF($E552="","",IF($E551="",$E552,$E552*0.0198019802+J551*0.9801980198))</f>
        <v>0</v>
      </c>
      <c r="K552">
        <f>IF($E552="","",IF($E551="",$E552,$E552*0.0099502488+K551*0.9900497512))</f>
        <v>0</v>
      </c>
      <c r="L552">
        <f>IF(OR($E552="",$E551=""),"",MAX($E552-$E551,0))</f>
        <v>0</v>
      </c>
      <c r="M552">
        <f>IF(OR($E552="",$E551=""),"",MAX($E551-$E552,0))</f>
        <v>0</v>
      </c>
      <c r="N552">
        <f>IF(COUNT($E$2:$E552)&lt;15,"",IF(AVERAGE($M$539:$M$552)=0,100,100-100/(1+AVERAGE($L$539:$L$552)/AVERAGE($M$539:$M$552))))</f>
        <v>0</v>
      </c>
      <c r="O552">
        <f>IF($E552="","",IF($E551="",$E552,$E552*0.1538461538+O551*0.8461538462))</f>
        <v>0</v>
      </c>
      <c r="P552">
        <f>IF($E552="","",IF($E551="",$E552,$E552*0.0740740741+P551*0.9259259259))</f>
        <v>0</v>
      </c>
      <c r="Q552">
        <f>IF(OR(O552="",P552=""),"",O552-P552)</f>
        <v>0</v>
      </c>
      <c r="R552">
        <f>IF(Q552="","",IF(R551="",Q552,Q552*0.2000000000+R551*0.8000000000))</f>
        <v>0</v>
      </c>
      <c r="S552">
        <f>IF(OR(Q552="",R552=""),"",Q552-R552)</f>
        <v>0</v>
      </c>
      <c r="T552">
        <f>IF(COUNT($E$2:$E552)&lt;14,"",MAX($C$539:$C$552))</f>
        <v>0</v>
      </c>
      <c r="U552">
        <f>IF(COUNT($E$2:$E552)&lt;14,"",MIN($D$539:$D$552))</f>
        <v>0</v>
      </c>
      <c r="V552">
        <f>IF(OR(T552="",U552="",T552=U552),"",100*($E552-U552)/(T552-U552))</f>
        <v>0</v>
      </c>
      <c r="W552">
        <f>IF(COUNT($V$550:$V$552)&lt;3,"",AVERAGE($V$550:$V$552))</f>
        <v>0</v>
      </c>
      <c r="X552">
        <f>IF(COUNT($N$539:$N$552)&lt;14,"",MIN($N$539:$N$552))</f>
        <v>0</v>
      </c>
      <c r="Y552">
        <f>IF(COUNT($N$539:$N$552)&lt;14,"",MAX($N$539:$N$552))</f>
        <v>0</v>
      </c>
      <c r="Z552">
        <f>IF(OR(N552="",X552="",Y552="",Y552=X552),"",100*(N552-X552)/(Y552-X552))</f>
        <v>0</v>
      </c>
      <c r="AA552">
        <f>IF(COUNT($Z$550:$Z$552)&lt;3,"",AVERAGE($Z$550:$Z$552))</f>
        <v>0</v>
      </c>
      <c r="AB552">
        <f>IF(COUNT($AA$550:$AA$552)&lt;3,"",AVERAGE($AA$550:$AA$552))</f>
        <v>0</v>
      </c>
      <c r="AC552">
        <f>IF($E552="","",MAX($C552-$D552,ABS($C552-$E551),ABS($D552-$E551)))</f>
        <v>0</v>
      </c>
      <c r="AD552">
        <f>IF(COUNT($E$2:$E552)&lt;15,"",AVERAGE($AC$539:$AC$552))</f>
        <v>0</v>
      </c>
      <c r="AE552">
        <f>IF(OR($E552="",$E551=""),"",IF(AND(($C552-$C551)&gt;($D551-$D552),($C552-$C551)&gt;0),$C552-$C551,0))</f>
        <v>0</v>
      </c>
      <c r="AF552">
        <f>IF(OR($E552="",$E551=""),"",IF(AND(($D551-$D552)&gt;($C552-$C551),($D551-$D552)&gt;0),$D551-$D552,0))</f>
        <v>0</v>
      </c>
      <c r="AG552">
        <f>IF(COUNT($E$2:$E552)&lt;15,"",IF(SUM($AC$539:$AC$552)=0,0,100*SUM($AE$539:$AE$552)/SUM($AC$539:$AC$552)))</f>
        <v>0</v>
      </c>
      <c r="AH552">
        <f>IF(COUNT($E$2:$E552)&lt;15,"",IF(SUM($AC$539:$AC$552)=0,0,100*SUM($AF$539:$AF$552)/SUM($AC$539:$AC$552)))</f>
        <v>0</v>
      </c>
      <c r="AI552">
        <f>IF(OR(AG552="",AH552=""),"",IF((AG552+AH552)=0,0,100*ABS(AG552-AH552)/(AG552+AH552)))</f>
        <v>0</v>
      </c>
      <c r="AJ552">
        <f>IF(COUNT($AI$539:$AI$552)&lt;14,"",AVERAGE($AI$539:$AI$552))</f>
        <v>0</v>
      </c>
      <c r="AK552">
        <f>IF(COUNT($E$2:$E552)&lt;20,"",AVERAGE($E$533:$E$552))</f>
        <v>0</v>
      </c>
      <c r="AL552">
        <f>IF(COUNT($E$2:$E552)&lt;20,"",STDEVP($E$533:$E$552))</f>
        <v>0</v>
      </c>
      <c r="AM552">
        <f>IF(AK552="","",AK552+2*AL552)</f>
        <v>0</v>
      </c>
      <c r="AN552">
        <f>IF(AK552="","",AK552-2*AL552)</f>
        <v>0</v>
      </c>
      <c r="AO552">
        <f>IF(OR(AM552="",AN552="",AM552=AN552),"",($E552-AN552)/(AM552-AN552))</f>
        <v>0</v>
      </c>
      <c r="AP552">
        <f>IF(OR(AM552="",AK552="",AK552=0),"",(AM552-AN552)/AK552)</f>
        <v>0</v>
      </c>
      <c r="AQ552">
        <f>IF(COUNT($E$2:$E552)&lt;20,"",MAX($C$533:$C$552))</f>
        <v>0</v>
      </c>
      <c r="AR552">
        <f>IF(COUNT($E$2:$E552)&lt;20,"",MIN($D$533:$D$552))</f>
        <v>0</v>
      </c>
      <c r="AS552">
        <f>IF(OR(AQ552="",AR552=""),"",(AQ552+AR552)/2)</f>
        <v>0</v>
      </c>
      <c r="AT552">
        <f>IF(COUNT($G$533:$G$552)&lt;20,"",STDEV($G$533:$G$552)*SQRT(252))</f>
        <v>0</v>
      </c>
      <c r="AU552">
        <f>IF(COUNT($E$2:$E552)&lt;9,"",(MAX($C$544:$C$552)+MIN($D$544:$D$552))/2)</f>
        <v>0</v>
      </c>
      <c r="AV552">
        <f>IF(COUNT($E$2:$E552)&lt;26,"",(MAX($C$527:$C$552)+MIN($D$527:$D$552))/2)</f>
        <v>0</v>
      </c>
      <c r="AW552">
        <f>IF(OR(AU552="",AV552=""),"",(AU552+AV552)/2)</f>
        <v>0</v>
      </c>
      <c r="AX552">
        <f>IF(COUNT($E$2:$E552)&lt;52,"",(MAX($C$501:$C$552)+MIN($D$501:$D$552))/2)</f>
        <v>0</v>
      </c>
      <c r="AY552">
        <f>IF(COUNT($E$2:$E552)&lt;20,"",MAX($C$453:$C$552))</f>
        <v>0</v>
      </c>
      <c r="AZ552">
        <f>IF(COUNT($E$2:$E552)&lt;20,"",MIN($D$453:$D$552))</f>
        <v>0</v>
      </c>
      <c r="BA552">
        <f>IF(COUNT($E$2:$E552)&lt;20,"",SLOPE($E$453:$E$552,$F$453:$F$552))</f>
        <v>0</v>
      </c>
      <c r="BB552">
        <f>IF(COUNT($E$2:$E552)&lt;20,"",INTERCEPT($E$453:$E$552,$F$453:$F$552))</f>
        <v>0</v>
      </c>
      <c r="BC552">
        <f>IF(OR(BA552="",BB552=""),"",BB552+BA552*F552)</f>
        <v>0</v>
      </c>
      <c r="BD552">
        <f>IF(COUNT($E$2:$E552)&lt;20,"",STEYX($E$453:$E$552,$F$453:$F$552))</f>
        <v>0</v>
      </c>
      <c r="BE552">
        <f>IF($E552="","",IF(AND(COUNT($E$553:$E$556)&gt;=4,$C552=MAX($C$548:$C$556)),$C552,""))</f>
        <v>0</v>
      </c>
      <c r="BF552">
        <f>IF($E552="","",IF(AND(COUNT($E$553:$E$556)&gt;=4,$D552=MIN($D$548:$D$556)),$D552,""))</f>
        <v>0</v>
      </c>
      <c r="BG552">
        <f>IF($A552="","",$A552-WEEKDAY($A552,2)+1)</f>
        <v>0</v>
      </c>
      <c r="BH552">
        <f>IF($A552="","",IF($A551="",1,IF(BG552&lt;&gt;BG551,1,0)))</f>
        <v>0</v>
      </c>
      <c r="BI552">
        <f>IF($A552="","",IF($A553="",1,IF(BG553&lt;&gt;BG552,1,0)))</f>
        <v>0</v>
      </c>
      <c r="BJ552">
        <f>IF($A552="","",IF(BH552=1,$B552,BJ551))</f>
        <v>0</v>
      </c>
      <c r="BK552">
        <f>IF($A552="","",IF(BH552=1,$C552,MAX($C552,BK551)))</f>
        <v>0</v>
      </c>
      <c r="BL552">
        <f>IF($A552="","",IF(BH552=1,$D552,MIN($D552,BL551)))</f>
        <v>0</v>
      </c>
      <c r="BM552">
        <f>IF($A552="","",IF(BI552=1,F552,""))</f>
        <v>0</v>
      </c>
      <c r="BN552">
        <f>IF($A552="","",DATE(YEAR($A552),MONTH($A552),1))</f>
        <v>0</v>
      </c>
      <c r="BO552">
        <f>IF($A552="","",IF($A551="",1,IF(BN552&lt;&gt;BN551,1,0)))</f>
        <v>0</v>
      </c>
      <c r="BP552">
        <f>IF($A552="","",IF($A553="",1,IF(BN553&lt;&gt;BN552,1,0)))</f>
        <v>0</v>
      </c>
      <c r="BQ552">
        <f>IF($A552="","",IF(BO552=1,$B552,BQ551))</f>
        <v>0</v>
      </c>
      <c r="BR552">
        <f>IF($A552="","",IF(BO552=1,$C552,MAX($C552,BR551)))</f>
        <v>0</v>
      </c>
      <c r="BS552">
        <f>IF($A552="","",IF(BO552=1,$D552,MIN($D552,BS551)))</f>
        <v>0</v>
      </c>
      <c r="BT552">
        <f>IF($A552="","",IF(BP552=1,F552,""))</f>
        <v>0</v>
      </c>
    </row>
    <row r="553" spans="1:72">
      <c r="A553" s="27">
        <f>IF(Data!$A553="","",Data!$A553)</f>
        <v>0</v>
      </c>
      <c r="B553">
        <f>IF(Data!$B553="","",Data!$B553)</f>
        <v>0</v>
      </c>
      <c r="C553">
        <f>IF(Data!$C553="","",Data!$C553)</f>
        <v>0</v>
      </c>
      <c r="D553">
        <f>IF(Data!$D553="","",Data!$D553)</f>
        <v>0</v>
      </c>
      <c r="E553">
        <f>IF(Data!$E553="","",Data!$E553)</f>
        <v>0</v>
      </c>
      <c r="F553">
        <f>IF($E553="","",N(F552)+1)</f>
        <v>0</v>
      </c>
      <c r="G553">
        <f>IF(OR($E553="",$E552=""),"",LN($E553/$E552))</f>
        <v>0</v>
      </c>
      <c r="H553">
        <f>IF($E553="","",IF($E552="",$E553,$E553*0.0952380952+H552*0.9047619048))</f>
        <v>0</v>
      </c>
      <c r="I553">
        <f>IF($E553="","",IF($E552="",$E553,$E553*0.0392156863+I552*0.9607843137))</f>
        <v>0</v>
      </c>
      <c r="J553">
        <f>IF($E553="","",IF($E552="",$E553,$E553*0.0198019802+J552*0.9801980198))</f>
        <v>0</v>
      </c>
      <c r="K553">
        <f>IF($E553="","",IF($E552="",$E553,$E553*0.0099502488+K552*0.9900497512))</f>
        <v>0</v>
      </c>
      <c r="L553">
        <f>IF(OR($E553="",$E552=""),"",MAX($E553-$E552,0))</f>
        <v>0</v>
      </c>
      <c r="M553">
        <f>IF(OR($E553="",$E552=""),"",MAX($E552-$E553,0))</f>
        <v>0</v>
      </c>
      <c r="N553">
        <f>IF(COUNT($E$2:$E553)&lt;15,"",IF(AVERAGE($M$540:$M$553)=0,100,100-100/(1+AVERAGE($L$540:$L$553)/AVERAGE($M$540:$M$553))))</f>
        <v>0</v>
      </c>
      <c r="O553">
        <f>IF($E553="","",IF($E552="",$E553,$E553*0.1538461538+O552*0.8461538462))</f>
        <v>0</v>
      </c>
      <c r="P553">
        <f>IF($E553="","",IF($E552="",$E553,$E553*0.0740740741+P552*0.9259259259))</f>
        <v>0</v>
      </c>
      <c r="Q553">
        <f>IF(OR(O553="",P553=""),"",O553-P553)</f>
        <v>0</v>
      </c>
      <c r="R553">
        <f>IF(Q553="","",IF(R552="",Q553,Q553*0.2000000000+R552*0.8000000000))</f>
        <v>0</v>
      </c>
      <c r="S553">
        <f>IF(OR(Q553="",R553=""),"",Q553-R553)</f>
        <v>0</v>
      </c>
      <c r="T553">
        <f>IF(COUNT($E$2:$E553)&lt;14,"",MAX($C$540:$C$553))</f>
        <v>0</v>
      </c>
      <c r="U553">
        <f>IF(COUNT($E$2:$E553)&lt;14,"",MIN($D$540:$D$553))</f>
        <v>0</v>
      </c>
      <c r="V553">
        <f>IF(OR(T553="",U553="",T553=U553),"",100*($E553-U553)/(T553-U553))</f>
        <v>0</v>
      </c>
      <c r="W553">
        <f>IF(COUNT($V$551:$V$553)&lt;3,"",AVERAGE($V$551:$V$553))</f>
        <v>0</v>
      </c>
      <c r="X553">
        <f>IF(COUNT($N$540:$N$553)&lt;14,"",MIN($N$540:$N$553))</f>
        <v>0</v>
      </c>
      <c r="Y553">
        <f>IF(COUNT($N$540:$N$553)&lt;14,"",MAX($N$540:$N$553))</f>
        <v>0</v>
      </c>
      <c r="Z553">
        <f>IF(OR(N553="",X553="",Y553="",Y553=X553),"",100*(N553-X553)/(Y553-X553))</f>
        <v>0</v>
      </c>
      <c r="AA553">
        <f>IF(COUNT($Z$551:$Z$553)&lt;3,"",AVERAGE($Z$551:$Z$553))</f>
        <v>0</v>
      </c>
      <c r="AB553">
        <f>IF(COUNT($AA$551:$AA$553)&lt;3,"",AVERAGE($AA$551:$AA$553))</f>
        <v>0</v>
      </c>
      <c r="AC553">
        <f>IF($E553="","",MAX($C553-$D553,ABS($C553-$E552),ABS($D553-$E552)))</f>
        <v>0</v>
      </c>
      <c r="AD553">
        <f>IF(COUNT($E$2:$E553)&lt;15,"",AVERAGE($AC$540:$AC$553))</f>
        <v>0</v>
      </c>
      <c r="AE553">
        <f>IF(OR($E553="",$E552=""),"",IF(AND(($C553-$C552)&gt;($D552-$D553),($C553-$C552)&gt;0),$C553-$C552,0))</f>
        <v>0</v>
      </c>
      <c r="AF553">
        <f>IF(OR($E553="",$E552=""),"",IF(AND(($D552-$D553)&gt;($C553-$C552),($D552-$D553)&gt;0),$D552-$D553,0))</f>
        <v>0</v>
      </c>
      <c r="AG553">
        <f>IF(COUNT($E$2:$E553)&lt;15,"",IF(SUM($AC$540:$AC$553)=0,0,100*SUM($AE$540:$AE$553)/SUM($AC$540:$AC$553)))</f>
        <v>0</v>
      </c>
      <c r="AH553">
        <f>IF(COUNT($E$2:$E553)&lt;15,"",IF(SUM($AC$540:$AC$553)=0,0,100*SUM($AF$540:$AF$553)/SUM($AC$540:$AC$553)))</f>
        <v>0</v>
      </c>
      <c r="AI553">
        <f>IF(OR(AG553="",AH553=""),"",IF((AG553+AH553)=0,0,100*ABS(AG553-AH553)/(AG553+AH553)))</f>
        <v>0</v>
      </c>
      <c r="AJ553">
        <f>IF(COUNT($AI$540:$AI$553)&lt;14,"",AVERAGE($AI$540:$AI$553))</f>
        <v>0</v>
      </c>
      <c r="AK553">
        <f>IF(COUNT($E$2:$E553)&lt;20,"",AVERAGE($E$534:$E$553))</f>
        <v>0</v>
      </c>
      <c r="AL553">
        <f>IF(COUNT($E$2:$E553)&lt;20,"",STDEVP($E$534:$E$553))</f>
        <v>0</v>
      </c>
      <c r="AM553">
        <f>IF(AK553="","",AK553+2*AL553)</f>
        <v>0</v>
      </c>
      <c r="AN553">
        <f>IF(AK553="","",AK553-2*AL553)</f>
        <v>0</v>
      </c>
      <c r="AO553">
        <f>IF(OR(AM553="",AN553="",AM553=AN553),"",($E553-AN553)/(AM553-AN553))</f>
        <v>0</v>
      </c>
      <c r="AP553">
        <f>IF(OR(AM553="",AK553="",AK553=0),"",(AM553-AN553)/AK553)</f>
        <v>0</v>
      </c>
      <c r="AQ553">
        <f>IF(COUNT($E$2:$E553)&lt;20,"",MAX($C$534:$C$553))</f>
        <v>0</v>
      </c>
      <c r="AR553">
        <f>IF(COUNT($E$2:$E553)&lt;20,"",MIN($D$534:$D$553))</f>
        <v>0</v>
      </c>
      <c r="AS553">
        <f>IF(OR(AQ553="",AR553=""),"",(AQ553+AR553)/2)</f>
        <v>0</v>
      </c>
      <c r="AT553">
        <f>IF(COUNT($G$534:$G$553)&lt;20,"",STDEV($G$534:$G$553)*SQRT(252))</f>
        <v>0</v>
      </c>
      <c r="AU553">
        <f>IF(COUNT($E$2:$E553)&lt;9,"",(MAX($C$545:$C$553)+MIN($D$545:$D$553))/2)</f>
        <v>0</v>
      </c>
      <c r="AV553">
        <f>IF(COUNT($E$2:$E553)&lt;26,"",(MAX($C$528:$C$553)+MIN($D$528:$D$553))/2)</f>
        <v>0</v>
      </c>
      <c r="AW553">
        <f>IF(OR(AU553="",AV553=""),"",(AU553+AV553)/2)</f>
        <v>0</v>
      </c>
      <c r="AX553">
        <f>IF(COUNT($E$2:$E553)&lt;52,"",(MAX($C$502:$C$553)+MIN($D$502:$D$553))/2)</f>
        <v>0</v>
      </c>
      <c r="AY553">
        <f>IF(COUNT($E$2:$E553)&lt;20,"",MAX($C$454:$C$553))</f>
        <v>0</v>
      </c>
      <c r="AZ553">
        <f>IF(COUNT($E$2:$E553)&lt;20,"",MIN($D$454:$D$553))</f>
        <v>0</v>
      </c>
      <c r="BA553">
        <f>IF(COUNT($E$2:$E553)&lt;20,"",SLOPE($E$454:$E$553,$F$454:$F$553))</f>
        <v>0</v>
      </c>
      <c r="BB553">
        <f>IF(COUNT($E$2:$E553)&lt;20,"",INTERCEPT($E$454:$E$553,$F$454:$F$553))</f>
        <v>0</v>
      </c>
      <c r="BC553">
        <f>IF(OR(BA553="",BB553=""),"",BB553+BA553*F553)</f>
        <v>0</v>
      </c>
      <c r="BD553">
        <f>IF(COUNT($E$2:$E553)&lt;20,"",STEYX($E$454:$E$553,$F$454:$F$553))</f>
        <v>0</v>
      </c>
      <c r="BE553">
        <f>IF($E553="","",IF(AND(COUNT($E$554:$E$557)&gt;=4,$C553=MAX($C$549:$C$557)),$C553,""))</f>
        <v>0</v>
      </c>
      <c r="BF553">
        <f>IF($E553="","",IF(AND(COUNT($E$554:$E$557)&gt;=4,$D553=MIN($D$549:$D$557)),$D553,""))</f>
        <v>0</v>
      </c>
      <c r="BG553">
        <f>IF($A553="","",$A553-WEEKDAY($A553,2)+1)</f>
        <v>0</v>
      </c>
      <c r="BH553">
        <f>IF($A553="","",IF($A552="",1,IF(BG553&lt;&gt;BG552,1,0)))</f>
        <v>0</v>
      </c>
      <c r="BI553">
        <f>IF($A553="","",IF($A554="",1,IF(BG554&lt;&gt;BG553,1,0)))</f>
        <v>0</v>
      </c>
      <c r="BJ553">
        <f>IF($A553="","",IF(BH553=1,$B553,BJ552))</f>
        <v>0</v>
      </c>
      <c r="BK553">
        <f>IF($A553="","",IF(BH553=1,$C553,MAX($C553,BK552)))</f>
        <v>0</v>
      </c>
      <c r="BL553">
        <f>IF($A553="","",IF(BH553=1,$D553,MIN($D553,BL552)))</f>
        <v>0</v>
      </c>
      <c r="BM553">
        <f>IF($A553="","",IF(BI553=1,F553,""))</f>
        <v>0</v>
      </c>
      <c r="BN553">
        <f>IF($A553="","",DATE(YEAR($A553),MONTH($A553),1))</f>
        <v>0</v>
      </c>
      <c r="BO553">
        <f>IF($A553="","",IF($A552="",1,IF(BN553&lt;&gt;BN552,1,0)))</f>
        <v>0</v>
      </c>
      <c r="BP553">
        <f>IF($A553="","",IF($A554="",1,IF(BN554&lt;&gt;BN553,1,0)))</f>
        <v>0</v>
      </c>
      <c r="BQ553">
        <f>IF($A553="","",IF(BO553=1,$B553,BQ552))</f>
        <v>0</v>
      </c>
      <c r="BR553">
        <f>IF($A553="","",IF(BO553=1,$C553,MAX($C553,BR552)))</f>
        <v>0</v>
      </c>
      <c r="BS553">
        <f>IF($A553="","",IF(BO553=1,$D553,MIN($D553,BS552)))</f>
        <v>0</v>
      </c>
      <c r="BT553">
        <f>IF($A553="","",IF(BP553=1,F553,""))</f>
        <v>0</v>
      </c>
    </row>
    <row r="554" spans="1:72">
      <c r="A554" s="27">
        <f>IF(Data!$A554="","",Data!$A554)</f>
        <v>0</v>
      </c>
      <c r="B554">
        <f>IF(Data!$B554="","",Data!$B554)</f>
        <v>0</v>
      </c>
      <c r="C554">
        <f>IF(Data!$C554="","",Data!$C554)</f>
        <v>0</v>
      </c>
      <c r="D554">
        <f>IF(Data!$D554="","",Data!$D554)</f>
        <v>0</v>
      </c>
      <c r="E554">
        <f>IF(Data!$E554="","",Data!$E554)</f>
        <v>0</v>
      </c>
      <c r="F554">
        <f>IF($E554="","",N(F553)+1)</f>
        <v>0</v>
      </c>
      <c r="G554">
        <f>IF(OR($E554="",$E553=""),"",LN($E554/$E553))</f>
        <v>0</v>
      </c>
      <c r="H554">
        <f>IF($E554="","",IF($E553="",$E554,$E554*0.0952380952+H553*0.9047619048))</f>
        <v>0</v>
      </c>
      <c r="I554">
        <f>IF($E554="","",IF($E553="",$E554,$E554*0.0392156863+I553*0.9607843137))</f>
        <v>0</v>
      </c>
      <c r="J554">
        <f>IF($E554="","",IF($E553="",$E554,$E554*0.0198019802+J553*0.9801980198))</f>
        <v>0</v>
      </c>
      <c r="K554">
        <f>IF($E554="","",IF($E553="",$E554,$E554*0.0099502488+K553*0.9900497512))</f>
        <v>0</v>
      </c>
      <c r="L554">
        <f>IF(OR($E554="",$E553=""),"",MAX($E554-$E553,0))</f>
        <v>0</v>
      </c>
      <c r="M554">
        <f>IF(OR($E554="",$E553=""),"",MAX($E553-$E554,0))</f>
        <v>0</v>
      </c>
      <c r="N554">
        <f>IF(COUNT($E$2:$E554)&lt;15,"",IF(AVERAGE($M$541:$M$554)=0,100,100-100/(1+AVERAGE($L$541:$L$554)/AVERAGE($M$541:$M$554))))</f>
        <v>0</v>
      </c>
      <c r="O554">
        <f>IF($E554="","",IF($E553="",$E554,$E554*0.1538461538+O553*0.8461538462))</f>
        <v>0</v>
      </c>
      <c r="P554">
        <f>IF($E554="","",IF($E553="",$E554,$E554*0.0740740741+P553*0.9259259259))</f>
        <v>0</v>
      </c>
      <c r="Q554">
        <f>IF(OR(O554="",P554=""),"",O554-P554)</f>
        <v>0</v>
      </c>
      <c r="R554">
        <f>IF(Q554="","",IF(R553="",Q554,Q554*0.2000000000+R553*0.8000000000))</f>
        <v>0</v>
      </c>
      <c r="S554">
        <f>IF(OR(Q554="",R554=""),"",Q554-R554)</f>
        <v>0</v>
      </c>
      <c r="T554">
        <f>IF(COUNT($E$2:$E554)&lt;14,"",MAX($C$541:$C$554))</f>
        <v>0</v>
      </c>
      <c r="U554">
        <f>IF(COUNT($E$2:$E554)&lt;14,"",MIN($D$541:$D$554))</f>
        <v>0</v>
      </c>
      <c r="V554">
        <f>IF(OR(T554="",U554="",T554=U554),"",100*($E554-U554)/(T554-U554))</f>
        <v>0</v>
      </c>
      <c r="W554">
        <f>IF(COUNT($V$552:$V$554)&lt;3,"",AVERAGE($V$552:$V$554))</f>
        <v>0</v>
      </c>
      <c r="X554">
        <f>IF(COUNT($N$541:$N$554)&lt;14,"",MIN($N$541:$N$554))</f>
        <v>0</v>
      </c>
      <c r="Y554">
        <f>IF(COUNT($N$541:$N$554)&lt;14,"",MAX($N$541:$N$554))</f>
        <v>0</v>
      </c>
      <c r="Z554">
        <f>IF(OR(N554="",X554="",Y554="",Y554=X554),"",100*(N554-X554)/(Y554-X554))</f>
        <v>0</v>
      </c>
      <c r="AA554">
        <f>IF(COUNT($Z$552:$Z$554)&lt;3,"",AVERAGE($Z$552:$Z$554))</f>
        <v>0</v>
      </c>
      <c r="AB554">
        <f>IF(COUNT($AA$552:$AA$554)&lt;3,"",AVERAGE($AA$552:$AA$554))</f>
        <v>0</v>
      </c>
      <c r="AC554">
        <f>IF($E554="","",MAX($C554-$D554,ABS($C554-$E553),ABS($D554-$E553)))</f>
        <v>0</v>
      </c>
      <c r="AD554">
        <f>IF(COUNT($E$2:$E554)&lt;15,"",AVERAGE($AC$541:$AC$554))</f>
        <v>0</v>
      </c>
      <c r="AE554">
        <f>IF(OR($E554="",$E553=""),"",IF(AND(($C554-$C553)&gt;($D553-$D554),($C554-$C553)&gt;0),$C554-$C553,0))</f>
        <v>0</v>
      </c>
      <c r="AF554">
        <f>IF(OR($E554="",$E553=""),"",IF(AND(($D553-$D554)&gt;($C554-$C553),($D553-$D554)&gt;0),$D553-$D554,0))</f>
        <v>0</v>
      </c>
      <c r="AG554">
        <f>IF(COUNT($E$2:$E554)&lt;15,"",IF(SUM($AC$541:$AC$554)=0,0,100*SUM($AE$541:$AE$554)/SUM($AC$541:$AC$554)))</f>
        <v>0</v>
      </c>
      <c r="AH554">
        <f>IF(COUNT($E$2:$E554)&lt;15,"",IF(SUM($AC$541:$AC$554)=0,0,100*SUM($AF$541:$AF$554)/SUM($AC$541:$AC$554)))</f>
        <v>0</v>
      </c>
      <c r="AI554">
        <f>IF(OR(AG554="",AH554=""),"",IF((AG554+AH554)=0,0,100*ABS(AG554-AH554)/(AG554+AH554)))</f>
        <v>0</v>
      </c>
      <c r="AJ554">
        <f>IF(COUNT($AI$541:$AI$554)&lt;14,"",AVERAGE($AI$541:$AI$554))</f>
        <v>0</v>
      </c>
      <c r="AK554">
        <f>IF(COUNT($E$2:$E554)&lt;20,"",AVERAGE($E$535:$E$554))</f>
        <v>0</v>
      </c>
      <c r="AL554">
        <f>IF(COUNT($E$2:$E554)&lt;20,"",STDEVP($E$535:$E$554))</f>
        <v>0</v>
      </c>
      <c r="AM554">
        <f>IF(AK554="","",AK554+2*AL554)</f>
        <v>0</v>
      </c>
      <c r="AN554">
        <f>IF(AK554="","",AK554-2*AL554)</f>
        <v>0</v>
      </c>
      <c r="AO554">
        <f>IF(OR(AM554="",AN554="",AM554=AN554),"",($E554-AN554)/(AM554-AN554))</f>
        <v>0</v>
      </c>
      <c r="AP554">
        <f>IF(OR(AM554="",AK554="",AK554=0),"",(AM554-AN554)/AK554)</f>
        <v>0</v>
      </c>
      <c r="AQ554">
        <f>IF(COUNT($E$2:$E554)&lt;20,"",MAX($C$535:$C$554))</f>
        <v>0</v>
      </c>
      <c r="AR554">
        <f>IF(COUNT($E$2:$E554)&lt;20,"",MIN($D$535:$D$554))</f>
        <v>0</v>
      </c>
      <c r="AS554">
        <f>IF(OR(AQ554="",AR554=""),"",(AQ554+AR554)/2)</f>
        <v>0</v>
      </c>
      <c r="AT554">
        <f>IF(COUNT($G$535:$G$554)&lt;20,"",STDEV($G$535:$G$554)*SQRT(252))</f>
        <v>0</v>
      </c>
      <c r="AU554">
        <f>IF(COUNT($E$2:$E554)&lt;9,"",(MAX($C$546:$C$554)+MIN($D$546:$D$554))/2)</f>
        <v>0</v>
      </c>
      <c r="AV554">
        <f>IF(COUNT($E$2:$E554)&lt;26,"",(MAX($C$529:$C$554)+MIN($D$529:$D$554))/2)</f>
        <v>0</v>
      </c>
      <c r="AW554">
        <f>IF(OR(AU554="",AV554=""),"",(AU554+AV554)/2)</f>
        <v>0</v>
      </c>
      <c r="AX554">
        <f>IF(COUNT($E$2:$E554)&lt;52,"",(MAX($C$503:$C$554)+MIN($D$503:$D$554))/2)</f>
        <v>0</v>
      </c>
      <c r="AY554">
        <f>IF(COUNT($E$2:$E554)&lt;20,"",MAX($C$455:$C$554))</f>
        <v>0</v>
      </c>
      <c r="AZ554">
        <f>IF(COUNT($E$2:$E554)&lt;20,"",MIN($D$455:$D$554))</f>
        <v>0</v>
      </c>
      <c r="BA554">
        <f>IF(COUNT($E$2:$E554)&lt;20,"",SLOPE($E$455:$E$554,$F$455:$F$554))</f>
        <v>0</v>
      </c>
      <c r="BB554">
        <f>IF(COUNT($E$2:$E554)&lt;20,"",INTERCEPT($E$455:$E$554,$F$455:$F$554))</f>
        <v>0</v>
      </c>
      <c r="BC554">
        <f>IF(OR(BA554="",BB554=""),"",BB554+BA554*F554)</f>
        <v>0</v>
      </c>
      <c r="BD554">
        <f>IF(COUNT($E$2:$E554)&lt;20,"",STEYX($E$455:$E$554,$F$455:$F$554))</f>
        <v>0</v>
      </c>
      <c r="BE554">
        <f>IF($E554="","",IF(AND(COUNT($E$555:$E$558)&gt;=4,$C554=MAX($C$550:$C$558)),$C554,""))</f>
        <v>0</v>
      </c>
      <c r="BF554">
        <f>IF($E554="","",IF(AND(COUNT($E$555:$E$558)&gt;=4,$D554=MIN($D$550:$D$558)),$D554,""))</f>
        <v>0</v>
      </c>
      <c r="BG554">
        <f>IF($A554="","",$A554-WEEKDAY($A554,2)+1)</f>
        <v>0</v>
      </c>
      <c r="BH554">
        <f>IF($A554="","",IF($A553="",1,IF(BG554&lt;&gt;BG553,1,0)))</f>
        <v>0</v>
      </c>
      <c r="BI554">
        <f>IF($A554="","",IF($A555="",1,IF(BG555&lt;&gt;BG554,1,0)))</f>
        <v>0</v>
      </c>
      <c r="BJ554">
        <f>IF($A554="","",IF(BH554=1,$B554,BJ553))</f>
        <v>0</v>
      </c>
      <c r="BK554">
        <f>IF($A554="","",IF(BH554=1,$C554,MAX($C554,BK553)))</f>
        <v>0</v>
      </c>
      <c r="BL554">
        <f>IF($A554="","",IF(BH554=1,$D554,MIN($D554,BL553)))</f>
        <v>0</v>
      </c>
      <c r="BM554">
        <f>IF($A554="","",IF(BI554=1,F554,""))</f>
        <v>0</v>
      </c>
      <c r="BN554">
        <f>IF($A554="","",DATE(YEAR($A554),MONTH($A554),1))</f>
        <v>0</v>
      </c>
      <c r="BO554">
        <f>IF($A554="","",IF($A553="",1,IF(BN554&lt;&gt;BN553,1,0)))</f>
        <v>0</v>
      </c>
      <c r="BP554">
        <f>IF($A554="","",IF($A555="",1,IF(BN555&lt;&gt;BN554,1,0)))</f>
        <v>0</v>
      </c>
      <c r="BQ554">
        <f>IF($A554="","",IF(BO554=1,$B554,BQ553))</f>
        <v>0</v>
      </c>
      <c r="BR554">
        <f>IF($A554="","",IF(BO554=1,$C554,MAX($C554,BR553)))</f>
        <v>0</v>
      </c>
      <c r="BS554">
        <f>IF($A554="","",IF(BO554=1,$D554,MIN($D554,BS553)))</f>
        <v>0</v>
      </c>
      <c r="BT554">
        <f>IF($A554="","",IF(BP554=1,F554,""))</f>
        <v>0</v>
      </c>
    </row>
    <row r="555" spans="1:72">
      <c r="A555" s="27">
        <f>IF(Data!$A555="","",Data!$A555)</f>
        <v>0</v>
      </c>
      <c r="B555">
        <f>IF(Data!$B555="","",Data!$B555)</f>
        <v>0</v>
      </c>
      <c r="C555">
        <f>IF(Data!$C555="","",Data!$C555)</f>
        <v>0</v>
      </c>
      <c r="D555">
        <f>IF(Data!$D555="","",Data!$D555)</f>
        <v>0</v>
      </c>
      <c r="E555">
        <f>IF(Data!$E555="","",Data!$E555)</f>
        <v>0</v>
      </c>
      <c r="F555">
        <f>IF($E555="","",N(F554)+1)</f>
        <v>0</v>
      </c>
      <c r="G555">
        <f>IF(OR($E555="",$E554=""),"",LN($E555/$E554))</f>
        <v>0</v>
      </c>
      <c r="H555">
        <f>IF($E555="","",IF($E554="",$E555,$E555*0.0952380952+H554*0.9047619048))</f>
        <v>0</v>
      </c>
      <c r="I555">
        <f>IF($E555="","",IF($E554="",$E555,$E555*0.0392156863+I554*0.9607843137))</f>
        <v>0</v>
      </c>
      <c r="J555">
        <f>IF($E555="","",IF($E554="",$E555,$E555*0.0198019802+J554*0.9801980198))</f>
        <v>0</v>
      </c>
      <c r="K555">
        <f>IF($E555="","",IF($E554="",$E555,$E555*0.0099502488+K554*0.9900497512))</f>
        <v>0</v>
      </c>
      <c r="L555">
        <f>IF(OR($E555="",$E554=""),"",MAX($E555-$E554,0))</f>
        <v>0</v>
      </c>
      <c r="M555">
        <f>IF(OR($E555="",$E554=""),"",MAX($E554-$E555,0))</f>
        <v>0</v>
      </c>
      <c r="N555">
        <f>IF(COUNT($E$2:$E555)&lt;15,"",IF(AVERAGE($M$542:$M$555)=0,100,100-100/(1+AVERAGE($L$542:$L$555)/AVERAGE($M$542:$M$555))))</f>
        <v>0</v>
      </c>
      <c r="O555">
        <f>IF($E555="","",IF($E554="",$E555,$E555*0.1538461538+O554*0.8461538462))</f>
        <v>0</v>
      </c>
      <c r="P555">
        <f>IF($E555="","",IF($E554="",$E555,$E555*0.0740740741+P554*0.9259259259))</f>
        <v>0</v>
      </c>
      <c r="Q555">
        <f>IF(OR(O555="",P555=""),"",O555-P555)</f>
        <v>0</v>
      </c>
      <c r="R555">
        <f>IF(Q555="","",IF(R554="",Q555,Q555*0.2000000000+R554*0.8000000000))</f>
        <v>0</v>
      </c>
      <c r="S555">
        <f>IF(OR(Q555="",R555=""),"",Q555-R555)</f>
        <v>0</v>
      </c>
      <c r="T555">
        <f>IF(COUNT($E$2:$E555)&lt;14,"",MAX($C$542:$C$555))</f>
        <v>0</v>
      </c>
      <c r="U555">
        <f>IF(COUNT($E$2:$E555)&lt;14,"",MIN($D$542:$D$555))</f>
        <v>0</v>
      </c>
      <c r="V555">
        <f>IF(OR(T555="",U555="",T555=U555),"",100*($E555-U555)/(T555-U555))</f>
        <v>0</v>
      </c>
      <c r="W555">
        <f>IF(COUNT($V$553:$V$555)&lt;3,"",AVERAGE($V$553:$V$555))</f>
        <v>0</v>
      </c>
      <c r="X555">
        <f>IF(COUNT($N$542:$N$555)&lt;14,"",MIN($N$542:$N$555))</f>
        <v>0</v>
      </c>
      <c r="Y555">
        <f>IF(COUNT($N$542:$N$555)&lt;14,"",MAX($N$542:$N$555))</f>
        <v>0</v>
      </c>
      <c r="Z555">
        <f>IF(OR(N555="",X555="",Y555="",Y555=X555),"",100*(N555-X555)/(Y555-X555))</f>
        <v>0</v>
      </c>
      <c r="AA555">
        <f>IF(COUNT($Z$553:$Z$555)&lt;3,"",AVERAGE($Z$553:$Z$555))</f>
        <v>0</v>
      </c>
      <c r="AB555">
        <f>IF(COUNT($AA$553:$AA$555)&lt;3,"",AVERAGE($AA$553:$AA$555))</f>
        <v>0</v>
      </c>
      <c r="AC555">
        <f>IF($E555="","",MAX($C555-$D555,ABS($C555-$E554),ABS($D555-$E554)))</f>
        <v>0</v>
      </c>
      <c r="AD555">
        <f>IF(COUNT($E$2:$E555)&lt;15,"",AVERAGE($AC$542:$AC$555))</f>
        <v>0</v>
      </c>
      <c r="AE555">
        <f>IF(OR($E555="",$E554=""),"",IF(AND(($C555-$C554)&gt;($D554-$D555),($C555-$C554)&gt;0),$C555-$C554,0))</f>
        <v>0</v>
      </c>
      <c r="AF555">
        <f>IF(OR($E555="",$E554=""),"",IF(AND(($D554-$D555)&gt;($C555-$C554),($D554-$D555)&gt;0),$D554-$D555,0))</f>
        <v>0</v>
      </c>
      <c r="AG555">
        <f>IF(COUNT($E$2:$E555)&lt;15,"",IF(SUM($AC$542:$AC$555)=0,0,100*SUM($AE$542:$AE$555)/SUM($AC$542:$AC$555)))</f>
        <v>0</v>
      </c>
      <c r="AH555">
        <f>IF(COUNT($E$2:$E555)&lt;15,"",IF(SUM($AC$542:$AC$555)=0,0,100*SUM($AF$542:$AF$555)/SUM($AC$542:$AC$555)))</f>
        <v>0</v>
      </c>
      <c r="AI555">
        <f>IF(OR(AG555="",AH555=""),"",IF((AG555+AH555)=0,0,100*ABS(AG555-AH555)/(AG555+AH555)))</f>
        <v>0</v>
      </c>
      <c r="AJ555">
        <f>IF(COUNT($AI$542:$AI$555)&lt;14,"",AVERAGE($AI$542:$AI$555))</f>
        <v>0</v>
      </c>
      <c r="AK555">
        <f>IF(COUNT($E$2:$E555)&lt;20,"",AVERAGE($E$536:$E$555))</f>
        <v>0</v>
      </c>
      <c r="AL555">
        <f>IF(COUNT($E$2:$E555)&lt;20,"",STDEVP($E$536:$E$555))</f>
        <v>0</v>
      </c>
      <c r="AM555">
        <f>IF(AK555="","",AK555+2*AL555)</f>
        <v>0</v>
      </c>
      <c r="AN555">
        <f>IF(AK555="","",AK555-2*AL555)</f>
        <v>0</v>
      </c>
      <c r="AO555">
        <f>IF(OR(AM555="",AN555="",AM555=AN555),"",($E555-AN555)/(AM555-AN555))</f>
        <v>0</v>
      </c>
      <c r="AP555">
        <f>IF(OR(AM555="",AK555="",AK555=0),"",(AM555-AN555)/AK555)</f>
        <v>0</v>
      </c>
      <c r="AQ555">
        <f>IF(COUNT($E$2:$E555)&lt;20,"",MAX($C$536:$C$555))</f>
        <v>0</v>
      </c>
      <c r="AR555">
        <f>IF(COUNT($E$2:$E555)&lt;20,"",MIN($D$536:$D$555))</f>
        <v>0</v>
      </c>
      <c r="AS555">
        <f>IF(OR(AQ555="",AR555=""),"",(AQ555+AR555)/2)</f>
        <v>0</v>
      </c>
      <c r="AT555">
        <f>IF(COUNT($G$536:$G$555)&lt;20,"",STDEV($G$536:$G$555)*SQRT(252))</f>
        <v>0</v>
      </c>
      <c r="AU555">
        <f>IF(COUNT($E$2:$E555)&lt;9,"",(MAX($C$547:$C$555)+MIN($D$547:$D$555))/2)</f>
        <v>0</v>
      </c>
      <c r="AV555">
        <f>IF(COUNT($E$2:$E555)&lt;26,"",(MAX($C$530:$C$555)+MIN($D$530:$D$555))/2)</f>
        <v>0</v>
      </c>
      <c r="AW555">
        <f>IF(OR(AU555="",AV555=""),"",(AU555+AV555)/2)</f>
        <v>0</v>
      </c>
      <c r="AX555">
        <f>IF(COUNT($E$2:$E555)&lt;52,"",(MAX($C$504:$C$555)+MIN($D$504:$D$555))/2)</f>
        <v>0</v>
      </c>
      <c r="AY555">
        <f>IF(COUNT($E$2:$E555)&lt;20,"",MAX($C$456:$C$555))</f>
        <v>0</v>
      </c>
      <c r="AZ555">
        <f>IF(COUNT($E$2:$E555)&lt;20,"",MIN($D$456:$D$555))</f>
        <v>0</v>
      </c>
      <c r="BA555">
        <f>IF(COUNT($E$2:$E555)&lt;20,"",SLOPE($E$456:$E$555,$F$456:$F$555))</f>
        <v>0</v>
      </c>
      <c r="BB555">
        <f>IF(COUNT($E$2:$E555)&lt;20,"",INTERCEPT($E$456:$E$555,$F$456:$F$555))</f>
        <v>0</v>
      </c>
      <c r="BC555">
        <f>IF(OR(BA555="",BB555=""),"",BB555+BA555*F555)</f>
        <v>0</v>
      </c>
      <c r="BD555">
        <f>IF(COUNT($E$2:$E555)&lt;20,"",STEYX($E$456:$E$555,$F$456:$F$555))</f>
        <v>0</v>
      </c>
      <c r="BE555">
        <f>IF($E555="","",IF(AND(COUNT($E$556:$E$559)&gt;=4,$C555=MAX($C$551:$C$559)),$C555,""))</f>
        <v>0</v>
      </c>
      <c r="BF555">
        <f>IF($E555="","",IF(AND(COUNT($E$556:$E$559)&gt;=4,$D555=MIN($D$551:$D$559)),$D555,""))</f>
        <v>0</v>
      </c>
      <c r="BG555">
        <f>IF($A555="","",$A555-WEEKDAY($A555,2)+1)</f>
        <v>0</v>
      </c>
      <c r="BH555">
        <f>IF($A555="","",IF($A554="",1,IF(BG555&lt;&gt;BG554,1,0)))</f>
        <v>0</v>
      </c>
      <c r="BI555">
        <f>IF($A555="","",IF($A556="",1,IF(BG556&lt;&gt;BG555,1,0)))</f>
        <v>0</v>
      </c>
      <c r="BJ555">
        <f>IF($A555="","",IF(BH555=1,$B555,BJ554))</f>
        <v>0</v>
      </c>
      <c r="BK555">
        <f>IF($A555="","",IF(BH555=1,$C555,MAX($C555,BK554)))</f>
        <v>0</v>
      </c>
      <c r="BL555">
        <f>IF($A555="","",IF(BH555=1,$D555,MIN($D555,BL554)))</f>
        <v>0</v>
      </c>
      <c r="BM555">
        <f>IF($A555="","",IF(BI555=1,F555,""))</f>
        <v>0</v>
      </c>
      <c r="BN555">
        <f>IF($A555="","",DATE(YEAR($A555),MONTH($A555),1))</f>
        <v>0</v>
      </c>
      <c r="BO555">
        <f>IF($A555="","",IF($A554="",1,IF(BN555&lt;&gt;BN554,1,0)))</f>
        <v>0</v>
      </c>
      <c r="BP555">
        <f>IF($A555="","",IF($A556="",1,IF(BN556&lt;&gt;BN555,1,0)))</f>
        <v>0</v>
      </c>
      <c r="BQ555">
        <f>IF($A555="","",IF(BO555=1,$B555,BQ554))</f>
        <v>0</v>
      </c>
      <c r="BR555">
        <f>IF($A555="","",IF(BO555=1,$C555,MAX($C555,BR554)))</f>
        <v>0</v>
      </c>
      <c r="BS555">
        <f>IF($A555="","",IF(BO555=1,$D555,MIN($D555,BS554)))</f>
        <v>0</v>
      </c>
      <c r="BT555">
        <f>IF($A555="","",IF(BP555=1,F555,""))</f>
        <v>0</v>
      </c>
    </row>
    <row r="556" spans="1:72">
      <c r="A556" s="27">
        <f>IF(Data!$A556="","",Data!$A556)</f>
        <v>0</v>
      </c>
      <c r="B556">
        <f>IF(Data!$B556="","",Data!$B556)</f>
        <v>0</v>
      </c>
      <c r="C556">
        <f>IF(Data!$C556="","",Data!$C556)</f>
        <v>0</v>
      </c>
      <c r="D556">
        <f>IF(Data!$D556="","",Data!$D556)</f>
        <v>0</v>
      </c>
      <c r="E556">
        <f>IF(Data!$E556="","",Data!$E556)</f>
        <v>0</v>
      </c>
      <c r="F556">
        <f>IF($E556="","",N(F555)+1)</f>
        <v>0</v>
      </c>
      <c r="G556">
        <f>IF(OR($E556="",$E555=""),"",LN($E556/$E555))</f>
        <v>0</v>
      </c>
      <c r="H556">
        <f>IF($E556="","",IF($E555="",$E556,$E556*0.0952380952+H555*0.9047619048))</f>
        <v>0</v>
      </c>
      <c r="I556">
        <f>IF($E556="","",IF($E555="",$E556,$E556*0.0392156863+I555*0.9607843137))</f>
        <v>0</v>
      </c>
      <c r="J556">
        <f>IF($E556="","",IF($E555="",$E556,$E556*0.0198019802+J555*0.9801980198))</f>
        <v>0</v>
      </c>
      <c r="K556">
        <f>IF($E556="","",IF($E555="",$E556,$E556*0.0099502488+K555*0.9900497512))</f>
        <v>0</v>
      </c>
      <c r="L556">
        <f>IF(OR($E556="",$E555=""),"",MAX($E556-$E555,0))</f>
        <v>0</v>
      </c>
      <c r="M556">
        <f>IF(OR($E556="",$E555=""),"",MAX($E555-$E556,0))</f>
        <v>0</v>
      </c>
      <c r="N556">
        <f>IF(COUNT($E$2:$E556)&lt;15,"",IF(AVERAGE($M$543:$M$556)=0,100,100-100/(1+AVERAGE($L$543:$L$556)/AVERAGE($M$543:$M$556))))</f>
        <v>0</v>
      </c>
      <c r="O556">
        <f>IF($E556="","",IF($E555="",$E556,$E556*0.1538461538+O555*0.8461538462))</f>
        <v>0</v>
      </c>
      <c r="P556">
        <f>IF($E556="","",IF($E555="",$E556,$E556*0.0740740741+P555*0.9259259259))</f>
        <v>0</v>
      </c>
      <c r="Q556">
        <f>IF(OR(O556="",P556=""),"",O556-P556)</f>
        <v>0</v>
      </c>
      <c r="R556">
        <f>IF(Q556="","",IF(R555="",Q556,Q556*0.2000000000+R555*0.8000000000))</f>
        <v>0</v>
      </c>
      <c r="S556">
        <f>IF(OR(Q556="",R556=""),"",Q556-R556)</f>
        <v>0</v>
      </c>
      <c r="T556">
        <f>IF(COUNT($E$2:$E556)&lt;14,"",MAX($C$543:$C$556))</f>
        <v>0</v>
      </c>
      <c r="U556">
        <f>IF(COUNT($E$2:$E556)&lt;14,"",MIN($D$543:$D$556))</f>
        <v>0</v>
      </c>
      <c r="V556">
        <f>IF(OR(T556="",U556="",T556=U556),"",100*($E556-U556)/(T556-U556))</f>
        <v>0</v>
      </c>
      <c r="W556">
        <f>IF(COUNT($V$554:$V$556)&lt;3,"",AVERAGE($V$554:$V$556))</f>
        <v>0</v>
      </c>
      <c r="X556">
        <f>IF(COUNT($N$543:$N$556)&lt;14,"",MIN($N$543:$N$556))</f>
        <v>0</v>
      </c>
      <c r="Y556">
        <f>IF(COUNT($N$543:$N$556)&lt;14,"",MAX($N$543:$N$556))</f>
        <v>0</v>
      </c>
      <c r="Z556">
        <f>IF(OR(N556="",X556="",Y556="",Y556=X556),"",100*(N556-X556)/(Y556-X556))</f>
        <v>0</v>
      </c>
      <c r="AA556">
        <f>IF(COUNT($Z$554:$Z$556)&lt;3,"",AVERAGE($Z$554:$Z$556))</f>
        <v>0</v>
      </c>
      <c r="AB556">
        <f>IF(COUNT($AA$554:$AA$556)&lt;3,"",AVERAGE($AA$554:$AA$556))</f>
        <v>0</v>
      </c>
      <c r="AC556">
        <f>IF($E556="","",MAX($C556-$D556,ABS($C556-$E555),ABS($D556-$E555)))</f>
        <v>0</v>
      </c>
      <c r="AD556">
        <f>IF(COUNT($E$2:$E556)&lt;15,"",AVERAGE($AC$543:$AC$556))</f>
        <v>0</v>
      </c>
      <c r="AE556">
        <f>IF(OR($E556="",$E555=""),"",IF(AND(($C556-$C555)&gt;($D555-$D556),($C556-$C555)&gt;0),$C556-$C555,0))</f>
        <v>0</v>
      </c>
      <c r="AF556">
        <f>IF(OR($E556="",$E555=""),"",IF(AND(($D555-$D556)&gt;($C556-$C555),($D555-$D556)&gt;0),$D555-$D556,0))</f>
        <v>0</v>
      </c>
      <c r="AG556">
        <f>IF(COUNT($E$2:$E556)&lt;15,"",IF(SUM($AC$543:$AC$556)=0,0,100*SUM($AE$543:$AE$556)/SUM($AC$543:$AC$556)))</f>
        <v>0</v>
      </c>
      <c r="AH556">
        <f>IF(COUNT($E$2:$E556)&lt;15,"",IF(SUM($AC$543:$AC$556)=0,0,100*SUM($AF$543:$AF$556)/SUM($AC$543:$AC$556)))</f>
        <v>0</v>
      </c>
      <c r="AI556">
        <f>IF(OR(AG556="",AH556=""),"",IF((AG556+AH556)=0,0,100*ABS(AG556-AH556)/(AG556+AH556)))</f>
        <v>0</v>
      </c>
      <c r="AJ556">
        <f>IF(COUNT($AI$543:$AI$556)&lt;14,"",AVERAGE($AI$543:$AI$556))</f>
        <v>0</v>
      </c>
      <c r="AK556">
        <f>IF(COUNT($E$2:$E556)&lt;20,"",AVERAGE($E$537:$E$556))</f>
        <v>0</v>
      </c>
      <c r="AL556">
        <f>IF(COUNT($E$2:$E556)&lt;20,"",STDEVP($E$537:$E$556))</f>
        <v>0</v>
      </c>
      <c r="AM556">
        <f>IF(AK556="","",AK556+2*AL556)</f>
        <v>0</v>
      </c>
      <c r="AN556">
        <f>IF(AK556="","",AK556-2*AL556)</f>
        <v>0</v>
      </c>
      <c r="AO556">
        <f>IF(OR(AM556="",AN556="",AM556=AN556),"",($E556-AN556)/(AM556-AN556))</f>
        <v>0</v>
      </c>
      <c r="AP556">
        <f>IF(OR(AM556="",AK556="",AK556=0),"",(AM556-AN556)/AK556)</f>
        <v>0</v>
      </c>
      <c r="AQ556">
        <f>IF(COUNT($E$2:$E556)&lt;20,"",MAX($C$537:$C$556))</f>
        <v>0</v>
      </c>
      <c r="AR556">
        <f>IF(COUNT($E$2:$E556)&lt;20,"",MIN($D$537:$D$556))</f>
        <v>0</v>
      </c>
      <c r="AS556">
        <f>IF(OR(AQ556="",AR556=""),"",(AQ556+AR556)/2)</f>
        <v>0</v>
      </c>
      <c r="AT556">
        <f>IF(COUNT($G$537:$G$556)&lt;20,"",STDEV($G$537:$G$556)*SQRT(252))</f>
        <v>0</v>
      </c>
      <c r="AU556">
        <f>IF(COUNT($E$2:$E556)&lt;9,"",(MAX($C$548:$C$556)+MIN($D$548:$D$556))/2)</f>
        <v>0</v>
      </c>
      <c r="AV556">
        <f>IF(COUNT($E$2:$E556)&lt;26,"",(MAX($C$531:$C$556)+MIN($D$531:$D$556))/2)</f>
        <v>0</v>
      </c>
      <c r="AW556">
        <f>IF(OR(AU556="",AV556=""),"",(AU556+AV556)/2)</f>
        <v>0</v>
      </c>
      <c r="AX556">
        <f>IF(COUNT($E$2:$E556)&lt;52,"",(MAX($C$505:$C$556)+MIN($D$505:$D$556))/2)</f>
        <v>0</v>
      </c>
      <c r="AY556">
        <f>IF(COUNT($E$2:$E556)&lt;20,"",MAX($C$457:$C$556))</f>
        <v>0</v>
      </c>
      <c r="AZ556">
        <f>IF(COUNT($E$2:$E556)&lt;20,"",MIN($D$457:$D$556))</f>
        <v>0</v>
      </c>
      <c r="BA556">
        <f>IF(COUNT($E$2:$E556)&lt;20,"",SLOPE($E$457:$E$556,$F$457:$F$556))</f>
        <v>0</v>
      </c>
      <c r="BB556">
        <f>IF(COUNT($E$2:$E556)&lt;20,"",INTERCEPT($E$457:$E$556,$F$457:$F$556))</f>
        <v>0</v>
      </c>
      <c r="BC556">
        <f>IF(OR(BA556="",BB556=""),"",BB556+BA556*F556)</f>
        <v>0</v>
      </c>
      <c r="BD556">
        <f>IF(COUNT($E$2:$E556)&lt;20,"",STEYX($E$457:$E$556,$F$457:$F$556))</f>
        <v>0</v>
      </c>
      <c r="BE556">
        <f>IF($E556="","",IF(AND(COUNT($E$557:$E$560)&gt;=4,$C556=MAX($C$552:$C$560)),$C556,""))</f>
        <v>0</v>
      </c>
      <c r="BF556">
        <f>IF($E556="","",IF(AND(COUNT($E$557:$E$560)&gt;=4,$D556=MIN($D$552:$D$560)),$D556,""))</f>
        <v>0</v>
      </c>
      <c r="BG556">
        <f>IF($A556="","",$A556-WEEKDAY($A556,2)+1)</f>
        <v>0</v>
      </c>
      <c r="BH556">
        <f>IF($A556="","",IF($A555="",1,IF(BG556&lt;&gt;BG555,1,0)))</f>
        <v>0</v>
      </c>
      <c r="BI556">
        <f>IF($A556="","",IF($A557="",1,IF(BG557&lt;&gt;BG556,1,0)))</f>
        <v>0</v>
      </c>
      <c r="BJ556">
        <f>IF($A556="","",IF(BH556=1,$B556,BJ555))</f>
        <v>0</v>
      </c>
      <c r="BK556">
        <f>IF($A556="","",IF(BH556=1,$C556,MAX($C556,BK555)))</f>
        <v>0</v>
      </c>
      <c r="BL556">
        <f>IF($A556="","",IF(BH556=1,$D556,MIN($D556,BL555)))</f>
        <v>0</v>
      </c>
      <c r="BM556">
        <f>IF($A556="","",IF(BI556=1,F556,""))</f>
        <v>0</v>
      </c>
      <c r="BN556">
        <f>IF($A556="","",DATE(YEAR($A556),MONTH($A556),1))</f>
        <v>0</v>
      </c>
      <c r="BO556">
        <f>IF($A556="","",IF($A555="",1,IF(BN556&lt;&gt;BN555,1,0)))</f>
        <v>0</v>
      </c>
      <c r="BP556">
        <f>IF($A556="","",IF($A557="",1,IF(BN557&lt;&gt;BN556,1,0)))</f>
        <v>0</v>
      </c>
      <c r="BQ556">
        <f>IF($A556="","",IF(BO556=1,$B556,BQ555))</f>
        <v>0</v>
      </c>
      <c r="BR556">
        <f>IF($A556="","",IF(BO556=1,$C556,MAX($C556,BR555)))</f>
        <v>0</v>
      </c>
      <c r="BS556">
        <f>IF($A556="","",IF(BO556=1,$D556,MIN($D556,BS555)))</f>
        <v>0</v>
      </c>
      <c r="BT556">
        <f>IF($A556="","",IF(BP556=1,F556,""))</f>
        <v>0</v>
      </c>
    </row>
    <row r="557" spans="1:72">
      <c r="A557" s="27">
        <f>IF(Data!$A557="","",Data!$A557)</f>
        <v>0</v>
      </c>
      <c r="B557">
        <f>IF(Data!$B557="","",Data!$B557)</f>
        <v>0</v>
      </c>
      <c r="C557">
        <f>IF(Data!$C557="","",Data!$C557)</f>
        <v>0</v>
      </c>
      <c r="D557">
        <f>IF(Data!$D557="","",Data!$D557)</f>
        <v>0</v>
      </c>
      <c r="E557">
        <f>IF(Data!$E557="","",Data!$E557)</f>
        <v>0</v>
      </c>
      <c r="F557">
        <f>IF($E557="","",N(F556)+1)</f>
        <v>0</v>
      </c>
      <c r="G557">
        <f>IF(OR($E557="",$E556=""),"",LN($E557/$E556))</f>
        <v>0</v>
      </c>
      <c r="H557">
        <f>IF($E557="","",IF($E556="",$E557,$E557*0.0952380952+H556*0.9047619048))</f>
        <v>0</v>
      </c>
      <c r="I557">
        <f>IF($E557="","",IF($E556="",$E557,$E557*0.0392156863+I556*0.9607843137))</f>
        <v>0</v>
      </c>
      <c r="J557">
        <f>IF($E557="","",IF($E556="",$E557,$E557*0.0198019802+J556*0.9801980198))</f>
        <v>0</v>
      </c>
      <c r="K557">
        <f>IF($E557="","",IF($E556="",$E557,$E557*0.0099502488+K556*0.9900497512))</f>
        <v>0</v>
      </c>
      <c r="L557">
        <f>IF(OR($E557="",$E556=""),"",MAX($E557-$E556,0))</f>
        <v>0</v>
      </c>
      <c r="M557">
        <f>IF(OR($E557="",$E556=""),"",MAX($E556-$E557,0))</f>
        <v>0</v>
      </c>
      <c r="N557">
        <f>IF(COUNT($E$2:$E557)&lt;15,"",IF(AVERAGE($M$544:$M$557)=0,100,100-100/(1+AVERAGE($L$544:$L$557)/AVERAGE($M$544:$M$557))))</f>
        <v>0</v>
      </c>
      <c r="O557">
        <f>IF($E557="","",IF($E556="",$E557,$E557*0.1538461538+O556*0.8461538462))</f>
        <v>0</v>
      </c>
      <c r="P557">
        <f>IF($E557="","",IF($E556="",$E557,$E557*0.0740740741+P556*0.9259259259))</f>
        <v>0</v>
      </c>
      <c r="Q557">
        <f>IF(OR(O557="",P557=""),"",O557-P557)</f>
        <v>0</v>
      </c>
      <c r="R557">
        <f>IF(Q557="","",IF(R556="",Q557,Q557*0.2000000000+R556*0.8000000000))</f>
        <v>0</v>
      </c>
      <c r="S557">
        <f>IF(OR(Q557="",R557=""),"",Q557-R557)</f>
        <v>0</v>
      </c>
      <c r="T557">
        <f>IF(COUNT($E$2:$E557)&lt;14,"",MAX($C$544:$C$557))</f>
        <v>0</v>
      </c>
      <c r="U557">
        <f>IF(COUNT($E$2:$E557)&lt;14,"",MIN($D$544:$D$557))</f>
        <v>0</v>
      </c>
      <c r="V557">
        <f>IF(OR(T557="",U557="",T557=U557),"",100*($E557-U557)/(T557-U557))</f>
        <v>0</v>
      </c>
      <c r="W557">
        <f>IF(COUNT($V$555:$V$557)&lt;3,"",AVERAGE($V$555:$V$557))</f>
        <v>0</v>
      </c>
      <c r="X557">
        <f>IF(COUNT($N$544:$N$557)&lt;14,"",MIN($N$544:$N$557))</f>
        <v>0</v>
      </c>
      <c r="Y557">
        <f>IF(COUNT($N$544:$N$557)&lt;14,"",MAX($N$544:$N$557))</f>
        <v>0</v>
      </c>
      <c r="Z557">
        <f>IF(OR(N557="",X557="",Y557="",Y557=X557),"",100*(N557-X557)/(Y557-X557))</f>
        <v>0</v>
      </c>
      <c r="AA557">
        <f>IF(COUNT($Z$555:$Z$557)&lt;3,"",AVERAGE($Z$555:$Z$557))</f>
        <v>0</v>
      </c>
      <c r="AB557">
        <f>IF(COUNT($AA$555:$AA$557)&lt;3,"",AVERAGE($AA$555:$AA$557))</f>
        <v>0</v>
      </c>
      <c r="AC557">
        <f>IF($E557="","",MAX($C557-$D557,ABS($C557-$E556),ABS($D557-$E556)))</f>
        <v>0</v>
      </c>
      <c r="AD557">
        <f>IF(COUNT($E$2:$E557)&lt;15,"",AVERAGE($AC$544:$AC$557))</f>
        <v>0</v>
      </c>
      <c r="AE557">
        <f>IF(OR($E557="",$E556=""),"",IF(AND(($C557-$C556)&gt;($D556-$D557),($C557-$C556)&gt;0),$C557-$C556,0))</f>
        <v>0</v>
      </c>
      <c r="AF557">
        <f>IF(OR($E557="",$E556=""),"",IF(AND(($D556-$D557)&gt;($C557-$C556),($D556-$D557)&gt;0),$D556-$D557,0))</f>
        <v>0</v>
      </c>
      <c r="AG557">
        <f>IF(COUNT($E$2:$E557)&lt;15,"",IF(SUM($AC$544:$AC$557)=0,0,100*SUM($AE$544:$AE$557)/SUM($AC$544:$AC$557)))</f>
        <v>0</v>
      </c>
      <c r="AH557">
        <f>IF(COUNT($E$2:$E557)&lt;15,"",IF(SUM($AC$544:$AC$557)=0,0,100*SUM($AF$544:$AF$557)/SUM($AC$544:$AC$557)))</f>
        <v>0</v>
      </c>
      <c r="AI557">
        <f>IF(OR(AG557="",AH557=""),"",IF((AG557+AH557)=0,0,100*ABS(AG557-AH557)/(AG557+AH557)))</f>
        <v>0</v>
      </c>
      <c r="AJ557">
        <f>IF(COUNT($AI$544:$AI$557)&lt;14,"",AVERAGE($AI$544:$AI$557))</f>
        <v>0</v>
      </c>
      <c r="AK557">
        <f>IF(COUNT($E$2:$E557)&lt;20,"",AVERAGE($E$538:$E$557))</f>
        <v>0</v>
      </c>
      <c r="AL557">
        <f>IF(COUNT($E$2:$E557)&lt;20,"",STDEVP($E$538:$E$557))</f>
        <v>0</v>
      </c>
      <c r="AM557">
        <f>IF(AK557="","",AK557+2*AL557)</f>
        <v>0</v>
      </c>
      <c r="AN557">
        <f>IF(AK557="","",AK557-2*AL557)</f>
        <v>0</v>
      </c>
      <c r="AO557">
        <f>IF(OR(AM557="",AN557="",AM557=AN557),"",($E557-AN557)/(AM557-AN557))</f>
        <v>0</v>
      </c>
      <c r="AP557">
        <f>IF(OR(AM557="",AK557="",AK557=0),"",(AM557-AN557)/AK557)</f>
        <v>0</v>
      </c>
      <c r="AQ557">
        <f>IF(COUNT($E$2:$E557)&lt;20,"",MAX($C$538:$C$557))</f>
        <v>0</v>
      </c>
      <c r="AR557">
        <f>IF(COUNT($E$2:$E557)&lt;20,"",MIN($D$538:$D$557))</f>
        <v>0</v>
      </c>
      <c r="AS557">
        <f>IF(OR(AQ557="",AR557=""),"",(AQ557+AR557)/2)</f>
        <v>0</v>
      </c>
      <c r="AT557">
        <f>IF(COUNT($G$538:$G$557)&lt;20,"",STDEV($G$538:$G$557)*SQRT(252))</f>
        <v>0</v>
      </c>
      <c r="AU557">
        <f>IF(COUNT($E$2:$E557)&lt;9,"",(MAX($C$549:$C$557)+MIN($D$549:$D$557))/2)</f>
        <v>0</v>
      </c>
      <c r="AV557">
        <f>IF(COUNT($E$2:$E557)&lt;26,"",(MAX($C$532:$C$557)+MIN($D$532:$D$557))/2)</f>
        <v>0</v>
      </c>
      <c r="AW557">
        <f>IF(OR(AU557="",AV557=""),"",(AU557+AV557)/2)</f>
        <v>0</v>
      </c>
      <c r="AX557">
        <f>IF(COUNT($E$2:$E557)&lt;52,"",(MAX($C$506:$C$557)+MIN($D$506:$D$557))/2)</f>
        <v>0</v>
      </c>
      <c r="AY557">
        <f>IF(COUNT($E$2:$E557)&lt;20,"",MAX($C$458:$C$557))</f>
        <v>0</v>
      </c>
      <c r="AZ557">
        <f>IF(COUNT($E$2:$E557)&lt;20,"",MIN($D$458:$D$557))</f>
        <v>0</v>
      </c>
      <c r="BA557">
        <f>IF(COUNT($E$2:$E557)&lt;20,"",SLOPE($E$458:$E$557,$F$458:$F$557))</f>
        <v>0</v>
      </c>
      <c r="BB557">
        <f>IF(COUNT($E$2:$E557)&lt;20,"",INTERCEPT($E$458:$E$557,$F$458:$F$557))</f>
        <v>0</v>
      </c>
      <c r="BC557">
        <f>IF(OR(BA557="",BB557=""),"",BB557+BA557*F557)</f>
        <v>0</v>
      </c>
      <c r="BD557">
        <f>IF(COUNT($E$2:$E557)&lt;20,"",STEYX($E$458:$E$557,$F$458:$F$557))</f>
        <v>0</v>
      </c>
      <c r="BE557">
        <f>IF($E557="","",IF(AND(COUNT($E$558:$E$561)&gt;=4,$C557=MAX($C$553:$C$561)),$C557,""))</f>
        <v>0</v>
      </c>
      <c r="BF557">
        <f>IF($E557="","",IF(AND(COUNT($E$558:$E$561)&gt;=4,$D557=MIN($D$553:$D$561)),$D557,""))</f>
        <v>0</v>
      </c>
      <c r="BG557">
        <f>IF($A557="","",$A557-WEEKDAY($A557,2)+1)</f>
        <v>0</v>
      </c>
      <c r="BH557">
        <f>IF($A557="","",IF($A556="",1,IF(BG557&lt;&gt;BG556,1,0)))</f>
        <v>0</v>
      </c>
      <c r="BI557">
        <f>IF($A557="","",IF($A558="",1,IF(BG558&lt;&gt;BG557,1,0)))</f>
        <v>0</v>
      </c>
      <c r="BJ557">
        <f>IF($A557="","",IF(BH557=1,$B557,BJ556))</f>
        <v>0</v>
      </c>
      <c r="BK557">
        <f>IF($A557="","",IF(BH557=1,$C557,MAX($C557,BK556)))</f>
        <v>0</v>
      </c>
      <c r="BL557">
        <f>IF($A557="","",IF(BH557=1,$D557,MIN($D557,BL556)))</f>
        <v>0</v>
      </c>
      <c r="BM557">
        <f>IF($A557="","",IF(BI557=1,F557,""))</f>
        <v>0</v>
      </c>
      <c r="BN557">
        <f>IF($A557="","",DATE(YEAR($A557),MONTH($A557),1))</f>
        <v>0</v>
      </c>
      <c r="BO557">
        <f>IF($A557="","",IF($A556="",1,IF(BN557&lt;&gt;BN556,1,0)))</f>
        <v>0</v>
      </c>
      <c r="BP557">
        <f>IF($A557="","",IF($A558="",1,IF(BN558&lt;&gt;BN557,1,0)))</f>
        <v>0</v>
      </c>
      <c r="BQ557">
        <f>IF($A557="","",IF(BO557=1,$B557,BQ556))</f>
        <v>0</v>
      </c>
      <c r="BR557">
        <f>IF($A557="","",IF(BO557=1,$C557,MAX($C557,BR556)))</f>
        <v>0</v>
      </c>
      <c r="BS557">
        <f>IF($A557="","",IF(BO557=1,$D557,MIN($D557,BS556)))</f>
        <v>0</v>
      </c>
      <c r="BT557">
        <f>IF($A557="","",IF(BP557=1,F557,""))</f>
        <v>0</v>
      </c>
    </row>
    <row r="558" spans="1:72">
      <c r="A558" s="27">
        <f>IF(Data!$A558="","",Data!$A558)</f>
        <v>0</v>
      </c>
      <c r="B558">
        <f>IF(Data!$B558="","",Data!$B558)</f>
        <v>0</v>
      </c>
      <c r="C558">
        <f>IF(Data!$C558="","",Data!$C558)</f>
        <v>0</v>
      </c>
      <c r="D558">
        <f>IF(Data!$D558="","",Data!$D558)</f>
        <v>0</v>
      </c>
      <c r="E558">
        <f>IF(Data!$E558="","",Data!$E558)</f>
        <v>0</v>
      </c>
      <c r="F558">
        <f>IF($E558="","",N(F557)+1)</f>
        <v>0</v>
      </c>
      <c r="G558">
        <f>IF(OR($E558="",$E557=""),"",LN($E558/$E557))</f>
        <v>0</v>
      </c>
      <c r="H558">
        <f>IF($E558="","",IF($E557="",$E558,$E558*0.0952380952+H557*0.9047619048))</f>
        <v>0</v>
      </c>
      <c r="I558">
        <f>IF($E558="","",IF($E557="",$E558,$E558*0.0392156863+I557*0.9607843137))</f>
        <v>0</v>
      </c>
      <c r="J558">
        <f>IF($E558="","",IF($E557="",$E558,$E558*0.0198019802+J557*0.9801980198))</f>
        <v>0</v>
      </c>
      <c r="K558">
        <f>IF($E558="","",IF($E557="",$E558,$E558*0.0099502488+K557*0.9900497512))</f>
        <v>0</v>
      </c>
      <c r="L558">
        <f>IF(OR($E558="",$E557=""),"",MAX($E558-$E557,0))</f>
        <v>0</v>
      </c>
      <c r="M558">
        <f>IF(OR($E558="",$E557=""),"",MAX($E557-$E558,0))</f>
        <v>0</v>
      </c>
      <c r="N558">
        <f>IF(COUNT($E$2:$E558)&lt;15,"",IF(AVERAGE($M$545:$M$558)=0,100,100-100/(1+AVERAGE($L$545:$L$558)/AVERAGE($M$545:$M$558))))</f>
        <v>0</v>
      </c>
      <c r="O558">
        <f>IF($E558="","",IF($E557="",$E558,$E558*0.1538461538+O557*0.8461538462))</f>
        <v>0</v>
      </c>
      <c r="P558">
        <f>IF($E558="","",IF($E557="",$E558,$E558*0.0740740741+P557*0.9259259259))</f>
        <v>0</v>
      </c>
      <c r="Q558">
        <f>IF(OR(O558="",P558=""),"",O558-P558)</f>
        <v>0</v>
      </c>
      <c r="R558">
        <f>IF(Q558="","",IF(R557="",Q558,Q558*0.2000000000+R557*0.8000000000))</f>
        <v>0</v>
      </c>
      <c r="S558">
        <f>IF(OR(Q558="",R558=""),"",Q558-R558)</f>
        <v>0</v>
      </c>
      <c r="T558">
        <f>IF(COUNT($E$2:$E558)&lt;14,"",MAX($C$545:$C$558))</f>
        <v>0</v>
      </c>
      <c r="U558">
        <f>IF(COUNT($E$2:$E558)&lt;14,"",MIN($D$545:$D$558))</f>
        <v>0</v>
      </c>
      <c r="V558">
        <f>IF(OR(T558="",U558="",T558=U558),"",100*($E558-U558)/(T558-U558))</f>
        <v>0</v>
      </c>
      <c r="W558">
        <f>IF(COUNT($V$556:$V$558)&lt;3,"",AVERAGE($V$556:$V$558))</f>
        <v>0</v>
      </c>
      <c r="X558">
        <f>IF(COUNT($N$545:$N$558)&lt;14,"",MIN($N$545:$N$558))</f>
        <v>0</v>
      </c>
      <c r="Y558">
        <f>IF(COUNT($N$545:$N$558)&lt;14,"",MAX($N$545:$N$558))</f>
        <v>0</v>
      </c>
      <c r="Z558">
        <f>IF(OR(N558="",X558="",Y558="",Y558=X558),"",100*(N558-X558)/(Y558-X558))</f>
        <v>0</v>
      </c>
      <c r="AA558">
        <f>IF(COUNT($Z$556:$Z$558)&lt;3,"",AVERAGE($Z$556:$Z$558))</f>
        <v>0</v>
      </c>
      <c r="AB558">
        <f>IF(COUNT($AA$556:$AA$558)&lt;3,"",AVERAGE($AA$556:$AA$558))</f>
        <v>0</v>
      </c>
      <c r="AC558">
        <f>IF($E558="","",MAX($C558-$D558,ABS($C558-$E557),ABS($D558-$E557)))</f>
        <v>0</v>
      </c>
      <c r="AD558">
        <f>IF(COUNT($E$2:$E558)&lt;15,"",AVERAGE($AC$545:$AC$558))</f>
        <v>0</v>
      </c>
      <c r="AE558">
        <f>IF(OR($E558="",$E557=""),"",IF(AND(($C558-$C557)&gt;($D557-$D558),($C558-$C557)&gt;0),$C558-$C557,0))</f>
        <v>0</v>
      </c>
      <c r="AF558">
        <f>IF(OR($E558="",$E557=""),"",IF(AND(($D557-$D558)&gt;($C558-$C557),($D557-$D558)&gt;0),$D557-$D558,0))</f>
        <v>0</v>
      </c>
      <c r="AG558">
        <f>IF(COUNT($E$2:$E558)&lt;15,"",IF(SUM($AC$545:$AC$558)=0,0,100*SUM($AE$545:$AE$558)/SUM($AC$545:$AC$558)))</f>
        <v>0</v>
      </c>
      <c r="AH558">
        <f>IF(COUNT($E$2:$E558)&lt;15,"",IF(SUM($AC$545:$AC$558)=0,0,100*SUM($AF$545:$AF$558)/SUM($AC$545:$AC$558)))</f>
        <v>0</v>
      </c>
      <c r="AI558">
        <f>IF(OR(AG558="",AH558=""),"",IF((AG558+AH558)=0,0,100*ABS(AG558-AH558)/(AG558+AH558)))</f>
        <v>0</v>
      </c>
      <c r="AJ558">
        <f>IF(COUNT($AI$545:$AI$558)&lt;14,"",AVERAGE($AI$545:$AI$558))</f>
        <v>0</v>
      </c>
      <c r="AK558">
        <f>IF(COUNT($E$2:$E558)&lt;20,"",AVERAGE($E$539:$E$558))</f>
        <v>0</v>
      </c>
      <c r="AL558">
        <f>IF(COUNT($E$2:$E558)&lt;20,"",STDEVP($E$539:$E$558))</f>
        <v>0</v>
      </c>
      <c r="AM558">
        <f>IF(AK558="","",AK558+2*AL558)</f>
        <v>0</v>
      </c>
      <c r="AN558">
        <f>IF(AK558="","",AK558-2*AL558)</f>
        <v>0</v>
      </c>
      <c r="AO558">
        <f>IF(OR(AM558="",AN558="",AM558=AN558),"",($E558-AN558)/(AM558-AN558))</f>
        <v>0</v>
      </c>
      <c r="AP558">
        <f>IF(OR(AM558="",AK558="",AK558=0),"",(AM558-AN558)/AK558)</f>
        <v>0</v>
      </c>
      <c r="AQ558">
        <f>IF(COUNT($E$2:$E558)&lt;20,"",MAX($C$539:$C$558))</f>
        <v>0</v>
      </c>
      <c r="AR558">
        <f>IF(COUNT($E$2:$E558)&lt;20,"",MIN($D$539:$D$558))</f>
        <v>0</v>
      </c>
      <c r="AS558">
        <f>IF(OR(AQ558="",AR558=""),"",(AQ558+AR558)/2)</f>
        <v>0</v>
      </c>
      <c r="AT558">
        <f>IF(COUNT($G$539:$G$558)&lt;20,"",STDEV($G$539:$G$558)*SQRT(252))</f>
        <v>0</v>
      </c>
      <c r="AU558">
        <f>IF(COUNT($E$2:$E558)&lt;9,"",(MAX($C$550:$C$558)+MIN($D$550:$D$558))/2)</f>
        <v>0</v>
      </c>
      <c r="AV558">
        <f>IF(COUNT($E$2:$E558)&lt;26,"",(MAX($C$533:$C$558)+MIN($D$533:$D$558))/2)</f>
        <v>0</v>
      </c>
      <c r="AW558">
        <f>IF(OR(AU558="",AV558=""),"",(AU558+AV558)/2)</f>
        <v>0</v>
      </c>
      <c r="AX558">
        <f>IF(COUNT($E$2:$E558)&lt;52,"",(MAX($C$507:$C$558)+MIN($D$507:$D$558))/2)</f>
        <v>0</v>
      </c>
      <c r="AY558">
        <f>IF(COUNT($E$2:$E558)&lt;20,"",MAX($C$459:$C$558))</f>
        <v>0</v>
      </c>
      <c r="AZ558">
        <f>IF(COUNT($E$2:$E558)&lt;20,"",MIN($D$459:$D$558))</f>
        <v>0</v>
      </c>
      <c r="BA558">
        <f>IF(COUNT($E$2:$E558)&lt;20,"",SLOPE($E$459:$E$558,$F$459:$F$558))</f>
        <v>0</v>
      </c>
      <c r="BB558">
        <f>IF(COUNT($E$2:$E558)&lt;20,"",INTERCEPT($E$459:$E$558,$F$459:$F$558))</f>
        <v>0</v>
      </c>
      <c r="BC558">
        <f>IF(OR(BA558="",BB558=""),"",BB558+BA558*F558)</f>
        <v>0</v>
      </c>
      <c r="BD558">
        <f>IF(COUNT($E$2:$E558)&lt;20,"",STEYX($E$459:$E$558,$F$459:$F$558))</f>
        <v>0</v>
      </c>
      <c r="BE558">
        <f>IF($E558="","",IF(AND(COUNT($E$559:$E$562)&gt;=4,$C558=MAX($C$554:$C$562)),$C558,""))</f>
        <v>0</v>
      </c>
      <c r="BF558">
        <f>IF($E558="","",IF(AND(COUNT($E$559:$E$562)&gt;=4,$D558=MIN($D$554:$D$562)),$D558,""))</f>
        <v>0</v>
      </c>
      <c r="BG558">
        <f>IF($A558="","",$A558-WEEKDAY($A558,2)+1)</f>
        <v>0</v>
      </c>
      <c r="BH558">
        <f>IF($A558="","",IF($A557="",1,IF(BG558&lt;&gt;BG557,1,0)))</f>
        <v>0</v>
      </c>
      <c r="BI558">
        <f>IF($A558="","",IF($A559="",1,IF(BG559&lt;&gt;BG558,1,0)))</f>
        <v>0</v>
      </c>
      <c r="BJ558">
        <f>IF($A558="","",IF(BH558=1,$B558,BJ557))</f>
        <v>0</v>
      </c>
      <c r="BK558">
        <f>IF($A558="","",IF(BH558=1,$C558,MAX($C558,BK557)))</f>
        <v>0</v>
      </c>
      <c r="BL558">
        <f>IF($A558="","",IF(BH558=1,$D558,MIN($D558,BL557)))</f>
        <v>0</v>
      </c>
      <c r="BM558">
        <f>IF($A558="","",IF(BI558=1,F558,""))</f>
        <v>0</v>
      </c>
      <c r="BN558">
        <f>IF($A558="","",DATE(YEAR($A558),MONTH($A558),1))</f>
        <v>0</v>
      </c>
      <c r="BO558">
        <f>IF($A558="","",IF($A557="",1,IF(BN558&lt;&gt;BN557,1,0)))</f>
        <v>0</v>
      </c>
      <c r="BP558">
        <f>IF($A558="","",IF($A559="",1,IF(BN559&lt;&gt;BN558,1,0)))</f>
        <v>0</v>
      </c>
      <c r="BQ558">
        <f>IF($A558="","",IF(BO558=1,$B558,BQ557))</f>
        <v>0</v>
      </c>
      <c r="BR558">
        <f>IF($A558="","",IF(BO558=1,$C558,MAX($C558,BR557)))</f>
        <v>0</v>
      </c>
      <c r="BS558">
        <f>IF($A558="","",IF(BO558=1,$D558,MIN($D558,BS557)))</f>
        <v>0</v>
      </c>
      <c r="BT558">
        <f>IF($A558="","",IF(BP558=1,F558,""))</f>
        <v>0</v>
      </c>
    </row>
    <row r="559" spans="1:72">
      <c r="A559" s="27">
        <f>IF(Data!$A559="","",Data!$A559)</f>
        <v>0</v>
      </c>
      <c r="B559">
        <f>IF(Data!$B559="","",Data!$B559)</f>
        <v>0</v>
      </c>
      <c r="C559">
        <f>IF(Data!$C559="","",Data!$C559)</f>
        <v>0</v>
      </c>
      <c r="D559">
        <f>IF(Data!$D559="","",Data!$D559)</f>
        <v>0</v>
      </c>
      <c r="E559">
        <f>IF(Data!$E559="","",Data!$E559)</f>
        <v>0</v>
      </c>
      <c r="F559">
        <f>IF($E559="","",N(F558)+1)</f>
        <v>0</v>
      </c>
      <c r="G559">
        <f>IF(OR($E559="",$E558=""),"",LN($E559/$E558))</f>
        <v>0</v>
      </c>
      <c r="H559">
        <f>IF($E559="","",IF($E558="",$E559,$E559*0.0952380952+H558*0.9047619048))</f>
        <v>0</v>
      </c>
      <c r="I559">
        <f>IF($E559="","",IF($E558="",$E559,$E559*0.0392156863+I558*0.9607843137))</f>
        <v>0</v>
      </c>
      <c r="J559">
        <f>IF($E559="","",IF($E558="",$E559,$E559*0.0198019802+J558*0.9801980198))</f>
        <v>0</v>
      </c>
      <c r="K559">
        <f>IF($E559="","",IF($E558="",$E559,$E559*0.0099502488+K558*0.9900497512))</f>
        <v>0</v>
      </c>
      <c r="L559">
        <f>IF(OR($E559="",$E558=""),"",MAX($E559-$E558,0))</f>
        <v>0</v>
      </c>
      <c r="M559">
        <f>IF(OR($E559="",$E558=""),"",MAX($E558-$E559,0))</f>
        <v>0</v>
      </c>
      <c r="N559">
        <f>IF(COUNT($E$2:$E559)&lt;15,"",IF(AVERAGE($M$546:$M$559)=0,100,100-100/(1+AVERAGE($L$546:$L$559)/AVERAGE($M$546:$M$559))))</f>
        <v>0</v>
      </c>
      <c r="O559">
        <f>IF($E559="","",IF($E558="",$E559,$E559*0.1538461538+O558*0.8461538462))</f>
        <v>0</v>
      </c>
      <c r="P559">
        <f>IF($E559="","",IF($E558="",$E559,$E559*0.0740740741+P558*0.9259259259))</f>
        <v>0</v>
      </c>
      <c r="Q559">
        <f>IF(OR(O559="",P559=""),"",O559-P559)</f>
        <v>0</v>
      </c>
      <c r="R559">
        <f>IF(Q559="","",IF(R558="",Q559,Q559*0.2000000000+R558*0.8000000000))</f>
        <v>0</v>
      </c>
      <c r="S559">
        <f>IF(OR(Q559="",R559=""),"",Q559-R559)</f>
        <v>0</v>
      </c>
      <c r="T559">
        <f>IF(COUNT($E$2:$E559)&lt;14,"",MAX($C$546:$C$559))</f>
        <v>0</v>
      </c>
      <c r="U559">
        <f>IF(COUNT($E$2:$E559)&lt;14,"",MIN($D$546:$D$559))</f>
        <v>0</v>
      </c>
      <c r="V559">
        <f>IF(OR(T559="",U559="",T559=U559),"",100*($E559-U559)/(T559-U559))</f>
        <v>0</v>
      </c>
      <c r="W559">
        <f>IF(COUNT($V$557:$V$559)&lt;3,"",AVERAGE($V$557:$V$559))</f>
        <v>0</v>
      </c>
      <c r="X559">
        <f>IF(COUNT($N$546:$N$559)&lt;14,"",MIN($N$546:$N$559))</f>
        <v>0</v>
      </c>
      <c r="Y559">
        <f>IF(COUNT($N$546:$N$559)&lt;14,"",MAX($N$546:$N$559))</f>
        <v>0</v>
      </c>
      <c r="Z559">
        <f>IF(OR(N559="",X559="",Y559="",Y559=X559),"",100*(N559-X559)/(Y559-X559))</f>
        <v>0</v>
      </c>
      <c r="AA559">
        <f>IF(COUNT($Z$557:$Z$559)&lt;3,"",AVERAGE($Z$557:$Z$559))</f>
        <v>0</v>
      </c>
      <c r="AB559">
        <f>IF(COUNT($AA$557:$AA$559)&lt;3,"",AVERAGE($AA$557:$AA$559))</f>
        <v>0</v>
      </c>
      <c r="AC559">
        <f>IF($E559="","",MAX($C559-$D559,ABS($C559-$E558),ABS($D559-$E558)))</f>
        <v>0</v>
      </c>
      <c r="AD559">
        <f>IF(COUNT($E$2:$E559)&lt;15,"",AVERAGE($AC$546:$AC$559))</f>
        <v>0</v>
      </c>
      <c r="AE559">
        <f>IF(OR($E559="",$E558=""),"",IF(AND(($C559-$C558)&gt;($D558-$D559),($C559-$C558)&gt;0),$C559-$C558,0))</f>
        <v>0</v>
      </c>
      <c r="AF559">
        <f>IF(OR($E559="",$E558=""),"",IF(AND(($D558-$D559)&gt;($C559-$C558),($D558-$D559)&gt;0),$D558-$D559,0))</f>
        <v>0</v>
      </c>
      <c r="AG559">
        <f>IF(COUNT($E$2:$E559)&lt;15,"",IF(SUM($AC$546:$AC$559)=0,0,100*SUM($AE$546:$AE$559)/SUM($AC$546:$AC$559)))</f>
        <v>0</v>
      </c>
      <c r="AH559">
        <f>IF(COUNT($E$2:$E559)&lt;15,"",IF(SUM($AC$546:$AC$559)=0,0,100*SUM($AF$546:$AF$559)/SUM($AC$546:$AC$559)))</f>
        <v>0</v>
      </c>
      <c r="AI559">
        <f>IF(OR(AG559="",AH559=""),"",IF((AG559+AH559)=0,0,100*ABS(AG559-AH559)/(AG559+AH559)))</f>
        <v>0</v>
      </c>
      <c r="AJ559">
        <f>IF(COUNT($AI$546:$AI$559)&lt;14,"",AVERAGE($AI$546:$AI$559))</f>
        <v>0</v>
      </c>
      <c r="AK559">
        <f>IF(COUNT($E$2:$E559)&lt;20,"",AVERAGE($E$540:$E$559))</f>
        <v>0</v>
      </c>
      <c r="AL559">
        <f>IF(COUNT($E$2:$E559)&lt;20,"",STDEVP($E$540:$E$559))</f>
        <v>0</v>
      </c>
      <c r="AM559">
        <f>IF(AK559="","",AK559+2*AL559)</f>
        <v>0</v>
      </c>
      <c r="AN559">
        <f>IF(AK559="","",AK559-2*AL559)</f>
        <v>0</v>
      </c>
      <c r="AO559">
        <f>IF(OR(AM559="",AN559="",AM559=AN559),"",($E559-AN559)/(AM559-AN559))</f>
        <v>0</v>
      </c>
      <c r="AP559">
        <f>IF(OR(AM559="",AK559="",AK559=0),"",(AM559-AN559)/AK559)</f>
        <v>0</v>
      </c>
      <c r="AQ559">
        <f>IF(COUNT($E$2:$E559)&lt;20,"",MAX($C$540:$C$559))</f>
        <v>0</v>
      </c>
      <c r="AR559">
        <f>IF(COUNT($E$2:$E559)&lt;20,"",MIN($D$540:$D$559))</f>
        <v>0</v>
      </c>
      <c r="AS559">
        <f>IF(OR(AQ559="",AR559=""),"",(AQ559+AR559)/2)</f>
        <v>0</v>
      </c>
      <c r="AT559">
        <f>IF(COUNT($G$540:$G$559)&lt;20,"",STDEV($G$540:$G$559)*SQRT(252))</f>
        <v>0</v>
      </c>
      <c r="AU559">
        <f>IF(COUNT($E$2:$E559)&lt;9,"",(MAX($C$551:$C$559)+MIN($D$551:$D$559))/2)</f>
        <v>0</v>
      </c>
      <c r="AV559">
        <f>IF(COUNT($E$2:$E559)&lt;26,"",(MAX($C$534:$C$559)+MIN($D$534:$D$559))/2)</f>
        <v>0</v>
      </c>
      <c r="AW559">
        <f>IF(OR(AU559="",AV559=""),"",(AU559+AV559)/2)</f>
        <v>0</v>
      </c>
      <c r="AX559">
        <f>IF(COUNT($E$2:$E559)&lt;52,"",(MAX($C$508:$C$559)+MIN($D$508:$D$559))/2)</f>
        <v>0</v>
      </c>
      <c r="AY559">
        <f>IF(COUNT($E$2:$E559)&lt;20,"",MAX($C$460:$C$559))</f>
        <v>0</v>
      </c>
      <c r="AZ559">
        <f>IF(COUNT($E$2:$E559)&lt;20,"",MIN($D$460:$D$559))</f>
        <v>0</v>
      </c>
      <c r="BA559">
        <f>IF(COUNT($E$2:$E559)&lt;20,"",SLOPE($E$460:$E$559,$F$460:$F$559))</f>
        <v>0</v>
      </c>
      <c r="BB559">
        <f>IF(COUNT($E$2:$E559)&lt;20,"",INTERCEPT($E$460:$E$559,$F$460:$F$559))</f>
        <v>0</v>
      </c>
      <c r="BC559">
        <f>IF(OR(BA559="",BB559=""),"",BB559+BA559*F559)</f>
        <v>0</v>
      </c>
      <c r="BD559">
        <f>IF(COUNT($E$2:$E559)&lt;20,"",STEYX($E$460:$E$559,$F$460:$F$559))</f>
        <v>0</v>
      </c>
      <c r="BE559">
        <f>IF($E559="","",IF(AND(COUNT($E$560:$E$563)&gt;=4,$C559=MAX($C$555:$C$563)),$C559,""))</f>
        <v>0</v>
      </c>
      <c r="BF559">
        <f>IF($E559="","",IF(AND(COUNT($E$560:$E$563)&gt;=4,$D559=MIN($D$555:$D$563)),$D559,""))</f>
        <v>0</v>
      </c>
      <c r="BG559">
        <f>IF($A559="","",$A559-WEEKDAY($A559,2)+1)</f>
        <v>0</v>
      </c>
      <c r="BH559">
        <f>IF($A559="","",IF($A558="",1,IF(BG559&lt;&gt;BG558,1,0)))</f>
        <v>0</v>
      </c>
      <c r="BI559">
        <f>IF($A559="","",IF($A560="",1,IF(BG560&lt;&gt;BG559,1,0)))</f>
        <v>0</v>
      </c>
      <c r="BJ559">
        <f>IF($A559="","",IF(BH559=1,$B559,BJ558))</f>
        <v>0</v>
      </c>
      <c r="BK559">
        <f>IF($A559="","",IF(BH559=1,$C559,MAX($C559,BK558)))</f>
        <v>0</v>
      </c>
      <c r="BL559">
        <f>IF($A559="","",IF(BH559=1,$D559,MIN($D559,BL558)))</f>
        <v>0</v>
      </c>
      <c r="BM559">
        <f>IF($A559="","",IF(BI559=1,F559,""))</f>
        <v>0</v>
      </c>
      <c r="BN559">
        <f>IF($A559="","",DATE(YEAR($A559),MONTH($A559),1))</f>
        <v>0</v>
      </c>
      <c r="BO559">
        <f>IF($A559="","",IF($A558="",1,IF(BN559&lt;&gt;BN558,1,0)))</f>
        <v>0</v>
      </c>
      <c r="BP559">
        <f>IF($A559="","",IF($A560="",1,IF(BN560&lt;&gt;BN559,1,0)))</f>
        <v>0</v>
      </c>
      <c r="BQ559">
        <f>IF($A559="","",IF(BO559=1,$B559,BQ558))</f>
        <v>0</v>
      </c>
      <c r="BR559">
        <f>IF($A559="","",IF(BO559=1,$C559,MAX($C559,BR558)))</f>
        <v>0</v>
      </c>
      <c r="BS559">
        <f>IF($A559="","",IF(BO559=1,$D559,MIN($D559,BS558)))</f>
        <v>0</v>
      </c>
      <c r="BT559">
        <f>IF($A559="","",IF(BP559=1,F559,""))</f>
        <v>0</v>
      </c>
    </row>
    <row r="560" spans="1:72">
      <c r="A560" s="27">
        <f>IF(Data!$A560="","",Data!$A560)</f>
        <v>0</v>
      </c>
      <c r="B560">
        <f>IF(Data!$B560="","",Data!$B560)</f>
        <v>0</v>
      </c>
      <c r="C560">
        <f>IF(Data!$C560="","",Data!$C560)</f>
        <v>0</v>
      </c>
      <c r="D560">
        <f>IF(Data!$D560="","",Data!$D560)</f>
        <v>0</v>
      </c>
      <c r="E560">
        <f>IF(Data!$E560="","",Data!$E560)</f>
        <v>0</v>
      </c>
      <c r="F560">
        <f>IF($E560="","",N(F559)+1)</f>
        <v>0</v>
      </c>
      <c r="G560">
        <f>IF(OR($E560="",$E559=""),"",LN($E560/$E559))</f>
        <v>0</v>
      </c>
      <c r="H560">
        <f>IF($E560="","",IF($E559="",$E560,$E560*0.0952380952+H559*0.9047619048))</f>
        <v>0</v>
      </c>
      <c r="I560">
        <f>IF($E560="","",IF($E559="",$E560,$E560*0.0392156863+I559*0.9607843137))</f>
        <v>0</v>
      </c>
      <c r="J560">
        <f>IF($E560="","",IF($E559="",$E560,$E560*0.0198019802+J559*0.9801980198))</f>
        <v>0</v>
      </c>
      <c r="K560">
        <f>IF($E560="","",IF($E559="",$E560,$E560*0.0099502488+K559*0.9900497512))</f>
        <v>0</v>
      </c>
      <c r="L560">
        <f>IF(OR($E560="",$E559=""),"",MAX($E560-$E559,0))</f>
        <v>0</v>
      </c>
      <c r="M560">
        <f>IF(OR($E560="",$E559=""),"",MAX($E559-$E560,0))</f>
        <v>0</v>
      </c>
      <c r="N560">
        <f>IF(COUNT($E$2:$E560)&lt;15,"",IF(AVERAGE($M$547:$M$560)=0,100,100-100/(1+AVERAGE($L$547:$L$560)/AVERAGE($M$547:$M$560))))</f>
        <v>0</v>
      </c>
      <c r="O560">
        <f>IF($E560="","",IF($E559="",$E560,$E560*0.1538461538+O559*0.8461538462))</f>
        <v>0</v>
      </c>
      <c r="P560">
        <f>IF($E560="","",IF($E559="",$E560,$E560*0.0740740741+P559*0.9259259259))</f>
        <v>0</v>
      </c>
      <c r="Q560">
        <f>IF(OR(O560="",P560=""),"",O560-P560)</f>
        <v>0</v>
      </c>
      <c r="R560">
        <f>IF(Q560="","",IF(R559="",Q560,Q560*0.2000000000+R559*0.8000000000))</f>
        <v>0</v>
      </c>
      <c r="S560">
        <f>IF(OR(Q560="",R560=""),"",Q560-R560)</f>
        <v>0</v>
      </c>
      <c r="T560">
        <f>IF(COUNT($E$2:$E560)&lt;14,"",MAX($C$547:$C$560))</f>
        <v>0</v>
      </c>
      <c r="U560">
        <f>IF(COUNT($E$2:$E560)&lt;14,"",MIN($D$547:$D$560))</f>
        <v>0</v>
      </c>
      <c r="V560">
        <f>IF(OR(T560="",U560="",T560=U560),"",100*($E560-U560)/(T560-U560))</f>
        <v>0</v>
      </c>
      <c r="W560">
        <f>IF(COUNT($V$558:$V$560)&lt;3,"",AVERAGE($V$558:$V$560))</f>
        <v>0</v>
      </c>
      <c r="X560">
        <f>IF(COUNT($N$547:$N$560)&lt;14,"",MIN($N$547:$N$560))</f>
        <v>0</v>
      </c>
      <c r="Y560">
        <f>IF(COUNT($N$547:$N$560)&lt;14,"",MAX($N$547:$N$560))</f>
        <v>0</v>
      </c>
      <c r="Z560">
        <f>IF(OR(N560="",X560="",Y560="",Y560=X560),"",100*(N560-X560)/(Y560-X560))</f>
        <v>0</v>
      </c>
      <c r="AA560">
        <f>IF(COUNT($Z$558:$Z$560)&lt;3,"",AVERAGE($Z$558:$Z$560))</f>
        <v>0</v>
      </c>
      <c r="AB560">
        <f>IF(COUNT($AA$558:$AA$560)&lt;3,"",AVERAGE($AA$558:$AA$560))</f>
        <v>0</v>
      </c>
      <c r="AC560">
        <f>IF($E560="","",MAX($C560-$D560,ABS($C560-$E559),ABS($D560-$E559)))</f>
        <v>0</v>
      </c>
      <c r="AD560">
        <f>IF(COUNT($E$2:$E560)&lt;15,"",AVERAGE($AC$547:$AC$560))</f>
        <v>0</v>
      </c>
      <c r="AE560">
        <f>IF(OR($E560="",$E559=""),"",IF(AND(($C560-$C559)&gt;($D559-$D560),($C560-$C559)&gt;0),$C560-$C559,0))</f>
        <v>0</v>
      </c>
      <c r="AF560">
        <f>IF(OR($E560="",$E559=""),"",IF(AND(($D559-$D560)&gt;($C560-$C559),($D559-$D560)&gt;0),$D559-$D560,0))</f>
        <v>0</v>
      </c>
      <c r="AG560">
        <f>IF(COUNT($E$2:$E560)&lt;15,"",IF(SUM($AC$547:$AC$560)=0,0,100*SUM($AE$547:$AE$560)/SUM($AC$547:$AC$560)))</f>
        <v>0</v>
      </c>
      <c r="AH560">
        <f>IF(COUNT($E$2:$E560)&lt;15,"",IF(SUM($AC$547:$AC$560)=0,0,100*SUM($AF$547:$AF$560)/SUM($AC$547:$AC$560)))</f>
        <v>0</v>
      </c>
      <c r="AI560">
        <f>IF(OR(AG560="",AH560=""),"",IF((AG560+AH560)=0,0,100*ABS(AG560-AH560)/(AG560+AH560)))</f>
        <v>0</v>
      </c>
      <c r="AJ560">
        <f>IF(COUNT($AI$547:$AI$560)&lt;14,"",AVERAGE($AI$547:$AI$560))</f>
        <v>0</v>
      </c>
      <c r="AK560">
        <f>IF(COUNT($E$2:$E560)&lt;20,"",AVERAGE($E$541:$E$560))</f>
        <v>0</v>
      </c>
      <c r="AL560">
        <f>IF(COUNT($E$2:$E560)&lt;20,"",STDEVP($E$541:$E$560))</f>
        <v>0</v>
      </c>
      <c r="AM560">
        <f>IF(AK560="","",AK560+2*AL560)</f>
        <v>0</v>
      </c>
      <c r="AN560">
        <f>IF(AK560="","",AK560-2*AL560)</f>
        <v>0</v>
      </c>
      <c r="AO560">
        <f>IF(OR(AM560="",AN560="",AM560=AN560),"",($E560-AN560)/(AM560-AN560))</f>
        <v>0</v>
      </c>
      <c r="AP560">
        <f>IF(OR(AM560="",AK560="",AK560=0),"",(AM560-AN560)/AK560)</f>
        <v>0</v>
      </c>
      <c r="AQ560">
        <f>IF(COUNT($E$2:$E560)&lt;20,"",MAX($C$541:$C$560))</f>
        <v>0</v>
      </c>
      <c r="AR560">
        <f>IF(COUNT($E$2:$E560)&lt;20,"",MIN($D$541:$D$560))</f>
        <v>0</v>
      </c>
      <c r="AS560">
        <f>IF(OR(AQ560="",AR560=""),"",(AQ560+AR560)/2)</f>
        <v>0</v>
      </c>
      <c r="AT560">
        <f>IF(COUNT($G$541:$G$560)&lt;20,"",STDEV($G$541:$G$560)*SQRT(252))</f>
        <v>0</v>
      </c>
      <c r="AU560">
        <f>IF(COUNT($E$2:$E560)&lt;9,"",(MAX($C$552:$C$560)+MIN($D$552:$D$560))/2)</f>
        <v>0</v>
      </c>
      <c r="AV560">
        <f>IF(COUNT($E$2:$E560)&lt;26,"",(MAX($C$535:$C$560)+MIN($D$535:$D$560))/2)</f>
        <v>0</v>
      </c>
      <c r="AW560">
        <f>IF(OR(AU560="",AV560=""),"",(AU560+AV560)/2)</f>
        <v>0</v>
      </c>
      <c r="AX560">
        <f>IF(COUNT($E$2:$E560)&lt;52,"",(MAX($C$509:$C$560)+MIN($D$509:$D$560))/2)</f>
        <v>0</v>
      </c>
      <c r="AY560">
        <f>IF(COUNT($E$2:$E560)&lt;20,"",MAX($C$461:$C$560))</f>
        <v>0</v>
      </c>
      <c r="AZ560">
        <f>IF(COUNT($E$2:$E560)&lt;20,"",MIN($D$461:$D$560))</f>
        <v>0</v>
      </c>
      <c r="BA560">
        <f>IF(COUNT($E$2:$E560)&lt;20,"",SLOPE($E$461:$E$560,$F$461:$F$560))</f>
        <v>0</v>
      </c>
      <c r="BB560">
        <f>IF(COUNT($E$2:$E560)&lt;20,"",INTERCEPT($E$461:$E$560,$F$461:$F$560))</f>
        <v>0</v>
      </c>
      <c r="BC560">
        <f>IF(OR(BA560="",BB560=""),"",BB560+BA560*F560)</f>
        <v>0</v>
      </c>
      <c r="BD560">
        <f>IF(COUNT($E$2:$E560)&lt;20,"",STEYX($E$461:$E$560,$F$461:$F$560))</f>
        <v>0</v>
      </c>
      <c r="BE560">
        <f>IF($E560="","",IF(AND(COUNT($E$561:$E$564)&gt;=4,$C560=MAX($C$556:$C$564)),$C560,""))</f>
        <v>0</v>
      </c>
      <c r="BF560">
        <f>IF($E560="","",IF(AND(COUNT($E$561:$E$564)&gt;=4,$D560=MIN($D$556:$D$564)),$D560,""))</f>
        <v>0</v>
      </c>
      <c r="BG560">
        <f>IF($A560="","",$A560-WEEKDAY($A560,2)+1)</f>
        <v>0</v>
      </c>
      <c r="BH560">
        <f>IF($A560="","",IF($A559="",1,IF(BG560&lt;&gt;BG559,1,0)))</f>
        <v>0</v>
      </c>
      <c r="BI560">
        <f>IF($A560="","",IF($A561="",1,IF(BG561&lt;&gt;BG560,1,0)))</f>
        <v>0</v>
      </c>
      <c r="BJ560">
        <f>IF($A560="","",IF(BH560=1,$B560,BJ559))</f>
        <v>0</v>
      </c>
      <c r="BK560">
        <f>IF($A560="","",IF(BH560=1,$C560,MAX($C560,BK559)))</f>
        <v>0</v>
      </c>
      <c r="BL560">
        <f>IF($A560="","",IF(BH560=1,$D560,MIN($D560,BL559)))</f>
        <v>0</v>
      </c>
      <c r="BM560">
        <f>IF($A560="","",IF(BI560=1,F560,""))</f>
        <v>0</v>
      </c>
      <c r="BN560">
        <f>IF($A560="","",DATE(YEAR($A560),MONTH($A560),1))</f>
        <v>0</v>
      </c>
      <c r="BO560">
        <f>IF($A560="","",IF($A559="",1,IF(BN560&lt;&gt;BN559,1,0)))</f>
        <v>0</v>
      </c>
      <c r="BP560">
        <f>IF($A560="","",IF($A561="",1,IF(BN561&lt;&gt;BN560,1,0)))</f>
        <v>0</v>
      </c>
      <c r="BQ560">
        <f>IF($A560="","",IF(BO560=1,$B560,BQ559))</f>
        <v>0</v>
      </c>
      <c r="BR560">
        <f>IF($A560="","",IF(BO560=1,$C560,MAX($C560,BR559)))</f>
        <v>0</v>
      </c>
      <c r="BS560">
        <f>IF($A560="","",IF(BO560=1,$D560,MIN($D560,BS559)))</f>
        <v>0</v>
      </c>
      <c r="BT560">
        <f>IF($A560="","",IF(BP560=1,F560,""))</f>
        <v>0</v>
      </c>
    </row>
    <row r="561" spans="1:72">
      <c r="A561" s="27">
        <f>IF(Data!$A561="","",Data!$A561)</f>
        <v>0</v>
      </c>
      <c r="B561">
        <f>IF(Data!$B561="","",Data!$B561)</f>
        <v>0</v>
      </c>
      <c r="C561">
        <f>IF(Data!$C561="","",Data!$C561)</f>
        <v>0</v>
      </c>
      <c r="D561">
        <f>IF(Data!$D561="","",Data!$D561)</f>
        <v>0</v>
      </c>
      <c r="E561">
        <f>IF(Data!$E561="","",Data!$E561)</f>
        <v>0</v>
      </c>
      <c r="F561">
        <f>IF($E561="","",N(F560)+1)</f>
        <v>0</v>
      </c>
      <c r="G561">
        <f>IF(OR($E561="",$E560=""),"",LN($E561/$E560))</f>
        <v>0</v>
      </c>
      <c r="H561">
        <f>IF($E561="","",IF($E560="",$E561,$E561*0.0952380952+H560*0.9047619048))</f>
        <v>0</v>
      </c>
      <c r="I561">
        <f>IF($E561="","",IF($E560="",$E561,$E561*0.0392156863+I560*0.9607843137))</f>
        <v>0</v>
      </c>
      <c r="J561">
        <f>IF($E561="","",IF($E560="",$E561,$E561*0.0198019802+J560*0.9801980198))</f>
        <v>0</v>
      </c>
      <c r="K561">
        <f>IF($E561="","",IF($E560="",$E561,$E561*0.0099502488+K560*0.9900497512))</f>
        <v>0</v>
      </c>
      <c r="L561">
        <f>IF(OR($E561="",$E560=""),"",MAX($E561-$E560,0))</f>
        <v>0</v>
      </c>
      <c r="M561">
        <f>IF(OR($E561="",$E560=""),"",MAX($E560-$E561,0))</f>
        <v>0</v>
      </c>
      <c r="N561">
        <f>IF(COUNT($E$2:$E561)&lt;15,"",IF(AVERAGE($M$548:$M$561)=0,100,100-100/(1+AVERAGE($L$548:$L$561)/AVERAGE($M$548:$M$561))))</f>
        <v>0</v>
      </c>
      <c r="O561">
        <f>IF($E561="","",IF($E560="",$E561,$E561*0.1538461538+O560*0.8461538462))</f>
        <v>0</v>
      </c>
      <c r="P561">
        <f>IF($E561="","",IF($E560="",$E561,$E561*0.0740740741+P560*0.9259259259))</f>
        <v>0</v>
      </c>
      <c r="Q561">
        <f>IF(OR(O561="",P561=""),"",O561-P561)</f>
        <v>0</v>
      </c>
      <c r="R561">
        <f>IF(Q561="","",IF(R560="",Q561,Q561*0.2000000000+R560*0.8000000000))</f>
        <v>0</v>
      </c>
      <c r="S561">
        <f>IF(OR(Q561="",R561=""),"",Q561-R561)</f>
        <v>0</v>
      </c>
      <c r="T561">
        <f>IF(COUNT($E$2:$E561)&lt;14,"",MAX($C$548:$C$561))</f>
        <v>0</v>
      </c>
      <c r="U561">
        <f>IF(COUNT($E$2:$E561)&lt;14,"",MIN($D$548:$D$561))</f>
        <v>0</v>
      </c>
      <c r="V561">
        <f>IF(OR(T561="",U561="",T561=U561),"",100*($E561-U561)/(T561-U561))</f>
        <v>0</v>
      </c>
      <c r="W561">
        <f>IF(COUNT($V$559:$V$561)&lt;3,"",AVERAGE($V$559:$V$561))</f>
        <v>0</v>
      </c>
      <c r="X561">
        <f>IF(COUNT($N$548:$N$561)&lt;14,"",MIN($N$548:$N$561))</f>
        <v>0</v>
      </c>
      <c r="Y561">
        <f>IF(COUNT($N$548:$N$561)&lt;14,"",MAX($N$548:$N$561))</f>
        <v>0</v>
      </c>
      <c r="Z561">
        <f>IF(OR(N561="",X561="",Y561="",Y561=X561),"",100*(N561-X561)/(Y561-X561))</f>
        <v>0</v>
      </c>
      <c r="AA561">
        <f>IF(COUNT($Z$559:$Z$561)&lt;3,"",AVERAGE($Z$559:$Z$561))</f>
        <v>0</v>
      </c>
      <c r="AB561">
        <f>IF(COUNT($AA$559:$AA$561)&lt;3,"",AVERAGE($AA$559:$AA$561))</f>
        <v>0</v>
      </c>
      <c r="AC561">
        <f>IF($E561="","",MAX($C561-$D561,ABS($C561-$E560),ABS($D561-$E560)))</f>
        <v>0</v>
      </c>
      <c r="AD561">
        <f>IF(COUNT($E$2:$E561)&lt;15,"",AVERAGE($AC$548:$AC$561))</f>
        <v>0</v>
      </c>
      <c r="AE561">
        <f>IF(OR($E561="",$E560=""),"",IF(AND(($C561-$C560)&gt;($D560-$D561),($C561-$C560)&gt;0),$C561-$C560,0))</f>
        <v>0</v>
      </c>
      <c r="AF561">
        <f>IF(OR($E561="",$E560=""),"",IF(AND(($D560-$D561)&gt;($C561-$C560),($D560-$D561)&gt;0),$D560-$D561,0))</f>
        <v>0</v>
      </c>
      <c r="AG561">
        <f>IF(COUNT($E$2:$E561)&lt;15,"",IF(SUM($AC$548:$AC$561)=0,0,100*SUM($AE$548:$AE$561)/SUM($AC$548:$AC$561)))</f>
        <v>0</v>
      </c>
      <c r="AH561">
        <f>IF(COUNT($E$2:$E561)&lt;15,"",IF(SUM($AC$548:$AC$561)=0,0,100*SUM($AF$548:$AF$561)/SUM($AC$548:$AC$561)))</f>
        <v>0</v>
      </c>
      <c r="AI561">
        <f>IF(OR(AG561="",AH561=""),"",IF((AG561+AH561)=0,0,100*ABS(AG561-AH561)/(AG561+AH561)))</f>
        <v>0</v>
      </c>
      <c r="AJ561">
        <f>IF(COUNT($AI$548:$AI$561)&lt;14,"",AVERAGE($AI$548:$AI$561))</f>
        <v>0</v>
      </c>
      <c r="AK561">
        <f>IF(COUNT($E$2:$E561)&lt;20,"",AVERAGE($E$542:$E$561))</f>
        <v>0</v>
      </c>
      <c r="AL561">
        <f>IF(COUNT($E$2:$E561)&lt;20,"",STDEVP($E$542:$E$561))</f>
        <v>0</v>
      </c>
      <c r="AM561">
        <f>IF(AK561="","",AK561+2*AL561)</f>
        <v>0</v>
      </c>
      <c r="AN561">
        <f>IF(AK561="","",AK561-2*AL561)</f>
        <v>0</v>
      </c>
      <c r="AO561">
        <f>IF(OR(AM561="",AN561="",AM561=AN561),"",($E561-AN561)/(AM561-AN561))</f>
        <v>0</v>
      </c>
      <c r="AP561">
        <f>IF(OR(AM561="",AK561="",AK561=0),"",(AM561-AN561)/AK561)</f>
        <v>0</v>
      </c>
      <c r="AQ561">
        <f>IF(COUNT($E$2:$E561)&lt;20,"",MAX($C$542:$C$561))</f>
        <v>0</v>
      </c>
      <c r="AR561">
        <f>IF(COUNT($E$2:$E561)&lt;20,"",MIN($D$542:$D$561))</f>
        <v>0</v>
      </c>
      <c r="AS561">
        <f>IF(OR(AQ561="",AR561=""),"",(AQ561+AR561)/2)</f>
        <v>0</v>
      </c>
      <c r="AT561">
        <f>IF(COUNT($G$542:$G$561)&lt;20,"",STDEV($G$542:$G$561)*SQRT(252))</f>
        <v>0</v>
      </c>
      <c r="AU561">
        <f>IF(COUNT($E$2:$E561)&lt;9,"",(MAX($C$553:$C$561)+MIN($D$553:$D$561))/2)</f>
        <v>0</v>
      </c>
      <c r="AV561">
        <f>IF(COUNT($E$2:$E561)&lt;26,"",(MAX($C$536:$C$561)+MIN($D$536:$D$561))/2)</f>
        <v>0</v>
      </c>
      <c r="AW561">
        <f>IF(OR(AU561="",AV561=""),"",(AU561+AV561)/2)</f>
        <v>0</v>
      </c>
      <c r="AX561">
        <f>IF(COUNT($E$2:$E561)&lt;52,"",(MAX($C$510:$C$561)+MIN($D$510:$D$561))/2)</f>
        <v>0</v>
      </c>
      <c r="AY561">
        <f>IF(COUNT($E$2:$E561)&lt;20,"",MAX($C$462:$C$561))</f>
        <v>0</v>
      </c>
      <c r="AZ561">
        <f>IF(COUNT($E$2:$E561)&lt;20,"",MIN($D$462:$D$561))</f>
        <v>0</v>
      </c>
      <c r="BA561">
        <f>IF(COUNT($E$2:$E561)&lt;20,"",SLOPE($E$462:$E$561,$F$462:$F$561))</f>
        <v>0</v>
      </c>
      <c r="BB561">
        <f>IF(COUNT($E$2:$E561)&lt;20,"",INTERCEPT($E$462:$E$561,$F$462:$F$561))</f>
        <v>0</v>
      </c>
      <c r="BC561">
        <f>IF(OR(BA561="",BB561=""),"",BB561+BA561*F561)</f>
        <v>0</v>
      </c>
      <c r="BD561">
        <f>IF(COUNT($E$2:$E561)&lt;20,"",STEYX($E$462:$E$561,$F$462:$F$561))</f>
        <v>0</v>
      </c>
      <c r="BE561">
        <f>IF($E561="","",IF(AND(COUNT($E$562:$E$565)&gt;=4,$C561=MAX($C$557:$C$565)),$C561,""))</f>
        <v>0</v>
      </c>
      <c r="BF561">
        <f>IF($E561="","",IF(AND(COUNT($E$562:$E$565)&gt;=4,$D561=MIN($D$557:$D$565)),$D561,""))</f>
        <v>0</v>
      </c>
      <c r="BG561">
        <f>IF($A561="","",$A561-WEEKDAY($A561,2)+1)</f>
        <v>0</v>
      </c>
      <c r="BH561">
        <f>IF($A561="","",IF($A560="",1,IF(BG561&lt;&gt;BG560,1,0)))</f>
        <v>0</v>
      </c>
      <c r="BI561">
        <f>IF($A561="","",IF($A562="",1,IF(BG562&lt;&gt;BG561,1,0)))</f>
        <v>0</v>
      </c>
      <c r="BJ561">
        <f>IF($A561="","",IF(BH561=1,$B561,BJ560))</f>
        <v>0</v>
      </c>
      <c r="BK561">
        <f>IF($A561="","",IF(BH561=1,$C561,MAX($C561,BK560)))</f>
        <v>0</v>
      </c>
      <c r="BL561">
        <f>IF($A561="","",IF(BH561=1,$D561,MIN($D561,BL560)))</f>
        <v>0</v>
      </c>
      <c r="BM561">
        <f>IF($A561="","",IF(BI561=1,F561,""))</f>
        <v>0</v>
      </c>
      <c r="BN561">
        <f>IF($A561="","",DATE(YEAR($A561),MONTH($A561),1))</f>
        <v>0</v>
      </c>
      <c r="BO561">
        <f>IF($A561="","",IF($A560="",1,IF(BN561&lt;&gt;BN560,1,0)))</f>
        <v>0</v>
      </c>
      <c r="BP561">
        <f>IF($A561="","",IF($A562="",1,IF(BN562&lt;&gt;BN561,1,0)))</f>
        <v>0</v>
      </c>
      <c r="BQ561">
        <f>IF($A561="","",IF(BO561=1,$B561,BQ560))</f>
        <v>0</v>
      </c>
      <c r="BR561">
        <f>IF($A561="","",IF(BO561=1,$C561,MAX($C561,BR560)))</f>
        <v>0</v>
      </c>
      <c r="BS561">
        <f>IF($A561="","",IF(BO561=1,$D561,MIN($D561,BS560)))</f>
        <v>0</v>
      </c>
      <c r="BT561">
        <f>IF($A561="","",IF(BP561=1,F561,""))</f>
        <v>0</v>
      </c>
    </row>
    <row r="562" spans="1:72">
      <c r="A562" s="27">
        <f>IF(Data!$A562="","",Data!$A562)</f>
        <v>0</v>
      </c>
      <c r="B562">
        <f>IF(Data!$B562="","",Data!$B562)</f>
        <v>0</v>
      </c>
      <c r="C562">
        <f>IF(Data!$C562="","",Data!$C562)</f>
        <v>0</v>
      </c>
      <c r="D562">
        <f>IF(Data!$D562="","",Data!$D562)</f>
        <v>0</v>
      </c>
      <c r="E562">
        <f>IF(Data!$E562="","",Data!$E562)</f>
        <v>0</v>
      </c>
      <c r="F562">
        <f>IF($E562="","",N(F561)+1)</f>
        <v>0</v>
      </c>
      <c r="G562">
        <f>IF(OR($E562="",$E561=""),"",LN($E562/$E561))</f>
        <v>0</v>
      </c>
      <c r="H562">
        <f>IF($E562="","",IF($E561="",$E562,$E562*0.0952380952+H561*0.9047619048))</f>
        <v>0</v>
      </c>
      <c r="I562">
        <f>IF($E562="","",IF($E561="",$E562,$E562*0.0392156863+I561*0.9607843137))</f>
        <v>0</v>
      </c>
      <c r="J562">
        <f>IF($E562="","",IF($E561="",$E562,$E562*0.0198019802+J561*0.9801980198))</f>
        <v>0</v>
      </c>
      <c r="K562">
        <f>IF($E562="","",IF($E561="",$E562,$E562*0.0099502488+K561*0.9900497512))</f>
        <v>0</v>
      </c>
      <c r="L562">
        <f>IF(OR($E562="",$E561=""),"",MAX($E562-$E561,0))</f>
        <v>0</v>
      </c>
      <c r="M562">
        <f>IF(OR($E562="",$E561=""),"",MAX($E561-$E562,0))</f>
        <v>0</v>
      </c>
      <c r="N562">
        <f>IF(COUNT($E$2:$E562)&lt;15,"",IF(AVERAGE($M$549:$M$562)=0,100,100-100/(1+AVERAGE($L$549:$L$562)/AVERAGE($M$549:$M$562))))</f>
        <v>0</v>
      </c>
      <c r="O562">
        <f>IF($E562="","",IF($E561="",$E562,$E562*0.1538461538+O561*0.8461538462))</f>
        <v>0</v>
      </c>
      <c r="P562">
        <f>IF($E562="","",IF($E561="",$E562,$E562*0.0740740741+P561*0.9259259259))</f>
        <v>0</v>
      </c>
      <c r="Q562">
        <f>IF(OR(O562="",P562=""),"",O562-P562)</f>
        <v>0</v>
      </c>
      <c r="R562">
        <f>IF(Q562="","",IF(R561="",Q562,Q562*0.2000000000+R561*0.8000000000))</f>
        <v>0</v>
      </c>
      <c r="S562">
        <f>IF(OR(Q562="",R562=""),"",Q562-R562)</f>
        <v>0</v>
      </c>
      <c r="T562">
        <f>IF(COUNT($E$2:$E562)&lt;14,"",MAX($C$549:$C$562))</f>
        <v>0</v>
      </c>
      <c r="U562">
        <f>IF(COUNT($E$2:$E562)&lt;14,"",MIN($D$549:$D$562))</f>
        <v>0</v>
      </c>
      <c r="V562">
        <f>IF(OR(T562="",U562="",T562=U562),"",100*($E562-U562)/(T562-U562))</f>
        <v>0</v>
      </c>
      <c r="W562">
        <f>IF(COUNT($V$560:$V$562)&lt;3,"",AVERAGE($V$560:$V$562))</f>
        <v>0</v>
      </c>
      <c r="X562">
        <f>IF(COUNT($N$549:$N$562)&lt;14,"",MIN($N$549:$N$562))</f>
        <v>0</v>
      </c>
      <c r="Y562">
        <f>IF(COUNT($N$549:$N$562)&lt;14,"",MAX($N$549:$N$562))</f>
        <v>0</v>
      </c>
      <c r="Z562">
        <f>IF(OR(N562="",X562="",Y562="",Y562=X562),"",100*(N562-X562)/(Y562-X562))</f>
        <v>0</v>
      </c>
      <c r="AA562">
        <f>IF(COUNT($Z$560:$Z$562)&lt;3,"",AVERAGE($Z$560:$Z$562))</f>
        <v>0</v>
      </c>
      <c r="AB562">
        <f>IF(COUNT($AA$560:$AA$562)&lt;3,"",AVERAGE($AA$560:$AA$562))</f>
        <v>0</v>
      </c>
      <c r="AC562">
        <f>IF($E562="","",MAX($C562-$D562,ABS($C562-$E561),ABS($D562-$E561)))</f>
        <v>0</v>
      </c>
      <c r="AD562">
        <f>IF(COUNT($E$2:$E562)&lt;15,"",AVERAGE($AC$549:$AC$562))</f>
        <v>0</v>
      </c>
      <c r="AE562">
        <f>IF(OR($E562="",$E561=""),"",IF(AND(($C562-$C561)&gt;($D561-$D562),($C562-$C561)&gt;0),$C562-$C561,0))</f>
        <v>0</v>
      </c>
      <c r="AF562">
        <f>IF(OR($E562="",$E561=""),"",IF(AND(($D561-$D562)&gt;($C562-$C561),($D561-$D562)&gt;0),$D561-$D562,0))</f>
        <v>0</v>
      </c>
      <c r="AG562">
        <f>IF(COUNT($E$2:$E562)&lt;15,"",IF(SUM($AC$549:$AC$562)=0,0,100*SUM($AE$549:$AE$562)/SUM($AC$549:$AC$562)))</f>
        <v>0</v>
      </c>
      <c r="AH562">
        <f>IF(COUNT($E$2:$E562)&lt;15,"",IF(SUM($AC$549:$AC$562)=0,0,100*SUM($AF$549:$AF$562)/SUM($AC$549:$AC$562)))</f>
        <v>0</v>
      </c>
      <c r="AI562">
        <f>IF(OR(AG562="",AH562=""),"",IF((AG562+AH562)=0,0,100*ABS(AG562-AH562)/(AG562+AH562)))</f>
        <v>0</v>
      </c>
      <c r="AJ562">
        <f>IF(COUNT($AI$549:$AI$562)&lt;14,"",AVERAGE($AI$549:$AI$562))</f>
        <v>0</v>
      </c>
      <c r="AK562">
        <f>IF(COUNT($E$2:$E562)&lt;20,"",AVERAGE($E$543:$E$562))</f>
        <v>0</v>
      </c>
      <c r="AL562">
        <f>IF(COUNT($E$2:$E562)&lt;20,"",STDEVP($E$543:$E$562))</f>
        <v>0</v>
      </c>
      <c r="AM562">
        <f>IF(AK562="","",AK562+2*AL562)</f>
        <v>0</v>
      </c>
      <c r="AN562">
        <f>IF(AK562="","",AK562-2*AL562)</f>
        <v>0</v>
      </c>
      <c r="AO562">
        <f>IF(OR(AM562="",AN562="",AM562=AN562),"",($E562-AN562)/(AM562-AN562))</f>
        <v>0</v>
      </c>
      <c r="AP562">
        <f>IF(OR(AM562="",AK562="",AK562=0),"",(AM562-AN562)/AK562)</f>
        <v>0</v>
      </c>
      <c r="AQ562">
        <f>IF(COUNT($E$2:$E562)&lt;20,"",MAX($C$543:$C$562))</f>
        <v>0</v>
      </c>
      <c r="AR562">
        <f>IF(COUNT($E$2:$E562)&lt;20,"",MIN($D$543:$D$562))</f>
        <v>0</v>
      </c>
      <c r="AS562">
        <f>IF(OR(AQ562="",AR562=""),"",(AQ562+AR562)/2)</f>
        <v>0</v>
      </c>
      <c r="AT562">
        <f>IF(COUNT($G$543:$G$562)&lt;20,"",STDEV($G$543:$G$562)*SQRT(252))</f>
        <v>0</v>
      </c>
      <c r="AU562">
        <f>IF(COUNT($E$2:$E562)&lt;9,"",(MAX($C$554:$C$562)+MIN($D$554:$D$562))/2)</f>
        <v>0</v>
      </c>
      <c r="AV562">
        <f>IF(COUNT($E$2:$E562)&lt;26,"",(MAX($C$537:$C$562)+MIN($D$537:$D$562))/2)</f>
        <v>0</v>
      </c>
      <c r="AW562">
        <f>IF(OR(AU562="",AV562=""),"",(AU562+AV562)/2)</f>
        <v>0</v>
      </c>
      <c r="AX562">
        <f>IF(COUNT($E$2:$E562)&lt;52,"",(MAX($C$511:$C$562)+MIN($D$511:$D$562))/2)</f>
        <v>0</v>
      </c>
      <c r="AY562">
        <f>IF(COUNT($E$2:$E562)&lt;20,"",MAX($C$463:$C$562))</f>
        <v>0</v>
      </c>
      <c r="AZ562">
        <f>IF(COUNT($E$2:$E562)&lt;20,"",MIN($D$463:$D$562))</f>
        <v>0</v>
      </c>
      <c r="BA562">
        <f>IF(COUNT($E$2:$E562)&lt;20,"",SLOPE($E$463:$E$562,$F$463:$F$562))</f>
        <v>0</v>
      </c>
      <c r="BB562">
        <f>IF(COUNT($E$2:$E562)&lt;20,"",INTERCEPT($E$463:$E$562,$F$463:$F$562))</f>
        <v>0</v>
      </c>
      <c r="BC562">
        <f>IF(OR(BA562="",BB562=""),"",BB562+BA562*F562)</f>
        <v>0</v>
      </c>
      <c r="BD562">
        <f>IF(COUNT($E$2:$E562)&lt;20,"",STEYX($E$463:$E$562,$F$463:$F$562))</f>
        <v>0</v>
      </c>
      <c r="BE562">
        <f>IF($E562="","",IF(AND(COUNT($E$563:$E$566)&gt;=4,$C562=MAX($C$558:$C$566)),$C562,""))</f>
        <v>0</v>
      </c>
      <c r="BF562">
        <f>IF($E562="","",IF(AND(COUNT($E$563:$E$566)&gt;=4,$D562=MIN($D$558:$D$566)),$D562,""))</f>
        <v>0</v>
      </c>
      <c r="BG562">
        <f>IF($A562="","",$A562-WEEKDAY($A562,2)+1)</f>
        <v>0</v>
      </c>
      <c r="BH562">
        <f>IF($A562="","",IF($A561="",1,IF(BG562&lt;&gt;BG561,1,0)))</f>
        <v>0</v>
      </c>
      <c r="BI562">
        <f>IF($A562="","",IF($A563="",1,IF(BG563&lt;&gt;BG562,1,0)))</f>
        <v>0</v>
      </c>
      <c r="BJ562">
        <f>IF($A562="","",IF(BH562=1,$B562,BJ561))</f>
        <v>0</v>
      </c>
      <c r="BK562">
        <f>IF($A562="","",IF(BH562=1,$C562,MAX($C562,BK561)))</f>
        <v>0</v>
      </c>
      <c r="BL562">
        <f>IF($A562="","",IF(BH562=1,$D562,MIN($D562,BL561)))</f>
        <v>0</v>
      </c>
      <c r="BM562">
        <f>IF($A562="","",IF(BI562=1,F562,""))</f>
        <v>0</v>
      </c>
      <c r="BN562">
        <f>IF($A562="","",DATE(YEAR($A562),MONTH($A562),1))</f>
        <v>0</v>
      </c>
      <c r="BO562">
        <f>IF($A562="","",IF($A561="",1,IF(BN562&lt;&gt;BN561,1,0)))</f>
        <v>0</v>
      </c>
      <c r="BP562">
        <f>IF($A562="","",IF($A563="",1,IF(BN563&lt;&gt;BN562,1,0)))</f>
        <v>0</v>
      </c>
      <c r="BQ562">
        <f>IF($A562="","",IF(BO562=1,$B562,BQ561))</f>
        <v>0</v>
      </c>
      <c r="BR562">
        <f>IF($A562="","",IF(BO562=1,$C562,MAX($C562,BR561)))</f>
        <v>0</v>
      </c>
      <c r="BS562">
        <f>IF($A562="","",IF(BO562=1,$D562,MIN($D562,BS561)))</f>
        <v>0</v>
      </c>
      <c r="BT562">
        <f>IF($A562="","",IF(BP562=1,F562,""))</f>
        <v>0</v>
      </c>
    </row>
    <row r="563" spans="1:72">
      <c r="A563" s="27">
        <f>IF(Data!$A563="","",Data!$A563)</f>
        <v>0</v>
      </c>
      <c r="B563">
        <f>IF(Data!$B563="","",Data!$B563)</f>
        <v>0</v>
      </c>
      <c r="C563">
        <f>IF(Data!$C563="","",Data!$C563)</f>
        <v>0</v>
      </c>
      <c r="D563">
        <f>IF(Data!$D563="","",Data!$D563)</f>
        <v>0</v>
      </c>
      <c r="E563">
        <f>IF(Data!$E563="","",Data!$E563)</f>
        <v>0</v>
      </c>
      <c r="F563">
        <f>IF($E563="","",N(F562)+1)</f>
        <v>0</v>
      </c>
      <c r="G563">
        <f>IF(OR($E563="",$E562=""),"",LN($E563/$E562))</f>
        <v>0</v>
      </c>
      <c r="H563">
        <f>IF($E563="","",IF($E562="",$E563,$E563*0.0952380952+H562*0.9047619048))</f>
        <v>0</v>
      </c>
      <c r="I563">
        <f>IF($E563="","",IF($E562="",$E563,$E563*0.0392156863+I562*0.9607843137))</f>
        <v>0</v>
      </c>
      <c r="J563">
        <f>IF($E563="","",IF($E562="",$E563,$E563*0.0198019802+J562*0.9801980198))</f>
        <v>0</v>
      </c>
      <c r="K563">
        <f>IF($E563="","",IF($E562="",$E563,$E563*0.0099502488+K562*0.9900497512))</f>
        <v>0</v>
      </c>
      <c r="L563">
        <f>IF(OR($E563="",$E562=""),"",MAX($E563-$E562,0))</f>
        <v>0</v>
      </c>
      <c r="M563">
        <f>IF(OR($E563="",$E562=""),"",MAX($E562-$E563,0))</f>
        <v>0</v>
      </c>
      <c r="N563">
        <f>IF(COUNT($E$2:$E563)&lt;15,"",IF(AVERAGE($M$550:$M$563)=0,100,100-100/(1+AVERAGE($L$550:$L$563)/AVERAGE($M$550:$M$563))))</f>
        <v>0</v>
      </c>
      <c r="O563">
        <f>IF($E563="","",IF($E562="",$E563,$E563*0.1538461538+O562*0.8461538462))</f>
        <v>0</v>
      </c>
      <c r="P563">
        <f>IF($E563="","",IF($E562="",$E563,$E563*0.0740740741+P562*0.9259259259))</f>
        <v>0</v>
      </c>
      <c r="Q563">
        <f>IF(OR(O563="",P563=""),"",O563-P563)</f>
        <v>0</v>
      </c>
      <c r="R563">
        <f>IF(Q563="","",IF(R562="",Q563,Q563*0.2000000000+R562*0.8000000000))</f>
        <v>0</v>
      </c>
      <c r="S563">
        <f>IF(OR(Q563="",R563=""),"",Q563-R563)</f>
        <v>0</v>
      </c>
      <c r="T563">
        <f>IF(COUNT($E$2:$E563)&lt;14,"",MAX($C$550:$C$563))</f>
        <v>0</v>
      </c>
      <c r="U563">
        <f>IF(COUNT($E$2:$E563)&lt;14,"",MIN($D$550:$D$563))</f>
        <v>0</v>
      </c>
      <c r="V563">
        <f>IF(OR(T563="",U563="",T563=U563),"",100*($E563-U563)/(T563-U563))</f>
        <v>0</v>
      </c>
      <c r="W563">
        <f>IF(COUNT($V$561:$V$563)&lt;3,"",AVERAGE($V$561:$V$563))</f>
        <v>0</v>
      </c>
      <c r="X563">
        <f>IF(COUNT($N$550:$N$563)&lt;14,"",MIN($N$550:$N$563))</f>
        <v>0</v>
      </c>
      <c r="Y563">
        <f>IF(COUNT($N$550:$N$563)&lt;14,"",MAX($N$550:$N$563))</f>
        <v>0</v>
      </c>
      <c r="Z563">
        <f>IF(OR(N563="",X563="",Y563="",Y563=X563),"",100*(N563-X563)/(Y563-X563))</f>
        <v>0</v>
      </c>
      <c r="AA563">
        <f>IF(COUNT($Z$561:$Z$563)&lt;3,"",AVERAGE($Z$561:$Z$563))</f>
        <v>0</v>
      </c>
      <c r="AB563">
        <f>IF(COUNT($AA$561:$AA$563)&lt;3,"",AVERAGE($AA$561:$AA$563))</f>
        <v>0</v>
      </c>
      <c r="AC563">
        <f>IF($E563="","",MAX($C563-$D563,ABS($C563-$E562),ABS($D563-$E562)))</f>
        <v>0</v>
      </c>
      <c r="AD563">
        <f>IF(COUNT($E$2:$E563)&lt;15,"",AVERAGE($AC$550:$AC$563))</f>
        <v>0</v>
      </c>
      <c r="AE563">
        <f>IF(OR($E563="",$E562=""),"",IF(AND(($C563-$C562)&gt;($D562-$D563),($C563-$C562)&gt;0),$C563-$C562,0))</f>
        <v>0</v>
      </c>
      <c r="AF563">
        <f>IF(OR($E563="",$E562=""),"",IF(AND(($D562-$D563)&gt;($C563-$C562),($D562-$D563)&gt;0),$D562-$D563,0))</f>
        <v>0</v>
      </c>
      <c r="AG563">
        <f>IF(COUNT($E$2:$E563)&lt;15,"",IF(SUM($AC$550:$AC$563)=0,0,100*SUM($AE$550:$AE$563)/SUM($AC$550:$AC$563)))</f>
        <v>0</v>
      </c>
      <c r="AH563">
        <f>IF(COUNT($E$2:$E563)&lt;15,"",IF(SUM($AC$550:$AC$563)=0,0,100*SUM($AF$550:$AF$563)/SUM($AC$550:$AC$563)))</f>
        <v>0</v>
      </c>
      <c r="AI563">
        <f>IF(OR(AG563="",AH563=""),"",IF((AG563+AH563)=0,0,100*ABS(AG563-AH563)/(AG563+AH563)))</f>
        <v>0</v>
      </c>
      <c r="AJ563">
        <f>IF(COUNT($AI$550:$AI$563)&lt;14,"",AVERAGE($AI$550:$AI$563))</f>
        <v>0</v>
      </c>
      <c r="AK563">
        <f>IF(COUNT($E$2:$E563)&lt;20,"",AVERAGE($E$544:$E$563))</f>
        <v>0</v>
      </c>
      <c r="AL563">
        <f>IF(COUNT($E$2:$E563)&lt;20,"",STDEVP($E$544:$E$563))</f>
        <v>0</v>
      </c>
      <c r="AM563">
        <f>IF(AK563="","",AK563+2*AL563)</f>
        <v>0</v>
      </c>
      <c r="AN563">
        <f>IF(AK563="","",AK563-2*AL563)</f>
        <v>0</v>
      </c>
      <c r="AO563">
        <f>IF(OR(AM563="",AN563="",AM563=AN563),"",($E563-AN563)/(AM563-AN563))</f>
        <v>0</v>
      </c>
      <c r="AP563">
        <f>IF(OR(AM563="",AK563="",AK563=0),"",(AM563-AN563)/AK563)</f>
        <v>0</v>
      </c>
      <c r="AQ563">
        <f>IF(COUNT($E$2:$E563)&lt;20,"",MAX($C$544:$C$563))</f>
        <v>0</v>
      </c>
      <c r="AR563">
        <f>IF(COUNT($E$2:$E563)&lt;20,"",MIN($D$544:$D$563))</f>
        <v>0</v>
      </c>
      <c r="AS563">
        <f>IF(OR(AQ563="",AR563=""),"",(AQ563+AR563)/2)</f>
        <v>0</v>
      </c>
      <c r="AT563">
        <f>IF(COUNT($G$544:$G$563)&lt;20,"",STDEV($G$544:$G$563)*SQRT(252))</f>
        <v>0</v>
      </c>
      <c r="AU563">
        <f>IF(COUNT($E$2:$E563)&lt;9,"",(MAX($C$555:$C$563)+MIN($D$555:$D$563))/2)</f>
        <v>0</v>
      </c>
      <c r="AV563">
        <f>IF(COUNT($E$2:$E563)&lt;26,"",(MAX($C$538:$C$563)+MIN($D$538:$D$563))/2)</f>
        <v>0</v>
      </c>
      <c r="AW563">
        <f>IF(OR(AU563="",AV563=""),"",(AU563+AV563)/2)</f>
        <v>0</v>
      </c>
      <c r="AX563">
        <f>IF(COUNT($E$2:$E563)&lt;52,"",(MAX($C$512:$C$563)+MIN($D$512:$D$563))/2)</f>
        <v>0</v>
      </c>
      <c r="AY563">
        <f>IF(COUNT($E$2:$E563)&lt;20,"",MAX($C$464:$C$563))</f>
        <v>0</v>
      </c>
      <c r="AZ563">
        <f>IF(COUNT($E$2:$E563)&lt;20,"",MIN($D$464:$D$563))</f>
        <v>0</v>
      </c>
      <c r="BA563">
        <f>IF(COUNT($E$2:$E563)&lt;20,"",SLOPE($E$464:$E$563,$F$464:$F$563))</f>
        <v>0</v>
      </c>
      <c r="BB563">
        <f>IF(COUNT($E$2:$E563)&lt;20,"",INTERCEPT($E$464:$E$563,$F$464:$F$563))</f>
        <v>0</v>
      </c>
      <c r="BC563">
        <f>IF(OR(BA563="",BB563=""),"",BB563+BA563*F563)</f>
        <v>0</v>
      </c>
      <c r="BD563">
        <f>IF(COUNT($E$2:$E563)&lt;20,"",STEYX($E$464:$E$563,$F$464:$F$563))</f>
        <v>0</v>
      </c>
      <c r="BE563">
        <f>IF($E563="","",IF(AND(COUNT($E$564:$E$567)&gt;=4,$C563=MAX($C$559:$C$567)),$C563,""))</f>
        <v>0</v>
      </c>
      <c r="BF563">
        <f>IF($E563="","",IF(AND(COUNT($E$564:$E$567)&gt;=4,$D563=MIN($D$559:$D$567)),$D563,""))</f>
        <v>0</v>
      </c>
      <c r="BG563">
        <f>IF($A563="","",$A563-WEEKDAY($A563,2)+1)</f>
        <v>0</v>
      </c>
      <c r="BH563">
        <f>IF($A563="","",IF($A562="",1,IF(BG563&lt;&gt;BG562,1,0)))</f>
        <v>0</v>
      </c>
      <c r="BI563">
        <f>IF($A563="","",IF($A564="",1,IF(BG564&lt;&gt;BG563,1,0)))</f>
        <v>0</v>
      </c>
      <c r="BJ563">
        <f>IF($A563="","",IF(BH563=1,$B563,BJ562))</f>
        <v>0</v>
      </c>
      <c r="BK563">
        <f>IF($A563="","",IF(BH563=1,$C563,MAX($C563,BK562)))</f>
        <v>0</v>
      </c>
      <c r="BL563">
        <f>IF($A563="","",IF(BH563=1,$D563,MIN($D563,BL562)))</f>
        <v>0</v>
      </c>
      <c r="BM563">
        <f>IF($A563="","",IF(BI563=1,F563,""))</f>
        <v>0</v>
      </c>
      <c r="BN563">
        <f>IF($A563="","",DATE(YEAR($A563),MONTH($A563),1))</f>
        <v>0</v>
      </c>
      <c r="BO563">
        <f>IF($A563="","",IF($A562="",1,IF(BN563&lt;&gt;BN562,1,0)))</f>
        <v>0</v>
      </c>
      <c r="BP563">
        <f>IF($A563="","",IF($A564="",1,IF(BN564&lt;&gt;BN563,1,0)))</f>
        <v>0</v>
      </c>
      <c r="BQ563">
        <f>IF($A563="","",IF(BO563=1,$B563,BQ562))</f>
        <v>0</v>
      </c>
      <c r="BR563">
        <f>IF($A563="","",IF(BO563=1,$C563,MAX($C563,BR562)))</f>
        <v>0</v>
      </c>
      <c r="BS563">
        <f>IF($A563="","",IF(BO563=1,$D563,MIN($D563,BS562)))</f>
        <v>0</v>
      </c>
      <c r="BT563">
        <f>IF($A563="","",IF(BP563=1,F563,""))</f>
        <v>0</v>
      </c>
    </row>
    <row r="564" spans="1:72">
      <c r="A564" s="27">
        <f>IF(Data!$A564="","",Data!$A564)</f>
        <v>0</v>
      </c>
      <c r="B564">
        <f>IF(Data!$B564="","",Data!$B564)</f>
        <v>0</v>
      </c>
      <c r="C564">
        <f>IF(Data!$C564="","",Data!$C564)</f>
        <v>0</v>
      </c>
      <c r="D564">
        <f>IF(Data!$D564="","",Data!$D564)</f>
        <v>0</v>
      </c>
      <c r="E564">
        <f>IF(Data!$E564="","",Data!$E564)</f>
        <v>0</v>
      </c>
      <c r="F564">
        <f>IF($E564="","",N(F563)+1)</f>
        <v>0</v>
      </c>
      <c r="G564">
        <f>IF(OR($E564="",$E563=""),"",LN($E564/$E563))</f>
        <v>0</v>
      </c>
      <c r="H564">
        <f>IF($E564="","",IF($E563="",$E564,$E564*0.0952380952+H563*0.9047619048))</f>
        <v>0</v>
      </c>
      <c r="I564">
        <f>IF($E564="","",IF($E563="",$E564,$E564*0.0392156863+I563*0.9607843137))</f>
        <v>0</v>
      </c>
      <c r="J564">
        <f>IF($E564="","",IF($E563="",$E564,$E564*0.0198019802+J563*0.9801980198))</f>
        <v>0</v>
      </c>
      <c r="K564">
        <f>IF($E564="","",IF($E563="",$E564,$E564*0.0099502488+K563*0.9900497512))</f>
        <v>0</v>
      </c>
      <c r="L564">
        <f>IF(OR($E564="",$E563=""),"",MAX($E564-$E563,0))</f>
        <v>0</v>
      </c>
      <c r="M564">
        <f>IF(OR($E564="",$E563=""),"",MAX($E563-$E564,0))</f>
        <v>0</v>
      </c>
      <c r="N564">
        <f>IF(COUNT($E$2:$E564)&lt;15,"",IF(AVERAGE($M$551:$M$564)=0,100,100-100/(1+AVERAGE($L$551:$L$564)/AVERAGE($M$551:$M$564))))</f>
        <v>0</v>
      </c>
      <c r="O564">
        <f>IF($E564="","",IF($E563="",$E564,$E564*0.1538461538+O563*0.8461538462))</f>
        <v>0</v>
      </c>
      <c r="P564">
        <f>IF($E564="","",IF($E563="",$E564,$E564*0.0740740741+P563*0.9259259259))</f>
        <v>0</v>
      </c>
      <c r="Q564">
        <f>IF(OR(O564="",P564=""),"",O564-P564)</f>
        <v>0</v>
      </c>
      <c r="R564">
        <f>IF(Q564="","",IF(R563="",Q564,Q564*0.2000000000+R563*0.8000000000))</f>
        <v>0</v>
      </c>
      <c r="S564">
        <f>IF(OR(Q564="",R564=""),"",Q564-R564)</f>
        <v>0</v>
      </c>
      <c r="T564">
        <f>IF(COUNT($E$2:$E564)&lt;14,"",MAX($C$551:$C$564))</f>
        <v>0</v>
      </c>
      <c r="U564">
        <f>IF(COUNT($E$2:$E564)&lt;14,"",MIN($D$551:$D$564))</f>
        <v>0</v>
      </c>
      <c r="V564">
        <f>IF(OR(T564="",U564="",T564=U564),"",100*($E564-U564)/(T564-U564))</f>
        <v>0</v>
      </c>
      <c r="W564">
        <f>IF(COUNT($V$562:$V$564)&lt;3,"",AVERAGE($V$562:$V$564))</f>
        <v>0</v>
      </c>
      <c r="X564">
        <f>IF(COUNT($N$551:$N$564)&lt;14,"",MIN($N$551:$N$564))</f>
        <v>0</v>
      </c>
      <c r="Y564">
        <f>IF(COUNT($N$551:$N$564)&lt;14,"",MAX($N$551:$N$564))</f>
        <v>0</v>
      </c>
      <c r="Z564">
        <f>IF(OR(N564="",X564="",Y564="",Y564=X564),"",100*(N564-X564)/(Y564-X564))</f>
        <v>0</v>
      </c>
      <c r="AA564">
        <f>IF(COUNT($Z$562:$Z$564)&lt;3,"",AVERAGE($Z$562:$Z$564))</f>
        <v>0</v>
      </c>
      <c r="AB564">
        <f>IF(COUNT($AA$562:$AA$564)&lt;3,"",AVERAGE($AA$562:$AA$564))</f>
        <v>0</v>
      </c>
      <c r="AC564">
        <f>IF($E564="","",MAX($C564-$D564,ABS($C564-$E563),ABS($D564-$E563)))</f>
        <v>0</v>
      </c>
      <c r="AD564">
        <f>IF(COUNT($E$2:$E564)&lt;15,"",AVERAGE($AC$551:$AC$564))</f>
        <v>0</v>
      </c>
      <c r="AE564">
        <f>IF(OR($E564="",$E563=""),"",IF(AND(($C564-$C563)&gt;($D563-$D564),($C564-$C563)&gt;0),$C564-$C563,0))</f>
        <v>0</v>
      </c>
      <c r="AF564">
        <f>IF(OR($E564="",$E563=""),"",IF(AND(($D563-$D564)&gt;($C564-$C563),($D563-$D564)&gt;0),$D563-$D564,0))</f>
        <v>0</v>
      </c>
      <c r="AG564">
        <f>IF(COUNT($E$2:$E564)&lt;15,"",IF(SUM($AC$551:$AC$564)=0,0,100*SUM($AE$551:$AE$564)/SUM($AC$551:$AC$564)))</f>
        <v>0</v>
      </c>
      <c r="AH564">
        <f>IF(COUNT($E$2:$E564)&lt;15,"",IF(SUM($AC$551:$AC$564)=0,0,100*SUM($AF$551:$AF$564)/SUM($AC$551:$AC$564)))</f>
        <v>0</v>
      </c>
      <c r="AI564">
        <f>IF(OR(AG564="",AH564=""),"",IF((AG564+AH564)=0,0,100*ABS(AG564-AH564)/(AG564+AH564)))</f>
        <v>0</v>
      </c>
      <c r="AJ564">
        <f>IF(COUNT($AI$551:$AI$564)&lt;14,"",AVERAGE($AI$551:$AI$564))</f>
        <v>0</v>
      </c>
      <c r="AK564">
        <f>IF(COUNT($E$2:$E564)&lt;20,"",AVERAGE($E$545:$E$564))</f>
        <v>0</v>
      </c>
      <c r="AL564">
        <f>IF(COUNT($E$2:$E564)&lt;20,"",STDEVP($E$545:$E$564))</f>
        <v>0</v>
      </c>
      <c r="AM564">
        <f>IF(AK564="","",AK564+2*AL564)</f>
        <v>0</v>
      </c>
      <c r="AN564">
        <f>IF(AK564="","",AK564-2*AL564)</f>
        <v>0</v>
      </c>
      <c r="AO564">
        <f>IF(OR(AM564="",AN564="",AM564=AN564),"",($E564-AN564)/(AM564-AN564))</f>
        <v>0</v>
      </c>
      <c r="AP564">
        <f>IF(OR(AM564="",AK564="",AK564=0),"",(AM564-AN564)/AK564)</f>
        <v>0</v>
      </c>
      <c r="AQ564">
        <f>IF(COUNT($E$2:$E564)&lt;20,"",MAX($C$545:$C$564))</f>
        <v>0</v>
      </c>
      <c r="AR564">
        <f>IF(COUNT($E$2:$E564)&lt;20,"",MIN($D$545:$D$564))</f>
        <v>0</v>
      </c>
      <c r="AS564">
        <f>IF(OR(AQ564="",AR564=""),"",(AQ564+AR564)/2)</f>
        <v>0</v>
      </c>
      <c r="AT564">
        <f>IF(COUNT($G$545:$G$564)&lt;20,"",STDEV($G$545:$G$564)*SQRT(252))</f>
        <v>0</v>
      </c>
      <c r="AU564">
        <f>IF(COUNT($E$2:$E564)&lt;9,"",(MAX($C$556:$C$564)+MIN($D$556:$D$564))/2)</f>
        <v>0</v>
      </c>
      <c r="AV564">
        <f>IF(COUNT($E$2:$E564)&lt;26,"",(MAX($C$539:$C$564)+MIN($D$539:$D$564))/2)</f>
        <v>0</v>
      </c>
      <c r="AW564">
        <f>IF(OR(AU564="",AV564=""),"",(AU564+AV564)/2)</f>
        <v>0</v>
      </c>
      <c r="AX564">
        <f>IF(COUNT($E$2:$E564)&lt;52,"",(MAX($C$513:$C$564)+MIN($D$513:$D$564))/2)</f>
        <v>0</v>
      </c>
      <c r="AY564">
        <f>IF(COUNT($E$2:$E564)&lt;20,"",MAX($C$465:$C$564))</f>
        <v>0</v>
      </c>
      <c r="AZ564">
        <f>IF(COUNT($E$2:$E564)&lt;20,"",MIN($D$465:$D$564))</f>
        <v>0</v>
      </c>
      <c r="BA564">
        <f>IF(COUNT($E$2:$E564)&lt;20,"",SLOPE($E$465:$E$564,$F$465:$F$564))</f>
        <v>0</v>
      </c>
      <c r="BB564">
        <f>IF(COUNT($E$2:$E564)&lt;20,"",INTERCEPT($E$465:$E$564,$F$465:$F$564))</f>
        <v>0</v>
      </c>
      <c r="BC564">
        <f>IF(OR(BA564="",BB564=""),"",BB564+BA564*F564)</f>
        <v>0</v>
      </c>
      <c r="BD564">
        <f>IF(COUNT($E$2:$E564)&lt;20,"",STEYX($E$465:$E$564,$F$465:$F$564))</f>
        <v>0</v>
      </c>
      <c r="BE564">
        <f>IF($E564="","",IF(AND(COUNT($E$565:$E$568)&gt;=4,$C564=MAX($C$560:$C$568)),$C564,""))</f>
        <v>0</v>
      </c>
      <c r="BF564">
        <f>IF($E564="","",IF(AND(COUNT($E$565:$E$568)&gt;=4,$D564=MIN($D$560:$D$568)),$D564,""))</f>
        <v>0</v>
      </c>
      <c r="BG564">
        <f>IF($A564="","",$A564-WEEKDAY($A564,2)+1)</f>
        <v>0</v>
      </c>
      <c r="BH564">
        <f>IF($A564="","",IF($A563="",1,IF(BG564&lt;&gt;BG563,1,0)))</f>
        <v>0</v>
      </c>
      <c r="BI564">
        <f>IF($A564="","",IF($A565="",1,IF(BG565&lt;&gt;BG564,1,0)))</f>
        <v>0</v>
      </c>
      <c r="BJ564">
        <f>IF($A564="","",IF(BH564=1,$B564,BJ563))</f>
        <v>0</v>
      </c>
      <c r="BK564">
        <f>IF($A564="","",IF(BH564=1,$C564,MAX($C564,BK563)))</f>
        <v>0</v>
      </c>
      <c r="BL564">
        <f>IF($A564="","",IF(BH564=1,$D564,MIN($D564,BL563)))</f>
        <v>0</v>
      </c>
      <c r="BM564">
        <f>IF($A564="","",IF(BI564=1,F564,""))</f>
        <v>0</v>
      </c>
      <c r="BN564">
        <f>IF($A564="","",DATE(YEAR($A564),MONTH($A564),1))</f>
        <v>0</v>
      </c>
      <c r="BO564">
        <f>IF($A564="","",IF($A563="",1,IF(BN564&lt;&gt;BN563,1,0)))</f>
        <v>0</v>
      </c>
      <c r="BP564">
        <f>IF($A564="","",IF($A565="",1,IF(BN565&lt;&gt;BN564,1,0)))</f>
        <v>0</v>
      </c>
      <c r="BQ564">
        <f>IF($A564="","",IF(BO564=1,$B564,BQ563))</f>
        <v>0</v>
      </c>
      <c r="BR564">
        <f>IF($A564="","",IF(BO564=1,$C564,MAX($C564,BR563)))</f>
        <v>0</v>
      </c>
      <c r="BS564">
        <f>IF($A564="","",IF(BO564=1,$D564,MIN($D564,BS563)))</f>
        <v>0</v>
      </c>
      <c r="BT564">
        <f>IF($A564="","",IF(BP564=1,F564,""))</f>
        <v>0</v>
      </c>
    </row>
    <row r="565" spans="1:72">
      <c r="A565" s="27">
        <f>IF(Data!$A565="","",Data!$A565)</f>
        <v>0</v>
      </c>
      <c r="B565">
        <f>IF(Data!$B565="","",Data!$B565)</f>
        <v>0</v>
      </c>
      <c r="C565">
        <f>IF(Data!$C565="","",Data!$C565)</f>
        <v>0</v>
      </c>
      <c r="D565">
        <f>IF(Data!$D565="","",Data!$D565)</f>
        <v>0</v>
      </c>
      <c r="E565">
        <f>IF(Data!$E565="","",Data!$E565)</f>
        <v>0</v>
      </c>
      <c r="F565">
        <f>IF($E565="","",N(F564)+1)</f>
        <v>0</v>
      </c>
      <c r="G565">
        <f>IF(OR($E565="",$E564=""),"",LN($E565/$E564))</f>
        <v>0</v>
      </c>
      <c r="H565">
        <f>IF($E565="","",IF($E564="",$E565,$E565*0.0952380952+H564*0.9047619048))</f>
        <v>0</v>
      </c>
      <c r="I565">
        <f>IF($E565="","",IF($E564="",$E565,$E565*0.0392156863+I564*0.9607843137))</f>
        <v>0</v>
      </c>
      <c r="J565">
        <f>IF($E565="","",IF($E564="",$E565,$E565*0.0198019802+J564*0.9801980198))</f>
        <v>0</v>
      </c>
      <c r="K565">
        <f>IF($E565="","",IF($E564="",$E565,$E565*0.0099502488+K564*0.9900497512))</f>
        <v>0</v>
      </c>
      <c r="L565">
        <f>IF(OR($E565="",$E564=""),"",MAX($E565-$E564,0))</f>
        <v>0</v>
      </c>
      <c r="M565">
        <f>IF(OR($E565="",$E564=""),"",MAX($E564-$E565,0))</f>
        <v>0</v>
      </c>
      <c r="N565">
        <f>IF(COUNT($E$2:$E565)&lt;15,"",IF(AVERAGE($M$552:$M$565)=0,100,100-100/(1+AVERAGE($L$552:$L$565)/AVERAGE($M$552:$M$565))))</f>
        <v>0</v>
      </c>
      <c r="O565">
        <f>IF($E565="","",IF($E564="",$E565,$E565*0.1538461538+O564*0.8461538462))</f>
        <v>0</v>
      </c>
      <c r="P565">
        <f>IF($E565="","",IF($E564="",$E565,$E565*0.0740740741+P564*0.9259259259))</f>
        <v>0</v>
      </c>
      <c r="Q565">
        <f>IF(OR(O565="",P565=""),"",O565-P565)</f>
        <v>0</v>
      </c>
      <c r="R565">
        <f>IF(Q565="","",IF(R564="",Q565,Q565*0.2000000000+R564*0.8000000000))</f>
        <v>0</v>
      </c>
      <c r="S565">
        <f>IF(OR(Q565="",R565=""),"",Q565-R565)</f>
        <v>0</v>
      </c>
      <c r="T565">
        <f>IF(COUNT($E$2:$E565)&lt;14,"",MAX($C$552:$C$565))</f>
        <v>0</v>
      </c>
      <c r="U565">
        <f>IF(COUNT($E$2:$E565)&lt;14,"",MIN($D$552:$D$565))</f>
        <v>0</v>
      </c>
      <c r="V565">
        <f>IF(OR(T565="",U565="",T565=U565),"",100*($E565-U565)/(T565-U565))</f>
        <v>0</v>
      </c>
      <c r="W565">
        <f>IF(COUNT($V$563:$V$565)&lt;3,"",AVERAGE($V$563:$V$565))</f>
        <v>0</v>
      </c>
      <c r="X565">
        <f>IF(COUNT($N$552:$N$565)&lt;14,"",MIN($N$552:$N$565))</f>
        <v>0</v>
      </c>
      <c r="Y565">
        <f>IF(COUNT($N$552:$N$565)&lt;14,"",MAX($N$552:$N$565))</f>
        <v>0</v>
      </c>
      <c r="Z565">
        <f>IF(OR(N565="",X565="",Y565="",Y565=X565),"",100*(N565-X565)/(Y565-X565))</f>
        <v>0</v>
      </c>
      <c r="AA565">
        <f>IF(COUNT($Z$563:$Z$565)&lt;3,"",AVERAGE($Z$563:$Z$565))</f>
        <v>0</v>
      </c>
      <c r="AB565">
        <f>IF(COUNT($AA$563:$AA$565)&lt;3,"",AVERAGE($AA$563:$AA$565))</f>
        <v>0</v>
      </c>
      <c r="AC565">
        <f>IF($E565="","",MAX($C565-$D565,ABS($C565-$E564),ABS($D565-$E564)))</f>
        <v>0</v>
      </c>
      <c r="AD565">
        <f>IF(COUNT($E$2:$E565)&lt;15,"",AVERAGE($AC$552:$AC$565))</f>
        <v>0</v>
      </c>
      <c r="AE565">
        <f>IF(OR($E565="",$E564=""),"",IF(AND(($C565-$C564)&gt;($D564-$D565),($C565-$C564)&gt;0),$C565-$C564,0))</f>
        <v>0</v>
      </c>
      <c r="AF565">
        <f>IF(OR($E565="",$E564=""),"",IF(AND(($D564-$D565)&gt;($C565-$C564),($D564-$D565)&gt;0),$D564-$D565,0))</f>
        <v>0</v>
      </c>
      <c r="AG565">
        <f>IF(COUNT($E$2:$E565)&lt;15,"",IF(SUM($AC$552:$AC$565)=0,0,100*SUM($AE$552:$AE$565)/SUM($AC$552:$AC$565)))</f>
        <v>0</v>
      </c>
      <c r="AH565">
        <f>IF(COUNT($E$2:$E565)&lt;15,"",IF(SUM($AC$552:$AC$565)=0,0,100*SUM($AF$552:$AF$565)/SUM($AC$552:$AC$565)))</f>
        <v>0</v>
      </c>
      <c r="AI565">
        <f>IF(OR(AG565="",AH565=""),"",IF((AG565+AH565)=0,0,100*ABS(AG565-AH565)/(AG565+AH565)))</f>
        <v>0</v>
      </c>
      <c r="AJ565">
        <f>IF(COUNT($AI$552:$AI$565)&lt;14,"",AVERAGE($AI$552:$AI$565))</f>
        <v>0</v>
      </c>
      <c r="AK565">
        <f>IF(COUNT($E$2:$E565)&lt;20,"",AVERAGE($E$546:$E$565))</f>
        <v>0</v>
      </c>
      <c r="AL565">
        <f>IF(COUNT($E$2:$E565)&lt;20,"",STDEVP($E$546:$E$565))</f>
        <v>0</v>
      </c>
      <c r="AM565">
        <f>IF(AK565="","",AK565+2*AL565)</f>
        <v>0</v>
      </c>
      <c r="AN565">
        <f>IF(AK565="","",AK565-2*AL565)</f>
        <v>0</v>
      </c>
      <c r="AO565">
        <f>IF(OR(AM565="",AN565="",AM565=AN565),"",($E565-AN565)/(AM565-AN565))</f>
        <v>0</v>
      </c>
      <c r="AP565">
        <f>IF(OR(AM565="",AK565="",AK565=0),"",(AM565-AN565)/AK565)</f>
        <v>0</v>
      </c>
      <c r="AQ565">
        <f>IF(COUNT($E$2:$E565)&lt;20,"",MAX($C$546:$C$565))</f>
        <v>0</v>
      </c>
      <c r="AR565">
        <f>IF(COUNT($E$2:$E565)&lt;20,"",MIN($D$546:$D$565))</f>
        <v>0</v>
      </c>
      <c r="AS565">
        <f>IF(OR(AQ565="",AR565=""),"",(AQ565+AR565)/2)</f>
        <v>0</v>
      </c>
      <c r="AT565">
        <f>IF(COUNT($G$546:$G$565)&lt;20,"",STDEV($G$546:$G$565)*SQRT(252))</f>
        <v>0</v>
      </c>
      <c r="AU565">
        <f>IF(COUNT($E$2:$E565)&lt;9,"",(MAX($C$557:$C$565)+MIN($D$557:$D$565))/2)</f>
        <v>0</v>
      </c>
      <c r="AV565">
        <f>IF(COUNT($E$2:$E565)&lt;26,"",(MAX($C$540:$C$565)+MIN($D$540:$D$565))/2)</f>
        <v>0</v>
      </c>
      <c r="AW565">
        <f>IF(OR(AU565="",AV565=""),"",(AU565+AV565)/2)</f>
        <v>0</v>
      </c>
      <c r="AX565">
        <f>IF(COUNT($E$2:$E565)&lt;52,"",(MAX($C$514:$C$565)+MIN($D$514:$D$565))/2)</f>
        <v>0</v>
      </c>
      <c r="AY565">
        <f>IF(COUNT($E$2:$E565)&lt;20,"",MAX($C$466:$C$565))</f>
        <v>0</v>
      </c>
      <c r="AZ565">
        <f>IF(COUNT($E$2:$E565)&lt;20,"",MIN($D$466:$D$565))</f>
        <v>0</v>
      </c>
      <c r="BA565">
        <f>IF(COUNT($E$2:$E565)&lt;20,"",SLOPE($E$466:$E$565,$F$466:$F$565))</f>
        <v>0</v>
      </c>
      <c r="BB565">
        <f>IF(COUNT($E$2:$E565)&lt;20,"",INTERCEPT($E$466:$E$565,$F$466:$F$565))</f>
        <v>0</v>
      </c>
      <c r="BC565">
        <f>IF(OR(BA565="",BB565=""),"",BB565+BA565*F565)</f>
        <v>0</v>
      </c>
      <c r="BD565">
        <f>IF(COUNT($E$2:$E565)&lt;20,"",STEYX($E$466:$E$565,$F$466:$F$565))</f>
        <v>0</v>
      </c>
      <c r="BE565">
        <f>IF($E565="","",IF(AND(COUNT($E$566:$E$569)&gt;=4,$C565=MAX($C$561:$C$569)),$C565,""))</f>
        <v>0</v>
      </c>
      <c r="BF565">
        <f>IF($E565="","",IF(AND(COUNT($E$566:$E$569)&gt;=4,$D565=MIN($D$561:$D$569)),$D565,""))</f>
        <v>0</v>
      </c>
      <c r="BG565">
        <f>IF($A565="","",$A565-WEEKDAY($A565,2)+1)</f>
        <v>0</v>
      </c>
      <c r="BH565">
        <f>IF($A565="","",IF($A564="",1,IF(BG565&lt;&gt;BG564,1,0)))</f>
        <v>0</v>
      </c>
      <c r="BI565">
        <f>IF($A565="","",IF($A566="",1,IF(BG566&lt;&gt;BG565,1,0)))</f>
        <v>0</v>
      </c>
      <c r="BJ565">
        <f>IF($A565="","",IF(BH565=1,$B565,BJ564))</f>
        <v>0</v>
      </c>
      <c r="BK565">
        <f>IF($A565="","",IF(BH565=1,$C565,MAX($C565,BK564)))</f>
        <v>0</v>
      </c>
      <c r="BL565">
        <f>IF($A565="","",IF(BH565=1,$D565,MIN($D565,BL564)))</f>
        <v>0</v>
      </c>
      <c r="BM565">
        <f>IF($A565="","",IF(BI565=1,F565,""))</f>
        <v>0</v>
      </c>
      <c r="BN565">
        <f>IF($A565="","",DATE(YEAR($A565),MONTH($A565),1))</f>
        <v>0</v>
      </c>
      <c r="BO565">
        <f>IF($A565="","",IF($A564="",1,IF(BN565&lt;&gt;BN564,1,0)))</f>
        <v>0</v>
      </c>
      <c r="BP565">
        <f>IF($A565="","",IF($A566="",1,IF(BN566&lt;&gt;BN565,1,0)))</f>
        <v>0</v>
      </c>
      <c r="BQ565">
        <f>IF($A565="","",IF(BO565=1,$B565,BQ564))</f>
        <v>0</v>
      </c>
      <c r="BR565">
        <f>IF($A565="","",IF(BO565=1,$C565,MAX($C565,BR564)))</f>
        <v>0</v>
      </c>
      <c r="BS565">
        <f>IF($A565="","",IF(BO565=1,$D565,MIN($D565,BS564)))</f>
        <v>0</v>
      </c>
      <c r="BT565">
        <f>IF($A565="","",IF(BP565=1,F565,""))</f>
        <v>0</v>
      </c>
    </row>
    <row r="566" spans="1:72">
      <c r="A566" s="27">
        <f>IF(Data!$A566="","",Data!$A566)</f>
        <v>0</v>
      </c>
      <c r="B566">
        <f>IF(Data!$B566="","",Data!$B566)</f>
        <v>0</v>
      </c>
      <c r="C566">
        <f>IF(Data!$C566="","",Data!$C566)</f>
        <v>0</v>
      </c>
      <c r="D566">
        <f>IF(Data!$D566="","",Data!$D566)</f>
        <v>0</v>
      </c>
      <c r="E566">
        <f>IF(Data!$E566="","",Data!$E566)</f>
        <v>0</v>
      </c>
      <c r="F566">
        <f>IF($E566="","",N(F565)+1)</f>
        <v>0</v>
      </c>
      <c r="G566">
        <f>IF(OR($E566="",$E565=""),"",LN($E566/$E565))</f>
        <v>0</v>
      </c>
      <c r="H566">
        <f>IF($E566="","",IF($E565="",$E566,$E566*0.0952380952+H565*0.9047619048))</f>
        <v>0</v>
      </c>
      <c r="I566">
        <f>IF($E566="","",IF($E565="",$E566,$E566*0.0392156863+I565*0.9607843137))</f>
        <v>0</v>
      </c>
      <c r="J566">
        <f>IF($E566="","",IF($E565="",$E566,$E566*0.0198019802+J565*0.9801980198))</f>
        <v>0</v>
      </c>
      <c r="K566">
        <f>IF($E566="","",IF($E565="",$E566,$E566*0.0099502488+K565*0.9900497512))</f>
        <v>0</v>
      </c>
      <c r="L566">
        <f>IF(OR($E566="",$E565=""),"",MAX($E566-$E565,0))</f>
        <v>0</v>
      </c>
      <c r="M566">
        <f>IF(OR($E566="",$E565=""),"",MAX($E565-$E566,0))</f>
        <v>0</v>
      </c>
      <c r="N566">
        <f>IF(COUNT($E$2:$E566)&lt;15,"",IF(AVERAGE($M$553:$M$566)=0,100,100-100/(1+AVERAGE($L$553:$L$566)/AVERAGE($M$553:$M$566))))</f>
        <v>0</v>
      </c>
      <c r="O566">
        <f>IF($E566="","",IF($E565="",$E566,$E566*0.1538461538+O565*0.8461538462))</f>
        <v>0</v>
      </c>
      <c r="P566">
        <f>IF($E566="","",IF($E565="",$E566,$E566*0.0740740741+P565*0.9259259259))</f>
        <v>0</v>
      </c>
      <c r="Q566">
        <f>IF(OR(O566="",P566=""),"",O566-P566)</f>
        <v>0</v>
      </c>
      <c r="R566">
        <f>IF(Q566="","",IF(R565="",Q566,Q566*0.2000000000+R565*0.8000000000))</f>
        <v>0</v>
      </c>
      <c r="S566">
        <f>IF(OR(Q566="",R566=""),"",Q566-R566)</f>
        <v>0</v>
      </c>
      <c r="T566">
        <f>IF(COUNT($E$2:$E566)&lt;14,"",MAX($C$553:$C$566))</f>
        <v>0</v>
      </c>
      <c r="U566">
        <f>IF(COUNT($E$2:$E566)&lt;14,"",MIN($D$553:$D$566))</f>
        <v>0</v>
      </c>
      <c r="V566">
        <f>IF(OR(T566="",U566="",T566=U566),"",100*($E566-U566)/(T566-U566))</f>
        <v>0</v>
      </c>
      <c r="W566">
        <f>IF(COUNT($V$564:$V$566)&lt;3,"",AVERAGE($V$564:$V$566))</f>
        <v>0</v>
      </c>
      <c r="X566">
        <f>IF(COUNT($N$553:$N$566)&lt;14,"",MIN($N$553:$N$566))</f>
        <v>0</v>
      </c>
      <c r="Y566">
        <f>IF(COUNT($N$553:$N$566)&lt;14,"",MAX($N$553:$N$566))</f>
        <v>0</v>
      </c>
      <c r="Z566">
        <f>IF(OR(N566="",X566="",Y566="",Y566=X566),"",100*(N566-X566)/(Y566-X566))</f>
        <v>0</v>
      </c>
      <c r="AA566">
        <f>IF(COUNT($Z$564:$Z$566)&lt;3,"",AVERAGE($Z$564:$Z$566))</f>
        <v>0</v>
      </c>
      <c r="AB566">
        <f>IF(COUNT($AA$564:$AA$566)&lt;3,"",AVERAGE($AA$564:$AA$566))</f>
        <v>0</v>
      </c>
      <c r="AC566">
        <f>IF($E566="","",MAX($C566-$D566,ABS($C566-$E565),ABS($D566-$E565)))</f>
        <v>0</v>
      </c>
      <c r="AD566">
        <f>IF(COUNT($E$2:$E566)&lt;15,"",AVERAGE($AC$553:$AC$566))</f>
        <v>0</v>
      </c>
      <c r="AE566">
        <f>IF(OR($E566="",$E565=""),"",IF(AND(($C566-$C565)&gt;($D565-$D566),($C566-$C565)&gt;0),$C566-$C565,0))</f>
        <v>0</v>
      </c>
      <c r="AF566">
        <f>IF(OR($E566="",$E565=""),"",IF(AND(($D565-$D566)&gt;($C566-$C565),($D565-$D566)&gt;0),$D565-$D566,0))</f>
        <v>0</v>
      </c>
      <c r="AG566">
        <f>IF(COUNT($E$2:$E566)&lt;15,"",IF(SUM($AC$553:$AC$566)=0,0,100*SUM($AE$553:$AE$566)/SUM($AC$553:$AC$566)))</f>
        <v>0</v>
      </c>
      <c r="AH566">
        <f>IF(COUNT($E$2:$E566)&lt;15,"",IF(SUM($AC$553:$AC$566)=0,0,100*SUM($AF$553:$AF$566)/SUM($AC$553:$AC$566)))</f>
        <v>0</v>
      </c>
      <c r="AI566">
        <f>IF(OR(AG566="",AH566=""),"",IF((AG566+AH566)=0,0,100*ABS(AG566-AH566)/(AG566+AH566)))</f>
        <v>0</v>
      </c>
      <c r="AJ566">
        <f>IF(COUNT($AI$553:$AI$566)&lt;14,"",AVERAGE($AI$553:$AI$566))</f>
        <v>0</v>
      </c>
      <c r="AK566">
        <f>IF(COUNT($E$2:$E566)&lt;20,"",AVERAGE($E$547:$E$566))</f>
        <v>0</v>
      </c>
      <c r="AL566">
        <f>IF(COUNT($E$2:$E566)&lt;20,"",STDEVP($E$547:$E$566))</f>
        <v>0</v>
      </c>
      <c r="AM566">
        <f>IF(AK566="","",AK566+2*AL566)</f>
        <v>0</v>
      </c>
      <c r="AN566">
        <f>IF(AK566="","",AK566-2*AL566)</f>
        <v>0</v>
      </c>
      <c r="AO566">
        <f>IF(OR(AM566="",AN566="",AM566=AN566),"",($E566-AN566)/(AM566-AN566))</f>
        <v>0</v>
      </c>
      <c r="AP566">
        <f>IF(OR(AM566="",AK566="",AK566=0),"",(AM566-AN566)/AK566)</f>
        <v>0</v>
      </c>
      <c r="AQ566">
        <f>IF(COUNT($E$2:$E566)&lt;20,"",MAX($C$547:$C$566))</f>
        <v>0</v>
      </c>
      <c r="AR566">
        <f>IF(COUNT($E$2:$E566)&lt;20,"",MIN($D$547:$D$566))</f>
        <v>0</v>
      </c>
      <c r="AS566">
        <f>IF(OR(AQ566="",AR566=""),"",(AQ566+AR566)/2)</f>
        <v>0</v>
      </c>
      <c r="AT566">
        <f>IF(COUNT($G$547:$G$566)&lt;20,"",STDEV($G$547:$G$566)*SQRT(252))</f>
        <v>0</v>
      </c>
      <c r="AU566">
        <f>IF(COUNT($E$2:$E566)&lt;9,"",(MAX($C$558:$C$566)+MIN($D$558:$D$566))/2)</f>
        <v>0</v>
      </c>
      <c r="AV566">
        <f>IF(COUNT($E$2:$E566)&lt;26,"",(MAX($C$541:$C$566)+MIN($D$541:$D$566))/2)</f>
        <v>0</v>
      </c>
      <c r="AW566">
        <f>IF(OR(AU566="",AV566=""),"",(AU566+AV566)/2)</f>
        <v>0</v>
      </c>
      <c r="AX566">
        <f>IF(COUNT($E$2:$E566)&lt;52,"",(MAX($C$515:$C$566)+MIN($D$515:$D$566))/2)</f>
        <v>0</v>
      </c>
      <c r="AY566">
        <f>IF(COUNT($E$2:$E566)&lt;20,"",MAX($C$467:$C$566))</f>
        <v>0</v>
      </c>
      <c r="AZ566">
        <f>IF(COUNT($E$2:$E566)&lt;20,"",MIN($D$467:$D$566))</f>
        <v>0</v>
      </c>
      <c r="BA566">
        <f>IF(COUNT($E$2:$E566)&lt;20,"",SLOPE($E$467:$E$566,$F$467:$F$566))</f>
        <v>0</v>
      </c>
      <c r="BB566">
        <f>IF(COUNT($E$2:$E566)&lt;20,"",INTERCEPT($E$467:$E$566,$F$467:$F$566))</f>
        <v>0</v>
      </c>
      <c r="BC566">
        <f>IF(OR(BA566="",BB566=""),"",BB566+BA566*F566)</f>
        <v>0</v>
      </c>
      <c r="BD566">
        <f>IF(COUNT($E$2:$E566)&lt;20,"",STEYX($E$467:$E$566,$F$467:$F$566))</f>
        <v>0</v>
      </c>
      <c r="BE566">
        <f>IF($E566="","",IF(AND(COUNT($E$567:$E$570)&gt;=4,$C566=MAX($C$562:$C$570)),$C566,""))</f>
        <v>0</v>
      </c>
      <c r="BF566">
        <f>IF($E566="","",IF(AND(COUNT($E$567:$E$570)&gt;=4,$D566=MIN($D$562:$D$570)),$D566,""))</f>
        <v>0</v>
      </c>
      <c r="BG566">
        <f>IF($A566="","",$A566-WEEKDAY($A566,2)+1)</f>
        <v>0</v>
      </c>
      <c r="BH566">
        <f>IF($A566="","",IF($A565="",1,IF(BG566&lt;&gt;BG565,1,0)))</f>
        <v>0</v>
      </c>
      <c r="BI566">
        <f>IF($A566="","",IF($A567="",1,IF(BG567&lt;&gt;BG566,1,0)))</f>
        <v>0</v>
      </c>
      <c r="BJ566">
        <f>IF($A566="","",IF(BH566=1,$B566,BJ565))</f>
        <v>0</v>
      </c>
      <c r="BK566">
        <f>IF($A566="","",IF(BH566=1,$C566,MAX($C566,BK565)))</f>
        <v>0</v>
      </c>
      <c r="BL566">
        <f>IF($A566="","",IF(BH566=1,$D566,MIN($D566,BL565)))</f>
        <v>0</v>
      </c>
      <c r="BM566">
        <f>IF($A566="","",IF(BI566=1,F566,""))</f>
        <v>0</v>
      </c>
      <c r="BN566">
        <f>IF($A566="","",DATE(YEAR($A566),MONTH($A566),1))</f>
        <v>0</v>
      </c>
      <c r="BO566">
        <f>IF($A566="","",IF($A565="",1,IF(BN566&lt;&gt;BN565,1,0)))</f>
        <v>0</v>
      </c>
      <c r="BP566">
        <f>IF($A566="","",IF($A567="",1,IF(BN567&lt;&gt;BN566,1,0)))</f>
        <v>0</v>
      </c>
      <c r="BQ566">
        <f>IF($A566="","",IF(BO566=1,$B566,BQ565))</f>
        <v>0</v>
      </c>
      <c r="BR566">
        <f>IF($A566="","",IF(BO566=1,$C566,MAX($C566,BR565)))</f>
        <v>0</v>
      </c>
      <c r="BS566">
        <f>IF($A566="","",IF(BO566=1,$D566,MIN($D566,BS565)))</f>
        <v>0</v>
      </c>
      <c r="BT566">
        <f>IF($A566="","",IF(BP566=1,F566,""))</f>
        <v>0</v>
      </c>
    </row>
    <row r="567" spans="1:72">
      <c r="A567" s="27">
        <f>IF(Data!$A567="","",Data!$A567)</f>
        <v>0</v>
      </c>
      <c r="B567">
        <f>IF(Data!$B567="","",Data!$B567)</f>
        <v>0</v>
      </c>
      <c r="C567">
        <f>IF(Data!$C567="","",Data!$C567)</f>
        <v>0</v>
      </c>
      <c r="D567">
        <f>IF(Data!$D567="","",Data!$D567)</f>
        <v>0</v>
      </c>
      <c r="E567">
        <f>IF(Data!$E567="","",Data!$E567)</f>
        <v>0</v>
      </c>
      <c r="F567">
        <f>IF($E567="","",N(F566)+1)</f>
        <v>0</v>
      </c>
      <c r="G567">
        <f>IF(OR($E567="",$E566=""),"",LN($E567/$E566))</f>
        <v>0</v>
      </c>
      <c r="H567">
        <f>IF($E567="","",IF($E566="",$E567,$E567*0.0952380952+H566*0.9047619048))</f>
        <v>0</v>
      </c>
      <c r="I567">
        <f>IF($E567="","",IF($E566="",$E567,$E567*0.0392156863+I566*0.9607843137))</f>
        <v>0</v>
      </c>
      <c r="J567">
        <f>IF($E567="","",IF($E566="",$E567,$E567*0.0198019802+J566*0.9801980198))</f>
        <v>0</v>
      </c>
      <c r="K567">
        <f>IF($E567="","",IF($E566="",$E567,$E567*0.0099502488+K566*0.9900497512))</f>
        <v>0</v>
      </c>
      <c r="L567">
        <f>IF(OR($E567="",$E566=""),"",MAX($E567-$E566,0))</f>
        <v>0</v>
      </c>
      <c r="M567">
        <f>IF(OR($E567="",$E566=""),"",MAX($E566-$E567,0))</f>
        <v>0</v>
      </c>
      <c r="N567">
        <f>IF(COUNT($E$2:$E567)&lt;15,"",IF(AVERAGE($M$554:$M$567)=0,100,100-100/(1+AVERAGE($L$554:$L$567)/AVERAGE($M$554:$M$567))))</f>
        <v>0</v>
      </c>
      <c r="O567">
        <f>IF($E567="","",IF($E566="",$E567,$E567*0.1538461538+O566*0.8461538462))</f>
        <v>0</v>
      </c>
      <c r="P567">
        <f>IF($E567="","",IF($E566="",$E567,$E567*0.0740740741+P566*0.9259259259))</f>
        <v>0</v>
      </c>
      <c r="Q567">
        <f>IF(OR(O567="",P567=""),"",O567-P567)</f>
        <v>0</v>
      </c>
      <c r="R567">
        <f>IF(Q567="","",IF(R566="",Q567,Q567*0.2000000000+R566*0.8000000000))</f>
        <v>0</v>
      </c>
      <c r="S567">
        <f>IF(OR(Q567="",R567=""),"",Q567-R567)</f>
        <v>0</v>
      </c>
      <c r="T567">
        <f>IF(COUNT($E$2:$E567)&lt;14,"",MAX($C$554:$C$567))</f>
        <v>0</v>
      </c>
      <c r="U567">
        <f>IF(COUNT($E$2:$E567)&lt;14,"",MIN($D$554:$D$567))</f>
        <v>0</v>
      </c>
      <c r="V567">
        <f>IF(OR(T567="",U567="",T567=U567),"",100*($E567-U567)/(T567-U567))</f>
        <v>0</v>
      </c>
      <c r="W567">
        <f>IF(COUNT($V$565:$V$567)&lt;3,"",AVERAGE($V$565:$V$567))</f>
        <v>0</v>
      </c>
      <c r="X567">
        <f>IF(COUNT($N$554:$N$567)&lt;14,"",MIN($N$554:$N$567))</f>
        <v>0</v>
      </c>
      <c r="Y567">
        <f>IF(COUNT($N$554:$N$567)&lt;14,"",MAX($N$554:$N$567))</f>
        <v>0</v>
      </c>
      <c r="Z567">
        <f>IF(OR(N567="",X567="",Y567="",Y567=X567),"",100*(N567-X567)/(Y567-X567))</f>
        <v>0</v>
      </c>
      <c r="AA567">
        <f>IF(COUNT($Z$565:$Z$567)&lt;3,"",AVERAGE($Z$565:$Z$567))</f>
        <v>0</v>
      </c>
      <c r="AB567">
        <f>IF(COUNT($AA$565:$AA$567)&lt;3,"",AVERAGE($AA$565:$AA$567))</f>
        <v>0</v>
      </c>
      <c r="AC567">
        <f>IF($E567="","",MAX($C567-$D567,ABS($C567-$E566),ABS($D567-$E566)))</f>
        <v>0</v>
      </c>
      <c r="AD567">
        <f>IF(COUNT($E$2:$E567)&lt;15,"",AVERAGE($AC$554:$AC$567))</f>
        <v>0</v>
      </c>
      <c r="AE567">
        <f>IF(OR($E567="",$E566=""),"",IF(AND(($C567-$C566)&gt;($D566-$D567),($C567-$C566)&gt;0),$C567-$C566,0))</f>
        <v>0</v>
      </c>
      <c r="AF567">
        <f>IF(OR($E567="",$E566=""),"",IF(AND(($D566-$D567)&gt;($C567-$C566),($D566-$D567)&gt;0),$D566-$D567,0))</f>
        <v>0</v>
      </c>
      <c r="AG567">
        <f>IF(COUNT($E$2:$E567)&lt;15,"",IF(SUM($AC$554:$AC$567)=0,0,100*SUM($AE$554:$AE$567)/SUM($AC$554:$AC$567)))</f>
        <v>0</v>
      </c>
      <c r="AH567">
        <f>IF(COUNT($E$2:$E567)&lt;15,"",IF(SUM($AC$554:$AC$567)=0,0,100*SUM($AF$554:$AF$567)/SUM($AC$554:$AC$567)))</f>
        <v>0</v>
      </c>
      <c r="AI567">
        <f>IF(OR(AG567="",AH567=""),"",IF((AG567+AH567)=0,0,100*ABS(AG567-AH567)/(AG567+AH567)))</f>
        <v>0</v>
      </c>
      <c r="AJ567">
        <f>IF(COUNT($AI$554:$AI$567)&lt;14,"",AVERAGE($AI$554:$AI$567))</f>
        <v>0</v>
      </c>
      <c r="AK567">
        <f>IF(COUNT($E$2:$E567)&lt;20,"",AVERAGE($E$548:$E$567))</f>
        <v>0</v>
      </c>
      <c r="AL567">
        <f>IF(COUNT($E$2:$E567)&lt;20,"",STDEVP($E$548:$E$567))</f>
        <v>0</v>
      </c>
      <c r="AM567">
        <f>IF(AK567="","",AK567+2*AL567)</f>
        <v>0</v>
      </c>
      <c r="AN567">
        <f>IF(AK567="","",AK567-2*AL567)</f>
        <v>0</v>
      </c>
      <c r="AO567">
        <f>IF(OR(AM567="",AN567="",AM567=AN567),"",($E567-AN567)/(AM567-AN567))</f>
        <v>0</v>
      </c>
      <c r="AP567">
        <f>IF(OR(AM567="",AK567="",AK567=0),"",(AM567-AN567)/AK567)</f>
        <v>0</v>
      </c>
      <c r="AQ567">
        <f>IF(COUNT($E$2:$E567)&lt;20,"",MAX($C$548:$C$567))</f>
        <v>0</v>
      </c>
      <c r="AR567">
        <f>IF(COUNT($E$2:$E567)&lt;20,"",MIN($D$548:$D$567))</f>
        <v>0</v>
      </c>
      <c r="AS567">
        <f>IF(OR(AQ567="",AR567=""),"",(AQ567+AR567)/2)</f>
        <v>0</v>
      </c>
      <c r="AT567">
        <f>IF(COUNT($G$548:$G$567)&lt;20,"",STDEV($G$548:$G$567)*SQRT(252))</f>
        <v>0</v>
      </c>
      <c r="AU567">
        <f>IF(COUNT($E$2:$E567)&lt;9,"",(MAX($C$559:$C$567)+MIN($D$559:$D$567))/2)</f>
        <v>0</v>
      </c>
      <c r="AV567">
        <f>IF(COUNT($E$2:$E567)&lt;26,"",(MAX($C$542:$C$567)+MIN($D$542:$D$567))/2)</f>
        <v>0</v>
      </c>
      <c r="AW567">
        <f>IF(OR(AU567="",AV567=""),"",(AU567+AV567)/2)</f>
        <v>0</v>
      </c>
      <c r="AX567">
        <f>IF(COUNT($E$2:$E567)&lt;52,"",(MAX($C$516:$C$567)+MIN($D$516:$D$567))/2)</f>
        <v>0</v>
      </c>
      <c r="AY567">
        <f>IF(COUNT($E$2:$E567)&lt;20,"",MAX($C$468:$C$567))</f>
        <v>0</v>
      </c>
      <c r="AZ567">
        <f>IF(COUNT($E$2:$E567)&lt;20,"",MIN($D$468:$D$567))</f>
        <v>0</v>
      </c>
      <c r="BA567">
        <f>IF(COUNT($E$2:$E567)&lt;20,"",SLOPE($E$468:$E$567,$F$468:$F$567))</f>
        <v>0</v>
      </c>
      <c r="BB567">
        <f>IF(COUNT($E$2:$E567)&lt;20,"",INTERCEPT($E$468:$E$567,$F$468:$F$567))</f>
        <v>0</v>
      </c>
      <c r="BC567">
        <f>IF(OR(BA567="",BB567=""),"",BB567+BA567*F567)</f>
        <v>0</v>
      </c>
      <c r="BD567">
        <f>IF(COUNT($E$2:$E567)&lt;20,"",STEYX($E$468:$E$567,$F$468:$F$567))</f>
        <v>0</v>
      </c>
      <c r="BE567">
        <f>IF($E567="","",IF(AND(COUNT($E$568:$E$571)&gt;=4,$C567=MAX($C$563:$C$571)),$C567,""))</f>
        <v>0</v>
      </c>
      <c r="BF567">
        <f>IF($E567="","",IF(AND(COUNT($E$568:$E$571)&gt;=4,$D567=MIN($D$563:$D$571)),$D567,""))</f>
        <v>0</v>
      </c>
      <c r="BG567">
        <f>IF($A567="","",$A567-WEEKDAY($A567,2)+1)</f>
        <v>0</v>
      </c>
      <c r="BH567">
        <f>IF($A567="","",IF($A566="",1,IF(BG567&lt;&gt;BG566,1,0)))</f>
        <v>0</v>
      </c>
      <c r="BI567">
        <f>IF($A567="","",IF($A568="",1,IF(BG568&lt;&gt;BG567,1,0)))</f>
        <v>0</v>
      </c>
      <c r="BJ567">
        <f>IF($A567="","",IF(BH567=1,$B567,BJ566))</f>
        <v>0</v>
      </c>
      <c r="BK567">
        <f>IF($A567="","",IF(BH567=1,$C567,MAX($C567,BK566)))</f>
        <v>0</v>
      </c>
      <c r="BL567">
        <f>IF($A567="","",IF(BH567=1,$D567,MIN($D567,BL566)))</f>
        <v>0</v>
      </c>
      <c r="BM567">
        <f>IF($A567="","",IF(BI567=1,F567,""))</f>
        <v>0</v>
      </c>
      <c r="BN567">
        <f>IF($A567="","",DATE(YEAR($A567),MONTH($A567),1))</f>
        <v>0</v>
      </c>
      <c r="BO567">
        <f>IF($A567="","",IF($A566="",1,IF(BN567&lt;&gt;BN566,1,0)))</f>
        <v>0</v>
      </c>
      <c r="BP567">
        <f>IF($A567="","",IF($A568="",1,IF(BN568&lt;&gt;BN567,1,0)))</f>
        <v>0</v>
      </c>
      <c r="BQ567">
        <f>IF($A567="","",IF(BO567=1,$B567,BQ566))</f>
        <v>0</v>
      </c>
      <c r="BR567">
        <f>IF($A567="","",IF(BO567=1,$C567,MAX($C567,BR566)))</f>
        <v>0</v>
      </c>
      <c r="BS567">
        <f>IF($A567="","",IF(BO567=1,$D567,MIN($D567,BS566)))</f>
        <v>0</v>
      </c>
      <c r="BT567">
        <f>IF($A567="","",IF(BP567=1,F567,""))</f>
        <v>0</v>
      </c>
    </row>
    <row r="568" spans="1:72">
      <c r="A568" s="27">
        <f>IF(Data!$A568="","",Data!$A568)</f>
        <v>0</v>
      </c>
      <c r="B568">
        <f>IF(Data!$B568="","",Data!$B568)</f>
        <v>0</v>
      </c>
      <c r="C568">
        <f>IF(Data!$C568="","",Data!$C568)</f>
        <v>0</v>
      </c>
      <c r="D568">
        <f>IF(Data!$D568="","",Data!$D568)</f>
        <v>0</v>
      </c>
      <c r="E568">
        <f>IF(Data!$E568="","",Data!$E568)</f>
        <v>0</v>
      </c>
      <c r="F568">
        <f>IF($E568="","",N(F567)+1)</f>
        <v>0</v>
      </c>
      <c r="G568">
        <f>IF(OR($E568="",$E567=""),"",LN($E568/$E567))</f>
        <v>0</v>
      </c>
      <c r="H568">
        <f>IF($E568="","",IF($E567="",$E568,$E568*0.0952380952+H567*0.9047619048))</f>
        <v>0</v>
      </c>
      <c r="I568">
        <f>IF($E568="","",IF($E567="",$E568,$E568*0.0392156863+I567*0.9607843137))</f>
        <v>0</v>
      </c>
      <c r="J568">
        <f>IF($E568="","",IF($E567="",$E568,$E568*0.0198019802+J567*0.9801980198))</f>
        <v>0</v>
      </c>
      <c r="K568">
        <f>IF($E568="","",IF($E567="",$E568,$E568*0.0099502488+K567*0.9900497512))</f>
        <v>0</v>
      </c>
      <c r="L568">
        <f>IF(OR($E568="",$E567=""),"",MAX($E568-$E567,0))</f>
        <v>0</v>
      </c>
      <c r="M568">
        <f>IF(OR($E568="",$E567=""),"",MAX($E567-$E568,0))</f>
        <v>0</v>
      </c>
      <c r="N568">
        <f>IF(COUNT($E$2:$E568)&lt;15,"",IF(AVERAGE($M$555:$M$568)=0,100,100-100/(1+AVERAGE($L$555:$L$568)/AVERAGE($M$555:$M$568))))</f>
        <v>0</v>
      </c>
      <c r="O568">
        <f>IF($E568="","",IF($E567="",$E568,$E568*0.1538461538+O567*0.8461538462))</f>
        <v>0</v>
      </c>
      <c r="P568">
        <f>IF($E568="","",IF($E567="",$E568,$E568*0.0740740741+P567*0.9259259259))</f>
        <v>0</v>
      </c>
      <c r="Q568">
        <f>IF(OR(O568="",P568=""),"",O568-P568)</f>
        <v>0</v>
      </c>
      <c r="R568">
        <f>IF(Q568="","",IF(R567="",Q568,Q568*0.2000000000+R567*0.8000000000))</f>
        <v>0</v>
      </c>
      <c r="S568">
        <f>IF(OR(Q568="",R568=""),"",Q568-R568)</f>
        <v>0</v>
      </c>
      <c r="T568">
        <f>IF(COUNT($E$2:$E568)&lt;14,"",MAX($C$555:$C$568))</f>
        <v>0</v>
      </c>
      <c r="U568">
        <f>IF(COUNT($E$2:$E568)&lt;14,"",MIN($D$555:$D$568))</f>
        <v>0</v>
      </c>
      <c r="V568">
        <f>IF(OR(T568="",U568="",T568=U568),"",100*($E568-U568)/(T568-U568))</f>
        <v>0</v>
      </c>
      <c r="W568">
        <f>IF(COUNT($V$566:$V$568)&lt;3,"",AVERAGE($V$566:$V$568))</f>
        <v>0</v>
      </c>
      <c r="X568">
        <f>IF(COUNT($N$555:$N$568)&lt;14,"",MIN($N$555:$N$568))</f>
        <v>0</v>
      </c>
      <c r="Y568">
        <f>IF(COUNT($N$555:$N$568)&lt;14,"",MAX($N$555:$N$568))</f>
        <v>0</v>
      </c>
      <c r="Z568">
        <f>IF(OR(N568="",X568="",Y568="",Y568=X568),"",100*(N568-X568)/(Y568-X568))</f>
        <v>0</v>
      </c>
      <c r="AA568">
        <f>IF(COUNT($Z$566:$Z$568)&lt;3,"",AVERAGE($Z$566:$Z$568))</f>
        <v>0</v>
      </c>
      <c r="AB568">
        <f>IF(COUNT($AA$566:$AA$568)&lt;3,"",AVERAGE($AA$566:$AA$568))</f>
        <v>0</v>
      </c>
      <c r="AC568">
        <f>IF($E568="","",MAX($C568-$D568,ABS($C568-$E567),ABS($D568-$E567)))</f>
        <v>0</v>
      </c>
      <c r="AD568">
        <f>IF(COUNT($E$2:$E568)&lt;15,"",AVERAGE($AC$555:$AC$568))</f>
        <v>0</v>
      </c>
      <c r="AE568">
        <f>IF(OR($E568="",$E567=""),"",IF(AND(($C568-$C567)&gt;($D567-$D568),($C568-$C567)&gt;0),$C568-$C567,0))</f>
        <v>0</v>
      </c>
      <c r="AF568">
        <f>IF(OR($E568="",$E567=""),"",IF(AND(($D567-$D568)&gt;($C568-$C567),($D567-$D568)&gt;0),$D567-$D568,0))</f>
        <v>0</v>
      </c>
      <c r="AG568">
        <f>IF(COUNT($E$2:$E568)&lt;15,"",IF(SUM($AC$555:$AC$568)=0,0,100*SUM($AE$555:$AE$568)/SUM($AC$555:$AC$568)))</f>
        <v>0</v>
      </c>
      <c r="AH568">
        <f>IF(COUNT($E$2:$E568)&lt;15,"",IF(SUM($AC$555:$AC$568)=0,0,100*SUM($AF$555:$AF$568)/SUM($AC$555:$AC$568)))</f>
        <v>0</v>
      </c>
      <c r="AI568">
        <f>IF(OR(AG568="",AH568=""),"",IF((AG568+AH568)=0,0,100*ABS(AG568-AH568)/(AG568+AH568)))</f>
        <v>0</v>
      </c>
      <c r="AJ568">
        <f>IF(COUNT($AI$555:$AI$568)&lt;14,"",AVERAGE($AI$555:$AI$568))</f>
        <v>0</v>
      </c>
      <c r="AK568">
        <f>IF(COUNT($E$2:$E568)&lt;20,"",AVERAGE($E$549:$E$568))</f>
        <v>0</v>
      </c>
      <c r="AL568">
        <f>IF(COUNT($E$2:$E568)&lt;20,"",STDEVP($E$549:$E$568))</f>
        <v>0</v>
      </c>
      <c r="AM568">
        <f>IF(AK568="","",AK568+2*AL568)</f>
        <v>0</v>
      </c>
      <c r="AN568">
        <f>IF(AK568="","",AK568-2*AL568)</f>
        <v>0</v>
      </c>
      <c r="AO568">
        <f>IF(OR(AM568="",AN568="",AM568=AN568),"",($E568-AN568)/(AM568-AN568))</f>
        <v>0</v>
      </c>
      <c r="AP568">
        <f>IF(OR(AM568="",AK568="",AK568=0),"",(AM568-AN568)/AK568)</f>
        <v>0</v>
      </c>
      <c r="AQ568">
        <f>IF(COUNT($E$2:$E568)&lt;20,"",MAX($C$549:$C$568))</f>
        <v>0</v>
      </c>
      <c r="AR568">
        <f>IF(COUNT($E$2:$E568)&lt;20,"",MIN($D$549:$D$568))</f>
        <v>0</v>
      </c>
      <c r="AS568">
        <f>IF(OR(AQ568="",AR568=""),"",(AQ568+AR568)/2)</f>
        <v>0</v>
      </c>
      <c r="AT568">
        <f>IF(COUNT($G$549:$G$568)&lt;20,"",STDEV($G$549:$G$568)*SQRT(252))</f>
        <v>0</v>
      </c>
      <c r="AU568">
        <f>IF(COUNT($E$2:$E568)&lt;9,"",(MAX($C$560:$C$568)+MIN($D$560:$D$568))/2)</f>
        <v>0</v>
      </c>
      <c r="AV568">
        <f>IF(COUNT($E$2:$E568)&lt;26,"",(MAX($C$543:$C$568)+MIN($D$543:$D$568))/2)</f>
        <v>0</v>
      </c>
      <c r="AW568">
        <f>IF(OR(AU568="",AV568=""),"",(AU568+AV568)/2)</f>
        <v>0</v>
      </c>
      <c r="AX568">
        <f>IF(COUNT($E$2:$E568)&lt;52,"",(MAX($C$517:$C$568)+MIN($D$517:$D$568))/2)</f>
        <v>0</v>
      </c>
      <c r="AY568">
        <f>IF(COUNT($E$2:$E568)&lt;20,"",MAX($C$469:$C$568))</f>
        <v>0</v>
      </c>
      <c r="AZ568">
        <f>IF(COUNT($E$2:$E568)&lt;20,"",MIN($D$469:$D$568))</f>
        <v>0</v>
      </c>
      <c r="BA568">
        <f>IF(COUNT($E$2:$E568)&lt;20,"",SLOPE($E$469:$E$568,$F$469:$F$568))</f>
        <v>0</v>
      </c>
      <c r="BB568">
        <f>IF(COUNT($E$2:$E568)&lt;20,"",INTERCEPT($E$469:$E$568,$F$469:$F$568))</f>
        <v>0</v>
      </c>
      <c r="BC568">
        <f>IF(OR(BA568="",BB568=""),"",BB568+BA568*F568)</f>
        <v>0</v>
      </c>
      <c r="BD568">
        <f>IF(COUNT($E$2:$E568)&lt;20,"",STEYX($E$469:$E$568,$F$469:$F$568))</f>
        <v>0</v>
      </c>
      <c r="BE568">
        <f>IF($E568="","",IF(AND(COUNT($E$569:$E$572)&gt;=4,$C568=MAX($C$564:$C$572)),$C568,""))</f>
        <v>0</v>
      </c>
      <c r="BF568">
        <f>IF($E568="","",IF(AND(COUNT($E$569:$E$572)&gt;=4,$D568=MIN($D$564:$D$572)),$D568,""))</f>
        <v>0</v>
      </c>
      <c r="BG568">
        <f>IF($A568="","",$A568-WEEKDAY($A568,2)+1)</f>
        <v>0</v>
      </c>
      <c r="BH568">
        <f>IF($A568="","",IF($A567="",1,IF(BG568&lt;&gt;BG567,1,0)))</f>
        <v>0</v>
      </c>
      <c r="BI568">
        <f>IF($A568="","",IF($A569="",1,IF(BG569&lt;&gt;BG568,1,0)))</f>
        <v>0</v>
      </c>
      <c r="BJ568">
        <f>IF($A568="","",IF(BH568=1,$B568,BJ567))</f>
        <v>0</v>
      </c>
      <c r="BK568">
        <f>IF($A568="","",IF(BH568=1,$C568,MAX($C568,BK567)))</f>
        <v>0</v>
      </c>
      <c r="BL568">
        <f>IF($A568="","",IF(BH568=1,$D568,MIN($D568,BL567)))</f>
        <v>0</v>
      </c>
      <c r="BM568">
        <f>IF($A568="","",IF(BI568=1,F568,""))</f>
        <v>0</v>
      </c>
      <c r="BN568">
        <f>IF($A568="","",DATE(YEAR($A568),MONTH($A568),1))</f>
        <v>0</v>
      </c>
      <c r="BO568">
        <f>IF($A568="","",IF($A567="",1,IF(BN568&lt;&gt;BN567,1,0)))</f>
        <v>0</v>
      </c>
      <c r="BP568">
        <f>IF($A568="","",IF($A569="",1,IF(BN569&lt;&gt;BN568,1,0)))</f>
        <v>0</v>
      </c>
      <c r="BQ568">
        <f>IF($A568="","",IF(BO568=1,$B568,BQ567))</f>
        <v>0</v>
      </c>
      <c r="BR568">
        <f>IF($A568="","",IF(BO568=1,$C568,MAX($C568,BR567)))</f>
        <v>0</v>
      </c>
      <c r="BS568">
        <f>IF($A568="","",IF(BO568=1,$D568,MIN($D568,BS567)))</f>
        <v>0</v>
      </c>
      <c r="BT568">
        <f>IF($A568="","",IF(BP568=1,F568,""))</f>
        <v>0</v>
      </c>
    </row>
    <row r="569" spans="1:72">
      <c r="A569" s="27">
        <f>IF(Data!$A569="","",Data!$A569)</f>
        <v>0</v>
      </c>
      <c r="B569">
        <f>IF(Data!$B569="","",Data!$B569)</f>
        <v>0</v>
      </c>
      <c r="C569">
        <f>IF(Data!$C569="","",Data!$C569)</f>
        <v>0</v>
      </c>
      <c r="D569">
        <f>IF(Data!$D569="","",Data!$D569)</f>
        <v>0</v>
      </c>
      <c r="E569">
        <f>IF(Data!$E569="","",Data!$E569)</f>
        <v>0</v>
      </c>
      <c r="F569">
        <f>IF($E569="","",N(F568)+1)</f>
        <v>0</v>
      </c>
      <c r="G569">
        <f>IF(OR($E569="",$E568=""),"",LN($E569/$E568))</f>
        <v>0</v>
      </c>
      <c r="H569">
        <f>IF($E569="","",IF($E568="",$E569,$E569*0.0952380952+H568*0.9047619048))</f>
        <v>0</v>
      </c>
      <c r="I569">
        <f>IF($E569="","",IF($E568="",$E569,$E569*0.0392156863+I568*0.9607843137))</f>
        <v>0</v>
      </c>
      <c r="J569">
        <f>IF($E569="","",IF($E568="",$E569,$E569*0.0198019802+J568*0.9801980198))</f>
        <v>0</v>
      </c>
      <c r="K569">
        <f>IF($E569="","",IF($E568="",$E569,$E569*0.0099502488+K568*0.9900497512))</f>
        <v>0</v>
      </c>
      <c r="L569">
        <f>IF(OR($E569="",$E568=""),"",MAX($E569-$E568,0))</f>
        <v>0</v>
      </c>
      <c r="M569">
        <f>IF(OR($E569="",$E568=""),"",MAX($E568-$E569,0))</f>
        <v>0</v>
      </c>
      <c r="N569">
        <f>IF(COUNT($E$2:$E569)&lt;15,"",IF(AVERAGE($M$556:$M$569)=0,100,100-100/(1+AVERAGE($L$556:$L$569)/AVERAGE($M$556:$M$569))))</f>
        <v>0</v>
      </c>
      <c r="O569">
        <f>IF($E569="","",IF($E568="",$E569,$E569*0.1538461538+O568*0.8461538462))</f>
        <v>0</v>
      </c>
      <c r="P569">
        <f>IF($E569="","",IF($E568="",$E569,$E569*0.0740740741+P568*0.9259259259))</f>
        <v>0</v>
      </c>
      <c r="Q569">
        <f>IF(OR(O569="",P569=""),"",O569-P569)</f>
        <v>0</v>
      </c>
      <c r="R569">
        <f>IF(Q569="","",IF(R568="",Q569,Q569*0.2000000000+R568*0.8000000000))</f>
        <v>0</v>
      </c>
      <c r="S569">
        <f>IF(OR(Q569="",R569=""),"",Q569-R569)</f>
        <v>0</v>
      </c>
      <c r="T569">
        <f>IF(COUNT($E$2:$E569)&lt;14,"",MAX($C$556:$C$569))</f>
        <v>0</v>
      </c>
      <c r="U569">
        <f>IF(COUNT($E$2:$E569)&lt;14,"",MIN($D$556:$D$569))</f>
        <v>0</v>
      </c>
      <c r="V569">
        <f>IF(OR(T569="",U569="",T569=U569),"",100*($E569-U569)/(T569-U569))</f>
        <v>0</v>
      </c>
      <c r="W569">
        <f>IF(COUNT($V$567:$V$569)&lt;3,"",AVERAGE($V$567:$V$569))</f>
        <v>0</v>
      </c>
      <c r="X569">
        <f>IF(COUNT($N$556:$N$569)&lt;14,"",MIN($N$556:$N$569))</f>
        <v>0</v>
      </c>
      <c r="Y569">
        <f>IF(COUNT($N$556:$N$569)&lt;14,"",MAX($N$556:$N$569))</f>
        <v>0</v>
      </c>
      <c r="Z569">
        <f>IF(OR(N569="",X569="",Y569="",Y569=X569),"",100*(N569-X569)/(Y569-X569))</f>
        <v>0</v>
      </c>
      <c r="AA569">
        <f>IF(COUNT($Z$567:$Z$569)&lt;3,"",AVERAGE($Z$567:$Z$569))</f>
        <v>0</v>
      </c>
      <c r="AB569">
        <f>IF(COUNT($AA$567:$AA$569)&lt;3,"",AVERAGE($AA$567:$AA$569))</f>
        <v>0</v>
      </c>
      <c r="AC569">
        <f>IF($E569="","",MAX($C569-$D569,ABS($C569-$E568),ABS($D569-$E568)))</f>
        <v>0</v>
      </c>
      <c r="AD569">
        <f>IF(COUNT($E$2:$E569)&lt;15,"",AVERAGE($AC$556:$AC$569))</f>
        <v>0</v>
      </c>
      <c r="AE569">
        <f>IF(OR($E569="",$E568=""),"",IF(AND(($C569-$C568)&gt;($D568-$D569),($C569-$C568)&gt;0),$C569-$C568,0))</f>
        <v>0</v>
      </c>
      <c r="AF569">
        <f>IF(OR($E569="",$E568=""),"",IF(AND(($D568-$D569)&gt;($C569-$C568),($D568-$D569)&gt;0),$D568-$D569,0))</f>
        <v>0</v>
      </c>
      <c r="AG569">
        <f>IF(COUNT($E$2:$E569)&lt;15,"",IF(SUM($AC$556:$AC$569)=0,0,100*SUM($AE$556:$AE$569)/SUM($AC$556:$AC$569)))</f>
        <v>0</v>
      </c>
      <c r="AH569">
        <f>IF(COUNT($E$2:$E569)&lt;15,"",IF(SUM($AC$556:$AC$569)=0,0,100*SUM($AF$556:$AF$569)/SUM($AC$556:$AC$569)))</f>
        <v>0</v>
      </c>
      <c r="AI569">
        <f>IF(OR(AG569="",AH569=""),"",IF((AG569+AH569)=0,0,100*ABS(AG569-AH569)/(AG569+AH569)))</f>
        <v>0</v>
      </c>
      <c r="AJ569">
        <f>IF(COUNT($AI$556:$AI$569)&lt;14,"",AVERAGE($AI$556:$AI$569))</f>
        <v>0</v>
      </c>
      <c r="AK569">
        <f>IF(COUNT($E$2:$E569)&lt;20,"",AVERAGE($E$550:$E$569))</f>
        <v>0</v>
      </c>
      <c r="AL569">
        <f>IF(COUNT($E$2:$E569)&lt;20,"",STDEVP($E$550:$E$569))</f>
        <v>0</v>
      </c>
      <c r="AM569">
        <f>IF(AK569="","",AK569+2*AL569)</f>
        <v>0</v>
      </c>
      <c r="AN569">
        <f>IF(AK569="","",AK569-2*AL569)</f>
        <v>0</v>
      </c>
      <c r="AO569">
        <f>IF(OR(AM569="",AN569="",AM569=AN569),"",($E569-AN569)/(AM569-AN569))</f>
        <v>0</v>
      </c>
      <c r="AP569">
        <f>IF(OR(AM569="",AK569="",AK569=0),"",(AM569-AN569)/AK569)</f>
        <v>0</v>
      </c>
      <c r="AQ569">
        <f>IF(COUNT($E$2:$E569)&lt;20,"",MAX($C$550:$C$569))</f>
        <v>0</v>
      </c>
      <c r="AR569">
        <f>IF(COUNT($E$2:$E569)&lt;20,"",MIN($D$550:$D$569))</f>
        <v>0</v>
      </c>
      <c r="AS569">
        <f>IF(OR(AQ569="",AR569=""),"",(AQ569+AR569)/2)</f>
        <v>0</v>
      </c>
      <c r="AT569">
        <f>IF(COUNT($G$550:$G$569)&lt;20,"",STDEV($G$550:$G$569)*SQRT(252))</f>
        <v>0</v>
      </c>
      <c r="AU569">
        <f>IF(COUNT($E$2:$E569)&lt;9,"",(MAX($C$561:$C$569)+MIN($D$561:$D$569))/2)</f>
        <v>0</v>
      </c>
      <c r="AV569">
        <f>IF(COUNT($E$2:$E569)&lt;26,"",(MAX($C$544:$C$569)+MIN($D$544:$D$569))/2)</f>
        <v>0</v>
      </c>
      <c r="AW569">
        <f>IF(OR(AU569="",AV569=""),"",(AU569+AV569)/2)</f>
        <v>0</v>
      </c>
      <c r="AX569">
        <f>IF(COUNT($E$2:$E569)&lt;52,"",(MAX($C$518:$C$569)+MIN($D$518:$D$569))/2)</f>
        <v>0</v>
      </c>
      <c r="AY569">
        <f>IF(COUNT($E$2:$E569)&lt;20,"",MAX($C$470:$C$569))</f>
        <v>0</v>
      </c>
      <c r="AZ569">
        <f>IF(COUNT($E$2:$E569)&lt;20,"",MIN($D$470:$D$569))</f>
        <v>0</v>
      </c>
      <c r="BA569">
        <f>IF(COUNT($E$2:$E569)&lt;20,"",SLOPE($E$470:$E$569,$F$470:$F$569))</f>
        <v>0</v>
      </c>
      <c r="BB569">
        <f>IF(COUNT($E$2:$E569)&lt;20,"",INTERCEPT($E$470:$E$569,$F$470:$F$569))</f>
        <v>0</v>
      </c>
      <c r="BC569">
        <f>IF(OR(BA569="",BB569=""),"",BB569+BA569*F569)</f>
        <v>0</v>
      </c>
      <c r="BD569">
        <f>IF(COUNT($E$2:$E569)&lt;20,"",STEYX($E$470:$E$569,$F$470:$F$569))</f>
        <v>0</v>
      </c>
      <c r="BE569">
        <f>IF($E569="","",IF(AND(COUNT($E$570:$E$573)&gt;=4,$C569=MAX($C$565:$C$573)),$C569,""))</f>
        <v>0</v>
      </c>
      <c r="BF569">
        <f>IF($E569="","",IF(AND(COUNT($E$570:$E$573)&gt;=4,$D569=MIN($D$565:$D$573)),$D569,""))</f>
        <v>0</v>
      </c>
      <c r="BG569">
        <f>IF($A569="","",$A569-WEEKDAY($A569,2)+1)</f>
        <v>0</v>
      </c>
      <c r="BH569">
        <f>IF($A569="","",IF($A568="",1,IF(BG569&lt;&gt;BG568,1,0)))</f>
        <v>0</v>
      </c>
      <c r="BI569">
        <f>IF($A569="","",IF($A570="",1,IF(BG570&lt;&gt;BG569,1,0)))</f>
        <v>0</v>
      </c>
      <c r="BJ569">
        <f>IF($A569="","",IF(BH569=1,$B569,BJ568))</f>
        <v>0</v>
      </c>
      <c r="BK569">
        <f>IF($A569="","",IF(BH569=1,$C569,MAX($C569,BK568)))</f>
        <v>0</v>
      </c>
      <c r="BL569">
        <f>IF($A569="","",IF(BH569=1,$D569,MIN($D569,BL568)))</f>
        <v>0</v>
      </c>
      <c r="BM569">
        <f>IF($A569="","",IF(BI569=1,F569,""))</f>
        <v>0</v>
      </c>
      <c r="BN569">
        <f>IF($A569="","",DATE(YEAR($A569),MONTH($A569),1))</f>
        <v>0</v>
      </c>
      <c r="BO569">
        <f>IF($A569="","",IF($A568="",1,IF(BN569&lt;&gt;BN568,1,0)))</f>
        <v>0</v>
      </c>
      <c r="BP569">
        <f>IF($A569="","",IF($A570="",1,IF(BN570&lt;&gt;BN569,1,0)))</f>
        <v>0</v>
      </c>
      <c r="BQ569">
        <f>IF($A569="","",IF(BO569=1,$B569,BQ568))</f>
        <v>0</v>
      </c>
      <c r="BR569">
        <f>IF($A569="","",IF(BO569=1,$C569,MAX($C569,BR568)))</f>
        <v>0</v>
      </c>
      <c r="BS569">
        <f>IF($A569="","",IF(BO569=1,$D569,MIN($D569,BS568)))</f>
        <v>0</v>
      </c>
      <c r="BT569">
        <f>IF($A569="","",IF(BP569=1,F569,""))</f>
        <v>0</v>
      </c>
    </row>
    <row r="570" spans="1:72">
      <c r="A570" s="27">
        <f>IF(Data!$A570="","",Data!$A570)</f>
        <v>0</v>
      </c>
      <c r="B570">
        <f>IF(Data!$B570="","",Data!$B570)</f>
        <v>0</v>
      </c>
      <c r="C570">
        <f>IF(Data!$C570="","",Data!$C570)</f>
        <v>0</v>
      </c>
      <c r="D570">
        <f>IF(Data!$D570="","",Data!$D570)</f>
        <v>0</v>
      </c>
      <c r="E570">
        <f>IF(Data!$E570="","",Data!$E570)</f>
        <v>0</v>
      </c>
      <c r="F570">
        <f>IF($E570="","",N(F569)+1)</f>
        <v>0</v>
      </c>
      <c r="G570">
        <f>IF(OR($E570="",$E569=""),"",LN($E570/$E569))</f>
        <v>0</v>
      </c>
      <c r="H570">
        <f>IF($E570="","",IF($E569="",$E570,$E570*0.0952380952+H569*0.9047619048))</f>
        <v>0</v>
      </c>
      <c r="I570">
        <f>IF($E570="","",IF($E569="",$E570,$E570*0.0392156863+I569*0.9607843137))</f>
        <v>0</v>
      </c>
      <c r="J570">
        <f>IF($E570="","",IF($E569="",$E570,$E570*0.0198019802+J569*0.9801980198))</f>
        <v>0</v>
      </c>
      <c r="K570">
        <f>IF($E570="","",IF($E569="",$E570,$E570*0.0099502488+K569*0.9900497512))</f>
        <v>0</v>
      </c>
      <c r="L570">
        <f>IF(OR($E570="",$E569=""),"",MAX($E570-$E569,0))</f>
        <v>0</v>
      </c>
      <c r="M570">
        <f>IF(OR($E570="",$E569=""),"",MAX($E569-$E570,0))</f>
        <v>0</v>
      </c>
      <c r="N570">
        <f>IF(COUNT($E$2:$E570)&lt;15,"",IF(AVERAGE($M$557:$M$570)=0,100,100-100/(1+AVERAGE($L$557:$L$570)/AVERAGE($M$557:$M$570))))</f>
        <v>0</v>
      </c>
      <c r="O570">
        <f>IF($E570="","",IF($E569="",$E570,$E570*0.1538461538+O569*0.8461538462))</f>
        <v>0</v>
      </c>
      <c r="P570">
        <f>IF($E570="","",IF($E569="",$E570,$E570*0.0740740741+P569*0.9259259259))</f>
        <v>0</v>
      </c>
      <c r="Q570">
        <f>IF(OR(O570="",P570=""),"",O570-P570)</f>
        <v>0</v>
      </c>
      <c r="R570">
        <f>IF(Q570="","",IF(R569="",Q570,Q570*0.2000000000+R569*0.8000000000))</f>
        <v>0</v>
      </c>
      <c r="S570">
        <f>IF(OR(Q570="",R570=""),"",Q570-R570)</f>
        <v>0</v>
      </c>
      <c r="T570">
        <f>IF(COUNT($E$2:$E570)&lt;14,"",MAX($C$557:$C$570))</f>
        <v>0</v>
      </c>
      <c r="U570">
        <f>IF(COUNT($E$2:$E570)&lt;14,"",MIN($D$557:$D$570))</f>
        <v>0</v>
      </c>
      <c r="V570">
        <f>IF(OR(T570="",U570="",T570=U570),"",100*($E570-U570)/(T570-U570))</f>
        <v>0</v>
      </c>
      <c r="W570">
        <f>IF(COUNT($V$568:$V$570)&lt;3,"",AVERAGE($V$568:$V$570))</f>
        <v>0</v>
      </c>
      <c r="X570">
        <f>IF(COUNT($N$557:$N$570)&lt;14,"",MIN($N$557:$N$570))</f>
        <v>0</v>
      </c>
      <c r="Y570">
        <f>IF(COUNT($N$557:$N$570)&lt;14,"",MAX($N$557:$N$570))</f>
        <v>0</v>
      </c>
      <c r="Z570">
        <f>IF(OR(N570="",X570="",Y570="",Y570=X570),"",100*(N570-X570)/(Y570-X570))</f>
        <v>0</v>
      </c>
      <c r="AA570">
        <f>IF(COUNT($Z$568:$Z$570)&lt;3,"",AVERAGE($Z$568:$Z$570))</f>
        <v>0</v>
      </c>
      <c r="AB570">
        <f>IF(COUNT($AA$568:$AA$570)&lt;3,"",AVERAGE($AA$568:$AA$570))</f>
        <v>0</v>
      </c>
      <c r="AC570">
        <f>IF($E570="","",MAX($C570-$D570,ABS($C570-$E569),ABS($D570-$E569)))</f>
        <v>0</v>
      </c>
      <c r="AD570">
        <f>IF(COUNT($E$2:$E570)&lt;15,"",AVERAGE($AC$557:$AC$570))</f>
        <v>0</v>
      </c>
      <c r="AE570">
        <f>IF(OR($E570="",$E569=""),"",IF(AND(($C570-$C569)&gt;($D569-$D570),($C570-$C569)&gt;0),$C570-$C569,0))</f>
        <v>0</v>
      </c>
      <c r="AF570">
        <f>IF(OR($E570="",$E569=""),"",IF(AND(($D569-$D570)&gt;($C570-$C569),($D569-$D570)&gt;0),$D569-$D570,0))</f>
        <v>0</v>
      </c>
      <c r="AG570">
        <f>IF(COUNT($E$2:$E570)&lt;15,"",IF(SUM($AC$557:$AC$570)=0,0,100*SUM($AE$557:$AE$570)/SUM($AC$557:$AC$570)))</f>
        <v>0</v>
      </c>
      <c r="AH570">
        <f>IF(COUNT($E$2:$E570)&lt;15,"",IF(SUM($AC$557:$AC$570)=0,0,100*SUM($AF$557:$AF$570)/SUM($AC$557:$AC$570)))</f>
        <v>0</v>
      </c>
      <c r="AI570">
        <f>IF(OR(AG570="",AH570=""),"",IF((AG570+AH570)=0,0,100*ABS(AG570-AH570)/(AG570+AH570)))</f>
        <v>0</v>
      </c>
      <c r="AJ570">
        <f>IF(COUNT($AI$557:$AI$570)&lt;14,"",AVERAGE($AI$557:$AI$570))</f>
        <v>0</v>
      </c>
      <c r="AK570">
        <f>IF(COUNT($E$2:$E570)&lt;20,"",AVERAGE($E$551:$E$570))</f>
        <v>0</v>
      </c>
      <c r="AL570">
        <f>IF(COUNT($E$2:$E570)&lt;20,"",STDEVP($E$551:$E$570))</f>
        <v>0</v>
      </c>
      <c r="AM570">
        <f>IF(AK570="","",AK570+2*AL570)</f>
        <v>0</v>
      </c>
      <c r="AN570">
        <f>IF(AK570="","",AK570-2*AL570)</f>
        <v>0</v>
      </c>
      <c r="AO570">
        <f>IF(OR(AM570="",AN570="",AM570=AN570),"",($E570-AN570)/(AM570-AN570))</f>
        <v>0</v>
      </c>
      <c r="AP570">
        <f>IF(OR(AM570="",AK570="",AK570=0),"",(AM570-AN570)/AK570)</f>
        <v>0</v>
      </c>
      <c r="AQ570">
        <f>IF(COUNT($E$2:$E570)&lt;20,"",MAX($C$551:$C$570))</f>
        <v>0</v>
      </c>
      <c r="AR570">
        <f>IF(COUNT($E$2:$E570)&lt;20,"",MIN($D$551:$D$570))</f>
        <v>0</v>
      </c>
      <c r="AS570">
        <f>IF(OR(AQ570="",AR570=""),"",(AQ570+AR570)/2)</f>
        <v>0</v>
      </c>
      <c r="AT570">
        <f>IF(COUNT($G$551:$G$570)&lt;20,"",STDEV($G$551:$G$570)*SQRT(252))</f>
        <v>0</v>
      </c>
      <c r="AU570">
        <f>IF(COUNT($E$2:$E570)&lt;9,"",(MAX($C$562:$C$570)+MIN($D$562:$D$570))/2)</f>
        <v>0</v>
      </c>
      <c r="AV570">
        <f>IF(COUNT($E$2:$E570)&lt;26,"",(MAX($C$545:$C$570)+MIN($D$545:$D$570))/2)</f>
        <v>0</v>
      </c>
      <c r="AW570">
        <f>IF(OR(AU570="",AV570=""),"",(AU570+AV570)/2)</f>
        <v>0</v>
      </c>
      <c r="AX570">
        <f>IF(COUNT($E$2:$E570)&lt;52,"",(MAX($C$519:$C$570)+MIN($D$519:$D$570))/2)</f>
        <v>0</v>
      </c>
      <c r="AY570">
        <f>IF(COUNT($E$2:$E570)&lt;20,"",MAX($C$471:$C$570))</f>
        <v>0</v>
      </c>
      <c r="AZ570">
        <f>IF(COUNT($E$2:$E570)&lt;20,"",MIN($D$471:$D$570))</f>
        <v>0</v>
      </c>
      <c r="BA570">
        <f>IF(COUNT($E$2:$E570)&lt;20,"",SLOPE($E$471:$E$570,$F$471:$F$570))</f>
        <v>0</v>
      </c>
      <c r="BB570">
        <f>IF(COUNT($E$2:$E570)&lt;20,"",INTERCEPT($E$471:$E$570,$F$471:$F$570))</f>
        <v>0</v>
      </c>
      <c r="BC570">
        <f>IF(OR(BA570="",BB570=""),"",BB570+BA570*F570)</f>
        <v>0</v>
      </c>
      <c r="BD570">
        <f>IF(COUNT($E$2:$E570)&lt;20,"",STEYX($E$471:$E$570,$F$471:$F$570))</f>
        <v>0</v>
      </c>
      <c r="BE570">
        <f>IF($E570="","",IF(AND(COUNT($E$571:$E$574)&gt;=4,$C570=MAX($C$566:$C$574)),$C570,""))</f>
        <v>0</v>
      </c>
      <c r="BF570">
        <f>IF($E570="","",IF(AND(COUNT($E$571:$E$574)&gt;=4,$D570=MIN($D$566:$D$574)),$D570,""))</f>
        <v>0</v>
      </c>
      <c r="BG570">
        <f>IF($A570="","",$A570-WEEKDAY($A570,2)+1)</f>
        <v>0</v>
      </c>
      <c r="BH570">
        <f>IF($A570="","",IF($A569="",1,IF(BG570&lt;&gt;BG569,1,0)))</f>
        <v>0</v>
      </c>
      <c r="BI570">
        <f>IF($A570="","",IF($A571="",1,IF(BG571&lt;&gt;BG570,1,0)))</f>
        <v>0</v>
      </c>
      <c r="BJ570">
        <f>IF($A570="","",IF(BH570=1,$B570,BJ569))</f>
        <v>0</v>
      </c>
      <c r="BK570">
        <f>IF($A570="","",IF(BH570=1,$C570,MAX($C570,BK569)))</f>
        <v>0</v>
      </c>
      <c r="BL570">
        <f>IF($A570="","",IF(BH570=1,$D570,MIN($D570,BL569)))</f>
        <v>0</v>
      </c>
      <c r="BM570">
        <f>IF($A570="","",IF(BI570=1,F570,""))</f>
        <v>0</v>
      </c>
      <c r="BN570">
        <f>IF($A570="","",DATE(YEAR($A570),MONTH($A570),1))</f>
        <v>0</v>
      </c>
      <c r="BO570">
        <f>IF($A570="","",IF($A569="",1,IF(BN570&lt;&gt;BN569,1,0)))</f>
        <v>0</v>
      </c>
      <c r="BP570">
        <f>IF($A570="","",IF($A571="",1,IF(BN571&lt;&gt;BN570,1,0)))</f>
        <v>0</v>
      </c>
      <c r="BQ570">
        <f>IF($A570="","",IF(BO570=1,$B570,BQ569))</f>
        <v>0</v>
      </c>
      <c r="BR570">
        <f>IF($A570="","",IF(BO570=1,$C570,MAX($C570,BR569)))</f>
        <v>0</v>
      </c>
      <c r="BS570">
        <f>IF($A570="","",IF(BO570=1,$D570,MIN($D570,BS569)))</f>
        <v>0</v>
      </c>
      <c r="BT570">
        <f>IF($A570="","",IF(BP570=1,F570,""))</f>
        <v>0</v>
      </c>
    </row>
    <row r="571" spans="1:72">
      <c r="A571" s="27">
        <f>IF(Data!$A571="","",Data!$A571)</f>
        <v>0</v>
      </c>
      <c r="B571">
        <f>IF(Data!$B571="","",Data!$B571)</f>
        <v>0</v>
      </c>
      <c r="C571">
        <f>IF(Data!$C571="","",Data!$C571)</f>
        <v>0</v>
      </c>
      <c r="D571">
        <f>IF(Data!$D571="","",Data!$D571)</f>
        <v>0</v>
      </c>
      <c r="E571">
        <f>IF(Data!$E571="","",Data!$E571)</f>
        <v>0</v>
      </c>
      <c r="F571">
        <f>IF($E571="","",N(F570)+1)</f>
        <v>0</v>
      </c>
      <c r="G571">
        <f>IF(OR($E571="",$E570=""),"",LN($E571/$E570))</f>
        <v>0</v>
      </c>
      <c r="H571">
        <f>IF($E571="","",IF($E570="",$E571,$E571*0.0952380952+H570*0.9047619048))</f>
        <v>0</v>
      </c>
      <c r="I571">
        <f>IF($E571="","",IF($E570="",$E571,$E571*0.0392156863+I570*0.9607843137))</f>
        <v>0</v>
      </c>
      <c r="J571">
        <f>IF($E571="","",IF($E570="",$E571,$E571*0.0198019802+J570*0.9801980198))</f>
        <v>0</v>
      </c>
      <c r="K571">
        <f>IF($E571="","",IF($E570="",$E571,$E571*0.0099502488+K570*0.9900497512))</f>
        <v>0</v>
      </c>
      <c r="L571">
        <f>IF(OR($E571="",$E570=""),"",MAX($E571-$E570,0))</f>
        <v>0</v>
      </c>
      <c r="M571">
        <f>IF(OR($E571="",$E570=""),"",MAX($E570-$E571,0))</f>
        <v>0</v>
      </c>
      <c r="N571">
        <f>IF(COUNT($E$2:$E571)&lt;15,"",IF(AVERAGE($M$558:$M$571)=0,100,100-100/(1+AVERAGE($L$558:$L$571)/AVERAGE($M$558:$M$571))))</f>
        <v>0</v>
      </c>
      <c r="O571">
        <f>IF($E571="","",IF($E570="",$E571,$E571*0.1538461538+O570*0.8461538462))</f>
        <v>0</v>
      </c>
      <c r="P571">
        <f>IF($E571="","",IF($E570="",$E571,$E571*0.0740740741+P570*0.9259259259))</f>
        <v>0</v>
      </c>
      <c r="Q571">
        <f>IF(OR(O571="",P571=""),"",O571-P571)</f>
        <v>0</v>
      </c>
      <c r="R571">
        <f>IF(Q571="","",IF(R570="",Q571,Q571*0.2000000000+R570*0.8000000000))</f>
        <v>0</v>
      </c>
      <c r="S571">
        <f>IF(OR(Q571="",R571=""),"",Q571-R571)</f>
        <v>0</v>
      </c>
      <c r="T571">
        <f>IF(COUNT($E$2:$E571)&lt;14,"",MAX($C$558:$C$571))</f>
        <v>0</v>
      </c>
      <c r="U571">
        <f>IF(COUNT($E$2:$E571)&lt;14,"",MIN($D$558:$D$571))</f>
        <v>0</v>
      </c>
      <c r="V571">
        <f>IF(OR(T571="",U571="",T571=U571),"",100*($E571-U571)/(T571-U571))</f>
        <v>0</v>
      </c>
      <c r="W571">
        <f>IF(COUNT($V$569:$V$571)&lt;3,"",AVERAGE($V$569:$V$571))</f>
        <v>0</v>
      </c>
      <c r="X571">
        <f>IF(COUNT($N$558:$N$571)&lt;14,"",MIN($N$558:$N$571))</f>
        <v>0</v>
      </c>
      <c r="Y571">
        <f>IF(COUNT($N$558:$N$571)&lt;14,"",MAX($N$558:$N$571))</f>
        <v>0</v>
      </c>
      <c r="Z571">
        <f>IF(OR(N571="",X571="",Y571="",Y571=X571),"",100*(N571-X571)/(Y571-X571))</f>
        <v>0</v>
      </c>
      <c r="AA571">
        <f>IF(COUNT($Z$569:$Z$571)&lt;3,"",AVERAGE($Z$569:$Z$571))</f>
        <v>0</v>
      </c>
      <c r="AB571">
        <f>IF(COUNT($AA$569:$AA$571)&lt;3,"",AVERAGE($AA$569:$AA$571))</f>
        <v>0</v>
      </c>
      <c r="AC571">
        <f>IF($E571="","",MAX($C571-$D571,ABS($C571-$E570),ABS($D571-$E570)))</f>
        <v>0</v>
      </c>
      <c r="AD571">
        <f>IF(COUNT($E$2:$E571)&lt;15,"",AVERAGE($AC$558:$AC$571))</f>
        <v>0</v>
      </c>
      <c r="AE571">
        <f>IF(OR($E571="",$E570=""),"",IF(AND(($C571-$C570)&gt;($D570-$D571),($C571-$C570)&gt;0),$C571-$C570,0))</f>
        <v>0</v>
      </c>
      <c r="AF571">
        <f>IF(OR($E571="",$E570=""),"",IF(AND(($D570-$D571)&gt;($C571-$C570),($D570-$D571)&gt;0),$D570-$D571,0))</f>
        <v>0</v>
      </c>
      <c r="AG571">
        <f>IF(COUNT($E$2:$E571)&lt;15,"",IF(SUM($AC$558:$AC$571)=0,0,100*SUM($AE$558:$AE$571)/SUM($AC$558:$AC$571)))</f>
        <v>0</v>
      </c>
      <c r="AH571">
        <f>IF(COUNT($E$2:$E571)&lt;15,"",IF(SUM($AC$558:$AC$571)=0,0,100*SUM($AF$558:$AF$571)/SUM($AC$558:$AC$571)))</f>
        <v>0</v>
      </c>
      <c r="AI571">
        <f>IF(OR(AG571="",AH571=""),"",IF((AG571+AH571)=0,0,100*ABS(AG571-AH571)/(AG571+AH571)))</f>
        <v>0</v>
      </c>
      <c r="AJ571">
        <f>IF(COUNT($AI$558:$AI$571)&lt;14,"",AVERAGE($AI$558:$AI$571))</f>
        <v>0</v>
      </c>
      <c r="AK571">
        <f>IF(COUNT($E$2:$E571)&lt;20,"",AVERAGE($E$552:$E$571))</f>
        <v>0</v>
      </c>
      <c r="AL571">
        <f>IF(COUNT($E$2:$E571)&lt;20,"",STDEVP($E$552:$E$571))</f>
        <v>0</v>
      </c>
      <c r="AM571">
        <f>IF(AK571="","",AK571+2*AL571)</f>
        <v>0</v>
      </c>
      <c r="AN571">
        <f>IF(AK571="","",AK571-2*AL571)</f>
        <v>0</v>
      </c>
      <c r="AO571">
        <f>IF(OR(AM571="",AN571="",AM571=AN571),"",($E571-AN571)/(AM571-AN571))</f>
        <v>0</v>
      </c>
      <c r="AP571">
        <f>IF(OR(AM571="",AK571="",AK571=0),"",(AM571-AN571)/AK571)</f>
        <v>0</v>
      </c>
      <c r="AQ571">
        <f>IF(COUNT($E$2:$E571)&lt;20,"",MAX($C$552:$C$571))</f>
        <v>0</v>
      </c>
      <c r="AR571">
        <f>IF(COUNT($E$2:$E571)&lt;20,"",MIN($D$552:$D$571))</f>
        <v>0</v>
      </c>
      <c r="AS571">
        <f>IF(OR(AQ571="",AR571=""),"",(AQ571+AR571)/2)</f>
        <v>0</v>
      </c>
      <c r="AT571">
        <f>IF(COUNT($G$552:$G$571)&lt;20,"",STDEV($G$552:$G$571)*SQRT(252))</f>
        <v>0</v>
      </c>
      <c r="AU571">
        <f>IF(COUNT($E$2:$E571)&lt;9,"",(MAX($C$563:$C$571)+MIN($D$563:$D$571))/2)</f>
        <v>0</v>
      </c>
      <c r="AV571">
        <f>IF(COUNT($E$2:$E571)&lt;26,"",(MAX($C$546:$C$571)+MIN($D$546:$D$571))/2)</f>
        <v>0</v>
      </c>
      <c r="AW571">
        <f>IF(OR(AU571="",AV571=""),"",(AU571+AV571)/2)</f>
        <v>0</v>
      </c>
      <c r="AX571">
        <f>IF(COUNT($E$2:$E571)&lt;52,"",(MAX($C$520:$C$571)+MIN($D$520:$D$571))/2)</f>
        <v>0</v>
      </c>
      <c r="AY571">
        <f>IF(COUNT($E$2:$E571)&lt;20,"",MAX($C$472:$C$571))</f>
        <v>0</v>
      </c>
      <c r="AZ571">
        <f>IF(COUNT($E$2:$E571)&lt;20,"",MIN($D$472:$D$571))</f>
        <v>0</v>
      </c>
      <c r="BA571">
        <f>IF(COUNT($E$2:$E571)&lt;20,"",SLOPE($E$472:$E$571,$F$472:$F$571))</f>
        <v>0</v>
      </c>
      <c r="BB571">
        <f>IF(COUNT($E$2:$E571)&lt;20,"",INTERCEPT($E$472:$E$571,$F$472:$F$571))</f>
        <v>0</v>
      </c>
      <c r="BC571">
        <f>IF(OR(BA571="",BB571=""),"",BB571+BA571*F571)</f>
        <v>0</v>
      </c>
      <c r="BD571">
        <f>IF(COUNT($E$2:$E571)&lt;20,"",STEYX($E$472:$E$571,$F$472:$F$571))</f>
        <v>0</v>
      </c>
      <c r="BE571">
        <f>IF($E571="","",IF(AND(COUNT($E$572:$E$575)&gt;=4,$C571=MAX($C$567:$C$575)),$C571,""))</f>
        <v>0</v>
      </c>
      <c r="BF571">
        <f>IF($E571="","",IF(AND(COUNT($E$572:$E$575)&gt;=4,$D571=MIN($D$567:$D$575)),$D571,""))</f>
        <v>0</v>
      </c>
      <c r="BG571">
        <f>IF($A571="","",$A571-WEEKDAY($A571,2)+1)</f>
        <v>0</v>
      </c>
      <c r="BH571">
        <f>IF($A571="","",IF($A570="",1,IF(BG571&lt;&gt;BG570,1,0)))</f>
        <v>0</v>
      </c>
      <c r="BI571">
        <f>IF($A571="","",IF($A572="",1,IF(BG572&lt;&gt;BG571,1,0)))</f>
        <v>0</v>
      </c>
      <c r="BJ571">
        <f>IF($A571="","",IF(BH571=1,$B571,BJ570))</f>
        <v>0</v>
      </c>
      <c r="BK571">
        <f>IF($A571="","",IF(BH571=1,$C571,MAX($C571,BK570)))</f>
        <v>0</v>
      </c>
      <c r="BL571">
        <f>IF($A571="","",IF(BH571=1,$D571,MIN($D571,BL570)))</f>
        <v>0</v>
      </c>
      <c r="BM571">
        <f>IF($A571="","",IF(BI571=1,F571,""))</f>
        <v>0</v>
      </c>
      <c r="BN571">
        <f>IF($A571="","",DATE(YEAR($A571),MONTH($A571),1))</f>
        <v>0</v>
      </c>
      <c r="BO571">
        <f>IF($A571="","",IF($A570="",1,IF(BN571&lt;&gt;BN570,1,0)))</f>
        <v>0</v>
      </c>
      <c r="BP571">
        <f>IF($A571="","",IF($A572="",1,IF(BN572&lt;&gt;BN571,1,0)))</f>
        <v>0</v>
      </c>
      <c r="BQ571">
        <f>IF($A571="","",IF(BO571=1,$B571,BQ570))</f>
        <v>0</v>
      </c>
      <c r="BR571">
        <f>IF($A571="","",IF(BO571=1,$C571,MAX($C571,BR570)))</f>
        <v>0</v>
      </c>
      <c r="BS571">
        <f>IF($A571="","",IF(BO571=1,$D571,MIN($D571,BS570)))</f>
        <v>0</v>
      </c>
      <c r="BT571">
        <f>IF($A571="","",IF(BP571=1,F571,""))</f>
        <v>0</v>
      </c>
    </row>
    <row r="572" spans="1:72">
      <c r="A572" s="27">
        <f>IF(Data!$A572="","",Data!$A572)</f>
        <v>0</v>
      </c>
      <c r="B572">
        <f>IF(Data!$B572="","",Data!$B572)</f>
        <v>0</v>
      </c>
      <c r="C572">
        <f>IF(Data!$C572="","",Data!$C572)</f>
        <v>0</v>
      </c>
      <c r="D572">
        <f>IF(Data!$D572="","",Data!$D572)</f>
        <v>0</v>
      </c>
      <c r="E572">
        <f>IF(Data!$E572="","",Data!$E572)</f>
        <v>0</v>
      </c>
      <c r="F572">
        <f>IF($E572="","",N(F571)+1)</f>
        <v>0</v>
      </c>
      <c r="G572">
        <f>IF(OR($E572="",$E571=""),"",LN($E572/$E571))</f>
        <v>0</v>
      </c>
      <c r="H572">
        <f>IF($E572="","",IF($E571="",$E572,$E572*0.0952380952+H571*0.9047619048))</f>
        <v>0</v>
      </c>
      <c r="I572">
        <f>IF($E572="","",IF($E571="",$E572,$E572*0.0392156863+I571*0.9607843137))</f>
        <v>0</v>
      </c>
      <c r="J572">
        <f>IF($E572="","",IF($E571="",$E572,$E572*0.0198019802+J571*0.9801980198))</f>
        <v>0</v>
      </c>
      <c r="K572">
        <f>IF($E572="","",IF($E571="",$E572,$E572*0.0099502488+K571*0.9900497512))</f>
        <v>0</v>
      </c>
      <c r="L572">
        <f>IF(OR($E572="",$E571=""),"",MAX($E572-$E571,0))</f>
        <v>0</v>
      </c>
      <c r="M572">
        <f>IF(OR($E572="",$E571=""),"",MAX($E571-$E572,0))</f>
        <v>0</v>
      </c>
      <c r="N572">
        <f>IF(COUNT($E$2:$E572)&lt;15,"",IF(AVERAGE($M$559:$M$572)=0,100,100-100/(1+AVERAGE($L$559:$L$572)/AVERAGE($M$559:$M$572))))</f>
        <v>0</v>
      </c>
      <c r="O572">
        <f>IF($E572="","",IF($E571="",$E572,$E572*0.1538461538+O571*0.8461538462))</f>
        <v>0</v>
      </c>
      <c r="P572">
        <f>IF($E572="","",IF($E571="",$E572,$E572*0.0740740741+P571*0.9259259259))</f>
        <v>0</v>
      </c>
      <c r="Q572">
        <f>IF(OR(O572="",P572=""),"",O572-P572)</f>
        <v>0</v>
      </c>
      <c r="R572">
        <f>IF(Q572="","",IF(R571="",Q572,Q572*0.2000000000+R571*0.8000000000))</f>
        <v>0</v>
      </c>
      <c r="S572">
        <f>IF(OR(Q572="",R572=""),"",Q572-R572)</f>
        <v>0</v>
      </c>
      <c r="T572">
        <f>IF(COUNT($E$2:$E572)&lt;14,"",MAX($C$559:$C$572))</f>
        <v>0</v>
      </c>
      <c r="U572">
        <f>IF(COUNT($E$2:$E572)&lt;14,"",MIN($D$559:$D$572))</f>
        <v>0</v>
      </c>
      <c r="V572">
        <f>IF(OR(T572="",U572="",T572=U572),"",100*($E572-U572)/(T572-U572))</f>
        <v>0</v>
      </c>
      <c r="W572">
        <f>IF(COUNT($V$570:$V$572)&lt;3,"",AVERAGE($V$570:$V$572))</f>
        <v>0</v>
      </c>
      <c r="X572">
        <f>IF(COUNT($N$559:$N$572)&lt;14,"",MIN($N$559:$N$572))</f>
        <v>0</v>
      </c>
      <c r="Y572">
        <f>IF(COUNT($N$559:$N$572)&lt;14,"",MAX($N$559:$N$572))</f>
        <v>0</v>
      </c>
      <c r="Z572">
        <f>IF(OR(N572="",X572="",Y572="",Y572=X572),"",100*(N572-X572)/(Y572-X572))</f>
        <v>0</v>
      </c>
      <c r="AA572">
        <f>IF(COUNT($Z$570:$Z$572)&lt;3,"",AVERAGE($Z$570:$Z$572))</f>
        <v>0</v>
      </c>
      <c r="AB572">
        <f>IF(COUNT($AA$570:$AA$572)&lt;3,"",AVERAGE($AA$570:$AA$572))</f>
        <v>0</v>
      </c>
      <c r="AC572">
        <f>IF($E572="","",MAX($C572-$D572,ABS($C572-$E571),ABS($D572-$E571)))</f>
        <v>0</v>
      </c>
      <c r="AD572">
        <f>IF(COUNT($E$2:$E572)&lt;15,"",AVERAGE($AC$559:$AC$572))</f>
        <v>0</v>
      </c>
      <c r="AE572">
        <f>IF(OR($E572="",$E571=""),"",IF(AND(($C572-$C571)&gt;($D571-$D572),($C572-$C571)&gt;0),$C572-$C571,0))</f>
        <v>0</v>
      </c>
      <c r="AF572">
        <f>IF(OR($E572="",$E571=""),"",IF(AND(($D571-$D572)&gt;($C572-$C571),($D571-$D572)&gt;0),$D571-$D572,0))</f>
        <v>0</v>
      </c>
      <c r="AG572">
        <f>IF(COUNT($E$2:$E572)&lt;15,"",IF(SUM($AC$559:$AC$572)=0,0,100*SUM($AE$559:$AE$572)/SUM($AC$559:$AC$572)))</f>
        <v>0</v>
      </c>
      <c r="AH572">
        <f>IF(COUNT($E$2:$E572)&lt;15,"",IF(SUM($AC$559:$AC$572)=0,0,100*SUM($AF$559:$AF$572)/SUM($AC$559:$AC$572)))</f>
        <v>0</v>
      </c>
      <c r="AI572">
        <f>IF(OR(AG572="",AH572=""),"",IF((AG572+AH572)=0,0,100*ABS(AG572-AH572)/(AG572+AH572)))</f>
        <v>0</v>
      </c>
      <c r="AJ572">
        <f>IF(COUNT($AI$559:$AI$572)&lt;14,"",AVERAGE($AI$559:$AI$572))</f>
        <v>0</v>
      </c>
      <c r="AK572">
        <f>IF(COUNT($E$2:$E572)&lt;20,"",AVERAGE($E$553:$E$572))</f>
        <v>0</v>
      </c>
      <c r="AL572">
        <f>IF(COUNT($E$2:$E572)&lt;20,"",STDEVP($E$553:$E$572))</f>
        <v>0</v>
      </c>
      <c r="AM572">
        <f>IF(AK572="","",AK572+2*AL572)</f>
        <v>0</v>
      </c>
      <c r="AN572">
        <f>IF(AK572="","",AK572-2*AL572)</f>
        <v>0</v>
      </c>
      <c r="AO572">
        <f>IF(OR(AM572="",AN572="",AM572=AN572),"",($E572-AN572)/(AM572-AN572))</f>
        <v>0</v>
      </c>
      <c r="AP572">
        <f>IF(OR(AM572="",AK572="",AK572=0),"",(AM572-AN572)/AK572)</f>
        <v>0</v>
      </c>
      <c r="AQ572">
        <f>IF(COUNT($E$2:$E572)&lt;20,"",MAX($C$553:$C$572))</f>
        <v>0</v>
      </c>
      <c r="AR572">
        <f>IF(COUNT($E$2:$E572)&lt;20,"",MIN($D$553:$D$572))</f>
        <v>0</v>
      </c>
      <c r="AS572">
        <f>IF(OR(AQ572="",AR572=""),"",(AQ572+AR572)/2)</f>
        <v>0</v>
      </c>
      <c r="AT572">
        <f>IF(COUNT($G$553:$G$572)&lt;20,"",STDEV($G$553:$G$572)*SQRT(252))</f>
        <v>0</v>
      </c>
      <c r="AU572">
        <f>IF(COUNT($E$2:$E572)&lt;9,"",(MAX($C$564:$C$572)+MIN($D$564:$D$572))/2)</f>
        <v>0</v>
      </c>
      <c r="AV572">
        <f>IF(COUNT($E$2:$E572)&lt;26,"",(MAX($C$547:$C$572)+MIN($D$547:$D$572))/2)</f>
        <v>0</v>
      </c>
      <c r="AW572">
        <f>IF(OR(AU572="",AV572=""),"",(AU572+AV572)/2)</f>
        <v>0</v>
      </c>
      <c r="AX572">
        <f>IF(COUNT($E$2:$E572)&lt;52,"",(MAX($C$521:$C$572)+MIN($D$521:$D$572))/2)</f>
        <v>0</v>
      </c>
      <c r="AY572">
        <f>IF(COUNT($E$2:$E572)&lt;20,"",MAX($C$473:$C$572))</f>
        <v>0</v>
      </c>
      <c r="AZ572">
        <f>IF(COUNT($E$2:$E572)&lt;20,"",MIN($D$473:$D$572))</f>
        <v>0</v>
      </c>
      <c r="BA572">
        <f>IF(COUNT($E$2:$E572)&lt;20,"",SLOPE($E$473:$E$572,$F$473:$F$572))</f>
        <v>0</v>
      </c>
      <c r="BB572">
        <f>IF(COUNT($E$2:$E572)&lt;20,"",INTERCEPT($E$473:$E$572,$F$473:$F$572))</f>
        <v>0</v>
      </c>
      <c r="BC572">
        <f>IF(OR(BA572="",BB572=""),"",BB572+BA572*F572)</f>
        <v>0</v>
      </c>
      <c r="BD572">
        <f>IF(COUNT($E$2:$E572)&lt;20,"",STEYX($E$473:$E$572,$F$473:$F$572))</f>
        <v>0</v>
      </c>
      <c r="BE572">
        <f>IF($E572="","",IF(AND(COUNT($E$573:$E$576)&gt;=4,$C572=MAX($C$568:$C$576)),$C572,""))</f>
        <v>0</v>
      </c>
      <c r="BF572">
        <f>IF($E572="","",IF(AND(COUNT($E$573:$E$576)&gt;=4,$D572=MIN($D$568:$D$576)),$D572,""))</f>
        <v>0</v>
      </c>
      <c r="BG572">
        <f>IF($A572="","",$A572-WEEKDAY($A572,2)+1)</f>
        <v>0</v>
      </c>
      <c r="BH572">
        <f>IF($A572="","",IF($A571="",1,IF(BG572&lt;&gt;BG571,1,0)))</f>
        <v>0</v>
      </c>
      <c r="BI572">
        <f>IF($A572="","",IF($A573="",1,IF(BG573&lt;&gt;BG572,1,0)))</f>
        <v>0</v>
      </c>
      <c r="BJ572">
        <f>IF($A572="","",IF(BH572=1,$B572,BJ571))</f>
        <v>0</v>
      </c>
      <c r="BK572">
        <f>IF($A572="","",IF(BH572=1,$C572,MAX($C572,BK571)))</f>
        <v>0</v>
      </c>
      <c r="BL572">
        <f>IF($A572="","",IF(BH572=1,$D572,MIN($D572,BL571)))</f>
        <v>0</v>
      </c>
      <c r="BM572">
        <f>IF($A572="","",IF(BI572=1,F572,""))</f>
        <v>0</v>
      </c>
      <c r="BN572">
        <f>IF($A572="","",DATE(YEAR($A572),MONTH($A572),1))</f>
        <v>0</v>
      </c>
      <c r="BO572">
        <f>IF($A572="","",IF($A571="",1,IF(BN572&lt;&gt;BN571,1,0)))</f>
        <v>0</v>
      </c>
      <c r="BP572">
        <f>IF($A572="","",IF($A573="",1,IF(BN573&lt;&gt;BN572,1,0)))</f>
        <v>0</v>
      </c>
      <c r="BQ572">
        <f>IF($A572="","",IF(BO572=1,$B572,BQ571))</f>
        <v>0</v>
      </c>
      <c r="BR572">
        <f>IF($A572="","",IF(BO572=1,$C572,MAX($C572,BR571)))</f>
        <v>0</v>
      </c>
      <c r="BS572">
        <f>IF($A572="","",IF(BO572=1,$D572,MIN($D572,BS571)))</f>
        <v>0</v>
      </c>
      <c r="BT572">
        <f>IF($A572="","",IF(BP572=1,F572,""))</f>
        <v>0</v>
      </c>
    </row>
    <row r="573" spans="1:72">
      <c r="A573" s="27">
        <f>IF(Data!$A573="","",Data!$A573)</f>
        <v>0</v>
      </c>
      <c r="B573">
        <f>IF(Data!$B573="","",Data!$B573)</f>
        <v>0</v>
      </c>
      <c r="C573">
        <f>IF(Data!$C573="","",Data!$C573)</f>
        <v>0</v>
      </c>
      <c r="D573">
        <f>IF(Data!$D573="","",Data!$D573)</f>
        <v>0</v>
      </c>
      <c r="E573">
        <f>IF(Data!$E573="","",Data!$E573)</f>
        <v>0</v>
      </c>
      <c r="F573">
        <f>IF($E573="","",N(F572)+1)</f>
        <v>0</v>
      </c>
      <c r="G573">
        <f>IF(OR($E573="",$E572=""),"",LN($E573/$E572))</f>
        <v>0</v>
      </c>
      <c r="H573">
        <f>IF($E573="","",IF($E572="",$E573,$E573*0.0952380952+H572*0.9047619048))</f>
        <v>0</v>
      </c>
      <c r="I573">
        <f>IF($E573="","",IF($E572="",$E573,$E573*0.0392156863+I572*0.9607843137))</f>
        <v>0</v>
      </c>
      <c r="J573">
        <f>IF($E573="","",IF($E572="",$E573,$E573*0.0198019802+J572*0.9801980198))</f>
        <v>0</v>
      </c>
      <c r="K573">
        <f>IF($E573="","",IF($E572="",$E573,$E573*0.0099502488+K572*0.9900497512))</f>
        <v>0</v>
      </c>
      <c r="L573">
        <f>IF(OR($E573="",$E572=""),"",MAX($E573-$E572,0))</f>
        <v>0</v>
      </c>
      <c r="M573">
        <f>IF(OR($E573="",$E572=""),"",MAX($E572-$E573,0))</f>
        <v>0</v>
      </c>
      <c r="N573">
        <f>IF(COUNT($E$2:$E573)&lt;15,"",IF(AVERAGE($M$560:$M$573)=0,100,100-100/(1+AVERAGE($L$560:$L$573)/AVERAGE($M$560:$M$573))))</f>
        <v>0</v>
      </c>
      <c r="O573">
        <f>IF($E573="","",IF($E572="",$E573,$E573*0.1538461538+O572*0.8461538462))</f>
        <v>0</v>
      </c>
      <c r="P573">
        <f>IF($E573="","",IF($E572="",$E573,$E573*0.0740740741+P572*0.9259259259))</f>
        <v>0</v>
      </c>
      <c r="Q573">
        <f>IF(OR(O573="",P573=""),"",O573-P573)</f>
        <v>0</v>
      </c>
      <c r="R573">
        <f>IF(Q573="","",IF(R572="",Q573,Q573*0.2000000000+R572*0.8000000000))</f>
        <v>0</v>
      </c>
      <c r="S573">
        <f>IF(OR(Q573="",R573=""),"",Q573-R573)</f>
        <v>0</v>
      </c>
      <c r="T573">
        <f>IF(COUNT($E$2:$E573)&lt;14,"",MAX($C$560:$C$573))</f>
        <v>0</v>
      </c>
      <c r="U573">
        <f>IF(COUNT($E$2:$E573)&lt;14,"",MIN($D$560:$D$573))</f>
        <v>0</v>
      </c>
      <c r="V573">
        <f>IF(OR(T573="",U573="",T573=U573),"",100*($E573-U573)/(T573-U573))</f>
        <v>0</v>
      </c>
      <c r="W573">
        <f>IF(COUNT($V$571:$V$573)&lt;3,"",AVERAGE($V$571:$V$573))</f>
        <v>0</v>
      </c>
      <c r="X573">
        <f>IF(COUNT($N$560:$N$573)&lt;14,"",MIN($N$560:$N$573))</f>
        <v>0</v>
      </c>
      <c r="Y573">
        <f>IF(COUNT($N$560:$N$573)&lt;14,"",MAX($N$560:$N$573))</f>
        <v>0</v>
      </c>
      <c r="Z573">
        <f>IF(OR(N573="",X573="",Y573="",Y573=X573),"",100*(N573-X573)/(Y573-X573))</f>
        <v>0</v>
      </c>
      <c r="AA573">
        <f>IF(COUNT($Z$571:$Z$573)&lt;3,"",AVERAGE($Z$571:$Z$573))</f>
        <v>0</v>
      </c>
      <c r="AB573">
        <f>IF(COUNT($AA$571:$AA$573)&lt;3,"",AVERAGE($AA$571:$AA$573))</f>
        <v>0</v>
      </c>
      <c r="AC573">
        <f>IF($E573="","",MAX($C573-$D573,ABS($C573-$E572),ABS($D573-$E572)))</f>
        <v>0</v>
      </c>
      <c r="AD573">
        <f>IF(COUNT($E$2:$E573)&lt;15,"",AVERAGE($AC$560:$AC$573))</f>
        <v>0</v>
      </c>
      <c r="AE573">
        <f>IF(OR($E573="",$E572=""),"",IF(AND(($C573-$C572)&gt;($D572-$D573),($C573-$C572)&gt;0),$C573-$C572,0))</f>
        <v>0</v>
      </c>
      <c r="AF573">
        <f>IF(OR($E573="",$E572=""),"",IF(AND(($D572-$D573)&gt;($C573-$C572),($D572-$D573)&gt;0),$D572-$D573,0))</f>
        <v>0</v>
      </c>
      <c r="AG573">
        <f>IF(COUNT($E$2:$E573)&lt;15,"",IF(SUM($AC$560:$AC$573)=0,0,100*SUM($AE$560:$AE$573)/SUM($AC$560:$AC$573)))</f>
        <v>0</v>
      </c>
      <c r="AH573">
        <f>IF(COUNT($E$2:$E573)&lt;15,"",IF(SUM($AC$560:$AC$573)=0,0,100*SUM($AF$560:$AF$573)/SUM($AC$560:$AC$573)))</f>
        <v>0</v>
      </c>
      <c r="AI573">
        <f>IF(OR(AG573="",AH573=""),"",IF((AG573+AH573)=0,0,100*ABS(AG573-AH573)/(AG573+AH573)))</f>
        <v>0</v>
      </c>
      <c r="AJ573">
        <f>IF(COUNT($AI$560:$AI$573)&lt;14,"",AVERAGE($AI$560:$AI$573))</f>
        <v>0</v>
      </c>
      <c r="AK573">
        <f>IF(COUNT($E$2:$E573)&lt;20,"",AVERAGE($E$554:$E$573))</f>
        <v>0</v>
      </c>
      <c r="AL573">
        <f>IF(COUNT($E$2:$E573)&lt;20,"",STDEVP($E$554:$E$573))</f>
        <v>0</v>
      </c>
      <c r="AM573">
        <f>IF(AK573="","",AK573+2*AL573)</f>
        <v>0</v>
      </c>
      <c r="AN573">
        <f>IF(AK573="","",AK573-2*AL573)</f>
        <v>0</v>
      </c>
      <c r="AO573">
        <f>IF(OR(AM573="",AN573="",AM573=AN573),"",($E573-AN573)/(AM573-AN573))</f>
        <v>0</v>
      </c>
      <c r="AP573">
        <f>IF(OR(AM573="",AK573="",AK573=0),"",(AM573-AN573)/AK573)</f>
        <v>0</v>
      </c>
      <c r="AQ573">
        <f>IF(COUNT($E$2:$E573)&lt;20,"",MAX($C$554:$C$573))</f>
        <v>0</v>
      </c>
      <c r="AR573">
        <f>IF(COUNT($E$2:$E573)&lt;20,"",MIN($D$554:$D$573))</f>
        <v>0</v>
      </c>
      <c r="AS573">
        <f>IF(OR(AQ573="",AR573=""),"",(AQ573+AR573)/2)</f>
        <v>0</v>
      </c>
      <c r="AT573">
        <f>IF(COUNT($G$554:$G$573)&lt;20,"",STDEV($G$554:$G$573)*SQRT(252))</f>
        <v>0</v>
      </c>
      <c r="AU573">
        <f>IF(COUNT($E$2:$E573)&lt;9,"",(MAX($C$565:$C$573)+MIN($D$565:$D$573))/2)</f>
        <v>0</v>
      </c>
      <c r="AV573">
        <f>IF(COUNT($E$2:$E573)&lt;26,"",(MAX($C$548:$C$573)+MIN($D$548:$D$573))/2)</f>
        <v>0</v>
      </c>
      <c r="AW573">
        <f>IF(OR(AU573="",AV573=""),"",(AU573+AV573)/2)</f>
        <v>0</v>
      </c>
      <c r="AX573">
        <f>IF(COUNT($E$2:$E573)&lt;52,"",(MAX($C$522:$C$573)+MIN($D$522:$D$573))/2)</f>
        <v>0</v>
      </c>
      <c r="AY573">
        <f>IF(COUNT($E$2:$E573)&lt;20,"",MAX($C$474:$C$573))</f>
        <v>0</v>
      </c>
      <c r="AZ573">
        <f>IF(COUNT($E$2:$E573)&lt;20,"",MIN($D$474:$D$573))</f>
        <v>0</v>
      </c>
      <c r="BA573">
        <f>IF(COUNT($E$2:$E573)&lt;20,"",SLOPE($E$474:$E$573,$F$474:$F$573))</f>
        <v>0</v>
      </c>
      <c r="BB573">
        <f>IF(COUNT($E$2:$E573)&lt;20,"",INTERCEPT($E$474:$E$573,$F$474:$F$573))</f>
        <v>0</v>
      </c>
      <c r="BC573">
        <f>IF(OR(BA573="",BB573=""),"",BB573+BA573*F573)</f>
        <v>0</v>
      </c>
      <c r="BD573">
        <f>IF(COUNT($E$2:$E573)&lt;20,"",STEYX($E$474:$E$573,$F$474:$F$573))</f>
        <v>0</v>
      </c>
      <c r="BE573">
        <f>IF($E573="","",IF(AND(COUNT($E$574:$E$577)&gt;=4,$C573=MAX($C$569:$C$577)),$C573,""))</f>
        <v>0</v>
      </c>
      <c r="BF573">
        <f>IF($E573="","",IF(AND(COUNT($E$574:$E$577)&gt;=4,$D573=MIN($D$569:$D$577)),$D573,""))</f>
        <v>0</v>
      </c>
      <c r="BG573">
        <f>IF($A573="","",$A573-WEEKDAY($A573,2)+1)</f>
        <v>0</v>
      </c>
      <c r="BH573">
        <f>IF($A573="","",IF($A572="",1,IF(BG573&lt;&gt;BG572,1,0)))</f>
        <v>0</v>
      </c>
      <c r="BI573">
        <f>IF($A573="","",IF($A574="",1,IF(BG574&lt;&gt;BG573,1,0)))</f>
        <v>0</v>
      </c>
      <c r="BJ573">
        <f>IF($A573="","",IF(BH573=1,$B573,BJ572))</f>
        <v>0</v>
      </c>
      <c r="BK573">
        <f>IF($A573="","",IF(BH573=1,$C573,MAX($C573,BK572)))</f>
        <v>0</v>
      </c>
      <c r="BL573">
        <f>IF($A573="","",IF(BH573=1,$D573,MIN($D573,BL572)))</f>
        <v>0</v>
      </c>
      <c r="BM573">
        <f>IF($A573="","",IF(BI573=1,F573,""))</f>
        <v>0</v>
      </c>
      <c r="BN573">
        <f>IF($A573="","",DATE(YEAR($A573),MONTH($A573),1))</f>
        <v>0</v>
      </c>
      <c r="BO573">
        <f>IF($A573="","",IF($A572="",1,IF(BN573&lt;&gt;BN572,1,0)))</f>
        <v>0</v>
      </c>
      <c r="BP573">
        <f>IF($A573="","",IF($A574="",1,IF(BN574&lt;&gt;BN573,1,0)))</f>
        <v>0</v>
      </c>
      <c r="BQ573">
        <f>IF($A573="","",IF(BO573=1,$B573,BQ572))</f>
        <v>0</v>
      </c>
      <c r="BR573">
        <f>IF($A573="","",IF(BO573=1,$C573,MAX($C573,BR572)))</f>
        <v>0</v>
      </c>
      <c r="BS573">
        <f>IF($A573="","",IF(BO573=1,$D573,MIN($D573,BS572)))</f>
        <v>0</v>
      </c>
      <c r="BT573">
        <f>IF($A573="","",IF(BP573=1,F573,""))</f>
        <v>0</v>
      </c>
    </row>
    <row r="574" spans="1:72">
      <c r="A574" s="27">
        <f>IF(Data!$A574="","",Data!$A574)</f>
        <v>0</v>
      </c>
      <c r="B574">
        <f>IF(Data!$B574="","",Data!$B574)</f>
        <v>0</v>
      </c>
      <c r="C574">
        <f>IF(Data!$C574="","",Data!$C574)</f>
        <v>0</v>
      </c>
      <c r="D574">
        <f>IF(Data!$D574="","",Data!$D574)</f>
        <v>0</v>
      </c>
      <c r="E574">
        <f>IF(Data!$E574="","",Data!$E574)</f>
        <v>0</v>
      </c>
      <c r="F574">
        <f>IF($E574="","",N(F573)+1)</f>
        <v>0</v>
      </c>
      <c r="G574">
        <f>IF(OR($E574="",$E573=""),"",LN($E574/$E573))</f>
        <v>0</v>
      </c>
      <c r="H574">
        <f>IF($E574="","",IF($E573="",$E574,$E574*0.0952380952+H573*0.9047619048))</f>
        <v>0</v>
      </c>
      <c r="I574">
        <f>IF($E574="","",IF($E573="",$E574,$E574*0.0392156863+I573*0.9607843137))</f>
        <v>0</v>
      </c>
      <c r="J574">
        <f>IF($E574="","",IF($E573="",$E574,$E574*0.0198019802+J573*0.9801980198))</f>
        <v>0</v>
      </c>
      <c r="K574">
        <f>IF($E574="","",IF($E573="",$E574,$E574*0.0099502488+K573*0.9900497512))</f>
        <v>0</v>
      </c>
      <c r="L574">
        <f>IF(OR($E574="",$E573=""),"",MAX($E574-$E573,0))</f>
        <v>0</v>
      </c>
      <c r="M574">
        <f>IF(OR($E574="",$E573=""),"",MAX($E573-$E574,0))</f>
        <v>0</v>
      </c>
      <c r="N574">
        <f>IF(COUNT($E$2:$E574)&lt;15,"",IF(AVERAGE($M$561:$M$574)=0,100,100-100/(1+AVERAGE($L$561:$L$574)/AVERAGE($M$561:$M$574))))</f>
        <v>0</v>
      </c>
      <c r="O574">
        <f>IF($E574="","",IF($E573="",$E574,$E574*0.1538461538+O573*0.8461538462))</f>
        <v>0</v>
      </c>
      <c r="P574">
        <f>IF($E574="","",IF($E573="",$E574,$E574*0.0740740741+P573*0.9259259259))</f>
        <v>0</v>
      </c>
      <c r="Q574">
        <f>IF(OR(O574="",P574=""),"",O574-P574)</f>
        <v>0</v>
      </c>
      <c r="R574">
        <f>IF(Q574="","",IF(R573="",Q574,Q574*0.2000000000+R573*0.8000000000))</f>
        <v>0</v>
      </c>
      <c r="S574">
        <f>IF(OR(Q574="",R574=""),"",Q574-R574)</f>
        <v>0</v>
      </c>
      <c r="T574">
        <f>IF(COUNT($E$2:$E574)&lt;14,"",MAX($C$561:$C$574))</f>
        <v>0</v>
      </c>
      <c r="U574">
        <f>IF(COUNT($E$2:$E574)&lt;14,"",MIN($D$561:$D$574))</f>
        <v>0</v>
      </c>
      <c r="V574">
        <f>IF(OR(T574="",U574="",T574=U574),"",100*($E574-U574)/(T574-U574))</f>
        <v>0</v>
      </c>
      <c r="W574">
        <f>IF(COUNT($V$572:$V$574)&lt;3,"",AVERAGE($V$572:$V$574))</f>
        <v>0</v>
      </c>
      <c r="X574">
        <f>IF(COUNT($N$561:$N$574)&lt;14,"",MIN($N$561:$N$574))</f>
        <v>0</v>
      </c>
      <c r="Y574">
        <f>IF(COUNT($N$561:$N$574)&lt;14,"",MAX($N$561:$N$574))</f>
        <v>0</v>
      </c>
      <c r="Z574">
        <f>IF(OR(N574="",X574="",Y574="",Y574=X574),"",100*(N574-X574)/(Y574-X574))</f>
        <v>0</v>
      </c>
      <c r="AA574">
        <f>IF(COUNT($Z$572:$Z$574)&lt;3,"",AVERAGE($Z$572:$Z$574))</f>
        <v>0</v>
      </c>
      <c r="AB574">
        <f>IF(COUNT($AA$572:$AA$574)&lt;3,"",AVERAGE($AA$572:$AA$574))</f>
        <v>0</v>
      </c>
      <c r="AC574">
        <f>IF($E574="","",MAX($C574-$D574,ABS($C574-$E573),ABS($D574-$E573)))</f>
        <v>0</v>
      </c>
      <c r="AD574">
        <f>IF(COUNT($E$2:$E574)&lt;15,"",AVERAGE($AC$561:$AC$574))</f>
        <v>0</v>
      </c>
      <c r="AE574">
        <f>IF(OR($E574="",$E573=""),"",IF(AND(($C574-$C573)&gt;($D573-$D574),($C574-$C573)&gt;0),$C574-$C573,0))</f>
        <v>0</v>
      </c>
      <c r="AF574">
        <f>IF(OR($E574="",$E573=""),"",IF(AND(($D573-$D574)&gt;($C574-$C573),($D573-$D574)&gt;0),$D573-$D574,0))</f>
        <v>0</v>
      </c>
      <c r="AG574">
        <f>IF(COUNT($E$2:$E574)&lt;15,"",IF(SUM($AC$561:$AC$574)=0,0,100*SUM($AE$561:$AE$574)/SUM($AC$561:$AC$574)))</f>
        <v>0</v>
      </c>
      <c r="AH574">
        <f>IF(COUNT($E$2:$E574)&lt;15,"",IF(SUM($AC$561:$AC$574)=0,0,100*SUM($AF$561:$AF$574)/SUM($AC$561:$AC$574)))</f>
        <v>0</v>
      </c>
      <c r="AI574">
        <f>IF(OR(AG574="",AH574=""),"",IF((AG574+AH574)=0,0,100*ABS(AG574-AH574)/(AG574+AH574)))</f>
        <v>0</v>
      </c>
      <c r="AJ574">
        <f>IF(COUNT($AI$561:$AI$574)&lt;14,"",AVERAGE($AI$561:$AI$574))</f>
        <v>0</v>
      </c>
      <c r="AK574">
        <f>IF(COUNT($E$2:$E574)&lt;20,"",AVERAGE($E$555:$E$574))</f>
        <v>0</v>
      </c>
      <c r="AL574">
        <f>IF(COUNT($E$2:$E574)&lt;20,"",STDEVP($E$555:$E$574))</f>
        <v>0</v>
      </c>
      <c r="AM574">
        <f>IF(AK574="","",AK574+2*AL574)</f>
        <v>0</v>
      </c>
      <c r="AN574">
        <f>IF(AK574="","",AK574-2*AL574)</f>
        <v>0</v>
      </c>
      <c r="AO574">
        <f>IF(OR(AM574="",AN574="",AM574=AN574),"",($E574-AN574)/(AM574-AN574))</f>
        <v>0</v>
      </c>
      <c r="AP574">
        <f>IF(OR(AM574="",AK574="",AK574=0),"",(AM574-AN574)/AK574)</f>
        <v>0</v>
      </c>
      <c r="AQ574">
        <f>IF(COUNT($E$2:$E574)&lt;20,"",MAX($C$555:$C$574))</f>
        <v>0</v>
      </c>
      <c r="AR574">
        <f>IF(COUNT($E$2:$E574)&lt;20,"",MIN($D$555:$D$574))</f>
        <v>0</v>
      </c>
      <c r="AS574">
        <f>IF(OR(AQ574="",AR574=""),"",(AQ574+AR574)/2)</f>
        <v>0</v>
      </c>
      <c r="AT574">
        <f>IF(COUNT($G$555:$G$574)&lt;20,"",STDEV($G$555:$G$574)*SQRT(252))</f>
        <v>0</v>
      </c>
      <c r="AU574">
        <f>IF(COUNT($E$2:$E574)&lt;9,"",(MAX($C$566:$C$574)+MIN($D$566:$D$574))/2)</f>
        <v>0</v>
      </c>
      <c r="AV574">
        <f>IF(COUNT($E$2:$E574)&lt;26,"",(MAX($C$549:$C$574)+MIN($D$549:$D$574))/2)</f>
        <v>0</v>
      </c>
      <c r="AW574">
        <f>IF(OR(AU574="",AV574=""),"",(AU574+AV574)/2)</f>
        <v>0</v>
      </c>
      <c r="AX574">
        <f>IF(COUNT($E$2:$E574)&lt;52,"",(MAX($C$523:$C$574)+MIN($D$523:$D$574))/2)</f>
        <v>0</v>
      </c>
      <c r="AY574">
        <f>IF(COUNT($E$2:$E574)&lt;20,"",MAX($C$475:$C$574))</f>
        <v>0</v>
      </c>
      <c r="AZ574">
        <f>IF(COUNT($E$2:$E574)&lt;20,"",MIN($D$475:$D$574))</f>
        <v>0</v>
      </c>
      <c r="BA574">
        <f>IF(COUNT($E$2:$E574)&lt;20,"",SLOPE($E$475:$E$574,$F$475:$F$574))</f>
        <v>0</v>
      </c>
      <c r="BB574">
        <f>IF(COUNT($E$2:$E574)&lt;20,"",INTERCEPT($E$475:$E$574,$F$475:$F$574))</f>
        <v>0</v>
      </c>
      <c r="BC574">
        <f>IF(OR(BA574="",BB574=""),"",BB574+BA574*F574)</f>
        <v>0</v>
      </c>
      <c r="BD574">
        <f>IF(COUNT($E$2:$E574)&lt;20,"",STEYX($E$475:$E$574,$F$475:$F$574))</f>
        <v>0</v>
      </c>
      <c r="BE574">
        <f>IF($E574="","",IF(AND(COUNT($E$575:$E$578)&gt;=4,$C574=MAX($C$570:$C$578)),$C574,""))</f>
        <v>0</v>
      </c>
      <c r="BF574">
        <f>IF($E574="","",IF(AND(COUNT($E$575:$E$578)&gt;=4,$D574=MIN($D$570:$D$578)),$D574,""))</f>
        <v>0</v>
      </c>
      <c r="BG574">
        <f>IF($A574="","",$A574-WEEKDAY($A574,2)+1)</f>
        <v>0</v>
      </c>
      <c r="BH574">
        <f>IF($A574="","",IF($A573="",1,IF(BG574&lt;&gt;BG573,1,0)))</f>
        <v>0</v>
      </c>
      <c r="BI574">
        <f>IF($A574="","",IF($A575="",1,IF(BG575&lt;&gt;BG574,1,0)))</f>
        <v>0</v>
      </c>
      <c r="BJ574">
        <f>IF($A574="","",IF(BH574=1,$B574,BJ573))</f>
        <v>0</v>
      </c>
      <c r="BK574">
        <f>IF($A574="","",IF(BH574=1,$C574,MAX($C574,BK573)))</f>
        <v>0</v>
      </c>
      <c r="BL574">
        <f>IF($A574="","",IF(BH574=1,$D574,MIN($D574,BL573)))</f>
        <v>0</v>
      </c>
      <c r="BM574">
        <f>IF($A574="","",IF(BI574=1,F574,""))</f>
        <v>0</v>
      </c>
      <c r="BN574">
        <f>IF($A574="","",DATE(YEAR($A574),MONTH($A574),1))</f>
        <v>0</v>
      </c>
      <c r="BO574">
        <f>IF($A574="","",IF($A573="",1,IF(BN574&lt;&gt;BN573,1,0)))</f>
        <v>0</v>
      </c>
      <c r="BP574">
        <f>IF($A574="","",IF($A575="",1,IF(BN575&lt;&gt;BN574,1,0)))</f>
        <v>0</v>
      </c>
      <c r="BQ574">
        <f>IF($A574="","",IF(BO574=1,$B574,BQ573))</f>
        <v>0</v>
      </c>
      <c r="BR574">
        <f>IF($A574="","",IF(BO574=1,$C574,MAX($C574,BR573)))</f>
        <v>0</v>
      </c>
      <c r="BS574">
        <f>IF($A574="","",IF(BO574=1,$D574,MIN($D574,BS573)))</f>
        <v>0</v>
      </c>
      <c r="BT574">
        <f>IF($A574="","",IF(BP574=1,F574,""))</f>
        <v>0</v>
      </c>
    </row>
    <row r="575" spans="1:72">
      <c r="A575" s="27">
        <f>IF(Data!$A575="","",Data!$A575)</f>
        <v>0</v>
      </c>
      <c r="B575">
        <f>IF(Data!$B575="","",Data!$B575)</f>
        <v>0</v>
      </c>
      <c r="C575">
        <f>IF(Data!$C575="","",Data!$C575)</f>
        <v>0</v>
      </c>
      <c r="D575">
        <f>IF(Data!$D575="","",Data!$D575)</f>
        <v>0</v>
      </c>
      <c r="E575">
        <f>IF(Data!$E575="","",Data!$E575)</f>
        <v>0</v>
      </c>
      <c r="F575">
        <f>IF($E575="","",N(F574)+1)</f>
        <v>0</v>
      </c>
      <c r="G575">
        <f>IF(OR($E575="",$E574=""),"",LN($E575/$E574))</f>
        <v>0</v>
      </c>
      <c r="H575">
        <f>IF($E575="","",IF($E574="",$E575,$E575*0.0952380952+H574*0.9047619048))</f>
        <v>0</v>
      </c>
      <c r="I575">
        <f>IF($E575="","",IF($E574="",$E575,$E575*0.0392156863+I574*0.9607843137))</f>
        <v>0</v>
      </c>
      <c r="J575">
        <f>IF($E575="","",IF($E574="",$E575,$E575*0.0198019802+J574*0.9801980198))</f>
        <v>0</v>
      </c>
      <c r="K575">
        <f>IF($E575="","",IF($E574="",$E575,$E575*0.0099502488+K574*0.9900497512))</f>
        <v>0</v>
      </c>
      <c r="L575">
        <f>IF(OR($E575="",$E574=""),"",MAX($E575-$E574,0))</f>
        <v>0</v>
      </c>
      <c r="M575">
        <f>IF(OR($E575="",$E574=""),"",MAX($E574-$E575,0))</f>
        <v>0</v>
      </c>
      <c r="N575">
        <f>IF(COUNT($E$2:$E575)&lt;15,"",IF(AVERAGE($M$562:$M$575)=0,100,100-100/(1+AVERAGE($L$562:$L$575)/AVERAGE($M$562:$M$575))))</f>
        <v>0</v>
      </c>
      <c r="O575">
        <f>IF($E575="","",IF($E574="",$E575,$E575*0.1538461538+O574*0.8461538462))</f>
        <v>0</v>
      </c>
      <c r="P575">
        <f>IF($E575="","",IF($E574="",$E575,$E575*0.0740740741+P574*0.9259259259))</f>
        <v>0</v>
      </c>
      <c r="Q575">
        <f>IF(OR(O575="",P575=""),"",O575-P575)</f>
        <v>0</v>
      </c>
      <c r="R575">
        <f>IF(Q575="","",IF(R574="",Q575,Q575*0.2000000000+R574*0.8000000000))</f>
        <v>0</v>
      </c>
      <c r="S575">
        <f>IF(OR(Q575="",R575=""),"",Q575-R575)</f>
        <v>0</v>
      </c>
      <c r="T575">
        <f>IF(COUNT($E$2:$E575)&lt;14,"",MAX($C$562:$C$575))</f>
        <v>0</v>
      </c>
      <c r="U575">
        <f>IF(COUNT($E$2:$E575)&lt;14,"",MIN($D$562:$D$575))</f>
        <v>0</v>
      </c>
      <c r="V575">
        <f>IF(OR(T575="",U575="",T575=U575),"",100*($E575-U575)/(T575-U575))</f>
        <v>0</v>
      </c>
      <c r="W575">
        <f>IF(COUNT($V$573:$V$575)&lt;3,"",AVERAGE($V$573:$V$575))</f>
        <v>0</v>
      </c>
      <c r="X575">
        <f>IF(COUNT($N$562:$N$575)&lt;14,"",MIN($N$562:$N$575))</f>
        <v>0</v>
      </c>
      <c r="Y575">
        <f>IF(COUNT($N$562:$N$575)&lt;14,"",MAX($N$562:$N$575))</f>
        <v>0</v>
      </c>
      <c r="Z575">
        <f>IF(OR(N575="",X575="",Y575="",Y575=X575),"",100*(N575-X575)/(Y575-X575))</f>
        <v>0</v>
      </c>
      <c r="AA575">
        <f>IF(COUNT($Z$573:$Z$575)&lt;3,"",AVERAGE($Z$573:$Z$575))</f>
        <v>0</v>
      </c>
      <c r="AB575">
        <f>IF(COUNT($AA$573:$AA$575)&lt;3,"",AVERAGE($AA$573:$AA$575))</f>
        <v>0</v>
      </c>
      <c r="AC575">
        <f>IF($E575="","",MAX($C575-$D575,ABS($C575-$E574),ABS($D575-$E574)))</f>
        <v>0</v>
      </c>
      <c r="AD575">
        <f>IF(COUNT($E$2:$E575)&lt;15,"",AVERAGE($AC$562:$AC$575))</f>
        <v>0</v>
      </c>
      <c r="AE575">
        <f>IF(OR($E575="",$E574=""),"",IF(AND(($C575-$C574)&gt;($D574-$D575),($C575-$C574)&gt;0),$C575-$C574,0))</f>
        <v>0</v>
      </c>
      <c r="AF575">
        <f>IF(OR($E575="",$E574=""),"",IF(AND(($D574-$D575)&gt;($C575-$C574),($D574-$D575)&gt;0),$D574-$D575,0))</f>
        <v>0</v>
      </c>
      <c r="AG575">
        <f>IF(COUNT($E$2:$E575)&lt;15,"",IF(SUM($AC$562:$AC$575)=0,0,100*SUM($AE$562:$AE$575)/SUM($AC$562:$AC$575)))</f>
        <v>0</v>
      </c>
      <c r="AH575">
        <f>IF(COUNT($E$2:$E575)&lt;15,"",IF(SUM($AC$562:$AC$575)=0,0,100*SUM($AF$562:$AF$575)/SUM($AC$562:$AC$575)))</f>
        <v>0</v>
      </c>
      <c r="AI575">
        <f>IF(OR(AG575="",AH575=""),"",IF((AG575+AH575)=0,0,100*ABS(AG575-AH575)/(AG575+AH575)))</f>
        <v>0</v>
      </c>
      <c r="AJ575">
        <f>IF(COUNT($AI$562:$AI$575)&lt;14,"",AVERAGE($AI$562:$AI$575))</f>
        <v>0</v>
      </c>
      <c r="AK575">
        <f>IF(COUNT($E$2:$E575)&lt;20,"",AVERAGE($E$556:$E$575))</f>
        <v>0</v>
      </c>
      <c r="AL575">
        <f>IF(COUNT($E$2:$E575)&lt;20,"",STDEVP($E$556:$E$575))</f>
        <v>0</v>
      </c>
      <c r="AM575">
        <f>IF(AK575="","",AK575+2*AL575)</f>
        <v>0</v>
      </c>
      <c r="AN575">
        <f>IF(AK575="","",AK575-2*AL575)</f>
        <v>0</v>
      </c>
      <c r="AO575">
        <f>IF(OR(AM575="",AN575="",AM575=AN575),"",($E575-AN575)/(AM575-AN575))</f>
        <v>0</v>
      </c>
      <c r="AP575">
        <f>IF(OR(AM575="",AK575="",AK575=0),"",(AM575-AN575)/AK575)</f>
        <v>0</v>
      </c>
      <c r="AQ575">
        <f>IF(COUNT($E$2:$E575)&lt;20,"",MAX($C$556:$C$575))</f>
        <v>0</v>
      </c>
      <c r="AR575">
        <f>IF(COUNT($E$2:$E575)&lt;20,"",MIN($D$556:$D$575))</f>
        <v>0</v>
      </c>
      <c r="AS575">
        <f>IF(OR(AQ575="",AR575=""),"",(AQ575+AR575)/2)</f>
        <v>0</v>
      </c>
      <c r="AT575">
        <f>IF(COUNT($G$556:$G$575)&lt;20,"",STDEV($G$556:$G$575)*SQRT(252))</f>
        <v>0</v>
      </c>
      <c r="AU575">
        <f>IF(COUNT($E$2:$E575)&lt;9,"",(MAX($C$567:$C$575)+MIN($D$567:$D$575))/2)</f>
        <v>0</v>
      </c>
      <c r="AV575">
        <f>IF(COUNT($E$2:$E575)&lt;26,"",(MAX($C$550:$C$575)+MIN($D$550:$D$575))/2)</f>
        <v>0</v>
      </c>
      <c r="AW575">
        <f>IF(OR(AU575="",AV575=""),"",(AU575+AV575)/2)</f>
        <v>0</v>
      </c>
      <c r="AX575">
        <f>IF(COUNT($E$2:$E575)&lt;52,"",(MAX($C$524:$C$575)+MIN($D$524:$D$575))/2)</f>
        <v>0</v>
      </c>
      <c r="AY575">
        <f>IF(COUNT($E$2:$E575)&lt;20,"",MAX($C$476:$C$575))</f>
        <v>0</v>
      </c>
      <c r="AZ575">
        <f>IF(COUNT($E$2:$E575)&lt;20,"",MIN($D$476:$D$575))</f>
        <v>0</v>
      </c>
      <c r="BA575">
        <f>IF(COUNT($E$2:$E575)&lt;20,"",SLOPE($E$476:$E$575,$F$476:$F$575))</f>
        <v>0</v>
      </c>
      <c r="BB575">
        <f>IF(COUNT($E$2:$E575)&lt;20,"",INTERCEPT($E$476:$E$575,$F$476:$F$575))</f>
        <v>0</v>
      </c>
      <c r="BC575">
        <f>IF(OR(BA575="",BB575=""),"",BB575+BA575*F575)</f>
        <v>0</v>
      </c>
      <c r="BD575">
        <f>IF(COUNT($E$2:$E575)&lt;20,"",STEYX($E$476:$E$575,$F$476:$F$575))</f>
        <v>0</v>
      </c>
      <c r="BE575">
        <f>IF($E575="","",IF(AND(COUNT($E$576:$E$579)&gt;=4,$C575=MAX($C$571:$C$579)),$C575,""))</f>
        <v>0</v>
      </c>
      <c r="BF575">
        <f>IF($E575="","",IF(AND(COUNT($E$576:$E$579)&gt;=4,$D575=MIN($D$571:$D$579)),$D575,""))</f>
        <v>0</v>
      </c>
      <c r="BG575">
        <f>IF($A575="","",$A575-WEEKDAY($A575,2)+1)</f>
        <v>0</v>
      </c>
      <c r="BH575">
        <f>IF($A575="","",IF($A574="",1,IF(BG575&lt;&gt;BG574,1,0)))</f>
        <v>0</v>
      </c>
      <c r="BI575">
        <f>IF($A575="","",IF($A576="",1,IF(BG576&lt;&gt;BG575,1,0)))</f>
        <v>0</v>
      </c>
      <c r="BJ575">
        <f>IF($A575="","",IF(BH575=1,$B575,BJ574))</f>
        <v>0</v>
      </c>
      <c r="BK575">
        <f>IF($A575="","",IF(BH575=1,$C575,MAX($C575,BK574)))</f>
        <v>0</v>
      </c>
      <c r="BL575">
        <f>IF($A575="","",IF(BH575=1,$D575,MIN($D575,BL574)))</f>
        <v>0</v>
      </c>
      <c r="BM575">
        <f>IF($A575="","",IF(BI575=1,F575,""))</f>
        <v>0</v>
      </c>
      <c r="BN575">
        <f>IF($A575="","",DATE(YEAR($A575),MONTH($A575),1))</f>
        <v>0</v>
      </c>
      <c r="BO575">
        <f>IF($A575="","",IF($A574="",1,IF(BN575&lt;&gt;BN574,1,0)))</f>
        <v>0</v>
      </c>
      <c r="BP575">
        <f>IF($A575="","",IF($A576="",1,IF(BN576&lt;&gt;BN575,1,0)))</f>
        <v>0</v>
      </c>
      <c r="BQ575">
        <f>IF($A575="","",IF(BO575=1,$B575,BQ574))</f>
        <v>0</v>
      </c>
      <c r="BR575">
        <f>IF($A575="","",IF(BO575=1,$C575,MAX($C575,BR574)))</f>
        <v>0</v>
      </c>
      <c r="BS575">
        <f>IF($A575="","",IF(BO575=1,$D575,MIN($D575,BS574)))</f>
        <v>0</v>
      </c>
      <c r="BT575">
        <f>IF($A575="","",IF(BP575=1,F575,""))</f>
        <v>0</v>
      </c>
    </row>
    <row r="576" spans="1:72">
      <c r="A576" s="27">
        <f>IF(Data!$A576="","",Data!$A576)</f>
        <v>0</v>
      </c>
      <c r="B576">
        <f>IF(Data!$B576="","",Data!$B576)</f>
        <v>0</v>
      </c>
      <c r="C576">
        <f>IF(Data!$C576="","",Data!$C576)</f>
        <v>0</v>
      </c>
      <c r="D576">
        <f>IF(Data!$D576="","",Data!$D576)</f>
        <v>0</v>
      </c>
      <c r="E576">
        <f>IF(Data!$E576="","",Data!$E576)</f>
        <v>0</v>
      </c>
      <c r="F576">
        <f>IF($E576="","",N(F575)+1)</f>
        <v>0</v>
      </c>
      <c r="G576">
        <f>IF(OR($E576="",$E575=""),"",LN($E576/$E575))</f>
        <v>0</v>
      </c>
      <c r="H576">
        <f>IF($E576="","",IF($E575="",$E576,$E576*0.0952380952+H575*0.9047619048))</f>
        <v>0</v>
      </c>
      <c r="I576">
        <f>IF($E576="","",IF($E575="",$E576,$E576*0.0392156863+I575*0.9607843137))</f>
        <v>0</v>
      </c>
      <c r="J576">
        <f>IF($E576="","",IF($E575="",$E576,$E576*0.0198019802+J575*0.9801980198))</f>
        <v>0</v>
      </c>
      <c r="K576">
        <f>IF($E576="","",IF($E575="",$E576,$E576*0.0099502488+K575*0.9900497512))</f>
        <v>0</v>
      </c>
      <c r="L576">
        <f>IF(OR($E576="",$E575=""),"",MAX($E576-$E575,0))</f>
        <v>0</v>
      </c>
      <c r="M576">
        <f>IF(OR($E576="",$E575=""),"",MAX($E575-$E576,0))</f>
        <v>0</v>
      </c>
      <c r="N576">
        <f>IF(COUNT($E$2:$E576)&lt;15,"",IF(AVERAGE($M$563:$M$576)=0,100,100-100/(1+AVERAGE($L$563:$L$576)/AVERAGE($M$563:$M$576))))</f>
        <v>0</v>
      </c>
      <c r="O576">
        <f>IF($E576="","",IF($E575="",$E576,$E576*0.1538461538+O575*0.8461538462))</f>
        <v>0</v>
      </c>
      <c r="P576">
        <f>IF($E576="","",IF($E575="",$E576,$E576*0.0740740741+P575*0.9259259259))</f>
        <v>0</v>
      </c>
      <c r="Q576">
        <f>IF(OR(O576="",P576=""),"",O576-P576)</f>
        <v>0</v>
      </c>
      <c r="R576">
        <f>IF(Q576="","",IF(R575="",Q576,Q576*0.2000000000+R575*0.8000000000))</f>
        <v>0</v>
      </c>
      <c r="S576">
        <f>IF(OR(Q576="",R576=""),"",Q576-R576)</f>
        <v>0</v>
      </c>
      <c r="T576">
        <f>IF(COUNT($E$2:$E576)&lt;14,"",MAX($C$563:$C$576))</f>
        <v>0</v>
      </c>
      <c r="U576">
        <f>IF(COUNT($E$2:$E576)&lt;14,"",MIN($D$563:$D$576))</f>
        <v>0</v>
      </c>
      <c r="V576">
        <f>IF(OR(T576="",U576="",T576=U576),"",100*($E576-U576)/(T576-U576))</f>
        <v>0</v>
      </c>
      <c r="W576">
        <f>IF(COUNT($V$574:$V$576)&lt;3,"",AVERAGE($V$574:$V$576))</f>
        <v>0</v>
      </c>
      <c r="X576">
        <f>IF(COUNT($N$563:$N$576)&lt;14,"",MIN($N$563:$N$576))</f>
        <v>0</v>
      </c>
      <c r="Y576">
        <f>IF(COUNT($N$563:$N$576)&lt;14,"",MAX($N$563:$N$576))</f>
        <v>0</v>
      </c>
      <c r="Z576">
        <f>IF(OR(N576="",X576="",Y576="",Y576=X576),"",100*(N576-X576)/(Y576-X576))</f>
        <v>0</v>
      </c>
      <c r="AA576">
        <f>IF(COUNT($Z$574:$Z$576)&lt;3,"",AVERAGE($Z$574:$Z$576))</f>
        <v>0</v>
      </c>
      <c r="AB576">
        <f>IF(COUNT($AA$574:$AA$576)&lt;3,"",AVERAGE($AA$574:$AA$576))</f>
        <v>0</v>
      </c>
      <c r="AC576">
        <f>IF($E576="","",MAX($C576-$D576,ABS($C576-$E575),ABS($D576-$E575)))</f>
        <v>0</v>
      </c>
      <c r="AD576">
        <f>IF(COUNT($E$2:$E576)&lt;15,"",AVERAGE($AC$563:$AC$576))</f>
        <v>0</v>
      </c>
      <c r="AE576">
        <f>IF(OR($E576="",$E575=""),"",IF(AND(($C576-$C575)&gt;($D575-$D576),($C576-$C575)&gt;0),$C576-$C575,0))</f>
        <v>0</v>
      </c>
      <c r="AF576">
        <f>IF(OR($E576="",$E575=""),"",IF(AND(($D575-$D576)&gt;($C576-$C575),($D575-$D576)&gt;0),$D575-$D576,0))</f>
        <v>0</v>
      </c>
      <c r="AG576">
        <f>IF(COUNT($E$2:$E576)&lt;15,"",IF(SUM($AC$563:$AC$576)=0,0,100*SUM($AE$563:$AE$576)/SUM($AC$563:$AC$576)))</f>
        <v>0</v>
      </c>
      <c r="AH576">
        <f>IF(COUNT($E$2:$E576)&lt;15,"",IF(SUM($AC$563:$AC$576)=0,0,100*SUM($AF$563:$AF$576)/SUM($AC$563:$AC$576)))</f>
        <v>0</v>
      </c>
      <c r="AI576">
        <f>IF(OR(AG576="",AH576=""),"",IF((AG576+AH576)=0,0,100*ABS(AG576-AH576)/(AG576+AH576)))</f>
        <v>0</v>
      </c>
      <c r="AJ576">
        <f>IF(COUNT($AI$563:$AI$576)&lt;14,"",AVERAGE($AI$563:$AI$576))</f>
        <v>0</v>
      </c>
      <c r="AK576">
        <f>IF(COUNT($E$2:$E576)&lt;20,"",AVERAGE($E$557:$E$576))</f>
        <v>0</v>
      </c>
      <c r="AL576">
        <f>IF(COUNT($E$2:$E576)&lt;20,"",STDEVP($E$557:$E$576))</f>
        <v>0</v>
      </c>
      <c r="AM576">
        <f>IF(AK576="","",AK576+2*AL576)</f>
        <v>0</v>
      </c>
      <c r="AN576">
        <f>IF(AK576="","",AK576-2*AL576)</f>
        <v>0</v>
      </c>
      <c r="AO576">
        <f>IF(OR(AM576="",AN576="",AM576=AN576),"",($E576-AN576)/(AM576-AN576))</f>
        <v>0</v>
      </c>
      <c r="AP576">
        <f>IF(OR(AM576="",AK576="",AK576=0),"",(AM576-AN576)/AK576)</f>
        <v>0</v>
      </c>
      <c r="AQ576">
        <f>IF(COUNT($E$2:$E576)&lt;20,"",MAX($C$557:$C$576))</f>
        <v>0</v>
      </c>
      <c r="AR576">
        <f>IF(COUNT($E$2:$E576)&lt;20,"",MIN($D$557:$D$576))</f>
        <v>0</v>
      </c>
      <c r="AS576">
        <f>IF(OR(AQ576="",AR576=""),"",(AQ576+AR576)/2)</f>
        <v>0</v>
      </c>
      <c r="AT576">
        <f>IF(COUNT($G$557:$G$576)&lt;20,"",STDEV($G$557:$G$576)*SQRT(252))</f>
        <v>0</v>
      </c>
      <c r="AU576">
        <f>IF(COUNT($E$2:$E576)&lt;9,"",(MAX($C$568:$C$576)+MIN($D$568:$D$576))/2)</f>
        <v>0</v>
      </c>
      <c r="AV576">
        <f>IF(COUNT($E$2:$E576)&lt;26,"",(MAX($C$551:$C$576)+MIN($D$551:$D$576))/2)</f>
        <v>0</v>
      </c>
      <c r="AW576">
        <f>IF(OR(AU576="",AV576=""),"",(AU576+AV576)/2)</f>
        <v>0</v>
      </c>
      <c r="AX576">
        <f>IF(COUNT($E$2:$E576)&lt;52,"",(MAX($C$525:$C$576)+MIN($D$525:$D$576))/2)</f>
        <v>0</v>
      </c>
      <c r="AY576">
        <f>IF(COUNT($E$2:$E576)&lt;20,"",MAX($C$477:$C$576))</f>
        <v>0</v>
      </c>
      <c r="AZ576">
        <f>IF(COUNT($E$2:$E576)&lt;20,"",MIN($D$477:$D$576))</f>
        <v>0</v>
      </c>
      <c r="BA576">
        <f>IF(COUNT($E$2:$E576)&lt;20,"",SLOPE($E$477:$E$576,$F$477:$F$576))</f>
        <v>0</v>
      </c>
      <c r="BB576">
        <f>IF(COUNT($E$2:$E576)&lt;20,"",INTERCEPT($E$477:$E$576,$F$477:$F$576))</f>
        <v>0</v>
      </c>
      <c r="BC576">
        <f>IF(OR(BA576="",BB576=""),"",BB576+BA576*F576)</f>
        <v>0</v>
      </c>
      <c r="BD576">
        <f>IF(COUNT($E$2:$E576)&lt;20,"",STEYX($E$477:$E$576,$F$477:$F$576))</f>
        <v>0</v>
      </c>
      <c r="BE576">
        <f>IF($E576="","",IF(AND(COUNT($E$577:$E$580)&gt;=4,$C576=MAX($C$572:$C$580)),$C576,""))</f>
        <v>0</v>
      </c>
      <c r="BF576">
        <f>IF($E576="","",IF(AND(COUNT($E$577:$E$580)&gt;=4,$D576=MIN($D$572:$D$580)),$D576,""))</f>
        <v>0</v>
      </c>
      <c r="BG576">
        <f>IF($A576="","",$A576-WEEKDAY($A576,2)+1)</f>
        <v>0</v>
      </c>
      <c r="BH576">
        <f>IF($A576="","",IF($A575="",1,IF(BG576&lt;&gt;BG575,1,0)))</f>
        <v>0</v>
      </c>
      <c r="BI576">
        <f>IF($A576="","",IF($A577="",1,IF(BG577&lt;&gt;BG576,1,0)))</f>
        <v>0</v>
      </c>
      <c r="BJ576">
        <f>IF($A576="","",IF(BH576=1,$B576,BJ575))</f>
        <v>0</v>
      </c>
      <c r="BK576">
        <f>IF($A576="","",IF(BH576=1,$C576,MAX($C576,BK575)))</f>
        <v>0</v>
      </c>
      <c r="BL576">
        <f>IF($A576="","",IF(BH576=1,$D576,MIN($D576,BL575)))</f>
        <v>0</v>
      </c>
      <c r="BM576">
        <f>IF($A576="","",IF(BI576=1,F576,""))</f>
        <v>0</v>
      </c>
      <c r="BN576">
        <f>IF($A576="","",DATE(YEAR($A576),MONTH($A576),1))</f>
        <v>0</v>
      </c>
      <c r="BO576">
        <f>IF($A576="","",IF($A575="",1,IF(BN576&lt;&gt;BN575,1,0)))</f>
        <v>0</v>
      </c>
      <c r="BP576">
        <f>IF($A576="","",IF($A577="",1,IF(BN577&lt;&gt;BN576,1,0)))</f>
        <v>0</v>
      </c>
      <c r="BQ576">
        <f>IF($A576="","",IF(BO576=1,$B576,BQ575))</f>
        <v>0</v>
      </c>
      <c r="BR576">
        <f>IF($A576="","",IF(BO576=1,$C576,MAX($C576,BR575)))</f>
        <v>0</v>
      </c>
      <c r="BS576">
        <f>IF($A576="","",IF(BO576=1,$D576,MIN($D576,BS575)))</f>
        <v>0</v>
      </c>
      <c r="BT576">
        <f>IF($A576="","",IF(BP576=1,F576,""))</f>
        <v>0</v>
      </c>
    </row>
    <row r="577" spans="1:72">
      <c r="A577" s="27">
        <f>IF(Data!$A577="","",Data!$A577)</f>
        <v>0</v>
      </c>
      <c r="B577">
        <f>IF(Data!$B577="","",Data!$B577)</f>
        <v>0</v>
      </c>
      <c r="C577">
        <f>IF(Data!$C577="","",Data!$C577)</f>
        <v>0</v>
      </c>
      <c r="D577">
        <f>IF(Data!$D577="","",Data!$D577)</f>
        <v>0</v>
      </c>
      <c r="E577">
        <f>IF(Data!$E577="","",Data!$E577)</f>
        <v>0</v>
      </c>
      <c r="F577">
        <f>IF($E577="","",N(F576)+1)</f>
        <v>0</v>
      </c>
      <c r="G577">
        <f>IF(OR($E577="",$E576=""),"",LN($E577/$E576))</f>
        <v>0</v>
      </c>
      <c r="H577">
        <f>IF($E577="","",IF($E576="",$E577,$E577*0.0952380952+H576*0.9047619048))</f>
        <v>0</v>
      </c>
      <c r="I577">
        <f>IF($E577="","",IF($E576="",$E577,$E577*0.0392156863+I576*0.9607843137))</f>
        <v>0</v>
      </c>
      <c r="J577">
        <f>IF($E577="","",IF($E576="",$E577,$E577*0.0198019802+J576*0.9801980198))</f>
        <v>0</v>
      </c>
      <c r="K577">
        <f>IF($E577="","",IF($E576="",$E577,$E577*0.0099502488+K576*0.9900497512))</f>
        <v>0</v>
      </c>
      <c r="L577">
        <f>IF(OR($E577="",$E576=""),"",MAX($E577-$E576,0))</f>
        <v>0</v>
      </c>
      <c r="M577">
        <f>IF(OR($E577="",$E576=""),"",MAX($E576-$E577,0))</f>
        <v>0</v>
      </c>
      <c r="N577">
        <f>IF(COUNT($E$2:$E577)&lt;15,"",IF(AVERAGE($M$564:$M$577)=0,100,100-100/(1+AVERAGE($L$564:$L$577)/AVERAGE($M$564:$M$577))))</f>
        <v>0</v>
      </c>
      <c r="O577">
        <f>IF($E577="","",IF($E576="",$E577,$E577*0.1538461538+O576*0.8461538462))</f>
        <v>0</v>
      </c>
      <c r="P577">
        <f>IF($E577="","",IF($E576="",$E577,$E577*0.0740740741+P576*0.9259259259))</f>
        <v>0</v>
      </c>
      <c r="Q577">
        <f>IF(OR(O577="",P577=""),"",O577-P577)</f>
        <v>0</v>
      </c>
      <c r="R577">
        <f>IF(Q577="","",IF(R576="",Q577,Q577*0.2000000000+R576*0.8000000000))</f>
        <v>0</v>
      </c>
      <c r="S577">
        <f>IF(OR(Q577="",R577=""),"",Q577-R577)</f>
        <v>0</v>
      </c>
      <c r="T577">
        <f>IF(COUNT($E$2:$E577)&lt;14,"",MAX($C$564:$C$577))</f>
        <v>0</v>
      </c>
      <c r="U577">
        <f>IF(COUNT($E$2:$E577)&lt;14,"",MIN($D$564:$D$577))</f>
        <v>0</v>
      </c>
      <c r="V577">
        <f>IF(OR(T577="",U577="",T577=U577),"",100*($E577-U577)/(T577-U577))</f>
        <v>0</v>
      </c>
      <c r="W577">
        <f>IF(COUNT($V$575:$V$577)&lt;3,"",AVERAGE($V$575:$V$577))</f>
        <v>0</v>
      </c>
      <c r="X577">
        <f>IF(COUNT($N$564:$N$577)&lt;14,"",MIN($N$564:$N$577))</f>
        <v>0</v>
      </c>
      <c r="Y577">
        <f>IF(COUNT($N$564:$N$577)&lt;14,"",MAX($N$564:$N$577))</f>
        <v>0</v>
      </c>
      <c r="Z577">
        <f>IF(OR(N577="",X577="",Y577="",Y577=X577),"",100*(N577-X577)/(Y577-X577))</f>
        <v>0</v>
      </c>
      <c r="AA577">
        <f>IF(COUNT($Z$575:$Z$577)&lt;3,"",AVERAGE($Z$575:$Z$577))</f>
        <v>0</v>
      </c>
      <c r="AB577">
        <f>IF(COUNT($AA$575:$AA$577)&lt;3,"",AVERAGE($AA$575:$AA$577))</f>
        <v>0</v>
      </c>
      <c r="AC577">
        <f>IF($E577="","",MAX($C577-$D577,ABS($C577-$E576),ABS($D577-$E576)))</f>
        <v>0</v>
      </c>
      <c r="AD577">
        <f>IF(COUNT($E$2:$E577)&lt;15,"",AVERAGE($AC$564:$AC$577))</f>
        <v>0</v>
      </c>
      <c r="AE577">
        <f>IF(OR($E577="",$E576=""),"",IF(AND(($C577-$C576)&gt;($D576-$D577),($C577-$C576)&gt;0),$C577-$C576,0))</f>
        <v>0</v>
      </c>
      <c r="AF577">
        <f>IF(OR($E577="",$E576=""),"",IF(AND(($D576-$D577)&gt;($C577-$C576),($D576-$D577)&gt;0),$D576-$D577,0))</f>
        <v>0</v>
      </c>
      <c r="AG577">
        <f>IF(COUNT($E$2:$E577)&lt;15,"",IF(SUM($AC$564:$AC$577)=0,0,100*SUM($AE$564:$AE$577)/SUM($AC$564:$AC$577)))</f>
        <v>0</v>
      </c>
      <c r="AH577">
        <f>IF(COUNT($E$2:$E577)&lt;15,"",IF(SUM($AC$564:$AC$577)=0,0,100*SUM($AF$564:$AF$577)/SUM($AC$564:$AC$577)))</f>
        <v>0</v>
      </c>
      <c r="AI577">
        <f>IF(OR(AG577="",AH577=""),"",IF((AG577+AH577)=0,0,100*ABS(AG577-AH577)/(AG577+AH577)))</f>
        <v>0</v>
      </c>
      <c r="AJ577">
        <f>IF(COUNT($AI$564:$AI$577)&lt;14,"",AVERAGE($AI$564:$AI$577))</f>
        <v>0</v>
      </c>
      <c r="AK577">
        <f>IF(COUNT($E$2:$E577)&lt;20,"",AVERAGE($E$558:$E$577))</f>
        <v>0</v>
      </c>
      <c r="AL577">
        <f>IF(COUNT($E$2:$E577)&lt;20,"",STDEVP($E$558:$E$577))</f>
        <v>0</v>
      </c>
      <c r="AM577">
        <f>IF(AK577="","",AK577+2*AL577)</f>
        <v>0</v>
      </c>
      <c r="AN577">
        <f>IF(AK577="","",AK577-2*AL577)</f>
        <v>0</v>
      </c>
      <c r="AO577">
        <f>IF(OR(AM577="",AN577="",AM577=AN577),"",($E577-AN577)/(AM577-AN577))</f>
        <v>0</v>
      </c>
      <c r="AP577">
        <f>IF(OR(AM577="",AK577="",AK577=0),"",(AM577-AN577)/AK577)</f>
        <v>0</v>
      </c>
      <c r="AQ577">
        <f>IF(COUNT($E$2:$E577)&lt;20,"",MAX($C$558:$C$577))</f>
        <v>0</v>
      </c>
      <c r="AR577">
        <f>IF(COUNT($E$2:$E577)&lt;20,"",MIN($D$558:$D$577))</f>
        <v>0</v>
      </c>
      <c r="AS577">
        <f>IF(OR(AQ577="",AR577=""),"",(AQ577+AR577)/2)</f>
        <v>0</v>
      </c>
      <c r="AT577">
        <f>IF(COUNT($G$558:$G$577)&lt;20,"",STDEV($G$558:$G$577)*SQRT(252))</f>
        <v>0</v>
      </c>
      <c r="AU577">
        <f>IF(COUNT($E$2:$E577)&lt;9,"",(MAX($C$569:$C$577)+MIN($D$569:$D$577))/2)</f>
        <v>0</v>
      </c>
      <c r="AV577">
        <f>IF(COUNT($E$2:$E577)&lt;26,"",(MAX($C$552:$C$577)+MIN($D$552:$D$577))/2)</f>
        <v>0</v>
      </c>
      <c r="AW577">
        <f>IF(OR(AU577="",AV577=""),"",(AU577+AV577)/2)</f>
        <v>0</v>
      </c>
      <c r="AX577">
        <f>IF(COUNT($E$2:$E577)&lt;52,"",(MAX($C$526:$C$577)+MIN($D$526:$D$577))/2)</f>
        <v>0</v>
      </c>
      <c r="AY577">
        <f>IF(COUNT($E$2:$E577)&lt;20,"",MAX($C$478:$C$577))</f>
        <v>0</v>
      </c>
      <c r="AZ577">
        <f>IF(COUNT($E$2:$E577)&lt;20,"",MIN($D$478:$D$577))</f>
        <v>0</v>
      </c>
      <c r="BA577">
        <f>IF(COUNT($E$2:$E577)&lt;20,"",SLOPE($E$478:$E$577,$F$478:$F$577))</f>
        <v>0</v>
      </c>
      <c r="BB577">
        <f>IF(COUNT($E$2:$E577)&lt;20,"",INTERCEPT($E$478:$E$577,$F$478:$F$577))</f>
        <v>0</v>
      </c>
      <c r="BC577">
        <f>IF(OR(BA577="",BB577=""),"",BB577+BA577*F577)</f>
        <v>0</v>
      </c>
      <c r="BD577">
        <f>IF(COUNT($E$2:$E577)&lt;20,"",STEYX($E$478:$E$577,$F$478:$F$577))</f>
        <v>0</v>
      </c>
      <c r="BE577">
        <f>IF($E577="","",IF(AND(COUNT($E$578:$E$581)&gt;=4,$C577=MAX($C$573:$C$581)),$C577,""))</f>
        <v>0</v>
      </c>
      <c r="BF577">
        <f>IF($E577="","",IF(AND(COUNT($E$578:$E$581)&gt;=4,$D577=MIN($D$573:$D$581)),$D577,""))</f>
        <v>0</v>
      </c>
      <c r="BG577">
        <f>IF($A577="","",$A577-WEEKDAY($A577,2)+1)</f>
        <v>0</v>
      </c>
      <c r="BH577">
        <f>IF($A577="","",IF($A576="",1,IF(BG577&lt;&gt;BG576,1,0)))</f>
        <v>0</v>
      </c>
      <c r="BI577">
        <f>IF($A577="","",IF($A578="",1,IF(BG578&lt;&gt;BG577,1,0)))</f>
        <v>0</v>
      </c>
      <c r="BJ577">
        <f>IF($A577="","",IF(BH577=1,$B577,BJ576))</f>
        <v>0</v>
      </c>
      <c r="BK577">
        <f>IF($A577="","",IF(BH577=1,$C577,MAX($C577,BK576)))</f>
        <v>0</v>
      </c>
      <c r="BL577">
        <f>IF($A577="","",IF(BH577=1,$D577,MIN($D577,BL576)))</f>
        <v>0</v>
      </c>
      <c r="BM577">
        <f>IF($A577="","",IF(BI577=1,F577,""))</f>
        <v>0</v>
      </c>
      <c r="BN577">
        <f>IF($A577="","",DATE(YEAR($A577),MONTH($A577),1))</f>
        <v>0</v>
      </c>
      <c r="BO577">
        <f>IF($A577="","",IF($A576="",1,IF(BN577&lt;&gt;BN576,1,0)))</f>
        <v>0</v>
      </c>
      <c r="BP577">
        <f>IF($A577="","",IF($A578="",1,IF(BN578&lt;&gt;BN577,1,0)))</f>
        <v>0</v>
      </c>
      <c r="BQ577">
        <f>IF($A577="","",IF(BO577=1,$B577,BQ576))</f>
        <v>0</v>
      </c>
      <c r="BR577">
        <f>IF($A577="","",IF(BO577=1,$C577,MAX($C577,BR576)))</f>
        <v>0</v>
      </c>
      <c r="BS577">
        <f>IF($A577="","",IF(BO577=1,$D577,MIN($D577,BS576)))</f>
        <v>0</v>
      </c>
      <c r="BT577">
        <f>IF($A577="","",IF(BP577=1,F577,""))</f>
        <v>0</v>
      </c>
    </row>
    <row r="578" spans="1:72">
      <c r="A578" s="27">
        <f>IF(Data!$A578="","",Data!$A578)</f>
        <v>0</v>
      </c>
      <c r="B578">
        <f>IF(Data!$B578="","",Data!$B578)</f>
        <v>0</v>
      </c>
      <c r="C578">
        <f>IF(Data!$C578="","",Data!$C578)</f>
        <v>0</v>
      </c>
      <c r="D578">
        <f>IF(Data!$D578="","",Data!$D578)</f>
        <v>0</v>
      </c>
      <c r="E578">
        <f>IF(Data!$E578="","",Data!$E578)</f>
        <v>0</v>
      </c>
      <c r="F578">
        <f>IF($E578="","",N(F577)+1)</f>
        <v>0</v>
      </c>
      <c r="G578">
        <f>IF(OR($E578="",$E577=""),"",LN($E578/$E577))</f>
        <v>0</v>
      </c>
      <c r="H578">
        <f>IF($E578="","",IF($E577="",$E578,$E578*0.0952380952+H577*0.9047619048))</f>
        <v>0</v>
      </c>
      <c r="I578">
        <f>IF($E578="","",IF($E577="",$E578,$E578*0.0392156863+I577*0.9607843137))</f>
        <v>0</v>
      </c>
      <c r="J578">
        <f>IF($E578="","",IF($E577="",$E578,$E578*0.0198019802+J577*0.9801980198))</f>
        <v>0</v>
      </c>
      <c r="K578">
        <f>IF($E578="","",IF($E577="",$E578,$E578*0.0099502488+K577*0.9900497512))</f>
        <v>0</v>
      </c>
      <c r="L578">
        <f>IF(OR($E578="",$E577=""),"",MAX($E578-$E577,0))</f>
        <v>0</v>
      </c>
      <c r="M578">
        <f>IF(OR($E578="",$E577=""),"",MAX($E577-$E578,0))</f>
        <v>0</v>
      </c>
      <c r="N578">
        <f>IF(COUNT($E$2:$E578)&lt;15,"",IF(AVERAGE($M$565:$M$578)=0,100,100-100/(1+AVERAGE($L$565:$L$578)/AVERAGE($M$565:$M$578))))</f>
        <v>0</v>
      </c>
      <c r="O578">
        <f>IF($E578="","",IF($E577="",$E578,$E578*0.1538461538+O577*0.8461538462))</f>
        <v>0</v>
      </c>
      <c r="P578">
        <f>IF($E578="","",IF($E577="",$E578,$E578*0.0740740741+P577*0.9259259259))</f>
        <v>0</v>
      </c>
      <c r="Q578">
        <f>IF(OR(O578="",P578=""),"",O578-P578)</f>
        <v>0</v>
      </c>
      <c r="R578">
        <f>IF(Q578="","",IF(R577="",Q578,Q578*0.2000000000+R577*0.8000000000))</f>
        <v>0</v>
      </c>
      <c r="S578">
        <f>IF(OR(Q578="",R578=""),"",Q578-R578)</f>
        <v>0</v>
      </c>
      <c r="T578">
        <f>IF(COUNT($E$2:$E578)&lt;14,"",MAX($C$565:$C$578))</f>
        <v>0</v>
      </c>
      <c r="U578">
        <f>IF(COUNT($E$2:$E578)&lt;14,"",MIN($D$565:$D$578))</f>
        <v>0</v>
      </c>
      <c r="V578">
        <f>IF(OR(T578="",U578="",T578=U578),"",100*($E578-U578)/(T578-U578))</f>
        <v>0</v>
      </c>
      <c r="W578">
        <f>IF(COUNT($V$576:$V$578)&lt;3,"",AVERAGE($V$576:$V$578))</f>
        <v>0</v>
      </c>
      <c r="X578">
        <f>IF(COUNT($N$565:$N$578)&lt;14,"",MIN($N$565:$N$578))</f>
        <v>0</v>
      </c>
      <c r="Y578">
        <f>IF(COUNT($N$565:$N$578)&lt;14,"",MAX($N$565:$N$578))</f>
        <v>0</v>
      </c>
      <c r="Z578">
        <f>IF(OR(N578="",X578="",Y578="",Y578=X578),"",100*(N578-X578)/(Y578-X578))</f>
        <v>0</v>
      </c>
      <c r="AA578">
        <f>IF(COUNT($Z$576:$Z$578)&lt;3,"",AVERAGE($Z$576:$Z$578))</f>
        <v>0</v>
      </c>
      <c r="AB578">
        <f>IF(COUNT($AA$576:$AA$578)&lt;3,"",AVERAGE($AA$576:$AA$578))</f>
        <v>0</v>
      </c>
      <c r="AC578">
        <f>IF($E578="","",MAX($C578-$D578,ABS($C578-$E577),ABS($D578-$E577)))</f>
        <v>0</v>
      </c>
      <c r="AD578">
        <f>IF(COUNT($E$2:$E578)&lt;15,"",AVERAGE($AC$565:$AC$578))</f>
        <v>0</v>
      </c>
      <c r="AE578">
        <f>IF(OR($E578="",$E577=""),"",IF(AND(($C578-$C577)&gt;($D577-$D578),($C578-$C577)&gt;0),$C578-$C577,0))</f>
        <v>0</v>
      </c>
      <c r="AF578">
        <f>IF(OR($E578="",$E577=""),"",IF(AND(($D577-$D578)&gt;($C578-$C577),($D577-$D578)&gt;0),$D577-$D578,0))</f>
        <v>0</v>
      </c>
      <c r="AG578">
        <f>IF(COUNT($E$2:$E578)&lt;15,"",IF(SUM($AC$565:$AC$578)=0,0,100*SUM($AE$565:$AE$578)/SUM($AC$565:$AC$578)))</f>
        <v>0</v>
      </c>
      <c r="AH578">
        <f>IF(COUNT($E$2:$E578)&lt;15,"",IF(SUM($AC$565:$AC$578)=0,0,100*SUM($AF$565:$AF$578)/SUM($AC$565:$AC$578)))</f>
        <v>0</v>
      </c>
      <c r="AI578">
        <f>IF(OR(AG578="",AH578=""),"",IF((AG578+AH578)=0,0,100*ABS(AG578-AH578)/(AG578+AH578)))</f>
        <v>0</v>
      </c>
      <c r="AJ578">
        <f>IF(COUNT($AI$565:$AI$578)&lt;14,"",AVERAGE($AI$565:$AI$578))</f>
        <v>0</v>
      </c>
      <c r="AK578">
        <f>IF(COUNT($E$2:$E578)&lt;20,"",AVERAGE($E$559:$E$578))</f>
        <v>0</v>
      </c>
      <c r="AL578">
        <f>IF(COUNT($E$2:$E578)&lt;20,"",STDEVP($E$559:$E$578))</f>
        <v>0</v>
      </c>
      <c r="AM578">
        <f>IF(AK578="","",AK578+2*AL578)</f>
        <v>0</v>
      </c>
      <c r="AN578">
        <f>IF(AK578="","",AK578-2*AL578)</f>
        <v>0</v>
      </c>
      <c r="AO578">
        <f>IF(OR(AM578="",AN578="",AM578=AN578),"",($E578-AN578)/(AM578-AN578))</f>
        <v>0</v>
      </c>
      <c r="AP578">
        <f>IF(OR(AM578="",AK578="",AK578=0),"",(AM578-AN578)/AK578)</f>
        <v>0</v>
      </c>
      <c r="AQ578">
        <f>IF(COUNT($E$2:$E578)&lt;20,"",MAX($C$559:$C$578))</f>
        <v>0</v>
      </c>
      <c r="AR578">
        <f>IF(COUNT($E$2:$E578)&lt;20,"",MIN($D$559:$D$578))</f>
        <v>0</v>
      </c>
      <c r="AS578">
        <f>IF(OR(AQ578="",AR578=""),"",(AQ578+AR578)/2)</f>
        <v>0</v>
      </c>
      <c r="AT578">
        <f>IF(COUNT($G$559:$G$578)&lt;20,"",STDEV($G$559:$G$578)*SQRT(252))</f>
        <v>0</v>
      </c>
      <c r="AU578">
        <f>IF(COUNT($E$2:$E578)&lt;9,"",(MAX($C$570:$C$578)+MIN($D$570:$D$578))/2)</f>
        <v>0</v>
      </c>
      <c r="AV578">
        <f>IF(COUNT($E$2:$E578)&lt;26,"",(MAX($C$553:$C$578)+MIN($D$553:$D$578))/2)</f>
        <v>0</v>
      </c>
      <c r="AW578">
        <f>IF(OR(AU578="",AV578=""),"",(AU578+AV578)/2)</f>
        <v>0</v>
      </c>
      <c r="AX578">
        <f>IF(COUNT($E$2:$E578)&lt;52,"",(MAX($C$527:$C$578)+MIN($D$527:$D$578))/2)</f>
        <v>0</v>
      </c>
      <c r="AY578">
        <f>IF(COUNT($E$2:$E578)&lt;20,"",MAX($C$479:$C$578))</f>
        <v>0</v>
      </c>
      <c r="AZ578">
        <f>IF(COUNT($E$2:$E578)&lt;20,"",MIN($D$479:$D$578))</f>
        <v>0</v>
      </c>
      <c r="BA578">
        <f>IF(COUNT($E$2:$E578)&lt;20,"",SLOPE($E$479:$E$578,$F$479:$F$578))</f>
        <v>0</v>
      </c>
      <c r="BB578">
        <f>IF(COUNT($E$2:$E578)&lt;20,"",INTERCEPT($E$479:$E$578,$F$479:$F$578))</f>
        <v>0</v>
      </c>
      <c r="BC578">
        <f>IF(OR(BA578="",BB578=""),"",BB578+BA578*F578)</f>
        <v>0</v>
      </c>
      <c r="BD578">
        <f>IF(COUNT($E$2:$E578)&lt;20,"",STEYX($E$479:$E$578,$F$479:$F$578))</f>
        <v>0</v>
      </c>
      <c r="BE578">
        <f>IF($E578="","",IF(AND(COUNT($E$579:$E$582)&gt;=4,$C578=MAX($C$574:$C$582)),$C578,""))</f>
        <v>0</v>
      </c>
      <c r="BF578">
        <f>IF($E578="","",IF(AND(COUNT($E$579:$E$582)&gt;=4,$D578=MIN($D$574:$D$582)),$D578,""))</f>
        <v>0</v>
      </c>
      <c r="BG578">
        <f>IF($A578="","",$A578-WEEKDAY($A578,2)+1)</f>
        <v>0</v>
      </c>
      <c r="BH578">
        <f>IF($A578="","",IF($A577="",1,IF(BG578&lt;&gt;BG577,1,0)))</f>
        <v>0</v>
      </c>
      <c r="BI578">
        <f>IF($A578="","",IF($A579="",1,IF(BG579&lt;&gt;BG578,1,0)))</f>
        <v>0</v>
      </c>
      <c r="BJ578">
        <f>IF($A578="","",IF(BH578=1,$B578,BJ577))</f>
        <v>0</v>
      </c>
      <c r="BK578">
        <f>IF($A578="","",IF(BH578=1,$C578,MAX($C578,BK577)))</f>
        <v>0</v>
      </c>
      <c r="BL578">
        <f>IF($A578="","",IF(BH578=1,$D578,MIN($D578,BL577)))</f>
        <v>0</v>
      </c>
      <c r="BM578">
        <f>IF($A578="","",IF(BI578=1,F578,""))</f>
        <v>0</v>
      </c>
      <c r="BN578">
        <f>IF($A578="","",DATE(YEAR($A578),MONTH($A578),1))</f>
        <v>0</v>
      </c>
      <c r="BO578">
        <f>IF($A578="","",IF($A577="",1,IF(BN578&lt;&gt;BN577,1,0)))</f>
        <v>0</v>
      </c>
      <c r="BP578">
        <f>IF($A578="","",IF($A579="",1,IF(BN579&lt;&gt;BN578,1,0)))</f>
        <v>0</v>
      </c>
      <c r="BQ578">
        <f>IF($A578="","",IF(BO578=1,$B578,BQ577))</f>
        <v>0</v>
      </c>
      <c r="BR578">
        <f>IF($A578="","",IF(BO578=1,$C578,MAX($C578,BR577)))</f>
        <v>0</v>
      </c>
      <c r="BS578">
        <f>IF($A578="","",IF(BO578=1,$D578,MIN($D578,BS577)))</f>
        <v>0</v>
      </c>
      <c r="BT578">
        <f>IF($A578="","",IF(BP578=1,F578,""))</f>
        <v>0</v>
      </c>
    </row>
    <row r="579" spans="1:72">
      <c r="A579" s="27">
        <f>IF(Data!$A579="","",Data!$A579)</f>
        <v>0</v>
      </c>
      <c r="B579">
        <f>IF(Data!$B579="","",Data!$B579)</f>
        <v>0</v>
      </c>
      <c r="C579">
        <f>IF(Data!$C579="","",Data!$C579)</f>
        <v>0</v>
      </c>
      <c r="D579">
        <f>IF(Data!$D579="","",Data!$D579)</f>
        <v>0</v>
      </c>
      <c r="E579">
        <f>IF(Data!$E579="","",Data!$E579)</f>
        <v>0</v>
      </c>
      <c r="F579">
        <f>IF($E579="","",N(F578)+1)</f>
        <v>0</v>
      </c>
      <c r="G579">
        <f>IF(OR($E579="",$E578=""),"",LN($E579/$E578))</f>
        <v>0</v>
      </c>
      <c r="H579">
        <f>IF($E579="","",IF($E578="",$E579,$E579*0.0952380952+H578*0.9047619048))</f>
        <v>0</v>
      </c>
      <c r="I579">
        <f>IF($E579="","",IF($E578="",$E579,$E579*0.0392156863+I578*0.9607843137))</f>
        <v>0</v>
      </c>
      <c r="J579">
        <f>IF($E579="","",IF($E578="",$E579,$E579*0.0198019802+J578*0.9801980198))</f>
        <v>0</v>
      </c>
      <c r="K579">
        <f>IF($E579="","",IF($E578="",$E579,$E579*0.0099502488+K578*0.9900497512))</f>
        <v>0</v>
      </c>
      <c r="L579">
        <f>IF(OR($E579="",$E578=""),"",MAX($E579-$E578,0))</f>
        <v>0</v>
      </c>
      <c r="M579">
        <f>IF(OR($E579="",$E578=""),"",MAX($E578-$E579,0))</f>
        <v>0</v>
      </c>
      <c r="N579">
        <f>IF(COUNT($E$2:$E579)&lt;15,"",IF(AVERAGE($M$566:$M$579)=0,100,100-100/(1+AVERAGE($L$566:$L$579)/AVERAGE($M$566:$M$579))))</f>
        <v>0</v>
      </c>
      <c r="O579">
        <f>IF($E579="","",IF($E578="",$E579,$E579*0.1538461538+O578*0.8461538462))</f>
        <v>0</v>
      </c>
      <c r="P579">
        <f>IF($E579="","",IF($E578="",$E579,$E579*0.0740740741+P578*0.9259259259))</f>
        <v>0</v>
      </c>
      <c r="Q579">
        <f>IF(OR(O579="",P579=""),"",O579-P579)</f>
        <v>0</v>
      </c>
      <c r="R579">
        <f>IF(Q579="","",IF(R578="",Q579,Q579*0.2000000000+R578*0.8000000000))</f>
        <v>0</v>
      </c>
      <c r="S579">
        <f>IF(OR(Q579="",R579=""),"",Q579-R579)</f>
        <v>0</v>
      </c>
      <c r="T579">
        <f>IF(COUNT($E$2:$E579)&lt;14,"",MAX($C$566:$C$579))</f>
        <v>0</v>
      </c>
      <c r="U579">
        <f>IF(COUNT($E$2:$E579)&lt;14,"",MIN($D$566:$D$579))</f>
        <v>0</v>
      </c>
      <c r="V579">
        <f>IF(OR(T579="",U579="",T579=U579),"",100*($E579-U579)/(T579-U579))</f>
        <v>0</v>
      </c>
      <c r="W579">
        <f>IF(COUNT($V$577:$V$579)&lt;3,"",AVERAGE($V$577:$V$579))</f>
        <v>0</v>
      </c>
      <c r="X579">
        <f>IF(COUNT($N$566:$N$579)&lt;14,"",MIN($N$566:$N$579))</f>
        <v>0</v>
      </c>
      <c r="Y579">
        <f>IF(COUNT($N$566:$N$579)&lt;14,"",MAX($N$566:$N$579))</f>
        <v>0</v>
      </c>
      <c r="Z579">
        <f>IF(OR(N579="",X579="",Y579="",Y579=X579),"",100*(N579-X579)/(Y579-X579))</f>
        <v>0</v>
      </c>
      <c r="AA579">
        <f>IF(COUNT($Z$577:$Z$579)&lt;3,"",AVERAGE($Z$577:$Z$579))</f>
        <v>0</v>
      </c>
      <c r="AB579">
        <f>IF(COUNT($AA$577:$AA$579)&lt;3,"",AVERAGE($AA$577:$AA$579))</f>
        <v>0</v>
      </c>
      <c r="AC579">
        <f>IF($E579="","",MAX($C579-$D579,ABS($C579-$E578),ABS($D579-$E578)))</f>
        <v>0</v>
      </c>
      <c r="AD579">
        <f>IF(COUNT($E$2:$E579)&lt;15,"",AVERAGE($AC$566:$AC$579))</f>
        <v>0</v>
      </c>
      <c r="AE579">
        <f>IF(OR($E579="",$E578=""),"",IF(AND(($C579-$C578)&gt;($D578-$D579),($C579-$C578)&gt;0),$C579-$C578,0))</f>
        <v>0</v>
      </c>
      <c r="AF579">
        <f>IF(OR($E579="",$E578=""),"",IF(AND(($D578-$D579)&gt;($C579-$C578),($D578-$D579)&gt;0),$D578-$D579,0))</f>
        <v>0</v>
      </c>
      <c r="AG579">
        <f>IF(COUNT($E$2:$E579)&lt;15,"",IF(SUM($AC$566:$AC$579)=0,0,100*SUM($AE$566:$AE$579)/SUM($AC$566:$AC$579)))</f>
        <v>0</v>
      </c>
      <c r="AH579">
        <f>IF(COUNT($E$2:$E579)&lt;15,"",IF(SUM($AC$566:$AC$579)=0,0,100*SUM($AF$566:$AF$579)/SUM($AC$566:$AC$579)))</f>
        <v>0</v>
      </c>
      <c r="AI579">
        <f>IF(OR(AG579="",AH579=""),"",IF((AG579+AH579)=0,0,100*ABS(AG579-AH579)/(AG579+AH579)))</f>
        <v>0</v>
      </c>
      <c r="AJ579">
        <f>IF(COUNT($AI$566:$AI$579)&lt;14,"",AVERAGE($AI$566:$AI$579))</f>
        <v>0</v>
      </c>
      <c r="AK579">
        <f>IF(COUNT($E$2:$E579)&lt;20,"",AVERAGE($E$560:$E$579))</f>
        <v>0</v>
      </c>
      <c r="AL579">
        <f>IF(COUNT($E$2:$E579)&lt;20,"",STDEVP($E$560:$E$579))</f>
        <v>0</v>
      </c>
      <c r="AM579">
        <f>IF(AK579="","",AK579+2*AL579)</f>
        <v>0</v>
      </c>
      <c r="AN579">
        <f>IF(AK579="","",AK579-2*AL579)</f>
        <v>0</v>
      </c>
      <c r="AO579">
        <f>IF(OR(AM579="",AN579="",AM579=AN579),"",($E579-AN579)/(AM579-AN579))</f>
        <v>0</v>
      </c>
      <c r="AP579">
        <f>IF(OR(AM579="",AK579="",AK579=0),"",(AM579-AN579)/AK579)</f>
        <v>0</v>
      </c>
      <c r="AQ579">
        <f>IF(COUNT($E$2:$E579)&lt;20,"",MAX($C$560:$C$579))</f>
        <v>0</v>
      </c>
      <c r="AR579">
        <f>IF(COUNT($E$2:$E579)&lt;20,"",MIN($D$560:$D$579))</f>
        <v>0</v>
      </c>
      <c r="AS579">
        <f>IF(OR(AQ579="",AR579=""),"",(AQ579+AR579)/2)</f>
        <v>0</v>
      </c>
      <c r="AT579">
        <f>IF(COUNT($G$560:$G$579)&lt;20,"",STDEV($G$560:$G$579)*SQRT(252))</f>
        <v>0</v>
      </c>
      <c r="AU579">
        <f>IF(COUNT($E$2:$E579)&lt;9,"",(MAX($C$571:$C$579)+MIN($D$571:$D$579))/2)</f>
        <v>0</v>
      </c>
      <c r="AV579">
        <f>IF(COUNT($E$2:$E579)&lt;26,"",(MAX($C$554:$C$579)+MIN($D$554:$D$579))/2)</f>
        <v>0</v>
      </c>
      <c r="AW579">
        <f>IF(OR(AU579="",AV579=""),"",(AU579+AV579)/2)</f>
        <v>0</v>
      </c>
      <c r="AX579">
        <f>IF(COUNT($E$2:$E579)&lt;52,"",(MAX($C$528:$C$579)+MIN($D$528:$D$579))/2)</f>
        <v>0</v>
      </c>
      <c r="AY579">
        <f>IF(COUNT($E$2:$E579)&lt;20,"",MAX($C$480:$C$579))</f>
        <v>0</v>
      </c>
      <c r="AZ579">
        <f>IF(COUNT($E$2:$E579)&lt;20,"",MIN($D$480:$D$579))</f>
        <v>0</v>
      </c>
      <c r="BA579">
        <f>IF(COUNT($E$2:$E579)&lt;20,"",SLOPE($E$480:$E$579,$F$480:$F$579))</f>
        <v>0</v>
      </c>
      <c r="BB579">
        <f>IF(COUNT($E$2:$E579)&lt;20,"",INTERCEPT($E$480:$E$579,$F$480:$F$579))</f>
        <v>0</v>
      </c>
      <c r="BC579">
        <f>IF(OR(BA579="",BB579=""),"",BB579+BA579*F579)</f>
        <v>0</v>
      </c>
      <c r="BD579">
        <f>IF(COUNT($E$2:$E579)&lt;20,"",STEYX($E$480:$E$579,$F$480:$F$579))</f>
        <v>0</v>
      </c>
      <c r="BE579">
        <f>IF($E579="","",IF(AND(COUNT($E$580:$E$583)&gt;=4,$C579=MAX($C$575:$C$583)),$C579,""))</f>
        <v>0</v>
      </c>
      <c r="BF579">
        <f>IF($E579="","",IF(AND(COUNT($E$580:$E$583)&gt;=4,$D579=MIN($D$575:$D$583)),$D579,""))</f>
        <v>0</v>
      </c>
      <c r="BG579">
        <f>IF($A579="","",$A579-WEEKDAY($A579,2)+1)</f>
        <v>0</v>
      </c>
      <c r="BH579">
        <f>IF($A579="","",IF($A578="",1,IF(BG579&lt;&gt;BG578,1,0)))</f>
        <v>0</v>
      </c>
      <c r="BI579">
        <f>IF($A579="","",IF($A580="",1,IF(BG580&lt;&gt;BG579,1,0)))</f>
        <v>0</v>
      </c>
      <c r="BJ579">
        <f>IF($A579="","",IF(BH579=1,$B579,BJ578))</f>
        <v>0</v>
      </c>
      <c r="BK579">
        <f>IF($A579="","",IF(BH579=1,$C579,MAX($C579,BK578)))</f>
        <v>0</v>
      </c>
      <c r="BL579">
        <f>IF($A579="","",IF(BH579=1,$D579,MIN($D579,BL578)))</f>
        <v>0</v>
      </c>
      <c r="BM579">
        <f>IF($A579="","",IF(BI579=1,F579,""))</f>
        <v>0</v>
      </c>
      <c r="BN579">
        <f>IF($A579="","",DATE(YEAR($A579),MONTH($A579),1))</f>
        <v>0</v>
      </c>
      <c r="BO579">
        <f>IF($A579="","",IF($A578="",1,IF(BN579&lt;&gt;BN578,1,0)))</f>
        <v>0</v>
      </c>
      <c r="BP579">
        <f>IF($A579="","",IF($A580="",1,IF(BN580&lt;&gt;BN579,1,0)))</f>
        <v>0</v>
      </c>
      <c r="BQ579">
        <f>IF($A579="","",IF(BO579=1,$B579,BQ578))</f>
        <v>0</v>
      </c>
      <c r="BR579">
        <f>IF($A579="","",IF(BO579=1,$C579,MAX($C579,BR578)))</f>
        <v>0</v>
      </c>
      <c r="BS579">
        <f>IF($A579="","",IF(BO579=1,$D579,MIN($D579,BS578)))</f>
        <v>0</v>
      </c>
      <c r="BT579">
        <f>IF($A579="","",IF(BP579=1,F579,""))</f>
        <v>0</v>
      </c>
    </row>
    <row r="580" spans="1:72">
      <c r="A580" s="27">
        <f>IF(Data!$A580="","",Data!$A580)</f>
        <v>0</v>
      </c>
      <c r="B580">
        <f>IF(Data!$B580="","",Data!$B580)</f>
        <v>0</v>
      </c>
      <c r="C580">
        <f>IF(Data!$C580="","",Data!$C580)</f>
        <v>0</v>
      </c>
      <c r="D580">
        <f>IF(Data!$D580="","",Data!$D580)</f>
        <v>0</v>
      </c>
      <c r="E580">
        <f>IF(Data!$E580="","",Data!$E580)</f>
        <v>0</v>
      </c>
      <c r="F580">
        <f>IF($E580="","",N(F579)+1)</f>
        <v>0</v>
      </c>
      <c r="G580">
        <f>IF(OR($E580="",$E579=""),"",LN($E580/$E579))</f>
        <v>0</v>
      </c>
      <c r="H580">
        <f>IF($E580="","",IF($E579="",$E580,$E580*0.0952380952+H579*0.9047619048))</f>
        <v>0</v>
      </c>
      <c r="I580">
        <f>IF($E580="","",IF($E579="",$E580,$E580*0.0392156863+I579*0.9607843137))</f>
        <v>0</v>
      </c>
      <c r="J580">
        <f>IF($E580="","",IF($E579="",$E580,$E580*0.0198019802+J579*0.9801980198))</f>
        <v>0</v>
      </c>
      <c r="K580">
        <f>IF($E580="","",IF($E579="",$E580,$E580*0.0099502488+K579*0.9900497512))</f>
        <v>0</v>
      </c>
      <c r="L580">
        <f>IF(OR($E580="",$E579=""),"",MAX($E580-$E579,0))</f>
        <v>0</v>
      </c>
      <c r="M580">
        <f>IF(OR($E580="",$E579=""),"",MAX($E579-$E580,0))</f>
        <v>0</v>
      </c>
      <c r="N580">
        <f>IF(COUNT($E$2:$E580)&lt;15,"",IF(AVERAGE($M$567:$M$580)=0,100,100-100/(1+AVERAGE($L$567:$L$580)/AVERAGE($M$567:$M$580))))</f>
        <v>0</v>
      </c>
      <c r="O580">
        <f>IF($E580="","",IF($E579="",$E580,$E580*0.1538461538+O579*0.8461538462))</f>
        <v>0</v>
      </c>
      <c r="P580">
        <f>IF($E580="","",IF($E579="",$E580,$E580*0.0740740741+P579*0.9259259259))</f>
        <v>0</v>
      </c>
      <c r="Q580">
        <f>IF(OR(O580="",P580=""),"",O580-P580)</f>
        <v>0</v>
      </c>
      <c r="R580">
        <f>IF(Q580="","",IF(R579="",Q580,Q580*0.2000000000+R579*0.8000000000))</f>
        <v>0</v>
      </c>
      <c r="S580">
        <f>IF(OR(Q580="",R580=""),"",Q580-R580)</f>
        <v>0</v>
      </c>
      <c r="T580">
        <f>IF(COUNT($E$2:$E580)&lt;14,"",MAX($C$567:$C$580))</f>
        <v>0</v>
      </c>
      <c r="U580">
        <f>IF(COUNT($E$2:$E580)&lt;14,"",MIN($D$567:$D$580))</f>
        <v>0</v>
      </c>
      <c r="V580">
        <f>IF(OR(T580="",U580="",T580=U580),"",100*($E580-U580)/(T580-U580))</f>
        <v>0</v>
      </c>
      <c r="W580">
        <f>IF(COUNT($V$578:$V$580)&lt;3,"",AVERAGE($V$578:$V$580))</f>
        <v>0</v>
      </c>
      <c r="X580">
        <f>IF(COUNT($N$567:$N$580)&lt;14,"",MIN($N$567:$N$580))</f>
        <v>0</v>
      </c>
      <c r="Y580">
        <f>IF(COUNT($N$567:$N$580)&lt;14,"",MAX($N$567:$N$580))</f>
        <v>0</v>
      </c>
      <c r="Z580">
        <f>IF(OR(N580="",X580="",Y580="",Y580=X580),"",100*(N580-X580)/(Y580-X580))</f>
        <v>0</v>
      </c>
      <c r="AA580">
        <f>IF(COUNT($Z$578:$Z$580)&lt;3,"",AVERAGE($Z$578:$Z$580))</f>
        <v>0</v>
      </c>
      <c r="AB580">
        <f>IF(COUNT($AA$578:$AA$580)&lt;3,"",AVERAGE($AA$578:$AA$580))</f>
        <v>0</v>
      </c>
      <c r="AC580">
        <f>IF($E580="","",MAX($C580-$D580,ABS($C580-$E579),ABS($D580-$E579)))</f>
        <v>0</v>
      </c>
      <c r="AD580">
        <f>IF(COUNT($E$2:$E580)&lt;15,"",AVERAGE($AC$567:$AC$580))</f>
        <v>0</v>
      </c>
      <c r="AE580">
        <f>IF(OR($E580="",$E579=""),"",IF(AND(($C580-$C579)&gt;($D579-$D580),($C580-$C579)&gt;0),$C580-$C579,0))</f>
        <v>0</v>
      </c>
      <c r="AF580">
        <f>IF(OR($E580="",$E579=""),"",IF(AND(($D579-$D580)&gt;($C580-$C579),($D579-$D580)&gt;0),$D579-$D580,0))</f>
        <v>0</v>
      </c>
      <c r="AG580">
        <f>IF(COUNT($E$2:$E580)&lt;15,"",IF(SUM($AC$567:$AC$580)=0,0,100*SUM($AE$567:$AE$580)/SUM($AC$567:$AC$580)))</f>
        <v>0</v>
      </c>
      <c r="AH580">
        <f>IF(COUNT($E$2:$E580)&lt;15,"",IF(SUM($AC$567:$AC$580)=0,0,100*SUM($AF$567:$AF$580)/SUM($AC$567:$AC$580)))</f>
        <v>0</v>
      </c>
      <c r="AI580">
        <f>IF(OR(AG580="",AH580=""),"",IF((AG580+AH580)=0,0,100*ABS(AG580-AH580)/(AG580+AH580)))</f>
        <v>0</v>
      </c>
      <c r="AJ580">
        <f>IF(COUNT($AI$567:$AI$580)&lt;14,"",AVERAGE($AI$567:$AI$580))</f>
        <v>0</v>
      </c>
      <c r="AK580">
        <f>IF(COUNT($E$2:$E580)&lt;20,"",AVERAGE($E$561:$E$580))</f>
        <v>0</v>
      </c>
      <c r="AL580">
        <f>IF(COUNT($E$2:$E580)&lt;20,"",STDEVP($E$561:$E$580))</f>
        <v>0</v>
      </c>
      <c r="AM580">
        <f>IF(AK580="","",AK580+2*AL580)</f>
        <v>0</v>
      </c>
      <c r="AN580">
        <f>IF(AK580="","",AK580-2*AL580)</f>
        <v>0</v>
      </c>
      <c r="AO580">
        <f>IF(OR(AM580="",AN580="",AM580=AN580),"",($E580-AN580)/(AM580-AN580))</f>
        <v>0</v>
      </c>
      <c r="AP580">
        <f>IF(OR(AM580="",AK580="",AK580=0),"",(AM580-AN580)/AK580)</f>
        <v>0</v>
      </c>
      <c r="AQ580">
        <f>IF(COUNT($E$2:$E580)&lt;20,"",MAX($C$561:$C$580))</f>
        <v>0</v>
      </c>
      <c r="AR580">
        <f>IF(COUNT($E$2:$E580)&lt;20,"",MIN($D$561:$D$580))</f>
        <v>0</v>
      </c>
      <c r="AS580">
        <f>IF(OR(AQ580="",AR580=""),"",(AQ580+AR580)/2)</f>
        <v>0</v>
      </c>
      <c r="AT580">
        <f>IF(COUNT($G$561:$G$580)&lt;20,"",STDEV($G$561:$G$580)*SQRT(252))</f>
        <v>0</v>
      </c>
      <c r="AU580">
        <f>IF(COUNT($E$2:$E580)&lt;9,"",(MAX($C$572:$C$580)+MIN($D$572:$D$580))/2)</f>
        <v>0</v>
      </c>
      <c r="AV580">
        <f>IF(COUNT($E$2:$E580)&lt;26,"",(MAX($C$555:$C$580)+MIN($D$555:$D$580))/2)</f>
        <v>0</v>
      </c>
      <c r="AW580">
        <f>IF(OR(AU580="",AV580=""),"",(AU580+AV580)/2)</f>
        <v>0</v>
      </c>
      <c r="AX580">
        <f>IF(COUNT($E$2:$E580)&lt;52,"",(MAX($C$529:$C$580)+MIN($D$529:$D$580))/2)</f>
        <v>0</v>
      </c>
      <c r="AY580">
        <f>IF(COUNT($E$2:$E580)&lt;20,"",MAX($C$481:$C$580))</f>
        <v>0</v>
      </c>
      <c r="AZ580">
        <f>IF(COUNT($E$2:$E580)&lt;20,"",MIN($D$481:$D$580))</f>
        <v>0</v>
      </c>
      <c r="BA580">
        <f>IF(COUNT($E$2:$E580)&lt;20,"",SLOPE($E$481:$E$580,$F$481:$F$580))</f>
        <v>0</v>
      </c>
      <c r="BB580">
        <f>IF(COUNT($E$2:$E580)&lt;20,"",INTERCEPT($E$481:$E$580,$F$481:$F$580))</f>
        <v>0</v>
      </c>
      <c r="BC580">
        <f>IF(OR(BA580="",BB580=""),"",BB580+BA580*F580)</f>
        <v>0</v>
      </c>
      <c r="BD580">
        <f>IF(COUNT($E$2:$E580)&lt;20,"",STEYX($E$481:$E$580,$F$481:$F$580))</f>
        <v>0</v>
      </c>
      <c r="BE580">
        <f>IF($E580="","",IF(AND(COUNT($E$581:$E$584)&gt;=4,$C580=MAX($C$576:$C$584)),$C580,""))</f>
        <v>0</v>
      </c>
      <c r="BF580">
        <f>IF($E580="","",IF(AND(COUNT($E$581:$E$584)&gt;=4,$D580=MIN($D$576:$D$584)),$D580,""))</f>
        <v>0</v>
      </c>
      <c r="BG580">
        <f>IF($A580="","",$A580-WEEKDAY($A580,2)+1)</f>
        <v>0</v>
      </c>
      <c r="BH580">
        <f>IF($A580="","",IF($A579="",1,IF(BG580&lt;&gt;BG579,1,0)))</f>
        <v>0</v>
      </c>
      <c r="BI580">
        <f>IF($A580="","",IF($A581="",1,IF(BG581&lt;&gt;BG580,1,0)))</f>
        <v>0</v>
      </c>
      <c r="BJ580">
        <f>IF($A580="","",IF(BH580=1,$B580,BJ579))</f>
        <v>0</v>
      </c>
      <c r="BK580">
        <f>IF($A580="","",IF(BH580=1,$C580,MAX($C580,BK579)))</f>
        <v>0</v>
      </c>
      <c r="BL580">
        <f>IF($A580="","",IF(BH580=1,$D580,MIN($D580,BL579)))</f>
        <v>0</v>
      </c>
      <c r="BM580">
        <f>IF($A580="","",IF(BI580=1,F580,""))</f>
        <v>0</v>
      </c>
      <c r="BN580">
        <f>IF($A580="","",DATE(YEAR($A580),MONTH($A580),1))</f>
        <v>0</v>
      </c>
      <c r="BO580">
        <f>IF($A580="","",IF($A579="",1,IF(BN580&lt;&gt;BN579,1,0)))</f>
        <v>0</v>
      </c>
      <c r="BP580">
        <f>IF($A580="","",IF($A581="",1,IF(BN581&lt;&gt;BN580,1,0)))</f>
        <v>0</v>
      </c>
      <c r="BQ580">
        <f>IF($A580="","",IF(BO580=1,$B580,BQ579))</f>
        <v>0</v>
      </c>
      <c r="BR580">
        <f>IF($A580="","",IF(BO580=1,$C580,MAX($C580,BR579)))</f>
        <v>0</v>
      </c>
      <c r="BS580">
        <f>IF($A580="","",IF(BO580=1,$D580,MIN($D580,BS579)))</f>
        <v>0</v>
      </c>
      <c r="BT580">
        <f>IF($A580="","",IF(BP580=1,F580,""))</f>
        <v>0</v>
      </c>
    </row>
    <row r="581" spans="1:72">
      <c r="A581" s="27">
        <f>IF(Data!$A581="","",Data!$A581)</f>
        <v>0</v>
      </c>
      <c r="B581">
        <f>IF(Data!$B581="","",Data!$B581)</f>
        <v>0</v>
      </c>
      <c r="C581">
        <f>IF(Data!$C581="","",Data!$C581)</f>
        <v>0</v>
      </c>
      <c r="D581">
        <f>IF(Data!$D581="","",Data!$D581)</f>
        <v>0</v>
      </c>
      <c r="E581">
        <f>IF(Data!$E581="","",Data!$E581)</f>
        <v>0</v>
      </c>
      <c r="F581">
        <f>IF($E581="","",N(F580)+1)</f>
        <v>0</v>
      </c>
      <c r="G581">
        <f>IF(OR($E581="",$E580=""),"",LN($E581/$E580))</f>
        <v>0</v>
      </c>
      <c r="H581">
        <f>IF($E581="","",IF($E580="",$E581,$E581*0.0952380952+H580*0.9047619048))</f>
        <v>0</v>
      </c>
      <c r="I581">
        <f>IF($E581="","",IF($E580="",$E581,$E581*0.0392156863+I580*0.9607843137))</f>
        <v>0</v>
      </c>
      <c r="J581">
        <f>IF($E581="","",IF($E580="",$E581,$E581*0.0198019802+J580*0.9801980198))</f>
        <v>0</v>
      </c>
      <c r="K581">
        <f>IF($E581="","",IF($E580="",$E581,$E581*0.0099502488+K580*0.9900497512))</f>
        <v>0</v>
      </c>
      <c r="L581">
        <f>IF(OR($E581="",$E580=""),"",MAX($E581-$E580,0))</f>
        <v>0</v>
      </c>
      <c r="M581">
        <f>IF(OR($E581="",$E580=""),"",MAX($E580-$E581,0))</f>
        <v>0</v>
      </c>
      <c r="N581">
        <f>IF(COUNT($E$2:$E581)&lt;15,"",IF(AVERAGE($M$568:$M$581)=0,100,100-100/(1+AVERAGE($L$568:$L$581)/AVERAGE($M$568:$M$581))))</f>
        <v>0</v>
      </c>
      <c r="O581">
        <f>IF($E581="","",IF($E580="",$E581,$E581*0.1538461538+O580*0.8461538462))</f>
        <v>0</v>
      </c>
      <c r="P581">
        <f>IF($E581="","",IF($E580="",$E581,$E581*0.0740740741+P580*0.9259259259))</f>
        <v>0</v>
      </c>
      <c r="Q581">
        <f>IF(OR(O581="",P581=""),"",O581-P581)</f>
        <v>0</v>
      </c>
      <c r="R581">
        <f>IF(Q581="","",IF(R580="",Q581,Q581*0.2000000000+R580*0.8000000000))</f>
        <v>0</v>
      </c>
      <c r="S581">
        <f>IF(OR(Q581="",R581=""),"",Q581-R581)</f>
        <v>0</v>
      </c>
      <c r="T581">
        <f>IF(COUNT($E$2:$E581)&lt;14,"",MAX($C$568:$C$581))</f>
        <v>0</v>
      </c>
      <c r="U581">
        <f>IF(COUNT($E$2:$E581)&lt;14,"",MIN($D$568:$D$581))</f>
        <v>0</v>
      </c>
      <c r="V581">
        <f>IF(OR(T581="",U581="",T581=U581),"",100*($E581-U581)/(T581-U581))</f>
        <v>0</v>
      </c>
      <c r="W581">
        <f>IF(COUNT($V$579:$V$581)&lt;3,"",AVERAGE($V$579:$V$581))</f>
        <v>0</v>
      </c>
      <c r="X581">
        <f>IF(COUNT($N$568:$N$581)&lt;14,"",MIN($N$568:$N$581))</f>
        <v>0</v>
      </c>
      <c r="Y581">
        <f>IF(COUNT($N$568:$N$581)&lt;14,"",MAX($N$568:$N$581))</f>
        <v>0</v>
      </c>
      <c r="Z581">
        <f>IF(OR(N581="",X581="",Y581="",Y581=X581),"",100*(N581-X581)/(Y581-X581))</f>
        <v>0</v>
      </c>
      <c r="AA581">
        <f>IF(COUNT($Z$579:$Z$581)&lt;3,"",AVERAGE($Z$579:$Z$581))</f>
        <v>0</v>
      </c>
      <c r="AB581">
        <f>IF(COUNT($AA$579:$AA$581)&lt;3,"",AVERAGE($AA$579:$AA$581))</f>
        <v>0</v>
      </c>
      <c r="AC581">
        <f>IF($E581="","",MAX($C581-$D581,ABS($C581-$E580),ABS($D581-$E580)))</f>
        <v>0</v>
      </c>
      <c r="AD581">
        <f>IF(COUNT($E$2:$E581)&lt;15,"",AVERAGE($AC$568:$AC$581))</f>
        <v>0</v>
      </c>
      <c r="AE581">
        <f>IF(OR($E581="",$E580=""),"",IF(AND(($C581-$C580)&gt;($D580-$D581),($C581-$C580)&gt;0),$C581-$C580,0))</f>
        <v>0</v>
      </c>
      <c r="AF581">
        <f>IF(OR($E581="",$E580=""),"",IF(AND(($D580-$D581)&gt;($C581-$C580),($D580-$D581)&gt;0),$D580-$D581,0))</f>
        <v>0</v>
      </c>
      <c r="AG581">
        <f>IF(COUNT($E$2:$E581)&lt;15,"",IF(SUM($AC$568:$AC$581)=0,0,100*SUM($AE$568:$AE$581)/SUM($AC$568:$AC$581)))</f>
        <v>0</v>
      </c>
      <c r="AH581">
        <f>IF(COUNT($E$2:$E581)&lt;15,"",IF(SUM($AC$568:$AC$581)=0,0,100*SUM($AF$568:$AF$581)/SUM($AC$568:$AC$581)))</f>
        <v>0</v>
      </c>
      <c r="AI581">
        <f>IF(OR(AG581="",AH581=""),"",IF((AG581+AH581)=0,0,100*ABS(AG581-AH581)/(AG581+AH581)))</f>
        <v>0</v>
      </c>
      <c r="AJ581">
        <f>IF(COUNT($AI$568:$AI$581)&lt;14,"",AVERAGE($AI$568:$AI$581))</f>
        <v>0</v>
      </c>
      <c r="AK581">
        <f>IF(COUNT($E$2:$E581)&lt;20,"",AVERAGE($E$562:$E$581))</f>
        <v>0</v>
      </c>
      <c r="AL581">
        <f>IF(COUNT($E$2:$E581)&lt;20,"",STDEVP($E$562:$E$581))</f>
        <v>0</v>
      </c>
      <c r="AM581">
        <f>IF(AK581="","",AK581+2*AL581)</f>
        <v>0</v>
      </c>
      <c r="AN581">
        <f>IF(AK581="","",AK581-2*AL581)</f>
        <v>0</v>
      </c>
      <c r="AO581">
        <f>IF(OR(AM581="",AN581="",AM581=AN581),"",($E581-AN581)/(AM581-AN581))</f>
        <v>0</v>
      </c>
      <c r="AP581">
        <f>IF(OR(AM581="",AK581="",AK581=0),"",(AM581-AN581)/AK581)</f>
        <v>0</v>
      </c>
      <c r="AQ581">
        <f>IF(COUNT($E$2:$E581)&lt;20,"",MAX($C$562:$C$581))</f>
        <v>0</v>
      </c>
      <c r="AR581">
        <f>IF(COUNT($E$2:$E581)&lt;20,"",MIN($D$562:$D$581))</f>
        <v>0</v>
      </c>
      <c r="AS581">
        <f>IF(OR(AQ581="",AR581=""),"",(AQ581+AR581)/2)</f>
        <v>0</v>
      </c>
      <c r="AT581">
        <f>IF(COUNT($G$562:$G$581)&lt;20,"",STDEV($G$562:$G$581)*SQRT(252))</f>
        <v>0</v>
      </c>
      <c r="AU581">
        <f>IF(COUNT($E$2:$E581)&lt;9,"",(MAX($C$573:$C$581)+MIN($D$573:$D$581))/2)</f>
        <v>0</v>
      </c>
      <c r="AV581">
        <f>IF(COUNT($E$2:$E581)&lt;26,"",(MAX($C$556:$C$581)+MIN($D$556:$D$581))/2)</f>
        <v>0</v>
      </c>
      <c r="AW581">
        <f>IF(OR(AU581="",AV581=""),"",(AU581+AV581)/2)</f>
        <v>0</v>
      </c>
      <c r="AX581">
        <f>IF(COUNT($E$2:$E581)&lt;52,"",(MAX($C$530:$C$581)+MIN($D$530:$D$581))/2)</f>
        <v>0</v>
      </c>
      <c r="AY581">
        <f>IF(COUNT($E$2:$E581)&lt;20,"",MAX($C$482:$C$581))</f>
        <v>0</v>
      </c>
      <c r="AZ581">
        <f>IF(COUNT($E$2:$E581)&lt;20,"",MIN($D$482:$D$581))</f>
        <v>0</v>
      </c>
      <c r="BA581">
        <f>IF(COUNT($E$2:$E581)&lt;20,"",SLOPE($E$482:$E$581,$F$482:$F$581))</f>
        <v>0</v>
      </c>
      <c r="BB581">
        <f>IF(COUNT($E$2:$E581)&lt;20,"",INTERCEPT($E$482:$E$581,$F$482:$F$581))</f>
        <v>0</v>
      </c>
      <c r="BC581">
        <f>IF(OR(BA581="",BB581=""),"",BB581+BA581*F581)</f>
        <v>0</v>
      </c>
      <c r="BD581">
        <f>IF(COUNT($E$2:$E581)&lt;20,"",STEYX($E$482:$E$581,$F$482:$F$581))</f>
        <v>0</v>
      </c>
      <c r="BE581">
        <f>IF($E581="","",IF(AND(COUNT($E$582:$E$585)&gt;=4,$C581=MAX($C$577:$C$585)),$C581,""))</f>
        <v>0</v>
      </c>
      <c r="BF581">
        <f>IF($E581="","",IF(AND(COUNT($E$582:$E$585)&gt;=4,$D581=MIN($D$577:$D$585)),$D581,""))</f>
        <v>0</v>
      </c>
      <c r="BG581">
        <f>IF($A581="","",$A581-WEEKDAY($A581,2)+1)</f>
        <v>0</v>
      </c>
      <c r="BH581">
        <f>IF($A581="","",IF($A580="",1,IF(BG581&lt;&gt;BG580,1,0)))</f>
        <v>0</v>
      </c>
      <c r="BI581">
        <f>IF($A581="","",IF($A582="",1,IF(BG582&lt;&gt;BG581,1,0)))</f>
        <v>0</v>
      </c>
      <c r="BJ581">
        <f>IF($A581="","",IF(BH581=1,$B581,BJ580))</f>
        <v>0</v>
      </c>
      <c r="BK581">
        <f>IF($A581="","",IF(BH581=1,$C581,MAX($C581,BK580)))</f>
        <v>0</v>
      </c>
      <c r="BL581">
        <f>IF($A581="","",IF(BH581=1,$D581,MIN($D581,BL580)))</f>
        <v>0</v>
      </c>
      <c r="BM581">
        <f>IF($A581="","",IF(BI581=1,F581,""))</f>
        <v>0</v>
      </c>
      <c r="BN581">
        <f>IF($A581="","",DATE(YEAR($A581),MONTH($A581),1))</f>
        <v>0</v>
      </c>
      <c r="BO581">
        <f>IF($A581="","",IF($A580="",1,IF(BN581&lt;&gt;BN580,1,0)))</f>
        <v>0</v>
      </c>
      <c r="BP581">
        <f>IF($A581="","",IF($A582="",1,IF(BN582&lt;&gt;BN581,1,0)))</f>
        <v>0</v>
      </c>
      <c r="BQ581">
        <f>IF($A581="","",IF(BO581=1,$B581,BQ580))</f>
        <v>0</v>
      </c>
      <c r="BR581">
        <f>IF($A581="","",IF(BO581=1,$C581,MAX($C581,BR580)))</f>
        <v>0</v>
      </c>
      <c r="BS581">
        <f>IF($A581="","",IF(BO581=1,$D581,MIN($D581,BS580)))</f>
        <v>0</v>
      </c>
      <c r="BT581">
        <f>IF($A581="","",IF(BP581=1,F581,""))</f>
        <v>0</v>
      </c>
    </row>
    <row r="582" spans="1:72">
      <c r="A582" s="27">
        <f>IF(Data!$A582="","",Data!$A582)</f>
        <v>0</v>
      </c>
      <c r="B582">
        <f>IF(Data!$B582="","",Data!$B582)</f>
        <v>0</v>
      </c>
      <c r="C582">
        <f>IF(Data!$C582="","",Data!$C582)</f>
        <v>0</v>
      </c>
      <c r="D582">
        <f>IF(Data!$D582="","",Data!$D582)</f>
        <v>0</v>
      </c>
      <c r="E582">
        <f>IF(Data!$E582="","",Data!$E582)</f>
        <v>0</v>
      </c>
      <c r="F582">
        <f>IF($E582="","",N(F581)+1)</f>
        <v>0</v>
      </c>
      <c r="G582">
        <f>IF(OR($E582="",$E581=""),"",LN($E582/$E581))</f>
        <v>0</v>
      </c>
      <c r="H582">
        <f>IF($E582="","",IF($E581="",$E582,$E582*0.0952380952+H581*0.9047619048))</f>
        <v>0</v>
      </c>
      <c r="I582">
        <f>IF($E582="","",IF($E581="",$E582,$E582*0.0392156863+I581*0.9607843137))</f>
        <v>0</v>
      </c>
      <c r="J582">
        <f>IF($E582="","",IF($E581="",$E582,$E582*0.0198019802+J581*0.9801980198))</f>
        <v>0</v>
      </c>
      <c r="K582">
        <f>IF($E582="","",IF($E581="",$E582,$E582*0.0099502488+K581*0.9900497512))</f>
        <v>0</v>
      </c>
      <c r="L582">
        <f>IF(OR($E582="",$E581=""),"",MAX($E582-$E581,0))</f>
        <v>0</v>
      </c>
      <c r="M582">
        <f>IF(OR($E582="",$E581=""),"",MAX($E581-$E582,0))</f>
        <v>0</v>
      </c>
      <c r="N582">
        <f>IF(COUNT($E$2:$E582)&lt;15,"",IF(AVERAGE($M$569:$M$582)=0,100,100-100/(1+AVERAGE($L$569:$L$582)/AVERAGE($M$569:$M$582))))</f>
        <v>0</v>
      </c>
      <c r="O582">
        <f>IF($E582="","",IF($E581="",$E582,$E582*0.1538461538+O581*0.8461538462))</f>
        <v>0</v>
      </c>
      <c r="P582">
        <f>IF($E582="","",IF($E581="",$E582,$E582*0.0740740741+P581*0.9259259259))</f>
        <v>0</v>
      </c>
      <c r="Q582">
        <f>IF(OR(O582="",P582=""),"",O582-P582)</f>
        <v>0</v>
      </c>
      <c r="R582">
        <f>IF(Q582="","",IF(R581="",Q582,Q582*0.2000000000+R581*0.8000000000))</f>
        <v>0</v>
      </c>
      <c r="S582">
        <f>IF(OR(Q582="",R582=""),"",Q582-R582)</f>
        <v>0</v>
      </c>
      <c r="T582">
        <f>IF(COUNT($E$2:$E582)&lt;14,"",MAX($C$569:$C$582))</f>
        <v>0</v>
      </c>
      <c r="U582">
        <f>IF(COUNT($E$2:$E582)&lt;14,"",MIN($D$569:$D$582))</f>
        <v>0</v>
      </c>
      <c r="V582">
        <f>IF(OR(T582="",U582="",T582=U582),"",100*($E582-U582)/(T582-U582))</f>
        <v>0</v>
      </c>
      <c r="W582">
        <f>IF(COUNT($V$580:$V$582)&lt;3,"",AVERAGE($V$580:$V$582))</f>
        <v>0</v>
      </c>
      <c r="X582">
        <f>IF(COUNT($N$569:$N$582)&lt;14,"",MIN($N$569:$N$582))</f>
        <v>0</v>
      </c>
      <c r="Y582">
        <f>IF(COUNT($N$569:$N$582)&lt;14,"",MAX($N$569:$N$582))</f>
        <v>0</v>
      </c>
      <c r="Z582">
        <f>IF(OR(N582="",X582="",Y582="",Y582=X582),"",100*(N582-X582)/(Y582-X582))</f>
        <v>0</v>
      </c>
      <c r="AA582">
        <f>IF(COUNT($Z$580:$Z$582)&lt;3,"",AVERAGE($Z$580:$Z$582))</f>
        <v>0</v>
      </c>
      <c r="AB582">
        <f>IF(COUNT($AA$580:$AA$582)&lt;3,"",AVERAGE($AA$580:$AA$582))</f>
        <v>0</v>
      </c>
      <c r="AC582">
        <f>IF($E582="","",MAX($C582-$D582,ABS($C582-$E581),ABS($D582-$E581)))</f>
        <v>0</v>
      </c>
      <c r="AD582">
        <f>IF(COUNT($E$2:$E582)&lt;15,"",AVERAGE($AC$569:$AC$582))</f>
        <v>0</v>
      </c>
      <c r="AE582">
        <f>IF(OR($E582="",$E581=""),"",IF(AND(($C582-$C581)&gt;($D581-$D582),($C582-$C581)&gt;0),$C582-$C581,0))</f>
        <v>0</v>
      </c>
      <c r="AF582">
        <f>IF(OR($E582="",$E581=""),"",IF(AND(($D581-$D582)&gt;($C582-$C581),($D581-$D582)&gt;0),$D581-$D582,0))</f>
        <v>0</v>
      </c>
      <c r="AG582">
        <f>IF(COUNT($E$2:$E582)&lt;15,"",IF(SUM($AC$569:$AC$582)=0,0,100*SUM($AE$569:$AE$582)/SUM($AC$569:$AC$582)))</f>
        <v>0</v>
      </c>
      <c r="AH582">
        <f>IF(COUNT($E$2:$E582)&lt;15,"",IF(SUM($AC$569:$AC$582)=0,0,100*SUM($AF$569:$AF$582)/SUM($AC$569:$AC$582)))</f>
        <v>0</v>
      </c>
      <c r="AI582">
        <f>IF(OR(AG582="",AH582=""),"",IF((AG582+AH582)=0,0,100*ABS(AG582-AH582)/(AG582+AH582)))</f>
        <v>0</v>
      </c>
      <c r="AJ582">
        <f>IF(COUNT($AI$569:$AI$582)&lt;14,"",AVERAGE($AI$569:$AI$582))</f>
        <v>0</v>
      </c>
      <c r="AK582">
        <f>IF(COUNT($E$2:$E582)&lt;20,"",AVERAGE($E$563:$E$582))</f>
        <v>0</v>
      </c>
      <c r="AL582">
        <f>IF(COUNT($E$2:$E582)&lt;20,"",STDEVP($E$563:$E$582))</f>
        <v>0</v>
      </c>
      <c r="AM582">
        <f>IF(AK582="","",AK582+2*AL582)</f>
        <v>0</v>
      </c>
      <c r="AN582">
        <f>IF(AK582="","",AK582-2*AL582)</f>
        <v>0</v>
      </c>
      <c r="AO582">
        <f>IF(OR(AM582="",AN582="",AM582=AN582),"",($E582-AN582)/(AM582-AN582))</f>
        <v>0</v>
      </c>
      <c r="AP582">
        <f>IF(OR(AM582="",AK582="",AK582=0),"",(AM582-AN582)/AK582)</f>
        <v>0</v>
      </c>
      <c r="AQ582">
        <f>IF(COUNT($E$2:$E582)&lt;20,"",MAX($C$563:$C$582))</f>
        <v>0</v>
      </c>
      <c r="AR582">
        <f>IF(COUNT($E$2:$E582)&lt;20,"",MIN($D$563:$D$582))</f>
        <v>0</v>
      </c>
      <c r="AS582">
        <f>IF(OR(AQ582="",AR582=""),"",(AQ582+AR582)/2)</f>
        <v>0</v>
      </c>
      <c r="AT582">
        <f>IF(COUNT($G$563:$G$582)&lt;20,"",STDEV($G$563:$G$582)*SQRT(252))</f>
        <v>0</v>
      </c>
      <c r="AU582">
        <f>IF(COUNT($E$2:$E582)&lt;9,"",(MAX($C$574:$C$582)+MIN($D$574:$D$582))/2)</f>
        <v>0</v>
      </c>
      <c r="AV582">
        <f>IF(COUNT($E$2:$E582)&lt;26,"",(MAX($C$557:$C$582)+MIN($D$557:$D$582))/2)</f>
        <v>0</v>
      </c>
      <c r="AW582">
        <f>IF(OR(AU582="",AV582=""),"",(AU582+AV582)/2)</f>
        <v>0</v>
      </c>
      <c r="AX582">
        <f>IF(COUNT($E$2:$E582)&lt;52,"",(MAX($C$531:$C$582)+MIN($D$531:$D$582))/2)</f>
        <v>0</v>
      </c>
      <c r="AY582">
        <f>IF(COUNT($E$2:$E582)&lt;20,"",MAX($C$483:$C$582))</f>
        <v>0</v>
      </c>
      <c r="AZ582">
        <f>IF(COUNT($E$2:$E582)&lt;20,"",MIN($D$483:$D$582))</f>
        <v>0</v>
      </c>
      <c r="BA582">
        <f>IF(COUNT($E$2:$E582)&lt;20,"",SLOPE($E$483:$E$582,$F$483:$F$582))</f>
        <v>0</v>
      </c>
      <c r="BB582">
        <f>IF(COUNT($E$2:$E582)&lt;20,"",INTERCEPT($E$483:$E$582,$F$483:$F$582))</f>
        <v>0</v>
      </c>
      <c r="BC582">
        <f>IF(OR(BA582="",BB582=""),"",BB582+BA582*F582)</f>
        <v>0</v>
      </c>
      <c r="BD582">
        <f>IF(COUNT($E$2:$E582)&lt;20,"",STEYX($E$483:$E$582,$F$483:$F$582))</f>
        <v>0</v>
      </c>
      <c r="BE582">
        <f>IF($E582="","",IF(AND(COUNT($E$583:$E$586)&gt;=4,$C582=MAX($C$578:$C$586)),$C582,""))</f>
        <v>0</v>
      </c>
      <c r="BF582">
        <f>IF($E582="","",IF(AND(COUNT($E$583:$E$586)&gt;=4,$D582=MIN($D$578:$D$586)),$D582,""))</f>
        <v>0</v>
      </c>
      <c r="BG582">
        <f>IF($A582="","",$A582-WEEKDAY($A582,2)+1)</f>
        <v>0</v>
      </c>
      <c r="BH582">
        <f>IF($A582="","",IF($A581="",1,IF(BG582&lt;&gt;BG581,1,0)))</f>
        <v>0</v>
      </c>
      <c r="BI582">
        <f>IF($A582="","",IF($A583="",1,IF(BG583&lt;&gt;BG582,1,0)))</f>
        <v>0</v>
      </c>
      <c r="BJ582">
        <f>IF($A582="","",IF(BH582=1,$B582,BJ581))</f>
        <v>0</v>
      </c>
      <c r="BK582">
        <f>IF($A582="","",IF(BH582=1,$C582,MAX($C582,BK581)))</f>
        <v>0</v>
      </c>
      <c r="BL582">
        <f>IF($A582="","",IF(BH582=1,$D582,MIN($D582,BL581)))</f>
        <v>0</v>
      </c>
      <c r="BM582">
        <f>IF($A582="","",IF(BI582=1,F582,""))</f>
        <v>0</v>
      </c>
      <c r="BN582">
        <f>IF($A582="","",DATE(YEAR($A582),MONTH($A582),1))</f>
        <v>0</v>
      </c>
      <c r="BO582">
        <f>IF($A582="","",IF($A581="",1,IF(BN582&lt;&gt;BN581,1,0)))</f>
        <v>0</v>
      </c>
      <c r="BP582">
        <f>IF($A582="","",IF($A583="",1,IF(BN583&lt;&gt;BN582,1,0)))</f>
        <v>0</v>
      </c>
      <c r="BQ582">
        <f>IF($A582="","",IF(BO582=1,$B582,BQ581))</f>
        <v>0</v>
      </c>
      <c r="BR582">
        <f>IF($A582="","",IF(BO582=1,$C582,MAX($C582,BR581)))</f>
        <v>0</v>
      </c>
      <c r="BS582">
        <f>IF($A582="","",IF(BO582=1,$D582,MIN($D582,BS581)))</f>
        <v>0</v>
      </c>
      <c r="BT582">
        <f>IF($A582="","",IF(BP582=1,F582,""))</f>
        <v>0</v>
      </c>
    </row>
    <row r="583" spans="1:72">
      <c r="A583" s="27">
        <f>IF(Data!$A583="","",Data!$A583)</f>
        <v>0</v>
      </c>
      <c r="B583">
        <f>IF(Data!$B583="","",Data!$B583)</f>
        <v>0</v>
      </c>
      <c r="C583">
        <f>IF(Data!$C583="","",Data!$C583)</f>
        <v>0</v>
      </c>
      <c r="D583">
        <f>IF(Data!$D583="","",Data!$D583)</f>
        <v>0</v>
      </c>
      <c r="E583">
        <f>IF(Data!$E583="","",Data!$E583)</f>
        <v>0</v>
      </c>
      <c r="F583">
        <f>IF($E583="","",N(F582)+1)</f>
        <v>0</v>
      </c>
      <c r="G583">
        <f>IF(OR($E583="",$E582=""),"",LN($E583/$E582))</f>
        <v>0</v>
      </c>
      <c r="H583">
        <f>IF($E583="","",IF($E582="",$E583,$E583*0.0952380952+H582*0.9047619048))</f>
        <v>0</v>
      </c>
      <c r="I583">
        <f>IF($E583="","",IF($E582="",$E583,$E583*0.0392156863+I582*0.9607843137))</f>
        <v>0</v>
      </c>
      <c r="J583">
        <f>IF($E583="","",IF($E582="",$E583,$E583*0.0198019802+J582*0.9801980198))</f>
        <v>0</v>
      </c>
      <c r="K583">
        <f>IF($E583="","",IF($E582="",$E583,$E583*0.0099502488+K582*0.9900497512))</f>
        <v>0</v>
      </c>
      <c r="L583">
        <f>IF(OR($E583="",$E582=""),"",MAX($E583-$E582,0))</f>
        <v>0</v>
      </c>
      <c r="M583">
        <f>IF(OR($E583="",$E582=""),"",MAX($E582-$E583,0))</f>
        <v>0</v>
      </c>
      <c r="N583">
        <f>IF(COUNT($E$2:$E583)&lt;15,"",IF(AVERAGE($M$570:$M$583)=0,100,100-100/(1+AVERAGE($L$570:$L$583)/AVERAGE($M$570:$M$583))))</f>
        <v>0</v>
      </c>
      <c r="O583">
        <f>IF($E583="","",IF($E582="",$E583,$E583*0.1538461538+O582*0.8461538462))</f>
        <v>0</v>
      </c>
      <c r="P583">
        <f>IF($E583="","",IF($E582="",$E583,$E583*0.0740740741+P582*0.9259259259))</f>
        <v>0</v>
      </c>
      <c r="Q583">
        <f>IF(OR(O583="",P583=""),"",O583-P583)</f>
        <v>0</v>
      </c>
      <c r="R583">
        <f>IF(Q583="","",IF(R582="",Q583,Q583*0.2000000000+R582*0.8000000000))</f>
        <v>0</v>
      </c>
      <c r="S583">
        <f>IF(OR(Q583="",R583=""),"",Q583-R583)</f>
        <v>0</v>
      </c>
      <c r="T583">
        <f>IF(COUNT($E$2:$E583)&lt;14,"",MAX($C$570:$C$583))</f>
        <v>0</v>
      </c>
      <c r="U583">
        <f>IF(COUNT($E$2:$E583)&lt;14,"",MIN($D$570:$D$583))</f>
        <v>0</v>
      </c>
      <c r="V583">
        <f>IF(OR(T583="",U583="",T583=U583),"",100*($E583-U583)/(T583-U583))</f>
        <v>0</v>
      </c>
      <c r="W583">
        <f>IF(COUNT($V$581:$V$583)&lt;3,"",AVERAGE($V$581:$V$583))</f>
        <v>0</v>
      </c>
      <c r="X583">
        <f>IF(COUNT($N$570:$N$583)&lt;14,"",MIN($N$570:$N$583))</f>
        <v>0</v>
      </c>
      <c r="Y583">
        <f>IF(COUNT($N$570:$N$583)&lt;14,"",MAX($N$570:$N$583))</f>
        <v>0</v>
      </c>
      <c r="Z583">
        <f>IF(OR(N583="",X583="",Y583="",Y583=X583),"",100*(N583-X583)/(Y583-X583))</f>
        <v>0</v>
      </c>
      <c r="AA583">
        <f>IF(COUNT($Z$581:$Z$583)&lt;3,"",AVERAGE($Z$581:$Z$583))</f>
        <v>0</v>
      </c>
      <c r="AB583">
        <f>IF(COUNT($AA$581:$AA$583)&lt;3,"",AVERAGE($AA$581:$AA$583))</f>
        <v>0</v>
      </c>
      <c r="AC583">
        <f>IF($E583="","",MAX($C583-$D583,ABS($C583-$E582),ABS($D583-$E582)))</f>
        <v>0</v>
      </c>
      <c r="AD583">
        <f>IF(COUNT($E$2:$E583)&lt;15,"",AVERAGE($AC$570:$AC$583))</f>
        <v>0</v>
      </c>
      <c r="AE583">
        <f>IF(OR($E583="",$E582=""),"",IF(AND(($C583-$C582)&gt;($D582-$D583),($C583-$C582)&gt;0),$C583-$C582,0))</f>
        <v>0</v>
      </c>
      <c r="AF583">
        <f>IF(OR($E583="",$E582=""),"",IF(AND(($D582-$D583)&gt;($C583-$C582),($D582-$D583)&gt;0),$D582-$D583,0))</f>
        <v>0</v>
      </c>
      <c r="AG583">
        <f>IF(COUNT($E$2:$E583)&lt;15,"",IF(SUM($AC$570:$AC$583)=0,0,100*SUM($AE$570:$AE$583)/SUM($AC$570:$AC$583)))</f>
        <v>0</v>
      </c>
      <c r="AH583">
        <f>IF(COUNT($E$2:$E583)&lt;15,"",IF(SUM($AC$570:$AC$583)=0,0,100*SUM($AF$570:$AF$583)/SUM($AC$570:$AC$583)))</f>
        <v>0</v>
      </c>
      <c r="AI583">
        <f>IF(OR(AG583="",AH583=""),"",IF((AG583+AH583)=0,0,100*ABS(AG583-AH583)/(AG583+AH583)))</f>
        <v>0</v>
      </c>
      <c r="AJ583">
        <f>IF(COUNT($AI$570:$AI$583)&lt;14,"",AVERAGE($AI$570:$AI$583))</f>
        <v>0</v>
      </c>
      <c r="AK583">
        <f>IF(COUNT($E$2:$E583)&lt;20,"",AVERAGE($E$564:$E$583))</f>
        <v>0</v>
      </c>
      <c r="AL583">
        <f>IF(COUNT($E$2:$E583)&lt;20,"",STDEVP($E$564:$E$583))</f>
        <v>0</v>
      </c>
      <c r="AM583">
        <f>IF(AK583="","",AK583+2*AL583)</f>
        <v>0</v>
      </c>
      <c r="AN583">
        <f>IF(AK583="","",AK583-2*AL583)</f>
        <v>0</v>
      </c>
      <c r="AO583">
        <f>IF(OR(AM583="",AN583="",AM583=AN583),"",($E583-AN583)/(AM583-AN583))</f>
        <v>0</v>
      </c>
      <c r="AP583">
        <f>IF(OR(AM583="",AK583="",AK583=0),"",(AM583-AN583)/AK583)</f>
        <v>0</v>
      </c>
      <c r="AQ583">
        <f>IF(COUNT($E$2:$E583)&lt;20,"",MAX($C$564:$C$583))</f>
        <v>0</v>
      </c>
      <c r="AR583">
        <f>IF(COUNT($E$2:$E583)&lt;20,"",MIN($D$564:$D$583))</f>
        <v>0</v>
      </c>
      <c r="AS583">
        <f>IF(OR(AQ583="",AR583=""),"",(AQ583+AR583)/2)</f>
        <v>0</v>
      </c>
      <c r="AT583">
        <f>IF(COUNT($G$564:$G$583)&lt;20,"",STDEV($G$564:$G$583)*SQRT(252))</f>
        <v>0</v>
      </c>
      <c r="AU583">
        <f>IF(COUNT($E$2:$E583)&lt;9,"",(MAX($C$575:$C$583)+MIN($D$575:$D$583))/2)</f>
        <v>0</v>
      </c>
      <c r="AV583">
        <f>IF(COUNT($E$2:$E583)&lt;26,"",(MAX($C$558:$C$583)+MIN($D$558:$D$583))/2)</f>
        <v>0</v>
      </c>
      <c r="AW583">
        <f>IF(OR(AU583="",AV583=""),"",(AU583+AV583)/2)</f>
        <v>0</v>
      </c>
      <c r="AX583">
        <f>IF(COUNT($E$2:$E583)&lt;52,"",(MAX($C$532:$C$583)+MIN($D$532:$D$583))/2)</f>
        <v>0</v>
      </c>
      <c r="AY583">
        <f>IF(COUNT($E$2:$E583)&lt;20,"",MAX($C$484:$C$583))</f>
        <v>0</v>
      </c>
      <c r="AZ583">
        <f>IF(COUNT($E$2:$E583)&lt;20,"",MIN($D$484:$D$583))</f>
        <v>0</v>
      </c>
      <c r="BA583">
        <f>IF(COUNT($E$2:$E583)&lt;20,"",SLOPE($E$484:$E$583,$F$484:$F$583))</f>
        <v>0</v>
      </c>
      <c r="BB583">
        <f>IF(COUNT($E$2:$E583)&lt;20,"",INTERCEPT($E$484:$E$583,$F$484:$F$583))</f>
        <v>0</v>
      </c>
      <c r="BC583">
        <f>IF(OR(BA583="",BB583=""),"",BB583+BA583*F583)</f>
        <v>0</v>
      </c>
      <c r="BD583">
        <f>IF(COUNT($E$2:$E583)&lt;20,"",STEYX($E$484:$E$583,$F$484:$F$583))</f>
        <v>0</v>
      </c>
      <c r="BE583">
        <f>IF($E583="","",IF(AND(COUNT($E$584:$E$587)&gt;=4,$C583=MAX($C$579:$C$587)),$C583,""))</f>
        <v>0</v>
      </c>
      <c r="BF583">
        <f>IF($E583="","",IF(AND(COUNT($E$584:$E$587)&gt;=4,$D583=MIN($D$579:$D$587)),$D583,""))</f>
        <v>0</v>
      </c>
      <c r="BG583">
        <f>IF($A583="","",$A583-WEEKDAY($A583,2)+1)</f>
        <v>0</v>
      </c>
      <c r="BH583">
        <f>IF($A583="","",IF($A582="",1,IF(BG583&lt;&gt;BG582,1,0)))</f>
        <v>0</v>
      </c>
      <c r="BI583">
        <f>IF($A583="","",IF($A584="",1,IF(BG584&lt;&gt;BG583,1,0)))</f>
        <v>0</v>
      </c>
      <c r="BJ583">
        <f>IF($A583="","",IF(BH583=1,$B583,BJ582))</f>
        <v>0</v>
      </c>
      <c r="BK583">
        <f>IF($A583="","",IF(BH583=1,$C583,MAX($C583,BK582)))</f>
        <v>0</v>
      </c>
      <c r="BL583">
        <f>IF($A583="","",IF(BH583=1,$D583,MIN($D583,BL582)))</f>
        <v>0</v>
      </c>
      <c r="BM583">
        <f>IF($A583="","",IF(BI583=1,F583,""))</f>
        <v>0</v>
      </c>
      <c r="BN583">
        <f>IF($A583="","",DATE(YEAR($A583),MONTH($A583),1))</f>
        <v>0</v>
      </c>
      <c r="BO583">
        <f>IF($A583="","",IF($A582="",1,IF(BN583&lt;&gt;BN582,1,0)))</f>
        <v>0</v>
      </c>
      <c r="BP583">
        <f>IF($A583="","",IF($A584="",1,IF(BN584&lt;&gt;BN583,1,0)))</f>
        <v>0</v>
      </c>
      <c r="BQ583">
        <f>IF($A583="","",IF(BO583=1,$B583,BQ582))</f>
        <v>0</v>
      </c>
      <c r="BR583">
        <f>IF($A583="","",IF(BO583=1,$C583,MAX($C583,BR582)))</f>
        <v>0</v>
      </c>
      <c r="BS583">
        <f>IF($A583="","",IF(BO583=1,$D583,MIN($D583,BS582)))</f>
        <v>0</v>
      </c>
      <c r="BT583">
        <f>IF($A583="","",IF(BP583=1,F583,""))</f>
        <v>0</v>
      </c>
    </row>
    <row r="584" spans="1:72">
      <c r="A584" s="27">
        <f>IF(Data!$A584="","",Data!$A584)</f>
        <v>0</v>
      </c>
      <c r="B584">
        <f>IF(Data!$B584="","",Data!$B584)</f>
        <v>0</v>
      </c>
      <c r="C584">
        <f>IF(Data!$C584="","",Data!$C584)</f>
        <v>0</v>
      </c>
      <c r="D584">
        <f>IF(Data!$D584="","",Data!$D584)</f>
        <v>0</v>
      </c>
      <c r="E584">
        <f>IF(Data!$E584="","",Data!$E584)</f>
        <v>0</v>
      </c>
      <c r="F584">
        <f>IF($E584="","",N(F583)+1)</f>
        <v>0</v>
      </c>
      <c r="G584">
        <f>IF(OR($E584="",$E583=""),"",LN($E584/$E583))</f>
        <v>0</v>
      </c>
      <c r="H584">
        <f>IF($E584="","",IF($E583="",$E584,$E584*0.0952380952+H583*0.9047619048))</f>
        <v>0</v>
      </c>
      <c r="I584">
        <f>IF($E584="","",IF($E583="",$E584,$E584*0.0392156863+I583*0.9607843137))</f>
        <v>0</v>
      </c>
      <c r="J584">
        <f>IF($E584="","",IF($E583="",$E584,$E584*0.0198019802+J583*0.9801980198))</f>
        <v>0</v>
      </c>
      <c r="K584">
        <f>IF($E584="","",IF($E583="",$E584,$E584*0.0099502488+K583*0.9900497512))</f>
        <v>0</v>
      </c>
      <c r="L584">
        <f>IF(OR($E584="",$E583=""),"",MAX($E584-$E583,0))</f>
        <v>0</v>
      </c>
      <c r="M584">
        <f>IF(OR($E584="",$E583=""),"",MAX($E583-$E584,0))</f>
        <v>0</v>
      </c>
      <c r="N584">
        <f>IF(COUNT($E$2:$E584)&lt;15,"",IF(AVERAGE($M$571:$M$584)=0,100,100-100/(1+AVERAGE($L$571:$L$584)/AVERAGE($M$571:$M$584))))</f>
        <v>0</v>
      </c>
      <c r="O584">
        <f>IF($E584="","",IF($E583="",$E584,$E584*0.1538461538+O583*0.8461538462))</f>
        <v>0</v>
      </c>
      <c r="P584">
        <f>IF($E584="","",IF($E583="",$E584,$E584*0.0740740741+P583*0.9259259259))</f>
        <v>0</v>
      </c>
      <c r="Q584">
        <f>IF(OR(O584="",P584=""),"",O584-P584)</f>
        <v>0</v>
      </c>
      <c r="R584">
        <f>IF(Q584="","",IF(R583="",Q584,Q584*0.2000000000+R583*0.8000000000))</f>
        <v>0</v>
      </c>
      <c r="S584">
        <f>IF(OR(Q584="",R584=""),"",Q584-R584)</f>
        <v>0</v>
      </c>
      <c r="T584">
        <f>IF(COUNT($E$2:$E584)&lt;14,"",MAX($C$571:$C$584))</f>
        <v>0</v>
      </c>
      <c r="U584">
        <f>IF(COUNT($E$2:$E584)&lt;14,"",MIN($D$571:$D$584))</f>
        <v>0</v>
      </c>
      <c r="V584">
        <f>IF(OR(T584="",U584="",T584=U584),"",100*($E584-U584)/(T584-U584))</f>
        <v>0</v>
      </c>
      <c r="W584">
        <f>IF(COUNT($V$582:$V$584)&lt;3,"",AVERAGE($V$582:$V$584))</f>
        <v>0</v>
      </c>
      <c r="X584">
        <f>IF(COUNT($N$571:$N$584)&lt;14,"",MIN($N$571:$N$584))</f>
        <v>0</v>
      </c>
      <c r="Y584">
        <f>IF(COUNT($N$571:$N$584)&lt;14,"",MAX($N$571:$N$584))</f>
        <v>0</v>
      </c>
      <c r="Z584">
        <f>IF(OR(N584="",X584="",Y584="",Y584=X584),"",100*(N584-X584)/(Y584-X584))</f>
        <v>0</v>
      </c>
      <c r="AA584">
        <f>IF(COUNT($Z$582:$Z$584)&lt;3,"",AVERAGE($Z$582:$Z$584))</f>
        <v>0</v>
      </c>
      <c r="AB584">
        <f>IF(COUNT($AA$582:$AA$584)&lt;3,"",AVERAGE($AA$582:$AA$584))</f>
        <v>0</v>
      </c>
      <c r="AC584">
        <f>IF($E584="","",MAX($C584-$D584,ABS($C584-$E583),ABS($D584-$E583)))</f>
        <v>0</v>
      </c>
      <c r="AD584">
        <f>IF(COUNT($E$2:$E584)&lt;15,"",AVERAGE($AC$571:$AC$584))</f>
        <v>0</v>
      </c>
      <c r="AE584">
        <f>IF(OR($E584="",$E583=""),"",IF(AND(($C584-$C583)&gt;($D583-$D584),($C584-$C583)&gt;0),$C584-$C583,0))</f>
        <v>0</v>
      </c>
      <c r="AF584">
        <f>IF(OR($E584="",$E583=""),"",IF(AND(($D583-$D584)&gt;($C584-$C583),($D583-$D584)&gt;0),$D583-$D584,0))</f>
        <v>0</v>
      </c>
      <c r="AG584">
        <f>IF(COUNT($E$2:$E584)&lt;15,"",IF(SUM($AC$571:$AC$584)=0,0,100*SUM($AE$571:$AE$584)/SUM($AC$571:$AC$584)))</f>
        <v>0</v>
      </c>
      <c r="AH584">
        <f>IF(COUNT($E$2:$E584)&lt;15,"",IF(SUM($AC$571:$AC$584)=0,0,100*SUM($AF$571:$AF$584)/SUM($AC$571:$AC$584)))</f>
        <v>0</v>
      </c>
      <c r="AI584">
        <f>IF(OR(AG584="",AH584=""),"",IF((AG584+AH584)=0,0,100*ABS(AG584-AH584)/(AG584+AH584)))</f>
        <v>0</v>
      </c>
      <c r="AJ584">
        <f>IF(COUNT($AI$571:$AI$584)&lt;14,"",AVERAGE($AI$571:$AI$584))</f>
        <v>0</v>
      </c>
      <c r="AK584">
        <f>IF(COUNT($E$2:$E584)&lt;20,"",AVERAGE($E$565:$E$584))</f>
        <v>0</v>
      </c>
      <c r="AL584">
        <f>IF(COUNT($E$2:$E584)&lt;20,"",STDEVP($E$565:$E$584))</f>
        <v>0</v>
      </c>
      <c r="AM584">
        <f>IF(AK584="","",AK584+2*AL584)</f>
        <v>0</v>
      </c>
      <c r="AN584">
        <f>IF(AK584="","",AK584-2*AL584)</f>
        <v>0</v>
      </c>
      <c r="AO584">
        <f>IF(OR(AM584="",AN584="",AM584=AN584),"",($E584-AN584)/(AM584-AN584))</f>
        <v>0</v>
      </c>
      <c r="AP584">
        <f>IF(OR(AM584="",AK584="",AK584=0),"",(AM584-AN584)/AK584)</f>
        <v>0</v>
      </c>
      <c r="AQ584">
        <f>IF(COUNT($E$2:$E584)&lt;20,"",MAX($C$565:$C$584))</f>
        <v>0</v>
      </c>
      <c r="AR584">
        <f>IF(COUNT($E$2:$E584)&lt;20,"",MIN($D$565:$D$584))</f>
        <v>0</v>
      </c>
      <c r="AS584">
        <f>IF(OR(AQ584="",AR584=""),"",(AQ584+AR584)/2)</f>
        <v>0</v>
      </c>
      <c r="AT584">
        <f>IF(COUNT($G$565:$G$584)&lt;20,"",STDEV($G$565:$G$584)*SQRT(252))</f>
        <v>0</v>
      </c>
      <c r="AU584">
        <f>IF(COUNT($E$2:$E584)&lt;9,"",(MAX($C$576:$C$584)+MIN($D$576:$D$584))/2)</f>
        <v>0</v>
      </c>
      <c r="AV584">
        <f>IF(COUNT($E$2:$E584)&lt;26,"",(MAX($C$559:$C$584)+MIN($D$559:$D$584))/2)</f>
        <v>0</v>
      </c>
      <c r="AW584">
        <f>IF(OR(AU584="",AV584=""),"",(AU584+AV584)/2)</f>
        <v>0</v>
      </c>
      <c r="AX584">
        <f>IF(COUNT($E$2:$E584)&lt;52,"",(MAX($C$533:$C$584)+MIN($D$533:$D$584))/2)</f>
        <v>0</v>
      </c>
      <c r="AY584">
        <f>IF(COUNT($E$2:$E584)&lt;20,"",MAX($C$485:$C$584))</f>
        <v>0</v>
      </c>
      <c r="AZ584">
        <f>IF(COUNT($E$2:$E584)&lt;20,"",MIN($D$485:$D$584))</f>
        <v>0</v>
      </c>
      <c r="BA584">
        <f>IF(COUNT($E$2:$E584)&lt;20,"",SLOPE($E$485:$E$584,$F$485:$F$584))</f>
        <v>0</v>
      </c>
      <c r="BB584">
        <f>IF(COUNT($E$2:$E584)&lt;20,"",INTERCEPT($E$485:$E$584,$F$485:$F$584))</f>
        <v>0</v>
      </c>
      <c r="BC584">
        <f>IF(OR(BA584="",BB584=""),"",BB584+BA584*F584)</f>
        <v>0</v>
      </c>
      <c r="BD584">
        <f>IF(COUNT($E$2:$E584)&lt;20,"",STEYX($E$485:$E$584,$F$485:$F$584))</f>
        <v>0</v>
      </c>
      <c r="BE584">
        <f>IF($E584="","",IF(AND(COUNT($E$585:$E$588)&gt;=4,$C584=MAX($C$580:$C$588)),$C584,""))</f>
        <v>0</v>
      </c>
      <c r="BF584">
        <f>IF($E584="","",IF(AND(COUNT($E$585:$E$588)&gt;=4,$D584=MIN($D$580:$D$588)),$D584,""))</f>
        <v>0</v>
      </c>
      <c r="BG584">
        <f>IF($A584="","",$A584-WEEKDAY($A584,2)+1)</f>
        <v>0</v>
      </c>
      <c r="BH584">
        <f>IF($A584="","",IF($A583="",1,IF(BG584&lt;&gt;BG583,1,0)))</f>
        <v>0</v>
      </c>
      <c r="BI584">
        <f>IF($A584="","",IF($A585="",1,IF(BG585&lt;&gt;BG584,1,0)))</f>
        <v>0</v>
      </c>
      <c r="BJ584">
        <f>IF($A584="","",IF(BH584=1,$B584,BJ583))</f>
        <v>0</v>
      </c>
      <c r="BK584">
        <f>IF($A584="","",IF(BH584=1,$C584,MAX($C584,BK583)))</f>
        <v>0</v>
      </c>
      <c r="BL584">
        <f>IF($A584="","",IF(BH584=1,$D584,MIN($D584,BL583)))</f>
        <v>0</v>
      </c>
      <c r="BM584">
        <f>IF($A584="","",IF(BI584=1,F584,""))</f>
        <v>0</v>
      </c>
      <c r="BN584">
        <f>IF($A584="","",DATE(YEAR($A584),MONTH($A584),1))</f>
        <v>0</v>
      </c>
      <c r="BO584">
        <f>IF($A584="","",IF($A583="",1,IF(BN584&lt;&gt;BN583,1,0)))</f>
        <v>0</v>
      </c>
      <c r="BP584">
        <f>IF($A584="","",IF($A585="",1,IF(BN585&lt;&gt;BN584,1,0)))</f>
        <v>0</v>
      </c>
      <c r="BQ584">
        <f>IF($A584="","",IF(BO584=1,$B584,BQ583))</f>
        <v>0</v>
      </c>
      <c r="BR584">
        <f>IF($A584="","",IF(BO584=1,$C584,MAX($C584,BR583)))</f>
        <v>0</v>
      </c>
      <c r="BS584">
        <f>IF($A584="","",IF(BO584=1,$D584,MIN($D584,BS583)))</f>
        <v>0</v>
      </c>
      <c r="BT584">
        <f>IF($A584="","",IF(BP584=1,F584,""))</f>
        <v>0</v>
      </c>
    </row>
    <row r="585" spans="1:72">
      <c r="A585" s="27">
        <f>IF(Data!$A585="","",Data!$A585)</f>
        <v>0</v>
      </c>
      <c r="B585">
        <f>IF(Data!$B585="","",Data!$B585)</f>
        <v>0</v>
      </c>
      <c r="C585">
        <f>IF(Data!$C585="","",Data!$C585)</f>
        <v>0</v>
      </c>
      <c r="D585">
        <f>IF(Data!$D585="","",Data!$D585)</f>
        <v>0</v>
      </c>
      <c r="E585">
        <f>IF(Data!$E585="","",Data!$E585)</f>
        <v>0</v>
      </c>
      <c r="F585">
        <f>IF($E585="","",N(F584)+1)</f>
        <v>0</v>
      </c>
      <c r="G585">
        <f>IF(OR($E585="",$E584=""),"",LN($E585/$E584))</f>
        <v>0</v>
      </c>
      <c r="H585">
        <f>IF($E585="","",IF($E584="",$E585,$E585*0.0952380952+H584*0.9047619048))</f>
        <v>0</v>
      </c>
      <c r="I585">
        <f>IF($E585="","",IF($E584="",$E585,$E585*0.0392156863+I584*0.9607843137))</f>
        <v>0</v>
      </c>
      <c r="J585">
        <f>IF($E585="","",IF($E584="",$E585,$E585*0.0198019802+J584*0.9801980198))</f>
        <v>0</v>
      </c>
      <c r="K585">
        <f>IF($E585="","",IF($E584="",$E585,$E585*0.0099502488+K584*0.9900497512))</f>
        <v>0</v>
      </c>
      <c r="L585">
        <f>IF(OR($E585="",$E584=""),"",MAX($E585-$E584,0))</f>
        <v>0</v>
      </c>
      <c r="M585">
        <f>IF(OR($E585="",$E584=""),"",MAX($E584-$E585,0))</f>
        <v>0</v>
      </c>
      <c r="N585">
        <f>IF(COUNT($E$2:$E585)&lt;15,"",IF(AVERAGE($M$572:$M$585)=0,100,100-100/(1+AVERAGE($L$572:$L$585)/AVERAGE($M$572:$M$585))))</f>
        <v>0</v>
      </c>
      <c r="O585">
        <f>IF($E585="","",IF($E584="",$E585,$E585*0.1538461538+O584*0.8461538462))</f>
        <v>0</v>
      </c>
      <c r="P585">
        <f>IF($E585="","",IF($E584="",$E585,$E585*0.0740740741+P584*0.9259259259))</f>
        <v>0</v>
      </c>
      <c r="Q585">
        <f>IF(OR(O585="",P585=""),"",O585-P585)</f>
        <v>0</v>
      </c>
      <c r="R585">
        <f>IF(Q585="","",IF(R584="",Q585,Q585*0.2000000000+R584*0.8000000000))</f>
        <v>0</v>
      </c>
      <c r="S585">
        <f>IF(OR(Q585="",R585=""),"",Q585-R585)</f>
        <v>0</v>
      </c>
      <c r="T585">
        <f>IF(COUNT($E$2:$E585)&lt;14,"",MAX($C$572:$C$585))</f>
        <v>0</v>
      </c>
      <c r="U585">
        <f>IF(COUNT($E$2:$E585)&lt;14,"",MIN($D$572:$D$585))</f>
        <v>0</v>
      </c>
      <c r="V585">
        <f>IF(OR(T585="",U585="",T585=U585),"",100*($E585-U585)/(T585-U585))</f>
        <v>0</v>
      </c>
      <c r="W585">
        <f>IF(COUNT($V$583:$V$585)&lt;3,"",AVERAGE($V$583:$V$585))</f>
        <v>0</v>
      </c>
      <c r="X585">
        <f>IF(COUNT($N$572:$N$585)&lt;14,"",MIN($N$572:$N$585))</f>
        <v>0</v>
      </c>
      <c r="Y585">
        <f>IF(COUNT($N$572:$N$585)&lt;14,"",MAX($N$572:$N$585))</f>
        <v>0</v>
      </c>
      <c r="Z585">
        <f>IF(OR(N585="",X585="",Y585="",Y585=X585),"",100*(N585-X585)/(Y585-X585))</f>
        <v>0</v>
      </c>
      <c r="AA585">
        <f>IF(COUNT($Z$583:$Z$585)&lt;3,"",AVERAGE($Z$583:$Z$585))</f>
        <v>0</v>
      </c>
      <c r="AB585">
        <f>IF(COUNT($AA$583:$AA$585)&lt;3,"",AVERAGE($AA$583:$AA$585))</f>
        <v>0</v>
      </c>
      <c r="AC585">
        <f>IF($E585="","",MAX($C585-$D585,ABS($C585-$E584),ABS($D585-$E584)))</f>
        <v>0</v>
      </c>
      <c r="AD585">
        <f>IF(COUNT($E$2:$E585)&lt;15,"",AVERAGE($AC$572:$AC$585))</f>
        <v>0</v>
      </c>
      <c r="AE585">
        <f>IF(OR($E585="",$E584=""),"",IF(AND(($C585-$C584)&gt;($D584-$D585),($C585-$C584)&gt;0),$C585-$C584,0))</f>
        <v>0</v>
      </c>
      <c r="AF585">
        <f>IF(OR($E585="",$E584=""),"",IF(AND(($D584-$D585)&gt;($C585-$C584),($D584-$D585)&gt;0),$D584-$D585,0))</f>
        <v>0</v>
      </c>
      <c r="AG585">
        <f>IF(COUNT($E$2:$E585)&lt;15,"",IF(SUM($AC$572:$AC$585)=0,0,100*SUM($AE$572:$AE$585)/SUM($AC$572:$AC$585)))</f>
        <v>0</v>
      </c>
      <c r="AH585">
        <f>IF(COUNT($E$2:$E585)&lt;15,"",IF(SUM($AC$572:$AC$585)=0,0,100*SUM($AF$572:$AF$585)/SUM($AC$572:$AC$585)))</f>
        <v>0</v>
      </c>
      <c r="AI585">
        <f>IF(OR(AG585="",AH585=""),"",IF((AG585+AH585)=0,0,100*ABS(AG585-AH585)/(AG585+AH585)))</f>
        <v>0</v>
      </c>
      <c r="AJ585">
        <f>IF(COUNT($AI$572:$AI$585)&lt;14,"",AVERAGE($AI$572:$AI$585))</f>
        <v>0</v>
      </c>
      <c r="AK585">
        <f>IF(COUNT($E$2:$E585)&lt;20,"",AVERAGE($E$566:$E$585))</f>
        <v>0</v>
      </c>
      <c r="AL585">
        <f>IF(COUNT($E$2:$E585)&lt;20,"",STDEVP($E$566:$E$585))</f>
        <v>0</v>
      </c>
      <c r="AM585">
        <f>IF(AK585="","",AK585+2*AL585)</f>
        <v>0</v>
      </c>
      <c r="AN585">
        <f>IF(AK585="","",AK585-2*AL585)</f>
        <v>0</v>
      </c>
      <c r="AO585">
        <f>IF(OR(AM585="",AN585="",AM585=AN585),"",($E585-AN585)/(AM585-AN585))</f>
        <v>0</v>
      </c>
      <c r="AP585">
        <f>IF(OR(AM585="",AK585="",AK585=0),"",(AM585-AN585)/AK585)</f>
        <v>0</v>
      </c>
      <c r="AQ585">
        <f>IF(COUNT($E$2:$E585)&lt;20,"",MAX($C$566:$C$585))</f>
        <v>0</v>
      </c>
      <c r="AR585">
        <f>IF(COUNT($E$2:$E585)&lt;20,"",MIN($D$566:$D$585))</f>
        <v>0</v>
      </c>
      <c r="AS585">
        <f>IF(OR(AQ585="",AR585=""),"",(AQ585+AR585)/2)</f>
        <v>0</v>
      </c>
      <c r="AT585">
        <f>IF(COUNT($G$566:$G$585)&lt;20,"",STDEV($G$566:$G$585)*SQRT(252))</f>
        <v>0</v>
      </c>
      <c r="AU585">
        <f>IF(COUNT($E$2:$E585)&lt;9,"",(MAX($C$577:$C$585)+MIN($D$577:$D$585))/2)</f>
        <v>0</v>
      </c>
      <c r="AV585">
        <f>IF(COUNT($E$2:$E585)&lt;26,"",(MAX($C$560:$C$585)+MIN($D$560:$D$585))/2)</f>
        <v>0</v>
      </c>
      <c r="AW585">
        <f>IF(OR(AU585="",AV585=""),"",(AU585+AV585)/2)</f>
        <v>0</v>
      </c>
      <c r="AX585">
        <f>IF(COUNT($E$2:$E585)&lt;52,"",(MAX($C$534:$C$585)+MIN($D$534:$D$585))/2)</f>
        <v>0</v>
      </c>
      <c r="AY585">
        <f>IF(COUNT($E$2:$E585)&lt;20,"",MAX($C$486:$C$585))</f>
        <v>0</v>
      </c>
      <c r="AZ585">
        <f>IF(COUNT($E$2:$E585)&lt;20,"",MIN($D$486:$D$585))</f>
        <v>0</v>
      </c>
      <c r="BA585">
        <f>IF(COUNT($E$2:$E585)&lt;20,"",SLOPE($E$486:$E$585,$F$486:$F$585))</f>
        <v>0</v>
      </c>
      <c r="BB585">
        <f>IF(COUNT($E$2:$E585)&lt;20,"",INTERCEPT($E$486:$E$585,$F$486:$F$585))</f>
        <v>0</v>
      </c>
      <c r="BC585">
        <f>IF(OR(BA585="",BB585=""),"",BB585+BA585*F585)</f>
        <v>0</v>
      </c>
      <c r="BD585">
        <f>IF(COUNT($E$2:$E585)&lt;20,"",STEYX($E$486:$E$585,$F$486:$F$585))</f>
        <v>0</v>
      </c>
      <c r="BE585">
        <f>IF($E585="","",IF(AND(COUNT($E$586:$E$589)&gt;=4,$C585=MAX($C$581:$C$589)),$C585,""))</f>
        <v>0</v>
      </c>
      <c r="BF585">
        <f>IF($E585="","",IF(AND(COUNT($E$586:$E$589)&gt;=4,$D585=MIN($D$581:$D$589)),$D585,""))</f>
        <v>0</v>
      </c>
      <c r="BG585">
        <f>IF($A585="","",$A585-WEEKDAY($A585,2)+1)</f>
        <v>0</v>
      </c>
      <c r="BH585">
        <f>IF($A585="","",IF($A584="",1,IF(BG585&lt;&gt;BG584,1,0)))</f>
        <v>0</v>
      </c>
      <c r="BI585">
        <f>IF($A585="","",IF($A586="",1,IF(BG586&lt;&gt;BG585,1,0)))</f>
        <v>0</v>
      </c>
      <c r="BJ585">
        <f>IF($A585="","",IF(BH585=1,$B585,BJ584))</f>
        <v>0</v>
      </c>
      <c r="BK585">
        <f>IF($A585="","",IF(BH585=1,$C585,MAX($C585,BK584)))</f>
        <v>0</v>
      </c>
      <c r="BL585">
        <f>IF($A585="","",IF(BH585=1,$D585,MIN($D585,BL584)))</f>
        <v>0</v>
      </c>
      <c r="BM585">
        <f>IF($A585="","",IF(BI585=1,F585,""))</f>
        <v>0</v>
      </c>
      <c r="BN585">
        <f>IF($A585="","",DATE(YEAR($A585),MONTH($A585),1))</f>
        <v>0</v>
      </c>
      <c r="BO585">
        <f>IF($A585="","",IF($A584="",1,IF(BN585&lt;&gt;BN584,1,0)))</f>
        <v>0</v>
      </c>
      <c r="BP585">
        <f>IF($A585="","",IF($A586="",1,IF(BN586&lt;&gt;BN585,1,0)))</f>
        <v>0</v>
      </c>
      <c r="BQ585">
        <f>IF($A585="","",IF(BO585=1,$B585,BQ584))</f>
        <v>0</v>
      </c>
      <c r="BR585">
        <f>IF($A585="","",IF(BO585=1,$C585,MAX($C585,BR584)))</f>
        <v>0</v>
      </c>
      <c r="BS585">
        <f>IF($A585="","",IF(BO585=1,$D585,MIN($D585,BS584)))</f>
        <v>0</v>
      </c>
      <c r="BT585">
        <f>IF($A585="","",IF(BP585=1,F585,""))</f>
        <v>0</v>
      </c>
    </row>
    <row r="586" spans="1:72">
      <c r="A586" s="27">
        <f>IF(Data!$A586="","",Data!$A586)</f>
        <v>0</v>
      </c>
      <c r="B586">
        <f>IF(Data!$B586="","",Data!$B586)</f>
        <v>0</v>
      </c>
      <c r="C586">
        <f>IF(Data!$C586="","",Data!$C586)</f>
        <v>0</v>
      </c>
      <c r="D586">
        <f>IF(Data!$D586="","",Data!$D586)</f>
        <v>0</v>
      </c>
      <c r="E586">
        <f>IF(Data!$E586="","",Data!$E586)</f>
        <v>0</v>
      </c>
      <c r="F586">
        <f>IF($E586="","",N(F585)+1)</f>
        <v>0</v>
      </c>
      <c r="G586">
        <f>IF(OR($E586="",$E585=""),"",LN($E586/$E585))</f>
        <v>0</v>
      </c>
      <c r="H586">
        <f>IF($E586="","",IF($E585="",$E586,$E586*0.0952380952+H585*0.9047619048))</f>
        <v>0</v>
      </c>
      <c r="I586">
        <f>IF($E586="","",IF($E585="",$E586,$E586*0.0392156863+I585*0.9607843137))</f>
        <v>0</v>
      </c>
      <c r="J586">
        <f>IF($E586="","",IF($E585="",$E586,$E586*0.0198019802+J585*0.9801980198))</f>
        <v>0</v>
      </c>
      <c r="K586">
        <f>IF($E586="","",IF($E585="",$E586,$E586*0.0099502488+K585*0.9900497512))</f>
        <v>0</v>
      </c>
      <c r="L586">
        <f>IF(OR($E586="",$E585=""),"",MAX($E586-$E585,0))</f>
        <v>0</v>
      </c>
      <c r="M586">
        <f>IF(OR($E586="",$E585=""),"",MAX($E585-$E586,0))</f>
        <v>0</v>
      </c>
      <c r="N586">
        <f>IF(COUNT($E$2:$E586)&lt;15,"",IF(AVERAGE($M$573:$M$586)=0,100,100-100/(1+AVERAGE($L$573:$L$586)/AVERAGE($M$573:$M$586))))</f>
        <v>0</v>
      </c>
      <c r="O586">
        <f>IF($E586="","",IF($E585="",$E586,$E586*0.1538461538+O585*0.8461538462))</f>
        <v>0</v>
      </c>
      <c r="P586">
        <f>IF($E586="","",IF($E585="",$E586,$E586*0.0740740741+P585*0.9259259259))</f>
        <v>0</v>
      </c>
      <c r="Q586">
        <f>IF(OR(O586="",P586=""),"",O586-P586)</f>
        <v>0</v>
      </c>
      <c r="R586">
        <f>IF(Q586="","",IF(R585="",Q586,Q586*0.2000000000+R585*0.8000000000))</f>
        <v>0</v>
      </c>
      <c r="S586">
        <f>IF(OR(Q586="",R586=""),"",Q586-R586)</f>
        <v>0</v>
      </c>
      <c r="T586">
        <f>IF(COUNT($E$2:$E586)&lt;14,"",MAX($C$573:$C$586))</f>
        <v>0</v>
      </c>
      <c r="U586">
        <f>IF(COUNT($E$2:$E586)&lt;14,"",MIN($D$573:$D$586))</f>
        <v>0</v>
      </c>
      <c r="V586">
        <f>IF(OR(T586="",U586="",T586=U586),"",100*($E586-U586)/(T586-U586))</f>
        <v>0</v>
      </c>
      <c r="W586">
        <f>IF(COUNT($V$584:$V$586)&lt;3,"",AVERAGE($V$584:$V$586))</f>
        <v>0</v>
      </c>
      <c r="X586">
        <f>IF(COUNT($N$573:$N$586)&lt;14,"",MIN($N$573:$N$586))</f>
        <v>0</v>
      </c>
      <c r="Y586">
        <f>IF(COUNT($N$573:$N$586)&lt;14,"",MAX($N$573:$N$586))</f>
        <v>0</v>
      </c>
      <c r="Z586">
        <f>IF(OR(N586="",X586="",Y586="",Y586=X586),"",100*(N586-X586)/(Y586-X586))</f>
        <v>0</v>
      </c>
      <c r="AA586">
        <f>IF(COUNT($Z$584:$Z$586)&lt;3,"",AVERAGE($Z$584:$Z$586))</f>
        <v>0</v>
      </c>
      <c r="AB586">
        <f>IF(COUNT($AA$584:$AA$586)&lt;3,"",AVERAGE($AA$584:$AA$586))</f>
        <v>0</v>
      </c>
      <c r="AC586">
        <f>IF($E586="","",MAX($C586-$D586,ABS($C586-$E585),ABS($D586-$E585)))</f>
        <v>0</v>
      </c>
      <c r="AD586">
        <f>IF(COUNT($E$2:$E586)&lt;15,"",AVERAGE($AC$573:$AC$586))</f>
        <v>0</v>
      </c>
      <c r="AE586">
        <f>IF(OR($E586="",$E585=""),"",IF(AND(($C586-$C585)&gt;($D585-$D586),($C586-$C585)&gt;0),$C586-$C585,0))</f>
        <v>0</v>
      </c>
      <c r="AF586">
        <f>IF(OR($E586="",$E585=""),"",IF(AND(($D585-$D586)&gt;($C586-$C585),($D585-$D586)&gt;0),$D585-$D586,0))</f>
        <v>0</v>
      </c>
      <c r="AG586">
        <f>IF(COUNT($E$2:$E586)&lt;15,"",IF(SUM($AC$573:$AC$586)=0,0,100*SUM($AE$573:$AE$586)/SUM($AC$573:$AC$586)))</f>
        <v>0</v>
      </c>
      <c r="AH586">
        <f>IF(COUNT($E$2:$E586)&lt;15,"",IF(SUM($AC$573:$AC$586)=0,0,100*SUM($AF$573:$AF$586)/SUM($AC$573:$AC$586)))</f>
        <v>0</v>
      </c>
      <c r="AI586">
        <f>IF(OR(AG586="",AH586=""),"",IF((AG586+AH586)=0,0,100*ABS(AG586-AH586)/(AG586+AH586)))</f>
        <v>0</v>
      </c>
      <c r="AJ586">
        <f>IF(COUNT($AI$573:$AI$586)&lt;14,"",AVERAGE($AI$573:$AI$586))</f>
        <v>0</v>
      </c>
      <c r="AK586">
        <f>IF(COUNT($E$2:$E586)&lt;20,"",AVERAGE($E$567:$E$586))</f>
        <v>0</v>
      </c>
      <c r="AL586">
        <f>IF(COUNT($E$2:$E586)&lt;20,"",STDEVP($E$567:$E$586))</f>
        <v>0</v>
      </c>
      <c r="AM586">
        <f>IF(AK586="","",AK586+2*AL586)</f>
        <v>0</v>
      </c>
      <c r="AN586">
        <f>IF(AK586="","",AK586-2*AL586)</f>
        <v>0</v>
      </c>
      <c r="AO586">
        <f>IF(OR(AM586="",AN586="",AM586=AN586),"",($E586-AN586)/(AM586-AN586))</f>
        <v>0</v>
      </c>
      <c r="AP586">
        <f>IF(OR(AM586="",AK586="",AK586=0),"",(AM586-AN586)/AK586)</f>
        <v>0</v>
      </c>
      <c r="AQ586">
        <f>IF(COUNT($E$2:$E586)&lt;20,"",MAX($C$567:$C$586))</f>
        <v>0</v>
      </c>
      <c r="AR586">
        <f>IF(COUNT($E$2:$E586)&lt;20,"",MIN($D$567:$D$586))</f>
        <v>0</v>
      </c>
      <c r="AS586">
        <f>IF(OR(AQ586="",AR586=""),"",(AQ586+AR586)/2)</f>
        <v>0</v>
      </c>
      <c r="AT586">
        <f>IF(COUNT($G$567:$G$586)&lt;20,"",STDEV($G$567:$G$586)*SQRT(252))</f>
        <v>0</v>
      </c>
      <c r="AU586">
        <f>IF(COUNT($E$2:$E586)&lt;9,"",(MAX($C$578:$C$586)+MIN($D$578:$D$586))/2)</f>
        <v>0</v>
      </c>
      <c r="AV586">
        <f>IF(COUNT($E$2:$E586)&lt;26,"",(MAX($C$561:$C$586)+MIN($D$561:$D$586))/2)</f>
        <v>0</v>
      </c>
      <c r="AW586">
        <f>IF(OR(AU586="",AV586=""),"",(AU586+AV586)/2)</f>
        <v>0</v>
      </c>
      <c r="AX586">
        <f>IF(COUNT($E$2:$E586)&lt;52,"",(MAX($C$535:$C$586)+MIN($D$535:$D$586))/2)</f>
        <v>0</v>
      </c>
      <c r="AY586">
        <f>IF(COUNT($E$2:$E586)&lt;20,"",MAX($C$487:$C$586))</f>
        <v>0</v>
      </c>
      <c r="AZ586">
        <f>IF(COUNT($E$2:$E586)&lt;20,"",MIN($D$487:$D$586))</f>
        <v>0</v>
      </c>
      <c r="BA586">
        <f>IF(COUNT($E$2:$E586)&lt;20,"",SLOPE($E$487:$E$586,$F$487:$F$586))</f>
        <v>0</v>
      </c>
      <c r="BB586">
        <f>IF(COUNT($E$2:$E586)&lt;20,"",INTERCEPT($E$487:$E$586,$F$487:$F$586))</f>
        <v>0</v>
      </c>
      <c r="BC586">
        <f>IF(OR(BA586="",BB586=""),"",BB586+BA586*F586)</f>
        <v>0</v>
      </c>
      <c r="BD586">
        <f>IF(COUNT($E$2:$E586)&lt;20,"",STEYX($E$487:$E$586,$F$487:$F$586))</f>
        <v>0</v>
      </c>
      <c r="BE586">
        <f>IF($E586="","",IF(AND(COUNT($E$587:$E$590)&gt;=4,$C586=MAX($C$582:$C$590)),$C586,""))</f>
        <v>0</v>
      </c>
      <c r="BF586">
        <f>IF($E586="","",IF(AND(COUNT($E$587:$E$590)&gt;=4,$D586=MIN($D$582:$D$590)),$D586,""))</f>
        <v>0</v>
      </c>
      <c r="BG586">
        <f>IF($A586="","",$A586-WEEKDAY($A586,2)+1)</f>
        <v>0</v>
      </c>
      <c r="BH586">
        <f>IF($A586="","",IF($A585="",1,IF(BG586&lt;&gt;BG585,1,0)))</f>
        <v>0</v>
      </c>
      <c r="BI586">
        <f>IF($A586="","",IF($A587="",1,IF(BG587&lt;&gt;BG586,1,0)))</f>
        <v>0</v>
      </c>
      <c r="BJ586">
        <f>IF($A586="","",IF(BH586=1,$B586,BJ585))</f>
        <v>0</v>
      </c>
      <c r="BK586">
        <f>IF($A586="","",IF(BH586=1,$C586,MAX($C586,BK585)))</f>
        <v>0</v>
      </c>
      <c r="BL586">
        <f>IF($A586="","",IF(BH586=1,$D586,MIN($D586,BL585)))</f>
        <v>0</v>
      </c>
      <c r="BM586">
        <f>IF($A586="","",IF(BI586=1,F586,""))</f>
        <v>0</v>
      </c>
      <c r="BN586">
        <f>IF($A586="","",DATE(YEAR($A586),MONTH($A586),1))</f>
        <v>0</v>
      </c>
      <c r="BO586">
        <f>IF($A586="","",IF($A585="",1,IF(BN586&lt;&gt;BN585,1,0)))</f>
        <v>0</v>
      </c>
      <c r="BP586">
        <f>IF($A586="","",IF($A587="",1,IF(BN587&lt;&gt;BN586,1,0)))</f>
        <v>0</v>
      </c>
      <c r="BQ586">
        <f>IF($A586="","",IF(BO586=1,$B586,BQ585))</f>
        <v>0</v>
      </c>
      <c r="BR586">
        <f>IF($A586="","",IF(BO586=1,$C586,MAX($C586,BR585)))</f>
        <v>0</v>
      </c>
      <c r="BS586">
        <f>IF($A586="","",IF(BO586=1,$D586,MIN($D586,BS585)))</f>
        <v>0</v>
      </c>
      <c r="BT586">
        <f>IF($A586="","",IF(BP586=1,F586,""))</f>
        <v>0</v>
      </c>
    </row>
    <row r="587" spans="1:72">
      <c r="A587" s="27">
        <f>IF(Data!$A587="","",Data!$A587)</f>
        <v>0</v>
      </c>
      <c r="B587">
        <f>IF(Data!$B587="","",Data!$B587)</f>
        <v>0</v>
      </c>
      <c r="C587">
        <f>IF(Data!$C587="","",Data!$C587)</f>
        <v>0</v>
      </c>
      <c r="D587">
        <f>IF(Data!$D587="","",Data!$D587)</f>
        <v>0</v>
      </c>
      <c r="E587">
        <f>IF(Data!$E587="","",Data!$E587)</f>
        <v>0</v>
      </c>
      <c r="F587">
        <f>IF($E587="","",N(F586)+1)</f>
        <v>0</v>
      </c>
      <c r="G587">
        <f>IF(OR($E587="",$E586=""),"",LN($E587/$E586))</f>
        <v>0</v>
      </c>
      <c r="H587">
        <f>IF($E587="","",IF($E586="",$E587,$E587*0.0952380952+H586*0.9047619048))</f>
        <v>0</v>
      </c>
      <c r="I587">
        <f>IF($E587="","",IF($E586="",$E587,$E587*0.0392156863+I586*0.9607843137))</f>
        <v>0</v>
      </c>
      <c r="J587">
        <f>IF($E587="","",IF($E586="",$E587,$E587*0.0198019802+J586*0.9801980198))</f>
        <v>0</v>
      </c>
      <c r="K587">
        <f>IF($E587="","",IF($E586="",$E587,$E587*0.0099502488+K586*0.9900497512))</f>
        <v>0</v>
      </c>
      <c r="L587">
        <f>IF(OR($E587="",$E586=""),"",MAX($E587-$E586,0))</f>
        <v>0</v>
      </c>
      <c r="M587">
        <f>IF(OR($E587="",$E586=""),"",MAX($E586-$E587,0))</f>
        <v>0</v>
      </c>
      <c r="N587">
        <f>IF(COUNT($E$2:$E587)&lt;15,"",IF(AVERAGE($M$574:$M$587)=0,100,100-100/(1+AVERAGE($L$574:$L$587)/AVERAGE($M$574:$M$587))))</f>
        <v>0</v>
      </c>
      <c r="O587">
        <f>IF($E587="","",IF($E586="",$E587,$E587*0.1538461538+O586*0.8461538462))</f>
        <v>0</v>
      </c>
      <c r="P587">
        <f>IF($E587="","",IF($E586="",$E587,$E587*0.0740740741+P586*0.9259259259))</f>
        <v>0</v>
      </c>
      <c r="Q587">
        <f>IF(OR(O587="",P587=""),"",O587-P587)</f>
        <v>0</v>
      </c>
      <c r="R587">
        <f>IF(Q587="","",IF(R586="",Q587,Q587*0.2000000000+R586*0.8000000000))</f>
        <v>0</v>
      </c>
      <c r="S587">
        <f>IF(OR(Q587="",R587=""),"",Q587-R587)</f>
        <v>0</v>
      </c>
      <c r="T587">
        <f>IF(COUNT($E$2:$E587)&lt;14,"",MAX($C$574:$C$587))</f>
        <v>0</v>
      </c>
      <c r="U587">
        <f>IF(COUNT($E$2:$E587)&lt;14,"",MIN($D$574:$D$587))</f>
        <v>0</v>
      </c>
      <c r="V587">
        <f>IF(OR(T587="",U587="",T587=U587),"",100*($E587-U587)/(T587-U587))</f>
        <v>0</v>
      </c>
      <c r="W587">
        <f>IF(COUNT($V$585:$V$587)&lt;3,"",AVERAGE($V$585:$V$587))</f>
        <v>0</v>
      </c>
      <c r="X587">
        <f>IF(COUNT($N$574:$N$587)&lt;14,"",MIN($N$574:$N$587))</f>
        <v>0</v>
      </c>
      <c r="Y587">
        <f>IF(COUNT($N$574:$N$587)&lt;14,"",MAX($N$574:$N$587))</f>
        <v>0</v>
      </c>
      <c r="Z587">
        <f>IF(OR(N587="",X587="",Y587="",Y587=X587),"",100*(N587-X587)/(Y587-X587))</f>
        <v>0</v>
      </c>
      <c r="AA587">
        <f>IF(COUNT($Z$585:$Z$587)&lt;3,"",AVERAGE($Z$585:$Z$587))</f>
        <v>0</v>
      </c>
      <c r="AB587">
        <f>IF(COUNT($AA$585:$AA$587)&lt;3,"",AVERAGE($AA$585:$AA$587))</f>
        <v>0</v>
      </c>
      <c r="AC587">
        <f>IF($E587="","",MAX($C587-$D587,ABS($C587-$E586),ABS($D587-$E586)))</f>
        <v>0</v>
      </c>
      <c r="AD587">
        <f>IF(COUNT($E$2:$E587)&lt;15,"",AVERAGE($AC$574:$AC$587))</f>
        <v>0</v>
      </c>
      <c r="AE587">
        <f>IF(OR($E587="",$E586=""),"",IF(AND(($C587-$C586)&gt;($D586-$D587),($C587-$C586)&gt;0),$C587-$C586,0))</f>
        <v>0</v>
      </c>
      <c r="AF587">
        <f>IF(OR($E587="",$E586=""),"",IF(AND(($D586-$D587)&gt;($C587-$C586),($D586-$D587)&gt;0),$D586-$D587,0))</f>
        <v>0</v>
      </c>
      <c r="AG587">
        <f>IF(COUNT($E$2:$E587)&lt;15,"",IF(SUM($AC$574:$AC$587)=0,0,100*SUM($AE$574:$AE$587)/SUM($AC$574:$AC$587)))</f>
        <v>0</v>
      </c>
      <c r="AH587">
        <f>IF(COUNT($E$2:$E587)&lt;15,"",IF(SUM($AC$574:$AC$587)=0,0,100*SUM($AF$574:$AF$587)/SUM($AC$574:$AC$587)))</f>
        <v>0</v>
      </c>
      <c r="AI587">
        <f>IF(OR(AG587="",AH587=""),"",IF((AG587+AH587)=0,0,100*ABS(AG587-AH587)/(AG587+AH587)))</f>
        <v>0</v>
      </c>
      <c r="AJ587">
        <f>IF(COUNT($AI$574:$AI$587)&lt;14,"",AVERAGE($AI$574:$AI$587))</f>
        <v>0</v>
      </c>
      <c r="AK587">
        <f>IF(COUNT($E$2:$E587)&lt;20,"",AVERAGE($E$568:$E$587))</f>
        <v>0</v>
      </c>
      <c r="AL587">
        <f>IF(COUNT($E$2:$E587)&lt;20,"",STDEVP($E$568:$E$587))</f>
        <v>0</v>
      </c>
      <c r="AM587">
        <f>IF(AK587="","",AK587+2*AL587)</f>
        <v>0</v>
      </c>
      <c r="AN587">
        <f>IF(AK587="","",AK587-2*AL587)</f>
        <v>0</v>
      </c>
      <c r="AO587">
        <f>IF(OR(AM587="",AN587="",AM587=AN587),"",($E587-AN587)/(AM587-AN587))</f>
        <v>0</v>
      </c>
      <c r="AP587">
        <f>IF(OR(AM587="",AK587="",AK587=0),"",(AM587-AN587)/AK587)</f>
        <v>0</v>
      </c>
      <c r="AQ587">
        <f>IF(COUNT($E$2:$E587)&lt;20,"",MAX($C$568:$C$587))</f>
        <v>0</v>
      </c>
      <c r="AR587">
        <f>IF(COUNT($E$2:$E587)&lt;20,"",MIN($D$568:$D$587))</f>
        <v>0</v>
      </c>
      <c r="AS587">
        <f>IF(OR(AQ587="",AR587=""),"",(AQ587+AR587)/2)</f>
        <v>0</v>
      </c>
      <c r="AT587">
        <f>IF(COUNT($G$568:$G$587)&lt;20,"",STDEV($G$568:$G$587)*SQRT(252))</f>
        <v>0</v>
      </c>
      <c r="AU587">
        <f>IF(COUNT($E$2:$E587)&lt;9,"",(MAX($C$579:$C$587)+MIN($D$579:$D$587))/2)</f>
        <v>0</v>
      </c>
      <c r="AV587">
        <f>IF(COUNT($E$2:$E587)&lt;26,"",(MAX($C$562:$C$587)+MIN($D$562:$D$587))/2)</f>
        <v>0</v>
      </c>
      <c r="AW587">
        <f>IF(OR(AU587="",AV587=""),"",(AU587+AV587)/2)</f>
        <v>0</v>
      </c>
      <c r="AX587">
        <f>IF(COUNT($E$2:$E587)&lt;52,"",(MAX($C$536:$C$587)+MIN($D$536:$D$587))/2)</f>
        <v>0</v>
      </c>
      <c r="AY587">
        <f>IF(COUNT($E$2:$E587)&lt;20,"",MAX($C$488:$C$587))</f>
        <v>0</v>
      </c>
      <c r="AZ587">
        <f>IF(COUNT($E$2:$E587)&lt;20,"",MIN($D$488:$D$587))</f>
        <v>0</v>
      </c>
      <c r="BA587">
        <f>IF(COUNT($E$2:$E587)&lt;20,"",SLOPE($E$488:$E$587,$F$488:$F$587))</f>
        <v>0</v>
      </c>
      <c r="BB587">
        <f>IF(COUNT($E$2:$E587)&lt;20,"",INTERCEPT($E$488:$E$587,$F$488:$F$587))</f>
        <v>0</v>
      </c>
      <c r="BC587">
        <f>IF(OR(BA587="",BB587=""),"",BB587+BA587*F587)</f>
        <v>0</v>
      </c>
      <c r="BD587">
        <f>IF(COUNT($E$2:$E587)&lt;20,"",STEYX($E$488:$E$587,$F$488:$F$587))</f>
        <v>0</v>
      </c>
      <c r="BE587">
        <f>IF($E587="","",IF(AND(COUNT($E$588:$E$591)&gt;=4,$C587=MAX($C$583:$C$591)),$C587,""))</f>
        <v>0</v>
      </c>
      <c r="BF587">
        <f>IF($E587="","",IF(AND(COUNT($E$588:$E$591)&gt;=4,$D587=MIN($D$583:$D$591)),$D587,""))</f>
        <v>0</v>
      </c>
      <c r="BG587">
        <f>IF($A587="","",$A587-WEEKDAY($A587,2)+1)</f>
        <v>0</v>
      </c>
      <c r="BH587">
        <f>IF($A587="","",IF($A586="",1,IF(BG587&lt;&gt;BG586,1,0)))</f>
        <v>0</v>
      </c>
      <c r="BI587">
        <f>IF($A587="","",IF($A588="",1,IF(BG588&lt;&gt;BG587,1,0)))</f>
        <v>0</v>
      </c>
      <c r="BJ587">
        <f>IF($A587="","",IF(BH587=1,$B587,BJ586))</f>
        <v>0</v>
      </c>
      <c r="BK587">
        <f>IF($A587="","",IF(BH587=1,$C587,MAX($C587,BK586)))</f>
        <v>0</v>
      </c>
      <c r="BL587">
        <f>IF($A587="","",IF(BH587=1,$D587,MIN($D587,BL586)))</f>
        <v>0</v>
      </c>
      <c r="BM587">
        <f>IF($A587="","",IF(BI587=1,F587,""))</f>
        <v>0</v>
      </c>
      <c r="BN587">
        <f>IF($A587="","",DATE(YEAR($A587),MONTH($A587),1))</f>
        <v>0</v>
      </c>
      <c r="BO587">
        <f>IF($A587="","",IF($A586="",1,IF(BN587&lt;&gt;BN586,1,0)))</f>
        <v>0</v>
      </c>
      <c r="BP587">
        <f>IF($A587="","",IF($A588="",1,IF(BN588&lt;&gt;BN587,1,0)))</f>
        <v>0</v>
      </c>
      <c r="BQ587">
        <f>IF($A587="","",IF(BO587=1,$B587,BQ586))</f>
        <v>0</v>
      </c>
      <c r="BR587">
        <f>IF($A587="","",IF(BO587=1,$C587,MAX($C587,BR586)))</f>
        <v>0</v>
      </c>
      <c r="BS587">
        <f>IF($A587="","",IF(BO587=1,$D587,MIN($D587,BS586)))</f>
        <v>0</v>
      </c>
      <c r="BT587">
        <f>IF($A587="","",IF(BP587=1,F587,""))</f>
        <v>0</v>
      </c>
    </row>
    <row r="588" spans="1:72">
      <c r="A588" s="27">
        <f>IF(Data!$A588="","",Data!$A588)</f>
        <v>0</v>
      </c>
      <c r="B588">
        <f>IF(Data!$B588="","",Data!$B588)</f>
        <v>0</v>
      </c>
      <c r="C588">
        <f>IF(Data!$C588="","",Data!$C588)</f>
        <v>0</v>
      </c>
      <c r="D588">
        <f>IF(Data!$D588="","",Data!$D588)</f>
        <v>0</v>
      </c>
      <c r="E588">
        <f>IF(Data!$E588="","",Data!$E588)</f>
        <v>0</v>
      </c>
      <c r="F588">
        <f>IF($E588="","",N(F587)+1)</f>
        <v>0</v>
      </c>
      <c r="G588">
        <f>IF(OR($E588="",$E587=""),"",LN($E588/$E587))</f>
        <v>0</v>
      </c>
      <c r="H588">
        <f>IF($E588="","",IF($E587="",$E588,$E588*0.0952380952+H587*0.9047619048))</f>
        <v>0</v>
      </c>
      <c r="I588">
        <f>IF($E588="","",IF($E587="",$E588,$E588*0.0392156863+I587*0.9607843137))</f>
        <v>0</v>
      </c>
      <c r="J588">
        <f>IF($E588="","",IF($E587="",$E588,$E588*0.0198019802+J587*0.9801980198))</f>
        <v>0</v>
      </c>
      <c r="K588">
        <f>IF($E588="","",IF($E587="",$E588,$E588*0.0099502488+K587*0.9900497512))</f>
        <v>0</v>
      </c>
      <c r="L588">
        <f>IF(OR($E588="",$E587=""),"",MAX($E588-$E587,0))</f>
        <v>0</v>
      </c>
      <c r="M588">
        <f>IF(OR($E588="",$E587=""),"",MAX($E587-$E588,0))</f>
        <v>0</v>
      </c>
      <c r="N588">
        <f>IF(COUNT($E$2:$E588)&lt;15,"",IF(AVERAGE($M$575:$M$588)=0,100,100-100/(1+AVERAGE($L$575:$L$588)/AVERAGE($M$575:$M$588))))</f>
        <v>0</v>
      </c>
      <c r="O588">
        <f>IF($E588="","",IF($E587="",$E588,$E588*0.1538461538+O587*0.8461538462))</f>
        <v>0</v>
      </c>
      <c r="P588">
        <f>IF($E588="","",IF($E587="",$E588,$E588*0.0740740741+P587*0.9259259259))</f>
        <v>0</v>
      </c>
      <c r="Q588">
        <f>IF(OR(O588="",P588=""),"",O588-P588)</f>
        <v>0</v>
      </c>
      <c r="R588">
        <f>IF(Q588="","",IF(R587="",Q588,Q588*0.2000000000+R587*0.8000000000))</f>
        <v>0</v>
      </c>
      <c r="S588">
        <f>IF(OR(Q588="",R588=""),"",Q588-R588)</f>
        <v>0</v>
      </c>
      <c r="T588">
        <f>IF(COUNT($E$2:$E588)&lt;14,"",MAX($C$575:$C$588))</f>
        <v>0</v>
      </c>
      <c r="U588">
        <f>IF(COUNT($E$2:$E588)&lt;14,"",MIN($D$575:$D$588))</f>
        <v>0</v>
      </c>
      <c r="V588">
        <f>IF(OR(T588="",U588="",T588=U588),"",100*($E588-U588)/(T588-U588))</f>
        <v>0</v>
      </c>
      <c r="W588">
        <f>IF(COUNT($V$586:$V$588)&lt;3,"",AVERAGE($V$586:$V$588))</f>
        <v>0</v>
      </c>
      <c r="X588">
        <f>IF(COUNT($N$575:$N$588)&lt;14,"",MIN($N$575:$N$588))</f>
        <v>0</v>
      </c>
      <c r="Y588">
        <f>IF(COUNT($N$575:$N$588)&lt;14,"",MAX($N$575:$N$588))</f>
        <v>0</v>
      </c>
      <c r="Z588">
        <f>IF(OR(N588="",X588="",Y588="",Y588=X588),"",100*(N588-X588)/(Y588-X588))</f>
        <v>0</v>
      </c>
      <c r="AA588">
        <f>IF(COUNT($Z$586:$Z$588)&lt;3,"",AVERAGE($Z$586:$Z$588))</f>
        <v>0</v>
      </c>
      <c r="AB588">
        <f>IF(COUNT($AA$586:$AA$588)&lt;3,"",AVERAGE($AA$586:$AA$588))</f>
        <v>0</v>
      </c>
      <c r="AC588">
        <f>IF($E588="","",MAX($C588-$D588,ABS($C588-$E587),ABS($D588-$E587)))</f>
        <v>0</v>
      </c>
      <c r="AD588">
        <f>IF(COUNT($E$2:$E588)&lt;15,"",AVERAGE($AC$575:$AC$588))</f>
        <v>0</v>
      </c>
      <c r="AE588">
        <f>IF(OR($E588="",$E587=""),"",IF(AND(($C588-$C587)&gt;($D587-$D588),($C588-$C587)&gt;0),$C588-$C587,0))</f>
        <v>0</v>
      </c>
      <c r="AF588">
        <f>IF(OR($E588="",$E587=""),"",IF(AND(($D587-$D588)&gt;($C588-$C587),($D587-$D588)&gt;0),$D587-$D588,0))</f>
        <v>0</v>
      </c>
      <c r="AG588">
        <f>IF(COUNT($E$2:$E588)&lt;15,"",IF(SUM($AC$575:$AC$588)=0,0,100*SUM($AE$575:$AE$588)/SUM($AC$575:$AC$588)))</f>
        <v>0</v>
      </c>
      <c r="AH588">
        <f>IF(COUNT($E$2:$E588)&lt;15,"",IF(SUM($AC$575:$AC$588)=0,0,100*SUM($AF$575:$AF$588)/SUM($AC$575:$AC$588)))</f>
        <v>0</v>
      </c>
      <c r="AI588">
        <f>IF(OR(AG588="",AH588=""),"",IF((AG588+AH588)=0,0,100*ABS(AG588-AH588)/(AG588+AH588)))</f>
        <v>0</v>
      </c>
      <c r="AJ588">
        <f>IF(COUNT($AI$575:$AI$588)&lt;14,"",AVERAGE($AI$575:$AI$588))</f>
        <v>0</v>
      </c>
      <c r="AK588">
        <f>IF(COUNT($E$2:$E588)&lt;20,"",AVERAGE($E$569:$E$588))</f>
        <v>0</v>
      </c>
      <c r="AL588">
        <f>IF(COUNT($E$2:$E588)&lt;20,"",STDEVP($E$569:$E$588))</f>
        <v>0</v>
      </c>
      <c r="AM588">
        <f>IF(AK588="","",AK588+2*AL588)</f>
        <v>0</v>
      </c>
      <c r="AN588">
        <f>IF(AK588="","",AK588-2*AL588)</f>
        <v>0</v>
      </c>
      <c r="AO588">
        <f>IF(OR(AM588="",AN588="",AM588=AN588),"",($E588-AN588)/(AM588-AN588))</f>
        <v>0</v>
      </c>
      <c r="AP588">
        <f>IF(OR(AM588="",AK588="",AK588=0),"",(AM588-AN588)/AK588)</f>
        <v>0</v>
      </c>
      <c r="AQ588">
        <f>IF(COUNT($E$2:$E588)&lt;20,"",MAX($C$569:$C$588))</f>
        <v>0</v>
      </c>
      <c r="AR588">
        <f>IF(COUNT($E$2:$E588)&lt;20,"",MIN($D$569:$D$588))</f>
        <v>0</v>
      </c>
      <c r="AS588">
        <f>IF(OR(AQ588="",AR588=""),"",(AQ588+AR588)/2)</f>
        <v>0</v>
      </c>
      <c r="AT588">
        <f>IF(COUNT($G$569:$G$588)&lt;20,"",STDEV($G$569:$G$588)*SQRT(252))</f>
        <v>0</v>
      </c>
      <c r="AU588">
        <f>IF(COUNT($E$2:$E588)&lt;9,"",(MAX($C$580:$C$588)+MIN($D$580:$D$588))/2)</f>
        <v>0</v>
      </c>
      <c r="AV588">
        <f>IF(COUNT($E$2:$E588)&lt;26,"",(MAX($C$563:$C$588)+MIN($D$563:$D$588))/2)</f>
        <v>0</v>
      </c>
      <c r="AW588">
        <f>IF(OR(AU588="",AV588=""),"",(AU588+AV588)/2)</f>
        <v>0</v>
      </c>
      <c r="AX588">
        <f>IF(COUNT($E$2:$E588)&lt;52,"",(MAX($C$537:$C$588)+MIN($D$537:$D$588))/2)</f>
        <v>0</v>
      </c>
      <c r="AY588">
        <f>IF(COUNT($E$2:$E588)&lt;20,"",MAX($C$489:$C$588))</f>
        <v>0</v>
      </c>
      <c r="AZ588">
        <f>IF(COUNT($E$2:$E588)&lt;20,"",MIN($D$489:$D$588))</f>
        <v>0</v>
      </c>
      <c r="BA588">
        <f>IF(COUNT($E$2:$E588)&lt;20,"",SLOPE($E$489:$E$588,$F$489:$F$588))</f>
        <v>0</v>
      </c>
      <c r="BB588">
        <f>IF(COUNT($E$2:$E588)&lt;20,"",INTERCEPT($E$489:$E$588,$F$489:$F$588))</f>
        <v>0</v>
      </c>
      <c r="BC588">
        <f>IF(OR(BA588="",BB588=""),"",BB588+BA588*F588)</f>
        <v>0</v>
      </c>
      <c r="BD588">
        <f>IF(COUNT($E$2:$E588)&lt;20,"",STEYX($E$489:$E$588,$F$489:$F$588))</f>
        <v>0</v>
      </c>
      <c r="BE588">
        <f>IF($E588="","",IF(AND(COUNT($E$589:$E$592)&gt;=4,$C588=MAX($C$584:$C$592)),$C588,""))</f>
        <v>0</v>
      </c>
      <c r="BF588">
        <f>IF($E588="","",IF(AND(COUNT($E$589:$E$592)&gt;=4,$D588=MIN($D$584:$D$592)),$D588,""))</f>
        <v>0</v>
      </c>
      <c r="BG588">
        <f>IF($A588="","",$A588-WEEKDAY($A588,2)+1)</f>
        <v>0</v>
      </c>
      <c r="BH588">
        <f>IF($A588="","",IF($A587="",1,IF(BG588&lt;&gt;BG587,1,0)))</f>
        <v>0</v>
      </c>
      <c r="BI588">
        <f>IF($A588="","",IF($A589="",1,IF(BG589&lt;&gt;BG588,1,0)))</f>
        <v>0</v>
      </c>
      <c r="BJ588">
        <f>IF($A588="","",IF(BH588=1,$B588,BJ587))</f>
        <v>0</v>
      </c>
      <c r="BK588">
        <f>IF($A588="","",IF(BH588=1,$C588,MAX($C588,BK587)))</f>
        <v>0</v>
      </c>
      <c r="BL588">
        <f>IF($A588="","",IF(BH588=1,$D588,MIN($D588,BL587)))</f>
        <v>0</v>
      </c>
      <c r="BM588">
        <f>IF($A588="","",IF(BI588=1,F588,""))</f>
        <v>0</v>
      </c>
      <c r="BN588">
        <f>IF($A588="","",DATE(YEAR($A588),MONTH($A588),1))</f>
        <v>0</v>
      </c>
      <c r="BO588">
        <f>IF($A588="","",IF($A587="",1,IF(BN588&lt;&gt;BN587,1,0)))</f>
        <v>0</v>
      </c>
      <c r="BP588">
        <f>IF($A588="","",IF($A589="",1,IF(BN589&lt;&gt;BN588,1,0)))</f>
        <v>0</v>
      </c>
      <c r="BQ588">
        <f>IF($A588="","",IF(BO588=1,$B588,BQ587))</f>
        <v>0</v>
      </c>
      <c r="BR588">
        <f>IF($A588="","",IF(BO588=1,$C588,MAX($C588,BR587)))</f>
        <v>0</v>
      </c>
      <c r="BS588">
        <f>IF($A588="","",IF(BO588=1,$D588,MIN($D588,BS587)))</f>
        <v>0</v>
      </c>
      <c r="BT588">
        <f>IF($A588="","",IF(BP588=1,F588,""))</f>
        <v>0</v>
      </c>
    </row>
    <row r="589" spans="1:72">
      <c r="A589" s="27">
        <f>IF(Data!$A589="","",Data!$A589)</f>
        <v>0</v>
      </c>
      <c r="B589">
        <f>IF(Data!$B589="","",Data!$B589)</f>
        <v>0</v>
      </c>
      <c r="C589">
        <f>IF(Data!$C589="","",Data!$C589)</f>
        <v>0</v>
      </c>
      <c r="D589">
        <f>IF(Data!$D589="","",Data!$D589)</f>
        <v>0</v>
      </c>
      <c r="E589">
        <f>IF(Data!$E589="","",Data!$E589)</f>
        <v>0</v>
      </c>
      <c r="F589">
        <f>IF($E589="","",N(F588)+1)</f>
        <v>0</v>
      </c>
      <c r="G589">
        <f>IF(OR($E589="",$E588=""),"",LN($E589/$E588))</f>
        <v>0</v>
      </c>
      <c r="H589">
        <f>IF($E589="","",IF($E588="",$E589,$E589*0.0952380952+H588*0.9047619048))</f>
        <v>0</v>
      </c>
      <c r="I589">
        <f>IF($E589="","",IF($E588="",$E589,$E589*0.0392156863+I588*0.9607843137))</f>
        <v>0</v>
      </c>
      <c r="J589">
        <f>IF($E589="","",IF($E588="",$E589,$E589*0.0198019802+J588*0.9801980198))</f>
        <v>0</v>
      </c>
      <c r="K589">
        <f>IF($E589="","",IF($E588="",$E589,$E589*0.0099502488+K588*0.9900497512))</f>
        <v>0</v>
      </c>
      <c r="L589">
        <f>IF(OR($E589="",$E588=""),"",MAX($E589-$E588,0))</f>
        <v>0</v>
      </c>
      <c r="M589">
        <f>IF(OR($E589="",$E588=""),"",MAX($E588-$E589,0))</f>
        <v>0</v>
      </c>
      <c r="N589">
        <f>IF(COUNT($E$2:$E589)&lt;15,"",IF(AVERAGE($M$576:$M$589)=0,100,100-100/(1+AVERAGE($L$576:$L$589)/AVERAGE($M$576:$M$589))))</f>
        <v>0</v>
      </c>
      <c r="O589">
        <f>IF($E589="","",IF($E588="",$E589,$E589*0.1538461538+O588*0.8461538462))</f>
        <v>0</v>
      </c>
      <c r="P589">
        <f>IF($E589="","",IF($E588="",$E589,$E589*0.0740740741+P588*0.9259259259))</f>
        <v>0</v>
      </c>
      <c r="Q589">
        <f>IF(OR(O589="",P589=""),"",O589-P589)</f>
        <v>0</v>
      </c>
      <c r="R589">
        <f>IF(Q589="","",IF(R588="",Q589,Q589*0.2000000000+R588*0.8000000000))</f>
        <v>0</v>
      </c>
      <c r="S589">
        <f>IF(OR(Q589="",R589=""),"",Q589-R589)</f>
        <v>0</v>
      </c>
      <c r="T589">
        <f>IF(COUNT($E$2:$E589)&lt;14,"",MAX($C$576:$C$589))</f>
        <v>0</v>
      </c>
      <c r="U589">
        <f>IF(COUNT($E$2:$E589)&lt;14,"",MIN($D$576:$D$589))</f>
        <v>0</v>
      </c>
      <c r="V589">
        <f>IF(OR(T589="",U589="",T589=U589),"",100*($E589-U589)/(T589-U589))</f>
        <v>0</v>
      </c>
      <c r="W589">
        <f>IF(COUNT($V$587:$V$589)&lt;3,"",AVERAGE($V$587:$V$589))</f>
        <v>0</v>
      </c>
      <c r="X589">
        <f>IF(COUNT($N$576:$N$589)&lt;14,"",MIN($N$576:$N$589))</f>
        <v>0</v>
      </c>
      <c r="Y589">
        <f>IF(COUNT($N$576:$N$589)&lt;14,"",MAX($N$576:$N$589))</f>
        <v>0</v>
      </c>
      <c r="Z589">
        <f>IF(OR(N589="",X589="",Y589="",Y589=X589),"",100*(N589-X589)/(Y589-X589))</f>
        <v>0</v>
      </c>
      <c r="AA589">
        <f>IF(COUNT($Z$587:$Z$589)&lt;3,"",AVERAGE($Z$587:$Z$589))</f>
        <v>0</v>
      </c>
      <c r="AB589">
        <f>IF(COUNT($AA$587:$AA$589)&lt;3,"",AVERAGE($AA$587:$AA$589))</f>
        <v>0</v>
      </c>
      <c r="AC589">
        <f>IF($E589="","",MAX($C589-$D589,ABS($C589-$E588),ABS($D589-$E588)))</f>
        <v>0</v>
      </c>
      <c r="AD589">
        <f>IF(COUNT($E$2:$E589)&lt;15,"",AVERAGE($AC$576:$AC$589))</f>
        <v>0</v>
      </c>
      <c r="AE589">
        <f>IF(OR($E589="",$E588=""),"",IF(AND(($C589-$C588)&gt;($D588-$D589),($C589-$C588)&gt;0),$C589-$C588,0))</f>
        <v>0</v>
      </c>
      <c r="AF589">
        <f>IF(OR($E589="",$E588=""),"",IF(AND(($D588-$D589)&gt;($C589-$C588),($D588-$D589)&gt;0),$D588-$D589,0))</f>
        <v>0</v>
      </c>
      <c r="AG589">
        <f>IF(COUNT($E$2:$E589)&lt;15,"",IF(SUM($AC$576:$AC$589)=0,0,100*SUM($AE$576:$AE$589)/SUM($AC$576:$AC$589)))</f>
        <v>0</v>
      </c>
      <c r="AH589">
        <f>IF(COUNT($E$2:$E589)&lt;15,"",IF(SUM($AC$576:$AC$589)=0,0,100*SUM($AF$576:$AF$589)/SUM($AC$576:$AC$589)))</f>
        <v>0</v>
      </c>
      <c r="AI589">
        <f>IF(OR(AG589="",AH589=""),"",IF((AG589+AH589)=0,0,100*ABS(AG589-AH589)/(AG589+AH589)))</f>
        <v>0</v>
      </c>
      <c r="AJ589">
        <f>IF(COUNT($AI$576:$AI$589)&lt;14,"",AVERAGE($AI$576:$AI$589))</f>
        <v>0</v>
      </c>
      <c r="AK589">
        <f>IF(COUNT($E$2:$E589)&lt;20,"",AVERAGE($E$570:$E$589))</f>
        <v>0</v>
      </c>
      <c r="AL589">
        <f>IF(COUNT($E$2:$E589)&lt;20,"",STDEVP($E$570:$E$589))</f>
        <v>0</v>
      </c>
      <c r="AM589">
        <f>IF(AK589="","",AK589+2*AL589)</f>
        <v>0</v>
      </c>
      <c r="AN589">
        <f>IF(AK589="","",AK589-2*AL589)</f>
        <v>0</v>
      </c>
      <c r="AO589">
        <f>IF(OR(AM589="",AN589="",AM589=AN589),"",($E589-AN589)/(AM589-AN589))</f>
        <v>0</v>
      </c>
      <c r="AP589">
        <f>IF(OR(AM589="",AK589="",AK589=0),"",(AM589-AN589)/AK589)</f>
        <v>0</v>
      </c>
      <c r="AQ589">
        <f>IF(COUNT($E$2:$E589)&lt;20,"",MAX($C$570:$C$589))</f>
        <v>0</v>
      </c>
      <c r="AR589">
        <f>IF(COUNT($E$2:$E589)&lt;20,"",MIN($D$570:$D$589))</f>
        <v>0</v>
      </c>
      <c r="AS589">
        <f>IF(OR(AQ589="",AR589=""),"",(AQ589+AR589)/2)</f>
        <v>0</v>
      </c>
      <c r="AT589">
        <f>IF(COUNT($G$570:$G$589)&lt;20,"",STDEV($G$570:$G$589)*SQRT(252))</f>
        <v>0</v>
      </c>
      <c r="AU589">
        <f>IF(COUNT($E$2:$E589)&lt;9,"",(MAX($C$581:$C$589)+MIN($D$581:$D$589))/2)</f>
        <v>0</v>
      </c>
      <c r="AV589">
        <f>IF(COUNT($E$2:$E589)&lt;26,"",(MAX($C$564:$C$589)+MIN($D$564:$D$589))/2)</f>
        <v>0</v>
      </c>
      <c r="AW589">
        <f>IF(OR(AU589="",AV589=""),"",(AU589+AV589)/2)</f>
        <v>0</v>
      </c>
      <c r="AX589">
        <f>IF(COUNT($E$2:$E589)&lt;52,"",(MAX($C$538:$C$589)+MIN($D$538:$D$589))/2)</f>
        <v>0</v>
      </c>
      <c r="AY589">
        <f>IF(COUNT($E$2:$E589)&lt;20,"",MAX($C$490:$C$589))</f>
        <v>0</v>
      </c>
      <c r="AZ589">
        <f>IF(COUNT($E$2:$E589)&lt;20,"",MIN($D$490:$D$589))</f>
        <v>0</v>
      </c>
      <c r="BA589">
        <f>IF(COUNT($E$2:$E589)&lt;20,"",SLOPE($E$490:$E$589,$F$490:$F$589))</f>
        <v>0</v>
      </c>
      <c r="BB589">
        <f>IF(COUNT($E$2:$E589)&lt;20,"",INTERCEPT($E$490:$E$589,$F$490:$F$589))</f>
        <v>0</v>
      </c>
      <c r="BC589">
        <f>IF(OR(BA589="",BB589=""),"",BB589+BA589*F589)</f>
        <v>0</v>
      </c>
      <c r="BD589">
        <f>IF(COUNT($E$2:$E589)&lt;20,"",STEYX($E$490:$E$589,$F$490:$F$589))</f>
        <v>0</v>
      </c>
      <c r="BE589">
        <f>IF($E589="","",IF(AND(COUNT($E$590:$E$593)&gt;=4,$C589=MAX($C$585:$C$593)),$C589,""))</f>
        <v>0</v>
      </c>
      <c r="BF589">
        <f>IF($E589="","",IF(AND(COUNT($E$590:$E$593)&gt;=4,$D589=MIN($D$585:$D$593)),$D589,""))</f>
        <v>0</v>
      </c>
      <c r="BG589">
        <f>IF($A589="","",$A589-WEEKDAY($A589,2)+1)</f>
        <v>0</v>
      </c>
      <c r="BH589">
        <f>IF($A589="","",IF($A588="",1,IF(BG589&lt;&gt;BG588,1,0)))</f>
        <v>0</v>
      </c>
      <c r="BI589">
        <f>IF($A589="","",IF($A590="",1,IF(BG590&lt;&gt;BG589,1,0)))</f>
        <v>0</v>
      </c>
      <c r="BJ589">
        <f>IF($A589="","",IF(BH589=1,$B589,BJ588))</f>
        <v>0</v>
      </c>
      <c r="BK589">
        <f>IF($A589="","",IF(BH589=1,$C589,MAX($C589,BK588)))</f>
        <v>0</v>
      </c>
      <c r="BL589">
        <f>IF($A589="","",IF(BH589=1,$D589,MIN($D589,BL588)))</f>
        <v>0</v>
      </c>
      <c r="BM589">
        <f>IF($A589="","",IF(BI589=1,F589,""))</f>
        <v>0</v>
      </c>
      <c r="BN589">
        <f>IF($A589="","",DATE(YEAR($A589),MONTH($A589),1))</f>
        <v>0</v>
      </c>
      <c r="BO589">
        <f>IF($A589="","",IF($A588="",1,IF(BN589&lt;&gt;BN588,1,0)))</f>
        <v>0</v>
      </c>
      <c r="BP589">
        <f>IF($A589="","",IF($A590="",1,IF(BN590&lt;&gt;BN589,1,0)))</f>
        <v>0</v>
      </c>
      <c r="BQ589">
        <f>IF($A589="","",IF(BO589=1,$B589,BQ588))</f>
        <v>0</v>
      </c>
      <c r="BR589">
        <f>IF($A589="","",IF(BO589=1,$C589,MAX($C589,BR588)))</f>
        <v>0</v>
      </c>
      <c r="BS589">
        <f>IF($A589="","",IF(BO589=1,$D589,MIN($D589,BS588)))</f>
        <v>0</v>
      </c>
      <c r="BT589">
        <f>IF($A589="","",IF(BP589=1,F589,""))</f>
        <v>0</v>
      </c>
    </row>
    <row r="590" spans="1:72">
      <c r="A590" s="27">
        <f>IF(Data!$A590="","",Data!$A590)</f>
        <v>0</v>
      </c>
      <c r="B590">
        <f>IF(Data!$B590="","",Data!$B590)</f>
        <v>0</v>
      </c>
      <c r="C590">
        <f>IF(Data!$C590="","",Data!$C590)</f>
        <v>0</v>
      </c>
      <c r="D590">
        <f>IF(Data!$D590="","",Data!$D590)</f>
        <v>0</v>
      </c>
      <c r="E590">
        <f>IF(Data!$E590="","",Data!$E590)</f>
        <v>0</v>
      </c>
      <c r="F590">
        <f>IF($E590="","",N(F589)+1)</f>
        <v>0</v>
      </c>
      <c r="G590">
        <f>IF(OR($E590="",$E589=""),"",LN($E590/$E589))</f>
        <v>0</v>
      </c>
      <c r="H590">
        <f>IF($E590="","",IF($E589="",$E590,$E590*0.0952380952+H589*0.9047619048))</f>
        <v>0</v>
      </c>
      <c r="I590">
        <f>IF($E590="","",IF($E589="",$E590,$E590*0.0392156863+I589*0.9607843137))</f>
        <v>0</v>
      </c>
      <c r="J590">
        <f>IF($E590="","",IF($E589="",$E590,$E590*0.0198019802+J589*0.9801980198))</f>
        <v>0</v>
      </c>
      <c r="K590">
        <f>IF($E590="","",IF($E589="",$E590,$E590*0.0099502488+K589*0.9900497512))</f>
        <v>0</v>
      </c>
      <c r="L590">
        <f>IF(OR($E590="",$E589=""),"",MAX($E590-$E589,0))</f>
        <v>0</v>
      </c>
      <c r="M590">
        <f>IF(OR($E590="",$E589=""),"",MAX($E589-$E590,0))</f>
        <v>0</v>
      </c>
      <c r="N590">
        <f>IF(COUNT($E$2:$E590)&lt;15,"",IF(AVERAGE($M$577:$M$590)=0,100,100-100/(1+AVERAGE($L$577:$L$590)/AVERAGE($M$577:$M$590))))</f>
        <v>0</v>
      </c>
      <c r="O590">
        <f>IF($E590="","",IF($E589="",$E590,$E590*0.1538461538+O589*0.8461538462))</f>
        <v>0</v>
      </c>
      <c r="P590">
        <f>IF($E590="","",IF($E589="",$E590,$E590*0.0740740741+P589*0.9259259259))</f>
        <v>0</v>
      </c>
      <c r="Q590">
        <f>IF(OR(O590="",P590=""),"",O590-P590)</f>
        <v>0</v>
      </c>
      <c r="R590">
        <f>IF(Q590="","",IF(R589="",Q590,Q590*0.2000000000+R589*0.8000000000))</f>
        <v>0</v>
      </c>
      <c r="S590">
        <f>IF(OR(Q590="",R590=""),"",Q590-R590)</f>
        <v>0</v>
      </c>
      <c r="T590">
        <f>IF(COUNT($E$2:$E590)&lt;14,"",MAX($C$577:$C$590))</f>
        <v>0</v>
      </c>
      <c r="U590">
        <f>IF(COUNT($E$2:$E590)&lt;14,"",MIN($D$577:$D$590))</f>
        <v>0</v>
      </c>
      <c r="V590">
        <f>IF(OR(T590="",U590="",T590=U590),"",100*($E590-U590)/(T590-U590))</f>
        <v>0</v>
      </c>
      <c r="W590">
        <f>IF(COUNT($V$588:$V$590)&lt;3,"",AVERAGE($V$588:$V$590))</f>
        <v>0</v>
      </c>
      <c r="X590">
        <f>IF(COUNT($N$577:$N$590)&lt;14,"",MIN($N$577:$N$590))</f>
        <v>0</v>
      </c>
      <c r="Y590">
        <f>IF(COUNT($N$577:$N$590)&lt;14,"",MAX($N$577:$N$590))</f>
        <v>0</v>
      </c>
      <c r="Z590">
        <f>IF(OR(N590="",X590="",Y590="",Y590=X590),"",100*(N590-X590)/(Y590-X590))</f>
        <v>0</v>
      </c>
      <c r="AA590">
        <f>IF(COUNT($Z$588:$Z$590)&lt;3,"",AVERAGE($Z$588:$Z$590))</f>
        <v>0</v>
      </c>
      <c r="AB590">
        <f>IF(COUNT($AA$588:$AA$590)&lt;3,"",AVERAGE($AA$588:$AA$590))</f>
        <v>0</v>
      </c>
      <c r="AC590">
        <f>IF($E590="","",MAX($C590-$D590,ABS($C590-$E589),ABS($D590-$E589)))</f>
        <v>0</v>
      </c>
      <c r="AD590">
        <f>IF(COUNT($E$2:$E590)&lt;15,"",AVERAGE($AC$577:$AC$590))</f>
        <v>0</v>
      </c>
      <c r="AE590">
        <f>IF(OR($E590="",$E589=""),"",IF(AND(($C590-$C589)&gt;($D589-$D590),($C590-$C589)&gt;0),$C590-$C589,0))</f>
        <v>0</v>
      </c>
      <c r="AF590">
        <f>IF(OR($E590="",$E589=""),"",IF(AND(($D589-$D590)&gt;($C590-$C589),($D589-$D590)&gt;0),$D589-$D590,0))</f>
        <v>0</v>
      </c>
      <c r="AG590">
        <f>IF(COUNT($E$2:$E590)&lt;15,"",IF(SUM($AC$577:$AC$590)=0,0,100*SUM($AE$577:$AE$590)/SUM($AC$577:$AC$590)))</f>
        <v>0</v>
      </c>
      <c r="AH590">
        <f>IF(COUNT($E$2:$E590)&lt;15,"",IF(SUM($AC$577:$AC$590)=0,0,100*SUM($AF$577:$AF$590)/SUM($AC$577:$AC$590)))</f>
        <v>0</v>
      </c>
      <c r="AI590">
        <f>IF(OR(AG590="",AH590=""),"",IF((AG590+AH590)=0,0,100*ABS(AG590-AH590)/(AG590+AH590)))</f>
        <v>0</v>
      </c>
      <c r="AJ590">
        <f>IF(COUNT($AI$577:$AI$590)&lt;14,"",AVERAGE($AI$577:$AI$590))</f>
        <v>0</v>
      </c>
      <c r="AK590">
        <f>IF(COUNT($E$2:$E590)&lt;20,"",AVERAGE($E$571:$E$590))</f>
        <v>0</v>
      </c>
      <c r="AL590">
        <f>IF(COUNT($E$2:$E590)&lt;20,"",STDEVP($E$571:$E$590))</f>
        <v>0</v>
      </c>
      <c r="AM590">
        <f>IF(AK590="","",AK590+2*AL590)</f>
        <v>0</v>
      </c>
      <c r="AN590">
        <f>IF(AK590="","",AK590-2*AL590)</f>
        <v>0</v>
      </c>
      <c r="AO590">
        <f>IF(OR(AM590="",AN590="",AM590=AN590),"",($E590-AN590)/(AM590-AN590))</f>
        <v>0</v>
      </c>
      <c r="AP590">
        <f>IF(OR(AM590="",AK590="",AK590=0),"",(AM590-AN590)/AK590)</f>
        <v>0</v>
      </c>
      <c r="AQ590">
        <f>IF(COUNT($E$2:$E590)&lt;20,"",MAX($C$571:$C$590))</f>
        <v>0</v>
      </c>
      <c r="AR590">
        <f>IF(COUNT($E$2:$E590)&lt;20,"",MIN($D$571:$D$590))</f>
        <v>0</v>
      </c>
      <c r="AS590">
        <f>IF(OR(AQ590="",AR590=""),"",(AQ590+AR590)/2)</f>
        <v>0</v>
      </c>
      <c r="AT590">
        <f>IF(COUNT($G$571:$G$590)&lt;20,"",STDEV($G$571:$G$590)*SQRT(252))</f>
        <v>0</v>
      </c>
      <c r="AU590">
        <f>IF(COUNT($E$2:$E590)&lt;9,"",(MAX($C$582:$C$590)+MIN($D$582:$D$590))/2)</f>
        <v>0</v>
      </c>
      <c r="AV590">
        <f>IF(COUNT($E$2:$E590)&lt;26,"",(MAX($C$565:$C$590)+MIN($D$565:$D$590))/2)</f>
        <v>0</v>
      </c>
      <c r="AW590">
        <f>IF(OR(AU590="",AV590=""),"",(AU590+AV590)/2)</f>
        <v>0</v>
      </c>
      <c r="AX590">
        <f>IF(COUNT($E$2:$E590)&lt;52,"",(MAX($C$539:$C$590)+MIN($D$539:$D$590))/2)</f>
        <v>0</v>
      </c>
      <c r="AY590">
        <f>IF(COUNT($E$2:$E590)&lt;20,"",MAX($C$491:$C$590))</f>
        <v>0</v>
      </c>
      <c r="AZ590">
        <f>IF(COUNT($E$2:$E590)&lt;20,"",MIN($D$491:$D$590))</f>
        <v>0</v>
      </c>
      <c r="BA590">
        <f>IF(COUNT($E$2:$E590)&lt;20,"",SLOPE($E$491:$E$590,$F$491:$F$590))</f>
        <v>0</v>
      </c>
      <c r="BB590">
        <f>IF(COUNT($E$2:$E590)&lt;20,"",INTERCEPT($E$491:$E$590,$F$491:$F$590))</f>
        <v>0</v>
      </c>
      <c r="BC590">
        <f>IF(OR(BA590="",BB590=""),"",BB590+BA590*F590)</f>
        <v>0</v>
      </c>
      <c r="BD590">
        <f>IF(COUNT($E$2:$E590)&lt;20,"",STEYX($E$491:$E$590,$F$491:$F$590))</f>
        <v>0</v>
      </c>
      <c r="BE590">
        <f>IF($E590="","",IF(AND(COUNT($E$591:$E$594)&gt;=4,$C590=MAX($C$586:$C$594)),$C590,""))</f>
        <v>0</v>
      </c>
      <c r="BF590">
        <f>IF($E590="","",IF(AND(COUNT($E$591:$E$594)&gt;=4,$D590=MIN($D$586:$D$594)),$D590,""))</f>
        <v>0</v>
      </c>
      <c r="BG590">
        <f>IF($A590="","",$A590-WEEKDAY($A590,2)+1)</f>
        <v>0</v>
      </c>
      <c r="BH590">
        <f>IF($A590="","",IF($A589="",1,IF(BG590&lt;&gt;BG589,1,0)))</f>
        <v>0</v>
      </c>
      <c r="BI590">
        <f>IF($A590="","",IF($A591="",1,IF(BG591&lt;&gt;BG590,1,0)))</f>
        <v>0</v>
      </c>
      <c r="BJ590">
        <f>IF($A590="","",IF(BH590=1,$B590,BJ589))</f>
        <v>0</v>
      </c>
      <c r="BK590">
        <f>IF($A590="","",IF(BH590=1,$C590,MAX($C590,BK589)))</f>
        <v>0</v>
      </c>
      <c r="BL590">
        <f>IF($A590="","",IF(BH590=1,$D590,MIN($D590,BL589)))</f>
        <v>0</v>
      </c>
      <c r="BM590">
        <f>IF($A590="","",IF(BI590=1,F590,""))</f>
        <v>0</v>
      </c>
      <c r="BN590">
        <f>IF($A590="","",DATE(YEAR($A590),MONTH($A590),1))</f>
        <v>0</v>
      </c>
      <c r="BO590">
        <f>IF($A590="","",IF($A589="",1,IF(BN590&lt;&gt;BN589,1,0)))</f>
        <v>0</v>
      </c>
      <c r="BP590">
        <f>IF($A590="","",IF($A591="",1,IF(BN591&lt;&gt;BN590,1,0)))</f>
        <v>0</v>
      </c>
      <c r="BQ590">
        <f>IF($A590="","",IF(BO590=1,$B590,BQ589))</f>
        <v>0</v>
      </c>
      <c r="BR590">
        <f>IF($A590="","",IF(BO590=1,$C590,MAX($C590,BR589)))</f>
        <v>0</v>
      </c>
      <c r="BS590">
        <f>IF($A590="","",IF(BO590=1,$D590,MIN($D590,BS589)))</f>
        <v>0</v>
      </c>
      <c r="BT590">
        <f>IF($A590="","",IF(BP590=1,F590,""))</f>
        <v>0</v>
      </c>
    </row>
    <row r="591" spans="1:72">
      <c r="A591" s="27">
        <f>IF(Data!$A591="","",Data!$A591)</f>
        <v>0</v>
      </c>
      <c r="B591">
        <f>IF(Data!$B591="","",Data!$B591)</f>
        <v>0</v>
      </c>
      <c r="C591">
        <f>IF(Data!$C591="","",Data!$C591)</f>
        <v>0</v>
      </c>
      <c r="D591">
        <f>IF(Data!$D591="","",Data!$D591)</f>
        <v>0</v>
      </c>
      <c r="E591">
        <f>IF(Data!$E591="","",Data!$E591)</f>
        <v>0</v>
      </c>
      <c r="F591">
        <f>IF($E591="","",N(F590)+1)</f>
        <v>0</v>
      </c>
      <c r="G591">
        <f>IF(OR($E591="",$E590=""),"",LN($E591/$E590))</f>
        <v>0</v>
      </c>
      <c r="H591">
        <f>IF($E591="","",IF($E590="",$E591,$E591*0.0952380952+H590*0.9047619048))</f>
        <v>0</v>
      </c>
      <c r="I591">
        <f>IF($E591="","",IF($E590="",$E591,$E591*0.0392156863+I590*0.9607843137))</f>
        <v>0</v>
      </c>
      <c r="J591">
        <f>IF($E591="","",IF($E590="",$E591,$E591*0.0198019802+J590*0.9801980198))</f>
        <v>0</v>
      </c>
      <c r="K591">
        <f>IF($E591="","",IF($E590="",$E591,$E591*0.0099502488+K590*0.9900497512))</f>
        <v>0</v>
      </c>
      <c r="L591">
        <f>IF(OR($E591="",$E590=""),"",MAX($E591-$E590,0))</f>
        <v>0</v>
      </c>
      <c r="M591">
        <f>IF(OR($E591="",$E590=""),"",MAX($E590-$E591,0))</f>
        <v>0</v>
      </c>
      <c r="N591">
        <f>IF(COUNT($E$2:$E591)&lt;15,"",IF(AVERAGE($M$578:$M$591)=0,100,100-100/(1+AVERAGE($L$578:$L$591)/AVERAGE($M$578:$M$591))))</f>
        <v>0</v>
      </c>
      <c r="O591">
        <f>IF($E591="","",IF($E590="",$E591,$E591*0.1538461538+O590*0.8461538462))</f>
        <v>0</v>
      </c>
      <c r="P591">
        <f>IF($E591="","",IF($E590="",$E591,$E591*0.0740740741+P590*0.9259259259))</f>
        <v>0</v>
      </c>
      <c r="Q591">
        <f>IF(OR(O591="",P591=""),"",O591-P591)</f>
        <v>0</v>
      </c>
      <c r="R591">
        <f>IF(Q591="","",IF(R590="",Q591,Q591*0.2000000000+R590*0.8000000000))</f>
        <v>0</v>
      </c>
      <c r="S591">
        <f>IF(OR(Q591="",R591=""),"",Q591-R591)</f>
        <v>0</v>
      </c>
      <c r="T591">
        <f>IF(COUNT($E$2:$E591)&lt;14,"",MAX($C$578:$C$591))</f>
        <v>0</v>
      </c>
      <c r="U591">
        <f>IF(COUNT($E$2:$E591)&lt;14,"",MIN($D$578:$D$591))</f>
        <v>0</v>
      </c>
      <c r="V591">
        <f>IF(OR(T591="",U591="",T591=U591),"",100*($E591-U591)/(T591-U591))</f>
        <v>0</v>
      </c>
      <c r="W591">
        <f>IF(COUNT($V$589:$V$591)&lt;3,"",AVERAGE($V$589:$V$591))</f>
        <v>0</v>
      </c>
      <c r="X591">
        <f>IF(COUNT($N$578:$N$591)&lt;14,"",MIN($N$578:$N$591))</f>
        <v>0</v>
      </c>
      <c r="Y591">
        <f>IF(COUNT($N$578:$N$591)&lt;14,"",MAX($N$578:$N$591))</f>
        <v>0</v>
      </c>
      <c r="Z591">
        <f>IF(OR(N591="",X591="",Y591="",Y591=X591),"",100*(N591-X591)/(Y591-X591))</f>
        <v>0</v>
      </c>
      <c r="AA591">
        <f>IF(COUNT($Z$589:$Z$591)&lt;3,"",AVERAGE($Z$589:$Z$591))</f>
        <v>0</v>
      </c>
      <c r="AB591">
        <f>IF(COUNT($AA$589:$AA$591)&lt;3,"",AVERAGE($AA$589:$AA$591))</f>
        <v>0</v>
      </c>
      <c r="AC591">
        <f>IF($E591="","",MAX($C591-$D591,ABS($C591-$E590),ABS($D591-$E590)))</f>
        <v>0</v>
      </c>
      <c r="AD591">
        <f>IF(COUNT($E$2:$E591)&lt;15,"",AVERAGE($AC$578:$AC$591))</f>
        <v>0</v>
      </c>
      <c r="AE591">
        <f>IF(OR($E591="",$E590=""),"",IF(AND(($C591-$C590)&gt;($D590-$D591),($C591-$C590)&gt;0),$C591-$C590,0))</f>
        <v>0</v>
      </c>
      <c r="AF591">
        <f>IF(OR($E591="",$E590=""),"",IF(AND(($D590-$D591)&gt;($C591-$C590),($D590-$D591)&gt;0),$D590-$D591,0))</f>
        <v>0</v>
      </c>
      <c r="AG591">
        <f>IF(COUNT($E$2:$E591)&lt;15,"",IF(SUM($AC$578:$AC$591)=0,0,100*SUM($AE$578:$AE$591)/SUM($AC$578:$AC$591)))</f>
        <v>0</v>
      </c>
      <c r="AH591">
        <f>IF(COUNT($E$2:$E591)&lt;15,"",IF(SUM($AC$578:$AC$591)=0,0,100*SUM($AF$578:$AF$591)/SUM($AC$578:$AC$591)))</f>
        <v>0</v>
      </c>
      <c r="AI591">
        <f>IF(OR(AG591="",AH591=""),"",IF((AG591+AH591)=0,0,100*ABS(AG591-AH591)/(AG591+AH591)))</f>
        <v>0</v>
      </c>
      <c r="AJ591">
        <f>IF(COUNT($AI$578:$AI$591)&lt;14,"",AVERAGE($AI$578:$AI$591))</f>
        <v>0</v>
      </c>
      <c r="AK591">
        <f>IF(COUNT($E$2:$E591)&lt;20,"",AVERAGE($E$572:$E$591))</f>
        <v>0</v>
      </c>
      <c r="AL591">
        <f>IF(COUNT($E$2:$E591)&lt;20,"",STDEVP($E$572:$E$591))</f>
        <v>0</v>
      </c>
      <c r="AM591">
        <f>IF(AK591="","",AK591+2*AL591)</f>
        <v>0</v>
      </c>
      <c r="AN591">
        <f>IF(AK591="","",AK591-2*AL591)</f>
        <v>0</v>
      </c>
      <c r="AO591">
        <f>IF(OR(AM591="",AN591="",AM591=AN591),"",($E591-AN591)/(AM591-AN591))</f>
        <v>0</v>
      </c>
      <c r="AP591">
        <f>IF(OR(AM591="",AK591="",AK591=0),"",(AM591-AN591)/AK591)</f>
        <v>0</v>
      </c>
      <c r="AQ591">
        <f>IF(COUNT($E$2:$E591)&lt;20,"",MAX($C$572:$C$591))</f>
        <v>0</v>
      </c>
      <c r="AR591">
        <f>IF(COUNT($E$2:$E591)&lt;20,"",MIN($D$572:$D$591))</f>
        <v>0</v>
      </c>
      <c r="AS591">
        <f>IF(OR(AQ591="",AR591=""),"",(AQ591+AR591)/2)</f>
        <v>0</v>
      </c>
      <c r="AT591">
        <f>IF(COUNT($G$572:$G$591)&lt;20,"",STDEV($G$572:$G$591)*SQRT(252))</f>
        <v>0</v>
      </c>
      <c r="AU591">
        <f>IF(COUNT($E$2:$E591)&lt;9,"",(MAX($C$583:$C$591)+MIN($D$583:$D$591))/2)</f>
        <v>0</v>
      </c>
      <c r="AV591">
        <f>IF(COUNT($E$2:$E591)&lt;26,"",(MAX($C$566:$C$591)+MIN($D$566:$D$591))/2)</f>
        <v>0</v>
      </c>
      <c r="AW591">
        <f>IF(OR(AU591="",AV591=""),"",(AU591+AV591)/2)</f>
        <v>0</v>
      </c>
      <c r="AX591">
        <f>IF(COUNT($E$2:$E591)&lt;52,"",(MAX($C$540:$C$591)+MIN($D$540:$D$591))/2)</f>
        <v>0</v>
      </c>
      <c r="AY591">
        <f>IF(COUNT($E$2:$E591)&lt;20,"",MAX($C$492:$C$591))</f>
        <v>0</v>
      </c>
      <c r="AZ591">
        <f>IF(COUNT($E$2:$E591)&lt;20,"",MIN($D$492:$D$591))</f>
        <v>0</v>
      </c>
      <c r="BA591">
        <f>IF(COUNT($E$2:$E591)&lt;20,"",SLOPE($E$492:$E$591,$F$492:$F$591))</f>
        <v>0</v>
      </c>
      <c r="BB591">
        <f>IF(COUNT($E$2:$E591)&lt;20,"",INTERCEPT($E$492:$E$591,$F$492:$F$591))</f>
        <v>0</v>
      </c>
      <c r="BC591">
        <f>IF(OR(BA591="",BB591=""),"",BB591+BA591*F591)</f>
        <v>0</v>
      </c>
      <c r="BD591">
        <f>IF(COUNT($E$2:$E591)&lt;20,"",STEYX($E$492:$E$591,$F$492:$F$591))</f>
        <v>0</v>
      </c>
      <c r="BE591">
        <f>IF($E591="","",IF(AND(COUNT($E$592:$E$595)&gt;=4,$C591=MAX($C$587:$C$595)),$C591,""))</f>
        <v>0</v>
      </c>
      <c r="BF591">
        <f>IF($E591="","",IF(AND(COUNT($E$592:$E$595)&gt;=4,$D591=MIN($D$587:$D$595)),$D591,""))</f>
        <v>0</v>
      </c>
      <c r="BG591">
        <f>IF($A591="","",$A591-WEEKDAY($A591,2)+1)</f>
        <v>0</v>
      </c>
      <c r="BH591">
        <f>IF($A591="","",IF($A590="",1,IF(BG591&lt;&gt;BG590,1,0)))</f>
        <v>0</v>
      </c>
      <c r="BI591">
        <f>IF($A591="","",IF($A592="",1,IF(BG592&lt;&gt;BG591,1,0)))</f>
        <v>0</v>
      </c>
      <c r="BJ591">
        <f>IF($A591="","",IF(BH591=1,$B591,BJ590))</f>
        <v>0</v>
      </c>
      <c r="BK591">
        <f>IF($A591="","",IF(BH591=1,$C591,MAX($C591,BK590)))</f>
        <v>0</v>
      </c>
      <c r="BL591">
        <f>IF($A591="","",IF(BH591=1,$D591,MIN($D591,BL590)))</f>
        <v>0</v>
      </c>
      <c r="BM591">
        <f>IF($A591="","",IF(BI591=1,F591,""))</f>
        <v>0</v>
      </c>
      <c r="BN591">
        <f>IF($A591="","",DATE(YEAR($A591),MONTH($A591),1))</f>
        <v>0</v>
      </c>
      <c r="BO591">
        <f>IF($A591="","",IF($A590="",1,IF(BN591&lt;&gt;BN590,1,0)))</f>
        <v>0</v>
      </c>
      <c r="BP591">
        <f>IF($A591="","",IF($A592="",1,IF(BN592&lt;&gt;BN591,1,0)))</f>
        <v>0</v>
      </c>
      <c r="BQ591">
        <f>IF($A591="","",IF(BO591=1,$B591,BQ590))</f>
        <v>0</v>
      </c>
      <c r="BR591">
        <f>IF($A591="","",IF(BO591=1,$C591,MAX($C591,BR590)))</f>
        <v>0</v>
      </c>
      <c r="BS591">
        <f>IF($A591="","",IF(BO591=1,$D591,MIN($D591,BS590)))</f>
        <v>0</v>
      </c>
      <c r="BT591">
        <f>IF($A591="","",IF(BP591=1,F591,""))</f>
        <v>0</v>
      </c>
    </row>
    <row r="592" spans="1:72">
      <c r="A592" s="27">
        <f>IF(Data!$A592="","",Data!$A592)</f>
        <v>0</v>
      </c>
      <c r="B592">
        <f>IF(Data!$B592="","",Data!$B592)</f>
        <v>0</v>
      </c>
      <c r="C592">
        <f>IF(Data!$C592="","",Data!$C592)</f>
        <v>0</v>
      </c>
      <c r="D592">
        <f>IF(Data!$D592="","",Data!$D592)</f>
        <v>0</v>
      </c>
      <c r="E592">
        <f>IF(Data!$E592="","",Data!$E592)</f>
        <v>0</v>
      </c>
      <c r="F592">
        <f>IF($E592="","",N(F591)+1)</f>
        <v>0</v>
      </c>
      <c r="G592">
        <f>IF(OR($E592="",$E591=""),"",LN($E592/$E591))</f>
        <v>0</v>
      </c>
      <c r="H592">
        <f>IF($E592="","",IF($E591="",$E592,$E592*0.0952380952+H591*0.9047619048))</f>
        <v>0</v>
      </c>
      <c r="I592">
        <f>IF($E592="","",IF($E591="",$E592,$E592*0.0392156863+I591*0.9607843137))</f>
        <v>0</v>
      </c>
      <c r="J592">
        <f>IF($E592="","",IF($E591="",$E592,$E592*0.0198019802+J591*0.9801980198))</f>
        <v>0</v>
      </c>
      <c r="K592">
        <f>IF($E592="","",IF($E591="",$E592,$E592*0.0099502488+K591*0.9900497512))</f>
        <v>0</v>
      </c>
      <c r="L592">
        <f>IF(OR($E592="",$E591=""),"",MAX($E592-$E591,0))</f>
        <v>0</v>
      </c>
      <c r="M592">
        <f>IF(OR($E592="",$E591=""),"",MAX($E591-$E592,0))</f>
        <v>0</v>
      </c>
      <c r="N592">
        <f>IF(COUNT($E$2:$E592)&lt;15,"",IF(AVERAGE($M$579:$M$592)=0,100,100-100/(1+AVERAGE($L$579:$L$592)/AVERAGE($M$579:$M$592))))</f>
        <v>0</v>
      </c>
      <c r="O592">
        <f>IF($E592="","",IF($E591="",$E592,$E592*0.1538461538+O591*0.8461538462))</f>
        <v>0</v>
      </c>
      <c r="P592">
        <f>IF($E592="","",IF($E591="",$E592,$E592*0.0740740741+P591*0.9259259259))</f>
        <v>0</v>
      </c>
      <c r="Q592">
        <f>IF(OR(O592="",P592=""),"",O592-P592)</f>
        <v>0</v>
      </c>
      <c r="R592">
        <f>IF(Q592="","",IF(R591="",Q592,Q592*0.2000000000+R591*0.8000000000))</f>
        <v>0</v>
      </c>
      <c r="S592">
        <f>IF(OR(Q592="",R592=""),"",Q592-R592)</f>
        <v>0</v>
      </c>
      <c r="T592">
        <f>IF(COUNT($E$2:$E592)&lt;14,"",MAX($C$579:$C$592))</f>
        <v>0</v>
      </c>
      <c r="U592">
        <f>IF(COUNT($E$2:$E592)&lt;14,"",MIN($D$579:$D$592))</f>
        <v>0</v>
      </c>
      <c r="V592">
        <f>IF(OR(T592="",U592="",T592=U592),"",100*($E592-U592)/(T592-U592))</f>
        <v>0</v>
      </c>
      <c r="W592">
        <f>IF(COUNT($V$590:$V$592)&lt;3,"",AVERAGE($V$590:$V$592))</f>
        <v>0</v>
      </c>
      <c r="X592">
        <f>IF(COUNT($N$579:$N$592)&lt;14,"",MIN($N$579:$N$592))</f>
        <v>0</v>
      </c>
      <c r="Y592">
        <f>IF(COUNT($N$579:$N$592)&lt;14,"",MAX($N$579:$N$592))</f>
        <v>0</v>
      </c>
      <c r="Z592">
        <f>IF(OR(N592="",X592="",Y592="",Y592=X592),"",100*(N592-X592)/(Y592-X592))</f>
        <v>0</v>
      </c>
      <c r="AA592">
        <f>IF(COUNT($Z$590:$Z$592)&lt;3,"",AVERAGE($Z$590:$Z$592))</f>
        <v>0</v>
      </c>
      <c r="AB592">
        <f>IF(COUNT($AA$590:$AA$592)&lt;3,"",AVERAGE($AA$590:$AA$592))</f>
        <v>0</v>
      </c>
      <c r="AC592">
        <f>IF($E592="","",MAX($C592-$D592,ABS($C592-$E591),ABS($D592-$E591)))</f>
        <v>0</v>
      </c>
      <c r="AD592">
        <f>IF(COUNT($E$2:$E592)&lt;15,"",AVERAGE($AC$579:$AC$592))</f>
        <v>0</v>
      </c>
      <c r="AE592">
        <f>IF(OR($E592="",$E591=""),"",IF(AND(($C592-$C591)&gt;($D591-$D592),($C592-$C591)&gt;0),$C592-$C591,0))</f>
        <v>0</v>
      </c>
      <c r="AF592">
        <f>IF(OR($E592="",$E591=""),"",IF(AND(($D591-$D592)&gt;($C592-$C591),($D591-$D592)&gt;0),$D591-$D592,0))</f>
        <v>0</v>
      </c>
      <c r="AG592">
        <f>IF(COUNT($E$2:$E592)&lt;15,"",IF(SUM($AC$579:$AC$592)=0,0,100*SUM($AE$579:$AE$592)/SUM($AC$579:$AC$592)))</f>
        <v>0</v>
      </c>
      <c r="AH592">
        <f>IF(COUNT($E$2:$E592)&lt;15,"",IF(SUM($AC$579:$AC$592)=0,0,100*SUM($AF$579:$AF$592)/SUM($AC$579:$AC$592)))</f>
        <v>0</v>
      </c>
      <c r="AI592">
        <f>IF(OR(AG592="",AH592=""),"",IF((AG592+AH592)=0,0,100*ABS(AG592-AH592)/(AG592+AH592)))</f>
        <v>0</v>
      </c>
      <c r="AJ592">
        <f>IF(COUNT($AI$579:$AI$592)&lt;14,"",AVERAGE($AI$579:$AI$592))</f>
        <v>0</v>
      </c>
      <c r="AK592">
        <f>IF(COUNT($E$2:$E592)&lt;20,"",AVERAGE($E$573:$E$592))</f>
        <v>0</v>
      </c>
      <c r="AL592">
        <f>IF(COUNT($E$2:$E592)&lt;20,"",STDEVP($E$573:$E$592))</f>
        <v>0</v>
      </c>
      <c r="AM592">
        <f>IF(AK592="","",AK592+2*AL592)</f>
        <v>0</v>
      </c>
      <c r="AN592">
        <f>IF(AK592="","",AK592-2*AL592)</f>
        <v>0</v>
      </c>
      <c r="AO592">
        <f>IF(OR(AM592="",AN592="",AM592=AN592),"",($E592-AN592)/(AM592-AN592))</f>
        <v>0</v>
      </c>
      <c r="AP592">
        <f>IF(OR(AM592="",AK592="",AK592=0),"",(AM592-AN592)/AK592)</f>
        <v>0</v>
      </c>
      <c r="AQ592">
        <f>IF(COUNT($E$2:$E592)&lt;20,"",MAX($C$573:$C$592))</f>
        <v>0</v>
      </c>
      <c r="AR592">
        <f>IF(COUNT($E$2:$E592)&lt;20,"",MIN($D$573:$D$592))</f>
        <v>0</v>
      </c>
      <c r="AS592">
        <f>IF(OR(AQ592="",AR592=""),"",(AQ592+AR592)/2)</f>
        <v>0</v>
      </c>
      <c r="AT592">
        <f>IF(COUNT($G$573:$G$592)&lt;20,"",STDEV($G$573:$G$592)*SQRT(252))</f>
        <v>0</v>
      </c>
      <c r="AU592">
        <f>IF(COUNT($E$2:$E592)&lt;9,"",(MAX($C$584:$C$592)+MIN($D$584:$D$592))/2)</f>
        <v>0</v>
      </c>
      <c r="AV592">
        <f>IF(COUNT($E$2:$E592)&lt;26,"",(MAX($C$567:$C$592)+MIN($D$567:$D$592))/2)</f>
        <v>0</v>
      </c>
      <c r="AW592">
        <f>IF(OR(AU592="",AV592=""),"",(AU592+AV592)/2)</f>
        <v>0</v>
      </c>
      <c r="AX592">
        <f>IF(COUNT($E$2:$E592)&lt;52,"",(MAX($C$541:$C$592)+MIN($D$541:$D$592))/2)</f>
        <v>0</v>
      </c>
      <c r="AY592">
        <f>IF(COUNT($E$2:$E592)&lt;20,"",MAX($C$493:$C$592))</f>
        <v>0</v>
      </c>
      <c r="AZ592">
        <f>IF(COUNT($E$2:$E592)&lt;20,"",MIN($D$493:$D$592))</f>
        <v>0</v>
      </c>
      <c r="BA592">
        <f>IF(COUNT($E$2:$E592)&lt;20,"",SLOPE($E$493:$E$592,$F$493:$F$592))</f>
        <v>0</v>
      </c>
      <c r="BB592">
        <f>IF(COUNT($E$2:$E592)&lt;20,"",INTERCEPT($E$493:$E$592,$F$493:$F$592))</f>
        <v>0</v>
      </c>
      <c r="BC592">
        <f>IF(OR(BA592="",BB592=""),"",BB592+BA592*F592)</f>
        <v>0</v>
      </c>
      <c r="BD592">
        <f>IF(COUNT($E$2:$E592)&lt;20,"",STEYX($E$493:$E$592,$F$493:$F$592))</f>
        <v>0</v>
      </c>
      <c r="BE592">
        <f>IF($E592="","",IF(AND(COUNT($E$593:$E$596)&gt;=4,$C592=MAX($C$588:$C$596)),$C592,""))</f>
        <v>0</v>
      </c>
      <c r="BF592">
        <f>IF($E592="","",IF(AND(COUNT($E$593:$E$596)&gt;=4,$D592=MIN($D$588:$D$596)),$D592,""))</f>
        <v>0</v>
      </c>
      <c r="BG592">
        <f>IF($A592="","",$A592-WEEKDAY($A592,2)+1)</f>
        <v>0</v>
      </c>
      <c r="BH592">
        <f>IF($A592="","",IF($A591="",1,IF(BG592&lt;&gt;BG591,1,0)))</f>
        <v>0</v>
      </c>
      <c r="BI592">
        <f>IF($A592="","",IF($A593="",1,IF(BG593&lt;&gt;BG592,1,0)))</f>
        <v>0</v>
      </c>
      <c r="BJ592">
        <f>IF($A592="","",IF(BH592=1,$B592,BJ591))</f>
        <v>0</v>
      </c>
      <c r="BK592">
        <f>IF($A592="","",IF(BH592=1,$C592,MAX($C592,BK591)))</f>
        <v>0</v>
      </c>
      <c r="BL592">
        <f>IF($A592="","",IF(BH592=1,$D592,MIN($D592,BL591)))</f>
        <v>0</v>
      </c>
      <c r="BM592">
        <f>IF($A592="","",IF(BI592=1,F592,""))</f>
        <v>0</v>
      </c>
      <c r="BN592">
        <f>IF($A592="","",DATE(YEAR($A592),MONTH($A592),1))</f>
        <v>0</v>
      </c>
      <c r="BO592">
        <f>IF($A592="","",IF($A591="",1,IF(BN592&lt;&gt;BN591,1,0)))</f>
        <v>0</v>
      </c>
      <c r="BP592">
        <f>IF($A592="","",IF($A593="",1,IF(BN593&lt;&gt;BN592,1,0)))</f>
        <v>0</v>
      </c>
      <c r="BQ592">
        <f>IF($A592="","",IF(BO592=1,$B592,BQ591))</f>
        <v>0</v>
      </c>
      <c r="BR592">
        <f>IF($A592="","",IF(BO592=1,$C592,MAX($C592,BR591)))</f>
        <v>0</v>
      </c>
      <c r="BS592">
        <f>IF($A592="","",IF(BO592=1,$D592,MIN($D592,BS591)))</f>
        <v>0</v>
      </c>
      <c r="BT592">
        <f>IF($A592="","",IF(BP592=1,F592,""))</f>
        <v>0</v>
      </c>
    </row>
    <row r="593" spans="1:72">
      <c r="A593" s="27">
        <f>IF(Data!$A593="","",Data!$A593)</f>
        <v>0</v>
      </c>
      <c r="B593">
        <f>IF(Data!$B593="","",Data!$B593)</f>
        <v>0</v>
      </c>
      <c r="C593">
        <f>IF(Data!$C593="","",Data!$C593)</f>
        <v>0</v>
      </c>
      <c r="D593">
        <f>IF(Data!$D593="","",Data!$D593)</f>
        <v>0</v>
      </c>
      <c r="E593">
        <f>IF(Data!$E593="","",Data!$E593)</f>
        <v>0</v>
      </c>
      <c r="F593">
        <f>IF($E593="","",N(F592)+1)</f>
        <v>0</v>
      </c>
      <c r="G593">
        <f>IF(OR($E593="",$E592=""),"",LN($E593/$E592))</f>
        <v>0</v>
      </c>
      <c r="H593">
        <f>IF($E593="","",IF($E592="",$E593,$E593*0.0952380952+H592*0.9047619048))</f>
        <v>0</v>
      </c>
      <c r="I593">
        <f>IF($E593="","",IF($E592="",$E593,$E593*0.0392156863+I592*0.9607843137))</f>
        <v>0</v>
      </c>
      <c r="J593">
        <f>IF($E593="","",IF($E592="",$E593,$E593*0.0198019802+J592*0.9801980198))</f>
        <v>0</v>
      </c>
      <c r="K593">
        <f>IF($E593="","",IF($E592="",$E593,$E593*0.0099502488+K592*0.9900497512))</f>
        <v>0</v>
      </c>
      <c r="L593">
        <f>IF(OR($E593="",$E592=""),"",MAX($E593-$E592,0))</f>
        <v>0</v>
      </c>
      <c r="M593">
        <f>IF(OR($E593="",$E592=""),"",MAX($E592-$E593,0))</f>
        <v>0</v>
      </c>
      <c r="N593">
        <f>IF(COUNT($E$2:$E593)&lt;15,"",IF(AVERAGE($M$580:$M$593)=0,100,100-100/(1+AVERAGE($L$580:$L$593)/AVERAGE($M$580:$M$593))))</f>
        <v>0</v>
      </c>
      <c r="O593">
        <f>IF($E593="","",IF($E592="",$E593,$E593*0.1538461538+O592*0.8461538462))</f>
        <v>0</v>
      </c>
      <c r="P593">
        <f>IF($E593="","",IF($E592="",$E593,$E593*0.0740740741+P592*0.9259259259))</f>
        <v>0</v>
      </c>
      <c r="Q593">
        <f>IF(OR(O593="",P593=""),"",O593-P593)</f>
        <v>0</v>
      </c>
      <c r="R593">
        <f>IF(Q593="","",IF(R592="",Q593,Q593*0.2000000000+R592*0.8000000000))</f>
        <v>0</v>
      </c>
      <c r="S593">
        <f>IF(OR(Q593="",R593=""),"",Q593-R593)</f>
        <v>0</v>
      </c>
      <c r="T593">
        <f>IF(COUNT($E$2:$E593)&lt;14,"",MAX($C$580:$C$593))</f>
        <v>0</v>
      </c>
      <c r="U593">
        <f>IF(COUNT($E$2:$E593)&lt;14,"",MIN($D$580:$D$593))</f>
        <v>0</v>
      </c>
      <c r="V593">
        <f>IF(OR(T593="",U593="",T593=U593),"",100*($E593-U593)/(T593-U593))</f>
        <v>0</v>
      </c>
      <c r="W593">
        <f>IF(COUNT($V$591:$V$593)&lt;3,"",AVERAGE($V$591:$V$593))</f>
        <v>0</v>
      </c>
      <c r="X593">
        <f>IF(COUNT($N$580:$N$593)&lt;14,"",MIN($N$580:$N$593))</f>
        <v>0</v>
      </c>
      <c r="Y593">
        <f>IF(COUNT($N$580:$N$593)&lt;14,"",MAX($N$580:$N$593))</f>
        <v>0</v>
      </c>
      <c r="Z593">
        <f>IF(OR(N593="",X593="",Y593="",Y593=X593),"",100*(N593-X593)/(Y593-X593))</f>
        <v>0</v>
      </c>
      <c r="AA593">
        <f>IF(COUNT($Z$591:$Z$593)&lt;3,"",AVERAGE($Z$591:$Z$593))</f>
        <v>0</v>
      </c>
      <c r="AB593">
        <f>IF(COUNT($AA$591:$AA$593)&lt;3,"",AVERAGE($AA$591:$AA$593))</f>
        <v>0</v>
      </c>
      <c r="AC593">
        <f>IF($E593="","",MAX($C593-$D593,ABS($C593-$E592),ABS($D593-$E592)))</f>
        <v>0</v>
      </c>
      <c r="AD593">
        <f>IF(COUNT($E$2:$E593)&lt;15,"",AVERAGE($AC$580:$AC$593))</f>
        <v>0</v>
      </c>
      <c r="AE593">
        <f>IF(OR($E593="",$E592=""),"",IF(AND(($C593-$C592)&gt;($D592-$D593),($C593-$C592)&gt;0),$C593-$C592,0))</f>
        <v>0</v>
      </c>
      <c r="AF593">
        <f>IF(OR($E593="",$E592=""),"",IF(AND(($D592-$D593)&gt;($C593-$C592),($D592-$D593)&gt;0),$D592-$D593,0))</f>
        <v>0</v>
      </c>
      <c r="AG593">
        <f>IF(COUNT($E$2:$E593)&lt;15,"",IF(SUM($AC$580:$AC$593)=0,0,100*SUM($AE$580:$AE$593)/SUM($AC$580:$AC$593)))</f>
        <v>0</v>
      </c>
      <c r="AH593">
        <f>IF(COUNT($E$2:$E593)&lt;15,"",IF(SUM($AC$580:$AC$593)=0,0,100*SUM($AF$580:$AF$593)/SUM($AC$580:$AC$593)))</f>
        <v>0</v>
      </c>
      <c r="AI593">
        <f>IF(OR(AG593="",AH593=""),"",IF((AG593+AH593)=0,0,100*ABS(AG593-AH593)/(AG593+AH593)))</f>
        <v>0</v>
      </c>
      <c r="AJ593">
        <f>IF(COUNT($AI$580:$AI$593)&lt;14,"",AVERAGE($AI$580:$AI$593))</f>
        <v>0</v>
      </c>
      <c r="AK593">
        <f>IF(COUNT($E$2:$E593)&lt;20,"",AVERAGE($E$574:$E$593))</f>
        <v>0</v>
      </c>
      <c r="AL593">
        <f>IF(COUNT($E$2:$E593)&lt;20,"",STDEVP($E$574:$E$593))</f>
        <v>0</v>
      </c>
      <c r="AM593">
        <f>IF(AK593="","",AK593+2*AL593)</f>
        <v>0</v>
      </c>
      <c r="AN593">
        <f>IF(AK593="","",AK593-2*AL593)</f>
        <v>0</v>
      </c>
      <c r="AO593">
        <f>IF(OR(AM593="",AN593="",AM593=AN593),"",($E593-AN593)/(AM593-AN593))</f>
        <v>0</v>
      </c>
      <c r="AP593">
        <f>IF(OR(AM593="",AK593="",AK593=0),"",(AM593-AN593)/AK593)</f>
        <v>0</v>
      </c>
      <c r="AQ593">
        <f>IF(COUNT($E$2:$E593)&lt;20,"",MAX($C$574:$C$593))</f>
        <v>0</v>
      </c>
      <c r="AR593">
        <f>IF(COUNT($E$2:$E593)&lt;20,"",MIN($D$574:$D$593))</f>
        <v>0</v>
      </c>
      <c r="AS593">
        <f>IF(OR(AQ593="",AR593=""),"",(AQ593+AR593)/2)</f>
        <v>0</v>
      </c>
      <c r="AT593">
        <f>IF(COUNT($G$574:$G$593)&lt;20,"",STDEV($G$574:$G$593)*SQRT(252))</f>
        <v>0</v>
      </c>
      <c r="AU593">
        <f>IF(COUNT($E$2:$E593)&lt;9,"",(MAX($C$585:$C$593)+MIN($D$585:$D$593))/2)</f>
        <v>0</v>
      </c>
      <c r="AV593">
        <f>IF(COUNT($E$2:$E593)&lt;26,"",(MAX($C$568:$C$593)+MIN($D$568:$D$593))/2)</f>
        <v>0</v>
      </c>
      <c r="AW593">
        <f>IF(OR(AU593="",AV593=""),"",(AU593+AV593)/2)</f>
        <v>0</v>
      </c>
      <c r="AX593">
        <f>IF(COUNT($E$2:$E593)&lt;52,"",(MAX($C$542:$C$593)+MIN($D$542:$D$593))/2)</f>
        <v>0</v>
      </c>
      <c r="AY593">
        <f>IF(COUNT($E$2:$E593)&lt;20,"",MAX($C$494:$C$593))</f>
        <v>0</v>
      </c>
      <c r="AZ593">
        <f>IF(COUNT($E$2:$E593)&lt;20,"",MIN($D$494:$D$593))</f>
        <v>0</v>
      </c>
      <c r="BA593">
        <f>IF(COUNT($E$2:$E593)&lt;20,"",SLOPE($E$494:$E$593,$F$494:$F$593))</f>
        <v>0</v>
      </c>
      <c r="BB593">
        <f>IF(COUNT($E$2:$E593)&lt;20,"",INTERCEPT($E$494:$E$593,$F$494:$F$593))</f>
        <v>0</v>
      </c>
      <c r="BC593">
        <f>IF(OR(BA593="",BB593=""),"",BB593+BA593*F593)</f>
        <v>0</v>
      </c>
      <c r="BD593">
        <f>IF(COUNT($E$2:$E593)&lt;20,"",STEYX($E$494:$E$593,$F$494:$F$593))</f>
        <v>0</v>
      </c>
      <c r="BE593">
        <f>IF($E593="","",IF(AND(COUNT($E$594:$E$597)&gt;=4,$C593=MAX($C$589:$C$597)),$C593,""))</f>
        <v>0</v>
      </c>
      <c r="BF593">
        <f>IF($E593="","",IF(AND(COUNT($E$594:$E$597)&gt;=4,$D593=MIN($D$589:$D$597)),$D593,""))</f>
        <v>0</v>
      </c>
      <c r="BG593">
        <f>IF($A593="","",$A593-WEEKDAY($A593,2)+1)</f>
        <v>0</v>
      </c>
      <c r="BH593">
        <f>IF($A593="","",IF($A592="",1,IF(BG593&lt;&gt;BG592,1,0)))</f>
        <v>0</v>
      </c>
      <c r="BI593">
        <f>IF($A593="","",IF($A594="",1,IF(BG594&lt;&gt;BG593,1,0)))</f>
        <v>0</v>
      </c>
      <c r="BJ593">
        <f>IF($A593="","",IF(BH593=1,$B593,BJ592))</f>
        <v>0</v>
      </c>
      <c r="BK593">
        <f>IF($A593="","",IF(BH593=1,$C593,MAX($C593,BK592)))</f>
        <v>0</v>
      </c>
      <c r="BL593">
        <f>IF($A593="","",IF(BH593=1,$D593,MIN($D593,BL592)))</f>
        <v>0</v>
      </c>
      <c r="BM593">
        <f>IF($A593="","",IF(BI593=1,F593,""))</f>
        <v>0</v>
      </c>
      <c r="BN593">
        <f>IF($A593="","",DATE(YEAR($A593),MONTH($A593),1))</f>
        <v>0</v>
      </c>
      <c r="BO593">
        <f>IF($A593="","",IF($A592="",1,IF(BN593&lt;&gt;BN592,1,0)))</f>
        <v>0</v>
      </c>
      <c r="BP593">
        <f>IF($A593="","",IF($A594="",1,IF(BN594&lt;&gt;BN593,1,0)))</f>
        <v>0</v>
      </c>
      <c r="BQ593">
        <f>IF($A593="","",IF(BO593=1,$B593,BQ592))</f>
        <v>0</v>
      </c>
      <c r="BR593">
        <f>IF($A593="","",IF(BO593=1,$C593,MAX($C593,BR592)))</f>
        <v>0</v>
      </c>
      <c r="BS593">
        <f>IF($A593="","",IF(BO593=1,$D593,MIN($D593,BS592)))</f>
        <v>0</v>
      </c>
      <c r="BT593">
        <f>IF($A593="","",IF(BP593=1,F593,""))</f>
        <v>0</v>
      </c>
    </row>
    <row r="594" spans="1:72">
      <c r="A594" s="27">
        <f>IF(Data!$A594="","",Data!$A594)</f>
        <v>0</v>
      </c>
      <c r="B594">
        <f>IF(Data!$B594="","",Data!$B594)</f>
        <v>0</v>
      </c>
      <c r="C594">
        <f>IF(Data!$C594="","",Data!$C594)</f>
        <v>0</v>
      </c>
      <c r="D594">
        <f>IF(Data!$D594="","",Data!$D594)</f>
        <v>0</v>
      </c>
      <c r="E594">
        <f>IF(Data!$E594="","",Data!$E594)</f>
        <v>0</v>
      </c>
      <c r="F594">
        <f>IF($E594="","",N(F593)+1)</f>
        <v>0</v>
      </c>
      <c r="G594">
        <f>IF(OR($E594="",$E593=""),"",LN($E594/$E593))</f>
        <v>0</v>
      </c>
      <c r="H594">
        <f>IF($E594="","",IF($E593="",$E594,$E594*0.0952380952+H593*0.9047619048))</f>
        <v>0</v>
      </c>
      <c r="I594">
        <f>IF($E594="","",IF($E593="",$E594,$E594*0.0392156863+I593*0.9607843137))</f>
        <v>0</v>
      </c>
      <c r="J594">
        <f>IF($E594="","",IF($E593="",$E594,$E594*0.0198019802+J593*0.9801980198))</f>
        <v>0</v>
      </c>
      <c r="K594">
        <f>IF($E594="","",IF($E593="",$E594,$E594*0.0099502488+K593*0.9900497512))</f>
        <v>0</v>
      </c>
      <c r="L594">
        <f>IF(OR($E594="",$E593=""),"",MAX($E594-$E593,0))</f>
        <v>0</v>
      </c>
      <c r="M594">
        <f>IF(OR($E594="",$E593=""),"",MAX($E593-$E594,0))</f>
        <v>0</v>
      </c>
      <c r="N594">
        <f>IF(COUNT($E$2:$E594)&lt;15,"",IF(AVERAGE($M$581:$M$594)=0,100,100-100/(1+AVERAGE($L$581:$L$594)/AVERAGE($M$581:$M$594))))</f>
        <v>0</v>
      </c>
      <c r="O594">
        <f>IF($E594="","",IF($E593="",$E594,$E594*0.1538461538+O593*0.8461538462))</f>
        <v>0</v>
      </c>
      <c r="P594">
        <f>IF($E594="","",IF($E593="",$E594,$E594*0.0740740741+P593*0.9259259259))</f>
        <v>0</v>
      </c>
      <c r="Q594">
        <f>IF(OR(O594="",P594=""),"",O594-P594)</f>
        <v>0</v>
      </c>
      <c r="R594">
        <f>IF(Q594="","",IF(R593="",Q594,Q594*0.2000000000+R593*0.8000000000))</f>
        <v>0</v>
      </c>
      <c r="S594">
        <f>IF(OR(Q594="",R594=""),"",Q594-R594)</f>
        <v>0</v>
      </c>
      <c r="T594">
        <f>IF(COUNT($E$2:$E594)&lt;14,"",MAX($C$581:$C$594))</f>
        <v>0</v>
      </c>
      <c r="U594">
        <f>IF(COUNT($E$2:$E594)&lt;14,"",MIN($D$581:$D$594))</f>
        <v>0</v>
      </c>
      <c r="V594">
        <f>IF(OR(T594="",U594="",T594=U594),"",100*($E594-U594)/(T594-U594))</f>
        <v>0</v>
      </c>
      <c r="W594">
        <f>IF(COUNT($V$592:$V$594)&lt;3,"",AVERAGE($V$592:$V$594))</f>
        <v>0</v>
      </c>
      <c r="X594">
        <f>IF(COUNT($N$581:$N$594)&lt;14,"",MIN($N$581:$N$594))</f>
        <v>0</v>
      </c>
      <c r="Y594">
        <f>IF(COUNT($N$581:$N$594)&lt;14,"",MAX($N$581:$N$594))</f>
        <v>0</v>
      </c>
      <c r="Z594">
        <f>IF(OR(N594="",X594="",Y594="",Y594=X594),"",100*(N594-X594)/(Y594-X594))</f>
        <v>0</v>
      </c>
      <c r="AA594">
        <f>IF(COUNT($Z$592:$Z$594)&lt;3,"",AVERAGE($Z$592:$Z$594))</f>
        <v>0</v>
      </c>
      <c r="AB594">
        <f>IF(COUNT($AA$592:$AA$594)&lt;3,"",AVERAGE($AA$592:$AA$594))</f>
        <v>0</v>
      </c>
      <c r="AC594">
        <f>IF($E594="","",MAX($C594-$D594,ABS($C594-$E593),ABS($D594-$E593)))</f>
        <v>0</v>
      </c>
      <c r="AD594">
        <f>IF(COUNT($E$2:$E594)&lt;15,"",AVERAGE($AC$581:$AC$594))</f>
        <v>0</v>
      </c>
      <c r="AE594">
        <f>IF(OR($E594="",$E593=""),"",IF(AND(($C594-$C593)&gt;($D593-$D594),($C594-$C593)&gt;0),$C594-$C593,0))</f>
        <v>0</v>
      </c>
      <c r="AF594">
        <f>IF(OR($E594="",$E593=""),"",IF(AND(($D593-$D594)&gt;($C594-$C593),($D593-$D594)&gt;0),$D593-$D594,0))</f>
        <v>0</v>
      </c>
      <c r="AG594">
        <f>IF(COUNT($E$2:$E594)&lt;15,"",IF(SUM($AC$581:$AC$594)=0,0,100*SUM($AE$581:$AE$594)/SUM($AC$581:$AC$594)))</f>
        <v>0</v>
      </c>
      <c r="AH594">
        <f>IF(COUNT($E$2:$E594)&lt;15,"",IF(SUM($AC$581:$AC$594)=0,0,100*SUM($AF$581:$AF$594)/SUM($AC$581:$AC$594)))</f>
        <v>0</v>
      </c>
      <c r="AI594">
        <f>IF(OR(AG594="",AH594=""),"",IF((AG594+AH594)=0,0,100*ABS(AG594-AH594)/(AG594+AH594)))</f>
        <v>0</v>
      </c>
      <c r="AJ594">
        <f>IF(COUNT($AI$581:$AI$594)&lt;14,"",AVERAGE($AI$581:$AI$594))</f>
        <v>0</v>
      </c>
      <c r="AK594">
        <f>IF(COUNT($E$2:$E594)&lt;20,"",AVERAGE($E$575:$E$594))</f>
        <v>0</v>
      </c>
      <c r="AL594">
        <f>IF(COUNT($E$2:$E594)&lt;20,"",STDEVP($E$575:$E$594))</f>
        <v>0</v>
      </c>
      <c r="AM594">
        <f>IF(AK594="","",AK594+2*AL594)</f>
        <v>0</v>
      </c>
      <c r="AN594">
        <f>IF(AK594="","",AK594-2*AL594)</f>
        <v>0</v>
      </c>
      <c r="AO594">
        <f>IF(OR(AM594="",AN594="",AM594=AN594),"",($E594-AN594)/(AM594-AN594))</f>
        <v>0</v>
      </c>
      <c r="AP594">
        <f>IF(OR(AM594="",AK594="",AK594=0),"",(AM594-AN594)/AK594)</f>
        <v>0</v>
      </c>
      <c r="AQ594">
        <f>IF(COUNT($E$2:$E594)&lt;20,"",MAX($C$575:$C$594))</f>
        <v>0</v>
      </c>
      <c r="AR594">
        <f>IF(COUNT($E$2:$E594)&lt;20,"",MIN($D$575:$D$594))</f>
        <v>0</v>
      </c>
      <c r="AS594">
        <f>IF(OR(AQ594="",AR594=""),"",(AQ594+AR594)/2)</f>
        <v>0</v>
      </c>
      <c r="AT594">
        <f>IF(COUNT($G$575:$G$594)&lt;20,"",STDEV($G$575:$G$594)*SQRT(252))</f>
        <v>0</v>
      </c>
      <c r="AU594">
        <f>IF(COUNT($E$2:$E594)&lt;9,"",(MAX($C$586:$C$594)+MIN($D$586:$D$594))/2)</f>
        <v>0</v>
      </c>
      <c r="AV594">
        <f>IF(COUNT($E$2:$E594)&lt;26,"",(MAX($C$569:$C$594)+MIN($D$569:$D$594))/2)</f>
        <v>0</v>
      </c>
      <c r="AW594">
        <f>IF(OR(AU594="",AV594=""),"",(AU594+AV594)/2)</f>
        <v>0</v>
      </c>
      <c r="AX594">
        <f>IF(COUNT($E$2:$E594)&lt;52,"",(MAX($C$543:$C$594)+MIN($D$543:$D$594))/2)</f>
        <v>0</v>
      </c>
      <c r="AY594">
        <f>IF(COUNT($E$2:$E594)&lt;20,"",MAX($C$495:$C$594))</f>
        <v>0</v>
      </c>
      <c r="AZ594">
        <f>IF(COUNT($E$2:$E594)&lt;20,"",MIN($D$495:$D$594))</f>
        <v>0</v>
      </c>
      <c r="BA594">
        <f>IF(COUNT($E$2:$E594)&lt;20,"",SLOPE($E$495:$E$594,$F$495:$F$594))</f>
        <v>0</v>
      </c>
      <c r="BB594">
        <f>IF(COUNT($E$2:$E594)&lt;20,"",INTERCEPT($E$495:$E$594,$F$495:$F$594))</f>
        <v>0</v>
      </c>
      <c r="BC594">
        <f>IF(OR(BA594="",BB594=""),"",BB594+BA594*F594)</f>
        <v>0</v>
      </c>
      <c r="BD594">
        <f>IF(COUNT($E$2:$E594)&lt;20,"",STEYX($E$495:$E$594,$F$495:$F$594))</f>
        <v>0</v>
      </c>
      <c r="BE594">
        <f>IF($E594="","",IF(AND(COUNT($E$595:$E$598)&gt;=4,$C594=MAX($C$590:$C$598)),$C594,""))</f>
        <v>0</v>
      </c>
      <c r="BF594">
        <f>IF($E594="","",IF(AND(COUNT($E$595:$E$598)&gt;=4,$D594=MIN($D$590:$D$598)),$D594,""))</f>
        <v>0</v>
      </c>
      <c r="BG594">
        <f>IF($A594="","",$A594-WEEKDAY($A594,2)+1)</f>
        <v>0</v>
      </c>
      <c r="BH594">
        <f>IF($A594="","",IF($A593="",1,IF(BG594&lt;&gt;BG593,1,0)))</f>
        <v>0</v>
      </c>
      <c r="BI594">
        <f>IF($A594="","",IF($A595="",1,IF(BG595&lt;&gt;BG594,1,0)))</f>
        <v>0</v>
      </c>
      <c r="BJ594">
        <f>IF($A594="","",IF(BH594=1,$B594,BJ593))</f>
        <v>0</v>
      </c>
      <c r="BK594">
        <f>IF($A594="","",IF(BH594=1,$C594,MAX($C594,BK593)))</f>
        <v>0</v>
      </c>
      <c r="BL594">
        <f>IF($A594="","",IF(BH594=1,$D594,MIN($D594,BL593)))</f>
        <v>0</v>
      </c>
      <c r="BM594">
        <f>IF($A594="","",IF(BI594=1,F594,""))</f>
        <v>0</v>
      </c>
      <c r="BN594">
        <f>IF($A594="","",DATE(YEAR($A594),MONTH($A594),1))</f>
        <v>0</v>
      </c>
      <c r="BO594">
        <f>IF($A594="","",IF($A593="",1,IF(BN594&lt;&gt;BN593,1,0)))</f>
        <v>0</v>
      </c>
      <c r="BP594">
        <f>IF($A594="","",IF($A595="",1,IF(BN595&lt;&gt;BN594,1,0)))</f>
        <v>0</v>
      </c>
      <c r="BQ594">
        <f>IF($A594="","",IF(BO594=1,$B594,BQ593))</f>
        <v>0</v>
      </c>
      <c r="BR594">
        <f>IF($A594="","",IF(BO594=1,$C594,MAX($C594,BR593)))</f>
        <v>0</v>
      </c>
      <c r="BS594">
        <f>IF($A594="","",IF(BO594=1,$D594,MIN($D594,BS593)))</f>
        <v>0</v>
      </c>
      <c r="BT594">
        <f>IF($A594="","",IF(BP594=1,F594,""))</f>
        <v>0</v>
      </c>
    </row>
    <row r="595" spans="1:72">
      <c r="A595" s="27">
        <f>IF(Data!$A595="","",Data!$A595)</f>
        <v>0</v>
      </c>
      <c r="B595">
        <f>IF(Data!$B595="","",Data!$B595)</f>
        <v>0</v>
      </c>
      <c r="C595">
        <f>IF(Data!$C595="","",Data!$C595)</f>
        <v>0</v>
      </c>
      <c r="D595">
        <f>IF(Data!$D595="","",Data!$D595)</f>
        <v>0</v>
      </c>
      <c r="E595">
        <f>IF(Data!$E595="","",Data!$E595)</f>
        <v>0</v>
      </c>
      <c r="F595">
        <f>IF($E595="","",N(F594)+1)</f>
        <v>0</v>
      </c>
      <c r="G595">
        <f>IF(OR($E595="",$E594=""),"",LN($E595/$E594))</f>
        <v>0</v>
      </c>
      <c r="H595">
        <f>IF($E595="","",IF($E594="",$E595,$E595*0.0952380952+H594*0.9047619048))</f>
        <v>0</v>
      </c>
      <c r="I595">
        <f>IF($E595="","",IF($E594="",$E595,$E595*0.0392156863+I594*0.9607843137))</f>
        <v>0</v>
      </c>
      <c r="J595">
        <f>IF($E595="","",IF($E594="",$E595,$E595*0.0198019802+J594*0.9801980198))</f>
        <v>0</v>
      </c>
      <c r="K595">
        <f>IF($E595="","",IF($E594="",$E595,$E595*0.0099502488+K594*0.9900497512))</f>
        <v>0</v>
      </c>
      <c r="L595">
        <f>IF(OR($E595="",$E594=""),"",MAX($E595-$E594,0))</f>
        <v>0</v>
      </c>
      <c r="M595">
        <f>IF(OR($E595="",$E594=""),"",MAX($E594-$E595,0))</f>
        <v>0</v>
      </c>
      <c r="N595">
        <f>IF(COUNT($E$2:$E595)&lt;15,"",IF(AVERAGE($M$582:$M$595)=0,100,100-100/(1+AVERAGE($L$582:$L$595)/AVERAGE($M$582:$M$595))))</f>
        <v>0</v>
      </c>
      <c r="O595">
        <f>IF($E595="","",IF($E594="",$E595,$E595*0.1538461538+O594*0.8461538462))</f>
        <v>0</v>
      </c>
      <c r="P595">
        <f>IF($E595="","",IF($E594="",$E595,$E595*0.0740740741+P594*0.9259259259))</f>
        <v>0</v>
      </c>
      <c r="Q595">
        <f>IF(OR(O595="",P595=""),"",O595-P595)</f>
        <v>0</v>
      </c>
      <c r="R595">
        <f>IF(Q595="","",IF(R594="",Q595,Q595*0.2000000000+R594*0.8000000000))</f>
        <v>0</v>
      </c>
      <c r="S595">
        <f>IF(OR(Q595="",R595=""),"",Q595-R595)</f>
        <v>0</v>
      </c>
      <c r="T595">
        <f>IF(COUNT($E$2:$E595)&lt;14,"",MAX($C$582:$C$595))</f>
        <v>0</v>
      </c>
      <c r="U595">
        <f>IF(COUNT($E$2:$E595)&lt;14,"",MIN($D$582:$D$595))</f>
        <v>0</v>
      </c>
      <c r="V595">
        <f>IF(OR(T595="",U595="",T595=U595),"",100*($E595-U595)/(T595-U595))</f>
        <v>0</v>
      </c>
      <c r="W595">
        <f>IF(COUNT($V$593:$V$595)&lt;3,"",AVERAGE($V$593:$V$595))</f>
        <v>0</v>
      </c>
      <c r="X595">
        <f>IF(COUNT($N$582:$N$595)&lt;14,"",MIN($N$582:$N$595))</f>
        <v>0</v>
      </c>
      <c r="Y595">
        <f>IF(COUNT($N$582:$N$595)&lt;14,"",MAX($N$582:$N$595))</f>
        <v>0</v>
      </c>
      <c r="Z595">
        <f>IF(OR(N595="",X595="",Y595="",Y595=X595),"",100*(N595-X595)/(Y595-X595))</f>
        <v>0</v>
      </c>
      <c r="AA595">
        <f>IF(COUNT($Z$593:$Z$595)&lt;3,"",AVERAGE($Z$593:$Z$595))</f>
        <v>0</v>
      </c>
      <c r="AB595">
        <f>IF(COUNT($AA$593:$AA$595)&lt;3,"",AVERAGE($AA$593:$AA$595))</f>
        <v>0</v>
      </c>
      <c r="AC595">
        <f>IF($E595="","",MAX($C595-$D595,ABS($C595-$E594),ABS($D595-$E594)))</f>
        <v>0</v>
      </c>
      <c r="AD595">
        <f>IF(COUNT($E$2:$E595)&lt;15,"",AVERAGE($AC$582:$AC$595))</f>
        <v>0</v>
      </c>
      <c r="AE595">
        <f>IF(OR($E595="",$E594=""),"",IF(AND(($C595-$C594)&gt;($D594-$D595),($C595-$C594)&gt;0),$C595-$C594,0))</f>
        <v>0</v>
      </c>
      <c r="AF595">
        <f>IF(OR($E595="",$E594=""),"",IF(AND(($D594-$D595)&gt;($C595-$C594),($D594-$D595)&gt;0),$D594-$D595,0))</f>
        <v>0</v>
      </c>
      <c r="AG595">
        <f>IF(COUNT($E$2:$E595)&lt;15,"",IF(SUM($AC$582:$AC$595)=0,0,100*SUM($AE$582:$AE$595)/SUM($AC$582:$AC$595)))</f>
        <v>0</v>
      </c>
      <c r="AH595">
        <f>IF(COUNT($E$2:$E595)&lt;15,"",IF(SUM($AC$582:$AC$595)=0,0,100*SUM($AF$582:$AF$595)/SUM($AC$582:$AC$595)))</f>
        <v>0</v>
      </c>
      <c r="AI595">
        <f>IF(OR(AG595="",AH595=""),"",IF((AG595+AH595)=0,0,100*ABS(AG595-AH595)/(AG595+AH595)))</f>
        <v>0</v>
      </c>
      <c r="AJ595">
        <f>IF(COUNT($AI$582:$AI$595)&lt;14,"",AVERAGE($AI$582:$AI$595))</f>
        <v>0</v>
      </c>
      <c r="AK595">
        <f>IF(COUNT($E$2:$E595)&lt;20,"",AVERAGE($E$576:$E$595))</f>
        <v>0</v>
      </c>
      <c r="AL595">
        <f>IF(COUNT($E$2:$E595)&lt;20,"",STDEVP($E$576:$E$595))</f>
        <v>0</v>
      </c>
      <c r="AM595">
        <f>IF(AK595="","",AK595+2*AL595)</f>
        <v>0</v>
      </c>
      <c r="AN595">
        <f>IF(AK595="","",AK595-2*AL595)</f>
        <v>0</v>
      </c>
      <c r="AO595">
        <f>IF(OR(AM595="",AN595="",AM595=AN595),"",($E595-AN595)/(AM595-AN595))</f>
        <v>0</v>
      </c>
      <c r="AP595">
        <f>IF(OR(AM595="",AK595="",AK595=0),"",(AM595-AN595)/AK595)</f>
        <v>0</v>
      </c>
      <c r="AQ595">
        <f>IF(COUNT($E$2:$E595)&lt;20,"",MAX($C$576:$C$595))</f>
        <v>0</v>
      </c>
      <c r="AR595">
        <f>IF(COUNT($E$2:$E595)&lt;20,"",MIN($D$576:$D$595))</f>
        <v>0</v>
      </c>
      <c r="AS595">
        <f>IF(OR(AQ595="",AR595=""),"",(AQ595+AR595)/2)</f>
        <v>0</v>
      </c>
      <c r="AT595">
        <f>IF(COUNT($G$576:$G$595)&lt;20,"",STDEV($G$576:$G$595)*SQRT(252))</f>
        <v>0</v>
      </c>
      <c r="AU595">
        <f>IF(COUNT($E$2:$E595)&lt;9,"",(MAX($C$587:$C$595)+MIN($D$587:$D$595))/2)</f>
        <v>0</v>
      </c>
      <c r="AV595">
        <f>IF(COUNT($E$2:$E595)&lt;26,"",(MAX($C$570:$C$595)+MIN($D$570:$D$595))/2)</f>
        <v>0</v>
      </c>
      <c r="AW595">
        <f>IF(OR(AU595="",AV595=""),"",(AU595+AV595)/2)</f>
        <v>0</v>
      </c>
      <c r="AX595">
        <f>IF(COUNT($E$2:$E595)&lt;52,"",(MAX($C$544:$C$595)+MIN($D$544:$D$595))/2)</f>
        <v>0</v>
      </c>
      <c r="AY595">
        <f>IF(COUNT($E$2:$E595)&lt;20,"",MAX($C$496:$C$595))</f>
        <v>0</v>
      </c>
      <c r="AZ595">
        <f>IF(COUNT($E$2:$E595)&lt;20,"",MIN($D$496:$D$595))</f>
        <v>0</v>
      </c>
      <c r="BA595">
        <f>IF(COUNT($E$2:$E595)&lt;20,"",SLOPE($E$496:$E$595,$F$496:$F$595))</f>
        <v>0</v>
      </c>
      <c r="BB595">
        <f>IF(COUNT($E$2:$E595)&lt;20,"",INTERCEPT($E$496:$E$595,$F$496:$F$595))</f>
        <v>0</v>
      </c>
      <c r="BC595">
        <f>IF(OR(BA595="",BB595=""),"",BB595+BA595*F595)</f>
        <v>0</v>
      </c>
      <c r="BD595">
        <f>IF(COUNT($E$2:$E595)&lt;20,"",STEYX($E$496:$E$595,$F$496:$F$595))</f>
        <v>0</v>
      </c>
      <c r="BE595">
        <f>IF($E595="","",IF(AND(COUNT($E$596:$E$599)&gt;=4,$C595=MAX($C$591:$C$599)),$C595,""))</f>
        <v>0</v>
      </c>
      <c r="BF595">
        <f>IF($E595="","",IF(AND(COUNT($E$596:$E$599)&gt;=4,$D595=MIN($D$591:$D$599)),$D595,""))</f>
        <v>0</v>
      </c>
      <c r="BG595">
        <f>IF($A595="","",$A595-WEEKDAY($A595,2)+1)</f>
        <v>0</v>
      </c>
      <c r="BH595">
        <f>IF($A595="","",IF($A594="",1,IF(BG595&lt;&gt;BG594,1,0)))</f>
        <v>0</v>
      </c>
      <c r="BI595">
        <f>IF($A595="","",IF($A596="",1,IF(BG596&lt;&gt;BG595,1,0)))</f>
        <v>0</v>
      </c>
      <c r="BJ595">
        <f>IF($A595="","",IF(BH595=1,$B595,BJ594))</f>
        <v>0</v>
      </c>
      <c r="BK595">
        <f>IF($A595="","",IF(BH595=1,$C595,MAX($C595,BK594)))</f>
        <v>0</v>
      </c>
      <c r="BL595">
        <f>IF($A595="","",IF(BH595=1,$D595,MIN($D595,BL594)))</f>
        <v>0</v>
      </c>
      <c r="BM595">
        <f>IF($A595="","",IF(BI595=1,F595,""))</f>
        <v>0</v>
      </c>
      <c r="BN595">
        <f>IF($A595="","",DATE(YEAR($A595),MONTH($A595),1))</f>
        <v>0</v>
      </c>
      <c r="BO595">
        <f>IF($A595="","",IF($A594="",1,IF(BN595&lt;&gt;BN594,1,0)))</f>
        <v>0</v>
      </c>
      <c r="BP595">
        <f>IF($A595="","",IF($A596="",1,IF(BN596&lt;&gt;BN595,1,0)))</f>
        <v>0</v>
      </c>
      <c r="BQ595">
        <f>IF($A595="","",IF(BO595=1,$B595,BQ594))</f>
        <v>0</v>
      </c>
      <c r="BR595">
        <f>IF($A595="","",IF(BO595=1,$C595,MAX($C595,BR594)))</f>
        <v>0</v>
      </c>
      <c r="BS595">
        <f>IF($A595="","",IF(BO595=1,$D595,MIN($D595,BS594)))</f>
        <v>0</v>
      </c>
      <c r="BT595">
        <f>IF($A595="","",IF(BP595=1,F595,""))</f>
        <v>0</v>
      </c>
    </row>
    <row r="596" spans="1:72">
      <c r="A596" s="27">
        <f>IF(Data!$A596="","",Data!$A596)</f>
        <v>0</v>
      </c>
      <c r="B596">
        <f>IF(Data!$B596="","",Data!$B596)</f>
        <v>0</v>
      </c>
      <c r="C596">
        <f>IF(Data!$C596="","",Data!$C596)</f>
        <v>0</v>
      </c>
      <c r="D596">
        <f>IF(Data!$D596="","",Data!$D596)</f>
        <v>0</v>
      </c>
      <c r="E596">
        <f>IF(Data!$E596="","",Data!$E596)</f>
        <v>0</v>
      </c>
      <c r="F596">
        <f>IF($E596="","",N(F595)+1)</f>
        <v>0</v>
      </c>
      <c r="G596">
        <f>IF(OR($E596="",$E595=""),"",LN($E596/$E595))</f>
        <v>0</v>
      </c>
      <c r="H596">
        <f>IF($E596="","",IF($E595="",$E596,$E596*0.0952380952+H595*0.9047619048))</f>
        <v>0</v>
      </c>
      <c r="I596">
        <f>IF($E596="","",IF($E595="",$E596,$E596*0.0392156863+I595*0.9607843137))</f>
        <v>0</v>
      </c>
      <c r="J596">
        <f>IF($E596="","",IF($E595="",$E596,$E596*0.0198019802+J595*0.9801980198))</f>
        <v>0</v>
      </c>
      <c r="K596">
        <f>IF($E596="","",IF($E595="",$E596,$E596*0.0099502488+K595*0.9900497512))</f>
        <v>0</v>
      </c>
      <c r="L596">
        <f>IF(OR($E596="",$E595=""),"",MAX($E596-$E595,0))</f>
        <v>0</v>
      </c>
      <c r="M596">
        <f>IF(OR($E596="",$E595=""),"",MAX($E595-$E596,0))</f>
        <v>0</v>
      </c>
      <c r="N596">
        <f>IF(COUNT($E$2:$E596)&lt;15,"",IF(AVERAGE($M$583:$M$596)=0,100,100-100/(1+AVERAGE($L$583:$L$596)/AVERAGE($M$583:$M$596))))</f>
        <v>0</v>
      </c>
      <c r="O596">
        <f>IF($E596="","",IF($E595="",$E596,$E596*0.1538461538+O595*0.8461538462))</f>
        <v>0</v>
      </c>
      <c r="P596">
        <f>IF($E596="","",IF($E595="",$E596,$E596*0.0740740741+P595*0.9259259259))</f>
        <v>0</v>
      </c>
      <c r="Q596">
        <f>IF(OR(O596="",P596=""),"",O596-P596)</f>
        <v>0</v>
      </c>
      <c r="R596">
        <f>IF(Q596="","",IF(R595="",Q596,Q596*0.2000000000+R595*0.8000000000))</f>
        <v>0</v>
      </c>
      <c r="S596">
        <f>IF(OR(Q596="",R596=""),"",Q596-R596)</f>
        <v>0</v>
      </c>
      <c r="T596">
        <f>IF(COUNT($E$2:$E596)&lt;14,"",MAX($C$583:$C$596))</f>
        <v>0</v>
      </c>
      <c r="U596">
        <f>IF(COUNT($E$2:$E596)&lt;14,"",MIN($D$583:$D$596))</f>
        <v>0</v>
      </c>
      <c r="V596">
        <f>IF(OR(T596="",U596="",T596=U596),"",100*($E596-U596)/(T596-U596))</f>
        <v>0</v>
      </c>
      <c r="W596">
        <f>IF(COUNT($V$594:$V$596)&lt;3,"",AVERAGE($V$594:$V$596))</f>
        <v>0</v>
      </c>
      <c r="X596">
        <f>IF(COUNT($N$583:$N$596)&lt;14,"",MIN($N$583:$N$596))</f>
        <v>0</v>
      </c>
      <c r="Y596">
        <f>IF(COUNT($N$583:$N$596)&lt;14,"",MAX($N$583:$N$596))</f>
        <v>0</v>
      </c>
      <c r="Z596">
        <f>IF(OR(N596="",X596="",Y596="",Y596=X596),"",100*(N596-X596)/(Y596-X596))</f>
        <v>0</v>
      </c>
      <c r="AA596">
        <f>IF(COUNT($Z$594:$Z$596)&lt;3,"",AVERAGE($Z$594:$Z$596))</f>
        <v>0</v>
      </c>
      <c r="AB596">
        <f>IF(COUNT($AA$594:$AA$596)&lt;3,"",AVERAGE($AA$594:$AA$596))</f>
        <v>0</v>
      </c>
      <c r="AC596">
        <f>IF($E596="","",MAX($C596-$D596,ABS($C596-$E595),ABS($D596-$E595)))</f>
        <v>0</v>
      </c>
      <c r="AD596">
        <f>IF(COUNT($E$2:$E596)&lt;15,"",AVERAGE($AC$583:$AC$596))</f>
        <v>0</v>
      </c>
      <c r="AE596">
        <f>IF(OR($E596="",$E595=""),"",IF(AND(($C596-$C595)&gt;($D595-$D596),($C596-$C595)&gt;0),$C596-$C595,0))</f>
        <v>0</v>
      </c>
      <c r="AF596">
        <f>IF(OR($E596="",$E595=""),"",IF(AND(($D595-$D596)&gt;($C596-$C595),($D595-$D596)&gt;0),$D595-$D596,0))</f>
        <v>0</v>
      </c>
      <c r="AG596">
        <f>IF(COUNT($E$2:$E596)&lt;15,"",IF(SUM($AC$583:$AC$596)=0,0,100*SUM($AE$583:$AE$596)/SUM($AC$583:$AC$596)))</f>
        <v>0</v>
      </c>
      <c r="AH596">
        <f>IF(COUNT($E$2:$E596)&lt;15,"",IF(SUM($AC$583:$AC$596)=0,0,100*SUM($AF$583:$AF$596)/SUM($AC$583:$AC$596)))</f>
        <v>0</v>
      </c>
      <c r="AI596">
        <f>IF(OR(AG596="",AH596=""),"",IF((AG596+AH596)=0,0,100*ABS(AG596-AH596)/(AG596+AH596)))</f>
        <v>0</v>
      </c>
      <c r="AJ596">
        <f>IF(COUNT($AI$583:$AI$596)&lt;14,"",AVERAGE($AI$583:$AI$596))</f>
        <v>0</v>
      </c>
      <c r="AK596">
        <f>IF(COUNT($E$2:$E596)&lt;20,"",AVERAGE($E$577:$E$596))</f>
        <v>0</v>
      </c>
      <c r="AL596">
        <f>IF(COUNT($E$2:$E596)&lt;20,"",STDEVP($E$577:$E$596))</f>
        <v>0</v>
      </c>
      <c r="AM596">
        <f>IF(AK596="","",AK596+2*AL596)</f>
        <v>0</v>
      </c>
      <c r="AN596">
        <f>IF(AK596="","",AK596-2*AL596)</f>
        <v>0</v>
      </c>
      <c r="AO596">
        <f>IF(OR(AM596="",AN596="",AM596=AN596),"",($E596-AN596)/(AM596-AN596))</f>
        <v>0</v>
      </c>
      <c r="AP596">
        <f>IF(OR(AM596="",AK596="",AK596=0),"",(AM596-AN596)/AK596)</f>
        <v>0</v>
      </c>
      <c r="AQ596">
        <f>IF(COUNT($E$2:$E596)&lt;20,"",MAX($C$577:$C$596))</f>
        <v>0</v>
      </c>
      <c r="AR596">
        <f>IF(COUNT($E$2:$E596)&lt;20,"",MIN($D$577:$D$596))</f>
        <v>0</v>
      </c>
      <c r="AS596">
        <f>IF(OR(AQ596="",AR596=""),"",(AQ596+AR596)/2)</f>
        <v>0</v>
      </c>
      <c r="AT596">
        <f>IF(COUNT($G$577:$G$596)&lt;20,"",STDEV($G$577:$G$596)*SQRT(252))</f>
        <v>0</v>
      </c>
      <c r="AU596">
        <f>IF(COUNT($E$2:$E596)&lt;9,"",(MAX($C$588:$C$596)+MIN($D$588:$D$596))/2)</f>
        <v>0</v>
      </c>
      <c r="AV596">
        <f>IF(COUNT($E$2:$E596)&lt;26,"",(MAX($C$571:$C$596)+MIN($D$571:$D$596))/2)</f>
        <v>0</v>
      </c>
      <c r="AW596">
        <f>IF(OR(AU596="",AV596=""),"",(AU596+AV596)/2)</f>
        <v>0</v>
      </c>
      <c r="AX596">
        <f>IF(COUNT($E$2:$E596)&lt;52,"",(MAX($C$545:$C$596)+MIN($D$545:$D$596))/2)</f>
        <v>0</v>
      </c>
      <c r="AY596">
        <f>IF(COUNT($E$2:$E596)&lt;20,"",MAX($C$497:$C$596))</f>
        <v>0</v>
      </c>
      <c r="AZ596">
        <f>IF(COUNT($E$2:$E596)&lt;20,"",MIN($D$497:$D$596))</f>
        <v>0</v>
      </c>
      <c r="BA596">
        <f>IF(COUNT($E$2:$E596)&lt;20,"",SLOPE($E$497:$E$596,$F$497:$F$596))</f>
        <v>0</v>
      </c>
      <c r="BB596">
        <f>IF(COUNT($E$2:$E596)&lt;20,"",INTERCEPT($E$497:$E$596,$F$497:$F$596))</f>
        <v>0</v>
      </c>
      <c r="BC596">
        <f>IF(OR(BA596="",BB596=""),"",BB596+BA596*F596)</f>
        <v>0</v>
      </c>
      <c r="BD596">
        <f>IF(COUNT($E$2:$E596)&lt;20,"",STEYX($E$497:$E$596,$F$497:$F$596))</f>
        <v>0</v>
      </c>
      <c r="BE596">
        <f>IF($E596="","",IF(AND(COUNT($E$597:$E$600)&gt;=4,$C596=MAX($C$592:$C$600)),$C596,""))</f>
        <v>0</v>
      </c>
      <c r="BF596">
        <f>IF($E596="","",IF(AND(COUNT($E$597:$E$600)&gt;=4,$D596=MIN($D$592:$D$600)),$D596,""))</f>
        <v>0</v>
      </c>
      <c r="BG596">
        <f>IF($A596="","",$A596-WEEKDAY($A596,2)+1)</f>
        <v>0</v>
      </c>
      <c r="BH596">
        <f>IF($A596="","",IF($A595="",1,IF(BG596&lt;&gt;BG595,1,0)))</f>
        <v>0</v>
      </c>
      <c r="BI596">
        <f>IF($A596="","",IF($A597="",1,IF(BG597&lt;&gt;BG596,1,0)))</f>
        <v>0</v>
      </c>
      <c r="BJ596">
        <f>IF($A596="","",IF(BH596=1,$B596,BJ595))</f>
        <v>0</v>
      </c>
      <c r="BK596">
        <f>IF($A596="","",IF(BH596=1,$C596,MAX($C596,BK595)))</f>
        <v>0</v>
      </c>
      <c r="BL596">
        <f>IF($A596="","",IF(BH596=1,$D596,MIN($D596,BL595)))</f>
        <v>0</v>
      </c>
      <c r="BM596">
        <f>IF($A596="","",IF(BI596=1,F596,""))</f>
        <v>0</v>
      </c>
      <c r="BN596">
        <f>IF($A596="","",DATE(YEAR($A596),MONTH($A596),1))</f>
        <v>0</v>
      </c>
      <c r="BO596">
        <f>IF($A596="","",IF($A595="",1,IF(BN596&lt;&gt;BN595,1,0)))</f>
        <v>0</v>
      </c>
      <c r="BP596">
        <f>IF($A596="","",IF($A597="",1,IF(BN597&lt;&gt;BN596,1,0)))</f>
        <v>0</v>
      </c>
      <c r="BQ596">
        <f>IF($A596="","",IF(BO596=1,$B596,BQ595))</f>
        <v>0</v>
      </c>
      <c r="BR596">
        <f>IF($A596="","",IF(BO596=1,$C596,MAX($C596,BR595)))</f>
        <v>0</v>
      </c>
      <c r="BS596">
        <f>IF($A596="","",IF(BO596=1,$D596,MIN($D596,BS595)))</f>
        <v>0</v>
      </c>
      <c r="BT596">
        <f>IF($A596="","",IF(BP596=1,F596,""))</f>
        <v>0</v>
      </c>
    </row>
    <row r="597" spans="1:72">
      <c r="A597" s="27">
        <f>IF(Data!$A597="","",Data!$A597)</f>
        <v>0</v>
      </c>
      <c r="B597">
        <f>IF(Data!$B597="","",Data!$B597)</f>
        <v>0</v>
      </c>
      <c r="C597">
        <f>IF(Data!$C597="","",Data!$C597)</f>
        <v>0</v>
      </c>
      <c r="D597">
        <f>IF(Data!$D597="","",Data!$D597)</f>
        <v>0</v>
      </c>
      <c r="E597">
        <f>IF(Data!$E597="","",Data!$E597)</f>
        <v>0</v>
      </c>
      <c r="F597">
        <f>IF($E597="","",N(F596)+1)</f>
        <v>0</v>
      </c>
      <c r="G597">
        <f>IF(OR($E597="",$E596=""),"",LN($E597/$E596))</f>
        <v>0</v>
      </c>
      <c r="H597">
        <f>IF($E597="","",IF($E596="",$E597,$E597*0.0952380952+H596*0.9047619048))</f>
        <v>0</v>
      </c>
      <c r="I597">
        <f>IF($E597="","",IF($E596="",$E597,$E597*0.0392156863+I596*0.9607843137))</f>
        <v>0</v>
      </c>
      <c r="J597">
        <f>IF($E597="","",IF($E596="",$E597,$E597*0.0198019802+J596*0.9801980198))</f>
        <v>0</v>
      </c>
      <c r="K597">
        <f>IF($E597="","",IF($E596="",$E597,$E597*0.0099502488+K596*0.9900497512))</f>
        <v>0</v>
      </c>
      <c r="L597">
        <f>IF(OR($E597="",$E596=""),"",MAX($E597-$E596,0))</f>
        <v>0</v>
      </c>
      <c r="M597">
        <f>IF(OR($E597="",$E596=""),"",MAX($E596-$E597,0))</f>
        <v>0</v>
      </c>
      <c r="N597">
        <f>IF(COUNT($E$2:$E597)&lt;15,"",IF(AVERAGE($M$584:$M$597)=0,100,100-100/(1+AVERAGE($L$584:$L$597)/AVERAGE($M$584:$M$597))))</f>
        <v>0</v>
      </c>
      <c r="O597">
        <f>IF($E597="","",IF($E596="",$E597,$E597*0.1538461538+O596*0.8461538462))</f>
        <v>0</v>
      </c>
      <c r="P597">
        <f>IF($E597="","",IF($E596="",$E597,$E597*0.0740740741+P596*0.9259259259))</f>
        <v>0</v>
      </c>
      <c r="Q597">
        <f>IF(OR(O597="",P597=""),"",O597-P597)</f>
        <v>0</v>
      </c>
      <c r="R597">
        <f>IF(Q597="","",IF(R596="",Q597,Q597*0.2000000000+R596*0.8000000000))</f>
        <v>0</v>
      </c>
      <c r="S597">
        <f>IF(OR(Q597="",R597=""),"",Q597-R597)</f>
        <v>0</v>
      </c>
      <c r="T597">
        <f>IF(COUNT($E$2:$E597)&lt;14,"",MAX($C$584:$C$597))</f>
        <v>0</v>
      </c>
      <c r="U597">
        <f>IF(COUNT($E$2:$E597)&lt;14,"",MIN($D$584:$D$597))</f>
        <v>0</v>
      </c>
      <c r="V597">
        <f>IF(OR(T597="",U597="",T597=U597),"",100*($E597-U597)/(T597-U597))</f>
        <v>0</v>
      </c>
      <c r="W597">
        <f>IF(COUNT($V$595:$V$597)&lt;3,"",AVERAGE($V$595:$V$597))</f>
        <v>0</v>
      </c>
      <c r="X597">
        <f>IF(COUNT($N$584:$N$597)&lt;14,"",MIN($N$584:$N$597))</f>
        <v>0</v>
      </c>
      <c r="Y597">
        <f>IF(COUNT($N$584:$N$597)&lt;14,"",MAX($N$584:$N$597))</f>
        <v>0</v>
      </c>
      <c r="Z597">
        <f>IF(OR(N597="",X597="",Y597="",Y597=X597),"",100*(N597-X597)/(Y597-X597))</f>
        <v>0</v>
      </c>
      <c r="AA597">
        <f>IF(COUNT($Z$595:$Z$597)&lt;3,"",AVERAGE($Z$595:$Z$597))</f>
        <v>0</v>
      </c>
      <c r="AB597">
        <f>IF(COUNT($AA$595:$AA$597)&lt;3,"",AVERAGE($AA$595:$AA$597))</f>
        <v>0</v>
      </c>
      <c r="AC597">
        <f>IF($E597="","",MAX($C597-$D597,ABS($C597-$E596),ABS($D597-$E596)))</f>
        <v>0</v>
      </c>
      <c r="AD597">
        <f>IF(COUNT($E$2:$E597)&lt;15,"",AVERAGE($AC$584:$AC$597))</f>
        <v>0</v>
      </c>
      <c r="AE597">
        <f>IF(OR($E597="",$E596=""),"",IF(AND(($C597-$C596)&gt;($D596-$D597),($C597-$C596)&gt;0),$C597-$C596,0))</f>
        <v>0</v>
      </c>
      <c r="AF597">
        <f>IF(OR($E597="",$E596=""),"",IF(AND(($D596-$D597)&gt;($C597-$C596),($D596-$D597)&gt;0),$D596-$D597,0))</f>
        <v>0</v>
      </c>
      <c r="AG597">
        <f>IF(COUNT($E$2:$E597)&lt;15,"",IF(SUM($AC$584:$AC$597)=0,0,100*SUM($AE$584:$AE$597)/SUM($AC$584:$AC$597)))</f>
        <v>0</v>
      </c>
      <c r="AH597">
        <f>IF(COUNT($E$2:$E597)&lt;15,"",IF(SUM($AC$584:$AC$597)=0,0,100*SUM($AF$584:$AF$597)/SUM($AC$584:$AC$597)))</f>
        <v>0</v>
      </c>
      <c r="AI597">
        <f>IF(OR(AG597="",AH597=""),"",IF((AG597+AH597)=0,0,100*ABS(AG597-AH597)/(AG597+AH597)))</f>
        <v>0</v>
      </c>
      <c r="AJ597">
        <f>IF(COUNT($AI$584:$AI$597)&lt;14,"",AVERAGE($AI$584:$AI$597))</f>
        <v>0</v>
      </c>
      <c r="AK597">
        <f>IF(COUNT($E$2:$E597)&lt;20,"",AVERAGE($E$578:$E$597))</f>
        <v>0</v>
      </c>
      <c r="AL597">
        <f>IF(COUNT($E$2:$E597)&lt;20,"",STDEVP($E$578:$E$597))</f>
        <v>0</v>
      </c>
      <c r="AM597">
        <f>IF(AK597="","",AK597+2*AL597)</f>
        <v>0</v>
      </c>
      <c r="AN597">
        <f>IF(AK597="","",AK597-2*AL597)</f>
        <v>0</v>
      </c>
      <c r="AO597">
        <f>IF(OR(AM597="",AN597="",AM597=AN597),"",($E597-AN597)/(AM597-AN597))</f>
        <v>0</v>
      </c>
      <c r="AP597">
        <f>IF(OR(AM597="",AK597="",AK597=0),"",(AM597-AN597)/AK597)</f>
        <v>0</v>
      </c>
      <c r="AQ597">
        <f>IF(COUNT($E$2:$E597)&lt;20,"",MAX($C$578:$C$597))</f>
        <v>0</v>
      </c>
      <c r="AR597">
        <f>IF(COUNT($E$2:$E597)&lt;20,"",MIN($D$578:$D$597))</f>
        <v>0</v>
      </c>
      <c r="AS597">
        <f>IF(OR(AQ597="",AR597=""),"",(AQ597+AR597)/2)</f>
        <v>0</v>
      </c>
      <c r="AT597">
        <f>IF(COUNT($G$578:$G$597)&lt;20,"",STDEV($G$578:$G$597)*SQRT(252))</f>
        <v>0</v>
      </c>
      <c r="AU597">
        <f>IF(COUNT($E$2:$E597)&lt;9,"",(MAX($C$589:$C$597)+MIN($D$589:$D$597))/2)</f>
        <v>0</v>
      </c>
      <c r="AV597">
        <f>IF(COUNT($E$2:$E597)&lt;26,"",(MAX($C$572:$C$597)+MIN($D$572:$D$597))/2)</f>
        <v>0</v>
      </c>
      <c r="AW597">
        <f>IF(OR(AU597="",AV597=""),"",(AU597+AV597)/2)</f>
        <v>0</v>
      </c>
      <c r="AX597">
        <f>IF(COUNT($E$2:$E597)&lt;52,"",(MAX($C$546:$C$597)+MIN($D$546:$D$597))/2)</f>
        <v>0</v>
      </c>
      <c r="AY597">
        <f>IF(COUNT($E$2:$E597)&lt;20,"",MAX($C$498:$C$597))</f>
        <v>0</v>
      </c>
      <c r="AZ597">
        <f>IF(COUNT($E$2:$E597)&lt;20,"",MIN($D$498:$D$597))</f>
        <v>0</v>
      </c>
      <c r="BA597">
        <f>IF(COUNT($E$2:$E597)&lt;20,"",SLOPE($E$498:$E$597,$F$498:$F$597))</f>
        <v>0</v>
      </c>
      <c r="BB597">
        <f>IF(COUNT($E$2:$E597)&lt;20,"",INTERCEPT($E$498:$E$597,$F$498:$F$597))</f>
        <v>0</v>
      </c>
      <c r="BC597">
        <f>IF(OR(BA597="",BB597=""),"",BB597+BA597*F597)</f>
        <v>0</v>
      </c>
      <c r="BD597">
        <f>IF(COUNT($E$2:$E597)&lt;20,"",STEYX($E$498:$E$597,$F$498:$F$597))</f>
        <v>0</v>
      </c>
      <c r="BE597">
        <f>IF($E597="","",IF(AND(COUNT($E$598:$E$601)&gt;=4,$C597=MAX($C$593:$C$601)),$C597,""))</f>
        <v>0</v>
      </c>
      <c r="BF597">
        <f>IF($E597="","",IF(AND(COUNT($E$598:$E$601)&gt;=4,$D597=MIN($D$593:$D$601)),$D597,""))</f>
        <v>0</v>
      </c>
      <c r="BG597">
        <f>IF($A597="","",$A597-WEEKDAY($A597,2)+1)</f>
        <v>0</v>
      </c>
      <c r="BH597">
        <f>IF($A597="","",IF($A596="",1,IF(BG597&lt;&gt;BG596,1,0)))</f>
        <v>0</v>
      </c>
      <c r="BI597">
        <f>IF($A597="","",IF($A598="",1,IF(BG598&lt;&gt;BG597,1,0)))</f>
        <v>0</v>
      </c>
      <c r="BJ597">
        <f>IF($A597="","",IF(BH597=1,$B597,BJ596))</f>
        <v>0</v>
      </c>
      <c r="BK597">
        <f>IF($A597="","",IF(BH597=1,$C597,MAX($C597,BK596)))</f>
        <v>0</v>
      </c>
      <c r="BL597">
        <f>IF($A597="","",IF(BH597=1,$D597,MIN($D597,BL596)))</f>
        <v>0</v>
      </c>
      <c r="BM597">
        <f>IF($A597="","",IF(BI597=1,F597,""))</f>
        <v>0</v>
      </c>
      <c r="BN597">
        <f>IF($A597="","",DATE(YEAR($A597),MONTH($A597),1))</f>
        <v>0</v>
      </c>
      <c r="BO597">
        <f>IF($A597="","",IF($A596="",1,IF(BN597&lt;&gt;BN596,1,0)))</f>
        <v>0</v>
      </c>
      <c r="BP597">
        <f>IF($A597="","",IF($A598="",1,IF(BN598&lt;&gt;BN597,1,0)))</f>
        <v>0</v>
      </c>
      <c r="BQ597">
        <f>IF($A597="","",IF(BO597=1,$B597,BQ596))</f>
        <v>0</v>
      </c>
      <c r="BR597">
        <f>IF($A597="","",IF(BO597=1,$C597,MAX($C597,BR596)))</f>
        <v>0</v>
      </c>
      <c r="BS597">
        <f>IF($A597="","",IF(BO597=1,$D597,MIN($D597,BS596)))</f>
        <v>0</v>
      </c>
      <c r="BT597">
        <f>IF($A597="","",IF(BP597=1,F597,""))</f>
        <v>0</v>
      </c>
    </row>
    <row r="598" spans="1:72">
      <c r="A598" s="27">
        <f>IF(Data!$A598="","",Data!$A598)</f>
        <v>0</v>
      </c>
      <c r="B598">
        <f>IF(Data!$B598="","",Data!$B598)</f>
        <v>0</v>
      </c>
      <c r="C598">
        <f>IF(Data!$C598="","",Data!$C598)</f>
        <v>0</v>
      </c>
      <c r="D598">
        <f>IF(Data!$D598="","",Data!$D598)</f>
        <v>0</v>
      </c>
      <c r="E598">
        <f>IF(Data!$E598="","",Data!$E598)</f>
        <v>0</v>
      </c>
      <c r="F598">
        <f>IF($E598="","",N(F597)+1)</f>
        <v>0</v>
      </c>
      <c r="G598">
        <f>IF(OR($E598="",$E597=""),"",LN($E598/$E597))</f>
        <v>0</v>
      </c>
      <c r="H598">
        <f>IF($E598="","",IF($E597="",$E598,$E598*0.0952380952+H597*0.9047619048))</f>
        <v>0</v>
      </c>
      <c r="I598">
        <f>IF($E598="","",IF($E597="",$E598,$E598*0.0392156863+I597*0.9607843137))</f>
        <v>0</v>
      </c>
      <c r="J598">
        <f>IF($E598="","",IF($E597="",$E598,$E598*0.0198019802+J597*0.9801980198))</f>
        <v>0</v>
      </c>
      <c r="K598">
        <f>IF($E598="","",IF($E597="",$E598,$E598*0.0099502488+K597*0.9900497512))</f>
        <v>0</v>
      </c>
      <c r="L598">
        <f>IF(OR($E598="",$E597=""),"",MAX($E598-$E597,0))</f>
        <v>0</v>
      </c>
      <c r="M598">
        <f>IF(OR($E598="",$E597=""),"",MAX($E597-$E598,0))</f>
        <v>0</v>
      </c>
      <c r="N598">
        <f>IF(COUNT($E$2:$E598)&lt;15,"",IF(AVERAGE($M$585:$M$598)=0,100,100-100/(1+AVERAGE($L$585:$L$598)/AVERAGE($M$585:$M$598))))</f>
        <v>0</v>
      </c>
      <c r="O598">
        <f>IF($E598="","",IF($E597="",$E598,$E598*0.1538461538+O597*0.8461538462))</f>
        <v>0</v>
      </c>
      <c r="P598">
        <f>IF($E598="","",IF($E597="",$E598,$E598*0.0740740741+P597*0.9259259259))</f>
        <v>0</v>
      </c>
      <c r="Q598">
        <f>IF(OR(O598="",P598=""),"",O598-P598)</f>
        <v>0</v>
      </c>
      <c r="R598">
        <f>IF(Q598="","",IF(R597="",Q598,Q598*0.2000000000+R597*0.8000000000))</f>
        <v>0</v>
      </c>
      <c r="S598">
        <f>IF(OR(Q598="",R598=""),"",Q598-R598)</f>
        <v>0</v>
      </c>
      <c r="T598">
        <f>IF(COUNT($E$2:$E598)&lt;14,"",MAX($C$585:$C$598))</f>
        <v>0</v>
      </c>
      <c r="U598">
        <f>IF(COUNT($E$2:$E598)&lt;14,"",MIN($D$585:$D$598))</f>
        <v>0</v>
      </c>
      <c r="V598">
        <f>IF(OR(T598="",U598="",T598=U598),"",100*($E598-U598)/(T598-U598))</f>
        <v>0</v>
      </c>
      <c r="W598">
        <f>IF(COUNT($V$596:$V$598)&lt;3,"",AVERAGE($V$596:$V$598))</f>
        <v>0</v>
      </c>
      <c r="X598">
        <f>IF(COUNT($N$585:$N$598)&lt;14,"",MIN($N$585:$N$598))</f>
        <v>0</v>
      </c>
      <c r="Y598">
        <f>IF(COUNT($N$585:$N$598)&lt;14,"",MAX($N$585:$N$598))</f>
        <v>0</v>
      </c>
      <c r="Z598">
        <f>IF(OR(N598="",X598="",Y598="",Y598=X598),"",100*(N598-X598)/(Y598-X598))</f>
        <v>0</v>
      </c>
      <c r="AA598">
        <f>IF(COUNT($Z$596:$Z$598)&lt;3,"",AVERAGE($Z$596:$Z$598))</f>
        <v>0</v>
      </c>
      <c r="AB598">
        <f>IF(COUNT($AA$596:$AA$598)&lt;3,"",AVERAGE($AA$596:$AA$598))</f>
        <v>0</v>
      </c>
      <c r="AC598">
        <f>IF($E598="","",MAX($C598-$D598,ABS($C598-$E597),ABS($D598-$E597)))</f>
        <v>0</v>
      </c>
      <c r="AD598">
        <f>IF(COUNT($E$2:$E598)&lt;15,"",AVERAGE($AC$585:$AC$598))</f>
        <v>0</v>
      </c>
      <c r="AE598">
        <f>IF(OR($E598="",$E597=""),"",IF(AND(($C598-$C597)&gt;($D597-$D598),($C598-$C597)&gt;0),$C598-$C597,0))</f>
        <v>0</v>
      </c>
      <c r="AF598">
        <f>IF(OR($E598="",$E597=""),"",IF(AND(($D597-$D598)&gt;($C598-$C597),($D597-$D598)&gt;0),$D597-$D598,0))</f>
        <v>0</v>
      </c>
      <c r="AG598">
        <f>IF(COUNT($E$2:$E598)&lt;15,"",IF(SUM($AC$585:$AC$598)=0,0,100*SUM($AE$585:$AE$598)/SUM($AC$585:$AC$598)))</f>
        <v>0</v>
      </c>
      <c r="AH598">
        <f>IF(COUNT($E$2:$E598)&lt;15,"",IF(SUM($AC$585:$AC$598)=0,0,100*SUM($AF$585:$AF$598)/SUM($AC$585:$AC$598)))</f>
        <v>0</v>
      </c>
      <c r="AI598">
        <f>IF(OR(AG598="",AH598=""),"",IF((AG598+AH598)=0,0,100*ABS(AG598-AH598)/(AG598+AH598)))</f>
        <v>0</v>
      </c>
      <c r="AJ598">
        <f>IF(COUNT($AI$585:$AI$598)&lt;14,"",AVERAGE($AI$585:$AI$598))</f>
        <v>0</v>
      </c>
      <c r="AK598">
        <f>IF(COUNT($E$2:$E598)&lt;20,"",AVERAGE($E$579:$E$598))</f>
        <v>0</v>
      </c>
      <c r="AL598">
        <f>IF(COUNT($E$2:$E598)&lt;20,"",STDEVP($E$579:$E$598))</f>
        <v>0</v>
      </c>
      <c r="AM598">
        <f>IF(AK598="","",AK598+2*AL598)</f>
        <v>0</v>
      </c>
      <c r="AN598">
        <f>IF(AK598="","",AK598-2*AL598)</f>
        <v>0</v>
      </c>
      <c r="AO598">
        <f>IF(OR(AM598="",AN598="",AM598=AN598),"",($E598-AN598)/(AM598-AN598))</f>
        <v>0</v>
      </c>
      <c r="AP598">
        <f>IF(OR(AM598="",AK598="",AK598=0),"",(AM598-AN598)/AK598)</f>
        <v>0</v>
      </c>
      <c r="AQ598">
        <f>IF(COUNT($E$2:$E598)&lt;20,"",MAX($C$579:$C$598))</f>
        <v>0</v>
      </c>
      <c r="AR598">
        <f>IF(COUNT($E$2:$E598)&lt;20,"",MIN($D$579:$D$598))</f>
        <v>0</v>
      </c>
      <c r="AS598">
        <f>IF(OR(AQ598="",AR598=""),"",(AQ598+AR598)/2)</f>
        <v>0</v>
      </c>
      <c r="AT598">
        <f>IF(COUNT($G$579:$G$598)&lt;20,"",STDEV($G$579:$G$598)*SQRT(252))</f>
        <v>0</v>
      </c>
      <c r="AU598">
        <f>IF(COUNT($E$2:$E598)&lt;9,"",(MAX($C$590:$C$598)+MIN($D$590:$D$598))/2)</f>
        <v>0</v>
      </c>
      <c r="AV598">
        <f>IF(COUNT($E$2:$E598)&lt;26,"",(MAX($C$573:$C$598)+MIN($D$573:$D$598))/2)</f>
        <v>0</v>
      </c>
      <c r="AW598">
        <f>IF(OR(AU598="",AV598=""),"",(AU598+AV598)/2)</f>
        <v>0</v>
      </c>
      <c r="AX598">
        <f>IF(COUNT($E$2:$E598)&lt;52,"",(MAX($C$547:$C$598)+MIN($D$547:$D$598))/2)</f>
        <v>0</v>
      </c>
      <c r="AY598">
        <f>IF(COUNT($E$2:$E598)&lt;20,"",MAX($C$499:$C$598))</f>
        <v>0</v>
      </c>
      <c r="AZ598">
        <f>IF(COUNT($E$2:$E598)&lt;20,"",MIN($D$499:$D$598))</f>
        <v>0</v>
      </c>
      <c r="BA598">
        <f>IF(COUNT($E$2:$E598)&lt;20,"",SLOPE($E$499:$E$598,$F$499:$F$598))</f>
        <v>0</v>
      </c>
      <c r="BB598">
        <f>IF(COUNT($E$2:$E598)&lt;20,"",INTERCEPT($E$499:$E$598,$F$499:$F$598))</f>
        <v>0</v>
      </c>
      <c r="BC598">
        <f>IF(OR(BA598="",BB598=""),"",BB598+BA598*F598)</f>
        <v>0</v>
      </c>
      <c r="BD598">
        <f>IF(COUNT($E$2:$E598)&lt;20,"",STEYX($E$499:$E$598,$F$499:$F$598))</f>
        <v>0</v>
      </c>
      <c r="BE598">
        <f>IF($E598="","",IF(AND(COUNT($E$599:$E$602)&gt;=4,$C598=MAX($C$594:$C$602)),$C598,""))</f>
        <v>0</v>
      </c>
      <c r="BF598">
        <f>IF($E598="","",IF(AND(COUNT($E$599:$E$602)&gt;=4,$D598=MIN($D$594:$D$602)),$D598,""))</f>
        <v>0</v>
      </c>
      <c r="BG598">
        <f>IF($A598="","",$A598-WEEKDAY($A598,2)+1)</f>
        <v>0</v>
      </c>
      <c r="BH598">
        <f>IF($A598="","",IF($A597="",1,IF(BG598&lt;&gt;BG597,1,0)))</f>
        <v>0</v>
      </c>
      <c r="BI598">
        <f>IF($A598="","",IF($A599="",1,IF(BG599&lt;&gt;BG598,1,0)))</f>
        <v>0</v>
      </c>
      <c r="BJ598">
        <f>IF($A598="","",IF(BH598=1,$B598,BJ597))</f>
        <v>0</v>
      </c>
      <c r="BK598">
        <f>IF($A598="","",IF(BH598=1,$C598,MAX($C598,BK597)))</f>
        <v>0</v>
      </c>
      <c r="BL598">
        <f>IF($A598="","",IF(BH598=1,$D598,MIN($D598,BL597)))</f>
        <v>0</v>
      </c>
      <c r="BM598">
        <f>IF($A598="","",IF(BI598=1,F598,""))</f>
        <v>0</v>
      </c>
      <c r="BN598">
        <f>IF($A598="","",DATE(YEAR($A598),MONTH($A598),1))</f>
        <v>0</v>
      </c>
      <c r="BO598">
        <f>IF($A598="","",IF($A597="",1,IF(BN598&lt;&gt;BN597,1,0)))</f>
        <v>0</v>
      </c>
      <c r="BP598">
        <f>IF($A598="","",IF($A599="",1,IF(BN599&lt;&gt;BN598,1,0)))</f>
        <v>0</v>
      </c>
      <c r="BQ598">
        <f>IF($A598="","",IF(BO598=1,$B598,BQ597))</f>
        <v>0</v>
      </c>
      <c r="BR598">
        <f>IF($A598="","",IF(BO598=1,$C598,MAX($C598,BR597)))</f>
        <v>0</v>
      </c>
      <c r="BS598">
        <f>IF($A598="","",IF(BO598=1,$D598,MIN($D598,BS597)))</f>
        <v>0</v>
      </c>
      <c r="BT598">
        <f>IF($A598="","",IF(BP598=1,F598,""))</f>
        <v>0</v>
      </c>
    </row>
    <row r="599" spans="1:72">
      <c r="A599" s="27">
        <f>IF(Data!$A599="","",Data!$A599)</f>
        <v>0</v>
      </c>
      <c r="B599">
        <f>IF(Data!$B599="","",Data!$B599)</f>
        <v>0</v>
      </c>
      <c r="C599">
        <f>IF(Data!$C599="","",Data!$C599)</f>
        <v>0</v>
      </c>
      <c r="D599">
        <f>IF(Data!$D599="","",Data!$D599)</f>
        <v>0</v>
      </c>
      <c r="E599">
        <f>IF(Data!$E599="","",Data!$E599)</f>
        <v>0</v>
      </c>
      <c r="F599">
        <f>IF($E599="","",N(F598)+1)</f>
        <v>0</v>
      </c>
      <c r="G599">
        <f>IF(OR($E599="",$E598=""),"",LN($E599/$E598))</f>
        <v>0</v>
      </c>
      <c r="H599">
        <f>IF($E599="","",IF($E598="",$E599,$E599*0.0952380952+H598*0.9047619048))</f>
        <v>0</v>
      </c>
      <c r="I599">
        <f>IF($E599="","",IF($E598="",$E599,$E599*0.0392156863+I598*0.9607843137))</f>
        <v>0</v>
      </c>
      <c r="J599">
        <f>IF($E599="","",IF($E598="",$E599,$E599*0.0198019802+J598*0.9801980198))</f>
        <v>0</v>
      </c>
      <c r="K599">
        <f>IF($E599="","",IF($E598="",$E599,$E599*0.0099502488+K598*0.9900497512))</f>
        <v>0</v>
      </c>
      <c r="L599">
        <f>IF(OR($E599="",$E598=""),"",MAX($E599-$E598,0))</f>
        <v>0</v>
      </c>
      <c r="M599">
        <f>IF(OR($E599="",$E598=""),"",MAX($E598-$E599,0))</f>
        <v>0</v>
      </c>
      <c r="N599">
        <f>IF(COUNT($E$2:$E599)&lt;15,"",IF(AVERAGE($M$586:$M$599)=0,100,100-100/(1+AVERAGE($L$586:$L$599)/AVERAGE($M$586:$M$599))))</f>
        <v>0</v>
      </c>
      <c r="O599">
        <f>IF($E599="","",IF($E598="",$E599,$E599*0.1538461538+O598*0.8461538462))</f>
        <v>0</v>
      </c>
      <c r="P599">
        <f>IF($E599="","",IF($E598="",$E599,$E599*0.0740740741+P598*0.9259259259))</f>
        <v>0</v>
      </c>
      <c r="Q599">
        <f>IF(OR(O599="",P599=""),"",O599-P599)</f>
        <v>0</v>
      </c>
      <c r="R599">
        <f>IF(Q599="","",IF(R598="",Q599,Q599*0.2000000000+R598*0.8000000000))</f>
        <v>0</v>
      </c>
      <c r="S599">
        <f>IF(OR(Q599="",R599=""),"",Q599-R599)</f>
        <v>0</v>
      </c>
      <c r="T599">
        <f>IF(COUNT($E$2:$E599)&lt;14,"",MAX($C$586:$C$599))</f>
        <v>0</v>
      </c>
      <c r="U599">
        <f>IF(COUNT($E$2:$E599)&lt;14,"",MIN($D$586:$D$599))</f>
        <v>0</v>
      </c>
      <c r="V599">
        <f>IF(OR(T599="",U599="",T599=U599),"",100*($E599-U599)/(T599-U599))</f>
        <v>0</v>
      </c>
      <c r="W599">
        <f>IF(COUNT($V$597:$V$599)&lt;3,"",AVERAGE($V$597:$V$599))</f>
        <v>0</v>
      </c>
      <c r="X599">
        <f>IF(COUNT($N$586:$N$599)&lt;14,"",MIN($N$586:$N$599))</f>
        <v>0</v>
      </c>
      <c r="Y599">
        <f>IF(COUNT($N$586:$N$599)&lt;14,"",MAX($N$586:$N$599))</f>
        <v>0</v>
      </c>
      <c r="Z599">
        <f>IF(OR(N599="",X599="",Y599="",Y599=X599),"",100*(N599-X599)/(Y599-X599))</f>
        <v>0</v>
      </c>
      <c r="AA599">
        <f>IF(COUNT($Z$597:$Z$599)&lt;3,"",AVERAGE($Z$597:$Z$599))</f>
        <v>0</v>
      </c>
      <c r="AB599">
        <f>IF(COUNT($AA$597:$AA$599)&lt;3,"",AVERAGE($AA$597:$AA$599))</f>
        <v>0</v>
      </c>
      <c r="AC599">
        <f>IF($E599="","",MAX($C599-$D599,ABS($C599-$E598),ABS($D599-$E598)))</f>
        <v>0</v>
      </c>
      <c r="AD599">
        <f>IF(COUNT($E$2:$E599)&lt;15,"",AVERAGE($AC$586:$AC$599))</f>
        <v>0</v>
      </c>
      <c r="AE599">
        <f>IF(OR($E599="",$E598=""),"",IF(AND(($C599-$C598)&gt;($D598-$D599),($C599-$C598)&gt;0),$C599-$C598,0))</f>
        <v>0</v>
      </c>
      <c r="AF599">
        <f>IF(OR($E599="",$E598=""),"",IF(AND(($D598-$D599)&gt;($C599-$C598),($D598-$D599)&gt;0),$D598-$D599,0))</f>
        <v>0</v>
      </c>
      <c r="AG599">
        <f>IF(COUNT($E$2:$E599)&lt;15,"",IF(SUM($AC$586:$AC$599)=0,0,100*SUM($AE$586:$AE$599)/SUM($AC$586:$AC$599)))</f>
        <v>0</v>
      </c>
      <c r="AH599">
        <f>IF(COUNT($E$2:$E599)&lt;15,"",IF(SUM($AC$586:$AC$599)=0,0,100*SUM($AF$586:$AF$599)/SUM($AC$586:$AC$599)))</f>
        <v>0</v>
      </c>
      <c r="AI599">
        <f>IF(OR(AG599="",AH599=""),"",IF((AG599+AH599)=0,0,100*ABS(AG599-AH599)/(AG599+AH599)))</f>
        <v>0</v>
      </c>
      <c r="AJ599">
        <f>IF(COUNT($AI$586:$AI$599)&lt;14,"",AVERAGE($AI$586:$AI$599))</f>
        <v>0</v>
      </c>
      <c r="AK599">
        <f>IF(COUNT($E$2:$E599)&lt;20,"",AVERAGE($E$580:$E$599))</f>
        <v>0</v>
      </c>
      <c r="AL599">
        <f>IF(COUNT($E$2:$E599)&lt;20,"",STDEVP($E$580:$E$599))</f>
        <v>0</v>
      </c>
      <c r="AM599">
        <f>IF(AK599="","",AK599+2*AL599)</f>
        <v>0</v>
      </c>
      <c r="AN599">
        <f>IF(AK599="","",AK599-2*AL599)</f>
        <v>0</v>
      </c>
      <c r="AO599">
        <f>IF(OR(AM599="",AN599="",AM599=AN599),"",($E599-AN599)/(AM599-AN599))</f>
        <v>0</v>
      </c>
      <c r="AP599">
        <f>IF(OR(AM599="",AK599="",AK599=0),"",(AM599-AN599)/AK599)</f>
        <v>0</v>
      </c>
      <c r="AQ599">
        <f>IF(COUNT($E$2:$E599)&lt;20,"",MAX($C$580:$C$599))</f>
        <v>0</v>
      </c>
      <c r="AR599">
        <f>IF(COUNT($E$2:$E599)&lt;20,"",MIN($D$580:$D$599))</f>
        <v>0</v>
      </c>
      <c r="AS599">
        <f>IF(OR(AQ599="",AR599=""),"",(AQ599+AR599)/2)</f>
        <v>0</v>
      </c>
      <c r="AT599">
        <f>IF(COUNT($G$580:$G$599)&lt;20,"",STDEV($G$580:$G$599)*SQRT(252))</f>
        <v>0</v>
      </c>
      <c r="AU599">
        <f>IF(COUNT($E$2:$E599)&lt;9,"",(MAX($C$591:$C$599)+MIN($D$591:$D$599))/2)</f>
        <v>0</v>
      </c>
      <c r="AV599">
        <f>IF(COUNT($E$2:$E599)&lt;26,"",(MAX($C$574:$C$599)+MIN($D$574:$D$599))/2)</f>
        <v>0</v>
      </c>
      <c r="AW599">
        <f>IF(OR(AU599="",AV599=""),"",(AU599+AV599)/2)</f>
        <v>0</v>
      </c>
      <c r="AX599">
        <f>IF(COUNT($E$2:$E599)&lt;52,"",(MAX($C$548:$C$599)+MIN($D$548:$D$599))/2)</f>
        <v>0</v>
      </c>
      <c r="AY599">
        <f>IF(COUNT($E$2:$E599)&lt;20,"",MAX($C$500:$C$599))</f>
        <v>0</v>
      </c>
      <c r="AZ599">
        <f>IF(COUNT($E$2:$E599)&lt;20,"",MIN($D$500:$D$599))</f>
        <v>0</v>
      </c>
      <c r="BA599">
        <f>IF(COUNT($E$2:$E599)&lt;20,"",SLOPE($E$500:$E$599,$F$500:$F$599))</f>
        <v>0</v>
      </c>
      <c r="BB599">
        <f>IF(COUNT($E$2:$E599)&lt;20,"",INTERCEPT($E$500:$E$599,$F$500:$F$599))</f>
        <v>0</v>
      </c>
      <c r="BC599">
        <f>IF(OR(BA599="",BB599=""),"",BB599+BA599*F599)</f>
        <v>0</v>
      </c>
      <c r="BD599">
        <f>IF(COUNT($E$2:$E599)&lt;20,"",STEYX($E$500:$E$599,$F$500:$F$599))</f>
        <v>0</v>
      </c>
      <c r="BE599">
        <f>IF($E599="","",IF(AND(COUNT($E$600:$E$603)&gt;=4,$C599=MAX($C$595:$C$603)),$C599,""))</f>
        <v>0</v>
      </c>
      <c r="BF599">
        <f>IF($E599="","",IF(AND(COUNT($E$600:$E$603)&gt;=4,$D599=MIN($D$595:$D$603)),$D599,""))</f>
        <v>0</v>
      </c>
      <c r="BG599">
        <f>IF($A599="","",$A599-WEEKDAY($A599,2)+1)</f>
        <v>0</v>
      </c>
      <c r="BH599">
        <f>IF($A599="","",IF($A598="",1,IF(BG599&lt;&gt;BG598,1,0)))</f>
        <v>0</v>
      </c>
      <c r="BI599">
        <f>IF($A599="","",IF($A600="",1,IF(BG600&lt;&gt;BG599,1,0)))</f>
        <v>0</v>
      </c>
      <c r="BJ599">
        <f>IF($A599="","",IF(BH599=1,$B599,BJ598))</f>
        <v>0</v>
      </c>
      <c r="BK599">
        <f>IF($A599="","",IF(BH599=1,$C599,MAX($C599,BK598)))</f>
        <v>0</v>
      </c>
      <c r="BL599">
        <f>IF($A599="","",IF(BH599=1,$D599,MIN($D599,BL598)))</f>
        <v>0</v>
      </c>
      <c r="BM599">
        <f>IF($A599="","",IF(BI599=1,F599,""))</f>
        <v>0</v>
      </c>
      <c r="BN599">
        <f>IF($A599="","",DATE(YEAR($A599),MONTH($A599),1))</f>
        <v>0</v>
      </c>
      <c r="BO599">
        <f>IF($A599="","",IF($A598="",1,IF(BN599&lt;&gt;BN598,1,0)))</f>
        <v>0</v>
      </c>
      <c r="BP599">
        <f>IF($A599="","",IF($A600="",1,IF(BN600&lt;&gt;BN599,1,0)))</f>
        <v>0</v>
      </c>
      <c r="BQ599">
        <f>IF($A599="","",IF(BO599=1,$B599,BQ598))</f>
        <v>0</v>
      </c>
      <c r="BR599">
        <f>IF($A599="","",IF(BO599=1,$C599,MAX($C599,BR598)))</f>
        <v>0</v>
      </c>
      <c r="BS599">
        <f>IF($A599="","",IF(BO599=1,$D599,MIN($D599,BS598)))</f>
        <v>0</v>
      </c>
      <c r="BT599">
        <f>IF($A599="","",IF(BP599=1,F599,""))</f>
        <v>0</v>
      </c>
    </row>
    <row r="600" spans="1:72">
      <c r="A600" s="27">
        <f>IF(Data!$A600="","",Data!$A600)</f>
        <v>0</v>
      </c>
      <c r="B600">
        <f>IF(Data!$B600="","",Data!$B600)</f>
        <v>0</v>
      </c>
      <c r="C600">
        <f>IF(Data!$C600="","",Data!$C600)</f>
        <v>0</v>
      </c>
      <c r="D600">
        <f>IF(Data!$D600="","",Data!$D600)</f>
        <v>0</v>
      </c>
      <c r="E600">
        <f>IF(Data!$E600="","",Data!$E600)</f>
        <v>0</v>
      </c>
      <c r="F600">
        <f>IF($E600="","",N(F599)+1)</f>
        <v>0</v>
      </c>
      <c r="G600">
        <f>IF(OR($E600="",$E599=""),"",LN($E600/$E599))</f>
        <v>0</v>
      </c>
      <c r="H600">
        <f>IF($E600="","",IF($E599="",$E600,$E600*0.0952380952+H599*0.9047619048))</f>
        <v>0</v>
      </c>
      <c r="I600">
        <f>IF($E600="","",IF($E599="",$E600,$E600*0.0392156863+I599*0.9607843137))</f>
        <v>0</v>
      </c>
      <c r="J600">
        <f>IF($E600="","",IF($E599="",$E600,$E600*0.0198019802+J599*0.9801980198))</f>
        <v>0</v>
      </c>
      <c r="K600">
        <f>IF($E600="","",IF($E599="",$E600,$E600*0.0099502488+K599*0.9900497512))</f>
        <v>0</v>
      </c>
      <c r="L600">
        <f>IF(OR($E600="",$E599=""),"",MAX($E600-$E599,0))</f>
        <v>0</v>
      </c>
      <c r="M600">
        <f>IF(OR($E600="",$E599=""),"",MAX($E599-$E600,0))</f>
        <v>0</v>
      </c>
      <c r="N600">
        <f>IF(COUNT($E$2:$E600)&lt;15,"",IF(AVERAGE($M$587:$M$600)=0,100,100-100/(1+AVERAGE($L$587:$L$600)/AVERAGE($M$587:$M$600))))</f>
        <v>0</v>
      </c>
      <c r="O600">
        <f>IF($E600="","",IF($E599="",$E600,$E600*0.1538461538+O599*0.8461538462))</f>
        <v>0</v>
      </c>
      <c r="P600">
        <f>IF($E600="","",IF($E599="",$E600,$E600*0.0740740741+P599*0.9259259259))</f>
        <v>0</v>
      </c>
      <c r="Q600">
        <f>IF(OR(O600="",P600=""),"",O600-P600)</f>
        <v>0</v>
      </c>
      <c r="R600">
        <f>IF(Q600="","",IF(R599="",Q600,Q600*0.2000000000+R599*0.8000000000))</f>
        <v>0</v>
      </c>
      <c r="S600">
        <f>IF(OR(Q600="",R600=""),"",Q600-R600)</f>
        <v>0</v>
      </c>
      <c r="T600">
        <f>IF(COUNT($E$2:$E600)&lt;14,"",MAX($C$587:$C$600))</f>
        <v>0</v>
      </c>
      <c r="U600">
        <f>IF(COUNT($E$2:$E600)&lt;14,"",MIN($D$587:$D$600))</f>
        <v>0</v>
      </c>
      <c r="V600">
        <f>IF(OR(T600="",U600="",T600=U600),"",100*($E600-U600)/(T600-U600))</f>
        <v>0</v>
      </c>
      <c r="W600">
        <f>IF(COUNT($V$598:$V$600)&lt;3,"",AVERAGE($V$598:$V$600))</f>
        <v>0</v>
      </c>
      <c r="X600">
        <f>IF(COUNT($N$587:$N$600)&lt;14,"",MIN($N$587:$N$600))</f>
        <v>0</v>
      </c>
      <c r="Y600">
        <f>IF(COUNT($N$587:$N$600)&lt;14,"",MAX($N$587:$N$600))</f>
        <v>0</v>
      </c>
      <c r="Z600">
        <f>IF(OR(N600="",X600="",Y600="",Y600=X600),"",100*(N600-X600)/(Y600-X600))</f>
        <v>0</v>
      </c>
      <c r="AA600">
        <f>IF(COUNT($Z$598:$Z$600)&lt;3,"",AVERAGE($Z$598:$Z$600))</f>
        <v>0</v>
      </c>
      <c r="AB600">
        <f>IF(COUNT($AA$598:$AA$600)&lt;3,"",AVERAGE($AA$598:$AA$600))</f>
        <v>0</v>
      </c>
      <c r="AC600">
        <f>IF($E600="","",MAX($C600-$D600,ABS($C600-$E599),ABS($D600-$E599)))</f>
        <v>0</v>
      </c>
      <c r="AD600">
        <f>IF(COUNT($E$2:$E600)&lt;15,"",AVERAGE($AC$587:$AC$600))</f>
        <v>0</v>
      </c>
      <c r="AE600">
        <f>IF(OR($E600="",$E599=""),"",IF(AND(($C600-$C599)&gt;($D599-$D600),($C600-$C599)&gt;0),$C600-$C599,0))</f>
        <v>0</v>
      </c>
      <c r="AF600">
        <f>IF(OR($E600="",$E599=""),"",IF(AND(($D599-$D600)&gt;($C600-$C599),($D599-$D600)&gt;0),$D599-$D600,0))</f>
        <v>0</v>
      </c>
      <c r="AG600">
        <f>IF(COUNT($E$2:$E600)&lt;15,"",IF(SUM($AC$587:$AC$600)=0,0,100*SUM($AE$587:$AE$600)/SUM($AC$587:$AC$600)))</f>
        <v>0</v>
      </c>
      <c r="AH600">
        <f>IF(COUNT($E$2:$E600)&lt;15,"",IF(SUM($AC$587:$AC$600)=0,0,100*SUM($AF$587:$AF$600)/SUM($AC$587:$AC$600)))</f>
        <v>0</v>
      </c>
      <c r="AI600">
        <f>IF(OR(AG600="",AH600=""),"",IF((AG600+AH600)=0,0,100*ABS(AG600-AH600)/(AG600+AH600)))</f>
        <v>0</v>
      </c>
      <c r="AJ600">
        <f>IF(COUNT($AI$587:$AI$600)&lt;14,"",AVERAGE($AI$587:$AI$600))</f>
        <v>0</v>
      </c>
      <c r="AK600">
        <f>IF(COUNT($E$2:$E600)&lt;20,"",AVERAGE($E$581:$E$600))</f>
        <v>0</v>
      </c>
      <c r="AL600">
        <f>IF(COUNT($E$2:$E600)&lt;20,"",STDEVP($E$581:$E$600))</f>
        <v>0</v>
      </c>
      <c r="AM600">
        <f>IF(AK600="","",AK600+2*AL600)</f>
        <v>0</v>
      </c>
      <c r="AN600">
        <f>IF(AK600="","",AK600-2*AL600)</f>
        <v>0</v>
      </c>
      <c r="AO600">
        <f>IF(OR(AM600="",AN600="",AM600=AN600),"",($E600-AN600)/(AM600-AN600))</f>
        <v>0</v>
      </c>
      <c r="AP600">
        <f>IF(OR(AM600="",AK600="",AK600=0),"",(AM600-AN600)/AK600)</f>
        <v>0</v>
      </c>
      <c r="AQ600">
        <f>IF(COUNT($E$2:$E600)&lt;20,"",MAX($C$581:$C$600))</f>
        <v>0</v>
      </c>
      <c r="AR600">
        <f>IF(COUNT($E$2:$E600)&lt;20,"",MIN($D$581:$D$600))</f>
        <v>0</v>
      </c>
      <c r="AS600">
        <f>IF(OR(AQ600="",AR600=""),"",(AQ600+AR600)/2)</f>
        <v>0</v>
      </c>
      <c r="AT600">
        <f>IF(COUNT($G$581:$G$600)&lt;20,"",STDEV($G$581:$G$600)*SQRT(252))</f>
        <v>0</v>
      </c>
      <c r="AU600">
        <f>IF(COUNT($E$2:$E600)&lt;9,"",(MAX($C$592:$C$600)+MIN($D$592:$D$600))/2)</f>
        <v>0</v>
      </c>
      <c r="AV600">
        <f>IF(COUNT($E$2:$E600)&lt;26,"",(MAX($C$575:$C$600)+MIN($D$575:$D$600))/2)</f>
        <v>0</v>
      </c>
      <c r="AW600">
        <f>IF(OR(AU600="",AV600=""),"",(AU600+AV600)/2)</f>
        <v>0</v>
      </c>
      <c r="AX600">
        <f>IF(COUNT($E$2:$E600)&lt;52,"",(MAX($C$549:$C$600)+MIN($D$549:$D$600))/2)</f>
        <v>0</v>
      </c>
      <c r="AY600">
        <f>IF(COUNT($E$2:$E600)&lt;20,"",MAX($C$501:$C$600))</f>
        <v>0</v>
      </c>
      <c r="AZ600">
        <f>IF(COUNT($E$2:$E600)&lt;20,"",MIN($D$501:$D$600))</f>
        <v>0</v>
      </c>
      <c r="BA600">
        <f>IF(COUNT($E$2:$E600)&lt;20,"",SLOPE($E$501:$E$600,$F$501:$F$600))</f>
        <v>0</v>
      </c>
      <c r="BB600">
        <f>IF(COUNT($E$2:$E600)&lt;20,"",INTERCEPT($E$501:$E$600,$F$501:$F$600))</f>
        <v>0</v>
      </c>
      <c r="BC600">
        <f>IF(OR(BA600="",BB600=""),"",BB600+BA600*F600)</f>
        <v>0</v>
      </c>
      <c r="BD600">
        <f>IF(COUNT($E$2:$E600)&lt;20,"",STEYX($E$501:$E$600,$F$501:$F$600))</f>
        <v>0</v>
      </c>
      <c r="BE600">
        <f>IF($E600="","",IF(AND(COUNT($E$601:$E$604)&gt;=4,$C600=MAX($C$596:$C$604)),$C600,""))</f>
        <v>0</v>
      </c>
      <c r="BF600">
        <f>IF($E600="","",IF(AND(COUNT($E$601:$E$604)&gt;=4,$D600=MIN($D$596:$D$604)),$D600,""))</f>
        <v>0</v>
      </c>
      <c r="BG600">
        <f>IF($A600="","",$A600-WEEKDAY($A600,2)+1)</f>
        <v>0</v>
      </c>
      <c r="BH600">
        <f>IF($A600="","",IF($A599="",1,IF(BG600&lt;&gt;BG599,1,0)))</f>
        <v>0</v>
      </c>
      <c r="BI600">
        <f>IF($A600="","",IF($A601="",1,IF(BG601&lt;&gt;BG600,1,0)))</f>
        <v>0</v>
      </c>
      <c r="BJ600">
        <f>IF($A600="","",IF(BH600=1,$B600,BJ599))</f>
        <v>0</v>
      </c>
      <c r="BK600">
        <f>IF($A600="","",IF(BH600=1,$C600,MAX($C600,BK599)))</f>
        <v>0</v>
      </c>
      <c r="BL600">
        <f>IF($A600="","",IF(BH600=1,$D600,MIN($D600,BL599)))</f>
        <v>0</v>
      </c>
      <c r="BM600">
        <f>IF($A600="","",IF(BI600=1,F600,""))</f>
        <v>0</v>
      </c>
      <c r="BN600">
        <f>IF($A600="","",DATE(YEAR($A600),MONTH($A600),1))</f>
        <v>0</v>
      </c>
      <c r="BO600">
        <f>IF($A600="","",IF($A599="",1,IF(BN600&lt;&gt;BN599,1,0)))</f>
        <v>0</v>
      </c>
      <c r="BP600">
        <f>IF($A600="","",IF($A601="",1,IF(BN601&lt;&gt;BN600,1,0)))</f>
        <v>0</v>
      </c>
      <c r="BQ600">
        <f>IF($A600="","",IF(BO600=1,$B600,BQ599))</f>
        <v>0</v>
      </c>
      <c r="BR600">
        <f>IF($A600="","",IF(BO600=1,$C600,MAX($C600,BR599)))</f>
        <v>0</v>
      </c>
      <c r="BS600">
        <f>IF($A600="","",IF(BO600=1,$D600,MIN($D600,BS599)))</f>
        <v>0</v>
      </c>
      <c r="BT600">
        <f>IF($A600="","",IF(BP600=1,F600,""))</f>
        <v>0</v>
      </c>
    </row>
    <row r="601" spans="1:72">
      <c r="A601" s="27">
        <f>IF(Data!$A601="","",Data!$A601)</f>
        <v>0</v>
      </c>
      <c r="B601">
        <f>IF(Data!$B601="","",Data!$B601)</f>
        <v>0</v>
      </c>
      <c r="C601">
        <f>IF(Data!$C601="","",Data!$C601)</f>
        <v>0</v>
      </c>
      <c r="D601">
        <f>IF(Data!$D601="","",Data!$D601)</f>
        <v>0</v>
      </c>
      <c r="E601">
        <f>IF(Data!$E601="","",Data!$E601)</f>
        <v>0</v>
      </c>
      <c r="F601">
        <f>IF($E601="","",N(F600)+1)</f>
        <v>0</v>
      </c>
      <c r="G601">
        <f>IF(OR($E601="",$E600=""),"",LN($E601/$E600))</f>
        <v>0</v>
      </c>
      <c r="H601">
        <f>IF($E601="","",IF($E600="",$E601,$E601*0.0952380952+H600*0.9047619048))</f>
        <v>0</v>
      </c>
      <c r="I601">
        <f>IF($E601="","",IF($E600="",$E601,$E601*0.0392156863+I600*0.9607843137))</f>
        <v>0</v>
      </c>
      <c r="J601">
        <f>IF($E601="","",IF($E600="",$E601,$E601*0.0198019802+J600*0.9801980198))</f>
        <v>0</v>
      </c>
      <c r="K601">
        <f>IF($E601="","",IF($E600="",$E601,$E601*0.0099502488+K600*0.9900497512))</f>
        <v>0</v>
      </c>
      <c r="L601">
        <f>IF(OR($E601="",$E600=""),"",MAX($E601-$E600,0))</f>
        <v>0</v>
      </c>
      <c r="M601">
        <f>IF(OR($E601="",$E600=""),"",MAX($E600-$E601,0))</f>
        <v>0</v>
      </c>
      <c r="N601">
        <f>IF(COUNT($E$2:$E601)&lt;15,"",IF(AVERAGE($M$588:$M$601)=0,100,100-100/(1+AVERAGE($L$588:$L$601)/AVERAGE($M$588:$M$601))))</f>
        <v>0</v>
      </c>
      <c r="O601">
        <f>IF($E601="","",IF($E600="",$E601,$E601*0.1538461538+O600*0.8461538462))</f>
        <v>0</v>
      </c>
      <c r="P601">
        <f>IF($E601="","",IF($E600="",$E601,$E601*0.0740740741+P600*0.9259259259))</f>
        <v>0</v>
      </c>
      <c r="Q601">
        <f>IF(OR(O601="",P601=""),"",O601-P601)</f>
        <v>0</v>
      </c>
      <c r="R601">
        <f>IF(Q601="","",IF(R600="",Q601,Q601*0.2000000000+R600*0.8000000000))</f>
        <v>0</v>
      </c>
      <c r="S601">
        <f>IF(OR(Q601="",R601=""),"",Q601-R601)</f>
        <v>0</v>
      </c>
      <c r="T601">
        <f>IF(COUNT($E$2:$E601)&lt;14,"",MAX($C$588:$C$601))</f>
        <v>0</v>
      </c>
      <c r="U601">
        <f>IF(COUNT($E$2:$E601)&lt;14,"",MIN($D$588:$D$601))</f>
        <v>0</v>
      </c>
      <c r="V601">
        <f>IF(OR(T601="",U601="",T601=U601),"",100*($E601-U601)/(T601-U601))</f>
        <v>0</v>
      </c>
      <c r="W601">
        <f>IF(COUNT($V$599:$V$601)&lt;3,"",AVERAGE($V$599:$V$601))</f>
        <v>0</v>
      </c>
      <c r="X601">
        <f>IF(COUNT($N$588:$N$601)&lt;14,"",MIN($N$588:$N$601))</f>
        <v>0</v>
      </c>
      <c r="Y601">
        <f>IF(COUNT($N$588:$N$601)&lt;14,"",MAX($N$588:$N$601))</f>
        <v>0</v>
      </c>
      <c r="Z601">
        <f>IF(OR(N601="",X601="",Y601="",Y601=X601),"",100*(N601-X601)/(Y601-X601))</f>
        <v>0</v>
      </c>
      <c r="AA601">
        <f>IF(COUNT($Z$599:$Z$601)&lt;3,"",AVERAGE($Z$599:$Z$601))</f>
        <v>0</v>
      </c>
      <c r="AB601">
        <f>IF(COUNT($AA$599:$AA$601)&lt;3,"",AVERAGE($AA$599:$AA$601))</f>
        <v>0</v>
      </c>
      <c r="AC601">
        <f>IF($E601="","",MAX($C601-$D601,ABS($C601-$E600),ABS($D601-$E600)))</f>
        <v>0</v>
      </c>
      <c r="AD601">
        <f>IF(COUNT($E$2:$E601)&lt;15,"",AVERAGE($AC$588:$AC$601))</f>
        <v>0</v>
      </c>
      <c r="AE601">
        <f>IF(OR($E601="",$E600=""),"",IF(AND(($C601-$C600)&gt;($D600-$D601),($C601-$C600)&gt;0),$C601-$C600,0))</f>
        <v>0</v>
      </c>
      <c r="AF601">
        <f>IF(OR($E601="",$E600=""),"",IF(AND(($D600-$D601)&gt;($C601-$C600),($D600-$D601)&gt;0),$D600-$D601,0))</f>
        <v>0</v>
      </c>
      <c r="AG601">
        <f>IF(COUNT($E$2:$E601)&lt;15,"",IF(SUM($AC$588:$AC$601)=0,0,100*SUM($AE$588:$AE$601)/SUM($AC$588:$AC$601)))</f>
        <v>0</v>
      </c>
      <c r="AH601">
        <f>IF(COUNT($E$2:$E601)&lt;15,"",IF(SUM($AC$588:$AC$601)=0,0,100*SUM($AF$588:$AF$601)/SUM($AC$588:$AC$601)))</f>
        <v>0</v>
      </c>
      <c r="AI601">
        <f>IF(OR(AG601="",AH601=""),"",IF((AG601+AH601)=0,0,100*ABS(AG601-AH601)/(AG601+AH601)))</f>
        <v>0</v>
      </c>
      <c r="AJ601">
        <f>IF(COUNT($AI$588:$AI$601)&lt;14,"",AVERAGE($AI$588:$AI$601))</f>
        <v>0</v>
      </c>
      <c r="AK601">
        <f>IF(COUNT($E$2:$E601)&lt;20,"",AVERAGE($E$582:$E$601))</f>
        <v>0</v>
      </c>
      <c r="AL601">
        <f>IF(COUNT($E$2:$E601)&lt;20,"",STDEVP($E$582:$E$601))</f>
        <v>0</v>
      </c>
      <c r="AM601">
        <f>IF(AK601="","",AK601+2*AL601)</f>
        <v>0</v>
      </c>
      <c r="AN601">
        <f>IF(AK601="","",AK601-2*AL601)</f>
        <v>0</v>
      </c>
      <c r="AO601">
        <f>IF(OR(AM601="",AN601="",AM601=AN601),"",($E601-AN601)/(AM601-AN601))</f>
        <v>0</v>
      </c>
      <c r="AP601">
        <f>IF(OR(AM601="",AK601="",AK601=0),"",(AM601-AN601)/AK601)</f>
        <v>0</v>
      </c>
      <c r="AQ601">
        <f>IF(COUNT($E$2:$E601)&lt;20,"",MAX($C$582:$C$601))</f>
        <v>0</v>
      </c>
      <c r="AR601">
        <f>IF(COUNT($E$2:$E601)&lt;20,"",MIN($D$582:$D$601))</f>
        <v>0</v>
      </c>
      <c r="AS601">
        <f>IF(OR(AQ601="",AR601=""),"",(AQ601+AR601)/2)</f>
        <v>0</v>
      </c>
      <c r="AT601">
        <f>IF(COUNT($G$582:$G$601)&lt;20,"",STDEV($G$582:$G$601)*SQRT(252))</f>
        <v>0</v>
      </c>
      <c r="AU601">
        <f>IF(COUNT($E$2:$E601)&lt;9,"",(MAX($C$593:$C$601)+MIN($D$593:$D$601))/2)</f>
        <v>0</v>
      </c>
      <c r="AV601">
        <f>IF(COUNT($E$2:$E601)&lt;26,"",(MAX($C$576:$C$601)+MIN($D$576:$D$601))/2)</f>
        <v>0</v>
      </c>
      <c r="AW601">
        <f>IF(OR(AU601="",AV601=""),"",(AU601+AV601)/2)</f>
        <v>0</v>
      </c>
      <c r="AX601">
        <f>IF(COUNT($E$2:$E601)&lt;52,"",(MAX($C$550:$C$601)+MIN($D$550:$D$601))/2)</f>
        <v>0</v>
      </c>
      <c r="AY601">
        <f>IF(COUNT($E$2:$E601)&lt;20,"",MAX($C$502:$C$601))</f>
        <v>0</v>
      </c>
      <c r="AZ601">
        <f>IF(COUNT($E$2:$E601)&lt;20,"",MIN($D$502:$D$601))</f>
        <v>0</v>
      </c>
      <c r="BA601">
        <f>IF(COUNT($E$2:$E601)&lt;20,"",SLOPE($E$502:$E$601,$F$502:$F$601))</f>
        <v>0</v>
      </c>
      <c r="BB601">
        <f>IF(COUNT($E$2:$E601)&lt;20,"",INTERCEPT($E$502:$E$601,$F$502:$F$601))</f>
        <v>0</v>
      </c>
      <c r="BC601">
        <f>IF(OR(BA601="",BB601=""),"",BB601+BA601*F601)</f>
        <v>0</v>
      </c>
      <c r="BD601">
        <f>IF(COUNT($E$2:$E601)&lt;20,"",STEYX($E$502:$E$601,$F$502:$F$601))</f>
        <v>0</v>
      </c>
      <c r="BE601">
        <f>IF($E601="","",IF(AND(COUNT($E$602:$E$605)&gt;=4,$C601=MAX($C$597:$C$605)),$C601,""))</f>
        <v>0</v>
      </c>
      <c r="BF601">
        <f>IF($E601="","",IF(AND(COUNT($E$602:$E$605)&gt;=4,$D601=MIN($D$597:$D$605)),$D601,""))</f>
        <v>0</v>
      </c>
      <c r="BG601">
        <f>IF($A601="","",$A601-WEEKDAY($A601,2)+1)</f>
        <v>0</v>
      </c>
      <c r="BH601">
        <f>IF($A601="","",IF($A600="",1,IF(BG601&lt;&gt;BG600,1,0)))</f>
        <v>0</v>
      </c>
      <c r="BI601">
        <f>IF($A601="","",IF($A602="",1,IF(BG602&lt;&gt;BG601,1,0)))</f>
        <v>0</v>
      </c>
      <c r="BJ601">
        <f>IF($A601="","",IF(BH601=1,$B601,BJ600))</f>
        <v>0</v>
      </c>
      <c r="BK601">
        <f>IF($A601="","",IF(BH601=1,$C601,MAX($C601,BK600)))</f>
        <v>0</v>
      </c>
      <c r="BL601">
        <f>IF($A601="","",IF(BH601=1,$D601,MIN($D601,BL600)))</f>
        <v>0</v>
      </c>
      <c r="BM601">
        <f>IF($A601="","",IF(BI601=1,F601,""))</f>
        <v>0</v>
      </c>
      <c r="BN601">
        <f>IF($A601="","",DATE(YEAR($A601),MONTH($A601),1))</f>
        <v>0</v>
      </c>
      <c r="BO601">
        <f>IF($A601="","",IF($A600="",1,IF(BN601&lt;&gt;BN600,1,0)))</f>
        <v>0</v>
      </c>
      <c r="BP601">
        <f>IF($A601="","",IF($A602="",1,IF(BN602&lt;&gt;BN601,1,0)))</f>
        <v>0</v>
      </c>
      <c r="BQ601">
        <f>IF($A601="","",IF(BO601=1,$B601,BQ600))</f>
        <v>0</v>
      </c>
      <c r="BR601">
        <f>IF($A601="","",IF(BO601=1,$C601,MAX($C601,BR600)))</f>
        <v>0</v>
      </c>
      <c r="BS601">
        <f>IF($A601="","",IF(BO601=1,$D601,MIN($D601,BS600)))</f>
        <v>0</v>
      </c>
      <c r="BT601">
        <f>IF($A601="","",IF(BP601=1,F601,""))</f>
        <v>0</v>
      </c>
    </row>
    <row r="602" spans="1:72">
      <c r="A602" s="27">
        <f>IF(Data!$A602="","",Data!$A602)</f>
        <v>0</v>
      </c>
      <c r="B602">
        <f>IF(Data!$B602="","",Data!$B602)</f>
        <v>0</v>
      </c>
      <c r="C602">
        <f>IF(Data!$C602="","",Data!$C602)</f>
        <v>0</v>
      </c>
      <c r="D602">
        <f>IF(Data!$D602="","",Data!$D602)</f>
        <v>0</v>
      </c>
      <c r="E602">
        <f>IF(Data!$E602="","",Data!$E602)</f>
        <v>0</v>
      </c>
      <c r="F602">
        <f>IF($E602="","",N(F601)+1)</f>
        <v>0</v>
      </c>
      <c r="G602">
        <f>IF(OR($E602="",$E601=""),"",LN($E602/$E601))</f>
        <v>0</v>
      </c>
      <c r="H602">
        <f>IF($E602="","",IF($E601="",$E602,$E602*0.0952380952+H601*0.9047619048))</f>
        <v>0</v>
      </c>
      <c r="I602">
        <f>IF($E602="","",IF($E601="",$E602,$E602*0.0392156863+I601*0.9607843137))</f>
        <v>0</v>
      </c>
      <c r="J602">
        <f>IF($E602="","",IF($E601="",$E602,$E602*0.0198019802+J601*0.9801980198))</f>
        <v>0</v>
      </c>
      <c r="K602">
        <f>IF($E602="","",IF($E601="",$E602,$E602*0.0099502488+K601*0.9900497512))</f>
        <v>0</v>
      </c>
      <c r="L602">
        <f>IF(OR($E602="",$E601=""),"",MAX($E602-$E601,0))</f>
        <v>0</v>
      </c>
      <c r="M602">
        <f>IF(OR($E602="",$E601=""),"",MAX($E601-$E602,0))</f>
        <v>0</v>
      </c>
      <c r="N602">
        <f>IF(COUNT($E$2:$E602)&lt;15,"",IF(AVERAGE($M$589:$M$602)=0,100,100-100/(1+AVERAGE($L$589:$L$602)/AVERAGE($M$589:$M$602))))</f>
        <v>0</v>
      </c>
      <c r="O602">
        <f>IF($E602="","",IF($E601="",$E602,$E602*0.1538461538+O601*0.8461538462))</f>
        <v>0</v>
      </c>
      <c r="P602">
        <f>IF($E602="","",IF($E601="",$E602,$E602*0.0740740741+P601*0.9259259259))</f>
        <v>0</v>
      </c>
      <c r="Q602">
        <f>IF(OR(O602="",P602=""),"",O602-P602)</f>
        <v>0</v>
      </c>
      <c r="R602">
        <f>IF(Q602="","",IF(R601="",Q602,Q602*0.2000000000+R601*0.8000000000))</f>
        <v>0</v>
      </c>
      <c r="S602">
        <f>IF(OR(Q602="",R602=""),"",Q602-R602)</f>
        <v>0</v>
      </c>
      <c r="T602">
        <f>IF(COUNT($E$2:$E602)&lt;14,"",MAX($C$589:$C$602))</f>
        <v>0</v>
      </c>
      <c r="U602">
        <f>IF(COUNT($E$2:$E602)&lt;14,"",MIN($D$589:$D$602))</f>
        <v>0</v>
      </c>
      <c r="V602">
        <f>IF(OR(T602="",U602="",T602=U602),"",100*($E602-U602)/(T602-U602))</f>
        <v>0</v>
      </c>
      <c r="W602">
        <f>IF(COUNT($V$600:$V$602)&lt;3,"",AVERAGE($V$600:$V$602))</f>
        <v>0</v>
      </c>
      <c r="X602">
        <f>IF(COUNT($N$589:$N$602)&lt;14,"",MIN($N$589:$N$602))</f>
        <v>0</v>
      </c>
      <c r="Y602">
        <f>IF(COUNT($N$589:$N$602)&lt;14,"",MAX($N$589:$N$602))</f>
        <v>0</v>
      </c>
      <c r="Z602">
        <f>IF(OR(N602="",X602="",Y602="",Y602=X602),"",100*(N602-X602)/(Y602-X602))</f>
        <v>0</v>
      </c>
      <c r="AA602">
        <f>IF(COUNT($Z$600:$Z$602)&lt;3,"",AVERAGE($Z$600:$Z$602))</f>
        <v>0</v>
      </c>
      <c r="AB602">
        <f>IF(COUNT($AA$600:$AA$602)&lt;3,"",AVERAGE($AA$600:$AA$602))</f>
        <v>0</v>
      </c>
      <c r="AC602">
        <f>IF($E602="","",MAX($C602-$D602,ABS($C602-$E601),ABS($D602-$E601)))</f>
        <v>0</v>
      </c>
      <c r="AD602">
        <f>IF(COUNT($E$2:$E602)&lt;15,"",AVERAGE($AC$589:$AC$602))</f>
        <v>0</v>
      </c>
      <c r="AE602">
        <f>IF(OR($E602="",$E601=""),"",IF(AND(($C602-$C601)&gt;($D601-$D602),($C602-$C601)&gt;0),$C602-$C601,0))</f>
        <v>0</v>
      </c>
      <c r="AF602">
        <f>IF(OR($E602="",$E601=""),"",IF(AND(($D601-$D602)&gt;($C602-$C601),($D601-$D602)&gt;0),$D601-$D602,0))</f>
        <v>0</v>
      </c>
      <c r="AG602">
        <f>IF(COUNT($E$2:$E602)&lt;15,"",IF(SUM($AC$589:$AC$602)=0,0,100*SUM($AE$589:$AE$602)/SUM($AC$589:$AC$602)))</f>
        <v>0</v>
      </c>
      <c r="AH602">
        <f>IF(COUNT($E$2:$E602)&lt;15,"",IF(SUM($AC$589:$AC$602)=0,0,100*SUM($AF$589:$AF$602)/SUM($AC$589:$AC$602)))</f>
        <v>0</v>
      </c>
      <c r="AI602">
        <f>IF(OR(AG602="",AH602=""),"",IF((AG602+AH602)=0,0,100*ABS(AG602-AH602)/(AG602+AH602)))</f>
        <v>0</v>
      </c>
      <c r="AJ602">
        <f>IF(COUNT($AI$589:$AI$602)&lt;14,"",AVERAGE($AI$589:$AI$602))</f>
        <v>0</v>
      </c>
      <c r="AK602">
        <f>IF(COUNT($E$2:$E602)&lt;20,"",AVERAGE($E$583:$E$602))</f>
        <v>0</v>
      </c>
      <c r="AL602">
        <f>IF(COUNT($E$2:$E602)&lt;20,"",STDEVP($E$583:$E$602))</f>
        <v>0</v>
      </c>
      <c r="AM602">
        <f>IF(AK602="","",AK602+2*AL602)</f>
        <v>0</v>
      </c>
      <c r="AN602">
        <f>IF(AK602="","",AK602-2*AL602)</f>
        <v>0</v>
      </c>
      <c r="AO602">
        <f>IF(OR(AM602="",AN602="",AM602=AN602),"",($E602-AN602)/(AM602-AN602))</f>
        <v>0</v>
      </c>
      <c r="AP602">
        <f>IF(OR(AM602="",AK602="",AK602=0),"",(AM602-AN602)/AK602)</f>
        <v>0</v>
      </c>
      <c r="AQ602">
        <f>IF(COUNT($E$2:$E602)&lt;20,"",MAX($C$583:$C$602))</f>
        <v>0</v>
      </c>
      <c r="AR602">
        <f>IF(COUNT($E$2:$E602)&lt;20,"",MIN($D$583:$D$602))</f>
        <v>0</v>
      </c>
      <c r="AS602">
        <f>IF(OR(AQ602="",AR602=""),"",(AQ602+AR602)/2)</f>
        <v>0</v>
      </c>
      <c r="AT602">
        <f>IF(COUNT($G$583:$G$602)&lt;20,"",STDEV($G$583:$G$602)*SQRT(252))</f>
        <v>0</v>
      </c>
      <c r="AU602">
        <f>IF(COUNT($E$2:$E602)&lt;9,"",(MAX($C$594:$C$602)+MIN($D$594:$D$602))/2)</f>
        <v>0</v>
      </c>
      <c r="AV602">
        <f>IF(COUNT($E$2:$E602)&lt;26,"",(MAX($C$577:$C$602)+MIN($D$577:$D$602))/2)</f>
        <v>0</v>
      </c>
      <c r="AW602">
        <f>IF(OR(AU602="",AV602=""),"",(AU602+AV602)/2)</f>
        <v>0</v>
      </c>
      <c r="AX602">
        <f>IF(COUNT($E$2:$E602)&lt;52,"",(MAX($C$551:$C$602)+MIN($D$551:$D$602))/2)</f>
        <v>0</v>
      </c>
      <c r="AY602">
        <f>IF(COUNT($E$2:$E602)&lt;20,"",MAX($C$503:$C$602))</f>
        <v>0</v>
      </c>
      <c r="AZ602">
        <f>IF(COUNT($E$2:$E602)&lt;20,"",MIN($D$503:$D$602))</f>
        <v>0</v>
      </c>
      <c r="BA602">
        <f>IF(COUNT($E$2:$E602)&lt;20,"",SLOPE($E$503:$E$602,$F$503:$F$602))</f>
        <v>0</v>
      </c>
      <c r="BB602">
        <f>IF(COUNT($E$2:$E602)&lt;20,"",INTERCEPT($E$503:$E$602,$F$503:$F$602))</f>
        <v>0</v>
      </c>
      <c r="BC602">
        <f>IF(OR(BA602="",BB602=""),"",BB602+BA602*F602)</f>
        <v>0</v>
      </c>
      <c r="BD602">
        <f>IF(COUNT($E$2:$E602)&lt;20,"",STEYX($E$503:$E$602,$F$503:$F$602))</f>
        <v>0</v>
      </c>
      <c r="BE602">
        <f>IF($E602="","",IF(AND(COUNT($E$603:$E$606)&gt;=4,$C602=MAX($C$598:$C$606)),$C602,""))</f>
        <v>0</v>
      </c>
      <c r="BF602">
        <f>IF($E602="","",IF(AND(COUNT($E$603:$E$606)&gt;=4,$D602=MIN($D$598:$D$606)),$D602,""))</f>
        <v>0</v>
      </c>
      <c r="BG602">
        <f>IF($A602="","",$A602-WEEKDAY($A602,2)+1)</f>
        <v>0</v>
      </c>
      <c r="BH602">
        <f>IF($A602="","",IF($A601="",1,IF(BG602&lt;&gt;BG601,1,0)))</f>
        <v>0</v>
      </c>
      <c r="BI602">
        <f>IF($A602="","",IF($A603="",1,IF(BG603&lt;&gt;BG602,1,0)))</f>
        <v>0</v>
      </c>
      <c r="BJ602">
        <f>IF($A602="","",IF(BH602=1,$B602,BJ601))</f>
        <v>0</v>
      </c>
      <c r="BK602">
        <f>IF($A602="","",IF(BH602=1,$C602,MAX($C602,BK601)))</f>
        <v>0</v>
      </c>
      <c r="BL602">
        <f>IF($A602="","",IF(BH602=1,$D602,MIN($D602,BL601)))</f>
        <v>0</v>
      </c>
      <c r="BM602">
        <f>IF($A602="","",IF(BI602=1,F602,""))</f>
        <v>0</v>
      </c>
      <c r="BN602">
        <f>IF($A602="","",DATE(YEAR($A602),MONTH($A602),1))</f>
        <v>0</v>
      </c>
      <c r="BO602">
        <f>IF($A602="","",IF($A601="",1,IF(BN602&lt;&gt;BN601,1,0)))</f>
        <v>0</v>
      </c>
      <c r="BP602">
        <f>IF($A602="","",IF($A603="",1,IF(BN603&lt;&gt;BN602,1,0)))</f>
        <v>0</v>
      </c>
      <c r="BQ602">
        <f>IF($A602="","",IF(BO602=1,$B602,BQ601))</f>
        <v>0</v>
      </c>
      <c r="BR602">
        <f>IF($A602="","",IF(BO602=1,$C602,MAX($C602,BR601)))</f>
        <v>0</v>
      </c>
      <c r="BS602">
        <f>IF($A602="","",IF(BO602=1,$D602,MIN($D602,BS601)))</f>
        <v>0</v>
      </c>
      <c r="BT602">
        <f>IF($A602="","",IF(BP602=1,F602,""))</f>
        <v>0</v>
      </c>
    </row>
    <row r="603" spans="1:72">
      <c r="A603" s="27">
        <f>IF(Data!$A603="","",Data!$A603)</f>
        <v>0</v>
      </c>
      <c r="B603">
        <f>IF(Data!$B603="","",Data!$B603)</f>
        <v>0</v>
      </c>
      <c r="C603">
        <f>IF(Data!$C603="","",Data!$C603)</f>
        <v>0</v>
      </c>
      <c r="D603">
        <f>IF(Data!$D603="","",Data!$D603)</f>
        <v>0</v>
      </c>
      <c r="E603">
        <f>IF(Data!$E603="","",Data!$E603)</f>
        <v>0</v>
      </c>
      <c r="F603">
        <f>IF($E603="","",N(F602)+1)</f>
        <v>0</v>
      </c>
      <c r="G603">
        <f>IF(OR($E603="",$E602=""),"",LN($E603/$E602))</f>
        <v>0</v>
      </c>
      <c r="H603">
        <f>IF($E603="","",IF($E602="",$E603,$E603*0.0952380952+H602*0.9047619048))</f>
        <v>0</v>
      </c>
      <c r="I603">
        <f>IF($E603="","",IF($E602="",$E603,$E603*0.0392156863+I602*0.9607843137))</f>
        <v>0</v>
      </c>
      <c r="J603">
        <f>IF($E603="","",IF($E602="",$E603,$E603*0.0198019802+J602*0.9801980198))</f>
        <v>0</v>
      </c>
      <c r="K603">
        <f>IF($E603="","",IF($E602="",$E603,$E603*0.0099502488+K602*0.9900497512))</f>
        <v>0</v>
      </c>
      <c r="L603">
        <f>IF(OR($E603="",$E602=""),"",MAX($E603-$E602,0))</f>
        <v>0</v>
      </c>
      <c r="M603">
        <f>IF(OR($E603="",$E602=""),"",MAX($E602-$E603,0))</f>
        <v>0</v>
      </c>
      <c r="N603">
        <f>IF(COUNT($E$2:$E603)&lt;15,"",IF(AVERAGE($M$590:$M$603)=0,100,100-100/(1+AVERAGE($L$590:$L$603)/AVERAGE($M$590:$M$603))))</f>
        <v>0</v>
      </c>
      <c r="O603">
        <f>IF($E603="","",IF($E602="",$E603,$E603*0.1538461538+O602*0.8461538462))</f>
        <v>0</v>
      </c>
      <c r="P603">
        <f>IF($E603="","",IF($E602="",$E603,$E603*0.0740740741+P602*0.9259259259))</f>
        <v>0</v>
      </c>
      <c r="Q603">
        <f>IF(OR(O603="",P603=""),"",O603-P603)</f>
        <v>0</v>
      </c>
      <c r="R603">
        <f>IF(Q603="","",IF(R602="",Q603,Q603*0.2000000000+R602*0.8000000000))</f>
        <v>0</v>
      </c>
      <c r="S603">
        <f>IF(OR(Q603="",R603=""),"",Q603-R603)</f>
        <v>0</v>
      </c>
      <c r="T603">
        <f>IF(COUNT($E$2:$E603)&lt;14,"",MAX($C$590:$C$603))</f>
        <v>0</v>
      </c>
      <c r="U603">
        <f>IF(COUNT($E$2:$E603)&lt;14,"",MIN($D$590:$D$603))</f>
        <v>0</v>
      </c>
      <c r="V603">
        <f>IF(OR(T603="",U603="",T603=U603),"",100*($E603-U603)/(T603-U603))</f>
        <v>0</v>
      </c>
      <c r="W603">
        <f>IF(COUNT($V$601:$V$603)&lt;3,"",AVERAGE($V$601:$V$603))</f>
        <v>0</v>
      </c>
      <c r="X603">
        <f>IF(COUNT($N$590:$N$603)&lt;14,"",MIN($N$590:$N$603))</f>
        <v>0</v>
      </c>
      <c r="Y603">
        <f>IF(COUNT($N$590:$N$603)&lt;14,"",MAX($N$590:$N$603))</f>
        <v>0</v>
      </c>
      <c r="Z603">
        <f>IF(OR(N603="",X603="",Y603="",Y603=X603),"",100*(N603-X603)/(Y603-X603))</f>
        <v>0</v>
      </c>
      <c r="AA603">
        <f>IF(COUNT($Z$601:$Z$603)&lt;3,"",AVERAGE($Z$601:$Z$603))</f>
        <v>0</v>
      </c>
      <c r="AB603">
        <f>IF(COUNT($AA$601:$AA$603)&lt;3,"",AVERAGE($AA$601:$AA$603))</f>
        <v>0</v>
      </c>
      <c r="AC603">
        <f>IF($E603="","",MAX($C603-$D603,ABS($C603-$E602),ABS($D603-$E602)))</f>
        <v>0</v>
      </c>
      <c r="AD603">
        <f>IF(COUNT($E$2:$E603)&lt;15,"",AVERAGE($AC$590:$AC$603))</f>
        <v>0</v>
      </c>
      <c r="AE603">
        <f>IF(OR($E603="",$E602=""),"",IF(AND(($C603-$C602)&gt;($D602-$D603),($C603-$C602)&gt;0),$C603-$C602,0))</f>
        <v>0</v>
      </c>
      <c r="AF603">
        <f>IF(OR($E603="",$E602=""),"",IF(AND(($D602-$D603)&gt;($C603-$C602),($D602-$D603)&gt;0),$D602-$D603,0))</f>
        <v>0</v>
      </c>
      <c r="AG603">
        <f>IF(COUNT($E$2:$E603)&lt;15,"",IF(SUM($AC$590:$AC$603)=0,0,100*SUM($AE$590:$AE$603)/SUM($AC$590:$AC$603)))</f>
        <v>0</v>
      </c>
      <c r="AH603">
        <f>IF(COUNT($E$2:$E603)&lt;15,"",IF(SUM($AC$590:$AC$603)=0,0,100*SUM($AF$590:$AF$603)/SUM($AC$590:$AC$603)))</f>
        <v>0</v>
      </c>
      <c r="AI603">
        <f>IF(OR(AG603="",AH603=""),"",IF((AG603+AH603)=0,0,100*ABS(AG603-AH603)/(AG603+AH603)))</f>
        <v>0</v>
      </c>
      <c r="AJ603">
        <f>IF(COUNT($AI$590:$AI$603)&lt;14,"",AVERAGE($AI$590:$AI$603))</f>
        <v>0</v>
      </c>
      <c r="AK603">
        <f>IF(COUNT($E$2:$E603)&lt;20,"",AVERAGE($E$584:$E$603))</f>
        <v>0</v>
      </c>
      <c r="AL603">
        <f>IF(COUNT($E$2:$E603)&lt;20,"",STDEVP($E$584:$E$603))</f>
        <v>0</v>
      </c>
      <c r="AM603">
        <f>IF(AK603="","",AK603+2*AL603)</f>
        <v>0</v>
      </c>
      <c r="AN603">
        <f>IF(AK603="","",AK603-2*AL603)</f>
        <v>0</v>
      </c>
      <c r="AO603">
        <f>IF(OR(AM603="",AN603="",AM603=AN603),"",($E603-AN603)/(AM603-AN603))</f>
        <v>0</v>
      </c>
      <c r="AP603">
        <f>IF(OR(AM603="",AK603="",AK603=0),"",(AM603-AN603)/AK603)</f>
        <v>0</v>
      </c>
      <c r="AQ603">
        <f>IF(COUNT($E$2:$E603)&lt;20,"",MAX($C$584:$C$603))</f>
        <v>0</v>
      </c>
      <c r="AR603">
        <f>IF(COUNT($E$2:$E603)&lt;20,"",MIN($D$584:$D$603))</f>
        <v>0</v>
      </c>
      <c r="AS603">
        <f>IF(OR(AQ603="",AR603=""),"",(AQ603+AR603)/2)</f>
        <v>0</v>
      </c>
      <c r="AT603">
        <f>IF(COUNT($G$584:$G$603)&lt;20,"",STDEV($G$584:$G$603)*SQRT(252))</f>
        <v>0</v>
      </c>
      <c r="AU603">
        <f>IF(COUNT($E$2:$E603)&lt;9,"",(MAX($C$595:$C$603)+MIN($D$595:$D$603))/2)</f>
        <v>0</v>
      </c>
      <c r="AV603">
        <f>IF(COUNT($E$2:$E603)&lt;26,"",(MAX($C$578:$C$603)+MIN($D$578:$D$603))/2)</f>
        <v>0</v>
      </c>
      <c r="AW603">
        <f>IF(OR(AU603="",AV603=""),"",(AU603+AV603)/2)</f>
        <v>0</v>
      </c>
      <c r="AX603">
        <f>IF(COUNT($E$2:$E603)&lt;52,"",(MAX($C$552:$C$603)+MIN($D$552:$D$603))/2)</f>
        <v>0</v>
      </c>
      <c r="AY603">
        <f>IF(COUNT($E$2:$E603)&lt;20,"",MAX($C$504:$C$603))</f>
        <v>0</v>
      </c>
      <c r="AZ603">
        <f>IF(COUNT($E$2:$E603)&lt;20,"",MIN($D$504:$D$603))</f>
        <v>0</v>
      </c>
      <c r="BA603">
        <f>IF(COUNT($E$2:$E603)&lt;20,"",SLOPE($E$504:$E$603,$F$504:$F$603))</f>
        <v>0</v>
      </c>
      <c r="BB603">
        <f>IF(COUNT($E$2:$E603)&lt;20,"",INTERCEPT($E$504:$E$603,$F$504:$F$603))</f>
        <v>0</v>
      </c>
      <c r="BC603">
        <f>IF(OR(BA603="",BB603=""),"",BB603+BA603*F603)</f>
        <v>0</v>
      </c>
      <c r="BD603">
        <f>IF(COUNT($E$2:$E603)&lt;20,"",STEYX($E$504:$E$603,$F$504:$F$603))</f>
        <v>0</v>
      </c>
      <c r="BE603">
        <f>IF($E603="","",IF(AND(COUNT($E$604:$E$607)&gt;=4,$C603=MAX($C$599:$C$607)),$C603,""))</f>
        <v>0</v>
      </c>
      <c r="BF603">
        <f>IF($E603="","",IF(AND(COUNT($E$604:$E$607)&gt;=4,$D603=MIN($D$599:$D$607)),$D603,""))</f>
        <v>0</v>
      </c>
      <c r="BG603">
        <f>IF($A603="","",$A603-WEEKDAY($A603,2)+1)</f>
        <v>0</v>
      </c>
      <c r="BH603">
        <f>IF($A603="","",IF($A602="",1,IF(BG603&lt;&gt;BG602,1,0)))</f>
        <v>0</v>
      </c>
      <c r="BI603">
        <f>IF($A603="","",IF($A604="",1,IF(BG604&lt;&gt;BG603,1,0)))</f>
        <v>0</v>
      </c>
      <c r="BJ603">
        <f>IF($A603="","",IF(BH603=1,$B603,BJ602))</f>
        <v>0</v>
      </c>
      <c r="BK603">
        <f>IF($A603="","",IF(BH603=1,$C603,MAX($C603,BK602)))</f>
        <v>0</v>
      </c>
      <c r="BL603">
        <f>IF($A603="","",IF(BH603=1,$D603,MIN($D603,BL602)))</f>
        <v>0</v>
      </c>
      <c r="BM603">
        <f>IF($A603="","",IF(BI603=1,F603,""))</f>
        <v>0</v>
      </c>
      <c r="BN603">
        <f>IF($A603="","",DATE(YEAR($A603),MONTH($A603),1))</f>
        <v>0</v>
      </c>
      <c r="BO603">
        <f>IF($A603="","",IF($A602="",1,IF(BN603&lt;&gt;BN602,1,0)))</f>
        <v>0</v>
      </c>
      <c r="BP603">
        <f>IF($A603="","",IF($A604="",1,IF(BN604&lt;&gt;BN603,1,0)))</f>
        <v>0</v>
      </c>
      <c r="BQ603">
        <f>IF($A603="","",IF(BO603=1,$B603,BQ602))</f>
        <v>0</v>
      </c>
      <c r="BR603">
        <f>IF($A603="","",IF(BO603=1,$C603,MAX($C603,BR602)))</f>
        <v>0</v>
      </c>
      <c r="BS603">
        <f>IF($A603="","",IF(BO603=1,$D603,MIN($D603,BS602)))</f>
        <v>0</v>
      </c>
      <c r="BT603">
        <f>IF($A603="","",IF(BP603=1,F603,""))</f>
        <v>0</v>
      </c>
    </row>
    <row r="604" spans="1:72">
      <c r="A604" s="27">
        <f>IF(Data!$A604="","",Data!$A604)</f>
        <v>0</v>
      </c>
      <c r="B604">
        <f>IF(Data!$B604="","",Data!$B604)</f>
        <v>0</v>
      </c>
      <c r="C604">
        <f>IF(Data!$C604="","",Data!$C604)</f>
        <v>0</v>
      </c>
      <c r="D604">
        <f>IF(Data!$D604="","",Data!$D604)</f>
        <v>0</v>
      </c>
      <c r="E604">
        <f>IF(Data!$E604="","",Data!$E604)</f>
        <v>0</v>
      </c>
      <c r="F604">
        <f>IF($E604="","",N(F603)+1)</f>
        <v>0</v>
      </c>
      <c r="G604">
        <f>IF(OR($E604="",$E603=""),"",LN($E604/$E603))</f>
        <v>0</v>
      </c>
      <c r="H604">
        <f>IF($E604="","",IF($E603="",$E604,$E604*0.0952380952+H603*0.9047619048))</f>
        <v>0</v>
      </c>
      <c r="I604">
        <f>IF($E604="","",IF($E603="",$E604,$E604*0.0392156863+I603*0.9607843137))</f>
        <v>0</v>
      </c>
      <c r="J604">
        <f>IF($E604="","",IF($E603="",$E604,$E604*0.0198019802+J603*0.9801980198))</f>
        <v>0</v>
      </c>
      <c r="K604">
        <f>IF($E604="","",IF($E603="",$E604,$E604*0.0099502488+K603*0.9900497512))</f>
        <v>0</v>
      </c>
      <c r="L604">
        <f>IF(OR($E604="",$E603=""),"",MAX($E604-$E603,0))</f>
        <v>0</v>
      </c>
      <c r="M604">
        <f>IF(OR($E604="",$E603=""),"",MAX($E603-$E604,0))</f>
        <v>0</v>
      </c>
      <c r="N604">
        <f>IF(COUNT($E$2:$E604)&lt;15,"",IF(AVERAGE($M$591:$M$604)=0,100,100-100/(1+AVERAGE($L$591:$L$604)/AVERAGE($M$591:$M$604))))</f>
        <v>0</v>
      </c>
      <c r="O604">
        <f>IF($E604="","",IF($E603="",$E604,$E604*0.1538461538+O603*0.8461538462))</f>
        <v>0</v>
      </c>
      <c r="P604">
        <f>IF($E604="","",IF($E603="",$E604,$E604*0.0740740741+P603*0.9259259259))</f>
        <v>0</v>
      </c>
      <c r="Q604">
        <f>IF(OR(O604="",P604=""),"",O604-P604)</f>
        <v>0</v>
      </c>
      <c r="R604">
        <f>IF(Q604="","",IF(R603="",Q604,Q604*0.2000000000+R603*0.8000000000))</f>
        <v>0</v>
      </c>
      <c r="S604">
        <f>IF(OR(Q604="",R604=""),"",Q604-R604)</f>
        <v>0</v>
      </c>
      <c r="T604">
        <f>IF(COUNT($E$2:$E604)&lt;14,"",MAX($C$591:$C$604))</f>
        <v>0</v>
      </c>
      <c r="U604">
        <f>IF(COUNT($E$2:$E604)&lt;14,"",MIN($D$591:$D$604))</f>
        <v>0</v>
      </c>
      <c r="V604">
        <f>IF(OR(T604="",U604="",T604=U604),"",100*($E604-U604)/(T604-U604))</f>
        <v>0</v>
      </c>
      <c r="W604">
        <f>IF(COUNT($V$602:$V$604)&lt;3,"",AVERAGE($V$602:$V$604))</f>
        <v>0</v>
      </c>
      <c r="X604">
        <f>IF(COUNT($N$591:$N$604)&lt;14,"",MIN($N$591:$N$604))</f>
        <v>0</v>
      </c>
      <c r="Y604">
        <f>IF(COUNT($N$591:$N$604)&lt;14,"",MAX($N$591:$N$604))</f>
        <v>0</v>
      </c>
      <c r="Z604">
        <f>IF(OR(N604="",X604="",Y604="",Y604=X604),"",100*(N604-X604)/(Y604-X604))</f>
        <v>0</v>
      </c>
      <c r="AA604">
        <f>IF(COUNT($Z$602:$Z$604)&lt;3,"",AVERAGE($Z$602:$Z$604))</f>
        <v>0</v>
      </c>
      <c r="AB604">
        <f>IF(COUNT($AA$602:$AA$604)&lt;3,"",AVERAGE($AA$602:$AA$604))</f>
        <v>0</v>
      </c>
      <c r="AC604">
        <f>IF($E604="","",MAX($C604-$D604,ABS($C604-$E603),ABS($D604-$E603)))</f>
        <v>0</v>
      </c>
      <c r="AD604">
        <f>IF(COUNT($E$2:$E604)&lt;15,"",AVERAGE($AC$591:$AC$604))</f>
        <v>0</v>
      </c>
      <c r="AE604">
        <f>IF(OR($E604="",$E603=""),"",IF(AND(($C604-$C603)&gt;($D603-$D604),($C604-$C603)&gt;0),$C604-$C603,0))</f>
        <v>0</v>
      </c>
      <c r="AF604">
        <f>IF(OR($E604="",$E603=""),"",IF(AND(($D603-$D604)&gt;($C604-$C603),($D603-$D604)&gt;0),$D603-$D604,0))</f>
        <v>0</v>
      </c>
      <c r="AG604">
        <f>IF(COUNT($E$2:$E604)&lt;15,"",IF(SUM($AC$591:$AC$604)=0,0,100*SUM($AE$591:$AE$604)/SUM($AC$591:$AC$604)))</f>
        <v>0</v>
      </c>
      <c r="AH604">
        <f>IF(COUNT($E$2:$E604)&lt;15,"",IF(SUM($AC$591:$AC$604)=0,0,100*SUM($AF$591:$AF$604)/SUM($AC$591:$AC$604)))</f>
        <v>0</v>
      </c>
      <c r="AI604">
        <f>IF(OR(AG604="",AH604=""),"",IF((AG604+AH604)=0,0,100*ABS(AG604-AH604)/(AG604+AH604)))</f>
        <v>0</v>
      </c>
      <c r="AJ604">
        <f>IF(COUNT($AI$591:$AI$604)&lt;14,"",AVERAGE($AI$591:$AI$604))</f>
        <v>0</v>
      </c>
      <c r="AK604">
        <f>IF(COUNT($E$2:$E604)&lt;20,"",AVERAGE($E$585:$E$604))</f>
        <v>0</v>
      </c>
      <c r="AL604">
        <f>IF(COUNT($E$2:$E604)&lt;20,"",STDEVP($E$585:$E$604))</f>
        <v>0</v>
      </c>
      <c r="AM604">
        <f>IF(AK604="","",AK604+2*AL604)</f>
        <v>0</v>
      </c>
      <c r="AN604">
        <f>IF(AK604="","",AK604-2*AL604)</f>
        <v>0</v>
      </c>
      <c r="AO604">
        <f>IF(OR(AM604="",AN604="",AM604=AN604),"",($E604-AN604)/(AM604-AN604))</f>
        <v>0</v>
      </c>
      <c r="AP604">
        <f>IF(OR(AM604="",AK604="",AK604=0),"",(AM604-AN604)/AK604)</f>
        <v>0</v>
      </c>
      <c r="AQ604">
        <f>IF(COUNT($E$2:$E604)&lt;20,"",MAX($C$585:$C$604))</f>
        <v>0</v>
      </c>
      <c r="AR604">
        <f>IF(COUNT($E$2:$E604)&lt;20,"",MIN($D$585:$D$604))</f>
        <v>0</v>
      </c>
      <c r="AS604">
        <f>IF(OR(AQ604="",AR604=""),"",(AQ604+AR604)/2)</f>
        <v>0</v>
      </c>
      <c r="AT604">
        <f>IF(COUNT($G$585:$G$604)&lt;20,"",STDEV($G$585:$G$604)*SQRT(252))</f>
        <v>0</v>
      </c>
      <c r="AU604">
        <f>IF(COUNT($E$2:$E604)&lt;9,"",(MAX($C$596:$C$604)+MIN($D$596:$D$604))/2)</f>
        <v>0</v>
      </c>
      <c r="AV604">
        <f>IF(COUNT($E$2:$E604)&lt;26,"",(MAX($C$579:$C$604)+MIN($D$579:$D$604))/2)</f>
        <v>0</v>
      </c>
      <c r="AW604">
        <f>IF(OR(AU604="",AV604=""),"",(AU604+AV604)/2)</f>
        <v>0</v>
      </c>
      <c r="AX604">
        <f>IF(COUNT($E$2:$E604)&lt;52,"",(MAX($C$553:$C$604)+MIN($D$553:$D$604))/2)</f>
        <v>0</v>
      </c>
      <c r="AY604">
        <f>IF(COUNT($E$2:$E604)&lt;20,"",MAX($C$505:$C$604))</f>
        <v>0</v>
      </c>
      <c r="AZ604">
        <f>IF(COUNT($E$2:$E604)&lt;20,"",MIN($D$505:$D$604))</f>
        <v>0</v>
      </c>
      <c r="BA604">
        <f>IF(COUNT($E$2:$E604)&lt;20,"",SLOPE($E$505:$E$604,$F$505:$F$604))</f>
        <v>0</v>
      </c>
      <c r="BB604">
        <f>IF(COUNT($E$2:$E604)&lt;20,"",INTERCEPT($E$505:$E$604,$F$505:$F$604))</f>
        <v>0</v>
      </c>
      <c r="BC604">
        <f>IF(OR(BA604="",BB604=""),"",BB604+BA604*F604)</f>
        <v>0</v>
      </c>
      <c r="BD604">
        <f>IF(COUNT($E$2:$E604)&lt;20,"",STEYX($E$505:$E$604,$F$505:$F$604))</f>
        <v>0</v>
      </c>
      <c r="BE604">
        <f>IF($E604="","",IF(AND(COUNT($E$605:$E$608)&gt;=4,$C604=MAX($C$600:$C$608)),$C604,""))</f>
        <v>0</v>
      </c>
      <c r="BF604">
        <f>IF($E604="","",IF(AND(COUNT($E$605:$E$608)&gt;=4,$D604=MIN($D$600:$D$608)),$D604,""))</f>
        <v>0</v>
      </c>
      <c r="BG604">
        <f>IF($A604="","",$A604-WEEKDAY($A604,2)+1)</f>
        <v>0</v>
      </c>
      <c r="BH604">
        <f>IF($A604="","",IF($A603="",1,IF(BG604&lt;&gt;BG603,1,0)))</f>
        <v>0</v>
      </c>
      <c r="BI604">
        <f>IF($A604="","",IF($A605="",1,IF(BG605&lt;&gt;BG604,1,0)))</f>
        <v>0</v>
      </c>
      <c r="BJ604">
        <f>IF($A604="","",IF(BH604=1,$B604,BJ603))</f>
        <v>0</v>
      </c>
      <c r="BK604">
        <f>IF($A604="","",IF(BH604=1,$C604,MAX($C604,BK603)))</f>
        <v>0</v>
      </c>
      <c r="BL604">
        <f>IF($A604="","",IF(BH604=1,$D604,MIN($D604,BL603)))</f>
        <v>0</v>
      </c>
      <c r="BM604">
        <f>IF($A604="","",IF(BI604=1,F604,""))</f>
        <v>0</v>
      </c>
      <c r="BN604">
        <f>IF($A604="","",DATE(YEAR($A604),MONTH($A604),1))</f>
        <v>0</v>
      </c>
      <c r="BO604">
        <f>IF($A604="","",IF($A603="",1,IF(BN604&lt;&gt;BN603,1,0)))</f>
        <v>0</v>
      </c>
      <c r="BP604">
        <f>IF($A604="","",IF($A605="",1,IF(BN605&lt;&gt;BN604,1,0)))</f>
        <v>0</v>
      </c>
      <c r="BQ604">
        <f>IF($A604="","",IF(BO604=1,$B604,BQ603))</f>
        <v>0</v>
      </c>
      <c r="BR604">
        <f>IF($A604="","",IF(BO604=1,$C604,MAX($C604,BR603)))</f>
        <v>0</v>
      </c>
      <c r="BS604">
        <f>IF($A604="","",IF(BO604=1,$D604,MIN($D604,BS603)))</f>
        <v>0</v>
      </c>
      <c r="BT604">
        <f>IF($A604="","",IF(BP604=1,F604,""))</f>
        <v>0</v>
      </c>
    </row>
    <row r="605" spans="1:72">
      <c r="A605" s="27">
        <f>IF(Data!$A605="","",Data!$A605)</f>
        <v>0</v>
      </c>
      <c r="B605">
        <f>IF(Data!$B605="","",Data!$B605)</f>
        <v>0</v>
      </c>
      <c r="C605">
        <f>IF(Data!$C605="","",Data!$C605)</f>
        <v>0</v>
      </c>
      <c r="D605">
        <f>IF(Data!$D605="","",Data!$D605)</f>
        <v>0</v>
      </c>
      <c r="E605">
        <f>IF(Data!$E605="","",Data!$E605)</f>
        <v>0</v>
      </c>
      <c r="F605">
        <f>IF($E605="","",N(F604)+1)</f>
        <v>0</v>
      </c>
      <c r="G605">
        <f>IF(OR($E605="",$E604=""),"",LN($E605/$E604))</f>
        <v>0</v>
      </c>
      <c r="H605">
        <f>IF($E605="","",IF($E604="",$E605,$E605*0.0952380952+H604*0.9047619048))</f>
        <v>0</v>
      </c>
      <c r="I605">
        <f>IF($E605="","",IF($E604="",$E605,$E605*0.0392156863+I604*0.9607843137))</f>
        <v>0</v>
      </c>
      <c r="J605">
        <f>IF($E605="","",IF($E604="",$E605,$E605*0.0198019802+J604*0.9801980198))</f>
        <v>0</v>
      </c>
      <c r="K605">
        <f>IF($E605="","",IF($E604="",$E605,$E605*0.0099502488+K604*0.9900497512))</f>
        <v>0</v>
      </c>
      <c r="L605">
        <f>IF(OR($E605="",$E604=""),"",MAX($E605-$E604,0))</f>
        <v>0</v>
      </c>
      <c r="M605">
        <f>IF(OR($E605="",$E604=""),"",MAX($E604-$E605,0))</f>
        <v>0</v>
      </c>
      <c r="N605">
        <f>IF(COUNT($E$2:$E605)&lt;15,"",IF(AVERAGE($M$592:$M$605)=0,100,100-100/(1+AVERAGE($L$592:$L$605)/AVERAGE($M$592:$M$605))))</f>
        <v>0</v>
      </c>
      <c r="O605">
        <f>IF($E605="","",IF($E604="",$E605,$E605*0.1538461538+O604*0.8461538462))</f>
        <v>0</v>
      </c>
      <c r="P605">
        <f>IF($E605="","",IF($E604="",$E605,$E605*0.0740740741+P604*0.9259259259))</f>
        <v>0</v>
      </c>
      <c r="Q605">
        <f>IF(OR(O605="",P605=""),"",O605-P605)</f>
        <v>0</v>
      </c>
      <c r="R605">
        <f>IF(Q605="","",IF(R604="",Q605,Q605*0.2000000000+R604*0.8000000000))</f>
        <v>0</v>
      </c>
      <c r="S605">
        <f>IF(OR(Q605="",R605=""),"",Q605-R605)</f>
        <v>0</v>
      </c>
      <c r="T605">
        <f>IF(COUNT($E$2:$E605)&lt;14,"",MAX($C$592:$C$605))</f>
        <v>0</v>
      </c>
      <c r="U605">
        <f>IF(COUNT($E$2:$E605)&lt;14,"",MIN($D$592:$D$605))</f>
        <v>0</v>
      </c>
      <c r="V605">
        <f>IF(OR(T605="",U605="",T605=U605),"",100*($E605-U605)/(T605-U605))</f>
        <v>0</v>
      </c>
      <c r="W605">
        <f>IF(COUNT($V$603:$V$605)&lt;3,"",AVERAGE($V$603:$V$605))</f>
        <v>0</v>
      </c>
      <c r="X605">
        <f>IF(COUNT($N$592:$N$605)&lt;14,"",MIN($N$592:$N$605))</f>
        <v>0</v>
      </c>
      <c r="Y605">
        <f>IF(COUNT($N$592:$N$605)&lt;14,"",MAX($N$592:$N$605))</f>
        <v>0</v>
      </c>
      <c r="Z605">
        <f>IF(OR(N605="",X605="",Y605="",Y605=X605),"",100*(N605-X605)/(Y605-X605))</f>
        <v>0</v>
      </c>
      <c r="AA605">
        <f>IF(COUNT($Z$603:$Z$605)&lt;3,"",AVERAGE($Z$603:$Z$605))</f>
        <v>0</v>
      </c>
      <c r="AB605">
        <f>IF(COUNT($AA$603:$AA$605)&lt;3,"",AVERAGE($AA$603:$AA$605))</f>
        <v>0</v>
      </c>
      <c r="AC605">
        <f>IF($E605="","",MAX($C605-$D605,ABS($C605-$E604),ABS($D605-$E604)))</f>
        <v>0</v>
      </c>
      <c r="AD605">
        <f>IF(COUNT($E$2:$E605)&lt;15,"",AVERAGE($AC$592:$AC$605))</f>
        <v>0</v>
      </c>
      <c r="AE605">
        <f>IF(OR($E605="",$E604=""),"",IF(AND(($C605-$C604)&gt;($D604-$D605),($C605-$C604)&gt;0),$C605-$C604,0))</f>
        <v>0</v>
      </c>
      <c r="AF605">
        <f>IF(OR($E605="",$E604=""),"",IF(AND(($D604-$D605)&gt;($C605-$C604),($D604-$D605)&gt;0),$D604-$D605,0))</f>
        <v>0</v>
      </c>
      <c r="AG605">
        <f>IF(COUNT($E$2:$E605)&lt;15,"",IF(SUM($AC$592:$AC$605)=0,0,100*SUM($AE$592:$AE$605)/SUM($AC$592:$AC$605)))</f>
        <v>0</v>
      </c>
      <c r="AH605">
        <f>IF(COUNT($E$2:$E605)&lt;15,"",IF(SUM($AC$592:$AC$605)=0,0,100*SUM($AF$592:$AF$605)/SUM($AC$592:$AC$605)))</f>
        <v>0</v>
      </c>
      <c r="AI605">
        <f>IF(OR(AG605="",AH605=""),"",IF((AG605+AH605)=0,0,100*ABS(AG605-AH605)/(AG605+AH605)))</f>
        <v>0</v>
      </c>
      <c r="AJ605">
        <f>IF(COUNT($AI$592:$AI$605)&lt;14,"",AVERAGE($AI$592:$AI$605))</f>
        <v>0</v>
      </c>
      <c r="AK605">
        <f>IF(COUNT($E$2:$E605)&lt;20,"",AVERAGE($E$586:$E$605))</f>
        <v>0</v>
      </c>
      <c r="AL605">
        <f>IF(COUNT($E$2:$E605)&lt;20,"",STDEVP($E$586:$E$605))</f>
        <v>0</v>
      </c>
      <c r="AM605">
        <f>IF(AK605="","",AK605+2*AL605)</f>
        <v>0</v>
      </c>
      <c r="AN605">
        <f>IF(AK605="","",AK605-2*AL605)</f>
        <v>0</v>
      </c>
      <c r="AO605">
        <f>IF(OR(AM605="",AN605="",AM605=AN605),"",($E605-AN605)/(AM605-AN605))</f>
        <v>0</v>
      </c>
      <c r="AP605">
        <f>IF(OR(AM605="",AK605="",AK605=0),"",(AM605-AN605)/AK605)</f>
        <v>0</v>
      </c>
      <c r="AQ605">
        <f>IF(COUNT($E$2:$E605)&lt;20,"",MAX($C$586:$C$605))</f>
        <v>0</v>
      </c>
      <c r="AR605">
        <f>IF(COUNT($E$2:$E605)&lt;20,"",MIN($D$586:$D$605))</f>
        <v>0</v>
      </c>
      <c r="AS605">
        <f>IF(OR(AQ605="",AR605=""),"",(AQ605+AR605)/2)</f>
        <v>0</v>
      </c>
      <c r="AT605">
        <f>IF(COUNT($G$586:$G$605)&lt;20,"",STDEV($G$586:$G$605)*SQRT(252))</f>
        <v>0</v>
      </c>
      <c r="AU605">
        <f>IF(COUNT($E$2:$E605)&lt;9,"",(MAX($C$597:$C$605)+MIN($D$597:$D$605))/2)</f>
        <v>0</v>
      </c>
      <c r="AV605">
        <f>IF(COUNT($E$2:$E605)&lt;26,"",(MAX($C$580:$C$605)+MIN($D$580:$D$605))/2)</f>
        <v>0</v>
      </c>
      <c r="AW605">
        <f>IF(OR(AU605="",AV605=""),"",(AU605+AV605)/2)</f>
        <v>0</v>
      </c>
      <c r="AX605">
        <f>IF(COUNT($E$2:$E605)&lt;52,"",(MAX($C$554:$C$605)+MIN($D$554:$D$605))/2)</f>
        <v>0</v>
      </c>
      <c r="AY605">
        <f>IF(COUNT($E$2:$E605)&lt;20,"",MAX($C$506:$C$605))</f>
        <v>0</v>
      </c>
      <c r="AZ605">
        <f>IF(COUNT($E$2:$E605)&lt;20,"",MIN($D$506:$D$605))</f>
        <v>0</v>
      </c>
      <c r="BA605">
        <f>IF(COUNT($E$2:$E605)&lt;20,"",SLOPE($E$506:$E$605,$F$506:$F$605))</f>
        <v>0</v>
      </c>
      <c r="BB605">
        <f>IF(COUNT($E$2:$E605)&lt;20,"",INTERCEPT($E$506:$E$605,$F$506:$F$605))</f>
        <v>0</v>
      </c>
      <c r="BC605">
        <f>IF(OR(BA605="",BB605=""),"",BB605+BA605*F605)</f>
        <v>0</v>
      </c>
      <c r="BD605">
        <f>IF(COUNT($E$2:$E605)&lt;20,"",STEYX($E$506:$E$605,$F$506:$F$605))</f>
        <v>0</v>
      </c>
      <c r="BE605">
        <f>IF($E605="","",IF(AND(COUNT($E$606:$E$609)&gt;=4,$C605=MAX($C$601:$C$609)),$C605,""))</f>
        <v>0</v>
      </c>
      <c r="BF605">
        <f>IF($E605="","",IF(AND(COUNT($E$606:$E$609)&gt;=4,$D605=MIN($D$601:$D$609)),$D605,""))</f>
        <v>0</v>
      </c>
      <c r="BG605">
        <f>IF($A605="","",$A605-WEEKDAY($A605,2)+1)</f>
        <v>0</v>
      </c>
      <c r="BH605">
        <f>IF($A605="","",IF($A604="",1,IF(BG605&lt;&gt;BG604,1,0)))</f>
        <v>0</v>
      </c>
      <c r="BI605">
        <f>IF($A605="","",IF($A606="",1,IF(BG606&lt;&gt;BG605,1,0)))</f>
        <v>0</v>
      </c>
      <c r="BJ605">
        <f>IF($A605="","",IF(BH605=1,$B605,BJ604))</f>
        <v>0</v>
      </c>
      <c r="BK605">
        <f>IF($A605="","",IF(BH605=1,$C605,MAX($C605,BK604)))</f>
        <v>0</v>
      </c>
      <c r="BL605">
        <f>IF($A605="","",IF(BH605=1,$D605,MIN($D605,BL604)))</f>
        <v>0</v>
      </c>
      <c r="BM605">
        <f>IF($A605="","",IF(BI605=1,F605,""))</f>
        <v>0</v>
      </c>
      <c r="BN605">
        <f>IF($A605="","",DATE(YEAR($A605),MONTH($A605),1))</f>
        <v>0</v>
      </c>
      <c r="BO605">
        <f>IF($A605="","",IF($A604="",1,IF(BN605&lt;&gt;BN604,1,0)))</f>
        <v>0</v>
      </c>
      <c r="BP605">
        <f>IF($A605="","",IF($A606="",1,IF(BN606&lt;&gt;BN605,1,0)))</f>
        <v>0</v>
      </c>
      <c r="BQ605">
        <f>IF($A605="","",IF(BO605=1,$B605,BQ604))</f>
        <v>0</v>
      </c>
      <c r="BR605">
        <f>IF($A605="","",IF(BO605=1,$C605,MAX($C605,BR604)))</f>
        <v>0</v>
      </c>
      <c r="BS605">
        <f>IF($A605="","",IF(BO605=1,$D605,MIN($D605,BS604)))</f>
        <v>0</v>
      </c>
      <c r="BT605">
        <f>IF($A605="","",IF(BP605=1,F605,""))</f>
        <v>0</v>
      </c>
    </row>
    <row r="606" spans="1:72">
      <c r="A606" s="27">
        <f>IF(Data!$A606="","",Data!$A606)</f>
        <v>0</v>
      </c>
      <c r="B606">
        <f>IF(Data!$B606="","",Data!$B606)</f>
        <v>0</v>
      </c>
      <c r="C606">
        <f>IF(Data!$C606="","",Data!$C606)</f>
        <v>0</v>
      </c>
      <c r="D606">
        <f>IF(Data!$D606="","",Data!$D606)</f>
        <v>0</v>
      </c>
      <c r="E606">
        <f>IF(Data!$E606="","",Data!$E606)</f>
        <v>0</v>
      </c>
      <c r="F606">
        <f>IF($E606="","",N(F605)+1)</f>
        <v>0</v>
      </c>
      <c r="G606">
        <f>IF(OR($E606="",$E605=""),"",LN($E606/$E605))</f>
        <v>0</v>
      </c>
      <c r="H606">
        <f>IF($E606="","",IF($E605="",$E606,$E606*0.0952380952+H605*0.9047619048))</f>
        <v>0</v>
      </c>
      <c r="I606">
        <f>IF($E606="","",IF($E605="",$E606,$E606*0.0392156863+I605*0.9607843137))</f>
        <v>0</v>
      </c>
      <c r="J606">
        <f>IF($E606="","",IF($E605="",$E606,$E606*0.0198019802+J605*0.9801980198))</f>
        <v>0</v>
      </c>
      <c r="K606">
        <f>IF($E606="","",IF($E605="",$E606,$E606*0.0099502488+K605*0.9900497512))</f>
        <v>0</v>
      </c>
      <c r="L606">
        <f>IF(OR($E606="",$E605=""),"",MAX($E606-$E605,0))</f>
        <v>0</v>
      </c>
      <c r="M606">
        <f>IF(OR($E606="",$E605=""),"",MAX($E605-$E606,0))</f>
        <v>0</v>
      </c>
      <c r="N606">
        <f>IF(COUNT($E$2:$E606)&lt;15,"",IF(AVERAGE($M$593:$M$606)=0,100,100-100/(1+AVERAGE($L$593:$L$606)/AVERAGE($M$593:$M$606))))</f>
        <v>0</v>
      </c>
      <c r="O606">
        <f>IF($E606="","",IF($E605="",$E606,$E606*0.1538461538+O605*0.8461538462))</f>
        <v>0</v>
      </c>
      <c r="P606">
        <f>IF($E606="","",IF($E605="",$E606,$E606*0.0740740741+P605*0.9259259259))</f>
        <v>0</v>
      </c>
      <c r="Q606">
        <f>IF(OR(O606="",P606=""),"",O606-P606)</f>
        <v>0</v>
      </c>
      <c r="R606">
        <f>IF(Q606="","",IF(R605="",Q606,Q606*0.2000000000+R605*0.8000000000))</f>
        <v>0</v>
      </c>
      <c r="S606">
        <f>IF(OR(Q606="",R606=""),"",Q606-R606)</f>
        <v>0</v>
      </c>
      <c r="T606">
        <f>IF(COUNT($E$2:$E606)&lt;14,"",MAX($C$593:$C$606))</f>
        <v>0</v>
      </c>
      <c r="U606">
        <f>IF(COUNT($E$2:$E606)&lt;14,"",MIN($D$593:$D$606))</f>
        <v>0</v>
      </c>
      <c r="V606">
        <f>IF(OR(T606="",U606="",T606=U606),"",100*($E606-U606)/(T606-U606))</f>
        <v>0</v>
      </c>
      <c r="W606">
        <f>IF(COUNT($V$604:$V$606)&lt;3,"",AVERAGE($V$604:$V$606))</f>
        <v>0</v>
      </c>
      <c r="X606">
        <f>IF(COUNT($N$593:$N$606)&lt;14,"",MIN($N$593:$N$606))</f>
        <v>0</v>
      </c>
      <c r="Y606">
        <f>IF(COUNT($N$593:$N$606)&lt;14,"",MAX($N$593:$N$606))</f>
        <v>0</v>
      </c>
      <c r="Z606">
        <f>IF(OR(N606="",X606="",Y606="",Y606=X606),"",100*(N606-X606)/(Y606-X606))</f>
        <v>0</v>
      </c>
      <c r="AA606">
        <f>IF(COUNT($Z$604:$Z$606)&lt;3,"",AVERAGE($Z$604:$Z$606))</f>
        <v>0</v>
      </c>
      <c r="AB606">
        <f>IF(COUNT($AA$604:$AA$606)&lt;3,"",AVERAGE($AA$604:$AA$606))</f>
        <v>0</v>
      </c>
      <c r="AC606">
        <f>IF($E606="","",MAX($C606-$D606,ABS($C606-$E605),ABS($D606-$E605)))</f>
        <v>0</v>
      </c>
      <c r="AD606">
        <f>IF(COUNT($E$2:$E606)&lt;15,"",AVERAGE($AC$593:$AC$606))</f>
        <v>0</v>
      </c>
      <c r="AE606">
        <f>IF(OR($E606="",$E605=""),"",IF(AND(($C606-$C605)&gt;($D605-$D606),($C606-$C605)&gt;0),$C606-$C605,0))</f>
        <v>0</v>
      </c>
      <c r="AF606">
        <f>IF(OR($E606="",$E605=""),"",IF(AND(($D605-$D606)&gt;($C606-$C605),($D605-$D606)&gt;0),$D605-$D606,0))</f>
        <v>0</v>
      </c>
      <c r="AG606">
        <f>IF(COUNT($E$2:$E606)&lt;15,"",IF(SUM($AC$593:$AC$606)=0,0,100*SUM($AE$593:$AE$606)/SUM($AC$593:$AC$606)))</f>
        <v>0</v>
      </c>
      <c r="AH606">
        <f>IF(COUNT($E$2:$E606)&lt;15,"",IF(SUM($AC$593:$AC$606)=0,0,100*SUM($AF$593:$AF$606)/SUM($AC$593:$AC$606)))</f>
        <v>0</v>
      </c>
      <c r="AI606">
        <f>IF(OR(AG606="",AH606=""),"",IF((AG606+AH606)=0,0,100*ABS(AG606-AH606)/(AG606+AH606)))</f>
        <v>0</v>
      </c>
      <c r="AJ606">
        <f>IF(COUNT($AI$593:$AI$606)&lt;14,"",AVERAGE($AI$593:$AI$606))</f>
        <v>0</v>
      </c>
      <c r="AK606">
        <f>IF(COUNT($E$2:$E606)&lt;20,"",AVERAGE($E$587:$E$606))</f>
        <v>0</v>
      </c>
      <c r="AL606">
        <f>IF(COUNT($E$2:$E606)&lt;20,"",STDEVP($E$587:$E$606))</f>
        <v>0</v>
      </c>
      <c r="AM606">
        <f>IF(AK606="","",AK606+2*AL606)</f>
        <v>0</v>
      </c>
      <c r="AN606">
        <f>IF(AK606="","",AK606-2*AL606)</f>
        <v>0</v>
      </c>
      <c r="AO606">
        <f>IF(OR(AM606="",AN606="",AM606=AN606),"",($E606-AN606)/(AM606-AN606))</f>
        <v>0</v>
      </c>
      <c r="AP606">
        <f>IF(OR(AM606="",AK606="",AK606=0),"",(AM606-AN606)/AK606)</f>
        <v>0</v>
      </c>
      <c r="AQ606">
        <f>IF(COUNT($E$2:$E606)&lt;20,"",MAX($C$587:$C$606))</f>
        <v>0</v>
      </c>
      <c r="AR606">
        <f>IF(COUNT($E$2:$E606)&lt;20,"",MIN($D$587:$D$606))</f>
        <v>0</v>
      </c>
      <c r="AS606">
        <f>IF(OR(AQ606="",AR606=""),"",(AQ606+AR606)/2)</f>
        <v>0</v>
      </c>
      <c r="AT606">
        <f>IF(COUNT($G$587:$G$606)&lt;20,"",STDEV($G$587:$G$606)*SQRT(252))</f>
        <v>0</v>
      </c>
      <c r="AU606">
        <f>IF(COUNT($E$2:$E606)&lt;9,"",(MAX($C$598:$C$606)+MIN($D$598:$D$606))/2)</f>
        <v>0</v>
      </c>
      <c r="AV606">
        <f>IF(COUNT($E$2:$E606)&lt;26,"",(MAX($C$581:$C$606)+MIN($D$581:$D$606))/2)</f>
        <v>0</v>
      </c>
      <c r="AW606">
        <f>IF(OR(AU606="",AV606=""),"",(AU606+AV606)/2)</f>
        <v>0</v>
      </c>
      <c r="AX606">
        <f>IF(COUNT($E$2:$E606)&lt;52,"",(MAX($C$555:$C$606)+MIN($D$555:$D$606))/2)</f>
        <v>0</v>
      </c>
      <c r="AY606">
        <f>IF(COUNT($E$2:$E606)&lt;20,"",MAX($C$507:$C$606))</f>
        <v>0</v>
      </c>
      <c r="AZ606">
        <f>IF(COUNT($E$2:$E606)&lt;20,"",MIN($D$507:$D$606))</f>
        <v>0</v>
      </c>
      <c r="BA606">
        <f>IF(COUNT($E$2:$E606)&lt;20,"",SLOPE($E$507:$E$606,$F$507:$F$606))</f>
        <v>0</v>
      </c>
      <c r="BB606">
        <f>IF(COUNT($E$2:$E606)&lt;20,"",INTERCEPT($E$507:$E$606,$F$507:$F$606))</f>
        <v>0</v>
      </c>
      <c r="BC606">
        <f>IF(OR(BA606="",BB606=""),"",BB606+BA606*F606)</f>
        <v>0</v>
      </c>
      <c r="BD606">
        <f>IF(COUNT($E$2:$E606)&lt;20,"",STEYX($E$507:$E$606,$F$507:$F$606))</f>
        <v>0</v>
      </c>
      <c r="BE606">
        <f>IF($E606="","",IF(AND(COUNT($E$607:$E$610)&gt;=4,$C606=MAX($C$602:$C$610)),$C606,""))</f>
        <v>0</v>
      </c>
      <c r="BF606">
        <f>IF($E606="","",IF(AND(COUNT($E$607:$E$610)&gt;=4,$D606=MIN($D$602:$D$610)),$D606,""))</f>
        <v>0</v>
      </c>
      <c r="BG606">
        <f>IF($A606="","",$A606-WEEKDAY($A606,2)+1)</f>
        <v>0</v>
      </c>
      <c r="BH606">
        <f>IF($A606="","",IF($A605="",1,IF(BG606&lt;&gt;BG605,1,0)))</f>
        <v>0</v>
      </c>
      <c r="BI606">
        <f>IF($A606="","",IF($A607="",1,IF(BG607&lt;&gt;BG606,1,0)))</f>
        <v>0</v>
      </c>
      <c r="BJ606">
        <f>IF($A606="","",IF(BH606=1,$B606,BJ605))</f>
        <v>0</v>
      </c>
      <c r="BK606">
        <f>IF($A606="","",IF(BH606=1,$C606,MAX($C606,BK605)))</f>
        <v>0</v>
      </c>
      <c r="BL606">
        <f>IF($A606="","",IF(BH606=1,$D606,MIN($D606,BL605)))</f>
        <v>0</v>
      </c>
      <c r="BM606">
        <f>IF($A606="","",IF(BI606=1,F606,""))</f>
        <v>0</v>
      </c>
      <c r="BN606">
        <f>IF($A606="","",DATE(YEAR($A606),MONTH($A606),1))</f>
        <v>0</v>
      </c>
      <c r="BO606">
        <f>IF($A606="","",IF($A605="",1,IF(BN606&lt;&gt;BN605,1,0)))</f>
        <v>0</v>
      </c>
      <c r="BP606">
        <f>IF($A606="","",IF($A607="",1,IF(BN607&lt;&gt;BN606,1,0)))</f>
        <v>0</v>
      </c>
      <c r="BQ606">
        <f>IF($A606="","",IF(BO606=1,$B606,BQ605))</f>
        <v>0</v>
      </c>
      <c r="BR606">
        <f>IF($A606="","",IF(BO606=1,$C606,MAX($C606,BR605)))</f>
        <v>0</v>
      </c>
      <c r="BS606">
        <f>IF($A606="","",IF(BO606=1,$D606,MIN($D606,BS605)))</f>
        <v>0</v>
      </c>
      <c r="BT606">
        <f>IF($A606="","",IF(BP606=1,F606,""))</f>
        <v>0</v>
      </c>
    </row>
    <row r="607" spans="1:72">
      <c r="A607" s="27">
        <f>IF(Data!$A607="","",Data!$A607)</f>
        <v>0</v>
      </c>
      <c r="B607">
        <f>IF(Data!$B607="","",Data!$B607)</f>
        <v>0</v>
      </c>
      <c r="C607">
        <f>IF(Data!$C607="","",Data!$C607)</f>
        <v>0</v>
      </c>
      <c r="D607">
        <f>IF(Data!$D607="","",Data!$D607)</f>
        <v>0</v>
      </c>
      <c r="E607">
        <f>IF(Data!$E607="","",Data!$E607)</f>
        <v>0</v>
      </c>
      <c r="F607">
        <f>IF($E607="","",N(F606)+1)</f>
        <v>0</v>
      </c>
      <c r="G607">
        <f>IF(OR($E607="",$E606=""),"",LN($E607/$E606))</f>
        <v>0</v>
      </c>
      <c r="H607">
        <f>IF($E607="","",IF($E606="",$E607,$E607*0.0952380952+H606*0.9047619048))</f>
        <v>0</v>
      </c>
      <c r="I607">
        <f>IF($E607="","",IF($E606="",$E607,$E607*0.0392156863+I606*0.9607843137))</f>
        <v>0</v>
      </c>
      <c r="J607">
        <f>IF($E607="","",IF($E606="",$E607,$E607*0.0198019802+J606*0.9801980198))</f>
        <v>0</v>
      </c>
      <c r="K607">
        <f>IF($E607="","",IF($E606="",$E607,$E607*0.0099502488+K606*0.9900497512))</f>
        <v>0</v>
      </c>
      <c r="L607">
        <f>IF(OR($E607="",$E606=""),"",MAX($E607-$E606,0))</f>
        <v>0</v>
      </c>
      <c r="M607">
        <f>IF(OR($E607="",$E606=""),"",MAX($E606-$E607,0))</f>
        <v>0</v>
      </c>
      <c r="N607">
        <f>IF(COUNT($E$2:$E607)&lt;15,"",IF(AVERAGE($M$594:$M$607)=0,100,100-100/(1+AVERAGE($L$594:$L$607)/AVERAGE($M$594:$M$607))))</f>
        <v>0</v>
      </c>
      <c r="O607">
        <f>IF($E607="","",IF($E606="",$E607,$E607*0.1538461538+O606*0.8461538462))</f>
        <v>0</v>
      </c>
      <c r="P607">
        <f>IF($E607="","",IF($E606="",$E607,$E607*0.0740740741+P606*0.9259259259))</f>
        <v>0</v>
      </c>
      <c r="Q607">
        <f>IF(OR(O607="",P607=""),"",O607-P607)</f>
        <v>0</v>
      </c>
      <c r="R607">
        <f>IF(Q607="","",IF(R606="",Q607,Q607*0.2000000000+R606*0.8000000000))</f>
        <v>0</v>
      </c>
      <c r="S607">
        <f>IF(OR(Q607="",R607=""),"",Q607-R607)</f>
        <v>0</v>
      </c>
      <c r="T607">
        <f>IF(COUNT($E$2:$E607)&lt;14,"",MAX($C$594:$C$607))</f>
        <v>0</v>
      </c>
      <c r="U607">
        <f>IF(COUNT($E$2:$E607)&lt;14,"",MIN($D$594:$D$607))</f>
        <v>0</v>
      </c>
      <c r="V607">
        <f>IF(OR(T607="",U607="",T607=U607),"",100*($E607-U607)/(T607-U607))</f>
        <v>0</v>
      </c>
      <c r="W607">
        <f>IF(COUNT($V$605:$V$607)&lt;3,"",AVERAGE($V$605:$V$607))</f>
        <v>0</v>
      </c>
      <c r="X607">
        <f>IF(COUNT($N$594:$N$607)&lt;14,"",MIN($N$594:$N$607))</f>
        <v>0</v>
      </c>
      <c r="Y607">
        <f>IF(COUNT($N$594:$N$607)&lt;14,"",MAX($N$594:$N$607))</f>
        <v>0</v>
      </c>
      <c r="Z607">
        <f>IF(OR(N607="",X607="",Y607="",Y607=X607),"",100*(N607-X607)/(Y607-X607))</f>
        <v>0</v>
      </c>
      <c r="AA607">
        <f>IF(COUNT($Z$605:$Z$607)&lt;3,"",AVERAGE($Z$605:$Z$607))</f>
        <v>0</v>
      </c>
      <c r="AB607">
        <f>IF(COUNT($AA$605:$AA$607)&lt;3,"",AVERAGE($AA$605:$AA$607))</f>
        <v>0</v>
      </c>
      <c r="AC607">
        <f>IF($E607="","",MAX($C607-$D607,ABS($C607-$E606),ABS($D607-$E606)))</f>
        <v>0</v>
      </c>
      <c r="AD607">
        <f>IF(COUNT($E$2:$E607)&lt;15,"",AVERAGE($AC$594:$AC$607))</f>
        <v>0</v>
      </c>
      <c r="AE607">
        <f>IF(OR($E607="",$E606=""),"",IF(AND(($C607-$C606)&gt;($D606-$D607),($C607-$C606)&gt;0),$C607-$C606,0))</f>
        <v>0</v>
      </c>
      <c r="AF607">
        <f>IF(OR($E607="",$E606=""),"",IF(AND(($D606-$D607)&gt;($C607-$C606),($D606-$D607)&gt;0),$D606-$D607,0))</f>
        <v>0</v>
      </c>
      <c r="AG607">
        <f>IF(COUNT($E$2:$E607)&lt;15,"",IF(SUM($AC$594:$AC$607)=0,0,100*SUM($AE$594:$AE$607)/SUM($AC$594:$AC$607)))</f>
        <v>0</v>
      </c>
      <c r="AH607">
        <f>IF(COUNT($E$2:$E607)&lt;15,"",IF(SUM($AC$594:$AC$607)=0,0,100*SUM($AF$594:$AF$607)/SUM($AC$594:$AC$607)))</f>
        <v>0</v>
      </c>
      <c r="AI607">
        <f>IF(OR(AG607="",AH607=""),"",IF((AG607+AH607)=0,0,100*ABS(AG607-AH607)/(AG607+AH607)))</f>
        <v>0</v>
      </c>
      <c r="AJ607">
        <f>IF(COUNT($AI$594:$AI$607)&lt;14,"",AVERAGE($AI$594:$AI$607))</f>
        <v>0</v>
      </c>
      <c r="AK607">
        <f>IF(COUNT($E$2:$E607)&lt;20,"",AVERAGE($E$588:$E$607))</f>
        <v>0</v>
      </c>
      <c r="AL607">
        <f>IF(COUNT($E$2:$E607)&lt;20,"",STDEVP($E$588:$E$607))</f>
        <v>0</v>
      </c>
      <c r="AM607">
        <f>IF(AK607="","",AK607+2*AL607)</f>
        <v>0</v>
      </c>
      <c r="AN607">
        <f>IF(AK607="","",AK607-2*AL607)</f>
        <v>0</v>
      </c>
      <c r="AO607">
        <f>IF(OR(AM607="",AN607="",AM607=AN607),"",($E607-AN607)/(AM607-AN607))</f>
        <v>0</v>
      </c>
      <c r="AP607">
        <f>IF(OR(AM607="",AK607="",AK607=0),"",(AM607-AN607)/AK607)</f>
        <v>0</v>
      </c>
      <c r="AQ607">
        <f>IF(COUNT($E$2:$E607)&lt;20,"",MAX($C$588:$C$607))</f>
        <v>0</v>
      </c>
      <c r="AR607">
        <f>IF(COUNT($E$2:$E607)&lt;20,"",MIN($D$588:$D$607))</f>
        <v>0</v>
      </c>
      <c r="AS607">
        <f>IF(OR(AQ607="",AR607=""),"",(AQ607+AR607)/2)</f>
        <v>0</v>
      </c>
      <c r="AT607">
        <f>IF(COUNT($G$588:$G$607)&lt;20,"",STDEV($G$588:$G$607)*SQRT(252))</f>
        <v>0</v>
      </c>
      <c r="AU607">
        <f>IF(COUNT($E$2:$E607)&lt;9,"",(MAX($C$599:$C$607)+MIN($D$599:$D$607))/2)</f>
        <v>0</v>
      </c>
      <c r="AV607">
        <f>IF(COUNT($E$2:$E607)&lt;26,"",(MAX($C$582:$C$607)+MIN($D$582:$D$607))/2)</f>
        <v>0</v>
      </c>
      <c r="AW607">
        <f>IF(OR(AU607="",AV607=""),"",(AU607+AV607)/2)</f>
        <v>0</v>
      </c>
      <c r="AX607">
        <f>IF(COUNT($E$2:$E607)&lt;52,"",(MAX($C$556:$C$607)+MIN($D$556:$D$607))/2)</f>
        <v>0</v>
      </c>
      <c r="AY607">
        <f>IF(COUNT($E$2:$E607)&lt;20,"",MAX($C$508:$C$607))</f>
        <v>0</v>
      </c>
      <c r="AZ607">
        <f>IF(COUNT($E$2:$E607)&lt;20,"",MIN($D$508:$D$607))</f>
        <v>0</v>
      </c>
      <c r="BA607">
        <f>IF(COUNT($E$2:$E607)&lt;20,"",SLOPE($E$508:$E$607,$F$508:$F$607))</f>
        <v>0</v>
      </c>
      <c r="BB607">
        <f>IF(COUNT($E$2:$E607)&lt;20,"",INTERCEPT($E$508:$E$607,$F$508:$F$607))</f>
        <v>0</v>
      </c>
      <c r="BC607">
        <f>IF(OR(BA607="",BB607=""),"",BB607+BA607*F607)</f>
        <v>0</v>
      </c>
      <c r="BD607">
        <f>IF(COUNT($E$2:$E607)&lt;20,"",STEYX($E$508:$E$607,$F$508:$F$607))</f>
        <v>0</v>
      </c>
      <c r="BE607">
        <f>IF($E607="","",IF(AND(COUNT($E$608:$E$611)&gt;=4,$C607=MAX($C$603:$C$611)),$C607,""))</f>
        <v>0</v>
      </c>
      <c r="BF607">
        <f>IF($E607="","",IF(AND(COUNT($E$608:$E$611)&gt;=4,$D607=MIN($D$603:$D$611)),$D607,""))</f>
        <v>0</v>
      </c>
      <c r="BG607">
        <f>IF($A607="","",$A607-WEEKDAY($A607,2)+1)</f>
        <v>0</v>
      </c>
      <c r="BH607">
        <f>IF($A607="","",IF($A606="",1,IF(BG607&lt;&gt;BG606,1,0)))</f>
        <v>0</v>
      </c>
      <c r="BI607">
        <f>IF($A607="","",IF($A608="",1,IF(BG608&lt;&gt;BG607,1,0)))</f>
        <v>0</v>
      </c>
      <c r="BJ607">
        <f>IF($A607="","",IF(BH607=1,$B607,BJ606))</f>
        <v>0</v>
      </c>
      <c r="BK607">
        <f>IF($A607="","",IF(BH607=1,$C607,MAX($C607,BK606)))</f>
        <v>0</v>
      </c>
      <c r="BL607">
        <f>IF($A607="","",IF(BH607=1,$D607,MIN($D607,BL606)))</f>
        <v>0</v>
      </c>
      <c r="BM607">
        <f>IF($A607="","",IF(BI607=1,F607,""))</f>
        <v>0</v>
      </c>
      <c r="BN607">
        <f>IF($A607="","",DATE(YEAR($A607),MONTH($A607),1))</f>
        <v>0</v>
      </c>
      <c r="BO607">
        <f>IF($A607="","",IF($A606="",1,IF(BN607&lt;&gt;BN606,1,0)))</f>
        <v>0</v>
      </c>
      <c r="BP607">
        <f>IF($A607="","",IF($A608="",1,IF(BN608&lt;&gt;BN607,1,0)))</f>
        <v>0</v>
      </c>
      <c r="BQ607">
        <f>IF($A607="","",IF(BO607=1,$B607,BQ606))</f>
        <v>0</v>
      </c>
      <c r="BR607">
        <f>IF($A607="","",IF(BO607=1,$C607,MAX($C607,BR606)))</f>
        <v>0</v>
      </c>
      <c r="BS607">
        <f>IF($A607="","",IF(BO607=1,$D607,MIN($D607,BS606)))</f>
        <v>0</v>
      </c>
      <c r="BT607">
        <f>IF($A607="","",IF(BP607=1,F607,""))</f>
        <v>0</v>
      </c>
    </row>
    <row r="608" spans="1:72">
      <c r="A608" s="27">
        <f>IF(Data!$A608="","",Data!$A608)</f>
        <v>0</v>
      </c>
      <c r="B608">
        <f>IF(Data!$B608="","",Data!$B608)</f>
        <v>0</v>
      </c>
      <c r="C608">
        <f>IF(Data!$C608="","",Data!$C608)</f>
        <v>0</v>
      </c>
      <c r="D608">
        <f>IF(Data!$D608="","",Data!$D608)</f>
        <v>0</v>
      </c>
      <c r="E608">
        <f>IF(Data!$E608="","",Data!$E608)</f>
        <v>0</v>
      </c>
      <c r="F608">
        <f>IF($E608="","",N(F607)+1)</f>
        <v>0</v>
      </c>
      <c r="G608">
        <f>IF(OR($E608="",$E607=""),"",LN($E608/$E607))</f>
        <v>0</v>
      </c>
      <c r="H608">
        <f>IF($E608="","",IF($E607="",$E608,$E608*0.0952380952+H607*0.9047619048))</f>
        <v>0</v>
      </c>
      <c r="I608">
        <f>IF($E608="","",IF($E607="",$E608,$E608*0.0392156863+I607*0.9607843137))</f>
        <v>0</v>
      </c>
      <c r="J608">
        <f>IF($E608="","",IF($E607="",$E608,$E608*0.0198019802+J607*0.9801980198))</f>
        <v>0</v>
      </c>
      <c r="K608">
        <f>IF($E608="","",IF($E607="",$E608,$E608*0.0099502488+K607*0.9900497512))</f>
        <v>0</v>
      </c>
      <c r="L608">
        <f>IF(OR($E608="",$E607=""),"",MAX($E608-$E607,0))</f>
        <v>0</v>
      </c>
      <c r="M608">
        <f>IF(OR($E608="",$E607=""),"",MAX($E607-$E608,0))</f>
        <v>0</v>
      </c>
      <c r="N608">
        <f>IF(COUNT($E$2:$E608)&lt;15,"",IF(AVERAGE($M$595:$M$608)=0,100,100-100/(1+AVERAGE($L$595:$L$608)/AVERAGE($M$595:$M$608))))</f>
        <v>0</v>
      </c>
      <c r="O608">
        <f>IF($E608="","",IF($E607="",$E608,$E608*0.1538461538+O607*0.8461538462))</f>
        <v>0</v>
      </c>
      <c r="P608">
        <f>IF($E608="","",IF($E607="",$E608,$E608*0.0740740741+P607*0.9259259259))</f>
        <v>0</v>
      </c>
      <c r="Q608">
        <f>IF(OR(O608="",P608=""),"",O608-P608)</f>
        <v>0</v>
      </c>
      <c r="R608">
        <f>IF(Q608="","",IF(R607="",Q608,Q608*0.2000000000+R607*0.8000000000))</f>
        <v>0</v>
      </c>
      <c r="S608">
        <f>IF(OR(Q608="",R608=""),"",Q608-R608)</f>
        <v>0</v>
      </c>
      <c r="T608">
        <f>IF(COUNT($E$2:$E608)&lt;14,"",MAX($C$595:$C$608))</f>
        <v>0</v>
      </c>
      <c r="U608">
        <f>IF(COUNT($E$2:$E608)&lt;14,"",MIN($D$595:$D$608))</f>
        <v>0</v>
      </c>
      <c r="V608">
        <f>IF(OR(T608="",U608="",T608=U608),"",100*($E608-U608)/(T608-U608))</f>
        <v>0</v>
      </c>
      <c r="W608">
        <f>IF(COUNT($V$606:$V$608)&lt;3,"",AVERAGE($V$606:$V$608))</f>
        <v>0</v>
      </c>
      <c r="X608">
        <f>IF(COUNT($N$595:$N$608)&lt;14,"",MIN($N$595:$N$608))</f>
        <v>0</v>
      </c>
      <c r="Y608">
        <f>IF(COUNT($N$595:$N$608)&lt;14,"",MAX($N$595:$N$608))</f>
        <v>0</v>
      </c>
      <c r="Z608">
        <f>IF(OR(N608="",X608="",Y608="",Y608=X608),"",100*(N608-X608)/(Y608-X608))</f>
        <v>0</v>
      </c>
      <c r="AA608">
        <f>IF(COUNT($Z$606:$Z$608)&lt;3,"",AVERAGE($Z$606:$Z$608))</f>
        <v>0</v>
      </c>
      <c r="AB608">
        <f>IF(COUNT($AA$606:$AA$608)&lt;3,"",AVERAGE($AA$606:$AA$608))</f>
        <v>0</v>
      </c>
      <c r="AC608">
        <f>IF($E608="","",MAX($C608-$D608,ABS($C608-$E607),ABS($D608-$E607)))</f>
        <v>0</v>
      </c>
      <c r="AD608">
        <f>IF(COUNT($E$2:$E608)&lt;15,"",AVERAGE($AC$595:$AC$608))</f>
        <v>0</v>
      </c>
      <c r="AE608">
        <f>IF(OR($E608="",$E607=""),"",IF(AND(($C608-$C607)&gt;($D607-$D608),($C608-$C607)&gt;0),$C608-$C607,0))</f>
        <v>0</v>
      </c>
      <c r="AF608">
        <f>IF(OR($E608="",$E607=""),"",IF(AND(($D607-$D608)&gt;($C608-$C607),($D607-$D608)&gt;0),$D607-$D608,0))</f>
        <v>0</v>
      </c>
      <c r="AG608">
        <f>IF(COUNT($E$2:$E608)&lt;15,"",IF(SUM($AC$595:$AC$608)=0,0,100*SUM($AE$595:$AE$608)/SUM($AC$595:$AC$608)))</f>
        <v>0</v>
      </c>
      <c r="AH608">
        <f>IF(COUNT($E$2:$E608)&lt;15,"",IF(SUM($AC$595:$AC$608)=0,0,100*SUM($AF$595:$AF$608)/SUM($AC$595:$AC$608)))</f>
        <v>0</v>
      </c>
      <c r="AI608">
        <f>IF(OR(AG608="",AH608=""),"",IF((AG608+AH608)=0,0,100*ABS(AG608-AH608)/(AG608+AH608)))</f>
        <v>0</v>
      </c>
      <c r="AJ608">
        <f>IF(COUNT($AI$595:$AI$608)&lt;14,"",AVERAGE($AI$595:$AI$608))</f>
        <v>0</v>
      </c>
      <c r="AK608">
        <f>IF(COUNT($E$2:$E608)&lt;20,"",AVERAGE($E$589:$E$608))</f>
        <v>0</v>
      </c>
      <c r="AL608">
        <f>IF(COUNT($E$2:$E608)&lt;20,"",STDEVP($E$589:$E$608))</f>
        <v>0</v>
      </c>
      <c r="AM608">
        <f>IF(AK608="","",AK608+2*AL608)</f>
        <v>0</v>
      </c>
      <c r="AN608">
        <f>IF(AK608="","",AK608-2*AL608)</f>
        <v>0</v>
      </c>
      <c r="AO608">
        <f>IF(OR(AM608="",AN608="",AM608=AN608),"",($E608-AN608)/(AM608-AN608))</f>
        <v>0</v>
      </c>
      <c r="AP608">
        <f>IF(OR(AM608="",AK608="",AK608=0),"",(AM608-AN608)/AK608)</f>
        <v>0</v>
      </c>
      <c r="AQ608">
        <f>IF(COUNT($E$2:$E608)&lt;20,"",MAX($C$589:$C$608))</f>
        <v>0</v>
      </c>
      <c r="AR608">
        <f>IF(COUNT($E$2:$E608)&lt;20,"",MIN($D$589:$D$608))</f>
        <v>0</v>
      </c>
      <c r="AS608">
        <f>IF(OR(AQ608="",AR608=""),"",(AQ608+AR608)/2)</f>
        <v>0</v>
      </c>
      <c r="AT608">
        <f>IF(COUNT($G$589:$G$608)&lt;20,"",STDEV($G$589:$G$608)*SQRT(252))</f>
        <v>0</v>
      </c>
      <c r="AU608">
        <f>IF(COUNT($E$2:$E608)&lt;9,"",(MAX($C$600:$C$608)+MIN($D$600:$D$608))/2)</f>
        <v>0</v>
      </c>
      <c r="AV608">
        <f>IF(COUNT($E$2:$E608)&lt;26,"",(MAX($C$583:$C$608)+MIN($D$583:$D$608))/2)</f>
        <v>0</v>
      </c>
      <c r="AW608">
        <f>IF(OR(AU608="",AV608=""),"",(AU608+AV608)/2)</f>
        <v>0</v>
      </c>
      <c r="AX608">
        <f>IF(COUNT($E$2:$E608)&lt;52,"",(MAX($C$557:$C$608)+MIN($D$557:$D$608))/2)</f>
        <v>0</v>
      </c>
      <c r="AY608">
        <f>IF(COUNT($E$2:$E608)&lt;20,"",MAX($C$509:$C$608))</f>
        <v>0</v>
      </c>
      <c r="AZ608">
        <f>IF(COUNT($E$2:$E608)&lt;20,"",MIN($D$509:$D$608))</f>
        <v>0</v>
      </c>
      <c r="BA608">
        <f>IF(COUNT($E$2:$E608)&lt;20,"",SLOPE($E$509:$E$608,$F$509:$F$608))</f>
        <v>0</v>
      </c>
      <c r="BB608">
        <f>IF(COUNT($E$2:$E608)&lt;20,"",INTERCEPT($E$509:$E$608,$F$509:$F$608))</f>
        <v>0</v>
      </c>
      <c r="BC608">
        <f>IF(OR(BA608="",BB608=""),"",BB608+BA608*F608)</f>
        <v>0</v>
      </c>
      <c r="BD608">
        <f>IF(COUNT($E$2:$E608)&lt;20,"",STEYX($E$509:$E$608,$F$509:$F$608))</f>
        <v>0</v>
      </c>
      <c r="BE608">
        <f>IF($E608="","",IF(AND(COUNT($E$609:$E$612)&gt;=4,$C608=MAX($C$604:$C$612)),$C608,""))</f>
        <v>0</v>
      </c>
      <c r="BF608">
        <f>IF($E608="","",IF(AND(COUNT($E$609:$E$612)&gt;=4,$D608=MIN($D$604:$D$612)),$D608,""))</f>
        <v>0</v>
      </c>
      <c r="BG608">
        <f>IF($A608="","",$A608-WEEKDAY($A608,2)+1)</f>
        <v>0</v>
      </c>
      <c r="BH608">
        <f>IF($A608="","",IF($A607="",1,IF(BG608&lt;&gt;BG607,1,0)))</f>
        <v>0</v>
      </c>
      <c r="BI608">
        <f>IF($A608="","",IF($A609="",1,IF(BG609&lt;&gt;BG608,1,0)))</f>
        <v>0</v>
      </c>
      <c r="BJ608">
        <f>IF($A608="","",IF(BH608=1,$B608,BJ607))</f>
        <v>0</v>
      </c>
      <c r="BK608">
        <f>IF($A608="","",IF(BH608=1,$C608,MAX($C608,BK607)))</f>
        <v>0</v>
      </c>
      <c r="BL608">
        <f>IF($A608="","",IF(BH608=1,$D608,MIN($D608,BL607)))</f>
        <v>0</v>
      </c>
      <c r="BM608">
        <f>IF($A608="","",IF(BI608=1,F608,""))</f>
        <v>0</v>
      </c>
      <c r="BN608">
        <f>IF($A608="","",DATE(YEAR($A608),MONTH($A608),1))</f>
        <v>0</v>
      </c>
      <c r="BO608">
        <f>IF($A608="","",IF($A607="",1,IF(BN608&lt;&gt;BN607,1,0)))</f>
        <v>0</v>
      </c>
      <c r="BP608">
        <f>IF($A608="","",IF($A609="",1,IF(BN609&lt;&gt;BN608,1,0)))</f>
        <v>0</v>
      </c>
      <c r="BQ608">
        <f>IF($A608="","",IF(BO608=1,$B608,BQ607))</f>
        <v>0</v>
      </c>
      <c r="BR608">
        <f>IF($A608="","",IF(BO608=1,$C608,MAX($C608,BR607)))</f>
        <v>0</v>
      </c>
      <c r="BS608">
        <f>IF($A608="","",IF(BO608=1,$D608,MIN($D608,BS607)))</f>
        <v>0</v>
      </c>
      <c r="BT608">
        <f>IF($A608="","",IF(BP608=1,F608,""))</f>
        <v>0</v>
      </c>
    </row>
    <row r="609" spans="1:72">
      <c r="A609" s="27">
        <f>IF(Data!$A609="","",Data!$A609)</f>
        <v>0</v>
      </c>
      <c r="B609">
        <f>IF(Data!$B609="","",Data!$B609)</f>
        <v>0</v>
      </c>
      <c r="C609">
        <f>IF(Data!$C609="","",Data!$C609)</f>
        <v>0</v>
      </c>
      <c r="D609">
        <f>IF(Data!$D609="","",Data!$D609)</f>
        <v>0</v>
      </c>
      <c r="E609">
        <f>IF(Data!$E609="","",Data!$E609)</f>
        <v>0</v>
      </c>
      <c r="F609">
        <f>IF($E609="","",N(F608)+1)</f>
        <v>0</v>
      </c>
      <c r="G609">
        <f>IF(OR($E609="",$E608=""),"",LN($E609/$E608))</f>
        <v>0</v>
      </c>
      <c r="H609">
        <f>IF($E609="","",IF($E608="",$E609,$E609*0.0952380952+H608*0.9047619048))</f>
        <v>0</v>
      </c>
      <c r="I609">
        <f>IF($E609="","",IF($E608="",$E609,$E609*0.0392156863+I608*0.9607843137))</f>
        <v>0</v>
      </c>
      <c r="J609">
        <f>IF($E609="","",IF($E608="",$E609,$E609*0.0198019802+J608*0.9801980198))</f>
        <v>0</v>
      </c>
      <c r="K609">
        <f>IF($E609="","",IF($E608="",$E609,$E609*0.0099502488+K608*0.9900497512))</f>
        <v>0</v>
      </c>
      <c r="L609">
        <f>IF(OR($E609="",$E608=""),"",MAX($E609-$E608,0))</f>
        <v>0</v>
      </c>
      <c r="M609">
        <f>IF(OR($E609="",$E608=""),"",MAX($E608-$E609,0))</f>
        <v>0</v>
      </c>
      <c r="N609">
        <f>IF(COUNT($E$2:$E609)&lt;15,"",IF(AVERAGE($M$596:$M$609)=0,100,100-100/(1+AVERAGE($L$596:$L$609)/AVERAGE($M$596:$M$609))))</f>
        <v>0</v>
      </c>
      <c r="O609">
        <f>IF($E609="","",IF($E608="",$E609,$E609*0.1538461538+O608*0.8461538462))</f>
        <v>0</v>
      </c>
      <c r="P609">
        <f>IF($E609="","",IF($E608="",$E609,$E609*0.0740740741+P608*0.9259259259))</f>
        <v>0</v>
      </c>
      <c r="Q609">
        <f>IF(OR(O609="",P609=""),"",O609-P609)</f>
        <v>0</v>
      </c>
      <c r="R609">
        <f>IF(Q609="","",IF(R608="",Q609,Q609*0.2000000000+R608*0.8000000000))</f>
        <v>0</v>
      </c>
      <c r="S609">
        <f>IF(OR(Q609="",R609=""),"",Q609-R609)</f>
        <v>0</v>
      </c>
      <c r="T609">
        <f>IF(COUNT($E$2:$E609)&lt;14,"",MAX($C$596:$C$609))</f>
        <v>0</v>
      </c>
      <c r="U609">
        <f>IF(COUNT($E$2:$E609)&lt;14,"",MIN($D$596:$D$609))</f>
        <v>0</v>
      </c>
      <c r="V609">
        <f>IF(OR(T609="",U609="",T609=U609),"",100*($E609-U609)/(T609-U609))</f>
        <v>0</v>
      </c>
      <c r="W609">
        <f>IF(COUNT($V$607:$V$609)&lt;3,"",AVERAGE($V$607:$V$609))</f>
        <v>0</v>
      </c>
      <c r="X609">
        <f>IF(COUNT($N$596:$N$609)&lt;14,"",MIN($N$596:$N$609))</f>
        <v>0</v>
      </c>
      <c r="Y609">
        <f>IF(COUNT($N$596:$N$609)&lt;14,"",MAX($N$596:$N$609))</f>
        <v>0</v>
      </c>
      <c r="Z609">
        <f>IF(OR(N609="",X609="",Y609="",Y609=X609),"",100*(N609-X609)/(Y609-X609))</f>
        <v>0</v>
      </c>
      <c r="AA609">
        <f>IF(COUNT($Z$607:$Z$609)&lt;3,"",AVERAGE($Z$607:$Z$609))</f>
        <v>0</v>
      </c>
      <c r="AB609">
        <f>IF(COUNT($AA$607:$AA$609)&lt;3,"",AVERAGE($AA$607:$AA$609))</f>
        <v>0</v>
      </c>
      <c r="AC609">
        <f>IF($E609="","",MAX($C609-$D609,ABS($C609-$E608),ABS($D609-$E608)))</f>
        <v>0</v>
      </c>
      <c r="AD609">
        <f>IF(COUNT($E$2:$E609)&lt;15,"",AVERAGE($AC$596:$AC$609))</f>
        <v>0</v>
      </c>
      <c r="AE609">
        <f>IF(OR($E609="",$E608=""),"",IF(AND(($C609-$C608)&gt;($D608-$D609),($C609-$C608)&gt;0),$C609-$C608,0))</f>
        <v>0</v>
      </c>
      <c r="AF609">
        <f>IF(OR($E609="",$E608=""),"",IF(AND(($D608-$D609)&gt;($C609-$C608),($D608-$D609)&gt;0),$D608-$D609,0))</f>
        <v>0</v>
      </c>
      <c r="AG609">
        <f>IF(COUNT($E$2:$E609)&lt;15,"",IF(SUM($AC$596:$AC$609)=0,0,100*SUM($AE$596:$AE$609)/SUM($AC$596:$AC$609)))</f>
        <v>0</v>
      </c>
      <c r="AH609">
        <f>IF(COUNT($E$2:$E609)&lt;15,"",IF(SUM($AC$596:$AC$609)=0,0,100*SUM($AF$596:$AF$609)/SUM($AC$596:$AC$609)))</f>
        <v>0</v>
      </c>
      <c r="AI609">
        <f>IF(OR(AG609="",AH609=""),"",IF((AG609+AH609)=0,0,100*ABS(AG609-AH609)/(AG609+AH609)))</f>
        <v>0</v>
      </c>
      <c r="AJ609">
        <f>IF(COUNT($AI$596:$AI$609)&lt;14,"",AVERAGE($AI$596:$AI$609))</f>
        <v>0</v>
      </c>
      <c r="AK609">
        <f>IF(COUNT($E$2:$E609)&lt;20,"",AVERAGE($E$590:$E$609))</f>
        <v>0</v>
      </c>
      <c r="AL609">
        <f>IF(COUNT($E$2:$E609)&lt;20,"",STDEVP($E$590:$E$609))</f>
        <v>0</v>
      </c>
      <c r="AM609">
        <f>IF(AK609="","",AK609+2*AL609)</f>
        <v>0</v>
      </c>
      <c r="AN609">
        <f>IF(AK609="","",AK609-2*AL609)</f>
        <v>0</v>
      </c>
      <c r="AO609">
        <f>IF(OR(AM609="",AN609="",AM609=AN609),"",($E609-AN609)/(AM609-AN609))</f>
        <v>0</v>
      </c>
      <c r="AP609">
        <f>IF(OR(AM609="",AK609="",AK609=0),"",(AM609-AN609)/AK609)</f>
        <v>0</v>
      </c>
      <c r="AQ609">
        <f>IF(COUNT($E$2:$E609)&lt;20,"",MAX($C$590:$C$609))</f>
        <v>0</v>
      </c>
      <c r="AR609">
        <f>IF(COUNT($E$2:$E609)&lt;20,"",MIN($D$590:$D$609))</f>
        <v>0</v>
      </c>
      <c r="AS609">
        <f>IF(OR(AQ609="",AR609=""),"",(AQ609+AR609)/2)</f>
        <v>0</v>
      </c>
      <c r="AT609">
        <f>IF(COUNT($G$590:$G$609)&lt;20,"",STDEV($G$590:$G$609)*SQRT(252))</f>
        <v>0</v>
      </c>
      <c r="AU609">
        <f>IF(COUNT($E$2:$E609)&lt;9,"",(MAX($C$601:$C$609)+MIN($D$601:$D$609))/2)</f>
        <v>0</v>
      </c>
      <c r="AV609">
        <f>IF(COUNT($E$2:$E609)&lt;26,"",(MAX($C$584:$C$609)+MIN($D$584:$D$609))/2)</f>
        <v>0</v>
      </c>
      <c r="AW609">
        <f>IF(OR(AU609="",AV609=""),"",(AU609+AV609)/2)</f>
        <v>0</v>
      </c>
      <c r="AX609">
        <f>IF(COUNT($E$2:$E609)&lt;52,"",(MAX($C$558:$C$609)+MIN($D$558:$D$609))/2)</f>
        <v>0</v>
      </c>
      <c r="AY609">
        <f>IF(COUNT($E$2:$E609)&lt;20,"",MAX($C$510:$C$609))</f>
        <v>0</v>
      </c>
      <c r="AZ609">
        <f>IF(COUNT($E$2:$E609)&lt;20,"",MIN($D$510:$D$609))</f>
        <v>0</v>
      </c>
      <c r="BA609">
        <f>IF(COUNT($E$2:$E609)&lt;20,"",SLOPE($E$510:$E$609,$F$510:$F$609))</f>
        <v>0</v>
      </c>
      <c r="BB609">
        <f>IF(COUNT($E$2:$E609)&lt;20,"",INTERCEPT($E$510:$E$609,$F$510:$F$609))</f>
        <v>0</v>
      </c>
      <c r="BC609">
        <f>IF(OR(BA609="",BB609=""),"",BB609+BA609*F609)</f>
        <v>0</v>
      </c>
      <c r="BD609">
        <f>IF(COUNT($E$2:$E609)&lt;20,"",STEYX($E$510:$E$609,$F$510:$F$609))</f>
        <v>0</v>
      </c>
      <c r="BE609">
        <f>IF($E609="","",IF(AND(COUNT($E$610:$E$613)&gt;=4,$C609=MAX($C$605:$C$613)),$C609,""))</f>
        <v>0</v>
      </c>
      <c r="BF609">
        <f>IF($E609="","",IF(AND(COUNT($E$610:$E$613)&gt;=4,$D609=MIN($D$605:$D$613)),$D609,""))</f>
        <v>0</v>
      </c>
      <c r="BG609">
        <f>IF($A609="","",$A609-WEEKDAY($A609,2)+1)</f>
        <v>0</v>
      </c>
      <c r="BH609">
        <f>IF($A609="","",IF($A608="",1,IF(BG609&lt;&gt;BG608,1,0)))</f>
        <v>0</v>
      </c>
      <c r="BI609">
        <f>IF($A609="","",IF($A610="",1,IF(BG610&lt;&gt;BG609,1,0)))</f>
        <v>0</v>
      </c>
      <c r="BJ609">
        <f>IF($A609="","",IF(BH609=1,$B609,BJ608))</f>
        <v>0</v>
      </c>
      <c r="BK609">
        <f>IF($A609="","",IF(BH609=1,$C609,MAX($C609,BK608)))</f>
        <v>0</v>
      </c>
      <c r="BL609">
        <f>IF($A609="","",IF(BH609=1,$D609,MIN($D609,BL608)))</f>
        <v>0</v>
      </c>
      <c r="BM609">
        <f>IF($A609="","",IF(BI609=1,F609,""))</f>
        <v>0</v>
      </c>
      <c r="BN609">
        <f>IF($A609="","",DATE(YEAR($A609),MONTH($A609),1))</f>
        <v>0</v>
      </c>
      <c r="BO609">
        <f>IF($A609="","",IF($A608="",1,IF(BN609&lt;&gt;BN608,1,0)))</f>
        <v>0</v>
      </c>
      <c r="BP609">
        <f>IF($A609="","",IF($A610="",1,IF(BN610&lt;&gt;BN609,1,0)))</f>
        <v>0</v>
      </c>
      <c r="BQ609">
        <f>IF($A609="","",IF(BO609=1,$B609,BQ608))</f>
        <v>0</v>
      </c>
      <c r="BR609">
        <f>IF($A609="","",IF(BO609=1,$C609,MAX($C609,BR608)))</f>
        <v>0</v>
      </c>
      <c r="BS609">
        <f>IF($A609="","",IF(BO609=1,$D609,MIN($D609,BS608)))</f>
        <v>0</v>
      </c>
      <c r="BT609">
        <f>IF($A609="","",IF(BP609=1,F609,""))</f>
        <v>0</v>
      </c>
    </row>
    <row r="610" spans="1:72">
      <c r="A610" s="27">
        <f>IF(Data!$A610="","",Data!$A610)</f>
        <v>0</v>
      </c>
      <c r="B610">
        <f>IF(Data!$B610="","",Data!$B610)</f>
        <v>0</v>
      </c>
      <c r="C610">
        <f>IF(Data!$C610="","",Data!$C610)</f>
        <v>0</v>
      </c>
      <c r="D610">
        <f>IF(Data!$D610="","",Data!$D610)</f>
        <v>0</v>
      </c>
      <c r="E610">
        <f>IF(Data!$E610="","",Data!$E610)</f>
        <v>0</v>
      </c>
      <c r="F610">
        <f>IF($E610="","",N(F609)+1)</f>
        <v>0</v>
      </c>
      <c r="G610">
        <f>IF(OR($E610="",$E609=""),"",LN($E610/$E609))</f>
        <v>0</v>
      </c>
      <c r="H610">
        <f>IF($E610="","",IF($E609="",$E610,$E610*0.0952380952+H609*0.9047619048))</f>
        <v>0</v>
      </c>
      <c r="I610">
        <f>IF($E610="","",IF($E609="",$E610,$E610*0.0392156863+I609*0.9607843137))</f>
        <v>0</v>
      </c>
      <c r="J610">
        <f>IF($E610="","",IF($E609="",$E610,$E610*0.0198019802+J609*0.9801980198))</f>
        <v>0</v>
      </c>
      <c r="K610">
        <f>IF($E610="","",IF($E609="",$E610,$E610*0.0099502488+K609*0.9900497512))</f>
        <v>0</v>
      </c>
      <c r="L610">
        <f>IF(OR($E610="",$E609=""),"",MAX($E610-$E609,0))</f>
        <v>0</v>
      </c>
      <c r="M610">
        <f>IF(OR($E610="",$E609=""),"",MAX($E609-$E610,0))</f>
        <v>0</v>
      </c>
      <c r="N610">
        <f>IF(COUNT($E$2:$E610)&lt;15,"",IF(AVERAGE($M$597:$M$610)=0,100,100-100/(1+AVERAGE($L$597:$L$610)/AVERAGE($M$597:$M$610))))</f>
        <v>0</v>
      </c>
      <c r="O610">
        <f>IF($E610="","",IF($E609="",$E610,$E610*0.1538461538+O609*0.8461538462))</f>
        <v>0</v>
      </c>
      <c r="P610">
        <f>IF($E610="","",IF($E609="",$E610,$E610*0.0740740741+P609*0.9259259259))</f>
        <v>0</v>
      </c>
      <c r="Q610">
        <f>IF(OR(O610="",P610=""),"",O610-P610)</f>
        <v>0</v>
      </c>
      <c r="R610">
        <f>IF(Q610="","",IF(R609="",Q610,Q610*0.2000000000+R609*0.8000000000))</f>
        <v>0</v>
      </c>
      <c r="S610">
        <f>IF(OR(Q610="",R610=""),"",Q610-R610)</f>
        <v>0</v>
      </c>
      <c r="T610">
        <f>IF(COUNT($E$2:$E610)&lt;14,"",MAX($C$597:$C$610))</f>
        <v>0</v>
      </c>
      <c r="U610">
        <f>IF(COUNT($E$2:$E610)&lt;14,"",MIN($D$597:$D$610))</f>
        <v>0</v>
      </c>
      <c r="V610">
        <f>IF(OR(T610="",U610="",T610=U610),"",100*($E610-U610)/(T610-U610))</f>
        <v>0</v>
      </c>
      <c r="W610">
        <f>IF(COUNT($V$608:$V$610)&lt;3,"",AVERAGE($V$608:$V$610))</f>
        <v>0</v>
      </c>
      <c r="X610">
        <f>IF(COUNT($N$597:$N$610)&lt;14,"",MIN($N$597:$N$610))</f>
        <v>0</v>
      </c>
      <c r="Y610">
        <f>IF(COUNT($N$597:$N$610)&lt;14,"",MAX($N$597:$N$610))</f>
        <v>0</v>
      </c>
      <c r="Z610">
        <f>IF(OR(N610="",X610="",Y610="",Y610=X610),"",100*(N610-X610)/(Y610-X610))</f>
        <v>0</v>
      </c>
      <c r="AA610">
        <f>IF(COUNT($Z$608:$Z$610)&lt;3,"",AVERAGE($Z$608:$Z$610))</f>
        <v>0</v>
      </c>
      <c r="AB610">
        <f>IF(COUNT($AA$608:$AA$610)&lt;3,"",AVERAGE($AA$608:$AA$610))</f>
        <v>0</v>
      </c>
      <c r="AC610">
        <f>IF($E610="","",MAX($C610-$D610,ABS($C610-$E609),ABS($D610-$E609)))</f>
        <v>0</v>
      </c>
      <c r="AD610">
        <f>IF(COUNT($E$2:$E610)&lt;15,"",AVERAGE($AC$597:$AC$610))</f>
        <v>0</v>
      </c>
      <c r="AE610">
        <f>IF(OR($E610="",$E609=""),"",IF(AND(($C610-$C609)&gt;($D609-$D610),($C610-$C609)&gt;0),$C610-$C609,0))</f>
        <v>0</v>
      </c>
      <c r="AF610">
        <f>IF(OR($E610="",$E609=""),"",IF(AND(($D609-$D610)&gt;($C610-$C609),($D609-$D610)&gt;0),$D609-$D610,0))</f>
        <v>0</v>
      </c>
      <c r="AG610">
        <f>IF(COUNT($E$2:$E610)&lt;15,"",IF(SUM($AC$597:$AC$610)=0,0,100*SUM($AE$597:$AE$610)/SUM($AC$597:$AC$610)))</f>
        <v>0</v>
      </c>
      <c r="AH610">
        <f>IF(COUNT($E$2:$E610)&lt;15,"",IF(SUM($AC$597:$AC$610)=0,0,100*SUM($AF$597:$AF$610)/SUM($AC$597:$AC$610)))</f>
        <v>0</v>
      </c>
      <c r="AI610">
        <f>IF(OR(AG610="",AH610=""),"",IF((AG610+AH610)=0,0,100*ABS(AG610-AH610)/(AG610+AH610)))</f>
        <v>0</v>
      </c>
      <c r="AJ610">
        <f>IF(COUNT($AI$597:$AI$610)&lt;14,"",AVERAGE($AI$597:$AI$610))</f>
        <v>0</v>
      </c>
      <c r="AK610">
        <f>IF(COUNT($E$2:$E610)&lt;20,"",AVERAGE($E$591:$E$610))</f>
        <v>0</v>
      </c>
      <c r="AL610">
        <f>IF(COUNT($E$2:$E610)&lt;20,"",STDEVP($E$591:$E$610))</f>
        <v>0</v>
      </c>
      <c r="AM610">
        <f>IF(AK610="","",AK610+2*AL610)</f>
        <v>0</v>
      </c>
      <c r="AN610">
        <f>IF(AK610="","",AK610-2*AL610)</f>
        <v>0</v>
      </c>
      <c r="AO610">
        <f>IF(OR(AM610="",AN610="",AM610=AN610),"",($E610-AN610)/(AM610-AN610))</f>
        <v>0</v>
      </c>
      <c r="AP610">
        <f>IF(OR(AM610="",AK610="",AK610=0),"",(AM610-AN610)/AK610)</f>
        <v>0</v>
      </c>
      <c r="AQ610">
        <f>IF(COUNT($E$2:$E610)&lt;20,"",MAX($C$591:$C$610))</f>
        <v>0</v>
      </c>
      <c r="AR610">
        <f>IF(COUNT($E$2:$E610)&lt;20,"",MIN($D$591:$D$610))</f>
        <v>0</v>
      </c>
      <c r="AS610">
        <f>IF(OR(AQ610="",AR610=""),"",(AQ610+AR610)/2)</f>
        <v>0</v>
      </c>
      <c r="AT610">
        <f>IF(COUNT($G$591:$G$610)&lt;20,"",STDEV($G$591:$G$610)*SQRT(252))</f>
        <v>0</v>
      </c>
      <c r="AU610">
        <f>IF(COUNT($E$2:$E610)&lt;9,"",(MAX($C$602:$C$610)+MIN($D$602:$D$610))/2)</f>
        <v>0</v>
      </c>
      <c r="AV610">
        <f>IF(COUNT($E$2:$E610)&lt;26,"",(MAX($C$585:$C$610)+MIN($D$585:$D$610))/2)</f>
        <v>0</v>
      </c>
      <c r="AW610">
        <f>IF(OR(AU610="",AV610=""),"",(AU610+AV610)/2)</f>
        <v>0</v>
      </c>
      <c r="AX610">
        <f>IF(COUNT($E$2:$E610)&lt;52,"",(MAX($C$559:$C$610)+MIN($D$559:$D$610))/2)</f>
        <v>0</v>
      </c>
      <c r="AY610">
        <f>IF(COUNT($E$2:$E610)&lt;20,"",MAX($C$511:$C$610))</f>
        <v>0</v>
      </c>
      <c r="AZ610">
        <f>IF(COUNT($E$2:$E610)&lt;20,"",MIN($D$511:$D$610))</f>
        <v>0</v>
      </c>
      <c r="BA610">
        <f>IF(COUNT($E$2:$E610)&lt;20,"",SLOPE($E$511:$E$610,$F$511:$F$610))</f>
        <v>0</v>
      </c>
      <c r="BB610">
        <f>IF(COUNT($E$2:$E610)&lt;20,"",INTERCEPT($E$511:$E$610,$F$511:$F$610))</f>
        <v>0</v>
      </c>
      <c r="BC610">
        <f>IF(OR(BA610="",BB610=""),"",BB610+BA610*F610)</f>
        <v>0</v>
      </c>
      <c r="BD610">
        <f>IF(COUNT($E$2:$E610)&lt;20,"",STEYX($E$511:$E$610,$F$511:$F$610))</f>
        <v>0</v>
      </c>
      <c r="BE610">
        <f>IF($E610="","",IF(AND(COUNT($E$611:$E$614)&gt;=4,$C610=MAX($C$606:$C$614)),$C610,""))</f>
        <v>0</v>
      </c>
      <c r="BF610">
        <f>IF($E610="","",IF(AND(COUNT($E$611:$E$614)&gt;=4,$D610=MIN($D$606:$D$614)),$D610,""))</f>
        <v>0</v>
      </c>
      <c r="BG610">
        <f>IF($A610="","",$A610-WEEKDAY($A610,2)+1)</f>
        <v>0</v>
      </c>
      <c r="BH610">
        <f>IF($A610="","",IF($A609="",1,IF(BG610&lt;&gt;BG609,1,0)))</f>
        <v>0</v>
      </c>
      <c r="BI610">
        <f>IF($A610="","",IF($A611="",1,IF(BG611&lt;&gt;BG610,1,0)))</f>
        <v>0</v>
      </c>
      <c r="BJ610">
        <f>IF($A610="","",IF(BH610=1,$B610,BJ609))</f>
        <v>0</v>
      </c>
      <c r="BK610">
        <f>IF($A610="","",IF(BH610=1,$C610,MAX($C610,BK609)))</f>
        <v>0</v>
      </c>
      <c r="BL610">
        <f>IF($A610="","",IF(BH610=1,$D610,MIN($D610,BL609)))</f>
        <v>0</v>
      </c>
      <c r="BM610">
        <f>IF($A610="","",IF(BI610=1,F610,""))</f>
        <v>0</v>
      </c>
      <c r="BN610">
        <f>IF($A610="","",DATE(YEAR($A610),MONTH($A610),1))</f>
        <v>0</v>
      </c>
      <c r="BO610">
        <f>IF($A610="","",IF($A609="",1,IF(BN610&lt;&gt;BN609,1,0)))</f>
        <v>0</v>
      </c>
      <c r="BP610">
        <f>IF($A610="","",IF($A611="",1,IF(BN611&lt;&gt;BN610,1,0)))</f>
        <v>0</v>
      </c>
      <c r="BQ610">
        <f>IF($A610="","",IF(BO610=1,$B610,BQ609))</f>
        <v>0</v>
      </c>
      <c r="BR610">
        <f>IF($A610="","",IF(BO610=1,$C610,MAX($C610,BR609)))</f>
        <v>0</v>
      </c>
      <c r="BS610">
        <f>IF($A610="","",IF(BO610=1,$D610,MIN($D610,BS609)))</f>
        <v>0</v>
      </c>
      <c r="BT610">
        <f>IF($A610="","",IF(BP610=1,F610,""))</f>
        <v>0</v>
      </c>
    </row>
    <row r="611" spans="1:72">
      <c r="A611" s="27">
        <f>IF(Data!$A611="","",Data!$A611)</f>
        <v>0</v>
      </c>
      <c r="B611">
        <f>IF(Data!$B611="","",Data!$B611)</f>
        <v>0</v>
      </c>
      <c r="C611">
        <f>IF(Data!$C611="","",Data!$C611)</f>
        <v>0</v>
      </c>
      <c r="D611">
        <f>IF(Data!$D611="","",Data!$D611)</f>
        <v>0</v>
      </c>
      <c r="E611">
        <f>IF(Data!$E611="","",Data!$E611)</f>
        <v>0</v>
      </c>
      <c r="F611">
        <f>IF($E611="","",N(F610)+1)</f>
        <v>0</v>
      </c>
      <c r="G611">
        <f>IF(OR($E611="",$E610=""),"",LN($E611/$E610))</f>
        <v>0</v>
      </c>
      <c r="H611">
        <f>IF($E611="","",IF($E610="",$E611,$E611*0.0952380952+H610*0.9047619048))</f>
        <v>0</v>
      </c>
      <c r="I611">
        <f>IF($E611="","",IF($E610="",$E611,$E611*0.0392156863+I610*0.9607843137))</f>
        <v>0</v>
      </c>
      <c r="J611">
        <f>IF($E611="","",IF($E610="",$E611,$E611*0.0198019802+J610*0.9801980198))</f>
        <v>0</v>
      </c>
      <c r="K611">
        <f>IF($E611="","",IF($E610="",$E611,$E611*0.0099502488+K610*0.9900497512))</f>
        <v>0</v>
      </c>
      <c r="L611">
        <f>IF(OR($E611="",$E610=""),"",MAX($E611-$E610,0))</f>
        <v>0</v>
      </c>
      <c r="M611">
        <f>IF(OR($E611="",$E610=""),"",MAX($E610-$E611,0))</f>
        <v>0</v>
      </c>
      <c r="N611">
        <f>IF(COUNT($E$2:$E611)&lt;15,"",IF(AVERAGE($M$598:$M$611)=0,100,100-100/(1+AVERAGE($L$598:$L$611)/AVERAGE($M$598:$M$611))))</f>
        <v>0</v>
      </c>
      <c r="O611">
        <f>IF($E611="","",IF($E610="",$E611,$E611*0.1538461538+O610*0.8461538462))</f>
        <v>0</v>
      </c>
      <c r="P611">
        <f>IF($E611="","",IF($E610="",$E611,$E611*0.0740740741+P610*0.9259259259))</f>
        <v>0</v>
      </c>
      <c r="Q611">
        <f>IF(OR(O611="",P611=""),"",O611-P611)</f>
        <v>0</v>
      </c>
      <c r="R611">
        <f>IF(Q611="","",IF(R610="",Q611,Q611*0.2000000000+R610*0.8000000000))</f>
        <v>0</v>
      </c>
      <c r="S611">
        <f>IF(OR(Q611="",R611=""),"",Q611-R611)</f>
        <v>0</v>
      </c>
      <c r="T611">
        <f>IF(COUNT($E$2:$E611)&lt;14,"",MAX($C$598:$C$611))</f>
        <v>0</v>
      </c>
      <c r="U611">
        <f>IF(COUNT($E$2:$E611)&lt;14,"",MIN($D$598:$D$611))</f>
        <v>0</v>
      </c>
      <c r="V611">
        <f>IF(OR(T611="",U611="",T611=U611),"",100*($E611-U611)/(T611-U611))</f>
        <v>0</v>
      </c>
      <c r="W611">
        <f>IF(COUNT($V$609:$V$611)&lt;3,"",AVERAGE($V$609:$V$611))</f>
        <v>0</v>
      </c>
      <c r="X611">
        <f>IF(COUNT($N$598:$N$611)&lt;14,"",MIN($N$598:$N$611))</f>
        <v>0</v>
      </c>
      <c r="Y611">
        <f>IF(COUNT($N$598:$N$611)&lt;14,"",MAX($N$598:$N$611))</f>
        <v>0</v>
      </c>
      <c r="Z611">
        <f>IF(OR(N611="",X611="",Y611="",Y611=X611),"",100*(N611-X611)/(Y611-X611))</f>
        <v>0</v>
      </c>
      <c r="AA611">
        <f>IF(COUNT($Z$609:$Z$611)&lt;3,"",AVERAGE($Z$609:$Z$611))</f>
        <v>0</v>
      </c>
      <c r="AB611">
        <f>IF(COUNT($AA$609:$AA$611)&lt;3,"",AVERAGE($AA$609:$AA$611))</f>
        <v>0</v>
      </c>
      <c r="AC611">
        <f>IF($E611="","",MAX($C611-$D611,ABS($C611-$E610),ABS($D611-$E610)))</f>
        <v>0</v>
      </c>
      <c r="AD611">
        <f>IF(COUNT($E$2:$E611)&lt;15,"",AVERAGE($AC$598:$AC$611))</f>
        <v>0</v>
      </c>
      <c r="AE611">
        <f>IF(OR($E611="",$E610=""),"",IF(AND(($C611-$C610)&gt;($D610-$D611),($C611-$C610)&gt;0),$C611-$C610,0))</f>
        <v>0</v>
      </c>
      <c r="AF611">
        <f>IF(OR($E611="",$E610=""),"",IF(AND(($D610-$D611)&gt;($C611-$C610),($D610-$D611)&gt;0),$D610-$D611,0))</f>
        <v>0</v>
      </c>
      <c r="AG611">
        <f>IF(COUNT($E$2:$E611)&lt;15,"",IF(SUM($AC$598:$AC$611)=0,0,100*SUM($AE$598:$AE$611)/SUM($AC$598:$AC$611)))</f>
        <v>0</v>
      </c>
      <c r="AH611">
        <f>IF(COUNT($E$2:$E611)&lt;15,"",IF(SUM($AC$598:$AC$611)=0,0,100*SUM($AF$598:$AF$611)/SUM($AC$598:$AC$611)))</f>
        <v>0</v>
      </c>
      <c r="AI611">
        <f>IF(OR(AG611="",AH611=""),"",IF((AG611+AH611)=0,0,100*ABS(AG611-AH611)/(AG611+AH611)))</f>
        <v>0</v>
      </c>
      <c r="AJ611">
        <f>IF(COUNT($AI$598:$AI$611)&lt;14,"",AVERAGE($AI$598:$AI$611))</f>
        <v>0</v>
      </c>
      <c r="AK611">
        <f>IF(COUNT($E$2:$E611)&lt;20,"",AVERAGE($E$592:$E$611))</f>
        <v>0</v>
      </c>
      <c r="AL611">
        <f>IF(COUNT($E$2:$E611)&lt;20,"",STDEVP($E$592:$E$611))</f>
        <v>0</v>
      </c>
      <c r="AM611">
        <f>IF(AK611="","",AK611+2*AL611)</f>
        <v>0</v>
      </c>
      <c r="AN611">
        <f>IF(AK611="","",AK611-2*AL611)</f>
        <v>0</v>
      </c>
      <c r="AO611">
        <f>IF(OR(AM611="",AN611="",AM611=AN611),"",($E611-AN611)/(AM611-AN611))</f>
        <v>0</v>
      </c>
      <c r="AP611">
        <f>IF(OR(AM611="",AK611="",AK611=0),"",(AM611-AN611)/AK611)</f>
        <v>0</v>
      </c>
      <c r="AQ611">
        <f>IF(COUNT($E$2:$E611)&lt;20,"",MAX($C$592:$C$611))</f>
        <v>0</v>
      </c>
      <c r="AR611">
        <f>IF(COUNT($E$2:$E611)&lt;20,"",MIN($D$592:$D$611))</f>
        <v>0</v>
      </c>
      <c r="AS611">
        <f>IF(OR(AQ611="",AR611=""),"",(AQ611+AR611)/2)</f>
        <v>0</v>
      </c>
      <c r="AT611">
        <f>IF(COUNT($G$592:$G$611)&lt;20,"",STDEV($G$592:$G$611)*SQRT(252))</f>
        <v>0</v>
      </c>
      <c r="AU611">
        <f>IF(COUNT($E$2:$E611)&lt;9,"",(MAX($C$603:$C$611)+MIN($D$603:$D$611))/2)</f>
        <v>0</v>
      </c>
      <c r="AV611">
        <f>IF(COUNT($E$2:$E611)&lt;26,"",(MAX($C$586:$C$611)+MIN($D$586:$D$611))/2)</f>
        <v>0</v>
      </c>
      <c r="AW611">
        <f>IF(OR(AU611="",AV611=""),"",(AU611+AV611)/2)</f>
        <v>0</v>
      </c>
      <c r="AX611">
        <f>IF(COUNT($E$2:$E611)&lt;52,"",(MAX($C$560:$C$611)+MIN($D$560:$D$611))/2)</f>
        <v>0</v>
      </c>
      <c r="AY611">
        <f>IF(COUNT($E$2:$E611)&lt;20,"",MAX($C$512:$C$611))</f>
        <v>0</v>
      </c>
      <c r="AZ611">
        <f>IF(COUNT($E$2:$E611)&lt;20,"",MIN($D$512:$D$611))</f>
        <v>0</v>
      </c>
      <c r="BA611">
        <f>IF(COUNT($E$2:$E611)&lt;20,"",SLOPE($E$512:$E$611,$F$512:$F$611))</f>
        <v>0</v>
      </c>
      <c r="BB611">
        <f>IF(COUNT($E$2:$E611)&lt;20,"",INTERCEPT($E$512:$E$611,$F$512:$F$611))</f>
        <v>0</v>
      </c>
      <c r="BC611">
        <f>IF(OR(BA611="",BB611=""),"",BB611+BA611*F611)</f>
        <v>0</v>
      </c>
      <c r="BD611">
        <f>IF(COUNT($E$2:$E611)&lt;20,"",STEYX($E$512:$E$611,$F$512:$F$611))</f>
        <v>0</v>
      </c>
      <c r="BE611">
        <f>IF($E611="","",IF(AND(COUNT($E$612:$E$615)&gt;=4,$C611=MAX($C$607:$C$615)),$C611,""))</f>
        <v>0</v>
      </c>
      <c r="BF611">
        <f>IF($E611="","",IF(AND(COUNT($E$612:$E$615)&gt;=4,$D611=MIN($D$607:$D$615)),$D611,""))</f>
        <v>0</v>
      </c>
      <c r="BG611">
        <f>IF($A611="","",$A611-WEEKDAY($A611,2)+1)</f>
        <v>0</v>
      </c>
      <c r="BH611">
        <f>IF($A611="","",IF($A610="",1,IF(BG611&lt;&gt;BG610,1,0)))</f>
        <v>0</v>
      </c>
      <c r="BI611">
        <f>IF($A611="","",IF($A612="",1,IF(BG612&lt;&gt;BG611,1,0)))</f>
        <v>0</v>
      </c>
      <c r="BJ611">
        <f>IF($A611="","",IF(BH611=1,$B611,BJ610))</f>
        <v>0</v>
      </c>
      <c r="BK611">
        <f>IF($A611="","",IF(BH611=1,$C611,MAX($C611,BK610)))</f>
        <v>0</v>
      </c>
      <c r="BL611">
        <f>IF($A611="","",IF(BH611=1,$D611,MIN($D611,BL610)))</f>
        <v>0</v>
      </c>
      <c r="BM611">
        <f>IF($A611="","",IF(BI611=1,F611,""))</f>
        <v>0</v>
      </c>
      <c r="BN611">
        <f>IF($A611="","",DATE(YEAR($A611),MONTH($A611),1))</f>
        <v>0</v>
      </c>
      <c r="BO611">
        <f>IF($A611="","",IF($A610="",1,IF(BN611&lt;&gt;BN610,1,0)))</f>
        <v>0</v>
      </c>
      <c r="BP611">
        <f>IF($A611="","",IF($A612="",1,IF(BN612&lt;&gt;BN611,1,0)))</f>
        <v>0</v>
      </c>
      <c r="BQ611">
        <f>IF($A611="","",IF(BO611=1,$B611,BQ610))</f>
        <v>0</v>
      </c>
      <c r="BR611">
        <f>IF($A611="","",IF(BO611=1,$C611,MAX($C611,BR610)))</f>
        <v>0</v>
      </c>
      <c r="BS611">
        <f>IF($A611="","",IF(BO611=1,$D611,MIN($D611,BS610)))</f>
        <v>0</v>
      </c>
      <c r="BT611">
        <f>IF($A611="","",IF(BP611=1,F611,""))</f>
        <v>0</v>
      </c>
    </row>
    <row r="612" spans="1:72">
      <c r="A612" s="27">
        <f>IF(Data!$A612="","",Data!$A612)</f>
        <v>0</v>
      </c>
      <c r="B612">
        <f>IF(Data!$B612="","",Data!$B612)</f>
        <v>0</v>
      </c>
      <c r="C612">
        <f>IF(Data!$C612="","",Data!$C612)</f>
        <v>0</v>
      </c>
      <c r="D612">
        <f>IF(Data!$D612="","",Data!$D612)</f>
        <v>0</v>
      </c>
      <c r="E612">
        <f>IF(Data!$E612="","",Data!$E612)</f>
        <v>0</v>
      </c>
      <c r="F612">
        <f>IF($E612="","",N(F611)+1)</f>
        <v>0</v>
      </c>
      <c r="G612">
        <f>IF(OR($E612="",$E611=""),"",LN($E612/$E611))</f>
        <v>0</v>
      </c>
      <c r="H612">
        <f>IF($E612="","",IF($E611="",$E612,$E612*0.0952380952+H611*0.9047619048))</f>
        <v>0</v>
      </c>
      <c r="I612">
        <f>IF($E612="","",IF($E611="",$E612,$E612*0.0392156863+I611*0.9607843137))</f>
        <v>0</v>
      </c>
      <c r="J612">
        <f>IF($E612="","",IF($E611="",$E612,$E612*0.0198019802+J611*0.9801980198))</f>
        <v>0</v>
      </c>
      <c r="K612">
        <f>IF($E612="","",IF($E611="",$E612,$E612*0.0099502488+K611*0.9900497512))</f>
        <v>0</v>
      </c>
      <c r="L612">
        <f>IF(OR($E612="",$E611=""),"",MAX($E612-$E611,0))</f>
        <v>0</v>
      </c>
      <c r="M612">
        <f>IF(OR($E612="",$E611=""),"",MAX($E611-$E612,0))</f>
        <v>0</v>
      </c>
      <c r="N612">
        <f>IF(COUNT($E$2:$E612)&lt;15,"",IF(AVERAGE($M$599:$M$612)=0,100,100-100/(1+AVERAGE($L$599:$L$612)/AVERAGE($M$599:$M$612))))</f>
        <v>0</v>
      </c>
      <c r="O612">
        <f>IF($E612="","",IF($E611="",$E612,$E612*0.1538461538+O611*0.8461538462))</f>
        <v>0</v>
      </c>
      <c r="P612">
        <f>IF($E612="","",IF($E611="",$E612,$E612*0.0740740741+P611*0.9259259259))</f>
        <v>0</v>
      </c>
      <c r="Q612">
        <f>IF(OR(O612="",P612=""),"",O612-P612)</f>
        <v>0</v>
      </c>
      <c r="R612">
        <f>IF(Q612="","",IF(R611="",Q612,Q612*0.2000000000+R611*0.8000000000))</f>
        <v>0</v>
      </c>
      <c r="S612">
        <f>IF(OR(Q612="",R612=""),"",Q612-R612)</f>
        <v>0</v>
      </c>
      <c r="T612">
        <f>IF(COUNT($E$2:$E612)&lt;14,"",MAX($C$599:$C$612))</f>
        <v>0</v>
      </c>
      <c r="U612">
        <f>IF(COUNT($E$2:$E612)&lt;14,"",MIN($D$599:$D$612))</f>
        <v>0</v>
      </c>
      <c r="V612">
        <f>IF(OR(T612="",U612="",T612=U612),"",100*($E612-U612)/(T612-U612))</f>
        <v>0</v>
      </c>
      <c r="W612">
        <f>IF(COUNT($V$610:$V$612)&lt;3,"",AVERAGE($V$610:$V$612))</f>
        <v>0</v>
      </c>
      <c r="X612">
        <f>IF(COUNT($N$599:$N$612)&lt;14,"",MIN($N$599:$N$612))</f>
        <v>0</v>
      </c>
      <c r="Y612">
        <f>IF(COUNT($N$599:$N$612)&lt;14,"",MAX($N$599:$N$612))</f>
        <v>0</v>
      </c>
      <c r="Z612">
        <f>IF(OR(N612="",X612="",Y612="",Y612=X612),"",100*(N612-X612)/(Y612-X612))</f>
        <v>0</v>
      </c>
      <c r="AA612">
        <f>IF(COUNT($Z$610:$Z$612)&lt;3,"",AVERAGE($Z$610:$Z$612))</f>
        <v>0</v>
      </c>
      <c r="AB612">
        <f>IF(COUNT($AA$610:$AA$612)&lt;3,"",AVERAGE($AA$610:$AA$612))</f>
        <v>0</v>
      </c>
      <c r="AC612">
        <f>IF($E612="","",MAX($C612-$D612,ABS($C612-$E611),ABS($D612-$E611)))</f>
        <v>0</v>
      </c>
      <c r="AD612">
        <f>IF(COUNT($E$2:$E612)&lt;15,"",AVERAGE($AC$599:$AC$612))</f>
        <v>0</v>
      </c>
      <c r="AE612">
        <f>IF(OR($E612="",$E611=""),"",IF(AND(($C612-$C611)&gt;($D611-$D612),($C612-$C611)&gt;0),$C612-$C611,0))</f>
        <v>0</v>
      </c>
      <c r="AF612">
        <f>IF(OR($E612="",$E611=""),"",IF(AND(($D611-$D612)&gt;($C612-$C611),($D611-$D612)&gt;0),$D611-$D612,0))</f>
        <v>0</v>
      </c>
      <c r="AG612">
        <f>IF(COUNT($E$2:$E612)&lt;15,"",IF(SUM($AC$599:$AC$612)=0,0,100*SUM($AE$599:$AE$612)/SUM($AC$599:$AC$612)))</f>
        <v>0</v>
      </c>
      <c r="AH612">
        <f>IF(COUNT($E$2:$E612)&lt;15,"",IF(SUM($AC$599:$AC$612)=0,0,100*SUM($AF$599:$AF$612)/SUM($AC$599:$AC$612)))</f>
        <v>0</v>
      </c>
      <c r="AI612">
        <f>IF(OR(AG612="",AH612=""),"",IF((AG612+AH612)=0,0,100*ABS(AG612-AH612)/(AG612+AH612)))</f>
        <v>0</v>
      </c>
      <c r="AJ612">
        <f>IF(COUNT($AI$599:$AI$612)&lt;14,"",AVERAGE($AI$599:$AI$612))</f>
        <v>0</v>
      </c>
      <c r="AK612">
        <f>IF(COUNT($E$2:$E612)&lt;20,"",AVERAGE($E$593:$E$612))</f>
        <v>0</v>
      </c>
      <c r="AL612">
        <f>IF(COUNT($E$2:$E612)&lt;20,"",STDEVP($E$593:$E$612))</f>
        <v>0</v>
      </c>
      <c r="AM612">
        <f>IF(AK612="","",AK612+2*AL612)</f>
        <v>0</v>
      </c>
      <c r="AN612">
        <f>IF(AK612="","",AK612-2*AL612)</f>
        <v>0</v>
      </c>
      <c r="AO612">
        <f>IF(OR(AM612="",AN612="",AM612=AN612),"",($E612-AN612)/(AM612-AN612))</f>
        <v>0</v>
      </c>
      <c r="AP612">
        <f>IF(OR(AM612="",AK612="",AK612=0),"",(AM612-AN612)/AK612)</f>
        <v>0</v>
      </c>
      <c r="AQ612">
        <f>IF(COUNT($E$2:$E612)&lt;20,"",MAX($C$593:$C$612))</f>
        <v>0</v>
      </c>
      <c r="AR612">
        <f>IF(COUNT($E$2:$E612)&lt;20,"",MIN($D$593:$D$612))</f>
        <v>0</v>
      </c>
      <c r="AS612">
        <f>IF(OR(AQ612="",AR612=""),"",(AQ612+AR612)/2)</f>
        <v>0</v>
      </c>
      <c r="AT612">
        <f>IF(COUNT($G$593:$G$612)&lt;20,"",STDEV($G$593:$G$612)*SQRT(252))</f>
        <v>0</v>
      </c>
      <c r="AU612">
        <f>IF(COUNT($E$2:$E612)&lt;9,"",(MAX($C$604:$C$612)+MIN($D$604:$D$612))/2)</f>
        <v>0</v>
      </c>
      <c r="AV612">
        <f>IF(COUNT($E$2:$E612)&lt;26,"",(MAX($C$587:$C$612)+MIN($D$587:$D$612))/2)</f>
        <v>0</v>
      </c>
      <c r="AW612">
        <f>IF(OR(AU612="",AV612=""),"",(AU612+AV612)/2)</f>
        <v>0</v>
      </c>
      <c r="AX612">
        <f>IF(COUNT($E$2:$E612)&lt;52,"",(MAX($C$561:$C$612)+MIN($D$561:$D$612))/2)</f>
        <v>0</v>
      </c>
      <c r="AY612">
        <f>IF(COUNT($E$2:$E612)&lt;20,"",MAX($C$513:$C$612))</f>
        <v>0</v>
      </c>
      <c r="AZ612">
        <f>IF(COUNT($E$2:$E612)&lt;20,"",MIN($D$513:$D$612))</f>
        <v>0</v>
      </c>
      <c r="BA612">
        <f>IF(COUNT($E$2:$E612)&lt;20,"",SLOPE($E$513:$E$612,$F$513:$F$612))</f>
        <v>0</v>
      </c>
      <c r="BB612">
        <f>IF(COUNT($E$2:$E612)&lt;20,"",INTERCEPT($E$513:$E$612,$F$513:$F$612))</f>
        <v>0</v>
      </c>
      <c r="BC612">
        <f>IF(OR(BA612="",BB612=""),"",BB612+BA612*F612)</f>
        <v>0</v>
      </c>
      <c r="BD612">
        <f>IF(COUNT($E$2:$E612)&lt;20,"",STEYX($E$513:$E$612,$F$513:$F$612))</f>
        <v>0</v>
      </c>
      <c r="BE612">
        <f>IF($E612="","",IF(AND(COUNT($E$613:$E$616)&gt;=4,$C612=MAX($C$608:$C$616)),$C612,""))</f>
        <v>0</v>
      </c>
      <c r="BF612">
        <f>IF($E612="","",IF(AND(COUNT($E$613:$E$616)&gt;=4,$D612=MIN($D$608:$D$616)),$D612,""))</f>
        <v>0</v>
      </c>
      <c r="BG612">
        <f>IF($A612="","",$A612-WEEKDAY($A612,2)+1)</f>
        <v>0</v>
      </c>
      <c r="BH612">
        <f>IF($A612="","",IF($A611="",1,IF(BG612&lt;&gt;BG611,1,0)))</f>
        <v>0</v>
      </c>
      <c r="BI612">
        <f>IF($A612="","",IF($A613="",1,IF(BG613&lt;&gt;BG612,1,0)))</f>
        <v>0</v>
      </c>
      <c r="BJ612">
        <f>IF($A612="","",IF(BH612=1,$B612,BJ611))</f>
        <v>0</v>
      </c>
      <c r="BK612">
        <f>IF($A612="","",IF(BH612=1,$C612,MAX($C612,BK611)))</f>
        <v>0</v>
      </c>
      <c r="BL612">
        <f>IF($A612="","",IF(BH612=1,$D612,MIN($D612,BL611)))</f>
        <v>0</v>
      </c>
      <c r="BM612">
        <f>IF($A612="","",IF(BI612=1,F612,""))</f>
        <v>0</v>
      </c>
      <c r="BN612">
        <f>IF($A612="","",DATE(YEAR($A612),MONTH($A612),1))</f>
        <v>0</v>
      </c>
      <c r="BO612">
        <f>IF($A612="","",IF($A611="",1,IF(BN612&lt;&gt;BN611,1,0)))</f>
        <v>0</v>
      </c>
      <c r="BP612">
        <f>IF($A612="","",IF($A613="",1,IF(BN613&lt;&gt;BN612,1,0)))</f>
        <v>0</v>
      </c>
      <c r="BQ612">
        <f>IF($A612="","",IF(BO612=1,$B612,BQ611))</f>
        <v>0</v>
      </c>
      <c r="BR612">
        <f>IF($A612="","",IF(BO612=1,$C612,MAX($C612,BR611)))</f>
        <v>0</v>
      </c>
      <c r="BS612">
        <f>IF($A612="","",IF(BO612=1,$D612,MIN($D612,BS611)))</f>
        <v>0</v>
      </c>
      <c r="BT612">
        <f>IF($A612="","",IF(BP612=1,F612,""))</f>
        <v>0</v>
      </c>
    </row>
    <row r="613" spans="1:72">
      <c r="A613" s="27">
        <f>IF(Data!$A613="","",Data!$A613)</f>
        <v>0</v>
      </c>
      <c r="B613">
        <f>IF(Data!$B613="","",Data!$B613)</f>
        <v>0</v>
      </c>
      <c r="C613">
        <f>IF(Data!$C613="","",Data!$C613)</f>
        <v>0</v>
      </c>
      <c r="D613">
        <f>IF(Data!$D613="","",Data!$D613)</f>
        <v>0</v>
      </c>
      <c r="E613">
        <f>IF(Data!$E613="","",Data!$E613)</f>
        <v>0</v>
      </c>
      <c r="F613">
        <f>IF($E613="","",N(F612)+1)</f>
        <v>0</v>
      </c>
      <c r="G613">
        <f>IF(OR($E613="",$E612=""),"",LN($E613/$E612))</f>
        <v>0</v>
      </c>
      <c r="H613">
        <f>IF($E613="","",IF($E612="",$E613,$E613*0.0952380952+H612*0.9047619048))</f>
        <v>0</v>
      </c>
      <c r="I613">
        <f>IF($E613="","",IF($E612="",$E613,$E613*0.0392156863+I612*0.9607843137))</f>
        <v>0</v>
      </c>
      <c r="J613">
        <f>IF($E613="","",IF($E612="",$E613,$E613*0.0198019802+J612*0.9801980198))</f>
        <v>0</v>
      </c>
      <c r="K613">
        <f>IF($E613="","",IF($E612="",$E613,$E613*0.0099502488+K612*0.9900497512))</f>
        <v>0</v>
      </c>
      <c r="L613">
        <f>IF(OR($E613="",$E612=""),"",MAX($E613-$E612,0))</f>
        <v>0</v>
      </c>
      <c r="M613">
        <f>IF(OR($E613="",$E612=""),"",MAX($E612-$E613,0))</f>
        <v>0</v>
      </c>
      <c r="N613">
        <f>IF(COUNT($E$2:$E613)&lt;15,"",IF(AVERAGE($M$600:$M$613)=0,100,100-100/(1+AVERAGE($L$600:$L$613)/AVERAGE($M$600:$M$613))))</f>
        <v>0</v>
      </c>
      <c r="O613">
        <f>IF($E613="","",IF($E612="",$E613,$E613*0.1538461538+O612*0.8461538462))</f>
        <v>0</v>
      </c>
      <c r="P613">
        <f>IF($E613="","",IF($E612="",$E613,$E613*0.0740740741+P612*0.9259259259))</f>
        <v>0</v>
      </c>
      <c r="Q613">
        <f>IF(OR(O613="",P613=""),"",O613-P613)</f>
        <v>0</v>
      </c>
      <c r="R613">
        <f>IF(Q613="","",IF(R612="",Q613,Q613*0.2000000000+R612*0.8000000000))</f>
        <v>0</v>
      </c>
      <c r="S613">
        <f>IF(OR(Q613="",R613=""),"",Q613-R613)</f>
        <v>0</v>
      </c>
      <c r="T613">
        <f>IF(COUNT($E$2:$E613)&lt;14,"",MAX($C$600:$C$613))</f>
        <v>0</v>
      </c>
      <c r="U613">
        <f>IF(COUNT($E$2:$E613)&lt;14,"",MIN($D$600:$D$613))</f>
        <v>0</v>
      </c>
      <c r="V613">
        <f>IF(OR(T613="",U613="",T613=U613),"",100*($E613-U613)/(T613-U613))</f>
        <v>0</v>
      </c>
      <c r="W613">
        <f>IF(COUNT($V$611:$V$613)&lt;3,"",AVERAGE($V$611:$V$613))</f>
        <v>0</v>
      </c>
      <c r="X613">
        <f>IF(COUNT($N$600:$N$613)&lt;14,"",MIN($N$600:$N$613))</f>
        <v>0</v>
      </c>
      <c r="Y613">
        <f>IF(COUNT($N$600:$N$613)&lt;14,"",MAX($N$600:$N$613))</f>
        <v>0</v>
      </c>
      <c r="Z613">
        <f>IF(OR(N613="",X613="",Y613="",Y613=X613),"",100*(N613-X613)/(Y613-X613))</f>
        <v>0</v>
      </c>
      <c r="AA613">
        <f>IF(COUNT($Z$611:$Z$613)&lt;3,"",AVERAGE($Z$611:$Z$613))</f>
        <v>0</v>
      </c>
      <c r="AB613">
        <f>IF(COUNT($AA$611:$AA$613)&lt;3,"",AVERAGE($AA$611:$AA$613))</f>
        <v>0</v>
      </c>
      <c r="AC613">
        <f>IF($E613="","",MAX($C613-$D613,ABS($C613-$E612),ABS($D613-$E612)))</f>
        <v>0</v>
      </c>
      <c r="AD613">
        <f>IF(COUNT($E$2:$E613)&lt;15,"",AVERAGE($AC$600:$AC$613))</f>
        <v>0</v>
      </c>
      <c r="AE613">
        <f>IF(OR($E613="",$E612=""),"",IF(AND(($C613-$C612)&gt;($D612-$D613),($C613-$C612)&gt;0),$C613-$C612,0))</f>
        <v>0</v>
      </c>
      <c r="AF613">
        <f>IF(OR($E613="",$E612=""),"",IF(AND(($D612-$D613)&gt;($C613-$C612),($D612-$D613)&gt;0),$D612-$D613,0))</f>
        <v>0</v>
      </c>
      <c r="AG613">
        <f>IF(COUNT($E$2:$E613)&lt;15,"",IF(SUM($AC$600:$AC$613)=0,0,100*SUM($AE$600:$AE$613)/SUM($AC$600:$AC$613)))</f>
        <v>0</v>
      </c>
      <c r="AH613">
        <f>IF(COUNT($E$2:$E613)&lt;15,"",IF(SUM($AC$600:$AC$613)=0,0,100*SUM($AF$600:$AF$613)/SUM($AC$600:$AC$613)))</f>
        <v>0</v>
      </c>
      <c r="AI613">
        <f>IF(OR(AG613="",AH613=""),"",IF((AG613+AH613)=0,0,100*ABS(AG613-AH613)/(AG613+AH613)))</f>
        <v>0</v>
      </c>
      <c r="AJ613">
        <f>IF(COUNT($AI$600:$AI$613)&lt;14,"",AVERAGE($AI$600:$AI$613))</f>
        <v>0</v>
      </c>
      <c r="AK613">
        <f>IF(COUNT($E$2:$E613)&lt;20,"",AVERAGE($E$594:$E$613))</f>
        <v>0</v>
      </c>
      <c r="AL613">
        <f>IF(COUNT($E$2:$E613)&lt;20,"",STDEVP($E$594:$E$613))</f>
        <v>0</v>
      </c>
      <c r="AM613">
        <f>IF(AK613="","",AK613+2*AL613)</f>
        <v>0</v>
      </c>
      <c r="AN613">
        <f>IF(AK613="","",AK613-2*AL613)</f>
        <v>0</v>
      </c>
      <c r="AO613">
        <f>IF(OR(AM613="",AN613="",AM613=AN613),"",($E613-AN613)/(AM613-AN613))</f>
        <v>0</v>
      </c>
      <c r="AP613">
        <f>IF(OR(AM613="",AK613="",AK613=0),"",(AM613-AN613)/AK613)</f>
        <v>0</v>
      </c>
      <c r="AQ613">
        <f>IF(COUNT($E$2:$E613)&lt;20,"",MAX($C$594:$C$613))</f>
        <v>0</v>
      </c>
      <c r="AR613">
        <f>IF(COUNT($E$2:$E613)&lt;20,"",MIN($D$594:$D$613))</f>
        <v>0</v>
      </c>
      <c r="AS613">
        <f>IF(OR(AQ613="",AR613=""),"",(AQ613+AR613)/2)</f>
        <v>0</v>
      </c>
      <c r="AT613">
        <f>IF(COUNT($G$594:$G$613)&lt;20,"",STDEV($G$594:$G$613)*SQRT(252))</f>
        <v>0</v>
      </c>
      <c r="AU613">
        <f>IF(COUNT($E$2:$E613)&lt;9,"",(MAX($C$605:$C$613)+MIN($D$605:$D$613))/2)</f>
        <v>0</v>
      </c>
      <c r="AV613">
        <f>IF(COUNT($E$2:$E613)&lt;26,"",(MAX($C$588:$C$613)+MIN($D$588:$D$613))/2)</f>
        <v>0</v>
      </c>
      <c r="AW613">
        <f>IF(OR(AU613="",AV613=""),"",(AU613+AV613)/2)</f>
        <v>0</v>
      </c>
      <c r="AX613">
        <f>IF(COUNT($E$2:$E613)&lt;52,"",(MAX($C$562:$C$613)+MIN($D$562:$D$613))/2)</f>
        <v>0</v>
      </c>
      <c r="AY613">
        <f>IF(COUNT($E$2:$E613)&lt;20,"",MAX($C$514:$C$613))</f>
        <v>0</v>
      </c>
      <c r="AZ613">
        <f>IF(COUNT($E$2:$E613)&lt;20,"",MIN($D$514:$D$613))</f>
        <v>0</v>
      </c>
      <c r="BA613">
        <f>IF(COUNT($E$2:$E613)&lt;20,"",SLOPE($E$514:$E$613,$F$514:$F$613))</f>
        <v>0</v>
      </c>
      <c r="BB613">
        <f>IF(COUNT($E$2:$E613)&lt;20,"",INTERCEPT($E$514:$E$613,$F$514:$F$613))</f>
        <v>0</v>
      </c>
      <c r="BC613">
        <f>IF(OR(BA613="",BB613=""),"",BB613+BA613*F613)</f>
        <v>0</v>
      </c>
      <c r="BD613">
        <f>IF(COUNT($E$2:$E613)&lt;20,"",STEYX($E$514:$E$613,$F$514:$F$613))</f>
        <v>0</v>
      </c>
      <c r="BE613">
        <f>IF($E613="","",IF(AND(COUNT($E$614:$E$617)&gt;=4,$C613=MAX($C$609:$C$617)),$C613,""))</f>
        <v>0</v>
      </c>
      <c r="BF613">
        <f>IF($E613="","",IF(AND(COUNT($E$614:$E$617)&gt;=4,$D613=MIN($D$609:$D$617)),$D613,""))</f>
        <v>0</v>
      </c>
      <c r="BG613">
        <f>IF($A613="","",$A613-WEEKDAY($A613,2)+1)</f>
        <v>0</v>
      </c>
      <c r="BH613">
        <f>IF($A613="","",IF($A612="",1,IF(BG613&lt;&gt;BG612,1,0)))</f>
        <v>0</v>
      </c>
      <c r="BI613">
        <f>IF($A613="","",IF($A614="",1,IF(BG614&lt;&gt;BG613,1,0)))</f>
        <v>0</v>
      </c>
      <c r="BJ613">
        <f>IF($A613="","",IF(BH613=1,$B613,BJ612))</f>
        <v>0</v>
      </c>
      <c r="BK613">
        <f>IF($A613="","",IF(BH613=1,$C613,MAX($C613,BK612)))</f>
        <v>0</v>
      </c>
      <c r="BL613">
        <f>IF($A613="","",IF(BH613=1,$D613,MIN($D613,BL612)))</f>
        <v>0</v>
      </c>
      <c r="BM613">
        <f>IF($A613="","",IF(BI613=1,F613,""))</f>
        <v>0</v>
      </c>
      <c r="BN613">
        <f>IF($A613="","",DATE(YEAR($A613),MONTH($A613),1))</f>
        <v>0</v>
      </c>
      <c r="BO613">
        <f>IF($A613="","",IF($A612="",1,IF(BN613&lt;&gt;BN612,1,0)))</f>
        <v>0</v>
      </c>
      <c r="BP613">
        <f>IF($A613="","",IF($A614="",1,IF(BN614&lt;&gt;BN613,1,0)))</f>
        <v>0</v>
      </c>
      <c r="BQ613">
        <f>IF($A613="","",IF(BO613=1,$B613,BQ612))</f>
        <v>0</v>
      </c>
      <c r="BR613">
        <f>IF($A613="","",IF(BO613=1,$C613,MAX($C613,BR612)))</f>
        <v>0</v>
      </c>
      <c r="BS613">
        <f>IF($A613="","",IF(BO613=1,$D613,MIN($D613,BS612)))</f>
        <v>0</v>
      </c>
      <c r="BT613">
        <f>IF($A613="","",IF(BP613=1,F613,""))</f>
        <v>0</v>
      </c>
    </row>
    <row r="614" spans="1:72">
      <c r="A614" s="27">
        <f>IF(Data!$A614="","",Data!$A614)</f>
        <v>0</v>
      </c>
      <c r="B614">
        <f>IF(Data!$B614="","",Data!$B614)</f>
        <v>0</v>
      </c>
      <c r="C614">
        <f>IF(Data!$C614="","",Data!$C614)</f>
        <v>0</v>
      </c>
      <c r="D614">
        <f>IF(Data!$D614="","",Data!$D614)</f>
        <v>0</v>
      </c>
      <c r="E614">
        <f>IF(Data!$E614="","",Data!$E614)</f>
        <v>0</v>
      </c>
      <c r="F614">
        <f>IF($E614="","",N(F613)+1)</f>
        <v>0</v>
      </c>
      <c r="G614">
        <f>IF(OR($E614="",$E613=""),"",LN($E614/$E613))</f>
        <v>0</v>
      </c>
      <c r="H614">
        <f>IF($E614="","",IF($E613="",$E614,$E614*0.0952380952+H613*0.9047619048))</f>
        <v>0</v>
      </c>
      <c r="I614">
        <f>IF($E614="","",IF($E613="",$E614,$E614*0.0392156863+I613*0.9607843137))</f>
        <v>0</v>
      </c>
      <c r="J614">
        <f>IF($E614="","",IF($E613="",$E614,$E614*0.0198019802+J613*0.9801980198))</f>
        <v>0</v>
      </c>
      <c r="K614">
        <f>IF($E614="","",IF($E613="",$E614,$E614*0.0099502488+K613*0.9900497512))</f>
        <v>0</v>
      </c>
      <c r="L614">
        <f>IF(OR($E614="",$E613=""),"",MAX($E614-$E613,0))</f>
        <v>0</v>
      </c>
      <c r="M614">
        <f>IF(OR($E614="",$E613=""),"",MAX($E613-$E614,0))</f>
        <v>0</v>
      </c>
      <c r="N614">
        <f>IF(COUNT($E$2:$E614)&lt;15,"",IF(AVERAGE($M$601:$M$614)=0,100,100-100/(1+AVERAGE($L$601:$L$614)/AVERAGE($M$601:$M$614))))</f>
        <v>0</v>
      </c>
      <c r="O614">
        <f>IF($E614="","",IF($E613="",$E614,$E614*0.1538461538+O613*0.8461538462))</f>
        <v>0</v>
      </c>
      <c r="P614">
        <f>IF($E614="","",IF($E613="",$E614,$E614*0.0740740741+P613*0.9259259259))</f>
        <v>0</v>
      </c>
      <c r="Q614">
        <f>IF(OR(O614="",P614=""),"",O614-P614)</f>
        <v>0</v>
      </c>
      <c r="R614">
        <f>IF(Q614="","",IF(R613="",Q614,Q614*0.2000000000+R613*0.8000000000))</f>
        <v>0</v>
      </c>
      <c r="S614">
        <f>IF(OR(Q614="",R614=""),"",Q614-R614)</f>
        <v>0</v>
      </c>
      <c r="T614">
        <f>IF(COUNT($E$2:$E614)&lt;14,"",MAX($C$601:$C$614))</f>
        <v>0</v>
      </c>
      <c r="U614">
        <f>IF(COUNT($E$2:$E614)&lt;14,"",MIN($D$601:$D$614))</f>
        <v>0</v>
      </c>
      <c r="V614">
        <f>IF(OR(T614="",U614="",T614=U614),"",100*($E614-U614)/(T614-U614))</f>
        <v>0</v>
      </c>
      <c r="W614">
        <f>IF(COUNT($V$612:$V$614)&lt;3,"",AVERAGE($V$612:$V$614))</f>
        <v>0</v>
      </c>
      <c r="X614">
        <f>IF(COUNT($N$601:$N$614)&lt;14,"",MIN($N$601:$N$614))</f>
        <v>0</v>
      </c>
      <c r="Y614">
        <f>IF(COUNT($N$601:$N$614)&lt;14,"",MAX($N$601:$N$614))</f>
        <v>0</v>
      </c>
      <c r="Z614">
        <f>IF(OR(N614="",X614="",Y614="",Y614=X614),"",100*(N614-X614)/(Y614-X614))</f>
        <v>0</v>
      </c>
      <c r="AA614">
        <f>IF(COUNT($Z$612:$Z$614)&lt;3,"",AVERAGE($Z$612:$Z$614))</f>
        <v>0</v>
      </c>
      <c r="AB614">
        <f>IF(COUNT($AA$612:$AA$614)&lt;3,"",AVERAGE($AA$612:$AA$614))</f>
        <v>0</v>
      </c>
      <c r="AC614">
        <f>IF($E614="","",MAX($C614-$D614,ABS($C614-$E613),ABS($D614-$E613)))</f>
        <v>0</v>
      </c>
      <c r="AD614">
        <f>IF(COUNT($E$2:$E614)&lt;15,"",AVERAGE($AC$601:$AC$614))</f>
        <v>0</v>
      </c>
      <c r="AE614">
        <f>IF(OR($E614="",$E613=""),"",IF(AND(($C614-$C613)&gt;($D613-$D614),($C614-$C613)&gt;0),$C614-$C613,0))</f>
        <v>0</v>
      </c>
      <c r="AF614">
        <f>IF(OR($E614="",$E613=""),"",IF(AND(($D613-$D614)&gt;($C614-$C613),($D613-$D614)&gt;0),$D613-$D614,0))</f>
        <v>0</v>
      </c>
      <c r="AG614">
        <f>IF(COUNT($E$2:$E614)&lt;15,"",IF(SUM($AC$601:$AC$614)=0,0,100*SUM($AE$601:$AE$614)/SUM($AC$601:$AC$614)))</f>
        <v>0</v>
      </c>
      <c r="AH614">
        <f>IF(COUNT($E$2:$E614)&lt;15,"",IF(SUM($AC$601:$AC$614)=0,0,100*SUM($AF$601:$AF$614)/SUM($AC$601:$AC$614)))</f>
        <v>0</v>
      </c>
      <c r="AI614">
        <f>IF(OR(AG614="",AH614=""),"",IF((AG614+AH614)=0,0,100*ABS(AG614-AH614)/(AG614+AH614)))</f>
        <v>0</v>
      </c>
      <c r="AJ614">
        <f>IF(COUNT($AI$601:$AI$614)&lt;14,"",AVERAGE($AI$601:$AI$614))</f>
        <v>0</v>
      </c>
      <c r="AK614">
        <f>IF(COUNT($E$2:$E614)&lt;20,"",AVERAGE($E$595:$E$614))</f>
        <v>0</v>
      </c>
      <c r="AL614">
        <f>IF(COUNT($E$2:$E614)&lt;20,"",STDEVP($E$595:$E$614))</f>
        <v>0</v>
      </c>
      <c r="AM614">
        <f>IF(AK614="","",AK614+2*AL614)</f>
        <v>0</v>
      </c>
      <c r="AN614">
        <f>IF(AK614="","",AK614-2*AL614)</f>
        <v>0</v>
      </c>
      <c r="AO614">
        <f>IF(OR(AM614="",AN614="",AM614=AN614),"",($E614-AN614)/(AM614-AN614))</f>
        <v>0</v>
      </c>
      <c r="AP614">
        <f>IF(OR(AM614="",AK614="",AK614=0),"",(AM614-AN614)/AK614)</f>
        <v>0</v>
      </c>
      <c r="AQ614">
        <f>IF(COUNT($E$2:$E614)&lt;20,"",MAX($C$595:$C$614))</f>
        <v>0</v>
      </c>
      <c r="AR614">
        <f>IF(COUNT($E$2:$E614)&lt;20,"",MIN($D$595:$D$614))</f>
        <v>0</v>
      </c>
      <c r="AS614">
        <f>IF(OR(AQ614="",AR614=""),"",(AQ614+AR614)/2)</f>
        <v>0</v>
      </c>
      <c r="AT614">
        <f>IF(COUNT($G$595:$G$614)&lt;20,"",STDEV($G$595:$G$614)*SQRT(252))</f>
        <v>0</v>
      </c>
      <c r="AU614">
        <f>IF(COUNT($E$2:$E614)&lt;9,"",(MAX($C$606:$C$614)+MIN($D$606:$D$614))/2)</f>
        <v>0</v>
      </c>
      <c r="AV614">
        <f>IF(COUNT($E$2:$E614)&lt;26,"",(MAX($C$589:$C$614)+MIN($D$589:$D$614))/2)</f>
        <v>0</v>
      </c>
      <c r="AW614">
        <f>IF(OR(AU614="",AV614=""),"",(AU614+AV614)/2)</f>
        <v>0</v>
      </c>
      <c r="AX614">
        <f>IF(COUNT($E$2:$E614)&lt;52,"",(MAX($C$563:$C$614)+MIN($D$563:$D$614))/2)</f>
        <v>0</v>
      </c>
      <c r="AY614">
        <f>IF(COUNT($E$2:$E614)&lt;20,"",MAX($C$515:$C$614))</f>
        <v>0</v>
      </c>
      <c r="AZ614">
        <f>IF(COUNT($E$2:$E614)&lt;20,"",MIN($D$515:$D$614))</f>
        <v>0</v>
      </c>
      <c r="BA614">
        <f>IF(COUNT($E$2:$E614)&lt;20,"",SLOPE($E$515:$E$614,$F$515:$F$614))</f>
        <v>0</v>
      </c>
      <c r="BB614">
        <f>IF(COUNT($E$2:$E614)&lt;20,"",INTERCEPT($E$515:$E$614,$F$515:$F$614))</f>
        <v>0</v>
      </c>
      <c r="BC614">
        <f>IF(OR(BA614="",BB614=""),"",BB614+BA614*F614)</f>
        <v>0</v>
      </c>
      <c r="BD614">
        <f>IF(COUNT($E$2:$E614)&lt;20,"",STEYX($E$515:$E$614,$F$515:$F$614))</f>
        <v>0</v>
      </c>
      <c r="BE614">
        <f>IF($E614="","",IF(AND(COUNT($E$615:$E$618)&gt;=4,$C614=MAX($C$610:$C$618)),$C614,""))</f>
        <v>0</v>
      </c>
      <c r="BF614">
        <f>IF($E614="","",IF(AND(COUNT($E$615:$E$618)&gt;=4,$D614=MIN($D$610:$D$618)),$D614,""))</f>
        <v>0</v>
      </c>
      <c r="BG614">
        <f>IF($A614="","",$A614-WEEKDAY($A614,2)+1)</f>
        <v>0</v>
      </c>
      <c r="BH614">
        <f>IF($A614="","",IF($A613="",1,IF(BG614&lt;&gt;BG613,1,0)))</f>
        <v>0</v>
      </c>
      <c r="BI614">
        <f>IF($A614="","",IF($A615="",1,IF(BG615&lt;&gt;BG614,1,0)))</f>
        <v>0</v>
      </c>
      <c r="BJ614">
        <f>IF($A614="","",IF(BH614=1,$B614,BJ613))</f>
        <v>0</v>
      </c>
      <c r="BK614">
        <f>IF($A614="","",IF(BH614=1,$C614,MAX($C614,BK613)))</f>
        <v>0</v>
      </c>
      <c r="BL614">
        <f>IF($A614="","",IF(BH614=1,$D614,MIN($D614,BL613)))</f>
        <v>0</v>
      </c>
      <c r="BM614">
        <f>IF($A614="","",IF(BI614=1,F614,""))</f>
        <v>0</v>
      </c>
      <c r="BN614">
        <f>IF($A614="","",DATE(YEAR($A614),MONTH($A614),1))</f>
        <v>0</v>
      </c>
      <c r="BO614">
        <f>IF($A614="","",IF($A613="",1,IF(BN614&lt;&gt;BN613,1,0)))</f>
        <v>0</v>
      </c>
      <c r="BP614">
        <f>IF($A614="","",IF($A615="",1,IF(BN615&lt;&gt;BN614,1,0)))</f>
        <v>0</v>
      </c>
      <c r="BQ614">
        <f>IF($A614="","",IF(BO614=1,$B614,BQ613))</f>
        <v>0</v>
      </c>
      <c r="BR614">
        <f>IF($A614="","",IF(BO614=1,$C614,MAX($C614,BR613)))</f>
        <v>0</v>
      </c>
      <c r="BS614">
        <f>IF($A614="","",IF(BO614=1,$D614,MIN($D614,BS613)))</f>
        <v>0</v>
      </c>
      <c r="BT614">
        <f>IF($A614="","",IF(BP614=1,F614,""))</f>
        <v>0</v>
      </c>
    </row>
    <row r="615" spans="1:72">
      <c r="A615" s="27">
        <f>IF(Data!$A615="","",Data!$A615)</f>
        <v>0</v>
      </c>
      <c r="B615">
        <f>IF(Data!$B615="","",Data!$B615)</f>
        <v>0</v>
      </c>
      <c r="C615">
        <f>IF(Data!$C615="","",Data!$C615)</f>
        <v>0</v>
      </c>
      <c r="D615">
        <f>IF(Data!$D615="","",Data!$D615)</f>
        <v>0</v>
      </c>
      <c r="E615">
        <f>IF(Data!$E615="","",Data!$E615)</f>
        <v>0</v>
      </c>
      <c r="F615">
        <f>IF($E615="","",N(F614)+1)</f>
        <v>0</v>
      </c>
      <c r="G615">
        <f>IF(OR($E615="",$E614=""),"",LN($E615/$E614))</f>
        <v>0</v>
      </c>
      <c r="H615">
        <f>IF($E615="","",IF($E614="",$E615,$E615*0.0952380952+H614*0.9047619048))</f>
        <v>0</v>
      </c>
      <c r="I615">
        <f>IF($E615="","",IF($E614="",$E615,$E615*0.0392156863+I614*0.9607843137))</f>
        <v>0</v>
      </c>
      <c r="J615">
        <f>IF($E615="","",IF($E614="",$E615,$E615*0.0198019802+J614*0.9801980198))</f>
        <v>0</v>
      </c>
      <c r="K615">
        <f>IF($E615="","",IF($E614="",$E615,$E615*0.0099502488+K614*0.9900497512))</f>
        <v>0</v>
      </c>
      <c r="L615">
        <f>IF(OR($E615="",$E614=""),"",MAX($E615-$E614,0))</f>
        <v>0</v>
      </c>
      <c r="M615">
        <f>IF(OR($E615="",$E614=""),"",MAX($E614-$E615,0))</f>
        <v>0</v>
      </c>
      <c r="N615">
        <f>IF(COUNT($E$2:$E615)&lt;15,"",IF(AVERAGE($M$602:$M$615)=0,100,100-100/(1+AVERAGE($L$602:$L$615)/AVERAGE($M$602:$M$615))))</f>
        <v>0</v>
      </c>
      <c r="O615">
        <f>IF($E615="","",IF($E614="",$E615,$E615*0.1538461538+O614*0.8461538462))</f>
        <v>0</v>
      </c>
      <c r="P615">
        <f>IF($E615="","",IF($E614="",$E615,$E615*0.0740740741+P614*0.9259259259))</f>
        <v>0</v>
      </c>
      <c r="Q615">
        <f>IF(OR(O615="",P615=""),"",O615-P615)</f>
        <v>0</v>
      </c>
      <c r="R615">
        <f>IF(Q615="","",IF(R614="",Q615,Q615*0.2000000000+R614*0.8000000000))</f>
        <v>0</v>
      </c>
      <c r="S615">
        <f>IF(OR(Q615="",R615=""),"",Q615-R615)</f>
        <v>0</v>
      </c>
      <c r="T615">
        <f>IF(COUNT($E$2:$E615)&lt;14,"",MAX($C$602:$C$615))</f>
        <v>0</v>
      </c>
      <c r="U615">
        <f>IF(COUNT($E$2:$E615)&lt;14,"",MIN($D$602:$D$615))</f>
        <v>0</v>
      </c>
      <c r="V615">
        <f>IF(OR(T615="",U615="",T615=U615),"",100*($E615-U615)/(T615-U615))</f>
        <v>0</v>
      </c>
      <c r="W615">
        <f>IF(COUNT($V$613:$V$615)&lt;3,"",AVERAGE($V$613:$V$615))</f>
        <v>0</v>
      </c>
      <c r="X615">
        <f>IF(COUNT($N$602:$N$615)&lt;14,"",MIN($N$602:$N$615))</f>
        <v>0</v>
      </c>
      <c r="Y615">
        <f>IF(COUNT($N$602:$N$615)&lt;14,"",MAX($N$602:$N$615))</f>
        <v>0</v>
      </c>
      <c r="Z615">
        <f>IF(OR(N615="",X615="",Y615="",Y615=X615),"",100*(N615-X615)/(Y615-X615))</f>
        <v>0</v>
      </c>
      <c r="AA615">
        <f>IF(COUNT($Z$613:$Z$615)&lt;3,"",AVERAGE($Z$613:$Z$615))</f>
        <v>0</v>
      </c>
      <c r="AB615">
        <f>IF(COUNT($AA$613:$AA$615)&lt;3,"",AVERAGE($AA$613:$AA$615))</f>
        <v>0</v>
      </c>
      <c r="AC615">
        <f>IF($E615="","",MAX($C615-$D615,ABS($C615-$E614),ABS($D615-$E614)))</f>
        <v>0</v>
      </c>
      <c r="AD615">
        <f>IF(COUNT($E$2:$E615)&lt;15,"",AVERAGE($AC$602:$AC$615))</f>
        <v>0</v>
      </c>
      <c r="AE615">
        <f>IF(OR($E615="",$E614=""),"",IF(AND(($C615-$C614)&gt;($D614-$D615),($C615-$C614)&gt;0),$C615-$C614,0))</f>
        <v>0</v>
      </c>
      <c r="AF615">
        <f>IF(OR($E615="",$E614=""),"",IF(AND(($D614-$D615)&gt;($C615-$C614),($D614-$D615)&gt;0),$D614-$D615,0))</f>
        <v>0</v>
      </c>
      <c r="AG615">
        <f>IF(COUNT($E$2:$E615)&lt;15,"",IF(SUM($AC$602:$AC$615)=0,0,100*SUM($AE$602:$AE$615)/SUM($AC$602:$AC$615)))</f>
        <v>0</v>
      </c>
      <c r="AH615">
        <f>IF(COUNT($E$2:$E615)&lt;15,"",IF(SUM($AC$602:$AC$615)=0,0,100*SUM($AF$602:$AF$615)/SUM($AC$602:$AC$615)))</f>
        <v>0</v>
      </c>
      <c r="AI615">
        <f>IF(OR(AG615="",AH615=""),"",IF((AG615+AH615)=0,0,100*ABS(AG615-AH615)/(AG615+AH615)))</f>
        <v>0</v>
      </c>
      <c r="AJ615">
        <f>IF(COUNT($AI$602:$AI$615)&lt;14,"",AVERAGE($AI$602:$AI$615))</f>
        <v>0</v>
      </c>
      <c r="AK615">
        <f>IF(COUNT($E$2:$E615)&lt;20,"",AVERAGE($E$596:$E$615))</f>
        <v>0</v>
      </c>
      <c r="AL615">
        <f>IF(COUNT($E$2:$E615)&lt;20,"",STDEVP($E$596:$E$615))</f>
        <v>0</v>
      </c>
      <c r="AM615">
        <f>IF(AK615="","",AK615+2*AL615)</f>
        <v>0</v>
      </c>
      <c r="AN615">
        <f>IF(AK615="","",AK615-2*AL615)</f>
        <v>0</v>
      </c>
      <c r="AO615">
        <f>IF(OR(AM615="",AN615="",AM615=AN615),"",($E615-AN615)/(AM615-AN615))</f>
        <v>0</v>
      </c>
      <c r="AP615">
        <f>IF(OR(AM615="",AK615="",AK615=0),"",(AM615-AN615)/AK615)</f>
        <v>0</v>
      </c>
      <c r="AQ615">
        <f>IF(COUNT($E$2:$E615)&lt;20,"",MAX($C$596:$C$615))</f>
        <v>0</v>
      </c>
      <c r="AR615">
        <f>IF(COUNT($E$2:$E615)&lt;20,"",MIN($D$596:$D$615))</f>
        <v>0</v>
      </c>
      <c r="AS615">
        <f>IF(OR(AQ615="",AR615=""),"",(AQ615+AR615)/2)</f>
        <v>0</v>
      </c>
      <c r="AT615">
        <f>IF(COUNT($G$596:$G$615)&lt;20,"",STDEV($G$596:$G$615)*SQRT(252))</f>
        <v>0</v>
      </c>
      <c r="AU615">
        <f>IF(COUNT($E$2:$E615)&lt;9,"",(MAX($C$607:$C$615)+MIN($D$607:$D$615))/2)</f>
        <v>0</v>
      </c>
      <c r="AV615">
        <f>IF(COUNT($E$2:$E615)&lt;26,"",(MAX($C$590:$C$615)+MIN($D$590:$D$615))/2)</f>
        <v>0</v>
      </c>
      <c r="AW615">
        <f>IF(OR(AU615="",AV615=""),"",(AU615+AV615)/2)</f>
        <v>0</v>
      </c>
      <c r="AX615">
        <f>IF(COUNT($E$2:$E615)&lt;52,"",(MAX($C$564:$C$615)+MIN($D$564:$D$615))/2)</f>
        <v>0</v>
      </c>
      <c r="AY615">
        <f>IF(COUNT($E$2:$E615)&lt;20,"",MAX($C$516:$C$615))</f>
        <v>0</v>
      </c>
      <c r="AZ615">
        <f>IF(COUNT($E$2:$E615)&lt;20,"",MIN($D$516:$D$615))</f>
        <v>0</v>
      </c>
      <c r="BA615">
        <f>IF(COUNT($E$2:$E615)&lt;20,"",SLOPE($E$516:$E$615,$F$516:$F$615))</f>
        <v>0</v>
      </c>
      <c r="BB615">
        <f>IF(COUNT($E$2:$E615)&lt;20,"",INTERCEPT($E$516:$E$615,$F$516:$F$615))</f>
        <v>0</v>
      </c>
      <c r="BC615">
        <f>IF(OR(BA615="",BB615=""),"",BB615+BA615*F615)</f>
        <v>0</v>
      </c>
      <c r="BD615">
        <f>IF(COUNT($E$2:$E615)&lt;20,"",STEYX($E$516:$E$615,$F$516:$F$615))</f>
        <v>0</v>
      </c>
      <c r="BE615">
        <f>IF($E615="","",IF(AND(COUNT($E$616:$E$619)&gt;=4,$C615=MAX($C$611:$C$619)),$C615,""))</f>
        <v>0</v>
      </c>
      <c r="BF615">
        <f>IF($E615="","",IF(AND(COUNT($E$616:$E$619)&gt;=4,$D615=MIN($D$611:$D$619)),$D615,""))</f>
        <v>0</v>
      </c>
      <c r="BG615">
        <f>IF($A615="","",$A615-WEEKDAY($A615,2)+1)</f>
        <v>0</v>
      </c>
      <c r="BH615">
        <f>IF($A615="","",IF($A614="",1,IF(BG615&lt;&gt;BG614,1,0)))</f>
        <v>0</v>
      </c>
      <c r="BI615">
        <f>IF($A615="","",IF($A616="",1,IF(BG616&lt;&gt;BG615,1,0)))</f>
        <v>0</v>
      </c>
      <c r="BJ615">
        <f>IF($A615="","",IF(BH615=1,$B615,BJ614))</f>
        <v>0</v>
      </c>
      <c r="BK615">
        <f>IF($A615="","",IF(BH615=1,$C615,MAX($C615,BK614)))</f>
        <v>0</v>
      </c>
      <c r="BL615">
        <f>IF($A615="","",IF(BH615=1,$D615,MIN($D615,BL614)))</f>
        <v>0</v>
      </c>
      <c r="BM615">
        <f>IF($A615="","",IF(BI615=1,F615,""))</f>
        <v>0</v>
      </c>
      <c r="BN615">
        <f>IF($A615="","",DATE(YEAR($A615),MONTH($A615),1))</f>
        <v>0</v>
      </c>
      <c r="BO615">
        <f>IF($A615="","",IF($A614="",1,IF(BN615&lt;&gt;BN614,1,0)))</f>
        <v>0</v>
      </c>
      <c r="BP615">
        <f>IF($A615="","",IF($A616="",1,IF(BN616&lt;&gt;BN615,1,0)))</f>
        <v>0</v>
      </c>
      <c r="BQ615">
        <f>IF($A615="","",IF(BO615=1,$B615,BQ614))</f>
        <v>0</v>
      </c>
      <c r="BR615">
        <f>IF($A615="","",IF(BO615=1,$C615,MAX($C615,BR614)))</f>
        <v>0</v>
      </c>
      <c r="BS615">
        <f>IF($A615="","",IF(BO615=1,$D615,MIN($D615,BS614)))</f>
        <v>0</v>
      </c>
      <c r="BT615">
        <f>IF($A615="","",IF(BP615=1,F615,""))</f>
        <v>0</v>
      </c>
    </row>
    <row r="616" spans="1:72">
      <c r="A616" s="27">
        <f>IF(Data!$A616="","",Data!$A616)</f>
        <v>0</v>
      </c>
      <c r="B616">
        <f>IF(Data!$B616="","",Data!$B616)</f>
        <v>0</v>
      </c>
      <c r="C616">
        <f>IF(Data!$C616="","",Data!$C616)</f>
        <v>0</v>
      </c>
      <c r="D616">
        <f>IF(Data!$D616="","",Data!$D616)</f>
        <v>0</v>
      </c>
      <c r="E616">
        <f>IF(Data!$E616="","",Data!$E616)</f>
        <v>0</v>
      </c>
      <c r="F616">
        <f>IF($E616="","",N(F615)+1)</f>
        <v>0</v>
      </c>
      <c r="G616">
        <f>IF(OR($E616="",$E615=""),"",LN($E616/$E615))</f>
        <v>0</v>
      </c>
      <c r="H616">
        <f>IF($E616="","",IF($E615="",$E616,$E616*0.0952380952+H615*0.9047619048))</f>
        <v>0</v>
      </c>
      <c r="I616">
        <f>IF($E616="","",IF($E615="",$E616,$E616*0.0392156863+I615*0.9607843137))</f>
        <v>0</v>
      </c>
      <c r="J616">
        <f>IF($E616="","",IF($E615="",$E616,$E616*0.0198019802+J615*0.9801980198))</f>
        <v>0</v>
      </c>
      <c r="K616">
        <f>IF($E616="","",IF($E615="",$E616,$E616*0.0099502488+K615*0.9900497512))</f>
        <v>0</v>
      </c>
      <c r="L616">
        <f>IF(OR($E616="",$E615=""),"",MAX($E616-$E615,0))</f>
        <v>0</v>
      </c>
      <c r="M616">
        <f>IF(OR($E616="",$E615=""),"",MAX($E615-$E616,0))</f>
        <v>0</v>
      </c>
      <c r="N616">
        <f>IF(COUNT($E$2:$E616)&lt;15,"",IF(AVERAGE($M$603:$M$616)=0,100,100-100/(1+AVERAGE($L$603:$L$616)/AVERAGE($M$603:$M$616))))</f>
        <v>0</v>
      </c>
      <c r="O616">
        <f>IF($E616="","",IF($E615="",$E616,$E616*0.1538461538+O615*0.8461538462))</f>
        <v>0</v>
      </c>
      <c r="P616">
        <f>IF($E616="","",IF($E615="",$E616,$E616*0.0740740741+P615*0.9259259259))</f>
        <v>0</v>
      </c>
      <c r="Q616">
        <f>IF(OR(O616="",P616=""),"",O616-P616)</f>
        <v>0</v>
      </c>
      <c r="R616">
        <f>IF(Q616="","",IF(R615="",Q616,Q616*0.2000000000+R615*0.8000000000))</f>
        <v>0</v>
      </c>
      <c r="S616">
        <f>IF(OR(Q616="",R616=""),"",Q616-R616)</f>
        <v>0</v>
      </c>
      <c r="T616">
        <f>IF(COUNT($E$2:$E616)&lt;14,"",MAX($C$603:$C$616))</f>
        <v>0</v>
      </c>
      <c r="U616">
        <f>IF(COUNT($E$2:$E616)&lt;14,"",MIN($D$603:$D$616))</f>
        <v>0</v>
      </c>
      <c r="V616">
        <f>IF(OR(T616="",U616="",T616=U616),"",100*($E616-U616)/(T616-U616))</f>
        <v>0</v>
      </c>
      <c r="W616">
        <f>IF(COUNT($V$614:$V$616)&lt;3,"",AVERAGE($V$614:$V$616))</f>
        <v>0</v>
      </c>
      <c r="X616">
        <f>IF(COUNT($N$603:$N$616)&lt;14,"",MIN($N$603:$N$616))</f>
        <v>0</v>
      </c>
      <c r="Y616">
        <f>IF(COUNT($N$603:$N$616)&lt;14,"",MAX($N$603:$N$616))</f>
        <v>0</v>
      </c>
      <c r="Z616">
        <f>IF(OR(N616="",X616="",Y616="",Y616=X616),"",100*(N616-X616)/(Y616-X616))</f>
        <v>0</v>
      </c>
      <c r="AA616">
        <f>IF(COUNT($Z$614:$Z$616)&lt;3,"",AVERAGE($Z$614:$Z$616))</f>
        <v>0</v>
      </c>
      <c r="AB616">
        <f>IF(COUNT($AA$614:$AA$616)&lt;3,"",AVERAGE($AA$614:$AA$616))</f>
        <v>0</v>
      </c>
      <c r="AC616">
        <f>IF($E616="","",MAX($C616-$D616,ABS($C616-$E615),ABS($D616-$E615)))</f>
        <v>0</v>
      </c>
      <c r="AD616">
        <f>IF(COUNT($E$2:$E616)&lt;15,"",AVERAGE($AC$603:$AC$616))</f>
        <v>0</v>
      </c>
      <c r="AE616">
        <f>IF(OR($E616="",$E615=""),"",IF(AND(($C616-$C615)&gt;($D615-$D616),($C616-$C615)&gt;0),$C616-$C615,0))</f>
        <v>0</v>
      </c>
      <c r="AF616">
        <f>IF(OR($E616="",$E615=""),"",IF(AND(($D615-$D616)&gt;($C616-$C615),($D615-$D616)&gt;0),$D615-$D616,0))</f>
        <v>0</v>
      </c>
      <c r="AG616">
        <f>IF(COUNT($E$2:$E616)&lt;15,"",IF(SUM($AC$603:$AC$616)=0,0,100*SUM($AE$603:$AE$616)/SUM($AC$603:$AC$616)))</f>
        <v>0</v>
      </c>
      <c r="AH616">
        <f>IF(COUNT($E$2:$E616)&lt;15,"",IF(SUM($AC$603:$AC$616)=0,0,100*SUM($AF$603:$AF$616)/SUM($AC$603:$AC$616)))</f>
        <v>0</v>
      </c>
      <c r="AI616">
        <f>IF(OR(AG616="",AH616=""),"",IF((AG616+AH616)=0,0,100*ABS(AG616-AH616)/(AG616+AH616)))</f>
        <v>0</v>
      </c>
      <c r="AJ616">
        <f>IF(COUNT($AI$603:$AI$616)&lt;14,"",AVERAGE($AI$603:$AI$616))</f>
        <v>0</v>
      </c>
      <c r="AK616">
        <f>IF(COUNT($E$2:$E616)&lt;20,"",AVERAGE($E$597:$E$616))</f>
        <v>0</v>
      </c>
      <c r="AL616">
        <f>IF(COUNT($E$2:$E616)&lt;20,"",STDEVP($E$597:$E$616))</f>
        <v>0</v>
      </c>
      <c r="AM616">
        <f>IF(AK616="","",AK616+2*AL616)</f>
        <v>0</v>
      </c>
      <c r="AN616">
        <f>IF(AK616="","",AK616-2*AL616)</f>
        <v>0</v>
      </c>
      <c r="AO616">
        <f>IF(OR(AM616="",AN616="",AM616=AN616),"",($E616-AN616)/(AM616-AN616))</f>
        <v>0</v>
      </c>
      <c r="AP616">
        <f>IF(OR(AM616="",AK616="",AK616=0),"",(AM616-AN616)/AK616)</f>
        <v>0</v>
      </c>
      <c r="AQ616">
        <f>IF(COUNT($E$2:$E616)&lt;20,"",MAX($C$597:$C$616))</f>
        <v>0</v>
      </c>
      <c r="AR616">
        <f>IF(COUNT($E$2:$E616)&lt;20,"",MIN($D$597:$D$616))</f>
        <v>0</v>
      </c>
      <c r="AS616">
        <f>IF(OR(AQ616="",AR616=""),"",(AQ616+AR616)/2)</f>
        <v>0</v>
      </c>
      <c r="AT616">
        <f>IF(COUNT($G$597:$G$616)&lt;20,"",STDEV($G$597:$G$616)*SQRT(252))</f>
        <v>0</v>
      </c>
      <c r="AU616">
        <f>IF(COUNT($E$2:$E616)&lt;9,"",(MAX($C$608:$C$616)+MIN($D$608:$D$616))/2)</f>
        <v>0</v>
      </c>
      <c r="AV616">
        <f>IF(COUNT($E$2:$E616)&lt;26,"",(MAX($C$591:$C$616)+MIN($D$591:$D$616))/2)</f>
        <v>0</v>
      </c>
      <c r="AW616">
        <f>IF(OR(AU616="",AV616=""),"",(AU616+AV616)/2)</f>
        <v>0</v>
      </c>
      <c r="AX616">
        <f>IF(COUNT($E$2:$E616)&lt;52,"",(MAX($C$565:$C$616)+MIN($D$565:$D$616))/2)</f>
        <v>0</v>
      </c>
      <c r="AY616">
        <f>IF(COUNT($E$2:$E616)&lt;20,"",MAX($C$517:$C$616))</f>
        <v>0</v>
      </c>
      <c r="AZ616">
        <f>IF(COUNT($E$2:$E616)&lt;20,"",MIN($D$517:$D$616))</f>
        <v>0</v>
      </c>
      <c r="BA616">
        <f>IF(COUNT($E$2:$E616)&lt;20,"",SLOPE($E$517:$E$616,$F$517:$F$616))</f>
        <v>0</v>
      </c>
      <c r="BB616">
        <f>IF(COUNT($E$2:$E616)&lt;20,"",INTERCEPT($E$517:$E$616,$F$517:$F$616))</f>
        <v>0</v>
      </c>
      <c r="BC616">
        <f>IF(OR(BA616="",BB616=""),"",BB616+BA616*F616)</f>
        <v>0</v>
      </c>
      <c r="BD616">
        <f>IF(COUNT($E$2:$E616)&lt;20,"",STEYX($E$517:$E$616,$F$517:$F$616))</f>
        <v>0</v>
      </c>
      <c r="BE616">
        <f>IF($E616="","",IF(AND(COUNT($E$617:$E$620)&gt;=4,$C616=MAX($C$612:$C$620)),$C616,""))</f>
        <v>0</v>
      </c>
      <c r="BF616">
        <f>IF($E616="","",IF(AND(COUNT($E$617:$E$620)&gt;=4,$D616=MIN($D$612:$D$620)),$D616,""))</f>
        <v>0</v>
      </c>
      <c r="BG616">
        <f>IF($A616="","",$A616-WEEKDAY($A616,2)+1)</f>
        <v>0</v>
      </c>
      <c r="BH616">
        <f>IF($A616="","",IF($A615="",1,IF(BG616&lt;&gt;BG615,1,0)))</f>
        <v>0</v>
      </c>
      <c r="BI616">
        <f>IF($A616="","",IF($A617="",1,IF(BG617&lt;&gt;BG616,1,0)))</f>
        <v>0</v>
      </c>
      <c r="BJ616">
        <f>IF($A616="","",IF(BH616=1,$B616,BJ615))</f>
        <v>0</v>
      </c>
      <c r="BK616">
        <f>IF($A616="","",IF(BH616=1,$C616,MAX($C616,BK615)))</f>
        <v>0</v>
      </c>
      <c r="BL616">
        <f>IF($A616="","",IF(BH616=1,$D616,MIN($D616,BL615)))</f>
        <v>0</v>
      </c>
      <c r="BM616">
        <f>IF($A616="","",IF(BI616=1,F616,""))</f>
        <v>0</v>
      </c>
      <c r="BN616">
        <f>IF($A616="","",DATE(YEAR($A616),MONTH($A616),1))</f>
        <v>0</v>
      </c>
      <c r="BO616">
        <f>IF($A616="","",IF($A615="",1,IF(BN616&lt;&gt;BN615,1,0)))</f>
        <v>0</v>
      </c>
      <c r="BP616">
        <f>IF($A616="","",IF($A617="",1,IF(BN617&lt;&gt;BN616,1,0)))</f>
        <v>0</v>
      </c>
      <c r="BQ616">
        <f>IF($A616="","",IF(BO616=1,$B616,BQ615))</f>
        <v>0</v>
      </c>
      <c r="BR616">
        <f>IF($A616="","",IF(BO616=1,$C616,MAX($C616,BR615)))</f>
        <v>0</v>
      </c>
      <c r="BS616">
        <f>IF($A616="","",IF(BO616=1,$D616,MIN($D616,BS615)))</f>
        <v>0</v>
      </c>
      <c r="BT616">
        <f>IF($A616="","",IF(BP616=1,F616,""))</f>
        <v>0</v>
      </c>
    </row>
    <row r="617" spans="1:72">
      <c r="A617" s="27">
        <f>IF(Data!$A617="","",Data!$A617)</f>
        <v>0</v>
      </c>
      <c r="B617">
        <f>IF(Data!$B617="","",Data!$B617)</f>
        <v>0</v>
      </c>
      <c r="C617">
        <f>IF(Data!$C617="","",Data!$C617)</f>
        <v>0</v>
      </c>
      <c r="D617">
        <f>IF(Data!$D617="","",Data!$D617)</f>
        <v>0</v>
      </c>
      <c r="E617">
        <f>IF(Data!$E617="","",Data!$E617)</f>
        <v>0</v>
      </c>
      <c r="F617">
        <f>IF($E617="","",N(F616)+1)</f>
        <v>0</v>
      </c>
      <c r="G617">
        <f>IF(OR($E617="",$E616=""),"",LN($E617/$E616))</f>
        <v>0</v>
      </c>
      <c r="H617">
        <f>IF($E617="","",IF($E616="",$E617,$E617*0.0952380952+H616*0.9047619048))</f>
        <v>0</v>
      </c>
      <c r="I617">
        <f>IF($E617="","",IF($E616="",$E617,$E617*0.0392156863+I616*0.9607843137))</f>
        <v>0</v>
      </c>
      <c r="J617">
        <f>IF($E617="","",IF($E616="",$E617,$E617*0.0198019802+J616*0.9801980198))</f>
        <v>0</v>
      </c>
      <c r="K617">
        <f>IF($E617="","",IF($E616="",$E617,$E617*0.0099502488+K616*0.9900497512))</f>
        <v>0</v>
      </c>
      <c r="L617">
        <f>IF(OR($E617="",$E616=""),"",MAX($E617-$E616,0))</f>
        <v>0</v>
      </c>
      <c r="M617">
        <f>IF(OR($E617="",$E616=""),"",MAX($E616-$E617,0))</f>
        <v>0</v>
      </c>
      <c r="N617">
        <f>IF(COUNT($E$2:$E617)&lt;15,"",IF(AVERAGE($M$604:$M$617)=0,100,100-100/(1+AVERAGE($L$604:$L$617)/AVERAGE($M$604:$M$617))))</f>
        <v>0</v>
      </c>
      <c r="O617">
        <f>IF($E617="","",IF($E616="",$E617,$E617*0.1538461538+O616*0.8461538462))</f>
        <v>0</v>
      </c>
      <c r="P617">
        <f>IF($E617="","",IF($E616="",$E617,$E617*0.0740740741+P616*0.9259259259))</f>
        <v>0</v>
      </c>
      <c r="Q617">
        <f>IF(OR(O617="",P617=""),"",O617-P617)</f>
        <v>0</v>
      </c>
      <c r="R617">
        <f>IF(Q617="","",IF(R616="",Q617,Q617*0.2000000000+R616*0.8000000000))</f>
        <v>0</v>
      </c>
      <c r="S617">
        <f>IF(OR(Q617="",R617=""),"",Q617-R617)</f>
        <v>0</v>
      </c>
      <c r="T617">
        <f>IF(COUNT($E$2:$E617)&lt;14,"",MAX($C$604:$C$617))</f>
        <v>0</v>
      </c>
      <c r="U617">
        <f>IF(COUNT($E$2:$E617)&lt;14,"",MIN($D$604:$D$617))</f>
        <v>0</v>
      </c>
      <c r="V617">
        <f>IF(OR(T617="",U617="",T617=U617),"",100*($E617-U617)/(T617-U617))</f>
        <v>0</v>
      </c>
      <c r="W617">
        <f>IF(COUNT($V$615:$V$617)&lt;3,"",AVERAGE($V$615:$V$617))</f>
        <v>0</v>
      </c>
      <c r="X617">
        <f>IF(COUNT($N$604:$N$617)&lt;14,"",MIN($N$604:$N$617))</f>
        <v>0</v>
      </c>
      <c r="Y617">
        <f>IF(COUNT($N$604:$N$617)&lt;14,"",MAX($N$604:$N$617))</f>
        <v>0</v>
      </c>
      <c r="Z617">
        <f>IF(OR(N617="",X617="",Y617="",Y617=X617),"",100*(N617-X617)/(Y617-X617))</f>
        <v>0</v>
      </c>
      <c r="AA617">
        <f>IF(COUNT($Z$615:$Z$617)&lt;3,"",AVERAGE($Z$615:$Z$617))</f>
        <v>0</v>
      </c>
      <c r="AB617">
        <f>IF(COUNT($AA$615:$AA$617)&lt;3,"",AVERAGE($AA$615:$AA$617))</f>
        <v>0</v>
      </c>
      <c r="AC617">
        <f>IF($E617="","",MAX($C617-$D617,ABS($C617-$E616),ABS($D617-$E616)))</f>
        <v>0</v>
      </c>
      <c r="AD617">
        <f>IF(COUNT($E$2:$E617)&lt;15,"",AVERAGE($AC$604:$AC$617))</f>
        <v>0</v>
      </c>
      <c r="AE617">
        <f>IF(OR($E617="",$E616=""),"",IF(AND(($C617-$C616)&gt;($D616-$D617),($C617-$C616)&gt;0),$C617-$C616,0))</f>
        <v>0</v>
      </c>
      <c r="AF617">
        <f>IF(OR($E617="",$E616=""),"",IF(AND(($D616-$D617)&gt;($C617-$C616),($D616-$D617)&gt;0),$D616-$D617,0))</f>
        <v>0</v>
      </c>
      <c r="AG617">
        <f>IF(COUNT($E$2:$E617)&lt;15,"",IF(SUM($AC$604:$AC$617)=0,0,100*SUM($AE$604:$AE$617)/SUM($AC$604:$AC$617)))</f>
        <v>0</v>
      </c>
      <c r="AH617">
        <f>IF(COUNT($E$2:$E617)&lt;15,"",IF(SUM($AC$604:$AC$617)=0,0,100*SUM($AF$604:$AF$617)/SUM($AC$604:$AC$617)))</f>
        <v>0</v>
      </c>
      <c r="AI617">
        <f>IF(OR(AG617="",AH617=""),"",IF((AG617+AH617)=0,0,100*ABS(AG617-AH617)/(AG617+AH617)))</f>
        <v>0</v>
      </c>
      <c r="AJ617">
        <f>IF(COUNT($AI$604:$AI$617)&lt;14,"",AVERAGE($AI$604:$AI$617))</f>
        <v>0</v>
      </c>
      <c r="AK617">
        <f>IF(COUNT($E$2:$E617)&lt;20,"",AVERAGE($E$598:$E$617))</f>
        <v>0</v>
      </c>
      <c r="AL617">
        <f>IF(COUNT($E$2:$E617)&lt;20,"",STDEVP($E$598:$E$617))</f>
        <v>0</v>
      </c>
      <c r="AM617">
        <f>IF(AK617="","",AK617+2*AL617)</f>
        <v>0</v>
      </c>
      <c r="AN617">
        <f>IF(AK617="","",AK617-2*AL617)</f>
        <v>0</v>
      </c>
      <c r="AO617">
        <f>IF(OR(AM617="",AN617="",AM617=AN617),"",($E617-AN617)/(AM617-AN617))</f>
        <v>0</v>
      </c>
      <c r="AP617">
        <f>IF(OR(AM617="",AK617="",AK617=0),"",(AM617-AN617)/AK617)</f>
        <v>0</v>
      </c>
      <c r="AQ617">
        <f>IF(COUNT($E$2:$E617)&lt;20,"",MAX($C$598:$C$617))</f>
        <v>0</v>
      </c>
      <c r="AR617">
        <f>IF(COUNT($E$2:$E617)&lt;20,"",MIN($D$598:$D$617))</f>
        <v>0</v>
      </c>
      <c r="AS617">
        <f>IF(OR(AQ617="",AR617=""),"",(AQ617+AR617)/2)</f>
        <v>0</v>
      </c>
      <c r="AT617">
        <f>IF(COUNT($G$598:$G$617)&lt;20,"",STDEV($G$598:$G$617)*SQRT(252))</f>
        <v>0</v>
      </c>
      <c r="AU617">
        <f>IF(COUNT($E$2:$E617)&lt;9,"",(MAX($C$609:$C$617)+MIN($D$609:$D$617))/2)</f>
        <v>0</v>
      </c>
      <c r="AV617">
        <f>IF(COUNT($E$2:$E617)&lt;26,"",(MAX($C$592:$C$617)+MIN($D$592:$D$617))/2)</f>
        <v>0</v>
      </c>
      <c r="AW617">
        <f>IF(OR(AU617="",AV617=""),"",(AU617+AV617)/2)</f>
        <v>0</v>
      </c>
      <c r="AX617">
        <f>IF(COUNT($E$2:$E617)&lt;52,"",(MAX($C$566:$C$617)+MIN($D$566:$D$617))/2)</f>
        <v>0</v>
      </c>
      <c r="AY617">
        <f>IF(COUNT($E$2:$E617)&lt;20,"",MAX($C$518:$C$617))</f>
        <v>0</v>
      </c>
      <c r="AZ617">
        <f>IF(COUNT($E$2:$E617)&lt;20,"",MIN($D$518:$D$617))</f>
        <v>0</v>
      </c>
      <c r="BA617">
        <f>IF(COUNT($E$2:$E617)&lt;20,"",SLOPE($E$518:$E$617,$F$518:$F$617))</f>
        <v>0</v>
      </c>
      <c r="BB617">
        <f>IF(COUNT($E$2:$E617)&lt;20,"",INTERCEPT($E$518:$E$617,$F$518:$F$617))</f>
        <v>0</v>
      </c>
      <c r="BC617">
        <f>IF(OR(BA617="",BB617=""),"",BB617+BA617*F617)</f>
        <v>0</v>
      </c>
      <c r="BD617">
        <f>IF(COUNT($E$2:$E617)&lt;20,"",STEYX($E$518:$E$617,$F$518:$F$617))</f>
        <v>0</v>
      </c>
      <c r="BE617">
        <f>IF($E617="","",IF(AND(COUNT($E$618:$E$621)&gt;=4,$C617=MAX($C$613:$C$621)),$C617,""))</f>
        <v>0</v>
      </c>
      <c r="BF617">
        <f>IF($E617="","",IF(AND(COUNT($E$618:$E$621)&gt;=4,$D617=MIN($D$613:$D$621)),$D617,""))</f>
        <v>0</v>
      </c>
      <c r="BG617">
        <f>IF($A617="","",$A617-WEEKDAY($A617,2)+1)</f>
        <v>0</v>
      </c>
      <c r="BH617">
        <f>IF($A617="","",IF($A616="",1,IF(BG617&lt;&gt;BG616,1,0)))</f>
        <v>0</v>
      </c>
      <c r="BI617">
        <f>IF($A617="","",IF($A618="",1,IF(BG618&lt;&gt;BG617,1,0)))</f>
        <v>0</v>
      </c>
      <c r="BJ617">
        <f>IF($A617="","",IF(BH617=1,$B617,BJ616))</f>
        <v>0</v>
      </c>
      <c r="BK617">
        <f>IF($A617="","",IF(BH617=1,$C617,MAX($C617,BK616)))</f>
        <v>0</v>
      </c>
      <c r="BL617">
        <f>IF($A617="","",IF(BH617=1,$D617,MIN($D617,BL616)))</f>
        <v>0</v>
      </c>
      <c r="BM617">
        <f>IF($A617="","",IF(BI617=1,F617,""))</f>
        <v>0</v>
      </c>
      <c r="BN617">
        <f>IF($A617="","",DATE(YEAR($A617),MONTH($A617),1))</f>
        <v>0</v>
      </c>
      <c r="BO617">
        <f>IF($A617="","",IF($A616="",1,IF(BN617&lt;&gt;BN616,1,0)))</f>
        <v>0</v>
      </c>
      <c r="BP617">
        <f>IF($A617="","",IF($A618="",1,IF(BN618&lt;&gt;BN617,1,0)))</f>
        <v>0</v>
      </c>
      <c r="BQ617">
        <f>IF($A617="","",IF(BO617=1,$B617,BQ616))</f>
        <v>0</v>
      </c>
      <c r="BR617">
        <f>IF($A617="","",IF(BO617=1,$C617,MAX($C617,BR616)))</f>
        <v>0</v>
      </c>
      <c r="BS617">
        <f>IF($A617="","",IF(BO617=1,$D617,MIN($D617,BS616)))</f>
        <v>0</v>
      </c>
      <c r="BT617">
        <f>IF($A617="","",IF(BP617=1,F617,""))</f>
        <v>0</v>
      </c>
    </row>
    <row r="618" spans="1:72">
      <c r="A618" s="27">
        <f>IF(Data!$A618="","",Data!$A618)</f>
        <v>0</v>
      </c>
      <c r="B618">
        <f>IF(Data!$B618="","",Data!$B618)</f>
        <v>0</v>
      </c>
      <c r="C618">
        <f>IF(Data!$C618="","",Data!$C618)</f>
        <v>0</v>
      </c>
      <c r="D618">
        <f>IF(Data!$D618="","",Data!$D618)</f>
        <v>0</v>
      </c>
      <c r="E618">
        <f>IF(Data!$E618="","",Data!$E618)</f>
        <v>0</v>
      </c>
      <c r="F618">
        <f>IF($E618="","",N(F617)+1)</f>
        <v>0</v>
      </c>
      <c r="G618">
        <f>IF(OR($E618="",$E617=""),"",LN($E618/$E617))</f>
        <v>0</v>
      </c>
      <c r="H618">
        <f>IF($E618="","",IF($E617="",$E618,$E618*0.0952380952+H617*0.9047619048))</f>
        <v>0</v>
      </c>
      <c r="I618">
        <f>IF($E618="","",IF($E617="",$E618,$E618*0.0392156863+I617*0.9607843137))</f>
        <v>0</v>
      </c>
      <c r="J618">
        <f>IF($E618="","",IF($E617="",$E618,$E618*0.0198019802+J617*0.9801980198))</f>
        <v>0</v>
      </c>
      <c r="K618">
        <f>IF($E618="","",IF($E617="",$E618,$E618*0.0099502488+K617*0.9900497512))</f>
        <v>0</v>
      </c>
      <c r="L618">
        <f>IF(OR($E618="",$E617=""),"",MAX($E618-$E617,0))</f>
        <v>0</v>
      </c>
      <c r="M618">
        <f>IF(OR($E618="",$E617=""),"",MAX($E617-$E618,0))</f>
        <v>0</v>
      </c>
      <c r="N618">
        <f>IF(COUNT($E$2:$E618)&lt;15,"",IF(AVERAGE($M$605:$M$618)=0,100,100-100/(1+AVERAGE($L$605:$L$618)/AVERAGE($M$605:$M$618))))</f>
        <v>0</v>
      </c>
      <c r="O618">
        <f>IF($E618="","",IF($E617="",$E618,$E618*0.1538461538+O617*0.8461538462))</f>
        <v>0</v>
      </c>
      <c r="P618">
        <f>IF($E618="","",IF($E617="",$E618,$E618*0.0740740741+P617*0.9259259259))</f>
        <v>0</v>
      </c>
      <c r="Q618">
        <f>IF(OR(O618="",P618=""),"",O618-P618)</f>
        <v>0</v>
      </c>
      <c r="R618">
        <f>IF(Q618="","",IF(R617="",Q618,Q618*0.2000000000+R617*0.8000000000))</f>
        <v>0</v>
      </c>
      <c r="S618">
        <f>IF(OR(Q618="",R618=""),"",Q618-R618)</f>
        <v>0</v>
      </c>
      <c r="T618">
        <f>IF(COUNT($E$2:$E618)&lt;14,"",MAX($C$605:$C$618))</f>
        <v>0</v>
      </c>
      <c r="U618">
        <f>IF(COUNT($E$2:$E618)&lt;14,"",MIN($D$605:$D$618))</f>
        <v>0</v>
      </c>
      <c r="V618">
        <f>IF(OR(T618="",U618="",T618=U618),"",100*($E618-U618)/(T618-U618))</f>
        <v>0</v>
      </c>
      <c r="W618">
        <f>IF(COUNT($V$616:$V$618)&lt;3,"",AVERAGE($V$616:$V$618))</f>
        <v>0</v>
      </c>
      <c r="X618">
        <f>IF(COUNT($N$605:$N$618)&lt;14,"",MIN($N$605:$N$618))</f>
        <v>0</v>
      </c>
      <c r="Y618">
        <f>IF(COUNT($N$605:$N$618)&lt;14,"",MAX($N$605:$N$618))</f>
        <v>0</v>
      </c>
      <c r="Z618">
        <f>IF(OR(N618="",X618="",Y618="",Y618=X618),"",100*(N618-X618)/(Y618-X618))</f>
        <v>0</v>
      </c>
      <c r="AA618">
        <f>IF(COUNT($Z$616:$Z$618)&lt;3,"",AVERAGE($Z$616:$Z$618))</f>
        <v>0</v>
      </c>
      <c r="AB618">
        <f>IF(COUNT($AA$616:$AA$618)&lt;3,"",AVERAGE($AA$616:$AA$618))</f>
        <v>0</v>
      </c>
      <c r="AC618">
        <f>IF($E618="","",MAX($C618-$D618,ABS($C618-$E617),ABS($D618-$E617)))</f>
        <v>0</v>
      </c>
      <c r="AD618">
        <f>IF(COUNT($E$2:$E618)&lt;15,"",AVERAGE($AC$605:$AC$618))</f>
        <v>0</v>
      </c>
      <c r="AE618">
        <f>IF(OR($E618="",$E617=""),"",IF(AND(($C618-$C617)&gt;($D617-$D618),($C618-$C617)&gt;0),$C618-$C617,0))</f>
        <v>0</v>
      </c>
      <c r="AF618">
        <f>IF(OR($E618="",$E617=""),"",IF(AND(($D617-$D618)&gt;($C618-$C617),($D617-$D618)&gt;0),$D617-$D618,0))</f>
        <v>0</v>
      </c>
      <c r="AG618">
        <f>IF(COUNT($E$2:$E618)&lt;15,"",IF(SUM($AC$605:$AC$618)=0,0,100*SUM($AE$605:$AE$618)/SUM($AC$605:$AC$618)))</f>
        <v>0</v>
      </c>
      <c r="AH618">
        <f>IF(COUNT($E$2:$E618)&lt;15,"",IF(SUM($AC$605:$AC$618)=0,0,100*SUM($AF$605:$AF$618)/SUM($AC$605:$AC$618)))</f>
        <v>0</v>
      </c>
      <c r="AI618">
        <f>IF(OR(AG618="",AH618=""),"",IF((AG618+AH618)=0,0,100*ABS(AG618-AH618)/(AG618+AH618)))</f>
        <v>0</v>
      </c>
      <c r="AJ618">
        <f>IF(COUNT($AI$605:$AI$618)&lt;14,"",AVERAGE($AI$605:$AI$618))</f>
        <v>0</v>
      </c>
      <c r="AK618">
        <f>IF(COUNT($E$2:$E618)&lt;20,"",AVERAGE($E$599:$E$618))</f>
        <v>0</v>
      </c>
      <c r="AL618">
        <f>IF(COUNT($E$2:$E618)&lt;20,"",STDEVP($E$599:$E$618))</f>
        <v>0</v>
      </c>
      <c r="AM618">
        <f>IF(AK618="","",AK618+2*AL618)</f>
        <v>0</v>
      </c>
      <c r="AN618">
        <f>IF(AK618="","",AK618-2*AL618)</f>
        <v>0</v>
      </c>
      <c r="AO618">
        <f>IF(OR(AM618="",AN618="",AM618=AN618),"",($E618-AN618)/(AM618-AN618))</f>
        <v>0</v>
      </c>
      <c r="AP618">
        <f>IF(OR(AM618="",AK618="",AK618=0),"",(AM618-AN618)/AK618)</f>
        <v>0</v>
      </c>
      <c r="AQ618">
        <f>IF(COUNT($E$2:$E618)&lt;20,"",MAX($C$599:$C$618))</f>
        <v>0</v>
      </c>
      <c r="AR618">
        <f>IF(COUNT($E$2:$E618)&lt;20,"",MIN($D$599:$D$618))</f>
        <v>0</v>
      </c>
      <c r="AS618">
        <f>IF(OR(AQ618="",AR618=""),"",(AQ618+AR618)/2)</f>
        <v>0</v>
      </c>
      <c r="AT618">
        <f>IF(COUNT($G$599:$G$618)&lt;20,"",STDEV($G$599:$G$618)*SQRT(252))</f>
        <v>0</v>
      </c>
      <c r="AU618">
        <f>IF(COUNT($E$2:$E618)&lt;9,"",(MAX($C$610:$C$618)+MIN($D$610:$D$618))/2)</f>
        <v>0</v>
      </c>
      <c r="AV618">
        <f>IF(COUNT($E$2:$E618)&lt;26,"",(MAX($C$593:$C$618)+MIN($D$593:$D$618))/2)</f>
        <v>0</v>
      </c>
      <c r="AW618">
        <f>IF(OR(AU618="",AV618=""),"",(AU618+AV618)/2)</f>
        <v>0</v>
      </c>
      <c r="AX618">
        <f>IF(COUNT($E$2:$E618)&lt;52,"",(MAX($C$567:$C$618)+MIN($D$567:$D$618))/2)</f>
        <v>0</v>
      </c>
      <c r="AY618">
        <f>IF(COUNT($E$2:$E618)&lt;20,"",MAX($C$519:$C$618))</f>
        <v>0</v>
      </c>
      <c r="AZ618">
        <f>IF(COUNT($E$2:$E618)&lt;20,"",MIN($D$519:$D$618))</f>
        <v>0</v>
      </c>
      <c r="BA618">
        <f>IF(COUNT($E$2:$E618)&lt;20,"",SLOPE($E$519:$E$618,$F$519:$F$618))</f>
        <v>0</v>
      </c>
      <c r="BB618">
        <f>IF(COUNT($E$2:$E618)&lt;20,"",INTERCEPT($E$519:$E$618,$F$519:$F$618))</f>
        <v>0</v>
      </c>
      <c r="BC618">
        <f>IF(OR(BA618="",BB618=""),"",BB618+BA618*F618)</f>
        <v>0</v>
      </c>
      <c r="BD618">
        <f>IF(COUNT($E$2:$E618)&lt;20,"",STEYX($E$519:$E$618,$F$519:$F$618))</f>
        <v>0</v>
      </c>
      <c r="BE618">
        <f>IF($E618="","",IF(AND(COUNT($E$619:$E$622)&gt;=4,$C618=MAX($C$614:$C$622)),$C618,""))</f>
        <v>0</v>
      </c>
      <c r="BF618">
        <f>IF($E618="","",IF(AND(COUNT($E$619:$E$622)&gt;=4,$D618=MIN($D$614:$D$622)),$D618,""))</f>
        <v>0</v>
      </c>
      <c r="BG618">
        <f>IF($A618="","",$A618-WEEKDAY($A618,2)+1)</f>
        <v>0</v>
      </c>
      <c r="BH618">
        <f>IF($A618="","",IF($A617="",1,IF(BG618&lt;&gt;BG617,1,0)))</f>
        <v>0</v>
      </c>
      <c r="BI618">
        <f>IF($A618="","",IF($A619="",1,IF(BG619&lt;&gt;BG618,1,0)))</f>
        <v>0</v>
      </c>
      <c r="BJ618">
        <f>IF($A618="","",IF(BH618=1,$B618,BJ617))</f>
        <v>0</v>
      </c>
      <c r="BK618">
        <f>IF($A618="","",IF(BH618=1,$C618,MAX($C618,BK617)))</f>
        <v>0</v>
      </c>
      <c r="BL618">
        <f>IF($A618="","",IF(BH618=1,$D618,MIN($D618,BL617)))</f>
        <v>0</v>
      </c>
      <c r="BM618">
        <f>IF($A618="","",IF(BI618=1,F618,""))</f>
        <v>0</v>
      </c>
      <c r="BN618">
        <f>IF($A618="","",DATE(YEAR($A618),MONTH($A618),1))</f>
        <v>0</v>
      </c>
      <c r="BO618">
        <f>IF($A618="","",IF($A617="",1,IF(BN618&lt;&gt;BN617,1,0)))</f>
        <v>0</v>
      </c>
      <c r="BP618">
        <f>IF($A618="","",IF($A619="",1,IF(BN619&lt;&gt;BN618,1,0)))</f>
        <v>0</v>
      </c>
      <c r="BQ618">
        <f>IF($A618="","",IF(BO618=1,$B618,BQ617))</f>
        <v>0</v>
      </c>
      <c r="BR618">
        <f>IF($A618="","",IF(BO618=1,$C618,MAX($C618,BR617)))</f>
        <v>0</v>
      </c>
      <c r="BS618">
        <f>IF($A618="","",IF(BO618=1,$D618,MIN($D618,BS617)))</f>
        <v>0</v>
      </c>
      <c r="BT618">
        <f>IF($A618="","",IF(BP618=1,F618,""))</f>
        <v>0</v>
      </c>
    </row>
    <row r="619" spans="1:72">
      <c r="A619" s="27">
        <f>IF(Data!$A619="","",Data!$A619)</f>
        <v>0</v>
      </c>
      <c r="B619">
        <f>IF(Data!$B619="","",Data!$B619)</f>
        <v>0</v>
      </c>
      <c r="C619">
        <f>IF(Data!$C619="","",Data!$C619)</f>
        <v>0</v>
      </c>
      <c r="D619">
        <f>IF(Data!$D619="","",Data!$D619)</f>
        <v>0</v>
      </c>
      <c r="E619">
        <f>IF(Data!$E619="","",Data!$E619)</f>
        <v>0</v>
      </c>
      <c r="F619">
        <f>IF($E619="","",N(F618)+1)</f>
        <v>0</v>
      </c>
      <c r="G619">
        <f>IF(OR($E619="",$E618=""),"",LN($E619/$E618))</f>
        <v>0</v>
      </c>
      <c r="H619">
        <f>IF($E619="","",IF($E618="",$E619,$E619*0.0952380952+H618*0.9047619048))</f>
        <v>0</v>
      </c>
      <c r="I619">
        <f>IF($E619="","",IF($E618="",$E619,$E619*0.0392156863+I618*0.9607843137))</f>
        <v>0</v>
      </c>
      <c r="J619">
        <f>IF($E619="","",IF($E618="",$E619,$E619*0.0198019802+J618*0.9801980198))</f>
        <v>0</v>
      </c>
      <c r="K619">
        <f>IF($E619="","",IF($E618="",$E619,$E619*0.0099502488+K618*0.9900497512))</f>
        <v>0</v>
      </c>
      <c r="L619">
        <f>IF(OR($E619="",$E618=""),"",MAX($E619-$E618,0))</f>
        <v>0</v>
      </c>
      <c r="M619">
        <f>IF(OR($E619="",$E618=""),"",MAX($E618-$E619,0))</f>
        <v>0</v>
      </c>
      <c r="N619">
        <f>IF(COUNT($E$2:$E619)&lt;15,"",IF(AVERAGE($M$606:$M$619)=0,100,100-100/(1+AVERAGE($L$606:$L$619)/AVERAGE($M$606:$M$619))))</f>
        <v>0</v>
      </c>
      <c r="O619">
        <f>IF($E619="","",IF($E618="",$E619,$E619*0.1538461538+O618*0.8461538462))</f>
        <v>0</v>
      </c>
      <c r="P619">
        <f>IF($E619="","",IF($E618="",$E619,$E619*0.0740740741+P618*0.9259259259))</f>
        <v>0</v>
      </c>
      <c r="Q619">
        <f>IF(OR(O619="",P619=""),"",O619-P619)</f>
        <v>0</v>
      </c>
      <c r="R619">
        <f>IF(Q619="","",IF(R618="",Q619,Q619*0.2000000000+R618*0.8000000000))</f>
        <v>0</v>
      </c>
      <c r="S619">
        <f>IF(OR(Q619="",R619=""),"",Q619-R619)</f>
        <v>0</v>
      </c>
      <c r="T619">
        <f>IF(COUNT($E$2:$E619)&lt;14,"",MAX($C$606:$C$619))</f>
        <v>0</v>
      </c>
      <c r="U619">
        <f>IF(COUNT($E$2:$E619)&lt;14,"",MIN($D$606:$D$619))</f>
        <v>0</v>
      </c>
      <c r="V619">
        <f>IF(OR(T619="",U619="",T619=U619),"",100*($E619-U619)/(T619-U619))</f>
        <v>0</v>
      </c>
      <c r="W619">
        <f>IF(COUNT($V$617:$V$619)&lt;3,"",AVERAGE($V$617:$V$619))</f>
        <v>0</v>
      </c>
      <c r="X619">
        <f>IF(COUNT($N$606:$N$619)&lt;14,"",MIN($N$606:$N$619))</f>
        <v>0</v>
      </c>
      <c r="Y619">
        <f>IF(COUNT($N$606:$N$619)&lt;14,"",MAX($N$606:$N$619))</f>
        <v>0</v>
      </c>
      <c r="Z619">
        <f>IF(OR(N619="",X619="",Y619="",Y619=X619),"",100*(N619-X619)/(Y619-X619))</f>
        <v>0</v>
      </c>
      <c r="AA619">
        <f>IF(COUNT($Z$617:$Z$619)&lt;3,"",AVERAGE($Z$617:$Z$619))</f>
        <v>0</v>
      </c>
      <c r="AB619">
        <f>IF(COUNT($AA$617:$AA$619)&lt;3,"",AVERAGE($AA$617:$AA$619))</f>
        <v>0</v>
      </c>
      <c r="AC619">
        <f>IF($E619="","",MAX($C619-$D619,ABS($C619-$E618),ABS($D619-$E618)))</f>
        <v>0</v>
      </c>
      <c r="AD619">
        <f>IF(COUNT($E$2:$E619)&lt;15,"",AVERAGE($AC$606:$AC$619))</f>
        <v>0</v>
      </c>
      <c r="AE619">
        <f>IF(OR($E619="",$E618=""),"",IF(AND(($C619-$C618)&gt;($D618-$D619),($C619-$C618)&gt;0),$C619-$C618,0))</f>
        <v>0</v>
      </c>
      <c r="AF619">
        <f>IF(OR($E619="",$E618=""),"",IF(AND(($D618-$D619)&gt;($C619-$C618),($D618-$D619)&gt;0),$D618-$D619,0))</f>
        <v>0</v>
      </c>
      <c r="AG619">
        <f>IF(COUNT($E$2:$E619)&lt;15,"",IF(SUM($AC$606:$AC$619)=0,0,100*SUM($AE$606:$AE$619)/SUM($AC$606:$AC$619)))</f>
        <v>0</v>
      </c>
      <c r="AH619">
        <f>IF(COUNT($E$2:$E619)&lt;15,"",IF(SUM($AC$606:$AC$619)=0,0,100*SUM($AF$606:$AF$619)/SUM($AC$606:$AC$619)))</f>
        <v>0</v>
      </c>
      <c r="AI619">
        <f>IF(OR(AG619="",AH619=""),"",IF((AG619+AH619)=0,0,100*ABS(AG619-AH619)/(AG619+AH619)))</f>
        <v>0</v>
      </c>
      <c r="AJ619">
        <f>IF(COUNT($AI$606:$AI$619)&lt;14,"",AVERAGE($AI$606:$AI$619))</f>
        <v>0</v>
      </c>
      <c r="AK619">
        <f>IF(COUNT($E$2:$E619)&lt;20,"",AVERAGE($E$600:$E$619))</f>
        <v>0</v>
      </c>
      <c r="AL619">
        <f>IF(COUNT($E$2:$E619)&lt;20,"",STDEVP($E$600:$E$619))</f>
        <v>0</v>
      </c>
      <c r="AM619">
        <f>IF(AK619="","",AK619+2*AL619)</f>
        <v>0</v>
      </c>
      <c r="AN619">
        <f>IF(AK619="","",AK619-2*AL619)</f>
        <v>0</v>
      </c>
      <c r="AO619">
        <f>IF(OR(AM619="",AN619="",AM619=AN619),"",($E619-AN619)/(AM619-AN619))</f>
        <v>0</v>
      </c>
      <c r="AP619">
        <f>IF(OR(AM619="",AK619="",AK619=0),"",(AM619-AN619)/AK619)</f>
        <v>0</v>
      </c>
      <c r="AQ619">
        <f>IF(COUNT($E$2:$E619)&lt;20,"",MAX($C$600:$C$619))</f>
        <v>0</v>
      </c>
      <c r="AR619">
        <f>IF(COUNT($E$2:$E619)&lt;20,"",MIN($D$600:$D$619))</f>
        <v>0</v>
      </c>
      <c r="AS619">
        <f>IF(OR(AQ619="",AR619=""),"",(AQ619+AR619)/2)</f>
        <v>0</v>
      </c>
      <c r="AT619">
        <f>IF(COUNT($G$600:$G$619)&lt;20,"",STDEV($G$600:$G$619)*SQRT(252))</f>
        <v>0</v>
      </c>
      <c r="AU619">
        <f>IF(COUNT($E$2:$E619)&lt;9,"",(MAX($C$611:$C$619)+MIN($D$611:$D$619))/2)</f>
        <v>0</v>
      </c>
      <c r="AV619">
        <f>IF(COUNT($E$2:$E619)&lt;26,"",(MAX($C$594:$C$619)+MIN($D$594:$D$619))/2)</f>
        <v>0</v>
      </c>
      <c r="AW619">
        <f>IF(OR(AU619="",AV619=""),"",(AU619+AV619)/2)</f>
        <v>0</v>
      </c>
      <c r="AX619">
        <f>IF(COUNT($E$2:$E619)&lt;52,"",(MAX($C$568:$C$619)+MIN($D$568:$D$619))/2)</f>
        <v>0</v>
      </c>
      <c r="AY619">
        <f>IF(COUNT($E$2:$E619)&lt;20,"",MAX($C$520:$C$619))</f>
        <v>0</v>
      </c>
      <c r="AZ619">
        <f>IF(COUNT($E$2:$E619)&lt;20,"",MIN($D$520:$D$619))</f>
        <v>0</v>
      </c>
      <c r="BA619">
        <f>IF(COUNT($E$2:$E619)&lt;20,"",SLOPE($E$520:$E$619,$F$520:$F$619))</f>
        <v>0</v>
      </c>
      <c r="BB619">
        <f>IF(COUNT($E$2:$E619)&lt;20,"",INTERCEPT($E$520:$E$619,$F$520:$F$619))</f>
        <v>0</v>
      </c>
      <c r="BC619">
        <f>IF(OR(BA619="",BB619=""),"",BB619+BA619*F619)</f>
        <v>0</v>
      </c>
      <c r="BD619">
        <f>IF(COUNT($E$2:$E619)&lt;20,"",STEYX($E$520:$E$619,$F$520:$F$619))</f>
        <v>0</v>
      </c>
      <c r="BE619">
        <f>IF($E619="","",IF(AND(COUNT($E$620:$E$623)&gt;=4,$C619=MAX($C$615:$C$623)),$C619,""))</f>
        <v>0</v>
      </c>
      <c r="BF619">
        <f>IF($E619="","",IF(AND(COUNT($E$620:$E$623)&gt;=4,$D619=MIN($D$615:$D$623)),$D619,""))</f>
        <v>0</v>
      </c>
      <c r="BG619">
        <f>IF($A619="","",$A619-WEEKDAY($A619,2)+1)</f>
        <v>0</v>
      </c>
      <c r="BH619">
        <f>IF($A619="","",IF($A618="",1,IF(BG619&lt;&gt;BG618,1,0)))</f>
        <v>0</v>
      </c>
      <c r="BI619">
        <f>IF($A619="","",IF($A620="",1,IF(BG620&lt;&gt;BG619,1,0)))</f>
        <v>0</v>
      </c>
      <c r="BJ619">
        <f>IF($A619="","",IF(BH619=1,$B619,BJ618))</f>
        <v>0</v>
      </c>
      <c r="BK619">
        <f>IF($A619="","",IF(BH619=1,$C619,MAX($C619,BK618)))</f>
        <v>0</v>
      </c>
      <c r="BL619">
        <f>IF($A619="","",IF(BH619=1,$D619,MIN($D619,BL618)))</f>
        <v>0</v>
      </c>
      <c r="BM619">
        <f>IF($A619="","",IF(BI619=1,F619,""))</f>
        <v>0</v>
      </c>
      <c r="BN619">
        <f>IF($A619="","",DATE(YEAR($A619),MONTH($A619),1))</f>
        <v>0</v>
      </c>
      <c r="BO619">
        <f>IF($A619="","",IF($A618="",1,IF(BN619&lt;&gt;BN618,1,0)))</f>
        <v>0</v>
      </c>
      <c r="BP619">
        <f>IF($A619="","",IF($A620="",1,IF(BN620&lt;&gt;BN619,1,0)))</f>
        <v>0</v>
      </c>
      <c r="BQ619">
        <f>IF($A619="","",IF(BO619=1,$B619,BQ618))</f>
        <v>0</v>
      </c>
      <c r="BR619">
        <f>IF($A619="","",IF(BO619=1,$C619,MAX($C619,BR618)))</f>
        <v>0</v>
      </c>
      <c r="BS619">
        <f>IF($A619="","",IF(BO619=1,$D619,MIN($D619,BS618)))</f>
        <v>0</v>
      </c>
      <c r="BT619">
        <f>IF($A619="","",IF(BP619=1,F619,""))</f>
        <v>0</v>
      </c>
    </row>
    <row r="620" spans="1:72">
      <c r="A620" s="27">
        <f>IF(Data!$A620="","",Data!$A620)</f>
        <v>0</v>
      </c>
      <c r="B620">
        <f>IF(Data!$B620="","",Data!$B620)</f>
        <v>0</v>
      </c>
      <c r="C620">
        <f>IF(Data!$C620="","",Data!$C620)</f>
        <v>0</v>
      </c>
      <c r="D620">
        <f>IF(Data!$D620="","",Data!$D620)</f>
        <v>0</v>
      </c>
      <c r="E620">
        <f>IF(Data!$E620="","",Data!$E620)</f>
        <v>0</v>
      </c>
      <c r="F620">
        <f>IF($E620="","",N(F619)+1)</f>
        <v>0</v>
      </c>
      <c r="G620">
        <f>IF(OR($E620="",$E619=""),"",LN($E620/$E619))</f>
        <v>0</v>
      </c>
      <c r="H620">
        <f>IF($E620="","",IF($E619="",$E620,$E620*0.0952380952+H619*0.9047619048))</f>
        <v>0</v>
      </c>
      <c r="I620">
        <f>IF($E620="","",IF($E619="",$E620,$E620*0.0392156863+I619*0.9607843137))</f>
        <v>0</v>
      </c>
      <c r="J620">
        <f>IF($E620="","",IF($E619="",$E620,$E620*0.0198019802+J619*0.9801980198))</f>
        <v>0</v>
      </c>
      <c r="K620">
        <f>IF($E620="","",IF($E619="",$E620,$E620*0.0099502488+K619*0.9900497512))</f>
        <v>0</v>
      </c>
      <c r="L620">
        <f>IF(OR($E620="",$E619=""),"",MAX($E620-$E619,0))</f>
        <v>0</v>
      </c>
      <c r="M620">
        <f>IF(OR($E620="",$E619=""),"",MAX($E619-$E620,0))</f>
        <v>0</v>
      </c>
      <c r="N620">
        <f>IF(COUNT($E$2:$E620)&lt;15,"",IF(AVERAGE($M$607:$M$620)=0,100,100-100/(1+AVERAGE($L$607:$L$620)/AVERAGE($M$607:$M$620))))</f>
        <v>0</v>
      </c>
      <c r="O620">
        <f>IF($E620="","",IF($E619="",$E620,$E620*0.1538461538+O619*0.8461538462))</f>
        <v>0</v>
      </c>
      <c r="P620">
        <f>IF($E620="","",IF($E619="",$E620,$E620*0.0740740741+P619*0.9259259259))</f>
        <v>0</v>
      </c>
      <c r="Q620">
        <f>IF(OR(O620="",P620=""),"",O620-P620)</f>
        <v>0</v>
      </c>
      <c r="R620">
        <f>IF(Q620="","",IF(R619="",Q620,Q620*0.2000000000+R619*0.8000000000))</f>
        <v>0</v>
      </c>
      <c r="S620">
        <f>IF(OR(Q620="",R620=""),"",Q620-R620)</f>
        <v>0</v>
      </c>
      <c r="T620">
        <f>IF(COUNT($E$2:$E620)&lt;14,"",MAX($C$607:$C$620))</f>
        <v>0</v>
      </c>
      <c r="U620">
        <f>IF(COUNT($E$2:$E620)&lt;14,"",MIN($D$607:$D$620))</f>
        <v>0</v>
      </c>
      <c r="V620">
        <f>IF(OR(T620="",U620="",T620=U620),"",100*($E620-U620)/(T620-U620))</f>
        <v>0</v>
      </c>
      <c r="W620">
        <f>IF(COUNT($V$618:$V$620)&lt;3,"",AVERAGE($V$618:$V$620))</f>
        <v>0</v>
      </c>
      <c r="X620">
        <f>IF(COUNT($N$607:$N$620)&lt;14,"",MIN($N$607:$N$620))</f>
        <v>0</v>
      </c>
      <c r="Y620">
        <f>IF(COUNT($N$607:$N$620)&lt;14,"",MAX($N$607:$N$620))</f>
        <v>0</v>
      </c>
      <c r="Z620">
        <f>IF(OR(N620="",X620="",Y620="",Y620=X620),"",100*(N620-X620)/(Y620-X620))</f>
        <v>0</v>
      </c>
      <c r="AA620">
        <f>IF(COUNT($Z$618:$Z$620)&lt;3,"",AVERAGE($Z$618:$Z$620))</f>
        <v>0</v>
      </c>
      <c r="AB620">
        <f>IF(COUNT($AA$618:$AA$620)&lt;3,"",AVERAGE($AA$618:$AA$620))</f>
        <v>0</v>
      </c>
      <c r="AC620">
        <f>IF($E620="","",MAX($C620-$D620,ABS($C620-$E619),ABS($D620-$E619)))</f>
        <v>0</v>
      </c>
      <c r="AD620">
        <f>IF(COUNT($E$2:$E620)&lt;15,"",AVERAGE($AC$607:$AC$620))</f>
        <v>0</v>
      </c>
      <c r="AE620">
        <f>IF(OR($E620="",$E619=""),"",IF(AND(($C620-$C619)&gt;($D619-$D620),($C620-$C619)&gt;0),$C620-$C619,0))</f>
        <v>0</v>
      </c>
      <c r="AF620">
        <f>IF(OR($E620="",$E619=""),"",IF(AND(($D619-$D620)&gt;($C620-$C619),($D619-$D620)&gt;0),$D619-$D620,0))</f>
        <v>0</v>
      </c>
      <c r="AG620">
        <f>IF(COUNT($E$2:$E620)&lt;15,"",IF(SUM($AC$607:$AC$620)=0,0,100*SUM($AE$607:$AE$620)/SUM($AC$607:$AC$620)))</f>
        <v>0</v>
      </c>
      <c r="AH620">
        <f>IF(COUNT($E$2:$E620)&lt;15,"",IF(SUM($AC$607:$AC$620)=0,0,100*SUM($AF$607:$AF$620)/SUM($AC$607:$AC$620)))</f>
        <v>0</v>
      </c>
      <c r="AI620">
        <f>IF(OR(AG620="",AH620=""),"",IF((AG620+AH620)=0,0,100*ABS(AG620-AH620)/(AG620+AH620)))</f>
        <v>0</v>
      </c>
      <c r="AJ620">
        <f>IF(COUNT($AI$607:$AI$620)&lt;14,"",AVERAGE($AI$607:$AI$620))</f>
        <v>0</v>
      </c>
      <c r="AK620">
        <f>IF(COUNT($E$2:$E620)&lt;20,"",AVERAGE($E$601:$E$620))</f>
        <v>0</v>
      </c>
      <c r="AL620">
        <f>IF(COUNT($E$2:$E620)&lt;20,"",STDEVP($E$601:$E$620))</f>
        <v>0</v>
      </c>
      <c r="AM620">
        <f>IF(AK620="","",AK620+2*AL620)</f>
        <v>0</v>
      </c>
      <c r="AN620">
        <f>IF(AK620="","",AK620-2*AL620)</f>
        <v>0</v>
      </c>
      <c r="AO620">
        <f>IF(OR(AM620="",AN620="",AM620=AN620),"",($E620-AN620)/(AM620-AN620))</f>
        <v>0</v>
      </c>
      <c r="AP620">
        <f>IF(OR(AM620="",AK620="",AK620=0),"",(AM620-AN620)/AK620)</f>
        <v>0</v>
      </c>
      <c r="AQ620">
        <f>IF(COUNT($E$2:$E620)&lt;20,"",MAX($C$601:$C$620))</f>
        <v>0</v>
      </c>
      <c r="AR620">
        <f>IF(COUNT($E$2:$E620)&lt;20,"",MIN($D$601:$D$620))</f>
        <v>0</v>
      </c>
      <c r="AS620">
        <f>IF(OR(AQ620="",AR620=""),"",(AQ620+AR620)/2)</f>
        <v>0</v>
      </c>
      <c r="AT620">
        <f>IF(COUNT($G$601:$G$620)&lt;20,"",STDEV($G$601:$G$620)*SQRT(252))</f>
        <v>0</v>
      </c>
      <c r="AU620">
        <f>IF(COUNT($E$2:$E620)&lt;9,"",(MAX($C$612:$C$620)+MIN($D$612:$D$620))/2)</f>
        <v>0</v>
      </c>
      <c r="AV620">
        <f>IF(COUNT($E$2:$E620)&lt;26,"",(MAX($C$595:$C$620)+MIN($D$595:$D$620))/2)</f>
        <v>0</v>
      </c>
      <c r="AW620">
        <f>IF(OR(AU620="",AV620=""),"",(AU620+AV620)/2)</f>
        <v>0</v>
      </c>
      <c r="AX620">
        <f>IF(COUNT($E$2:$E620)&lt;52,"",(MAX($C$569:$C$620)+MIN($D$569:$D$620))/2)</f>
        <v>0</v>
      </c>
      <c r="AY620">
        <f>IF(COUNT($E$2:$E620)&lt;20,"",MAX($C$521:$C$620))</f>
        <v>0</v>
      </c>
      <c r="AZ620">
        <f>IF(COUNT($E$2:$E620)&lt;20,"",MIN($D$521:$D$620))</f>
        <v>0</v>
      </c>
      <c r="BA620">
        <f>IF(COUNT($E$2:$E620)&lt;20,"",SLOPE($E$521:$E$620,$F$521:$F$620))</f>
        <v>0</v>
      </c>
      <c r="BB620">
        <f>IF(COUNT($E$2:$E620)&lt;20,"",INTERCEPT($E$521:$E$620,$F$521:$F$620))</f>
        <v>0</v>
      </c>
      <c r="BC620">
        <f>IF(OR(BA620="",BB620=""),"",BB620+BA620*F620)</f>
        <v>0</v>
      </c>
      <c r="BD620">
        <f>IF(COUNT($E$2:$E620)&lt;20,"",STEYX($E$521:$E$620,$F$521:$F$620))</f>
        <v>0</v>
      </c>
      <c r="BE620">
        <f>IF($E620="","",IF(AND(COUNT($E$621:$E$624)&gt;=4,$C620=MAX($C$616:$C$624)),$C620,""))</f>
        <v>0</v>
      </c>
      <c r="BF620">
        <f>IF($E620="","",IF(AND(COUNT($E$621:$E$624)&gt;=4,$D620=MIN($D$616:$D$624)),$D620,""))</f>
        <v>0</v>
      </c>
      <c r="BG620">
        <f>IF($A620="","",$A620-WEEKDAY($A620,2)+1)</f>
        <v>0</v>
      </c>
      <c r="BH620">
        <f>IF($A620="","",IF($A619="",1,IF(BG620&lt;&gt;BG619,1,0)))</f>
        <v>0</v>
      </c>
      <c r="BI620">
        <f>IF($A620="","",IF($A621="",1,IF(BG621&lt;&gt;BG620,1,0)))</f>
        <v>0</v>
      </c>
      <c r="BJ620">
        <f>IF($A620="","",IF(BH620=1,$B620,BJ619))</f>
        <v>0</v>
      </c>
      <c r="BK620">
        <f>IF($A620="","",IF(BH620=1,$C620,MAX($C620,BK619)))</f>
        <v>0</v>
      </c>
      <c r="BL620">
        <f>IF($A620="","",IF(BH620=1,$D620,MIN($D620,BL619)))</f>
        <v>0</v>
      </c>
      <c r="BM620">
        <f>IF($A620="","",IF(BI620=1,F620,""))</f>
        <v>0</v>
      </c>
      <c r="BN620">
        <f>IF($A620="","",DATE(YEAR($A620),MONTH($A620),1))</f>
        <v>0</v>
      </c>
      <c r="BO620">
        <f>IF($A620="","",IF($A619="",1,IF(BN620&lt;&gt;BN619,1,0)))</f>
        <v>0</v>
      </c>
      <c r="BP620">
        <f>IF($A620="","",IF($A621="",1,IF(BN621&lt;&gt;BN620,1,0)))</f>
        <v>0</v>
      </c>
      <c r="BQ620">
        <f>IF($A620="","",IF(BO620=1,$B620,BQ619))</f>
        <v>0</v>
      </c>
      <c r="BR620">
        <f>IF($A620="","",IF(BO620=1,$C620,MAX($C620,BR619)))</f>
        <v>0</v>
      </c>
      <c r="BS620">
        <f>IF($A620="","",IF(BO620=1,$D620,MIN($D620,BS619)))</f>
        <v>0</v>
      </c>
      <c r="BT620">
        <f>IF($A620="","",IF(BP620=1,F620,""))</f>
        <v>0</v>
      </c>
    </row>
    <row r="621" spans="1:72">
      <c r="A621" s="27">
        <f>IF(Data!$A621="","",Data!$A621)</f>
        <v>0</v>
      </c>
      <c r="B621">
        <f>IF(Data!$B621="","",Data!$B621)</f>
        <v>0</v>
      </c>
      <c r="C621">
        <f>IF(Data!$C621="","",Data!$C621)</f>
        <v>0</v>
      </c>
      <c r="D621">
        <f>IF(Data!$D621="","",Data!$D621)</f>
        <v>0</v>
      </c>
      <c r="E621">
        <f>IF(Data!$E621="","",Data!$E621)</f>
        <v>0</v>
      </c>
      <c r="F621">
        <f>IF($E621="","",N(F620)+1)</f>
        <v>0</v>
      </c>
      <c r="G621">
        <f>IF(OR($E621="",$E620=""),"",LN($E621/$E620))</f>
        <v>0</v>
      </c>
      <c r="H621">
        <f>IF($E621="","",IF($E620="",$E621,$E621*0.0952380952+H620*0.9047619048))</f>
        <v>0</v>
      </c>
      <c r="I621">
        <f>IF($E621="","",IF($E620="",$E621,$E621*0.0392156863+I620*0.9607843137))</f>
        <v>0</v>
      </c>
      <c r="J621">
        <f>IF($E621="","",IF($E620="",$E621,$E621*0.0198019802+J620*0.9801980198))</f>
        <v>0</v>
      </c>
      <c r="K621">
        <f>IF($E621="","",IF($E620="",$E621,$E621*0.0099502488+K620*0.9900497512))</f>
        <v>0</v>
      </c>
      <c r="L621">
        <f>IF(OR($E621="",$E620=""),"",MAX($E621-$E620,0))</f>
        <v>0</v>
      </c>
      <c r="M621">
        <f>IF(OR($E621="",$E620=""),"",MAX($E620-$E621,0))</f>
        <v>0</v>
      </c>
      <c r="N621">
        <f>IF(COUNT($E$2:$E621)&lt;15,"",IF(AVERAGE($M$608:$M$621)=0,100,100-100/(1+AVERAGE($L$608:$L$621)/AVERAGE($M$608:$M$621))))</f>
        <v>0</v>
      </c>
      <c r="O621">
        <f>IF($E621="","",IF($E620="",$E621,$E621*0.1538461538+O620*0.8461538462))</f>
        <v>0</v>
      </c>
      <c r="P621">
        <f>IF($E621="","",IF($E620="",$E621,$E621*0.0740740741+P620*0.9259259259))</f>
        <v>0</v>
      </c>
      <c r="Q621">
        <f>IF(OR(O621="",P621=""),"",O621-P621)</f>
        <v>0</v>
      </c>
      <c r="R621">
        <f>IF(Q621="","",IF(R620="",Q621,Q621*0.2000000000+R620*0.8000000000))</f>
        <v>0</v>
      </c>
      <c r="S621">
        <f>IF(OR(Q621="",R621=""),"",Q621-R621)</f>
        <v>0</v>
      </c>
      <c r="T621">
        <f>IF(COUNT($E$2:$E621)&lt;14,"",MAX($C$608:$C$621))</f>
        <v>0</v>
      </c>
      <c r="U621">
        <f>IF(COUNT($E$2:$E621)&lt;14,"",MIN($D$608:$D$621))</f>
        <v>0</v>
      </c>
      <c r="V621">
        <f>IF(OR(T621="",U621="",T621=U621),"",100*($E621-U621)/(T621-U621))</f>
        <v>0</v>
      </c>
      <c r="W621">
        <f>IF(COUNT($V$619:$V$621)&lt;3,"",AVERAGE($V$619:$V$621))</f>
        <v>0</v>
      </c>
      <c r="X621">
        <f>IF(COUNT($N$608:$N$621)&lt;14,"",MIN($N$608:$N$621))</f>
        <v>0</v>
      </c>
      <c r="Y621">
        <f>IF(COUNT($N$608:$N$621)&lt;14,"",MAX($N$608:$N$621))</f>
        <v>0</v>
      </c>
      <c r="Z621">
        <f>IF(OR(N621="",X621="",Y621="",Y621=X621),"",100*(N621-X621)/(Y621-X621))</f>
        <v>0</v>
      </c>
      <c r="AA621">
        <f>IF(COUNT($Z$619:$Z$621)&lt;3,"",AVERAGE($Z$619:$Z$621))</f>
        <v>0</v>
      </c>
      <c r="AB621">
        <f>IF(COUNT($AA$619:$AA$621)&lt;3,"",AVERAGE($AA$619:$AA$621))</f>
        <v>0</v>
      </c>
      <c r="AC621">
        <f>IF($E621="","",MAX($C621-$D621,ABS($C621-$E620),ABS($D621-$E620)))</f>
        <v>0</v>
      </c>
      <c r="AD621">
        <f>IF(COUNT($E$2:$E621)&lt;15,"",AVERAGE($AC$608:$AC$621))</f>
        <v>0</v>
      </c>
      <c r="AE621">
        <f>IF(OR($E621="",$E620=""),"",IF(AND(($C621-$C620)&gt;($D620-$D621),($C621-$C620)&gt;0),$C621-$C620,0))</f>
        <v>0</v>
      </c>
      <c r="AF621">
        <f>IF(OR($E621="",$E620=""),"",IF(AND(($D620-$D621)&gt;($C621-$C620),($D620-$D621)&gt;0),$D620-$D621,0))</f>
        <v>0</v>
      </c>
      <c r="AG621">
        <f>IF(COUNT($E$2:$E621)&lt;15,"",IF(SUM($AC$608:$AC$621)=0,0,100*SUM($AE$608:$AE$621)/SUM($AC$608:$AC$621)))</f>
        <v>0</v>
      </c>
      <c r="AH621">
        <f>IF(COUNT($E$2:$E621)&lt;15,"",IF(SUM($AC$608:$AC$621)=0,0,100*SUM($AF$608:$AF$621)/SUM($AC$608:$AC$621)))</f>
        <v>0</v>
      </c>
      <c r="AI621">
        <f>IF(OR(AG621="",AH621=""),"",IF((AG621+AH621)=0,0,100*ABS(AG621-AH621)/(AG621+AH621)))</f>
        <v>0</v>
      </c>
      <c r="AJ621">
        <f>IF(COUNT($AI$608:$AI$621)&lt;14,"",AVERAGE($AI$608:$AI$621))</f>
        <v>0</v>
      </c>
      <c r="AK621">
        <f>IF(COUNT($E$2:$E621)&lt;20,"",AVERAGE($E$602:$E$621))</f>
        <v>0</v>
      </c>
      <c r="AL621">
        <f>IF(COUNT($E$2:$E621)&lt;20,"",STDEVP($E$602:$E$621))</f>
        <v>0</v>
      </c>
      <c r="AM621">
        <f>IF(AK621="","",AK621+2*AL621)</f>
        <v>0</v>
      </c>
      <c r="AN621">
        <f>IF(AK621="","",AK621-2*AL621)</f>
        <v>0</v>
      </c>
      <c r="AO621">
        <f>IF(OR(AM621="",AN621="",AM621=AN621),"",($E621-AN621)/(AM621-AN621))</f>
        <v>0</v>
      </c>
      <c r="AP621">
        <f>IF(OR(AM621="",AK621="",AK621=0),"",(AM621-AN621)/AK621)</f>
        <v>0</v>
      </c>
      <c r="AQ621">
        <f>IF(COUNT($E$2:$E621)&lt;20,"",MAX($C$602:$C$621))</f>
        <v>0</v>
      </c>
      <c r="AR621">
        <f>IF(COUNT($E$2:$E621)&lt;20,"",MIN($D$602:$D$621))</f>
        <v>0</v>
      </c>
      <c r="AS621">
        <f>IF(OR(AQ621="",AR621=""),"",(AQ621+AR621)/2)</f>
        <v>0</v>
      </c>
      <c r="AT621">
        <f>IF(COUNT($G$602:$G$621)&lt;20,"",STDEV($G$602:$G$621)*SQRT(252))</f>
        <v>0</v>
      </c>
      <c r="AU621">
        <f>IF(COUNT($E$2:$E621)&lt;9,"",(MAX($C$613:$C$621)+MIN($D$613:$D$621))/2)</f>
        <v>0</v>
      </c>
      <c r="AV621">
        <f>IF(COUNT($E$2:$E621)&lt;26,"",(MAX($C$596:$C$621)+MIN($D$596:$D$621))/2)</f>
        <v>0</v>
      </c>
      <c r="AW621">
        <f>IF(OR(AU621="",AV621=""),"",(AU621+AV621)/2)</f>
        <v>0</v>
      </c>
      <c r="AX621">
        <f>IF(COUNT($E$2:$E621)&lt;52,"",(MAX($C$570:$C$621)+MIN($D$570:$D$621))/2)</f>
        <v>0</v>
      </c>
      <c r="AY621">
        <f>IF(COUNT($E$2:$E621)&lt;20,"",MAX($C$522:$C$621))</f>
        <v>0</v>
      </c>
      <c r="AZ621">
        <f>IF(COUNT($E$2:$E621)&lt;20,"",MIN($D$522:$D$621))</f>
        <v>0</v>
      </c>
      <c r="BA621">
        <f>IF(COUNT($E$2:$E621)&lt;20,"",SLOPE($E$522:$E$621,$F$522:$F$621))</f>
        <v>0</v>
      </c>
      <c r="BB621">
        <f>IF(COUNT($E$2:$E621)&lt;20,"",INTERCEPT($E$522:$E$621,$F$522:$F$621))</f>
        <v>0</v>
      </c>
      <c r="BC621">
        <f>IF(OR(BA621="",BB621=""),"",BB621+BA621*F621)</f>
        <v>0</v>
      </c>
      <c r="BD621">
        <f>IF(COUNT($E$2:$E621)&lt;20,"",STEYX($E$522:$E$621,$F$522:$F$621))</f>
        <v>0</v>
      </c>
      <c r="BE621">
        <f>IF($E621="","",IF(AND(COUNT($E$622:$E$625)&gt;=4,$C621=MAX($C$617:$C$625)),$C621,""))</f>
        <v>0</v>
      </c>
      <c r="BF621">
        <f>IF($E621="","",IF(AND(COUNT($E$622:$E$625)&gt;=4,$D621=MIN($D$617:$D$625)),$D621,""))</f>
        <v>0</v>
      </c>
      <c r="BG621">
        <f>IF($A621="","",$A621-WEEKDAY($A621,2)+1)</f>
        <v>0</v>
      </c>
      <c r="BH621">
        <f>IF($A621="","",IF($A620="",1,IF(BG621&lt;&gt;BG620,1,0)))</f>
        <v>0</v>
      </c>
      <c r="BI621">
        <f>IF($A621="","",IF($A622="",1,IF(BG622&lt;&gt;BG621,1,0)))</f>
        <v>0</v>
      </c>
      <c r="BJ621">
        <f>IF($A621="","",IF(BH621=1,$B621,BJ620))</f>
        <v>0</v>
      </c>
      <c r="BK621">
        <f>IF($A621="","",IF(BH621=1,$C621,MAX($C621,BK620)))</f>
        <v>0</v>
      </c>
      <c r="BL621">
        <f>IF($A621="","",IF(BH621=1,$D621,MIN($D621,BL620)))</f>
        <v>0</v>
      </c>
      <c r="BM621">
        <f>IF($A621="","",IF(BI621=1,F621,""))</f>
        <v>0</v>
      </c>
      <c r="BN621">
        <f>IF($A621="","",DATE(YEAR($A621),MONTH($A621),1))</f>
        <v>0</v>
      </c>
      <c r="BO621">
        <f>IF($A621="","",IF($A620="",1,IF(BN621&lt;&gt;BN620,1,0)))</f>
        <v>0</v>
      </c>
      <c r="BP621">
        <f>IF($A621="","",IF($A622="",1,IF(BN622&lt;&gt;BN621,1,0)))</f>
        <v>0</v>
      </c>
      <c r="BQ621">
        <f>IF($A621="","",IF(BO621=1,$B621,BQ620))</f>
        <v>0</v>
      </c>
      <c r="BR621">
        <f>IF($A621="","",IF(BO621=1,$C621,MAX($C621,BR620)))</f>
        <v>0</v>
      </c>
      <c r="BS621">
        <f>IF($A621="","",IF(BO621=1,$D621,MIN($D621,BS620)))</f>
        <v>0</v>
      </c>
      <c r="BT621">
        <f>IF($A621="","",IF(BP621=1,F621,""))</f>
        <v>0</v>
      </c>
    </row>
    <row r="622" spans="1:72">
      <c r="A622" s="27">
        <f>IF(Data!$A622="","",Data!$A622)</f>
        <v>0</v>
      </c>
      <c r="B622">
        <f>IF(Data!$B622="","",Data!$B622)</f>
        <v>0</v>
      </c>
      <c r="C622">
        <f>IF(Data!$C622="","",Data!$C622)</f>
        <v>0</v>
      </c>
      <c r="D622">
        <f>IF(Data!$D622="","",Data!$D622)</f>
        <v>0</v>
      </c>
      <c r="E622">
        <f>IF(Data!$E622="","",Data!$E622)</f>
        <v>0</v>
      </c>
      <c r="F622">
        <f>IF($E622="","",N(F621)+1)</f>
        <v>0</v>
      </c>
      <c r="G622">
        <f>IF(OR($E622="",$E621=""),"",LN($E622/$E621))</f>
        <v>0</v>
      </c>
      <c r="H622">
        <f>IF($E622="","",IF($E621="",$E622,$E622*0.0952380952+H621*0.9047619048))</f>
        <v>0</v>
      </c>
      <c r="I622">
        <f>IF($E622="","",IF($E621="",$E622,$E622*0.0392156863+I621*0.9607843137))</f>
        <v>0</v>
      </c>
      <c r="J622">
        <f>IF($E622="","",IF($E621="",$E622,$E622*0.0198019802+J621*0.9801980198))</f>
        <v>0</v>
      </c>
      <c r="K622">
        <f>IF($E622="","",IF($E621="",$E622,$E622*0.0099502488+K621*0.9900497512))</f>
        <v>0</v>
      </c>
      <c r="L622">
        <f>IF(OR($E622="",$E621=""),"",MAX($E622-$E621,0))</f>
        <v>0</v>
      </c>
      <c r="M622">
        <f>IF(OR($E622="",$E621=""),"",MAX($E621-$E622,0))</f>
        <v>0</v>
      </c>
      <c r="N622">
        <f>IF(COUNT($E$2:$E622)&lt;15,"",IF(AVERAGE($M$609:$M$622)=0,100,100-100/(1+AVERAGE($L$609:$L$622)/AVERAGE($M$609:$M$622))))</f>
        <v>0</v>
      </c>
      <c r="O622">
        <f>IF($E622="","",IF($E621="",$E622,$E622*0.1538461538+O621*0.8461538462))</f>
        <v>0</v>
      </c>
      <c r="P622">
        <f>IF($E622="","",IF($E621="",$E622,$E622*0.0740740741+P621*0.9259259259))</f>
        <v>0</v>
      </c>
      <c r="Q622">
        <f>IF(OR(O622="",P622=""),"",O622-P622)</f>
        <v>0</v>
      </c>
      <c r="R622">
        <f>IF(Q622="","",IF(R621="",Q622,Q622*0.2000000000+R621*0.8000000000))</f>
        <v>0</v>
      </c>
      <c r="S622">
        <f>IF(OR(Q622="",R622=""),"",Q622-R622)</f>
        <v>0</v>
      </c>
      <c r="T622">
        <f>IF(COUNT($E$2:$E622)&lt;14,"",MAX($C$609:$C$622))</f>
        <v>0</v>
      </c>
      <c r="U622">
        <f>IF(COUNT($E$2:$E622)&lt;14,"",MIN($D$609:$D$622))</f>
        <v>0</v>
      </c>
      <c r="V622">
        <f>IF(OR(T622="",U622="",T622=U622),"",100*($E622-U622)/(T622-U622))</f>
        <v>0</v>
      </c>
      <c r="W622">
        <f>IF(COUNT($V$620:$V$622)&lt;3,"",AVERAGE($V$620:$V$622))</f>
        <v>0</v>
      </c>
      <c r="X622">
        <f>IF(COUNT($N$609:$N$622)&lt;14,"",MIN($N$609:$N$622))</f>
        <v>0</v>
      </c>
      <c r="Y622">
        <f>IF(COUNT($N$609:$N$622)&lt;14,"",MAX($N$609:$N$622))</f>
        <v>0</v>
      </c>
      <c r="Z622">
        <f>IF(OR(N622="",X622="",Y622="",Y622=X622),"",100*(N622-X622)/(Y622-X622))</f>
        <v>0</v>
      </c>
      <c r="AA622">
        <f>IF(COUNT($Z$620:$Z$622)&lt;3,"",AVERAGE($Z$620:$Z$622))</f>
        <v>0</v>
      </c>
      <c r="AB622">
        <f>IF(COUNT($AA$620:$AA$622)&lt;3,"",AVERAGE($AA$620:$AA$622))</f>
        <v>0</v>
      </c>
      <c r="AC622">
        <f>IF($E622="","",MAX($C622-$D622,ABS($C622-$E621),ABS($D622-$E621)))</f>
        <v>0</v>
      </c>
      <c r="AD622">
        <f>IF(COUNT($E$2:$E622)&lt;15,"",AVERAGE($AC$609:$AC$622))</f>
        <v>0</v>
      </c>
      <c r="AE622">
        <f>IF(OR($E622="",$E621=""),"",IF(AND(($C622-$C621)&gt;($D621-$D622),($C622-$C621)&gt;0),$C622-$C621,0))</f>
        <v>0</v>
      </c>
      <c r="AF622">
        <f>IF(OR($E622="",$E621=""),"",IF(AND(($D621-$D622)&gt;($C622-$C621),($D621-$D622)&gt;0),$D621-$D622,0))</f>
        <v>0</v>
      </c>
      <c r="AG622">
        <f>IF(COUNT($E$2:$E622)&lt;15,"",IF(SUM($AC$609:$AC$622)=0,0,100*SUM($AE$609:$AE$622)/SUM($AC$609:$AC$622)))</f>
        <v>0</v>
      </c>
      <c r="AH622">
        <f>IF(COUNT($E$2:$E622)&lt;15,"",IF(SUM($AC$609:$AC$622)=0,0,100*SUM($AF$609:$AF$622)/SUM($AC$609:$AC$622)))</f>
        <v>0</v>
      </c>
      <c r="AI622">
        <f>IF(OR(AG622="",AH622=""),"",IF((AG622+AH622)=0,0,100*ABS(AG622-AH622)/(AG622+AH622)))</f>
        <v>0</v>
      </c>
      <c r="AJ622">
        <f>IF(COUNT($AI$609:$AI$622)&lt;14,"",AVERAGE($AI$609:$AI$622))</f>
        <v>0</v>
      </c>
      <c r="AK622">
        <f>IF(COUNT($E$2:$E622)&lt;20,"",AVERAGE($E$603:$E$622))</f>
        <v>0</v>
      </c>
      <c r="AL622">
        <f>IF(COUNT($E$2:$E622)&lt;20,"",STDEVP($E$603:$E$622))</f>
        <v>0</v>
      </c>
      <c r="AM622">
        <f>IF(AK622="","",AK622+2*AL622)</f>
        <v>0</v>
      </c>
      <c r="AN622">
        <f>IF(AK622="","",AK622-2*AL622)</f>
        <v>0</v>
      </c>
      <c r="AO622">
        <f>IF(OR(AM622="",AN622="",AM622=AN622),"",($E622-AN622)/(AM622-AN622))</f>
        <v>0</v>
      </c>
      <c r="AP622">
        <f>IF(OR(AM622="",AK622="",AK622=0),"",(AM622-AN622)/AK622)</f>
        <v>0</v>
      </c>
      <c r="AQ622">
        <f>IF(COUNT($E$2:$E622)&lt;20,"",MAX($C$603:$C$622))</f>
        <v>0</v>
      </c>
      <c r="AR622">
        <f>IF(COUNT($E$2:$E622)&lt;20,"",MIN($D$603:$D$622))</f>
        <v>0</v>
      </c>
      <c r="AS622">
        <f>IF(OR(AQ622="",AR622=""),"",(AQ622+AR622)/2)</f>
        <v>0</v>
      </c>
      <c r="AT622">
        <f>IF(COUNT($G$603:$G$622)&lt;20,"",STDEV($G$603:$G$622)*SQRT(252))</f>
        <v>0</v>
      </c>
      <c r="AU622">
        <f>IF(COUNT($E$2:$E622)&lt;9,"",(MAX($C$614:$C$622)+MIN($D$614:$D$622))/2)</f>
        <v>0</v>
      </c>
      <c r="AV622">
        <f>IF(COUNT($E$2:$E622)&lt;26,"",(MAX($C$597:$C$622)+MIN($D$597:$D$622))/2)</f>
        <v>0</v>
      </c>
      <c r="AW622">
        <f>IF(OR(AU622="",AV622=""),"",(AU622+AV622)/2)</f>
        <v>0</v>
      </c>
      <c r="AX622">
        <f>IF(COUNT($E$2:$E622)&lt;52,"",(MAX($C$571:$C$622)+MIN($D$571:$D$622))/2)</f>
        <v>0</v>
      </c>
      <c r="AY622">
        <f>IF(COUNT($E$2:$E622)&lt;20,"",MAX($C$523:$C$622))</f>
        <v>0</v>
      </c>
      <c r="AZ622">
        <f>IF(COUNT($E$2:$E622)&lt;20,"",MIN($D$523:$D$622))</f>
        <v>0</v>
      </c>
      <c r="BA622">
        <f>IF(COUNT($E$2:$E622)&lt;20,"",SLOPE($E$523:$E$622,$F$523:$F$622))</f>
        <v>0</v>
      </c>
      <c r="BB622">
        <f>IF(COUNT($E$2:$E622)&lt;20,"",INTERCEPT($E$523:$E$622,$F$523:$F$622))</f>
        <v>0</v>
      </c>
      <c r="BC622">
        <f>IF(OR(BA622="",BB622=""),"",BB622+BA622*F622)</f>
        <v>0</v>
      </c>
      <c r="BD622">
        <f>IF(COUNT($E$2:$E622)&lt;20,"",STEYX($E$523:$E$622,$F$523:$F$622))</f>
        <v>0</v>
      </c>
      <c r="BE622">
        <f>IF($E622="","",IF(AND(COUNT($E$623:$E$626)&gt;=4,$C622=MAX($C$618:$C$626)),$C622,""))</f>
        <v>0</v>
      </c>
      <c r="BF622">
        <f>IF($E622="","",IF(AND(COUNT($E$623:$E$626)&gt;=4,$D622=MIN($D$618:$D$626)),$D622,""))</f>
        <v>0</v>
      </c>
      <c r="BG622">
        <f>IF($A622="","",$A622-WEEKDAY($A622,2)+1)</f>
        <v>0</v>
      </c>
      <c r="BH622">
        <f>IF($A622="","",IF($A621="",1,IF(BG622&lt;&gt;BG621,1,0)))</f>
        <v>0</v>
      </c>
      <c r="BI622">
        <f>IF($A622="","",IF($A623="",1,IF(BG623&lt;&gt;BG622,1,0)))</f>
        <v>0</v>
      </c>
      <c r="BJ622">
        <f>IF($A622="","",IF(BH622=1,$B622,BJ621))</f>
        <v>0</v>
      </c>
      <c r="BK622">
        <f>IF($A622="","",IF(BH622=1,$C622,MAX($C622,BK621)))</f>
        <v>0</v>
      </c>
      <c r="BL622">
        <f>IF($A622="","",IF(BH622=1,$D622,MIN($D622,BL621)))</f>
        <v>0</v>
      </c>
      <c r="BM622">
        <f>IF($A622="","",IF(BI622=1,F622,""))</f>
        <v>0</v>
      </c>
      <c r="BN622">
        <f>IF($A622="","",DATE(YEAR($A622),MONTH($A622),1))</f>
        <v>0</v>
      </c>
      <c r="BO622">
        <f>IF($A622="","",IF($A621="",1,IF(BN622&lt;&gt;BN621,1,0)))</f>
        <v>0</v>
      </c>
      <c r="BP622">
        <f>IF($A622="","",IF($A623="",1,IF(BN623&lt;&gt;BN622,1,0)))</f>
        <v>0</v>
      </c>
      <c r="BQ622">
        <f>IF($A622="","",IF(BO622=1,$B622,BQ621))</f>
        <v>0</v>
      </c>
      <c r="BR622">
        <f>IF($A622="","",IF(BO622=1,$C622,MAX($C622,BR621)))</f>
        <v>0</v>
      </c>
      <c r="BS622">
        <f>IF($A622="","",IF(BO622=1,$D622,MIN($D622,BS621)))</f>
        <v>0</v>
      </c>
      <c r="BT622">
        <f>IF($A622="","",IF(BP622=1,F622,""))</f>
        <v>0</v>
      </c>
    </row>
    <row r="623" spans="1:72">
      <c r="A623" s="27">
        <f>IF(Data!$A623="","",Data!$A623)</f>
        <v>0</v>
      </c>
      <c r="B623">
        <f>IF(Data!$B623="","",Data!$B623)</f>
        <v>0</v>
      </c>
      <c r="C623">
        <f>IF(Data!$C623="","",Data!$C623)</f>
        <v>0</v>
      </c>
      <c r="D623">
        <f>IF(Data!$D623="","",Data!$D623)</f>
        <v>0</v>
      </c>
      <c r="E623">
        <f>IF(Data!$E623="","",Data!$E623)</f>
        <v>0</v>
      </c>
      <c r="F623">
        <f>IF($E623="","",N(F622)+1)</f>
        <v>0</v>
      </c>
      <c r="G623">
        <f>IF(OR($E623="",$E622=""),"",LN($E623/$E622))</f>
        <v>0</v>
      </c>
      <c r="H623">
        <f>IF($E623="","",IF($E622="",$E623,$E623*0.0952380952+H622*0.9047619048))</f>
        <v>0</v>
      </c>
      <c r="I623">
        <f>IF($E623="","",IF($E622="",$E623,$E623*0.0392156863+I622*0.9607843137))</f>
        <v>0</v>
      </c>
      <c r="J623">
        <f>IF($E623="","",IF($E622="",$E623,$E623*0.0198019802+J622*0.9801980198))</f>
        <v>0</v>
      </c>
      <c r="K623">
        <f>IF($E623="","",IF($E622="",$E623,$E623*0.0099502488+K622*0.9900497512))</f>
        <v>0</v>
      </c>
      <c r="L623">
        <f>IF(OR($E623="",$E622=""),"",MAX($E623-$E622,0))</f>
        <v>0</v>
      </c>
      <c r="M623">
        <f>IF(OR($E623="",$E622=""),"",MAX($E622-$E623,0))</f>
        <v>0</v>
      </c>
      <c r="N623">
        <f>IF(COUNT($E$2:$E623)&lt;15,"",IF(AVERAGE($M$610:$M$623)=0,100,100-100/(1+AVERAGE($L$610:$L$623)/AVERAGE($M$610:$M$623))))</f>
        <v>0</v>
      </c>
      <c r="O623">
        <f>IF($E623="","",IF($E622="",$E623,$E623*0.1538461538+O622*0.8461538462))</f>
        <v>0</v>
      </c>
      <c r="P623">
        <f>IF($E623="","",IF($E622="",$E623,$E623*0.0740740741+P622*0.9259259259))</f>
        <v>0</v>
      </c>
      <c r="Q623">
        <f>IF(OR(O623="",P623=""),"",O623-P623)</f>
        <v>0</v>
      </c>
      <c r="R623">
        <f>IF(Q623="","",IF(R622="",Q623,Q623*0.2000000000+R622*0.8000000000))</f>
        <v>0</v>
      </c>
      <c r="S623">
        <f>IF(OR(Q623="",R623=""),"",Q623-R623)</f>
        <v>0</v>
      </c>
      <c r="T623">
        <f>IF(COUNT($E$2:$E623)&lt;14,"",MAX($C$610:$C$623))</f>
        <v>0</v>
      </c>
      <c r="U623">
        <f>IF(COUNT($E$2:$E623)&lt;14,"",MIN($D$610:$D$623))</f>
        <v>0</v>
      </c>
      <c r="V623">
        <f>IF(OR(T623="",U623="",T623=U623),"",100*($E623-U623)/(T623-U623))</f>
        <v>0</v>
      </c>
      <c r="W623">
        <f>IF(COUNT($V$621:$V$623)&lt;3,"",AVERAGE($V$621:$V$623))</f>
        <v>0</v>
      </c>
      <c r="X623">
        <f>IF(COUNT($N$610:$N$623)&lt;14,"",MIN($N$610:$N$623))</f>
        <v>0</v>
      </c>
      <c r="Y623">
        <f>IF(COUNT($N$610:$N$623)&lt;14,"",MAX($N$610:$N$623))</f>
        <v>0</v>
      </c>
      <c r="Z623">
        <f>IF(OR(N623="",X623="",Y623="",Y623=X623),"",100*(N623-X623)/(Y623-X623))</f>
        <v>0</v>
      </c>
      <c r="AA623">
        <f>IF(COUNT($Z$621:$Z$623)&lt;3,"",AVERAGE($Z$621:$Z$623))</f>
        <v>0</v>
      </c>
      <c r="AB623">
        <f>IF(COUNT($AA$621:$AA$623)&lt;3,"",AVERAGE($AA$621:$AA$623))</f>
        <v>0</v>
      </c>
      <c r="AC623">
        <f>IF($E623="","",MAX($C623-$D623,ABS($C623-$E622),ABS($D623-$E622)))</f>
        <v>0</v>
      </c>
      <c r="AD623">
        <f>IF(COUNT($E$2:$E623)&lt;15,"",AVERAGE($AC$610:$AC$623))</f>
        <v>0</v>
      </c>
      <c r="AE623">
        <f>IF(OR($E623="",$E622=""),"",IF(AND(($C623-$C622)&gt;($D622-$D623),($C623-$C622)&gt;0),$C623-$C622,0))</f>
        <v>0</v>
      </c>
      <c r="AF623">
        <f>IF(OR($E623="",$E622=""),"",IF(AND(($D622-$D623)&gt;($C623-$C622),($D622-$D623)&gt;0),$D622-$D623,0))</f>
        <v>0</v>
      </c>
      <c r="AG623">
        <f>IF(COUNT($E$2:$E623)&lt;15,"",IF(SUM($AC$610:$AC$623)=0,0,100*SUM($AE$610:$AE$623)/SUM($AC$610:$AC$623)))</f>
        <v>0</v>
      </c>
      <c r="AH623">
        <f>IF(COUNT($E$2:$E623)&lt;15,"",IF(SUM($AC$610:$AC$623)=0,0,100*SUM($AF$610:$AF$623)/SUM($AC$610:$AC$623)))</f>
        <v>0</v>
      </c>
      <c r="AI623">
        <f>IF(OR(AG623="",AH623=""),"",IF((AG623+AH623)=0,0,100*ABS(AG623-AH623)/(AG623+AH623)))</f>
        <v>0</v>
      </c>
      <c r="AJ623">
        <f>IF(COUNT($AI$610:$AI$623)&lt;14,"",AVERAGE($AI$610:$AI$623))</f>
        <v>0</v>
      </c>
      <c r="AK623">
        <f>IF(COUNT($E$2:$E623)&lt;20,"",AVERAGE($E$604:$E$623))</f>
        <v>0</v>
      </c>
      <c r="AL623">
        <f>IF(COUNT($E$2:$E623)&lt;20,"",STDEVP($E$604:$E$623))</f>
        <v>0</v>
      </c>
      <c r="AM623">
        <f>IF(AK623="","",AK623+2*AL623)</f>
        <v>0</v>
      </c>
      <c r="AN623">
        <f>IF(AK623="","",AK623-2*AL623)</f>
        <v>0</v>
      </c>
      <c r="AO623">
        <f>IF(OR(AM623="",AN623="",AM623=AN623),"",($E623-AN623)/(AM623-AN623))</f>
        <v>0</v>
      </c>
      <c r="AP623">
        <f>IF(OR(AM623="",AK623="",AK623=0),"",(AM623-AN623)/AK623)</f>
        <v>0</v>
      </c>
      <c r="AQ623">
        <f>IF(COUNT($E$2:$E623)&lt;20,"",MAX($C$604:$C$623))</f>
        <v>0</v>
      </c>
      <c r="AR623">
        <f>IF(COUNT($E$2:$E623)&lt;20,"",MIN($D$604:$D$623))</f>
        <v>0</v>
      </c>
      <c r="AS623">
        <f>IF(OR(AQ623="",AR623=""),"",(AQ623+AR623)/2)</f>
        <v>0</v>
      </c>
      <c r="AT623">
        <f>IF(COUNT($G$604:$G$623)&lt;20,"",STDEV($G$604:$G$623)*SQRT(252))</f>
        <v>0</v>
      </c>
      <c r="AU623">
        <f>IF(COUNT($E$2:$E623)&lt;9,"",(MAX($C$615:$C$623)+MIN($D$615:$D$623))/2)</f>
        <v>0</v>
      </c>
      <c r="AV623">
        <f>IF(COUNT($E$2:$E623)&lt;26,"",(MAX($C$598:$C$623)+MIN($D$598:$D$623))/2)</f>
        <v>0</v>
      </c>
      <c r="AW623">
        <f>IF(OR(AU623="",AV623=""),"",(AU623+AV623)/2)</f>
        <v>0</v>
      </c>
      <c r="AX623">
        <f>IF(COUNT($E$2:$E623)&lt;52,"",(MAX($C$572:$C$623)+MIN($D$572:$D$623))/2)</f>
        <v>0</v>
      </c>
      <c r="AY623">
        <f>IF(COUNT($E$2:$E623)&lt;20,"",MAX($C$524:$C$623))</f>
        <v>0</v>
      </c>
      <c r="AZ623">
        <f>IF(COUNT($E$2:$E623)&lt;20,"",MIN($D$524:$D$623))</f>
        <v>0</v>
      </c>
      <c r="BA623">
        <f>IF(COUNT($E$2:$E623)&lt;20,"",SLOPE($E$524:$E$623,$F$524:$F$623))</f>
        <v>0</v>
      </c>
      <c r="BB623">
        <f>IF(COUNT($E$2:$E623)&lt;20,"",INTERCEPT($E$524:$E$623,$F$524:$F$623))</f>
        <v>0</v>
      </c>
      <c r="BC623">
        <f>IF(OR(BA623="",BB623=""),"",BB623+BA623*F623)</f>
        <v>0</v>
      </c>
      <c r="BD623">
        <f>IF(COUNT($E$2:$E623)&lt;20,"",STEYX($E$524:$E$623,$F$524:$F$623))</f>
        <v>0</v>
      </c>
      <c r="BE623">
        <f>IF($E623="","",IF(AND(COUNT($E$624:$E$627)&gt;=4,$C623=MAX($C$619:$C$627)),$C623,""))</f>
        <v>0</v>
      </c>
      <c r="BF623">
        <f>IF($E623="","",IF(AND(COUNT($E$624:$E$627)&gt;=4,$D623=MIN($D$619:$D$627)),$D623,""))</f>
        <v>0</v>
      </c>
      <c r="BG623">
        <f>IF($A623="","",$A623-WEEKDAY($A623,2)+1)</f>
        <v>0</v>
      </c>
      <c r="BH623">
        <f>IF($A623="","",IF($A622="",1,IF(BG623&lt;&gt;BG622,1,0)))</f>
        <v>0</v>
      </c>
      <c r="BI623">
        <f>IF($A623="","",IF($A624="",1,IF(BG624&lt;&gt;BG623,1,0)))</f>
        <v>0</v>
      </c>
      <c r="BJ623">
        <f>IF($A623="","",IF(BH623=1,$B623,BJ622))</f>
        <v>0</v>
      </c>
      <c r="BK623">
        <f>IF($A623="","",IF(BH623=1,$C623,MAX($C623,BK622)))</f>
        <v>0</v>
      </c>
      <c r="BL623">
        <f>IF($A623="","",IF(BH623=1,$D623,MIN($D623,BL622)))</f>
        <v>0</v>
      </c>
      <c r="BM623">
        <f>IF($A623="","",IF(BI623=1,F623,""))</f>
        <v>0</v>
      </c>
      <c r="BN623">
        <f>IF($A623="","",DATE(YEAR($A623),MONTH($A623),1))</f>
        <v>0</v>
      </c>
      <c r="BO623">
        <f>IF($A623="","",IF($A622="",1,IF(BN623&lt;&gt;BN622,1,0)))</f>
        <v>0</v>
      </c>
      <c r="BP623">
        <f>IF($A623="","",IF($A624="",1,IF(BN624&lt;&gt;BN623,1,0)))</f>
        <v>0</v>
      </c>
      <c r="BQ623">
        <f>IF($A623="","",IF(BO623=1,$B623,BQ622))</f>
        <v>0</v>
      </c>
      <c r="BR623">
        <f>IF($A623="","",IF(BO623=1,$C623,MAX($C623,BR622)))</f>
        <v>0</v>
      </c>
      <c r="BS623">
        <f>IF($A623="","",IF(BO623=1,$D623,MIN($D623,BS622)))</f>
        <v>0</v>
      </c>
      <c r="BT623">
        <f>IF($A623="","",IF(BP623=1,F623,""))</f>
        <v>0</v>
      </c>
    </row>
    <row r="624" spans="1:72">
      <c r="A624" s="27">
        <f>IF(Data!$A624="","",Data!$A624)</f>
        <v>0</v>
      </c>
      <c r="B624">
        <f>IF(Data!$B624="","",Data!$B624)</f>
        <v>0</v>
      </c>
      <c r="C624">
        <f>IF(Data!$C624="","",Data!$C624)</f>
        <v>0</v>
      </c>
      <c r="D624">
        <f>IF(Data!$D624="","",Data!$D624)</f>
        <v>0</v>
      </c>
      <c r="E624">
        <f>IF(Data!$E624="","",Data!$E624)</f>
        <v>0</v>
      </c>
      <c r="F624">
        <f>IF($E624="","",N(F623)+1)</f>
        <v>0</v>
      </c>
      <c r="G624">
        <f>IF(OR($E624="",$E623=""),"",LN($E624/$E623))</f>
        <v>0</v>
      </c>
      <c r="H624">
        <f>IF($E624="","",IF($E623="",$E624,$E624*0.0952380952+H623*0.9047619048))</f>
        <v>0</v>
      </c>
      <c r="I624">
        <f>IF($E624="","",IF($E623="",$E624,$E624*0.0392156863+I623*0.9607843137))</f>
        <v>0</v>
      </c>
      <c r="J624">
        <f>IF($E624="","",IF($E623="",$E624,$E624*0.0198019802+J623*0.9801980198))</f>
        <v>0</v>
      </c>
      <c r="K624">
        <f>IF($E624="","",IF($E623="",$E624,$E624*0.0099502488+K623*0.9900497512))</f>
        <v>0</v>
      </c>
      <c r="L624">
        <f>IF(OR($E624="",$E623=""),"",MAX($E624-$E623,0))</f>
        <v>0</v>
      </c>
      <c r="M624">
        <f>IF(OR($E624="",$E623=""),"",MAX($E623-$E624,0))</f>
        <v>0</v>
      </c>
      <c r="N624">
        <f>IF(COUNT($E$2:$E624)&lt;15,"",IF(AVERAGE($M$611:$M$624)=0,100,100-100/(1+AVERAGE($L$611:$L$624)/AVERAGE($M$611:$M$624))))</f>
        <v>0</v>
      </c>
      <c r="O624">
        <f>IF($E624="","",IF($E623="",$E624,$E624*0.1538461538+O623*0.8461538462))</f>
        <v>0</v>
      </c>
      <c r="P624">
        <f>IF($E624="","",IF($E623="",$E624,$E624*0.0740740741+P623*0.9259259259))</f>
        <v>0</v>
      </c>
      <c r="Q624">
        <f>IF(OR(O624="",P624=""),"",O624-P624)</f>
        <v>0</v>
      </c>
      <c r="R624">
        <f>IF(Q624="","",IF(R623="",Q624,Q624*0.2000000000+R623*0.8000000000))</f>
        <v>0</v>
      </c>
      <c r="S624">
        <f>IF(OR(Q624="",R624=""),"",Q624-R624)</f>
        <v>0</v>
      </c>
      <c r="T624">
        <f>IF(COUNT($E$2:$E624)&lt;14,"",MAX($C$611:$C$624))</f>
        <v>0</v>
      </c>
      <c r="U624">
        <f>IF(COUNT($E$2:$E624)&lt;14,"",MIN($D$611:$D$624))</f>
        <v>0</v>
      </c>
      <c r="V624">
        <f>IF(OR(T624="",U624="",T624=U624),"",100*($E624-U624)/(T624-U624))</f>
        <v>0</v>
      </c>
      <c r="W624">
        <f>IF(COUNT($V$622:$V$624)&lt;3,"",AVERAGE($V$622:$V$624))</f>
        <v>0</v>
      </c>
      <c r="X624">
        <f>IF(COUNT($N$611:$N$624)&lt;14,"",MIN($N$611:$N$624))</f>
        <v>0</v>
      </c>
      <c r="Y624">
        <f>IF(COUNT($N$611:$N$624)&lt;14,"",MAX($N$611:$N$624))</f>
        <v>0</v>
      </c>
      <c r="Z624">
        <f>IF(OR(N624="",X624="",Y624="",Y624=X624),"",100*(N624-X624)/(Y624-X624))</f>
        <v>0</v>
      </c>
      <c r="AA624">
        <f>IF(COUNT($Z$622:$Z$624)&lt;3,"",AVERAGE($Z$622:$Z$624))</f>
        <v>0</v>
      </c>
      <c r="AB624">
        <f>IF(COUNT($AA$622:$AA$624)&lt;3,"",AVERAGE($AA$622:$AA$624))</f>
        <v>0</v>
      </c>
      <c r="AC624">
        <f>IF($E624="","",MAX($C624-$D624,ABS($C624-$E623),ABS($D624-$E623)))</f>
        <v>0</v>
      </c>
      <c r="AD624">
        <f>IF(COUNT($E$2:$E624)&lt;15,"",AVERAGE($AC$611:$AC$624))</f>
        <v>0</v>
      </c>
      <c r="AE624">
        <f>IF(OR($E624="",$E623=""),"",IF(AND(($C624-$C623)&gt;($D623-$D624),($C624-$C623)&gt;0),$C624-$C623,0))</f>
        <v>0</v>
      </c>
      <c r="AF624">
        <f>IF(OR($E624="",$E623=""),"",IF(AND(($D623-$D624)&gt;($C624-$C623),($D623-$D624)&gt;0),$D623-$D624,0))</f>
        <v>0</v>
      </c>
      <c r="AG624">
        <f>IF(COUNT($E$2:$E624)&lt;15,"",IF(SUM($AC$611:$AC$624)=0,0,100*SUM($AE$611:$AE$624)/SUM($AC$611:$AC$624)))</f>
        <v>0</v>
      </c>
      <c r="AH624">
        <f>IF(COUNT($E$2:$E624)&lt;15,"",IF(SUM($AC$611:$AC$624)=0,0,100*SUM($AF$611:$AF$624)/SUM($AC$611:$AC$624)))</f>
        <v>0</v>
      </c>
      <c r="AI624">
        <f>IF(OR(AG624="",AH624=""),"",IF((AG624+AH624)=0,0,100*ABS(AG624-AH624)/(AG624+AH624)))</f>
        <v>0</v>
      </c>
      <c r="AJ624">
        <f>IF(COUNT($AI$611:$AI$624)&lt;14,"",AVERAGE($AI$611:$AI$624))</f>
        <v>0</v>
      </c>
      <c r="AK624">
        <f>IF(COUNT($E$2:$E624)&lt;20,"",AVERAGE($E$605:$E$624))</f>
        <v>0</v>
      </c>
      <c r="AL624">
        <f>IF(COUNT($E$2:$E624)&lt;20,"",STDEVP($E$605:$E$624))</f>
        <v>0</v>
      </c>
      <c r="AM624">
        <f>IF(AK624="","",AK624+2*AL624)</f>
        <v>0</v>
      </c>
      <c r="AN624">
        <f>IF(AK624="","",AK624-2*AL624)</f>
        <v>0</v>
      </c>
      <c r="AO624">
        <f>IF(OR(AM624="",AN624="",AM624=AN624),"",($E624-AN624)/(AM624-AN624))</f>
        <v>0</v>
      </c>
      <c r="AP624">
        <f>IF(OR(AM624="",AK624="",AK624=0),"",(AM624-AN624)/AK624)</f>
        <v>0</v>
      </c>
      <c r="AQ624">
        <f>IF(COUNT($E$2:$E624)&lt;20,"",MAX($C$605:$C$624))</f>
        <v>0</v>
      </c>
      <c r="AR624">
        <f>IF(COUNT($E$2:$E624)&lt;20,"",MIN($D$605:$D$624))</f>
        <v>0</v>
      </c>
      <c r="AS624">
        <f>IF(OR(AQ624="",AR624=""),"",(AQ624+AR624)/2)</f>
        <v>0</v>
      </c>
      <c r="AT624">
        <f>IF(COUNT($G$605:$G$624)&lt;20,"",STDEV($G$605:$G$624)*SQRT(252))</f>
        <v>0</v>
      </c>
      <c r="AU624">
        <f>IF(COUNT($E$2:$E624)&lt;9,"",(MAX($C$616:$C$624)+MIN($D$616:$D$624))/2)</f>
        <v>0</v>
      </c>
      <c r="AV624">
        <f>IF(COUNT($E$2:$E624)&lt;26,"",(MAX($C$599:$C$624)+MIN($D$599:$D$624))/2)</f>
        <v>0</v>
      </c>
      <c r="AW624">
        <f>IF(OR(AU624="",AV624=""),"",(AU624+AV624)/2)</f>
        <v>0</v>
      </c>
      <c r="AX624">
        <f>IF(COUNT($E$2:$E624)&lt;52,"",(MAX($C$573:$C$624)+MIN($D$573:$D$624))/2)</f>
        <v>0</v>
      </c>
      <c r="AY624">
        <f>IF(COUNT($E$2:$E624)&lt;20,"",MAX($C$525:$C$624))</f>
        <v>0</v>
      </c>
      <c r="AZ624">
        <f>IF(COUNT($E$2:$E624)&lt;20,"",MIN($D$525:$D$624))</f>
        <v>0</v>
      </c>
      <c r="BA624">
        <f>IF(COUNT($E$2:$E624)&lt;20,"",SLOPE($E$525:$E$624,$F$525:$F$624))</f>
        <v>0</v>
      </c>
      <c r="BB624">
        <f>IF(COUNT($E$2:$E624)&lt;20,"",INTERCEPT($E$525:$E$624,$F$525:$F$624))</f>
        <v>0</v>
      </c>
      <c r="BC624">
        <f>IF(OR(BA624="",BB624=""),"",BB624+BA624*F624)</f>
        <v>0</v>
      </c>
      <c r="BD624">
        <f>IF(COUNT($E$2:$E624)&lt;20,"",STEYX($E$525:$E$624,$F$525:$F$624))</f>
        <v>0</v>
      </c>
      <c r="BE624">
        <f>IF($E624="","",IF(AND(COUNT($E$625:$E$628)&gt;=4,$C624=MAX($C$620:$C$628)),$C624,""))</f>
        <v>0</v>
      </c>
      <c r="BF624">
        <f>IF($E624="","",IF(AND(COUNT($E$625:$E$628)&gt;=4,$D624=MIN($D$620:$D$628)),$D624,""))</f>
        <v>0</v>
      </c>
      <c r="BG624">
        <f>IF($A624="","",$A624-WEEKDAY($A624,2)+1)</f>
        <v>0</v>
      </c>
      <c r="BH624">
        <f>IF($A624="","",IF($A623="",1,IF(BG624&lt;&gt;BG623,1,0)))</f>
        <v>0</v>
      </c>
      <c r="BI624">
        <f>IF($A624="","",IF($A625="",1,IF(BG625&lt;&gt;BG624,1,0)))</f>
        <v>0</v>
      </c>
      <c r="BJ624">
        <f>IF($A624="","",IF(BH624=1,$B624,BJ623))</f>
        <v>0</v>
      </c>
      <c r="BK624">
        <f>IF($A624="","",IF(BH624=1,$C624,MAX($C624,BK623)))</f>
        <v>0</v>
      </c>
      <c r="BL624">
        <f>IF($A624="","",IF(BH624=1,$D624,MIN($D624,BL623)))</f>
        <v>0</v>
      </c>
      <c r="BM624">
        <f>IF($A624="","",IF(BI624=1,F624,""))</f>
        <v>0</v>
      </c>
      <c r="BN624">
        <f>IF($A624="","",DATE(YEAR($A624),MONTH($A624),1))</f>
        <v>0</v>
      </c>
      <c r="BO624">
        <f>IF($A624="","",IF($A623="",1,IF(BN624&lt;&gt;BN623,1,0)))</f>
        <v>0</v>
      </c>
      <c r="BP624">
        <f>IF($A624="","",IF($A625="",1,IF(BN625&lt;&gt;BN624,1,0)))</f>
        <v>0</v>
      </c>
      <c r="BQ624">
        <f>IF($A624="","",IF(BO624=1,$B624,BQ623))</f>
        <v>0</v>
      </c>
      <c r="BR624">
        <f>IF($A624="","",IF(BO624=1,$C624,MAX($C624,BR623)))</f>
        <v>0</v>
      </c>
      <c r="BS624">
        <f>IF($A624="","",IF(BO624=1,$D624,MIN($D624,BS623)))</f>
        <v>0</v>
      </c>
      <c r="BT624">
        <f>IF($A624="","",IF(BP624=1,F624,""))</f>
        <v>0</v>
      </c>
    </row>
    <row r="625" spans="1:72">
      <c r="A625" s="27">
        <f>IF(Data!$A625="","",Data!$A625)</f>
        <v>0</v>
      </c>
      <c r="B625">
        <f>IF(Data!$B625="","",Data!$B625)</f>
        <v>0</v>
      </c>
      <c r="C625">
        <f>IF(Data!$C625="","",Data!$C625)</f>
        <v>0</v>
      </c>
      <c r="D625">
        <f>IF(Data!$D625="","",Data!$D625)</f>
        <v>0</v>
      </c>
      <c r="E625">
        <f>IF(Data!$E625="","",Data!$E625)</f>
        <v>0</v>
      </c>
      <c r="F625">
        <f>IF($E625="","",N(F624)+1)</f>
        <v>0</v>
      </c>
      <c r="G625">
        <f>IF(OR($E625="",$E624=""),"",LN($E625/$E624))</f>
        <v>0</v>
      </c>
      <c r="H625">
        <f>IF($E625="","",IF($E624="",$E625,$E625*0.0952380952+H624*0.9047619048))</f>
        <v>0</v>
      </c>
      <c r="I625">
        <f>IF($E625="","",IF($E624="",$E625,$E625*0.0392156863+I624*0.9607843137))</f>
        <v>0</v>
      </c>
      <c r="J625">
        <f>IF($E625="","",IF($E624="",$E625,$E625*0.0198019802+J624*0.9801980198))</f>
        <v>0</v>
      </c>
      <c r="K625">
        <f>IF($E625="","",IF($E624="",$E625,$E625*0.0099502488+K624*0.9900497512))</f>
        <v>0</v>
      </c>
      <c r="L625">
        <f>IF(OR($E625="",$E624=""),"",MAX($E625-$E624,0))</f>
        <v>0</v>
      </c>
      <c r="M625">
        <f>IF(OR($E625="",$E624=""),"",MAX($E624-$E625,0))</f>
        <v>0</v>
      </c>
      <c r="N625">
        <f>IF(COUNT($E$2:$E625)&lt;15,"",IF(AVERAGE($M$612:$M$625)=0,100,100-100/(1+AVERAGE($L$612:$L$625)/AVERAGE($M$612:$M$625))))</f>
        <v>0</v>
      </c>
      <c r="O625">
        <f>IF($E625="","",IF($E624="",$E625,$E625*0.1538461538+O624*0.8461538462))</f>
        <v>0</v>
      </c>
      <c r="P625">
        <f>IF($E625="","",IF($E624="",$E625,$E625*0.0740740741+P624*0.9259259259))</f>
        <v>0</v>
      </c>
      <c r="Q625">
        <f>IF(OR(O625="",P625=""),"",O625-P625)</f>
        <v>0</v>
      </c>
      <c r="R625">
        <f>IF(Q625="","",IF(R624="",Q625,Q625*0.2000000000+R624*0.8000000000))</f>
        <v>0</v>
      </c>
      <c r="S625">
        <f>IF(OR(Q625="",R625=""),"",Q625-R625)</f>
        <v>0</v>
      </c>
      <c r="T625">
        <f>IF(COUNT($E$2:$E625)&lt;14,"",MAX($C$612:$C$625))</f>
        <v>0</v>
      </c>
      <c r="U625">
        <f>IF(COUNT($E$2:$E625)&lt;14,"",MIN($D$612:$D$625))</f>
        <v>0</v>
      </c>
      <c r="V625">
        <f>IF(OR(T625="",U625="",T625=U625),"",100*($E625-U625)/(T625-U625))</f>
        <v>0</v>
      </c>
      <c r="W625">
        <f>IF(COUNT($V$623:$V$625)&lt;3,"",AVERAGE($V$623:$V$625))</f>
        <v>0</v>
      </c>
      <c r="X625">
        <f>IF(COUNT($N$612:$N$625)&lt;14,"",MIN($N$612:$N$625))</f>
        <v>0</v>
      </c>
      <c r="Y625">
        <f>IF(COUNT($N$612:$N$625)&lt;14,"",MAX($N$612:$N$625))</f>
        <v>0</v>
      </c>
      <c r="Z625">
        <f>IF(OR(N625="",X625="",Y625="",Y625=X625),"",100*(N625-X625)/(Y625-X625))</f>
        <v>0</v>
      </c>
      <c r="AA625">
        <f>IF(COUNT($Z$623:$Z$625)&lt;3,"",AVERAGE($Z$623:$Z$625))</f>
        <v>0</v>
      </c>
      <c r="AB625">
        <f>IF(COUNT($AA$623:$AA$625)&lt;3,"",AVERAGE($AA$623:$AA$625))</f>
        <v>0</v>
      </c>
      <c r="AC625">
        <f>IF($E625="","",MAX($C625-$D625,ABS($C625-$E624),ABS($D625-$E624)))</f>
        <v>0</v>
      </c>
      <c r="AD625">
        <f>IF(COUNT($E$2:$E625)&lt;15,"",AVERAGE($AC$612:$AC$625))</f>
        <v>0</v>
      </c>
      <c r="AE625">
        <f>IF(OR($E625="",$E624=""),"",IF(AND(($C625-$C624)&gt;($D624-$D625),($C625-$C624)&gt;0),$C625-$C624,0))</f>
        <v>0</v>
      </c>
      <c r="AF625">
        <f>IF(OR($E625="",$E624=""),"",IF(AND(($D624-$D625)&gt;($C625-$C624),($D624-$D625)&gt;0),$D624-$D625,0))</f>
        <v>0</v>
      </c>
      <c r="AG625">
        <f>IF(COUNT($E$2:$E625)&lt;15,"",IF(SUM($AC$612:$AC$625)=0,0,100*SUM($AE$612:$AE$625)/SUM($AC$612:$AC$625)))</f>
        <v>0</v>
      </c>
      <c r="AH625">
        <f>IF(COUNT($E$2:$E625)&lt;15,"",IF(SUM($AC$612:$AC$625)=0,0,100*SUM($AF$612:$AF$625)/SUM($AC$612:$AC$625)))</f>
        <v>0</v>
      </c>
      <c r="AI625">
        <f>IF(OR(AG625="",AH625=""),"",IF((AG625+AH625)=0,0,100*ABS(AG625-AH625)/(AG625+AH625)))</f>
        <v>0</v>
      </c>
      <c r="AJ625">
        <f>IF(COUNT($AI$612:$AI$625)&lt;14,"",AVERAGE($AI$612:$AI$625))</f>
        <v>0</v>
      </c>
      <c r="AK625">
        <f>IF(COUNT($E$2:$E625)&lt;20,"",AVERAGE($E$606:$E$625))</f>
        <v>0</v>
      </c>
      <c r="AL625">
        <f>IF(COUNT($E$2:$E625)&lt;20,"",STDEVP($E$606:$E$625))</f>
        <v>0</v>
      </c>
      <c r="AM625">
        <f>IF(AK625="","",AK625+2*AL625)</f>
        <v>0</v>
      </c>
      <c r="AN625">
        <f>IF(AK625="","",AK625-2*AL625)</f>
        <v>0</v>
      </c>
      <c r="AO625">
        <f>IF(OR(AM625="",AN625="",AM625=AN625),"",($E625-AN625)/(AM625-AN625))</f>
        <v>0</v>
      </c>
      <c r="AP625">
        <f>IF(OR(AM625="",AK625="",AK625=0),"",(AM625-AN625)/AK625)</f>
        <v>0</v>
      </c>
      <c r="AQ625">
        <f>IF(COUNT($E$2:$E625)&lt;20,"",MAX($C$606:$C$625))</f>
        <v>0</v>
      </c>
      <c r="AR625">
        <f>IF(COUNT($E$2:$E625)&lt;20,"",MIN($D$606:$D$625))</f>
        <v>0</v>
      </c>
      <c r="AS625">
        <f>IF(OR(AQ625="",AR625=""),"",(AQ625+AR625)/2)</f>
        <v>0</v>
      </c>
      <c r="AT625">
        <f>IF(COUNT($G$606:$G$625)&lt;20,"",STDEV($G$606:$G$625)*SQRT(252))</f>
        <v>0</v>
      </c>
      <c r="AU625">
        <f>IF(COUNT($E$2:$E625)&lt;9,"",(MAX($C$617:$C$625)+MIN($D$617:$D$625))/2)</f>
        <v>0</v>
      </c>
      <c r="AV625">
        <f>IF(COUNT($E$2:$E625)&lt;26,"",(MAX($C$600:$C$625)+MIN($D$600:$D$625))/2)</f>
        <v>0</v>
      </c>
      <c r="AW625">
        <f>IF(OR(AU625="",AV625=""),"",(AU625+AV625)/2)</f>
        <v>0</v>
      </c>
      <c r="AX625">
        <f>IF(COUNT($E$2:$E625)&lt;52,"",(MAX($C$574:$C$625)+MIN($D$574:$D$625))/2)</f>
        <v>0</v>
      </c>
      <c r="AY625">
        <f>IF(COUNT($E$2:$E625)&lt;20,"",MAX($C$526:$C$625))</f>
        <v>0</v>
      </c>
      <c r="AZ625">
        <f>IF(COUNT($E$2:$E625)&lt;20,"",MIN($D$526:$D$625))</f>
        <v>0</v>
      </c>
      <c r="BA625">
        <f>IF(COUNT($E$2:$E625)&lt;20,"",SLOPE($E$526:$E$625,$F$526:$F$625))</f>
        <v>0</v>
      </c>
      <c r="BB625">
        <f>IF(COUNT($E$2:$E625)&lt;20,"",INTERCEPT($E$526:$E$625,$F$526:$F$625))</f>
        <v>0</v>
      </c>
      <c r="BC625">
        <f>IF(OR(BA625="",BB625=""),"",BB625+BA625*F625)</f>
        <v>0</v>
      </c>
      <c r="BD625">
        <f>IF(COUNT($E$2:$E625)&lt;20,"",STEYX($E$526:$E$625,$F$526:$F$625))</f>
        <v>0</v>
      </c>
      <c r="BE625">
        <f>IF($E625="","",IF(AND(COUNT($E$626:$E$629)&gt;=4,$C625=MAX($C$621:$C$629)),$C625,""))</f>
        <v>0</v>
      </c>
      <c r="BF625">
        <f>IF($E625="","",IF(AND(COUNT($E$626:$E$629)&gt;=4,$D625=MIN($D$621:$D$629)),$D625,""))</f>
        <v>0</v>
      </c>
      <c r="BG625">
        <f>IF($A625="","",$A625-WEEKDAY($A625,2)+1)</f>
        <v>0</v>
      </c>
      <c r="BH625">
        <f>IF($A625="","",IF($A624="",1,IF(BG625&lt;&gt;BG624,1,0)))</f>
        <v>0</v>
      </c>
      <c r="BI625">
        <f>IF($A625="","",IF($A626="",1,IF(BG626&lt;&gt;BG625,1,0)))</f>
        <v>0</v>
      </c>
      <c r="BJ625">
        <f>IF($A625="","",IF(BH625=1,$B625,BJ624))</f>
        <v>0</v>
      </c>
      <c r="BK625">
        <f>IF($A625="","",IF(BH625=1,$C625,MAX($C625,BK624)))</f>
        <v>0</v>
      </c>
      <c r="BL625">
        <f>IF($A625="","",IF(BH625=1,$D625,MIN($D625,BL624)))</f>
        <v>0</v>
      </c>
      <c r="BM625">
        <f>IF($A625="","",IF(BI625=1,F625,""))</f>
        <v>0</v>
      </c>
      <c r="BN625">
        <f>IF($A625="","",DATE(YEAR($A625),MONTH($A625),1))</f>
        <v>0</v>
      </c>
      <c r="BO625">
        <f>IF($A625="","",IF($A624="",1,IF(BN625&lt;&gt;BN624,1,0)))</f>
        <v>0</v>
      </c>
      <c r="BP625">
        <f>IF($A625="","",IF($A626="",1,IF(BN626&lt;&gt;BN625,1,0)))</f>
        <v>0</v>
      </c>
      <c r="BQ625">
        <f>IF($A625="","",IF(BO625=1,$B625,BQ624))</f>
        <v>0</v>
      </c>
      <c r="BR625">
        <f>IF($A625="","",IF(BO625=1,$C625,MAX($C625,BR624)))</f>
        <v>0</v>
      </c>
      <c r="BS625">
        <f>IF($A625="","",IF(BO625=1,$D625,MIN($D625,BS624)))</f>
        <v>0</v>
      </c>
      <c r="BT625">
        <f>IF($A625="","",IF(BP625=1,F625,""))</f>
        <v>0</v>
      </c>
    </row>
    <row r="626" spans="1:72">
      <c r="A626" s="27">
        <f>IF(Data!$A626="","",Data!$A626)</f>
        <v>0</v>
      </c>
      <c r="B626">
        <f>IF(Data!$B626="","",Data!$B626)</f>
        <v>0</v>
      </c>
      <c r="C626">
        <f>IF(Data!$C626="","",Data!$C626)</f>
        <v>0</v>
      </c>
      <c r="D626">
        <f>IF(Data!$D626="","",Data!$D626)</f>
        <v>0</v>
      </c>
      <c r="E626">
        <f>IF(Data!$E626="","",Data!$E626)</f>
        <v>0</v>
      </c>
      <c r="F626">
        <f>IF($E626="","",N(F625)+1)</f>
        <v>0</v>
      </c>
      <c r="G626">
        <f>IF(OR($E626="",$E625=""),"",LN($E626/$E625))</f>
        <v>0</v>
      </c>
      <c r="H626">
        <f>IF($E626="","",IF($E625="",$E626,$E626*0.0952380952+H625*0.9047619048))</f>
        <v>0</v>
      </c>
      <c r="I626">
        <f>IF($E626="","",IF($E625="",$E626,$E626*0.0392156863+I625*0.9607843137))</f>
        <v>0</v>
      </c>
      <c r="J626">
        <f>IF($E626="","",IF($E625="",$E626,$E626*0.0198019802+J625*0.9801980198))</f>
        <v>0</v>
      </c>
      <c r="K626">
        <f>IF($E626="","",IF($E625="",$E626,$E626*0.0099502488+K625*0.9900497512))</f>
        <v>0</v>
      </c>
      <c r="L626">
        <f>IF(OR($E626="",$E625=""),"",MAX($E626-$E625,0))</f>
        <v>0</v>
      </c>
      <c r="M626">
        <f>IF(OR($E626="",$E625=""),"",MAX($E625-$E626,0))</f>
        <v>0</v>
      </c>
      <c r="N626">
        <f>IF(COUNT($E$2:$E626)&lt;15,"",IF(AVERAGE($M$613:$M$626)=0,100,100-100/(1+AVERAGE($L$613:$L$626)/AVERAGE($M$613:$M$626))))</f>
        <v>0</v>
      </c>
      <c r="O626">
        <f>IF($E626="","",IF($E625="",$E626,$E626*0.1538461538+O625*0.8461538462))</f>
        <v>0</v>
      </c>
      <c r="P626">
        <f>IF($E626="","",IF($E625="",$E626,$E626*0.0740740741+P625*0.9259259259))</f>
        <v>0</v>
      </c>
      <c r="Q626">
        <f>IF(OR(O626="",P626=""),"",O626-P626)</f>
        <v>0</v>
      </c>
      <c r="R626">
        <f>IF(Q626="","",IF(R625="",Q626,Q626*0.2000000000+R625*0.8000000000))</f>
        <v>0</v>
      </c>
      <c r="S626">
        <f>IF(OR(Q626="",R626=""),"",Q626-R626)</f>
        <v>0</v>
      </c>
      <c r="T626">
        <f>IF(COUNT($E$2:$E626)&lt;14,"",MAX($C$613:$C$626))</f>
        <v>0</v>
      </c>
      <c r="U626">
        <f>IF(COUNT($E$2:$E626)&lt;14,"",MIN($D$613:$D$626))</f>
        <v>0</v>
      </c>
      <c r="V626">
        <f>IF(OR(T626="",U626="",T626=U626),"",100*($E626-U626)/(T626-U626))</f>
        <v>0</v>
      </c>
      <c r="W626">
        <f>IF(COUNT($V$624:$V$626)&lt;3,"",AVERAGE($V$624:$V$626))</f>
        <v>0</v>
      </c>
      <c r="X626">
        <f>IF(COUNT($N$613:$N$626)&lt;14,"",MIN($N$613:$N$626))</f>
        <v>0</v>
      </c>
      <c r="Y626">
        <f>IF(COUNT($N$613:$N$626)&lt;14,"",MAX($N$613:$N$626))</f>
        <v>0</v>
      </c>
      <c r="Z626">
        <f>IF(OR(N626="",X626="",Y626="",Y626=X626),"",100*(N626-X626)/(Y626-X626))</f>
        <v>0</v>
      </c>
      <c r="AA626">
        <f>IF(COUNT($Z$624:$Z$626)&lt;3,"",AVERAGE($Z$624:$Z$626))</f>
        <v>0</v>
      </c>
      <c r="AB626">
        <f>IF(COUNT($AA$624:$AA$626)&lt;3,"",AVERAGE($AA$624:$AA$626))</f>
        <v>0</v>
      </c>
      <c r="AC626">
        <f>IF($E626="","",MAX($C626-$D626,ABS($C626-$E625),ABS($D626-$E625)))</f>
        <v>0</v>
      </c>
      <c r="AD626">
        <f>IF(COUNT($E$2:$E626)&lt;15,"",AVERAGE($AC$613:$AC$626))</f>
        <v>0</v>
      </c>
      <c r="AE626">
        <f>IF(OR($E626="",$E625=""),"",IF(AND(($C626-$C625)&gt;($D625-$D626),($C626-$C625)&gt;0),$C626-$C625,0))</f>
        <v>0</v>
      </c>
      <c r="AF626">
        <f>IF(OR($E626="",$E625=""),"",IF(AND(($D625-$D626)&gt;($C626-$C625),($D625-$D626)&gt;0),$D625-$D626,0))</f>
        <v>0</v>
      </c>
      <c r="AG626">
        <f>IF(COUNT($E$2:$E626)&lt;15,"",IF(SUM($AC$613:$AC$626)=0,0,100*SUM($AE$613:$AE$626)/SUM($AC$613:$AC$626)))</f>
        <v>0</v>
      </c>
      <c r="AH626">
        <f>IF(COUNT($E$2:$E626)&lt;15,"",IF(SUM($AC$613:$AC$626)=0,0,100*SUM($AF$613:$AF$626)/SUM($AC$613:$AC$626)))</f>
        <v>0</v>
      </c>
      <c r="AI626">
        <f>IF(OR(AG626="",AH626=""),"",IF((AG626+AH626)=0,0,100*ABS(AG626-AH626)/(AG626+AH626)))</f>
        <v>0</v>
      </c>
      <c r="AJ626">
        <f>IF(COUNT($AI$613:$AI$626)&lt;14,"",AVERAGE($AI$613:$AI$626))</f>
        <v>0</v>
      </c>
      <c r="AK626">
        <f>IF(COUNT($E$2:$E626)&lt;20,"",AVERAGE($E$607:$E$626))</f>
        <v>0</v>
      </c>
      <c r="AL626">
        <f>IF(COUNT($E$2:$E626)&lt;20,"",STDEVP($E$607:$E$626))</f>
        <v>0</v>
      </c>
      <c r="AM626">
        <f>IF(AK626="","",AK626+2*AL626)</f>
        <v>0</v>
      </c>
      <c r="AN626">
        <f>IF(AK626="","",AK626-2*AL626)</f>
        <v>0</v>
      </c>
      <c r="AO626">
        <f>IF(OR(AM626="",AN626="",AM626=AN626),"",($E626-AN626)/(AM626-AN626))</f>
        <v>0</v>
      </c>
      <c r="AP626">
        <f>IF(OR(AM626="",AK626="",AK626=0),"",(AM626-AN626)/AK626)</f>
        <v>0</v>
      </c>
      <c r="AQ626">
        <f>IF(COUNT($E$2:$E626)&lt;20,"",MAX($C$607:$C$626))</f>
        <v>0</v>
      </c>
      <c r="AR626">
        <f>IF(COUNT($E$2:$E626)&lt;20,"",MIN($D$607:$D$626))</f>
        <v>0</v>
      </c>
      <c r="AS626">
        <f>IF(OR(AQ626="",AR626=""),"",(AQ626+AR626)/2)</f>
        <v>0</v>
      </c>
      <c r="AT626">
        <f>IF(COUNT($G$607:$G$626)&lt;20,"",STDEV($G$607:$G$626)*SQRT(252))</f>
        <v>0</v>
      </c>
      <c r="AU626">
        <f>IF(COUNT($E$2:$E626)&lt;9,"",(MAX($C$618:$C$626)+MIN($D$618:$D$626))/2)</f>
        <v>0</v>
      </c>
      <c r="AV626">
        <f>IF(COUNT($E$2:$E626)&lt;26,"",(MAX($C$601:$C$626)+MIN($D$601:$D$626))/2)</f>
        <v>0</v>
      </c>
      <c r="AW626">
        <f>IF(OR(AU626="",AV626=""),"",(AU626+AV626)/2)</f>
        <v>0</v>
      </c>
      <c r="AX626">
        <f>IF(COUNT($E$2:$E626)&lt;52,"",(MAX($C$575:$C$626)+MIN($D$575:$D$626))/2)</f>
        <v>0</v>
      </c>
      <c r="AY626">
        <f>IF(COUNT($E$2:$E626)&lt;20,"",MAX($C$527:$C$626))</f>
        <v>0</v>
      </c>
      <c r="AZ626">
        <f>IF(COUNT($E$2:$E626)&lt;20,"",MIN($D$527:$D$626))</f>
        <v>0</v>
      </c>
      <c r="BA626">
        <f>IF(COUNT($E$2:$E626)&lt;20,"",SLOPE($E$527:$E$626,$F$527:$F$626))</f>
        <v>0</v>
      </c>
      <c r="BB626">
        <f>IF(COUNT($E$2:$E626)&lt;20,"",INTERCEPT($E$527:$E$626,$F$527:$F$626))</f>
        <v>0</v>
      </c>
      <c r="BC626">
        <f>IF(OR(BA626="",BB626=""),"",BB626+BA626*F626)</f>
        <v>0</v>
      </c>
      <c r="BD626">
        <f>IF(COUNT($E$2:$E626)&lt;20,"",STEYX($E$527:$E$626,$F$527:$F$626))</f>
        <v>0</v>
      </c>
      <c r="BE626">
        <f>IF($E626="","",IF(AND(COUNT($E$627:$E$630)&gt;=4,$C626=MAX($C$622:$C$630)),$C626,""))</f>
        <v>0</v>
      </c>
      <c r="BF626">
        <f>IF($E626="","",IF(AND(COUNT($E$627:$E$630)&gt;=4,$D626=MIN($D$622:$D$630)),$D626,""))</f>
        <v>0</v>
      </c>
      <c r="BG626">
        <f>IF($A626="","",$A626-WEEKDAY($A626,2)+1)</f>
        <v>0</v>
      </c>
      <c r="BH626">
        <f>IF($A626="","",IF($A625="",1,IF(BG626&lt;&gt;BG625,1,0)))</f>
        <v>0</v>
      </c>
      <c r="BI626">
        <f>IF($A626="","",IF($A627="",1,IF(BG627&lt;&gt;BG626,1,0)))</f>
        <v>0</v>
      </c>
      <c r="BJ626">
        <f>IF($A626="","",IF(BH626=1,$B626,BJ625))</f>
        <v>0</v>
      </c>
      <c r="BK626">
        <f>IF($A626="","",IF(BH626=1,$C626,MAX($C626,BK625)))</f>
        <v>0</v>
      </c>
      <c r="BL626">
        <f>IF($A626="","",IF(BH626=1,$D626,MIN($D626,BL625)))</f>
        <v>0</v>
      </c>
      <c r="BM626">
        <f>IF($A626="","",IF(BI626=1,F626,""))</f>
        <v>0</v>
      </c>
      <c r="BN626">
        <f>IF($A626="","",DATE(YEAR($A626),MONTH($A626),1))</f>
        <v>0</v>
      </c>
      <c r="BO626">
        <f>IF($A626="","",IF($A625="",1,IF(BN626&lt;&gt;BN625,1,0)))</f>
        <v>0</v>
      </c>
      <c r="BP626">
        <f>IF($A626="","",IF($A627="",1,IF(BN627&lt;&gt;BN626,1,0)))</f>
        <v>0</v>
      </c>
      <c r="BQ626">
        <f>IF($A626="","",IF(BO626=1,$B626,BQ625))</f>
        <v>0</v>
      </c>
      <c r="BR626">
        <f>IF($A626="","",IF(BO626=1,$C626,MAX($C626,BR625)))</f>
        <v>0</v>
      </c>
      <c r="BS626">
        <f>IF($A626="","",IF(BO626=1,$D626,MIN($D626,BS625)))</f>
        <v>0</v>
      </c>
      <c r="BT626">
        <f>IF($A626="","",IF(BP626=1,F626,""))</f>
        <v>0</v>
      </c>
    </row>
    <row r="627" spans="1:72">
      <c r="A627" s="27">
        <f>IF(Data!$A627="","",Data!$A627)</f>
        <v>0</v>
      </c>
      <c r="B627">
        <f>IF(Data!$B627="","",Data!$B627)</f>
        <v>0</v>
      </c>
      <c r="C627">
        <f>IF(Data!$C627="","",Data!$C627)</f>
        <v>0</v>
      </c>
      <c r="D627">
        <f>IF(Data!$D627="","",Data!$D627)</f>
        <v>0</v>
      </c>
      <c r="E627">
        <f>IF(Data!$E627="","",Data!$E627)</f>
        <v>0</v>
      </c>
      <c r="F627">
        <f>IF($E627="","",N(F626)+1)</f>
        <v>0</v>
      </c>
      <c r="G627">
        <f>IF(OR($E627="",$E626=""),"",LN($E627/$E626))</f>
        <v>0</v>
      </c>
      <c r="H627">
        <f>IF($E627="","",IF($E626="",$E627,$E627*0.0952380952+H626*0.9047619048))</f>
        <v>0</v>
      </c>
      <c r="I627">
        <f>IF($E627="","",IF($E626="",$E627,$E627*0.0392156863+I626*0.9607843137))</f>
        <v>0</v>
      </c>
      <c r="J627">
        <f>IF($E627="","",IF($E626="",$E627,$E627*0.0198019802+J626*0.9801980198))</f>
        <v>0</v>
      </c>
      <c r="K627">
        <f>IF($E627="","",IF($E626="",$E627,$E627*0.0099502488+K626*0.9900497512))</f>
        <v>0</v>
      </c>
      <c r="L627">
        <f>IF(OR($E627="",$E626=""),"",MAX($E627-$E626,0))</f>
        <v>0</v>
      </c>
      <c r="M627">
        <f>IF(OR($E627="",$E626=""),"",MAX($E626-$E627,0))</f>
        <v>0</v>
      </c>
      <c r="N627">
        <f>IF(COUNT($E$2:$E627)&lt;15,"",IF(AVERAGE($M$614:$M$627)=0,100,100-100/(1+AVERAGE($L$614:$L$627)/AVERAGE($M$614:$M$627))))</f>
        <v>0</v>
      </c>
      <c r="O627">
        <f>IF($E627="","",IF($E626="",$E627,$E627*0.1538461538+O626*0.8461538462))</f>
        <v>0</v>
      </c>
      <c r="P627">
        <f>IF($E627="","",IF($E626="",$E627,$E627*0.0740740741+P626*0.9259259259))</f>
        <v>0</v>
      </c>
      <c r="Q627">
        <f>IF(OR(O627="",P627=""),"",O627-P627)</f>
        <v>0</v>
      </c>
      <c r="R627">
        <f>IF(Q627="","",IF(R626="",Q627,Q627*0.2000000000+R626*0.8000000000))</f>
        <v>0</v>
      </c>
      <c r="S627">
        <f>IF(OR(Q627="",R627=""),"",Q627-R627)</f>
        <v>0</v>
      </c>
      <c r="T627">
        <f>IF(COUNT($E$2:$E627)&lt;14,"",MAX($C$614:$C$627))</f>
        <v>0</v>
      </c>
      <c r="U627">
        <f>IF(COUNT($E$2:$E627)&lt;14,"",MIN($D$614:$D$627))</f>
        <v>0</v>
      </c>
      <c r="V627">
        <f>IF(OR(T627="",U627="",T627=U627),"",100*($E627-U627)/(T627-U627))</f>
        <v>0</v>
      </c>
      <c r="W627">
        <f>IF(COUNT($V$625:$V$627)&lt;3,"",AVERAGE($V$625:$V$627))</f>
        <v>0</v>
      </c>
      <c r="X627">
        <f>IF(COUNT($N$614:$N$627)&lt;14,"",MIN($N$614:$N$627))</f>
        <v>0</v>
      </c>
      <c r="Y627">
        <f>IF(COUNT($N$614:$N$627)&lt;14,"",MAX($N$614:$N$627))</f>
        <v>0</v>
      </c>
      <c r="Z627">
        <f>IF(OR(N627="",X627="",Y627="",Y627=X627),"",100*(N627-X627)/(Y627-X627))</f>
        <v>0</v>
      </c>
      <c r="AA627">
        <f>IF(COUNT($Z$625:$Z$627)&lt;3,"",AVERAGE($Z$625:$Z$627))</f>
        <v>0</v>
      </c>
      <c r="AB627">
        <f>IF(COUNT($AA$625:$AA$627)&lt;3,"",AVERAGE($AA$625:$AA$627))</f>
        <v>0</v>
      </c>
      <c r="AC627">
        <f>IF($E627="","",MAX($C627-$D627,ABS($C627-$E626),ABS($D627-$E626)))</f>
        <v>0</v>
      </c>
      <c r="AD627">
        <f>IF(COUNT($E$2:$E627)&lt;15,"",AVERAGE($AC$614:$AC$627))</f>
        <v>0</v>
      </c>
      <c r="AE627">
        <f>IF(OR($E627="",$E626=""),"",IF(AND(($C627-$C626)&gt;($D626-$D627),($C627-$C626)&gt;0),$C627-$C626,0))</f>
        <v>0</v>
      </c>
      <c r="AF627">
        <f>IF(OR($E627="",$E626=""),"",IF(AND(($D626-$D627)&gt;($C627-$C626),($D626-$D627)&gt;0),$D626-$D627,0))</f>
        <v>0</v>
      </c>
      <c r="AG627">
        <f>IF(COUNT($E$2:$E627)&lt;15,"",IF(SUM($AC$614:$AC$627)=0,0,100*SUM($AE$614:$AE$627)/SUM($AC$614:$AC$627)))</f>
        <v>0</v>
      </c>
      <c r="AH627">
        <f>IF(COUNT($E$2:$E627)&lt;15,"",IF(SUM($AC$614:$AC$627)=0,0,100*SUM($AF$614:$AF$627)/SUM($AC$614:$AC$627)))</f>
        <v>0</v>
      </c>
      <c r="AI627">
        <f>IF(OR(AG627="",AH627=""),"",IF((AG627+AH627)=0,0,100*ABS(AG627-AH627)/(AG627+AH627)))</f>
        <v>0</v>
      </c>
      <c r="AJ627">
        <f>IF(COUNT($AI$614:$AI$627)&lt;14,"",AVERAGE($AI$614:$AI$627))</f>
        <v>0</v>
      </c>
      <c r="AK627">
        <f>IF(COUNT($E$2:$E627)&lt;20,"",AVERAGE($E$608:$E$627))</f>
        <v>0</v>
      </c>
      <c r="AL627">
        <f>IF(COUNT($E$2:$E627)&lt;20,"",STDEVP($E$608:$E$627))</f>
        <v>0</v>
      </c>
      <c r="AM627">
        <f>IF(AK627="","",AK627+2*AL627)</f>
        <v>0</v>
      </c>
      <c r="AN627">
        <f>IF(AK627="","",AK627-2*AL627)</f>
        <v>0</v>
      </c>
      <c r="AO627">
        <f>IF(OR(AM627="",AN627="",AM627=AN627),"",($E627-AN627)/(AM627-AN627))</f>
        <v>0</v>
      </c>
      <c r="AP627">
        <f>IF(OR(AM627="",AK627="",AK627=0),"",(AM627-AN627)/AK627)</f>
        <v>0</v>
      </c>
      <c r="AQ627">
        <f>IF(COUNT($E$2:$E627)&lt;20,"",MAX($C$608:$C$627))</f>
        <v>0</v>
      </c>
      <c r="AR627">
        <f>IF(COUNT($E$2:$E627)&lt;20,"",MIN($D$608:$D$627))</f>
        <v>0</v>
      </c>
      <c r="AS627">
        <f>IF(OR(AQ627="",AR627=""),"",(AQ627+AR627)/2)</f>
        <v>0</v>
      </c>
      <c r="AT627">
        <f>IF(COUNT($G$608:$G$627)&lt;20,"",STDEV($G$608:$G$627)*SQRT(252))</f>
        <v>0</v>
      </c>
      <c r="AU627">
        <f>IF(COUNT($E$2:$E627)&lt;9,"",(MAX($C$619:$C$627)+MIN($D$619:$D$627))/2)</f>
        <v>0</v>
      </c>
      <c r="AV627">
        <f>IF(COUNT($E$2:$E627)&lt;26,"",(MAX($C$602:$C$627)+MIN($D$602:$D$627))/2)</f>
        <v>0</v>
      </c>
      <c r="AW627">
        <f>IF(OR(AU627="",AV627=""),"",(AU627+AV627)/2)</f>
        <v>0</v>
      </c>
      <c r="AX627">
        <f>IF(COUNT($E$2:$E627)&lt;52,"",(MAX($C$576:$C$627)+MIN($D$576:$D$627))/2)</f>
        <v>0</v>
      </c>
      <c r="AY627">
        <f>IF(COUNT($E$2:$E627)&lt;20,"",MAX($C$528:$C$627))</f>
        <v>0</v>
      </c>
      <c r="AZ627">
        <f>IF(COUNT($E$2:$E627)&lt;20,"",MIN($D$528:$D$627))</f>
        <v>0</v>
      </c>
      <c r="BA627">
        <f>IF(COUNT($E$2:$E627)&lt;20,"",SLOPE($E$528:$E$627,$F$528:$F$627))</f>
        <v>0</v>
      </c>
      <c r="BB627">
        <f>IF(COUNT($E$2:$E627)&lt;20,"",INTERCEPT($E$528:$E$627,$F$528:$F$627))</f>
        <v>0</v>
      </c>
      <c r="BC627">
        <f>IF(OR(BA627="",BB627=""),"",BB627+BA627*F627)</f>
        <v>0</v>
      </c>
      <c r="BD627">
        <f>IF(COUNT($E$2:$E627)&lt;20,"",STEYX($E$528:$E$627,$F$528:$F$627))</f>
        <v>0</v>
      </c>
      <c r="BE627">
        <f>IF($E627="","",IF(AND(COUNT($E$628:$E$631)&gt;=4,$C627=MAX($C$623:$C$631)),$C627,""))</f>
        <v>0</v>
      </c>
      <c r="BF627">
        <f>IF($E627="","",IF(AND(COUNT($E$628:$E$631)&gt;=4,$D627=MIN($D$623:$D$631)),$D627,""))</f>
        <v>0</v>
      </c>
      <c r="BG627">
        <f>IF($A627="","",$A627-WEEKDAY($A627,2)+1)</f>
        <v>0</v>
      </c>
      <c r="BH627">
        <f>IF($A627="","",IF($A626="",1,IF(BG627&lt;&gt;BG626,1,0)))</f>
        <v>0</v>
      </c>
      <c r="BI627">
        <f>IF($A627="","",IF($A628="",1,IF(BG628&lt;&gt;BG627,1,0)))</f>
        <v>0</v>
      </c>
      <c r="BJ627">
        <f>IF($A627="","",IF(BH627=1,$B627,BJ626))</f>
        <v>0</v>
      </c>
      <c r="BK627">
        <f>IF($A627="","",IF(BH627=1,$C627,MAX($C627,BK626)))</f>
        <v>0</v>
      </c>
      <c r="BL627">
        <f>IF($A627="","",IF(BH627=1,$D627,MIN($D627,BL626)))</f>
        <v>0</v>
      </c>
      <c r="BM627">
        <f>IF($A627="","",IF(BI627=1,F627,""))</f>
        <v>0</v>
      </c>
      <c r="BN627">
        <f>IF($A627="","",DATE(YEAR($A627),MONTH($A627),1))</f>
        <v>0</v>
      </c>
      <c r="BO627">
        <f>IF($A627="","",IF($A626="",1,IF(BN627&lt;&gt;BN626,1,0)))</f>
        <v>0</v>
      </c>
      <c r="BP627">
        <f>IF($A627="","",IF($A628="",1,IF(BN628&lt;&gt;BN627,1,0)))</f>
        <v>0</v>
      </c>
      <c r="BQ627">
        <f>IF($A627="","",IF(BO627=1,$B627,BQ626))</f>
        <v>0</v>
      </c>
      <c r="BR627">
        <f>IF($A627="","",IF(BO627=1,$C627,MAX($C627,BR626)))</f>
        <v>0</v>
      </c>
      <c r="BS627">
        <f>IF($A627="","",IF(BO627=1,$D627,MIN($D627,BS626)))</f>
        <v>0</v>
      </c>
      <c r="BT627">
        <f>IF($A627="","",IF(BP627=1,F627,""))</f>
        <v>0</v>
      </c>
    </row>
    <row r="628" spans="1:72">
      <c r="A628" s="27">
        <f>IF(Data!$A628="","",Data!$A628)</f>
        <v>0</v>
      </c>
      <c r="B628">
        <f>IF(Data!$B628="","",Data!$B628)</f>
        <v>0</v>
      </c>
      <c r="C628">
        <f>IF(Data!$C628="","",Data!$C628)</f>
        <v>0</v>
      </c>
      <c r="D628">
        <f>IF(Data!$D628="","",Data!$D628)</f>
        <v>0</v>
      </c>
      <c r="E628">
        <f>IF(Data!$E628="","",Data!$E628)</f>
        <v>0</v>
      </c>
      <c r="F628">
        <f>IF($E628="","",N(F627)+1)</f>
        <v>0</v>
      </c>
      <c r="G628">
        <f>IF(OR($E628="",$E627=""),"",LN($E628/$E627))</f>
        <v>0</v>
      </c>
      <c r="H628">
        <f>IF($E628="","",IF($E627="",$E628,$E628*0.0952380952+H627*0.9047619048))</f>
        <v>0</v>
      </c>
      <c r="I628">
        <f>IF($E628="","",IF($E627="",$E628,$E628*0.0392156863+I627*0.9607843137))</f>
        <v>0</v>
      </c>
      <c r="J628">
        <f>IF($E628="","",IF($E627="",$E628,$E628*0.0198019802+J627*0.9801980198))</f>
        <v>0</v>
      </c>
      <c r="K628">
        <f>IF($E628="","",IF($E627="",$E628,$E628*0.0099502488+K627*0.9900497512))</f>
        <v>0</v>
      </c>
      <c r="L628">
        <f>IF(OR($E628="",$E627=""),"",MAX($E628-$E627,0))</f>
        <v>0</v>
      </c>
      <c r="M628">
        <f>IF(OR($E628="",$E627=""),"",MAX($E627-$E628,0))</f>
        <v>0</v>
      </c>
      <c r="N628">
        <f>IF(COUNT($E$2:$E628)&lt;15,"",IF(AVERAGE($M$615:$M$628)=0,100,100-100/(1+AVERAGE($L$615:$L$628)/AVERAGE($M$615:$M$628))))</f>
        <v>0</v>
      </c>
      <c r="O628">
        <f>IF($E628="","",IF($E627="",$E628,$E628*0.1538461538+O627*0.8461538462))</f>
        <v>0</v>
      </c>
      <c r="P628">
        <f>IF($E628="","",IF($E627="",$E628,$E628*0.0740740741+P627*0.9259259259))</f>
        <v>0</v>
      </c>
      <c r="Q628">
        <f>IF(OR(O628="",P628=""),"",O628-P628)</f>
        <v>0</v>
      </c>
      <c r="R628">
        <f>IF(Q628="","",IF(R627="",Q628,Q628*0.2000000000+R627*0.8000000000))</f>
        <v>0</v>
      </c>
      <c r="S628">
        <f>IF(OR(Q628="",R628=""),"",Q628-R628)</f>
        <v>0</v>
      </c>
      <c r="T628">
        <f>IF(COUNT($E$2:$E628)&lt;14,"",MAX($C$615:$C$628))</f>
        <v>0</v>
      </c>
      <c r="U628">
        <f>IF(COUNT($E$2:$E628)&lt;14,"",MIN($D$615:$D$628))</f>
        <v>0</v>
      </c>
      <c r="V628">
        <f>IF(OR(T628="",U628="",T628=U628),"",100*($E628-U628)/(T628-U628))</f>
        <v>0</v>
      </c>
      <c r="W628">
        <f>IF(COUNT($V$626:$V$628)&lt;3,"",AVERAGE($V$626:$V$628))</f>
        <v>0</v>
      </c>
      <c r="X628">
        <f>IF(COUNT($N$615:$N$628)&lt;14,"",MIN($N$615:$N$628))</f>
        <v>0</v>
      </c>
      <c r="Y628">
        <f>IF(COUNT($N$615:$N$628)&lt;14,"",MAX($N$615:$N$628))</f>
        <v>0</v>
      </c>
      <c r="Z628">
        <f>IF(OR(N628="",X628="",Y628="",Y628=X628),"",100*(N628-X628)/(Y628-X628))</f>
        <v>0</v>
      </c>
      <c r="AA628">
        <f>IF(COUNT($Z$626:$Z$628)&lt;3,"",AVERAGE($Z$626:$Z$628))</f>
        <v>0</v>
      </c>
      <c r="AB628">
        <f>IF(COUNT($AA$626:$AA$628)&lt;3,"",AVERAGE($AA$626:$AA$628))</f>
        <v>0</v>
      </c>
      <c r="AC628">
        <f>IF($E628="","",MAX($C628-$D628,ABS($C628-$E627),ABS($D628-$E627)))</f>
        <v>0</v>
      </c>
      <c r="AD628">
        <f>IF(COUNT($E$2:$E628)&lt;15,"",AVERAGE($AC$615:$AC$628))</f>
        <v>0</v>
      </c>
      <c r="AE628">
        <f>IF(OR($E628="",$E627=""),"",IF(AND(($C628-$C627)&gt;($D627-$D628),($C628-$C627)&gt;0),$C628-$C627,0))</f>
        <v>0</v>
      </c>
      <c r="AF628">
        <f>IF(OR($E628="",$E627=""),"",IF(AND(($D627-$D628)&gt;($C628-$C627),($D627-$D628)&gt;0),$D627-$D628,0))</f>
        <v>0</v>
      </c>
      <c r="AG628">
        <f>IF(COUNT($E$2:$E628)&lt;15,"",IF(SUM($AC$615:$AC$628)=0,0,100*SUM($AE$615:$AE$628)/SUM($AC$615:$AC$628)))</f>
        <v>0</v>
      </c>
      <c r="AH628">
        <f>IF(COUNT($E$2:$E628)&lt;15,"",IF(SUM($AC$615:$AC$628)=0,0,100*SUM($AF$615:$AF$628)/SUM($AC$615:$AC$628)))</f>
        <v>0</v>
      </c>
      <c r="AI628">
        <f>IF(OR(AG628="",AH628=""),"",IF((AG628+AH628)=0,0,100*ABS(AG628-AH628)/(AG628+AH628)))</f>
        <v>0</v>
      </c>
      <c r="AJ628">
        <f>IF(COUNT($AI$615:$AI$628)&lt;14,"",AVERAGE($AI$615:$AI$628))</f>
        <v>0</v>
      </c>
      <c r="AK628">
        <f>IF(COUNT($E$2:$E628)&lt;20,"",AVERAGE($E$609:$E$628))</f>
        <v>0</v>
      </c>
      <c r="AL628">
        <f>IF(COUNT($E$2:$E628)&lt;20,"",STDEVP($E$609:$E$628))</f>
        <v>0</v>
      </c>
      <c r="AM628">
        <f>IF(AK628="","",AK628+2*AL628)</f>
        <v>0</v>
      </c>
      <c r="AN628">
        <f>IF(AK628="","",AK628-2*AL628)</f>
        <v>0</v>
      </c>
      <c r="AO628">
        <f>IF(OR(AM628="",AN628="",AM628=AN628),"",($E628-AN628)/(AM628-AN628))</f>
        <v>0</v>
      </c>
      <c r="AP628">
        <f>IF(OR(AM628="",AK628="",AK628=0),"",(AM628-AN628)/AK628)</f>
        <v>0</v>
      </c>
      <c r="AQ628">
        <f>IF(COUNT($E$2:$E628)&lt;20,"",MAX($C$609:$C$628))</f>
        <v>0</v>
      </c>
      <c r="AR628">
        <f>IF(COUNT($E$2:$E628)&lt;20,"",MIN($D$609:$D$628))</f>
        <v>0</v>
      </c>
      <c r="AS628">
        <f>IF(OR(AQ628="",AR628=""),"",(AQ628+AR628)/2)</f>
        <v>0</v>
      </c>
      <c r="AT628">
        <f>IF(COUNT($G$609:$G$628)&lt;20,"",STDEV($G$609:$G$628)*SQRT(252))</f>
        <v>0</v>
      </c>
      <c r="AU628">
        <f>IF(COUNT($E$2:$E628)&lt;9,"",(MAX($C$620:$C$628)+MIN($D$620:$D$628))/2)</f>
        <v>0</v>
      </c>
      <c r="AV628">
        <f>IF(COUNT($E$2:$E628)&lt;26,"",(MAX($C$603:$C$628)+MIN($D$603:$D$628))/2)</f>
        <v>0</v>
      </c>
      <c r="AW628">
        <f>IF(OR(AU628="",AV628=""),"",(AU628+AV628)/2)</f>
        <v>0</v>
      </c>
      <c r="AX628">
        <f>IF(COUNT($E$2:$E628)&lt;52,"",(MAX($C$577:$C$628)+MIN($D$577:$D$628))/2)</f>
        <v>0</v>
      </c>
      <c r="AY628">
        <f>IF(COUNT($E$2:$E628)&lt;20,"",MAX($C$529:$C$628))</f>
        <v>0</v>
      </c>
      <c r="AZ628">
        <f>IF(COUNT($E$2:$E628)&lt;20,"",MIN($D$529:$D$628))</f>
        <v>0</v>
      </c>
      <c r="BA628">
        <f>IF(COUNT($E$2:$E628)&lt;20,"",SLOPE($E$529:$E$628,$F$529:$F$628))</f>
        <v>0</v>
      </c>
      <c r="BB628">
        <f>IF(COUNT($E$2:$E628)&lt;20,"",INTERCEPT($E$529:$E$628,$F$529:$F$628))</f>
        <v>0</v>
      </c>
      <c r="BC628">
        <f>IF(OR(BA628="",BB628=""),"",BB628+BA628*F628)</f>
        <v>0</v>
      </c>
      <c r="BD628">
        <f>IF(COUNT($E$2:$E628)&lt;20,"",STEYX($E$529:$E$628,$F$529:$F$628))</f>
        <v>0</v>
      </c>
      <c r="BE628">
        <f>IF($E628="","",IF(AND(COUNT($E$629:$E$632)&gt;=4,$C628=MAX($C$624:$C$632)),$C628,""))</f>
        <v>0</v>
      </c>
      <c r="BF628">
        <f>IF($E628="","",IF(AND(COUNT($E$629:$E$632)&gt;=4,$D628=MIN($D$624:$D$632)),$D628,""))</f>
        <v>0</v>
      </c>
      <c r="BG628">
        <f>IF($A628="","",$A628-WEEKDAY($A628,2)+1)</f>
        <v>0</v>
      </c>
      <c r="BH628">
        <f>IF($A628="","",IF($A627="",1,IF(BG628&lt;&gt;BG627,1,0)))</f>
        <v>0</v>
      </c>
      <c r="BI628">
        <f>IF($A628="","",IF($A629="",1,IF(BG629&lt;&gt;BG628,1,0)))</f>
        <v>0</v>
      </c>
      <c r="BJ628">
        <f>IF($A628="","",IF(BH628=1,$B628,BJ627))</f>
        <v>0</v>
      </c>
      <c r="BK628">
        <f>IF($A628="","",IF(BH628=1,$C628,MAX($C628,BK627)))</f>
        <v>0</v>
      </c>
      <c r="BL628">
        <f>IF($A628="","",IF(BH628=1,$D628,MIN($D628,BL627)))</f>
        <v>0</v>
      </c>
      <c r="BM628">
        <f>IF($A628="","",IF(BI628=1,F628,""))</f>
        <v>0</v>
      </c>
      <c r="BN628">
        <f>IF($A628="","",DATE(YEAR($A628),MONTH($A628),1))</f>
        <v>0</v>
      </c>
      <c r="BO628">
        <f>IF($A628="","",IF($A627="",1,IF(BN628&lt;&gt;BN627,1,0)))</f>
        <v>0</v>
      </c>
      <c r="BP628">
        <f>IF($A628="","",IF($A629="",1,IF(BN629&lt;&gt;BN628,1,0)))</f>
        <v>0</v>
      </c>
      <c r="BQ628">
        <f>IF($A628="","",IF(BO628=1,$B628,BQ627))</f>
        <v>0</v>
      </c>
      <c r="BR628">
        <f>IF($A628="","",IF(BO628=1,$C628,MAX($C628,BR627)))</f>
        <v>0</v>
      </c>
      <c r="BS628">
        <f>IF($A628="","",IF(BO628=1,$D628,MIN($D628,BS627)))</f>
        <v>0</v>
      </c>
      <c r="BT628">
        <f>IF($A628="","",IF(BP628=1,F628,""))</f>
        <v>0</v>
      </c>
    </row>
    <row r="629" spans="1:72">
      <c r="A629" s="27">
        <f>IF(Data!$A629="","",Data!$A629)</f>
        <v>0</v>
      </c>
      <c r="B629">
        <f>IF(Data!$B629="","",Data!$B629)</f>
        <v>0</v>
      </c>
      <c r="C629">
        <f>IF(Data!$C629="","",Data!$C629)</f>
        <v>0</v>
      </c>
      <c r="D629">
        <f>IF(Data!$D629="","",Data!$D629)</f>
        <v>0</v>
      </c>
      <c r="E629">
        <f>IF(Data!$E629="","",Data!$E629)</f>
        <v>0</v>
      </c>
      <c r="F629">
        <f>IF($E629="","",N(F628)+1)</f>
        <v>0</v>
      </c>
      <c r="G629">
        <f>IF(OR($E629="",$E628=""),"",LN($E629/$E628))</f>
        <v>0</v>
      </c>
      <c r="H629">
        <f>IF($E629="","",IF($E628="",$E629,$E629*0.0952380952+H628*0.9047619048))</f>
        <v>0</v>
      </c>
      <c r="I629">
        <f>IF($E629="","",IF($E628="",$E629,$E629*0.0392156863+I628*0.9607843137))</f>
        <v>0</v>
      </c>
      <c r="J629">
        <f>IF($E629="","",IF($E628="",$E629,$E629*0.0198019802+J628*0.9801980198))</f>
        <v>0</v>
      </c>
      <c r="K629">
        <f>IF($E629="","",IF($E628="",$E629,$E629*0.0099502488+K628*0.9900497512))</f>
        <v>0</v>
      </c>
      <c r="L629">
        <f>IF(OR($E629="",$E628=""),"",MAX($E629-$E628,0))</f>
        <v>0</v>
      </c>
      <c r="M629">
        <f>IF(OR($E629="",$E628=""),"",MAX($E628-$E629,0))</f>
        <v>0</v>
      </c>
      <c r="N629">
        <f>IF(COUNT($E$2:$E629)&lt;15,"",IF(AVERAGE($M$616:$M$629)=0,100,100-100/(1+AVERAGE($L$616:$L$629)/AVERAGE($M$616:$M$629))))</f>
        <v>0</v>
      </c>
      <c r="O629">
        <f>IF($E629="","",IF($E628="",$E629,$E629*0.1538461538+O628*0.8461538462))</f>
        <v>0</v>
      </c>
      <c r="P629">
        <f>IF($E629="","",IF($E628="",$E629,$E629*0.0740740741+P628*0.9259259259))</f>
        <v>0</v>
      </c>
      <c r="Q629">
        <f>IF(OR(O629="",P629=""),"",O629-P629)</f>
        <v>0</v>
      </c>
      <c r="R629">
        <f>IF(Q629="","",IF(R628="",Q629,Q629*0.2000000000+R628*0.8000000000))</f>
        <v>0</v>
      </c>
      <c r="S629">
        <f>IF(OR(Q629="",R629=""),"",Q629-R629)</f>
        <v>0</v>
      </c>
      <c r="T629">
        <f>IF(COUNT($E$2:$E629)&lt;14,"",MAX($C$616:$C$629))</f>
        <v>0</v>
      </c>
      <c r="U629">
        <f>IF(COUNT($E$2:$E629)&lt;14,"",MIN($D$616:$D$629))</f>
        <v>0</v>
      </c>
      <c r="V629">
        <f>IF(OR(T629="",U629="",T629=U629),"",100*($E629-U629)/(T629-U629))</f>
        <v>0</v>
      </c>
      <c r="W629">
        <f>IF(COUNT($V$627:$V$629)&lt;3,"",AVERAGE($V$627:$V$629))</f>
        <v>0</v>
      </c>
      <c r="X629">
        <f>IF(COUNT($N$616:$N$629)&lt;14,"",MIN($N$616:$N$629))</f>
        <v>0</v>
      </c>
      <c r="Y629">
        <f>IF(COUNT($N$616:$N$629)&lt;14,"",MAX($N$616:$N$629))</f>
        <v>0</v>
      </c>
      <c r="Z629">
        <f>IF(OR(N629="",X629="",Y629="",Y629=X629),"",100*(N629-X629)/(Y629-X629))</f>
        <v>0</v>
      </c>
      <c r="AA629">
        <f>IF(COUNT($Z$627:$Z$629)&lt;3,"",AVERAGE($Z$627:$Z$629))</f>
        <v>0</v>
      </c>
      <c r="AB629">
        <f>IF(COUNT($AA$627:$AA$629)&lt;3,"",AVERAGE($AA$627:$AA$629))</f>
        <v>0</v>
      </c>
      <c r="AC629">
        <f>IF($E629="","",MAX($C629-$D629,ABS($C629-$E628),ABS($D629-$E628)))</f>
        <v>0</v>
      </c>
      <c r="AD629">
        <f>IF(COUNT($E$2:$E629)&lt;15,"",AVERAGE($AC$616:$AC$629))</f>
        <v>0</v>
      </c>
      <c r="AE629">
        <f>IF(OR($E629="",$E628=""),"",IF(AND(($C629-$C628)&gt;($D628-$D629),($C629-$C628)&gt;0),$C629-$C628,0))</f>
        <v>0</v>
      </c>
      <c r="AF629">
        <f>IF(OR($E629="",$E628=""),"",IF(AND(($D628-$D629)&gt;($C629-$C628),($D628-$D629)&gt;0),$D628-$D629,0))</f>
        <v>0</v>
      </c>
      <c r="AG629">
        <f>IF(COUNT($E$2:$E629)&lt;15,"",IF(SUM($AC$616:$AC$629)=0,0,100*SUM($AE$616:$AE$629)/SUM($AC$616:$AC$629)))</f>
        <v>0</v>
      </c>
      <c r="AH629">
        <f>IF(COUNT($E$2:$E629)&lt;15,"",IF(SUM($AC$616:$AC$629)=0,0,100*SUM($AF$616:$AF$629)/SUM($AC$616:$AC$629)))</f>
        <v>0</v>
      </c>
      <c r="AI629">
        <f>IF(OR(AG629="",AH629=""),"",IF((AG629+AH629)=0,0,100*ABS(AG629-AH629)/(AG629+AH629)))</f>
        <v>0</v>
      </c>
      <c r="AJ629">
        <f>IF(COUNT($AI$616:$AI$629)&lt;14,"",AVERAGE($AI$616:$AI$629))</f>
        <v>0</v>
      </c>
      <c r="AK629">
        <f>IF(COUNT($E$2:$E629)&lt;20,"",AVERAGE($E$610:$E$629))</f>
        <v>0</v>
      </c>
      <c r="AL629">
        <f>IF(COUNT($E$2:$E629)&lt;20,"",STDEVP($E$610:$E$629))</f>
        <v>0</v>
      </c>
      <c r="AM629">
        <f>IF(AK629="","",AK629+2*AL629)</f>
        <v>0</v>
      </c>
      <c r="AN629">
        <f>IF(AK629="","",AK629-2*AL629)</f>
        <v>0</v>
      </c>
      <c r="AO629">
        <f>IF(OR(AM629="",AN629="",AM629=AN629),"",($E629-AN629)/(AM629-AN629))</f>
        <v>0</v>
      </c>
      <c r="AP629">
        <f>IF(OR(AM629="",AK629="",AK629=0),"",(AM629-AN629)/AK629)</f>
        <v>0</v>
      </c>
      <c r="AQ629">
        <f>IF(COUNT($E$2:$E629)&lt;20,"",MAX($C$610:$C$629))</f>
        <v>0</v>
      </c>
      <c r="AR629">
        <f>IF(COUNT($E$2:$E629)&lt;20,"",MIN($D$610:$D$629))</f>
        <v>0</v>
      </c>
      <c r="AS629">
        <f>IF(OR(AQ629="",AR629=""),"",(AQ629+AR629)/2)</f>
        <v>0</v>
      </c>
      <c r="AT629">
        <f>IF(COUNT($G$610:$G$629)&lt;20,"",STDEV($G$610:$G$629)*SQRT(252))</f>
        <v>0</v>
      </c>
      <c r="AU629">
        <f>IF(COUNT($E$2:$E629)&lt;9,"",(MAX($C$621:$C$629)+MIN($D$621:$D$629))/2)</f>
        <v>0</v>
      </c>
      <c r="AV629">
        <f>IF(COUNT($E$2:$E629)&lt;26,"",(MAX($C$604:$C$629)+MIN($D$604:$D$629))/2)</f>
        <v>0</v>
      </c>
      <c r="AW629">
        <f>IF(OR(AU629="",AV629=""),"",(AU629+AV629)/2)</f>
        <v>0</v>
      </c>
      <c r="AX629">
        <f>IF(COUNT($E$2:$E629)&lt;52,"",(MAX($C$578:$C$629)+MIN($D$578:$D$629))/2)</f>
        <v>0</v>
      </c>
      <c r="AY629">
        <f>IF(COUNT($E$2:$E629)&lt;20,"",MAX($C$530:$C$629))</f>
        <v>0</v>
      </c>
      <c r="AZ629">
        <f>IF(COUNT($E$2:$E629)&lt;20,"",MIN($D$530:$D$629))</f>
        <v>0</v>
      </c>
      <c r="BA629">
        <f>IF(COUNT($E$2:$E629)&lt;20,"",SLOPE($E$530:$E$629,$F$530:$F$629))</f>
        <v>0</v>
      </c>
      <c r="BB629">
        <f>IF(COUNT($E$2:$E629)&lt;20,"",INTERCEPT($E$530:$E$629,$F$530:$F$629))</f>
        <v>0</v>
      </c>
      <c r="BC629">
        <f>IF(OR(BA629="",BB629=""),"",BB629+BA629*F629)</f>
        <v>0</v>
      </c>
      <c r="BD629">
        <f>IF(COUNT($E$2:$E629)&lt;20,"",STEYX($E$530:$E$629,$F$530:$F$629))</f>
        <v>0</v>
      </c>
      <c r="BE629">
        <f>IF($E629="","",IF(AND(COUNT($E$630:$E$633)&gt;=4,$C629=MAX($C$625:$C$633)),$C629,""))</f>
        <v>0</v>
      </c>
      <c r="BF629">
        <f>IF($E629="","",IF(AND(COUNT($E$630:$E$633)&gt;=4,$D629=MIN($D$625:$D$633)),$D629,""))</f>
        <v>0</v>
      </c>
      <c r="BG629">
        <f>IF($A629="","",$A629-WEEKDAY($A629,2)+1)</f>
        <v>0</v>
      </c>
      <c r="BH629">
        <f>IF($A629="","",IF($A628="",1,IF(BG629&lt;&gt;BG628,1,0)))</f>
        <v>0</v>
      </c>
      <c r="BI629">
        <f>IF($A629="","",IF($A630="",1,IF(BG630&lt;&gt;BG629,1,0)))</f>
        <v>0</v>
      </c>
      <c r="BJ629">
        <f>IF($A629="","",IF(BH629=1,$B629,BJ628))</f>
        <v>0</v>
      </c>
      <c r="BK629">
        <f>IF($A629="","",IF(BH629=1,$C629,MAX($C629,BK628)))</f>
        <v>0</v>
      </c>
      <c r="BL629">
        <f>IF($A629="","",IF(BH629=1,$D629,MIN($D629,BL628)))</f>
        <v>0</v>
      </c>
      <c r="BM629">
        <f>IF($A629="","",IF(BI629=1,F629,""))</f>
        <v>0</v>
      </c>
      <c r="BN629">
        <f>IF($A629="","",DATE(YEAR($A629),MONTH($A629),1))</f>
        <v>0</v>
      </c>
      <c r="BO629">
        <f>IF($A629="","",IF($A628="",1,IF(BN629&lt;&gt;BN628,1,0)))</f>
        <v>0</v>
      </c>
      <c r="BP629">
        <f>IF($A629="","",IF($A630="",1,IF(BN630&lt;&gt;BN629,1,0)))</f>
        <v>0</v>
      </c>
      <c r="BQ629">
        <f>IF($A629="","",IF(BO629=1,$B629,BQ628))</f>
        <v>0</v>
      </c>
      <c r="BR629">
        <f>IF($A629="","",IF(BO629=1,$C629,MAX($C629,BR628)))</f>
        <v>0</v>
      </c>
      <c r="BS629">
        <f>IF($A629="","",IF(BO629=1,$D629,MIN($D629,BS628)))</f>
        <v>0</v>
      </c>
      <c r="BT629">
        <f>IF($A629="","",IF(BP629=1,F629,""))</f>
        <v>0</v>
      </c>
    </row>
    <row r="630" spans="1:72">
      <c r="A630" s="27">
        <f>IF(Data!$A630="","",Data!$A630)</f>
        <v>0</v>
      </c>
      <c r="B630">
        <f>IF(Data!$B630="","",Data!$B630)</f>
        <v>0</v>
      </c>
      <c r="C630">
        <f>IF(Data!$C630="","",Data!$C630)</f>
        <v>0</v>
      </c>
      <c r="D630">
        <f>IF(Data!$D630="","",Data!$D630)</f>
        <v>0</v>
      </c>
      <c r="E630">
        <f>IF(Data!$E630="","",Data!$E630)</f>
        <v>0</v>
      </c>
      <c r="F630">
        <f>IF($E630="","",N(F629)+1)</f>
        <v>0</v>
      </c>
      <c r="G630">
        <f>IF(OR($E630="",$E629=""),"",LN($E630/$E629))</f>
        <v>0</v>
      </c>
      <c r="H630">
        <f>IF($E630="","",IF($E629="",$E630,$E630*0.0952380952+H629*0.9047619048))</f>
        <v>0</v>
      </c>
      <c r="I630">
        <f>IF($E630="","",IF($E629="",$E630,$E630*0.0392156863+I629*0.9607843137))</f>
        <v>0</v>
      </c>
      <c r="J630">
        <f>IF($E630="","",IF($E629="",$E630,$E630*0.0198019802+J629*0.9801980198))</f>
        <v>0</v>
      </c>
      <c r="K630">
        <f>IF($E630="","",IF($E629="",$E630,$E630*0.0099502488+K629*0.9900497512))</f>
        <v>0</v>
      </c>
      <c r="L630">
        <f>IF(OR($E630="",$E629=""),"",MAX($E630-$E629,0))</f>
        <v>0</v>
      </c>
      <c r="M630">
        <f>IF(OR($E630="",$E629=""),"",MAX($E629-$E630,0))</f>
        <v>0</v>
      </c>
      <c r="N630">
        <f>IF(COUNT($E$2:$E630)&lt;15,"",IF(AVERAGE($M$617:$M$630)=0,100,100-100/(1+AVERAGE($L$617:$L$630)/AVERAGE($M$617:$M$630))))</f>
        <v>0</v>
      </c>
      <c r="O630">
        <f>IF($E630="","",IF($E629="",$E630,$E630*0.1538461538+O629*0.8461538462))</f>
        <v>0</v>
      </c>
      <c r="P630">
        <f>IF($E630="","",IF($E629="",$E630,$E630*0.0740740741+P629*0.9259259259))</f>
        <v>0</v>
      </c>
      <c r="Q630">
        <f>IF(OR(O630="",P630=""),"",O630-P630)</f>
        <v>0</v>
      </c>
      <c r="R630">
        <f>IF(Q630="","",IF(R629="",Q630,Q630*0.2000000000+R629*0.8000000000))</f>
        <v>0</v>
      </c>
      <c r="S630">
        <f>IF(OR(Q630="",R630=""),"",Q630-R630)</f>
        <v>0</v>
      </c>
      <c r="T630">
        <f>IF(COUNT($E$2:$E630)&lt;14,"",MAX($C$617:$C$630))</f>
        <v>0</v>
      </c>
      <c r="U630">
        <f>IF(COUNT($E$2:$E630)&lt;14,"",MIN($D$617:$D$630))</f>
        <v>0</v>
      </c>
      <c r="V630">
        <f>IF(OR(T630="",U630="",T630=U630),"",100*($E630-U630)/(T630-U630))</f>
        <v>0</v>
      </c>
      <c r="W630">
        <f>IF(COUNT($V$628:$V$630)&lt;3,"",AVERAGE($V$628:$V$630))</f>
        <v>0</v>
      </c>
      <c r="X630">
        <f>IF(COUNT($N$617:$N$630)&lt;14,"",MIN($N$617:$N$630))</f>
        <v>0</v>
      </c>
      <c r="Y630">
        <f>IF(COUNT($N$617:$N$630)&lt;14,"",MAX($N$617:$N$630))</f>
        <v>0</v>
      </c>
      <c r="Z630">
        <f>IF(OR(N630="",X630="",Y630="",Y630=X630),"",100*(N630-X630)/(Y630-X630))</f>
        <v>0</v>
      </c>
      <c r="AA630">
        <f>IF(COUNT($Z$628:$Z$630)&lt;3,"",AVERAGE($Z$628:$Z$630))</f>
        <v>0</v>
      </c>
      <c r="AB630">
        <f>IF(COUNT($AA$628:$AA$630)&lt;3,"",AVERAGE($AA$628:$AA$630))</f>
        <v>0</v>
      </c>
      <c r="AC630">
        <f>IF($E630="","",MAX($C630-$D630,ABS($C630-$E629),ABS($D630-$E629)))</f>
        <v>0</v>
      </c>
      <c r="AD630">
        <f>IF(COUNT($E$2:$E630)&lt;15,"",AVERAGE($AC$617:$AC$630))</f>
        <v>0</v>
      </c>
      <c r="AE630">
        <f>IF(OR($E630="",$E629=""),"",IF(AND(($C630-$C629)&gt;($D629-$D630),($C630-$C629)&gt;0),$C630-$C629,0))</f>
        <v>0</v>
      </c>
      <c r="AF630">
        <f>IF(OR($E630="",$E629=""),"",IF(AND(($D629-$D630)&gt;($C630-$C629),($D629-$D630)&gt;0),$D629-$D630,0))</f>
        <v>0</v>
      </c>
      <c r="AG630">
        <f>IF(COUNT($E$2:$E630)&lt;15,"",IF(SUM($AC$617:$AC$630)=0,0,100*SUM($AE$617:$AE$630)/SUM($AC$617:$AC$630)))</f>
        <v>0</v>
      </c>
      <c r="AH630">
        <f>IF(COUNT($E$2:$E630)&lt;15,"",IF(SUM($AC$617:$AC$630)=0,0,100*SUM($AF$617:$AF$630)/SUM($AC$617:$AC$630)))</f>
        <v>0</v>
      </c>
      <c r="AI630">
        <f>IF(OR(AG630="",AH630=""),"",IF((AG630+AH630)=0,0,100*ABS(AG630-AH630)/(AG630+AH630)))</f>
        <v>0</v>
      </c>
      <c r="AJ630">
        <f>IF(COUNT($AI$617:$AI$630)&lt;14,"",AVERAGE($AI$617:$AI$630))</f>
        <v>0</v>
      </c>
      <c r="AK630">
        <f>IF(COUNT($E$2:$E630)&lt;20,"",AVERAGE($E$611:$E$630))</f>
        <v>0</v>
      </c>
      <c r="AL630">
        <f>IF(COUNT($E$2:$E630)&lt;20,"",STDEVP($E$611:$E$630))</f>
        <v>0</v>
      </c>
      <c r="AM630">
        <f>IF(AK630="","",AK630+2*AL630)</f>
        <v>0</v>
      </c>
      <c r="AN630">
        <f>IF(AK630="","",AK630-2*AL630)</f>
        <v>0</v>
      </c>
      <c r="AO630">
        <f>IF(OR(AM630="",AN630="",AM630=AN630),"",($E630-AN630)/(AM630-AN630))</f>
        <v>0</v>
      </c>
      <c r="AP630">
        <f>IF(OR(AM630="",AK630="",AK630=0),"",(AM630-AN630)/AK630)</f>
        <v>0</v>
      </c>
      <c r="AQ630">
        <f>IF(COUNT($E$2:$E630)&lt;20,"",MAX($C$611:$C$630))</f>
        <v>0</v>
      </c>
      <c r="AR630">
        <f>IF(COUNT($E$2:$E630)&lt;20,"",MIN($D$611:$D$630))</f>
        <v>0</v>
      </c>
      <c r="AS630">
        <f>IF(OR(AQ630="",AR630=""),"",(AQ630+AR630)/2)</f>
        <v>0</v>
      </c>
      <c r="AT630">
        <f>IF(COUNT($G$611:$G$630)&lt;20,"",STDEV($G$611:$G$630)*SQRT(252))</f>
        <v>0</v>
      </c>
      <c r="AU630">
        <f>IF(COUNT($E$2:$E630)&lt;9,"",(MAX($C$622:$C$630)+MIN($D$622:$D$630))/2)</f>
        <v>0</v>
      </c>
      <c r="AV630">
        <f>IF(COUNT($E$2:$E630)&lt;26,"",(MAX($C$605:$C$630)+MIN($D$605:$D$630))/2)</f>
        <v>0</v>
      </c>
      <c r="AW630">
        <f>IF(OR(AU630="",AV630=""),"",(AU630+AV630)/2)</f>
        <v>0</v>
      </c>
      <c r="AX630">
        <f>IF(COUNT($E$2:$E630)&lt;52,"",(MAX($C$579:$C$630)+MIN($D$579:$D$630))/2)</f>
        <v>0</v>
      </c>
      <c r="AY630">
        <f>IF(COUNT($E$2:$E630)&lt;20,"",MAX($C$531:$C$630))</f>
        <v>0</v>
      </c>
      <c r="AZ630">
        <f>IF(COUNT($E$2:$E630)&lt;20,"",MIN($D$531:$D$630))</f>
        <v>0</v>
      </c>
      <c r="BA630">
        <f>IF(COUNT($E$2:$E630)&lt;20,"",SLOPE($E$531:$E$630,$F$531:$F$630))</f>
        <v>0</v>
      </c>
      <c r="BB630">
        <f>IF(COUNT($E$2:$E630)&lt;20,"",INTERCEPT($E$531:$E$630,$F$531:$F$630))</f>
        <v>0</v>
      </c>
      <c r="BC630">
        <f>IF(OR(BA630="",BB630=""),"",BB630+BA630*F630)</f>
        <v>0</v>
      </c>
      <c r="BD630">
        <f>IF(COUNT($E$2:$E630)&lt;20,"",STEYX($E$531:$E$630,$F$531:$F$630))</f>
        <v>0</v>
      </c>
      <c r="BE630">
        <f>IF($E630="","",IF(AND(COUNT($E$631:$E$634)&gt;=4,$C630=MAX($C$626:$C$634)),$C630,""))</f>
        <v>0</v>
      </c>
      <c r="BF630">
        <f>IF($E630="","",IF(AND(COUNT($E$631:$E$634)&gt;=4,$D630=MIN($D$626:$D$634)),$D630,""))</f>
        <v>0</v>
      </c>
      <c r="BG630">
        <f>IF($A630="","",$A630-WEEKDAY($A630,2)+1)</f>
        <v>0</v>
      </c>
      <c r="BH630">
        <f>IF($A630="","",IF($A629="",1,IF(BG630&lt;&gt;BG629,1,0)))</f>
        <v>0</v>
      </c>
      <c r="BI630">
        <f>IF($A630="","",IF($A631="",1,IF(BG631&lt;&gt;BG630,1,0)))</f>
        <v>0</v>
      </c>
      <c r="BJ630">
        <f>IF($A630="","",IF(BH630=1,$B630,BJ629))</f>
        <v>0</v>
      </c>
      <c r="BK630">
        <f>IF($A630="","",IF(BH630=1,$C630,MAX($C630,BK629)))</f>
        <v>0</v>
      </c>
      <c r="BL630">
        <f>IF($A630="","",IF(BH630=1,$D630,MIN($D630,BL629)))</f>
        <v>0</v>
      </c>
      <c r="BM630">
        <f>IF($A630="","",IF(BI630=1,F630,""))</f>
        <v>0</v>
      </c>
      <c r="BN630">
        <f>IF($A630="","",DATE(YEAR($A630),MONTH($A630),1))</f>
        <v>0</v>
      </c>
      <c r="BO630">
        <f>IF($A630="","",IF($A629="",1,IF(BN630&lt;&gt;BN629,1,0)))</f>
        <v>0</v>
      </c>
      <c r="BP630">
        <f>IF($A630="","",IF($A631="",1,IF(BN631&lt;&gt;BN630,1,0)))</f>
        <v>0</v>
      </c>
      <c r="BQ630">
        <f>IF($A630="","",IF(BO630=1,$B630,BQ629))</f>
        <v>0</v>
      </c>
      <c r="BR630">
        <f>IF($A630="","",IF(BO630=1,$C630,MAX($C630,BR629)))</f>
        <v>0</v>
      </c>
      <c r="BS630">
        <f>IF($A630="","",IF(BO630=1,$D630,MIN($D630,BS629)))</f>
        <v>0</v>
      </c>
      <c r="BT630">
        <f>IF($A630="","",IF(BP630=1,F630,""))</f>
        <v>0</v>
      </c>
    </row>
    <row r="631" spans="1:72">
      <c r="A631" s="27">
        <f>IF(Data!$A631="","",Data!$A631)</f>
        <v>0</v>
      </c>
      <c r="B631">
        <f>IF(Data!$B631="","",Data!$B631)</f>
        <v>0</v>
      </c>
      <c r="C631">
        <f>IF(Data!$C631="","",Data!$C631)</f>
        <v>0</v>
      </c>
      <c r="D631">
        <f>IF(Data!$D631="","",Data!$D631)</f>
        <v>0</v>
      </c>
      <c r="E631">
        <f>IF(Data!$E631="","",Data!$E631)</f>
        <v>0</v>
      </c>
      <c r="F631">
        <f>IF($E631="","",N(F630)+1)</f>
        <v>0</v>
      </c>
      <c r="G631">
        <f>IF(OR($E631="",$E630=""),"",LN($E631/$E630))</f>
        <v>0</v>
      </c>
      <c r="H631">
        <f>IF($E631="","",IF($E630="",$E631,$E631*0.0952380952+H630*0.9047619048))</f>
        <v>0</v>
      </c>
      <c r="I631">
        <f>IF($E631="","",IF($E630="",$E631,$E631*0.0392156863+I630*0.9607843137))</f>
        <v>0</v>
      </c>
      <c r="J631">
        <f>IF($E631="","",IF($E630="",$E631,$E631*0.0198019802+J630*0.9801980198))</f>
        <v>0</v>
      </c>
      <c r="K631">
        <f>IF($E631="","",IF($E630="",$E631,$E631*0.0099502488+K630*0.9900497512))</f>
        <v>0</v>
      </c>
      <c r="L631">
        <f>IF(OR($E631="",$E630=""),"",MAX($E631-$E630,0))</f>
        <v>0</v>
      </c>
      <c r="M631">
        <f>IF(OR($E631="",$E630=""),"",MAX($E630-$E631,0))</f>
        <v>0</v>
      </c>
      <c r="N631">
        <f>IF(COUNT($E$2:$E631)&lt;15,"",IF(AVERAGE($M$618:$M$631)=0,100,100-100/(1+AVERAGE($L$618:$L$631)/AVERAGE($M$618:$M$631))))</f>
        <v>0</v>
      </c>
      <c r="O631">
        <f>IF($E631="","",IF($E630="",$E631,$E631*0.1538461538+O630*0.8461538462))</f>
        <v>0</v>
      </c>
      <c r="P631">
        <f>IF($E631="","",IF($E630="",$E631,$E631*0.0740740741+P630*0.9259259259))</f>
        <v>0</v>
      </c>
      <c r="Q631">
        <f>IF(OR(O631="",P631=""),"",O631-P631)</f>
        <v>0</v>
      </c>
      <c r="R631">
        <f>IF(Q631="","",IF(R630="",Q631,Q631*0.2000000000+R630*0.8000000000))</f>
        <v>0</v>
      </c>
      <c r="S631">
        <f>IF(OR(Q631="",R631=""),"",Q631-R631)</f>
        <v>0</v>
      </c>
      <c r="T631">
        <f>IF(COUNT($E$2:$E631)&lt;14,"",MAX($C$618:$C$631))</f>
        <v>0</v>
      </c>
      <c r="U631">
        <f>IF(COUNT($E$2:$E631)&lt;14,"",MIN($D$618:$D$631))</f>
        <v>0</v>
      </c>
      <c r="V631">
        <f>IF(OR(T631="",U631="",T631=U631),"",100*($E631-U631)/(T631-U631))</f>
        <v>0</v>
      </c>
      <c r="W631">
        <f>IF(COUNT($V$629:$V$631)&lt;3,"",AVERAGE($V$629:$V$631))</f>
        <v>0</v>
      </c>
      <c r="X631">
        <f>IF(COUNT($N$618:$N$631)&lt;14,"",MIN($N$618:$N$631))</f>
        <v>0</v>
      </c>
      <c r="Y631">
        <f>IF(COUNT($N$618:$N$631)&lt;14,"",MAX($N$618:$N$631))</f>
        <v>0</v>
      </c>
      <c r="Z631">
        <f>IF(OR(N631="",X631="",Y631="",Y631=X631),"",100*(N631-X631)/(Y631-X631))</f>
        <v>0</v>
      </c>
      <c r="AA631">
        <f>IF(COUNT($Z$629:$Z$631)&lt;3,"",AVERAGE($Z$629:$Z$631))</f>
        <v>0</v>
      </c>
      <c r="AB631">
        <f>IF(COUNT($AA$629:$AA$631)&lt;3,"",AVERAGE($AA$629:$AA$631))</f>
        <v>0</v>
      </c>
      <c r="AC631">
        <f>IF($E631="","",MAX($C631-$D631,ABS($C631-$E630),ABS($D631-$E630)))</f>
        <v>0</v>
      </c>
      <c r="AD631">
        <f>IF(COUNT($E$2:$E631)&lt;15,"",AVERAGE($AC$618:$AC$631))</f>
        <v>0</v>
      </c>
      <c r="AE631">
        <f>IF(OR($E631="",$E630=""),"",IF(AND(($C631-$C630)&gt;($D630-$D631),($C631-$C630)&gt;0),$C631-$C630,0))</f>
        <v>0</v>
      </c>
      <c r="AF631">
        <f>IF(OR($E631="",$E630=""),"",IF(AND(($D630-$D631)&gt;($C631-$C630),($D630-$D631)&gt;0),$D630-$D631,0))</f>
        <v>0</v>
      </c>
      <c r="AG631">
        <f>IF(COUNT($E$2:$E631)&lt;15,"",IF(SUM($AC$618:$AC$631)=0,0,100*SUM($AE$618:$AE$631)/SUM($AC$618:$AC$631)))</f>
        <v>0</v>
      </c>
      <c r="AH631">
        <f>IF(COUNT($E$2:$E631)&lt;15,"",IF(SUM($AC$618:$AC$631)=0,0,100*SUM($AF$618:$AF$631)/SUM($AC$618:$AC$631)))</f>
        <v>0</v>
      </c>
      <c r="AI631">
        <f>IF(OR(AG631="",AH631=""),"",IF((AG631+AH631)=0,0,100*ABS(AG631-AH631)/(AG631+AH631)))</f>
        <v>0</v>
      </c>
      <c r="AJ631">
        <f>IF(COUNT($AI$618:$AI$631)&lt;14,"",AVERAGE($AI$618:$AI$631))</f>
        <v>0</v>
      </c>
      <c r="AK631">
        <f>IF(COUNT($E$2:$E631)&lt;20,"",AVERAGE($E$612:$E$631))</f>
        <v>0</v>
      </c>
      <c r="AL631">
        <f>IF(COUNT($E$2:$E631)&lt;20,"",STDEVP($E$612:$E$631))</f>
        <v>0</v>
      </c>
      <c r="AM631">
        <f>IF(AK631="","",AK631+2*AL631)</f>
        <v>0</v>
      </c>
      <c r="AN631">
        <f>IF(AK631="","",AK631-2*AL631)</f>
        <v>0</v>
      </c>
      <c r="AO631">
        <f>IF(OR(AM631="",AN631="",AM631=AN631),"",($E631-AN631)/(AM631-AN631))</f>
        <v>0</v>
      </c>
      <c r="AP631">
        <f>IF(OR(AM631="",AK631="",AK631=0),"",(AM631-AN631)/AK631)</f>
        <v>0</v>
      </c>
      <c r="AQ631">
        <f>IF(COUNT($E$2:$E631)&lt;20,"",MAX($C$612:$C$631))</f>
        <v>0</v>
      </c>
      <c r="AR631">
        <f>IF(COUNT($E$2:$E631)&lt;20,"",MIN($D$612:$D$631))</f>
        <v>0</v>
      </c>
      <c r="AS631">
        <f>IF(OR(AQ631="",AR631=""),"",(AQ631+AR631)/2)</f>
        <v>0</v>
      </c>
      <c r="AT631">
        <f>IF(COUNT($G$612:$G$631)&lt;20,"",STDEV($G$612:$G$631)*SQRT(252))</f>
        <v>0</v>
      </c>
      <c r="AU631">
        <f>IF(COUNT($E$2:$E631)&lt;9,"",(MAX($C$623:$C$631)+MIN($D$623:$D$631))/2)</f>
        <v>0</v>
      </c>
      <c r="AV631">
        <f>IF(COUNT($E$2:$E631)&lt;26,"",(MAX($C$606:$C$631)+MIN($D$606:$D$631))/2)</f>
        <v>0</v>
      </c>
      <c r="AW631">
        <f>IF(OR(AU631="",AV631=""),"",(AU631+AV631)/2)</f>
        <v>0</v>
      </c>
      <c r="AX631">
        <f>IF(COUNT($E$2:$E631)&lt;52,"",(MAX($C$580:$C$631)+MIN($D$580:$D$631))/2)</f>
        <v>0</v>
      </c>
      <c r="AY631">
        <f>IF(COUNT($E$2:$E631)&lt;20,"",MAX($C$532:$C$631))</f>
        <v>0</v>
      </c>
      <c r="AZ631">
        <f>IF(COUNT($E$2:$E631)&lt;20,"",MIN($D$532:$D$631))</f>
        <v>0</v>
      </c>
      <c r="BA631">
        <f>IF(COUNT($E$2:$E631)&lt;20,"",SLOPE($E$532:$E$631,$F$532:$F$631))</f>
        <v>0</v>
      </c>
      <c r="BB631">
        <f>IF(COUNT($E$2:$E631)&lt;20,"",INTERCEPT($E$532:$E$631,$F$532:$F$631))</f>
        <v>0</v>
      </c>
      <c r="BC631">
        <f>IF(OR(BA631="",BB631=""),"",BB631+BA631*F631)</f>
        <v>0</v>
      </c>
      <c r="BD631">
        <f>IF(COUNT($E$2:$E631)&lt;20,"",STEYX($E$532:$E$631,$F$532:$F$631))</f>
        <v>0</v>
      </c>
      <c r="BE631">
        <f>IF($E631="","",IF(AND(COUNT($E$632:$E$635)&gt;=4,$C631=MAX($C$627:$C$635)),$C631,""))</f>
        <v>0</v>
      </c>
      <c r="BF631">
        <f>IF($E631="","",IF(AND(COUNT($E$632:$E$635)&gt;=4,$D631=MIN($D$627:$D$635)),$D631,""))</f>
        <v>0</v>
      </c>
      <c r="BG631">
        <f>IF($A631="","",$A631-WEEKDAY($A631,2)+1)</f>
        <v>0</v>
      </c>
      <c r="BH631">
        <f>IF($A631="","",IF($A630="",1,IF(BG631&lt;&gt;BG630,1,0)))</f>
        <v>0</v>
      </c>
      <c r="BI631">
        <f>IF($A631="","",IF($A632="",1,IF(BG632&lt;&gt;BG631,1,0)))</f>
        <v>0</v>
      </c>
      <c r="BJ631">
        <f>IF($A631="","",IF(BH631=1,$B631,BJ630))</f>
        <v>0</v>
      </c>
      <c r="BK631">
        <f>IF($A631="","",IF(BH631=1,$C631,MAX($C631,BK630)))</f>
        <v>0</v>
      </c>
      <c r="BL631">
        <f>IF($A631="","",IF(BH631=1,$D631,MIN($D631,BL630)))</f>
        <v>0</v>
      </c>
      <c r="BM631">
        <f>IF($A631="","",IF(BI631=1,F631,""))</f>
        <v>0</v>
      </c>
      <c r="BN631">
        <f>IF($A631="","",DATE(YEAR($A631),MONTH($A631),1))</f>
        <v>0</v>
      </c>
      <c r="BO631">
        <f>IF($A631="","",IF($A630="",1,IF(BN631&lt;&gt;BN630,1,0)))</f>
        <v>0</v>
      </c>
      <c r="BP631">
        <f>IF($A631="","",IF($A632="",1,IF(BN632&lt;&gt;BN631,1,0)))</f>
        <v>0</v>
      </c>
      <c r="BQ631">
        <f>IF($A631="","",IF(BO631=1,$B631,BQ630))</f>
        <v>0</v>
      </c>
      <c r="BR631">
        <f>IF($A631="","",IF(BO631=1,$C631,MAX($C631,BR630)))</f>
        <v>0</v>
      </c>
      <c r="BS631">
        <f>IF($A631="","",IF(BO631=1,$D631,MIN($D631,BS630)))</f>
        <v>0</v>
      </c>
      <c r="BT631">
        <f>IF($A631="","",IF(BP631=1,F631,""))</f>
        <v>0</v>
      </c>
    </row>
    <row r="632" spans="1:72">
      <c r="A632" s="27">
        <f>IF(Data!$A632="","",Data!$A632)</f>
        <v>0</v>
      </c>
      <c r="B632">
        <f>IF(Data!$B632="","",Data!$B632)</f>
        <v>0</v>
      </c>
      <c r="C632">
        <f>IF(Data!$C632="","",Data!$C632)</f>
        <v>0</v>
      </c>
      <c r="D632">
        <f>IF(Data!$D632="","",Data!$D632)</f>
        <v>0</v>
      </c>
      <c r="E632">
        <f>IF(Data!$E632="","",Data!$E632)</f>
        <v>0</v>
      </c>
      <c r="F632">
        <f>IF($E632="","",N(F631)+1)</f>
        <v>0</v>
      </c>
      <c r="G632">
        <f>IF(OR($E632="",$E631=""),"",LN($E632/$E631))</f>
        <v>0</v>
      </c>
      <c r="H632">
        <f>IF($E632="","",IF($E631="",$E632,$E632*0.0952380952+H631*0.9047619048))</f>
        <v>0</v>
      </c>
      <c r="I632">
        <f>IF($E632="","",IF($E631="",$E632,$E632*0.0392156863+I631*0.9607843137))</f>
        <v>0</v>
      </c>
      <c r="J632">
        <f>IF($E632="","",IF($E631="",$E632,$E632*0.0198019802+J631*0.9801980198))</f>
        <v>0</v>
      </c>
      <c r="K632">
        <f>IF($E632="","",IF($E631="",$E632,$E632*0.0099502488+K631*0.9900497512))</f>
        <v>0</v>
      </c>
      <c r="L632">
        <f>IF(OR($E632="",$E631=""),"",MAX($E632-$E631,0))</f>
        <v>0</v>
      </c>
      <c r="M632">
        <f>IF(OR($E632="",$E631=""),"",MAX($E631-$E632,0))</f>
        <v>0</v>
      </c>
      <c r="N632">
        <f>IF(COUNT($E$2:$E632)&lt;15,"",IF(AVERAGE($M$619:$M$632)=0,100,100-100/(1+AVERAGE($L$619:$L$632)/AVERAGE($M$619:$M$632))))</f>
        <v>0</v>
      </c>
      <c r="O632">
        <f>IF($E632="","",IF($E631="",$E632,$E632*0.1538461538+O631*0.8461538462))</f>
        <v>0</v>
      </c>
      <c r="P632">
        <f>IF($E632="","",IF($E631="",$E632,$E632*0.0740740741+P631*0.9259259259))</f>
        <v>0</v>
      </c>
      <c r="Q632">
        <f>IF(OR(O632="",P632=""),"",O632-P632)</f>
        <v>0</v>
      </c>
      <c r="R632">
        <f>IF(Q632="","",IF(R631="",Q632,Q632*0.2000000000+R631*0.8000000000))</f>
        <v>0</v>
      </c>
      <c r="S632">
        <f>IF(OR(Q632="",R632=""),"",Q632-R632)</f>
        <v>0</v>
      </c>
      <c r="T632">
        <f>IF(COUNT($E$2:$E632)&lt;14,"",MAX($C$619:$C$632))</f>
        <v>0</v>
      </c>
      <c r="U632">
        <f>IF(COUNT($E$2:$E632)&lt;14,"",MIN($D$619:$D$632))</f>
        <v>0</v>
      </c>
      <c r="V632">
        <f>IF(OR(T632="",U632="",T632=U632),"",100*($E632-U632)/(T632-U632))</f>
        <v>0</v>
      </c>
      <c r="W632">
        <f>IF(COUNT($V$630:$V$632)&lt;3,"",AVERAGE($V$630:$V$632))</f>
        <v>0</v>
      </c>
      <c r="X632">
        <f>IF(COUNT($N$619:$N$632)&lt;14,"",MIN($N$619:$N$632))</f>
        <v>0</v>
      </c>
      <c r="Y632">
        <f>IF(COUNT($N$619:$N$632)&lt;14,"",MAX($N$619:$N$632))</f>
        <v>0</v>
      </c>
      <c r="Z632">
        <f>IF(OR(N632="",X632="",Y632="",Y632=X632),"",100*(N632-X632)/(Y632-X632))</f>
        <v>0</v>
      </c>
      <c r="AA632">
        <f>IF(COUNT($Z$630:$Z$632)&lt;3,"",AVERAGE($Z$630:$Z$632))</f>
        <v>0</v>
      </c>
      <c r="AB632">
        <f>IF(COUNT($AA$630:$AA$632)&lt;3,"",AVERAGE($AA$630:$AA$632))</f>
        <v>0</v>
      </c>
      <c r="AC632">
        <f>IF($E632="","",MAX($C632-$D632,ABS($C632-$E631),ABS($D632-$E631)))</f>
        <v>0</v>
      </c>
      <c r="AD632">
        <f>IF(COUNT($E$2:$E632)&lt;15,"",AVERAGE($AC$619:$AC$632))</f>
        <v>0</v>
      </c>
      <c r="AE632">
        <f>IF(OR($E632="",$E631=""),"",IF(AND(($C632-$C631)&gt;($D631-$D632),($C632-$C631)&gt;0),$C632-$C631,0))</f>
        <v>0</v>
      </c>
      <c r="AF632">
        <f>IF(OR($E632="",$E631=""),"",IF(AND(($D631-$D632)&gt;($C632-$C631),($D631-$D632)&gt;0),$D631-$D632,0))</f>
        <v>0</v>
      </c>
      <c r="AG632">
        <f>IF(COUNT($E$2:$E632)&lt;15,"",IF(SUM($AC$619:$AC$632)=0,0,100*SUM($AE$619:$AE$632)/SUM($AC$619:$AC$632)))</f>
        <v>0</v>
      </c>
      <c r="AH632">
        <f>IF(COUNT($E$2:$E632)&lt;15,"",IF(SUM($AC$619:$AC$632)=0,0,100*SUM($AF$619:$AF$632)/SUM($AC$619:$AC$632)))</f>
        <v>0</v>
      </c>
      <c r="AI632">
        <f>IF(OR(AG632="",AH632=""),"",IF((AG632+AH632)=0,0,100*ABS(AG632-AH632)/(AG632+AH632)))</f>
        <v>0</v>
      </c>
      <c r="AJ632">
        <f>IF(COUNT($AI$619:$AI$632)&lt;14,"",AVERAGE($AI$619:$AI$632))</f>
        <v>0</v>
      </c>
      <c r="AK632">
        <f>IF(COUNT($E$2:$E632)&lt;20,"",AVERAGE($E$613:$E$632))</f>
        <v>0</v>
      </c>
      <c r="AL632">
        <f>IF(COUNT($E$2:$E632)&lt;20,"",STDEVP($E$613:$E$632))</f>
        <v>0</v>
      </c>
      <c r="AM632">
        <f>IF(AK632="","",AK632+2*AL632)</f>
        <v>0</v>
      </c>
      <c r="AN632">
        <f>IF(AK632="","",AK632-2*AL632)</f>
        <v>0</v>
      </c>
      <c r="AO632">
        <f>IF(OR(AM632="",AN632="",AM632=AN632),"",($E632-AN632)/(AM632-AN632))</f>
        <v>0</v>
      </c>
      <c r="AP632">
        <f>IF(OR(AM632="",AK632="",AK632=0),"",(AM632-AN632)/AK632)</f>
        <v>0</v>
      </c>
      <c r="AQ632">
        <f>IF(COUNT($E$2:$E632)&lt;20,"",MAX($C$613:$C$632))</f>
        <v>0</v>
      </c>
      <c r="AR632">
        <f>IF(COUNT($E$2:$E632)&lt;20,"",MIN($D$613:$D$632))</f>
        <v>0</v>
      </c>
      <c r="AS632">
        <f>IF(OR(AQ632="",AR632=""),"",(AQ632+AR632)/2)</f>
        <v>0</v>
      </c>
      <c r="AT632">
        <f>IF(COUNT($G$613:$G$632)&lt;20,"",STDEV($G$613:$G$632)*SQRT(252))</f>
        <v>0</v>
      </c>
      <c r="AU632">
        <f>IF(COUNT($E$2:$E632)&lt;9,"",(MAX($C$624:$C$632)+MIN($D$624:$D$632))/2)</f>
        <v>0</v>
      </c>
      <c r="AV632">
        <f>IF(COUNT($E$2:$E632)&lt;26,"",(MAX($C$607:$C$632)+MIN($D$607:$D$632))/2)</f>
        <v>0</v>
      </c>
      <c r="AW632">
        <f>IF(OR(AU632="",AV632=""),"",(AU632+AV632)/2)</f>
        <v>0</v>
      </c>
      <c r="AX632">
        <f>IF(COUNT($E$2:$E632)&lt;52,"",(MAX($C$581:$C$632)+MIN($D$581:$D$632))/2)</f>
        <v>0</v>
      </c>
      <c r="AY632">
        <f>IF(COUNT($E$2:$E632)&lt;20,"",MAX($C$533:$C$632))</f>
        <v>0</v>
      </c>
      <c r="AZ632">
        <f>IF(COUNT($E$2:$E632)&lt;20,"",MIN($D$533:$D$632))</f>
        <v>0</v>
      </c>
      <c r="BA632">
        <f>IF(COUNT($E$2:$E632)&lt;20,"",SLOPE($E$533:$E$632,$F$533:$F$632))</f>
        <v>0</v>
      </c>
      <c r="BB632">
        <f>IF(COUNT($E$2:$E632)&lt;20,"",INTERCEPT($E$533:$E$632,$F$533:$F$632))</f>
        <v>0</v>
      </c>
      <c r="BC632">
        <f>IF(OR(BA632="",BB632=""),"",BB632+BA632*F632)</f>
        <v>0</v>
      </c>
      <c r="BD632">
        <f>IF(COUNT($E$2:$E632)&lt;20,"",STEYX($E$533:$E$632,$F$533:$F$632))</f>
        <v>0</v>
      </c>
      <c r="BE632">
        <f>IF($E632="","",IF(AND(COUNT($E$633:$E$636)&gt;=4,$C632=MAX($C$628:$C$636)),$C632,""))</f>
        <v>0</v>
      </c>
      <c r="BF632">
        <f>IF($E632="","",IF(AND(COUNT($E$633:$E$636)&gt;=4,$D632=MIN($D$628:$D$636)),$D632,""))</f>
        <v>0</v>
      </c>
      <c r="BG632">
        <f>IF($A632="","",$A632-WEEKDAY($A632,2)+1)</f>
        <v>0</v>
      </c>
      <c r="BH632">
        <f>IF($A632="","",IF($A631="",1,IF(BG632&lt;&gt;BG631,1,0)))</f>
        <v>0</v>
      </c>
      <c r="BI632">
        <f>IF($A632="","",IF($A633="",1,IF(BG633&lt;&gt;BG632,1,0)))</f>
        <v>0</v>
      </c>
      <c r="BJ632">
        <f>IF($A632="","",IF(BH632=1,$B632,BJ631))</f>
        <v>0</v>
      </c>
      <c r="BK632">
        <f>IF($A632="","",IF(BH632=1,$C632,MAX($C632,BK631)))</f>
        <v>0</v>
      </c>
      <c r="BL632">
        <f>IF($A632="","",IF(BH632=1,$D632,MIN($D632,BL631)))</f>
        <v>0</v>
      </c>
      <c r="BM632">
        <f>IF($A632="","",IF(BI632=1,F632,""))</f>
        <v>0</v>
      </c>
      <c r="BN632">
        <f>IF($A632="","",DATE(YEAR($A632),MONTH($A632),1))</f>
        <v>0</v>
      </c>
      <c r="BO632">
        <f>IF($A632="","",IF($A631="",1,IF(BN632&lt;&gt;BN631,1,0)))</f>
        <v>0</v>
      </c>
      <c r="BP632">
        <f>IF($A632="","",IF($A633="",1,IF(BN633&lt;&gt;BN632,1,0)))</f>
        <v>0</v>
      </c>
      <c r="BQ632">
        <f>IF($A632="","",IF(BO632=1,$B632,BQ631))</f>
        <v>0</v>
      </c>
      <c r="BR632">
        <f>IF($A632="","",IF(BO632=1,$C632,MAX($C632,BR631)))</f>
        <v>0</v>
      </c>
      <c r="BS632">
        <f>IF($A632="","",IF(BO632=1,$D632,MIN($D632,BS631)))</f>
        <v>0</v>
      </c>
      <c r="BT632">
        <f>IF($A632="","",IF(BP632=1,F632,""))</f>
        <v>0</v>
      </c>
    </row>
    <row r="633" spans="1:72">
      <c r="A633" s="27">
        <f>IF(Data!$A633="","",Data!$A633)</f>
        <v>0</v>
      </c>
      <c r="B633">
        <f>IF(Data!$B633="","",Data!$B633)</f>
        <v>0</v>
      </c>
      <c r="C633">
        <f>IF(Data!$C633="","",Data!$C633)</f>
        <v>0</v>
      </c>
      <c r="D633">
        <f>IF(Data!$D633="","",Data!$D633)</f>
        <v>0</v>
      </c>
      <c r="E633">
        <f>IF(Data!$E633="","",Data!$E633)</f>
        <v>0</v>
      </c>
      <c r="F633">
        <f>IF($E633="","",N(F632)+1)</f>
        <v>0</v>
      </c>
      <c r="G633">
        <f>IF(OR($E633="",$E632=""),"",LN($E633/$E632))</f>
        <v>0</v>
      </c>
      <c r="H633">
        <f>IF($E633="","",IF($E632="",$E633,$E633*0.0952380952+H632*0.9047619048))</f>
        <v>0</v>
      </c>
      <c r="I633">
        <f>IF($E633="","",IF($E632="",$E633,$E633*0.0392156863+I632*0.9607843137))</f>
        <v>0</v>
      </c>
      <c r="J633">
        <f>IF($E633="","",IF($E632="",$E633,$E633*0.0198019802+J632*0.9801980198))</f>
        <v>0</v>
      </c>
      <c r="K633">
        <f>IF($E633="","",IF($E632="",$E633,$E633*0.0099502488+K632*0.9900497512))</f>
        <v>0</v>
      </c>
      <c r="L633">
        <f>IF(OR($E633="",$E632=""),"",MAX($E633-$E632,0))</f>
        <v>0</v>
      </c>
      <c r="M633">
        <f>IF(OR($E633="",$E632=""),"",MAX($E632-$E633,0))</f>
        <v>0</v>
      </c>
      <c r="N633">
        <f>IF(COUNT($E$2:$E633)&lt;15,"",IF(AVERAGE($M$620:$M$633)=0,100,100-100/(1+AVERAGE($L$620:$L$633)/AVERAGE($M$620:$M$633))))</f>
        <v>0</v>
      </c>
      <c r="O633">
        <f>IF($E633="","",IF($E632="",$E633,$E633*0.1538461538+O632*0.8461538462))</f>
        <v>0</v>
      </c>
      <c r="P633">
        <f>IF($E633="","",IF($E632="",$E633,$E633*0.0740740741+P632*0.9259259259))</f>
        <v>0</v>
      </c>
      <c r="Q633">
        <f>IF(OR(O633="",P633=""),"",O633-P633)</f>
        <v>0</v>
      </c>
      <c r="R633">
        <f>IF(Q633="","",IF(R632="",Q633,Q633*0.2000000000+R632*0.8000000000))</f>
        <v>0</v>
      </c>
      <c r="S633">
        <f>IF(OR(Q633="",R633=""),"",Q633-R633)</f>
        <v>0</v>
      </c>
      <c r="T633">
        <f>IF(COUNT($E$2:$E633)&lt;14,"",MAX($C$620:$C$633))</f>
        <v>0</v>
      </c>
      <c r="U633">
        <f>IF(COUNT($E$2:$E633)&lt;14,"",MIN($D$620:$D$633))</f>
        <v>0</v>
      </c>
      <c r="V633">
        <f>IF(OR(T633="",U633="",T633=U633),"",100*($E633-U633)/(T633-U633))</f>
        <v>0</v>
      </c>
      <c r="W633">
        <f>IF(COUNT($V$631:$V$633)&lt;3,"",AVERAGE($V$631:$V$633))</f>
        <v>0</v>
      </c>
      <c r="X633">
        <f>IF(COUNT($N$620:$N$633)&lt;14,"",MIN($N$620:$N$633))</f>
        <v>0</v>
      </c>
      <c r="Y633">
        <f>IF(COUNT($N$620:$N$633)&lt;14,"",MAX($N$620:$N$633))</f>
        <v>0</v>
      </c>
      <c r="Z633">
        <f>IF(OR(N633="",X633="",Y633="",Y633=X633),"",100*(N633-X633)/(Y633-X633))</f>
        <v>0</v>
      </c>
      <c r="AA633">
        <f>IF(COUNT($Z$631:$Z$633)&lt;3,"",AVERAGE($Z$631:$Z$633))</f>
        <v>0</v>
      </c>
      <c r="AB633">
        <f>IF(COUNT($AA$631:$AA$633)&lt;3,"",AVERAGE($AA$631:$AA$633))</f>
        <v>0</v>
      </c>
      <c r="AC633">
        <f>IF($E633="","",MAX($C633-$D633,ABS($C633-$E632),ABS($D633-$E632)))</f>
        <v>0</v>
      </c>
      <c r="AD633">
        <f>IF(COUNT($E$2:$E633)&lt;15,"",AVERAGE($AC$620:$AC$633))</f>
        <v>0</v>
      </c>
      <c r="AE633">
        <f>IF(OR($E633="",$E632=""),"",IF(AND(($C633-$C632)&gt;($D632-$D633),($C633-$C632)&gt;0),$C633-$C632,0))</f>
        <v>0</v>
      </c>
      <c r="AF633">
        <f>IF(OR($E633="",$E632=""),"",IF(AND(($D632-$D633)&gt;($C633-$C632),($D632-$D633)&gt;0),$D632-$D633,0))</f>
        <v>0</v>
      </c>
      <c r="AG633">
        <f>IF(COUNT($E$2:$E633)&lt;15,"",IF(SUM($AC$620:$AC$633)=0,0,100*SUM($AE$620:$AE$633)/SUM($AC$620:$AC$633)))</f>
        <v>0</v>
      </c>
      <c r="AH633">
        <f>IF(COUNT($E$2:$E633)&lt;15,"",IF(SUM($AC$620:$AC$633)=0,0,100*SUM($AF$620:$AF$633)/SUM($AC$620:$AC$633)))</f>
        <v>0</v>
      </c>
      <c r="AI633">
        <f>IF(OR(AG633="",AH633=""),"",IF((AG633+AH633)=0,0,100*ABS(AG633-AH633)/(AG633+AH633)))</f>
        <v>0</v>
      </c>
      <c r="AJ633">
        <f>IF(COUNT($AI$620:$AI$633)&lt;14,"",AVERAGE($AI$620:$AI$633))</f>
        <v>0</v>
      </c>
      <c r="AK633">
        <f>IF(COUNT($E$2:$E633)&lt;20,"",AVERAGE($E$614:$E$633))</f>
        <v>0</v>
      </c>
      <c r="AL633">
        <f>IF(COUNT($E$2:$E633)&lt;20,"",STDEVP($E$614:$E$633))</f>
        <v>0</v>
      </c>
      <c r="AM633">
        <f>IF(AK633="","",AK633+2*AL633)</f>
        <v>0</v>
      </c>
      <c r="AN633">
        <f>IF(AK633="","",AK633-2*AL633)</f>
        <v>0</v>
      </c>
      <c r="AO633">
        <f>IF(OR(AM633="",AN633="",AM633=AN633),"",($E633-AN633)/(AM633-AN633))</f>
        <v>0</v>
      </c>
      <c r="AP633">
        <f>IF(OR(AM633="",AK633="",AK633=0),"",(AM633-AN633)/AK633)</f>
        <v>0</v>
      </c>
      <c r="AQ633">
        <f>IF(COUNT($E$2:$E633)&lt;20,"",MAX($C$614:$C$633))</f>
        <v>0</v>
      </c>
      <c r="AR633">
        <f>IF(COUNT($E$2:$E633)&lt;20,"",MIN($D$614:$D$633))</f>
        <v>0</v>
      </c>
      <c r="AS633">
        <f>IF(OR(AQ633="",AR633=""),"",(AQ633+AR633)/2)</f>
        <v>0</v>
      </c>
      <c r="AT633">
        <f>IF(COUNT($G$614:$G$633)&lt;20,"",STDEV($G$614:$G$633)*SQRT(252))</f>
        <v>0</v>
      </c>
      <c r="AU633">
        <f>IF(COUNT($E$2:$E633)&lt;9,"",(MAX($C$625:$C$633)+MIN($D$625:$D$633))/2)</f>
        <v>0</v>
      </c>
      <c r="AV633">
        <f>IF(COUNT($E$2:$E633)&lt;26,"",(MAX($C$608:$C$633)+MIN($D$608:$D$633))/2)</f>
        <v>0</v>
      </c>
      <c r="AW633">
        <f>IF(OR(AU633="",AV633=""),"",(AU633+AV633)/2)</f>
        <v>0</v>
      </c>
      <c r="AX633">
        <f>IF(COUNT($E$2:$E633)&lt;52,"",(MAX($C$582:$C$633)+MIN($D$582:$D$633))/2)</f>
        <v>0</v>
      </c>
      <c r="AY633">
        <f>IF(COUNT($E$2:$E633)&lt;20,"",MAX($C$534:$C$633))</f>
        <v>0</v>
      </c>
      <c r="AZ633">
        <f>IF(COUNT($E$2:$E633)&lt;20,"",MIN($D$534:$D$633))</f>
        <v>0</v>
      </c>
      <c r="BA633">
        <f>IF(COUNT($E$2:$E633)&lt;20,"",SLOPE($E$534:$E$633,$F$534:$F$633))</f>
        <v>0</v>
      </c>
      <c r="BB633">
        <f>IF(COUNT($E$2:$E633)&lt;20,"",INTERCEPT($E$534:$E$633,$F$534:$F$633))</f>
        <v>0</v>
      </c>
      <c r="BC633">
        <f>IF(OR(BA633="",BB633=""),"",BB633+BA633*F633)</f>
        <v>0</v>
      </c>
      <c r="BD633">
        <f>IF(COUNT($E$2:$E633)&lt;20,"",STEYX($E$534:$E$633,$F$534:$F$633))</f>
        <v>0</v>
      </c>
      <c r="BE633">
        <f>IF($E633="","",IF(AND(COUNT($E$634:$E$637)&gt;=4,$C633=MAX($C$629:$C$637)),$C633,""))</f>
        <v>0</v>
      </c>
      <c r="BF633">
        <f>IF($E633="","",IF(AND(COUNT($E$634:$E$637)&gt;=4,$D633=MIN($D$629:$D$637)),$D633,""))</f>
        <v>0</v>
      </c>
      <c r="BG633">
        <f>IF($A633="","",$A633-WEEKDAY($A633,2)+1)</f>
        <v>0</v>
      </c>
      <c r="BH633">
        <f>IF($A633="","",IF($A632="",1,IF(BG633&lt;&gt;BG632,1,0)))</f>
        <v>0</v>
      </c>
      <c r="BI633">
        <f>IF($A633="","",IF($A634="",1,IF(BG634&lt;&gt;BG633,1,0)))</f>
        <v>0</v>
      </c>
      <c r="BJ633">
        <f>IF($A633="","",IF(BH633=1,$B633,BJ632))</f>
        <v>0</v>
      </c>
      <c r="BK633">
        <f>IF($A633="","",IF(BH633=1,$C633,MAX($C633,BK632)))</f>
        <v>0</v>
      </c>
      <c r="BL633">
        <f>IF($A633="","",IF(BH633=1,$D633,MIN($D633,BL632)))</f>
        <v>0</v>
      </c>
      <c r="BM633">
        <f>IF($A633="","",IF(BI633=1,F633,""))</f>
        <v>0</v>
      </c>
      <c r="BN633">
        <f>IF($A633="","",DATE(YEAR($A633),MONTH($A633),1))</f>
        <v>0</v>
      </c>
      <c r="BO633">
        <f>IF($A633="","",IF($A632="",1,IF(BN633&lt;&gt;BN632,1,0)))</f>
        <v>0</v>
      </c>
      <c r="BP633">
        <f>IF($A633="","",IF($A634="",1,IF(BN634&lt;&gt;BN633,1,0)))</f>
        <v>0</v>
      </c>
      <c r="BQ633">
        <f>IF($A633="","",IF(BO633=1,$B633,BQ632))</f>
        <v>0</v>
      </c>
      <c r="BR633">
        <f>IF($A633="","",IF(BO633=1,$C633,MAX($C633,BR632)))</f>
        <v>0</v>
      </c>
      <c r="BS633">
        <f>IF($A633="","",IF(BO633=1,$D633,MIN($D633,BS632)))</f>
        <v>0</v>
      </c>
      <c r="BT633">
        <f>IF($A633="","",IF(BP633=1,F633,""))</f>
        <v>0</v>
      </c>
    </row>
    <row r="634" spans="1:72">
      <c r="A634" s="27">
        <f>IF(Data!$A634="","",Data!$A634)</f>
        <v>0</v>
      </c>
      <c r="B634">
        <f>IF(Data!$B634="","",Data!$B634)</f>
        <v>0</v>
      </c>
      <c r="C634">
        <f>IF(Data!$C634="","",Data!$C634)</f>
        <v>0</v>
      </c>
      <c r="D634">
        <f>IF(Data!$D634="","",Data!$D634)</f>
        <v>0</v>
      </c>
      <c r="E634">
        <f>IF(Data!$E634="","",Data!$E634)</f>
        <v>0</v>
      </c>
      <c r="F634">
        <f>IF($E634="","",N(F633)+1)</f>
        <v>0</v>
      </c>
      <c r="G634">
        <f>IF(OR($E634="",$E633=""),"",LN($E634/$E633))</f>
        <v>0</v>
      </c>
      <c r="H634">
        <f>IF($E634="","",IF($E633="",$E634,$E634*0.0952380952+H633*0.9047619048))</f>
        <v>0</v>
      </c>
      <c r="I634">
        <f>IF($E634="","",IF($E633="",$E634,$E634*0.0392156863+I633*0.9607843137))</f>
        <v>0</v>
      </c>
      <c r="J634">
        <f>IF($E634="","",IF($E633="",$E634,$E634*0.0198019802+J633*0.9801980198))</f>
        <v>0</v>
      </c>
      <c r="K634">
        <f>IF($E634="","",IF($E633="",$E634,$E634*0.0099502488+K633*0.9900497512))</f>
        <v>0</v>
      </c>
      <c r="L634">
        <f>IF(OR($E634="",$E633=""),"",MAX($E634-$E633,0))</f>
        <v>0</v>
      </c>
      <c r="M634">
        <f>IF(OR($E634="",$E633=""),"",MAX($E633-$E634,0))</f>
        <v>0</v>
      </c>
      <c r="N634">
        <f>IF(COUNT($E$2:$E634)&lt;15,"",IF(AVERAGE($M$621:$M$634)=0,100,100-100/(1+AVERAGE($L$621:$L$634)/AVERAGE($M$621:$M$634))))</f>
        <v>0</v>
      </c>
      <c r="O634">
        <f>IF($E634="","",IF($E633="",$E634,$E634*0.1538461538+O633*0.8461538462))</f>
        <v>0</v>
      </c>
      <c r="P634">
        <f>IF($E634="","",IF($E633="",$E634,$E634*0.0740740741+P633*0.9259259259))</f>
        <v>0</v>
      </c>
      <c r="Q634">
        <f>IF(OR(O634="",P634=""),"",O634-P634)</f>
        <v>0</v>
      </c>
      <c r="R634">
        <f>IF(Q634="","",IF(R633="",Q634,Q634*0.2000000000+R633*0.8000000000))</f>
        <v>0</v>
      </c>
      <c r="S634">
        <f>IF(OR(Q634="",R634=""),"",Q634-R634)</f>
        <v>0</v>
      </c>
      <c r="T634">
        <f>IF(COUNT($E$2:$E634)&lt;14,"",MAX($C$621:$C$634))</f>
        <v>0</v>
      </c>
      <c r="U634">
        <f>IF(COUNT($E$2:$E634)&lt;14,"",MIN($D$621:$D$634))</f>
        <v>0</v>
      </c>
      <c r="V634">
        <f>IF(OR(T634="",U634="",T634=U634),"",100*($E634-U634)/(T634-U634))</f>
        <v>0</v>
      </c>
      <c r="W634">
        <f>IF(COUNT($V$632:$V$634)&lt;3,"",AVERAGE($V$632:$V$634))</f>
        <v>0</v>
      </c>
      <c r="X634">
        <f>IF(COUNT($N$621:$N$634)&lt;14,"",MIN($N$621:$N$634))</f>
        <v>0</v>
      </c>
      <c r="Y634">
        <f>IF(COUNT($N$621:$N$634)&lt;14,"",MAX($N$621:$N$634))</f>
        <v>0</v>
      </c>
      <c r="Z634">
        <f>IF(OR(N634="",X634="",Y634="",Y634=X634),"",100*(N634-X634)/(Y634-X634))</f>
        <v>0</v>
      </c>
      <c r="AA634">
        <f>IF(COUNT($Z$632:$Z$634)&lt;3,"",AVERAGE($Z$632:$Z$634))</f>
        <v>0</v>
      </c>
      <c r="AB634">
        <f>IF(COUNT($AA$632:$AA$634)&lt;3,"",AVERAGE($AA$632:$AA$634))</f>
        <v>0</v>
      </c>
      <c r="AC634">
        <f>IF($E634="","",MAX($C634-$D634,ABS($C634-$E633),ABS($D634-$E633)))</f>
        <v>0</v>
      </c>
      <c r="AD634">
        <f>IF(COUNT($E$2:$E634)&lt;15,"",AVERAGE($AC$621:$AC$634))</f>
        <v>0</v>
      </c>
      <c r="AE634">
        <f>IF(OR($E634="",$E633=""),"",IF(AND(($C634-$C633)&gt;($D633-$D634),($C634-$C633)&gt;0),$C634-$C633,0))</f>
        <v>0</v>
      </c>
      <c r="AF634">
        <f>IF(OR($E634="",$E633=""),"",IF(AND(($D633-$D634)&gt;($C634-$C633),($D633-$D634)&gt;0),$D633-$D634,0))</f>
        <v>0</v>
      </c>
      <c r="AG634">
        <f>IF(COUNT($E$2:$E634)&lt;15,"",IF(SUM($AC$621:$AC$634)=0,0,100*SUM($AE$621:$AE$634)/SUM($AC$621:$AC$634)))</f>
        <v>0</v>
      </c>
      <c r="AH634">
        <f>IF(COUNT($E$2:$E634)&lt;15,"",IF(SUM($AC$621:$AC$634)=0,0,100*SUM($AF$621:$AF$634)/SUM($AC$621:$AC$634)))</f>
        <v>0</v>
      </c>
      <c r="AI634">
        <f>IF(OR(AG634="",AH634=""),"",IF((AG634+AH634)=0,0,100*ABS(AG634-AH634)/(AG634+AH634)))</f>
        <v>0</v>
      </c>
      <c r="AJ634">
        <f>IF(COUNT($AI$621:$AI$634)&lt;14,"",AVERAGE($AI$621:$AI$634))</f>
        <v>0</v>
      </c>
      <c r="AK634">
        <f>IF(COUNT($E$2:$E634)&lt;20,"",AVERAGE($E$615:$E$634))</f>
        <v>0</v>
      </c>
      <c r="AL634">
        <f>IF(COUNT($E$2:$E634)&lt;20,"",STDEVP($E$615:$E$634))</f>
        <v>0</v>
      </c>
      <c r="AM634">
        <f>IF(AK634="","",AK634+2*AL634)</f>
        <v>0</v>
      </c>
      <c r="AN634">
        <f>IF(AK634="","",AK634-2*AL634)</f>
        <v>0</v>
      </c>
      <c r="AO634">
        <f>IF(OR(AM634="",AN634="",AM634=AN634),"",($E634-AN634)/(AM634-AN634))</f>
        <v>0</v>
      </c>
      <c r="AP634">
        <f>IF(OR(AM634="",AK634="",AK634=0),"",(AM634-AN634)/AK634)</f>
        <v>0</v>
      </c>
      <c r="AQ634">
        <f>IF(COUNT($E$2:$E634)&lt;20,"",MAX($C$615:$C$634))</f>
        <v>0</v>
      </c>
      <c r="AR634">
        <f>IF(COUNT($E$2:$E634)&lt;20,"",MIN($D$615:$D$634))</f>
        <v>0</v>
      </c>
      <c r="AS634">
        <f>IF(OR(AQ634="",AR634=""),"",(AQ634+AR634)/2)</f>
        <v>0</v>
      </c>
      <c r="AT634">
        <f>IF(COUNT($G$615:$G$634)&lt;20,"",STDEV($G$615:$G$634)*SQRT(252))</f>
        <v>0</v>
      </c>
      <c r="AU634">
        <f>IF(COUNT($E$2:$E634)&lt;9,"",(MAX($C$626:$C$634)+MIN($D$626:$D$634))/2)</f>
        <v>0</v>
      </c>
      <c r="AV634">
        <f>IF(COUNT($E$2:$E634)&lt;26,"",(MAX($C$609:$C$634)+MIN($D$609:$D$634))/2)</f>
        <v>0</v>
      </c>
      <c r="AW634">
        <f>IF(OR(AU634="",AV634=""),"",(AU634+AV634)/2)</f>
        <v>0</v>
      </c>
      <c r="AX634">
        <f>IF(COUNT($E$2:$E634)&lt;52,"",(MAX($C$583:$C$634)+MIN($D$583:$D$634))/2)</f>
        <v>0</v>
      </c>
      <c r="AY634">
        <f>IF(COUNT($E$2:$E634)&lt;20,"",MAX($C$535:$C$634))</f>
        <v>0</v>
      </c>
      <c r="AZ634">
        <f>IF(COUNT($E$2:$E634)&lt;20,"",MIN($D$535:$D$634))</f>
        <v>0</v>
      </c>
      <c r="BA634">
        <f>IF(COUNT($E$2:$E634)&lt;20,"",SLOPE($E$535:$E$634,$F$535:$F$634))</f>
        <v>0</v>
      </c>
      <c r="BB634">
        <f>IF(COUNT($E$2:$E634)&lt;20,"",INTERCEPT($E$535:$E$634,$F$535:$F$634))</f>
        <v>0</v>
      </c>
      <c r="BC634">
        <f>IF(OR(BA634="",BB634=""),"",BB634+BA634*F634)</f>
        <v>0</v>
      </c>
      <c r="BD634">
        <f>IF(COUNT($E$2:$E634)&lt;20,"",STEYX($E$535:$E$634,$F$535:$F$634))</f>
        <v>0</v>
      </c>
      <c r="BE634">
        <f>IF($E634="","",IF(AND(COUNT($E$635:$E$638)&gt;=4,$C634=MAX($C$630:$C$638)),$C634,""))</f>
        <v>0</v>
      </c>
      <c r="BF634">
        <f>IF($E634="","",IF(AND(COUNT($E$635:$E$638)&gt;=4,$D634=MIN($D$630:$D$638)),$D634,""))</f>
        <v>0</v>
      </c>
      <c r="BG634">
        <f>IF($A634="","",$A634-WEEKDAY($A634,2)+1)</f>
        <v>0</v>
      </c>
      <c r="BH634">
        <f>IF($A634="","",IF($A633="",1,IF(BG634&lt;&gt;BG633,1,0)))</f>
        <v>0</v>
      </c>
      <c r="BI634">
        <f>IF($A634="","",IF($A635="",1,IF(BG635&lt;&gt;BG634,1,0)))</f>
        <v>0</v>
      </c>
      <c r="BJ634">
        <f>IF($A634="","",IF(BH634=1,$B634,BJ633))</f>
        <v>0</v>
      </c>
      <c r="BK634">
        <f>IF($A634="","",IF(BH634=1,$C634,MAX($C634,BK633)))</f>
        <v>0</v>
      </c>
      <c r="BL634">
        <f>IF($A634="","",IF(BH634=1,$D634,MIN($D634,BL633)))</f>
        <v>0</v>
      </c>
      <c r="BM634">
        <f>IF($A634="","",IF(BI634=1,F634,""))</f>
        <v>0</v>
      </c>
      <c r="BN634">
        <f>IF($A634="","",DATE(YEAR($A634),MONTH($A634),1))</f>
        <v>0</v>
      </c>
      <c r="BO634">
        <f>IF($A634="","",IF($A633="",1,IF(BN634&lt;&gt;BN633,1,0)))</f>
        <v>0</v>
      </c>
      <c r="BP634">
        <f>IF($A634="","",IF($A635="",1,IF(BN635&lt;&gt;BN634,1,0)))</f>
        <v>0</v>
      </c>
      <c r="BQ634">
        <f>IF($A634="","",IF(BO634=1,$B634,BQ633))</f>
        <v>0</v>
      </c>
      <c r="BR634">
        <f>IF($A634="","",IF(BO634=1,$C634,MAX($C634,BR633)))</f>
        <v>0</v>
      </c>
      <c r="BS634">
        <f>IF($A634="","",IF(BO634=1,$D634,MIN($D634,BS633)))</f>
        <v>0</v>
      </c>
      <c r="BT634">
        <f>IF($A634="","",IF(BP634=1,F634,""))</f>
        <v>0</v>
      </c>
    </row>
    <row r="635" spans="1:72">
      <c r="A635" s="27">
        <f>IF(Data!$A635="","",Data!$A635)</f>
        <v>0</v>
      </c>
      <c r="B635">
        <f>IF(Data!$B635="","",Data!$B635)</f>
        <v>0</v>
      </c>
      <c r="C635">
        <f>IF(Data!$C635="","",Data!$C635)</f>
        <v>0</v>
      </c>
      <c r="D635">
        <f>IF(Data!$D635="","",Data!$D635)</f>
        <v>0</v>
      </c>
      <c r="E635">
        <f>IF(Data!$E635="","",Data!$E635)</f>
        <v>0</v>
      </c>
      <c r="F635">
        <f>IF($E635="","",N(F634)+1)</f>
        <v>0</v>
      </c>
      <c r="G635">
        <f>IF(OR($E635="",$E634=""),"",LN($E635/$E634))</f>
        <v>0</v>
      </c>
      <c r="H635">
        <f>IF($E635="","",IF($E634="",$E635,$E635*0.0952380952+H634*0.9047619048))</f>
        <v>0</v>
      </c>
      <c r="I635">
        <f>IF($E635="","",IF($E634="",$E635,$E635*0.0392156863+I634*0.9607843137))</f>
        <v>0</v>
      </c>
      <c r="J635">
        <f>IF($E635="","",IF($E634="",$E635,$E635*0.0198019802+J634*0.9801980198))</f>
        <v>0</v>
      </c>
      <c r="K635">
        <f>IF($E635="","",IF($E634="",$E635,$E635*0.0099502488+K634*0.9900497512))</f>
        <v>0</v>
      </c>
      <c r="L635">
        <f>IF(OR($E635="",$E634=""),"",MAX($E635-$E634,0))</f>
        <v>0</v>
      </c>
      <c r="M635">
        <f>IF(OR($E635="",$E634=""),"",MAX($E634-$E635,0))</f>
        <v>0</v>
      </c>
      <c r="N635">
        <f>IF(COUNT($E$2:$E635)&lt;15,"",IF(AVERAGE($M$622:$M$635)=0,100,100-100/(1+AVERAGE($L$622:$L$635)/AVERAGE($M$622:$M$635))))</f>
        <v>0</v>
      </c>
      <c r="O635">
        <f>IF($E635="","",IF($E634="",$E635,$E635*0.1538461538+O634*0.8461538462))</f>
        <v>0</v>
      </c>
      <c r="P635">
        <f>IF($E635="","",IF($E634="",$E635,$E635*0.0740740741+P634*0.9259259259))</f>
        <v>0</v>
      </c>
      <c r="Q635">
        <f>IF(OR(O635="",P635=""),"",O635-P635)</f>
        <v>0</v>
      </c>
      <c r="R635">
        <f>IF(Q635="","",IF(R634="",Q635,Q635*0.2000000000+R634*0.8000000000))</f>
        <v>0</v>
      </c>
      <c r="S635">
        <f>IF(OR(Q635="",R635=""),"",Q635-R635)</f>
        <v>0</v>
      </c>
      <c r="T635">
        <f>IF(COUNT($E$2:$E635)&lt;14,"",MAX($C$622:$C$635))</f>
        <v>0</v>
      </c>
      <c r="U635">
        <f>IF(COUNT($E$2:$E635)&lt;14,"",MIN($D$622:$D$635))</f>
        <v>0</v>
      </c>
      <c r="V635">
        <f>IF(OR(T635="",U635="",T635=U635),"",100*($E635-U635)/(T635-U635))</f>
        <v>0</v>
      </c>
      <c r="W635">
        <f>IF(COUNT($V$633:$V$635)&lt;3,"",AVERAGE($V$633:$V$635))</f>
        <v>0</v>
      </c>
      <c r="X635">
        <f>IF(COUNT($N$622:$N$635)&lt;14,"",MIN($N$622:$N$635))</f>
        <v>0</v>
      </c>
      <c r="Y635">
        <f>IF(COUNT($N$622:$N$635)&lt;14,"",MAX($N$622:$N$635))</f>
        <v>0</v>
      </c>
      <c r="Z635">
        <f>IF(OR(N635="",X635="",Y635="",Y635=X635),"",100*(N635-X635)/(Y635-X635))</f>
        <v>0</v>
      </c>
      <c r="AA635">
        <f>IF(COUNT($Z$633:$Z$635)&lt;3,"",AVERAGE($Z$633:$Z$635))</f>
        <v>0</v>
      </c>
      <c r="AB635">
        <f>IF(COUNT($AA$633:$AA$635)&lt;3,"",AVERAGE($AA$633:$AA$635))</f>
        <v>0</v>
      </c>
      <c r="AC635">
        <f>IF($E635="","",MAX($C635-$D635,ABS($C635-$E634),ABS($D635-$E634)))</f>
        <v>0</v>
      </c>
      <c r="AD635">
        <f>IF(COUNT($E$2:$E635)&lt;15,"",AVERAGE($AC$622:$AC$635))</f>
        <v>0</v>
      </c>
      <c r="AE635">
        <f>IF(OR($E635="",$E634=""),"",IF(AND(($C635-$C634)&gt;($D634-$D635),($C635-$C634)&gt;0),$C635-$C634,0))</f>
        <v>0</v>
      </c>
      <c r="AF635">
        <f>IF(OR($E635="",$E634=""),"",IF(AND(($D634-$D635)&gt;($C635-$C634),($D634-$D635)&gt;0),$D634-$D635,0))</f>
        <v>0</v>
      </c>
      <c r="AG635">
        <f>IF(COUNT($E$2:$E635)&lt;15,"",IF(SUM($AC$622:$AC$635)=0,0,100*SUM($AE$622:$AE$635)/SUM($AC$622:$AC$635)))</f>
        <v>0</v>
      </c>
      <c r="AH635">
        <f>IF(COUNT($E$2:$E635)&lt;15,"",IF(SUM($AC$622:$AC$635)=0,0,100*SUM($AF$622:$AF$635)/SUM($AC$622:$AC$635)))</f>
        <v>0</v>
      </c>
      <c r="AI635">
        <f>IF(OR(AG635="",AH635=""),"",IF((AG635+AH635)=0,0,100*ABS(AG635-AH635)/(AG635+AH635)))</f>
        <v>0</v>
      </c>
      <c r="AJ635">
        <f>IF(COUNT($AI$622:$AI$635)&lt;14,"",AVERAGE($AI$622:$AI$635))</f>
        <v>0</v>
      </c>
      <c r="AK635">
        <f>IF(COUNT($E$2:$E635)&lt;20,"",AVERAGE($E$616:$E$635))</f>
        <v>0</v>
      </c>
      <c r="AL635">
        <f>IF(COUNT($E$2:$E635)&lt;20,"",STDEVP($E$616:$E$635))</f>
        <v>0</v>
      </c>
      <c r="AM635">
        <f>IF(AK635="","",AK635+2*AL635)</f>
        <v>0</v>
      </c>
      <c r="AN635">
        <f>IF(AK635="","",AK635-2*AL635)</f>
        <v>0</v>
      </c>
      <c r="AO635">
        <f>IF(OR(AM635="",AN635="",AM635=AN635),"",($E635-AN635)/(AM635-AN635))</f>
        <v>0</v>
      </c>
      <c r="AP635">
        <f>IF(OR(AM635="",AK635="",AK635=0),"",(AM635-AN635)/AK635)</f>
        <v>0</v>
      </c>
      <c r="AQ635">
        <f>IF(COUNT($E$2:$E635)&lt;20,"",MAX($C$616:$C$635))</f>
        <v>0</v>
      </c>
      <c r="AR635">
        <f>IF(COUNT($E$2:$E635)&lt;20,"",MIN($D$616:$D$635))</f>
        <v>0</v>
      </c>
      <c r="AS635">
        <f>IF(OR(AQ635="",AR635=""),"",(AQ635+AR635)/2)</f>
        <v>0</v>
      </c>
      <c r="AT635">
        <f>IF(COUNT($G$616:$G$635)&lt;20,"",STDEV($G$616:$G$635)*SQRT(252))</f>
        <v>0</v>
      </c>
      <c r="AU635">
        <f>IF(COUNT($E$2:$E635)&lt;9,"",(MAX($C$627:$C$635)+MIN($D$627:$D$635))/2)</f>
        <v>0</v>
      </c>
      <c r="AV635">
        <f>IF(COUNT($E$2:$E635)&lt;26,"",(MAX($C$610:$C$635)+MIN($D$610:$D$635))/2)</f>
        <v>0</v>
      </c>
      <c r="AW635">
        <f>IF(OR(AU635="",AV635=""),"",(AU635+AV635)/2)</f>
        <v>0</v>
      </c>
      <c r="AX635">
        <f>IF(COUNT($E$2:$E635)&lt;52,"",(MAX($C$584:$C$635)+MIN($D$584:$D$635))/2)</f>
        <v>0</v>
      </c>
      <c r="AY635">
        <f>IF(COUNT($E$2:$E635)&lt;20,"",MAX($C$536:$C$635))</f>
        <v>0</v>
      </c>
      <c r="AZ635">
        <f>IF(COUNT($E$2:$E635)&lt;20,"",MIN($D$536:$D$635))</f>
        <v>0</v>
      </c>
      <c r="BA635">
        <f>IF(COUNT($E$2:$E635)&lt;20,"",SLOPE($E$536:$E$635,$F$536:$F$635))</f>
        <v>0</v>
      </c>
      <c r="BB635">
        <f>IF(COUNT($E$2:$E635)&lt;20,"",INTERCEPT($E$536:$E$635,$F$536:$F$635))</f>
        <v>0</v>
      </c>
      <c r="BC635">
        <f>IF(OR(BA635="",BB635=""),"",BB635+BA635*F635)</f>
        <v>0</v>
      </c>
      <c r="BD635">
        <f>IF(COUNT($E$2:$E635)&lt;20,"",STEYX($E$536:$E$635,$F$536:$F$635))</f>
        <v>0</v>
      </c>
      <c r="BE635">
        <f>IF($E635="","",IF(AND(COUNT($E$636:$E$639)&gt;=4,$C635=MAX($C$631:$C$639)),$C635,""))</f>
        <v>0</v>
      </c>
      <c r="BF635">
        <f>IF($E635="","",IF(AND(COUNT($E$636:$E$639)&gt;=4,$D635=MIN($D$631:$D$639)),$D635,""))</f>
        <v>0</v>
      </c>
      <c r="BG635">
        <f>IF($A635="","",$A635-WEEKDAY($A635,2)+1)</f>
        <v>0</v>
      </c>
      <c r="BH635">
        <f>IF($A635="","",IF($A634="",1,IF(BG635&lt;&gt;BG634,1,0)))</f>
        <v>0</v>
      </c>
      <c r="BI635">
        <f>IF($A635="","",IF($A636="",1,IF(BG636&lt;&gt;BG635,1,0)))</f>
        <v>0</v>
      </c>
      <c r="BJ635">
        <f>IF($A635="","",IF(BH635=1,$B635,BJ634))</f>
        <v>0</v>
      </c>
      <c r="BK635">
        <f>IF($A635="","",IF(BH635=1,$C635,MAX($C635,BK634)))</f>
        <v>0</v>
      </c>
      <c r="BL635">
        <f>IF($A635="","",IF(BH635=1,$D635,MIN($D635,BL634)))</f>
        <v>0</v>
      </c>
      <c r="BM635">
        <f>IF($A635="","",IF(BI635=1,F635,""))</f>
        <v>0</v>
      </c>
      <c r="BN635">
        <f>IF($A635="","",DATE(YEAR($A635),MONTH($A635),1))</f>
        <v>0</v>
      </c>
      <c r="BO635">
        <f>IF($A635="","",IF($A634="",1,IF(BN635&lt;&gt;BN634,1,0)))</f>
        <v>0</v>
      </c>
      <c r="BP635">
        <f>IF($A635="","",IF($A636="",1,IF(BN636&lt;&gt;BN635,1,0)))</f>
        <v>0</v>
      </c>
      <c r="BQ635">
        <f>IF($A635="","",IF(BO635=1,$B635,BQ634))</f>
        <v>0</v>
      </c>
      <c r="BR635">
        <f>IF($A635="","",IF(BO635=1,$C635,MAX($C635,BR634)))</f>
        <v>0</v>
      </c>
      <c r="BS635">
        <f>IF($A635="","",IF(BO635=1,$D635,MIN($D635,BS634)))</f>
        <v>0</v>
      </c>
      <c r="BT635">
        <f>IF($A635="","",IF(BP635=1,F635,""))</f>
        <v>0</v>
      </c>
    </row>
    <row r="636" spans="1:72">
      <c r="A636" s="27">
        <f>IF(Data!$A636="","",Data!$A636)</f>
        <v>0</v>
      </c>
      <c r="B636">
        <f>IF(Data!$B636="","",Data!$B636)</f>
        <v>0</v>
      </c>
      <c r="C636">
        <f>IF(Data!$C636="","",Data!$C636)</f>
        <v>0</v>
      </c>
      <c r="D636">
        <f>IF(Data!$D636="","",Data!$D636)</f>
        <v>0</v>
      </c>
      <c r="E636">
        <f>IF(Data!$E636="","",Data!$E636)</f>
        <v>0</v>
      </c>
      <c r="F636">
        <f>IF($E636="","",N(F635)+1)</f>
        <v>0</v>
      </c>
      <c r="G636">
        <f>IF(OR($E636="",$E635=""),"",LN($E636/$E635))</f>
        <v>0</v>
      </c>
      <c r="H636">
        <f>IF($E636="","",IF($E635="",$E636,$E636*0.0952380952+H635*0.9047619048))</f>
        <v>0</v>
      </c>
      <c r="I636">
        <f>IF($E636="","",IF($E635="",$E636,$E636*0.0392156863+I635*0.9607843137))</f>
        <v>0</v>
      </c>
      <c r="J636">
        <f>IF($E636="","",IF($E635="",$E636,$E636*0.0198019802+J635*0.9801980198))</f>
        <v>0</v>
      </c>
      <c r="K636">
        <f>IF($E636="","",IF($E635="",$E636,$E636*0.0099502488+K635*0.9900497512))</f>
        <v>0</v>
      </c>
      <c r="L636">
        <f>IF(OR($E636="",$E635=""),"",MAX($E636-$E635,0))</f>
        <v>0</v>
      </c>
      <c r="M636">
        <f>IF(OR($E636="",$E635=""),"",MAX($E635-$E636,0))</f>
        <v>0</v>
      </c>
      <c r="N636">
        <f>IF(COUNT($E$2:$E636)&lt;15,"",IF(AVERAGE($M$623:$M$636)=0,100,100-100/(1+AVERAGE($L$623:$L$636)/AVERAGE($M$623:$M$636))))</f>
        <v>0</v>
      </c>
      <c r="O636">
        <f>IF($E636="","",IF($E635="",$E636,$E636*0.1538461538+O635*0.8461538462))</f>
        <v>0</v>
      </c>
      <c r="P636">
        <f>IF($E636="","",IF($E635="",$E636,$E636*0.0740740741+P635*0.9259259259))</f>
        <v>0</v>
      </c>
      <c r="Q636">
        <f>IF(OR(O636="",P636=""),"",O636-P636)</f>
        <v>0</v>
      </c>
      <c r="R636">
        <f>IF(Q636="","",IF(R635="",Q636,Q636*0.2000000000+R635*0.8000000000))</f>
        <v>0</v>
      </c>
      <c r="S636">
        <f>IF(OR(Q636="",R636=""),"",Q636-R636)</f>
        <v>0</v>
      </c>
      <c r="T636">
        <f>IF(COUNT($E$2:$E636)&lt;14,"",MAX($C$623:$C$636))</f>
        <v>0</v>
      </c>
      <c r="U636">
        <f>IF(COUNT($E$2:$E636)&lt;14,"",MIN($D$623:$D$636))</f>
        <v>0</v>
      </c>
      <c r="V636">
        <f>IF(OR(T636="",U636="",T636=U636),"",100*($E636-U636)/(T636-U636))</f>
        <v>0</v>
      </c>
      <c r="W636">
        <f>IF(COUNT($V$634:$V$636)&lt;3,"",AVERAGE($V$634:$V$636))</f>
        <v>0</v>
      </c>
      <c r="X636">
        <f>IF(COUNT($N$623:$N$636)&lt;14,"",MIN($N$623:$N$636))</f>
        <v>0</v>
      </c>
      <c r="Y636">
        <f>IF(COUNT($N$623:$N$636)&lt;14,"",MAX($N$623:$N$636))</f>
        <v>0</v>
      </c>
      <c r="Z636">
        <f>IF(OR(N636="",X636="",Y636="",Y636=X636),"",100*(N636-X636)/(Y636-X636))</f>
        <v>0</v>
      </c>
      <c r="AA636">
        <f>IF(COUNT($Z$634:$Z$636)&lt;3,"",AVERAGE($Z$634:$Z$636))</f>
        <v>0</v>
      </c>
      <c r="AB636">
        <f>IF(COUNT($AA$634:$AA$636)&lt;3,"",AVERAGE($AA$634:$AA$636))</f>
        <v>0</v>
      </c>
      <c r="AC636">
        <f>IF($E636="","",MAX($C636-$D636,ABS($C636-$E635),ABS($D636-$E635)))</f>
        <v>0</v>
      </c>
      <c r="AD636">
        <f>IF(COUNT($E$2:$E636)&lt;15,"",AVERAGE($AC$623:$AC$636))</f>
        <v>0</v>
      </c>
      <c r="AE636">
        <f>IF(OR($E636="",$E635=""),"",IF(AND(($C636-$C635)&gt;($D635-$D636),($C636-$C635)&gt;0),$C636-$C635,0))</f>
        <v>0</v>
      </c>
      <c r="AF636">
        <f>IF(OR($E636="",$E635=""),"",IF(AND(($D635-$D636)&gt;($C636-$C635),($D635-$D636)&gt;0),$D635-$D636,0))</f>
        <v>0</v>
      </c>
      <c r="AG636">
        <f>IF(COUNT($E$2:$E636)&lt;15,"",IF(SUM($AC$623:$AC$636)=0,0,100*SUM($AE$623:$AE$636)/SUM($AC$623:$AC$636)))</f>
        <v>0</v>
      </c>
      <c r="AH636">
        <f>IF(COUNT($E$2:$E636)&lt;15,"",IF(SUM($AC$623:$AC$636)=0,0,100*SUM($AF$623:$AF$636)/SUM($AC$623:$AC$636)))</f>
        <v>0</v>
      </c>
      <c r="AI636">
        <f>IF(OR(AG636="",AH636=""),"",IF((AG636+AH636)=0,0,100*ABS(AG636-AH636)/(AG636+AH636)))</f>
        <v>0</v>
      </c>
      <c r="AJ636">
        <f>IF(COUNT($AI$623:$AI$636)&lt;14,"",AVERAGE($AI$623:$AI$636))</f>
        <v>0</v>
      </c>
      <c r="AK636">
        <f>IF(COUNT($E$2:$E636)&lt;20,"",AVERAGE($E$617:$E$636))</f>
        <v>0</v>
      </c>
      <c r="AL636">
        <f>IF(COUNT($E$2:$E636)&lt;20,"",STDEVP($E$617:$E$636))</f>
        <v>0</v>
      </c>
      <c r="AM636">
        <f>IF(AK636="","",AK636+2*AL636)</f>
        <v>0</v>
      </c>
      <c r="AN636">
        <f>IF(AK636="","",AK636-2*AL636)</f>
        <v>0</v>
      </c>
      <c r="AO636">
        <f>IF(OR(AM636="",AN636="",AM636=AN636),"",($E636-AN636)/(AM636-AN636))</f>
        <v>0</v>
      </c>
      <c r="AP636">
        <f>IF(OR(AM636="",AK636="",AK636=0),"",(AM636-AN636)/AK636)</f>
        <v>0</v>
      </c>
      <c r="AQ636">
        <f>IF(COUNT($E$2:$E636)&lt;20,"",MAX($C$617:$C$636))</f>
        <v>0</v>
      </c>
      <c r="AR636">
        <f>IF(COUNT($E$2:$E636)&lt;20,"",MIN($D$617:$D$636))</f>
        <v>0</v>
      </c>
      <c r="AS636">
        <f>IF(OR(AQ636="",AR636=""),"",(AQ636+AR636)/2)</f>
        <v>0</v>
      </c>
      <c r="AT636">
        <f>IF(COUNT($G$617:$G$636)&lt;20,"",STDEV($G$617:$G$636)*SQRT(252))</f>
        <v>0</v>
      </c>
      <c r="AU636">
        <f>IF(COUNT($E$2:$E636)&lt;9,"",(MAX($C$628:$C$636)+MIN($D$628:$D$636))/2)</f>
        <v>0</v>
      </c>
      <c r="AV636">
        <f>IF(COUNT($E$2:$E636)&lt;26,"",(MAX($C$611:$C$636)+MIN($D$611:$D$636))/2)</f>
        <v>0</v>
      </c>
      <c r="AW636">
        <f>IF(OR(AU636="",AV636=""),"",(AU636+AV636)/2)</f>
        <v>0</v>
      </c>
      <c r="AX636">
        <f>IF(COUNT($E$2:$E636)&lt;52,"",(MAX($C$585:$C$636)+MIN($D$585:$D$636))/2)</f>
        <v>0</v>
      </c>
      <c r="AY636">
        <f>IF(COUNT($E$2:$E636)&lt;20,"",MAX($C$537:$C$636))</f>
        <v>0</v>
      </c>
      <c r="AZ636">
        <f>IF(COUNT($E$2:$E636)&lt;20,"",MIN($D$537:$D$636))</f>
        <v>0</v>
      </c>
      <c r="BA636">
        <f>IF(COUNT($E$2:$E636)&lt;20,"",SLOPE($E$537:$E$636,$F$537:$F$636))</f>
        <v>0</v>
      </c>
      <c r="BB636">
        <f>IF(COUNT($E$2:$E636)&lt;20,"",INTERCEPT($E$537:$E$636,$F$537:$F$636))</f>
        <v>0</v>
      </c>
      <c r="BC636">
        <f>IF(OR(BA636="",BB636=""),"",BB636+BA636*F636)</f>
        <v>0</v>
      </c>
      <c r="BD636">
        <f>IF(COUNT($E$2:$E636)&lt;20,"",STEYX($E$537:$E$636,$F$537:$F$636))</f>
        <v>0</v>
      </c>
      <c r="BE636">
        <f>IF($E636="","",IF(AND(COUNT($E$637:$E$640)&gt;=4,$C636=MAX($C$632:$C$640)),$C636,""))</f>
        <v>0</v>
      </c>
      <c r="BF636">
        <f>IF($E636="","",IF(AND(COUNT($E$637:$E$640)&gt;=4,$D636=MIN($D$632:$D$640)),$D636,""))</f>
        <v>0</v>
      </c>
      <c r="BG636">
        <f>IF($A636="","",$A636-WEEKDAY($A636,2)+1)</f>
        <v>0</v>
      </c>
      <c r="BH636">
        <f>IF($A636="","",IF($A635="",1,IF(BG636&lt;&gt;BG635,1,0)))</f>
        <v>0</v>
      </c>
      <c r="BI636">
        <f>IF($A636="","",IF($A637="",1,IF(BG637&lt;&gt;BG636,1,0)))</f>
        <v>0</v>
      </c>
      <c r="BJ636">
        <f>IF($A636="","",IF(BH636=1,$B636,BJ635))</f>
        <v>0</v>
      </c>
      <c r="BK636">
        <f>IF($A636="","",IF(BH636=1,$C636,MAX($C636,BK635)))</f>
        <v>0</v>
      </c>
      <c r="BL636">
        <f>IF($A636="","",IF(BH636=1,$D636,MIN($D636,BL635)))</f>
        <v>0</v>
      </c>
      <c r="BM636">
        <f>IF($A636="","",IF(BI636=1,F636,""))</f>
        <v>0</v>
      </c>
      <c r="BN636">
        <f>IF($A636="","",DATE(YEAR($A636),MONTH($A636),1))</f>
        <v>0</v>
      </c>
      <c r="BO636">
        <f>IF($A636="","",IF($A635="",1,IF(BN636&lt;&gt;BN635,1,0)))</f>
        <v>0</v>
      </c>
      <c r="BP636">
        <f>IF($A636="","",IF($A637="",1,IF(BN637&lt;&gt;BN636,1,0)))</f>
        <v>0</v>
      </c>
      <c r="BQ636">
        <f>IF($A636="","",IF(BO636=1,$B636,BQ635))</f>
        <v>0</v>
      </c>
      <c r="BR636">
        <f>IF($A636="","",IF(BO636=1,$C636,MAX($C636,BR635)))</f>
        <v>0</v>
      </c>
      <c r="BS636">
        <f>IF($A636="","",IF(BO636=1,$D636,MIN($D636,BS635)))</f>
        <v>0</v>
      </c>
      <c r="BT636">
        <f>IF($A636="","",IF(BP636=1,F636,""))</f>
        <v>0</v>
      </c>
    </row>
    <row r="637" spans="1:72">
      <c r="A637" s="27">
        <f>IF(Data!$A637="","",Data!$A637)</f>
        <v>0</v>
      </c>
      <c r="B637">
        <f>IF(Data!$B637="","",Data!$B637)</f>
        <v>0</v>
      </c>
      <c r="C637">
        <f>IF(Data!$C637="","",Data!$C637)</f>
        <v>0</v>
      </c>
      <c r="D637">
        <f>IF(Data!$D637="","",Data!$D637)</f>
        <v>0</v>
      </c>
      <c r="E637">
        <f>IF(Data!$E637="","",Data!$E637)</f>
        <v>0</v>
      </c>
      <c r="F637">
        <f>IF($E637="","",N(F636)+1)</f>
        <v>0</v>
      </c>
      <c r="G637">
        <f>IF(OR($E637="",$E636=""),"",LN($E637/$E636))</f>
        <v>0</v>
      </c>
      <c r="H637">
        <f>IF($E637="","",IF($E636="",$E637,$E637*0.0952380952+H636*0.9047619048))</f>
        <v>0</v>
      </c>
      <c r="I637">
        <f>IF($E637="","",IF($E636="",$E637,$E637*0.0392156863+I636*0.9607843137))</f>
        <v>0</v>
      </c>
      <c r="J637">
        <f>IF($E637="","",IF($E636="",$E637,$E637*0.0198019802+J636*0.9801980198))</f>
        <v>0</v>
      </c>
      <c r="K637">
        <f>IF($E637="","",IF($E636="",$E637,$E637*0.0099502488+K636*0.9900497512))</f>
        <v>0</v>
      </c>
      <c r="L637">
        <f>IF(OR($E637="",$E636=""),"",MAX($E637-$E636,0))</f>
        <v>0</v>
      </c>
      <c r="M637">
        <f>IF(OR($E637="",$E636=""),"",MAX($E636-$E637,0))</f>
        <v>0</v>
      </c>
      <c r="N637">
        <f>IF(COUNT($E$2:$E637)&lt;15,"",IF(AVERAGE($M$624:$M$637)=0,100,100-100/(1+AVERAGE($L$624:$L$637)/AVERAGE($M$624:$M$637))))</f>
        <v>0</v>
      </c>
      <c r="O637">
        <f>IF($E637="","",IF($E636="",$E637,$E637*0.1538461538+O636*0.8461538462))</f>
        <v>0</v>
      </c>
      <c r="P637">
        <f>IF($E637="","",IF($E636="",$E637,$E637*0.0740740741+P636*0.9259259259))</f>
        <v>0</v>
      </c>
      <c r="Q637">
        <f>IF(OR(O637="",P637=""),"",O637-P637)</f>
        <v>0</v>
      </c>
      <c r="R637">
        <f>IF(Q637="","",IF(R636="",Q637,Q637*0.2000000000+R636*0.8000000000))</f>
        <v>0</v>
      </c>
      <c r="S637">
        <f>IF(OR(Q637="",R637=""),"",Q637-R637)</f>
        <v>0</v>
      </c>
      <c r="T637">
        <f>IF(COUNT($E$2:$E637)&lt;14,"",MAX($C$624:$C$637))</f>
        <v>0</v>
      </c>
      <c r="U637">
        <f>IF(COUNT($E$2:$E637)&lt;14,"",MIN($D$624:$D$637))</f>
        <v>0</v>
      </c>
      <c r="V637">
        <f>IF(OR(T637="",U637="",T637=U637),"",100*($E637-U637)/(T637-U637))</f>
        <v>0</v>
      </c>
      <c r="W637">
        <f>IF(COUNT($V$635:$V$637)&lt;3,"",AVERAGE($V$635:$V$637))</f>
        <v>0</v>
      </c>
      <c r="X637">
        <f>IF(COUNT($N$624:$N$637)&lt;14,"",MIN($N$624:$N$637))</f>
        <v>0</v>
      </c>
      <c r="Y637">
        <f>IF(COUNT($N$624:$N$637)&lt;14,"",MAX($N$624:$N$637))</f>
        <v>0</v>
      </c>
      <c r="Z637">
        <f>IF(OR(N637="",X637="",Y637="",Y637=X637),"",100*(N637-X637)/(Y637-X637))</f>
        <v>0</v>
      </c>
      <c r="AA637">
        <f>IF(COUNT($Z$635:$Z$637)&lt;3,"",AVERAGE($Z$635:$Z$637))</f>
        <v>0</v>
      </c>
      <c r="AB637">
        <f>IF(COUNT($AA$635:$AA$637)&lt;3,"",AVERAGE($AA$635:$AA$637))</f>
        <v>0</v>
      </c>
      <c r="AC637">
        <f>IF($E637="","",MAX($C637-$D637,ABS($C637-$E636),ABS($D637-$E636)))</f>
        <v>0</v>
      </c>
      <c r="AD637">
        <f>IF(COUNT($E$2:$E637)&lt;15,"",AVERAGE($AC$624:$AC$637))</f>
        <v>0</v>
      </c>
      <c r="AE637">
        <f>IF(OR($E637="",$E636=""),"",IF(AND(($C637-$C636)&gt;($D636-$D637),($C637-$C636)&gt;0),$C637-$C636,0))</f>
        <v>0</v>
      </c>
      <c r="AF637">
        <f>IF(OR($E637="",$E636=""),"",IF(AND(($D636-$D637)&gt;($C637-$C636),($D636-$D637)&gt;0),$D636-$D637,0))</f>
        <v>0</v>
      </c>
      <c r="AG637">
        <f>IF(COUNT($E$2:$E637)&lt;15,"",IF(SUM($AC$624:$AC$637)=0,0,100*SUM($AE$624:$AE$637)/SUM($AC$624:$AC$637)))</f>
        <v>0</v>
      </c>
      <c r="AH637">
        <f>IF(COUNT($E$2:$E637)&lt;15,"",IF(SUM($AC$624:$AC$637)=0,0,100*SUM($AF$624:$AF$637)/SUM($AC$624:$AC$637)))</f>
        <v>0</v>
      </c>
      <c r="AI637">
        <f>IF(OR(AG637="",AH637=""),"",IF((AG637+AH637)=0,0,100*ABS(AG637-AH637)/(AG637+AH637)))</f>
        <v>0</v>
      </c>
      <c r="AJ637">
        <f>IF(COUNT($AI$624:$AI$637)&lt;14,"",AVERAGE($AI$624:$AI$637))</f>
        <v>0</v>
      </c>
      <c r="AK637">
        <f>IF(COUNT($E$2:$E637)&lt;20,"",AVERAGE($E$618:$E$637))</f>
        <v>0</v>
      </c>
      <c r="AL637">
        <f>IF(COUNT($E$2:$E637)&lt;20,"",STDEVP($E$618:$E$637))</f>
        <v>0</v>
      </c>
      <c r="AM637">
        <f>IF(AK637="","",AK637+2*AL637)</f>
        <v>0</v>
      </c>
      <c r="AN637">
        <f>IF(AK637="","",AK637-2*AL637)</f>
        <v>0</v>
      </c>
      <c r="AO637">
        <f>IF(OR(AM637="",AN637="",AM637=AN637),"",($E637-AN637)/(AM637-AN637))</f>
        <v>0</v>
      </c>
      <c r="AP637">
        <f>IF(OR(AM637="",AK637="",AK637=0),"",(AM637-AN637)/AK637)</f>
        <v>0</v>
      </c>
      <c r="AQ637">
        <f>IF(COUNT($E$2:$E637)&lt;20,"",MAX($C$618:$C$637))</f>
        <v>0</v>
      </c>
      <c r="AR637">
        <f>IF(COUNT($E$2:$E637)&lt;20,"",MIN($D$618:$D$637))</f>
        <v>0</v>
      </c>
      <c r="AS637">
        <f>IF(OR(AQ637="",AR637=""),"",(AQ637+AR637)/2)</f>
        <v>0</v>
      </c>
      <c r="AT637">
        <f>IF(COUNT($G$618:$G$637)&lt;20,"",STDEV($G$618:$G$637)*SQRT(252))</f>
        <v>0</v>
      </c>
      <c r="AU637">
        <f>IF(COUNT($E$2:$E637)&lt;9,"",(MAX($C$629:$C$637)+MIN($D$629:$D$637))/2)</f>
        <v>0</v>
      </c>
      <c r="AV637">
        <f>IF(COUNT($E$2:$E637)&lt;26,"",(MAX($C$612:$C$637)+MIN($D$612:$D$637))/2)</f>
        <v>0</v>
      </c>
      <c r="AW637">
        <f>IF(OR(AU637="",AV637=""),"",(AU637+AV637)/2)</f>
        <v>0</v>
      </c>
      <c r="AX637">
        <f>IF(COUNT($E$2:$E637)&lt;52,"",(MAX($C$586:$C$637)+MIN($D$586:$D$637))/2)</f>
        <v>0</v>
      </c>
      <c r="AY637">
        <f>IF(COUNT($E$2:$E637)&lt;20,"",MAX($C$538:$C$637))</f>
        <v>0</v>
      </c>
      <c r="AZ637">
        <f>IF(COUNT($E$2:$E637)&lt;20,"",MIN($D$538:$D$637))</f>
        <v>0</v>
      </c>
      <c r="BA637">
        <f>IF(COUNT($E$2:$E637)&lt;20,"",SLOPE($E$538:$E$637,$F$538:$F$637))</f>
        <v>0</v>
      </c>
      <c r="BB637">
        <f>IF(COUNT($E$2:$E637)&lt;20,"",INTERCEPT($E$538:$E$637,$F$538:$F$637))</f>
        <v>0</v>
      </c>
      <c r="BC637">
        <f>IF(OR(BA637="",BB637=""),"",BB637+BA637*F637)</f>
        <v>0</v>
      </c>
      <c r="BD637">
        <f>IF(COUNT($E$2:$E637)&lt;20,"",STEYX($E$538:$E$637,$F$538:$F$637))</f>
        <v>0</v>
      </c>
      <c r="BE637">
        <f>IF($E637="","",IF(AND(COUNT($E$638:$E$641)&gt;=4,$C637=MAX($C$633:$C$641)),$C637,""))</f>
        <v>0</v>
      </c>
      <c r="BF637">
        <f>IF($E637="","",IF(AND(COUNT($E$638:$E$641)&gt;=4,$D637=MIN($D$633:$D$641)),$D637,""))</f>
        <v>0</v>
      </c>
      <c r="BG637">
        <f>IF($A637="","",$A637-WEEKDAY($A637,2)+1)</f>
        <v>0</v>
      </c>
      <c r="BH637">
        <f>IF($A637="","",IF($A636="",1,IF(BG637&lt;&gt;BG636,1,0)))</f>
        <v>0</v>
      </c>
      <c r="BI637">
        <f>IF($A637="","",IF($A638="",1,IF(BG638&lt;&gt;BG637,1,0)))</f>
        <v>0</v>
      </c>
      <c r="BJ637">
        <f>IF($A637="","",IF(BH637=1,$B637,BJ636))</f>
        <v>0</v>
      </c>
      <c r="BK637">
        <f>IF($A637="","",IF(BH637=1,$C637,MAX($C637,BK636)))</f>
        <v>0</v>
      </c>
      <c r="BL637">
        <f>IF($A637="","",IF(BH637=1,$D637,MIN($D637,BL636)))</f>
        <v>0</v>
      </c>
      <c r="BM637">
        <f>IF($A637="","",IF(BI637=1,F637,""))</f>
        <v>0</v>
      </c>
      <c r="BN637">
        <f>IF($A637="","",DATE(YEAR($A637),MONTH($A637),1))</f>
        <v>0</v>
      </c>
      <c r="BO637">
        <f>IF($A637="","",IF($A636="",1,IF(BN637&lt;&gt;BN636,1,0)))</f>
        <v>0</v>
      </c>
      <c r="BP637">
        <f>IF($A637="","",IF($A638="",1,IF(BN638&lt;&gt;BN637,1,0)))</f>
        <v>0</v>
      </c>
      <c r="BQ637">
        <f>IF($A637="","",IF(BO637=1,$B637,BQ636))</f>
        <v>0</v>
      </c>
      <c r="BR637">
        <f>IF($A637="","",IF(BO637=1,$C637,MAX($C637,BR636)))</f>
        <v>0</v>
      </c>
      <c r="BS637">
        <f>IF($A637="","",IF(BO637=1,$D637,MIN($D637,BS636)))</f>
        <v>0</v>
      </c>
      <c r="BT637">
        <f>IF($A637="","",IF(BP637=1,F637,""))</f>
        <v>0</v>
      </c>
    </row>
    <row r="638" spans="1:72">
      <c r="A638" s="27">
        <f>IF(Data!$A638="","",Data!$A638)</f>
        <v>0</v>
      </c>
      <c r="B638">
        <f>IF(Data!$B638="","",Data!$B638)</f>
        <v>0</v>
      </c>
      <c r="C638">
        <f>IF(Data!$C638="","",Data!$C638)</f>
        <v>0</v>
      </c>
      <c r="D638">
        <f>IF(Data!$D638="","",Data!$D638)</f>
        <v>0</v>
      </c>
      <c r="E638">
        <f>IF(Data!$E638="","",Data!$E638)</f>
        <v>0</v>
      </c>
      <c r="F638">
        <f>IF($E638="","",N(F637)+1)</f>
        <v>0</v>
      </c>
      <c r="G638">
        <f>IF(OR($E638="",$E637=""),"",LN($E638/$E637))</f>
        <v>0</v>
      </c>
      <c r="H638">
        <f>IF($E638="","",IF($E637="",$E638,$E638*0.0952380952+H637*0.9047619048))</f>
        <v>0</v>
      </c>
      <c r="I638">
        <f>IF($E638="","",IF($E637="",$E638,$E638*0.0392156863+I637*0.9607843137))</f>
        <v>0</v>
      </c>
      <c r="J638">
        <f>IF($E638="","",IF($E637="",$E638,$E638*0.0198019802+J637*0.9801980198))</f>
        <v>0</v>
      </c>
      <c r="K638">
        <f>IF($E638="","",IF($E637="",$E638,$E638*0.0099502488+K637*0.9900497512))</f>
        <v>0</v>
      </c>
      <c r="L638">
        <f>IF(OR($E638="",$E637=""),"",MAX($E638-$E637,0))</f>
        <v>0</v>
      </c>
      <c r="M638">
        <f>IF(OR($E638="",$E637=""),"",MAX($E637-$E638,0))</f>
        <v>0</v>
      </c>
      <c r="N638">
        <f>IF(COUNT($E$2:$E638)&lt;15,"",IF(AVERAGE($M$625:$M$638)=0,100,100-100/(1+AVERAGE($L$625:$L$638)/AVERAGE($M$625:$M$638))))</f>
        <v>0</v>
      </c>
      <c r="O638">
        <f>IF($E638="","",IF($E637="",$E638,$E638*0.1538461538+O637*0.8461538462))</f>
        <v>0</v>
      </c>
      <c r="P638">
        <f>IF($E638="","",IF($E637="",$E638,$E638*0.0740740741+P637*0.9259259259))</f>
        <v>0</v>
      </c>
      <c r="Q638">
        <f>IF(OR(O638="",P638=""),"",O638-P638)</f>
        <v>0</v>
      </c>
      <c r="R638">
        <f>IF(Q638="","",IF(R637="",Q638,Q638*0.2000000000+R637*0.8000000000))</f>
        <v>0</v>
      </c>
      <c r="S638">
        <f>IF(OR(Q638="",R638=""),"",Q638-R638)</f>
        <v>0</v>
      </c>
      <c r="T638">
        <f>IF(COUNT($E$2:$E638)&lt;14,"",MAX($C$625:$C$638))</f>
        <v>0</v>
      </c>
      <c r="U638">
        <f>IF(COUNT($E$2:$E638)&lt;14,"",MIN($D$625:$D$638))</f>
        <v>0</v>
      </c>
      <c r="V638">
        <f>IF(OR(T638="",U638="",T638=U638),"",100*($E638-U638)/(T638-U638))</f>
        <v>0</v>
      </c>
      <c r="W638">
        <f>IF(COUNT($V$636:$V$638)&lt;3,"",AVERAGE($V$636:$V$638))</f>
        <v>0</v>
      </c>
      <c r="X638">
        <f>IF(COUNT($N$625:$N$638)&lt;14,"",MIN($N$625:$N$638))</f>
        <v>0</v>
      </c>
      <c r="Y638">
        <f>IF(COUNT($N$625:$N$638)&lt;14,"",MAX($N$625:$N$638))</f>
        <v>0</v>
      </c>
      <c r="Z638">
        <f>IF(OR(N638="",X638="",Y638="",Y638=X638),"",100*(N638-X638)/(Y638-X638))</f>
        <v>0</v>
      </c>
      <c r="AA638">
        <f>IF(COUNT($Z$636:$Z$638)&lt;3,"",AVERAGE($Z$636:$Z$638))</f>
        <v>0</v>
      </c>
      <c r="AB638">
        <f>IF(COUNT($AA$636:$AA$638)&lt;3,"",AVERAGE($AA$636:$AA$638))</f>
        <v>0</v>
      </c>
      <c r="AC638">
        <f>IF($E638="","",MAX($C638-$D638,ABS($C638-$E637),ABS($D638-$E637)))</f>
        <v>0</v>
      </c>
      <c r="AD638">
        <f>IF(COUNT($E$2:$E638)&lt;15,"",AVERAGE($AC$625:$AC$638))</f>
        <v>0</v>
      </c>
      <c r="AE638">
        <f>IF(OR($E638="",$E637=""),"",IF(AND(($C638-$C637)&gt;($D637-$D638),($C638-$C637)&gt;0),$C638-$C637,0))</f>
        <v>0</v>
      </c>
      <c r="AF638">
        <f>IF(OR($E638="",$E637=""),"",IF(AND(($D637-$D638)&gt;($C638-$C637),($D637-$D638)&gt;0),$D637-$D638,0))</f>
        <v>0</v>
      </c>
      <c r="AG638">
        <f>IF(COUNT($E$2:$E638)&lt;15,"",IF(SUM($AC$625:$AC$638)=0,0,100*SUM($AE$625:$AE$638)/SUM($AC$625:$AC$638)))</f>
        <v>0</v>
      </c>
      <c r="AH638">
        <f>IF(COUNT($E$2:$E638)&lt;15,"",IF(SUM($AC$625:$AC$638)=0,0,100*SUM($AF$625:$AF$638)/SUM($AC$625:$AC$638)))</f>
        <v>0</v>
      </c>
      <c r="AI638">
        <f>IF(OR(AG638="",AH638=""),"",IF((AG638+AH638)=0,0,100*ABS(AG638-AH638)/(AG638+AH638)))</f>
        <v>0</v>
      </c>
      <c r="AJ638">
        <f>IF(COUNT($AI$625:$AI$638)&lt;14,"",AVERAGE($AI$625:$AI$638))</f>
        <v>0</v>
      </c>
      <c r="AK638">
        <f>IF(COUNT($E$2:$E638)&lt;20,"",AVERAGE($E$619:$E$638))</f>
        <v>0</v>
      </c>
      <c r="AL638">
        <f>IF(COUNT($E$2:$E638)&lt;20,"",STDEVP($E$619:$E$638))</f>
        <v>0</v>
      </c>
      <c r="AM638">
        <f>IF(AK638="","",AK638+2*AL638)</f>
        <v>0</v>
      </c>
      <c r="AN638">
        <f>IF(AK638="","",AK638-2*AL638)</f>
        <v>0</v>
      </c>
      <c r="AO638">
        <f>IF(OR(AM638="",AN638="",AM638=AN638),"",($E638-AN638)/(AM638-AN638))</f>
        <v>0</v>
      </c>
      <c r="AP638">
        <f>IF(OR(AM638="",AK638="",AK638=0),"",(AM638-AN638)/AK638)</f>
        <v>0</v>
      </c>
      <c r="AQ638">
        <f>IF(COUNT($E$2:$E638)&lt;20,"",MAX($C$619:$C$638))</f>
        <v>0</v>
      </c>
      <c r="AR638">
        <f>IF(COUNT($E$2:$E638)&lt;20,"",MIN($D$619:$D$638))</f>
        <v>0</v>
      </c>
      <c r="AS638">
        <f>IF(OR(AQ638="",AR638=""),"",(AQ638+AR638)/2)</f>
        <v>0</v>
      </c>
      <c r="AT638">
        <f>IF(COUNT($G$619:$G$638)&lt;20,"",STDEV($G$619:$G$638)*SQRT(252))</f>
        <v>0</v>
      </c>
      <c r="AU638">
        <f>IF(COUNT($E$2:$E638)&lt;9,"",(MAX($C$630:$C$638)+MIN($D$630:$D$638))/2)</f>
        <v>0</v>
      </c>
      <c r="AV638">
        <f>IF(COUNT($E$2:$E638)&lt;26,"",(MAX($C$613:$C$638)+MIN($D$613:$D$638))/2)</f>
        <v>0</v>
      </c>
      <c r="AW638">
        <f>IF(OR(AU638="",AV638=""),"",(AU638+AV638)/2)</f>
        <v>0</v>
      </c>
      <c r="AX638">
        <f>IF(COUNT($E$2:$E638)&lt;52,"",(MAX($C$587:$C$638)+MIN($D$587:$D$638))/2)</f>
        <v>0</v>
      </c>
      <c r="AY638">
        <f>IF(COUNT($E$2:$E638)&lt;20,"",MAX($C$539:$C$638))</f>
        <v>0</v>
      </c>
      <c r="AZ638">
        <f>IF(COUNT($E$2:$E638)&lt;20,"",MIN($D$539:$D$638))</f>
        <v>0</v>
      </c>
      <c r="BA638">
        <f>IF(COUNT($E$2:$E638)&lt;20,"",SLOPE($E$539:$E$638,$F$539:$F$638))</f>
        <v>0</v>
      </c>
      <c r="BB638">
        <f>IF(COUNT($E$2:$E638)&lt;20,"",INTERCEPT($E$539:$E$638,$F$539:$F$638))</f>
        <v>0</v>
      </c>
      <c r="BC638">
        <f>IF(OR(BA638="",BB638=""),"",BB638+BA638*F638)</f>
        <v>0</v>
      </c>
      <c r="BD638">
        <f>IF(COUNT($E$2:$E638)&lt;20,"",STEYX($E$539:$E$638,$F$539:$F$638))</f>
        <v>0</v>
      </c>
      <c r="BE638">
        <f>IF($E638="","",IF(AND(COUNT($E$639:$E$642)&gt;=4,$C638=MAX($C$634:$C$642)),$C638,""))</f>
        <v>0</v>
      </c>
      <c r="BF638">
        <f>IF($E638="","",IF(AND(COUNT($E$639:$E$642)&gt;=4,$D638=MIN($D$634:$D$642)),$D638,""))</f>
        <v>0</v>
      </c>
      <c r="BG638">
        <f>IF($A638="","",$A638-WEEKDAY($A638,2)+1)</f>
        <v>0</v>
      </c>
      <c r="BH638">
        <f>IF($A638="","",IF($A637="",1,IF(BG638&lt;&gt;BG637,1,0)))</f>
        <v>0</v>
      </c>
      <c r="BI638">
        <f>IF($A638="","",IF($A639="",1,IF(BG639&lt;&gt;BG638,1,0)))</f>
        <v>0</v>
      </c>
      <c r="BJ638">
        <f>IF($A638="","",IF(BH638=1,$B638,BJ637))</f>
        <v>0</v>
      </c>
      <c r="BK638">
        <f>IF($A638="","",IF(BH638=1,$C638,MAX($C638,BK637)))</f>
        <v>0</v>
      </c>
      <c r="BL638">
        <f>IF($A638="","",IF(BH638=1,$D638,MIN($D638,BL637)))</f>
        <v>0</v>
      </c>
      <c r="BM638">
        <f>IF($A638="","",IF(BI638=1,F638,""))</f>
        <v>0</v>
      </c>
      <c r="BN638">
        <f>IF($A638="","",DATE(YEAR($A638),MONTH($A638),1))</f>
        <v>0</v>
      </c>
      <c r="BO638">
        <f>IF($A638="","",IF($A637="",1,IF(BN638&lt;&gt;BN637,1,0)))</f>
        <v>0</v>
      </c>
      <c r="BP638">
        <f>IF($A638="","",IF($A639="",1,IF(BN639&lt;&gt;BN638,1,0)))</f>
        <v>0</v>
      </c>
      <c r="BQ638">
        <f>IF($A638="","",IF(BO638=1,$B638,BQ637))</f>
        <v>0</v>
      </c>
      <c r="BR638">
        <f>IF($A638="","",IF(BO638=1,$C638,MAX($C638,BR637)))</f>
        <v>0</v>
      </c>
      <c r="BS638">
        <f>IF($A638="","",IF(BO638=1,$D638,MIN($D638,BS637)))</f>
        <v>0</v>
      </c>
      <c r="BT638">
        <f>IF($A638="","",IF(BP638=1,F638,""))</f>
        <v>0</v>
      </c>
    </row>
    <row r="639" spans="1:72">
      <c r="A639" s="27">
        <f>IF(Data!$A639="","",Data!$A639)</f>
        <v>0</v>
      </c>
      <c r="B639">
        <f>IF(Data!$B639="","",Data!$B639)</f>
        <v>0</v>
      </c>
      <c r="C639">
        <f>IF(Data!$C639="","",Data!$C639)</f>
        <v>0</v>
      </c>
      <c r="D639">
        <f>IF(Data!$D639="","",Data!$D639)</f>
        <v>0</v>
      </c>
      <c r="E639">
        <f>IF(Data!$E639="","",Data!$E639)</f>
        <v>0</v>
      </c>
      <c r="F639">
        <f>IF($E639="","",N(F638)+1)</f>
        <v>0</v>
      </c>
      <c r="G639">
        <f>IF(OR($E639="",$E638=""),"",LN($E639/$E638))</f>
        <v>0</v>
      </c>
      <c r="H639">
        <f>IF($E639="","",IF($E638="",$E639,$E639*0.0952380952+H638*0.9047619048))</f>
        <v>0</v>
      </c>
      <c r="I639">
        <f>IF($E639="","",IF($E638="",$E639,$E639*0.0392156863+I638*0.9607843137))</f>
        <v>0</v>
      </c>
      <c r="J639">
        <f>IF($E639="","",IF($E638="",$E639,$E639*0.0198019802+J638*0.9801980198))</f>
        <v>0</v>
      </c>
      <c r="K639">
        <f>IF($E639="","",IF($E638="",$E639,$E639*0.0099502488+K638*0.9900497512))</f>
        <v>0</v>
      </c>
      <c r="L639">
        <f>IF(OR($E639="",$E638=""),"",MAX($E639-$E638,0))</f>
        <v>0</v>
      </c>
      <c r="M639">
        <f>IF(OR($E639="",$E638=""),"",MAX($E638-$E639,0))</f>
        <v>0</v>
      </c>
      <c r="N639">
        <f>IF(COUNT($E$2:$E639)&lt;15,"",IF(AVERAGE($M$626:$M$639)=0,100,100-100/(1+AVERAGE($L$626:$L$639)/AVERAGE($M$626:$M$639))))</f>
        <v>0</v>
      </c>
      <c r="O639">
        <f>IF($E639="","",IF($E638="",$E639,$E639*0.1538461538+O638*0.8461538462))</f>
        <v>0</v>
      </c>
      <c r="P639">
        <f>IF($E639="","",IF($E638="",$E639,$E639*0.0740740741+P638*0.9259259259))</f>
        <v>0</v>
      </c>
      <c r="Q639">
        <f>IF(OR(O639="",P639=""),"",O639-P639)</f>
        <v>0</v>
      </c>
      <c r="R639">
        <f>IF(Q639="","",IF(R638="",Q639,Q639*0.2000000000+R638*0.8000000000))</f>
        <v>0</v>
      </c>
      <c r="S639">
        <f>IF(OR(Q639="",R639=""),"",Q639-R639)</f>
        <v>0</v>
      </c>
      <c r="T639">
        <f>IF(COUNT($E$2:$E639)&lt;14,"",MAX($C$626:$C$639))</f>
        <v>0</v>
      </c>
      <c r="U639">
        <f>IF(COUNT($E$2:$E639)&lt;14,"",MIN($D$626:$D$639))</f>
        <v>0</v>
      </c>
      <c r="V639">
        <f>IF(OR(T639="",U639="",T639=U639),"",100*($E639-U639)/(T639-U639))</f>
        <v>0</v>
      </c>
      <c r="W639">
        <f>IF(COUNT($V$637:$V$639)&lt;3,"",AVERAGE($V$637:$V$639))</f>
        <v>0</v>
      </c>
      <c r="X639">
        <f>IF(COUNT($N$626:$N$639)&lt;14,"",MIN($N$626:$N$639))</f>
        <v>0</v>
      </c>
      <c r="Y639">
        <f>IF(COUNT($N$626:$N$639)&lt;14,"",MAX($N$626:$N$639))</f>
        <v>0</v>
      </c>
      <c r="Z639">
        <f>IF(OR(N639="",X639="",Y639="",Y639=X639),"",100*(N639-X639)/(Y639-X639))</f>
        <v>0</v>
      </c>
      <c r="AA639">
        <f>IF(COUNT($Z$637:$Z$639)&lt;3,"",AVERAGE($Z$637:$Z$639))</f>
        <v>0</v>
      </c>
      <c r="AB639">
        <f>IF(COUNT($AA$637:$AA$639)&lt;3,"",AVERAGE($AA$637:$AA$639))</f>
        <v>0</v>
      </c>
      <c r="AC639">
        <f>IF($E639="","",MAX($C639-$D639,ABS($C639-$E638),ABS($D639-$E638)))</f>
        <v>0</v>
      </c>
      <c r="AD639">
        <f>IF(COUNT($E$2:$E639)&lt;15,"",AVERAGE($AC$626:$AC$639))</f>
        <v>0</v>
      </c>
      <c r="AE639">
        <f>IF(OR($E639="",$E638=""),"",IF(AND(($C639-$C638)&gt;($D638-$D639),($C639-$C638)&gt;0),$C639-$C638,0))</f>
        <v>0</v>
      </c>
      <c r="AF639">
        <f>IF(OR($E639="",$E638=""),"",IF(AND(($D638-$D639)&gt;($C639-$C638),($D638-$D639)&gt;0),$D638-$D639,0))</f>
        <v>0</v>
      </c>
      <c r="AG639">
        <f>IF(COUNT($E$2:$E639)&lt;15,"",IF(SUM($AC$626:$AC$639)=0,0,100*SUM($AE$626:$AE$639)/SUM($AC$626:$AC$639)))</f>
        <v>0</v>
      </c>
      <c r="AH639">
        <f>IF(COUNT($E$2:$E639)&lt;15,"",IF(SUM($AC$626:$AC$639)=0,0,100*SUM($AF$626:$AF$639)/SUM($AC$626:$AC$639)))</f>
        <v>0</v>
      </c>
      <c r="AI639">
        <f>IF(OR(AG639="",AH639=""),"",IF((AG639+AH639)=0,0,100*ABS(AG639-AH639)/(AG639+AH639)))</f>
        <v>0</v>
      </c>
      <c r="AJ639">
        <f>IF(COUNT($AI$626:$AI$639)&lt;14,"",AVERAGE($AI$626:$AI$639))</f>
        <v>0</v>
      </c>
      <c r="AK639">
        <f>IF(COUNT($E$2:$E639)&lt;20,"",AVERAGE($E$620:$E$639))</f>
        <v>0</v>
      </c>
      <c r="AL639">
        <f>IF(COUNT($E$2:$E639)&lt;20,"",STDEVP($E$620:$E$639))</f>
        <v>0</v>
      </c>
      <c r="AM639">
        <f>IF(AK639="","",AK639+2*AL639)</f>
        <v>0</v>
      </c>
      <c r="AN639">
        <f>IF(AK639="","",AK639-2*AL639)</f>
        <v>0</v>
      </c>
      <c r="AO639">
        <f>IF(OR(AM639="",AN639="",AM639=AN639),"",($E639-AN639)/(AM639-AN639))</f>
        <v>0</v>
      </c>
      <c r="AP639">
        <f>IF(OR(AM639="",AK639="",AK639=0),"",(AM639-AN639)/AK639)</f>
        <v>0</v>
      </c>
      <c r="AQ639">
        <f>IF(COUNT($E$2:$E639)&lt;20,"",MAX($C$620:$C$639))</f>
        <v>0</v>
      </c>
      <c r="AR639">
        <f>IF(COUNT($E$2:$E639)&lt;20,"",MIN($D$620:$D$639))</f>
        <v>0</v>
      </c>
      <c r="AS639">
        <f>IF(OR(AQ639="",AR639=""),"",(AQ639+AR639)/2)</f>
        <v>0</v>
      </c>
      <c r="AT639">
        <f>IF(COUNT($G$620:$G$639)&lt;20,"",STDEV($G$620:$G$639)*SQRT(252))</f>
        <v>0</v>
      </c>
      <c r="AU639">
        <f>IF(COUNT($E$2:$E639)&lt;9,"",(MAX($C$631:$C$639)+MIN($D$631:$D$639))/2)</f>
        <v>0</v>
      </c>
      <c r="AV639">
        <f>IF(COUNT($E$2:$E639)&lt;26,"",(MAX($C$614:$C$639)+MIN($D$614:$D$639))/2)</f>
        <v>0</v>
      </c>
      <c r="AW639">
        <f>IF(OR(AU639="",AV639=""),"",(AU639+AV639)/2)</f>
        <v>0</v>
      </c>
      <c r="AX639">
        <f>IF(COUNT($E$2:$E639)&lt;52,"",(MAX($C$588:$C$639)+MIN($D$588:$D$639))/2)</f>
        <v>0</v>
      </c>
      <c r="AY639">
        <f>IF(COUNT($E$2:$E639)&lt;20,"",MAX($C$540:$C$639))</f>
        <v>0</v>
      </c>
      <c r="AZ639">
        <f>IF(COUNT($E$2:$E639)&lt;20,"",MIN($D$540:$D$639))</f>
        <v>0</v>
      </c>
      <c r="BA639">
        <f>IF(COUNT($E$2:$E639)&lt;20,"",SLOPE($E$540:$E$639,$F$540:$F$639))</f>
        <v>0</v>
      </c>
      <c r="BB639">
        <f>IF(COUNT($E$2:$E639)&lt;20,"",INTERCEPT($E$540:$E$639,$F$540:$F$639))</f>
        <v>0</v>
      </c>
      <c r="BC639">
        <f>IF(OR(BA639="",BB639=""),"",BB639+BA639*F639)</f>
        <v>0</v>
      </c>
      <c r="BD639">
        <f>IF(COUNT($E$2:$E639)&lt;20,"",STEYX($E$540:$E$639,$F$540:$F$639))</f>
        <v>0</v>
      </c>
      <c r="BE639">
        <f>IF($E639="","",IF(AND(COUNT($E$640:$E$643)&gt;=4,$C639=MAX($C$635:$C$643)),$C639,""))</f>
        <v>0</v>
      </c>
      <c r="BF639">
        <f>IF($E639="","",IF(AND(COUNT($E$640:$E$643)&gt;=4,$D639=MIN($D$635:$D$643)),$D639,""))</f>
        <v>0</v>
      </c>
      <c r="BG639">
        <f>IF($A639="","",$A639-WEEKDAY($A639,2)+1)</f>
        <v>0</v>
      </c>
      <c r="BH639">
        <f>IF($A639="","",IF($A638="",1,IF(BG639&lt;&gt;BG638,1,0)))</f>
        <v>0</v>
      </c>
      <c r="BI639">
        <f>IF($A639="","",IF($A640="",1,IF(BG640&lt;&gt;BG639,1,0)))</f>
        <v>0</v>
      </c>
      <c r="BJ639">
        <f>IF($A639="","",IF(BH639=1,$B639,BJ638))</f>
        <v>0</v>
      </c>
      <c r="BK639">
        <f>IF($A639="","",IF(BH639=1,$C639,MAX($C639,BK638)))</f>
        <v>0</v>
      </c>
      <c r="BL639">
        <f>IF($A639="","",IF(BH639=1,$D639,MIN($D639,BL638)))</f>
        <v>0</v>
      </c>
      <c r="BM639">
        <f>IF($A639="","",IF(BI639=1,F639,""))</f>
        <v>0</v>
      </c>
      <c r="BN639">
        <f>IF($A639="","",DATE(YEAR($A639),MONTH($A639),1))</f>
        <v>0</v>
      </c>
      <c r="BO639">
        <f>IF($A639="","",IF($A638="",1,IF(BN639&lt;&gt;BN638,1,0)))</f>
        <v>0</v>
      </c>
      <c r="BP639">
        <f>IF($A639="","",IF($A640="",1,IF(BN640&lt;&gt;BN639,1,0)))</f>
        <v>0</v>
      </c>
      <c r="BQ639">
        <f>IF($A639="","",IF(BO639=1,$B639,BQ638))</f>
        <v>0</v>
      </c>
      <c r="BR639">
        <f>IF($A639="","",IF(BO639=1,$C639,MAX($C639,BR638)))</f>
        <v>0</v>
      </c>
      <c r="BS639">
        <f>IF($A639="","",IF(BO639=1,$D639,MIN($D639,BS638)))</f>
        <v>0</v>
      </c>
      <c r="BT639">
        <f>IF($A639="","",IF(BP639=1,F639,""))</f>
        <v>0</v>
      </c>
    </row>
    <row r="640" spans="1:72">
      <c r="A640" s="27">
        <f>IF(Data!$A640="","",Data!$A640)</f>
        <v>0</v>
      </c>
      <c r="B640">
        <f>IF(Data!$B640="","",Data!$B640)</f>
        <v>0</v>
      </c>
      <c r="C640">
        <f>IF(Data!$C640="","",Data!$C640)</f>
        <v>0</v>
      </c>
      <c r="D640">
        <f>IF(Data!$D640="","",Data!$D640)</f>
        <v>0</v>
      </c>
      <c r="E640">
        <f>IF(Data!$E640="","",Data!$E640)</f>
        <v>0</v>
      </c>
      <c r="F640">
        <f>IF($E640="","",N(F639)+1)</f>
        <v>0</v>
      </c>
      <c r="G640">
        <f>IF(OR($E640="",$E639=""),"",LN($E640/$E639))</f>
        <v>0</v>
      </c>
      <c r="H640">
        <f>IF($E640="","",IF($E639="",$E640,$E640*0.0952380952+H639*0.9047619048))</f>
        <v>0</v>
      </c>
      <c r="I640">
        <f>IF($E640="","",IF($E639="",$E640,$E640*0.0392156863+I639*0.9607843137))</f>
        <v>0</v>
      </c>
      <c r="J640">
        <f>IF($E640="","",IF($E639="",$E640,$E640*0.0198019802+J639*0.9801980198))</f>
        <v>0</v>
      </c>
      <c r="K640">
        <f>IF($E640="","",IF($E639="",$E640,$E640*0.0099502488+K639*0.9900497512))</f>
        <v>0</v>
      </c>
      <c r="L640">
        <f>IF(OR($E640="",$E639=""),"",MAX($E640-$E639,0))</f>
        <v>0</v>
      </c>
      <c r="M640">
        <f>IF(OR($E640="",$E639=""),"",MAX($E639-$E640,0))</f>
        <v>0</v>
      </c>
      <c r="N640">
        <f>IF(COUNT($E$2:$E640)&lt;15,"",IF(AVERAGE($M$627:$M$640)=0,100,100-100/(1+AVERAGE($L$627:$L$640)/AVERAGE($M$627:$M$640))))</f>
        <v>0</v>
      </c>
      <c r="O640">
        <f>IF($E640="","",IF($E639="",$E640,$E640*0.1538461538+O639*0.8461538462))</f>
        <v>0</v>
      </c>
      <c r="P640">
        <f>IF($E640="","",IF($E639="",$E640,$E640*0.0740740741+P639*0.9259259259))</f>
        <v>0</v>
      </c>
      <c r="Q640">
        <f>IF(OR(O640="",P640=""),"",O640-P640)</f>
        <v>0</v>
      </c>
      <c r="R640">
        <f>IF(Q640="","",IF(R639="",Q640,Q640*0.2000000000+R639*0.8000000000))</f>
        <v>0</v>
      </c>
      <c r="S640">
        <f>IF(OR(Q640="",R640=""),"",Q640-R640)</f>
        <v>0</v>
      </c>
      <c r="T640">
        <f>IF(COUNT($E$2:$E640)&lt;14,"",MAX($C$627:$C$640))</f>
        <v>0</v>
      </c>
      <c r="U640">
        <f>IF(COUNT($E$2:$E640)&lt;14,"",MIN($D$627:$D$640))</f>
        <v>0</v>
      </c>
      <c r="V640">
        <f>IF(OR(T640="",U640="",T640=U640),"",100*($E640-U640)/(T640-U640))</f>
        <v>0</v>
      </c>
      <c r="W640">
        <f>IF(COUNT($V$638:$V$640)&lt;3,"",AVERAGE($V$638:$V$640))</f>
        <v>0</v>
      </c>
      <c r="X640">
        <f>IF(COUNT($N$627:$N$640)&lt;14,"",MIN($N$627:$N$640))</f>
        <v>0</v>
      </c>
      <c r="Y640">
        <f>IF(COUNT($N$627:$N$640)&lt;14,"",MAX($N$627:$N$640))</f>
        <v>0</v>
      </c>
      <c r="Z640">
        <f>IF(OR(N640="",X640="",Y640="",Y640=X640),"",100*(N640-X640)/(Y640-X640))</f>
        <v>0</v>
      </c>
      <c r="AA640">
        <f>IF(COUNT($Z$638:$Z$640)&lt;3,"",AVERAGE($Z$638:$Z$640))</f>
        <v>0</v>
      </c>
      <c r="AB640">
        <f>IF(COUNT($AA$638:$AA$640)&lt;3,"",AVERAGE($AA$638:$AA$640))</f>
        <v>0</v>
      </c>
      <c r="AC640">
        <f>IF($E640="","",MAX($C640-$D640,ABS($C640-$E639),ABS($D640-$E639)))</f>
        <v>0</v>
      </c>
      <c r="AD640">
        <f>IF(COUNT($E$2:$E640)&lt;15,"",AVERAGE($AC$627:$AC$640))</f>
        <v>0</v>
      </c>
      <c r="AE640">
        <f>IF(OR($E640="",$E639=""),"",IF(AND(($C640-$C639)&gt;($D639-$D640),($C640-$C639)&gt;0),$C640-$C639,0))</f>
        <v>0</v>
      </c>
      <c r="AF640">
        <f>IF(OR($E640="",$E639=""),"",IF(AND(($D639-$D640)&gt;($C640-$C639),($D639-$D640)&gt;0),$D639-$D640,0))</f>
        <v>0</v>
      </c>
      <c r="AG640">
        <f>IF(COUNT($E$2:$E640)&lt;15,"",IF(SUM($AC$627:$AC$640)=0,0,100*SUM($AE$627:$AE$640)/SUM($AC$627:$AC$640)))</f>
        <v>0</v>
      </c>
      <c r="AH640">
        <f>IF(COUNT($E$2:$E640)&lt;15,"",IF(SUM($AC$627:$AC$640)=0,0,100*SUM($AF$627:$AF$640)/SUM($AC$627:$AC$640)))</f>
        <v>0</v>
      </c>
      <c r="AI640">
        <f>IF(OR(AG640="",AH640=""),"",IF((AG640+AH640)=0,0,100*ABS(AG640-AH640)/(AG640+AH640)))</f>
        <v>0</v>
      </c>
      <c r="AJ640">
        <f>IF(COUNT($AI$627:$AI$640)&lt;14,"",AVERAGE($AI$627:$AI$640))</f>
        <v>0</v>
      </c>
      <c r="AK640">
        <f>IF(COUNT($E$2:$E640)&lt;20,"",AVERAGE($E$621:$E$640))</f>
        <v>0</v>
      </c>
      <c r="AL640">
        <f>IF(COUNT($E$2:$E640)&lt;20,"",STDEVP($E$621:$E$640))</f>
        <v>0</v>
      </c>
      <c r="AM640">
        <f>IF(AK640="","",AK640+2*AL640)</f>
        <v>0</v>
      </c>
      <c r="AN640">
        <f>IF(AK640="","",AK640-2*AL640)</f>
        <v>0</v>
      </c>
      <c r="AO640">
        <f>IF(OR(AM640="",AN640="",AM640=AN640),"",($E640-AN640)/(AM640-AN640))</f>
        <v>0</v>
      </c>
      <c r="AP640">
        <f>IF(OR(AM640="",AK640="",AK640=0),"",(AM640-AN640)/AK640)</f>
        <v>0</v>
      </c>
      <c r="AQ640">
        <f>IF(COUNT($E$2:$E640)&lt;20,"",MAX($C$621:$C$640))</f>
        <v>0</v>
      </c>
      <c r="AR640">
        <f>IF(COUNT($E$2:$E640)&lt;20,"",MIN($D$621:$D$640))</f>
        <v>0</v>
      </c>
      <c r="AS640">
        <f>IF(OR(AQ640="",AR640=""),"",(AQ640+AR640)/2)</f>
        <v>0</v>
      </c>
      <c r="AT640">
        <f>IF(COUNT($G$621:$G$640)&lt;20,"",STDEV($G$621:$G$640)*SQRT(252))</f>
        <v>0</v>
      </c>
      <c r="AU640">
        <f>IF(COUNT($E$2:$E640)&lt;9,"",(MAX($C$632:$C$640)+MIN($D$632:$D$640))/2)</f>
        <v>0</v>
      </c>
      <c r="AV640">
        <f>IF(COUNT($E$2:$E640)&lt;26,"",(MAX($C$615:$C$640)+MIN($D$615:$D$640))/2)</f>
        <v>0</v>
      </c>
      <c r="AW640">
        <f>IF(OR(AU640="",AV640=""),"",(AU640+AV640)/2)</f>
        <v>0</v>
      </c>
      <c r="AX640">
        <f>IF(COUNT($E$2:$E640)&lt;52,"",(MAX($C$589:$C$640)+MIN($D$589:$D$640))/2)</f>
        <v>0</v>
      </c>
      <c r="AY640">
        <f>IF(COUNT($E$2:$E640)&lt;20,"",MAX($C$541:$C$640))</f>
        <v>0</v>
      </c>
      <c r="AZ640">
        <f>IF(COUNT($E$2:$E640)&lt;20,"",MIN($D$541:$D$640))</f>
        <v>0</v>
      </c>
      <c r="BA640">
        <f>IF(COUNT($E$2:$E640)&lt;20,"",SLOPE($E$541:$E$640,$F$541:$F$640))</f>
        <v>0</v>
      </c>
      <c r="BB640">
        <f>IF(COUNT($E$2:$E640)&lt;20,"",INTERCEPT($E$541:$E$640,$F$541:$F$640))</f>
        <v>0</v>
      </c>
      <c r="BC640">
        <f>IF(OR(BA640="",BB640=""),"",BB640+BA640*F640)</f>
        <v>0</v>
      </c>
      <c r="BD640">
        <f>IF(COUNT($E$2:$E640)&lt;20,"",STEYX($E$541:$E$640,$F$541:$F$640))</f>
        <v>0</v>
      </c>
      <c r="BE640">
        <f>IF($E640="","",IF(AND(COUNT($E$641:$E$644)&gt;=4,$C640=MAX($C$636:$C$644)),$C640,""))</f>
        <v>0</v>
      </c>
      <c r="BF640">
        <f>IF($E640="","",IF(AND(COUNT($E$641:$E$644)&gt;=4,$D640=MIN($D$636:$D$644)),$D640,""))</f>
        <v>0</v>
      </c>
      <c r="BG640">
        <f>IF($A640="","",$A640-WEEKDAY($A640,2)+1)</f>
        <v>0</v>
      </c>
      <c r="BH640">
        <f>IF($A640="","",IF($A639="",1,IF(BG640&lt;&gt;BG639,1,0)))</f>
        <v>0</v>
      </c>
      <c r="BI640">
        <f>IF($A640="","",IF($A641="",1,IF(BG641&lt;&gt;BG640,1,0)))</f>
        <v>0</v>
      </c>
      <c r="BJ640">
        <f>IF($A640="","",IF(BH640=1,$B640,BJ639))</f>
        <v>0</v>
      </c>
      <c r="BK640">
        <f>IF($A640="","",IF(BH640=1,$C640,MAX($C640,BK639)))</f>
        <v>0</v>
      </c>
      <c r="BL640">
        <f>IF($A640="","",IF(BH640=1,$D640,MIN($D640,BL639)))</f>
        <v>0</v>
      </c>
      <c r="BM640">
        <f>IF($A640="","",IF(BI640=1,F640,""))</f>
        <v>0</v>
      </c>
      <c r="BN640">
        <f>IF($A640="","",DATE(YEAR($A640),MONTH($A640),1))</f>
        <v>0</v>
      </c>
      <c r="BO640">
        <f>IF($A640="","",IF($A639="",1,IF(BN640&lt;&gt;BN639,1,0)))</f>
        <v>0</v>
      </c>
      <c r="BP640">
        <f>IF($A640="","",IF($A641="",1,IF(BN641&lt;&gt;BN640,1,0)))</f>
        <v>0</v>
      </c>
      <c r="BQ640">
        <f>IF($A640="","",IF(BO640=1,$B640,BQ639))</f>
        <v>0</v>
      </c>
      <c r="BR640">
        <f>IF($A640="","",IF(BO640=1,$C640,MAX($C640,BR639)))</f>
        <v>0</v>
      </c>
      <c r="BS640">
        <f>IF($A640="","",IF(BO640=1,$D640,MIN($D640,BS639)))</f>
        <v>0</v>
      </c>
      <c r="BT640">
        <f>IF($A640="","",IF(BP640=1,F640,""))</f>
        <v>0</v>
      </c>
    </row>
    <row r="641" spans="1:72">
      <c r="A641" s="27">
        <f>IF(Data!$A641="","",Data!$A641)</f>
        <v>0</v>
      </c>
      <c r="B641">
        <f>IF(Data!$B641="","",Data!$B641)</f>
        <v>0</v>
      </c>
      <c r="C641">
        <f>IF(Data!$C641="","",Data!$C641)</f>
        <v>0</v>
      </c>
      <c r="D641">
        <f>IF(Data!$D641="","",Data!$D641)</f>
        <v>0</v>
      </c>
      <c r="E641">
        <f>IF(Data!$E641="","",Data!$E641)</f>
        <v>0</v>
      </c>
      <c r="F641">
        <f>IF($E641="","",N(F640)+1)</f>
        <v>0</v>
      </c>
      <c r="G641">
        <f>IF(OR($E641="",$E640=""),"",LN($E641/$E640))</f>
        <v>0</v>
      </c>
      <c r="H641">
        <f>IF($E641="","",IF($E640="",$E641,$E641*0.0952380952+H640*0.9047619048))</f>
        <v>0</v>
      </c>
      <c r="I641">
        <f>IF($E641="","",IF($E640="",$E641,$E641*0.0392156863+I640*0.9607843137))</f>
        <v>0</v>
      </c>
      <c r="J641">
        <f>IF($E641="","",IF($E640="",$E641,$E641*0.0198019802+J640*0.9801980198))</f>
        <v>0</v>
      </c>
      <c r="K641">
        <f>IF($E641="","",IF($E640="",$E641,$E641*0.0099502488+K640*0.9900497512))</f>
        <v>0</v>
      </c>
      <c r="L641">
        <f>IF(OR($E641="",$E640=""),"",MAX($E641-$E640,0))</f>
        <v>0</v>
      </c>
      <c r="M641">
        <f>IF(OR($E641="",$E640=""),"",MAX($E640-$E641,0))</f>
        <v>0</v>
      </c>
      <c r="N641">
        <f>IF(COUNT($E$2:$E641)&lt;15,"",IF(AVERAGE($M$628:$M$641)=0,100,100-100/(1+AVERAGE($L$628:$L$641)/AVERAGE($M$628:$M$641))))</f>
        <v>0</v>
      </c>
      <c r="O641">
        <f>IF($E641="","",IF($E640="",$E641,$E641*0.1538461538+O640*0.8461538462))</f>
        <v>0</v>
      </c>
      <c r="P641">
        <f>IF($E641="","",IF($E640="",$E641,$E641*0.0740740741+P640*0.9259259259))</f>
        <v>0</v>
      </c>
      <c r="Q641">
        <f>IF(OR(O641="",P641=""),"",O641-P641)</f>
        <v>0</v>
      </c>
      <c r="R641">
        <f>IF(Q641="","",IF(R640="",Q641,Q641*0.2000000000+R640*0.8000000000))</f>
        <v>0</v>
      </c>
      <c r="S641">
        <f>IF(OR(Q641="",R641=""),"",Q641-R641)</f>
        <v>0</v>
      </c>
      <c r="T641">
        <f>IF(COUNT($E$2:$E641)&lt;14,"",MAX($C$628:$C$641))</f>
        <v>0</v>
      </c>
      <c r="U641">
        <f>IF(COUNT($E$2:$E641)&lt;14,"",MIN($D$628:$D$641))</f>
        <v>0</v>
      </c>
      <c r="V641">
        <f>IF(OR(T641="",U641="",T641=U641),"",100*($E641-U641)/(T641-U641))</f>
        <v>0</v>
      </c>
      <c r="W641">
        <f>IF(COUNT($V$639:$V$641)&lt;3,"",AVERAGE($V$639:$V$641))</f>
        <v>0</v>
      </c>
      <c r="X641">
        <f>IF(COUNT($N$628:$N$641)&lt;14,"",MIN($N$628:$N$641))</f>
        <v>0</v>
      </c>
      <c r="Y641">
        <f>IF(COUNT($N$628:$N$641)&lt;14,"",MAX($N$628:$N$641))</f>
        <v>0</v>
      </c>
      <c r="Z641">
        <f>IF(OR(N641="",X641="",Y641="",Y641=X641),"",100*(N641-X641)/(Y641-X641))</f>
        <v>0</v>
      </c>
      <c r="AA641">
        <f>IF(COUNT($Z$639:$Z$641)&lt;3,"",AVERAGE($Z$639:$Z$641))</f>
        <v>0</v>
      </c>
      <c r="AB641">
        <f>IF(COUNT($AA$639:$AA$641)&lt;3,"",AVERAGE($AA$639:$AA$641))</f>
        <v>0</v>
      </c>
      <c r="AC641">
        <f>IF($E641="","",MAX($C641-$D641,ABS($C641-$E640),ABS($D641-$E640)))</f>
        <v>0</v>
      </c>
      <c r="AD641">
        <f>IF(COUNT($E$2:$E641)&lt;15,"",AVERAGE($AC$628:$AC$641))</f>
        <v>0</v>
      </c>
      <c r="AE641">
        <f>IF(OR($E641="",$E640=""),"",IF(AND(($C641-$C640)&gt;($D640-$D641),($C641-$C640)&gt;0),$C641-$C640,0))</f>
        <v>0</v>
      </c>
      <c r="AF641">
        <f>IF(OR($E641="",$E640=""),"",IF(AND(($D640-$D641)&gt;($C641-$C640),($D640-$D641)&gt;0),$D640-$D641,0))</f>
        <v>0</v>
      </c>
      <c r="AG641">
        <f>IF(COUNT($E$2:$E641)&lt;15,"",IF(SUM($AC$628:$AC$641)=0,0,100*SUM($AE$628:$AE$641)/SUM($AC$628:$AC$641)))</f>
        <v>0</v>
      </c>
      <c r="AH641">
        <f>IF(COUNT($E$2:$E641)&lt;15,"",IF(SUM($AC$628:$AC$641)=0,0,100*SUM($AF$628:$AF$641)/SUM($AC$628:$AC$641)))</f>
        <v>0</v>
      </c>
      <c r="AI641">
        <f>IF(OR(AG641="",AH641=""),"",IF((AG641+AH641)=0,0,100*ABS(AG641-AH641)/(AG641+AH641)))</f>
        <v>0</v>
      </c>
      <c r="AJ641">
        <f>IF(COUNT($AI$628:$AI$641)&lt;14,"",AVERAGE($AI$628:$AI$641))</f>
        <v>0</v>
      </c>
      <c r="AK641">
        <f>IF(COUNT($E$2:$E641)&lt;20,"",AVERAGE($E$622:$E$641))</f>
        <v>0</v>
      </c>
      <c r="AL641">
        <f>IF(COUNT($E$2:$E641)&lt;20,"",STDEVP($E$622:$E$641))</f>
        <v>0</v>
      </c>
      <c r="AM641">
        <f>IF(AK641="","",AK641+2*AL641)</f>
        <v>0</v>
      </c>
      <c r="AN641">
        <f>IF(AK641="","",AK641-2*AL641)</f>
        <v>0</v>
      </c>
      <c r="AO641">
        <f>IF(OR(AM641="",AN641="",AM641=AN641),"",($E641-AN641)/(AM641-AN641))</f>
        <v>0</v>
      </c>
      <c r="AP641">
        <f>IF(OR(AM641="",AK641="",AK641=0),"",(AM641-AN641)/AK641)</f>
        <v>0</v>
      </c>
      <c r="AQ641">
        <f>IF(COUNT($E$2:$E641)&lt;20,"",MAX($C$622:$C$641))</f>
        <v>0</v>
      </c>
      <c r="AR641">
        <f>IF(COUNT($E$2:$E641)&lt;20,"",MIN($D$622:$D$641))</f>
        <v>0</v>
      </c>
      <c r="AS641">
        <f>IF(OR(AQ641="",AR641=""),"",(AQ641+AR641)/2)</f>
        <v>0</v>
      </c>
      <c r="AT641">
        <f>IF(COUNT($G$622:$G$641)&lt;20,"",STDEV($G$622:$G$641)*SQRT(252))</f>
        <v>0</v>
      </c>
      <c r="AU641">
        <f>IF(COUNT($E$2:$E641)&lt;9,"",(MAX($C$633:$C$641)+MIN($D$633:$D$641))/2)</f>
        <v>0</v>
      </c>
      <c r="AV641">
        <f>IF(COUNT($E$2:$E641)&lt;26,"",(MAX($C$616:$C$641)+MIN($D$616:$D$641))/2)</f>
        <v>0</v>
      </c>
      <c r="AW641">
        <f>IF(OR(AU641="",AV641=""),"",(AU641+AV641)/2)</f>
        <v>0</v>
      </c>
      <c r="AX641">
        <f>IF(COUNT($E$2:$E641)&lt;52,"",(MAX($C$590:$C$641)+MIN($D$590:$D$641))/2)</f>
        <v>0</v>
      </c>
      <c r="AY641">
        <f>IF(COUNT($E$2:$E641)&lt;20,"",MAX($C$542:$C$641))</f>
        <v>0</v>
      </c>
      <c r="AZ641">
        <f>IF(COUNT($E$2:$E641)&lt;20,"",MIN($D$542:$D$641))</f>
        <v>0</v>
      </c>
      <c r="BA641">
        <f>IF(COUNT($E$2:$E641)&lt;20,"",SLOPE($E$542:$E$641,$F$542:$F$641))</f>
        <v>0</v>
      </c>
      <c r="BB641">
        <f>IF(COUNT($E$2:$E641)&lt;20,"",INTERCEPT($E$542:$E$641,$F$542:$F$641))</f>
        <v>0</v>
      </c>
      <c r="BC641">
        <f>IF(OR(BA641="",BB641=""),"",BB641+BA641*F641)</f>
        <v>0</v>
      </c>
      <c r="BD641">
        <f>IF(COUNT($E$2:$E641)&lt;20,"",STEYX($E$542:$E$641,$F$542:$F$641))</f>
        <v>0</v>
      </c>
      <c r="BE641">
        <f>IF($E641="","",IF(AND(COUNT($E$642:$E$645)&gt;=4,$C641=MAX($C$637:$C$645)),$C641,""))</f>
        <v>0</v>
      </c>
      <c r="BF641">
        <f>IF($E641="","",IF(AND(COUNT($E$642:$E$645)&gt;=4,$D641=MIN($D$637:$D$645)),$D641,""))</f>
        <v>0</v>
      </c>
      <c r="BG641">
        <f>IF($A641="","",$A641-WEEKDAY($A641,2)+1)</f>
        <v>0</v>
      </c>
      <c r="BH641">
        <f>IF($A641="","",IF($A640="",1,IF(BG641&lt;&gt;BG640,1,0)))</f>
        <v>0</v>
      </c>
      <c r="BI641">
        <f>IF($A641="","",IF($A642="",1,IF(BG642&lt;&gt;BG641,1,0)))</f>
        <v>0</v>
      </c>
      <c r="BJ641">
        <f>IF($A641="","",IF(BH641=1,$B641,BJ640))</f>
        <v>0</v>
      </c>
      <c r="BK641">
        <f>IF($A641="","",IF(BH641=1,$C641,MAX($C641,BK640)))</f>
        <v>0</v>
      </c>
      <c r="BL641">
        <f>IF($A641="","",IF(BH641=1,$D641,MIN($D641,BL640)))</f>
        <v>0</v>
      </c>
      <c r="BM641">
        <f>IF($A641="","",IF(BI641=1,F641,""))</f>
        <v>0</v>
      </c>
      <c r="BN641">
        <f>IF($A641="","",DATE(YEAR($A641),MONTH($A641),1))</f>
        <v>0</v>
      </c>
      <c r="BO641">
        <f>IF($A641="","",IF($A640="",1,IF(BN641&lt;&gt;BN640,1,0)))</f>
        <v>0</v>
      </c>
      <c r="BP641">
        <f>IF($A641="","",IF($A642="",1,IF(BN642&lt;&gt;BN641,1,0)))</f>
        <v>0</v>
      </c>
      <c r="BQ641">
        <f>IF($A641="","",IF(BO641=1,$B641,BQ640))</f>
        <v>0</v>
      </c>
      <c r="BR641">
        <f>IF($A641="","",IF(BO641=1,$C641,MAX($C641,BR640)))</f>
        <v>0</v>
      </c>
      <c r="BS641">
        <f>IF($A641="","",IF(BO641=1,$D641,MIN($D641,BS640)))</f>
        <v>0</v>
      </c>
      <c r="BT641">
        <f>IF($A641="","",IF(BP641=1,F641,""))</f>
        <v>0</v>
      </c>
    </row>
    <row r="642" spans="1:72">
      <c r="A642" s="27">
        <f>IF(Data!$A642="","",Data!$A642)</f>
        <v>0</v>
      </c>
      <c r="B642">
        <f>IF(Data!$B642="","",Data!$B642)</f>
        <v>0</v>
      </c>
      <c r="C642">
        <f>IF(Data!$C642="","",Data!$C642)</f>
        <v>0</v>
      </c>
      <c r="D642">
        <f>IF(Data!$D642="","",Data!$D642)</f>
        <v>0</v>
      </c>
      <c r="E642">
        <f>IF(Data!$E642="","",Data!$E642)</f>
        <v>0</v>
      </c>
      <c r="F642">
        <f>IF($E642="","",N(F641)+1)</f>
        <v>0</v>
      </c>
      <c r="G642">
        <f>IF(OR($E642="",$E641=""),"",LN($E642/$E641))</f>
        <v>0</v>
      </c>
      <c r="H642">
        <f>IF($E642="","",IF($E641="",$E642,$E642*0.0952380952+H641*0.9047619048))</f>
        <v>0</v>
      </c>
      <c r="I642">
        <f>IF($E642="","",IF($E641="",$E642,$E642*0.0392156863+I641*0.9607843137))</f>
        <v>0</v>
      </c>
      <c r="J642">
        <f>IF($E642="","",IF($E641="",$E642,$E642*0.0198019802+J641*0.9801980198))</f>
        <v>0</v>
      </c>
      <c r="K642">
        <f>IF($E642="","",IF($E641="",$E642,$E642*0.0099502488+K641*0.9900497512))</f>
        <v>0</v>
      </c>
      <c r="L642">
        <f>IF(OR($E642="",$E641=""),"",MAX($E642-$E641,0))</f>
        <v>0</v>
      </c>
      <c r="M642">
        <f>IF(OR($E642="",$E641=""),"",MAX($E641-$E642,0))</f>
        <v>0</v>
      </c>
      <c r="N642">
        <f>IF(COUNT($E$2:$E642)&lt;15,"",IF(AVERAGE($M$629:$M$642)=0,100,100-100/(1+AVERAGE($L$629:$L$642)/AVERAGE($M$629:$M$642))))</f>
        <v>0</v>
      </c>
      <c r="O642">
        <f>IF($E642="","",IF($E641="",$E642,$E642*0.1538461538+O641*0.8461538462))</f>
        <v>0</v>
      </c>
      <c r="P642">
        <f>IF($E642="","",IF($E641="",$E642,$E642*0.0740740741+P641*0.9259259259))</f>
        <v>0</v>
      </c>
      <c r="Q642">
        <f>IF(OR(O642="",P642=""),"",O642-P642)</f>
        <v>0</v>
      </c>
      <c r="R642">
        <f>IF(Q642="","",IF(R641="",Q642,Q642*0.2000000000+R641*0.8000000000))</f>
        <v>0</v>
      </c>
      <c r="S642">
        <f>IF(OR(Q642="",R642=""),"",Q642-R642)</f>
        <v>0</v>
      </c>
      <c r="T642">
        <f>IF(COUNT($E$2:$E642)&lt;14,"",MAX($C$629:$C$642))</f>
        <v>0</v>
      </c>
      <c r="U642">
        <f>IF(COUNT($E$2:$E642)&lt;14,"",MIN($D$629:$D$642))</f>
        <v>0</v>
      </c>
      <c r="V642">
        <f>IF(OR(T642="",U642="",T642=U642),"",100*($E642-U642)/(T642-U642))</f>
        <v>0</v>
      </c>
      <c r="W642">
        <f>IF(COUNT($V$640:$V$642)&lt;3,"",AVERAGE($V$640:$V$642))</f>
        <v>0</v>
      </c>
      <c r="X642">
        <f>IF(COUNT($N$629:$N$642)&lt;14,"",MIN($N$629:$N$642))</f>
        <v>0</v>
      </c>
      <c r="Y642">
        <f>IF(COUNT($N$629:$N$642)&lt;14,"",MAX($N$629:$N$642))</f>
        <v>0</v>
      </c>
      <c r="Z642">
        <f>IF(OR(N642="",X642="",Y642="",Y642=X642),"",100*(N642-X642)/(Y642-X642))</f>
        <v>0</v>
      </c>
      <c r="AA642">
        <f>IF(COUNT($Z$640:$Z$642)&lt;3,"",AVERAGE($Z$640:$Z$642))</f>
        <v>0</v>
      </c>
      <c r="AB642">
        <f>IF(COUNT($AA$640:$AA$642)&lt;3,"",AVERAGE($AA$640:$AA$642))</f>
        <v>0</v>
      </c>
      <c r="AC642">
        <f>IF($E642="","",MAX($C642-$D642,ABS($C642-$E641),ABS($D642-$E641)))</f>
        <v>0</v>
      </c>
      <c r="AD642">
        <f>IF(COUNT($E$2:$E642)&lt;15,"",AVERAGE($AC$629:$AC$642))</f>
        <v>0</v>
      </c>
      <c r="AE642">
        <f>IF(OR($E642="",$E641=""),"",IF(AND(($C642-$C641)&gt;($D641-$D642),($C642-$C641)&gt;0),$C642-$C641,0))</f>
        <v>0</v>
      </c>
      <c r="AF642">
        <f>IF(OR($E642="",$E641=""),"",IF(AND(($D641-$D642)&gt;($C642-$C641),($D641-$D642)&gt;0),$D641-$D642,0))</f>
        <v>0</v>
      </c>
      <c r="AG642">
        <f>IF(COUNT($E$2:$E642)&lt;15,"",IF(SUM($AC$629:$AC$642)=0,0,100*SUM($AE$629:$AE$642)/SUM($AC$629:$AC$642)))</f>
        <v>0</v>
      </c>
      <c r="AH642">
        <f>IF(COUNT($E$2:$E642)&lt;15,"",IF(SUM($AC$629:$AC$642)=0,0,100*SUM($AF$629:$AF$642)/SUM($AC$629:$AC$642)))</f>
        <v>0</v>
      </c>
      <c r="AI642">
        <f>IF(OR(AG642="",AH642=""),"",IF((AG642+AH642)=0,0,100*ABS(AG642-AH642)/(AG642+AH642)))</f>
        <v>0</v>
      </c>
      <c r="AJ642">
        <f>IF(COUNT($AI$629:$AI$642)&lt;14,"",AVERAGE($AI$629:$AI$642))</f>
        <v>0</v>
      </c>
      <c r="AK642">
        <f>IF(COUNT($E$2:$E642)&lt;20,"",AVERAGE($E$623:$E$642))</f>
        <v>0</v>
      </c>
      <c r="AL642">
        <f>IF(COUNT($E$2:$E642)&lt;20,"",STDEVP($E$623:$E$642))</f>
        <v>0</v>
      </c>
      <c r="AM642">
        <f>IF(AK642="","",AK642+2*AL642)</f>
        <v>0</v>
      </c>
      <c r="AN642">
        <f>IF(AK642="","",AK642-2*AL642)</f>
        <v>0</v>
      </c>
      <c r="AO642">
        <f>IF(OR(AM642="",AN642="",AM642=AN642),"",($E642-AN642)/(AM642-AN642))</f>
        <v>0</v>
      </c>
      <c r="AP642">
        <f>IF(OR(AM642="",AK642="",AK642=0),"",(AM642-AN642)/AK642)</f>
        <v>0</v>
      </c>
      <c r="AQ642">
        <f>IF(COUNT($E$2:$E642)&lt;20,"",MAX($C$623:$C$642))</f>
        <v>0</v>
      </c>
      <c r="AR642">
        <f>IF(COUNT($E$2:$E642)&lt;20,"",MIN($D$623:$D$642))</f>
        <v>0</v>
      </c>
      <c r="AS642">
        <f>IF(OR(AQ642="",AR642=""),"",(AQ642+AR642)/2)</f>
        <v>0</v>
      </c>
      <c r="AT642">
        <f>IF(COUNT($G$623:$G$642)&lt;20,"",STDEV($G$623:$G$642)*SQRT(252))</f>
        <v>0</v>
      </c>
      <c r="AU642">
        <f>IF(COUNT($E$2:$E642)&lt;9,"",(MAX($C$634:$C$642)+MIN($D$634:$D$642))/2)</f>
        <v>0</v>
      </c>
      <c r="AV642">
        <f>IF(COUNT($E$2:$E642)&lt;26,"",(MAX($C$617:$C$642)+MIN($D$617:$D$642))/2)</f>
        <v>0</v>
      </c>
      <c r="AW642">
        <f>IF(OR(AU642="",AV642=""),"",(AU642+AV642)/2)</f>
        <v>0</v>
      </c>
      <c r="AX642">
        <f>IF(COUNT($E$2:$E642)&lt;52,"",(MAX($C$591:$C$642)+MIN($D$591:$D$642))/2)</f>
        <v>0</v>
      </c>
      <c r="AY642">
        <f>IF(COUNT($E$2:$E642)&lt;20,"",MAX($C$543:$C$642))</f>
        <v>0</v>
      </c>
      <c r="AZ642">
        <f>IF(COUNT($E$2:$E642)&lt;20,"",MIN($D$543:$D$642))</f>
        <v>0</v>
      </c>
      <c r="BA642">
        <f>IF(COUNT($E$2:$E642)&lt;20,"",SLOPE($E$543:$E$642,$F$543:$F$642))</f>
        <v>0</v>
      </c>
      <c r="BB642">
        <f>IF(COUNT($E$2:$E642)&lt;20,"",INTERCEPT($E$543:$E$642,$F$543:$F$642))</f>
        <v>0</v>
      </c>
      <c r="BC642">
        <f>IF(OR(BA642="",BB642=""),"",BB642+BA642*F642)</f>
        <v>0</v>
      </c>
      <c r="BD642">
        <f>IF(COUNT($E$2:$E642)&lt;20,"",STEYX($E$543:$E$642,$F$543:$F$642))</f>
        <v>0</v>
      </c>
      <c r="BE642">
        <f>IF($E642="","",IF(AND(COUNT($E$643:$E$646)&gt;=4,$C642=MAX($C$638:$C$646)),$C642,""))</f>
        <v>0</v>
      </c>
      <c r="BF642">
        <f>IF($E642="","",IF(AND(COUNT($E$643:$E$646)&gt;=4,$D642=MIN($D$638:$D$646)),$D642,""))</f>
        <v>0</v>
      </c>
      <c r="BG642">
        <f>IF($A642="","",$A642-WEEKDAY($A642,2)+1)</f>
        <v>0</v>
      </c>
      <c r="BH642">
        <f>IF($A642="","",IF($A641="",1,IF(BG642&lt;&gt;BG641,1,0)))</f>
        <v>0</v>
      </c>
      <c r="BI642">
        <f>IF($A642="","",IF($A643="",1,IF(BG643&lt;&gt;BG642,1,0)))</f>
        <v>0</v>
      </c>
      <c r="BJ642">
        <f>IF($A642="","",IF(BH642=1,$B642,BJ641))</f>
        <v>0</v>
      </c>
      <c r="BK642">
        <f>IF($A642="","",IF(BH642=1,$C642,MAX($C642,BK641)))</f>
        <v>0</v>
      </c>
      <c r="BL642">
        <f>IF($A642="","",IF(BH642=1,$D642,MIN($D642,BL641)))</f>
        <v>0</v>
      </c>
      <c r="BM642">
        <f>IF($A642="","",IF(BI642=1,F642,""))</f>
        <v>0</v>
      </c>
      <c r="BN642">
        <f>IF($A642="","",DATE(YEAR($A642),MONTH($A642),1))</f>
        <v>0</v>
      </c>
      <c r="BO642">
        <f>IF($A642="","",IF($A641="",1,IF(BN642&lt;&gt;BN641,1,0)))</f>
        <v>0</v>
      </c>
      <c r="BP642">
        <f>IF($A642="","",IF($A643="",1,IF(BN643&lt;&gt;BN642,1,0)))</f>
        <v>0</v>
      </c>
      <c r="BQ642">
        <f>IF($A642="","",IF(BO642=1,$B642,BQ641))</f>
        <v>0</v>
      </c>
      <c r="BR642">
        <f>IF($A642="","",IF(BO642=1,$C642,MAX($C642,BR641)))</f>
        <v>0</v>
      </c>
      <c r="BS642">
        <f>IF($A642="","",IF(BO642=1,$D642,MIN($D642,BS641)))</f>
        <v>0</v>
      </c>
      <c r="BT642">
        <f>IF($A642="","",IF(BP642=1,F642,""))</f>
        <v>0</v>
      </c>
    </row>
    <row r="643" spans="1:72">
      <c r="A643" s="27">
        <f>IF(Data!$A643="","",Data!$A643)</f>
        <v>0</v>
      </c>
      <c r="B643">
        <f>IF(Data!$B643="","",Data!$B643)</f>
        <v>0</v>
      </c>
      <c r="C643">
        <f>IF(Data!$C643="","",Data!$C643)</f>
        <v>0</v>
      </c>
      <c r="D643">
        <f>IF(Data!$D643="","",Data!$D643)</f>
        <v>0</v>
      </c>
      <c r="E643">
        <f>IF(Data!$E643="","",Data!$E643)</f>
        <v>0</v>
      </c>
      <c r="F643">
        <f>IF($E643="","",N(F642)+1)</f>
        <v>0</v>
      </c>
      <c r="G643">
        <f>IF(OR($E643="",$E642=""),"",LN($E643/$E642))</f>
        <v>0</v>
      </c>
      <c r="H643">
        <f>IF($E643="","",IF($E642="",$E643,$E643*0.0952380952+H642*0.9047619048))</f>
        <v>0</v>
      </c>
      <c r="I643">
        <f>IF($E643="","",IF($E642="",$E643,$E643*0.0392156863+I642*0.9607843137))</f>
        <v>0</v>
      </c>
      <c r="J643">
        <f>IF($E643="","",IF($E642="",$E643,$E643*0.0198019802+J642*0.9801980198))</f>
        <v>0</v>
      </c>
      <c r="K643">
        <f>IF($E643="","",IF($E642="",$E643,$E643*0.0099502488+K642*0.9900497512))</f>
        <v>0</v>
      </c>
      <c r="L643">
        <f>IF(OR($E643="",$E642=""),"",MAX($E643-$E642,0))</f>
        <v>0</v>
      </c>
      <c r="M643">
        <f>IF(OR($E643="",$E642=""),"",MAX($E642-$E643,0))</f>
        <v>0</v>
      </c>
      <c r="N643">
        <f>IF(COUNT($E$2:$E643)&lt;15,"",IF(AVERAGE($M$630:$M$643)=0,100,100-100/(1+AVERAGE($L$630:$L$643)/AVERAGE($M$630:$M$643))))</f>
        <v>0</v>
      </c>
      <c r="O643">
        <f>IF($E643="","",IF($E642="",$E643,$E643*0.1538461538+O642*0.8461538462))</f>
        <v>0</v>
      </c>
      <c r="P643">
        <f>IF($E643="","",IF($E642="",$E643,$E643*0.0740740741+P642*0.9259259259))</f>
        <v>0</v>
      </c>
      <c r="Q643">
        <f>IF(OR(O643="",P643=""),"",O643-P643)</f>
        <v>0</v>
      </c>
      <c r="R643">
        <f>IF(Q643="","",IF(R642="",Q643,Q643*0.2000000000+R642*0.8000000000))</f>
        <v>0</v>
      </c>
      <c r="S643">
        <f>IF(OR(Q643="",R643=""),"",Q643-R643)</f>
        <v>0</v>
      </c>
      <c r="T643">
        <f>IF(COUNT($E$2:$E643)&lt;14,"",MAX($C$630:$C$643))</f>
        <v>0</v>
      </c>
      <c r="U643">
        <f>IF(COUNT($E$2:$E643)&lt;14,"",MIN($D$630:$D$643))</f>
        <v>0</v>
      </c>
      <c r="V643">
        <f>IF(OR(T643="",U643="",T643=U643),"",100*($E643-U643)/(T643-U643))</f>
        <v>0</v>
      </c>
      <c r="W643">
        <f>IF(COUNT($V$641:$V$643)&lt;3,"",AVERAGE($V$641:$V$643))</f>
        <v>0</v>
      </c>
      <c r="X643">
        <f>IF(COUNT($N$630:$N$643)&lt;14,"",MIN($N$630:$N$643))</f>
        <v>0</v>
      </c>
      <c r="Y643">
        <f>IF(COUNT($N$630:$N$643)&lt;14,"",MAX($N$630:$N$643))</f>
        <v>0</v>
      </c>
      <c r="Z643">
        <f>IF(OR(N643="",X643="",Y643="",Y643=X643),"",100*(N643-X643)/(Y643-X643))</f>
        <v>0</v>
      </c>
      <c r="AA643">
        <f>IF(COUNT($Z$641:$Z$643)&lt;3,"",AVERAGE($Z$641:$Z$643))</f>
        <v>0</v>
      </c>
      <c r="AB643">
        <f>IF(COUNT($AA$641:$AA$643)&lt;3,"",AVERAGE($AA$641:$AA$643))</f>
        <v>0</v>
      </c>
      <c r="AC643">
        <f>IF($E643="","",MAX($C643-$D643,ABS($C643-$E642),ABS($D643-$E642)))</f>
        <v>0</v>
      </c>
      <c r="AD643">
        <f>IF(COUNT($E$2:$E643)&lt;15,"",AVERAGE($AC$630:$AC$643))</f>
        <v>0</v>
      </c>
      <c r="AE643">
        <f>IF(OR($E643="",$E642=""),"",IF(AND(($C643-$C642)&gt;($D642-$D643),($C643-$C642)&gt;0),$C643-$C642,0))</f>
        <v>0</v>
      </c>
      <c r="AF643">
        <f>IF(OR($E643="",$E642=""),"",IF(AND(($D642-$D643)&gt;($C643-$C642),($D642-$D643)&gt;0),$D642-$D643,0))</f>
        <v>0</v>
      </c>
      <c r="AG643">
        <f>IF(COUNT($E$2:$E643)&lt;15,"",IF(SUM($AC$630:$AC$643)=0,0,100*SUM($AE$630:$AE$643)/SUM($AC$630:$AC$643)))</f>
        <v>0</v>
      </c>
      <c r="AH643">
        <f>IF(COUNT($E$2:$E643)&lt;15,"",IF(SUM($AC$630:$AC$643)=0,0,100*SUM($AF$630:$AF$643)/SUM($AC$630:$AC$643)))</f>
        <v>0</v>
      </c>
      <c r="AI643">
        <f>IF(OR(AG643="",AH643=""),"",IF((AG643+AH643)=0,0,100*ABS(AG643-AH643)/(AG643+AH643)))</f>
        <v>0</v>
      </c>
      <c r="AJ643">
        <f>IF(COUNT($AI$630:$AI$643)&lt;14,"",AVERAGE($AI$630:$AI$643))</f>
        <v>0</v>
      </c>
      <c r="AK643">
        <f>IF(COUNT($E$2:$E643)&lt;20,"",AVERAGE($E$624:$E$643))</f>
        <v>0</v>
      </c>
      <c r="AL643">
        <f>IF(COUNT($E$2:$E643)&lt;20,"",STDEVP($E$624:$E$643))</f>
        <v>0</v>
      </c>
      <c r="AM643">
        <f>IF(AK643="","",AK643+2*AL643)</f>
        <v>0</v>
      </c>
      <c r="AN643">
        <f>IF(AK643="","",AK643-2*AL643)</f>
        <v>0</v>
      </c>
      <c r="AO643">
        <f>IF(OR(AM643="",AN643="",AM643=AN643),"",($E643-AN643)/(AM643-AN643))</f>
        <v>0</v>
      </c>
      <c r="AP643">
        <f>IF(OR(AM643="",AK643="",AK643=0),"",(AM643-AN643)/AK643)</f>
        <v>0</v>
      </c>
      <c r="AQ643">
        <f>IF(COUNT($E$2:$E643)&lt;20,"",MAX($C$624:$C$643))</f>
        <v>0</v>
      </c>
      <c r="AR643">
        <f>IF(COUNT($E$2:$E643)&lt;20,"",MIN($D$624:$D$643))</f>
        <v>0</v>
      </c>
      <c r="AS643">
        <f>IF(OR(AQ643="",AR643=""),"",(AQ643+AR643)/2)</f>
        <v>0</v>
      </c>
      <c r="AT643">
        <f>IF(COUNT($G$624:$G$643)&lt;20,"",STDEV($G$624:$G$643)*SQRT(252))</f>
        <v>0</v>
      </c>
      <c r="AU643">
        <f>IF(COUNT($E$2:$E643)&lt;9,"",(MAX($C$635:$C$643)+MIN($D$635:$D$643))/2)</f>
        <v>0</v>
      </c>
      <c r="AV643">
        <f>IF(COUNT($E$2:$E643)&lt;26,"",(MAX($C$618:$C$643)+MIN($D$618:$D$643))/2)</f>
        <v>0</v>
      </c>
      <c r="AW643">
        <f>IF(OR(AU643="",AV643=""),"",(AU643+AV643)/2)</f>
        <v>0</v>
      </c>
      <c r="AX643">
        <f>IF(COUNT($E$2:$E643)&lt;52,"",(MAX($C$592:$C$643)+MIN($D$592:$D$643))/2)</f>
        <v>0</v>
      </c>
      <c r="AY643">
        <f>IF(COUNT($E$2:$E643)&lt;20,"",MAX($C$544:$C$643))</f>
        <v>0</v>
      </c>
      <c r="AZ643">
        <f>IF(COUNT($E$2:$E643)&lt;20,"",MIN($D$544:$D$643))</f>
        <v>0</v>
      </c>
      <c r="BA643">
        <f>IF(COUNT($E$2:$E643)&lt;20,"",SLOPE($E$544:$E$643,$F$544:$F$643))</f>
        <v>0</v>
      </c>
      <c r="BB643">
        <f>IF(COUNT($E$2:$E643)&lt;20,"",INTERCEPT($E$544:$E$643,$F$544:$F$643))</f>
        <v>0</v>
      </c>
      <c r="BC643">
        <f>IF(OR(BA643="",BB643=""),"",BB643+BA643*F643)</f>
        <v>0</v>
      </c>
      <c r="BD643">
        <f>IF(COUNT($E$2:$E643)&lt;20,"",STEYX($E$544:$E$643,$F$544:$F$643))</f>
        <v>0</v>
      </c>
      <c r="BE643">
        <f>IF($E643="","",IF(AND(COUNT($E$644:$E$647)&gt;=4,$C643=MAX($C$639:$C$647)),$C643,""))</f>
        <v>0</v>
      </c>
      <c r="BF643">
        <f>IF($E643="","",IF(AND(COUNT($E$644:$E$647)&gt;=4,$D643=MIN($D$639:$D$647)),$D643,""))</f>
        <v>0</v>
      </c>
      <c r="BG643">
        <f>IF($A643="","",$A643-WEEKDAY($A643,2)+1)</f>
        <v>0</v>
      </c>
      <c r="BH643">
        <f>IF($A643="","",IF($A642="",1,IF(BG643&lt;&gt;BG642,1,0)))</f>
        <v>0</v>
      </c>
      <c r="BI643">
        <f>IF($A643="","",IF($A644="",1,IF(BG644&lt;&gt;BG643,1,0)))</f>
        <v>0</v>
      </c>
      <c r="BJ643">
        <f>IF($A643="","",IF(BH643=1,$B643,BJ642))</f>
        <v>0</v>
      </c>
      <c r="BK643">
        <f>IF($A643="","",IF(BH643=1,$C643,MAX($C643,BK642)))</f>
        <v>0</v>
      </c>
      <c r="BL643">
        <f>IF($A643="","",IF(BH643=1,$D643,MIN($D643,BL642)))</f>
        <v>0</v>
      </c>
      <c r="BM643">
        <f>IF($A643="","",IF(BI643=1,F643,""))</f>
        <v>0</v>
      </c>
      <c r="BN643">
        <f>IF($A643="","",DATE(YEAR($A643),MONTH($A643),1))</f>
        <v>0</v>
      </c>
      <c r="BO643">
        <f>IF($A643="","",IF($A642="",1,IF(BN643&lt;&gt;BN642,1,0)))</f>
        <v>0</v>
      </c>
      <c r="BP643">
        <f>IF($A643="","",IF($A644="",1,IF(BN644&lt;&gt;BN643,1,0)))</f>
        <v>0</v>
      </c>
      <c r="BQ643">
        <f>IF($A643="","",IF(BO643=1,$B643,BQ642))</f>
        <v>0</v>
      </c>
      <c r="BR643">
        <f>IF($A643="","",IF(BO643=1,$C643,MAX($C643,BR642)))</f>
        <v>0</v>
      </c>
      <c r="BS643">
        <f>IF($A643="","",IF(BO643=1,$D643,MIN($D643,BS642)))</f>
        <v>0</v>
      </c>
      <c r="BT643">
        <f>IF($A643="","",IF(BP643=1,F643,""))</f>
        <v>0</v>
      </c>
    </row>
    <row r="644" spans="1:72">
      <c r="A644" s="27">
        <f>IF(Data!$A644="","",Data!$A644)</f>
        <v>0</v>
      </c>
      <c r="B644">
        <f>IF(Data!$B644="","",Data!$B644)</f>
        <v>0</v>
      </c>
      <c r="C644">
        <f>IF(Data!$C644="","",Data!$C644)</f>
        <v>0</v>
      </c>
      <c r="D644">
        <f>IF(Data!$D644="","",Data!$D644)</f>
        <v>0</v>
      </c>
      <c r="E644">
        <f>IF(Data!$E644="","",Data!$E644)</f>
        <v>0</v>
      </c>
      <c r="F644">
        <f>IF($E644="","",N(F643)+1)</f>
        <v>0</v>
      </c>
      <c r="G644">
        <f>IF(OR($E644="",$E643=""),"",LN($E644/$E643))</f>
        <v>0</v>
      </c>
      <c r="H644">
        <f>IF($E644="","",IF($E643="",$E644,$E644*0.0952380952+H643*0.9047619048))</f>
        <v>0</v>
      </c>
      <c r="I644">
        <f>IF($E644="","",IF($E643="",$E644,$E644*0.0392156863+I643*0.9607843137))</f>
        <v>0</v>
      </c>
      <c r="J644">
        <f>IF($E644="","",IF($E643="",$E644,$E644*0.0198019802+J643*0.9801980198))</f>
        <v>0</v>
      </c>
      <c r="K644">
        <f>IF($E644="","",IF($E643="",$E644,$E644*0.0099502488+K643*0.9900497512))</f>
        <v>0</v>
      </c>
      <c r="L644">
        <f>IF(OR($E644="",$E643=""),"",MAX($E644-$E643,0))</f>
        <v>0</v>
      </c>
      <c r="M644">
        <f>IF(OR($E644="",$E643=""),"",MAX($E643-$E644,0))</f>
        <v>0</v>
      </c>
      <c r="N644">
        <f>IF(COUNT($E$2:$E644)&lt;15,"",IF(AVERAGE($M$631:$M$644)=0,100,100-100/(1+AVERAGE($L$631:$L$644)/AVERAGE($M$631:$M$644))))</f>
        <v>0</v>
      </c>
      <c r="O644">
        <f>IF($E644="","",IF($E643="",$E644,$E644*0.1538461538+O643*0.8461538462))</f>
        <v>0</v>
      </c>
      <c r="P644">
        <f>IF($E644="","",IF($E643="",$E644,$E644*0.0740740741+P643*0.9259259259))</f>
        <v>0</v>
      </c>
      <c r="Q644">
        <f>IF(OR(O644="",P644=""),"",O644-P644)</f>
        <v>0</v>
      </c>
      <c r="R644">
        <f>IF(Q644="","",IF(R643="",Q644,Q644*0.2000000000+R643*0.8000000000))</f>
        <v>0</v>
      </c>
      <c r="S644">
        <f>IF(OR(Q644="",R644=""),"",Q644-R644)</f>
        <v>0</v>
      </c>
      <c r="T644">
        <f>IF(COUNT($E$2:$E644)&lt;14,"",MAX($C$631:$C$644))</f>
        <v>0</v>
      </c>
      <c r="U644">
        <f>IF(COUNT($E$2:$E644)&lt;14,"",MIN($D$631:$D$644))</f>
        <v>0</v>
      </c>
      <c r="V644">
        <f>IF(OR(T644="",U644="",T644=U644),"",100*($E644-U644)/(T644-U644))</f>
        <v>0</v>
      </c>
      <c r="W644">
        <f>IF(COUNT($V$642:$V$644)&lt;3,"",AVERAGE($V$642:$V$644))</f>
        <v>0</v>
      </c>
      <c r="X644">
        <f>IF(COUNT($N$631:$N$644)&lt;14,"",MIN($N$631:$N$644))</f>
        <v>0</v>
      </c>
      <c r="Y644">
        <f>IF(COUNT($N$631:$N$644)&lt;14,"",MAX($N$631:$N$644))</f>
        <v>0</v>
      </c>
      <c r="Z644">
        <f>IF(OR(N644="",X644="",Y644="",Y644=X644),"",100*(N644-X644)/(Y644-X644))</f>
        <v>0</v>
      </c>
      <c r="AA644">
        <f>IF(COUNT($Z$642:$Z$644)&lt;3,"",AVERAGE($Z$642:$Z$644))</f>
        <v>0</v>
      </c>
      <c r="AB644">
        <f>IF(COUNT($AA$642:$AA$644)&lt;3,"",AVERAGE($AA$642:$AA$644))</f>
        <v>0</v>
      </c>
      <c r="AC644">
        <f>IF($E644="","",MAX($C644-$D644,ABS($C644-$E643),ABS($D644-$E643)))</f>
        <v>0</v>
      </c>
      <c r="AD644">
        <f>IF(COUNT($E$2:$E644)&lt;15,"",AVERAGE($AC$631:$AC$644))</f>
        <v>0</v>
      </c>
      <c r="AE644">
        <f>IF(OR($E644="",$E643=""),"",IF(AND(($C644-$C643)&gt;($D643-$D644),($C644-$C643)&gt;0),$C644-$C643,0))</f>
        <v>0</v>
      </c>
      <c r="AF644">
        <f>IF(OR($E644="",$E643=""),"",IF(AND(($D643-$D644)&gt;($C644-$C643),($D643-$D644)&gt;0),$D643-$D644,0))</f>
        <v>0</v>
      </c>
      <c r="AG644">
        <f>IF(COUNT($E$2:$E644)&lt;15,"",IF(SUM($AC$631:$AC$644)=0,0,100*SUM($AE$631:$AE$644)/SUM($AC$631:$AC$644)))</f>
        <v>0</v>
      </c>
      <c r="AH644">
        <f>IF(COUNT($E$2:$E644)&lt;15,"",IF(SUM($AC$631:$AC$644)=0,0,100*SUM($AF$631:$AF$644)/SUM($AC$631:$AC$644)))</f>
        <v>0</v>
      </c>
      <c r="AI644">
        <f>IF(OR(AG644="",AH644=""),"",IF((AG644+AH644)=0,0,100*ABS(AG644-AH644)/(AG644+AH644)))</f>
        <v>0</v>
      </c>
      <c r="AJ644">
        <f>IF(COUNT($AI$631:$AI$644)&lt;14,"",AVERAGE($AI$631:$AI$644))</f>
        <v>0</v>
      </c>
      <c r="AK644">
        <f>IF(COUNT($E$2:$E644)&lt;20,"",AVERAGE($E$625:$E$644))</f>
        <v>0</v>
      </c>
      <c r="AL644">
        <f>IF(COUNT($E$2:$E644)&lt;20,"",STDEVP($E$625:$E$644))</f>
        <v>0</v>
      </c>
      <c r="AM644">
        <f>IF(AK644="","",AK644+2*AL644)</f>
        <v>0</v>
      </c>
      <c r="AN644">
        <f>IF(AK644="","",AK644-2*AL644)</f>
        <v>0</v>
      </c>
      <c r="AO644">
        <f>IF(OR(AM644="",AN644="",AM644=AN644),"",($E644-AN644)/(AM644-AN644))</f>
        <v>0</v>
      </c>
      <c r="AP644">
        <f>IF(OR(AM644="",AK644="",AK644=0),"",(AM644-AN644)/AK644)</f>
        <v>0</v>
      </c>
      <c r="AQ644">
        <f>IF(COUNT($E$2:$E644)&lt;20,"",MAX($C$625:$C$644))</f>
        <v>0</v>
      </c>
      <c r="AR644">
        <f>IF(COUNT($E$2:$E644)&lt;20,"",MIN($D$625:$D$644))</f>
        <v>0</v>
      </c>
      <c r="AS644">
        <f>IF(OR(AQ644="",AR644=""),"",(AQ644+AR644)/2)</f>
        <v>0</v>
      </c>
      <c r="AT644">
        <f>IF(COUNT($G$625:$G$644)&lt;20,"",STDEV($G$625:$G$644)*SQRT(252))</f>
        <v>0</v>
      </c>
      <c r="AU644">
        <f>IF(COUNT($E$2:$E644)&lt;9,"",(MAX($C$636:$C$644)+MIN($D$636:$D$644))/2)</f>
        <v>0</v>
      </c>
      <c r="AV644">
        <f>IF(COUNT($E$2:$E644)&lt;26,"",(MAX($C$619:$C$644)+MIN($D$619:$D$644))/2)</f>
        <v>0</v>
      </c>
      <c r="AW644">
        <f>IF(OR(AU644="",AV644=""),"",(AU644+AV644)/2)</f>
        <v>0</v>
      </c>
      <c r="AX644">
        <f>IF(COUNT($E$2:$E644)&lt;52,"",(MAX($C$593:$C$644)+MIN($D$593:$D$644))/2)</f>
        <v>0</v>
      </c>
      <c r="AY644">
        <f>IF(COUNT($E$2:$E644)&lt;20,"",MAX($C$545:$C$644))</f>
        <v>0</v>
      </c>
      <c r="AZ644">
        <f>IF(COUNT($E$2:$E644)&lt;20,"",MIN($D$545:$D$644))</f>
        <v>0</v>
      </c>
      <c r="BA644">
        <f>IF(COUNT($E$2:$E644)&lt;20,"",SLOPE($E$545:$E$644,$F$545:$F$644))</f>
        <v>0</v>
      </c>
      <c r="BB644">
        <f>IF(COUNT($E$2:$E644)&lt;20,"",INTERCEPT($E$545:$E$644,$F$545:$F$644))</f>
        <v>0</v>
      </c>
      <c r="BC644">
        <f>IF(OR(BA644="",BB644=""),"",BB644+BA644*F644)</f>
        <v>0</v>
      </c>
      <c r="BD644">
        <f>IF(COUNT($E$2:$E644)&lt;20,"",STEYX($E$545:$E$644,$F$545:$F$644))</f>
        <v>0</v>
      </c>
      <c r="BE644">
        <f>IF($E644="","",IF(AND(COUNT($E$645:$E$648)&gt;=4,$C644=MAX($C$640:$C$648)),$C644,""))</f>
        <v>0</v>
      </c>
      <c r="BF644">
        <f>IF($E644="","",IF(AND(COUNT($E$645:$E$648)&gt;=4,$D644=MIN($D$640:$D$648)),$D644,""))</f>
        <v>0</v>
      </c>
      <c r="BG644">
        <f>IF($A644="","",$A644-WEEKDAY($A644,2)+1)</f>
        <v>0</v>
      </c>
      <c r="BH644">
        <f>IF($A644="","",IF($A643="",1,IF(BG644&lt;&gt;BG643,1,0)))</f>
        <v>0</v>
      </c>
      <c r="BI644">
        <f>IF($A644="","",IF($A645="",1,IF(BG645&lt;&gt;BG644,1,0)))</f>
        <v>0</v>
      </c>
      <c r="BJ644">
        <f>IF($A644="","",IF(BH644=1,$B644,BJ643))</f>
        <v>0</v>
      </c>
      <c r="BK644">
        <f>IF($A644="","",IF(BH644=1,$C644,MAX($C644,BK643)))</f>
        <v>0</v>
      </c>
      <c r="BL644">
        <f>IF($A644="","",IF(BH644=1,$D644,MIN($D644,BL643)))</f>
        <v>0</v>
      </c>
      <c r="BM644">
        <f>IF($A644="","",IF(BI644=1,F644,""))</f>
        <v>0</v>
      </c>
      <c r="BN644">
        <f>IF($A644="","",DATE(YEAR($A644),MONTH($A644),1))</f>
        <v>0</v>
      </c>
      <c r="BO644">
        <f>IF($A644="","",IF($A643="",1,IF(BN644&lt;&gt;BN643,1,0)))</f>
        <v>0</v>
      </c>
      <c r="BP644">
        <f>IF($A644="","",IF($A645="",1,IF(BN645&lt;&gt;BN644,1,0)))</f>
        <v>0</v>
      </c>
      <c r="BQ644">
        <f>IF($A644="","",IF(BO644=1,$B644,BQ643))</f>
        <v>0</v>
      </c>
      <c r="BR644">
        <f>IF($A644="","",IF(BO644=1,$C644,MAX($C644,BR643)))</f>
        <v>0</v>
      </c>
      <c r="BS644">
        <f>IF($A644="","",IF(BO644=1,$D644,MIN($D644,BS643)))</f>
        <v>0</v>
      </c>
      <c r="BT644">
        <f>IF($A644="","",IF(BP644=1,F644,""))</f>
        <v>0</v>
      </c>
    </row>
    <row r="645" spans="1:72">
      <c r="A645" s="27">
        <f>IF(Data!$A645="","",Data!$A645)</f>
        <v>0</v>
      </c>
      <c r="B645">
        <f>IF(Data!$B645="","",Data!$B645)</f>
        <v>0</v>
      </c>
      <c r="C645">
        <f>IF(Data!$C645="","",Data!$C645)</f>
        <v>0</v>
      </c>
      <c r="D645">
        <f>IF(Data!$D645="","",Data!$D645)</f>
        <v>0</v>
      </c>
      <c r="E645">
        <f>IF(Data!$E645="","",Data!$E645)</f>
        <v>0</v>
      </c>
      <c r="F645">
        <f>IF($E645="","",N(F644)+1)</f>
        <v>0</v>
      </c>
      <c r="G645">
        <f>IF(OR($E645="",$E644=""),"",LN($E645/$E644))</f>
        <v>0</v>
      </c>
      <c r="H645">
        <f>IF($E645="","",IF($E644="",$E645,$E645*0.0952380952+H644*0.9047619048))</f>
        <v>0</v>
      </c>
      <c r="I645">
        <f>IF($E645="","",IF($E644="",$E645,$E645*0.0392156863+I644*0.9607843137))</f>
        <v>0</v>
      </c>
      <c r="J645">
        <f>IF($E645="","",IF($E644="",$E645,$E645*0.0198019802+J644*0.9801980198))</f>
        <v>0</v>
      </c>
      <c r="K645">
        <f>IF($E645="","",IF($E644="",$E645,$E645*0.0099502488+K644*0.9900497512))</f>
        <v>0</v>
      </c>
      <c r="L645">
        <f>IF(OR($E645="",$E644=""),"",MAX($E645-$E644,0))</f>
        <v>0</v>
      </c>
      <c r="M645">
        <f>IF(OR($E645="",$E644=""),"",MAX($E644-$E645,0))</f>
        <v>0</v>
      </c>
      <c r="N645">
        <f>IF(COUNT($E$2:$E645)&lt;15,"",IF(AVERAGE($M$632:$M$645)=0,100,100-100/(1+AVERAGE($L$632:$L$645)/AVERAGE($M$632:$M$645))))</f>
        <v>0</v>
      </c>
      <c r="O645">
        <f>IF($E645="","",IF($E644="",$E645,$E645*0.1538461538+O644*0.8461538462))</f>
        <v>0</v>
      </c>
      <c r="P645">
        <f>IF($E645="","",IF($E644="",$E645,$E645*0.0740740741+P644*0.9259259259))</f>
        <v>0</v>
      </c>
      <c r="Q645">
        <f>IF(OR(O645="",P645=""),"",O645-P645)</f>
        <v>0</v>
      </c>
      <c r="R645">
        <f>IF(Q645="","",IF(R644="",Q645,Q645*0.2000000000+R644*0.8000000000))</f>
        <v>0</v>
      </c>
      <c r="S645">
        <f>IF(OR(Q645="",R645=""),"",Q645-R645)</f>
        <v>0</v>
      </c>
      <c r="T645">
        <f>IF(COUNT($E$2:$E645)&lt;14,"",MAX($C$632:$C$645))</f>
        <v>0</v>
      </c>
      <c r="U645">
        <f>IF(COUNT($E$2:$E645)&lt;14,"",MIN($D$632:$D$645))</f>
        <v>0</v>
      </c>
      <c r="V645">
        <f>IF(OR(T645="",U645="",T645=U645),"",100*($E645-U645)/(T645-U645))</f>
        <v>0</v>
      </c>
      <c r="W645">
        <f>IF(COUNT($V$643:$V$645)&lt;3,"",AVERAGE($V$643:$V$645))</f>
        <v>0</v>
      </c>
      <c r="X645">
        <f>IF(COUNT($N$632:$N$645)&lt;14,"",MIN($N$632:$N$645))</f>
        <v>0</v>
      </c>
      <c r="Y645">
        <f>IF(COUNT($N$632:$N$645)&lt;14,"",MAX($N$632:$N$645))</f>
        <v>0</v>
      </c>
      <c r="Z645">
        <f>IF(OR(N645="",X645="",Y645="",Y645=X645),"",100*(N645-X645)/(Y645-X645))</f>
        <v>0</v>
      </c>
      <c r="AA645">
        <f>IF(COUNT($Z$643:$Z$645)&lt;3,"",AVERAGE($Z$643:$Z$645))</f>
        <v>0</v>
      </c>
      <c r="AB645">
        <f>IF(COUNT($AA$643:$AA$645)&lt;3,"",AVERAGE($AA$643:$AA$645))</f>
        <v>0</v>
      </c>
      <c r="AC645">
        <f>IF($E645="","",MAX($C645-$D645,ABS($C645-$E644),ABS($D645-$E644)))</f>
        <v>0</v>
      </c>
      <c r="AD645">
        <f>IF(COUNT($E$2:$E645)&lt;15,"",AVERAGE($AC$632:$AC$645))</f>
        <v>0</v>
      </c>
      <c r="AE645">
        <f>IF(OR($E645="",$E644=""),"",IF(AND(($C645-$C644)&gt;($D644-$D645),($C645-$C644)&gt;0),$C645-$C644,0))</f>
        <v>0</v>
      </c>
      <c r="AF645">
        <f>IF(OR($E645="",$E644=""),"",IF(AND(($D644-$D645)&gt;($C645-$C644),($D644-$D645)&gt;0),$D644-$D645,0))</f>
        <v>0</v>
      </c>
      <c r="AG645">
        <f>IF(COUNT($E$2:$E645)&lt;15,"",IF(SUM($AC$632:$AC$645)=0,0,100*SUM($AE$632:$AE$645)/SUM($AC$632:$AC$645)))</f>
        <v>0</v>
      </c>
      <c r="AH645">
        <f>IF(COUNT($E$2:$E645)&lt;15,"",IF(SUM($AC$632:$AC$645)=0,0,100*SUM($AF$632:$AF$645)/SUM($AC$632:$AC$645)))</f>
        <v>0</v>
      </c>
      <c r="AI645">
        <f>IF(OR(AG645="",AH645=""),"",IF((AG645+AH645)=0,0,100*ABS(AG645-AH645)/(AG645+AH645)))</f>
        <v>0</v>
      </c>
      <c r="AJ645">
        <f>IF(COUNT($AI$632:$AI$645)&lt;14,"",AVERAGE($AI$632:$AI$645))</f>
        <v>0</v>
      </c>
      <c r="AK645">
        <f>IF(COUNT($E$2:$E645)&lt;20,"",AVERAGE($E$626:$E$645))</f>
        <v>0</v>
      </c>
      <c r="AL645">
        <f>IF(COUNT($E$2:$E645)&lt;20,"",STDEVP($E$626:$E$645))</f>
        <v>0</v>
      </c>
      <c r="AM645">
        <f>IF(AK645="","",AK645+2*AL645)</f>
        <v>0</v>
      </c>
      <c r="AN645">
        <f>IF(AK645="","",AK645-2*AL645)</f>
        <v>0</v>
      </c>
      <c r="AO645">
        <f>IF(OR(AM645="",AN645="",AM645=AN645),"",($E645-AN645)/(AM645-AN645))</f>
        <v>0</v>
      </c>
      <c r="AP645">
        <f>IF(OR(AM645="",AK645="",AK645=0),"",(AM645-AN645)/AK645)</f>
        <v>0</v>
      </c>
      <c r="AQ645">
        <f>IF(COUNT($E$2:$E645)&lt;20,"",MAX($C$626:$C$645))</f>
        <v>0</v>
      </c>
      <c r="AR645">
        <f>IF(COUNT($E$2:$E645)&lt;20,"",MIN($D$626:$D$645))</f>
        <v>0</v>
      </c>
      <c r="AS645">
        <f>IF(OR(AQ645="",AR645=""),"",(AQ645+AR645)/2)</f>
        <v>0</v>
      </c>
      <c r="AT645">
        <f>IF(COUNT($G$626:$G$645)&lt;20,"",STDEV($G$626:$G$645)*SQRT(252))</f>
        <v>0</v>
      </c>
      <c r="AU645">
        <f>IF(COUNT($E$2:$E645)&lt;9,"",(MAX($C$637:$C$645)+MIN($D$637:$D$645))/2)</f>
        <v>0</v>
      </c>
      <c r="AV645">
        <f>IF(COUNT($E$2:$E645)&lt;26,"",(MAX($C$620:$C$645)+MIN($D$620:$D$645))/2)</f>
        <v>0</v>
      </c>
      <c r="AW645">
        <f>IF(OR(AU645="",AV645=""),"",(AU645+AV645)/2)</f>
        <v>0</v>
      </c>
      <c r="AX645">
        <f>IF(COUNT($E$2:$E645)&lt;52,"",(MAX($C$594:$C$645)+MIN($D$594:$D$645))/2)</f>
        <v>0</v>
      </c>
      <c r="AY645">
        <f>IF(COUNT($E$2:$E645)&lt;20,"",MAX($C$546:$C$645))</f>
        <v>0</v>
      </c>
      <c r="AZ645">
        <f>IF(COUNT($E$2:$E645)&lt;20,"",MIN($D$546:$D$645))</f>
        <v>0</v>
      </c>
      <c r="BA645">
        <f>IF(COUNT($E$2:$E645)&lt;20,"",SLOPE($E$546:$E$645,$F$546:$F$645))</f>
        <v>0</v>
      </c>
      <c r="BB645">
        <f>IF(COUNT($E$2:$E645)&lt;20,"",INTERCEPT($E$546:$E$645,$F$546:$F$645))</f>
        <v>0</v>
      </c>
      <c r="BC645">
        <f>IF(OR(BA645="",BB645=""),"",BB645+BA645*F645)</f>
        <v>0</v>
      </c>
      <c r="BD645">
        <f>IF(COUNT($E$2:$E645)&lt;20,"",STEYX($E$546:$E$645,$F$546:$F$645))</f>
        <v>0</v>
      </c>
      <c r="BE645">
        <f>IF($E645="","",IF(AND(COUNT($E$646:$E$649)&gt;=4,$C645=MAX($C$641:$C$649)),$C645,""))</f>
        <v>0</v>
      </c>
      <c r="BF645">
        <f>IF($E645="","",IF(AND(COUNT($E$646:$E$649)&gt;=4,$D645=MIN($D$641:$D$649)),$D645,""))</f>
        <v>0</v>
      </c>
      <c r="BG645">
        <f>IF($A645="","",$A645-WEEKDAY($A645,2)+1)</f>
        <v>0</v>
      </c>
      <c r="BH645">
        <f>IF($A645="","",IF($A644="",1,IF(BG645&lt;&gt;BG644,1,0)))</f>
        <v>0</v>
      </c>
      <c r="BI645">
        <f>IF($A645="","",IF($A646="",1,IF(BG646&lt;&gt;BG645,1,0)))</f>
        <v>0</v>
      </c>
      <c r="BJ645">
        <f>IF($A645="","",IF(BH645=1,$B645,BJ644))</f>
        <v>0</v>
      </c>
      <c r="BK645">
        <f>IF($A645="","",IF(BH645=1,$C645,MAX($C645,BK644)))</f>
        <v>0</v>
      </c>
      <c r="BL645">
        <f>IF($A645="","",IF(BH645=1,$D645,MIN($D645,BL644)))</f>
        <v>0</v>
      </c>
      <c r="BM645">
        <f>IF($A645="","",IF(BI645=1,F645,""))</f>
        <v>0</v>
      </c>
      <c r="BN645">
        <f>IF($A645="","",DATE(YEAR($A645),MONTH($A645),1))</f>
        <v>0</v>
      </c>
      <c r="BO645">
        <f>IF($A645="","",IF($A644="",1,IF(BN645&lt;&gt;BN644,1,0)))</f>
        <v>0</v>
      </c>
      <c r="BP645">
        <f>IF($A645="","",IF($A646="",1,IF(BN646&lt;&gt;BN645,1,0)))</f>
        <v>0</v>
      </c>
      <c r="BQ645">
        <f>IF($A645="","",IF(BO645=1,$B645,BQ644))</f>
        <v>0</v>
      </c>
      <c r="BR645">
        <f>IF($A645="","",IF(BO645=1,$C645,MAX($C645,BR644)))</f>
        <v>0</v>
      </c>
      <c r="BS645">
        <f>IF($A645="","",IF(BO645=1,$D645,MIN($D645,BS644)))</f>
        <v>0</v>
      </c>
      <c r="BT645">
        <f>IF($A645="","",IF(BP645=1,F645,""))</f>
        <v>0</v>
      </c>
    </row>
    <row r="646" spans="1:72">
      <c r="A646" s="27">
        <f>IF(Data!$A646="","",Data!$A646)</f>
        <v>0</v>
      </c>
      <c r="B646">
        <f>IF(Data!$B646="","",Data!$B646)</f>
        <v>0</v>
      </c>
      <c r="C646">
        <f>IF(Data!$C646="","",Data!$C646)</f>
        <v>0</v>
      </c>
      <c r="D646">
        <f>IF(Data!$D646="","",Data!$D646)</f>
        <v>0</v>
      </c>
      <c r="E646">
        <f>IF(Data!$E646="","",Data!$E646)</f>
        <v>0</v>
      </c>
      <c r="F646">
        <f>IF($E646="","",N(F645)+1)</f>
        <v>0</v>
      </c>
      <c r="G646">
        <f>IF(OR($E646="",$E645=""),"",LN($E646/$E645))</f>
        <v>0</v>
      </c>
      <c r="H646">
        <f>IF($E646="","",IF($E645="",$E646,$E646*0.0952380952+H645*0.9047619048))</f>
        <v>0</v>
      </c>
      <c r="I646">
        <f>IF($E646="","",IF($E645="",$E646,$E646*0.0392156863+I645*0.9607843137))</f>
        <v>0</v>
      </c>
      <c r="J646">
        <f>IF($E646="","",IF($E645="",$E646,$E646*0.0198019802+J645*0.9801980198))</f>
        <v>0</v>
      </c>
      <c r="K646">
        <f>IF($E646="","",IF($E645="",$E646,$E646*0.0099502488+K645*0.9900497512))</f>
        <v>0</v>
      </c>
      <c r="L646">
        <f>IF(OR($E646="",$E645=""),"",MAX($E646-$E645,0))</f>
        <v>0</v>
      </c>
      <c r="M646">
        <f>IF(OR($E646="",$E645=""),"",MAX($E645-$E646,0))</f>
        <v>0</v>
      </c>
      <c r="N646">
        <f>IF(COUNT($E$2:$E646)&lt;15,"",IF(AVERAGE($M$633:$M$646)=0,100,100-100/(1+AVERAGE($L$633:$L$646)/AVERAGE($M$633:$M$646))))</f>
        <v>0</v>
      </c>
      <c r="O646">
        <f>IF($E646="","",IF($E645="",$E646,$E646*0.1538461538+O645*0.8461538462))</f>
        <v>0</v>
      </c>
      <c r="P646">
        <f>IF($E646="","",IF($E645="",$E646,$E646*0.0740740741+P645*0.9259259259))</f>
        <v>0</v>
      </c>
      <c r="Q646">
        <f>IF(OR(O646="",P646=""),"",O646-P646)</f>
        <v>0</v>
      </c>
      <c r="R646">
        <f>IF(Q646="","",IF(R645="",Q646,Q646*0.2000000000+R645*0.8000000000))</f>
        <v>0</v>
      </c>
      <c r="S646">
        <f>IF(OR(Q646="",R646=""),"",Q646-R646)</f>
        <v>0</v>
      </c>
      <c r="T646">
        <f>IF(COUNT($E$2:$E646)&lt;14,"",MAX($C$633:$C$646))</f>
        <v>0</v>
      </c>
      <c r="U646">
        <f>IF(COUNT($E$2:$E646)&lt;14,"",MIN($D$633:$D$646))</f>
        <v>0</v>
      </c>
      <c r="V646">
        <f>IF(OR(T646="",U646="",T646=U646),"",100*($E646-U646)/(T646-U646))</f>
        <v>0</v>
      </c>
      <c r="W646">
        <f>IF(COUNT($V$644:$V$646)&lt;3,"",AVERAGE($V$644:$V$646))</f>
        <v>0</v>
      </c>
      <c r="X646">
        <f>IF(COUNT($N$633:$N$646)&lt;14,"",MIN($N$633:$N$646))</f>
        <v>0</v>
      </c>
      <c r="Y646">
        <f>IF(COUNT($N$633:$N$646)&lt;14,"",MAX($N$633:$N$646))</f>
        <v>0</v>
      </c>
      <c r="Z646">
        <f>IF(OR(N646="",X646="",Y646="",Y646=X646),"",100*(N646-X646)/(Y646-X646))</f>
        <v>0</v>
      </c>
      <c r="AA646">
        <f>IF(COUNT($Z$644:$Z$646)&lt;3,"",AVERAGE($Z$644:$Z$646))</f>
        <v>0</v>
      </c>
      <c r="AB646">
        <f>IF(COUNT($AA$644:$AA$646)&lt;3,"",AVERAGE($AA$644:$AA$646))</f>
        <v>0</v>
      </c>
      <c r="AC646">
        <f>IF($E646="","",MAX($C646-$D646,ABS($C646-$E645),ABS($D646-$E645)))</f>
        <v>0</v>
      </c>
      <c r="AD646">
        <f>IF(COUNT($E$2:$E646)&lt;15,"",AVERAGE($AC$633:$AC$646))</f>
        <v>0</v>
      </c>
      <c r="AE646">
        <f>IF(OR($E646="",$E645=""),"",IF(AND(($C646-$C645)&gt;($D645-$D646),($C646-$C645)&gt;0),$C646-$C645,0))</f>
        <v>0</v>
      </c>
      <c r="AF646">
        <f>IF(OR($E646="",$E645=""),"",IF(AND(($D645-$D646)&gt;($C646-$C645),($D645-$D646)&gt;0),$D645-$D646,0))</f>
        <v>0</v>
      </c>
      <c r="AG646">
        <f>IF(COUNT($E$2:$E646)&lt;15,"",IF(SUM($AC$633:$AC$646)=0,0,100*SUM($AE$633:$AE$646)/SUM($AC$633:$AC$646)))</f>
        <v>0</v>
      </c>
      <c r="AH646">
        <f>IF(COUNT($E$2:$E646)&lt;15,"",IF(SUM($AC$633:$AC$646)=0,0,100*SUM($AF$633:$AF$646)/SUM($AC$633:$AC$646)))</f>
        <v>0</v>
      </c>
      <c r="AI646">
        <f>IF(OR(AG646="",AH646=""),"",IF((AG646+AH646)=0,0,100*ABS(AG646-AH646)/(AG646+AH646)))</f>
        <v>0</v>
      </c>
      <c r="AJ646">
        <f>IF(COUNT($AI$633:$AI$646)&lt;14,"",AVERAGE($AI$633:$AI$646))</f>
        <v>0</v>
      </c>
      <c r="AK646">
        <f>IF(COUNT($E$2:$E646)&lt;20,"",AVERAGE($E$627:$E$646))</f>
        <v>0</v>
      </c>
      <c r="AL646">
        <f>IF(COUNT($E$2:$E646)&lt;20,"",STDEVP($E$627:$E$646))</f>
        <v>0</v>
      </c>
      <c r="AM646">
        <f>IF(AK646="","",AK646+2*AL646)</f>
        <v>0</v>
      </c>
      <c r="AN646">
        <f>IF(AK646="","",AK646-2*AL646)</f>
        <v>0</v>
      </c>
      <c r="AO646">
        <f>IF(OR(AM646="",AN646="",AM646=AN646),"",($E646-AN646)/(AM646-AN646))</f>
        <v>0</v>
      </c>
      <c r="AP646">
        <f>IF(OR(AM646="",AK646="",AK646=0),"",(AM646-AN646)/AK646)</f>
        <v>0</v>
      </c>
      <c r="AQ646">
        <f>IF(COUNT($E$2:$E646)&lt;20,"",MAX($C$627:$C$646))</f>
        <v>0</v>
      </c>
      <c r="AR646">
        <f>IF(COUNT($E$2:$E646)&lt;20,"",MIN($D$627:$D$646))</f>
        <v>0</v>
      </c>
      <c r="AS646">
        <f>IF(OR(AQ646="",AR646=""),"",(AQ646+AR646)/2)</f>
        <v>0</v>
      </c>
      <c r="AT646">
        <f>IF(COUNT($G$627:$G$646)&lt;20,"",STDEV($G$627:$G$646)*SQRT(252))</f>
        <v>0</v>
      </c>
      <c r="AU646">
        <f>IF(COUNT($E$2:$E646)&lt;9,"",(MAX($C$638:$C$646)+MIN($D$638:$D$646))/2)</f>
        <v>0</v>
      </c>
      <c r="AV646">
        <f>IF(COUNT($E$2:$E646)&lt;26,"",(MAX($C$621:$C$646)+MIN($D$621:$D$646))/2)</f>
        <v>0</v>
      </c>
      <c r="AW646">
        <f>IF(OR(AU646="",AV646=""),"",(AU646+AV646)/2)</f>
        <v>0</v>
      </c>
      <c r="AX646">
        <f>IF(COUNT($E$2:$E646)&lt;52,"",(MAX($C$595:$C$646)+MIN($D$595:$D$646))/2)</f>
        <v>0</v>
      </c>
      <c r="AY646">
        <f>IF(COUNT($E$2:$E646)&lt;20,"",MAX($C$547:$C$646))</f>
        <v>0</v>
      </c>
      <c r="AZ646">
        <f>IF(COUNT($E$2:$E646)&lt;20,"",MIN($D$547:$D$646))</f>
        <v>0</v>
      </c>
      <c r="BA646">
        <f>IF(COUNT($E$2:$E646)&lt;20,"",SLOPE($E$547:$E$646,$F$547:$F$646))</f>
        <v>0</v>
      </c>
      <c r="BB646">
        <f>IF(COUNT($E$2:$E646)&lt;20,"",INTERCEPT($E$547:$E$646,$F$547:$F$646))</f>
        <v>0</v>
      </c>
      <c r="BC646">
        <f>IF(OR(BA646="",BB646=""),"",BB646+BA646*F646)</f>
        <v>0</v>
      </c>
      <c r="BD646">
        <f>IF(COUNT($E$2:$E646)&lt;20,"",STEYX($E$547:$E$646,$F$547:$F$646))</f>
        <v>0</v>
      </c>
      <c r="BE646">
        <f>IF($E646="","",IF(AND(COUNT($E$647:$E$650)&gt;=4,$C646=MAX($C$642:$C$650)),$C646,""))</f>
        <v>0</v>
      </c>
      <c r="BF646">
        <f>IF($E646="","",IF(AND(COUNT($E$647:$E$650)&gt;=4,$D646=MIN($D$642:$D$650)),$D646,""))</f>
        <v>0</v>
      </c>
      <c r="BG646">
        <f>IF($A646="","",$A646-WEEKDAY($A646,2)+1)</f>
        <v>0</v>
      </c>
      <c r="BH646">
        <f>IF($A646="","",IF($A645="",1,IF(BG646&lt;&gt;BG645,1,0)))</f>
        <v>0</v>
      </c>
      <c r="BI646">
        <f>IF($A646="","",IF($A647="",1,IF(BG647&lt;&gt;BG646,1,0)))</f>
        <v>0</v>
      </c>
      <c r="BJ646">
        <f>IF($A646="","",IF(BH646=1,$B646,BJ645))</f>
        <v>0</v>
      </c>
      <c r="BK646">
        <f>IF($A646="","",IF(BH646=1,$C646,MAX($C646,BK645)))</f>
        <v>0</v>
      </c>
      <c r="BL646">
        <f>IF($A646="","",IF(BH646=1,$D646,MIN($D646,BL645)))</f>
        <v>0</v>
      </c>
      <c r="BM646">
        <f>IF($A646="","",IF(BI646=1,F646,""))</f>
        <v>0</v>
      </c>
      <c r="BN646">
        <f>IF($A646="","",DATE(YEAR($A646),MONTH($A646),1))</f>
        <v>0</v>
      </c>
      <c r="BO646">
        <f>IF($A646="","",IF($A645="",1,IF(BN646&lt;&gt;BN645,1,0)))</f>
        <v>0</v>
      </c>
      <c r="BP646">
        <f>IF($A646="","",IF($A647="",1,IF(BN647&lt;&gt;BN646,1,0)))</f>
        <v>0</v>
      </c>
      <c r="BQ646">
        <f>IF($A646="","",IF(BO646=1,$B646,BQ645))</f>
        <v>0</v>
      </c>
      <c r="BR646">
        <f>IF($A646="","",IF(BO646=1,$C646,MAX($C646,BR645)))</f>
        <v>0</v>
      </c>
      <c r="BS646">
        <f>IF($A646="","",IF(BO646=1,$D646,MIN($D646,BS645)))</f>
        <v>0</v>
      </c>
      <c r="BT646">
        <f>IF($A646="","",IF(BP646=1,F646,""))</f>
        <v>0</v>
      </c>
    </row>
    <row r="647" spans="1:72">
      <c r="A647" s="27">
        <f>IF(Data!$A647="","",Data!$A647)</f>
        <v>0</v>
      </c>
      <c r="B647">
        <f>IF(Data!$B647="","",Data!$B647)</f>
        <v>0</v>
      </c>
      <c r="C647">
        <f>IF(Data!$C647="","",Data!$C647)</f>
        <v>0</v>
      </c>
      <c r="D647">
        <f>IF(Data!$D647="","",Data!$D647)</f>
        <v>0</v>
      </c>
      <c r="E647">
        <f>IF(Data!$E647="","",Data!$E647)</f>
        <v>0</v>
      </c>
      <c r="F647">
        <f>IF($E647="","",N(F646)+1)</f>
        <v>0</v>
      </c>
      <c r="G647">
        <f>IF(OR($E647="",$E646=""),"",LN($E647/$E646))</f>
        <v>0</v>
      </c>
      <c r="H647">
        <f>IF($E647="","",IF($E646="",$E647,$E647*0.0952380952+H646*0.9047619048))</f>
        <v>0</v>
      </c>
      <c r="I647">
        <f>IF($E647="","",IF($E646="",$E647,$E647*0.0392156863+I646*0.9607843137))</f>
        <v>0</v>
      </c>
      <c r="J647">
        <f>IF($E647="","",IF($E646="",$E647,$E647*0.0198019802+J646*0.9801980198))</f>
        <v>0</v>
      </c>
      <c r="K647">
        <f>IF($E647="","",IF($E646="",$E647,$E647*0.0099502488+K646*0.9900497512))</f>
        <v>0</v>
      </c>
      <c r="L647">
        <f>IF(OR($E647="",$E646=""),"",MAX($E647-$E646,0))</f>
        <v>0</v>
      </c>
      <c r="M647">
        <f>IF(OR($E647="",$E646=""),"",MAX($E646-$E647,0))</f>
        <v>0</v>
      </c>
      <c r="N647">
        <f>IF(COUNT($E$2:$E647)&lt;15,"",IF(AVERAGE($M$634:$M$647)=0,100,100-100/(1+AVERAGE($L$634:$L$647)/AVERAGE($M$634:$M$647))))</f>
        <v>0</v>
      </c>
      <c r="O647">
        <f>IF($E647="","",IF($E646="",$E647,$E647*0.1538461538+O646*0.8461538462))</f>
        <v>0</v>
      </c>
      <c r="P647">
        <f>IF($E647="","",IF($E646="",$E647,$E647*0.0740740741+P646*0.9259259259))</f>
        <v>0</v>
      </c>
      <c r="Q647">
        <f>IF(OR(O647="",P647=""),"",O647-P647)</f>
        <v>0</v>
      </c>
      <c r="R647">
        <f>IF(Q647="","",IF(R646="",Q647,Q647*0.2000000000+R646*0.8000000000))</f>
        <v>0</v>
      </c>
      <c r="S647">
        <f>IF(OR(Q647="",R647=""),"",Q647-R647)</f>
        <v>0</v>
      </c>
      <c r="T647">
        <f>IF(COUNT($E$2:$E647)&lt;14,"",MAX($C$634:$C$647))</f>
        <v>0</v>
      </c>
      <c r="U647">
        <f>IF(COUNT($E$2:$E647)&lt;14,"",MIN($D$634:$D$647))</f>
        <v>0</v>
      </c>
      <c r="V647">
        <f>IF(OR(T647="",U647="",T647=U647),"",100*($E647-U647)/(T647-U647))</f>
        <v>0</v>
      </c>
      <c r="W647">
        <f>IF(COUNT($V$645:$V$647)&lt;3,"",AVERAGE($V$645:$V$647))</f>
        <v>0</v>
      </c>
      <c r="X647">
        <f>IF(COUNT($N$634:$N$647)&lt;14,"",MIN($N$634:$N$647))</f>
        <v>0</v>
      </c>
      <c r="Y647">
        <f>IF(COUNT($N$634:$N$647)&lt;14,"",MAX($N$634:$N$647))</f>
        <v>0</v>
      </c>
      <c r="Z647">
        <f>IF(OR(N647="",X647="",Y647="",Y647=X647),"",100*(N647-X647)/(Y647-X647))</f>
        <v>0</v>
      </c>
      <c r="AA647">
        <f>IF(COUNT($Z$645:$Z$647)&lt;3,"",AVERAGE($Z$645:$Z$647))</f>
        <v>0</v>
      </c>
      <c r="AB647">
        <f>IF(COUNT($AA$645:$AA$647)&lt;3,"",AVERAGE($AA$645:$AA$647))</f>
        <v>0</v>
      </c>
      <c r="AC647">
        <f>IF($E647="","",MAX($C647-$D647,ABS($C647-$E646),ABS($D647-$E646)))</f>
        <v>0</v>
      </c>
      <c r="AD647">
        <f>IF(COUNT($E$2:$E647)&lt;15,"",AVERAGE($AC$634:$AC$647))</f>
        <v>0</v>
      </c>
      <c r="AE647">
        <f>IF(OR($E647="",$E646=""),"",IF(AND(($C647-$C646)&gt;($D646-$D647),($C647-$C646)&gt;0),$C647-$C646,0))</f>
        <v>0</v>
      </c>
      <c r="AF647">
        <f>IF(OR($E647="",$E646=""),"",IF(AND(($D646-$D647)&gt;($C647-$C646),($D646-$D647)&gt;0),$D646-$D647,0))</f>
        <v>0</v>
      </c>
      <c r="AG647">
        <f>IF(COUNT($E$2:$E647)&lt;15,"",IF(SUM($AC$634:$AC$647)=0,0,100*SUM($AE$634:$AE$647)/SUM($AC$634:$AC$647)))</f>
        <v>0</v>
      </c>
      <c r="AH647">
        <f>IF(COUNT($E$2:$E647)&lt;15,"",IF(SUM($AC$634:$AC$647)=0,0,100*SUM($AF$634:$AF$647)/SUM($AC$634:$AC$647)))</f>
        <v>0</v>
      </c>
      <c r="AI647">
        <f>IF(OR(AG647="",AH647=""),"",IF((AG647+AH647)=0,0,100*ABS(AG647-AH647)/(AG647+AH647)))</f>
        <v>0</v>
      </c>
      <c r="AJ647">
        <f>IF(COUNT($AI$634:$AI$647)&lt;14,"",AVERAGE($AI$634:$AI$647))</f>
        <v>0</v>
      </c>
      <c r="AK647">
        <f>IF(COUNT($E$2:$E647)&lt;20,"",AVERAGE($E$628:$E$647))</f>
        <v>0</v>
      </c>
      <c r="AL647">
        <f>IF(COUNT($E$2:$E647)&lt;20,"",STDEVP($E$628:$E$647))</f>
        <v>0</v>
      </c>
      <c r="AM647">
        <f>IF(AK647="","",AK647+2*AL647)</f>
        <v>0</v>
      </c>
      <c r="AN647">
        <f>IF(AK647="","",AK647-2*AL647)</f>
        <v>0</v>
      </c>
      <c r="AO647">
        <f>IF(OR(AM647="",AN647="",AM647=AN647),"",($E647-AN647)/(AM647-AN647))</f>
        <v>0</v>
      </c>
      <c r="AP647">
        <f>IF(OR(AM647="",AK647="",AK647=0),"",(AM647-AN647)/AK647)</f>
        <v>0</v>
      </c>
      <c r="AQ647">
        <f>IF(COUNT($E$2:$E647)&lt;20,"",MAX($C$628:$C$647))</f>
        <v>0</v>
      </c>
      <c r="AR647">
        <f>IF(COUNT($E$2:$E647)&lt;20,"",MIN($D$628:$D$647))</f>
        <v>0</v>
      </c>
      <c r="AS647">
        <f>IF(OR(AQ647="",AR647=""),"",(AQ647+AR647)/2)</f>
        <v>0</v>
      </c>
      <c r="AT647">
        <f>IF(COUNT($G$628:$G$647)&lt;20,"",STDEV($G$628:$G$647)*SQRT(252))</f>
        <v>0</v>
      </c>
      <c r="AU647">
        <f>IF(COUNT($E$2:$E647)&lt;9,"",(MAX($C$639:$C$647)+MIN($D$639:$D$647))/2)</f>
        <v>0</v>
      </c>
      <c r="AV647">
        <f>IF(COUNT($E$2:$E647)&lt;26,"",(MAX($C$622:$C$647)+MIN($D$622:$D$647))/2)</f>
        <v>0</v>
      </c>
      <c r="AW647">
        <f>IF(OR(AU647="",AV647=""),"",(AU647+AV647)/2)</f>
        <v>0</v>
      </c>
      <c r="AX647">
        <f>IF(COUNT($E$2:$E647)&lt;52,"",(MAX($C$596:$C$647)+MIN($D$596:$D$647))/2)</f>
        <v>0</v>
      </c>
      <c r="AY647">
        <f>IF(COUNT($E$2:$E647)&lt;20,"",MAX($C$548:$C$647))</f>
        <v>0</v>
      </c>
      <c r="AZ647">
        <f>IF(COUNT($E$2:$E647)&lt;20,"",MIN($D$548:$D$647))</f>
        <v>0</v>
      </c>
      <c r="BA647">
        <f>IF(COUNT($E$2:$E647)&lt;20,"",SLOPE($E$548:$E$647,$F$548:$F$647))</f>
        <v>0</v>
      </c>
      <c r="BB647">
        <f>IF(COUNT($E$2:$E647)&lt;20,"",INTERCEPT($E$548:$E$647,$F$548:$F$647))</f>
        <v>0</v>
      </c>
      <c r="BC647">
        <f>IF(OR(BA647="",BB647=""),"",BB647+BA647*F647)</f>
        <v>0</v>
      </c>
      <c r="BD647">
        <f>IF(COUNT($E$2:$E647)&lt;20,"",STEYX($E$548:$E$647,$F$548:$F$647))</f>
        <v>0</v>
      </c>
      <c r="BE647">
        <f>IF($E647="","",IF(AND(COUNT($E$648:$E$651)&gt;=4,$C647=MAX($C$643:$C$651)),$C647,""))</f>
        <v>0</v>
      </c>
      <c r="BF647">
        <f>IF($E647="","",IF(AND(COUNT($E$648:$E$651)&gt;=4,$D647=MIN($D$643:$D$651)),$D647,""))</f>
        <v>0</v>
      </c>
      <c r="BG647">
        <f>IF($A647="","",$A647-WEEKDAY($A647,2)+1)</f>
        <v>0</v>
      </c>
      <c r="BH647">
        <f>IF($A647="","",IF($A646="",1,IF(BG647&lt;&gt;BG646,1,0)))</f>
        <v>0</v>
      </c>
      <c r="BI647">
        <f>IF($A647="","",IF($A648="",1,IF(BG648&lt;&gt;BG647,1,0)))</f>
        <v>0</v>
      </c>
      <c r="BJ647">
        <f>IF($A647="","",IF(BH647=1,$B647,BJ646))</f>
        <v>0</v>
      </c>
      <c r="BK647">
        <f>IF($A647="","",IF(BH647=1,$C647,MAX($C647,BK646)))</f>
        <v>0</v>
      </c>
      <c r="BL647">
        <f>IF($A647="","",IF(BH647=1,$D647,MIN($D647,BL646)))</f>
        <v>0</v>
      </c>
      <c r="BM647">
        <f>IF($A647="","",IF(BI647=1,F647,""))</f>
        <v>0</v>
      </c>
      <c r="BN647">
        <f>IF($A647="","",DATE(YEAR($A647),MONTH($A647),1))</f>
        <v>0</v>
      </c>
      <c r="BO647">
        <f>IF($A647="","",IF($A646="",1,IF(BN647&lt;&gt;BN646,1,0)))</f>
        <v>0</v>
      </c>
      <c r="BP647">
        <f>IF($A647="","",IF($A648="",1,IF(BN648&lt;&gt;BN647,1,0)))</f>
        <v>0</v>
      </c>
      <c r="BQ647">
        <f>IF($A647="","",IF(BO647=1,$B647,BQ646))</f>
        <v>0</v>
      </c>
      <c r="BR647">
        <f>IF($A647="","",IF(BO647=1,$C647,MAX($C647,BR646)))</f>
        <v>0</v>
      </c>
      <c r="BS647">
        <f>IF($A647="","",IF(BO647=1,$D647,MIN($D647,BS646)))</f>
        <v>0</v>
      </c>
      <c r="BT647">
        <f>IF($A647="","",IF(BP647=1,F647,""))</f>
        <v>0</v>
      </c>
    </row>
    <row r="648" spans="1:72">
      <c r="A648" s="27">
        <f>IF(Data!$A648="","",Data!$A648)</f>
        <v>0</v>
      </c>
      <c r="B648">
        <f>IF(Data!$B648="","",Data!$B648)</f>
        <v>0</v>
      </c>
      <c r="C648">
        <f>IF(Data!$C648="","",Data!$C648)</f>
        <v>0</v>
      </c>
      <c r="D648">
        <f>IF(Data!$D648="","",Data!$D648)</f>
        <v>0</v>
      </c>
      <c r="E648">
        <f>IF(Data!$E648="","",Data!$E648)</f>
        <v>0</v>
      </c>
      <c r="F648">
        <f>IF($E648="","",N(F647)+1)</f>
        <v>0</v>
      </c>
      <c r="G648">
        <f>IF(OR($E648="",$E647=""),"",LN($E648/$E647))</f>
        <v>0</v>
      </c>
      <c r="H648">
        <f>IF($E648="","",IF($E647="",$E648,$E648*0.0952380952+H647*0.9047619048))</f>
        <v>0</v>
      </c>
      <c r="I648">
        <f>IF($E648="","",IF($E647="",$E648,$E648*0.0392156863+I647*0.9607843137))</f>
        <v>0</v>
      </c>
      <c r="J648">
        <f>IF($E648="","",IF($E647="",$E648,$E648*0.0198019802+J647*0.9801980198))</f>
        <v>0</v>
      </c>
      <c r="K648">
        <f>IF($E648="","",IF($E647="",$E648,$E648*0.0099502488+K647*0.9900497512))</f>
        <v>0</v>
      </c>
      <c r="L648">
        <f>IF(OR($E648="",$E647=""),"",MAX($E648-$E647,0))</f>
        <v>0</v>
      </c>
      <c r="M648">
        <f>IF(OR($E648="",$E647=""),"",MAX($E647-$E648,0))</f>
        <v>0</v>
      </c>
      <c r="N648">
        <f>IF(COUNT($E$2:$E648)&lt;15,"",IF(AVERAGE($M$635:$M$648)=0,100,100-100/(1+AVERAGE($L$635:$L$648)/AVERAGE($M$635:$M$648))))</f>
        <v>0</v>
      </c>
      <c r="O648">
        <f>IF($E648="","",IF($E647="",$E648,$E648*0.1538461538+O647*0.8461538462))</f>
        <v>0</v>
      </c>
      <c r="P648">
        <f>IF($E648="","",IF($E647="",$E648,$E648*0.0740740741+P647*0.9259259259))</f>
        <v>0</v>
      </c>
      <c r="Q648">
        <f>IF(OR(O648="",P648=""),"",O648-P648)</f>
        <v>0</v>
      </c>
      <c r="R648">
        <f>IF(Q648="","",IF(R647="",Q648,Q648*0.2000000000+R647*0.8000000000))</f>
        <v>0</v>
      </c>
      <c r="S648">
        <f>IF(OR(Q648="",R648=""),"",Q648-R648)</f>
        <v>0</v>
      </c>
      <c r="T648">
        <f>IF(COUNT($E$2:$E648)&lt;14,"",MAX($C$635:$C$648))</f>
        <v>0</v>
      </c>
      <c r="U648">
        <f>IF(COUNT($E$2:$E648)&lt;14,"",MIN($D$635:$D$648))</f>
        <v>0</v>
      </c>
      <c r="V648">
        <f>IF(OR(T648="",U648="",T648=U648),"",100*($E648-U648)/(T648-U648))</f>
        <v>0</v>
      </c>
      <c r="W648">
        <f>IF(COUNT($V$646:$V$648)&lt;3,"",AVERAGE($V$646:$V$648))</f>
        <v>0</v>
      </c>
      <c r="X648">
        <f>IF(COUNT($N$635:$N$648)&lt;14,"",MIN($N$635:$N$648))</f>
        <v>0</v>
      </c>
      <c r="Y648">
        <f>IF(COUNT($N$635:$N$648)&lt;14,"",MAX($N$635:$N$648))</f>
        <v>0</v>
      </c>
      <c r="Z648">
        <f>IF(OR(N648="",X648="",Y648="",Y648=X648),"",100*(N648-X648)/(Y648-X648))</f>
        <v>0</v>
      </c>
      <c r="AA648">
        <f>IF(COUNT($Z$646:$Z$648)&lt;3,"",AVERAGE($Z$646:$Z$648))</f>
        <v>0</v>
      </c>
      <c r="AB648">
        <f>IF(COUNT($AA$646:$AA$648)&lt;3,"",AVERAGE($AA$646:$AA$648))</f>
        <v>0</v>
      </c>
      <c r="AC648">
        <f>IF($E648="","",MAX($C648-$D648,ABS($C648-$E647),ABS($D648-$E647)))</f>
        <v>0</v>
      </c>
      <c r="AD648">
        <f>IF(COUNT($E$2:$E648)&lt;15,"",AVERAGE($AC$635:$AC$648))</f>
        <v>0</v>
      </c>
      <c r="AE648">
        <f>IF(OR($E648="",$E647=""),"",IF(AND(($C648-$C647)&gt;($D647-$D648),($C648-$C647)&gt;0),$C648-$C647,0))</f>
        <v>0</v>
      </c>
      <c r="AF648">
        <f>IF(OR($E648="",$E647=""),"",IF(AND(($D647-$D648)&gt;($C648-$C647),($D647-$D648)&gt;0),$D647-$D648,0))</f>
        <v>0</v>
      </c>
      <c r="AG648">
        <f>IF(COUNT($E$2:$E648)&lt;15,"",IF(SUM($AC$635:$AC$648)=0,0,100*SUM($AE$635:$AE$648)/SUM($AC$635:$AC$648)))</f>
        <v>0</v>
      </c>
      <c r="AH648">
        <f>IF(COUNT($E$2:$E648)&lt;15,"",IF(SUM($AC$635:$AC$648)=0,0,100*SUM($AF$635:$AF$648)/SUM($AC$635:$AC$648)))</f>
        <v>0</v>
      </c>
      <c r="AI648">
        <f>IF(OR(AG648="",AH648=""),"",IF((AG648+AH648)=0,0,100*ABS(AG648-AH648)/(AG648+AH648)))</f>
        <v>0</v>
      </c>
      <c r="AJ648">
        <f>IF(COUNT($AI$635:$AI$648)&lt;14,"",AVERAGE($AI$635:$AI$648))</f>
        <v>0</v>
      </c>
      <c r="AK648">
        <f>IF(COUNT($E$2:$E648)&lt;20,"",AVERAGE($E$629:$E$648))</f>
        <v>0</v>
      </c>
      <c r="AL648">
        <f>IF(COUNT($E$2:$E648)&lt;20,"",STDEVP($E$629:$E$648))</f>
        <v>0</v>
      </c>
      <c r="AM648">
        <f>IF(AK648="","",AK648+2*AL648)</f>
        <v>0</v>
      </c>
      <c r="AN648">
        <f>IF(AK648="","",AK648-2*AL648)</f>
        <v>0</v>
      </c>
      <c r="AO648">
        <f>IF(OR(AM648="",AN648="",AM648=AN648),"",($E648-AN648)/(AM648-AN648))</f>
        <v>0</v>
      </c>
      <c r="AP648">
        <f>IF(OR(AM648="",AK648="",AK648=0),"",(AM648-AN648)/AK648)</f>
        <v>0</v>
      </c>
      <c r="AQ648">
        <f>IF(COUNT($E$2:$E648)&lt;20,"",MAX($C$629:$C$648))</f>
        <v>0</v>
      </c>
      <c r="AR648">
        <f>IF(COUNT($E$2:$E648)&lt;20,"",MIN($D$629:$D$648))</f>
        <v>0</v>
      </c>
      <c r="AS648">
        <f>IF(OR(AQ648="",AR648=""),"",(AQ648+AR648)/2)</f>
        <v>0</v>
      </c>
      <c r="AT648">
        <f>IF(COUNT($G$629:$G$648)&lt;20,"",STDEV($G$629:$G$648)*SQRT(252))</f>
        <v>0</v>
      </c>
      <c r="AU648">
        <f>IF(COUNT($E$2:$E648)&lt;9,"",(MAX($C$640:$C$648)+MIN($D$640:$D$648))/2)</f>
        <v>0</v>
      </c>
      <c r="AV648">
        <f>IF(COUNT($E$2:$E648)&lt;26,"",(MAX($C$623:$C$648)+MIN($D$623:$D$648))/2)</f>
        <v>0</v>
      </c>
      <c r="AW648">
        <f>IF(OR(AU648="",AV648=""),"",(AU648+AV648)/2)</f>
        <v>0</v>
      </c>
      <c r="AX648">
        <f>IF(COUNT($E$2:$E648)&lt;52,"",(MAX($C$597:$C$648)+MIN($D$597:$D$648))/2)</f>
        <v>0</v>
      </c>
      <c r="AY648">
        <f>IF(COUNT($E$2:$E648)&lt;20,"",MAX($C$549:$C$648))</f>
        <v>0</v>
      </c>
      <c r="AZ648">
        <f>IF(COUNT($E$2:$E648)&lt;20,"",MIN($D$549:$D$648))</f>
        <v>0</v>
      </c>
      <c r="BA648">
        <f>IF(COUNT($E$2:$E648)&lt;20,"",SLOPE($E$549:$E$648,$F$549:$F$648))</f>
        <v>0</v>
      </c>
      <c r="BB648">
        <f>IF(COUNT($E$2:$E648)&lt;20,"",INTERCEPT($E$549:$E$648,$F$549:$F$648))</f>
        <v>0</v>
      </c>
      <c r="BC648">
        <f>IF(OR(BA648="",BB648=""),"",BB648+BA648*F648)</f>
        <v>0</v>
      </c>
      <c r="BD648">
        <f>IF(COUNT($E$2:$E648)&lt;20,"",STEYX($E$549:$E$648,$F$549:$F$648))</f>
        <v>0</v>
      </c>
      <c r="BE648">
        <f>IF($E648="","",IF(AND(COUNT($E$649:$E$652)&gt;=4,$C648=MAX($C$644:$C$652)),$C648,""))</f>
        <v>0</v>
      </c>
      <c r="BF648">
        <f>IF($E648="","",IF(AND(COUNT($E$649:$E$652)&gt;=4,$D648=MIN($D$644:$D$652)),$D648,""))</f>
        <v>0</v>
      </c>
      <c r="BG648">
        <f>IF($A648="","",$A648-WEEKDAY($A648,2)+1)</f>
        <v>0</v>
      </c>
      <c r="BH648">
        <f>IF($A648="","",IF($A647="",1,IF(BG648&lt;&gt;BG647,1,0)))</f>
        <v>0</v>
      </c>
      <c r="BI648">
        <f>IF($A648="","",IF($A649="",1,IF(BG649&lt;&gt;BG648,1,0)))</f>
        <v>0</v>
      </c>
      <c r="BJ648">
        <f>IF($A648="","",IF(BH648=1,$B648,BJ647))</f>
        <v>0</v>
      </c>
      <c r="BK648">
        <f>IF($A648="","",IF(BH648=1,$C648,MAX($C648,BK647)))</f>
        <v>0</v>
      </c>
      <c r="BL648">
        <f>IF($A648="","",IF(BH648=1,$D648,MIN($D648,BL647)))</f>
        <v>0</v>
      </c>
      <c r="BM648">
        <f>IF($A648="","",IF(BI648=1,F648,""))</f>
        <v>0</v>
      </c>
      <c r="BN648">
        <f>IF($A648="","",DATE(YEAR($A648),MONTH($A648),1))</f>
        <v>0</v>
      </c>
      <c r="BO648">
        <f>IF($A648="","",IF($A647="",1,IF(BN648&lt;&gt;BN647,1,0)))</f>
        <v>0</v>
      </c>
      <c r="BP648">
        <f>IF($A648="","",IF($A649="",1,IF(BN649&lt;&gt;BN648,1,0)))</f>
        <v>0</v>
      </c>
      <c r="BQ648">
        <f>IF($A648="","",IF(BO648=1,$B648,BQ647))</f>
        <v>0</v>
      </c>
      <c r="BR648">
        <f>IF($A648="","",IF(BO648=1,$C648,MAX($C648,BR647)))</f>
        <v>0</v>
      </c>
      <c r="BS648">
        <f>IF($A648="","",IF(BO648=1,$D648,MIN($D648,BS647)))</f>
        <v>0</v>
      </c>
      <c r="BT648">
        <f>IF($A648="","",IF(BP648=1,F648,""))</f>
        <v>0</v>
      </c>
    </row>
    <row r="649" spans="1:72">
      <c r="A649" s="27">
        <f>IF(Data!$A649="","",Data!$A649)</f>
        <v>0</v>
      </c>
      <c r="B649">
        <f>IF(Data!$B649="","",Data!$B649)</f>
        <v>0</v>
      </c>
      <c r="C649">
        <f>IF(Data!$C649="","",Data!$C649)</f>
        <v>0</v>
      </c>
      <c r="D649">
        <f>IF(Data!$D649="","",Data!$D649)</f>
        <v>0</v>
      </c>
      <c r="E649">
        <f>IF(Data!$E649="","",Data!$E649)</f>
        <v>0</v>
      </c>
      <c r="F649">
        <f>IF($E649="","",N(F648)+1)</f>
        <v>0</v>
      </c>
      <c r="G649">
        <f>IF(OR($E649="",$E648=""),"",LN($E649/$E648))</f>
        <v>0</v>
      </c>
      <c r="H649">
        <f>IF($E649="","",IF($E648="",$E649,$E649*0.0952380952+H648*0.9047619048))</f>
        <v>0</v>
      </c>
      <c r="I649">
        <f>IF($E649="","",IF($E648="",$E649,$E649*0.0392156863+I648*0.9607843137))</f>
        <v>0</v>
      </c>
      <c r="J649">
        <f>IF($E649="","",IF($E648="",$E649,$E649*0.0198019802+J648*0.9801980198))</f>
        <v>0</v>
      </c>
      <c r="K649">
        <f>IF($E649="","",IF($E648="",$E649,$E649*0.0099502488+K648*0.9900497512))</f>
        <v>0</v>
      </c>
      <c r="L649">
        <f>IF(OR($E649="",$E648=""),"",MAX($E649-$E648,0))</f>
        <v>0</v>
      </c>
      <c r="M649">
        <f>IF(OR($E649="",$E648=""),"",MAX($E648-$E649,0))</f>
        <v>0</v>
      </c>
      <c r="N649">
        <f>IF(COUNT($E$2:$E649)&lt;15,"",IF(AVERAGE($M$636:$M$649)=0,100,100-100/(1+AVERAGE($L$636:$L$649)/AVERAGE($M$636:$M$649))))</f>
        <v>0</v>
      </c>
      <c r="O649">
        <f>IF($E649="","",IF($E648="",$E649,$E649*0.1538461538+O648*0.8461538462))</f>
        <v>0</v>
      </c>
      <c r="P649">
        <f>IF($E649="","",IF($E648="",$E649,$E649*0.0740740741+P648*0.9259259259))</f>
        <v>0</v>
      </c>
      <c r="Q649">
        <f>IF(OR(O649="",P649=""),"",O649-P649)</f>
        <v>0</v>
      </c>
      <c r="R649">
        <f>IF(Q649="","",IF(R648="",Q649,Q649*0.2000000000+R648*0.8000000000))</f>
        <v>0</v>
      </c>
      <c r="S649">
        <f>IF(OR(Q649="",R649=""),"",Q649-R649)</f>
        <v>0</v>
      </c>
      <c r="T649">
        <f>IF(COUNT($E$2:$E649)&lt;14,"",MAX($C$636:$C$649))</f>
        <v>0</v>
      </c>
      <c r="U649">
        <f>IF(COUNT($E$2:$E649)&lt;14,"",MIN($D$636:$D$649))</f>
        <v>0</v>
      </c>
      <c r="V649">
        <f>IF(OR(T649="",U649="",T649=U649),"",100*($E649-U649)/(T649-U649))</f>
        <v>0</v>
      </c>
      <c r="W649">
        <f>IF(COUNT($V$647:$V$649)&lt;3,"",AVERAGE($V$647:$V$649))</f>
        <v>0</v>
      </c>
      <c r="X649">
        <f>IF(COUNT($N$636:$N$649)&lt;14,"",MIN($N$636:$N$649))</f>
        <v>0</v>
      </c>
      <c r="Y649">
        <f>IF(COUNT($N$636:$N$649)&lt;14,"",MAX($N$636:$N$649))</f>
        <v>0</v>
      </c>
      <c r="Z649">
        <f>IF(OR(N649="",X649="",Y649="",Y649=X649),"",100*(N649-X649)/(Y649-X649))</f>
        <v>0</v>
      </c>
      <c r="AA649">
        <f>IF(COUNT($Z$647:$Z$649)&lt;3,"",AVERAGE($Z$647:$Z$649))</f>
        <v>0</v>
      </c>
      <c r="AB649">
        <f>IF(COUNT($AA$647:$AA$649)&lt;3,"",AVERAGE($AA$647:$AA$649))</f>
        <v>0</v>
      </c>
      <c r="AC649">
        <f>IF($E649="","",MAX($C649-$D649,ABS($C649-$E648),ABS($D649-$E648)))</f>
        <v>0</v>
      </c>
      <c r="AD649">
        <f>IF(COUNT($E$2:$E649)&lt;15,"",AVERAGE($AC$636:$AC$649))</f>
        <v>0</v>
      </c>
      <c r="AE649">
        <f>IF(OR($E649="",$E648=""),"",IF(AND(($C649-$C648)&gt;($D648-$D649),($C649-$C648)&gt;0),$C649-$C648,0))</f>
        <v>0</v>
      </c>
      <c r="AF649">
        <f>IF(OR($E649="",$E648=""),"",IF(AND(($D648-$D649)&gt;($C649-$C648),($D648-$D649)&gt;0),$D648-$D649,0))</f>
        <v>0</v>
      </c>
      <c r="AG649">
        <f>IF(COUNT($E$2:$E649)&lt;15,"",IF(SUM($AC$636:$AC$649)=0,0,100*SUM($AE$636:$AE$649)/SUM($AC$636:$AC$649)))</f>
        <v>0</v>
      </c>
      <c r="AH649">
        <f>IF(COUNT($E$2:$E649)&lt;15,"",IF(SUM($AC$636:$AC$649)=0,0,100*SUM($AF$636:$AF$649)/SUM($AC$636:$AC$649)))</f>
        <v>0</v>
      </c>
      <c r="AI649">
        <f>IF(OR(AG649="",AH649=""),"",IF((AG649+AH649)=0,0,100*ABS(AG649-AH649)/(AG649+AH649)))</f>
        <v>0</v>
      </c>
      <c r="AJ649">
        <f>IF(COUNT($AI$636:$AI$649)&lt;14,"",AVERAGE($AI$636:$AI$649))</f>
        <v>0</v>
      </c>
      <c r="AK649">
        <f>IF(COUNT($E$2:$E649)&lt;20,"",AVERAGE($E$630:$E$649))</f>
        <v>0</v>
      </c>
      <c r="AL649">
        <f>IF(COUNT($E$2:$E649)&lt;20,"",STDEVP($E$630:$E$649))</f>
        <v>0</v>
      </c>
      <c r="AM649">
        <f>IF(AK649="","",AK649+2*AL649)</f>
        <v>0</v>
      </c>
      <c r="AN649">
        <f>IF(AK649="","",AK649-2*AL649)</f>
        <v>0</v>
      </c>
      <c r="AO649">
        <f>IF(OR(AM649="",AN649="",AM649=AN649),"",($E649-AN649)/(AM649-AN649))</f>
        <v>0</v>
      </c>
      <c r="AP649">
        <f>IF(OR(AM649="",AK649="",AK649=0),"",(AM649-AN649)/AK649)</f>
        <v>0</v>
      </c>
      <c r="AQ649">
        <f>IF(COUNT($E$2:$E649)&lt;20,"",MAX($C$630:$C$649))</f>
        <v>0</v>
      </c>
      <c r="AR649">
        <f>IF(COUNT($E$2:$E649)&lt;20,"",MIN($D$630:$D$649))</f>
        <v>0</v>
      </c>
      <c r="AS649">
        <f>IF(OR(AQ649="",AR649=""),"",(AQ649+AR649)/2)</f>
        <v>0</v>
      </c>
      <c r="AT649">
        <f>IF(COUNT($G$630:$G$649)&lt;20,"",STDEV($G$630:$G$649)*SQRT(252))</f>
        <v>0</v>
      </c>
      <c r="AU649">
        <f>IF(COUNT($E$2:$E649)&lt;9,"",(MAX($C$641:$C$649)+MIN($D$641:$D$649))/2)</f>
        <v>0</v>
      </c>
      <c r="AV649">
        <f>IF(COUNT($E$2:$E649)&lt;26,"",(MAX($C$624:$C$649)+MIN($D$624:$D$649))/2)</f>
        <v>0</v>
      </c>
      <c r="AW649">
        <f>IF(OR(AU649="",AV649=""),"",(AU649+AV649)/2)</f>
        <v>0</v>
      </c>
      <c r="AX649">
        <f>IF(COUNT($E$2:$E649)&lt;52,"",(MAX($C$598:$C$649)+MIN($D$598:$D$649))/2)</f>
        <v>0</v>
      </c>
      <c r="AY649">
        <f>IF(COUNT($E$2:$E649)&lt;20,"",MAX($C$550:$C$649))</f>
        <v>0</v>
      </c>
      <c r="AZ649">
        <f>IF(COUNT($E$2:$E649)&lt;20,"",MIN($D$550:$D$649))</f>
        <v>0</v>
      </c>
      <c r="BA649">
        <f>IF(COUNT($E$2:$E649)&lt;20,"",SLOPE($E$550:$E$649,$F$550:$F$649))</f>
        <v>0</v>
      </c>
      <c r="BB649">
        <f>IF(COUNT($E$2:$E649)&lt;20,"",INTERCEPT($E$550:$E$649,$F$550:$F$649))</f>
        <v>0</v>
      </c>
      <c r="BC649">
        <f>IF(OR(BA649="",BB649=""),"",BB649+BA649*F649)</f>
        <v>0</v>
      </c>
      <c r="BD649">
        <f>IF(COUNT($E$2:$E649)&lt;20,"",STEYX($E$550:$E$649,$F$550:$F$649))</f>
        <v>0</v>
      </c>
      <c r="BE649">
        <f>IF($E649="","",IF(AND(COUNT($E$650:$E$653)&gt;=4,$C649=MAX($C$645:$C$653)),$C649,""))</f>
        <v>0</v>
      </c>
      <c r="BF649">
        <f>IF($E649="","",IF(AND(COUNT($E$650:$E$653)&gt;=4,$D649=MIN($D$645:$D$653)),$D649,""))</f>
        <v>0</v>
      </c>
      <c r="BG649">
        <f>IF($A649="","",$A649-WEEKDAY($A649,2)+1)</f>
        <v>0</v>
      </c>
      <c r="BH649">
        <f>IF($A649="","",IF($A648="",1,IF(BG649&lt;&gt;BG648,1,0)))</f>
        <v>0</v>
      </c>
      <c r="BI649">
        <f>IF($A649="","",IF($A650="",1,IF(BG650&lt;&gt;BG649,1,0)))</f>
        <v>0</v>
      </c>
      <c r="BJ649">
        <f>IF($A649="","",IF(BH649=1,$B649,BJ648))</f>
        <v>0</v>
      </c>
      <c r="BK649">
        <f>IF($A649="","",IF(BH649=1,$C649,MAX($C649,BK648)))</f>
        <v>0</v>
      </c>
      <c r="BL649">
        <f>IF($A649="","",IF(BH649=1,$D649,MIN($D649,BL648)))</f>
        <v>0</v>
      </c>
      <c r="BM649">
        <f>IF($A649="","",IF(BI649=1,F649,""))</f>
        <v>0</v>
      </c>
      <c r="BN649">
        <f>IF($A649="","",DATE(YEAR($A649),MONTH($A649),1))</f>
        <v>0</v>
      </c>
      <c r="BO649">
        <f>IF($A649="","",IF($A648="",1,IF(BN649&lt;&gt;BN648,1,0)))</f>
        <v>0</v>
      </c>
      <c r="BP649">
        <f>IF($A649="","",IF($A650="",1,IF(BN650&lt;&gt;BN649,1,0)))</f>
        <v>0</v>
      </c>
      <c r="BQ649">
        <f>IF($A649="","",IF(BO649=1,$B649,BQ648))</f>
        <v>0</v>
      </c>
      <c r="BR649">
        <f>IF($A649="","",IF(BO649=1,$C649,MAX($C649,BR648)))</f>
        <v>0</v>
      </c>
      <c r="BS649">
        <f>IF($A649="","",IF(BO649=1,$D649,MIN($D649,BS648)))</f>
        <v>0</v>
      </c>
      <c r="BT649">
        <f>IF($A649="","",IF(BP649=1,F649,""))</f>
        <v>0</v>
      </c>
    </row>
    <row r="650" spans="1:72">
      <c r="A650" s="27">
        <f>IF(Data!$A650="","",Data!$A650)</f>
        <v>0</v>
      </c>
      <c r="B650">
        <f>IF(Data!$B650="","",Data!$B650)</f>
        <v>0</v>
      </c>
      <c r="C650">
        <f>IF(Data!$C650="","",Data!$C650)</f>
        <v>0</v>
      </c>
      <c r="D650">
        <f>IF(Data!$D650="","",Data!$D650)</f>
        <v>0</v>
      </c>
      <c r="E650">
        <f>IF(Data!$E650="","",Data!$E650)</f>
        <v>0</v>
      </c>
      <c r="F650">
        <f>IF($E650="","",N(F649)+1)</f>
        <v>0</v>
      </c>
      <c r="G650">
        <f>IF(OR($E650="",$E649=""),"",LN($E650/$E649))</f>
        <v>0</v>
      </c>
      <c r="H650">
        <f>IF($E650="","",IF($E649="",$E650,$E650*0.0952380952+H649*0.9047619048))</f>
        <v>0</v>
      </c>
      <c r="I650">
        <f>IF($E650="","",IF($E649="",$E650,$E650*0.0392156863+I649*0.9607843137))</f>
        <v>0</v>
      </c>
      <c r="J650">
        <f>IF($E650="","",IF($E649="",$E650,$E650*0.0198019802+J649*0.9801980198))</f>
        <v>0</v>
      </c>
      <c r="K650">
        <f>IF($E650="","",IF($E649="",$E650,$E650*0.0099502488+K649*0.9900497512))</f>
        <v>0</v>
      </c>
      <c r="L650">
        <f>IF(OR($E650="",$E649=""),"",MAX($E650-$E649,0))</f>
        <v>0</v>
      </c>
      <c r="M650">
        <f>IF(OR($E650="",$E649=""),"",MAX($E649-$E650,0))</f>
        <v>0</v>
      </c>
      <c r="N650">
        <f>IF(COUNT($E$2:$E650)&lt;15,"",IF(AVERAGE($M$637:$M$650)=0,100,100-100/(1+AVERAGE($L$637:$L$650)/AVERAGE($M$637:$M$650))))</f>
        <v>0</v>
      </c>
      <c r="O650">
        <f>IF($E650="","",IF($E649="",$E650,$E650*0.1538461538+O649*0.8461538462))</f>
        <v>0</v>
      </c>
      <c r="P650">
        <f>IF($E650="","",IF($E649="",$E650,$E650*0.0740740741+P649*0.9259259259))</f>
        <v>0</v>
      </c>
      <c r="Q650">
        <f>IF(OR(O650="",P650=""),"",O650-P650)</f>
        <v>0</v>
      </c>
      <c r="R650">
        <f>IF(Q650="","",IF(R649="",Q650,Q650*0.2000000000+R649*0.8000000000))</f>
        <v>0</v>
      </c>
      <c r="S650">
        <f>IF(OR(Q650="",R650=""),"",Q650-R650)</f>
        <v>0</v>
      </c>
      <c r="T650">
        <f>IF(COUNT($E$2:$E650)&lt;14,"",MAX($C$637:$C$650))</f>
        <v>0</v>
      </c>
      <c r="U650">
        <f>IF(COUNT($E$2:$E650)&lt;14,"",MIN($D$637:$D$650))</f>
        <v>0</v>
      </c>
      <c r="V650">
        <f>IF(OR(T650="",U650="",T650=U650),"",100*($E650-U650)/(T650-U650))</f>
        <v>0</v>
      </c>
      <c r="W650">
        <f>IF(COUNT($V$648:$V$650)&lt;3,"",AVERAGE($V$648:$V$650))</f>
        <v>0</v>
      </c>
      <c r="X650">
        <f>IF(COUNT($N$637:$N$650)&lt;14,"",MIN($N$637:$N$650))</f>
        <v>0</v>
      </c>
      <c r="Y650">
        <f>IF(COUNT($N$637:$N$650)&lt;14,"",MAX($N$637:$N$650))</f>
        <v>0</v>
      </c>
      <c r="Z650">
        <f>IF(OR(N650="",X650="",Y650="",Y650=X650),"",100*(N650-X650)/(Y650-X650))</f>
        <v>0</v>
      </c>
      <c r="AA650">
        <f>IF(COUNT($Z$648:$Z$650)&lt;3,"",AVERAGE($Z$648:$Z$650))</f>
        <v>0</v>
      </c>
      <c r="AB650">
        <f>IF(COUNT($AA$648:$AA$650)&lt;3,"",AVERAGE($AA$648:$AA$650))</f>
        <v>0</v>
      </c>
      <c r="AC650">
        <f>IF($E650="","",MAX($C650-$D650,ABS($C650-$E649),ABS($D650-$E649)))</f>
        <v>0</v>
      </c>
      <c r="AD650">
        <f>IF(COUNT($E$2:$E650)&lt;15,"",AVERAGE($AC$637:$AC$650))</f>
        <v>0</v>
      </c>
      <c r="AE650">
        <f>IF(OR($E650="",$E649=""),"",IF(AND(($C650-$C649)&gt;($D649-$D650),($C650-$C649)&gt;0),$C650-$C649,0))</f>
        <v>0</v>
      </c>
      <c r="AF650">
        <f>IF(OR($E650="",$E649=""),"",IF(AND(($D649-$D650)&gt;($C650-$C649),($D649-$D650)&gt;0),$D649-$D650,0))</f>
        <v>0</v>
      </c>
      <c r="AG650">
        <f>IF(COUNT($E$2:$E650)&lt;15,"",IF(SUM($AC$637:$AC$650)=0,0,100*SUM($AE$637:$AE$650)/SUM($AC$637:$AC$650)))</f>
        <v>0</v>
      </c>
      <c r="AH650">
        <f>IF(COUNT($E$2:$E650)&lt;15,"",IF(SUM($AC$637:$AC$650)=0,0,100*SUM($AF$637:$AF$650)/SUM($AC$637:$AC$650)))</f>
        <v>0</v>
      </c>
      <c r="AI650">
        <f>IF(OR(AG650="",AH650=""),"",IF((AG650+AH650)=0,0,100*ABS(AG650-AH650)/(AG650+AH650)))</f>
        <v>0</v>
      </c>
      <c r="AJ650">
        <f>IF(COUNT($AI$637:$AI$650)&lt;14,"",AVERAGE($AI$637:$AI$650))</f>
        <v>0</v>
      </c>
      <c r="AK650">
        <f>IF(COUNT($E$2:$E650)&lt;20,"",AVERAGE($E$631:$E$650))</f>
        <v>0</v>
      </c>
      <c r="AL650">
        <f>IF(COUNT($E$2:$E650)&lt;20,"",STDEVP($E$631:$E$650))</f>
        <v>0</v>
      </c>
      <c r="AM650">
        <f>IF(AK650="","",AK650+2*AL650)</f>
        <v>0</v>
      </c>
      <c r="AN650">
        <f>IF(AK650="","",AK650-2*AL650)</f>
        <v>0</v>
      </c>
      <c r="AO650">
        <f>IF(OR(AM650="",AN650="",AM650=AN650),"",($E650-AN650)/(AM650-AN650))</f>
        <v>0</v>
      </c>
      <c r="AP650">
        <f>IF(OR(AM650="",AK650="",AK650=0),"",(AM650-AN650)/AK650)</f>
        <v>0</v>
      </c>
      <c r="AQ650">
        <f>IF(COUNT($E$2:$E650)&lt;20,"",MAX($C$631:$C$650))</f>
        <v>0</v>
      </c>
      <c r="AR650">
        <f>IF(COUNT($E$2:$E650)&lt;20,"",MIN($D$631:$D$650))</f>
        <v>0</v>
      </c>
      <c r="AS650">
        <f>IF(OR(AQ650="",AR650=""),"",(AQ650+AR650)/2)</f>
        <v>0</v>
      </c>
      <c r="AT650">
        <f>IF(COUNT($G$631:$G$650)&lt;20,"",STDEV($G$631:$G$650)*SQRT(252))</f>
        <v>0</v>
      </c>
      <c r="AU650">
        <f>IF(COUNT($E$2:$E650)&lt;9,"",(MAX($C$642:$C$650)+MIN($D$642:$D$650))/2)</f>
        <v>0</v>
      </c>
      <c r="AV650">
        <f>IF(COUNT($E$2:$E650)&lt;26,"",(MAX($C$625:$C$650)+MIN($D$625:$D$650))/2)</f>
        <v>0</v>
      </c>
      <c r="AW650">
        <f>IF(OR(AU650="",AV650=""),"",(AU650+AV650)/2)</f>
        <v>0</v>
      </c>
      <c r="AX650">
        <f>IF(COUNT($E$2:$E650)&lt;52,"",(MAX($C$599:$C$650)+MIN($D$599:$D$650))/2)</f>
        <v>0</v>
      </c>
      <c r="AY650">
        <f>IF(COUNT($E$2:$E650)&lt;20,"",MAX($C$551:$C$650))</f>
        <v>0</v>
      </c>
      <c r="AZ650">
        <f>IF(COUNT($E$2:$E650)&lt;20,"",MIN($D$551:$D$650))</f>
        <v>0</v>
      </c>
      <c r="BA650">
        <f>IF(COUNT($E$2:$E650)&lt;20,"",SLOPE($E$551:$E$650,$F$551:$F$650))</f>
        <v>0</v>
      </c>
      <c r="BB650">
        <f>IF(COUNT($E$2:$E650)&lt;20,"",INTERCEPT($E$551:$E$650,$F$551:$F$650))</f>
        <v>0</v>
      </c>
      <c r="BC650">
        <f>IF(OR(BA650="",BB650=""),"",BB650+BA650*F650)</f>
        <v>0</v>
      </c>
      <c r="BD650">
        <f>IF(COUNT($E$2:$E650)&lt;20,"",STEYX($E$551:$E$650,$F$551:$F$650))</f>
        <v>0</v>
      </c>
      <c r="BE650">
        <f>IF($E650="","",IF(AND(COUNT($E$651:$E$654)&gt;=4,$C650=MAX($C$646:$C$654)),$C650,""))</f>
        <v>0</v>
      </c>
      <c r="BF650">
        <f>IF($E650="","",IF(AND(COUNT($E$651:$E$654)&gt;=4,$D650=MIN($D$646:$D$654)),$D650,""))</f>
        <v>0</v>
      </c>
      <c r="BG650">
        <f>IF($A650="","",$A650-WEEKDAY($A650,2)+1)</f>
        <v>0</v>
      </c>
      <c r="BH650">
        <f>IF($A650="","",IF($A649="",1,IF(BG650&lt;&gt;BG649,1,0)))</f>
        <v>0</v>
      </c>
      <c r="BI650">
        <f>IF($A650="","",IF($A651="",1,IF(BG651&lt;&gt;BG650,1,0)))</f>
        <v>0</v>
      </c>
      <c r="BJ650">
        <f>IF($A650="","",IF(BH650=1,$B650,BJ649))</f>
        <v>0</v>
      </c>
      <c r="BK650">
        <f>IF($A650="","",IF(BH650=1,$C650,MAX($C650,BK649)))</f>
        <v>0</v>
      </c>
      <c r="BL650">
        <f>IF($A650="","",IF(BH650=1,$D650,MIN($D650,BL649)))</f>
        <v>0</v>
      </c>
      <c r="BM650">
        <f>IF($A650="","",IF(BI650=1,F650,""))</f>
        <v>0</v>
      </c>
      <c r="BN650">
        <f>IF($A650="","",DATE(YEAR($A650),MONTH($A650),1))</f>
        <v>0</v>
      </c>
      <c r="BO650">
        <f>IF($A650="","",IF($A649="",1,IF(BN650&lt;&gt;BN649,1,0)))</f>
        <v>0</v>
      </c>
      <c r="BP650">
        <f>IF($A650="","",IF($A651="",1,IF(BN651&lt;&gt;BN650,1,0)))</f>
        <v>0</v>
      </c>
      <c r="BQ650">
        <f>IF($A650="","",IF(BO650=1,$B650,BQ649))</f>
        <v>0</v>
      </c>
      <c r="BR650">
        <f>IF($A650="","",IF(BO650=1,$C650,MAX($C650,BR649)))</f>
        <v>0</v>
      </c>
      <c r="BS650">
        <f>IF($A650="","",IF(BO650=1,$D650,MIN($D650,BS649)))</f>
        <v>0</v>
      </c>
      <c r="BT650">
        <f>IF($A650="","",IF(BP650=1,F650,""))</f>
        <v>0</v>
      </c>
    </row>
    <row r="651" spans="1:72">
      <c r="A651" s="27">
        <f>IF(Data!$A651="","",Data!$A651)</f>
        <v>0</v>
      </c>
      <c r="B651">
        <f>IF(Data!$B651="","",Data!$B651)</f>
        <v>0</v>
      </c>
      <c r="C651">
        <f>IF(Data!$C651="","",Data!$C651)</f>
        <v>0</v>
      </c>
      <c r="D651">
        <f>IF(Data!$D651="","",Data!$D651)</f>
        <v>0</v>
      </c>
      <c r="E651">
        <f>IF(Data!$E651="","",Data!$E651)</f>
        <v>0</v>
      </c>
      <c r="F651">
        <f>IF($E651="","",N(F650)+1)</f>
        <v>0</v>
      </c>
      <c r="G651">
        <f>IF(OR($E651="",$E650=""),"",LN($E651/$E650))</f>
        <v>0</v>
      </c>
      <c r="H651">
        <f>IF($E651="","",IF($E650="",$E651,$E651*0.0952380952+H650*0.9047619048))</f>
        <v>0</v>
      </c>
      <c r="I651">
        <f>IF($E651="","",IF($E650="",$E651,$E651*0.0392156863+I650*0.9607843137))</f>
        <v>0</v>
      </c>
      <c r="J651">
        <f>IF($E651="","",IF($E650="",$E651,$E651*0.0198019802+J650*0.9801980198))</f>
        <v>0</v>
      </c>
      <c r="K651">
        <f>IF($E651="","",IF($E650="",$E651,$E651*0.0099502488+K650*0.9900497512))</f>
        <v>0</v>
      </c>
      <c r="L651">
        <f>IF(OR($E651="",$E650=""),"",MAX($E651-$E650,0))</f>
        <v>0</v>
      </c>
      <c r="M651">
        <f>IF(OR($E651="",$E650=""),"",MAX($E650-$E651,0))</f>
        <v>0</v>
      </c>
      <c r="N651">
        <f>IF(COUNT($E$2:$E651)&lt;15,"",IF(AVERAGE($M$638:$M$651)=0,100,100-100/(1+AVERAGE($L$638:$L$651)/AVERAGE($M$638:$M$651))))</f>
        <v>0</v>
      </c>
      <c r="O651">
        <f>IF($E651="","",IF($E650="",$E651,$E651*0.1538461538+O650*0.8461538462))</f>
        <v>0</v>
      </c>
      <c r="P651">
        <f>IF($E651="","",IF($E650="",$E651,$E651*0.0740740741+P650*0.9259259259))</f>
        <v>0</v>
      </c>
      <c r="Q651">
        <f>IF(OR(O651="",P651=""),"",O651-P651)</f>
        <v>0</v>
      </c>
      <c r="R651">
        <f>IF(Q651="","",IF(R650="",Q651,Q651*0.2000000000+R650*0.8000000000))</f>
        <v>0</v>
      </c>
      <c r="S651">
        <f>IF(OR(Q651="",R651=""),"",Q651-R651)</f>
        <v>0</v>
      </c>
      <c r="T651">
        <f>IF(COUNT($E$2:$E651)&lt;14,"",MAX($C$638:$C$651))</f>
        <v>0</v>
      </c>
      <c r="U651">
        <f>IF(COUNT($E$2:$E651)&lt;14,"",MIN($D$638:$D$651))</f>
        <v>0</v>
      </c>
      <c r="V651">
        <f>IF(OR(T651="",U651="",T651=U651),"",100*($E651-U651)/(T651-U651))</f>
        <v>0</v>
      </c>
      <c r="W651">
        <f>IF(COUNT($V$649:$V$651)&lt;3,"",AVERAGE($V$649:$V$651))</f>
        <v>0</v>
      </c>
      <c r="X651">
        <f>IF(COUNT($N$638:$N$651)&lt;14,"",MIN($N$638:$N$651))</f>
        <v>0</v>
      </c>
      <c r="Y651">
        <f>IF(COUNT($N$638:$N$651)&lt;14,"",MAX($N$638:$N$651))</f>
        <v>0</v>
      </c>
      <c r="Z651">
        <f>IF(OR(N651="",X651="",Y651="",Y651=X651),"",100*(N651-X651)/(Y651-X651))</f>
        <v>0</v>
      </c>
      <c r="AA651">
        <f>IF(COUNT($Z$649:$Z$651)&lt;3,"",AVERAGE($Z$649:$Z$651))</f>
        <v>0</v>
      </c>
      <c r="AB651">
        <f>IF(COUNT($AA$649:$AA$651)&lt;3,"",AVERAGE($AA$649:$AA$651))</f>
        <v>0</v>
      </c>
      <c r="AC651">
        <f>IF($E651="","",MAX($C651-$D651,ABS($C651-$E650),ABS($D651-$E650)))</f>
        <v>0</v>
      </c>
      <c r="AD651">
        <f>IF(COUNT($E$2:$E651)&lt;15,"",AVERAGE($AC$638:$AC$651))</f>
        <v>0</v>
      </c>
      <c r="AE651">
        <f>IF(OR($E651="",$E650=""),"",IF(AND(($C651-$C650)&gt;($D650-$D651),($C651-$C650)&gt;0),$C651-$C650,0))</f>
        <v>0</v>
      </c>
      <c r="AF651">
        <f>IF(OR($E651="",$E650=""),"",IF(AND(($D650-$D651)&gt;($C651-$C650),($D650-$D651)&gt;0),$D650-$D651,0))</f>
        <v>0</v>
      </c>
      <c r="AG651">
        <f>IF(COUNT($E$2:$E651)&lt;15,"",IF(SUM($AC$638:$AC$651)=0,0,100*SUM($AE$638:$AE$651)/SUM($AC$638:$AC$651)))</f>
        <v>0</v>
      </c>
      <c r="AH651">
        <f>IF(COUNT($E$2:$E651)&lt;15,"",IF(SUM($AC$638:$AC$651)=0,0,100*SUM($AF$638:$AF$651)/SUM($AC$638:$AC$651)))</f>
        <v>0</v>
      </c>
      <c r="AI651">
        <f>IF(OR(AG651="",AH651=""),"",IF((AG651+AH651)=0,0,100*ABS(AG651-AH651)/(AG651+AH651)))</f>
        <v>0</v>
      </c>
      <c r="AJ651">
        <f>IF(COUNT($AI$638:$AI$651)&lt;14,"",AVERAGE($AI$638:$AI$651))</f>
        <v>0</v>
      </c>
      <c r="AK651">
        <f>IF(COUNT($E$2:$E651)&lt;20,"",AVERAGE($E$632:$E$651))</f>
        <v>0</v>
      </c>
      <c r="AL651">
        <f>IF(COUNT($E$2:$E651)&lt;20,"",STDEVP($E$632:$E$651))</f>
        <v>0</v>
      </c>
      <c r="AM651">
        <f>IF(AK651="","",AK651+2*AL651)</f>
        <v>0</v>
      </c>
      <c r="AN651">
        <f>IF(AK651="","",AK651-2*AL651)</f>
        <v>0</v>
      </c>
      <c r="AO651">
        <f>IF(OR(AM651="",AN651="",AM651=AN651),"",($E651-AN651)/(AM651-AN651))</f>
        <v>0</v>
      </c>
      <c r="AP651">
        <f>IF(OR(AM651="",AK651="",AK651=0),"",(AM651-AN651)/AK651)</f>
        <v>0</v>
      </c>
      <c r="AQ651">
        <f>IF(COUNT($E$2:$E651)&lt;20,"",MAX($C$632:$C$651))</f>
        <v>0</v>
      </c>
      <c r="AR651">
        <f>IF(COUNT($E$2:$E651)&lt;20,"",MIN($D$632:$D$651))</f>
        <v>0</v>
      </c>
      <c r="AS651">
        <f>IF(OR(AQ651="",AR651=""),"",(AQ651+AR651)/2)</f>
        <v>0</v>
      </c>
      <c r="AT651">
        <f>IF(COUNT($G$632:$G$651)&lt;20,"",STDEV($G$632:$G$651)*SQRT(252))</f>
        <v>0</v>
      </c>
      <c r="AU651">
        <f>IF(COUNT($E$2:$E651)&lt;9,"",(MAX($C$643:$C$651)+MIN($D$643:$D$651))/2)</f>
        <v>0</v>
      </c>
      <c r="AV651">
        <f>IF(COUNT($E$2:$E651)&lt;26,"",(MAX($C$626:$C$651)+MIN($D$626:$D$651))/2)</f>
        <v>0</v>
      </c>
      <c r="AW651">
        <f>IF(OR(AU651="",AV651=""),"",(AU651+AV651)/2)</f>
        <v>0</v>
      </c>
      <c r="AX651">
        <f>IF(COUNT($E$2:$E651)&lt;52,"",(MAX($C$600:$C$651)+MIN($D$600:$D$651))/2)</f>
        <v>0</v>
      </c>
      <c r="AY651">
        <f>IF(COUNT($E$2:$E651)&lt;20,"",MAX($C$552:$C$651))</f>
        <v>0</v>
      </c>
      <c r="AZ651">
        <f>IF(COUNT($E$2:$E651)&lt;20,"",MIN($D$552:$D$651))</f>
        <v>0</v>
      </c>
      <c r="BA651">
        <f>IF(COUNT($E$2:$E651)&lt;20,"",SLOPE($E$552:$E$651,$F$552:$F$651))</f>
        <v>0</v>
      </c>
      <c r="BB651">
        <f>IF(COUNT($E$2:$E651)&lt;20,"",INTERCEPT($E$552:$E$651,$F$552:$F$651))</f>
        <v>0</v>
      </c>
      <c r="BC651">
        <f>IF(OR(BA651="",BB651=""),"",BB651+BA651*F651)</f>
        <v>0</v>
      </c>
      <c r="BD651">
        <f>IF(COUNT($E$2:$E651)&lt;20,"",STEYX($E$552:$E$651,$F$552:$F$651))</f>
        <v>0</v>
      </c>
      <c r="BE651">
        <f>IF($E651="","",IF(AND(COUNT($E$652:$E$655)&gt;=4,$C651=MAX($C$647:$C$655)),$C651,""))</f>
        <v>0</v>
      </c>
      <c r="BF651">
        <f>IF($E651="","",IF(AND(COUNT($E$652:$E$655)&gt;=4,$D651=MIN($D$647:$D$655)),$D651,""))</f>
        <v>0</v>
      </c>
      <c r="BG651">
        <f>IF($A651="","",$A651-WEEKDAY($A651,2)+1)</f>
        <v>0</v>
      </c>
      <c r="BH651">
        <f>IF($A651="","",IF($A650="",1,IF(BG651&lt;&gt;BG650,1,0)))</f>
        <v>0</v>
      </c>
      <c r="BI651">
        <f>IF($A651="","",IF($A652="",1,IF(BG652&lt;&gt;BG651,1,0)))</f>
        <v>0</v>
      </c>
      <c r="BJ651">
        <f>IF($A651="","",IF(BH651=1,$B651,BJ650))</f>
        <v>0</v>
      </c>
      <c r="BK651">
        <f>IF($A651="","",IF(BH651=1,$C651,MAX($C651,BK650)))</f>
        <v>0</v>
      </c>
      <c r="BL651">
        <f>IF($A651="","",IF(BH651=1,$D651,MIN($D651,BL650)))</f>
        <v>0</v>
      </c>
      <c r="BM651">
        <f>IF($A651="","",IF(BI651=1,F651,""))</f>
        <v>0</v>
      </c>
      <c r="BN651">
        <f>IF($A651="","",DATE(YEAR($A651),MONTH($A651),1))</f>
        <v>0</v>
      </c>
      <c r="BO651">
        <f>IF($A651="","",IF($A650="",1,IF(BN651&lt;&gt;BN650,1,0)))</f>
        <v>0</v>
      </c>
      <c r="BP651">
        <f>IF($A651="","",IF($A652="",1,IF(BN652&lt;&gt;BN651,1,0)))</f>
        <v>0</v>
      </c>
      <c r="BQ651">
        <f>IF($A651="","",IF(BO651=1,$B651,BQ650))</f>
        <v>0</v>
      </c>
      <c r="BR651">
        <f>IF($A651="","",IF(BO651=1,$C651,MAX($C651,BR650)))</f>
        <v>0</v>
      </c>
      <c r="BS651">
        <f>IF($A651="","",IF(BO651=1,$D651,MIN($D651,BS650)))</f>
        <v>0</v>
      </c>
      <c r="BT651">
        <f>IF($A651="","",IF(BP651=1,F651,""))</f>
        <v>0</v>
      </c>
    </row>
    <row r="652" spans="1:72">
      <c r="A652" s="27">
        <f>IF(Data!$A652="","",Data!$A652)</f>
        <v>0</v>
      </c>
      <c r="B652">
        <f>IF(Data!$B652="","",Data!$B652)</f>
        <v>0</v>
      </c>
      <c r="C652">
        <f>IF(Data!$C652="","",Data!$C652)</f>
        <v>0</v>
      </c>
      <c r="D652">
        <f>IF(Data!$D652="","",Data!$D652)</f>
        <v>0</v>
      </c>
      <c r="E652">
        <f>IF(Data!$E652="","",Data!$E652)</f>
        <v>0</v>
      </c>
      <c r="F652">
        <f>IF($E652="","",N(F651)+1)</f>
        <v>0</v>
      </c>
      <c r="G652">
        <f>IF(OR($E652="",$E651=""),"",LN($E652/$E651))</f>
        <v>0</v>
      </c>
      <c r="H652">
        <f>IF($E652="","",IF($E651="",$E652,$E652*0.0952380952+H651*0.9047619048))</f>
        <v>0</v>
      </c>
      <c r="I652">
        <f>IF($E652="","",IF($E651="",$E652,$E652*0.0392156863+I651*0.9607843137))</f>
        <v>0</v>
      </c>
      <c r="J652">
        <f>IF($E652="","",IF($E651="",$E652,$E652*0.0198019802+J651*0.9801980198))</f>
        <v>0</v>
      </c>
      <c r="K652">
        <f>IF($E652="","",IF($E651="",$E652,$E652*0.0099502488+K651*0.9900497512))</f>
        <v>0</v>
      </c>
      <c r="L652">
        <f>IF(OR($E652="",$E651=""),"",MAX($E652-$E651,0))</f>
        <v>0</v>
      </c>
      <c r="M652">
        <f>IF(OR($E652="",$E651=""),"",MAX($E651-$E652,0))</f>
        <v>0</v>
      </c>
      <c r="N652">
        <f>IF(COUNT($E$2:$E652)&lt;15,"",IF(AVERAGE($M$639:$M$652)=0,100,100-100/(1+AVERAGE($L$639:$L$652)/AVERAGE($M$639:$M$652))))</f>
        <v>0</v>
      </c>
      <c r="O652">
        <f>IF($E652="","",IF($E651="",$E652,$E652*0.1538461538+O651*0.8461538462))</f>
        <v>0</v>
      </c>
      <c r="P652">
        <f>IF($E652="","",IF($E651="",$E652,$E652*0.0740740741+P651*0.9259259259))</f>
        <v>0</v>
      </c>
      <c r="Q652">
        <f>IF(OR(O652="",P652=""),"",O652-P652)</f>
        <v>0</v>
      </c>
      <c r="R652">
        <f>IF(Q652="","",IF(R651="",Q652,Q652*0.2000000000+R651*0.8000000000))</f>
        <v>0</v>
      </c>
      <c r="S652">
        <f>IF(OR(Q652="",R652=""),"",Q652-R652)</f>
        <v>0</v>
      </c>
      <c r="T652">
        <f>IF(COUNT($E$2:$E652)&lt;14,"",MAX($C$639:$C$652))</f>
        <v>0</v>
      </c>
      <c r="U652">
        <f>IF(COUNT($E$2:$E652)&lt;14,"",MIN($D$639:$D$652))</f>
        <v>0</v>
      </c>
      <c r="V652">
        <f>IF(OR(T652="",U652="",T652=U652),"",100*($E652-U652)/(T652-U652))</f>
        <v>0</v>
      </c>
      <c r="W652">
        <f>IF(COUNT($V$650:$V$652)&lt;3,"",AVERAGE($V$650:$V$652))</f>
        <v>0</v>
      </c>
      <c r="X652">
        <f>IF(COUNT($N$639:$N$652)&lt;14,"",MIN($N$639:$N$652))</f>
        <v>0</v>
      </c>
      <c r="Y652">
        <f>IF(COUNT($N$639:$N$652)&lt;14,"",MAX($N$639:$N$652))</f>
        <v>0</v>
      </c>
      <c r="Z652">
        <f>IF(OR(N652="",X652="",Y652="",Y652=X652),"",100*(N652-X652)/(Y652-X652))</f>
        <v>0</v>
      </c>
      <c r="AA652">
        <f>IF(COUNT($Z$650:$Z$652)&lt;3,"",AVERAGE($Z$650:$Z$652))</f>
        <v>0</v>
      </c>
      <c r="AB652">
        <f>IF(COUNT($AA$650:$AA$652)&lt;3,"",AVERAGE($AA$650:$AA$652))</f>
        <v>0</v>
      </c>
      <c r="AC652">
        <f>IF($E652="","",MAX($C652-$D652,ABS($C652-$E651),ABS($D652-$E651)))</f>
        <v>0</v>
      </c>
      <c r="AD652">
        <f>IF(COUNT($E$2:$E652)&lt;15,"",AVERAGE($AC$639:$AC$652))</f>
        <v>0</v>
      </c>
      <c r="AE652">
        <f>IF(OR($E652="",$E651=""),"",IF(AND(($C652-$C651)&gt;($D651-$D652),($C652-$C651)&gt;0),$C652-$C651,0))</f>
        <v>0</v>
      </c>
      <c r="AF652">
        <f>IF(OR($E652="",$E651=""),"",IF(AND(($D651-$D652)&gt;($C652-$C651),($D651-$D652)&gt;0),$D651-$D652,0))</f>
        <v>0</v>
      </c>
      <c r="AG652">
        <f>IF(COUNT($E$2:$E652)&lt;15,"",IF(SUM($AC$639:$AC$652)=0,0,100*SUM($AE$639:$AE$652)/SUM($AC$639:$AC$652)))</f>
        <v>0</v>
      </c>
      <c r="AH652">
        <f>IF(COUNT($E$2:$E652)&lt;15,"",IF(SUM($AC$639:$AC$652)=0,0,100*SUM($AF$639:$AF$652)/SUM($AC$639:$AC$652)))</f>
        <v>0</v>
      </c>
      <c r="AI652">
        <f>IF(OR(AG652="",AH652=""),"",IF((AG652+AH652)=0,0,100*ABS(AG652-AH652)/(AG652+AH652)))</f>
        <v>0</v>
      </c>
      <c r="AJ652">
        <f>IF(COUNT($AI$639:$AI$652)&lt;14,"",AVERAGE($AI$639:$AI$652))</f>
        <v>0</v>
      </c>
      <c r="AK652">
        <f>IF(COUNT($E$2:$E652)&lt;20,"",AVERAGE($E$633:$E$652))</f>
        <v>0</v>
      </c>
      <c r="AL652">
        <f>IF(COUNT($E$2:$E652)&lt;20,"",STDEVP($E$633:$E$652))</f>
        <v>0</v>
      </c>
      <c r="AM652">
        <f>IF(AK652="","",AK652+2*AL652)</f>
        <v>0</v>
      </c>
      <c r="AN652">
        <f>IF(AK652="","",AK652-2*AL652)</f>
        <v>0</v>
      </c>
      <c r="AO652">
        <f>IF(OR(AM652="",AN652="",AM652=AN652),"",($E652-AN652)/(AM652-AN652))</f>
        <v>0</v>
      </c>
      <c r="AP652">
        <f>IF(OR(AM652="",AK652="",AK652=0),"",(AM652-AN652)/AK652)</f>
        <v>0</v>
      </c>
      <c r="AQ652">
        <f>IF(COUNT($E$2:$E652)&lt;20,"",MAX($C$633:$C$652))</f>
        <v>0</v>
      </c>
      <c r="AR652">
        <f>IF(COUNT($E$2:$E652)&lt;20,"",MIN($D$633:$D$652))</f>
        <v>0</v>
      </c>
      <c r="AS652">
        <f>IF(OR(AQ652="",AR652=""),"",(AQ652+AR652)/2)</f>
        <v>0</v>
      </c>
      <c r="AT652">
        <f>IF(COUNT($G$633:$G$652)&lt;20,"",STDEV($G$633:$G$652)*SQRT(252))</f>
        <v>0</v>
      </c>
      <c r="AU652">
        <f>IF(COUNT($E$2:$E652)&lt;9,"",(MAX($C$644:$C$652)+MIN($D$644:$D$652))/2)</f>
        <v>0</v>
      </c>
      <c r="AV652">
        <f>IF(COUNT($E$2:$E652)&lt;26,"",(MAX($C$627:$C$652)+MIN($D$627:$D$652))/2)</f>
        <v>0</v>
      </c>
      <c r="AW652">
        <f>IF(OR(AU652="",AV652=""),"",(AU652+AV652)/2)</f>
        <v>0</v>
      </c>
      <c r="AX652">
        <f>IF(COUNT($E$2:$E652)&lt;52,"",(MAX($C$601:$C$652)+MIN($D$601:$D$652))/2)</f>
        <v>0</v>
      </c>
      <c r="AY652">
        <f>IF(COUNT($E$2:$E652)&lt;20,"",MAX($C$553:$C$652))</f>
        <v>0</v>
      </c>
      <c r="AZ652">
        <f>IF(COUNT($E$2:$E652)&lt;20,"",MIN($D$553:$D$652))</f>
        <v>0</v>
      </c>
      <c r="BA652">
        <f>IF(COUNT($E$2:$E652)&lt;20,"",SLOPE($E$553:$E$652,$F$553:$F$652))</f>
        <v>0</v>
      </c>
      <c r="BB652">
        <f>IF(COUNT($E$2:$E652)&lt;20,"",INTERCEPT($E$553:$E$652,$F$553:$F$652))</f>
        <v>0</v>
      </c>
      <c r="BC652">
        <f>IF(OR(BA652="",BB652=""),"",BB652+BA652*F652)</f>
        <v>0</v>
      </c>
      <c r="BD652">
        <f>IF(COUNT($E$2:$E652)&lt;20,"",STEYX($E$553:$E$652,$F$553:$F$652))</f>
        <v>0</v>
      </c>
      <c r="BE652">
        <f>IF($E652="","",IF(AND(COUNT($E$653:$E$656)&gt;=4,$C652=MAX($C$648:$C$656)),$C652,""))</f>
        <v>0</v>
      </c>
      <c r="BF652">
        <f>IF($E652="","",IF(AND(COUNT($E$653:$E$656)&gt;=4,$D652=MIN($D$648:$D$656)),$D652,""))</f>
        <v>0</v>
      </c>
      <c r="BG652">
        <f>IF($A652="","",$A652-WEEKDAY($A652,2)+1)</f>
        <v>0</v>
      </c>
      <c r="BH652">
        <f>IF($A652="","",IF($A651="",1,IF(BG652&lt;&gt;BG651,1,0)))</f>
        <v>0</v>
      </c>
      <c r="BI652">
        <f>IF($A652="","",IF($A653="",1,IF(BG653&lt;&gt;BG652,1,0)))</f>
        <v>0</v>
      </c>
      <c r="BJ652">
        <f>IF($A652="","",IF(BH652=1,$B652,BJ651))</f>
        <v>0</v>
      </c>
      <c r="BK652">
        <f>IF($A652="","",IF(BH652=1,$C652,MAX($C652,BK651)))</f>
        <v>0</v>
      </c>
      <c r="BL652">
        <f>IF($A652="","",IF(BH652=1,$D652,MIN($D652,BL651)))</f>
        <v>0</v>
      </c>
      <c r="BM652">
        <f>IF($A652="","",IF(BI652=1,F652,""))</f>
        <v>0</v>
      </c>
      <c r="BN652">
        <f>IF($A652="","",DATE(YEAR($A652),MONTH($A652),1))</f>
        <v>0</v>
      </c>
      <c r="BO652">
        <f>IF($A652="","",IF($A651="",1,IF(BN652&lt;&gt;BN651,1,0)))</f>
        <v>0</v>
      </c>
      <c r="BP652">
        <f>IF($A652="","",IF($A653="",1,IF(BN653&lt;&gt;BN652,1,0)))</f>
        <v>0</v>
      </c>
      <c r="BQ652">
        <f>IF($A652="","",IF(BO652=1,$B652,BQ651))</f>
        <v>0</v>
      </c>
      <c r="BR652">
        <f>IF($A652="","",IF(BO652=1,$C652,MAX($C652,BR651)))</f>
        <v>0</v>
      </c>
      <c r="BS652">
        <f>IF($A652="","",IF(BO652=1,$D652,MIN($D652,BS651)))</f>
        <v>0</v>
      </c>
      <c r="BT652">
        <f>IF($A652="","",IF(BP652=1,F652,""))</f>
        <v>0</v>
      </c>
    </row>
    <row r="653" spans="1:72">
      <c r="A653" s="27">
        <f>IF(Data!$A653="","",Data!$A653)</f>
        <v>0</v>
      </c>
      <c r="B653">
        <f>IF(Data!$B653="","",Data!$B653)</f>
        <v>0</v>
      </c>
      <c r="C653">
        <f>IF(Data!$C653="","",Data!$C653)</f>
        <v>0</v>
      </c>
      <c r="D653">
        <f>IF(Data!$D653="","",Data!$D653)</f>
        <v>0</v>
      </c>
      <c r="E653">
        <f>IF(Data!$E653="","",Data!$E653)</f>
        <v>0</v>
      </c>
      <c r="F653">
        <f>IF($E653="","",N(F652)+1)</f>
        <v>0</v>
      </c>
      <c r="G653">
        <f>IF(OR($E653="",$E652=""),"",LN($E653/$E652))</f>
        <v>0</v>
      </c>
      <c r="H653">
        <f>IF($E653="","",IF($E652="",$E653,$E653*0.0952380952+H652*0.9047619048))</f>
        <v>0</v>
      </c>
      <c r="I653">
        <f>IF($E653="","",IF($E652="",$E653,$E653*0.0392156863+I652*0.9607843137))</f>
        <v>0</v>
      </c>
      <c r="J653">
        <f>IF($E653="","",IF($E652="",$E653,$E653*0.0198019802+J652*0.9801980198))</f>
        <v>0</v>
      </c>
      <c r="K653">
        <f>IF($E653="","",IF($E652="",$E653,$E653*0.0099502488+K652*0.9900497512))</f>
        <v>0</v>
      </c>
      <c r="L653">
        <f>IF(OR($E653="",$E652=""),"",MAX($E653-$E652,0))</f>
        <v>0</v>
      </c>
      <c r="M653">
        <f>IF(OR($E653="",$E652=""),"",MAX($E652-$E653,0))</f>
        <v>0</v>
      </c>
      <c r="N653">
        <f>IF(COUNT($E$2:$E653)&lt;15,"",IF(AVERAGE($M$640:$M$653)=0,100,100-100/(1+AVERAGE($L$640:$L$653)/AVERAGE($M$640:$M$653))))</f>
        <v>0</v>
      </c>
      <c r="O653">
        <f>IF($E653="","",IF($E652="",$E653,$E653*0.1538461538+O652*0.8461538462))</f>
        <v>0</v>
      </c>
      <c r="P653">
        <f>IF($E653="","",IF($E652="",$E653,$E653*0.0740740741+P652*0.9259259259))</f>
        <v>0</v>
      </c>
      <c r="Q653">
        <f>IF(OR(O653="",P653=""),"",O653-P653)</f>
        <v>0</v>
      </c>
      <c r="R653">
        <f>IF(Q653="","",IF(R652="",Q653,Q653*0.2000000000+R652*0.8000000000))</f>
        <v>0</v>
      </c>
      <c r="S653">
        <f>IF(OR(Q653="",R653=""),"",Q653-R653)</f>
        <v>0</v>
      </c>
      <c r="T653">
        <f>IF(COUNT($E$2:$E653)&lt;14,"",MAX($C$640:$C$653))</f>
        <v>0</v>
      </c>
      <c r="U653">
        <f>IF(COUNT($E$2:$E653)&lt;14,"",MIN($D$640:$D$653))</f>
        <v>0</v>
      </c>
      <c r="V653">
        <f>IF(OR(T653="",U653="",T653=U653),"",100*($E653-U653)/(T653-U653))</f>
        <v>0</v>
      </c>
      <c r="W653">
        <f>IF(COUNT($V$651:$V$653)&lt;3,"",AVERAGE($V$651:$V$653))</f>
        <v>0</v>
      </c>
      <c r="X653">
        <f>IF(COUNT($N$640:$N$653)&lt;14,"",MIN($N$640:$N$653))</f>
        <v>0</v>
      </c>
      <c r="Y653">
        <f>IF(COUNT($N$640:$N$653)&lt;14,"",MAX($N$640:$N$653))</f>
        <v>0</v>
      </c>
      <c r="Z653">
        <f>IF(OR(N653="",X653="",Y653="",Y653=X653),"",100*(N653-X653)/(Y653-X653))</f>
        <v>0</v>
      </c>
      <c r="AA653">
        <f>IF(COUNT($Z$651:$Z$653)&lt;3,"",AVERAGE($Z$651:$Z$653))</f>
        <v>0</v>
      </c>
      <c r="AB653">
        <f>IF(COUNT($AA$651:$AA$653)&lt;3,"",AVERAGE($AA$651:$AA$653))</f>
        <v>0</v>
      </c>
      <c r="AC653">
        <f>IF($E653="","",MAX($C653-$D653,ABS($C653-$E652),ABS($D653-$E652)))</f>
        <v>0</v>
      </c>
      <c r="AD653">
        <f>IF(COUNT($E$2:$E653)&lt;15,"",AVERAGE($AC$640:$AC$653))</f>
        <v>0</v>
      </c>
      <c r="AE653">
        <f>IF(OR($E653="",$E652=""),"",IF(AND(($C653-$C652)&gt;($D652-$D653),($C653-$C652)&gt;0),$C653-$C652,0))</f>
        <v>0</v>
      </c>
      <c r="AF653">
        <f>IF(OR($E653="",$E652=""),"",IF(AND(($D652-$D653)&gt;($C653-$C652),($D652-$D653)&gt;0),$D652-$D653,0))</f>
        <v>0</v>
      </c>
      <c r="AG653">
        <f>IF(COUNT($E$2:$E653)&lt;15,"",IF(SUM($AC$640:$AC$653)=0,0,100*SUM($AE$640:$AE$653)/SUM($AC$640:$AC$653)))</f>
        <v>0</v>
      </c>
      <c r="AH653">
        <f>IF(COUNT($E$2:$E653)&lt;15,"",IF(SUM($AC$640:$AC$653)=0,0,100*SUM($AF$640:$AF$653)/SUM($AC$640:$AC$653)))</f>
        <v>0</v>
      </c>
      <c r="AI653">
        <f>IF(OR(AG653="",AH653=""),"",IF((AG653+AH653)=0,0,100*ABS(AG653-AH653)/(AG653+AH653)))</f>
        <v>0</v>
      </c>
      <c r="AJ653">
        <f>IF(COUNT($AI$640:$AI$653)&lt;14,"",AVERAGE($AI$640:$AI$653))</f>
        <v>0</v>
      </c>
      <c r="AK653">
        <f>IF(COUNT($E$2:$E653)&lt;20,"",AVERAGE($E$634:$E$653))</f>
        <v>0</v>
      </c>
      <c r="AL653">
        <f>IF(COUNT($E$2:$E653)&lt;20,"",STDEVP($E$634:$E$653))</f>
        <v>0</v>
      </c>
      <c r="AM653">
        <f>IF(AK653="","",AK653+2*AL653)</f>
        <v>0</v>
      </c>
      <c r="AN653">
        <f>IF(AK653="","",AK653-2*AL653)</f>
        <v>0</v>
      </c>
      <c r="AO653">
        <f>IF(OR(AM653="",AN653="",AM653=AN653),"",($E653-AN653)/(AM653-AN653))</f>
        <v>0</v>
      </c>
      <c r="AP653">
        <f>IF(OR(AM653="",AK653="",AK653=0),"",(AM653-AN653)/AK653)</f>
        <v>0</v>
      </c>
      <c r="AQ653">
        <f>IF(COUNT($E$2:$E653)&lt;20,"",MAX($C$634:$C$653))</f>
        <v>0</v>
      </c>
      <c r="AR653">
        <f>IF(COUNT($E$2:$E653)&lt;20,"",MIN($D$634:$D$653))</f>
        <v>0</v>
      </c>
      <c r="AS653">
        <f>IF(OR(AQ653="",AR653=""),"",(AQ653+AR653)/2)</f>
        <v>0</v>
      </c>
      <c r="AT653">
        <f>IF(COUNT($G$634:$G$653)&lt;20,"",STDEV($G$634:$G$653)*SQRT(252))</f>
        <v>0</v>
      </c>
      <c r="AU653">
        <f>IF(COUNT($E$2:$E653)&lt;9,"",(MAX($C$645:$C$653)+MIN($D$645:$D$653))/2)</f>
        <v>0</v>
      </c>
      <c r="AV653">
        <f>IF(COUNT($E$2:$E653)&lt;26,"",(MAX($C$628:$C$653)+MIN($D$628:$D$653))/2)</f>
        <v>0</v>
      </c>
      <c r="AW653">
        <f>IF(OR(AU653="",AV653=""),"",(AU653+AV653)/2)</f>
        <v>0</v>
      </c>
      <c r="AX653">
        <f>IF(COUNT($E$2:$E653)&lt;52,"",(MAX($C$602:$C$653)+MIN($D$602:$D$653))/2)</f>
        <v>0</v>
      </c>
      <c r="AY653">
        <f>IF(COUNT($E$2:$E653)&lt;20,"",MAX($C$554:$C$653))</f>
        <v>0</v>
      </c>
      <c r="AZ653">
        <f>IF(COUNT($E$2:$E653)&lt;20,"",MIN($D$554:$D$653))</f>
        <v>0</v>
      </c>
      <c r="BA653">
        <f>IF(COUNT($E$2:$E653)&lt;20,"",SLOPE($E$554:$E$653,$F$554:$F$653))</f>
        <v>0</v>
      </c>
      <c r="BB653">
        <f>IF(COUNT($E$2:$E653)&lt;20,"",INTERCEPT($E$554:$E$653,$F$554:$F$653))</f>
        <v>0</v>
      </c>
      <c r="BC653">
        <f>IF(OR(BA653="",BB653=""),"",BB653+BA653*F653)</f>
        <v>0</v>
      </c>
      <c r="BD653">
        <f>IF(COUNT($E$2:$E653)&lt;20,"",STEYX($E$554:$E$653,$F$554:$F$653))</f>
        <v>0</v>
      </c>
      <c r="BE653">
        <f>IF($E653="","",IF(AND(COUNT($E$654:$E$657)&gt;=4,$C653=MAX($C$649:$C$657)),$C653,""))</f>
        <v>0</v>
      </c>
      <c r="BF653">
        <f>IF($E653="","",IF(AND(COUNT($E$654:$E$657)&gt;=4,$D653=MIN($D$649:$D$657)),$D653,""))</f>
        <v>0</v>
      </c>
      <c r="BG653">
        <f>IF($A653="","",$A653-WEEKDAY($A653,2)+1)</f>
        <v>0</v>
      </c>
      <c r="BH653">
        <f>IF($A653="","",IF($A652="",1,IF(BG653&lt;&gt;BG652,1,0)))</f>
        <v>0</v>
      </c>
      <c r="BI653">
        <f>IF($A653="","",IF($A654="",1,IF(BG654&lt;&gt;BG653,1,0)))</f>
        <v>0</v>
      </c>
      <c r="BJ653">
        <f>IF($A653="","",IF(BH653=1,$B653,BJ652))</f>
        <v>0</v>
      </c>
      <c r="BK653">
        <f>IF($A653="","",IF(BH653=1,$C653,MAX($C653,BK652)))</f>
        <v>0</v>
      </c>
      <c r="BL653">
        <f>IF($A653="","",IF(BH653=1,$D653,MIN($D653,BL652)))</f>
        <v>0</v>
      </c>
      <c r="BM653">
        <f>IF($A653="","",IF(BI653=1,F653,""))</f>
        <v>0</v>
      </c>
      <c r="BN653">
        <f>IF($A653="","",DATE(YEAR($A653),MONTH($A653),1))</f>
        <v>0</v>
      </c>
      <c r="BO653">
        <f>IF($A653="","",IF($A652="",1,IF(BN653&lt;&gt;BN652,1,0)))</f>
        <v>0</v>
      </c>
      <c r="BP653">
        <f>IF($A653="","",IF($A654="",1,IF(BN654&lt;&gt;BN653,1,0)))</f>
        <v>0</v>
      </c>
      <c r="BQ653">
        <f>IF($A653="","",IF(BO653=1,$B653,BQ652))</f>
        <v>0</v>
      </c>
      <c r="BR653">
        <f>IF($A653="","",IF(BO653=1,$C653,MAX($C653,BR652)))</f>
        <v>0</v>
      </c>
      <c r="BS653">
        <f>IF($A653="","",IF(BO653=1,$D653,MIN($D653,BS652)))</f>
        <v>0</v>
      </c>
      <c r="BT653">
        <f>IF($A653="","",IF(BP653=1,F653,""))</f>
        <v>0</v>
      </c>
    </row>
    <row r="654" spans="1:72">
      <c r="A654" s="27">
        <f>IF(Data!$A654="","",Data!$A654)</f>
        <v>0</v>
      </c>
      <c r="B654">
        <f>IF(Data!$B654="","",Data!$B654)</f>
        <v>0</v>
      </c>
      <c r="C654">
        <f>IF(Data!$C654="","",Data!$C654)</f>
        <v>0</v>
      </c>
      <c r="D654">
        <f>IF(Data!$D654="","",Data!$D654)</f>
        <v>0</v>
      </c>
      <c r="E654">
        <f>IF(Data!$E654="","",Data!$E654)</f>
        <v>0</v>
      </c>
      <c r="F654">
        <f>IF($E654="","",N(F653)+1)</f>
        <v>0</v>
      </c>
      <c r="G654">
        <f>IF(OR($E654="",$E653=""),"",LN($E654/$E653))</f>
        <v>0</v>
      </c>
      <c r="H654">
        <f>IF($E654="","",IF($E653="",$E654,$E654*0.0952380952+H653*0.9047619048))</f>
        <v>0</v>
      </c>
      <c r="I654">
        <f>IF($E654="","",IF($E653="",$E654,$E654*0.0392156863+I653*0.9607843137))</f>
        <v>0</v>
      </c>
      <c r="J654">
        <f>IF($E654="","",IF($E653="",$E654,$E654*0.0198019802+J653*0.9801980198))</f>
        <v>0</v>
      </c>
      <c r="K654">
        <f>IF($E654="","",IF($E653="",$E654,$E654*0.0099502488+K653*0.9900497512))</f>
        <v>0</v>
      </c>
      <c r="L654">
        <f>IF(OR($E654="",$E653=""),"",MAX($E654-$E653,0))</f>
        <v>0</v>
      </c>
      <c r="M654">
        <f>IF(OR($E654="",$E653=""),"",MAX($E653-$E654,0))</f>
        <v>0</v>
      </c>
      <c r="N654">
        <f>IF(COUNT($E$2:$E654)&lt;15,"",IF(AVERAGE($M$641:$M$654)=0,100,100-100/(1+AVERAGE($L$641:$L$654)/AVERAGE($M$641:$M$654))))</f>
        <v>0</v>
      </c>
      <c r="O654">
        <f>IF($E654="","",IF($E653="",$E654,$E654*0.1538461538+O653*0.8461538462))</f>
        <v>0</v>
      </c>
      <c r="P654">
        <f>IF($E654="","",IF($E653="",$E654,$E654*0.0740740741+P653*0.9259259259))</f>
        <v>0</v>
      </c>
      <c r="Q654">
        <f>IF(OR(O654="",P654=""),"",O654-P654)</f>
        <v>0</v>
      </c>
      <c r="R654">
        <f>IF(Q654="","",IF(R653="",Q654,Q654*0.2000000000+R653*0.8000000000))</f>
        <v>0</v>
      </c>
      <c r="S654">
        <f>IF(OR(Q654="",R654=""),"",Q654-R654)</f>
        <v>0</v>
      </c>
      <c r="T654">
        <f>IF(COUNT($E$2:$E654)&lt;14,"",MAX($C$641:$C$654))</f>
        <v>0</v>
      </c>
      <c r="U654">
        <f>IF(COUNT($E$2:$E654)&lt;14,"",MIN($D$641:$D$654))</f>
        <v>0</v>
      </c>
      <c r="V654">
        <f>IF(OR(T654="",U654="",T654=U654),"",100*($E654-U654)/(T654-U654))</f>
        <v>0</v>
      </c>
      <c r="W654">
        <f>IF(COUNT($V$652:$V$654)&lt;3,"",AVERAGE($V$652:$V$654))</f>
        <v>0</v>
      </c>
      <c r="X654">
        <f>IF(COUNT($N$641:$N$654)&lt;14,"",MIN($N$641:$N$654))</f>
        <v>0</v>
      </c>
      <c r="Y654">
        <f>IF(COUNT($N$641:$N$654)&lt;14,"",MAX($N$641:$N$654))</f>
        <v>0</v>
      </c>
      <c r="Z654">
        <f>IF(OR(N654="",X654="",Y654="",Y654=X654),"",100*(N654-X654)/(Y654-X654))</f>
        <v>0</v>
      </c>
      <c r="AA654">
        <f>IF(COUNT($Z$652:$Z$654)&lt;3,"",AVERAGE($Z$652:$Z$654))</f>
        <v>0</v>
      </c>
      <c r="AB654">
        <f>IF(COUNT($AA$652:$AA$654)&lt;3,"",AVERAGE($AA$652:$AA$654))</f>
        <v>0</v>
      </c>
      <c r="AC654">
        <f>IF($E654="","",MAX($C654-$D654,ABS($C654-$E653),ABS($D654-$E653)))</f>
        <v>0</v>
      </c>
      <c r="AD654">
        <f>IF(COUNT($E$2:$E654)&lt;15,"",AVERAGE($AC$641:$AC$654))</f>
        <v>0</v>
      </c>
      <c r="AE654">
        <f>IF(OR($E654="",$E653=""),"",IF(AND(($C654-$C653)&gt;($D653-$D654),($C654-$C653)&gt;0),$C654-$C653,0))</f>
        <v>0</v>
      </c>
      <c r="AF654">
        <f>IF(OR($E654="",$E653=""),"",IF(AND(($D653-$D654)&gt;($C654-$C653),($D653-$D654)&gt;0),$D653-$D654,0))</f>
        <v>0</v>
      </c>
      <c r="AG654">
        <f>IF(COUNT($E$2:$E654)&lt;15,"",IF(SUM($AC$641:$AC$654)=0,0,100*SUM($AE$641:$AE$654)/SUM($AC$641:$AC$654)))</f>
        <v>0</v>
      </c>
      <c r="AH654">
        <f>IF(COUNT($E$2:$E654)&lt;15,"",IF(SUM($AC$641:$AC$654)=0,0,100*SUM($AF$641:$AF$654)/SUM($AC$641:$AC$654)))</f>
        <v>0</v>
      </c>
      <c r="AI654">
        <f>IF(OR(AG654="",AH654=""),"",IF((AG654+AH654)=0,0,100*ABS(AG654-AH654)/(AG654+AH654)))</f>
        <v>0</v>
      </c>
      <c r="AJ654">
        <f>IF(COUNT($AI$641:$AI$654)&lt;14,"",AVERAGE($AI$641:$AI$654))</f>
        <v>0</v>
      </c>
      <c r="AK654">
        <f>IF(COUNT($E$2:$E654)&lt;20,"",AVERAGE($E$635:$E$654))</f>
        <v>0</v>
      </c>
      <c r="AL654">
        <f>IF(COUNT($E$2:$E654)&lt;20,"",STDEVP($E$635:$E$654))</f>
        <v>0</v>
      </c>
      <c r="AM654">
        <f>IF(AK654="","",AK654+2*AL654)</f>
        <v>0</v>
      </c>
      <c r="AN654">
        <f>IF(AK654="","",AK654-2*AL654)</f>
        <v>0</v>
      </c>
      <c r="AO654">
        <f>IF(OR(AM654="",AN654="",AM654=AN654),"",($E654-AN654)/(AM654-AN654))</f>
        <v>0</v>
      </c>
      <c r="AP654">
        <f>IF(OR(AM654="",AK654="",AK654=0),"",(AM654-AN654)/AK654)</f>
        <v>0</v>
      </c>
      <c r="AQ654">
        <f>IF(COUNT($E$2:$E654)&lt;20,"",MAX($C$635:$C$654))</f>
        <v>0</v>
      </c>
      <c r="AR654">
        <f>IF(COUNT($E$2:$E654)&lt;20,"",MIN($D$635:$D$654))</f>
        <v>0</v>
      </c>
      <c r="AS654">
        <f>IF(OR(AQ654="",AR654=""),"",(AQ654+AR654)/2)</f>
        <v>0</v>
      </c>
      <c r="AT654">
        <f>IF(COUNT($G$635:$G$654)&lt;20,"",STDEV($G$635:$G$654)*SQRT(252))</f>
        <v>0</v>
      </c>
      <c r="AU654">
        <f>IF(COUNT($E$2:$E654)&lt;9,"",(MAX($C$646:$C$654)+MIN($D$646:$D$654))/2)</f>
        <v>0</v>
      </c>
      <c r="AV654">
        <f>IF(COUNT($E$2:$E654)&lt;26,"",(MAX($C$629:$C$654)+MIN($D$629:$D$654))/2)</f>
        <v>0</v>
      </c>
      <c r="AW654">
        <f>IF(OR(AU654="",AV654=""),"",(AU654+AV654)/2)</f>
        <v>0</v>
      </c>
      <c r="AX654">
        <f>IF(COUNT($E$2:$E654)&lt;52,"",(MAX($C$603:$C$654)+MIN($D$603:$D$654))/2)</f>
        <v>0</v>
      </c>
      <c r="AY654">
        <f>IF(COUNT($E$2:$E654)&lt;20,"",MAX($C$555:$C$654))</f>
        <v>0</v>
      </c>
      <c r="AZ654">
        <f>IF(COUNT($E$2:$E654)&lt;20,"",MIN($D$555:$D$654))</f>
        <v>0</v>
      </c>
      <c r="BA654">
        <f>IF(COUNT($E$2:$E654)&lt;20,"",SLOPE($E$555:$E$654,$F$555:$F$654))</f>
        <v>0</v>
      </c>
      <c r="BB654">
        <f>IF(COUNT($E$2:$E654)&lt;20,"",INTERCEPT($E$555:$E$654,$F$555:$F$654))</f>
        <v>0</v>
      </c>
      <c r="BC654">
        <f>IF(OR(BA654="",BB654=""),"",BB654+BA654*F654)</f>
        <v>0</v>
      </c>
      <c r="BD654">
        <f>IF(COUNT($E$2:$E654)&lt;20,"",STEYX($E$555:$E$654,$F$555:$F$654))</f>
        <v>0</v>
      </c>
      <c r="BE654">
        <f>IF($E654="","",IF(AND(COUNT($E$655:$E$658)&gt;=4,$C654=MAX($C$650:$C$658)),$C654,""))</f>
        <v>0</v>
      </c>
      <c r="BF654">
        <f>IF($E654="","",IF(AND(COUNT($E$655:$E$658)&gt;=4,$D654=MIN($D$650:$D$658)),$D654,""))</f>
        <v>0</v>
      </c>
      <c r="BG654">
        <f>IF($A654="","",$A654-WEEKDAY($A654,2)+1)</f>
        <v>0</v>
      </c>
      <c r="BH654">
        <f>IF($A654="","",IF($A653="",1,IF(BG654&lt;&gt;BG653,1,0)))</f>
        <v>0</v>
      </c>
      <c r="BI654">
        <f>IF($A654="","",IF($A655="",1,IF(BG655&lt;&gt;BG654,1,0)))</f>
        <v>0</v>
      </c>
      <c r="BJ654">
        <f>IF($A654="","",IF(BH654=1,$B654,BJ653))</f>
        <v>0</v>
      </c>
      <c r="BK654">
        <f>IF($A654="","",IF(BH654=1,$C654,MAX($C654,BK653)))</f>
        <v>0</v>
      </c>
      <c r="BL654">
        <f>IF($A654="","",IF(BH654=1,$D654,MIN($D654,BL653)))</f>
        <v>0</v>
      </c>
      <c r="BM654">
        <f>IF($A654="","",IF(BI654=1,F654,""))</f>
        <v>0</v>
      </c>
      <c r="BN654">
        <f>IF($A654="","",DATE(YEAR($A654),MONTH($A654),1))</f>
        <v>0</v>
      </c>
      <c r="BO654">
        <f>IF($A654="","",IF($A653="",1,IF(BN654&lt;&gt;BN653,1,0)))</f>
        <v>0</v>
      </c>
      <c r="BP654">
        <f>IF($A654="","",IF($A655="",1,IF(BN655&lt;&gt;BN654,1,0)))</f>
        <v>0</v>
      </c>
      <c r="BQ654">
        <f>IF($A654="","",IF(BO654=1,$B654,BQ653))</f>
        <v>0</v>
      </c>
      <c r="BR654">
        <f>IF($A654="","",IF(BO654=1,$C654,MAX($C654,BR653)))</f>
        <v>0</v>
      </c>
      <c r="BS654">
        <f>IF($A654="","",IF(BO654=1,$D654,MIN($D654,BS653)))</f>
        <v>0</v>
      </c>
      <c r="BT654">
        <f>IF($A654="","",IF(BP654=1,F654,""))</f>
        <v>0</v>
      </c>
    </row>
    <row r="655" spans="1:72">
      <c r="A655" s="27">
        <f>IF(Data!$A655="","",Data!$A655)</f>
        <v>0</v>
      </c>
      <c r="B655">
        <f>IF(Data!$B655="","",Data!$B655)</f>
        <v>0</v>
      </c>
      <c r="C655">
        <f>IF(Data!$C655="","",Data!$C655)</f>
        <v>0</v>
      </c>
      <c r="D655">
        <f>IF(Data!$D655="","",Data!$D655)</f>
        <v>0</v>
      </c>
      <c r="E655">
        <f>IF(Data!$E655="","",Data!$E655)</f>
        <v>0</v>
      </c>
      <c r="F655">
        <f>IF($E655="","",N(F654)+1)</f>
        <v>0</v>
      </c>
      <c r="G655">
        <f>IF(OR($E655="",$E654=""),"",LN($E655/$E654))</f>
        <v>0</v>
      </c>
      <c r="H655">
        <f>IF($E655="","",IF($E654="",$E655,$E655*0.0952380952+H654*0.9047619048))</f>
        <v>0</v>
      </c>
      <c r="I655">
        <f>IF($E655="","",IF($E654="",$E655,$E655*0.0392156863+I654*0.9607843137))</f>
        <v>0</v>
      </c>
      <c r="J655">
        <f>IF($E655="","",IF($E654="",$E655,$E655*0.0198019802+J654*0.9801980198))</f>
        <v>0</v>
      </c>
      <c r="K655">
        <f>IF($E655="","",IF($E654="",$E655,$E655*0.0099502488+K654*0.9900497512))</f>
        <v>0</v>
      </c>
      <c r="L655">
        <f>IF(OR($E655="",$E654=""),"",MAX($E655-$E654,0))</f>
        <v>0</v>
      </c>
      <c r="M655">
        <f>IF(OR($E655="",$E654=""),"",MAX($E654-$E655,0))</f>
        <v>0</v>
      </c>
      <c r="N655">
        <f>IF(COUNT($E$2:$E655)&lt;15,"",IF(AVERAGE($M$642:$M$655)=0,100,100-100/(1+AVERAGE($L$642:$L$655)/AVERAGE($M$642:$M$655))))</f>
        <v>0</v>
      </c>
      <c r="O655">
        <f>IF($E655="","",IF($E654="",$E655,$E655*0.1538461538+O654*0.8461538462))</f>
        <v>0</v>
      </c>
      <c r="P655">
        <f>IF($E655="","",IF($E654="",$E655,$E655*0.0740740741+P654*0.9259259259))</f>
        <v>0</v>
      </c>
      <c r="Q655">
        <f>IF(OR(O655="",P655=""),"",O655-P655)</f>
        <v>0</v>
      </c>
      <c r="R655">
        <f>IF(Q655="","",IF(R654="",Q655,Q655*0.2000000000+R654*0.8000000000))</f>
        <v>0</v>
      </c>
      <c r="S655">
        <f>IF(OR(Q655="",R655=""),"",Q655-R655)</f>
        <v>0</v>
      </c>
      <c r="T655">
        <f>IF(COUNT($E$2:$E655)&lt;14,"",MAX($C$642:$C$655))</f>
        <v>0</v>
      </c>
      <c r="U655">
        <f>IF(COUNT($E$2:$E655)&lt;14,"",MIN($D$642:$D$655))</f>
        <v>0</v>
      </c>
      <c r="V655">
        <f>IF(OR(T655="",U655="",T655=U655),"",100*($E655-U655)/(T655-U655))</f>
        <v>0</v>
      </c>
      <c r="W655">
        <f>IF(COUNT($V$653:$V$655)&lt;3,"",AVERAGE($V$653:$V$655))</f>
        <v>0</v>
      </c>
      <c r="X655">
        <f>IF(COUNT($N$642:$N$655)&lt;14,"",MIN($N$642:$N$655))</f>
        <v>0</v>
      </c>
      <c r="Y655">
        <f>IF(COUNT($N$642:$N$655)&lt;14,"",MAX($N$642:$N$655))</f>
        <v>0</v>
      </c>
      <c r="Z655">
        <f>IF(OR(N655="",X655="",Y655="",Y655=X655),"",100*(N655-X655)/(Y655-X655))</f>
        <v>0</v>
      </c>
      <c r="AA655">
        <f>IF(COUNT($Z$653:$Z$655)&lt;3,"",AVERAGE($Z$653:$Z$655))</f>
        <v>0</v>
      </c>
      <c r="AB655">
        <f>IF(COUNT($AA$653:$AA$655)&lt;3,"",AVERAGE($AA$653:$AA$655))</f>
        <v>0</v>
      </c>
      <c r="AC655">
        <f>IF($E655="","",MAX($C655-$D655,ABS($C655-$E654),ABS($D655-$E654)))</f>
        <v>0</v>
      </c>
      <c r="AD655">
        <f>IF(COUNT($E$2:$E655)&lt;15,"",AVERAGE($AC$642:$AC$655))</f>
        <v>0</v>
      </c>
      <c r="AE655">
        <f>IF(OR($E655="",$E654=""),"",IF(AND(($C655-$C654)&gt;($D654-$D655),($C655-$C654)&gt;0),$C655-$C654,0))</f>
        <v>0</v>
      </c>
      <c r="AF655">
        <f>IF(OR($E655="",$E654=""),"",IF(AND(($D654-$D655)&gt;($C655-$C654),($D654-$D655)&gt;0),$D654-$D655,0))</f>
        <v>0</v>
      </c>
      <c r="AG655">
        <f>IF(COUNT($E$2:$E655)&lt;15,"",IF(SUM($AC$642:$AC$655)=0,0,100*SUM($AE$642:$AE$655)/SUM($AC$642:$AC$655)))</f>
        <v>0</v>
      </c>
      <c r="AH655">
        <f>IF(COUNT($E$2:$E655)&lt;15,"",IF(SUM($AC$642:$AC$655)=0,0,100*SUM($AF$642:$AF$655)/SUM($AC$642:$AC$655)))</f>
        <v>0</v>
      </c>
      <c r="AI655">
        <f>IF(OR(AG655="",AH655=""),"",IF((AG655+AH655)=0,0,100*ABS(AG655-AH655)/(AG655+AH655)))</f>
        <v>0</v>
      </c>
      <c r="AJ655">
        <f>IF(COUNT($AI$642:$AI$655)&lt;14,"",AVERAGE($AI$642:$AI$655))</f>
        <v>0</v>
      </c>
      <c r="AK655">
        <f>IF(COUNT($E$2:$E655)&lt;20,"",AVERAGE($E$636:$E$655))</f>
        <v>0</v>
      </c>
      <c r="AL655">
        <f>IF(COUNT($E$2:$E655)&lt;20,"",STDEVP($E$636:$E$655))</f>
        <v>0</v>
      </c>
      <c r="AM655">
        <f>IF(AK655="","",AK655+2*AL655)</f>
        <v>0</v>
      </c>
      <c r="AN655">
        <f>IF(AK655="","",AK655-2*AL655)</f>
        <v>0</v>
      </c>
      <c r="AO655">
        <f>IF(OR(AM655="",AN655="",AM655=AN655),"",($E655-AN655)/(AM655-AN655))</f>
        <v>0</v>
      </c>
      <c r="AP655">
        <f>IF(OR(AM655="",AK655="",AK655=0),"",(AM655-AN655)/AK655)</f>
        <v>0</v>
      </c>
      <c r="AQ655">
        <f>IF(COUNT($E$2:$E655)&lt;20,"",MAX($C$636:$C$655))</f>
        <v>0</v>
      </c>
      <c r="AR655">
        <f>IF(COUNT($E$2:$E655)&lt;20,"",MIN($D$636:$D$655))</f>
        <v>0</v>
      </c>
      <c r="AS655">
        <f>IF(OR(AQ655="",AR655=""),"",(AQ655+AR655)/2)</f>
        <v>0</v>
      </c>
      <c r="AT655">
        <f>IF(COUNT($G$636:$G$655)&lt;20,"",STDEV($G$636:$G$655)*SQRT(252))</f>
        <v>0</v>
      </c>
      <c r="AU655">
        <f>IF(COUNT($E$2:$E655)&lt;9,"",(MAX($C$647:$C$655)+MIN($D$647:$D$655))/2)</f>
        <v>0</v>
      </c>
      <c r="AV655">
        <f>IF(COUNT($E$2:$E655)&lt;26,"",(MAX($C$630:$C$655)+MIN($D$630:$D$655))/2)</f>
        <v>0</v>
      </c>
      <c r="AW655">
        <f>IF(OR(AU655="",AV655=""),"",(AU655+AV655)/2)</f>
        <v>0</v>
      </c>
      <c r="AX655">
        <f>IF(COUNT($E$2:$E655)&lt;52,"",(MAX($C$604:$C$655)+MIN($D$604:$D$655))/2)</f>
        <v>0</v>
      </c>
      <c r="AY655">
        <f>IF(COUNT($E$2:$E655)&lt;20,"",MAX($C$556:$C$655))</f>
        <v>0</v>
      </c>
      <c r="AZ655">
        <f>IF(COUNT($E$2:$E655)&lt;20,"",MIN($D$556:$D$655))</f>
        <v>0</v>
      </c>
      <c r="BA655">
        <f>IF(COUNT($E$2:$E655)&lt;20,"",SLOPE($E$556:$E$655,$F$556:$F$655))</f>
        <v>0</v>
      </c>
      <c r="BB655">
        <f>IF(COUNT($E$2:$E655)&lt;20,"",INTERCEPT($E$556:$E$655,$F$556:$F$655))</f>
        <v>0</v>
      </c>
      <c r="BC655">
        <f>IF(OR(BA655="",BB655=""),"",BB655+BA655*F655)</f>
        <v>0</v>
      </c>
      <c r="BD655">
        <f>IF(COUNT($E$2:$E655)&lt;20,"",STEYX($E$556:$E$655,$F$556:$F$655))</f>
        <v>0</v>
      </c>
      <c r="BE655">
        <f>IF($E655="","",IF(AND(COUNT($E$656:$E$659)&gt;=4,$C655=MAX($C$651:$C$659)),$C655,""))</f>
        <v>0</v>
      </c>
      <c r="BF655">
        <f>IF($E655="","",IF(AND(COUNT($E$656:$E$659)&gt;=4,$D655=MIN($D$651:$D$659)),$D655,""))</f>
        <v>0</v>
      </c>
      <c r="BG655">
        <f>IF($A655="","",$A655-WEEKDAY($A655,2)+1)</f>
        <v>0</v>
      </c>
      <c r="BH655">
        <f>IF($A655="","",IF($A654="",1,IF(BG655&lt;&gt;BG654,1,0)))</f>
        <v>0</v>
      </c>
      <c r="BI655">
        <f>IF($A655="","",IF($A656="",1,IF(BG656&lt;&gt;BG655,1,0)))</f>
        <v>0</v>
      </c>
      <c r="BJ655">
        <f>IF($A655="","",IF(BH655=1,$B655,BJ654))</f>
        <v>0</v>
      </c>
      <c r="BK655">
        <f>IF($A655="","",IF(BH655=1,$C655,MAX($C655,BK654)))</f>
        <v>0</v>
      </c>
      <c r="BL655">
        <f>IF($A655="","",IF(BH655=1,$D655,MIN($D655,BL654)))</f>
        <v>0</v>
      </c>
      <c r="BM655">
        <f>IF($A655="","",IF(BI655=1,F655,""))</f>
        <v>0</v>
      </c>
      <c r="BN655">
        <f>IF($A655="","",DATE(YEAR($A655),MONTH($A655),1))</f>
        <v>0</v>
      </c>
      <c r="BO655">
        <f>IF($A655="","",IF($A654="",1,IF(BN655&lt;&gt;BN654,1,0)))</f>
        <v>0</v>
      </c>
      <c r="BP655">
        <f>IF($A655="","",IF($A656="",1,IF(BN656&lt;&gt;BN655,1,0)))</f>
        <v>0</v>
      </c>
      <c r="BQ655">
        <f>IF($A655="","",IF(BO655=1,$B655,BQ654))</f>
        <v>0</v>
      </c>
      <c r="BR655">
        <f>IF($A655="","",IF(BO655=1,$C655,MAX($C655,BR654)))</f>
        <v>0</v>
      </c>
      <c r="BS655">
        <f>IF($A655="","",IF(BO655=1,$D655,MIN($D655,BS654)))</f>
        <v>0</v>
      </c>
      <c r="BT655">
        <f>IF($A655="","",IF(BP655=1,F655,""))</f>
        <v>0</v>
      </c>
    </row>
    <row r="656" spans="1:72">
      <c r="A656" s="27">
        <f>IF(Data!$A656="","",Data!$A656)</f>
        <v>0</v>
      </c>
      <c r="B656">
        <f>IF(Data!$B656="","",Data!$B656)</f>
        <v>0</v>
      </c>
      <c r="C656">
        <f>IF(Data!$C656="","",Data!$C656)</f>
        <v>0</v>
      </c>
      <c r="D656">
        <f>IF(Data!$D656="","",Data!$D656)</f>
        <v>0</v>
      </c>
      <c r="E656">
        <f>IF(Data!$E656="","",Data!$E656)</f>
        <v>0</v>
      </c>
      <c r="F656">
        <f>IF($E656="","",N(F655)+1)</f>
        <v>0</v>
      </c>
      <c r="G656">
        <f>IF(OR($E656="",$E655=""),"",LN($E656/$E655))</f>
        <v>0</v>
      </c>
      <c r="H656">
        <f>IF($E656="","",IF($E655="",$E656,$E656*0.0952380952+H655*0.9047619048))</f>
        <v>0</v>
      </c>
      <c r="I656">
        <f>IF($E656="","",IF($E655="",$E656,$E656*0.0392156863+I655*0.9607843137))</f>
        <v>0</v>
      </c>
      <c r="J656">
        <f>IF($E656="","",IF($E655="",$E656,$E656*0.0198019802+J655*0.9801980198))</f>
        <v>0</v>
      </c>
      <c r="K656">
        <f>IF($E656="","",IF($E655="",$E656,$E656*0.0099502488+K655*0.9900497512))</f>
        <v>0</v>
      </c>
      <c r="L656">
        <f>IF(OR($E656="",$E655=""),"",MAX($E656-$E655,0))</f>
        <v>0</v>
      </c>
      <c r="M656">
        <f>IF(OR($E656="",$E655=""),"",MAX($E655-$E656,0))</f>
        <v>0</v>
      </c>
      <c r="N656">
        <f>IF(COUNT($E$2:$E656)&lt;15,"",IF(AVERAGE($M$643:$M$656)=0,100,100-100/(1+AVERAGE($L$643:$L$656)/AVERAGE($M$643:$M$656))))</f>
        <v>0</v>
      </c>
      <c r="O656">
        <f>IF($E656="","",IF($E655="",$E656,$E656*0.1538461538+O655*0.8461538462))</f>
        <v>0</v>
      </c>
      <c r="P656">
        <f>IF($E656="","",IF($E655="",$E656,$E656*0.0740740741+P655*0.9259259259))</f>
        <v>0</v>
      </c>
      <c r="Q656">
        <f>IF(OR(O656="",P656=""),"",O656-P656)</f>
        <v>0</v>
      </c>
      <c r="R656">
        <f>IF(Q656="","",IF(R655="",Q656,Q656*0.2000000000+R655*0.8000000000))</f>
        <v>0</v>
      </c>
      <c r="S656">
        <f>IF(OR(Q656="",R656=""),"",Q656-R656)</f>
        <v>0</v>
      </c>
      <c r="T656">
        <f>IF(COUNT($E$2:$E656)&lt;14,"",MAX($C$643:$C$656))</f>
        <v>0</v>
      </c>
      <c r="U656">
        <f>IF(COUNT($E$2:$E656)&lt;14,"",MIN($D$643:$D$656))</f>
        <v>0</v>
      </c>
      <c r="V656">
        <f>IF(OR(T656="",U656="",T656=U656),"",100*($E656-U656)/(T656-U656))</f>
        <v>0</v>
      </c>
      <c r="W656">
        <f>IF(COUNT($V$654:$V$656)&lt;3,"",AVERAGE($V$654:$V$656))</f>
        <v>0</v>
      </c>
      <c r="X656">
        <f>IF(COUNT($N$643:$N$656)&lt;14,"",MIN($N$643:$N$656))</f>
        <v>0</v>
      </c>
      <c r="Y656">
        <f>IF(COUNT($N$643:$N$656)&lt;14,"",MAX($N$643:$N$656))</f>
        <v>0</v>
      </c>
      <c r="Z656">
        <f>IF(OR(N656="",X656="",Y656="",Y656=X656),"",100*(N656-X656)/(Y656-X656))</f>
        <v>0</v>
      </c>
      <c r="AA656">
        <f>IF(COUNT($Z$654:$Z$656)&lt;3,"",AVERAGE($Z$654:$Z$656))</f>
        <v>0</v>
      </c>
      <c r="AB656">
        <f>IF(COUNT($AA$654:$AA$656)&lt;3,"",AVERAGE($AA$654:$AA$656))</f>
        <v>0</v>
      </c>
      <c r="AC656">
        <f>IF($E656="","",MAX($C656-$D656,ABS($C656-$E655),ABS($D656-$E655)))</f>
        <v>0</v>
      </c>
      <c r="AD656">
        <f>IF(COUNT($E$2:$E656)&lt;15,"",AVERAGE($AC$643:$AC$656))</f>
        <v>0</v>
      </c>
      <c r="AE656">
        <f>IF(OR($E656="",$E655=""),"",IF(AND(($C656-$C655)&gt;($D655-$D656),($C656-$C655)&gt;0),$C656-$C655,0))</f>
        <v>0</v>
      </c>
      <c r="AF656">
        <f>IF(OR($E656="",$E655=""),"",IF(AND(($D655-$D656)&gt;($C656-$C655),($D655-$D656)&gt;0),$D655-$D656,0))</f>
        <v>0</v>
      </c>
      <c r="AG656">
        <f>IF(COUNT($E$2:$E656)&lt;15,"",IF(SUM($AC$643:$AC$656)=0,0,100*SUM($AE$643:$AE$656)/SUM($AC$643:$AC$656)))</f>
        <v>0</v>
      </c>
      <c r="AH656">
        <f>IF(COUNT($E$2:$E656)&lt;15,"",IF(SUM($AC$643:$AC$656)=0,0,100*SUM($AF$643:$AF$656)/SUM($AC$643:$AC$656)))</f>
        <v>0</v>
      </c>
      <c r="AI656">
        <f>IF(OR(AG656="",AH656=""),"",IF((AG656+AH656)=0,0,100*ABS(AG656-AH656)/(AG656+AH656)))</f>
        <v>0</v>
      </c>
      <c r="AJ656">
        <f>IF(COUNT($AI$643:$AI$656)&lt;14,"",AVERAGE($AI$643:$AI$656))</f>
        <v>0</v>
      </c>
      <c r="AK656">
        <f>IF(COUNT($E$2:$E656)&lt;20,"",AVERAGE($E$637:$E$656))</f>
        <v>0</v>
      </c>
      <c r="AL656">
        <f>IF(COUNT($E$2:$E656)&lt;20,"",STDEVP($E$637:$E$656))</f>
        <v>0</v>
      </c>
      <c r="AM656">
        <f>IF(AK656="","",AK656+2*AL656)</f>
        <v>0</v>
      </c>
      <c r="AN656">
        <f>IF(AK656="","",AK656-2*AL656)</f>
        <v>0</v>
      </c>
      <c r="AO656">
        <f>IF(OR(AM656="",AN656="",AM656=AN656),"",($E656-AN656)/(AM656-AN656))</f>
        <v>0</v>
      </c>
      <c r="AP656">
        <f>IF(OR(AM656="",AK656="",AK656=0),"",(AM656-AN656)/AK656)</f>
        <v>0</v>
      </c>
      <c r="AQ656">
        <f>IF(COUNT($E$2:$E656)&lt;20,"",MAX($C$637:$C$656))</f>
        <v>0</v>
      </c>
      <c r="AR656">
        <f>IF(COUNT($E$2:$E656)&lt;20,"",MIN($D$637:$D$656))</f>
        <v>0</v>
      </c>
      <c r="AS656">
        <f>IF(OR(AQ656="",AR656=""),"",(AQ656+AR656)/2)</f>
        <v>0</v>
      </c>
      <c r="AT656">
        <f>IF(COUNT($G$637:$G$656)&lt;20,"",STDEV($G$637:$G$656)*SQRT(252))</f>
        <v>0</v>
      </c>
      <c r="AU656">
        <f>IF(COUNT($E$2:$E656)&lt;9,"",(MAX($C$648:$C$656)+MIN($D$648:$D$656))/2)</f>
        <v>0</v>
      </c>
      <c r="AV656">
        <f>IF(COUNT($E$2:$E656)&lt;26,"",(MAX($C$631:$C$656)+MIN($D$631:$D$656))/2)</f>
        <v>0</v>
      </c>
      <c r="AW656">
        <f>IF(OR(AU656="",AV656=""),"",(AU656+AV656)/2)</f>
        <v>0</v>
      </c>
      <c r="AX656">
        <f>IF(COUNT($E$2:$E656)&lt;52,"",(MAX($C$605:$C$656)+MIN($D$605:$D$656))/2)</f>
        <v>0</v>
      </c>
      <c r="AY656">
        <f>IF(COUNT($E$2:$E656)&lt;20,"",MAX($C$557:$C$656))</f>
        <v>0</v>
      </c>
      <c r="AZ656">
        <f>IF(COUNT($E$2:$E656)&lt;20,"",MIN($D$557:$D$656))</f>
        <v>0</v>
      </c>
      <c r="BA656">
        <f>IF(COUNT($E$2:$E656)&lt;20,"",SLOPE($E$557:$E$656,$F$557:$F$656))</f>
        <v>0</v>
      </c>
      <c r="BB656">
        <f>IF(COUNT($E$2:$E656)&lt;20,"",INTERCEPT($E$557:$E$656,$F$557:$F$656))</f>
        <v>0</v>
      </c>
      <c r="BC656">
        <f>IF(OR(BA656="",BB656=""),"",BB656+BA656*F656)</f>
        <v>0</v>
      </c>
      <c r="BD656">
        <f>IF(COUNT($E$2:$E656)&lt;20,"",STEYX($E$557:$E$656,$F$557:$F$656))</f>
        <v>0</v>
      </c>
      <c r="BE656">
        <f>IF($E656="","",IF(AND(COUNT($E$657:$E$660)&gt;=4,$C656=MAX($C$652:$C$660)),$C656,""))</f>
        <v>0</v>
      </c>
      <c r="BF656">
        <f>IF($E656="","",IF(AND(COUNT($E$657:$E$660)&gt;=4,$D656=MIN($D$652:$D$660)),$D656,""))</f>
        <v>0</v>
      </c>
      <c r="BG656">
        <f>IF($A656="","",$A656-WEEKDAY($A656,2)+1)</f>
        <v>0</v>
      </c>
      <c r="BH656">
        <f>IF($A656="","",IF($A655="",1,IF(BG656&lt;&gt;BG655,1,0)))</f>
        <v>0</v>
      </c>
      <c r="BI656">
        <f>IF($A656="","",IF($A657="",1,IF(BG657&lt;&gt;BG656,1,0)))</f>
        <v>0</v>
      </c>
      <c r="BJ656">
        <f>IF($A656="","",IF(BH656=1,$B656,BJ655))</f>
        <v>0</v>
      </c>
      <c r="BK656">
        <f>IF($A656="","",IF(BH656=1,$C656,MAX($C656,BK655)))</f>
        <v>0</v>
      </c>
      <c r="BL656">
        <f>IF($A656="","",IF(BH656=1,$D656,MIN($D656,BL655)))</f>
        <v>0</v>
      </c>
      <c r="BM656">
        <f>IF($A656="","",IF(BI656=1,F656,""))</f>
        <v>0</v>
      </c>
      <c r="BN656">
        <f>IF($A656="","",DATE(YEAR($A656),MONTH($A656),1))</f>
        <v>0</v>
      </c>
      <c r="BO656">
        <f>IF($A656="","",IF($A655="",1,IF(BN656&lt;&gt;BN655,1,0)))</f>
        <v>0</v>
      </c>
      <c r="BP656">
        <f>IF($A656="","",IF($A657="",1,IF(BN657&lt;&gt;BN656,1,0)))</f>
        <v>0</v>
      </c>
      <c r="BQ656">
        <f>IF($A656="","",IF(BO656=1,$B656,BQ655))</f>
        <v>0</v>
      </c>
      <c r="BR656">
        <f>IF($A656="","",IF(BO656=1,$C656,MAX($C656,BR655)))</f>
        <v>0</v>
      </c>
      <c r="BS656">
        <f>IF($A656="","",IF(BO656=1,$D656,MIN($D656,BS655)))</f>
        <v>0</v>
      </c>
      <c r="BT656">
        <f>IF($A656="","",IF(BP656=1,F656,""))</f>
        <v>0</v>
      </c>
    </row>
    <row r="657" spans="1:72">
      <c r="A657" s="27">
        <f>IF(Data!$A657="","",Data!$A657)</f>
        <v>0</v>
      </c>
      <c r="B657">
        <f>IF(Data!$B657="","",Data!$B657)</f>
        <v>0</v>
      </c>
      <c r="C657">
        <f>IF(Data!$C657="","",Data!$C657)</f>
        <v>0</v>
      </c>
      <c r="D657">
        <f>IF(Data!$D657="","",Data!$D657)</f>
        <v>0</v>
      </c>
      <c r="E657">
        <f>IF(Data!$E657="","",Data!$E657)</f>
        <v>0</v>
      </c>
      <c r="F657">
        <f>IF($E657="","",N(F656)+1)</f>
        <v>0</v>
      </c>
      <c r="G657">
        <f>IF(OR($E657="",$E656=""),"",LN($E657/$E656))</f>
        <v>0</v>
      </c>
      <c r="H657">
        <f>IF($E657="","",IF($E656="",$E657,$E657*0.0952380952+H656*0.9047619048))</f>
        <v>0</v>
      </c>
      <c r="I657">
        <f>IF($E657="","",IF($E656="",$E657,$E657*0.0392156863+I656*0.9607843137))</f>
        <v>0</v>
      </c>
      <c r="J657">
        <f>IF($E657="","",IF($E656="",$E657,$E657*0.0198019802+J656*0.9801980198))</f>
        <v>0</v>
      </c>
      <c r="K657">
        <f>IF($E657="","",IF($E656="",$E657,$E657*0.0099502488+K656*0.9900497512))</f>
        <v>0</v>
      </c>
      <c r="L657">
        <f>IF(OR($E657="",$E656=""),"",MAX($E657-$E656,0))</f>
        <v>0</v>
      </c>
      <c r="M657">
        <f>IF(OR($E657="",$E656=""),"",MAX($E656-$E657,0))</f>
        <v>0</v>
      </c>
      <c r="N657">
        <f>IF(COUNT($E$2:$E657)&lt;15,"",IF(AVERAGE($M$644:$M$657)=0,100,100-100/(1+AVERAGE($L$644:$L$657)/AVERAGE($M$644:$M$657))))</f>
        <v>0</v>
      </c>
      <c r="O657">
        <f>IF($E657="","",IF($E656="",$E657,$E657*0.1538461538+O656*0.8461538462))</f>
        <v>0</v>
      </c>
      <c r="P657">
        <f>IF($E657="","",IF($E656="",$E657,$E657*0.0740740741+P656*0.9259259259))</f>
        <v>0</v>
      </c>
      <c r="Q657">
        <f>IF(OR(O657="",P657=""),"",O657-P657)</f>
        <v>0</v>
      </c>
      <c r="R657">
        <f>IF(Q657="","",IF(R656="",Q657,Q657*0.2000000000+R656*0.8000000000))</f>
        <v>0</v>
      </c>
      <c r="S657">
        <f>IF(OR(Q657="",R657=""),"",Q657-R657)</f>
        <v>0</v>
      </c>
      <c r="T657">
        <f>IF(COUNT($E$2:$E657)&lt;14,"",MAX($C$644:$C$657))</f>
        <v>0</v>
      </c>
      <c r="U657">
        <f>IF(COUNT($E$2:$E657)&lt;14,"",MIN($D$644:$D$657))</f>
        <v>0</v>
      </c>
      <c r="V657">
        <f>IF(OR(T657="",U657="",T657=U657),"",100*($E657-U657)/(T657-U657))</f>
        <v>0</v>
      </c>
      <c r="W657">
        <f>IF(COUNT($V$655:$V$657)&lt;3,"",AVERAGE($V$655:$V$657))</f>
        <v>0</v>
      </c>
      <c r="X657">
        <f>IF(COUNT($N$644:$N$657)&lt;14,"",MIN($N$644:$N$657))</f>
        <v>0</v>
      </c>
      <c r="Y657">
        <f>IF(COUNT($N$644:$N$657)&lt;14,"",MAX($N$644:$N$657))</f>
        <v>0</v>
      </c>
      <c r="Z657">
        <f>IF(OR(N657="",X657="",Y657="",Y657=X657),"",100*(N657-X657)/(Y657-X657))</f>
        <v>0</v>
      </c>
      <c r="AA657">
        <f>IF(COUNT($Z$655:$Z$657)&lt;3,"",AVERAGE($Z$655:$Z$657))</f>
        <v>0</v>
      </c>
      <c r="AB657">
        <f>IF(COUNT($AA$655:$AA$657)&lt;3,"",AVERAGE($AA$655:$AA$657))</f>
        <v>0</v>
      </c>
      <c r="AC657">
        <f>IF($E657="","",MAX($C657-$D657,ABS($C657-$E656),ABS($D657-$E656)))</f>
        <v>0</v>
      </c>
      <c r="AD657">
        <f>IF(COUNT($E$2:$E657)&lt;15,"",AVERAGE($AC$644:$AC$657))</f>
        <v>0</v>
      </c>
      <c r="AE657">
        <f>IF(OR($E657="",$E656=""),"",IF(AND(($C657-$C656)&gt;($D656-$D657),($C657-$C656)&gt;0),$C657-$C656,0))</f>
        <v>0</v>
      </c>
      <c r="AF657">
        <f>IF(OR($E657="",$E656=""),"",IF(AND(($D656-$D657)&gt;($C657-$C656),($D656-$D657)&gt;0),$D656-$D657,0))</f>
        <v>0</v>
      </c>
      <c r="AG657">
        <f>IF(COUNT($E$2:$E657)&lt;15,"",IF(SUM($AC$644:$AC$657)=0,0,100*SUM($AE$644:$AE$657)/SUM($AC$644:$AC$657)))</f>
        <v>0</v>
      </c>
      <c r="AH657">
        <f>IF(COUNT($E$2:$E657)&lt;15,"",IF(SUM($AC$644:$AC$657)=0,0,100*SUM($AF$644:$AF$657)/SUM($AC$644:$AC$657)))</f>
        <v>0</v>
      </c>
      <c r="AI657">
        <f>IF(OR(AG657="",AH657=""),"",IF((AG657+AH657)=0,0,100*ABS(AG657-AH657)/(AG657+AH657)))</f>
        <v>0</v>
      </c>
      <c r="AJ657">
        <f>IF(COUNT($AI$644:$AI$657)&lt;14,"",AVERAGE($AI$644:$AI$657))</f>
        <v>0</v>
      </c>
      <c r="AK657">
        <f>IF(COUNT($E$2:$E657)&lt;20,"",AVERAGE($E$638:$E$657))</f>
        <v>0</v>
      </c>
      <c r="AL657">
        <f>IF(COUNT($E$2:$E657)&lt;20,"",STDEVP($E$638:$E$657))</f>
        <v>0</v>
      </c>
      <c r="AM657">
        <f>IF(AK657="","",AK657+2*AL657)</f>
        <v>0</v>
      </c>
      <c r="AN657">
        <f>IF(AK657="","",AK657-2*AL657)</f>
        <v>0</v>
      </c>
      <c r="AO657">
        <f>IF(OR(AM657="",AN657="",AM657=AN657),"",($E657-AN657)/(AM657-AN657))</f>
        <v>0</v>
      </c>
      <c r="AP657">
        <f>IF(OR(AM657="",AK657="",AK657=0),"",(AM657-AN657)/AK657)</f>
        <v>0</v>
      </c>
      <c r="AQ657">
        <f>IF(COUNT($E$2:$E657)&lt;20,"",MAX($C$638:$C$657))</f>
        <v>0</v>
      </c>
      <c r="AR657">
        <f>IF(COUNT($E$2:$E657)&lt;20,"",MIN($D$638:$D$657))</f>
        <v>0</v>
      </c>
      <c r="AS657">
        <f>IF(OR(AQ657="",AR657=""),"",(AQ657+AR657)/2)</f>
        <v>0</v>
      </c>
      <c r="AT657">
        <f>IF(COUNT($G$638:$G$657)&lt;20,"",STDEV($G$638:$G$657)*SQRT(252))</f>
        <v>0</v>
      </c>
      <c r="AU657">
        <f>IF(COUNT($E$2:$E657)&lt;9,"",(MAX($C$649:$C$657)+MIN($D$649:$D$657))/2)</f>
        <v>0</v>
      </c>
      <c r="AV657">
        <f>IF(COUNT($E$2:$E657)&lt;26,"",(MAX($C$632:$C$657)+MIN($D$632:$D$657))/2)</f>
        <v>0</v>
      </c>
      <c r="AW657">
        <f>IF(OR(AU657="",AV657=""),"",(AU657+AV657)/2)</f>
        <v>0</v>
      </c>
      <c r="AX657">
        <f>IF(COUNT($E$2:$E657)&lt;52,"",(MAX($C$606:$C$657)+MIN($D$606:$D$657))/2)</f>
        <v>0</v>
      </c>
      <c r="AY657">
        <f>IF(COUNT($E$2:$E657)&lt;20,"",MAX($C$558:$C$657))</f>
        <v>0</v>
      </c>
      <c r="AZ657">
        <f>IF(COUNT($E$2:$E657)&lt;20,"",MIN($D$558:$D$657))</f>
        <v>0</v>
      </c>
      <c r="BA657">
        <f>IF(COUNT($E$2:$E657)&lt;20,"",SLOPE($E$558:$E$657,$F$558:$F$657))</f>
        <v>0</v>
      </c>
      <c r="BB657">
        <f>IF(COUNT($E$2:$E657)&lt;20,"",INTERCEPT($E$558:$E$657,$F$558:$F$657))</f>
        <v>0</v>
      </c>
      <c r="BC657">
        <f>IF(OR(BA657="",BB657=""),"",BB657+BA657*F657)</f>
        <v>0</v>
      </c>
      <c r="BD657">
        <f>IF(COUNT($E$2:$E657)&lt;20,"",STEYX($E$558:$E$657,$F$558:$F$657))</f>
        <v>0</v>
      </c>
      <c r="BE657">
        <f>IF($E657="","",IF(AND(COUNT($E$658:$E$661)&gt;=4,$C657=MAX($C$653:$C$661)),$C657,""))</f>
        <v>0</v>
      </c>
      <c r="BF657">
        <f>IF($E657="","",IF(AND(COUNT($E$658:$E$661)&gt;=4,$D657=MIN($D$653:$D$661)),$D657,""))</f>
        <v>0</v>
      </c>
      <c r="BG657">
        <f>IF($A657="","",$A657-WEEKDAY($A657,2)+1)</f>
        <v>0</v>
      </c>
      <c r="BH657">
        <f>IF($A657="","",IF($A656="",1,IF(BG657&lt;&gt;BG656,1,0)))</f>
        <v>0</v>
      </c>
      <c r="BI657">
        <f>IF($A657="","",IF($A658="",1,IF(BG658&lt;&gt;BG657,1,0)))</f>
        <v>0</v>
      </c>
      <c r="BJ657">
        <f>IF($A657="","",IF(BH657=1,$B657,BJ656))</f>
        <v>0</v>
      </c>
      <c r="BK657">
        <f>IF($A657="","",IF(BH657=1,$C657,MAX($C657,BK656)))</f>
        <v>0</v>
      </c>
      <c r="BL657">
        <f>IF($A657="","",IF(BH657=1,$D657,MIN($D657,BL656)))</f>
        <v>0</v>
      </c>
      <c r="BM657">
        <f>IF($A657="","",IF(BI657=1,F657,""))</f>
        <v>0</v>
      </c>
      <c r="BN657">
        <f>IF($A657="","",DATE(YEAR($A657),MONTH($A657),1))</f>
        <v>0</v>
      </c>
      <c r="BO657">
        <f>IF($A657="","",IF($A656="",1,IF(BN657&lt;&gt;BN656,1,0)))</f>
        <v>0</v>
      </c>
      <c r="BP657">
        <f>IF($A657="","",IF($A658="",1,IF(BN658&lt;&gt;BN657,1,0)))</f>
        <v>0</v>
      </c>
      <c r="BQ657">
        <f>IF($A657="","",IF(BO657=1,$B657,BQ656))</f>
        <v>0</v>
      </c>
      <c r="BR657">
        <f>IF($A657="","",IF(BO657=1,$C657,MAX($C657,BR656)))</f>
        <v>0</v>
      </c>
      <c r="BS657">
        <f>IF($A657="","",IF(BO657=1,$D657,MIN($D657,BS656)))</f>
        <v>0</v>
      </c>
      <c r="BT657">
        <f>IF($A657="","",IF(BP657=1,F657,""))</f>
        <v>0</v>
      </c>
    </row>
    <row r="658" spans="1:72">
      <c r="A658" s="27">
        <f>IF(Data!$A658="","",Data!$A658)</f>
        <v>0</v>
      </c>
      <c r="B658">
        <f>IF(Data!$B658="","",Data!$B658)</f>
        <v>0</v>
      </c>
      <c r="C658">
        <f>IF(Data!$C658="","",Data!$C658)</f>
        <v>0</v>
      </c>
      <c r="D658">
        <f>IF(Data!$D658="","",Data!$D658)</f>
        <v>0</v>
      </c>
      <c r="E658">
        <f>IF(Data!$E658="","",Data!$E658)</f>
        <v>0</v>
      </c>
      <c r="F658">
        <f>IF($E658="","",N(F657)+1)</f>
        <v>0</v>
      </c>
      <c r="G658">
        <f>IF(OR($E658="",$E657=""),"",LN($E658/$E657))</f>
        <v>0</v>
      </c>
      <c r="H658">
        <f>IF($E658="","",IF($E657="",$E658,$E658*0.0952380952+H657*0.9047619048))</f>
        <v>0</v>
      </c>
      <c r="I658">
        <f>IF($E658="","",IF($E657="",$E658,$E658*0.0392156863+I657*0.9607843137))</f>
        <v>0</v>
      </c>
      <c r="J658">
        <f>IF($E658="","",IF($E657="",$E658,$E658*0.0198019802+J657*0.9801980198))</f>
        <v>0</v>
      </c>
      <c r="K658">
        <f>IF($E658="","",IF($E657="",$E658,$E658*0.0099502488+K657*0.9900497512))</f>
        <v>0</v>
      </c>
      <c r="L658">
        <f>IF(OR($E658="",$E657=""),"",MAX($E658-$E657,0))</f>
        <v>0</v>
      </c>
      <c r="M658">
        <f>IF(OR($E658="",$E657=""),"",MAX($E657-$E658,0))</f>
        <v>0</v>
      </c>
      <c r="N658">
        <f>IF(COUNT($E$2:$E658)&lt;15,"",IF(AVERAGE($M$645:$M$658)=0,100,100-100/(1+AVERAGE($L$645:$L$658)/AVERAGE($M$645:$M$658))))</f>
        <v>0</v>
      </c>
      <c r="O658">
        <f>IF($E658="","",IF($E657="",$E658,$E658*0.1538461538+O657*0.8461538462))</f>
        <v>0</v>
      </c>
      <c r="P658">
        <f>IF($E658="","",IF($E657="",$E658,$E658*0.0740740741+P657*0.9259259259))</f>
        <v>0</v>
      </c>
      <c r="Q658">
        <f>IF(OR(O658="",P658=""),"",O658-P658)</f>
        <v>0</v>
      </c>
      <c r="R658">
        <f>IF(Q658="","",IF(R657="",Q658,Q658*0.2000000000+R657*0.8000000000))</f>
        <v>0</v>
      </c>
      <c r="S658">
        <f>IF(OR(Q658="",R658=""),"",Q658-R658)</f>
        <v>0</v>
      </c>
      <c r="T658">
        <f>IF(COUNT($E$2:$E658)&lt;14,"",MAX($C$645:$C$658))</f>
        <v>0</v>
      </c>
      <c r="U658">
        <f>IF(COUNT($E$2:$E658)&lt;14,"",MIN($D$645:$D$658))</f>
        <v>0</v>
      </c>
      <c r="V658">
        <f>IF(OR(T658="",U658="",T658=U658),"",100*($E658-U658)/(T658-U658))</f>
        <v>0</v>
      </c>
      <c r="W658">
        <f>IF(COUNT($V$656:$V$658)&lt;3,"",AVERAGE($V$656:$V$658))</f>
        <v>0</v>
      </c>
      <c r="X658">
        <f>IF(COUNT($N$645:$N$658)&lt;14,"",MIN($N$645:$N$658))</f>
        <v>0</v>
      </c>
      <c r="Y658">
        <f>IF(COUNT($N$645:$N$658)&lt;14,"",MAX($N$645:$N$658))</f>
        <v>0</v>
      </c>
      <c r="Z658">
        <f>IF(OR(N658="",X658="",Y658="",Y658=X658),"",100*(N658-X658)/(Y658-X658))</f>
        <v>0</v>
      </c>
      <c r="AA658">
        <f>IF(COUNT($Z$656:$Z$658)&lt;3,"",AVERAGE($Z$656:$Z$658))</f>
        <v>0</v>
      </c>
      <c r="AB658">
        <f>IF(COUNT($AA$656:$AA$658)&lt;3,"",AVERAGE($AA$656:$AA$658))</f>
        <v>0</v>
      </c>
      <c r="AC658">
        <f>IF($E658="","",MAX($C658-$D658,ABS($C658-$E657),ABS($D658-$E657)))</f>
        <v>0</v>
      </c>
      <c r="AD658">
        <f>IF(COUNT($E$2:$E658)&lt;15,"",AVERAGE($AC$645:$AC$658))</f>
        <v>0</v>
      </c>
      <c r="AE658">
        <f>IF(OR($E658="",$E657=""),"",IF(AND(($C658-$C657)&gt;($D657-$D658),($C658-$C657)&gt;0),$C658-$C657,0))</f>
        <v>0</v>
      </c>
      <c r="AF658">
        <f>IF(OR($E658="",$E657=""),"",IF(AND(($D657-$D658)&gt;($C658-$C657),($D657-$D658)&gt;0),$D657-$D658,0))</f>
        <v>0</v>
      </c>
      <c r="AG658">
        <f>IF(COUNT($E$2:$E658)&lt;15,"",IF(SUM($AC$645:$AC$658)=0,0,100*SUM($AE$645:$AE$658)/SUM($AC$645:$AC$658)))</f>
        <v>0</v>
      </c>
      <c r="AH658">
        <f>IF(COUNT($E$2:$E658)&lt;15,"",IF(SUM($AC$645:$AC$658)=0,0,100*SUM($AF$645:$AF$658)/SUM($AC$645:$AC$658)))</f>
        <v>0</v>
      </c>
      <c r="AI658">
        <f>IF(OR(AG658="",AH658=""),"",IF((AG658+AH658)=0,0,100*ABS(AG658-AH658)/(AG658+AH658)))</f>
        <v>0</v>
      </c>
      <c r="AJ658">
        <f>IF(COUNT($AI$645:$AI$658)&lt;14,"",AVERAGE($AI$645:$AI$658))</f>
        <v>0</v>
      </c>
      <c r="AK658">
        <f>IF(COUNT($E$2:$E658)&lt;20,"",AVERAGE($E$639:$E$658))</f>
        <v>0</v>
      </c>
      <c r="AL658">
        <f>IF(COUNT($E$2:$E658)&lt;20,"",STDEVP($E$639:$E$658))</f>
        <v>0</v>
      </c>
      <c r="AM658">
        <f>IF(AK658="","",AK658+2*AL658)</f>
        <v>0</v>
      </c>
      <c r="AN658">
        <f>IF(AK658="","",AK658-2*AL658)</f>
        <v>0</v>
      </c>
      <c r="AO658">
        <f>IF(OR(AM658="",AN658="",AM658=AN658),"",($E658-AN658)/(AM658-AN658))</f>
        <v>0</v>
      </c>
      <c r="AP658">
        <f>IF(OR(AM658="",AK658="",AK658=0),"",(AM658-AN658)/AK658)</f>
        <v>0</v>
      </c>
      <c r="AQ658">
        <f>IF(COUNT($E$2:$E658)&lt;20,"",MAX($C$639:$C$658))</f>
        <v>0</v>
      </c>
      <c r="AR658">
        <f>IF(COUNT($E$2:$E658)&lt;20,"",MIN($D$639:$D$658))</f>
        <v>0</v>
      </c>
      <c r="AS658">
        <f>IF(OR(AQ658="",AR658=""),"",(AQ658+AR658)/2)</f>
        <v>0</v>
      </c>
      <c r="AT658">
        <f>IF(COUNT($G$639:$G$658)&lt;20,"",STDEV($G$639:$G$658)*SQRT(252))</f>
        <v>0</v>
      </c>
      <c r="AU658">
        <f>IF(COUNT($E$2:$E658)&lt;9,"",(MAX($C$650:$C$658)+MIN($D$650:$D$658))/2)</f>
        <v>0</v>
      </c>
      <c r="AV658">
        <f>IF(COUNT($E$2:$E658)&lt;26,"",(MAX($C$633:$C$658)+MIN($D$633:$D$658))/2)</f>
        <v>0</v>
      </c>
      <c r="AW658">
        <f>IF(OR(AU658="",AV658=""),"",(AU658+AV658)/2)</f>
        <v>0</v>
      </c>
      <c r="AX658">
        <f>IF(COUNT($E$2:$E658)&lt;52,"",(MAX($C$607:$C$658)+MIN($D$607:$D$658))/2)</f>
        <v>0</v>
      </c>
      <c r="AY658">
        <f>IF(COUNT($E$2:$E658)&lt;20,"",MAX($C$559:$C$658))</f>
        <v>0</v>
      </c>
      <c r="AZ658">
        <f>IF(COUNT($E$2:$E658)&lt;20,"",MIN($D$559:$D$658))</f>
        <v>0</v>
      </c>
      <c r="BA658">
        <f>IF(COUNT($E$2:$E658)&lt;20,"",SLOPE($E$559:$E$658,$F$559:$F$658))</f>
        <v>0</v>
      </c>
      <c r="BB658">
        <f>IF(COUNT($E$2:$E658)&lt;20,"",INTERCEPT($E$559:$E$658,$F$559:$F$658))</f>
        <v>0</v>
      </c>
      <c r="BC658">
        <f>IF(OR(BA658="",BB658=""),"",BB658+BA658*F658)</f>
        <v>0</v>
      </c>
      <c r="BD658">
        <f>IF(COUNT($E$2:$E658)&lt;20,"",STEYX($E$559:$E$658,$F$559:$F$658))</f>
        <v>0</v>
      </c>
      <c r="BE658">
        <f>IF($E658="","",IF(AND(COUNT($E$659:$E$662)&gt;=4,$C658=MAX($C$654:$C$662)),$C658,""))</f>
        <v>0</v>
      </c>
      <c r="BF658">
        <f>IF($E658="","",IF(AND(COUNT($E$659:$E$662)&gt;=4,$D658=MIN($D$654:$D$662)),$D658,""))</f>
        <v>0</v>
      </c>
      <c r="BG658">
        <f>IF($A658="","",$A658-WEEKDAY($A658,2)+1)</f>
        <v>0</v>
      </c>
      <c r="BH658">
        <f>IF($A658="","",IF($A657="",1,IF(BG658&lt;&gt;BG657,1,0)))</f>
        <v>0</v>
      </c>
      <c r="BI658">
        <f>IF($A658="","",IF($A659="",1,IF(BG659&lt;&gt;BG658,1,0)))</f>
        <v>0</v>
      </c>
      <c r="BJ658">
        <f>IF($A658="","",IF(BH658=1,$B658,BJ657))</f>
        <v>0</v>
      </c>
      <c r="BK658">
        <f>IF($A658="","",IF(BH658=1,$C658,MAX($C658,BK657)))</f>
        <v>0</v>
      </c>
      <c r="BL658">
        <f>IF($A658="","",IF(BH658=1,$D658,MIN($D658,BL657)))</f>
        <v>0</v>
      </c>
      <c r="BM658">
        <f>IF($A658="","",IF(BI658=1,F658,""))</f>
        <v>0</v>
      </c>
      <c r="BN658">
        <f>IF($A658="","",DATE(YEAR($A658),MONTH($A658),1))</f>
        <v>0</v>
      </c>
      <c r="BO658">
        <f>IF($A658="","",IF($A657="",1,IF(BN658&lt;&gt;BN657,1,0)))</f>
        <v>0</v>
      </c>
      <c r="BP658">
        <f>IF($A658="","",IF($A659="",1,IF(BN659&lt;&gt;BN658,1,0)))</f>
        <v>0</v>
      </c>
      <c r="BQ658">
        <f>IF($A658="","",IF(BO658=1,$B658,BQ657))</f>
        <v>0</v>
      </c>
      <c r="BR658">
        <f>IF($A658="","",IF(BO658=1,$C658,MAX($C658,BR657)))</f>
        <v>0</v>
      </c>
      <c r="BS658">
        <f>IF($A658="","",IF(BO658=1,$D658,MIN($D658,BS657)))</f>
        <v>0</v>
      </c>
      <c r="BT658">
        <f>IF($A658="","",IF(BP658=1,F658,""))</f>
        <v>0</v>
      </c>
    </row>
    <row r="659" spans="1:72">
      <c r="A659" s="27">
        <f>IF(Data!$A659="","",Data!$A659)</f>
        <v>0</v>
      </c>
      <c r="B659">
        <f>IF(Data!$B659="","",Data!$B659)</f>
        <v>0</v>
      </c>
      <c r="C659">
        <f>IF(Data!$C659="","",Data!$C659)</f>
        <v>0</v>
      </c>
      <c r="D659">
        <f>IF(Data!$D659="","",Data!$D659)</f>
        <v>0</v>
      </c>
      <c r="E659">
        <f>IF(Data!$E659="","",Data!$E659)</f>
        <v>0</v>
      </c>
      <c r="F659">
        <f>IF($E659="","",N(F658)+1)</f>
        <v>0</v>
      </c>
      <c r="G659">
        <f>IF(OR($E659="",$E658=""),"",LN($E659/$E658))</f>
        <v>0</v>
      </c>
      <c r="H659">
        <f>IF($E659="","",IF($E658="",$E659,$E659*0.0952380952+H658*0.9047619048))</f>
        <v>0</v>
      </c>
      <c r="I659">
        <f>IF($E659="","",IF($E658="",$E659,$E659*0.0392156863+I658*0.9607843137))</f>
        <v>0</v>
      </c>
      <c r="J659">
        <f>IF($E659="","",IF($E658="",$E659,$E659*0.0198019802+J658*0.9801980198))</f>
        <v>0</v>
      </c>
      <c r="K659">
        <f>IF($E659="","",IF($E658="",$E659,$E659*0.0099502488+K658*0.9900497512))</f>
        <v>0</v>
      </c>
      <c r="L659">
        <f>IF(OR($E659="",$E658=""),"",MAX($E659-$E658,0))</f>
        <v>0</v>
      </c>
      <c r="M659">
        <f>IF(OR($E659="",$E658=""),"",MAX($E658-$E659,0))</f>
        <v>0</v>
      </c>
      <c r="N659">
        <f>IF(COUNT($E$2:$E659)&lt;15,"",IF(AVERAGE($M$646:$M$659)=0,100,100-100/(1+AVERAGE($L$646:$L$659)/AVERAGE($M$646:$M$659))))</f>
        <v>0</v>
      </c>
      <c r="O659">
        <f>IF($E659="","",IF($E658="",$E659,$E659*0.1538461538+O658*0.8461538462))</f>
        <v>0</v>
      </c>
      <c r="P659">
        <f>IF($E659="","",IF($E658="",$E659,$E659*0.0740740741+P658*0.9259259259))</f>
        <v>0</v>
      </c>
      <c r="Q659">
        <f>IF(OR(O659="",P659=""),"",O659-P659)</f>
        <v>0</v>
      </c>
      <c r="R659">
        <f>IF(Q659="","",IF(R658="",Q659,Q659*0.2000000000+R658*0.8000000000))</f>
        <v>0</v>
      </c>
      <c r="S659">
        <f>IF(OR(Q659="",R659=""),"",Q659-R659)</f>
        <v>0</v>
      </c>
      <c r="T659">
        <f>IF(COUNT($E$2:$E659)&lt;14,"",MAX($C$646:$C$659))</f>
        <v>0</v>
      </c>
      <c r="U659">
        <f>IF(COUNT($E$2:$E659)&lt;14,"",MIN($D$646:$D$659))</f>
        <v>0</v>
      </c>
      <c r="V659">
        <f>IF(OR(T659="",U659="",T659=U659),"",100*($E659-U659)/(T659-U659))</f>
        <v>0</v>
      </c>
      <c r="W659">
        <f>IF(COUNT($V$657:$V$659)&lt;3,"",AVERAGE($V$657:$V$659))</f>
        <v>0</v>
      </c>
      <c r="X659">
        <f>IF(COUNT($N$646:$N$659)&lt;14,"",MIN($N$646:$N$659))</f>
        <v>0</v>
      </c>
      <c r="Y659">
        <f>IF(COUNT($N$646:$N$659)&lt;14,"",MAX($N$646:$N$659))</f>
        <v>0</v>
      </c>
      <c r="Z659">
        <f>IF(OR(N659="",X659="",Y659="",Y659=X659),"",100*(N659-X659)/(Y659-X659))</f>
        <v>0</v>
      </c>
      <c r="AA659">
        <f>IF(COUNT($Z$657:$Z$659)&lt;3,"",AVERAGE($Z$657:$Z$659))</f>
        <v>0</v>
      </c>
      <c r="AB659">
        <f>IF(COUNT($AA$657:$AA$659)&lt;3,"",AVERAGE($AA$657:$AA$659))</f>
        <v>0</v>
      </c>
      <c r="AC659">
        <f>IF($E659="","",MAX($C659-$D659,ABS($C659-$E658),ABS($D659-$E658)))</f>
        <v>0</v>
      </c>
      <c r="AD659">
        <f>IF(COUNT($E$2:$E659)&lt;15,"",AVERAGE($AC$646:$AC$659))</f>
        <v>0</v>
      </c>
      <c r="AE659">
        <f>IF(OR($E659="",$E658=""),"",IF(AND(($C659-$C658)&gt;($D658-$D659),($C659-$C658)&gt;0),$C659-$C658,0))</f>
        <v>0</v>
      </c>
      <c r="AF659">
        <f>IF(OR($E659="",$E658=""),"",IF(AND(($D658-$D659)&gt;($C659-$C658),($D658-$D659)&gt;0),$D658-$D659,0))</f>
        <v>0</v>
      </c>
      <c r="AG659">
        <f>IF(COUNT($E$2:$E659)&lt;15,"",IF(SUM($AC$646:$AC$659)=0,0,100*SUM($AE$646:$AE$659)/SUM($AC$646:$AC$659)))</f>
        <v>0</v>
      </c>
      <c r="AH659">
        <f>IF(COUNT($E$2:$E659)&lt;15,"",IF(SUM($AC$646:$AC$659)=0,0,100*SUM($AF$646:$AF$659)/SUM($AC$646:$AC$659)))</f>
        <v>0</v>
      </c>
      <c r="AI659">
        <f>IF(OR(AG659="",AH659=""),"",IF((AG659+AH659)=0,0,100*ABS(AG659-AH659)/(AG659+AH659)))</f>
        <v>0</v>
      </c>
      <c r="AJ659">
        <f>IF(COUNT($AI$646:$AI$659)&lt;14,"",AVERAGE($AI$646:$AI$659))</f>
        <v>0</v>
      </c>
      <c r="AK659">
        <f>IF(COUNT($E$2:$E659)&lt;20,"",AVERAGE($E$640:$E$659))</f>
        <v>0</v>
      </c>
      <c r="AL659">
        <f>IF(COUNT($E$2:$E659)&lt;20,"",STDEVP($E$640:$E$659))</f>
        <v>0</v>
      </c>
      <c r="AM659">
        <f>IF(AK659="","",AK659+2*AL659)</f>
        <v>0</v>
      </c>
      <c r="AN659">
        <f>IF(AK659="","",AK659-2*AL659)</f>
        <v>0</v>
      </c>
      <c r="AO659">
        <f>IF(OR(AM659="",AN659="",AM659=AN659),"",($E659-AN659)/(AM659-AN659))</f>
        <v>0</v>
      </c>
      <c r="AP659">
        <f>IF(OR(AM659="",AK659="",AK659=0),"",(AM659-AN659)/AK659)</f>
        <v>0</v>
      </c>
      <c r="AQ659">
        <f>IF(COUNT($E$2:$E659)&lt;20,"",MAX($C$640:$C$659))</f>
        <v>0</v>
      </c>
      <c r="AR659">
        <f>IF(COUNT($E$2:$E659)&lt;20,"",MIN($D$640:$D$659))</f>
        <v>0</v>
      </c>
      <c r="AS659">
        <f>IF(OR(AQ659="",AR659=""),"",(AQ659+AR659)/2)</f>
        <v>0</v>
      </c>
      <c r="AT659">
        <f>IF(COUNT($G$640:$G$659)&lt;20,"",STDEV($G$640:$G$659)*SQRT(252))</f>
        <v>0</v>
      </c>
      <c r="AU659">
        <f>IF(COUNT($E$2:$E659)&lt;9,"",(MAX($C$651:$C$659)+MIN($D$651:$D$659))/2)</f>
        <v>0</v>
      </c>
      <c r="AV659">
        <f>IF(COUNT($E$2:$E659)&lt;26,"",(MAX($C$634:$C$659)+MIN($D$634:$D$659))/2)</f>
        <v>0</v>
      </c>
      <c r="AW659">
        <f>IF(OR(AU659="",AV659=""),"",(AU659+AV659)/2)</f>
        <v>0</v>
      </c>
      <c r="AX659">
        <f>IF(COUNT($E$2:$E659)&lt;52,"",(MAX($C$608:$C$659)+MIN($D$608:$D$659))/2)</f>
        <v>0</v>
      </c>
      <c r="AY659">
        <f>IF(COUNT($E$2:$E659)&lt;20,"",MAX($C$560:$C$659))</f>
        <v>0</v>
      </c>
      <c r="AZ659">
        <f>IF(COUNT($E$2:$E659)&lt;20,"",MIN($D$560:$D$659))</f>
        <v>0</v>
      </c>
      <c r="BA659">
        <f>IF(COUNT($E$2:$E659)&lt;20,"",SLOPE($E$560:$E$659,$F$560:$F$659))</f>
        <v>0</v>
      </c>
      <c r="BB659">
        <f>IF(COUNT($E$2:$E659)&lt;20,"",INTERCEPT($E$560:$E$659,$F$560:$F$659))</f>
        <v>0</v>
      </c>
      <c r="BC659">
        <f>IF(OR(BA659="",BB659=""),"",BB659+BA659*F659)</f>
        <v>0</v>
      </c>
      <c r="BD659">
        <f>IF(COUNT($E$2:$E659)&lt;20,"",STEYX($E$560:$E$659,$F$560:$F$659))</f>
        <v>0</v>
      </c>
      <c r="BE659">
        <f>IF($E659="","",IF(AND(COUNT($E$660:$E$663)&gt;=4,$C659=MAX($C$655:$C$663)),$C659,""))</f>
        <v>0</v>
      </c>
      <c r="BF659">
        <f>IF($E659="","",IF(AND(COUNT($E$660:$E$663)&gt;=4,$D659=MIN($D$655:$D$663)),$D659,""))</f>
        <v>0</v>
      </c>
      <c r="BG659">
        <f>IF($A659="","",$A659-WEEKDAY($A659,2)+1)</f>
        <v>0</v>
      </c>
      <c r="BH659">
        <f>IF($A659="","",IF($A658="",1,IF(BG659&lt;&gt;BG658,1,0)))</f>
        <v>0</v>
      </c>
      <c r="BI659">
        <f>IF($A659="","",IF($A660="",1,IF(BG660&lt;&gt;BG659,1,0)))</f>
        <v>0</v>
      </c>
      <c r="BJ659">
        <f>IF($A659="","",IF(BH659=1,$B659,BJ658))</f>
        <v>0</v>
      </c>
      <c r="BK659">
        <f>IF($A659="","",IF(BH659=1,$C659,MAX($C659,BK658)))</f>
        <v>0</v>
      </c>
      <c r="BL659">
        <f>IF($A659="","",IF(BH659=1,$D659,MIN($D659,BL658)))</f>
        <v>0</v>
      </c>
      <c r="BM659">
        <f>IF($A659="","",IF(BI659=1,F659,""))</f>
        <v>0</v>
      </c>
      <c r="BN659">
        <f>IF($A659="","",DATE(YEAR($A659),MONTH($A659),1))</f>
        <v>0</v>
      </c>
      <c r="BO659">
        <f>IF($A659="","",IF($A658="",1,IF(BN659&lt;&gt;BN658,1,0)))</f>
        <v>0</v>
      </c>
      <c r="BP659">
        <f>IF($A659="","",IF($A660="",1,IF(BN660&lt;&gt;BN659,1,0)))</f>
        <v>0</v>
      </c>
      <c r="BQ659">
        <f>IF($A659="","",IF(BO659=1,$B659,BQ658))</f>
        <v>0</v>
      </c>
      <c r="BR659">
        <f>IF($A659="","",IF(BO659=1,$C659,MAX($C659,BR658)))</f>
        <v>0</v>
      </c>
      <c r="BS659">
        <f>IF($A659="","",IF(BO659=1,$D659,MIN($D659,BS658)))</f>
        <v>0</v>
      </c>
      <c r="BT659">
        <f>IF($A659="","",IF(BP659=1,F659,""))</f>
        <v>0</v>
      </c>
    </row>
    <row r="660" spans="1:72">
      <c r="A660" s="27">
        <f>IF(Data!$A660="","",Data!$A660)</f>
        <v>0</v>
      </c>
      <c r="B660">
        <f>IF(Data!$B660="","",Data!$B660)</f>
        <v>0</v>
      </c>
      <c r="C660">
        <f>IF(Data!$C660="","",Data!$C660)</f>
        <v>0</v>
      </c>
      <c r="D660">
        <f>IF(Data!$D660="","",Data!$D660)</f>
        <v>0</v>
      </c>
      <c r="E660">
        <f>IF(Data!$E660="","",Data!$E660)</f>
        <v>0</v>
      </c>
      <c r="F660">
        <f>IF($E660="","",N(F659)+1)</f>
        <v>0</v>
      </c>
      <c r="G660">
        <f>IF(OR($E660="",$E659=""),"",LN($E660/$E659))</f>
        <v>0</v>
      </c>
      <c r="H660">
        <f>IF($E660="","",IF($E659="",$E660,$E660*0.0952380952+H659*0.9047619048))</f>
        <v>0</v>
      </c>
      <c r="I660">
        <f>IF($E660="","",IF($E659="",$E660,$E660*0.0392156863+I659*0.9607843137))</f>
        <v>0</v>
      </c>
      <c r="J660">
        <f>IF($E660="","",IF($E659="",$E660,$E660*0.0198019802+J659*0.9801980198))</f>
        <v>0</v>
      </c>
      <c r="K660">
        <f>IF($E660="","",IF($E659="",$E660,$E660*0.0099502488+K659*0.9900497512))</f>
        <v>0</v>
      </c>
      <c r="L660">
        <f>IF(OR($E660="",$E659=""),"",MAX($E660-$E659,0))</f>
        <v>0</v>
      </c>
      <c r="M660">
        <f>IF(OR($E660="",$E659=""),"",MAX($E659-$E660,0))</f>
        <v>0</v>
      </c>
      <c r="N660">
        <f>IF(COUNT($E$2:$E660)&lt;15,"",IF(AVERAGE($M$647:$M$660)=0,100,100-100/(1+AVERAGE($L$647:$L$660)/AVERAGE($M$647:$M$660))))</f>
        <v>0</v>
      </c>
      <c r="O660">
        <f>IF($E660="","",IF($E659="",$E660,$E660*0.1538461538+O659*0.8461538462))</f>
        <v>0</v>
      </c>
      <c r="P660">
        <f>IF($E660="","",IF($E659="",$E660,$E660*0.0740740741+P659*0.9259259259))</f>
        <v>0</v>
      </c>
      <c r="Q660">
        <f>IF(OR(O660="",P660=""),"",O660-P660)</f>
        <v>0</v>
      </c>
      <c r="R660">
        <f>IF(Q660="","",IF(R659="",Q660,Q660*0.2000000000+R659*0.8000000000))</f>
        <v>0</v>
      </c>
      <c r="S660">
        <f>IF(OR(Q660="",R660=""),"",Q660-R660)</f>
        <v>0</v>
      </c>
      <c r="T660">
        <f>IF(COUNT($E$2:$E660)&lt;14,"",MAX($C$647:$C$660))</f>
        <v>0</v>
      </c>
      <c r="U660">
        <f>IF(COUNT($E$2:$E660)&lt;14,"",MIN($D$647:$D$660))</f>
        <v>0</v>
      </c>
      <c r="V660">
        <f>IF(OR(T660="",U660="",T660=U660),"",100*($E660-U660)/(T660-U660))</f>
        <v>0</v>
      </c>
      <c r="W660">
        <f>IF(COUNT($V$658:$V$660)&lt;3,"",AVERAGE($V$658:$V$660))</f>
        <v>0</v>
      </c>
      <c r="X660">
        <f>IF(COUNT($N$647:$N$660)&lt;14,"",MIN($N$647:$N$660))</f>
        <v>0</v>
      </c>
      <c r="Y660">
        <f>IF(COUNT($N$647:$N$660)&lt;14,"",MAX($N$647:$N$660))</f>
        <v>0</v>
      </c>
      <c r="Z660">
        <f>IF(OR(N660="",X660="",Y660="",Y660=X660),"",100*(N660-X660)/(Y660-X660))</f>
        <v>0</v>
      </c>
      <c r="AA660">
        <f>IF(COUNT($Z$658:$Z$660)&lt;3,"",AVERAGE($Z$658:$Z$660))</f>
        <v>0</v>
      </c>
      <c r="AB660">
        <f>IF(COUNT($AA$658:$AA$660)&lt;3,"",AVERAGE($AA$658:$AA$660))</f>
        <v>0</v>
      </c>
      <c r="AC660">
        <f>IF($E660="","",MAX($C660-$D660,ABS($C660-$E659),ABS($D660-$E659)))</f>
        <v>0</v>
      </c>
      <c r="AD660">
        <f>IF(COUNT($E$2:$E660)&lt;15,"",AVERAGE($AC$647:$AC$660))</f>
        <v>0</v>
      </c>
      <c r="AE660">
        <f>IF(OR($E660="",$E659=""),"",IF(AND(($C660-$C659)&gt;($D659-$D660),($C660-$C659)&gt;0),$C660-$C659,0))</f>
        <v>0</v>
      </c>
      <c r="AF660">
        <f>IF(OR($E660="",$E659=""),"",IF(AND(($D659-$D660)&gt;($C660-$C659),($D659-$D660)&gt;0),$D659-$D660,0))</f>
        <v>0</v>
      </c>
      <c r="AG660">
        <f>IF(COUNT($E$2:$E660)&lt;15,"",IF(SUM($AC$647:$AC$660)=0,0,100*SUM($AE$647:$AE$660)/SUM($AC$647:$AC$660)))</f>
        <v>0</v>
      </c>
      <c r="AH660">
        <f>IF(COUNT($E$2:$E660)&lt;15,"",IF(SUM($AC$647:$AC$660)=0,0,100*SUM($AF$647:$AF$660)/SUM($AC$647:$AC$660)))</f>
        <v>0</v>
      </c>
      <c r="AI660">
        <f>IF(OR(AG660="",AH660=""),"",IF((AG660+AH660)=0,0,100*ABS(AG660-AH660)/(AG660+AH660)))</f>
        <v>0</v>
      </c>
      <c r="AJ660">
        <f>IF(COUNT($AI$647:$AI$660)&lt;14,"",AVERAGE($AI$647:$AI$660))</f>
        <v>0</v>
      </c>
      <c r="AK660">
        <f>IF(COUNT($E$2:$E660)&lt;20,"",AVERAGE($E$641:$E$660))</f>
        <v>0</v>
      </c>
      <c r="AL660">
        <f>IF(COUNT($E$2:$E660)&lt;20,"",STDEVP($E$641:$E$660))</f>
        <v>0</v>
      </c>
      <c r="AM660">
        <f>IF(AK660="","",AK660+2*AL660)</f>
        <v>0</v>
      </c>
      <c r="AN660">
        <f>IF(AK660="","",AK660-2*AL660)</f>
        <v>0</v>
      </c>
      <c r="AO660">
        <f>IF(OR(AM660="",AN660="",AM660=AN660),"",($E660-AN660)/(AM660-AN660))</f>
        <v>0</v>
      </c>
      <c r="AP660">
        <f>IF(OR(AM660="",AK660="",AK660=0),"",(AM660-AN660)/AK660)</f>
        <v>0</v>
      </c>
      <c r="AQ660">
        <f>IF(COUNT($E$2:$E660)&lt;20,"",MAX($C$641:$C$660))</f>
        <v>0</v>
      </c>
      <c r="AR660">
        <f>IF(COUNT($E$2:$E660)&lt;20,"",MIN($D$641:$D$660))</f>
        <v>0</v>
      </c>
      <c r="AS660">
        <f>IF(OR(AQ660="",AR660=""),"",(AQ660+AR660)/2)</f>
        <v>0</v>
      </c>
      <c r="AT660">
        <f>IF(COUNT($G$641:$G$660)&lt;20,"",STDEV($G$641:$G$660)*SQRT(252))</f>
        <v>0</v>
      </c>
      <c r="AU660">
        <f>IF(COUNT($E$2:$E660)&lt;9,"",(MAX($C$652:$C$660)+MIN($D$652:$D$660))/2)</f>
        <v>0</v>
      </c>
      <c r="AV660">
        <f>IF(COUNT($E$2:$E660)&lt;26,"",(MAX($C$635:$C$660)+MIN($D$635:$D$660))/2)</f>
        <v>0</v>
      </c>
      <c r="AW660">
        <f>IF(OR(AU660="",AV660=""),"",(AU660+AV660)/2)</f>
        <v>0</v>
      </c>
      <c r="AX660">
        <f>IF(COUNT($E$2:$E660)&lt;52,"",(MAX($C$609:$C$660)+MIN($D$609:$D$660))/2)</f>
        <v>0</v>
      </c>
      <c r="AY660">
        <f>IF(COUNT($E$2:$E660)&lt;20,"",MAX($C$561:$C$660))</f>
        <v>0</v>
      </c>
      <c r="AZ660">
        <f>IF(COUNT($E$2:$E660)&lt;20,"",MIN($D$561:$D$660))</f>
        <v>0</v>
      </c>
      <c r="BA660">
        <f>IF(COUNT($E$2:$E660)&lt;20,"",SLOPE($E$561:$E$660,$F$561:$F$660))</f>
        <v>0</v>
      </c>
      <c r="BB660">
        <f>IF(COUNT($E$2:$E660)&lt;20,"",INTERCEPT($E$561:$E$660,$F$561:$F$660))</f>
        <v>0</v>
      </c>
      <c r="BC660">
        <f>IF(OR(BA660="",BB660=""),"",BB660+BA660*F660)</f>
        <v>0</v>
      </c>
      <c r="BD660">
        <f>IF(COUNT($E$2:$E660)&lt;20,"",STEYX($E$561:$E$660,$F$561:$F$660))</f>
        <v>0</v>
      </c>
      <c r="BE660">
        <f>IF($E660="","",IF(AND(COUNT($E$661:$E$664)&gt;=4,$C660=MAX($C$656:$C$664)),$C660,""))</f>
        <v>0</v>
      </c>
      <c r="BF660">
        <f>IF($E660="","",IF(AND(COUNT($E$661:$E$664)&gt;=4,$D660=MIN($D$656:$D$664)),$D660,""))</f>
        <v>0</v>
      </c>
      <c r="BG660">
        <f>IF($A660="","",$A660-WEEKDAY($A660,2)+1)</f>
        <v>0</v>
      </c>
      <c r="BH660">
        <f>IF($A660="","",IF($A659="",1,IF(BG660&lt;&gt;BG659,1,0)))</f>
        <v>0</v>
      </c>
      <c r="BI660">
        <f>IF($A660="","",IF($A661="",1,IF(BG661&lt;&gt;BG660,1,0)))</f>
        <v>0</v>
      </c>
      <c r="BJ660">
        <f>IF($A660="","",IF(BH660=1,$B660,BJ659))</f>
        <v>0</v>
      </c>
      <c r="BK660">
        <f>IF($A660="","",IF(BH660=1,$C660,MAX($C660,BK659)))</f>
        <v>0</v>
      </c>
      <c r="BL660">
        <f>IF($A660="","",IF(BH660=1,$D660,MIN($D660,BL659)))</f>
        <v>0</v>
      </c>
      <c r="BM660">
        <f>IF($A660="","",IF(BI660=1,F660,""))</f>
        <v>0</v>
      </c>
      <c r="BN660">
        <f>IF($A660="","",DATE(YEAR($A660),MONTH($A660),1))</f>
        <v>0</v>
      </c>
      <c r="BO660">
        <f>IF($A660="","",IF($A659="",1,IF(BN660&lt;&gt;BN659,1,0)))</f>
        <v>0</v>
      </c>
      <c r="BP660">
        <f>IF($A660="","",IF($A661="",1,IF(BN661&lt;&gt;BN660,1,0)))</f>
        <v>0</v>
      </c>
      <c r="BQ660">
        <f>IF($A660="","",IF(BO660=1,$B660,BQ659))</f>
        <v>0</v>
      </c>
      <c r="BR660">
        <f>IF($A660="","",IF(BO660=1,$C660,MAX($C660,BR659)))</f>
        <v>0</v>
      </c>
      <c r="BS660">
        <f>IF($A660="","",IF(BO660=1,$D660,MIN($D660,BS659)))</f>
        <v>0</v>
      </c>
      <c r="BT660">
        <f>IF($A660="","",IF(BP660=1,F660,""))</f>
        <v>0</v>
      </c>
    </row>
    <row r="661" spans="1:72">
      <c r="A661" s="27">
        <f>IF(Data!$A661="","",Data!$A661)</f>
        <v>0</v>
      </c>
      <c r="B661">
        <f>IF(Data!$B661="","",Data!$B661)</f>
        <v>0</v>
      </c>
      <c r="C661">
        <f>IF(Data!$C661="","",Data!$C661)</f>
        <v>0</v>
      </c>
      <c r="D661">
        <f>IF(Data!$D661="","",Data!$D661)</f>
        <v>0</v>
      </c>
      <c r="E661">
        <f>IF(Data!$E661="","",Data!$E661)</f>
        <v>0</v>
      </c>
      <c r="F661">
        <f>IF($E661="","",N(F660)+1)</f>
        <v>0</v>
      </c>
      <c r="G661">
        <f>IF(OR($E661="",$E660=""),"",LN($E661/$E660))</f>
        <v>0</v>
      </c>
      <c r="H661">
        <f>IF($E661="","",IF($E660="",$E661,$E661*0.0952380952+H660*0.9047619048))</f>
        <v>0</v>
      </c>
      <c r="I661">
        <f>IF($E661="","",IF($E660="",$E661,$E661*0.0392156863+I660*0.9607843137))</f>
        <v>0</v>
      </c>
      <c r="J661">
        <f>IF($E661="","",IF($E660="",$E661,$E661*0.0198019802+J660*0.9801980198))</f>
        <v>0</v>
      </c>
      <c r="K661">
        <f>IF($E661="","",IF($E660="",$E661,$E661*0.0099502488+K660*0.9900497512))</f>
        <v>0</v>
      </c>
      <c r="L661">
        <f>IF(OR($E661="",$E660=""),"",MAX($E661-$E660,0))</f>
        <v>0</v>
      </c>
      <c r="M661">
        <f>IF(OR($E661="",$E660=""),"",MAX($E660-$E661,0))</f>
        <v>0</v>
      </c>
      <c r="N661">
        <f>IF(COUNT($E$2:$E661)&lt;15,"",IF(AVERAGE($M$648:$M$661)=0,100,100-100/(1+AVERAGE($L$648:$L$661)/AVERAGE($M$648:$M$661))))</f>
        <v>0</v>
      </c>
      <c r="O661">
        <f>IF($E661="","",IF($E660="",$E661,$E661*0.1538461538+O660*0.8461538462))</f>
        <v>0</v>
      </c>
      <c r="P661">
        <f>IF($E661="","",IF($E660="",$E661,$E661*0.0740740741+P660*0.9259259259))</f>
        <v>0</v>
      </c>
      <c r="Q661">
        <f>IF(OR(O661="",P661=""),"",O661-P661)</f>
        <v>0</v>
      </c>
      <c r="R661">
        <f>IF(Q661="","",IF(R660="",Q661,Q661*0.2000000000+R660*0.8000000000))</f>
        <v>0</v>
      </c>
      <c r="S661">
        <f>IF(OR(Q661="",R661=""),"",Q661-R661)</f>
        <v>0</v>
      </c>
      <c r="T661">
        <f>IF(COUNT($E$2:$E661)&lt;14,"",MAX($C$648:$C$661))</f>
        <v>0</v>
      </c>
      <c r="U661">
        <f>IF(COUNT($E$2:$E661)&lt;14,"",MIN($D$648:$D$661))</f>
        <v>0</v>
      </c>
      <c r="V661">
        <f>IF(OR(T661="",U661="",T661=U661),"",100*($E661-U661)/(T661-U661))</f>
        <v>0</v>
      </c>
      <c r="W661">
        <f>IF(COUNT($V$659:$V$661)&lt;3,"",AVERAGE($V$659:$V$661))</f>
        <v>0</v>
      </c>
      <c r="X661">
        <f>IF(COUNT($N$648:$N$661)&lt;14,"",MIN($N$648:$N$661))</f>
        <v>0</v>
      </c>
      <c r="Y661">
        <f>IF(COUNT($N$648:$N$661)&lt;14,"",MAX($N$648:$N$661))</f>
        <v>0</v>
      </c>
      <c r="Z661">
        <f>IF(OR(N661="",X661="",Y661="",Y661=X661),"",100*(N661-X661)/(Y661-X661))</f>
        <v>0</v>
      </c>
      <c r="AA661">
        <f>IF(COUNT($Z$659:$Z$661)&lt;3,"",AVERAGE($Z$659:$Z$661))</f>
        <v>0</v>
      </c>
      <c r="AB661">
        <f>IF(COUNT($AA$659:$AA$661)&lt;3,"",AVERAGE($AA$659:$AA$661))</f>
        <v>0</v>
      </c>
      <c r="AC661">
        <f>IF($E661="","",MAX($C661-$D661,ABS($C661-$E660),ABS($D661-$E660)))</f>
        <v>0</v>
      </c>
      <c r="AD661">
        <f>IF(COUNT($E$2:$E661)&lt;15,"",AVERAGE($AC$648:$AC$661))</f>
        <v>0</v>
      </c>
      <c r="AE661">
        <f>IF(OR($E661="",$E660=""),"",IF(AND(($C661-$C660)&gt;($D660-$D661),($C661-$C660)&gt;0),$C661-$C660,0))</f>
        <v>0</v>
      </c>
      <c r="AF661">
        <f>IF(OR($E661="",$E660=""),"",IF(AND(($D660-$D661)&gt;($C661-$C660),($D660-$D661)&gt;0),$D660-$D661,0))</f>
        <v>0</v>
      </c>
      <c r="AG661">
        <f>IF(COUNT($E$2:$E661)&lt;15,"",IF(SUM($AC$648:$AC$661)=0,0,100*SUM($AE$648:$AE$661)/SUM($AC$648:$AC$661)))</f>
        <v>0</v>
      </c>
      <c r="AH661">
        <f>IF(COUNT($E$2:$E661)&lt;15,"",IF(SUM($AC$648:$AC$661)=0,0,100*SUM($AF$648:$AF$661)/SUM($AC$648:$AC$661)))</f>
        <v>0</v>
      </c>
      <c r="AI661">
        <f>IF(OR(AG661="",AH661=""),"",IF((AG661+AH661)=0,0,100*ABS(AG661-AH661)/(AG661+AH661)))</f>
        <v>0</v>
      </c>
      <c r="AJ661">
        <f>IF(COUNT($AI$648:$AI$661)&lt;14,"",AVERAGE($AI$648:$AI$661))</f>
        <v>0</v>
      </c>
      <c r="AK661">
        <f>IF(COUNT($E$2:$E661)&lt;20,"",AVERAGE($E$642:$E$661))</f>
        <v>0</v>
      </c>
      <c r="AL661">
        <f>IF(COUNT($E$2:$E661)&lt;20,"",STDEVP($E$642:$E$661))</f>
        <v>0</v>
      </c>
      <c r="AM661">
        <f>IF(AK661="","",AK661+2*AL661)</f>
        <v>0</v>
      </c>
      <c r="AN661">
        <f>IF(AK661="","",AK661-2*AL661)</f>
        <v>0</v>
      </c>
      <c r="AO661">
        <f>IF(OR(AM661="",AN661="",AM661=AN661),"",($E661-AN661)/(AM661-AN661))</f>
        <v>0</v>
      </c>
      <c r="AP661">
        <f>IF(OR(AM661="",AK661="",AK661=0),"",(AM661-AN661)/AK661)</f>
        <v>0</v>
      </c>
      <c r="AQ661">
        <f>IF(COUNT($E$2:$E661)&lt;20,"",MAX($C$642:$C$661))</f>
        <v>0</v>
      </c>
      <c r="AR661">
        <f>IF(COUNT($E$2:$E661)&lt;20,"",MIN($D$642:$D$661))</f>
        <v>0</v>
      </c>
      <c r="AS661">
        <f>IF(OR(AQ661="",AR661=""),"",(AQ661+AR661)/2)</f>
        <v>0</v>
      </c>
      <c r="AT661">
        <f>IF(COUNT($G$642:$G$661)&lt;20,"",STDEV($G$642:$G$661)*SQRT(252))</f>
        <v>0</v>
      </c>
      <c r="AU661">
        <f>IF(COUNT($E$2:$E661)&lt;9,"",(MAX($C$653:$C$661)+MIN($D$653:$D$661))/2)</f>
        <v>0</v>
      </c>
      <c r="AV661">
        <f>IF(COUNT($E$2:$E661)&lt;26,"",(MAX($C$636:$C$661)+MIN($D$636:$D$661))/2)</f>
        <v>0</v>
      </c>
      <c r="AW661">
        <f>IF(OR(AU661="",AV661=""),"",(AU661+AV661)/2)</f>
        <v>0</v>
      </c>
      <c r="AX661">
        <f>IF(COUNT($E$2:$E661)&lt;52,"",(MAX($C$610:$C$661)+MIN($D$610:$D$661))/2)</f>
        <v>0</v>
      </c>
      <c r="AY661">
        <f>IF(COUNT($E$2:$E661)&lt;20,"",MAX($C$562:$C$661))</f>
        <v>0</v>
      </c>
      <c r="AZ661">
        <f>IF(COUNT($E$2:$E661)&lt;20,"",MIN($D$562:$D$661))</f>
        <v>0</v>
      </c>
      <c r="BA661">
        <f>IF(COUNT($E$2:$E661)&lt;20,"",SLOPE($E$562:$E$661,$F$562:$F$661))</f>
        <v>0</v>
      </c>
      <c r="BB661">
        <f>IF(COUNT($E$2:$E661)&lt;20,"",INTERCEPT($E$562:$E$661,$F$562:$F$661))</f>
        <v>0</v>
      </c>
      <c r="BC661">
        <f>IF(OR(BA661="",BB661=""),"",BB661+BA661*F661)</f>
        <v>0</v>
      </c>
      <c r="BD661">
        <f>IF(COUNT($E$2:$E661)&lt;20,"",STEYX($E$562:$E$661,$F$562:$F$661))</f>
        <v>0</v>
      </c>
      <c r="BE661">
        <f>IF($E661="","",IF(AND(COUNT($E$662:$E$665)&gt;=4,$C661=MAX($C$657:$C$665)),$C661,""))</f>
        <v>0</v>
      </c>
      <c r="BF661">
        <f>IF($E661="","",IF(AND(COUNT($E$662:$E$665)&gt;=4,$D661=MIN($D$657:$D$665)),$D661,""))</f>
        <v>0</v>
      </c>
      <c r="BG661">
        <f>IF($A661="","",$A661-WEEKDAY($A661,2)+1)</f>
        <v>0</v>
      </c>
      <c r="BH661">
        <f>IF($A661="","",IF($A660="",1,IF(BG661&lt;&gt;BG660,1,0)))</f>
        <v>0</v>
      </c>
      <c r="BI661">
        <f>IF($A661="","",IF($A662="",1,IF(BG662&lt;&gt;BG661,1,0)))</f>
        <v>0</v>
      </c>
      <c r="BJ661">
        <f>IF($A661="","",IF(BH661=1,$B661,BJ660))</f>
        <v>0</v>
      </c>
      <c r="BK661">
        <f>IF($A661="","",IF(BH661=1,$C661,MAX($C661,BK660)))</f>
        <v>0</v>
      </c>
      <c r="BL661">
        <f>IF($A661="","",IF(BH661=1,$D661,MIN($D661,BL660)))</f>
        <v>0</v>
      </c>
      <c r="BM661">
        <f>IF($A661="","",IF(BI661=1,F661,""))</f>
        <v>0</v>
      </c>
      <c r="BN661">
        <f>IF($A661="","",DATE(YEAR($A661),MONTH($A661),1))</f>
        <v>0</v>
      </c>
      <c r="BO661">
        <f>IF($A661="","",IF($A660="",1,IF(BN661&lt;&gt;BN660,1,0)))</f>
        <v>0</v>
      </c>
      <c r="BP661">
        <f>IF($A661="","",IF($A662="",1,IF(BN662&lt;&gt;BN661,1,0)))</f>
        <v>0</v>
      </c>
      <c r="BQ661">
        <f>IF($A661="","",IF(BO661=1,$B661,BQ660))</f>
        <v>0</v>
      </c>
      <c r="BR661">
        <f>IF($A661="","",IF(BO661=1,$C661,MAX($C661,BR660)))</f>
        <v>0</v>
      </c>
      <c r="BS661">
        <f>IF($A661="","",IF(BO661=1,$D661,MIN($D661,BS660)))</f>
        <v>0</v>
      </c>
      <c r="BT661">
        <f>IF($A661="","",IF(BP661=1,F661,""))</f>
        <v>0</v>
      </c>
    </row>
    <row r="662" spans="1:72">
      <c r="A662" s="27">
        <f>IF(Data!$A662="","",Data!$A662)</f>
        <v>0</v>
      </c>
      <c r="B662">
        <f>IF(Data!$B662="","",Data!$B662)</f>
        <v>0</v>
      </c>
      <c r="C662">
        <f>IF(Data!$C662="","",Data!$C662)</f>
        <v>0</v>
      </c>
      <c r="D662">
        <f>IF(Data!$D662="","",Data!$D662)</f>
        <v>0</v>
      </c>
      <c r="E662">
        <f>IF(Data!$E662="","",Data!$E662)</f>
        <v>0</v>
      </c>
      <c r="F662">
        <f>IF($E662="","",N(F661)+1)</f>
        <v>0</v>
      </c>
      <c r="G662">
        <f>IF(OR($E662="",$E661=""),"",LN($E662/$E661))</f>
        <v>0</v>
      </c>
      <c r="H662">
        <f>IF($E662="","",IF($E661="",$E662,$E662*0.0952380952+H661*0.9047619048))</f>
        <v>0</v>
      </c>
      <c r="I662">
        <f>IF($E662="","",IF($E661="",$E662,$E662*0.0392156863+I661*0.9607843137))</f>
        <v>0</v>
      </c>
      <c r="J662">
        <f>IF($E662="","",IF($E661="",$E662,$E662*0.0198019802+J661*0.9801980198))</f>
        <v>0</v>
      </c>
      <c r="K662">
        <f>IF($E662="","",IF($E661="",$E662,$E662*0.0099502488+K661*0.9900497512))</f>
        <v>0</v>
      </c>
      <c r="L662">
        <f>IF(OR($E662="",$E661=""),"",MAX($E662-$E661,0))</f>
        <v>0</v>
      </c>
      <c r="M662">
        <f>IF(OR($E662="",$E661=""),"",MAX($E661-$E662,0))</f>
        <v>0</v>
      </c>
      <c r="N662">
        <f>IF(COUNT($E$2:$E662)&lt;15,"",IF(AVERAGE($M$649:$M$662)=0,100,100-100/(1+AVERAGE($L$649:$L$662)/AVERAGE($M$649:$M$662))))</f>
        <v>0</v>
      </c>
      <c r="O662">
        <f>IF($E662="","",IF($E661="",$E662,$E662*0.1538461538+O661*0.8461538462))</f>
        <v>0</v>
      </c>
      <c r="P662">
        <f>IF($E662="","",IF($E661="",$E662,$E662*0.0740740741+P661*0.9259259259))</f>
        <v>0</v>
      </c>
      <c r="Q662">
        <f>IF(OR(O662="",P662=""),"",O662-P662)</f>
        <v>0</v>
      </c>
      <c r="R662">
        <f>IF(Q662="","",IF(R661="",Q662,Q662*0.2000000000+R661*0.8000000000))</f>
        <v>0</v>
      </c>
      <c r="S662">
        <f>IF(OR(Q662="",R662=""),"",Q662-R662)</f>
        <v>0</v>
      </c>
      <c r="T662">
        <f>IF(COUNT($E$2:$E662)&lt;14,"",MAX($C$649:$C$662))</f>
        <v>0</v>
      </c>
      <c r="U662">
        <f>IF(COUNT($E$2:$E662)&lt;14,"",MIN($D$649:$D$662))</f>
        <v>0</v>
      </c>
      <c r="V662">
        <f>IF(OR(T662="",U662="",T662=U662),"",100*($E662-U662)/(T662-U662))</f>
        <v>0</v>
      </c>
      <c r="W662">
        <f>IF(COUNT($V$660:$V$662)&lt;3,"",AVERAGE($V$660:$V$662))</f>
        <v>0</v>
      </c>
      <c r="X662">
        <f>IF(COUNT($N$649:$N$662)&lt;14,"",MIN($N$649:$N$662))</f>
        <v>0</v>
      </c>
      <c r="Y662">
        <f>IF(COUNT($N$649:$N$662)&lt;14,"",MAX($N$649:$N$662))</f>
        <v>0</v>
      </c>
      <c r="Z662">
        <f>IF(OR(N662="",X662="",Y662="",Y662=X662),"",100*(N662-X662)/(Y662-X662))</f>
        <v>0</v>
      </c>
      <c r="AA662">
        <f>IF(COUNT($Z$660:$Z$662)&lt;3,"",AVERAGE($Z$660:$Z$662))</f>
        <v>0</v>
      </c>
      <c r="AB662">
        <f>IF(COUNT($AA$660:$AA$662)&lt;3,"",AVERAGE($AA$660:$AA$662))</f>
        <v>0</v>
      </c>
      <c r="AC662">
        <f>IF($E662="","",MAX($C662-$D662,ABS($C662-$E661),ABS($D662-$E661)))</f>
        <v>0</v>
      </c>
      <c r="AD662">
        <f>IF(COUNT($E$2:$E662)&lt;15,"",AVERAGE($AC$649:$AC$662))</f>
        <v>0</v>
      </c>
      <c r="AE662">
        <f>IF(OR($E662="",$E661=""),"",IF(AND(($C662-$C661)&gt;($D661-$D662),($C662-$C661)&gt;0),$C662-$C661,0))</f>
        <v>0</v>
      </c>
      <c r="AF662">
        <f>IF(OR($E662="",$E661=""),"",IF(AND(($D661-$D662)&gt;($C662-$C661),($D661-$D662)&gt;0),$D661-$D662,0))</f>
        <v>0</v>
      </c>
      <c r="AG662">
        <f>IF(COUNT($E$2:$E662)&lt;15,"",IF(SUM($AC$649:$AC$662)=0,0,100*SUM($AE$649:$AE$662)/SUM($AC$649:$AC$662)))</f>
        <v>0</v>
      </c>
      <c r="AH662">
        <f>IF(COUNT($E$2:$E662)&lt;15,"",IF(SUM($AC$649:$AC$662)=0,0,100*SUM($AF$649:$AF$662)/SUM($AC$649:$AC$662)))</f>
        <v>0</v>
      </c>
      <c r="AI662">
        <f>IF(OR(AG662="",AH662=""),"",IF((AG662+AH662)=0,0,100*ABS(AG662-AH662)/(AG662+AH662)))</f>
        <v>0</v>
      </c>
      <c r="AJ662">
        <f>IF(COUNT($AI$649:$AI$662)&lt;14,"",AVERAGE($AI$649:$AI$662))</f>
        <v>0</v>
      </c>
      <c r="AK662">
        <f>IF(COUNT($E$2:$E662)&lt;20,"",AVERAGE($E$643:$E$662))</f>
        <v>0</v>
      </c>
      <c r="AL662">
        <f>IF(COUNT($E$2:$E662)&lt;20,"",STDEVP($E$643:$E$662))</f>
        <v>0</v>
      </c>
      <c r="AM662">
        <f>IF(AK662="","",AK662+2*AL662)</f>
        <v>0</v>
      </c>
      <c r="AN662">
        <f>IF(AK662="","",AK662-2*AL662)</f>
        <v>0</v>
      </c>
      <c r="AO662">
        <f>IF(OR(AM662="",AN662="",AM662=AN662),"",($E662-AN662)/(AM662-AN662))</f>
        <v>0</v>
      </c>
      <c r="AP662">
        <f>IF(OR(AM662="",AK662="",AK662=0),"",(AM662-AN662)/AK662)</f>
        <v>0</v>
      </c>
      <c r="AQ662">
        <f>IF(COUNT($E$2:$E662)&lt;20,"",MAX($C$643:$C$662))</f>
        <v>0</v>
      </c>
      <c r="AR662">
        <f>IF(COUNT($E$2:$E662)&lt;20,"",MIN($D$643:$D$662))</f>
        <v>0</v>
      </c>
      <c r="AS662">
        <f>IF(OR(AQ662="",AR662=""),"",(AQ662+AR662)/2)</f>
        <v>0</v>
      </c>
      <c r="AT662">
        <f>IF(COUNT($G$643:$G$662)&lt;20,"",STDEV($G$643:$G$662)*SQRT(252))</f>
        <v>0</v>
      </c>
      <c r="AU662">
        <f>IF(COUNT($E$2:$E662)&lt;9,"",(MAX($C$654:$C$662)+MIN($D$654:$D$662))/2)</f>
        <v>0</v>
      </c>
      <c r="AV662">
        <f>IF(COUNT($E$2:$E662)&lt;26,"",(MAX($C$637:$C$662)+MIN($D$637:$D$662))/2)</f>
        <v>0</v>
      </c>
      <c r="AW662">
        <f>IF(OR(AU662="",AV662=""),"",(AU662+AV662)/2)</f>
        <v>0</v>
      </c>
      <c r="AX662">
        <f>IF(COUNT($E$2:$E662)&lt;52,"",(MAX($C$611:$C$662)+MIN($D$611:$D$662))/2)</f>
        <v>0</v>
      </c>
      <c r="AY662">
        <f>IF(COUNT($E$2:$E662)&lt;20,"",MAX($C$563:$C$662))</f>
        <v>0</v>
      </c>
      <c r="AZ662">
        <f>IF(COUNT($E$2:$E662)&lt;20,"",MIN($D$563:$D$662))</f>
        <v>0</v>
      </c>
      <c r="BA662">
        <f>IF(COUNT($E$2:$E662)&lt;20,"",SLOPE($E$563:$E$662,$F$563:$F$662))</f>
        <v>0</v>
      </c>
      <c r="BB662">
        <f>IF(COUNT($E$2:$E662)&lt;20,"",INTERCEPT($E$563:$E$662,$F$563:$F$662))</f>
        <v>0</v>
      </c>
      <c r="BC662">
        <f>IF(OR(BA662="",BB662=""),"",BB662+BA662*F662)</f>
        <v>0</v>
      </c>
      <c r="BD662">
        <f>IF(COUNT($E$2:$E662)&lt;20,"",STEYX($E$563:$E$662,$F$563:$F$662))</f>
        <v>0</v>
      </c>
      <c r="BE662">
        <f>IF($E662="","",IF(AND(COUNT($E$663:$E$666)&gt;=4,$C662=MAX($C$658:$C$666)),$C662,""))</f>
        <v>0</v>
      </c>
      <c r="BF662">
        <f>IF($E662="","",IF(AND(COUNT($E$663:$E$666)&gt;=4,$D662=MIN($D$658:$D$666)),$D662,""))</f>
        <v>0</v>
      </c>
      <c r="BG662">
        <f>IF($A662="","",$A662-WEEKDAY($A662,2)+1)</f>
        <v>0</v>
      </c>
      <c r="BH662">
        <f>IF($A662="","",IF($A661="",1,IF(BG662&lt;&gt;BG661,1,0)))</f>
        <v>0</v>
      </c>
      <c r="BI662">
        <f>IF($A662="","",IF($A663="",1,IF(BG663&lt;&gt;BG662,1,0)))</f>
        <v>0</v>
      </c>
      <c r="BJ662">
        <f>IF($A662="","",IF(BH662=1,$B662,BJ661))</f>
        <v>0</v>
      </c>
      <c r="BK662">
        <f>IF($A662="","",IF(BH662=1,$C662,MAX($C662,BK661)))</f>
        <v>0</v>
      </c>
      <c r="BL662">
        <f>IF($A662="","",IF(BH662=1,$D662,MIN($D662,BL661)))</f>
        <v>0</v>
      </c>
      <c r="BM662">
        <f>IF($A662="","",IF(BI662=1,F662,""))</f>
        <v>0</v>
      </c>
      <c r="BN662">
        <f>IF($A662="","",DATE(YEAR($A662),MONTH($A662),1))</f>
        <v>0</v>
      </c>
      <c r="BO662">
        <f>IF($A662="","",IF($A661="",1,IF(BN662&lt;&gt;BN661,1,0)))</f>
        <v>0</v>
      </c>
      <c r="BP662">
        <f>IF($A662="","",IF($A663="",1,IF(BN663&lt;&gt;BN662,1,0)))</f>
        <v>0</v>
      </c>
      <c r="BQ662">
        <f>IF($A662="","",IF(BO662=1,$B662,BQ661))</f>
        <v>0</v>
      </c>
      <c r="BR662">
        <f>IF($A662="","",IF(BO662=1,$C662,MAX($C662,BR661)))</f>
        <v>0</v>
      </c>
      <c r="BS662">
        <f>IF($A662="","",IF(BO662=1,$D662,MIN($D662,BS661)))</f>
        <v>0</v>
      </c>
      <c r="BT662">
        <f>IF($A662="","",IF(BP662=1,F662,""))</f>
        <v>0</v>
      </c>
    </row>
    <row r="663" spans="1:72">
      <c r="A663" s="27">
        <f>IF(Data!$A663="","",Data!$A663)</f>
        <v>0</v>
      </c>
      <c r="B663">
        <f>IF(Data!$B663="","",Data!$B663)</f>
        <v>0</v>
      </c>
      <c r="C663">
        <f>IF(Data!$C663="","",Data!$C663)</f>
        <v>0</v>
      </c>
      <c r="D663">
        <f>IF(Data!$D663="","",Data!$D663)</f>
        <v>0</v>
      </c>
      <c r="E663">
        <f>IF(Data!$E663="","",Data!$E663)</f>
        <v>0</v>
      </c>
      <c r="F663">
        <f>IF($E663="","",N(F662)+1)</f>
        <v>0</v>
      </c>
      <c r="G663">
        <f>IF(OR($E663="",$E662=""),"",LN($E663/$E662))</f>
        <v>0</v>
      </c>
      <c r="H663">
        <f>IF($E663="","",IF($E662="",$E663,$E663*0.0952380952+H662*0.9047619048))</f>
        <v>0</v>
      </c>
      <c r="I663">
        <f>IF($E663="","",IF($E662="",$E663,$E663*0.0392156863+I662*0.9607843137))</f>
        <v>0</v>
      </c>
      <c r="J663">
        <f>IF($E663="","",IF($E662="",$E663,$E663*0.0198019802+J662*0.9801980198))</f>
        <v>0</v>
      </c>
      <c r="K663">
        <f>IF($E663="","",IF($E662="",$E663,$E663*0.0099502488+K662*0.9900497512))</f>
        <v>0</v>
      </c>
      <c r="L663">
        <f>IF(OR($E663="",$E662=""),"",MAX($E663-$E662,0))</f>
        <v>0</v>
      </c>
      <c r="M663">
        <f>IF(OR($E663="",$E662=""),"",MAX($E662-$E663,0))</f>
        <v>0</v>
      </c>
      <c r="N663">
        <f>IF(COUNT($E$2:$E663)&lt;15,"",IF(AVERAGE($M$650:$M$663)=0,100,100-100/(1+AVERAGE($L$650:$L$663)/AVERAGE($M$650:$M$663))))</f>
        <v>0</v>
      </c>
      <c r="O663">
        <f>IF($E663="","",IF($E662="",$E663,$E663*0.1538461538+O662*0.8461538462))</f>
        <v>0</v>
      </c>
      <c r="P663">
        <f>IF($E663="","",IF($E662="",$E663,$E663*0.0740740741+P662*0.9259259259))</f>
        <v>0</v>
      </c>
      <c r="Q663">
        <f>IF(OR(O663="",P663=""),"",O663-P663)</f>
        <v>0</v>
      </c>
      <c r="R663">
        <f>IF(Q663="","",IF(R662="",Q663,Q663*0.2000000000+R662*0.8000000000))</f>
        <v>0</v>
      </c>
      <c r="S663">
        <f>IF(OR(Q663="",R663=""),"",Q663-R663)</f>
        <v>0</v>
      </c>
      <c r="T663">
        <f>IF(COUNT($E$2:$E663)&lt;14,"",MAX($C$650:$C$663))</f>
        <v>0</v>
      </c>
      <c r="U663">
        <f>IF(COUNT($E$2:$E663)&lt;14,"",MIN($D$650:$D$663))</f>
        <v>0</v>
      </c>
      <c r="V663">
        <f>IF(OR(T663="",U663="",T663=U663),"",100*($E663-U663)/(T663-U663))</f>
        <v>0</v>
      </c>
      <c r="W663">
        <f>IF(COUNT($V$661:$V$663)&lt;3,"",AVERAGE($V$661:$V$663))</f>
        <v>0</v>
      </c>
      <c r="X663">
        <f>IF(COUNT($N$650:$N$663)&lt;14,"",MIN($N$650:$N$663))</f>
        <v>0</v>
      </c>
      <c r="Y663">
        <f>IF(COUNT($N$650:$N$663)&lt;14,"",MAX($N$650:$N$663))</f>
        <v>0</v>
      </c>
      <c r="Z663">
        <f>IF(OR(N663="",X663="",Y663="",Y663=X663),"",100*(N663-X663)/(Y663-X663))</f>
        <v>0</v>
      </c>
      <c r="AA663">
        <f>IF(COUNT($Z$661:$Z$663)&lt;3,"",AVERAGE($Z$661:$Z$663))</f>
        <v>0</v>
      </c>
      <c r="AB663">
        <f>IF(COUNT($AA$661:$AA$663)&lt;3,"",AVERAGE($AA$661:$AA$663))</f>
        <v>0</v>
      </c>
      <c r="AC663">
        <f>IF($E663="","",MAX($C663-$D663,ABS($C663-$E662),ABS($D663-$E662)))</f>
        <v>0</v>
      </c>
      <c r="AD663">
        <f>IF(COUNT($E$2:$E663)&lt;15,"",AVERAGE($AC$650:$AC$663))</f>
        <v>0</v>
      </c>
      <c r="AE663">
        <f>IF(OR($E663="",$E662=""),"",IF(AND(($C663-$C662)&gt;($D662-$D663),($C663-$C662)&gt;0),$C663-$C662,0))</f>
        <v>0</v>
      </c>
      <c r="AF663">
        <f>IF(OR($E663="",$E662=""),"",IF(AND(($D662-$D663)&gt;($C663-$C662),($D662-$D663)&gt;0),$D662-$D663,0))</f>
        <v>0</v>
      </c>
      <c r="AG663">
        <f>IF(COUNT($E$2:$E663)&lt;15,"",IF(SUM($AC$650:$AC$663)=0,0,100*SUM($AE$650:$AE$663)/SUM($AC$650:$AC$663)))</f>
        <v>0</v>
      </c>
      <c r="AH663">
        <f>IF(COUNT($E$2:$E663)&lt;15,"",IF(SUM($AC$650:$AC$663)=0,0,100*SUM($AF$650:$AF$663)/SUM($AC$650:$AC$663)))</f>
        <v>0</v>
      </c>
      <c r="AI663">
        <f>IF(OR(AG663="",AH663=""),"",IF((AG663+AH663)=0,0,100*ABS(AG663-AH663)/(AG663+AH663)))</f>
        <v>0</v>
      </c>
      <c r="AJ663">
        <f>IF(COUNT($AI$650:$AI$663)&lt;14,"",AVERAGE($AI$650:$AI$663))</f>
        <v>0</v>
      </c>
      <c r="AK663">
        <f>IF(COUNT($E$2:$E663)&lt;20,"",AVERAGE($E$644:$E$663))</f>
        <v>0</v>
      </c>
      <c r="AL663">
        <f>IF(COUNT($E$2:$E663)&lt;20,"",STDEVP($E$644:$E$663))</f>
        <v>0</v>
      </c>
      <c r="AM663">
        <f>IF(AK663="","",AK663+2*AL663)</f>
        <v>0</v>
      </c>
      <c r="AN663">
        <f>IF(AK663="","",AK663-2*AL663)</f>
        <v>0</v>
      </c>
      <c r="AO663">
        <f>IF(OR(AM663="",AN663="",AM663=AN663),"",($E663-AN663)/(AM663-AN663))</f>
        <v>0</v>
      </c>
      <c r="AP663">
        <f>IF(OR(AM663="",AK663="",AK663=0),"",(AM663-AN663)/AK663)</f>
        <v>0</v>
      </c>
      <c r="AQ663">
        <f>IF(COUNT($E$2:$E663)&lt;20,"",MAX($C$644:$C$663))</f>
        <v>0</v>
      </c>
      <c r="AR663">
        <f>IF(COUNT($E$2:$E663)&lt;20,"",MIN($D$644:$D$663))</f>
        <v>0</v>
      </c>
      <c r="AS663">
        <f>IF(OR(AQ663="",AR663=""),"",(AQ663+AR663)/2)</f>
        <v>0</v>
      </c>
      <c r="AT663">
        <f>IF(COUNT($G$644:$G$663)&lt;20,"",STDEV($G$644:$G$663)*SQRT(252))</f>
        <v>0</v>
      </c>
      <c r="AU663">
        <f>IF(COUNT($E$2:$E663)&lt;9,"",(MAX($C$655:$C$663)+MIN($D$655:$D$663))/2)</f>
        <v>0</v>
      </c>
      <c r="AV663">
        <f>IF(COUNT($E$2:$E663)&lt;26,"",(MAX($C$638:$C$663)+MIN($D$638:$D$663))/2)</f>
        <v>0</v>
      </c>
      <c r="AW663">
        <f>IF(OR(AU663="",AV663=""),"",(AU663+AV663)/2)</f>
        <v>0</v>
      </c>
      <c r="AX663">
        <f>IF(COUNT($E$2:$E663)&lt;52,"",(MAX($C$612:$C$663)+MIN($D$612:$D$663))/2)</f>
        <v>0</v>
      </c>
      <c r="AY663">
        <f>IF(COUNT($E$2:$E663)&lt;20,"",MAX($C$564:$C$663))</f>
        <v>0</v>
      </c>
      <c r="AZ663">
        <f>IF(COUNT($E$2:$E663)&lt;20,"",MIN($D$564:$D$663))</f>
        <v>0</v>
      </c>
      <c r="BA663">
        <f>IF(COUNT($E$2:$E663)&lt;20,"",SLOPE($E$564:$E$663,$F$564:$F$663))</f>
        <v>0</v>
      </c>
      <c r="BB663">
        <f>IF(COUNT($E$2:$E663)&lt;20,"",INTERCEPT($E$564:$E$663,$F$564:$F$663))</f>
        <v>0</v>
      </c>
      <c r="BC663">
        <f>IF(OR(BA663="",BB663=""),"",BB663+BA663*F663)</f>
        <v>0</v>
      </c>
      <c r="BD663">
        <f>IF(COUNT($E$2:$E663)&lt;20,"",STEYX($E$564:$E$663,$F$564:$F$663))</f>
        <v>0</v>
      </c>
      <c r="BE663">
        <f>IF($E663="","",IF(AND(COUNT($E$664:$E$667)&gt;=4,$C663=MAX($C$659:$C$667)),$C663,""))</f>
        <v>0</v>
      </c>
      <c r="BF663">
        <f>IF($E663="","",IF(AND(COUNT($E$664:$E$667)&gt;=4,$D663=MIN($D$659:$D$667)),$D663,""))</f>
        <v>0</v>
      </c>
      <c r="BG663">
        <f>IF($A663="","",$A663-WEEKDAY($A663,2)+1)</f>
        <v>0</v>
      </c>
      <c r="BH663">
        <f>IF($A663="","",IF($A662="",1,IF(BG663&lt;&gt;BG662,1,0)))</f>
        <v>0</v>
      </c>
      <c r="BI663">
        <f>IF($A663="","",IF($A664="",1,IF(BG664&lt;&gt;BG663,1,0)))</f>
        <v>0</v>
      </c>
      <c r="BJ663">
        <f>IF($A663="","",IF(BH663=1,$B663,BJ662))</f>
        <v>0</v>
      </c>
      <c r="BK663">
        <f>IF($A663="","",IF(BH663=1,$C663,MAX($C663,BK662)))</f>
        <v>0</v>
      </c>
      <c r="BL663">
        <f>IF($A663="","",IF(BH663=1,$D663,MIN($D663,BL662)))</f>
        <v>0</v>
      </c>
      <c r="BM663">
        <f>IF($A663="","",IF(BI663=1,F663,""))</f>
        <v>0</v>
      </c>
      <c r="BN663">
        <f>IF($A663="","",DATE(YEAR($A663),MONTH($A663),1))</f>
        <v>0</v>
      </c>
      <c r="BO663">
        <f>IF($A663="","",IF($A662="",1,IF(BN663&lt;&gt;BN662,1,0)))</f>
        <v>0</v>
      </c>
      <c r="BP663">
        <f>IF($A663="","",IF($A664="",1,IF(BN664&lt;&gt;BN663,1,0)))</f>
        <v>0</v>
      </c>
      <c r="BQ663">
        <f>IF($A663="","",IF(BO663=1,$B663,BQ662))</f>
        <v>0</v>
      </c>
      <c r="BR663">
        <f>IF($A663="","",IF(BO663=1,$C663,MAX($C663,BR662)))</f>
        <v>0</v>
      </c>
      <c r="BS663">
        <f>IF($A663="","",IF(BO663=1,$D663,MIN($D663,BS662)))</f>
        <v>0</v>
      </c>
      <c r="BT663">
        <f>IF($A663="","",IF(BP663=1,F663,""))</f>
        <v>0</v>
      </c>
    </row>
    <row r="664" spans="1:72">
      <c r="A664" s="27">
        <f>IF(Data!$A664="","",Data!$A664)</f>
        <v>0</v>
      </c>
      <c r="B664">
        <f>IF(Data!$B664="","",Data!$B664)</f>
        <v>0</v>
      </c>
      <c r="C664">
        <f>IF(Data!$C664="","",Data!$C664)</f>
        <v>0</v>
      </c>
      <c r="D664">
        <f>IF(Data!$D664="","",Data!$D664)</f>
        <v>0</v>
      </c>
      <c r="E664">
        <f>IF(Data!$E664="","",Data!$E664)</f>
        <v>0</v>
      </c>
      <c r="F664">
        <f>IF($E664="","",N(F663)+1)</f>
        <v>0</v>
      </c>
      <c r="G664">
        <f>IF(OR($E664="",$E663=""),"",LN($E664/$E663))</f>
        <v>0</v>
      </c>
      <c r="H664">
        <f>IF($E664="","",IF($E663="",$E664,$E664*0.0952380952+H663*0.9047619048))</f>
        <v>0</v>
      </c>
      <c r="I664">
        <f>IF($E664="","",IF($E663="",$E664,$E664*0.0392156863+I663*0.9607843137))</f>
        <v>0</v>
      </c>
      <c r="J664">
        <f>IF($E664="","",IF($E663="",$E664,$E664*0.0198019802+J663*0.9801980198))</f>
        <v>0</v>
      </c>
      <c r="K664">
        <f>IF($E664="","",IF($E663="",$E664,$E664*0.0099502488+K663*0.9900497512))</f>
        <v>0</v>
      </c>
      <c r="L664">
        <f>IF(OR($E664="",$E663=""),"",MAX($E664-$E663,0))</f>
        <v>0</v>
      </c>
      <c r="M664">
        <f>IF(OR($E664="",$E663=""),"",MAX($E663-$E664,0))</f>
        <v>0</v>
      </c>
      <c r="N664">
        <f>IF(COUNT($E$2:$E664)&lt;15,"",IF(AVERAGE($M$651:$M$664)=0,100,100-100/(1+AVERAGE($L$651:$L$664)/AVERAGE($M$651:$M$664))))</f>
        <v>0</v>
      </c>
      <c r="O664">
        <f>IF($E664="","",IF($E663="",$E664,$E664*0.1538461538+O663*0.8461538462))</f>
        <v>0</v>
      </c>
      <c r="P664">
        <f>IF($E664="","",IF($E663="",$E664,$E664*0.0740740741+P663*0.9259259259))</f>
        <v>0</v>
      </c>
      <c r="Q664">
        <f>IF(OR(O664="",P664=""),"",O664-P664)</f>
        <v>0</v>
      </c>
      <c r="R664">
        <f>IF(Q664="","",IF(R663="",Q664,Q664*0.2000000000+R663*0.8000000000))</f>
        <v>0</v>
      </c>
      <c r="S664">
        <f>IF(OR(Q664="",R664=""),"",Q664-R664)</f>
        <v>0</v>
      </c>
      <c r="T664">
        <f>IF(COUNT($E$2:$E664)&lt;14,"",MAX($C$651:$C$664))</f>
        <v>0</v>
      </c>
      <c r="U664">
        <f>IF(COUNT($E$2:$E664)&lt;14,"",MIN($D$651:$D$664))</f>
        <v>0</v>
      </c>
      <c r="V664">
        <f>IF(OR(T664="",U664="",T664=U664),"",100*($E664-U664)/(T664-U664))</f>
        <v>0</v>
      </c>
      <c r="W664">
        <f>IF(COUNT($V$662:$V$664)&lt;3,"",AVERAGE($V$662:$V$664))</f>
        <v>0</v>
      </c>
      <c r="X664">
        <f>IF(COUNT($N$651:$N$664)&lt;14,"",MIN($N$651:$N$664))</f>
        <v>0</v>
      </c>
      <c r="Y664">
        <f>IF(COUNT($N$651:$N$664)&lt;14,"",MAX($N$651:$N$664))</f>
        <v>0</v>
      </c>
      <c r="Z664">
        <f>IF(OR(N664="",X664="",Y664="",Y664=X664),"",100*(N664-X664)/(Y664-X664))</f>
        <v>0</v>
      </c>
      <c r="AA664">
        <f>IF(COUNT($Z$662:$Z$664)&lt;3,"",AVERAGE($Z$662:$Z$664))</f>
        <v>0</v>
      </c>
      <c r="AB664">
        <f>IF(COUNT($AA$662:$AA$664)&lt;3,"",AVERAGE($AA$662:$AA$664))</f>
        <v>0</v>
      </c>
      <c r="AC664">
        <f>IF($E664="","",MAX($C664-$D664,ABS($C664-$E663),ABS($D664-$E663)))</f>
        <v>0</v>
      </c>
      <c r="AD664">
        <f>IF(COUNT($E$2:$E664)&lt;15,"",AVERAGE($AC$651:$AC$664))</f>
        <v>0</v>
      </c>
      <c r="AE664">
        <f>IF(OR($E664="",$E663=""),"",IF(AND(($C664-$C663)&gt;($D663-$D664),($C664-$C663)&gt;0),$C664-$C663,0))</f>
        <v>0</v>
      </c>
      <c r="AF664">
        <f>IF(OR($E664="",$E663=""),"",IF(AND(($D663-$D664)&gt;($C664-$C663),($D663-$D664)&gt;0),$D663-$D664,0))</f>
        <v>0</v>
      </c>
      <c r="AG664">
        <f>IF(COUNT($E$2:$E664)&lt;15,"",IF(SUM($AC$651:$AC$664)=0,0,100*SUM($AE$651:$AE$664)/SUM($AC$651:$AC$664)))</f>
        <v>0</v>
      </c>
      <c r="AH664">
        <f>IF(COUNT($E$2:$E664)&lt;15,"",IF(SUM($AC$651:$AC$664)=0,0,100*SUM($AF$651:$AF$664)/SUM($AC$651:$AC$664)))</f>
        <v>0</v>
      </c>
      <c r="AI664">
        <f>IF(OR(AG664="",AH664=""),"",IF((AG664+AH664)=0,0,100*ABS(AG664-AH664)/(AG664+AH664)))</f>
        <v>0</v>
      </c>
      <c r="AJ664">
        <f>IF(COUNT($AI$651:$AI$664)&lt;14,"",AVERAGE($AI$651:$AI$664))</f>
        <v>0</v>
      </c>
      <c r="AK664">
        <f>IF(COUNT($E$2:$E664)&lt;20,"",AVERAGE($E$645:$E$664))</f>
        <v>0</v>
      </c>
      <c r="AL664">
        <f>IF(COUNT($E$2:$E664)&lt;20,"",STDEVP($E$645:$E$664))</f>
        <v>0</v>
      </c>
      <c r="AM664">
        <f>IF(AK664="","",AK664+2*AL664)</f>
        <v>0</v>
      </c>
      <c r="AN664">
        <f>IF(AK664="","",AK664-2*AL664)</f>
        <v>0</v>
      </c>
      <c r="AO664">
        <f>IF(OR(AM664="",AN664="",AM664=AN664),"",($E664-AN664)/(AM664-AN664))</f>
        <v>0</v>
      </c>
      <c r="AP664">
        <f>IF(OR(AM664="",AK664="",AK664=0),"",(AM664-AN664)/AK664)</f>
        <v>0</v>
      </c>
      <c r="AQ664">
        <f>IF(COUNT($E$2:$E664)&lt;20,"",MAX($C$645:$C$664))</f>
        <v>0</v>
      </c>
      <c r="AR664">
        <f>IF(COUNT($E$2:$E664)&lt;20,"",MIN($D$645:$D$664))</f>
        <v>0</v>
      </c>
      <c r="AS664">
        <f>IF(OR(AQ664="",AR664=""),"",(AQ664+AR664)/2)</f>
        <v>0</v>
      </c>
      <c r="AT664">
        <f>IF(COUNT($G$645:$G$664)&lt;20,"",STDEV($G$645:$G$664)*SQRT(252))</f>
        <v>0</v>
      </c>
      <c r="AU664">
        <f>IF(COUNT($E$2:$E664)&lt;9,"",(MAX($C$656:$C$664)+MIN($D$656:$D$664))/2)</f>
        <v>0</v>
      </c>
      <c r="AV664">
        <f>IF(COUNT($E$2:$E664)&lt;26,"",(MAX($C$639:$C$664)+MIN($D$639:$D$664))/2)</f>
        <v>0</v>
      </c>
      <c r="AW664">
        <f>IF(OR(AU664="",AV664=""),"",(AU664+AV664)/2)</f>
        <v>0</v>
      </c>
      <c r="AX664">
        <f>IF(COUNT($E$2:$E664)&lt;52,"",(MAX($C$613:$C$664)+MIN($D$613:$D$664))/2)</f>
        <v>0</v>
      </c>
      <c r="AY664">
        <f>IF(COUNT($E$2:$E664)&lt;20,"",MAX($C$565:$C$664))</f>
        <v>0</v>
      </c>
      <c r="AZ664">
        <f>IF(COUNT($E$2:$E664)&lt;20,"",MIN($D$565:$D$664))</f>
        <v>0</v>
      </c>
      <c r="BA664">
        <f>IF(COUNT($E$2:$E664)&lt;20,"",SLOPE($E$565:$E$664,$F$565:$F$664))</f>
        <v>0</v>
      </c>
      <c r="BB664">
        <f>IF(COUNT($E$2:$E664)&lt;20,"",INTERCEPT($E$565:$E$664,$F$565:$F$664))</f>
        <v>0</v>
      </c>
      <c r="BC664">
        <f>IF(OR(BA664="",BB664=""),"",BB664+BA664*F664)</f>
        <v>0</v>
      </c>
      <c r="BD664">
        <f>IF(COUNT($E$2:$E664)&lt;20,"",STEYX($E$565:$E$664,$F$565:$F$664))</f>
        <v>0</v>
      </c>
      <c r="BE664">
        <f>IF($E664="","",IF(AND(COUNT($E$665:$E$668)&gt;=4,$C664=MAX($C$660:$C$668)),$C664,""))</f>
        <v>0</v>
      </c>
      <c r="BF664">
        <f>IF($E664="","",IF(AND(COUNT($E$665:$E$668)&gt;=4,$D664=MIN($D$660:$D$668)),$D664,""))</f>
        <v>0</v>
      </c>
      <c r="BG664">
        <f>IF($A664="","",$A664-WEEKDAY($A664,2)+1)</f>
        <v>0</v>
      </c>
      <c r="BH664">
        <f>IF($A664="","",IF($A663="",1,IF(BG664&lt;&gt;BG663,1,0)))</f>
        <v>0</v>
      </c>
      <c r="BI664">
        <f>IF($A664="","",IF($A665="",1,IF(BG665&lt;&gt;BG664,1,0)))</f>
        <v>0</v>
      </c>
      <c r="BJ664">
        <f>IF($A664="","",IF(BH664=1,$B664,BJ663))</f>
        <v>0</v>
      </c>
      <c r="BK664">
        <f>IF($A664="","",IF(BH664=1,$C664,MAX($C664,BK663)))</f>
        <v>0</v>
      </c>
      <c r="BL664">
        <f>IF($A664="","",IF(BH664=1,$D664,MIN($D664,BL663)))</f>
        <v>0</v>
      </c>
      <c r="BM664">
        <f>IF($A664="","",IF(BI664=1,F664,""))</f>
        <v>0</v>
      </c>
      <c r="BN664">
        <f>IF($A664="","",DATE(YEAR($A664),MONTH($A664),1))</f>
        <v>0</v>
      </c>
      <c r="BO664">
        <f>IF($A664="","",IF($A663="",1,IF(BN664&lt;&gt;BN663,1,0)))</f>
        <v>0</v>
      </c>
      <c r="BP664">
        <f>IF($A664="","",IF($A665="",1,IF(BN665&lt;&gt;BN664,1,0)))</f>
        <v>0</v>
      </c>
      <c r="BQ664">
        <f>IF($A664="","",IF(BO664=1,$B664,BQ663))</f>
        <v>0</v>
      </c>
      <c r="BR664">
        <f>IF($A664="","",IF(BO664=1,$C664,MAX($C664,BR663)))</f>
        <v>0</v>
      </c>
      <c r="BS664">
        <f>IF($A664="","",IF(BO664=1,$D664,MIN($D664,BS663)))</f>
        <v>0</v>
      </c>
      <c r="BT664">
        <f>IF($A664="","",IF(BP664=1,F664,""))</f>
        <v>0</v>
      </c>
    </row>
    <row r="665" spans="1:72">
      <c r="A665" s="27">
        <f>IF(Data!$A665="","",Data!$A665)</f>
        <v>0</v>
      </c>
      <c r="B665">
        <f>IF(Data!$B665="","",Data!$B665)</f>
        <v>0</v>
      </c>
      <c r="C665">
        <f>IF(Data!$C665="","",Data!$C665)</f>
        <v>0</v>
      </c>
      <c r="D665">
        <f>IF(Data!$D665="","",Data!$D665)</f>
        <v>0</v>
      </c>
      <c r="E665">
        <f>IF(Data!$E665="","",Data!$E665)</f>
        <v>0</v>
      </c>
      <c r="F665">
        <f>IF($E665="","",N(F664)+1)</f>
        <v>0</v>
      </c>
      <c r="G665">
        <f>IF(OR($E665="",$E664=""),"",LN($E665/$E664))</f>
        <v>0</v>
      </c>
      <c r="H665">
        <f>IF($E665="","",IF($E664="",$E665,$E665*0.0952380952+H664*0.9047619048))</f>
        <v>0</v>
      </c>
      <c r="I665">
        <f>IF($E665="","",IF($E664="",$E665,$E665*0.0392156863+I664*0.9607843137))</f>
        <v>0</v>
      </c>
      <c r="J665">
        <f>IF($E665="","",IF($E664="",$E665,$E665*0.0198019802+J664*0.9801980198))</f>
        <v>0</v>
      </c>
      <c r="K665">
        <f>IF($E665="","",IF($E664="",$E665,$E665*0.0099502488+K664*0.9900497512))</f>
        <v>0</v>
      </c>
      <c r="L665">
        <f>IF(OR($E665="",$E664=""),"",MAX($E665-$E664,0))</f>
        <v>0</v>
      </c>
      <c r="M665">
        <f>IF(OR($E665="",$E664=""),"",MAX($E664-$E665,0))</f>
        <v>0</v>
      </c>
      <c r="N665">
        <f>IF(COUNT($E$2:$E665)&lt;15,"",IF(AVERAGE($M$652:$M$665)=0,100,100-100/(1+AVERAGE($L$652:$L$665)/AVERAGE($M$652:$M$665))))</f>
        <v>0</v>
      </c>
      <c r="O665">
        <f>IF($E665="","",IF($E664="",$E665,$E665*0.1538461538+O664*0.8461538462))</f>
        <v>0</v>
      </c>
      <c r="P665">
        <f>IF($E665="","",IF($E664="",$E665,$E665*0.0740740741+P664*0.9259259259))</f>
        <v>0</v>
      </c>
      <c r="Q665">
        <f>IF(OR(O665="",P665=""),"",O665-P665)</f>
        <v>0</v>
      </c>
      <c r="R665">
        <f>IF(Q665="","",IF(R664="",Q665,Q665*0.2000000000+R664*0.8000000000))</f>
        <v>0</v>
      </c>
      <c r="S665">
        <f>IF(OR(Q665="",R665=""),"",Q665-R665)</f>
        <v>0</v>
      </c>
      <c r="T665">
        <f>IF(COUNT($E$2:$E665)&lt;14,"",MAX($C$652:$C$665))</f>
        <v>0</v>
      </c>
      <c r="U665">
        <f>IF(COUNT($E$2:$E665)&lt;14,"",MIN($D$652:$D$665))</f>
        <v>0</v>
      </c>
      <c r="V665">
        <f>IF(OR(T665="",U665="",T665=U665),"",100*($E665-U665)/(T665-U665))</f>
        <v>0</v>
      </c>
      <c r="W665">
        <f>IF(COUNT($V$663:$V$665)&lt;3,"",AVERAGE($V$663:$V$665))</f>
        <v>0</v>
      </c>
      <c r="X665">
        <f>IF(COUNT($N$652:$N$665)&lt;14,"",MIN($N$652:$N$665))</f>
        <v>0</v>
      </c>
      <c r="Y665">
        <f>IF(COUNT($N$652:$N$665)&lt;14,"",MAX($N$652:$N$665))</f>
        <v>0</v>
      </c>
      <c r="Z665">
        <f>IF(OR(N665="",X665="",Y665="",Y665=X665),"",100*(N665-X665)/(Y665-X665))</f>
        <v>0</v>
      </c>
      <c r="AA665">
        <f>IF(COUNT($Z$663:$Z$665)&lt;3,"",AVERAGE($Z$663:$Z$665))</f>
        <v>0</v>
      </c>
      <c r="AB665">
        <f>IF(COUNT($AA$663:$AA$665)&lt;3,"",AVERAGE($AA$663:$AA$665))</f>
        <v>0</v>
      </c>
      <c r="AC665">
        <f>IF($E665="","",MAX($C665-$D665,ABS($C665-$E664),ABS($D665-$E664)))</f>
        <v>0</v>
      </c>
      <c r="AD665">
        <f>IF(COUNT($E$2:$E665)&lt;15,"",AVERAGE($AC$652:$AC$665))</f>
        <v>0</v>
      </c>
      <c r="AE665">
        <f>IF(OR($E665="",$E664=""),"",IF(AND(($C665-$C664)&gt;($D664-$D665),($C665-$C664)&gt;0),$C665-$C664,0))</f>
        <v>0</v>
      </c>
      <c r="AF665">
        <f>IF(OR($E665="",$E664=""),"",IF(AND(($D664-$D665)&gt;($C665-$C664),($D664-$D665)&gt;0),$D664-$D665,0))</f>
        <v>0</v>
      </c>
      <c r="AG665">
        <f>IF(COUNT($E$2:$E665)&lt;15,"",IF(SUM($AC$652:$AC$665)=0,0,100*SUM($AE$652:$AE$665)/SUM($AC$652:$AC$665)))</f>
        <v>0</v>
      </c>
      <c r="AH665">
        <f>IF(COUNT($E$2:$E665)&lt;15,"",IF(SUM($AC$652:$AC$665)=0,0,100*SUM($AF$652:$AF$665)/SUM($AC$652:$AC$665)))</f>
        <v>0</v>
      </c>
      <c r="AI665">
        <f>IF(OR(AG665="",AH665=""),"",IF((AG665+AH665)=0,0,100*ABS(AG665-AH665)/(AG665+AH665)))</f>
        <v>0</v>
      </c>
      <c r="AJ665">
        <f>IF(COUNT($AI$652:$AI$665)&lt;14,"",AVERAGE($AI$652:$AI$665))</f>
        <v>0</v>
      </c>
      <c r="AK665">
        <f>IF(COUNT($E$2:$E665)&lt;20,"",AVERAGE($E$646:$E$665))</f>
        <v>0</v>
      </c>
      <c r="AL665">
        <f>IF(COUNT($E$2:$E665)&lt;20,"",STDEVP($E$646:$E$665))</f>
        <v>0</v>
      </c>
      <c r="AM665">
        <f>IF(AK665="","",AK665+2*AL665)</f>
        <v>0</v>
      </c>
      <c r="AN665">
        <f>IF(AK665="","",AK665-2*AL665)</f>
        <v>0</v>
      </c>
      <c r="AO665">
        <f>IF(OR(AM665="",AN665="",AM665=AN665),"",($E665-AN665)/(AM665-AN665))</f>
        <v>0</v>
      </c>
      <c r="AP665">
        <f>IF(OR(AM665="",AK665="",AK665=0),"",(AM665-AN665)/AK665)</f>
        <v>0</v>
      </c>
      <c r="AQ665">
        <f>IF(COUNT($E$2:$E665)&lt;20,"",MAX($C$646:$C$665))</f>
        <v>0</v>
      </c>
      <c r="AR665">
        <f>IF(COUNT($E$2:$E665)&lt;20,"",MIN($D$646:$D$665))</f>
        <v>0</v>
      </c>
      <c r="AS665">
        <f>IF(OR(AQ665="",AR665=""),"",(AQ665+AR665)/2)</f>
        <v>0</v>
      </c>
      <c r="AT665">
        <f>IF(COUNT($G$646:$G$665)&lt;20,"",STDEV($G$646:$G$665)*SQRT(252))</f>
        <v>0</v>
      </c>
      <c r="AU665">
        <f>IF(COUNT($E$2:$E665)&lt;9,"",(MAX($C$657:$C$665)+MIN($D$657:$D$665))/2)</f>
        <v>0</v>
      </c>
      <c r="AV665">
        <f>IF(COUNT($E$2:$E665)&lt;26,"",(MAX($C$640:$C$665)+MIN($D$640:$D$665))/2)</f>
        <v>0</v>
      </c>
      <c r="AW665">
        <f>IF(OR(AU665="",AV665=""),"",(AU665+AV665)/2)</f>
        <v>0</v>
      </c>
      <c r="AX665">
        <f>IF(COUNT($E$2:$E665)&lt;52,"",(MAX($C$614:$C$665)+MIN($D$614:$D$665))/2)</f>
        <v>0</v>
      </c>
      <c r="AY665">
        <f>IF(COUNT($E$2:$E665)&lt;20,"",MAX($C$566:$C$665))</f>
        <v>0</v>
      </c>
      <c r="AZ665">
        <f>IF(COUNT($E$2:$E665)&lt;20,"",MIN($D$566:$D$665))</f>
        <v>0</v>
      </c>
      <c r="BA665">
        <f>IF(COUNT($E$2:$E665)&lt;20,"",SLOPE($E$566:$E$665,$F$566:$F$665))</f>
        <v>0</v>
      </c>
      <c r="BB665">
        <f>IF(COUNT($E$2:$E665)&lt;20,"",INTERCEPT($E$566:$E$665,$F$566:$F$665))</f>
        <v>0</v>
      </c>
      <c r="BC665">
        <f>IF(OR(BA665="",BB665=""),"",BB665+BA665*F665)</f>
        <v>0</v>
      </c>
      <c r="BD665">
        <f>IF(COUNT($E$2:$E665)&lt;20,"",STEYX($E$566:$E$665,$F$566:$F$665))</f>
        <v>0</v>
      </c>
      <c r="BE665">
        <f>IF($E665="","",IF(AND(COUNT($E$666:$E$669)&gt;=4,$C665=MAX($C$661:$C$669)),$C665,""))</f>
        <v>0</v>
      </c>
      <c r="BF665">
        <f>IF($E665="","",IF(AND(COUNT($E$666:$E$669)&gt;=4,$D665=MIN($D$661:$D$669)),$D665,""))</f>
        <v>0</v>
      </c>
      <c r="BG665">
        <f>IF($A665="","",$A665-WEEKDAY($A665,2)+1)</f>
        <v>0</v>
      </c>
      <c r="BH665">
        <f>IF($A665="","",IF($A664="",1,IF(BG665&lt;&gt;BG664,1,0)))</f>
        <v>0</v>
      </c>
      <c r="BI665">
        <f>IF($A665="","",IF($A666="",1,IF(BG666&lt;&gt;BG665,1,0)))</f>
        <v>0</v>
      </c>
      <c r="BJ665">
        <f>IF($A665="","",IF(BH665=1,$B665,BJ664))</f>
        <v>0</v>
      </c>
      <c r="BK665">
        <f>IF($A665="","",IF(BH665=1,$C665,MAX($C665,BK664)))</f>
        <v>0</v>
      </c>
      <c r="BL665">
        <f>IF($A665="","",IF(BH665=1,$D665,MIN($D665,BL664)))</f>
        <v>0</v>
      </c>
      <c r="BM665">
        <f>IF($A665="","",IF(BI665=1,F665,""))</f>
        <v>0</v>
      </c>
      <c r="BN665">
        <f>IF($A665="","",DATE(YEAR($A665),MONTH($A665),1))</f>
        <v>0</v>
      </c>
      <c r="BO665">
        <f>IF($A665="","",IF($A664="",1,IF(BN665&lt;&gt;BN664,1,0)))</f>
        <v>0</v>
      </c>
      <c r="BP665">
        <f>IF($A665="","",IF($A666="",1,IF(BN666&lt;&gt;BN665,1,0)))</f>
        <v>0</v>
      </c>
      <c r="BQ665">
        <f>IF($A665="","",IF(BO665=1,$B665,BQ664))</f>
        <v>0</v>
      </c>
      <c r="BR665">
        <f>IF($A665="","",IF(BO665=1,$C665,MAX($C665,BR664)))</f>
        <v>0</v>
      </c>
      <c r="BS665">
        <f>IF($A665="","",IF(BO665=1,$D665,MIN($D665,BS664)))</f>
        <v>0</v>
      </c>
      <c r="BT665">
        <f>IF($A665="","",IF(BP665=1,F665,""))</f>
        <v>0</v>
      </c>
    </row>
    <row r="666" spans="1:72">
      <c r="A666" s="27">
        <f>IF(Data!$A666="","",Data!$A666)</f>
        <v>0</v>
      </c>
      <c r="B666">
        <f>IF(Data!$B666="","",Data!$B666)</f>
        <v>0</v>
      </c>
      <c r="C666">
        <f>IF(Data!$C666="","",Data!$C666)</f>
        <v>0</v>
      </c>
      <c r="D666">
        <f>IF(Data!$D666="","",Data!$D666)</f>
        <v>0</v>
      </c>
      <c r="E666">
        <f>IF(Data!$E666="","",Data!$E666)</f>
        <v>0</v>
      </c>
      <c r="F666">
        <f>IF($E666="","",N(F665)+1)</f>
        <v>0</v>
      </c>
      <c r="G666">
        <f>IF(OR($E666="",$E665=""),"",LN($E666/$E665))</f>
        <v>0</v>
      </c>
      <c r="H666">
        <f>IF($E666="","",IF($E665="",$E666,$E666*0.0952380952+H665*0.9047619048))</f>
        <v>0</v>
      </c>
      <c r="I666">
        <f>IF($E666="","",IF($E665="",$E666,$E666*0.0392156863+I665*0.9607843137))</f>
        <v>0</v>
      </c>
      <c r="J666">
        <f>IF($E666="","",IF($E665="",$E666,$E666*0.0198019802+J665*0.9801980198))</f>
        <v>0</v>
      </c>
      <c r="K666">
        <f>IF($E666="","",IF($E665="",$E666,$E666*0.0099502488+K665*0.9900497512))</f>
        <v>0</v>
      </c>
      <c r="L666">
        <f>IF(OR($E666="",$E665=""),"",MAX($E666-$E665,0))</f>
        <v>0</v>
      </c>
      <c r="M666">
        <f>IF(OR($E666="",$E665=""),"",MAX($E665-$E666,0))</f>
        <v>0</v>
      </c>
      <c r="N666">
        <f>IF(COUNT($E$2:$E666)&lt;15,"",IF(AVERAGE($M$653:$M$666)=0,100,100-100/(1+AVERAGE($L$653:$L$666)/AVERAGE($M$653:$M$666))))</f>
        <v>0</v>
      </c>
      <c r="O666">
        <f>IF($E666="","",IF($E665="",$E666,$E666*0.1538461538+O665*0.8461538462))</f>
        <v>0</v>
      </c>
      <c r="P666">
        <f>IF($E666="","",IF($E665="",$E666,$E666*0.0740740741+P665*0.9259259259))</f>
        <v>0</v>
      </c>
      <c r="Q666">
        <f>IF(OR(O666="",P666=""),"",O666-P666)</f>
        <v>0</v>
      </c>
      <c r="R666">
        <f>IF(Q666="","",IF(R665="",Q666,Q666*0.2000000000+R665*0.8000000000))</f>
        <v>0</v>
      </c>
      <c r="S666">
        <f>IF(OR(Q666="",R666=""),"",Q666-R666)</f>
        <v>0</v>
      </c>
      <c r="T666">
        <f>IF(COUNT($E$2:$E666)&lt;14,"",MAX($C$653:$C$666))</f>
        <v>0</v>
      </c>
      <c r="U666">
        <f>IF(COUNT($E$2:$E666)&lt;14,"",MIN($D$653:$D$666))</f>
        <v>0</v>
      </c>
      <c r="V666">
        <f>IF(OR(T666="",U666="",T666=U666),"",100*($E666-U666)/(T666-U666))</f>
        <v>0</v>
      </c>
      <c r="W666">
        <f>IF(COUNT($V$664:$V$666)&lt;3,"",AVERAGE($V$664:$V$666))</f>
        <v>0</v>
      </c>
      <c r="X666">
        <f>IF(COUNT($N$653:$N$666)&lt;14,"",MIN($N$653:$N$666))</f>
        <v>0</v>
      </c>
      <c r="Y666">
        <f>IF(COUNT($N$653:$N$666)&lt;14,"",MAX($N$653:$N$666))</f>
        <v>0</v>
      </c>
      <c r="Z666">
        <f>IF(OR(N666="",X666="",Y666="",Y666=X666),"",100*(N666-X666)/(Y666-X666))</f>
        <v>0</v>
      </c>
      <c r="AA666">
        <f>IF(COUNT($Z$664:$Z$666)&lt;3,"",AVERAGE($Z$664:$Z$666))</f>
        <v>0</v>
      </c>
      <c r="AB666">
        <f>IF(COUNT($AA$664:$AA$666)&lt;3,"",AVERAGE($AA$664:$AA$666))</f>
        <v>0</v>
      </c>
      <c r="AC666">
        <f>IF($E666="","",MAX($C666-$D666,ABS($C666-$E665),ABS($D666-$E665)))</f>
        <v>0</v>
      </c>
      <c r="AD666">
        <f>IF(COUNT($E$2:$E666)&lt;15,"",AVERAGE($AC$653:$AC$666))</f>
        <v>0</v>
      </c>
      <c r="AE666">
        <f>IF(OR($E666="",$E665=""),"",IF(AND(($C666-$C665)&gt;($D665-$D666),($C666-$C665)&gt;0),$C666-$C665,0))</f>
        <v>0</v>
      </c>
      <c r="AF666">
        <f>IF(OR($E666="",$E665=""),"",IF(AND(($D665-$D666)&gt;($C666-$C665),($D665-$D666)&gt;0),$D665-$D666,0))</f>
        <v>0</v>
      </c>
      <c r="AG666">
        <f>IF(COUNT($E$2:$E666)&lt;15,"",IF(SUM($AC$653:$AC$666)=0,0,100*SUM($AE$653:$AE$666)/SUM($AC$653:$AC$666)))</f>
        <v>0</v>
      </c>
      <c r="AH666">
        <f>IF(COUNT($E$2:$E666)&lt;15,"",IF(SUM($AC$653:$AC$666)=0,0,100*SUM($AF$653:$AF$666)/SUM($AC$653:$AC$666)))</f>
        <v>0</v>
      </c>
      <c r="AI666">
        <f>IF(OR(AG666="",AH666=""),"",IF((AG666+AH666)=0,0,100*ABS(AG666-AH666)/(AG666+AH666)))</f>
        <v>0</v>
      </c>
      <c r="AJ666">
        <f>IF(COUNT($AI$653:$AI$666)&lt;14,"",AVERAGE($AI$653:$AI$666))</f>
        <v>0</v>
      </c>
      <c r="AK666">
        <f>IF(COUNT($E$2:$E666)&lt;20,"",AVERAGE($E$647:$E$666))</f>
        <v>0</v>
      </c>
      <c r="AL666">
        <f>IF(COUNT($E$2:$E666)&lt;20,"",STDEVP($E$647:$E$666))</f>
        <v>0</v>
      </c>
      <c r="AM666">
        <f>IF(AK666="","",AK666+2*AL666)</f>
        <v>0</v>
      </c>
      <c r="AN666">
        <f>IF(AK666="","",AK666-2*AL666)</f>
        <v>0</v>
      </c>
      <c r="AO666">
        <f>IF(OR(AM666="",AN666="",AM666=AN666),"",($E666-AN666)/(AM666-AN666))</f>
        <v>0</v>
      </c>
      <c r="AP666">
        <f>IF(OR(AM666="",AK666="",AK666=0),"",(AM666-AN666)/AK666)</f>
        <v>0</v>
      </c>
      <c r="AQ666">
        <f>IF(COUNT($E$2:$E666)&lt;20,"",MAX($C$647:$C$666))</f>
        <v>0</v>
      </c>
      <c r="AR666">
        <f>IF(COUNT($E$2:$E666)&lt;20,"",MIN($D$647:$D$666))</f>
        <v>0</v>
      </c>
      <c r="AS666">
        <f>IF(OR(AQ666="",AR666=""),"",(AQ666+AR666)/2)</f>
        <v>0</v>
      </c>
      <c r="AT666">
        <f>IF(COUNT($G$647:$G$666)&lt;20,"",STDEV($G$647:$G$666)*SQRT(252))</f>
        <v>0</v>
      </c>
      <c r="AU666">
        <f>IF(COUNT($E$2:$E666)&lt;9,"",(MAX($C$658:$C$666)+MIN($D$658:$D$666))/2)</f>
        <v>0</v>
      </c>
      <c r="AV666">
        <f>IF(COUNT($E$2:$E666)&lt;26,"",(MAX($C$641:$C$666)+MIN($D$641:$D$666))/2)</f>
        <v>0</v>
      </c>
      <c r="AW666">
        <f>IF(OR(AU666="",AV666=""),"",(AU666+AV666)/2)</f>
        <v>0</v>
      </c>
      <c r="AX666">
        <f>IF(COUNT($E$2:$E666)&lt;52,"",(MAX($C$615:$C$666)+MIN($D$615:$D$666))/2)</f>
        <v>0</v>
      </c>
      <c r="AY666">
        <f>IF(COUNT($E$2:$E666)&lt;20,"",MAX($C$567:$C$666))</f>
        <v>0</v>
      </c>
      <c r="AZ666">
        <f>IF(COUNT($E$2:$E666)&lt;20,"",MIN($D$567:$D$666))</f>
        <v>0</v>
      </c>
      <c r="BA666">
        <f>IF(COUNT($E$2:$E666)&lt;20,"",SLOPE($E$567:$E$666,$F$567:$F$666))</f>
        <v>0</v>
      </c>
      <c r="BB666">
        <f>IF(COUNT($E$2:$E666)&lt;20,"",INTERCEPT($E$567:$E$666,$F$567:$F$666))</f>
        <v>0</v>
      </c>
      <c r="BC666">
        <f>IF(OR(BA666="",BB666=""),"",BB666+BA666*F666)</f>
        <v>0</v>
      </c>
      <c r="BD666">
        <f>IF(COUNT($E$2:$E666)&lt;20,"",STEYX($E$567:$E$666,$F$567:$F$666))</f>
        <v>0</v>
      </c>
      <c r="BE666">
        <f>IF($E666="","",IF(AND(COUNT($E$667:$E$670)&gt;=4,$C666=MAX($C$662:$C$670)),$C666,""))</f>
        <v>0</v>
      </c>
      <c r="BF666">
        <f>IF($E666="","",IF(AND(COUNT($E$667:$E$670)&gt;=4,$D666=MIN($D$662:$D$670)),$D666,""))</f>
        <v>0</v>
      </c>
      <c r="BG666">
        <f>IF($A666="","",$A666-WEEKDAY($A666,2)+1)</f>
        <v>0</v>
      </c>
      <c r="BH666">
        <f>IF($A666="","",IF($A665="",1,IF(BG666&lt;&gt;BG665,1,0)))</f>
        <v>0</v>
      </c>
      <c r="BI666">
        <f>IF($A666="","",IF($A667="",1,IF(BG667&lt;&gt;BG666,1,0)))</f>
        <v>0</v>
      </c>
      <c r="BJ666">
        <f>IF($A666="","",IF(BH666=1,$B666,BJ665))</f>
        <v>0</v>
      </c>
      <c r="BK666">
        <f>IF($A666="","",IF(BH666=1,$C666,MAX($C666,BK665)))</f>
        <v>0</v>
      </c>
      <c r="BL666">
        <f>IF($A666="","",IF(BH666=1,$D666,MIN($D666,BL665)))</f>
        <v>0</v>
      </c>
      <c r="BM666">
        <f>IF($A666="","",IF(BI666=1,F666,""))</f>
        <v>0</v>
      </c>
      <c r="BN666">
        <f>IF($A666="","",DATE(YEAR($A666),MONTH($A666),1))</f>
        <v>0</v>
      </c>
      <c r="BO666">
        <f>IF($A666="","",IF($A665="",1,IF(BN666&lt;&gt;BN665,1,0)))</f>
        <v>0</v>
      </c>
      <c r="BP666">
        <f>IF($A666="","",IF($A667="",1,IF(BN667&lt;&gt;BN666,1,0)))</f>
        <v>0</v>
      </c>
      <c r="BQ666">
        <f>IF($A666="","",IF(BO666=1,$B666,BQ665))</f>
        <v>0</v>
      </c>
      <c r="BR666">
        <f>IF($A666="","",IF(BO666=1,$C666,MAX($C666,BR665)))</f>
        <v>0</v>
      </c>
      <c r="BS666">
        <f>IF($A666="","",IF(BO666=1,$D666,MIN($D666,BS665)))</f>
        <v>0</v>
      </c>
      <c r="BT666">
        <f>IF($A666="","",IF(BP666=1,F666,""))</f>
        <v>0</v>
      </c>
    </row>
    <row r="667" spans="1:72">
      <c r="A667" s="27">
        <f>IF(Data!$A667="","",Data!$A667)</f>
        <v>0</v>
      </c>
      <c r="B667">
        <f>IF(Data!$B667="","",Data!$B667)</f>
        <v>0</v>
      </c>
      <c r="C667">
        <f>IF(Data!$C667="","",Data!$C667)</f>
        <v>0</v>
      </c>
      <c r="D667">
        <f>IF(Data!$D667="","",Data!$D667)</f>
        <v>0</v>
      </c>
      <c r="E667">
        <f>IF(Data!$E667="","",Data!$E667)</f>
        <v>0</v>
      </c>
      <c r="F667">
        <f>IF($E667="","",N(F666)+1)</f>
        <v>0</v>
      </c>
      <c r="G667">
        <f>IF(OR($E667="",$E666=""),"",LN($E667/$E666))</f>
        <v>0</v>
      </c>
      <c r="H667">
        <f>IF($E667="","",IF($E666="",$E667,$E667*0.0952380952+H666*0.9047619048))</f>
        <v>0</v>
      </c>
      <c r="I667">
        <f>IF($E667="","",IF($E666="",$E667,$E667*0.0392156863+I666*0.9607843137))</f>
        <v>0</v>
      </c>
      <c r="J667">
        <f>IF($E667="","",IF($E666="",$E667,$E667*0.0198019802+J666*0.9801980198))</f>
        <v>0</v>
      </c>
      <c r="K667">
        <f>IF($E667="","",IF($E666="",$E667,$E667*0.0099502488+K666*0.9900497512))</f>
        <v>0</v>
      </c>
      <c r="L667">
        <f>IF(OR($E667="",$E666=""),"",MAX($E667-$E666,0))</f>
        <v>0</v>
      </c>
      <c r="M667">
        <f>IF(OR($E667="",$E666=""),"",MAX($E666-$E667,0))</f>
        <v>0</v>
      </c>
      <c r="N667">
        <f>IF(COUNT($E$2:$E667)&lt;15,"",IF(AVERAGE($M$654:$M$667)=0,100,100-100/(1+AVERAGE($L$654:$L$667)/AVERAGE($M$654:$M$667))))</f>
        <v>0</v>
      </c>
      <c r="O667">
        <f>IF($E667="","",IF($E666="",$E667,$E667*0.1538461538+O666*0.8461538462))</f>
        <v>0</v>
      </c>
      <c r="P667">
        <f>IF($E667="","",IF($E666="",$E667,$E667*0.0740740741+P666*0.9259259259))</f>
        <v>0</v>
      </c>
      <c r="Q667">
        <f>IF(OR(O667="",P667=""),"",O667-P667)</f>
        <v>0</v>
      </c>
      <c r="R667">
        <f>IF(Q667="","",IF(R666="",Q667,Q667*0.2000000000+R666*0.8000000000))</f>
        <v>0</v>
      </c>
      <c r="S667">
        <f>IF(OR(Q667="",R667=""),"",Q667-R667)</f>
        <v>0</v>
      </c>
      <c r="T667">
        <f>IF(COUNT($E$2:$E667)&lt;14,"",MAX($C$654:$C$667))</f>
        <v>0</v>
      </c>
      <c r="U667">
        <f>IF(COUNT($E$2:$E667)&lt;14,"",MIN($D$654:$D$667))</f>
        <v>0</v>
      </c>
      <c r="V667">
        <f>IF(OR(T667="",U667="",T667=U667),"",100*($E667-U667)/(T667-U667))</f>
        <v>0</v>
      </c>
      <c r="W667">
        <f>IF(COUNT($V$665:$V$667)&lt;3,"",AVERAGE($V$665:$V$667))</f>
        <v>0</v>
      </c>
      <c r="X667">
        <f>IF(COUNT($N$654:$N$667)&lt;14,"",MIN($N$654:$N$667))</f>
        <v>0</v>
      </c>
      <c r="Y667">
        <f>IF(COUNT($N$654:$N$667)&lt;14,"",MAX($N$654:$N$667))</f>
        <v>0</v>
      </c>
      <c r="Z667">
        <f>IF(OR(N667="",X667="",Y667="",Y667=X667),"",100*(N667-X667)/(Y667-X667))</f>
        <v>0</v>
      </c>
      <c r="AA667">
        <f>IF(COUNT($Z$665:$Z$667)&lt;3,"",AVERAGE($Z$665:$Z$667))</f>
        <v>0</v>
      </c>
      <c r="AB667">
        <f>IF(COUNT($AA$665:$AA$667)&lt;3,"",AVERAGE($AA$665:$AA$667))</f>
        <v>0</v>
      </c>
      <c r="AC667">
        <f>IF($E667="","",MAX($C667-$D667,ABS($C667-$E666),ABS($D667-$E666)))</f>
        <v>0</v>
      </c>
      <c r="AD667">
        <f>IF(COUNT($E$2:$E667)&lt;15,"",AVERAGE($AC$654:$AC$667))</f>
        <v>0</v>
      </c>
      <c r="AE667">
        <f>IF(OR($E667="",$E666=""),"",IF(AND(($C667-$C666)&gt;($D666-$D667),($C667-$C666)&gt;0),$C667-$C666,0))</f>
        <v>0</v>
      </c>
      <c r="AF667">
        <f>IF(OR($E667="",$E666=""),"",IF(AND(($D666-$D667)&gt;($C667-$C666),($D666-$D667)&gt;0),$D666-$D667,0))</f>
        <v>0</v>
      </c>
      <c r="AG667">
        <f>IF(COUNT($E$2:$E667)&lt;15,"",IF(SUM($AC$654:$AC$667)=0,0,100*SUM($AE$654:$AE$667)/SUM($AC$654:$AC$667)))</f>
        <v>0</v>
      </c>
      <c r="AH667">
        <f>IF(COUNT($E$2:$E667)&lt;15,"",IF(SUM($AC$654:$AC$667)=0,0,100*SUM($AF$654:$AF$667)/SUM($AC$654:$AC$667)))</f>
        <v>0</v>
      </c>
      <c r="AI667">
        <f>IF(OR(AG667="",AH667=""),"",IF((AG667+AH667)=0,0,100*ABS(AG667-AH667)/(AG667+AH667)))</f>
        <v>0</v>
      </c>
      <c r="AJ667">
        <f>IF(COUNT($AI$654:$AI$667)&lt;14,"",AVERAGE($AI$654:$AI$667))</f>
        <v>0</v>
      </c>
      <c r="AK667">
        <f>IF(COUNT($E$2:$E667)&lt;20,"",AVERAGE($E$648:$E$667))</f>
        <v>0</v>
      </c>
      <c r="AL667">
        <f>IF(COUNT($E$2:$E667)&lt;20,"",STDEVP($E$648:$E$667))</f>
        <v>0</v>
      </c>
      <c r="AM667">
        <f>IF(AK667="","",AK667+2*AL667)</f>
        <v>0</v>
      </c>
      <c r="AN667">
        <f>IF(AK667="","",AK667-2*AL667)</f>
        <v>0</v>
      </c>
      <c r="AO667">
        <f>IF(OR(AM667="",AN667="",AM667=AN667),"",($E667-AN667)/(AM667-AN667))</f>
        <v>0</v>
      </c>
      <c r="AP667">
        <f>IF(OR(AM667="",AK667="",AK667=0),"",(AM667-AN667)/AK667)</f>
        <v>0</v>
      </c>
      <c r="AQ667">
        <f>IF(COUNT($E$2:$E667)&lt;20,"",MAX($C$648:$C$667))</f>
        <v>0</v>
      </c>
      <c r="AR667">
        <f>IF(COUNT($E$2:$E667)&lt;20,"",MIN($D$648:$D$667))</f>
        <v>0</v>
      </c>
      <c r="AS667">
        <f>IF(OR(AQ667="",AR667=""),"",(AQ667+AR667)/2)</f>
        <v>0</v>
      </c>
      <c r="AT667">
        <f>IF(COUNT($G$648:$G$667)&lt;20,"",STDEV($G$648:$G$667)*SQRT(252))</f>
        <v>0</v>
      </c>
      <c r="AU667">
        <f>IF(COUNT($E$2:$E667)&lt;9,"",(MAX($C$659:$C$667)+MIN($D$659:$D$667))/2)</f>
        <v>0</v>
      </c>
      <c r="AV667">
        <f>IF(COUNT($E$2:$E667)&lt;26,"",(MAX($C$642:$C$667)+MIN($D$642:$D$667))/2)</f>
        <v>0</v>
      </c>
      <c r="AW667">
        <f>IF(OR(AU667="",AV667=""),"",(AU667+AV667)/2)</f>
        <v>0</v>
      </c>
      <c r="AX667">
        <f>IF(COUNT($E$2:$E667)&lt;52,"",(MAX($C$616:$C$667)+MIN($D$616:$D$667))/2)</f>
        <v>0</v>
      </c>
      <c r="AY667">
        <f>IF(COUNT($E$2:$E667)&lt;20,"",MAX($C$568:$C$667))</f>
        <v>0</v>
      </c>
      <c r="AZ667">
        <f>IF(COUNT($E$2:$E667)&lt;20,"",MIN($D$568:$D$667))</f>
        <v>0</v>
      </c>
      <c r="BA667">
        <f>IF(COUNT($E$2:$E667)&lt;20,"",SLOPE($E$568:$E$667,$F$568:$F$667))</f>
        <v>0</v>
      </c>
      <c r="BB667">
        <f>IF(COUNT($E$2:$E667)&lt;20,"",INTERCEPT($E$568:$E$667,$F$568:$F$667))</f>
        <v>0</v>
      </c>
      <c r="BC667">
        <f>IF(OR(BA667="",BB667=""),"",BB667+BA667*F667)</f>
        <v>0</v>
      </c>
      <c r="BD667">
        <f>IF(COUNT($E$2:$E667)&lt;20,"",STEYX($E$568:$E$667,$F$568:$F$667))</f>
        <v>0</v>
      </c>
      <c r="BE667">
        <f>IF($E667="","",IF(AND(COUNT($E$668:$E$671)&gt;=4,$C667=MAX($C$663:$C$671)),$C667,""))</f>
        <v>0</v>
      </c>
      <c r="BF667">
        <f>IF($E667="","",IF(AND(COUNT($E$668:$E$671)&gt;=4,$D667=MIN($D$663:$D$671)),$D667,""))</f>
        <v>0</v>
      </c>
      <c r="BG667">
        <f>IF($A667="","",$A667-WEEKDAY($A667,2)+1)</f>
        <v>0</v>
      </c>
      <c r="BH667">
        <f>IF($A667="","",IF($A666="",1,IF(BG667&lt;&gt;BG666,1,0)))</f>
        <v>0</v>
      </c>
      <c r="BI667">
        <f>IF($A667="","",IF($A668="",1,IF(BG668&lt;&gt;BG667,1,0)))</f>
        <v>0</v>
      </c>
      <c r="BJ667">
        <f>IF($A667="","",IF(BH667=1,$B667,BJ666))</f>
        <v>0</v>
      </c>
      <c r="BK667">
        <f>IF($A667="","",IF(BH667=1,$C667,MAX($C667,BK666)))</f>
        <v>0</v>
      </c>
      <c r="BL667">
        <f>IF($A667="","",IF(BH667=1,$D667,MIN($D667,BL666)))</f>
        <v>0</v>
      </c>
      <c r="BM667">
        <f>IF($A667="","",IF(BI667=1,F667,""))</f>
        <v>0</v>
      </c>
      <c r="BN667">
        <f>IF($A667="","",DATE(YEAR($A667),MONTH($A667),1))</f>
        <v>0</v>
      </c>
      <c r="BO667">
        <f>IF($A667="","",IF($A666="",1,IF(BN667&lt;&gt;BN666,1,0)))</f>
        <v>0</v>
      </c>
      <c r="BP667">
        <f>IF($A667="","",IF($A668="",1,IF(BN668&lt;&gt;BN667,1,0)))</f>
        <v>0</v>
      </c>
      <c r="BQ667">
        <f>IF($A667="","",IF(BO667=1,$B667,BQ666))</f>
        <v>0</v>
      </c>
      <c r="BR667">
        <f>IF($A667="","",IF(BO667=1,$C667,MAX($C667,BR666)))</f>
        <v>0</v>
      </c>
      <c r="BS667">
        <f>IF($A667="","",IF(BO667=1,$D667,MIN($D667,BS666)))</f>
        <v>0</v>
      </c>
      <c r="BT667">
        <f>IF($A667="","",IF(BP667=1,F667,""))</f>
        <v>0</v>
      </c>
    </row>
    <row r="668" spans="1:72">
      <c r="A668" s="27">
        <f>IF(Data!$A668="","",Data!$A668)</f>
        <v>0</v>
      </c>
      <c r="B668">
        <f>IF(Data!$B668="","",Data!$B668)</f>
        <v>0</v>
      </c>
      <c r="C668">
        <f>IF(Data!$C668="","",Data!$C668)</f>
        <v>0</v>
      </c>
      <c r="D668">
        <f>IF(Data!$D668="","",Data!$D668)</f>
        <v>0</v>
      </c>
      <c r="E668">
        <f>IF(Data!$E668="","",Data!$E668)</f>
        <v>0</v>
      </c>
      <c r="F668">
        <f>IF($E668="","",N(F667)+1)</f>
        <v>0</v>
      </c>
      <c r="G668">
        <f>IF(OR($E668="",$E667=""),"",LN($E668/$E667))</f>
        <v>0</v>
      </c>
      <c r="H668">
        <f>IF($E668="","",IF($E667="",$E668,$E668*0.0952380952+H667*0.9047619048))</f>
        <v>0</v>
      </c>
      <c r="I668">
        <f>IF($E668="","",IF($E667="",$E668,$E668*0.0392156863+I667*0.9607843137))</f>
        <v>0</v>
      </c>
      <c r="J668">
        <f>IF($E668="","",IF($E667="",$E668,$E668*0.0198019802+J667*0.9801980198))</f>
        <v>0</v>
      </c>
      <c r="K668">
        <f>IF($E668="","",IF($E667="",$E668,$E668*0.0099502488+K667*0.9900497512))</f>
        <v>0</v>
      </c>
      <c r="L668">
        <f>IF(OR($E668="",$E667=""),"",MAX($E668-$E667,0))</f>
        <v>0</v>
      </c>
      <c r="M668">
        <f>IF(OR($E668="",$E667=""),"",MAX($E667-$E668,0))</f>
        <v>0</v>
      </c>
      <c r="N668">
        <f>IF(COUNT($E$2:$E668)&lt;15,"",IF(AVERAGE($M$655:$M$668)=0,100,100-100/(1+AVERAGE($L$655:$L$668)/AVERAGE($M$655:$M$668))))</f>
        <v>0</v>
      </c>
      <c r="O668">
        <f>IF($E668="","",IF($E667="",$E668,$E668*0.1538461538+O667*0.8461538462))</f>
        <v>0</v>
      </c>
      <c r="P668">
        <f>IF($E668="","",IF($E667="",$E668,$E668*0.0740740741+P667*0.9259259259))</f>
        <v>0</v>
      </c>
      <c r="Q668">
        <f>IF(OR(O668="",P668=""),"",O668-P668)</f>
        <v>0</v>
      </c>
      <c r="R668">
        <f>IF(Q668="","",IF(R667="",Q668,Q668*0.2000000000+R667*0.8000000000))</f>
        <v>0</v>
      </c>
      <c r="S668">
        <f>IF(OR(Q668="",R668=""),"",Q668-R668)</f>
        <v>0</v>
      </c>
      <c r="T668">
        <f>IF(COUNT($E$2:$E668)&lt;14,"",MAX($C$655:$C$668))</f>
        <v>0</v>
      </c>
      <c r="U668">
        <f>IF(COUNT($E$2:$E668)&lt;14,"",MIN($D$655:$D$668))</f>
        <v>0</v>
      </c>
      <c r="V668">
        <f>IF(OR(T668="",U668="",T668=U668),"",100*($E668-U668)/(T668-U668))</f>
        <v>0</v>
      </c>
      <c r="W668">
        <f>IF(COUNT($V$666:$V$668)&lt;3,"",AVERAGE($V$666:$V$668))</f>
        <v>0</v>
      </c>
      <c r="X668">
        <f>IF(COUNT($N$655:$N$668)&lt;14,"",MIN($N$655:$N$668))</f>
        <v>0</v>
      </c>
      <c r="Y668">
        <f>IF(COUNT($N$655:$N$668)&lt;14,"",MAX($N$655:$N$668))</f>
        <v>0</v>
      </c>
      <c r="Z668">
        <f>IF(OR(N668="",X668="",Y668="",Y668=X668),"",100*(N668-X668)/(Y668-X668))</f>
        <v>0</v>
      </c>
      <c r="AA668">
        <f>IF(COUNT($Z$666:$Z$668)&lt;3,"",AVERAGE($Z$666:$Z$668))</f>
        <v>0</v>
      </c>
      <c r="AB668">
        <f>IF(COUNT($AA$666:$AA$668)&lt;3,"",AVERAGE($AA$666:$AA$668))</f>
        <v>0</v>
      </c>
      <c r="AC668">
        <f>IF($E668="","",MAX($C668-$D668,ABS($C668-$E667),ABS($D668-$E667)))</f>
        <v>0</v>
      </c>
      <c r="AD668">
        <f>IF(COUNT($E$2:$E668)&lt;15,"",AVERAGE($AC$655:$AC$668))</f>
        <v>0</v>
      </c>
      <c r="AE668">
        <f>IF(OR($E668="",$E667=""),"",IF(AND(($C668-$C667)&gt;($D667-$D668),($C668-$C667)&gt;0),$C668-$C667,0))</f>
        <v>0</v>
      </c>
      <c r="AF668">
        <f>IF(OR($E668="",$E667=""),"",IF(AND(($D667-$D668)&gt;($C668-$C667),($D667-$D668)&gt;0),$D667-$D668,0))</f>
        <v>0</v>
      </c>
      <c r="AG668">
        <f>IF(COUNT($E$2:$E668)&lt;15,"",IF(SUM($AC$655:$AC$668)=0,0,100*SUM($AE$655:$AE$668)/SUM($AC$655:$AC$668)))</f>
        <v>0</v>
      </c>
      <c r="AH668">
        <f>IF(COUNT($E$2:$E668)&lt;15,"",IF(SUM($AC$655:$AC$668)=0,0,100*SUM($AF$655:$AF$668)/SUM($AC$655:$AC$668)))</f>
        <v>0</v>
      </c>
      <c r="AI668">
        <f>IF(OR(AG668="",AH668=""),"",IF((AG668+AH668)=0,0,100*ABS(AG668-AH668)/(AG668+AH668)))</f>
        <v>0</v>
      </c>
      <c r="AJ668">
        <f>IF(COUNT($AI$655:$AI$668)&lt;14,"",AVERAGE($AI$655:$AI$668))</f>
        <v>0</v>
      </c>
      <c r="AK668">
        <f>IF(COUNT($E$2:$E668)&lt;20,"",AVERAGE($E$649:$E$668))</f>
        <v>0</v>
      </c>
      <c r="AL668">
        <f>IF(COUNT($E$2:$E668)&lt;20,"",STDEVP($E$649:$E$668))</f>
        <v>0</v>
      </c>
      <c r="AM668">
        <f>IF(AK668="","",AK668+2*AL668)</f>
        <v>0</v>
      </c>
      <c r="AN668">
        <f>IF(AK668="","",AK668-2*AL668)</f>
        <v>0</v>
      </c>
      <c r="AO668">
        <f>IF(OR(AM668="",AN668="",AM668=AN668),"",($E668-AN668)/(AM668-AN668))</f>
        <v>0</v>
      </c>
      <c r="AP668">
        <f>IF(OR(AM668="",AK668="",AK668=0),"",(AM668-AN668)/AK668)</f>
        <v>0</v>
      </c>
      <c r="AQ668">
        <f>IF(COUNT($E$2:$E668)&lt;20,"",MAX($C$649:$C$668))</f>
        <v>0</v>
      </c>
      <c r="AR668">
        <f>IF(COUNT($E$2:$E668)&lt;20,"",MIN($D$649:$D$668))</f>
        <v>0</v>
      </c>
      <c r="AS668">
        <f>IF(OR(AQ668="",AR668=""),"",(AQ668+AR668)/2)</f>
        <v>0</v>
      </c>
      <c r="AT668">
        <f>IF(COUNT($G$649:$G$668)&lt;20,"",STDEV($G$649:$G$668)*SQRT(252))</f>
        <v>0</v>
      </c>
      <c r="AU668">
        <f>IF(COUNT($E$2:$E668)&lt;9,"",(MAX($C$660:$C$668)+MIN($D$660:$D$668))/2)</f>
        <v>0</v>
      </c>
      <c r="AV668">
        <f>IF(COUNT($E$2:$E668)&lt;26,"",(MAX($C$643:$C$668)+MIN($D$643:$D$668))/2)</f>
        <v>0</v>
      </c>
      <c r="AW668">
        <f>IF(OR(AU668="",AV668=""),"",(AU668+AV668)/2)</f>
        <v>0</v>
      </c>
      <c r="AX668">
        <f>IF(COUNT($E$2:$E668)&lt;52,"",(MAX($C$617:$C$668)+MIN($D$617:$D$668))/2)</f>
        <v>0</v>
      </c>
      <c r="AY668">
        <f>IF(COUNT($E$2:$E668)&lt;20,"",MAX($C$569:$C$668))</f>
        <v>0</v>
      </c>
      <c r="AZ668">
        <f>IF(COUNT($E$2:$E668)&lt;20,"",MIN($D$569:$D$668))</f>
        <v>0</v>
      </c>
      <c r="BA668">
        <f>IF(COUNT($E$2:$E668)&lt;20,"",SLOPE($E$569:$E$668,$F$569:$F$668))</f>
        <v>0</v>
      </c>
      <c r="BB668">
        <f>IF(COUNT($E$2:$E668)&lt;20,"",INTERCEPT($E$569:$E$668,$F$569:$F$668))</f>
        <v>0</v>
      </c>
      <c r="BC668">
        <f>IF(OR(BA668="",BB668=""),"",BB668+BA668*F668)</f>
        <v>0</v>
      </c>
      <c r="BD668">
        <f>IF(COUNT($E$2:$E668)&lt;20,"",STEYX($E$569:$E$668,$F$569:$F$668))</f>
        <v>0</v>
      </c>
      <c r="BE668">
        <f>IF($E668="","",IF(AND(COUNT($E$669:$E$672)&gt;=4,$C668=MAX($C$664:$C$672)),$C668,""))</f>
        <v>0</v>
      </c>
      <c r="BF668">
        <f>IF($E668="","",IF(AND(COUNT($E$669:$E$672)&gt;=4,$D668=MIN($D$664:$D$672)),$D668,""))</f>
        <v>0</v>
      </c>
      <c r="BG668">
        <f>IF($A668="","",$A668-WEEKDAY($A668,2)+1)</f>
        <v>0</v>
      </c>
      <c r="BH668">
        <f>IF($A668="","",IF($A667="",1,IF(BG668&lt;&gt;BG667,1,0)))</f>
        <v>0</v>
      </c>
      <c r="BI668">
        <f>IF($A668="","",IF($A669="",1,IF(BG669&lt;&gt;BG668,1,0)))</f>
        <v>0</v>
      </c>
      <c r="BJ668">
        <f>IF($A668="","",IF(BH668=1,$B668,BJ667))</f>
        <v>0</v>
      </c>
      <c r="BK668">
        <f>IF($A668="","",IF(BH668=1,$C668,MAX($C668,BK667)))</f>
        <v>0</v>
      </c>
      <c r="BL668">
        <f>IF($A668="","",IF(BH668=1,$D668,MIN($D668,BL667)))</f>
        <v>0</v>
      </c>
      <c r="BM668">
        <f>IF($A668="","",IF(BI668=1,F668,""))</f>
        <v>0</v>
      </c>
      <c r="BN668">
        <f>IF($A668="","",DATE(YEAR($A668),MONTH($A668),1))</f>
        <v>0</v>
      </c>
      <c r="BO668">
        <f>IF($A668="","",IF($A667="",1,IF(BN668&lt;&gt;BN667,1,0)))</f>
        <v>0</v>
      </c>
      <c r="BP668">
        <f>IF($A668="","",IF($A669="",1,IF(BN669&lt;&gt;BN668,1,0)))</f>
        <v>0</v>
      </c>
      <c r="BQ668">
        <f>IF($A668="","",IF(BO668=1,$B668,BQ667))</f>
        <v>0</v>
      </c>
      <c r="BR668">
        <f>IF($A668="","",IF(BO668=1,$C668,MAX($C668,BR667)))</f>
        <v>0</v>
      </c>
      <c r="BS668">
        <f>IF($A668="","",IF(BO668=1,$D668,MIN($D668,BS667)))</f>
        <v>0</v>
      </c>
      <c r="BT668">
        <f>IF($A668="","",IF(BP668=1,F668,""))</f>
        <v>0</v>
      </c>
    </row>
    <row r="669" spans="1:72">
      <c r="A669" s="27">
        <f>IF(Data!$A669="","",Data!$A669)</f>
        <v>0</v>
      </c>
      <c r="B669">
        <f>IF(Data!$B669="","",Data!$B669)</f>
        <v>0</v>
      </c>
      <c r="C669">
        <f>IF(Data!$C669="","",Data!$C669)</f>
        <v>0</v>
      </c>
      <c r="D669">
        <f>IF(Data!$D669="","",Data!$D669)</f>
        <v>0</v>
      </c>
      <c r="E669">
        <f>IF(Data!$E669="","",Data!$E669)</f>
        <v>0</v>
      </c>
      <c r="F669">
        <f>IF($E669="","",N(F668)+1)</f>
        <v>0</v>
      </c>
      <c r="G669">
        <f>IF(OR($E669="",$E668=""),"",LN($E669/$E668))</f>
        <v>0</v>
      </c>
      <c r="H669">
        <f>IF($E669="","",IF($E668="",$E669,$E669*0.0952380952+H668*0.9047619048))</f>
        <v>0</v>
      </c>
      <c r="I669">
        <f>IF($E669="","",IF($E668="",$E669,$E669*0.0392156863+I668*0.9607843137))</f>
        <v>0</v>
      </c>
      <c r="J669">
        <f>IF($E669="","",IF($E668="",$E669,$E669*0.0198019802+J668*0.9801980198))</f>
        <v>0</v>
      </c>
      <c r="K669">
        <f>IF($E669="","",IF($E668="",$E669,$E669*0.0099502488+K668*0.9900497512))</f>
        <v>0</v>
      </c>
      <c r="L669">
        <f>IF(OR($E669="",$E668=""),"",MAX($E669-$E668,0))</f>
        <v>0</v>
      </c>
      <c r="M669">
        <f>IF(OR($E669="",$E668=""),"",MAX($E668-$E669,0))</f>
        <v>0</v>
      </c>
      <c r="N669">
        <f>IF(COUNT($E$2:$E669)&lt;15,"",IF(AVERAGE($M$656:$M$669)=0,100,100-100/(1+AVERAGE($L$656:$L$669)/AVERAGE($M$656:$M$669))))</f>
        <v>0</v>
      </c>
      <c r="O669">
        <f>IF($E669="","",IF($E668="",$E669,$E669*0.1538461538+O668*0.8461538462))</f>
        <v>0</v>
      </c>
      <c r="P669">
        <f>IF($E669="","",IF($E668="",$E669,$E669*0.0740740741+P668*0.9259259259))</f>
        <v>0</v>
      </c>
      <c r="Q669">
        <f>IF(OR(O669="",P669=""),"",O669-P669)</f>
        <v>0</v>
      </c>
      <c r="R669">
        <f>IF(Q669="","",IF(R668="",Q669,Q669*0.2000000000+R668*0.8000000000))</f>
        <v>0</v>
      </c>
      <c r="S669">
        <f>IF(OR(Q669="",R669=""),"",Q669-R669)</f>
        <v>0</v>
      </c>
      <c r="T669">
        <f>IF(COUNT($E$2:$E669)&lt;14,"",MAX($C$656:$C$669))</f>
        <v>0</v>
      </c>
      <c r="U669">
        <f>IF(COUNT($E$2:$E669)&lt;14,"",MIN($D$656:$D$669))</f>
        <v>0</v>
      </c>
      <c r="V669">
        <f>IF(OR(T669="",U669="",T669=U669),"",100*($E669-U669)/(T669-U669))</f>
        <v>0</v>
      </c>
      <c r="W669">
        <f>IF(COUNT($V$667:$V$669)&lt;3,"",AVERAGE($V$667:$V$669))</f>
        <v>0</v>
      </c>
      <c r="X669">
        <f>IF(COUNT($N$656:$N$669)&lt;14,"",MIN($N$656:$N$669))</f>
        <v>0</v>
      </c>
      <c r="Y669">
        <f>IF(COUNT($N$656:$N$669)&lt;14,"",MAX($N$656:$N$669))</f>
        <v>0</v>
      </c>
      <c r="Z669">
        <f>IF(OR(N669="",X669="",Y669="",Y669=X669),"",100*(N669-X669)/(Y669-X669))</f>
        <v>0</v>
      </c>
      <c r="AA669">
        <f>IF(COUNT($Z$667:$Z$669)&lt;3,"",AVERAGE($Z$667:$Z$669))</f>
        <v>0</v>
      </c>
      <c r="AB669">
        <f>IF(COUNT($AA$667:$AA$669)&lt;3,"",AVERAGE($AA$667:$AA$669))</f>
        <v>0</v>
      </c>
      <c r="AC669">
        <f>IF($E669="","",MAX($C669-$D669,ABS($C669-$E668),ABS($D669-$E668)))</f>
        <v>0</v>
      </c>
      <c r="AD669">
        <f>IF(COUNT($E$2:$E669)&lt;15,"",AVERAGE($AC$656:$AC$669))</f>
        <v>0</v>
      </c>
      <c r="AE669">
        <f>IF(OR($E669="",$E668=""),"",IF(AND(($C669-$C668)&gt;($D668-$D669),($C669-$C668)&gt;0),$C669-$C668,0))</f>
        <v>0</v>
      </c>
      <c r="AF669">
        <f>IF(OR($E669="",$E668=""),"",IF(AND(($D668-$D669)&gt;($C669-$C668),($D668-$D669)&gt;0),$D668-$D669,0))</f>
        <v>0</v>
      </c>
      <c r="AG669">
        <f>IF(COUNT($E$2:$E669)&lt;15,"",IF(SUM($AC$656:$AC$669)=0,0,100*SUM($AE$656:$AE$669)/SUM($AC$656:$AC$669)))</f>
        <v>0</v>
      </c>
      <c r="AH669">
        <f>IF(COUNT($E$2:$E669)&lt;15,"",IF(SUM($AC$656:$AC$669)=0,0,100*SUM($AF$656:$AF$669)/SUM($AC$656:$AC$669)))</f>
        <v>0</v>
      </c>
      <c r="AI669">
        <f>IF(OR(AG669="",AH669=""),"",IF((AG669+AH669)=0,0,100*ABS(AG669-AH669)/(AG669+AH669)))</f>
        <v>0</v>
      </c>
      <c r="AJ669">
        <f>IF(COUNT($AI$656:$AI$669)&lt;14,"",AVERAGE($AI$656:$AI$669))</f>
        <v>0</v>
      </c>
      <c r="AK669">
        <f>IF(COUNT($E$2:$E669)&lt;20,"",AVERAGE($E$650:$E$669))</f>
        <v>0</v>
      </c>
      <c r="AL669">
        <f>IF(COUNT($E$2:$E669)&lt;20,"",STDEVP($E$650:$E$669))</f>
        <v>0</v>
      </c>
      <c r="AM669">
        <f>IF(AK669="","",AK669+2*AL669)</f>
        <v>0</v>
      </c>
      <c r="AN669">
        <f>IF(AK669="","",AK669-2*AL669)</f>
        <v>0</v>
      </c>
      <c r="AO669">
        <f>IF(OR(AM669="",AN669="",AM669=AN669),"",($E669-AN669)/(AM669-AN669))</f>
        <v>0</v>
      </c>
      <c r="AP669">
        <f>IF(OR(AM669="",AK669="",AK669=0),"",(AM669-AN669)/AK669)</f>
        <v>0</v>
      </c>
      <c r="AQ669">
        <f>IF(COUNT($E$2:$E669)&lt;20,"",MAX($C$650:$C$669))</f>
        <v>0</v>
      </c>
      <c r="AR669">
        <f>IF(COUNT($E$2:$E669)&lt;20,"",MIN($D$650:$D$669))</f>
        <v>0</v>
      </c>
      <c r="AS669">
        <f>IF(OR(AQ669="",AR669=""),"",(AQ669+AR669)/2)</f>
        <v>0</v>
      </c>
      <c r="AT669">
        <f>IF(COUNT($G$650:$G$669)&lt;20,"",STDEV($G$650:$G$669)*SQRT(252))</f>
        <v>0</v>
      </c>
      <c r="AU669">
        <f>IF(COUNT($E$2:$E669)&lt;9,"",(MAX($C$661:$C$669)+MIN($D$661:$D$669))/2)</f>
        <v>0</v>
      </c>
      <c r="AV669">
        <f>IF(COUNT($E$2:$E669)&lt;26,"",(MAX($C$644:$C$669)+MIN($D$644:$D$669))/2)</f>
        <v>0</v>
      </c>
      <c r="AW669">
        <f>IF(OR(AU669="",AV669=""),"",(AU669+AV669)/2)</f>
        <v>0</v>
      </c>
      <c r="AX669">
        <f>IF(COUNT($E$2:$E669)&lt;52,"",(MAX($C$618:$C$669)+MIN($D$618:$D$669))/2)</f>
        <v>0</v>
      </c>
      <c r="AY669">
        <f>IF(COUNT($E$2:$E669)&lt;20,"",MAX($C$570:$C$669))</f>
        <v>0</v>
      </c>
      <c r="AZ669">
        <f>IF(COUNT($E$2:$E669)&lt;20,"",MIN($D$570:$D$669))</f>
        <v>0</v>
      </c>
      <c r="BA669">
        <f>IF(COUNT($E$2:$E669)&lt;20,"",SLOPE($E$570:$E$669,$F$570:$F$669))</f>
        <v>0</v>
      </c>
      <c r="BB669">
        <f>IF(COUNT($E$2:$E669)&lt;20,"",INTERCEPT($E$570:$E$669,$F$570:$F$669))</f>
        <v>0</v>
      </c>
      <c r="BC669">
        <f>IF(OR(BA669="",BB669=""),"",BB669+BA669*F669)</f>
        <v>0</v>
      </c>
      <c r="BD669">
        <f>IF(COUNT($E$2:$E669)&lt;20,"",STEYX($E$570:$E$669,$F$570:$F$669))</f>
        <v>0</v>
      </c>
      <c r="BE669">
        <f>IF($E669="","",IF(AND(COUNT($E$670:$E$673)&gt;=4,$C669=MAX($C$665:$C$673)),$C669,""))</f>
        <v>0</v>
      </c>
      <c r="BF669">
        <f>IF($E669="","",IF(AND(COUNT($E$670:$E$673)&gt;=4,$D669=MIN($D$665:$D$673)),$D669,""))</f>
        <v>0</v>
      </c>
      <c r="BG669">
        <f>IF($A669="","",$A669-WEEKDAY($A669,2)+1)</f>
        <v>0</v>
      </c>
      <c r="BH669">
        <f>IF($A669="","",IF($A668="",1,IF(BG669&lt;&gt;BG668,1,0)))</f>
        <v>0</v>
      </c>
      <c r="BI669">
        <f>IF($A669="","",IF($A670="",1,IF(BG670&lt;&gt;BG669,1,0)))</f>
        <v>0</v>
      </c>
      <c r="BJ669">
        <f>IF($A669="","",IF(BH669=1,$B669,BJ668))</f>
        <v>0</v>
      </c>
      <c r="BK669">
        <f>IF($A669="","",IF(BH669=1,$C669,MAX($C669,BK668)))</f>
        <v>0</v>
      </c>
      <c r="BL669">
        <f>IF($A669="","",IF(BH669=1,$D669,MIN($D669,BL668)))</f>
        <v>0</v>
      </c>
      <c r="BM669">
        <f>IF($A669="","",IF(BI669=1,F669,""))</f>
        <v>0</v>
      </c>
      <c r="BN669">
        <f>IF($A669="","",DATE(YEAR($A669),MONTH($A669),1))</f>
        <v>0</v>
      </c>
      <c r="BO669">
        <f>IF($A669="","",IF($A668="",1,IF(BN669&lt;&gt;BN668,1,0)))</f>
        <v>0</v>
      </c>
      <c r="BP669">
        <f>IF($A669="","",IF($A670="",1,IF(BN670&lt;&gt;BN669,1,0)))</f>
        <v>0</v>
      </c>
      <c r="BQ669">
        <f>IF($A669="","",IF(BO669=1,$B669,BQ668))</f>
        <v>0</v>
      </c>
      <c r="BR669">
        <f>IF($A669="","",IF(BO669=1,$C669,MAX($C669,BR668)))</f>
        <v>0</v>
      </c>
      <c r="BS669">
        <f>IF($A669="","",IF(BO669=1,$D669,MIN($D669,BS668)))</f>
        <v>0</v>
      </c>
      <c r="BT669">
        <f>IF($A669="","",IF(BP669=1,F669,""))</f>
        <v>0</v>
      </c>
    </row>
    <row r="670" spans="1:72">
      <c r="A670" s="27">
        <f>IF(Data!$A670="","",Data!$A670)</f>
        <v>0</v>
      </c>
      <c r="B670">
        <f>IF(Data!$B670="","",Data!$B670)</f>
        <v>0</v>
      </c>
      <c r="C670">
        <f>IF(Data!$C670="","",Data!$C670)</f>
        <v>0</v>
      </c>
      <c r="D670">
        <f>IF(Data!$D670="","",Data!$D670)</f>
        <v>0</v>
      </c>
      <c r="E670">
        <f>IF(Data!$E670="","",Data!$E670)</f>
        <v>0</v>
      </c>
      <c r="F670">
        <f>IF($E670="","",N(F669)+1)</f>
        <v>0</v>
      </c>
      <c r="G670">
        <f>IF(OR($E670="",$E669=""),"",LN($E670/$E669))</f>
        <v>0</v>
      </c>
      <c r="H670">
        <f>IF($E670="","",IF($E669="",$E670,$E670*0.0952380952+H669*0.9047619048))</f>
        <v>0</v>
      </c>
      <c r="I670">
        <f>IF($E670="","",IF($E669="",$E670,$E670*0.0392156863+I669*0.9607843137))</f>
        <v>0</v>
      </c>
      <c r="J670">
        <f>IF($E670="","",IF($E669="",$E670,$E670*0.0198019802+J669*0.9801980198))</f>
        <v>0</v>
      </c>
      <c r="K670">
        <f>IF($E670="","",IF($E669="",$E670,$E670*0.0099502488+K669*0.9900497512))</f>
        <v>0</v>
      </c>
      <c r="L670">
        <f>IF(OR($E670="",$E669=""),"",MAX($E670-$E669,0))</f>
        <v>0</v>
      </c>
      <c r="M670">
        <f>IF(OR($E670="",$E669=""),"",MAX($E669-$E670,0))</f>
        <v>0</v>
      </c>
      <c r="N670">
        <f>IF(COUNT($E$2:$E670)&lt;15,"",IF(AVERAGE($M$657:$M$670)=0,100,100-100/(1+AVERAGE($L$657:$L$670)/AVERAGE($M$657:$M$670))))</f>
        <v>0</v>
      </c>
      <c r="O670">
        <f>IF($E670="","",IF($E669="",$E670,$E670*0.1538461538+O669*0.8461538462))</f>
        <v>0</v>
      </c>
      <c r="P670">
        <f>IF($E670="","",IF($E669="",$E670,$E670*0.0740740741+P669*0.9259259259))</f>
        <v>0</v>
      </c>
      <c r="Q670">
        <f>IF(OR(O670="",P670=""),"",O670-P670)</f>
        <v>0</v>
      </c>
      <c r="R670">
        <f>IF(Q670="","",IF(R669="",Q670,Q670*0.2000000000+R669*0.8000000000))</f>
        <v>0</v>
      </c>
      <c r="S670">
        <f>IF(OR(Q670="",R670=""),"",Q670-R670)</f>
        <v>0</v>
      </c>
      <c r="T670">
        <f>IF(COUNT($E$2:$E670)&lt;14,"",MAX($C$657:$C$670))</f>
        <v>0</v>
      </c>
      <c r="U670">
        <f>IF(COUNT($E$2:$E670)&lt;14,"",MIN($D$657:$D$670))</f>
        <v>0</v>
      </c>
      <c r="V670">
        <f>IF(OR(T670="",U670="",T670=U670),"",100*($E670-U670)/(T670-U670))</f>
        <v>0</v>
      </c>
      <c r="W670">
        <f>IF(COUNT($V$668:$V$670)&lt;3,"",AVERAGE($V$668:$V$670))</f>
        <v>0</v>
      </c>
      <c r="X670">
        <f>IF(COUNT($N$657:$N$670)&lt;14,"",MIN($N$657:$N$670))</f>
        <v>0</v>
      </c>
      <c r="Y670">
        <f>IF(COUNT($N$657:$N$670)&lt;14,"",MAX($N$657:$N$670))</f>
        <v>0</v>
      </c>
      <c r="Z670">
        <f>IF(OR(N670="",X670="",Y670="",Y670=X670),"",100*(N670-X670)/(Y670-X670))</f>
        <v>0</v>
      </c>
      <c r="AA670">
        <f>IF(COUNT($Z$668:$Z$670)&lt;3,"",AVERAGE($Z$668:$Z$670))</f>
        <v>0</v>
      </c>
      <c r="AB670">
        <f>IF(COUNT($AA$668:$AA$670)&lt;3,"",AVERAGE($AA$668:$AA$670))</f>
        <v>0</v>
      </c>
      <c r="AC670">
        <f>IF($E670="","",MAX($C670-$D670,ABS($C670-$E669),ABS($D670-$E669)))</f>
        <v>0</v>
      </c>
      <c r="AD670">
        <f>IF(COUNT($E$2:$E670)&lt;15,"",AVERAGE($AC$657:$AC$670))</f>
        <v>0</v>
      </c>
      <c r="AE670">
        <f>IF(OR($E670="",$E669=""),"",IF(AND(($C670-$C669)&gt;($D669-$D670),($C670-$C669)&gt;0),$C670-$C669,0))</f>
        <v>0</v>
      </c>
      <c r="AF670">
        <f>IF(OR($E670="",$E669=""),"",IF(AND(($D669-$D670)&gt;($C670-$C669),($D669-$D670)&gt;0),$D669-$D670,0))</f>
        <v>0</v>
      </c>
      <c r="AG670">
        <f>IF(COUNT($E$2:$E670)&lt;15,"",IF(SUM($AC$657:$AC$670)=0,0,100*SUM($AE$657:$AE$670)/SUM($AC$657:$AC$670)))</f>
        <v>0</v>
      </c>
      <c r="AH670">
        <f>IF(COUNT($E$2:$E670)&lt;15,"",IF(SUM($AC$657:$AC$670)=0,0,100*SUM($AF$657:$AF$670)/SUM($AC$657:$AC$670)))</f>
        <v>0</v>
      </c>
      <c r="AI670">
        <f>IF(OR(AG670="",AH670=""),"",IF((AG670+AH670)=0,0,100*ABS(AG670-AH670)/(AG670+AH670)))</f>
        <v>0</v>
      </c>
      <c r="AJ670">
        <f>IF(COUNT($AI$657:$AI$670)&lt;14,"",AVERAGE($AI$657:$AI$670))</f>
        <v>0</v>
      </c>
      <c r="AK670">
        <f>IF(COUNT($E$2:$E670)&lt;20,"",AVERAGE($E$651:$E$670))</f>
        <v>0</v>
      </c>
      <c r="AL670">
        <f>IF(COUNT($E$2:$E670)&lt;20,"",STDEVP($E$651:$E$670))</f>
        <v>0</v>
      </c>
      <c r="AM670">
        <f>IF(AK670="","",AK670+2*AL670)</f>
        <v>0</v>
      </c>
      <c r="AN670">
        <f>IF(AK670="","",AK670-2*AL670)</f>
        <v>0</v>
      </c>
      <c r="AO670">
        <f>IF(OR(AM670="",AN670="",AM670=AN670),"",($E670-AN670)/(AM670-AN670))</f>
        <v>0</v>
      </c>
      <c r="AP670">
        <f>IF(OR(AM670="",AK670="",AK670=0),"",(AM670-AN670)/AK670)</f>
        <v>0</v>
      </c>
      <c r="AQ670">
        <f>IF(COUNT($E$2:$E670)&lt;20,"",MAX($C$651:$C$670))</f>
        <v>0</v>
      </c>
      <c r="AR670">
        <f>IF(COUNT($E$2:$E670)&lt;20,"",MIN($D$651:$D$670))</f>
        <v>0</v>
      </c>
      <c r="AS670">
        <f>IF(OR(AQ670="",AR670=""),"",(AQ670+AR670)/2)</f>
        <v>0</v>
      </c>
      <c r="AT670">
        <f>IF(COUNT($G$651:$G$670)&lt;20,"",STDEV($G$651:$G$670)*SQRT(252))</f>
        <v>0</v>
      </c>
      <c r="AU670">
        <f>IF(COUNT($E$2:$E670)&lt;9,"",(MAX($C$662:$C$670)+MIN($D$662:$D$670))/2)</f>
        <v>0</v>
      </c>
      <c r="AV670">
        <f>IF(COUNT($E$2:$E670)&lt;26,"",(MAX($C$645:$C$670)+MIN($D$645:$D$670))/2)</f>
        <v>0</v>
      </c>
      <c r="AW670">
        <f>IF(OR(AU670="",AV670=""),"",(AU670+AV670)/2)</f>
        <v>0</v>
      </c>
      <c r="AX670">
        <f>IF(COUNT($E$2:$E670)&lt;52,"",(MAX($C$619:$C$670)+MIN($D$619:$D$670))/2)</f>
        <v>0</v>
      </c>
      <c r="AY670">
        <f>IF(COUNT($E$2:$E670)&lt;20,"",MAX($C$571:$C$670))</f>
        <v>0</v>
      </c>
      <c r="AZ670">
        <f>IF(COUNT($E$2:$E670)&lt;20,"",MIN($D$571:$D$670))</f>
        <v>0</v>
      </c>
      <c r="BA670">
        <f>IF(COUNT($E$2:$E670)&lt;20,"",SLOPE($E$571:$E$670,$F$571:$F$670))</f>
        <v>0</v>
      </c>
      <c r="BB670">
        <f>IF(COUNT($E$2:$E670)&lt;20,"",INTERCEPT($E$571:$E$670,$F$571:$F$670))</f>
        <v>0</v>
      </c>
      <c r="BC670">
        <f>IF(OR(BA670="",BB670=""),"",BB670+BA670*F670)</f>
        <v>0</v>
      </c>
      <c r="BD670">
        <f>IF(COUNT($E$2:$E670)&lt;20,"",STEYX($E$571:$E$670,$F$571:$F$670))</f>
        <v>0</v>
      </c>
      <c r="BE670">
        <f>IF($E670="","",IF(AND(COUNT($E$671:$E$674)&gt;=4,$C670=MAX($C$666:$C$674)),$C670,""))</f>
        <v>0</v>
      </c>
      <c r="BF670">
        <f>IF($E670="","",IF(AND(COUNT($E$671:$E$674)&gt;=4,$D670=MIN($D$666:$D$674)),$D670,""))</f>
        <v>0</v>
      </c>
      <c r="BG670">
        <f>IF($A670="","",$A670-WEEKDAY($A670,2)+1)</f>
        <v>0</v>
      </c>
      <c r="BH670">
        <f>IF($A670="","",IF($A669="",1,IF(BG670&lt;&gt;BG669,1,0)))</f>
        <v>0</v>
      </c>
      <c r="BI670">
        <f>IF($A670="","",IF($A671="",1,IF(BG671&lt;&gt;BG670,1,0)))</f>
        <v>0</v>
      </c>
      <c r="BJ670">
        <f>IF($A670="","",IF(BH670=1,$B670,BJ669))</f>
        <v>0</v>
      </c>
      <c r="BK670">
        <f>IF($A670="","",IF(BH670=1,$C670,MAX($C670,BK669)))</f>
        <v>0</v>
      </c>
      <c r="BL670">
        <f>IF($A670="","",IF(BH670=1,$D670,MIN($D670,BL669)))</f>
        <v>0</v>
      </c>
      <c r="BM670">
        <f>IF($A670="","",IF(BI670=1,F670,""))</f>
        <v>0</v>
      </c>
      <c r="BN670">
        <f>IF($A670="","",DATE(YEAR($A670),MONTH($A670),1))</f>
        <v>0</v>
      </c>
      <c r="BO670">
        <f>IF($A670="","",IF($A669="",1,IF(BN670&lt;&gt;BN669,1,0)))</f>
        <v>0</v>
      </c>
      <c r="BP670">
        <f>IF($A670="","",IF($A671="",1,IF(BN671&lt;&gt;BN670,1,0)))</f>
        <v>0</v>
      </c>
      <c r="BQ670">
        <f>IF($A670="","",IF(BO670=1,$B670,BQ669))</f>
        <v>0</v>
      </c>
      <c r="BR670">
        <f>IF($A670="","",IF(BO670=1,$C670,MAX($C670,BR669)))</f>
        <v>0</v>
      </c>
      <c r="BS670">
        <f>IF($A670="","",IF(BO670=1,$D670,MIN($D670,BS669)))</f>
        <v>0</v>
      </c>
      <c r="BT670">
        <f>IF($A670="","",IF(BP670=1,F670,""))</f>
        <v>0</v>
      </c>
    </row>
    <row r="671" spans="1:72">
      <c r="A671" s="27">
        <f>IF(Data!$A671="","",Data!$A671)</f>
        <v>0</v>
      </c>
      <c r="B671">
        <f>IF(Data!$B671="","",Data!$B671)</f>
        <v>0</v>
      </c>
      <c r="C671">
        <f>IF(Data!$C671="","",Data!$C671)</f>
        <v>0</v>
      </c>
      <c r="D671">
        <f>IF(Data!$D671="","",Data!$D671)</f>
        <v>0</v>
      </c>
      <c r="E671">
        <f>IF(Data!$E671="","",Data!$E671)</f>
        <v>0</v>
      </c>
      <c r="F671">
        <f>IF($E671="","",N(F670)+1)</f>
        <v>0</v>
      </c>
      <c r="G671">
        <f>IF(OR($E671="",$E670=""),"",LN($E671/$E670))</f>
        <v>0</v>
      </c>
      <c r="H671">
        <f>IF($E671="","",IF($E670="",$E671,$E671*0.0952380952+H670*0.9047619048))</f>
        <v>0</v>
      </c>
      <c r="I671">
        <f>IF($E671="","",IF($E670="",$E671,$E671*0.0392156863+I670*0.9607843137))</f>
        <v>0</v>
      </c>
      <c r="J671">
        <f>IF($E671="","",IF($E670="",$E671,$E671*0.0198019802+J670*0.9801980198))</f>
        <v>0</v>
      </c>
      <c r="K671">
        <f>IF($E671="","",IF($E670="",$E671,$E671*0.0099502488+K670*0.9900497512))</f>
        <v>0</v>
      </c>
      <c r="L671">
        <f>IF(OR($E671="",$E670=""),"",MAX($E671-$E670,0))</f>
        <v>0</v>
      </c>
      <c r="M671">
        <f>IF(OR($E671="",$E670=""),"",MAX($E670-$E671,0))</f>
        <v>0</v>
      </c>
      <c r="N671">
        <f>IF(COUNT($E$2:$E671)&lt;15,"",IF(AVERAGE($M$658:$M$671)=0,100,100-100/(1+AVERAGE($L$658:$L$671)/AVERAGE($M$658:$M$671))))</f>
        <v>0</v>
      </c>
      <c r="O671">
        <f>IF($E671="","",IF($E670="",$E671,$E671*0.1538461538+O670*0.8461538462))</f>
        <v>0</v>
      </c>
      <c r="P671">
        <f>IF($E671="","",IF($E670="",$E671,$E671*0.0740740741+P670*0.9259259259))</f>
        <v>0</v>
      </c>
      <c r="Q671">
        <f>IF(OR(O671="",P671=""),"",O671-P671)</f>
        <v>0</v>
      </c>
      <c r="R671">
        <f>IF(Q671="","",IF(R670="",Q671,Q671*0.2000000000+R670*0.8000000000))</f>
        <v>0</v>
      </c>
      <c r="S671">
        <f>IF(OR(Q671="",R671=""),"",Q671-R671)</f>
        <v>0</v>
      </c>
      <c r="T671">
        <f>IF(COUNT($E$2:$E671)&lt;14,"",MAX($C$658:$C$671))</f>
        <v>0</v>
      </c>
      <c r="U671">
        <f>IF(COUNT($E$2:$E671)&lt;14,"",MIN($D$658:$D$671))</f>
        <v>0</v>
      </c>
      <c r="V671">
        <f>IF(OR(T671="",U671="",T671=U671),"",100*($E671-U671)/(T671-U671))</f>
        <v>0</v>
      </c>
      <c r="W671">
        <f>IF(COUNT($V$669:$V$671)&lt;3,"",AVERAGE($V$669:$V$671))</f>
        <v>0</v>
      </c>
      <c r="X671">
        <f>IF(COUNT($N$658:$N$671)&lt;14,"",MIN($N$658:$N$671))</f>
        <v>0</v>
      </c>
      <c r="Y671">
        <f>IF(COUNT($N$658:$N$671)&lt;14,"",MAX($N$658:$N$671))</f>
        <v>0</v>
      </c>
      <c r="Z671">
        <f>IF(OR(N671="",X671="",Y671="",Y671=X671),"",100*(N671-X671)/(Y671-X671))</f>
        <v>0</v>
      </c>
      <c r="AA671">
        <f>IF(COUNT($Z$669:$Z$671)&lt;3,"",AVERAGE($Z$669:$Z$671))</f>
        <v>0</v>
      </c>
      <c r="AB671">
        <f>IF(COUNT($AA$669:$AA$671)&lt;3,"",AVERAGE($AA$669:$AA$671))</f>
        <v>0</v>
      </c>
      <c r="AC671">
        <f>IF($E671="","",MAX($C671-$D671,ABS($C671-$E670),ABS($D671-$E670)))</f>
        <v>0</v>
      </c>
      <c r="AD671">
        <f>IF(COUNT($E$2:$E671)&lt;15,"",AVERAGE($AC$658:$AC$671))</f>
        <v>0</v>
      </c>
      <c r="AE671">
        <f>IF(OR($E671="",$E670=""),"",IF(AND(($C671-$C670)&gt;($D670-$D671),($C671-$C670)&gt;0),$C671-$C670,0))</f>
        <v>0</v>
      </c>
      <c r="AF671">
        <f>IF(OR($E671="",$E670=""),"",IF(AND(($D670-$D671)&gt;($C671-$C670),($D670-$D671)&gt;0),$D670-$D671,0))</f>
        <v>0</v>
      </c>
      <c r="AG671">
        <f>IF(COUNT($E$2:$E671)&lt;15,"",IF(SUM($AC$658:$AC$671)=0,0,100*SUM($AE$658:$AE$671)/SUM($AC$658:$AC$671)))</f>
        <v>0</v>
      </c>
      <c r="AH671">
        <f>IF(COUNT($E$2:$E671)&lt;15,"",IF(SUM($AC$658:$AC$671)=0,0,100*SUM($AF$658:$AF$671)/SUM($AC$658:$AC$671)))</f>
        <v>0</v>
      </c>
      <c r="AI671">
        <f>IF(OR(AG671="",AH671=""),"",IF((AG671+AH671)=0,0,100*ABS(AG671-AH671)/(AG671+AH671)))</f>
        <v>0</v>
      </c>
      <c r="AJ671">
        <f>IF(COUNT($AI$658:$AI$671)&lt;14,"",AVERAGE($AI$658:$AI$671))</f>
        <v>0</v>
      </c>
      <c r="AK671">
        <f>IF(COUNT($E$2:$E671)&lt;20,"",AVERAGE($E$652:$E$671))</f>
        <v>0</v>
      </c>
      <c r="AL671">
        <f>IF(COUNT($E$2:$E671)&lt;20,"",STDEVP($E$652:$E$671))</f>
        <v>0</v>
      </c>
      <c r="AM671">
        <f>IF(AK671="","",AK671+2*AL671)</f>
        <v>0</v>
      </c>
      <c r="AN671">
        <f>IF(AK671="","",AK671-2*AL671)</f>
        <v>0</v>
      </c>
      <c r="AO671">
        <f>IF(OR(AM671="",AN671="",AM671=AN671),"",($E671-AN671)/(AM671-AN671))</f>
        <v>0</v>
      </c>
      <c r="AP671">
        <f>IF(OR(AM671="",AK671="",AK671=0),"",(AM671-AN671)/AK671)</f>
        <v>0</v>
      </c>
      <c r="AQ671">
        <f>IF(COUNT($E$2:$E671)&lt;20,"",MAX($C$652:$C$671))</f>
        <v>0</v>
      </c>
      <c r="AR671">
        <f>IF(COUNT($E$2:$E671)&lt;20,"",MIN($D$652:$D$671))</f>
        <v>0</v>
      </c>
      <c r="AS671">
        <f>IF(OR(AQ671="",AR671=""),"",(AQ671+AR671)/2)</f>
        <v>0</v>
      </c>
      <c r="AT671">
        <f>IF(COUNT($G$652:$G$671)&lt;20,"",STDEV($G$652:$G$671)*SQRT(252))</f>
        <v>0</v>
      </c>
      <c r="AU671">
        <f>IF(COUNT($E$2:$E671)&lt;9,"",(MAX($C$663:$C$671)+MIN($D$663:$D$671))/2)</f>
        <v>0</v>
      </c>
      <c r="AV671">
        <f>IF(COUNT($E$2:$E671)&lt;26,"",(MAX($C$646:$C$671)+MIN($D$646:$D$671))/2)</f>
        <v>0</v>
      </c>
      <c r="AW671">
        <f>IF(OR(AU671="",AV671=""),"",(AU671+AV671)/2)</f>
        <v>0</v>
      </c>
      <c r="AX671">
        <f>IF(COUNT($E$2:$E671)&lt;52,"",(MAX($C$620:$C$671)+MIN($D$620:$D$671))/2)</f>
        <v>0</v>
      </c>
      <c r="AY671">
        <f>IF(COUNT($E$2:$E671)&lt;20,"",MAX($C$572:$C$671))</f>
        <v>0</v>
      </c>
      <c r="AZ671">
        <f>IF(COUNT($E$2:$E671)&lt;20,"",MIN($D$572:$D$671))</f>
        <v>0</v>
      </c>
      <c r="BA671">
        <f>IF(COUNT($E$2:$E671)&lt;20,"",SLOPE($E$572:$E$671,$F$572:$F$671))</f>
        <v>0</v>
      </c>
      <c r="BB671">
        <f>IF(COUNT($E$2:$E671)&lt;20,"",INTERCEPT($E$572:$E$671,$F$572:$F$671))</f>
        <v>0</v>
      </c>
      <c r="BC671">
        <f>IF(OR(BA671="",BB671=""),"",BB671+BA671*F671)</f>
        <v>0</v>
      </c>
      <c r="BD671">
        <f>IF(COUNT($E$2:$E671)&lt;20,"",STEYX($E$572:$E$671,$F$572:$F$671))</f>
        <v>0</v>
      </c>
      <c r="BE671">
        <f>IF($E671="","",IF(AND(COUNT($E$672:$E$675)&gt;=4,$C671=MAX($C$667:$C$675)),$C671,""))</f>
        <v>0</v>
      </c>
      <c r="BF671">
        <f>IF($E671="","",IF(AND(COUNT($E$672:$E$675)&gt;=4,$D671=MIN($D$667:$D$675)),$D671,""))</f>
        <v>0</v>
      </c>
      <c r="BG671">
        <f>IF($A671="","",$A671-WEEKDAY($A671,2)+1)</f>
        <v>0</v>
      </c>
      <c r="BH671">
        <f>IF($A671="","",IF($A670="",1,IF(BG671&lt;&gt;BG670,1,0)))</f>
        <v>0</v>
      </c>
      <c r="BI671">
        <f>IF($A671="","",IF($A672="",1,IF(BG672&lt;&gt;BG671,1,0)))</f>
        <v>0</v>
      </c>
      <c r="BJ671">
        <f>IF($A671="","",IF(BH671=1,$B671,BJ670))</f>
        <v>0</v>
      </c>
      <c r="BK671">
        <f>IF($A671="","",IF(BH671=1,$C671,MAX($C671,BK670)))</f>
        <v>0</v>
      </c>
      <c r="BL671">
        <f>IF($A671="","",IF(BH671=1,$D671,MIN($D671,BL670)))</f>
        <v>0</v>
      </c>
      <c r="BM671">
        <f>IF($A671="","",IF(BI671=1,F671,""))</f>
        <v>0</v>
      </c>
      <c r="BN671">
        <f>IF($A671="","",DATE(YEAR($A671),MONTH($A671),1))</f>
        <v>0</v>
      </c>
      <c r="BO671">
        <f>IF($A671="","",IF($A670="",1,IF(BN671&lt;&gt;BN670,1,0)))</f>
        <v>0</v>
      </c>
      <c r="BP671">
        <f>IF($A671="","",IF($A672="",1,IF(BN672&lt;&gt;BN671,1,0)))</f>
        <v>0</v>
      </c>
      <c r="BQ671">
        <f>IF($A671="","",IF(BO671=1,$B671,BQ670))</f>
        <v>0</v>
      </c>
      <c r="BR671">
        <f>IF($A671="","",IF(BO671=1,$C671,MAX($C671,BR670)))</f>
        <v>0</v>
      </c>
      <c r="BS671">
        <f>IF($A671="","",IF(BO671=1,$D671,MIN($D671,BS670)))</f>
        <v>0</v>
      </c>
      <c r="BT671">
        <f>IF($A671="","",IF(BP671=1,F671,""))</f>
        <v>0</v>
      </c>
    </row>
    <row r="672" spans="1:72">
      <c r="A672" s="27">
        <f>IF(Data!$A672="","",Data!$A672)</f>
        <v>0</v>
      </c>
      <c r="B672">
        <f>IF(Data!$B672="","",Data!$B672)</f>
        <v>0</v>
      </c>
      <c r="C672">
        <f>IF(Data!$C672="","",Data!$C672)</f>
        <v>0</v>
      </c>
      <c r="D672">
        <f>IF(Data!$D672="","",Data!$D672)</f>
        <v>0</v>
      </c>
      <c r="E672">
        <f>IF(Data!$E672="","",Data!$E672)</f>
        <v>0</v>
      </c>
      <c r="F672">
        <f>IF($E672="","",N(F671)+1)</f>
        <v>0</v>
      </c>
      <c r="G672">
        <f>IF(OR($E672="",$E671=""),"",LN($E672/$E671))</f>
        <v>0</v>
      </c>
      <c r="H672">
        <f>IF($E672="","",IF($E671="",$E672,$E672*0.0952380952+H671*0.9047619048))</f>
        <v>0</v>
      </c>
      <c r="I672">
        <f>IF($E672="","",IF($E671="",$E672,$E672*0.0392156863+I671*0.9607843137))</f>
        <v>0</v>
      </c>
      <c r="J672">
        <f>IF($E672="","",IF($E671="",$E672,$E672*0.0198019802+J671*0.9801980198))</f>
        <v>0</v>
      </c>
      <c r="K672">
        <f>IF($E672="","",IF($E671="",$E672,$E672*0.0099502488+K671*0.9900497512))</f>
        <v>0</v>
      </c>
      <c r="L672">
        <f>IF(OR($E672="",$E671=""),"",MAX($E672-$E671,0))</f>
        <v>0</v>
      </c>
      <c r="M672">
        <f>IF(OR($E672="",$E671=""),"",MAX($E671-$E672,0))</f>
        <v>0</v>
      </c>
      <c r="N672">
        <f>IF(COUNT($E$2:$E672)&lt;15,"",IF(AVERAGE($M$659:$M$672)=0,100,100-100/(1+AVERAGE($L$659:$L$672)/AVERAGE($M$659:$M$672))))</f>
        <v>0</v>
      </c>
      <c r="O672">
        <f>IF($E672="","",IF($E671="",$E672,$E672*0.1538461538+O671*0.8461538462))</f>
        <v>0</v>
      </c>
      <c r="P672">
        <f>IF($E672="","",IF($E671="",$E672,$E672*0.0740740741+P671*0.9259259259))</f>
        <v>0</v>
      </c>
      <c r="Q672">
        <f>IF(OR(O672="",P672=""),"",O672-P672)</f>
        <v>0</v>
      </c>
      <c r="R672">
        <f>IF(Q672="","",IF(R671="",Q672,Q672*0.2000000000+R671*0.8000000000))</f>
        <v>0</v>
      </c>
      <c r="S672">
        <f>IF(OR(Q672="",R672=""),"",Q672-R672)</f>
        <v>0</v>
      </c>
      <c r="T672">
        <f>IF(COUNT($E$2:$E672)&lt;14,"",MAX($C$659:$C$672))</f>
        <v>0</v>
      </c>
      <c r="U672">
        <f>IF(COUNT($E$2:$E672)&lt;14,"",MIN($D$659:$D$672))</f>
        <v>0</v>
      </c>
      <c r="V672">
        <f>IF(OR(T672="",U672="",T672=U672),"",100*($E672-U672)/(T672-U672))</f>
        <v>0</v>
      </c>
      <c r="W672">
        <f>IF(COUNT($V$670:$V$672)&lt;3,"",AVERAGE($V$670:$V$672))</f>
        <v>0</v>
      </c>
      <c r="X672">
        <f>IF(COUNT($N$659:$N$672)&lt;14,"",MIN($N$659:$N$672))</f>
        <v>0</v>
      </c>
      <c r="Y672">
        <f>IF(COUNT($N$659:$N$672)&lt;14,"",MAX($N$659:$N$672))</f>
        <v>0</v>
      </c>
      <c r="Z672">
        <f>IF(OR(N672="",X672="",Y672="",Y672=X672),"",100*(N672-X672)/(Y672-X672))</f>
        <v>0</v>
      </c>
      <c r="AA672">
        <f>IF(COUNT($Z$670:$Z$672)&lt;3,"",AVERAGE($Z$670:$Z$672))</f>
        <v>0</v>
      </c>
      <c r="AB672">
        <f>IF(COUNT($AA$670:$AA$672)&lt;3,"",AVERAGE($AA$670:$AA$672))</f>
        <v>0</v>
      </c>
      <c r="AC672">
        <f>IF($E672="","",MAX($C672-$D672,ABS($C672-$E671),ABS($D672-$E671)))</f>
        <v>0</v>
      </c>
      <c r="AD672">
        <f>IF(COUNT($E$2:$E672)&lt;15,"",AVERAGE($AC$659:$AC$672))</f>
        <v>0</v>
      </c>
      <c r="AE672">
        <f>IF(OR($E672="",$E671=""),"",IF(AND(($C672-$C671)&gt;($D671-$D672),($C672-$C671)&gt;0),$C672-$C671,0))</f>
        <v>0</v>
      </c>
      <c r="AF672">
        <f>IF(OR($E672="",$E671=""),"",IF(AND(($D671-$D672)&gt;($C672-$C671),($D671-$D672)&gt;0),$D671-$D672,0))</f>
        <v>0</v>
      </c>
      <c r="AG672">
        <f>IF(COUNT($E$2:$E672)&lt;15,"",IF(SUM($AC$659:$AC$672)=0,0,100*SUM($AE$659:$AE$672)/SUM($AC$659:$AC$672)))</f>
        <v>0</v>
      </c>
      <c r="AH672">
        <f>IF(COUNT($E$2:$E672)&lt;15,"",IF(SUM($AC$659:$AC$672)=0,0,100*SUM($AF$659:$AF$672)/SUM($AC$659:$AC$672)))</f>
        <v>0</v>
      </c>
      <c r="AI672">
        <f>IF(OR(AG672="",AH672=""),"",IF((AG672+AH672)=0,0,100*ABS(AG672-AH672)/(AG672+AH672)))</f>
        <v>0</v>
      </c>
      <c r="AJ672">
        <f>IF(COUNT($AI$659:$AI$672)&lt;14,"",AVERAGE($AI$659:$AI$672))</f>
        <v>0</v>
      </c>
      <c r="AK672">
        <f>IF(COUNT($E$2:$E672)&lt;20,"",AVERAGE($E$653:$E$672))</f>
        <v>0</v>
      </c>
      <c r="AL672">
        <f>IF(COUNT($E$2:$E672)&lt;20,"",STDEVP($E$653:$E$672))</f>
        <v>0</v>
      </c>
      <c r="AM672">
        <f>IF(AK672="","",AK672+2*AL672)</f>
        <v>0</v>
      </c>
      <c r="AN672">
        <f>IF(AK672="","",AK672-2*AL672)</f>
        <v>0</v>
      </c>
      <c r="AO672">
        <f>IF(OR(AM672="",AN672="",AM672=AN672),"",($E672-AN672)/(AM672-AN672))</f>
        <v>0</v>
      </c>
      <c r="AP672">
        <f>IF(OR(AM672="",AK672="",AK672=0),"",(AM672-AN672)/AK672)</f>
        <v>0</v>
      </c>
      <c r="AQ672">
        <f>IF(COUNT($E$2:$E672)&lt;20,"",MAX($C$653:$C$672))</f>
        <v>0</v>
      </c>
      <c r="AR672">
        <f>IF(COUNT($E$2:$E672)&lt;20,"",MIN($D$653:$D$672))</f>
        <v>0</v>
      </c>
      <c r="AS672">
        <f>IF(OR(AQ672="",AR672=""),"",(AQ672+AR672)/2)</f>
        <v>0</v>
      </c>
      <c r="AT672">
        <f>IF(COUNT($G$653:$G$672)&lt;20,"",STDEV($G$653:$G$672)*SQRT(252))</f>
        <v>0</v>
      </c>
      <c r="AU672">
        <f>IF(COUNT($E$2:$E672)&lt;9,"",(MAX($C$664:$C$672)+MIN($D$664:$D$672))/2)</f>
        <v>0</v>
      </c>
      <c r="AV672">
        <f>IF(COUNT($E$2:$E672)&lt;26,"",(MAX($C$647:$C$672)+MIN($D$647:$D$672))/2)</f>
        <v>0</v>
      </c>
      <c r="AW672">
        <f>IF(OR(AU672="",AV672=""),"",(AU672+AV672)/2)</f>
        <v>0</v>
      </c>
      <c r="AX672">
        <f>IF(COUNT($E$2:$E672)&lt;52,"",(MAX($C$621:$C$672)+MIN($D$621:$D$672))/2)</f>
        <v>0</v>
      </c>
      <c r="AY672">
        <f>IF(COUNT($E$2:$E672)&lt;20,"",MAX($C$573:$C$672))</f>
        <v>0</v>
      </c>
      <c r="AZ672">
        <f>IF(COUNT($E$2:$E672)&lt;20,"",MIN($D$573:$D$672))</f>
        <v>0</v>
      </c>
      <c r="BA672">
        <f>IF(COUNT($E$2:$E672)&lt;20,"",SLOPE($E$573:$E$672,$F$573:$F$672))</f>
        <v>0</v>
      </c>
      <c r="BB672">
        <f>IF(COUNT($E$2:$E672)&lt;20,"",INTERCEPT($E$573:$E$672,$F$573:$F$672))</f>
        <v>0</v>
      </c>
      <c r="BC672">
        <f>IF(OR(BA672="",BB672=""),"",BB672+BA672*F672)</f>
        <v>0</v>
      </c>
      <c r="BD672">
        <f>IF(COUNT($E$2:$E672)&lt;20,"",STEYX($E$573:$E$672,$F$573:$F$672))</f>
        <v>0</v>
      </c>
      <c r="BE672">
        <f>IF($E672="","",IF(AND(COUNT($E$673:$E$676)&gt;=4,$C672=MAX($C$668:$C$676)),$C672,""))</f>
        <v>0</v>
      </c>
      <c r="BF672">
        <f>IF($E672="","",IF(AND(COUNT($E$673:$E$676)&gt;=4,$D672=MIN($D$668:$D$676)),$D672,""))</f>
        <v>0</v>
      </c>
      <c r="BG672">
        <f>IF($A672="","",$A672-WEEKDAY($A672,2)+1)</f>
        <v>0</v>
      </c>
      <c r="BH672">
        <f>IF($A672="","",IF($A671="",1,IF(BG672&lt;&gt;BG671,1,0)))</f>
        <v>0</v>
      </c>
      <c r="BI672">
        <f>IF($A672="","",IF($A673="",1,IF(BG673&lt;&gt;BG672,1,0)))</f>
        <v>0</v>
      </c>
      <c r="BJ672">
        <f>IF($A672="","",IF(BH672=1,$B672,BJ671))</f>
        <v>0</v>
      </c>
      <c r="BK672">
        <f>IF($A672="","",IF(BH672=1,$C672,MAX($C672,BK671)))</f>
        <v>0</v>
      </c>
      <c r="BL672">
        <f>IF($A672="","",IF(BH672=1,$D672,MIN($D672,BL671)))</f>
        <v>0</v>
      </c>
      <c r="BM672">
        <f>IF($A672="","",IF(BI672=1,F672,""))</f>
        <v>0</v>
      </c>
      <c r="BN672">
        <f>IF($A672="","",DATE(YEAR($A672),MONTH($A672),1))</f>
        <v>0</v>
      </c>
      <c r="BO672">
        <f>IF($A672="","",IF($A671="",1,IF(BN672&lt;&gt;BN671,1,0)))</f>
        <v>0</v>
      </c>
      <c r="BP672">
        <f>IF($A672="","",IF($A673="",1,IF(BN673&lt;&gt;BN672,1,0)))</f>
        <v>0</v>
      </c>
      <c r="BQ672">
        <f>IF($A672="","",IF(BO672=1,$B672,BQ671))</f>
        <v>0</v>
      </c>
      <c r="BR672">
        <f>IF($A672="","",IF(BO672=1,$C672,MAX($C672,BR671)))</f>
        <v>0</v>
      </c>
      <c r="BS672">
        <f>IF($A672="","",IF(BO672=1,$D672,MIN($D672,BS671)))</f>
        <v>0</v>
      </c>
      <c r="BT672">
        <f>IF($A672="","",IF(BP672=1,F672,""))</f>
        <v>0</v>
      </c>
    </row>
    <row r="673" spans="1:72">
      <c r="A673" s="27">
        <f>IF(Data!$A673="","",Data!$A673)</f>
        <v>0</v>
      </c>
      <c r="B673">
        <f>IF(Data!$B673="","",Data!$B673)</f>
        <v>0</v>
      </c>
      <c r="C673">
        <f>IF(Data!$C673="","",Data!$C673)</f>
        <v>0</v>
      </c>
      <c r="D673">
        <f>IF(Data!$D673="","",Data!$D673)</f>
        <v>0</v>
      </c>
      <c r="E673">
        <f>IF(Data!$E673="","",Data!$E673)</f>
        <v>0</v>
      </c>
      <c r="F673">
        <f>IF($E673="","",N(F672)+1)</f>
        <v>0</v>
      </c>
      <c r="G673">
        <f>IF(OR($E673="",$E672=""),"",LN($E673/$E672))</f>
        <v>0</v>
      </c>
      <c r="H673">
        <f>IF($E673="","",IF($E672="",$E673,$E673*0.0952380952+H672*0.9047619048))</f>
        <v>0</v>
      </c>
      <c r="I673">
        <f>IF($E673="","",IF($E672="",$E673,$E673*0.0392156863+I672*0.9607843137))</f>
        <v>0</v>
      </c>
      <c r="J673">
        <f>IF($E673="","",IF($E672="",$E673,$E673*0.0198019802+J672*0.9801980198))</f>
        <v>0</v>
      </c>
      <c r="K673">
        <f>IF($E673="","",IF($E672="",$E673,$E673*0.0099502488+K672*0.9900497512))</f>
        <v>0</v>
      </c>
      <c r="L673">
        <f>IF(OR($E673="",$E672=""),"",MAX($E673-$E672,0))</f>
        <v>0</v>
      </c>
      <c r="M673">
        <f>IF(OR($E673="",$E672=""),"",MAX($E672-$E673,0))</f>
        <v>0</v>
      </c>
      <c r="N673">
        <f>IF(COUNT($E$2:$E673)&lt;15,"",IF(AVERAGE($M$660:$M$673)=0,100,100-100/(1+AVERAGE($L$660:$L$673)/AVERAGE($M$660:$M$673))))</f>
        <v>0</v>
      </c>
      <c r="O673">
        <f>IF($E673="","",IF($E672="",$E673,$E673*0.1538461538+O672*0.8461538462))</f>
        <v>0</v>
      </c>
      <c r="P673">
        <f>IF($E673="","",IF($E672="",$E673,$E673*0.0740740741+P672*0.9259259259))</f>
        <v>0</v>
      </c>
      <c r="Q673">
        <f>IF(OR(O673="",P673=""),"",O673-P673)</f>
        <v>0</v>
      </c>
      <c r="R673">
        <f>IF(Q673="","",IF(R672="",Q673,Q673*0.2000000000+R672*0.8000000000))</f>
        <v>0</v>
      </c>
      <c r="S673">
        <f>IF(OR(Q673="",R673=""),"",Q673-R673)</f>
        <v>0</v>
      </c>
      <c r="T673">
        <f>IF(COUNT($E$2:$E673)&lt;14,"",MAX($C$660:$C$673))</f>
        <v>0</v>
      </c>
      <c r="U673">
        <f>IF(COUNT($E$2:$E673)&lt;14,"",MIN($D$660:$D$673))</f>
        <v>0</v>
      </c>
      <c r="V673">
        <f>IF(OR(T673="",U673="",T673=U673),"",100*($E673-U673)/(T673-U673))</f>
        <v>0</v>
      </c>
      <c r="W673">
        <f>IF(COUNT($V$671:$V$673)&lt;3,"",AVERAGE($V$671:$V$673))</f>
        <v>0</v>
      </c>
      <c r="X673">
        <f>IF(COUNT($N$660:$N$673)&lt;14,"",MIN($N$660:$N$673))</f>
        <v>0</v>
      </c>
      <c r="Y673">
        <f>IF(COUNT($N$660:$N$673)&lt;14,"",MAX($N$660:$N$673))</f>
        <v>0</v>
      </c>
      <c r="Z673">
        <f>IF(OR(N673="",X673="",Y673="",Y673=X673),"",100*(N673-X673)/(Y673-X673))</f>
        <v>0</v>
      </c>
      <c r="AA673">
        <f>IF(COUNT($Z$671:$Z$673)&lt;3,"",AVERAGE($Z$671:$Z$673))</f>
        <v>0</v>
      </c>
      <c r="AB673">
        <f>IF(COUNT($AA$671:$AA$673)&lt;3,"",AVERAGE($AA$671:$AA$673))</f>
        <v>0</v>
      </c>
      <c r="AC673">
        <f>IF($E673="","",MAX($C673-$D673,ABS($C673-$E672),ABS($D673-$E672)))</f>
        <v>0</v>
      </c>
      <c r="AD673">
        <f>IF(COUNT($E$2:$E673)&lt;15,"",AVERAGE($AC$660:$AC$673))</f>
        <v>0</v>
      </c>
      <c r="AE673">
        <f>IF(OR($E673="",$E672=""),"",IF(AND(($C673-$C672)&gt;($D672-$D673),($C673-$C672)&gt;0),$C673-$C672,0))</f>
        <v>0</v>
      </c>
      <c r="AF673">
        <f>IF(OR($E673="",$E672=""),"",IF(AND(($D672-$D673)&gt;($C673-$C672),($D672-$D673)&gt;0),$D672-$D673,0))</f>
        <v>0</v>
      </c>
      <c r="AG673">
        <f>IF(COUNT($E$2:$E673)&lt;15,"",IF(SUM($AC$660:$AC$673)=0,0,100*SUM($AE$660:$AE$673)/SUM($AC$660:$AC$673)))</f>
        <v>0</v>
      </c>
      <c r="AH673">
        <f>IF(COUNT($E$2:$E673)&lt;15,"",IF(SUM($AC$660:$AC$673)=0,0,100*SUM($AF$660:$AF$673)/SUM($AC$660:$AC$673)))</f>
        <v>0</v>
      </c>
      <c r="AI673">
        <f>IF(OR(AG673="",AH673=""),"",IF((AG673+AH673)=0,0,100*ABS(AG673-AH673)/(AG673+AH673)))</f>
        <v>0</v>
      </c>
      <c r="AJ673">
        <f>IF(COUNT($AI$660:$AI$673)&lt;14,"",AVERAGE($AI$660:$AI$673))</f>
        <v>0</v>
      </c>
      <c r="AK673">
        <f>IF(COUNT($E$2:$E673)&lt;20,"",AVERAGE($E$654:$E$673))</f>
        <v>0</v>
      </c>
      <c r="AL673">
        <f>IF(COUNT($E$2:$E673)&lt;20,"",STDEVP($E$654:$E$673))</f>
        <v>0</v>
      </c>
      <c r="AM673">
        <f>IF(AK673="","",AK673+2*AL673)</f>
        <v>0</v>
      </c>
      <c r="AN673">
        <f>IF(AK673="","",AK673-2*AL673)</f>
        <v>0</v>
      </c>
      <c r="AO673">
        <f>IF(OR(AM673="",AN673="",AM673=AN673),"",($E673-AN673)/(AM673-AN673))</f>
        <v>0</v>
      </c>
      <c r="AP673">
        <f>IF(OR(AM673="",AK673="",AK673=0),"",(AM673-AN673)/AK673)</f>
        <v>0</v>
      </c>
      <c r="AQ673">
        <f>IF(COUNT($E$2:$E673)&lt;20,"",MAX($C$654:$C$673))</f>
        <v>0</v>
      </c>
      <c r="AR673">
        <f>IF(COUNT($E$2:$E673)&lt;20,"",MIN($D$654:$D$673))</f>
        <v>0</v>
      </c>
      <c r="AS673">
        <f>IF(OR(AQ673="",AR673=""),"",(AQ673+AR673)/2)</f>
        <v>0</v>
      </c>
      <c r="AT673">
        <f>IF(COUNT($G$654:$G$673)&lt;20,"",STDEV($G$654:$G$673)*SQRT(252))</f>
        <v>0</v>
      </c>
      <c r="AU673">
        <f>IF(COUNT($E$2:$E673)&lt;9,"",(MAX($C$665:$C$673)+MIN($D$665:$D$673))/2)</f>
        <v>0</v>
      </c>
      <c r="AV673">
        <f>IF(COUNT($E$2:$E673)&lt;26,"",(MAX($C$648:$C$673)+MIN($D$648:$D$673))/2)</f>
        <v>0</v>
      </c>
      <c r="AW673">
        <f>IF(OR(AU673="",AV673=""),"",(AU673+AV673)/2)</f>
        <v>0</v>
      </c>
      <c r="AX673">
        <f>IF(COUNT($E$2:$E673)&lt;52,"",(MAX($C$622:$C$673)+MIN($D$622:$D$673))/2)</f>
        <v>0</v>
      </c>
      <c r="AY673">
        <f>IF(COUNT($E$2:$E673)&lt;20,"",MAX($C$574:$C$673))</f>
        <v>0</v>
      </c>
      <c r="AZ673">
        <f>IF(COUNT($E$2:$E673)&lt;20,"",MIN($D$574:$D$673))</f>
        <v>0</v>
      </c>
      <c r="BA673">
        <f>IF(COUNT($E$2:$E673)&lt;20,"",SLOPE($E$574:$E$673,$F$574:$F$673))</f>
        <v>0</v>
      </c>
      <c r="BB673">
        <f>IF(COUNT($E$2:$E673)&lt;20,"",INTERCEPT($E$574:$E$673,$F$574:$F$673))</f>
        <v>0</v>
      </c>
      <c r="BC673">
        <f>IF(OR(BA673="",BB673=""),"",BB673+BA673*F673)</f>
        <v>0</v>
      </c>
      <c r="BD673">
        <f>IF(COUNT($E$2:$E673)&lt;20,"",STEYX($E$574:$E$673,$F$574:$F$673))</f>
        <v>0</v>
      </c>
      <c r="BE673">
        <f>IF($E673="","",IF(AND(COUNT($E$674:$E$677)&gt;=4,$C673=MAX($C$669:$C$677)),$C673,""))</f>
        <v>0</v>
      </c>
      <c r="BF673">
        <f>IF($E673="","",IF(AND(COUNT($E$674:$E$677)&gt;=4,$D673=MIN($D$669:$D$677)),$D673,""))</f>
        <v>0</v>
      </c>
      <c r="BG673">
        <f>IF($A673="","",$A673-WEEKDAY($A673,2)+1)</f>
        <v>0</v>
      </c>
      <c r="BH673">
        <f>IF($A673="","",IF($A672="",1,IF(BG673&lt;&gt;BG672,1,0)))</f>
        <v>0</v>
      </c>
      <c r="BI673">
        <f>IF($A673="","",IF($A674="",1,IF(BG674&lt;&gt;BG673,1,0)))</f>
        <v>0</v>
      </c>
      <c r="BJ673">
        <f>IF($A673="","",IF(BH673=1,$B673,BJ672))</f>
        <v>0</v>
      </c>
      <c r="BK673">
        <f>IF($A673="","",IF(BH673=1,$C673,MAX($C673,BK672)))</f>
        <v>0</v>
      </c>
      <c r="BL673">
        <f>IF($A673="","",IF(BH673=1,$D673,MIN($D673,BL672)))</f>
        <v>0</v>
      </c>
      <c r="BM673">
        <f>IF($A673="","",IF(BI673=1,F673,""))</f>
        <v>0</v>
      </c>
      <c r="BN673">
        <f>IF($A673="","",DATE(YEAR($A673),MONTH($A673),1))</f>
        <v>0</v>
      </c>
      <c r="BO673">
        <f>IF($A673="","",IF($A672="",1,IF(BN673&lt;&gt;BN672,1,0)))</f>
        <v>0</v>
      </c>
      <c r="BP673">
        <f>IF($A673="","",IF($A674="",1,IF(BN674&lt;&gt;BN673,1,0)))</f>
        <v>0</v>
      </c>
      <c r="BQ673">
        <f>IF($A673="","",IF(BO673=1,$B673,BQ672))</f>
        <v>0</v>
      </c>
      <c r="BR673">
        <f>IF($A673="","",IF(BO673=1,$C673,MAX($C673,BR672)))</f>
        <v>0</v>
      </c>
      <c r="BS673">
        <f>IF($A673="","",IF(BO673=1,$D673,MIN($D673,BS672)))</f>
        <v>0</v>
      </c>
      <c r="BT673">
        <f>IF($A673="","",IF(BP673=1,F673,""))</f>
        <v>0</v>
      </c>
    </row>
    <row r="674" spans="1:72">
      <c r="A674" s="27">
        <f>IF(Data!$A674="","",Data!$A674)</f>
        <v>0</v>
      </c>
      <c r="B674">
        <f>IF(Data!$B674="","",Data!$B674)</f>
        <v>0</v>
      </c>
      <c r="C674">
        <f>IF(Data!$C674="","",Data!$C674)</f>
        <v>0</v>
      </c>
      <c r="D674">
        <f>IF(Data!$D674="","",Data!$D674)</f>
        <v>0</v>
      </c>
      <c r="E674">
        <f>IF(Data!$E674="","",Data!$E674)</f>
        <v>0</v>
      </c>
      <c r="F674">
        <f>IF($E674="","",N(F673)+1)</f>
        <v>0</v>
      </c>
      <c r="G674">
        <f>IF(OR($E674="",$E673=""),"",LN($E674/$E673))</f>
        <v>0</v>
      </c>
      <c r="H674">
        <f>IF($E674="","",IF($E673="",$E674,$E674*0.0952380952+H673*0.9047619048))</f>
        <v>0</v>
      </c>
      <c r="I674">
        <f>IF($E674="","",IF($E673="",$E674,$E674*0.0392156863+I673*0.9607843137))</f>
        <v>0</v>
      </c>
      <c r="J674">
        <f>IF($E674="","",IF($E673="",$E674,$E674*0.0198019802+J673*0.9801980198))</f>
        <v>0</v>
      </c>
      <c r="K674">
        <f>IF($E674="","",IF($E673="",$E674,$E674*0.0099502488+K673*0.9900497512))</f>
        <v>0</v>
      </c>
      <c r="L674">
        <f>IF(OR($E674="",$E673=""),"",MAX($E674-$E673,0))</f>
        <v>0</v>
      </c>
      <c r="M674">
        <f>IF(OR($E674="",$E673=""),"",MAX($E673-$E674,0))</f>
        <v>0</v>
      </c>
      <c r="N674">
        <f>IF(COUNT($E$2:$E674)&lt;15,"",IF(AVERAGE($M$661:$M$674)=0,100,100-100/(1+AVERAGE($L$661:$L$674)/AVERAGE($M$661:$M$674))))</f>
        <v>0</v>
      </c>
      <c r="O674">
        <f>IF($E674="","",IF($E673="",$E674,$E674*0.1538461538+O673*0.8461538462))</f>
        <v>0</v>
      </c>
      <c r="P674">
        <f>IF($E674="","",IF($E673="",$E674,$E674*0.0740740741+P673*0.9259259259))</f>
        <v>0</v>
      </c>
      <c r="Q674">
        <f>IF(OR(O674="",P674=""),"",O674-P674)</f>
        <v>0</v>
      </c>
      <c r="R674">
        <f>IF(Q674="","",IF(R673="",Q674,Q674*0.2000000000+R673*0.8000000000))</f>
        <v>0</v>
      </c>
      <c r="S674">
        <f>IF(OR(Q674="",R674=""),"",Q674-R674)</f>
        <v>0</v>
      </c>
      <c r="T674">
        <f>IF(COUNT($E$2:$E674)&lt;14,"",MAX($C$661:$C$674))</f>
        <v>0</v>
      </c>
      <c r="U674">
        <f>IF(COUNT($E$2:$E674)&lt;14,"",MIN($D$661:$D$674))</f>
        <v>0</v>
      </c>
      <c r="V674">
        <f>IF(OR(T674="",U674="",T674=U674),"",100*($E674-U674)/(T674-U674))</f>
        <v>0</v>
      </c>
      <c r="W674">
        <f>IF(COUNT($V$672:$V$674)&lt;3,"",AVERAGE($V$672:$V$674))</f>
        <v>0</v>
      </c>
      <c r="X674">
        <f>IF(COUNT($N$661:$N$674)&lt;14,"",MIN($N$661:$N$674))</f>
        <v>0</v>
      </c>
      <c r="Y674">
        <f>IF(COUNT($N$661:$N$674)&lt;14,"",MAX($N$661:$N$674))</f>
        <v>0</v>
      </c>
      <c r="Z674">
        <f>IF(OR(N674="",X674="",Y674="",Y674=X674),"",100*(N674-X674)/(Y674-X674))</f>
        <v>0</v>
      </c>
      <c r="AA674">
        <f>IF(COUNT($Z$672:$Z$674)&lt;3,"",AVERAGE($Z$672:$Z$674))</f>
        <v>0</v>
      </c>
      <c r="AB674">
        <f>IF(COUNT($AA$672:$AA$674)&lt;3,"",AVERAGE($AA$672:$AA$674))</f>
        <v>0</v>
      </c>
      <c r="AC674">
        <f>IF($E674="","",MAX($C674-$D674,ABS($C674-$E673),ABS($D674-$E673)))</f>
        <v>0</v>
      </c>
      <c r="AD674">
        <f>IF(COUNT($E$2:$E674)&lt;15,"",AVERAGE($AC$661:$AC$674))</f>
        <v>0</v>
      </c>
      <c r="AE674">
        <f>IF(OR($E674="",$E673=""),"",IF(AND(($C674-$C673)&gt;($D673-$D674),($C674-$C673)&gt;0),$C674-$C673,0))</f>
        <v>0</v>
      </c>
      <c r="AF674">
        <f>IF(OR($E674="",$E673=""),"",IF(AND(($D673-$D674)&gt;($C674-$C673),($D673-$D674)&gt;0),$D673-$D674,0))</f>
        <v>0</v>
      </c>
      <c r="AG674">
        <f>IF(COUNT($E$2:$E674)&lt;15,"",IF(SUM($AC$661:$AC$674)=0,0,100*SUM($AE$661:$AE$674)/SUM($AC$661:$AC$674)))</f>
        <v>0</v>
      </c>
      <c r="AH674">
        <f>IF(COUNT($E$2:$E674)&lt;15,"",IF(SUM($AC$661:$AC$674)=0,0,100*SUM($AF$661:$AF$674)/SUM($AC$661:$AC$674)))</f>
        <v>0</v>
      </c>
      <c r="AI674">
        <f>IF(OR(AG674="",AH674=""),"",IF((AG674+AH674)=0,0,100*ABS(AG674-AH674)/(AG674+AH674)))</f>
        <v>0</v>
      </c>
      <c r="AJ674">
        <f>IF(COUNT($AI$661:$AI$674)&lt;14,"",AVERAGE($AI$661:$AI$674))</f>
        <v>0</v>
      </c>
      <c r="AK674">
        <f>IF(COUNT($E$2:$E674)&lt;20,"",AVERAGE($E$655:$E$674))</f>
        <v>0</v>
      </c>
      <c r="AL674">
        <f>IF(COUNT($E$2:$E674)&lt;20,"",STDEVP($E$655:$E$674))</f>
        <v>0</v>
      </c>
      <c r="AM674">
        <f>IF(AK674="","",AK674+2*AL674)</f>
        <v>0</v>
      </c>
      <c r="AN674">
        <f>IF(AK674="","",AK674-2*AL674)</f>
        <v>0</v>
      </c>
      <c r="AO674">
        <f>IF(OR(AM674="",AN674="",AM674=AN674),"",($E674-AN674)/(AM674-AN674))</f>
        <v>0</v>
      </c>
      <c r="AP674">
        <f>IF(OR(AM674="",AK674="",AK674=0),"",(AM674-AN674)/AK674)</f>
        <v>0</v>
      </c>
      <c r="AQ674">
        <f>IF(COUNT($E$2:$E674)&lt;20,"",MAX($C$655:$C$674))</f>
        <v>0</v>
      </c>
      <c r="AR674">
        <f>IF(COUNT($E$2:$E674)&lt;20,"",MIN($D$655:$D$674))</f>
        <v>0</v>
      </c>
      <c r="AS674">
        <f>IF(OR(AQ674="",AR674=""),"",(AQ674+AR674)/2)</f>
        <v>0</v>
      </c>
      <c r="AT674">
        <f>IF(COUNT($G$655:$G$674)&lt;20,"",STDEV($G$655:$G$674)*SQRT(252))</f>
        <v>0</v>
      </c>
      <c r="AU674">
        <f>IF(COUNT($E$2:$E674)&lt;9,"",(MAX($C$666:$C$674)+MIN($D$666:$D$674))/2)</f>
        <v>0</v>
      </c>
      <c r="AV674">
        <f>IF(COUNT($E$2:$E674)&lt;26,"",(MAX($C$649:$C$674)+MIN($D$649:$D$674))/2)</f>
        <v>0</v>
      </c>
      <c r="AW674">
        <f>IF(OR(AU674="",AV674=""),"",(AU674+AV674)/2)</f>
        <v>0</v>
      </c>
      <c r="AX674">
        <f>IF(COUNT($E$2:$E674)&lt;52,"",(MAX($C$623:$C$674)+MIN($D$623:$D$674))/2)</f>
        <v>0</v>
      </c>
      <c r="AY674">
        <f>IF(COUNT($E$2:$E674)&lt;20,"",MAX($C$575:$C$674))</f>
        <v>0</v>
      </c>
      <c r="AZ674">
        <f>IF(COUNT($E$2:$E674)&lt;20,"",MIN($D$575:$D$674))</f>
        <v>0</v>
      </c>
      <c r="BA674">
        <f>IF(COUNT($E$2:$E674)&lt;20,"",SLOPE($E$575:$E$674,$F$575:$F$674))</f>
        <v>0</v>
      </c>
      <c r="BB674">
        <f>IF(COUNT($E$2:$E674)&lt;20,"",INTERCEPT($E$575:$E$674,$F$575:$F$674))</f>
        <v>0</v>
      </c>
      <c r="BC674">
        <f>IF(OR(BA674="",BB674=""),"",BB674+BA674*F674)</f>
        <v>0</v>
      </c>
      <c r="BD674">
        <f>IF(COUNT($E$2:$E674)&lt;20,"",STEYX($E$575:$E$674,$F$575:$F$674))</f>
        <v>0</v>
      </c>
      <c r="BE674">
        <f>IF($E674="","",IF(AND(COUNT($E$675:$E$678)&gt;=4,$C674=MAX($C$670:$C$678)),$C674,""))</f>
        <v>0</v>
      </c>
      <c r="BF674">
        <f>IF($E674="","",IF(AND(COUNT($E$675:$E$678)&gt;=4,$D674=MIN($D$670:$D$678)),$D674,""))</f>
        <v>0</v>
      </c>
      <c r="BG674">
        <f>IF($A674="","",$A674-WEEKDAY($A674,2)+1)</f>
        <v>0</v>
      </c>
      <c r="BH674">
        <f>IF($A674="","",IF($A673="",1,IF(BG674&lt;&gt;BG673,1,0)))</f>
        <v>0</v>
      </c>
      <c r="BI674">
        <f>IF($A674="","",IF($A675="",1,IF(BG675&lt;&gt;BG674,1,0)))</f>
        <v>0</v>
      </c>
      <c r="BJ674">
        <f>IF($A674="","",IF(BH674=1,$B674,BJ673))</f>
        <v>0</v>
      </c>
      <c r="BK674">
        <f>IF($A674="","",IF(BH674=1,$C674,MAX($C674,BK673)))</f>
        <v>0</v>
      </c>
      <c r="BL674">
        <f>IF($A674="","",IF(BH674=1,$D674,MIN($D674,BL673)))</f>
        <v>0</v>
      </c>
      <c r="BM674">
        <f>IF($A674="","",IF(BI674=1,F674,""))</f>
        <v>0</v>
      </c>
      <c r="BN674">
        <f>IF($A674="","",DATE(YEAR($A674),MONTH($A674),1))</f>
        <v>0</v>
      </c>
      <c r="BO674">
        <f>IF($A674="","",IF($A673="",1,IF(BN674&lt;&gt;BN673,1,0)))</f>
        <v>0</v>
      </c>
      <c r="BP674">
        <f>IF($A674="","",IF($A675="",1,IF(BN675&lt;&gt;BN674,1,0)))</f>
        <v>0</v>
      </c>
      <c r="BQ674">
        <f>IF($A674="","",IF(BO674=1,$B674,BQ673))</f>
        <v>0</v>
      </c>
      <c r="BR674">
        <f>IF($A674="","",IF(BO674=1,$C674,MAX($C674,BR673)))</f>
        <v>0</v>
      </c>
      <c r="BS674">
        <f>IF($A674="","",IF(BO674=1,$D674,MIN($D674,BS673)))</f>
        <v>0</v>
      </c>
      <c r="BT674">
        <f>IF($A674="","",IF(BP674=1,F674,""))</f>
        <v>0</v>
      </c>
    </row>
    <row r="675" spans="1:72">
      <c r="A675" s="27">
        <f>IF(Data!$A675="","",Data!$A675)</f>
        <v>0</v>
      </c>
      <c r="B675">
        <f>IF(Data!$B675="","",Data!$B675)</f>
        <v>0</v>
      </c>
      <c r="C675">
        <f>IF(Data!$C675="","",Data!$C675)</f>
        <v>0</v>
      </c>
      <c r="D675">
        <f>IF(Data!$D675="","",Data!$D675)</f>
        <v>0</v>
      </c>
      <c r="E675">
        <f>IF(Data!$E675="","",Data!$E675)</f>
        <v>0</v>
      </c>
      <c r="F675">
        <f>IF($E675="","",N(F674)+1)</f>
        <v>0</v>
      </c>
      <c r="G675">
        <f>IF(OR($E675="",$E674=""),"",LN($E675/$E674))</f>
        <v>0</v>
      </c>
      <c r="H675">
        <f>IF($E675="","",IF($E674="",$E675,$E675*0.0952380952+H674*0.9047619048))</f>
        <v>0</v>
      </c>
      <c r="I675">
        <f>IF($E675="","",IF($E674="",$E675,$E675*0.0392156863+I674*0.9607843137))</f>
        <v>0</v>
      </c>
      <c r="J675">
        <f>IF($E675="","",IF($E674="",$E675,$E675*0.0198019802+J674*0.9801980198))</f>
        <v>0</v>
      </c>
      <c r="K675">
        <f>IF($E675="","",IF($E674="",$E675,$E675*0.0099502488+K674*0.9900497512))</f>
        <v>0</v>
      </c>
      <c r="L675">
        <f>IF(OR($E675="",$E674=""),"",MAX($E675-$E674,0))</f>
        <v>0</v>
      </c>
      <c r="M675">
        <f>IF(OR($E675="",$E674=""),"",MAX($E674-$E675,0))</f>
        <v>0</v>
      </c>
      <c r="N675">
        <f>IF(COUNT($E$2:$E675)&lt;15,"",IF(AVERAGE($M$662:$M$675)=0,100,100-100/(1+AVERAGE($L$662:$L$675)/AVERAGE($M$662:$M$675))))</f>
        <v>0</v>
      </c>
      <c r="O675">
        <f>IF($E675="","",IF($E674="",$E675,$E675*0.1538461538+O674*0.8461538462))</f>
        <v>0</v>
      </c>
      <c r="P675">
        <f>IF($E675="","",IF($E674="",$E675,$E675*0.0740740741+P674*0.9259259259))</f>
        <v>0</v>
      </c>
      <c r="Q675">
        <f>IF(OR(O675="",P675=""),"",O675-P675)</f>
        <v>0</v>
      </c>
      <c r="R675">
        <f>IF(Q675="","",IF(R674="",Q675,Q675*0.2000000000+R674*0.8000000000))</f>
        <v>0</v>
      </c>
      <c r="S675">
        <f>IF(OR(Q675="",R675=""),"",Q675-R675)</f>
        <v>0</v>
      </c>
      <c r="T675">
        <f>IF(COUNT($E$2:$E675)&lt;14,"",MAX($C$662:$C$675))</f>
        <v>0</v>
      </c>
      <c r="U675">
        <f>IF(COUNT($E$2:$E675)&lt;14,"",MIN($D$662:$D$675))</f>
        <v>0</v>
      </c>
      <c r="V675">
        <f>IF(OR(T675="",U675="",T675=U675),"",100*($E675-U675)/(T675-U675))</f>
        <v>0</v>
      </c>
      <c r="W675">
        <f>IF(COUNT($V$673:$V$675)&lt;3,"",AVERAGE($V$673:$V$675))</f>
        <v>0</v>
      </c>
      <c r="X675">
        <f>IF(COUNT($N$662:$N$675)&lt;14,"",MIN($N$662:$N$675))</f>
        <v>0</v>
      </c>
      <c r="Y675">
        <f>IF(COUNT($N$662:$N$675)&lt;14,"",MAX($N$662:$N$675))</f>
        <v>0</v>
      </c>
      <c r="Z675">
        <f>IF(OR(N675="",X675="",Y675="",Y675=X675),"",100*(N675-X675)/(Y675-X675))</f>
        <v>0</v>
      </c>
      <c r="AA675">
        <f>IF(COUNT($Z$673:$Z$675)&lt;3,"",AVERAGE($Z$673:$Z$675))</f>
        <v>0</v>
      </c>
      <c r="AB675">
        <f>IF(COUNT($AA$673:$AA$675)&lt;3,"",AVERAGE($AA$673:$AA$675))</f>
        <v>0</v>
      </c>
      <c r="AC675">
        <f>IF($E675="","",MAX($C675-$D675,ABS($C675-$E674),ABS($D675-$E674)))</f>
        <v>0</v>
      </c>
      <c r="AD675">
        <f>IF(COUNT($E$2:$E675)&lt;15,"",AVERAGE($AC$662:$AC$675))</f>
        <v>0</v>
      </c>
      <c r="AE675">
        <f>IF(OR($E675="",$E674=""),"",IF(AND(($C675-$C674)&gt;($D674-$D675),($C675-$C674)&gt;0),$C675-$C674,0))</f>
        <v>0</v>
      </c>
      <c r="AF675">
        <f>IF(OR($E675="",$E674=""),"",IF(AND(($D674-$D675)&gt;($C675-$C674),($D674-$D675)&gt;0),$D674-$D675,0))</f>
        <v>0</v>
      </c>
      <c r="AG675">
        <f>IF(COUNT($E$2:$E675)&lt;15,"",IF(SUM($AC$662:$AC$675)=0,0,100*SUM($AE$662:$AE$675)/SUM($AC$662:$AC$675)))</f>
        <v>0</v>
      </c>
      <c r="AH675">
        <f>IF(COUNT($E$2:$E675)&lt;15,"",IF(SUM($AC$662:$AC$675)=0,0,100*SUM($AF$662:$AF$675)/SUM($AC$662:$AC$675)))</f>
        <v>0</v>
      </c>
      <c r="AI675">
        <f>IF(OR(AG675="",AH675=""),"",IF((AG675+AH675)=0,0,100*ABS(AG675-AH675)/(AG675+AH675)))</f>
        <v>0</v>
      </c>
      <c r="AJ675">
        <f>IF(COUNT($AI$662:$AI$675)&lt;14,"",AVERAGE($AI$662:$AI$675))</f>
        <v>0</v>
      </c>
      <c r="AK675">
        <f>IF(COUNT($E$2:$E675)&lt;20,"",AVERAGE($E$656:$E$675))</f>
        <v>0</v>
      </c>
      <c r="AL675">
        <f>IF(COUNT($E$2:$E675)&lt;20,"",STDEVP($E$656:$E$675))</f>
        <v>0</v>
      </c>
      <c r="AM675">
        <f>IF(AK675="","",AK675+2*AL675)</f>
        <v>0</v>
      </c>
      <c r="AN675">
        <f>IF(AK675="","",AK675-2*AL675)</f>
        <v>0</v>
      </c>
      <c r="AO675">
        <f>IF(OR(AM675="",AN675="",AM675=AN675),"",($E675-AN675)/(AM675-AN675))</f>
        <v>0</v>
      </c>
      <c r="AP675">
        <f>IF(OR(AM675="",AK675="",AK675=0),"",(AM675-AN675)/AK675)</f>
        <v>0</v>
      </c>
      <c r="AQ675">
        <f>IF(COUNT($E$2:$E675)&lt;20,"",MAX($C$656:$C$675))</f>
        <v>0</v>
      </c>
      <c r="AR675">
        <f>IF(COUNT($E$2:$E675)&lt;20,"",MIN($D$656:$D$675))</f>
        <v>0</v>
      </c>
      <c r="AS675">
        <f>IF(OR(AQ675="",AR675=""),"",(AQ675+AR675)/2)</f>
        <v>0</v>
      </c>
      <c r="AT675">
        <f>IF(COUNT($G$656:$G$675)&lt;20,"",STDEV($G$656:$G$675)*SQRT(252))</f>
        <v>0</v>
      </c>
      <c r="AU675">
        <f>IF(COUNT($E$2:$E675)&lt;9,"",(MAX($C$667:$C$675)+MIN($D$667:$D$675))/2)</f>
        <v>0</v>
      </c>
      <c r="AV675">
        <f>IF(COUNT($E$2:$E675)&lt;26,"",(MAX($C$650:$C$675)+MIN($D$650:$D$675))/2)</f>
        <v>0</v>
      </c>
      <c r="AW675">
        <f>IF(OR(AU675="",AV675=""),"",(AU675+AV675)/2)</f>
        <v>0</v>
      </c>
      <c r="AX675">
        <f>IF(COUNT($E$2:$E675)&lt;52,"",(MAX($C$624:$C$675)+MIN($D$624:$D$675))/2)</f>
        <v>0</v>
      </c>
      <c r="AY675">
        <f>IF(COUNT($E$2:$E675)&lt;20,"",MAX($C$576:$C$675))</f>
        <v>0</v>
      </c>
      <c r="AZ675">
        <f>IF(COUNT($E$2:$E675)&lt;20,"",MIN($D$576:$D$675))</f>
        <v>0</v>
      </c>
      <c r="BA675">
        <f>IF(COUNT($E$2:$E675)&lt;20,"",SLOPE($E$576:$E$675,$F$576:$F$675))</f>
        <v>0</v>
      </c>
      <c r="BB675">
        <f>IF(COUNT($E$2:$E675)&lt;20,"",INTERCEPT($E$576:$E$675,$F$576:$F$675))</f>
        <v>0</v>
      </c>
      <c r="BC675">
        <f>IF(OR(BA675="",BB675=""),"",BB675+BA675*F675)</f>
        <v>0</v>
      </c>
      <c r="BD675">
        <f>IF(COUNT($E$2:$E675)&lt;20,"",STEYX($E$576:$E$675,$F$576:$F$675))</f>
        <v>0</v>
      </c>
      <c r="BE675">
        <f>IF($E675="","",IF(AND(COUNT($E$676:$E$679)&gt;=4,$C675=MAX($C$671:$C$679)),$C675,""))</f>
        <v>0</v>
      </c>
      <c r="BF675">
        <f>IF($E675="","",IF(AND(COUNT($E$676:$E$679)&gt;=4,$D675=MIN($D$671:$D$679)),$D675,""))</f>
        <v>0</v>
      </c>
      <c r="BG675">
        <f>IF($A675="","",$A675-WEEKDAY($A675,2)+1)</f>
        <v>0</v>
      </c>
      <c r="BH675">
        <f>IF($A675="","",IF($A674="",1,IF(BG675&lt;&gt;BG674,1,0)))</f>
        <v>0</v>
      </c>
      <c r="BI675">
        <f>IF($A675="","",IF($A676="",1,IF(BG676&lt;&gt;BG675,1,0)))</f>
        <v>0</v>
      </c>
      <c r="BJ675">
        <f>IF($A675="","",IF(BH675=1,$B675,BJ674))</f>
        <v>0</v>
      </c>
      <c r="BK675">
        <f>IF($A675="","",IF(BH675=1,$C675,MAX($C675,BK674)))</f>
        <v>0</v>
      </c>
      <c r="BL675">
        <f>IF($A675="","",IF(BH675=1,$D675,MIN($D675,BL674)))</f>
        <v>0</v>
      </c>
      <c r="BM675">
        <f>IF($A675="","",IF(BI675=1,F675,""))</f>
        <v>0</v>
      </c>
      <c r="BN675">
        <f>IF($A675="","",DATE(YEAR($A675),MONTH($A675),1))</f>
        <v>0</v>
      </c>
      <c r="BO675">
        <f>IF($A675="","",IF($A674="",1,IF(BN675&lt;&gt;BN674,1,0)))</f>
        <v>0</v>
      </c>
      <c r="BP675">
        <f>IF($A675="","",IF($A676="",1,IF(BN676&lt;&gt;BN675,1,0)))</f>
        <v>0</v>
      </c>
      <c r="BQ675">
        <f>IF($A675="","",IF(BO675=1,$B675,BQ674))</f>
        <v>0</v>
      </c>
      <c r="BR675">
        <f>IF($A675="","",IF(BO675=1,$C675,MAX($C675,BR674)))</f>
        <v>0</v>
      </c>
      <c r="BS675">
        <f>IF($A675="","",IF(BO675=1,$D675,MIN($D675,BS674)))</f>
        <v>0</v>
      </c>
      <c r="BT675">
        <f>IF($A675="","",IF(BP675=1,F675,""))</f>
        <v>0</v>
      </c>
    </row>
    <row r="676" spans="1:72">
      <c r="A676" s="27">
        <f>IF(Data!$A676="","",Data!$A676)</f>
        <v>0</v>
      </c>
      <c r="B676">
        <f>IF(Data!$B676="","",Data!$B676)</f>
        <v>0</v>
      </c>
      <c r="C676">
        <f>IF(Data!$C676="","",Data!$C676)</f>
        <v>0</v>
      </c>
      <c r="D676">
        <f>IF(Data!$D676="","",Data!$D676)</f>
        <v>0</v>
      </c>
      <c r="E676">
        <f>IF(Data!$E676="","",Data!$E676)</f>
        <v>0</v>
      </c>
      <c r="F676">
        <f>IF($E676="","",N(F675)+1)</f>
        <v>0</v>
      </c>
      <c r="G676">
        <f>IF(OR($E676="",$E675=""),"",LN($E676/$E675))</f>
        <v>0</v>
      </c>
      <c r="H676">
        <f>IF($E676="","",IF($E675="",$E676,$E676*0.0952380952+H675*0.9047619048))</f>
        <v>0</v>
      </c>
      <c r="I676">
        <f>IF($E676="","",IF($E675="",$E676,$E676*0.0392156863+I675*0.9607843137))</f>
        <v>0</v>
      </c>
      <c r="J676">
        <f>IF($E676="","",IF($E675="",$E676,$E676*0.0198019802+J675*0.9801980198))</f>
        <v>0</v>
      </c>
      <c r="K676">
        <f>IF($E676="","",IF($E675="",$E676,$E676*0.0099502488+K675*0.9900497512))</f>
        <v>0</v>
      </c>
      <c r="L676">
        <f>IF(OR($E676="",$E675=""),"",MAX($E676-$E675,0))</f>
        <v>0</v>
      </c>
      <c r="M676">
        <f>IF(OR($E676="",$E675=""),"",MAX($E675-$E676,0))</f>
        <v>0</v>
      </c>
      <c r="N676">
        <f>IF(COUNT($E$2:$E676)&lt;15,"",IF(AVERAGE($M$663:$M$676)=0,100,100-100/(1+AVERAGE($L$663:$L$676)/AVERAGE($M$663:$M$676))))</f>
        <v>0</v>
      </c>
      <c r="O676">
        <f>IF($E676="","",IF($E675="",$E676,$E676*0.1538461538+O675*0.8461538462))</f>
        <v>0</v>
      </c>
      <c r="P676">
        <f>IF($E676="","",IF($E675="",$E676,$E676*0.0740740741+P675*0.9259259259))</f>
        <v>0</v>
      </c>
      <c r="Q676">
        <f>IF(OR(O676="",P676=""),"",O676-P676)</f>
        <v>0</v>
      </c>
      <c r="R676">
        <f>IF(Q676="","",IF(R675="",Q676,Q676*0.2000000000+R675*0.8000000000))</f>
        <v>0</v>
      </c>
      <c r="S676">
        <f>IF(OR(Q676="",R676=""),"",Q676-R676)</f>
        <v>0</v>
      </c>
      <c r="T676">
        <f>IF(COUNT($E$2:$E676)&lt;14,"",MAX($C$663:$C$676))</f>
        <v>0</v>
      </c>
      <c r="U676">
        <f>IF(COUNT($E$2:$E676)&lt;14,"",MIN($D$663:$D$676))</f>
        <v>0</v>
      </c>
      <c r="V676">
        <f>IF(OR(T676="",U676="",T676=U676),"",100*($E676-U676)/(T676-U676))</f>
        <v>0</v>
      </c>
      <c r="W676">
        <f>IF(COUNT($V$674:$V$676)&lt;3,"",AVERAGE($V$674:$V$676))</f>
        <v>0</v>
      </c>
      <c r="X676">
        <f>IF(COUNT($N$663:$N$676)&lt;14,"",MIN($N$663:$N$676))</f>
        <v>0</v>
      </c>
      <c r="Y676">
        <f>IF(COUNT($N$663:$N$676)&lt;14,"",MAX($N$663:$N$676))</f>
        <v>0</v>
      </c>
      <c r="Z676">
        <f>IF(OR(N676="",X676="",Y676="",Y676=X676),"",100*(N676-X676)/(Y676-X676))</f>
        <v>0</v>
      </c>
      <c r="AA676">
        <f>IF(COUNT($Z$674:$Z$676)&lt;3,"",AVERAGE($Z$674:$Z$676))</f>
        <v>0</v>
      </c>
      <c r="AB676">
        <f>IF(COUNT($AA$674:$AA$676)&lt;3,"",AVERAGE($AA$674:$AA$676))</f>
        <v>0</v>
      </c>
      <c r="AC676">
        <f>IF($E676="","",MAX($C676-$D676,ABS($C676-$E675),ABS($D676-$E675)))</f>
        <v>0</v>
      </c>
      <c r="AD676">
        <f>IF(COUNT($E$2:$E676)&lt;15,"",AVERAGE($AC$663:$AC$676))</f>
        <v>0</v>
      </c>
      <c r="AE676">
        <f>IF(OR($E676="",$E675=""),"",IF(AND(($C676-$C675)&gt;($D675-$D676),($C676-$C675)&gt;0),$C676-$C675,0))</f>
        <v>0</v>
      </c>
      <c r="AF676">
        <f>IF(OR($E676="",$E675=""),"",IF(AND(($D675-$D676)&gt;($C676-$C675),($D675-$D676)&gt;0),$D675-$D676,0))</f>
        <v>0</v>
      </c>
      <c r="AG676">
        <f>IF(COUNT($E$2:$E676)&lt;15,"",IF(SUM($AC$663:$AC$676)=0,0,100*SUM($AE$663:$AE$676)/SUM($AC$663:$AC$676)))</f>
        <v>0</v>
      </c>
      <c r="AH676">
        <f>IF(COUNT($E$2:$E676)&lt;15,"",IF(SUM($AC$663:$AC$676)=0,0,100*SUM($AF$663:$AF$676)/SUM($AC$663:$AC$676)))</f>
        <v>0</v>
      </c>
      <c r="AI676">
        <f>IF(OR(AG676="",AH676=""),"",IF((AG676+AH676)=0,0,100*ABS(AG676-AH676)/(AG676+AH676)))</f>
        <v>0</v>
      </c>
      <c r="AJ676">
        <f>IF(COUNT($AI$663:$AI$676)&lt;14,"",AVERAGE($AI$663:$AI$676))</f>
        <v>0</v>
      </c>
      <c r="AK676">
        <f>IF(COUNT($E$2:$E676)&lt;20,"",AVERAGE($E$657:$E$676))</f>
        <v>0</v>
      </c>
      <c r="AL676">
        <f>IF(COUNT($E$2:$E676)&lt;20,"",STDEVP($E$657:$E$676))</f>
        <v>0</v>
      </c>
      <c r="AM676">
        <f>IF(AK676="","",AK676+2*AL676)</f>
        <v>0</v>
      </c>
      <c r="AN676">
        <f>IF(AK676="","",AK676-2*AL676)</f>
        <v>0</v>
      </c>
      <c r="AO676">
        <f>IF(OR(AM676="",AN676="",AM676=AN676),"",($E676-AN676)/(AM676-AN676))</f>
        <v>0</v>
      </c>
      <c r="AP676">
        <f>IF(OR(AM676="",AK676="",AK676=0),"",(AM676-AN676)/AK676)</f>
        <v>0</v>
      </c>
      <c r="AQ676">
        <f>IF(COUNT($E$2:$E676)&lt;20,"",MAX($C$657:$C$676))</f>
        <v>0</v>
      </c>
      <c r="AR676">
        <f>IF(COUNT($E$2:$E676)&lt;20,"",MIN($D$657:$D$676))</f>
        <v>0</v>
      </c>
      <c r="AS676">
        <f>IF(OR(AQ676="",AR676=""),"",(AQ676+AR676)/2)</f>
        <v>0</v>
      </c>
      <c r="AT676">
        <f>IF(COUNT($G$657:$G$676)&lt;20,"",STDEV($G$657:$G$676)*SQRT(252))</f>
        <v>0</v>
      </c>
      <c r="AU676">
        <f>IF(COUNT($E$2:$E676)&lt;9,"",(MAX($C$668:$C$676)+MIN($D$668:$D$676))/2)</f>
        <v>0</v>
      </c>
      <c r="AV676">
        <f>IF(COUNT($E$2:$E676)&lt;26,"",(MAX($C$651:$C$676)+MIN($D$651:$D$676))/2)</f>
        <v>0</v>
      </c>
      <c r="AW676">
        <f>IF(OR(AU676="",AV676=""),"",(AU676+AV676)/2)</f>
        <v>0</v>
      </c>
      <c r="AX676">
        <f>IF(COUNT($E$2:$E676)&lt;52,"",(MAX($C$625:$C$676)+MIN($D$625:$D$676))/2)</f>
        <v>0</v>
      </c>
      <c r="AY676">
        <f>IF(COUNT($E$2:$E676)&lt;20,"",MAX($C$577:$C$676))</f>
        <v>0</v>
      </c>
      <c r="AZ676">
        <f>IF(COUNT($E$2:$E676)&lt;20,"",MIN($D$577:$D$676))</f>
        <v>0</v>
      </c>
      <c r="BA676">
        <f>IF(COUNT($E$2:$E676)&lt;20,"",SLOPE($E$577:$E$676,$F$577:$F$676))</f>
        <v>0</v>
      </c>
      <c r="BB676">
        <f>IF(COUNT($E$2:$E676)&lt;20,"",INTERCEPT($E$577:$E$676,$F$577:$F$676))</f>
        <v>0</v>
      </c>
      <c r="BC676">
        <f>IF(OR(BA676="",BB676=""),"",BB676+BA676*F676)</f>
        <v>0</v>
      </c>
      <c r="BD676">
        <f>IF(COUNT($E$2:$E676)&lt;20,"",STEYX($E$577:$E$676,$F$577:$F$676))</f>
        <v>0</v>
      </c>
      <c r="BE676">
        <f>IF($E676="","",IF(AND(COUNT($E$677:$E$680)&gt;=4,$C676=MAX($C$672:$C$680)),$C676,""))</f>
        <v>0</v>
      </c>
      <c r="BF676">
        <f>IF($E676="","",IF(AND(COUNT($E$677:$E$680)&gt;=4,$D676=MIN($D$672:$D$680)),$D676,""))</f>
        <v>0</v>
      </c>
      <c r="BG676">
        <f>IF($A676="","",$A676-WEEKDAY($A676,2)+1)</f>
        <v>0</v>
      </c>
      <c r="BH676">
        <f>IF($A676="","",IF($A675="",1,IF(BG676&lt;&gt;BG675,1,0)))</f>
        <v>0</v>
      </c>
      <c r="BI676">
        <f>IF($A676="","",IF($A677="",1,IF(BG677&lt;&gt;BG676,1,0)))</f>
        <v>0</v>
      </c>
      <c r="BJ676">
        <f>IF($A676="","",IF(BH676=1,$B676,BJ675))</f>
        <v>0</v>
      </c>
      <c r="BK676">
        <f>IF($A676="","",IF(BH676=1,$C676,MAX($C676,BK675)))</f>
        <v>0</v>
      </c>
      <c r="BL676">
        <f>IF($A676="","",IF(BH676=1,$D676,MIN($D676,BL675)))</f>
        <v>0</v>
      </c>
      <c r="BM676">
        <f>IF($A676="","",IF(BI676=1,F676,""))</f>
        <v>0</v>
      </c>
      <c r="BN676">
        <f>IF($A676="","",DATE(YEAR($A676),MONTH($A676),1))</f>
        <v>0</v>
      </c>
      <c r="BO676">
        <f>IF($A676="","",IF($A675="",1,IF(BN676&lt;&gt;BN675,1,0)))</f>
        <v>0</v>
      </c>
      <c r="BP676">
        <f>IF($A676="","",IF($A677="",1,IF(BN677&lt;&gt;BN676,1,0)))</f>
        <v>0</v>
      </c>
      <c r="BQ676">
        <f>IF($A676="","",IF(BO676=1,$B676,BQ675))</f>
        <v>0</v>
      </c>
      <c r="BR676">
        <f>IF($A676="","",IF(BO676=1,$C676,MAX($C676,BR675)))</f>
        <v>0</v>
      </c>
      <c r="BS676">
        <f>IF($A676="","",IF(BO676=1,$D676,MIN($D676,BS675)))</f>
        <v>0</v>
      </c>
      <c r="BT676">
        <f>IF($A676="","",IF(BP676=1,F676,""))</f>
        <v>0</v>
      </c>
    </row>
    <row r="677" spans="1:72">
      <c r="A677" s="27">
        <f>IF(Data!$A677="","",Data!$A677)</f>
        <v>0</v>
      </c>
      <c r="B677">
        <f>IF(Data!$B677="","",Data!$B677)</f>
        <v>0</v>
      </c>
      <c r="C677">
        <f>IF(Data!$C677="","",Data!$C677)</f>
        <v>0</v>
      </c>
      <c r="D677">
        <f>IF(Data!$D677="","",Data!$D677)</f>
        <v>0</v>
      </c>
      <c r="E677">
        <f>IF(Data!$E677="","",Data!$E677)</f>
        <v>0</v>
      </c>
      <c r="F677">
        <f>IF($E677="","",N(F676)+1)</f>
        <v>0</v>
      </c>
      <c r="G677">
        <f>IF(OR($E677="",$E676=""),"",LN($E677/$E676))</f>
        <v>0</v>
      </c>
      <c r="H677">
        <f>IF($E677="","",IF($E676="",$E677,$E677*0.0952380952+H676*0.9047619048))</f>
        <v>0</v>
      </c>
      <c r="I677">
        <f>IF($E677="","",IF($E676="",$E677,$E677*0.0392156863+I676*0.9607843137))</f>
        <v>0</v>
      </c>
      <c r="J677">
        <f>IF($E677="","",IF($E676="",$E677,$E677*0.0198019802+J676*0.9801980198))</f>
        <v>0</v>
      </c>
      <c r="K677">
        <f>IF($E677="","",IF($E676="",$E677,$E677*0.0099502488+K676*0.9900497512))</f>
        <v>0</v>
      </c>
      <c r="L677">
        <f>IF(OR($E677="",$E676=""),"",MAX($E677-$E676,0))</f>
        <v>0</v>
      </c>
      <c r="M677">
        <f>IF(OR($E677="",$E676=""),"",MAX($E676-$E677,0))</f>
        <v>0</v>
      </c>
      <c r="N677">
        <f>IF(COUNT($E$2:$E677)&lt;15,"",IF(AVERAGE($M$664:$M$677)=0,100,100-100/(1+AVERAGE($L$664:$L$677)/AVERAGE($M$664:$M$677))))</f>
        <v>0</v>
      </c>
      <c r="O677">
        <f>IF($E677="","",IF($E676="",$E677,$E677*0.1538461538+O676*0.8461538462))</f>
        <v>0</v>
      </c>
      <c r="P677">
        <f>IF($E677="","",IF($E676="",$E677,$E677*0.0740740741+P676*0.9259259259))</f>
        <v>0</v>
      </c>
      <c r="Q677">
        <f>IF(OR(O677="",P677=""),"",O677-P677)</f>
        <v>0</v>
      </c>
      <c r="R677">
        <f>IF(Q677="","",IF(R676="",Q677,Q677*0.2000000000+R676*0.8000000000))</f>
        <v>0</v>
      </c>
      <c r="S677">
        <f>IF(OR(Q677="",R677=""),"",Q677-R677)</f>
        <v>0</v>
      </c>
      <c r="T677">
        <f>IF(COUNT($E$2:$E677)&lt;14,"",MAX($C$664:$C$677))</f>
        <v>0</v>
      </c>
      <c r="U677">
        <f>IF(COUNT($E$2:$E677)&lt;14,"",MIN($D$664:$D$677))</f>
        <v>0</v>
      </c>
      <c r="V677">
        <f>IF(OR(T677="",U677="",T677=U677),"",100*($E677-U677)/(T677-U677))</f>
        <v>0</v>
      </c>
      <c r="W677">
        <f>IF(COUNT($V$675:$V$677)&lt;3,"",AVERAGE($V$675:$V$677))</f>
        <v>0</v>
      </c>
      <c r="X677">
        <f>IF(COUNT($N$664:$N$677)&lt;14,"",MIN($N$664:$N$677))</f>
        <v>0</v>
      </c>
      <c r="Y677">
        <f>IF(COUNT($N$664:$N$677)&lt;14,"",MAX($N$664:$N$677))</f>
        <v>0</v>
      </c>
      <c r="Z677">
        <f>IF(OR(N677="",X677="",Y677="",Y677=X677),"",100*(N677-X677)/(Y677-X677))</f>
        <v>0</v>
      </c>
      <c r="AA677">
        <f>IF(COUNT($Z$675:$Z$677)&lt;3,"",AVERAGE($Z$675:$Z$677))</f>
        <v>0</v>
      </c>
      <c r="AB677">
        <f>IF(COUNT($AA$675:$AA$677)&lt;3,"",AVERAGE($AA$675:$AA$677))</f>
        <v>0</v>
      </c>
      <c r="AC677">
        <f>IF($E677="","",MAX($C677-$D677,ABS($C677-$E676),ABS($D677-$E676)))</f>
        <v>0</v>
      </c>
      <c r="AD677">
        <f>IF(COUNT($E$2:$E677)&lt;15,"",AVERAGE($AC$664:$AC$677))</f>
        <v>0</v>
      </c>
      <c r="AE677">
        <f>IF(OR($E677="",$E676=""),"",IF(AND(($C677-$C676)&gt;($D676-$D677),($C677-$C676)&gt;0),$C677-$C676,0))</f>
        <v>0</v>
      </c>
      <c r="AF677">
        <f>IF(OR($E677="",$E676=""),"",IF(AND(($D676-$D677)&gt;($C677-$C676),($D676-$D677)&gt;0),$D676-$D677,0))</f>
        <v>0</v>
      </c>
      <c r="AG677">
        <f>IF(COUNT($E$2:$E677)&lt;15,"",IF(SUM($AC$664:$AC$677)=0,0,100*SUM($AE$664:$AE$677)/SUM($AC$664:$AC$677)))</f>
        <v>0</v>
      </c>
      <c r="AH677">
        <f>IF(COUNT($E$2:$E677)&lt;15,"",IF(SUM($AC$664:$AC$677)=0,0,100*SUM($AF$664:$AF$677)/SUM($AC$664:$AC$677)))</f>
        <v>0</v>
      </c>
      <c r="AI677">
        <f>IF(OR(AG677="",AH677=""),"",IF((AG677+AH677)=0,0,100*ABS(AG677-AH677)/(AG677+AH677)))</f>
        <v>0</v>
      </c>
      <c r="AJ677">
        <f>IF(COUNT($AI$664:$AI$677)&lt;14,"",AVERAGE($AI$664:$AI$677))</f>
        <v>0</v>
      </c>
      <c r="AK677">
        <f>IF(COUNT($E$2:$E677)&lt;20,"",AVERAGE($E$658:$E$677))</f>
        <v>0</v>
      </c>
      <c r="AL677">
        <f>IF(COUNT($E$2:$E677)&lt;20,"",STDEVP($E$658:$E$677))</f>
        <v>0</v>
      </c>
      <c r="AM677">
        <f>IF(AK677="","",AK677+2*AL677)</f>
        <v>0</v>
      </c>
      <c r="AN677">
        <f>IF(AK677="","",AK677-2*AL677)</f>
        <v>0</v>
      </c>
      <c r="AO677">
        <f>IF(OR(AM677="",AN677="",AM677=AN677),"",($E677-AN677)/(AM677-AN677))</f>
        <v>0</v>
      </c>
      <c r="AP677">
        <f>IF(OR(AM677="",AK677="",AK677=0),"",(AM677-AN677)/AK677)</f>
        <v>0</v>
      </c>
      <c r="AQ677">
        <f>IF(COUNT($E$2:$E677)&lt;20,"",MAX($C$658:$C$677))</f>
        <v>0</v>
      </c>
      <c r="AR677">
        <f>IF(COUNT($E$2:$E677)&lt;20,"",MIN($D$658:$D$677))</f>
        <v>0</v>
      </c>
      <c r="AS677">
        <f>IF(OR(AQ677="",AR677=""),"",(AQ677+AR677)/2)</f>
        <v>0</v>
      </c>
      <c r="AT677">
        <f>IF(COUNT($G$658:$G$677)&lt;20,"",STDEV($G$658:$G$677)*SQRT(252))</f>
        <v>0</v>
      </c>
      <c r="AU677">
        <f>IF(COUNT($E$2:$E677)&lt;9,"",(MAX($C$669:$C$677)+MIN($D$669:$D$677))/2)</f>
        <v>0</v>
      </c>
      <c r="AV677">
        <f>IF(COUNT($E$2:$E677)&lt;26,"",(MAX($C$652:$C$677)+MIN($D$652:$D$677))/2)</f>
        <v>0</v>
      </c>
      <c r="AW677">
        <f>IF(OR(AU677="",AV677=""),"",(AU677+AV677)/2)</f>
        <v>0</v>
      </c>
      <c r="AX677">
        <f>IF(COUNT($E$2:$E677)&lt;52,"",(MAX($C$626:$C$677)+MIN($D$626:$D$677))/2)</f>
        <v>0</v>
      </c>
      <c r="AY677">
        <f>IF(COUNT($E$2:$E677)&lt;20,"",MAX($C$578:$C$677))</f>
        <v>0</v>
      </c>
      <c r="AZ677">
        <f>IF(COUNT($E$2:$E677)&lt;20,"",MIN($D$578:$D$677))</f>
        <v>0</v>
      </c>
      <c r="BA677">
        <f>IF(COUNT($E$2:$E677)&lt;20,"",SLOPE($E$578:$E$677,$F$578:$F$677))</f>
        <v>0</v>
      </c>
      <c r="BB677">
        <f>IF(COUNT($E$2:$E677)&lt;20,"",INTERCEPT($E$578:$E$677,$F$578:$F$677))</f>
        <v>0</v>
      </c>
      <c r="BC677">
        <f>IF(OR(BA677="",BB677=""),"",BB677+BA677*F677)</f>
        <v>0</v>
      </c>
      <c r="BD677">
        <f>IF(COUNT($E$2:$E677)&lt;20,"",STEYX($E$578:$E$677,$F$578:$F$677))</f>
        <v>0</v>
      </c>
      <c r="BE677">
        <f>IF($E677="","",IF(AND(COUNT($E$678:$E$681)&gt;=4,$C677=MAX($C$673:$C$681)),$C677,""))</f>
        <v>0</v>
      </c>
      <c r="BF677">
        <f>IF($E677="","",IF(AND(COUNT($E$678:$E$681)&gt;=4,$D677=MIN($D$673:$D$681)),$D677,""))</f>
        <v>0</v>
      </c>
      <c r="BG677">
        <f>IF($A677="","",$A677-WEEKDAY($A677,2)+1)</f>
        <v>0</v>
      </c>
      <c r="BH677">
        <f>IF($A677="","",IF($A676="",1,IF(BG677&lt;&gt;BG676,1,0)))</f>
        <v>0</v>
      </c>
      <c r="BI677">
        <f>IF($A677="","",IF($A678="",1,IF(BG678&lt;&gt;BG677,1,0)))</f>
        <v>0</v>
      </c>
      <c r="BJ677">
        <f>IF($A677="","",IF(BH677=1,$B677,BJ676))</f>
        <v>0</v>
      </c>
      <c r="BK677">
        <f>IF($A677="","",IF(BH677=1,$C677,MAX($C677,BK676)))</f>
        <v>0</v>
      </c>
      <c r="BL677">
        <f>IF($A677="","",IF(BH677=1,$D677,MIN($D677,BL676)))</f>
        <v>0</v>
      </c>
      <c r="BM677">
        <f>IF($A677="","",IF(BI677=1,F677,""))</f>
        <v>0</v>
      </c>
      <c r="BN677">
        <f>IF($A677="","",DATE(YEAR($A677),MONTH($A677),1))</f>
        <v>0</v>
      </c>
      <c r="BO677">
        <f>IF($A677="","",IF($A676="",1,IF(BN677&lt;&gt;BN676,1,0)))</f>
        <v>0</v>
      </c>
      <c r="BP677">
        <f>IF($A677="","",IF($A678="",1,IF(BN678&lt;&gt;BN677,1,0)))</f>
        <v>0</v>
      </c>
      <c r="BQ677">
        <f>IF($A677="","",IF(BO677=1,$B677,BQ676))</f>
        <v>0</v>
      </c>
      <c r="BR677">
        <f>IF($A677="","",IF(BO677=1,$C677,MAX($C677,BR676)))</f>
        <v>0</v>
      </c>
      <c r="BS677">
        <f>IF($A677="","",IF(BO677=1,$D677,MIN($D677,BS676)))</f>
        <v>0</v>
      </c>
      <c r="BT677">
        <f>IF($A677="","",IF(BP677=1,F677,""))</f>
        <v>0</v>
      </c>
    </row>
    <row r="678" spans="1:72">
      <c r="A678" s="27">
        <f>IF(Data!$A678="","",Data!$A678)</f>
        <v>0</v>
      </c>
      <c r="B678">
        <f>IF(Data!$B678="","",Data!$B678)</f>
        <v>0</v>
      </c>
      <c r="C678">
        <f>IF(Data!$C678="","",Data!$C678)</f>
        <v>0</v>
      </c>
      <c r="D678">
        <f>IF(Data!$D678="","",Data!$D678)</f>
        <v>0</v>
      </c>
      <c r="E678">
        <f>IF(Data!$E678="","",Data!$E678)</f>
        <v>0</v>
      </c>
      <c r="F678">
        <f>IF($E678="","",N(F677)+1)</f>
        <v>0</v>
      </c>
      <c r="G678">
        <f>IF(OR($E678="",$E677=""),"",LN($E678/$E677))</f>
        <v>0</v>
      </c>
      <c r="H678">
        <f>IF($E678="","",IF($E677="",$E678,$E678*0.0952380952+H677*0.9047619048))</f>
        <v>0</v>
      </c>
      <c r="I678">
        <f>IF($E678="","",IF($E677="",$E678,$E678*0.0392156863+I677*0.9607843137))</f>
        <v>0</v>
      </c>
      <c r="J678">
        <f>IF($E678="","",IF($E677="",$E678,$E678*0.0198019802+J677*0.9801980198))</f>
        <v>0</v>
      </c>
      <c r="K678">
        <f>IF($E678="","",IF($E677="",$E678,$E678*0.0099502488+K677*0.9900497512))</f>
        <v>0</v>
      </c>
      <c r="L678">
        <f>IF(OR($E678="",$E677=""),"",MAX($E678-$E677,0))</f>
        <v>0</v>
      </c>
      <c r="M678">
        <f>IF(OR($E678="",$E677=""),"",MAX($E677-$E678,0))</f>
        <v>0</v>
      </c>
      <c r="N678">
        <f>IF(COUNT($E$2:$E678)&lt;15,"",IF(AVERAGE($M$665:$M$678)=0,100,100-100/(1+AVERAGE($L$665:$L$678)/AVERAGE($M$665:$M$678))))</f>
        <v>0</v>
      </c>
      <c r="O678">
        <f>IF($E678="","",IF($E677="",$E678,$E678*0.1538461538+O677*0.8461538462))</f>
        <v>0</v>
      </c>
      <c r="P678">
        <f>IF($E678="","",IF($E677="",$E678,$E678*0.0740740741+P677*0.9259259259))</f>
        <v>0</v>
      </c>
      <c r="Q678">
        <f>IF(OR(O678="",P678=""),"",O678-P678)</f>
        <v>0</v>
      </c>
      <c r="R678">
        <f>IF(Q678="","",IF(R677="",Q678,Q678*0.2000000000+R677*0.8000000000))</f>
        <v>0</v>
      </c>
      <c r="S678">
        <f>IF(OR(Q678="",R678=""),"",Q678-R678)</f>
        <v>0</v>
      </c>
      <c r="T678">
        <f>IF(COUNT($E$2:$E678)&lt;14,"",MAX($C$665:$C$678))</f>
        <v>0</v>
      </c>
      <c r="U678">
        <f>IF(COUNT($E$2:$E678)&lt;14,"",MIN($D$665:$D$678))</f>
        <v>0</v>
      </c>
      <c r="V678">
        <f>IF(OR(T678="",U678="",T678=U678),"",100*($E678-U678)/(T678-U678))</f>
        <v>0</v>
      </c>
      <c r="W678">
        <f>IF(COUNT($V$676:$V$678)&lt;3,"",AVERAGE($V$676:$V$678))</f>
        <v>0</v>
      </c>
      <c r="X678">
        <f>IF(COUNT($N$665:$N$678)&lt;14,"",MIN($N$665:$N$678))</f>
        <v>0</v>
      </c>
      <c r="Y678">
        <f>IF(COUNT($N$665:$N$678)&lt;14,"",MAX($N$665:$N$678))</f>
        <v>0</v>
      </c>
      <c r="Z678">
        <f>IF(OR(N678="",X678="",Y678="",Y678=X678),"",100*(N678-X678)/(Y678-X678))</f>
        <v>0</v>
      </c>
      <c r="AA678">
        <f>IF(COUNT($Z$676:$Z$678)&lt;3,"",AVERAGE($Z$676:$Z$678))</f>
        <v>0</v>
      </c>
      <c r="AB678">
        <f>IF(COUNT($AA$676:$AA$678)&lt;3,"",AVERAGE($AA$676:$AA$678))</f>
        <v>0</v>
      </c>
      <c r="AC678">
        <f>IF($E678="","",MAX($C678-$D678,ABS($C678-$E677),ABS($D678-$E677)))</f>
        <v>0</v>
      </c>
      <c r="AD678">
        <f>IF(COUNT($E$2:$E678)&lt;15,"",AVERAGE($AC$665:$AC$678))</f>
        <v>0</v>
      </c>
      <c r="AE678">
        <f>IF(OR($E678="",$E677=""),"",IF(AND(($C678-$C677)&gt;($D677-$D678),($C678-$C677)&gt;0),$C678-$C677,0))</f>
        <v>0</v>
      </c>
      <c r="AF678">
        <f>IF(OR($E678="",$E677=""),"",IF(AND(($D677-$D678)&gt;($C678-$C677),($D677-$D678)&gt;0),$D677-$D678,0))</f>
        <v>0</v>
      </c>
      <c r="AG678">
        <f>IF(COUNT($E$2:$E678)&lt;15,"",IF(SUM($AC$665:$AC$678)=0,0,100*SUM($AE$665:$AE$678)/SUM($AC$665:$AC$678)))</f>
        <v>0</v>
      </c>
      <c r="AH678">
        <f>IF(COUNT($E$2:$E678)&lt;15,"",IF(SUM($AC$665:$AC$678)=0,0,100*SUM($AF$665:$AF$678)/SUM($AC$665:$AC$678)))</f>
        <v>0</v>
      </c>
      <c r="AI678">
        <f>IF(OR(AG678="",AH678=""),"",IF((AG678+AH678)=0,0,100*ABS(AG678-AH678)/(AG678+AH678)))</f>
        <v>0</v>
      </c>
      <c r="AJ678">
        <f>IF(COUNT($AI$665:$AI$678)&lt;14,"",AVERAGE($AI$665:$AI$678))</f>
        <v>0</v>
      </c>
      <c r="AK678">
        <f>IF(COUNT($E$2:$E678)&lt;20,"",AVERAGE($E$659:$E$678))</f>
        <v>0</v>
      </c>
      <c r="AL678">
        <f>IF(COUNT($E$2:$E678)&lt;20,"",STDEVP($E$659:$E$678))</f>
        <v>0</v>
      </c>
      <c r="AM678">
        <f>IF(AK678="","",AK678+2*AL678)</f>
        <v>0</v>
      </c>
      <c r="AN678">
        <f>IF(AK678="","",AK678-2*AL678)</f>
        <v>0</v>
      </c>
      <c r="AO678">
        <f>IF(OR(AM678="",AN678="",AM678=AN678),"",($E678-AN678)/(AM678-AN678))</f>
        <v>0</v>
      </c>
      <c r="AP678">
        <f>IF(OR(AM678="",AK678="",AK678=0),"",(AM678-AN678)/AK678)</f>
        <v>0</v>
      </c>
      <c r="AQ678">
        <f>IF(COUNT($E$2:$E678)&lt;20,"",MAX($C$659:$C$678))</f>
        <v>0</v>
      </c>
      <c r="AR678">
        <f>IF(COUNT($E$2:$E678)&lt;20,"",MIN($D$659:$D$678))</f>
        <v>0</v>
      </c>
      <c r="AS678">
        <f>IF(OR(AQ678="",AR678=""),"",(AQ678+AR678)/2)</f>
        <v>0</v>
      </c>
      <c r="AT678">
        <f>IF(COUNT($G$659:$G$678)&lt;20,"",STDEV($G$659:$G$678)*SQRT(252))</f>
        <v>0</v>
      </c>
      <c r="AU678">
        <f>IF(COUNT($E$2:$E678)&lt;9,"",(MAX($C$670:$C$678)+MIN($D$670:$D$678))/2)</f>
        <v>0</v>
      </c>
      <c r="AV678">
        <f>IF(COUNT($E$2:$E678)&lt;26,"",(MAX($C$653:$C$678)+MIN($D$653:$D$678))/2)</f>
        <v>0</v>
      </c>
      <c r="AW678">
        <f>IF(OR(AU678="",AV678=""),"",(AU678+AV678)/2)</f>
        <v>0</v>
      </c>
      <c r="AX678">
        <f>IF(COUNT($E$2:$E678)&lt;52,"",(MAX($C$627:$C$678)+MIN($D$627:$D$678))/2)</f>
        <v>0</v>
      </c>
      <c r="AY678">
        <f>IF(COUNT($E$2:$E678)&lt;20,"",MAX($C$579:$C$678))</f>
        <v>0</v>
      </c>
      <c r="AZ678">
        <f>IF(COUNT($E$2:$E678)&lt;20,"",MIN($D$579:$D$678))</f>
        <v>0</v>
      </c>
      <c r="BA678">
        <f>IF(COUNT($E$2:$E678)&lt;20,"",SLOPE($E$579:$E$678,$F$579:$F$678))</f>
        <v>0</v>
      </c>
      <c r="BB678">
        <f>IF(COUNT($E$2:$E678)&lt;20,"",INTERCEPT($E$579:$E$678,$F$579:$F$678))</f>
        <v>0</v>
      </c>
      <c r="BC678">
        <f>IF(OR(BA678="",BB678=""),"",BB678+BA678*F678)</f>
        <v>0</v>
      </c>
      <c r="BD678">
        <f>IF(COUNT($E$2:$E678)&lt;20,"",STEYX($E$579:$E$678,$F$579:$F$678))</f>
        <v>0</v>
      </c>
      <c r="BE678">
        <f>IF($E678="","",IF(AND(COUNT($E$679:$E$682)&gt;=4,$C678=MAX($C$674:$C$682)),$C678,""))</f>
        <v>0</v>
      </c>
      <c r="BF678">
        <f>IF($E678="","",IF(AND(COUNT($E$679:$E$682)&gt;=4,$D678=MIN($D$674:$D$682)),$D678,""))</f>
        <v>0</v>
      </c>
      <c r="BG678">
        <f>IF($A678="","",$A678-WEEKDAY($A678,2)+1)</f>
        <v>0</v>
      </c>
      <c r="BH678">
        <f>IF($A678="","",IF($A677="",1,IF(BG678&lt;&gt;BG677,1,0)))</f>
        <v>0</v>
      </c>
      <c r="BI678">
        <f>IF($A678="","",IF($A679="",1,IF(BG679&lt;&gt;BG678,1,0)))</f>
        <v>0</v>
      </c>
      <c r="BJ678">
        <f>IF($A678="","",IF(BH678=1,$B678,BJ677))</f>
        <v>0</v>
      </c>
      <c r="BK678">
        <f>IF($A678="","",IF(BH678=1,$C678,MAX($C678,BK677)))</f>
        <v>0</v>
      </c>
      <c r="BL678">
        <f>IF($A678="","",IF(BH678=1,$D678,MIN($D678,BL677)))</f>
        <v>0</v>
      </c>
      <c r="BM678">
        <f>IF($A678="","",IF(BI678=1,F678,""))</f>
        <v>0</v>
      </c>
      <c r="BN678">
        <f>IF($A678="","",DATE(YEAR($A678),MONTH($A678),1))</f>
        <v>0</v>
      </c>
      <c r="BO678">
        <f>IF($A678="","",IF($A677="",1,IF(BN678&lt;&gt;BN677,1,0)))</f>
        <v>0</v>
      </c>
      <c r="BP678">
        <f>IF($A678="","",IF($A679="",1,IF(BN679&lt;&gt;BN678,1,0)))</f>
        <v>0</v>
      </c>
      <c r="BQ678">
        <f>IF($A678="","",IF(BO678=1,$B678,BQ677))</f>
        <v>0</v>
      </c>
      <c r="BR678">
        <f>IF($A678="","",IF(BO678=1,$C678,MAX($C678,BR677)))</f>
        <v>0</v>
      </c>
      <c r="BS678">
        <f>IF($A678="","",IF(BO678=1,$D678,MIN($D678,BS677)))</f>
        <v>0</v>
      </c>
      <c r="BT678">
        <f>IF($A678="","",IF(BP678=1,F678,""))</f>
        <v>0</v>
      </c>
    </row>
    <row r="679" spans="1:72">
      <c r="A679" s="27">
        <f>IF(Data!$A679="","",Data!$A679)</f>
        <v>0</v>
      </c>
      <c r="B679">
        <f>IF(Data!$B679="","",Data!$B679)</f>
        <v>0</v>
      </c>
      <c r="C679">
        <f>IF(Data!$C679="","",Data!$C679)</f>
        <v>0</v>
      </c>
      <c r="D679">
        <f>IF(Data!$D679="","",Data!$D679)</f>
        <v>0</v>
      </c>
      <c r="E679">
        <f>IF(Data!$E679="","",Data!$E679)</f>
        <v>0</v>
      </c>
      <c r="F679">
        <f>IF($E679="","",N(F678)+1)</f>
        <v>0</v>
      </c>
      <c r="G679">
        <f>IF(OR($E679="",$E678=""),"",LN($E679/$E678))</f>
        <v>0</v>
      </c>
      <c r="H679">
        <f>IF($E679="","",IF($E678="",$E679,$E679*0.0952380952+H678*0.9047619048))</f>
        <v>0</v>
      </c>
      <c r="I679">
        <f>IF($E679="","",IF($E678="",$E679,$E679*0.0392156863+I678*0.9607843137))</f>
        <v>0</v>
      </c>
      <c r="J679">
        <f>IF($E679="","",IF($E678="",$E679,$E679*0.0198019802+J678*0.9801980198))</f>
        <v>0</v>
      </c>
      <c r="K679">
        <f>IF($E679="","",IF($E678="",$E679,$E679*0.0099502488+K678*0.9900497512))</f>
        <v>0</v>
      </c>
      <c r="L679">
        <f>IF(OR($E679="",$E678=""),"",MAX($E679-$E678,0))</f>
        <v>0</v>
      </c>
      <c r="M679">
        <f>IF(OR($E679="",$E678=""),"",MAX($E678-$E679,0))</f>
        <v>0</v>
      </c>
      <c r="N679">
        <f>IF(COUNT($E$2:$E679)&lt;15,"",IF(AVERAGE($M$666:$M$679)=0,100,100-100/(1+AVERAGE($L$666:$L$679)/AVERAGE($M$666:$M$679))))</f>
        <v>0</v>
      </c>
      <c r="O679">
        <f>IF($E679="","",IF($E678="",$E679,$E679*0.1538461538+O678*0.8461538462))</f>
        <v>0</v>
      </c>
      <c r="P679">
        <f>IF($E679="","",IF($E678="",$E679,$E679*0.0740740741+P678*0.9259259259))</f>
        <v>0</v>
      </c>
      <c r="Q679">
        <f>IF(OR(O679="",P679=""),"",O679-P679)</f>
        <v>0</v>
      </c>
      <c r="R679">
        <f>IF(Q679="","",IF(R678="",Q679,Q679*0.2000000000+R678*0.8000000000))</f>
        <v>0</v>
      </c>
      <c r="S679">
        <f>IF(OR(Q679="",R679=""),"",Q679-R679)</f>
        <v>0</v>
      </c>
      <c r="T679">
        <f>IF(COUNT($E$2:$E679)&lt;14,"",MAX($C$666:$C$679))</f>
        <v>0</v>
      </c>
      <c r="U679">
        <f>IF(COUNT($E$2:$E679)&lt;14,"",MIN($D$666:$D$679))</f>
        <v>0</v>
      </c>
      <c r="V679">
        <f>IF(OR(T679="",U679="",T679=U679),"",100*($E679-U679)/(T679-U679))</f>
        <v>0</v>
      </c>
      <c r="W679">
        <f>IF(COUNT($V$677:$V$679)&lt;3,"",AVERAGE($V$677:$V$679))</f>
        <v>0</v>
      </c>
      <c r="X679">
        <f>IF(COUNT($N$666:$N$679)&lt;14,"",MIN($N$666:$N$679))</f>
        <v>0</v>
      </c>
      <c r="Y679">
        <f>IF(COUNT($N$666:$N$679)&lt;14,"",MAX($N$666:$N$679))</f>
        <v>0</v>
      </c>
      <c r="Z679">
        <f>IF(OR(N679="",X679="",Y679="",Y679=X679),"",100*(N679-X679)/(Y679-X679))</f>
        <v>0</v>
      </c>
      <c r="AA679">
        <f>IF(COUNT($Z$677:$Z$679)&lt;3,"",AVERAGE($Z$677:$Z$679))</f>
        <v>0</v>
      </c>
      <c r="AB679">
        <f>IF(COUNT($AA$677:$AA$679)&lt;3,"",AVERAGE($AA$677:$AA$679))</f>
        <v>0</v>
      </c>
      <c r="AC679">
        <f>IF($E679="","",MAX($C679-$D679,ABS($C679-$E678),ABS($D679-$E678)))</f>
        <v>0</v>
      </c>
      <c r="AD679">
        <f>IF(COUNT($E$2:$E679)&lt;15,"",AVERAGE($AC$666:$AC$679))</f>
        <v>0</v>
      </c>
      <c r="AE679">
        <f>IF(OR($E679="",$E678=""),"",IF(AND(($C679-$C678)&gt;($D678-$D679),($C679-$C678)&gt;0),$C679-$C678,0))</f>
        <v>0</v>
      </c>
      <c r="AF679">
        <f>IF(OR($E679="",$E678=""),"",IF(AND(($D678-$D679)&gt;($C679-$C678),($D678-$D679)&gt;0),$D678-$D679,0))</f>
        <v>0</v>
      </c>
      <c r="AG679">
        <f>IF(COUNT($E$2:$E679)&lt;15,"",IF(SUM($AC$666:$AC$679)=0,0,100*SUM($AE$666:$AE$679)/SUM($AC$666:$AC$679)))</f>
        <v>0</v>
      </c>
      <c r="AH679">
        <f>IF(COUNT($E$2:$E679)&lt;15,"",IF(SUM($AC$666:$AC$679)=0,0,100*SUM($AF$666:$AF$679)/SUM($AC$666:$AC$679)))</f>
        <v>0</v>
      </c>
      <c r="AI679">
        <f>IF(OR(AG679="",AH679=""),"",IF((AG679+AH679)=0,0,100*ABS(AG679-AH679)/(AG679+AH679)))</f>
        <v>0</v>
      </c>
      <c r="AJ679">
        <f>IF(COUNT($AI$666:$AI$679)&lt;14,"",AVERAGE($AI$666:$AI$679))</f>
        <v>0</v>
      </c>
      <c r="AK679">
        <f>IF(COUNT($E$2:$E679)&lt;20,"",AVERAGE($E$660:$E$679))</f>
        <v>0</v>
      </c>
      <c r="AL679">
        <f>IF(COUNT($E$2:$E679)&lt;20,"",STDEVP($E$660:$E$679))</f>
        <v>0</v>
      </c>
      <c r="AM679">
        <f>IF(AK679="","",AK679+2*AL679)</f>
        <v>0</v>
      </c>
      <c r="AN679">
        <f>IF(AK679="","",AK679-2*AL679)</f>
        <v>0</v>
      </c>
      <c r="AO679">
        <f>IF(OR(AM679="",AN679="",AM679=AN679),"",($E679-AN679)/(AM679-AN679))</f>
        <v>0</v>
      </c>
      <c r="AP679">
        <f>IF(OR(AM679="",AK679="",AK679=0),"",(AM679-AN679)/AK679)</f>
        <v>0</v>
      </c>
      <c r="AQ679">
        <f>IF(COUNT($E$2:$E679)&lt;20,"",MAX($C$660:$C$679))</f>
        <v>0</v>
      </c>
      <c r="AR679">
        <f>IF(COUNT($E$2:$E679)&lt;20,"",MIN($D$660:$D$679))</f>
        <v>0</v>
      </c>
      <c r="AS679">
        <f>IF(OR(AQ679="",AR679=""),"",(AQ679+AR679)/2)</f>
        <v>0</v>
      </c>
      <c r="AT679">
        <f>IF(COUNT($G$660:$G$679)&lt;20,"",STDEV($G$660:$G$679)*SQRT(252))</f>
        <v>0</v>
      </c>
      <c r="AU679">
        <f>IF(COUNT($E$2:$E679)&lt;9,"",(MAX($C$671:$C$679)+MIN($D$671:$D$679))/2)</f>
        <v>0</v>
      </c>
      <c r="AV679">
        <f>IF(COUNT($E$2:$E679)&lt;26,"",(MAX($C$654:$C$679)+MIN($D$654:$D$679))/2)</f>
        <v>0</v>
      </c>
      <c r="AW679">
        <f>IF(OR(AU679="",AV679=""),"",(AU679+AV679)/2)</f>
        <v>0</v>
      </c>
      <c r="AX679">
        <f>IF(COUNT($E$2:$E679)&lt;52,"",(MAX($C$628:$C$679)+MIN($D$628:$D$679))/2)</f>
        <v>0</v>
      </c>
      <c r="AY679">
        <f>IF(COUNT($E$2:$E679)&lt;20,"",MAX($C$580:$C$679))</f>
        <v>0</v>
      </c>
      <c r="AZ679">
        <f>IF(COUNT($E$2:$E679)&lt;20,"",MIN($D$580:$D$679))</f>
        <v>0</v>
      </c>
      <c r="BA679">
        <f>IF(COUNT($E$2:$E679)&lt;20,"",SLOPE($E$580:$E$679,$F$580:$F$679))</f>
        <v>0</v>
      </c>
      <c r="BB679">
        <f>IF(COUNT($E$2:$E679)&lt;20,"",INTERCEPT($E$580:$E$679,$F$580:$F$679))</f>
        <v>0</v>
      </c>
      <c r="BC679">
        <f>IF(OR(BA679="",BB679=""),"",BB679+BA679*F679)</f>
        <v>0</v>
      </c>
      <c r="BD679">
        <f>IF(COUNT($E$2:$E679)&lt;20,"",STEYX($E$580:$E$679,$F$580:$F$679))</f>
        <v>0</v>
      </c>
      <c r="BE679">
        <f>IF($E679="","",IF(AND(COUNT($E$680:$E$683)&gt;=4,$C679=MAX($C$675:$C$683)),$C679,""))</f>
        <v>0</v>
      </c>
      <c r="BF679">
        <f>IF($E679="","",IF(AND(COUNT($E$680:$E$683)&gt;=4,$D679=MIN($D$675:$D$683)),$D679,""))</f>
        <v>0</v>
      </c>
      <c r="BG679">
        <f>IF($A679="","",$A679-WEEKDAY($A679,2)+1)</f>
        <v>0</v>
      </c>
      <c r="BH679">
        <f>IF($A679="","",IF($A678="",1,IF(BG679&lt;&gt;BG678,1,0)))</f>
        <v>0</v>
      </c>
      <c r="BI679">
        <f>IF($A679="","",IF($A680="",1,IF(BG680&lt;&gt;BG679,1,0)))</f>
        <v>0</v>
      </c>
      <c r="BJ679">
        <f>IF($A679="","",IF(BH679=1,$B679,BJ678))</f>
        <v>0</v>
      </c>
      <c r="BK679">
        <f>IF($A679="","",IF(BH679=1,$C679,MAX($C679,BK678)))</f>
        <v>0</v>
      </c>
      <c r="BL679">
        <f>IF($A679="","",IF(BH679=1,$D679,MIN($D679,BL678)))</f>
        <v>0</v>
      </c>
      <c r="BM679">
        <f>IF($A679="","",IF(BI679=1,F679,""))</f>
        <v>0</v>
      </c>
      <c r="BN679">
        <f>IF($A679="","",DATE(YEAR($A679),MONTH($A679),1))</f>
        <v>0</v>
      </c>
      <c r="BO679">
        <f>IF($A679="","",IF($A678="",1,IF(BN679&lt;&gt;BN678,1,0)))</f>
        <v>0</v>
      </c>
      <c r="BP679">
        <f>IF($A679="","",IF($A680="",1,IF(BN680&lt;&gt;BN679,1,0)))</f>
        <v>0</v>
      </c>
      <c r="BQ679">
        <f>IF($A679="","",IF(BO679=1,$B679,BQ678))</f>
        <v>0</v>
      </c>
      <c r="BR679">
        <f>IF($A679="","",IF(BO679=1,$C679,MAX($C679,BR678)))</f>
        <v>0</v>
      </c>
      <c r="BS679">
        <f>IF($A679="","",IF(BO679=1,$D679,MIN($D679,BS678)))</f>
        <v>0</v>
      </c>
      <c r="BT679">
        <f>IF($A679="","",IF(BP679=1,F679,""))</f>
        <v>0</v>
      </c>
    </row>
    <row r="680" spans="1:72">
      <c r="A680" s="27">
        <f>IF(Data!$A680="","",Data!$A680)</f>
        <v>0</v>
      </c>
      <c r="B680">
        <f>IF(Data!$B680="","",Data!$B680)</f>
        <v>0</v>
      </c>
      <c r="C680">
        <f>IF(Data!$C680="","",Data!$C680)</f>
        <v>0</v>
      </c>
      <c r="D680">
        <f>IF(Data!$D680="","",Data!$D680)</f>
        <v>0</v>
      </c>
      <c r="E680">
        <f>IF(Data!$E680="","",Data!$E680)</f>
        <v>0</v>
      </c>
      <c r="F680">
        <f>IF($E680="","",N(F679)+1)</f>
        <v>0</v>
      </c>
      <c r="G680">
        <f>IF(OR($E680="",$E679=""),"",LN($E680/$E679))</f>
        <v>0</v>
      </c>
      <c r="H680">
        <f>IF($E680="","",IF($E679="",$E680,$E680*0.0952380952+H679*0.9047619048))</f>
        <v>0</v>
      </c>
      <c r="I680">
        <f>IF($E680="","",IF($E679="",$E680,$E680*0.0392156863+I679*0.9607843137))</f>
        <v>0</v>
      </c>
      <c r="J680">
        <f>IF($E680="","",IF($E679="",$E680,$E680*0.0198019802+J679*0.9801980198))</f>
        <v>0</v>
      </c>
      <c r="K680">
        <f>IF($E680="","",IF($E679="",$E680,$E680*0.0099502488+K679*0.9900497512))</f>
        <v>0</v>
      </c>
      <c r="L680">
        <f>IF(OR($E680="",$E679=""),"",MAX($E680-$E679,0))</f>
        <v>0</v>
      </c>
      <c r="M680">
        <f>IF(OR($E680="",$E679=""),"",MAX($E679-$E680,0))</f>
        <v>0</v>
      </c>
      <c r="N680">
        <f>IF(COUNT($E$2:$E680)&lt;15,"",IF(AVERAGE($M$667:$M$680)=0,100,100-100/(1+AVERAGE($L$667:$L$680)/AVERAGE($M$667:$M$680))))</f>
        <v>0</v>
      </c>
      <c r="O680">
        <f>IF($E680="","",IF($E679="",$E680,$E680*0.1538461538+O679*0.8461538462))</f>
        <v>0</v>
      </c>
      <c r="P680">
        <f>IF($E680="","",IF($E679="",$E680,$E680*0.0740740741+P679*0.9259259259))</f>
        <v>0</v>
      </c>
      <c r="Q680">
        <f>IF(OR(O680="",P680=""),"",O680-P680)</f>
        <v>0</v>
      </c>
      <c r="R680">
        <f>IF(Q680="","",IF(R679="",Q680,Q680*0.2000000000+R679*0.8000000000))</f>
        <v>0</v>
      </c>
      <c r="S680">
        <f>IF(OR(Q680="",R680=""),"",Q680-R680)</f>
        <v>0</v>
      </c>
      <c r="T680">
        <f>IF(COUNT($E$2:$E680)&lt;14,"",MAX($C$667:$C$680))</f>
        <v>0</v>
      </c>
      <c r="U680">
        <f>IF(COUNT($E$2:$E680)&lt;14,"",MIN($D$667:$D$680))</f>
        <v>0</v>
      </c>
      <c r="V680">
        <f>IF(OR(T680="",U680="",T680=U680),"",100*($E680-U680)/(T680-U680))</f>
        <v>0</v>
      </c>
      <c r="W680">
        <f>IF(COUNT($V$678:$V$680)&lt;3,"",AVERAGE($V$678:$V$680))</f>
        <v>0</v>
      </c>
      <c r="X680">
        <f>IF(COUNT($N$667:$N$680)&lt;14,"",MIN($N$667:$N$680))</f>
        <v>0</v>
      </c>
      <c r="Y680">
        <f>IF(COUNT($N$667:$N$680)&lt;14,"",MAX($N$667:$N$680))</f>
        <v>0</v>
      </c>
      <c r="Z680">
        <f>IF(OR(N680="",X680="",Y680="",Y680=X680),"",100*(N680-X680)/(Y680-X680))</f>
        <v>0</v>
      </c>
      <c r="AA680">
        <f>IF(COUNT($Z$678:$Z$680)&lt;3,"",AVERAGE($Z$678:$Z$680))</f>
        <v>0</v>
      </c>
      <c r="AB680">
        <f>IF(COUNT($AA$678:$AA$680)&lt;3,"",AVERAGE($AA$678:$AA$680))</f>
        <v>0</v>
      </c>
      <c r="AC680">
        <f>IF($E680="","",MAX($C680-$D680,ABS($C680-$E679),ABS($D680-$E679)))</f>
        <v>0</v>
      </c>
      <c r="AD680">
        <f>IF(COUNT($E$2:$E680)&lt;15,"",AVERAGE($AC$667:$AC$680))</f>
        <v>0</v>
      </c>
      <c r="AE680">
        <f>IF(OR($E680="",$E679=""),"",IF(AND(($C680-$C679)&gt;($D679-$D680),($C680-$C679)&gt;0),$C680-$C679,0))</f>
        <v>0</v>
      </c>
      <c r="AF680">
        <f>IF(OR($E680="",$E679=""),"",IF(AND(($D679-$D680)&gt;($C680-$C679),($D679-$D680)&gt;0),$D679-$D680,0))</f>
        <v>0</v>
      </c>
      <c r="AG680">
        <f>IF(COUNT($E$2:$E680)&lt;15,"",IF(SUM($AC$667:$AC$680)=0,0,100*SUM($AE$667:$AE$680)/SUM($AC$667:$AC$680)))</f>
        <v>0</v>
      </c>
      <c r="AH680">
        <f>IF(COUNT($E$2:$E680)&lt;15,"",IF(SUM($AC$667:$AC$680)=0,0,100*SUM($AF$667:$AF$680)/SUM($AC$667:$AC$680)))</f>
        <v>0</v>
      </c>
      <c r="AI680">
        <f>IF(OR(AG680="",AH680=""),"",IF((AG680+AH680)=0,0,100*ABS(AG680-AH680)/(AG680+AH680)))</f>
        <v>0</v>
      </c>
      <c r="AJ680">
        <f>IF(COUNT($AI$667:$AI$680)&lt;14,"",AVERAGE($AI$667:$AI$680))</f>
        <v>0</v>
      </c>
      <c r="AK680">
        <f>IF(COUNT($E$2:$E680)&lt;20,"",AVERAGE($E$661:$E$680))</f>
        <v>0</v>
      </c>
      <c r="AL680">
        <f>IF(COUNT($E$2:$E680)&lt;20,"",STDEVP($E$661:$E$680))</f>
        <v>0</v>
      </c>
      <c r="AM680">
        <f>IF(AK680="","",AK680+2*AL680)</f>
        <v>0</v>
      </c>
      <c r="AN680">
        <f>IF(AK680="","",AK680-2*AL680)</f>
        <v>0</v>
      </c>
      <c r="AO680">
        <f>IF(OR(AM680="",AN680="",AM680=AN680),"",($E680-AN680)/(AM680-AN680))</f>
        <v>0</v>
      </c>
      <c r="AP680">
        <f>IF(OR(AM680="",AK680="",AK680=0),"",(AM680-AN680)/AK680)</f>
        <v>0</v>
      </c>
      <c r="AQ680">
        <f>IF(COUNT($E$2:$E680)&lt;20,"",MAX($C$661:$C$680))</f>
        <v>0</v>
      </c>
      <c r="AR680">
        <f>IF(COUNT($E$2:$E680)&lt;20,"",MIN($D$661:$D$680))</f>
        <v>0</v>
      </c>
      <c r="AS680">
        <f>IF(OR(AQ680="",AR680=""),"",(AQ680+AR680)/2)</f>
        <v>0</v>
      </c>
      <c r="AT680">
        <f>IF(COUNT($G$661:$G$680)&lt;20,"",STDEV($G$661:$G$680)*SQRT(252))</f>
        <v>0</v>
      </c>
      <c r="AU680">
        <f>IF(COUNT($E$2:$E680)&lt;9,"",(MAX($C$672:$C$680)+MIN($D$672:$D$680))/2)</f>
        <v>0</v>
      </c>
      <c r="AV680">
        <f>IF(COUNT($E$2:$E680)&lt;26,"",(MAX($C$655:$C$680)+MIN($D$655:$D$680))/2)</f>
        <v>0</v>
      </c>
      <c r="AW680">
        <f>IF(OR(AU680="",AV680=""),"",(AU680+AV680)/2)</f>
        <v>0</v>
      </c>
      <c r="AX680">
        <f>IF(COUNT($E$2:$E680)&lt;52,"",(MAX($C$629:$C$680)+MIN($D$629:$D$680))/2)</f>
        <v>0</v>
      </c>
      <c r="AY680">
        <f>IF(COUNT($E$2:$E680)&lt;20,"",MAX($C$581:$C$680))</f>
        <v>0</v>
      </c>
      <c r="AZ680">
        <f>IF(COUNT($E$2:$E680)&lt;20,"",MIN($D$581:$D$680))</f>
        <v>0</v>
      </c>
      <c r="BA680">
        <f>IF(COUNT($E$2:$E680)&lt;20,"",SLOPE($E$581:$E$680,$F$581:$F$680))</f>
        <v>0</v>
      </c>
      <c r="BB680">
        <f>IF(COUNT($E$2:$E680)&lt;20,"",INTERCEPT($E$581:$E$680,$F$581:$F$680))</f>
        <v>0</v>
      </c>
      <c r="BC680">
        <f>IF(OR(BA680="",BB680=""),"",BB680+BA680*F680)</f>
        <v>0</v>
      </c>
      <c r="BD680">
        <f>IF(COUNT($E$2:$E680)&lt;20,"",STEYX($E$581:$E$680,$F$581:$F$680))</f>
        <v>0</v>
      </c>
      <c r="BE680">
        <f>IF($E680="","",IF(AND(COUNT($E$681:$E$684)&gt;=4,$C680=MAX($C$676:$C$684)),$C680,""))</f>
        <v>0</v>
      </c>
      <c r="BF680">
        <f>IF($E680="","",IF(AND(COUNT($E$681:$E$684)&gt;=4,$D680=MIN($D$676:$D$684)),$D680,""))</f>
        <v>0</v>
      </c>
      <c r="BG680">
        <f>IF($A680="","",$A680-WEEKDAY($A680,2)+1)</f>
        <v>0</v>
      </c>
      <c r="BH680">
        <f>IF($A680="","",IF($A679="",1,IF(BG680&lt;&gt;BG679,1,0)))</f>
        <v>0</v>
      </c>
      <c r="BI680">
        <f>IF($A680="","",IF($A681="",1,IF(BG681&lt;&gt;BG680,1,0)))</f>
        <v>0</v>
      </c>
      <c r="BJ680">
        <f>IF($A680="","",IF(BH680=1,$B680,BJ679))</f>
        <v>0</v>
      </c>
      <c r="BK680">
        <f>IF($A680="","",IF(BH680=1,$C680,MAX($C680,BK679)))</f>
        <v>0</v>
      </c>
      <c r="BL680">
        <f>IF($A680="","",IF(BH680=1,$D680,MIN($D680,BL679)))</f>
        <v>0</v>
      </c>
      <c r="BM680">
        <f>IF($A680="","",IF(BI680=1,F680,""))</f>
        <v>0</v>
      </c>
      <c r="BN680">
        <f>IF($A680="","",DATE(YEAR($A680),MONTH($A680),1))</f>
        <v>0</v>
      </c>
      <c r="BO680">
        <f>IF($A680="","",IF($A679="",1,IF(BN680&lt;&gt;BN679,1,0)))</f>
        <v>0</v>
      </c>
      <c r="BP680">
        <f>IF($A680="","",IF($A681="",1,IF(BN681&lt;&gt;BN680,1,0)))</f>
        <v>0</v>
      </c>
      <c r="BQ680">
        <f>IF($A680="","",IF(BO680=1,$B680,BQ679))</f>
        <v>0</v>
      </c>
      <c r="BR680">
        <f>IF($A680="","",IF(BO680=1,$C680,MAX($C680,BR679)))</f>
        <v>0</v>
      </c>
      <c r="BS680">
        <f>IF($A680="","",IF(BO680=1,$D680,MIN($D680,BS679)))</f>
        <v>0</v>
      </c>
      <c r="BT680">
        <f>IF($A680="","",IF(BP680=1,F680,""))</f>
        <v>0</v>
      </c>
    </row>
    <row r="681" spans="1:72">
      <c r="A681" s="27">
        <f>IF(Data!$A681="","",Data!$A681)</f>
        <v>0</v>
      </c>
      <c r="B681">
        <f>IF(Data!$B681="","",Data!$B681)</f>
        <v>0</v>
      </c>
      <c r="C681">
        <f>IF(Data!$C681="","",Data!$C681)</f>
        <v>0</v>
      </c>
      <c r="D681">
        <f>IF(Data!$D681="","",Data!$D681)</f>
        <v>0</v>
      </c>
      <c r="E681">
        <f>IF(Data!$E681="","",Data!$E681)</f>
        <v>0</v>
      </c>
      <c r="F681">
        <f>IF($E681="","",N(F680)+1)</f>
        <v>0</v>
      </c>
      <c r="G681">
        <f>IF(OR($E681="",$E680=""),"",LN($E681/$E680))</f>
        <v>0</v>
      </c>
      <c r="H681">
        <f>IF($E681="","",IF($E680="",$E681,$E681*0.0952380952+H680*0.9047619048))</f>
        <v>0</v>
      </c>
      <c r="I681">
        <f>IF($E681="","",IF($E680="",$E681,$E681*0.0392156863+I680*0.9607843137))</f>
        <v>0</v>
      </c>
      <c r="J681">
        <f>IF($E681="","",IF($E680="",$E681,$E681*0.0198019802+J680*0.9801980198))</f>
        <v>0</v>
      </c>
      <c r="K681">
        <f>IF($E681="","",IF($E680="",$E681,$E681*0.0099502488+K680*0.9900497512))</f>
        <v>0</v>
      </c>
      <c r="L681">
        <f>IF(OR($E681="",$E680=""),"",MAX($E681-$E680,0))</f>
        <v>0</v>
      </c>
      <c r="M681">
        <f>IF(OR($E681="",$E680=""),"",MAX($E680-$E681,0))</f>
        <v>0</v>
      </c>
      <c r="N681">
        <f>IF(COUNT($E$2:$E681)&lt;15,"",IF(AVERAGE($M$668:$M$681)=0,100,100-100/(1+AVERAGE($L$668:$L$681)/AVERAGE($M$668:$M$681))))</f>
        <v>0</v>
      </c>
      <c r="O681">
        <f>IF($E681="","",IF($E680="",$E681,$E681*0.1538461538+O680*0.8461538462))</f>
        <v>0</v>
      </c>
      <c r="P681">
        <f>IF($E681="","",IF($E680="",$E681,$E681*0.0740740741+P680*0.9259259259))</f>
        <v>0</v>
      </c>
      <c r="Q681">
        <f>IF(OR(O681="",P681=""),"",O681-P681)</f>
        <v>0</v>
      </c>
      <c r="R681">
        <f>IF(Q681="","",IF(R680="",Q681,Q681*0.2000000000+R680*0.8000000000))</f>
        <v>0</v>
      </c>
      <c r="S681">
        <f>IF(OR(Q681="",R681=""),"",Q681-R681)</f>
        <v>0</v>
      </c>
      <c r="T681">
        <f>IF(COUNT($E$2:$E681)&lt;14,"",MAX($C$668:$C$681))</f>
        <v>0</v>
      </c>
      <c r="U681">
        <f>IF(COUNT($E$2:$E681)&lt;14,"",MIN($D$668:$D$681))</f>
        <v>0</v>
      </c>
      <c r="V681">
        <f>IF(OR(T681="",U681="",T681=U681),"",100*($E681-U681)/(T681-U681))</f>
        <v>0</v>
      </c>
      <c r="W681">
        <f>IF(COUNT($V$679:$V$681)&lt;3,"",AVERAGE($V$679:$V$681))</f>
        <v>0</v>
      </c>
      <c r="X681">
        <f>IF(COUNT($N$668:$N$681)&lt;14,"",MIN($N$668:$N$681))</f>
        <v>0</v>
      </c>
      <c r="Y681">
        <f>IF(COUNT($N$668:$N$681)&lt;14,"",MAX($N$668:$N$681))</f>
        <v>0</v>
      </c>
      <c r="Z681">
        <f>IF(OR(N681="",X681="",Y681="",Y681=X681),"",100*(N681-X681)/(Y681-X681))</f>
        <v>0</v>
      </c>
      <c r="AA681">
        <f>IF(COUNT($Z$679:$Z$681)&lt;3,"",AVERAGE($Z$679:$Z$681))</f>
        <v>0</v>
      </c>
      <c r="AB681">
        <f>IF(COUNT($AA$679:$AA$681)&lt;3,"",AVERAGE($AA$679:$AA$681))</f>
        <v>0</v>
      </c>
      <c r="AC681">
        <f>IF($E681="","",MAX($C681-$D681,ABS($C681-$E680),ABS($D681-$E680)))</f>
        <v>0</v>
      </c>
      <c r="AD681">
        <f>IF(COUNT($E$2:$E681)&lt;15,"",AVERAGE($AC$668:$AC$681))</f>
        <v>0</v>
      </c>
      <c r="AE681">
        <f>IF(OR($E681="",$E680=""),"",IF(AND(($C681-$C680)&gt;($D680-$D681),($C681-$C680)&gt;0),$C681-$C680,0))</f>
        <v>0</v>
      </c>
      <c r="AF681">
        <f>IF(OR($E681="",$E680=""),"",IF(AND(($D680-$D681)&gt;($C681-$C680),($D680-$D681)&gt;0),$D680-$D681,0))</f>
        <v>0</v>
      </c>
      <c r="AG681">
        <f>IF(COUNT($E$2:$E681)&lt;15,"",IF(SUM($AC$668:$AC$681)=0,0,100*SUM($AE$668:$AE$681)/SUM($AC$668:$AC$681)))</f>
        <v>0</v>
      </c>
      <c r="AH681">
        <f>IF(COUNT($E$2:$E681)&lt;15,"",IF(SUM($AC$668:$AC$681)=0,0,100*SUM($AF$668:$AF$681)/SUM($AC$668:$AC$681)))</f>
        <v>0</v>
      </c>
      <c r="AI681">
        <f>IF(OR(AG681="",AH681=""),"",IF((AG681+AH681)=0,0,100*ABS(AG681-AH681)/(AG681+AH681)))</f>
        <v>0</v>
      </c>
      <c r="AJ681">
        <f>IF(COUNT($AI$668:$AI$681)&lt;14,"",AVERAGE($AI$668:$AI$681))</f>
        <v>0</v>
      </c>
      <c r="AK681">
        <f>IF(COUNT($E$2:$E681)&lt;20,"",AVERAGE($E$662:$E$681))</f>
        <v>0</v>
      </c>
      <c r="AL681">
        <f>IF(COUNT($E$2:$E681)&lt;20,"",STDEVP($E$662:$E$681))</f>
        <v>0</v>
      </c>
      <c r="AM681">
        <f>IF(AK681="","",AK681+2*AL681)</f>
        <v>0</v>
      </c>
      <c r="AN681">
        <f>IF(AK681="","",AK681-2*AL681)</f>
        <v>0</v>
      </c>
      <c r="AO681">
        <f>IF(OR(AM681="",AN681="",AM681=AN681),"",($E681-AN681)/(AM681-AN681))</f>
        <v>0</v>
      </c>
      <c r="AP681">
        <f>IF(OR(AM681="",AK681="",AK681=0),"",(AM681-AN681)/AK681)</f>
        <v>0</v>
      </c>
      <c r="AQ681">
        <f>IF(COUNT($E$2:$E681)&lt;20,"",MAX($C$662:$C$681))</f>
        <v>0</v>
      </c>
      <c r="AR681">
        <f>IF(COUNT($E$2:$E681)&lt;20,"",MIN($D$662:$D$681))</f>
        <v>0</v>
      </c>
      <c r="AS681">
        <f>IF(OR(AQ681="",AR681=""),"",(AQ681+AR681)/2)</f>
        <v>0</v>
      </c>
      <c r="AT681">
        <f>IF(COUNT($G$662:$G$681)&lt;20,"",STDEV($G$662:$G$681)*SQRT(252))</f>
        <v>0</v>
      </c>
      <c r="AU681">
        <f>IF(COUNT($E$2:$E681)&lt;9,"",(MAX($C$673:$C$681)+MIN($D$673:$D$681))/2)</f>
        <v>0</v>
      </c>
      <c r="AV681">
        <f>IF(COUNT($E$2:$E681)&lt;26,"",(MAX($C$656:$C$681)+MIN($D$656:$D$681))/2)</f>
        <v>0</v>
      </c>
      <c r="AW681">
        <f>IF(OR(AU681="",AV681=""),"",(AU681+AV681)/2)</f>
        <v>0</v>
      </c>
      <c r="AX681">
        <f>IF(COUNT($E$2:$E681)&lt;52,"",(MAX($C$630:$C$681)+MIN($D$630:$D$681))/2)</f>
        <v>0</v>
      </c>
      <c r="AY681">
        <f>IF(COUNT($E$2:$E681)&lt;20,"",MAX($C$582:$C$681))</f>
        <v>0</v>
      </c>
      <c r="AZ681">
        <f>IF(COUNT($E$2:$E681)&lt;20,"",MIN($D$582:$D$681))</f>
        <v>0</v>
      </c>
      <c r="BA681">
        <f>IF(COUNT($E$2:$E681)&lt;20,"",SLOPE($E$582:$E$681,$F$582:$F$681))</f>
        <v>0</v>
      </c>
      <c r="BB681">
        <f>IF(COUNT($E$2:$E681)&lt;20,"",INTERCEPT($E$582:$E$681,$F$582:$F$681))</f>
        <v>0</v>
      </c>
      <c r="BC681">
        <f>IF(OR(BA681="",BB681=""),"",BB681+BA681*F681)</f>
        <v>0</v>
      </c>
      <c r="BD681">
        <f>IF(COUNT($E$2:$E681)&lt;20,"",STEYX($E$582:$E$681,$F$582:$F$681))</f>
        <v>0</v>
      </c>
      <c r="BE681">
        <f>IF($E681="","",IF(AND(COUNT($E$682:$E$685)&gt;=4,$C681=MAX($C$677:$C$685)),$C681,""))</f>
        <v>0</v>
      </c>
      <c r="BF681">
        <f>IF($E681="","",IF(AND(COUNT($E$682:$E$685)&gt;=4,$D681=MIN($D$677:$D$685)),$D681,""))</f>
        <v>0</v>
      </c>
      <c r="BG681">
        <f>IF($A681="","",$A681-WEEKDAY($A681,2)+1)</f>
        <v>0</v>
      </c>
      <c r="BH681">
        <f>IF($A681="","",IF($A680="",1,IF(BG681&lt;&gt;BG680,1,0)))</f>
        <v>0</v>
      </c>
      <c r="BI681">
        <f>IF($A681="","",IF($A682="",1,IF(BG682&lt;&gt;BG681,1,0)))</f>
        <v>0</v>
      </c>
      <c r="BJ681">
        <f>IF($A681="","",IF(BH681=1,$B681,BJ680))</f>
        <v>0</v>
      </c>
      <c r="BK681">
        <f>IF($A681="","",IF(BH681=1,$C681,MAX($C681,BK680)))</f>
        <v>0</v>
      </c>
      <c r="BL681">
        <f>IF($A681="","",IF(BH681=1,$D681,MIN($D681,BL680)))</f>
        <v>0</v>
      </c>
      <c r="BM681">
        <f>IF($A681="","",IF(BI681=1,F681,""))</f>
        <v>0</v>
      </c>
      <c r="BN681">
        <f>IF($A681="","",DATE(YEAR($A681),MONTH($A681),1))</f>
        <v>0</v>
      </c>
      <c r="BO681">
        <f>IF($A681="","",IF($A680="",1,IF(BN681&lt;&gt;BN680,1,0)))</f>
        <v>0</v>
      </c>
      <c r="BP681">
        <f>IF($A681="","",IF($A682="",1,IF(BN682&lt;&gt;BN681,1,0)))</f>
        <v>0</v>
      </c>
      <c r="BQ681">
        <f>IF($A681="","",IF(BO681=1,$B681,BQ680))</f>
        <v>0</v>
      </c>
      <c r="BR681">
        <f>IF($A681="","",IF(BO681=1,$C681,MAX($C681,BR680)))</f>
        <v>0</v>
      </c>
      <c r="BS681">
        <f>IF($A681="","",IF(BO681=1,$D681,MIN($D681,BS680)))</f>
        <v>0</v>
      </c>
      <c r="BT681">
        <f>IF($A681="","",IF(BP681=1,F681,""))</f>
        <v>0</v>
      </c>
    </row>
    <row r="682" spans="1:72">
      <c r="A682" s="27">
        <f>IF(Data!$A682="","",Data!$A682)</f>
        <v>0</v>
      </c>
      <c r="B682">
        <f>IF(Data!$B682="","",Data!$B682)</f>
        <v>0</v>
      </c>
      <c r="C682">
        <f>IF(Data!$C682="","",Data!$C682)</f>
        <v>0</v>
      </c>
      <c r="D682">
        <f>IF(Data!$D682="","",Data!$D682)</f>
        <v>0</v>
      </c>
      <c r="E682">
        <f>IF(Data!$E682="","",Data!$E682)</f>
        <v>0</v>
      </c>
      <c r="F682">
        <f>IF($E682="","",N(F681)+1)</f>
        <v>0</v>
      </c>
      <c r="G682">
        <f>IF(OR($E682="",$E681=""),"",LN($E682/$E681))</f>
        <v>0</v>
      </c>
      <c r="H682">
        <f>IF($E682="","",IF($E681="",$E682,$E682*0.0952380952+H681*0.9047619048))</f>
        <v>0</v>
      </c>
      <c r="I682">
        <f>IF($E682="","",IF($E681="",$E682,$E682*0.0392156863+I681*0.9607843137))</f>
        <v>0</v>
      </c>
      <c r="J682">
        <f>IF($E682="","",IF($E681="",$E682,$E682*0.0198019802+J681*0.9801980198))</f>
        <v>0</v>
      </c>
      <c r="K682">
        <f>IF($E682="","",IF($E681="",$E682,$E682*0.0099502488+K681*0.9900497512))</f>
        <v>0</v>
      </c>
      <c r="L682">
        <f>IF(OR($E682="",$E681=""),"",MAX($E682-$E681,0))</f>
        <v>0</v>
      </c>
      <c r="M682">
        <f>IF(OR($E682="",$E681=""),"",MAX($E681-$E682,0))</f>
        <v>0</v>
      </c>
      <c r="N682">
        <f>IF(COUNT($E$2:$E682)&lt;15,"",IF(AVERAGE($M$669:$M$682)=0,100,100-100/(1+AVERAGE($L$669:$L$682)/AVERAGE($M$669:$M$682))))</f>
        <v>0</v>
      </c>
      <c r="O682">
        <f>IF($E682="","",IF($E681="",$E682,$E682*0.1538461538+O681*0.8461538462))</f>
        <v>0</v>
      </c>
      <c r="P682">
        <f>IF($E682="","",IF($E681="",$E682,$E682*0.0740740741+P681*0.9259259259))</f>
        <v>0</v>
      </c>
      <c r="Q682">
        <f>IF(OR(O682="",P682=""),"",O682-P682)</f>
        <v>0</v>
      </c>
      <c r="R682">
        <f>IF(Q682="","",IF(R681="",Q682,Q682*0.2000000000+R681*0.8000000000))</f>
        <v>0</v>
      </c>
      <c r="S682">
        <f>IF(OR(Q682="",R682=""),"",Q682-R682)</f>
        <v>0</v>
      </c>
      <c r="T682">
        <f>IF(COUNT($E$2:$E682)&lt;14,"",MAX($C$669:$C$682))</f>
        <v>0</v>
      </c>
      <c r="U682">
        <f>IF(COUNT($E$2:$E682)&lt;14,"",MIN($D$669:$D$682))</f>
        <v>0</v>
      </c>
      <c r="V682">
        <f>IF(OR(T682="",U682="",T682=U682),"",100*($E682-U682)/(T682-U682))</f>
        <v>0</v>
      </c>
      <c r="W682">
        <f>IF(COUNT($V$680:$V$682)&lt;3,"",AVERAGE($V$680:$V$682))</f>
        <v>0</v>
      </c>
      <c r="X682">
        <f>IF(COUNT($N$669:$N$682)&lt;14,"",MIN($N$669:$N$682))</f>
        <v>0</v>
      </c>
      <c r="Y682">
        <f>IF(COUNT($N$669:$N$682)&lt;14,"",MAX($N$669:$N$682))</f>
        <v>0</v>
      </c>
      <c r="Z682">
        <f>IF(OR(N682="",X682="",Y682="",Y682=X682),"",100*(N682-X682)/(Y682-X682))</f>
        <v>0</v>
      </c>
      <c r="AA682">
        <f>IF(COUNT($Z$680:$Z$682)&lt;3,"",AVERAGE($Z$680:$Z$682))</f>
        <v>0</v>
      </c>
      <c r="AB682">
        <f>IF(COUNT($AA$680:$AA$682)&lt;3,"",AVERAGE($AA$680:$AA$682))</f>
        <v>0</v>
      </c>
      <c r="AC682">
        <f>IF($E682="","",MAX($C682-$D682,ABS($C682-$E681),ABS($D682-$E681)))</f>
        <v>0</v>
      </c>
      <c r="AD682">
        <f>IF(COUNT($E$2:$E682)&lt;15,"",AVERAGE($AC$669:$AC$682))</f>
        <v>0</v>
      </c>
      <c r="AE682">
        <f>IF(OR($E682="",$E681=""),"",IF(AND(($C682-$C681)&gt;($D681-$D682),($C682-$C681)&gt;0),$C682-$C681,0))</f>
        <v>0</v>
      </c>
      <c r="AF682">
        <f>IF(OR($E682="",$E681=""),"",IF(AND(($D681-$D682)&gt;($C682-$C681),($D681-$D682)&gt;0),$D681-$D682,0))</f>
        <v>0</v>
      </c>
      <c r="AG682">
        <f>IF(COUNT($E$2:$E682)&lt;15,"",IF(SUM($AC$669:$AC$682)=0,0,100*SUM($AE$669:$AE$682)/SUM($AC$669:$AC$682)))</f>
        <v>0</v>
      </c>
      <c r="AH682">
        <f>IF(COUNT($E$2:$E682)&lt;15,"",IF(SUM($AC$669:$AC$682)=0,0,100*SUM($AF$669:$AF$682)/SUM($AC$669:$AC$682)))</f>
        <v>0</v>
      </c>
      <c r="AI682">
        <f>IF(OR(AG682="",AH682=""),"",IF((AG682+AH682)=0,0,100*ABS(AG682-AH682)/(AG682+AH682)))</f>
        <v>0</v>
      </c>
      <c r="AJ682">
        <f>IF(COUNT($AI$669:$AI$682)&lt;14,"",AVERAGE($AI$669:$AI$682))</f>
        <v>0</v>
      </c>
      <c r="AK682">
        <f>IF(COUNT($E$2:$E682)&lt;20,"",AVERAGE($E$663:$E$682))</f>
        <v>0</v>
      </c>
      <c r="AL682">
        <f>IF(COUNT($E$2:$E682)&lt;20,"",STDEVP($E$663:$E$682))</f>
        <v>0</v>
      </c>
      <c r="AM682">
        <f>IF(AK682="","",AK682+2*AL682)</f>
        <v>0</v>
      </c>
      <c r="AN682">
        <f>IF(AK682="","",AK682-2*AL682)</f>
        <v>0</v>
      </c>
      <c r="AO682">
        <f>IF(OR(AM682="",AN682="",AM682=AN682),"",($E682-AN682)/(AM682-AN682))</f>
        <v>0</v>
      </c>
      <c r="AP682">
        <f>IF(OR(AM682="",AK682="",AK682=0),"",(AM682-AN682)/AK682)</f>
        <v>0</v>
      </c>
      <c r="AQ682">
        <f>IF(COUNT($E$2:$E682)&lt;20,"",MAX($C$663:$C$682))</f>
        <v>0</v>
      </c>
      <c r="AR682">
        <f>IF(COUNT($E$2:$E682)&lt;20,"",MIN($D$663:$D$682))</f>
        <v>0</v>
      </c>
      <c r="AS682">
        <f>IF(OR(AQ682="",AR682=""),"",(AQ682+AR682)/2)</f>
        <v>0</v>
      </c>
      <c r="AT682">
        <f>IF(COUNT($G$663:$G$682)&lt;20,"",STDEV($G$663:$G$682)*SQRT(252))</f>
        <v>0</v>
      </c>
      <c r="AU682">
        <f>IF(COUNT($E$2:$E682)&lt;9,"",(MAX($C$674:$C$682)+MIN($D$674:$D$682))/2)</f>
        <v>0</v>
      </c>
      <c r="AV682">
        <f>IF(COUNT($E$2:$E682)&lt;26,"",(MAX($C$657:$C$682)+MIN($D$657:$D$682))/2)</f>
        <v>0</v>
      </c>
      <c r="AW682">
        <f>IF(OR(AU682="",AV682=""),"",(AU682+AV682)/2)</f>
        <v>0</v>
      </c>
      <c r="AX682">
        <f>IF(COUNT($E$2:$E682)&lt;52,"",(MAX($C$631:$C$682)+MIN($D$631:$D$682))/2)</f>
        <v>0</v>
      </c>
      <c r="AY682">
        <f>IF(COUNT($E$2:$E682)&lt;20,"",MAX($C$583:$C$682))</f>
        <v>0</v>
      </c>
      <c r="AZ682">
        <f>IF(COUNT($E$2:$E682)&lt;20,"",MIN($D$583:$D$682))</f>
        <v>0</v>
      </c>
      <c r="BA682">
        <f>IF(COUNT($E$2:$E682)&lt;20,"",SLOPE($E$583:$E$682,$F$583:$F$682))</f>
        <v>0</v>
      </c>
      <c r="BB682">
        <f>IF(COUNT($E$2:$E682)&lt;20,"",INTERCEPT($E$583:$E$682,$F$583:$F$682))</f>
        <v>0</v>
      </c>
      <c r="BC682">
        <f>IF(OR(BA682="",BB682=""),"",BB682+BA682*F682)</f>
        <v>0</v>
      </c>
      <c r="BD682">
        <f>IF(COUNT($E$2:$E682)&lt;20,"",STEYX($E$583:$E$682,$F$583:$F$682))</f>
        <v>0</v>
      </c>
      <c r="BE682">
        <f>IF($E682="","",IF(AND(COUNT($E$683:$E$686)&gt;=4,$C682=MAX($C$678:$C$686)),$C682,""))</f>
        <v>0</v>
      </c>
      <c r="BF682">
        <f>IF($E682="","",IF(AND(COUNT($E$683:$E$686)&gt;=4,$D682=MIN($D$678:$D$686)),$D682,""))</f>
        <v>0</v>
      </c>
      <c r="BG682">
        <f>IF($A682="","",$A682-WEEKDAY($A682,2)+1)</f>
        <v>0</v>
      </c>
      <c r="BH682">
        <f>IF($A682="","",IF($A681="",1,IF(BG682&lt;&gt;BG681,1,0)))</f>
        <v>0</v>
      </c>
      <c r="BI682">
        <f>IF($A682="","",IF($A683="",1,IF(BG683&lt;&gt;BG682,1,0)))</f>
        <v>0</v>
      </c>
      <c r="BJ682">
        <f>IF($A682="","",IF(BH682=1,$B682,BJ681))</f>
        <v>0</v>
      </c>
      <c r="BK682">
        <f>IF($A682="","",IF(BH682=1,$C682,MAX($C682,BK681)))</f>
        <v>0</v>
      </c>
      <c r="BL682">
        <f>IF($A682="","",IF(BH682=1,$D682,MIN($D682,BL681)))</f>
        <v>0</v>
      </c>
      <c r="BM682">
        <f>IF($A682="","",IF(BI682=1,F682,""))</f>
        <v>0</v>
      </c>
      <c r="BN682">
        <f>IF($A682="","",DATE(YEAR($A682),MONTH($A682),1))</f>
        <v>0</v>
      </c>
      <c r="BO682">
        <f>IF($A682="","",IF($A681="",1,IF(BN682&lt;&gt;BN681,1,0)))</f>
        <v>0</v>
      </c>
      <c r="BP682">
        <f>IF($A682="","",IF($A683="",1,IF(BN683&lt;&gt;BN682,1,0)))</f>
        <v>0</v>
      </c>
      <c r="BQ682">
        <f>IF($A682="","",IF(BO682=1,$B682,BQ681))</f>
        <v>0</v>
      </c>
      <c r="BR682">
        <f>IF($A682="","",IF(BO682=1,$C682,MAX($C682,BR681)))</f>
        <v>0</v>
      </c>
      <c r="BS682">
        <f>IF($A682="","",IF(BO682=1,$D682,MIN($D682,BS681)))</f>
        <v>0</v>
      </c>
      <c r="BT682">
        <f>IF($A682="","",IF(BP682=1,F682,""))</f>
        <v>0</v>
      </c>
    </row>
    <row r="683" spans="1:72">
      <c r="A683" s="27">
        <f>IF(Data!$A683="","",Data!$A683)</f>
        <v>0</v>
      </c>
      <c r="B683">
        <f>IF(Data!$B683="","",Data!$B683)</f>
        <v>0</v>
      </c>
      <c r="C683">
        <f>IF(Data!$C683="","",Data!$C683)</f>
        <v>0</v>
      </c>
      <c r="D683">
        <f>IF(Data!$D683="","",Data!$D683)</f>
        <v>0</v>
      </c>
      <c r="E683">
        <f>IF(Data!$E683="","",Data!$E683)</f>
        <v>0</v>
      </c>
      <c r="F683">
        <f>IF($E683="","",N(F682)+1)</f>
        <v>0</v>
      </c>
      <c r="G683">
        <f>IF(OR($E683="",$E682=""),"",LN($E683/$E682))</f>
        <v>0</v>
      </c>
      <c r="H683">
        <f>IF($E683="","",IF($E682="",$E683,$E683*0.0952380952+H682*0.9047619048))</f>
        <v>0</v>
      </c>
      <c r="I683">
        <f>IF($E683="","",IF($E682="",$E683,$E683*0.0392156863+I682*0.9607843137))</f>
        <v>0</v>
      </c>
      <c r="J683">
        <f>IF($E683="","",IF($E682="",$E683,$E683*0.0198019802+J682*0.9801980198))</f>
        <v>0</v>
      </c>
      <c r="K683">
        <f>IF($E683="","",IF($E682="",$E683,$E683*0.0099502488+K682*0.9900497512))</f>
        <v>0</v>
      </c>
      <c r="L683">
        <f>IF(OR($E683="",$E682=""),"",MAX($E683-$E682,0))</f>
        <v>0</v>
      </c>
      <c r="M683">
        <f>IF(OR($E683="",$E682=""),"",MAX($E682-$E683,0))</f>
        <v>0</v>
      </c>
      <c r="N683">
        <f>IF(COUNT($E$2:$E683)&lt;15,"",IF(AVERAGE($M$670:$M$683)=0,100,100-100/(1+AVERAGE($L$670:$L$683)/AVERAGE($M$670:$M$683))))</f>
        <v>0</v>
      </c>
      <c r="O683">
        <f>IF($E683="","",IF($E682="",$E683,$E683*0.1538461538+O682*0.8461538462))</f>
        <v>0</v>
      </c>
      <c r="P683">
        <f>IF($E683="","",IF($E682="",$E683,$E683*0.0740740741+P682*0.9259259259))</f>
        <v>0</v>
      </c>
      <c r="Q683">
        <f>IF(OR(O683="",P683=""),"",O683-P683)</f>
        <v>0</v>
      </c>
      <c r="R683">
        <f>IF(Q683="","",IF(R682="",Q683,Q683*0.2000000000+R682*0.8000000000))</f>
        <v>0</v>
      </c>
      <c r="S683">
        <f>IF(OR(Q683="",R683=""),"",Q683-R683)</f>
        <v>0</v>
      </c>
      <c r="T683">
        <f>IF(COUNT($E$2:$E683)&lt;14,"",MAX($C$670:$C$683))</f>
        <v>0</v>
      </c>
      <c r="U683">
        <f>IF(COUNT($E$2:$E683)&lt;14,"",MIN($D$670:$D$683))</f>
        <v>0</v>
      </c>
      <c r="V683">
        <f>IF(OR(T683="",U683="",T683=U683),"",100*($E683-U683)/(T683-U683))</f>
        <v>0</v>
      </c>
      <c r="W683">
        <f>IF(COUNT($V$681:$V$683)&lt;3,"",AVERAGE($V$681:$V$683))</f>
        <v>0</v>
      </c>
      <c r="X683">
        <f>IF(COUNT($N$670:$N$683)&lt;14,"",MIN($N$670:$N$683))</f>
        <v>0</v>
      </c>
      <c r="Y683">
        <f>IF(COUNT($N$670:$N$683)&lt;14,"",MAX($N$670:$N$683))</f>
        <v>0</v>
      </c>
      <c r="Z683">
        <f>IF(OR(N683="",X683="",Y683="",Y683=X683),"",100*(N683-X683)/(Y683-X683))</f>
        <v>0</v>
      </c>
      <c r="AA683">
        <f>IF(COUNT($Z$681:$Z$683)&lt;3,"",AVERAGE($Z$681:$Z$683))</f>
        <v>0</v>
      </c>
      <c r="AB683">
        <f>IF(COUNT($AA$681:$AA$683)&lt;3,"",AVERAGE($AA$681:$AA$683))</f>
        <v>0</v>
      </c>
      <c r="AC683">
        <f>IF($E683="","",MAX($C683-$D683,ABS($C683-$E682),ABS($D683-$E682)))</f>
        <v>0</v>
      </c>
      <c r="AD683">
        <f>IF(COUNT($E$2:$E683)&lt;15,"",AVERAGE($AC$670:$AC$683))</f>
        <v>0</v>
      </c>
      <c r="AE683">
        <f>IF(OR($E683="",$E682=""),"",IF(AND(($C683-$C682)&gt;($D682-$D683),($C683-$C682)&gt;0),$C683-$C682,0))</f>
        <v>0</v>
      </c>
      <c r="AF683">
        <f>IF(OR($E683="",$E682=""),"",IF(AND(($D682-$D683)&gt;($C683-$C682),($D682-$D683)&gt;0),$D682-$D683,0))</f>
        <v>0</v>
      </c>
      <c r="AG683">
        <f>IF(COUNT($E$2:$E683)&lt;15,"",IF(SUM($AC$670:$AC$683)=0,0,100*SUM($AE$670:$AE$683)/SUM($AC$670:$AC$683)))</f>
        <v>0</v>
      </c>
      <c r="AH683">
        <f>IF(COUNT($E$2:$E683)&lt;15,"",IF(SUM($AC$670:$AC$683)=0,0,100*SUM($AF$670:$AF$683)/SUM($AC$670:$AC$683)))</f>
        <v>0</v>
      </c>
      <c r="AI683">
        <f>IF(OR(AG683="",AH683=""),"",IF((AG683+AH683)=0,0,100*ABS(AG683-AH683)/(AG683+AH683)))</f>
        <v>0</v>
      </c>
      <c r="AJ683">
        <f>IF(COUNT($AI$670:$AI$683)&lt;14,"",AVERAGE($AI$670:$AI$683))</f>
        <v>0</v>
      </c>
      <c r="AK683">
        <f>IF(COUNT($E$2:$E683)&lt;20,"",AVERAGE($E$664:$E$683))</f>
        <v>0</v>
      </c>
      <c r="AL683">
        <f>IF(COUNT($E$2:$E683)&lt;20,"",STDEVP($E$664:$E$683))</f>
        <v>0</v>
      </c>
      <c r="AM683">
        <f>IF(AK683="","",AK683+2*AL683)</f>
        <v>0</v>
      </c>
      <c r="AN683">
        <f>IF(AK683="","",AK683-2*AL683)</f>
        <v>0</v>
      </c>
      <c r="AO683">
        <f>IF(OR(AM683="",AN683="",AM683=AN683),"",($E683-AN683)/(AM683-AN683))</f>
        <v>0</v>
      </c>
      <c r="AP683">
        <f>IF(OR(AM683="",AK683="",AK683=0),"",(AM683-AN683)/AK683)</f>
        <v>0</v>
      </c>
      <c r="AQ683">
        <f>IF(COUNT($E$2:$E683)&lt;20,"",MAX($C$664:$C$683))</f>
        <v>0</v>
      </c>
      <c r="AR683">
        <f>IF(COUNT($E$2:$E683)&lt;20,"",MIN($D$664:$D$683))</f>
        <v>0</v>
      </c>
      <c r="AS683">
        <f>IF(OR(AQ683="",AR683=""),"",(AQ683+AR683)/2)</f>
        <v>0</v>
      </c>
      <c r="AT683">
        <f>IF(COUNT($G$664:$G$683)&lt;20,"",STDEV($G$664:$G$683)*SQRT(252))</f>
        <v>0</v>
      </c>
      <c r="AU683">
        <f>IF(COUNT($E$2:$E683)&lt;9,"",(MAX($C$675:$C$683)+MIN($D$675:$D$683))/2)</f>
        <v>0</v>
      </c>
      <c r="AV683">
        <f>IF(COUNT($E$2:$E683)&lt;26,"",(MAX($C$658:$C$683)+MIN($D$658:$D$683))/2)</f>
        <v>0</v>
      </c>
      <c r="AW683">
        <f>IF(OR(AU683="",AV683=""),"",(AU683+AV683)/2)</f>
        <v>0</v>
      </c>
      <c r="AX683">
        <f>IF(COUNT($E$2:$E683)&lt;52,"",(MAX($C$632:$C$683)+MIN($D$632:$D$683))/2)</f>
        <v>0</v>
      </c>
      <c r="AY683">
        <f>IF(COUNT($E$2:$E683)&lt;20,"",MAX($C$584:$C$683))</f>
        <v>0</v>
      </c>
      <c r="AZ683">
        <f>IF(COUNT($E$2:$E683)&lt;20,"",MIN($D$584:$D$683))</f>
        <v>0</v>
      </c>
      <c r="BA683">
        <f>IF(COUNT($E$2:$E683)&lt;20,"",SLOPE($E$584:$E$683,$F$584:$F$683))</f>
        <v>0</v>
      </c>
      <c r="BB683">
        <f>IF(COUNT($E$2:$E683)&lt;20,"",INTERCEPT($E$584:$E$683,$F$584:$F$683))</f>
        <v>0</v>
      </c>
      <c r="BC683">
        <f>IF(OR(BA683="",BB683=""),"",BB683+BA683*F683)</f>
        <v>0</v>
      </c>
      <c r="BD683">
        <f>IF(COUNT($E$2:$E683)&lt;20,"",STEYX($E$584:$E$683,$F$584:$F$683))</f>
        <v>0</v>
      </c>
      <c r="BE683">
        <f>IF($E683="","",IF(AND(COUNT($E$684:$E$687)&gt;=4,$C683=MAX($C$679:$C$687)),$C683,""))</f>
        <v>0</v>
      </c>
      <c r="BF683">
        <f>IF($E683="","",IF(AND(COUNT($E$684:$E$687)&gt;=4,$D683=MIN($D$679:$D$687)),$D683,""))</f>
        <v>0</v>
      </c>
      <c r="BG683">
        <f>IF($A683="","",$A683-WEEKDAY($A683,2)+1)</f>
        <v>0</v>
      </c>
      <c r="BH683">
        <f>IF($A683="","",IF($A682="",1,IF(BG683&lt;&gt;BG682,1,0)))</f>
        <v>0</v>
      </c>
      <c r="BI683">
        <f>IF($A683="","",IF($A684="",1,IF(BG684&lt;&gt;BG683,1,0)))</f>
        <v>0</v>
      </c>
      <c r="BJ683">
        <f>IF($A683="","",IF(BH683=1,$B683,BJ682))</f>
        <v>0</v>
      </c>
      <c r="BK683">
        <f>IF($A683="","",IF(BH683=1,$C683,MAX($C683,BK682)))</f>
        <v>0</v>
      </c>
      <c r="BL683">
        <f>IF($A683="","",IF(BH683=1,$D683,MIN($D683,BL682)))</f>
        <v>0</v>
      </c>
      <c r="BM683">
        <f>IF($A683="","",IF(BI683=1,F683,""))</f>
        <v>0</v>
      </c>
      <c r="BN683">
        <f>IF($A683="","",DATE(YEAR($A683),MONTH($A683),1))</f>
        <v>0</v>
      </c>
      <c r="BO683">
        <f>IF($A683="","",IF($A682="",1,IF(BN683&lt;&gt;BN682,1,0)))</f>
        <v>0</v>
      </c>
      <c r="BP683">
        <f>IF($A683="","",IF($A684="",1,IF(BN684&lt;&gt;BN683,1,0)))</f>
        <v>0</v>
      </c>
      <c r="BQ683">
        <f>IF($A683="","",IF(BO683=1,$B683,BQ682))</f>
        <v>0</v>
      </c>
      <c r="BR683">
        <f>IF($A683="","",IF(BO683=1,$C683,MAX($C683,BR682)))</f>
        <v>0</v>
      </c>
      <c r="BS683">
        <f>IF($A683="","",IF(BO683=1,$D683,MIN($D683,BS682)))</f>
        <v>0</v>
      </c>
      <c r="BT683">
        <f>IF($A683="","",IF(BP683=1,F683,""))</f>
        <v>0</v>
      </c>
    </row>
    <row r="684" spans="1:72">
      <c r="A684" s="27">
        <f>IF(Data!$A684="","",Data!$A684)</f>
        <v>0</v>
      </c>
      <c r="B684">
        <f>IF(Data!$B684="","",Data!$B684)</f>
        <v>0</v>
      </c>
      <c r="C684">
        <f>IF(Data!$C684="","",Data!$C684)</f>
        <v>0</v>
      </c>
      <c r="D684">
        <f>IF(Data!$D684="","",Data!$D684)</f>
        <v>0</v>
      </c>
      <c r="E684">
        <f>IF(Data!$E684="","",Data!$E684)</f>
        <v>0</v>
      </c>
      <c r="F684">
        <f>IF($E684="","",N(F683)+1)</f>
        <v>0</v>
      </c>
      <c r="G684">
        <f>IF(OR($E684="",$E683=""),"",LN($E684/$E683))</f>
        <v>0</v>
      </c>
      <c r="H684">
        <f>IF($E684="","",IF($E683="",$E684,$E684*0.0952380952+H683*0.9047619048))</f>
        <v>0</v>
      </c>
      <c r="I684">
        <f>IF($E684="","",IF($E683="",$E684,$E684*0.0392156863+I683*0.9607843137))</f>
        <v>0</v>
      </c>
      <c r="J684">
        <f>IF($E684="","",IF($E683="",$E684,$E684*0.0198019802+J683*0.9801980198))</f>
        <v>0</v>
      </c>
      <c r="K684">
        <f>IF($E684="","",IF($E683="",$E684,$E684*0.0099502488+K683*0.9900497512))</f>
        <v>0</v>
      </c>
      <c r="L684">
        <f>IF(OR($E684="",$E683=""),"",MAX($E684-$E683,0))</f>
        <v>0</v>
      </c>
      <c r="M684">
        <f>IF(OR($E684="",$E683=""),"",MAX($E683-$E684,0))</f>
        <v>0</v>
      </c>
      <c r="N684">
        <f>IF(COUNT($E$2:$E684)&lt;15,"",IF(AVERAGE($M$671:$M$684)=0,100,100-100/(1+AVERAGE($L$671:$L$684)/AVERAGE($M$671:$M$684))))</f>
        <v>0</v>
      </c>
      <c r="O684">
        <f>IF($E684="","",IF($E683="",$E684,$E684*0.1538461538+O683*0.8461538462))</f>
        <v>0</v>
      </c>
      <c r="P684">
        <f>IF($E684="","",IF($E683="",$E684,$E684*0.0740740741+P683*0.9259259259))</f>
        <v>0</v>
      </c>
      <c r="Q684">
        <f>IF(OR(O684="",P684=""),"",O684-P684)</f>
        <v>0</v>
      </c>
      <c r="R684">
        <f>IF(Q684="","",IF(R683="",Q684,Q684*0.2000000000+R683*0.8000000000))</f>
        <v>0</v>
      </c>
      <c r="S684">
        <f>IF(OR(Q684="",R684=""),"",Q684-R684)</f>
        <v>0</v>
      </c>
      <c r="T684">
        <f>IF(COUNT($E$2:$E684)&lt;14,"",MAX($C$671:$C$684))</f>
        <v>0</v>
      </c>
      <c r="U684">
        <f>IF(COUNT($E$2:$E684)&lt;14,"",MIN($D$671:$D$684))</f>
        <v>0</v>
      </c>
      <c r="V684">
        <f>IF(OR(T684="",U684="",T684=U684),"",100*($E684-U684)/(T684-U684))</f>
        <v>0</v>
      </c>
      <c r="W684">
        <f>IF(COUNT($V$682:$V$684)&lt;3,"",AVERAGE($V$682:$V$684))</f>
        <v>0</v>
      </c>
      <c r="X684">
        <f>IF(COUNT($N$671:$N$684)&lt;14,"",MIN($N$671:$N$684))</f>
        <v>0</v>
      </c>
      <c r="Y684">
        <f>IF(COUNT($N$671:$N$684)&lt;14,"",MAX($N$671:$N$684))</f>
        <v>0</v>
      </c>
      <c r="Z684">
        <f>IF(OR(N684="",X684="",Y684="",Y684=X684),"",100*(N684-X684)/(Y684-X684))</f>
        <v>0</v>
      </c>
      <c r="AA684">
        <f>IF(COUNT($Z$682:$Z$684)&lt;3,"",AVERAGE($Z$682:$Z$684))</f>
        <v>0</v>
      </c>
      <c r="AB684">
        <f>IF(COUNT($AA$682:$AA$684)&lt;3,"",AVERAGE($AA$682:$AA$684))</f>
        <v>0</v>
      </c>
      <c r="AC684">
        <f>IF($E684="","",MAX($C684-$D684,ABS($C684-$E683),ABS($D684-$E683)))</f>
        <v>0</v>
      </c>
      <c r="AD684">
        <f>IF(COUNT($E$2:$E684)&lt;15,"",AVERAGE($AC$671:$AC$684))</f>
        <v>0</v>
      </c>
      <c r="AE684">
        <f>IF(OR($E684="",$E683=""),"",IF(AND(($C684-$C683)&gt;($D683-$D684),($C684-$C683)&gt;0),$C684-$C683,0))</f>
        <v>0</v>
      </c>
      <c r="AF684">
        <f>IF(OR($E684="",$E683=""),"",IF(AND(($D683-$D684)&gt;($C684-$C683),($D683-$D684)&gt;0),$D683-$D684,0))</f>
        <v>0</v>
      </c>
      <c r="AG684">
        <f>IF(COUNT($E$2:$E684)&lt;15,"",IF(SUM($AC$671:$AC$684)=0,0,100*SUM($AE$671:$AE$684)/SUM($AC$671:$AC$684)))</f>
        <v>0</v>
      </c>
      <c r="AH684">
        <f>IF(COUNT($E$2:$E684)&lt;15,"",IF(SUM($AC$671:$AC$684)=0,0,100*SUM($AF$671:$AF$684)/SUM($AC$671:$AC$684)))</f>
        <v>0</v>
      </c>
      <c r="AI684">
        <f>IF(OR(AG684="",AH684=""),"",IF((AG684+AH684)=0,0,100*ABS(AG684-AH684)/(AG684+AH684)))</f>
        <v>0</v>
      </c>
      <c r="AJ684">
        <f>IF(COUNT($AI$671:$AI$684)&lt;14,"",AVERAGE($AI$671:$AI$684))</f>
        <v>0</v>
      </c>
      <c r="AK684">
        <f>IF(COUNT($E$2:$E684)&lt;20,"",AVERAGE($E$665:$E$684))</f>
        <v>0</v>
      </c>
      <c r="AL684">
        <f>IF(COUNT($E$2:$E684)&lt;20,"",STDEVP($E$665:$E$684))</f>
        <v>0</v>
      </c>
      <c r="AM684">
        <f>IF(AK684="","",AK684+2*AL684)</f>
        <v>0</v>
      </c>
      <c r="AN684">
        <f>IF(AK684="","",AK684-2*AL684)</f>
        <v>0</v>
      </c>
      <c r="AO684">
        <f>IF(OR(AM684="",AN684="",AM684=AN684),"",($E684-AN684)/(AM684-AN684))</f>
        <v>0</v>
      </c>
      <c r="AP684">
        <f>IF(OR(AM684="",AK684="",AK684=0),"",(AM684-AN684)/AK684)</f>
        <v>0</v>
      </c>
      <c r="AQ684">
        <f>IF(COUNT($E$2:$E684)&lt;20,"",MAX($C$665:$C$684))</f>
        <v>0</v>
      </c>
      <c r="AR684">
        <f>IF(COUNT($E$2:$E684)&lt;20,"",MIN($D$665:$D$684))</f>
        <v>0</v>
      </c>
      <c r="AS684">
        <f>IF(OR(AQ684="",AR684=""),"",(AQ684+AR684)/2)</f>
        <v>0</v>
      </c>
      <c r="AT684">
        <f>IF(COUNT($G$665:$G$684)&lt;20,"",STDEV($G$665:$G$684)*SQRT(252))</f>
        <v>0</v>
      </c>
      <c r="AU684">
        <f>IF(COUNT($E$2:$E684)&lt;9,"",(MAX($C$676:$C$684)+MIN($D$676:$D$684))/2)</f>
        <v>0</v>
      </c>
      <c r="AV684">
        <f>IF(COUNT($E$2:$E684)&lt;26,"",(MAX($C$659:$C$684)+MIN($D$659:$D$684))/2)</f>
        <v>0</v>
      </c>
      <c r="AW684">
        <f>IF(OR(AU684="",AV684=""),"",(AU684+AV684)/2)</f>
        <v>0</v>
      </c>
      <c r="AX684">
        <f>IF(COUNT($E$2:$E684)&lt;52,"",(MAX($C$633:$C$684)+MIN($D$633:$D$684))/2)</f>
        <v>0</v>
      </c>
      <c r="AY684">
        <f>IF(COUNT($E$2:$E684)&lt;20,"",MAX($C$585:$C$684))</f>
        <v>0</v>
      </c>
      <c r="AZ684">
        <f>IF(COUNT($E$2:$E684)&lt;20,"",MIN($D$585:$D$684))</f>
        <v>0</v>
      </c>
      <c r="BA684">
        <f>IF(COUNT($E$2:$E684)&lt;20,"",SLOPE($E$585:$E$684,$F$585:$F$684))</f>
        <v>0</v>
      </c>
      <c r="BB684">
        <f>IF(COUNT($E$2:$E684)&lt;20,"",INTERCEPT($E$585:$E$684,$F$585:$F$684))</f>
        <v>0</v>
      </c>
      <c r="BC684">
        <f>IF(OR(BA684="",BB684=""),"",BB684+BA684*F684)</f>
        <v>0</v>
      </c>
      <c r="BD684">
        <f>IF(COUNT($E$2:$E684)&lt;20,"",STEYX($E$585:$E$684,$F$585:$F$684))</f>
        <v>0</v>
      </c>
      <c r="BE684">
        <f>IF($E684="","",IF(AND(COUNT($E$685:$E$688)&gt;=4,$C684=MAX($C$680:$C$688)),$C684,""))</f>
        <v>0</v>
      </c>
      <c r="BF684">
        <f>IF($E684="","",IF(AND(COUNT($E$685:$E$688)&gt;=4,$D684=MIN($D$680:$D$688)),$D684,""))</f>
        <v>0</v>
      </c>
      <c r="BG684">
        <f>IF($A684="","",$A684-WEEKDAY($A684,2)+1)</f>
        <v>0</v>
      </c>
      <c r="BH684">
        <f>IF($A684="","",IF($A683="",1,IF(BG684&lt;&gt;BG683,1,0)))</f>
        <v>0</v>
      </c>
      <c r="BI684">
        <f>IF($A684="","",IF($A685="",1,IF(BG685&lt;&gt;BG684,1,0)))</f>
        <v>0</v>
      </c>
      <c r="BJ684">
        <f>IF($A684="","",IF(BH684=1,$B684,BJ683))</f>
        <v>0</v>
      </c>
      <c r="BK684">
        <f>IF($A684="","",IF(BH684=1,$C684,MAX($C684,BK683)))</f>
        <v>0</v>
      </c>
      <c r="BL684">
        <f>IF($A684="","",IF(BH684=1,$D684,MIN($D684,BL683)))</f>
        <v>0</v>
      </c>
      <c r="BM684">
        <f>IF($A684="","",IF(BI684=1,F684,""))</f>
        <v>0</v>
      </c>
      <c r="BN684">
        <f>IF($A684="","",DATE(YEAR($A684),MONTH($A684),1))</f>
        <v>0</v>
      </c>
      <c r="BO684">
        <f>IF($A684="","",IF($A683="",1,IF(BN684&lt;&gt;BN683,1,0)))</f>
        <v>0</v>
      </c>
      <c r="BP684">
        <f>IF($A684="","",IF($A685="",1,IF(BN685&lt;&gt;BN684,1,0)))</f>
        <v>0</v>
      </c>
      <c r="BQ684">
        <f>IF($A684="","",IF(BO684=1,$B684,BQ683))</f>
        <v>0</v>
      </c>
      <c r="BR684">
        <f>IF($A684="","",IF(BO684=1,$C684,MAX($C684,BR683)))</f>
        <v>0</v>
      </c>
      <c r="BS684">
        <f>IF($A684="","",IF(BO684=1,$D684,MIN($D684,BS683)))</f>
        <v>0</v>
      </c>
      <c r="BT684">
        <f>IF($A684="","",IF(BP684=1,F684,""))</f>
        <v>0</v>
      </c>
    </row>
    <row r="685" spans="1:72">
      <c r="A685" s="27">
        <f>IF(Data!$A685="","",Data!$A685)</f>
        <v>0</v>
      </c>
      <c r="B685">
        <f>IF(Data!$B685="","",Data!$B685)</f>
        <v>0</v>
      </c>
      <c r="C685">
        <f>IF(Data!$C685="","",Data!$C685)</f>
        <v>0</v>
      </c>
      <c r="D685">
        <f>IF(Data!$D685="","",Data!$D685)</f>
        <v>0</v>
      </c>
      <c r="E685">
        <f>IF(Data!$E685="","",Data!$E685)</f>
        <v>0</v>
      </c>
      <c r="F685">
        <f>IF($E685="","",N(F684)+1)</f>
        <v>0</v>
      </c>
      <c r="G685">
        <f>IF(OR($E685="",$E684=""),"",LN($E685/$E684))</f>
        <v>0</v>
      </c>
      <c r="H685">
        <f>IF($E685="","",IF($E684="",$E685,$E685*0.0952380952+H684*0.9047619048))</f>
        <v>0</v>
      </c>
      <c r="I685">
        <f>IF($E685="","",IF($E684="",$E685,$E685*0.0392156863+I684*0.9607843137))</f>
        <v>0</v>
      </c>
      <c r="J685">
        <f>IF($E685="","",IF($E684="",$E685,$E685*0.0198019802+J684*0.9801980198))</f>
        <v>0</v>
      </c>
      <c r="K685">
        <f>IF($E685="","",IF($E684="",$E685,$E685*0.0099502488+K684*0.9900497512))</f>
        <v>0</v>
      </c>
      <c r="L685">
        <f>IF(OR($E685="",$E684=""),"",MAX($E685-$E684,0))</f>
        <v>0</v>
      </c>
      <c r="M685">
        <f>IF(OR($E685="",$E684=""),"",MAX($E684-$E685,0))</f>
        <v>0</v>
      </c>
      <c r="N685">
        <f>IF(COUNT($E$2:$E685)&lt;15,"",IF(AVERAGE($M$672:$M$685)=0,100,100-100/(1+AVERAGE($L$672:$L$685)/AVERAGE($M$672:$M$685))))</f>
        <v>0</v>
      </c>
      <c r="O685">
        <f>IF($E685="","",IF($E684="",$E685,$E685*0.1538461538+O684*0.8461538462))</f>
        <v>0</v>
      </c>
      <c r="P685">
        <f>IF($E685="","",IF($E684="",$E685,$E685*0.0740740741+P684*0.9259259259))</f>
        <v>0</v>
      </c>
      <c r="Q685">
        <f>IF(OR(O685="",P685=""),"",O685-P685)</f>
        <v>0</v>
      </c>
      <c r="R685">
        <f>IF(Q685="","",IF(R684="",Q685,Q685*0.2000000000+R684*0.8000000000))</f>
        <v>0</v>
      </c>
      <c r="S685">
        <f>IF(OR(Q685="",R685=""),"",Q685-R685)</f>
        <v>0</v>
      </c>
      <c r="T685">
        <f>IF(COUNT($E$2:$E685)&lt;14,"",MAX($C$672:$C$685))</f>
        <v>0</v>
      </c>
      <c r="U685">
        <f>IF(COUNT($E$2:$E685)&lt;14,"",MIN($D$672:$D$685))</f>
        <v>0</v>
      </c>
      <c r="V685">
        <f>IF(OR(T685="",U685="",T685=U685),"",100*($E685-U685)/(T685-U685))</f>
        <v>0</v>
      </c>
      <c r="W685">
        <f>IF(COUNT($V$683:$V$685)&lt;3,"",AVERAGE($V$683:$V$685))</f>
        <v>0</v>
      </c>
      <c r="X685">
        <f>IF(COUNT($N$672:$N$685)&lt;14,"",MIN($N$672:$N$685))</f>
        <v>0</v>
      </c>
      <c r="Y685">
        <f>IF(COUNT($N$672:$N$685)&lt;14,"",MAX($N$672:$N$685))</f>
        <v>0</v>
      </c>
      <c r="Z685">
        <f>IF(OR(N685="",X685="",Y685="",Y685=X685),"",100*(N685-X685)/(Y685-X685))</f>
        <v>0</v>
      </c>
      <c r="AA685">
        <f>IF(COUNT($Z$683:$Z$685)&lt;3,"",AVERAGE($Z$683:$Z$685))</f>
        <v>0</v>
      </c>
      <c r="AB685">
        <f>IF(COUNT($AA$683:$AA$685)&lt;3,"",AVERAGE($AA$683:$AA$685))</f>
        <v>0</v>
      </c>
      <c r="AC685">
        <f>IF($E685="","",MAX($C685-$D685,ABS($C685-$E684),ABS($D685-$E684)))</f>
        <v>0</v>
      </c>
      <c r="AD685">
        <f>IF(COUNT($E$2:$E685)&lt;15,"",AVERAGE($AC$672:$AC$685))</f>
        <v>0</v>
      </c>
      <c r="AE685">
        <f>IF(OR($E685="",$E684=""),"",IF(AND(($C685-$C684)&gt;($D684-$D685),($C685-$C684)&gt;0),$C685-$C684,0))</f>
        <v>0</v>
      </c>
      <c r="AF685">
        <f>IF(OR($E685="",$E684=""),"",IF(AND(($D684-$D685)&gt;($C685-$C684),($D684-$D685)&gt;0),$D684-$D685,0))</f>
        <v>0</v>
      </c>
      <c r="AG685">
        <f>IF(COUNT($E$2:$E685)&lt;15,"",IF(SUM($AC$672:$AC$685)=0,0,100*SUM($AE$672:$AE$685)/SUM($AC$672:$AC$685)))</f>
        <v>0</v>
      </c>
      <c r="AH685">
        <f>IF(COUNT($E$2:$E685)&lt;15,"",IF(SUM($AC$672:$AC$685)=0,0,100*SUM($AF$672:$AF$685)/SUM($AC$672:$AC$685)))</f>
        <v>0</v>
      </c>
      <c r="AI685">
        <f>IF(OR(AG685="",AH685=""),"",IF((AG685+AH685)=0,0,100*ABS(AG685-AH685)/(AG685+AH685)))</f>
        <v>0</v>
      </c>
      <c r="AJ685">
        <f>IF(COUNT($AI$672:$AI$685)&lt;14,"",AVERAGE($AI$672:$AI$685))</f>
        <v>0</v>
      </c>
      <c r="AK685">
        <f>IF(COUNT($E$2:$E685)&lt;20,"",AVERAGE($E$666:$E$685))</f>
        <v>0</v>
      </c>
      <c r="AL685">
        <f>IF(COUNT($E$2:$E685)&lt;20,"",STDEVP($E$666:$E$685))</f>
        <v>0</v>
      </c>
      <c r="AM685">
        <f>IF(AK685="","",AK685+2*AL685)</f>
        <v>0</v>
      </c>
      <c r="AN685">
        <f>IF(AK685="","",AK685-2*AL685)</f>
        <v>0</v>
      </c>
      <c r="AO685">
        <f>IF(OR(AM685="",AN685="",AM685=AN685),"",($E685-AN685)/(AM685-AN685))</f>
        <v>0</v>
      </c>
      <c r="AP685">
        <f>IF(OR(AM685="",AK685="",AK685=0),"",(AM685-AN685)/AK685)</f>
        <v>0</v>
      </c>
      <c r="AQ685">
        <f>IF(COUNT($E$2:$E685)&lt;20,"",MAX($C$666:$C$685))</f>
        <v>0</v>
      </c>
      <c r="AR685">
        <f>IF(COUNT($E$2:$E685)&lt;20,"",MIN($D$666:$D$685))</f>
        <v>0</v>
      </c>
      <c r="AS685">
        <f>IF(OR(AQ685="",AR685=""),"",(AQ685+AR685)/2)</f>
        <v>0</v>
      </c>
      <c r="AT685">
        <f>IF(COUNT($G$666:$G$685)&lt;20,"",STDEV($G$666:$G$685)*SQRT(252))</f>
        <v>0</v>
      </c>
      <c r="AU685">
        <f>IF(COUNT($E$2:$E685)&lt;9,"",(MAX($C$677:$C$685)+MIN($D$677:$D$685))/2)</f>
        <v>0</v>
      </c>
      <c r="AV685">
        <f>IF(COUNT($E$2:$E685)&lt;26,"",(MAX($C$660:$C$685)+MIN($D$660:$D$685))/2)</f>
        <v>0</v>
      </c>
      <c r="AW685">
        <f>IF(OR(AU685="",AV685=""),"",(AU685+AV685)/2)</f>
        <v>0</v>
      </c>
      <c r="AX685">
        <f>IF(COUNT($E$2:$E685)&lt;52,"",(MAX($C$634:$C$685)+MIN($D$634:$D$685))/2)</f>
        <v>0</v>
      </c>
      <c r="AY685">
        <f>IF(COUNT($E$2:$E685)&lt;20,"",MAX($C$586:$C$685))</f>
        <v>0</v>
      </c>
      <c r="AZ685">
        <f>IF(COUNT($E$2:$E685)&lt;20,"",MIN($D$586:$D$685))</f>
        <v>0</v>
      </c>
      <c r="BA685">
        <f>IF(COUNT($E$2:$E685)&lt;20,"",SLOPE($E$586:$E$685,$F$586:$F$685))</f>
        <v>0</v>
      </c>
      <c r="BB685">
        <f>IF(COUNT($E$2:$E685)&lt;20,"",INTERCEPT($E$586:$E$685,$F$586:$F$685))</f>
        <v>0</v>
      </c>
      <c r="BC685">
        <f>IF(OR(BA685="",BB685=""),"",BB685+BA685*F685)</f>
        <v>0</v>
      </c>
      <c r="BD685">
        <f>IF(COUNT($E$2:$E685)&lt;20,"",STEYX($E$586:$E$685,$F$586:$F$685))</f>
        <v>0</v>
      </c>
      <c r="BE685">
        <f>IF($E685="","",IF(AND(COUNT($E$686:$E$689)&gt;=4,$C685=MAX($C$681:$C$689)),$C685,""))</f>
        <v>0</v>
      </c>
      <c r="BF685">
        <f>IF($E685="","",IF(AND(COUNT($E$686:$E$689)&gt;=4,$D685=MIN($D$681:$D$689)),$D685,""))</f>
        <v>0</v>
      </c>
      <c r="BG685">
        <f>IF($A685="","",$A685-WEEKDAY($A685,2)+1)</f>
        <v>0</v>
      </c>
      <c r="BH685">
        <f>IF($A685="","",IF($A684="",1,IF(BG685&lt;&gt;BG684,1,0)))</f>
        <v>0</v>
      </c>
      <c r="BI685">
        <f>IF($A685="","",IF($A686="",1,IF(BG686&lt;&gt;BG685,1,0)))</f>
        <v>0</v>
      </c>
      <c r="BJ685">
        <f>IF($A685="","",IF(BH685=1,$B685,BJ684))</f>
        <v>0</v>
      </c>
      <c r="BK685">
        <f>IF($A685="","",IF(BH685=1,$C685,MAX($C685,BK684)))</f>
        <v>0</v>
      </c>
      <c r="BL685">
        <f>IF($A685="","",IF(BH685=1,$D685,MIN($D685,BL684)))</f>
        <v>0</v>
      </c>
      <c r="BM685">
        <f>IF($A685="","",IF(BI685=1,F685,""))</f>
        <v>0</v>
      </c>
      <c r="BN685">
        <f>IF($A685="","",DATE(YEAR($A685),MONTH($A685),1))</f>
        <v>0</v>
      </c>
      <c r="BO685">
        <f>IF($A685="","",IF($A684="",1,IF(BN685&lt;&gt;BN684,1,0)))</f>
        <v>0</v>
      </c>
      <c r="BP685">
        <f>IF($A685="","",IF($A686="",1,IF(BN686&lt;&gt;BN685,1,0)))</f>
        <v>0</v>
      </c>
      <c r="BQ685">
        <f>IF($A685="","",IF(BO685=1,$B685,BQ684))</f>
        <v>0</v>
      </c>
      <c r="BR685">
        <f>IF($A685="","",IF(BO685=1,$C685,MAX($C685,BR684)))</f>
        <v>0</v>
      </c>
      <c r="BS685">
        <f>IF($A685="","",IF(BO685=1,$D685,MIN($D685,BS684)))</f>
        <v>0</v>
      </c>
      <c r="BT685">
        <f>IF($A685="","",IF(BP685=1,F685,""))</f>
        <v>0</v>
      </c>
    </row>
    <row r="686" spans="1:72">
      <c r="A686" s="27">
        <f>IF(Data!$A686="","",Data!$A686)</f>
        <v>0</v>
      </c>
      <c r="B686">
        <f>IF(Data!$B686="","",Data!$B686)</f>
        <v>0</v>
      </c>
      <c r="C686">
        <f>IF(Data!$C686="","",Data!$C686)</f>
        <v>0</v>
      </c>
      <c r="D686">
        <f>IF(Data!$D686="","",Data!$D686)</f>
        <v>0</v>
      </c>
      <c r="E686">
        <f>IF(Data!$E686="","",Data!$E686)</f>
        <v>0</v>
      </c>
      <c r="F686">
        <f>IF($E686="","",N(F685)+1)</f>
        <v>0</v>
      </c>
      <c r="G686">
        <f>IF(OR($E686="",$E685=""),"",LN($E686/$E685))</f>
        <v>0</v>
      </c>
      <c r="H686">
        <f>IF($E686="","",IF($E685="",$E686,$E686*0.0952380952+H685*0.9047619048))</f>
        <v>0</v>
      </c>
      <c r="I686">
        <f>IF($E686="","",IF($E685="",$E686,$E686*0.0392156863+I685*0.9607843137))</f>
        <v>0</v>
      </c>
      <c r="J686">
        <f>IF($E686="","",IF($E685="",$E686,$E686*0.0198019802+J685*0.9801980198))</f>
        <v>0</v>
      </c>
      <c r="K686">
        <f>IF($E686="","",IF($E685="",$E686,$E686*0.0099502488+K685*0.9900497512))</f>
        <v>0</v>
      </c>
      <c r="L686">
        <f>IF(OR($E686="",$E685=""),"",MAX($E686-$E685,0))</f>
        <v>0</v>
      </c>
      <c r="M686">
        <f>IF(OR($E686="",$E685=""),"",MAX($E685-$E686,0))</f>
        <v>0</v>
      </c>
      <c r="N686">
        <f>IF(COUNT($E$2:$E686)&lt;15,"",IF(AVERAGE($M$673:$M$686)=0,100,100-100/(1+AVERAGE($L$673:$L$686)/AVERAGE($M$673:$M$686))))</f>
        <v>0</v>
      </c>
      <c r="O686">
        <f>IF($E686="","",IF($E685="",$E686,$E686*0.1538461538+O685*0.8461538462))</f>
        <v>0</v>
      </c>
      <c r="P686">
        <f>IF($E686="","",IF($E685="",$E686,$E686*0.0740740741+P685*0.9259259259))</f>
        <v>0</v>
      </c>
      <c r="Q686">
        <f>IF(OR(O686="",P686=""),"",O686-P686)</f>
        <v>0</v>
      </c>
      <c r="R686">
        <f>IF(Q686="","",IF(R685="",Q686,Q686*0.2000000000+R685*0.8000000000))</f>
        <v>0</v>
      </c>
      <c r="S686">
        <f>IF(OR(Q686="",R686=""),"",Q686-R686)</f>
        <v>0</v>
      </c>
      <c r="T686">
        <f>IF(COUNT($E$2:$E686)&lt;14,"",MAX($C$673:$C$686))</f>
        <v>0</v>
      </c>
      <c r="U686">
        <f>IF(COUNT($E$2:$E686)&lt;14,"",MIN($D$673:$D$686))</f>
        <v>0</v>
      </c>
      <c r="V686">
        <f>IF(OR(T686="",U686="",T686=U686),"",100*($E686-U686)/(T686-U686))</f>
        <v>0</v>
      </c>
      <c r="W686">
        <f>IF(COUNT($V$684:$V$686)&lt;3,"",AVERAGE($V$684:$V$686))</f>
        <v>0</v>
      </c>
      <c r="X686">
        <f>IF(COUNT($N$673:$N$686)&lt;14,"",MIN($N$673:$N$686))</f>
        <v>0</v>
      </c>
      <c r="Y686">
        <f>IF(COUNT($N$673:$N$686)&lt;14,"",MAX($N$673:$N$686))</f>
        <v>0</v>
      </c>
      <c r="Z686">
        <f>IF(OR(N686="",X686="",Y686="",Y686=X686),"",100*(N686-X686)/(Y686-X686))</f>
        <v>0</v>
      </c>
      <c r="AA686">
        <f>IF(COUNT($Z$684:$Z$686)&lt;3,"",AVERAGE($Z$684:$Z$686))</f>
        <v>0</v>
      </c>
      <c r="AB686">
        <f>IF(COUNT($AA$684:$AA$686)&lt;3,"",AVERAGE($AA$684:$AA$686))</f>
        <v>0</v>
      </c>
      <c r="AC686">
        <f>IF($E686="","",MAX($C686-$D686,ABS($C686-$E685),ABS($D686-$E685)))</f>
        <v>0</v>
      </c>
      <c r="AD686">
        <f>IF(COUNT($E$2:$E686)&lt;15,"",AVERAGE($AC$673:$AC$686))</f>
        <v>0</v>
      </c>
      <c r="AE686">
        <f>IF(OR($E686="",$E685=""),"",IF(AND(($C686-$C685)&gt;($D685-$D686),($C686-$C685)&gt;0),$C686-$C685,0))</f>
        <v>0</v>
      </c>
      <c r="AF686">
        <f>IF(OR($E686="",$E685=""),"",IF(AND(($D685-$D686)&gt;($C686-$C685),($D685-$D686)&gt;0),$D685-$D686,0))</f>
        <v>0</v>
      </c>
      <c r="AG686">
        <f>IF(COUNT($E$2:$E686)&lt;15,"",IF(SUM($AC$673:$AC$686)=0,0,100*SUM($AE$673:$AE$686)/SUM($AC$673:$AC$686)))</f>
        <v>0</v>
      </c>
      <c r="AH686">
        <f>IF(COUNT($E$2:$E686)&lt;15,"",IF(SUM($AC$673:$AC$686)=0,0,100*SUM($AF$673:$AF$686)/SUM($AC$673:$AC$686)))</f>
        <v>0</v>
      </c>
      <c r="AI686">
        <f>IF(OR(AG686="",AH686=""),"",IF((AG686+AH686)=0,0,100*ABS(AG686-AH686)/(AG686+AH686)))</f>
        <v>0</v>
      </c>
      <c r="AJ686">
        <f>IF(COUNT($AI$673:$AI$686)&lt;14,"",AVERAGE($AI$673:$AI$686))</f>
        <v>0</v>
      </c>
      <c r="AK686">
        <f>IF(COUNT($E$2:$E686)&lt;20,"",AVERAGE($E$667:$E$686))</f>
        <v>0</v>
      </c>
      <c r="AL686">
        <f>IF(COUNT($E$2:$E686)&lt;20,"",STDEVP($E$667:$E$686))</f>
        <v>0</v>
      </c>
      <c r="AM686">
        <f>IF(AK686="","",AK686+2*AL686)</f>
        <v>0</v>
      </c>
      <c r="AN686">
        <f>IF(AK686="","",AK686-2*AL686)</f>
        <v>0</v>
      </c>
      <c r="AO686">
        <f>IF(OR(AM686="",AN686="",AM686=AN686),"",($E686-AN686)/(AM686-AN686))</f>
        <v>0</v>
      </c>
      <c r="AP686">
        <f>IF(OR(AM686="",AK686="",AK686=0),"",(AM686-AN686)/AK686)</f>
        <v>0</v>
      </c>
      <c r="AQ686">
        <f>IF(COUNT($E$2:$E686)&lt;20,"",MAX($C$667:$C$686))</f>
        <v>0</v>
      </c>
      <c r="AR686">
        <f>IF(COUNT($E$2:$E686)&lt;20,"",MIN($D$667:$D$686))</f>
        <v>0</v>
      </c>
      <c r="AS686">
        <f>IF(OR(AQ686="",AR686=""),"",(AQ686+AR686)/2)</f>
        <v>0</v>
      </c>
      <c r="AT686">
        <f>IF(COUNT($G$667:$G$686)&lt;20,"",STDEV($G$667:$G$686)*SQRT(252))</f>
        <v>0</v>
      </c>
      <c r="AU686">
        <f>IF(COUNT($E$2:$E686)&lt;9,"",(MAX($C$678:$C$686)+MIN($D$678:$D$686))/2)</f>
        <v>0</v>
      </c>
      <c r="AV686">
        <f>IF(COUNT($E$2:$E686)&lt;26,"",(MAX($C$661:$C$686)+MIN($D$661:$D$686))/2)</f>
        <v>0</v>
      </c>
      <c r="AW686">
        <f>IF(OR(AU686="",AV686=""),"",(AU686+AV686)/2)</f>
        <v>0</v>
      </c>
      <c r="AX686">
        <f>IF(COUNT($E$2:$E686)&lt;52,"",(MAX($C$635:$C$686)+MIN($D$635:$D$686))/2)</f>
        <v>0</v>
      </c>
      <c r="AY686">
        <f>IF(COUNT($E$2:$E686)&lt;20,"",MAX($C$587:$C$686))</f>
        <v>0</v>
      </c>
      <c r="AZ686">
        <f>IF(COUNT($E$2:$E686)&lt;20,"",MIN($D$587:$D$686))</f>
        <v>0</v>
      </c>
      <c r="BA686">
        <f>IF(COUNT($E$2:$E686)&lt;20,"",SLOPE($E$587:$E$686,$F$587:$F$686))</f>
        <v>0</v>
      </c>
      <c r="BB686">
        <f>IF(COUNT($E$2:$E686)&lt;20,"",INTERCEPT($E$587:$E$686,$F$587:$F$686))</f>
        <v>0</v>
      </c>
      <c r="BC686">
        <f>IF(OR(BA686="",BB686=""),"",BB686+BA686*F686)</f>
        <v>0</v>
      </c>
      <c r="BD686">
        <f>IF(COUNT($E$2:$E686)&lt;20,"",STEYX($E$587:$E$686,$F$587:$F$686))</f>
        <v>0</v>
      </c>
      <c r="BE686">
        <f>IF($E686="","",IF(AND(COUNT($E$687:$E$690)&gt;=4,$C686=MAX($C$682:$C$690)),$C686,""))</f>
        <v>0</v>
      </c>
      <c r="BF686">
        <f>IF($E686="","",IF(AND(COUNT($E$687:$E$690)&gt;=4,$D686=MIN($D$682:$D$690)),$D686,""))</f>
        <v>0</v>
      </c>
      <c r="BG686">
        <f>IF($A686="","",$A686-WEEKDAY($A686,2)+1)</f>
        <v>0</v>
      </c>
      <c r="BH686">
        <f>IF($A686="","",IF($A685="",1,IF(BG686&lt;&gt;BG685,1,0)))</f>
        <v>0</v>
      </c>
      <c r="BI686">
        <f>IF($A686="","",IF($A687="",1,IF(BG687&lt;&gt;BG686,1,0)))</f>
        <v>0</v>
      </c>
      <c r="BJ686">
        <f>IF($A686="","",IF(BH686=1,$B686,BJ685))</f>
        <v>0</v>
      </c>
      <c r="BK686">
        <f>IF($A686="","",IF(BH686=1,$C686,MAX($C686,BK685)))</f>
        <v>0</v>
      </c>
      <c r="BL686">
        <f>IF($A686="","",IF(BH686=1,$D686,MIN($D686,BL685)))</f>
        <v>0</v>
      </c>
      <c r="BM686">
        <f>IF($A686="","",IF(BI686=1,F686,""))</f>
        <v>0</v>
      </c>
      <c r="BN686">
        <f>IF($A686="","",DATE(YEAR($A686),MONTH($A686),1))</f>
        <v>0</v>
      </c>
      <c r="BO686">
        <f>IF($A686="","",IF($A685="",1,IF(BN686&lt;&gt;BN685,1,0)))</f>
        <v>0</v>
      </c>
      <c r="BP686">
        <f>IF($A686="","",IF($A687="",1,IF(BN687&lt;&gt;BN686,1,0)))</f>
        <v>0</v>
      </c>
      <c r="BQ686">
        <f>IF($A686="","",IF(BO686=1,$B686,BQ685))</f>
        <v>0</v>
      </c>
      <c r="BR686">
        <f>IF($A686="","",IF(BO686=1,$C686,MAX($C686,BR685)))</f>
        <v>0</v>
      </c>
      <c r="BS686">
        <f>IF($A686="","",IF(BO686=1,$D686,MIN($D686,BS685)))</f>
        <v>0</v>
      </c>
      <c r="BT686">
        <f>IF($A686="","",IF(BP686=1,F686,""))</f>
        <v>0</v>
      </c>
    </row>
    <row r="687" spans="1:72">
      <c r="A687" s="27">
        <f>IF(Data!$A687="","",Data!$A687)</f>
        <v>0</v>
      </c>
      <c r="B687">
        <f>IF(Data!$B687="","",Data!$B687)</f>
        <v>0</v>
      </c>
      <c r="C687">
        <f>IF(Data!$C687="","",Data!$C687)</f>
        <v>0</v>
      </c>
      <c r="D687">
        <f>IF(Data!$D687="","",Data!$D687)</f>
        <v>0</v>
      </c>
      <c r="E687">
        <f>IF(Data!$E687="","",Data!$E687)</f>
        <v>0</v>
      </c>
      <c r="F687">
        <f>IF($E687="","",N(F686)+1)</f>
        <v>0</v>
      </c>
      <c r="G687">
        <f>IF(OR($E687="",$E686=""),"",LN($E687/$E686))</f>
        <v>0</v>
      </c>
      <c r="H687">
        <f>IF($E687="","",IF($E686="",$E687,$E687*0.0952380952+H686*0.9047619048))</f>
        <v>0</v>
      </c>
      <c r="I687">
        <f>IF($E687="","",IF($E686="",$E687,$E687*0.0392156863+I686*0.9607843137))</f>
        <v>0</v>
      </c>
      <c r="J687">
        <f>IF($E687="","",IF($E686="",$E687,$E687*0.0198019802+J686*0.9801980198))</f>
        <v>0</v>
      </c>
      <c r="K687">
        <f>IF($E687="","",IF($E686="",$E687,$E687*0.0099502488+K686*0.9900497512))</f>
        <v>0</v>
      </c>
      <c r="L687">
        <f>IF(OR($E687="",$E686=""),"",MAX($E687-$E686,0))</f>
        <v>0</v>
      </c>
      <c r="M687">
        <f>IF(OR($E687="",$E686=""),"",MAX($E686-$E687,0))</f>
        <v>0</v>
      </c>
      <c r="N687">
        <f>IF(COUNT($E$2:$E687)&lt;15,"",IF(AVERAGE($M$674:$M$687)=0,100,100-100/(1+AVERAGE($L$674:$L$687)/AVERAGE($M$674:$M$687))))</f>
        <v>0</v>
      </c>
      <c r="O687">
        <f>IF($E687="","",IF($E686="",$E687,$E687*0.1538461538+O686*0.8461538462))</f>
        <v>0</v>
      </c>
      <c r="P687">
        <f>IF($E687="","",IF($E686="",$E687,$E687*0.0740740741+P686*0.9259259259))</f>
        <v>0</v>
      </c>
      <c r="Q687">
        <f>IF(OR(O687="",P687=""),"",O687-P687)</f>
        <v>0</v>
      </c>
      <c r="R687">
        <f>IF(Q687="","",IF(R686="",Q687,Q687*0.2000000000+R686*0.8000000000))</f>
        <v>0</v>
      </c>
      <c r="S687">
        <f>IF(OR(Q687="",R687=""),"",Q687-R687)</f>
        <v>0</v>
      </c>
      <c r="T687">
        <f>IF(COUNT($E$2:$E687)&lt;14,"",MAX($C$674:$C$687))</f>
        <v>0</v>
      </c>
      <c r="U687">
        <f>IF(COUNT($E$2:$E687)&lt;14,"",MIN($D$674:$D$687))</f>
        <v>0</v>
      </c>
      <c r="V687">
        <f>IF(OR(T687="",U687="",T687=U687),"",100*($E687-U687)/(T687-U687))</f>
        <v>0</v>
      </c>
      <c r="W687">
        <f>IF(COUNT($V$685:$V$687)&lt;3,"",AVERAGE($V$685:$V$687))</f>
        <v>0</v>
      </c>
      <c r="X687">
        <f>IF(COUNT($N$674:$N$687)&lt;14,"",MIN($N$674:$N$687))</f>
        <v>0</v>
      </c>
      <c r="Y687">
        <f>IF(COUNT($N$674:$N$687)&lt;14,"",MAX($N$674:$N$687))</f>
        <v>0</v>
      </c>
      <c r="Z687">
        <f>IF(OR(N687="",X687="",Y687="",Y687=X687),"",100*(N687-X687)/(Y687-X687))</f>
        <v>0</v>
      </c>
      <c r="AA687">
        <f>IF(COUNT($Z$685:$Z$687)&lt;3,"",AVERAGE($Z$685:$Z$687))</f>
        <v>0</v>
      </c>
      <c r="AB687">
        <f>IF(COUNT($AA$685:$AA$687)&lt;3,"",AVERAGE($AA$685:$AA$687))</f>
        <v>0</v>
      </c>
      <c r="AC687">
        <f>IF($E687="","",MAX($C687-$D687,ABS($C687-$E686),ABS($D687-$E686)))</f>
        <v>0</v>
      </c>
      <c r="AD687">
        <f>IF(COUNT($E$2:$E687)&lt;15,"",AVERAGE($AC$674:$AC$687))</f>
        <v>0</v>
      </c>
      <c r="AE687">
        <f>IF(OR($E687="",$E686=""),"",IF(AND(($C687-$C686)&gt;($D686-$D687),($C687-$C686)&gt;0),$C687-$C686,0))</f>
        <v>0</v>
      </c>
      <c r="AF687">
        <f>IF(OR($E687="",$E686=""),"",IF(AND(($D686-$D687)&gt;($C687-$C686),($D686-$D687)&gt;0),$D686-$D687,0))</f>
        <v>0</v>
      </c>
      <c r="AG687">
        <f>IF(COUNT($E$2:$E687)&lt;15,"",IF(SUM($AC$674:$AC$687)=0,0,100*SUM($AE$674:$AE$687)/SUM($AC$674:$AC$687)))</f>
        <v>0</v>
      </c>
      <c r="AH687">
        <f>IF(COUNT($E$2:$E687)&lt;15,"",IF(SUM($AC$674:$AC$687)=0,0,100*SUM($AF$674:$AF$687)/SUM($AC$674:$AC$687)))</f>
        <v>0</v>
      </c>
      <c r="AI687">
        <f>IF(OR(AG687="",AH687=""),"",IF((AG687+AH687)=0,0,100*ABS(AG687-AH687)/(AG687+AH687)))</f>
        <v>0</v>
      </c>
      <c r="AJ687">
        <f>IF(COUNT($AI$674:$AI$687)&lt;14,"",AVERAGE($AI$674:$AI$687))</f>
        <v>0</v>
      </c>
      <c r="AK687">
        <f>IF(COUNT($E$2:$E687)&lt;20,"",AVERAGE($E$668:$E$687))</f>
        <v>0</v>
      </c>
      <c r="AL687">
        <f>IF(COUNT($E$2:$E687)&lt;20,"",STDEVP($E$668:$E$687))</f>
        <v>0</v>
      </c>
      <c r="AM687">
        <f>IF(AK687="","",AK687+2*AL687)</f>
        <v>0</v>
      </c>
      <c r="AN687">
        <f>IF(AK687="","",AK687-2*AL687)</f>
        <v>0</v>
      </c>
      <c r="AO687">
        <f>IF(OR(AM687="",AN687="",AM687=AN687),"",($E687-AN687)/(AM687-AN687))</f>
        <v>0</v>
      </c>
      <c r="AP687">
        <f>IF(OR(AM687="",AK687="",AK687=0),"",(AM687-AN687)/AK687)</f>
        <v>0</v>
      </c>
      <c r="AQ687">
        <f>IF(COUNT($E$2:$E687)&lt;20,"",MAX($C$668:$C$687))</f>
        <v>0</v>
      </c>
      <c r="AR687">
        <f>IF(COUNT($E$2:$E687)&lt;20,"",MIN($D$668:$D$687))</f>
        <v>0</v>
      </c>
      <c r="AS687">
        <f>IF(OR(AQ687="",AR687=""),"",(AQ687+AR687)/2)</f>
        <v>0</v>
      </c>
      <c r="AT687">
        <f>IF(COUNT($G$668:$G$687)&lt;20,"",STDEV($G$668:$G$687)*SQRT(252))</f>
        <v>0</v>
      </c>
      <c r="AU687">
        <f>IF(COUNT($E$2:$E687)&lt;9,"",(MAX($C$679:$C$687)+MIN($D$679:$D$687))/2)</f>
        <v>0</v>
      </c>
      <c r="AV687">
        <f>IF(COUNT($E$2:$E687)&lt;26,"",(MAX($C$662:$C$687)+MIN($D$662:$D$687))/2)</f>
        <v>0</v>
      </c>
      <c r="AW687">
        <f>IF(OR(AU687="",AV687=""),"",(AU687+AV687)/2)</f>
        <v>0</v>
      </c>
      <c r="AX687">
        <f>IF(COUNT($E$2:$E687)&lt;52,"",(MAX($C$636:$C$687)+MIN($D$636:$D$687))/2)</f>
        <v>0</v>
      </c>
      <c r="AY687">
        <f>IF(COUNT($E$2:$E687)&lt;20,"",MAX($C$588:$C$687))</f>
        <v>0</v>
      </c>
      <c r="AZ687">
        <f>IF(COUNT($E$2:$E687)&lt;20,"",MIN($D$588:$D$687))</f>
        <v>0</v>
      </c>
      <c r="BA687">
        <f>IF(COUNT($E$2:$E687)&lt;20,"",SLOPE($E$588:$E$687,$F$588:$F$687))</f>
        <v>0</v>
      </c>
      <c r="BB687">
        <f>IF(COUNT($E$2:$E687)&lt;20,"",INTERCEPT($E$588:$E$687,$F$588:$F$687))</f>
        <v>0</v>
      </c>
      <c r="BC687">
        <f>IF(OR(BA687="",BB687=""),"",BB687+BA687*F687)</f>
        <v>0</v>
      </c>
      <c r="BD687">
        <f>IF(COUNT($E$2:$E687)&lt;20,"",STEYX($E$588:$E$687,$F$588:$F$687))</f>
        <v>0</v>
      </c>
      <c r="BE687">
        <f>IF($E687="","",IF(AND(COUNT($E$688:$E$691)&gt;=4,$C687=MAX($C$683:$C$691)),$C687,""))</f>
        <v>0</v>
      </c>
      <c r="BF687">
        <f>IF($E687="","",IF(AND(COUNT($E$688:$E$691)&gt;=4,$D687=MIN($D$683:$D$691)),$D687,""))</f>
        <v>0</v>
      </c>
      <c r="BG687">
        <f>IF($A687="","",$A687-WEEKDAY($A687,2)+1)</f>
        <v>0</v>
      </c>
      <c r="BH687">
        <f>IF($A687="","",IF($A686="",1,IF(BG687&lt;&gt;BG686,1,0)))</f>
        <v>0</v>
      </c>
      <c r="BI687">
        <f>IF($A687="","",IF($A688="",1,IF(BG688&lt;&gt;BG687,1,0)))</f>
        <v>0</v>
      </c>
      <c r="BJ687">
        <f>IF($A687="","",IF(BH687=1,$B687,BJ686))</f>
        <v>0</v>
      </c>
      <c r="BK687">
        <f>IF($A687="","",IF(BH687=1,$C687,MAX($C687,BK686)))</f>
        <v>0</v>
      </c>
      <c r="BL687">
        <f>IF($A687="","",IF(BH687=1,$D687,MIN($D687,BL686)))</f>
        <v>0</v>
      </c>
      <c r="BM687">
        <f>IF($A687="","",IF(BI687=1,F687,""))</f>
        <v>0</v>
      </c>
      <c r="BN687">
        <f>IF($A687="","",DATE(YEAR($A687),MONTH($A687),1))</f>
        <v>0</v>
      </c>
      <c r="BO687">
        <f>IF($A687="","",IF($A686="",1,IF(BN687&lt;&gt;BN686,1,0)))</f>
        <v>0</v>
      </c>
      <c r="BP687">
        <f>IF($A687="","",IF($A688="",1,IF(BN688&lt;&gt;BN687,1,0)))</f>
        <v>0</v>
      </c>
      <c r="BQ687">
        <f>IF($A687="","",IF(BO687=1,$B687,BQ686))</f>
        <v>0</v>
      </c>
      <c r="BR687">
        <f>IF($A687="","",IF(BO687=1,$C687,MAX($C687,BR686)))</f>
        <v>0</v>
      </c>
      <c r="BS687">
        <f>IF($A687="","",IF(BO687=1,$D687,MIN($D687,BS686)))</f>
        <v>0</v>
      </c>
      <c r="BT687">
        <f>IF($A687="","",IF(BP687=1,F687,""))</f>
        <v>0</v>
      </c>
    </row>
    <row r="688" spans="1:72">
      <c r="A688" s="27">
        <f>IF(Data!$A688="","",Data!$A688)</f>
        <v>0</v>
      </c>
      <c r="B688">
        <f>IF(Data!$B688="","",Data!$B688)</f>
        <v>0</v>
      </c>
      <c r="C688">
        <f>IF(Data!$C688="","",Data!$C688)</f>
        <v>0</v>
      </c>
      <c r="D688">
        <f>IF(Data!$D688="","",Data!$D688)</f>
        <v>0</v>
      </c>
      <c r="E688">
        <f>IF(Data!$E688="","",Data!$E688)</f>
        <v>0</v>
      </c>
      <c r="F688">
        <f>IF($E688="","",N(F687)+1)</f>
        <v>0</v>
      </c>
      <c r="G688">
        <f>IF(OR($E688="",$E687=""),"",LN($E688/$E687))</f>
        <v>0</v>
      </c>
      <c r="H688">
        <f>IF($E688="","",IF($E687="",$E688,$E688*0.0952380952+H687*0.9047619048))</f>
        <v>0</v>
      </c>
      <c r="I688">
        <f>IF($E688="","",IF($E687="",$E688,$E688*0.0392156863+I687*0.9607843137))</f>
        <v>0</v>
      </c>
      <c r="J688">
        <f>IF($E688="","",IF($E687="",$E688,$E688*0.0198019802+J687*0.9801980198))</f>
        <v>0</v>
      </c>
      <c r="K688">
        <f>IF($E688="","",IF($E687="",$E688,$E688*0.0099502488+K687*0.9900497512))</f>
        <v>0</v>
      </c>
      <c r="L688">
        <f>IF(OR($E688="",$E687=""),"",MAX($E688-$E687,0))</f>
        <v>0</v>
      </c>
      <c r="M688">
        <f>IF(OR($E688="",$E687=""),"",MAX($E687-$E688,0))</f>
        <v>0</v>
      </c>
      <c r="N688">
        <f>IF(COUNT($E$2:$E688)&lt;15,"",IF(AVERAGE($M$675:$M$688)=0,100,100-100/(1+AVERAGE($L$675:$L$688)/AVERAGE($M$675:$M$688))))</f>
        <v>0</v>
      </c>
      <c r="O688">
        <f>IF($E688="","",IF($E687="",$E688,$E688*0.1538461538+O687*0.8461538462))</f>
        <v>0</v>
      </c>
      <c r="P688">
        <f>IF($E688="","",IF($E687="",$E688,$E688*0.0740740741+P687*0.9259259259))</f>
        <v>0</v>
      </c>
      <c r="Q688">
        <f>IF(OR(O688="",P688=""),"",O688-P688)</f>
        <v>0</v>
      </c>
      <c r="R688">
        <f>IF(Q688="","",IF(R687="",Q688,Q688*0.2000000000+R687*0.8000000000))</f>
        <v>0</v>
      </c>
      <c r="S688">
        <f>IF(OR(Q688="",R688=""),"",Q688-R688)</f>
        <v>0</v>
      </c>
      <c r="T688">
        <f>IF(COUNT($E$2:$E688)&lt;14,"",MAX($C$675:$C$688))</f>
        <v>0</v>
      </c>
      <c r="U688">
        <f>IF(COUNT($E$2:$E688)&lt;14,"",MIN($D$675:$D$688))</f>
        <v>0</v>
      </c>
      <c r="V688">
        <f>IF(OR(T688="",U688="",T688=U688),"",100*($E688-U688)/(T688-U688))</f>
        <v>0</v>
      </c>
      <c r="W688">
        <f>IF(COUNT($V$686:$V$688)&lt;3,"",AVERAGE($V$686:$V$688))</f>
        <v>0</v>
      </c>
      <c r="X688">
        <f>IF(COUNT($N$675:$N$688)&lt;14,"",MIN($N$675:$N$688))</f>
        <v>0</v>
      </c>
      <c r="Y688">
        <f>IF(COUNT($N$675:$N$688)&lt;14,"",MAX($N$675:$N$688))</f>
        <v>0</v>
      </c>
      <c r="Z688">
        <f>IF(OR(N688="",X688="",Y688="",Y688=X688),"",100*(N688-X688)/(Y688-X688))</f>
        <v>0</v>
      </c>
      <c r="AA688">
        <f>IF(COUNT($Z$686:$Z$688)&lt;3,"",AVERAGE($Z$686:$Z$688))</f>
        <v>0</v>
      </c>
      <c r="AB688">
        <f>IF(COUNT($AA$686:$AA$688)&lt;3,"",AVERAGE($AA$686:$AA$688))</f>
        <v>0</v>
      </c>
      <c r="AC688">
        <f>IF($E688="","",MAX($C688-$D688,ABS($C688-$E687),ABS($D688-$E687)))</f>
        <v>0</v>
      </c>
      <c r="AD688">
        <f>IF(COUNT($E$2:$E688)&lt;15,"",AVERAGE($AC$675:$AC$688))</f>
        <v>0</v>
      </c>
      <c r="AE688">
        <f>IF(OR($E688="",$E687=""),"",IF(AND(($C688-$C687)&gt;($D687-$D688),($C688-$C687)&gt;0),$C688-$C687,0))</f>
        <v>0</v>
      </c>
      <c r="AF688">
        <f>IF(OR($E688="",$E687=""),"",IF(AND(($D687-$D688)&gt;($C688-$C687),($D687-$D688)&gt;0),$D687-$D688,0))</f>
        <v>0</v>
      </c>
      <c r="AG688">
        <f>IF(COUNT($E$2:$E688)&lt;15,"",IF(SUM($AC$675:$AC$688)=0,0,100*SUM($AE$675:$AE$688)/SUM($AC$675:$AC$688)))</f>
        <v>0</v>
      </c>
      <c r="AH688">
        <f>IF(COUNT($E$2:$E688)&lt;15,"",IF(SUM($AC$675:$AC$688)=0,0,100*SUM($AF$675:$AF$688)/SUM($AC$675:$AC$688)))</f>
        <v>0</v>
      </c>
      <c r="AI688">
        <f>IF(OR(AG688="",AH688=""),"",IF((AG688+AH688)=0,0,100*ABS(AG688-AH688)/(AG688+AH688)))</f>
        <v>0</v>
      </c>
      <c r="AJ688">
        <f>IF(COUNT($AI$675:$AI$688)&lt;14,"",AVERAGE($AI$675:$AI$688))</f>
        <v>0</v>
      </c>
      <c r="AK688">
        <f>IF(COUNT($E$2:$E688)&lt;20,"",AVERAGE($E$669:$E$688))</f>
        <v>0</v>
      </c>
      <c r="AL688">
        <f>IF(COUNT($E$2:$E688)&lt;20,"",STDEVP($E$669:$E$688))</f>
        <v>0</v>
      </c>
      <c r="AM688">
        <f>IF(AK688="","",AK688+2*AL688)</f>
        <v>0</v>
      </c>
      <c r="AN688">
        <f>IF(AK688="","",AK688-2*AL688)</f>
        <v>0</v>
      </c>
      <c r="AO688">
        <f>IF(OR(AM688="",AN688="",AM688=AN688),"",($E688-AN688)/(AM688-AN688))</f>
        <v>0</v>
      </c>
      <c r="AP688">
        <f>IF(OR(AM688="",AK688="",AK688=0),"",(AM688-AN688)/AK688)</f>
        <v>0</v>
      </c>
      <c r="AQ688">
        <f>IF(COUNT($E$2:$E688)&lt;20,"",MAX($C$669:$C$688))</f>
        <v>0</v>
      </c>
      <c r="AR688">
        <f>IF(COUNT($E$2:$E688)&lt;20,"",MIN($D$669:$D$688))</f>
        <v>0</v>
      </c>
      <c r="AS688">
        <f>IF(OR(AQ688="",AR688=""),"",(AQ688+AR688)/2)</f>
        <v>0</v>
      </c>
      <c r="AT688">
        <f>IF(COUNT($G$669:$G$688)&lt;20,"",STDEV($G$669:$G$688)*SQRT(252))</f>
        <v>0</v>
      </c>
      <c r="AU688">
        <f>IF(COUNT($E$2:$E688)&lt;9,"",(MAX($C$680:$C$688)+MIN($D$680:$D$688))/2)</f>
        <v>0</v>
      </c>
      <c r="AV688">
        <f>IF(COUNT($E$2:$E688)&lt;26,"",(MAX($C$663:$C$688)+MIN($D$663:$D$688))/2)</f>
        <v>0</v>
      </c>
      <c r="AW688">
        <f>IF(OR(AU688="",AV688=""),"",(AU688+AV688)/2)</f>
        <v>0</v>
      </c>
      <c r="AX688">
        <f>IF(COUNT($E$2:$E688)&lt;52,"",(MAX($C$637:$C$688)+MIN($D$637:$D$688))/2)</f>
        <v>0</v>
      </c>
      <c r="AY688">
        <f>IF(COUNT($E$2:$E688)&lt;20,"",MAX($C$589:$C$688))</f>
        <v>0</v>
      </c>
      <c r="AZ688">
        <f>IF(COUNT($E$2:$E688)&lt;20,"",MIN($D$589:$D$688))</f>
        <v>0</v>
      </c>
      <c r="BA688">
        <f>IF(COUNT($E$2:$E688)&lt;20,"",SLOPE($E$589:$E$688,$F$589:$F$688))</f>
        <v>0</v>
      </c>
      <c r="BB688">
        <f>IF(COUNT($E$2:$E688)&lt;20,"",INTERCEPT($E$589:$E$688,$F$589:$F$688))</f>
        <v>0</v>
      </c>
      <c r="BC688">
        <f>IF(OR(BA688="",BB688=""),"",BB688+BA688*F688)</f>
        <v>0</v>
      </c>
      <c r="BD688">
        <f>IF(COUNT($E$2:$E688)&lt;20,"",STEYX($E$589:$E$688,$F$589:$F$688))</f>
        <v>0</v>
      </c>
      <c r="BE688">
        <f>IF($E688="","",IF(AND(COUNT($E$689:$E$692)&gt;=4,$C688=MAX($C$684:$C$692)),$C688,""))</f>
        <v>0</v>
      </c>
      <c r="BF688">
        <f>IF($E688="","",IF(AND(COUNT($E$689:$E$692)&gt;=4,$D688=MIN($D$684:$D$692)),$D688,""))</f>
        <v>0</v>
      </c>
      <c r="BG688">
        <f>IF($A688="","",$A688-WEEKDAY($A688,2)+1)</f>
        <v>0</v>
      </c>
      <c r="BH688">
        <f>IF($A688="","",IF($A687="",1,IF(BG688&lt;&gt;BG687,1,0)))</f>
        <v>0</v>
      </c>
      <c r="BI688">
        <f>IF($A688="","",IF($A689="",1,IF(BG689&lt;&gt;BG688,1,0)))</f>
        <v>0</v>
      </c>
      <c r="BJ688">
        <f>IF($A688="","",IF(BH688=1,$B688,BJ687))</f>
        <v>0</v>
      </c>
      <c r="BK688">
        <f>IF($A688="","",IF(BH688=1,$C688,MAX($C688,BK687)))</f>
        <v>0</v>
      </c>
      <c r="BL688">
        <f>IF($A688="","",IF(BH688=1,$D688,MIN($D688,BL687)))</f>
        <v>0</v>
      </c>
      <c r="BM688">
        <f>IF($A688="","",IF(BI688=1,F688,""))</f>
        <v>0</v>
      </c>
      <c r="BN688">
        <f>IF($A688="","",DATE(YEAR($A688),MONTH($A688),1))</f>
        <v>0</v>
      </c>
      <c r="BO688">
        <f>IF($A688="","",IF($A687="",1,IF(BN688&lt;&gt;BN687,1,0)))</f>
        <v>0</v>
      </c>
      <c r="BP688">
        <f>IF($A688="","",IF($A689="",1,IF(BN689&lt;&gt;BN688,1,0)))</f>
        <v>0</v>
      </c>
      <c r="BQ688">
        <f>IF($A688="","",IF(BO688=1,$B688,BQ687))</f>
        <v>0</v>
      </c>
      <c r="BR688">
        <f>IF($A688="","",IF(BO688=1,$C688,MAX($C688,BR687)))</f>
        <v>0</v>
      </c>
      <c r="BS688">
        <f>IF($A688="","",IF(BO688=1,$D688,MIN($D688,BS687)))</f>
        <v>0</v>
      </c>
      <c r="BT688">
        <f>IF($A688="","",IF(BP688=1,F688,""))</f>
        <v>0</v>
      </c>
    </row>
    <row r="689" spans="1:72">
      <c r="A689" s="27">
        <f>IF(Data!$A689="","",Data!$A689)</f>
        <v>0</v>
      </c>
      <c r="B689">
        <f>IF(Data!$B689="","",Data!$B689)</f>
        <v>0</v>
      </c>
      <c r="C689">
        <f>IF(Data!$C689="","",Data!$C689)</f>
        <v>0</v>
      </c>
      <c r="D689">
        <f>IF(Data!$D689="","",Data!$D689)</f>
        <v>0</v>
      </c>
      <c r="E689">
        <f>IF(Data!$E689="","",Data!$E689)</f>
        <v>0</v>
      </c>
      <c r="F689">
        <f>IF($E689="","",N(F688)+1)</f>
        <v>0</v>
      </c>
      <c r="G689">
        <f>IF(OR($E689="",$E688=""),"",LN($E689/$E688))</f>
        <v>0</v>
      </c>
      <c r="H689">
        <f>IF($E689="","",IF($E688="",$E689,$E689*0.0952380952+H688*0.9047619048))</f>
        <v>0</v>
      </c>
      <c r="I689">
        <f>IF($E689="","",IF($E688="",$E689,$E689*0.0392156863+I688*0.9607843137))</f>
        <v>0</v>
      </c>
      <c r="J689">
        <f>IF($E689="","",IF($E688="",$E689,$E689*0.0198019802+J688*0.9801980198))</f>
        <v>0</v>
      </c>
      <c r="K689">
        <f>IF($E689="","",IF($E688="",$E689,$E689*0.0099502488+K688*0.9900497512))</f>
        <v>0</v>
      </c>
      <c r="L689">
        <f>IF(OR($E689="",$E688=""),"",MAX($E689-$E688,0))</f>
        <v>0</v>
      </c>
      <c r="M689">
        <f>IF(OR($E689="",$E688=""),"",MAX($E688-$E689,0))</f>
        <v>0</v>
      </c>
      <c r="N689">
        <f>IF(COUNT($E$2:$E689)&lt;15,"",IF(AVERAGE($M$676:$M$689)=0,100,100-100/(1+AVERAGE($L$676:$L$689)/AVERAGE($M$676:$M$689))))</f>
        <v>0</v>
      </c>
      <c r="O689">
        <f>IF($E689="","",IF($E688="",$E689,$E689*0.1538461538+O688*0.8461538462))</f>
        <v>0</v>
      </c>
      <c r="P689">
        <f>IF($E689="","",IF($E688="",$E689,$E689*0.0740740741+P688*0.9259259259))</f>
        <v>0</v>
      </c>
      <c r="Q689">
        <f>IF(OR(O689="",P689=""),"",O689-P689)</f>
        <v>0</v>
      </c>
      <c r="R689">
        <f>IF(Q689="","",IF(R688="",Q689,Q689*0.2000000000+R688*0.8000000000))</f>
        <v>0</v>
      </c>
      <c r="S689">
        <f>IF(OR(Q689="",R689=""),"",Q689-R689)</f>
        <v>0</v>
      </c>
      <c r="T689">
        <f>IF(COUNT($E$2:$E689)&lt;14,"",MAX($C$676:$C$689))</f>
        <v>0</v>
      </c>
      <c r="U689">
        <f>IF(COUNT($E$2:$E689)&lt;14,"",MIN($D$676:$D$689))</f>
        <v>0</v>
      </c>
      <c r="V689">
        <f>IF(OR(T689="",U689="",T689=U689),"",100*($E689-U689)/(T689-U689))</f>
        <v>0</v>
      </c>
      <c r="W689">
        <f>IF(COUNT($V$687:$V$689)&lt;3,"",AVERAGE($V$687:$V$689))</f>
        <v>0</v>
      </c>
      <c r="X689">
        <f>IF(COUNT($N$676:$N$689)&lt;14,"",MIN($N$676:$N$689))</f>
        <v>0</v>
      </c>
      <c r="Y689">
        <f>IF(COUNT($N$676:$N$689)&lt;14,"",MAX($N$676:$N$689))</f>
        <v>0</v>
      </c>
      <c r="Z689">
        <f>IF(OR(N689="",X689="",Y689="",Y689=X689),"",100*(N689-X689)/(Y689-X689))</f>
        <v>0</v>
      </c>
      <c r="AA689">
        <f>IF(COUNT($Z$687:$Z$689)&lt;3,"",AVERAGE($Z$687:$Z$689))</f>
        <v>0</v>
      </c>
      <c r="AB689">
        <f>IF(COUNT($AA$687:$AA$689)&lt;3,"",AVERAGE($AA$687:$AA$689))</f>
        <v>0</v>
      </c>
      <c r="AC689">
        <f>IF($E689="","",MAX($C689-$D689,ABS($C689-$E688),ABS($D689-$E688)))</f>
        <v>0</v>
      </c>
      <c r="AD689">
        <f>IF(COUNT($E$2:$E689)&lt;15,"",AVERAGE($AC$676:$AC$689))</f>
        <v>0</v>
      </c>
      <c r="AE689">
        <f>IF(OR($E689="",$E688=""),"",IF(AND(($C689-$C688)&gt;($D688-$D689),($C689-$C688)&gt;0),$C689-$C688,0))</f>
        <v>0</v>
      </c>
      <c r="AF689">
        <f>IF(OR($E689="",$E688=""),"",IF(AND(($D688-$D689)&gt;($C689-$C688),($D688-$D689)&gt;0),$D688-$D689,0))</f>
        <v>0</v>
      </c>
      <c r="AG689">
        <f>IF(COUNT($E$2:$E689)&lt;15,"",IF(SUM($AC$676:$AC$689)=0,0,100*SUM($AE$676:$AE$689)/SUM($AC$676:$AC$689)))</f>
        <v>0</v>
      </c>
      <c r="AH689">
        <f>IF(COUNT($E$2:$E689)&lt;15,"",IF(SUM($AC$676:$AC$689)=0,0,100*SUM($AF$676:$AF$689)/SUM($AC$676:$AC$689)))</f>
        <v>0</v>
      </c>
      <c r="AI689">
        <f>IF(OR(AG689="",AH689=""),"",IF((AG689+AH689)=0,0,100*ABS(AG689-AH689)/(AG689+AH689)))</f>
        <v>0</v>
      </c>
      <c r="AJ689">
        <f>IF(COUNT($AI$676:$AI$689)&lt;14,"",AVERAGE($AI$676:$AI$689))</f>
        <v>0</v>
      </c>
      <c r="AK689">
        <f>IF(COUNT($E$2:$E689)&lt;20,"",AVERAGE($E$670:$E$689))</f>
        <v>0</v>
      </c>
      <c r="AL689">
        <f>IF(COUNT($E$2:$E689)&lt;20,"",STDEVP($E$670:$E$689))</f>
        <v>0</v>
      </c>
      <c r="AM689">
        <f>IF(AK689="","",AK689+2*AL689)</f>
        <v>0</v>
      </c>
      <c r="AN689">
        <f>IF(AK689="","",AK689-2*AL689)</f>
        <v>0</v>
      </c>
      <c r="AO689">
        <f>IF(OR(AM689="",AN689="",AM689=AN689),"",($E689-AN689)/(AM689-AN689))</f>
        <v>0</v>
      </c>
      <c r="AP689">
        <f>IF(OR(AM689="",AK689="",AK689=0),"",(AM689-AN689)/AK689)</f>
        <v>0</v>
      </c>
      <c r="AQ689">
        <f>IF(COUNT($E$2:$E689)&lt;20,"",MAX($C$670:$C$689))</f>
        <v>0</v>
      </c>
      <c r="AR689">
        <f>IF(COUNT($E$2:$E689)&lt;20,"",MIN($D$670:$D$689))</f>
        <v>0</v>
      </c>
      <c r="AS689">
        <f>IF(OR(AQ689="",AR689=""),"",(AQ689+AR689)/2)</f>
        <v>0</v>
      </c>
      <c r="AT689">
        <f>IF(COUNT($G$670:$G$689)&lt;20,"",STDEV($G$670:$G$689)*SQRT(252))</f>
        <v>0</v>
      </c>
      <c r="AU689">
        <f>IF(COUNT($E$2:$E689)&lt;9,"",(MAX($C$681:$C$689)+MIN($D$681:$D$689))/2)</f>
        <v>0</v>
      </c>
      <c r="AV689">
        <f>IF(COUNT($E$2:$E689)&lt;26,"",(MAX($C$664:$C$689)+MIN($D$664:$D$689))/2)</f>
        <v>0</v>
      </c>
      <c r="AW689">
        <f>IF(OR(AU689="",AV689=""),"",(AU689+AV689)/2)</f>
        <v>0</v>
      </c>
      <c r="AX689">
        <f>IF(COUNT($E$2:$E689)&lt;52,"",(MAX($C$638:$C$689)+MIN($D$638:$D$689))/2)</f>
        <v>0</v>
      </c>
      <c r="AY689">
        <f>IF(COUNT($E$2:$E689)&lt;20,"",MAX($C$590:$C$689))</f>
        <v>0</v>
      </c>
      <c r="AZ689">
        <f>IF(COUNT($E$2:$E689)&lt;20,"",MIN($D$590:$D$689))</f>
        <v>0</v>
      </c>
      <c r="BA689">
        <f>IF(COUNT($E$2:$E689)&lt;20,"",SLOPE($E$590:$E$689,$F$590:$F$689))</f>
        <v>0</v>
      </c>
      <c r="BB689">
        <f>IF(COUNT($E$2:$E689)&lt;20,"",INTERCEPT($E$590:$E$689,$F$590:$F$689))</f>
        <v>0</v>
      </c>
      <c r="BC689">
        <f>IF(OR(BA689="",BB689=""),"",BB689+BA689*F689)</f>
        <v>0</v>
      </c>
      <c r="BD689">
        <f>IF(COUNT($E$2:$E689)&lt;20,"",STEYX($E$590:$E$689,$F$590:$F$689))</f>
        <v>0</v>
      </c>
      <c r="BE689">
        <f>IF($E689="","",IF(AND(COUNT($E$690:$E$693)&gt;=4,$C689=MAX($C$685:$C$693)),$C689,""))</f>
        <v>0</v>
      </c>
      <c r="BF689">
        <f>IF($E689="","",IF(AND(COUNT($E$690:$E$693)&gt;=4,$D689=MIN($D$685:$D$693)),$D689,""))</f>
        <v>0</v>
      </c>
      <c r="BG689">
        <f>IF($A689="","",$A689-WEEKDAY($A689,2)+1)</f>
        <v>0</v>
      </c>
      <c r="BH689">
        <f>IF($A689="","",IF($A688="",1,IF(BG689&lt;&gt;BG688,1,0)))</f>
        <v>0</v>
      </c>
      <c r="BI689">
        <f>IF($A689="","",IF($A690="",1,IF(BG690&lt;&gt;BG689,1,0)))</f>
        <v>0</v>
      </c>
      <c r="BJ689">
        <f>IF($A689="","",IF(BH689=1,$B689,BJ688))</f>
        <v>0</v>
      </c>
      <c r="BK689">
        <f>IF($A689="","",IF(BH689=1,$C689,MAX($C689,BK688)))</f>
        <v>0</v>
      </c>
      <c r="BL689">
        <f>IF($A689="","",IF(BH689=1,$D689,MIN($D689,BL688)))</f>
        <v>0</v>
      </c>
      <c r="BM689">
        <f>IF($A689="","",IF(BI689=1,F689,""))</f>
        <v>0</v>
      </c>
      <c r="BN689">
        <f>IF($A689="","",DATE(YEAR($A689),MONTH($A689),1))</f>
        <v>0</v>
      </c>
      <c r="BO689">
        <f>IF($A689="","",IF($A688="",1,IF(BN689&lt;&gt;BN688,1,0)))</f>
        <v>0</v>
      </c>
      <c r="BP689">
        <f>IF($A689="","",IF($A690="",1,IF(BN690&lt;&gt;BN689,1,0)))</f>
        <v>0</v>
      </c>
      <c r="BQ689">
        <f>IF($A689="","",IF(BO689=1,$B689,BQ688))</f>
        <v>0</v>
      </c>
      <c r="BR689">
        <f>IF($A689="","",IF(BO689=1,$C689,MAX($C689,BR688)))</f>
        <v>0</v>
      </c>
      <c r="BS689">
        <f>IF($A689="","",IF(BO689=1,$D689,MIN($D689,BS688)))</f>
        <v>0</v>
      </c>
      <c r="BT689">
        <f>IF($A689="","",IF(BP689=1,F689,""))</f>
        <v>0</v>
      </c>
    </row>
    <row r="690" spans="1:72">
      <c r="A690" s="27">
        <f>IF(Data!$A690="","",Data!$A690)</f>
        <v>0</v>
      </c>
      <c r="B690">
        <f>IF(Data!$B690="","",Data!$B690)</f>
        <v>0</v>
      </c>
      <c r="C690">
        <f>IF(Data!$C690="","",Data!$C690)</f>
        <v>0</v>
      </c>
      <c r="D690">
        <f>IF(Data!$D690="","",Data!$D690)</f>
        <v>0</v>
      </c>
      <c r="E690">
        <f>IF(Data!$E690="","",Data!$E690)</f>
        <v>0</v>
      </c>
      <c r="F690">
        <f>IF($E690="","",N(F689)+1)</f>
        <v>0</v>
      </c>
      <c r="G690">
        <f>IF(OR($E690="",$E689=""),"",LN($E690/$E689))</f>
        <v>0</v>
      </c>
      <c r="H690">
        <f>IF($E690="","",IF($E689="",$E690,$E690*0.0952380952+H689*0.9047619048))</f>
        <v>0</v>
      </c>
      <c r="I690">
        <f>IF($E690="","",IF($E689="",$E690,$E690*0.0392156863+I689*0.9607843137))</f>
        <v>0</v>
      </c>
      <c r="J690">
        <f>IF($E690="","",IF($E689="",$E690,$E690*0.0198019802+J689*0.9801980198))</f>
        <v>0</v>
      </c>
      <c r="K690">
        <f>IF($E690="","",IF($E689="",$E690,$E690*0.0099502488+K689*0.9900497512))</f>
        <v>0</v>
      </c>
      <c r="L690">
        <f>IF(OR($E690="",$E689=""),"",MAX($E690-$E689,0))</f>
        <v>0</v>
      </c>
      <c r="M690">
        <f>IF(OR($E690="",$E689=""),"",MAX($E689-$E690,0))</f>
        <v>0</v>
      </c>
      <c r="N690">
        <f>IF(COUNT($E$2:$E690)&lt;15,"",IF(AVERAGE($M$677:$M$690)=0,100,100-100/(1+AVERAGE($L$677:$L$690)/AVERAGE($M$677:$M$690))))</f>
        <v>0</v>
      </c>
      <c r="O690">
        <f>IF($E690="","",IF($E689="",$E690,$E690*0.1538461538+O689*0.8461538462))</f>
        <v>0</v>
      </c>
      <c r="P690">
        <f>IF($E690="","",IF($E689="",$E690,$E690*0.0740740741+P689*0.9259259259))</f>
        <v>0</v>
      </c>
      <c r="Q690">
        <f>IF(OR(O690="",P690=""),"",O690-P690)</f>
        <v>0</v>
      </c>
      <c r="R690">
        <f>IF(Q690="","",IF(R689="",Q690,Q690*0.2000000000+R689*0.8000000000))</f>
        <v>0</v>
      </c>
      <c r="S690">
        <f>IF(OR(Q690="",R690=""),"",Q690-R690)</f>
        <v>0</v>
      </c>
      <c r="T690">
        <f>IF(COUNT($E$2:$E690)&lt;14,"",MAX($C$677:$C$690))</f>
        <v>0</v>
      </c>
      <c r="U690">
        <f>IF(COUNT($E$2:$E690)&lt;14,"",MIN($D$677:$D$690))</f>
        <v>0</v>
      </c>
      <c r="V690">
        <f>IF(OR(T690="",U690="",T690=U690),"",100*($E690-U690)/(T690-U690))</f>
        <v>0</v>
      </c>
      <c r="W690">
        <f>IF(COUNT($V$688:$V$690)&lt;3,"",AVERAGE($V$688:$V$690))</f>
        <v>0</v>
      </c>
      <c r="X690">
        <f>IF(COUNT($N$677:$N$690)&lt;14,"",MIN($N$677:$N$690))</f>
        <v>0</v>
      </c>
      <c r="Y690">
        <f>IF(COUNT($N$677:$N$690)&lt;14,"",MAX($N$677:$N$690))</f>
        <v>0</v>
      </c>
      <c r="Z690">
        <f>IF(OR(N690="",X690="",Y690="",Y690=X690),"",100*(N690-X690)/(Y690-X690))</f>
        <v>0</v>
      </c>
      <c r="AA690">
        <f>IF(COUNT($Z$688:$Z$690)&lt;3,"",AVERAGE($Z$688:$Z$690))</f>
        <v>0</v>
      </c>
      <c r="AB690">
        <f>IF(COUNT($AA$688:$AA$690)&lt;3,"",AVERAGE($AA$688:$AA$690))</f>
        <v>0</v>
      </c>
      <c r="AC690">
        <f>IF($E690="","",MAX($C690-$D690,ABS($C690-$E689),ABS($D690-$E689)))</f>
        <v>0</v>
      </c>
      <c r="AD690">
        <f>IF(COUNT($E$2:$E690)&lt;15,"",AVERAGE($AC$677:$AC$690))</f>
        <v>0</v>
      </c>
      <c r="AE690">
        <f>IF(OR($E690="",$E689=""),"",IF(AND(($C690-$C689)&gt;($D689-$D690),($C690-$C689)&gt;0),$C690-$C689,0))</f>
        <v>0</v>
      </c>
      <c r="AF690">
        <f>IF(OR($E690="",$E689=""),"",IF(AND(($D689-$D690)&gt;($C690-$C689),($D689-$D690)&gt;0),$D689-$D690,0))</f>
        <v>0</v>
      </c>
      <c r="AG690">
        <f>IF(COUNT($E$2:$E690)&lt;15,"",IF(SUM($AC$677:$AC$690)=0,0,100*SUM($AE$677:$AE$690)/SUM($AC$677:$AC$690)))</f>
        <v>0</v>
      </c>
      <c r="AH690">
        <f>IF(COUNT($E$2:$E690)&lt;15,"",IF(SUM($AC$677:$AC$690)=0,0,100*SUM($AF$677:$AF$690)/SUM($AC$677:$AC$690)))</f>
        <v>0</v>
      </c>
      <c r="AI690">
        <f>IF(OR(AG690="",AH690=""),"",IF((AG690+AH690)=0,0,100*ABS(AG690-AH690)/(AG690+AH690)))</f>
        <v>0</v>
      </c>
      <c r="AJ690">
        <f>IF(COUNT($AI$677:$AI$690)&lt;14,"",AVERAGE($AI$677:$AI$690))</f>
        <v>0</v>
      </c>
      <c r="AK690">
        <f>IF(COUNT($E$2:$E690)&lt;20,"",AVERAGE($E$671:$E$690))</f>
        <v>0</v>
      </c>
      <c r="AL690">
        <f>IF(COUNT($E$2:$E690)&lt;20,"",STDEVP($E$671:$E$690))</f>
        <v>0</v>
      </c>
      <c r="AM690">
        <f>IF(AK690="","",AK690+2*AL690)</f>
        <v>0</v>
      </c>
      <c r="AN690">
        <f>IF(AK690="","",AK690-2*AL690)</f>
        <v>0</v>
      </c>
      <c r="AO690">
        <f>IF(OR(AM690="",AN690="",AM690=AN690),"",($E690-AN690)/(AM690-AN690))</f>
        <v>0</v>
      </c>
      <c r="AP690">
        <f>IF(OR(AM690="",AK690="",AK690=0),"",(AM690-AN690)/AK690)</f>
        <v>0</v>
      </c>
      <c r="AQ690">
        <f>IF(COUNT($E$2:$E690)&lt;20,"",MAX($C$671:$C$690))</f>
        <v>0</v>
      </c>
      <c r="AR690">
        <f>IF(COUNT($E$2:$E690)&lt;20,"",MIN($D$671:$D$690))</f>
        <v>0</v>
      </c>
      <c r="AS690">
        <f>IF(OR(AQ690="",AR690=""),"",(AQ690+AR690)/2)</f>
        <v>0</v>
      </c>
      <c r="AT690">
        <f>IF(COUNT($G$671:$G$690)&lt;20,"",STDEV($G$671:$G$690)*SQRT(252))</f>
        <v>0</v>
      </c>
      <c r="AU690">
        <f>IF(COUNT($E$2:$E690)&lt;9,"",(MAX($C$682:$C$690)+MIN($D$682:$D$690))/2)</f>
        <v>0</v>
      </c>
      <c r="AV690">
        <f>IF(COUNT($E$2:$E690)&lt;26,"",(MAX($C$665:$C$690)+MIN($D$665:$D$690))/2)</f>
        <v>0</v>
      </c>
      <c r="AW690">
        <f>IF(OR(AU690="",AV690=""),"",(AU690+AV690)/2)</f>
        <v>0</v>
      </c>
      <c r="AX690">
        <f>IF(COUNT($E$2:$E690)&lt;52,"",(MAX($C$639:$C$690)+MIN($D$639:$D$690))/2)</f>
        <v>0</v>
      </c>
      <c r="AY690">
        <f>IF(COUNT($E$2:$E690)&lt;20,"",MAX($C$591:$C$690))</f>
        <v>0</v>
      </c>
      <c r="AZ690">
        <f>IF(COUNT($E$2:$E690)&lt;20,"",MIN($D$591:$D$690))</f>
        <v>0</v>
      </c>
      <c r="BA690">
        <f>IF(COUNT($E$2:$E690)&lt;20,"",SLOPE($E$591:$E$690,$F$591:$F$690))</f>
        <v>0</v>
      </c>
      <c r="BB690">
        <f>IF(COUNT($E$2:$E690)&lt;20,"",INTERCEPT($E$591:$E$690,$F$591:$F$690))</f>
        <v>0</v>
      </c>
      <c r="BC690">
        <f>IF(OR(BA690="",BB690=""),"",BB690+BA690*F690)</f>
        <v>0</v>
      </c>
      <c r="BD690">
        <f>IF(COUNT($E$2:$E690)&lt;20,"",STEYX($E$591:$E$690,$F$591:$F$690))</f>
        <v>0</v>
      </c>
      <c r="BE690">
        <f>IF($E690="","",IF(AND(COUNT($E$691:$E$694)&gt;=4,$C690=MAX($C$686:$C$694)),$C690,""))</f>
        <v>0</v>
      </c>
      <c r="BF690">
        <f>IF($E690="","",IF(AND(COUNT($E$691:$E$694)&gt;=4,$D690=MIN($D$686:$D$694)),$D690,""))</f>
        <v>0</v>
      </c>
      <c r="BG690">
        <f>IF($A690="","",$A690-WEEKDAY($A690,2)+1)</f>
        <v>0</v>
      </c>
      <c r="BH690">
        <f>IF($A690="","",IF($A689="",1,IF(BG690&lt;&gt;BG689,1,0)))</f>
        <v>0</v>
      </c>
      <c r="BI690">
        <f>IF($A690="","",IF($A691="",1,IF(BG691&lt;&gt;BG690,1,0)))</f>
        <v>0</v>
      </c>
      <c r="BJ690">
        <f>IF($A690="","",IF(BH690=1,$B690,BJ689))</f>
        <v>0</v>
      </c>
      <c r="BK690">
        <f>IF($A690="","",IF(BH690=1,$C690,MAX($C690,BK689)))</f>
        <v>0</v>
      </c>
      <c r="BL690">
        <f>IF($A690="","",IF(BH690=1,$D690,MIN($D690,BL689)))</f>
        <v>0</v>
      </c>
      <c r="BM690">
        <f>IF($A690="","",IF(BI690=1,F690,""))</f>
        <v>0</v>
      </c>
      <c r="BN690">
        <f>IF($A690="","",DATE(YEAR($A690),MONTH($A690),1))</f>
        <v>0</v>
      </c>
      <c r="BO690">
        <f>IF($A690="","",IF($A689="",1,IF(BN690&lt;&gt;BN689,1,0)))</f>
        <v>0</v>
      </c>
      <c r="BP690">
        <f>IF($A690="","",IF($A691="",1,IF(BN691&lt;&gt;BN690,1,0)))</f>
        <v>0</v>
      </c>
      <c r="BQ690">
        <f>IF($A690="","",IF(BO690=1,$B690,BQ689))</f>
        <v>0</v>
      </c>
      <c r="BR690">
        <f>IF($A690="","",IF(BO690=1,$C690,MAX($C690,BR689)))</f>
        <v>0</v>
      </c>
      <c r="BS690">
        <f>IF($A690="","",IF(BO690=1,$D690,MIN($D690,BS689)))</f>
        <v>0</v>
      </c>
      <c r="BT690">
        <f>IF($A690="","",IF(BP690=1,F690,""))</f>
        <v>0</v>
      </c>
    </row>
    <row r="691" spans="1:72">
      <c r="A691" s="27">
        <f>IF(Data!$A691="","",Data!$A691)</f>
        <v>0</v>
      </c>
      <c r="B691">
        <f>IF(Data!$B691="","",Data!$B691)</f>
        <v>0</v>
      </c>
      <c r="C691">
        <f>IF(Data!$C691="","",Data!$C691)</f>
        <v>0</v>
      </c>
      <c r="D691">
        <f>IF(Data!$D691="","",Data!$D691)</f>
        <v>0</v>
      </c>
      <c r="E691">
        <f>IF(Data!$E691="","",Data!$E691)</f>
        <v>0</v>
      </c>
      <c r="F691">
        <f>IF($E691="","",N(F690)+1)</f>
        <v>0</v>
      </c>
      <c r="G691">
        <f>IF(OR($E691="",$E690=""),"",LN($E691/$E690))</f>
        <v>0</v>
      </c>
      <c r="H691">
        <f>IF($E691="","",IF($E690="",$E691,$E691*0.0952380952+H690*0.9047619048))</f>
        <v>0</v>
      </c>
      <c r="I691">
        <f>IF($E691="","",IF($E690="",$E691,$E691*0.0392156863+I690*0.9607843137))</f>
        <v>0</v>
      </c>
      <c r="J691">
        <f>IF($E691="","",IF($E690="",$E691,$E691*0.0198019802+J690*0.9801980198))</f>
        <v>0</v>
      </c>
      <c r="K691">
        <f>IF($E691="","",IF($E690="",$E691,$E691*0.0099502488+K690*0.9900497512))</f>
        <v>0</v>
      </c>
      <c r="L691">
        <f>IF(OR($E691="",$E690=""),"",MAX($E691-$E690,0))</f>
        <v>0</v>
      </c>
      <c r="M691">
        <f>IF(OR($E691="",$E690=""),"",MAX($E690-$E691,0))</f>
        <v>0</v>
      </c>
      <c r="N691">
        <f>IF(COUNT($E$2:$E691)&lt;15,"",IF(AVERAGE($M$678:$M$691)=0,100,100-100/(1+AVERAGE($L$678:$L$691)/AVERAGE($M$678:$M$691))))</f>
        <v>0</v>
      </c>
      <c r="O691">
        <f>IF($E691="","",IF($E690="",$E691,$E691*0.1538461538+O690*0.8461538462))</f>
        <v>0</v>
      </c>
      <c r="P691">
        <f>IF($E691="","",IF($E690="",$E691,$E691*0.0740740741+P690*0.9259259259))</f>
        <v>0</v>
      </c>
      <c r="Q691">
        <f>IF(OR(O691="",P691=""),"",O691-P691)</f>
        <v>0</v>
      </c>
      <c r="R691">
        <f>IF(Q691="","",IF(R690="",Q691,Q691*0.2000000000+R690*0.8000000000))</f>
        <v>0</v>
      </c>
      <c r="S691">
        <f>IF(OR(Q691="",R691=""),"",Q691-R691)</f>
        <v>0</v>
      </c>
      <c r="T691">
        <f>IF(COUNT($E$2:$E691)&lt;14,"",MAX($C$678:$C$691))</f>
        <v>0</v>
      </c>
      <c r="U691">
        <f>IF(COUNT($E$2:$E691)&lt;14,"",MIN($D$678:$D$691))</f>
        <v>0</v>
      </c>
      <c r="V691">
        <f>IF(OR(T691="",U691="",T691=U691),"",100*($E691-U691)/(T691-U691))</f>
        <v>0</v>
      </c>
      <c r="W691">
        <f>IF(COUNT($V$689:$V$691)&lt;3,"",AVERAGE($V$689:$V$691))</f>
        <v>0</v>
      </c>
      <c r="X691">
        <f>IF(COUNT($N$678:$N$691)&lt;14,"",MIN($N$678:$N$691))</f>
        <v>0</v>
      </c>
      <c r="Y691">
        <f>IF(COUNT($N$678:$N$691)&lt;14,"",MAX($N$678:$N$691))</f>
        <v>0</v>
      </c>
      <c r="Z691">
        <f>IF(OR(N691="",X691="",Y691="",Y691=X691),"",100*(N691-X691)/(Y691-X691))</f>
        <v>0</v>
      </c>
      <c r="AA691">
        <f>IF(COUNT($Z$689:$Z$691)&lt;3,"",AVERAGE($Z$689:$Z$691))</f>
        <v>0</v>
      </c>
      <c r="AB691">
        <f>IF(COUNT($AA$689:$AA$691)&lt;3,"",AVERAGE($AA$689:$AA$691))</f>
        <v>0</v>
      </c>
      <c r="AC691">
        <f>IF($E691="","",MAX($C691-$D691,ABS($C691-$E690),ABS($D691-$E690)))</f>
        <v>0</v>
      </c>
      <c r="AD691">
        <f>IF(COUNT($E$2:$E691)&lt;15,"",AVERAGE($AC$678:$AC$691))</f>
        <v>0</v>
      </c>
      <c r="AE691">
        <f>IF(OR($E691="",$E690=""),"",IF(AND(($C691-$C690)&gt;($D690-$D691),($C691-$C690)&gt;0),$C691-$C690,0))</f>
        <v>0</v>
      </c>
      <c r="AF691">
        <f>IF(OR($E691="",$E690=""),"",IF(AND(($D690-$D691)&gt;($C691-$C690),($D690-$D691)&gt;0),$D690-$D691,0))</f>
        <v>0</v>
      </c>
      <c r="AG691">
        <f>IF(COUNT($E$2:$E691)&lt;15,"",IF(SUM($AC$678:$AC$691)=0,0,100*SUM($AE$678:$AE$691)/SUM($AC$678:$AC$691)))</f>
        <v>0</v>
      </c>
      <c r="AH691">
        <f>IF(COUNT($E$2:$E691)&lt;15,"",IF(SUM($AC$678:$AC$691)=0,0,100*SUM($AF$678:$AF$691)/SUM($AC$678:$AC$691)))</f>
        <v>0</v>
      </c>
      <c r="AI691">
        <f>IF(OR(AG691="",AH691=""),"",IF((AG691+AH691)=0,0,100*ABS(AG691-AH691)/(AG691+AH691)))</f>
        <v>0</v>
      </c>
      <c r="AJ691">
        <f>IF(COUNT($AI$678:$AI$691)&lt;14,"",AVERAGE($AI$678:$AI$691))</f>
        <v>0</v>
      </c>
      <c r="AK691">
        <f>IF(COUNT($E$2:$E691)&lt;20,"",AVERAGE($E$672:$E$691))</f>
        <v>0</v>
      </c>
      <c r="AL691">
        <f>IF(COUNT($E$2:$E691)&lt;20,"",STDEVP($E$672:$E$691))</f>
        <v>0</v>
      </c>
      <c r="AM691">
        <f>IF(AK691="","",AK691+2*AL691)</f>
        <v>0</v>
      </c>
      <c r="AN691">
        <f>IF(AK691="","",AK691-2*AL691)</f>
        <v>0</v>
      </c>
      <c r="AO691">
        <f>IF(OR(AM691="",AN691="",AM691=AN691),"",($E691-AN691)/(AM691-AN691))</f>
        <v>0</v>
      </c>
      <c r="AP691">
        <f>IF(OR(AM691="",AK691="",AK691=0),"",(AM691-AN691)/AK691)</f>
        <v>0</v>
      </c>
      <c r="AQ691">
        <f>IF(COUNT($E$2:$E691)&lt;20,"",MAX($C$672:$C$691))</f>
        <v>0</v>
      </c>
      <c r="AR691">
        <f>IF(COUNT($E$2:$E691)&lt;20,"",MIN($D$672:$D$691))</f>
        <v>0</v>
      </c>
      <c r="AS691">
        <f>IF(OR(AQ691="",AR691=""),"",(AQ691+AR691)/2)</f>
        <v>0</v>
      </c>
      <c r="AT691">
        <f>IF(COUNT($G$672:$G$691)&lt;20,"",STDEV($G$672:$G$691)*SQRT(252))</f>
        <v>0</v>
      </c>
      <c r="AU691">
        <f>IF(COUNT($E$2:$E691)&lt;9,"",(MAX($C$683:$C$691)+MIN($D$683:$D$691))/2)</f>
        <v>0</v>
      </c>
      <c r="AV691">
        <f>IF(COUNT($E$2:$E691)&lt;26,"",(MAX($C$666:$C$691)+MIN($D$666:$D$691))/2)</f>
        <v>0</v>
      </c>
      <c r="AW691">
        <f>IF(OR(AU691="",AV691=""),"",(AU691+AV691)/2)</f>
        <v>0</v>
      </c>
      <c r="AX691">
        <f>IF(COUNT($E$2:$E691)&lt;52,"",(MAX($C$640:$C$691)+MIN($D$640:$D$691))/2)</f>
        <v>0</v>
      </c>
      <c r="AY691">
        <f>IF(COUNT($E$2:$E691)&lt;20,"",MAX($C$592:$C$691))</f>
        <v>0</v>
      </c>
      <c r="AZ691">
        <f>IF(COUNT($E$2:$E691)&lt;20,"",MIN($D$592:$D$691))</f>
        <v>0</v>
      </c>
      <c r="BA691">
        <f>IF(COUNT($E$2:$E691)&lt;20,"",SLOPE($E$592:$E$691,$F$592:$F$691))</f>
        <v>0</v>
      </c>
      <c r="BB691">
        <f>IF(COUNT($E$2:$E691)&lt;20,"",INTERCEPT($E$592:$E$691,$F$592:$F$691))</f>
        <v>0</v>
      </c>
      <c r="BC691">
        <f>IF(OR(BA691="",BB691=""),"",BB691+BA691*F691)</f>
        <v>0</v>
      </c>
      <c r="BD691">
        <f>IF(COUNT($E$2:$E691)&lt;20,"",STEYX($E$592:$E$691,$F$592:$F$691))</f>
        <v>0</v>
      </c>
      <c r="BE691">
        <f>IF($E691="","",IF(AND(COUNT($E$692:$E$695)&gt;=4,$C691=MAX($C$687:$C$695)),$C691,""))</f>
        <v>0</v>
      </c>
      <c r="BF691">
        <f>IF($E691="","",IF(AND(COUNT($E$692:$E$695)&gt;=4,$D691=MIN($D$687:$D$695)),$D691,""))</f>
        <v>0</v>
      </c>
      <c r="BG691">
        <f>IF($A691="","",$A691-WEEKDAY($A691,2)+1)</f>
        <v>0</v>
      </c>
      <c r="BH691">
        <f>IF($A691="","",IF($A690="",1,IF(BG691&lt;&gt;BG690,1,0)))</f>
        <v>0</v>
      </c>
      <c r="BI691">
        <f>IF($A691="","",IF($A692="",1,IF(BG692&lt;&gt;BG691,1,0)))</f>
        <v>0</v>
      </c>
      <c r="BJ691">
        <f>IF($A691="","",IF(BH691=1,$B691,BJ690))</f>
        <v>0</v>
      </c>
      <c r="BK691">
        <f>IF($A691="","",IF(BH691=1,$C691,MAX($C691,BK690)))</f>
        <v>0</v>
      </c>
      <c r="BL691">
        <f>IF($A691="","",IF(BH691=1,$D691,MIN($D691,BL690)))</f>
        <v>0</v>
      </c>
      <c r="BM691">
        <f>IF($A691="","",IF(BI691=1,F691,""))</f>
        <v>0</v>
      </c>
      <c r="BN691">
        <f>IF($A691="","",DATE(YEAR($A691),MONTH($A691),1))</f>
        <v>0</v>
      </c>
      <c r="BO691">
        <f>IF($A691="","",IF($A690="",1,IF(BN691&lt;&gt;BN690,1,0)))</f>
        <v>0</v>
      </c>
      <c r="BP691">
        <f>IF($A691="","",IF($A692="",1,IF(BN692&lt;&gt;BN691,1,0)))</f>
        <v>0</v>
      </c>
      <c r="BQ691">
        <f>IF($A691="","",IF(BO691=1,$B691,BQ690))</f>
        <v>0</v>
      </c>
      <c r="BR691">
        <f>IF($A691="","",IF(BO691=1,$C691,MAX($C691,BR690)))</f>
        <v>0</v>
      </c>
      <c r="BS691">
        <f>IF($A691="","",IF(BO691=1,$D691,MIN($D691,BS690)))</f>
        <v>0</v>
      </c>
      <c r="BT691">
        <f>IF($A691="","",IF(BP691=1,F691,""))</f>
        <v>0</v>
      </c>
    </row>
    <row r="692" spans="1:72">
      <c r="A692" s="27">
        <f>IF(Data!$A692="","",Data!$A692)</f>
        <v>0</v>
      </c>
      <c r="B692">
        <f>IF(Data!$B692="","",Data!$B692)</f>
        <v>0</v>
      </c>
      <c r="C692">
        <f>IF(Data!$C692="","",Data!$C692)</f>
        <v>0</v>
      </c>
      <c r="D692">
        <f>IF(Data!$D692="","",Data!$D692)</f>
        <v>0</v>
      </c>
      <c r="E692">
        <f>IF(Data!$E692="","",Data!$E692)</f>
        <v>0</v>
      </c>
      <c r="F692">
        <f>IF($E692="","",N(F691)+1)</f>
        <v>0</v>
      </c>
      <c r="G692">
        <f>IF(OR($E692="",$E691=""),"",LN($E692/$E691))</f>
        <v>0</v>
      </c>
      <c r="H692">
        <f>IF($E692="","",IF($E691="",$E692,$E692*0.0952380952+H691*0.9047619048))</f>
        <v>0</v>
      </c>
      <c r="I692">
        <f>IF($E692="","",IF($E691="",$E692,$E692*0.0392156863+I691*0.9607843137))</f>
        <v>0</v>
      </c>
      <c r="J692">
        <f>IF($E692="","",IF($E691="",$E692,$E692*0.0198019802+J691*0.9801980198))</f>
        <v>0</v>
      </c>
      <c r="K692">
        <f>IF($E692="","",IF($E691="",$E692,$E692*0.0099502488+K691*0.9900497512))</f>
        <v>0</v>
      </c>
      <c r="L692">
        <f>IF(OR($E692="",$E691=""),"",MAX($E692-$E691,0))</f>
        <v>0</v>
      </c>
      <c r="M692">
        <f>IF(OR($E692="",$E691=""),"",MAX($E691-$E692,0))</f>
        <v>0</v>
      </c>
      <c r="N692">
        <f>IF(COUNT($E$2:$E692)&lt;15,"",IF(AVERAGE($M$679:$M$692)=0,100,100-100/(1+AVERAGE($L$679:$L$692)/AVERAGE($M$679:$M$692))))</f>
        <v>0</v>
      </c>
      <c r="O692">
        <f>IF($E692="","",IF($E691="",$E692,$E692*0.1538461538+O691*0.8461538462))</f>
        <v>0</v>
      </c>
      <c r="P692">
        <f>IF($E692="","",IF($E691="",$E692,$E692*0.0740740741+P691*0.9259259259))</f>
        <v>0</v>
      </c>
      <c r="Q692">
        <f>IF(OR(O692="",P692=""),"",O692-P692)</f>
        <v>0</v>
      </c>
      <c r="R692">
        <f>IF(Q692="","",IF(R691="",Q692,Q692*0.2000000000+R691*0.8000000000))</f>
        <v>0</v>
      </c>
      <c r="S692">
        <f>IF(OR(Q692="",R692=""),"",Q692-R692)</f>
        <v>0</v>
      </c>
      <c r="T692">
        <f>IF(COUNT($E$2:$E692)&lt;14,"",MAX($C$679:$C$692))</f>
        <v>0</v>
      </c>
      <c r="U692">
        <f>IF(COUNT($E$2:$E692)&lt;14,"",MIN($D$679:$D$692))</f>
        <v>0</v>
      </c>
      <c r="V692">
        <f>IF(OR(T692="",U692="",T692=U692),"",100*($E692-U692)/(T692-U692))</f>
        <v>0</v>
      </c>
      <c r="W692">
        <f>IF(COUNT($V$690:$V$692)&lt;3,"",AVERAGE($V$690:$V$692))</f>
        <v>0</v>
      </c>
      <c r="X692">
        <f>IF(COUNT($N$679:$N$692)&lt;14,"",MIN($N$679:$N$692))</f>
        <v>0</v>
      </c>
      <c r="Y692">
        <f>IF(COUNT($N$679:$N$692)&lt;14,"",MAX($N$679:$N$692))</f>
        <v>0</v>
      </c>
      <c r="Z692">
        <f>IF(OR(N692="",X692="",Y692="",Y692=X692),"",100*(N692-X692)/(Y692-X692))</f>
        <v>0</v>
      </c>
      <c r="AA692">
        <f>IF(COUNT($Z$690:$Z$692)&lt;3,"",AVERAGE($Z$690:$Z$692))</f>
        <v>0</v>
      </c>
      <c r="AB692">
        <f>IF(COUNT($AA$690:$AA$692)&lt;3,"",AVERAGE($AA$690:$AA$692))</f>
        <v>0</v>
      </c>
      <c r="AC692">
        <f>IF($E692="","",MAX($C692-$D692,ABS($C692-$E691),ABS($D692-$E691)))</f>
        <v>0</v>
      </c>
      <c r="AD692">
        <f>IF(COUNT($E$2:$E692)&lt;15,"",AVERAGE($AC$679:$AC$692))</f>
        <v>0</v>
      </c>
      <c r="AE692">
        <f>IF(OR($E692="",$E691=""),"",IF(AND(($C692-$C691)&gt;($D691-$D692),($C692-$C691)&gt;0),$C692-$C691,0))</f>
        <v>0</v>
      </c>
      <c r="AF692">
        <f>IF(OR($E692="",$E691=""),"",IF(AND(($D691-$D692)&gt;($C692-$C691),($D691-$D692)&gt;0),$D691-$D692,0))</f>
        <v>0</v>
      </c>
      <c r="AG692">
        <f>IF(COUNT($E$2:$E692)&lt;15,"",IF(SUM($AC$679:$AC$692)=0,0,100*SUM($AE$679:$AE$692)/SUM($AC$679:$AC$692)))</f>
        <v>0</v>
      </c>
      <c r="AH692">
        <f>IF(COUNT($E$2:$E692)&lt;15,"",IF(SUM($AC$679:$AC$692)=0,0,100*SUM($AF$679:$AF$692)/SUM($AC$679:$AC$692)))</f>
        <v>0</v>
      </c>
      <c r="AI692">
        <f>IF(OR(AG692="",AH692=""),"",IF((AG692+AH692)=0,0,100*ABS(AG692-AH692)/(AG692+AH692)))</f>
        <v>0</v>
      </c>
      <c r="AJ692">
        <f>IF(COUNT($AI$679:$AI$692)&lt;14,"",AVERAGE($AI$679:$AI$692))</f>
        <v>0</v>
      </c>
      <c r="AK692">
        <f>IF(COUNT($E$2:$E692)&lt;20,"",AVERAGE($E$673:$E$692))</f>
        <v>0</v>
      </c>
      <c r="AL692">
        <f>IF(COUNT($E$2:$E692)&lt;20,"",STDEVP($E$673:$E$692))</f>
        <v>0</v>
      </c>
      <c r="AM692">
        <f>IF(AK692="","",AK692+2*AL692)</f>
        <v>0</v>
      </c>
      <c r="AN692">
        <f>IF(AK692="","",AK692-2*AL692)</f>
        <v>0</v>
      </c>
      <c r="AO692">
        <f>IF(OR(AM692="",AN692="",AM692=AN692),"",($E692-AN692)/(AM692-AN692))</f>
        <v>0</v>
      </c>
      <c r="AP692">
        <f>IF(OR(AM692="",AK692="",AK692=0),"",(AM692-AN692)/AK692)</f>
        <v>0</v>
      </c>
      <c r="AQ692">
        <f>IF(COUNT($E$2:$E692)&lt;20,"",MAX($C$673:$C$692))</f>
        <v>0</v>
      </c>
      <c r="AR692">
        <f>IF(COUNT($E$2:$E692)&lt;20,"",MIN($D$673:$D$692))</f>
        <v>0</v>
      </c>
      <c r="AS692">
        <f>IF(OR(AQ692="",AR692=""),"",(AQ692+AR692)/2)</f>
        <v>0</v>
      </c>
      <c r="AT692">
        <f>IF(COUNT($G$673:$G$692)&lt;20,"",STDEV($G$673:$G$692)*SQRT(252))</f>
        <v>0</v>
      </c>
      <c r="AU692">
        <f>IF(COUNT($E$2:$E692)&lt;9,"",(MAX($C$684:$C$692)+MIN($D$684:$D$692))/2)</f>
        <v>0</v>
      </c>
      <c r="AV692">
        <f>IF(COUNT($E$2:$E692)&lt;26,"",(MAX($C$667:$C$692)+MIN($D$667:$D$692))/2)</f>
        <v>0</v>
      </c>
      <c r="AW692">
        <f>IF(OR(AU692="",AV692=""),"",(AU692+AV692)/2)</f>
        <v>0</v>
      </c>
      <c r="AX692">
        <f>IF(COUNT($E$2:$E692)&lt;52,"",(MAX($C$641:$C$692)+MIN($D$641:$D$692))/2)</f>
        <v>0</v>
      </c>
      <c r="AY692">
        <f>IF(COUNT($E$2:$E692)&lt;20,"",MAX($C$593:$C$692))</f>
        <v>0</v>
      </c>
      <c r="AZ692">
        <f>IF(COUNT($E$2:$E692)&lt;20,"",MIN($D$593:$D$692))</f>
        <v>0</v>
      </c>
      <c r="BA692">
        <f>IF(COUNT($E$2:$E692)&lt;20,"",SLOPE($E$593:$E$692,$F$593:$F$692))</f>
        <v>0</v>
      </c>
      <c r="BB692">
        <f>IF(COUNT($E$2:$E692)&lt;20,"",INTERCEPT($E$593:$E$692,$F$593:$F$692))</f>
        <v>0</v>
      </c>
      <c r="BC692">
        <f>IF(OR(BA692="",BB692=""),"",BB692+BA692*F692)</f>
        <v>0</v>
      </c>
      <c r="BD692">
        <f>IF(COUNT($E$2:$E692)&lt;20,"",STEYX($E$593:$E$692,$F$593:$F$692))</f>
        <v>0</v>
      </c>
      <c r="BE692">
        <f>IF($E692="","",IF(AND(COUNT($E$693:$E$696)&gt;=4,$C692=MAX($C$688:$C$696)),$C692,""))</f>
        <v>0</v>
      </c>
      <c r="BF692">
        <f>IF($E692="","",IF(AND(COUNT($E$693:$E$696)&gt;=4,$D692=MIN($D$688:$D$696)),$D692,""))</f>
        <v>0</v>
      </c>
      <c r="BG692">
        <f>IF($A692="","",$A692-WEEKDAY($A692,2)+1)</f>
        <v>0</v>
      </c>
      <c r="BH692">
        <f>IF($A692="","",IF($A691="",1,IF(BG692&lt;&gt;BG691,1,0)))</f>
        <v>0</v>
      </c>
      <c r="BI692">
        <f>IF($A692="","",IF($A693="",1,IF(BG693&lt;&gt;BG692,1,0)))</f>
        <v>0</v>
      </c>
      <c r="BJ692">
        <f>IF($A692="","",IF(BH692=1,$B692,BJ691))</f>
        <v>0</v>
      </c>
      <c r="BK692">
        <f>IF($A692="","",IF(BH692=1,$C692,MAX($C692,BK691)))</f>
        <v>0</v>
      </c>
      <c r="BL692">
        <f>IF($A692="","",IF(BH692=1,$D692,MIN($D692,BL691)))</f>
        <v>0</v>
      </c>
      <c r="BM692">
        <f>IF($A692="","",IF(BI692=1,F692,""))</f>
        <v>0</v>
      </c>
      <c r="BN692">
        <f>IF($A692="","",DATE(YEAR($A692),MONTH($A692),1))</f>
        <v>0</v>
      </c>
      <c r="BO692">
        <f>IF($A692="","",IF($A691="",1,IF(BN692&lt;&gt;BN691,1,0)))</f>
        <v>0</v>
      </c>
      <c r="BP692">
        <f>IF($A692="","",IF($A693="",1,IF(BN693&lt;&gt;BN692,1,0)))</f>
        <v>0</v>
      </c>
      <c r="BQ692">
        <f>IF($A692="","",IF(BO692=1,$B692,BQ691))</f>
        <v>0</v>
      </c>
      <c r="BR692">
        <f>IF($A692="","",IF(BO692=1,$C692,MAX($C692,BR691)))</f>
        <v>0</v>
      </c>
      <c r="BS692">
        <f>IF($A692="","",IF(BO692=1,$D692,MIN($D692,BS691)))</f>
        <v>0</v>
      </c>
      <c r="BT692">
        <f>IF($A692="","",IF(BP692=1,F692,""))</f>
        <v>0</v>
      </c>
    </row>
    <row r="693" spans="1:72">
      <c r="A693" s="27">
        <f>IF(Data!$A693="","",Data!$A693)</f>
        <v>0</v>
      </c>
      <c r="B693">
        <f>IF(Data!$B693="","",Data!$B693)</f>
        <v>0</v>
      </c>
      <c r="C693">
        <f>IF(Data!$C693="","",Data!$C693)</f>
        <v>0</v>
      </c>
      <c r="D693">
        <f>IF(Data!$D693="","",Data!$D693)</f>
        <v>0</v>
      </c>
      <c r="E693">
        <f>IF(Data!$E693="","",Data!$E693)</f>
        <v>0</v>
      </c>
      <c r="F693">
        <f>IF($E693="","",N(F692)+1)</f>
        <v>0</v>
      </c>
      <c r="G693">
        <f>IF(OR($E693="",$E692=""),"",LN($E693/$E692))</f>
        <v>0</v>
      </c>
      <c r="H693">
        <f>IF($E693="","",IF($E692="",$E693,$E693*0.0952380952+H692*0.9047619048))</f>
        <v>0</v>
      </c>
      <c r="I693">
        <f>IF($E693="","",IF($E692="",$E693,$E693*0.0392156863+I692*0.9607843137))</f>
        <v>0</v>
      </c>
      <c r="J693">
        <f>IF($E693="","",IF($E692="",$E693,$E693*0.0198019802+J692*0.9801980198))</f>
        <v>0</v>
      </c>
      <c r="K693">
        <f>IF($E693="","",IF($E692="",$E693,$E693*0.0099502488+K692*0.9900497512))</f>
        <v>0</v>
      </c>
      <c r="L693">
        <f>IF(OR($E693="",$E692=""),"",MAX($E693-$E692,0))</f>
        <v>0</v>
      </c>
      <c r="M693">
        <f>IF(OR($E693="",$E692=""),"",MAX($E692-$E693,0))</f>
        <v>0</v>
      </c>
      <c r="N693">
        <f>IF(COUNT($E$2:$E693)&lt;15,"",IF(AVERAGE($M$680:$M$693)=0,100,100-100/(1+AVERAGE($L$680:$L$693)/AVERAGE($M$680:$M$693))))</f>
        <v>0</v>
      </c>
      <c r="O693">
        <f>IF($E693="","",IF($E692="",$E693,$E693*0.1538461538+O692*0.8461538462))</f>
        <v>0</v>
      </c>
      <c r="P693">
        <f>IF($E693="","",IF($E692="",$E693,$E693*0.0740740741+P692*0.9259259259))</f>
        <v>0</v>
      </c>
      <c r="Q693">
        <f>IF(OR(O693="",P693=""),"",O693-P693)</f>
        <v>0</v>
      </c>
      <c r="R693">
        <f>IF(Q693="","",IF(R692="",Q693,Q693*0.2000000000+R692*0.8000000000))</f>
        <v>0</v>
      </c>
      <c r="S693">
        <f>IF(OR(Q693="",R693=""),"",Q693-R693)</f>
        <v>0</v>
      </c>
      <c r="T693">
        <f>IF(COUNT($E$2:$E693)&lt;14,"",MAX($C$680:$C$693))</f>
        <v>0</v>
      </c>
      <c r="U693">
        <f>IF(COUNT($E$2:$E693)&lt;14,"",MIN($D$680:$D$693))</f>
        <v>0</v>
      </c>
      <c r="V693">
        <f>IF(OR(T693="",U693="",T693=U693),"",100*($E693-U693)/(T693-U693))</f>
        <v>0</v>
      </c>
      <c r="W693">
        <f>IF(COUNT($V$691:$V$693)&lt;3,"",AVERAGE($V$691:$V$693))</f>
        <v>0</v>
      </c>
      <c r="X693">
        <f>IF(COUNT($N$680:$N$693)&lt;14,"",MIN($N$680:$N$693))</f>
        <v>0</v>
      </c>
      <c r="Y693">
        <f>IF(COUNT($N$680:$N$693)&lt;14,"",MAX($N$680:$N$693))</f>
        <v>0</v>
      </c>
      <c r="Z693">
        <f>IF(OR(N693="",X693="",Y693="",Y693=X693),"",100*(N693-X693)/(Y693-X693))</f>
        <v>0</v>
      </c>
      <c r="AA693">
        <f>IF(COUNT($Z$691:$Z$693)&lt;3,"",AVERAGE($Z$691:$Z$693))</f>
        <v>0</v>
      </c>
      <c r="AB693">
        <f>IF(COUNT($AA$691:$AA$693)&lt;3,"",AVERAGE($AA$691:$AA$693))</f>
        <v>0</v>
      </c>
      <c r="AC693">
        <f>IF($E693="","",MAX($C693-$D693,ABS($C693-$E692),ABS($D693-$E692)))</f>
        <v>0</v>
      </c>
      <c r="AD693">
        <f>IF(COUNT($E$2:$E693)&lt;15,"",AVERAGE($AC$680:$AC$693))</f>
        <v>0</v>
      </c>
      <c r="AE693">
        <f>IF(OR($E693="",$E692=""),"",IF(AND(($C693-$C692)&gt;($D692-$D693),($C693-$C692)&gt;0),$C693-$C692,0))</f>
        <v>0</v>
      </c>
      <c r="AF693">
        <f>IF(OR($E693="",$E692=""),"",IF(AND(($D692-$D693)&gt;($C693-$C692),($D692-$D693)&gt;0),$D692-$D693,0))</f>
        <v>0</v>
      </c>
      <c r="AG693">
        <f>IF(COUNT($E$2:$E693)&lt;15,"",IF(SUM($AC$680:$AC$693)=0,0,100*SUM($AE$680:$AE$693)/SUM($AC$680:$AC$693)))</f>
        <v>0</v>
      </c>
      <c r="AH693">
        <f>IF(COUNT($E$2:$E693)&lt;15,"",IF(SUM($AC$680:$AC$693)=0,0,100*SUM($AF$680:$AF$693)/SUM($AC$680:$AC$693)))</f>
        <v>0</v>
      </c>
      <c r="AI693">
        <f>IF(OR(AG693="",AH693=""),"",IF((AG693+AH693)=0,0,100*ABS(AG693-AH693)/(AG693+AH693)))</f>
        <v>0</v>
      </c>
      <c r="AJ693">
        <f>IF(COUNT($AI$680:$AI$693)&lt;14,"",AVERAGE($AI$680:$AI$693))</f>
        <v>0</v>
      </c>
      <c r="AK693">
        <f>IF(COUNT($E$2:$E693)&lt;20,"",AVERAGE($E$674:$E$693))</f>
        <v>0</v>
      </c>
      <c r="AL693">
        <f>IF(COUNT($E$2:$E693)&lt;20,"",STDEVP($E$674:$E$693))</f>
        <v>0</v>
      </c>
      <c r="AM693">
        <f>IF(AK693="","",AK693+2*AL693)</f>
        <v>0</v>
      </c>
      <c r="AN693">
        <f>IF(AK693="","",AK693-2*AL693)</f>
        <v>0</v>
      </c>
      <c r="AO693">
        <f>IF(OR(AM693="",AN693="",AM693=AN693),"",($E693-AN693)/(AM693-AN693))</f>
        <v>0</v>
      </c>
      <c r="AP693">
        <f>IF(OR(AM693="",AK693="",AK693=0),"",(AM693-AN693)/AK693)</f>
        <v>0</v>
      </c>
      <c r="AQ693">
        <f>IF(COUNT($E$2:$E693)&lt;20,"",MAX($C$674:$C$693))</f>
        <v>0</v>
      </c>
      <c r="AR693">
        <f>IF(COUNT($E$2:$E693)&lt;20,"",MIN($D$674:$D$693))</f>
        <v>0</v>
      </c>
      <c r="AS693">
        <f>IF(OR(AQ693="",AR693=""),"",(AQ693+AR693)/2)</f>
        <v>0</v>
      </c>
      <c r="AT693">
        <f>IF(COUNT($G$674:$G$693)&lt;20,"",STDEV($G$674:$G$693)*SQRT(252))</f>
        <v>0</v>
      </c>
      <c r="AU693">
        <f>IF(COUNT($E$2:$E693)&lt;9,"",(MAX($C$685:$C$693)+MIN($D$685:$D$693))/2)</f>
        <v>0</v>
      </c>
      <c r="AV693">
        <f>IF(COUNT($E$2:$E693)&lt;26,"",(MAX($C$668:$C$693)+MIN($D$668:$D$693))/2)</f>
        <v>0</v>
      </c>
      <c r="AW693">
        <f>IF(OR(AU693="",AV693=""),"",(AU693+AV693)/2)</f>
        <v>0</v>
      </c>
      <c r="AX693">
        <f>IF(COUNT($E$2:$E693)&lt;52,"",(MAX($C$642:$C$693)+MIN($D$642:$D$693))/2)</f>
        <v>0</v>
      </c>
      <c r="AY693">
        <f>IF(COUNT($E$2:$E693)&lt;20,"",MAX($C$594:$C$693))</f>
        <v>0</v>
      </c>
      <c r="AZ693">
        <f>IF(COUNT($E$2:$E693)&lt;20,"",MIN($D$594:$D$693))</f>
        <v>0</v>
      </c>
      <c r="BA693">
        <f>IF(COUNT($E$2:$E693)&lt;20,"",SLOPE($E$594:$E$693,$F$594:$F$693))</f>
        <v>0</v>
      </c>
      <c r="BB693">
        <f>IF(COUNT($E$2:$E693)&lt;20,"",INTERCEPT($E$594:$E$693,$F$594:$F$693))</f>
        <v>0</v>
      </c>
      <c r="BC693">
        <f>IF(OR(BA693="",BB693=""),"",BB693+BA693*F693)</f>
        <v>0</v>
      </c>
      <c r="BD693">
        <f>IF(COUNT($E$2:$E693)&lt;20,"",STEYX($E$594:$E$693,$F$594:$F$693))</f>
        <v>0</v>
      </c>
      <c r="BE693">
        <f>IF($E693="","",IF(AND(COUNT($E$694:$E$697)&gt;=4,$C693=MAX($C$689:$C$697)),$C693,""))</f>
        <v>0</v>
      </c>
      <c r="BF693">
        <f>IF($E693="","",IF(AND(COUNT($E$694:$E$697)&gt;=4,$D693=MIN($D$689:$D$697)),$D693,""))</f>
        <v>0</v>
      </c>
      <c r="BG693">
        <f>IF($A693="","",$A693-WEEKDAY($A693,2)+1)</f>
        <v>0</v>
      </c>
      <c r="BH693">
        <f>IF($A693="","",IF($A692="",1,IF(BG693&lt;&gt;BG692,1,0)))</f>
        <v>0</v>
      </c>
      <c r="BI693">
        <f>IF($A693="","",IF($A694="",1,IF(BG694&lt;&gt;BG693,1,0)))</f>
        <v>0</v>
      </c>
      <c r="BJ693">
        <f>IF($A693="","",IF(BH693=1,$B693,BJ692))</f>
        <v>0</v>
      </c>
      <c r="BK693">
        <f>IF($A693="","",IF(BH693=1,$C693,MAX($C693,BK692)))</f>
        <v>0</v>
      </c>
      <c r="BL693">
        <f>IF($A693="","",IF(BH693=1,$D693,MIN($D693,BL692)))</f>
        <v>0</v>
      </c>
      <c r="BM693">
        <f>IF($A693="","",IF(BI693=1,F693,""))</f>
        <v>0</v>
      </c>
      <c r="BN693">
        <f>IF($A693="","",DATE(YEAR($A693),MONTH($A693),1))</f>
        <v>0</v>
      </c>
      <c r="BO693">
        <f>IF($A693="","",IF($A692="",1,IF(BN693&lt;&gt;BN692,1,0)))</f>
        <v>0</v>
      </c>
      <c r="BP693">
        <f>IF($A693="","",IF($A694="",1,IF(BN694&lt;&gt;BN693,1,0)))</f>
        <v>0</v>
      </c>
      <c r="BQ693">
        <f>IF($A693="","",IF(BO693=1,$B693,BQ692))</f>
        <v>0</v>
      </c>
      <c r="BR693">
        <f>IF($A693="","",IF(BO693=1,$C693,MAX($C693,BR692)))</f>
        <v>0</v>
      </c>
      <c r="BS693">
        <f>IF($A693="","",IF(BO693=1,$D693,MIN($D693,BS692)))</f>
        <v>0</v>
      </c>
      <c r="BT693">
        <f>IF($A693="","",IF(BP693=1,F693,""))</f>
        <v>0</v>
      </c>
    </row>
    <row r="694" spans="1:72">
      <c r="A694" s="27">
        <f>IF(Data!$A694="","",Data!$A694)</f>
        <v>0</v>
      </c>
      <c r="B694">
        <f>IF(Data!$B694="","",Data!$B694)</f>
        <v>0</v>
      </c>
      <c r="C694">
        <f>IF(Data!$C694="","",Data!$C694)</f>
        <v>0</v>
      </c>
      <c r="D694">
        <f>IF(Data!$D694="","",Data!$D694)</f>
        <v>0</v>
      </c>
      <c r="E694">
        <f>IF(Data!$E694="","",Data!$E694)</f>
        <v>0</v>
      </c>
      <c r="F694">
        <f>IF($E694="","",N(F693)+1)</f>
        <v>0</v>
      </c>
      <c r="G694">
        <f>IF(OR($E694="",$E693=""),"",LN($E694/$E693))</f>
        <v>0</v>
      </c>
      <c r="H694">
        <f>IF($E694="","",IF($E693="",$E694,$E694*0.0952380952+H693*0.9047619048))</f>
        <v>0</v>
      </c>
      <c r="I694">
        <f>IF($E694="","",IF($E693="",$E694,$E694*0.0392156863+I693*0.9607843137))</f>
        <v>0</v>
      </c>
      <c r="J694">
        <f>IF($E694="","",IF($E693="",$E694,$E694*0.0198019802+J693*0.9801980198))</f>
        <v>0</v>
      </c>
      <c r="K694">
        <f>IF($E694="","",IF($E693="",$E694,$E694*0.0099502488+K693*0.9900497512))</f>
        <v>0</v>
      </c>
      <c r="L694">
        <f>IF(OR($E694="",$E693=""),"",MAX($E694-$E693,0))</f>
        <v>0</v>
      </c>
      <c r="M694">
        <f>IF(OR($E694="",$E693=""),"",MAX($E693-$E694,0))</f>
        <v>0</v>
      </c>
      <c r="N694">
        <f>IF(COUNT($E$2:$E694)&lt;15,"",IF(AVERAGE($M$681:$M$694)=0,100,100-100/(1+AVERAGE($L$681:$L$694)/AVERAGE($M$681:$M$694))))</f>
        <v>0</v>
      </c>
      <c r="O694">
        <f>IF($E694="","",IF($E693="",$E694,$E694*0.1538461538+O693*0.8461538462))</f>
        <v>0</v>
      </c>
      <c r="P694">
        <f>IF($E694="","",IF($E693="",$E694,$E694*0.0740740741+P693*0.9259259259))</f>
        <v>0</v>
      </c>
      <c r="Q694">
        <f>IF(OR(O694="",P694=""),"",O694-P694)</f>
        <v>0</v>
      </c>
      <c r="R694">
        <f>IF(Q694="","",IF(R693="",Q694,Q694*0.2000000000+R693*0.8000000000))</f>
        <v>0</v>
      </c>
      <c r="S694">
        <f>IF(OR(Q694="",R694=""),"",Q694-R694)</f>
        <v>0</v>
      </c>
      <c r="T694">
        <f>IF(COUNT($E$2:$E694)&lt;14,"",MAX($C$681:$C$694))</f>
        <v>0</v>
      </c>
      <c r="U694">
        <f>IF(COUNT($E$2:$E694)&lt;14,"",MIN($D$681:$D$694))</f>
        <v>0</v>
      </c>
      <c r="V694">
        <f>IF(OR(T694="",U694="",T694=U694),"",100*($E694-U694)/(T694-U694))</f>
        <v>0</v>
      </c>
      <c r="W694">
        <f>IF(COUNT($V$692:$V$694)&lt;3,"",AVERAGE($V$692:$V$694))</f>
        <v>0</v>
      </c>
      <c r="X694">
        <f>IF(COUNT($N$681:$N$694)&lt;14,"",MIN($N$681:$N$694))</f>
        <v>0</v>
      </c>
      <c r="Y694">
        <f>IF(COUNT($N$681:$N$694)&lt;14,"",MAX($N$681:$N$694))</f>
        <v>0</v>
      </c>
      <c r="Z694">
        <f>IF(OR(N694="",X694="",Y694="",Y694=X694),"",100*(N694-X694)/(Y694-X694))</f>
        <v>0</v>
      </c>
      <c r="AA694">
        <f>IF(COUNT($Z$692:$Z$694)&lt;3,"",AVERAGE($Z$692:$Z$694))</f>
        <v>0</v>
      </c>
      <c r="AB694">
        <f>IF(COUNT($AA$692:$AA$694)&lt;3,"",AVERAGE($AA$692:$AA$694))</f>
        <v>0</v>
      </c>
      <c r="AC694">
        <f>IF($E694="","",MAX($C694-$D694,ABS($C694-$E693),ABS($D694-$E693)))</f>
        <v>0</v>
      </c>
      <c r="AD694">
        <f>IF(COUNT($E$2:$E694)&lt;15,"",AVERAGE($AC$681:$AC$694))</f>
        <v>0</v>
      </c>
      <c r="AE694">
        <f>IF(OR($E694="",$E693=""),"",IF(AND(($C694-$C693)&gt;($D693-$D694),($C694-$C693)&gt;0),$C694-$C693,0))</f>
        <v>0</v>
      </c>
      <c r="AF694">
        <f>IF(OR($E694="",$E693=""),"",IF(AND(($D693-$D694)&gt;($C694-$C693),($D693-$D694)&gt;0),$D693-$D694,0))</f>
        <v>0</v>
      </c>
      <c r="AG694">
        <f>IF(COUNT($E$2:$E694)&lt;15,"",IF(SUM($AC$681:$AC$694)=0,0,100*SUM($AE$681:$AE$694)/SUM($AC$681:$AC$694)))</f>
        <v>0</v>
      </c>
      <c r="AH694">
        <f>IF(COUNT($E$2:$E694)&lt;15,"",IF(SUM($AC$681:$AC$694)=0,0,100*SUM($AF$681:$AF$694)/SUM($AC$681:$AC$694)))</f>
        <v>0</v>
      </c>
      <c r="AI694">
        <f>IF(OR(AG694="",AH694=""),"",IF((AG694+AH694)=0,0,100*ABS(AG694-AH694)/(AG694+AH694)))</f>
        <v>0</v>
      </c>
      <c r="AJ694">
        <f>IF(COUNT($AI$681:$AI$694)&lt;14,"",AVERAGE($AI$681:$AI$694))</f>
        <v>0</v>
      </c>
      <c r="AK694">
        <f>IF(COUNT($E$2:$E694)&lt;20,"",AVERAGE($E$675:$E$694))</f>
        <v>0</v>
      </c>
      <c r="AL694">
        <f>IF(COUNT($E$2:$E694)&lt;20,"",STDEVP($E$675:$E$694))</f>
        <v>0</v>
      </c>
      <c r="AM694">
        <f>IF(AK694="","",AK694+2*AL694)</f>
        <v>0</v>
      </c>
      <c r="AN694">
        <f>IF(AK694="","",AK694-2*AL694)</f>
        <v>0</v>
      </c>
      <c r="AO694">
        <f>IF(OR(AM694="",AN694="",AM694=AN694),"",($E694-AN694)/(AM694-AN694))</f>
        <v>0</v>
      </c>
      <c r="AP694">
        <f>IF(OR(AM694="",AK694="",AK694=0),"",(AM694-AN694)/AK694)</f>
        <v>0</v>
      </c>
      <c r="AQ694">
        <f>IF(COUNT($E$2:$E694)&lt;20,"",MAX($C$675:$C$694))</f>
        <v>0</v>
      </c>
      <c r="AR694">
        <f>IF(COUNT($E$2:$E694)&lt;20,"",MIN($D$675:$D$694))</f>
        <v>0</v>
      </c>
      <c r="AS694">
        <f>IF(OR(AQ694="",AR694=""),"",(AQ694+AR694)/2)</f>
        <v>0</v>
      </c>
      <c r="AT694">
        <f>IF(COUNT($G$675:$G$694)&lt;20,"",STDEV($G$675:$G$694)*SQRT(252))</f>
        <v>0</v>
      </c>
      <c r="AU694">
        <f>IF(COUNT($E$2:$E694)&lt;9,"",(MAX($C$686:$C$694)+MIN($D$686:$D$694))/2)</f>
        <v>0</v>
      </c>
      <c r="AV694">
        <f>IF(COUNT($E$2:$E694)&lt;26,"",(MAX($C$669:$C$694)+MIN($D$669:$D$694))/2)</f>
        <v>0</v>
      </c>
      <c r="AW694">
        <f>IF(OR(AU694="",AV694=""),"",(AU694+AV694)/2)</f>
        <v>0</v>
      </c>
      <c r="AX694">
        <f>IF(COUNT($E$2:$E694)&lt;52,"",(MAX($C$643:$C$694)+MIN($D$643:$D$694))/2)</f>
        <v>0</v>
      </c>
      <c r="AY694">
        <f>IF(COUNT($E$2:$E694)&lt;20,"",MAX($C$595:$C$694))</f>
        <v>0</v>
      </c>
      <c r="AZ694">
        <f>IF(COUNT($E$2:$E694)&lt;20,"",MIN($D$595:$D$694))</f>
        <v>0</v>
      </c>
      <c r="BA694">
        <f>IF(COUNT($E$2:$E694)&lt;20,"",SLOPE($E$595:$E$694,$F$595:$F$694))</f>
        <v>0</v>
      </c>
      <c r="BB694">
        <f>IF(COUNT($E$2:$E694)&lt;20,"",INTERCEPT($E$595:$E$694,$F$595:$F$694))</f>
        <v>0</v>
      </c>
      <c r="BC694">
        <f>IF(OR(BA694="",BB694=""),"",BB694+BA694*F694)</f>
        <v>0</v>
      </c>
      <c r="BD694">
        <f>IF(COUNT($E$2:$E694)&lt;20,"",STEYX($E$595:$E$694,$F$595:$F$694))</f>
        <v>0</v>
      </c>
      <c r="BE694">
        <f>IF($E694="","",IF(AND(COUNT($E$695:$E$698)&gt;=4,$C694=MAX($C$690:$C$698)),$C694,""))</f>
        <v>0</v>
      </c>
      <c r="BF694">
        <f>IF($E694="","",IF(AND(COUNT($E$695:$E$698)&gt;=4,$D694=MIN($D$690:$D$698)),$D694,""))</f>
        <v>0</v>
      </c>
      <c r="BG694">
        <f>IF($A694="","",$A694-WEEKDAY($A694,2)+1)</f>
        <v>0</v>
      </c>
      <c r="BH694">
        <f>IF($A694="","",IF($A693="",1,IF(BG694&lt;&gt;BG693,1,0)))</f>
        <v>0</v>
      </c>
      <c r="BI694">
        <f>IF($A694="","",IF($A695="",1,IF(BG695&lt;&gt;BG694,1,0)))</f>
        <v>0</v>
      </c>
      <c r="BJ694">
        <f>IF($A694="","",IF(BH694=1,$B694,BJ693))</f>
        <v>0</v>
      </c>
      <c r="BK694">
        <f>IF($A694="","",IF(BH694=1,$C694,MAX($C694,BK693)))</f>
        <v>0</v>
      </c>
      <c r="BL694">
        <f>IF($A694="","",IF(BH694=1,$D694,MIN($D694,BL693)))</f>
        <v>0</v>
      </c>
      <c r="BM694">
        <f>IF($A694="","",IF(BI694=1,F694,""))</f>
        <v>0</v>
      </c>
      <c r="BN694">
        <f>IF($A694="","",DATE(YEAR($A694),MONTH($A694),1))</f>
        <v>0</v>
      </c>
      <c r="BO694">
        <f>IF($A694="","",IF($A693="",1,IF(BN694&lt;&gt;BN693,1,0)))</f>
        <v>0</v>
      </c>
      <c r="BP694">
        <f>IF($A694="","",IF($A695="",1,IF(BN695&lt;&gt;BN694,1,0)))</f>
        <v>0</v>
      </c>
      <c r="BQ694">
        <f>IF($A694="","",IF(BO694=1,$B694,BQ693))</f>
        <v>0</v>
      </c>
      <c r="BR694">
        <f>IF($A694="","",IF(BO694=1,$C694,MAX($C694,BR693)))</f>
        <v>0</v>
      </c>
      <c r="BS694">
        <f>IF($A694="","",IF(BO694=1,$D694,MIN($D694,BS693)))</f>
        <v>0</v>
      </c>
      <c r="BT694">
        <f>IF($A694="","",IF(BP694=1,F694,""))</f>
        <v>0</v>
      </c>
    </row>
    <row r="695" spans="1:72">
      <c r="A695" s="27">
        <f>IF(Data!$A695="","",Data!$A695)</f>
        <v>0</v>
      </c>
      <c r="B695">
        <f>IF(Data!$B695="","",Data!$B695)</f>
        <v>0</v>
      </c>
      <c r="C695">
        <f>IF(Data!$C695="","",Data!$C695)</f>
        <v>0</v>
      </c>
      <c r="D695">
        <f>IF(Data!$D695="","",Data!$D695)</f>
        <v>0</v>
      </c>
      <c r="E695">
        <f>IF(Data!$E695="","",Data!$E695)</f>
        <v>0</v>
      </c>
      <c r="F695">
        <f>IF($E695="","",N(F694)+1)</f>
        <v>0</v>
      </c>
      <c r="G695">
        <f>IF(OR($E695="",$E694=""),"",LN($E695/$E694))</f>
        <v>0</v>
      </c>
      <c r="H695">
        <f>IF($E695="","",IF($E694="",$E695,$E695*0.0952380952+H694*0.9047619048))</f>
        <v>0</v>
      </c>
      <c r="I695">
        <f>IF($E695="","",IF($E694="",$E695,$E695*0.0392156863+I694*0.9607843137))</f>
        <v>0</v>
      </c>
      <c r="J695">
        <f>IF($E695="","",IF($E694="",$E695,$E695*0.0198019802+J694*0.9801980198))</f>
        <v>0</v>
      </c>
      <c r="K695">
        <f>IF($E695="","",IF($E694="",$E695,$E695*0.0099502488+K694*0.9900497512))</f>
        <v>0</v>
      </c>
      <c r="L695">
        <f>IF(OR($E695="",$E694=""),"",MAX($E695-$E694,0))</f>
        <v>0</v>
      </c>
      <c r="M695">
        <f>IF(OR($E695="",$E694=""),"",MAX($E694-$E695,0))</f>
        <v>0</v>
      </c>
      <c r="N695">
        <f>IF(COUNT($E$2:$E695)&lt;15,"",IF(AVERAGE($M$682:$M$695)=0,100,100-100/(1+AVERAGE($L$682:$L$695)/AVERAGE($M$682:$M$695))))</f>
        <v>0</v>
      </c>
      <c r="O695">
        <f>IF($E695="","",IF($E694="",$E695,$E695*0.1538461538+O694*0.8461538462))</f>
        <v>0</v>
      </c>
      <c r="P695">
        <f>IF($E695="","",IF($E694="",$E695,$E695*0.0740740741+P694*0.9259259259))</f>
        <v>0</v>
      </c>
      <c r="Q695">
        <f>IF(OR(O695="",P695=""),"",O695-P695)</f>
        <v>0</v>
      </c>
      <c r="R695">
        <f>IF(Q695="","",IF(R694="",Q695,Q695*0.2000000000+R694*0.8000000000))</f>
        <v>0</v>
      </c>
      <c r="S695">
        <f>IF(OR(Q695="",R695=""),"",Q695-R695)</f>
        <v>0</v>
      </c>
      <c r="T695">
        <f>IF(COUNT($E$2:$E695)&lt;14,"",MAX($C$682:$C$695))</f>
        <v>0</v>
      </c>
      <c r="U695">
        <f>IF(COUNT($E$2:$E695)&lt;14,"",MIN($D$682:$D$695))</f>
        <v>0</v>
      </c>
      <c r="V695">
        <f>IF(OR(T695="",U695="",T695=U695),"",100*($E695-U695)/(T695-U695))</f>
        <v>0</v>
      </c>
      <c r="W695">
        <f>IF(COUNT($V$693:$V$695)&lt;3,"",AVERAGE($V$693:$V$695))</f>
        <v>0</v>
      </c>
      <c r="X695">
        <f>IF(COUNT($N$682:$N$695)&lt;14,"",MIN($N$682:$N$695))</f>
        <v>0</v>
      </c>
      <c r="Y695">
        <f>IF(COUNT($N$682:$N$695)&lt;14,"",MAX($N$682:$N$695))</f>
        <v>0</v>
      </c>
      <c r="Z695">
        <f>IF(OR(N695="",X695="",Y695="",Y695=X695),"",100*(N695-X695)/(Y695-X695))</f>
        <v>0</v>
      </c>
      <c r="AA695">
        <f>IF(COUNT($Z$693:$Z$695)&lt;3,"",AVERAGE($Z$693:$Z$695))</f>
        <v>0</v>
      </c>
      <c r="AB695">
        <f>IF(COUNT($AA$693:$AA$695)&lt;3,"",AVERAGE($AA$693:$AA$695))</f>
        <v>0</v>
      </c>
      <c r="AC695">
        <f>IF($E695="","",MAX($C695-$D695,ABS($C695-$E694),ABS($D695-$E694)))</f>
        <v>0</v>
      </c>
      <c r="AD695">
        <f>IF(COUNT($E$2:$E695)&lt;15,"",AVERAGE($AC$682:$AC$695))</f>
        <v>0</v>
      </c>
      <c r="AE695">
        <f>IF(OR($E695="",$E694=""),"",IF(AND(($C695-$C694)&gt;($D694-$D695),($C695-$C694)&gt;0),$C695-$C694,0))</f>
        <v>0</v>
      </c>
      <c r="AF695">
        <f>IF(OR($E695="",$E694=""),"",IF(AND(($D694-$D695)&gt;($C695-$C694),($D694-$D695)&gt;0),$D694-$D695,0))</f>
        <v>0</v>
      </c>
      <c r="AG695">
        <f>IF(COUNT($E$2:$E695)&lt;15,"",IF(SUM($AC$682:$AC$695)=0,0,100*SUM($AE$682:$AE$695)/SUM($AC$682:$AC$695)))</f>
        <v>0</v>
      </c>
      <c r="AH695">
        <f>IF(COUNT($E$2:$E695)&lt;15,"",IF(SUM($AC$682:$AC$695)=0,0,100*SUM($AF$682:$AF$695)/SUM($AC$682:$AC$695)))</f>
        <v>0</v>
      </c>
      <c r="AI695">
        <f>IF(OR(AG695="",AH695=""),"",IF((AG695+AH695)=0,0,100*ABS(AG695-AH695)/(AG695+AH695)))</f>
        <v>0</v>
      </c>
      <c r="AJ695">
        <f>IF(COUNT($AI$682:$AI$695)&lt;14,"",AVERAGE($AI$682:$AI$695))</f>
        <v>0</v>
      </c>
      <c r="AK695">
        <f>IF(COUNT($E$2:$E695)&lt;20,"",AVERAGE($E$676:$E$695))</f>
        <v>0</v>
      </c>
      <c r="AL695">
        <f>IF(COUNT($E$2:$E695)&lt;20,"",STDEVP($E$676:$E$695))</f>
        <v>0</v>
      </c>
      <c r="AM695">
        <f>IF(AK695="","",AK695+2*AL695)</f>
        <v>0</v>
      </c>
      <c r="AN695">
        <f>IF(AK695="","",AK695-2*AL695)</f>
        <v>0</v>
      </c>
      <c r="AO695">
        <f>IF(OR(AM695="",AN695="",AM695=AN695),"",($E695-AN695)/(AM695-AN695))</f>
        <v>0</v>
      </c>
      <c r="AP695">
        <f>IF(OR(AM695="",AK695="",AK695=0),"",(AM695-AN695)/AK695)</f>
        <v>0</v>
      </c>
      <c r="AQ695">
        <f>IF(COUNT($E$2:$E695)&lt;20,"",MAX($C$676:$C$695))</f>
        <v>0</v>
      </c>
      <c r="AR695">
        <f>IF(COUNT($E$2:$E695)&lt;20,"",MIN($D$676:$D$695))</f>
        <v>0</v>
      </c>
      <c r="AS695">
        <f>IF(OR(AQ695="",AR695=""),"",(AQ695+AR695)/2)</f>
        <v>0</v>
      </c>
      <c r="AT695">
        <f>IF(COUNT($G$676:$G$695)&lt;20,"",STDEV($G$676:$G$695)*SQRT(252))</f>
        <v>0</v>
      </c>
      <c r="AU695">
        <f>IF(COUNT($E$2:$E695)&lt;9,"",(MAX($C$687:$C$695)+MIN($D$687:$D$695))/2)</f>
        <v>0</v>
      </c>
      <c r="AV695">
        <f>IF(COUNT($E$2:$E695)&lt;26,"",(MAX($C$670:$C$695)+MIN($D$670:$D$695))/2)</f>
        <v>0</v>
      </c>
      <c r="AW695">
        <f>IF(OR(AU695="",AV695=""),"",(AU695+AV695)/2)</f>
        <v>0</v>
      </c>
      <c r="AX695">
        <f>IF(COUNT($E$2:$E695)&lt;52,"",(MAX($C$644:$C$695)+MIN($D$644:$D$695))/2)</f>
        <v>0</v>
      </c>
      <c r="AY695">
        <f>IF(COUNT($E$2:$E695)&lt;20,"",MAX($C$596:$C$695))</f>
        <v>0</v>
      </c>
      <c r="AZ695">
        <f>IF(COUNT($E$2:$E695)&lt;20,"",MIN($D$596:$D$695))</f>
        <v>0</v>
      </c>
      <c r="BA695">
        <f>IF(COUNT($E$2:$E695)&lt;20,"",SLOPE($E$596:$E$695,$F$596:$F$695))</f>
        <v>0</v>
      </c>
      <c r="BB695">
        <f>IF(COUNT($E$2:$E695)&lt;20,"",INTERCEPT($E$596:$E$695,$F$596:$F$695))</f>
        <v>0</v>
      </c>
      <c r="BC695">
        <f>IF(OR(BA695="",BB695=""),"",BB695+BA695*F695)</f>
        <v>0</v>
      </c>
      <c r="BD695">
        <f>IF(COUNT($E$2:$E695)&lt;20,"",STEYX($E$596:$E$695,$F$596:$F$695))</f>
        <v>0</v>
      </c>
      <c r="BE695">
        <f>IF($E695="","",IF(AND(COUNT($E$696:$E$699)&gt;=4,$C695=MAX($C$691:$C$699)),$C695,""))</f>
        <v>0</v>
      </c>
      <c r="BF695">
        <f>IF($E695="","",IF(AND(COUNT($E$696:$E$699)&gt;=4,$D695=MIN($D$691:$D$699)),$D695,""))</f>
        <v>0</v>
      </c>
      <c r="BG695">
        <f>IF($A695="","",$A695-WEEKDAY($A695,2)+1)</f>
        <v>0</v>
      </c>
      <c r="BH695">
        <f>IF($A695="","",IF($A694="",1,IF(BG695&lt;&gt;BG694,1,0)))</f>
        <v>0</v>
      </c>
      <c r="BI695">
        <f>IF($A695="","",IF($A696="",1,IF(BG696&lt;&gt;BG695,1,0)))</f>
        <v>0</v>
      </c>
      <c r="BJ695">
        <f>IF($A695="","",IF(BH695=1,$B695,BJ694))</f>
        <v>0</v>
      </c>
      <c r="BK695">
        <f>IF($A695="","",IF(BH695=1,$C695,MAX($C695,BK694)))</f>
        <v>0</v>
      </c>
      <c r="BL695">
        <f>IF($A695="","",IF(BH695=1,$D695,MIN($D695,BL694)))</f>
        <v>0</v>
      </c>
      <c r="BM695">
        <f>IF($A695="","",IF(BI695=1,F695,""))</f>
        <v>0</v>
      </c>
      <c r="BN695">
        <f>IF($A695="","",DATE(YEAR($A695),MONTH($A695),1))</f>
        <v>0</v>
      </c>
      <c r="BO695">
        <f>IF($A695="","",IF($A694="",1,IF(BN695&lt;&gt;BN694,1,0)))</f>
        <v>0</v>
      </c>
      <c r="BP695">
        <f>IF($A695="","",IF($A696="",1,IF(BN696&lt;&gt;BN695,1,0)))</f>
        <v>0</v>
      </c>
      <c r="BQ695">
        <f>IF($A695="","",IF(BO695=1,$B695,BQ694))</f>
        <v>0</v>
      </c>
      <c r="BR695">
        <f>IF($A695="","",IF(BO695=1,$C695,MAX($C695,BR694)))</f>
        <v>0</v>
      </c>
      <c r="BS695">
        <f>IF($A695="","",IF(BO695=1,$D695,MIN($D695,BS694)))</f>
        <v>0</v>
      </c>
      <c r="BT695">
        <f>IF($A695="","",IF(BP695=1,F695,""))</f>
        <v>0</v>
      </c>
    </row>
    <row r="696" spans="1:72">
      <c r="A696" s="27">
        <f>IF(Data!$A696="","",Data!$A696)</f>
        <v>0</v>
      </c>
      <c r="B696">
        <f>IF(Data!$B696="","",Data!$B696)</f>
        <v>0</v>
      </c>
      <c r="C696">
        <f>IF(Data!$C696="","",Data!$C696)</f>
        <v>0</v>
      </c>
      <c r="D696">
        <f>IF(Data!$D696="","",Data!$D696)</f>
        <v>0</v>
      </c>
      <c r="E696">
        <f>IF(Data!$E696="","",Data!$E696)</f>
        <v>0</v>
      </c>
      <c r="F696">
        <f>IF($E696="","",N(F695)+1)</f>
        <v>0</v>
      </c>
      <c r="G696">
        <f>IF(OR($E696="",$E695=""),"",LN($E696/$E695))</f>
        <v>0</v>
      </c>
      <c r="H696">
        <f>IF($E696="","",IF($E695="",$E696,$E696*0.0952380952+H695*0.9047619048))</f>
        <v>0</v>
      </c>
      <c r="I696">
        <f>IF($E696="","",IF($E695="",$E696,$E696*0.0392156863+I695*0.9607843137))</f>
        <v>0</v>
      </c>
      <c r="J696">
        <f>IF($E696="","",IF($E695="",$E696,$E696*0.0198019802+J695*0.9801980198))</f>
        <v>0</v>
      </c>
      <c r="K696">
        <f>IF($E696="","",IF($E695="",$E696,$E696*0.0099502488+K695*0.9900497512))</f>
        <v>0</v>
      </c>
      <c r="L696">
        <f>IF(OR($E696="",$E695=""),"",MAX($E696-$E695,0))</f>
        <v>0</v>
      </c>
      <c r="M696">
        <f>IF(OR($E696="",$E695=""),"",MAX($E695-$E696,0))</f>
        <v>0</v>
      </c>
      <c r="N696">
        <f>IF(COUNT($E$2:$E696)&lt;15,"",IF(AVERAGE($M$683:$M$696)=0,100,100-100/(1+AVERAGE($L$683:$L$696)/AVERAGE($M$683:$M$696))))</f>
        <v>0</v>
      </c>
      <c r="O696">
        <f>IF($E696="","",IF($E695="",$E696,$E696*0.1538461538+O695*0.8461538462))</f>
        <v>0</v>
      </c>
      <c r="P696">
        <f>IF($E696="","",IF($E695="",$E696,$E696*0.0740740741+P695*0.9259259259))</f>
        <v>0</v>
      </c>
      <c r="Q696">
        <f>IF(OR(O696="",P696=""),"",O696-P696)</f>
        <v>0</v>
      </c>
      <c r="R696">
        <f>IF(Q696="","",IF(R695="",Q696,Q696*0.2000000000+R695*0.8000000000))</f>
        <v>0</v>
      </c>
      <c r="S696">
        <f>IF(OR(Q696="",R696=""),"",Q696-R696)</f>
        <v>0</v>
      </c>
      <c r="T696">
        <f>IF(COUNT($E$2:$E696)&lt;14,"",MAX($C$683:$C$696))</f>
        <v>0</v>
      </c>
      <c r="U696">
        <f>IF(COUNT($E$2:$E696)&lt;14,"",MIN($D$683:$D$696))</f>
        <v>0</v>
      </c>
      <c r="V696">
        <f>IF(OR(T696="",U696="",T696=U696),"",100*($E696-U696)/(T696-U696))</f>
        <v>0</v>
      </c>
      <c r="W696">
        <f>IF(COUNT($V$694:$V$696)&lt;3,"",AVERAGE($V$694:$V$696))</f>
        <v>0</v>
      </c>
      <c r="X696">
        <f>IF(COUNT($N$683:$N$696)&lt;14,"",MIN($N$683:$N$696))</f>
        <v>0</v>
      </c>
      <c r="Y696">
        <f>IF(COUNT($N$683:$N$696)&lt;14,"",MAX($N$683:$N$696))</f>
        <v>0</v>
      </c>
      <c r="Z696">
        <f>IF(OR(N696="",X696="",Y696="",Y696=X696),"",100*(N696-X696)/(Y696-X696))</f>
        <v>0</v>
      </c>
      <c r="AA696">
        <f>IF(COUNT($Z$694:$Z$696)&lt;3,"",AVERAGE($Z$694:$Z$696))</f>
        <v>0</v>
      </c>
      <c r="AB696">
        <f>IF(COUNT($AA$694:$AA$696)&lt;3,"",AVERAGE($AA$694:$AA$696))</f>
        <v>0</v>
      </c>
      <c r="AC696">
        <f>IF($E696="","",MAX($C696-$D696,ABS($C696-$E695),ABS($D696-$E695)))</f>
        <v>0</v>
      </c>
      <c r="AD696">
        <f>IF(COUNT($E$2:$E696)&lt;15,"",AVERAGE($AC$683:$AC$696))</f>
        <v>0</v>
      </c>
      <c r="AE696">
        <f>IF(OR($E696="",$E695=""),"",IF(AND(($C696-$C695)&gt;($D695-$D696),($C696-$C695)&gt;0),$C696-$C695,0))</f>
        <v>0</v>
      </c>
      <c r="AF696">
        <f>IF(OR($E696="",$E695=""),"",IF(AND(($D695-$D696)&gt;($C696-$C695),($D695-$D696)&gt;0),$D695-$D696,0))</f>
        <v>0</v>
      </c>
      <c r="AG696">
        <f>IF(COUNT($E$2:$E696)&lt;15,"",IF(SUM($AC$683:$AC$696)=0,0,100*SUM($AE$683:$AE$696)/SUM($AC$683:$AC$696)))</f>
        <v>0</v>
      </c>
      <c r="AH696">
        <f>IF(COUNT($E$2:$E696)&lt;15,"",IF(SUM($AC$683:$AC$696)=0,0,100*SUM($AF$683:$AF$696)/SUM($AC$683:$AC$696)))</f>
        <v>0</v>
      </c>
      <c r="AI696">
        <f>IF(OR(AG696="",AH696=""),"",IF((AG696+AH696)=0,0,100*ABS(AG696-AH696)/(AG696+AH696)))</f>
        <v>0</v>
      </c>
      <c r="AJ696">
        <f>IF(COUNT($AI$683:$AI$696)&lt;14,"",AVERAGE($AI$683:$AI$696))</f>
        <v>0</v>
      </c>
      <c r="AK696">
        <f>IF(COUNT($E$2:$E696)&lt;20,"",AVERAGE($E$677:$E$696))</f>
        <v>0</v>
      </c>
      <c r="AL696">
        <f>IF(COUNT($E$2:$E696)&lt;20,"",STDEVP($E$677:$E$696))</f>
        <v>0</v>
      </c>
      <c r="AM696">
        <f>IF(AK696="","",AK696+2*AL696)</f>
        <v>0</v>
      </c>
      <c r="AN696">
        <f>IF(AK696="","",AK696-2*AL696)</f>
        <v>0</v>
      </c>
      <c r="AO696">
        <f>IF(OR(AM696="",AN696="",AM696=AN696),"",($E696-AN696)/(AM696-AN696))</f>
        <v>0</v>
      </c>
      <c r="AP696">
        <f>IF(OR(AM696="",AK696="",AK696=0),"",(AM696-AN696)/AK696)</f>
        <v>0</v>
      </c>
      <c r="AQ696">
        <f>IF(COUNT($E$2:$E696)&lt;20,"",MAX($C$677:$C$696))</f>
        <v>0</v>
      </c>
      <c r="AR696">
        <f>IF(COUNT($E$2:$E696)&lt;20,"",MIN($D$677:$D$696))</f>
        <v>0</v>
      </c>
      <c r="AS696">
        <f>IF(OR(AQ696="",AR696=""),"",(AQ696+AR696)/2)</f>
        <v>0</v>
      </c>
      <c r="AT696">
        <f>IF(COUNT($G$677:$G$696)&lt;20,"",STDEV($G$677:$G$696)*SQRT(252))</f>
        <v>0</v>
      </c>
      <c r="AU696">
        <f>IF(COUNT($E$2:$E696)&lt;9,"",(MAX($C$688:$C$696)+MIN($D$688:$D$696))/2)</f>
        <v>0</v>
      </c>
      <c r="AV696">
        <f>IF(COUNT($E$2:$E696)&lt;26,"",(MAX($C$671:$C$696)+MIN($D$671:$D$696))/2)</f>
        <v>0</v>
      </c>
      <c r="AW696">
        <f>IF(OR(AU696="",AV696=""),"",(AU696+AV696)/2)</f>
        <v>0</v>
      </c>
      <c r="AX696">
        <f>IF(COUNT($E$2:$E696)&lt;52,"",(MAX($C$645:$C$696)+MIN($D$645:$D$696))/2)</f>
        <v>0</v>
      </c>
      <c r="AY696">
        <f>IF(COUNT($E$2:$E696)&lt;20,"",MAX($C$597:$C$696))</f>
        <v>0</v>
      </c>
      <c r="AZ696">
        <f>IF(COUNT($E$2:$E696)&lt;20,"",MIN($D$597:$D$696))</f>
        <v>0</v>
      </c>
      <c r="BA696">
        <f>IF(COUNT($E$2:$E696)&lt;20,"",SLOPE($E$597:$E$696,$F$597:$F$696))</f>
        <v>0</v>
      </c>
      <c r="BB696">
        <f>IF(COUNT($E$2:$E696)&lt;20,"",INTERCEPT($E$597:$E$696,$F$597:$F$696))</f>
        <v>0</v>
      </c>
      <c r="BC696">
        <f>IF(OR(BA696="",BB696=""),"",BB696+BA696*F696)</f>
        <v>0</v>
      </c>
      <c r="BD696">
        <f>IF(COUNT($E$2:$E696)&lt;20,"",STEYX($E$597:$E$696,$F$597:$F$696))</f>
        <v>0</v>
      </c>
      <c r="BE696">
        <f>IF($E696="","",IF(AND(COUNT($E$697:$E$700)&gt;=4,$C696=MAX($C$692:$C$700)),$C696,""))</f>
        <v>0</v>
      </c>
      <c r="BF696">
        <f>IF($E696="","",IF(AND(COUNT($E$697:$E$700)&gt;=4,$D696=MIN($D$692:$D$700)),$D696,""))</f>
        <v>0</v>
      </c>
      <c r="BG696">
        <f>IF($A696="","",$A696-WEEKDAY($A696,2)+1)</f>
        <v>0</v>
      </c>
      <c r="BH696">
        <f>IF($A696="","",IF($A695="",1,IF(BG696&lt;&gt;BG695,1,0)))</f>
        <v>0</v>
      </c>
      <c r="BI696">
        <f>IF($A696="","",IF($A697="",1,IF(BG697&lt;&gt;BG696,1,0)))</f>
        <v>0</v>
      </c>
      <c r="BJ696">
        <f>IF($A696="","",IF(BH696=1,$B696,BJ695))</f>
        <v>0</v>
      </c>
      <c r="BK696">
        <f>IF($A696="","",IF(BH696=1,$C696,MAX($C696,BK695)))</f>
        <v>0</v>
      </c>
      <c r="BL696">
        <f>IF($A696="","",IF(BH696=1,$D696,MIN($D696,BL695)))</f>
        <v>0</v>
      </c>
      <c r="BM696">
        <f>IF($A696="","",IF(BI696=1,F696,""))</f>
        <v>0</v>
      </c>
      <c r="BN696">
        <f>IF($A696="","",DATE(YEAR($A696),MONTH($A696),1))</f>
        <v>0</v>
      </c>
      <c r="BO696">
        <f>IF($A696="","",IF($A695="",1,IF(BN696&lt;&gt;BN695,1,0)))</f>
        <v>0</v>
      </c>
      <c r="BP696">
        <f>IF($A696="","",IF($A697="",1,IF(BN697&lt;&gt;BN696,1,0)))</f>
        <v>0</v>
      </c>
      <c r="BQ696">
        <f>IF($A696="","",IF(BO696=1,$B696,BQ695))</f>
        <v>0</v>
      </c>
      <c r="BR696">
        <f>IF($A696="","",IF(BO696=1,$C696,MAX($C696,BR695)))</f>
        <v>0</v>
      </c>
      <c r="BS696">
        <f>IF($A696="","",IF(BO696=1,$D696,MIN($D696,BS695)))</f>
        <v>0</v>
      </c>
      <c r="BT696">
        <f>IF($A696="","",IF(BP696=1,F696,""))</f>
        <v>0</v>
      </c>
    </row>
    <row r="697" spans="1:72">
      <c r="A697" s="27">
        <f>IF(Data!$A697="","",Data!$A697)</f>
        <v>0</v>
      </c>
      <c r="B697">
        <f>IF(Data!$B697="","",Data!$B697)</f>
        <v>0</v>
      </c>
      <c r="C697">
        <f>IF(Data!$C697="","",Data!$C697)</f>
        <v>0</v>
      </c>
      <c r="D697">
        <f>IF(Data!$D697="","",Data!$D697)</f>
        <v>0</v>
      </c>
      <c r="E697">
        <f>IF(Data!$E697="","",Data!$E697)</f>
        <v>0</v>
      </c>
      <c r="F697">
        <f>IF($E697="","",N(F696)+1)</f>
        <v>0</v>
      </c>
      <c r="G697">
        <f>IF(OR($E697="",$E696=""),"",LN($E697/$E696))</f>
        <v>0</v>
      </c>
      <c r="H697">
        <f>IF($E697="","",IF($E696="",$E697,$E697*0.0952380952+H696*0.9047619048))</f>
        <v>0</v>
      </c>
      <c r="I697">
        <f>IF($E697="","",IF($E696="",$E697,$E697*0.0392156863+I696*0.9607843137))</f>
        <v>0</v>
      </c>
      <c r="J697">
        <f>IF($E697="","",IF($E696="",$E697,$E697*0.0198019802+J696*0.9801980198))</f>
        <v>0</v>
      </c>
      <c r="K697">
        <f>IF($E697="","",IF($E696="",$E697,$E697*0.0099502488+K696*0.9900497512))</f>
        <v>0</v>
      </c>
      <c r="L697">
        <f>IF(OR($E697="",$E696=""),"",MAX($E697-$E696,0))</f>
        <v>0</v>
      </c>
      <c r="M697">
        <f>IF(OR($E697="",$E696=""),"",MAX($E696-$E697,0))</f>
        <v>0</v>
      </c>
      <c r="N697">
        <f>IF(COUNT($E$2:$E697)&lt;15,"",IF(AVERAGE($M$684:$M$697)=0,100,100-100/(1+AVERAGE($L$684:$L$697)/AVERAGE($M$684:$M$697))))</f>
        <v>0</v>
      </c>
      <c r="O697">
        <f>IF($E697="","",IF($E696="",$E697,$E697*0.1538461538+O696*0.8461538462))</f>
        <v>0</v>
      </c>
      <c r="P697">
        <f>IF($E697="","",IF($E696="",$E697,$E697*0.0740740741+P696*0.9259259259))</f>
        <v>0</v>
      </c>
      <c r="Q697">
        <f>IF(OR(O697="",P697=""),"",O697-P697)</f>
        <v>0</v>
      </c>
      <c r="R697">
        <f>IF(Q697="","",IF(R696="",Q697,Q697*0.2000000000+R696*0.8000000000))</f>
        <v>0</v>
      </c>
      <c r="S697">
        <f>IF(OR(Q697="",R697=""),"",Q697-R697)</f>
        <v>0</v>
      </c>
      <c r="T697">
        <f>IF(COUNT($E$2:$E697)&lt;14,"",MAX($C$684:$C$697))</f>
        <v>0</v>
      </c>
      <c r="U697">
        <f>IF(COUNT($E$2:$E697)&lt;14,"",MIN($D$684:$D$697))</f>
        <v>0</v>
      </c>
      <c r="V697">
        <f>IF(OR(T697="",U697="",T697=U697),"",100*($E697-U697)/(T697-U697))</f>
        <v>0</v>
      </c>
      <c r="W697">
        <f>IF(COUNT($V$695:$V$697)&lt;3,"",AVERAGE($V$695:$V$697))</f>
        <v>0</v>
      </c>
      <c r="X697">
        <f>IF(COUNT($N$684:$N$697)&lt;14,"",MIN($N$684:$N$697))</f>
        <v>0</v>
      </c>
      <c r="Y697">
        <f>IF(COUNT($N$684:$N$697)&lt;14,"",MAX($N$684:$N$697))</f>
        <v>0</v>
      </c>
      <c r="Z697">
        <f>IF(OR(N697="",X697="",Y697="",Y697=X697),"",100*(N697-X697)/(Y697-X697))</f>
        <v>0</v>
      </c>
      <c r="AA697">
        <f>IF(COUNT($Z$695:$Z$697)&lt;3,"",AVERAGE($Z$695:$Z$697))</f>
        <v>0</v>
      </c>
      <c r="AB697">
        <f>IF(COUNT($AA$695:$AA$697)&lt;3,"",AVERAGE($AA$695:$AA$697))</f>
        <v>0</v>
      </c>
      <c r="AC697">
        <f>IF($E697="","",MAX($C697-$D697,ABS($C697-$E696),ABS($D697-$E696)))</f>
        <v>0</v>
      </c>
      <c r="AD697">
        <f>IF(COUNT($E$2:$E697)&lt;15,"",AVERAGE($AC$684:$AC$697))</f>
        <v>0</v>
      </c>
      <c r="AE697">
        <f>IF(OR($E697="",$E696=""),"",IF(AND(($C697-$C696)&gt;($D696-$D697),($C697-$C696)&gt;0),$C697-$C696,0))</f>
        <v>0</v>
      </c>
      <c r="AF697">
        <f>IF(OR($E697="",$E696=""),"",IF(AND(($D696-$D697)&gt;($C697-$C696),($D696-$D697)&gt;0),$D696-$D697,0))</f>
        <v>0</v>
      </c>
      <c r="AG697">
        <f>IF(COUNT($E$2:$E697)&lt;15,"",IF(SUM($AC$684:$AC$697)=0,0,100*SUM($AE$684:$AE$697)/SUM($AC$684:$AC$697)))</f>
        <v>0</v>
      </c>
      <c r="AH697">
        <f>IF(COUNT($E$2:$E697)&lt;15,"",IF(SUM($AC$684:$AC$697)=0,0,100*SUM($AF$684:$AF$697)/SUM($AC$684:$AC$697)))</f>
        <v>0</v>
      </c>
      <c r="AI697">
        <f>IF(OR(AG697="",AH697=""),"",IF((AG697+AH697)=0,0,100*ABS(AG697-AH697)/(AG697+AH697)))</f>
        <v>0</v>
      </c>
      <c r="AJ697">
        <f>IF(COUNT($AI$684:$AI$697)&lt;14,"",AVERAGE($AI$684:$AI$697))</f>
        <v>0</v>
      </c>
      <c r="AK697">
        <f>IF(COUNT($E$2:$E697)&lt;20,"",AVERAGE($E$678:$E$697))</f>
        <v>0</v>
      </c>
      <c r="AL697">
        <f>IF(COUNT($E$2:$E697)&lt;20,"",STDEVP($E$678:$E$697))</f>
        <v>0</v>
      </c>
      <c r="AM697">
        <f>IF(AK697="","",AK697+2*AL697)</f>
        <v>0</v>
      </c>
      <c r="AN697">
        <f>IF(AK697="","",AK697-2*AL697)</f>
        <v>0</v>
      </c>
      <c r="AO697">
        <f>IF(OR(AM697="",AN697="",AM697=AN697),"",($E697-AN697)/(AM697-AN697))</f>
        <v>0</v>
      </c>
      <c r="AP697">
        <f>IF(OR(AM697="",AK697="",AK697=0),"",(AM697-AN697)/AK697)</f>
        <v>0</v>
      </c>
      <c r="AQ697">
        <f>IF(COUNT($E$2:$E697)&lt;20,"",MAX($C$678:$C$697))</f>
        <v>0</v>
      </c>
      <c r="AR697">
        <f>IF(COUNT($E$2:$E697)&lt;20,"",MIN($D$678:$D$697))</f>
        <v>0</v>
      </c>
      <c r="AS697">
        <f>IF(OR(AQ697="",AR697=""),"",(AQ697+AR697)/2)</f>
        <v>0</v>
      </c>
      <c r="AT697">
        <f>IF(COUNT($G$678:$G$697)&lt;20,"",STDEV($G$678:$G$697)*SQRT(252))</f>
        <v>0</v>
      </c>
      <c r="AU697">
        <f>IF(COUNT($E$2:$E697)&lt;9,"",(MAX($C$689:$C$697)+MIN($D$689:$D$697))/2)</f>
        <v>0</v>
      </c>
      <c r="AV697">
        <f>IF(COUNT($E$2:$E697)&lt;26,"",(MAX($C$672:$C$697)+MIN($D$672:$D$697))/2)</f>
        <v>0</v>
      </c>
      <c r="AW697">
        <f>IF(OR(AU697="",AV697=""),"",(AU697+AV697)/2)</f>
        <v>0</v>
      </c>
      <c r="AX697">
        <f>IF(COUNT($E$2:$E697)&lt;52,"",(MAX($C$646:$C$697)+MIN($D$646:$D$697))/2)</f>
        <v>0</v>
      </c>
      <c r="AY697">
        <f>IF(COUNT($E$2:$E697)&lt;20,"",MAX($C$598:$C$697))</f>
        <v>0</v>
      </c>
      <c r="AZ697">
        <f>IF(COUNT($E$2:$E697)&lt;20,"",MIN($D$598:$D$697))</f>
        <v>0</v>
      </c>
      <c r="BA697">
        <f>IF(COUNT($E$2:$E697)&lt;20,"",SLOPE($E$598:$E$697,$F$598:$F$697))</f>
        <v>0</v>
      </c>
      <c r="BB697">
        <f>IF(COUNT($E$2:$E697)&lt;20,"",INTERCEPT($E$598:$E$697,$F$598:$F$697))</f>
        <v>0</v>
      </c>
      <c r="BC697">
        <f>IF(OR(BA697="",BB697=""),"",BB697+BA697*F697)</f>
        <v>0</v>
      </c>
      <c r="BD697">
        <f>IF(COUNT($E$2:$E697)&lt;20,"",STEYX($E$598:$E$697,$F$598:$F$697))</f>
        <v>0</v>
      </c>
      <c r="BE697">
        <f>IF($E697="","",IF(AND(COUNT($E$698:$E$701)&gt;=4,$C697=MAX($C$693:$C$701)),$C697,""))</f>
        <v>0</v>
      </c>
      <c r="BF697">
        <f>IF($E697="","",IF(AND(COUNT($E$698:$E$701)&gt;=4,$D697=MIN($D$693:$D$701)),$D697,""))</f>
        <v>0</v>
      </c>
      <c r="BG697">
        <f>IF($A697="","",$A697-WEEKDAY($A697,2)+1)</f>
        <v>0</v>
      </c>
      <c r="BH697">
        <f>IF($A697="","",IF($A696="",1,IF(BG697&lt;&gt;BG696,1,0)))</f>
        <v>0</v>
      </c>
      <c r="BI697">
        <f>IF($A697="","",IF($A698="",1,IF(BG698&lt;&gt;BG697,1,0)))</f>
        <v>0</v>
      </c>
      <c r="BJ697">
        <f>IF($A697="","",IF(BH697=1,$B697,BJ696))</f>
        <v>0</v>
      </c>
      <c r="BK697">
        <f>IF($A697="","",IF(BH697=1,$C697,MAX($C697,BK696)))</f>
        <v>0</v>
      </c>
      <c r="BL697">
        <f>IF($A697="","",IF(BH697=1,$D697,MIN($D697,BL696)))</f>
        <v>0</v>
      </c>
      <c r="BM697">
        <f>IF($A697="","",IF(BI697=1,F697,""))</f>
        <v>0</v>
      </c>
      <c r="BN697">
        <f>IF($A697="","",DATE(YEAR($A697),MONTH($A697),1))</f>
        <v>0</v>
      </c>
      <c r="BO697">
        <f>IF($A697="","",IF($A696="",1,IF(BN697&lt;&gt;BN696,1,0)))</f>
        <v>0</v>
      </c>
      <c r="BP697">
        <f>IF($A697="","",IF($A698="",1,IF(BN698&lt;&gt;BN697,1,0)))</f>
        <v>0</v>
      </c>
      <c r="BQ697">
        <f>IF($A697="","",IF(BO697=1,$B697,BQ696))</f>
        <v>0</v>
      </c>
      <c r="BR697">
        <f>IF($A697="","",IF(BO697=1,$C697,MAX($C697,BR696)))</f>
        <v>0</v>
      </c>
      <c r="BS697">
        <f>IF($A697="","",IF(BO697=1,$D697,MIN($D697,BS696)))</f>
        <v>0</v>
      </c>
      <c r="BT697">
        <f>IF($A697="","",IF(BP697=1,F697,""))</f>
        <v>0</v>
      </c>
    </row>
    <row r="698" spans="1:72">
      <c r="A698" s="27">
        <f>IF(Data!$A698="","",Data!$A698)</f>
        <v>0</v>
      </c>
      <c r="B698">
        <f>IF(Data!$B698="","",Data!$B698)</f>
        <v>0</v>
      </c>
      <c r="C698">
        <f>IF(Data!$C698="","",Data!$C698)</f>
        <v>0</v>
      </c>
      <c r="D698">
        <f>IF(Data!$D698="","",Data!$D698)</f>
        <v>0</v>
      </c>
      <c r="E698">
        <f>IF(Data!$E698="","",Data!$E698)</f>
        <v>0</v>
      </c>
      <c r="F698">
        <f>IF($E698="","",N(F697)+1)</f>
        <v>0</v>
      </c>
      <c r="G698">
        <f>IF(OR($E698="",$E697=""),"",LN($E698/$E697))</f>
        <v>0</v>
      </c>
      <c r="H698">
        <f>IF($E698="","",IF($E697="",$E698,$E698*0.0952380952+H697*0.9047619048))</f>
        <v>0</v>
      </c>
      <c r="I698">
        <f>IF($E698="","",IF($E697="",$E698,$E698*0.0392156863+I697*0.9607843137))</f>
        <v>0</v>
      </c>
      <c r="J698">
        <f>IF($E698="","",IF($E697="",$E698,$E698*0.0198019802+J697*0.9801980198))</f>
        <v>0</v>
      </c>
      <c r="K698">
        <f>IF($E698="","",IF($E697="",$E698,$E698*0.0099502488+K697*0.9900497512))</f>
        <v>0</v>
      </c>
      <c r="L698">
        <f>IF(OR($E698="",$E697=""),"",MAX($E698-$E697,0))</f>
        <v>0</v>
      </c>
      <c r="M698">
        <f>IF(OR($E698="",$E697=""),"",MAX($E697-$E698,0))</f>
        <v>0</v>
      </c>
      <c r="N698">
        <f>IF(COUNT($E$2:$E698)&lt;15,"",IF(AVERAGE($M$685:$M$698)=0,100,100-100/(1+AVERAGE($L$685:$L$698)/AVERAGE($M$685:$M$698))))</f>
        <v>0</v>
      </c>
      <c r="O698">
        <f>IF($E698="","",IF($E697="",$E698,$E698*0.1538461538+O697*0.8461538462))</f>
        <v>0</v>
      </c>
      <c r="P698">
        <f>IF($E698="","",IF($E697="",$E698,$E698*0.0740740741+P697*0.9259259259))</f>
        <v>0</v>
      </c>
      <c r="Q698">
        <f>IF(OR(O698="",P698=""),"",O698-P698)</f>
        <v>0</v>
      </c>
      <c r="R698">
        <f>IF(Q698="","",IF(R697="",Q698,Q698*0.2000000000+R697*0.8000000000))</f>
        <v>0</v>
      </c>
      <c r="S698">
        <f>IF(OR(Q698="",R698=""),"",Q698-R698)</f>
        <v>0</v>
      </c>
      <c r="T698">
        <f>IF(COUNT($E$2:$E698)&lt;14,"",MAX($C$685:$C$698))</f>
        <v>0</v>
      </c>
      <c r="U698">
        <f>IF(COUNT($E$2:$E698)&lt;14,"",MIN($D$685:$D$698))</f>
        <v>0</v>
      </c>
      <c r="V698">
        <f>IF(OR(T698="",U698="",T698=U698),"",100*($E698-U698)/(T698-U698))</f>
        <v>0</v>
      </c>
      <c r="W698">
        <f>IF(COUNT($V$696:$V$698)&lt;3,"",AVERAGE($V$696:$V$698))</f>
        <v>0</v>
      </c>
      <c r="X698">
        <f>IF(COUNT($N$685:$N$698)&lt;14,"",MIN($N$685:$N$698))</f>
        <v>0</v>
      </c>
      <c r="Y698">
        <f>IF(COUNT($N$685:$N$698)&lt;14,"",MAX($N$685:$N$698))</f>
        <v>0</v>
      </c>
      <c r="Z698">
        <f>IF(OR(N698="",X698="",Y698="",Y698=X698),"",100*(N698-X698)/(Y698-X698))</f>
        <v>0</v>
      </c>
      <c r="AA698">
        <f>IF(COUNT($Z$696:$Z$698)&lt;3,"",AVERAGE($Z$696:$Z$698))</f>
        <v>0</v>
      </c>
      <c r="AB698">
        <f>IF(COUNT($AA$696:$AA$698)&lt;3,"",AVERAGE($AA$696:$AA$698))</f>
        <v>0</v>
      </c>
      <c r="AC698">
        <f>IF($E698="","",MAX($C698-$D698,ABS($C698-$E697),ABS($D698-$E697)))</f>
        <v>0</v>
      </c>
      <c r="AD698">
        <f>IF(COUNT($E$2:$E698)&lt;15,"",AVERAGE($AC$685:$AC$698))</f>
        <v>0</v>
      </c>
      <c r="AE698">
        <f>IF(OR($E698="",$E697=""),"",IF(AND(($C698-$C697)&gt;($D697-$D698),($C698-$C697)&gt;0),$C698-$C697,0))</f>
        <v>0</v>
      </c>
      <c r="AF698">
        <f>IF(OR($E698="",$E697=""),"",IF(AND(($D697-$D698)&gt;($C698-$C697),($D697-$D698)&gt;0),$D697-$D698,0))</f>
        <v>0</v>
      </c>
      <c r="AG698">
        <f>IF(COUNT($E$2:$E698)&lt;15,"",IF(SUM($AC$685:$AC$698)=0,0,100*SUM($AE$685:$AE$698)/SUM($AC$685:$AC$698)))</f>
        <v>0</v>
      </c>
      <c r="AH698">
        <f>IF(COUNT($E$2:$E698)&lt;15,"",IF(SUM($AC$685:$AC$698)=0,0,100*SUM($AF$685:$AF$698)/SUM($AC$685:$AC$698)))</f>
        <v>0</v>
      </c>
      <c r="AI698">
        <f>IF(OR(AG698="",AH698=""),"",IF((AG698+AH698)=0,0,100*ABS(AG698-AH698)/(AG698+AH698)))</f>
        <v>0</v>
      </c>
      <c r="AJ698">
        <f>IF(COUNT($AI$685:$AI$698)&lt;14,"",AVERAGE($AI$685:$AI$698))</f>
        <v>0</v>
      </c>
      <c r="AK698">
        <f>IF(COUNT($E$2:$E698)&lt;20,"",AVERAGE($E$679:$E$698))</f>
        <v>0</v>
      </c>
      <c r="AL698">
        <f>IF(COUNT($E$2:$E698)&lt;20,"",STDEVP($E$679:$E$698))</f>
        <v>0</v>
      </c>
      <c r="AM698">
        <f>IF(AK698="","",AK698+2*AL698)</f>
        <v>0</v>
      </c>
      <c r="AN698">
        <f>IF(AK698="","",AK698-2*AL698)</f>
        <v>0</v>
      </c>
      <c r="AO698">
        <f>IF(OR(AM698="",AN698="",AM698=AN698),"",($E698-AN698)/(AM698-AN698))</f>
        <v>0</v>
      </c>
      <c r="AP698">
        <f>IF(OR(AM698="",AK698="",AK698=0),"",(AM698-AN698)/AK698)</f>
        <v>0</v>
      </c>
      <c r="AQ698">
        <f>IF(COUNT($E$2:$E698)&lt;20,"",MAX($C$679:$C$698))</f>
        <v>0</v>
      </c>
      <c r="AR698">
        <f>IF(COUNT($E$2:$E698)&lt;20,"",MIN($D$679:$D$698))</f>
        <v>0</v>
      </c>
      <c r="AS698">
        <f>IF(OR(AQ698="",AR698=""),"",(AQ698+AR698)/2)</f>
        <v>0</v>
      </c>
      <c r="AT698">
        <f>IF(COUNT($G$679:$G$698)&lt;20,"",STDEV($G$679:$G$698)*SQRT(252))</f>
        <v>0</v>
      </c>
      <c r="AU698">
        <f>IF(COUNT($E$2:$E698)&lt;9,"",(MAX($C$690:$C$698)+MIN($D$690:$D$698))/2)</f>
        <v>0</v>
      </c>
      <c r="AV698">
        <f>IF(COUNT($E$2:$E698)&lt;26,"",(MAX($C$673:$C$698)+MIN($D$673:$D$698))/2)</f>
        <v>0</v>
      </c>
      <c r="AW698">
        <f>IF(OR(AU698="",AV698=""),"",(AU698+AV698)/2)</f>
        <v>0</v>
      </c>
      <c r="AX698">
        <f>IF(COUNT($E$2:$E698)&lt;52,"",(MAX($C$647:$C$698)+MIN($D$647:$D$698))/2)</f>
        <v>0</v>
      </c>
      <c r="AY698">
        <f>IF(COUNT($E$2:$E698)&lt;20,"",MAX($C$599:$C$698))</f>
        <v>0</v>
      </c>
      <c r="AZ698">
        <f>IF(COUNT($E$2:$E698)&lt;20,"",MIN($D$599:$D$698))</f>
        <v>0</v>
      </c>
      <c r="BA698">
        <f>IF(COUNT($E$2:$E698)&lt;20,"",SLOPE($E$599:$E$698,$F$599:$F$698))</f>
        <v>0</v>
      </c>
      <c r="BB698">
        <f>IF(COUNT($E$2:$E698)&lt;20,"",INTERCEPT($E$599:$E$698,$F$599:$F$698))</f>
        <v>0</v>
      </c>
      <c r="BC698">
        <f>IF(OR(BA698="",BB698=""),"",BB698+BA698*F698)</f>
        <v>0</v>
      </c>
      <c r="BD698">
        <f>IF(COUNT($E$2:$E698)&lt;20,"",STEYX($E$599:$E$698,$F$599:$F$698))</f>
        <v>0</v>
      </c>
      <c r="BE698">
        <f>IF($E698="","",IF(AND(COUNT($E$699:$E$702)&gt;=4,$C698=MAX($C$694:$C$702)),$C698,""))</f>
        <v>0</v>
      </c>
      <c r="BF698">
        <f>IF($E698="","",IF(AND(COUNT($E$699:$E$702)&gt;=4,$D698=MIN($D$694:$D$702)),$D698,""))</f>
        <v>0</v>
      </c>
      <c r="BG698">
        <f>IF($A698="","",$A698-WEEKDAY($A698,2)+1)</f>
        <v>0</v>
      </c>
      <c r="BH698">
        <f>IF($A698="","",IF($A697="",1,IF(BG698&lt;&gt;BG697,1,0)))</f>
        <v>0</v>
      </c>
      <c r="BI698">
        <f>IF($A698="","",IF($A699="",1,IF(BG699&lt;&gt;BG698,1,0)))</f>
        <v>0</v>
      </c>
      <c r="BJ698">
        <f>IF($A698="","",IF(BH698=1,$B698,BJ697))</f>
        <v>0</v>
      </c>
      <c r="BK698">
        <f>IF($A698="","",IF(BH698=1,$C698,MAX($C698,BK697)))</f>
        <v>0</v>
      </c>
      <c r="BL698">
        <f>IF($A698="","",IF(BH698=1,$D698,MIN($D698,BL697)))</f>
        <v>0</v>
      </c>
      <c r="BM698">
        <f>IF($A698="","",IF(BI698=1,F698,""))</f>
        <v>0</v>
      </c>
      <c r="BN698">
        <f>IF($A698="","",DATE(YEAR($A698),MONTH($A698),1))</f>
        <v>0</v>
      </c>
      <c r="BO698">
        <f>IF($A698="","",IF($A697="",1,IF(BN698&lt;&gt;BN697,1,0)))</f>
        <v>0</v>
      </c>
      <c r="BP698">
        <f>IF($A698="","",IF($A699="",1,IF(BN699&lt;&gt;BN698,1,0)))</f>
        <v>0</v>
      </c>
      <c r="BQ698">
        <f>IF($A698="","",IF(BO698=1,$B698,BQ697))</f>
        <v>0</v>
      </c>
      <c r="BR698">
        <f>IF($A698="","",IF(BO698=1,$C698,MAX($C698,BR697)))</f>
        <v>0</v>
      </c>
      <c r="BS698">
        <f>IF($A698="","",IF(BO698=1,$D698,MIN($D698,BS697)))</f>
        <v>0</v>
      </c>
      <c r="BT698">
        <f>IF($A698="","",IF(BP698=1,F698,""))</f>
        <v>0</v>
      </c>
    </row>
    <row r="699" spans="1:72">
      <c r="A699" s="27">
        <f>IF(Data!$A699="","",Data!$A699)</f>
        <v>0</v>
      </c>
      <c r="B699">
        <f>IF(Data!$B699="","",Data!$B699)</f>
        <v>0</v>
      </c>
      <c r="C699">
        <f>IF(Data!$C699="","",Data!$C699)</f>
        <v>0</v>
      </c>
      <c r="D699">
        <f>IF(Data!$D699="","",Data!$D699)</f>
        <v>0</v>
      </c>
      <c r="E699">
        <f>IF(Data!$E699="","",Data!$E699)</f>
        <v>0</v>
      </c>
      <c r="F699">
        <f>IF($E699="","",N(F698)+1)</f>
        <v>0</v>
      </c>
      <c r="G699">
        <f>IF(OR($E699="",$E698=""),"",LN($E699/$E698))</f>
        <v>0</v>
      </c>
      <c r="H699">
        <f>IF($E699="","",IF($E698="",$E699,$E699*0.0952380952+H698*0.9047619048))</f>
        <v>0</v>
      </c>
      <c r="I699">
        <f>IF($E699="","",IF($E698="",$E699,$E699*0.0392156863+I698*0.9607843137))</f>
        <v>0</v>
      </c>
      <c r="J699">
        <f>IF($E699="","",IF($E698="",$E699,$E699*0.0198019802+J698*0.9801980198))</f>
        <v>0</v>
      </c>
      <c r="K699">
        <f>IF($E699="","",IF($E698="",$E699,$E699*0.0099502488+K698*0.9900497512))</f>
        <v>0</v>
      </c>
      <c r="L699">
        <f>IF(OR($E699="",$E698=""),"",MAX($E699-$E698,0))</f>
        <v>0</v>
      </c>
      <c r="M699">
        <f>IF(OR($E699="",$E698=""),"",MAX($E698-$E699,0))</f>
        <v>0</v>
      </c>
      <c r="N699">
        <f>IF(COUNT($E$2:$E699)&lt;15,"",IF(AVERAGE($M$686:$M$699)=0,100,100-100/(1+AVERAGE($L$686:$L$699)/AVERAGE($M$686:$M$699))))</f>
        <v>0</v>
      </c>
      <c r="O699">
        <f>IF($E699="","",IF($E698="",$E699,$E699*0.1538461538+O698*0.8461538462))</f>
        <v>0</v>
      </c>
      <c r="P699">
        <f>IF($E699="","",IF($E698="",$E699,$E699*0.0740740741+P698*0.9259259259))</f>
        <v>0</v>
      </c>
      <c r="Q699">
        <f>IF(OR(O699="",P699=""),"",O699-P699)</f>
        <v>0</v>
      </c>
      <c r="R699">
        <f>IF(Q699="","",IF(R698="",Q699,Q699*0.2000000000+R698*0.8000000000))</f>
        <v>0</v>
      </c>
      <c r="S699">
        <f>IF(OR(Q699="",R699=""),"",Q699-R699)</f>
        <v>0</v>
      </c>
      <c r="T699">
        <f>IF(COUNT($E$2:$E699)&lt;14,"",MAX($C$686:$C$699))</f>
        <v>0</v>
      </c>
      <c r="U699">
        <f>IF(COUNT($E$2:$E699)&lt;14,"",MIN($D$686:$D$699))</f>
        <v>0</v>
      </c>
      <c r="V699">
        <f>IF(OR(T699="",U699="",T699=U699),"",100*($E699-U699)/(T699-U699))</f>
        <v>0</v>
      </c>
      <c r="W699">
        <f>IF(COUNT($V$697:$V$699)&lt;3,"",AVERAGE($V$697:$V$699))</f>
        <v>0</v>
      </c>
      <c r="X699">
        <f>IF(COUNT($N$686:$N$699)&lt;14,"",MIN($N$686:$N$699))</f>
        <v>0</v>
      </c>
      <c r="Y699">
        <f>IF(COUNT($N$686:$N$699)&lt;14,"",MAX($N$686:$N$699))</f>
        <v>0</v>
      </c>
      <c r="Z699">
        <f>IF(OR(N699="",X699="",Y699="",Y699=X699),"",100*(N699-X699)/(Y699-X699))</f>
        <v>0</v>
      </c>
      <c r="AA699">
        <f>IF(COUNT($Z$697:$Z$699)&lt;3,"",AVERAGE($Z$697:$Z$699))</f>
        <v>0</v>
      </c>
      <c r="AB699">
        <f>IF(COUNT($AA$697:$AA$699)&lt;3,"",AVERAGE($AA$697:$AA$699))</f>
        <v>0</v>
      </c>
      <c r="AC699">
        <f>IF($E699="","",MAX($C699-$D699,ABS($C699-$E698),ABS($D699-$E698)))</f>
        <v>0</v>
      </c>
      <c r="AD699">
        <f>IF(COUNT($E$2:$E699)&lt;15,"",AVERAGE($AC$686:$AC$699))</f>
        <v>0</v>
      </c>
      <c r="AE699">
        <f>IF(OR($E699="",$E698=""),"",IF(AND(($C699-$C698)&gt;($D698-$D699),($C699-$C698)&gt;0),$C699-$C698,0))</f>
        <v>0</v>
      </c>
      <c r="AF699">
        <f>IF(OR($E699="",$E698=""),"",IF(AND(($D698-$D699)&gt;($C699-$C698),($D698-$D699)&gt;0),$D698-$D699,0))</f>
        <v>0</v>
      </c>
      <c r="AG699">
        <f>IF(COUNT($E$2:$E699)&lt;15,"",IF(SUM($AC$686:$AC$699)=0,0,100*SUM($AE$686:$AE$699)/SUM($AC$686:$AC$699)))</f>
        <v>0</v>
      </c>
      <c r="AH699">
        <f>IF(COUNT($E$2:$E699)&lt;15,"",IF(SUM($AC$686:$AC$699)=0,0,100*SUM($AF$686:$AF$699)/SUM($AC$686:$AC$699)))</f>
        <v>0</v>
      </c>
      <c r="AI699">
        <f>IF(OR(AG699="",AH699=""),"",IF((AG699+AH699)=0,0,100*ABS(AG699-AH699)/(AG699+AH699)))</f>
        <v>0</v>
      </c>
      <c r="AJ699">
        <f>IF(COUNT($AI$686:$AI$699)&lt;14,"",AVERAGE($AI$686:$AI$699))</f>
        <v>0</v>
      </c>
      <c r="AK699">
        <f>IF(COUNT($E$2:$E699)&lt;20,"",AVERAGE($E$680:$E$699))</f>
        <v>0</v>
      </c>
      <c r="AL699">
        <f>IF(COUNT($E$2:$E699)&lt;20,"",STDEVP($E$680:$E$699))</f>
        <v>0</v>
      </c>
      <c r="AM699">
        <f>IF(AK699="","",AK699+2*AL699)</f>
        <v>0</v>
      </c>
      <c r="AN699">
        <f>IF(AK699="","",AK699-2*AL699)</f>
        <v>0</v>
      </c>
      <c r="AO699">
        <f>IF(OR(AM699="",AN699="",AM699=AN699),"",($E699-AN699)/(AM699-AN699))</f>
        <v>0</v>
      </c>
      <c r="AP699">
        <f>IF(OR(AM699="",AK699="",AK699=0),"",(AM699-AN699)/AK699)</f>
        <v>0</v>
      </c>
      <c r="AQ699">
        <f>IF(COUNT($E$2:$E699)&lt;20,"",MAX($C$680:$C$699))</f>
        <v>0</v>
      </c>
      <c r="AR699">
        <f>IF(COUNT($E$2:$E699)&lt;20,"",MIN($D$680:$D$699))</f>
        <v>0</v>
      </c>
      <c r="AS699">
        <f>IF(OR(AQ699="",AR699=""),"",(AQ699+AR699)/2)</f>
        <v>0</v>
      </c>
      <c r="AT699">
        <f>IF(COUNT($G$680:$G$699)&lt;20,"",STDEV($G$680:$G$699)*SQRT(252))</f>
        <v>0</v>
      </c>
      <c r="AU699">
        <f>IF(COUNT($E$2:$E699)&lt;9,"",(MAX($C$691:$C$699)+MIN($D$691:$D$699))/2)</f>
        <v>0</v>
      </c>
      <c r="AV699">
        <f>IF(COUNT($E$2:$E699)&lt;26,"",(MAX($C$674:$C$699)+MIN($D$674:$D$699))/2)</f>
        <v>0</v>
      </c>
      <c r="AW699">
        <f>IF(OR(AU699="",AV699=""),"",(AU699+AV699)/2)</f>
        <v>0</v>
      </c>
      <c r="AX699">
        <f>IF(COUNT($E$2:$E699)&lt;52,"",(MAX($C$648:$C$699)+MIN($D$648:$D$699))/2)</f>
        <v>0</v>
      </c>
      <c r="AY699">
        <f>IF(COUNT($E$2:$E699)&lt;20,"",MAX($C$600:$C$699))</f>
        <v>0</v>
      </c>
      <c r="AZ699">
        <f>IF(COUNT($E$2:$E699)&lt;20,"",MIN($D$600:$D$699))</f>
        <v>0</v>
      </c>
      <c r="BA699">
        <f>IF(COUNT($E$2:$E699)&lt;20,"",SLOPE($E$600:$E$699,$F$600:$F$699))</f>
        <v>0</v>
      </c>
      <c r="BB699">
        <f>IF(COUNT($E$2:$E699)&lt;20,"",INTERCEPT($E$600:$E$699,$F$600:$F$699))</f>
        <v>0</v>
      </c>
      <c r="BC699">
        <f>IF(OR(BA699="",BB699=""),"",BB699+BA699*F699)</f>
        <v>0</v>
      </c>
      <c r="BD699">
        <f>IF(COUNT($E$2:$E699)&lt;20,"",STEYX($E$600:$E$699,$F$600:$F$699))</f>
        <v>0</v>
      </c>
      <c r="BE699">
        <f>IF($E699="","",IF(AND(COUNT($E$700:$E$703)&gt;=4,$C699=MAX($C$695:$C$703)),$C699,""))</f>
        <v>0</v>
      </c>
      <c r="BF699">
        <f>IF($E699="","",IF(AND(COUNT($E$700:$E$703)&gt;=4,$D699=MIN($D$695:$D$703)),$D699,""))</f>
        <v>0</v>
      </c>
      <c r="BG699">
        <f>IF($A699="","",$A699-WEEKDAY($A699,2)+1)</f>
        <v>0</v>
      </c>
      <c r="BH699">
        <f>IF($A699="","",IF($A698="",1,IF(BG699&lt;&gt;BG698,1,0)))</f>
        <v>0</v>
      </c>
      <c r="BI699">
        <f>IF($A699="","",IF($A700="",1,IF(BG700&lt;&gt;BG699,1,0)))</f>
        <v>0</v>
      </c>
      <c r="BJ699">
        <f>IF($A699="","",IF(BH699=1,$B699,BJ698))</f>
        <v>0</v>
      </c>
      <c r="BK699">
        <f>IF($A699="","",IF(BH699=1,$C699,MAX($C699,BK698)))</f>
        <v>0</v>
      </c>
      <c r="BL699">
        <f>IF($A699="","",IF(BH699=1,$D699,MIN($D699,BL698)))</f>
        <v>0</v>
      </c>
      <c r="BM699">
        <f>IF($A699="","",IF(BI699=1,F699,""))</f>
        <v>0</v>
      </c>
      <c r="BN699">
        <f>IF($A699="","",DATE(YEAR($A699),MONTH($A699),1))</f>
        <v>0</v>
      </c>
      <c r="BO699">
        <f>IF($A699="","",IF($A698="",1,IF(BN699&lt;&gt;BN698,1,0)))</f>
        <v>0</v>
      </c>
      <c r="BP699">
        <f>IF($A699="","",IF($A700="",1,IF(BN700&lt;&gt;BN699,1,0)))</f>
        <v>0</v>
      </c>
      <c r="BQ699">
        <f>IF($A699="","",IF(BO699=1,$B699,BQ698))</f>
        <v>0</v>
      </c>
      <c r="BR699">
        <f>IF($A699="","",IF(BO699=1,$C699,MAX($C699,BR698)))</f>
        <v>0</v>
      </c>
      <c r="BS699">
        <f>IF($A699="","",IF(BO699=1,$D699,MIN($D699,BS698)))</f>
        <v>0</v>
      </c>
      <c r="BT699">
        <f>IF($A699="","",IF(BP699=1,F699,""))</f>
        <v>0</v>
      </c>
    </row>
    <row r="700" spans="1:72">
      <c r="A700" s="27">
        <f>IF(Data!$A700="","",Data!$A700)</f>
        <v>0</v>
      </c>
      <c r="B700">
        <f>IF(Data!$B700="","",Data!$B700)</f>
        <v>0</v>
      </c>
      <c r="C700">
        <f>IF(Data!$C700="","",Data!$C700)</f>
        <v>0</v>
      </c>
      <c r="D700">
        <f>IF(Data!$D700="","",Data!$D700)</f>
        <v>0</v>
      </c>
      <c r="E700">
        <f>IF(Data!$E700="","",Data!$E700)</f>
        <v>0</v>
      </c>
      <c r="F700">
        <f>IF($E700="","",N(F699)+1)</f>
        <v>0</v>
      </c>
      <c r="G700">
        <f>IF(OR($E700="",$E699=""),"",LN($E700/$E699))</f>
        <v>0</v>
      </c>
      <c r="H700">
        <f>IF($E700="","",IF($E699="",$E700,$E700*0.0952380952+H699*0.9047619048))</f>
        <v>0</v>
      </c>
      <c r="I700">
        <f>IF($E700="","",IF($E699="",$E700,$E700*0.0392156863+I699*0.9607843137))</f>
        <v>0</v>
      </c>
      <c r="J700">
        <f>IF($E700="","",IF($E699="",$E700,$E700*0.0198019802+J699*0.9801980198))</f>
        <v>0</v>
      </c>
      <c r="K700">
        <f>IF($E700="","",IF($E699="",$E700,$E700*0.0099502488+K699*0.9900497512))</f>
        <v>0</v>
      </c>
      <c r="L700">
        <f>IF(OR($E700="",$E699=""),"",MAX($E700-$E699,0))</f>
        <v>0</v>
      </c>
      <c r="M700">
        <f>IF(OR($E700="",$E699=""),"",MAX($E699-$E700,0))</f>
        <v>0</v>
      </c>
      <c r="N700">
        <f>IF(COUNT($E$2:$E700)&lt;15,"",IF(AVERAGE($M$687:$M$700)=0,100,100-100/(1+AVERAGE($L$687:$L$700)/AVERAGE($M$687:$M$700))))</f>
        <v>0</v>
      </c>
      <c r="O700">
        <f>IF($E700="","",IF($E699="",$E700,$E700*0.1538461538+O699*0.8461538462))</f>
        <v>0</v>
      </c>
      <c r="P700">
        <f>IF($E700="","",IF($E699="",$E700,$E700*0.0740740741+P699*0.9259259259))</f>
        <v>0</v>
      </c>
      <c r="Q700">
        <f>IF(OR(O700="",P700=""),"",O700-P700)</f>
        <v>0</v>
      </c>
      <c r="R700">
        <f>IF(Q700="","",IF(R699="",Q700,Q700*0.2000000000+R699*0.8000000000))</f>
        <v>0</v>
      </c>
      <c r="S700">
        <f>IF(OR(Q700="",R700=""),"",Q700-R700)</f>
        <v>0</v>
      </c>
      <c r="T700">
        <f>IF(COUNT($E$2:$E700)&lt;14,"",MAX($C$687:$C$700))</f>
        <v>0</v>
      </c>
      <c r="U700">
        <f>IF(COUNT($E$2:$E700)&lt;14,"",MIN($D$687:$D$700))</f>
        <v>0</v>
      </c>
      <c r="V700">
        <f>IF(OR(T700="",U700="",T700=U700),"",100*($E700-U700)/(T700-U700))</f>
        <v>0</v>
      </c>
      <c r="W700">
        <f>IF(COUNT($V$698:$V$700)&lt;3,"",AVERAGE($V$698:$V$700))</f>
        <v>0</v>
      </c>
      <c r="X700">
        <f>IF(COUNT($N$687:$N$700)&lt;14,"",MIN($N$687:$N$700))</f>
        <v>0</v>
      </c>
      <c r="Y700">
        <f>IF(COUNT($N$687:$N$700)&lt;14,"",MAX($N$687:$N$700))</f>
        <v>0</v>
      </c>
      <c r="Z700">
        <f>IF(OR(N700="",X700="",Y700="",Y700=X700),"",100*(N700-X700)/(Y700-X700))</f>
        <v>0</v>
      </c>
      <c r="AA700">
        <f>IF(COUNT($Z$698:$Z$700)&lt;3,"",AVERAGE($Z$698:$Z$700))</f>
        <v>0</v>
      </c>
      <c r="AB700">
        <f>IF(COUNT($AA$698:$AA$700)&lt;3,"",AVERAGE($AA$698:$AA$700))</f>
        <v>0</v>
      </c>
      <c r="AC700">
        <f>IF($E700="","",MAX($C700-$D700,ABS($C700-$E699),ABS($D700-$E699)))</f>
        <v>0</v>
      </c>
      <c r="AD700">
        <f>IF(COUNT($E$2:$E700)&lt;15,"",AVERAGE($AC$687:$AC$700))</f>
        <v>0</v>
      </c>
      <c r="AE700">
        <f>IF(OR($E700="",$E699=""),"",IF(AND(($C700-$C699)&gt;($D699-$D700),($C700-$C699)&gt;0),$C700-$C699,0))</f>
        <v>0</v>
      </c>
      <c r="AF700">
        <f>IF(OR($E700="",$E699=""),"",IF(AND(($D699-$D700)&gt;($C700-$C699),($D699-$D700)&gt;0),$D699-$D700,0))</f>
        <v>0</v>
      </c>
      <c r="AG700">
        <f>IF(COUNT($E$2:$E700)&lt;15,"",IF(SUM($AC$687:$AC$700)=0,0,100*SUM($AE$687:$AE$700)/SUM($AC$687:$AC$700)))</f>
        <v>0</v>
      </c>
      <c r="AH700">
        <f>IF(COUNT($E$2:$E700)&lt;15,"",IF(SUM($AC$687:$AC$700)=0,0,100*SUM($AF$687:$AF$700)/SUM($AC$687:$AC$700)))</f>
        <v>0</v>
      </c>
      <c r="AI700">
        <f>IF(OR(AG700="",AH700=""),"",IF((AG700+AH700)=0,0,100*ABS(AG700-AH700)/(AG700+AH700)))</f>
        <v>0</v>
      </c>
      <c r="AJ700">
        <f>IF(COUNT($AI$687:$AI$700)&lt;14,"",AVERAGE($AI$687:$AI$700))</f>
        <v>0</v>
      </c>
      <c r="AK700">
        <f>IF(COUNT($E$2:$E700)&lt;20,"",AVERAGE($E$681:$E$700))</f>
        <v>0</v>
      </c>
      <c r="AL700">
        <f>IF(COUNT($E$2:$E700)&lt;20,"",STDEVP($E$681:$E$700))</f>
        <v>0</v>
      </c>
      <c r="AM700">
        <f>IF(AK700="","",AK700+2*AL700)</f>
        <v>0</v>
      </c>
      <c r="AN700">
        <f>IF(AK700="","",AK700-2*AL700)</f>
        <v>0</v>
      </c>
      <c r="AO700">
        <f>IF(OR(AM700="",AN700="",AM700=AN700),"",($E700-AN700)/(AM700-AN700))</f>
        <v>0</v>
      </c>
      <c r="AP700">
        <f>IF(OR(AM700="",AK700="",AK700=0),"",(AM700-AN700)/AK700)</f>
        <v>0</v>
      </c>
      <c r="AQ700">
        <f>IF(COUNT($E$2:$E700)&lt;20,"",MAX($C$681:$C$700))</f>
        <v>0</v>
      </c>
      <c r="AR700">
        <f>IF(COUNT($E$2:$E700)&lt;20,"",MIN($D$681:$D$700))</f>
        <v>0</v>
      </c>
      <c r="AS700">
        <f>IF(OR(AQ700="",AR700=""),"",(AQ700+AR700)/2)</f>
        <v>0</v>
      </c>
      <c r="AT700">
        <f>IF(COUNT($G$681:$G$700)&lt;20,"",STDEV($G$681:$G$700)*SQRT(252))</f>
        <v>0</v>
      </c>
      <c r="AU700">
        <f>IF(COUNT($E$2:$E700)&lt;9,"",(MAX($C$692:$C$700)+MIN($D$692:$D$700))/2)</f>
        <v>0</v>
      </c>
      <c r="AV700">
        <f>IF(COUNT($E$2:$E700)&lt;26,"",(MAX($C$675:$C$700)+MIN($D$675:$D$700))/2)</f>
        <v>0</v>
      </c>
      <c r="AW700">
        <f>IF(OR(AU700="",AV700=""),"",(AU700+AV700)/2)</f>
        <v>0</v>
      </c>
      <c r="AX700">
        <f>IF(COUNT($E$2:$E700)&lt;52,"",(MAX($C$649:$C$700)+MIN($D$649:$D$700))/2)</f>
        <v>0</v>
      </c>
      <c r="AY700">
        <f>IF(COUNT($E$2:$E700)&lt;20,"",MAX($C$601:$C$700))</f>
        <v>0</v>
      </c>
      <c r="AZ700">
        <f>IF(COUNT($E$2:$E700)&lt;20,"",MIN($D$601:$D$700))</f>
        <v>0</v>
      </c>
      <c r="BA700">
        <f>IF(COUNT($E$2:$E700)&lt;20,"",SLOPE($E$601:$E$700,$F$601:$F$700))</f>
        <v>0</v>
      </c>
      <c r="BB700">
        <f>IF(COUNT($E$2:$E700)&lt;20,"",INTERCEPT($E$601:$E$700,$F$601:$F$700))</f>
        <v>0</v>
      </c>
      <c r="BC700">
        <f>IF(OR(BA700="",BB700=""),"",BB700+BA700*F700)</f>
        <v>0</v>
      </c>
      <c r="BD700">
        <f>IF(COUNT($E$2:$E700)&lt;20,"",STEYX($E$601:$E$700,$F$601:$F$700))</f>
        <v>0</v>
      </c>
      <c r="BE700">
        <f>IF($E700="","",IF(AND(COUNT($E$701:$E$704)&gt;=4,$C700=MAX($C$696:$C$704)),$C700,""))</f>
        <v>0</v>
      </c>
      <c r="BF700">
        <f>IF($E700="","",IF(AND(COUNT($E$701:$E$704)&gt;=4,$D700=MIN($D$696:$D$704)),$D700,""))</f>
        <v>0</v>
      </c>
      <c r="BG700">
        <f>IF($A700="","",$A700-WEEKDAY($A700,2)+1)</f>
        <v>0</v>
      </c>
      <c r="BH700">
        <f>IF($A700="","",IF($A699="",1,IF(BG700&lt;&gt;BG699,1,0)))</f>
        <v>0</v>
      </c>
      <c r="BI700">
        <f>IF($A700="","",IF($A701="",1,IF(BG701&lt;&gt;BG700,1,0)))</f>
        <v>0</v>
      </c>
      <c r="BJ700">
        <f>IF($A700="","",IF(BH700=1,$B700,BJ699))</f>
        <v>0</v>
      </c>
      <c r="BK700">
        <f>IF($A700="","",IF(BH700=1,$C700,MAX($C700,BK699)))</f>
        <v>0</v>
      </c>
      <c r="BL700">
        <f>IF($A700="","",IF(BH700=1,$D700,MIN($D700,BL699)))</f>
        <v>0</v>
      </c>
      <c r="BM700">
        <f>IF($A700="","",IF(BI700=1,F700,""))</f>
        <v>0</v>
      </c>
      <c r="BN700">
        <f>IF($A700="","",DATE(YEAR($A700),MONTH($A700),1))</f>
        <v>0</v>
      </c>
      <c r="BO700">
        <f>IF($A700="","",IF($A699="",1,IF(BN700&lt;&gt;BN699,1,0)))</f>
        <v>0</v>
      </c>
      <c r="BP700">
        <f>IF($A700="","",IF($A701="",1,IF(BN701&lt;&gt;BN700,1,0)))</f>
        <v>0</v>
      </c>
      <c r="BQ700">
        <f>IF($A700="","",IF(BO700=1,$B700,BQ699))</f>
        <v>0</v>
      </c>
      <c r="BR700">
        <f>IF($A700="","",IF(BO700=1,$C700,MAX($C700,BR699)))</f>
        <v>0</v>
      </c>
      <c r="BS700">
        <f>IF($A700="","",IF(BO700=1,$D700,MIN($D700,BS699)))</f>
        <v>0</v>
      </c>
      <c r="BT700">
        <f>IF($A700="","",IF(BP700=1,F700,""))</f>
        <v>0</v>
      </c>
    </row>
    <row r="701" spans="1:72">
      <c r="A701" s="27">
        <f>IF(Data!$A701="","",Data!$A701)</f>
        <v>0</v>
      </c>
      <c r="B701">
        <f>IF(Data!$B701="","",Data!$B701)</f>
        <v>0</v>
      </c>
      <c r="C701">
        <f>IF(Data!$C701="","",Data!$C701)</f>
        <v>0</v>
      </c>
      <c r="D701">
        <f>IF(Data!$D701="","",Data!$D701)</f>
        <v>0</v>
      </c>
      <c r="E701">
        <f>IF(Data!$E701="","",Data!$E701)</f>
        <v>0</v>
      </c>
      <c r="F701">
        <f>IF($E701="","",N(F700)+1)</f>
        <v>0</v>
      </c>
      <c r="G701">
        <f>IF(OR($E701="",$E700=""),"",LN($E701/$E700))</f>
        <v>0</v>
      </c>
      <c r="H701">
        <f>IF($E701="","",IF($E700="",$E701,$E701*0.0952380952+H700*0.9047619048))</f>
        <v>0</v>
      </c>
      <c r="I701">
        <f>IF($E701="","",IF($E700="",$E701,$E701*0.0392156863+I700*0.9607843137))</f>
        <v>0</v>
      </c>
      <c r="J701">
        <f>IF($E701="","",IF($E700="",$E701,$E701*0.0198019802+J700*0.9801980198))</f>
        <v>0</v>
      </c>
      <c r="K701">
        <f>IF($E701="","",IF($E700="",$E701,$E701*0.0099502488+K700*0.9900497512))</f>
        <v>0</v>
      </c>
      <c r="L701">
        <f>IF(OR($E701="",$E700=""),"",MAX($E701-$E700,0))</f>
        <v>0</v>
      </c>
      <c r="M701">
        <f>IF(OR($E701="",$E700=""),"",MAX($E700-$E701,0))</f>
        <v>0</v>
      </c>
      <c r="N701">
        <f>IF(COUNT($E$2:$E701)&lt;15,"",IF(AVERAGE($M$688:$M$701)=0,100,100-100/(1+AVERAGE($L$688:$L$701)/AVERAGE($M$688:$M$701))))</f>
        <v>0</v>
      </c>
      <c r="O701">
        <f>IF($E701="","",IF($E700="",$E701,$E701*0.1538461538+O700*0.8461538462))</f>
        <v>0</v>
      </c>
      <c r="P701">
        <f>IF($E701="","",IF($E700="",$E701,$E701*0.0740740741+P700*0.9259259259))</f>
        <v>0</v>
      </c>
      <c r="Q701">
        <f>IF(OR(O701="",P701=""),"",O701-P701)</f>
        <v>0</v>
      </c>
      <c r="R701">
        <f>IF(Q701="","",IF(R700="",Q701,Q701*0.2000000000+R700*0.8000000000))</f>
        <v>0</v>
      </c>
      <c r="S701">
        <f>IF(OR(Q701="",R701=""),"",Q701-R701)</f>
        <v>0</v>
      </c>
      <c r="T701">
        <f>IF(COUNT($E$2:$E701)&lt;14,"",MAX($C$688:$C$701))</f>
        <v>0</v>
      </c>
      <c r="U701">
        <f>IF(COUNT($E$2:$E701)&lt;14,"",MIN($D$688:$D$701))</f>
        <v>0</v>
      </c>
      <c r="V701">
        <f>IF(OR(T701="",U701="",T701=U701),"",100*($E701-U701)/(T701-U701))</f>
        <v>0</v>
      </c>
      <c r="W701">
        <f>IF(COUNT($V$699:$V$701)&lt;3,"",AVERAGE($V$699:$V$701))</f>
        <v>0</v>
      </c>
      <c r="X701">
        <f>IF(COUNT($N$688:$N$701)&lt;14,"",MIN($N$688:$N$701))</f>
        <v>0</v>
      </c>
      <c r="Y701">
        <f>IF(COUNT($N$688:$N$701)&lt;14,"",MAX($N$688:$N$701))</f>
        <v>0</v>
      </c>
      <c r="Z701">
        <f>IF(OR(N701="",X701="",Y701="",Y701=X701),"",100*(N701-X701)/(Y701-X701))</f>
        <v>0</v>
      </c>
      <c r="AA701">
        <f>IF(COUNT($Z$699:$Z$701)&lt;3,"",AVERAGE($Z$699:$Z$701))</f>
        <v>0</v>
      </c>
      <c r="AB701">
        <f>IF(COUNT($AA$699:$AA$701)&lt;3,"",AVERAGE($AA$699:$AA$701))</f>
        <v>0</v>
      </c>
      <c r="AC701">
        <f>IF($E701="","",MAX($C701-$D701,ABS($C701-$E700),ABS($D701-$E700)))</f>
        <v>0</v>
      </c>
      <c r="AD701">
        <f>IF(COUNT($E$2:$E701)&lt;15,"",AVERAGE($AC$688:$AC$701))</f>
        <v>0</v>
      </c>
      <c r="AE701">
        <f>IF(OR($E701="",$E700=""),"",IF(AND(($C701-$C700)&gt;($D700-$D701),($C701-$C700)&gt;0),$C701-$C700,0))</f>
        <v>0</v>
      </c>
      <c r="AF701">
        <f>IF(OR($E701="",$E700=""),"",IF(AND(($D700-$D701)&gt;($C701-$C700),($D700-$D701)&gt;0),$D700-$D701,0))</f>
        <v>0</v>
      </c>
      <c r="AG701">
        <f>IF(COUNT($E$2:$E701)&lt;15,"",IF(SUM($AC$688:$AC$701)=0,0,100*SUM($AE$688:$AE$701)/SUM($AC$688:$AC$701)))</f>
        <v>0</v>
      </c>
      <c r="AH701">
        <f>IF(COUNT($E$2:$E701)&lt;15,"",IF(SUM($AC$688:$AC$701)=0,0,100*SUM($AF$688:$AF$701)/SUM($AC$688:$AC$701)))</f>
        <v>0</v>
      </c>
      <c r="AI701">
        <f>IF(OR(AG701="",AH701=""),"",IF((AG701+AH701)=0,0,100*ABS(AG701-AH701)/(AG701+AH701)))</f>
        <v>0</v>
      </c>
      <c r="AJ701">
        <f>IF(COUNT($AI$688:$AI$701)&lt;14,"",AVERAGE($AI$688:$AI$701))</f>
        <v>0</v>
      </c>
      <c r="AK701">
        <f>IF(COUNT($E$2:$E701)&lt;20,"",AVERAGE($E$682:$E$701))</f>
        <v>0</v>
      </c>
      <c r="AL701">
        <f>IF(COUNT($E$2:$E701)&lt;20,"",STDEVP($E$682:$E$701))</f>
        <v>0</v>
      </c>
      <c r="AM701">
        <f>IF(AK701="","",AK701+2*AL701)</f>
        <v>0</v>
      </c>
      <c r="AN701">
        <f>IF(AK701="","",AK701-2*AL701)</f>
        <v>0</v>
      </c>
      <c r="AO701">
        <f>IF(OR(AM701="",AN701="",AM701=AN701),"",($E701-AN701)/(AM701-AN701))</f>
        <v>0</v>
      </c>
      <c r="AP701">
        <f>IF(OR(AM701="",AK701="",AK701=0),"",(AM701-AN701)/AK701)</f>
        <v>0</v>
      </c>
      <c r="AQ701">
        <f>IF(COUNT($E$2:$E701)&lt;20,"",MAX($C$682:$C$701))</f>
        <v>0</v>
      </c>
      <c r="AR701">
        <f>IF(COUNT($E$2:$E701)&lt;20,"",MIN($D$682:$D$701))</f>
        <v>0</v>
      </c>
      <c r="AS701">
        <f>IF(OR(AQ701="",AR701=""),"",(AQ701+AR701)/2)</f>
        <v>0</v>
      </c>
      <c r="AT701">
        <f>IF(COUNT($G$682:$G$701)&lt;20,"",STDEV($G$682:$G$701)*SQRT(252))</f>
        <v>0</v>
      </c>
      <c r="AU701">
        <f>IF(COUNT($E$2:$E701)&lt;9,"",(MAX($C$693:$C$701)+MIN($D$693:$D$701))/2)</f>
        <v>0</v>
      </c>
      <c r="AV701">
        <f>IF(COUNT($E$2:$E701)&lt;26,"",(MAX($C$676:$C$701)+MIN($D$676:$D$701))/2)</f>
        <v>0</v>
      </c>
      <c r="AW701">
        <f>IF(OR(AU701="",AV701=""),"",(AU701+AV701)/2)</f>
        <v>0</v>
      </c>
      <c r="AX701">
        <f>IF(COUNT($E$2:$E701)&lt;52,"",(MAX($C$650:$C$701)+MIN($D$650:$D$701))/2)</f>
        <v>0</v>
      </c>
      <c r="AY701">
        <f>IF(COUNT($E$2:$E701)&lt;20,"",MAX($C$602:$C$701))</f>
        <v>0</v>
      </c>
      <c r="AZ701">
        <f>IF(COUNT($E$2:$E701)&lt;20,"",MIN($D$602:$D$701))</f>
        <v>0</v>
      </c>
      <c r="BA701">
        <f>IF(COUNT($E$2:$E701)&lt;20,"",SLOPE($E$602:$E$701,$F$602:$F$701))</f>
        <v>0</v>
      </c>
      <c r="BB701">
        <f>IF(COUNT($E$2:$E701)&lt;20,"",INTERCEPT($E$602:$E$701,$F$602:$F$701))</f>
        <v>0</v>
      </c>
      <c r="BC701">
        <f>IF(OR(BA701="",BB701=""),"",BB701+BA701*F701)</f>
        <v>0</v>
      </c>
      <c r="BD701">
        <f>IF(COUNT($E$2:$E701)&lt;20,"",STEYX($E$602:$E$701,$F$602:$F$701))</f>
        <v>0</v>
      </c>
      <c r="BE701">
        <f>IF($E701="","",IF(AND(COUNT($E$702:$E$705)&gt;=4,$C701=MAX($C$697:$C$705)),$C701,""))</f>
        <v>0</v>
      </c>
      <c r="BF701">
        <f>IF($E701="","",IF(AND(COUNT($E$702:$E$705)&gt;=4,$D701=MIN($D$697:$D$705)),$D701,""))</f>
        <v>0</v>
      </c>
      <c r="BG701">
        <f>IF($A701="","",$A701-WEEKDAY($A701,2)+1)</f>
        <v>0</v>
      </c>
      <c r="BH701">
        <f>IF($A701="","",IF($A700="",1,IF(BG701&lt;&gt;BG700,1,0)))</f>
        <v>0</v>
      </c>
      <c r="BI701">
        <f>IF($A701="","",IF($A702="",1,IF(BG702&lt;&gt;BG701,1,0)))</f>
        <v>0</v>
      </c>
      <c r="BJ701">
        <f>IF($A701="","",IF(BH701=1,$B701,BJ700))</f>
        <v>0</v>
      </c>
      <c r="BK701">
        <f>IF($A701="","",IF(BH701=1,$C701,MAX($C701,BK700)))</f>
        <v>0</v>
      </c>
      <c r="BL701">
        <f>IF($A701="","",IF(BH701=1,$D701,MIN($D701,BL700)))</f>
        <v>0</v>
      </c>
      <c r="BM701">
        <f>IF($A701="","",IF(BI701=1,F701,""))</f>
        <v>0</v>
      </c>
      <c r="BN701">
        <f>IF($A701="","",DATE(YEAR($A701),MONTH($A701),1))</f>
        <v>0</v>
      </c>
      <c r="BO701">
        <f>IF($A701="","",IF($A700="",1,IF(BN701&lt;&gt;BN700,1,0)))</f>
        <v>0</v>
      </c>
      <c r="BP701">
        <f>IF($A701="","",IF($A702="",1,IF(BN702&lt;&gt;BN701,1,0)))</f>
        <v>0</v>
      </c>
      <c r="BQ701">
        <f>IF($A701="","",IF(BO701=1,$B701,BQ700))</f>
        <v>0</v>
      </c>
      <c r="BR701">
        <f>IF($A701="","",IF(BO701=1,$C701,MAX($C701,BR700)))</f>
        <v>0</v>
      </c>
      <c r="BS701">
        <f>IF($A701="","",IF(BO701=1,$D701,MIN($D701,BS700)))</f>
        <v>0</v>
      </c>
      <c r="BT701">
        <f>IF($A701="","",IF(BP701=1,F701,""))</f>
        <v>0</v>
      </c>
    </row>
    <row r="702" spans="1:72">
      <c r="A702" s="27">
        <f>IF(Data!$A702="","",Data!$A702)</f>
        <v>0</v>
      </c>
      <c r="B702">
        <f>IF(Data!$B702="","",Data!$B702)</f>
        <v>0</v>
      </c>
      <c r="C702">
        <f>IF(Data!$C702="","",Data!$C702)</f>
        <v>0</v>
      </c>
      <c r="D702">
        <f>IF(Data!$D702="","",Data!$D702)</f>
        <v>0</v>
      </c>
      <c r="E702">
        <f>IF(Data!$E702="","",Data!$E702)</f>
        <v>0</v>
      </c>
      <c r="F702">
        <f>IF($E702="","",N(F701)+1)</f>
        <v>0</v>
      </c>
      <c r="G702">
        <f>IF(OR($E702="",$E701=""),"",LN($E702/$E701))</f>
        <v>0</v>
      </c>
      <c r="H702">
        <f>IF($E702="","",IF($E701="",$E702,$E702*0.0952380952+H701*0.9047619048))</f>
        <v>0</v>
      </c>
      <c r="I702">
        <f>IF($E702="","",IF($E701="",$E702,$E702*0.0392156863+I701*0.9607843137))</f>
        <v>0</v>
      </c>
      <c r="J702">
        <f>IF($E702="","",IF($E701="",$E702,$E702*0.0198019802+J701*0.9801980198))</f>
        <v>0</v>
      </c>
      <c r="K702">
        <f>IF($E702="","",IF($E701="",$E702,$E702*0.0099502488+K701*0.9900497512))</f>
        <v>0</v>
      </c>
      <c r="L702">
        <f>IF(OR($E702="",$E701=""),"",MAX($E702-$E701,0))</f>
        <v>0</v>
      </c>
      <c r="M702">
        <f>IF(OR($E702="",$E701=""),"",MAX($E701-$E702,0))</f>
        <v>0</v>
      </c>
      <c r="N702">
        <f>IF(COUNT($E$2:$E702)&lt;15,"",IF(AVERAGE($M$689:$M$702)=0,100,100-100/(1+AVERAGE($L$689:$L$702)/AVERAGE($M$689:$M$702))))</f>
        <v>0</v>
      </c>
      <c r="O702">
        <f>IF($E702="","",IF($E701="",$E702,$E702*0.1538461538+O701*0.8461538462))</f>
        <v>0</v>
      </c>
      <c r="P702">
        <f>IF($E702="","",IF($E701="",$E702,$E702*0.0740740741+P701*0.9259259259))</f>
        <v>0</v>
      </c>
      <c r="Q702">
        <f>IF(OR(O702="",P702=""),"",O702-P702)</f>
        <v>0</v>
      </c>
      <c r="R702">
        <f>IF(Q702="","",IF(R701="",Q702,Q702*0.2000000000+R701*0.8000000000))</f>
        <v>0</v>
      </c>
      <c r="S702">
        <f>IF(OR(Q702="",R702=""),"",Q702-R702)</f>
        <v>0</v>
      </c>
      <c r="T702">
        <f>IF(COUNT($E$2:$E702)&lt;14,"",MAX($C$689:$C$702))</f>
        <v>0</v>
      </c>
      <c r="U702">
        <f>IF(COUNT($E$2:$E702)&lt;14,"",MIN($D$689:$D$702))</f>
        <v>0</v>
      </c>
      <c r="V702">
        <f>IF(OR(T702="",U702="",T702=U702),"",100*($E702-U702)/(T702-U702))</f>
        <v>0</v>
      </c>
      <c r="W702">
        <f>IF(COUNT($V$700:$V$702)&lt;3,"",AVERAGE($V$700:$V$702))</f>
        <v>0</v>
      </c>
      <c r="X702">
        <f>IF(COUNT($N$689:$N$702)&lt;14,"",MIN($N$689:$N$702))</f>
        <v>0</v>
      </c>
      <c r="Y702">
        <f>IF(COUNT($N$689:$N$702)&lt;14,"",MAX($N$689:$N$702))</f>
        <v>0</v>
      </c>
      <c r="Z702">
        <f>IF(OR(N702="",X702="",Y702="",Y702=X702),"",100*(N702-X702)/(Y702-X702))</f>
        <v>0</v>
      </c>
      <c r="AA702">
        <f>IF(COUNT($Z$700:$Z$702)&lt;3,"",AVERAGE($Z$700:$Z$702))</f>
        <v>0</v>
      </c>
      <c r="AB702">
        <f>IF(COUNT($AA$700:$AA$702)&lt;3,"",AVERAGE($AA$700:$AA$702))</f>
        <v>0</v>
      </c>
      <c r="AC702">
        <f>IF($E702="","",MAX($C702-$D702,ABS($C702-$E701),ABS($D702-$E701)))</f>
        <v>0</v>
      </c>
      <c r="AD702">
        <f>IF(COUNT($E$2:$E702)&lt;15,"",AVERAGE($AC$689:$AC$702))</f>
        <v>0</v>
      </c>
      <c r="AE702">
        <f>IF(OR($E702="",$E701=""),"",IF(AND(($C702-$C701)&gt;($D701-$D702),($C702-$C701)&gt;0),$C702-$C701,0))</f>
        <v>0</v>
      </c>
      <c r="AF702">
        <f>IF(OR($E702="",$E701=""),"",IF(AND(($D701-$D702)&gt;($C702-$C701),($D701-$D702)&gt;0),$D701-$D702,0))</f>
        <v>0</v>
      </c>
      <c r="AG702">
        <f>IF(COUNT($E$2:$E702)&lt;15,"",IF(SUM($AC$689:$AC$702)=0,0,100*SUM($AE$689:$AE$702)/SUM($AC$689:$AC$702)))</f>
        <v>0</v>
      </c>
      <c r="AH702">
        <f>IF(COUNT($E$2:$E702)&lt;15,"",IF(SUM($AC$689:$AC$702)=0,0,100*SUM($AF$689:$AF$702)/SUM($AC$689:$AC$702)))</f>
        <v>0</v>
      </c>
      <c r="AI702">
        <f>IF(OR(AG702="",AH702=""),"",IF((AG702+AH702)=0,0,100*ABS(AG702-AH702)/(AG702+AH702)))</f>
        <v>0</v>
      </c>
      <c r="AJ702">
        <f>IF(COUNT($AI$689:$AI$702)&lt;14,"",AVERAGE($AI$689:$AI$702))</f>
        <v>0</v>
      </c>
      <c r="AK702">
        <f>IF(COUNT($E$2:$E702)&lt;20,"",AVERAGE($E$683:$E$702))</f>
        <v>0</v>
      </c>
      <c r="AL702">
        <f>IF(COUNT($E$2:$E702)&lt;20,"",STDEVP($E$683:$E$702))</f>
        <v>0</v>
      </c>
      <c r="AM702">
        <f>IF(AK702="","",AK702+2*AL702)</f>
        <v>0</v>
      </c>
      <c r="AN702">
        <f>IF(AK702="","",AK702-2*AL702)</f>
        <v>0</v>
      </c>
      <c r="AO702">
        <f>IF(OR(AM702="",AN702="",AM702=AN702),"",($E702-AN702)/(AM702-AN702))</f>
        <v>0</v>
      </c>
      <c r="AP702">
        <f>IF(OR(AM702="",AK702="",AK702=0),"",(AM702-AN702)/AK702)</f>
        <v>0</v>
      </c>
      <c r="AQ702">
        <f>IF(COUNT($E$2:$E702)&lt;20,"",MAX($C$683:$C$702))</f>
        <v>0</v>
      </c>
      <c r="AR702">
        <f>IF(COUNT($E$2:$E702)&lt;20,"",MIN($D$683:$D$702))</f>
        <v>0</v>
      </c>
      <c r="AS702">
        <f>IF(OR(AQ702="",AR702=""),"",(AQ702+AR702)/2)</f>
        <v>0</v>
      </c>
      <c r="AT702">
        <f>IF(COUNT($G$683:$G$702)&lt;20,"",STDEV($G$683:$G$702)*SQRT(252))</f>
        <v>0</v>
      </c>
      <c r="AU702">
        <f>IF(COUNT($E$2:$E702)&lt;9,"",(MAX($C$694:$C$702)+MIN($D$694:$D$702))/2)</f>
        <v>0</v>
      </c>
      <c r="AV702">
        <f>IF(COUNT($E$2:$E702)&lt;26,"",(MAX($C$677:$C$702)+MIN($D$677:$D$702))/2)</f>
        <v>0</v>
      </c>
      <c r="AW702">
        <f>IF(OR(AU702="",AV702=""),"",(AU702+AV702)/2)</f>
        <v>0</v>
      </c>
      <c r="AX702">
        <f>IF(COUNT($E$2:$E702)&lt;52,"",(MAX($C$651:$C$702)+MIN($D$651:$D$702))/2)</f>
        <v>0</v>
      </c>
      <c r="AY702">
        <f>IF(COUNT($E$2:$E702)&lt;20,"",MAX($C$603:$C$702))</f>
        <v>0</v>
      </c>
      <c r="AZ702">
        <f>IF(COUNT($E$2:$E702)&lt;20,"",MIN($D$603:$D$702))</f>
        <v>0</v>
      </c>
      <c r="BA702">
        <f>IF(COUNT($E$2:$E702)&lt;20,"",SLOPE($E$603:$E$702,$F$603:$F$702))</f>
        <v>0</v>
      </c>
      <c r="BB702">
        <f>IF(COUNT($E$2:$E702)&lt;20,"",INTERCEPT($E$603:$E$702,$F$603:$F$702))</f>
        <v>0</v>
      </c>
      <c r="BC702">
        <f>IF(OR(BA702="",BB702=""),"",BB702+BA702*F702)</f>
        <v>0</v>
      </c>
      <c r="BD702">
        <f>IF(COUNT($E$2:$E702)&lt;20,"",STEYX($E$603:$E$702,$F$603:$F$702))</f>
        <v>0</v>
      </c>
      <c r="BE702">
        <f>IF($E702="","",IF(AND(COUNT($E$703:$E$706)&gt;=4,$C702=MAX($C$698:$C$706)),$C702,""))</f>
        <v>0</v>
      </c>
      <c r="BF702">
        <f>IF($E702="","",IF(AND(COUNT($E$703:$E$706)&gt;=4,$D702=MIN($D$698:$D$706)),$D702,""))</f>
        <v>0</v>
      </c>
      <c r="BG702">
        <f>IF($A702="","",$A702-WEEKDAY($A702,2)+1)</f>
        <v>0</v>
      </c>
      <c r="BH702">
        <f>IF($A702="","",IF($A701="",1,IF(BG702&lt;&gt;BG701,1,0)))</f>
        <v>0</v>
      </c>
      <c r="BI702">
        <f>IF($A702="","",IF($A703="",1,IF(BG703&lt;&gt;BG702,1,0)))</f>
        <v>0</v>
      </c>
      <c r="BJ702">
        <f>IF($A702="","",IF(BH702=1,$B702,BJ701))</f>
        <v>0</v>
      </c>
      <c r="BK702">
        <f>IF($A702="","",IF(BH702=1,$C702,MAX($C702,BK701)))</f>
        <v>0</v>
      </c>
      <c r="BL702">
        <f>IF($A702="","",IF(BH702=1,$D702,MIN($D702,BL701)))</f>
        <v>0</v>
      </c>
      <c r="BM702">
        <f>IF($A702="","",IF(BI702=1,F702,""))</f>
        <v>0</v>
      </c>
      <c r="BN702">
        <f>IF($A702="","",DATE(YEAR($A702),MONTH($A702),1))</f>
        <v>0</v>
      </c>
      <c r="BO702">
        <f>IF($A702="","",IF($A701="",1,IF(BN702&lt;&gt;BN701,1,0)))</f>
        <v>0</v>
      </c>
      <c r="BP702">
        <f>IF($A702="","",IF($A703="",1,IF(BN703&lt;&gt;BN702,1,0)))</f>
        <v>0</v>
      </c>
      <c r="BQ702">
        <f>IF($A702="","",IF(BO702=1,$B702,BQ701))</f>
        <v>0</v>
      </c>
      <c r="BR702">
        <f>IF($A702="","",IF(BO702=1,$C702,MAX($C702,BR701)))</f>
        <v>0</v>
      </c>
      <c r="BS702">
        <f>IF($A702="","",IF(BO702=1,$D702,MIN($D702,BS701)))</f>
        <v>0</v>
      </c>
      <c r="BT702">
        <f>IF($A702="","",IF(BP702=1,F702,""))</f>
        <v>0</v>
      </c>
    </row>
    <row r="703" spans="1:72">
      <c r="A703" s="27">
        <f>IF(Data!$A703="","",Data!$A703)</f>
        <v>0</v>
      </c>
      <c r="B703">
        <f>IF(Data!$B703="","",Data!$B703)</f>
        <v>0</v>
      </c>
      <c r="C703">
        <f>IF(Data!$C703="","",Data!$C703)</f>
        <v>0</v>
      </c>
      <c r="D703">
        <f>IF(Data!$D703="","",Data!$D703)</f>
        <v>0</v>
      </c>
      <c r="E703">
        <f>IF(Data!$E703="","",Data!$E703)</f>
        <v>0</v>
      </c>
      <c r="F703">
        <f>IF($E703="","",N(F702)+1)</f>
        <v>0</v>
      </c>
      <c r="G703">
        <f>IF(OR($E703="",$E702=""),"",LN($E703/$E702))</f>
        <v>0</v>
      </c>
      <c r="H703">
        <f>IF($E703="","",IF($E702="",$E703,$E703*0.0952380952+H702*0.9047619048))</f>
        <v>0</v>
      </c>
      <c r="I703">
        <f>IF($E703="","",IF($E702="",$E703,$E703*0.0392156863+I702*0.9607843137))</f>
        <v>0</v>
      </c>
      <c r="J703">
        <f>IF($E703="","",IF($E702="",$E703,$E703*0.0198019802+J702*0.9801980198))</f>
        <v>0</v>
      </c>
      <c r="K703">
        <f>IF($E703="","",IF($E702="",$E703,$E703*0.0099502488+K702*0.9900497512))</f>
        <v>0</v>
      </c>
      <c r="L703">
        <f>IF(OR($E703="",$E702=""),"",MAX($E703-$E702,0))</f>
        <v>0</v>
      </c>
      <c r="M703">
        <f>IF(OR($E703="",$E702=""),"",MAX($E702-$E703,0))</f>
        <v>0</v>
      </c>
      <c r="N703">
        <f>IF(COUNT($E$2:$E703)&lt;15,"",IF(AVERAGE($M$690:$M$703)=0,100,100-100/(1+AVERAGE($L$690:$L$703)/AVERAGE($M$690:$M$703))))</f>
        <v>0</v>
      </c>
      <c r="O703">
        <f>IF($E703="","",IF($E702="",$E703,$E703*0.1538461538+O702*0.8461538462))</f>
        <v>0</v>
      </c>
      <c r="P703">
        <f>IF($E703="","",IF($E702="",$E703,$E703*0.0740740741+P702*0.9259259259))</f>
        <v>0</v>
      </c>
      <c r="Q703">
        <f>IF(OR(O703="",P703=""),"",O703-P703)</f>
        <v>0</v>
      </c>
      <c r="R703">
        <f>IF(Q703="","",IF(R702="",Q703,Q703*0.2000000000+R702*0.8000000000))</f>
        <v>0</v>
      </c>
      <c r="S703">
        <f>IF(OR(Q703="",R703=""),"",Q703-R703)</f>
        <v>0</v>
      </c>
      <c r="T703">
        <f>IF(COUNT($E$2:$E703)&lt;14,"",MAX($C$690:$C$703))</f>
        <v>0</v>
      </c>
      <c r="U703">
        <f>IF(COUNT($E$2:$E703)&lt;14,"",MIN($D$690:$D$703))</f>
        <v>0</v>
      </c>
      <c r="V703">
        <f>IF(OR(T703="",U703="",T703=U703),"",100*($E703-U703)/(T703-U703))</f>
        <v>0</v>
      </c>
      <c r="W703">
        <f>IF(COUNT($V$701:$V$703)&lt;3,"",AVERAGE($V$701:$V$703))</f>
        <v>0</v>
      </c>
      <c r="X703">
        <f>IF(COUNT($N$690:$N$703)&lt;14,"",MIN($N$690:$N$703))</f>
        <v>0</v>
      </c>
      <c r="Y703">
        <f>IF(COUNT($N$690:$N$703)&lt;14,"",MAX($N$690:$N$703))</f>
        <v>0</v>
      </c>
      <c r="Z703">
        <f>IF(OR(N703="",X703="",Y703="",Y703=X703),"",100*(N703-X703)/(Y703-X703))</f>
        <v>0</v>
      </c>
      <c r="AA703">
        <f>IF(COUNT($Z$701:$Z$703)&lt;3,"",AVERAGE($Z$701:$Z$703))</f>
        <v>0</v>
      </c>
      <c r="AB703">
        <f>IF(COUNT($AA$701:$AA$703)&lt;3,"",AVERAGE($AA$701:$AA$703))</f>
        <v>0</v>
      </c>
      <c r="AC703">
        <f>IF($E703="","",MAX($C703-$D703,ABS($C703-$E702),ABS($D703-$E702)))</f>
        <v>0</v>
      </c>
      <c r="AD703">
        <f>IF(COUNT($E$2:$E703)&lt;15,"",AVERAGE($AC$690:$AC$703))</f>
        <v>0</v>
      </c>
      <c r="AE703">
        <f>IF(OR($E703="",$E702=""),"",IF(AND(($C703-$C702)&gt;($D702-$D703),($C703-$C702)&gt;0),$C703-$C702,0))</f>
        <v>0</v>
      </c>
      <c r="AF703">
        <f>IF(OR($E703="",$E702=""),"",IF(AND(($D702-$D703)&gt;($C703-$C702),($D702-$D703)&gt;0),$D702-$D703,0))</f>
        <v>0</v>
      </c>
      <c r="AG703">
        <f>IF(COUNT($E$2:$E703)&lt;15,"",IF(SUM($AC$690:$AC$703)=0,0,100*SUM($AE$690:$AE$703)/SUM($AC$690:$AC$703)))</f>
        <v>0</v>
      </c>
      <c r="AH703">
        <f>IF(COUNT($E$2:$E703)&lt;15,"",IF(SUM($AC$690:$AC$703)=0,0,100*SUM($AF$690:$AF$703)/SUM($AC$690:$AC$703)))</f>
        <v>0</v>
      </c>
      <c r="AI703">
        <f>IF(OR(AG703="",AH703=""),"",IF((AG703+AH703)=0,0,100*ABS(AG703-AH703)/(AG703+AH703)))</f>
        <v>0</v>
      </c>
      <c r="AJ703">
        <f>IF(COUNT($AI$690:$AI$703)&lt;14,"",AVERAGE($AI$690:$AI$703))</f>
        <v>0</v>
      </c>
      <c r="AK703">
        <f>IF(COUNT($E$2:$E703)&lt;20,"",AVERAGE($E$684:$E$703))</f>
        <v>0</v>
      </c>
      <c r="AL703">
        <f>IF(COUNT($E$2:$E703)&lt;20,"",STDEVP($E$684:$E$703))</f>
        <v>0</v>
      </c>
      <c r="AM703">
        <f>IF(AK703="","",AK703+2*AL703)</f>
        <v>0</v>
      </c>
      <c r="AN703">
        <f>IF(AK703="","",AK703-2*AL703)</f>
        <v>0</v>
      </c>
      <c r="AO703">
        <f>IF(OR(AM703="",AN703="",AM703=AN703),"",($E703-AN703)/(AM703-AN703))</f>
        <v>0</v>
      </c>
      <c r="AP703">
        <f>IF(OR(AM703="",AK703="",AK703=0),"",(AM703-AN703)/AK703)</f>
        <v>0</v>
      </c>
      <c r="AQ703">
        <f>IF(COUNT($E$2:$E703)&lt;20,"",MAX($C$684:$C$703))</f>
        <v>0</v>
      </c>
      <c r="AR703">
        <f>IF(COUNT($E$2:$E703)&lt;20,"",MIN($D$684:$D$703))</f>
        <v>0</v>
      </c>
      <c r="AS703">
        <f>IF(OR(AQ703="",AR703=""),"",(AQ703+AR703)/2)</f>
        <v>0</v>
      </c>
      <c r="AT703">
        <f>IF(COUNT($G$684:$G$703)&lt;20,"",STDEV($G$684:$G$703)*SQRT(252))</f>
        <v>0</v>
      </c>
      <c r="AU703">
        <f>IF(COUNT($E$2:$E703)&lt;9,"",(MAX($C$695:$C$703)+MIN($D$695:$D$703))/2)</f>
        <v>0</v>
      </c>
      <c r="AV703">
        <f>IF(COUNT($E$2:$E703)&lt;26,"",(MAX($C$678:$C$703)+MIN($D$678:$D$703))/2)</f>
        <v>0</v>
      </c>
      <c r="AW703">
        <f>IF(OR(AU703="",AV703=""),"",(AU703+AV703)/2)</f>
        <v>0</v>
      </c>
      <c r="AX703">
        <f>IF(COUNT($E$2:$E703)&lt;52,"",(MAX($C$652:$C$703)+MIN($D$652:$D$703))/2)</f>
        <v>0</v>
      </c>
      <c r="AY703">
        <f>IF(COUNT($E$2:$E703)&lt;20,"",MAX($C$604:$C$703))</f>
        <v>0</v>
      </c>
      <c r="AZ703">
        <f>IF(COUNT($E$2:$E703)&lt;20,"",MIN($D$604:$D$703))</f>
        <v>0</v>
      </c>
      <c r="BA703">
        <f>IF(COUNT($E$2:$E703)&lt;20,"",SLOPE($E$604:$E$703,$F$604:$F$703))</f>
        <v>0</v>
      </c>
      <c r="BB703">
        <f>IF(COUNT($E$2:$E703)&lt;20,"",INTERCEPT($E$604:$E$703,$F$604:$F$703))</f>
        <v>0</v>
      </c>
      <c r="BC703">
        <f>IF(OR(BA703="",BB703=""),"",BB703+BA703*F703)</f>
        <v>0</v>
      </c>
      <c r="BD703">
        <f>IF(COUNT($E$2:$E703)&lt;20,"",STEYX($E$604:$E$703,$F$604:$F$703))</f>
        <v>0</v>
      </c>
      <c r="BE703">
        <f>IF($E703="","",IF(AND(COUNT($E$704:$E$707)&gt;=4,$C703=MAX($C$699:$C$707)),$C703,""))</f>
        <v>0</v>
      </c>
      <c r="BF703">
        <f>IF($E703="","",IF(AND(COUNT($E$704:$E$707)&gt;=4,$D703=MIN($D$699:$D$707)),$D703,""))</f>
        <v>0</v>
      </c>
      <c r="BG703">
        <f>IF($A703="","",$A703-WEEKDAY($A703,2)+1)</f>
        <v>0</v>
      </c>
      <c r="BH703">
        <f>IF($A703="","",IF($A702="",1,IF(BG703&lt;&gt;BG702,1,0)))</f>
        <v>0</v>
      </c>
      <c r="BI703">
        <f>IF($A703="","",IF($A704="",1,IF(BG704&lt;&gt;BG703,1,0)))</f>
        <v>0</v>
      </c>
      <c r="BJ703">
        <f>IF($A703="","",IF(BH703=1,$B703,BJ702))</f>
        <v>0</v>
      </c>
      <c r="BK703">
        <f>IF($A703="","",IF(BH703=1,$C703,MAX($C703,BK702)))</f>
        <v>0</v>
      </c>
      <c r="BL703">
        <f>IF($A703="","",IF(BH703=1,$D703,MIN($D703,BL702)))</f>
        <v>0</v>
      </c>
      <c r="BM703">
        <f>IF($A703="","",IF(BI703=1,F703,""))</f>
        <v>0</v>
      </c>
      <c r="BN703">
        <f>IF($A703="","",DATE(YEAR($A703),MONTH($A703),1))</f>
        <v>0</v>
      </c>
      <c r="BO703">
        <f>IF($A703="","",IF($A702="",1,IF(BN703&lt;&gt;BN702,1,0)))</f>
        <v>0</v>
      </c>
      <c r="BP703">
        <f>IF($A703="","",IF($A704="",1,IF(BN704&lt;&gt;BN703,1,0)))</f>
        <v>0</v>
      </c>
      <c r="BQ703">
        <f>IF($A703="","",IF(BO703=1,$B703,BQ702))</f>
        <v>0</v>
      </c>
      <c r="BR703">
        <f>IF($A703="","",IF(BO703=1,$C703,MAX($C703,BR702)))</f>
        <v>0</v>
      </c>
      <c r="BS703">
        <f>IF($A703="","",IF(BO703=1,$D703,MIN($D703,BS702)))</f>
        <v>0</v>
      </c>
      <c r="BT703">
        <f>IF($A703="","",IF(BP703=1,F703,""))</f>
        <v>0</v>
      </c>
    </row>
    <row r="704" spans="1:72">
      <c r="A704" s="27">
        <f>IF(Data!$A704="","",Data!$A704)</f>
        <v>0</v>
      </c>
      <c r="B704">
        <f>IF(Data!$B704="","",Data!$B704)</f>
        <v>0</v>
      </c>
      <c r="C704">
        <f>IF(Data!$C704="","",Data!$C704)</f>
        <v>0</v>
      </c>
      <c r="D704">
        <f>IF(Data!$D704="","",Data!$D704)</f>
        <v>0</v>
      </c>
      <c r="E704">
        <f>IF(Data!$E704="","",Data!$E704)</f>
        <v>0</v>
      </c>
      <c r="F704">
        <f>IF($E704="","",N(F703)+1)</f>
        <v>0</v>
      </c>
      <c r="G704">
        <f>IF(OR($E704="",$E703=""),"",LN($E704/$E703))</f>
        <v>0</v>
      </c>
      <c r="H704">
        <f>IF($E704="","",IF($E703="",$E704,$E704*0.0952380952+H703*0.9047619048))</f>
        <v>0</v>
      </c>
      <c r="I704">
        <f>IF($E704="","",IF($E703="",$E704,$E704*0.0392156863+I703*0.9607843137))</f>
        <v>0</v>
      </c>
      <c r="J704">
        <f>IF($E704="","",IF($E703="",$E704,$E704*0.0198019802+J703*0.9801980198))</f>
        <v>0</v>
      </c>
      <c r="K704">
        <f>IF($E704="","",IF($E703="",$E704,$E704*0.0099502488+K703*0.9900497512))</f>
        <v>0</v>
      </c>
      <c r="L704">
        <f>IF(OR($E704="",$E703=""),"",MAX($E704-$E703,0))</f>
        <v>0</v>
      </c>
      <c r="M704">
        <f>IF(OR($E704="",$E703=""),"",MAX($E703-$E704,0))</f>
        <v>0</v>
      </c>
      <c r="N704">
        <f>IF(COUNT($E$2:$E704)&lt;15,"",IF(AVERAGE($M$691:$M$704)=0,100,100-100/(1+AVERAGE($L$691:$L$704)/AVERAGE($M$691:$M$704))))</f>
        <v>0</v>
      </c>
      <c r="O704">
        <f>IF($E704="","",IF($E703="",$E704,$E704*0.1538461538+O703*0.8461538462))</f>
        <v>0</v>
      </c>
      <c r="P704">
        <f>IF($E704="","",IF($E703="",$E704,$E704*0.0740740741+P703*0.9259259259))</f>
        <v>0</v>
      </c>
      <c r="Q704">
        <f>IF(OR(O704="",P704=""),"",O704-P704)</f>
        <v>0</v>
      </c>
      <c r="R704">
        <f>IF(Q704="","",IF(R703="",Q704,Q704*0.2000000000+R703*0.8000000000))</f>
        <v>0</v>
      </c>
      <c r="S704">
        <f>IF(OR(Q704="",R704=""),"",Q704-R704)</f>
        <v>0</v>
      </c>
      <c r="T704">
        <f>IF(COUNT($E$2:$E704)&lt;14,"",MAX($C$691:$C$704))</f>
        <v>0</v>
      </c>
      <c r="U704">
        <f>IF(COUNT($E$2:$E704)&lt;14,"",MIN($D$691:$D$704))</f>
        <v>0</v>
      </c>
      <c r="V704">
        <f>IF(OR(T704="",U704="",T704=U704),"",100*($E704-U704)/(T704-U704))</f>
        <v>0</v>
      </c>
      <c r="W704">
        <f>IF(COUNT($V$702:$V$704)&lt;3,"",AVERAGE($V$702:$V$704))</f>
        <v>0</v>
      </c>
      <c r="X704">
        <f>IF(COUNT($N$691:$N$704)&lt;14,"",MIN($N$691:$N$704))</f>
        <v>0</v>
      </c>
      <c r="Y704">
        <f>IF(COUNT($N$691:$N$704)&lt;14,"",MAX($N$691:$N$704))</f>
        <v>0</v>
      </c>
      <c r="Z704">
        <f>IF(OR(N704="",X704="",Y704="",Y704=X704),"",100*(N704-X704)/(Y704-X704))</f>
        <v>0</v>
      </c>
      <c r="AA704">
        <f>IF(COUNT($Z$702:$Z$704)&lt;3,"",AVERAGE($Z$702:$Z$704))</f>
        <v>0</v>
      </c>
      <c r="AB704">
        <f>IF(COUNT($AA$702:$AA$704)&lt;3,"",AVERAGE($AA$702:$AA$704))</f>
        <v>0</v>
      </c>
      <c r="AC704">
        <f>IF($E704="","",MAX($C704-$D704,ABS($C704-$E703),ABS($D704-$E703)))</f>
        <v>0</v>
      </c>
      <c r="AD704">
        <f>IF(COUNT($E$2:$E704)&lt;15,"",AVERAGE($AC$691:$AC$704))</f>
        <v>0</v>
      </c>
      <c r="AE704">
        <f>IF(OR($E704="",$E703=""),"",IF(AND(($C704-$C703)&gt;($D703-$D704),($C704-$C703)&gt;0),$C704-$C703,0))</f>
        <v>0</v>
      </c>
      <c r="AF704">
        <f>IF(OR($E704="",$E703=""),"",IF(AND(($D703-$D704)&gt;($C704-$C703),($D703-$D704)&gt;0),$D703-$D704,0))</f>
        <v>0</v>
      </c>
      <c r="AG704">
        <f>IF(COUNT($E$2:$E704)&lt;15,"",IF(SUM($AC$691:$AC$704)=0,0,100*SUM($AE$691:$AE$704)/SUM($AC$691:$AC$704)))</f>
        <v>0</v>
      </c>
      <c r="AH704">
        <f>IF(COUNT($E$2:$E704)&lt;15,"",IF(SUM($AC$691:$AC$704)=0,0,100*SUM($AF$691:$AF$704)/SUM($AC$691:$AC$704)))</f>
        <v>0</v>
      </c>
      <c r="AI704">
        <f>IF(OR(AG704="",AH704=""),"",IF((AG704+AH704)=0,0,100*ABS(AG704-AH704)/(AG704+AH704)))</f>
        <v>0</v>
      </c>
      <c r="AJ704">
        <f>IF(COUNT($AI$691:$AI$704)&lt;14,"",AVERAGE($AI$691:$AI$704))</f>
        <v>0</v>
      </c>
      <c r="AK704">
        <f>IF(COUNT($E$2:$E704)&lt;20,"",AVERAGE($E$685:$E$704))</f>
        <v>0</v>
      </c>
      <c r="AL704">
        <f>IF(COUNT($E$2:$E704)&lt;20,"",STDEVP($E$685:$E$704))</f>
        <v>0</v>
      </c>
      <c r="AM704">
        <f>IF(AK704="","",AK704+2*AL704)</f>
        <v>0</v>
      </c>
      <c r="AN704">
        <f>IF(AK704="","",AK704-2*AL704)</f>
        <v>0</v>
      </c>
      <c r="AO704">
        <f>IF(OR(AM704="",AN704="",AM704=AN704),"",($E704-AN704)/(AM704-AN704))</f>
        <v>0</v>
      </c>
      <c r="AP704">
        <f>IF(OR(AM704="",AK704="",AK704=0),"",(AM704-AN704)/AK704)</f>
        <v>0</v>
      </c>
      <c r="AQ704">
        <f>IF(COUNT($E$2:$E704)&lt;20,"",MAX($C$685:$C$704))</f>
        <v>0</v>
      </c>
      <c r="AR704">
        <f>IF(COUNT($E$2:$E704)&lt;20,"",MIN($D$685:$D$704))</f>
        <v>0</v>
      </c>
      <c r="AS704">
        <f>IF(OR(AQ704="",AR704=""),"",(AQ704+AR704)/2)</f>
        <v>0</v>
      </c>
      <c r="AT704">
        <f>IF(COUNT($G$685:$G$704)&lt;20,"",STDEV($G$685:$G$704)*SQRT(252))</f>
        <v>0</v>
      </c>
      <c r="AU704">
        <f>IF(COUNT($E$2:$E704)&lt;9,"",(MAX($C$696:$C$704)+MIN($D$696:$D$704))/2)</f>
        <v>0</v>
      </c>
      <c r="AV704">
        <f>IF(COUNT($E$2:$E704)&lt;26,"",(MAX($C$679:$C$704)+MIN($D$679:$D$704))/2)</f>
        <v>0</v>
      </c>
      <c r="AW704">
        <f>IF(OR(AU704="",AV704=""),"",(AU704+AV704)/2)</f>
        <v>0</v>
      </c>
      <c r="AX704">
        <f>IF(COUNT($E$2:$E704)&lt;52,"",(MAX($C$653:$C$704)+MIN($D$653:$D$704))/2)</f>
        <v>0</v>
      </c>
      <c r="AY704">
        <f>IF(COUNT($E$2:$E704)&lt;20,"",MAX($C$605:$C$704))</f>
        <v>0</v>
      </c>
      <c r="AZ704">
        <f>IF(COUNT($E$2:$E704)&lt;20,"",MIN($D$605:$D$704))</f>
        <v>0</v>
      </c>
      <c r="BA704">
        <f>IF(COUNT($E$2:$E704)&lt;20,"",SLOPE($E$605:$E$704,$F$605:$F$704))</f>
        <v>0</v>
      </c>
      <c r="BB704">
        <f>IF(COUNT($E$2:$E704)&lt;20,"",INTERCEPT($E$605:$E$704,$F$605:$F$704))</f>
        <v>0</v>
      </c>
      <c r="BC704">
        <f>IF(OR(BA704="",BB704=""),"",BB704+BA704*F704)</f>
        <v>0</v>
      </c>
      <c r="BD704">
        <f>IF(COUNT($E$2:$E704)&lt;20,"",STEYX($E$605:$E$704,$F$605:$F$704))</f>
        <v>0</v>
      </c>
      <c r="BE704">
        <f>IF($E704="","",IF(AND(COUNT($E$705:$E$708)&gt;=4,$C704=MAX($C$700:$C$708)),$C704,""))</f>
        <v>0</v>
      </c>
      <c r="BF704">
        <f>IF($E704="","",IF(AND(COUNT($E$705:$E$708)&gt;=4,$D704=MIN($D$700:$D$708)),$D704,""))</f>
        <v>0</v>
      </c>
      <c r="BG704">
        <f>IF($A704="","",$A704-WEEKDAY($A704,2)+1)</f>
        <v>0</v>
      </c>
      <c r="BH704">
        <f>IF($A704="","",IF($A703="",1,IF(BG704&lt;&gt;BG703,1,0)))</f>
        <v>0</v>
      </c>
      <c r="BI704">
        <f>IF($A704="","",IF($A705="",1,IF(BG705&lt;&gt;BG704,1,0)))</f>
        <v>0</v>
      </c>
      <c r="BJ704">
        <f>IF($A704="","",IF(BH704=1,$B704,BJ703))</f>
        <v>0</v>
      </c>
      <c r="BK704">
        <f>IF($A704="","",IF(BH704=1,$C704,MAX($C704,BK703)))</f>
        <v>0</v>
      </c>
      <c r="BL704">
        <f>IF($A704="","",IF(BH704=1,$D704,MIN($D704,BL703)))</f>
        <v>0</v>
      </c>
      <c r="BM704">
        <f>IF($A704="","",IF(BI704=1,F704,""))</f>
        <v>0</v>
      </c>
      <c r="BN704">
        <f>IF($A704="","",DATE(YEAR($A704),MONTH($A704),1))</f>
        <v>0</v>
      </c>
      <c r="BO704">
        <f>IF($A704="","",IF($A703="",1,IF(BN704&lt;&gt;BN703,1,0)))</f>
        <v>0</v>
      </c>
      <c r="BP704">
        <f>IF($A704="","",IF($A705="",1,IF(BN705&lt;&gt;BN704,1,0)))</f>
        <v>0</v>
      </c>
      <c r="BQ704">
        <f>IF($A704="","",IF(BO704=1,$B704,BQ703))</f>
        <v>0</v>
      </c>
      <c r="BR704">
        <f>IF($A704="","",IF(BO704=1,$C704,MAX($C704,BR703)))</f>
        <v>0</v>
      </c>
      <c r="BS704">
        <f>IF($A704="","",IF(BO704=1,$D704,MIN($D704,BS703)))</f>
        <v>0</v>
      </c>
      <c r="BT704">
        <f>IF($A704="","",IF(BP704=1,F704,""))</f>
        <v>0</v>
      </c>
    </row>
    <row r="705" spans="1:72">
      <c r="A705" s="27">
        <f>IF(Data!$A705="","",Data!$A705)</f>
        <v>0</v>
      </c>
      <c r="B705">
        <f>IF(Data!$B705="","",Data!$B705)</f>
        <v>0</v>
      </c>
      <c r="C705">
        <f>IF(Data!$C705="","",Data!$C705)</f>
        <v>0</v>
      </c>
      <c r="D705">
        <f>IF(Data!$D705="","",Data!$D705)</f>
        <v>0</v>
      </c>
      <c r="E705">
        <f>IF(Data!$E705="","",Data!$E705)</f>
        <v>0</v>
      </c>
      <c r="F705">
        <f>IF($E705="","",N(F704)+1)</f>
        <v>0</v>
      </c>
      <c r="G705">
        <f>IF(OR($E705="",$E704=""),"",LN($E705/$E704))</f>
        <v>0</v>
      </c>
      <c r="H705">
        <f>IF($E705="","",IF($E704="",$E705,$E705*0.0952380952+H704*0.9047619048))</f>
        <v>0</v>
      </c>
      <c r="I705">
        <f>IF($E705="","",IF($E704="",$E705,$E705*0.0392156863+I704*0.9607843137))</f>
        <v>0</v>
      </c>
      <c r="J705">
        <f>IF($E705="","",IF($E704="",$E705,$E705*0.0198019802+J704*0.9801980198))</f>
        <v>0</v>
      </c>
      <c r="K705">
        <f>IF($E705="","",IF($E704="",$E705,$E705*0.0099502488+K704*0.9900497512))</f>
        <v>0</v>
      </c>
      <c r="L705">
        <f>IF(OR($E705="",$E704=""),"",MAX($E705-$E704,0))</f>
        <v>0</v>
      </c>
      <c r="M705">
        <f>IF(OR($E705="",$E704=""),"",MAX($E704-$E705,0))</f>
        <v>0</v>
      </c>
      <c r="N705">
        <f>IF(COUNT($E$2:$E705)&lt;15,"",IF(AVERAGE($M$692:$M$705)=0,100,100-100/(1+AVERAGE($L$692:$L$705)/AVERAGE($M$692:$M$705))))</f>
        <v>0</v>
      </c>
      <c r="O705">
        <f>IF($E705="","",IF($E704="",$E705,$E705*0.1538461538+O704*0.8461538462))</f>
        <v>0</v>
      </c>
      <c r="P705">
        <f>IF($E705="","",IF($E704="",$E705,$E705*0.0740740741+P704*0.9259259259))</f>
        <v>0</v>
      </c>
      <c r="Q705">
        <f>IF(OR(O705="",P705=""),"",O705-P705)</f>
        <v>0</v>
      </c>
      <c r="R705">
        <f>IF(Q705="","",IF(R704="",Q705,Q705*0.2000000000+R704*0.8000000000))</f>
        <v>0</v>
      </c>
      <c r="S705">
        <f>IF(OR(Q705="",R705=""),"",Q705-R705)</f>
        <v>0</v>
      </c>
      <c r="T705">
        <f>IF(COUNT($E$2:$E705)&lt;14,"",MAX($C$692:$C$705))</f>
        <v>0</v>
      </c>
      <c r="U705">
        <f>IF(COUNT($E$2:$E705)&lt;14,"",MIN($D$692:$D$705))</f>
        <v>0</v>
      </c>
      <c r="V705">
        <f>IF(OR(T705="",U705="",T705=U705),"",100*($E705-U705)/(T705-U705))</f>
        <v>0</v>
      </c>
      <c r="W705">
        <f>IF(COUNT($V$703:$V$705)&lt;3,"",AVERAGE($V$703:$V$705))</f>
        <v>0</v>
      </c>
      <c r="X705">
        <f>IF(COUNT($N$692:$N$705)&lt;14,"",MIN($N$692:$N$705))</f>
        <v>0</v>
      </c>
      <c r="Y705">
        <f>IF(COUNT($N$692:$N$705)&lt;14,"",MAX($N$692:$N$705))</f>
        <v>0</v>
      </c>
      <c r="Z705">
        <f>IF(OR(N705="",X705="",Y705="",Y705=X705),"",100*(N705-X705)/(Y705-X705))</f>
        <v>0</v>
      </c>
      <c r="AA705">
        <f>IF(COUNT($Z$703:$Z$705)&lt;3,"",AVERAGE($Z$703:$Z$705))</f>
        <v>0</v>
      </c>
      <c r="AB705">
        <f>IF(COUNT($AA$703:$AA$705)&lt;3,"",AVERAGE($AA$703:$AA$705))</f>
        <v>0</v>
      </c>
      <c r="AC705">
        <f>IF($E705="","",MAX($C705-$D705,ABS($C705-$E704),ABS($D705-$E704)))</f>
        <v>0</v>
      </c>
      <c r="AD705">
        <f>IF(COUNT($E$2:$E705)&lt;15,"",AVERAGE($AC$692:$AC$705))</f>
        <v>0</v>
      </c>
      <c r="AE705">
        <f>IF(OR($E705="",$E704=""),"",IF(AND(($C705-$C704)&gt;($D704-$D705),($C705-$C704)&gt;0),$C705-$C704,0))</f>
        <v>0</v>
      </c>
      <c r="AF705">
        <f>IF(OR($E705="",$E704=""),"",IF(AND(($D704-$D705)&gt;($C705-$C704),($D704-$D705)&gt;0),$D704-$D705,0))</f>
        <v>0</v>
      </c>
      <c r="AG705">
        <f>IF(COUNT($E$2:$E705)&lt;15,"",IF(SUM($AC$692:$AC$705)=0,0,100*SUM($AE$692:$AE$705)/SUM($AC$692:$AC$705)))</f>
        <v>0</v>
      </c>
      <c r="AH705">
        <f>IF(COUNT($E$2:$E705)&lt;15,"",IF(SUM($AC$692:$AC$705)=0,0,100*SUM($AF$692:$AF$705)/SUM($AC$692:$AC$705)))</f>
        <v>0</v>
      </c>
      <c r="AI705">
        <f>IF(OR(AG705="",AH705=""),"",IF((AG705+AH705)=0,0,100*ABS(AG705-AH705)/(AG705+AH705)))</f>
        <v>0</v>
      </c>
      <c r="AJ705">
        <f>IF(COUNT($AI$692:$AI$705)&lt;14,"",AVERAGE($AI$692:$AI$705))</f>
        <v>0</v>
      </c>
      <c r="AK705">
        <f>IF(COUNT($E$2:$E705)&lt;20,"",AVERAGE($E$686:$E$705))</f>
        <v>0</v>
      </c>
      <c r="AL705">
        <f>IF(COUNT($E$2:$E705)&lt;20,"",STDEVP($E$686:$E$705))</f>
        <v>0</v>
      </c>
      <c r="AM705">
        <f>IF(AK705="","",AK705+2*AL705)</f>
        <v>0</v>
      </c>
      <c r="AN705">
        <f>IF(AK705="","",AK705-2*AL705)</f>
        <v>0</v>
      </c>
      <c r="AO705">
        <f>IF(OR(AM705="",AN705="",AM705=AN705),"",($E705-AN705)/(AM705-AN705))</f>
        <v>0</v>
      </c>
      <c r="AP705">
        <f>IF(OR(AM705="",AK705="",AK705=0),"",(AM705-AN705)/AK705)</f>
        <v>0</v>
      </c>
      <c r="AQ705">
        <f>IF(COUNT($E$2:$E705)&lt;20,"",MAX($C$686:$C$705))</f>
        <v>0</v>
      </c>
      <c r="AR705">
        <f>IF(COUNT($E$2:$E705)&lt;20,"",MIN($D$686:$D$705))</f>
        <v>0</v>
      </c>
      <c r="AS705">
        <f>IF(OR(AQ705="",AR705=""),"",(AQ705+AR705)/2)</f>
        <v>0</v>
      </c>
      <c r="AT705">
        <f>IF(COUNT($G$686:$G$705)&lt;20,"",STDEV($G$686:$G$705)*SQRT(252))</f>
        <v>0</v>
      </c>
      <c r="AU705">
        <f>IF(COUNT($E$2:$E705)&lt;9,"",(MAX($C$697:$C$705)+MIN($D$697:$D$705))/2)</f>
        <v>0</v>
      </c>
      <c r="AV705">
        <f>IF(COUNT($E$2:$E705)&lt;26,"",(MAX($C$680:$C$705)+MIN($D$680:$D$705))/2)</f>
        <v>0</v>
      </c>
      <c r="AW705">
        <f>IF(OR(AU705="",AV705=""),"",(AU705+AV705)/2)</f>
        <v>0</v>
      </c>
      <c r="AX705">
        <f>IF(COUNT($E$2:$E705)&lt;52,"",(MAX($C$654:$C$705)+MIN($D$654:$D$705))/2)</f>
        <v>0</v>
      </c>
      <c r="AY705">
        <f>IF(COUNT($E$2:$E705)&lt;20,"",MAX($C$606:$C$705))</f>
        <v>0</v>
      </c>
      <c r="AZ705">
        <f>IF(COUNT($E$2:$E705)&lt;20,"",MIN($D$606:$D$705))</f>
        <v>0</v>
      </c>
      <c r="BA705">
        <f>IF(COUNT($E$2:$E705)&lt;20,"",SLOPE($E$606:$E$705,$F$606:$F$705))</f>
        <v>0</v>
      </c>
      <c r="BB705">
        <f>IF(COUNT($E$2:$E705)&lt;20,"",INTERCEPT($E$606:$E$705,$F$606:$F$705))</f>
        <v>0</v>
      </c>
      <c r="BC705">
        <f>IF(OR(BA705="",BB705=""),"",BB705+BA705*F705)</f>
        <v>0</v>
      </c>
      <c r="BD705">
        <f>IF(COUNT($E$2:$E705)&lt;20,"",STEYX($E$606:$E$705,$F$606:$F$705))</f>
        <v>0</v>
      </c>
      <c r="BE705">
        <f>IF($E705="","",IF(AND(COUNT($E$706:$E$709)&gt;=4,$C705=MAX($C$701:$C$709)),$C705,""))</f>
        <v>0</v>
      </c>
      <c r="BF705">
        <f>IF($E705="","",IF(AND(COUNT($E$706:$E$709)&gt;=4,$D705=MIN($D$701:$D$709)),$D705,""))</f>
        <v>0</v>
      </c>
      <c r="BG705">
        <f>IF($A705="","",$A705-WEEKDAY($A705,2)+1)</f>
        <v>0</v>
      </c>
      <c r="BH705">
        <f>IF($A705="","",IF($A704="",1,IF(BG705&lt;&gt;BG704,1,0)))</f>
        <v>0</v>
      </c>
      <c r="BI705">
        <f>IF($A705="","",IF($A706="",1,IF(BG706&lt;&gt;BG705,1,0)))</f>
        <v>0</v>
      </c>
      <c r="BJ705">
        <f>IF($A705="","",IF(BH705=1,$B705,BJ704))</f>
        <v>0</v>
      </c>
      <c r="BK705">
        <f>IF($A705="","",IF(BH705=1,$C705,MAX($C705,BK704)))</f>
        <v>0</v>
      </c>
      <c r="BL705">
        <f>IF($A705="","",IF(BH705=1,$D705,MIN($D705,BL704)))</f>
        <v>0</v>
      </c>
      <c r="BM705">
        <f>IF($A705="","",IF(BI705=1,F705,""))</f>
        <v>0</v>
      </c>
      <c r="BN705">
        <f>IF($A705="","",DATE(YEAR($A705),MONTH($A705),1))</f>
        <v>0</v>
      </c>
      <c r="BO705">
        <f>IF($A705="","",IF($A704="",1,IF(BN705&lt;&gt;BN704,1,0)))</f>
        <v>0</v>
      </c>
      <c r="BP705">
        <f>IF($A705="","",IF($A706="",1,IF(BN706&lt;&gt;BN705,1,0)))</f>
        <v>0</v>
      </c>
      <c r="BQ705">
        <f>IF($A705="","",IF(BO705=1,$B705,BQ704))</f>
        <v>0</v>
      </c>
      <c r="BR705">
        <f>IF($A705="","",IF(BO705=1,$C705,MAX($C705,BR704)))</f>
        <v>0</v>
      </c>
      <c r="BS705">
        <f>IF($A705="","",IF(BO705=1,$D705,MIN($D705,BS704)))</f>
        <v>0</v>
      </c>
      <c r="BT705">
        <f>IF($A705="","",IF(BP705=1,F705,""))</f>
        <v>0</v>
      </c>
    </row>
    <row r="706" spans="1:72">
      <c r="A706" s="27">
        <f>IF(Data!$A706="","",Data!$A706)</f>
        <v>0</v>
      </c>
      <c r="B706">
        <f>IF(Data!$B706="","",Data!$B706)</f>
        <v>0</v>
      </c>
      <c r="C706">
        <f>IF(Data!$C706="","",Data!$C706)</f>
        <v>0</v>
      </c>
      <c r="D706">
        <f>IF(Data!$D706="","",Data!$D706)</f>
        <v>0</v>
      </c>
      <c r="E706">
        <f>IF(Data!$E706="","",Data!$E706)</f>
        <v>0</v>
      </c>
      <c r="F706">
        <f>IF($E706="","",N(F705)+1)</f>
        <v>0</v>
      </c>
      <c r="G706">
        <f>IF(OR($E706="",$E705=""),"",LN($E706/$E705))</f>
        <v>0</v>
      </c>
      <c r="H706">
        <f>IF($E706="","",IF($E705="",$E706,$E706*0.0952380952+H705*0.9047619048))</f>
        <v>0</v>
      </c>
      <c r="I706">
        <f>IF($E706="","",IF($E705="",$E706,$E706*0.0392156863+I705*0.9607843137))</f>
        <v>0</v>
      </c>
      <c r="J706">
        <f>IF($E706="","",IF($E705="",$E706,$E706*0.0198019802+J705*0.9801980198))</f>
        <v>0</v>
      </c>
      <c r="K706">
        <f>IF($E706="","",IF($E705="",$E706,$E706*0.0099502488+K705*0.9900497512))</f>
        <v>0</v>
      </c>
      <c r="L706">
        <f>IF(OR($E706="",$E705=""),"",MAX($E706-$E705,0))</f>
        <v>0</v>
      </c>
      <c r="M706">
        <f>IF(OR($E706="",$E705=""),"",MAX($E705-$E706,0))</f>
        <v>0</v>
      </c>
      <c r="N706">
        <f>IF(COUNT($E$2:$E706)&lt;15,"",IF(AVERAGE($M$693:$M$706)=0,100,100-100/(1+AVERAGE($L$693:$L$706)/AVERAGE($M$693:$M$706))))</f>
        <v>0</v>
      </c>
      <c r="O706">
        <f>IF($E706="","",IF($E705="",$E706,$E706*0.1538461538+O705*0.8461538462))</f>
        <v>0</v>
      </c>
      <c r="P706">
        <f>IF($E706="","",IF($E705="",$E706,$E706*0.0740740741+P705*0.9259259259))</f>
        <v>0</v>
      </c>
      <c r="Q706">
        <f>IF(OR(O706="",P706=""),"",O706-P706)</f>
        <v>0</v>
      </c>
      <c r="R706">
        <f>IF(Q706="","",IF(R705="",Q706,Q706*0.2000000000+R705*0.8000000000))</f>
        <v>0</v>
      </c>
      <c r="S706">
        <f>IF(OR(Q706="",R706=""),"",Q706-R706)</f>
        <v>0</v>
      </c>
      <c r="T706">
        <f>IF(COUNT($E$2:$E706)&lt;14,"",MAX($C$693:$C$706))</f>
        <v>0</v>
      </c>
      <c r="U706">
        <f>IF(COUNT($E$2:$E706)&lt;14,"",MIN($D$693:$D$706))</f>
        <v>0</v>
      </c>
      <c r="V706">
        <f>IF(OR(T706="",U706="",T706=U706),"",100*($E706-U706)/(T706-U706))</f>
        <v>0</v>
      </c>
      <c r="W706">
        <f>IF(COUNT($V$704:$V$706)&lt;3,"",AVERAGE($V$704:$V$706))</f>
        <v>0</v>
      </c>
      <c r="X706">
        <f>IF(COUNT($N$693:$N$706)&lt;14,"",MIN($N$693:$N$706))</f>
        <v>0</v>
      </c>
      <c r="Y706">
        <f>IF(COUNT($N$693:$N$706)&lt;14,"",MAX($N$693:$N$706))</f>
        <v>0</v>
      </c>
      <c r="Z706">
        <f>IF(OR(N706="",X706="",Y706="",Y706=X706),"",100*(N706-X706)/(Y706-X706))</f>
        <v>0</v>
      </c>
      <c r="AA706">
        <f>IF(COUNT($Z$704:$Z$706)&lt;3,"",AVERAGE($Z$704:$Z$706))</f>
        <v>0</v>
      </c>
      <c r="AB706">
        <f>IF(COUNT($AA$704:$AA$706)&lt;3,"",AVERAGE($AA$704:$AA$706))</f>
        <v>0</v>
      </c>
      <c r="AC706">
        <f>IF($E706="","",MAX($C706-$D706,ABS($C706-$E705),ABS($D706-$E705)))</f>
        <v>0</v>
      </c>
      <c r="AD706">
        <f>IF(COUNT($E$2:$E706)&lt;15,"",AVERAGE($AC$693:$AC$706))</f>
        <v>0</v>
      </c>
      <c r="AE706">
        <f>IF(OR($E706="",$E705=""),"",IF(AND(($C706-$C705)&gt;($D705-$D706),($C706-$C705)&gt;0),$C706-$C705,0))</f>
        <v>0</v>
      </c>
      <c r="AF706">
        <f>IF(OR($E706="",$E705=""),"",IF(AND(($D705-$D706)&gt;($C706-$C705),($D705-$D706)&gt;0),$D705-$D706,0))</f>
        <v>0</v>
      </c>
      <c r="AG706">
        <f>IF(COUNT($E$2:$E706)&lt;15,"",IF(SUM($AC$693:$AC$706)=0,0,100*SUM($AE$693:$AE$706)/SUM($AC$693:$AC$706)))</f>
        <v>0</v>
      </c>
      <c r="AH706">
        <f>IF(COUNT($E$2:$E706)&lt;15,"",IF(SUM($AC$693:$AC$706)=0,0,100*SUM($AF$693:$AF$706)/SUM($AC$693:$AC$706)))</f>
        <v>0</v>
      </c>
      <c r="AI706">
        <f>IF(OR(AG706="",AH706=""),"",IF((AG706+AH706)=0,0,100*ABS(AG706-AH706)/(AG706+AH706)))</f>
        <v>0</v>
      </c>
      <c r="AJ706">
        <f>IF(COUNT($AI$693:$AI$706)&lt;14,"",AVERAGE($AI$693:$AI$706))</f>
        <v>0</v>
      </c>
      <c r="AK706">
        <f>IF(COUNT($E$2:$E706)&lt;20,"",AVERAGE($E$687:$E$706))</f>
        <v>0</v>
      </c>
      <c r="AL706">
        <f>IF(COUNT($E$2:$E706)&lt;20,"",STDEVP($E$687:$E$706))</f>
        <v>0</v>
      </c>
      <c r="AM706">
        <f>IF(AK706="","",AK706+2*AL706)</f>
        <v>0</v>
      </c>
      <c r="AN706">
        <f>IF(AK706="","",AK706-2*AL706)</f>
        <v>0</v>
      </c>
      <c r="AO706">
        <f>IF(OR(AM706="",AN706="",AM706=AN706),"",($E706-AN706)/(AM706-AN706))</f>
        <v>0</v>
      </c>
      <c r="AP706">
        <f>IF(OR(AM706="",AK706="",AK706=0),"",(AM706-AN706)/AK706)</f>
        <v>0</v>
      </c>
      <c r="AQ706">
        <f>IF(COUNT($E$2:$E706)&lt;20,"",MAX($C$687:$C$706))</f>
        <v>0</v>
      </c>
      <c r="AR706">
        <f>IF(COUNT($E$2:$E706)&lt;20,"",MIN($D$687:$D$706))</f>
        <v>0</v>
      </c>
      <c r="AS706">
        <f>IF(OR(AQ706="",AR706=""),"",(AQ706+AR706)/2)</f>
        <v>0</v>
      </c>
      <c r="AT706">
        <f>IF(COUNT($G$687:$G$706)&lt;20,"",STDEV($G$687:$G$706)*SQRT(252))</f>
        <v>0</v>
      </c>
      <c r="AU706">
        <f>IF(COUNT($E$2:$E706)&lt;9,"",(MAX($C$698:$C$706)+MIN($D$698:$D$706))/2)</f>
        <v>0</v>
      </c>
      <c r="AV706">
        <f>IF(COUNT($E$2:$E706)&lt;26,"",(MAX($C$681:$C$706)+MIN($D$681:$D$706))/2)</f>
        <v>0</v>
      </c>
      <c r="AW706">
        <f>IF(OR(AU706="",AV706=""),"",(AU706+AV706)/2)</f>
        <v>0</v>
      </c>
      <c r="AX706">
        <f>IF(COUNT($E$2:$E706)&lt;52,"",(MAX($C$655:$C$706)+MIN($D$655:$D$706))/2)</f>
        <v>0</v>
      </c>
      <c r="AY706">
        <f>IF(COUNT($E$2:$E706)&lt;20,"",MAX($C$607:$C$706))</f>
        <v>0</v>
      </c>
      <c r="AZ706">
        <f>IF(COUNT($E$2:$E706)&lt;20,"",MIN($D$607:$D$706))</f>
        <v>0</v>
      </c>
      <c r="BA706">
        <f>IF(COUNT($E$2:$E706)&lt;20,"",SLOPE($E$607:$E$706,$F$607:$F$706))</f>
        <v>0</v>
      </c>
      <c r="BB706">
        <f>IF(COUNT($E$2:$E706)&lt;20,"",INTERCEPT($E$607:$E$706,$F$607:$F$706))</f>
        <v>0</v>
      </c>
      <c r="BC706">
        <f>IF(OR(BA706="",BB706=""),"",BB706+BA706*F706)</f>
        <v>0</v>
      </c>
      <c r="BD706">
        <f>IF(COUNT($E$2:$E706)&lt;20,"",STEYX($E$607:$E$706,$F$607:$F$706))</f>
        <v>0</v>
      </c>
      <c r="BE706">
        <f>IF($E706="","",IF(AND(COUNT($E$707:$E$710)&gt;=4,$C706=MAX($C$702:$C$710)),$C706,""))</f>
        <v>0</v>
      </c>
      <c r="BF706">
        <f>IF($E706="","",IF(AND(COUNT($E$707:$E$710)&gt;=4,$D706=MIN($D$702:$D$710)),$D706,""))</f>
        <v>0</v>
      </c>
      <c r="BG706">
        <f>IF($A706="","",$A706-WEEKDAY($A706,2)+1)</f>
        <v>0</v>
      </c>
      <c r="BH706">
        <f>IF($A706="","",IF($A705="",1,IF(BG706&lt;&gt;BG705,1,0)))</f>
        <v>0</v>
      </c>
      <c r="BI706">
        <f>IF($A706="","",IF($A707="",1,IF(BG707&lt;&gt;BG706,1,0)))</f>
        <v>0</v>
      </c>
      <c r="BJ706">
        <f>IF($A706="","",IF(BH706=1,$B706,BJ705))</f>
        <v>0</v>
      </c>
      <c r="BK706">
        <f>IF($A706="","",IF(BH706=1,$C706,MAX($C706,BK705)))</f>
        <v>0</v>
      </c>
      <c r="BL706">
        <f>IF($A706="","",IF(BH706=1,$D706,MIN($D706,BL705)))</f>
        <v>0</v>
      </c>
      <c r="BM706">
        <f>IF($A706="","",IF(BI706=1,F706,""))</f>
        <v>0</v>
      </c>
      <c r="BN706">
        <f>IF($A706="","",DATE(YEAR($A706),MONTH($A706),1))</f>
        <v>0</v>
      </c>
      <c r="BO706">
        <f>IF($A706="","",IF($A705="",1,IF(BN706&lt;&gt;BN705,1,0)))</f>
        <v>0</v>
      </c>
      <c r="BP706">
        <f>IF($A706="","",IF($A707="",1,IF(BN707&lt;&gt;BN706,1,0)))</f>
        <v>0</v>
      </c>
      <c r="BQ706">
        <f>IF($A706="","",IF(BO706=1,$B706,BQ705))</f>
        <v>0</v>
      </c>
      <c r="BR706">
        <f>IF($A706="","",IF(BO706=1,$C706,MAX($C706,BR705)))</f>
        <v>0</v>
      </c>
      <c r="BS706">
        <f>IF($A706="","",IF(BO706=1,$D706,MIN($D706,BS705)))</f>
        <v>0</v>
      </c>
      <c r="BT706">
        <f>IF($A706="","",IF(BP706=1,F706,""))</f>
        <v>0</v>
      </c>
    </row>
    <row r="707" spans="1:72">
      <c r="A707" s="27">
        <f>IF(Data!$A707="","",Data!$A707)</f>
        <v>0</v>
      </c>
      <c r="B707">
        <f>IF(Data!$B707="","",Data!$B707)</f>
        <v>0</v>
      </c>
      <c r="C707">
        <f>IF(Data!$C707="","",Data!$C707)</f>
        <v>0</v>
      </c>
      <c r="D707">
        <f>IF(Data!$D707="","",Data!$D707)</f>
        <v>0</v>
      </c>
      <c r="E707">
        <f>IF(Data!$E707="","",Data!$E707)</f>
        <v>0</v>
      </c>
      <c r="F707">
        <f>IF($E707="","",N(F706)+1)</f>
        <v>0</v>
      </c>
      <c r="G707">
        <f>IF(OR($E707="",$E706=""),"",LN($E707/$E706))</f>
        <v>0</v>
      </c>
      <c r="H707">
        <f>IF($E707="","",IF($E706="",$E707,$E707*0.0952380952+H706*0.9047619048))</f>
        <v>0</v>
      </c>
      <c r="I707">
        <f>IF($E707="","",IF($E706="",$E707,$E707*0.0392156863+I706*0.9607843137))</f>
        <v>0</v>
      </c>
      <c r="J707">
        <f>IF($E707="","",IF($E706="",$E707,$E707*0.0198019802+J706*0.9801980198))</f>
        <v>0</v>
      </c>
      <c r="K707">
        <f>IF($E707="","",IF($E706="",$E707,$E707*0.0099502488+K706*0.9900497512))</f>
        <v>0</v>
      </c>
      <c r="L707">
        <f>IF(OR($E707="",$E706=""),"",MAX($E707-$E706,0))</f>
        <v>0</v>
      </c>
      <c r="M707">
        <f>IF(OR($E707="",$E706=""),"",MAX($E706-$E707,0))</f>
        <v>0</v>
      </c>
      <c r="N707">
        <f>IF(COUNT($E$2:$E707)&lt;15,"",IF(AVERAGE($M$694:$M$707)=0,100,100-100/(1+AVERAGE($L$694:$L$707)/AVERAGE($M$694:$M$707))))</f>
        <v>0</v>
      </c>
      <c r="O707">
        <f>IF($E707="","",IF($E706="",$E707,$E707*0.1538461538+O706*0.8461538462))</f>
        <v>0</v>
      </c>
      <c r="P707">
        <f>IF($E707="","",IF($E706="",$E707,$E707*0.0740740741+P706*0.9259259259))</f>
        <v>0</v>
      </c>
      <c r="Q707">
        <f>IF(OR(O707="",P707=""),"",O707-P707)</f>
        <v>0</v>
      </c>
      <c r="R707">
        <f>IF(Q707="","",IF(R706="",Q707,Q707*0.2000000000+R706*0.8000000000))</f>
        <v>0</v>
      </c>
      <c r="S707">
        <f>IF(OR(Q707="",R707=""),"",Q707-R707)</f>
        <v>0</v>
      </c>
      <c r="T707">
        <f>IF(COUNT($E$2:$E707)&lt;14,"",MAX($C$694:$C$707))</f>
        <v>0</v>
      </c>
      <c r="U707">
        <f>IF(COUNT($E$2:$E707)&lt;14,"",MIN($D$694:$D$707))</f>
        <v>0</v>
      </c>
      <c r="V707">
        <f>IF(OR(T707="",U707="",T707=U707),"",100*($E707-U707)/(T707-U707))</f>
        <v>0</v>
      </c>
      <c r="W707">
        <f>IF(COUNT($V$705:$V$707)&lt;3,"",AVERAGE($V$705:$V$707))</f>
        <v>0</v>
      </c>
      <c r="X707">
        <f>IF(COUNT($N$694:$N$707)&lt;14,"",MIN($N$694:$N$707))</f>
        <v>0</v>
      </c>
      <c r="Y707">
        <f>IF(COUNT($N$694:$N$707)&lt;14,"",MAX($N$694:$N$707))</f>
        <v>0</v>
      </c>
      <c r="Z707">
        <f>IF(OR(N707="",X707="",Y707="",Y707=X707),"",100*(N707-X707)/(Y707-X707))</f>
        <v>0</v>
      </c>
      <c r="AA707">
        <f>IF(COUNT($Z$705:$Z$707)&lt;3,"",AVERAGE($Z$705:$Z$707))</f>
        <v>0</v>
      </c>
      <c r="AB707">
        <f>IF(COUNT($AA$705:$AA$707)&lt;3,"",AVERAGE($AA$705:$AA$707))</f>
        <v>0</v>
      </c>
      <c r="AC707">
        <f>IF($E707="","",MAX($C707-$D707,ABS($C707-$E706),ABS($D707-$E706)))</f>
        <v>0</v>
      </c>
      <c r="AD707">
        <f>IF(COUNT($E$2:$E707)&lt;15,"",AVERAGE($AC$694:$AC$707))</f>
        <v>0</v>
      </c>
      <c r="AE707">
        <f>IF(OR($E707="",$E706=""),"",IF(AND(($C707-$C706)&gt;($D706-$D707),($C707-$C706)&gt;0),$C707-$C706,0))</f>
        <v>0</v>
      </c>
      <c r="AF707">
        <f>IF(OR($E707="",$E706=""),"",IF(AND(($D706-$D707)&gt;($C707-$C706),($D706-$D707)&gt;0),$D706-$D707,0))</f>
        <v>0</v>
      </c>
      <c r="AG707">
        <f>IF(COUNT($E$2:$E707)&lt;15,"",IF(SUM($AC$694:$AC$707)=0,0,100*SUM($AE$694:$AE$707)/SUM($AC$694:$AC$707)))</f>
        <v>0</v>
      </c>
      <c r="AH707">
        <f>IF(COUNT($E$2:$E707)&lt;15,"",IF(SUM($AC$694:$AC$707)=0,0,100*SUM($AF$694:$AF$707)/SUM($AC$694:$AC$707)))</f>
        <v>0</v>
      </c>
      <c r="AI707">
        <f>IF(OR(AG707="",AH707=""),"",IF((AG707+AH707)=0,0,100*ABS(AG707-AH707)/(AG707+AH707)))</f>
        <v>0</v>
      </c>
      <c r="AJ707">
        <f>IF(COUNT($AI$694:$AI$707)&lt;14,"",AVERAGE($AI$694:$AI$707))</f>
        <v>0</v>
      </c>
      <c r="AK707">
        <f>IF(COUNT($E$2:$E707)&lt;20,"",AVERAGE($E$688:$E$707))</f>
        <v>0</v>
      </c>
      <c r="AL707">
        <f>IF(COUNT($E$2:$E707)&lt;20,"",STDEVP($E$688:$E$707))</f>
        <v>0</v>
      </c>
      <c r="AM707">
        <f>IF(AK707="","",AK707+2*AL707)</f>
        <v>0</v>
      </c>
      <c r="AN707">
        <f>IF(AK707="","",AK707-2*AL707)</f>
        <v>0</v>
      </c>
      <c r="AO707">
        <f>IF(OR(AM707="",AN707="",AM707=AN707),"",($E707-AN707)/(AM707-AN707))</f>
        <v>0</v>
      </c>
      <c r="AP707">
        <f>IF(OR(AM707="",AK707="",AK707=0),"",(AM707-AN707)/AK707)</f>
        <v>0</v>
      </c>
      <c r="AQ707">
        <f>IF(COUNT($E$2:$E707)&lt;20,"",MAX($C$688:$C$707))</f>
        <v>0</v>
      </c>
      <c r="AR707">
        <f>IF(COUNT($E$2:$E707)&lt;20,"",MIN($D$688:$D$707))</f>
        <v>0</v>
      </c>
      <c r="AS707">
        <f>IF(OR(AQ707="",AR707=""),"",(AQ707+AR707)/2)</f>
        <v>0</v>
      </c>
      <c r="AT707">
        <f>IF(COUNT($G$688:$G$707)&lt;20,"",STDEV($G$688:$G$707)*SQRT(252))</f>
        <v>0</v>
      </c>
      <c r="AU707">
        <f>IF(COUNT($E$2:$E707)&lt;9,"",(MAX($C$699:$C$707)+MIN($D$699:$D$707))/2)</f>
        <v>0</v>
      </c>
      <c r="AV707">
        <f>IF(COUNT($E$2:$E707)&lt;26,"",(MAX($C$682:$C$707)+MIN($D$682:$D$707))/2)</f>
        <v>0</v>
      </c>
      <c r="AW707">
        <f>IF(OR(AU707="",AV707=""),"",(AU707+AV707)/2)</f>
        <v>0</v>
      </c>
      <c r="AX707">
        <f>IF(COUNT($E$2:$E707)&lt;52,"",(MAX($C$656:$C$707)+MIN($D$656:$D$707))/2)</f>
        <v>0</v>
      </c>
      <c r="AY707">
        <f>IF(COUNT($E$2:$E707)&lt;20,"",MAX($C$608:$C$707))</f>
        <v>0</v>
      </c>
      <c r="AZ707">
        <f>IF(COUNT($E$2:$E707)&lt;20,"",MIN($D$608:$D$707))</f>
        <v>0</v>
      </c>
      <c r="BA707">
        <f>IF(COUNT($E$2:$E707)&lt;20,"",SLOPE($E$608:$E$707,$F$608:$F$707))</f>
        <v>0</v>
      </c>
      <c r="BB707">
        <f>IF(COUNT($E$2:$E707)&lt;20,"",INTERCEPT($E$608:$E$707,$F$608:$F$707))</f>
        <v>0</v>
      </c>
      <c r="BC707">
        <f>IF(OR(BA707="",BB707=""),"",BB707+BA707*F707)</f>
        <v>0</v>
      </c>
      <c r="BD707">
        <f>IF(COUNT($E$2:$E707)&lt;20,"",STEYX($E$608:$E$707,$F$608:$F$707))</f>
        <v>0</v>
      </c>
      <c r="BE707">
        <f>IF($E707="","",IF(AND(COUNT($E$708:$E$711)&gt;=4,$C707=MAX($C$703:$C$711)),$C707,""))</f>
        <v>0</v>
      </c>
      <c r="BF707">
        <f>IF($E707="","",IF(AND(COUNT($E$708:$E$711)&gt;=4,$D707=MIN($D$703:$D$711)),$D707,""))</f>
        <v>0</v>
      </c>
      <c r="BG707">
        <f>IF($A707="","",$A707-WEEKDAY($A707,2)+1)</f>
        <v>0</v>
      </c>
      <c r="BH707">
        <f>IF($A707="","",IF($A706="",1,IF(BG707&lt;&gt;BG706,1,0)))</f>
        <v>0</v>
      </c>
      <c r="BI707">
        <f>IF($A707="","",IF($A708="",1,IF(BG708&lt;&gt;BG707,1,0)))</f>
        <v>0</v>
      </c>
      <c r="BJ707">
        <f>IF($A707="","",IF(BH707=1,$B707,BJ706))</f>
        <v>0</v>
      </c>
      <c r="BK707">
        <f>IF($A707="","",IF(BH707=1,$C707,MAX($C707,BK706)))</f>
        <v>0</v>
      </c>
      <c r="BL707">
        <f>IF($A707="","",IF(BH707=1,$D707,MIN($D707,BL706)))</f>
        <v>0</v>
      </c>
      <c r="BM707">
        <f>IF($A707="","",IF(BI707=1,F707,""))</f>
        <v>0</v>
      </c>
      <c r="BN707">
        <f>IF($A707="","",DATE(YEAR($A707),MONTH($A707),1))</f>
        <v>0</v>
      </c>
      <c r="BO707">
        <f>IF($A707="","",IF($A706="",1,IF(BN707&lt;&gt;BN706,1,0)))</f>
        <v>0</v>
      </c>
      <c r="BP707">
        <f>IF($A707="","",IF($A708="",1,IF(BN708&lt;&gt;BN707,1,0)))</f>
        <v>0</v>
      </c>
      <c r="BQ707">
        <f>IF($A707="","",IF(BO707=1,$B707,BQ706))</f>
        <v>0</v>
      </c>
      <c r="BR707">
        <f>IF($A707="","",IF(BO707=1,$C707,MAX($C707,BR706)))</f>
        <v>0</v>
      </c>
      <c r="BS707">
        <f>IF($A707="","",IF(BO707=1,$D707,MIN($D707,BS706)))</f>
        <v>0</v>
      </c>
      <c r="BT707">
        <f>IF($A707="","",IF(BP707=1,F707,""))</f>
        <v>0</v>
      </c>
    </row>
    <row r="708" spans="1:72">
      <c r="A708" s="27">
        <f>IF(Data!$A708="","",Data!$A708)</f>
        <v>0</v>
      </c>
      <c r="B708">
        <f>IF(Data!$B708="","",Data!$B708)</f>
        <v>0</v>
      </c>
      <c r="C708">
        <f>IF(Data!$C708="","",Data!$C708)</f>
        <v>0</v>
      </c>
      <c r="D708">
        <f>IF(Data!$D708="","",Data!$D708)</f>
        <v>0</v>
      </c>
      <c r="E708">
        <f>IF(Data!$E708="","",Data!$E708)</f>
        <v>0</v>
      </c>
      <c r="F708">
        <f>IF($E708="","",N(F707)+1)</f>
        <v>0</v>
      </c>
      <c r="G708">
        <f>IF(OR($E708="",$E707=""),"",LN($E708/$E707))</f>
        <v>0</v>
      </c>
      <c r="H708">
        <f>IF($E708="","",IF($E707="",$E708,$E708*0.0952380952+H707*0.9047619048))</f>
        <v>0</v>
      </c>
      <c r="I708">
        <f>IF($E708="","",IF($E707="",$E708,$E708*0.0392156863+I707*0.9607843137))</f>
        <v>0</v>
      </c>
      <c r="J708">
        <f>IF($E708="","",IF($E707="",$E708,$E708*0.0198019802+J707*0.9801980198))</f>
        <v>0</v>
      </c>
      <c r="K708">
        <f>IF($E708="","",IF($E707="",$E708,$E708*0.0099502488+K707*0.9900497512))</f>
        <v>0</v>
      </c>
      <c r="L708">
        <f>IF(OR($E708="",$E707=""),"",MAX($E708-$E707,0))</f>
        <v>0</v>
      </c>
      <c r="M708">
        <f>IF(OR($E708="",$E707=""),"",MAX($E707-$E708,0))</f>
        <v>0</v>
      </c>
      <c r="N708">
        <f>IF(COUNT($E$2:$E708)&lt;15,"",IF(AVERAGE($M$695:$M$708)=0,100,100-100/(1+AVERAGE($L$695:$L$708)/AVERAGE($M$695:$M$708))))</f>
        <v>0</v>
      </c>
      <c r="O708">
        <f>IF($E708="","",IF($E707="",$E708,$E708*0.1538461538+O707*0.8461538462))</f>
        <v>0</v>
      </c>
      <c r="P708">
        <f>IF($E708="","",IF($E707="",$E708,$E708*0.0740740741+P707*0.9259259259))</f>
        <v>0</v>
      </c>
      <c r="Q708">
        <f>IF(OR(O708="",P708=""),"",O708-P708)</f>
        <v>0</v>
      </c>
      <c r="R708">
        <f>IF(Q708="","",IF(R707="",Q708,Q708*0.2000000000+R707*0.8000000000))</f>
        <v>0</v>
      </c>
      <c r="S708">
        <f>IF(OR(Q708="",R708=""),"",Q708-R708)</f>
        <v>0</v>
      </c>
      <c r="T708">
        <f>IF(COUNT($E$2:$E708)&lt;14,"",MAX($C$695:$C$708))</f>
        <v>0</v>
      </c>
      <c r="U708">
        <f>IF(COUNT($E$2:$E708)&lt;14,"",MIN($D$695:$D$708))</f>
        <v>0</v>
      </c>
      <c r="V708">
        <f>IF(OR(T708="",U708="",T708=U708),"",100*($E708-U708)/(T708-U708))</f>
        <v>0</v>
      </c>
      <c r="W708">
        <f>IF(COUNT($V$706:$V$708)&lt;3,"",AVERAGE($V$706:$V$708))</f>
        <v>0</v>
      </c>
      <c r="X708">
        <f>IF(COUNT($N$695:$N$708)&lt;14,"",MIN($N$695:$N$708))</f>
        <v>0</v>
      </c>
      <c r="Y708">
        <f>IF(COUNT($N$695:$N$708)&lt;14,"",MAX($N$695:$N$708))</f>
        <v>0</v>
      </c>
      <c r="Z708">
        <f>IF(OR(N708="",X708="",Y708="",Y708=X708),"",100*(N708-X708)/(Y708-X708))</f>
        <v>0</v>
      </c>
      <c r="AA708">
        <f>IF(COUNT($Z$706:$Z$708)&lt;3,"",AVERAGE($Z$706:$Z$708))</f>
        <v>0</v>
      </c>
      <c r="AB708">
        <f>IF(COUNT($AA$706:$AA$708)&lt;3,"",AVERAGE($AA$706:$AA$708))</f>
        <v>0</v>
      </c>
      <c r="AC708">
        <f>IF($E708="","",MAX($C708-$D708,ABS($C708-$E707),ABS($D708-$E707)))</f>
        <v>0</v>
      </c>
      <c r="AD708">
        <f>IF(COUNT($E$2:$E708)&lt;15,"",AVERAGE($AC$695:$AC$708))</f>
        <v>0</v>
      </c>
      <c r="AE708">
        <f>IF(OR($E708="",$E707=""),"",IF(AND(($C708-$C707)&gt;($D707-$D708),($C708-$C707)&gt;0),$C708-$C707,0))</f>
        <v>0</v>
      </c>
      <c r="AF708">
        <f>IF(OR($E708="",$E707=""),"",IF(AND(($D707-$D708)&gt;($C708-$C707),($D707-$D708)&gt;0),$D707-$D708,0))</f>
        <v>0</v>
      </c>
      <c r="AG708">
        <f>IF(COUNT($E$2:$E708)&lt;15,"",IF(SUM($AC$695:$AC$708)=0,0,100*SUM($AE$695:$AE$708)/SUM($AC$695:$AC$708)))</f>
        <v>0</v>
      </c>
      <c r="AH708">
        <f>IF(COUNT($E$2:$E708)&lt;15,"",IF(SUM($AC$695:$AC$708)=0,0,100*SUM($AF$695:$AF$708)/SUM($AC$695:$AC$708)))</f>
        <v>0</v>
      </c>
      <c r="AI708">
        <f>IF(OR(AG708="",AH708=""),"",IF((AG708+AH708)=0,0,100*ABS(AG708-AH708)/(AG708+AH708)))</f>
        <v>0</v>
      </c>
      <c r="AJ708">
        <f>IF(COUNT($AI$695:$AI$708)&lt;14,"",AVERAGE($AI$695:$AI$708))</f>
        <v>0</v>
      </c>
      <c r="AK708">
        <f>IF(COUNT($E$2:$E708)&lt;20,"",AVERAGE($E$689:$E$708))</f>
        <v>0</v>
      </c>
      <c r="AL708">
        <f>IF(COUNT($E$2:$E708)&lt;20,"",STDEVP($E$689:$E$708))</f>
        <v>0</v>
      </c>
      <c r="AM708">
        <f>IF(AK708="","",AK708+2*AL708)</f>
        <v>0</v>
      </c>
      <c r="AN708">
        <f>IF(AK708="","",AK708-2*AL708)</f>
        <v>0</v>
      </c>
      <c r="AO708">
        <f>IF(OR(AM708="",AN708="",AM708=AN708),"",($E708-AN708)/(AM708-AN708))</f>
        <v>0</v>
      </c>
      <c r="AP708">
        <f>IF(OR(AM708="",AK708="",AK708=0),"",(AM708-AN708)/AK708)</f>
        <v>0</v>
      </c>
      <c r="AQ708">
        <f>IF(COUNT($E$2:$E708)&lt;20,"",MAX($C$689:$C$708))</f>
        <v>0</v>
      </c>
      <c r="AR708">
        <f>IF(COUNT($E$2:$E708)&lt;20,"",MIN($D$689:$D$708))</f>
        <v>0</v>
      </c>
      <c r="AS708">
        <f>IF(OR(AQ708="",AR708=""),"",(AQ708+AR708)/2)</f>
        <v>0</v>
      </c>
      <c r="AT708">
        <f>IF(COUNT($G$689:$G$708)&lt;20,"",STDEV($G$689:$G$708)*SQRT(252))</f>
        <v>0</v>
      </c>
      <c r="AU708">
        <f>IF(COUNT($E$2:$E708)&lt;9,"",(MAX($C$700:$C$708)+MIN($D$700:$D$708))/2)</f>
        <v>0</v>
      </c>
      <c r="AV708">
        <f>IF(COUNT($E$2:$E708)&lt;26,"",(MAX($C$683:$C$708)+MIN($D$683:$D$708))/2)</f>
        <v>0</v>
      </c>
      <c r="AW708">
        <f>IF(OR(AU708="",AV708=""),"",(AU708+AV708)/2)</f>
        <v>0</v>
      </c>
      <c r="AX708">
        <f>IF(COUNT($E$2:$E708)&lt;52,"",(MAX($C$657:$C$708)+MIN($D$657:$D$708))/2)</f>
        <v>0</v>
      </c>
      <c r="AY708">
        <f>IF(COUNT($E$2:$E708)&lt;20,"",MAX($C$609:$C$708))</f>
        <v>0</v>
      </c>
      <c r="AZ708">
        <f>IF(COUNT($E$2:$E708)&lt;20,"",MIN($D$609:$D$708))</f>
        <v>0</v>
      </c>
      <c r="BA708">
        <f>IF(COUNT($E$2:$E708)&lt;20,"",SLOPE($E$609:$E$708,$F$609:$F$708))</f>
        <v>0</v>
      </c>
      <c r="BB708">
        <f>IF(COUNT($E$2:$E708)&lt;20,"",INTERCEPT($E$609:$E$708,$F$609:$F$708))</f>
        <v>0</v>
      </c>
      <c r="BC708">
        <f>IF(OR(BA708="",BB708=""),"",BB708+BA708*F708)</f>
        <v>0</v>
      </c>
      <c r="BD708">
        <f>IF(COUNT($E$2:$E708)&lt;20,"",STEYX($E$609:$E$708,$F$609:$F$708))</f>
        <v>0</v>
      </c>
      <c r="BE708">
        <f>IF($E708="","",IF(AND(COUNT($E$709:$E$712)&gt;=4,$C708=MAX($C$704:$C$712)),$C708,""))</f>
        <v>0</v>
      </c>
      <c r="BF708">
        <f>IF($E708="","",IF(AND(COUNT($E$709:$E$712)&gt;=4,$D708=MIN($D$704:$D$712)),$D708,""))</f>
        <v>0</v>
      </c>
      <c r="BG708">
        <f>IF($A708="","",$A708-WEEKDAY($A708,2)+1)</f>
        <v>0</v>
      </c>
      <c r="BH708">
        <f>IF($A708="","",IF($A707="",1,IF(BG708&lt;&gt;BG707,1,0)))</f>
        <v>0</v>
      </c>
      <c r="BI708">
        <f>IF($A708="","",IF($A709="",1,IF(BG709&lt;&gt;BG708,1,0)))</f>
        <v>0</v>
      </c>
      <c r="BJ708">
        <f>IF($A708="","",IF(BH708=1,$B708,BJ707))</f>
        <v>0</v>
      </c>
      <c r="BK708">
        <f>IF($A708="","",IF(BH708=1,$C708,MAX($C708,BK707)))</f>
        <v>0</v>
      </c>
      <c r="BL708">
        <f>IF($A708="","",IF(BH708=1,$D708,MIN($D708,BL707)))</f>
        <v>0</v>
      </c>
      <c r="BM708">
        <f>IF($A708="","",IF(BI708=1,F708,""))</f>
        <v>0</v>
      </c>
      <c r="BN708">
        <f>IF($A708="","",DATE(YEAR($A708),MONTH($A708),1))</f>
        <v>0</v>
      </c>
      <c r="BO708">
        <f>IF($A708="","",IF($A707="",1,IF(BN708&lt;&gt;BN707,1,0)))</f>
        <v>0</v>
      </c>
      <c r="BP708">
        <f>IF($A708="","",IF($A709="",1,IF(BN709&lt;&gt;BN708,1,0)))</f>
        <v>0</v>
      </c>
      <c r="BQ708">
        <f>IF($A708="","",IF(BO708=1,$B708,BQ707))</f>
        <v>0</v>
      </c>
      <c r="BR708">
        <f>IF($A708="","",IF(BO708=1,$C708,MAX($C708,BR707)))</f>
        <v>0</v>
      </c>
      <c r="BS708">
        <f>IF($A708="","",IF(BO708=1,$D708,MIN($D708,BS707)))</f>
        <v>0</v>
      </c>
      <c r="BT708">
        <f>IF($A708="","",IF(BP708=1,F708,""))</f>
        <v>0</v>
      </c>
    </row>
    <row r="709" spans="1:72">
      <c r="A709" s="27">
        <f>IF(Data!$A709="","",Data!$A709)</f>
        <v>0</v>
      </c>
      <c r="B709">
        <f>IF(Data!$B709="","",Data!$B709)</f>
        <v>0</v>
      </c>
      <c r="C709">
        <f>IF(Data!$C709="","",Data!$C709)</f>
        <v>0</v>
      </c>
      <c r="D709">
        <f>IF(Data!$D709="","",Data!$D709)</f>
        <v>0</v>
      </c>
      <c r="E709">
        <f>IF(Data!$E709="","",Data!$E709)</f>
        <v>0</v>
      </c>
      <c r="F709">
        <f>IF($E709="","",N(F708)+1)</f>
        <v>0</v>
      </c>
      <c r="G709">
        <f>IF(OR($E709="",$E708=""),"",LN($E709/$E708))</f>
        <v>0</v>
      </c>
      <c r="H709">
        <f>IF($E709="","",IF($E708="",$E709,$E709*0.0952380952+H708*0.9047619048))</f>
        <v>0</v>
      </c>
      <c r="I709">
        <f>IF($E709="","",IF($E708="",$E709,$E709*0.0392156863+I708*0.9607843137))</f>
        <v>0</v>
      </c>
      <c r="J709">
        <f>IF($E709="","",IF($E708="",$E709,$E709*0.0198019802+J708*0.9801980198))</f>
        <v>0</v>
      </c>
      <c r="K709">
        <f>IF($E709="","",IF($E708="",$E709,$E709*0.0099502488+K708*0.9900497512))</f>
        <v>0</v>
      </c>
      <c r="L709">
        <f>IF(OR($E709="",$E708=""),"",MAX($E709-$E708,0))</f>
        <v>0</v>
      </c>
      <c r="M709">
        <f>IF(OR($E709="",$E708=""),"",MAX($E708-$E709,0))</f>
        <v>0</v>
      </c>
      <c r="N709">
        <f>IF(COUNT($E$2:$E709)&lt;15,"",IF(AVERAGE($M$696:$M$709)=0,100,100-100/(1+AVERAGE($L$696:$L$709)/AVERAGE($M$696:$M$709))))</f>
        <v>0</v>
      </c>
      <c r="O709">
        <f>IF($E709="","",IF($E708="",$E709,$E709*0.1538461538+O708*0.8461538462))</f>
        <v>0</v>
      </c>
      <c r="P709">
        <f>IF($E709="","",IF($E708="",$E709,$E709*0.0740740741+P708*0.9259259259))</f>
        <v>0</v>
      </c>
      <c r="Q709">
        <f>IF(OR(O709="",P709=""),"",O709-P709)</f>
        <v>0</v>
      </c>
      <c r="R709">
        <f>IF(Q709="","",IF(R708="",Q709,Q709*0.2000000000+R708*0.8000000000))</f>
        <v>0</v>
      </c>
      <c r="S709">
        <f>IF(OR(Q709="",R709=""),"",Q709-R709)</f>
        <v>0</v>
      </c>
      <c r="T709">
        <f>IF(COUNT($E$2:$E709)&lt;14,"",MAX($C$696:$C$709))</f>
        <v>0</v>
      </c>
      <c r="U709">
        <f>IF(COUNT($E$2:$E709)&lt;14,"",MIN($D$696:$D$709))</f>
        <v>0</v>
      </c>
      <c r="V709">
        <f>IF(OR(T709="",U709="",T709=U709),"",100*($E709-U709)/(T709-U709))</f>
        <v>0</v>
      </c>
      <c r="W709">
        <f>IF(COUNT($V$707:$V$709)&lt;3,"",AVERAGE($V$707:$V$709))</f>
        <v>0</v>
      </c>
      <c r="X709">
        <f>IF(COUNT($N$696:$N$709)&lt;14,"",MIN($N$696:$N$709))</f>
        <v>0</v>
      </c>
      <c r="Y709">
        <f>IF(COUNT($N$696:$N$709)&lt;14,"",MAX($N$696:$N$709))</f>
        <v>0</v>
      </c>
      <c r="Z709">
        <f>IF(OR(N709="",X709="",Y709="",Y709=X709),"",100*(N709-X709)/(Y709-X709))</f>
        <v>0</v>
      </c>
      <c r="AA709">
        <f>IF(COUNT($Z$707:$Z$709)&lt;3,"",AVERAGE($Z$707:$Z$709))</f>
        <v>0</v>
      </c>
      <c r="AB709">
        <f>IF(COUNT($AA$707:$AA$709)&lt;3,"",AVERAGE($AA$707:$AA$709))</f>
        <v>0</v>
      </c>
      <c r="AC709">
        <f>IF($E709="","",MAX($C709-$D709,ABS($C709-$E708),ABS($D709-$E708)))</f>
        <v>0</v>
      </c>
      <c r="AD709">
        <f>IF(COUNT($E$2:$E709)&lt;15,"",AVERAGE($AC$696:$AC$709))</f>
        <v>0</v>
      </c>
      <c r="AE709">
        <f>IF(OR($E709="",$E708=""),"",IF(AND(($C709-$C708)&gt;($D708-$D709),($C709-$C708)&gt;0),$C709-$C708,0))</f>
        <v>0</v>
      </c>
      <c r="AF709">
        <f>IF(OR($E709="",$E708=""),"",IF(AND(($D708-$D709)&gt;($C709-$C708),($D708-$D709)&gt;0),$D708-$D709,0))</f>
        <v>0</v>
      </c>
      <c r="AG709">
        <f>IF(COUNT($E$2:$E709)&lt;15,"",IF(SUM($AC$696:$AC$709)=0,0,100*SUM($AE$696:$AE$709)/SUM($AC$696:$AC$709)))</f>
        <v>0</v>
      </c>
      <c r="AH709">
        <f>IF(COUNT($E$2:$E709)&lt;15,"",IF(SUM($AC$696:$AC$709)=0,0,100*SUM($AF$696:$AF$709)/SUM($AC$696:$AC$709)))</f>
        <v>0</v>
      </c>
      <c r="AI709">
        <f>IF(OR(AG709="",AH709=""),"",IF((AG709+AH709)=0,0,100*ABS(AG709-AH709)/(AG709+AH709)))</f>
        <v>0</v>
      </c>
      <c r="AJ709">
        <f>IF(COUNT($AI$696:$AI$709)&lt;14,"",AVERAGE($AI$696:$AI$709))</f>
        <v>0</v>
      </c>
      <c r="AK709">
        <f>IF(COUNT($E$2:$E709)&lt;20,"",AVERAGE($E$690:$E$709))</f>
        <v>0</v>
      </c>
      <c r="AL709">
        <f>IF(COUNT($E$2:$E709)&lt;20,"",STDEVP($E$690:$E$709))</f>
        <v>0</v>
      </c>
      <c r="AM709">
        <f>IF(AK709="","",AK709+2*AL709)</f>
        <v>0</v>
      </c>
      <c r="AN709">
        <f>IF(AK709="","",AK709-2*AL709)</f>
        <v>0</v>
      </c>
      <c r="AO709">
        <f>IF(OR(AM709="",AN709="",AM709=AN709),"",($E709-AN709)/(AM709-AN709))</f>
        <v>0</v>
      </c>
      <c r="AP709">
        <f>IF(OR(AM709="",AK709="",AK709=0),"",(AM709-AN709)/AK709)</f>
        <v>0</v>
      </c>
      <c r="AQ709">
        <f>IF(COUNT($E$2:$E709)&lt;20,"",MAX($C$690:$C$709))</f>
        <v>0</v>
      </c>
      <c r="AR709">
        <f>IF(COUNT($E$2:$E709)&lt;20,"",MIN($D$690:$D$709))</f>
        <v>0</v>
      </c>
      <c r="AS709">
        <f>IF(OR(AQ709="",AR709=""),"",(AQ709+AR709)/2)</f>
        <v>0</v>
      </c>
      <c r="AT709">
        <f>IF(COUNT($G$690:$G$709)&lt;20,"",STDEV($G$690:$G$709)*SQRT(252))</f>
        <v>0</v>
      </c>
      <c r="AU709">
        <f>IF(COUNT($E$2:$E709)&lt;9,"",(MAX($C$701:$C$709)+MIN($D$701:$D$709))/2)</f>
        <v>0</v>
      </c>
      <c r="AV709">
        <f>IF(COUNT($E$2:$E709)&lt;26,"",(MAX($C$684:$C$709)+MIN($D$684:$D$709))/2)</f>
        <v>0</v>
      </c>
      <c r="AW709">
        <f>IF(OR(AU709="",AV709=""),"",(AU709+AV709)/2)</f>
        <v>0</v>
      </c>
      <c r="AX709">
        <f>IF(COUNT($E$2:$E709)&lt;52,"",(MAX($C$658:$C$709)+MIN($D$658:$D$709))/2)</f>
        <v>0</v>
      </c>
      <c r="AY709">
        <f>IF(COUNT($E$2:$E709)&lt;20,"",MAX($C$610:$C$709))</f>
        <v>0</v>
      </c>
      <c r="AZ709">
        <f>IF(COUNT($E$2:$E709)&lt;20,"",MIN($D$610:$D$709))</f>
        <v>0</v>
      </c>
      <c r="BA709">
        <f>IF(COUNT($E$2:$E709)&lt;20,"",SLOPE($E$610:$E$709,$F$610:$F$709))</f>
        <v>0</v>
      </c>
      <c r="BB709">
        <f>IF(COUNT($E$2:$E709)&lt;20,"",INTERCEPT($E$610:$E$709,$F$610:$F$709))</f>
        <v>0</v>
      </c>
      <c r="BC709">
        <f>IF(OR(BA709="",BB709=""),"",BB709+BA709*F709)</f>
        <v>0</v>
      </c>
      <c r="BD709">
        <f>IF(COUNT($E$2:$E709)&lt;20,"",STEYX($E$610:$E$709,$F$610:$F$709))</f>
        <v>0</v>
      </c>
      <c r="BE709">
        <f>IF($E709="","",IF(AND(COUNT($E$710:$E$713)&gt;=4,$C709=MAX($C$705:$C$713)),$C709,""))</f>
        <v>0</v>
      </c>
      <c r="BF709">
        <f>IF($E709="","",IF(AND(COUNT($E$710:$E$713)&gt;=4,$D709=MIN($D$705:$D$713)),$D709,""))</f>
        <v>0</v>
      </c>
      <c r="BG709">
        <f>IF($A709="","",$A709-WEEKDAY($A709,2)+1)</f>
        <v>0</v>
      </c>
      <c r="BH709">
        <f>IF($A709="","",IF($A708="",1,IF(BG709&lt;&gt;BG708,1,0)))</f>
        <v>0</v>
      </c>
      <c r="BI709">
        <f>IF($A709="","",IF($A710="",1,IF(BG710&lt;&gt;BG709,1,0)))</f>
        <v>0</v>
      </c>
      <c r="BJ709">
        <f>IF($A709="","",IF(BH709=1,$B709,BJ708))</f>
        <v>0</v>
      </c>
      <c r="BK709">
        <f>IF($A709="","",IF(BH709=1,$C709,MAX($C709,BK708)))</f>
        <v>0</v>
      </c>
      <c r="BL709">
        <f>IF($A709="","",IF(BH709=1,$D709,MIN($D709,BL708)))</f>
        <v>0</v>
      </c>
      <c r="BM709">
        <f>IF($A709="","",IF(BI709=1,F709,""))</f>
        <v>0</v>
      </c>
      <c r="BN709">
        <f>IF($A709="","",DATE(YEAR($A709),MONTH($A709),1))</f>
        <v>0</v>
      </c>
      <c r="BO709">
        <f>IF($A709="","",IF($A708="",1,IF(BN709&lt;&gt;BN708,1,0)))</f>
        <v>0</v>
      </c>
      <c r="BP709">
        <f>IF($A709="","",IF($A710="",1,IF(BN710&lt;&gt;BN709,1,0)))</f>
        <v>0</v>
      </c>
      <c r="BQ709">
        <f>IF($A709="","",IF(BO709=1,$B709,BQ708))</f>
        <v>0</v>
      </c>
      <c r="BR709">
        <f>IF($A709="","",IF(BO709=1,$C709,MAX($C709,BR708)))</f>
        <v>0</v>
      </c>
      <c r="BS709">
        <f>IF($A709="","",IF(BO709=1,$D709,MIN($D709,BS708)))</f>
        <v>0</v>
      </c>
      <c r="BT709">
        <f>IF($A709="","",IF(BP709=1,F709,""))</f>
        <v>0</v>
      </c>
    </row>
    <row r="710" spans="1:72">
      <c r="A710" s="27">
        <f>IF(Data!$A710="","",Data!$A710)</f>
        <v>0</v>
      </c>
      <c r="B710">
        <f>IF(Data!$B710="","",Data!$B710)</f>
        <v>0</v>
      </c>
      <c r="C710">
        <f>IF(Data!$C710="","",Data!$C710)</f>
        <v>0</v>
      </c>
      <c r="D710">
        <f>IF(Data!$D710="","",Data!$D710)</f>
        <v>0</v>
      </c>
      <c r="E710">
        <f>IF(Data!$E710="","",Data!$E710)</f>
        <v>0</v>
      </c>
      <c r="F710">
        <f>IF($E710="","",N(F709)+1)</f>
        <v>0</v>
      </c>
      <c r="G710">
        <f>IF(OR($E710="",$E709=""),"",LN($E710/$E709))</f>
        <v>0</v>
      </c>
      <c r="H710">
        <f>IF($E710="","",IF($E709="",$E710,$E710*0.0952380952+H709*0.9047619048))</f>
        <v>0</v>
      </c>
      <c r="I710">
        <f>IF($E710="","",IF($E709="",$E710,$E710*0.0392156863+I709*0.9607843137))</f>
        <v>0</v>
      </c>
      <c r="J710">
        <f>IF($E710="","",IF($E709="",$E710,$E710*0.0198019802+J709*0.9801980198))</f>
        <v>0</v>
      </c>
      <c r="K710">
        <f>IF($E710="","",IF($E709="",$E710,$E710*0.0099502488+K709*0.9900497512))</f>
        <v>0</v>
      </c>
      <c r="L710">
        <f>IF(OR($E710="",$E709=""),"",MAX($E710-$E709,0))</f>
        <v>0</v>
      </c>
      <c r="M710">
        <f>IF(OR($E710="",$E709=""),"",MAX($E709-$E710,0))</f>
        <v>0</v>
      </c>
      <c r="N710">
        <f>IF(COUNT($E$2:$E710)&lt;15,"",IF(AVERAGE($M$697:$M$710)=0,100,100-100/(1+AVERAGE($L$697:$L$710)/AVERAGE($M$697:$M$710))))</f>
        <v>0</v>
      </c>
      <c r="O710">
        <f>IF($E710="","",IF($E709="",$E710,$E710*0.1538461538+O709*0.8461538462))</f>
        <v>0</v>
      </c>
      <c r="P710">
        <f>IF($E710="","",IF($E709="",$E710,$E710*0.0740740741+P709*0.9259259259))</f>
        <v>0</v>
      </c>
      <c r="Q710">
        <f>IF(OR(O710="",P710=""),"",O710-P710)</f>
        <v>0</v>
      </c>
      <c r="R710">
        <f>IF(Q710="","",IF(R709="",Q710,Q710*0.2000000000+R709*0.8000000000))</f>
        <v>0</v>
      </c>
      <c r="S710">
        <f>IF(OR(Q710="",R710=""),"",Q710-R710)</f>
        <v>0</v>
      </c>
      <c r="T710">
        <f>IF(COUNT($E$2:$E710)&lt;14,"",MAX($C$697:$C$710))</f>
        <v>0</v>
      </c>
      <c r="U710">
        <f>IF(COUNT($E$2:$E710)&lt;14,"",MIN($D$697:$D$710))</f>
        <v>0</v>
      </c>
      <c r="V710">
        <f>IF(OR(T710="",U710="",T710=U710),"",100*($E710-U710)/(T710-U710))</f>
        <v>0</v>
      </c>
      <c r="W710">
        <f>IF(COUNT($V$708:$V$710)&lt;3,"",AVERAGE($V$708:$V$710))</f>
        <v>0</v>
      </c>
      <c r="X710">
        <f>IF(COUNT($N$697:$N$710)&lt;14,"",MIN($N$697:$N$710))</f>
        <v>0</v>
      </c>
      <c r="Y710">
        <f>IF(COUNT($N$697:$N$710)&lt;14,"",MAX($N$697:$N$710))</f>
        <v>0</v>
      </c>
      <c r="Z710">
        <f>IF(OR(N710="",X710="",Y710="",Y710=X710),"",100*(N710-X710)/(Y710-X710))</f>
        <v>0</v>
      </c>
      <c r="AA710">
        <f>IF(COUNT($Z$708:$Z$710)&lt;3,"",AVERAGE($Z$708:$Z$710))</f>
        <v>0</v>
      </c>
      <c r="AB710">
        <f>IF(COUNT($AA$708:$AA$710)&lt;3,"",AVERAGE($AA$708:$AA$710))</f>
        <v>0</v>
      </c>
      <c r="AC710">
        <f>IF($E710="","",MAX($C710-$D710,ABS($C710-$E709),ABS($D710-$E709)))</f>
        <v>0</v>
      </c>
      <c r="AD710">
        <f>IF(COUNT($E$2:$E710)&lt;15,"",AVERAGE($AC$697:$AC$710))</f>
        <v>0</v>
      </c>
      <c r="AE710">
        <f>IF(OR($E710="",$E709=""),"",IF(AND(($C710-$C709)&gt;($D709-$D710),($C710-$C709)&gt;0),$C710-$C709,0))</f>
        <v>0</v>
      </c>
      <c r="AF710">
        <f>IF(OR($E710="",$E709=""),"",IF(AND(($D709-$D710)&gt;($C710-$C709),($D709-$D710)&gt;0),$D709-$D710,0))</f>
        <v>0</v>
      </c>
      <c r="AG710">
        <f>IF(COUNT($E$2:$E710)&lt;15,"",IF(SUM($AC$697:$AC$710)=0,0,100*SUM($AE$697:$AE$710)/SUM($AC$697:$AC$710)))</f>
        <v>0</v>
      </c>
      <c r="AH710">
        <f>IF(COUNT($E$2:$E710)&lt;15,"",IF(SUM($AC$697:$AC$710)=0,0,100*SUM($AF$697:$AF$710)/SUM($AC$697:$AC$710)))</f>
        <v>0</v>
      </c>
      <c r="AI710">
        <f>IF(OR(AG710="",AH710=""),"",IF((AG710+AH710)=0,0,100*ABS(AG710-AH710)/(AG710+AH710)))</f>
        <v>0</v>
      </c>
      <c r="AJ710">
        <f>IF(COUNT($AI$697:$AI$710)&lt;14,"",AVERAGE($AI$697:$AI$710))</f>
        <v>0</v>
      </c>
      <c r="AK710">
        <f>IF(COUNT($E$2:$E710)&lt;20,"",AVERAGE($E$691:$E$710))</f>
        <v>0</v>
      </c>
      <c r="AL710">
        <f>IF(COUNT($E$2:$E710)&lt;20,"",STDEVP($E$691:$E$710))</f>
        <v>0</v>
      </c>
      <c r="AM710">
        <f>IF(AK710="","",AK710+2*AL710)</f>
        <v>0</v>
      </c>
      <c r="AN710">
        <f>IF(AK710="","",AK710-2*AL710)</f>
        <v>0</v>
      </c>
      <c r="AO710">
        <f>IF(OR(AM710="",AN710="",AM710=AN710),"",($E710-AN710)/(AM710-AN710))</f>
        <v>0</v>
      </c>
      <c r="AP710">
        <f>IF(OR(AM710="",AK710="",AK710=0),"",(AM710-AN710)/AK710)</f>
        <v>0</v>
      </c>
      <c r="AQ710">
        <f>IF(COUNT($E$2:$E710)&lt;20,"",MAX($C$691:$C$710))</f>
        <v>0</v>
      </c>
      <c r="AR710">
        <f>IF(COUNT($E$2:$E710)&lt;20,"",MIN($D$691:$D$710))</f>
        <v>0</v>
      </c>
      <c r="AS710">
        <f>IF(OR(AQ710="",AR710=""),"",(AQ710+AR710)/2)</f>
        <v>0</v>
      </c>
      <c r="AT710">
        <f>IF(COUNT($G$691:$G$710)&lt;20,"",STDEV($G$691:$G$710)*SQRT(252))</f>
        <v>0</v>
      </c>
      <c r="AU710">
        <f>IF(COUNT($E$2:$E710)&lt;9,"",(MAX($C$702:$C$710)+MIN($D$702:$D$710))/2)</f>
        <v>0</v>
      </c>
      <c r="AV710">
        <f>IF(COUNT($E$2:$E710)&lt;26,"",(MAX($C$685:$C$710)+MIN($D$685:$D$710))/2)</f>
        <v>0</v>
      </c>
      <c r="AW710">
        <f>IF(OR(AU710="",AV710=""),"",(AU710+AV710)/2)</f>
        <v>0</v>
      </c>
      <c r="AX710">
        <f>IF(COUNT($E$2:$E710)&lt;52,"",(MAX($C$659:$C$710)+MIN($D$659:$D$710))/2)</f>
        <v>0</v>
      </c>
      <c r="AY710">
        <f>IF(COUNT($E$2:$E710)&lt;20,"",MAX($C$611:$C$710))</f>
        <v>0</v>
      </c>
      <c r="AZ710">
        <f>IF(COUNT($E$2:$E710)&lt;20,"",MIN($D$611:$D$710))</f>
        <v>0</v>
      </c>
      <c r="BA710">
        <f>IF(COUNT($E$2:$E710)&lt;20,"",SLOPE($E$611:$E$710,$F$611:$F$710))</f>
        <v>0</v>
      </c>
      <c r="BB710">
        <f>IF(COUNT($E$2:$E710)&lt;20,"",INTERCEPT($E$611:$E$710,$F$611:$F$710))</f>
        <v>0</v>
      </c>
      <c r="BC710">
        <f>IF(OR(BA710="",BB710=""),"",BB710+BA710*F710)</f>
        <v>0</v>
      </c>
      <c r="BD710">
        <f>IF(COUNT($E$2:$E710)&lt;20,"",STEYX($E$611:$E$710,$F$611:$F$710))</f>
        <v>0</v>
      </c>
      <c r="BE710">
        <f>IF($E710="","",IF(AND(COUNT($E$711:$E$714)&gt;=4,$C710=MAX($C$706:$C$714)),$C710,""))</f>
        <v>0</v>
      </c>
      <c r="BF710">
        <f>IF($E710="","",IF(AND(COUNT($E$711:$E$714)&gt;=4,$D710=MIN($D$706:$D$714)),$D710,""))</f>
        <v>0</v>
      </c>
      <c r="BG710">
        <f>IF($A710="","",$A710-WEEKDAY($A710,2)+1)</f>
        <v>0</v>
      </c>
      <c r="BH710">
        <f>IF($A710="","",IF($A709="",1,IF(BG710&lt;&gt;BG709,1,0)))</f>
        <v>0</v>
      </c>
      <c r="BI710">
        <f>IF($A710="","",IF($A711="",1,IF(BG711&lt;&gt;BG710,1,0)))</f>
        <v>0</v>
      </c>
      <c r="BJ710">
        <f>IF($A710="","",IF(BH710=1,$B710,BJ709))</f>
        <v>0</v>
      </c>
      <c r="BK710">
        <f>IF($A710="","",IF(BH710=1,$C710,MAX($C710,BK709)))</f>
        <v>0</v>
      </c>
      <c r="BL710">
        <f>IF($A710="","",IF(BH710=1,$D710,MIN($D710,BL709)))</f>
        <v>0</v>
      </c>
      <c r="BM710">
        <f>IF($A710="","",IF(BI710=1,F710,""))</f>
        <v>0</v>
      </c>
      <c r="BN710">
        <f>IF($A710="","",DATE(YEAR($A710),MONTH($A710),1))</f>
        <v>0</v>
      </c>
      <c r="BO710">
        <f>IF($A710="","",IF($A709="",1,IF(BN710&lt;&gt;BN709,1,0)))</f>
        <v>0</v>
      </c>
      <c r="BP710">
        <f>IF($A710="","",IF($A711="",1,IF(BN711&lt;&gt;BN710,1,0)))</f>
        <v>0</v>
      </c>
      <c r="BQ710">
        <f>IF($A710="","",IF(BO710=1,$B710,BQ709))</f>
        <v>0</v>
      </c>
      <c r="BR710">
        <f>IF($A710="","",IF(BO710=1,$C710,MAX($C710,BR709)))</f>
        <v>0</v>
      </c>
      <c r="BS710">
        <f>IF($A710="","",IF(BO710=1,$D710,MIN($D710,BS709)))</f>
        <v>0</v>
      </c>
      <c r="BT710">
        <f>IF($A710="","",IF(BP710=1,F710,""))</f>
        <v>0</v>
      </c>
    </row>
    <row r="711" spans="1:72">
      <c r="A711" s="27">
        <f>IF(Data!$A711="","",Data!$A711)</f>
        <v>0</v>
      </c>
      <c r="B711">
        <f>IF(Data!$B711="","",Data!$B711)</f>
        <v>0</v>
      </c>
      <c r="C711">
        <f>IF(Data!$C711="","",Data!$C711)</f>
        <v>0</v>
      </c>
      <c r="D711">
        <f>IF(Data!$D711="","",Data!$D711)</f>
        <v>0</v>
      </c>
      <c r="E711">
        <f>IF(Data!$E711="","",Data!$E711)</f>
        <v>0</v>
      </c>
      <c r="F711">
        <f>IF($E711="","",N(F710)+1)</f>
        <v>0</v>
      </c>
      <c r="G711">
        <f>IF(OR($E711="",$E710=""),"",LN($E711/$E710))</f>
        <v>0</v>
      </c>
      <c r="H711">
        <f>IF($E711="","",IF($E710="",$E711,$E711*0.0952380952+H710*0.9047619048))</f>
        <v>0</v>
      </c>
      <c r="I711">
        <f>IF($E711="","",IF($E710="",$E711,$E711*0.0392156863+I710*0.9607843137))</f>
        <v>0</v>
      </c>
      <c r="J711">
        <f>IF($E711="","",IF($E710="",$E711,$E711*0.0198019802+J710*0.9801980198))</f>
        <v>0</v>
      </c>
      <c r="K711">
        <f>IF($E711="","",IF($E710="",$E711,$E711*0.0099502488+K710*0.9900497512))</f>
        <v>0</v>
      </c>
      <c r="L711">
        <f>IF(OR($E711="",$E710=""),"",MAX($E711-$E710,0))</f>
        <v>0</v>
      </c>
      <c r="M711">
        <f>IF(OR($E711="",$E710=""),"",MAX($E710-$E711,0))</f>
        <v>0</v>
      </c>
      <c r="N711">
        <f>IF(COUNT($E$2:$E711)&lt;15,"",IF(AVERAGE($M$698:$M$711)=0,100,100-100/(1+AVERAGE($L$698:$L$711)/AVERAGE($M$698:$M$711))))</f>
        <v>0</v>
      </c>
      <c r="O711">
        <f>IF($E711="","",IF($E710="",$E711,$E711*0.1538461538+O710*0.8461538462))</f>
        <v>0</v>
      </c>
      <c r="P711">
        <f>IF($E711="","",IF($E710="",$E711,$E711*0.0740740741+P710*0.9259259259))</f>
        <v>0</v>
      </c>
      <c r="Q711">
        <f>IF(OR(O711="",P711=""),"",O711-P711)</f>
        <v>0</v>
      </c>
      <c r="R711">
        <f>IF(Q711="","",IF(R710="",Q711,Q711*0.2000000000+R710*0.8000000000))</f>
        <v>0</v>
      </c>
      <c r="S711">
        <f>IF(OR(Q711="",R711=""),"",Q711-R711)</f>
        <v>0</v>
      </c>
      <c r="T711">
        <f>IF(COUNT($E$2:$E711)&lt;14,"",MAX($C$698:$C$711))</f>
        <v>0</v>
      </c>
      <c r="U711">
        <f>IF(COUNT($E$2:$E711)&lt;14,"",MIN($D$698:$D$711))</f>
        <v>0</v>
      </c>
      <c r="V711">
        <f>IF(OR(T711="",U711="",T711=U711),"",100*($E711-U711)/(T711-U711))</f>
        <v>0</v>
      </c>
      <c r="W711">
        <f>IF(COUNT($V$709:$V$711)&lt;3,"",AVERAGE($V$709:$V$711))</f>
        <v>0</v>
      </c>
      <c r="X711">
        <f>IF(COUNT($N$698:$N$711)&lt;14,"",MIN($N$698:$N$711))</f>
        <v>0</v>
      </c>
      <c r="Y711">
        <f>IF(COUNT($N$698:$N$711)&lt;14,"",MAX($N$698:$N$711))</f>
        <v>0</v>
      </c>
      <c r="Z711">
        <f>IF(OR(N711="",X711="",Y711="",Y711=X711),"",100*(N711-X711)/(Y711-X711))</f>
        <v>0</v>
      </c>
      <c r="AA711">
        <f>IF(COUNT($Z$709:$Z$711)&lt;3,"",AVERAGE($Z$709:$Z$711))</f>
        <v>0</v>
      </c>
      <c r="AB711">
        <f>IF(COUNT($AA$709:$AA$711)&lt;3,"",AVERAGE($AA$709:$AA$711))</f>
        <v>0</v>
      </c>
      <c r="AC711">
        <f>IF($E711="","",MAX($C711-$D711,ABS($C711-$E710),ABS($D711-$E710)))</f>
        <v>0</v>
      </c>
      <c r="AD711">
        <f>IF(COUNT($E$2:$E711)&lt;15,"",AVERAGE($AC$698:$AC$711))</f>
        <v>0</v>
      </c>
      <c r="AE711">
        <f>IF(OR($E711="",$E710=""),"",IF(AND(($C711-$C710)&gt;($D710-$D711),($C711-$C710)&gt;0),$C711-$C710,0))</f>
        <v>0</v>
      </c>
      <c r="AF711">
        <f>IF(OR($E711="",$E710=""),"",IF(AND(($D710-$D711)&gt;($C711-$C710),($D710-$D711)&gt;0),$D710-$D711,0))</f>
        <v>0</v>
      </c>
      <c r="AG711">
        <f>IF(COUNT($E$2:$E711)&lt;15,"",IF(SUM($AC$698:$AC$711)=0,0,100*SUM($AE$698:$AE$711)/SUM($AC$698:$AC$711)))</f>
        <v>0</v>
      </c>
      <c r="AH711">
        <f>IF(COUNT($E$2:$E711)&lt;15,"",IF(SUM($AC$698:$AC$711)=0,0,100*SUM($AF$698:$AF$711)/SUM($AC$698:$AC$711)))</f>
        <v>0</v>
      </c>
      <c r="AI711">
        <f>IF(OR(AG711="",AH711=""),"",IF((AG711+AH711)=0,0,100*ABS(AG711-AH711)/(AG711+AH711)))</f>
        <v>0</v>
      </c>
      <c r="AJ711">
        <f>IF(COUNT($AI$698:$AI$711)&lt;14,"",AVERAGE($AI$698:$AI$711))</f>
        <v>0</v>
      </c>
      <c r="AK711">
        <f>IF(COUNT($E$2:$E711)&lt;20,"",AVERAGE($E$692:$E$711))</f>
        <v>0</v>
      </c>
      <c r="AL711">
        <f>IF(COUNT($E$2:$E711)&lt;20,"",STDEVP($E$692:$E$711))</f>
        <v>0</v>
      </c>
      <c r="AM711">
        <f>IF(AK711="","",AK711+2*AL711)</f>
        <v>0</v>
      </c>
      <c r="AN711">
        <f>IF(AK711="","",AK711-2*AL711)</f>
        <v>0</v>
      </c>
      <c r="AO711">
        <f>IF(OR(AM711="",AN711="",AM711=AN711),"",($E711-AN711)/(AM711-AN711))</f>
        <v>0</v>
      </c>
      <c r="AP711">
        <f>IF(OR(AM711="",AK711="",AK711=0),"",(AM711-AN711)/AK711)</f>
        <v>0</v>
      </c>
      <c r="AQ711">
        <f>IF(COUNT($E$2:$E711)&lt;20,"",MAX($C$692:$C$711))</f>
        <v>0</v>
      </c>
      <c r="AR711">
        <f>IF(COUNT($E$2:$E711)&lt;20,"",MIN($D$692:$D$711))</f>
        <v>0</v>
      </c>
      <c r="AS711">
        <f>IF(OR(AQ711="",AR711=""),"",(AQ711+AR711)/2)</f>
        <v>0</v>
      </c>
      <c r="AT711">
        <f>IF(COUNT($G$692:$G$711)&lt;20,"",STDEV($G$692:$G$711)*SQRT(252))</f>
        <v>0</v>
      </c>
      <c r="AU711">
        <f>IF(COUNT($E$2:$E711)&lt;9,"",(MAX($C$703:$C$711)+MIN($D$703:$D$711))/2)</f>
        <v>0</v>
      </c>
      <c r="AV711">
        <f>IF(COUNT($E$2:$E711)&lt;26,"",(MAX($C$686:$C$711)+MIN($D$686:$D$711))/2)</f>
        <v>0</v>
      </c>
      <c r="AW711">
        <f>IF(OR(AU711="",AV711=""),"",(AU711+AV711)/2)</f>
        <v>0</v>
      </c>
      <c r="AX711">
        <f>IF(COUNT($E$2:$E711)&lt;52,"",(MAX($C$660:$C$711)+MIN($D$660:$D$711))/2)</f>
        <v>0</v>
      </c>
      <c r="AY711">
        <f>IF(COUNT($E$2:$E711)&lt;20,"",MAX($C$612:$C$711))</f>
        <v>0</v>
      </c>
      <c r="AZ711">
        <f>IF(COUNT($E$2:$E711)&lt;20,"",MIN($D$612:$D$711))</f>
        <v>0</v>
      </c>
      <c r="BA711">
        <f>IF(COUNT($E$2:$E711)&lt;20,"",SLOPE($E$612:$E$711,$F$612:$F$711))</f>
        <v>0</v>
      </c>
      <c r="BB711">
        <f>IF(COUNT($E$2:$E711)&lt;20,"",INTERCEPT($E$612:$E$711,$F$612:$F$711))</f>
        <v>0</v>
      </c>
      <c r="BC711">
        <f>IF(OR(BA711="",BB711=""),"",BB711+BA711*F711)</f>
        <v>0</v>
      </c>
      <c r="BD711">
        <f>IF(COUNT($E$2:$E711)&lt;20,"",STEYX($E$612:$E$711,$F$612:$F$711))</f>
        <v>0</v>
      </c>
      <c r="BE711">
        <f>IF($E711="","",IF(AND(COUNT($E$712:$E$715)&gt;=4,$C711=MAX($C$707:$C$715)),$C711,""))</f>
        <v>0</v>
      </c>
      <c r="BF711">
        <f>IF($E711="","",IF(AND(COUNT($E$712:$E$715)&gt;=4,$D711=MIN($D$707:$D$715)),$D711,""))</f>
        <v>0</v>
      </c>
      <c r="BG711">
        <f>IF($A711="","",$A711-WEEKDAY($A711,2)+1)</f>
        <v>0</v>
      </c>
      <c r="BH711">
        <f>IF($A711="","",IF($A710="",1,IF(BG711&lt;&gt;BG710,1,0)))</f>
        <v>0</v>
      </c>
      <c r="BI711">
        <f>IF($A711="","",IF($A712="",1,IF(BG712&lt;&gt;BG711,1,0)))</f>
        <v>0</v>
      </c>
      <c r="BJ711">
        <f>IF($A711="","",IF(BH711=1,$B711,BJ710))</f>
        <v>0</v>
      </c>
      <c r="BK711">
        <f>IF($A711="","",IF(BH711=1,$C711,MAX($C711,BK710)))</f>
        <v>0</v>
      </c>
      <c r="BL711">
        <f>IF($A711="","",IF(BH711=1,$D711,MIN($D711,BL710)))</f>
        <v>0</v>
      </c>
      <c r="BM711">
        <f>IF($A711="","",IF(BI711=1,F711,""))</f>
        <v>0</v>
      </c>
      <c r="BN711">
        <f>IF($A711="","",DATE(YEAR($A711),MONTH($A711),1))</f>
        <v>0</v>
      </c>
      <c r="BO711">
        <f>IF($A711="","",IF($A710="",1,IF(BN711&lt;&gt;BN710,1,0)))</f>
        <v>0</v>
      </c>
      <c r="BP711">
        <f>IF($A711="","",IF($A712="",1,IF(BN712&lt;&gt;BN711,1,0)))</f>
        <v>0</v>
      </c>
      <c r="BQ711">
        <f>IF($A711="","",IF(BO711=1,$B711,BQ710))</f>
        <v>0</v>
      </c>
      <c r="BR711">
        <f>IF($A711="","",IF(BO711=1,$C711,MAX($C711,BR710)))</f>
        <v>0</v>
      </c>
      <c r="BS711">
        <f>IF($A711="","",IF(BO711=1,$D711,MIN($D711,BS710)))</f>
        <v>0</v>
      </c>
      <c r="BT711">
        <f>IF($A711="","",IF(BP711=1,F711,""))</f>
        <v>0</v>
      </c>
    </row>
    <row r="712" spans="1:72">
      <c r="A712" s="27">
        <f>IF(Data!$A712="","",Data!$A712)</f>
        <v>0</v>
      </c>
      <c r="B712">
        <f>IF(Data!$B712="","",Data!$B712)</f>
        <v>0</v>
      </c>
      <c r="C712">
        <f>IF(Data!$C712="","",Data!$C712)</f>
        <v>0</v>
      </c>
      <c r="D712">
        <f>IF(Data!$D712="","",Data!$D712)</f>
        <v>0</v>
      </c>
      <c r="E712">
        <f>IF(Data!$E712="","",Data!$E712)</f>
        <v>0</v>
      </c>
      <c r="F712">
        <f>IF($E712="","",N(F711)+1)</f>
        <v>0</v>
      </c>
      <c r="G712">
        <f>IF(OR($E712="",$E711=""),"",LN($E712/$E711))</f>
        <v>0</v>
      </c>
      <c r="H712">
        <f>IF($E712="","",IF($E711="",$E712,$E712*0.0952380952+H711*0.9047619048))</f>
        <v>0</v>
      </c>
      <c r="I712">
        <f>IF($E712="","",IF($E711="",$E712,$E712*0.0392156863+I711*0.9607843137))</f>
        <v>0</v>
      </c>
      <c r="J712">
        <f>IF($E712="","",IF($E711="",$E712,$E712*0.0198019802+J711*0.9801980198))</f>
        <v>0</v>
      </c>
      <c r="K712">
        <f>IF($E712="","",IF($E711="",$E712,$E712*0.0099502488+K711*0.9900497512))</f>
        <v>0</v>
      </c>
      <c r="L712">
        <f>IF(OR($E712="",$E711=""),"",MAX($E712-$E711,0))</f>
        <v>0</v>
      </c>
      <c r="M712">
        <f>IF(OR($E712="",$E711=""),"",MAX($E711-$E712,0))</f>
        <v>0</v>
      </c>
      <c r="N712">
        <f>IF(COUNT($E$2:$E712)&lt;15,"",IF(AVERAGE($M$699:$M$712)=0,100,100-100/(1+AVERAGE($L$699:$L$712)/AVERAGE($M$699:$M$712))))</f>
        <v>0</v>
      </c>
      <c r="O712">
        <f>IF($E712="","",IF($E711="",$E712,$E712*0.1538461538+O711*0.8461538462))</f>
        <v>0</v>
      </c>
      <c r="P712">
        <f>IF($E712="","",IF($E711="",$E712,$E712*0.0740740741+P711*0.9259259259))</f>
        <v>0</v>
      </c>
      <c r="Q712">
        <f>IF(OR(O712="",P712=""),"",O712-P712)</f>
        <v>0</v>
      </c>
      <c r="R712">
        <f>IF(Q712="","",IF(R711="",Q712,Q712*0.2000000000+R711*0.8000000000))</f>
        <v>0</v>
      </c>
      <c r="S712">
        <f>IF(OR(Q712="",R712=""),"",Q712-R712)</f>
        <v>0</v>
      </c>
      <c r="T712">
        <f>IF(COUNT($E$2:$E712)&lt;14,"",MAX($C$699:$C$712))</f>
        <v>0</v>
      </c>
      <c r="U712">
        <f>IF(COUNT($E$2:$E712)&lt;14,"",MIN($D$699:$D$712))</f>
        <v>0</v>
      </c>
      <c r="V712">
        <f>IF(OR(T712="",U712="",T712=U712),"",100*($E712-U712)/(T712-U712))</f>
        <v>0</v>
      </c>
      <c r="W712">
        <f>IF(COUNT($V$710:$V$712)&lt;3,"",AVERAGE($V$710:$V$712))</f>
        <v>0</v>
      </c>
      <c r="X712">
        <f>IF(COUNT($N$699:$N$712)&lt;14,"",MIN($N$699:$N$712))</f>
        <v>0</v>
      </c>
      <c r="Y712">
        <f>IF(COUNT($N$699:$N$712)&lt;14,"",MAX($N$699:$N$712))</f>
        <v>0</v>
      </c>
      <c r="Z712">
        <f>IF(OR(N712="",X712="",Y712="",Y712=X712),"",100*(N712-X712)/(Y712-X712))</f>
        <v>0</v>
      </c>
      <c r="AA712">
        <f>IF(COUNT($Z$710:$Z$712)&lt;3,"",AVERAGE($Z$710:$Z$712))</f>
        <v>0</v>
      </c>
      <c r="AB712">
        <f>IF(COUNT($AA$710:$AA$712)&lt;3,"",AVERAGE($AA$710:$AA$712))</f>
        <v>0</v>
      </c>
      <c r="AC712">
        <f>IF($E712="","",MAX($C712-$D712,ABS($C712-$E711),ABS($D712-$E711)))</f>
        <v>0</v>
      </c>
      <c r="AD712">
        <f>IF(COUNT($E$2:$E712)&lt;15,"",AVERAGE($AC$699:$AC$712))</f>
        <v>0</v>
      </c>
      <c r="AE712">
        <f>IF(OR($E712="",$E711=""),"",IF(AND(($C712-$C711)&gt;($D711-$D712),($C712-$C711)&gt;0),$C712-$C711,0))</f>
        <v>0</v>
      </c>
      <c r="AF712">
        <f>IF(OR($E712="",$E711=""),"",IF(AND(($D711-$D712)&gt;($C712-$C711),($D711-$D712)&gt;0),$D711-$D712,0))</f>
        <v>0</v>
      </c>
      <c r="AG712">
        <f>IF(COUNT($E$2:$E712)&lt;15,"",IF(SUM($AC$699:$AC$712)=0,0,100*SUM($AE$699:$AE$712)/SUM($AC$699:$AC$712)))</f>
        <v>0</v>
      </c>
      <c r="AH712">
        <f>IF(COUNT($E$2:$E712)&lt;15,"",IF(SUM($AC$699:$AC$712)=0,0,100*SUM($AF$699:$AF$712)/SUM($AC$699:$AC$712)))</f>
        <v>0</v>
      </c>
      <c r="AI712">
        <f>IF(OR(AG712="",AH712=""),"",IF((AG712+AH712)=0,0,100*ABS(AG712-AH712)/(AG712+AH712)))</f>
        <v>0</v>
      </c>
      <c r="AJ712">
        <f>IF(COUNT($AI$699:$AI$712)&lt;14,"",AVERAGE($AI$699:$AI$712))</f>
        <v>0</v>
      </c>
      <c r="AK712">
        <f>IF(COUNT($E$2:$E712)&lt;20,"",AVERAGE($E$693:$E$712))</f>
        <v>0</v>
      </c>
      <c r="AL712">
        <f>IF(COUNT($E$2:$E712)&lt;20,"",STDEVP($E$693:$E$712))</f>
        <v>0</v>
      </c>
      <c r="AM712">
        <f>IF(AK712="","",AK712+2*AL712)</f>
        <v>0</v>
      </c>
      <c r="AN712">
        <f>IF(AK712="","",AK712-2*AL712)</f>
        <v>0</v>
      </c>
      <c r="AO712">
        <f>IF(OR(AM712="",AN712="",AM712=AN712),"",($E712-AN712)/(AM712-AN712))</f>
        <v>0</v>
      </c>
      <c r="AP712">
        <f>IF(OR(AM712="",AK712="",AK712=0),"",(AM712-AN712)/AK712)</f>
        <v>0</v>
      </c>
      <c r="AQ712">
        <f>IF(COUNT($E$2:$E712)&lt;20,"",MAX($C$693:$C$712))</f>
        <v>0</v>
      </c>
      <c r="AR712">
        <f>IF(COUNT($E$2:$E712)&lt;20,"",MIN($D$693:$D$712))</f>
        <v>0</v>
      </c>
      <c r="AS712">
        <f>IF(OR(AQ712="",AR712=""),"",(AQ712+AR712)/2)</f>
        <v>0</v>
      </c>
      <c r="AT712">
        <f>IF(COUNT($G$693:$G$712)&lt;20,"",STDEV($G$693:$G$712)*SQRT(252))</f>
        <v>0</v>
      </c>
      <c r="AU712">
        <f>IF(COUNT($E$2:$E712)&lt;9,"",(MAX($C$704:$C$712)+MIN($D$704:$D$712))/2)</f>
        <v>0</v>
      </c>
      <c r="AV712">
        <f>IF(COUNT($E$2:$E712)&lt;26,"",(MAX($C$687:$C$712)+MIN($D$687:$D$712))/2)</f>
        <v>0</v>
      </c>
      <c r="AW712">
        <f>IF(OR(AU712="",AV712=""),"",(AU712+AV712)/2)</f>
        <v>0</v>
      </c>
      <c r="AX712">
        <f>IF(COUNT($E$2:$E712)&lt;52,"",(MAX($C$661:$C$712)+MIN($D$661:$D$712))/2)</f>
        <v>0</v>
      </c>
      <c r="AY712">
        <f>IF(COUNT($E$2:$E712)&lt;20,"",MAX($C$613:$C$712))</f>
        <v>0</v>
      </c>
      <c r="AZ712">
        <f>IF(COUNT($E$2:$E712)&lt;20,"",MIN($D$613:$D$712))</f>
        <v>0</v>
      </c>
      <c r="BA712">
        <f>IF(COUNT($E$2:$E712)&lt;20,"",SLOPE($E$613:$E$712,$F$613:$F$712))</f>
        <v>0</v>
      </c>
      <c r="BB712">
        <f>IF(COUNT($E$2:$E712)&lt;20,"",INTERCEPT($E$613:$E$712,$F$613:$F$712))</f>
        <v>0</v>
      </c>
      <c r="BC712">
        <f>IF(OR(BA712="",BB712=""),"",BB712+BA712*F712)</f>
        <v>0</v>
      </c>
      <c r="BD712">
        <f>IF(COUNT($E$2:$E712)&lt;20,"",STEYX($E$613:$E$712,$F$613:$F$712))</f>
        <v>0</v>
      </c>
      <c r="BE712">
        <f>IF($E712="","",IF(AND(COUNT($E$713:$E$716)&gt;=4,$C712=MAX($C$708:$C$716)),$C712,""))</f>
        <v>0</v>
      </c>
      <c r="BF712">
        <f>IF($E712="","",IF(AND(COUNT($E$713:$E$716)&gt;=4,$D712=MIN($D$708:$D$716)),$D712,""))</f>
        <v>0</v>
      </c>
      <c r="BG712">
        <f>IF($A712="","",$A712-WEEKDAY($A712,2)+1)</f>
        <v>0</v>
      </c>
      <c r="BH712">
        <f>IF($A712="","",IF($A711="",1,IF(BG712&lt;&gt;BG711,1,0)))</f>
        <v>0</v>
      </c>
      <c r="BI712">
        <f>IF($A712="","",IF($A713="",1,IF(BG713&lt;&gt;BG712,1,0)))</f>
        <v>0</v>
      </c>
      <c r="BJ712">
        <f>IF($A712="","",IF(BH712=1,$B712,BJ711))</f>
        <v>0</v>
      </c>
      <c r="BK712">
        <f>IF($A712="","",IF(BH712=1,$C712,MAX($C712,BK711)))</f>
        <v>0</v>
      </c>
      <c r="BL712">
        <f>IF($A712="","",IF(BH712=1,$D712,MIN($D712,BL711)))</f>
        <v>0</v>
      </c>
      <c r="BM712">
        <f>IF($A712="","",IF(BI712=1,F712,""))</f>
        <v>0</v>
      </c>
      <c r="BN712">
        <f>IF($A712="","",DATE(YEAR($A712),MONTH($A712),1))</f>
        <v>0</v>
      </c>
      <c r="BO712">
        <f>IF($A712="","",IF($A711="",1,IF(BN712&lt;&gt;BN711,1,0)))</f>
        <v>0</v>
      </c>
      <c r="BP712">
        <f>IF($A712="","",IF($A713="",1,IF(BN713&lt;&gt;BN712,1,0)))</f>
        <v>0</v>
      </c>
      <c r="BQ712">
        <f>IF($A712="","",IF(BO712=1,$B712,BQ711))</f>
        <v>0</v>
      </c>
      <c r="BR712">
        <f>IF($A712="","",IF(BO712=1,$C712,MAX($C712,BR711)))</f>
        <v>0</v>
      </c>
      <c r="BS712">
        <f>IF($A712="","",IF(BO712=1,$D712,MIN($D712,BS711)))</f>
        <v>0</v>
      </c>
      <c r="BT712">
        <f>IF($A712="","",IF(BP712=1,F712,""))</f>
        <v>0</v>
      </c>
    </row>
    <row r="713" spans="1:72">
      <c r="A713" s="27">
        <f>IF(Data!$A713="","",Data!$A713)</f>
        <v>0</v>
      </c>
      <c r="B713">
        <f>IF(Data!$B713="","",Data!$B713)</f>
        <v>0</v>
      </c>
      <c r="C713">
        <f>IF(Data!$C713="","",Data!$C713)</f>
        <v>0</v>
      </c>
      <c r="D713">
        <f>IF(Data!$D713="","",Data!$D713)</f>
        <v>0</v>
      </c>
      <c r="E713">
        <f>IF(Data!$E713="","",Data!$E713)</f>
        <v>0</v>
      </c>
      <c r="F713">
        <f>IF($E713="","",N(F712)+1)</f>
        <v>0</v>
      </c>
      <c r="G713">
        <f>IF(OR($E713="",$E712=""),"",LN($E713/$E712))</f>
        <v>0</v>
      </c>
      <c r="H713">
        <f>IF($E713="","",IF($E712="",$E713,$E713*0.0952380952+H712*0.9047619048))</f>
        <v>0</v>
      </c>
      <c r="I713">
        <f>IF($E713="","",IF($E712="",$E713,$E713*0.0392156863+I712*0.9607843137))</f>
        <v>0</v>
      </c>
      <c r="J713">
        <f>IF($E713="","",IF($E712="",$E713,$E713*0.0198019802+J712*0.9801980198))</f>
        <v>0</v>
      </c>
      <c r="K713">
        <f>IF($E713="","",IF($E712="",$E713,$E713*0.0099502488+K712*0.9900497512))</f>
        <v>0</v>
      </c>
      <c r="L713">
        <f>IF(OR($E713="",$E712=""),"",MAX($E713-$E712,0))</f>
        <v>0</v>
      </c>
      <c r="M713">
        <f>IF(OR($E713="",$E712=""),"",MAX($E712-$E713,0))</f>
        <v>0</v>
      </c>
      <c r="N713">
        <f>IF(COUNT($E$2:$E713)&lt;15,"",IF(AVERAGE($M$700:$M$713)=0,100,100-100/(1+AVERAGE($L$700:$L$713)/AVERAGE($M$700:$M$713))))</f>
        <v>0</v>
      </c>
      <c r="O713">
        <f>IF($E713="","",IF($E712="",$E713,$E713*0.1538461538+O712*0.8461538462))</f>
        <v>0</v>
      </c>
      <c r="P713">
        <f>IF($E713="","",IF($E712="",$E713,$E713*0.0740740741+P712*0.9259259259))</f>
        <v>0</v>
      </c>
      <c r="Q713">
        <f>IF(OR(O713="",P713=""),"",O713-P713)</f>
        <v>0</v>
      </c>
      <c r="R713">
        <f>IF(Q713="","",IF(R712="",Q713,Q713*0.2000000000+R712*0.8000000000))</f>
        <v>0</v>
      </c>
      <c r="S713">
        <f>IF(OR(Q713="",R713=""),"",Q713-R713)</f>
        <v>0</v>
      </c>
      <c r="T713">
        <f>IF(COUNT($E$2:$E713)&lt;14,"",MAX($C$700:$C$713))</f>
        <v>0</v>
      </c>
      <c r="U713">
        <f>IF(COUNT($E$2:$E713)&lt;14,"",MIN($D$700:$D$713))</f>
        <v>0</v>
      </c>
      <c r="V713">
        <f>IF(OR(T713="",U713="",T713=U713),"",100*($E713-U713)/(T713-U713))</f>
        <v>0</v>
      </c>
      <c r="W713">
        <f>IF(COUNT($V$711:$V$713)&lt;3,"",AVERAGE($V$711:$V$713))</f>
        <v>0</v>
      </c>
      <c r="X713">
        <f>IF(COUNT($N$700:$N$713)&lt;14,"",MIN($N$700:$N$713))</f>
        <v>0</v>
      </c>
      <c r="Y713">
        <f>IF(COUNT($N$700:$N$713)&lt;14,"",MAX($N$700:$N$713))</f>
        <v>0</v>
      </c>
      <c r="Z713">
        <f>IF(OR(N713="",X713="",Y713="",Y713=X713),"",100*(N713-X713)/(Y713-X713))</f>
        <v>0</v>
      </c>
      <c r="AA713">
        <f>IF(COUNT($Z$711:$Z$713)&lt;3,"",AVERAGE($Z$711:$Z$713))</f>
        <v>0</v>
      </c>
      <c r="AB713">
        <f>IF(COUNT($AA$711:$AA$713)&lt;3,"",AVERAGE($AA$711:$AA$713))</f>
        <v>0</v>
      </c>
      <c r="AC713">
        <f>IF($E713="","",MAX($C713-$D713,ABS($C713-$E712),ABS($D713-$E712)))</f>
        <v>0</v>
      </c>
      <c r="AD713">
        <f>IF(COUNT($E$2:$E713)&lt;15,"",AVERAGE($AC$700:$AC$713))</f>
        <v>0</v>
      </c>
      <c r="AE713">
        <f>IF(OR($E713="",$E712=""),"",IF(AND(($C713-$C712)&gt;($D712-$D713),($C713-$C712)&gt;0),$C713-$C712,0))</f>
        <v>0</v>
      </c>
      <c r="AF713">
        <f>IF(OR($E713="",$E712=""),"",IF(AND(($D712-$D713)&gt;($C713-$C712),($D712-$D713)&gt;0),$D712-$D713,0))</f>
        <v>0</v>
      </c>
      <c r="AG713">
        <f>IF(COUNT($E$2:$E713)&lt;15,"",IF(SUM($AC$700:$AC$713)=0,0,100*SUM($AE$700:$AE$713)/SUM($AC$700:$AC$713)))</f>
        <v>0</v>
      </c>
      <c r="AH713">
        <f>IF(COUNT($E$2:$E713)&lt;15,"",IF(SUM($AC$700:$AC$713)=0,0,100*SUM($AF$700:$AF$713)/SUM($AC$700:$AC$713)))</f>
        <v>0</v>
      </c>
      <c r="AI713">
        <f>IF(OR(AG713="",AH713=""),"",IF((AG713+AH713)=0,0,100*ABS(AG713-AH713)/(AG713+AH713)))</f>
        <v>0</v>
      </c>
      <c r="AJ713">
        <f>IF(COUNT($AI$700:$AI$713)&lt;14,"",AVERAGE($AI$700:$AI$713))</f>
        <v>0</v>
      </c>
      <c r="AK713">
        <f>IF(COUNT($E$2:$E713)&lt;20,"",AVERAGE($E$694:$E$713))</f>
        <v>0</v>
      </c>
      <c r="AL713">
        <f>IF(COUNT($E$2:$E713)&lt;20,"",STDEVP($E$694:$E$713))</f>
        <v>0</v>
      </c>
      <c r="AM713">
        <f>IF(AK713="","",AK713+2*AL713)</f>
        <v>0</v>
      </c>
      <c r="AN713">
        <f>IF(AK713="","",AK713-2*AL713)</f>
        <v>0</v>
      </c>
      <c r="AO713">
        <f>IF(OR(AM713="",AN713="",AM713=AN713),"",($E713-AN713)/(AM713-AN713))</f>
        <v>0</v>
      </c>
      <c r="AP713">
        <f>IF(OR(AM713="",AK713="",AK713=0),"",(AM713-AN713)/AK713)</f>
        <v>0</v>
      </c>
      <c r="AQ713">
        <f>IF(COUNT($E$2:$E713)&lt;20,"",MAX($C$694:$C$713))</f>
        <v>0</v>
      </c>
      <c r="AR713">
        <f>IF(COUNT($E$2:$E713)&lt;20,"",MIN($D$694:$D$713))</f>
        <v>0</v>
      </c>
      <c r="AS713">
        <f>IF(OR(AQ713="",AR713=""),"",(AQ713+AR713)/2)</f>
        <v>0</v>
      </c>
      <c r="AT713">
        <f>IF(COUNT($G$694:$G$713)&lt;20,"",STDEV($G$694:$G$713)*SQRT(252))</f>
        <v>0</v>
      </c>
      <c r="AU713">
        <f>IF(COUNT($E$2:$E713)&lt;9,"",(MAX($C$705:$C$713)+MIN($D$705:$D$713))/2)</f>
        <v>0</v>
      </c>
      <c r="AV713">
        <f>IF(COUNT($E$2:$E713)&lt;26,"",(MAX($C$688:$C$713)+MIN($D$688:$D$713))/2)</f>
        <v>0</v>
      </c>
      <c r="AW713">
        <f>IF(OR(AU713="",AV713=""),"",(AU713+AV713)/2)</f>
        <v>0</v>
      </c>
      <c r="AX713">
        <f>IF(COUNT($E$2:$E713)&lt;52,"",(MAX($C$662:$C$713)+MIN($D$662:$D$713))/2)</f>
        <v>0</v>
      </c>
      <c r="AY713">
        <f>IF(COUNT($E$2:$E713)&lt;20,"",MAX($C$614:$C$713))</f>
        <v>0</v>
      </c>
      <c r="AZ713">
        <f>IF(COUNT($E$2:$E713)&lt;20,"",MIN($D$614:$D$713))</f>
        <v>0</v>
      </c>
      <c r="BA713">
        <f>IF(COUNT($E$2:$E713)&lt;20,"",SLOPE($E$614:$E$713,$F$614:$F$713))</f>
        <v>0</v>
      </c>
      <c r="BB713">
        <f>IF(COUNT($E$2:$E713)&lt;20,"",INTERCEPT($E$614:$E$713,$F$614:$F$713))</f>
        <v>0</v>
      </c>
      <c r="BC713">
        <f>IF(OR(BA713="",BB713=""),"",BB713+BA713*F713)</f>
        <v>0</v>
      </c>
      <c r="BD713">
        <f>IF(COUNT($E$2:$E713)&lt;20,"",STEYX($E$614:$E$713,$F$614:$F$713))</f>
        <v>0</v>
      </c>
      <c r="BE713">
        <f>IF($E713="","",IF(AND(COUNT($E$714:$E$717)&gt;=4,$C713=MAX($C$709:$C$717)),$C713,""))</f>
        <v>0</v>
      </c>
      <c r="BF713">
        <f>IF($E713="","",IF(AND(COUNT($E$714:$E$717)&gt;=4,$D713=MIN($D$709:$D$717)),$D713,""))</f>
        <v>0</v>
      </c>
      <c r="BG713">
        <f>IF($A713="","",$A713-WEEKDAY($A713,2)+1)</f>
        <v>0</v>
      </c>
      <c r="BH713">
        <f>IF($A713="","",IF($A712="",1,IF(BG713&lt;&gt;BG712,1,0)))</f>
        <v>0</v>
      </c>
      <c r="BI713">
        <f>IF($A713="","",IF($A714="",1,IF(BG714&lt;&gt;BG713,1,0)))</f>
        <v>0</v>
      </c>
      <c r="BJ713">
        <f>IF($A713="","",IF(BH713=1,$B713,BJ712))</f>
        <v>0</v>
      </c>
      <c r="BK713">
        <f>IF($A713="","",IF(BH713=1,$C713,MAX($C713,BK712)))</f>
        <v>0</v>
      </c>
      <c r="BL713">
        <f>IF($A713="","",IF(BH713=1,$D713,MIN($D713,BL712)))</f>
        <v>0</v>
      </c>
      <c r="BM713">
        <f>IF($A713="","",IF(BI713=1,F713,""))</f>
        <v>0</v>
      </c>
      <c r="BN713">
        <f>IF($A713="","",DATE(YEAR($A713),MONTH($A713),1))</f>
        <v>0</v>
      </c>
      <c r="BO713">
        <f>IF($A713="","",IF($A712="",1,IF(BN713&lt;&gt;BN712,1,0)))</f>
        <v>0</v>
      </c>
      <c r="BP713">
        <f>IF($A713="","",IF($A714="",1,IF(BN714&lt;&gt;BN713,1,0)))</f>
        <v>0</v>
      </c>
      <c r="BQ713">
        <f>IF($A713="","",IF(BO713=1,$B713,BQ712))</f>
        <v>0</v>
      </c>
      <c r="BR713">
        <f>IF($A713="","",IF(BO713=1,$C713,MAX($C713,BR712)))</f>
        <v>0</v>
      </c>
      <c r="BS713">
        <f>IF($A713="","",IF(BO713=1,$D713,MIN($D713,BS712)))</f>
        <v>0</v>
      </c>
      <c r="BT713">
        <f>IF($A713="","",IF(BP713=1,F713,""))</f>
        <v>0</v>
      </c>
    </row>
    <row r="714" spans="1:72">
      <c r="A714" s="27">
        <f>IF(Data!$A714="","",Data!$A714)</f>
        <v>0</v>
      </c>
      <c r="B714">
        <f>IF(Data!$B714="","",Data!$B714)</f>
        <v>0</v>
      </c>
      <c r="C714">
        <f>IF(Data!$C714="","",Data!$C714)</f>
        <v>0</v>
      </c>
      <c r="D714">
        <f>IF(Data!$D714="","",Data!$D714)</f>
        <v>0</v>
      </c>
      <c r="E714">
        <f>IF(Data!$E714="","",Data!$E714)</f>
        <v>0</v>
      </c>
      <c r="F714">
        <f>IF($E714="","",N(F713)+1)</f>
        <v>0</v>
      </c>
      <c r="G714">
        <f>IF(OR($E714="",$E713=""),"",LN($E714/$E713))</f>
        <v>0</v>
      </c>
      <c r="H714">
        <f>IF($E714="","",IF($E713="",$E714,$E714*0.0952380952+H713*0.9047619048))</f>
        <v>0</v>
      </c>
      <c r="I714">
        <f>IF($E714="","",IF($E713="",$E714,$E714*0.0392156863+I713*0.9607843137))</f>
        <v>0</v>
      </c>
      <c r="J714">
        <f>IF($E714="","",IF($E713="",$E714,$E714*0.0198019802+J713*0.9801980198))</f>
        <v>0</v>
      </c>
      <c r="K714">
        <f>IF($E714="","",IF($E713="",$E714,$E714*0.0099502488+K713*0.9900497512))</f>
        <v>0</v>
      </c>
      <c r="L714">
        <f>IF(OR($E714="",$E713=""),"",MAX($E714-$E713,0))</f>
        <v>0</v>
      </c>
      <c r="M714">
        <f>IF(OR($E714="",$E713=""),"",MAX($E713-$E714,0))</f>
        <v>0</v>
      </c>
      <c r="N714">
        <f>IF(COUNT($E$2:$E714)&lt;15,"",IF(AVERAGE($M$701:$M$714)=0,100,100-100/(1+AVERAGE($L$701:$L$714)/AVERAGE($M$701:$M$714))))</f>
        <v>0</v>
      </c>
      <c r="O714">
        <f>IF($E714="","",IF($E713="",$E714,$E714*0.1538461538+O713*0.8461538462))</f>
        <v>0</v>
      </c>
      <c r="P714">
        <f>IF($E714="","",IF($E713="",$E714,$E714*0.0740740741+P713*0.9259259259))</f>
        <v>0</v>
      </c>
      <c r="Q714">
        <f>IF(OR(O714="",P714=""),"",O714-P714)</f>
        <v>0</v>
      </c>
      <c r="R714">
        <f>IF(Q714="","",IF(R713="",Q714,Q714*0.2000000000+R713*0.8000000000))</f>
        <v>0</v>
      </c>
      <c r="S714">
        <f>IF(OR(Q714="",R714=""),"",Q714-R714)</f>
        <v>0</v>
      </c>
      <c r="T714">
        <f>IF(COUNT($E$2:$E714)&lt;14,"",MAX($C$701:$C$714))</f>
        <v>0</v>
      </c>
      <c r="U714">
        <f>IF(COUNT($E$2:$E714)&lt;14,"",MIN($D$701:$D$714))</f>
        <v>0</v>
      </c>
      <c r="V714">
        <f>IF(OR(T714="",U714="",T714=U714),"",100*($E714-U714)/(T714-U714))</f>
        <v>0</v>
      </c>
      <c r="W714">
        <f>IF(COUNT($V$712:$V$714)&lt;3,"",AVERAGE($V$712:$V$714))</f>
        <v>0</v>
      </c>
      <c r="X714">
        <f>IF(COUNT($N$701:$N$714)&lt;14,"",MIN($N$701:$N$714))</f>
        <v>0</v>
      </c>
      <c r="Y714">
        <f>IF(COUNT($N$701:$N$714)&lt;14,"",MAX($N$701:$N$714))</f>
        <v>0</v>
      </c>
      <c r="Z714">
        <f>IF(OR(N714="",X714="",Y714="",Y714=X714),"",100*(N714-X714)/(Y714-X714))</f>
        <v>0</v>
      </c>
      <c r="AA714">
        <f>IF(COUNT($Z$712:$Z$714)&lt;3,"",AVERAGE($Z$712:$Z$714))</f>
        <v>0</v>
      </c>
      <c r="AB714">
        <f>IF(COUNT($AA$712:$AA$714)&lt;3,"",AVERAGE($AA$712:$AA$714))</f>
        <v>0</v>
      </c>
      <c r="AC714">
        <f>IF($E714="","",MAX($C714-$D714,ABS($C714-$E713),ABS($D714-$E713)))</f>
        <v>0</v>
      </c>
      <c r="AD714">
        <f>IF(COUNT($E$2:$E714)&lt;15,"",AVERAGE($AC$701:$AC$714))</f>
        <v>0</v>
      </c>
      <c r="AE714">
        <f>IF(OR($E714="",$E713=""),"",IF(AND(($C714-$C713)&gt;($D713-$D714),($C714-$C713)&gt;0),$C714-$C713,0))</f>
        <v>0</v>
      </c>
      <c r="AF714">
        <f>IF(OR($E714="",$E713=""),"",IF(AND(($D713-$D714)&gt;($C714-$C713),($D713-$D714)&gt;0),$D713-$D714,0))</f>
        <v>0</v>
      </c>
      <c r="AG714">
        <f>IF(COUNT($E$2:$E714)&lt;15,"",IF(SUM($AC$701:$AC$714)=0,0,100*SUM($AE$701:$AE$714)/SUM($AC$701:$AC$714)))</f>
        <v>0</v>
      </c>
      <c r="AH714">
        <f>IF(COUNT($E$2:$E714)&lt;15,"",IF(SUM($AC$701:$AC$714)=0,0,100*SUM($AF$701:$AF$714)/SUM($AC$701:$AC$714)))</f>
        <v>0</v>
      </c>
      <c r="AI714">
        <f>IF(OR(AG714="",AH714=""),"",IF((AG714+AH714)=0,0,100*ABS(AG714-AH714)/(AG714+AH714)))</f>
        <v>0</v>
      </c>
      <c r="AJ714">
        <f>IF(COUNT($AI$701:$AI$714)&lt;14,"",AVERAGE($AI$701:$AI$714))</f>
        <v>0</v>
      </c>
      <c r="AK714">
        <f>IF(COUNT($E$2:$E714)&lt;20,"",AVERAGE($E$695:$E$714))</f>
        <v>0</v>
      </c>
      <c r="AL714">
        <f>IF(COUNT($E$2:$E714)&lt;20,"",STDEVP($E$695:$E$714))</f>
        <v>0</v>
      </c>
      <c r="AM714">
        <f>IF(AK714="","",AK714+2*AL714)</f>
        <v>0</v>
      </c>
      <c r="AN714">
        <f>IF(AK714="","",AK714-2*AL714)</f>
        <v>0</v>
      </c>
      <c r="AO714">
        <f>IF(OR(AM714="",AN714="",AM714=AN714),"",($E714-AN714)/(AM714-AN714))</f>
        <v>0</v>
      </c>
      <c r="AP714">
        <f>IF(OR(AM714="",AK714="",AK714=0),"",(AM714-AN714)/AK714)</f>
        <v>0</v>
      </c>
      <c r="AQ714">
        <f>IF(COUNT($E$2:$E714)&lt;20,"",MAX($C$695:$C$714))</f>
        <v>0</v>
      </c>
      <c r="AR714">
        <f>IF(COUNT($E$2:$E714)&lt;20,"",MIN($D$695:$D$714))</f>
        <v>0</v>
      </c>
      <c r="AS714">
        <f>IF(OR(AQ714="",AR714=""),"",(AQ714+AR714)/2)</f>
        <v>0</v>
      </c>
      <c r="AT714">
        <f>IF(COUNT($G$695:$G$714)&lt;20,"",STDEV($G$695:$G$714)*SQRT(252))</f>
        <v>0</v>
      </c>
      <c r="AU714">
        <f>IF(COUNT($E$2:$E714)&lt;9,"",(MAX($C$706:$C$714)+MIN($D$706:$D$714))/2)</f>
        <v>0</v>
      </c>
      <c r="AV714">
        <f>IF(COUNT($E$2:$E714)&lt;26,"",(MAX($C$689:$C$714)+MIN($D$689:$D$714))/2)</f>
        <v>0</v>
      </c>
      <c r="AW714">
        <f>IF(OR(AU714="",AV714=""),"",(AU714+AV714)/2)</f>
        <v>0</v>
      </c>
      <c r="AX714">
        <f>IF(COUNT($E$2:$E714)&lt;52,"",(MAX($C$663:$C$714)+MIN($D$663:$D$714))/2)</f>
        <v>0</v>
      </c>
      <c r="AY714">
        <f>IF(COUNT($E$2:$E714)&lt;20,"",MAX($C$615:$C$714))</f>
        <v>0</v>
      </c>
      <c r="AZ714">
        <f>IF(COUNT($E$2:$E714)&lt;20,"",MIN($D$615:$D$714))</f>
        <v>0</v>
      </c>
      <c r="BA714">
        <f>IF(COUNT($E$2:$E714)&lt;20,"",SLOPE($E$615:$E$714,$F$615:$F$714))</f>
        <v>0</v>
      </c>
      <c r="BB714">
        <f>IF(COUNT($E$2:$E714)&lt;20,"",INTERCEPT($E$615:$E$714,$F$615:$F$714))</f>
        <v>0</v>
      </c>
      <c r="BC714">
        <f>IF(OR(BA714="",BB714=""),"",BB714+BA714*F714)</f>
        <v>0</v>
      </c>
      <c r="BD714">
        <f>IF(COUNT($E$2:$E714)&lt;20,"",STEYX($E$615:$E$714,$F$615:$F$714))</f>
        <v>0</v>
      </c>
      <c r="BE714">
        <f>IF($E714="","",IF(AND(COUNT($E$715:$E$718)&gt;=4,$C714=MAX($C$710:$C$718)),$C714,""))</f>
        <v>0</v>
      </c>
      <c r="BF714">
        <f>IF($E714="","",IF(AND(COUNT($E$715:$E$718)&gt;=4,$D714=MIN($D$710:$D$718)),$D714,""))</f>
        <v>0</v>
      </c>
      <c r="BG714">
        <f>IF($A714="","",$A714-WEEKDAY($A714,2)+1)</f>
        <v>0</v>
      </c>
      <c r="BH714">
        <f>IF($A714="","",IF($A713="",1,IF(BG714&lt;&gt;BG713,1,0)))</f>
        <v>0</v>
      </c>
      <c r="BI714">
        <f>IF($A714="","",IF($A715="",1,IF(BG715&lt;&gt;BG714,1,0)))</f>
        <v>0</v>
      </c>
      <c r="BJ714">
        <f>IF($A714="","",IF(BH714=1,$B714,BJ713))</f>
        <v>0</v>
      </c>
      <c r="BK714">
        <f>IF($A714="","",IF(BH714=1,$C714,MAX($C714,BK713)))</f>
        <v>0</v>
      </c>
      <c r="BL714">
        <f>IF($A714="","",IF(BH714=1,$D714,MIN($D714,BL713)))</f>
        <v>0</v>
      </c>
      <c r="BM714">
        <f>IF($A714="","",IF(BI714=1,F714,""))</f>
        <v>0</v>
      </c>
      <c r="BN714">
        <f>IF($A714="","",DATE(YEAR($A714),MONTH($A714),1))</f>
        <v>0</v>
      </c>
      <c r="BO714">
        <f>IF($A714="","",IF($A713="",1,IF(BN714&lt;&gt;BN713,1,0)))</f>
        <v>0</v>
      </c>
      <c r="BP714">
        <f>IF($A714="","",IF($A715="",1,IF(BN715&lt;&gt;BN714,1,0)))</f>
        <v>0</v>
      </c>
      <c r="BQ714">
        <f>IF($A714="","",IF(BO714=1,$B714,BQ713))</f>
        <v>0</v>
      </c>
      <c r="BR714">
        <f>IF($A714="","",IF(BO714=1,$C714,MAX($C714,BR713)))</f>
        <v>0</v>
      </c>
      <c r="BS714">
        <f>IF($A714="","",IF(BO714=1,$D714,MIN($D714,BS713)))</f>
        <v>0</v>
      </c>
      <c r="BT714">
        <f>IF($A714="","",IF(BP714=1,F714,""))</f>
        <v>0</v>
      </c>
    </row>
    <row r="715" spans="1:72">
      <c r="A715" s="27">
        <f>IF(Data!$A715="","",Data!$A715)</f>
        <v>0</v>
      </c>
      <c r="B715">
        <f>IF(Data!$B715="","",Data!$B715)</f>
        <v>0</v>
      </c>
      <c r="C715">
        <f>IF(Data!$C715="","",Data!$C715)</f>
        <v>0</v>
      </c>
      <c r="D715">
        <f>IF(Data!$D715="","",Data!$D715)</f>
        <v>0</v>
      </c>
      <c r="E715">
        <f>IF(Data!$E715="","",Data!$E715)</f>
        <v>0</v>
      </c>
      <c r="F715">
        <f>IF($E715="","",N(F714)+1)</f>
        <v>0</v>
      </c>
      <c r="G715">
        <f>IF(OR($E715="",$E714=""),"",LN($E715/$E714))</f>
        <v>0</v>
      </c>
      <c r="H715">
        <f>IF($E715="","",IF($E714="",$E715,$E715*0.0952380952+H714*0.9047619048))</f>
        <v>0</v>
      </c>
      <c r="I715">
        <f>IF($E715="","",IF($E714="",$E715,$E715*0.0392156863+I714*0.9607843137))</f>
        <v>0</v>
      </c>
      <c r="J715">
        <f>IF($E715="","",IF($E714="",$E715,$E715*0.0198019802+J714*0.9801980198))</f>
        <v>0</v>
      </c>
      <c r="K715">
        <f>IF($E715="","",IF($E714="",$E715,$E715*0.0099502488+K714*0.9900497512))</f>
        <v>0</v>
      </c>
      <c r="L715">
        <f>IF(OR($E715="",$E714=""),"",MAX($E715-$E714,0))</f>
        <v>0</v>
      </c>
      <c r="M715">
        <f>IF(OR($E715="",$E714=""),"",MAX($E714-$E715,0))</f>
        <v>0</v>
      </c>
      <c r="N715">
        <f>IF(COUNT($E$2:$E715)&lt;15,"",IF(AVERAGE($M$702:$M$715)=0,100,100-100/(1+AVERAGE($L$702:$L$715)/AVERAGE($M$702:$M$715))))</f>
        <v>0</v>
      </c>
      <c r="O715">
        <f>IF($E715="","",IF($E714="",$E715,$E715*0.1538461538+O714*0.8461538462))</f>
        <v>0</v>
      </c>
      <c r="P715">
        <f>IF($E715="","",IF($E714="",$E715,$E715*0.0740740741+P714*0.9259259259))</f>
        <v>0</v>
      </c>
      <c r="Q715">
        <f>IF(OR(O715="",P715=""),"",O715-P715)</f>
        <v>0</v>
      </c>
      <c r="R715">
        <f>IF(Q715="","",IF(R714="",Q715,Q715*0.2000000000+R714*0.8000000000))</f>
        <v>0</v>
      </c>
      <c r="S715">
        <f>IF(OR(Q715="",R715=""),"",Q715-R715)</f>
        <v>0</v>
      </c>
      <c r="T715">
        <f>IF(COUNT($E$2:$E715)&lt;14,"",MAX($C$702:$C$715))</f>
        <v>0</v>
      </c>
      <c r="U715">
        <f>IF(COUNT($E$2:$E715)&lt;14,"",MIN($D$702:$D$715))</f>
        <v>0</v>
      </c>
      <c r="V715">
        <f>IF(OR(T715="",U715="",T715=U715),"",100*($E715-U715)/(T715-U715))</f>
        <v>0</v>
      </c>
      <c r="W715">
        <f>IF(COUNT($V$713:$V$715)&lt;3,"",AVERAGE($V$713:$V$715))</f>
        <v>0</v>
      </c>
      <c r="X715">
        <f>IF(COUNT($N$702:$N$715)&lt;14,"",MIN($N$702:$N$715))</f>
        <v>0</v>
      </c>
      <c r="Y715">
        <f>IF(COUNT($N$702:$N$715)&lt;14,"",MAX($N$702:$N$715))</f>
        <v>0</v>
      </c>
      <c r="Z715">
        <f>IF(OR(N715="",X715="",Y715="",Y715=X715),"",100*(N715-X715)/(Y715-X715))</f>
        <v>0</v>
      </c>
      <c r="AA715">
        <f>IF(COUNT($Z$713:$Z$715)&lt;3,"",AVERAGE($Z$713:$Z$715))</f>
        <v>0</v>
      </c>
      <c r="AB715">
        <f>IF(COUNT($AA$713:$AA$715)&lt;3,"",AVERAGE($AA$713:$AA$715))</f>
        <v>0</v>
      </c>
      <c r="AC715">
        <f>IF($E715="","",MAX($C715-$D715,ABS($C715-$E714),ABS($D715-$E714)))</f>
        <v>0</v>
      </c>
      <c r="AD715">
        <f>IF(COUNT($E$2:$E715)&lt;15,"",AVERAGE($AC$702:$AC$715))</f>
        <v>0</v>
      </c>
      <c r="AE715">
        <f>IF(OR($E715="",$E714=""),"",IF(AND(($C715-$C714)&gt;($D714-$D715),($C715-$C714)&gt;0),$C715-$C714,0))</f>
        <v>0</v>
      </c>
      <c r="AF715">
        <f>IF(OR($E715="",$E714=""),"",IF(AND(($D714-$D715)&gt;($C715-$C714),($D714-$D715)&gt;0),$D714-$D715,0))</f>
        <v>0</v>
      </c>
      <c r="AG715">
        <f>IF(COUNT($E$2:$E715)&lt;15,"",IF(SUM($AC$702:$AC$715)=0,0,100*SUM($AE$702:$AE$715)/SUM($AC$702:$AC$715)))</f>
        <v>0</v>
      </c>
      <c r="AH715">
        <f>IF(COUNT($E$2:$E715)&lt;15,"",IF(SUM($AC$702:$AC$715)=0,0,100*SUM($AF$702:$AF$715)/SUM($AC$702:$AC$715)))</f>
        <v>0</v>
      </c>
      <c r="AI715">
        <f>IF(OR(AG715="",AH715=""),"",IF((AG715+AH715)=0,0,100*ABS(AG715-AH715)/(AG715+AH715)))</f>
        <v>0</v>
      </c>
      <c r="AJ715">
        <f>IF(COUNT($AI$702:$AI$715)&lt;14,"",AVERAGE($AI$702:$AI$715))</f>
        <v>0</v>
      </c>
      <c r="AK715">
        <f>IF(COUNT($E$2:$E715)&lt;20,"",AVERAGE($E$696:$E$715))</f>
        <v>0</v>
      </c>
      <c r="AL715">
        <f>IF(COUNT($E$2:$E715)&lt;20,"",STDEVP($E$696:$E$715))</f>
        <v>0</v>
      </c>
      <c r="AM715">
        <f>IF(AK715="","",AK715+2*AL715)</f>
        <v>0</v>
      </c>
      <c r="AN715">
        <f>IF(AK715="","",AK715-2*AL715)</f>
        <v>0</v>
      </c>
      <c r="AO715">
        <f>IF(OR(AM715="",AN715="",AM715=AN715),"",($E715-AN715)/(AM715-AN715))</f>
        <v>0</v>
      </c>
      <c r="AP715">
        <f>IF(OR(AM715="",AK715="",AK715=0),"",(AM715-AN715)/AK715)</f>
        <v>0</v>
      </c>
      <c r="AQ715">
        <f>IF(COUNT($E$2:$E715)&lt;20,"",MAX($C$696:$C$715))</f>
        <v>0</v>
      </c>
      <c r="AR715">
        <f>IF(COUNT($E$2:$E715)&lt;20,"",MIN($D$696:$D$715))</f>
        <v>0</v>
      </c>
      <c r="AS715">
        <f>IF(OR(AQ715="",AR715=""),"",(AQ715+AR715)/2)</f>
        <v>0</v>
      </c>
      <c r="AT715">
        <f>IF(COUNT($G$696:$G$715)&lt;20,"",STDEV($G$696:$G$715)*SQRT(252))</f>
        <v>0</v>
      </c>
      <c r="AU715">
        <f>IF(COUNT($E$2:$E715)&lt;9,"",(MAX($C$707:$C$715)+MIN($D$707:$D$715))/2)</f>
        <v>0</v>
      </c>
      <c r="AV715">
        <f>IF(COUNT($E$2:$E715)&lt;26,"",(MAX($C$690:$C$715)+MIN($D$690:$D$715))/2)</f>
        <v>0</v>
      </c>
      <c r="AW715">
        <f>IF(OR(AU715="",AV715=""),"",(AU715+AV715)/2)</f>
        <v>0</v>
      </c>
      <c r="AX715">
        <f>IF(COUNT($E$2:$E715)&lt;52,"",(MAX($C$664:$C$715)+MIN($D$664:$D$715))/2)</f>
        <v>0</v>
      </c>
      <c r="AY715">
        <f>IF(COUNT($E$2:$E715)&lt;20,"",MAX($C$616:$C$715))</f>
        <v>0</v>
      </c>
      <c r="AZ715">
        <f>IF(COUNT($E$2:$E715)&lt;20,"",MIN($D$616:$D$715))</f>
        <v>0</v>
      </c>
      <c r="BA715">
        <f>IF(COUNT($E$2:$E715)&lt;20,"",SLOPE($E$616:$E$715,$F$616:$F$715))</f>
        <v>0</v>
      </c>
      <c r="BB715">
        <f>IF(COUNT($E$2:$E715)&lt;20,"",INTERCEPT($E$616:$E$715,$F$616:$F$715))</f>
        <v>0</v>
      </c>
      <c r="BC715">
        <f>IF(OR(BA715="",BB715=""),"",BB715+BA715*F715)</f>
        <v>0</v>
      </c>
      <c r="BD715">
        <f>IF(COUNT($E$2:$E715)&lt;20,"",STEYX($E$616:$E$715,$F$616:$F$715))</f>
        <v>0</v>
      </c>
      <c r="BE715">
        <f>IF($E715="","",IF(AND(COUNT($E$716:$E$719)&gt;=4,$C715=MAX($C$711:$C$719)),$C715,""))</f>
        <v>0</v>
      </c>
      <c r="BF715">
        <f>IF($E715="","",IF(AND(COUNT($E$716:$E$719)&gt;=4,$D715=MIN($D$711:$D$719)),$D715,""))</f>
        <v>0</v>
      </c>
      <c r="BG715">
        <f>IF($A715="","",$A715-WEEKDAY($A715,2)+1)</f>
        <v>0</v>
      </c>
      <c r="BH715">
        <f>IF($A715="","",IF($A714="",1,IF(BG715&lt;&gt;BG714,1,0)))</f>
        <v>0</v>
      </c>
      <c r="BI715">
        <f>IF($A715="","",IF($A716="",1,IF(BG716&lt;&gt;BG715,1,0)))</f>
        <v>0</v>
      </c>
      <c r="BJ715">
        <f>IF($A715="","",IF(BH715=1,$B715,BJ714))</f>
        <v>0</v>
      </c>
      <c r="BK715">
        <f>IF($A715="","",IF(BH715=1,$C715,MAX($C715,BK714)))</f>
        <v>0</v>
      </c>
      <c r="BL715">
        <f>IF($A715="","",IF(BH715=1,$D715,MIN($D715,BL714)))</f>
        <v>0</v>
      </c>
      <c r="BM715">
        <f>IF($A715="","",IF(BI715=1,F715,""))</f>
        <v>0</v>
      </c>
      <c r="BN715">
        <f>IF($A715="","",DATE(YEAR($A715),MONTH($A715),1))</f>
        <v>0</v>
      </c>
      <c r="BO715">
        <f>IF($A715="","",IF($A714="",1,IF(BN715&lt;&gt;BN714,1,0)))</f>
        <v>0</v>
      </c>
      <c r="BP715">
        <f>IF($A715="","",IF($A716="",1,IF(BN716&lt;&gt;BN715,1,0)))</f>
        <v>0</v>
      </c>
      <c r="BQ715">
        <f>IF($A715="","",IF(BO715=1,$B715,BQ714))</f>
        <v>0</v>
      </c>
      <c r="BR715">
        <f>IF($A715="","",IF(BO715=1,$C715,MAX($C715,BR714)))</f>
        <v>0</v>
      </c>
      <c r="BS715">
        <f>IF($A715="","",IF(BO715=1,$D715,MIN($D715,BS714)))</f>
        <v>0</v>
      </c>
      <c r="BT715">
        <f>IF($A715="","",IF(BP715=1,F715,""))</f>
        <v>0</v>
      </c>
    </row>
    <row r="716" spans="1:72">
      <c r="A716" s="27">
        <f>IF(Data!$A716="","",Data!$A716)</f>
        <v>0</v>
      </c>
      <c r="B716">
        <f>IF(Data!$B716="","",Data!$B716)</f>
        <v>0</v>
      </c>
      <c r="C716">
        <f>IF(Data!$C716="","",Data!$C716)</f>
        <v>0</v>
      </c>
      <c r="D716">
        <f>IF(Data!$D716="","",Data!$D716)</f>
        <v>0</v>
      </c>
      <c r="E716">
        <f>IF(Data!$E716="","",Data!$E716)</f>
        <v>0</v>
      </c>
      <c r="F716">
        <f>IF($E716="","",N(F715)+1)</f>
        <v>0</v>
      </c>
      <c r="G716">
        <f>IF(OR($E716="",$E715=""),"",LN($E716/$E715))</f>
        <v>0</v>
      </c>
      <c r="H716">
        <f>IF($E716="","",IF($E715="",$E716,$E716*0.0952380952+H715*0.9047619048))</f>
        <v>0</v>
      </c>
      <c r="I716">
        <f>IF($E716="","",IF($E715="",$E716,$E716*0.0392156863+I715*0.9607843137))</f>
        <v>0</v>
      </c>
      <c r="J716">
        <f>IF($E716="","",IF($E715="",$E716,$E716*0.0198019802+J715*0.9801980198))</f>
        <v>0</v>
      </c>
      <c r="K716">
        <f>IF($E716="","",IF($E715="",$E716,$E716*0.0099502488+K715*0.9900497512))</f>
        <v>0</v>
      </c>
      <c r="L716">
        <f>IF(OR($E716="",$E715=""),"",MAX($E716-$E715,0))</f>
        <v>0</v>
      </c>
      <c r="M716">
        <f>IF(OR($E716="",$E715=""),"",MAX($E715-$E716,0))</f>
        <v>0</v>
      </c>
      <c r="N716">
        <f>IF(COUNT($E$2:$E716)&lt;15,"",IF(AVERAGE($M$703:$M$716)=0,100,100-100/(1+AVERAGE($L$703:$L$716)/AVERAGE($M$703:$M$716))))</f>
        <v>0</v>
      </c>
      <c r="O716">
        <f>IF($E716="","",IF($E715="",$E716,$E716*0.1538461538+O715*0.8461538462))</f>
        <v>0</v>
      </c>
      <c r="P716">
        <f>IF($E716="","",IF($E715="",$E716,$E716*0.0740740741+P715*0.9259259259))</f>
        <v>0</v>
      </c>
      <c r="Q716">
        <f>IF(OR(O716="",P716=""),"",O716-P716)</f>
        <v>0</v>
      </c>
      <c r="R716">
        <f>IF(Q716="","",IF(R715="",Q716,Q716*0.2000000000+R715*0.8000000000))</f>
        <v>0</v>
      </c>
      <c r="S716">
        <f>IF(OR(Q716="",R716=""),"",Q716-R716)</f>
        <v>0</v>
      </c>
      <c r="T716">
        <f>IF(COUNT($E$2:$E716)&lt;14,"",MAX($C$703:$C$716))</f>
        <v>0</v>
      </c>
      <c r="U716">
        <f>IF(COUNT($E$2:$E716)&lt;14,"",MIN($D$703:$D$716))</f>
        <v>0</v>
      </c>
      <c r="V716">
        <f>IF(OR(T716="",U716="",T716=U716),"",100*($E716-U716)/(T716-U716))</f>
        <v>0</v>
      </c>
      <c r="W716">
        <f>IF(COUNT($V$714:$V$716)&lt;3,"",AVERAGE($V$714:$V$716))</f>
        <v>0</v>
      </c>
      <c r="X716">
        <f>IF(COUNT($N$703:$N$716)&lt;14,"",MIN($N$703:$N$716))</f>
        <v>0</v>
      </c>
      <c r="Y716">
        <f>IF(COUNT($N$703:$N$716)&lt;14,"",MAX($N$703:$N$716))</f>
        <v>0</v>
      </c>
      <c r="Z716">
        <f>IF(OR(N716="",X716="",Y716="",Y716=X716),"",100*(N716-X716)/(Y716-X716))</f>
        <v>0</v>
      </c>
      <c r="AA716">
        <f>IF(COUNT($Z$714:$Z$716)&lt;3,"",AVERAGE($Z$714:$Z$716))</f>
        <v>0</v>
      </c>
      <c r="AB716">
        <f>IF(COUNT($AA$714:$AA$716)&lt;3,"",AVERAGE($AA$714:$AA$716))</f>
        <v>0</v>
      </c>
      <c r="AC716">
        <f>IF($E716="","",MAX($C716-$D716,ABS($C716-$E715),ABS($D716-$E715)))</f>
        <v>0</v>
      </c>
      <c r="AD716">
        <f>IF(COUNT($E$2:$E716)&lt;15,"",AVERAGE($AC$703:$AC$716))</f>
        <v>0</v>
      </c>
      <c r="AE716">
        <f>IF(OR($E716="",$E715=""),"",IF(AND(($C716-$C715)&gt;($D715-$D716),($C716-$C715)&gt;0),$C716-$C715,0))</f>
        <v>0</v>
      </c>
      <c r="AF716">
        <f>IF(OR($E716="",$E715=""),"",IF(AND(($D715-$D716)&gt;($C716-$C715),($D715-$D716)&gt;0),$D715-$D716,0))</f>
        <v>0</v>
      </c>
      <c r="AG716">
        <f>IF(COUNT($E$2:$E716)&lt;15,"",IF(SUM($AC$703:$AC$716)=0,0,100*SUM($AE$703:$AE$716)/SUM($AC$703:$AC$716)))</f>
        <v>0</v>
      </c>
      <c r="AH716">
        <f>IF(COUNT($E$2:$E716)&lt;15,"",IF(SUM($AC$703:$AC$716)=0,0,100*SUM($AF$703:$AF$716)/SUM($AC$703:$AC$716)))</f>
        <v>0</v>
      </c>
      <c r="AI716">
        <f>IF(OR(AG716="",AH716=""),"",IF((AG716+AH716)=0,0,100*ABS(AG716-AH716)/(AG716+AH716)))</f>
        <v>0</v>
      </c>
      <c r="AJ716">
        <f>IF(COUNT($AI$703:$AI$716)&lt;14,"",AVERAGE($AI$703:$AI$716))</f>
        <v>0</v>
      </c>
      <c r="AK716">
        <f>IF(COUNT($E$2:$E716)&lt;20,"",AVERAGE($E$697:$E$716))</f>
        <v>0</v>
      </c>
      <c r="AL716">
        <f>IF(COUNT($E$2:$E716)&lt;20,"",STDEVP($E$697:$E$716))</f>
        <v>0</v>
      </c>
      <c r="AM716">
        <f>IF(AK716="","",AK716+2*AL716)</f>
        <v>0</v>
      </c>
      <c r="AN716">
        <f>IF(AK716="","",AK716-2*AL716)</f>
        <v>0</v>
      </c>
      <c r="AO716">
        <f>IF(OR(AM716="",AN716="",AM716=AN716),"",($E716-AN716)/(AM716-AN716))</f>
        <v>0</v>
      </c>
      <c r="AP716">
        <f>IF(OR(AM716="",AK716="",AK716=0),"",(AM716-AN716)/AK716)</f>
        <v>0</v>
      </c>
      <c r="AQ716">
        <f>IF(COUNT($E$2:$E716)&lt;20,"",MAX($C$697:$C$716))</f>
        <v>0</v>
      </c>
      <c r="AR716">
        <f>IF(COUNT($E$2:$E716)&lt;20,"",MIN($D$697:$D$716))</f>
        <v>0</v>
      </c>
      <c r="AS716">
        <f>IF(OR(AQ716="",AR716=""),"",(AQ716+AR716)/2)</f>
        <v>0</v>
      </c>
      <c r="AT716">
        <f>IF(COUNT($G$697:$G$716)&lt;20,"",STDEV($G$697:$G$716)*SQRT(252))</f>
        <v>0</v>
      </c>
      <c r="AU716">
        <f>IF(COUNT($E$2:$E716)&lt;9,"",(MAX($C$708:$C$716)+MIN($D$708:$D$716))/2)</f>
        <v>0</v>
      </c>
      <c r="AV716">
        <f>IF(COUNT($E$2:$E716)&lt;26,"",(MAX($C$691:$C$716)+MIN($D$691:$D$716))/2)</f>
        <v>0</v>
      </c>
      <c r="AW716">
        <f>IF(OR(AU716="",AV716=""),"",(AU716+AV716)/2)</f>
        <v>0</v>
      </c>
      <c r="AX716">
        <f>IF(COUNT($E$2:$E716)&lt;52,"",(MAX($C$665:$C$716)+MIN($D$665:$D$716))/2)</f>
        <v>0</v>
      </c>
      <c r="AY716">
        <f>IF(COUNT($E$2:$E716)&lt;20,"",MAX($C$617:$C$716))</f>
        <v>0</v>
      </c>
      <c r="AZ716">
        <f>IF(COUNT($E$2:$E716)&lt;20,"",MIN($D$617:$D$716))</f>
        <v>0</v>
      </c>
      <c r="BA716">
        <f>IF(COUNT($E$2:$E716)&lt;20,"",SLOPE($E$617:$E$716,$F$617:$F$716))</f>
        <v>0</v>
      </c>
      <c r="BB716">
        <f>IF(COUNT($E$2:$E716)&lt;20,"",INTERCEPT($E$617:$E$716,$F$617:$F$716))</f>
        <v>0</v>
      </c>
      <c r="BC716">
        <f>IF(OR(BA716="",BB716=""),"",BB716+BA716*F716)</f>
        <v>0</v>
      </c>
      <c r="BD716">
        <f>IF(COUNT($E$2:$E716)&lt;20,"",STEYX($E$617:$E$716,$F$617:$F$716))</f>
        <v>0</v>
      </c>
      <c r="BE716">
        <f>IF($E716="","",IF(AND(COUNT($E$717:$E$720)&gt;=4,$C716=MAX($C$712:$C$720)),$C716,""))</f>
        <v>0</v>
      </c>
      <c r="BF716">
        <f>IF($E716="","",IF(AND(COUNT($E$717:$E$720)&gt;=4,$D716=MIN($D$712:$D$720)),$D716,""))</f>
        <v>0</v>
      </c>
      <c r="BG716">
        <f>IF($A716="","",$A716-WEEKDAY($A716,2)+1)</f>
        <v>0</v>
      </c>
      <c r="BH716">
        <f>IF($A716="","",IF($A715="",1,IF(BG716&lt;&gt;BG715,1,0)))</f>
        <v>0</v>
      </c>
      <c r="BI716">
        <f>IF($A716="","",IF($A717="",1,IF(BG717&lt;&gt;BG716,1,0)))</f>
        <v>0</v>
      </c>
      <c r="BJ716">
        <f>IF($A716="","",IF(BH716=1,$B716,BJ715))</f>
        <v>0</v>
      </c>
      <c r="BK716">
        <f>IF($A716="","",IF(BH716=1,$C716,MAX($C716,BK715)))</f>
        <v>0</v>
      </c>
      <c r="BL716">
        <f>IF($A716="","",IF(BH716=1,$D716,MIN($D716,BL715)))</f>
        <v>0</v>
      </c>
      <c r="BM716">
        <f>IF($A716="","",IF(BI716=1,F716,""))</f>
        <v>0</v>
      </c>
      <c r="BN716">
        <f>IF($A716="","",DATE(YEAR($A716),MONTH($A716),1))</f>
        <v>0</v>
      </c>
      <c r="BO716">
        <f>IF($A716="","",IF($A715="",1,IF(BN716&lt;&gt;BN715,1,0)))</f>
        <v>0</v>
      </c>
      <c r="BP716">
        <f>IF($A716="","",IF($A717="",1,IF(BN717&lt;&gt;BN716,1,0)))</f>
        <v>0</v>
      </c>
      <c r="BQ716">
        <f>IF($A716="","",IF(BO716=1,$B716,BQ715))</f>
        <v>0</v>
      </c>
      <c r="BR716">
        <f>IF($A716="","",IF(BO716=1,$C716,MAX($C716,BR715)))</f>
        <v>0</v>
      </c>
      <c r="BS716">
        <f>IF($A716="","",IF(BO716=1,$D716,MIN($D716,BS715)))</f>
        <v>0</v>
      </c>
      <c r="BT716">
        <f>IF($A716="","",IF(BP716=1,F716,""))</f>
        <v>0</v>
      </c>
    </row>
    <row r="717" spans="1:72">
      <c r="A717" s="27">
        <f>IF(Data!$A717="","",Data!$A717)</f>
        <v>0</v>
      </c>
      <c r="B717">
        <f>IF(Data!$B717="","",Data!$B717)</f>
        <v>0</v>
      </c>
      <c r="C717">
        <f>IF(Data!$C717="","",Data!$C717)</f>
        <v>0</v>
      </c>
      <c r="D717">
        <f>IF(Data!$D717="","",Data!$D717)</f>
        <v>0</v>
      </c>
      <c r="E717">
        <f>IF(Data!$E717="","",Data!$E717)</f>
        <v>0</v>
      </c>
      <c r="F717">
        <f>IF($E717="","",N(F716)+1)</f>
        <v>0</v>
      </c>
      <c r="G717">
        <f>IF(OR($E717="",$E716=""),"",LN($E717/$E716))</f>
        <v>0</v>
      </c>
      <c r="H717">
        <f>IF($E717="","",IF($E716="",$E717,$E717*0.0952380952+H716*0.9047619048))</f>
        <v>0</v>
      </c>
      <c r="I717">
        <f>IF($E717="","",IF($E716="",$E717,$E717*0.0392156863+I716*0.9607843137))</f>
        <v>0</v>
      </c>
      <c r="J717">
        <f>IF($E717="","",IF($E716="",$E717,$E717*0.0198019802+J716*0.9801980198))</f>
        <v>0</v>
      </c>
      <c r="K717">
        <f>IF($E717="","",IF($E716="",$E717,$E717*0.0099502488+K716*0.9900497512))</f>
        <v>0</v>
      </c>
      <c r="L717">
        <f>IF(OR($E717="",$E716=""),"",MAX($E717-$E716,0))</f>
        <v>0</v>
      </c>
      <c r="M717">
        <f>IF(OR($E717="",$E716=""),"",MAX($E716-$E717,0))</f>
        <v>0</v>
      </c>
      <c r="N717">
        <f>IF(COUNT($E$2:$E717)&lt;15,"",IF(AVERAGE($M$704:$M$717)=0,100,100-100/(1+AVERAGE($L$704:$L$717)/AVERAGE($M$704:$M$717))))</f>
        <v>0</v>
      </c>
      <c r="O717">
        <f>IF($E717="","",IF($E716="",$E717,$E717*0.1538461538+O716*0.8461538462))</f>
        <v>0</v>
      </c>
      <c r="P717">
        <f>IF($E717="","",IF($E716="",$E717,$E717*0.0740740741+P716*0.9259259259))</f>
        <v>0</v>
      </c>
      <c r="Q717">
        <f>IF(OR(O717="",P717=""),"",O717-P717)</f>
        <v>0</v>
      </c>
      <c r="R717">
        <f>IF(Q717="","",IF(R716="",Q717,Q717*0.2000000000+R716*0.8000000000))</f>
        <v>0</v>
      </c>
      <c r="S717">
        <f>IF(OR(Q717="",R717=""),"",Q717-R717)</f>
        <v>0</v>
      </c>
      <c r="T717">
        <f>IF(COUNT($E$2:$E717)&lt;14,"",MAX($C$704:$C$717))</f>
        <v>0</v>
      </c>
      <c r="U717">
        <f>IF(COUNT($E$2:$E717)&lt;14,"",MIN($D$704:$D$717))</f>
        <v>0</v>
      </c>
      <c r="V717">
        <f>IF(OR(T717="",U717="",T717=U717),"",100*($E717-U717)/(T717-U717))</f>
        <v>0</v>
      </c>
      <c r="W717">
        <f>IF(COUNT($V$715:$V$717)&lt;3,"",AVERAGE($V$715:$V$717))</f>
        <v>0</v>
      </c>
      <c r="X717">
        <f>IF(COUNT($N$704:$N$717)&lt;14,"",MIN($N$704:$N$717))</f>
        <v>0</v>
      </c>
      <c r="Y717">
        <f>IF(COUNT($N$704:$N$717)&lt;14,"",MAX($N$704:$N$717))</f>
        <v>0</v>
      </c>
      <c r="Z717">
        <f>IF(OR(N717="",X717="",Y717="",Y717=X717),"",100*(N717-X717)/(Y717-X717))</f>
        <v>0</v>
      </c>
      <c r="AA717">
        <f>IF(COUNT($Z$715:$Z$717)&lt;3,"",AVERAGE($Z$715:$Z$717))</f>
        <v>0</v>
      </c>
      <c r="AB717">
        <f>IF(COUNT($AA$715:$AA$717)&lt;3,"",AVERAGE($AA$715:$AA$717))</f>
        <v>0</v>
      </c>
      <c r="AC717">
        <f>IF($E717="","",MAX($C717-$D717,ABS($C717-$E716),ABS($D717-$E716)))</f>
        <v>0</v>
      </c>
      <c r="AD717">
        <f>IF(COUNT($E$2:$E717)&lt;15,"",AVERAGE($AC$704:$AC$717))</f>
        <v>0</v>
      </c>
      <c r="AE717">
        <f>IF(OR($E717="",$E716=""),"",IF(AND(($C717-$C716)&gt;($D716-$D717),($C717-$C716)&gt;0),$C717-$C716,0))</f>
        <v>0</v>
      </c>
      <c r="AF717">
        <f>IF(OR($E717="",$E716=""),"",IF(AND(($D716-$D717)&gt;($C717-$C716),($D716-$D717)&gt;0),$D716-$D717,0))</f>
        <v>0</v>
      </c>
      <c r="AG717">
        <f>IF(COUNT($E$2:$E717)&lt;15,"",IF(SUM($AC$704:$AC$717)=0,0,100*SUM($AE$704:$AE$717)/SUM($AC$704:$AC$717)))</f>
        <v>0</v>
      </c>
      <c r="AH717">
        <f>IF(COUNT($E$2:$E717)&lt;15,"",IF(SUM($AC$704:$AC$717)=0,0,100*SUM($AF$704:$AF$717)/SUM($AC$704:$AC$717)))</f>
        <v>0</v>
      </c>
      <c r="AI717">
        <f>IF(OR(AG717="",AH717=""),"",IF((AG717+AH717)=0,0,100*ABS(AG717-AH717)/(AG717+AH717)))</f>
        <v>0</v>
      </c>
      <c r="AJ717">
        <f>IF(COUNT($AI$704:$AI$717)&lt;14,"",AVERAGE($AI$704:$AI$717))</f>
        <v>0</v>
      </c>
      <c r="AK717">
        <f>IF(COUNT($E$2:$E717)&lt;20,"",AVERAGE($E$698:$E$717))</f>
        <v>0</v>
      </c>
      <c r="AL717">
        <f>IF(COUNT($E$2:$E717)&lt;20,"",STDEVP($E$698:$E$717))</f>
        <v>0</v>
      </c>
      <c r="AM717">
        <f>IF(AK717="","",AK717+2*AL717)</f>
        <v>0</v>
      </c>
      <c r="AN717">
        <f>IF(AK717="","",AK717-2*AL717)</f>
        <v>0</v>
      </c>
      <c r="AO717">
        <f>IF(OR(AM717="",AN717="",AM717=AN717),"",($E717-AN717)/(AM717-AN717))</f>
        <v>0</v>
      </c>
      <c r="AP717">
        <f>IF(OR(AM717="",AK717="",AK717=0),"",(AM717-AN717)/AK717)</f>
        <v>0</v>
      </c>
      <c r="AQ717">
        <f>IF(COUNT($E$2:$E717)&lt;20,"",MAX($C$698:$C$717))</f>
        <v>0</v>
      </c>
      <c r="AR717">
        <f>IF(COUNT($E$2:$E717)&lt;20,"",MIN($D$698:$D$717))</f>
        <v>0</v>
      </c>
      <c r="AS717">
        <f>IF(OR(AQ717="",AR717=""),"",(AQ717+AR717)/2)</f>
        <v>0</v>
      </c>
      <c r="AT717">
        <f>IF(COUNT($G$698:$G$717)&lt;20,"",STDEV($G$698:$G$717)*SQRT(252))</f>
        <v>0</v>
      </c>
      <c r="AU717">
        <f>IF(COUNT($E$2:$E717)&lt;9,"",(MAX($C$709:$C$717)+MIN($D$709:$D$717))/2)</f>
        <v>0</v>
      </c>
      <c r="AV717">
        <f>IF(COUNT($E$2:$E717)&lt;26,"",(MAX($C$692:$C$717)+MIN($D$692:$D$717))/2)</f>
        <v>0</v>
      </c>
      <c r="AW717">
        <f>IF(OR(AU717="",AV717=""),"",(AU717+AV717)/2)</f>
        <v>0</v>
      </c>
      <c r="AX717">
        <f>IF(COUNT($E$2:$E717)&lt;52,"",(MAX($C$666:$C$717)+MIN($D$666:$D$717))/2)</f>
        <v>0</v>
      </c>
      <c r="AY717">
        <f>IF(COUNT($E$2:$E717)&lt;20,"",MAX($C$618:$C$717))</f>
        <v>0</v>
      </c>
      <c r="AZ717">
        <f>IF(COUNT($E$2:$E717)&lt;20,"",MIN($D$618:$D$717))</f>
        <v>0</v>
      </c>
      <c r="BA717">
        <f>IF(COUNT($E$2:$E717)&lt;20,"",SLOPE($E$618:$E$717,$F$618:$F$717))</f>
        <v>0</v>
      </c>
      <c r="BB717">
        <f>IF(COUNT($E$2:$E717)&lt;20,"",INTERCEPT($E$618:$E$717,$F$618:$F$717))</f>
        <v>0</v>
      </c>
      <c r="BC717">
        <f>IF(OR(BA717="",BB717=""),"",BB717+BA717*F717)</f>
        <v>0</v>
      </c>
      <c r="BD717">
        <f>IF(COUNT($E$2:$E717)&lt;20,"",STEYX($E$618:$E$717,$F$618:$F$717))</f>
        <v>0</v>
      </c>
      <c r="BE717">
        <f>IF($E717="","",IF(AND(COUNT($E$718:$E$721)&gt;=4,$C717=MAX($C$713:$C$721)),$C717,""))</f>
        <v>0</v>
      </c>
      <c r="BF717">
        <f>IF($E717="","",IF(AND(COUNT($E$718:$E$721)&gt;=4,$D717=MIN($D$713:$D$721)),$D717,""))</f>
        <v>0</v>
      </c>
      <c r="BG717">
        <f>IF($A717="","",$A717-WEEKDAY($A717,2)+1)</f>
        <v>0</v>
      </c>
      <c r="BH717">
        <f>IF($A717="","",IF($A716="",1,IF(BG717&lt;&gt;BG716,1,0)))</f>
        <v>0</v>
      </c>
      <c r="BI717">
        <f>IF($A717="","",IF($A718="",1,IF(BG718&lt;&gt;BG717,1,0)))</f>
        <v>0</v>
      </c>
      <c r="BJ717">
        <f>IF($A717="","",IF(BH717=1,$B717,BJ716))</f>
        <v>0</v>
      </c>
      <c r="BK717">
        <f>IF($A717="","",IF(BH717=1,$C717,MAX($C717,BK716)))</f>
        <v>0</v>
      </c>
      <c r="BL717">
        <f>IF($A717="","",IF(BH717=1,$D717,MIN($D717,BL716)))</f>
        <v>0</v>
      </c>
      <c r="BM717">
        <f>IF($A717="","",IF(BI717=1,F717,""))</f>
        <v>0</v>
      </c>
      <c r="BN717">
        <f>IF($A717="","",DATE(YEAR($A717),MONTH($A717),1))</f>
        <v>0</v>
      </c>
      <c r="BO717">
        <f>IF($A717="","",IF($A716="",1,IF(BN717&lt;&gt;BN716,1,0)))</f>
        <v>0</v>
      </c>
      <c r="BP717">
        <f>IF($A717="","",IF($A718="",1,IF(BN718&lt;&gt;BN717,1,0)))</f>
        <v>0</v>
      </c>
      <c r="BQ717">
        <f>IF($A717="","",IF(BO717=1,$B717,BQ716))</f>
        <v>0</v>
      </c>
      <c r="BR717">
        <f>IF($A717="","",IF(BO717=1,$C717,MAX($C717,BR716)))</f>
        <v>0</v>
      </c>
      <c r="BS717">
        <f>IF($A717="","",IF(BO717=1,$D717,MIN($D717,BS716)))</f>
        <v>0</v>
      </c>
      <c r="BT717">
        <f>IF($A717="","",IF(BP717=1,F717,""))</f>
        <v>0</v>
      </c>
    </row>
    <row r="718" spans="1:72">
      <c r="A718" s="27">
        <f>IF(Data!$A718="","",Data!$A718)</f>
        <v>0</v>
      </c>
      <c r="B718">
        <f>IF(Data!$B718="","",Data!$B718)</f>
        <v>0</v>
      </c>
      <c r="C718">
        <f>IF(Data!$C718="","",Data!$C718)</f>
        <v>0</v>
      </c>
      <c r="D718">
        <f>IF(Data!$D718="","",Data!$D718)</f>
        <v>0</v>
      </c>
      <c r="E718">
        <f>IF(Data!$E718="","",Data!$E718)</f>
        <v>0</v>
      </c>
      <c r="F718">
        <f>IF($E718="","",N(F717)+1)</f>
        <v>0</v>
      </c>
      <c r="G718">
        <f>IF(OR($E718="",$E717=""),"",LN($E718/$E717))</f>
        <v>0</v>
      </c>
      <c r="H718">
        <f>IF($E718="","",IF($E717="",$E718,$E718*0.0952380952+H717*0.9047619048))</f>
        <v>0</v>
      </c>
      <c r="I718">
        <f>IF($E718="","",IF($E717="",$E718,$E718*0.0392156863+I717*0.9607843137))</f>
        <v>0</v>
      </c>
      <c r="J718">
        <f>IF($E718="","",IF($E717="",$E718,$E718*0.0198019802+J717*0.9801980198))</f>
        <v>0</v>
      </c>
      <c r="K718">
        <f>IF($E718="","",IF($E717="",$E718,$E718*0.0099502488+K717*0.9900497512))</f>
        <v>0</v>
      </c>
      <c r="L718">
        <f>IF(OR($E718="",$E717=""),"",MAX($E718-$E717,0))</f>
        <v>0</v>
      </c>
      <c r="M718">
        <f>IF(OR($E718="",$E717=""),"",MAX($E717-$E718,0))</f>
        <v>0</v>
      </c>
      <c r="N718">
        <f>IF(COUNT($E$2:$E718)&lt;15,"",IF(AVERAGE($M$705:$M$718)=0,100,100-100/(1+AVERAGE($L$705:$L$718)/AVERAGE($M$705:$M$718))))</f>
        <v>0</v>
      </c>
      <c r="O718">
        <f>IF($E718="","",IF($E717="",$E718,$E718*0.1538461538+O717*0.8461538462))</f>
        <v>0</v>
      </c>
      <c r="P718">
        <f>IF($E718="","",IF($E717="",$E718,$E718*0.0740740741+P717*0.9259259259))</f>
        <v>0</v>
      </c>
      <c r="Q718">
        <f>IF(OR(O718="",P718=""),"",O718-P718)</f>
        <v>0</v>
      </c>
      <c r="R718">
        <f>IF(Q718="","",IF(R717="",Q718,Q718*0.2000000000+R717*0.8000000000))</f>
        <v>0</v>
      </c>
      <c r="S718">
        <f>IF(OR(Q718="",R718=""),"",Q718-R718)</f>
        <v>0</v>
      </c>
      <c r="T718">
        <f>IF(COUNT($E$2:$E718)&lt;14,"",MAX($C$705:$C$718))</f>
        <v>0</v>
      </c>
      <c r="U718">
        <f>IF(COUNT($E$2:$E718)&lt;14,"",MIN($D$705:$D$718))</f>
        <v>0</v>
      </c>
      <c r="V718">
        <f>IF(OR(T718="",U718="",T718=U718),"",100*($E718-U718)/(T718-U718))</f>
        <v>0</v>
      </c>
      <c r="W718">
        <f>IF(COUNT($V$716:$V$718)&lt;3,"",AVERAGE($V$716:$V$718))</f>
        <v>0</v>
      </c>
      <c r="X718">
        <f>IF(COUNT($N$705:$N$718)&lt;14,"",MIN($N$705:$N$718))</f>
        <v>0</v>
      </c>
      <c r="Y718">
        <f>IF(COUNT($N$705:$N$718)&lt;14,"",MAX($N$705:$N$718))</f>
        <v>0</v>
      </c>
      <c r="Z718">
        <f>IF(OR(N718="",X718="",Y718="",Y718=X718),"",100*(N718-X718)/(Y718-X718))</f>
        <v>0</v>
      </c>
      <c r="AA718">
        <f>IF(COUNT($Z$716:$Z$718)&lt;3,"",AVERAGE($Z$716:$Z$718))</f>
        <v>0</v>
      </c>
      <c r="AB718">
        <f>IF(COUNT($AA$716:$AA$718)&lt;3,"",AVERAGE($AA$716:$AA$718))</f>
        <v>0</v>
      </c>
      <c r="AC718">
        <f>IF($E718="","",MAX($C718-$D718,ABS($C718-$E717),ABS($D718-$E717)))</f>
        <v>0</v>
      </c>
      <c r="AD718">
        <f>IF(COUNT($E$2:$E718)&lt;15,"",AVERAGE($AC$705:$AC$718))</f>
        <v>0</v>
      </c>
      <c r="AE718">
        <f>IF(OR($E718="",$E717=""),"",IF(AND(($C718-$C717)&gt;($D717-$D718),($C718-$C717)&gt;0),$C718-$C717,0))</f>
        <v>0</v>
      </c>
      <c r="AF718">
        <f>IF(OR($E718="",$E717=""),"",IF(AND(($D717-$D718)&gt;($C718-$C717),($D717-$D718)&gt;0),$D717-$D718,0))</f>
        <v>0</v>
      </c>
      <c r="AG718">
        <f>IF(COUNT($E$2:$E718)&lt;15,"",IF(SUM($AC$705:$AC$718)=0,0,100*SUM($AE$705:$AE$718)/SUM($AC$705:$AC$718)))</f>
        <v>0</v>
      </c>
      <c r="AH718">
        <f>IF(COUNT($E$2:$E718)&lt;15,"",IF(SUM($AC$705:$AC$718)=0,0,100*SUM($AF$705:$AF$718)/SUM($AC$705:$AC$718)))</f>
        <v>0</v>
      </c>
      <c r="AI718">
        <f>IF(OR(AG718="",AH718=""),"",IF((AG718+AH718)=0,0,100*ABS(AG718-AH718)/(AG718+AH718)))</f>
        <v>0</v>
      </c>
      <c r="AJ718">
        <f>IF(COUNT($AI$705:$AI$718)&lt;14,"",AVERAGE($AI$705:$AI$718))</f>
        <v>0</v>
      </c>
      <c r="AK718">
        <f>IF(COUNT($E$2:$E718)&lt;20,"",AVERAGE($E$699:$E$718))</f>
        <v>0</v>
      </c>
      <c r="AL718">
        <f>IF(COUNT($E$2:$E718)&lt;20,"",STDEVP($E$699:$E$718))</f>
        <v>0</v>
      </c>
      <c r="AM718">
        <f>IF(AK718="","",AK718+2*AL718)</f>
        <v>0</v>
      </c>
      <c r="AN718">
        <f>IF(AK718="","",AK718-2*AL718)</f>
        <v>0</v>
      </c>
      <c r="AO718">
        <f>IF(OR(AM718="",AN718="",AM718=AN718),"",($E718-AN718)/(AM718-AN718))</f>
        <v>0</v>
      </c>
      <c r="AP718">
        <f>IF(OR(AM718="",AK718="",AK718=0),"",(AM718-AN718)/AK718)</f>
        <v>0</v>
      </c>
      <c r="AQ718">
        <f>IF(COUNT($E$2:$E718)&lt;20,"",MAX($C$699:$C$718))</f>
        <v>0</v>
      </c>
      <c r="AR718">
        <f>IF(COUNT($E$2:$E718)&lt;20,"",MIN($D$699:$D$718))</f>
        <v>0</v>
      </c>
      <c r="AS718">
        <f>IF(OR(AQ718="",AR718=""),"",(AQ718+AR718)/2)</f>
        <v>0</v>
      </c>
      <c r="AT718">
        <f>IF(COUNT($G$699:$G$718)&lt;20,"",STDEV($G$699:$G$718)*SQRT(252))</f>
        <v>0</v>
      </c>
      <c r="AU718">
        <f>IF(COUNT($E$2:$E718)&lt;9,"",(MAX($C$710:$C$718)+MIN($D$710:$D$718))/2)</f>
        <v>0</v>
      </c>
      <c r="AV718">
        <f>IF(COUNT($E$2:$E718)&lt;26,"",(MAX($C$693:$C$718)+MIN($D$693:$D$718))/2)</f>
        <v>0</v>
      </c>
      <c r="AW718">
        <f>IF(OR(AU718="",AV718=""),"",(AU718+AV718)/2)</f>
        <v>0</v>
      </c>
      <c r="AX718">
        <f>IF(COUNT($E$2:$E718)&lt;52,"",(MAX($C$667:$C$718)+MIN($D$667:$D$718))/2)</f>
        <v>0</v>
      </c>
      <c r="AY718">
        <f>IF(COUNT($E$2:$E718)&lt;20,"",MAX($C$619:$C$718))</f>
        <v>0</v>
      </c>
      <c r="AZ718">
        <f>IF(COUNT($E$2:$E718)&lt;20,"",MIN($D$619:$D$718))</f>
        <v>0</v>
      </c>
      <c r="BA718">
        <f>IF(COUNT($E$2:$E718)&lt;20,"",SLOPE($E$619:$E$718,$F$619:$F$718))</f>
        <v>0</v>
      </c>
      <c r="BB718">
        <f>IF(COUNT($E$2:$E718)&lt;20,"",INTERCEPT($E$619:$E$718,$F$619:$F$718))</f>
        <v>0</v>
      </c>
      <c r="BC718">
        <f>IF(OR(BA718="",BB718=""),"",BB718+BA718*F718)</f>
        <v>0</v>
      </c>
      <c r="BD718">
        <f>IF(COUNT($E$2:$E718)&lt;20,"",STEYX($E$619:$E$718,$F$619:$F$718))</f>
        <v>0</v>
      </c>
      <c r="BE718">
        <f>IF($E718="","",IF(AND(COUNT($E$719:$E$722)&gt;=4,$C718=MAX($C$714:$C$722)),$C718,""))</f>
        <v>0</v>
      </c>
      <c r="BF718">
        <f>IF($E718="","",IF(AND(COUNT($E$719:$E$722)&gt;=4,$D718=MIN($D$714:$D$722)),$D718,""))</f>
        <v>0</v>
      </c>
      <c r="BG718">
        <f>IF($A718="","",$A718-WEEKDAY($A718,2)+1)</f>
        <v>0</v>
      </c>
      <c r="BH718">
        <f>IF($A718="","",IF($A717="",1,IF(BG718&lt;&gt;BG717,1,0)))</f>
        <v>0</v>
      </c>
      <c r="BI718">
        <f>IF($A718="","",IF($A719="",1,IF(BG719&lt;&gt;BG718,1,0)))</f>
        <v>0</v>
      </c>
      <c r="BJ718">
        <f>IF($A718="","",IF(BH718=1,$B718,BJ717))</f>
        <v>0</v>
      </c>
      <c r="BK718">
        <f>IF($A718="","",IF(BH718=1,$C718,MAX($C718,BK717)))</f>
        <v>0</v>
      </c>
      <c r="BL718">
        <f>IF($A718="","",IF(BH718=1,$D718,MIN($D718,BL717)))</f>
        <v>0</v>
      </c>
      <c r="BM718">
        <f>IF($A718="","",IF(BI718=1,F718,""))</f>
        <v>0</v>
      </c>
      <c r="BN718">
        <f>IF($A718="","",DATE(YEAR($A718),MONTH($A718),1))</f>
        <v>0</v>
      </c>
      <c r="BO718">
        <f>IF($A718="","",IF($A717="",1,IF(BN718&lt;&gt;BN717,1,0)))</f>
        <v>0</v>
      </c>
      <c r="BP718">
        <f>IF($A718="","",IF($A719="",1,IF(BN719&lt;&gt;BN718,1,0)))</f>
        <v>0</v>
      </c>
      <c r="BQ718">
        <f>IF($A718="","",IF(BO718=1,$B718,BQ717))</f>
        <v>0</v>
      </c>
      <c r="BR718">
        <f>IF($A718="","",IF(BO718=1,$C718,MAX($C718,BR717)))</f>
        <v>0</v>
      </c>
      <c r="BS718">
        <f>IF($A718="","",IF(BO718=1,$D718,MIN($D718,BS717)))</f>
        <v>0</v>
      </c>
      <c r="BT718">
        <f>IF($A718="","",IF(BP718=1,F718,""))</f>
        <v>0</v>
      </c>
    </row>
    <row r="719" spans="1:72">
      <c r="A719" s="27">
        <f>IF(Data!$A719="","",Data!$A719)</f>
        <v>0</v>
      </c>
      <c r="B719">
        <f>IF(Data!$B719="","",Data!$B719)</f>
        <v>0</v>
      </c>
      <c r="C719">
        <f>IF(Data!$C719="","",Data!$C719)</f>
        <v>0</v>
      </c>
      <c r="D719">
        <f>IF(Data!$D719="","",Data!$D719)</f>
        <v>0</v>
      </c>
      <c r="E719">
        <f>IF(Data!$E719="","",Data!$E719)</f>
        <v>0</v>
      </c>
      <c r="F719">
        <f>IF($E719="","",N(F718)+1)</f>
        <v>0</v>
      </c>
      <c r="G719">
        <f>IF(OR($E719="",$E718=""),"",LN($E719/$E718))</f>
        <v>0</v>
      </c>
      <c r="H719">
        <f>IF($E719="","",IF($E718="",$E719,$E719*0.0952380952+H718*0.9047619048))</f>
        <v>0</v>
      </c>
      <c r="I719">
        <f>IF($E719="","",IF($E718="",$E719,$E719*0.0392156863+I718*0.9607843137))</f>
        <v>0</v>
      </c>
      <c r="J719">
        <f>IF($E719="","",IF($E718="",$E719,$E719*0.0198019802+J718*0.9801980198))</f>
        <v>0</v>
      </c>
      <c r="K719">
        <f>IF($E719="","",IF($E718="",$E719,$E719*0.0099502488+K718*0.9900497512))</f>
        <v>0</v>
      </c>
      <c r="L719">
        <f>IF(OR($E719="",$E718=""),"",MAX($E719-$E718,0))</f>
        <v>0</v>
      </c>
      <c r="M719">
        <f>IF(OR($E719="",$E718=""),"",MAX($E718-$E719,0))</f>
        <v>0</v>
      </c>
      <c r="N719">
        <f>IF(COUNT($E$2:$E719)&lt;15,"",IF(AVERAGE($M$706:$M$719)=0,100,100-100/(1+AVERAGE($L$706:$L$719)/AVERAGE($M$706:$M$719))))</f>
        <v>0</v>
      </c>
      <c r="O719">
        <f>IF($E719="","",IF($E718="",$E719,$E719*0.1538461538+O718*0.8461538462))</f>
        <v>0</v>
      </c>
      <c r="P719">
        <f>IF($E719="","",IF($E718="",$E719,$E719*0.0740740741+P718*0.9259259259))</f>
        <v>0</v>
      </c>
      <c r="Q719">
        <f>IF(OR(O719="",P719=""),"",O719-P719)</f>
        <v>0</v>
      </c>
      <c r="R719">
        <f>IF(Q719="","",IF(R718="",Q719,Q719*0.2000000000+R718*0.8000000000))</f>
        <v>0</v>
      </c>
      <c r="S719">
        <f>IF(OR(Q719="",R719=""),"",Q719-R719)</f>
        <v>0</v>
      </c>
      <c r="T719">
        <f>IF(COUNT($E$2:$E719)&lt;14,"",MAX($C$706:$C$719))</f>
        <v>0</v>
      </c>
      <c r="U719">
        <f>IF(COUNT($E$2:$E719)&lt;14,"",MIN($D$706:$D$719))</f>
        <v>0</v>
      </c>
      <c r="V719">
        <f>IF(OR(T719="",U719="",T719=U719),"",100*($E719-U719)/(T719-U719))</f>
        <v>0</v>
      </c>
      <c r="W719">
        <f>IF(COUNT($V$717:$V$719)&lt;3,"",AVERAGE($V$717:$V$719))</f>
        <v>0</v>
      </c>
      <c r="X719">
        <f>IF(COUNT($N$706:$N$719)&lt;14,"",MIN($N$706:$N$719))</f>
        <v>0</v>
      </c>
      <c r="Y719">
        <f>IF(COUNT($N$706:$N$719)&lt;14,"",MAX($N$706:$N$719))</f>
        <v>0</v>
      </c>
      <c r="Z719">
        <f>IF(OR(N719="",X719="",Y719="",Y719=X719),"",100*(N719-X719)/(Y719-X719))</f>
        <v>0</v>
      </c>
      <c r="AA719">
        <f>IF(COUNT($Z$717:$Z$719)&lt;3,"",AVERAGE($Z$717:$Z$719))</f>
        <v>0</v>
      </c>
      <c r="AB719">
        <f>IF(COUNT($AA$717:$AA$719)&lt;3,"",AVERAGE($AA$717:$AA$719))</f>
        <v>0</v>
      </c>
      <c r="AC719">
        <f>IF($E719="","",MAX($C719-$D719,ABS($C719-$E718),ABS($D719-$E718)))</f>
        <v>0</v>
      </c>
      <c r="AD719">
        <f>IF(COUNT($E$2:$E719)&lt;15,"",AVERAGE($AC$706:$AC$719))</f>
        <v>0</v>
      </c>
      <c r="AE719">
        <f>IF(OR($E719="",$E718=""),"",IF(AND(($C719-$C718)&gt;($D718-$D719),($C719-$C718)&gt;0),$C719-$C718,0))</f>
        <v>0</v>
      </c>
      <c r="AF719">
        <f>IF(OR($E719="",$E718=""),"",IF(AND(($D718-$D719)&gt;($C719-$C718),($D718-$D719)&gt;0),$D718-$D719,0))</f>
        <v>0</v>
      </c>
      <c r="AG719">
        <f>IF(COUNT($E$2:$E719)&lt;15,"",IF(SUM($AC$706:$AC$719)=0,0,100*SUM($AE$706:$AE$719)/SUM($AC$706:$AC$719)))</f>
        <v>0</v>
      </c>
      <c r="AH719">
        <f>IF(COUNT($E$2:$E719)&lt;15,"",IF(SUM($AC$706:$AC$719)=0,0,100*SUM($AF$706:$AF$719)/SUM($AC$706:$AC$719)))</f>
        <v>0</v>
      </c>
      <c r="AI719">
        <f>IF(OR(AG719="",AH719=""),"",IF((AG719+AH719)=0,0,100*ABS(AG719-AH719)/(AG719+AH719)))</f>
        <v>0</v>
      </c>
      <c r="AJ719">
        <f>IF(COUNT($AI$706:$AI$719)&lt;14,"",AVERAGE($AI$706:$AI$719))</f>
        <v>0</v>
      </c>
      <c r="AK719">
        <f>IF(COUNT($E$2:$E719)&lt;20,"",AVERAGE($E$700:$E$719))</f>
        <v>0</v>
      </c>
      <c r="AL719">
        <f>IF(COUNT($E$2:$E719)&lt;20,"",STDEVP($E$700:$E$719))</f>
        <v>0</v>
      </c>
      <c r="AM719">
        <f>IF(AK719="","",AK719+2*AL719)</f>
        <v>0</v>
      </c>
      <c r="AN719">
        <f>IF(AK719="","",AK719-2*AL719)</f>
        <v>0</v>
      </c>
      <c r="AO719">
        <f>IF(OR(AM719="",AN719="",AM719=AN719),"",($E719-AN719)/(AM719-AN719))</f>
        <v>0</v>
      </c>
      <c r="AP719">
        <f>IF(OR(AM719="",AK719="",AK719=0),"",(AM719-AN719)/AK719)</f>
        <v>0</v>
      </c>
      <c r="AQ719">
        <f>IF(COUNT($E$2:$E719)&lt;20,"",MAX($C$700:$C$719))</f>
        <v>0</v>
      </c>
      <c r="AR719">
        <f>IF(COUNT($E$2:$E719)&lt;20,"",MIN($D$700:$D$719))</f>
        <v>0</v>
      </c>
      <c r="AS719">
        <f>IF(OR(AQ719="",AR719=""),"",(AQ719+AR719)/2)</f>
        <v>0</v>
      </c>
      <c r="AT719">
        <f>IF(COUNT($G$700:$G$719)&lt;20,"",STDEV($G$700:$G$719)*SQRT(252))</f>
        <v>0</v>
      </c>
      <c r="AU719">
        <f>IF(COUNT($E$2:$E719)&lt;9,"",(MAX($C$711:$C$719)+MIN($D$711:$D$719))/2)</f>
        <v>0</v>
      </c>
      <c r="AV719">
        <f>IF(COUNT($E$2:$E719)&lt;26,"",(MAX($C$694:$C$719)+MIN($D$694:$D$719))/2)</f>
        <v>0</v>
      </c>
      <c r="AW719">
        <f>IF(OR(AU719="",AV719=""),"",(AU719+AV719)/2)</f>
        <v>0</v>
      </c>
      <c r="AX719">
        <f>IF(COUNT($E$2:$E719)&lt;52,"",(MAX($C$668:$C$719)+MIN($D$668:$D$719))/2)</f>
        <v>0</v>
      </c>
      <c r="AY719">
        <f>IF(COUNT($E$2:$E719)&lt;20,"",MAX($C$620:$C$719))</f>
        <v>0</v>
      </c>
      <c r="AZ719">
        <f>IF(COUNT($E$2:$E719)&lt;20,"",MIN($D$620:$D$719))</f>
        <v>0</v>
      </c>
      <c r="BA719">
        <f>IF(COUNT($E$2:$E719)&lt;20,"",SLOPE($E$620:$E$719,$F$620:$F$719))</f>
        <v>0</v>
      </c>
      <c r="BB719">
        <f>IF(COUNT($E$2:$E719)&lt;20,"",INTERCEPT($E$620:$E$719,$F$620:$F$719))</f>
        <v>0</v>
      </c>
      <c r="BC719">
        <f>IF(OR(BA719="",BB719=""),"",BB719+BA719*F719)</f>
        <v>0</v>
      </c>
      <c r="BD719">
        <f>IF(COUNT($E$2:$E719)&lt;20,"",STEYX($E$620:$E$719,$F$620:$F$719))</f>
        <v>0</v>
      </c>
      <c r="BE719">
        <f>IF($E719="","",IF(AND(COUNT($E$720:$E$723)&gt;=4,$C719=MAX($C$715:$C$723)),$C719,""))</f>
        <v>0</v>
      </c>
      <c r="BF719">
        <f>IF($E719="","",IF(AND(COUNT($E$720:$E$723)&gt;=4,$D719=MIN($D$715:$D$723)),$D719,""))</f>
        <v>0</v>
      </c>
      <c r="BG719">
        <f>IF($A719="","",$A719-WEEKDAY($A719,2)+1)</f>
        <v>0</v>
      </c>
      <c r="BH719">
        <f>IF($A719="","",IF($A718="",1,IF(BG719&lt;&gt;BG718,1,0)))</f>
        <v>0</v>
      </c>
      <c r="BI719">
        <f>IF($A719="","",IF($A720="",1,IF(BG720&lt;&gt;BG719,1,0)))</f>
        <v>0</v>
      </c>
      <c r="BJ719">
        <f>IF($A719="","",IF(BH719=1,$B719,BJ718))</f>
        <v>0</v>
      </c>
      <c r="BK719">
        <f>IF($A719="","",IF(BH719=1,$C719,MAX($C719,BK718)))</f>
        <v>0</v>
      </c>
      <c r="BL719">
        <f>IF($A719="","",IF(BH719=1,$D719,MIN($D719,BL718)))</f>
        <v>0</v>
      </c>
      <c r="BM719">
        <f>IF($A719="","",IF(BI719=1,F719,""))</f>
        <v>0</v>
      </c>
      <c r="BN719">
        <f>IF($A719="","",DATE(YEAR($A719),MONTH($A719),1))</f>
        <v>0</v>
      </c>
      <c r="BO719">
        <f>IF($A719="","",IF($A718="",1,IF(BN719&lt;&gt;BN718,1,0)))</f>
        <v>0</v>
      </c>
      <c r="BP719">
        <f>IF($A719="","",IF($A720="",1,IF(BN720&lt;&gt;BN719,1,0)))</f>
        <v>0</v>
      </c>
      <c r="BQ719">
        <f>IF($A719="","",IF(BO719=1,$B719,BQ718))</f>
        <v>0</v>
      </c>
      <c r="BR719">
        <f>IF($A719="","",IF(BO719=1,$C719,MAX($C719,BR718)))</f>
        <v>0</v>
      </c>
      <c r="BS719">
        <f>IF($A719="","",IF(BO719=1,$D719,MIN($D719,BS718)))</f>
        <v>0</v>
      </c>
      <c r="BT719">
        <f>IF($A719="","",IF(BP719=1,F719,""))</f>
        <v>0</v>
      </c>
    </row>
    <row r="720" spans="1:72">
      <c r="A720" s="27">
        <f>IF(Data!$A720="","",Data!$A720)</f>
        <v>0</v>
      </c>
      <c r="B720">
        <f>IF(Data!$B720="","",Data!$B720)</f>
        <v>0</v>
      </c>
      <c r="C720">
        <f>IF(Data!$C720="","",Data!$C720)</f>
        <v>0</v>
      </c>
      <c r="D720">
        <f>IF(Data!$D720="","",Data!$D720)</f>
        <v>0</v>
      </c>
      <c r="E720">
        <f>IF(Data!$E720="","",Data!$E720)</f>
        <v>0</v>
      </c>
      <c r="F720">
        <f>IF($E720="","",N(F719)+1)</f>
        <v>0</v>
      </c>
      <c r="G720">
        <f>IF(OR($E720="",$E719=""),"",LN($E720/$E719))</f>
        <v>0</v>
      </c>
      <c r="H720">
        <f>IF($E720="","",IF($E719="",$E720,$E720*0.0952380952+H719*0.9047619048))</f>
        <v>0</v>
      </c>
      <c r="I720">
        <f>IF($E720="","",IF($E719="",$E720,$E720*0.0392156863+I719*0.9607843137))</f>
        <v>0</v>
      </c>
      <c r="J720">
        <f>IF($E720="","",IF($E719="",$E720,$E720*0.0198019802+J719*0.9801980198))</f>
        <v>0</v>
      </c>
      <c r="K720">
        <f>IF($E720="","",IF($E719="",$E720,$E720*0.0099502488+K719*0.9900497512))</f>
        <v>0</v>
      </c>
      <c r="L720">
        <f>IF(OR($E720="",$E719=""),"",MAX($E720-$E719,0))</f>
        <v>0</v>
      </c>
      <c r="M720">
        <f>IF(OR($E720="",$E719=""),"",MAX($E719-$E720,0))</f>
        <v>0</v>
      </c>
      <c r="N720">
        <f>IF(COUNT($E$2:$E720)&lt;15,"",IF(AVERAGE($M$707:$M$720)=0,100,100-100/(1+AVERAGE($L$707:$L$720)/AVERAGE($M$707:$M$720))))</f>
        <v>0</v>
      </c>
      <c r="O720">
        <f>IF($E720="","",IF($E719="",$E720,$E720*0.1538461538+O719*0.8461538462))</f>
        <v>0</v>
      </c>
      <c r="P720">
        <f>IF($E720="","",IF($E719="",$E720,$E720*0.0740740741+P719*0.9259259259))</f>
        <v>0</v>
      </c>
      <c r="Q720">
        <f>IF(OR(O720="",P720=""),"",O720-P720)</f>
        <v>0</v>
      </c>
      <c r="R720">
        <f>IF(Q720="","",IF(R719="",Q720,Q720*0.2000000000+R719*0.8000000000))</f>
        <v>0</v>
      </c>
      <c r="S720">
        <f>IF(OR(Q720="",R720=""),"",Q720-R720)</f>
        <v>0</v>
      </c>
      <c r="T720">
        <f>IF(COUNT($E$2:$E720)&lt;14,"",MAX($C$707:$C$720))</f>
        <v>0</v>
      </c>
      <c r="U720">
        <f>IF(COUNT($E$2:$E720)&lt;14,"",MIN($D$707:$D$720))</f>
        <v>0</v>
      </c>
      <c r="V720">
        <f>IF(OR(T720="",U720="",T720=U720),"",100*($E720-U720)/(T720-U720))</f>
        <v>0</v>
      </c>
      <c r="W720">
        <f>IF(COUNT($V$718:$V$720)&lt;3,"",AVERAGE($V$718:$V$720))</f>
        <v>0</v>
      </c>
      <c r="X720">
        <f>IF(COUNT($N$707:$N$720)&lt;14,"",MIN($N$707:$N$720))</f>
        <v>0</v>
      </c>
      <c r="Y720">
        <f>IF(COUNT($N$707:$N$720)&lt;14,"",MAX($N$707:$N$720))</f>
        <v>0</v>
      </c>
      <c r="Z720">
        <f>IF(OR(N720="",X720="",Y720="",Y720=X720),"",100*(N720-X720)/(Y720-X720))</f>
        <v>0</v>
      </c>
      <c r="AA720">
        <f>IF(COUNT($Z$718:$Z$720)&lt;3,"",AVERAGE($Z$718:$Z$720))</f>
        <v>0</v>
      </c>
      <c r="AB720">
        <f>IF(COUNT($AA$718:$AA$720)&lt;3,"",AVERAGE($AA$718:$AA$720))</f>
        <v>0</v>
      </c>
      <c r="AC720">
        <f>IF($E720="","",MAX($C720-$D720,ABS($C720-$E719),ABS($D720-$E719)))</f>
        <v>0</v>
      </c>
      <c r="AD720">
        <f>IF(COUNT($E$2:$E720)&lt;15,"",AVERAGE($AC$707:$AC$720))</f>
        <v>0</v>
      </c>
      <c r="AE720">
        <f>IF(OR($E720="",$E719=""),"",IF(AND(($C720-$C719)&gt;($D719-$D720),($C720-$C719)&gt;0),$C720-$C719,0))</f>
        <v>0</v>
      </c>
      <c r="AF720">
        <f>IF(OR($E720="",$E719=""),"",IF(AND(($D719-$D720)&gt;($C720-$C719),($D719-$D720)&gt;0),$D719-$D720,0))</f>
        <v>0</v>
      </c>
      <c r="AG720">
        <f>IF(COUNT($E$2:$E720)&lt;15,"",IF(SUM($AC$707:$AC$720)=0,0,100*SUM($AE$707:$AE$720)/SUM($AC$707:$AC$720)))</f>
        <v>0</v>
      </c>
      <c r="AH720">
        <f>IF(COUNT($E$2:$E720)&lt;15,"",IF(SUM($AC$707:$AC$720)=0,0,100*SUM($AF$707:$AF$720)/SUM($AC$707:$AC$720)))</f>
        <v>0</v>
      </c>
      <c r="AI720">
        <f>IF(OR(AG720="",AH720=""),"",IF((AG720+AH720)=0,0,100*ABS(AG720-AH720)/(AG720+AH720)))</f>
        <v>0</v>
      </c>
      <c r="AJ720">
        <f>IF(COUNT($AI$707:$AI$720)&lt;14,"",AVERAGE($AI$707:$AI$720))</f>
        <v>0</v>
      </c>
      <c r="AK720">
        <f>IF(COUNT($E$2:$E720)&lt;20,"",AVERAGE($E$701:$E$720))</f>
        <v>0</v>
      </c>
      <c r="AL720">
        <f>IF(COUNT($E$2:$E720)&lt;20,"",STDEVP($E$701:$E$720))</f>
        <v>0</v>
      </c>
      <c r="AM720">
        <f>IF(AK720="","",AK720+2*AL720)</f>
        <v>0</v>
      </c>
      <c r="AN720">
        <f>IF(AK720="","",AK720-2*AL720)</f>
        <v>0</v>
      </c>
      <c r="AO720">
        <f>IF(OR(AM720="",AN720="",AM720=AN720),"",($E720-AN720)/(AM720-AN720))</f>
        <v>0</v>
      </c>
      <c r="AP720">
        <f>IF(OR(AM720="",AK720="",AK720=0),"",(AM720-AN720)/AK720)</f>
        <v>0</v>
      </c>
      <c r="AQ720">
        <f>IF(COUNT($E$2:$E720)&lt;20,"",MAX($C$701:$C$720))</f>
        <v>0</v>
      </c>
      <c r="AR720">
        <f>IF(COUNT($E$2:$E720)&lt;20,"",MIN($D$701:$D$720))</f>
        <v>0</v>
      </c>
      <c r="AS720">
        <f>IF(OR(AQ720="",AR720=""),"",(AQ720+AR720)/2)</f>
        <v>0</v>
      </c>
      <c r="AT720">
        <f>IF(COUNT($G$701:$G$720)&lt;20,"",STDEV($G$701:$G$720)*SQRT(252))</f>
        <v>0</v>
      </c>
      <c r="AU720">
        <f>IF(COUNT($E$2:$E720)&lt;9,"",(MAX($C$712:$C$720)+MIN($D$712:$D$720))/2)</f>
        <v>0</v>
      </c>
      <c r="AV720">
        <f>IF(COUNT($E$2:$E720)&lt;26,"",(MAX($C$695:$C$720)+MIN($D$695:$D$720))/2)</f>
        <v>0</v>
      </c>
      <c r="AW720">
        <f>IF(OR(AU720="",AV720=""),"",(AU720+AV720)/2)</f>
        <v>0</v>
      </c>
      <c r="AX720">
        <f>IF(COUNT($E$2:$E720)&lt;52,"",(MAX($C$669:$C$720)+MIN($D$669:$D$720))/2)</f>
        <v>0</v>
      </c>
      <c r="AY720">
        <f>IF(COUNT($E$2:$E720)&lt;20,"",MAX($C$621:$C$720))</f>
        <v>0</v>
      </c>
      <c r="AZ720">
        <f>IF(COUNT($E$2:$E720)&lt;20,"",MIN($D$621:$D$720))</f>
        <v>0</v>
      </c>
      <c r="BA720">
        <f>IF(COUNT($E$2:$E720)&lt;20,"",SLOPE($E$621:$E$720,$F$621:$F$720))</f>
        <v>0</v>
      </c>
      <c r="BB720">
        <f>IF(COUNT($E$2:$E720)&lt;20,"",INTERCEPT($E$621:$E$720,$F$621:$F$720))</f>
        <v>0</v>
      </c>
      <c r="BC720">
        <f>IF(OR(BA720="",BB720=""),"",BB720+BA720*F720)</f>
        <v>0</v>
      </c>
      <c r="BD720">
        <f>IF(COUNT($E$2:$E720)&lt;20,"",STEYX($E$621:$E$720,$F$621:$F$720))</f>
        <v>0</v>
      </c>
      <c r="BE720">
        <f>IF($E720="","",IF(AND(COUNT($E$721:$E$724)&gt;=4,$C720=MAX($C$716:$C$724)),$C720,""))</f>
        <v>0</v>
      </c>
      <c r="BF720">
        <f>IF($E720="","",IF(AND(COUNT($E$721:$E$724)&gt;=4,$D720=MIN($D$716:$D$724)),$D720,""))</f>
        <v>0</v>
      </c>
      <c r="BG720">
        <f>IF($A720="","",$A720-WEEKDAY($A720,2)+1)</f>
        <v>0</v>
      </c>
      <c r="BH720">
        <f>IF($A720="","",IF($A719="",1,IF(BG720&lt;&gt;BG719,1,0)))</f>
        <v>0</v>
      </c>
      <c r="BI720">
        <f>IF($A720="","",IF($A721="",1,IF(BG721&lt;&gt;BG720,1,0)))</f>
        <v>0</v>
      </c>
      <c r="BJ720">
        <f>IF($A720="","",IF(BH720=1,$B720,BJ719))</f>
        <v>0</v>
      </c>
      <c r="BK720">
        <f>IF($A720="","",IF(BH720=1,$C720,MAX($C720,BK719)))</f>
        <v>0</v>
      </c>
      <c r="BL720">
        <f>IF($A720="","",IF(BH720=1,$D720,MIN($D720,BL719)))</f>
        <v>0</v>
      </c>
      <c r="BM720">
        <f>IF($A720="","",IF(BI720=1,F720,""))</f>
        <v>0</v>
      </c>
      <c r="BN720">
        <f>IF($A720="","",DATE(YEAR($A720),MONTH($A720),1))</f>
        <v>0</v>
      </c>
      <c r="BO720">
        <f>IF($A720="","",IF($A719="",1,IF(BN720&lt;&gt;BN719,1,0)))</f>
        <v>0</v>
      </c>
      <c r="BP720">
        <f>IF($A720="","",IF($A721="",1,IF(BN721&lt;&gt;BN720,1,0)))</f>
        <v>0</v>
      </c>
      <c r="BQ720">
        <f>IF($A720="","",IF(BO720=1,$B720,BQ719))</f>
        <v>0</v>
      </c>
      <c r="BR720">
        <f>IF($A720="","",IF(BO720=1,$C720,MAX($C720,BR719)))</f>
        <v>0</v>
      </c>
      <c r="BS720">
        <f>IF($A720="","",IF(BO720=1,$D720,MIN($D720,BS719)))</f>
        <v>0</v>
      </c>
      <c r="BT720">
        <f>IF($A720="","",IF(BP720=1,F720,""))</f>
        <v>0</v>
      </c>
    </row>
    <row r="721" spans="1:72">
      <c r="A721" s="27">
        <f>IF(Data!$A721="","",Data!$A721)</f>
        <v>0</v>
      </c>
      <c r="B721">
        <f>IF(Data!$B721="","",Data!$B721)</f>
        <v>0</v>
      </c>
      <c r="C721">
        <f>IF(Data!$C721="","",Data!$C721)</f>
        <v>0</v>
      </c>
      <c r="D721">
        <f>IF(Data!$D721="","",Data!$D721)</f>
        <v>0</v>
      </c>
      <c r="E721">
        <f>IF(Data!$E721="","",Data!$E721)</f>
        <v>0</v>
      </c>
      <c r="F721">
        <f>IF($E721="","",N(F720)+1)</f>
        <v>0</v>
      </c>
      <c r="G721">
        <f>IF(OR($E721="",$E720=""),"",LN($E721/$E720))</f>
        <v>0</v>
      </c>
      <c r="H721">
        <f>IF($E721="","",IF($E720="",$E721,$E721*0.0952380952+H720*0.9047619048))</f>
        <v>0</v>
      </c>
      <c r="I721">
        <f>IF($E721="","",IF($E720="",$E721,$E721*0.0392156863+I720*0.9607843137))</f>
        <v>0</v>
      </c>
      <c r="J721">
        <f>IF($E721="","",IF($E720="",$E721,$E721*0.0198019802+J720*0.9801980198))</f>
        <v>0</v>
      </c>
      <c r="K721">
        <f>IF($E721="","",IF($E720="",$E721,$E721*0.0099502488+K720*0.9900497512))</f>
        <v>0</v>
      </c>
      <c r="L721">
        <f>IF(OR($E721="",$E720=""),"",MAX($E721-$E720,0))</f>
        <v>0</v>
      </c>
      <c r="M721">
        <f>IF(OR($E721="",$E720=""),"",MAX($E720-$E721,0))</f>
        <v>0</v>
      </c>
      <c r="N721">
        <f>IF(COUNT($E$2:$E721)&lt;15,"",IF(AVERAGE($M$708:$M$721)=0,100,100-100/(1+AVERAGE($L$708:$L$721)/AVERAGE($M$708:$M$721))))</f>
        <v>0</v>
      </c>
      <c r="O721">
        <f>IF($E721="","",IF($E720="",$E721,$E721*0.1538461538+O720*0.8461538462))</f>
        <v>0</v>
      </c>
      <c r="P721">
        <f>IF($E721="","",IF($E720="",$E721,$E721*0.0740740741+P720*0.9259259259))</f>
        <v>0</v>
      </c>
      <c r="Q721">
        <f>IF(OR(O721="",P721=""),"",O721-P721)</f>
        <v>0</v>
      </c>
      <c r="R721">
        <f>IF(Q721="","",IF(R720="",Q721,Q721*0.2000000000+R720*0.8000000000))</f>
        <v>0</v>
      </c>
      <c r="S721">
        <f>IF(OR(Q721="",R721=""),"",Q721-R721)</f>
        <v>0</v>
      </c>
      <c r="T721">
        <f>IF(COUNT($E$2:$E721)&lt;14,"",MAX($C$708:$C$721))</f>
        <v>0</v>
      </c>
      <c r="U721">
        <f>IF(COUNT($E$2:$E721)&lt;14,"",MIN($D$708:$D$721))</f>
        <v>0</v>
      </c>
      <c r="V721">
        <f>IF(OR(T721="",U721="",T721=U721),"",100*($E721-U721)/(T721-U721))</f>
        <v>0</v>
      </c>
      <c r="W721">
        <f>IF(COUNT($V$719:$V$721)&lt;3,"",AVERAGE($V$719:$V$721))</f>
        <v>0</v>
      </c>
      <c r="X721">
        <f>IF(COUNT($N$708:$N$721)&lt;14,"",MIN($N$708:$N$721))</f>
        <v>0</v>
      </c>
      <c r="Y721">
        <f>IF(COUNT($N$708:$N$721)&lt;14,"",MAX($N$708:$N$721))</f>
        <v>0</v>
      </c>
      <c r="Z721">
        <f>IF(OR(N721="",X721="",Y721="",Y721=X721),"",100*(N721-X721)/(Y721-X721))</f>
        <v>0</v>
      </c>
      <c r="AA721">
        <f>IF(COUNT($Z$719:$Z$721)&lt;3,"",AVERAGE($Z$719:$Z$721))</f>
        <v>0</v>
      </c>
      <c r="AB721">
        <f>IF(COUNT($AA$719:$AA$721)&lt;3,"",AVERAGE($AA$719:$AA$721))</f>
        <v>0</v>
      </c>
      <c r="AC721">
        <f>IF($E721="","",MAX($C721-$D721,ABS($C721-$E720),ABS($D721-$E720)))</f>
        <v>0</v>
      </c>
      <c r="AD721">
        <f>IF(COUNT($E$2:$E721)&lt;15,"",AVERAGE($AC$708:$AC$721))</f>
        <v>0</v>
      </c>
      <c r="AE721">
        <f>IF(OR($E721="",$E720=""),"",IF(AND(($C721-$C720)&gt;($D720-$D721),($C721-$C720)&gt;0),$C721-$C720,0))</f>
        <v>0</v>
      </c>
      <c r="AF721">
        <f>IF(OR($E721="",$E720=""),"",IF(AND(($D720-$D721)&gt;($C721-$C720),($D720-$D721)&gt;0),$D720-$D721,0))</f>
        <v>0</v>
      </c>
      <c r="AG721">
        <f>IF(COUNT($E$2:$E721)&lt;15,"",IF(SUM($AC$708:$AC$721)=0,0,100*SUM($AE$708:$AE$721)/SUM($AC$708:$AC$721)))</f>
        <v>0</v>
      </c>
      <c r="AH721">
        <f>IF(COUNT($E$2:$E721)&lt;15,"",IF(SUM($AC$708:$AC$721)=0,0,100*SUM($AF$708:$AF$721)/SUM($AC$708:$AC$721)))</f>
        <v>0</v>
      </c>
      <c r="AI721">
        <f>IF(OR(AG721="",AH721=""),"",IF((AG721+AH721)=0,0,100*ABS(AG721-AH721)/(AG721+AH721)))</f>
        <v>0</v>
      </c>
      <c r="AJ721">
        <f>IF(COUNT($AI$708:$AI$721)&lt;14,"",AVERAGE($AI$708:$AI$721))</f>
        <v>0</v>
      </c>
      <c r="AK721">
        <f>IF(COUNT($E$2:$E721)&lt;20,"",AVERAGE($E$702:$E$721))</f>
        <v>0</v>
      </c>
      <c r="AL721">
        <f>IF(COUNT($E$2:$E721)&lt;20,"",STDEVP($E$702:$E$721))</f>
        <v>0</v>
      </c>
      <c r="AM721">
        <f>IF(AK721="","",AK721+2*AL721)</f>
        <v>0</v>
      </c>
      <c r="AN721">
        <f>IF(AK721="","",AK721-2*AL721)</f>
        <v>0</v>
      </c>
      <c r="AO721">
        <f>IF(OR(AM721="",AN721="",AM721=AN721),"",($E721-AN721)/(AM721-AN721))</f>
        <v>0</v>
      </c>
      <c r="AP721">
        <f>IF(OR(AM721="",AK721="",AK721=0),"",(AM721-AN721)/AK721)</f>
        <v>0</v>
      </c>
      <c r="AQ721">
        <f>IF(COUNT($E$2:$E721)&lt;20,"",MAX($C$702:$C$721))</f>
        <v>0</v>
      </c>
      <c r="AR721">
        <f>IF(COUNT($E$2:$E721)&lt;20,"",MIN($D$702:$D$721))</f>
        <v>0</v>
      </c>
      <c r="AS721">
        <f>IF(OR(AQ721="",AR721=""),"",(AQ721+AR721)/2)</f>
        <v>0</v>
      </c>
      <c r="AT721">
        <f>IF(COUNT($G$702:$G$721)&lt;20,"",STDEV($G$702:$G$721)*SQRT(252))</f>
        <v>0</v>
      </c>
      <c r="AU721">
        <f>IF(COUNT($E$2:$E721)&lt;9,"",(MAX($C$713:$C$721)+MIN($D$713:$D$721))/2)</f>
        <v>0</v>
      </c>
      <c r="AV721">
        <f>IF(COUNT($E$2:$E721)&lt;26,"",(MAX($C$696:$C$721)+MIN($D$696:$D$721))/2)</f>
        <v>0</v>
      </c>
      <c r="AW721">
        <f>IF(OR(AU721="",AV721=""),"",(AU721+AV721)/2)</f>
        <v>0</v>
      </c>
      <c r="AX721">
        <f>IF(COUNT($E$2:$E721)&lt;52,"",(MAX($C$670:$C$721)+MIN($D$670:$D$721))/2)</f>
        <v>0</v>
      </c>
      <c r="AY721">
        <f>IF(COUNT($E$2:$E721)&lt;20,"",MAX($C$622:$C$721))</f>
        <v>0</v>
      </c>
      <c r="AZ721">
        <f>IF(COUNT($E$2:$E721)&lt;20,"",MIN($D$622:$D$721))</f>
        <v>0</v>
      </c>
      <c r="BA721">
        <f>IF(COUNT($E$2:$E721)&lt;20,"",SLOPE($E$622:$E$721,$F$622:$F$721))</f>
        <v>0</v>
      </c>
      <c r="BB721">
        <f>IF(COUNT($E$2:$E721)&lt;20,"",INTERCEPT($E$622:$E$721,$F$622:$F$721))</f>
        <v>0</v>
      </c>
      <c r="BC721">
        <f>IF(OR(BA721="",BB721=""),"",BB721+BA721*F721)</f>
        <v>0</v>
      </c>
      <c r="BD721">
        <f>IF(COUNT($E$2:$E721)&lt;20,"",STEYX($E$622:$E$721,$F$622:$F$721))</f>
        <v>0</v>
      </c>
      <c r="BE721">
        <f>IF($E721="","",IF(AND(COUNT($E$722:$E$725)&gt;=4,$C721=MAX($C$717:$C$725)),$C721,""))</f>
        <v>0</v>
      </c>
      <c r="BF721">
        <f>IF($E721="","",IF(AND(COUNT($E$722:$E$725)&gt;=4,$D721=MIN($D$717:$D$725)),$D721,""))</f>
        <v>0</v>
      </c>
      <c r="BG721">
        <f>IF($A721="","",$A721-WEEKDAY($A721,2)+1)</f>
        <v>0</v>
      </c>
      <c r="BH721">
        <f>IF($A721="","",IF($A720="",1,IF(BG721&lt;&gt;BG720,1,0)))</f>
        <v>0</v>
      </c>
      <c r="BI721">
        <f>IF($A721="","",IF($A722="",1,IF(BG722&lt;&gt;BG721,1,0)))</f>
        <v>0</v>
      </c>
      <c r="BJ721">
        <f>IF($A721="","",IF(BH721=1,$B721,BJ720))</f>
        <v>0</v>
      </c>
      <c r="BK721">
        <f>IF($A721="","",IF(BH721=1,$C721,MAX($C721,BK720)))</f>
        <v>0</v>
      </c>
      <c r="BL721">
        <f>IF($A721="","",IF(BH721=1,$D721,MIN($D721,BL720)))</f>
        <v>0</v>
      </c>
      <c r="BM721">
        <f>IF($A721="","",IF(BI721=1,F721,""))</f>
        <v>0</v>
      </c>
      <c r="BN721">
        <f>IF($A721="","",DATE(YEAR($A721),MONTH($A721),1))</f>
        <v>0</v>
      </c>
      <c r="BO721">
        <f>IF($A721="","",IF($A720="",1,IF(BN721&lt;&gt;BN720,1,0)))</f>
        <v>0</v>
      </c>
      <c r="BP721">
        <f>IF($A721="","",IF($A722="",1,IF(BN722&lt;&gt;BN721,1,0)))</f>
        <v>0</v>
      </c>
      <c r="BQ721">
        <f>IF($A721="","",IF(BO721=1,$B721,BQ720))</f>
        <v>0</v>
      </c>
      <c r="BR721">
        <f>IF($A721="","",IF(BO721=1,$C721,MAX($C721,BR720)))</f>
        <v>0</v>
      </c>
      <c r="BS721">
        <f>IF($A721="","",IF(BO721=1,$D721,MIN($D721,BS720)))</f>
        <v>0</v>
      </c>
      <c r="BT721">
        <f>IF($A721="","",IF(BP721=1,F721,""))</f>
        <v>0</v>
      </c>
    </row>
    <row r="722" spans="1:72">
      <c r="A722" s="27">
        <f>IF(Data!$A722="","",Data!$A722)</f>
        <v>0</v>
      </c>
      <c r="B722">
        <f>IF(Data!$B722="","",Data!$B722)</f>
        <v>0</v>
      </c>
      <c r="C722">
        <f>IF(Data!$C722="","",Data!$C722)</f>
        <v>0</v>
      </c>
      <c r="D722">
        <f>IF(Data!$D722="","",Data!$D722)</f>
        <v>0</v>
      </c>
      <c r="E722">
        <f>IF(Data!$E722="","",Data!$E722)</f>
        <v>0</v>
      </c>
      <c r="F722">
        <f>IF($E722="","",N(F721)+1)</f>
        <v>0</v>
      </c>
      <c r="G722">
        <f>IF(OR($E722="",$E721=""),"",LN($E722/$E721))</f>
        <v>0</v>
      </c>
      <c r="H722">
        <f>IF($E722="","",IF($E721="",$E722,$E722*0.0952380952+H721*0.9047619048))</f>
        <v>0</v>
      </c>
      <c r="I722">
        <f>IF($E722="","",IF($E721="",$E722,$E722*0.0392156863+I721*0.9607843137))</f>
        <v>0</v>
      </c>
      <c r="J722">
        <f>IF($E722="","",IF($E721="",$E722,$E722*0.0198019802+J721*0.9801980198))</f>
        <v>0</v>
      </c>
      <c r="K722">
        <f>IF($E722="","",IF($E721="",$E722,$E722*0.0099502488+K721*0.9900497512))</f>
        <v>0</v>
      </c>
      <c r="L722">
        <f>IF(OR($E722="",$E721=""),"",MAX($E722-$E721,0))</f>
        <v>0</v>
      </c>
      <c r="M722">
        <f>IF(OR($E722="",$E721=""),"",MAX($E721-$E722,0))</f>
        <v>0</v>
      </c>
      <c r="N722">
        <f>IF(COUNT($E$2:$E722)&lt;15,"",IF(AVERAGE($M$709:$M$722)=0,100,100-100/(1+AVERAGE($L$709:$L$722)/AVERAGE($M$709:$M$722))))</f>
        <v>0</v>
      </c>
      <c r="O722">
        <f>IF($E722="","",IF($E721="",$E722,$E722*0.1538461538+O721*0.8461538462))</f>
        <v>0</v>
      </c>
      <c r="P722">
        <f>IF($E722="","",IF($E721="",$E722,$E722*0.0740740741+P721*0.9259259259))</f>
        <v>0</v>
      </c>
      <c r="Q722">
        <f>IF(OR(O722="",P722=""),"",O722-P722)</f>
        <v>0</v>
      </c>
      <c r="R722">
        <f>IF(Q722="","",IF(R721="",Q722,Q722*0.2000000000+R721*0.8000000000))</f>
        <v>0</v>
      </c>
      <c r="S722">
        <f>IF(OR(Q722="",R722=""),"",Q722-R722)</f>
        <v>0</v>
      </c>
      <c r="T722">
        <f>IF(COUNT($E$2:$E722)&lt;14,"",MAX($C$709:$C$722))</f>
        <v>0</v>
      </c>
      <c r="U722">
        <f>IF(COUNT($E$2:$E722)&lt;14,"",MIN($D$709:$D$722))</f>
        <v>0</v>
      </c>
      <c r="V722">
        <f>IF(OR(T722="",U722="",T722=U722),"",100*($E722-U722)/(T722-U722))</f>
        <v>0</v>
      </c>
      <c r="W722">
        <f>IF(COUNT($V$720:$V$722)&lt;3,"",AVERAGE($V$720:$V$722))</f>
        <v>0</v>
      </c>
      <c r="X722">
        <f>IF(COUNT($N$709:$N$722)&lt;14,"",MIN($N$709:$N$722))</f>
        <v>0</v>
      </c>
      <c r="Y722">
        <f>IF(COUNT($N$709:$N$722)&lt;14,"",MAX($N$709:$N$722))</f>
        <v>0</v>
      </c>
      <c r="Z722">
        <f>IF(OR(N722="",X722="",Y722="",Y722=X722),"",100*(N722-X722)/(Y722-X722))</f>
        <v>0</v>
      </c>
      <c r="AA722">
        <f>IF(COUNT($Z$720:$Z$722)&lt;3,"",AVERAGE($Z$720:$Z$722))</f>
        <v>0</v>
      </c>
      <c r="AB722">
        <f>IF(COUNT($AA$720:$AA$722)&lt;3,"",AVERAGE($AA$720:$AA$722))</f>
        <v>0</v>
      </c>
      <c r="AC722">
        <f>IF($E722="","",MAX($C722-$D722,ABS($C722-$E721),ABS($D722-$E721)))</f>
        <v>0</v>
      </c>
      <c r="AD722">
        <f>IF(COUNT($E$2:$E722)&lt;15,"",AVERAGE($AC$709:$AC$722))</f>
        <v>0</v>
      </c>
      <c r="AE722">
        <f>IF(OR($E722="",$E721=""),"",IF(AND(($C722-$C721)&gt;($D721-$D722),($C722-$C721)&gt;0),$C722-$C721,0))</f>
        <v>0</v>
      </c>
      <c r="AF722">
        <f>IF(OR($E722="",$E721=""),"",IF(AND(($D721-$D722)&gt;($C722-$C721),($D721-$D722)&gt;0),$D721-$D722,0))</f>
        <v>0</v>
      </c>
      <c r="AG722">
        <f>IF(COUNT($E$2:$E722)&lt;15,"",IF(SUM($AC$709:$AC$722)=0,0,100*SUM($AE$709:$AE$722)/SUM($AC$709:$AC$722)))</f>
        <v>0</v>
      </c>
      <c r="AH722">
        <f>IF(COUNT($E$2:$E722)&lt;15,"",IF(SUM($AC$709:$AC$722)=0,0,100*SUM($AF$709:$AF$722)/SUM($AC$709:$AC$722)))</f>
        <v>0</v>
      </c>
      <c r="AI722">
        <f>IF(OR(AG722="",AH722=""),"",IF((AG722+AH722)=0,0,100*ABS(AG722-AH722)/(AG722+AH722)))</f>
        <v>0</v>
      </c>
      <c r="AJ722">
        <f>IF(COUNT($AI$709:$AI$722)&lt;14,"",AVERAGE($AI$709:$AI$722))</f>
        <v>0</v>
      </c>
      <c r="AK722">
        <f>IF(COUNT($E$2:$E722)&lt;20,"",AVERAGE($E$703:$E$722))</f>
        <v>0</v>
      </c>
      <c r="AL722">
        <f>IF(COUNT($E$2:$E722)&lt;20,"",STDEVP($E$703:$E$722))</f>
        <v>0</v>
      </c>
      <c r="AM722">
        <f>IF(AK722="","",AK722+2*AL722)</f>
        <v>0</v>
      </c>
      <c r="AN722">
        <f>IF(AK722="","",AK722-2*AL722)</f>
        <v>0</v>
      </c>
      <c r="AO722">
        <f>IF(OR(AM722="",AN722="",AM722=AN722),"",($E722-AN722)/(AM722-AN722))</f>
        <v>0</v>
      </c>
      <c r="AP722">
        <f>IF(OR(AM722="",AK722="",AK722=0),"",(AM722-AN722)/AK722)</f>
        <v>0</v>
      </c>
      <c r="AQ722">
        <f>IF(COUNT($E$2:$E722)&lt;20,"",MAX($C$703:$C$722))</f>
        <v>0</v>
      </c>
      <c r="AR722">
        <f>IF(COUNT($E$2:$E722)&lt;20,"",MIN($D$703:$D$722))</f>
        <v>0</v>
      </c>
      <c r="AS722">
        <f>IF(OR(AQ722="",AR722=""),"",(AQ722+AR722)/2)</f>
        <v>0</v>
      </c>
      <c r="AT722">
        <f>IF(COUNT($G$703:$G$722)&lt;20,"",STDEV($G$703:$G$722)*SQRT(252))</f>
        <v>0</v>
      </c>
      <c r="AU722">
        <f>IF(COUNT($E$2:$E722)&lt;9,"",(MAX($C$714:$C$722)+MIN($D$714:$D$722))/2)</f>
        <v>0</v>
      </c>
      <c r="AV722">
        <f>IF(COUNT($E$2:$E722)&lt;26,"",(MAX($C$697:$C$722)+MIN($D$697:$D$722))/2)</f>
        <v>0</v>
      </c>
      <c r="AW722">
        <f>IF(OR(AU722="",AV722=""),"",(AU722+AV722)/2)</f>
        <v>0</v>
      </c>
      <c r="AX722">
        <f>IF(COUNT($E$2:$E722)&lt;52,"",(MAX($C$671:$C$722)+MIN($D$671:$D$722))/2)</f>
        <v>0</v>
      </c>
      <c r="AY722">
        <f>IF(COUNT($E$2:$E722)&lt;20,"",MAX($C$623:$C$722))</f>
        <v>0</v>
      </c>
      <c r="AZ722">
        <f>IF(COUNT($E$2:$E722)&lt;20,"",MIN($D$623:$D$722))</f>
        <v>0</v>
      </c>
      <c r="BA722">
        <f>IF(COUNT($E$2:$E722)&lt;20,"",SLOPE($E$623:$E$722,$F$623:$F$722))</f>
        <v>0</v>
      </c>
      <c r="BB722">
        <f>IF(COUNT($E$2:$E722)&lt;20,"",INTERCEPT($E$623:$E$722,$F$623:$F$722))</f>
        <v>0</v>
      </c>
      <c r="BC722">
        <f>IF(OR(BA722="",BB722=""),"",BB722+BA722*F722)</f>
        <v>0</v>
      </c>
      <c r="BD722">
        <f>IF(COUNT($E$2:$E722)&lt;20,"",STEYX($E$623:$E$722,$F$623:$F$722))</f>
        <v>0</v>
      </c>
      <c r="BE722">
        <f>IF($E722="","",IF(AND(COUNT($E$723:$E$726)&gt;=4,$C722=MAX($C$718:$C$726)),$C722,""))</f>
        <v>0</v>
      </c>
      <c r="BF722">
        <f>IF($E722="","",IF(AND(COUNT($E$723:$E$726)&gt;=4,$D722=MIN($D$718:$D$726)),$D722,""))</f>
        <v>0</v>
      </c>
      <c r="BG722">
        <f>IF($A722="","",$A722-WEEKDAY($A722,2)+1)</f>
        <v>0</v>
      </c>
      <c r="BH722">
        <f>IF($A722="","",IF($A721="",1,IF(BG722&lt;&gt;BG721,1,0)))</f>
        <v>0</v>
      </c>
      <c r="BI722">
        <f>IF($A722="","",IF($A723="",1,IF(BG723&lt;&gt;BG722,1,0)))</f>
        <v>0</v>
      </c>
      <c r="BJ722">
        <f>IF($A722="","",IF(BH722=1,$B722,BJ721))</f>
        <v>0</v>
      </c>
      <c r="BK722">
        <f>IF($A722="","",IF(BH722=1,$C722,MAX($C722,BK721)))</f>
        <v>0</v>
      </c>
      <c r="BL722">
        <f>IF($A722="","",IF(BH722=1,$D722,MIN($D722,BL721)))</f>
        <v>0</v>
      </c>
      <c r="BM722">
        <f>IF($A722="","",IF(BI722=1,F722,""))</f>
        <v>0</v>
      </c>
      <c r="BN722">
        <f>IF($A722="","",DATE(YEAR($A722),MONTH($A722),1))</f>
        <v>0</v>
      </c>
      <c r="BO722">
        <f>IF($A722="","",IF($A721="",1,IF(BN722&lt;&gt;BN721,1,0)))</f>
        <v>0</v>
      </c>
      <c r="BP722">
        <f>IF($A722="","",IF($A723="",1,IF(BN723&lt;&gt;BN722,1,0)))</f>
        <v>0</v>
      </c>
      <c r="BQ722">
        <f>IF($A722="","",IF(BO722=1,$B722,BQ721))</f>
        <v>0</v>
      </c>
      <c r="BR722">
        <f>IF($A722="","",IF(BO722=1,$C722,MAX($C722,BR721)))</f>
        <v>0</v>
      </c>
      <c r="BS722">
        <f>IF($A722="","",IF(BO722=1,$D722,MIN($D722,BS721)))</f>
        <v>0</v>
      </c>
      <c r="BT722">
        <f>IF($A722="","",IF(BP722=1,F722,""))</f>
        <v>0</v>
      </c>
    </row>
    <row r="723" spans="1:72">
      <c r="A723" s="27">
        <f>IF(Data!$A723="","",Data!$A723)</f>
        <v>0</v>
      </c>
      <c r="B723">
        <f>IF(Data!$B723="","",Data!$B723)</f>
        <v>0</v>
      </c>
      <c r="C723">
        <f>IF(Data!$C723="","",Data!$C723)</f>
        <v>0</v>
      </c>
      <c r="D723">
        <f>IF(Data!$D723="","",Data!$D723)</f>
        <v>0</v>
      </c>
      <c r="E723">
        <f>IF(Data!$E723="","",Data!$E723)</f>
        <v>0</v>
      </c>
      <c r="F723">
        <f>IF($E723="","",N(F722)+1)</f>
        <v>0</v>
      </c>
      <c r="G723">
        <f>IF(OR($E723="",$E722=""),"",LN($E723/$E722))</f>
        <v>0</v>
      </c>
      <c r="H723">
        <f>IF($E723="","",IF($E722="",$E723,$E723*0.0952380952+H722*0.9047619048))</f>
        <v>0</v>
      </c>
      <c r="I723">
        <f>IF($E723="","",IF($E722="",$E723,$E723*0.0392156863+I722*0.9607843137))</f>
        <v>0</v>
      </c>
      <c r="J723">
        <f>IF($E723="","",IF($E722="",$E723,$E723*0.0198019802+J722*0.9801980198))</f>
        <v>0</v>
      </c>
      <c r="K723">
        <f>IF($E723="","",IF($E722="",$E723,$E723*0.0099502488+K722*0.9900497512))</f>
        <v>0</v>
      </c>
      <c r="L723">
        <f>IF(OR($E723="",$E722=""),"",MAX($E723-$E722,0))</f>
        <v>0</v>
      </c>
      <c r="M723">
        <f>IF(OR($E723="",$E722=""),"",MAX($E722-$E723,0))</f>
        <v>0</v>
      </c>
      <c r="N723">
        <f>IF(COUNT($E$2:$E723)&lt;15,"",IF(AVERAGE($M$710:$M$723)=0,100,100-100/(1+AVERAGE($L$710:$L$723)/AVERAGE($M$710:$M$723))))</f>
        <v>0</v>
      </c>
      <c r="O723">
        <f>IF($E723="","",IF($E722="",$E723,$E723*0.1538461538+O722*0.8461538462))</f>
        <v>0</v>
      </c>
      <c r="P723">
        <f>IF($E723="","",IF($E722="",$E723,$E723*0.0740740741+P722*0.9259259259))</f>
        <v>0</v>
      </c>
      <c r="Q723">
        <f>IF(OR(O723="",P723=""),"",O723-P723)</f>
        <v>0</v>
      </c>
      <c r="R723">
        <f>IF(Q723="","",IF(R722="",Q723,Q723*0.2000000000+R722*0.8000000000))</f>
        <v>0</v>
      </c>
      <c r="S723">
        <f>IF(OR(Q723="",R723=""),"",Q723-R723)</f>
        <v>0</v>
      </c>
      <c r="T723">
        <f>IF(COUNT($E$2:$E723)&lt;14,"",MAX($C$710:$C$723))</f>
        <v>0</v>
      </c>
      <c r="U723">
        <f>IF(COUNT($E$2:$E723)&lt;14,"",MIN($D$710:$D$723))</f>
        <v>0</v>
      </c>
      <c r="V723">
        <f>IF(OR(T723="",U723="",T723=U723),"",100*($E723-U723)/(T723-U723))</f>
        <v>0</v>
      </c>
      <c r="W723">
        <f>IF(COUNT($V$721:$V$723)&lt;3,"",AVERAGE($V$721:$V$723))</f>
        <v>0</v>
      </c>
      <c r="X723">
        <f>IF(COUNT($N$710:$N$723)&lt;14,"",MIN($N$710:$N$723))</f>
        <v>0</v>
      </c>
      <c r="Y723">
        <f>IF(COUNT($N$710:$N$723)&lt;14,"",MAX($N$710:$N$723))</f>
        <v>0</v>
      </c>
      <c r="Z723">
        <f>IF(OR(N723="",X723="",Y723="",Y723=X723),"",100*(N723-X723)/(Y723-X723))</f>
        <v>0</v>
      </c>
      <c r="AA723">
        <f>IF(COUNT($Z$721:$Z$723)&lt;3,"",AVERAGE($Z$721:$Z$723))</f>
        <v>0</v>
      </c>
      <c r="AB723">
        <f>IF(COUNT($AA$721:$AA$723)&lt;3,"",AVERAGE($AA$721:$AA$723))</f>
        <v>0</v>
      </c>
      <c r="AC723">
        <f>IF($E723="","",MAX($C723-$D723,ABS($C723-$E722),ABS($D723-$E722)))</f>
        <v>0</v>
      </c>
      <c r="AD723">
        <f>IF(COUNT($E$2:$E723)&lt;15,"",AVERAGE($AC$710:$AC$723))</f>
        <v>0</v>
      </c>
      <c r="AE723">
        <f>IF(OR($E723="",$E722=""),"",IF(AND(($C723-$C722)&gt;($D722-$D723),($C723-$C722)&gt;0),$C723-$C722,0))</f>
        <v>0</v>
      </c>
      <c r="AF723">
        <f>IF(OR($E723="",$E722=""),"",IF(AND(($D722-$D723)&gt;($C723-$C722),($D722-$D723)&gt;0),$D722-$D723,0))</f>
        <v>0</v>
      </c>
      <c r="AG723">
        <f>IF(COUNT($E$2:$E723)&lt;15,"",IF(SUM($AC$710:$AC$723)=0,0,100*SUM($AE$710:$AE$723)/SUM($AC$710:$AC$723)))</f>
        <v>0</v>
      </c>
      <c r="AH723">
        <f>IF(COUNT($E$2:$E723)&lt;15,"",IF(SUM($AC$710:$AC$723)=0,0,100*SUM($AF$710:$AF$723)/SUM($AC$710:$AC$723)))</f>
        <v>0</v>
      </c>
      <c r="AI723">
        <f>IF(OR(AG723="",AH723=""),"",IF((AG723+AH723)=0,0,100*ABS(AG723-AH723)/(AG723+AH723)))</f>
        <v>0</v>
      </c>
      <c r="AJ723">
        <f>IF(COUNT($AI$710:$AI$723)&lt;14,"",AVERAGE($AI$710:$AI$723))</f>
        <v>0</v>
      </c>
      <c r="AK723">
        <f>IF(COUNT($E$2:$E723)&lt;20,"",AVERAGE($E$704:$E$723))</f>
        <v>0</v>
      </c>
      <c r="AL723">
        <f>IF(COUNT($E$2:$E723)&lt;20,"",STDEVP($E$704:$E$723))</f>
        <v>0</v>
      </c>
      <c r="AM723">
        <f>IF(AK723="","",AK723+2*AL723)</f>
        <v>0</v>
      </c>
      <c r="AN723">
        <f>IF(AK723="","",AK723-2*AL723)</f>
        <v>0</v>
      </c>
      <c r="AO723">
        <f>IF(OR(AM723="",AN723="",AM723=AN723),"",($E723-AN723)/(AM723-AN723))</f>
        <v>0</v>
      </c>
      <c r="AP723">
        <f>IF(OR(AM723="",AK723="",AK723=0),"",(AM723-AN723)/AK723)</f>
        <v>0</v>
      </c>
      <c r="AQ723">
        <f>IF(COUNT($E$2:$E723)&lt;20,"",MAX($C$704:$C$723))</f>
        <v>0</v>
      </c>
      <c r="AR723">
        <f>IF(COUNT($E$2:$E723)&lt;20,"",MIN($D$704:$D$723))</f>
        <v>0</v>
      </c>
      <c r="AS723">
        <f>IF(OR(AQ723="",AR723=""),"",(AQ723+AR723)/2)</f>
        <v>0</v>
      </c>
      <c r="AT723">
        <f>IF(COUNT($G$704:$G$723)&lt;20,"",STDEV($G$704:$G$723)*SQRT(252))</f>
        <v>0</v>
      </c>
      <c r="AU723">
        <f>IF(COUNT($E$2:$E723)&lt;9,"",(MAX($C$715:$C$723)+MIN($D$715:$D$723))/2)</f>
        <v>0</v>
      </c>
      <c r="AV723">
        <f>IF(COUNT($E$2:$E723)&lt;26,"",(MAX($C$698:$C$723)+MIN($D$698:$D$723))/2)</f>
        <v>0</v>
      </c>
      <c r="AW723">
        <f>IF(OR(AU723="",AV723=""),"",(AU723+AV723)/2)</f>
        <v>0</v>
      </c>
      <c r="AX723">
        <f>IF(COUNT($E$2:$E723)&lt;52,"",(MAX($C$672:$C$723)+MIN($D$672:$D$723))/2)</f>
        <v>0</v>
      </c>
      <c r="AY723">
        <f>IF(COUNT($E$2:$E723)&lt;20,"",MAX($C$624:$C$723))</f>
        <v>0</v>
      </c>
      <c r="AZ723">
        <f>IF(COUNT($E$2:$E723)&lt;20,"",MIN($D$624:$D$723))</f>
        <v>0</v>
      </c>
      <c r="BA723">
        <f>IF(COUNT($E$2:$E723)&lt;20,"",SLOPE($E$624:$E$723,$F$624:$F$723))</f>
        <v>0</v>
      </c>
      <c r="BB723">
        <f>IF(COUNT($E$2:$E723)&lt;20,"",INTERCEPT($E$624:$E$723,$F$624:$F$723))</f>
        <v>0</v>
      </c>
      <c r="BC723">
        <f>IF(OR(BA723="",BB723=""),"",BB723+BA723*F723)</f>
        <v>0</v>
      </c>
      <c r="BD723">
        <f>IF(COUNT($E$2:$E723)&lt;20,"",STEYX($E$624:$E$723,$F$624:$F$723))</f>
        <v>0</v>
      </c>
      <c r="BE723">
        <f>IF($E723="","",IF(AND(COUNT($E$724:$E$727)&gt;=4,$C723=MAX($C$719:$C$727)),$C723,""))</f>
        <v>0</v>
      </c>
      <c r="BF723">
        <f>IF($E723="","",IF(AND(COUNT($E$724:$E$727)&gt;=4,$D723=MIN($D$719:$D$727)),$D723,""))</f>
        <v>0</v>
      </c>
      <c r="BG723">
        <f>IF($A723="","",$A723-WEEKDAY($A723,2)+1)</f>
        <v>0</v>
      </c>
      <c r="BH723">
        <f>IF($A723="","",IF($A722="",1,IF(BG723&lt;&gt;BG722,1,0)))</f>
        <v>0</v>
      </c>
      <c r="BI723">
        <f>IF($A723="","",IF($A724="",1,IF(BG724&lt;&gt;BG723,1,0)))</f>
        <v>0</v>
      </c>
      <c r="BJ723">
        <f>IF($A723="","",IF(BH723=1,$B723,BJ722))</f>
        <v>0</v>
      </c>
      <c r="BK723">
        <f>IF($A723="","",IF(BH723=1,$C723,MAX($C723,BK722)))</f>
        <v>0</v>
      </c>
      <c r="BL723">
        <f>IF($A723="","",IF(BH723=1,$D723,MIN($D723,BL722)))</f>
        <v>0</v>
      </c>
      <c r="BM723">
        <f>IF($A723="","",IF(BI723=1,F723,""))</f>
        <v>0</v>
      </c>
      <c r="BN723">
        <f>IF($A723="","",DATE(YEAR($A723),MONTH($A723),1))</f>
        <v>0</v>
      </c>
      <c r="BO723">
        <f>IF($A723="","",IF($A722="",1,IF(BN723&lt;&gt;BN722,1,0)))</f>
        <v>0</v>
      </c>
      <c r="BP723">
        <f>IF($A723="","",IF($A724="",1,IF(BN724&lt;&gt;BN723,1,0)))</f>
        <v>0</v>
      </c>
      <c r="BQ723">
        <f>IF($A723="","",IF(BO723=1,$B723,BQ722))</f>
        <v>0</v>
      </c>
      <c r="BR723">
        <f>IF($A723="","",IF(BO723=1,$C723,MAX($C723,BR722)))</f>
        <v>0</v>
      </c>
      <c r="BS723">
        <f>IF($A723="","",IF(BO723=1,$D723,MIN($D723,BS722)))</f>
        <v>0</v>
      </c>
      <c r="BT723">
        <f>IF($A723="","",IF(BP723=1,F723,""))</f>
        <v>0</v>
      </c>
    </row>
    <row r="724" spans="1:72">
      <c r="A724" s="27">
        <f>IF(Data!$A724="","",Data!$A724)</f>
        <v>0</v>
      </c>
      <c r="B724">
        <f>IF(Data!$B724="","",Data!$B724)</f>
        <v>0</v>
      </c>
      <c r="C724">
        <f>IF(Data!$C724="","",Data!$C724)</f>
        <v>0</v>
      </c>
      <c r="D724">
        <f>IF(Data!$D724="","",Data!$D724)</f>
        <v>0</v>
      </c>
      <c r="E724">
        <f>IF(Data!$E724="","",Data!$E724)</f>
        <v>0</v>
      </c>
      <c r="F724">
        <f>IF($E724="","",N(F723)+1)</f>
        <v>0</v>
      </c>
      <c r="G724">
        <f>IF(OR($E724="",$E723=""),"",LN($E724/$E723))</f>
        <v>0</v>
      </c>
      <c r="H724">
        <f>IF($E724="","",IF($E723="",$E724,$E724*0.0952380952+H723*0.9047619048))</f>
        <v>0</v>
      </c>
      <c r="I724">
        <f>IF($E724="","",IF($E723="",$E724,$E724*0.0392156863+I723*0.9607843137))</f>
        <v>0</v>
      </c>
      <c r="J724">
        <f>IF($E724="","",IF($E723="",$E724,$E724*0.0198019802+J723*0.9801980198))</f>
        <v>0</v>
      </c>
      <c r="K724">
        <f>IF($E724="","",IF($E723="",$E724,$E724*0.0099502488+K723*0.9900497512))</f>
        <v>0</v>
      </c>
      <c r="L724">
        <f>IF(OR($E724="",$E723=""),"",MAX($E724-$E723,0))</f>
        <v>0</v>
      </c>
      <c r="M724">
        <f>IF(OR($E724="",$E723=""),"",MAX($E723-$E724,0))</f>
        <v>0</v>
      </c>
      <c r="N724">
        <f>IF(COUNT($E$2:$E724)&lt;15,"",IF(AVERAGE($M$711:$M$724)=0,100,100-100/(1+AVERAGE($L$711:$L$724)/AVERAGE($M$711:$M$724))))</f>
        <v>0</v>
      </c>
      <c r="O724">
        <f>IF($E724="","",IF($E723="",$E724,$E724*0.1538461538+O723*0.8461538462))</f>
        <v>0</v>
      </c>
      <c r="P724">
        <f>IF($E724="","",IF($E723="",$E724,$E724*0.0740740741+P723*0.9259259259))</f>
        <v>0</v>
      </c>
      <c r="Q724">
        <f>IF(OR(O724="",P724=""),"",O724-P724)</f>
        <v>0</v>
      </c>
      <c r="R724">
        <f>IF(Q724="","",IF(R723="",Q724,Q724*0.2000000000+R723*0.8000000000))</f>
        <v>0</v>
      </c>
      <c r="S724">
        <f>IF(OR(Q724="",R724=""),"",Q724-R724)</f>
        <v>0</v>
      </c>
      <c r="T724">
        <f>IF(COUNT($E$2:$E724)&lt;14,"",MAX($C$711:$C$724))</f>
        <v>0</v>
      </c>
      <c r="U724">
        <f>IF(COUNT($E$2:$E724)&lt;14,"",MIN($D$711:$D$724))</f>
        <v>0</v>
      </c>
      <c r="V724">
        <f>IF(OR(T724="",U724="",T724=U724),"",100*($E724-U724)/(T724-U724))</f>
        <v>0</v>
      </c>
      <c r="W724">
        <f>IF(COUNT($V$722:$V$724)&lt;3,"",AVERAGE($V$722:$V$724))</f>
        <v>0</v>
      </c>
      <c r="X724">
        <f>IF(COUNT($N$711:$N$724)&lt;14,"",MIN($N$711:$N$724))</f>
        <v>0</v>
      </c>
      <c r="Y724">
        <f>IF(COUNT($N$711:$N$724)&lt;14,"",MAX($N$711:$N$724))</f>
        <v>0</v>
      </c>
      <c r="Z724">
        <f>IF(OR(N724="",X724="",Y724="",Y724=X724),"",100*(N724-X724)/(Y724-X724))</f>
        <v>0</v>
      </c>
      <c r="AA724">
        <f>IF(COUNT($Z$722:$Z$724)&lt;3,"",AVERAGE($Z$722:$Z$724))</f>
        <v>0</v>
      </c>
      <c r="AB724">
        <f>IF(COUNT($AA$722:$AA$724)&lt;3,"",AVERAGE($AA$722:$AA$724))</f>
        <v>0</v>
      </c>
      <c r="AC724">
        <f>IF($E724="","",MAX($C724-$D724,ABS($C724-$E723),ABS($D724-$E723)))</f>
        <v>0</v>
      </c>
      <c r="AD724">
        <f>IF(COUNT($E$2:$E724)&lt;15,"",AVERAGE($AC$711:$AC$724))</f>
        <v>0</v>
      </c>
      <c r="AE724">
        <f>IF(OR($E724="",$E723=""),"",IF(AND(($C724-$C723)&gt;($D723-$D724),($C724-$C723)&gt;0),$C724-$C723,0))</f>
        <v>0</v>
      </c>
      <c r="AF724">
        <f>IF(OR($E724="",$E723=""),"",IF(AND(($D723-$D724)&gt;($C724-$C723),($D723-$D724)&gt;0),$D723-$D724,0))</f>
        <v>0</v>
      </c>
      <c r="AG724">
        <f>IF(COUNT($E$2:$E724)&lt;15,"",IF(SUM($AC$711:$AC$724)=0,0,100*SUM($AE$711:$AE$724)/SUM($AC$711:$AC$724)))</f>
        <v>0</v>
      </c>
      <c r="AH724">
        <f>IF(COUNT($E$2:$E724)&lt;15,"",IF(SUM($AC$711:$AC$724)=0,0,100*SUM($AF$711:$AF$724)/SUM($AC$711:$AC$724)))</f>
        <v>0</v>
      </c>
      <c r="AI724">
        <f>IF(OR(AG724="",AH724=""),"",IF((AG724+AH724)=0,0,100*ABS(AG724-AH724)/(AG724+AH724)))</f>
        <v>0</v>
      </c>
      <c r="AJ724">
        <f>IF(COUNT($AI$711:$AI$724)&lt;14,"",AVERAGE($AI$711:$AI$724))</f>
        <v>0</v>
      </c>
      <c r="AK724">
        <f>IF(COUNT($E$2:$E724)&lt;20,"",AVERAGE($E$705:$E$724))</f>
        <v>0</v>
      </c>
      <c r="AL724">
        <f>IF(COUNT($E$2:$E724)&lt;20,"",STDEVP($E$705:$E$724))</f>
        <v>0</v>
      </c>
      <c r="AM724">
        <f>IF(AK724="","",AK724+2*AL724)</f>
        <v>0</v>
      </c>
      <c r="AN724">
        <f>IF(AK724="","",AK724-2*AL724)</f>
        <v>0</v>
      </c>
      <c r="AO724">
        <f>IF(OR(AM724="",AN724="",AM724=AN724),"",($E724-AN724)/(AM724-AN724))</f>
        <v>0</v>
      </c>
      <c r="AP724">
        <f>IF(OR(AM724="",AK724="",AK724=0),"",(AM724-AN724)/AK724)</f>
        <v>0</v>
      </c>
      <c r="AQ724">
        <f>IF(COUNT($E$2:$E724)&lt;20,"",MAX($C$705:$C$724))</f>
        <v>0</v>
      </c>
      <c r="AR724">
        <f>IF(COUNT($E$2:$E724)&lt;20,"",MIN($D$705:$D$724))</f>
        <v>0</v>
      </c>
      <c r="AS724">
        <f>IF(OR(AQ724="",AR724=""),"",(AQ724+AR724)/2)</f>
        <v>0</v>
      </c>
      <c r="AT724">
        <f>IF(COUNT($G$705:$G$724)&lt;20,"",STDEV($G$705:$G$724)*SQRT(252))</f>
        <v>0</v>
      </c>
      <c r="AU724">
        <f>IF(COUNT($E$2:$E724)&lt;9,"",(MAX($C$716:$C$724)+MIN($D$716:$D$724))/2)</f>
        <v>0</v>
      </c>
      <c r="AV724">
        <f>IF(COUNT($E$2:$E724)&lt;26,"",(MAX($C$699:$C$724)+MIN($D$699:$D$724))/2)</f>
        <v>0</v>
      </c>
      <c r="AW724">
        <f>IF(OR(AU724="",AV724=""),"",(AU724+AV724)/2)</f>
        <v>0</v>
      </c>
      <c r="AX724">
        <f>IF(COUNT($E$2:$E724)&lt;52,"",(MAX($C$673:$C$724)+MIN($D$673:$D$724))/2)</f>
        <v>0</v>
      </c>
      <c r="AY724">
        <f>IF(COUNT($E$2:$E724)&lt;20,"",MAX($C$625:$C$724))</f>
        <v>0</v>
      </c>
      <c r="AZ724">
        <f>IF(COUNT($E$2:$E724)&lt;20,"",MIN($D$625:$D$724))</f>
        <v>0</v>
      </c>
      <c r="BA724">
        <f>IF(COUNT($E$2:$E724)&lt;20,"",SLOPE($E$625:$E$724,$F$625:$F$724))</f>
        <v>0</v>
      </c>
      <c r="BB724">
        <f>IF(COUNT($E$2:$E724)&lt;20,"",INTERCEPT($E$625:$E$724,$F$625:$F$724))</f>
        <v>0</v>
      </c>
      <c r="BC724">
        <f>IF(OR(BA724="",BB724=""),"",BB724+BA724*F724)</f>
        <v>0</v>
      </c>
      <c r="BD724">
        <f>IF(COUNT($E$2:$E724)&lt;20,"",STEYX($E$625:$E$724,$F$625:$F$724))</f>
        <v>0</v>
      </c>
      <c r="BE724">
        <f>IF($E724="","",IF(AND(COUNT($E$725:$E$728)&gt;=4,$C724=MAX($C$720:$C$728)),$C724,""))</f>
        <v>0</v>
      </c>
      <c r="BF724">
        <f>IF($E724="","",IF(AND(COUNT($E$725:$E$728)&gt;=4,$D724=MIN($D$720:$D$728)),$D724,""))</f>
        <v>0</v>
      </c>
      <c r="BG724">
        <f>IF($A724="","",$A724-WEEKDAY($A724,2)+1)</f>
        <v>0</v>
      </c>
      <c r="BH724">
        <f>IF($A724="","",IF($A723="",1,IF(BG724&lt;&gt;BG723,1,0)))</f>
        <v>0</v>
      </c>
      <c r="BI724">
        <f>IF($A724="","",IF($A725="",1,IF(BG725&lt;&gt;BG724,1,0)))</f>
        <v>0</v>
      </c>
      <c r="BJ724">
        <f>IF($A724="","",IF(BH724=1,$B724,BJ723))</f>
        <v>0</v>
      </c>
      <c r="BK724">
        <f>IF($A724="","",IF(BH724=1,$C724,MAX($C724,BK723)))</f>
        <v>0</v>
      </c>
      <c r="BL724">
        <f>IF($A724="","",IF(BH724=1,$D724,MIN($D724,BL723)))</f>
        <v>0</v>
      </c>
      <c r="BM724">
        <f>IF($A724="","",IF(BI724=1,F724,""))</f>
        <v>0</v>
      </c>
      <c r="BN724">
        <f>IF($A724="","",DATE(YEAR($A724),MONTH($A724),1))</f>
        <v>0</v>
      </c>
      <c r="BO724">
        <f>IF($A724="","",IF($A723="",1,IF(BN724&lt;&gt;BN723,1,0)))</f>
        <v>0</v>
      </c>
      <c r="BP724">
        <f>IF($A724="","",IF($A725="",1,IF(BN725&lt;&gt;BN724,1,0)))</f>
        <v>0</v>
      </c>
      <c r="BQ724">
        <f>IF($A724="","",IF(BO724=1,$B724,BQ723))</f>
        <v>0</v>
      </c>
      <c r="BR724">
        <f>IF($A724="","",IF(BO724=1,$C724,MAX($C724,BR723)))</f>
        <v>0</v>
      </c>
      <c r="BS724">
        <f>IF($A724="","",IF(BO724=1,$D724,MIN($D724,BS723)))</f>
        <v>0</v>
      </c>
      <c r="BT724">
        <f>IF($A724="","",IF(BP724=1,F724,""))</f>
        <v>0</v>
      </c>
    </row>
    <row r="725" spans="1:72">
      <c r="A725" s="27">
        <f>IF(Data!$A725="","",Data!$A725)</f>
        <v>0</v>
      </c>
      <c r="B725">
        <f>IF(Data!$B725="","",Data!$B725)</f>
        <v>0</v>
      </c>
      <c r="C725">
        <f>IF(Data!$C725="","",Data!$C725)</f>
        <v>0</v>
      </c>
      <c r="D725">
        <f>IF(Data!$D725="","",Data!$D725)</f>
        <v>0</v>
      </c>
      <c r="E725">
        <f>IF(Data!$E725="","",Data!$E725)</f>
        <v>0</v>
      </c>
      <c r="F725">
        <f>IF($E725="","",N(F724)+1)</f>
        <v>0</v>
      </c>
      <c r="G725">
        <f>IF(OR($E725="",$E724=""),"",LN($E725/$E724))</f>
        <v>0</v>
      </c>
      <c r="H725">
        <f>IF($E725="","",IF($E724="",$E725,$E725*0.0952380952+H724*0.9047619048))</f>
        <v>0</v>
      </c>
      <c r="I725">
        <f>IF($E725="","",IF($E724="",$E725,$E725*0.0392156863+I724*0.9607843137))</f>
        <v>0</v>
      </c>
      <c r="J725">
        <f>IF($E725="","",IF($E724="",$E725,$E725*0.0198019802+J724*0.9801980198))</f>
        <v>0</v>
      </c>
      <c r="K725">
        <f>IF($E725="","",IF($E724="",$E725,$E725*0.0099502488+K724*0.9900497512))</f>
        <v>0</v>
      </c>
      <c r="L725">
        <f>IF(OR($E725="",$E724=""),"",MAX($E725-$E724,0))</f>
        <v>0</v>
      </c>
      <c r="M725">
        <f>IF(OR($E725="",$E724=""),"",MAX($E724-$E725,0))</f>
        <v>0</v>
      </c>
      <c r="N725">
        <f>IF(COUNT($E$2:$E725)&lt;15,"",IF(AVERAGE($M$712:$M$725)=0,100,100-100/(1+AVERAGE($L$712:$L$725)/AVERAGE($M$712:$M$725))))</f>
        <v>0</v>
      </c>
      <c r="O725">
        <f>IF($E725="","",IF($E724="",$E725,$E725*0.1538461538+O724*0.8461538462))</f>
        <v>0</v>
      </c>
      <c r="P725">
        <f>IF($E725="","",IF($E724="",$E725,$E725*0.0740740741+P724*0.9259259259))</f>
        <v>0</v>
      </c>
      <c r="Q725">
        <f>IF(OR(O725="",P725=""),"",O725-P725)</f>
        <v>0</v>
      </c>
      <c r="R725">
        <f>IF(Q725="","",IF(R724="",Q725,Q725*0.2000000000+R724*0.8000000000))</f>
        <v>0</v>
      </c>
      <c r="S725">
        <f>IF(OR(Q725="",R725=""),"",Q725-R725)</f>
        <v>0</v>
      </c>
      <c r="T725">
        <f>IF(COUNT($E$2:$E725)&lt;14,"",MAX($C$712:$C$725))</f>
        <v>0</v>
      </c>
      <c r="U725">
        <f>IF(COUNT($E$2:$E725)&lt;14,"",MIN($D$712:$D$725))</f>
        <v>0</v>
      </c>
      <c r="V725">
        <f>IF(OR(T725="",U725="",T725=U725),"",100*($E725-U725)/(T725-U725))</f>
        <v>0</v>
      </c>
      <c r="W725">
        <f>IF(COUNT($V$723:$V$725)&lt;3,"",AVERAGE($V$723:$V$725))</f>
        <v>0</v>
      </c>
      <c r="X725">
        <f>IF(COUNT($N$712:$N$725)&lt;14,"",MIN($N$712:$N$725))</f>
        <v>0</v>
      </c>
      <c r="Y725">
        <f>IF(COUNT($N$712:$N$725)&lt;14,"",MAX($N$712:$N$725))</f>
        <v>0</v>
      </c>
      <c r="Z725">
        <f>IF(OR(N725="",X725="",Y725="",Y725=X725),"",100*(N725-X725)/(Y725-X725))</f>
        <v>0</v>
      </c>
      <c r="AA725">
        <f>IF(COUNT($Z$723:$Z$725)&lt;3,"",AVERAGE($Z$723:$Z$725))</f>
        <v>0</v>
      </c>
      <c r="AB725">
        <f>IF(COUNT($AA$723:$AA$725)&lt;3,"",AVERAGE($AA$723:$AA$725))</f>
        <v>0</v>
      </c>
      <c r="AC725">
        <f>IF($E725="","",MAX($C725-$D725,ABS($C725-$E724),ABS($D725-$E724)))</f>
        <v>0</v>
      </c>
      <c r="AD725">
        <f>IF(COUNT($E$2:$E725)&lt;15,"",AVERAGE($AC$712:$AC$725))</f>
        <v>0</v>
      </c>
      <c r="AE725">
        <f>IF(OR($E725="",$E724=""),"",IF(AND(($C725-$C724)&gt;($D724-$D725),($C725-$C724)&gt;0),$C725-$C724,0))</f>
        <v>0</v>
      </c>
      <c r="AF725">
        <f>IF(OR($E725="",$E724=""),"",IF(AND(($D724-$D725)&gt;($C725-$C724),($D724-$D725)&gt;0),$D724-$D725,0))</f>
        <v>0</v>
      </c>
      <c r="AG725">
        <f>IF(COUNT($E$2:$E725)&lt;15,"",IF(SUM($AC$712:$AC$725)=0,0,100*SUM($AE$712:$AE$725)/SUM($AC$712:$AC$725)))</f>
        <v>0</v>
      </c>
      <c r="AH725">
        <f>IF(COUNT($E$2:$E725)&lt;15,"",IF(SUM($AC$712:$AC$725)=0,0,100*SUM($AF$712:$AF$725)/SUM($AC$712:$AC$725)))</f>
        <v>0</v>
      </c>
      <c r="AI725">
        <f>IF(OR(AG725="",AH725=""),"",IF((AG725+AH725)=0,0,100*ABS(AG725-AH725)/(AG725+AH725)))</f>
        <v>0</v>
      </c>
      <c r="AJ725">
        <f>IF(COUNT($AI$712:$AI$725)&lt;14,"",AVERAGE($AI$712:$AI$725))</f>
        <v>0</v>
      </c>
      <c r="AK725">
        <f>IF(COUNT($E$2:$E725)&lt;20,"",AVERAGE($E$706:$E$725))</f>
        <v>0</v>
      </c>
      <c r="AL725">
        <f>IF(COUNT($E$2:$E725)&lt;20,"",STDEVP($E$706:$E$725))</f>
        <v>0</v>
      </c>
      <c r="AM725">
        <f>IF(AK725="","",AK725+2*AL725)</f>
        <v>0</v>
      </c>
      <c r="AN725">
        <f>IF(AK725="","",AK725-2*AL725)</f>
        <v>0</v>
      </c>
      <c r="AO725">
        <f>IF(OR(AM725="",AN725="",AM725=AN725),"",($E725-AN725)/(AM725-AN725))</f>
        <v>0</v>
      </c>
      <c r="AP725">
        <f>IF(OR(AM725="",AK725="",AK725=0),"",(AM725-AN725)/AK725)</f>
        <v>0</v>
      </c>
      <c r="AQ725">
        <f>IF(COUNT($E$2:$E725)&lt;20,"",MAX($C$706:$C$725))</f>
        <v>0</v>
      </c>
      <c r="AR725">
        <f>IF(COUNT($E$2:$E725)&lt;20,"",MIN($D$706:$D$725))</f>
        <v>0</v>
      </c>
      <c r="AS725">
        <f>IF(OR(AQ725="",AR725=""),"",(AQ725+AR725)/2)</f>
        <v>0</v>
      </c>
      <c r="AT725">
        <f>IF(COUNT($G$706:$G$725)&lt;20,"",STDEV($G$706:$G$725)*SQRT(252))</f>
        <v>0</v>
      </c>
      <c r="AU725">
        <f>IF(COUNT($E$2:$E725)&lt;9,"",(MAX($C$717:$C$725)+MIN($D$717:$D$725))/2)</f>
        <v>0</v>
      </c>
      <c r="AV725">
        <f>IF(COUNT($E$2:$E725)&lt;26,"",(MAX($C$700:$C$725)+MIN($D$700:$D$725))/2)</f>
        <v>0</v>
      </c>
      <c r="AW725">
        <f>IF(OR(AU725="",AV725=""),"",(AU725+AV725)/2)</f>
        <v>0</v>
      </c>
      <c r="AX725">
        <f>IF(COUNT($E$2:$E725)&lt;52,"",(MAX($C$674:$C$725)+MIN($D$674:$D$725))/2)</f>
        <v>0</v>
      </c>
      <c r="AY725">
        <f>IF(COUNT($E$2:$E725)&lt;20,"",MAX($C$626:$C$725))</f>
        <v>0</v>
      </c>
      <c r="AZ725">
        <f>IF(COUNT($E$2:$E725)&lt;20,"",MIN($D$626:$D$725))</f>
        <v>0</v>
      </c>
      <c r="BA725">
        <f>IF(COUNT($E$2:$E725)&lt;20,"",SLOPE($E$626:$E$725,$F$626:$F$725))</f>
        <v>0</v>
      </c>
      <c r="BB725">
        <f>IF(COUNT($E$2:$E725)&lt;20,"",INTERCEPT($E$626:$E$725,$F$626:$F$725))</f>
        <v>0</v>
      </c>
      <c r="BC725">
        <f>IF(OR(BA725="",BB725=""),"",BB725+BA725*F725)</f>
        <v>0</v>
      </c>
      <c r="BD725">
        <f>IF(COUNT($E$2:$E725)&lt;20,"",STEYX($E$626:$E$725,$F$626:$F$725))</f>
        <v>0</v>
      </c>
      <c r="BE725">
        <f>IF($E725="","",IF(AND(COUNT($E$726:$E$729)&gt;=4,$C725=MAX($C$721:$C$729)),$C725,""))</f>
        <v>0</v>
      </c>
      <c r="BF725">
        <f>IF($E725="","",IF(AND(COUNT($E$726:$E$729)&gt;=4,$D725=MIN($D$721:$D$729)),$D725,""))</f>
        <v>0</v>
      </c>
      <c r="BG725">
        <f>IF($A725="","",$A725-WEEKDAY($A725,2)+1)</f>
        <v>0</v>
      </c>
      <c r="BH725">
        <f>IF($A725="","",IF($A724="",1,IF(BG725&lt;&gt;BG724,1,0)))</f>
        <v>0</v>
      </c>
      <c r="BI725">
        <f>IF($A725="","",IF($A726="",1,IF(BG726&lt;&gt;BG725,1,0)))</f>
        <v>0</v>
      </c>
      <c r="BJ725">
        <f>IF($A725="","",IF(BH725=1,$B725,BJ724))</f>
        <v>0</v>
      </c>
      <c r="BK725">
        <f>IF($A725="","",IF(BH725=1,$C725,MAX($C725,BK724)))</f>
        <v>0</v>
      </c>
      <c r="BL725">
        <f>IF($A725="","",IF(BH725=1,$D725,MIN($D725,BL724)))</f>
        <v>0</v>
      </c>
      <c r="BM725">
        <f>IF($A725="","",IF(BI725=1,F725,""))</f>
        <v>0</v>
      </c>
      <c r="BN725">
        <f>IF($A725="","",DATE(YEAR($A725),MONTH($A725),1))</f>
        <v>0</v>
      </c>
      <c r="BO725">
        <f>IF($A725="","",IF($A724="",1,IF(BN725&lt;&gt;BN724,1,0)))</f>
        <v>0</v>
      </c>
      <c r="BP725">
        <f>IF($A725="","",IF($A726="",1,IF(BN726&lt;&gt;BN725,1,0)))</f>
        <v>0</v>
      </c>
      <c r="BQ725">
        <f>IF($A725="","",IF(BO725=1,$B725,BQ724))</f>
        <v>0</v>
      </c>
      <c r="BR725">
        <f>IF($A725="","",IF(BO725=1,$C725,MAX($C725,BR724)))</f>
        <v>0</v>
      </c>
      <c r="BS725">
        <f>IF($A725="","",IF(BO725=1,$D725,MIN($D725,BS724)))</f>
        <v>0</v>
      </c>
      <c r="BT725">
        <f>IF($A725="","",IF(BP725=1,F725,""))</f>
        <v>0</v>
      </c>
    </row>
    <row r="726" spans="1:72">
      <c r="A726" s="27">
        <f>IF(Data!$A726="","",Data!$A726)</f>
        <v>0</v>
      </c>
      <c r="B726">
        <f>IF(Data!$B726="","",Data!$B726)</f>
        <v>0</v>
      </c>
      <c r="C726">
        <f>IF(Data!$C726="","",Data!$C726)</f>
        <v>0</v>
      </c>
      <c r="D726">
        <f>IF(Data!$D726="","",Data!$D726)</f>
        <v>0</v>
      </c>
      <c r="E726">
        <f>IF(Data!$E726="","",Data!$E726)</f>
        <v>0</v>
      </c>
      <c r="F726">
        <f>IF($E726="","",N(F725)+1)</f>
        <v>0</v>
      </c>
      <c r="G726">
        <f>IF(OR($E726="",$E725=""),"",LN($E726/$E725))</f>
        <v>0</v>
      </c>
      <c r="H726">
        <f>IF($E726="","",IF($E725="",$E726,$E726*0.0952380952+H725*0.9047619048))</f>
        <v>0</v>
      </c>
      <c r="I726">
        <f>IF($E726="","",IF($E725="",$E726,$E726*0.0392156863+I725*0.9607843137))</f>
        <v>0</v>
      </c>
      <c r="J726">
        <f>IF($E726="","",IF($E725="",$E726,$E726*0.0198019802+J725*0.9801980198))</f>
        <v>0</v>
      </c>
      <c r="K726">
        <f>IF($E726="","",IF($E725="",$E726,$E726*0.0099502488+K725*0.9900497512))</f>
        <v>0</v>
      </c>
      <c r="L726">
        <f>IF(OR($E726="",$E725=""),"",MAX($E726-$E725,0))</f>
        <v>0</v>
      </c>
      <c r="M726">
        <f>IF(OR($E726="",$E725=""),"",MAX($E725-$E726,0))</f>
        <v>0</v>
      </c>
      <c r="N726">
        <f>IF(COUNT($E$2:$E726)&lt;15,"",IF(AVERAGE($M$713:$M$726)=0,100,100-100/(1+AVERAGE($L$713:$L$726)/AVERAGE($M$713:$M$726))))</f>
        <v>0</v>
      </c>
      <c r="O726">
        <f>IF($E726="","",IF($E725="",$E726,$E726*0.1538461538+O725*0.8461538462))</f>
        <v>0</v>
      </c>
      <c r="P726">
        <f>IF($E726="","",IF($E725="",$E726,$E726*0.0740740741+P725*0.9259259259))</f>
        <v>0</v>
      </c>
      <c r="Q726">
        <f>IF(OR(O726="",P726=""),"",O726-P726)</f>
        <v>0</v>
      </c>
      <c r="R726">
        <f>IF(Q726="","",IF(R725="",Q726,Q726*0.2000000000+R725*0.8000000000))</f>
        <v>0</v>
      </c>
      <c r="S726">
        <f>IF(OR(Q726="",R726=""),"",Q726-R726)</f>
        <v>0</v>
      </c>
      <c r="T726">
        <f>IF(COUNT($E$2:$E726)&lt;14,"",MAX($C$713:$C$726))</f>
        <v>0</v>
      </c>
      <c r="U726">
        <f>IF(COUNT($E$2:$E726)&lt;14,"",MIN($D$713:$D$726))</f>
        <v>0</v>
      </c>
      <c r="V726">
        <f>IF(OR(T726="",U726="",T726=U726),"",100*($E726-U726)/(T726-U726))</f>
        <v>0</v>
      </c>
      <c r="W726">
        <f>IF(COUNT($V$724:$V$726)&lt;3,"",AVERAGE($V$724:$V$726))</f>
        <v>0</v>
      </c>
      <c r="X726">
        <f>IF(COUNT($N$713:$N$726)&lt;14,"",MIN($N$713:$N$726))</f>
        <v>0</v>
      </c>
      <c r="Y726">
        <f>IF(COUNT($N$713:$N$726)&lt;14,"",MAX($N$713:$N$726))</f>
        <v>0</v>
      </c>
      <c r="Z726">
        <f>IF(OR(N726="",X726="",Y726="",Y726=X726),"",100*(N726-X726)/(Y726-X726))</f>
        <v>0</v>
      </c>
      <c r="AA726">
        <f>IF(COUNT($Z$724:$Z$726)&lt;3,"",AVERAGE($Z$724:$Z$726))</f>
        <v>0</v>
      </c>
      <c r="AB726">
        <f>IF(COUNT($AA$724:$AA$726)&lt;3,"",AVERAGE($AA$724:$AA$726))</f>
        <v>0</v>
      </c>
      <c r="AC726">
        <f>IF($E726="","",MAX($C726-$D726,ABS($C726-$E725),ABS($D726-$E725)))</f>
        <v>0</v>
      </c>
      <c r="AD726">
        <f>IF(COUNT($E$2:$E726)&lt;15,"",AVERAGE($AC$713:$AC$726))</f>
        <v>0</v>
      </c>
      <c r="AE726">
        <f>IF(OR($E726="",$E725=""),"",IF(AND(($C726-$C725)&gt;($D725-$D726),($C726-$C725)&gt;0),$C726-$C725,0))</f>
        <v>0</v>
      </c>
      <c r="AF726">
        <f>IF(OR($E726="",$E725=""),"",IF(AND(($D725-$D726)&gt;($C726-$C725),($D725-$D726)&gt;0),$D725-$D726,0))</f>
        <v>0</v>
      </c>
      <c r="AG726">
        <f>IF(COUNT($E$2:$E726)&lt;15,"",IF(SUM($AC$713:$AC$726)=0,0,100*SUM($AE$713:$AE$726)/SUM($AC$713:$AC$726)))</f>
        <v>0</v>
      </c>
      <c r="AH726">
        <f>IF(COUNT($E$2:$E726)&lt;15,"",IF(SUM($AC$713:$AC$726)=0,0,100*SUM($AF$713:$AF$726)/SUM($AC$713:$AC$726)))</f>
        <v>0</v>
      </c>
      <c r="AI726">
        <f>IF(OR(AG726="",AH726=""),"",IF((AG726+AH726)=0,0,100*ABS(AG726-AH726)/(AG726+AH726)))</f>
        <v>0</v>
      </c>
      <c r="AJ726">
        <f>IF(COUNT($AI$713:$AI$726)&lt;14,"",AVERAGE($AI$713:$AI$726))</f>
        <v>0</v>
      </c>
      <c r="AK726">
        <f>IF(COUNT($E$2:$E726)&lt;20,"",AVERAGE($E$707:$E$726))</f>
        <v>0</v>
      </c>
      <c r="AL726">
        <f>IF(COUNT($E$2:$E726)&lt;20,"",STDEVP($E$707:$E$726))</f>
        <v>0</v>
      </c>
      <c r="AM726">
        <f>IF(AK726="","",AK726+2*AL726)</f>
        <v>0</v>
      </c>
      <c r="AN726">
        <f>IF(AK726="","",AK726-2*AL726)</f>
        <v>0</v>
      </c>
      <c r="AO726">
        <f>IF(OR(AM726="",AN726="",AM726=AN726),"",($E726-AN726)/(AM726-AN726))</f>
        <v>0</v>
      </c>
      <c r="AP726">
        <f>IF(OR(AM726="",AK726="",AK726=0),"",(AM726-AN726)/AK726)</f>
        <v>0</v>
      </c>
      <c r="AQ726">
        <f>IF(COUNT($E$2:$E726)&lt;20,"",MAX($C$707:$C$726))</f>
        <v>0</v>
      </c>
      <c r="AR726">
        <f>IF(COUNT($E$2:$E726)&lt;20,"",MIN($D$707:$D$726))</f>
        <v>0</v>
      </c>
      <c r="AS726">
        <f>IF(OR(AQ726="",AR726=""),"",(AQ726+AR726)/2)</f>
        <v>0</v>
      </c>
      <c r="AT726">
        <f>IF(COUNT($G$707:$G$726)&lt;20,"",STDEV($G$707:$G$726)*SQRT(252))</f>
        <v>0</v>
      </c>
      <c r="AU726">
        <f>IF(COUNT($E$2:$E726)&lt;9,"",(MAX($C$718:$C$726)+MIN($D$718:$D$726))/2)</f>
        <v>0</v>
      </c>
      <c r="AV726">
        <f>IF(COUNT($E$2:$E726)&lt;26,"",(MAX($C$701:$C$726)+MIN($D$701:$D$726))/2)</f>
        <v>0</v>
      </c>
      <c r="AW726">
        <f>IF(OR(AU726="",AV726=""),"",(AU726+AV726)/2)</f>
        <v>0</v>
      </c>
      <c r="AX726">
        <f>IF(COUNT($E$2:$E726)&lt;52,"",(MAX($C$675:$C$726)+MIN($D$675:$D$726))/2)</f>
        <v>0</v>
      </c>
      <c r="AY726">
        <f>IF(COUNT($E$2:$E726)&lt;20,"",MAX($C$627:$C$726))</f>
        <v>0</v>
      </c>
      <c r="AZ726">
        <f>IF(COUNT($E$2:$E726)&lt;20,"",MIN($D$627:$D$726))</f>
        <v>0</v>
      </c>
      <c r="BA726">
        <f>IF(COUNT($E$2:$E726)&lt;20,"",SLOPE($E$627:$E$726,$F$627:$F$726))</f>
        <v>0</v>
      </c>
      <c r="BB726">
        <f>IF(COUNT($E$2:$E726)&lt;20,"",INTERCEPT($E$627:$E$726,$F$627:$F$726))</f>
        <v>0</v>
      </c>
      <c r="BC726">
        <f>IF(OR(BA726="",BB726=""),"",BB726+BA726*F726)</f>
        <v>0</v>
      </c>
      <c r="BD726">
        <f>IF(COUNT($E$2:$E726)&lt;20,"",STEYX($E$627:$E$726,$F$627:$F$726))</f>
        <v>0</v>
      </c>
      <c r="BE726">
        <f>IF($E726="","",IF(AND(COUNT($E$727:$E$730)&gt;=4,$C726=MAX($C$722:$C$730)),$C726,""))</f>
        <v>0</v>
      </c>
      <c r="BF726">
        <f>IF($E726="","",IF(AND(COUNT($E$727:$E$730)&gt;=4,$D726=MIN($D$722:$D$730)),$D726,""))</f>
        <v>0</v>
      </c>
      <c r="BG726">
        <f>IF($A726="","",$A726-WEEKDAY($A726,2)+1)</f>
        <v>0</v>
      </c>
      <c r="BH726">
        <f>IF($A726="","",IF($A725="",1,IF(BG726&lt;&gt;BG725,1,0)))</f>
        <v>0</v>
      </c>
      <c r="BI726">
        <f>IF($A726="","",IF($A727="",1,IF(BG727&lt;&gt;BG726,1,0)))</f>
        <v>0</v>
      </c>
      <c r="BJ726">
        <f>IF($A726="","",IF(BH726=1,$B726,BJ725))</f>
        <v>0</v>
      </c>
      <c r="BK726">
        <f>IF($A726="","",IF(BH726=1,$C726,MAX($C726,BK725)))</f>
        <v>0</v>
      </c>
      <c r="BL726">
        <f>IF($A726="","",IF(BH726=1,$D726,MIN($D726,BL725)))</f>
        <v>0</v>
      </c>
      <c r="BM726">
        <f>IF($A726="","",IF(BI726=1,F726,""))</f>
        <v>0</v>
      </c>
      <c r="BN726">
        <f>IF($A726="","",DATE(YEAR($A726),MONTH($A726),1))</f>
        <v>0</v>
      </c>
      <c r="BO726">
        <f>IF($A726="","",IF($A725="",1,IF(BN726&lt;&gt;BN725,1,0)))</f>
        <v>0</v>
      </c>
      <c r="BP726">
        <f>IF($A726="","",IF($A727="",1,IF(BN727&lt;&gt;BN726,1,0)))</f>
        <v>0</v>
      </c>
      <c r="BQ726">
        <f>IF($A726="","",IF(BO726=1,$B726,BQ725))</f>
        <v>0</v>
      </c>
      <c r="BR726">
        <f>IF($A726="","",IF(BO726=1,$C726,MAX($C726,BR725)))</f>
        <v>0</v>
      </c>
      <c r="BS726">
        <f>IF($A726="","",IF(BO726=1,$D726,MIN($D726,BS725)))</f>
        <v>0</v>
      </c>
      <c r="BT726">
        <f>IF($A726="","",IF(BP726=1,F726,""))</f>
        <v>0</v>
      </c>
    </row>
    <row r="727" spans="1:72">
      <c r="A727" s="27">
        <f>IF(Data!$A727="","",Data!$A727)</f>
        <v>0</v>
      </c>
      <c r="B727">
        <f>IF(Data!$B727="","",Data!$B727)</f>
        <v>0</v>
      </c>
      <c r="C727">
        <f>IF(Data!$C727="","",Data!$C727)</f>
        <v>0</v>
      </c>
      <c r="D727">
        <f>IF(Data!$D727="","",Data!$D727)</f>
        <v>0</v>
      </c>
      <c r="E727">
        <f>IF(Data!$E727="","",Data!$E727)</f>
        <v>0</v>
      </c>
      <c r="F727">
        <f>IF($E727="","",N(F726)+1)</f>
        <v>0</v>
      </c>
      <c r="G727">
        <f>IF(OR($E727="",$E726=""),"",LN($E727/$E726))</f>
        <v>0</v>
      </c>
      <c r="H727">
        <f>IF($E727="","",IF($E726="",$E727,$E727*0.0952380952+H726*0.9047619048))</f>
        <v>0</v>
      </c>
      <c r="I727">
        <f>IF($E727="","",IF($E726="",$E727,$E727*0.0392156863+I726*0.9607843137))</f>
        <v>0</v>
      </c>
      <c r="J727">
        <f>IF($E727="","",IF($E726="",$E727,$E727*0.0198019802+J726*0.9801980198))</f>
        <v>0</v>
      </c>
      <c r="K727">
        <f>IF($E727="","",IF($E726="",$E727,$E727*0.0099502488+K726*0.9900497512))</f>
        <v>0</v>
      </c>
      <c r="L727">
        <f>IF(OR($E727="",$E726=""),"",MAX($E727-$E726,0))</f>
        <v>0</v>
      </c>
      <c r="M727">
        <f>IF(OR($E727="",$E726=""),"",MAX($E726-$E727,0))</f>
        <v>0</v>
      </c>
      <c r="N727">
        <f>IF(COUNT($E$2:$E727)&lt;15,"",IF(AVERAGE($M$714:$M$727)=0,100,100-100/(1+AVERAGE($L$714:$L$727)/AVERAGE($M$714:$M$727))))</f>
        <v>0</v>
      </c>
      <c r="O727">
        <f>IF($E727="","",IF($E726="",$E727,$E727*0.1538461538+O726*0.8461538462))</f>
        <v>0</v>
      </c>
      <c r="P727">
        <f>IF($E727="","",IF($E726="",$E727,$E727*0.0740740741+P726*0.9259259259))</f>
        <v>0</v>
      </c>
      <c r="Q727">
        <f>IF(OR(O727="",P727=""),"",O727-P727)</f>
        <v>0</v>
      </c>
      <c r="R727">
        <f>IF(Q727="","",IF(R726="",Q727,Q727*0.2000000000+R726*0.8000000000))</f>
        <v>0</v>
      </c>
      <c r="S727">
        <f>IF(OR(Q727="",R727=""),"",Q727-R727)</f>
        <v>0</v>
      </c>
      <c r="T727">
        <f>IF(COUNT($E$2:$E727)&lt;14,"",MAX($C$714:$C$727))</f>
        <v>0</v>
      </c>
      <c r="U727">
        <f>IF(COUNT($E$2:$E727)&lt;14,"",MIN($D$714:$D$727))</f>
        <v>0</v>
      </c>
      <c r="V727">
        <f>IF(OR(T727="",U727="",T727=U727),"",100*($E727-U727)/(T727-U727))</f>
        <v>0</v>
      </c>
      <c r="W727">
        <f>IF(COUNT($V$725:$V$727)&lt;3,"",AVERAGE($V$725:$V$727))</f>
        <v>0</v>
      </c>
      <c r="X727">
        <f>IF(COUNT($N$714:$N$727)&lt;14,"",MIN($N$714:$N$727))</f>
        <v>0</v>
      </c>
      <c r="Y727">
        <f>IF(COUNT($N$714:$N$727)&lt;14,"",MAX($N$714:$N$727))</f>
        <v>0</v>
      </c>
      <c r="Z727">
        <f>IF(OR(N727="",X727="",Y727="",Y727=X727),"",100*(N727-X727)/(Y727-X727))</f>
        <v>0</v>
      </c>
      <c r="AA727">
        <f>IF(COUNT($Z$725:$Z$727)&lt;3,"",AVERAGE($Z$725:$Z$727))</f>
        <v>0</v>
      </c>
      <c r="AB727">
        <f>IF(COUNT($AA$725:$AA$727)&lt;3,"",AVERAGE($AA$725:$AA$727))</f>
        <v>0</v>
      </c>
      <c r="AC727">
        <f>IF($E727="","",MAX($C727-$D727,ABS($C727-$E726),ABS($D727-$E726)))</f>
        <v>0</v>
      </c>
      <c r="AD727">
        <f>IF(COUNT($E$2:$E727)&lt;15,"",AVERAGE($AC$714:$AC$727))</f>
        <v>0</v>
      </c>
      <c r="AE727">
        <f>IF(OR($E727="",$E726=""),"",IF(AND(($C727-$C726)&gt;($D726-$D727),($C727-$C726)&gt;0),$C727-$C726,0))</f>
        <v>0</v>
      </c>
      <c r="AF727">
        <f>IF(OR($E727="",$E726=""),"",IF(AND(($D726-$D727)&gt;($C727-$C726),($D726-$D727)&gt;0),$D726-$D727,0))</f>
        <v>0</v>
      </c>
      <c r="AG727">
        <f>IF(COUNT($E$2:$E727)&lt;15,"",IF(SUM($AC$714:$AC$727)=0,0,100*SUM($AE$714:$AE$727)/SUM($AC$714:$AC$727)))</f>
        <v>0</v>
      </c>
      <c r="AH727">
        <f>IF(COUNT($E$2:$E727)&lt;15,"",IF(SUM($AC$714:$AC$727)=0,0,100*SUM($AF$714:$AF$727)/SUM($AC$714:$AC$727)))</f>
        <v>0</v>
      </c>
      <c r="AI727">
        <f>IF(OR(AG727="",AH727=""),"",IF((AG727+AH727)=0,0,100*ABS(AG727-AH727)/(AG727+AH727)))</f>
        <v>0</v>
      </c>
      <c r="AJ727">
        <f>IF(COUNT($AI$714:$AI$727)&lt;14,"",AVERAGE($AI$714:$AI$727))</f>
        <v>0</v>
      </c>
      <c r="AK727">
        <f>IF(COUNT($E$2:$E727)&lt;20,"",AVERAGE($E$708:$E$727))</f>
        <v>0</v>
      </c>
      <c r="AL727">
        <f>IF(COUNT($E$2:$E727)&lt;20,"",STDEVP($E$708:$E$727))</f>
        <v>0</v>
      </c>
      <c r="AM727">
        <f>IF(AK727="","",AK727+2*AL727)</f>
        <v>0</v>
      </c>
      <c r="AN727">
        <f>IF(AK727="","",AK727-2*AL727)</f>
        <v>0</v>
      </c>
      <c r="AO727">
        <f>IF(OR(AM727="",AN727="",AM727=AN727),"",($E727-AN727)/(AM727-AN727))</f>
        <v>0</v>
      </c>
      <c r="AP727">
        <f>IF(OR(AM727="",AK727="",AK727=0),"",(AM727-AN727)/AK727)</f>
        <v>0</v>
      </c>
      <c r="AQ727">
        <f>IF(COUNT($E$2:$E727)&lt;20,"",MAX($C$708:$C$727))</f>
        <v>0</v>
      </c>
      <c r="AR727">
        <f>IF(COUNT($E$2:$E727)&lt;20,"",MIN($D$708:$D$727))</f>
        <v>0</v>
      </c>
      <c r="AS727">
        <f>IF(OR(AQ727="",AR727=""),"",(AQ727+AR727)/2)</f>
        <v>0</v>
      </c>
      <c r="AT727">
        <f>IF(COUNT($G$708:$G$727)&lt;20,"",STDEV($G$708:$G$727)*SQRT(252))</f>
        <v>0</v>
      </c>
      <c r="AU727">
        <f>IF(COUNT($E$2:$E727)&lt;9,"",(MAX($C$719:$C$727)+MIN($D$719:$D$727))/2)</f>
        <v>0</v>
      </c>
      <c r="AV727">
        <f>IF(COUNT($E$2:$E727)&lt;26,"",(MAX($C$702:$C$727)+MIN($D$702:$D$727))/2)</f>
        <v>0</v>
      </c>
      <c r="AW727">
        <f>IF(OR(AU727="",AV727=""),"",(AU727+AV727)/2)</f>
        <v>0</v>
      </c>
      <c r="AX727">
        <f>IF(COUNT($E$2:$E727)&lt;52,"",(MAX($C$676:$C$727)+MIN($D$676:$D$727))/2)</f>
        <v>0</v>
      </c>
      <c r="AY727">
        <f>IF(COUNT($E$2:$E727)&lt;20,"",MAX($C$628:$C$727))</f>
        <v>0</v>
      </c>
      <c r="AZ727">
        <f>IF(COUNT($E$2:$E727)&lt;20,"",MIN($D$628:$D$727))</f>
        <v>0</v>
      </c>
      <c r="BA727">
        <f>IF(COUNT($E$2:$E727)&lt;20,"",SLOPE($E$628:$E$727,$F$628:$F$727))</f>
        <v>0</v>
      </c>
      <c r="BB727">
        <f>IF(COUNT($E$2:$E727)&lt;20,"",INTERCEPT($E$628:$E$727,$F$628:$F$727))</f>
        <v>0</v>
      </c>
      <c r="BC727">
        <f>IF(OR(BA727="",BB727=""),"",BB727+BA727*F727)</f>
        <v>0</v>
      </c>
      <c r="BD727">
        <f>IF(COUNT($E$2:$E727)&lt;20,"",STEYX($E$628:$E$727,$F$628:$F$727))</f>
        <v>0</v>
      </c>
      <c r="BE727">
        <f>IF($E727="","",IF(AND(COUNT($E$728:$E$731)&gt;=4,$C727=MAX($C$723:$C$731)),$C727,""))</f>
        <v>0</v>
      </c>
      <c r="BF727">
        <f>IF($E727="","",IF(AND(COUNT($E$728:$E$731)&gt;=4,$D727=MIN($D$723:$D$731)),$D727,""))</f>
        <v>0</v>
      </c>
      <c r="BG727">
        <f>IF($A727="","",$A727-WEEKDAY($A727,2)+1)</f>
        <v>0</v>
      </c>
      <c r="BH727">
        <f>IF($A727="","",IF($A726="",1,IF(BG727&lt;&gt;BG726,1,0)))</f>
        <v>0</v>
      </c>
      <c r="BI727">
        <f>IF($A727="","",IF($A728="",1,IF(BG728&lt;&gt;BG727,1,0)))</f>
        <v>0</v>
      </c>
      <c r="BJ727">
        <f>IF($A727="","",IF(BH727=1,$B727,BJ726))</f>
        <v>0</v>
      </c>
      <c r="BK727">
        <f>IF($A727="","",IF(BH727=1,$C727,MAX($C727,BK726)))</f>
        <v>0</v>
      </c>
      <c r="BL727">
        <f>IF($A727="","",IF(BH727=1,$D727,MIN($D727,BL726)))</f>
        <v>0</v>
      </c>
      <c r="BM727">
        <f>IF($A727="","",IF(BI727=1,F727,""))</f>
        <v>0</v>
      </c>
      <c r="BN727">
        <f>IF($A727="","",DATE(YEAR($A727),MONTH($A727),1))</f>
        <v>0</v>
      </c>
      <c r="BO727">
        <f>IF($A727="","",IF($A726="",1,IF(BN727&lt;&gt;BN726,1,0)))</f>
        <v>0</v>
      </c>
      <c r="BP727">
        <f>IF($A727="","",IF($A728="",1,IF(BN728&lt;&gt;BN727,1,0)))</f>
        <v>0</v>
      </c>
      <c r="BQ727">
        <f>IF($A727="","",IF(BO727=1,$B727,BQ726))</f>
        <v>0</v>
      </c>
      <c r="BR727">
        <f>IF($A727="","",IF(BO727=1,$C727,MAX($C727,BR726)))</f>
        <v>0</v>
      </c>
      <c r="BS727">
        <f>IF($A727="","",IF(BO727=1,$D727,MIN($D727,BS726)))</f>
        <v>0</v>
      </c>
      <c r="BT727">
        <f>IF($A727="","",IF(BP727=1,F727,""))</f>
        <v>0</v>
      </c>
    </row>
    <row r="728" spans="1:72">
      <c r="A728" s="27">
        <f>IF(Data!$A728="","",Data!$A728)</f>
        <v>0</v>
      </c>
      <c r="B728">
        <f>IF(Data!$B728="","",Data!$B728)</f>
        <v>0</v>
      </c>
      <c r="C728">
        <f>IF(Data!$C728="","",Data!$C728)</f>
        <v>0</v>
      </c>
      <c r="D728">
        <f>IF(Data!$D728="","",Data!$D728)</f>
        <v>0</v>
      </c>
      <c r="E728">
        <f>IF(Data!$E728="","",Data!$E728)</f>
        <v>0</v>
      </c>
      <c r="F728">
        <f>IF($E728="","",N(F727)+1)</f>
        <v>0</v>
      </c>
      <c r="G728">
        <f>IF(OR($E728="",$E727=""),"",LN($E728/$E727))</f>
        <v>0</v>
      </c>
      <c r="H728">
        <f>IF($E728="","",IF($E727="",$E728,$E728*0.0952380952+H727*0.9047619048))</f>
        <v>0</v>
      </c>
      <c r="I728">
        <f>IF($E728="","",IF($E727="",$E728,$E728*0.0392156863+I727*0.9607843137))</f>
        <v>0</v>
      </c>
      <c r="J728">
        <f>IF($E728="","",IF($E727="",$E728,$E728*0.0198019802+J727*0.9801980198))</f>
        <v>0</v>
      </c>
      <c r="K728">
        <f>IF($E728="","",IF($E727="",$E728,$E728*0.0099502488+K727*0.9900497512))</f>
        <v>0</v>
      </c>
      <c r="L728">
        <f>IF(OR($E728="",$E727=""),"",MAX($E728-$E727,0))</f>
        <v>0</v>
      </c>
      <c r="M728">
        <f>IF(OR($E728="",$E727=""),"",MAX($E727-$E728,0))</f>
        <v>0</v>
      </c>
      <c r="N728">
        <f>IF(COUNT($E$2:$E728)&lt;15,"",IF(AVERAGE($M$715:$M$728)=0,100,100-100/(1+AVERAGE($L$715:$L$728)/AVERAGE($M$715:$M$728))))</f>
        <v>0</v>
      </c>
      <c r="O728">
        <f>IF($E728="","",IF($E727="",$E728,$E728*0.1538461538+O727*0.8461538462))</f>
        <v>0</v>
      </c>
      <c r="P728">
        <f>IF($E728="","",IF($E727="",$E728,$E728*0.0740740741+P727*0.9259259259))</f>
        <v>0</v>
      </c>
      <c r="Q728">
        <f>IF(OR(O728="",P728=""),"",O728-P728)</f>
        <v>0</v>
      </c>
      <c r="R728">
        <f>IF(Q728="","",IF(R727="",Q728,Q728*0.2000000000+R727*0.8000000000))</f>
        <v>0</v>
      </c>
      <c r="S728">
        <f>IF(OR(Q728="",R728=""),"",Q728-R728)</f>
        <v>0</v>
      </c>
      <c r="T728">
        <f>IF(COUNT($E$2:$E728)&lt;14,"",MAX($C$715:$C$728))</f>
        <v>0</v>
      </c>
      <c r="U728">
        <f>IF(COUNT($E$2:$E728)&lt;14,"",MIN($D$715:$D$728))</f>
        <v>0</v>
      </c>
      <c r="V728">
        <f>IF(OR(T728="",U728="",T728=U728),"",100*($E728-U728)/(T728-U728))</f>
        <v>0</v>
      </c>
      <c r="W728">
        <f>IF(COUNT($V$726:$V$728)&lt;3,"",AVERAGE($V$726:$V$728))</f>
        <v>0</v>
      </c>
      <c r="X728">
        <f>IF(COUNT($N$715:$N$728)&lt;14,"",MIN($N$715:$N$728))</f>
        <v>0</v>
      </c>
      <c r="Y728">
        <f>IF(COUNT($N$715:$N$728)&lt;14,"",MAX($N$715:$N$728))</f>
        <v>0</v>
      </c>
      <c r="Z728">
        <f>IF(OR(N728="",X728="",Y728="",Y728=X728),"",100*(N728-X728)/(Y728-X728))</f>
        <v>0</v>
      </c>
      <c r="AA728">
        <f>IF(COUNT($Z$726:$Z$728)&lt;3,"",AVERAGE($Z$726:$Z$728))</f>
        <v>0</v>
      </c>
      <c r="AB728">
        <f>IF(COUNT($AA$726:$AA$728)&lt;3,"",AVERAGE($AA$726:$AA$728))</f>
        <v>0</v>
      </c>
      <c r="AC728">
        <f>IF($E728="","",MAX($C728-$D728,ABS($C728-$E727),ABS($D728-$E727)))</f>
        <v>0</v>
      </c>
      <c r="AD728">
        <f>IF(COUNT($E$2:$E728)&lt;15,"",AVERAGE($AC$715:$AC$728))</f>
        <v>0</v>
      </c>
      <c r="AE728">
        <f>IF(OR($E728="",$E727=""),"",IF(AND(($C728-$C727)&gt;($D727-$D728),($C728-$C727)&gt;0),$C728-$C727,0))</f>
        <v>0</v>
      </c>
      <c r="AF728">
        <f>IF(OR($E728="",$E727=""),"",IF(AND(($D727-$D728)&gt;($C728-$C727),($D727-$D728)&gt;0),$D727-$D728,0))</f>
        <v>0</v>
      </c>
      <c r="AG728">
        <f>IF(COUNT($E$2:$E728)&lt;15,"",IF(SUM($AC$715:$AC$728)=0,0,100*SUM($AE$715:$AE$728)/SUM($AC$715:$AC$728)))</f>
        <v>0</v>
      </c>
      <c r="AH728">
        <f>IF(COUNT($E$2:$E728)&lt;15,"",IF(SUM($AC$715:$AC$728)=0,0,100*SUM($AF$715:$AF$728)/SUM($AC$715:$AC$728)))</f>
        <v>0</v>
      </c>
      <c r="AI728">
        <f>IF(OR(AG728="",AH728=""),"",IF((AG728+AH728)=0,0,100*ABS(AG728-AH728)/(AG728+AH728)))</f>
        <v>0</v>
      </c>
      <c r="AJ728">
        <f>IF(COUNT($AI$715:$AI$728)&lt;14,"",AVERAGE($AI$715:$AI$728))</f>
        <v>0</v>
      </c>
      <c r="AK728">
        <f>IF(COUNT($E$2:$E728)&lt;20,"",AVERAGE($E$709:$E$728))</f>
        <v>0</v>
      </c>
      <c r="AL728">
        <f>IF(COUNT($E$2:$E728)&lt;20,"",STDEVP($E$709:$E$728))</f>
        <v>0</v>
      </c>
      <c r="AM728">
        <f>IF(AK728="","",AK728+2*AL728)</f>
        <v>0</v>
      </c>
      <c r="AN728">
        <f>IF(AK728="","",AK728-2*AL728)</f>
        <v>0</v>
      </c>
      <c r="AO728">
        <f>IF(OR(AM728="",AN728="",AM728=AN728),"",($E728-AN728)/(AM728-AN728))</f>
        <v>0</v>
      </c>
      <c r="AP728">
        <f>IF(OR(AM728="",AK728="",AK728=0),"",(AM728-AN728)/AK728)</f>
        <v>0</v>
      </c>
      <c r="AQ728">
        <f>IF(COUNT($E$2:$E728)&lt;20,"",MAX($C$709:$C$728))</f>
        <v>0</v>
      </c>
      <c r="AR728">
        <f>IF(COUNT($E$2:$E728)&lt;20,"",MIN($D$709:$D$728))</f>
        <v>0</v>
      </c>
      <c r="AS728">
        <f>IF(OR(AQ728="",AR728=""),"",(AQ728+AR728)/2)</f>
        <v>0</v>
      </c>
      <c r="AT728">
        <f>IF(COUNT($G$709:$G$728)&lt;20,"",STDEV($G$709:$G$728)*SQRT(252))</f>
        <v>0</v>
      </c>
      <c r="AU728">
        <f>IF(COUNT($E$2:$E728)&lt;9,"",(MAX($C$720:$C$728)+MIN($D$720:$D$728))/2)</f>
        <v>0</v>
      </c>
      <c r="AV728">
        <f>IF(COUNT($E$2:$E728)&lt;26,"",(MAX($C$703:$C$728)+MIN($D$703:$D$728))/2)</f>
        <v>0</v>
      </c>
      <c r="AW728">
        <f>IF(OR(AU728="",AV728=""),"",(AU728+AV728)/2)</f>
        <v>0</v>
      </c>
      <c r="AX728">
        <f>IF(COUNT($E$2:$E728)&lt;52,"",(MAX($C$677:$C$728)+MIN($D$677:$D$728))/2)</f>
        <v>0</v>
      </c>
      <c r="AY728">
        <f>IF(COUNT($E$2:$E728)&lt;20,"",MAX($C$629:$C$728))</f>
        <v>0</v>
      </c>
      <c r="AZ728">
        <f>IF(COUNT($E$2:$E728)&lt;20,"",MIN($D$629:$D$728))</f>
        <v>0</v>
      </c>
      <c r="BA728">
        <f>IF(COUNT($E$2:$E728)&lt;20,"",SLOPE($E$629:$E$728,$F$629:$F$728))</f>
        <v>0</v>
      </c>
      <c r="BB728">
        <f>IF(COUNT($E$2:$E728)&lt;20,"",INTERCEPT($E$629:$E$728,$F$629:$F$728))</f>
        <v>0</v>
      </c>
      <c r="BC728">
        <f>IF(OR(BA728="",BB728=""),"",BB728+BA728*F728)</f>
        <v>0</v>
      </c>
      <c r="BD728">
        <f>IF(COUNT($E$2:$E728)&lt;20,"",STEYX($E$629:$E$728,$F$629:$F$728))</f>
        <v>0</v>
      </c>
      <c r="BE728">
        <f>IF($E728="","",IF(AND(COUNT($E$729:$E$732)&gt;=4,$C728=MAX($C$724:$C$732)),$C728,""))</f>
        <v>0</v>
      </c>
      <c r="BF728">
        <f>IF($E728="","",IF(AND(COUNT($E$729:$E$732)&gt;=4,$D728=MIN($D$724:$D$732)),$D728,""))</f>
        <v>0</v>
      </c>
      <c r="BG728">
        <f>IF($A728="","",$A728-WEEKDAY($A728,2)+1)</f>
        <v>0</v>
      </c>
      <c r="BH728">
        <f>IF($A728="","",IF($A727="",1,IF(BG728&lt;&gt;BG727,1,0)))</f>
        <v>0</v>
      </c>
      <c r="BI728">
        <f>IF($A728="","",IF($A729="",1,IF(BG729&lt;&gt;BG728,1,0)))</f>
        <v>0</v>
      </c>
      <c r="BJ728">
        <f>IF($A728="","",IF(BH728=1,$B728,BJ727))</f>
        <v>0</v>
      </c>
      <c r="BK728">
        <f>IF($A728="","",IF(BH728=1,$C728,MAX($C728,BK727)))</f>
        <v>0</v>
      </c>
      <c r="BL728">
        <f>IF($A728="","",IF(BH728=1,$D728,MIN($D728,BL727)))</f>
        <v>0</v>
      </c>
      <c r="BM728">
        <f>IF($A728="","",IF(BI728=1,F728,""))</f>
        <v>0</v>
      </c>
      <c r="BN728">
        <f>IF($A728="","",DATE(YEAR($A728),MONTH($A728),1))</f>
        <v>0</v>
      </c>
      <c r="BO728">
        <f>IF($A728="","",IF($A727="",1,IF(BN728&lt;&gt;BN727,1,0)))</f>
        <v>0</v>
      </c>
      <c r="BP728">
        <f>IF($A728="","",IF($A729="",1,IF(BN729&lt;&gt;BN728,1,0)))</f>
        <v>0</v>
      </c>
      <c r="BQ728">
        <f>IF($A728="","",IF(BO728=1,$B728,BQ727))</f>
        <v>0</v>
      </c>
      <c r="BR728">
        <f>IF($A728="","",IF(BO728=1,$C728,MAX($C728,BR727)))</f>
        <v>0</v>
      </c>
      <c r="BS728">
        <f>IF($A728="","",IF(BO728=1,$D728,MIN($D728,BS727)))</f>
        <v>0</v>
      </c>
      <c r="BT728">
        <f>IF($A728="","",IF(BP728=1,F728,""))</f>
        <v>0</v>
      </c>
    </row>
    <row r="729" spans="1:72">
      <c r="A729" s="27">
        <f>IF(Data!$A729="","",Data!$A729)</f>
        <v>0</v>
      </c>
      <c r="B729">
        <f>IF(Data!$B729="","",Data!$B729)</f>
        <v>0</v>
      </c>
      <c r="C729">
        <f>IF(Data!$C729="","",Data!$C729)</f>
        <v>0</v>
      </c>
      <c r="D729">
        <f>IF(Data!$D729="","",Data!$D729)</f>
        <v>0</v>
      </c>
      <c r="E729">
        <f>IF(Data!$E729="","",Data!$E729)</f>
        <v>0</v>
      </c>
      <c r="F729">
        <f>IF($E729="","",N(F728)+1)</f>
        <v>0</v>
      </c>
      <c r="G729">
        <f>IF(OR($E729="",$E728=""),"",LN($E729/$E728))</f>
        <v>0</v>
      </c>
      <c r="H729">
        <f>IF($E729="","",IF($E728="",$E729,$E729*0.0952380952+H728*0.9047619048))</f>
        <v>0</v>
      </c>
      <c r="I729">
        <f>IF($E729="","",IF($E728="",$E729,$E729*0.0392156863+I728*0.9607843137))</f>
        <v>0</v>
      </c>
      <c r="J729">
        <f>IF($E729="","",IF($E728="",$E729,$E729*0.0198019802+J728*0.9801980198))</f>
        <v>0</v>
      </c>
      <c r="K729">
        <f>IF($E729="","",IF($E728="",$E729,$E729*0.0099502488+K728*0.9900497512))</f>
        <v>0</v>
      </c>
      <c r="L729">
        <f>IF(OR($E729="",$E728=""),"",MAX($E729-$E728,0))</f>
        <v>0</v>
      </c>
      <c r="M729">
        <f>IF(OR($E729="",$E728=""),"",MAX($E728-$E729,0))</f>
        <v>0</v>
      </c>
      <c r="N729">
        <f>IF(COUNT($E$2:$E729)&lt;15,"",IF(AVERAGE($M$716:$M$729)=0,100,100-100/(1+AVERAGE($L$716:$L$729)/AVERAGE($M$716:$M$729))))</f>
        <v>0</v>
      </c>
      <c r="O729">
        <f>IF($E729="","",IF($E728="",$E729,$E729*0.1538461538+O728*0.8461538462))</f>
        <v>0</v>
      </c>
      <c r="P729">
        <f>IF($E729="","",IF($E728="",$E729,$E729*0.0740740741+P728*0.9259259259))</f>
        <v>0</v>
      </c>
      <c r="Q729">
        <f>IF(OR(O729="",P729=""),"",O729-P729)</f>
        <v>0</v>
      </c>
      <c r="R729">
        <f>IF(Q729="","",IF(R728="",Q729,Q729*0.2000000000+R728*0.8000000000))</f>
        <v>0</v>
      </c>
      <c r="S729">
        <f>IF(OR(Q729="",R729=""),"",Q729-R729)</f>
        <v>0</v>
      </c>
      <c r="T729">
        <f>IF(COUNT($E$2:$E729)&lt;14,"",MAX($C$716:$C$729))</f>
        <v>0</v>
      </c>
      <c r="U729">
        <f>IF(COUNT($E$2:$E729)&lt;14,"",MIN($D$716:$D$729))</f>
        <v>0</v>
      </c>
      <c r="V729">
        <f>IF(OR(T729="",U729="",T729=U729),"",100*($E729-U729)/(T729-U729))</f>
        <v>0</v>
      </c>
      <c r="W729">
        <f>IF(COUNT($V$727:$V$729)&lt;3,"",AVERAGE($V$727:$V$729))</f>
        <v>0</v>
      </c>
      <c r="X729">
        <f>IF(COUNT($N$716:$N$729)&lt;14,"",MIN($N$716:$N$729))</f>
        <v>0</v>
      </c>
      <c r="Y729">
        <f>IF(COUNT($N$716:$N$729)&lt;14,"",MAX($N$716:$N$729))</f>
        <v>0</v>
      </c>
      <c r="Z729">
        <f>IF(OR(N729="",X729="",Y729="",Y729=X729),"",100*(N729-X729)/(Y729-X729))</f>
        <v>0</v>
      </c>
      <c r="AA729">
        <f>IF(COUNT($Z$727:$Z$729)&lt;3,"",AVERAGE($Z$727:$Z$729))</f>
        <v>0</v>
      </c>
      <c r="AB729">
        <f>IF(COUNT($AA$727:$AA$729)&lt;3,"",AVERAGE($AA$727:$AA$729))</f>
        <v>0</v>
      </c>
      <c r="AC729">
        <f>IF($E729="","",MAX($C729-$D729,ABS($C729-$E728),ABS($D729-$E728)))</f>
        <v>0</v>
      </c>
      <c r="AD729">
        <f>IF(COUNT($E$2:$E729)&lt;15,"",AVERAGE($AC$716:$AC$729))</f>
        <v>0</v>
      </c>
      <c r="AE729">
        <f>IF(OR($E729="",$E728=""),"",IF(AND(($C729-$C728)&gt;($D728-$D729),($C729-$C728)&gt;0),$C729-$C728,0))</f>
        <v>0</v>
      </c>
      <c r="AF729">
        <f>IF(OR($E729="",$E728=""),"",IF(AND(($D728-$D729)&gt;($C729-$C728),($D728-$D729)&gt;0),$D728-$D729,0))</f>
        <v>0</v>
      </c>
      <c r="AG729">
        <f>IF(COUNT($E$2:$E729)&lt;15,"",IF(SUM($AC$716:$AC$729)=0,0,100*SUM($AE$716:$AE$729)/SUM($AC$716:$AC$729)))</f>
        <v>0</v>
      </c>
      <c r="AH729">
        <f>IF(COUNT($E$2:$E729)&lt;15,"",IF(SUM($AC$716:$AC$729)=0,0,100*SUM($AF$716:$AF$729)/SUM($AC$716:$AC$729)))</f>
        <v>0</v>
      </c>
      <c r="AI729">
        <f>IF(OR(AG729="",AH729=""),"",IF((AG729+AH729)=0,0,100*ABS(AG729-AH729)/(AG729+AH729)))</f>
        <v>0</v>
      </c>
      <c r="AJ729">
        <f>IF(COUNT($AI$716:$AI$729)&lt;14,"",AVERAGE($AI$716:$AI$729))</f>
        <v>0</v>
      </c>
      <c r="AK729">
        <f>IF(COUNT($E$2:$E729)&lt;20,"",AVERAGE($E$710:$E$729))</f>
        <v>0</v>
      </c>
      <c r="AL729">
        <f>IF(COUNT($E$2:$E729)&lt;20,"",STDEVP($E$710:$E$729))</f>
        <v>0</v>
      </c>
      <c r="AM729">
        <f>IF(AK729="","",AK729+2*AL729)</f>
        <v>0</v>
      </c>
      <c r="AN729">
        <f>IF(AK729="","",AK729-2*AL729)</f>
        <v>0</v>
      </c>
      <c r="AO729">
        <f>IF(OR(AM729="",AN729="",AM729=AN729),"",($E729-AN729)/(AM729-AN729))</f>
        <v>0</v>
      </c>
      <c r="AP729">
        <f>IF(OR(AM729="",AK729="",AK729=0),"",(AM729-AN729)/AK729)</f>
        <v>0</v>
      </c>
      <c r="AQ729">
        <f>IF(COUNT($E$2:$E729)&lt;20,"",MAX($C$710:$C$729))</f>
        <v>0</v>
      </c>
      <c r="AR729">
        <f>IF(COUNT($E$2:$E729)&lt;20,"",MIN($D$710:$D$729))</f>
        <v>0</v>
      </c>
      <c r="AS729">
        <f>IF(OR(AQ729="",AR729=""),"",(AQ729+AR729)/2)</f>
        <v>0</v>
      </c>
      <c r="AT729">
        <f>IF(COUNT($G$710:$G$729)&lt;20,"",STDEV($G$710:$G$729)*SQRT(252))</f>
        <v>0</v>
      </c>
      <c r="AU729">
        <f>IF(COUNT($E$2:$E729)&lt;9,"",(MAX($C$721:$C$729)+MIN($D$721:$D$729))/2)</f>
        <v>0</v>
      </c>
      <c r="AV729">
        <f>IF(COUNT($E$2:$E729)&lt;26,"",(MAX($C$704:$C$729)+MIN($D$704:$D$729))/2)</f>
        <v>0</v>
      </c>
      <c r="AW729">
        <f>IF(OR(AU729="",AV729=""),"",(AU729+AV729)/2)</f>
        <v>0</v>
      </c>
      <c r="AX729">
        <f>IF(COUNT($E$2:$E729)&lt;52,"",(MAX($C$678:$C$729)+MIN($D$678:$D$729))/2)</f>
        <v>0</v>
      </c>
      <c r="AY729">
        <f>IF(COUNT($E$2:$E729)&lt;20,"",MAX($C$630:$C$729))</f>
        <v>0</v>
      </c>
      <c r="AZ729">
        <f>IF(COUNT($E$2:$E729)&lt;20,"",MIN($D$630:$D$729))</f>
        <v>0</v>
      </c>
      <c r="BA729">
        <f>IF(COUNT($E$2:$E729)&lt;20,"",SLOPE($E$630:$E$729,$F$630:$F$729))</f>
        <v>0</v>
      </c>
      <c r="BB729">
        <f>IF(COUNT($E$2:$E729)&lt;20,"",INTERCEPT($E$630:$E$729,$F$630:$F$729))</f>
        <v>0</v>
      </c>
      <c r="BC729">
        <f>IF(OR(BA729="",BB729=""),"",BB729+BA729*F729)</f>
        <v>0</v>
      </c>
      <c r="BD729">
        <f>IF(COUNT($E$2:$E729)&lt;20,"",STEYX($E$630:$E$729,$F$630:$F$729))</f>
        <v>0</v>
      </c>
      <c r="BE729">
        <f>IF($E729="","",IF(AND(COUNT($E$730:$E$733)&gt;=4,$C729=MAX($C$725:$C$733)),$C729,""))</f>
        <v>0</v>
      </c>
      <c r="BF729">
        <f>IF($E729="","",IF(AND(COUNT($E$730:$E$733)&gt;=4,$D729=MIN($D$725:$D$733)),$D729,""))</f>
        <v>0</v>
      </c>
      <c r="BG729">
        <f>IF($A729="","",$A729-WEEKDAY($A729,2)+1)</f>
        <v>0</v>
      </c>
      <c r="BH729">
        <f>IF($A729="","",IF($A728="",1,IF(BG729&lt;&gt;BG728,1,0)))</f>
        <v>0</v>
      </c>
      <c r="BI729">
        <f>IF($A729="","",IF($A730="",1,IF(BG730&lt;&gt;BG729,1,0)))</f>
        <v>0</v>
      </c>
      <c r="BJ729">
        <f>IF($A729="","",IF(BH729=1,$B729,BJ728))</f>
        <v>0</v>
      </c>
      <c r="BK729">
        <f>IF($A729="","",IF(BH729=1,$C729,MAX($C729,BK728)))</f>
        <v>0</v>
      </c>
      <c r="BL729">
        <f>IF($A729="","",IF(BH729=1,$D729,MIN($D729,BL728)))</f>
        <v>0</v>
      </c>
      <c r="BM729">
        <f>IF($A729="","",IF(BI729=1,F729,""))</f>
        <v>0</v>
      </c>
      <c r="BN729">
        <f>IF($A729="","",DATE(YEAR($A729),MONTH($A729),1))</f>
        <v>0</v>
      </c>
      <c r="BO729">
        <f>IF($A729="","",IF($A728="",1,IF(BN729&lt;&gt;BN728,1,0)))</f>
        <v>0</v>
      </c>
      <c r="BP729">
        <f>IF($A729="","",IF($A730="",1,IF(BN730&lt;&gt;BN729,1,0)))</f>
        <v>0</v>
      </c>
      <c r="BQ729">
        <f>IF($A729="","",IF(BO729=1,$B729,BQ728))</f>
        <v>0</v>
      </c>
      <c r="BR729">
        <f>IF($A729="","",IF(BO729=1,$C729,MAX($C729,BR728)))</f>
        <v>0</v>
      </c>
      <c r="BS729">
        <f>IF($A729="","",IF(BO729=1,$D729,MIN($D729,BS728)))</f>
        <v>0</v>
      </c>
      <c r="BT729">
        <f>IF($A729="","",IF(BP729=1,F729,""))</f>
        <v>0</v>
      </c>
    </row>
    <row r="730" spans="1:72">
      <c r="A730" s="27">
        <f>IF(Data!$A730="","",Data!$A730)</f>
        <v>0</v>
      </c>
      <c r="B730">
        <f>IF(Data!$B730="","",Data!$B730)</f>
        <v>0</v>
      </c>
      <c r="C730">
        <f>IF(Data!$C730="","",Data!$C730)</f>
        <v>0</v>
      </c>
      <c r="D730">
        <f>IF(Data!$D730="","",Data!$D730)</f>
        <v>0</v>
      </c>
      <c r="E730">
        <f>IF(Data!$E730="","",Data!$E730)</f>
        <v>0</v>
      </c>
      <c r="F730">
        <f>IF($E730="","",N(F729)+1)</f>
        <v>0</v>
      </c>
      <c r="G730">
        <f>IF(OR($E730="",$E729=""),"",LN($E730/$E729))</f>
        <v>0</v>
      </c>
      <c r="H730">
        <f>IF($E730="","",IF($E729="",$E730,$E730*0.0952380952+H729*0.9047619048))</f>
        <v>0</v>
      </c>
      <c r="I730">
        <f>IF($E730="","",IF($E729="",$E730,$E730*0.0392156863+I729*0.9607843137))</f>
        <v>0</v>
      </c>
      <c r="J730">
        <f>IF($E730="","",IF($E729="",$E730,$E730*0.0198019802+J729*0.9801980198))</f>
        <v>0</v>
      </c>
      <c r="K730">
        <f>IF($E730="","",IF($E729="",$E730,$E730*0.0099502488+K729*0.9900497512))</f>
        <v>0</v>
      </c>
      <c r="L730">
        <f>IF(OR($E730="",$E729=""),"",MAX($E730-$E729,0))</f>
        <v>0</v>
      </c>
      <c r="M730">
        <f>IF(OR($E730="",$E729=""),"",MAX($E729-$E730,0))</f>
        <v>0</v>
      </c>
      <c r="N730">
        <f>IF(COUNT($E$2:$E730)&lt;15,"",IF(AVERAGE($M$717:$M$730)=0,100,100-100/(1+AVERAGE($L$717:$L$730)/AVERAGE($M$717:$M$730))))</f>
        <v>0</v>
      </c>
      <c r="O730">
        <f>IF($E730="","",IF($E729="",$E730,$E730*0.1538461538+O729*0.8461538462))</f>
        <v>0</v>
      </c>
      <c r="P730">
        <f>IF($E730="","",IF($E729="",$E730,$E730*0.0740740741+P729*0.9259259259))</f>
        <v>0</v>
      </c>
      <c r="Q730">
        <f>IF(OR(O730="",P730=""),"",O730-P730)</f>
        <v>0</v>
      </c>
      <c r="R730">
        <f>IF(Q730="","",IF(R729="",Q730,Q730*0.2000000000+R729*0.8000000000))</f>
        <v>0</v>
      </c>
      <c r="S730">
        <f>IF(OR(Q730="",R730=""),"",Q730-R730)</f>
        <v>0</v>
      </c>
      <c r="T730">
        <f>IF(COUNT($E$2:$E730)&lt;14,"",MAX($C$717:$C$730))</f>
        <v>0</v>
      </c>
      <c r="U730">
        <f>IF(COUNT($E$2:$E730)&lt;14,"",MIN($D$717:$D$730))</f>
        <v>0</v>
      </c>
      <c r="V730">
        <f>IF(OR(T730="",U730="",T730=U730),"",100*($E730-U730)/(T730-U730))</f>
        <v>0</v>
      </c>
      <c r="W730">
        <f>IF(COUNT($V$728:$V$730)&lt;3,"",AVERAGE($V$728:$V$730))</f>
        <v>0</v>
      </c>
      <c r="X730">
        <f>IF(COUNT($N$717:$N$730)&lt;14,"",MIN($N$717:$N$730))</f>
        <v>0</v>
      </c>
      <c r="Y730">
        <f>IF(COUNT($N$717:$N$730)&lt;14,"",MAX($N$717:$N$730))</f>
        <v>0</v>
      </c>
      <c r="Z730">
        <f>IF(OR(N730="",X730="",Y730="",Y730=X730),"",100*(N730-X730)/(Y730-X730))</f>
        <v>0</v>
      </c>
      <c r="AA730">
        <f>IF(COUNT($Z$728:$Z$730)&lt;3,"",AVERAGE($Z$728:$Z$730))</f>
        <v>0</v>
      </c>
      <c r="AB730">
        <f>IF(COUNT($AA$728:$AA$730)&lt;3,"",AVERAGE($AA$728:$AA$730))</f>
        <v>0</v>
      </c>
      <c r="AC730">
        <f>IF($E730="","",MAX($C730-$D730,ABS($C730-$E729),ABS($D730-$E729)))</f>
        <v>0</v>
      </c>
      <c r="AD730">
        <f>IF(COUNT($E$2:$E730)&lt;15,"",AVERAGE($AC$717:$AC$730))</f>
        <v>0</v>
      </c>
      <c r="AE730">
        <f>IF(OR($E730="",$E729=""),"",IF(AND(($C730-$C729)&gt;($D729-$D730),($C730-$C729)&gt;0),$C730-$C729,0))</f>
        <v>0</v>
      </c>
      <c r="AF730">
        <f>IF(OR($E730="",$E729=""),"",IF(AND(($D729-$D730)&gt;($C730-$C729),($D729-$D730)&gt;0),$D729-$D730,0))</f>
        <v>0</v>
      </c>
      <c r="AG730">
        <f>IF(COUNT($E$2:$E730)&lt;15,"",IF(SUM($AC$717:$AC$730)=0,0,100*SUM($AE$717:$AE$730)/SUM($AC$717:$AC$730)))</f>
        <v>0</v>
      </c>
      <c r="AH730">
        <f>IF(COUNT($E$2:$E730)&lt;15,"",IF(SUM($AC$717:$AC$730)=0,0,100*SUM($AF$717:$AF$730)/SUM($AC$717:$AC$730)))</f>
        <v>0</v>
      </c>
      <c r="AI730">
        <f>IF(OR(AG730="",AH730=""),"",IF((AG730+AH730)=0,0,100*ABS(AG730-AH730)/(AG730+AH730)))</f>
        <v>0</v>
      </c>
      <c r="AJ730">
        <f>IF(COUNT($AI$717:$AI$730)&lt;14,"",AVERAGE($AI$717:$AI$730))</f>
        <v>0</v>
      </c>
      <c r="AK730">
        <f>IF(COUNT($E$2:$E730)&lt;20,"",AVERAGE($E$711:$E$730))</f>
        <v>0</v>
      </c>
      <c r="AL730">
        <f>IF(COUNT($E$2:$E730)&lt;20,"",STDEVP($E$711:$E$730))</f>
        <v>0</v>
      </c>
      <c r="AM730">
        <f>IF(AK730="","",AK730+2*AL730)</f>
        <v>0</v>
      </c>
      <c r="AN730">
        <f>IF(AK730="","",AK730-2*AL730)</f>
        <v>0</v>
      </c>
      <c r="AO730">
        <f>IF(OR(AM730="",AN730="",AM730=AN730),"",($E730-AN730)/(AM730-AN730))</f>
        <v>0</v>
      </c>
      <c r="AP730">
        <f>IF(OR(AM730="",AK730="",AK730=0),"",(AM730-AN730)/AK730)</f>
        <v>0</v>
      </c>
      <c r="AQ730">
        <f>IF(COUNT($E$2:$E730)&lt;20,"",MAX($C$711:$C$730))</f>
        <v>0</v>
      </c>
      <c r="AR730">
        <f>IF(COUNT($E$2:$E730)&lt;20,"",MIN($D$711:$D$730))</f>
        <v>0</v>
      </c>
      <c r="AS730">
        <f>IF(OR(AQ730="",AR730=""),"",(AQ730+AR730)/2)</f>
        <v>0</v>
      </c>
      <c r="AT730">
        <f>IF(COUNT($G$711:$G$730)&lt;20,"",STDEV($G$711:$G$730)*SQRT(252))</f>
        <v>0</v>
      </c>
      <c r="AU730">
        <f>IF(COUNT($E$2:$E730)&lt;9,"",(MAX($C$722:$C$730)+MIN($D$722:$D$730))/2)</f>
        <v>0</v>
      </c>
      <c r="AV730">
        <f>IF(COUNT($E$2:$E730)&lt;26,"",(MAX($C$705:$C$730)+MIN($D$705:$D$730))/2)</f>
        <v>0</v>
      </c>
      <c r="AW730">
        <f>IF(OR(AU730="",AV730=""),"",(AU730+AV730)/2)</f>
        <v>0</v>
      </c>
      <c r="AX730">
        <f>IF(COUNT($E$2:$E730)&lt;52,"",(MAX($C$679:$C$730)+MIN($D$679:$D$730))/2)</f>
        <v>0</v>
      </c>
      <c r="AY730">
        <f>IF(COUNT($E$2:$E730)&lt;20,"",MAX($C$631:$C$730))</f>
        <v>0</v>
      </c>
      <c r="AZ730">
        <f>IF(COUNT($E$2:$E730)&lt;20,"",MIN($D$631:$D$730))</f>
        <v>0</v>
      </c>
      <c r="BA730">
        <f>IF(COUNT($E$2:$E730)&lt;20,"",SLOPE($E$631:$E$730,$F$631:$F$730))</f>
        <v>0</v>
      </c>
      <c r="BB730">
        <f>IF(COUNT($E$2:$E730)&lt;20,"",INTERCEPT($E$631:$E$730,$F$631:$F$730))</f>
        <v>0</v>
      </c>
      <c r="BC730">
        <f>IF(OR(BA730="",BB730=""),"",BB730+BA730*F730)</f>
        <v>0</v>
      </c>
      <c r="BD730">
        <f>IF(COUNT($E$2:$E730)&lt;20,"",STEYX($E$631:$E$730,$F$631:$F$730))</f>
        <v>0</v>
      </c>
      <c r="BE730">
        <f>IF($E730="","",IF(AND(COUNT($E$731:$E$734)&gt;=4,$C730=MAX($C$726:$C$734)),$C730,""))</f>
        <v>0</v>
      </c>
      <c r="BF730">
        <f>IF($E730="","",IF(AND(COUNT($E$731:$E$734)&gt;=4,$D730=MIN($D$726:$D$734)),$D730,""))</f>
        <v>0</v>
      </c>
      <c r="BG730">
        <f>IF($A730="","",$A730-WEEKDAY($A730,2)+1)</f>
        <v>0</v>
      </c>
      <c r="BH730">
        <f>IF($A730="","",IF($A729="",1,IF(BG730&lt;&gt;BG729,1,0)))</f>
        <v>0</v>
      </c>
      <c r="BI730">
        <f>IF($A730="","",IF($A731="",1,IF(BG731&lt;&gt;BG730,1,0)))</f>
        <v>0</v>
      </c>
      <c r="BJ730">
        <f>IF($A730="","",IF(BH730=1,$B730,BJ729))</f>
        <v>0</v>
      </c>
      <c r="BK730">
        <f>IF($A730="","",IF(BH730=1,$C730,MAX($C730,BK729)))</f>
        <v>0</v>
      </c>
      <c r="BL730">
        <f>IF($A730="","",IF(BH730=1,$D730,MIN($D730,BL729)))</f>
        <v>0</v>
      </c>
      <c r="BM730">
        <f>IF($A730="","",IF(BI730=1,F730,""))</f>
        <v>0</v>
      </c>
      <c r="BN730">
        <f>IF($A730="","",DATE(YEAR($A730),MONTH($A730),1))</f>
        <v>0</v>
      </c>
      <c r="BO730">
        <f>IF($A730="","",IF($A729="",1,IF(BN730&lt;&gt;BN729,1,0)))</f>
        <v>0</v>
      </c>
      <c r="BP730">
        <f>IF($A730="","",IF($A731="",1,IF(BN731&lt;&gt;BN730,1,0)))</f>
        <v>0</v>
      </c>
      <c r="BQ730">
        <f>IF($A730="","",IF(BO730=1,$B730,BQ729))</f>
        <v>0</v>
      </c>
      <c r="BR730">
        <f>IF($A730="","",IF(BO730=1,$C730,MAX($C730,BR729)))</f>
        <v>0</v>
      </c>
      <c r="BS730">
        <f>IF($A730="","",IF(BO730=1,$D730,MIN($D730,BS729)))</f>
        <v>0</v>
      </c>
      <c r="BT730">
        <f>IF($A730="","",IF(BP730=1,F730,""))</f>
        <v>0</v>
      </c>
    </row>
    <row r="731" spans="1:72">
      <c r="A731" s="27">
        <f>IF(Data!$A731="","",Data!$A731)</f>
        <v>0</v>
      </c>
      <c r="B731">
        <f>IF(Data!$B731="","",Data!$B731)</f>
        <v>0</v>
      </c>
      <c r="C731">
        <f>IF(Data!$C731="","",Data!$C731)</f>
        <v>0</v>
      </c>
      <c r="D731">
        <f>IF(Data!$D731="","",Data!$D731)</f>
        <v>0</v>
      </c>
      <c r="E731">
        <f>IF(Data!$E731="","",Data!$E731)</f>
        <v>0</v>
      </c>
      <c r="F731">
        <f>IF($E731="","",N(F730)+1)</f>
        <v>0</v>
      </c>
      <c r="G731">
        <f>IF(OR($E731="",$E730=""),"",LN($E731/$E730))</f>
        <v>0</v>
      </c>
      <c r="H731">
        <f>IF($E731="","",IF($E730="",$E731,$E731*0.0952380952+H730*0.9047619048))</f>
        <v>0</v>
      </c>
      <c r="I731">
        <f>IF($E731="","",IF($E730="",$E731,$E731*0.0392156863+I730*0.9607843137))</f>
        <v>0</v>
      </c>
      <c r="J731">
        <f>IF($E731="","",IF($E730="",$E731,$E731*0.0198019802+J730*0.9801980198))</f>
        <v>0</v>
      </c>
      <c r="K731">
        <f>IF($E731="","",IF($E730="",$E731,$E731*0.0099502488+K730*0.9900497512))</f>
        <v>0</v>
      </c>
      <c r="L731">
        <f>IF(OR($E731="",$E730=""),"",MAX($E731-$E730,0))</f>
        <v>0</v>
      </c>
      <c r="M731">
        <f>IF(OR($E731="",$E730=""),"",MAX($E730-$E731,0))</f>
        <v>0</v>
      </c>
      <c r="N731">
        <f>IF(COUNT($E$2:$E731)&lt;15,"",IF(AVERAGE($M$718:$M$731)=0,100,100-100/(1+AVERAGE($L$718:$L$731)/AVERAGE($M$718:$M$731))))</f>
        <v>0</v>
      </c>
      <c r="O731">
        <f>IF($E731="","",IF($E730="",$E731,$E731*0.1538461538+O730*0.8461538462))</f>
        <v>0</v>
      </c>
      <c r="P731">
        <f>IF($E731="","",IF($E730="",$E731,$E731*0.0740740741+P730*0.9259259259))</f>
        <v>0</v>
      </c>
      <c r="Q731">
        <f>IF(OR(O731="",P731=""),"",O731-P731)</f>
        <v>0</v>
      </c>
      <c r="R731">
        <f>IF(Q731="","",IF(R730="",Q731,Q731*0.2000000000+R730*0.8000000000))</f>
        <v>0</v>
      </c>
      <c r="S731">
        <f>IF(OR(Q731="",R731=""),"",Q731-R731)</f>
        <v>0</v>
      </c>
      <c r="T731">
        <f>IF(COUNT($E$2:$E731)&lt;14,"",MAX($C$718:$C$731))</f>
        <v>0</v>
      </c>
      <c r="U731">
        <f>IF(COUNT($E$2:$E731)&lt;14,"",MIN($D$718:$D$731))</f>
        <v>0</v>
      </c>
      <c r="V731">
        <f>IF(OR(T731="",U731="",T731=U731),"",100*($E731-U731)/(T731-U731))</f>
        <v>0</v>
      </c>
      <c r="W731">
        <f>IF(COUNT($V$729:$V$731)&lt;3,"",AVERAGE($V$729:$V$731))</f>
        <v>0</v>
      </c>
      <c r="X731">
        <f>IF(COUNT($N$718:$N$731)&lt;14,"",MIN($N$718:$N$731))</f>
        <v>0</v>
      </c>
      <c r="Y731">
        <f>IF(COUNT($N$718:$N$731)&lt;14,"",MAX($N$718:$N$731))</f>
        <v>0</v>
      </c>
      <c r="Z731">
        <f>IF(OR(N731="",X731="",Y731="",Y731=X731),"",100*(N731-X731)/(Y731-X731))</f>
        <v>0</v>
      </c>
      <c r="AA731">
        <f>IF(COUNT($Z$729:$Z$731)&lt;3,"",AVERAGE($Z$729:$Z$731))</f>
        <v>0</v>
      </c>
      <c r="AB731">
        <f>IF(COUNT($AA$729:$AA$731)&lt;3,"",AVERAGE($AA$729:$AA$731))</f>
        <v>0</v>
      </c>
      <c r="AC731">
        <f>IF($E731="","",MAX($C731-$D731,ABS($C731-$E730),ABS($D731-$E730)))</f>
        <v>0</v>
      </c>
      <c r="AD731">
        <f>IF(COUNT($E$2:$E731)&lt;15,"",AVERAGE($AC$718:$AC$731))</f>
        <v>0</v>
      </c>
      <c r="AE731">
        <f>IF(OR($E731="",$E730=""),"",IF(AND(($C731-$C730)&gt;($D730-$D731),($C731-$C730)&gt;0),$C731-$C730,0))</f>
        <v>0</v>
      </c>
      <c r="AF731">
        <f>IF(OR($E731="",$E730=""),"",IF(AND(($D730-$D731)&gt;($C731-$C730),($D730-$D731)&gt;0),$D730-$D731,0))</f>
        <v>0</v>
      </c>
      <c r="AG731">
        <f>IF(COUNT($E$2:$E731)&lt;15,"",IF(SUM($AC$718:$AC$731)=0,0,100*SUM($AE$718:$AE$731)/SUM($AC$718:$AC$731)))</f>
        <v>0</v>
      </c>
      <c r="AH731">
        <f>IF(COUNT($E$2:$E731)&lt;15,"",IF(SUM($AC$718:$AC$731)=0,0,100*SUM($AF$718:$AF$731)/SUM($AC$718:$AC$731)))</f>
        <v>0</v>
      </c>
      <c r="AI731">
        <f>IF(OR(AG731="",AH731=""),"",IF((AG731+AH731)=0,0,100*ABS(AG731-AH731)/(AG731+AH731)))</f>
        <v>0</v>
      </c>
      <c r="AJ731">
        <f>IF(COUNT($AI$718:$AI$731)&lt;14,"",AVERAGE($AI$718:$AI$731))</f>
        <v>0</v>
      </c>
      <c r="AK731">
        <f>IF(COUNT($E$2:$E731)&lt;20,"",AVERAGE($E$712:$E$731))</f>
        <v>0</v>
      </c>
      <c r="AL731">
        <f>IF(COUNT($E$2:$E731)&lt;20,"",STDEVP($E$712:$E$731))</f>
        <v>0</v>
      </c>
      <c r="AM731">
        <f>IF(AK731="","",AK731+2*AL731)</f>
        <v>0</v>
      </c>
      <c r="AN731">
        <f>IF(AK731="","",AK731-2*AL731)</f>
        <v>0</v>
      </c>
      <c r="AO731">
        <f>IF(OR(AM731="",AN731="",AM731=AN731),"",($E731-AN731)/(AM731-AN731))</f>
        <v>0</v>
      </c>
      <c r="AP731">
        <f>IF(OR(AM731="",AK731="",AK731=0),"",(AM731-AN731)/AK731)</f>
        <v>0</v>
      </c>
      <c r="AQ731">
        <f>IF(COUNT($E$2:$E731)&lt;20,"",MAX($C$712:$C$731))</f>
        <v>0</v>
      </c>
      <c r="AR731">
        <f>IF(COUNT($E$2:$E731)&lt;20,"",MIN($D$712:$D$731))</f>
        <v>0</v>
      </c>
      <c r="AS731">
        <f>IF(OR(AQ731="",AR731=""),"",(AQ731+AR731)/2)</f>
        <v>0</v>
      </c>
      <c r="AT731">
        <f>IF(COUNT($G$712:$G$731)&lt;20,"",STDEV($G$712:$G$731)*SQRT(252))</f>
        <v>0</v>
      </c>
      <c r="AU731">
        <f>IF(COUNT($E$2:$E731)&lt;9,"",(MAX($C$723:$C$731)+MIN($D$723:$D$731))/2)</f>
        <v>0</v>
      </c>
      <c r="AV731">
        <f>IF(COUNT($E$2:$E731)&lt;26,"",(MAX($C$706:$C$731)+MIN($D$706:$D$731))/2)</f>
        <v>0</v>
      </c>
      <c r="AW731">
        <f>IF(OR(AU731="",AV731=""),"",(AU731+AV731)/2)</f>
        <v>0</v>
      </c>
      <c r="AX731">
        <f>IF(COUNT($E$2:$E731)&lt;52,"",(MAX($C$680:$C$731)+MIN($D$680:$D$731))/2)</f>
        <v>0</v>
      </c>
      <c r="AY731">
        <f>IF(COUNT($E$2:$E731)&lt;20,"",MAX($C$632:$C$731))</f>
        <v>0</v>
      </c>
      <c r="AZ731">
        <f>IF(COUNT($E$2:$E731)&lt;20,"",MIN($D$632:$D$731))</f>
        <v>0</v>
      </c>
      <c r="BA731">
        <f>IF(COUNT($E$2:$E731)&lt;20,"",SLOPE($E$632:$E$731,$F$632:$F$731))</f>
        <v>0</v>
      </c>
      <c r="BB731">
        <f>IF(COUNT($E$2:$E731)&lt;20,"",INTERCEPT($E$632:$E$731,$F$632:$F$731))</f>
        <v>0</v>
      </c>
      <c r="BC731">
        <f>IF(OR(BA731="",BB731=""),"",BB731+BA731*F731)</f>
        <v>0</v>
      </c>
      <c r="BD731">
        <f>IF(COUNT($E$2:$E731)&lt;20,"",STEYX($E$632:$E$731,$F$632:$F$731))</f>
        <v>0</v>
      </c>
      <c r="BE731">
        <f>IF($E731="","",IF(AND(COUNT($E$732:$E$735)&gt;=4,$C731=MAX($C$727:$C$735)),$C731,""))</f>
        <v>0</v>
      </c>
      <c r="BF731">
        <f>IF($E731="","",IF(AND(COUNT($E$732:$E$735)&gt;=4,$D731=MIN($D$727:$D$735)),$D731,""))</f>
        <v>0</v>
      </c>
      <c r="BG731">
        <f>IF($A731="","",$A731-WEEKDAY($A731,2)+1)</f>
        <v>0</v>
      </c>
      <c r="BH731">
        <f>IF($A731="","",IF($A730="",1,IF(BG731&lt;&gt;BG730,1,0)))</f>
        <v>0</v>
      </c>
      <c r="BI731">
        <f>IF($A731="","",IF($A732="",1,IF(BG732&lt;&gt;BG731,1,0)))</f>
        <v>0</v>
      </c>
      <c r="BJ731">
        <f>IF($A731="","",IF(BH731=1,$B731,BJ730))</f>
        <v>0</v>
      </c>
      <c r="BK731">
        <f>IF($A731="","",IF(BH731=1,$C731,MAX($C731,BK730)))</f>
        <v>0</v>
      </c>
      <c r="BL731">
        <f>IF($A731="","",IF(BH731=1,$D731,MIN($D731,BL730)))</f>
        <v>0</v>
      </c>
      <c r="BM731">
        <f>IF($A731="","",IF(BI731=1,F731,""))</f>
        <v>0</v>
      </c>
      <c r="BN731">
        <f>IF($A731="","",DATE(YEAR($A731),MONTH($A731),1))</f>
        <v>0</v>
      </c>
      <c r="BO731">
        <f>IF($A731="","",IF($A730="",1,IF(BN731&lt;&gt;BN730,1,0)))</f>
        <v>0</v>
      </c>
      <c r="BP731">
        <f>IF($A731="","",IF($A732="",1,IF(BN732&lt;&gt;BN731,1,0)))</f>
        <v>0</v>
      </c>
      <c r="BQ731">
        <f>IF($A731="","",IF(BO731=1,$B731,BQ730))</f>
        <v>0</v>
      </c>
      <c r="BR731">
        <f>IF($A731="","",IF(BO731=1,$C731,MAX($C731,BR730)))</f>
        <v>0</v>
      </c>
      <c r="BS731">
        <f>IF($A731="","",IF(BO731=1,$D731,MIN($D731,BS730)))</f>
        <v>0</v>
      </c>
      <c r="BT731">
        <f>IF($A731="","",IF(BP731=1,F731,""))</f>
        <v>0</v>
      </c>
    </row>
    <row r="732" spans="1:72">
      <c r="A732" s="27">
        <f>IF(Data!$A732="","",Data!$A732)</f>
        <v>0</v>
      </c>
      <c r="B732">
        <f>IF(Data!$B732="","",Data!$B732)</f>
        <v>0</v>
      </c>
      <c r="C732">
        <f>IF(Data!$C732="","",Data!$C732)</f>
        <v>0</v>
      </c>
      <c r="D732">
        <f>IF(Data!$D732="","",Data!$D732)</f>
        <v>0</v>
      </c>
      <c r="E732">
        <f>IF(Data!$E732="","",Data!$E732)</f>
        <v>0</v>
      </c>
      <c r="F732">
        <f>IF($E732="","",N(F731)+1)</f>
        <v>0</v>
      </c>
      <c r="G732">
        <f>IF(OR($E732="",$E731=""),"",LN($E732/$E731))</f>
        <v>0</v>
      </c>
      <c r="H732">
        <f>IF($E732="","",IF($E731="",$E732,$E732*0.0952380952+H731*0.9047619048))</f>
        <v>0</v>
      </c>
      <c r="I732">
        <f>IF($E732="","",IF($E731="",$E732,$E732*0.0392156863+I731*0.9607843137))</f>
        <v>0</v>
      </c>
      <c r="J732">
        <f>IF($E732="","",IF($E731="",$E732,$E732*0.0198019802+J731*0.9801980198))</f>
        <v>0</v>
      </c>
      <c r="K732">
        <f>IF($E732="","",IF($E731="",$E732,$E732*0.0099502488+K731*0.9900497512))</f>
        <v>0</v>
      </c>
      <c r="L732">
        <f>IF(OR($E732="",$E731=""),"",MAX($E732-$E731,0))</f>
        <v>0</v>
      </c>
      <c r="M732">
        <f>IF(OR($E732="",$E731=""),"",MAX($E731-$E732,0))</f>
        <v>0</v>
      </c>
      <c r="N732">
        <f>IF(COUNT($E$2:$E732)&lt;15,"",IF(AVERAGE($M$719:$M$732)=0,100,100-100/(1+AVERAGE($L$719:$L$732)/AVERAGE($M$719:$M$732))))</f>
        <v>0</v>
      </c>
      <c r="O732">
        <f>IF($E732="","",IF($E731="",$E732,$E732*0.1538461538+O731*0.8461538462))</f>
        <v>0</v>
      </c>
      <c r="P732">
        <f>IF($E732="","",IF($E731="",$E732,$E732*0.0740740741+P731*0.9259259259))</f>
        <v>0</v>
      </c>
      <c r="Q732">
        <f>IF(OR(O732="",P732=""),"",O732-P732)</f>
        <v>0</v>
      </c>
      <c r="R732">
        <f>IF(Q732="","",IF(R731="",Q732,Q732*0.2000000000+R731*0.8000000000))</f>
        <v>0</v>
      </c>
      <c r="S732">
        <f>IF(OR(Q732="",R732=""),"",Q732-R732)</f>
        <v>0</v>
      </c>
      <c r="T732">
        <f>IF(COUNT($E$2:$E732)&lt;14,"",MAX($C$719:$C$732))</f>
        <v>0</v>
      </c>
      <c r="U732">
        <f>IF(COUNT($E$2:$E732)&lt;14,"",MIN($D$719:$D$732))</f>
        <v>0</v>
      </c>
      <c r="V732">
        <f>IF(OR(T732="",U732="",T732=U732),"",100*($E732-U732)/(T732-U732))</f>
        <v>0</v>
      </c>
      <c r="W732">
        <f>IF(COUNT($V$730:$V$732)&lt;3,"",AVERAGE($V$730:$V$732))</f>
        <v>0</v>
      </c>
      <c r="X732">
        <f>IF(COUNT($N$719:$N$732)&lt;14,"",MIN($N$719:$N$732))</f>
        <v>0</v>
      </c>
      <c r="Y732">
        <f>IF(COUNT($N$719:$N$732)&lt;14,"",MAX($N$719:$N$732))</f>
        <v>0</v>
      </c>
      <c r="Z732">
        <f>IF(OR(N732="",X732="",Y732="",Y732=X732),"",100*(N732-X732)/(Y732-X732))</f>
        <v>0</v>
      </c>
      <c r="AA732">
        <f>IF(COUNT($Z$730:$Z$732)&lt;3,"",AVERAGE($Z$730:$Z$732))</f>
        <v>0</v>
      </c>
      <c r="AB732">
        <f>IF(COUNT($AA$730:$AA$732)&lt;3,"",AVERAGE($AA$730:$AA$732))</f>
        <v>0</v>
      </c>
      <c r="AC732">
        <f>IF($E732="","",MAX($C732-$D732,ABS($C732-$E731),ABS($D732-$E731)))</f>
        <v>0</v>
      </c>
      <c r="AD732">
        <f>IF(COUNT($E$2:$E732)&lt;15,"",AVERAGE($AC$719:$AC$732))</f>
        <v>0</v>
      </c>
      <c r="AE732">
        <f>IF(OR($E732="",$E731=""),"",IF(AND(($C732-$C731)&gt;($D731-$D732),($C732-$C731)&gt;0),$C732-$C731,0))</f>
        <v>0</v>
      </c>
      <c r="AF732">
        <f>IF(OR($E732="",$E731=""),"",IF(AND(($D731-$D732)&gt;($C732-$C731),($D731-$D732)&gt;0),$D731-$D732,0))</f>
        <v>0</v>
      </c>
      <c r="AG732">
        <f>IF(COUNT($E$2:$E732)&lt;15,"",IF(SUM($AC$719:$AC$732)=0,0,100*SUM($AE$719:$AE$732)/SUM($AC$719:$AC$732)))</f>
        <v>0</v>
      </c>
      <c r="AH732">
        <f>IF(COUNT($E$2:$E732)&lt;15,"",IF(SUM($AC$719:$AC$732)=0,0,100*SUM($AF$719:$AF$732)/SUM($AC$719:$AC$732)))</f>
        <v>0</v>
      </c>
      <c r="AI732">
        <f>IF(OR(AG732="",AH732=""),"",IF((AG732+AH732)=0,0,100*ABS(AG732-AH732)/(AG732+AH732)))</f>
        <v>0</v>
      </c>
      <c r="AJ732">
        <f>IF(COUNT($AI$719:$AI$732)&lt;14,"",AVERAGE($AI$719:$AI$732))</f>
        <v>0</v>
      </c>
      <c r="AK732">
        <f>IF(COUNT($E$2:$E732)&lt;20,"",AVERAGE($E$713:$E$732))</f>
        <v>0</v>
      </c>
      <c r="AL732">
        <f>IF(COUNT($E$2:$E732)&lt;20,"",STDEVP($E$713:$E$732))</f>
        <v>0</v>
      </c>
      <c r="AM732">
        <f>IF(AK732="","",AK732+2*AL732)</f>
        <v>0</v>
      </c>
      <c r="AN732">
        <f>IF(AK732="","",AK732-2*AL732)</f>
        <v>0</v>
      </c>
      <c r="AO732">
        <f>IF(OR(AM732="",AN732="",AM732=AN732),"",($E732-AN732)/(AM732-AN732))</f>
        <v>0</v>
      </c>
      <c r="AP732">
        <f>IF(OR(AM732="",AK732="",AK732=0),"",(AM732-AN732)/AK732)</f>
        <v>0</v>
      </c>
      <c r="AQ732">
        <f>IF(COUNT($E$2:$E732)&lt;20,"",MAX($C$713:$C$732))</f>
        <v>0</v>
      </c>
      <c r="AR732">
        <f>IF(COUNT($E$2:$E732)&lt;20,"",MIN($D$713:$D$732))</f>
        <v>0</v>
      </c>
      <c r="AS732">
        <f>IF(OR(AQ732="",AR732=""),"",(AQ732+AR732)/2)</f>
        <v>0</v>
      </c>
      <c r="AT732">
        <f>IF(COUNT($G$713:$G$732)&lt;20,"",STDEV($G$713:$G$732)*SQRT(252))</f>
        <v>0</v>
      </c>
      <c r="AU732">
        <f>IF(COUNT($E$2:$E732)&lt;9,"",(MAX($C$724:$C$732)+MIN($D$724:$D$732))/2)</f>
        <v>0</v>
      </c>
      <c r="AV732">
        <f>IF(COUNT($E$2:$E732)&lt;26,"",(MAX($C$707:$C$732)+MIN($D$707:$D$732))/2)</f>
        <v>0</v>
      </c>
      <c r="AW732">
        <f>IF(OR(AU732="",AV732=""),"",(AU732+AV732)/2)</f>
        <v>0</v>
      </c>
      <c r="AX732">
        <f>IF(COUNT($E$2:$E732)&lt;52,"",(MAX($C$681:$C$732)+MIN($D$681:$D$732))/2)</f>
        <v>0</v>
      </c>
      <c r="AY732">
        <f>IF(COUNT($E$2:$E732)&lt;20,"",MAX($C$633:$C$732))</f>
        <v>0</v>
      </c>
      <c r="AZ732">
        <f>IF(COUNT($E$2:$E732)&lt;20,"",MIN($D$633:$D$732))</f>
        <v>0</v>
      </c>
      <c r="BA732">
        <f>IF(COUNT($E$2:$E732)&lt;20,"",SLOPE($E$633:$E$732,$F$633:$F$732))</f>
        <v>0</v>
      </c>
      <c r="BB732">
        <f>IF(COUNT($E$2:$E732)&lt;20,"",INTERCEPT($E$633:$E$732,$F$633:$F$732))</f>
        <v>0</v>
      </c>
      <c r="BC732">
        <f>IF(OR(BA732="",BB732=""),"",BB732+BA732*F732)</f>
        <v>0</v>
      </c>
      <c r="BD732">
        <f>IF(COUNT($E$2:$E732)&lt;20,"",STEYX($E$633:$E$732,$F$633:$F$732))</f>
        <v>0</v>
      </c>
      <c r="BE732">
        <f>IF($E732="","",IF(AND(COUNT($E$733:$E$736)&gt;=4,$C732=MAX($C$728:$C$736)),$C732,""))</f>
        <v>0</v>
      </c>
      <c r="BF732">
        <f>IF($E732="","",IF(AND(COUNT($E$733:$E$736)&gt;=4,$D732=MIN($D$728:$D$736)),$D732,""))</f>
        <v>0</v>
      </c>
      <c r="BG732">
        <f>IF($A732="","",$A732-WEEKDAY($A732,2)+1)</f>
        <v>0</v>
      </c>
      <c r="BH732">
        <f>IF($A732="","",IF($A731="",1,IF(BG732&lt;&gt;BG731,1,0)))</f>
        <v>0</v>
      </c>
      <c r="BI732">
        <f>IF($A732="","",IF($A733="",1,IF(BG733&lt;&gt;BG732,1,0)))</f>
        <v>0</v>
      </c>
      <c r="BJ732">
        <f>IF($A732="","",IF(BH732=1,$B732,BJ731))</f>
        <v>0</v>
      </c>
      <c r="BK732">
        <f>IF($A732="","",IF(BH732=1,$C732,MAX($C732,BK731)))</f>
        <v>0</v>
      </c>
      <c r="BL732">
        <f>IF($A732="","",IF(BH732=1,$D732,MIN($D732,BL731)))</f>
        <v>0</v>
      </c>
      <c r="BM732">
        <f>IF($A732="","",IF(BI732=1,F732,""))</f>
        <v>0</v>
      </c>
      <c r="BN732">
        <f>IF($A732="","",DATE(YEAR($A732),MONTH($A732),1))</f>
        <v>0</v>
      </c>
      <c r="BO732">
        <f>IF($A732="","",IF($A731="",1,IF(BN732&lt;&gt;BN731,1,0)))</f>
        <v>0</v>
      </c>
      <c r="BP732">
        <f>IF($A732="","",IF($A733="",1,IF(BN733&lt;&gt;BN732,1,0)))</f>
        <v>0</v>
      </c>
      <c r="BQ732">
        <f>IF($A732="","",IF(BO732=1,$B732,BQ731))</f>
        <v>0</v>
      </c>
      <c r="BR732">
        <f>IF($A732="","",IF(BO732=1,$C732,MAX($C732,BR731)))</f>
        <v>0</v>
      </c>
      <c r="BS732">
        <f>IF($A732="","",IF(BO732=1,$D732,MIN($D732,BS731)))</f>
        <v>0</v>
      </c>
      <c r="BT732">
        <f>IF($A732="","",IF(BP732=1,F732,""))</f>
        <v>0</v>
      </c>
    </row>
    <row r="733" spans="1:72">
      <c r="A733" s="27">
        <f>IF(Data!$A733="","",Data!$A733)</f>
        <v>0</v>
      </c>
      <c r="B733">
        <f>IF(Data!$B733="","",Data!$B733)</f>
        <v>0</v>
      </c>
      <c r="C733">
        <f>IF(Data!$C733="","",Data!$C733)</f>
        <v>0</v>
      </c>
      <c r="D733">
        <f>IF(Data!$D733="","",Data!$D733)</f>
        <v>0</v>
      </c>
      <c r="E733">
        <f>IF(Data!$E733="","",Data!$E733)</f>
        <v>0</v>
      </c>
      <c r="F733">
        <f>IF($E733="","",N(F732)+1)</f>
        <v>0</v>
      </c>
      <c r="G733">
        <f>IF(OR($E733="",$E732=""),"",LN($E733/$E732))</f>
        <v>0</v>
      </c>
      <c r="H733">
        <f>IF($E733="","",IF($E732="",$E733,$E733*0.0952380952+H732*0.9047619048))</f>
        <v>0</v>
      </c>
      <c r="I733">
        <f>IF($E733="","",IF($E732="",$E733,$E733*0.0392156863+I732*0.9607843137))</f>
        <v>0</v>
      </c>
      <c r="J733">
        <f>IF($E733="","",IF($E732="",$E733,$E733*0.0198019802+J732*0.9801980198))</f>
        <v>0</v>
      </c>
      <c r="K733">
        <f>IF($E733="","",IF($E732="",$E733,$E733*0.0099502488+K732*0.9900497512))</f>
        <v>0</v>
      </c>
      <c r="L733">
        <f>IF(OR($E733="",$E732=""),"",MAX($E733-$E732,0))</f>
        <v>0</v>
      </c>
      <c r="M733">
        <f>IF(OR($E733="",$E732=""),"",MAX($E732-$E733,0))</f>
        <v>0</v>
      </c>
      <c r="N733">
        <f>IF(COUNT($E$2:$E733)&lt;15,"",IF(AVERAGE($M$720:$M$733)=0,100,100-100/(1+AVERAGE($L$720:$L$733)/AVERAGE($M$720:$M$733))))</f>
        <v>0</v>
      </c>
      <c r="O733">
        <f>IF($E733="","",IF($E732="",$E733,$E733*0.1538461538+O732*0.8461538462))</f>
        <v>0</v>
      </c>
      <c r="P733">
        <f>IF($E733="","",IF($E732="",$E733,$E733*0.0740740741+P732*0.9259259259))</f>
        <v>0</v>
      </c>
      <c r="Q733">
        <f>IF(OR(O733="",P733=""),"",O733-P733)</f>
        <v>0</v>
      </c>
      <c r="R733">
        <f>IF(Q733="","",IF(R732="",Q733,Q733*0.2000000000+R732*0.8000000000))</f>
        <v>0</v>
      </c>
      <c r="S733">
        <f>IF(OR(Q733="",R733=""),"",Q733-R733)</f>
        <v>0</v>
      </c>
      <c r="T733">
        <f>IF(COUNT($E$2:$E733)&lt;14,"",MAX($C$720:$C$733))</f>
        <v>0</v>
      </c>
      <c r="U733">
        <f>IF(COUNT($E$2:$E733)&lt;14,"",MIN($D$720:$D$733))</f>
        <v>0</v>
      </c>
      <c r="V733">
        <f>IF(OR(T733="",U733="",T733=U733),"",100*($E733-U733)/(T733-U733))</f>
        <v>0</v>
      </c>
      <c r="W733">
        <f>IF(COUNT($V$731:$V$733)&lt;3,"",AVERAGE($V$731:$V$733))</f>
        <v>0</v>
      </c>
      <c r="X733">
        <f>IF(COUNT($N$720:$N$733)&lt;14,"",MIN($N$720:$N$733))</f>
        <v>0</v>
      </c>
      <c r="Y733">
        <f>IF(COUNT($N$720:$N$733)&lt;14,"",MAX($N$720:$N$733))</f>
        <v>0</v>
      </c>
      <c r="Z733">
        <f>IF(OR(N733="",X733="",Y733="",Y733=X733),"",100*(N733-X733)/(Y733-X733))</f>
        <v>0</v>
      </c>
      <c r="AA733">
        <f>IF(COUNT($Z$731:$Z$733)&lt;3,"",AVERAGE($Z$731:$Z$733))</f>
        <v>0</v>
      </c>
      <c r="AB733">
        <f>IF(COUNT($AA$731:$AA$733)&lt;3,"",AVERAGE($AA$731:$AA$733))</f>
        <v>0</v>
      </c>
      <c r="AC733">
        <f>IF($E733="","",MAX($C733-$D733,ABS($C733-$E732),ABS($D733-$E732)))</f>
        <v>0</v>
      </c>
      <c r="AD733">
        <f>IF(COUNT($E$2:$E733)&lt;15,"",AVERAGE($AC$720:$AC$733))</f>
        <v>0</v>
      </c>
      <c r="AE733">
        <f>IF(OR($E733="",$E732=""),"",IF(AND(($C733-$C732)&gt;($D732-$D733),($C733-$C732)&gt;0),$C733-$C732,0))</f>
        <v>0</v>
      </c>
      <c r="AF733">
        <f>IF(OR($E733="",$E732=""),"",IF(AND(($D732-$D733)&gt;($C733-$C732),($D732-$D733)&gt;0),$D732-$D733,0))</f>
        <v>0</v>
      </c>
      <c r="AG733">
        <f>IF(COUNT($E$2:$E733)&lt;15,"",IF(SUM($AC$720:$AC$733)=0,0,100*SUM($AE$720:$AE$733)/SUM($AC$720:$AC$733)))</f>
        <v>0</v>
      </c>
      <c r="AH733">
        <f>IF(COUNT($E$2:$E733)&lt;15,"",IF(SUM($AC$720:$AC$733)=0,0,100*SUM($AF$720:$AF$733)/SUM($AC$720:$AC$733)))</f>
        <v>0</v>
      </c>
      <c r="AI733">
        <f>IF(OR(AG733="",AH733=""),"",IF((AG733+AH733)=0,0,100*ABS(AG733-AH733)/(AG733+AH733)))</f>
        <v>0</v>
      </c>
      <c r="AJ733">
        <f>IF(COUNT($AI$720:$AI$733)&lt;14,"",AVERAGE($AI$720:$AI$733))</f>
        <v>0</v>
      </c>
      <c r="AK733">
        <f>IF(COUNT($E$2:$E733)&lt;20,"",AVERAGE($E$714:$E$733))</f>
        <v>0</v>
      </c>
      <c r="AL733">
        <f>IF(COUNT($E$2:$E733)&lt;20,"",STDEVP($E$714:$E$733))</f>
        <v>0</v>
      </c>
      <c r="AM733">
        <f>IF(AK733="","",AK733+2*AL733)</f>
        <v>0</v>
      </c>
      <c r="AN733">
        <f>IF(AK733="","",AK733-2*AL733)</f>
        <v>0</v>
      </c>
      <c r="AO733">
        <f>IF(OR(AM733="",AN733="",AM733=AN733),"",($E733-AN733)/(AM733-AN733))</f>
        <v>0</v>
      </c>
      <c r="AP733">
        <f>IF(OR(AM733="",AK733="",AK733=0),"",(AM733-AN733)/AK733)</f>
        <v>0</v>
      </c>
      <c r="AQ733">
        <f>IF(COUNT($E$2:$E733)&lt;20,"",MAX($C$714:$C$733))</f>
        <v>0</v>
      </c>
      <c r="AR733">
        <f>IF(COUNT($E$2:$E733)&lt;20,"",MIN($D$714:$D$733))</f>
        <v>0</v>
      </c>
      <c r="AS733">
        <f>IF(OR(AQ733="",AR733=""),"",(AQ733+AR733)/2)</f>
        <v>0</v>
      </c>
      <c r="AT733">
        <f>IF(COUNT($G$714:$G$733)&lt;20,"",STDEV($G$714:$G$733)*SQRT(252))</f>
        <v>0</v>
      </c>
      <c r="AU733">
        <f>IF(COUNT($E$2:$E733)&lt;9,"",(MAX($C$725:$C$733)+MIN($D$725:$D$733))/2)</f>
        <v>0</v>
      </c>
      <c r="AV733">
        <f>IF(COUNT($E$2:$E733)&lt;26,"",(MAX($C$708:$C$733)+MIN($D$708:$D$733))/2)</f>
        <v>0</v>
      </c>
      <c r="AW733">
        <f>IF(OR(AU733="",AV733=""),"",(AU733+AV733)/2)</f>
        <v>0</v>
      </c>
      <c r="AX733">
        <f>IF(COUNT($E$2:$E733)&lt;52,"",(MAX($C$682:$C$733)+MIN($D$682:$D$733))/2)</f>
        <v>0</v>
      </c>
      <c r="AY733">
        <f>IF(COUNT($E$2:$E733)&lt;20,"",MAX($C$634:$C$733))</f>
        <v>0</v>
      </c>
      <c r="AZ733">
        <f>IF(COUNT($E$2:$E733)&lt;20,"",MIN($D$634:$D$733))</f>
        <v>0</v>
      </c>
      <c r="BA733">
        <f>IF(COUNT($E$2:$E733)&lt;20,"",SLOPE($E$634:$E$733,$F$634:$F$733))</f>
        <v>0</v>
      </c>
      <c r="BB733">
        <f>IF(COUNT($E$2:$E733)&lt;20,"",INTERCEPT($E$634:$E$733,$F$634:$F$733))</f>
        <v>0</v>
      </c>
      <c r="BC733">
        <f>IF(OR(BA733="",BB733=""),"",BB733+BA733*F733)</f>
        <v>0</v>
      </c>
      <c r="BD733">
        <f>IF(COUNT($E$2:$E733)&lt;20,"",STEYX($E$634:$E$733,$F$634:$F$733))</f>
        <v>0</v>
      </c>
      <c r="BE733">
        <f>IF($E733="","",IF(AND(COUNT($E$734:$E$737)&gt;=4,$C733=MAX($C$729:$C$737)),$C733,""))</f>
        <v>0</v>
      </c>
      <c r="BF733">
        <f>IF($E733="","",IF(AND(COUNT($E$734:$E$737)&gt;=4,$D733=MIN($D$729:$D$737)),$D733,""))</f>
        <v>0</v>
      </c>
      <c r="BG733">
        <f>IF($A733="","",$A733-WEEKDAY($A733,2)+1)</f>
        <v>0</v>
      </c>
      <c r="BH733">
        <f>IF($A733="","",IF($A732="",1,IF(BG733&lt;&gt;BG732,1,0)))</f>
        <v>0</v>
      </c>
      <c r="BI733">
        <f>IF($A733="","",IF($A734="",1,IF(BG734&lt;&gt;BG733,1,0)))</f>
        <v>0</v>
      </c>
      <c r="BJ733">
        <f>IF($A733="","",IF(BH733=1,$B733,BJ732))</f>
        <v>0</v>
      </c>
      <c r="BK733">
        <f>IF($A733="","",IF(BH733=1,$C733,MAX($C733,BK732)))</f>
        <v>0</v>
      </c>
      <c r="BL733">
        <f>IF($A733="","",IF(BH733=1,$D733,MIN($D733,BL732)))</f>
        <v>0</v>
      </c>
      <c r="BM733">
        <f>IF($A733="","",IF(BI733=1,F733,""))</f>
        <v>0</v>
      </c>
      <c r="BN733">
        <f>IF($A733="","",DATE(YEAR($A733),MONTH($A733),1))</f>
        <v>0</v>
      </c>
      <c r="BO733">
        <f>IF($A733="","",IF($A732="",1,IF(BN733&lt;&gt;BN732,1,0)))</f>
        <v>0</v>
      </c>
      <c r="BP733">
        <f>IF($A733="","",IF($A734="",1,IF(BN734&lt;&gt;BN733,1,0)))</f>
        <v>0</v>
      </c>
      <c r="BQ733">
        <f>IF($A733="","",IF(BO733=1,$B733,BQ732))</f>
        <v>0</v>
      </c>
      <c r="BR733">
        <f>IF($A733="","",IF(BO733=1,$C733,MAX($C733,BR732)))</f>
        <v>0</v>
      </c>
      <c r="BS733">
        <f>IF($A733="","",IF(BO733=1,$D733,MIN($D733,BS732)))</f>
        <v>0</v>
      </c>
      <c r="BT733">
        <f>IF($A733="","",IF(BP733=1,F733,""))</f>
        <v>0</v>
      </c>
    </row>
    <row r="734" spans="1:72">
      <c r="A734" s="27">
        <f>IF(Data!$A734="","",Data!$A734)</f>
        <v>0</v>
      </c>
      <c r="B734">
        <f>IF(Data!$B734="","",Data!$B734)</f>
        <v>0</v>
      </c>
      <c r="C734">
        <f>IF(Data!$C734="","",Data!$C734)</f>
        <v>0</v>
      </c>
      <c r="D734">
        <f>IF(Data!$D734="","",Data!$D734)</f>
        <v>0</v>
      </c>
      <c r="E734">
        <f>IF(Data!$E734="","",Data!$E734)</f>
        <v>0</v>
      </c>
      <c r="F734">
        <f>IF($E734="","",N(F733)+1)</f>
        <v>0</v>
      </c>
      <c r="G734">
        <f>IF(OR($E734="",$E733=""),"",LN($E734/$E733))</f>
        <v>0</v>
      </c>
      <c r="H734">
        <f>IF($E734="","",IF($E733="",$E734,$E734*0.0952380952+H733*0.9047619048))</f>
        <v>0</v>
      </c>
      <c r="I734">
        <f>IF($E734="","",IF($E733="",$E734,$E734*0.0392156863+I733*0.9607843137))</f>
        <v>0</v>
      </c>
      <c r="J734">
        <f>IF($E734="","",IF($E733="",$E734,$E734*0.0198019802+J733*0.9801980198))</f>
        <v>0</v>
      </c>
      <c r="K734">
        <f>IF($E734="","",IF($E733="",$E734,$E734*0.0099502488+K733*0.9900497512))</f>
        <v>0</v>
      </c>
      <c r="L734">
        <f>IF(OR($E734="",$E733=""),"",MAX($E734-$E733,0))</f>
        <v>0</v>
      </c>
      <c r="M734">
        <f>IF(OR($E734="",$E733=""),"",MAX($E733-$E734,0))</f>
        <v>0</v>
      </c>
      <c r="N734">
        <f>IF(COUNT($E$2:$E734)&lt;15,"",IF(AVERAGE($M$721:$M$734)=0,100,100-100/(1+AVERAGE($L$721:$L$734)/AVERAGE($M$721:$M$734))))</f>
        <v>0</v>
      </c>
      <c r="O734">
        <f>IF($E734="","",IF($E733="",$E734,$E734*0.1538461538+O733*0.8461538462))</f>
        <v>0</v>
      </c>
      <c r="P734">
        <f>IF($E734="","",IF($E733="",$E734,$E734*0.0740740741+P733*0.9259259259))</f>
        <v>0</v>
      </c>
      <c r="Q734">
        <f>IF(OR(O734="",P734=""),"",O734-P734)</f>
        <v>0</v>
      </c>
      <c r="R734">
        <f>IF(Q734="","",IF(R733="",Q734,Q734*0.2000000000+R733*0.8000000000))</f>
        <v>0</v>
      </c>
      <c r="S734">
        <f>IF(OR(Q734="",R734=""),"",Q734-R734)</f>
        <v>0</v>
      </c>
      <c r="T734">
        <f>IF(COUNT($E$2:$E734)&lt;14,"",MAX($C$721:$C$734))</f>
        <v>0</v>
      </c>
      <c r="U734">
        <f>IF(COUNT($E$2:$E734)&lt;14,"",MIN($D$721:$D$734))</f>
        <v>0</v>
      </c>
      <c r="V734">
        <f>IF(OR(T734="",U734="",T734=U734),"",100*($E734-U734)/(T734-U734))</f>
        <v>0</v>
      </c>
      <c r="W734">
        <f>IF(COUNT($V$732:$V$734)&lt;3,"",AVERAGE($V$732:$V$734))</f>
        <v>0</v>
      </c>
      <c r="X734">
        <f>IF(COUNT($N$721:$N$734)&lt;14,"",MIN($N$721:$N$734))</f>
        <v>0</v>
      </c>
      <c r="Y734">
        <f>IF(COUNT($N$721:$N$734)&lt;14,"",MAX($N$721:$N$734))</f>
        <v>0</v>
      </c>
      <c r="Z734">
        <f>IF(OR(N734="",X734="",Y734="",Y734=X734),"",100*(N734-X734)/(Y734-X734))</f>
        <v>0</v>
      </c>
      <c r="AA734">
        <f>IF(COUNT($Z$732:$Z$734)&lt;3,"",AVERAGE($Z$732:$Z$734))</f>
        <v>0</v>
      </c>
      <c r="AB734">
        <f>IF(COUNT($AA$732:$AA$734)&lt;3,"",AVERAGE($AA$732:$AA$734))</f>
        <v>0</v>
      </c>
      <c r="AC734">
        <f>IF($E734="","",MAX($C734-$D734,ABS($C734-$E733),ABS($D734-$E733)))</f>
        <v>0</v>
      </c>
      <c r="AD734">
        <f>IF(COUNT($E$2:$E734)&lt;15,"",AVERAGE($AC$721:$AC$734))</f>
        <v>0</v>
      </c>
      <c r="AE734">
        <f>IF(OR($E734="",$E733=""),"",IF(AND(($C734-$C733)&gt;($D733-$D734),($C734-$C733)&gt;0),$C734-$C733,0))</f>
        <v>0</v>
      </c>
      <c r="AF734">
        <f>IF(OR($E734="",$E733=""),"",IF(AND(($D733-$D734)&gt;($C734-$C733),($D733-$D734)&gt;0),$D733-$D734,0))</f>
        <v>0</v>
      </c>
      <c r="AG734">
        <f>IF(COUNT($E$2:$E734)&lt;15,"",IF(SUM($AC$721:$AC$734)=0,0,100*SUM($AE$721:$AE$734)/SUM($AC$721:$AC$734)))</f>
        <v>0</v>
      </c>
      <c r="AH734">
        <f>IF(COUNT($E$2:$E734)&lt;15,"",IF(SUM($AC$721:$AC$734)=0,0,100*SUM($AF$721:$AF$734)/SUM($AC$721:$AC$734)))</f>
        <v>0</v>
      </c>
      <c r="AI734">
        <f>IF(OR(AG734="",AH734=""),"",IF((AG734+AH734)=0,0,100*ABS(AG734-AH734)/(AG734+AH734)))</f>
        <v>0</v>
      </c>
      <c r="AJ734">
        <f>IF(COUNT($AI$721:$AI$734)&lt;14,"",AVERAGE($AI$721:$AI$734))</f>
        <v>0</v>
      </c>
      <c r="AK734">
        <f>IF(COUNT($E$2:$E734)&lt;20,"",AVERAGE($E$715:$E$734))</f>
        <v>0</v>
      </c>
      <c r="AL734">
        <f>IF(COUNT($E$2:$E734)&lt;20,"",STDEVP($E$715:$E$734))</f>
        <v>0</v>
      </c>
      <c r="AM734">
        <f>IF(AK734="","",AK734+2*AL734)</f>
        <v>0</v>
      </c>
      <c r="AN734">
        <f>IF(AK734="","",AK734-2*AL734)</f>
        <v>0</v>
      </c>
      <c r="AO734">
        <f>IF(OR(AM734="",AN734="",AM734=AN734),"",($E734-AN734)/(AM734-AN734))</f>
        <v>0</v>
      </c>
      <c r="AP734">
        <f>IF(OR(AM734="",AK734="",AK734=0),"",(AM734-AN734)/AK734)</f>
        <v>0</v>
      </c>
      <c r="AQ734">
        <f>IF(COUNT($E$2:$E734)&lt;20,"",MAX($C$715:$C$734))</f>
        <v>0</v>
      </c>
      <c r="AR734">
        <f>IF(COUNT($E$2:$E734)&lt;20,"",MIN($D$715:$D$734))</f>
        <v>0</v>
      </c>
      <c r="AS734">
        <f>IF(OR(AQ734="",AR734=""),"",(AQ734+AR734)/2)</f>
        <v>0</v>
      </c>
      <c r="AT734">
        <f>IF(COUNT($G$715:$G$734)&lt;20,"",STDEV($G$715:$G$734)*SQRT(252))</f>
        <v>0</v>
      </c>
      <c r="AU734">
        <f>IF(COUNT($E$2:$E734)&lt;9,"",(MAX($C$726:$C$734)+MIN($D$726:$D$734))/2)</f>
        <v>0</v>
      </c>
      <c r="AV734">
        <f>IF(COUNT($E$2:$E734)&lt;26,"",(MAX($C$709:$C$734)+MIN($D$709:$D$734))/2)</f>
        <v>0</v>
      </c>
      <c r="AW734">
        <f>IF(OR(AU734="",AV734=""),"",(AU734+AV734)/2)</f>
        <v>0</v>
      </c>
      <c r="AX734">
        <f>IF(COUNT($E$2:$E734)&lt;52,"",(MAX($C$683:$C$734)+MIN($D$683:$D$734))/2)</f>
        <v>0</v>
      </c>
      <c r="AY734">
        <f>IF(COUNT($E$2:$E734)&lt;20,"",MAX($C$635:$C$734))</f>
        <v>0</v>
      </c>
      <c r="AZ734">
        <f>IF(COUNT($E$2:$E734)&lt;20,"",MIN($D$635:$D$734))</f>
        <v>0</v>
      </c>
      <c r="BA734">
        <f>IF(COUNT($E$2:$E734)&lt;20,"",SLOPE($E$635:$E$734,$F$635:$F$734))</f>
        <v>0</v>
      </c>
      <c r="BB734">
        <f>IF(COUNT($E$2:$E734)&lt;20,"",INTERCEPT($E$635:$E$734,$F$635:$F$734))</f>
        <v>0</v>
      </c>
      <c r="BC734">
        <f>IF(OR(BA734="",BB734=""),"",BB734+BA734*F734)</f>
        <v>0</v>
      </c>
      <c r="BD734">
        <f>IF(COUNT($E$2:$E734)&lt;20,"",STEYX($E$635:$E$734,$F$635:$F$734))</f>
        <v>0</v>
      </c>
      <c r="BE734">
        <f>IF($E734="","",IF(AND(COUNT($E$735:$E$738)&gt;=4,$C734=MAX($C$730:$C$738)),$C734,""))</f>
        <v>0</v>
      </c>
      <c r="BF734">
        <f>IF($E734="","",IF(AND(COUNT($E$735:$E$738)&gt;=4,$D734=MIN($D$730:$D$738)),$D734,""))</f>
        <v>0</v>
      </c>
      <c r="BG734">
        <f>IF($A734="","",$A734-WEEKDAY($A734,2)+1)</f>
        <v>0</v>
      </c>
      <c r="BH734">
        <f>IF($A734="","",IF($A733="",1,IF(BG734&lt;&gt;BG733,1,0)))</f>
        <v>0</v>
      </c>
      <c r="BI734">
        <f>IF($A734="","",IF($A735="",1,IF(BG735&lt;&gt;BG734,1,0)))</f>
        <v>0</v>
      </c>
      <c r="BJ734">
        <f>IF($A734="","",IF(BH734=1,$B734,BJ733))</f>
        <v>0</v>
      </c>
      <c r="BK734">
        <f>IF($A734="","",IF(BH734=1,$C734,MAX($C734,BK733)))</f>
        <v>0</v>
      </c>
      <c r="BL734">
        <f>IF($A734="","",IF(BH734=1,$D734,MIN($D734,BL733)))</f>
        <v>0</v>
      </c>
      <c r="BM734">
        <f>IF($A734="","",IF(BI734=1,F734,""))</f>
        <v>0</v>
      </c>
      <c r="BN734">
        <f>IF($A734="","",DATE(YEAR($A734),MONTH($A734),1))</f>
        <v>0</v>
      </c>
      <c r="BO734">
        <f>IF($A734="","",IF($A733="",1,IF(BN734&lt;&gt;BN733,1,0)))</f>
        <v>0</v>
      </c>
      <c r="BP734">
        <f>IF($A734="","",IF($A735="",1,IF(BN735&lt;&gt;BN734,1,0)))</f>
        <v>0</v>
      </c>
      <c r="BQ734">
        <f>IF($A734="","",IF(BO734=1,$B734,BQ733))</f>
        <v>0</v>
      </c>
      <c r="BR734">
        <f>IF($A734="","",IF(BO734=1,$C734,MAX($C734,BR733)))</f>
        <v>0</v>
      </c>
      <c r="BS734">
        <f>IF($A734="","",IF(BO734=1,$D734,MIN($D734,BS733)))</f>
        <v>0</v>
      </c>
      <c r="BT734">
        <f>IF($A734="","",IF(BP734=1,F734,""))</f>
        <v>0</v>
      </c>
    </row>
    <row r="735" spans="1:72">
      <c r="A735" s="27">
        <f>IF(Data!$A735="","",Data!$A735)</f>
        <v>0</v>
      </c>
      <c r="B735">
        <f>IF(Data!$B735="","",Data!$B735)</f>
        <v>0</v>
      </c>
      <c r="C735">
        <f>IF(Data!$C735="","",Data!$C735)</f>
        <v>0</v>
      </c>
      <c r="D735">
        <f>IF(Data!$D735="","",Data!$D735)</f>
        <v>0</v>
      </c>
      <c r="E735">
        <f>IF(Data!$E735="","",Data!$E735)</f>
        <v>0</v>
      </c>
      <c r="F735">
        <f>IF($E735="","",N(F734)+1)</f>
        <v>0</v>
      </c>
      <c r="G735">
        <f>IF(OR($E735="",$E734=""),"",LN($E735/$E734))</f>
        <v>0</v>
      </c>
      <c r="H735">
        <f>IF($E735="","",IF($E734="",$E735,$E735*0.0952380952+H734*0.9047619048))</f>
        <v>0</v>
      </c>
      <c r="I735">
        <f>IF($E735="","",IF($E734="",$E735,$E735*0.0392156863+I734*0.9607843137))</f>
        <v>0</v>
      </c>
      <c r="J735">
        <f>IF($E735="","",IF($E734="",$E735,$E735*0.0198019802+J734*0.9801980198))</f>
        <v>0</v>
      </c>
      <c r="K735">
        <f>IF($E735="","",IF($E734="",$E735,$E735*0.0099502488+K734*0.9900497512))</f>
        <v>0</v>
      </c>
      <c r="L735">
        <f>IF(OR($E735="",$E734=""),"",MAX($E735-$E734,0))</f>
        <v>0</v>
      </c>
      <c r="M735">
        <f>IF(OR($E735="",$E734=""),"",MAX($E734-$E735,0))</f>
        <v>0</v>
      </c>
      <c r="N735">
        <f>IF(COUNT($E$2:$E735)&lt;15,"",IF(AVERAGE($M$722:$M$735)=0,100,100-100/(1+AVERAGE($L$722:$L$735)/AVERAGE($M$722:$M$735))))</f>
        <v>0</v>
      </c>
      <c r="O735">
        <f>IF($E735="","",IF($E734="",$E735,$E735*0.1538461538+O734*0.8461538462))</f>
        <v>0</v>
      </c>
      <c r="P735">
        <f>IF($E735="","",IF($E734="",$E735,$E735*0.0740740741+P734*0.9259259259))</f>
        <v>0</v>
      </c>
      <c r="Q735">
        <f>IF(OR(O735="",P735=""),"",O735-P735)</f>
        <v>0</v>
      </c>
      <c r="R735">
        <f>IF(Q735="","",IF(R734="",Q735,Q735*0.2000000000+R734*0.8000000000))</f>
        <v>0</v>
      </c>
      <c r="S735">
        <f>IF(OR(Q735="",R735=""),"",Q735-R735)</f>
        <v>0</v>
      </c>
      <c r="T735">
        <f>IF(COUNT($E$2:$E735)&lt;14,"",MAX($C$722:$C$735))</f>
        <v>0</v>
      </c>
      <c r="U735">
        <f>IF(COUNT($E$2:$E735)&lt;14,"",MIN($D$722:$D$735))</f>
        <v>0</v>
      </c>
      <c r="V735">
        <f>IF(OR(T735="",U735="",T735=U735),"",100*($E735-U735)/(T735-U735))</f>
        <v>0</v>
      </c>
      <c r="W735">
        <f>IF(COUNT($V$733:$V$735)&lt;3,"",AVERAGE($V$733:$V$735))</f>
        <v>0</v>
      </c>
      <c r="X735">
        <f>IF(COUNT($N$722:$N$735)&lt;14,"",MIN($N$722:$N$735))</f>
        <v>0</v>
      </c>
      <c r="Y735">
        <f>IF(COUNT($N$722:$N$735)&lt;14,"",MAX($N$722:$N$735))</f>
        <v>0</v>
      </c>
      <c r="Z735">
        <f>IF(OR(N735="",X735="",Y735="",Y735=X735),"",100*(N735-X735)/(Y735-X735))</f>
        <v>0</v>
      </c>
      <c r="AA735">
        <f>IF(COUNT($Z$733:$Z$735)&lt;3,"",AVERAGE($Z$733:$Z$735))</f>
        <v>0</v>
      </c>
      <c r="AB735">
        <f>IF(COUNT($AA$733:$AA$735)&lt;3,"",AVERAGE($AA$733:$AA$735))</f>
        <v>0</v>
      </c>
      <c r="AC735">
        <f>IF($E735="","",MAX($C735-$D735,ABS($C735-$E734),ABS($D735-$E734)))</f>
        <v>0</v>
      </c>
      <c r="AD735">
        <f>IF(COUNT($E$2:$E735)&lt;15,"",AVERAGE($AC$722:$AC$735))</f>
        <v>0</v>
      </c>
      <c r="AE735">
        <f>IF(OR($E735="",$E734=""),"",IF(AND(($C735-$C734)&gt;($D734-$D735),($C735-$C734)&gt;0),$C735-$C734,0))</f>
        <v>0</v>
      </c>
      <c r="AF735">
        <f>IF(OR($E735="",$E734=""),"",IF(AND(($D734-$D735)&gt;($C735-$C734),($D734-$D735)&gt;0),$D734-$D735,0))</f>
        <v>0</v>
      </c>
      <c r="AG735">
        <f>IF(COUNT($E$2:$E735)&lt;15,"",IF(SUM($AC$722:$AC$735)=0,0,100*SUM($AE$722:$AE$735)/SUM($AC$722:$AC$735)))</f>
        <v>0</v>
      </c>
      <c r="AH735">
        <f>IF(COUNT($E$2:$E735)&lt;15,"",IF(SUM($AC$722:$AC$735)=0,0,100*SUM($AF$722:$AF$735)/SUM($AC$722:$AC$735)))</f>
        <v>0</v>
      </c>
      <c r="AI735">
        <f>IF(OR(AG735="",AH735=""),"",IF((AG735+AH735)=0,0,100*ABS(AG735-AH735)/(AG735+AH735)))</f>
        <v>0</v>
      </c>
      <c r="AJ735">
        <f>IF(COUNT($AI$722:$AI$735)&lt;14,"",AVERAGE($AI$722:$AI$735))</f>
        <v>0</v>
      </c>
      <c r="AK735">
        <f>IF(COUNT($E$2:$E735)&lt;20,"",AVERAGE($E$716:$E$735))</f>
        <v>0</v>
      </c>
      <c r="AL735">
        <f>IF(COUNT($E$2:$E735)&lt;20,"",STDEVP($E$716:$E$735))</f>
        <v>0</v>
      </c>
      <c r="AM735">
        <f>IF(AK735="","",AK735+2*AL735)</f>
        <v>0</v>
      </c>
      <c r="AN735">
        <f>IF(AK735="","",AK735-2*AL735)</f>
        <v>0</v>
      </c>
      <c r="AO735">
        <f>IF(OR(AM735="",AN735="",AM735=AN735),"",($E735-AN735)/(AM735-AN735))</f>
        <v>0</v>
      </c>
      <c r="AP735">
        <f>IF(OR(AM735="",AK735="",AK735=0),"",(AM735-AN735)/AK735)</f>
        <v>0</v>
      </c>
      <c r="AQ735">
        <f>IF(COUNT($E$2:$E735)&lt;20,"",MAX($C$716:$C$735))</f>
        <v>0</v>
      </c>
      <c r="AR735">
        <f>IF(COUNT($E$2:$E735)&lt;20,"",MIN($D$716:$D$735))</f>
        <v>0</v>
      </c>
      <c r="AS735">
        <f>IF(OR(AQ735="",AR735=""),"",(AQ735+AR735)/2)</f>
        <v>0</v>
      </c>
      <c r="AT735">
        <f>IF(COUNT($G$716:$G$735)&lt;20,"",STDEV($G$716:$G$735)*SQRT(252))</f>
        <v>0</v>
      </c>
      <c r="AU735">
        <f>IF(COUNT($E$2:$E735)&lt;9,"",(MAX($C$727:$C$735)+MIN($D$727:$D$735))/2)</f>
        <v>0</v>
      </c>
      <c r="AV735">
        <f>IF(COUNT($E$2:$E735)&lt;26,"",(MAX($C$710:$C$735)+MIN($D$710:$D$735))/2)</f>
        <v>0</v>
      </c>
      <c r="AW735">
        <f>IF(OR(AU735="",AV735=""),"",(AU735+AV735)/2)</f>
        <v>0</v>
      </c>
      <c r="AX735">
        <f>IF(COUNT($E$2:$E735)&lt;52,"",(MAX($C$684:$C$735)+MIN($D$684:$D$735))/2)</f>
        <v>0</v>
      </c>
      <c r="AY735">
        <f>IF(COUNT($E$2:$E735)&lt;20,"",MAX($C$636:$C$735))</f>
        <v>0</v>
      </c>
      <c r="AZ735">
        <f>IF(COUNT($E$2:$E735)&lt;20,"",MIN($D$636:$D$735))</f>
        <v>0</v>
      </c>
      <c r="BA735">
        <f>IF(COUNT($E$2:$E735)&lt;20,"",SLOPE($E$636:$E$735,$F$636:$F$735))</f>
        <v>0</v>
      </c>
      <c r="BB735">
        <f>IF(COUNT($E$2:$E735)&lt;20,"",INTERCEPT($E$636:$E$735,$F$636:$F$735))</f>
        <v>0</v>
      </c>
      <c r="BC735">
        <f>IF(OR(BA735="",BB735=""),"",BB735+BA735*F735)</f>
        <v>0</v>
      </c>
      <c r="BD735">
        <f>IF(COUNT($E$2:$E735)&lt;20,"",STEYX($E$636:$E$735,$F$636:$F$735))</f>
        <v>0</v>
      </c>
      <c r="BE735">
        <f>IF($E735="","",IF(AND(COUNT($E$736:$E$739)&gt;=4,$C735=MAX($C$731:$C$739)),$C735,""))</f>
        <v>0</v>
      </c>
      <c r="BF735">
        <f>IF($E735="","",IF(AND(COUNT($E$736:$E$739)&gt;=4,$D735=MIN($D$731:$D$739)),$D735,""))</f>
        <v>0</v>
      </c>
      <c r="BG735">
        <f>IF($A735="","",$A735-WEEKDAY($A735,2)+1)</f>
        <v>0</v>
      </c>
      <c r="BH735">
        <f>IF($A735="","",IF($A734="",1,IF(BG735&lt;&gt;BG734,1,0)))</f>
        <v>0</v>
      </c>
      <c r="BI735">
        <f>IF($A735="","",IF($A736="",1,IF(BG736&lt;&gt;BG735,1,0)))</f>
        <v>0</v>
      </c>
      <c r="BJ735">
        <f>IF($A735="","",IF(BH735=1,$B735,BJ734))</f>
        <v>0</v>
      </c>
      <c r="BK735">
        <f>IF($A735="","",IF(BH735=1,$C735,MAX($C735,BK734)))</f>
        <v>0</v>
      </c>
      <c r="BL735">
        <f>IF($A735="","",IF(BH735=1,$D735,MIN($D735,BL734)))</f>
        <v>0</v>
      </c>
      <c r="BM735">
        <f>IF($A735="","",IF(BI735=1,F735,""))</f>
        <v>0</v>
      </c>
      <c r="BN735">
        <f>IF($A735="","",DATE(YEAR($A735),MONTH($A735),1))</f>
        <v>0</v>
      </c>
      <c r="BO735">
        <f>IF($A735="","",IF($A734="",1,IF(BN735&lt;&gt;BN734,1,0)))</f>
        <v>0</v>
      </c>
      <c r="BP735">
        <f>IF($A735="","",IF($A736="",1,IF(BN736&lt;&gt;BN735,1,0)))</f>
        <v>0</v>
      </c>
      <c r="BQ735">
        <f>IF($A735="","",IF(BO735=1,$B735,BQ734))</f>
        <v>0</v>
      </c>
      <c r="BR735">
        <f>IF($A735="","",IF(BO735=1,$C735,MAX($C735,BR734)))</f>
        <v>0</v>
      </c>
      <c r="BS735">
        <f>IF($A735="","",IF(BO735=1,$D735,MIN($D735,BS734)))</f>
        <v>0</v>
      </c>
      <c r="BT735">
        <f>IF($A735="","",IF(BP735=1,F735,""))</f>
        <v>0</v>
      </c>
    </row>
    <row r="736" spans="1:72">
      <c r="A736" s="27">
        <f>IF(Data!$A736="","",Data!$A736)</f>
        <v>0</v>
      </c>
      <c r="B736">
        <f>IF(Data!$B736="","",Data!$B736)</f>
        <v>0</v>
      </c>
      <c r="C736">
        <f>IF(Data!$C736="","",Data!$C736)</f>
        <v>0</v>
      </c>
      <c r="D736">
        <f>IF(Data!$D736="","",Data!$D736)</f>
        <v>0</v>
      </c>
      <c r="E736">
        <f>IF(Data!$E736="","",Data!$E736)</f>
        <v>0</v>
      </c>
      <c r="F736">
        <f>IF($E736="","",N(F735)+1)</f>
        <v>0</v>
      </c>
      <c r="G736">
        <f>IF(OR($E736="",$E735=""),"",LN($E736/$E735))</f>
        <v>0</v>
      </c>
      <c r="H736">
        <f>IF($E736="","",IF($E735="",$E736,$E736*0.0952380952+H735*0.9047619048))</f>
        <v>0</v>
      </c>
      <c r="I736">
        <f>IF($E736="","",IF($E735="",$E736,$E736*0.0392156863+I735*0.9607843137))</f>
        <v>0</v>
      </c>
      <c r="J736">
        <f>IF($E736="","",IF($E735="",$E736,$E736*0.0198019802+J735*0.9801980198))</f>
        <v>0</v>
      </c>
      <c r="K736">
        <f>IF($E736="","",IF($E735="",$E736,$E736*0.0099502488+K735*0.9900497512))</f>
        <v>0</v>
      </c>
      <c r="L736">
        <f>IF(OR($E736="",$E735=""),"",MAX($E736-$E735,0))</f>
        <v>0</v>
      </c>
      <c r="M736">
        <f>IF(OR($E736="",$E735=""),"",MAX($E735-$E736,0))</f>
        <v>0</v>
      </c>
      <c r="N736">
        <f>IF(COUNT($E$2:$E736)&lt;15,"",IF(AVERAGE($M$723:$M$736)=0,100,100-100/(1+AVERAGE($L$723:$L$736)/AVERAGE($M$723:$M$736))))</f>
        <v>0</v>
      </c>
      <c r="O736">
        <f>IF($E736="","",IF($E735="",$E736,$E736*0.1538461538+O735*0.8461538462))</f>
        <v>0</v>
      </c>
      <c r="P736">
        <f>IF($E736="","",IF($E735="",$E736,$E736*0.0740740741+P735*0.9259259259))</f>
        <v>0</v>
      </c>
      <c r="Q736">
        <f>IF(OR(O736="",P736=""),"",O736-P736)</f>
        <v>0</v>
      </c>
      <c r="R736">
        <f>IF(Q736="","",IF(R735="",Q736,Q736*0.2000000000+R735*0.8000000000))</f>
        <v>0</v>
      </c>
      <c r="S736">
        <f>IF(OR(Q736="",R736=""),"",Q736-R736)</f>
        <v>0</v>
      </c>
      <c r="T736">
        <f>IF(COUNT($E$2:$E736)&lt;14,"",MAX($C$723:$C$736))</f>
        <v>0</v>
      </c>
      <c r="U736">
        <f>IF(COUNT($E$2:$E736)&lt;14,"",MIN($D$723:$D$736))</f>
        <v>0</v>
      </c>
      <c r="V736">
        <f>IF(OR(T736="",U736="",T736=U736),"",100*($E736-U736)/(T736-U736))</f>
        <v>0</v>
      </c>
      <c r="W736">
        <f>IF(COUNT($V$734:$V$736)&lt;3,"",AVERAGE($V$734:$V$736))</f>
        <v>0</v>
      </c>
      <c r="X736">
        <f>IF(COUNT($N$723:$N$736)&lt;14,"",MIN($N$723:$N$736))</f>
        <v>0</v>
      </c>
      <c r="Y736">
        <f>IF(COUNT($N$723:$N$736)&lt;14,"",MAX($N$723:$N$736))</f>
        <v>0</v>
      </c>
      <c r="Z736">
        <f>IF(OR(N736="",X736="",Y736="",Y736=X736),"",100*(N736-X736)/(Y736-X736))</f>
        <v>0</v>
      </c>
      <c r="AA736">
        <f>IF(COUNT($Z$734:$Z$736)&lt;3,"",AVERAGE($Z$734:$Z$736))</f>
        <v>0</v>
      </c>
      <c r="AB736">
        <f>IF(COUNT($AA$734:$AA$736)&lt;3,"",AVERAGE($AA$734:$AA$736))</f>
        <v>0</v>
      </c>
      <c r="AC736">
        <f>IF($E736="","",MAX($C736-$D736,ABS($C736-$E735),ABS($D736-$E735)))</f>
        <v>0</v>
      </c>
      <c r="AD736">
        <f>IF(COUNT($E$2:$E736)&lt;15,"",AVERAGE($AC$723:$AC$736))</f>
        <v>0</v>
      </c>
      <c r="AE736">
        <f>IF(OR($E736="",$E735=""),"",IF(AND(($C736-$C735)&gt;($D735-$D736),($C736-$C735)&gt;0),$C736-$C735,0))</f>
        <v>0</v>
      </c>
      <c r="AF736">
        <f>IF(OR($E736="",$E735=""),"",IF(AND(($D735-$D736)&gt;($C736-$C735),($D735-$D736)&gt;0),$D735-$D736,0))</f>
        <v>0</v>
      </c>
      <c r="AG736">
        <f>IF(COUNT($E$2:$E736)&lt;15,"",IF(SUM($AC$723:$AC$736)=0,0,100*SUM($AE$723:$AE$736)/SUM($AC$723:$AC$736)))</f>
        <v>0</v>
      </c>
      <c r="AH736">
        <f>IF(COUNT($E$2:$E736)&lt;15,"",IF(SUM($AC$723:$AC$736)=0,0,100*SUM($AF$723:$AF$736)/SUM($AC$723:$AC$736)))</f>
        <v>0</v>
      </c>
      <c r="AI736">
        <f>IF(OR(AG736="",AH736=""),"",IF((AG736+AH736)=0,0,100*ABS(AG736-AH736)/(AG736+AH736)))</f>
        <v>0</v>
      </c>
      <c r="AJ736">
        <f>IF(COUNT($AI$723:$AI$736)&lt;14,"",AVERAGE($AI$723:$AI$736))</f>
        <v>0</v>
      </c>
      <c r="AK736">
        <f>IF(COUNT($E$2:$E736)&lt;20,"",AVERAGE($E$717:$E$736))</f>
        <v>0</v>
      </c>
      <c r="AL736">
        <f>IF(COUNT($E$2:$E736)&lt;20,"",STDEVP($E$717:$E$736))</f>
        <v>0</v>
      </c>
      <c r="AM736">
        <f>IF(AK736="","",AK736+2*AL736)</f>
        <v>0</v>
      </c>
      <c r="AN736">
        <f>IF(AK736="","",AK736-2*AL736)</f>
        <v>0</v>
      </c>
      <c r="AO736">
        <f>IF(OR(AM736="",AN736="",AM736=AN736),"",($E736-AN736)/(AM736-AN736))</f>
        <v>0</v>
      </c>
      <c r="AP736">
        <f>IF(OR(AM736="",AK736="",AK736=0),"",(AM736-AN736)/AK736)</f>
        <v>0</v>
      </c>
      <c r="AQ736">
        <f>IF(COUNT($E$2:$E736)&lt;20,"",MAX($C$717:$C$736))</f>
        <v>0</v>
      </c>
      <c r="AR736">
        <f>IF(COUNT($E$2:$E736)&lt;20,"",MIN($D$717:$D$736))</f>
        <v>0</v>
      </c>
      <c r="AS736">
        <f>IF(OR(AQ736="",AR736=""),"",(AQ736+AR736)/2)</f>
        <v>0</v>
      </c>
      <c r="AT736">
        <f>IF(COUNT($G$717:$G$736)&lt;20,"",STDEV($G$717:$G$736)*SQRT(252))</f>
        <v>0</v>
      </c>
      <c r="AU736">
        <f>IF(COUNT($E$2:$E736)&lt;9,"",(MAX($C$728:$C$736)+MIN($D$728:$D$736))/2)</f>
        <v>0</v>
      </c>
      <c r="AV736">
        <f>IF(COUNT($E$2:$E736)&lt;26,"",(MAX($C$711:$C$736)+MIN($D$711:$D$736))/2)</f>
        <v>0</v>
      </c>
      <c r="AW736">
        <f>IF(OR(AU736="",AV736=""),"",(AU736+AV736)/2)</f>
        <v>0</v>
      </c>
      <c r="AX736">
        <f>IF(COUNT($E$2:$E736)&lt;52,"",(MAX($C$685:$C$736)+MIN($D$685:$D$736))/2)</f>
        <v>0</v>
      </c>
      <c r="AY736">
        <f>IF(COUNT($E$2:$E736)&lt;20,"",MAX($C$637:$C$736))</f>
        <v>0</v>
      </c>
      <c r="AZ736">
        <f>IF(COUNT($E$2:$E736)&lt;20,"",MIN($D$637:$D$736))</f>
        <v>0</v>
      </c>
      <c r="BA736">
        <f>IF(COUNT($E$2:$E736)&lt;20,"",SLOPE($E$637:$E$736,$F$637:$F$736))</f>
        <v>0</v>
      </c>
      <c r="BB736">
        <f>IF(COUNT($E$2:$E736)&lt;20,"",INTERCEPT($E$637:$E$736,$F$637:$F$736))</f>
        <v>0</v>
      </c>
      <c r="BC736">
        <f>IF(OR(BA736="",BB736=""),"",BB736+BA736*F736)</f>
        <v>0</v>
      </c>
      <c r="BD736">
        <f>IF(COUNT($E$2:$E736)&lt;20,"",STEYX($E$637:$E$736,$F$637:$F$736))</f>
        <v>0</v>
      </c>
      <c r="BE736">
        <f>IF($E736="","",IF(AND(COUNT($E$737:$E$740)&gt;=4,$C736=MAX($C$732:$C$740)),$C736,""))</f>
        <v>0</v>
      </c>
      <c r="BF736">
        <f>IF($E736="","",IF(AND(COUNT($E$737:$E$740)&gt;=4,$D736=MIN($D$732:$D$740)),$D736,""))</f>
        <v>0</v>
      </c>
      <c r="BG736">
        <f>IF($A736="","",$A736-WEEKDAY($A736,2)+1)</f>
        <v>0</v>
      </c>
      <c r="BH736">
        <f>IF($A736="","",IF($A735="",1,IF(BG736&lt;&gt;BG735,1,0)))</f>
        <v>0</v>
      </c>
      <c r="BI736">
        <f>IF($A736="","",IF($A737="",1,IF(BG737&lt;&gt;BG736,1,0)))</f>
        <v>0</v>
      </c>
      <c r="BJ736">
        <f>IF($A736="","",IF(BH736=1,$B736,BJ735))</f>
        <v>0</v>
      </c>
      <c r="BK736">
        <f>IF($A736="","",IF(BH736=1,$C736,MAX($C736,BK735)))</f>
        <v>0</v>
      </c>
      <c r="BL736">
        <f>IF($A736="","",IF(BH736=1,$D736,MIN($D736,BL735)))</f>
        <v>0</v>
      </c>
      <c r="BM736">
        <f>IF($A736="","",IF(BI736=1,F736,""))</f>
        <v>0</v>
      </c>
      <c r="BN736">
        <f>IF($A736="","",DATE(YEAR($A736),MONTH($A736),1))</f>
        <v>0</v>
      </c>
      <c r="BO736">
        <f>IF($A736="","",IF($A735="",1,IF(BN736&lt;&gt;BN735,1,0)))</f>
        <v>0</v>
      </c>
      <c r="BP736">
        <f>IF($A736="","",IF($A737="",1,IF(BN737&lt;&gt;BN736,1,0)))</f>
        <v>0</v>
      </c>
      <c r="BQ736">
        <f>IF($A736="","",IF(BO736=1,$B736,BQ735))</f>
        <v>0</v>
      </c>
      <c r="BR736">
        <f>IF($A736="","",IF(BO736=1,$C736,MAX($C736,BR735)))</f>
        <v>0</v>
      </c>
      <c r="BS736">
        <f>IF($A736="","",IF(BO736=1,$D736,MIN($D736,BS735)))</f>
        <v>0</v>
      </c>
      <c r="BT736">
        <f>IF($A736="","",IF(BP736=1,F736,""))</f>
        <v>0</v>
      </c>
    </row>
    <row r="737" spans="1:72">
      <c r="A737" s="27">
        <f>IF(Data!$A737="","",Data!$A737)</f>
        <v>0</v>
      </c>
      <c r="B737">
        <f>IF(Data!$B737="","",Data!$B737)</f>
        <v>0</v>
      </c>
      <c r="C737">
        <f>IF(Data!$C737="","",Data!$C737)</f>
        <v>0</v>
      </c>
      <c r="D737">
        <f>IF(Data!$D737="","",Data!$D737)</f>
        <v>0</v>
      </c>
      <c r="E737">
        <f>IF(Data!$E737="","",Data!$E737)</f>
        <v>0</v>
      </c>
      <c r="F737">
        <f>IF($E737="","",N(F736)+1)</f>
        <v>0</v>
      </c>
      <c r="G737">
        <f>IF(OR($E737="",$E736=""),"",LN($E737/$E736))</f>
        <v>0</v>
      </c>
      <c r="H737">
        <f>IF($E737="","",IF($E736="",$E737,$E737*0.0952380952+H736*0.9047619048))</f>
        <v>0</v>
      </c>
      <c r="I737">
        <f>IF($E737="","",IF($E736="",$E737,$E737*0.0392156863+I736*0.9607843137))</f>
        <v>0</v>
      </c>
      <c r="J737">
        <f>IF($E737="","",IF($E736="",$E737,$E737*0.0198019802+J736*0.9801980198))</f>
        <v>0</v>
      </c>
      <c r="K737">
        <f>IF($E737="","",IF($E736="",$E737,$E737*0.0099502488+K736*0.9900497512))</f>
        <v>0</v>
      </c>
      <c r="L737">
        <f>IF(OR($E737="",$E736=""),"",MAX($E737-$E736,0))</f>
        <v>0</v>
      </c>
      <c r="M737">
        <f>IF(OR($E737="",$E736=""),"",MAX($E736-$E737,0))</f>
        <v>0</v>
      </c>
      <c r="N737">
        <f>IF(COUNT($E$2:$E737)&lt;15,"",IF(AVERAGE($M$724:$M$737)=0,100,100-100/(1+AVERAGE($L$724:$L$737)/AVERAGE($M$724:$M$737))))</f>
        <v>0</v>
      </c>
      <c r="O737">
        <f>IF($E737="","",IF($E736="",$E737,$E737*0.1538461538+O736*0.8461538462))</f>
        <v>0</v>
      </c>
      <c r="P737">
        <f>IF($E737="","",IF($E736="",$E737,$E737*0.0740740741+P736*0.9259259259))</f>
        <v>0</v>
      </c>
      <c r="Q737">
        <f>IF(OR(O737="",P737=""),"",O737-P737)</f>
        <v>0</v>
      </c>
      <c r="R737">
        <f>IF(Q737="","",IF(R736="",Q737,Q737*0.2000000000+R736*0.8000000000))</f>
        <v>0</v>
      </c>
      <c r="S737">
        <f>IF(OR(Q737="",R737=""),"",Q737-R737)</f>
        <v>0</v>
      </c>
      <c r="T737">
        <f>IF(COUNT($E$2:$E737)&lt;14,"",MAX($C$724:$C$737))</f>
        <v>0</v>
      </c>
      <c r="U737">
        <f>IF(COUNT($E$2:$E737)&lt;14,"",MIN($D$724:$D$737))</f>
        <v>0</v>
      </c>
      <c r="V737">
        <f>IF(OR(T737="",U737="",T737=U737),"",100*($E737-U737)/(T737-U737))</f>
        <v>0</v>
      </c>
      <c r="W737">
        <f>IF(COUNT($V$735:$V$737)&lt;3,"",AVERAGE($V$735:$V$737))</f>
        <v>0</v>
      </c>
      <c r="X737">
        <f>IF(COUNT($N$724:$N$737)&lt;14,"",MIN($N$724:$N$737))</f>
        <v>0</v>
      </c>
      <c r="Y737">
        <f>IF(COUNT($N$724:$N$737)&lt;14,"",MAX($N$724:$N$737))</f>
        <v>0</v>
      </c>
      <c r="Z737">
        <f>IF(OR(N737="",X737="",Y737="",Y737=X737),"",100*(N737-X737)/(Y737-X737))</f>
        <v>0</v>
      </c>
      <c r="AA737">
        <f>IF(COUNT($Z$735:$Z$737)&lt;3,"",AVERAGE($Z$735:$Z$737))</f>
        <v>0</v>
      </c>
      <c r="AB737">
        <f>IF(COUNT($AA$735:$AA$737)&lt;3,"",AVERAGE($AA$735:$AA$737))</f>
        <v>0</v>
      </c>
      <c r="AC737">
        <f>IF($E737="","",MAX($C737-$D737,ABS($C737-$E736),ABS($D737-$E736)))</f>
        <v>0</v>
      </c>
      <c r="AD737">
        <f>IF(COUNT($E$2:$E737)&lt;15,"",AVERAGE($AC$724:$AC$737))</f>
        <v>0</v>
      </c>
      <c r="AE737">
        <f>IF(OR($E737="",$E736=""),"",IF(AND(($C737-$C736)&gt;($D736-$D737),($C737-$C736)&gt;0),$C737-$C736,0))</f>
        <v>0</v>
      </c>
      <c r="AF737">
        <f>IF(OR($E737="",$E736=""),"",IF(AND(($D736-$D737)&gt;($C737-$C736),($D736-$D737)&gt;0),$D736-$D737,0))</f>
        <v>0</v>
      </c>
      <c r="AG737">
        <f>IF(COUNT($E$2:$E737)&lt;15,"",IF(SUM($AC$724:$AC$737)=0,0,100*SUM($AE$724:$AE$737)/SUM($AC$724:$AC$737)))</f>
        <v>0</v>
      </c>
      <c r="AH737">
        <f>IF(COUNT($E$2:$E737)&lt;15,"",IF(SUM($AC$724:$AC$737)=0,0,100*SUM($AF$724:$AF$737)/SUM($AC$724:$AC$737)))</f>
        <v>0</v>
      </c>
      <c r="AI737">
        <f>IF(OR(AG737="",AH737=""),"",IF((AG737+AH737)=0,0,100*ABS(AG737-AH737)/(AG737+AH737)))</f>
        <v>0</v>
      </c>
      <c r="AJ737">
        <f>IF(COUNT($AI$724:$AI$737)&lt;14,"",AVERAGE($AI$724:$AI$737))</f>
        <v>0</v>
      </c>
      <c r="AK737">
        <f>IF(COUNT($E$2:$E737)&lt;20,"",AVERAGE($E$718:$E$737))</f>
        <v>0</v>
      </c>
      <c r="AL737">
        <f>IF(COUNT($E$2:$E737)&lt;20,"",STDEVP($E$718:$E$737))</f>
        <v>0</v>
      </c>
      <c r="AM737">
        <f>IF(AK737="","",AK737+2*AL737)</f>
        <v>0</v>
      </c>
      <c r="AN737">
        <f>IF(AK737="","",AK737-2*AL737)</f>
        <v>0</v>
      </c>
      <c r="AO737">
        <f>IF(OR(AM737="",AN737="",AM737=AN737),"",($E737-AN737)/(AM737-AN737))</f>
        <v>0</v>
      </c>
      <c r="AP737">
        <f>IF(OR(AM737="",AK737="",AK737=0),"",(AM737-AN737)/AK737)</f>
        <v>0</v>
      </c>
      <c r="AQ737">
        <f>IF(COUNT($E$2:$E737)&lt;20,"",MAX($C$718:$C$737))</f>
        <v>0</v>
      </c>
      <c r="AR737">
        <f>IF(COUNT($E$2:$E737)&lt;20,"",MIN($D$718:$D$737))</f>
        <v>0</v>
      </c>
      <c r="AS737">
        <f>IF(OR(AQ737="",AR737=""),"",(AQ737+AR737)/2)</f>
        <v>0</v>
      </c>
      <c r="AT737">
        <f>IF(COUNT($G$718:$G$737)&lt;20,"",STDEV($G$718:$G$737)*SQRT(252))</f>
        <v>0</v>
      </c>
      <c r="AU737">
        <f>IF(COUNT($E$2:$E737)&lt;9,"",(MAX($C$729:$C$737)+MIN($D$729:$D$737))/2)</f>
        <v>0</v>
      </c>
      <c r="AV737">
        <f>IF(COUNT($E$2:$E737)&lt;26,"",(MAX($C$712:$C$737)+MIN($D$712:$D$737))/2)</f>
        <v>0</v>
      </c>
      <c r="AW737">
        <f>IF(OR(AU737="",AV737=""),"",(AU737+AV737)/2)</f>
        <v>0</v>
      </c>
      <c r="AX737">
        <f>IF(COUNT($E$2:$E737)&lt;52,"",(MAX($C$686:$C$737)+MIN($D$686:$D$737))/2)</f>
        <v>0</v>
      </c>
      <c r="AY737">
        <f>IF(COUNT($E$2:$E737)&lt;20,"",MAX($C$638:$C$737))</f>
        <v>0</v>
      </c>
      <c r="AZ737">
        <f>IF(COUNT($E$2:$E737)&lt;20,"",MIN($D$638:$D$737))</f>
        <v>0</v>
      </c>
      <c r="BA737">
        <f>IF(COUNT($E$2:$E737)&lt;20,"",SLOPE($E$638:$E$737,$F$638:$F$737))</f>
        <v>0</v>
      </c>
      <c r="BB737">
        <f>IF(COUNT($E$2:$E737)&lt;20,"",INTERCEPT($E$638:$E$737,$F$638:$F$737))</f>
        <v>0</v>
      </c>
      <c r="BC737">
        <f>IF(OR(BA737="",BB737=""),"",BB737+BA737*F737)</f>
        <v>0</v>
      </c>
      <c r="BD737">
        <f>IF(COUNT($E$2:$E737)&lt;20,"",STEYX($E$638:$E$737,$F$638:$F$737))</f>
        <v>0</v>
      </c>
      <c r="BE737">
        <f>IF($E737="","",IF(AND(COUNT($E$738:$E$741)&gt;=4,$C737=MAX($C$733:$C$741)),$C737,""))</f>
        <v>0</v>
      </c>
      <c r="BF737">
        <f>IF($E737="","",IF(AND(COUNT($E$738:$E$741)&gt;=4,$D737=MIN($D$733:$D$741)),$D737,""))</f>
        <v>0</v>
      </c>
      <c r="BG737">
        <f>IF($A737="","",$A737-WEEKDAY($A737,2)+1)</f>
        <v>0</v>
      </c>
      <c r="BH737">
        <f>IF($A737="","",IF($A736="",1,IF(BG737&lt;&gt;BG736,1,0)))</f>
        <v>0</v>
      </c>
      <c r="BI737">
        <f>IF($A737="","",IF($A738="",1,IF(BG738&lt;&gt;BG737,1,0)))</f>
        <v>0</v>
      </c>
      <c r="BJ737">
        <f>IF($A737="","",IF(BH737=1,$B737,BJ736))</f>
        <v>0</v>
      </c>
      <c r="BK737">
        <f>IF($A737="","",IF(BH737=1,$C737,MAX($C737,BK736)))</f>
        <v>0</v>
      </c>
      <c r="BL737">
        <f>IF($A737="","",IF(BH737=1,$D737,MIN($D737,BL736)))</f>
        <v>0</v>
      </c>
      <c r="BM737">
        <f>IF($A737="","",IF(BI737=1,F737,""))</f>
        <v>0</v>
      </c>
      <c r="BN737">
        <f>IF($A737="","",DATE(YEAR($A737),MONTH($A737),1))</f>
        <v>0</v>
      </c>
      <c r="BO737">
        <f>IF($A737="","",IF($A736="",1,IF(BN737&lt;&gt;BN736,1,0)))</f>
        <v>0</v>
      </c>
      <c r="BP737">
        <f>IF($A737="","",IF($A738="",1,IF(BN738&lt;&gt;BN737,1,0)))</f>
        <v>0</v>
      </c>
      <c r="BQ737">
        <f>IF($A737="","",IF(BO737=1,$B737,BQ736))</f>
        <v>0</v>
      </c>
      <c r="BR737">
        <f>IF($A737="","",IF(BO737=1,$C737,MAX($C737,BR736)))</f>
        <v>0</v>
      </c>
      <c r="BS737">
        <f>IF($A737="","",IF(BO737=1,$D737,MIN($D737,BS736)))</f>
        <v>0</v>
      </c>
      <c r="BT737">
        <f>IF($A737="","",IF(BP737=1,F737,""))</f>
        <v>0</v>
      </c>
    </row>
    <row r="738" spans="1:72">
      <c r="A738" s="27">
        <f>IF(Data!$A738="","",Data!$A738)</f>
        <v>0</v>
      </c>
      <c r="B738">
        <f>IF(Data!$B738="","",Data!$B738)</f>
        <v>0</v>
      </c>
      <c r="C738">
        <f>IF(Data!$C738="","",Data!$C738)</f>
        <v>0</v>
      </c>
      <c r="D738">
        <f>IF(Data!$D738="","",Data!$D738)</f>
        <v>0</v>
      </c>
      <c r="E738">
        <f>IF(Data!$E738="","",Data!$E738)</f>
        <v>0</v>
      </c>
      <c r="F738">
        <f>IF($E738="","",N(F737)+1)</f>
        <v>0</v>
      </c>
      <c r="G738">
        <f>IF(OR($E738="",$E737=""),"",LN($E738/$E737))</f>
        <v>0</v>
      </c>
      <c r="H738">
        <f>IF($E738="","",IF($E737="",$E738,$E738*0.0952380952+H737*0.9047619048))</f>
        <v>0</v>
      </c>
      <c r="I738">
        <f>IF($E738="","",IF($E737="",$E738,$E738*0.0392156863+I737*0.9607843137))</f>
        <v>0</v>
      </c>
      <c r="J738">
        <f>IF($E738="","",IF($E737="",$E738,$E738*0.0198019802+J737*0.9801980198))</f>
        <v>0</v>
      </c>
      <c r="K738">
        <f>IF($E738="","",IF($E737="",$E738,$E738*0.0099502488+K737*0.9900497512))</f>
        <v>0</v>
      </c>
      <c r="L738">
        <f>IF(OR($E738="",$E737=""),"",MAX($E738-$E737,0))</f>
        <v>0</v>
      </c>
      <c r="M738">
        <f>IF(OR($E738="",$E737=""),"",MAX($E737-$E738,0))</f>
        <v>0</v>
      </c>
      <c r="N738">
        <f>IF(COUNT($E$2:$E738)&lt;15,"",IF(AVERAGE($M$725:$M$738)=0,100,100-100/(1+AVERAGE($L$725:$L$738)/AVERAGE($M$725:$M$738))))</f>
        <v>0</v>
      </c>
      <c r="O738">
        <f>IF($E738="","",IF($E737="",$E738,$E738*0.1538461538+O737*0.8461538462))</f>
        <v>0</v>
      </c>
      <c r="P738">
        <f>IF($E738="","",IF($E737="",$E738,$E738*0.0740740741+P737*0.9259259259))</f>
        <v>0</v>
      </c>
      <c r="Q738">
        <f>IF(OR(O738="",P738=""),"",O738-P738)</f>
        <v>0</v>
      </c>
      <c r="R738">
        <f>IF(Q738="","",IF(R737="",Q738,Q738*0.2000000000+R737*0.8000000000))</f>
        <v>0</v>
      </c>
      <c r="S738">
        <f>IF(OR(Q738="",R738=""),"",Q738-R738)</f>
        <v>0</v>
      </c>
      <c r="T738">
        <f>IF(COUNT($E$2:$E738)&lt;14,"",MAX($C$725:$C$738))</f>
        <v>0</v>
      </c>
      <c r="U738">
        <f>IF(COUNT($E$2:$E738)&lt;14,"",MIN($D$725:$D$738))</f>
        <v>0</v>
      </c>
      <c r="V738">
        <f>IF(OR(T738="",U738="",T738=U738),"",100*($E738-U738)/(T738-U738))</f>
        <v>0</v>
      </c>
      <c r="W738">
        <f>IF(COUNT($V$736:$V$738)&lt;3,"",AVERAGE($V$736:$V$738))</f>
        <v>0</v>
      </c>
      <c r="X738">
        <f>IF(COUNT($N$725:$N$738)&lt;14,"",MIN($N$725:$N$738))</f>
        <v>0</v>
      </c>
      <c r="Y738">
        <f>IF(COUNT($N$725:$N$738)&lt;14,"",MAX($N$725:$N$738))</f>
        <v>0</v>
      </c>
      <c r="Z738">
        <f>IF(OR(N738="",X738="",Y738="",Y738=X738),"",100*(N738-X738)/(Y738-X738))</f>
        <v>0</v>
      </c>
      <c r="AA738">
        <f>IF(COUNT($Z$736:$Z$738)&lt;3,"",AVERAGE($Z$736:$Z$738))</f>
        <v>0</v>
      </c>
      <c r="AB738">
        <f>IF(COUNT($AA$736:$AA$738)&lt;3,"",AVERAGE($AA$736:$AA$738))</f>
        <v>0</v>
      </c>
      <c r="AC738">
        <f>IF($E738="","",MAX($C738-$D738,ABS($C738-$E737),ABS($D738-$E737)))</f>
        <v>0</v>
      </c>
      <c r="AD738">
        <f>IF(COUNT($E$2:$E738)&lt;15,"",AVERAGE($AC$725:$AC$738))</f>
        <v>0</v>
      </c>
      <c r="AE738">
        <f>IF(OR($E738="",$E737=""),"",IF(AND(($C738-$C737)&gt;($D737-$D738),($C738-$C737)&gt;0),$C738-$C737,0))</f>
        <v>0</v>
      </c>
      <c r="AF738">
        <f>IF(OR($E738="",$E737=""),"",IF(AND(($D737-$D738)&gt;($C738-$C737),($D737-$D738)&gt;0),$D737-$D738,0))</f>
        <v>0</v>
      </c>
      <c r="AG738">
        <f>IF(COUNT($E$2:$E738)&lt;15,"",IF(SUM($AC$725:$AC$738)=0,0,100*SUM($AE$725:$AE$738)/SUM($AC$725:$AC$738)))</f>
        <v>0</v>
      </c>
      <c r="AH738">
        <f>IF(COUNT($E$2:$E738)&lt;15,"",IF(SUM($AC$725:$AC$738)=0,0,100*SUM($AF$725:$AF$738)/SUM($AC$725:$AC$738)))</f>
        <v>0</v>
      </c>
      <c r="AI738">
        <f>IF(OR(AG738="",AH738=""),"",IF((AG738+AH738)=0,0,100*ABS(AG738-AH738)/(AG738+AH738)))</f>
        <v>0</v>
      </c>
      <c r="AJ738">
        <f>IF(COUNT($AI$725:$AI$738)&lt;14,"",AVERAGE($AI$725:$AI$738))</f>
        <v>0</v>
      </c>
      <c r="AK738">
        <f>IF(COUNT($E$2:$E738)&lt;20,"",AVERAGE($E$719:$E$738))</f>
        <v>0</v>
      </c>
      <c r="AL738">
        <f>IF(COUNT($E$2:$E738)&lt;20,"",STDEVP($E$719:$E$738))</f>
        <v>0</v>
      </c>
      <c r="AM738">
        <f>IF(AK738="","",AK738+2*AL738)</f>
        <v>0</v>
      </c>
      <c r="AN738">
        <f>IF(AK738="","",AK738-2*AL738)</f>
        <v>0</v>
      </c>
      <c r="AO738">
        <f>IF(OR(AM738="",AN738="",AM738=AN738),"",($E738-AN738)/(AM738-AN738))</f>
        <v>0</v>
      </c>
      <c r="AP738">
        <f>IF(OR(AM738="",AK738="",AK738=0),"",(AM738-AN738)/AK738)</f>
        <v>0</v>
      </c>
      <c r="AQ738">
        <f>IF(COUNT($E$2:$E738)&lt;20,"",MAX($C$719:$C$738))</f>
        <v>0</v>
      </c>
      <c r="AR738">
        <f>IF(COUNT($E$2:$E738)&lt;20,"",MIN($D$719:$D$738))</f>
        <v>0</v>
      </c>
      <c r="AS738">
        <f>IF(OR(AQ738="",AR738=""),"",(AQ738+AR738)/2)</f>
        <v>0</v>
      </c>
      <c r="AT738">
        <f>IF(COUNT($G$719:$G$738)&lt;20,"",STDEV($G$719:$G$738)*SQRT(252))</f>
        <v>0</v>
      </c>
      <c r="AU738">
        <f>IF(COUNT($E$2:$E738)&lt;9,"",(MAX($C$730:$C$738)+MIN($D$730:$D$738))/2)</f>
        <v>0</v>
      </c>
      <c r="AV738">
        <f>IF(COUNT($E$2:$E738)&lt;26,"",(MAX($C$713:$C$738)+MIN($D$713:$D$738))/2)</f>
        <v>0</v>
      </c>
      <c r="AW738">
        <f>IF(OR(AU738="",AV738=""),"",(AU738+AV738)/2)</f>
        <v>0</v>
      </c>
      <c r="AX738">
        <f>IF(COUNT($E$2:$E738)&lt;52,"",(MAX($C$687:$C$738)+MIN($D$687:$D$738))/2)</f>
        <v>0</v>
      </c>
      <c r="AY738">
        <f>IF(COUNT($E$2:$E738)&lt;20,"",MAX($C$639:$C$738))</f>
        <v>0</v>
      </c>
      <c r="AZ738">
        <f>IF(COUNT($E$2:$E738)&lt;20,"",MIN($D$639:$D$738))</f>
        <v>0</v>
      </c>
      <c r="BA738">
        <f>IF(COUNT($E$2:$E738)&lt;20,"",SLOPE($E$639:$E$738,$F$639:$F$738))</f>
        <v>0</v>
      </c>
      <c r="BB738">
        <f>IF(COUNT($E$2:$E738)&lt;20,"",INTERCEPT($E$639:$E$738,$F$639:$F$738))</f>
        <v>0</v>
      </c>
      <c r="BC738">
        <f>IF(OR(BA738="",BB738=""),"",BB738+BA738*F738)</f>
        <v>0</v>
      </c>
      <c r="BD738">
        <f>IF(COUNT($E$2:$E738)&lt;20,"",STEYX($E$639:$E$738,$F$639:$F$738))</f>
        <v>0</v>
      </c>
      <c r="BE738">
        <f>IF($E738="","",IF(AND(COUNT($E$739:$E$742)&gt;=4,$C738=MAX($C$734:$C$742)),$C738,""))</f>
        <v>0</v>
      </c>
      <c r="BF738">
        <f>IF($E738="","",IF(AND(COUNT($E$739:$E$742)&gt;=4,$D738=MIN($D$734:$D$742)),$D738,""))</f>
        <v>0</v>
      </c>
      <c r="BG738">
        <f>IF($A738="","",$A738-WEEKDAY($A738,2)+1)</f>
        <v>0</v>
      </c>
      <c r="BH738">
        <f>IF($A738="","",IF($A737="",1,IF(BG738&lt;&gt;BG737,1,0)))</f>
        <v>0</v>
      </c>
      <c r="BI738">
        <f>IF($A738="","",IF($A739="",1,IF(BG739&lt;&gt;BG738,1,0)))</f>
        <v>0</v>
      </c>
      <c r="BJ738">
        <f>IF($A738="","",IF(BH738=1,$B738,BJ737))</f>
        <v>0</v>
      </c>
      <c r="BK738">
        <f>IF($A738="","",IF(BH738=1,$C738,MAX($C738,BK737)))</f>
        <v>0</v>
      </c>
      <c r="BL738">
        <f>IF($A738="","",IF(BH738=1,$D738,MIN($D738,BL737)))</f>
        <v>0</v>
      </c>
      <c r="BM738">
        <f>IF($A738="","",IF(BI738=1,F738,""))</f>
        <v>0</v>
      </c>
      <c r="BN738">
        <f>IF($A738="","",DATE(YEAR($A738),MONTH($A738),1))</f>
        <v>0</v>
      </c>
      <c r="BO738">
        <f>IF($A738="","",IF($A737="",1,IF(BN738&lt;&gt;BN737,1,0)))</f>
        <v>0</v>
      </c>
      <c r="BP738">
        <f>IF($A738="","",IF($A739="",1,IF(BN739&lt;&gt;BN738,1,0)))</f>
        <v>0</v>
      </c>
      <c r="BQ738">
        <f>IF($A738="","",IF(BO738=1,$B738,BQ737))</f>
        <v>0</v>
      </c>
      <c r="BR738">
        <f>IF($A738="","",IF(BO738=1,$C738,MAX($C738,BR737)))</f>
        <v>0</v>
      </c>
      <c r="BS738">
        <f>IF($A738="","",IF(BO738=1,$D738,MIN($D738,BS737)))</f>
        <v>0</v>
      </c>
      <c r="BT738">
        <f>IF($A738="","",IF(BP738=1,F738,""))</f>
        <v>0</v>
      </c>
    </row>
    <row r="739" spans="1:72">
      <c r="A739" s="27">
        <f>IF(Data!$A739="","",Data!$A739)</f>
        <v>0</v>
      </c>
      <c r="B739">
        <f>IF(Data!$B739="","",Data!$B739)</f>
        <v>0</v>
      </c>
      <c r="C739">
        <f>IF(Data!$C739="","",Data!$C739)</f>
        <v>0</v>
      </c>
      <c r="D739">
        <f>IF(Data!$D739="","",Data!$D739)</f>
        <v>0</v>
      </c>
      <c r="E739">
        <f>IF(Data!$E739="","",Data!$E739)</f>
        <v>0</v>
      </c>
      <c r="F739">
        <f>IF($E739="","",N(F738)+1)</f>
        <v>0</v>
      </c>
      <c r="G739">
        <f>IF(OR($E739="",$E738=""),"",LN($E739/$E738))</f>
        <v>0</v>
      </c>
      <c r="H739">
        <f>IF($E739="","",IF($E738="",$E739,$E739*0.0952380952+H738*0.9047619048))</f>
        <v>0</v>
      </c>
      <c r="I739">
        <f>IF($E739="","",IF($E738="",$E739,$E739*0.0392156863+I738*0.9607843137))</f>
        <v>0</v>
      </c>
      <c r="J739">
        <f>IF($E739="","",IF($E738="",$E739,$E739*0.0198019802+J738*0.9801980198))</f>
        <v>0</v>
      </c>
      <c r="K739">
        <f>IF($E739="","",IF($E738="",$E739,$E739*0.0099502488+K738*0.9900497512))</f>
        <v>0</v>
      </c>
      <c r="L739">
        <f>IF(OR($E739="",$E738=""),"",MAX($E739-$E738,0))</f>
        <v>0</v>
      </c>
      <c r="M739">
        <f>IF(OR($E739="",$E738=""),"",MAX($E738-$E739,0))</f>
        <v>0</v>
      </c>
      <c r="N739">
        <f>IF(COUNT($E$2:$E739)&lt;15,"",IF(AVERAGE($M$726:$M$739)=0,100,100-100/(1+AVERAGE($L$726:$L$739)/AVERAGE($M$726:$M$739))))</f>
        <v>0</v>
      </c>
      <c r="O739">
        <f>IF($E739="","",IF($E738="",$E739,$E739*0.1538461538+O738*0.8461538462))</f>
        <v>0</v>
      </c>
      <c r="P739">
        <f>IF($E739="","",IF($E738="",$E739,$E739*0.0740740741+P738*0.9259259259))</f>
        <v>0</v>
      </c>
      <c r="Q739">
        <f>IF(OR(O739="",P739=""),"",O739-P739)</f>
        <v>0</v>
      </c>
      <c r="R739">
        <f>IF(Q739="","",IF(R738="",Q739,Q739*0.2000000000+R738*0.8000000000))</f>
        <v>0</v>
      </c>
      <c r="S739">
        <f>IF(OR(Q739="",R739=""),"",Q739-R739)</f>
        <v>0</v>
      </c>
      <c r="T739">
        <f>IF(COUNT($E$2:$E739)&lt;14,"",MAX($C$726:$C$739))</f>
        <v>0</v>
      </c>
      <c r="U739">
        <f>IF(COUNT($E$2:$E739)&lt;14,"",MIN($D$726:$D$739))</f>
        <v>0</v>
      </c>
      <c r="V739">
        <f>IF(OR(T739="",U739="",T739=U739),"",100*($E739-U739)/(T739-U739))</f>
        <v>0</v>
      </c>
      <c r="W739">
        <f>IF(COUNT($V$737:$V$739)&lt;3,"",AVERAGE($V$737:$V$739))</f>
        <v>0</v>
      </c>
      <c r="X739">
        <f>IF(COUNT($N$726:$N$739)&lt;14,"",MIN($N$726:$N$739))</f>
        <v>0</v>
      </c>
      <c r="Y739">
        <f>IF(COUNT($N$726:$N$739)&lt;14,"",MAX($N$726:$N$739))</f>
        <v>0</v>
      </c>
      <c r="Z739">
        <f>IF(OR(N739="",X739="",Y739="",Y739=X739),"",100*(N739-X739)/(Y739-X739))</f>
        <v>0</v>
      </c>
      <c r="AA739">
        <f>IF(COUNT($Z$737:$Z$739)&lt;3,"",AVERAGE($Z$737:$Z$739))</f>
        <v>0</v>
      </c>
      <c r="AB739">
        <f>IF(COUNT($AA$737:$AA$739)&lt;3,"",AVERAGE($AA$737:$AA$739))</f>
        <v>0</v>
      </c>
      <c r="AC739">
        <f>IF($E739="","",MAX($C739-$D739,ABS($C739-$E738),ABS($D739-$E738)))</f>
        <v>0</v>
      </c>
      <c r="AD739">
        <f>IF(COUNT($E$2:$E739)&lt;15,"",AVERAGE($AC$726:$AC$739))</f>
        <v>0</v>
      </c>
      <c r="AE739">
        <f>IF(OR($E739="",$E738=""),"",IF(AND(($C739-$C738)&gt;($D738-$D739),($C739-$C738)&gt;0),$C739-$C738,0))</f>
        <v>0</v>
      </c>
      <c r="AF739">
        <f>IF(OR($E739="",$E738=""),"",IF(AND(($D738-$D739)&gt;($C739-$C738),($D738-$D739)&gt;0),$D738-$D739,0))</f>
        <v>0</v>
      </c>
      <c r="AG739">
        <f>IF(COUNT($E$2:$E739)&lt;15,"",IF(SUM($AC$726:$AC$739)=0,0,100*SUM($AE$726:$AE$739)/SUM($AC$726:$AC$739)))</f>
        <v>0</v>
      </c>
      <c r="AH739">
        <f>IF(COUNT($E$2:$E739)&lt;15,"",IF(SUM($AC$726:$AC$739)=0,0,100*SUM($AF$726:$AF$739)/SUM($AC$726:$AC$739)))</f>
        <v>0</v>
      </c>
      <c r="AI739">
        <f>IF(OR(AG739="",AH739=""),"",IF((AG739+AH739)=0,0,100*ABS(AG739-AH739)/(AG739+AH739)))</f>
        <v>0</v>
      </c>
      <c r="AJ739">
        <f>IF(COUNT($AI$726:$AI$739)&lt;14,"",AVERAGE($AI$726:$AI$739))</f>
        <v>0</v>
      </c>
      <c r="AK739">
        <f>IF(COUNT($E$2:$E739)&lt;20,"",AVERAGE($E$720:$E$739))</f>
        <v>0</v>
      </c>
      <c r="AL739">
        <f>IF(COUNT($E$2:$E739)&lt;20,"",STDEVP($E$720:$E$739))</f>
        <v>0</v>
      </c>
      <c r="AM739">
        <f>IF(AK739="","",AK739+2*AL739)</f>
        <v>0</v>
      </c>
      <c r="AN739">
        <f>IF(AK739="","",AK739-2*AL739)</f>
        <v>0</v>
      </c>
      <c r="AO739">
        <f>IF(OR(AM739="",AN739="",AM739=AN739),"",($E739-AN739)/(AM739-AN739))</f>
        <v>0</v>
      </c>
      <c r="AP739">
        <f>IF(OR(AM739="",AK739="",AK739=0),"",(AM739-AN739)/AK739)</f>
        <v>0</v>
      </c>
      <c r="AQ739">
        <f>IF(COUNT($E$2:$E739)&lt;20,"",MAX($C$720:$C$739))</f>
        <v>0</v>
      </c>
      <c r="AR739">
        <f>IF(COUNT($E$2:$E739)&lt;20,"",MIN($D$720:$D$739))</f>
        <v>0</v>
      </c>
      <c r="AS739">
        <f>IF(OR(AQ739="",AR739=""),"",(AQ739+AR739)/2)</f>
        <v>0</v>
      </c>
      <c r="AT739">
        <f>IF(COUNT($G$720:$G$739)&lt;20,"",STDEV($G$720:$G$739)*SQRT(252))</f>
        <v>0</v>
      </c>
      <c r="AU739">
        <f>IF(COUNT($E$2:$E739)&lt;9,"",(MAX($C$731:$C$739)+MIN($D$731:$D$739))/2)</f>
        <v>0</v>
      </c>
      <c r="AV739">
        <f>IF(COUNT($E$2:$E739)&lt;26,"",(MAX($C$714:$C$739)+MIN($D$714:$D$739))/2)</f>
        <v>0</v>
      </c>
      <c r="AW739">
        <f>IF(OR(AU739="",AV739=""),"",(AU739+AV739)/2)</f>
        <v>0</v>
      </c>
      <c r="AX739">
        <f>IF(COUNT($E$2:$E739)&lt;52,"",(MAX($C$688:$C$739)+MIN($D$688:$D$739))/2)</f>
        <v>0</v>
      </c>
      <c r="AY739">
        <f>IF(COUNT($E$2:$E739)&lt;20,"",MAX($C$640:$C$739))</f>
        <v>0</v>
      </c>
      <c r="AZ739">
        <f>IF(COUNT($E$2:$E739)&lt;20,"",MIN($D$640:$D$739))</f>
        <v>0</v>
      </c>
      <c r="BA739">
        <f>IF(COUNT($E$2:$E739)&lt;20,"",SLOPE($E$640:$E$739,$F$640:$F$739))</f>
        <v>0</v>
      </c>
      <c r="BB739">
        <f>IF(COUNT($E$2:$E739)&lt;20,"",INTERCEPT($E$640:$E$739,$F$640:$F$739))</f>
        <v>0</v>
      </c>
      <c r="BC739">
        <f>IF(OR(BA739="",BB739=""),"",BB739+BA739*F739)</f>
        <v>0</v>
      </c>
      <c r="BD739">
        <f>IF(COUNT($E$2:$E739)&lt;20,"",STEYX($E$640:$E$739,$F$640:$F$739))</f>
        <v>0</v>
      </c>
      <c r="BE739">
        <f>IF($E739="","",IF(AND(COUNT($E$740:$E$743)&gt;=4,$C739=MAX($C$735:$C$743)),$C739,""))</f>
        <v>0</v>
      </c>
      <c r="BF739">
        <f>IF($E739="","",IF(AND(COUNT($E$740:$E$743)&gt;=4,$D739=MIN($D$735:$D$743)),$D739,""))</f>
        <v>0</v>
      </c>
      <c r="BG739">
        <f>IF($A739="","",$A739-WEEKDAY($A739,2)+1)</f>
        <v>0</v>
      </c>
      <c r="BH739">
        <f>IF($A739="","",IF($A738="",1,IF(BG739&lt;&gt;BG738,1,0)))</f>
        <v>0</v>
      </c>
      <c r="BI739">
        <f>IF($A739="","",IF($A740="",1,IF(BG740&lt;&gt;BG739,1,0)))</f>
        <v>0</v>
      </c>
      <c r="BJ739">
        <f>IF($A739="","",IF(BH739=1,$B739,BJ738))</f>
        <v>0</v>
      </c>
      <c r="BK739">
        <f>IF($A739="","",IF(BH739=1,$C739,MAX($C739,BK738)))</f>
        <v>0</v>
      </c>
      <c r="BL739">
        <f>IF($A739="","",IF(BH739=1,$D739,MIN($D739,BL738)))</f>
        <v>0</v>
      </c>
      <c r="BM739">
        <f>IF($A739="","",IF(BI739=1,F739,""))</f>
        <v>0</v>
      </c>
      <c r="BN739">
        <f>IF($A739="","",DATE(YEAR($A739),MONTH($A739),1))</f>
        <v>0</v>
      </c>
      <c r="BO739">
        <f>IF($A739="","",IF($A738="",1,IF(BN739&lt;&gt;BN738,1,0)))</f>
        <v>0</v>
      </c>
      <c r="BP739">
        <f>IF($A739="","",IF($A740="",1,IF(BN740&lt;&gt;BN739,1,0)))</f>
        <v>0</v>
      </c>
      <c r="BQ739">
        <f>IF($A739="","",IF(BO739=1,$B739,BQ738))</f>
        <v>0</v>
      </c>
      <c r="BR739">
        <f>IF($A739="","",IF(BO739=1,$C739,MAX($C739,BR738)))</f>
        <v>0</v>
      </c>
      <c r="BS739">
        <f>IF($A739="","",IF(BO739=1,$D739,MIN($D739,BS738)))</f>
        <v>0</v>
      </c>
      <c r="BT739">
        <f>IF($A739="","",IF(BP739=1,F739,""))</f>
        <v>0</v>
      </c>
    </row>
    <row r="740" spans="1:72">
      <c r="A740" s="27">
        <f>IF(Data!$A740="","",Data!$A740)</f>
        <v>0</v>
      </c>
      <c r="B740">
        <f>IF(Data!$B740="","",Data!$B740)</f>
        <v>0</v>
      </c>
      <c r="C740">
        <f>IF(Data!$C740="","",Data!$C740)</f>
        <v>0</v>
      </c>
      <c r="D740">
        <f>IF(Data!$D740="","",Data!$D740)</f>
        <v>0</v>
      </c>
      <c r="E740">
        <f>IF(Data!$E740="","",Data!$E740)</f>
        <v>0</v>
      </c>
      <c r="F740">
        <f>IF($E740="","",N(F739)+1)</f>
        <v>0</v>
      </c>
      <c r="G740">
        <f>IF(OR($E740="",$E739=""),"",LN($E740/$E739))</f>
        <v>0</v>
      </c>
      <c r="H740">
        <f>IF($E740="","",IF($E739="",$E740,$E740*0.0952380952+H739*0.9047619048))</f>
        <v>0</v>
      </c>
      <c r="I740">
        <f>IF($E740="","",IF($E739="",$E740,$E740*0.0392156863+I739*0.9607843137))</f>
        <v>0</v>
      </c>
      <c r="J740">
        <f>IF($E740="","",IF($E739="",$E740,$E740*0.0198019802+J739*0.9801980198))</f>
        <v>0</v>
      </c>
      <c r="K740">
        <f>IF($E740="","",IF($E739="",$E740,$E740*0.0099502488+K739*0.9900497512))</f>
        <v>0</v>
      </c>
      <c r="L740">
        <f>IF(OR($E740="",$E739=""),"",MAX($E740-$E739,0))</f>
        <v>0</v>
      </c>
      <c r="M740">
        <f>IF(OR($E740="",$E739=""),"",MAX($E739-$E740,0))</f>
        <v>0</v>
      </c>
      <c r="N740">
        <f>IF(COUNT($E$2:$E740)&lt;15,"",IF(AVERAGE($M$727:$M$740)=0,100,100-100/(1+AVERAGE($L$727:$L$740)/AVERAGE($M$727:$M$740))))</f>
        <v>0</v>
      </c>
      <c r="O740">
        <f>IF($E740="","",IF($E739="",$E740,$E740*0.1538461538+O739*0.8461538462))</f>
        <v>0</v>
      </c>
      <c r="P740">
        <f>IF($E740="","",IF($E739="",$E740,$E740*0.0740740741+P739*0.9259259259))</f>
        <v>0</v>
      </c>
      <c r="Q740">
        <f>IF(OR(O740="",P740=""),"",O740-P740)</f>
        <v>0</v>
      </c>
      <c r="R740">
        <f>IF(Q740="","",IF(R739="",Q740,Q740*0.2000000000+R739*0.8000000000))</f>
        <v>0</v>
      </c>
      <c r="S740">
        <f>IF(OR(Q740="",R740=""),"",Q740-R740)</f>
        <v>0</v>
      </c>
      <c r="T740">
        <f>IF(COUNT($E$2:$E740)&lt;14,"",MAX($C$727:$C$740))</f>
        <v>0</v>
      </c>
      <c r="U740">
        <f>IF(COUNT($E$2:$E740)&lt;14,"",MIN($D$727:$D$740))</f>
        <v>0</v>
      </c>
      <c r="V740">
        <f>IF(OR(T740="",U740="",T740=U740),"",100*($E740-U740)/(T740-U740))</f>
        <v>0</v>
      </c>
      <c r="W740">
        <f>IF(COUNT($V$738:$V$740)&lt;3,"",AVERAGE($V$738:$V$740))</f>
        <v>0</v>
      </c>
      <c r="X740">
        <f>IF(COUNT($N$727:$N$740)&lt;14,"",MIN($N$727:$N$740))</f>
        <v>0</v>
      </c>
      <c r="Y740">
        <f>IF(COUNT($N$727:$N$740)&lt;14,"",MAX($N$727:$N$740))</f>
        <v>0</v>
      </c>
      <c r="Z740">
        <f>IF(OR(N740="",X740="",Y740="",Y740=X740),"",100*(N740-X740)/(Y740-X740))</f>
        <v>0</v>
      </c>
      <c r="AA740">
        <f>IF(COUNT($Z$738:$Z$740)&lt;3,"",AVERAGE($Z$738:$Z$740))</f>
        <v>0</v>
      </c>
      <c r="AB740">
        <f>IF(COUNT($AA$738:$AA$740)&lt;3,"",AVERAGE($AA$738:$AA$740))</f>
        <v>0</v>
      </c>
      <c r="AC740">
        <f>IF($E740="","",MAX($C740-$D740,ABS($C740-$E739),ABS($D740-$E739)))</f>
        <v>0</v>
      </c>
      <c r="AD740">
        <f>IF(COUNT($E$2:$E740)&lt;15,"",AVERAGE($AC$727:$AC$740))</f>
        <v>0</v>
      </c>
      <c r="AE740">
        <f>IF(OR($E740="",$E739=""),"",IF(AND(($C740-$C739)&gt;($D739-$D740),($C740-$C739)&gt;0),$C740-$C739,0))</f>
        <v>0</v>
      </c>
      <c r="AF740">
        <f>IF(OR($E740="",$E739=""),"",IF(AND(($D739-$D740)&gt;($C740-$C739),($D739-$D740)&gt;0),$D739-$D740,0))</f>
        <v>0</v>
      </c>
      <c r="AG740">
        <f>IF(COUNT($E$2:$E740)&lt;15,"",IF(SUM($AC$727:$AC$740)=0,0,100*SUM($AE$727:$AE$740)/SUM($AC$727:$AC$740)))</f>
        <v>0</v>
      </c>
      <c r="AH740">
        <f>IF(COUNT($E$2:$E740)&lt;15,"",IF(SUM($AC$727:$AC$740)=0,0,100*SUM($AF$727:$AF$740)/SUM($AC$727:$AC$740)))</f>
        <v>0</v>
      </c>
      <c r="AI740">
        <f>IF(OR(AG740="",AH740=""),"",IF((AG740+AH740)=0,0,100*ABS(AG740-AH740)/(AG740+AH740)))</f>
        <v>0</v>
      </c>
      <c r="AJ740">
        <f>IF(COUNT($AI$727:$AI$740)&lt;14,"",AVERAGE($AI$727:$AI$740))</f>
        <v>0</v>
      </c>
      <c r="AK740">
        <f>IF(COUNT($E$2:$E740)&lt;20,"",AVERAGE($E$721:$E$740))</f>
        <v>0</v>
      </c>
      <c r="AL740">
        <f>IF(COUNT($E$2:$E740)&lt;20,"",STDEVP($E$721:$E$740))</f>
        <v>0</v>
      </c>
      <c r="AM740">
        <f>IF(AK740="","",AK740+2*AL740)</f>
        <v>0</v>
      </c>
      <c r="AN740">
        <f>IF(AK740="","",AK740-2*AL740)</f>
        <v>0</v>
      </c>
      <c r="AO740">
        <f>IF(OR(AM740="",AN740="",AM740=AN740),"",($E740-AN740)/(AM740-AN740))</f>
        <v>0</v>
      </c>
      <c r="AP740">
        <f>IF(OR(AM740="",AK740="",AK740=0),"",(AM740-AN740)/AK740)</f>
        <v>0</v>
      </c>
      <c r="AQ740">
        <f>IF(COUNT($E$2:$E740)&lt;20,"",MAX($C$721:$C$740))</f>
        <v>0</v>
      </c>
      <c r="AR740">
        <f>IF(COUNT($E$2:$E740)&lt;20,"",MIN($D$721:$D$740))</f>
        <v>0</v>
      </c>
      <c r="AS740">
        <f>IF(OR(AQ740="",AR740=""),"",(AQ740+AR740)/2)</f>
        <v>0</v>
      </c>
      <c r="AT740">
        <f>IF(COUNT($G$721:$G$740)&lt;20,"",STDEV($G$721:$G$740)*SQRT(252))</f>
        <v>0</v>
      </c>
      <c r="AU740">
        <f>IF(COUNT($E$2:$E740)&lt;9,"",(MAX($C$732:$C$740)+MIN($D$732:$D$740))/2)</f>
        <v>0</v>
      </c>
      <c r="AV740">
        <f>IF(COUNT($E$2:$E740)&lt;26,"",(MAX($C$715:$C$740)+MIN($D$715:$D$740))/2)</f>
        <v>0</v>
      </c>
      <c r="AW740">
        <f>IF(OR(AU740="",AV740=""),"",(AU740+AV740)/2)</f>
        <v>0</v>
      </c>
      <c r="AX740">
        <f>IF(COUNT($E$2:$E740)&lt;52,"",(MAX($C$689:$C$740)+MIN($D$689:$D$740))/2)</f>
        <v>0</v>
      </c>
      <c r="AY740">
        <f>IF(COUNT($E$2:$E740)&lt;20,"",MAX($C$641:$C$740))</f>
        <v>0</v>
      </c>
      <c r="AZ740">
        <f>IF(COUNT($E$2:$E740)&lt;20,"",MIN($D$641:$D$740))</f>
        <v>0</v>
      </c>
      <c r="BA740">
        <f>IF(COUNT($E$2:$E740)&lt;20,"",SLOPE($E$641:$E$740,$F$641:$F$740))</f>
        <v>0</v>
      </c>
      <c r="BB740">
        <f>IF(COUNT($E$2:$E740)&lt;20,"",INTERCEPT($E$641:$E$740,$F$641:$F$740))</f>
        <v>0</v>
      </c>
      <c r="BC740">
        <f>IF(OR(BA740="",BB740=""),"",BB740+BA740*F740)</f>
        <v>0</v>
      </c>
      <c r="BD740">
        <f>IF(COUNT($E$2:$E740)&lt;20,"",STEYX($E$641:$E$740,$F$641:$F$740))</f>
        <v>0</v>
      </c>
      <c r="BE740">
        <f>IF($E740="","",IF(AND(COUNT($E$741:$E$744)&gt;=4,$C740=MAX($C$736:$C$744)),$C740,""))</f>
        <v>0</v>
      </c>
      <c r="BF740">
        <f>IF($E740="","",IF(AND(COUNT($E$741:$E$744)&gt;=4,$D740=MIN($D$736:$D$744)),$D740,""))</f>
        <v>0</v>
      </c>
      <c r="BG740">
        <f>IF($A740="","",$A740-WEEKDAY($A740,2)+1)</f>
        <v>0</v>
      </c>
      <c r="BH740">
        <f>IF($A740="","",IF($A739="",1,IF(BG740&lt;&gt;BG739,1,0)))</f>
        <v>0</v>
      </c>
      <c r="BI740">
        <f>IF($A740="","",IF($A741="",1,IF(BG741&lt;&gt;BG740,1,0)))</f>
        <v>0</v>
      </c>
      <c r="BJ740">
        <f>IF($A740="","",IF(BH740=1,$B740,BJ739))</f>
        <v>0</v>
      </c>
      <c r="BK740">
        <f>IF($A740="","",IF(BH740=1,$C740,MAX($C740,BK739)))</f>
        <v>0</v>
      </c>
      <c r="BL740">
        <f>IF($A740="","",IF(BH740=1,$D740,MIN($D740,BL739)))</f>
        <v>0</v>
      </c>
      <c r="BM740">
        <f>IF($A740="","",IF(BI740=1,F740,""))</f>
        <v>0</v>
      </c>
      <c r="BN740">
        <f>IF($A740="","",DATE(YEAR($A740),MONTH($A740),1))</f>
        <v>0</v>
      </c>
      <c r="BO740">
        <f>IF($A740="","",IF($A739="",1,IF(BN740&lt;&gt;BN739,1,0)))</f>
        <v>0</v>
      </c>
      <c r="BP740">
        <f>IF($A740="","",IF($A741="",1,IF(BN741&lt;&gt;BN740,1,0)))</f>
        <v>0</v>
      </c>
      <c r="BQ740">
        <f>IF($A740="","",IF(BO740=1,$B740,BQ739))</f>
        <v>0</v>
      </c>
      <c r="BR740">
        <f>IF($A740="","",IF(BO740=1,$C740,MAX($C740,BR739)))</f>
        <v>0</v>
      </c>
      <c r="BS740">
        <f>IF($A740="","",IF(BO740=1,$D740,MIN($D740,BS739)))</f>
        <v>0</v>
      </c>
      <c r="BT740">
        <f>IF($A740="","",IF(BP740=1,F740,""))</f>
        <v>0</v>
      </c>
    </row>
    <row r="741" spans="1:72">
      <c r="A741" s="27">
        <f>IF(Data!$A741="","",Data!$A741)</f>
        <v>0</v>
      </c>
      <c r="B741">
        <f>IF(Data!$B741="","",Data!$B741)</f>
        <v>0</v>
      </c>
      <c r="C741">
        <f>IF(Data!$C741="","",Data!$C741)</f>
        <v>0</v>
      </c>
      <c r="D741">
        <f>IF(Data!$D741="","",Data!$D741)</f>
        <v>0</v>
      </c>
      <c r="E741">
        <f>IF(Data!$E741="","",Data!$E741)</f>
        <v>0</v>
      </c>
      <c r="F741">
        <f>IF($E741="","",N(F740)+1)</f>
        <v>0</v>
      </c>
      <c r="G741">
        <f>IF(OR($E741="",$E740=""),"",LN($E741/$E740))</f>
        <v>0</v>
      </c>
      <c r="H741">
        <f>IF($E741="","",IF($E740="",$E741,$E741*0.0952380952+H740*0.9047619048))</f>
        <v>0</v>
      </c>
      <c r="I741">
        <f>IF($E741="","",IF($E740="",$E741,$E741*0.0392156863+I740*0.9607843137))</f>
        <v>0</v>
      </c>
      <c r="J741">
        <f>IF($E741="","",IF($E740="",$E741,$E741*0.0198019802+J740*0.9801980198))</f>
        <v>0</v>
      </c>
      <c r="K741">
        <f>IF($E741="","",IF($E740="",$E741,$E741*0.0099502488+K740*0.9900497512))</f>
        <v>0</v>
      </c>
      <c r="L741">
        <f>IF(OR($E741="",$E740=""),"",MAX($E741-$E740,0))</f>
        <v>0</v>
      </c>
      <c r="M741">
        <f>IF(OR($E741="",$E740=""),"",MAX($E740-$E741,0))</f>
        <v>0</v>
      </c>
      <c r="N741">
        <f>IF(COUNT($E$2:$E741)&lt;15,"",IF(AVERAGE($M$728:$M$741)=0,100,100-100/(1+AVERAGE($L$728:$L$741)/AVERAGE($M$728:$M$741))))</f>
        <v>0</v>
      </c>
      <c r="O741">
        <f>IF($E741="","",IF($E740="",$E741,$E741*0.1538461538+O740*0.8461538462))</f>
        <v>0</v>
      </c>
      <c r="P741">
        <f>IF($E741="","",IF($E740="",$E741,$E741*0.0740740741+P740*0.9259259259))</f>
        <v>0</v>
      </c>
      <c r="Q741">
        <f>IF(OR(O741="",P741=""),"",O741-P741)</f>
        <v>0</v>
      </c>
      <c r="R741">
        <f>IF(Q741="","",IF(R740="",Q741,Q741*0.2000000000+R740*0.8000000000))</f>
        <v>0</v>
      </c>
      <c r="S741">
        <f>IF(OR(Q741="",R741=""),"",Q741-R741)</f>
        <v>0</v>
      </c>
      <c r="T741">
        <f>IF(COUNT($E$2:$E741)&lt;14,"",MAX($C$728:$C$741))</f>
        <v>0</v>
      </c>
      <c r="U741">
        <f>IF(COUNT($E$2:$E741)&lt;14,"",MIN($D$728:$D$741))</f>
        <v>0</v>
      </c>
      <c r="V741">
        <f>IF(OR(T741="",U741="",T741=U741),"",100*($E741-U741)/(T741-U741))</f>
        <v>0</v>
      </c>
      <c r="W741">
        <f>IF(COUNT($V$739:$V$741)&lt;3,"",AVERAGE($V$739:$V$741))</f>
        <v>0</v>
      </c>
      <c r="X741">
        <f>IF(COUNT($N$728:$N$741)&lt;14,"",MIN($N$728:$N$741))</f>
        <v>0</v>
      </c>
      <c r="Y741">
        <f>IF(COUNT($N$728:$N$741)&lt;14,"",MAX($N$728:$N$741))</f>
        <v>0</v>
      </c>
      <c r="Z741">
        <f>IF(OR(N741="",X741="",Y741="",Y741=X741),"",100*(N741-X741)/(Y741-X741))</f>
        <v>0</v>
      </c>
      <c r="AA741">
        <f>IF(COUNT($Z$739:$Z$741)&lt;3,"",AVERAGE($Z$739:$Z$741))</f>
        <v>0</v>
      </c>
      <c r="AB741">
        <f>IF(COUNT($AA$739:$AA$741)&lt;3,"",AVERAGE($AA$739:$AA$741))</f>
        <v>0</v>
      </c>
      <c r="AC741">
        <f>IF($E741="","",MAX($C741-$D741,ABS($C741-$E740),ABS($D741-$E740)))</f>
        <v>0</v>
      </c>
      <c r="AD741">
        <f>IF(COUNT($E$2:$E741)&lt;15,"",AVERAGE($AC$728:$AC$741))</f>
        <v>0</v>
      </c>
      <c r="AE741">
        <f>IF(OR($E741="",$E740=""),"",IF(AND(($C741-$C740)&gt;($D740-$D741),($C741-$C740)&gt;0),$C741-$C740,0))</f>
        <v>0</v>
      </c>
      <c r="AF741">
        <f>IF(OR($E741="",$E740=""),"",IF(AND(($D740-$D741)&gt;($C741-$C740),($D740-$D741)&gt;0),$D740-$D741,0))</f>
        <v>0</v>
      </c>
      <c r="AG741">
        <f>IF(COUNT($E$2:$E741)&lt;15,"",IF(SUM($AC$728:$AC$741)=0,0,100*SUM($AE$728:$AE$741)/SUM($AC$728:$AC$741)))</f>
        <v>0</v>
      </c>
      <c r="AH741">
        <f>IF(COUNT($E$2:$E741)&lt;15,"",IF(SUM($AC$728:$AC$741)=0,0,100*SUM($AF$728:$AF$741)/SUM($AC$728:$AC$741)))</f>
        <v>0</v>
      </c>
      <c r="AI741">
        <f>IF(OR(AG741="",AH741=""),"",IF((AG741+AH741)=0,0,100*ABS(AG741-AH741)/(AG741+AH741)))</f>
        <v>0</v>
      </c>
      <c r="AJ741">
        <f>IF(COUNT($AI$728:$AI$741)&lt;14,"",AVERAGE($AI$728:$AI$741))</f>
        <v>0</v>
      </c>
      <c r="AK741">
        <f>IF(COUNT($E$2:$E741)&lt;20,"",AVERAGE($E$722:$E$741))</f>
        <v>0</v>
      </c>
      <c r="AL741">
        <f>IF(COUNT($E$2:$E741)&lt;20,"",STDEVP($E$722:$E$741))</f>
        <v>0</v>
      </c>
      <c r="AM741">
        <f>IF(AK741="","",AK741+2*AL741)</f>
        <v>0</v>
      </c>
      <c r="AN741">
        <f>IF(AK741="","",AK741-2*AL741)</f>
        <v>0</v>
      </c>
      <c r="AO741">
        <f>IF(OR(AM741="",AN741="",AM741=AN741),"",($E741-AN741)/(AM741-AN741))</f>
        <v>0</v>
      </c>
      <c r="AP741">
        <f>IF(OR(AM741="",AK741="",AK741=0),"",(AM741-AN741)/AK741)</f>
        <v>0</v>
      </c>
      <c r="AQ741">
        <f>IF(COUNT($E$2:$E741)&lt;20,"",MAX($C$722:$C$741))</f>
        <v>0</v>
      </c>
      <c r="AR741">
        <f>IF(COUNT($E$2:$E741)&lt;20,"",MIN($D$722:$D$741))</f>
        <v>0</v>
      </c>
      <c r="AS741">
        <f>IF(OR(AQ741="",AR741=""),"",(AQ741+AR741)/2)</f>
        <v>0</v>
      </c>
      <c r="AT741">
        <f>IF(COUNT($G$722:$G$741)&lt;20,"",STDEV($G$722:$G$741)*SQRT(252))</f>
        <v>0</v>
      </c>
      <c r="AU741">
        <f>IF(COUNT($E$2:$E741)&lt;9,"",(MAX($C$733:$C$741)+MIN($D$733:$D$741))/2)</f>
        <v>0</v>
      </c>
      <c r="AV741">
        <f>IF(COUNT($E$2:$E741)&lt;26,"",(MAX($C$716:$C$741)+MIN($D$716:$D$741))/2)</f>
        <v>0</v>
      </c>
      <c r="AW741">
        <f>IF(OR(AU741="",AV741=""),"",(AU741+AV741)/2)</f>
        <v>0</v>
      </c>
      <c r="AX741">
        <f>IF(COUNT($E$2:$E741)&lt;52,"",(MAX($C$690:$C$741)+MIN($D$690:$D$741))/2)</f>
        <v>0</v>
      </c>
      <c r="AY741">
        <f>IF(COUNT($E$2:$E741)&lt;20,"",MAX($C$642:$C$741))</f>
        <v>0</v>
      </c>
      <c r="AZ741">
        <f>IF(COUNT($E$2:$E741)&lt;20,"",MIN($D$642:$D$741))</f>
        <v>0</v>
      </c>
      <c r="BA741">
        <f>IF(COUNT($E$2:$E741)&lt;20,"",SLOPE($E$642:$E$741,$F$642:$F$741))</f>
        <v>0</v>
      </c>
      <c r="BB741">
        <f>IF(COUNT($E$2:$E741)&lt;20,"",INTERCEPT($E$642:$E$741,$F$642:$F$741))</f>
        <v>0</v>
      </c>
      <c r="BC741">
        <f>IF(OR(BA741="",BB741=""),"",BB741+BA741*F741)</f>
        <v>0</v>
      </c>
      <c r="BD741">
        <f>IF(COUNT($E$2:$E741)&lt;20,"",STEYX($E$642:$E$741,$F$642:$F$741))</f>
        <v>0</v>
      </c>
      <c r="BE741">
        <f>IF($E741="","",IF(AND(COUNT($E$742:$E$745)&gt;=4,$C741=MAX($C$737:$C$745)),$C741,""))</f>
        <v>0</v>
      </c>
      <c r="BF741">
        <f>IF($E741="","",IF(AND(COUNT($E$742:$E$745)&gt;=4,$D741=MIN($D$737:$D$745)),$D741,""))</f>
        <v>0</v>
      </c>
      <c r="BG741">
        <f>IF($A741="","",$A741-WEEKDAY($A741,2)+1)</f>
        <v>0</v>
      </c>
      <c r="BH741">
        <f>IF($A741="","",IF($A740="",1,IF(BG741&lt;&gt;BG740,1,0)))</f>
        <v>0</v>
      </c>
      <c r="BI741">
        <f>IF($A741="","",IF($A742="",1,IF(BG742&lt;&gt;BG741,1,0)))</f>
        <v>0</v>
      </c>
      <c r="BJ741">
        <f>IF($A741="","",IF(BH741=1,$B741,BJ740))</f>
        <v>0</v>
      </c>
      <c r="BK741">
        <f>IF($A741="","",IF(BH741=1,$C741,MAX($C741,BK740)))</f>
        <v>0</v>
      </c>
      <c r="BL741">
        <f>IF($A741="","",IF(BH741=1,$D741,MIN($D741,BL740)))</f>
        <v>0</v>
      </c>
      <c r="BM741">
        <f>IF($A741="","",IF(BI741=1,F741,""))</f>
        <v>0</v>
      </c>
      <c r="BN741">
        <f>IF($A741="","",DATE(YEAR($A741),MONTH($A741),1))</f>
        <v>0</v>
      </c>
      <c r="BO741">
        <f>IF($A741="","",IF($A740="",1,IF(BN741&lt;&gt;BN740,1,0)))</f>
        <v>0</v>
      </c>
      <c r="BP741">
        <f>IF($A741="","",IF($A742="",1,IF(BN742&lt;&gt;BN741,1,0)))</f>
        <v>0</v>
      </c>
      <c r="BQ741">
        <f>IF($A741="","",IF(BO741=1,$B741,BQ740))</f>
        <v>0</v>
      </c>
      <c r="BR741">
        <f>IF($A741="","",IF(BO741=1,$C741,MAX($C741,BR740)))</f>
        <v>0</v>
      </c>
      <c r="BS741">
        <f>IF($A741="","",IF(BO741=1,$D741,MIN($D741,BS740)))</f>
        <v>0</v>
      </c>
      <c r="BT741">
        <f>IF($A741="","",IF(BP741=1,F741,""))</f>
        <v>0</v>
      </c>
    </row>
    <row r="742" spans="1:72">
      <c r="A742" s="27">
        <f>IF(Data!$A742="","",Data!$A742)</f>
        <v>0</v>
      </c>
      <c r="B742">
        <f>IF(Data!$B742="","",Data!$B742)</f>
        <v>0</v>
      </c>
      <c r="C742">
        <f>IF(Data!$C742="","",Data!$C742)</f>
        <v>0</v>
      </c>
      <c r="D742">
        <f>IF(Data!$D742="","",Data!$D742)</f>
        <v>0</v>
      </c>
      <c r="E742">
        <f>IF(Data!$E742="","",Data!$E742)</f>
        <v>0</v>
      </c>
      <c r="F742">
        <f>IF($E742="","",N(F741)+1)</f>
        <v>0</v>
      </c>
      <c r="G742">
        <f>IF(OR($E742="",$E741=""),"",LN($E742/$E741))</f>
        <v>0</v>
      </c>
      <c r="H742">
        <f>IF($E742="","",IF($E741="",$E742,$E742*0.0952380952+H741*0.9047619048))</f>
        <v>0</v>
      </c>
      <c r="I742">
        <f>IF($E742="","",IF($E741="",$E742,$E742*0.0392156863+I741*0.9607843137))</f>
        <v>0</v>
      </c>
      <c r="J742">
        <f>IF($E742="","",IF($E741="",$E742,$E742*0.0198019802+J741*0.9801980198))</f>
        <v>0</v>
      </c>
      <c r="K742">
        <f>IF($E742="","",IF($E741="",$E742,$E742*0.0099502488+K741*0.9900497512))</f>
        <v>0</v>
      </c>
      <c r="L742">
        <f>IF(OR($E742="",$E741=""),"",MAX($E742-$E741,0))</f>
        <v>0</v>
      </c>
      <c r="M742">
        <f>IF(OR($E742="",$E741=""),"",MAX($E741-$E742,0))</f>
        <v>0</v>
      </c>
      <c r="N742">
        <f>IF(COUNT($E$2:$E742)&lt;15,"",IF(AVERAGE($M$729:$M$742)=0,100,100-100/(1+AVERAGE($L$729:$L$742)/AVERAGE($M$729:$M$742))))</f>
        <v>0</v>
      </c>
      <c r="O742">
        <f>IF($E742="","",IF($E741="",$E742,$E742*0.1538461538+O741*0.8461538462))</f>
        <v>0</v>
      </c>
      <c r="P742">
        <f>IF($E742="","",IF($E741="",$E742,$E742*0.0740740741+P741*0.9259259259))</f>
        <v>0</v>
      </c>
      <c r="Q742">
        <f>IF(OR(O742="",P742=""),"",O742-P742)</f>
        <v>0</v>
      </c>
      <c r="R742">
        <f>IF(Q742="","",IF(R741="",Q742,Q742*0.2000000000+R741*0.8000000000))</f>
        <v>0</v>
      </c>
      <c r="S742">
        <f>IF(OR(Q742="",R742=""),"",Q742-R742)</f>
        <v>0</v>
      </c>
      <c r="T742">
        <f>IF(COUNT($E$2:$E742)&lt;14,"",MAX($C$729:$C$742))</f>
        <v>0</v>
      </c>
      <c r="U742">
        <f>IF(COUNT($E$2:$E742)&lt;14,"",MIN($D$729:$D$742))</f>
        <v>0</v>
      </c>
      <c r="V742">
        <f>IF(OR(T742="",U742="",T742=U742),"",100*($E742-U742)/(T742-U742))</f>
        <v>0</v>
      </c>
      <c r="W742">
        <f>IF(COUNT($V$740:$V$742)&lt;3,"",AVERAGE($V$740:$V$742))</f>
        <v>0</v>
      </c>
      <c r="X742">
        <f>IF(COUNT($N$729:$N$742)&lt;14,"",MIN($N$729:$N$742))</f>
        <v>0</v>
      </c>
      <c r="Y742">
        <f>IF(COUNT($N$729:$N$742)&lt;14,"",MAX($N$729:$N$742))</f>
        <v>0</v>
      </c>
      <c r="Z742">
        <f>IF(OR(N742="",X742="",Y742="",Y742=X742),"",100*(N742-X742)/(Y742-X742))</f>
        <v>0</v>
      </c>
      <c r="AA742">
        <f>IF(COUNT($Z$740:$Z$742)&lt;3,"",AVERAGE($Z$740:$Z$742))</f>
        <v>0</v>
      </c>
      <c r="AB742">
        <f>IF(COUNT($AA$740:$AA$742)&lt;3,"",AVERAGE($AA$740:$AA$742))</f>
        <v>0</v>
      </c>
      <c r="AC742">
        <f>IF($E742="","",MAX($C742-$D742,ABS($C742-$E741),ABS($D742-$E741)))</f>
        <v>0</v>
      </c>
      <c r="AD742">
        <f>IF(COUNT($E$2:$E742)&lt;15,"",AVERAGE($AC$729:$AC$742))</f>
        <v>0</v>
      </c>
      <c r="AE742">
        <f>IF(OR($E742="",$E741=""),"",IF(AND(($C742-$C741)&gt;($D741-$D742),($C742-$C741)&gt;0),$C742-$C741,0))</f>
        <v>0</v>
      </c>
      <c r="AF742">
        <f>IF(OR($E742="",$E741=""),"",IF(AND(($D741-$D742)&gt;($C742-$C741),($D741-$D742)&gt;0),$D741-$D742,0))</f>
        <v>0</v>
      </c>
      <c r="AG742">
        <f>IF(COUNT($E$2:$E742)&lt;15,"",IF(SUM($AC$729:$AC$742)=0,0,100*SUM($AE$729:$AE$742)/SUM($AC$729:$AC$742)))</f>
        <v>0</v>
      </c>
      <c r="AH742">
        <f>IF(COUNT($E$2:$E742)&lt;15,"",IF(SUM($AC$729:$AC$742)=0,0,100*SUM($AF$729:$AF$742)/SUM($AC$729:$AC$742)))</f>
        <v>0</v>
      </c>
      <c r="AI742">
        <f>IF(OR(AG742="",AH742=""),"",IF((AG742+AH742)=0,0,100*ABS(AG742-AH742)/(AG742+AH742)))</f>
        <v>0</v>
      </c>
      <c r="AJ742">
        <f>IF(COUNT($AI$729:$AI$742)&lt;14,"",AVERAGE($AI$729:$AI$742))</f>
        <v>0</v>
      </c>
      <c r="AK742">
        <f>IF(COUNT($E$2:$E742)&lt;20,"",AVERAGE($E$723:$E$742))</f>
        <v>0</v>
      </c>
      <c r="AL742">
        <f>IF(COUNT($E$2:$E742)&lt;20,"",STDEVP($E$723:$E$742))</f>
        <v>0</v>
      </c>
      <c r="AM742">
        <f>IF(AK742="","",AK742+2*AL742)</f>
        <v>0</v>
      </c>
      <c r="AN742">
        <f>IF(AK742="","",AK742-2*AL742)</f>
        <v>0</v>
      </c>
      <c r="AO742">
        <f>IF(OR(AM742="",AN742="",AM742=AN742),"",($E742-AN742)/(AM742-AN742))</f>
        <v>0</v>
      </c>
      <c r="AP742">
        <f>IF(OR(AM742="",AK742="",AK742=0),"",(AM742-AN742)/AK742)</f>
        <v>0</v>
      </c>
      <c r="AQ742">
        <f>IF(COUNT($E$2:$E742)&lt;20,"",MAX($C$723:$C$742))</f>
        <v>0</v>
      </c>
      <c r="AR742">
        <f>IF(COUNT($E$2:$E742)&lt;20,"",MIN($D$723:$D$742))</f>
        <v>0</v>
      </c>
      <c r="AS742">
        <f>IF(OR(AQ742="",AR742=""),"",(AQ742+AR742)/2)</f>
        <v>0</v>
      </c>
      <c r="AT742">
        <f>IF(COUNT($G$723:$G$742)&lt;20,"",STDEV($G$723:$G$742)*SQRT(252))</f>
        <v>0</v>
      </c>
      <c r="AU742">
        <f>IF(COUNT($E$2:$E742)&lt;9,"",(MAX($C$734:$C$742)+MIN($D$734:$D$742))/2)</f>
        <v>0</v>
      </c>
      <c r="AV742">
        <f>IF(COUNT($E$2:$E742)&lt;26,"",(MAX($C$717:$C$742)+MIN($D$717:$D$742))/2)</f>
        <v>0</v>
      </c>
      <c r="AW742">
        <f>IF(OR(AU742="",AV742=""),"",(AU742+AV742)/2)</f>
        <v>0</v>
      </c>
      <c r="AX742">
        <f>IF(COUNT($E$2:$E742)&lt;52,"",(MAX($C$691:$C$742)+MIN($D$691:$D$742))/2)</f>
        <v>0</v>
      </c>
      <c r="AY742">
        <f>IF(COUNT($E$2:$E742)&lt;20,"",MAX($C$643:$C$742))</f>
        <v>0</v>
      </c>
      <c r="AZ742">
        <f>IF(COUNT($E$2:$E742)&lt;20,"",MIN($D$643:$D$742))</f>
        <v>0</v>
      </c>
      <c r="BA742">
        <f>IF(COUNT($E$2:$E742)&lt;20,"",SLOPE($E$643:$E$742,$F$643:$F$742))</f>
        <v>0</v>
      </c>
      <c r="BB742">
        <f>IF(COUNT($E$2:$E742)&lt;20,"",INTERCEPT($E$643:$E$742,$F$643:$F$742))</f>
        <v>0</v>
      </c>
      <c r="BC742">
        <f>IF(OR(BA742="",BB742=""),"",BB742+BA742*F742)</f>
        <v>0</v>
      </c>
      <c r="BD742">
        <f>IF(COUNT($E$2:$E742)&lt;20,"",STEYX($E$643:$E$742,$F$643:$F$742))</f>
        <v>0</v>
      </c>
      <c r="BE742">
        <f>IF($E742="","",IF(AND(COUNT($E$743:$E$746)&gt;=4,$C742=MAX($C$738:$C$746)),$C742,""))</f>
        <v>0</v>
      </c>
      <c r="BF742">
        <f>IF($E742="","",IF(AND(COUNT($E$743:$E$746)&gt;=4,$D742=MIN($D$738:$D$746)),$D742,""))</f>
        <v>0</v>
      </c>
      <c r="BG742">
        <f>IF($A742="","",$A742-WEEKDAY($A742,2)+1)</f>
        <v>0</v>
      </c>
      <c r="BH742">
        <f>IF($A742="","",IF($A741="",1,IF(BG742&lt;&gt;BG741,1,0)))</f>
        <v>0</v>
      </c>
      <c r="BI742">
        <f>IF($A742="","",IF($A743="",1,IF(BG743&lt;&gt;BG742,1,0)))</f>
        <v>0</v>
      </c>
      <c r="BJ742">
        <f>IF($A742="","",IF(BH742=1,$B742,BJ741))</f>
        <v>0</v>
      </c>
      <c r="BK742">
        <f>IF($A742="","",IF(BH742=1,$C742,MAX($C742,BK741)))</f>
        <v>0</v>
      </c>
      <c r="BL742">
        <f>IF($A742="","",IF(BH742=1,$D742,MIN($D742,BL741)))</f>
        <v>0</v>
      </c>
      <c r="BM742">
        <f>IF($A742="","",IF(BI742=1,F742,""))</f>
        <v>0</v>
      </c>
      <c r="BN742">
        <f>IF($A742="","",DATE(YEAR($A742),MONTH($A742),1))</f>
        <v>0</v>
      </c>
      <c r="BO742">
        <f>IF($A742="","",IF($A741="",1,IF(BN742&lt;&gt;BN741,1,0)))</f>
        <v>0</v>
      </c>
      <c r="BP742">
        <f>IF($A742="","",IF($A743="",1,IF(BN743&lt;&gt;BN742,1,0)))</f>
        <v>0</v>
      </c>
      <c r="BQ742">
        <f>IF($A742="","",IF(BO742=1,$B742,BQ741))</f>
        <v>0</v>
      </c>
      <c r="BR742">
        <f>IF($A742="","",IF(BO742=1,$C742,MAX($C742,BR741)))</f>
        <v>0</v>
      </c>
      <c r="BS742">
        <f>IF($A742="","",IF(BO742=1,$D742,MIN($D742,BS741)))</f>
        <v>0</v>
      </c>
      <c r="BT742">
        <f>IF($A742="","",IF(BP742=1,F742,""))</f>
        <v>0</v>
      </c>
    </row>
    <row r="743" spans="1:72">
      <c r="A743" s="27">
        <f>IF(Data!$A743="","",Data!$A743)</f>
        <v>0</v>
      </c>
      <c r="B743">
        <f>IF(Data!$B743="","",Data!$B743)</f>
        <v>0</v>
      </c>
      <c r="C743">
        <f>IF(Data!$C743="","",Data!$C743)</f>
        <v>0</v>
      </c>
      <c r="D743">
        <f>IF(Data!$D743="","",Data!$D743)</f>
        <v>0</v>
      </c>
      <c r="E743">
        <f>IF(Data!$E743="","",Data!$E743)</f>
        <v>0</v>
      </c>
      <c r="F743">
        <f>IF($E743="","",N(F742)+1)</f>
        <v>0</v>
      </c>
      <c r="G743">
        <f>IF(OR($E743="",$E742=""),"",LN($E743/$E742))</f>
        <v>0</v>
      </c>
      <c r="H743">
        <f>IF($E743="","",IF($E742="",$E743,$E743*0.0952380952+H742*0.9047619048))</f>
        <v>0</v>
      </c>
      <c r="I743">
        <f>IF($E743="","",IF($E742="",$E743,$E743*0.0392156863+I742*0.9607843137))</f>
        <v>0</v>
      </c>
      <c r="J743">
        <f>IF($E743="","",IF($E742="",$E743,$E743*0.0198019802+J742*0.9801980198))</f>
        <v>0</v>
      </c>
      <c r="K743">
        <f>IF($E743="","",IF($E742="",$E743,$E743*0.0099502488+K742*0.9900497512))</f>
        <v>0</v>
      </c>
      <c r="L743">
        <f>IF(OR($E743="",$E742=""),"",MAX($E743-$E742,0))</f>
        <v>0</v>
      </c>
      <c r="M743">
        <f>IF(OR($E743="",$E742=""),"",MAX($E742-$E743,0))</f>
        <v>0</v>
      </c>
      <c r="N743">
        <f>IF(COUNT($E$2:$E743)&lt;15,"",IF(AVERAGE($M$730:$M$743)=0,100,100-100/(1+AVERAGE($L$730:$L$743)/AVERAGE($M$730:$M$743))))</f>
        <v>0</v>
      </c>
      <c r="O743">
        <f>IF($E743="","",IF($E742="",$E743,$E743*0.1538461538+O742*0.8461538462))</f>
        <v>0</v>
      </c>
      <c r="P743">
        <f>IF($E743="","",IF($E742="",$E743,$E743*0.0740740741+P742*0.9259259259))</f>
        <v>0</v>
      </c>
      <c r="Q743">
        <f>IF(OR(O743="",P743=""),"",O743-P743)</f>
        <v>0</v>
      </c>
      <c r="R743">
        <f>IF(Q743="","",IF(R742="",Q743,Q743*0.2000000000+R742*0.8000000000))</f>
        <v>0</v>
      </c>
      <c r="S743">
        <f>IF(OR(Q743="",R743=""),"",Q743-R743)</f>
        <v>0</v>
      </c>
      <c r="T743">
        <f>IF(COUNT($E$2:$E743)&lt;14,"",MAX($C$730:$C$743))</f>
        <v>0</v>
      </c>
      <c r="U743">
        <f>IF(COUNT($E$2:$E743)&lt;14,"",MIN($D$730:$D$743))</f>
        <v>0</v>
      </c>
      <c r="V743">
        <f>IF(OR(T743="",U743="",T743=U743),"",100*($E743-U743)/(T743-U743))</f>
        <v>0</v>
      </c>
      <c r="W743">
        <f>IF(COUNT($V$741:$V$743)&lt;3,"",AVERAGE($V$741:$V$743))</f>
        <v>0</v>
      </c>
      <c r="X743">
        <f>IF(COUNT($N$730:$N$743)&lt;14,"",MIN($N$730:$N$743))</f>
        <v>0</v>
      </c>
      <c r="Y743">
        <f>IF(COUNT($N$730:$N$743)&lt;14,"",MAX($N$730:$N$743))</f>
        <v>0</v>
      </c>
      <c r="Z743">
        <f>IF(OR(N743="",X743="",Y743="",Y743=X743),"",100*(N743-X743)/(Y743-X743))</f>
        <v>0</v>
      </c>
      <c r="AA743">
        <f>IF(COUNT($Z$741:$Z$743)&lt;3,"",AVERAGE($Z$741:$Z$743))</f>
        <v>0</v>
      </c>
      <c r="AB743">
        <f>IF(COUNT($AA$741:$AA$743)&lt;3,"",AVERAGE($AA$741:$AA$743))</f>
        <v>0</v>
      </c>
      <c r="AC743">
        <f>IF($E743="","",MAX($C743-$D743,ABS($C743-$E742),ABS($D743-$E742)))</f>
        <v>0</v>
      </c>
      <c r="AD743">
        <f>IF(COUNT($E$2:$E743)&lt;15,"",AVERAGE($AC$730:$AC$743))</f>
        <v>0</v>
      </c>
      <c r="AE743">
        <f>IF(OR($E743="",$E742=""),"",IF(AND(($C743-$C742)&gt;($D742-$D743),($C743-$C742)&gt;0),$C743-$C742,0))</f>
        <v>0</v>
      </c>
      <c r="AF743">
        <f>IF(OR($E743="",$E742=""),"",IF(AND(($D742-$D743)&gt;($C743-$C742),($D742-$D743)&gt;0),$D742-$D743,0))</f>
        <v>0</v>
      </c>
      <c r="AG743">
        <f>IF(COUNT($E$2:$E743)&lt;15,"",IF(SUM($AC$730:$AC$743)=0,0,100*SUM($AE$730:$AE$743)/SUM($AC$730:$AC$743)))</f>
        <v>0</v>
      </c>
      <c r="AH743">
        <f>IF(COUNT($E$2:$E743)&lt;15,"",IF(SUM($AC$730:$AC$743)=0,0,100*SUM($AF$730:$AF$743)/SUM($AC$730:$AC$743)))</f>
        <v>0</v>
      </c>
      <c r="AI743">
        <f>IF(OR(AG743="",AH743=""),"",IF((AG743+AH743)=0,0,100*ABS(AG743-AH743)/(AG743+AH743)))</f>
        <v>0</v>
      </c>
      <c r="AJ743">
        <f>IF(COUNT($AI$730:$AI$743)&lt;14,"",AVERAGE($AI$730:$AI$743))</f>
        <v>0</v>
      </c>
      <c r="AK743">
        <f>IF(COUNT($E$2:$E743)&lt;20,"",AVERAGE($E$724:$E$743))</f>
        <v>0</v>
      </c>
      <c r="AL743">
        <f>IF(COUNT($E$2:$E743)&lt;20,"",STDEVP($E$724:$E$743))</f>
        <v>0</v>
      </c>
      <c r="AM743">
        <f>IF(AK743="","",AK743+2*AL743)</f>
        <v>0</v>
      </c>
      <c r="AN743">
        <f>IF(AK743="","",AK743-2*AL743)</f>
        <v>0</v>
      </c>
      <c r="AO743">
        <f>IF(OR(AM743="",AN743="",AM743=AN743),"",($E743-AN743)/(AM743-AN743))</f>
        <v>0</v>
      </c>
      <c r="AP743">
        <f>IF(OR(AM743="",AK743="",AK743=0),"",(AM743-AN743)/AK743)</f>
        <v>0</v>
      </c>
      <c r="AQ743">
        <f>IF(COUNT($E$2:$E743)&lt;20,"",MAX($C$724:$C$743))</f>
        <v>0</v>
      </c>
      <c r="AR743">
        <f>IF(COUNT($E$2:$E743)&lt;20,"",MIN($D$724:$D$743))</f>
        <v>0</v>
      </c>
      <c r="AS743">
        <f>IF(OR(AQ743="",AR743=""),"",(AQ743+AR743)/2)</f>
        <v>0</v>
      </c>
      <c r="AT743">
        <f>IF(COUNT($G$724:$G$743)&lt;20,"",STDEV($G$724:$G$743)*SQRT(252))</f>
        <v>0</v>
      </c>
      <c r="AU743">
        <f>IF(COUNT($E$2:$E743)&lt;9,"",(MAX($C$735:$C$743)+MIN($D$735:$D$743))/2)</f>
        <v>0</v>
      </c>
      <c r="AV743">
        <f>IF(COUNT($E$2:$E743)&lt;26,"",(MAX($C$718:$C$743)+MIN($D$718:$D$743))/2)</f>
        <v>0</v>
      </c>
      <c r="AW743">
        <f>IF(OR(AU743="",AV743=""),"",(AU743+AV743)/2)</f>
        <v>0</v>
      </c>
      <c r="AX743">
        <f>IF(COUNT($E$2:$E743)&lt;52,"",(MAX($C$692:$C$743)+MIN($D$692:$D$743))/2)</f>
        <v>0</v>
      </c>
      <c r="AY743">
        <f>IF(COUNT($E$2:$E743)&lt;20,"",MAX($C$644:$C$743))</f>
        <v>0</v>
      </c>
      <c r="AZ743">
        <f>IF(COUNT($E$2:$E743)&lt;20,"",MIN($D$644:$D$743))</f>
        <v>0</v>
      </c>
      <c r="BA743">
        <f>IF(COUNT($E$2:$E743)&lt;20,"",SLOPE($E$644:$E$743,$F$644:$F$743))</f>
        <v>0</v>
      </c>
      <c r="BB743">
        <f>IF(COUNT($E$2:$E743)&lt;20,"",INTERCEPT($E$644:$E$743,$F$644:$F$743))</f>
        <v>0</v>
      </c>
      <c r="BC743">
        <f>IF(OR(BA743="",BB743=""),"",BB743+BA743*F743)</f>
        <v>0</v>
      </c>
      <c r="BD743">
        <f>IF(COUNT($E$2:$E743)&lt;20,"",STEYX($E$644:$E$743,$F$644:$F$743))</f>
        <v>0</v>
      </c>
      <c r="BE743">
        <f>IF($E743="","",IF(AND(COUNT($E$744:$E$747)&gt;=4,$C743=MAX($C$739:$C$747)),$C743,""))</f>
        <v>0</v>
      </c>
      <c r="BF743">
        <f>IF($E743="","",IF(AND(COUNT($E$744:$E$747)&gt;=4,$D743=MIN($D$739:$D$747)),$D743,""))</f>
        <v>0</v>
      </c>
      <c r="BG743">
        <f>IF($A743="","",$A743-WEEKDAY($A743,2)+1)</f>
        <v>0</v>
      </c>
      <c r="BH743">
        <f>IF($A743="","",IF($A742="",1,IF(BG743&lt;&gt;BG742,1,0)))</f>
        <v>0</v>
      </c>
      <c r="BI743">
        <f>IF($A743="","",IF($A744="",1,IF(BG744&lt;&gt;BG743,1,0)))</f>
        <v>0</v>
      </c>
      <c r="BJ743">
        <f>IF($A743="","",IF(BH743=1,$B743,BJ742))</f>
        <v>0</v>
      </c>
      <c r="BK743">
        <f>IF($A743="","",IF(BH743=1,$C743,MAX($C743,BK742)))</f>
        <v>0</v>
      </c>
      <c r="BL743">
        <f>IF($A743="","",IF(BH743=1,$D743,MIN($D743,BL742)))</f>
        <v>0</v>
      </c>
      <c r="BM743">
        <f>IF($A743="","",IF(BI743=1,F743,""))</f>
        <v>0</v>
      </c>
      <c r="BN743">
        <f>IF($A743="","",DATE(YEAR($A743),MONTH($A743),1))</f>
        <v>0</v>
      </c>
      <c r="BO743">
        <f>IF($A743="","",IF($A742="",1,IF(BN743&lt;&gt;BN742,1,0)))</f>
        <v>0</v>
      </c>
      <c r="BP743">
        <f>IF($A743="","",IF($A744="",1,IF(BN744&lt;&gt;BN743,1,0)))</f>
        <v>0</v>
      </c>
      <c r="BQ743">
        <f>IF($A743="","",IF(BO743=1,$B743,BQ742))</f>
        <v>0</v>
      </c>
      <c r="BR743">
        <f>IF($A743="","",IF(BO743=1,$C743,MAX($C743,BR742)))</f>
        <v>0</v>
      </c>
      <c r="BS743">
        <f>IF($A743="","",IF(BO743=1,$D743,MIN($D743,BS742)))</f>
        <v>0</v>
      </c>
      <c r="BT743">
        <f>IF($A743="","",IF(BP743=1,F743,""))</f>
        <v>0</v>
      </c>
    </row>
    <row r="744" spans="1:72">
      <c r="A744" s="27">
        <f>IF(Data!$A744="","",Data!$A744)</f>
        <v>0</v>
      </c>
      <c r="B744">
        <f>IF(Data!$B744="","",Data!$B744)</f>
        <v>0</v>
      </c>
      <c r="C744">
        <f>IF(Data!$C744="","",Data!$C744)</f>
        <v>0</v>
      </c>
      <c r="D744">
        <f>IF(Data!$D744="","",Data!$D744)</f>
        <v>0</v>
      </c>
      <c r="E744">
        <f>IF(Data!$E744="","",Data!$E744)</f>
        <v>0</v>
      </c>
      <c r="F744">
        <f>IF($E744="","",N(F743)+1)</f>
        <v>0</v>
      </c>
      <c r="G744">
        <f>IF(OR($E744="",$E743=""),"",LN($E744/$E743))</f>
        <v>0</v>
      </c>
      <c r="H744">
        <f>IF($E744="","",IF($E743="",$E744,$E744*0.0952380952+H743*0.9047619048))</f>
        <v>0</v>
      </c>
      <c r="I744">
        <f>IF($E744="","",IF($E743="",$E744,$E744*0.0392156863+I743*0.9607843137))</f>
        <v>0</v>
      </c>
      <c r="J744">
        <f>IF($E744="","",IF($E743="",$E744,$E744*0.0198019802+J743*0.9801980198))</f>
        <v>0</v>
      </c>
      <c r="K744">
        <f>IF($E744="","",IF($E743="",$E744,$E744*0.0099502488+K743*0.9900497512))</f>
        <v>0</v>
      </c>
      <c r="L744">
        <f>IF(OR($E744="",$E743=""),"",MAX($E744-$E743,0))</f>
        <v>0</v>
      </c>
      <c r="M744">
        <f>IF(OR($E744="",$E743=""),"",MAX($E743-$E744,0))</f>
        <v>0</v>
      </c>
      <c r="N744">
        <f>IF(COUNT($E$2:$E744)&lt;15,"",IF(AVERAGE($M$731:$M$744)=0,100,100-100/(1+AVERAGE($L$731:$L$744)/AVERAGE($M$731:$M$744))))</f>
        <v>0</v>
      </c>
      <c r="O744">
        <f>IF($E744="","",IF($E743="",$E744,$E744*0.1538461538+O743*0.8461538462))</f>
        <v>0</v>
      </c>
      <c r="P744">
        <f>IF($E744="","",IF($E743="",$E744,$E744*0.0740740741+P743*0.9259259259))</f>
        <v>0</v>
      </c>
      <c r="Q744">
        <f>IF(OR(O744="",P744=""),"",O744-P744)</f>
        <v>0</v>
      </c>
      <c r="R744">
        <f>IF(Q744="","",IF(R743="",Q744,Q744*0.2000000000+R743*0.8000000000))</f>
        <v>0</v>
      </c>
      <c r="S744">
        <f>IF(OR(Q744="",R744=""),"",Q744-R744)</f>
        <v>0</v>
      </c>
      <c r="T744">
        <f>IF(COUNT($E$2:$E744)&lt;14,"",MAX($C$731:$C$744))</f>
        <v>0</v>
      </c>
      <c r="U744">
        <f>IF(COUNT($E$2:$E744)&lt;14,"",MIN($D$731:$D$744))</f>
        <v>0</v>
      </c>
      <c r="V744">
        <f>IF(OR(T744="",U744="",T744=U744),"",100*($E744-U744)/(T744-U744))</f>
        <v>0</v>
      </c>
      <c r="W744">
        <f>IF(COUNT($V$742:$V$744)&lt;3,"",AVERAGE($V$742:$V$744))</f>
        <v>0</v>
      </c>
      <c r="X744">
        <f>IF(COUNT($N$731:$N$744)&lt;14,"",MIN($N$731:$N$744))</f>
        <v>0</v>
      </c>
      <c r="Y744">
        <f>IF(COUNT($N$731:$N$744)&lt;14,"",MAX($N$731:$N$744))</f>
        <v>0</v>
      </c>
      <c r="Z744">
        <f>IF(OR(N744="",X744="",Y744="",Y744=X744),"",100*(N744-X744)/(Y744-X744))</f>
        <v>0</v>
      </c>
      <c r="AA744">
        <f>IF(COUNT($Z$742:$Z$744)&lt;3,"",AVERAGE($Z$742:$Z$744))</f>
        <v>0</v>
      </c>
      <c r="AB744">
        <f>IF(COUNT($AA$742:$AA$744)&lt;3,"",AVERAGE($AA$742:$AA$744))</f>
        <v>0</v>
      </c>
      <c r="AC744">
        <f>IF($E744="","",MAX($C744-$D744,ABS($C744-$E743),ABS($D744-$E743)))</f>
        <v>0</v>
      </c>
      <c r="AD744">
        <f>IF(COUNT($E$2:$E744)&lt;15,"",AVERAGE($AC$731:$AC$744))</f>
        <v>0</v>
      </c>
      <c r="AE744">
        <f>IF(OR($E744="",$E743=""),"",IF(AND(($C744-$C743)&gt;($D743-$D744),($C744-$C743)&gt;0),$C744-$C743,0))</f>
        <v>0</v>
      </c>
      <c r="AF744">
        <f>IF(OR($E744="",$E743=""),"",IF(AND(($D743-$D744)&gt;($C744-$C743),($D743-$D744)&gt;0),$D743-$D744,0))</f>
        <v>0</v>
      </c>
      <c r="AG744">
        <f>IF(COUNT($E$2:$E744)&lt;15,"",IF(SUM($AC$731:$AC$744)=0,0,100*SUM($AE$731:$AE$744)/SUM($AC$731:$AC$744)))</f>
        <v>0</v>
      </c>
      <c r="AH744">
        <f>IF(COUNT($E$2:$E744)&lt;15,"",IF(SUM($AC$731:$AC$744)=0,0,100*SUM($AF$731:$AF$744)/SUM($AC$731:$AC$744)))</f>
        <v>0</v>
      </c>
      <c r="AI744">
        <f>IF(OR(AG744="",AH744=""),"",IF((AG744+AH744)=0,0,100*ABS(AG744-AH744)/(AG744+AH744)))</f>
        <v>0</v>
      </c>
      <c r="AJ744">
        <f>IF(COUNT($AI$731:$AI$744)&lt;14,"",AVERAGE($AI$731:$AI$744))</f>
        <v>0</v>
      </c>
      <c r="AK744">
        <f>IF(COUNT($E$2:$E744)&lt;20,"",AVERAGE($E$725:$E$744))</f>
        <v>0</v>
      </c>
      <c r="AL744">
        <f>IF(COUNT($E$2:$E744)&lt;20,"",STDEVP($E$725:$E$744))</f>
        <v>0</v>
      </c>
      <c r="AM744">
        <f>IF(AK744="","",AK744+2*AL744)</f>
        <v>0</v>
      </c>
      <c r="AN744">
        <f>IF(AK744="","",AK744-2*AL744)</f>
        <v>0</v>
      </c>
      <c r="AO744">
        <f>IF(OR(AM744="",AN744="",AM744=AN744),"",($E744-AN744)/(AM744-AN744))</f>
        <v>0</v>
      </c>
      <c r="AP744">
        <f>IF(OR(AM744="",AK744="",AK744=0),"",(AM744-AN744)/AK744)</f>
        <v>0</v>
      </c>
      <c r="AQ744">
        <f>IF(COUNT($E$2:$E744)&lt;20,"",MAX($C$725:$C$744))</f>
        <v>0</v>
      </c>
      <c r="AR744">
        <f>IF(COUNT($E$2:$E744)&lt;20,"",MIN($D$725:$D$744))</f>
        <v>0</v>
      </c>
      <c r="AS744">
        <f>IF(OR(AQ744="",AR744=""),"",(AQ744+AR744)/2)</f>
        <v>0</v>
      </c>
      <c r="AT744">
        <f>IF(COUNT($G$725:$G$744)&lt;20,"",STDEV($G$725:$G$744)*SQRT(252))</f>
        <v>0</v>
      </c>
      <c r="AU744">
        <f>IF(COUNT($E$2:$E744)&lt;9,"",(MAX($C$736:$C$744)+MIN($D$736:$D$744))/2)</f>
        <v>0</v>
      </c>
      <c r="AV744">
        <f>IF(COUNT($E$2:$E744)&lt;26,"",(MAX($C$719:$C$744)+MIN($D$719:$D$744))/2)</f>
        <v>0</v>
      </c>
      <c r="AW744">
        <f>IF(OR(AU744="",AV744=""),"",(AU744+AV744)/2)</f>
        <v>0</v>
      </c>
      <c r="AX744">
        <f>IF(COUNT($E$2:$E744)&lt;52,"",(MAX($C$693:$C$744)+MIN($D$693:$D$744))/2)</f>
        <v>0</v>
      </c>
      <c r="AY744">
        <f>IF(COUNT($E$2:$E744)&lt;20,"",MAX($C$645:$C$744))</f>
        <v>0</v>
      </c>
      <c r="AZ744">
        <f>IF(COUNT($E$2:$E744)&lt;20,"",MIN($D$645:$D$744))</f>
        <v>0</v>
      </c>
      <c r="BA744">
        <f>IF(COUNT($E$2:$E744)&lt;20,"",SLOPE($E$645:$E$744,$F$645:$F$744))</f>
        <v>0</v>
      </c>
      <c r="BB744">
        <f>IF(COUNT($E$2:$E744)&lt;20,"",INTERCEPT($E$645:$E$744,$F$645:$F$744))</f>
        <v>0</v>
      </c>
      <c r="BC744">
        <f>IF(OR(BA744="",BB744=""),"",BB744+BA744*F744)</f>
        <v>0</v>
      </c>
      <c r="BD744">
        <f>IF(COUNT($E$2:$E744)&lt;20,"",STEYX($E$645:$E$744,$F$645:$F$744))</f>
        <v>0</v>
      </c>
      <c r="BE744">
        <f>IF($E744="","",IF(AND(COUNT($E$745:$E$748)&gt;=4,$C744=MAX($C$740:$C$748)),$C744,""))</f>
        <v>0</v>
      </c>
      <c r="BF744">
        <f>IF($E744="","",IF(AND(COUNT($E$745:$E$748)&gt;=4,$D744=MIN($D$740:$D$748)),$D744,""))</f>
        <v>0</v>
      </c>
      <c r="BG744">
        <f>IF($A744="","",$A744-WEEKDAY($A744,2)+1)</f>
        <v>0</v>
      </c>
      <c r="BH744">
        <f>IF($A744="","",IF($A743="",1,IF(BG744&lt;&gt;BG743,1,0)))</f>
        <v>0</v>
      </c>
      <c r="BI744">
        <f>IF($A744="","",IF($A745="",1,IF(BG745&lt;&gt;BG744,1,0)))</f>
        <v>0</v>
      </c>
      <c r="BJ744">
        <f>IF($A744="","",IF(BH744=1,$B744,BJ743))</f>
        <v>0</v>
      </c>
      <c r="BK744">
        <f>IF($A744="","",IF(BH744=1,$C744,MAX($C744,BK743)))</f>
        <v>0</v>
      </c>
      <c r="BL744">
        <f>IF($A744="","",IF(BH744=1,$D744,MIN($D744,BL743)))</f>
        <v>0</v>
      </c>
      <c r="BM744">
        <f>IF($A744="","",IF(BI744=1,F744,""))</f>
        <v>0</v>
      </c>
      <c r="BN744">
        <f>IF($A744="","",DATE(YEAR($A744),MONTH($A744),1))</f>
        <v>0</v>
      </c>
      <c r="BO744">
        <f>IF($A744="","",IF($A743="",1,IF(BN744&lt;&gt;BN743,1,0)))</f>
        <v>0</v>
      </c>
      <c r="BP744">
        <f>IF($A744="","",IF($A745="",1,IF(BN745&lt;&gt;BN744,1,0)))</f>
        <v>0</v>
      </c>
      <c r="BQ744">
        <f>IF($A744="","",IF(BO744=1,$B744,BQ743))</f>
        <v>0</v>
      </c>
      <c r="BR744">
        <f>IF($A744="","",IF(BO744=1,$C744,MAX($C744,BR743)))</f>
        <v>0</v>
      </c>
      <c r="BS744">
        <f>IF($A744="","",IF(BO744=1,$D744,MIN($D744,BS743)))</f>
        <v>0</v>
      </c>
      <c r="BT744">
        <f>IF($A744="","",IF(BP744=1,F744,""))</f>
        <v>0</v>
      </c>
    </row>
    <row r="745" spans="1:72">
      <c r="A745" s="27">
        <f>IF(Data!$A745="","",Data!$A745)</f>
        <v>0</v>
      </c>
      <c r="B745">
        <f>IF(Data!$B745="","",Data!$B745)</f>
        <v>0</v>
      </c>
      <c r="C745">
        <f>IF(Data!$C745="","",Data!$C745)</f>
        <v>0</v>
      </c>
      <c r="D745">
        <f>IF(Data!$D745="","",Data!$D745)</f>
        <v>0</v>
      </c>
      <c r="E745">
        <f>IF(Data!$E745="","",Data!$E745)</f>
        <v>0</v>
      </c>
      <c r="F745">
        <f>IF($E745="","",N(F744)+1)</f>
        <v>0</v>
      </c>
      <c r="G745">
        <f>IF(OR($E745="",$E744=""),"",LN($E745/$E744))</f>
        <v>0</v>
      </c>
      <c r="H745">
        <f>IF($E745="","",IF($E744="",$E745,$E745*0.0952380952+H744*0.9047619048))</f>
        <v>0</v>
      </c>
      <c r="I745">
        <f>IF($E745="","",IF($E744="",$E745,$E745*0.0392156863+I744*0.9607843137))</f>
        <v>0</v>
      </c>
      <c r="J745">
        <f>IF($E745="","",IF($E744="",$E745,$E745*0.0198019802+J744*0.9801980198))</f>
        <v>0</v>
      </c>
      <c r="K745">
        <f>IF($E745="","",IF($E744="",$E745,$E745*0.0099502488+K744*0.9900497512))</f>
        <v>0</v>
      </c>
      <c r="L745">
        <f>IF(OR($E745="",$E744=""),"",MAX($E745-$E744,0))</f>
        <v>0</v>
      </c>
      <c r="M745">
        <f>IF(OR($E745="",$E744=""),"",MAX($E744-$E745,0))</f>
        <v>0</v>
      </c>
      <c r="N745">
        <f>IF(COUNT($E$2:$E745)&lt;15,"",IF(AVERAGE($M$732:$M$745)=0,100,100-100/(1+AVERAGE($L$732:$L$745)/AVERAGE($M$732:$M$745))))</f>
        <v>0</v>
      </c>
      <c r="O745">
        <f>IF($E745="","",IF($E744="",$E745,$E745*0.1538461538+O744*0.8461538462))</f>
        <v>0</v>
      </c>
      <c r="P745">
        <f>IF($E745="","",IF($E744="",$E745,$E745*0.0740740741+P744*0.9259259259))</f>
        <v>0</v>
      </c>
      <c r="Q745">
        <f>IF(OR(O745="",P745=""),"",O745-P745)</f>
        <v>0</v>
      </c>
      <c r="R745">
        <f>IF(Q745="","",IF(R744="",Q745,Q745*0.2000000000+R744*0.8000000000))</f>
        <v>0</v>
      </c>
      <c r="S745">
        <f>IF(OR(Q745="",R745=""),"",Q745-R745)</f>
        <v>0</v>
      </c>
      <c r="T745">
        <f>IF(COUNT($E$2:$E745)&lt;14,"",MAX($C$732:$C$745))</f>
        <v>0</v>
      </c>
      <c r="U745">
        <f>IF(COUNT($E$2:$E745)&lt;14,"",MIN($D$732:$D$745))</f>
        <v>0</v>
      </c>
      <c r="V745">
        <f>IF(OR(T745="",U745="",T745=U745),"",100*($E745-U745)/(T745-U745))</f>
        <v>0</v>
      </c>
      <c r="W745">
        <f>IF(COUNT($V$743:$V$745)&lt;3,"",AVERAGE($V$743:$V$745))</f>
        <v>0</v>
      </c>
      <c r="X745">
        <f>IF(COUNT($N$732:$N$745)&lt;14,"",MIN($N$732:$N$745))</f>
        <v>0</v>
      </c>
      <c r="Y745">
        <f>IF(COUNT($N$732:$N$745)&lt;14,"",MAX($N$732:$N$745))</f>
        <v>0</v>
      </c>
      <c r="Z745">
        <f>IF(OR(N745="",X745="",Y745="",Y745=X745),"",100*(N745-X745)/(Y745-X745))</f>
        <v>0</v>
      </c>
      <c r="AA745">
        <f>IF(COUNT($Z$743:$Z$745)&lt;3,"",AVERAGE($Z$743:$Z$745))</f>
        <v>0</v>
      </c>
      <c r="AB745">
        <f>IF(COUNT($AA$743:$AA$745)&lt;3,"",AVERAGE($AA$743:$AA$745))</f>
        <v>0</v>
      </c>
      <c r="AC745">
        <f>IF($E745="","",MAX($C745-$D745,ABS($C745-$E744),ABS($D745-$E744)))</f>
        <v>0</v>
      </c>
      <c r="AD745">
        <f>IF(COUNT($E$2:$E745)&lt;15,"",AVERAGE($AC$732:$AC$745))</f>
        <v>0</v>
      </c>
      <c r="AE745">
        <f>IF(OR($E745="",$E744=""),"",IF(AND(($C745-$C744)&gt;($D744-$D745),($C745-$C744)&gt;0),$C745-$C744,0))</f>
        <v>0</v>
      </c>
      <c r="AF745">
        <f>IF(OR($E745="",$E744=""),"",IF(AND(($D744-$D745)&gt;($C745-$C744),($D744-$D745)&gt;0),$D744-$D745,0))</f>
        <v>0</v>
      </c>
      <c r="AG745">
        <f>IF(COUNT($E$2:$E745)&lt;15,"",IF(SUM($AC$732:$AC$745)=0,0,100*SUM($AE$732:$AE$745)/SUM($AC$732:$AC$745)))</f>
        <v>0</v>
      </c>
      <c r="AH745">
        <f>IF(COUNT($E$2:$E745)&lt;15,"",IF(SUM($AC$732:$AC$745)=0,0,100*SUM($AF$732:$AF$745)/SUM($AC$732:$AC$745)))</f>
        <v>0</v>
      </c>
      <c r="AI745">
        <f>IF(OR(AG745="",AH745=""),"",IF((AG745+AH745)=0,0,100*ABS(AG745-AH745)/(AG745+AH745)))</f>
        <v>0</v>
      </c>
      <c r="AJ745">
        <f>IF(COUNT($AI$732:$AI$745)&lt;14,"",AVERAGE($AI$732:$AI$745))</f>
        <v>0</v>
      </c>
      <c r="AK745">
        <f>IF(COUNT($E$2:$E745)&lt;20,"",AVERAGE($E$726:$E$745))</f>
        <v>0</v>
      </c>
      <c r="AL745">
        <f>IF(COUNT($E$2:$E745)&lt;20,"",STDEVP($E$726:$E$745))</f>
        <v>0</v>
      </c>
      <c r="AM745">
        <f>IF(AK745="","",AK745+2*AL745)</f>
        <v>0</v>
      </c>
      <c r="AN745">
        <f>IF(AK745="","",AK745-2*AL745)</f>
        <v>0</v>
      </c>
      <c r="AO745">
        <f>IF(OR(AM745="",AN745="",AM745=AN745),"",($E745-AN745)/(AM745-AN745))</f>
        <v>0</v>
      </c>
      <c r="AP745">
        <f>IF(OR(AM745="",AK745="",AK745=0),"",(AM745-AN745)/AK745)</f>
        <v>0</v>
      </c>
      <c r="AQ745">
        <f>IF(COUNT($E$2:$E745)&lt;20,"",MAX($C$726:$C$745))</f>
        <v>0</v>
      </c>
      <c r="AR745">
        <f>IF(COUNT($E$2:$E745)&lt;20,"",MIN($D$726:$D$745))</f>
        <v>0</v>
      </c>
      <c r="AS745">
        <f>IF(OR(AQ745="",AR745=""),"",(AQ745+AR745)/2)</f>
        <v>0</v>
      </c>
      <c r="AT745">
        <f>IF(COUNT($G$726:$G$745)&lt;20,"",STDEV($G$726:$G$745)*SQRT(252))</f>
        <v>0</v>
      </c>
      <c r="AU745">
        <f>IF(COUNT($E$2:$E745)&lt;9,"",(MAX($C$737:$C$745)+MIN($D$737:$D$745))/2)</f>
        <v>0</v>
      </c>
      <c r="AV745">
        <f>IF(COUNT($E$2:$E745)&lt;26,"",(MAX($C$720:$C$745)+MIN($D$720:$D$745))/2)</f>
        <v>0</v>
      </c>
      <c r="AW745">
        <f>IF(OR(AU745="",AV745=""),"",(AU745+AV745)/2)</f>
        <v>0</v>
      </c>
      <c r="AX745">
        <f>IF(COUNT($E$2:$E745)&lt;52,"",(MAX($C$694:$C$745)+MIN($D$694:$D$745))/2)</f>
        <v>0</v>
      </c>
      <c r="AY745">
        <f>IF(COUNT($E$2:$E745)&lt;20,"",MAX($C$646:$C$745))</f>
        <v>0</v>
      </c>
      <c r="AZ745">
        <f>IF(COUNT($E$2:$E745)&lt;20,"",MIN($D$646:$D$745))</f>
        <v>0</v>
      </c>
      <c r="BA745">
        <f>IF(COUNT($E$2:$E745)&lt;20,"",SLOPE($E$646:$E$745,$F$646:$F$745))</f>
        <v>0</v>
      </c>
      <c r="BB745">
        <f>IF(COUNT($E$2:$E745)&lt;20,"",INTERCEPT($E$646:$E$745,$F$646:$F$745))</f>
        <v>0</v>
      </c>
      <c r="BC745">
        <f>IF(OR(BA745="",BB745=""),"",BB745+BA745*F745)</f>
        <v>0</v>
      </c>
      <c r="BD745">
        <f>IF(COUNT($E$2:$E745)&lt;20,"",STEYX($E$646:$E$745,$F$646:$F$745))</f>
        <v>0</v>
      </c>
      <c r="BE745">
        <f>IF($E745="","",IF(AND(COUNT($E$746:$E$749)&gt;=4,$C745=MAX($C$741:$C$749)),$C745,""))</f>
        <v>0</v>
      </c>
      <c r="BF745">
        <f>IF($E745="","",IF(AND(COUNT($E$746:$E$749)&gt;=4,$D745=MIN($D$741:$D$749)),$D745,""))</f>
        <v>0</v>
      </c>
      <c r="BG745">
        <f>IF($A745="","",$A745-WEEKDAY($A745,2)+1)</f>
        <v>0</v>
      </c>
      <c r="BH745">
        <f>IF($A745="","",IF($A744="",1,IF(BG745&lt;&gt;BG744,1,0)))</f>
        <v>0</v>
      </c>
      <c r="BI745">
        <f>IF($A745="","",IF($A746="",1,IF(BG746&lt;&gt;BG745,1,0)))</f>
        <v>0</v>
      </c>
      <c r="BJ745">
        <f>IF($A745="","",IF(BH745=1,$B745,BJ744))</f>
        <v>0</v>
      </c>
      <c r="BK745">
        <f>IF($A745="","",IF(BH745=1,$C745,MAX($C745,BK744)))</f>
        <v>0</v>
      </c>
      <c r="BL745">
        <f>IF($A745="","",IF(BH745=1,$D745,MIN($D745,BL744)))</f>
        <v>0</v>
      </c>
      <c r="BM745">
        <f>IF($A745="","",IF(BI745=1,F745,""))</f>
        <v>0</v>
      </c>
      <c r="BN745">
        <f>IF($A745="","",DATE(YEAR($A745),MONTH($A745),1))</f>
        <v>0</v>
      </c>
      <c r="BO745">
        <f>IF($A745="","",IF($A744="",1,IF(BN745&lt;&gt;BN744,1,0)))</f>
        <v>0</v>
      </c>
      <c r="BP745">
        <f>IF($A745="","",IF($A746="",1,IF(BN746&lt;&gt;BN745,1,0)))</f>
        <v>0</v>
      </c>
      <c r="BQ745">
        <f>IF($A745="","",IF(BO745=1,$B745,BQ744))</f>
        <v>0</v>
      </c>
      <c r="BR745">
        <f>IF($A745="","",IF(BO745=1,$C745,MAX($C745,BR744)))</f>
        <v>0</v>
      </c>
      <c r="BS745">
        <f>IF($A745="","",IF(BO745=1,$D745,MIN($D745,BS744)))</f>
        <v>0</v>
      </c>
      <c r="BT745">
        <f>IF($A745="","",IF(BP745=1,F745,""))</f>
        <v>0</v>
      </c>
    </row>
    <row r="746" spans="1:72">
      <c r="A746" s="27">
        <f>IF(Data!$A746="","",Data!$A746)</f>
        <v>0</v>
      </c>
      <c r="B746">
        <f>IF(Data!$B746="","",Data!$B746)</f>
        <v>0</v>
      </c>
      <c r="C746">
        <f>IF(Data!$C746="","",Data!$C746)</f>
        <v>0</v>
      </c>
      <c r="D746">
        <f>IF(Data!$D746="","",Data!$D746)</f>
        <v>0</v>
      </c>
      <c r="E746">
        <f>IF(Data!$E746="","",Data!$E746)</f>
        <v>0</v>
      </c>
      <c r="F746">
        <f>IF($E746="","",N(F745)+1)</f>
        <v>0</v>
      </c>
      <c r="G746">
        <f>IF(OR($E746="",$E745=""),"",LN($E746/$E745))</f>
        <v>0</v>
      </c>
      <c r="H746">
        <f>IF($E746="","",IF($E745="",$E746,$E746*0.0952380952+H745*0.9047619048))</f>
        <v>0</v>
      </c>
      <c r="I746">
        <f>IF($E746="","",IF($E745="",$E746,$E746*0.0392156863+I745*0.9607843137))</f>
        <v>0</v>
      </c>
      <c r="J746">
        <f>IF($E746="","",IF($E745="",$E746,$E746*0.0198019802+J745*0.9801980198))</f>
        <v>0</v>
      </c>
      <c r="K746">
        <f>IF($E746="","",IF($E745="",$E746,$E746*0.0099502488+K745*0.9900497512))</f>
        <v>0</v>
      </c>
      <c r="L746">
        <f>IF(OR($E746="",$E745=""),"",MAX($E746-$E745,0))</f>
        <v>0</v>
      </c>
      <c r="M746">
        <f>IF(OR($E746="",$E745=""),"",MAX($E745-$E746,0))</f>
        <v>0</v>
      </c>
      <c r="N746">
        <f>IF(COUNT($E$2:$E746)&lt;15,"",IF(AVERAGE($M$733:$M$746)=0,100,100-100/(1+AVERAGE($L$733:$L$746)/AVERAGE($M$733:$M$746))))</f>
        <v>0</v>
      </c>
      <c r="O746">
        <f>IF($E746="","",IF($E745="",$E746,$E746*0.1538461538+O745*0.8461538462))</f>
        <v>0</v>
      </c>
      <c r="P746">
        <f>IF($E746="","",IF($E745="",$E746,$E746*0.0740740741+P745*0.9259259259))</f>
        <v>0</v>
      </c>
      <c r="Q746">
        <f>IF(OR(O746="",P746=""),"",O746-P746)</f>
        <v>0</v>
      </c>
      <c r="R746">
        <f>IF(Q746="","",IF(R745="",Q746,Q746*0.2000000000+R745*0.8000000000))</f>
        <v>0</v>
      </c>
      <c r="S746">
        <f>IF(OR(Q746="",R746=""),"",Q746-R746)</f>
        <v>0</v>
      </c>
      <c r="T746">
        <f>IF(COUNT($E$2:$E746)&lt;14,"",MAX($C$733:$C$746))</f>
        <v>0</v>
      </c>
      <c r="U746">
        <f>IF(COUNT($E$2:$E746)&lt;14,"",MIN($D$733:$D$746))</f>
        <v>0</v>
      </c>
      <c r="V746">
        <f>IF(OR(T746="",U746="",T746=U746),"",100*($E746-U746)/(T746-U746))</f>
        <v>0</v>
      </c>
      <c r="W746">
        <f>IF(COUNT($V$744:$V$746)&lt;3,"",AVERAGE($V$744:$V$746))</f>
        <v>0</v>
      </c>
      <c r="X746">
        <f>IF(COUNT($N$733:$N$746)&lt;14,"",MIN($N$733:$N$746))</f>
        <v>0</v>
      </c>
      <c r="Y746">
        <f>IF(COUNT($N$733:$N$746)&lt;14,"",MAX($N$733:$N$746))</f>
        <v>0</v>
      </c>
      <c r="Z746">
        <f>IF(OR(N746="",X746="",Y746="",Y746=X746),"",100*(N746-X746)/(Y746-X746))</f>
        <v>0</v>
      </c>
      <c r="AA746">
        <f>IF(COUNT($Z$744:$Z$746)&lt;3,"",AVERAGE($Z$744:$Z$746))</f>
        <v>0</v>
      </c>
      <c r="AB746">
        <f>IF(COUNT($AA$744:$AA$746)&lt;3,"",AVERAGE($AA$744:$AA$746))</f>
        <v>0</v>
      </c>
      <c r="AC746">
        <f>IF($E746="","",MAX($C746-$D746,ABS($C746-$E745),ABS($D746-$E745)))</f>
        <v>0</v>
      </c>
      <c r="AD746">
        <f>IF(COUNT($E$2:$E746)&lt;15,"",AVERAGE($AC$733:$AC$746))</f>
        <v>0</v>
      </c>
      <c r="AE746">
        <f>IF(OR($E746="",$E745=""),"",IF(AND(($C746-$C745)&gt;($D745-$D746),($C746-$C745)&gt;0),$C746-$C745,0))</f>
        <v>0</v>
      </c>
      <c r="AF746">
        <f>IF(OR($E746="",$E745=""),"",IF(AND(($D745-$D746)&gt;($C746-$C745),($D745-$D746)&gt;0),$D745-$D746,0))</f>
        <v>0</v>
      </c>
      <c r="AG746">
        <f>IF(COUNT($E$2:$E746)&lt;15,"",IF(SUM($AC$733:$AC$746)=0,0,100*SUM($AE$733:$AE$746)/SUM($AC$733:$AC$746)))</f>
        <v>0</v>
      </c>
      <c r="AH746">
        <f>IF(COUNT($E$2:$E746)&lt;15,"",IF(SUM($AC$733:$AC$746)=0,0,100*SUM($AF$733:$AF$746)/SUM($AC$733:$AC$746)))</f>
        <v>0</v>
      </c>
      <c r="AI746">
        <f>IF(OR(AG746="",AH746=""),"",IF((AG746+AH746)=0,0,100*ABS(AG746-AH746)/(AG746+AH746)))</f>
        <v>0</v>
      </c>
      <c r="AJ746">
        <f>IF(COUNT($AI$733:$AI$746)&lt;14,"",AVERAGE($AI$733:$AI$746))</f>
        <v>0</v>
      </c>
      <c r="AK746">
        <f>IF(COUNT($E$2:$E746)&lt;20,"",AVERAGE($E$727:$E$746))</f>
        <v>0</v>
      </c>
      <c r="AL746">
        <f>IF(COUNT($E$2:$E746)&lt;20,"",STDEVP($E$727:$E$746))</f>
        <v>0</v>
      </c>
      <c r="AM746">
        <f>IF(AK746="","",AK746+2*AL746)</f>
        <v>0</v>
      </c>
      <c r="AN746">
        <f>IF(AK746="","",AK746-2*AL746)</f>
        <v>0</v>
      </c>
      <c r="AO746">
        <f>IF(OR(AM746="",AN746="",AM746=AN746),"",($E746-AN746)/(AM746-AN746))</f>
        <v>0</v>
      </c>
      <c r="AP746">
        <f>IF(OR(AM746="",AK746="",AK746=0),"",(AM746-AN746)/AK746)</f>
        <v>0</v>
      </c>
      <c r="AQ746">
        <f>IF(COUNT($E$2:$E746)&lt;20,"",MAX($C$727:$C$746))</f>
        <v>0</v>
      </c>
      <c r="AR746">
        <f>IF(COUNT($E$2:$E746)&lt;20,"",MIN($D$727:$D$746))</f>
        <v>0</v>
      </c>
      <c r="AS746">
        <f>IF(OR(AQ746="",AR746=""),"",(AQ746+AR746)/2)</f>
        <v>0</v>
      </c>
      <c r="AT746">
        <f>IF(COUNT($G$727:$G$746)&lt;20,"",STDEV($G$727:$G$746)*SQRT(252))</f>
        <v>0</v>
      </c>
      <c r="AU746">
        <f>IF(COUNT($E$2:$E746)&lt;9,"",(MAX($C$738:$C$746)+MIN($D$738:$D$746))/2)</f>
        <v>0</v>
      </c>
      <c r="AV746">
        <f>IF(COUNT($E$2:$E746)&lt;26,"",(MAX($C$721:$C$746)+MIN($D$721:$D$746))/2)</f>
        <v>0</v>
      </c>
      <c r="AW746">
        <f>IF(OR(AU746="",AV746=""),"",(AU746+AV746)/2)</f>
        <v>0</v>
      </c>
      <c r="AX746">
        <f>IF(COUNT($E$2:$E746)&lt;52,"",(MAX($C$695:$C$746)+MIN($D$695:$D$746))/2)</f>
        <v>0</v>
      </c>
      <c r="AY746">
        <f>IF(COUNT($E$2:$E746)&lt;20,"",MAX($C$647:$C$746))</f>
        <v>0</v>
      </c>
      <c r="AZ746">
        <f>IF(COUNT($E$2:$E746)&lt;20,"",MIN($D$647:$D$746))</f>
        <v>0</v>
      </c>
      <c r="BA746">
        <f>IF(COUNT($E$2:$E746)&lt;20,"",SLOPE($E$647:$E$746,$F$647:$F$746))</f>
        <v>0</v>
      </c>
      <c r="BB746">
        <f>IF(COUNT($E$2:$E746)&lt;20,"",INTERCEPT($E$647:$E$746,$F$647:$F$746))</f>
        <v>0</v>
      </c>
      <c r="BC746">
        <f>IF(OR(BA746="",BB746=""),"",BB746+BA746*F746)</f>
        <v>0</v>
      </c>
      <c r="BD746">
        <f>IF(COUNT($E$2:$E746)&lt;20,"",STEYX($E$647:$E$746,$F$647:$F$746))</f>
        <v>0</v>
      </c>
      <c r="BE746">
        <f>IF($E746="","",IF(AND(COUNT($E$747:$E$750)&gt;=4,$C746=MAX($C$742:$C$750)),$C746,""))</f>
        <v>0</v>
      </c>
      <c r="BF746">
        <f>IF($E746="","",IF(AND(COUNT($E$747:$E$750)&gt;=4,$D746=MIN($D$742:$D$750)),$D746,""))</f>
        <v>0</v>
      </c>
      <c r="BG746">
        <f>IF($A746="","",$A746-WEEKDAY($A746,2)+1)</f>
        <v>0</v>
      </c>
      <c r="BH746">
        <f>IF($A746="","",IF($A745="",1,IF(BG746&lt;&gt;BG745,1,0)))</f>
        <v>0</v>
      </c>
      <c r="BI746">
        <f>IF($A746="","",IF($A747="",1,IF(BG747&lt;&gt;BG746,1,0)))</f>
        <v>0</v>
      </c>
      <c r="BJ746">
        <f>IF($A746="","",IF(BH746=1,$B746,BJ745))</f>
        <v>0</v>
      </c>
      <c r="BK746">
        <f>IF($A746="","",IF(BH746=1,$C746,MAX($C746,BK745)))</f>
        <v>0</v>
      </c>
      <c r="BL746">
        <f>IF($A746="","",IF(BH746=1,$D746,MIN($D746,BL745)))</f>
        <v>0</v>
      </c>
      <c r="BM746">
        <f>IF($A746="","",IF(BI746=1,F746,""))</f>
        <v>0</v>
      </c>
      <c r="BN746">
        <f>IF($A746="","",DATE(YEAR($A746),MONTH($A746),1))</f>
        <v>0</v>
      </c>
      <c r="BO746">
        <f>IF($A746="","",IF($A745="",1,IF(BN746&lt;&gt;BN745,1,0)))</f>
        <v>0</v>
      </c>
      <c r="BP746">
        <f>IF($A746="","",IF($A747="",1,IF(BN747&lt;&gt;BN746,1,0)))</f>
        <v>0</v>
      </c>
      <c r="BQ746">
        <f>IF($A746="","",IF(BO746=1,$B746,BQ745))</f>
        <v>0</v>
      </c>
      <c r="BR746">
        <f>IF($A746="","",IF(BO746=1,$C746,MAX($C746,BR745)))</f>
        <v>0</v>
      </c>
      <c r="BS746">
        <f>IF($A746="","",IF(BO746=1,$D746,MIN($D746,BS745)))</f>
        <v>0</v>
      </c>
      <c r="BT746">
        <f>IF($A746="","",IF(BP746=1,F746,""))</f>
        <v>0</v>
      </c>
    </row>
    <row r="747" spans="1:72">
      <c r="A747" s="27">
        <f>IF(Data!$A747="","",Data!$A747)</f>
        <v>0</v>
      </c>
      <c r="B747">
        <f>IF(Data!$B747="","",Data!$B747)</f>
        <v>0</v>
      </c>
      <c r="C747">
        <f>IF(Data!$C747="","",Data!$C747)</f>
        <v>0</v>
      </c>
      <c r="D747">
        <f>IF(Data!$D747="","",Data!$D747)</f>
        <v>0</v>
      </c>
      <c r="E747">
        <f>IF(Data!$E747="","",Data!$E747)</f>
        <v>0</v>
      </c>
      <c r="F747">
        <f>IF($E747="","",N(F746)+1)</f>
        <v>0</v>
      </c>
      <c r="G747">
        <f>IF(OR($E747="",$E746=""),"",LN($E747/$E746))</f>
        <v>0</v>
      </c>
      <c r="H747">
        <f>IF($E747="","",IF($E746="",$E747,$E747*0.0952380952+H746*0.9047619048))</f>
        <v>0</v>
      </c>
      <c r="I747">
        <f>IF($E747="","",IF($E746="",$E747,$E747*0.0392156863+I746*0.9607843137))</f>
        <v>0</v>
      </c>
      <c r="J747">
        <f>IF($E747="","",IF($E746="",$E747,$E747*0.0198019802+J746*0.9801980198))</f>
        <v>0</v>
      </c>
      <c r="K747">
        <f>IF($E747="","",IF($E746="",$E747,$E747*0.0099502488+K746*0.9900497512))</f>
        <v>0</v>
      </c>
      <c r="L747">
        <f>IF(OR($E747="",$E746=""),"",MAX($E747-$E746,0))</f>
        <v>0</v>
      </c>
      <c r="M747">
        <f>IF(OR($E747="",$E746=""),"",MAX($E746-$E747,0))</f>
        <v>0</v>
      </c>
      <c r="N747">
        <f>IF(COUNT($E$2:$E747)&lt;15,"",IF(AVERAGE($M$734:$M$747)=0,100,100-100/(1+AVERAGE($L$734:$L$747)/AVERAGE($M$734:$M$747))))</f>
        <v>0</v>
      </c>
      <c r="O747">
        <f>IF($E747="","",IF($E746="",$E747,$E747*0.1538461538+O746*0.8461538462))</f>
        <v>0</v>
      </c>
      <c r="P747">
        <f>IF($E747="","",IF($E746="",$E747,$E747*0.0740740741+P746*0.9259259259))</f>
        <v>0</v>
      </c>
      <c r="Q747">
        <f>IF(OR(O747="",P747=""),"",O747-P747)</f>
        <v>0</v>
      </c>
      <c r="R747">
        <f>IF(Q747="","",IF(R746="",Q747,Q747*0.2000000000+R746*0.8000000000))</f>
        <v>0</v>
      </c>
      <c r="S747">
        <f>IF(OR(Q747="",R747=""),"",Q747-R747)</f>
        <v>0</v>
      </c>
      <c r="T747">
        <f>IF(COUNT($E$2:$E747)&lt;14,"",MAX($C$734:$C$747))</f>
        <v>0</v>
      </c>
      <c r="U747">
        <f>IF(COUNT($E$2:$E747)&lt;14,"",MIN($D$734:$D$747))</f>
        <v>0</v>
      </c>
      <c r="V747">
        <f>IF(OR(T747="",U747="",T747=U747),"",100*($E747-U747)/(T747-U747))</f>
        <v>0</v>
      </c>
      <c r="W747">
        <f>IF(COUNT($V$745:$V$747)&lt;3,"",AVERAGE($V$745:$V$747))</f>
        <v>0</v>
      </c>
      <c r="X747">
        <f>IF(COUNT($N$734:$N$747)&lt;14,"",MIN($N$734:$N$747))</f>
        <v>0</v>
      </c>
      <c r="Y747">
        <f>IF(COUNT($N$734:$N$747)&lt;14,"",MAX($N$734:$N$747))</f>
        <v>0</v>
      </c>
      <c r="Z747">
        <f>IF(OR(N747="",X747="",Y747="",Y747=X747),"",100*(N747-X747)/(Y747-X747))</f>
        <v>0</v>
      </c>
      <c r="AA747">
        <f>IF(COUNT($Z$745:$Z$747)&lt;3,"",AVERAGE($Z$745:$Z$747))</f>
        <v>0</v>
      </c>
      <c r="AB747">
        <f>IF(COUNT($AA$745:$AA$747)&lt;3,"",AVERAGE($AA$745:$AA$747))</f>
        <v>0</v>
      </c>
      <c r="AC747">
        <f>IF($E747="","",MAX($C747-$D747,ABS($C747-$E746),ABS($D747-$E746)))</f>
        <v>0</v>
      </c>
      <c r="AD747">
        <f>IF(COUNT($E$2:$E747)&lt;15,"",AVERAGE($AC$734:$AC$747))</f>
        <v>0</v>
      </c>
      <c r="AE747">
        <f>IF(OR($E747="",$E746=""),"",IF(AND(($C747-$C746)&gt;($D746-$D747),($C747-$C746)&gt;0),$C747-$C746,0))</f>
        <v>0</v>
      </c>
      <c r="AF747">
        <f>IF(OR($E747="",$E746=""),"",IF(AND(($D746-$D747)&gt;($C747-$C746),($D746-$D747)&gt;0),$D746-$D747,0))</f>
        <v>0</v>
      </c>
      <c r="AG747">
        <f>IF(COUNT($E$2:$E747)&lt;15,"",IF(SUM($AC$734:$AC$747)=0,0,100*SUM($AE$734:$AE$747)/SUM($AC$734:$AC$747)))</f>
        <v>0</v>
      </c>
      <c r="AH747">
        <f>IF(COUNT($E$2:$E747)&lt;15,"",IF(SUM($AC$734:$AC$747)=0,0,100*SUM($AF$734:$AF$747)/SUM($AC$734:$AC$747)))</f>
        <v>0</v>
      </c>
      <c r="AI747">
        <f>IF(OR(AG747="",AH747=""),"",IF((AG747+AH747)=0,0,100*ABS(AG747-AH747)/(AG747+AH747)))</f>
        <v>0</v>
      </c>
      <c r="AJ747">
        <f>IF(COUNT($AI$734:$AI$747)&lt;14,"",AVERAGE($AI$734:$AI$747))</f>
        <v>0</v>
      </c>
      <c r="AK747">
        <f>IF(COUNT($E$2:$E747)&lt;20,"",AVERAGE($E$728:$E$747))</f>
        <v>0</v>
      </c>
      <c r="AL747">
        <f>IF(COUNT($E$2:$E747)&lt;20,"",STDEVP($E$728:$E$747))</f>
        <v>0</v>
      </c>
      <c r="AM747">
        <f>IF(AK747="","",AK747+2*AL747)</f>
        <v>0</v>
      </c>
      <c r="AN747">
        <f>IF(AK747="","",AK747-2*AL747)</f>
        <v>0</v>
      </c>
      <c r="AO747">
        <f>IF(OR(AM747="",AN747="",AM747=AN747),"",($E747-AN747)/(AM747-AN747))</f>
        <v>0</v>
      </c>
      <c r="AP747">
        <f>IF(OR(AM747="",AK747="",AK747=0),"",(AM747-AN747)/AK747)</f>
        <v>0</v>
      </c>
      <c r="AQ747">
        <f>IF(COUNT($E$2:$E747)&lt;20,"",MAX($C$728:$C$747))</f>
        <v>0</v>
      </c>
      <c r="AR747">
        <f>IF(COUNT($E$2:$E747)&lt;20,"",MIN($D$728:$D$747))</f>
        <v>0</v>
      </c>
      <c r="AS747">
        <f>IF(OR(AQ747="",AR747=""),"",(AQ747+AR747)/2)</f>
        <v>0</v>
      </c>
      <c r="AT747">
        <f>IF(COUNT($G$728:$G$747)&lt;20,"",STDEV($G$728:$G$747)*SQRT(252))</f>
        <v>0</v>
      </c>
      <c r="AU747">
        <f>IF(COUNT($E$2:$E747)&lt;9,"",(MAX($C$739:$C$747)+MIN($D$739:$D$747))/2)</f>
        <v>0</v>
      </c>
      <c r="AV747">
        <f>IF(COUNT($E$2:$E747)&lt;26,"",(MAX($C$722:$C$747)+MIN($D$722:$D$747))/2)</f>
        <v>0</v>
      </c>
      <c r="AW747">
        <f>IF(OR(AU747="",AV747=""),"",(AU747+AV747)/2)</f>
        <v>0</v>
      </c>
      <c r="AX747">
        <f>IF(COUNT($E$2:$E747)&lt;52,"",(MAX($C$696:$C$747)+MIN($D$696:$D$747))/2)</f>
        <v>0</v>
      </c>
      <c r="AY747">
        <f>IF(COUNT($E$2:$E747)&lt;20,"",MAX($C$648:$C$747))</f>
        <v>0</v>
      </c>
      <c r="AZ747">
        <f>IF(COUNT($E$2:$E747)&lt;20,"",MIN($D$648:$D$747))</f>
        <v>0</v>
      </c>
      <c r="BA747">
        <f>IF(COUNT($E$2:$E747)&lt;20,"",SLOPE($E$648:$E$747,$F$648:$F$747))</f>
        <v>0</v>
      </c>
      <c r="BB747">
        <f>IF(COUNT($E$2:$E747)&lt;20,"",INTERCEPT($E$648:$E$747,$F$648:$F$747))</f>
        <v>0</v>
      </c>
      <c r="BC747">
        <f>IF(OR(BA747="",BB747=""),"",BB747+BA747*F747)</f>
        <v>0</v>
      </c>
      <c r="BD747">
        <f>IF(COUNT($E$2:$E747)&lt;20,"",STEYX($E$648:$E$747,$F$648:$F$747))</f>
        <v>0</v>
      </c>
      <c r="BE747">
        <f>IF($E747="","",IF(AND(COUNT($E$748:$E$751)&gt;=4,$C747=MAX($C$743:$C$751)),$C747,""))</f>
        <v>0</v>
      </c>
      <c r="BF747">
        <f>IF($E747="","",IF(AND(COUNT($E$748:$E$751)&gt;=4,$D747=MIN($D$743:$D$751)),$D747,""))</f>
        <v>0</v>
      </c>
      <c r="BG747">
        <f>IF($A747="","",$A747-WEEKDAY($A747,2)+1)</f>
        <v>0</v>
      </c>
      <c r="BH747">
        <f>IF($A747="","",IF($A746="",1,IF(BG747&lt;&gt;BG746,1,0)))</f>
        <v>0</v>
      </c>
      <c r="BI747">
        <f>IF($A747="","",IF($A748="",1,IF(BG748&lt;&gt;BG747,1,0)))</f>
        <v>0</v>
      </c>
      <c r="BJ747">
        <f>IF($A747="","",IF(BH747=1,$B747,BJ746))</f>
        <v>0</v>
      </c>
      <c r="BK747">
        <f>IF($A747="","",IF(BH747=1,$C747,MAX($C747,BK746)))</f>
        <v>0</v>
      </c>
      <c r="BL747">
        <f>IF($A747="","",IF(BH747=1,$D747,MIN($D747,BL746)))</f>
        <v>0</v>
      </c>
      <c r="BM747">
        <f>IF($A747="","",IF(BI747=1,F747,""))</f>
        <v>0</v>
      </c>
      <c r="BN747">
        <f>IF($A747="","",DATE(YEAR($A747),MONTH($A747),1))</f>
        <v>0</v>
      </c>
      <c r="BO747">
        <f>IF($A747="","",IF($A746="",1,IF(BN747&lt;&gt;BN746,1,0)))</f>
        <v>0</v>
      </c>
      <c r="BP747">
        <f>IF($A747="","",IF($A748="",1,IF(BN748&lt;&gt;BN747,1,0)))</f>
        <v>0</v>
      </c>
      <c r="BQ747">
        <f>IF($A747="","",IF(BO747=1,$B747,BQ746))</f>
        <v>0</v>
      </c>
      <c r="BR747">
        <f>IF($A747="","",IF(BO747=1,$C747,MAX($C747,BR746)))</f>
        <v>0</v>
      </c>
      <c r="BS747">
        <f>IF($A747="","",IF(BO747=1,$D747,MIN($D747,BS746)))</f>
        <v>0</v>
      </c>
      <c r="BT747">
        <f>IF($A747="","",IF(BP747=1,F747,""))</f>
        <v>0</v>
      </c>
    </row>
    <row r="748" spans="1:72">
      <c r="A748" s="27">
        <f>IF(Data!$A748="","",Data!$A748)</f>
        <v>0</v>
      </c>
      <c r="B748">
        <f>IF(Data!$B748="","",Data!$B748)</f>
        <v>0</v>
      </c>
      <c r="C748">
        <f>IF(Data!$C748="","",Data!$C748)</f>
        <v>0</v>
      </c>
      <c r="D748">
        <f>IF(Data!$D748="","",Data!$D748)</f>
        <v>0</v>
      </c>
      <c r="E748">
        <f>IF(Data!$E748="","",Data!$E748)</f>
        <v>0</v>
      </c>
      <c r="F748">
        <f>IF($E748="","",N(F747)+1)</f>
        <v>0</v>
      </c>
      <c r="G748">
        <f>IF(OR($E748="",$E747=""),"",LN($E748/$E747))</f>
        <v>0</v>
      </c>
      <c r="H748">
        <f>IF($E748="","",IF($E747="",$E748,$E748*0.0952380952+H747*0.9047619048))</f>
        <v>0</v>
      </c>
      <c r="I748">
        <f>IF($E748="","",IF($E747="",$E748,$E748*0.0392156863+I747*0.9607843137))</f>
        <v>0</v>
      </c>
      <c r="J748">
        <f>IF($E748="","",IF($E747="",$E748,$E748*0.0198019802+J747*0.9801980198))</f>
        <v>0</v>
      </c>
      <c r="K748">
        <f>IF($E748="","",IF($E747="",$E748,$E748*0.0099502488+K747*0.9900497512))</f>
        <v>0</v>
      </c>
      <c r="L748">
        <f>IF(OR($E748="",$E747=""),"",MAX($E748-$E747,0))</f>
        <v>0</v>
      </c>
      <c r="M748">
        <f>IF(OR($E748="",$E747=""),"",MAX($E747-$E748,0))</f>
        <v>0</v>
      </c>
      <c r="N748">
        <f>IF(COUNT($E$2:$E748)&lt;15,"",IF(AVERAGE($M$735:$M$748)=0,100,100-100/(1+AVERAGE($L$735:$L$748)/AVERAGE($M$735:$M$748))))</f>
        <v>0</v>
      </c>
      <c r="O748">
        <f>IF($E748="","",IF($E747="",$E748,$E748*0.1538461538+O747*0.8461538462))</f>
        <v>0</v>
      </c>
      <c r="P748">
        <f>IF($E748="","",IF($E747="",$E748,$E748*0.0740740741+P747*0.9259259259))</f>
        <v>0</v>
      </c>
      <c r="Q748">
        <f>IF(OR(O748="",P748=""),"",O748-P748)</f>
        <v>0</v>
      </c>
      <c r="R748">
        <f>IF(Q748="","",IF(R747="",Q748,Q748*0.2000000000+R747*0.8000000000))</f>
        <v>0</v>
      </c>
      <c r="S748">
        <f>IF(OR(Q748="",R748=""),"",Q748-R748)</f>
        <v>0</v>
      </c>
      <c r="T748">
        <f>IF(COUNT($E$2:$E748)&lt;14,"",MAX($C$735:$C$748))</f>
        <v>0</v>
      </c>
      <c r="U748">
        <f>IF(COUNT($E$2:$E748)&lt;14,"",MIN($D$735:$D$748))</f>
        <v>0</v>
      </c>
      <c r="V748">
        <f>IF(OR(T748="",U748="",T748=U748),"",100*($E748-U748)/(T748-U748))</f>
        <v>0</v>
      </c>
      <c r="W748">
        <f>IF(COUNT($V$746:$V$748)&lt;3,"",AVERAGE($V$746:$V$748))</f>
        <v>0</v>
      </c>
      <c r="X748">
        <f>IF(COUNT($N$735:$N$748)&lt;14,"",MIN($N$735:$N$748))</f>
        <v>0</v>
      </c>
      <c r="Y748">
        <f>IF(COUNT($N$735:$N$748)&lt;14,"",MAX($N$735:$N$748))</f>
        <v>0</v>
      </c>
      <c r="Z748">
        <f>IF(OR(N748="",X748="",Y748="",Y748=X748),"",100*(N748-X748)/(Y748-X748))</f>
        <v>0</v>
      </c>
      <c r="AA748">
        <f>IF(COUNT($Z$746:$Z$748)&lt;3,"",AVERAGE($Z$746:$Z$748))</f>
        <v>0</v>
      </c>
      <c r="AB748">
        <f>IF(COUNT($AA$746:$AA$748)&lt;3,"",AVERAGE($AA$746:$AA$748))</f>
        <v>0</v>
      </c>
      <c r="AC748">
        <f>IF($E748="","",MAX($C748-$D748,ABS($C748-$E747),ABS($D748-$E747)))</f>
        <v>0</v>
      </c>
      <c r="AD748">
        <f>IF(COUNT($E$2:$E748)&lt;15,"",AVERAGE($AC$735:$AC$748))</f>
        <v>0</v>
      </c>
      <c r="AE748">
        <f>IF(OR($E748="",$E747=""),"",IF(AND(($C748-$C747)&gt;($D747-$D748),($C748-$C747)&gt;0),$C748-$C747,0))</f>
        <v>0</v>
      </c>
      <c r="AF748">
        <f>IF(OR($E748="",$E747=""),"",IF(AND(($D747-$D748)&gt;($C748-$C747),($D747-$D748)&gt;0),$D747-$D748,0))</f>
        <v>0</v>
      </c>
      <c r="AG748">
        <f>IF(COUNT($E$2:$E748)&lt;15,"",IF(SUM($AC$735:$AC$748)=0,0,100*SUM($AE$735:$AE$748)/SUM($AC$735:$AC$748)))</f>
        <v>0</v>
      </c>
      <c r="AH748">
        <f>IF(COUNT($E$2:$E748)&lt;15,"",IF(SUM($AC$735:$AC$748)=0,0,100*SUM($AF$735:$AF$748)/SUM($AC$735:$AC$748)))</f>
        <v>0</v>
      </c>
      <c r="AI748">
        <f>IF(OR(AG748="",AH748=""),"",IF((AG748+AH748)=0,0,100*ABS(AG748-AH748)/(AG748+AH748)))</f>
        <v>0</v>
      </c>
      <c r="AJ748">
        <f>IF(COUNT($AI$735:$AI$748)&lt;14,"",AVERAGE($AI$735:$AI$748))</f>
        <v>0</v>
      </c>
      <c r="AK748">
        <f>IF(COUNT($E$2:$E748)&lt;20,"",AVERAGE($E$729:$E$748))</f>
        <v>0</v>
      </c>
      <c r="AL748">
        <f>IF(COUNT($E$2:$E748)&lt;20,"",STDEVP($E$729:$E$748))</f>
        <v>0</v>
      </c>
      <c r="AM748">
        <f>IF(AK748="","",AK748+2*AL748)</f>
        <v>0</v>
      </c>
      <c r="AN748">
        <f>IF(AK748="","",AK748-2*AL748)</f>
        <v>0</v>
      </c>
      <c r="AO748">
        <f>IF(OR(AM748="",AN748="",AM748=AN748),"",($E748-AN748)/(AM748-AN748))</f>
        <v>0</v>
      </c>
      <c r="AP748">
        <f>IF(OR(AM748="",AK748="",AK748=0),"",(AM748-AN748)/AK748)</f>
        <v>0</v>
      </c>
      <c r="AQ748">
        <f>IF(COUNT($E$2:$E748)&lt;20,"",MAX($C$729:$C$748))</f>
        <v>0</v>
      </c>
      <c r="AR748">
        <f>IF(COUNT($E$2:$E748)&lt;20,"",MIN($D$729:$D$748))</f>
        <v>0</v>
      </c>
      <c r="AS748">
        <f>IF(OR(AQ748="",AR748=""),"",(AQ748+AR748)/2)</f>
        <v>0</v>
      </c>
      <c r="AT748">
        <f>IF(COUNT($G$729:$G$748)&lt;20,"",STDEV($G$729:$G$748)*SQRT(252))</f>
        <v>0</v>
      </c>
      <c r="AU748">
        <f>IF(COUNT($E$2:$E748)&lt;9,"",(MAX($C$740:$C$748)+MIN($D$740:$D$748))/2)</f>
        <v>0</v>
      </c>
      <c r="AV748">
        <f>IF(COUNT($E$2:$E748)&lt;26,"",(MAX($C$723:$C$748)+MIN($D$723:$D$748))/2)</f>
        <v>0</v>
      </c>
      <c r="AW748">
        <f>IF(OR(AU748="",AV748=""),"",(AU748+AV748)/2)</f>
        <v>0</v>
      </c>
      <c r="AX748">
        <f>IF(COUNT($E$2:$E748)&lt;52,"",(MAX($C$697:$C$748)+MIN($D$697:$D$748))/2)</f>
        <v>0</v>
      </c>
      <c r="AY748">
        <f>IF(COUNT($E$2:$E748)&lt;20,"",MAX($C$649:$C$748))</f>
        <v>0</v>
      </c>
      <c r="AZ748">
        <f>IF(COUNT($E$2:$E748)&lt;20,"",MIN($D$649:$D$748))</f>
        <v>0</v>
      </c>
      <c r="BA748">
        <f>IF(COUNT($E$2:$E748)&lt;20,"",SLOPE($E$649:$E$748,$F$649:$F$748))</f>
        <v>0</v>
      </c>
      <c r="BB748">
        <f>IF(COUNT($E$2:$E748)&lt;20,"",INTERCEPT($E$649:$E$748,$F$649:$F$748))</f>
        <v>0</v>
      </c>
      <c r="BC748">
        <f>IF(OR(BA748="",BB748=""),"",BB748+BA748*F748)</f>
        <v>0</v>
      </c>
      <c r="BD748">
        <f>IF(COUNT($E$2:$E748)&lt;20,"",STEYX($E$649:$E$748,$F$649:$F$748))</f>
        <v>0</v>
      </c>
      <c r="BE748">
        <f>IF($E748="","",IF(AND(COUNT($E$749:$E$752)&gt;=4,$C748=MAX($C$744:$C$752)),$C748,""))</f>
        <v>0</v>
      </c>
      <c r="BF748">
        <f>IF($E748="","",IF(AND(COUNT($E$749:$E$752)&gt;=4,$D748=MIN($D$744:$D$752)),$D748,""))</f>
        <v>0</v>
      </c>
      <c r="BG748">
        <f>IF($A748="","",$A748-WEEKDAY($A748,2)+1)</f>
        <v>0</v>
      </c>
      <c r="BH748">
        <f>IF($A748="","",IF($A747="",1,IF(BG748&lt;&gt;BG747,1,0)))</f>
        <v>0</v>
      </c>
      <c r="BI748">
        <f>IF($A748="","",IF($A749="",1,IF(BG749&lt;&gt;BG748,1,0)))</f>
        <v>0</v>
      </c>
      <c r="BJ748">
        <f>IF($A748="","",IF(BH748=1,$B748,BJ747))</f>
        <v>0</v>
      </c>
      <c r="BK748">
        <f>IF($A748="","",IF(BH748=1,$C748,MAX($C748,BK747)))</f>
        <v>0</v>
      </c>
      <c r="BL748">
        <f>IF($A748="","",IF(BH748=1,$D748,MIN($D748,BL747)))</f>
        <v>0</v>
      </c>
      <c r="BM748">
        <f>IF($A748="","",IF(BI748=1,F748,""))</f>
        <v>0</v>
      </c>
      <c r="BN748">
        <f>IF($A748="","",DATE(YEAR($A748),MONTH($A748),1))</f>
        <v>0</v>
      </c>
      <c r="BO748">
        <f>IF($A748="","",IF($A747="",1,IF(BN748&lt;&gt;BN747,1,0)))</f>
        <v>0</v>
      </c>
      <c r="BP748">
        <f>IF($A748="","",IF($A749="",1,IF(BN749&lt;&gt;BN748,1,0)))</f>
        <v>0</v>
      </c>
      <c r="BQ748">
        <f>IF($A748="","",IF(BO748=1,$B748,BQ747))</f>
        <v>0</v>
      </c>
      <c r="BR748">
        <f>IF($A748="","",IF(BO748=1,$C748,MAX($C748,BR747)))</f>
        <v>0</v>
      </c>
      <c r="BS748">
        <f>IF($A748="","",IF(BO748=1,$D748,MIN($D748,BS747)))</f>
        <v>0</v>
      </c>
      <c r="BT748">
        <f>IF($A748="","",IF(BP748=1,F748,""))</f>
        <v>0</v>
      </c>
    </row>
    <row r="749" spans="1:72">
      <c r="A749" s="27">
        <f>IF(Data!$A749="","",Data!$A749)</f>
        <v>0</v>
      </c>
      <c r="B749">
        <f>IF(Data!$B749="","",Data!$B749)</f>
        <v>0</v>
      </c>
      <c r="C749">
        <f>IF(Data!$C749="","",Data!$C749)</f>
        <v>0</v>
      </c>
      <c r="D749">
        <f>IF(Data!$D749="","",Data!$D749)</f>
        <v>0</v>
      </c>
      <c r="E749">
        <f>IF(Data!$E749="","",Data!$E749)</f>
        <v>0</v>
      </c>
      <c r="F749">
        <f>IF($E749="","",N(F748)+1)</f>
        <v>0</v>
      </c>
      <c r="G749">
        <f>IF(OR($E749="",$E748=""),"",LN($E749/$E748))</f>
        <v>0</v>
      </c>
      <c r="H749">
        <f>IF($E749="","",IF($E748="",$E749,$E749*0.0952380952+H748*0.9047619048))</f>
        <v>0</v>
      </c>
      <c r="I749">
        <f>IF($E749="","",IF($E748="",$E749,$E749*0.0392156863+I748*0.9607843137))</f>
        <v>0</v>
      </c>
      <c r="J749">
        <f>IF($E749="","",IF($E748="",$E749,$E749*0.0198019802+J748*0.9801980198))</f>
        <v>0</v>
      </c>
      <c r="K749">
        <f>IF($E749="","",IF($E748="",$E749,$E749*0.0099502488+K748*0.9900497512))</f>
        <v>0</v>
      </c>
      <c r="L749">
        <f>IF(OR($E749="",$E748=""),"",MAX($E749-$E748,0))</f>
        <v>0</v>
      </c>
      <c r="M749">
        <f>IF(OR($E749="",$E748=""),"",MAX($E748-$E749,0))</f>
        <v>0</v>
      </c>
      <c r="N749">
        <f>IF(COUNT($E$2:$E749)&lt;15,"",IF(AVERAGE($M$736:$M$749)=0,100,100-100/(1+AVERAGE($L$736:$L$749)/AVERAGE($M$736:$M$749))))</f>
        <v>0</v>
      </c>
      <c r="O749">
        <f>IF($E749="","",IF($E748="",$E749,$E749*0.1538461538+O748*0.8461538462))</f>
        <v>0</v>
      </c>
      <c r="P749">
        <f>IF($E749="","",IF($E748="",$E749,$E749*0.0740740741+P748*0.9259259259))</f>
        <v>0</v>
      </c>
      <c r="Q749">
        <f>IF(OR(O749="",P749=""),"",O749-P749)</f>
        <v>0</v>
      </c>
      <c r="R749">
        <f>IF(Q749="","",IF(R748="",Q749,Q749*0.2000000000+R748*0.8000000000))</f>
        <v>0</v>
      </c>
      <c r="S749">
        <f>IF(OR(Q749="",R749=""),"",Q749-R749)</f>
        <v>0</v>
      </c>
      <c r="T749">
        <f>IF(COUNT($E$2:$E749)&lt;14,"",MAX($C$736:$C$749))</f>
        <v>0</v>
      </c>
      <c r="U749">
        <f>IF(COUNT($E$2:$E749)&lt;14,"",MIN($D$736:$D$749))</f>
        <v>0</v>
      </c>
      <c r="V749">
        <f>IF(OR(T749="",U749="",T749=U749),"",100*($E749-U749)/(T749-U749))</f>
        <v>0</v>
      </c>
      <c r="W749">
        <f>IF(COUNT($V$747:$V$749)&lt;3,"",AVERAGE($V$747:$V$749))</f>
        <v>0</v>
      </c>
      <c r="X749">
        <f>IF(COUNT($N$736:$N$749)&lt;14,"",MIN($N$736:$N$749))</f>
        <v>0</v>
      </c>
      <c r="Y749">
        <f>IF(COUNT($N$736:$N$749)&lt;14,"",MAX($N$736:$N$749))</f>
        <v>0</v>
      </c>
      <c r="Z749">
        <f>IF(OR(N749="",X749="",Y749="",Y749=X749),"",100*(N749-X749)/(Y749-X749))</f>
        <v>0</v>
      </c>
      <c r="AA749">
        <f>IF(COUNT($Z$747:$Z$749)&lt;3,"",AVERAGE($Z$747:$Z$749))</f>
        <v>0</v>
      </c>
      <c r="AB749">
        <f>IF(COUNT($AA$747:$AA$749)&lt;3,"",AVERAGE($AA$747:$AA$749))</f>
        <v>0</v>
      </c>
      <c r="AC749">
        <f>IF($E749="","",MAX($C749-$D749,ABS($C749-$E748),ABS($D749-$E748)))</f>
        <v>0</v>
      </c>
      <c r="AD749">
        <f>IF(COUNT($E$2:$E749)&lt;15,"",AVERAGE($AC$736:$AC$749))</f>
        <v>0</v>
      </c>
      <c r="AE749">
        <f>IF(OR($E749="",$E748=""),"",IF(AND(($C749-$C748)&gt;($D748-$D749),($C749-$C748)&gt;0),$C749-$C748,0))</f>
        <v>0</v>
      </c>
      <c r="AF749">
        <f>IF(OR($E749="",$E748=""),"",IF(AND(($D748-$D749)&gt;($C749-$C748),($D748-$D749)&gt;0),$D748-$D749,0))</f>
        <v>0</v>
      </c>
      <c r="AG749">
        <f>IF(COUNT($E$2:$E749)&lt;15,"",IF(SUM($AC$736:$AC$749)=0,0,100*SUM($AE$736:$AE$749)/SUM($AC$736:$AC$749)))</f>
        <v>0</v>
      </c>
      <c r="AH749">
        <f>IF(COUNT($E$2:$E749)&lt;15,"",IF(SUM($AC$736:$AC$749)=0,0,100*SUM($AF$736:$AF$749)/SUM($AC$736:$AC$749)))</f>
        <v>0</v>
      </c>
      <c r="AI749">
        <f>IF(OR(AG749="",AH749=""),"",IF((AG749+AH749)=0,0,100*ABS(AG749-AH749)/(AG749+AH749)))</f>
        <v>0</v>
      </c>
      <c r="AJ749">
        <f>IF(COUNT($AI$736:$AI$749)&lt;14,"",AVERAGE($AI$736:$AI$749))</f>
        <v>0</v>
      </c>
      <c r="AK749">
        <f>IF(COUNT($E$2:$E749)&lt;20,"",AVERAGE($E$730:$E$749))</f>
        <v>0</v>
      </c>
      <c r="AL749">
        <f>IF(COUNT($E$2:$E749)&lt;20,"",STDEVP($E$730:$E$749))</f>
        <v>0</v>
      </c>
      <c r="AM749">
        <f>IF(AK749="","",AK749+2*AL749)</f>
        <v>0</v>
      </c>
      <c r="AN749">
        <f>IF(AK749="","",AK749-2*AL749)</f>
        <v>0</v>
      </c>
      <c r="AO749">
        <f>IF(OR(AM749="",AN749="",AM749=AN749),"",($E749-AN749)/(AM749-AN749))</f>
        <v>0</v>
      </c>
      <c r="AP749">
        <f>IF(OR(AM749="",AK749="",AK749=0),"",(AM749-AN749)/AK749)</f>
        <v>0</v>
      </c>
      <c r="AQ749">
        <f>IF(COUNT($E$2:$E749)&lt;20,"",MAX($C$730:$C$749))</f>
        <v>0</v>
      </c>
      <c r="AR749">
        <f>IF(COUNT($E$2:$E749)&lt;20,"",MIN($D$730:$D$749))</f>
        <v>0</v>
      </c>
      <c r="AS749">
        <f>IF(OR(AQ749="",AR749=""),"",(AQ749+AR749)/2)</f>
        <v>0</v>
      </c>
      <c r="AT749">
        <f>IF(COUNT($G$730:$G$749)&lt;20,"",STDEV($G$730:$G$749)*SQRT(252))</f>
        <v>0</v>
      </c>
      <c r="AU749">
        <f>IF(COUNT($E$2:$E749)&lt;9,"",(MAX($C$741:$C$749)+MIN($D$741:$D$749))/2)</f>
        <v>0</v>
      </c>
      <c r="AV749">
        <f>IF(COUNT($E$2:$E749)&lt;26,"",(MAX($C$724:$C$749)+MIN($D$724:$D$749))/2)</f>
        <v>0</v>
      </c>
      <c r="AW749">
        <f>IF(OR(AU749="",AV749=""),"",(AU749+AV749)/2)</f>
        <v>0</v>
      </c>
      <c r="AX749">
        <f>IF(COUNT($E$2:$E749)&lt;52,"",(MAX($C$698:$C$749)+MIN($D$698:$D$749))/2)</f>
        <v>0</v>
      </c>
      <c r="AY749">
        <f>IF(COUNT($E$2:$E749)&lt;20,"",MAX($C$650:$C$749))</f>
        <v>0</v>
      </c>
      <c r="AZ749">
        <f>IF(COUNT($E$2:$E749)&lt;20,"",MIN($D$650:$D$749))</f>
        <v>0</v>
      </c>
      <c r="BA749">
        <f>IF(COUNT($E$2:$E749)&lt;20,"",SLOPE($E$650:$E$749,$F$650:$F$749))</f>
        <v>0</v>
      </c>
      <c r="BB749">
        <f>IF(COUNT($E$2:$E749)&lt;20,"",INTERCEPT($E$650:$E$749,$F$650:$F$749))</f>
        <v>0</v>
      </c>
      <c r="BC749">
        <f>IF(OR(BA749="",BB749=""),"",BB749+BA749*F749)</f>
        <v>0</v>
      </c>
      <c r="BD749">
        <f>IF(COUNT($E$2:$E749)&lt;20,"",STEYX($E$650:$E$749,$F$650:$F$749))</f>
        <v>0</v>
      </c>
      <c r="BE749">
        <f>IF($E749="","",IF(AND(COUNT($E$750:$E$753)&gt;=4,$C749=MAX($C$745:$C$753)),$C749,""))</f>
        <v>0</v>
      </c>
      <c r="BF749">
        <f>IF($E749="","",IF(AND(COUNT($E$750:$E$753)&gt;=4,$D749=MIN($D$745:$D$753)),$D749,""))</f>
        <v>0</v>
      </c>
      <c r="BG749">
        <f>IF($A749="","",$A749-WEEKDAY($A749,2)+1)</f>
        <v>0</v>
      </c>
      <c r="BH749">
        <f>IF($A749="","",IF($A748="",1,IF(BG749&lt;&gt;BG748,1,0)))</f>
        <v>0</v>
      </c>
      <c r="BI749">
        <f>IF($A749="","",IF($A750="",1,IF(BG750&lt;&gt;BG749,1,0)))</f>
        <v>0</v>
      </c>
      <c r="BJ749">
        <f>IF($A749="","",IF(BH749=1,$B749,BJ748))</f>
        <v>0</v>
      </c>
      <c r="BK749">
        <f>IF($A749="","",IF(BH749=1,$C749,MAX($C749,BK748)))</f>
        <v>0</v>
      </c>
      <c r="BL749">
        <f>IF($A749="","",IF(BH749=1,$D749,MIN($D749,BL748)))</f>
        <v>0</v>
      </c>
      <c r="BM749">
        <f>IF($A749="","",IF(BI749=1,F749,""))</f>
        <v>0</v>
      </c>
      <c r="BN749">
        <f>IF($A749="","",DATE(YEAR($A749),MONTH($A749),1))</f>
        <v>0</v>
      </c>
      <c r="BO749">
        <f>IF($A749="","",IF($A748="",1,IF(BN749&lt;&gt;BN748,1,0)))</f>
        <v>0</v>
      </c>
      <c r="BP749">
        <f>IF($A749="","",IF($A750="",1,IF(BN750&lt;&gt;BN749,1,0)))</f>
        <v>0</v>
      </c>
      <c r="BQ749">
        <f>IF($A749="","",IF(BO749=1,$B749,BQ748))</f>
        <v>0</v>
      </c>
      <c r="BR749">
        <f>IF($A749="","",IF(BO749=1,$C749,MAX($C749,BR748)))</f>
        <v>0</v>
      </c>
      <c r="BS749">
        <f>IF($A749="","",IF(BO749=1,$D749,MIN($D749,BS748)))</f>
        <v>0</v>
      </c>
      <c r="BT749">
        <f>IF($A749="","",IF(BP749=1,F749,""))</f>
        <v>0</v>
      </c>
    </row>
    <row r="750" spans="1:72">
      <c r="A750" s="27">
        <f>IF(Data!$A750="","",Data!$A750)</f>
        <v>0</v>
      </c>
      <c r="B750">
        <f>IF(Data!$B750="","",Data!$B750)</f>
        <v>0</v>
      </c>
      <c r="C750">
        <f>IF(Data!$C750="","",Data!$C750)</f>
        <v>0</v>
      </c>
      <c r="D750">
        <f>IF(Data!$D750="","",Data!$D750)</f>
        <v>0</v>
      </c>
      <c r="E750">
        <f>IF(Data!$E750="","",Data!$E750)</f>
        <v>0</v>
      </c>
      <c r="F750">
        <f>IF($E750="","",N(F749)+1)</f>
        <v>0</v>
      </c>
      <c r="G750">
        <f>IF(OR($E750="",$E749=""),"",LN($E750/$E749))</f>
        <v>0</v>
      </c>
      <c r="H750">
        <f>IF($E750="","",IF($E749="",$E750,$E750*0.0952380952+H749*0.9047619048))</f>
        <v>0</v>
      </c>
      <c r="I750">
        <f>IF($E750="","",IF($E749="",$E750,$E750*0.0392156863+I749*0.9607843137))</f>
        <v>0</v>
      </c>
      <c r="J750">
        <f>IF($E750="","",IF($E749="",$E750,$E750*0.0198019802+J749*0.9801980198))</f>
        <v>0</v>
      </c>
      <c r="K750">
        <f>IF($E750="","",IF($E749="",$E750,$E750*0.0099502488+K749*0.9900497512))</f>
        <v>0</v>
      </c>
      <c r="L750">
        <f>IF(OR($E750="",$E749=""),"",MAX($E750-$E749,0))</f>
        <v>0</v>
      </c>
      <c r="M750">
        <f>IF(OR($E750="",$E749=""),"",MAX($E749-$E750,0))</f>
        <v>0</v>
      </c>
      <c r="N750">
        <f>IF(COUNT($E$2:$E750)&lt;15,"",IF(AVERAGE($M$737:$M$750)=0,100,100-100/(1+AVERAGE($L$737:$L$750)/AVERAGE($M$737:$M$750))))</f>
        <v>0</v>
      </c>
      <c r="O750">
        <f>IF($E750="","",IF($E749="",$E750,$E750*0.1538461538+O749*0.8461538462))</f>
        <v>0</v>
      </c>
      <c r="P750">
        <f>IF($E750="","",IF($E749="",$E750,$E750*0.0740740741+P749*0.9259259259))</f>
        <v>0</v>
      </c>
      <c r="Q750">
        <f>IF(OR(O750="",P750=""),"",O750-P750)</f>
        <v>0</v>
      </c>
      <c r="R750">
        <f>IF(Q750="","",IF(R749="",Q750,Q750*0.2000000000+R749*0.8000000000))</f>
        <v>0</v>
      </c>
      <c r="S750">
        <f>IF(OR(Q750="",R750=""),"",Q750-R750)</f>
        <v>0</v>
      </c>
      <c r="T750">
        <f>IF(COUNT($E$2:$E750)&lt;14,"",MAX($C$737:$C$750))</f>
        <v>0</v>
      </c>
      <c r="U750">
        <f>IF(COUNT($E$2:$E750)&lt;14,"",MIN($D$737:$D$750))</f>
        <v>0</v>
      </c>
      <c r="V750">
        <f>IF(OR(T750="",U750="",T750=U750),"",100*($E750-U750)/(T750-U750))</f>
        <v>0</v>
      </c>
      <c r="W750">
        <f>IF(COUNT($V$748:$V$750)&lt;3,"",AVERAGE($V$748:$V$750))</f>
        <v>0</v>
      </c>
      <c r="X750">
        <f>IF(COUNT($N$737:$N$750)&lt;14,"",MIN($N$737:$N$750))</f>
        <v>0</v>
      </c>
      <c r="Y750">
        <f>IF(COUNT($N$737:$N$750)&lt;14,"",MAX($N$737:$N$750))</f>
        <v>0</v>
      </c>
      <c r="Z750">
        <f>IF(OR(N750="",X750="",Y750="",Y750=X750),"",100*(N750-X750)/(Y750-X750))</f>
        <v>0</v>
      </c>
      <c r="AA750">
        <f>IF(COUNT($Z$748:$Z$750)&lt;3,"",AVERAGE($Z$748:$Z$750))</f>
        <v>0</v>
      </c>
      <c r="AB750">
        <f>IF(COUNT($AA$748:$AA$750)&lt;3,"",AVERAGE($AA$748:$AA$750))</f>
        <v>0</v>
      </c>
      <c r="AC750">
        <f>IF($E750="","",MAX($C750-$D750,ABS($C750-$E749),ABS($D750-$E749)))</f>
        <v>0</v>
      </c>
      <c r="AD750">
        <f>IF(COUNT($E$2:$E750)&lt;15,"",AVERAGE($AC$737:$AC$750))</f>
        <v>0</v>
      </c>
      <c r="AE750">
        <f>IF(OR($E750="",$E749=""),"",IF(AND(($C750-$C749)&gt;($D749-$D750),($C750-$C749)&gt;0),$C750-$C749,0))</f>
        <v>0</v>
      </c>
      <c r="AF750">
        <f>IF(OR($E750="",$E749=""),"",IF(AND(($D749-$D750)&gt;($C750-$C749),($D749-$D750)&gt;0),$D749-$D750,0))</f>
        <v>0</v>
      </c>
      <c r="AG750">
        <f>IF(COUNT($E$2:$E750)&lt;15,"",IF(SUM($AC$737:$AC$750)=0,0,100*SUM($AE$737:$AE$750)/SUM($AC$737:$AC$750)))</f>
        <v>0</v>
      </c>
      <c r="AH750">
        <f>IF(COUNT($E$2:$E750)&lt;15,"",IF(SUM($AC$737:$AC$750)=0,0,100*SUM($AF$737:$AF$750)/SUM($AC$737:$AC$750)))</f>
        <v>0</v>
      </c>
      <c r="AI750">
        <f>IF(OR(AG750="",AH750=""),"",IF((AG750+AH750)=0,0,100*ABS(AG750-AH750)/(AG750+AH750)))</f>
        <v>0</v>
      </c>
      <c r="AJ750">
        <f>IF(COUNT($AI$737:$AI$750)&lt;14,"",AVERAGE($AI$737:$AI$750))</f>
        <v>0</v>
      </c>
      <c r="AK750">
        <f>IF(COUNT($E$2:$E750)&lt;20,"",AVERAGE($E$731:$E$750))</f>
        <v>0</v>
      </c>
      <c r="AL750">
        <f>IF(COUNT($E$2:$E750)&lt;20,"",STDEVP($E$731:$E$750))</f>
        <v>0</v>
      </c>
      <c r="AM750">
        <f>IF(AK750="","",AK750+2*AL750)</f>
        <v>0</v>
      </c>
      <c r="AN750">
        <f>IF(AK750="","",AK750-2*AL750)</f>
        <v>0</v>
      </c>
      <c r="AO750">
        <f>IF(OR(AM750="",AN750="",AM750=AN750),"",($E750-AN750)/(AM750-AN750))</f>
        <v>0</v>
      </c>
      <c r="AP750">
        <f>IF(OR(AM750="",AK750="",AK750=0),"",(AM750-AN750)/AK750)</f>
        <v>0</v>
      </c>
      <c r="AQ750">
        <f>IF(COUNT($E$2:$E750)&lt;20,"",MAX($C$731:$C$750))</f>
        <v>0</v>
      </c>
      <c r="AR750">
        <f>IF(COUNT($E$2:$E750)&lt;20,"",MIN($D$731:$D$750))</f>
        <v>0</v>
      </c>
      <c r="AS750">
        <f>IF(OR(AQ750="",AR750=""),"",(AQ750+AR750)/2)</f>
        <v>0</v>
      </c>
      <c r="AT750">
        <f>IF(COUNT($G$731:$G$750)&lt;20,"",STDEV($G$731:$G$750)*SQRT(252))</f>
        <v>0</v>
      </c>
      <c r="AU750">
        <f>IF(COUNT($E$2:$E750)&lt;9,"",(MAX($C$742:$C$750)+MIN($D$742:$D$750))/2)</f>
        <v>0</v>
      </c>
      <c r="AV750">
        <f>IF(COUNT($E$2:$E750)&lt;26,"",(MAX($C$725:$C$750)+MIN($D$725:$D$750))/2)</f>
        <v>0</v>
      </c>
      <c r="AW750">
        <f>IF(OR(AU750="",AV750=""),"",(AU750+AV750)/2)</f>
        <v>0</v>
      </c>
      <c r="AX750">
        <f>IF(COUNT($E$2:$E750)&lt;52,"",(MAX($C$699:$C$750)+MIN($D$699:$D$750))/2)</f>
        <v>0</v>
      </c>
      <c r="AY750">
        <f>IF(COUNT($E$2:$E750)&lt;20,"",MAX($C$651:$C$750))</f>
        <v>0</v>
      </c>
      <c r="AZ750">
        <f>IF(COUNT($E$2:$E750)&lt;20,"",MIN($D$651:$D$750))</f>
        <v>0</v>
      </c>
      <c r="BA750">
        <f>IF(COUNT($E$2:$E750)&lt;20,"",SLOPE($E$651:$E$750,$F$651:$F$750))</f>
        <v>0</v>
      </c>
      <c r="BB750">
        <f>IF(COUNT($E$2:$E750)&lt;20,"",INTERCEPT($E$651:$E$750,$F$651:$F$750))</f>
        <v>0</v>
      </c>
      <c r="BC750">
        <f>IF(OR(BA750="",BB750=""),"",BB750+BA750*F750)</f>
        <v>0</v>
      </c>
      <c r="BD750">
        <f>IF(COUNT($E$2:$E750)&lt;20,"",STEYX($E$651:$E$750,$F$651:$F$750))</f>
        <v>0</v>
      </c>
      <c r="BE750">
        <f>IF($E750="","",IF(AND(COUNT($E$751:$E$754)&gt;=4,$C750=MAX($C$746:$C$754)),$C750,""))</f>
        <v>0</v>
      </c>
      <c r="BF750">
        <f>IF($E750="","",IF(AND(COUNT($E$751:$E$754)&gt;=4,$D750=MIN($D$746:$D$754)),$D750,""))</f>
        <v>0</v>
      </c>
      <c r="BG750">
        <f>IF($A750="","",$A750-WEEKDAY($A750,2)+1)</f>
        <v>0</v>
      </c>
      <c r="BH750">
        <f>IF($A750="","",IF($A749="",1,IF(BG750&lt;&gt;BG749,1,0)))</f>
        <v>0</v>
      </c>
      <c r="BI750">
        <f>IF($A750="","",IF($A751="",1,IF(BG751&lt;&gt;BG750,1,0)))</f>
        <v>0</v>
      </c>
      <c r="BJ750">
        <f>IF($A750="","",IF(BH750=1,$B750,BJ749))</f>
        <v>0</v>
      </c>
      <c r="BK750">
        <f>IF($A750="","",IF(BH750=1,$C750,MAX($C750,BK749)))</f>
        <v>0</v>
      </c>
      <c r="BL750">
        <f>IF($A750="","",IF(BH750=1,$D750,MIN($D750,BL749)))</f>
        <v>0</v>
      </c>
      <c r="BM750">
        <f>IF($A750="","",IF(BI750=1,F750,""))</f>
        <v>0</v>
      </c>
      <c r="BN750">
        <f>IF($A750="","",DATE(YEAR($A750),MONTH($A750),1))</f>
        <v>0</v>
      </c>
      <c r="BO750">
        <f>IF($A750="","",IF($A749="",1,IF(BN750&lt;&gt;BN749,1,0)))</f>
        <v>0</v>
      </c>
      <c r="BP750">
        <f>IF($A750="","",IF($A751="",1,IF(BN751&lt;&gt;BN750,1,0)))</f>
        <v>0</v>
      </c>
      <c r="BQ750">
        <f>IF($A750="","",IF(BO750=1,$B750,BQ749))</f>
        <v>0</v>
      </c>
      <c r="BR750">
        <f>IF($A750="","",IF(BO750=1,$C750,MAX($C750,BR749)))</f>
        <v>0</v>
      </c>
      <c r="BS750">
        <f>IF($A750="","",IF(BO750=1,$D750,MIN($D750,BS749)))</f>
        <v>0</v>
      </c>
      <c r="BT750">
        <f>IF($A750="","",IF(BP750=1,F750,""))</f>
        <v>0</v>
      </c>
    </row>
    <row r="751" spans="1:72">
      <c r="A751" s="27">
        <f>IF(Data!$A751="","",Data!$A751)</f>
        <v>0</v>
      </c>
      <c r="B751">
        <f>IF(Data!$B751="","",Data!$B751)</f>
        <v>0</v>
      </c>
      <c r="C751">
        <f>IF(Data!$C751="","",Data!$C751)</f>
        <v>0</v>
      </c>
      <c r="D751">
        <f>IF(Data!$D751="","",Data!$D751)</f>
        <v>0</v>
      </c>
      <c r="E751">
        <f>IF(Data!$E751="","",Data!$E751)</f>
        <v>0</v>
      </c>
      <c r="F751">
        <f>IF($E751="","",N(F750)+1)</f>
        <v>0</v>
      </c>
      <c r="G751">
        <f>IF(OR($E751="",$E750=""),"",LN($E751/$E750))</f>
        <v>0</v>
      </c>
      <c r="H751">
        <f>IF($E751="","",IF($E750="",$E751,$E751*0.0952380952+H750*0.9047619048))</f>
        <v>0</v>
      </c>
      <c r="I751">
        <f>IF($E751="","",IF($E750="",$E751,$E751*0.0392156863+I750*0.9607843137))</f>
        <v>0</v>
      </c>
      <c r="J751">
        <f>IF($E751="","",IF($E750="",$E751,$E751*0.0198019802+J750*0.9801980198))</f>
        <v>0</v>
      </c>
      <c r="K751">
        <f>IF($E751="","",IF($E750="",$E751,$E751*0.0099502488+K750*0.9900497512))</f>
        <v>0</v>
      </c>
      <c r="L751">
        <f>IF(OR($E751="",$E750=""),"",MAX($E751-$E750,0))</f>
        <v>0</v>
      </c>
      <c r="M751">
        <f>IF(OR($E751="",$E750=""),"",MAX($E750-$E751,0))</f>
        <v>0</v>
      </c>
      <c r="N751">
        <f>IF(COUNT($E$2:$E751)&lt;15,"",IF(AVERAGE($M$738:$M$751)=0,100,100-100/(1+AVERAGE($L$738:$L$751)/AVERAGE($M$738:$M$751))))</f>
        <v>0</v>
      </c>
      <c r="O751">
        <f>IF($E751="","",IF($E750="",$E751,$E751*0.1538461538+O750*0.8461538462))</f>
        <v>0</v>
      </c>
      <c r="P751">
        <f>IF($E751="","",IF($E750="",$E751,$E751*0.0740740741+P750*0.9259259259))</f>
        <v>0</v>
      </c>
      <c r="Q751">
        <f>IF(OR(O751="",P751=""),"",O751-P751)</f>
        <v>0</v>
      </c>
      <c r="R751">
        <f>IF(Q751="","",IF(R750="",Q751,Q751*0.2000000000+R750*0.8000000000))</f>
        <v>0</v>
      </c>
      <c r="S751">
        <f>IF(OR(Q751="",R751=""),"",Q751-R751)</f>
        <v>0</v>
      </c>
      <c r="T751">
        <f>IF(COUNT($E$2:$E751)&lt;14,"",MAX($C$738:$C$751))</f>
        <v>0</v>
      </c>
      <c r="U751">
        <f>IF(COUNT($E$2:$E751)&lt;14,"",MIN($D$738:$D$751))</f>
        <v>0</v>
      </c>
      <c r="V751">
        <f>IF(OR(T751="",U751="",T751=U751),"",100*($E751-U751)/(T751-U751))</f>
        <v>0</v>
      </c>
      <c r="W751">
        <f>IF(COUNT($V$749:$V$751)&lt;3,"",AVERAGE($V$749:$V$751))</f>
        <v>0</v>
      </c>
      <c r="X751">
        <f>IF(COUNT($N$738:$N$751)&lt;14,"",MIN($N$738:$N$751))</f>
        <v>0</v>
      </c>
      <c r="Y751">
        <f>IF(COUNT($N$738:$N$751)&lt;14,"",MAX($N$738:$N$751))</f>
        <v>0</v>
      </c>
      <c r="Z751">
        <f>IF(OR(N751="",X751="",Y751="",Y751=X751),"",100*(N751-X751)/(Y751-X751))</f>
        <v>0</v>
      </c>
      <c r="AA751">
        <f>IF(COUNT($Z$749:$Z$751)&lt;3,"",AVERAGE($Z$749:$Z$751))</f>
        <v>0</v>
      </c>
      <c r="AB751">
        <f>IF(COUNT($AA$749:$AA$751)&lt;3,"",AVERAGE($AA$749:$AA$751))</f>
        <v>0</v>
      </c>
      <c r="AC751">
        <f>IF($E751="","",MAX($C751-$D751,ABS($C751-$E750),ABS($D751-$E750)))</f>
        <v>0</v>
      </c>
      <c r="AD751">
        <f>IF(COUNT($E$2:$E751)&lt;15,"",AVERAGE($AC$738:$AC$751))</f>
        <v>0</v>
      </c>
      <c r="AE751">
        <f>IF(OR($E751="",$E750=""),"",IF(AND(($C751-$C750)&gt;($D750-$D751),($C751-$C750)&gt;0),$C751-$C750,0))</f>
        <v>0</v>
      </c>
      <c r="AF751">
        <f>IF(OR($E751="",$E750=""),"",IF(AND(($D750-$D751)&gt;($C751-$C750),($D750-$D751)&gt;0),$D750-$D751,0))</f>
        <v>0</v>
      </c>
      <c r="AG751">
        <f>IF(COUNT($E$2:$E751)&lt;15,"",IF(SUM($AC$738:$AC$751)=0,0,100*SUM($AE$738:$AE$751)/SUM($AC$738:$AC$751)))</f>
        <v>0</v>
      </c>
      <c r="AH751">
        <f>IF(COUNT($E$2:$E751)&lt;15,"",IF(SUM($AC$738:$AC$751)=0,0,100*SUM($AF$738:$AF$751)/SUM($AC$738:$AC$751)))</f>
        <v>0</v>
      </c>
      <c r="AI751">
        <f>IF(OR(AG751="",AH751=""),"",IF((AG751+AH751)=0,0,100*ABS(AG751-AH751)/(AG751+AH751)))</f>
        <v>0</v>
      </c>
      <c r="AJ751">
        <f>IF(COUNT($AI$738:$AI$751)&lt;14,"",AVERAGE($AI$738:$AI$751))</f>
        <v>0</v>
      </c>
      <c r="AK751">
        <f>IF(COUNT($E$2:$E751)&lt;20,"",AVERAGE($E$732:$E$751))</f>
        <v>0</v>
      </c>
      <c r="AL751">
        <f>IF(COUNT($E$2:$E751)&lt;20,"",STDEVP($E$732:$E$751))</f>
        <v>0</v>
      </c>
      <c r="AM751">
        <f>IF(AK751="","",AK751+2*AL751)</f>
        <v>0</v>
      </c>
      <c r="AN751">
        <f>IF(AK751="","",AK751-2*AL751)</f>
        <v>0</v>
      </c>
      <c r="AO751">
        <f>IF(OR(AM751="",AN751="",AM751=AN751),"",($E751-AN751)/(AM751-AN751))</f>
        <v>0</v>
      </c>
      <c r="AP751">
        <f>IF(OR(AM751="",AK751="",AK751=0),"",(AM751-AN751)/AK751)</f>
        <v>0</v>
      </c>
      <c r="AQ751">
        <f>IF(COUNT($E$2:$E751)&lt;20,"",MAX($C$732:$C$751))</f>
        <v>0</v>
      </c>
      <c r="AR751">
        <f>IF(COUNT($E$2:$E751)&lt;20,"",MIN($D$732:$D$751))</f>
        <v>0</v>
      </c>
      <c r="AS751">
        <f>IF(OR(AQ751="",AR751=""),"",(AQ751+AR751)/2)</f>
        <v>0</v>
      </c>
      <c r="AT751">
        <f>IF(COUNT($G$732:$G$751)&lt;20,"",STDEV($G$732:$G$751)*SQRT(252))</f>
        <v>0</v>
      </c>
      <c r="AU751">
        <f>IF(COUNT($E$2:$E751)&lt;9,"",(MAX($C$743:$C$751)+MIN($D$743:$D$751))/2)</f>
        <v>0</v>
      </c>
      <c r="AV751">
        <f>IF(COUNT($E$2:$E751)&lt;26,"",(MAX($C$726:$C$751)+MIN($D$726:$D$751))/2)</f>
        <v>0</v>
      </c>
      <c r="AW751">
        <f>IF(OR(AU751="",AV751=""),"",(AU751+AV751)/2)</f>
        <v>0</v>
      </c>
      <c r="AX751">
        <f>IF(COUNT($E$2:$E751)&lt;52,"",(MAX($C$700:$C$751)+MIN($D$700:$D$751))/2)</f>
        <v>0</v>
      </c>
      <c r="AY751">
        <f>IF(COUNT($E$2:$E751)&lt;20,"",MAX($C$652:$C$751))</f>
        <v>0</v>
      </c>
      <c r="AZ751">
        <f>IF(COUNT($E$2:$E751)&lt;20,"",MIN($D$652:$D$751))</f>
        <v>0</v>
      </c>
      <c r="BA751">
        <f>IF(COUNT($E$2:$E751)&lt;20,"",SLOPE($E$652:$E$751,$F$652:$F$751))</f>
        <v>0</v>
      </c>
      <c r="BB751">
        <f>IF(COUNT($E$2:$E751)&lt;20,"",INTERCEPT($E$652:$E$751,$F$652:$F$751))</f>
        <v>0</v>
      </c>
      <c r="BC751">
        <f>IF(OR(BA751="",BB751=""),"",BB751+BA751*F751)</f>
        <v>0</v>
      </c>
      <c r="BD751">
        <f>IF(COUNT($E$2:$E751)&lt;20,"",STEYX($E$652:$E$751,$F$652:$F$751))</f>
        <v>0</v>
      </c>
      <c r="BE751">
        <f>IF($E751="","",IF(AND(COUNT($E$752:$E$755)&gt;=4,$C751=MAX($C$747:$C$755)),$C751,""))</f>
        <v>0</v>
      </c>
      <c r="BF751">
        <f>IF($E751="","",IF(AND(COUNT($E$752:$E$755)&gt;=4,$D751=MIN($D$747:$D$755)),$D751,""))</f>
        <v>0</v>
      </c>
      <c r="BG751">
        <f>IF($A751="","",$A751-WEEKDAY($A751,2)+1)</f>
        <v>0</v>
      </c>
      <c r="BH751">
        <f>IF($A751="","",IF($A750="",1,IF(BG751&lt;&gt;BG750,1,0)))</f>
        <v>0</v>
      </c>
      <c r="BI751">
        <f>IF($A751="","",IF($A752="",1,IF(BG752&lt;&gt;BG751,1,0)))</f>
        <v>0</v>
      </c>
      <c r="BJ751">
        <f>IF($A751="","",IF(BH751=1,$B751,BJ750))</f>
        <v>0</v>
      </c>
      <c r="BK751">
        <f>IF($A751="","",IF(BH751=1,$C751,MAX($C751,BK750)))</f>
        <v>0</v>
      </c>
      <c r="BL751">
        <f>IF($A751="","",IF(BH751=1,$D751,MIN($D751,BL750)))</f>
        <v>0</v>
      </c>
      <c r="BM751">
        <f>IF($A751="","",IF(BI751=1,F751,""))</f>
        <v>0</v>
      </c>
      <c r="BN751">
        <f>IF($A751="","",DATE(YEAR($A751),MONTH($A751),1))</f>
        <v>0</v>
      </c>
      <c r="BO751">
        <f>IF($A751="","",IF($A750="",1,IF(BN751&lt;&gt;BN750,1,0)))</f>
        <v>0</v>
      </c>
      <c r="BP751">
        <f>IF($A751="","",IF($A752="",1,IF(BN752&lt;&gt;BN751,1,0)))</f>
        <v>0</v>
      </c>
      <c r="BQ751">
        <f>IF($A751="","",IF(BO751=1,$B751,BQ750))</f>
        <v>0</v>
      </c>
      <c r="BR751">
        <f>IF($A751="","",IF(BO751=1,$C751,MAX($C751,BR750)))</f>
        <v>0</v>
      </c>
      <c r="BS751">
        <f>IF($A751="","",IF(BO751=1,$D751,MIN($D751,BS750)))</f>
        <v>0</v>
      </c>
      <c r="BT751">
        <f>IF($A751="","",IF(BP751=1,F751,""))</f>
        <v>0</v>
      </c>
    </row>
    <row r="752" spans="1:72">
      <c r="A752" s="27">
        <f>IF(Data!$A752="","",Data!$A752)</f>
        <v>0</v>
      </c>
      <c r="B752">
        <f>IF(Data!$B752="","",Data!$B752)</f>
        <v>0</v>
      </c>
      <c r="C752">
        <f>IF(Data!$C752="","",Data!$C752)</f>
        <v>0</v>
      </c>
      <c r="D752">
        <f>IF(Data!$D752="","",Data!$D752)</f>
        <v>0</v>
      </c>
      <c r="E752">
        <f>IF(Data!$E752="","",Data!$E752)</f>
        <v>0</v>
      </c>
      <c r="F752">
        <f>IF($E752="","",N(F751)+1)</f>
        <v>0</v>
      </c>
      <c r="G752">
        <f>IF(OR($E752="",$E751=""),"",LN($E752/$E751))</f>
        <v>0</v>
      </c>
      <c r="H752">
        <f>IF($E752="","",IF($E751="",$E752,$E752*0.0952380952+H751*0.9047619048))</f>
        <v>0</v>
      </c>
      <c r="I752">
        <f>IF($E752="","",IF($E751="",$E752,$E752*0.0392156863+I751*0.9607843137))</f>
        <v>0</v>
      </c>
      <c r="J752">
        <f>IF($E752="","",IF($E751="",$E752,$E752*0.0198019802+J751*0.9801980198))</f>
        <v>0</v>
      </c>
      <c r="K752">
        <f>IF($E752="","",IF($E751="",$E752,$E752*0.0099502488+K751*0.9900497512))</f>
        <v>0</v>
      </c>
      <c r="L752">
        <f>IF(OR($E752="",$E751=""),"",MAX($E752-$E751,0))</f>
        <v>0</v>
      </c>
      <c r="M752">
        <f>IF(OR($E752="",$E751=""),"",MAX($E751-$E752,0))</f>
        <v>0</v>
      </c>
      <c r="N752">
        <f>IF(COUNT($E$2:$E752)&lt;15,"",IF(AVERAGE($M$739:$M$752)=0,100,100-100/(1+AVERAGE($L$739:$L$752)/AVERAGE($M$739:$M$752))))</f>
        <v>0</v>
      </c>
      <c r="O752">
        <f>IF($E752="","",IF($E751="",$E752,$E752*0.1538461538+O751*0.8461538462))</f>
        <v>0</v>
      </c>
      <c r="P752">
        <f>IF($E752="","",IF($E751="",$E752,$E752*0.0740740741+P751*0.9259259259))</f>
        <v>0</v>
      </c>
      <c r="Q752">
        <f>IF(OR(O752="",P752=""),"",O752-P752)</f>
        <v>0</v>
      </c>
      <c r="R752">
        <f>IF(Q752="","",IF(R751="",Q752,Q752*0.2000000000+R751*0.8000000000))</f>
        <v>0</v>
      </c>
      <c r="S752">
        <f>IF(OR(Q752="",R752=""),"",Q752-R752)</f>
        <v>0</v>
      </c>
      <c r="T752">
        <f>IF(COUNT($E$2:$E752)&lt;14,"",MAX($C$739:$C$752))</f>
        <v>0</v>
      </c>
      <c r="U752">
        <f>IF(COUNT($E$2:$E752)&lt;14,"",MIN($D$739:$D$752))</f>
        <v>0</v>
      </c>
      <c r="V752">
        <f>IF(OR(T752="",U752="",T752=U752),"",100*($E752-U752)/(T752-U752))</f>
        <v>0</v>
      </c>
      <c r="W752">
        <f>IF(COUNT($V$750:$V$752)&lt;3,"",AVERAGE($V$750:$V$752))</f>
        <v>0</v>
      </c>
      <c r="X752">
        <f>IF(COUNT($N$739:$N$752)&lt;14,"",MIN($N$739:$N$752))</f>
        <v>0</v>
      </c>
      <c r="Y752">
        <f>IF(COUNT($N$739:$N$752)&lt;14,"",MAX($N$739:$N$752))</f>
        <v>0</v>
      </c>
      <c r="Z752">
        <f>IF(OR(N752="",X752="",Y752="",Y752=X752),"",100*(N752-X752)/(Y752-X752))</f>
        <v>0</v>
      </c>
      <c r="AA752">
        <f>IF(COUNT($Z$750:$Z$752)&lt;3,"",AVERAGE($Z$750:$Z$752))</f>
        <v>0</v>
      </c>
      <c r="AB752">
        <f>IF(COUNT($AA$750:$AA$752)&lt;3,"",AVERAGE($AA$750:$AA$752))</f>
        <v>0</v>
      </c>
      <c r="AC752">
        <f>IF($E752="","",MAX($C752-$D752,ABS($C752-$E751),ABS($D752-$E751)))</f>
        <v>0</v>
      </c>
      <c r="AD752">
        <f>IF(COUNT($E$2:$E752)&lt;15,"",AVERAGE($AC$739:$AC$752))</f>
        <v>0</v>
      </c>
      <c r="AE752">
        <f>IF(OR($E752="",$E751=""),"",IF(AND(($C752-$C751)&gt;($D751-$D752),($C752-$C751)&gt;0),$C752-$C751,0))</f>
        <v>0</v>
      </c>
      <c r="AF752">
        <f>IF(OR($E752="",$E751=""),"",IF(AND(($D751-$D752)&gt;($C752-$C751),($D751-$D752)&gt;0),$D751-$D752,0))</f>
        <v>0</v>
      </c>
      <c r="AG752">
        <f>IF(COUNT($E$2:$E752)&lt;15,"",IF(SUM($AC$739:$AC$752)=0,0,100*SUM($AE$739:$AE$752)/SUM($AC$739:$AC$752)))</f>
        <v>0</v>
      </c>
      <c r="AH752">
        <f>IF(COUNT($E$2:$E752)&lt;15,"",IF(SUM($AC$739:$AC$752)=0,0,100*SUM($AF$739:$AF$752)/SUM($AC$739:$AC$752)))</f>
        <v>0</v>
      </c>
      <c r="AI752">
        <f>IF(OR(AG752="",AH752=""),"",IF((AG752+AH752)=0,0,100*ABS(AG752-AH752)/(AG752+AH752)))</f>
        <v>0</v>
      </c>
      <c r="AJ752">
        <f>IF(COUNT($AI$739:$AI$752)&lt;14,"",AVERAGE($AI$739:$AI$752))</f>
        <v>0</v>
      </c>
      <c r="AK752">
        <f>IF(COUNT($E$2:$E752)&lt;20,"",AVERAGE($E$733:$E$752))</f>
        <v>0</v>
      </c>
      <c r="AL752">
        <f>IF(COUNT($E$2:$E752)&lt;20,"",STDEVP($E$733:$E$752))</f>
        <v>0</v>
      </c>
      <c r="AM752">
        <f>IF(AK752="","",AK752+2*AL752)</f>
        <v>0</v>
      </c>
      <c r="AN752">
        <f>IF(AK752="","",AK752-2*AL752)</f>
        <v>0</v>
      </c>
      <c r="AO752">
        <f>IF(OR(AM752="",AN752="",AM752=AN752),"",($E752-AN752)/(AM752-AN752))</f>
        <v>0</v>
      </c>
      <c r="AP752">
        <f>IF(OR(AM752="",AK752="",AK752=0),"",(AM752-AN752)/AK752)</f>
        <v>0</v>
      </c>
      <c r="AQ752">
        <f>IF(COUNT($E$2:$E752)&lt;20,"",MAX($C$733:$C$752))</f>
        <v>0</v>
      </c>
      <c r="AR752">
        <f>IF(COUNT($E$2:$E752)&lt;20,"",MIN($D$733:$D$752))</f>
        <v>0</v>
      </c>
      <c r="AS752">
        <f>IF(OR(AQ752="",AR752=""),"",(AQ752+AR752)/2)</f>
        <v>0</v>
      </c>
      <c r="AT752">
        <f>IF(COUNT($G$733:$G$752)&lt;20,"",STDEV($G$733:$G$752)*SQRT(252))</f>
        <v>0</v>
      </c>
      <c r="AU752">
        <f>IF(COUNT($E$2:$E752)&lt;9,"",(MAX($C$744:$C$752)+MIN($D$744:$D$752))/2)</f>
        <v>0</v>
      </c>
      <c r="AV752">
        <f>IF(COUNT($E$2:$E752)&lt;26,"",(MAX($C$727:$C$752)+MIN($D$727:$D$752))/2)</f>
        <v>0</v>
      </c>
      <c r="AW752">
        <f>IF(OR(AU752="",AV752=""),"",(AU752+AV752)/2)</f>
        <v>0</v>
      </c>
      <c r="AX752">
        <f>IF(COUNT($E$2:$E752)&lt;52,"",(MAX($C$701:$C$752)+MIN($D$701:$D$752))/2)</f>
        <v>0</v>
      </c>
      <c r="AY752">
        <f>IF(COUNT($E$2:$E752)&lt;20,"",MAX($C$653:$C$752))</f>
        <v>0</v>
      </c>
      <c r="AZ752">
        <f>IF(COUNT($E$2:$E752)&lt;20,"",MIN($D$653:$D$752))</f>
        <v>0</v>
      </c>
      <c r="BA752">
        <f>IF(COUNT($E$2:$E752)&lt;20,"",SLOPE($E$653:$E$752,$F$653:$F$752))</f>
        <v>0</v>
      </c>
      <c r="BB752">
        <f>IF(COUNT($E$2:$E752)&lt;20,"",INTERCEPT($E$653:$E$752,$F$653:$F$752))</f>
        <v>0</v>
      </c>
      <c r="BC752">
        <f>IF(OR(BA752="",BB752=""),"",BB752+BA752*F752)</f>
        <v>0</v>
      </c>
      <c r="BD752">
        <f>IF(COUNT($E$2:$E752)&lt;20,"",STEYX($E$653:$E$752,$F$653:$F$752))</f>
        <v>0</v>
      </c>
      <c r="BE752">
        <f>IF($E752="","",IF(AND(COUNT($E$753:$E$756)&gt;=4,$C752=MAX($C$748:$C$756)),$C752,""))</f>
        <v>0</v>
      </c>
      <c r="BF752">
        <f>IF($E752="","",IF(AND(COUNT($E$753:$E$756)&gt;=4,$D752=MIN($D$748:$D$756)),$D752,""))</f>
        <v>0</v>
      </c>
      <c r="BG752">
        <f>IF($A752="","",$A752-WEEKDAY($A752,2)+1)</f>
        <v>0</v>
      </c>
      <c r="BH752">
        <f>IF($A752="","",IF($A751="",1,IF(BG752&lt;&gt;BG751,1,0)))</f>
        <v>0</v>
      </c>
      <c r="BI752">
        <f>IF($A752="","",IF($A753="",1,IF(BG753&lt;&gt;BG752,1,0)))</f>
        <v>0</v>
      </c>
      <c r="BJ752">
        <f>IF($A752="","",IF(BH752=1,$B752,BJ751))</f>
        <v>0</v>
      </c>
      <c r="BK752">
        <f>IF($A752="","",IF(BH752=1,$C752,MAX($C752,BK751)))</f>
        <v>0</v>
      </c>
      <c r="BL752">
        <f>IF($A752="","",IF(BH752=1,$D752,MIN($D752,BL751)))</f>
        <v>0</v>
      </c>
      <c r="BM752">
        <f>IF($A752="","",IF(BI752=1,F752,""))</f>
        <v>0</v>
      </c>
      <c r="BN752">
        <f>IF($A752="","",DATE(YEAR($A752),MONTH($A752),1))</f>
        <v>0</v>
      </c>
      <c r="BO752">
        <f>IF($A752="","",IF($A751="",1,IF(BN752&lt;&gt;BN751,1,0)))</f>
        <v>0</v>
      </c>
      <c r="BP752">
        <f>IF($A752="","",IF($A753="",1,IF(BN753&lt;&gt;BN752,1,0)))</f>
        <v>0</v>
      </c>
      <c r="BQ752">
        <f>IF($A752="","",IF(BO752=1,$B752,BQ751))</f>
        <v>0</v>
      </c>
      <c r="BR752">
        <f>IF($A752="","",IF(BO752=1,$C752,MAX($C752,BR751)))</f>
        <v>0</v>
      </c>
      <c r="BS752">
        <f>IF($A752="","",IF(BO752=1,$D752,MIN($D752,BS751)))</f>
        <v>0</v>
      </c>
      <c r="BT752">
        <f>IF($A752="","",IF(BP752=1,F752,""))</f>
        <v>0</v>
      </c>
    </row>
    <row r="753" spans="1:72">
      <c r="A753" s="27">
        <f>IF(Data!$A753="","",Data!$A753)</f>
        <v>0</v>
      </c>
      <c r="B753">
        <f>IF(Data!$B753="","",Data!$B753)</f>
        <v>0</v>
      </c>
      <c r="C753">
        <f>IF(Data!$C753="","",Data!$C753)</f>
        <v>0</v>
      </c>
      <c r="D753">
        <f>IF(Data!$D753="","",Data!$D753)</f>
        <v>0</v>
      </c>
      <c r="E753">
        <f>IF(Data!$E753="","",Data!$E753)</f>
        <v>0</v>
      </c>
      <c r="F753">
        <f>IF($E753="","",N(F752)+1)</f>
        <v>0</v>
      </c>
      <c r="G753">
        <f>IF(OR($E753="",$E752=""),"",LN($E753/$E752))</f>
        <v>0</v>
      </c>
      <c r="H753">
        <f>IF($E753="","",IF($E752="",$E753,$E753*0.0952380952+H752*0.9047619048))</f>
        <v>0</v>
      </c>
      <c r="I753">
        <f>IF($E753="","",IF($E752="",$E753,$E753*0.0392156863+I752*0.9607843137))</f>
        <v>0</v>
      </c>
      <c r="J753">
        <f>IF($E753="","",IF($E752="",$E753,$E753*0.0198019802+J752*0.9801980198))</f>
        <v>0</v>
      </c>
      <c r="K753">
        <f>IF($E753="","",IF($E752="",$E753,$E753*0.0099502488+K752*0.9900497512))</f>
        <v>0</v>
      </c>
      <c r="L753">
        <f>IF(OR($E753="",$E752=""),"",MAX($E753-$E752,0))</f>
        <v>0</v>
      </c>
      <c r="M753">
        <f>IF(OR($E753="",$E752=""),"",MAX($E752-$E753,0))</f>
        <v>0</v>
      </c>
      <c r="N753">
        <f>IF(COUNT($E$2:$E753)&lt;15,"",IF(AVERAGE($M$740:$M$753)=0,100,100-100/(1+AVERAGE($L$740:$L$753)/AVERAGE($M$740:$M$753))))</f>
        <v>0</v>
      </c>
      <c r="O753">
        <f>IF($E753="","",IF($E752="",$E753,$E753*0.1538461538+O752*0.8461538462))</f>
        <v>0</v>
      </c>
      <c r="P753">
        <f>IF($E753="","",IF($E752="",$E753,$E753*0.0740740741+P752*0.9259259259))</f>
        <v>0</v>
      </c>
      <c r="Q753">
        <f>IF(OR(O753="",P753=""),"",O753-P753)</f>
        <v>0</v>
      </c>
      <c r="R753">
        <f>IF(Q753="","",IF(R752="",Q753,Q753*0.2000000000+R752*0.8000000000))</f>
        <v>0</v>
      </c>
      <c r="S753">
        <f>IF(OR(Q753="",R753=""),"",Q753-R753)</f>
        <v>0</v>
      </c>
      <c r="T753">
        <f>IF(COUNT($E$2:$E753)&lt;14,"",MAX($C$740:$C$753))</f>
        <v>0</v>
      </c>
      <c r="U753">
        <f>IF(COUNT($E$2:$E753)&lt;14,"",MIN($D$740:$D$753))</f>
        <v>0</v>
      </c>
      <c r="V753">
        <f>IF(OR(T753="",U753="",T753=U753),"",100*($E753-U753)/(T753-U753))</f>
        <v>0</v>
      </c>
      <c r="W753">
        <f>IF(COUNT($V$751:$V$753)&lt;3,"",AVERAGE($V$751:$V$753))</f>
        <v>0</v>
      </c>
      <c r="X753">
        <f>IF(COUNT($N$740:$N$753)&lt;14,"",MIN($N$740:$N$753))</f>
        <v>0</v>
      </c>
      <c r="Y753">
        <f>IF(COUNT($N$740:$N$753)&lt;14,"",MAX($N$740:$N$753))</f>
        <v>0</v>
      </c>
      <c r="Z753">
        <f>IF(OR(N753="",X753="",Y753="",Y753=X753),"",100*(N753-X753)/(Y753-X753))</f>
        <v>0</v>
      </c>
      <c r="AA753">
        <f>IF(COUNT($Z$751:$Z$753)&lt;3,"",AVERAGE($Z$751:$Z$753))</f>
        <v>0</v>
      </c>
      <c r="AB753">
        <f>IF(COUNT($AA$751:$AA$753)&lt;3,"",AVERAGE($AA$751:$AA$753))</f>
        <v>0</v>
      </c>
      <c r="AC753">
        <f>IF($E753="","",MAX($C753-$D753,ABS($C753-$E752),ABS($D753-$E752)))</f>
        <v>0</v>
      </c>
      <c r="AD753">
        <f>IF(COUNT($E$2:$E753)&lt;15,"",AVERAGE($AC$740:$AC$753))</f>
        <v>0</v>
      </c>
      <c r="AE753">
        <f>IF(OR($E753="",$E752=""),"",IF(AND(($C753-$C752)&gt;($D752-$D753),($C753-$C752)&gt;0),$C753-$C752,0))</f>
        <v>0</v>
      </c>
      <c r="AF753">
        <f>IF(OR($E753="",$E752=""),"",IF(AND(($D752-$D753)&gt;($C753-$C752),($D752-$D753)&gt;0),$D752-$D753,0))</f>
        <v>0</v>
      </c>
      <c r="AG753">
        <f>IF(COUNT($E$2:$E753)&lt;15,"",IF(SUM($AC$740:$AC$753)=0,0,100*SUM($AE$740:$AE$753)/SUM($AC$740:$AC$753)))</f>
        <v>0</v>
      </c>
      <c r="AH753">
        <f>IF(COUNT($E$2:$E753)&lt;15,"",IF(SUM($AC$740:$AC$753)=0,0,100*SUM($AF$740:$AF$753)/SUM($AC$740:$AC$753)))</f>
        <v>0</v>
      </c>
      <c r="AI753">
        <f>IF(OR(AG753="",AH753=""),"",IF((AG753+AH753)=0,0,100*ABS(AG753-AH753)/(AG753+AH753)))</f>
        <v>0</v>
      </c>
      <c r="AJ753">
        <f>IF(COUNT($AI$740:$AI$753)&lt;14,"",AVERAGE($AI$740:$AI$753))</f>
        <v>0</v>
      </c>
      <c r="AK753">
        <f>IF(COUNT($E$2:$E753)&lt;20,"",AVERAGE($E$734:$E$753))</f>
        <v>0</v>
      </c>
      <c r="AL753">
        <f>IF(COUNT($E$2:$E753)&lt;20,"",STDEVP($E$734:$E$753))</f>
        <v>0</v>
      </c>
      <c r="AM753">
        <f>IF(AK753="","",AK753+2*AL753)</f>
        <v>0</v>
      </c>
      <c r="AN753">
        <f>IF(AK753="","",AK753-2*AL753)</f>
        <v>0</v>
      </c>
      <c r="AO753">
        <f>IF(OR(AM753="",AN753="",AM753=AN753),"",($E753-AN753)/(AM753-AN753))</f>
        <v>0</v>
      </c>
      <c r="AP753">
        <f>IF(OR(AM753="",AK753="",AK753=0),"",(AM753-AN753)/AK753)</f>
        <v>0</v>
      </c>
      <c r="AQ753">
        <f>IF(COUNT($E$2:$E753)&lt;20,"",MAX($C$734:$C$753))</f>
        <v>0</v>
      </c>
      <c r="AR753">
        <f>IF(COUNT($E$2:$E753)&lt;20,"",MIN($D$734:$D$753))</f>
        <v>0</v>
      </c>
      <c r="AS753">
        <f>IF(OR(AQ753="",AR753=""),"",(AQ753+AR753)/2)</f>
        <v>0</v>
      </c>
      <c r="AT753">
        <f>IF(COUNT($G$734:$G$753)&lt;20,"",STDEV($G$734:$G$753)*SQRT(252))</f>
        <v>0</v>
      </c>
      <c r="AU753">
        <f>IF(COUNT($E$2:$E753)&lt;9,"",(MAX($C$745:$C$753)+MIN($D$745:$D$753))/2)</f>
        <v>0</v>
      </c>
      <c r="AV753">
        <f>IF(COUNT($E$2:$E753)&lt;26,"",(MAX($C$728:$C$753)+MIN($D$728:$D$753))/2)</f>
        <v>0</v>
      </c>
      <c r="AW753">
        <f>IF(OR(AU753="",AV753=""),"",(AU753+AV753)/2)</f>
        <v>0</v>
      </c>
      <c r="AX753">
        <f>IF(COUNT($E$2:$E753)&lt;52,"",(MAX($C$702:$C$753)+MIN($D$702:$D$753))/2)</f>
        <v>0</v>
      </c>
      <c r="AY753">
        <f>IF(COUNT($E$2:$E753)&lt;20,"",MAX($C$654:$C$753))</f>
        <v>0</v>
      </c>
      <c r="AZ753">
        <f>IF(COUNT($E$2:$E753)&lt;20,"",MIN($D$654:$D$753))</f>
        <v>0</v>
      </c>
      <c r="BA753">
        <f>IF(COUNT($E$2:$E753)&lt;20,"",SLOPE($E$654:$E$753,$F$654:$F$753))</f>
        <v>0</v>
      </c>
      <c r="BB753">
        <f>IF(COUNT($E$2:$E753)&lt;20,"",INTERCEPT($E$654:$E$753,$F$654:$F$753))</f>
        <v>0</v>
      </c>
      <c r="BC753">
        <f>IF(OR(BA753="",BB753=""),"",BB753+BA753*F753)</f>
        <v>0</v>
      </c>
      <c r="BD753">
        <f>IF(COUNT($E$2:$E753)&lt;20,"",STEYX($E$654:$E$753,$F$654:$F$753))</f>
        <v>0</v>
      </c>
      <c r="BE753">
        <f>IF($E753="","",IF(AND(COUNT($E$754:$E$757)&gt;=4,$C753=MAX($C$749:$C$757)),$C753,""))</f>
        <v>0</v>
      </c>
      <c r="BF753">
        <f>IF($E753="","",IF(AND(COUNT($E$754:$E$757)&gt;=4,$D753=MIN($D$749:$D$757)),$D753,""))</f>
        <v>0</v>
      </c>
      <c r="BG753">
        <f>IF($A753="","",$A753-WEEKDAY($A753,2)+1)</f>
        <v>0</v>
      </c>
      <c r="BH753">
        <f>IF($A753="","",IF($A752="",1,IF(BG753&lt;&gt;BG752,1,0)))</f>
        <v>0</v>
      </c>
      <c r="BI753">
        <f>IF($A753="","",IF($A754="",1,IF(BG754&lt;&gt;BG753,1,0)))</f>
        <v>0</v>
      </c>
      <c r="BJ753">
        <f>IF($A753="","",IF(BH753=1,$B753,BJ752))</f>
        <v>0</v>
      </c>
      <c r="BK753">
        <f>IF($A753="","",IF(BH753=1,$C753,MAX($C753,BK752)))</f>
        <v>0</v>
      </c>
      <c r="BL753">
        <f>IF($A753="","",IF(BH753=1,$D753,MIN($D753,BL752)))</f>
        <v>0</v>
      </c>
      <c r="BM753">
        <f>IF($A753="","",IF(BI753=1,F753,""))</f>
        <v>0</v>
      </c>
      <c r="BN753">
        <f>IF($A753="","",DATE(YEAR($A753),MONTH($A753),1))</f>
        <v>0</v>
      </c>
      <c r="BO753">
        <f>IF($A753="","",IF($A752="",1,IF(BN753&lt;&gt;BN752,1,0)))</f>
        <v>0</v>
      </c>
      <c r="BP753">
        <f>IF($A753="","",IF($A754="",1,IF(BN754&lt;&gt;BN753,1,0)))</f>
        <v>0</v>
      </c>
      <c r="BQ753">
        <f>IF($A753="","",IF(BO753=1,$B753,BQ752))</f>
        <v>0</v>
      </c>
      <c r="BR753">
        <f>IF($A753="","",IF(BO753=1,$C753,MAX($C753,BR752)))</f>
        <v>0</v>
      </c>
      <c r="BS753">
        <f>IF($A753="","",IF(BO753=1,$D753,MIN($D753,BS752)))</f>
        <v>0</v>
      </c>
      <c r="BT753">
        <f>IF($A753="","",IF(BP753=1,F753,""))</f>
        <v>0</v>
      </c>
    </row>
    <row r="754" spans="1:72">
      <c r="A754" s="27">
        <f>IF(Data!$A754="","",Data!$A754)</f>
        <v>0</v>
      </c>
      <c r="B754">
        <f>IF(Data!$B754="","",Data!$B754)</f>
        <v>0</v>
      </c>
      <c r="C754">
        <f>IF(Data!$C754="","",Data!$C754)</f>
        <v>0</v>
      </c>
      <c r="D754">
        <f>IF(Data!$D754="","",Data!$D754)</f>
        <v>0</v>
      </c>
      <c r="E754">
        <f>IF(Data!$E754="","",Data!$E754)</f>
        <v>0</v>
      </c>
      <c r="F754">
        <f>IF($E754="","",N(F753)+1)</f>
        <v>0</v>
      </c>
      <c r="G754">
        <f>IF(OR($E754="",$E753=""),"",LN($E754/$E753))</f>
        <v>0</v>
      </c>
      <c r="H754">
        <f>IF($E754="","",IF($E753="",$E754,$E754*0.0952380952+H753*0.9047619048))</f>
        <v>0</v>
      </c>
      <c r="I754">
        <f>IF($E754="","",IF($E753="",$E754,$E754*0.0392156863+I753*0.9607843137))</f>
        <v>0</v>
      </c>
      <c r="J754">
        <f>IF($E754="","",IF($E753="",$E754,$E754*0.0198019802+J753*0.9801980198))</f>
        <v>0</v>
      </c>
      <c r="K754">
        <f>IF($E754="","",IF($E753="",$E754,$E754*0.0099502488+K753*0.9900497512))</f>
        <v>0</v>
      </c>
      <c r="L754">
        <f>IF(OR($E754="",$E753=""),"",MAX($E754-$E753,0))</f>
        <v>0</v>
      </c>
      <c r="M754">
        <f>IF(OR($E754="",$E753=""),"",MAX($E753-$E754,0))</f>
        <v>0</v>
      </c>
      <c r="N754">
        <f>IF(COUNT($E$2:$E754)&lt;15,"",IF(AVERAGE($M$741:$M$754)=0,100,100-100/(1+AVERAGE($L$741:$L$754)/AVERAGE($M$741:$M$754))))</f>
        <v>0</v>
      </c>
      <c r="O754">
        <f>IF($E754="","",IF($E753="",$E754,$E754*0.1538461538+O753*0.8461538462))</f>
        <v>0</v>
      </c>
      <c r="P754">
        <f>IF($E754="","",IF($E753="",$E754,$E754*0.0740740741+P753*0.9259259259))</f>
        <v>0</v>
      </c>
      <c r="Q754">
        <f>IF(OR(O754="",P754=""),"",O754-P754)</f>
        <v>0</v>
      </c>
      <c r="R754">
        <f>IF(Q754="","",IF(R753="",Q754,Q754*0.2000000000+R753*0.8000000000))</f>
        <v>0</v>
      </c>
      <c r="S754">
        <f>IF(OR(Q754="",R754=""),"",Q754-R754)</f>
        <v>0</v>
      </c>
      <c r="T754">
        <f>IF(COUNT($E$2:$E754)&lt;14,"",MAX($C$741:$C$754))</f>
        <v>0</v>
      </c>
      <c r="U754">
        <f>IF(COUNT($E$2:$E754)&lt;14,"",MIN($D$741:$D$754))</f>
        <v>0</v>
      </c>
      <c r="V754">
        <f>IF(OR(T754="",U754="",T754=U754),"",100*($E754-U754)/(T754-U754))</f>
        <v>0</v>
      </c>
      <c r="W754">
        <f>IF(COUNT($V$752:$V$754)&lt;3,"",AVERAGE($V$752:$V$754))</f>
        <v>0</v>
      </c>
      <c r="X754">
        <f>IF(COUNT($N$741:$N$754)&lt;14,"",MIN($N$741:$N$754))</f>
        <v>0</v>
      </c>
      <c r="Y754">
        <f>IF(COUNT($N$741:$N$754)&lt;14,"",MAX($N$741:$N$754))</f>
        <v>0</v>
      </c>
      <c r="Z754">
        <f>IF(OR(N754="",X754="",Y754="",Y754=X754),"",100*(N754-X754)/(Y754-X754))</f>
        <v>0</v>
      </c>
      <c r="AA754">
        <f>IF(COUNT($Z$752:$Z$754)&lt;3,"",AVERAGE($Z$752:$Z$754))</f>
        <v>0</v>
      </c>
      <c r="AB754">
        <f>IF(COUNT($AA$752:$AA$754)&lt;3,"",AVERAGE($AA$752:$AA$754))</f>
        <v>0</v>
      </c>
      <c r="AC754">
        <f>IF($E754="","",MAX($C754-$D754,ABS($C754-$E753),ABS($D754-$E753)))</f>
        <v>0</v>
      </c>
      <c r="AD754">
        <f>IF(COUNT($E$2:$E754)&lt;15,"",AVERAGE($AC$741:$AC$754))</f>
        <v>0</v>
      </c>
      <c r="AE754">
        <f>IF(OR($E754="",$E753=""),"",IF(AND(($C754-$C753)&gt;($D753-$D754),($C754-$C753)&gt;0),$C754-$C753,0))</f>
        <v>0</v>
      </c>
      <c r="AF754">
        <f>IF(OR($E754="",$E753=""),"",IF(AND(($D753-$D754)&gt;($C754-$C753),($D753-$D754)&gt;0),$D753-$D754,0))</f>
        <v>0</v>
      </c>
      <c r="AG754">
        <f>IF(COUNT($E$2:$E754)&lt;15,"",IF(SUM($AC$741:$AC$754)=0,0,100*SUM($AE$741:$AE$754)/SUM($AC$741:$AC$754)))</f>
        <v>0</v>
      </c>
      <c r="AH754">
        <f>IF(COUNT($E$2:$E754)&lt;15,"",IF(SUM($AC$741:$AC$754)=0,0,100*SUM($AF$741:$AF$754)/SUM($AC$741:$AC$754)))</f>
        <v>0</v>
      </c>
      <c r="AI754">
        <f>IF(OR(AG754="",AH754=""),"",IF((AG754+AH754)=0,0,100*ABS(AG754-AH754)/(AG754+AH754)))</f>
        <v>0</v>
      </c>
      <c r="AJ754">
        <f>IF(COUNT($AI$741:$AI$754)&lt;14,"",AVERAGE($AI$741:$AI$754))</f>
        <v>0</v>
      </c>
      <c r="AK754">
        <f>IF(COUNT($E$2:$E754)&lt;20,"",AVERAGE($E$735:$E$754))</f>
        <v>0</v>
      </c>
      <c r="AL754">
        <f>IF(COUNT($E$2:$E754)&lt;20,"",STDEVP($E$735:$E$754))</f>
        <v>0</v>
      </c>
      <c r="AM754">
        <f>IF(AK754="","",AK754+2*AL754)</f>
        <v>0</v>
      </c>
      <c r="AN754">
        <f>IF(AK754="","",AK754-2*AL754)</f>
        <v>0</v>
      </c>
      <c r="AO754">
        <f>IF(OR(AM754="",AN754="",AM754=AN754),"",($E754-AN754)/(AM754-AN754))</f>
        <v>0</v>
      </c>
      <c r="AP754">
        <f>IF(OR(AM754="",AK754="",AK754=0),"",(AM754-AN754)/AK754)</f>
        <v>0</v>
      </c>
      <c r="AQ754">
        <f>IF(COUNT($E$2:$E754)&lt;20,"",MAX($C$735:$C$754))</f>
        <v>0</v>
      </c>
      <c r="AR754">
        <f>IF(COUNT($E$2:$E754)&lt;20,"",MIN($D$735:$D$754))</f>
        <v>0</v>
      </c>
      <c r="AS754">
        <f>IF(OR(AQ754="",AR754=""),"",(AQ754+AR754)/2)</f>
        <v>0</v>
      </c>
      <c r="AT754">
        <f>IF(COUNT($G$735:$G$754)&lt;20,"",STDEV($G$735:$G$754)*SQRT(252))</f>
        <v>0</v>
      </c>
      <c r="AU754">
        <f>IF(COUNT($E$2:$E754)&lt;9,"",(MAX($C$746:$C$754)+MIN($D$746:$D$754))/2)</f>
        <v>0</v>
      </c>
      <c r="AV754">
        <f>IF(COUNT($E$2:$E754)&lt;26,"",(MAX($C$729:$C$754)+MIN($D$729:$D$754))/2)</f>
        <v>0</v>
      </c>
      <c r="AW754">
        <f>IF(OR(AU754="",AV754=""),"",(AU754+AV754)/2)</f>
        <v>0</v>
      </c>
      <c r="AX754">
        <f>IF(COUNT($E$2:$E754)&lt;52,"",(MAX($C$703:$C$754)+MIN($D$703:$D$754))/2)</f>
        <v>0</v>
      </c>
      <c r="AY754">
        <f>IF(COUNT($E$2:$E754)&lt;20,"",MAX($C$655:$C$754))</f>
        <v>0</v>
      </c>
      <c r="AZ754">
        <f>IF(COUNT($E$2:$E754)&lt;20,"",MIN($D$655:$D$754))</f>
        <v>0</v>
      </c>
      <c r="BA754">
        <f>IF(COUNT($E$2:$E754)&lt;20,"",SLOPE($E$655:$E$754,$F$655:$F$754))</f>
        <v>0</v>
      </c>
      <c r="BB754">
        <f>IF(COUNT($E$2:$E754)&lt;20,"",INTERCEPT($E$655:$E$754,$F$655:$F$754))</f>
        <v>0</v>
      </c>
      <c r="BC754">
        <f>IF(OR(BA754="",BB754=""),"",BB754+BA754*F754)</f>
        <v>0</v>
      </c>
      <c r="BD754">
        <f>IF(COUNT($E$2:$E754)&lt;20,"",STEYX($E$655:$E$754,$F$655:$F$754))</f>
        <v>0</v>
      </c>
      <c r="BE754">
        <f>IF($E754="","",IF(AND(COUNT($E$755:$E$758)&gt;=4,$C754=MAX($C$750:$C$758)),$C754,""))</f>
        <v>0</v>
      </c>
      <c r="BF754">
        <f>IF($E754="","",IF(AND(COUNT($E$755:$E$758)&gt;=4,$D754=MIN($D$750:$D$758)),$D754,""))</f>
        <v>0</v>
      </c>
      <c r="BG754">
        <f>IF($A754="","",$A754-WEEKDAY($A754,2)+1)</f>
        <v>0</v>
      </c>
      <c r="BH754">
        <f>IF($A754="","",IF($A753="",1,IF(BG754&lt;&gt;BG753,1,0)))</f>
        <v>0</v>
      </c>
      <c r="BI754">
        <f>IF($A754="","",IF($A755="",1,IF(BG755&lt;&gt;BG754,1,0)))</f>
        <v>0</v>
      </c>
      <c r="BJ754">
        <f>IF($A754="","",IF(BH754=1,$B754,BJ753))</f>
        <v>0</v>
      </c>
      <c r="BK754">
        <f>IF($A754="","",IF(BH754=1,$C754,MAX($C754,BK753)))</f>
        <v>0</v>
      </c>
      <c r="BL754">
        <f>IF($A754="","",IF(BH754=1,$D754,MIN($D754,BL753)))</f>
        <v>0</v>
      </c>
      <c r="BM754">
        <f>IF($A754="","",IF(BI754=1,F754,""))</f>
        <v>0</v>
      </c>
      <c r="BN754">
        <f>IF($A754="","",DATE(YEAR($A754),MONTH($A754),1))</f>
        <v>0</v>
      </c>
      <c r="BO754">
        <f>IF($A754="","",IF($A753="",1,IF(BN754&lt;&gt;BN753,1,0)))</f>
        <v>0</v>
      </c>
      <c r="BP754">
        <f>IF($A754="","",IF($A755="",1,IF(BN755&lt;&gt;BN754,1,0)))</f>
        <v>0</v>
      </c>
      <c r="BQ754">
        <f>IF($A754="","",IF(BO754=1,$B754,BQ753))</f>
        <v>0</v>
      </c>
      <c r="BR754">
        <f>IF($A754="","",IF(BO754=1,$C754,MAX($C754,BR753)))</f>
        <v>0</v>
      </c>
      <c r="BS754">
        <f>IF($A754="","",IF(BO754=1,$D754,MIN($D754,BS753)))</f>
        <v>0</v>
      </c>
      <c r="BT754">
        <f>IF($A754="","",IF(BP754=1,F754,""))</f>
        <v>0</v>
      </c>
    </row>
    <row r="755" spans="1:72">
      <c r="A755" s="27">
        <f>IF(Data!$A755="","",Data!$A755)</f>
        <v>0</v>
      </c>
      <c r="B755">
        <f>IF(Data!$B755="","",Data!$B755)</f>
        <v>0</v>
      </c>
      <c r="C755">
        <f>IF(Data!$C755="","",Data!$C755)</f>
        <v>0</v>
      </c>
      <c r="D755">
        <f>IF(Data!$D755="","",Data!$D755)</f>
        <v>0</v>
      </c>
      <c r="E755">
        <f>IF(Data!$E755="","",Data!$E755)</f>
        <v>0</v>
      </c>
      <c r="F755">
        <f>IF($E755="","",N(F754)+1)</f>
        <v>0</v>
      </c>
      <c r="G755">
        <f>IF(OR($E755="",$E754=""),"",LN($E755/$E754))</f>
        <v>0</v>
      </c>
      <c r="H755">
        <f>IF($E755="","",IF($E754="",$E755,$E755*0.0952380952+H754*0.9047619048))</f>
        <v>0</v>
      </c>
      <c r="I755">
        <f>IF($E755="","",IF($E754="",$E755,$E755*0.0392156863+I754*0.9607843137))</f>
        <v>0</v>
      </c>
      <c r="J755">
        <f>IF($E755="","",IF($E754="",$E755,$E755*0.0198019802+J754*0.9801980198))</f>
        <v>0</v>
      </c>
      <c r="K755">
        <f>IF($E755="","",IF($E754="",$E755,$E755*0.0099502488+K754*0.9900497512))</f>
        <v>0</v>
      </c>
      <c r="L755">
        <f>IF(OR($E755="",$E754=""),"",MAX($E755-$E754,0))</f>
        <v>0</v>
      </c>
      <c r="M755">
        <f>IF(OR($E755="",$E754=""),"",MAX($E754-$E755,0))</f>
        <v>0</v>
      </c>
      <c r="N755">
        <f>IF(COUNT($E$2:$E755)&lt;15,"",IF(AVERAGE($M$742:$M$755)=0,100,100-100/(1+AVERAGE($L$742:$L$755)/AVERAGE($M$742:$M$755))))</f>
        <v>0</v>
      </c>
      <c r="O755">
        <f>IF($E755="","",IF($E754="",$E755,$E755*0.1538461538+O754*0.8461538462))</f>
        <v>0</v>
      </c>
      <c r="P755">
        <f>IF($E755="","",IF($E754="",$E755,$E755*0.0740740741+P754*0.9259259259))</f>
        <v>0</v>
      </c>
      <c r="Q755">
        <f>IF(OR(O755="",P755=""),"",O755-P755)</f>
        <v>0</v>
      </c>
      <c r="R755">
        <f>IF(Q755="","",IF(R754="",Q755,Q755*0.2000000000+R754*0.8000000000))</f>
        <v>0</v>
      </c>
      <c r="S755">
        <f>IF(OR(Q755="",R755=""),"",Q755-R755)</f>
        <v>0</v>
      </c>
      <c r="T755">
        <f>IF(COUNT($E$2:$E755)&lt;14,"",MAX($C$742:$C$755))</f>
        <v>0</v>
      </c>
      <c r="U755">
        <f>IF(COUNT($E$2:$E755)&lt;14,"",MIN($D$742:$D$755))</f>
        <v>0</v>
      </c>
      <c r="V755">
        <f>IF(OR(T755="",U755="",T755=U755),"",100*($E755-U755)/(T755-U755))</f>
        <v>0</v>
      </c>
      <c r="W755">
        <f>IF(COUNT($V$753:$V$755)&lt;3,"",AVERAGE($V$753:$V$755))</f>
        <v>0</v>
      </c>
      <c r="X755">
        <f>IF(COUNT($N$742:$N$755)&lt;14,"",MIN($N$742:$N$755))</f>
        <v>0</v>
      </c>
      <c r="Y755">
        <f>IF(COUNT($N$742:$N$755)&lt;14,"",MAX($N$742:$N$755))</f>
        <v>0</v>
      </c>
      <c r="Z755">
        <f>IF(OR(N755="",X755="",Y755="",Y755=X755),"",100*(N755-X755)/(Y755-X755))</f>
        <v>0</v>
      </c>
      <c r="AA755">
        <f>IF(COUNT($Z$753:$Z$755)&lt;3,"",AVERAGE($Z$753:$Z$755))</f>
        <v>0</v>
      </c>
      <c r="AB755">
        <f>IF(COUNT($AA$753:$AA$755)&lt;3,"",AVERAGE($AA$753:$AA$755))</f>
        <v>0</v>
      </c>
      <c r="AC755">
        <f>IF($E755="","",MAX($C755-$D755,ABS($C755-$E754),ABS($D755-$E754)))</f>
        <v>0</v>
      </c>
      <c r="AD755">
        <f>IF(COUNT($E$2:$E755)&lt;15,"",AVERAGE($AC$742:$AC$755))</f>
        <v>0</v>
      </c>
      <c r="AE755">
        <f>IF(OR($E755="",$E754=""),"",IF(AND(($C755-$C754)&gt;($D754-$D755),($C755-$C754)&gt;0),$C755-$C754,0))</f>
        <v>0</v>
      </c>
      <c r="AF755">
        <f>IF(OR($E755="",$E754=""),"",IF(AND(($D754-$D755)&gt;($C755-$C754),($D754-$D755)&gt;0),$D754-$D755,0))</f>
        <v>0</v>
      </c>
      <c r="AG755">
        <f>IF(COUNT($E$2:$E755)&lt;15,"",IF(SUM($AC$742:$AC$755)=0,0,100*SUM($AE$742:$AE$755)/SUM($AC$742:$AC$755)))</f>
        <v>0</v>
      </c>
      <c r="AH755">
        <f>IF(COUNT($E$2:$E755)&lt;15,"",IF(SUM($AC$742:$AC$755)=0,0,100*SUM($AF$742:$AF$755)/SUM($AC$742:$AC$755)))</f>
        <v>0</v>
      </c>
      <c r="AI755">
        <f>IF(OR(AG755="",AH755=""),"",IF((AG755+AH755)=0,0,100*ABS(AG755-AH755)/(AG755+AH755)))</f>
        <v>0</v>
      </c>
      <c r="AJ755">
        <f>IF(COUNT($AI$742:$AI$755)&lt;14,"",AVERAGE($AI$742:$AI$755))</f>
        <v>0</v>
      </c>
      <c r="AK755">
        <f>IF(COUNT($E$2:$E755)&lt;20,"",AVERAGE($E$736:$E$755))</f>
        <v>0</v>
      </c>
      <c r="AL755">
        <f>IF(COUNT($E$2:$E755)&lt;20,"",STDEVP($E$736:$E$755))</f>
        <v>0</v>
      </c>
      <c r="AM755">
        <f>IF(AK755="","",AK755+2*AL755)</f>
        <v>0</v>
      </c>
      <c r="AN755">
        <f>IF(AK755="","",AK755-2*AL755)</f>
        <v>0</v>
      </c>
      <c r="AO755">
        <f>IF(OR(AM755="",AN755="",AM755=AN755),"",($E755-AN755)/(AM755-AN755))</f>
        <v>0</v>
      </c>
      <c r="AP755">
        <f>IF(OR(AM755="",AK755="",AK755=0),"",(AM755-AN755)/AK755)</f>
        <v>0</v>
      </c>
      <c r="AQ755">
        <f>IF(COUNT($E$2:$E755)&lt;20,"",MAX($C$736:$C$755))</f>
        <v>0</v>
      </c>
      <c r="AR755">
        <f>IF(COUNT($E$2:$E755)&lt;20,"",MIN($D$736:$D$755))</f>
        <v>0</v>
      </c>
      <c r="AS755">
        <f>IF(OR(AQ755="",AR755=""),"",(AQ755+AR755)/2)</f>
        <v>0</v>
      </c>
      <c r="AT755">
        <f>IF(COUNT($G$736:$G$755)&lt;20,"",STDEV($G$736:$G$755)*SQRT(252))</f>
        <v>0</v>
      </c>
      <c r="AU755">
        <f>IF(COUNT($E$2:$E755)&lt;9,"",(MAX($C$747:$C$755)+MIN($D$747:$D$755))/2)</f>
        <v>0</v>
      </c>
      <c r="AV755">
        <f>IF(COUNT($E$2:$E755)&lt;26,"",(MAX($C$730:$C$755)+MIN($D$730:$D$755))/2)</f>
        <v>0</v>
      </c>
      <c r="AW755">
        <f>IF(OR(AU755="",AV755=""),"",(AU755+AV755)/2)</f>
        <v>0</v>
      </c>
      <c r="AX755">
        <f>IF(COUNT($E$2:$E755)&lt;52,"",(MAX($C$704:$C$755)+MIN($D$704:$D$755))/2)</f>
        <v>0</v>
      </c>
      <c r="AY755">
        <f>IF(COUNT($E$2:$E755)&lt;20,"",MAX($C$656:$C$755))</f>
        <v>0</v>
      </c>
      <c r="AZ755">
        <f>IF(COUNT($E$2:$E755)&lt;20,"",MIN($D$656:$D$755))</f>
        <v>0</v>
      </c>
      <c r="BA755">
        <f>IF(COUNT($E$2:$E755)&lt;20,"",SLOPE($E$656:$E$755,$F$656:$F$755))</f>
        <v>0</v>
      </c>
      <c r="BB755">
        <f>IF(COUNT($E$2:$E755)&lt;20,"",INTERCEPT($E$656:$E$755,$F$656:$F$755))</f>
        <v>0</v>
      </c>
      <c r="BC755">
        <f>IF(OR(BA755="",BB755=""),"",BB755+BA755*F755)</f>
        <v>0</v>
      </c>
      <c r="BD755">
        <f>IF(COUNT($E$2:$E755)&lt;20,"",STEYX($E$656:$E$755,$F$656:$F$755))</f>
        <v>0</v>
      </c>
      <c r="BE755">
        <f>IF($E755="","",IF(AND(COUNT($E$756:$E$759)&gt;=4,$C755=MAX($C$751:$C$759)),$C755,""))</f>
        <v>0</v>
      </c>
      <c r="BF755">
        <f>IF($E755="","",IF(AND(COUNT($E$756:$E$759)&gt;=4,$D755=MIN($D$751:$D$759)),$D755,""))</f>
        <v>0</v>
      </c>
      <c r="BG755">
        <f>IF($A755="","",$A755-WEEKDAY($A755,2)+1)</f>
        <v>0</v>
      </c>
      <c r="BH755">
        <f>IF($A755="","",IF($A754="",1,IF(BG755&lt;&gt;BG754,1,0)))</f>
        <v>0</v>
      </c>
      <c r="BI755">
        <f>IF($A755="","",IF($A756="",1,IF(BG756&lt;&gt;BG755,1,0)))</f>
        <v>0</v>
      </c>
      <c r="BJ755">
        <f>IF($A755="","",IF(BH755=1,$B755,BJ754))</f>
        <v>0</v>
      </c>
      <c r="BK755">
        <f>IF($A755="","",IF(BH755=1,$C755,MAX($C755,BK754)))</f>
        <v>0</v>
      </c>
      <c r="BL755">
        <f>IF($A755="","",IF(BH755=1,$D755,MIN($D755,BL754)))</f>
        <v>0</v>
      </c>
      <c r="BM755">
        <f>IF($A755="","",IF(BI755=1,F755,""))</f>
        <v>0</v>
      </c>
      <c r="BN755">
        <f>IF($A755="","",DATE(YEAR($A755),MONTH($A755),1))</f>
        <v>0</v>
      </c>
      <c r="BO755">
        <f>IF($A755="","",IF($A754="",1,IF(BN755&lt;&gt;BN754,1,0)))</f>
        <v>0</v>
      </c>
      <c r="BP755">
        <f>IF($A755="","",IF($A756="",1,IF(BN756&lt;&gt;BN755,1,0)))</f>
        <v>0</v>
      </c>
      <c r="BQ755">
        <f>IF($A755="","",IF(BO755=1,$B755,BQ754))</f>
        <v>0</v>
      </c>
      <c r="BR755">
        <f>IF($A755="","",IF(BO755=1,$C755,MAX($C755,BR754)))</f>
        <v>0</v>
      </c>
      <c r="BS755">
        <f>IF($A755="","",IF(BO755=1,$D755,MIN($D755,BS754)))</f>
        <v>0</v>
      </c>
      <c r="BT755">
        <f>IF($A755="","",IF(BP755=1,F755,""))</f>
        <v>0</v>
      </c>
    </row>
    <row r="756" spans="1:72">
      <c r="A756" s="27">
        <f>IF(Data!$A756="","",Data!$A756)</f>
        <v>0</v>
      </c>
      <c r="B756">
        <f>IF(Data!$B756="","",Data!$B756)</f>
        <v>0</v>
      </c>
      <c r="C756">
        <f>IF(Data!$C756="","",Data!$C756)</f>
        <v>0</v>
      </c>
      <c r="D756">
        <f>IF(Data!$D756="","",Data!$D756)</f>
        <v>0</v>
      </c>
      <c r="E756">
        <f>IF(Data!$E756="","",Data!$E756)</f>
        <v>0</v>
      </c>
      <c r="F756">
        <f>IF($E756="","",N(F755)+1)</f>
        <v>0</v>
      </c>
      <c r="G756">
        <f>IF(OR($E756="",$E755=""),"",LN($E756/$E755))</f>
        <v>0</v>
      </c>
      <c r="H756">
        <f>IF($E756="","",IF($E755="",$E756,$E756*0.0952380952+H755*0.9047619048))</f>
        <v>0</v>
      </c>
      <c r="I756">
        <f>IF($E756="","",IF($E755="",$E756,$E756*0.0392156863+I755*0.9607843137))</f>
        <v>0</v>
      </c>
      <c r="J756">
        <f>IF($E756="","",IF($E755="",$E756,$E756*0.0198019802+J755*0.9801980198))</f>
        <v>0</v>
      </c>
      <c r="K756">
        <f>IF($E756="","",IF($E755="",$E756,$E756*0.0099502488+K755*0.9900497512))</f>
        <v>0</v>
      </c>
      <c r="L756">
        <f>IF(OR($E756="",$E755=""),"",MAX($E756-$E755,0))</f>
        <v>0</v>
      </c>
      <c r="M756">
        <f>IF(OR($E756="",$E755=""),"",MAX($E755-$E756,0))</f>
        <v>0</v>
      </c>
      <c r="N756">
        <f>IF(COUNT($E$2:$E756)&lt;15,"",IF(AVERAGE($M$743:$M$756)=0,100,100-100/(1+AVERAGE($L$743:$L$756)/AVERAGE($M$743:$M$756))))</f>
        <v>0</v>
      </c>
      <c r="O756">
        <f>IF($E756="","",IF($E755="",$E756,$E756*0.1538461538+O755*0.8461538462))</f>
        <v>0</v>
      </c>
      <c r="P756">
        <f>IF($E756="","",IF($E755="",$E756,$E756*0.0740740741+P755*0.9259259259))</f>
        <v>0</v>
      </c>
      <c r="Q756">
        <f>IF(OR(O756="",P756=""),"",O756-P756)</f>
        <v>0</v>
      </c>
      <c r="R756">
        <f>IF(Q756="","",IF(R755="",Q756,Q756*0.2000000000+R755*0.8000000000))</f>
        <v>0</v>
      </c>
      <c r="S756">
        <f>IF(OR(Q756="",R756=""),"",Q756-R756)</f>
        <v>0</v>
      </c>
      <c r="T756">
        <f>IF(COUNT($E$2:$E756)&lt;14,"",MAX($C$743:$C$756))</f>
        <v>0</v>
      </c>
      <c r="U756">
        <f>IF(COUNT($E$2:$E756)&lt;14,"",MIN($D$743:$D$756))</f>
        <v>0</v>
      </c>
      <c r="V756">
        <f>IF(OR(T756="",U756="",T756=U756),"",100*($E756-U756)/(T756-U756))</f>
        <v>0</v>
      </c>
      <c r="W756">
        <f>IF(COUNT($V$754:$V$756)&lt;3,"",AVERAGE($V$754:$V$756))</f>
        <v>0</v>
      </c>
      <c r="X756">
        <f>IF(COUNT($N$743:$N$756)&lt;14,"",MIN($N$743:$N$756))</f>
        <v>0</v>
      </c>
      <c r="Y756">
        <f>IF(COUNT($N$743:$N$756)&lt;14,"",MAX($N$743:$N$756))</f>
        <v>0</v>
      </c>
      <c r="Z756">
        <f>IF(OR(N756="",X756="",Y756="",Y756=X756),"",100*(N756-X756)/(Y756-X756))</f>
        <v>0</v>
      </c>
      <c r="AA756">
        <f>IF(COUNT($Z$754:$Z$756)&lt;3,"",AVERAGE($Z$754:$Z$756))</f>
        <v>0</v>
      </c>
      <c r="AB756">
        <f>IF(COUNT($AA$754:$AA$756)&lt;3,"",AVERAGE($AA$754:$AA$756))</f>
        <v>0</v>
      </c>
      <c r="AC756">
        <f>IF($E756="","",MAX($C756-$D756,ABS($C756-$E755),ABS($D756-$E755)))</f>
        <v>0</v>
      </c>
      <c r="AD756">
        <f>IF(COUNT($E$2:$E756)&lt;15,"",AVERAGE($AC$743:$AC$756))</f>
        <v>0</v>
      </c>
      <c r="AE756">
        <f>IF(OR($E756="",$E755=""),"",IF(AND(($C756-$C755)&gt;($D755-$D756),($C756-$C755)&gt;0),$C756-$C755,0))</f>
        <v>0</v>
      </c>
      <c r="AF756">
        <f>IF(OR($E756="",$E755=""),"",IF(AND(($D755-$D756)&gt;($C756-$C755),($D755-$D756)&gt;0),$D755-$D756,0))</f>
        <v>0</v>
      </c>
      <c r="AG756">
        <f>IF(COUNT($E$2:$E756)&lt;15,"",IF(SUM($AC$743:$AC$756)=0,0,100*SUM($AE$743:$AE$756)/SUM($AC$743:$AC$756)))</f>
        <v>0</v>
      </c>
      <c r="AH756">
        <f>IF(COUNT($E$2:$E756)&lt;15,"",IF(SUM($AC$743:$AC$756)=0,0,100*SUM($AF$743:$AF$756)/SUM($AC$743:$AC$756)))</f>
        <v>0</v>
      </c>
      <c r="AI756">
        <f>IF(OR(AG756="",AH756=""),"",IF((AG756+AH756)=0,0,100*ABS(AG756-AH756)/(AG756+AH756)))</f>
        <v>0</v>
      </c>
      <c r="AJ756">
        <f>IF(COUNT($AI$743:$AI$756)&lt;14,"",AVERAGE($AI$743:$AI$756))</f>
        <v>0</v>
      </c>
      <c r="AK756">
        <f>IF(COUNT($E$2:$E756)&lt;20,"",AVERAGE($E$737:$E$756))</f>
        <v>0</v>
      </c>
      <c r="AL756">
        <f>IF(COUNT($E$2:$E756)&lt;20,"",STDEVP($E$737:$E$756))</f>
        <v>0</v>
      </c>
      <c r="AM756">
        <f>IF(AK756="","",AK756+2*AL756)</f>
        <v>0</v>
      </c>
      <c r="AN756">
        <f>IF(AK756="","",AK756-2*AL756)</f>
        <v>0</v>
      </c>
      <c r="AO756">
        <f>IF(OR(AM756="",AN756="",AM756=AN756),"",($E756-AN756)/(AM756-AN756))</f>
        <v>0</v>
      </c>
      <c r="AP756">
        <f>IF(OR(AM756="",AK756="",AK756=0),"",(AM756-AN756)/AK756)</f>
        <v>0</v>
      </c>
      <c r="AQ756">
        <f>IF(COUNT($E$2:$E756)&lt;20,"",MAX($C$737:$C$756))</f>
        <v>0</v>
      </c>
      <c r="AR756">
        <f>IF(COUNT($E$2:$E756)&lt;20,"",MIN($D$737:$D$756))</f>
        <v>0</v>
      </c>
      <c r="AS756">
        <f>IF(OR(AQ756="",AR756=""),"",(AQ756+AR756)/2)</f>
        <v>0</v>
      </c>
      <c r="AT756">
        <f>IF(COUNT($G$737:$G$756)&lt;20,"",STDEV($G$737:$G$756)*SQRT(252))</f>
        <v>0</v>
      </c>
      <c r="AU756">
        <f>IF(COUNT($E$2:$E756)&lt;9,"",(MAX($C$748:$C$756)+MIN($D$748:$D$756))/2)</f>
        <v>0</v>
      </c>
      <c r="AV756">
        <f>IF(COUNT($E$2:$E756)&lt;26,"",(MAX($C$731:$C$756)+MIN($D$731:$D$756))/2)</f>
        <v>0</v>
      </c>
      <c r="AW756">
        <f>IF(OR(AU756="",AV756=""),"",(AU756+AV756)/2)</f>
        <v>0</v>
      </c>
      <c r="AX756">
        <f>IF(COUNT($E$2:$E756)&lt;52,"",(MAX($C$705:$C$756)+MIN($D$705:$D$756))/2)</f>
        <v>0</v>
      </c>
      <c r="AY756">
        <f>IF(COUNT($E$2:$E756)&lt;20,"",MAX($C$657:$C$756))</f>
        <v>0</v>
      </c>
      <c r="AZ756">
        <f>IF(COUNT($E$2:$E756)&lt;20,"",MIN($D$657:$D$756))</f>
        <v>0</v>
      </c>
      <c r="BA756">
        <f>IF(COUNT($E$2:$E756)&lt;20,"",SLOPE($E$657:$E$756,$F$657:$F$756))</f>
        <v>0</v>
      </c>
      <c r="BB756">
        <f>IF(COUNT($E$2:$E756)&lt;20,"",INTERCEPT($E$657:$E$756,$F$657:$F$756))</f>
        <v>0</v>
      </c>
      <c r="BC756">
        <f>IF(OR(BA756="",BB756=""),"",BB756+BA756*F756)</f>
        <v>0</v>
      </c>
      <c r="BD756">
        <f>IF(COUNT($E$2:$E756)&lt;20,"",STEYX($E$657:$E$756,$F$657:$F$756))</f>
        <v>0</v>
      </c>
      <c r="BE756">
        <f>IF($E756="","",IF(AND(COUNT($E$757:$E$760)&gt;=4,$C756=MAX($C$752:$C$760)),$C756,""))</f>
        <v>0</v>
      </c>
      <c r="BF756">
        <f>IF($E756="","",IF(AND(COUNT($E$757:$E$760)&gt;=4,$D756=MIN($D$752:$D$760)),$D756,""))</f>
        <v>0</v>
      </c>
      <c r="BG756">
        <f>IF($A756="","",$A756-WEEKDAY($A756,2)+1)</f>
        <v>0</v>
      </c>
      <c r="BH756">
        <f>IF($A756="","",IF($A755="",1,IF(BG756&lt;&gt;BG755,1,0)))</f>
        <v>0</v>
      </c>
      <c r="BI756">
        <f>IF($A756="","",IF($A757="",1,IF(BG757&lt;&gt;BG756,1,0)))</f>
        <v>0</v>
      </c>
      <c r="BJ756">
        <f>IF($A756="","",IF(BH756=1,$B756,BJ755))</f>
        <v>0</v>
      </c>
      <c r="BK756">
        <f>IF($A756="","",IF(BH756=1,$C756,MAX($C756,BK755)))</f>
        <v>0</v>
      </c>
      <c r="BL756">
        <f>IF($A756="","",IF(BH756=1,$D756,MIN($D756,BL755)))</f>
        <v>0</v>
      </c>
      <c r="BM756">
        <f>IF($A756="","",IF(BI756=1,F756,""))</f>
        <v>0</v>
      </c>
      <c r="BN756">
        <f>IF($A756="","",DATE(YEAR($A756),MONTH($A756),1))</f>
        <v>0</v>
      </c>
      <c r="BO756">
        <f>IF($A756="","",IF($A755="",1,IF(BN756&lt;&gt;BN755,1,0)))</f>
        <v>0</v>
      </c>
      <c r="BP756">
        <f>IF($A756="","",IF($A757="",1,IF(BN757&lt;&gt;BN756,1,0)))</f>
        <v>0</v>
      </c>
      <c r="BQ756">
        <f>IF($A756="","",IF(BO756=1,$B756,BQ755))</f>
        <v>0</v>
      </c>
      <c r="BR756">
        <f>IF($A756="","",IF(BO756=1,$C756,MAX($C756,BR755)))</f>
        <v>0</v>
      </c>
      <c r="BS756">
        <f>IF($A756="","",IF(BO756=1,$D756,MIN($D756,BS755)))</f>
        <v>0</v>
      </c>
      <c r="BT756">
        <f>IF($A756="","",IF(BP756=1,F756,""))</f>
        <v>0</v>
      </c>
    </row>
    <row r="757" spans="1:72">
      <c r="A757" s="27">
        <f>IF(Data!$A757="","",Data!$A757)</f>
        <v>0</v>
      </c>
      <c r="B757">
        <f>IF(Data!$B757="","",Data!$B757)</f>
        <v>0</v>
      </c>
      <c r="C757">
        <f>IF(Data!$C757="","",Data!$C757)</f>
        <v>0</v>
      </c>
      <c r="D757">
        <f>IF(Data!$D757="","",Data!$D757)</f>
        <v>0</v>
      </c>
      <c r="E757">
        <f>IF(Data!$E757="","",Data!$E757)</f>
        <v>0</v>
      </c>
      <c r="F757">
        <f>IF($E757="","",N(F756)+1)</f>
        <v>0</v>
      </c>
      <c r="G757">
        <f>IF(OR($E757="",$E756=""),"",LN($E757/$E756))</f>
        <v>0</v>
      </c>
      <c r="H757">
        <f>IF($E757="","",IF($E756="",$E757,$E757*0.0952380952+H756*0.9047619048))</f>
        <v>0</v>
      </c>
      <c r="I757">
        <f>IF($E757="","",IF($E756="",$E757,$E757*0.0392156863+I756*0.9607843137))</f>
        <v>0</v>
      </c>
      <c r="J757">
        <f>IF($E757="","",IF($E756="",$E757,$E757*0.0198019802+J756*0.9801980198))</f>
        <v>0</v>
      </c>
      <c r="K757">
        <f>IF($E757="","",IF($E756="",$E757,$E757*0.0099502488+K756*0.9900497512))</f>
        <v>0</v>
      </c>
      <c r="L757">
        <f>IF(OR($E757="",$E756=""),"",MAX($E757-$E756,0))</f>
        <v>0</v>
      </c>
      <c r="M757">
        <f>IF(OR($E757="",$E756=""),"",MAX($E756-$E757,0))</f>
        <v>0</v>
      </c>
      <c r="N757">
        <f>IF(COUNT($E$2:$E757)&lt;15,"",IF(AVERAGE($M$744:$M$757)=0,100,100-100/(1+AVERAGE($L$744:$L$757)/AVERAGE($M$744:$M$757))))</f>
        <v>0</v>
      </c>
      <c r="O757">
        <f>IF($E757="","",IF($E756="",$E757,$E757*0.1538461538+O756*0.8461538462))</f>
        <v>0</v>
      </c>
      <c r="P757">
        <f>IF($E757="","",IF($E756="",$E757,$E757*0.0740740741+P756*0.9259259259))</f>
        <v>0</v>
      </c>
      <c r="Q757">
        <f>IF(OR(O757="",P757=""),"",O757-P757)</f>
        <v>0</v>
      </c>
      <c r="R757">
        <f>IF(Q757="","",IF(R756="",Q757,Q757*0.2000000000+R756*0.8000000000))</f>
        <v>0</v>
      </c>
      <c r="S757">
        <f>IF(OR(Q757="",R757=""),"",Q757-R757)</f>
        <v>0</v>
      </c>
      <c r="T757">
        <f>IF(COUNT($E$2:$E757)&lt;14,"",MAX($C$744:$C$757))</f>
        <v>0</v>
      </c>
      <c r="U757">
        <f>IF(COUNT($E$2:$E757)&lt;14,"",MIN($D$744:$D$757))</f>
        <v>0</v>
      </c>
      <c r="V757">
        <f>IF(OR(T757="",U757="",T757=U757),"",100*($E757-U757)/(T757-U757))</f>
        <v>0</v>
      </c>
      <c r="W757">
        <f>IF(COUNT($V$755:$V$757)&lt;3,"",AVERAGE($V$755:$V$757))</f>
        <v>0</v>
      </c>
      <c r="X757">
        <f>IF(COUNT($N$744:$N$757)&lt;14,"",MIN($N$744:$N$757))</f>
        <v>0</v>
      </c>
      <c r="Y757">
        <f>IF(COUNT($N$744:$N$757)&lt;14,"",MAX($N$744:$N$757))</f>
        <v>0</v>
      </c>
      <c r="Z757">
        <f>IF(OR(N757="",X757="",Y757="",Y757=X757),"",100*(N757-X757)/(Y757-X757))</f>
        <v>0</v>
      </c>
      <c r="AA757">
        <f>IF(COUNT($Z$755:$Z$757)&lt;3,"",AVERAGE($Z$755:$Z$757))</f>
        <v>0</v>
      </c>
      <c r="AB757">
        <f>IF(COUNT($AA$755:$AA$757)&lt;3,"",AVERAGE($AA$755:$AA$757))</f>
        <v>0</v>
      </c>
      <c r="AC757">
        <f>IF($E757="","",MAX($C757-$D757,ABS($C757-$E756),ABS($D757-$E756)))</f>
        <v>0</v>
      </c>
      <c r="AD757">
        <f>IF(COUNT($E$2:$E757)&lt;15,"",AVERAGE($AC$744:$AC$757))</f>
        <v>0</v>
      </c>
      <c r="AE757">
        <f>IF(OR($E757="",$E756=""),"",IF(AND(($C757-$C756)&gt;($D756-$D757),($C757-$C756)&gt;0),$C757-$C756,0))</f>
        <v>0</v>
      </c>
      <c r="AF757">
        <f>IF(OR($E757="",$E756=""),"",IF(AND(($D756-$D757)&gt;($C757-$C756),($D756-$D757)&gt;0),$D756-$D757,0))</f>
        <v>0</v>
      </c>
      <c r="AG757">
        <f>IF(COUNT($E$2:$E757)&lt;15,"",IF(SUM($AC$744:$AC$757)=0,0,100*SUM($AE$744:$AE$757)/SUM($AC$744:$AC$757)))</f>
        <v>0</v>
      </c>
      <c r="AH757">
        <f>IF(COUNT($E$2:$E757)&lt;15,"",IF(SUM($AC$744:$AC$757)=0,0,100*SUM($AF$744:$AF$757)/SUM($AC$744:$AC$757)))</f>
        <v>0</v>
      </c>
      <c r="AI757">
        <f>IF(OR(AG757="",AH757=""),"",IF((AG757+AH757)=0,0,100*ABS(AG757-AH757)/(AG757+AH757)))</f>
        <v>0</v>
      </c>
      <c r="AJ757">
        <f>IF(COUNT($AI$744:$AI$757)&lt;14,"",AVERAGE($AI$744:$AI$757))</f>
        <v>0</v>
      </c>
      <c r="AK757">
        <f>IF(COUNT($E$2:$E757)&lt;20,"",AVERAGE($E$738:$E$757))</f>
        <v>0</v>
      </c>
      <c r="AL757">
        <f>IF(COUNT($E$2:$E757)&lt;20,"",STDEVP($E$738:$E$757))</f>
        <v>0</v>
      </c>
      <c r="AM757">
        <f>IF(AK757="","",AK757+2*AL757)</f>
        <v>0</v>
      </c>
      <c r="AN757">
        <f>IF(AK757="","",AK757-2*AL757)</f>
        <v>0</v>
      </c>
      <c r="AO757">
        <f>IF(OR(AM757="",AN757="",AM757=AN757),"",($E757-AN757)/(AM757-AN757))</f>
        <v>0</v>
      </c>
      <c r="AP757">
        <f>IF(OR(AM757="",AK757="",AK757=0),"",(AM757-AN757)/AK757)</f>
        <v>0</v>
      </c>
      <c r="AQ757">
        <f>IF(COUNT($E$2:$E757)&lt;20,"",MAX($C$738:$C$757))</f>
        <v>0</v>
      </c>
      <c r="AR757">
        <f>IF(COUNT($E$2:$E757)&lt;20,"",MIN($D$738:$D$757))</f>
        <v>0</v>
      </c>
      <c r="AS757">
        <f>IF(OR(AQ757="",AR757=""),"",(AQ757+AR757)/2)</f>
        <v>0</v>
      </c>
      <c r="AT757">
        <f>IF(COUNT($G$738:$G$757)&lt;20,"",STDEV($G$738:$G$757)*SQRT(252))</f>
        <v>0</v>
      </c>
      <c r="AU757">
        <f>IF(COUNT($E$2:$E757)&lt;9,"",(MAX($C$749:$C$757)+MIN($D$749:$D$757))/2)</f>
        <v>0</v>
      </c>
      <c r="AV757">
        <f>IF(COUNT($E$2:$E757)&lt;26,"",(MAX($C$732:$C$757)+MIN($D$732:$D$757))/2)</f>
        <v>0</v>
      </c>
      <c r="AW757">
        <f>IF(OR(AU757="",AV757=""),"",(AU757+AV757)/2)</f>
        <v>0</v>
      </c>
      <c r="AX757">
        <f>IF(COUNT($E$2:$E757)&lt;52,"",(MAX($C$706:$C$757)+MIN($D$706:$D$757))/2)</f>
        <v>0</v>
      </c>
      <c r="AY757">
        <f>IF(COUNT($E$2:$E757)&lt;20,"",MAX($C$658:$C$757))</f>
        <v>0</v>
      </c>
      <c r="AZ757">
        <f>IF(COUNT($E$2:$E757)&lt;20,"",MIN($D$658:$D$757))</f>
        <v>0</v>
      </c>
      <c r="BA757">
        <f>IF(COUNT($E$2:$E757)&lt;20,"",SLOPE($E$658:$E$757,$F$658:$F$757))</f>
        <v>0</v>
      </c>
      <c r="BB757">
        <f>IF(COUNT($E$2:$E757)&lt;20,"",INTERCEPT($E$658:$E$757,$F$658:$F$757))</f>
        <v>0</v>
      </c>
      <c r="BC757">
        <f>IF(OR(BA757="",BB757=""),"",BB757+BA757*F757)</f>
        <v>0</v>
      </c>
      <c r="BD757">
        <f>IF(COUNT($E$2:$E757)&lt;20,"",STEYX($E$658:$E$757,$F$658:$F$757))</f>
        <v>0</v>
      </c>
      <c r="BE757">
        <f>IF($E757="","",IF(AND(COUNT($E$758:$E$761)&gt;=4,$C757=MAX($C$753:$C$761)),$C757,""))</f>
        <v>0</v>
      </c>
      <c r="BF757">
        <f>IF($E757="","",IF(AND(COUNT($E$758:$E$761)&gt;=4,$D757=MIN($D$753:$D$761)),$D757,""))</f>
        <v>0</v>
      </c>
      <c r="BG757">
        <f>IF($A757="","",$A757-WEEKDAY($A757,2)+1)</f>
        <v>0</v>
      </c>
      <c r="BH757">
        <f>IF($A757="","",IF($A756="",1,IF(BG757&lt;&gt;BG756,1,0)))</f>
        <v>0</v>
      </c>
      <c r="BI757">
        <f>IF($A757="","",IF($A758="",1,IF(BG758&lt;&gt;BG757,1,0)))</f>
        <v>0</v>
      </c>
      <c r="BJ757">
        <f>IF($A757="","",IF(BH757=1,$B757,BJ756))</f>
        <v>0</v>
      </c>
      <c r="BK757">
        <f>IF($A757="","",IF(BH757=1,$C757,MAX($C757,BK756)))</f>
        <v>0</v>
      </c>
      <c r="BL757">
        <f>IF($A757="","",IF(BH757=1,$D757,MIN($D757,BL756)))</f>
        <v>0</v>
      </c>
      <c r="BM757">
        <f>IF($A757="","",IF(BI757=1,F757,""))</f>
        <v>0</v>
      </c>
      <c r="BN757">
        <f>IF($A757="","",DATE(YEAR($A757),MONTH($A757),1))</f>
        <v>0</v>
      </c>
      <c r="BO757">
        <f>IF($A757="","",IF($A756="",1,IF(BN757&lt;&gt;BN756,1,0)))</f>
        <v>0</v>
      </c>
      <c r="BP757">
        <f>IF($A757="","",IF($A758="",1,IF(BN758&lt;&gt;BN757,1,0)))</f>
        <v>0</v>
      </c>
      <c r="BQ757">
        <f>IF($A757="","",IF(BO757=1,$B757,BQ756))</f>
        <v>0</v>
      </c>
      <c r="BR757">
        <f>IF($A757="","",IF(BO757=1,$C757,MAX($C757,BR756)))</f>
        <v>0</v>
      </c>
      <c r="BS757">
        <f>IF($A757="","",IF(BO757=1,$D757,MIN($D757,BS756)))</f>
        <v>0</v>
      </c>
      <c r="BT757">
        <f>IF($A757="","",IF(BP757=1,F757,""))</f>
        <v>0</v>
      </c>
    </row>
    <row r="758" spans="1:72">
      <c r="A758" s="27">
        <f>IF(Data!$A758="","",Data!$A758)</f>
        <v>0</v>
      </c>
      <c r="B758">
        <f>IF(Data!$B758="","",Data!$B758)</f>
        <v>0</v>
      </c>
      <c r="C758">
        <f>IF(Data!$C758="","",Data!$C758)</f>
        <v>0</v>
      </c>
      <c r="D758">
        <f>IF(Data!$D758="","",Data!$D758)</f>
        <v>0</v>
      </c>
      <c r="E758">
        <f>IF(Data!$E758="","",Data!$E758)</f>
        <v>0</v>
      </c>
      <c r="F758">
        <f>IF($E758="","",N(F757)+1)</f>
        <v>0</v>
      </c>
      <c r="G758">
        <f>IF(OR($E758="",$E757=""),"",LN($E758/$E757))</f>
        <v>0</v>
      </c>
      <c r="H758">
        <f>IF($E758="","",IF($E757="",$E758,$E758*0.0952380952+H757*0.9047619048))</f>
        <v>0</v>
      </c>
      <c r="I758">
        <f>IF($E758="","",IF($E757="",$E758,$E758*0.0392156863+I757*0.9607843137))</f>
        <v>0</v>
      </c>
      <c r="J758">
        <f>IF($E758="","",IF($E757="",$E758,$E758*0.0198019802+J757*0.9801980198))</f>
        <v>0</v>
      </c>
      <c r="K758">
        <f>IF($E758="","",IF($E757="",$E758,$E758*0.0099502488+K757*0.9900497512))</f>
        <v>0</v>
      </c>
      <c r="L758">
        <f>IF(OR($E758="",$E757=""),"",MAX($E758-$E757,0))</f>
        <v>0</v>
      </c>
      <c r="M758">
        <f>IF(OR($E758="",$E757=""),"",MAX($E757-$E758,0))</f>
        <v>0</v>
      </c>
      <c r="N758">
        <f>IF(COUNT($E$2:$E758)&lt;15,"",IF(AVERAGE($M$745:$M$758)=0,100,100-100/(1+AVERAGE($L$745:$L$758)/AVERAGE($M$745:$M$758))))</f>
        <v>0</v>
      </c>
      <c r="O758">
        <f>IF($E758="","",IF($E757="",$E758,$E758*0.1538461538+O757*0.8461538462))</f>
        <v>0</v>
      </c>
      <c r="P758">
        <f>IF($E758="","",IF($E757="",$E758,$E758*0.0740740741+P757*0.9259259259))</f>
        <v>0</v>
      </c>
      <c r="Q758">
        <f>IF(OR(O758="",P758=""),"",O758-P758)</f>
        <v>0</v>
      </c>
      <c r="R758">
        <f>IF(Q758="","",IF(R757="",Q758,Q758*0.2000000000+R757*0.8000000000))</f>
        <v>0</v>
      </c>
      <c r="S758">
        <f>IF(OR(Q758="",R758=""),"",Q758-R758)</f>
        <v>0</v>
      </c>
      <c r="T758">
        <f>IF(COUNT($E$2:$E758)&lt;14,"",MAX($C$745:$C$758))</f>
        <v>0</v>
      </c>
      <c r="U758">
        <f>IF(COUNT($E$2:$E758)&lt;14,"",MIN($D$745:$D$758))</f>
        <v>0</v>
      </c>
      <c r="V758">
        <f>IF(OR(T758="",U758="",T758=U758),"",100*($E758-U758)/(T758-U758))</f>
        <v>0</v>
      </c>
      <c r="W758">
        <f>IF(COUNT($V$756:$V$758)&lt;3,"",AVERAGE($V$756:$V$758))</f>
        <v>0</v>
      </c>
      <c r="X758">
        <f>IF(COUNT($N$745:$N$758)&lt;14,"",MIN($N$745:$N$758))</f>
        <v>0</v>
      </c>
      <c r="Y758">
        <f>IF(COUNT($N$745:$N$758)&lt;14,"",MAX($N$745:$N$758))</f>
        <v>0</v>
      </c>
      <c r="Z758">
        <f>IF(OR(N758="",X758="",Y758="",Y758=X758),"",100*(N758-X758)/(Y758-X758))</f>
        <v>0</v>
      </c>
      <c r="AA758">
        <f>IF(COUNT($Z$756:$Z$758)&lt;3,"",AVERAGE($Z$756:$Z$758))</f>
        <v>0</v>
      </c>
      <c r="AB758">
        <f>IF(COUNT($AA$756:$AA$758)&lt;3,"",AVERAGE($AA$756:$AA$758))</f>
        <v>0</v>
      </c>
      <c r="AC758">
        <f>IF($E758="","",MAX($C758-$D758,ABS($C758-$E757),ABS($D758-$E757)))</f>
        <v>0</v>
      </c>
      <c r="AD758">
        <f>IF(COUNT($E$2:$E758)&lt;15,"",AVERAGE($AC$745:$AC$758))</f>
        <v>0</v>
      </c>
      <c r="AE758">
        <f>IF(OR($E758="",$E757=""),"",IF(AND(($C758-$C757)&gt;($D757-$D758),($C758-$C757)&gt;0),$C758-$C757,0))</f>
        <v>0</v>
      </c>
      <c r="AF758">
        <f>IF(OR($E758="",$E757=""),"",IF(AND(($D757-$D758)&gt;($C758-$C757),($D757-$D758)&gt;0),$D757-$D758,0))</f>
        <v>0</v>
      </c>
      <c r="AG758">
        <f>IF(COUNT($E$2:$E758)&lt;15,"",IF(SUM($AC$745:$AC$758)=0,0,100*SUM($AE$745:$AE$758)/SUM($AC$745:$AC$758)))</f>
        <v>0</v>
      </c>
      <c r="AH758">
        <f>IF(COUNT($E$2:$E758)&lt;15,"",IF(SUM($AC$745:$AC$758)=0,0,100*SUM($AF$745:$AF$758)/SUM($AC$745:$AC$758)))</f>
        <v>0</v>
      </c>
      <c r="AI758">
        <f>IF(OR(AG758="",AH758=""),"",IF((AG758+AH758)=0,0,100*ABS(AG758-AH758)/(AG758+AH758)))</f>
        <v>0</v>
      </c>
      <c r="AJ758">
        <f>IF(COUNT($AI$745:$AI$758)&lt;14,"",AVERAGE($AI$745:$AI$758))</f>
        <v>0</v>
      </c>
      <c r="AK758">
        <f>IF(COUNT($E$2:$E758)&lt;20,"",AVERAGE($E$739:$E$758))</f>
        <v>0</v>
      </c>
      <c r="AL758">
        <f>IF(COUNT($E$2:$E758)&lt;20,"",STDEVP($E$739:$E$758))</f>
        <v>0</v>
      </c>
      <c r="AM758">
        <f>IF(AK758="","",AK758+2*AL758)</f>
        <v>0</v>
      </c>
      <c r="AN758">
        <f>IF(AK758="","",AK758-2*AL758)</f>
        <v>0</v>
      </c>
      <c r="AO758">
        <f>IF(OR(AM758="",AN758="",AM758=AN758),"",($E758-AN758)/(AM758-AN758))</f>
        <v>0</v>
      </c>
      <c r="AP758">
        <f>IF(OR(AM758="",AK758="",AK758=0),"",(AM758-AN758)/AK758)</f>
        <v>0</v>
      </c>
      <c r="AQ758">
        <f>IF(COUNT($E$2:$E758)&lt;20,"",MAX($C$739:$C$758))</f>
        <v>0</v>
      </c>
      <c r="AR758">
        <f>IF(COUNT($E$2:$E758)&lt;20,"",MIN($D$739:$D$758))</f>
        <v>0</v>
      </c>
      <c r="AS758">
        <f>IF(OR(AQ758="",AR758=""),"",(AQ758+AR758)/2)</f>
        <v>0</v>
      </c>
      <c r="AT758">
        <f>IF(COUNT($G$739:$G$758)&lt;20,"",STDEV($G$739:$G$758)*SQRT(252))</f>
        <v>0</v>
      </c>
      <c r="AU758">
        <f>IF(COUNT($E$2:$E758)&lt;9,"",(MAX($C$750:$C$758)+MIN($D$750:$D$758))/2)</f>
        <v>0</v>
      </c>
      <c r="AV758">
        <f>IF(COUNT($E$2:$E758)&lt;26,"",(MAX($C$733:$C$758)+MIN($D$733:$D$758))/2)</f>
        <v>0</v>
      </c>
      <c r="AW758">
        <f>IF(OR(AU758="",AV758=""),"",(AU758+AV758)/2)</f>
        <v>0</v>
      </c>
      <c r="AX758">
        <f>IF(COUNT($E$2:$E758)&lt;52,"",(MAX($C$707:$C$758)+MIN($D$707:$D$758))/2)</f>
        <v>0</v>
      </c>
      <c r="AY758">
        <f>IF(COUNT($E$2:$E758)&lt;20,"",MAX($C$659:$C$758))</f>
        <v>0</v>
      </c>
      <c r="AZ758">
        <f>IF(COUNT($E$2:$E758)&lt;20,"",MIN($D$659:$D$758))</f>
        <v>0</v>
      </c>
      <c r="BA758">
        <f>IF(COUNT($E$2:$E758)&lt;20,"",SLOPE($E$659:$E$758,$F$659:$F$758))</f>
        <v>0</v>
      </c>
      <c r="BB758">
        <f>IF(COUNT($E$2:$E758)&lt;20,"",INTERCEPT($E$659:$E$758,$F$659:$F$758))</f>
        <v>0</v>
      </c>
      <c r="BC758">
        <f>IF(OR(BA758="",BB758=""),"",BB758+BA758*F758)</f>
        <v>0</v>
      </c>
      <c r="BD758">
        <f>IF(COUNT($E$2:$E758)&lt;20,"",STEYX($E$659:$E$758,$F$659:$F$758))</f>
        <v>0</v>
      </c>
      <c r="BE758">
        <f>IF($E758="","",IF(AND(COUNT($E$759:$E$762)&gt;=4,$C758=MAX($C$754:$C$762)),$C758,""))</f>
        <v>0</v>
      </c>
      <c r="BF758">
        <f>IF($E758="","",IF(AND(COUNT($E$759:$E$762)&gt;=4,$D758=MIN($D$754:$D$762)),$D758,""))</f>
        <v>0</v>
      </c>
      <c r="BG758">
        <f>IF($A758="","",$A758-WEEKDAY($A758,2)+1)</f>
        <v>0</v>
      </c>
      <c r="BH758">
        <f>IF($A758="","",IF($A757="",1,IF(BG758&lt;&gt;BG757,1,0)))</f>
        <v>0</v>
      </c>
      <c r="BI758">
        <f>IF($A758="","",IF($A759="",1,IF(BG759&lt;&gt;BG758,1,0)))</f>
        <v>0</v>
      </c>
      <c r="BJ758">
        <f>IF($A758="","",IF(BH758=1,$B758,BJ757))</f>
        <v>0</v>
      </c>
      <c r="BK758">
        <f>IF($A758="","",IF(BH758=1,$C758,MAX($C758,BK757)))</f>
        <v>0</v>
      </c>
      <c r="BL758">
        <f>IF($A758="","",IF(BH758=1,$D758,MIN($D758,BL757)))</f>
        <v>0</v>
      </c>
      <c r="BM758">
        <f>IF($A758="","",IF(BI758=1,F758,""))</f>
        <v>0</v>
      </c>
      <c r="BN758">
        <f>IF($A758="","",DATE(YEAR($A758),MONTH($A758),1))</f>
        <v>0</v>
      </c>
      <c r="BO758">
        <f>IF($A758="","",IF($A757="",1,IF(BN758&lt;&gt;BN757,1,0)))</f>
        <v>0</v>
      </c>
      <c r="BP758">
        <f>IF($A758="","",IF($A759="",1,IF(BN759&lt;&gt;BN758,1,0)))</f>
        <v>0</v>
      </c>
      <c r="BQ758">
        <f>IF($A758="","",IF(BO758=1,$B758,BQ757))</f>
        <v>0</v>
      </c>
      <c r="BR758">
        <f>IF($A758="","",IF(BO758=1,$C758,MAX($C758,BR757)))</f>
        <v>0</v>
      </c>
      <c r="BS758">
        <f>IF($A758="","",IF(BO758=1,$D758,MIN($D758,BS757)))</f>
        <v>0</v>
      </c>
      <c r="BT758">
        <f>IF($A758="","",IF(BP758=1,F758,""))</f>
        <v>0</v>
      </c>
    </row>
    <row r="759" spans="1:72">
      <c r="A759" s="27">
        <f>IF(Data!$A759="","",Data!$A759)</f>
        <v>0</v>
      </c>
      <c r="B759">
        <f>IF(Data!$B759="","",Data!$B759)</f>
        <v>0</v>
      </c>
      <c r="C759">
        <f>IF(Data!$C759="","",Data!$C759)</f>
        <v>0</v>
      </c>
      <c r="D759">
        <f>IF(Data!$D759="","",Data!$D759)</f>
        <v>0</v>
      </c>
      <c r="E759">
        <f>IF(Data!$E759="","",Data!$E759)</f>
        <v>0</v>
      </c>
      <c r="F759">
        <f>IF($E759="","",N(F758)+1)</f>
        <v>0</v>
      </c>
      <c r="G759">
        <f>IF(OR($E759="",$E758=""),"",LN($E759/$E758))</f>
        <v>0</v>
      </c>
      <c r="H759">
        <f>IF($E759="","",IF($E758="",$E759,$E759*0.0952380952+H758*0.9047619048))</f>
        <v>0</v>
      </c>
      <c r="I759">
        <f>IF($E759="","",IF($E758="",$E759,$E759*0.0392156863+I758*0.9607843137))</f>
        <v>0</v>
      </c>
      <c r="J759">
        <f>IF($E759="","",IF($E758="",$E759,$E759*0.0198019802+J758*0.9801980198))</f>
        <v>0</v>
      </c>
      <c r="K759">
        <f>IF($E759="","",IF($E758="",$E759,$E759*0.0099502488+K758*0.9900497512))</f>
        <v>0</v>
      </c>
      <c r="L759">
        <f>IF(OR($E759="",$E758=""),"",MAX($E759-$E758,0))</f>
        <v>0</v>
      </c>
      <c r="M759">
        <f>IF(OR($E759="",$E758=""),"",MAX($E758-$E759,0))</f>
        <v>0</v>
      </c>
      <c r="N759">
        <f>IF(COUNT($E$2:$E759)&lt;15,"",IF(AVERAGE($M$746:$M$759)=0,100,100-100/(1+AVERAGE($L$746:$L$759)/AVERAGE($M$746:$M$759))))</f>
        <v>0</v>
      </c>
      <c r="O759">
        <f>IF($E759="","",IF($E758="",$E759,$E759*0.1538461538+O758*0.8461538462))</f>
        <v>0</v>
      </c>
      <c r="P759">
        <f>IF($E759="","",IF($E758="",$E759,$E759*0.0740740741+P758*0.9259259259))</f>
        <v>0</v>
      </c>
      <c r="Q759">
        <f>IF(OR(O759="",P759=""),"",O759-P759)</f>
        <v>0</v>
      </c>
      <c r="R759">
        <f>IF(Q759="","",IF(R758="",Q759,Q759*0.2000000000+R758*0.8000000000))</f>
        <v>0</v>
      </c>
      <c r="S759">
        <f>IF(OR(Q759="",R759=""),"",Q759-R759)</f>
        <v>0</v>
      </c>
      <c r="T759">
        <f>IF(COUNT($E$2:$E759)&lt;14,"",MAX($C$746:$C$759))</f>
        <v>0</v>
      </c>
      <c r="U759">
        <f>IF(COUNT($E$2:$E759)&lt;14,"",MIN($D$746:$D$759))</f>
        <v>0</v>
      </c>
      <c r="V759">
        <f>IF(OR(T759="",U759="",T759=U759),"",100*($E759-U759)/(T759-U759))</f>
        <v>0</v>
      </c>
      <c r="W759">
        <f>IF(COUNT($V$757:$V$759)&lt;3,"",AVERAGE($V$757:$V$759))</f>
        <v>0</v>
      </c>
      <c r="X759">
        <f>IF(COUNT($N$746:$N$759)&lt;14,"",MIN($N$746:$N$759))</f>
        <v>0</v>
      </c>
      <c r="Y759">
        <f>IF(COUNT($N$746:$N$759)&lt;14,"",MAX($N$746:$N$759))</f>
        <v>0</v>
      </c>
      <c r="Z759">
        <f>IF(OR(N759="",X759="",Y759="",Y759=X759),"",100*(N759-X759)/(Y759-X759))</f>
        <v>0</v>
      </c>
      <c r="AA759">
        <f>IF(COUNT($Z$757:$Z$759)&lt;3,"",AVERAGE($Z$757:$Z$759))</f>
        <v>0</v>
      </c>
      <c r="AB759">
        <f>IF(COUNT($AA$757:$AA$759)&lt;3,"",AVERAGE($AA$757:$AA$759))</f>
        <v>0</v>
      </c>
      <c r="AC759">
        <f>IF($E759="","",MAX($C759-$D759,ABS($C759-$E758),ABS($D759-$E758)))</f>
        <v>0</v>
      </c>
      <c r="AD759">
        <f>IF(COUNT($E$2:$E759)&lt;15,"",AVERAGE($AC$746:$AC$759))</f>
        <v>0</v>
      </c>
      <c r="AE759">
        <f>IF(OR($E759="",$E758=""),"",IF(AND(($C759-$C758)&gt;($D758-$D759),($C759-$C758)&gt;0),$C759-$C758,0))</f>
        <v>0</v>
      </c>
      <c r="AF759">
        <f>IF(OR($E759="",$E758=""),"",IF(AND(($D758-$D759)&gt;($C759-$C758),($D758-$D759)&gt;0),$D758-$D759,0))</f>
        <v>0</v>
      </c>
      <c r="AG759">
        <f>IF(COUNT($E$2:$E759)&lt;15,"",IF(SUM($AC$746:$AC$759)=0,0,100*SUM($AE$746:$AE$759)/SUM($AC$746:$AC$759)))</f>
        <v>0</v>
      </c>
      <c r="AH759">
        <f>IF(COUNT($E$2:$E759)&lt;15,"",IF(SUM($AC$746:$AC$759)=0,0,100*SUM($AF$746:$AF$759)/SUM($AC$746:$AC$759)))</f>
        <v>0</v>
      </c>
      <c r="AI759">
        <f>IF(OR(AG759="",AH759=""),"",IF((AG759+AH759)=0,0,100*ABS(AG759-AH759)/(AG759+AH759)))</f>
        <v>0</v>
      </c>
      <c r="AJ759">
        <f>IF(COUNT($AI$746:$AI$759)&lt;14,"",AVERAGE($AI$746:$AI$759))</f>
        <v>0</v>
      </c>
      <c r="AK759">
        <f>IF(COUNT($E$2:$E759)&lt;20,"",AVERAGE($E$740:$E$759))</f>
        <v>0</v>
      </c>
      <c r="AL759">
        <f>IF(COUNT($E$2:$E759)&lt;20,"",STDEVP($E$740:$E$759))</f>
        <v>0</v>
      </c>
      <c r="AM759">
        <f>IF(AK759="","",AK759+2*AL759)</f>
        <v>0</v>
      </c>
      <c r="AN759">
        <f>IF(AK759="","",AK759-2*AL759)</f>
        <v>0</v>
      </c>
      <c r="AO759">
        <f>IF(OR(AM759="",AN759="",AM759=AN759),"",($E759-AN759)/(AM759-AN759))</f>
        <v>0</v>
      </c>
      <c r="AP759">
        <f>IF(OR(AM759="",AK759="",AK759=0),"",(AM759-AN759)/AK759)</f>
        <v>0</v>
      </c>
      <c r="AQ759">
        <f>IF(COUNT($E$2:$E759)&lt;20,"",MAX($C$740:$C$759))</f>
        <v>0</v>
      </c>
      <c r="AR759">
        <f>IF(COUNT($E$2:$E759)&lt;20,"",MIN($D$740:$D$759))</f>
        <v>0</v>
      </c>
      <c r="AS759">
        <f>IF(OR(AQ759="",AR759=""),"",(AQ759+AR759)/2)</f>
        <v>0</v>
      </c>
      <c r="AT759">
        <f>IF(COUNT($G$740:$G$759)&lt;20,"",STDEV($G$740:$G$759)*SQRT(252))</f>
        <v>0</v>
      </c>
      <c r="AU759">
        <f>IF(COUNT($E$2:$E759)&lt;9,"",(MAX($C$751:$C$759)+MIN($D$751:$D$759))/2)</f>
        <v>0</v>
      </c>
      <c r="AV759">
        <f>IF(COUNT($E$2:$E759)&lt;26,"",(MAX($C$734:$C$759)+MIN($D$734:$D$759))/2)</f>
        <v>0</v>
      </c>
      <c r="AW759">
        <f>IF(OR(AU759="",AV759=""),"",(AU759+AV759)/2)</f>
        <v>0</v>
      </c>
      <c r="AX759">
        <f>IF(COUNT($E$2:$E759)&lt;52,"",(MAX($C$708:$C$759)+MIN($D$708:$D$759))/2)</f>
        <v>0</v>
      </c>
      <c r="AY759">
        <f>IF(COUNT($E$2:$E759)&lt;20,"",MAX($C$660:$C$759))</f>
        <v>0</v>
      </c>
      <c r="AZ759">
        <f>IF(COUNT($E$2:$E759)&lt;20,"",MIN($D$660:$D$759))</f>
        <v>0</v>
      </c>
      <c r="BA759">
        <f>IF(COUNT($E$2:$E759)&lt;20,"",SLOPE($E$660:$E$759,$F$660:$F$759))</f>
        <v>0</v>
      </c>
      <c r="BB759">
        <f>IF(COUNT($E$2:$E759)&lt;20,"",INTERCEPT($E$660:$E$759,$F$660:$F$759))</f>
        <v>0</v>
      </c>
      <c r="BC759">
        <f>IF(OR(BA759="",BB759=""),"",BB759+BA759*F759)</f>
        <v>0</v>
      </c>
      <c r="BD759">
        <f>IF(COUNT($E$2:$E759)&lt;20,"",STEYX($E$660:$E$759,$F$660:$F$759))</f>
        <v>0</v>
      </c>
      <c r="BE759">
        <f>IF($E759="","",IF(AND(COUNT($E$760:$E$763)&gt;=4,$C759=MAX($C$755:$C$763)),$C759,""))</f>
        <v>0</v>
      </c>
      <c r="BF759">
        <f>IF($E759="","",IF(AND(COUNT($E$760:$E$763)&gt;=4,$D759=MIN($D$755:$D$763)),$D759,""))</f>
        <v>0</v>
      </c>
      <c r="BG759">
        <f>IF($A759="","",$A759-WEEKDAY($A759,2)+1)</f>
        <v>0</v>
      </c>
      <c r="BH759">
        <f>IF($A759="","",IF($A758="",1,IF(BG759&lt;&gt;BG758,1,0)))</f>
        <v>0</v>
      </c>
      <c r="BI759">
        <f>IF($A759="","",IF($A760="",1,IF(BG760&lt;&gt;BG759,1,0)))</f>
        <v>0</v>
      </c>
      <c r="BJ759">
        <f>IF($A759="","",IF(BH759=1,$B759,BJ758))</f>
        <v>0</v>
      </c>
      <c r="BK759">
        <f>IF($A759="","",IF(BH759=1,$C759,MAX($C759,BK758)))</f>
        <v>0</v>
      </c>
      <c r="BL759">
        <f>IF($A759="","",IF(BH759=1,$D759,MIN($D759,BL758)))</f>
        <v>0</v>
      </c>
      <c r="BM759">
        <f>IF($A759="","",IF(BI759=1,F759,""))</f>
        <v>0</v>
      </c>
      <c r="BN759">
        <f>IF($A759="","",DATE(YEAR($A759),MONTH($A759),1))</f>
        <v>0</v>
      </c>
      <c r="BO759">
        <f>IF($A759="","",IF($A758="",1,IF(BN759&lt;&gt;BN758,1,0)))</f>
        <v>0</v>
      </c>
      <c r="BP759">
        <f>IF($A759="","",IF($A760="",1,IF(BN760&lt;&gt;BN759,1,0)))</f>
        <v>0</v>
      </c>
      <c r="BQ759">
        <f>IF($A759="","",IF(BO759=1,$B759,BQ758))</f>
        <v>0</v>
      </c>
      <c r="BR759">
        <f>IF($A759="","",IF(BO759=1,$C759,MAX($C759,BR758)))</f>
        <v>0</v>
      </c>
      <c r="BS759">
        <f>IF($A759="","",IF(BO759=1,$D759,MIN($D759,BS758)))</f>
        <v>0</v>
      </c>
      <c r="BT759">
        <f>IF($A759="","",IF(BP759=1,F759,""))</f>
        <v>0</v>
      </c>
    </row>
    <row r="760" spans="1:72">
      <c r="A760" s="27">
        <f>IF(Data!$A760="","",Data!$A760)</f>
        <v>0</v>
      </c>
      <c r="B760">
        <f>IF(Data!$B760="","",Data!$B760)</f>
        <v>0</v>
      </c>
      <c r="C760">
        <f>IF(Data!$C760="","",Data!$C760)</f>
        <v>0</v>
      </c>
      <c r="D760">
        <f>IF(Data!$D760="","",Data!$D760)</f>
        <v>0</v>
      </c>
      <c r="E760">
        <f>IF(Data!$E760="","",Data!$E760)</f>
        <v>0</v>
      </c>
      <c r="F760">
        <f>IF($E760="","",N(F759)+1)</f>
        <v>0</v>
      </c>
      <c r="G760">
        <f>IF(OR($E760="",$E759=""),"",LN($E760/$E759))</f>
        <v>0</v>
      </c>
      <c r="H760">
        <f>IF($E760="","",IF($E759="",$E760,$E760*0.0952380952+H759*0.9047619048))</f>
        <v>0</v>
      </c>
      <c r="I760">
        <f>IF($E760="","",IF($E759="",$E760,$E760*0.0392156863+I759*0.9607843137))</f>
        <v>0</v>
      </c>
      <c r="J760">
        <f>IF($E760="","",IF($E759="",$E760,$E760*0.0198019802+J759*0.9801980198))</f>
        <v>0</v>
      </c>
      <c r="K760">
        <f>IF($E760="","",IF($E759="",$E760,$E760*0.0099502488+K759*0.9900497512))</f>
        <v>0</v>
      </c>
      <c r="L760">
        <f>IF(OR($E760="",$E759=""),"",MAX($E760-$E759,0))</f>
        <v>0</v>
      </c>
      <c r="M760">
        <f>IF(OR($E760="",$E759=""),"",MAX($E759-$E760,0))</f>
        <v>0</v>
      </c>
      <c r="N760">
        <f>IF(COUNT($E$2:$E760)&lt;15,"",IF(AVERAGE($M$747:$M$760)=0,100,100-100/(1+AVERAGE($L$747:$L$760)/AVERAGE($M$747:$M$760))))</f>
        <v>0</v>
      </c>
      <c r="O760">
        <f>IF($E760="","",IF($E759="",$E760,$E760*0.1538461538+O759*0.8461538462))</f>
        <v>0</v>
      </c>
      <c r="P760">
        <f>IF($E760="","",IF($E759="",$E760,$E760*0.0740740741+P759*0.9259259259))</f>
        <v>0</v>
      </c>
      <c r="Q760">
        <f>IF(OR(O760="",P760=""),"",O760-P760)</f>
        <v>0</v>
      </c>
      <c r="R760">
        <f>IF(Q760="","",IF(R759="",Q760,Q760*0.2000000000+R759*0.8000000000))</f>
        <v>0</v>
      </c>
      <c r="S760">
        <f>IF(OR(Q760="",R760=""),"",Q760-R760)</f>
        <v>0</v>
      </c>
      <c r="T760">
        <f>IF(COUNT($E$2:$E760)&lt;14,"",MAX($C$747:$C$760))</f>
        <v>0</v>
      </c>
      <c r="U760">
        <f>IF(COUNT($E$2:$E760)&lt;14,"",MIN($D$747:$D$760))</f>
        <v>0</v>
      </c>
      <c r="V760">
        <f>IF(OR(T760="",U760="",T760=U760),"",100*($E760-U760)/(T760-U760))</f>
        <v>0</v>
      </c>
      <c r="W760">
        <f>IF(COUNT($V$758:$V$760)&lt;3,"",AVERAGE($V$758:$V$760))</f>
        <v>0</v>
      </c>
      <c r="X760">
        <f>IF(COUNT($N$747:$N$760)&lt;14,"",MIN($N$747:$N$760))</f>
        <v>0</v>
      </c>
      <c r="Y760">
        <f>IF(COUNT($N$747:$N$760)&lt;14,"",MAX($N$747:$N$760))</f>
        <v>0</v>
      </c>
      <c r="Z760">
        <f>IF(OR(N760="",X760="",Y760="",Y760=X760),"",100*(N760-X760)/(Y760-X760))</f>
        <v>0</v>
      </c>
      <c r="AA760">
        <f>IF(COUNT($Z$758:$Z$760)&lt;3,"",AVERAGE($Z$758:$Z$760))</f>
        <v>0</v>
      </c>
      <c r="AB760">
        <f>IF(COUNT($AA$758:$AA$760)&lt;3,"",AVERAGE($AA$758:$AA$760))</f>
        <v>0</v>
      </c>
      <c r="AC760">
        <f>IF($E760="","",MAX($C760-$D760,ABS($C760-$E759),ABS($D760-$E759)))</f>
        <v>0</v>
      </c>
      <c r="AD760">
        <f>IF(COUNT($E$2:$E760)&lt;15,"",AVERAGE($AC$747:$AC$760))</f>
        <v>0</v>
      </c>
      <c r="AE760">
        <f>IF(OR($E760="",$E759=""),"",IF(AND(($C760-$C759)&gt;($D759-$D760),($C760-$C759)&gt;0),$C760-$C759,0))</f>
        <v>0</v>
      </c>
      <c r="AF760">
        <f>IF(OR($E760="",$E759=""),"",IF(AND(($D759-$D760)&gt;($C760-$C759),($D759-$D760)&gt;0),$D759-$D760,0))</f>
        <v>0</v>
      </c>
      <c r="AG760">
        <f>IF(COUNT($E$2:$E760)&lt;15,"",IF(SUM($AC$747:$AC$760)=0,0,100*SUM($AE$747:$AE$760)/SUM($AC$747:$AC$760)))</f>
        <v>0</v>
      </c>
      <c r="AH760">
        <f>IF(COUNT($E$2:$E760)&lt;15,"",IF(SUM($AC$747:$AC$760)=0,0,100*SUM($AF$747:$AF$760)/SUM($AC$747:$AC$760)))</f>
        <v>0</v>
      </c>
      <c r="AI760">
        <f>IF(OR(AG760="",AH760=""),"",IF((AG760+AH760)=0,0,100*ABS(AG760-AH760)/(AG760+AH760)))</f>
        <v>0</v>
      </c>
      <c r="AJ760">
        <f>IF(COUNT($AI$747:$AI$760)&lt;14,"",AVERAGE($AI$747:$AI$760))</f>
        <v>0</v>
      </c>
      <c r="AK760">
        <f>IF(COUNT($E$2:$E760)&lt;20,"",AVERAGE($E$741:$E$760))</f>
        <v>0</v>
      </c>
      <c r="AL760">
        <f>IF(COUNT($E$2:$E760)&lt;20,"",STDEVP($E$741:$E$760))</f>
        <v>0</v>
      </c>
      <c r="AM760">
        <f>IF(AK760="","",AK760+2*AL760)</f>
        <v>0</v>
      </c>
      <c r="AN760">
        <f>IF(AK760="","",AK760-2*AL760)</f>
        <v>0</v>
      </c>
      <c r="AO760">
        <f>IF(OR(AM760="",AN760="",AM760=AN760),"",($E760-AN760)/(AM760-AN760))</f>
        <v>0</v>
      </c>
      <c r="AP760">
        <f>IF(OR(AM760="",AK760="",AK760=0),"",(AM760-AN760)/AK760)</f>
        <v>0</v>
      </c>
      <c r="AQ760">
        <f>IF(COUNT($E$2:$E760)&lt;20,"",MAX($C$741:$C$760))</f>
        <v>0</v>
      </c>
      <c r="AR760">
        <f>IF(COUNT($E$2:$E760)&lt;20,"",MIN($D$741:$D$760))</f>
        <v>0</v>
      </c>
      <c r="AS760">
        <f>IF(OR(AQ760="",AR760=""),"",(AQ760+AR760)/2)</f>
        <v>0</v>
      </c>
      <c r="AT760">
        <f>IF(COUNT($G$741:$G$760)&lt;20,"",STDEV($G$741:$G$760)*SQRT(252))</f>
        <v>0</v>
      </c>
      <c r="AU760">
        <f>IF(COUNT($E$2:$E760)&lt;9,"",(MAX($C$752:$C$760)+MIN($D$752:$D$760))/2)</f>
        <v>0</v>
      </c>
      <c r="AV760">
        <f>IF(COUNT($E$2:$E760)&lt;26,"",(MAX($C$735:$C$760)+MIN($D$735:$D$760))/2)</f>
        <v>0</v>
      </c>
      <c r="AW760">
        <f>IF(OR(AU760="",AV760=""),"",(AU760+AV760)/2)</f>
        <v>0</v>
      </c>
      <c r="AX760">
        <f>IF(COUNT($E$2:$E760)&lt;52,"",(MAX($C$709:$C$760)+MIN($D$709:$D$760))/2)</f>
        <v>0</v>
      </c>
      <c r="AY760">
        <f>IF(COUNT($E$2:$E760)&lt;20,"",MAX($C$661:$C$760))</f>
        <v>0</v>
      </c>
      <c r="AZ760">
        <f>IF(COUNT($E$2:$E760)&lt;20,"",MIN($D$661:$D$760))</f>
        <v>0</v>
      </c>
      <c r="BA760">
        <f>IF(COUNT($E$2:$E760)&lt;20,"",SLOPE($E$661:$E$760,$F$661:$F$760))</f>
        <v>0</v>
      </c>
      <c r="BB760">
        <f>IF(COUNT($E$2:$E760)&lt;20,"",INTERCEPT($E$661:$E$760,$F$661:$F$760))</f>
        <v>0</v>
      </c>
      <c r="BC760">
        <f>IF(OR(BA760="",BB760=""),"",BB760+BA760*F760)</f>
        <v>0</v>
      </c>
      <c r="BD760">
        <f>IF(COUNT($E$2:$E760)&lt;20,"",STEYX($E$661:$E$760,$F$661:$F$760))</f>
        <v>0</v>
      </c>
      <c r="BE760">
        <f>IF($E760="","",IF(AND(COUNT($E$761:$E$764)&gt;=4,$C760=MAX($C$756:$C$764)),$C760,""))</f>
        <v>0</v>
      </c>
      <c r="BF760">
        <f>IF($E760="","",IF(AND(COUNT($E$761:$E$764)&gt;=4,$D760=MIN($D$756:$D$764)),$D760,""))</f>
        <v>0</v>
      </c>
      <c r="BG760">
        <f>IF($A760="","",$A760-WEEKDAY($A760,2)+1)</f>
        <v>0</v>
      </c>
      <c r="BH760">
        <f>IF($A760="","",IF($A759="",1,IF(BG760&lt;&gt;BG759,1,0)))</f>
        <v>0</v>
      </c>
      <c r="BI760">
        <f>IF($A760="","",IF($A761="",1,IF(BG761&lt;&gt;BG760,1,0)))</f>
        <v>0</v>
      </c>
      <c r="BJ760">
        <f>IF($A760="","",IF(BH760=1,$B760,BJ759))</f>
        <v>0</v>
      </c>
      <c r="BK760">
        <f>IF($A760="","",IF(BH760=1,$C760,MAX($C760,BK759)))</f>
        <v>0</v>
      </c>
      <c r="BL760">
        <f>IF($A760="","",IF(BH760=1,$D760,MIN($D760,BL759)))</f>
        <v>0</v>
      </c>
      <c r="BM760">
        <f>IF($A760="","",IF(BI760=1,F760,""))</f>
        <v>0</v>
      </c>
      <c r="BN760">
        <f>IF($A760="","",DATE(YEAR($A760),MONTH($A760),1))</f>
        <v>0</v>
      </c>
      <c r="BO760">
        <f>IF($A760="","",IF($A759="",1,IF(BN760&lt;&gt;BN759,1,0)))</f>
        <v>0</v>
      </c>
      <c r="BP760">
        <f>IF($A760="","",IF($A761="",1,IF(BN761&lt;&gt;BN760,1,0)))</f>
        <v>0</v>
      </c>
      <c r="BQ760">
        <f>IF($A760="","",IF(BO760=1,$B760,BQ759))</f>
        <v>0</v>
      </c>
      <c r="BR760">
        <f>IF($A760="","",IF(BO760=1,$C760,MAX($C760,BR759)))</f>
        <v>0</v>
      </c>
      <c r="BS760">
        <f>IF($A760="","",IF(BO760=1,$D760,MIN($D760,BS759)))</f>
        <v>0</v>
      </c>
      <c r="BT760">
        <f>IF($A760="","",IF(BP760=1,F760,""))</f>
        <v>0</v>
      </c>
    </row>
    <row r="761" spans="1:72">
      <c r="A761" s="27">
        <f>IF(Data!$A761="","",Data!$A761)</f>
        <v>0</v>
      </c>
      <c r="B761">
        <f>IF(Data!$B761="","",Data!$B761)</f>
        <v>0</v>
      </c>
      <c r="C761">
        <f>IF(Data!$C761="","",Data!$C761)</f>
        <v>0</v>
      </c>
      <c r="D761">
        <f>IF(Data!$D761="","",Data!$D761)</f>
        <v>0</v>
      </c>
      <c r="E761">
        <f>IF(Data!$E761="","",Data!$E761)</f>
        <v>0</v>
      </c>
      <c r="F761">
        <f>IF($E761="","",N(F760)+1)</f>
        <v>0</v>
      </c>
      <c r="G761">
        <f>IF(OR($E761="",$E760=""),"",LN($E761/$E760))</f>
        <v>0</v>
      </c>
      <c r="H761">
        <f>IF($E761="","",IF($E760="",$E761,$E761*0.0952380952+H760*0.9047619048))</f>
        <v>0</v>
      </c>
      <c r="I761">
        <f>IF($E761="","",IF($E760="",$E761,$E761*0.0392156863+I760*0.9607843137))</f>
        <v>0</v>
      </c>
      <c r="J761">
        <f>IF($E761="","",IF($E760="",$E761,$E761*0.0198019802+J760*0.9801980198))</f>
        <v>0</v>
      </c>
      <c r="K761">
        <f>IF($E761="","",IF($E760="",$E761,$E761*0.0099502488+K760*0.9900497512))</f>
        <v>0</v>
      </c>
      <c r="L761">
        <f>IF(OR($E761="",$E760=""),"",MAX($E761-$E760,0))</f>
        <v>0</v>
      </c>
      <c r="M761">
        <f>IF(OR($E761="",$E760=""),"",MAX($E760-$E761,0))</f>
        <v>0</v>
      </c>
      <c r="N761">
        <f>IF(COUNT($E$2:$E761)&lt;15,"",IF(AVERAGE($M$748:$M$761)=0,100,100-100/(1+AVERAGE($L$748:$L$761)/AVERAGE($M$748:$M$761))))</f>
        <v>0</v>
      </c>
      <c r="O761">
        <f>IF($E761="","",IF($E760="",$E761,$E761*0.1538461538+O760*0.8461538462))</f>
        <v>0</v>
      </c>
      <c r="P761">
        <f>IF($E761="","",IF($E760="",$E761,$E761*0.0740740741+P760*0.9259259259))</f>
        <v>0</v>
      </c>
      <c r="Q761">
        <f>IF(OR(O761="",P761=""),"",O761-P761)</f>
        <v>0</v>
      </c>
      <c r="R761">
        <f>IF(Q761="","",IF(R760="",Q761,Q761*0.2000000000+R760*0.8000000000))</f>
        <v>0</v>
      </c>
      <c r="S761">
        <f>IF(OR(Q761="",R761=""),"",Q761-R761)</f>
        <v>0</v>
      </c>
      <c r="T761">
        <f>IF(COUNT($E$2:$E761)&lt;14,"",MAX($C$748:$C$761))</f>
        <v>0</v>
      </c>
      <c r="U761">
        <f>IF(COUNT($E$2:$E761)&lt;14,"",MIN($D$748:$D$761))</f>
        <v>0</v>
      </c>
      <c r="V761">
        <f>IF(OR(T761="",U761="",T761=U761),"",100*($E761-U761)/(T761-U761))</f>
        <v>0</v>
      </c>
      <c r="W761">
        <f>IF(COUNT($V$759:$V$761)&lt;3,"",AVERAGE($V$759:$V$761))</f>
        <v>0</v>
      </c>
      <c r="X761">
        <f>IF(COUNT($N$748:$N$761)&lt;14,"",MIN($N$748:$N$761))</f>
        <v>0</v>
      </c>
      <c r="Y761">
        <f>IF(COUNT($N$748:$N$761)&lt;14,"",MAX($N$748:$N$761))</f>
        <v>0</v>
      </c>
      <c r="Z761">
        <f>IF(OR(N761="",X761="",Y761="",Y761=X761),"",100*(N761-X761)/(Y761-X761))</f>
        <v>0</v>
      </c>
      <c r="AA761">
        <f>IF(COUNT($Z$759:$Z$761)&lt;3,"",AVERAGE($Z$759:$Z$761))</f>
        <v>0</v>
      </c>
      <c r="AB761">
        <f>IF(COUNT($AA$759:$AA$761)&lt;3,"",AVERAGE($AA$759:$AA$761))</f>
        <v>0</v>
      </c>
      <c r="AC761">
        <f>IF($E761="","",MAX($C761-$D761,ABS($C761-$E760),ABS($D761-$E760)))</f>
        <v>0</v>
      </c>
      <c r="AD761">
        <f>IF(COUNT($E$2:$E761)&lt;15,"",AVERAGE($AC$748:$AC$761))</f>
        <v>0</v>
      </c>
      <c r="AE761">
        <f>IF(OR($E761="",$E760=""),"",IF(AND(($C761-$C760)&gt;($D760-$D761),($C761-$C760)&gt;0),$C761-$C760,0))</f>
        <v>0</v>
      </c>
      <c r="AF761">
        <f>IF(OR($E761="",$E760=""),"",IF(AND(($D760-$D761)&gt;($C761-$C760),($D760-$D761)&gt;0),$D760-$D761,0))</f>
        <v>0</v>
      </c>
      <c r="AG761">
        <f>IF(COUNT($E$2:$E761)&lt;15,"",IF(SUM($AC$748:$AC$761)=0,0,100*SUM($AE$748:$AE$761)/SUM($AC$748:$AC$761)))</f>
        <v>0</v>
      </c>
      <c r="AH761">
        <f>IF(COUNT($E$2:$E761)&lt;15,"",IF(SUM($AC$748:$AC$761)=0,0,100*SUM($AF$748:$AF$761)/SUM($AC$748:$AC$761)))</f>
        <v>0</v>
      </c>
      <c r="AI761">
        <f>IF(OR(AG761="",AH761=""),"",IF((AG761+AH761)=0,0,100*ABS(AG761-AH761)/(AG761+AH761)))</f>
        <v>0</v>
      </c>
      <c r="AJ761">
        <f>IF(COUNT($AI$748:$AI$761)&lt;14,"",AVERAGE($AI$748:$AI$761))</f>
        <v>0</v>
      </c>
      <c r="AK761">
        <f>IF(COUNT($E$2:$E761)&lt;20,"",AVERAGE($E$742:$E$761))</f>
        <v>0</v>
      </c>
      <c r="AL761">
        <f>IF(COUNT($E$2:$E761)&lt;20,"",STDEVP($E$742:$E$761))</f>
        <v>0</v>
      </c>
      <c r="AM761">
        <f>IF(AK761="","",AK761+2*AL761)</f>
        <v>0</v>
      </c>
      <c r="AN761">
        <f>IF(AK761="","",AK761-2*AL761)</f>
        <v>0</v>
      </c>
      <c r="AO761">
        <f>IF(OR(AM761="",AN761="",AM761=AN761),"",($E761-AN761)/(AM761-AN761))</f>
        <v>0</v>
      </c>
      <c r="AP761">
        <f>IF(OR(AM761="",AK761="",AK761=0),"",(AM761-AN761)/AK761)</f>
        <v>0</v>
      </c>
      <c r="AQ761">
        <f>IF(COUNT($E$2:$E761)&lt;20,"",MAX($C$742:$C$761))</f>
        <v>0</v>
      </c>
      <c r="AR761">
        <f>IF(COUNT($E$2:$E761)&lt;20,"",MIN($D$742:$D$761))</f>
        <v>0</v>
      </c>
      <c r="AS761">
        <f>IF(OR(AQ761="",AR761=""),"",(AQ761+AR761)/2)</f>
        <v>0</v>
      </c>
      <c r="AT761">
        <f>IF(COUNT($G$742:$G$761)&lt;20,"",STDEV($G$742:$G$761)*SQRT(252))</f>
        <v>0</v>
      </c>
      <c r="AU761">
        <f>IF(COUNT($E$2:$E761)&lt;9,"",(MAX($C$753:$C$761)+MIN($D$753:$D$761))/2)</f>
        <v>0</v>
      </c>
      <c r="AV761">
        <f>IF(COUNT($E$2:$E761)&lt;26,"",(MAX($C$736:$C$761)+MIN($D$736:$D$761))/2)</f>
        <v>0</v>
      </c>
      <c r="AW761">
        <f>IF(OR(AU761="",AV761=""),"",(AU761+AV761)/2)</f>
        <v>0</v>
      </c>
      <c r="AX761">
        <f>IF(COUNT($E$2:$E761)&lt;52,"",(MAX($C$710:$C$761)+MIN($D$710:$D$761))/2)</f>
        <v>0</v>
      </c>
      <c r="AY761">
        <f>IF(COUNT($E$2:$E761)&lt;20,"",MAX($C$662:$C$761))</f>
        <v>0</v>
      </c>
      <c r="AZ761">
        <f>IF(COUNT($E$2:$E761)&lt;20,"",MIN($D$662:$D$761))</f>
        <v>0</v>
      </c>
      <c r="BA761">
        <f>IF(COUNT($E$2:$E761)&lt;20,"",SLOPE($E$662:$E$761,$F$662:$F$761))</f>
        <v>0</v>
      </c>
      <c r="BB761">
        <f>IF(COUNT($E$2:$E761)&lt;20,"",INTERCEPT($E$662:$E$761,$F$662:$F$761))</f>
        <v>0</v>
      </c>
      <c r="BC761">
        <f>IF(OR(BA761="",BB761=""),"",BB761+BA761*F761)</f>
        <v>0</v>
      </c>
      <c r="BD761">
        <f>IF(COUNT($E$2:$E761)&lt;20,"",STEYX($E$662:$E$761,$F$662:$F$761))</f>
        <v>0</v>
      </c>
      <c r="BE761">
        <f>IF($E761="","",IF(AND(COUNT($E$762:$E$765)&gt;=4,$C761=MAX($C$757:$C$765)),$C761,""))</f>
        <v>0</v>
      </c>
      <c r="BF761">
        <f>IF($E761="","",IF(AND(COUNT($E$762:$E$765)&gt;=4,$D761=MIN($D$757:$D$765)),$D761,""))</f>
        <v>0</v>
      </c>
      <c r="BG761">
        <f>IF($A761="","",$A761-WEEKDAY($A761,2)+1)</f>
        <v>0</v>
      </c>
      <c r="BH761">
        <f>IF($A761="","",IF($A760="",1,IF(BG761&lt;&gt;BG760,1,0)))</f>
        <v>0</v>
      </c>
      <c r="BI761">
        <f>IF($A761="","",IF($A762="",1,IF(BG762&lt;&gt;BG761,1,0)))</f>
        <v>0</v>
      </c>
      <c r="BJ761">
        <f>IF($A761="","",IF(BH761=1,$B761,BJ760))</f>
        <v>0</v>
      </c>
      <c r="BK761">
        <f>IF($A761="","",IF(BH761=1,$C761,MAX($C761,BK760)))</f>
        <v>0</v>
      </c>
      <c r="BL761">
        <f>IF($A761="","",IF(BH761=1,$D761,MIN($D761,BL760)))</f>
        <v>0</v>
      </c>
      <c r="BM761">
        <f>IF($A761="","",IF(BI761=1,F761,""))</f>
        <v>0</v>
      </c>
      <c r="BN761">
        <f>IF($A761="","",DATE(YEAR($A761),MONTH($A761),1))</f>
        <v>0</v>
      </c>
      <c r="BO761">
        <f>IF($A761="","",IF($A760="",1,IF(BN761&lt;&gt;BN760,1,0)))</f>
        <v>0</v>
      </c>
      <c r="BP761">
        <f>IF($A761="","",IF($A762="",1,IF(BN762&lt;&gt;BN761,1,0)))</f>
        <v>0</v>
      </c>
      <c r="BQ761">
        <f>IF($A761="","",IF(BO761=1,$B761,BQ760))</f>
        <v>0</v>
      </c>
      <c r="BR761">
        <f>IF($A761="","",IF(BO761=1,$C761,MAX($C761,BR760)))</f>
        <v>0</v>
      </c>
      <c r="BS761">
        <f>IF($A761="","",IF(BO761=1,$D761,MIN($D761,BS760)))</f>
        <v>0</v>
      </c>
      <c r="BT761">
        <f>IF($A761="","",IF(BP761=1,F761,""))</f>
        <v>0</v>
      </c>
    </row>
    <row r="762" spans="1:72">
      <c r="A762" s="27">
        <f>IF(Data!$A762="","",Data!$A762)</f>
        <v>0</v>
      </c>
      <c r="B762">
        <f>IF(Data!$B762="","",Data!$B762)</f>
        <v>0</v>
      </c>
      <c r="C762">
        <f>IF(Data!$C762="","",Data!$C762)</f>
        <v>0</v>
      </c>
      <c r="D762">
        <f>IF(Data!$D762="","",Data!$D762)</f>
        <v>0</v>
      </c>
      <c r="E762">
        <f>IF(Data!$E762="","",Data!$E762)</f>
        <v>0</v>
      </c>
      <c r="F762">
        <f>IF($E762="","",N(F761)+1)</f>
        <v>0</v>
      </c>
      <c r="G762">
        <f>IF(OR($E762="",$E761=""),"",LN($E762/$E761))</f>
        <v>0</v>
      </c>
      <c r="H762">
        <f>IF($E762="","",IF($E761="",$E762,$E762*0.0952380952+H761*0.9047619048))</f>
        <v>0</v>
      </c>
      <c r="I762">
        <f>IF($E762="","",IF($E761="",$E762,$E762*0.0392156863+I761*0.9607843137))</f>
        <v>0</v>
      </c>
      <c r="J762">
        <f>IF($E762="","",IF($E761="",$E762,$E762*0.0198019802+J761*0.9801980198))</f>
        <v>0</v>
      </c>
      <c r="K762">
        <f>IF($E762="","",IF($E761="",$E762,$E762*0.0099502488+K761*0.9900497512))</f>
        <v>0</v>
      </c>
      <c r="L762">
        <f>IF(OR($E762="",$E761=""),"",MAX($E762-$E761,0))</f>
        <v>0</v>
      </c>
      <c r="M762">
        <f>IF(OR($E762="",$E761=""),"",MAX($E761-$E762,0))</f>
        <v>0</v>
      </c>
      <c r="N762">
        <f>IF(COUNT($E$2:$E762)&lt;15,"",IF(AVERAGE($M$749:$M$762)=0,100,100-100/(1+AVERAGE($L$749:$L$762)/AVERAGE($M$749:$M$762))))</f>
        <v>0</v>
      </c>
      <c r="O762">
        <f>IF($E762="","",IF($E761="",$E762,$E762*0.1538461538+O761*0.8461538462))</f>
        <v>0</v>
      </c>
      <c r="P762">
        <f>IF($E762="","",IF($E761="",$E762,$E762*0.0740740741+P761*0.9259259259))</f>
        <v>0</v>
      </c>
      <c r="Q762">
        <f>IF(OR(O762="",P762=""),"",O762-P762)</f>
        <v>0</v>
      </c>
      <c r="R762">
        <f>IF(Q762="","",IF(R761="",Q762,Q762*0.2000000000+R761*0.8000000000))</f>
        <v>0</v>
      </c>
      <c r="S762">
        <f>IF(OR(Q762="",R762=""),"",Q762-R762)</f>
        <v>0</v>
      </c>
      <c r="T762">
        <f>IF(COUNT($E$2:$E762)&lt;14,"",MAX($C$749:$C$762))</f>
        <v>0</v>
      </c>
      <c r="U762">
        <f>IF(COUNT($E$2:$E762)&lt;14,"",MIN($D$749:$D$762))</f>
        <v>0</v>
      </c>
      <c r="V762">
        <f>IF(OR(T762="",U762="",T762=U762),"",100*($E762-U762)/(T762-U762))</f>
        <v>0</v>
      </c>
      <c r="W762">
        <f>IF(COUNT($V$760:$V$762)&lt;3,"",AVERAGE($V$760:$V$762))</f>
        <v>0</v>
      </c>
      <c r="X762">
        <f>IF(COUNT($N$749:$N$762)&lt;14,"",MIN($N$749:$N$762))</f>
        <v>0</v>
      </c>
      <c r="Y762">
        <f>IF(COUNT($N$749:$N$762)&lt;14,"",MAX($N$749:$N$762))</f>
        <v>0</v>
      </c>
      <c r="Z762">
        <f>IF(OR(N762="",X762="",Y762="",Y762=X762),"",100*(N762-X762)/(Y762-X762))</f>
        <v>0</v>
      </c>
      <c r="AA762">
        <f>IF(COUNT($Z$760:$Z$762)&lt;3,"",AVERAGE($Z$760:$Z$762))</f>
        <v>0</v>
      </c>
      <c r="AB762">
        <f>IF(COUNT($AA$760:$AA$762)&lt;3,"",AVERAGE($AA$760:$AA$762))</f>
        <v>0</v>
      </c>
      <c r="AC762">
        <f>IF($E762="","",MAX($C762-$D762,ABS($C762-$E761),ABS($D762-$E761)))</f>
        <v>0</v>
      </c>
      <c r="AD762">
        <f>IF(COUNT($E$2:$E762)&lt;15,"",AVERAGE($AC$749:$AC$762))</f>
        <v>0</v>
      </c>
      <c r="AE762">
        <f>IF(OR($E762="",$E761=""),"",IF(AND(($C762-$C761)&gt;($D761-$D762),($C762-$C761)&gt;0),$C762-$C761,0))</f>
        <v>0</v>
      </c>
      <c r="AF762">
        <f>IF(OR($E762="",$E761=""),"",IF(AND(($D761-$D762)&gt;($C762-$C761),($D761-$D762)&gt;0),$D761-$D762,0))</f>
        <v>0</v>
      </c>
      <c r="AG762">
        <f>IF(COUNT($E$2:$E762)&lt;15,"",IF(SUM($AC$749:$AC$762)=0,0,100*SUM($AE$749:$AE$762)/SUM($AC$749:$AC$762)))</f>
        <v>0</v>
      </c>
      <c r="AH762">
        <f>IF(COUNT($E$2:$E762)&lt;15,"",IF(SUM($AC$749:$AC$762)=0,0,100*SUM($AF$749:$AF$762)/SUM($AC$749:$AC$762)))</f>
        <v>0</v>
      </c>
      <c r="AI762">
        <f>IF(OR(AG762="",AH762=""),"",IF((AG762+AH762)=0,0,100*ABS(AG762-AH762)/(AG762+AH762)))</f>
        <v>0</v>
      </c>
      <c r="AJ762">
        <f>IF(COUNT($AI$749:$AI$762)&lt;14,"",AVERAGE($AI$749:$AI$762))</f>
        <v>0</v>
      </c>
      <c r="AK762">
        <f>IF(COUNT($E$2:$E762)&lt;20,"",AVERAGE($E$743:$E$762))</f>
        <v>0</v>
      </c>
      <c r="AL762">
        <f>IF(COUNT($E$2:$E762)&lt;20,"",STDEVP($E$743:$E$762))</f>
        <v>0</v>
      </c>
      <c r="AM762">
        <f>IF(AK762="","",AK762+2*AL762)</f>
        <v>0</v>
      </c>
      <c r="AN762">
        <f>IF(AK762="","",AK762-2*AL762)</f>
        <v>0</v>
      </c>
      <c r="AO762">
        <f>IF(OR(AM762="",AN762="",AM762=AN762),"",($E762-AN762)/(AM762-AN762))</f>
        <v>0</v>
      </c>
      <c r="AP762">
        <f>IF(OR(AM762="",AK762="",AK762=0),"",(AM762-AN762)/AK762)</f>
        <v>0</v>
      </c>
      <c r="AQ762">
        <f>IF(COUNT($E$2:$E762)&lt;20,"",MAX($C$743:$C$762))</f>
        <v>0</v>
      </c>
      <c r="AR762">
        <f>IF(COUNT($E$2:$E762)&lt;20,"",MIN($D$743:$D$762))</f>
        <v>0</v>
      </c>
      <c r="AS762">
        <f>IF(OR(AQ762="",AR762=""),"",(AQ762+AR762)/2)</f>
        <v>0</v>
      </c>
      <c r="AT762">
        <f>IF(COUNT($G$743:$G$762)&lt;20,"",STDEV($G$743:$G$762)*SQRT(252))</f>
        <v>0</v>
      </c>
      <c r="AU762">
        <f>IF(COUNT($E$2:$E762)&lt;9,"",(MAX($C$754:$C$762)+MIN($D$754:$D$762))/2)</f>
        <v>0</v>
      </c>
      <c r="AV762">
        <f>IF(COUNT($E$2:$E762)&lt;26,"",(MAX($C$737:$C$762)+MIN($D$737:$D$762))/2)</f>
        <v>0</v>
      </c>
      <c r="AW762">
        <f>IF(OR(AU762="",AV762=""),"",(AU762+AV762)/2)</f>
        <v>0</v>
      </c>
      <c r="AX762">
        <f>IF(COUNT($E$2:$E762)&lt;52,"",(MAX($C$711:$C$762)+MIN($D$711:$D$762))/2)</f>
        <v>0</v>
      </c>
      <c r="AY762">
        <f>IF(COUNT($E$2:$E762)&lt;20,"",MAX($C$663:$C$762))</f>
        <v>0</v>
      </c>
      <c r="AZ762">
        <f>IF(COUNT($E$2:$E762)&lt;20,"",MIN($D$663:$D$762))</f>
        <v>0</v>
      </c>
      <c r="BA762">
        <f>IF(COUNT($E$2:$E762)&lt;20,"",SLOPE($E$663:$E$762,$F$663:$F$762))</f>
        <v>0</v>
      </c>
      <c r="BB762">
        <f>IF(COUNT($E$2:$E762)&lt;20,"",INTERCEPT($E$663:$E$762,$F$663:$F$762))</f>
        <v>0</v>
      </c>
      <c r="BC762">
        <f>IF(OR(BA762="",BB762=""),"",BB762+BA762*F762)</f>
        <v>0</v>
      </c>
      <c r="BD762">
        <f>IF(COUNT($E$2:$E762)&lt;20,"",STEYX($E$663:$E$762,$F$663:$F$762))</f>
        <v>0</v>
      </c>
      <c r="BE762">
        <f>IF($E762="","",IF(AND(COUNT($E$763:$E$766)&gt;=4,$C762=MAX($C$758:$C$766)),$C762,""))</f>
        <v>0</v>
      </c>
      <c r="BF762">
        <f>IF($E762="","",IF(AND(COUNT($E$763:$E$766)&gt;=4,$D762=MIN($D$758:$D$766)),$D762,""))</f>
        <v>0</v>
      </c>
      <c r="BG762">
        <f>IF($A762="","",$A762-WEEKDAY($A762,2)+1)</f>
        <v>0</v>
      </c>
      <c r="BH762">
        <f>IF($A762="","",IF($A761="",1,IF(BG762&lt;&gt;BG761,1,0)))</f>
        <v>0</v>
      </c>
      <c r="BI762">
        <f>IF($A762="","",IF($A763="",1,IF(BG763&lt;&gt;BG762,1,0)))</f>
        <v>0</v>
      </c>
      <c r="BJ762">
        <f>IF($A762="","",IF(BH762=1,$B762,BJ761))</f>
        <v>0</v>
      </c>
      <c r="BK762">
        <f>IF($A762="","",IF(BH762=1,$C762,MAX($C762,BK761)))</f>
        <v>0</v>
      </c>
      <c r="BL762">
        <f>IF($A762="","",IF(BH762=1,$D762,MIN($D762,BL761)))</f>
        <v>0</v>
      </c>
      <c r="BM762">
        <f>IF($A762="","",IF(BI762=1,F762,""))</f>
        <v>0</v>
      </c>
      <c r="BN762">
        <f>IF($A762="","",DATE(YEAR($A762),MONTH($A762),1))</f>
        <v>0</v>
      </c>
      <c r="BO762">
        <f>IF($A762="","",IF($A761="",1,IF(BN762&lt;&gt;BN761,1,0)))</f>
        <v>0</v>
      </c>
      <c r="BP762">
        <f>IF($A762="","",IF($A763="",1,IF(BN763&lt;&gt;BN762,1,0)))</f>
        <v>0</v>
      </c>
      <c r="BQ762">
        <f>IF($A762="","",IF(BO762=1,$B762,BQ761))</f>
        <v>0</v>
      </c>
      <c r="BR762">
        <f>IF($A762="","",IF(BO762=1,$C762,MAX($C762,BR761)))</f>
        <v>0</v>
      </c>
      <c r="BS762">
        <f>IF($A762="","",IF(BO762=1,$D762,MIN($D762,BS761)))</f>
        <v>0</v>
      </c>
      <c r="BT762">
        <f>IF($A762="","",IF(BP762=1,F762,""))</f>
        <v>0</v>
      </c>
    </row>
    <row r="763" spans="1:72">
      <c r="A763" s="27">
        <f>IF(Data!$A763="","",Data!$A763)</f>
        <v>0</v>
      </c>
      <c r="B763">
        <f>IF(Data!$B763="","",Data!$B763)</f>
        <v>0</v>
      </c>
      <c r="C763">
        <f>IF(Data!$C763="","",Data!$C763)</f>
        <v>0</v>
      </c>
      <c r="D763">
        <f>IF(Data!$D763="","",Data!$D763)</f>
        <v>0</v>
      </c>
      <c r="E763">
        <f>IF(Data!$E763="","",Data!$E763)</f>
        <v>0</v>
      </c>
      <c r="F763">
        <f>IF($E763="","",N(F762)+1)</f>
        <v>0</v>
      </c>
      <c r="G763">
        <f>IF(OR($E763="",$E762=""),"",LN($E763/$E762))</f>
        <v>0</v>
      </c>
      <c r="H763">
        <f>IF($E763="","",IF($E762="",$E763,$E763*0.0952380952+H762*0.9047619048))</f>
        <v>0</v>
      </c>
      <c r="I763">
        <f>IF($E763="","",IF($E762="",$E763,$E763*0.0392156863+I762*0.9607843137))</f>
        <v>0</v>
      </c>
      <c r="J763">
        <f>IF($E763="","",IF($E762="",$E763,$E763*0.0198019802+J762*0.9801980198))</f>
        <v>0</v>
      </c>
      <c r="K763">
        <f>IF($E763="","",IF($E762="",$E763,$E763*0.0099502488+K762*0.9900497512))</f>
        <v>0</v>
      </c>
      <c r="L763">
        <f>IF(OR($E763="",$E762=""),"",MAX($E763-$E762,0))</f>
        <v>0</v>
      </c>
      <c r="M763">
        <f>IF(OR($E763="",$E762=""),"",MAX($E762-$E763,0))</f>
        <v>0</v>
      </c>
      <c r="N763">
        <f>IF(COUNT($E$2:$E763)&lt;15,"",IF(AVERAGE($M$750:$M$763)=0,100,100-100/(1+AVERAGE($L$750:$L$763)/AVERAGE($M$750:$M$763))))</f>
        <v>0</v>
      </c>
      <c r="O763">
        <f>IF($E763="","",IF($E762="",$E763,$E763*0.1538461538+O762*0.8461538462))</f>
        <v>0</v>
      </c>
      <c r="P763">
        <f>IF($E763="","",IF($E762="",$E763,$E763*0.0740740741+P762*0.9259259259))</f>
        <v>0</v>
      </c>
      <c r="Q763">
        <f>IF(OR(O763="",P763=""),"",O763-P763)</f>
        <v>0</v>
      </c>
      <c r="R763">
        <f>IF(Q763="","",IF(R762="",Q763,Q763*0.2000000000+R762*0.8000000000))</f>
        <v>0</v>
      </c>
      <c r="S763">
        <f>IF(OR(Q763="",R763=""),"",Q763-R763)</f>
        <v>0</v>
      </c>
      <c r="T763">
        <f>IF(COUNT($E$2:$E763)&lt;14,"",MAX($C$750:$C$763))</f>
        <v>0</v>
      </c>
      <c r="U763">
        <f>IF(COUNT($E$2:$E763)&lt;14,"",MIN($D$750:$D$763))</f>
        <v>0</v>
      </c>
      <c r="V763">
        <f>IF(OR(T763="",U763="",T763=U763),"",100*($E763-U763)/(T763-U763))</f>
        <v>0</v>
      </c>
      <c r="W763">
        <f>IF(COUNT($V$761:$V$763)&lt;3,"",AVERAGE($V$761:$V$763))</f>
        <v>0</v>
      </c>
      <c r="X763">
        <f>IF(COUNT($N$750:$N$763)&lt;14,"",MIN($N$750:$N$763))</f>
        <v>0</v>
      </c>
      <c r="Y763">
        <f>IF(COUNT($N$750:$N$763)&lt;14,"",MAX($N$750:$N$763))</f>
        <v>0</v>
      </c>
      <c r="Z763">
        <f>IF(OR(N763="",X763="",Y763="",Y763=X763),"",100*(N763-X763)/(Y763-X763))</f>
        <v>0</v>
      </c>
      <c r="AA763">
        <f>IF(COUNT($Z$761:$Z$763)&lt;3,"",AVERAGE($Z$761:$Z$763))</f>
        <v>0</v>
      </c>
      <c r="AB763">
        <f>IF(COUNT($AA$761:$AA$763)&lt;3,"",AVERAGE($AA$761:$AA$763))</f>
        <v>0</v>
      </c>
      <c r="AC763">
        <f>IF($E763="","",MAX($C763-$D763,ABS($C763-$E762),ABS($D763-$E762)))</f>
        <v>0</v>
      </c>
      <c r="AD763">
        <f>IF(COUNT($E$2:$E763)&lt;15,"",AVERAGE($AC$750:$AC$763))</f>
        <v>0</v>
      </c>
      <c r="AE763">
        <f>IF(OR($E763="",$E762=""),"",IF(AND(($C763-$C762)&gt;($D762-$D763),($C763-$C762)&gt;0),$C763-$C762,0))</f>
        <v>0</v>
      </c>
      <c r="AF763">
        <f>IF(OR($E763="",$E762=""),"",IF(AND(($D762-$D763)&gt;($C763-$C762),($D762-$D763)&gt;0),$D762-$D763,0))</f>
        <v>0</v>
      </c>
      <c r="AG763">
        <f>IF(COUNT($E$2:$E763)&lt;15,"",IF(SUM($AC$750:$AC$763)=0,0,100*SUM($AE$750:$AE$763)/SUM($AC$750:$AC$763)))</f>
        <v>0</v>
      </c>
      <c r="AH763">
        <f>IF(COUNT($E$2:$E763)&lt;15,"",IF(SUM($AC$750:$AC$763)=0,0,100*SUM($AF$750:$AF$763)/SUM($AC$750:$AC$763)))</f>
        <v>0</v>
      </c>
      <c r="AI763">
        <f>IF(OR(AG763="",AH763=""),"",IF((AG763+AH763)=0,0,100*ABS(AG763-AH763)/(AG763+AH763)))</f>
        <v>0</v>
      </c>
      <c r="AJ763">
        <f>IF(COUNT($AI$750:$AI$763)&lt;14,"",AVERAGE($AI$750:$AI$763))</f>
        <v>0</v>
      </c>
      <c r="AK763">
        <f>IF(COUNT($E$2:$E763)&lt;20,"",AVERAGE($E$744:$E$763))</f>
        <v>0</v>
      </c>
      <c r="AL763">
        <f>IF(COUNT($E$2:$E763)&lt;20,"",STDEVP($E$744:$E$763))</f>
        <v>0</v>
      </c>
      <c r="AM763">
        <f>IF(AK763="","",AK763+2*AL763)</f>
        <v>0</v>
      </c>
      <c r="AN763">
        <f>IF(AK763="","",AK763-2*AL763)</f>
        <v>0</v>
      </c>
      <c r="AO763">
        <f>IF(OR(AM763="",AN763="",AM763=AN763),"",($E763-AN763)/(AM763-AN763))</f>
        <v>0</v>
      </c>
      <c r="AP763">
        <f>IF(OR(AM763="",AK763="",AK763=0),"",(AM763-AN763)/AK763)</f>
        <v>0</v>
      </c>
      <c r="AQ763">
        <f>IF(COUNT($E$2:$E763)&lt;20,"",MAX($C$744:$C$763))</f>
        <v>0</v>
      </c>
      <c r="AR763">
        <f>IF(COUNT($E$2:$E763)&lt;20,"",MIN($D$744:$D$763))</f>
        <v>0</v>
      </c>
      <c r="AS763">
        <f>IF(OR(AQ763="",AR763=""),"",(AQ763+AR763)/2)</f>
        <v>0</v>
      </c>
      <c r="AT763">
        <f>IF(COUNT($G$744:$G$763)&lt;20,"",STDEV($G$744:$G$763)*SQRT(252))</f>
        <v>0</v>
      </c>
      <c r="AU763">
        <f>IF(COUNT($E$2:$E763)&lt;9,"",(MAX($C$755:$C$763)+MIN($D$755:$D$763))/2)</f>
        <v>0</v>
      </c>
      <c r="AV763">
        <f>IF(COUNT($E$2:$E763)&lt;26,"",(MAX($C$738:$C$763)+MIN($D$738:$D$763))/2)</f>
        <v>0</v>
      </c>
      <c r="AW763">
        <f>IF(OR(AU763="",AV763=""),"",(AU763+AV763)/2)</f>
        <v>0</v>
      </c>
      <c r="AX763">
        <f>IF(COUNT($E$2:$E763)&lt;52,"",(MAX($C$712:$C$763)+MIN($D$712:$D$763))/2)</f>
        <v>0</v>
      </c>
      <c r="AY763">
        <f>IF(COUNT($E$2:$E763)&lt;20,"",MAX($C$664:$C$763))</f>
        <v>0</v>
      </c>
      <c r="AZ763">
        <f>IF(COUNT($E$2:$E763)&lt;20,"",MIN($D$664:$D$763))</f>
        <v>0</v>
      </c>
      <c r="BA763">
        <f>IF(COUNT($E$2:$E763)&lt;20,"",SLOPE($E$664:$E$763,$F$664:$F$763))</f>
        <v>0</v>
      </c>
      <c r="BB763">
        <f>IF(COUNT($E$2:$E763)&lt;20,"",INTERCEPT($E$664:$E$763,$F$664:$F$763))</f>
        <v>0</v>
      </c>
      <c r="BC763">
        <f>IF(OR(BA763="",BB763=""),"",BB763+BA763*F763)</f>
        <v>0</v>
      </c>
      <c r="BD763">
        <f>IF(COUNT($E$2:$E763)&lt;20,"",STEYX($E$664:$E$763,$F$664:$F$763))</f>
        <v>0</v>
      </c>
      <c r="BE763">
        <f>IF($E763="","",IF(AND(COUNT($E$764:$E$767)&gt;=4,$C763=MAX($C$759:$C$767)),$C763,""))</f>
        <v>0</v>
      </c>
      <c r="BF763">
        <f>IF($E763="","",IF(AND(COUNT($E$764:$E$767)&gt;=4,$D763=MIN($D$759:$D$767)),$D763,""))</f>
        <v>0</v>
      </c>
      <c r="BG763">
        <f>IF($A763="","",$A763-WEEKDAY($A763,2)+1)</f>
        <v>0</v>
      </c>
      <c r="BH763">
        <f>IF($A763="","",IF($A762="",1,IF(BG763&lt;&gt;BG762,1,0)))</f>
        <v>0</v>
      </c>
      <c r="BI763">
        <f>IF($A763="","",IF($A764="",1,IF(BG764&lt;&gt;BG763,1,0)))</f>
        <v>0</v>
      </c>
      <c r="BJ763">
        <f>IF($A763="","",IF(BH763=1,$B763,BJ762))</f>
        <v>0</v>
      </c>
      <c r="BK763">
        <f>IF($A763="","",IF(BH763=1,$C763,MAX($C763,BK762)))</f>
        <v>0</v>
      </c>
      <c r="BL763">
        <f>IF($A763="","",IF(BH763=1,$D763,MIN($D763,BL762)))</f>
        <v>0</v>
      </c>
      <c r="BM763">
        <f>IF($A763="","",IF(BI763=1,F763,""))</f>
        <v>0</v>
      </c>
      <c r="BN763">
        <f>IF($A763="","",DATE(YEAR($A763),MONTH($A763),1))</f>
        <v>0</v>
      </c>
      <c r="BO763">
        <f>IF($A763="","",IF($A762="",1,IF(BN763&lt;&gt;BN762,1,0)))</f>
        <v>0</v>
      </c>
      <c r="BP763">
        <f>IF($A763="","",IF($A764="",1,IF(BN764&lt;&gt;BN763,1,0)))</f>
        <v>0</v>
      </c>
      <c r="BQ763">
        <f>IF($A763="","",IF(BO763=1,$B763,BQ762))</f>
        <v>0</v>
      </c>
      <c r="BR763">
        <f>IF($A763="","",IF(BO763=1,$C763,MAX($C763,BR762)))</f>
        <v>0</v>
      </c>
      <c r="BS763">
        <f>IF($A763="","",IF(BO763=1,$D763,MIN($D763,BS762)))</f>
        <v>0</v>
      </c>
      <c r="BT763">
        <f>IF($A763="","",IF(BP763=1,F763,""))</f>
        <v>0</v>
      </c>
    </row>
    <row r="764" spans="1:72">
      <c r="A764" s="27">
        <f>IF(Data!$A764="","",Data!$A764)</f>
        <v>0</v>
      </c>
      <c r="B764">
        <f>IF(Data!$B764="","",Data!$B764)</f>
        <v>0</v>
      </c>
      <c r="C764">
        <f>IF(Data!$C764="","",Data!$C764)</f>
        <v>0</v>
      </c>
      <c r="D764">
        <f>IF(Data!$D764="","",Data!$D764)</f>
        <v>0</v>
      </c>
      <c r="E764">
        <f>IF(Data!$E764="","",Data!$E764)</f>
        <v>0</v>
      </c>
      <c r="F764">
        <f>IF($E764="","",N(F763)+1)</f>
        <v>0</v>
      </c>
      <c r="G764">
        <f>IF(OR($E764="",$E763=""),"",LN($E764/$E763))</f>
        <v>0</v>
      </c>
      <c r="H764">
        <f>IF($E764="","",IF($E763="",$E764,$E764*0.0952380952+H763*0.9047619048))</f>
        <v>0</v>
      </c>
      <c r="I764">
        <f>IF($E764="","",IF($E763="",$E764,$E764*0.0392156863+I763*0.9607843137))</f>
        <v>0</v>
      </c>
      <c r="J764">
        <f>IF($E764="","",IF($E763="",$E764,$E764*0.0198019802+J763*0.9801980198))</f>
        <v>0</v>
      </c>
      <c r="K764">
        <f>IF($E764="","",IF($E763="",$E764,$E764*0.0099502488+K763*0.9900497512))</f>
        <v>0</v>
      </c>
      <c r="L764">
        <f>IF(OR($E764="",$E763=""),"",MAX($E764-$E763,0))</f>
        <v>0</v>
      </c>
      <c r="M764">
        <f>IF(OR($E764="",$E763=""),"",MAX($E763-$E764,0))</f>
        <v>0</v>
      </c>
      <c r="N764">
        <f>IF(COUNT($E$2:$E764)&lt;15,"",IF(AVERAGE($M$751:$M$764)=0,100,100-100/(1+AVERAGE($L$751:$L$764)/AVERAGE($M$751:$M$764))))</f>
        <v>0</v>
      </c>
      <c r="O764">
        <f>IF($E764="","",IF($E763="",$E764,$E764*0.1538461538+O763*0.8461538462))</f>
        <v>0</v>
      </c>
      <c r="P764">
        <f>IF($E764="","",IF($E763="",$E764,$E764*0.0740740741+P763*0.9259259259))</f>
        <v>0</v>
      </c>
      <c r="Q764">
        <f>IF(OR(O764="",P764=""),"",O764-P764)</f>
        <v>0</v>
      </c>
      <c r="R764">
        <f>IF(Q764="","",IF(R763="",Q764,Q764*0.2000000000+R763*0.8000000000))</f>
        <v>0</v>
      </c>
      <c r="S764">
        <f>IF(OR(Q764="",R764=""),"",Q764-R764)</f>
        <v>0</v>
      </c>
      <c r="T764">
        <f>IF(COUNT($E$2:$E764)&lt;14,"",MAX($C$751:$C$764))</f>
        <v>0</v>
      </c>
      <c r="U764">
        <f>IF(COUNT($E$2:$E764)&lt;14,"",MIN($D$751:$D$764))</f>
        <v>0</v>
      </c>
      <c r="V764">
        <f>IF(OR(T764="",U764="",T764=U764),"",100*($E764-U764)/(T764-U764))</f>
        <v>0</v>
      </c>
      <c r="W764">
        <f>IF(COUNT($V$762:$V$764)&lt;3,"",AVERAGE($V$762:$V$764))</f>
        <v>0</v>
      </c>
      <c r="X764">
        <f>IF(COUNT($N$751:$N$764)&lt;14,"",MIN($N$751:$N$764))</f>
        <v>0</v>
      </c>
      <c r="Y764">
        <f>IF(COUNT($N$751:$N$764)&lt;14,"",MAX($N$751:$N$764))</f>
        <v>0</v>
      </c>
      <c r="Z764">
        <f>IF(OR(N764="",X764="",Y764="",Y764=X764),"",100*(N764-X764)/(Y764-X764))</f>
        <v>0</v>
      </c>
      <c r="AA764">
        <f>IF(COUNT($Z$762:$Z$764)&lt;3,"",AVERAGE($Z$762:$Z$764))</f>
        <v>0</v>
      </c>
      <c r="AB764">
        <f>IF(COUNT($AA$762:$AA$764)&lt;3,"",AVERAGE($AA$762:$AA$764))</f>
        <v>0</v>
      </c>
      <c r="AC764">
        <f>IF($E764="","",MAX($C764-$D764,ABS($C764-$E763),ABS($D764-$E763)))</f>
        <v>0</v>
      </c>
      <c r="AD764">
        <f>IF(COUNT($E$2:$E764)&lt;15,"",AVERAGE($AC$751:$AC$764))</f>
        <v>0</v>
      </c>
      <c r="AE764">
        <f>IF(OR($E764="",$E763=""),"",IF(AND(($C764-$C763)&gt;($D763-$D764),($C764-$C763)&gt;0),$C764-$C763,0))</f>
        <v>0</v>
      </c>
      <c r="AF764">
        <f>IF(OR($E764="",$E763=""),"",IF(AND(($D763-$D764)&gt;($C764-$C763),($D763-$D764)&gt;0),$D763-$D764,0))</f>
        <v>0</v>
      </c>
      <c r="AG764">
        <f>IF(COUNT($E$2:$E764)&lt;15,"",IF(SUM($AC$751:$AC$764)=0,0,100*SUM($AE$751:$AE$764)/SUM($AC$751:$AC$764)))</f>
        <v>0</v>
      </c>
      <c r="AH764">
        <f>IF(COUNT($E$2:$E764)&lt;15,"",IF(SUM($AC$751:$AC$764)=0,0,100*SUM($AF$751:$AF$764)/SUM($AC$751:$AC$764)))</f>
        <v>0</v>
      </c>
      <c r="AI764">
        <f>IF(OR(AG764="",AH764=""),"",IF((AG764+AH764)=0,0,100*ABS(AG764-AH764)/(AG764+AH764)))</f>
        <v>0</v>
      </c>
      <c r="AJ764">
        <f>IF(COUNT($AI$751:$AI$764)&lt;14,"",AVERAGE($AI$751:$AI$764))</f>
        <v>0</v>
      </c>
      <c r="AK764">
        <f>IF(COUNT($E$2:$E764)&lt;20,"",AVERAGE($E$745:$E$764))</f>
        <v>0</v>
      </c>
      <c r="AL764">
        <f>IF(COUNT($E$2:$E764)&lt;20,"",STDEVP($E$745:$E$764))</f>
        <v>0</v>
      </c>
      <c r="AM764">
        <f>IF(AK764="","",AK764+2*AL764)</f>
        <v>0</v>
      </c>
      <c r="AN764">
        <f>IF(AK764="","",AK764-2*AL764)</f>
        <v>0</v>
      </c>
      <c r="AO764">
        <f>IF(OR(AM764="",AN764="",AM764=AN764),"",($E764-AN764)/(AM764-AN764))</f>
        <v>0</v>
      </c>
      <c r="AP764">
        <f>IF(OR(AM764="",AK764="",AK764=0),"",(AM764-AN764)/AK764)</f>
        <v>0</v>
      </c>
      <c r="AQ764">
        <f>IF(COUNT($E$2:$E764)&lt;20,"",MAX($C$745:$C$764))</f>
        <v>0</v>
      </c>
      <c r="AR764">
        <f>IF(COUNT($E$2:$E764)&lt;20,"",MIN($D$745:$D$764))</f>
        <v>0</v>
      </c>
      <c r="AS764">
        <f>IF(OR(AQ764="",AR764=""),"",(AQ764+AR764)/2)</f>
        <v>0</v>
      </c>
      <c r="AT764">
        <f>IF(COUNT($G$745:$G$764)&lt;20,"",STDEV($G$745:$G$764)*SQRT(252))</f>
        <v>0</v>
      </c>
      <c r="AU764">
        <f>IF(COUNT($E$2:$E764)&lt;9,"",(MAX($C$756:$C$764)+MIN($D$756:$D$764))/2)</f>
        <v>0</v>
      </c>
      <c r="AV764">
        <f>IF(COUNT($E$2:$E764)&lt;26,"",(MAX($C$739:$C$764)+MIN($D$739:$D$764))/2)</f>
        <v>0</v>
      </c>
      <c r="AW764">
        <f>IF(OR(AU764="",AV764=""),"",(AU764+AV764)/2)</f>
        <v>0</v>
      </c>
      <c r="AX764">
        <f>IF(COUNT($E$2:$E764)&lt;52,"",(MAX($C$713:$C$764)+MIN($D$713:$D$764))/2)</f>
        <v>0</v>
      </c>
      <c r="AY764">
        <f>IF(COUNT($E$2:$E764)&lt;20,"",MAX($C$665:$C$764))</f>
        <v>0</v>
      </c>
      <c r="AZ764">
        <f>IF(COUNT($E$2:$E764)&lt;20,"",MIN($D$665:$D$764))</f>
        <v>0</v>
      </c>
      <c r="BA764">
        <f>IF(COUNT($E$2:$E764)&lt;20,"",SLOPE($E$665:$E$764,$F$665:$F$764))</f>
        <v>0</v>
      </c>
      <c r="BB764">
        <f>IF(COUNT($E$2:$E764)&lt;20,"",INTERCEPT($E$665:$E$764,$F$665:$F$764))</f>
        <v>0</v>
      </c>
      <c r="BC764">
        <f>IF(OR(BA764="",BB764=""),"",BB764+BA764*F764)</f>
        <v>0</v>
      </c>
      <c r="BD764">
        <f>IF(COUNT($E$2:$E764)&lt;20,"",STEYX($E$665:$E$764,$F$665:$F$764))</f>
        <v>0</v>
      </c>
      <c r="BE764">
        <f>IF($E764="","",IF(AND(COUNT($E$765:$E$768)&gt;=4,$C764=MAX($C$760:$C$768)),$C764,""))</f>
        <v>0</v>
      </c>
      <c r="BF764">
        <f>IF($E764="","",IF(AND(COUNT($E$765:$E$768)&gt;=4,$D764=MIN($D$760:$D$768)),$D764,""))</f>
        <v>0</v>
      </c>
      <c r="BG764">
        <f>IF($A764="","",$A764-WEEKDAY($A764,2)+1)</f>
        <v>0</v>
      </c>
      <c r="BH764">
        <f>IF($A764="","",IF($A763="",1,IF(BG764&lt;&gt;BG763,1,0)))</f>
        <v>0</v>
      </c>
      <c r="BI764">
        <f>IF($A764="","",IF($A765="",1,IF(BG765&lt;&gt;BG764,1,0)))</f>
        <v>0</v>
      </c>
      <c r="BJ764">
        <f>IF($A764="","",IF(BH764=1,$B764,BJ763))</f>
        <v>0</v>
      </c>
      <c r="BK764">
        <f>IF($A764="","",IF(BH764=1,$C764,MAX($C764,BK763)))</f>
        <v>0</v>
      </c>
      <c r="BL764">
        <f>IF($A764="","",IF(BH764=1,$D764,MIN($D764,BL763)))</f>
        <v>0</v>
      </c>
      <c r="BM764">
        <f>IF($A764="","",IF(BI764=1,F764,""))</f>
        <v>0</v>
      </c>
      <c r="BN764">
        <f>IF($A764="","",DATE(YEAR($A764),MONTH($A764),1))</f>
        <v>0</v>
      </c>
      <c r="BO764">
        <f>IF($A764="","",IF($A763="",1,IF(BN764&lt;&gt;BN763,1,0)))</f>
        <v>0</v>
      </c>
      <c r="BP764">
        <f>IF($A764="","",IF($A765="",1,IF(BN765&lt;&gt;BN764,1,0)))</f>
        <v>0</v>
      </c>
      <c r="BQ764">
        <f>IF($A764="","",IF(BO764=1,$B764,BQ763))</f>
        <v>0</v>
      </c>
      <c r="BR764">
        <f>IF($A764="","",IF(BO764=1,$C764,MAX($C764,BR763)))</f>
        <v>0</v>
      </c>
      <c r="BS764">
        <f>IF($A764="","",IF(BO764=1,$D764,MIN($D764,BS763)))</f>
        <v>0</v>
      </c>
      <c r="BT764">
        <f>IF($A764="","",IF(BP764=1,F764,""))</f>
        <v>0</v>
      </c>
    </row>
    <row r="765" spans="1:72">
      <c r="A765" s="27">
        <f>IF(Data!$A765="","",Data!$A765)</f>
        <v>0</v>
      </c>
      <c r="B765">
        <f>IF(Data!$B765="","",Data!$B765)</f>
        <v>0</v>
      </c>
      <c r="C765">
        <f>IF(Data!$C765="","",Data!$C765)</f>
        <v>0</v>
      </c>
      <c r="D765">
        <f>IF(Data!$D765="","",Data!$D765)</f>
        <v>0</v>
      </c>
      <c r="E765">
        <f>IF(Data!$E765="","",Data!$E765)</f>
        <v>0</v>
      </c>
      <c r="F765">
        <f>IF($E765="","",N(F764)+1)</f>
        <v>0</v>
      </c>
      <c r="G765">
        <f>IF(OR($E765="",$E764=""),"",LN($E765/$E764))</f>
        <v>0</v>
      </c>
      <c r="H765">
        <f>IF($E765="","",IF($E764="",$E765,$E765*0.0952380952+H764*0.9047619048))</f>
        <v>0</v>
      </c>
      <c r="I765">
        <f>IF($E765="","",IF($E764="",$E765,$E765*0.0392156863+I764*0.9607843137))</f>
        <v>0</v>
      </c>
      <c r="J765">
        <f>IF($E765="","",IF($E764="",$E765,$E765*0.0198019802+J764*0.9801980198))</f>
        <v>0</v>
      </c>
      <c r="K765">
        <f>IF($E765="","",IF($E764="",$E765,$E765*0.0099502488+K764*0.9900497512))</f>
        <v>0</v>
      </c>
      <c r="L765">
        <f>IF(OR($E765="",$E764=""),"",MAX($E765-$E764,0))</f>
        <v>0</v>
      </c>
      <c r="M765">
        <f>IF(OR($E765="",$E764=""),"",MAX($E764-$E765,0))</f>
        <v>0</v>
      </c>
      <c r="N765">
        <f>IF(COUNT($E$2:$E765)&lt;15,"",IF(AVERAGE($M$752:$M$765)=0,100,100-100/(1+AVERAGE($L$752:$L$765)/AVERAGE($M$752:$M$765))))</f>
        <v>0</v>
      </c>
      <c r="O765">
        <f>IF($E765="","",IF($E764="",$E765,$E765*0.1538461538+O764*0.8461538462))</f>
        <v>0</v>
      </c>
      <c r="P765">
        <f>IF($E765="","",IF($E764="",$E765,$E765*0.0740740741+P764*0.9259259259))</f>
        <v>0</v>
      </c>
      <c r="Q765">
        <f>IF(OR(O765="",P765=""),"",O765-P765)</f>
        <v>0</v>
      </c>
      <c r="R765">
        <f>IF(Q765="","",IF(R764="",Q765,Q765*0.2000000000+R764*0.8000000000))</f>
        <v>0</v>
      </c>
      <c r="S765">
        <f>IF(OR(Q765="",R765=""),"",Q765-R765)</f>
        <v>0</v>
      </c>
      <c r="T765">
        <f>IF(COUNT($E$2:$E765)&lt;14,"",MAX($C$752:$C$765))</f>
        <v>0</v>
      </c>
      <c r="U765">
        <f>IF(COUNT($E$2:$E765)&lt;14,"",MIN($D$752:$D$765))</f>
        <v>0</v>
      </c>
      <c r="V765">
        <f>IF(OR(T765="",U765="",T765=U765),"",100*($E765-U765)/(T765-U765))</f>
        <v>0</v>
      </c>
      <c r="W765">
        <f>IF(COUNT($V$763:$V$765)&lt;3,"",AVERAGE($V$763:$V$765))</f>
        <v>0</v>
      </c>
      <c r="X765">
        <f>IF(COUNT($N$752:$N$765)&lt;14,"",MIN($N$752:$N$765))</f>
        <v>0</v>
      </c>
      <c r="Y765">
        <f>IF(COUNT($N$752:$N$765)&lt;14,"",MAX($N$752:$N$765))</f>
        <v>0</v>
      </c>
      <c r="Z765">
        <f>IF(OR(N765="",X765="",Y765="",Y765=X765),"",100*(N765-X765)/(Y765-X765))</f>
        <v>0</v>
      </c>
      <c r="AA765">
        <f>IF(COUNT($Z$763:$Z$765)&lt;3,"",AVERAGE($Z$763:$Z$765))</f>
        <v>0</v>
      </c>
      <c r="AB765">
        <f>IF(COUNT($AA$763:$AA$765)&lt;3,"",AVERAGE($AA$763:$AA$765))</f>
        <v>0</v>
      </c>
      <c r="AC765">
        <f>IF($E765="","",MAX($C765-$D765,ABS($C765-$E764),ABS($D765-$E764)))</f>
        <v>0</v>
      </c>
      <c r="AD765">
        <f>IF(COUNT($E$2:$E765)&lt;15,"",AVERAGE($AC$752:$AC$765))</f>
        <v>0</v>
      </c>
      <c r="AE765">
        <f>IF(OR($E765="",$E764=""),"",IF(AND(($C765-$C764)&gt;($D764-$D765),($C765-$C764)&gt;0),$C765-$C764,0))</f>
        <v>0</v>
      </c>
      <c r="AF765">
        <f>IF(OR($E765="",$E764=""),"",IF(AND(($D764-$D765)&gt;($C765-$C764),($D764-$D765)&gt;0),$D764-$D765,0))</f>
        <v>0</v>
      </c>
      <c r="AG765">
        <f>IF(COUNT($E$2:$E765)&lt;15,"",IF(SUM($AC$752:$AC$765)=0,0,100*SUM($AE$752:$AE$765)/SUM($AC$752:$AC$765)))</f>
        <v>0</v>
      </c>
      <c r="AH765">
        <f>IF(COUNT($E$2:$E765)&lt;15,"",IF(SUM($AC$752:$AC$765)=0,0,100*SUM($AF$752:$AF$765)/SUM($AC$752:$AC$765)))</f>
        <v>0</v>
      </c>
      <c r="AI765">
        <f>IF(OR(AG765="",AH765=""),"",IF((AG765+AH765)=0,0,100*ABS(AG765-AH765)/(AG765+AH765)))</f>
        <v>0</v>
      </c>
      <c r="AJ765">
        <f>IF(COUNT($AI$752:$AI$765)&lt;14,"",AVERAGE($AI$752:$AI$765))</f>
        <v>0</v>
      </c>
      <c r="AK765">
        <f>IF(COUNT($E$2:$E765)&lt;20,"",AVERAGE($E$746:$E$765))</f>
        <v>0</v>
      </c>
      <c r="AL765">
        <f>IF(COUNT($E$2:$E765)&lt;20,"",STDEVP($E$746:$E$765))</f>
        <v>0</v>
      </c>
      <c r="AM765">
        <f>IF(AK765="","",AK765+2*AL765)</f>
        <v>0</v>
      </c>
      <c r="AN765">
        <f>IF(AK765="","",AK765-2*AL765)</f>
        <v>0</v>
      </c>
      <c r="AO765">
        <f>IF(OR(AM765="",AN765="",AM765=AN765),"",($E765-AN765)/(AM765-AN765))</f>
        <v>0</v>
      </c>
      <c r="AP765">
        <f>IF(OR(AM765="",AK765="",AK765=0),"",(AM765-AN765)/AK765)</f>
        <v>0</v>
      </c>
      <c r="AQ765">
        <f>IF(COUNT($E$2:$E765)&lt;20,"",MAX($C$746:$C$765))</f>
        <v>0</v>
      </c>
      <c r="AR765">
        <f>IF(COUNT($E$2:$E765)&lt;20,"",MIN($D$746:$D$765))</f>
        <v>0</v>
      </c>
      <c r="AS765">
        <f>IF(OR(AQ765="",AR765=""),"",(AQ765+AR765)/2)</f>
        <v>0</v>
      </c>
      <c r="AT765">
        <f>IF(COUNT($G$746:$G$765)&lt;20,"",STDEV($G$746:$G$765)*SQRT(252))</f>
        <v>0</v>
      </c>
      <c r="AU765">
        <f>IF(COUNT($E$2:$E765)&lt;9,"",(MAX($C$757:$C$765)+MIN($D$757:$D$765))/2)</f>
        <v>0</v>
      </c>
      <c r="AV765">
        <f>IF(COUNT($E$2:$E765)&lt;26,"",(MAX($C$740:$C$765)+MIN($D$740:$D$765))/2)</f>
        <v>0</v>
      </c>
      <c r="AW765">
        <f>IF(OR(AU765="",AV765=""),"",(AU765+AV765)/2)</f>
        <v>0</v>
      </c>
      <c r="AX765">
        <f>IF(COUNT($E$2:$E765)&lt;52,"",(MAX($C$714:$C$765)+MIN($D$714:$D$765))/2)</f>
        <v>0</v>
      </c>
      <c r="AY765">
        <f>IF(COUNT($E$2:$E765)&lt;20,"",MAX($C$666:$C$765))</f>
        <v>0</v>
      </c>
      <c r="AZ765">
        <f>IF(COUNT($E$2:$E765)&lt;20,"",MIN($D$666:$D$765))</f>
        <v>0</v>
      </c>
      <c r="BA765">
        <f>IF(COUNT($E$2:$E765)&lt;20,"",SLOPE($E$666:$E$765,$F$666:$F$765))</f>
        <v>0</v>
      </c>
      <c r="BB765">
        <f>IF(COUNT($E$2:$E765)&lt;20,"",INTERCEPT($E$666:$E$765,$F$666:$F$765))</f>
        <v>0</v>
      </c>
      <c r="BC765">
        <f>IF(OR(BA765="",BB765=""),"",BB765+BA765*F765)</f>
        <v>0</v>
      </c>
      <c r="BD765">
        <f>IF(COUNT($E$2:$E765)&lt;20,"",STEYX($E$666:$E$765,$F$666:$F$765))</f>
        <v>0</v>
      </c>
      <c r="BE765">
        <f>IF($E765="","",IF(AND(COUNT($E$766:$E$769)&gt;=4,$C765=MAX($C$761:$C$769)),$C765,""))</f>
        <v>0</v>
      </c>
      <c r="BF765">
        <f>IF($E765="","",IF(AND(COUNT($E$766:$E$769)&gt;=4,$D765=MIN($D$761:$D$769)),$D765,""))</f>
        <v>0</v>
      </c>
      <c r="BG765">
        <f>IF($A765="","",$A765-WEEKDAY($A765,2)+1)</f>
        <v>0</v>
      </c>
      <c r="BH765">
        <f>IF($A765="","",IF($A764="",1,IF(BG765&lt;&gt;BG764,1,0)))</f>
        <v>0</v>
      </c>
      <c r="BI765">
        <f>IF($A765="","",IF($A766="",1,IF(BG766&lt;&gt;BG765,1,0)))</f>
        <v>0</v>
      </c>
      <c r="BJ765">
        <f>IF($A765="","",IF(BH765=1,$B765,BJ764))</f>
        <v>0</v>
      </c>
      <c r="BK765">
        <f>IF($A765="","",IF(BH765=1,$C765,MAX($C765,BK764)))</f>
        <v>0</v>
      </c>
      <c r="BL765">
        <f>IF($A765="","",IF(BH765=1,$D765,MIN($D765,BL764)))</f>
        <v>0</v>
      </c>
      <c r="BM765">
        <f>IF($A765="","",IF(BI765=1,F765,""))</f>
        <v>0</v>
      </c>
      <c r="BN765">
        <f>IF($A765="","",DATE(YEAR($A765),MONTH($A765),1))</f>
        <v>0</v>
      </c>
      <c r="BO765">
        <f>IF($A765="","",IF($A764="",1,IF(BN765&lt;&gt;BN764,1,0)))</f>
        <v>0</v>
      </c>
      <c r="BP765">
        <f>IF($A765="","",IF($A766="",1,IF(BN766&lt;&gt;BN765,1,0)))</f>
        <v>0</v>
      </c>
      <c r="BQ765">
        <f>IF($A765="","",IF(BO765=1,$B765,BQ764))</f>
        <v>0</v>
      </c>
      <c r="BR765">
        <f>IF($A765="","",IF(BO765=1,$C765,MAX($C765,BR764)))</f>
        <v>0</v>
      </c>
      <c r="BS765">
        <f>IF($A765="","",IF(BO765=1,$D765,MIN($D765,BS764)))</f>
        <v>0</v>
      </c>
      <c r="BT765">
        <f>IF($A765="","",IF(BP765=1,F765,""))</f>
        <v>0</v>
      </c>
    </row>
    <row r="766" spans="1:72">
      <c r="A766" s="27">
        <f>IF(Data!$A766="","",Data!$A766)</f>
        <v>0</v>
      </c>
      <c r="B766">
        <f>IF(Data!$B766="","",Data!$B766)</f>
        <v>0</v>
      </c>
      <c r="C766">
        <f>IF(Data!$C766="","",Data!$C766)</f>
        <v>0</v>
      </c>
      <c r="D766">
        <f>IF(Data!$D766="","",Data!$D766)</f>
        <v>0</v>
      </c>
      <c r="E766">
        <f>IF(Data!$E766="","",Data!$E766)</f>
        <v>0</v>
      </c>
      <c r="F766">
        <f>IF($E766="","",N(F765)+1)</f>
        <v>0</v>
      </c>
      <c r="G766">
        <f>IF(OR($E766="",$E765=""),"",LN($E766/$E765))</f>
        <v>0</v>
      </c>
      <c r="H766">
        <f>IF($E766="","",IF($E765="",$E766,$E766*0.0952380952+H765*0.9047619048))</f>
        <v>0</v>
      </c>
      <c r="I766">
        <f>IF($E766="","",IF($E765="",$E766,$E766*0.0392156863+I765*0.9607843137))</f>
        <v>0</v>
      </c>
      <c r="J766">
        <f>IF($E766="","",IF($E765="",$E766,$E766*0.0198019802+J765*0.9801980198))</f>
        <v>0</v>
      </c>
      <c r="K766">
        <f>IF($E766="","",IF($E765="",$E766,$E766*0.0099502488+K765*0.9900497512))</f>
        <v>0</v>
      </c>
      <c r="L766">
        <f>IF(OR($E766="",$E765=""),"",MAX($E766-$E765,0))</f>
        <v>0</v>
      </c>
      <c r="M766">
        <f>IF(OR($E766="",$E765=""),"",MAX($E765-$E766,0))</f>
        <v>0</v>
      </c>
      <c r="N766">
        <f>IF(COUNT($E$2:$E766)&lt;15,"",IF(AVERAGE($M$753:$M$766)=0,100,100-100/(1+AVERAGE($L$753:$L$766)/AVERAGE($M$753:$M$766))))</f>
        <v>0</v>
      </c>
      <c r="O766">
        <f>IF($E766="","",IF($E765="",$E766,$E766*0.1538461538+O765*0.8461538462))</f>
        <v>0</v>
      </c>
      <c r="P766">
        <f>IF($E766="","",IF($E765="",$E766,$E766*0.0740740741+P765*0.9259259259))</f>
        <v>0</v>
      </c>
      <c r="Q766">
        <f>IF(OR(O766="",P766=""),"",O766-P766)</f>
        <v>0</v>
      </c>
      <c r="R766">
        <f>IF(Q766="","",IF(R765="",Q766,Q766*0.2000000000+R765*0.8000000000))</f>
        <v>0</v>
      </c>
      <c r="S766">
        <f>IF(OR(Q766="",R766=""),"",Q766-R766)</f>
        <v>0</v>
      </c>
      <c r="T766">
        <f>IF(COUNT($E$2:$E766)&lt;14,"",MAX($C$753:$C$766))</f>
        <v>0</v>
      </c>
      <c r="U766">
        <f>IF(COUNT($E$2:$E766)&lt;14,"",MIN($D$753:$D$766))</f>
        <v>0</v>
      </c>
      <c r="V766">
        <f>IF(OR(T766="",U766="",T766=U766),"",100*($E766-U766)/(T766-U766))</f>
        <v>0</v>
      </c>
      <c r="W766">
        <f>IF(COUNT($V$764:$V$766)&lt;3,"",AVERAGE($V$764:$V$766))</f>
        <v>0</v>
      </c>
      <c r="X766">
        <f>IF(COUNT($N$753:$N$766)&lt;14,"",MIN($N$753:$N$766))</f>
        <v>0</v>
      </c>
      <c r="Y766">
        <f>IF(COUNT($N$753:$N$766)&lt;14,"",MAX($N$753:$N$766))</f>
        <v>0</v>
      </c>
      <c r="Z766">
        <f>IF(OR(N766="",X766="",Y766="",Y766=X766),"",100*(N766-X766)/(Y766-X766))</f>
        <v>0</v>
      </c>
      <c r="AA766">
        <f>IF(COUNT($Z$764:$Z$766)&lt;3,"",AVERAGE($Z$764:$Z$766))</f>
        <v>0</v>
      </c>
      <c r="AB766">
        <f>IF(COUNT($AA$764:$AA$766)&lt;3,"",AVERAGE($AA$764:$AA$766))</f>
        <v>0</v>
      </c>
      <c r="AC766">
        <f>IF($E766="","",MAX($C766-$D766,ABS($C766-$E765),ABS($D766-$E765)))</f>
        <v>0</v>
      </c>
      <c r="AD766">
        <f>IF(COUNT($E$2:$E766)&lt;15,"",AVERAGE($AC$753:$AC$766))</f>
        <v>0</v>
      </c>
      <c r="AE766">
        <f>IF(OR($E766="",$E765=""),"",IF(AND(($C766-$C765)&gt;($D765-$D766),($C766-$C765)&gt;0),$C766-$C765,0))</f>
        <v>0</v>
      </c>
      <c r="AF766">
        <f>IF(OR($E766="",$E765=""),"",IF(AND(($D765-$D766)&gt;($C766-$C765),($D765-$D766)&gt;0),$D765-$D766,0))</f>
        <v>0</v>
      </c>
      <c r="AG766">
        <f>IF(COUNT($E$2:$E766)&lt;15,"",IF(SUM($AC$753:$AC$766)=0,0,100*SUM($AE$753:$AE$766)/SUM($AC$753:$AC$766)))</f>
        <v>0</v>
      </c>
      <c r="AH766">
        <f>IF(COUNT($E$2:$E766)&lt;15,"",IF(SUM($AC$753:$AC$766)=0,0,100*SUM($AF$753:$AF$766)/SUM($AC$753:$AC$766)))</f>
        <v>0</v>
      </c>
      <c r="AI766">
        <f>IF(OR(AG766="",AH766=""),"",IF((AG766+AH766)=0,0,100*ABS(AG766-AH766)/(AG766+AH766)))</f>
        <v>0</v>
      </c>
      <c r="AJ766">
        <f>IF(COUNT($AI$753:$AI$766)&lt;14,"",AVERAGE($AI$753:$AI$766))</f>
        <v>0</v>
      </c>
      <c r="AK766">
        <f>IF(COUNT($E$2:$E766)&lt;20,"",AVERAGE($E$747:$E$766))</f>
        <v>0</v>
      </c>
      <c r="AL766">
        <f>IF(COUNT($E$2:$E766)&lt;20,"",STDEVP($E$747:$E$766))</f>
        <v>0</v>
      </c>
      <c r="AM766">
        <f>IF(AK766="","",AK766+2*AL766)</f>
        <v>0</v>
      </c>
      <c r="AN766">
        <f>IF(AK766="","",AK766-2*AL766)</f>
        <v>0</v>
      </c>
      <c r="AO766">
        <f>IF(OR(AM766="",AN766="",AM766=AN766),"",($E766-AN766)/(AM766-AN766))</f>
        <v>0</v>
      </c>
      <c r="AP766">
        <f>IF(OR(AM766="",AK766="",AK766=0),"",(AM766-AN766)/AK766)</f>
        <v>0</v>
      </c>
      <c r="AQ766">
        <f>IF(COUNT($E$2:$E766)&lt;20,"",MAX($C$747:$C$766))</f>
        <v>0</v>
      </c>
      <c r="AR766">
        <f>IF(COUNT($E$2:$E766)&lt;20,"",MIN($D$747:$D$766))</f>
        <v>0</v>
      </c>
      <c r="AS766">
        <f>IF(OR(AQ766="",AR766=""),"",(AQ766+AR766)/2)</f>
        <v>0</v>
      </c>
      <c r="AT766">
        <f>IF(COUNT($G$747:$G$766)&lt;20,"",STDEV($G$747:$G$766)*SQRT(252))</f>
        <v>0</v>
      </c>
      <c r="AU766">
        <f>IF(COUNT($E$2:$E766)&lt;9,"",(MAX($C$758:$C$766)+MIN($D$758:$D$766))/2)</f>
        <v>0</v>
      </c>
      <c r="AV766">
        <f>IF(COUNT($E$2:$E766)&lt;26,"",(MAX($C$741:$C$766)+MIN($D$741:$D$766))/2)</f>
        <v>0</v>
      </c>
      <c r="AW766">
        <f>IF(OR(AU766="",AV766=""),"",(AU766+AV766)/2)</f>
        <v>0</v>
      </c>
      <c r="AX766">
        <f>IF(COUNT($E$2:$E766)&lt;52,"",(MAX($C$715:$C$766)+MIN($D$715:$D$766))/2)</f>
        <v>0</v>
      </c>
      <c r="AY766">
        <f>IF(COUNT($E$2:$E766)&lt;20,"",MAX($C$667:$C$766))</f>
        <v>0</v>
      </c>
      <c r="AZ766">
        <f>IF(COUNT($E$2:$E766)&lt;20,"",MIN($D$667:$D$766))</f>
        <v>0</v>
      </c>
      <c r="BA766">
        <f>IF(COUNT($E$2:$E766)&lt;20,"",SLOPE($E$667:$E$766,$F$667:$F$766))</f>
        <v>0</v>
      </c>
      <c r="BB766">
        <f>IF(COUNT($E$2:$E766)&lt;20,"",INTERCEPT($E$667:$E$766,$F$667:$F$766))</f>
        <v>0</v>
      </c>
      <c r="BC766">
        <f>IF(OR(BA766="",BB766=""),"",BB766+BA766*F766)</f>
        <v>0</v>
      </c>
      <c r="BD766">
        <f>IF(COUNT($E$2:$E766)&lt;20,"",STEYX($E$667:$E$766,$F$667:$F$766))</f>
        <v>0</v>
      </c>
      <c r="BE766">
        <f>IF($E766="","",IF(AND(COUNT($E$767:$E$770)&gt;=4,$C766=MAX($C$762:$C$770)),$C766,""))</f>
        <v>0</v>
      </c>
      <c r="BF766">
        <f>IF($E766="","",IF(AND(COUNT($E$767:$E$770)&gt;=4,$D766=MIN($D$762:$D$770)),$D766,""))</f>
        <v>0</v>
      </c>
      <c r="BG766">
        <f>IF($A766="","",$A766-WEEKDAY($A766,2)+1)</f>
        <v>0</v>
      </c>
      <c r="BH766">
        <f>IF($A766="","",IF($A765="",1,IF(BG766&lt;&gt;BG765,1,0)))</f>
        <v>0</v>
      </c>
      <c r="BI766">
        <f>IF($A766="","",IF($A767="",1,IF(BG767&lt;&gt;BG766,1,0)))</f>
        <v>0</v>
      </c>
      <c r="BJ766">
        <f>IF($A766="","",IF(BH766=1,$B766,BJ765))</f>
        <v>0</v>
      </c>
      <c r="BK766">
        <f>IF($A766="","",IF(BH766=1,$C766,MAX($C766,BK765)))</f>
        <v>0</v>
      </c>
      <c r="BL766">
        <f>IF($A766="","",IF(BH766=1,$D766,MIN($D766,BL765)))</f>
        <v>0</v>
      </c>
      <c r="BM766">
        <f>IF($A766="","",IF(BI766=1,F766,""))</f>
        <v>0</v>
      </c>
      <c r="BN766">
        <f>IF($A766="","",DATE(YEAR($A766),MONTH($A766),1))</f>
        <v>0</v>
      </c>
      <c r="BO766">
        <f>IF($A766="","",IF($A765="",1,IF(BN766&lt;&gt;BN765,1,0)))</f>
        <v>0</v>
      </c>
      <c r="BP766">
        <f>IF($A766="","",IF($A767="",1,IF(BN767&lt;&gt;BN766,1,0)))</f>
        <v>0</v>
      </c>
      <c r="BQ766">
        <f>IF($A766="","",IF(BO766=1,$B766,BQ765))</f>
        <v>0</v>
      </c>
      <c r="BR766">
        <f>IF($A766="","",IF(BO766=1,$C766,MAX($C766,BR765)))</f>
        <v>0</v>
      </c>
      <c r="BS766">
        <f>IF($A766="","",IF(BO766=1,$D766,MIN($D766,BS765)))</f>
        <v>0</v>
      </c>
      <c r="BT766">
        <f>IF($A766="","",IF(BP766=1,F766,""))</f>
        <v>0</v>
      </c>
    </row>
    <row r="767" spans="1:72">
      <c r="A767" s="27">
        <f>IF(Data!$A767="","",Data!$A767)</f>
        <v>0</v>
      </c>
      <c r="B767">
        <f>IF(Data!$B767="","",Data!$B767)</f>
        <v>0</v>
      </c>
      <c r="C767">
        <f>IF(Data!$C767="","",Data!$C767)</f>
        <v>0</v>
      </c>
      <c r="D767">
        <f>IF(Data!$D767="","",Data!$D767)</f>
        <v>0</v>
      </c>
      <c r="E767">
        <f>IF(Data!$E767="","",Data!$E767)</f>
        <v>0</v>
      </c>
      <c r="F767">
        <f>IF($E767="","",N(F766)+1)</f>
        <v>0</v>
      </c>
      <c r="G767">
        <f>IF(OR($E767="",$E766=""),"",LN($E767/$E766))</f>
        <v>0</v>
      </c>
      <c r="H767">
        <f>IF($E767="","",IF($E766="",$E767,$E767*0.0952380952+H766*0.9047619048))</f>
        <v>0</v>
      </c>
      <c r="I767">
        <f>IF($E767="","",IF($E766="",$E767,$E767*0.0392156863+I766*0.9607843137))</f>
        <v>0</v>
      </c>
      <c r="J767">
        <f>IF($E767="","",IF($E766="",$E767,$E767*0.0198019802+J766*0.9801980198))</f>
        <v>0</v>
      </c>
      <c r="K767">
        <f>IF($E767="","",IF($E766="",$E767,$E767*0.0099502488+K766*0.9900497512))</f>
        <v>0</v>
      </c>
      <c r="L767">
        <f>IF(OR($E767="",$E766=""),"",MAX($E767-$E766,0))</f>
        <v>0</v>
      </c>
      <c r="M767">
        <f>IF(OR($E767="",$E766=""),"",MAX($E766-$E767,0))</f>
        <v>0</v>
      </c>
      <c r="N767">
        <f>IF(COUNT($E$2:$E767)&lt;15,"",IF(AVERAGE($M$754:$M$767)=0,100,100-100/(1+AVERAGE($L$754:$L$767)/AVERAGE($M$754:$M$767))))</f>
        <v>0</v>
      </c>
      <c r="O767">
        <f>IF($E767="","",IF($E766="",$E767,$E767*0.1538461538+O766*0.8461538462))</f>
        <v>0</v>
      </c>
      <c r="P767">
        <f>IF($E767="","",IF($E766="",$E767,$E767*0.0740740741+P766*0.9259259259))</f>
        <v>0</v>
      </c>
      <c r="Q767">
        <f>IF(OR(O767="",P767=""),"",O767-P767)</f>
        <v>0</v>
      </c>
      <c r="R767">
        <f>IF(Q767="","",IF(R766="",Q767,Q767*0.2000000000+R766*0.8000000000))</f>
        <v>0</v>
      </c>
      <c r="S767">
        <f>IF(OR(Q767="",R767=""),"",Q767-R767)</f>
        <v>0</v>
      </c>
      <c r="T767">
        <f>IF(COUNT($E$2:$E767)&lt;14,"",MAX($C$754:$C$767))</f>
        <v>0</v>
      </c>
      <c r="U767">
        <f>IF(COUNT($E$2:$E767)&lt;14,"",MIN($D$754:$D$767))</f>
        <v>0</v>
      </c>
      <c r="V767">
        <f>IF(OR(T767="",U767="",T767=U767),"",100*($E767-U767)/(T767-U767))</f>
        <v>0</v>
      </c>
      <c r="W767">
        <f>IF(COUNT($V$765:$V$767)&lt;3,"",AVERAGE($V$765:$V$767))</f>
        <v>0</v>
      </c>
      <c r="X767">
        <f>IF(COUNT($N$754:$N$767)&lt;14,"",MIN($N$754:$N$767))</f>
        <v>0</v>
      </c>
      <c r="Y767">
        <f>IF(COUNT($N$754:$N$767)&lt;14,"",MAX($N$754:$N$767))</f>
        <v>0</v>
      </c>
      <c r="Z767">
        <f>IF(OR(N767="",X767="",Y767="",Y767=X767),"",100*(N767-X767)/(Y767-X767))</f>
        <v>0</v>
      </c>
      <c r="AA767">
        <f>IF(COUNT($Z$765:$Z$767)&lt;3,"",AVERAGE($Z$765:$Z$767))</f>
        <v>0</v>
      </c>
      <c r="AB767">
        <f>IF(COUNT($AA$765:$AA$767)&lt;3,"",AVERAGE($AA$765:$AA$767))</f>
        <v>0</v>
      </c>
      <c r="AC767">
        <f>IF($E767="","",MAX($C767-$D767,ABS($C767-$E766),ABS($D767-$E766)))</f>
        <v>0</v>
      </c>
      <c r="AD767">
        <f>IF(COUNT($E$2:$E767)&lt;15,"",AVERAGE($AC$754:$AC$767))</f>
        <v>0</v>
      </c>
      <c r="AE767">
        <f>IF(OR($E767="",$E766=""),"",IF(AND(($C767-$C766)&gt;($D766-$D767),($C767-$C766)&gt;0),$C767-$C766,0))</f>
        <v>0</v>
      </c>
      <c r="AF767">
        <f>IF(OR($E767="",$E766=""),"",IF(AND(($D766-$D767)&gt;($C767-$C766),($D766-$D767)&gt;0),$D766-$D767,0))</f>
        <v>0</v>
      </c>
      <c r="AG767">
        <f>IF(COUNT($E$2:$E767)&lt;15,"",IF(SUM($AC$754:$AC$767)=0,0,100*SUM($AE$754:$AE$767)/SUM($AC$754:$AC$767)))</f>
        <v>0</v>
      </c>
      <c r="AH767">
        <f>IF(COUNT($E$2:$E767)&lt;15,"",IF(SUM($AC$754:$AC$767)=0,0,100*SUM($AF$754:$AF$767)/SUM($AC$754:$AC$767)))</f>
        <v>0</v>
      </c>
      <c r="AI767">
        <f>IF(OR(AG767="",AH767=""),"",IF((AG767+AH767)=0,0,100*ABS(AG767-AH767)/(AG767+AH767)))</f>
        <v>0</v>
      </c>
      <c r="AJ767">
        <f>IF(COUNT($AI$754:$AI$767)&lt;14,"",AVERAGE($AI$754:$AI$767))</f>
        <v>0</v>
      </c>
      <c r="AK767">
        <f>IF(COUNT($E$2:$E767)&lt;20,"",AVERAGE($E$748:$E$767))</f>
        <v>0</v>
      </c>
      <c r="AL767">
        <f>IF(COUNT($E$2:$E767)&lt;20,"",STDEVP($E$748:$E$767))</f>
        <v>0</v>
      </c>
      <c r="AM767">
        <f>IF(AK767="","",AK767+2*AL767)</f>
        <v>0</v>
      </c>
      <c r="AN767">
        <f>IF(AK767="","",AK767-2*AL767)</f>
        <v>0</v>
      </c>
      <c r="AO767">
        <f>IF(OR(AM767="",AN767="",AM767=AN767),"",($E767-AN767)/(AM767-AN767))</f>
        <v>0</v>
      </c>
      <c r="AP767">
        <f>IF(OR(AM767="",AK767="",AK767=0),"",(AM767-AN767)/AK767)</f>
        <v>0</v>
      </c>
      <c r="AQ767">
        <f>IF(COUNT($E$2:$E767)&lt;20,"",MAX($C$748:$C$767))</f>
        <v>0</v>
      </c>
      <c r="AR767">
        <f>IF(COUNT($E$2:$E767)&lt;20,"",MIN($D$748:$D$767))</f>
        <v>0</v>
      </c>
      <c r="AS767">
        <f>IF(OR(AQ767="",AR767=""),"",(AQ767+AR767)/2)</f>
        <v>0</v>
      </c>
      <c r="AT767">
        <f>IF(COUNT($G$748:$G$767)&lt;20,"",STDEV($G$748:$G$767)*SQRT(252))</f>
        <v>0</v>
      </c>
      <c r="AU767">
        <f>IF(COUNT($E$2:$E767)&lt;9,"",(MAX($C$759:$C$767)+MIN($D$759:$D$767))/2)</f>
        <v>0</v>
      </c>
      <c r="AV767">
        <f>IF(COUNT($E$2:$E767)&lt;26,"",(MAX($C$742:$C$767)+MIN($D$742:$D$767))/2)</f>
        <v>0</v>
      </c>
      <c r="AW767">
        <f>IF(OR(AU767="",AV767=""),"",(AU767+AV767)/2)</f>
        <v>0</v>
      </c>
      <c r="AX767">
        <f>IF(COUNT($E$2:$E767)&lt;52,"",(MAX($C$716:$C$767)+MIN($D$716:$D$767))/2)</f>
        <v>0</v>
      </c>
      <c r="AY767">
        <f>IF(COUNT($E$2:$E767)&lt;20,"",MAX($C$668:$C$767))</f>
        <v>0</v>
      </c>
      <c r="AZ767">
        <f>IF(COUNT($E$2:$E767)&lt;20,"",MIN($D$668:$D$767))</f>
        <v>0</v>
      </c>
      <c r="BA767">
        <f>IF(COUNT($E$2:$E767)&lt;20,"",SLOPE($E$668:$E$767,$F$668:$F$767))</f>
        <v>0</v>
      </c>
      <c r="BB767">
        <f>IF(COUNT($E$2:$E767)&lt;20,"",INTERCEPT($E$668:$E$767,$F$668:$F$767))</f>
        <v>0</v>
      </c>
      <c r="BC767">
        <f>IF(OR(BA767="",BB767=""),"",BB767+BA767*F767)</f>
        <v>0</v>
      </c>
      <c r="BD767">
        <f>IF(COUNT($E$2:$E767)&lt;20,"",STEYX($E$668:$E$767,$F$668:$F$767))</f>
        <v>0</v>
      </c>
      <c r="BE767">
        <f>IF($E767="","",IF(AND(COUNT($E$768:$E$771)&gt;=4,$C767=MAX($C$763:$C$771)),$C767,""))</f>
        <v>0</v>
      </c>
      <c r="BF767">
        <f>IF($E767="","",IF(AND(COUNT($E$768:$E$771)&gt;=4,$D767=MIN($D$763:$D$771)),$D767,""))</f>
        <v>0</v>
      </c>
      <c r="BG767">
        <f>IF($A767="","",$A767-WEEKDAY($A767,2)+1)</f>
        <v>0</v>
      </c>
      <c r="BH767">
        <f>IF($A767="","",IF($A766="",1,IF(BG767&lt;&gt;BG766,1,0)))</f>
        <v>0</v>
      </c>
      <c r="BI767">
        <f>IF($A767="","",IF($A768="",1,IF(BG768&lt;&gt;BG767,1,0)))</f>
        <v>0</v>
      </c>
      <c r="BJ767">
        <f>IF($A767="","",IF(BH767=1,$B767,BJ766))</f>
        <v>0</v>
      </c>
      <c r="BK767">
        <f>IF($A767="","",IF(BH767=1,$C767,MAX($C767,BK766)))</f>
        <v>0</v>
      </c>
      <c r="BL767">
        <f>IF($A767="","",IF(BH767=1,$D767,MIN($D767,BL766)))</f>
        <v>0</v>
      </c>
      <c r="BM767">
        <f>IF($A767="","",IF(BI767=1,F767,""))</f>
        <v>0</v>
      </c>
      <c r="BN767">
        <f>IF($A767="","",DATE(YEAR($A767),MONTH($A767),1))</f>
        <v>0</v>
      </c>
      <c r="BO767">
        <f>IF($A767="","",IF($A766="",1,IF(BN767&lt;&gt;BN766,1,0)))</f>
        <v>0</v>
      </c>
      <c r="BP767">
        <f>IF($A767="","",IF($A768="",1,IF(BN768&lt;&gt;BN767,1,0)))</f>
        <v>0</v>
      </c>
      <c r="BQ767">
        <f>IF($A767="","",IF(BO767=1,$B767,BQ766))</f>
        <v>0</v>
      </c>
      <c r="BR767">
        <f>IF($A767="","",IF(BO767=1,$C767,MAX($C767,BR766)))</f>
        <v>0</v>
      </c>
      <c r="BS767">
        <f>IF($A767="","",IF(BO767=1,$D767,MIN($D767,BS766)))</f>
        <v>0</v>
      </c>
      <c r="BT767">
        <f>IF($A767="","",IF(BP767=1,F767,""))</f>
        <v>0</v>
      </c>
    </row>
    <row r="768" spans="1:72">
      <c r="A768" s="27">
        <f>IF(Data!$A768="","",Data!$A768)</f>
        <v>0</v>
      </c>
      <c r="B768">
        <f>IF(Data!$B768="","",Data!$B768)</f>
        <v>0</v>
      </c>
      <c r="C768">
        <f>IF(Data!$C768="","",Data!$C768)</f>
        <v>0</v>
      </c>
      <c r="D768">
        <f>IF(Data!$D768="","",Data!$D768)</f>
        <v>0</v>
      </c>
      <c r="E768">
        <f>IF(Data!$E768="","",Data!$E768)</f>
        <v>0</v>
      </c>
      <c r="F768">
        <f>IF($E768="","",N(F767)+1)</f>
        <v>0</v>
      </c>
      <c r="G768">
        <f>IF(OR($E768="",$E767=""),"",LN($E768/$E767))</f>
        <v>0</v>
      </c>
      <c r="H768">
        <f>IF($E768="","",IF($E767="",$E768,$E768*0.0952380952+H767*0.9047619048))</f>
        <v>0</v>
      </c>
      <c r="I768">
        <f>IF($E768="","",IF($E767="",$E768,$E768*0.0392156863+I767*0.9607843137))</f>
        <v>0</v>
      </c>
      <c r="J768">
        <f>IF($E768="","",IF($E767="",$E768,$E768*0.0198019802+J767*0.9801980198))</f>
        <v>0</v>
      </c>
      <c r="K768">
        <f>IF($E768="","",IF($E767="",$E768,$E768*0.0099502488+K767*0.9900497512))</f>
        <v>0</v>
      </c>
      <c r="L768">
        <f>IF(OR($E768="",$E767=""),"",MAX($E768-$E767,0))</f>
        <v>0</v>
      </c>
      <c r="M768">
        <f>IF(OR($E768="",$E767=""),"",MAX($E767-$E768,0))</f>
        <v>0</v>
      </c>
      <c r="N768">
        <f>IF(COUNT($E$2:$E768)&lt;15,"",IF(AVERAGE($M$755:$M$768)=0,100,100-100/(1+AVERAGE($L$755:$L$768)/AVERAGE($M$755:$M$768))))</f>
        <v>0</v>
      </c>
      <c r="O768">
        <f>IF($E768="","",IF($E767="",$E768,$E768*0.1538461538+O767*0.8461538462))</f>
        <v>0</v>
      </c>
      <c r="P768">
        <f>IF($E768="","",IF($E767="",$E768,$E768*0.0740740741+P767*0.9259259259))</f>
        <v>0</v>
      </c>
      <c r="Q768">
        <f>IF(OR(O768="",P768=""),"",O768-P768)</f>
        <v>0</v>
      </c>
      <c r="R768">
        <f>IF(Q768="","",IF(R767="",Q768,Q768*0.2000000000+R767*0.8000000000))</f>
        <v>0</v>
      </c>
      <c r="S768">
        <f>IF(OR(Q768="",R768=""),"",Q768-R768)</f>
        <v>0</v>
      </c>
      <c r="T768">
        <f>IF(COUNT($E$2:$E768)&lt;14,"",MAX($C$755:$C$768))</f>
        <v>0</v>
      </c>
      <c r="U768">
        <f>IF(COUNT($E$2:$E768)&lt;14,"",MIN($D$755:$D$768))</f>
        <v>0</v>
      </c>
      <c r="V768">
        <f>IF(OR(T768="",U768="",T768=U768),"",100*($E768-U768)/(T768-U768))</f>
        <v>0</v>
      </c>
      <c r="W768">
        <f>IF(COUNT($V$766:$V$768)&lt;3,"",AVERAGE($V$766:$V$768))</f>
        <v>0</v>
      </c>
      <c r="X768">
        <f>IF(COUNT($N$755:$N$768)&lt;14,"",MIN($N$755:$N$768))</f>
        <v>0</v>
      </c>
      <c r="Y768">
        <f>IF(COUNT($N$755:$N$768)&lt;14,"",MAX($N$755:$N$768))</f>
        <v>0</v>
      </c>
      <c r="Z768">
        <f>IF(OR(N768="",X768="",Y768="",Y768=X768),"",100*(N768-X768)/(Y768-X768))</f>
        <v>0</v>
      </c>
      <c r="AA768">
        <f>IF(COUNT($Z$766:$Z$768)&lt;3,"",AVERAGE($Z$766:$Z$768))</f>
        <v>0</v>
      </c>
      <c r="AB768">
        <f>IF(COUNT($AA$766:$AA$768)&lt;3,"",AVERAGE($AA$766:$AA$768))</f>
        <v>0</v>
      </c>
      <c r="AC768">
        <f>IF($E768="","",MAX($C768-$D768,ABS($C768-$E767),ABS($D768-$E767)))</f>
        <v>0</v>
      </c>
      <c r="AD768">
        <f>IF(COUNT($E$2:$E768)&lt;15,"",AVERAGE($AC$755:$AC$768))</f>
        <v>0</v>
      </c>
      <c r="AE768">
        <f>IF(OR($E768="",$E767=""),"",IF(AND(($C768-$C767)&gt;($D767-$D768),($C768-$C767)&gt;0),$C768-$C767,0))</f>
        <v>0</v>
      </c>
      <c r="AF768">
        <f>IF(OR($E768="",$E767=""),"",IF(AND(($D767-$D768)&gt;($C768-$C767),($D767-$D768)&gt;0),$D767-$D768,0))</f>
        <v>0</v>
      </c>
      <c r="AG768">
        <f>IF(COUNT($E$2:$E768)&lt;15,"",IF(SUM($AC$755:$AC$768)=0,0,100*SUM($AE$755:$AE$768)/SUM($AC$755:$AC$768)))</f>
        <v>0</v>
      </c>
      <c r="AH768">
        <f>IF(COUNT($E$2:$E768)&lt;15,"",IF(SUM($AC$755:$AC$768)=0,0,100*SUM($AF$755:$AF$768)/SUM($AC$755:$AC$768)))</f>
        <v>0</v>
      </c>
      <c r="AI768">
        <f>IF(OR(AG768="",AH768=""),"",IF((AG768+AH768)=0,0,100*ABS(AG768-AH768)/(AG768+AH768)))</f>
        <v>0</v>
      </c>
      <c r="AJ768">
        <f>IF(COUNT($AI$755:$AI$768)&lt;14,"",AVERAGE($AI$755:$AI$768))</f>
        <v>0</v>
      </c>
      <c r="AK768">
        <f>IF(COUNT($E$2:$E768)&lt;20,"",AVERAGE($E$749:$E$768))</f>
        <v>0</v>
      </c>
      <c r="AL768">
        <f>IF(COUNT($E$2:$E768)&lt;20,"",STDEVP($E$749:$E$768))</f>
        <v>0</v>
      </c>
      <c r="AM768">
        <f>IF(AK768="","",AK768+2*AL768)</f>
        <v>0</v>
      </c>
      <c r="AN768">
        <f>IF(AK768="","",AK768-2*AL768)</f>
        <v>0</v>
      </c>
      <c r="AO768">
        <f>IF(OR(AM768="",AN768="",AM768=AN768),"",($E768-AN768)/(AM768-AN768))</f>
        <v>0</v>
      </c>
      <c r="AP768">
        <f>IF(OR(AM768="",AK768="",AK768=0),"",(AM768-AN768)/AK768)</f>
        <v>0</v>
      </c>
      <c r="AQ768">
        <f>IF(COUNT($E$2:$E768)&lt;20,"",MAX($C$749:$C$768))</f>
        <v>0</v>
      </c>
      <c r="AR768">
        <f>IF(COUNT($E$2:$E768)&lt;20,"",MIN($D$749:$D$768))</f>
        <v>0</v>
      </c>
      <c r="AS768">
        <f>IF(OR(AQ768="",AR768=""),"",(AQ768+AR768)/2)</f>
        <v>0</v>
      </c>
      <c r="AT768">
        <f>IF(COUNT($G$749:$G$768)&lt;20,"",STDEV($G$749:$G$768)*SQRT(252))</f>
        <v>0</v>
      </c>
      <c r="AU768">
        <f>IF(COUNT($E$2:$E768)&lt;9,"",(MAX($C$760:$C$768)+MIN($D$760:$D$768))/2)</f>
        <v>0</v>
      </c>
      <c r="AV768">
        <f>IF(COUNT($E$2:$E768)&lt;26,"",(MAX($C$743:$C$768)+MIN($D$743:$D$768))/2)</f>
        <v>0</v>
      </c>
      <c r="AW768">
        <f>IF(OR(AU768="",AV768=""),"",(AU768+AV768)/2)</f>
        <v>0</v>
      </c>
      <c r="AX768">
        <f>IF(COUNT($E$2:$E768)&lt;52,"",(MAX($C$717:$C$768)+MIN($D$717:$D$768))/2)</f>
        <v>0</v>
      </c>
      <c r="AY768">
        <f>IF(COUNT($E$2:$E768)&lt;20,"",MAX($C$669:$C$768))</f>
        <v>0</v>
      </c>
      <c r="AZ768">
        <f>IF(COUNT($E$2:$E768)&lt;20,"",MIN($D$669:$D$768))</f>
        <v>0</v>
      </c>
      <c r="BA768">
        <f>IF(COUNT($E$2:$E768)&lt;20,"",SLOPE($E$669:$E$768,$F$669:$F$768))</f>
        <v>0</v>
      </c>
      <c r="BB768">
        <f>IF(COUNT($E$2:$E768)&lt;20,"",INTERCEPT($E$669:$E$768,$F$669:$F$768))</f>
        <v>0</v>
      </c>
      <c r="BC768">
        <f>IF(OR(BA768="",BB768=""),"",BB768+BA768*F768)</f>
        <v>0</v>
      </c>
      <c r="BD768">
        <f>IF(COUNT($E$2:$E768)&lt;20,"",STEYX($E$669:$E$768,$F$669:$F$768))</f>
        <v>0</v>
      </c>
      <c r="BE768">
        <f>IF($E768="","",IF(AND(COUNT($E$769:$E$772)&gt;=4,$C768=MAX($C$764:$C$772)),$C768,""))</f>
        <v>0</v>
      </c>
      <c r="BF768">
        <f>IF($E768="","",IF(AND(COUNT($E$769:$E$772)&gt;=4,$D768=MIN($D$764:$D$772)),$D768,""))</f>
        <v>0</v>
      </c>
      <c r="BG768">
        <f>IF($A768="","",$A768-WEEKDAY($A768,2)+1)</f>
        <v>0</v>
      </c>
      <c r="BH768">
        <f>IF($A768="","",IF($A767="",1,IF(BG768&lt;&gt;BG767,1,0)))</f>
        <v>0</v>
      </c>
      <c r="BI768">
        <f>IF($A768="","",IF($A769="",1,IF(BG769&lt;&gt;BG768,1,0)))</f>
        <v>0</v>
      </c>
      <c r="BJ768">
        <f>IF($A768="","",IF(BH768=1,$B768,BJ767))</f>
        <v>0</v>
      </c>
      <c r="BK768">
        <f>IF($A768="","",IF(BH768=1,$C768,MAX($C768,BK767)))</f>
        <v>0</v>
      </c>
      <c r="BL768">
        <f>IF($A768="","",IF(BH768=1,$D768,MIN($D768,BL767)))</f>
        <v>0</v>
      </c>
      <c r="BM768">
        <f>IF($A768="","",IF(BI768=1,F768,""))</f>
        <v>0</v>
      </c>
      <c r="BN768">
        <f>IF($A768="","",DATE(YEAR($A768),MONTH($A768),1))</f>
        <v>0</v>
      </c>
      <c r="BO768">
        <f>IF($A768="","",IF($A767="",1,IF(BN768&lt;&gt;BN767,1,0)))</f>
        <v>0</v>
      </c>
      <c r="BP768">
        <f>IF($A768="","",IF($A769="",1,IF(BN769&lt;&gt;BN768,1,0)))</f>
        <v>0</v>
      </c>
      <c r="BQ768">
        <f>IF($A768="","",IF(BO768=1,$B768,BQ767))</f>
        <v>0</v>
      </c>
      <c r="BR768">
        <f>IF($A768="","",IF(BO768=1,$C768,MAX($C768,BR767)))</f>
        <v>0</v>
      </c>
      <c r="BS768">
        <f>IF($A768="","",IF(BO768=1,$D768,MIN($D768,BS767)))</f>
        <v>0</v>
      </c>
      <c r="BT768">
        <f>IF($A768="","",IF(BP768=1,F768,""))</f>
        <v>0</v>
      </c>
    </row>
    <row r="769" spans="1:72">
      <c r="A769" s="27">
        <f>IF(Data!$A769="","",Data!$A769)</f>
        <v>0</v>
      </c>
      <c r="B769">
        <f>IF(Data!$B769="","",Data!$B769)</f>
        <v>0</v>
      </c>
      <c r="C769">
        <f>IF(Data!$C769="","",Data!$C769)</f>
        <v>0</v>
      </c>
      <c r="D769">
        <f>IF(Data!$D769="","",Data!$D769)</f>
        <v>0</v>
      </c>
      <c r="E769">
        <f>IF(Data!$E769="","",Data!$E769)</f>
        <v>0</v>
      </c>
      <c r="F769">
        <f>IF($E769="","",N(F768)+1)</f>
        <v>0</v>
      </c>
      <c r="G769">
        <f>IF(OR($E769="",$E768=""),"",LN($E769/$E768))</f>
        <v>0</v>
      </c>
      <c r="H769">
        <f>IF($E769="","",IF($E768="",$E769,$E769*0.0952380952+H768*0.9047619048))</f>
        <v>0</v>
      </c>
      <c r="I769">
        <f>IF($E769="","",IF($E768="",$E769,$E769*0.0392156863+I768*0.9607843137))</f>
        <v>0</v>
      </c>
      <c r="J769">
        <f>IF($E769="","",IF($E768="",$E769,$E769*0.0198019802+J768*0.9801980198))</f>
        <v>0</v>
      </c>
      <c r="K769">
        <f>IF($E769="","",IF($E768="",$E769,$E769*0.0099502488+K768*0.9900497512))</f>
        <v>0</v>
      </c>
      <c r="L769">
        <f>IF(OR($E769="",$E768=""),"",MAX($E769-$E768,0))</f>
        <v>0</v>
      </c>
      <c r="M769">
        <f>IF(OR($E769="",$E768=""),"",MAX($E768-$E769,0))</f>
        <v>0</v>
      </c>
      <c r="N769">
        <f>IF(COUNT($E$2:$E769)&lt;15,"",IF(AVERAGE($M$756:$M$769)=0,100,100-100/(1+AVERAGE($L$756:$L$769)/AVERAGE($M$756:$M$769))))</f>
        <v>0</v>
      </c>
      <c r="O769">
        <f>IF($E769="","",IF($E768="",$E769,$E769*0.1538461538+O768*0.8461538462))</f>
        <v>0</v>
      </c>
      <c r="P769">
        <f>IF($E769="","",IF($E768="",$E769,$E769*0.0740740741+P768*0.9259259259))</f>
        <v>0</v>
      </c>
      <c r="Q769">
        <f>IF(OR(O769="",P769=""),"",O769-P769)</f>
        <v>0</v>
      </c>
      <c r="R769">
        <f>IF(Q769="","",IF(R768="",Q769,Q769*0.2000000000+R768*0.8000000000))</f>
        <v>0</v>
      </c>
      <c r="S769">
        <f>IF(OR(Q769="",R769=""),"",Q769-R769)</f>
        <v>0</v>
      </c>
      <c r="T769">
        <f>IF(COUNT($E$2:$E769)&lt;14,"",MAX($C$756:$C$769))</f>
        <v>0</v>
      </c>
      <c r="U769">
        <f>IF(COUNT($E$2:$E769)&lt;14,"",MIN($D$756:$D$769))</f>
        <v>0</v>
      </c>
      <c r="V769">
        <f>IF(OR(T769="",U769="",T769=U769),"",100*($E769-U769)/(T769-U769))</f>
        <v>0</v>
      </c>
      <c r="W769">
        <f>IF(COUNT($V$767:$V$769)&lt;3,"",AVERAGE($V$767:$V$769))</f>
        <v>0</v>
      </c>
      <c r="X769">
        <f>IF(COUNT($N$756:$N$769)&lt;14,"",MIN($N$756:$N$769))</f>
        <v>0</v>
      </c>
      <c r="Y769">
        <f>IF(COUNT($N$756:$N$769)&lt;14,"",MAX($N$756:$N$769))</f>
        <v>0</v>
      </c>
      <c r="Z769">
        <f>IF(OR(N769="",X769="",Y769="",Y769=X769),"",100*(N769-X769)/(Y769-X769))</f>
        <v>0</v>
      </c>
      <c r="AA769">
        <f>IF(COUNT($Z$767:$Z$769)&lt;3,"",AVERAGE($Z$767:$Z$769))</f>
        <v>0</v>
      </c>
      <c r="AB769">
        <f>IF(COUNT($AA$767:$AA$769)&lt;3,"",AVERAGE($AA$767:$AA$769))</f>
        <v>0</v>
      </c>
      <c r="AC769">
        <f>IF($E769="","",MAX($C769-$D769,ABS($C769-$E768),ABS($D769-$E768)))</f>
        <v>0</v>
      </c>
      <c r="AD769">
        <f>IF(COUNT($E$2:$E769)&lt;15,"",AVERAGE($AC$756:$AC$769))</f>
        <v>0</v>
      </c>
      <c r="AE769">
        <f>IF(OR($E769="",$E768=""),"",IF(AND(($C769-$C768)&gt;($D768-$D769),($C769-$C768)&gt;0),$C769-$C768,0))</f>
        <v>0</v>
      </c>
      <c r="AF769">
        <f>IF(OR($E769="",$E768=""),"",IF(AND(($D768-$D769)&gt;($C769-$C768),($D768-$D769)&gt;0),$D768-$D769,0))</f>
        <v>0</v>
      </c>
      <c r="AG769">
        <f>IF(COUNT($E$2:$E769)&lt;15,"",IF(SUM($AC$756:$AC$769)=0,0,100*SUM($AE$756:$AE$769)/SUM($AC$756:$AC$769)))</f>
        <v>0</v>
      </c>
      <c r="AH769">
        <f>IF(COUNT($E$2:$E769)&lt;15,"",IF(SUM($AC$756:$AC$769)=0,0,100*SUM($AF$756:$AF$769)/SUM($AC$756:$AC$769)))</f>
        <v>0</v>
      </c>
      <c r="AI769">
        <f>IF(OR(AG769="",AH769=""),"",IF((AG769+AH769)=0,0,100*ABS(AG769-AH769)/(AG769+AH769)))</f>
        <v>0</v>
      </c>
      <c r="AJ769">
        <f>IF(COUNT($AI$756:$AI$769)&lt;14,"",AVERAGE($AI$756:$AI$769))</f>
        <v>0</v>
      </c>
      <c r="AK769">
        <f>IF(COUNT($E$2:$E769)&lt;20,"",AVERAGE($E$750:$E$769))</f>
        <v>0</v>
      </c>
      <c r="AL769">
        <f>IF(COUNT($E$2:$E769)&lt;20,"",STDEVP($E$750:$E$769))</f>
        <v>0</v>
      </c>
      <c r="AM769">
        <f>IF(AK769="","",AK769+2*AL769)</f>
        <v>0</v>
      </c>
      <c r="AN769">
        <f>IF(AK769="","",AK769-2*AL769)</f>
        <v>0</v>
      </c>
      <c r="AO769">
        <f>IF(OR(AM769="",AN769="",AM769=AN769),"",($E769-AN769)/(AM769-AN769))</f>
        <v>0</v>
      </c>
      <c r="AP769">
        <f>IF(OR(AM769="",AK769="",AK769=0),"",(AM769-AN769)/AK769)</f>
        <v>0</v>
      </c>
      <c r="AQ769">
        <f>IF(COUNT($E$2:$E769)&lt;20,"",MAX($C$750:$C$769))</f>
        <v>0</v>
      </c>
      <c r="AR769">
        <f>IF(COUNT($E$2:$E769)&lt;20,"",MIN($D$750:$D$769))</f>
        <v>0</v>
      </c>
      <c r="AS769">
        <f>IF(OR(AQ769="",AR769=""),"",(AQ769+AR769)/2)</f>
        <v>0</v>
      </c>
      <c r="AT769">
        <f>IF(COUNT($G$750:$G$769)&lt;20,"",STDEV($G$750:$G$769)*SQRT(252))</f>
        <v>0</v>
      </c>
      <c r="AU769">
        <f>IF(COUNT($E$2:$E769)&lt;9,"",(MAX($C$761:$C$769)+MIN($D$761:$D$769))/2)</f>
        <v>0</v>
      </c>
      <c r="AV769">
        <f>IF(COUNT($E$2:$E769)&lt;26,"",(MAX($C$744:$C$769)+MIN($D$744:$D$769))/2)</f>
        <v>0</v>
      </c>
      <c r="AW769">
        <f>IF(OR(AU769="",AV769=""),"",(AU769+AV769)/2)</f>
        <v>0</v>
      </c>
      <c r="AX769">
        <f>IF(COUNT($E$2:$E769)&lt;52,"",(MAX($C$718:$C$769)+MIN($D$718:$D$769))/2)</f>
        <v>0</v>
      </c>
      <c r="AY769">
        <f>IF(COUNT($E$2:$E769)&lt;20,"",MAX($C$670:$C$769))</f>
        <v>0</v>
      </c>
      <c r="AZ769">
        <f>IF(COUNT($E$2:$E769)&lt;20,"",MIN($D$670:$D$769))</f>
        <v>0</v>
      </c>
      <c r="BA769">
        <f>IF(COUNT($E$2:$E769)&lt;20,"",SLOPE($E$670:$E$769,$F$670:$F$769))</f>
        <v>0</v>
      </c>
      <c r="BB769">
        <f>IF(COUNT($E$2:$E769)&lt;20,"",INTERCEPT($E$670:$E$769,$F$670:$F$769))</f>
        <v>0</v>
      </c>
      <c r="BC769">
        <f>IF(OR(BA769="",BB769=""),"",BB769+BA769*F769)</f>
        <v>0</v>
      </c>
      <c r="BD769">
        <f>IF(COUNT($E$2:$E769)&lt;20,"",STEYX($E$670:$E$769,$F$670:$F$769))</f>
        <v>0</v>
      </c>
      <c r="BE769">
        <f>IF($E769="","",IF(AND(COUNT($E$770:$E$773)&gt;=4,$C769=MAX($C$765:$C$773)),$C769,""))</f>
        <v>0</v>
      </c>
      <c r="BF769">
        <f>IF($E769="","",IF(AND(COUNT($E$770:$E$773)&gt;=4,$D769=MIN($D$765:$D$773)),$D769,""))</f>
        <v>0</v>
      </c>
      <c r="BG769">
        <f>IF($A769="","",$A769-WEEKDAY($A769,2)+1)</f>
        <v>0</v>
      </c>
      <c r="BH769">
        <f>IF($A769="","",IF($A768="",1,IF(BG769&lt;&gt;BG768,1,0)))</f>
        <v>0</v>
      </c>
      <c r="BI769">
        <f>IF($A769="","",IF($A770="",1,IF(BG770&lt;&gt;BG769,1,0)))</f>
        <v>0</v>
      </c>
      <c r="BJ769">
        <f>IF($A769="","",IF(BH769=1,$B769,BJ768))</f>
        <v>0</v>
      </c>
      <c r="BK769">
        <f>IF($A769="","",IF(BH769=1,$C769,MAX($C769,BK768)))</f>
        <v>0</v>
      </c>
      <c r="BL769">
        <f>IF($A769="","",IF(BH769=1,$D769,MIN($D769,BL768)))</f>
        <v>0</v>
      </c>
      <c r="BM769">
        <f>IF($A769="","",IF(BI769=1,F769,""))</f>
        <v>0</v>
      </c>
      <c r="BN769">
        <f>IF($A769="","",DATE(YEAR($A769),MONTH($A769),1))</f>
        <v>0</v>
      </c>
      <c r="BO769">
        <f>IF($A769="","",IF($A768="",1,IF(BN769&lt;&gt;BN768,1,0)))</f>
        <v>0</v>
      </c>
      <c r="BP769">
        <f>IF($A769="","",IF($A770="",1,IF(BN770&lt;&gt;BN769,1,0)))</f>
        <v>0</v>
      </c>
      <c r="BQ769">
        <f>IF($A769="","",IF(BO769=1,$B769,BQ768))</f>
        <v>0</v>
      </c>
      <c r="BR769">
        <f>IF($A769="","",IF(BO769=1,$C769,MAX($C769,BR768)))</f>
        <v>0</v>
      </c>
      <c r="BS769">
        <f>IF($A769="","",IF(BO769=1,$D769,MIN($D769,BS768)))</f>
        <v>0</v>
      </c>
      <c r="BT769">
        <f>IF($A769="","",IF(BP769=1,F769,""))</f>
        <v>0</v>
      </c>
    </row>
    <row r="770" spans="1:72">
      <c r="A770" s="27">
        <f>IF(Data!$A770="","",Data!$A770)</f>
        <v>0</v>
      </c>
      <c r="B770">
        <f>IF(Data!$B770="","",Data!$B770)</f>
        <v>0</v>
      </c>
      <c r="C770">
        <f>IF(Data!$C770="","",Data!$C770)</f>
        <v>0</v>
      </c>
      <c r="D770">
        <f>IF(Data!$D770="","",Data!$D770)</f>
        <v>0</v>
      </c>
      <c r="E770">
        <f>IF(Data!$E770="","",Data!$E770)</f>
        <v>0</v>
      </c>
      <c r="F770">
        <f>IF($E770="","",N(F769)+1)</f>
        <v>0</v>
      </c>
      <c r="G770">
        <f>IF(OR($E770="",$E769=""),"",LN($E770/$E769))</f>
        <v>0</v>
      </c>
      <c r="H770">
        <f>IF($E770="","",IF($E769="",$E770,$E770*0.0952380952+H769*0.9047619048))</f>
        <v>0</v>
      </c>
      <c r="I770">
        <f>IF($E770="","",IF($E769="",$E770,$E770*0.0392156863+I769*0.9607843137))</f>
        <v>0</v>
      </c>
      <c r="J770">
        <f>IF($E770="","",IF($E769="",$E770,$E770*0.0198019802+J769*0.9801980198))</f>
        <v>0</v>
      </c>
      <c r="K770">
        <f>IF($E770="","",IF($E769="",$E770,$E770*0.0099502488+K769*0.9900497512))</f>
        <v>0</v>
      </c>
      <c r="L770">
        <f>IF(OR($E770="",$E769=""),"",MAX($E770-$E769,0))</f>
        <v>0</v>
      </c>
      <c r="M770">
        <f>IF(OR($E770="",$E769=""),"",MAX($E769-$E770,0))</f>
        <v>0</v>
      </c>
      <c r="N770">
        <f>IF(COUNT($E$2:$E770)&lt;15,"",IF(AVERAGE($M$757:$M$770)=0,100,100-100/(1+AVERAGE($L$757:$L$770)/AVERAGE($M$757:$M$770))))</f>
        <v>0</v>
      </c>
      <c r="O770">
        <f>IF($E770="","",IF($E769="",$E770,$E770*0.1538461538+O769*0.8461538462))</f>
        <v>0</v>
      </c>
      <c r="P770">
        <f>IF($E770="","",IF($E769="",$E770,$E770*0.0740740741+P769*0.9259259259))</f>
        <v>0</v>
      </c>
      <c r="Q770">
        <f>IF(OR(O770="",P770=""),"",O770-P770)</f>
        <v>0</v>
      </c>
      <c r="R770">
        <f>IF(Q770="","",IF(R769="",Q770,Q770*0.2000000000+R769*0.8000000000))</f>
        <v>0</v>
      </c>
      <c r="S770">
        <f>IF(OR(Q770="",R770=""),"",Q770-R770)</f>
        <v>0</v>
      </c>
      <c r="T770">
        <f>IF(COUNT($E$2:$E770)&lt;14,"",MAX($C$757:$C$770))</f>
        <v>0</v>
      </c>
      <c r="U770">
        <f>IF(COUNT($E$2:$E770)&lt;14,"",MIN($D$757:$D$770))</f>
        <v>0</v>
      </c>
      <c r="V770">
        <f>IF(OR(T770="",U770="",T770=U770),"",100*($E770-U770)/(T770-U770))</f>
        <v>0</v>
      </c>
      <c r="W770">
        <f>IF(COUNT($V$768:$V$770)&lt;3,"",AVERAGE($V$768:$V$770))</f>
        <v>0</v>
      </c>
      <c r="X770">
        <f>IF(COUNT($N$757:$N$770)&lt;14,"",MIN($N$757:$N$770))</f>
        <v>0</v>
      </c>
      <c r="Y770">
        <f>IF(COUNT($N$757:$N$770)&lt;14,"",MAX($N$757:$N$770))</f>
        <v>0</v>
      </c>
      <c r="Z770">
        <f>IF(OR(N770="",X770="",Y770="",Y770=X770),"",100*(N770-X770)/(Y770-X770))</f>
        <v>0</v>
      </c>
      <c r="AA770">
        <f>IF(COUNT($Z$768:$Z$770)&lt;3,"",AVERAGE($Z$768:$Z$770))</f>
        <v>0</v>
      </c>
      <c r="AB770">
        <f>IF(COUNT($AA$768:$AA$770)&lt;3,"",AVERAGE($AA$768:$AA$770))</f>
        <v>0</v>
      </c>
      <c r="AC770">
        <f>IF($E770="","",MAX($C770-$D770,ABS($C770-$E769),ABS($D770-$E769)))</f>
        <v>0</v>
      </c>
      <c r="AD770">
        <f>IF(COUNT($E$2:$E770)&lt;15,"",AVERAGE($AC$757:$AC$770))</f>
        <v>0</v>
      </c>
      <c r="AE770">
        <f>IF(OR($E770="",$E769=""),"",IF(AND(($C770-$C769)&gt;($D769-$D770),($C770-$C769)&gt;0),$C770-$C769,0))</f>
        <v>0</v>
      </c>
      <c r="AF770">
        <f>IF(OR($E770="",$E769=""),"",IF(AND(($D769-$D770)&gt;($C770-$C769),($D769-$D770)&gt;0),$D769-$D770,0))</f>
        <v>0</v>
      </c>
      <c r="AG770">
        <f>IF(COUNT($E$2:$E770)&lt;15,"",IF(SUM($AC$757:$AC$770)=0,0,100*SUM($AE$757:$AE$770)/SUM($AC$757:$AC$770)))</f>
        <v>0</v>
      </c>
      <c r="AH770">
        <f>IF(COUNT($E$2:$E770)&lt;15,"",IF(SUM($AC$757:$AC$770)=0,0,100*SUM($AF$757:$AF$770)/SUM($AC$757:$AC$770)))</f>
        <v>0</v>
      </c>
      <c r="AI770">
        <f>IF(OR(AG770="",AH770=""),"",IF((AG770+AH770)=0,0,100*ABS(AG770-AH770)/(AG770+AH770)))</f>
        <v>0</v>
      </c>
      <c r="AJ770">
        <f>IF(COUNT($AI$757:$AI$770)&lt;14,"",AVERAGE($AI$757:$AI$770))</f>
        <v>0</v>
      </c>
      <c r="AK770">
        <f>IF(COUNT($E$2:$E770)&lt;20,"",AVERAGE($E$751:$E$770))</f>
        <v>0</v>
      </c>
      <c r="AL770">
        <f>IF(COUNT($E$2:$E770)&lt;20,"",STDEVP($E$751:$E$770))</f>
        <v>0</v>
      </c>
      <c r="AM770">
        <f>IF(AK770="","",AK770+2*AL770)</f>
        <v>0</v>
      </c>
      <c r="AN770">
        <f>IF(AK770="","",AK770-2*AL770)</f>
        <v>0</v>
      </c>
      <c r="AO770">
        <f>IF(OR(AM770="",AN770="",AM770=AN770),"",($E770-AN770)/(AM770-AN770))</f>
        <v>0</v>
      </c>
      <c r="AP770">
        <f>IF(OR(AM770="",AK770="",AK770=0),"",(AM770-AN770)/AK770)</f>
        <v>0</v>
      </c>
      <c r="AQ770">
        <f>IF(COUNT($E$2:$E770)&lt;20,"",MAX($C$751:$C$770))</f>
        <v>0</v>
      </c>
      <c r="AR770">
        <f>IF(COUNT($E$2:$E770)&lt;20,"",MIN($D$751:$D$770))</f>
        <v>0</v>
      </c>
      <c r="AS770">
        <f>IF(OR(AQ770="",AR770=""),"",(AQ770+AR770)/2)</f>
        <v>0</v>
      </c>
      <c r="AT770">
        <f>IF(COUNT($G$751:$G$770)&lt;20,"",STDEV($G$751:$G$770)*SQRT(252))</f>
        <v>0</v>
      </c>
      <c r="AU770">
        <f>IF(COUNT($E$2:$E770)&lt;9,"",(MAX($C$762:$C$770)+MIN($D$762:$D$770))/2)</f>
        <v>0</v>
      </c>
      <c r="AV770">
        <f>IF(COUNT($E$2:$E770)&lt;26,"",(MAX($C$745:$C$770)+MIN($D$745:$D$770))/2)</f>
        <v>0</v>
      </c>
      <c r="AW770">
        <f>IF(OR(AU770="",AV770=""),"",(AU770+AV770)/2)</f>
        <v>0</v>
      </c>
      <c r="AX770">
        <f>IF(COUNT($E$2:$E770)&lt;52,"",(MAX($C$719:$C$770)+MIN($D$719:$D$770))/2)</f>
        <v>0</v>
      </c>
      <c r="AY770">
        <f>IF(COUNT($E$2:$E770)&lt;20,"",MAX($C$671:$C$770))</f>
        <v>0</v>
      </c>
      <c r="AZ770">
        <f>IF(COUNT($E$2:$E770)&lt;20,"",MIN($D$671:$D$770))</f>
        <v>0</v>
      </c>
      <c r="BA770">
        <f>IF(COUNT($E$2:$E770)&lt;20,"",SLOPE($E$671:$E$770,$F$671:$F$770))</f>
        <v>0</v>
      </c>
      <c r="BB770">
        <f>IF(COUNT($E$2:$E770)&lt;20,"",INTERCEPT($E$671:$E$770,$F$671:$F$770))</f>
        <v>0</v>
      </c>
      <c r="BC770">
        <f>IF(OR(BA770="",BB770=""),"",BB770+BA770*F770)</f>
        <v>0</v>
      </c>
      <c r="BD770">
        <f>IF(COUNT($E$2:$E770)&lt;20,"",STEYX($E$671:$E$770,$F$671:$F$770))</f>
        <v>0</v>
      </c>
      <c r="BE770">
        <f>IF($E770="","",IF(AND(COUNT($E$771:$E$774)&gt;=4,$C770=MAX($C$766:$C$774)),$C770,""))</f>
        <v>0</v>
      </c>
      <c r="BF770">
        <f>IF($E770="","",IF(AND(COUNT($E$771:$E$774)&gt;=4,$D770=MIN($D$766:$D$774)),$D770,""))</f>
        <v>0</v>
      </c>
      <c r="BG770">
        <f>IF($A770="","",$A770-WEEKDAY($A770,2)+1)</f>
        <v>0</v>
      </c>
      <c r="BH770">
        <f>IF($A770="","",IF($A769="",1,IF(BG770&lt;&gt;BG769,1,0)))</f>
        <v>0</v>
      </c>
      <c r="BI770">
        <f>IF($A770="","",IF($A771="",1,IF(BG771&lt;&gt;BG770,1,0)))</f>
        <v>0</v>
      </c>
      <c r="BJ770">
        <f>IF($A770="","",IF(BH770=1,$B770,BJ769))</f>
        <v>0</v>
      </c>
      <c r="BK770">
        <f>IF($A770="","",IF(BH770=1,$C770,MAX($C770,BK769)))</f>
        <v>0</v>
      </c>
      <c r="BL770">
        <f>IF($A770="","",IF(BH770=1,$D770,MIN($D770,BL769)))</f>
        <v>0</v>
      </c>
      <c r="BM770">
        <f>IF($A770="","",IF(BI770=1,F770,""))</f>
        <v>0</v>
      </c>
      <c r="BN770">
        <f>IF($A770="","",DATE(YEAR($A770),MONTH($A770),1))</f>
        <v>0</v>
      </c>
      <c r="BO770">
        <f>IF($A770="","",IF($A769="",1,IF(BN770&lt;&gt;BN769,1,0)))</f>
        <v>0</v>
      </c>
      <c r="BP770">
        <f>IF($A770="","",IF($A771="",1,IF(BN771&lt;&gt;BN770,1,0)))</f>
        <v>0</v>
      </c>
      <c r="BQ770">
        <f>IF($A770="","",IF(BO770=1,$B770,BQ769))</f>
        <v>0</v>
      </c>
      <c r="BR770">
        <f>IF($A770="","",IF(BO770=1,$C770,MAX($C770,BR769)))</f>
        <v>0</v>
      </c>
      <c r="BS770">
        <f>IF($A770="","",IF(BO770=1,$D770,MIN($D770,BS769)))</f>
        <v>0</v>
      </c>
      <c r="BT770">
        <f>IF($A770="","",IF(BP770=1,F770,""))</f>
        <v>0</v>
      </c>
    </row>
    <row r="771" spans="1:72">
      <c r="A771" s="27">
        <f>IF(Data!$A771="","",Data!$A771)</f>
        <v>0</v>
      </c>
      <c r="B771">
        <f>IF(Data!$B771="","",Data!$B771)</f>
        <v>0</v>
      </c>
      <c r="C771">
        <f>IF(Data!$C771="","",Data!$C771)</f>
        <v>0</v>
      </c>
      <c r="D771">
        <f>IF(Data!$D771="","",Data!$D771)</f>
        <v>0</v>
      </c>
      <c r="E771">
        <f>IF(Data!$E771="","",Data!$E771)</f>
        <v>0</v>
      </c>
      <c r="F771">
        <f>IF($E771="","",N(F770)+1)</f>
        <v>0</v>
      </c>
      <c r="G771">
        <f>IF(OR($E771="",$E770=""),"",LN($E771/$E770))</f>
        <v>0</v>
      </c>
      <c r="H771">
        <f>IF($E771="","",IF($E770="",$E771,$E771*0.0952380952+H770*0.9047619048))</f>
        <v>0</v>
      </c>
      <c r="I771">
        <f>IF($E771="","",IF($E770="",$E771,$E771*0.0392156863+I770*0.9607843137))</f>
        <v>0</v>
      </c>
      <c r="J771">
        <f>IF($E771="","",IF($E770="",$E771,$E771*0.0198019802+J770*0.9801980198))</f>
        <v>0</v>
      </c>
      <c r="K771">
        <f>IF($E771="","",IF($E770="",$E771,$E771*0.0099502488+K770*0.9900497512))</f>
        <v>0</v>
      </c>
      <c r="L771">
        <f>IF(OR($E771="",$E770=""),"",MAX($E771-$E770,0))</f>
        <v>0</v>
      </c>
      <c r="M771">
        <f>IF(OR($E771="",$E770=""),"",MAX($E770-$E771,0))</f>
        <v>0</v>
      </c>
      <c r="N771">
        <f>IF(COUNT($E$2:$E771)&lt;15,"",IF(AVERAGE($M$758:$M$771)=0,100,100-100/(1+AVERAGE($L$758:$L$771)/AVERAGE($M$758:$M$771))))</f>
        <v>0</v>
      </c>
      <c r="O771">
        <f>IF($E771="","",IF($E770="",$E771,$E771*0.1538461538+O770*0.8461538462))</f>
        <v>0</v>
      </c>
      <c r="P771">
        <f>IF($E771="","",IF($E770="",$E771,$E771*0.0740740741+P770*0.9259259259))</f>
        <v>0</v>
      </c>
      <c r="Q771">
        <f>IF(OR(O771="",P771=""),"",O771-P771)</f>
        <v>0</v>
      </c>
      <c r="R771">
        <f>IF(Q771="","",IF(R770="",Q771,Q771*0.2000000000+R770*0.8000000000))</f>
        <v>0</v>
      </c>
      <c r="S771">
        <f>IF(OR(Q771="",R771=""),"",Q771-R771)</f>
        <v>0</v>
      </c>
      <c r="T771">
        <f>IF(COUNT($E$2:$E771)&lt;14,"",MAX($C$758:$C$771))</f>
        <v>0</v>
      </c>
      <c r="U771">
        <f>IF(COUNT($E$2:$E771)&lt;14,"",MIN($D$758:$D$771))</f>
        <v>0</v>
      </c>
      <c r="V771">
        <f>IF(OR(T771="",U771="",T771=U771),"",100*($E771-U771)/(T771-U771))</f>
        <v>0</v>
      </c>
      <c r="W771">
        <f>IF(COUNT($V$769:$V$771)&lt;3,"",AVERAGE($V$769:$V$771))</f>
        <v>0</v>
      </c>
      <c r="X771">
        <f>IF(COUNT($N$758:$N$771)&lt;14,"",MIN($N$758:$N$771))</f>
        <v>0</v>
      </c>
      <c r="Y771">
        <f>IF(COUNT($N$758:$N$771)&lt;14,"",MAX($N$758:$N$771))</f>
        <v>0</v>
      </c>
      <c r="Z771">
        <f>IF(OR(N771="",X771="",Y771="",Y771=X771),"",100*(N771-X771)/(Y771-X771))</f>
        <v>0</v>
      </c>
      <c r="AA771">
        <f>IF(COUNT($Z$769:$Z$771)&lt;3,"",AVERAGE($Z$769:$Z$771))</f>
        <v>0</v>
      </c>
      <c r="AB771">
        <f>IF(COUNT($AA$769:$AA$771)&lt;3,"",AVERAGE($AA$769:$AA$771))</f>
        <v>0</v>
      </c>
      <c r="AC771">
        <f>IF($E771="","",MAX($C771-$D771,ABS($C771-$E770),ABS($D771-$E770)))</f>
        <v>0</v>
      </c>
      <c r="AD771">
        <f>IF(COUNT($E$2:$E771)&lt;15,"",AVERAGE($AC$758:$AC$771))</f>
        <v>0</v>
      </c>
      <c r="AE771">
        <f>IF(OR($E771="",$E770=""),"",IF(AND(($C771-$C770)&gt;($D770-$D771),($C771-$C770)&gt;0),$C771-$C770,0))</f>
        <v>0</v>
      </c>
      <c r="AF771">
        <f>IF(OR($E771="",$E770=""),"",IF(AND(($D770-$D771)&gt;($C771-$C770),($D770-$D771)&gt;0),$D770-$D771,0))</f>
        <v>0</v>
      </c>
      <c r="AG771">
        <f>IF(COUNT($E$2:$E771)&lt;15,"",IF(SUM($AC$758:$AC$771)=0,0,100*SUM($AE$758:$AE$771)/SUM($AC$758:$AC$771)))</f>
        <v>0</v>
      </c>
      <c r="AH771">
        <f>IF(COUNT($E$2:$E771)&lt;15,"",IF(SUM($AC$758:$AC$771)=0,0,100*SUM($AF$758:$AF$771)/SUM($AC$758:$AC$771)))</f>
        <v>0</v>
      </c>
      <c r="AI771">
        <f>IF(OR(AG771="",AH771=""),"",IF((AG771+AH771)=0,0,100*ABS(AG771-AH771)/(AG771+AH771)))</f>
        <v>0</v>
      </c>
      <c r="AJ771">
        <f>IF(COUNT($AI$758:$AI$771)&lt;14,"",AVERAGE($AI$758:$AI$771))</f>
        <v>0</v>
      </c>
      <c r="AK771">
        <f>IF(COUNT($E$2:$E771)&lt;20,"",AVERAGE($E$752:$E$771))</f>
        <v>0</v>
      </c>
      <c r="AL771">
        <f>IF(COUNT($E$2:$E771)&lt;20,"",STDEVP($E$752:$E$771))</f>
        <v>0</v>
      </c>
      <c r="AM771">
        <f>IF(AK771="","",AK771+2*AL771)</f>
        <v>0</v>
      </c>
      <c r="AN771">
        <f>IF(AK771="","",AK771-2*AL771)</f>
        <v>0</v>
      </c>
      <c r="AO771">
        <f>IF(OR(AM771="",AN771="",AM771=AN771),"",($E771-AN771)/(AM771-AN771))</f>
        <v>0</v>
      </c>
      <c r="AP771">
        <f>IF(OR(AM771="",AK771="",AK771=0),"",(AM771-AN771)/AK771)</f>
        <v>0</v>
      </c>
      <c r="AQ771">
        <f>IF(COUNT($E$2:$E771)&lt;20,"",MAX($C$752:$C$771))</f>
        <v>0</v>
      </c>
      <c r="AR771">
        <f>IF(COUNT($E$2:$E771)&lt;20,"",MIN($D$752:$D$771))</f>
        <v>0</v>
      </c>
      <c r="AS771">
        <f>IF(OR(AQ771="",AR771=""),"",(AQ771+AR771)/2)</f>
        <v>0</v>
      </c>
      <c r="AT771">
        <f>IF(COUNT($G$752:$G$771)&lt;20,"",STDEV($G$752:$G$771)*SQRT(252))</f>
        <v>0</v>
      </c>
      <c r="AU771">
        <f>IF(COUNT($E$2:$E771)&lt;9,"",(MAX($C$763:$C$771)+MIN($D$763:$D$771))/2)</f>
        <v>0</v>
      </c>
      <c r="AV771">
        <f>IF(COUNT($E$2:$E771)&lt;26,"",(MAX($C$746:$C$771)+MIN($D$746:$D$771))/2)</f>
        <v>0</v>
      </c>
      <c r="AW771">
        <f>IF(OR(AU771="",AV771=""),"",(AU771+AV771)/2)</f>
        <v>0</v>
      </c>
      <c r="AX771">
        <f>IF(COUNT($E$2:$E771)&lt;52,"",(MAX($C$720:$C$771)+MIN($D$720:$D$771))/2)</f>
        <v>0</v>
      </c>
      <c r="AY771">
        <f>IF(COUNT($E$2:$E771)&lt;20,"",MAX($C$672:$C$771))</f>
        <v>0</v>
      </c>
      <c r="AZ771">
        <f>IF(COUNT($E$2:$E771)&lt;20,"",MIN($D$672:$D$771))</f>
        <v>0</v>
      </c>
      <c r="BA771">
        <f>IF(COUNT($E$2:$E771)&lt;20,"",SLOPE($E$672:$E$771,$F$672:$F$771))</f>
        <v>0</v>
      </c>
      <c r="BB771">
        <f>IF(COUNT($E$2:$E771)&lt;20,"",INTERCEPT($E$672:$E$771,$F$672:$F$771))</f>
        <v>0</v>
      </c>
      <c r="BC771">
        <f>IF(OR(BA771="",BB771=""),"",BB771+BA771*F771)</f>
        <v>0</v>
      </c>
      <c r="BD771">
        <f>IF(COUNT($E$2:$E771)&lt;20,"",STEYX($E$672:$E$771,$F$672:$F$771))</f>
        <v>0</v>
      </c>
      <c r="BE771">
        <f>IF($E771="","",IF(AND(COUNT($E$772:$E$775)&gt;=4,$C771=MAX($C$767:$C$775)),$C771,""))</f>
        <v>0</v>
      </c>
      <c r="BF771">
        <f>IF($E771="","",IF(AND(COUNT($E$772:$E$775)&gt;=4,$D771=MIN($D$767:$D$775)),$D771,""))</f>
        <v>0</v>
      </c>
      <c r="BG771">
        <f>IF($A771="","",$A771-WEEKDAY($A771,2)+1)</f>
        <v>0</v>
      </c>
      <c r="BH771">
        <f>IF($A771="","",IF($A770="",1,IF(BG771&lt;&gt;BG770,1,0)))</f>
        <v>0</v>
      </c>
      <c r="BI771">
        <f>IF($A771="","",IF($A772="",1,IF(BG772&lt;&gt;BG771,1,0)))</f>
        <v>0</v>
      </c>
      <c r="BJ771">
        <f>IF($A771="","",IF(BH771=1,$B771,BJ770))</f>
        <v>0</v>
      </c>
      <c r="BK771">
        <f>IF($A771="","",IF(BH771=1,$C771,MAX($C771,BK770)))</f>
        <v>0</v>
      </c>
      <c r="BL771">
        <f>IF($A771="","",IF(BH771=1,$D771,MIN($D771,BL770)))</f>
        <v>0</v>
      </c>
      <c r="BM771">
        <f>IF($A771="","",IF(BI771=1,F771,""))</f>
        <v>0</v>
      </c>
      <c r="BN771">
        <f>IF($A771="","",DATE(YEAR($A771),MONTH($A771),1))</f>
        <v>0</v>
      </c>
      <c r="BO771">
        <f>IF($A771="","",IF($A770="",1,IF(BN771&lt;&gt;BN770,1,0)))</f>
        <v>0</v>
      </c>
      <c r="BP771">
        <f>IF($A771="","",IF($A772="",1,IF(BN772&lt;&gt;BN771,1,0)))</f>
        <v>0</v>
      </c>
      <c r="BQ771">
        <f>IF($A771="","",IF(BO771=1,$B771,BQ770))</f>
        <v>0</v>
      </c>
      <c r="BR771">
        <f>IF($A771="","",IF(BO771=1,$C771,MAX($C771,BR770)))</f>
        <v>0</v>
      </c>
      <c r="BS771">
        <f>IF($A771="","",IF(BO771=1,$D771,MIN($D771,BS770)))</f>
        <v>0</v>
      </c>
      <c r="BT771">
        <f>IF($A771="","",IF(BP771=1,F771,""))</f>
        <v>0</v>
      </c>
    </row>
    <row r="772" spans="1:72">
      <c r="A772" s="27">
        <f>IF(Data!$A772="","",Data!$A772)</f>
        <v>0</v>
      </c>
      <c r="B772">
        <f>IF(Data!$B772="","",Data!$B772)</f>
        <v>0</v>
      </c>
      <c r="C772">
        <f>IF(Data!$C772="","",Data!$C772)</f>
        <v>0</v>
      </c>
      <c r="D772">
        <f>IF(Data!$D772="","",Data!$D772)</f>
        <v>0</v>
      </c>
      <c r="E772">
        <f>IF(Data!$E772="","",Data!$E772)</f>
        <v>0</v>
      </c>
      <c r="F772">
        <f>IF($E772="","",N(F771)+1)</f>
        <v>0</v>
      </c>
      <c r="G772">
        <f>IF(OR($E772="",$E771=""),"",LN($E772/$E771))</f>
        <v>0</v>
      </c>
      <c r="H772">
        <f>IF($E772="","",IF($E771="",$E772,$E772*0.0952380952+H771*0.9047619048))</f>
        <v>0</v>
      </c>
      <c r="I772">
        <f>IF($E772="","",IF($E771="",$E772,$E772*0.0392156863+I771*0.9607843137))</f>
        <v>0</v>
      </c>
      <c r="J772">
        <f>IF($E772="","",IF($E771="",$E772,$E772*0.0198019802+J771*0.9801980198))</f>
        <v>0</v>
      </c>
      <c r="K772">
        <f>IF($E772="","",IF($E771="",$E772,$E772*0.0099502488+K771*0.9900497512))</f>
        <v>0</v>
      </c>
      <c r="L772">
        <f>IF(OR($E772="",$E771=""),"",MAX($E772-$E771,0))</f>
        <v>0</v>
      </c>
      <c r="M772">
        <f>IF(OR($E772="",$E771=""),"",MAX($E771-$E772,0))</f>
        <v>0</v>
      </c>
      <c r="N772">
        <f>IF(COUNT($E$2:$E772)&lt;15,"",IF(AVERAGE($M$759:$M$772)=0,100,100-100/(1+AVERAGE($L$759:$L$772)/AVERAGE($M$759:$M$772))))</f>
        <v>0</v>
      </c>
      <c r="O772">
        <f>IF($E772="","",IF($E771="",$E772,$E772*0.1538461538+O771*0.8461538462))</f>
        <v>0</v>
      </c>
      <c r="P772">
        <f>IF($E772="","",IF($E771="",$E772,$E772*0.0740740741+P771*0.9259259259))</f>
        <v>0</v>
      </c>
      <c r="Q772">
        <f>IF(OR(O772="",P772=""),"",O772-P772)</f>
        <v>0</v>
      </c>
      <c r="R772">
        <f>IF(Q772="","",IF(R771="",Q772,Q772*0.2000000000+R771*0.8000000000))</f>
        <v>0</v>
      </c>
      <c r="S772">
        <f>IF(OR(Q772="",R772=""),"",Q772-R772)</f>
        <v>0</v>
      </c>
      <c r="T772">
        <f>IF(COUNT($E$2:$E772)&lt;14,"",MAX($C$759:$C$772))</f>
        <v>0</v>
      </c>
      <c r="U772">
        <f>IF(COUNT($E$2:$E772)&lt;14,"",MIN($D$759:$D$772))</f>
        <v>0</v>
      </c>
      <c r="V772">
        <f>IF(OR(T772="",U772="",T772=U772),"",100*($E772-U772)/(T772-U772))</f>
        <v>0</v>
      </c>
      <c r="W772">
        <f>IF(COUNT($V$770:$V$772)&lt;3,"",AVERAGE($V$770:$V$772))</f>
        <v>0</v>
      </c>
      <c r="X772">
        <f>IF(COUNT($N$759:$N$772)&lt;14,"",MIN($N$759:$N$772))</f>
        <v>0</v>
      </c>
      <c r="Y772">
        <f>IF(COUNT($N$759:$N$772)&lt;14,"",MAX($N$759:$N$772))</f>
        <v>0</v>
      </c>
      <c r="Z772">
        <f>IF(OR(N772="",X772="",Y772="",Y772=X772),"",100*(N772-X772)/(Y772-X772))</f>
        <v>0</v>
      </c>
      <c r="AA772">
        <f>IF(COUNT($Z$770:$Z$772)&lt;3,"",AVERAGE($Z$770:$Z$772))</f>
        <v>0</v>
      </c>
      <c r="AB772">
        <f>IF(COUNT($AA$770:$AA$772)&lt;3,"",AVERAGE($AA$770:$AA$772))</f>
        <v>0</v>
      </c>
      <c r="AC772">
        <f>IF($E772="","",MAX($C772-$D772,ABS($C772-$E771),ABS($D772-$E771)))</f>
        <v>0</v>
      </c>
      <c r="AD772">
        <f>IF(COUNT($E$2:$E772)&lt;15,"",AVERAGE($AC$759:$AC$772))</f>
        <v>0</v>
      </c>
      <c r="AE772">
        <f>IF(OR($E772="",$E771=""),"",IF(AND(($C772-$C771)&gt;($D771-$D772),($C772-$C771)&gt;0),$C772-$C771,0))</f>
        <v>0</v>
      </c>
      <c r="AF772">
        <f>IF(OR($E772="",$E771=""),"",IF(AND(($D771-$D772)&gt;($C772-$C771),($D771-$D772)&gt;0),$D771-$D772,0))</f>
        <v>0</v>
      </c>
      <c r="AG772">
        <f>IF(COUNT($E$2:$E772)&lt;15,"",IF(SUM($AC$759:$AC$772)=0,0,100*SUM($AE$759:$AE$772)/SUM($AC$759:$AC$772)))</f>
        <v>0</v>
      </c>
      <c r="AH772">
        <f>IF(COUNT($E$2:$E772)&lt;15,"",IF(SUM($AC$759:$AC$772)=0,0,100*SUM($AF$759:$AF$772)/SUM($AC$759:$AC$772)))</f>
        <v>0</v>
      </c>
      <c r="AI772">
        <f>IF(OR(AG772="",AH772=""),"",IF((AG772+AH772)=0,0,100*ABS(AG772-AH772)/(AG772+AH772)))</f>
        <v>0</v>
      </c>
      <c r="AJ772">
        <f>IF(COUNT($AI$759:$AI$772)&lt;14,"",AVERAGE($AI$759:$AI$772))</f>
        <v>0</v>
      </c>
      <c r="AK772">
        <f>IF(COUNT($E$2:$E772)&lt;20,"",AVERAGE($E$753:$E$772))</f>
        <v>0</v>
      </c>
      <c r="AL772">
        <f>IF(COUNT($E$2:$E772)&lt;20,"",STDEVP($E$753:$E$772))</f>
        <v>0</v>
      </c>
      <c r="AM772">
        <f>IF(AK772="","",AK772+2*AL772)</f>
        <v>0</v>
      </c>
      <c r="AN772">
        <f>IF(AK772="","",AK772-2*AL772)</f>
        <v>0</v>
      </c>
      <c r="AO772">
        <f>IF(OR(AM772="",AN772="",AM772=AN772),"",($E772-AN772)/(AM772-AN772))</f>
        <v>0</v>
      </c>
      <c r="AP772">
        <f>IF(OR(AM772="",AK772="",AK772=0),"",(AM772-AN772)/AK772)</f>
        <v>0</v>
      </c>
      <c r="AQ772">
        <f>IF(COUNT($E$2:$E772)&lt;20,"",MAX($C$753:$C$772))</f>
        <v>0</v>
      </c>
      <c r="AR772">
        <f>IF(COUNT($E$2:$E772)&lt;20,"",MIN($D$753:$D$772))</f>
        <v>0</v>
      </c>
      <c r="AS772">
        <f>IF(OR(AQ772="",AR772=""),"",(AQ772+AR772)/2)</f>
        <v>0</v>
      </c>
      <c r="AT772">
        <f>IF(COUNT($G$753:$G$772)&lt;20,"",STDEV($G$753:$G$772)*SQRT(252))</f>
        <v>0</v>
      </c>
      <c r="AU772">
        <f>IF(COUNT($E$2:$E772)&lt;9,"",(MAX($C$764:$C$772)+MIN($D$764:$D$772))/2)</f>
        <v>0</v>
      </c>
      <c r="AV772">
        <f>IF(COUNT($E$2:$E772)&lt;26,"",(MAX($C$747:$C$772)+MIN($D$747:$D$772))/2)</f>
        <v>0</v>
      </c>
      <c r="AW772">
        <f>IF(OR(AU772="",AV772=""),"",(AU772+AV772)/2)</f>
        <v>0</v>
      </c>
      <c r="AX772">
        <f>IF(COUNT($E$2:$E772)&lt;52,"",(MAX($C$721:$C$772)+MIN($D$721:$D$772))/2)</f>
        <v>0</v>
      </c>
      <c r="AY772">
        <f>IF(COUNT($E$2:$E772)&lt;20,"",MAX($C$673:$C$772))</f>
        <v>0</v>
      </c>
      <c r="AZ772">
        <f>IF(COUNT($E$2:$E772)&lt;20,"",MIN($D$673:$D$772))</f>
        <v>0</v>
      </c>
      <c r="BA772">
        <f>IF(COUNT($E$2:$E772)&lt;20,"",SLOPE($E$673:$E$772,$F$673:$F$772))</f>
        <v>0</v>
      </c>
      <c r="BB772">
        <f>IF(COUNT($E$2:$E772)&lt;20,"",INTERCEPT($E$673:$E$772,$F$673:$F$772))</f>
        <v>0</v>
      </c>
      <c r="BC772">
        <f>IF(OR(BA772="",BB772=""),"",BB772+BA772*F772)</f>
        <v>0</v>
      </c>
      <c r="BD772">
        <f>IF(COUNT($E$2:$E772)&lt;20,"",STEYX($E$673:$E$772,$F$673:$F$772))</f>
        <v>0</v>
      </c>
      <c r="BE772">
        <f>IF($E772="","",IF(AND(COUNT($E$773:$E$776)&gt;=4,$C772=MAX($C$768:$C$776)),$C772,""))</f>
        <v>0</v>
      </c>
      <c r="BF772">
        <f>IF($E772="","",IF(AND(COUNT($E$773:$E$776)&gt;=4,$D772=MIN($D$768:$D$776)),$D772,""))</f>
        <v>0</v>
      </c>
      <c r="BG772">
        <f>IF($A772="","",$A772-WEEKDAY($A772,2)+1)</f>
        <v>0</v>
      </c>
      <c r="BH772">
        <f>IF($A772="","",IF($A771="",1,IF(BG772&lt;&gt;BG771,1,0)))</f>
        <v>0</v>
      </c>
      <c r="BI772">
        <f>IF($A772="","",IF($A773="",1,IF(BG773&lt;&gt;BG772,1,0)))</f>
        <v>0</v>
      </c>
      <c r="BJ772">
        <f>IF($A772="","",IF(BH772=1,$B772,BJ771))</f>
        <v>0</v>
      </c>
      <c r="BK772">
        <f>IF($A772="","",IF(BH772=1,$C772,MAX($C772,BK771)))</f>
        <v>0</v>
      </c>
      <c r="BL772">
        <f>IF($A772="","",IF(BH772=1,$D772,MIN($D772,BL771)))</f>
        <v>0</v>
      </c>
      <c r="BM772">
        <f>IF($A772="","",IF(BI772=1,F772,""))</f>
        <v>0</v>
      </c>
      <c r="BN772">
        <f>IF($A772="","",DATE(YEAR($A772),MONTH($A772),1))</f>
        <v>0</v>
      </c>
      <c r="BO772">
        <f>IF($A772="","",IF($A771="",1,IF(BN772&lt;&gt;BN771,1,0)))</f>
        <v>0</v>
      </c>
      <c r="BP772">
        <f>IF($A772="","",IF($A773="",1,IF(BN773&lt;&gt;BN772,1,0)))</f>
        <v>0</v>
      </c>
      <c r="BQ772">
        <f>IF($A772="","",IF(BO772=1,$B772,BQ771))</f>
        <v>0</v>
      </c>
      <c r="BR772">
        <f>IF($A772="","",IF(BO772=1,$C772,MAX($C772,BR771)))</f>
        <v>0</v>
      </c>
      <c r="BS772">
        <f>IF($A772="","",IF(BO772=1,$D772,MIN($D772,BS771)))</f>
        <v>0</v>
      </c>
      <c r="BT772">
        <f>IF($A772="","",IF(BP772=1,F772,""))</f>
        <v>0</v>
      </c>
    </row>
    <row r="773" spans="1:72">
      <c r="A773" s="27">
        <f>IF(Data!$A773="","",Data!$A773)</f>
        <v>0</v>
      </c>
      <c r="B773">
        <f>IF(Data!$B773="","",Data!$B773)</f>
        <v>0</v>
      </c>
      <c r="C773">
        <f>IF(Data!$C773="","",Data!$C773)</f>
        <v>0</v>
      </c>
      <c r="D773">
        <f>IF(Data!$D773="","",Data!$D773)</f>
        <v>0</v>
      </c>
      <c r="E773">
        <f>IF(Data!$E773="","",Data!$E773)</f>
        <v>0</v>
      </c>
      <c r="F773">
        <f>IF($E773="","",N(F772)+1)</f>
        <v>0</v>
      </c>
      <c r="G773">
        <f>IF(OR($E773="",$E772=""),"",LN($E773/$E772))</f>
        <v>0</v>
      </c>
      <c r="H773">
        <f>IF($E773="","",IF($E772="",$E773,$E773*0.0952380952+H772*0.9047619048))</f>
        <v>0</v>
      </c>
      <c r="I773">
        <f>IF($E773="","",IF($E772="",$E773,$E773*0.0392156863+I772*0.9607843137))</f>
        <v>0</v>
      </c>
      <c r="J773">
        <f>IF($E773="","",IF($E772="",$E773,$E773*0.0198019802+J772*0.9801980198))</f>
        <v>0</v>
      </c>
      <c r="K773">
        <f>IF($E773="","",IF($E772="",$E773,$E773*0.0099502488+K772*0.9900497512))</f>
        <v>0</v>
      </c>
      <c r="L773">
        <f>IF(OR($E773="",$E772=""),"",MAX($E773-$E772,0))</f>
        <v>0</v>
      </c>
      <c r="M773">
        <f>IF(OR($E773="",$E772=""),"",MAX($E772-$E773,0))</f>
        <v>0</v>
      </c>
      <c r="N773">
        <f>IF(COUNT($E$2:$E773)&lt;15,"",IF(AVERAGE($M$760:$M$773)=0,100,100-100/(1+AVERAGE($L$760:$L$773)/AVERAGE($M$760:$M$773))))</f>
        <v>0</v>
      </c>
      <c r="O773">
        <f>IF($E773="","",IF($E772="",$E773,$E773*0.1538461538+O772*0.8461538462))</f>
        <v>0</v>
      </c>
      <c r="P773">
        <f>IF($E773="","",IF($E772="",$E773,$E773*0.0740740741+P772*0.9259259259))</f>
        <v>0</v>
      </c>
      <c r="Q773">
        <f>IF(OR(O773="",P773=""),"",O773-P773)</f>
        <v>0</v>
      </c>
      <c r="R773">
        <f>IF(Q773="","",IF(R772="",Q773,Q773*0.2000000000+R772*0.8000000000))</f>
        <v>0</v>
      </c>
      <c r="S773">
        <f>IF(OR(Q773="",R773=""),"",Q773-R773)</f>
        <v>0</v>
      </c>
      <c r="T773">
        <f>IF(COUNT($E$2:$E773)&lt;14,"",MAX($C$760:$C$773))</f>
        <v>0</v>
      </c>
      <c r="U773">
        <f>IF(COUNT($E$2:$E773)&lt;14,"",MIN($D$760:$D$773))</f>
        <v>0</v>
      </c>
      <c r="V773">
        <f>IF(OR(T773="",U773="",T773=U773),"",100*($E773-U773)/(T773-U773))</f>
        <v>0</v>
      </c>
      <c r="W773">
        <f>IF(COUNT($V$771:$V$773)&lt;3,"",AVERAGE($V$771:$V$773))</f>
        <v>0</v>
      </c>
      <c r="X773">
        <f>IF(COUNT($N$760:$N$773)&lt;14,"",MIN($N$760:$N$773))</f>
        <v>0</v>
      </c>
      <c r="Y773">
        <f>IF(COUNT($N$760:$N$773)&lt;14,"",MAX($N$760:$N$773))</f>
        <v>0</v>
      </c>
      <c r="Z773">
        <f>IF(OR(N773="",X773="",Y773="",Y773=X773),"",100*(N773-X773)/(Y773-X773))</f>
        <v>0</v>
      </c>
      <c r="AA773">
        <f>IF(COUNT($Z$771:$Z$773)&lt;3,"",AVERAGE($Z$771:$Z$773))</f>
        <v>0</v>
      </c>
      <c r="AB773">
        <f>IF(COUNT($AA$771:$AA$773)&lt;3,"",AVERAGE($AA$771:$AA$773))</f>
        <v>0</v>
      </c>
      <c r="AC773">
        <f>IF($E773="","",MAX($C773-$D773,ABS($C773-$E772),ABS($D773-$E772)))</f>
        <v>0</v>
      </c>
      <c r="AD773">
        <f>IF(COUNT($E$2:$E773)&lt;15,"",AVERAGE($AC$760:$AC$773))</f>
        <v>0</v>
      </c>
      <c r="AE773">
        <f>IF(OR($E773="",$E772=""),"",IF(AND(($C773-$C772)&gt;($D772-$D773),($C773-$C772)&gt;0),$C773-$C772,0))</f>
        <v>0</v>
      </c>
      <c r="AF773">
        <f>IF(OR($E773="",$E772=""),"",IF(AND(($D772-$D773)&gt;($C773-$C772),($D772-$D773)&gt;0),$D772-$D773,0))</f>
        <v>0</v>
      </c>
      <c r="AG773">
        <f>IF(COUNT($E$2:$E773)&lt;15,"",IF(SUM($AC$760:$AC$773)=0,0,100*SUM($AE$760:$AE$773)/SUM($AC$760:$AC$773)))</f>
        <v>0</v>
      </c>
      <c r="AH773">
        <f>IF(COUNT($E$2:$E773)&lt;15,"",IF(SUM($AC$760:$AC$773)=0,0,100*SUM($AF$760:$AF$773)/SUM($AC$760:$AC$773)))</f>
        <v>0</v>
      </c>
      <c r="AI773">
        <f>IF(OR(AG773="",AH773=""),"",IF((AG773+AH773)=0,0,100*ABS(AG773-AH773)/(AG773+AH773)))</f>
        <v>0</v>
      </c>
      <c r="AJ773">
        <f>IF(COUNT($AI$760:$AI$773)&lt;14,"",AVERAGE($AI$760:$AI$773))</f>
        <v>0</v>
      </c>
      <c r="AK773">
        <f>IF(COUNT($E$2:$E773)&lt;20,"",AVERAGE($E$754:$E$773))</f>
        <v>0</v>
      </c>
      <c r="AL773">
        <f>IF(COUNT($E$2:$E773)&lt;20,"",STDEVP($E$754:$E$773))</f>
        <v>0</v>
      </c>
      <c r="AM773">
        <f>IF(AK773="","",AK773+2*AL773)</f>
        <v>0</v>
      </c>
      <c r="AN773">
        <f>IF(AK773="","",AK773-2*AL773)</f>
        <v>0</v>
      </c>
      <c r="AO773">
        <f>IF(OR(AM773="",AN773="",AM773=AN773),"",($E773-AN773)/(AM773-AN773))</f>
        <v>0</v>
      </c>
      <c r="AP773">
        <f>IF(OR(AM773="",AK773="",AK773=0),"",(AM773-AN773)/AK773)</f>
        <v>0</v>
      </c>
      <c r="AQ773">
        <f>IF(COUNT($E$2:$E773)&lt;20,"",MAX($C$754:$C$773))</f>
        <v>0</v>
      </c>
      <c r="AR773">
        <f>IF(COUNT($E$2:$E773)&lt;20,"",MIN($D$754:$D$773))</f>
        <v>0</v>
      </c>
      <c r="AS773">
        <f>IF(OR(AQ773="",AR773=""),"",(AQ773+AR773)/2)</f>
        <v>0</v>
      </c>
      <c r="AT773">
        <f>IF(COUNT($G$754:$G$773)&lt;20,"",STDEV($G$754:$G$773)*SQRT(252))</f>
        <v>0</v>
      </c>
      <c r="AU773">
        <f>IF(COUNT($E$2:$E773)&lt;9,"",(MAX($C$765:$C$773)+MIN($D$765:$D$773))/2)</f>
        <v>0</v>
      </c>
      <c r="AV773">
        <f>IF(COUNT($E$2:$E773)&lt;26,"",(MAX($C$748:$C$773)+MIN($D$748:$D$773))/2)</f>
        <v>0</v>
      </c>
      <c r="AW773">
        <f>IF(OR(AU773="",AV773=""),"",(AU773+AV773)/2)</f>
        <v>0</v>
      </c>
      <c r="AX773">
        <f>IF(COUNT($E$2:$E773)&lt;52,"",(MAX($C$722:$C$773)+MIN($D$722:$D$773))/2)</f>
        <v>0</v>
      </c>
      <c r="AY773">
        <f>IF(COUNT($E$2:$E773)&lt;20,"",MAX($C$674:$C$773))</f>
        <v>0</v>
      </c>
      <c r="AZ773">
        <f>IF(COUNT($E$2:$E773)&lt;20,"",MIN($D$674:$D$773))</f>
        <v>0</v>
      </c>
      <c r="BA773">
        <f>IF(COUNT($E$2:$E773)&lt;20,"",SLOPE($E$674:$E$773,$F$674:$F$773))</f>
        <v>0</v>
      </c>
      <c r="BB773">
        <f>IF(COUNT($E$2:$E773)&lt;20,"",INTERCEPT($E$674:$E$773,$F$674:$F$773))</f>
        <v>0</v>
      </c>
      <c r="BC773">
        <f>IF(OR(BA773="",BB773=""),"",BB773+BA773*F773)</f>
        <v>0</v>
      </c>
      <c r="BD773">
        <f>IF(COUNT($E$2:$E773)&lt;20,"",STEYX($E$674:$E$773,$F$674:$F$773))</f>
        <v>0</v>
      </c>
      <c r="BE773">
        <f>IF($E773="","",IF(AND(COUNT($E$774:$E$777)&gt;=4,$C773=MAX($C$769:$C$777)),$C773,""))</f>
        <v>0</v>
      </c>
      <c r="BF773">
        <f>IF($E773="","",IF(AND(COUNT($E$774:$E$777)&gt;=4,$D773=MIN($D$769:$D$777)),$D773,""))</f>
        <v>0</v>
      </c>
      <c r="BG773">
        <f>IF($A773="","",$A773-WEEKDAY($A773,2)+1)</f>
        <v>0</v>
      </c>
      <c r="BH773">
        <f>IF($A773="","",IF($A772="",1,IF(BG773&lt;&gt;BG772,1,0)))</f>
        <v>0</v>
      </c>
      <c r="BI773">
        <f>IF($A773="","",IF($A774="",1,IF(BG774&lt;&gt;BG773,1,0)))</f>
        <v>0</v>
      </c>
      <c r="BJ773">
        <f>IF($A773="","",IF(BH773=1,$B773,BJ772))</f>
        <v>0</v>
      </c>
      <c r="BK773">
        <f>IF($A773="","",IF(BH773=1,$C773,MAX($C773,BK772)))</f>
        <v>0</v>
      </c>
      <c r="BL773">
        <f>IF($A773="","",IF(BH773=1,$D773,MIN($D773,BL772)))</f>
        <v>0</v>
      </c>
      <c r="BM773">
        <f>IF($A773="","",IF(BI773=1,F773,""))</f>
        <v>0</v>
      </c>
      <c r="BN773">
        <f>IF($A773="","",DATE(YEAR($A773),MONTH($A773),1))</f>
        <v>0</v>
      </c>
      <c r="BO773">
        <f>IF($A773="","",IF($A772="",1,IF(BN773&lt;&gt;BN772,1,0)))</f>
        <v>0</v>
      </c>
      <c r="BP773">
        <f>IF($A773="","",IF($A774="",1,IF(BN774&lt;&gt;BN773,1,0)))</f>
        <v>0</v>
      </c>
      <c r="BQ773">
        <f>IF($A773="","",IF(BO773=1,$B773,BQ772))</f>
        <v>0</v>
      </c>
      <c r="BR773">
        <f>IF($A773="","",IF(BO773=1,$C773,MAX($C773,BR772)))</f>
        <v>0</v>
      </c>
      <c r="BS773">
        <f>IF($A773="","",IF(BO773=1,$D773,MIN($D773,BS772)))</f>
        <v>0</v>
      </c>
      <c r="BT773">
        <f>IF($A773="","",IF(BP773=1,F773,""))</f>
        <v>0</v>
      </c>
    </row>
    <row r="774" spans="1:72">
      <c r="A774" s="27">
        <f>IF(Data!$A774="","",Data!$A774)</f>
        <v>0</v>
      </c>
      <c r="B774">
        <f>IF(Data!$B774="","",Data!$B774)</f>
        <v>0</v>
      </c>
      <c r="C774">
        <f>IF(Data!$C774="","",Data!$C774)</f>
        <v>0</v>
      </c>
      <c r="D774">
        <f>IF(Data!$D774="","",Data!$D774)</f>
        <v>0</v>
      </c>
      <c r="E774">
        <f>IF(Data!$E774="","",Data!$E774)</f>
        <v>0</v>
      </c>
      <c r="F774">
        <f>IF($E774="","",N(F773)+1)</f>
        <v>0</v>
      </c>
      <c r="G774">
        <f>IF(OR($E774="",$E773=""),"",LN($E774/$E773))</f>
        <v>0</v>
      </c>
      <c r="H774">
        <f>IF($E774="","",IF($E773="",$E774,$E774*0.0952380952+H773*0.9047619048))</f>
        <v>0</v>
      </c>
      <c r="I774">
        <f>IF($E774="","",IF($E773="",$E774,$E774*0.0392156863+I773*0.9607843137))</f>
        <v>0</v>
      </c>
      <c r="J774">
        <f>IF($E774="","",IF($E773="",$E774,$E774*0.0198019802+J773*0.9801980198))</f>
        <v>0</v>
      </c>
      <c r="K774">
        <f>IF($E774="","",IF($E773="",$E774,$E774*0.0099502488+K773*0.9900497512))</f>
        <v>0</v>
      </c>
      <c r="L774">
        <f>IF(OR($E774="",$E773=""),"",MAX($E774-$E773,0))</f>
        <v>0</v>
      </c>
      <c r="M774">
        <f>IF(OR($E774="",$E773=""),"",MAX($E773-$E774,0))</f>
        <v>0</v>
      </c>
      <c r="N774">
        <f>IF(COUNT($E$2:$E774)&lt;15,"",IF(AVERAGE($M$761:$M$774)=0,100,100-100/(1+AVERAGE($L$761:$L$774)/AVERAGE($M$761:$M$774))))</f>
        <v>0</v>
      </c>
      <c r="O774">
        <f>IF($E774="","",IF($E773="",$E774,$E774*0.1538461538+O773*0.8461538462))</f>
        <v>0</v>
      </c>
      <c r="P774">
        <f>IF($E774="","",IF($E773="",$E774,$E774*0.0740740741+P773*0.9259259259))</f>
        <v>0</v>
      </c>
      <c r="Q774">
        <f>IF(OR(O774="",P774=""),"",O774-P774)</f>
        <v>0</v>
      </c>
      <c r="R774">
        <f>IF(Q774="","",IF(R773="",Q774,Q774*0.2000000000+R773*0.8000000000))</f>
        <v>0</v>
      </c>
      <c r="S774">
        <f>IF(OR(Q774="",R774=""),"",Q774-R774)</f>
        <v>0</v>
      </c>
      <c r="T774">
        <f>IF(COUNT($E$2:$E774)&lt;14,"",MAX($C$761:$C$774))</f>
        <v>0</v>
      </c>
      <c r="U774">
        <f>IF(COUNT($E$2:$E774)&lt;14,"",MIN($D$761:$D$774))</f>
        <v>0</v>
      </c>
      <c r="V774">
        <f>IF(OR(T774="",U774="",T774=U774),"",100*($E774-U774)/(T774-U774))</f>
        <v>0</v>
      </c>
      <c r="W774">
        <f>IF(COUNT($V$772:$V$774)&lt;3,"",AVERAGE($V$772:$V$774))</f>
        <v>0</v>
      </c>
      <c r="X774">
        <f>IF(COUNT($N$761:$N$774)&lt;14,"",MIN($N$761:$N$774))</f>
        <v>0</v>
      </c>
      <c r="Y774">
        <f>IF(COUNT($N$761:$N$774)&lt;14,"",MAX($N$761:$N$774))</f>
        <v>0</v>
      </c>
      <c r="Z774">
        <f>IF(OR(N774="",X774="",Y774="",Y774=X774),"",100*(N774-X774)/(Y774-X774))</f>
        <v>0</v>
      </c>
      <c r="AA774">
        <f>IF(COUNT($Z$772:$Z$774)&lt;3,"",AVERAGE($Z$772:$Z$774))</f>
        <v>0</v>
      </c>
      <c r="AB774">
        <f>IF(COUNT($AA$772:$AA$774)&lt;3,"",AVERAGE($AA$772:$AA$774))</f>
        <v>0</v>
      </c>
      <c r="AC774">
        <f>IF($E774="","",MAX($C774-$D774,ABS($C774-$E773),ABS($D774-$E773)))</f>
        <v>0</v>
      </c>
      <c r="AD774">
        <f>IF(COUNT($E$2:$E774)&lt;15,"",AVERAGE($AC$761:$AC$774))</f>
        <v>0</v>
      </c>
      <c r="AE774">
        <f>IF(OR($E774="",$E773=""),"",IF(AND(($C774-$C773)&gt;($D773-$D774),($C774-$C773)&gt;0),$C774-$C773,0))</f>
        <v>0</v>
      </c>
      <c r="AF774">
        <f>IF(OR($E774="",$E773=""),"",IF(AND(($D773-$D774)&gt;($C774-$C773),($D773-$D774)&gt;0),$D773-$D774,0))</f>
        <v>0</v>
      </c>
      <c r="AG774">
        <f>IF(COUNT($E$2:$E774)&lt;15,"",IF(SUM($AC$761:$AC$774)=0,0,100*SUM($AE$761:$AE$774)/SUM($AC$761:$AC$774)))</f>
        <v>0</v>
      </c>
      <c r="AH774">
        <f>IF(COUNT($E$2:$E774)&lt;15,"",IF(SUM($AC$761:$AC$774)=0,0,100*SUM($AF$761:$AF$774)/SUM($AC$761:$AC$774)))</f>
        <v>0</v>
      </c>
      <c r="AI774">
        <f>IF(OR(AG774="",AH774=""),"",IF((AG774+AH774)=0,0,100*ABS(AG774-AH774)/(AG774+AH774)))</f>
        <v>0</v>
      </c>
      <c r="AJ774">
        <f>IF(COUNT($AI$761:$AI$774)&lt;14,"",AVERAGE($AI$761:$AI$774))</f>
        <v>0</v>
      </c>
      <c r="AK774">
        <f>IF(COUNT($E$2:$E774)&lt;20,"",AVERAGE($E$755:$E$774))</f>
        <v>0</v>
      </c>
      <c r="AL774">
        <f>IF(COUNT($E$2:$E774)&lt;20,"",STDEVP($E$755:$E$774))</f>
        <v>0</v>
      </c>
      <c r="AM774">
        <f>IF(AK774="","",AK774+2*AL774)</f>
        <v>0</v>
      </c>
      <c r="AN774">
        <f>IF(AK774="","",AK774-2*AL774)</f>
        <v>0</v>
      </c>
      <c r="AO774">
        <f>IF(OR(AM774="",AN774="",AM774=AN774),"",($E774-AN774)/(AM774-AN774))</f>
        <v>0</v>
      </c>
      <c r="AP774">
        <f>IF(OR(AM774="",AK774="",AK774=0),"",(AM774-AN774)/AK774)</f>
        <v>0</v>
      </c>
      <c r="AQ774">
        <f>IF(COUNT($E$2:$E774)&lt;20,"",MAX($C$755:$C$774))</f>
        <v>0</v>
      </c>
      <c r="AR774">
        <f>IF(COUNT($E$2:$E774)&lt;20,"",MIN($D$755:$D$774))</f>
        <v>0</v>
      </c>
      <c r="AS774">
        <f>IF(OR(AQ774="",AR774=""),"",(AQ774+AR774)/2)</f>
        <v>0</v>
      </c>
      <c r="AT774">
        <f>IF(COUNT($G$755:$G$774)&lt;20,"",STDEV($G$755:$G$774)*SQRT(252))</f>
        <v>0</v>
      </c>
      <c r="AU774">
        <f>IF(COUNT($E$2:$E774)&lt;9,"",(MAX($C$766:$C$774)+MIN($D$766:$D$774))/2)</f>
        <v>0</v>
      </c>
      <c r="AV774">
        <f>IF(COUNT($E$2:$E774)&lt;26,"",(MAX($C$749:$C$774)+MIN($D$749:$D$774))/2)</f>
        <v>0</v>
      </c>
      <c r="AW774">
        <f>IF(OR(AU774="",AV774=""),"",(AU774+AV774)/2)</f>
        <v>0</v>
      </c>
      <c r="AX774">
        <f>IF(COUNT($E$2:$E774)&lt;52,"",(MAX($C$723:$C$774)+MIN($D$723:$D$774))/2)</f>
        <v>0</v>
      </c>
      <c r="AY774">
        <f>IF(COUNT($E$2:$E774)&lt;20,"",MAX($C$675:$C$774))</f>
        <v>0</v>
      </c>
      <c r="AZ774">
        <f>IF(COUNT($E$2:$E774)&lt;20,"",MIN($D$675:$D$774))</f>
        <v>0</v>
      </c>
      <c r="BA774">
        <f>IF(COUNT($E$2:$E774)&lt;20,"",SLOPE($E$675:$E$774,$F$675:$F$774))</f>
        <v>0</v>
      </c>
      <c r="BB774">
        <f>IF(COUNT($E$2:$E774)&lt;20,"",INTERCEPT($E$675:$E$774,$F$675:$F$774))</f>
        <v>0</v>
      </c>
      <c r="BC774">
        <f>IF(OR(BA774="",BB774=""),"",BB774+BA774*F774)</f>
        <v>0</v>
      </c>
      <c r="BD774">
        <f>IF(COUNT($E$2:$E774)&lt;20,"",STEYX($E$675:$E$774,$F$675:$F$774))</f>
        <v>0</v>
      </c>
      <c r="BE774">
        <f>IF($E774="","",IF(AND(COUNT($E$775:$E$778)&gt;=4,$C774=MAX($C$770:$C$778)),$C774,""))</f>
        <v>0</v>
      </c>
      <c r="BF774">
        <f>IF($E774="","",IF(AND(COUNT($E$775:$E$778)&gt;=4,$D774=MIN($D$770:$D$778)),$D774,""))</f>
        <v>0</v>
      </c>
      <c r="BG774">
        <f>IF($A774="","",$A774-WEEKDAY($A774,2)+1)</f>
        <v>0</v>
      </c>
      <c r="BH774">
        <f>IF($A774="","",IF($A773="",1,IF(BG774&lt;&gt;BG773,1,0)))</f>
        <v>0</v>
      </c>
      <c r="BI774">
        <f>IF($A774="","",IF($A775="",1,IF(BG775&lt;&gt;BG774,1,0)))</f>
        <v>0</v>
      </c>
      <c r="BJ774">
        <f>IF($A774="","",IF(BH774=1,$B774,BJ773))</f>
        <v>0</v>
      </c>
      <c r="BK774">
        <f>IF($A774="","",IF(BH774=1,$C774,MAX($C774,BK773)))</f>
        <v>0</v>
      </c>
      <c r="BL774">
        <f>IF($A774="","",IF(BH774=1,$D774,MIN($D774,BL773)))</f>
        <v>0</v>
      </c>
      <c r="BM774">
        <f>IF($A774="","",IF(BI774=1,F774,""))</f>
        <v>0</v>
      </c>
      <c r="BN774">
        <f>IF($A774="","",DATE(YEAR($A774),MONTH($A774),1))</f>
        <v>0</v>
      </c>
      <c r="BO774">
        <f>IF($A774="","",IF($A773="",1,IF(BN774&lt;&gt;BN773,1,0)))</f>
        <v>0</v>
      </c>
      <c r="BP774">
        <f>IF($A774="","",IF($A775="",1,IF(BN775&lt;&gt;BN774,1,0)))</f>
        <v>0</v>
      </c>
      <c r="BQ774">
        <f>IF($A774="","",IF(BO774=1,$B774,BQ773))</f>
        <v>0</v>
      </c>
      <c r="BR774">
        <f>IF($A774="","",IF(BO774=1,$C774,MAX($C774,BR773)))</f>
        <v>0</v>
      </c>
      <c r="BS774">
        <f>IF($A774="","",IF(BO774=1,$D774,MIN($D774,BS773)))</f>
        <v>0</v>
      </c>
      <c r="BT774">
        <f>IF($A774="","",IF(BP774=1,F774,""))</f>
        <v>0</v>
      </c>
    </row>
    <row r="775" spans="1:72">
      <c r="A775" s="27">
        <f>IF(Data!$A775="","",Data!$A775)</f>
        <v>0</v>
      </c>
      <c r="B775">
        <f>IF(Data!$B775="","",Data!$B775)</f>
        <v>0</v>
      </c>
      <c r="C775">
        <f>IF(Data!$C775="","",Data!$C775)</f>
        <v>0</v>
      </c>
      <c r="D775">
        <f>IF(Data!$D775="","",Data!$D775)</f>
        <v>0</v>
      </c>
      <c r="E775">
        <f>IF(Data!$E775="","",Data!$E775)</f>
        <v>0</v>
      </c>
      <c r="F775">
        <f>IF($E775="","",N(F774)+1)</f>
        <v>0</v>
      </c>
      <c r="G775">
        <f>IF(OR($E775="",$E774=""),"",LN($E775/$E774))</f>
        <v>0</v>
      </c>
      <c r="H775">
        <f>IF($E775="","",IF($E774="",$E775,$E775*0.0952380952+H774*0.9047619048))</f>
        <v>0</v>
      </c>
      <c r="I775">
        <f>IF($E775="","",IF($E774="",$E775,$E775*0.0392156863+I774*0.9607843137))</f>
        <v>0</v>
      </c>
      <c r="J775">
        <f>IF($E775="","",IF($E774="",$E775,$E775*0.0198019802+J774*0.9801980198))</f>
        <v>0</v>
      </c>
      <c r="K775">
        <f>IF($E775="","",IF($E774="",$E775,$E775*0.0099502488+K774*0.9900497512))</f>
        <v>0</v>
      </c>
      <c r="L775">
        <f>IF(OR($E775="",$E774=""),"",MAX($E775-$E774,0))</f>
        <v>0</v>
      </c>
      <c r="M775">
        <f>IF(OR($E775="",$E774=""),"",MAX($E774-$E775,0))</f>
        <v>0</v>
      </c>
      <c r="N775">
        <f>IF(COUNT($E$2:$E775)&lt;15,"",IF(AVERAGE($M$762:$M$775)=0,100,100-100/(1+AVERAGE($L$762:$L$775)/AVERAGE($M$762:$M$775))))</f>
        <v>0</v>
      </c>
      <c r="O775">
        <f>IF($E775="","",IF($E774="",$E775,$E775*0.1538461538+O774*0.8461538462))</f>
        <v>0</v>
      </c>
      <c r="P775">
        <f>IF($E775="","",IF($E774="",$E775,$E775*0.0740740741+P774*0.9259259259))</f>
        <v>0</v>
      </c>
      <c r="Q775">
        <f>IF(OR(O775="",P775=""),"",O775-P775)</f>
        <v>0</v>
      </c>
      <c r="R775">
        <f>IF(Q775="","",IF(R774="",Q775,Q775*0.2000000000+R774*0.8000000000))</f>
        <v>0</v>
      </c>
      <c r="S775">
        <f>IF(OR(Q775="",R775=""),"",Q775-R775)</f>
        <v>0</v>
      </c>
      <c r="T775">
        <f>IF(COUNT($E$2:$E775)&lt;14,"",MAX($C$762:$C$775))</f>
        <v>0</v>
      </c>
      <c r="U775">
        <f>IF(COUNT($E$2:$E775)&lt;14,"",MIN($D$762:$D$775))</f>
        <v>0</v>
      </c>
      <c r="V775">
        <f>IF(OR(T775="",U775="",T775=U775),"",100*($E775-U775)/(T775-U775))</f>
        <v>0</v>
      </c>
      <c r="W775">
        <f>IF(COUNT($V$773:$V$775)&lt;3,"",AVERAGE($V$773:$V$775))</f>
        <v>0</v>
      </c>
      <c r="X775">
        <f>IF(COUNT($N$762:$N$775)&lt;14,"",MIN($N$762:$N$775))</f>
        <v>0</v>
      </c>
      <c r="Y775">
        <f>IF(COUNT($N$762:$N$775)&lt;14,"",MAX($N$762:$N$775))</f>
        <v>0</v>
      </c>
      <c r="Z775">
        <f>IF(OR(N775="",X775="",Y775="",Y775=X775),"",100*(N775-X775)/(Y775-X775))</f>
        <v>0</v>
      </c>
      <c r="AA775">
        <f>IF(COUNT($Z$773:$Z$775)&lt;3,"",AVERAGE($Z$773:$Z$775))</f>
        <v>0</v>
      </c>
      <c r="AB775">
        <f>IF(COUNT($AA$773:$AA$775)&lt;3,"",AVERAGE($AA$773:$AA$775))</f>
        <v>0</v>
      </c>
      <c r="AC775">
        <f>IF($E775="","",MAX($C775-$D775,ABS($C775-$E774),ABS($D775-$E774)))</f>
        <v>0</v>
      </c>
      <c r="AD775">
        <f>IF(COUNT($E$2:$E775)&lt;15,"",AVERAGE($AC$762:$AC$775))</f>
        <v>0</v>
      </c>
      <c r="AE775">
        <f>IF(OR($E775="",$E774=""),"",IF(AND(($C775-$C774)&gt;($D774-$D775),($C775-$C774)&gt;0),$C775-$C774,0))</f>
        <v>0</v>
      </c>
      <c r="AF775">
        <f>IF(OR($E775="",$E774=""),"",IF(AND(($D774-$D775)&gt;($C775-$C774),($D774-$D775)&gt;0),$D774-$D775,0))</f>
        <v>0</v>
      </c>
      <c r="AG775">
        <f>IF(COUNT($E$2:$E775)&lt;15,"",IF(SUM($AC$762:$AC$775)=0,0,100*SUM($AE$762:$AE$775)/SUM($AC$762:$AC$775)))</f>
        <v>0</v>
      </c>
      <c r="AH775">
        <f>IF(COUNT($E$2:$E775)&lt;15,"",IF(SUM($AC$762:$AC$775)=0,0,100*SUM($AF$762:$AF$775)/SUM($AC$762:$AC$775)))</f>
        <v>0</v>
      </c>
      <c r="AI775">
        <f>IF(OR(AG775="",AH775=""),"",IF((AG775+AH775)=0,0,100*ABS(AG775-AH775)/(AG775+AH775)))</f>
        <v>0</v>
      </c>
      <c r="AJ775">
        <f>IF(COUNT($AI$762:$AI$775)&lt;14,"",AVERAGE($AI$762:$AI$775))</f>
        <v>0</v>
      </c>
      <c r="AK775">
        <f>IF(COUNT($E$2:$E775)&lt;20,"",AVERAGE($E$756:$E$775))</f>
        <v>0</v>
      </c>
      <c r="AL775">
        <f>IF(COUNT($E$2:$E775)&lt;20,"",STDEVP($E$756:$E$775))</f>
        <v>0</v>
      </c>
      <c r="AM775">
        <f>IF(AK775="","",AK775+2*AL775)</f>
        <v>0</v>
      </c>
      <c r="AN775">
        <f>IF(AK775="","",AK775-2*AL775)</f>
        <v>0</v>
      </c>
      <c r="AO775">
        <f>IF(OR(AM775="",AN775="",AM775=AN775),"",($E775-AN775)/(AM775-AN775))</f>
        <v>0</v>
      </c>
      <c r="AP775">
        <f>IF(OR(AM775="",AK775="",AK775=0),"",(AM775-AN775)/AK775)</f>
        <v>0</v>
      </c>
      <c r="AQ775">
        <f>IF(COUNT($E$2:$E775)&lt;20,"",MAX($C$756:$C$775))</f>
        <v>0</v>
      </c>
      <c r="AR775">
        <f>IF(COUNT($E$2:$E775)&lt;20,"",MIN($D$756:$D$775))</f>
        <v>0</v>
      </c>
      <c r="AS775">
        <f>IF(OR(AQ775="",AR775=""),"",(AQ775+AR775)/2)</f>
        <v>0</v>
      </c>
      <c r="AT775">
        <f>IF(COUNT($G$756:$G$775)&lt;20,"",STDEV($G$756:$G$775)*SQRT(252))</f>
        <v>0</v>
      </c>
      <c r="AU775">
        <f>IF(COUNT($E$2:$E775)&lt;9,"",(MAX($C$767:$C$775)+MIN($D$767:$D$775))/2)</f>
        <v>0</v>
      </c>
      <c r="AV775">
        <f>IF(COUNT($E$2:$E775)&lt;26,"",(MAX($C$750:$C$775)+MIN($D$750:$D$775))/2)</f>
        <v>0</v>
      </c>
      <c r="AW775">
        <f>IF(OR(AU775="",AV775=""),"",(AU775+AV775)/2)</f>
        <v>0</v>
      </c>
      <c r="AX775">
        <f>IF(COUNT($E$2:$E775)&lt;52,"",(MAX($C$724:$C$775)+MIN($D$724:$D$775))/2)</f>
        <v>0</v>
      </c>
      <c r="AY775">
        <f>IF(COUNT($E$2:$E775)&lt;20,"",MAX($C$676:$C$775))</f>
        <v>0</v>
      </c>
      <c r="AZ775">
        <f>IF(COUNT($E$2:$E775)&lt;20,"",MIN($D$676:$D$775))</f>
        <v>0</v>
      </c>
      <c r="BA775">
        <f>IF(COUNT($E$2:$E775)&lt;20,"",SLOPE($E$676:$E$775,$F$676:$F$775))</f>
        <v>0</v>
      </c>
      <c r="BB775">
        <f>IF(COUNT($E$2:$E775)&lt;20,"",INTERCEPT($E$676:$E$775,$F$676:$F$775))</f>
        <v>0</v>
      </c>
      <c r="BC775">
        <f>IF(OR(BA775="",BB775=""),"",BB775+BA775*F775)</f>
        <v>0</v>
      </c>
      <c r="BD775">
        <f>IF(COUNT($E$2:$E775)&lt;20,"",STEYX($E$676:$E$775,$F$676:$F$775))</f>
        <v>0</v>
      </c>
      <c r="BE775">
        <f>IF($E775="","",IF(AND(COUNT($E$776:$E$779)&gt;=4,$C775=MAX($C$771:$C$779)),$C775,""))</f>
        <v>0</v>
      </c>
      <c r="BF775">
        <f>IF($E775="","",IF(AND(COUNT($E$776:$E$779)&gt;=4,$D775=MIN($D$771:$D$779)),$D775,""))</f>
        <v>0</v>
      </c>
      <c r="BG775">
        <f>IF($A775="","",$A775-WEEKDAY($A775,2)+1)</f>
        <v>0</v>
      </c>
      <c r="BH775">
        <f>IF($A775="","",IF($A774="",1,IF(BG775&lt;&gt;BG774,1,0)))</f>
        <v>0</v>
      </c>
      <c r="BI775">
        <f>IF($A775="","",IF($A776="",1,IF(BG776&lt;&gt;BG775,1,0)))</f>
        <v>0</v>
      </c>
      <c r="BJ775">
        <f>IF($A775="","",IF(BH775=1,$B775,BJ774))</f>
        <v>0</v>
      </c>
      <c r="BK775">
        <f>IF($A775="","",IF(BH775=1,$C775,MAX($C775,BK774)))</f>
        <v>0</v>
      </c>
      <c r="BL775">
        <f>IF($A775="","",IF(BH775=1,$D775,MIN($D775,BL774)))</f>
        <v>0</v>
      </c>
      <c r="BM775">
        <f>IF($A775="","",IF(BI775=1,F775,""))</f>
        <v>0</v>
      </c>
      <c r="BN775">
        <f>IF($A775="","",DATE(YEAR($A775),MONTH($A775),1))</f>
        <v>0</v>
      </c>
      <c r="BO775">
        <f>IF($A775="","",IF($A774="",1,IF(BN775&lt;&gt;BN774,1,0)))</f>
        <v>0</v>
      </c>
      <c r="BP775">
        <f>IF($A775="","",IF($A776="",1,IF(BN776&lt;&gt;BN775,1,0)))</f>
        <v>0</v>
      </c>
      <c r="BQ775">
        <f>IF($A775="","",IF(BO775=1,$B775,BQ774))</f>
        <v>0</v>
      </c>
      <c r="BR775">
        <f>IF($A775="","",IF(BO775=1,$C775,MAX($C775,BR774)))</f>
        <v>0</v>
      </c>
      <c r="BS775">
        <f>IF($A775="","",IF(BO775=1,$D775,MIN($D775,BS774)))</f>
        <v>0</v>
      </c>
      <c r="BT775">
        <f>IF($A775="","",IF(BP775=1,F775,""))</f>
        <v>0</v>
      </c>
    </row>
    <row r="776" spans="1:72">
      <c r="A776" s="27">
        <f>IF(Data!$A776="","",Data!$A776)</f>
        <v>0</v>
      </c>
      <c r="B776">
        <f>IF(Data!$B776="","",Data!$B776)</f>
        <v>0</v>
      </c>
      <c r="C776">
        <f>IF(Data!$C776="","",Data!$C776)</f>
        <v>0</v>
      </c>
      <c r="D776">
        <f>IF(Data!$D776="","",Data!$D776)</f>
        <v>0</v>
      </c>
      <c r="E776">
        <f>IF(Data!$E776="","",Data!$E776)</f>
        <v>0</v>
      </c>
      <c r="F776">
        <f>IF($E776="","",N(F775)+1)</f>
        <v>0</v>
      </c>
      <c r="G776">
        <f>IF(OR($E776="",$E775=""),"",LN($E776/$E775))</f>
        <v>0</v>
      </c>
      <c r="H776">
        <f>IF($E776="","",IF($E775="",$E776,$E776*0.0952380952+H775*0.9047619048))</f>
        <v>0</v>
      </c>
      <c r="I776">
        <f>IF($E776="","",IF($E775="",$E776,$E776*0.0392156863+I775*0.9607843137))</f>
        <v>0</v>
      </c>
      <c r="J776">
        <f>IF($E776="","",IF($E775="",$E776,$E776*0.0198019802+J775*0.9801980198))</f>
        <v>0</v>
      </c>
      <c r="K776">
        <f>IF($E776="","",IF($E775="",$E776,$E776*0.0099502488+K775*0.9900497512))</f>
        <v>0</v>
      </c>
      <c r="L776">
        <f>IF(OR($E776="",$E775=""),"",MAX($E776-$E775,0))</f>
        <v>0</v>
      </c>
      <c r="M776">
        <f>IF(OR($E776="",$E775=""),"",MAX($E775-$E776,0))</f>
        <v>0</v>
      </c>
      <c r="N776">
        <f>IF(COUNT($E$2:$E776)&lt;15,"",IF(AVERAGE($M$763:$M$776)=0,100,100-100/(1+AVERAGE($L$763:$L$776)/AVERAGE($M$763:$M$776))))</f>
        <v>0</v>
      </c>
      <c r="O776">
        <f>IF($E776="","",IF($E775="",$E776,$E776*0.1538461538+O775*0.8461538462))</f>
        <v>0</v>
      </c>
      <c r="P776">
        <f>IF($E776="","",IF($E775="",$E776,$E776*0.0740740741+P775*0.9259259259))</f>
        <v>0</v>
      </c>
      <c r="Q776">
        <f>IF(OR(O776="",P776=""),"",O776-P776)</f>
        <v>0</v>
      </c>
      <c r="R776">
        <f>IF(Q776="","",IF(R775="",Q776,Q776*0.2000000000+R775*0.8000000000))</f>
        <v>0</v>
      </c>
      <c r="S776">
        <f>IF(OR(Q776="",R776=""),"",Q776-R776)</f>
        <v>0</v>
      </c>
      <c r="T776">
        <f>IF(COUNT($E$2:$E776)&lt;14,"",MAX($C$763:$C$776))</f>
        <v>0</v>
      </c>
      <c r="U776">
        <f>IF(COUNT($E$2:$E776)&lt;14,"",MIN($D$763:$D$776))</f>
        <v>0</v>
      </c>
      <c r="V776">
        <f>IF(OR(T776="",U776="",T776=U776),"",100*($E776-U776)/(T776-U776))</f>
        <v>0</v>
      </c>
      <c r="W776">
        <f>IF(COUNT($V$774:$V$776)&lt;3,"",AVERAGE($V$774:$V$776))</f>
        <v>0</v>
      </c>
      <c r="X776">
        <f>IF(COUNT($N$763:$N$776)&lt;14,"",MIN($N$763:$N$776))</f>
        <v>0</v>
      </c>
      <c r="Y776">
        <f>IF(COUNT($N$763:$N$776)&lt;14,"",MAX($N$763:$N$776))</f>
        <v>0</v>
      </c>
      <c r="Z776">
        <f>IF(OR(N776="",X776="",Y776="",Y776=X776),"",100*(N776-X776)/(Y776-X776))</f>
        <v>0</v>
      </c>
      <c r="AA776">
        <f>IF(COUNT($Z$774:$Z$776)&lt;3,"",AVERAGE($Z$774:$Z$776))</f>
        <v>0</v>
      </c>
      <c r="AB776">
        <f>IF(COUNT($AA$774:$AA$776)&lt;3,"",AVERAGE($AA$774:$AA$776))</f>
        <v>0</v>
      </c>
      <c r="AC776">
        <f>IF($E776="","",MAX($C776-$D776,ABS($C776-$E775),ABS($D776-$E775)))</f>
        <v>0</v>
      </c>
      <c r="AD776">
        <f>IF(COUNT($E$2:$E776)&lt;15,"",AVERAGE($AC$763:$AC$776))</f>
        <v>0</v>
      </c>
      <c r="AE776">
        <f>IF(OR($E776="",$E775=""),"",IF(AND(($C776-$C775)&gt;($D775-$D776),($C776-$C775)&gt;0),$C776-$C775,0))</f>
        <v>0</v>
      </c>
      <c r="AF776">
        <f>IF(OR($E776="",$E775=""),"",IF(AND(($D775-$D776)&gt;($C776-$C775),($D775-$D776)&gt;0),$D775-$D776,0))</f>
        <v>0</v>
      </c>
      <c r="AG776">
        <f>IF(COUNT($E$2:$E776)&lt;15,"",IF(SUM($AC$763:$AC$776)=0,0,100*SUM($AE$763:$AE$776)/SUM($AC$763:$AC$776)))</f>
        <v>0</v>
      </c>
      <c r="AH776">
        <f>IF(COUNT($E$2:$E776)&lt;15,"",IF(SUM($AC$763:$AC$776)=0,0,100*SUM($AF$763:$AF$776)/SUM($AC$763:$AC$776)))</f>
        <v>0</v>
      </c>
      <c r="AI776">
        <f>IF(OR(AG776="",AH776=""),"",IF((AG776+AH776)=0,0,100*ABS(AG776-AH776)/(AG776+AH776)))</f>
        <v>0</v>
      </c>
      <c r="AJ776">
        <f>IF(COUNT($AI$763:$AI$776)&lt;14,"",AVERAGE($AI$763:$AI$776))</f>
        <v>0</v>
      </c>
      <c r="AK776">
        <f>IF(COUNT($E$2:$E776)&lt;20,"",AVERAGE($E$757:$E$776))</f>
        <v>0</v>
      </c>
      <c r="AL776">
        <f>IF(COUNT($E$2:$E776)&lt;20,"",STDEVP($E$757:$E$776))</f>
        <v>0</v>
      </c>
      <c r="AM776">
        <f>IF(AK776="","",AK776+2*AL776)</f>
        <v>0</v>
      </c>
      <c r="AN776">
        <f>IF(AK776="","",AK776-2*AL776)</f>
        <v>0</v>
      </c>
      <c r="AO776">
        <f>IF(OR(AM776="",AN776="",AM776=AN776),"",($E776-AN776)/(AM776-AN776))</f>
        <v>0</v>
      </c>
      <c r="AP776">
        <f>IF(OR(AM776="",AK776="",AK776=0),"",(AM776-AN776)/AK776)</f>
        <v>0</v>
      </c>
      <c r="AQ776">
        <f>IF(COUNT($E$2:$E776)&lt;20,"",MAX($C$757:$C$776))</f>
        <v>0</v>
      </c>
      <c r="AR776">
        <f>IF(COUNT($E$2:$E776)&lt;20,"",MIN($D$757:$D$776))</f>
        <v>0</v>
      </c>
      <c r="AS776">
        <f>IF(OR(AQ776="",AR776=""),"",(AQ776+AR776)/2)</f>
        <v>0</v>
      </c>
      <c r="AT776">
        <f>IF(COUNT($G$757:$G$776)&lt;20,"",STDEV($G$757:$G$776)*SQRT(252))</f>
        <v>0</v>
      </c>
      <c r="AU776">
        <f>IF(COUNT($E$2:$E776)&lt;9,"",(MAX($C$768:$C$776)+MIN($D$768:$D$776))/2)</f>
        <v>0</v>
      </c>
      <c r="AV776">
        <f>IF(COUNT($E$2:$E776)&lt;26,"",(MAX($C$751:$C$776)+MIN($D$751:$D$776))/2)</f>
        <v>0</v>
      </c>
      <c r="AW776">
        <f>IF(OR(AU776="",AV776=""),"",(AU776+AV776)/2)</f>
        <v>0</v>
      </c>
      <c r="AX776">
        <f>IF(COUNT($E$2:$E776)&lt;52,"",(MAX($C$725:$C$776)+MIN($D$725:$D$776))/2)</f>
        <v>0</v>
      </c>
      <c r="AY776">
        <f>IF(COUNT($E$2:$E776)&lt;20,"",MAX($C$677:$C$776))</f>
        <v>0</v>
      </c>
      <c r="AZ776">
        <f>IF(COUNT($E$2:$E776)&lt;20,"",MIN($D$677:$D$776))</f>
        <v>0</v>
      </c>
      <c r="BA776">
        <f>IF(COUNT($E$2:$E776)&lt;20,"",SLOPE($E$677:$E$776,$F$677:$F$776))</f>
        <v>0</v>
      </c>
      <c r="BB776">
        <f>IF(COUNT($E$2:$E776)&lt;20,"",INTERCEPT($E$677:$E$776,$F$677:$F$776))</f>
        <v>0</v>
      </c>
      <c r="BC776">
        <f>IF(OR(BA776="",BB776=""),"",BB776+BA776*F776)</f>
        <v>0</v>
      </c>
      <c r="BD776">
        <f>IF(COUNT($E$2:$E776)&lt;20,"",STEYX($E$677:$E$776,$F$677:$F$776))</f>
        <v>0</v>
      </c>
      <c r="BE776">
        <f>IF($E776="","",IF(AND(COUNT($E$777:$E$780)&gt;=4,$C776=MAX($C$772:$C$780)),$C776,""))</f>
        <v>0</v>
      </c>
      <c r="BF776">
        <f>IF($E776="","",IF(AND(COUNT($E$777:$E$780)&gt;=4,$D776=MIN($D$772:$D$780)),$D776,""))</f>
        <v>0</v>
      </c>
      <c r="BG776">
        <f>IF($A776="","",$A776-WEEKDAY($A776,2)+1)</f>
        <v>0</v>
      </c>
      <c r="BH776">
        <f>IF($A776="","",IF($A775="",1,IF(BG776&lt;&gt;BG775,1,0)))</f>
        <v>0</v>
      </c>
      <c r="BI776">
        <f>IF($A776="","",IF($A777="",1,IF(BG777&lt;&gt;BG776,1,0)))</f>
        <v>0</v>
      </c>
      <c r="BJ776">
        <f>IF($A776="","",IF(BH776=1,$B776,BJ775))</f>
        <v>0</v>
      </c>
      <c r="BK776">
        <f>IF($A776="","",IF(BH776=1,$C776,MAX($C776,BK775)))</f>
        <v>0</v>
      </c>
      <c r="BL776">
        <f>IF($A776="","",IF(BH776=1,$D776,MIN($D776,BL775)))</f>
        <v>0</v>
      </c>
      <c r="BM776">
        <f>IF($A776="","",IF(BI776=1,F776,""))</f>
        <v>0</v>
      </c>
      <c r="BN776">
        <f>IF($A776="","",DATE(YEAR($A776),MONTH($A776),1))</f>
        <v>0</v>
      </c>
      <c r="BO776">
        <f>IF($A776="","",IF($A775="",1,IF(BN776&lt;&gt;BN775,1,0)))</f>
        <v>0</v>
      </c>
      <c r="BP776">
        <f>IF($A776="","",IF($A777="",1,IF(BN777&lt;&gt;BN776,1,0)))</f>
        <v>0</v>
      </c>
      <c r="BQ776">
        <f>IF($A776="","",IF(BO776=1,$B776,BQ775))</f>
        <v>0</v>
      </c>
      <c r="BR776">
        <f>IF($A776="","",IF(BO776=1,$C776,MAX($C776,BR775)))</f>
        <v>0</v>
      </c>
      <c r="BS776">
        <f>IF($A776="","",IF(BO776=1,$D776,MIN($D776,BS775)))</f>
        <v>0</v>
      </c>
      <c r="BT776">
        <f>IF($A776="","",IF(BP776=1,F776,""))</f>
        <v>0</v>
      </c>
    </row>
    <row r="777" spans="1:72">
      <c r="A777" s="27">
        <f>IF(Data!$A777="","",Data!$A777)</f>
        <v>0</v>
      </c>
      <c r="B777">
        <f>IF(Data!$B777="","",Data!$B777)</f>
        <v>0</v>
      </c>
      <c r="C777">
        <f>IF(Data!$C777="","",Data!$C777)</f>
        <v>0</v>
      </c>
      <c r="D777">
        <f>IF(Data!$D777="","",Data!$D777)</f>
        <v>0</v>
      </c>
      <c r="E777">
        <f>IF(Data!$E777="","",Data!$E777)</f>
        <v>0</v>
      </c>
      <c r="F777">
        <f>IF($E777="","",N(F776)+1)</f>
        <v>0</v>
      </c>
      <c r="G777">
        <f>IF(OR($E777="",$E776=""),"",LN($E777/$E776))</f>
        <v>0</v>
      </c>
      <c r="H777">
        <f>IF($E777="","",IF($E776="",$E777,$E777*0.0952380952+H776*0.9047619048))</f>
        <v>0</v>
      </c>
      <c r="I777">
        <f>IF($E777="","",IF($E776="",$E777,$E777*0.0392156863+I776*0.9607843137))</f>
        <v>0</v>
      </c>
      <c r="J777">
        <f>IF($E777="","",IF($E776="",$E777,$E777*0.0198019802+J776*0.9801980198))</f>
        <v>0</v>
      </c>
      <c r="K777">
        <f>IF($E777="","",IF($E776="",$E777,$E777*0.0099502488+K776*0.9900497512))</f>
        <v>0</v>
      </c>
      <c r="L777">
        <f>IF(OR($E777="",$E776=""),"",MAX($E777-$E776,0))</f>
        <v>0</v>
      </c>
      <c r="M777">
        <f>IF(OR($E777="",$E776=""),"",MAX($E776-$E777,0))</f>
        <v>0</v>
      </c>
      <c r="N777">
        <f>IF(COUNT($E$2:$E777)&lt;15,"",IF(AVERAGE($M$764:$M$777)=0,100,100-100/(1+AVERAGE($L$764:$L$777)/AVERAGE($M$764:$M$777))))</f>
        <v>0</v>
      </c>
      <c r="O777">
        <f>IF($E777="","",IF($E776="",$E777,$E777*0.1538461538+O776*0.8461538462))</f>
        <v>0</v>
      </c>
      <c r="P777">
        <f>IF($E777="","",IF($E776="",$E777,$E777*0.0740740741+P776*0.9259259259))</f>
        <v>0</v>
      </c>
      <c r="Q777">
        <f>IF(OR(O777="",P777=""),"",O777-P777)</f>
        <v>0</v>
      </c>
      <c r="R777">
        <f>IF(Q777="","",IF(R776="",Q777,Q777*0.2000000000+R776*0.8000000000))</f>
        <v>0</v>
      </c>
      <c r="S777">
        <f>IF(OR(Q777="",R777=""),"",Q777-R777)</f>
        <v>0</v>
      </c>
      <c r="T777">
        <f>IF(COUNT($E$2:$E777)&lt;14,"",MAX($C$764:$C$777))</f>
        <v>0</v>
      </c>
      <c r="U777">
        <f>IF(COUNT($E$2:$E777)&lt;14,"",MIN($D$764:$D$777))</f>
        <v>0</v>
      </c>
      <c r="V777">
        <f>IF(OR(T777="",U777="",T777=U777),"",100*($E777-U777)/(T777-U777))</f>
        <v>0</v>
      </c>
      <c r="W777">
        <f>IF(COUNT($V$775:$V$777)&lt;3,"",AVERAGE($V$775:$V$777))</f>
        <v>0</v>
      </c>
      <c r="X777">
        <f>IF(COUNT($N$764:$N$777)&lt;14,"",MIN($N$764:$N$777))</f>
        <v>0</v>
      </c>
      <c r="Y777">
        <f>IF(COUNT($N$764:$N$777)&lt;14,"",MAX($N$764:$N$777))</f>
        <v>0</v>
      </c>
      <c r="Z777">
        <f>IF(OR(N777="",X777="",Y777="",Y777=X777),"",100*(N777-X777)/(Y777-X777))</f>
        <v>0</v>
      </c>
      <c r="AA777">
        <f>IF(COUNT($Z$775:$Z$777)&lt;3,"",AVERAGE($Z$775:$Z$777))</f>
        <v>0</v>
      </c>
      <c r="AB777">
        <f>IF(COUNT($AA$775:$AA$777)&lt;3,"",AVERAGE($AA$775:$AA$777))</f>
        <v>0</v>
      </c>
      <c r="AC777">
        <f>IF($E777="","",MAX($C777-$D777,ABS($C777-$E776),ABS($D777-$E776)))</f>
        <v>0</v>
      </c>
      <c r="AD777">
        <f>IF(COUNT($E$2:$E777)&lt;15,"",AVERAGE($AC$764:$AC$777))</f>
        <v>0</v>
      </c>
      <c r="AE777">
        <f>IF(OR($E777="",$E776=""),"",IF(AND(($C777-$C776)&gt;($D776-$D777),($C777-$C776)&gt;0),$C777-$C776,0))</f>
        <v>0</v>
      </c>
      <c r="AF777">
        <f>IF(OR($E777="",$E776=""),"",IF(AND(($D776-$D777)&gt;($C777-$C776),($D776-$D777)&gt;0),$D776-$D777,0))</f>
        <v>0</v>
      </c>
      <c r="AG777">
        <f>IF(COUNT($E$2:$E777)&lt;15,"",IF(SUM($AC$764:$AC$777)=0,0,100*SUM($AE$764:$AE$777)/SUM($AC$764:$AC$777)))</f>
        <v>0</v>
      </c>
      <c r="AH777">
        <f>IF(COUNT($E$2:$E777)&lt;15,"",IF(SUM($AC$764:$AC$777)=0,0,100*SUM($AF$764:$AF$777)/SUM($AC$764:$AC$777)))</f>
        <v>0</v>
      </c>
      <c r="AI777">
        <f>IF(OR(AG777="",AH777=""),"",IF((AG777+AH777)=0,0,100*ABS(AG777-AH777)/(AG777+AH777)))</f>
        <v>0</v>
      </c>
      <c r="AJ777">
        <f>IF(COUNT($AI$764:$AI$777)&lt;14,"",AVERAGE($AI$764:$AI$777))</f>
        <v>0</v>
      </c>
      <c r="AK777">
        <f>IF(COUNT($E$2:$E777)&lt;20,"",AVERAGE($E$758:$E$777))</f>
        <v>0</v>
      </c>
      <c r="AL777">
        <f>IF(COUNT($E$2:$E777)&lt;20,"",STDEVP($E$758:$E$777))</f>
        <v>0</v>
      </c>
      <c r="AM777">
        <f>IF(AK777="","",AK777+2*AL777)</f>
        <v>0</v>
      </c>
      <c r="AN777">
        <f>IF(AK777="","",AK777-2*AL777)</f>
        <v>0</v>
      </c>
      <c r="AO777">
        <f>IF(OR(AM777="",AN777="",AM777=AN777),"",($E777-AN777)/(AM777-AN777))</f>
        <v>0</v>
      </c>
      <c r="AP777">
        <f>IF(OR(AM777="",AK777="",AK777=0),"",(AM777-AN777)/AK777)</f>
        <v>0</v>
      </c>
      <c r="AQ777">
        <f>IF(COUNT($E$2:$E777)&lt;20,"",MAX($C$758:$C$777))</f>
        <v>0</v>
      </c>
      <c r="AR777">
        <f>IF(COUNT($E$2:$E777)&lt;20,"",MIN($D$758:$D$777))</f>
        <v>0</v>
      </c>
      <c r="AS777">
        <f>IF(OR(AQ777="",AR777=""),"",(AQ777+AR777)/2)</f>
        <v>0</v>
      </c>
      <c r="AT777">
        <f>IF(COUNT($G$758:$G$777)&lt;20,"",STDEV($G$758:$G$777)*SQRT(252))</f>
        <v>0</v>
      </c>
      <c r="AU777">
        <f>IF(COUNT($E$2:$E777)&lt;9,"",(MAX($C$769:$C$777)+MIN($D$769:$D$777))/2)</f>
        <v>0</v>
      </c>
      <c r="AV777">
        <f>IF(COUNT($E$2:$E777)&lt;26,"",(MAX($C$752:$C$777)+MIN($D$752:$D$777))/2)</f>
        <v>0</v>
      </c>
      <c r="AW777">
        <f>IF(OR(AU777="",AV777=""),"",(AU777+AV777)/2)</f>
        <v>0</v>
      </c>
      <c r="AX777">
        <f>IF(COUNT($E$2:$E777)&lt;52,"",(MAX($C$726:$C$777)+MIN($D$726:$D$777))/2)</f>
        <v>0</v>
      </c>
      <c r="AY777">
        <f>IF(COUNT($E$2:$E777)&lt;20,"",MAX($C$678:$C$777))</f>
        <v>0</v>
      </c>
      <c r="AZ777">
        <f>IF(COUNT($E$2:$E777)&lt;20,"",MIN($D$678:$D$777))</f>
        <v>0</v>
      </c>
      <c r="BA777">
        <f>IF(COUNT($E$2:$E777)&lt;20,"",SLOPE($E$678:$E$777,$F$678:$F$777))</f>
        <v>0</v>
      </c>
      <c r="BB777">
        <f>IF(COUNT($E$2:$E777)&lt;20,"",INTERCEPT($E$678:$E$777,$F$678:$F$777))</f>
        <v>0</v>
      </c>
      <c r="BC777">
        <f>IF(OR(BA777="",BB777=""),"",BB777+BA777*F777)</f>
        <v>0</v>
      </c>
      <c r="BD777">
        <f>IF(COUNT($E$2:$E777)&lt;20,"",STEYX($E$678:$E$777,$F$678:$F$777))</f>
        <v>0</v>
      </c>
      <c r="BE777">
        <f>IF($E777="","",IF(AND(COUNT($E$778:$E$781)&gt;=4,$C777=MAX($C$773:$C$781)),$C777,""))</f>
        <v>0</v>
      </c>
      <c r="BF777">
        <f>IF($E777="","",IF(AND(COUNT($E$778:$E$781)&gt;=4,$D777=MIN($D$773:$D$781)),$D777,""))</f>
        <v>0</v>
      </c>
      <c r="BG777">
        <f>IF($A777="","",$A777-WEEKDAY($A777,2)+1)</f>
        <v>0</v>
      </c>
      <c r="BH777">
        <f>IF($A777="","",IF($A776="",1,IF(BG777&lt;&gt;BG776,1,0)))</f>
        <v>0</v>
      </c>
      <c r="BI777">
        <f>IF($A777="","",IF($A778="",1,IF(BG778&lt;&gt;BG777,1,0)))</f>
        <v>0</v>
      </c>
      <c r="BJ777">
        <f>IF($A777="","",IF(BH777=1,$B777,BJ776))</f>
        <v>0</v>
      </c>
      <c r="BK777">
        <f>IF($A777="","",IF(BH777=1,$C777,MAX($C777,BK776)))</f>
        <v>0</v>
      </c>
      <c r="BL777">
        <f>IF($A777="","",IF(BH777=1,$D777,MIN($D777,BL776)))</f>
        <v>0</v>
      </c>
      <c r="BM777">
        <f>IF($A777="","",IF(BI777=1,F777,""))</f>
        <v>0</v>
      </c>
      <c r="BN777">
        <f>IF($A777="","",DATE(YEAR($A777),MONTH($A777),1))</f>
        <v>0</v>
      </c>
      <c r="BO777">
        <f>IF($A777="","",IF($A776="",1,IF(BN777&lt;&gt;BN776,1,0)))</f>
        <v>0</v>
      </c>
      <c r="BP777">
        <f>IF($A777="","",IF($A778="",1,IF(BN778&lt;&gt;BN777,1,0)))</f>
        <v>0</v>
      </c>
      <c r="BQ777">
        <f>IF($A777="","",IF(BO777=1,$B777,BQ776))</f>
        <v>0</v>
      </c>
      <c r="BR777">
        <f>IF($A777="","",IF(BO777=1,$C777,MAX($C777,BR776)))</f>
        <v>0</v>
      </c>
      <c r="BS777">
        <f>IF($A777="","",IF(BO777=1,$D777,MIN($D777,BS776)))</f>
        <v>0</v>
      </c>
      <c r="BT777">
        <f>IF($A777="","",IF(BP777=1,F777,""))</f>
        <v>0</v>
      </c>
    </row>
    <row r="778" spans="1:72">
      <c r="A778" s="27">
        <f>IF(Data!$A778="","",Data!$A778)</f>
        <v>0</v>
      </c>
      <c r="B778">
        <f>IF(Data!$B778="","",Data!$B778)</f>
        <v>0</v>
      </c>
      <c r="C778">
        <f>IF(Data!$C778="","",Data!$C778)</f>
        <v>0</v>
      </c>
      <c r="D778">
        <f>IF(Data!$D778="","",Data!$D778)</f>
        <v>0</v>
      </c>
      <c r="E778">
        <f>IF(Data!$E778="","",Data!$E778)</f>
        <v>0</v>
      </c>
      <c r="F778">
        <f>IF($E778="","",N(F777)+1)</f>
        <v>0</v>
      </c>
      <c r="G778">
        <f>IF(OR($E778="",$E777=""),"",LN($E778/$E777))</f>
        <v>0</v>
      </c>
      <c r="H778">
        <f>IF($E778="","",IF($E777="",$E778,$E778*0.0952380952+H777*0.9047619048))</f>
        <v>0</v>
      </c>
      <c r="I778">
        <f>IF($E778="","",IF($E777="",$E778,$E778*0.0392156863+I777*0.9607843137))</f>
        <v>0</v>
      </c>
      <c r="J778">
        <f>IF($E778="","",IF($E777="",$E778,$E778*0.0198019802+J777*0.9801980198))</f>
        <v>0</v>
      </c>
      <c r="K778">
        <f>IF($E778="","",IF($E777="",$E778,$E778*0.0099502488+K777*0.9900497512))</f>
        <v>0</v>
      </c>
      <c r="L778">
        <f>IF(OR($E778="",$E777=""),"",MAX($E778-$E777,0))</f>
        <v>0</v>
      </c>
      <c r="M778">
        <f>IF(OR($E778="",$E777=""),"",MAX($E777-$E778,0))</f>
        <v>0</v>
      </c>
      <c r="N778">
        <f>IF(COUNT($E$2:$E778)&lt;15,"",IF(AVERAGE($M$765:$M$778)=0,100,100-100/(1+AVERAGE($L$765:$L$778)/AVERAGE($M$765:$M$778))))</f>
        <v>0</v>
      </c>
      <c r="O778">
        <f>IF($E778="","",IF($E777="",$E778,$E778*0.1538461538+O777*0.8461538462))</f>
        <v>0</v>
      </c>
      <c r="P778">
        <f>IF($E778="","",IF($E777="",$E778,$E778*0.0740740741+P777*0.9259259259))</f>
        <v>0</v>
      </c>
      <c r="Q778">
        <f>IF(OR(O778="",P778=""),"",O778-P778)</f>
        <v>0</v>
      </c>
      <c r="R778">
        <f>IF(Q778="","",IF(R777="",Q778,Q778*0.2000000000+R777*0.8000000000))</f>
        <v>0</v>
      </c>
      <c r="S778">
        <f>IF(OR(Q778="",R778=""),"",Q778-R778)</f>
        <v>0</v>
      </c>
      <c r="T778">
        <f>IF(COUNT($E$2:$E778)&lt;14,"",MAX($C$765:$C$778))</f>
        <v>0</v>
      </c>
      <c r="U778">
        <f>IF(COUNT($E$2:$E778)&lt;14,"",MIN($D$765:$D$778))</f>
        <v>0</v>
      </c>
      <c r="V778">
        <f>IF(OR(T778="",U778="",T778=U778),"",100*($E778-U778)/(T778-U778))</f>
        <v>0</v>
      </c>
      <c r="W778">
        <f>IF(COUNT($V$776:$V$778)&lt;3,"",AVERAGE($V$776:$V$778))</f>
        <v>0</v>
      </c>
      <c r="X778">
        <f>IF(COUNT($N$765:$N$778)&lt;14,"",MIN($N$765:$N$778))</f>
        <v>0</v>
      </c>
      <c r="Y778">
        <f>IF(COUNT($N$765:$N$778)&lt;14,"",MAX($N$765:$N$778))</f>
        <v>0</v>
      </c>
      <c r="Z778">
        <f>IF(OR(N778="",X778="",Y778="",Y778=X778),"",100*(N778-X778)/(Y778-X778))</f>
        <v>0</v>
      </c>
      <c r="AA778">
        <f>IF(COUNT($Z$776:$Z$778)&lt;3,"",AVERAGE($Z$776:$Z$778))</f>
        <v>0</v>
      </c>
      <c r="AB778">
        <f>IF(COUNT($AA$776:$AA$778)&lt;3,"",AVERAGE($AA$776:$AA$778))</f>
        <v>0</v>
      </c>
      <c r="AC778">
        <f>IF($E778="","",MAX($C778-$D778,ABS($C778-$E777),ABS($D778-$E777)))</f>
        <v>0</v>
      </c>
      <c r="AD778">
        <f>IF(COUNT($E$2:$E778)&lt;15,"",AVERAGE($AC$765:$AC$778))</f>
        <v>0</v>
      </c>
      <c r="AE778">
        <f>IF(OR($E778="",$E777=""),"",IF(AND(($C778-$C777)&gt;($D777-$D778),($C778-$C777)&gt;0),$C778-$C777,0))</f>
        <v>0</v>
      </c>
      <c r="AF778">
        <f>IF(OR($E778="",$E777=""),"",IF(AND(($D777-$D778)&gt;($C778-$C777),($D777-$D778)&gt;0),$D777-$D778,0))</f>
        <v>0</v>
      </c>
      <c r="AG778">
        <f>IF(COUNT($E$2:$E778)&lt;15,"",IF(SUM($AC$765:$AC$778)=0,0,100*SUM($AE$765:$AE$778)/SUM($AC$765:$AC$778)))</f>
        <v>0</v>
      </c>
      <c r="AH778">
        <f>IF(COUNT($E$2:$E778)&lt;15,"",IF(SUM($AC$765:$AC$778)=0,0,100*SUM($AF$765:$AF$778)/SUM($AC$765:$AC$778)))</f>
        <v>0</v>
      </c>
      <c r="AI778">
        <f>IF(OR(AG778="",AH778=""),"",IF((AG778+AH778)=0,0,100*ABS(AG778-AH778)/(AG778+AH778)))</f>
        <v>0</v>
      </c>
      <c r="AJ778">
        <f>IF(COUNT($AI$765:$AI$778)&lt;14,"",AVERAGE($AI$765:$AI$778))</f>
        <v>0</v>
      </c>
      <c r="AK778">
        <f>IF(COUNT($E$2:$E778)&lt;20,"",AVERAGE($E$759:$E$778))</f>
        <v>0</v>
      </c>
      <c r="AL778">
        <f>IF(COUNT($E$2:$E778)&lt;20,"",STDEVP($E$759:$E$778))</f>
        <v>0</v>
      </c>
      <c r="AM778">
        <f>IF(AK778="","",AK778+2*AL778)</f>
        <v>0</v>
      </c>
      <c r="AN778">
        <f>IF(AK778="","",AK778-2*AL778)</f>
        <v>0</v>
      </c>
      <c r="AO778">
        <f>IF(OR(AM778="",AN778="",AM778=AN778),"",($E778-AN778)/(AM778-AN778))</f>
        <v>0</v>
      </c>
      <c r="AP778">
        <f>IF(OR(AM778="",AK778="",AK778=0),"",(AM778-AN778)/AK778)</f>
        <v>0</v>
      </c>
      <c r="AQ778">
        <f>IF(COUNT($E$2:$E778)&lt;20,"",MAX($C$759:$C$778))</f>
        <v>0</v>
      </c>
      <c r="AR778">
        <f>IF(COUNT($E$2:$E778)&lt;20,"",MIN($D$759:$D$778))</f>
        <v>0</v>
      </c>
      <c r="AS778">
        <f>IF(OR(AQ778="",AR778=""),"",(AQ778+AR778)/2)</f>
        <v>0</v>
      </c>
      <c r="AT778">
        <f>IF(COUNT($G$759:$G$778)&lt;20,"",STDEV($G$759:$G$778)*SQRT(252))</f>
        <v>0</v>
      </c>
      <c r="AU778">
        <f>IF(COUNT($E$2:$E778)&lt;9,"",(MAX($C$770:$C$778)+MIN($D$770:$D$778))/2)</f>
        <v>0</v>
      </c>
      <c r="AV778">
        <f>IF(COUNT($E$2:$E778)&lt;26,"",(MAX($C$753:$C$778)+MIN($D$753:$D$778))/2)</f>
        <v>0</v>
      </c>
      <c r="AW778">
        <f>IF(OR(AU778="",AV778=""),"",(AU778+AV778)/2)</f>
        <v>0</v>
      </c>
      <c r="AX778">
        <f>IF(COUNT($E$2:$E778)&lt;52,"",(MAX($C$727:$C$778)+MIN($D$727:$D$778))/2)</f>
        <v>0</v>
      </c>
      <c r="AY778">
        <f>IF(COUNT($E$2:$E778)&lt;20,"",MAX($C$679:$C$778))</f>
        <v>0</v>
      </c>
      <c r="AZ778">
        <f>IF(COUNT($E$2:$E778)&lt;20,"",MIN($D$679:$D$778))</f>
        <v>0</v>
      </c>
      <c r="BA778">
        <f>IF(COUNT($E$2:$E778)&lt;20,"",SLOPE($E$679:$E$778,$F$679:$F$778))</f>
        <v>0</v>
      </c>
      <c r="BB778">
        <f>IF(COUNT($E$2:$E778)&lt;20,"",INTERCEPT($E$679:$E$778,$F$679:$F$778))</f>
        <v>0</v>
      </c>
      <c r="BC778">
        <f>IF(OR(BA778="",BB778=""),"",BB778+BA778*F778)</f>
        <v>0</v>
      </c>
      <c r="BD778">
        <f>IF(COUNT($E$2:$E778)&lt;20,"",STEYX($E$679:$E$778,$F$679:$F$778))</f>
        <v>0</v>
      </c>
      <c r="BE778">
        <f>IF($E778="","",IF(AND(COUNT($E$779:$E$782)&gt;=4,$C778=MAX($C$774:$C$782)),$C778,""))</f>
        <v>0</v>
      </c>
      <c r="BF778">
        <f>IF($E778="","",IF(AND(COUNT($E$779:$E$782)&gt;=4,$D778=MIN($D$774:$D$782)),$D778,""))</f>
        <v>0</v>
      </c>
      <c r="BG778">
        <f>IF($A778="","",$A778-WEEKDAY($A778,2)+1)</f>
        <v>0</v>
      </c>
      <c r="BH778">
        <f>IF($A778="","",IF($A777="",1,IF(BG778&lt;&gt;BG777,1,0)))</f>
        <v>0</v>
      </c>
      <c r="BI778">
        <f>IF($A778="","",IF($A779="",1,IF(BG779&lt;&gt;BG778,1,0)))</f>
        <v>0</v>
      </c>
      <c r="BJ778">
        <f>IF($A778="","",IF(BH778=1,$B778,BJ777))</f>
        <v>0</v>
      </c>
      <c r="BK778">
        <f>IF($A778="","",IF(BH778=1,$C778,MAX($C778,BK777)))</f>
        <v>0</v>
      </c>
      <c r="BL778">
        <f>IF($A778="","",IF(BH778=1,$D778,MIN($D778,BL777)))</f>
        <v>0</v>
      </c>
      <c r="BM778">
        <f>IF($A778="","",IF(BI778=1,F778,""))</f>
        <v>0</v>
      </c>
      <c r="BN778">
        <f>IF($A778="","",DATE(YEAR($A778),MONTH($A778),1))</f>
        <v>0</v>
      </c>
      <c r="BO778">
        <f>IF($A778="","",IF($A777="",1,IF(BN778&lt;&gt;BN777,1,0)))</f>
        <v>0</v>
      </c>
      <c r="BP778">
        <f>IF($A778="","",IF($A779="",1,IF(BN779&lt;&gt;BN778,1,0)))</f>
        <v>0</v>
      </c>
      <c r="BQ778">
        <f>IF($A778="","",IF(BO778=1,$B778,BQ777))</f>
        <v>0</v>
      </c>
      <c r="BR778">
        <f>IF($A778="","",IF(BO778=1,$C778,MAX($C778,BR777)))</f>
        <v>0</v>
      </c>
      <c r="BS778">
        <f>IF($A778="","",IF(BO778=1,$D778,MIN($D778,BS777)))</f>
        <v>0</v>
      </c>
      <c r="BT778">
        <f>IF($A778="","",IF(BP778=1,F778,""))</f>
        <v>0</v>
      </c>
    </row>
    <row r="779" spans="1:72">
      <c r="A779" s="27">
        <f>IF(Data!$A779="","",Data!$A779)</f>
        <v>0</v>
      </c>
      <c r="B779">
        <f>IF(Data!$B779="","",Data!$B779)</f>
        <v>0</v>
      </c>
      <c r="C779">
        <f>IF(Data!$C779="","",Data!$C779)</f>
        <v>0</v>
      </c>
      <c r="D779">
        <f>IF(Data!$D779="","",Data!$D779)</f>
        <v>0</v>
      </c>
      <c r="E779">
        <f>IF(Data!$E779="","",Data!$E779)</f>
        <v>0</v>
      </c>
      <c r="F779">
        <f>IF($E779="","",N(F778)+1)</f>
        <v>0</v>
      </c>
      <c r="G779">
        <f>IF(OR($E779="",$E778=""),"",LN($E779/$E778))</f>
        <v>0</v>
      </c>
      <c r="H779">
        <f>IF($E779="","",IF($E778="",$E779,$E779*0.0952380952+H778*0.9047619048))</f>
        <v>0</v>
      </c>
      <c r="I779">
        <f>IF($E779="","",IF($E778="",$E779,$E779*0.0392156863+I778*0.9607843137))</f>
        <v>0</v>
      </c>
      <c r="J779">
        <f>IF($E779="","",IF($E778="",$E779,$E779*0.0198019802+J778*0.9801980198))</f>
        <v>0</v>
      </c>
      <c r="K779">
        <f>IF($E779="","",IF($E778="",$E779,$E779*0.0099502488+K778*0.9900497512))</f>
        <v>0</v>
      </c>
      <c r="L779">
        <f>IF(OR($E779="",$E778=""),"",MAX($E779-$E778,0))</f>
        <v>0</v>
      </c>
      <c r="M779">
        <f>IF(OR($E779="",$E778=""),"",MAX($E778-$E779,0))</f>
        <v>0</v>
      </c>
      <c r="N779">
        <f>IF(COUNT($E$2:$E779)&lt;15,"",IF(AVERAGE($M$766:$M$779)=0,100,100-100/(1+AVERAGE($L$766:$L$779)/AVERAGE($M$766:$M$779))))</f>
        <v>0</v>
      </c>
      <c r="O779">
        <f>IF($E779="","",IF($E778="",$E779,$E779*0.1538461538+O778*0.8461538462))</f>
        <v>0</v>
      </c>
      <c r="P779">
        <f>IF($E779="","",IF($E778="",$E779,$E779*0.0740740741+P778*0.9259259259))</f>
        <v>0</v>
      </c>
      <c r="Q779">
        <f>IF(OR(O779="",P779=""),"",O779-P779)</f>
        <v>0</v>
      </c>
      <c r="R779">
        <f>IF(Q779="","",IF(R778="",Q779,Q779*0.2000000000+R778*0.8000000000))</f>
        <v>0</v>
      </c>
      <c r="S779">
        <f>IF(OR(Q779="",R779=""),"",Q779-R779)</f>
        <v>0</v>
      </c>
      <c r="T779">
        <f>IF(COUNT($E$2:$E779)&lt;14,"",MAX($C$766:$C$779))</f>
        <v>0</v>
      </c>
      <c r="U779">
        <f>IF(COUNT($E$2:$E779)&lt;14,"",MIN($D$766:$D$779))</f>
        <v>0</v>
      </c>
      <c r="V779">
        <f>IF(OR(T779="",U779="",T779=U779),"",100*($E779-U779)/(T779-U779))</f>
        <v>0</v>
      </c>
      <c r="W779">
        <f>IF(COUNT($V$777:$V$779)&lt;3,"",AVERAGE($V$777:$V$779))</f>
        <v>0</v>
      </c>
      <c r="X779">
        <f>IF(COUNT($N$766:$N$779)&lt;14,"",MIN($N$766:$N$779))</f>
        <v>0</v>
      </c>
      <c r="Y779">
        <f>IF(COUNT($N$766:$N$779)&lt;14,"",MAX($N$766:$N$779))</f>
        <v>0</v>
      </c>
      <c r="Z779">
        <f>IF(OR(N779="",X779="",Y779="",Y779=X779),"",100*(N779-X779)/(Y779-X779))</f>
        <v>0</v>
      </c>
      <c r="AA779">
        <f>IF(COUNT($Z$777:$Z$779)&lt;3,"",AVERAGE($Z$777:$Z$779))</f>
        <v>0</v>
      </c>
      <c r="AB779">
        <f>IF(COUNT($AA$777:$AA$779)&lt;3,"",AVERAGE($AA$777:$AA$779))</f>
        <v>0</v>
      </c>
      <c r="AC779">
        <f>IF($E779="","",MAX($C779-$D779,ABS($C779-$E778),ABS($D779-$E778)))</f>
        <v>0</v>
      </c>
      <c r="AD779">
        <f>IF(COUNT($E$2:$E779)&lt;15,"",AVERAGE($AC$766:$AC$779))</f>
        <v>0</v>
      </c>
      <c r="AE779">
        <f>IF(OR($E779="",$E778=""),"",IF(AND(($C779-$C778)&gt;($D778-$D779),($C779-$C778)&gt;0),$C779-$C778,0))</f>
        <v>0</v>
      </c>
      <c r="AF779">
        <f>IF(OR($E779="",$E778=""),"",IF(AND(($D778-$D779)&gt;($C779-$C778),($D778-$D779)&gt;0),$D778-$D779,0))</f>
        <v>0</v>
      </c>
      <c r="AG779">
        <f>IF(COUNT($E$2:$E779)&lt;15,"",IF(SUM($AC$766:$AC$779)=0,0,100*SUM($AE$766:$AE$779)/SUM($AC$766:$AC$779)))</f>
        <v>0</v>
      </c>
      <c r="AH779">
        <f>IF(COUNT($E$2:$E779)&lt;15,"",IF(SUM($AC$766:$AC$779)=0,0,100*SUM($AF$766:$AF$779)/SUM($AC$766:$AC$779)))</f>
        <v>0</v>
      </c>
      <c r="AI779">
        <f>IF(OR(AG779="",AH779=""),"",IF((AG779+AH779)=0,0,100*ABS(AG779-AH779)/(AG779+AH779)))</f>
        <v>0</v>
      </c>
      <c r="AJ779">
        <f>IF(COUNT($AI$766:$AI$779)&lt;14,"",AVERAGE($AI$766:$AI$779))</f>
        <v>0</v>
      </c>
      <c r="AK779">
        <f>IF(COUNT($E$2:$E779)&lt;20,"",AVERAGE($E$760:$E$779))</f>
        <v>0</v>
      </c>
      <c r="AL779">
        <f>IF(COUNT($E$2:$E779)&lt;20,"",STDEVP($E$760:$E$779))</f>
        <v>0</v>
      </c>
      <c r="AM779">
        <f>IF(AK779="","",AK779+2*AL779)</f>
        <v>0</v>
      </c>
      <c r="AN779">
        <f>IF(AK779="","",AK779-2*AL779)</f>
        <v>0</v>
      </c>
      <c r="AO779">
        <f>IF(OR(AM779="",AN779="",AM779=AN779),"",($E779-AN779)/(AM779-AN779))</f>
        <v>0</v>
      </c>
      <c r="AP779">
        <f>IF(OR(AM779="",AK779="",AK779=0),"",(AM779-AN779)/AK779)</f>
        <v>0</v>
      </c>
      <c r="AQ779">
        <f>IF(COUNT($E$2:$E779)&lt;20,"",MAX($C$760:$C$779))</f>
        <v>0</v>
      </c>
      <c r="AR779">
        <f>IF(COUNT($E$2:$E779)&lt;20,"",MIN($D$760:$D$779))</f>
        <v>0</v>
      </c>
      <c r="AS779">
        <f>IF(OR(AQ779="",AR779=""),"",(AQ779+AR779)/2)</f>
        <v>0</v>
      </c>
      <c r="AT779">
        <f>IF(COUNT($G$760:$G$779)&lt;20,"",STDEV($G$760:$G$779)*SQRT(252))</f>
        <v>0</v>
      </c>
      <c r="AU779">
        <f>IF(COUNT($E$2:$E779)&lt;9,"",(MAX($C$771:$C$779)+MIN($D$771:$D$779))/2)</f>
        <v>0</v>
      </c>
      <c r="AV779">
        <f>IF(COUNT($E$2:$E779)&lt;26,"",(MAX($C$754:$C$779)+MIN($D$754:$D$779))/2)</f>
        <v>0</v>
      </c>
      <c r="AW779">
        <f>IF(OR(AU779="",AV779=""),"",(AU779+AV779)/2)</f>
        <v>0</v>
      </c>
      <c r="AX779">
        <f>IF(COUNT($E$2:$E779)&lt;52,"",(MAX($C$728:$C$779)+MIN($D$728:$D$779))/2)</f>
        <v>0</v>
      </c>
      <c r="AY779">
        <f>IF(COUNT($E$2:$E779)&lt;20,"",MAX($C$680:$C$779))</f>
        <v>0</v>
      </c>
      <c r="AZ779">
        <f>IF(COUNT($E$2:$E779)&lt;20,"",MIN($D$680:$D$779))</f>
        <v>0</v>
      </c>
      <c r="BA779">
        <f>IF(COUNT($E$2:$E779)&lt;20,"",SLOPE($E$680:$E$779,$F$680:$F$779))</f>
        <v>0</v>
      </c>
      <c r="BB779">
        <f>IF(COUNT($E$2:$E779)&lt;20,"",INTERCEPT($E$680:$E$779,$F$680:$F$779))</f>
        <v>0</v>
      </c>
      <c r="BC779">
        <f>IF(OR(BA779="",BB779=""),"",BB779+BA779*F779)</f>
        <v>0</v>
      </c>
      <c r="BD779">
        <f>IF(COUNT($E$2:$E779)&lt;20,"",STEYX($E$680:$E$779,$F$680:$F$779))</f>
        <v>0</v>
      </c>
      <c r="BE779">
        <f>IF($E779="","",IF(AND(COUNT($E$780:$E$783)&gt;=4,$C779=MAX($C$775:$C$783)),$C779,""))</f>
        <v>0</v>
      </c>
      <c r="BF779">
        <f>IF($E779="","",IF(AND(COUNT($E$780:$E$783)&gt;=4,$D779=MIN($D$775:$D$783)),$D779,""))</f>
        <v>0</v>
      </c>
      <c r="BG779">
        <f>IF($A779="","",$A779-WEEKDAY($A779,2)+1)</f>
        <v>0</v>
      </c>
      <c r="BH779">
        <f>IF($A779="","",IF($A778="",1,IF(BG779&lt;&gt;BG778,1,0)))</f>
        <v>0</v>
      </c>
      <c r="BI779">
        <f>IF($A779="","",IF($A780="",1,IF(BG780&lt;&gt;BG779,1,0)))</f>
        <v>0</v>
      </c>
      <c r="BJ779">
        <f>IF($A779="","",IF(BH779=1,$B779,BJ778))</f>
        <v>0</v>
      </c>
      <c r="BK779">
        <f>IF($A779="","",IF(BH779=1,$C779,MAX($C779,BK778)))</f>
        <v>0</v>
      </c>
      <c r="BL779">
        <f>IF($A779="","",IF(BH779=1,$D779,MIN($D779,BL778)))</f>
        <v>0</v>
      </c>
      <c r="BM779">
        <f>IF($A779="","",IF(BI779=1,F779,""))</f>
        <v>0</v>
      </c>
      <c r="BN779">
        <f>IF($A779="","",DATE(YEAR($A779),MONTH($A779),1))</f>
        <v>0</v>
      </c>
      <c r="BO779">
        <f>IF($A779="","",IF($A778="",1,IF(BN779&lt;&gt;BN778,1,0)))</f>
        <v>0</v>
      </c>
      <c r="BP779">
        <f>IF($A779="","",IF($A780="",1,IF(BN780&lt;&gt;BN779,1,0)))</f>
        <v>0</v>
      </c>
      <c r="BQ779">
        <f>IF($A779="","",IF(BO779=1,$B779,BQ778))</f>
        <v>0</v>
      </c>
      <c r="BR779">
        <f>IF($A779="","",IF(BO779=1,$C779,MAX($C779,BR778)))</f>
        <v>0</v>
      </c>
      <c r="BS779">
        <f>IF($A779="","",IF(BO779=1,$D779,MIN($D779,BS778)))</f>
        <v>0</v>
      </c>
      <c r="BT779">
        <f>IF($A779="","",IF(BP779=1,F779,""))</f>
        <v>0</v>
      </c>
    </row>
    <row r="780" spans="1:72">
      <c r="A780" s="27">
        <f>IF(Data!$A780="","",Data!$A780)</f>
        <v>0</v>
      </c>
      <c r="B780">
        <f>IF(Data!$B780="","",Data!$B780)</f>
        <v>0</v>
      </c>
      <c r="C780">
        <f>IF(Data!$C780="","",Data!$C780)</f>
        <v>0</v>
      </c>
      <c r="D780">
        <f>IF(Data!$D780="","",Data!$D780)</f>
        <v>0</v>
      </c>
      <c r="E780">
        <f>IF(Data!$E780="","",Data!$E780)</f>
        <v>0</v>
      </c>
      <c r="F780">
        <f>IF($E780="","",N(F779)+1)</f>
        <v>0</v>
      </c>
      <c r="G780">
        <f>IF(OR($E780="",$E779=""),"",LN($E780/$E779))</f>
        <v>0</v>
      </c>
      <c r="H780">
        <f>IF($E780="","",IF($E779="",$E780,$E780*0.0952380952+H779*0.9047619048))</f>
        <v>0</v>
      </c>
      <c r="I780">
        <f>IF($E780="","",IF($E779="",$E780,$E780*0.0392156863+I779*0.9607843137))</f>
        <v>0</v>
      </c>
      <c r="J780">
        <f>IF($E780="","",IF($E779="",$E780,$E780*0.0198019802+J779*0.9801980198))</f>
        <v>0</v>
      </c>
      <c r="K780">
        <f>IF($E780="","",IF($E779="",$E780,$E780*0.0099502488+K779*0.9900497512))</f>
        <v>0</v>
      </c>
      <c r="L780">
        <f>IF(OR($E780="",$E779=""),"",MAX($E780-$E779,0))</f>
        <v>0</v>
      </c>
      <c r="M780">
        <f>IF(OR($E780="",$E779=""),"",MAX($E779-$E780,0))</f>
        <v>0</v>
      </c>
      <c r="N780">
        <f>IF(COUNT($E$2:$E780)&lt;15,"",IF(AVERAGE($M$767:$M$780)=0,100,100-100/(1+AVERAGE($L$767:$L$780)/AVERAGE($M$767:$M$780))))</f>
        <v>0</v>
      </c>
      <c r="O780">
        <f>IF($E780="","",IF($E779="",$E780,$E780*0.1538461538+O779*0.8461538462))</f>
        <v>0</v>
      </c>
      <c r="P780">
        <f>IF($E780="","",IF($E779="",$E780,$E780*0.0740740741+P779*0.9259259259))</f>
        <v>0</v>
      </c>
      <c r="Q780">
        <f>IF(OR(O780="",P780=""),"",O780-P780)</f>
        <v>0</v>
      </c>
      <c r="R780">
        <f>IF(Q780="","",IF(R779="",Q780,Q780*0.2000000000+R779*0.8000000000))</f>
        <v>0</v>
      </c>
      <c r="S780">
        <f>IF(OR(Q780="",R780=""),"",Q780-R780)</f>
        <v>0</v>
      </c>
      <c r="T780">
        <f>IF(COUNT($E$2:$E780)&lt;14,"",MAX($C$767:$C$780))</f>
        <v>0</v>
      </c>
      <c r="U780">
        <f>IF(COUNT($E$2:$E780)&lt;14,"",MIN($D$767:$D$780))</f>
        <v>0</v>
      </c>
      <c r="V780">
        <f>IF(OR(T780="",U780="",T780=U780),"",100*($E780-U780)/(T780-U780))</f>
        <v>0</v>
      </c>
      <c r="W780">
        <f>IF(COUNT($V$778:$V$780)&lt;3,"",AVERAGE($V$778:$V$780))</f>
        <v>0</v>
      </c>
      <c r="X780">
        <f>IF(COUNT($N$767:$N$780)&lt;14,"",MIN($N$767:$N$780))</f>
        <v>0</v>
      </c>
      <c r="Y780">
        <f>IF(COUNT($N$767:$N$780)&lt;14,"",MAX($N$767:$N$780))</f>
        <v>0</v>
      </c>
      <c r="Z780">
        <f>IF(OR(N780="",X780="",Y780="",Y780=X780),"",100*(N780-X780)/(Y780-X780))</f>
        <v>0</v>
      </c>
      <c r="AA780">
        <f>IF(COUNT($Z$778:$Z$780)&lt;3,"",AVERAGE($Z$778:$Z$780))</f>
        <v>0</v>
      </c>
      <c r="AB780">
        <f>IF(COUNT($AA$778:$AA$780)&lt;3,"",AVERAGE($AA$778:$AA$780))</f>
        <v>0</v>
      </c>
      <c r="AC780">
        <f>IF($E780="","",MAX($C780-$D780,ABS($C780-$E779),ABS($D780-$E779)))</f>
        <v>0</v>
      </c>
      <c r="AD780">
        <f>IF(COUNT($E$2:$E780)&lt;15,"",AVERAGE($AC$767:$AC$780))</f>
        <v>0</v>
      </c>
      <c r="AE780">
        <f>IF(OR($E780="",$E779=""),"",IF(AND(($C780-$C779)&gt;($D779-$D780),($C780-$C779)&gt;0),$C780-$C779,0))</f>
        <v>0</v>
      </c>
      <c r="AF780">
        <f>IF(OR($E780="",$E779=""),"",IF(AND(($D779-$D780)&gt;($C780-$C779),($D779-$D780)&gt;0),$D779-$D780,0))</f>
        <v>0</v>
      </c>
      <c r="AG780">
        <f>IF(COUNT($E$2:$E780)&lt;15,"",IF(SUM($AC$767:$AC$780)=0,0,100*SUM($AE$767:$AE$780)/SUM($AC$767:$AC$780)))</f>
        <v>0</v>
      </c>
      <c r="AH780">
        <f>IF(COUNT($E$2:$E780)&lt;15,"",IF(SUM($AC$767:$AC$780)=0,0,100*SUM($AF$767:$AF$780)/SUM($AC$767:$AC$780)))</f>
        <v>0</v>
      </c>
      <c r="AI780">
        <f>IF(OR(AG780="",AH780=""),"",IF((AG780+AH780)=0,0,100*ABS(AG780-AH780)/(AG780+AH780)))</f>
        <v>0</v>
      </c>
      <c r="AJ780">
        <f>IF(COUNT($AI$767:$AI$780)&lt;14,"",AVERAGE($AI$767:$AI$780))</f>
        <v>0</v>
      </c>
      <c r="AK780">
        <f>IF(COUNT($E$2:$E780)&lt;20,"",AVERAGE($E$761:$E$780))</f>
        <v>0</v>
      </c>
      <c r="AL780">
        <f>IF(COUNT($E$2:$E780)&lt;20,"",STDEVP($E$761:$E$780))</f>
        <v>0</v>
      </c>
      <c r="AM780">
        <f>IF(AK780="","",AK780+2*AL780)</f>
        <v>0</v>
      </c>
      <c r="AN780">
        <f>IF(AK780="","",AK780-2*AL780)</f>
        <v>0</v>
      </c>
      <c r="AO780">
        <f>IF(OR(AM780="",AN780="",AM780=AN780),"",($E780-AN780)/(AM780-AN780))</f>
        <v>0</v>
      </c>
      <c r="AP780">
        <f>IF(OR(AM780="",AK780="",AK780=0),"",(AM780-AN780)/AK780)</f>
        <v>0</v>
      </c>
      <c r="AQ780">
        <f>IF(COUNT($E$2:$E780)&lt;20,"",MAX($C$761:$C$780))</f>
        <v>0</v>
      </c>
      <c r="AR780">
        <f>IF(COUNT($E$2:$E780)&lt;20,"",MIN($D$761:$D$780))</f>
        <v>0</v>
      </c>
      <c r="AS780">
        <f>IF(OR(AQ780="",AR780=""),"",(AQ780+AR780)/2)</f>
        <v>0</v>
      </c>
      <c r="AT780">
        <f>IF(COUNT($G$761:$G$780)&lt;20,"",STDEV($G$761:$G$780)*SQRT(252))</f>
        <v>0</v>
      </c>
      <c r="AU780">
        <f>IF(COUNT($E$2:$E780)&lt;9,"",(MAX($C$772:$C$780)+MIN($D$772:$D$780))/2)</f>
        <v>0</v>
      </c>
      <c r="AV780">
        <f>IF(COUNT($E$2:$E780)&lt;26,"",(MAX($C$755:$C$780)+MIN($D$755:$D$780))/2)</f>
        <v>0</v>
      </c>
      <c r="AW780">
        <f>IF(OR(AU780="",AV780=""),"",(AU780+AV780)/2)</f>
        <v>0</v>
      </c>
      <c r="AX780">
        <f>IF(COUNT($E$2:$E780)&lt;52,"",(MAX($C$729:$C$780)+MIN($D$729:$D$780))/2)</f>
        <v>0</v>
      </c>
      <c r="AY780">
        <f>IF(COUNT($E$2:$E780)&lt;20,"",MAX($C$681:$C$780))</f>
        <v>0</v>
      </c>
      <c r="AZ780">
        <f>IF(COUNT($E$2:$E780)&lt;20,"",MIN($D$681:$D$780))</f>
        <v>0</v>
      </c>
      <c r="BA780">
        <f>IF(COUNT($E$2:$E780)&lt;20,"",SLOPE($E$681:$E$780,$F$681:$F$780))</f>
        <v>0</v>
      </c>
      <c r="BB780">
        <f>IF(COUNT($E$2:$E780)&lt;20,"",INTERCEPT($E$681:$E$780,$F$681:$F$780))</f>
        <v>0</v>
      </c>
      <c r="BC780">
        <f>IF(OR(BA780="",BB780=""),"",BB780+BA780*F780)</f>
        <v>0</v>
      </c>
      <c r="BD780">
        <f>IF(COUNT($E$2:$E780)&lt;20,"",STEYX($E$681:$E$780,$F$681:$F$780))</f>
        <v>0</v>
      </c>
      <c r="BE780">
        <f>IF($E780="","",IF(AND(COUNT($E$781:$E$784)&gt;=4,$C780=MAX($C$776:$C$784)),$C780,""))</f>
        <v>0</v>
      </c>
      <c r="BF780">
        <f>IF($E780="","",IF(AND(COUNT($E$781:$E$784)&gt;=4,$D780=MIN($D$776:$D$784)),$D780,""))</f>
        <v>0</v>
      </c>
      <c r="BG780">
        <f>IF($A780="","",$A780-WEEKDAY($A780,2)+1)</f>
        <v>0</v>
      </c>
      <c r="BH780">
        <f>IF($A780="","",IF($A779="",1,IF(BG780&lt;&gt;BG779,1,0)))</f>
        <v>0</v>
      </c>
      <c r="BI780">
        <f>IF($A780="","",IF($A781="",1,IF(BG781&lt;&gt;BG780,1,0)))</f>
        <v>0</v>
      </c>
      <c r="BJ780">
        <f>IF($A780="","",IF(BH780=1,$B780,BJ779))</f>
        <v>0</v>
      </c>
      <c r="BK780">
        <f>IF($A780="","",IF(BH780=1,$C780,MAX($C780,BK779)))</f>
        <v>0</v>
      </c>
      <c r="BL780">
        <f>IF($A780="","",IF(BH780=1,$D780,MIN($D780,BL779)))</f>
        <v>0</v>
      </c>
      <c r="BM780">
        <f>IF($A780="","",IF(BI780=1,F780,""))</f>
        <v>0</v>
      </c>
      <c r="BN780">
        <f>IF($A780="","",DATE(YEAR($A780),MONTH($A780),1))</f>
        <v>0</v>
      </c>
      <c r="BO780">
        <f>IF($A780="","",IF($A779="",1,IF(BN780&lt;&gt;BN779,1,0)))</f>
        <v>0</v>
      </c>
      <c r="BP780">
        <f>IF($A780="","",IF($A781="",1,IF(BN781&lt;&gt;BN780,1,0)))</f>
        <v>0</v>
      </c>
      <c r="BQ780">
        <f>IF($A780="","",IF(BO780=1,$B780,BQ779))</f>
        <v>0</v>
      </c>
      <c r="BR780">
        <f>IF($A780="","",IF(BO780=1,$C780,MAX($C780,BR779)))</f>
        <v>0</v>
      </c>
      <c r="BS780">
        <f>IF($A780="","",IF(BO780=1,$D780,MIN($D780,BS779)))</f>
        <v>0</v>
      </c>
      <c r="BT780">
        <f>IF($A780="","",IF(BP780=1,F780,""))</f>
        <v>0</v>
      </c>
    </row>
    <row r="781" spans="1:72">
      <c r="A781" s="27">
        <f>IF(Data!$A781="","",Data!$A781)</f>
        <v>0</v>
      </c>
      <c r="B781">
        <f>IF(Data!$B781="","",Data!$B781)</f>
        <v>0</v>
      </c>
      <c r="C781">
        <f>IF(Data!$C781="","",Data!$C781)</f>
        <v>0</v>
      </c>
      <c r="D781">
        <f>IF(Data!$D781="","",Data!$D781)</f>
        <v>0</v>
      </c>
      <c r="E781">
        <f>IF(Data!$E781="","",Data!$E781)</f>
        <v>0</v>
      </c>
      <c r="F781">
        <f>IF($E781="","",N(F780)+1)</f>
        <v>0</v>
      </c>
      <c r="G781">
        <f>IF(OR($E781="",$E780=""),"",LN($E781/$E780))</f>
        <v>0</v>
      </c>
      <c r="H781">
        <f>IF($E781="","",IF($E780="",$E781,$E781*0.0952380952+H780*0.9047619048))</f>
        <v>0</v>
      </c>
      <c r="I781">
        <f>IF($E781="","",IF($E780="",$E781,$E781*0.0392156863+I780*0.9607843137))</f>
        <v>0</v>
      </c>
      <c r="J781">
        <f>IF($E781="","",IF($E780="",$E781,$E781*0.0198019802+J780*0.9801980198))</f>
        <v>0</v>
      </c>
      <c r="K781">
        <f>IF($E781="","",IF($E780="",$E781,$E781*0.0099502488+K780*0.9900497512))</f>
        <v>0</v>
      </c>
      <c r="L781">
        <f>IF(OR($E781="",$E780=""),"",MAX($E781-$E780,0))</f>
        <v>0</v>
      </c>
      <c r="M781">
        <f>IF(OR($E781="",$E780=""),"",MAX($E780-$E781,0))</f>
        <v>0</v>
      </c>
      <c r="N781">
        <f>IF(COUNT($E$2:$E781)&lt;15,"",IF(AVERAGE($M$768:$M$781)=0,100,100-100/(1+AVERAGE($L$768:$L$781)/AVERAGE($M$768:$M$781))))</f>
        <v>0</v>
      </c>
      <c r="O781">
        <f>IF($E781="","",IF($E780="",$E781,$E781*0.1538461538+O780*0.8461538462))</f>
        <v>0</v>
      </c>
      <c r="P781">
        <f>IF($E781="","",IF($E780="",$E781,$E781*0.0740740741+P780*0.9259259259))</f>
        <v>0</v>
      </c>
      <c r="Q781">
        <f>IF(OR(O781="",P781=""),"",O781-P781)</f>
        <v>0</v>
      </c>
      <c r="R781">
        <f>IF(Q781="","",IF(R780="",Q781,Q781*0.2000000000+R780*0.8000000000))</f>
        <v>0</v>
      </c>
      <c r="S781">
        <f>IF(OR(Q781="",R781=""),"",Q781-R781)</f>
        <v>0</v>
      </c>
      <c r="T781">
        <f>IF(COUNT($E$2:$E781)&lt;14,"",MAX($C$768:$C$781))</f>
        <v>0</v>
      </c>
      <c r="U781">
        <f>IF(COUNT($E$2:$E781)&lt;14,"",MIN($D$768:$D$781))</f>
        <v>0</v>
      </c>
      <c r="V781">
        <f>IF(OR(T781="",U781="",T781=U781),"",100*($E781-U781)/(T781-U781))</f>
        <v>0</v>
      </c>
      <c r="W781">
        <f>IF(COUNT($V$779:$V$781)&lt;3,"",AVERAGE($V$779:$V$781))</f>
        <v>0</v>
      </c>
      <c r="X781">
        <f>IF(COUNT($N$768:$N$781)&lt;14,"",MIN($N$768:$N$781))</f>
        <v>0</v>
      </c>
      <c r="Y781">
        <f>IF(COUNT($N$768:$N$781)&lt;14,"",MAX($N$768:$N$781))</f>
        <v>0</v>
      </c>
      <c r="Z781">
        <f>IF(OR(N781="",X781="",Y781="",Y781=X781),"",100*(N781-X781)/(Y781-X781))</f>
        <v>0</v>
      </c>
      <c r="AA781">
        <f>IF(COUNT($Z$779:$Z$781)&lt;3,"",AVERAGE($Z$779:$Z$781))</f>
        <v>0</v>
      </c>
      <c r="AB781">
        <f>IF(COUNT($AA$779:$AA$781)&lt;3,"",AVERAGE($AA$779:$AA$781))</f>
        <v>0</v>
      </c>
      <c r="AC781">
        <f>IF($E781="","",MAX($C781-$D781,ABS($C781-$E780),ABS($D781-$E780)))</f>
        <v>0</v>
      </c>
      <c r="AD781">
        <f>IF(COUNT($E$2:$E781)&lt;15,"",AVERAGE($AC$768:$AC$781))</f>
        <v>0</v>
      </c>
      <c r="AE781">
        <f>IF(OR($E781="",$E780=""),"",IF(AND(($C781-$C780)&gt;($D780-$D781),($C781-$C780)&gt;0),$C781-$C780,0))</f>
        <v>0</v>
      </c>
      <c r="AF781">
        <f>IF(OR($E781="",$E780=""),"",IF(AND(($D780-$D781)&gt;($C781-$C780),($D780-$D781)&gt;0),$D780-$D781,0))</f>
        <v>0</v>
      </c>
      <c r="AG781">
        <f>IF(COUNT($E$2:$E781)&lt;15,"",IF(SUM($AC$768:$AC$781)=0,0,100*SUM($AE$768:$AE$781)/SUM($AC$768:$AC$781)))</f>
        <v>0</v>
      </c>
      <c r="AH781">
        <f>IF(COUNT($E$2:$E781)&lt;15,"",IF(SUM($AC$768:$AC$781)=0,0,100*SUM($AF$768:$AF$781)/SUM($AC$768:$AC$781)))</f>
        <v>0</v>
      </c>
      <c r="AI781">
        <f>IF(OR(AG781="",AH781=""),"",IF((AG781+AH781)=0,0,100*ABS(AG781-AH781)/(AG781+AH781)))</f>
        <v>0</v>
      </c>
      <c r="AJ781">
        <f>IF(COUNT($AI$768:$AI$781)&lt;14,"",AVERAGE($AI$768:$AI$781))</f>
        <v>0</v>
      </c>
      <c r="AK781">
        <f>IF(COUNT($E$2:$E781)&lt;20,"",AVERAGE($E$762:$E$781))</f>
        <v>0</v>
      </c>
      <c r="AL781">
        <f>IF(COUNT($E$2:$E781)&lt;20,"",STDEVP($E$762:$E$781))</f>
        <v>0</v>
      </c>
      <c r="AM781">
        <f>IF(AK781="","",AK781+2*AL781)</f>
        <v>0</v>
      </c>
      <c r="AN781">
        <f>IF(AK781="","",AK781-2*AL781)</f>
        <v>0</v>
      </c>
      <c r="AO781">
        <f>IF(OR(AM781="",AN781="",AM781=AN781),"",($E781-AN781)/(AM781-AN781))</f>
        <v>0</v>
      </c>
      <c r="AP781">
        <f>IF(OR(AM781="",AK781="",AK781=0),"",(AM781-AN781)/AK781)</f>
        <v>0</v>
      </c>
      <c r="AQ781">
        <f>IF(COUNT($E$2:$E781)&lt;20,"",MAX($C$762:$C$781))</f>
        <v>0</v>
      </c>
      <c r="AR781">
        <f>IF(COUNT($E$2:$E781)&lt;20,"",MIN($D$762:$D$781))</f>
        <v>0</v>
      </c>
      <c r="AS781">
        <f>IF(OR(AQ781="",AR781=""),"",(AQ781+AR781)/2)</f>
        <v>0</v>
      </c>
      <c r="AT781">
        <f>IF(COUNT($G$762:$G$781)&lt;20,"",STDEV($G$762:$G$781)*SQRT(252))</f>
        <v>0</v>
      </c>
      <c r="AU781">
        <f>IF(COUNT($E$2:$E781)&lt;9,"",(MAX($C$773:$C$781)+MIN($D$773:$D$781))/2)</f>
        <v>0</v>
      </c>
      <c r="AV781">
        <f>IF(COUNT($E$2:$E781)&lt;26,"",(MAX($C$756:$C$781)+MIN($D$756:$D$781))/2)</f>
        <v>0</v>
      </c>
      <c r="AW781">
        <f>IF(OR(AU781="",AV781=""),"",(AU781+AV781)/2)</f>
        <v>0</v>
      </c>
      <c r="AX781">
        <f>IF(COUNT($E$2:$E781)&lt;52,"",(MAX($C$730:$C$781)+MIN($D$730:$D$781))/2)</f>
        <v>0</v>
      </c>
      <c r="AY781">
        <f>IF(COUNT($E$2:$E781)&lt;20,"",MAX($C$682:$C$781))</f>
        <v>0</v>
      </c>
      <c r="AZ781">
        <f>IF(COUNT($E$2:$E781)&lt;20,"",MIN($D$682:$D$781))</f>
        <v>0</v>
      </c>
      <c r="BA781">
        <f>IF(COUNT($E$2:$E781)&lt;20,"",SLOPE($E$682:$E$781,$F$682:$F$781))</f>
        <v>0</v>
      </c>
      <c r="BB781">
        <f>IF(COUNT($E$2:$E781)&lt;20,"",INTERCEPT($E$682:$E$781,$F$682:$F$781))</f>
        <v>0</v>
      </c>
      <c r="BC781">
        <f>IF(OR(BA781="",BB781=""),"",BB781+BA781*F781)</f>
        <v>0</v>
      </c>
      <c r="BD781">
        <f>IF(COUNT($E$2:$E781)&lt;20,"",STEYX($E$682:$E$781,$F$682:$F$781))</f>
        <v>0</v>
      </c>
      <c r="BE781">
        <f>IF($E781="","",IF(AND(COUNT($E$782:$E$785)&gt;=4,$C781=MAX($C$777:$C$785)),$C781,""))</f>
        <v>0</v>
      </c>
      <c r="BF781">
        <f>IF($E781="","",IF(AND(COUNT($E$782:$E$785)&gt;=4,$D781=MIN($D$777:$D$785)),$D781,""))</f>
        <v>0</v>
      </c>
      <c r="BG781">
        <f>IF($A781="","",$A781-WEEKDAY($A781,2)+1)</f>
        <v>0</v>
      </c>
      <c r="BH781">
        <f>IF($A781="","",IF($A780="",1,IF(BG781&lt;&gt;BG780,1,0)))</f>
        <v>0</v>
      </c>
      <c r="BI781">
        <f>IF($A781="","",IF($A782="",1,IF(BG782&lt;&gt;BG781,1,0)))</f>
        <v>0</v>
      </c>
      <c r="BJ781">
        <f>IF($A781="","",IF(BH781=1,$B781,BJ780))</f>
        <v>0</v>
      </c>
      <c r="BK781">
        <f>IF($A781="","",IF(BH781=1,$C781,MAX($C781,BK780)))</f>
        <v>0</v>
      </c>
      <c r="BL781">
        <f>IF($A781="","",IF(BH781=1,$D781,MIN($D781,BL780)))</f>
        <v>0</v>
      </c>
      <c r="BM781">
        <f>IF($A781="","",IF(BI781=1,F781,""))</f>
        <v>0</v>
      </c>
      <c r="BN781">
        <f>IF($A781="","",DATE(YEAR($A781),MONTH($A781),1))</f>
        <v>0</v>
      </c>
      <c r="BO781">
        <f>IF($A781="","",IF($A780="",1,IF(BN781&lt;&gt;BN780,1,0)))</f>
        <v>0</v>
      </c>
      <c r="BP781">
        <f>IF($A781="","",IF($A782="",1,IF(BN782&lt;&gt;BN781,1,0)))</f>
        <v>0</v>
      </c>
      <c r="BQ781">
        <f>IF($A781="","",IF(BO781=1,$B781,BQ780))</f>
        <v>0</v>
      </c>
      <c r="BR781">
        <f>IF($A781="","",IF(BO781=1,$C781,MAX($C781,BR780)))</f>
        <v>0</v>
      </c>
      <c r="BS781">
        <f>IF($A781="","",IF(BO781=1,$D781,MIN($D781,BS780)))</f>
        <v>0</v>
      </c>
      <c r="BT781">
        <f>IF($A781="","",IF(BP781=1,F781,""))</f>
        <v>0</v>
      </c>
    </row>
    <row r="782" spans="1:72">
      <c r="A782" s="27">
        <f>IF(Data!$A782="","",Data!$A782)</f>
        <v>0</v>
      </c>
      <c r="B782">
        <f>IF(Data!$B782="","",Data!$B782)</f>
        <v>0</v>
      </c>
      <c r="C782">
        <f>IF(Data!$C782="","",Data!$C782)</f>
        <v>0</v>
      </c>
      <c r="D782">
        <f>IF(Data!$D782="","",Data!$D782)</f>
        <v>0</v>
      </c>
      <c r="E782">
        <f>IF(Data!$E782="","",Data!$E782)</f>
        <v>0</v>
      </c>
      <c r="F782">
        <f>IF($E782="","",N(F781)+1)</f>
        <v>0</v>
      </c>
      <c r="G782">
        <f>IF(OR($E782="",$E781=""),"",LN($E782/$E781))</f>
        <v>0</v>
      </c>
      <c r="H782">
        <f>IF($E782="","",IF($E781="",$E782,$E782*0.0952380952+H781*0.9047619048))</f>
        <v>0</v>
      </c>
      <c r="I782">
        <f>IF($E782="","",IF($E781="",$E782,$E782*0.0392156863+I781*0.9607843137))</f>
        <v>0</v>
      </c>
      <c r="J782">
        <f>IF($E782="","",IF($E781="",$E782,$E782*0.0198019802+J781*0.9801980198))</f>
        <v>0</v>
      </c>
      <c r="K782">
        <f>IF($E782="","",IF($E781="",$E782,$E782*0.0099502488+K781*0.9900497512))</f>
        <v>0</v>
      </c>
      <c r="L782">
        <f>IF(OR($E782="",$E781=""),"",MAX($E782-$E781,0))</f>
        <v>0</v>
      </c>
      <c r="M782">
        <f>IF(OR($E782="",$E781=""),"",MAX($E781-$E782,0))</f>
        <v>0</v>
      </c>
      <c r="N782">
        <f>IF(COUNT($E$2:$E782)&lt;15,"",IF(AVERAGE($M$769:$M$782)=0,100,100-100/(1+AVERAGE($L$769:$L$782)/AVERAGE($M$769:$M$782))))</f>
        <v>0</v>
      </c>
      <c r="O782">
        <f>IF($E782="","",IF($E781="",$E782,$E782*0.1538461538+O781*0.8461538462))</f>
        <v>0</v>
      </c>
      <c r="P782">
        <f>IF($E782="","",IF($E781="",$E782,$E782*0.0740740741+P781*0.9259259259))</f>
        <v>0</v>
      </c>
      <c r="Q782">
        <f>IF(OR(O782="",P782=""),"",O782-P782)</f>
        <v>0</v>
      </c>
      <c r="R782">
        <f>IF(Q782="","",IF(R781="",Q782,Q782*0.2000000000+R781*0.8000000000))</f>
        <v>0</v>
      </c>
      <c r="S782">
        <f>IF(OR(Q782="",R782=""),"",Q782-R782)</f>
        <v>0</v>
      </c>
      <c r="T782">
        <f>IF(COUNT($E$2:$E782)&lt;14,"",MAX($C$769:$C$782))</f>
        <v>0</v>
      </c>
      <c r="U782">
        <f>IF(COUNT($E$2:$E782)&lt;14,"",MIN($D$769:$D$782))</f>
        <v>0</v>
      </c>
      <c r="V782">
        <f>IF(OR(T782="",U782="",T782=U782),"",100*($E782-U782)/(T782-U782))</f>
        <v>0</v>
      </c>
      <c r="W782">
        <f>IF(COUNT($V$780:$V$782)&lt;3,"",AVERAGE($V$780:$V$782))</f>
        <v>0</v>
      </c>
      <c r="X782">
        <f>IF(COUNT($N$769:$N$782)&lt;14,"",MIN($N$769:$N$782))</f>
        <v>0</v>
      </c>
      <c r="Y782">
        <f>IF(COUNT($N$769:$N$782)&lt;14,"",MAX($N$769:$N$782))</f>
        <v>0</v>
      </c>
      <c r="Z782">
        <f>IF(OR(N782="",X782="",Y782="",Y782=X782),"",100*(N782-X782)/(Y782-X782))</f>
        <v>0</v>
      </c>
      <c r="AA782">
        <f>IF(COUNT($Z$780:$Z$782)&lt;3,"",AVERAGE($Z$780:$Z$782))</f>
        <v>0</v>
      </c>
      <c r="AB782">
        <f>IF(COUNT($AA$780:$AA$782)&lt;3,"",AVERAGE($AA$780:$AA$782))</f>
        <v>0</v>
      </c>
      <c r="AC782">
        <f>IF($E782="","",MAX($C782-$D782,ABS($C782-$E781),ABS($D782-$E781)))</f>
        <v>0</v>
      </c>
      <c r="AD782">
        <f>IF(COUNT($E$2:$E782)&lt;15,"",AVERAGE($AC$769:$AC$782))</f>
        <v>0</v>
      </c>
      <c r="AE782">
        <f>IF(OR($E782="",$E781=""),"",IF(AND(($C782-$C781)&gt;($D781-$D782),($C782-$C781)&gt;0),$C782-$C781,0))</f>
        <v>0</v>
      </c>
      <c r="AF782">
        <f>IF(OR($E782="",$E781=""),"",IF(AND(($D781-$D782)&gt;($C782-$C781),($D781-$D782)&gt;0),$D781-$D782,0))</f>
        <v>0</v>
      </c>
      <c r="AG782">
        <f>IF(COUNT($E$2:$E782)&lt;15,"",IF(SUM($AC$769:$AC$782)=0,0,100*SUM($AE$769:$AE$782)/SUM($AC$769:$AC$782)))</f>
        <v>0</v>
      </c>
      <c r="AH782">
        <f>IF(COUNT($E$2:$E782)&lt;15,"",IF(SUM($AC$769:$AC$782)=0,0,100*SUM($AF$769:$AF$782)/SUM($AC$769:$AC$782)))</f>
        <v>0</v>
      </c>
      <c r="AI782">
        <f>IF(OR(AG782="",AH782=""),"",IF((AG782+AH782)=0,0,100*ABS(AG782-AH782)/(AG782+AH782)))</f>
        <v>0</v>
      </c>
      <c r="AJ782">
        <f>IF(COUNT($AI$769:$AI$782)&lt;14,"",AVERAGE($AI$769:$AI$782))</f>
        <v>0</v>
      </c>
      <c r="AK782">
        <f>IF(COUNT($E$2:$E782)&lt;20,"",AVERAGE($E$763:$E$782))</f>
        <v>0</v>
      </c>
      <c r="AL782">
        <f>IF(COUNT($E$2:$E782)&lt;20,"",STDEVP($E$763:$E$782))</f>
        <v>0</v>
      </c>
      <c r="AM782">
        <f>IF(AK782="","",AK782+2*AL782)</f>
        <v>0</v>
      </c>
      <c r="AN782">
        <f>IF(AK782="","",AK782-2*AL782)</f>
        <v>0</v>
      </c>
      <c r="AO782">
        <f>IF(OR(AM782="",AN782="",AM782=AN782),"",($E782-AN782)/(AM782-AN782))</f>
        <v>0</v>
      </c>
      <c r="AP782">
        <f>IF(OR(AM782="",AK782="",AK782=0),"",(AM782-AN782)/AK782)</f>
        <v>0</v>
      </c>
      <c r="AQ782">
        <f>IF(COUNT($E$2:$E782)&lt;20,"",MAX($C$763:$C$782))</f>
        <v>0</v>
      </c>
      <c r="AR782">
        <f>IF(COUNT($E$2:$E782)&lt;20,"",MIN($D$763:$D$782))</f>
        <v>0</v>
      </c>
      <c r="AS782">
        <f>IF(OR(AQ782="",AR782=""),"",(AQ782+AR782)/2)</f>
        <v>0</v>
      </c>
      <c r="AT782">
        <f>IF(COUNT($G$763:$G$782)&lt;20,"",STDEV($G$763:$G$782)*SQRT(252))</f>
        <v>0</v>
      </c>
      <c r="AU782">
        <f>IF(COUNT($E$2:$E782)&lt;9,"",(MAX($C$774:$C$782)+MIN($D$774:$D$782))/2)</f>
        <v>0</v>
      </c>
      <c r="AV782">
        <f>IF(COUNT($E$2:$E782)&lt;26,"",(MAX($C$757:$C$782)+MIN($D$757:$D$782))/2)</f>
        <v>0</v>
      </c>
      <c r="AW782">
        <f>IF(OR(AU782="",AV782=""),"",(AU782+AV782)/2)</f>
        <v>0</v>
      </c>
      <c r="AX782">
        <f>IF(COUNT($E$2:$E782)&lt;52,"",(MAX($C$731:$C$782)+MIN($D$731:$D$782))/2)</f>
        <v>0</v>
      </c>
      <c r="AY782">
        <f>IF(COUNT($E$2:$E782)&lt;20,"",MAX($C$683:$C$782))</f>
        <v>0</v>
      </c>
      <c r="AZ782">
        <f>IF(COUNT($E$2:$E782)&lt;20,"",MIN($D$683:$D$782))</f>
        <v>0</v>
      </c>
      <c r="BA782">
        <f>IF(COUNT($E$2:$E782)&lt;20,"",SLOPE($E$683:$E$782,$F$683:$F$782))</f>
        <v>0</v>
      </c>
      <c r="BB782">
        <f>IF(COUNT($E$2:$E782)&lt;20,"",INTERCEPT($E$683:$E$782,$F$683:$F$782))</f>
        <v>0</v>
      </c>
      <c r="BC782">
        <f>IF(OR(BA782="",BB782=""),"",BB782+BA782*F782)</f>
        <v>0</v>
      </c>
      <c r="BD782">
        <f>IF(COUNT($E$2:$E782)&lt;20,"",STEYX($E$683:$E$782,$F$683:$F$782))</f>
        <v>0</v>
      </c>
      <c r="BE782">
        <f>IF($E782="","",IF(AND(COUNT($E$783:$E$786)&gt;=4,$C782=MAX($C$778:$C$786)),$C782,""))</f>
        <v>0</v>
      </c>
      <c r="BF782">
        <f>IF($E782="","",IF(AND(COUNT($E$783:$E$786)&gt;=4,$D782=MIN($D$778:$D$786)),$D782,""))</f>
        <v>0</v>
      </c>
      <c r="BG782">
        <f>IF($A782="","",$A782-WEEKDAY($A782,2)+1)</f>
        <v>0</v>
      </c>
      <c r="BH782">
        <f>IF($A782="","",IF($A781="",1,IF(BG782&lt;&gt;BG781,1,0)))</f>
        <v>0</v>
      </c>
      <c r="BI782">
        <f>IF($A782="","",IF($A783="",1,IF(BG783&lt;&gt;BG782,1,0)))</f>
        <v>0</v>
      </c>
      <c r="BJ782">
        <f>IF($A782="","",IF(BH782=1,$B782,BJ781))</f>
        <v>0</v>
      </c>
      <c r="BK782">
        <f>IF($A782="","",IF(BH782=1,$C782,MAX($C782,BK781)))</f>
        <v>0</v>
      </c>
      <c r="BL782">
        <f>IF($A782="","",IF(BH782=1,$D782,MIN($D782,BL781)))</f>
        <v>0</v>
      </c>
      <c r="BM782">
        <f>IF($A782="","",IF(BI782=1,F782,""))</f>
        <v>0</v>
      </c>
      <c r="BN782">
        <f>IF($A782="","",DATE(YEAR($A782),MONTH($A782),1))</f>
        <v>0</v>
      </c>
      <c r="BO782">
        <f>IF($A782="","",IF($A781="",1,IF(BN782&lt;&gt;BN781,1,0)))</f>
        <v>0</v>
      </c>
      <c r="BP782">
        <f>IF($A782="","",IF($A783="",1,IF(BN783&lt;&gt;BN782,1,0)))</f>
        <v>0</v>
      </c>
      <c r="BQ782">
        <f>IF($A782="","",IF(BO782=1,$B782,BQ781))</f>
        <v>0</v>
      </c>
      <c r="BR782">
        <f>IF($A782="","",IF(BO782=1,$C782,MAX($C782,BR781)))</f>
        <v>0</v>
      </c>
      <c r="BS782">
        <f>IF($A782="","",IF(BO782=1,$D782,MIN($D782,BS781)))</f>
        <v>0</v>
      </c>
      <c r="BT782">
        <f>IF($A782="","",IF(BP782=1,F782,""))</f>
        <v>0</v>
      </c>
    </row>
    <row r="783" spans="1:72">
      <c r="A783" s="27">
        <f>IF(Data!$A783="","",Data!$A783)</f>
        <v>0</v>
      </c>
      <c r="B783">
        <f>IF(Data!$B783="","",Data!$B783)</f>
        <v>0</v>
      </c>
      <c r="C783">
        <f>IF(Data!$C783="","",Data!$C783)</f>
        <v>0</v>
      </c>
      <c r="D783">
        <f>IF(Data!$D783="","",Data!$D783)</f>
        <v>0</v>
      </c>
      <c r="E783">
        <f>IF(Data!$E783="","",Data!$E783)</f>
        <v>0</v>
      </c>
      <c r="F783">
        <f>IF($E783="","",N(F782)+1)</f>
        <v>0</v>
      </c>
      <c r="G783">
        <f>IF(OR($E783="",$E782=""),"",LN($E783/$E782))</f>
        <v>0</v>
      </c>
      <c r="H783">
        <f>IF($E783="","",IF($E782="",$E783,$E783*0.0952380952+H782*0.9047619048))</f>
        <v>0</v>
      </c>
      <c r="I783">
        <f>IF($E783="","",IF($E782="",$E783,$E783*0.0392156863+I782*0.9607843137))</f>
        <v>0</v>
      </c>
      <c r="J783">
        <f>IF($E783="","",IF($E782="",$E783,$E783*0.0198019802+J782*0.9801980198))</f>
        <v>0</v>
      </c>
      <c r="K783">
        <f>IF($E783="","",IF($E782="",$E783,$E783*0.0099502488+K782*0.9900497512))</f>
        <v>0</v>
      </c>
      <c r="L783">
        <f>IF(OR($E783="",$E782=""),"",MAX($E783-$E782,0))</f>
        <v>0</v>
      </c>
      <c r="M783">
        <f>IF(OR($E783="",$E782=""),"",MAX($E782-$E783,0))</f>
        <v>0</v>
      </c>
      <c r="N783">
        <f>IF(COUNT($E$2:$E783)&lt;15,"",IF(AVERAGE($M$770:$M$783)=0,100,100-100/(1+AVERAGE($L$770:$L$783)/AVERAGE($M$770:$M$783))))</f>
        <v>0</v>
      </c>
      <c r="O783">
        <f>IF($E783="","",IF($E782="",$E783,$E783*0.1538461538+O782*0.8461538462))</f>
        <v>0</v>
      </c>
      <c r="P783">
        <f>IF($E783="","",IF($E782="",$E783,$E783*0.0740740741+P782*0.9259259259))</f>
        <v>0</v>
      </c>
      <c r="Q783">
        <f>IF(OR(O783="",P783=""),"",O783-P783)</f>
        <v>0</v>
      </c>
      <c r="R783">
        <f>IF(Q783="","",IF(R782="",Q783,Q783*0.2000000000+R782*0.8000000000))</f>
        <v>0</v>
      </c>
      <c r="S783">
        <f>IF(OR(Q783="",R783=""),"",Q783-R783)</f>
        <v>0</v>
      </c>
      <c r="T783">
        <f>IF(COUNT($E$2:$E783)&lt;14,"",MAX($C$770:$C$783))</f>
        <v>0</v>
      </c>
      <c r="U783">
        <f>IF(COUNT($E$2:$E783)&lt;14,"",MIN($D$770:$D$783))</f>
        <v>0</v>
      </c>
      <c r="V783">
        <f>IF(OR(T783="",U783="",T783=U783),"",100*($E783-U783)/(T783-U783))</f>
        <v>0</v>
      </c>
      <c r="W783">
        <f>IF(COUNT($V$781:$V$783)&lt;3,"",AVERAGE($V$781:$V$783))</f>
        <v>0</v>
      </c>
      <c r="X783">
        <f>IF(COUNT($N$770:$N$783)&lt;14,"",MIN($N$770:$N$783))</f>
        <v>0</v>
      </c>
      <c r="Y783">
        <f>IF(COUNT($N$770:$N$783)&lt;14,"",MAX($N$770:$N$783))</f>
        <v>0</v>
      </c>
      <c r="Z783">
        <f>IF(OR(N783="",X783="",Y783="",Y783=X783),"",100*(N783-X783)/(Y783-X783))</f>
        <v>0</v>
      </c>
      <c r="AA783">
        <f>IF(COUNT($Z$781:$Z$783)&lt;3,"",AVERAGE($Z$781:$Z$783))</f>
        <v>0</v>
      </c>
      <c r="AB783">
        <f>IF(COUNT($AA$781:$AA$783)&lt;3,"",AVERAGE($AA$781:$AA$783))</f>
        <v>0</v>
      </c>
      <c r="AC783">
        <f>IF($E783="","",MAX($C783-$D783,ABS($C783-$E782),ABS($D783-$E782)))</f>
        <v>0</v>
      </c>
      <c r="AD783">
        <f>IF(COUNT($E$2:$E783)&lt;15,"",AVERAGE($AC$770:$AC$783))</f>
        <v>0</v>
      </c>
      <c r="AE783">
        <f>IF(OR($E783="",$E782=""),"",IF(AND(($C783-$C782)&gt;($D782-$D783),($C783-$C782)&gt;0),$C783-$C782,0))</f>
        <v>0</v>
      </c>
      <c r="AF783">
        <f>IF(OR($E783="",$E782=""),"",IF(AND(($D782-$D783)&gt;($C783-$C782),($D782-$D783)&gt;0),$D782-$D783,0))</f>
        <v>0</v>
      </c>
      <c r="AG783">
        <f>IF(COUNT($E$2:$E783)&lt;15,"",IF(SUM($AC$770:$AC$783)=0,0,100*SUM($AE$770:$AE$783)/SUM($AC$770:$AC$783)))</f>
        <v>0</v>
      </c>
      <c r="AH783">
        <f>IF(COUNT($E$2:$E783)&lt;15,"",IF(SUM($AC$770:$AC$783)=0,0,100*SUM($AF$770:$AF$783)/SUM($AC$770:$AC$783)))</f>
        <v>0</v>
      </c>
      <c r="AI783">
        <f>IF(OR(AG783="",AH783=""),"",IF((AG783+AH783)=0,0,100*ABS(AG783-AH783)/(AG783+AH783)))</f>
        <v>0</v>
      </c>
      <c r="AJ783">
        <f>IF(COUNT($AI$770:$AI$783)&lt;14,"",AVERAGE($AI$770:$AI$783))</f>
        <v>0</v>
      </c>
      <c r="AK783">
        <f>IF(COUNT($E$2:$E783)&lt;20,"",AVERAGE($E$764:$E$783))</f>
        <v>0</v>
      </c>
      <c r="AL783">
        <f>IF(COUNT($E$2:$E783)&lt;20,"",STDEVP($E$764:$E$783))</f>
        <v>0</v>
      </c>
      <c r="AM783">
        <f>IF(AK783="","",AK783+2*AL783)</f>
        <v>0</v>
      </c>
      <c r="AN783">
        <f>IF(AK783="","",AK783-2*AL783)</f>
        <v>0</v>
      </c>
      <c r="AO783">
        <f>IF(OR(AM783="",AN783="",AM783=AN783),"",($E783-AN783)/(AM783-AN783))</f>
        <v>0</v>
      </c>
      <c r="AP783">
        <f>IF(OR(AM783="",AK783="",AK783=0),"",(AM783-AN783)/AK783)</f>
        <v>0</v>
      </c>
      <c r="AQ783">
        <f>IF(COUNT($E$2:$E783)&lt;20,"",MAX($C$764:$C$783))</f>
        <v>0</v>
      </c>
      <c r="AR783">
        <f>IF(COUNT($E$2:$E783)&lt;20,"",MIN($D$764:$D$783))</f>
        <v>0</v>
      </c>
      <c r="AS783">
        <f>IF(OR(AQ783="",AR783=""),"",(AQ783+AR783)/2)</f>
        <v>0</v>
      </c>
      <c r="AT783">
        <f>IF(COUNT($G$764:$G$783)&lt;20,"",STDEV($G$764:$G$783)*SQRT(252))</f>
        <v>0</v>
      </c>
      <c r="AU783">
        <f>IF(COUNT($E$2:$E783)&lt;9,"",(MAX($C$775:$C$783)+MIN($D$775:$D$783))/2)</f>
        <v>0</v>
      </c>
      <c r="AV783">
        <f>IF(COUNT($E$2:$E783)&lt;26,"",(MAX($C$758:$C$783)+MIN($D$758:$D$783))/2)</f>
        <v>0</v>
      </c>
      <c r="AW783">
        <f>IF(OR(AU783="",AV783=""),"",(AU783+AV783)/2)</f>
        <v>0</v>
      </c>
      <c r="AX783">
        <f>IF(COUNT($E$2:$E783)&lt;52,"",(MAX($C$732:$C$783)+MIN($D$732:$D$783))/2)</f>
        <v>0</v>
      </c>
      <c r="AY783">
        <f>IF(COUNT($E$2:$E783)&lt;20,"",MAX($C$684:$C$783))</f>
        <v>0</v>
      </c>
      <c r="AZ783">
        <f>IF(COUNT($E$2:$E783)&lt;20,"",MIN($D$684:$D$783))</f>
        <v>0</v>
      </c>
      <c r="BA783">
        <f>IF(COUNT($E$2:$E783)&lt;20,"",SLOPE($E$684:$E$783,$F$684:$F$783))</f>
        <v>0</v>
      </c>
      <c r="BB783">
        <f>IF(COUNT($E$2:$E783)&lt;20,"",INTERCEPT($E$684:$E$783,$F$684:$F$783))</f>
        <v>0</v>
      </c>
      <c r="BC783">
        <f>IF(OR(BA783="",BB783=""),"",BB783+BA783*F783)</f>
        <v>0</v>
      </c>
      <c r="BD783">
        <f>IF(COUNT($E$2:$E783)&lt;20,"",STEYX($E$684:$E$783,$F$684:$F$783))</f>
        <v>0</v>
      </c>
      <c r="BE783">
        <f>IF($E783="","",IF(AND(COUNT($E$784:$E$787)&gt;=4,$C783=MAX($C$779:$C$787)),$C783,""))</f>
        <v>0</v>
      </c>
      <c r="BF783">
        <f>IF($E783="","",IF(AND(COUNT($E$784:$E$787)&gt;=4,$D783=MIN($D$779:$D$787)),$D783,""))</f>
        <v>0</v>
      </c>
      <c r="BG783">
        <f>IF($A783="","",$A783-WEEKDAY($A783,2)+1)</f>
        <v>0</v>
      </c>
      <c r="BH783">
        <f>IF($A783="","",IF($A782="",1,IF(BG783&lt;&gt;BG782,1,0)))</f>
        <v>0</v>
      </c>
      <c r="BI783">
        <f>IF($A783="","",IF($A784="",1,IF(BG784&lt;&gt;BG783,1,0)))</f>
        <v>0</v>
      </c>
      <c r="BJ783">
        <f>IF($A783="","",IF(BH783=1,$B783,BJ782))</f>
        <v>0</v>
      </c>
      <c r="BK783">
        <f>IF($A783="","",IF(BH783=1,$C783,MAX($C783,BK782)))</f>
        <v>0</v>
      </c>
      <c r="BL783">
        <f>IF($A783="","",IF(BH783=1,$D783,MIN($D783,BL782)))</f>
        <v>0</v>
      </c>
      <c r="BM783">
        <f>IF($A783="","",IF(BI783=1,F783,""))</f>
        <v>0</v>
      </c>
      <c r="BN783">
        <f>IF($A783="","",DATE(YEAR($A783),MONTH($A783),1))</f>
        <v>0</v>
      </c>
      <c r="BO783">
        <f>IF($A783="","",IF($A782="",1,IF(BN783&lt;&gt;BN782,1,0)))</f>
        <v>0</v>
      </c>
      <c r="BP783">
        <f>IF($A783="","",IF($A784="",1,IF(BN784&lt;&gt;BN783,1,0)))</f>
        <v>0</v>
      </c>
      <c r="BQ783">
        <f>IF($A783="","",IF(BO783=1,$B783,BQ782))</f>
        <v>0</v>
      </c>
      <c r="BR783">
        <f>IF($A783="","",IF(BO783=1,$C783,MAX($C783,BR782)))</f>
        <v>0</v>
      </c>
      <c r="BS783">
        <f>IF($A783="","",IF(BO783=1,$D783,MIN($D783,BS782)))</f>
        <v>0</v>
      </c>
      <c r="BT783">
        <f>IF($A783="","",IF(BP783=1,F783,""))</f>
        <v>0</v>
      </c>
    </row>
    <row r="784" spans="1:72">
      <c r="A784" s="27">
        <f>IF(Data!$A784="","",Data!$A784)</f>
        <v>0</v>
      </c>
      <c r="B784">
        <f>IF(Data!$B784="","",Data!$B784)</f>
        <v>0</v>
      </c>
      <c r="C784">
        <f>IF(Data!$C784="","",Data!$C784)</f>
        <v>0</v>
      </c>
      <c r="D784">
        <f>IF(Data!$D784="","",Data!$D784)</f>
        <v>0</v>
      </c>
      <c r="E784">
        <f>IF(Data!$E784="","",Data!$E784)</f>
        <v>0</v>
      </c>
      <c r="F784">
        <f>IF($E784="","",N(F783)+1)</f>
        <v>0</v>
      </c>
      <c r="G784">
        <f>IF(OR($E784="",$E783=""),"",LN($E784/$E783))</f>
        <v>0</v>
      </c>
      <c r="H784">
        <f>IF($E784="","",IF($E783="",$E784,$E784*0.0952380952+H783*0.9047619048))</f>
        <v>0</v>
      </c>
      <c r="I784">
        <f>IF($E784="","",IF($E783="",$E784,$E784*0.0392156863+I783*0.9607843137))</f>
        <v>0</v>
      </c>
      <c r="J784">
        <f>IF($E784="","",IF($E783="",$E784,$E784*0.0198019802+J783*0.9801980198))</f>
        <v>0</v>
      </c>
      <c r="K784">
        <f>IF($E784="","",IF($E783="",$E784,$E784*0.0099502488+K783*0.9900497512))</f>
        <v>0</v>
      </c>
      <c r="L784">
        <f>IF(OR($E784="",$E783=""),"",MAX($E784-$E783,0))</f>
        <v>0</v>
      </c>
      <c r="M784">
        <f>IF(OR($E784="",$E783=""),"",MAX($E783-$E784,0))</f>
        <v>0</v>
      </c>
      <c r="N784">
        <f>IF(COUNT($E$2:$E784)&lt;15,"",IF(AVERAGE($M$771:$M$784)=0,100,100-100/(1+AVERAGE($L$771:$L$784)/AVERAGE($M$771:$M$784))))</f>
        <v>0</v>
      </c>
      <c r="O784">
        <f>IF($E784="","",IF($E783="",$E784,$E784*0.1538461538+O783*0.8461538462))</f>
        <v>0</v>
      </c>
      <c r="P784">
        <f>IF($E784="","",IF($E783="",$E784,$E784*0.0740740741+P783*0.9259259259))</f>
        <v>0</v>
      </c>
      <c r="Q784">
        <f>IF(OR(O784="",P784=""),"",O784-P784)</f>
        <v>0</v>
      </c>
      <c r="R784">
        <f>IF(Q784="","",IF(R783="",Q784,Q784*0.2000000000+R783*0.8000000000))</f>
        <v>0</v>
      </c>
      <c r="S784">
        <f>IF(OR(Q784="",R784=""),"",Q784-R784)</f>
        <v>0</v>
      </c>
      <c r="T784">
        <f>IF(COUNT($E$2:$E784)&lt;14,"",MAX($C$771:$C$784))</f>
        <v>0</v>
      </c>
      <c r="U784">
        <f>IF(COUNT($E$2:$E784)&lt;14,"",MIN($D$771:$D$784))</f>
        <v>0</v>
      </c>
      <c r="V784">
        <f>IF(OR(T784="",U784="",T784=U784),"",100*($E784-U784)/(T784-U784))</f>
        <v>0</v>
      </c>
      <c r="W784">
        <f>IF(COUNT($V$782:$V$784)&lt;3,"",AVERAGE($V$782:$V$784))</f>
        <v>0</v>
      </c>
      <c r="X784">
        <f>IF(COUNT($N$771:$N$784)&lt;14,"",MIN($N$771:$N$784))</f>
        <v>0</v>
      </c>
      <c r="Y784">
        <f>IF(COUNT($N$771:$N$784)&lt;14,"",MAX($N$771:$N$784))</f>
        <v>0</v>
      </c>
      <c r="Z784">
        <f>IF(OR(N784="",X784="",Y784="",Y784=X784),"",100*(N784-X784)/(Y784-X784))</f>
        <v>0</v>
      </c>
      <c r="AA784">
        <f>IF(COUNT($Z$782:$Z$784)&lt;3,"",AVERAGE($Z$782:$Z$784))</f>
        <v>0</v>
      </c>
      <c r="AB784">
        <f>IF(COUNT($AA$782:$AA$784)&lt;3,"",AVERAGE($AA$782:$AA$784))</f>
        <v>0</v>
      </c>
      <c r="AC784">
        <f>IF($E784="","",MAX($C784-$D784,ABS($C784-$E783),ABS($D784-$E783)))</f>
        <v>0</v>
      </c>
      <c r="AD784">
        <f>IF(COUNT($E$2:$E784)&lt;15,"",AVERAGE($AC$771:$AC$784))</f>
        <v>0</v>
      </c>
      <c r="AE784">
        <f>IF(OR($E784="",$E783=""),"",IF(AND(($C784-$C783)&gt;($D783-$D784),($C784-$C783)&gt;0),$C784-$C783,0))</f>
        <v>0</v>
      </c>
      <c r="AF784">
        <f>IF(OR($E784="",$E783=""),"",IF(AND(($D783-$D784)&gt;($C784-$C783),($D783-$D784)&gt;0),$D783-$D784,0))</f>
        <v>0</v>
      </c>
      <c r="AG784">
        <f>IF(COUNT($E$2:$E784)&lt;15,"",IF(SUM($AC$771:$AC$784)=0,0,100*SUM($AE$771:$AE$784)/SUM($AC$771:$AC$784)))</f>
        <v>0</v>
      </c>
      <c r="AH784">
        <f>IF(COUNT($E$2:$E784)&lt;15,"",IF(SUM($AC$771:$AC$784)=0,0,100*SUM($AF$771:$AF$784)/SUM($AC$771:$AC$784)))</f>
        <v>0</v>
      </c>
      <c r="AI784">
        <f>IF(OR(AG784="",AH784=""),"",IF((AG784+AH784)=0,0,100*ABS(AG784-AH784)/(AG784+AH784)))</f>
        <v>0</v>
      </c>
      <c r="AJ784">
        <f>IF(COUNT($AI$771:$AI$784)&lt;14,"",AVERAGE($AI$771:$AI$784))</f>
        <v>0</v>
      </c>
      <c r="AK784">
        <f>IF(COUNT($E$2:$E784)&lt;20,"",AVERAGE($E$765:$E$784))</f>
        <v>0</v>
      </c>
      <c r="AL784">
        <f>IF(COUNT($E$2:$E784)&lt;20,"",STDEVP($E$765:$E$784))</f>
        <v>0</v>
      </c>
      <c r="AM784">
        <f>IF(AK784="","",AK784+2*AL784)</f>
        <v>0</v>
      </c>
      <c r="AN784">
        <f>IF(AK784="","",AK784-2*AL784)</f>
        <v>0</v>
      </c>
      <c r="AO784">
        <f>IF(OR(AM784="",AN784="",AM784=AN784),"",($E784-AN784)/(AM784-AN784))</f>
        <v>0</v>
      </c>
      <c r="AP784">
        <f>IF(OR(AM784="",AK784="",AK784=0),"",(AM784-AN784)/AK784)</f>
        <v>0</v>
      </c>
      <c r="AQ784">
        <f>IF(COUNT($E$2:$E784)&lt;20,"",MAX($C$765:$C$784))</f>
        <v>0</v>
      </c>
      <c r="AR784">
        <f>IF(COUNT($E$2:$E784)&lt;20,"",MIN($D$765:$D$784))</f>
        <v>0</v>
      </c>
      <c r="AS784">
        <f>IF(OR(AQ784="",AR784=""),"",(AQ784+AR784)/2)</f>
        <v>0</v>
      </c>
      <c r="AT784">
        <f>IF(COUNT($G$765:$G$784)&lt;20,"",STDEV($G$765:$G$784)*SQRT(252))</f>
        <v>0</v>
      </c>
      <c r="AU784">
        <f>IF(COUNT($E$2:$E784)&lt;9,"",(MAX($C$776:$C$784)+MIN($D$776:$D$784))/2)</f>
        <v>0</v>
      </c>
      <c r="AV784">
        <f>IF(COUNT($E$2:$E784)&lt;26,"",(MAX($C$759:$C$784)+MIN($D$759:$D$784))/2)</f>
        <v>0</v>
      </c>
      <c r="AW784">
        <f>IF(OR(AU784="",AV784=""),"",(AU784+AV784)/2)</f>
        <v>0</v>
      </c>
      <c r="AX784">
        <f>IF(COUNT($E$2:$E784)&lt;52,"",(MAX($C$733:$C$784)+MIN($D$733:$D$784))/2)</f>
        <v>0</v>
      </c>
      <c r="AY784">
        <f>IF(COUNT($E$2:$E784)&lt;20,"",MAX($C$685:$C$784))</f>
        <v>0</v>
      </c>
      <c r="AZ784">
        <f>IF(COUNT($E$2:$E784)&lt;20,"",MIN($D$685:$D$784))</f>
        <v>0</v>
      </c>
      <c r="BA784">
        <f>IF(COUNT($E$2:$E784)&lt;20,"",SLOPE($E$685:$E$784,$F$685:$F$784))</f>
        <v>0</v>
      </c>
      <c r="BB784">
        <f>IF(COUNT($E$2:$E784)&lt;20,"",INTERCEPT($E$685:$E$784,$F$685:$F$784))</f>
        <v>0</v>
      </c>
      <c r="BC784">
        <f>IF(OR(BA784="",BB784=""),"",BB784+BA784*F784)</f>
        <v>0</v>
      </c>
      <c r="BD784">
        <f>IF(COUNT($E$2:$E784)&lt;20,"",STEYX($E$685:$E$784,$F$685:$F$784))</f>
        <v>0</v>
      </c>
      <c r="BE784">
        <f>IF($E784="","",IF(AND(COUNT($E$785:$E$788)&gt;=4,$C784=MAX($C$780:$C$788)),$C784,""))</f>
        <v>0</v>
      </c>
      <c r="BF784">
        <f>IF($E784="","",IF(AND(COUNT($E$785:$E$788)&gt;=4,$D784=MIN($D$780:$D$788)),$D784,""))</f>
        <v>0</v>
      </c>
      <c r="BG784">
        <f>IF($A784="","",$A784-WEEKDAY($A784,2)+1)</f>
        <v>0</v>
      </c>
      <c r="BH784">
        <f>IF($A784="","",IF($A783="",1,IF(BG784&lt;&gt;BG783,1,0)))</f>
        <v>0</v>
      </c>
      <c r="BI784">
        <f>IF($A784="","",IF($A785="",1,IF(BG785&lt;&gt;BG784,1,0)))</f>
        <v>0</v>
      </c>
      <c r="BJ784">
        <f>IF($A784="","",IF(BH784=1,$B784,BJ783))</f>
        <v>0</v>
      </c>
      <c r="BK784">
        <f>IF($A784="","",IF(BH784=1,$C784,MAX($C784,BK783)))</f>
        <v>0</v>
      </c>
      <c r="BL784">
        <f>IF($A784="","",IF(BH784=1,$D784,MIN($D784,BL783)))</f>
        <v>0</v>
      </c>
      <c r="BM784">
        <f>IF($A784="","",IF(BI784=1,F784,""))</f>
        <v>0</v>
      </c>
      <c r="BN784">
        <f>IF($A784="","",DATE(YEAR($A784),MONTH($A784),1))</f>
        <v>0</v>
      </c>
      <c r="BO784">
        <f>IF($A784="","",IF($A783="",1,IF(BN784&lt;&gt;BN783,1,0)))</f>
        <v>0</v>
      </c>
      <c r="BP784">
        <f>IF($A784="","",IF($A785="",1,IF(BN785&lt;&gt;BN784,1,0)))</f>
        <v>0</v>
      </c>
      <c r="BQ784">
        <f>IF($A784="","",IF(BO784=1,$B784,BQ783))</f>
        <v>0</v>
      </c>
      <c r="BR784">
        <f>IF($A784="","",IF(BO784=1,$C784,MAX($C784,BR783)))</f>
        <v>0</v>
      </c>
      <c r="BS784">
        <f>IF($A784="","",IF(BO784=1,$D784,MIN($D784,BS783)))</f>
        <v>0</v>
      </c>
      <c r="BT784">
        <f>IF($A784="","",IF(BP784=1,F784,""))</f>
        <v>0</v>
      </c>
    </row>
    <row r="785" spans="1:72">
      <c r="A785" s="27">
        <f>IF(Data!$A785="","",Data!$A785)</f>
        <v>0</v>
      </c>
      <c r="B785">
        <f>IF(Data!$B785="","",Data!$B785)</f>
        <v>0</v>
      </c>
      <c r="C785">
        <f>IF(Data!$C785="","",Data!$C785)</f>
        <v>0</v>
      </c>
      <c r="D785">
        <f>IF(Data!$D785="","",Data!$D785)</f>
        <v>0</v>
      </c>
      <c r="E785">
        <f>IF(Data!$E785="","",Data!$E785)</f>
        <v>0</v>
      </c>
      <c r="F785">
        <f>IF($E785="","",N(F784)+1)</f>
        <v>0</v>
      </c>
      <c r="G785">
        <f>IF(OR($E785="",$E784=""),"",LN($E785/$E784))</f>
        <v>0</v>
      </c>
      <c r="H785">
        <f>IF($E785="","",IF($E784="",$E785,$E785*0.0952380952+H784*0.9047619048))</f>
        <v>0</v>
      </c>
      <c r="I785">
        <f>IF($E785="","",IF($E784="",$E785,$E785*0.0392156863+I784*0.9607843137))</f>
        <v>0</v>
      </c>
      <c r="J785">
        <f>IF($E785="","",IF($E784="",$E785,$E785*0.0198019802+J784*0.9801980198))</f>
        <v>0</v>
      </c>
      <c r="K785">
        <f>IF($E785="","",IF($E784="",$E785,$E785*0.0099502488+K784*0.9900497512))</f>
        <v>0</v>
      </c>
      <c r="L785">
        <f>IF(OR($E785="",$E784=""),"",MAX($E785-$E784,0))</f>
        <v>0</v>
      </c>
      <c r="M785">
        <f>IF(OR($E785="",$E784=""),"",MAX($E784-$E785,0))</f>
        <v>0</v>
      </c>
      <c r="N785">
        <f>IF(COUNT($E$2:$E785)&lt;15,"",IF(AVERAGE($M$772:$M$785)=0,100,100-100/(1+AVERAGE($L$772:$L$785)/AVERAGE($M$772:$M$785))))</f>
        <v>0</v>
      </c>
      <c r="O785">
        <f>IF($E785="","",IF($E784="",$E785,$E785*0.1538461538+O784*0.8461538462))</f>
        <v>0</v>
      </c>
      <c r="P785">
        <f>IF($E785="","",IF($E784="",$E785,$E785*0.0740740741+P784*0.9259259259))</f>
        <v>0</v>
      </c>
      <c r="Q785">
        <f>IF(OR(O785="",P785=""),"",O785-P785)</f>
        <v>0</v>
      </c>
      <c r="R785">
        <f>IF(Q785="","",IF(R784="",Q785,Q785*0.2000000000+R784*0.8000000000))</f>
        <v>0</v>
      </c>
      <c r="S785">
        <f>IF(OR(Q785="",R785=""),"",Q785-R785)</f>
        <v>0</v>
      </c>
      <c r="T785">
        <f>IF(COUNT($E$2:$E785)&lt;14,"",MAX($C$772:$C$785))</f>
        <v>0</v>
      </c>
      <c r="U785">
        <f>IF(COUNT($E$2:$E785)&lt;14,"",MIN($D$772:$D$785))</f>
        <v>0</v>
      </c>
      <c r="V785">
        <f>IF(OR(T785="",U785="",T785=U785),"",100*($E785-U785)/(T785-U785))</f>
        <v>0</v>
      </c>
      <c r="W785">
        <f>IF(COUNT($V$783:$V$785)&lt;3,"",AVERAGE($V$783:$V$785))</f>
        <v>0</v>
      </c>
      <c r="X785">
        <f>IF(COUNT($N$772:$N$785)&lt;14,"",MIN($N$772:$N$785))</f>
        <v>0</v>
      </c>
      <c r="Y785">
        <f>IF(COUNT($N$772:$N$785)&lt;14,"",MAX($N$772:$N$785))</f>
        <v>0</v>
      </c>
      <c r="Z785">
        <f>IF(OR(N785="",X785="",Y785="",Y785=X785),"",100*(N785-X785)/(Y785-X785))</f>
        <v>0</v>
      </c>
      <c r="AA785">
        <f>IF(COUNT($Z$783:$Z$785)&lt;3,"",AVERAGE($Z$783:$Z$785))</f>
        <v>0</v>
      </c>
      <c r="AB785">
        <f>IF(COUNT($AA$783:$AA$785)&lt;3,"",AVERAGE($AA$783:$AA$785))</f>
        <v>0</v>
      </c>
      <c r="AC785">
        <f>IF($E785="","",MAX($C785-$D785,ABS($C785-$E784),ABS($D785-$E784)))</f>
        <v>0</v>
      </c>
      <c r="AD785">
        <f>IF(COUNT($E$2:$E785)&lt;15,"",AVERAGE($AC$772:$AC$785))</f>
        <v>0</v>
      </c>
      <c r="AE785">
        <f>IF(OR($E785="",$E784=""),"",IF(AND(($C785-$C784)&gt;($D784-$D785),($C785-$C784)&gt;0),$C785-$C784,0))</f>
        <v>0</v>
      </c>
      <c r="AF785">
        <f>IF(OR($E785="",$E784=""),"",IF(AND(($D784-$D785)&gt;($C785-$C784),($D784-$D785)&gt;0),$D784-$D785,0))</f>
        <v>0</v>
      </c>
      <c r="AG785">
        <f>IF(COUNT($E$2:$E785)&lt;15,"",IF(SUM($AC$772:$AC$785)=0,0,100*SUM($AE$772:$AE$785)/SUM($AC$772:$AC$785)))</f>
        <v>0</v>
      </c>
      <c r="AH785">
        <f>IF(COUNT($E$2:$E785)&lt;15,"",IF(SUM($AC$772:$AC$785)=0,0,100*SUM($AF$772:$AF$785)/SUM($AC$772:$AC$785)))</f>
        <v>0</v>
      </c>
      <c r="AI785">
        <f>IF(OR(AG785="",AH785=""),"",IF((AG785+AH785)=0,0,100*ABS(AG785-AH785)/(AG785+AH785)))</f>
        <v>0</v>
      </c>
      <c r="AJ785">
        <f>IF(COUNT($AI$772:$AI$785)&lt;14,"",AVERAGE($AI$772:$AI$785))</f>
        <v>0</v>
      </c>
      <c r="AK785">
        <f>IF(COUNT($E$2:$E785)&lt;20,"",AVERAGE($E$766:$E$785))</f>
        <v>0</v>
      </c>
      <c r="AL785">
        <f>IF(COUNT($E$2:$E785)&lt;20,"",STDEVP($E$766:$E$785))</f>
        <v>0</v>
      </c>
      <c r="AM785">
        <f>IF(AK785="","",AK785+2*AL785)</f>
        <v>0</v>
      </c>
      <c r="AN785">
        <f>IF(AK785="","",AK785-2*AL785)</f>
        <v>0</v>
      </c>
      <c r="AO785">
        <f>IF(OR(AM785="",AN785="",AM785=AN785),"",($E785-AN785)/(AM785-AN785))</f>
        <v>0</v>
      </c>
      <c r="AP785">
        <f>IF(OR(AM785="",AK785="",AK785=0),"",(AM785-AN785)/AK785)</f>
        <v>0</v>
      </c>
      <c r="AQ785">
        <f>IF(COUNT($E$2:$E785)&lt;20,"",MAX($C$766:$C$785))</f>
        <v>0</v>
      </c>
      <c r="AR785">
        <f>IF(COUNT($E$2:$E785)&lt;20,"",MIN($D$766:$D$785))</f>
        <v>0</v>
      </c>
      <c r="AS785">
        <f>IF(OR(AQ785="",AR785=""),"",(AQ785+AR785)/2)</f>
        <v>0</v>
      </c>
      <c r="AT785">
        <f>IF(COUNT($G$766:$G$785)&lt;20,"",STDEV($G$766:$G$785)*SQRT(252))</f>
        <v>0</v>
      </c>
      <c r="AU785">
        <f>IF(COUNT($E$2:$E785)&lt;9,"",(MAX($C$777:$C$785)+MIN($D$777:$D$785))/2)</f>
        <v>0</v>
      </c>
      <c r="AV785">
        <f>IF(COUNT($E$2:$E785)&lt;26,"",(MAX($C$760:$C$785)+MIN($D$760:$D$785))/2)</f>
        <v>0</v>
      </c>
      <c r="AW785">
        <f>IF(OR(AU785="",AV785=""),"",(AU785+AV785)/2)</f>
        <v>0</v>
      </c>
      <c r="AX785">
        <f>IF(COUNT($E$2:$E785)&lt;52,"",(MAX($C$734:$C$785)+MIN($D$734:$D$785))/2)</f>
        <v>0</v>
      </c>
      <c r="AY785">
        <f>IF(COUNT($E$2:$E785)&lt;20,"",MAX($C$686:$C$785))</f>
        <v>0</v>
      </c>
      <c r="AZ785">
        <f>IF(COUNT($E$2:$E785)&lt;20,"",MIN($D$686:$D$785))</f>
        <v>0</v>
      </c>
      <c r="BA785">
        <f>IF(COUNT($E$2:$E785)&lt;20,"",SLOPE($E$686:$E$785,$F$686:$F$785))</f>
        <v>0</v>
      </c>
      <c r="BB785">
        <f>IF(COUNT($E$2:$E785)&lt;20,"",INTERCEPT($E$686:$E$785,$F$686:$F$785))</f>
        <v>0</v>
      </c>
      <c r="BC785">
        <f>IF(OR(BA785="",BB785=""),"",BB785+BA785*F785)</f>
        <v>0</v>
      </c>
      <c r="BD785">
        <f>IF(COUNT($E$2:$E785)&lt;20,"",STEYX($E$686:$E$785,$F$686:$F$785))</f>
        <v>0</v>
      </c>
      <c r="BE785">
        <f>IF($E785="","",IF(AND(COUNT($E$786:$E$789)&gt;=4,$C785=MAX($C$781:$C$789)),$C785,""))</f>
        <v>0</v>
      </c>
      <c r="BF785">
        <f>IF($E785="","",IF(AND(COUNT($E$786:$E$789)&gt;=4,$D785=MIN($D$781:$D$789)),$D785,""))</f>
        <v>0</v>
      </c>
      <c r="BG785">
        <f>IF($A785="","",$A785-WEEKDAY($A785,2)+1)</f>
        <v>0</v>
      </c>
      <c r="BH785">
        <f>IF($A785="","",IF($A784="",1,IF(BG785&lt;&gt;BG784,1,0)))</f>
        <v>0</v>
      </c>
      <c r="BI785">
        <f>IF($A785="","",IF($A786="",1,IF(BG786&lt;&gt;BG785,1,0)))</f>
        <v>0</v>
      </c>
      <c r="BJ785">
        <f>IF($A785="","",IF(BH785=1,$B785,BJ784))</f>
        <v>0</v>
      </c>
      <c r="BK785">
        <f>IF($A785="","",IF(BH785=1,$C785,MAX($C785,BK784)))</f>
        <v>0</v>
      </c>
      <c r="BL785">
        <f>IF($A785="","",IF(BH785=1,$D785,MIN($D785,BL784)))</f>
        <v>0</v>
      </c>
      <c r="BM785">
        <f>IF($A785="","",IF(BI785=1,F785,""))</f>
        <v>0</v>
      </c>
      <c r="BN785">
        <f>IF($A785="","",DATE(YEAR($A785),MONTH($A785),1))</f>
        <v>0</v>
      </c>
      <c r="BO785">
        <f>IF($A785="","",IF($A784="",1,IF(BN785&lt;&gt;BN784,1,0)))</f>
        <v>0</v>
      </c>
      <c r="BP785">
        <f>IF($A785="","",IF($A786="",1,IF(BN786&lt;&gt;BN785,1,0)))</f>
        <v>0</v>
      </c>
      <c r="BQ785">
        <f>IF($A785="","",IF(BO785=1,$B785,BQ784))</f>
        <v>0</v>
      </c>
      <c r="BR785">
        <f>IF($A785="","",IF(BO785=1,$C785,MAX($C785,BR784)))</f>
        <v>0</v>
      </c>
      <c r="BS785">
        <f>IF($A785="","",IF(BO785=1,$D785,MIN($D785,BS784)))</f>
        <v>0</v>
      </c>
      <c r="BT785">
        <f>IF($A785="","",IF(BP785=1,F785,""))</f>
        <v>0</v>
      </c>
    </row>
    <row r="786" spans="1:72">
      <c r="A786" s="27">
        <f>IF(Data!$A786="","",Data!$A786)</f>
        <v>0</v>
      </c>
      <c r="B786">
        <f>IF(Data!$B786="","",Data!$B786)</f>
        <v>0</v>
      </c>
      <c r="C786">
        <f>IF(Data!$C786="","",Data!$C786)</f>
        <v>0</v>
      </c>
      <c r="D786">
        <f>IF(Data!$D786="","",Data!$D786)</f>
        <v>0</v>
      </c>
      <c r="E786">
        <f>IF(Data!$E786="","",Data!$E786)</f>
        <v>0</v>
      </c>
      <c r="F786">
        <f>IF($E786="","",N(F785)+1)</f>
        <v>0</v>
      </c>
      <c r="G786">
        <f>IF(OR($E786="",$E785=""),"",LN($E786/$E785))</f>
        <v>0</v>
      </c>
      <c r="H786">
        <f>IF($E786="","",IF($E785="",$E786,$E786*0.0952380952+H785*0.9047619048))</f>
        <v>0</v>
      </c>
      <c r="I786">
        <f>IF($E786="","",IF($E785="",$E786,$E786*0.0392156863+I785*0.9607843137))</f>
        <v>0</v>
      </c>
      <c r="J786">
        <f>IF($E786="","",IF($E785="",$E786,$E786*0.0198019802+J785*0.9801980198))</f>
        <v>0</v>
      </c>
      <c r="K786">
        <f>IF($E786="","",IF($E785="",$E786,$E786*0.0099502488+K785*0.9900497512))</f>
        <v>0</v>
      </c>
      <c r="L786">
        <f>IF(OR($E786="",$E785=""),"",MAX($E786-$E785,0))</f>
        <v>0</v>
      </c>
      <c r="M786">
        <f>IF(OR($E786="",$E785=""),"",MAX($E785-$E786,0))</f>
        <v>0</v>
      </c>
      <c r="N786">
        <f>IF(COUNT($E$2:$E786)&lt;15,"",IF(AVERAGE($M$773:$M$786)=0,100,100-100/(1+AVERAGE($L$773:$L$786)/AVERAGE($M$773:$M$786))))</f>
        <v>0</v>
      </c>
      <c r="O786">
        <f>IF($E786="","",IF($E785="",$E786,$E786*0.1538461538+O785*0.8461538462))</f>
        <v>0</v>
      </c>
      <c r="P786">
        <f>IF($E786="","",IF($E785="",$E786,$E786*0.0740740741+P785*0.9259259259))</f>
        <v>0</v>
      </c>
      <c r="Q786">
        <f>IF(OR(O786="",P786=""),"",O786-P786)</f>
        <v>0</v>
      </c>
      <c r="R786">
        <f>IF(Q786="","",IF(R785="",Q786,Q786*0.2000000000+R785*0.8000000000))</f>
        <v>0</v>
      </c>
      <c r="S786">
        <f>IF(OR(Q786="",R786=""),"",Q786-R786)</f>
        <v>0</v>
      </c>
      <c r="T786">
        <f>IF(COUNT($E$2:$E786)&lt;14,"",MAX($C$773:$C$786))</f>
        <v>0</v>
      </c>
      <c r="U786">
        <f>IF(COUNT($E$2:$E786)&lt;14,"",MIN($D$773:$D$786))</f>
        <v>0</v>
      </c>
      <c r="V786">
        <f>IF(OR(T786="",U786="",T786=U786),"",100*($E786-U786)/(T786-U786))</f>
        <v>0</v>
      </c>
      <c r="W786">
        <f>IF(COUNT($V$784:$V$786)&lt;3,"",AVERAGE($V$784:$V$786))</f>
        <v>0</v>
      </c>
      <c r="X786">
        <f>IF(COUNT($N$773:$N$786)&lt;14,"",MIN($N$773:$N$786))</f>
        <v>0</v>
      </c>
      <c r="Y786">
        <f>IF(COUNT($N$773:$N$786)&lt;14,"",MAX($N$773:$N$786))</f>
        <v>0</v>
      </c>
      <c r="Z786">
        <f>IF(OR(N786="",X786="",Y786="",Y786=X786),"",100*(N786-X786)/(Y786-X786))</f>
        <v>0</v>
      </c>
      <c r="AA786">
        <f>IF(COUNT($Z$784:$Z$786)&lt;3,"",AVERAGE($Z$784:$Z$786))</f>
        <v>0</v>
      </c>
      <c r="AB786">
        <f>IF(COUNT($AA$784:$AA$786)&lt;3,"",AVERAGE($AA$784:$AA$786))</f>
        <v>0</v>
      </c>
      <c r="AC786">
        <f>IF($E786="","",MAX($C786-$D786,ABS($C786-$E785),ABS($D786-$E785)))</f>
        <v>0</v>
      </c>
      <c r="AD786">
        <f>IF(COUNT($E$2:$E786)&lt;15,"",AVERAGE($AC$773:$AC$786))</f>
        <v>0</v>
      </c>
      <c r="AE786">
        <f>IF(OR($E786="",$E785=""),"",IF(AND(($C786-$C785)&gt;($D785-$D786),($C786-$C785)&gt;0),$C786-$C785,0))</f>
        <v>0</v>
      </c>
      <c r="AF786">
        <f>IF(OR($E786="",$E785=""),"",IF(AND(($D785-$D786)&gt;($C786-$C785),($D785-$D786)&gt;0),$D785-$D786,0))</f>
        <v>0</v>
      </c>
      <c r="AG786">
        <f>IF(COUNT($E$2:$E786)&lt;15,"",IF(SUM($AC$773:$AC$786)=0,0,100*SUM($AE$773:$AE$786)/SUM($AC$773:$AC$786)))</f>
        <v>0</v>
      </c>
      <c r="AH786">
        <f>IF(COUNT($E$2:$E786)&lt;15,"",IF(SUM($AC$773:$AC$786)=0,0,100*SUM($AF$773:$AF$786)/SUM($AC$773:$AC$786)))</f>
        <v>0</v>
      </c>
      <c r="AI786">
        <f>IF(OR(AG786="",AH786=""),"",IF((AG786+AH786)=0,0,100*ABS(AG786-AH786)/(AG786+AH786)))</f>
        <v>0</v>
      </c>
      <c r="AJ786">
        <f>IF(COUNT($AI$773:$AI$786)&lt;14,"",AVERAGE($AI$773:$AI$786))</f>
        <v>0</v>
      </c>
      <c r="AK786">
        <f>IF(COUNT($E$2:$E786)&lt;20,"",AVERAGE($E$767:$E$786))</f>
        <v>0</v>
      </c>
      <c r="AL786">
        <f>IF(COUNT($E$2:$E786)&lt;20,"",STDEVP($E$767:$E$786))</f>
        <v>0</v>
      </c>
      <c r="AM786">
        <f>IF(AK786="","",AK786+2*AL786)</f>
        <v>0</v>
      </c>
      <c r="AN786">
        <f>IF(AK786="","",AK786-2*AL786)</f>
        <v>0</v>
      </c>
      <c r="AO786">
        <f>IF(OR(AM786="",AN786="",AM786=AN786),"",($E786-AN786)/(AM786-AN786))</f>
        <v>0</v>
      </c>
      <c r="AP786">
        <f>IF(OR(AM786="",AK786="",AK786=0),"",(AM786-AN786)/AK786)</f>
        <v>0</v>
      </c>
      <c r="AQ786">
        <f>IF(COUNT($E$2:$E786)&lt;20,"",MAX($C$767:$C$786))</f>
        <v>0</v>
      </c>
      <c r="AR786">
        <f>IF(COUNT($E$2:$E786)&lt;20,"",MIN($D$767:$D$786))</f>
        <v>0</v>
      </c>
      <c r="AS786">
        <f>IF(OR(AQ786="",AR786=""),"",(AQ786+AR786)/2)</f>
        <v>0</v>
      </c>
      <c r="AT786">
        <f>IF(COUNT($G$767:$G$786)&lt;20,"",STDEV($G$767:$G$786)*SQRT(252))</f>
        <v>0</v>
      </c>
      <c r="AU786">
        <f>IF(COUNT($E$2:$E786)&lt;9,"",(MAX($C$778:$C$786)+MIN($D$778:$D$786))/2)</f>
        <v>0</v>
      </c>
      <c r="AV786">
        <f>IF(COUNT($E$2:$E786)&lt;26,"",(MAX($C$761:$C$786)+MIN($D$761:$D$786))/2)</f>
        <v>0</v>
      </c>
      <c r="AW786">
        <f>IF(OR(AU786="",AV786=""),"",(AU786+AV786)/2)</f>
        <v>0</v>
      </c>
      <c r="AX786">
        <f>IF(COUNT($E$2:$E786)&lt;52,"",(MAX($C$735:$C$786)+MIN($D$735:$D$786))/2)</f>
        <v>0</v>
      </c>
      <c r="AY786">
        <f>IF(COUNT($E$2:$E786)&lt;20,"",MAX($C$687:$C$786))</f>
        <v>0</v>
      </c>
      <c r="AZ786">
        <f>IF(COUNT($E$2:$E786)&lt;20,"",MIN($D$687:$D$786))</f>
        <v>0</v>
      </c>
      <c r="BA786">
        <f>IF(COUNT($E$2:$E786)&lt;20,"",SLOPE($E$687:$E$786,$F$687:$F$786))</f>
        <v>0</v>
      </c>
      <c r="BB786">
        <f>IF(COUNT($E$2:$E786)&lt;20,"",INTERCEPT($E$687:$E$786,$F$687:$F$786))</f>
        <v>0</v>
      </c>
      <c r="BC786">
        <f>IF(OR(BA786="",BB786=""),"",BB786+BA786*F786)</f>
        <v>0</v>
      </c>
      <c r="BD786">
        <f>IF(COUNT($E$2:$E786)&lt;20,"",STEYX($E$687:$E$786,$F$687:$F$786))</f>
        <v>0</v>
      </c>
      <c r="BE786">
        <f>IF($E786="","",IF(AND(COUNT($E$787:$E$790)&gt;=4,$C786=MAX($C$782:$C$790)),$C786,""))</f>
        <v>0</v>
      </c>
      <c r="BF786">
        <f>IF($E786="","",IF(AND(COUNT($E$787:$E$790)&gt;=4,$D786=MIN($D$782:$D$790)),$D786,""))</f>
        <v>0</v>
      </c>
      <c r="BG786">
        <f>IF($A786="","",$A786-WEEKDAY($A786,2)+1)</f>
        <v>0</v>
      </c>
      <c r="BH786">
        <f>IF($A786="","",IF($A785="",1,IF(BG786&lt;&gt;BG785,1,0)))</f>
        <v>0</v>
      </c>
      <c r="BI786">
        <f>IF($A786="","",IF($A787="",1,IF(BG787&lt;&gt;BG786,1,0)))</f>
        <v>0</v>
      </c>
      <c r="BJ786">
        <f>IF($A786="","",IF(BH786=1,$B786,BJ785))</f>
        <v>0</v>
      </c>
      <c r="BK786">
        <f>IF($A786="","",IF(BH786=1,$C786,MAX($C786,BK785)))</f>
        <v>0</v>
      </c>
      <c r="BL786">
        <f>IF($A786="","",IF(BH786=1,$D786,MIN($D786,BL785)))</f>
        <v>0</v>
      </c>
      <c r="BM786">
        <f>IF($A786="","",IF(BI786=1,F786,""))</f>
        <v>0</v>
      </c>
      <c r="BN786">
        <f>IF($A786="","",DATE(YEAR($A786),MONTH($A786),1))</f>
        <v>0</v>
      </c>
      <c r="BO786">
        <f>IF($A786="","",IF($A785="",1,IF(BN786&lt;&gt;BN785,1,0)))</f>
        <v>0</v>
      </c>
      <c r="BP786">
        <f>IF($A786="","",IF($A787="",1,IF(BN787&lt;&gt;BN786,1,0)))</f>
        <v>0</v>
      </c>
      <c r="BQ786">
        <f>IF($A786="","",IF(BO786=1,$B786,BQ785))</f>
        <v>0</v>
      </c>
      <c r="BR786">
        <f>IF($A786="","",IF(BO786=1,$C786,MAX($C786,BR785)))</f>
        <v>0</v>
      </c>
      <c r="BS786">
        <f>IF($A786="","",IF(BO786=1,$D786,MIN($D786,BS785)))</f>
        <v>0</v>
      </c>
      <c r="BT786">
        <f>IF($A786="","",IF(BP786=1,F786,""))</f>
        <v>0</v>
      </c>
    </row>
    <row r="787" spans="1:72">
      <c r="A787" s="27">
        <f>IF(Data!$A787="","",Data!$A787)</f>
        <v>0</v>
      </c>
      <c r="B787">
        <f>IF(Data!$B787="","",Data!$B787)</f>
        <v>0</v>
      </c>
      <c r="C787">
        <f>IF(Data!$C787="","",Data!$C787)</f>
        <v>0</v>
      </c>
      <c r="D787">
        <f>IF(Data!$D787="","",Data!$D787)</f>
        <v>0</v>
      </c>
      <c r="E787">
        <f>IF(Data!$E787="","",Data!$E787)</f>
        <v>0</v>
      </c>
      <c r="F787">
        <f>IF($E787="","",N(F786)+1)</f>
        <v>0</v>
      </c>
      <c r="G787">
        <f>IF(OR($E787="",$E786=""),"",LN($E787/$E786))</f>
        <v>0</v>
      </c>
      <c r="H787">
        <f>IF($E787="","",IF($E786="",$E787,$E787*0.0952380952+H786*0.9047619048))</f>
        <v>0</v>
      </c>
      <c r="I787">
        <f>IF($E787="","",IF($E786="",$E787,$E787*0.0392156863+I786*0.9607843137))</f>
        <v>0</v>
      </c>
      <c r="J787">
        <f>IF($E787="","",IF($E786="",$E787,$E787*0.0198019802+J786*0.9801980198))</f>
        <v>0</v>
      </c>
      <c r="K787">
        <f>IF($E787="","",IF($E786="",$E787,$E787*0.0099502488+K786*0.9900497512))</f>
        <v>0</v>
      </c>
      <c r="L787">
        <f>IF(OR($E787="",$E786=""),"",MAX($E787-$E786,0))</f>
        <v>0</v>
      </c>
      <c r="M787">
        <f>IF(OR($E787="",$E786=""),"",MAX($E786-$E787,0))</f>
        <v>0</v>
      </c>
      <c r="N787">
        <f>IF(COUNT($E$2:$E787)&lt;15,"",IF(AVERAGE($M$774:$M$787)=0,100,100-100/(1+AVERAGE($L$774:$L$787)/AVERAGE($M$774:$M$787))))</f>
        <v>0</v>
      </c>
      <c r="O787">
        <f>IF($E787="","",IF($E786="",$E787,$E787*0.1538461538+O786*0.8461538462))</f>
        <v>0</v>
      </c>
      <c r="P787">
        <f>IF($E787="","",IF($E786="",$E787,$E787*0.0740740741+P786*0.9259259259))</f>
        <v>0</v>
      </c>
      <c r="Q787">
        <f>IF(OR(O787="",P787=""),"",O787-P787)</f>
        <v>0</v>
      </c>
      <c r="R787">
        <f>IF(Q787="","",IF(R786="",Q787,Q787*0.2000000000+R786*0.8000000000))</f>
        <v>0</v>
      </c>
      <c r="S787">
        <f>IF(OR(Q787="",R787=""),"",Q787-R787)</f>
        <v>0</v>
      </c>
      <c r="T787">
        <f>IF(COUNT($E$2:$E787)&lt;14,"",MAX($C$774:$C$787))</f>
        <v>0</v>
      </c>
      <c r="U787">
        <f>IF(COUNT($E$2:$E787)&lt;14,"",MIN($D$774:$D$787))</f>
        <v>0</v>
      </c>
      <c r="V787">
        <f>IF(OR(T787="",U787="",T787=U787),"",100*($E787-U787)/(T787-U787))</f>
        <v>0</v>
      </c>
      <c r="W787">
        <f>IF(COUNT($V$785:$V$787)&lt;3,"",AVERAGE($V$785:$V$787))</f>
        <v>0</v>
      </c>
      <c r="X787">
        <f>IF(COUNT($N$774:$N$787)&lt;14,"",MIN($N$774:$N$787))</f>
        <v>0</v>
      </c>
      <c r="Y787">
        <f>IF(COUNT($N$774:$N$787)&lt;14,"",MAX($N$774:$N$787))</f>
        <v>0</v>
      </c>
      <c r="Z787">
        <f>IF(OR(N787="",X787="",Y787="",Y787=X787),"",100*(N787-X787)/(Y787-X787))</f>
        <v>0</v>
      </c>
      <c r="AA787">
        <f>IF(COUNT($Z$785:$Z$787)&lt;3,"",AVERAGE($Z$785:$Z$787))</f>
        <v>0</v>
      </c>
      <c r="AB787">
        <f>IF(COUNT($AA$785:$AA$787)&lt;3,"",AVERAGE($AA$785:$AA$787))</f>
        <v>0</v>
      </c>
      <c r="AC787">
        <f>IF($E787="","",MAX($C787-$D787,ABS($C787-$E786),ABS($D787-$E786)))</f>
        <v>0</v>
      </c>
      <c r="AD787">
        <f>IF(COUNT($E$2:$E787)&lt;15,"",AVERAGE($AC$774:$AC$787))</f>
        <v>0</v>
      </c>
      <c r="AE787">
        <f>IF(OR($E787="",$E786=""),"",IF(AND(($C787-$C786)&gt;($D786-$D787),($C787-$C786)&gt;0),$C787-$C786,0))</f>
        <v>0</v>
      </c>
      <c r="AF787">
        <f>IF(OR($E787="",$E786=""),"",IF(AND(($D786-$D787)&gt;($C787-$C786),($D786-$D787)&gt;0),$D786-$D787,0))</f>
        <v>0</v>
      </c>
      <c r="AG787">
        <f>IF(COUNT($E$2:$E787)&lt;15,"",IF(SUM($AC$774:$AC$787)=0,0,100*SUM($AE$774:$AE$787)/SUM($AC$774:$AC$787)))</f>
        <v>0</v>
      </c>
      <c r="AH787">
        <f>IF(COUNT($E$2:$E787)&lt;15,"",IF(SUM($AC$774:$AC$787)=0,0,100*SUM($AF$774:$AF$787)/SUM($AC$774:$AC$787)))</f>
        <v>0</v>
      </c>
      <c r="AI787">
        <f>IF(OR(AG787="",AH787=""),"",IF((AG787+AH787)=0,0,100*ABS(AG787-AH787)/(AG787+AH787)))</f>
        <v>0</v>
      </c>
      <c r="AJ787">
        <f>IF(COUNT($AI$774:$AI$787)&lt;14,"",AVERAGE($AI$774:$AI$787))</f>
        <v>0</v>
      </c>
      <c r="AK787">
        <f>IF(COUNT($E$2:$E787)&lt;20,"",AVERAGE($E$768:$E$787))</f>
        <v>0</v>
      </c>
      <c r="AL787">
        <f>IF(COUNT($E$2:$E787)&lt;20,"",STDEVP($E$768:$E$787))</f>
        <v>0</v>
      </c>
      <c r="AM787">
        <f>IF(AK787="","",AK787+2*AL787)</f>
        <v>0</v>
      </c>
      <c r="AN787">
        <f>IF(AK787="","",AK787-2*AL787)</f>
        <v>0</v>
      </c>
      <c r="AO787">
        <f>IF(OR(AM787="",AN787="",AM787=AN787),"",($E787-AN787)/(AM787-AN787))</f>
        <v>0</v>
      </c>
      <c r="AP787">
        <f>IF(OR(AM787="",AK787="",AK787=0),"",(AM787-AN787)/AK787)</f>
        <v>0</v>
      </c>
      <c r="AQ787">
        <f>IF(COUNT($E$2:$E787)&lt;20,"",MAX($C$768:$C$787))</f>
        <v>0</v>
      </c>
      <c r="AR787">
        <f>IF(COUNT($E$2:$E787)&lt;20,"",MIN($D$768:$D$787))</f>
        <v>0</v>
      </c>
      <c r="AS787">
        <f>IF(OR(AQ787="",AR787=""),"",(AQ787+AR787)/2)</f>
        <v>0</v>
      </c>
      <c r="AT787">
        <f>IF(COUNT($G$768:$G$787)&lt;20,"",STDEV($G$768:$G$787)*SQRT(252))</f>
        <v>0</v>
      </c>
      <c r="AU787">
        <f>IF(COUNT($E$2:$E787)&lt;9,"",(MAX($C$779:$C$787)+MIN($D$779:$D$787))/2)</f>
        <v>0</v>
      </c>
      <c r="AV787">
        <f>IF(COUNT($E$2:$E787)&lt;26,"",(MAX($C$762:$C$787)+MIN($D$762:$D$787))/2)</f>
        <v>0</v>
      </c>
      <c r="AW787">
        <f>IF(OR(AU787="",AV787=""),"",(AU787+AV787)/2)</f>
        <v>0</v>
      </c>
      <c r="AX787">
        <f>IF(COUNT($E$2:$E787)&lt;52,"",(MAX($C$736:$C$787)+MIN($D$736:$D$787))/2)</f>
        <v>0</v>
      </c>
      <c r="AY787">
        <f>IF(COUNT($E$2:$E787)&lt;20,"",MAX($C$688:$C$787))</f>
        <v>0</v>
      </c>
      <c r="AZ787">
        <f>IF(COUNT($E$2:$E787)&lt;20,"",MIN($D$688:$D$787))</f>
        <v>0</v>
      </c>
      <c r="BA787">
        <f>IF(COUNT($E$2:$E787)&lt;20,"",SLOPE($E$688:$E$787,$F$688:$F$787))</f>
        <v>0</v>
      </c>
      <c r="BB787">
        <f>IF(COUNT($E$2:$E787)&lt;20,"",INTERCEPT($E$688:$E$787,$F$688:$F$787))</f>
        <v>0</v>
      </c>
      <c r="BC787">
        <f>IF(OR(BA787="",BB787=""),"",BB787+BA787*F787)</f>
        <v>0</v>
      </c>
      <c r="BD787">
        <f>IF(COUNT($E$2:$E787)&lt;20,"",STEYX($E$688:$E$787,$F$688:$F$787))</f>
        <v>0</v>
      </c>
      <c r="BE787">
        <f>IF($E787="","",IF(AND(COUNT($E$788:$E$791)&gt;=4,$C787=MAX($C$783:$C$791)),$C787,""))</f>
        <v>0</v>
      </c>
      <c r="BF787">
        <f>IF($E787="","",IF(AND(COUNT($E$788:$E$791)&gt;=4,$D787=MIN($D$783:$D$791)),$D787,""))</f>
        <v>0</v>
      </c>
      <c r="BG787">
        <f>IF($A787="","",$A787-WEEKDAY($A787,2)+1)</f>
        <v>0</v>
      </c>
      <c r="BH787">
        <f>IF($A787="","",IF($A786="",1,IF(BG787&lt;&gt;BG786,1,0)))</f>
        <v>0</v>
      </c>
      <c r="BI787">
        <f>IF($A787="","",IF($A788="",1,IF(BG788&lt;&gt;BG787,1,0)))</f>
        <v>0</v>
      </c>
      <c r="BJ787">
        <f>IF($A787="","",IF(BH787=1,$B787,BJ786))</f>
        <v>0</v>
      </c>
      <c r="BK787">
        <f>IF($A787="","",IF(BH787=1,$C787,MAX($C787,BK786)))</f>
        <v>0</v>
      </c>
      <c r="BL787">
        <f>IF($A787="","",IF(BH787=1,$D787,MIN($D787,BL786)))</f>
        <v>0</v>
      </c>
      <c r="BM787">
        <f>IF($A787="","",IF(BI787=1,F787,""))</f>
        <v>0</v>
      </c>
      <c r="BN787">
        <f>IF($A787="","",DATE(YEAR($A787),MONTH($A787),1))</f>
        <v>0</v>
      </c>
      <c r="BO787">
        <f>IF($A787="","",IF($A786="",1,IF(BN787&lt;&gt;BN786,1,0)))</f>
        <v>0</v>
      </c>
      <c r="BP787">
        <f>IF($A787="","",IF($A788="",1,IF(BN788&lt;&gt;BN787,1,0)))</f>
        <v>0</v>
      </c>
      <c r="BQ787">
        <f>IF($A787="","",IF(BO787=1,$B787,BQ786))</f>
        <v>0</v>
      </c>
      <c r="BR787">
        <f>IF($A787="","",IF(BO787=1,$C787,MAX($C787,BR786)))</f>
        <v>0</v>
      </c>
      <c r="BS787">
        <f>IF($A787="","",IF(BO787=1,$D787,MIN($D787,BS786)))</f>
        <v>0</v>
      </c>
      <c r="BT787">
        <f>IF($A787="","",IF(BP787=1,F787,""))</f>
        <v>0</v>
      </c>
    </row>
    <row r="788" spans="1:72">
      <c r="A788" s="27">
        <f>IF(Data!$A788="","",Data!$A788)</f>
        <v>0</v>
      </c>
      <c r="B788">
        <f>IF(Data!$B788="","",Data!$B788)</f>
        <v>0</v>
      </c>
      <c r="C788">
        <f>IF(Data!$C788="","",Data!$C788)</f>
        <v>0</v>
      </c>
      <c r="D788">
        <f>IF(Data!$D788="","",Data!$D788)</f>
        <v>0</v>
      </c>
      <c r="E788">
        <f>IF(Data!$E788="","",Data!$E788)</f>
        <v>0</v>
      </c>
      <c r="F788">
        <f>IF($E788="","",N(F787)+1)</f>
        <v>0</v>
      </c>
      <c r="G788">
        <f>IF(OR($E788="",$E787=""),"",LN($E788/$E787))</f>
        <v>0</v>
      </c>
      <c r="H788">
        <f>IF($E788="","",IF($E787="",$E788,$E788*0.0952380952+H787*0.9047619048))</f>
        <v>0</v>
      </c>
      <c r="I788">
        <f>IF($E788="","",IF($E787="",$E788,$E788*0.0392156863+I787*0.9607843137))</f>
        <v>0</v>
      </c>
      <c r="J788">
        <f>IF($E788="","",IF($E787="",$E788,$E788*0.0198019802+J787*0.9801980198))</f>
        <v>0</v>
      </c>
      <c r="K788">
        <f>IF($E788="","",IF($E787="",$E788,$E788*0.0099502488+K787*0.9900497512))</f>
        <v>0</v>
      </c>
      <c r="L788">
        <f>IF(OR($E788="",$E787=""),"",MAX($E788-$E787,0))</f>
        <v>0</v>
      </c>
      <c r="M788">
        <f>IF(OR($E788="",$E787=""),"",MAX($E787-$E788,0))</f>
        <v>0</v>
      </c>
      <c r="N788">
        <f>IF(COUNT($E$2:$E788)&lt;15,"",IF(AVERAGE($M$775:$M$788)=0,100,100-100/(1+AVERAGE($L$775:$L$788)/AVERAGE($M$775:$M$788))))</f>
        <v>0</v>
      </c>
      <c r="O788">
        <f>IF($E788="","",IF($E787="",$E788,$E788*0.1538461538+O787*0.8461538462))</f>
        <v>0</v>
      </c>
      <c r="P788">
        <f>IF($E788="","",IF($E787="",$E788,$E788*0.0740740741+P787*0.9259259259))</f>
        <v>0</v>
      </c>
      <c r="Q788">
        <f>IF(OR(O788="",P788=""),"",O788-P788)</f>
        <v>0</v>
      </c>
      <c r="R788">
        <f>IF(Q788="","",IF(R787="",Q788,Q788*0.2000000000+R787*0.8000000000))</f>
        <v>0</v>
      </c>
      <c r="S788">
        <f>IF(OR(Q788="",R788=""),"",Q788-R788)</f>
        <v>0</v>
      </c>
      <c r="T788">
        <f>IF(COUNT($E$2:$E788)&lt;14,"",MAX($C$775:$C$788))</f>
        <v>0</v>
      </c>
      <c r="U788">
        <f>IF(COUNT($E$2:$E788)&lt;14,"",MIN($D$775:$D$788))</f>
        <v>0</v>
      </c>
      <c r="V788">
        <f>IF(OR(T788="",U788="",T788=U788),"",100*($E788-U788)/(T788-U788))</f>
        <v>0</v>
      </c>
      <c r="W788">
        <f>IF(COUNT($V$786:$V$788)&lt;3,"",AVERAGE($V$786:$V$788))</f>
        <v>0</v>
      </c>
      <c r="X788">
        <f>IF(COUNT($N$775:$N$788)&lt;14,"",MIN($N$775:$N$788))</f>
        <v>0</v>
      </c>
      <c r="Y788">
        <f>IF(COUNT($N$775:$N$788)&lt;14,"",MAX($N$775:$N$788))</f>
        <v>0</v>
      </c>
      <c r="Z788">
        <f>IF(OR(N788="",X788="",Y788="",Y788=X788),"",100*(N788-X788)/(Y788-X788))</f>
        <v>0</v>
      </c>
      <c r="AA788">
        <f>IF(COUNT($Z$786:$Z$788)&lt;3,"",AVERAGE($Z$786:$Z$788))</f>
        <v>0</v>
      </c>
      <c r="AB788">
        <f>IF(COUNT($AA$786:$AA$788)&lt;3,"",AVERAGE($AA$786:$AA$788))</f>
        <v>0</v>
      </c>
      <c r="AC788">
        <f>IF($E788="","",MAX($C788-$D788,ABS($C788-$E787),ABS($D788-$E787)))</f>
        <v>0</v>
      </c>
      <c r="AD788">
        <f>IF(COUNT($E$2:$E788)&lt;15,"",AVERAGE($AC$775:$AC$788))</f>
        <v>0</v>
      </c>
      <c r="AE788">
        <f>IF(OR($E788="",$E787=""),"",IF(AND(($C788-$C787)&gt;($D787-$D788),($C788-$C787)&gt;0),$C788-$C787,0))</f>
        <v>0</v>
      </c>
      <c r="AF788">
        <f>IF(OR($E788="",$E787=""),"",IF(AND(($D787-$D788)&gt;($C788-$C787),($D787-$D788)&gt;0),$D787-$D788,0))</f>
        <v>0</v>
      </c>
      <c r="AG788">
        <f>IF(COUNT($E$2:$E788)&lt;15,"",IF(SUM($AC$775:$AC$788)=0,0,100*SUM($AE$775:$AE$788)/SUM($AC$775:$AC$788)))</f>
        <v>0</v>
      </c>
      <c r="AH788">
        <f>IF(COUNT($E$2:$E788)&lt;15,"",IF(SUM($AC$775:$AC$788)=0,0,100*SUM($AF$775:$AF$788)/SUM($AC$775:$AC$788)))</f>
        <v>0</v>
      </c>
      <c r="AI788">
        <f>IF(OR(AG788="",AH788=""),"",IF((AG788+AH788)=0,0,100*ABS(AG788-AH788)/(AG788+AH788)))</f>
        <v>0</v>
      </c>
      <c r="AJ788">
        <f>IF(COUNT($AI$775:$AI$788)&lt;14,"",AVERAGE($AI$775:$AI$788))</f>
        <v>0</v>
      </c>
      <c r="AK788">
        <f>IF(COUNT($E$2:$E788)&lt;20,"",AVERAGE($E$769:$E$788))</f>
        <v>0</v>
      </c>
      <c r="AL788">
        <f>IF(COUNT($E$2:$E788)&lt;20,"",STDEVP($E$769:$E$788))</f>
        <v>0</v>
      </c>
      <c r="AM788">
        <f>IF(AK788="","",AK788+2*AL788)</f>
        <v>0</v>
      </c>
      <c r="AN788">
        <f>IF(AK788="","",AK788-2*AL788)</f>
        <v>0</v>
      </c>
      <c r="AO788">
        <f>IF(OR(AM788="",AN788="",AM788=AN788),"",($E788-AN788)/(AM788-AN788))</f>
        <v>0</v>
      </c>
      <c r="AP788">
        <f>IF(OR(AM788="",AK788="",AK788=0),"",(AM788-AN788)/AK788)</f>
        <v>0</v>
      </c>
      <c r="AQ788">
        <f>IF(COUNT($E$2:$E788)&lt;20,"",MAX($C$769:$C$788))</f>
        <v>0</v>
      </c>
      <c r="AR788">
        <f>IF(COUNT($E$2:$E788)&lt;20,"",MIN($D$769:$D$788))</f>
        <v>0</v>
      </c>
      <c r="AS788">
        <f>IF(OR(AQ788="",AR788=""),"",(AQ788+AR788)/2)</f>
        <v>0</v>
      </c>
      <c r="AT788">
        <f>IF(COUNT($G$769:$G$788)&lt;20,"",STDEV($G$769:$G$788)*SQRT(252))</f>
        <v>0</v>
      </c>
      <c r="AU788">
        <f>IF(COUNT($E$2:$E788)&lt;9,"",(MAX($C$780:$C$788)+MIN($D$780:$D$788))/2)</f>
        <v>0</v>
      </c>
      <c r="AV788">
        <f>IF(COUNT($E$2:$E788)&lt;26,"",(MAX($C$763:$C$788)+MIN($D$763:$D$788))/2)</f>
        <v>0</v>
      </c>
      <c r="AW788">
        <f>IF(OR(AU788="",AV788=""),"",(AU788+AV788)/2)</f>
        <v>0</v>
      </c>
      <c r="AX788">
        <f>IF(COUNT($E$2:$E788)&lt;52,"",(MAX($C$737:$C$788)+MIN($D$737:$D$788))/2)</f>
        <v>0</v>
      </c>
      <c r="AY788">
        <f>IF(COUNT($E$2:$E788)&lt;20,"",MAX($C$689:$C$788))</f>
        <v>0</v>
      </c>
      <c r="AZ788">
        <f>IF(COUNT($E$2:$E788)&lt;20,"",MIN($D$689:$D$788))</f>
        <v>0</v>
      </c>
      <c r="BA788">
        <f>IF(COUNT($E$2:$E788)&lt;20,"",SLOPE($E$689:$E$788,$F$689:$F$788))</f>
        <v>0</v>
      </c>
      <c r="BB788">
        <f>IF(COUNT($E$2:$E788)&lt;20,"",INTERCEPT($E$689:$E$788,$F$689:$F$788))</f>
        <v>0</v>
      </c>
      <c r="BC788">
        <f>IF(OR(BA788="",BB788=""),"",BB788+BA788*F788)</f>
        <v>0</v>
      </c>
      <c r="BD788">
        <f>IF(COUNT($E$2:$E788)&lt;20,"",STEYX($E$689:$E$788,$F$689:$F$788))</f>
        <v>0</v>
      </c>
      <c r="BE788">
        <f>IF($E788="","",IF(AND(COUNT($E$789:$E$792)&gt;=4,$C788=MAX($C$784:$C$792)),$C788,""))</f>
        <v>0</v>
      </c>
      <c r="BF788">
        <f>IF($E788="","",IF(AND(COUNT($E$789:$E$792)&gt;=4,$D788=MIN($D$784:$D$792)),$D788,""))</f>
        <v>0</v>
      </c>
      <c r="BG788">
        <f>IF($A788="","",$A788-WEEKDAY($A788,2)+1)</f>
        <v>0</v>
      </c>
      <c r="BH788">
        <f>IF($A788="","",IF($A787="",1,IF(BG788&lt;&gt;BG787,1,0)))</f>
        <v>0</v>
      </c>
      <c r="BI788">
        <f>IF($A788="","",IF($A789="",1,IF(BG789&lt;&gt;BG788,1,0)))</f>
        <v>0</v>
      </c>
      <c r="BJ788">
        <f>IF($A788="","",IF(BH788=1,$B788,BJ787))</f>
        <v>0</v>
      </c>
      <c r="BK788">
        <f>IF($A788="","",IF(BH788=1,$C788,MAX($C788,BK787)))</f>
        <v>0</v>
      </c>
      <c r="BL788">
        <f>IF($A788="","",IF(BH788=1,$D788,MIN($D788,BL787)))</f>
        <v>0</v>
      </c>
      <c r="BM788">
        <f>IF($A788="","",IF(BI788=1,F788,""))</f>
        <v>0</v>
      </c>
      <c r="BN788">
        <f>IF($A788="","",DATE(YEAR($A788),MONTH($A788),1))</f>
        <v>0</v>
      </c>
      <c r="BO788">
        <f>IF($A788="","",IF($A787="",1,IF(BN788&lt;&gt;BN787,1,0)))</f>
        <v>0</v>
      </c>
      <c r="BP788">
        <f>IF($A788="","",IF($A789="",1,IF(BN789&lt;&gt;BN788,1,0)))</f>
        <v>0</v>
      </c>
      <c r="BQ788">
        <f>IF($A788="","",IF(BO788=1,$B788,BQ787))</f>
        <v>0</v>
      </c>
      <c r="BR788">
        <f>IF($A788="","",IF(BO788=1,$C788,MAX($C788,BR787)))</f>
        <v>0</v>
      </c>
      <c r="BS788">
        <f>IF($A788="","",IF(BO788=1,$D788,MIN($D788,BS787)))</f>
        <v>0</v>
      </c>
      <c r="BT788">
        <f>IF($A788="","",IF(BP788=1,F788,""))</f>
        <v>0</v>
      </c>
    </row>
    <row r="789" spans="1:72">
      <c r="A789" s="27">
        <f>IF(Data!$A789="","",Data!$A789)</f>
        <v>0</v>
      </c>
      <c r="B789">
        <f>IF(Data!$B789="","",Data!$B789)</f>
        <v>0</v>
      </c>
      <c r="C789">
        <f>IF(Data!$C789="","",Data!$C789)</f>
        <v>0</v>
      </c>
      <c r="D789">
        <f>IF(Data!$D789="","",Data!$D789)</f>
        <v>0</v>
      </c>
      <c r="E789">
        <f>IF(Data!$E789="","",Data!$E789)</f>
        <v>0</v>
      </c>
      <c r="F789">
        <f>IF($E789="","",N(F788)+1)</f>
        <v>0</v>
      </c>
      <c r="G789">
        <f>IF(OR($E789="",$E788=""),"",LN($E789/$E788))</f>
        <v>0</v>
      </c>
      <c r="H789">
        <f>IF($E789="","",IF($E788="",$E789,$E789*0.0952380952+H788*0.9047619048))</f>
        <v>0</v>
      </c>
      <c r="I789">
        <f>IF($E789="","",IF($E788="",$E789,$E789*0.0392156863+I788*0.9607843137))</f>
        <v>0</v>
      </c>
      <c r="J789">
        <f>IF($E789="","",IF($E788="",$E789,$E789*0.0198019802+J788*0.9801980198))</f>
        <v>0</v>
      </c>
      <c r="K789">
        <f>IF($E789="","",IF($E788="",$E789,$E789*0.0099502488+K788*0.9900497512))</f>
        <v>0</v>
      </c>
      <c r="L789">
        <f>IF(OR($E789="",$E788=""),"",MAX($E789-$E788,0))</f>
        <v>0</v>
      </c>
      <c r="M789">
        <f>IF(OR($E789="",$E788=""),"",MAX($E788-$E789,0))</f>
        <v>0</v>
      </c>
      <c r="N789">
        <f>IF(COUNT($E$2:$E789)&lt;15,"",IF(AVERAGE($M$776:$M$789)=0,100,100-100/(1+AVERAGE($L$776:$L$789)/AVERAGE($M$776:$M$789))))</f>
        <v>0</v>
      </c>
      <c r="O789">
        <f>IF($E789="","",IF($E788="",$E789,$E789*0.1538461538+O788*0.8461538462))</f>
        <v>0</v>
      </c>
      <c r="P789">
        <f>IF($E789="","",IF($E788="",$E789,$E789*0.0740740741+P788*0.9259259259))</f>
        <v>0</v>
      </c>
      <c r="Q789">
        <f>IF(OR(O789="",P789=""),"",O789-P789)</f>
        <v>0</v>
      </c>
      <c r="R789">
        <f>IF(Q789="","",IF(R788="",Q789,Q789*0.2000000000+R788*0.8000000000))</f>
        <v>0</v>
      </c>
      <c r="S789">
        <f>IF(OR(Q789="",R789=""),"",Q789-R789)</f>
        <v>0</v>
      </c>
      <c r="T789">
        <f>IF(COUNT($E$2:$E789)&lt;14,"",MAX($C$776:$C$789))</f>
        <v>0</v>
      </c>
      <c r="U789">
        <f>IF(COUNT($E$2:$E789)&lt;14,"",MIN($D$776:$D$789))</f>
        <v>0</v>
      </c>
      <c r="V789">
        <f>IF(OR(T789="",U789="",T789=U789),"",100*($E789-U789)/(T789-U789))</f>
        <v>0</v>
      </c>
      <c r="W789">
        <f>IF(COUNT($V$787:$V$789)&lt;3,"",AVERAGE($V$787:$V$789))</f>
        <v>0</v>
      </c>
      <c r="X789">
        <f>IF(COUNT($N$776:$N$789)&lt;14,"",MIN($N$776:$N$789))</f>
        <v>0</v>
      </c>
      <c r="Y789">
        <f>IF(COUNT($N$776:$N$789)&lt;14,"",MAX($N$776:$N$789))</f>
        <v>0</v>
      </c>
      <c r="Z789">
        <f>IF(OR(N789="",X789="",Y789="",Y789=X789),"",100*(N789-X789)/(Y789-X789))</f>
        <v>0</v>
      </c>
      <c r="AA789">
        <f>IF(COUNT($Z$787:$Z$789)&lt;3,"",AVERAGE($Z$787:$Z$789))</f>
        <v>0</v>
      </c>
      <c r="AB789">
        <f>IF(COUNT($AA$787:$AA$789)&lt;3,"",AVERAGE($AA$787:$AA$789))</f>
        <v>0</v>
      </c>
      <c r="AC789">
        <f>IF($E789="","",MAX($C789-$D789,ABS($C789-$E788),ABS($D789-$E788)))</f>
        <v>0</v>
      </c>
      <c r="AD789">
        <f>IF(COUNT($E$2:$E789)&lt;15,"",AVERAGE($AC$776:$AC$789))</f>
        <v>0</v>
      </c>
      <c r="AE789">
        <f>IF(OR($E789="",$E788=""),"",IF(AND(($C789-$C788)&gt;($D788-$D789),($C789-$C788)&gt;0),$C789-$C788,0))</f>
        <v>0</v>
      </c>
      <c r="AF789">
        <f>IF(OR($E789="",$E788=""),"",IF(AND(($D788-$D789)&gt;($C789-$C788),($D788-$D789)&gt;0),$D788-$D789,0))</f>
        <v>0</v>
      </c>
      <c r="AG789">
        <f>IF(COUNT($E$2:$E789)&lt;15,"",IF(SUM($AC$776:$AC$789)=0,0,100*SUM($AE$776:$AE$789)/SUM($AC$776:$AC$789)))</f>
        <v>0</v>
      </c>
      <c r="AH789">
        <f>IF(COUNT($E$2:$E789)&lt;15,"",IF(SUM($AC$776:$AC$789)=0,0,100*SUM($AF$776:$AF$789)/SUM($AC$776:$AC$789)))</f>
        <v>0</v>
      </c>
      <c r="AI789">
        <f>IF(OR(AG789="",AH789=""),"",IF((AG789+AH789)=0,0,100*ABS(AG789-AH789)/(AG789+AH789)))</f>
        <v>0</v>
      </c>
      <c r="AJ789">
        <f>IF(COUNT($AI$776:$AI$789)&lt;14,"",AVERAGE($AI$776:$AI$789))</f>
        <v>0</v>
      </c>
      <c r="AK789">
        <f>IF(COUNT($E$2:$E789)&lt;20,"",AVERAGE($E$770:$E$789))</f>
        <v>0</v>
      </c>
      <c r="AL789">
        <f>IF(COUNT($E$2:$E789)&lt;20,"",STDEVP($E$770:$E$789))</f>
        <v>0</v>
      </c>
      <c r="AM789">
        <f>IF(AK789="","",AK789+2*AL789)</f>
        <v>0</v>
      </c>
      <c r="AN789">
        <f>IF(AK789="","",AK789-2*AL789)</f>
        <v>0</v>
      </c>
      <c r="AO789">
        <f>IF(OR(AM789="",AN789="",AM789=AN789),"",($E789-AN789)/(AM789-AN789))</f>
        <v>0</v>
      </c>
      <c r="AP789">
        <f>IF(OR(AM789="",AK789="",AK789=0),"",(AM789-AN789)/AK789)</f>
        <v>0</v>
      </c>
      <c r="AQ789">
        <f>IF(COUNT($E$2:$E789)&lt;20,"",MAX($C$770:$C$789))</f>
        <v>0</v>
      </c>
      <c r="AR789">
        <f>IF(COUNT($E$2:$E789)&lt;20,"",MIN($D$770:$D$789))</f>
        <v>0</v>
      </c>
      <c r="AS789">
        <f>IF(OR(AQ789="",AR789=""),"",(AQ789+AR789)/2)</f>
        <v>0</v>
      </c>
      <c r="AT789">
        <f>IF(COUNT($G$770:$G$789)&lt;20,"",STDEV($G$770:$G$789)*SQRT(252))</f>
        <v>0</v>
      </c>
      <c r="AU789">
        <f>IF(COUNT($E$2:$E789)&lt;9,"",(MAX($C$781:$C$789)+MIN($D$781:$D$789))/2)</f>
        <v>0</v>
      </c>
      <c r="AV789">
        <f>IF(COUNT($E$2:$E789)&lt;26,"",(MAX($C$764:$C$789)+MIN($D$764:$D$789))/2)</f>
        <v>0</v>
      </c>
      <c r="AW789">
        <f>IF(OR(AU789="",AV789=""),"",(AU789+AV789)/2)</f>
        <v>0</v>
      </c>
      <c r="AX789">
        <f>IF(COUNT($E$2:$E789)&lt;52,"",(MAX($C$738:$C$789)+MIN($D$738:$D$789))/2)</f>
        <v>0</v>
      </c>
      <c r="AY789">
        <f>IF(COUNT($E$2:$E789)&lt;20,"",MAX($C$690:$C$789))</f>
        <v>0</v>
      </c>
      <c r="AZ789">
        <f>IF(COUNT($E$2:$E789)&lt;20,"",MIN($D$690:$D$789))</f>
        <v>0</v>
      </c>
      <c r="BA789">
        <f>IF(COUNT($E$2:$E789)&lt;20,"",SLOPE($E$690:$E$789,$F$690:$F$789))</f>
        <v>0</v>
      </c>
      <c r="BB789">
        <f>IF(COUNT($E$2:$E789)&lt;20,"",INTERCEPT($E$690:$E$789,$F$690:$F$789))</f>
        <v>0</v>
      </c>
      <c r="BC789">
        <f>IF(OR(BA789="",BB789=""),"",BB789+BA789*F789)</f>
        <v>0</v>
      </c>
      <c r="BD789">
        <f>IF(COUNT($E$2:$E789)&lt;20,"",STEYX($E$690:$E$789,$F$690:$F$789))</f>
        <v>0</v>
      </c>
      <c r="BE789">
        <f>IF($E789="","",IF(AND(COUNT($E$790:$E$793)&gt;=4,$C789=MAX($C$785:$C$793)),$C789,""))</f>
        <v>0</v>
      </c>
      <c r="BF789">
        <f>IF($E789="","",IF(AND(COUNT($E$790:$E$793)&gt;=4,$D789=MIN($D$785:$D$793)),$D789,""))</f>
        <v>0</v>
      </c>
      <c r="BG789">
        <f>IF($A789="","",$A789-WEEKDAY($A789,2)+1)</f>
        <v>0</v>
      </c>
      <c r="BH789">
        <f>IF($A789="","",IF($A788="",1,IF(BG789&lt;&gt;BG788,1,0)))</f>
        <v>0</v>
      </c>
      <c r="BI789">
        <f>IF($A789="","",IF($A790="",1,IF(BG790&lt;&gt;BG789,1,0)))</f>
        <v>0</v>
      </c>
      <c r="BJ789">
        <f>IF($A789="","",IF(BH789=1,$B789,BJ788))</f>
        <v>0</v>
      </c>
      <c r="BK789">
        <f>IF($A789="","",IF(BH789=1,$C789,MAX($C789,BK788)))</f>
        <v>0</v>
      </c>
      <c r="BL789">
        <f>IF($A789="","",IF(BH789=1,$D789,MIN($D789,BL788)))</f>
        <v>0</v>
      </c>
      <c r="BM789">
        <f>IF($A789="","",IF(BI789=1,F789,""))</f>
        <v>0</v>
      </c>
      <c r="BN789">
        <f>IF($A789="","",DATE(YEAR($A789),MONTH($A789),1))</f>
        <v>0</v>
      </c>
      <c r="BO789">
        <f>IF($A789="","",IF($A788="",1,IF(BN789&lt;&gt;BN788,1,0)))</f>
        <v>0</v>
      </c>
      <c r="BP789">
        <f>IF($A789="","",IF($A790="",1,IF(BN790&lt;&gt;BN789,1,0)))</f>
        <v>0</v>
      </c>
      <c r="BQ789">
        <f>IF($A789="","",IF(BO789=1,$B789,BQ788))</f>
        <v>0</v>
      </c>
      <c r="BR789">
        <f>IF($A789="","",IF(BO789=1,$C789,MAX($C789,BR788)))</f>
        <v>0</v>
      </c>
      <c r="BS789">
        <f>IF($A789="","",IF(BO789=1,$D789,MIN($D789,BS788)))</f>
        <v>0</v>
      </c>
      <c r="BT789">
        <f>IF($A789="","",IF(BP789=1,F789,""))</f>
        <v>0</v>
      </c>
    </row>
    <row r="790" spans="1:72">
      <c r="A790" s="27">
        <f>IF(Data!$A790="","",Data!$A790)</f>
        <v>0</v>
      </c>
      <c r="B790">
        <f>IF(Data!$B790="","",Data!$B790)</f>
        <v>0</v>
      </c>
      <c r="C790">
        <f>IF(Data!$C790="","",Data!$C790)</f>
        <v>0</v>
      </c>
      <c r="D790">
        <f>IF(Data!$D790="","",Data!$D790)</f>
        <v>0</v>
      </c>
      <c r="E790">
        <f>IF(Data!$E790="","",Data!$E790)</f>
        <v>0</v>
      </c>
      <c r="F790">
        <f>IF($E790="","",N(F789)+1)</f>
        <v>0</v>
      </c>
      <c r="G790">
        <f>IF(OR($E790="",$E789=""),"",LN($E790/$E789))</f>
        <v>0</v>
      </c>
      <c r="H790">
        <f>IF($E790="","",IF($E789="",$E790,$E790*0.0952380952+H789*0.9047619048))</f>
        <v>0</v>
      </c>
      <c r="I790">
        <f>IF($E790="","",IF($E789="",$E790,$E790*0.0392156863+I789*0.9607843137))</f>
        <v>0</v>
      </c>
      <c r="J790">
        <f>IF($E790="","",IF($E789="",$E790,$E790*0.0198019802+J789*0.9801980198))</f>
        <v>0</v>
      </c>
      <c r="K790">
        <f>IF($E790="","",IF($E789="",$E790,$E790*0.0099502488+K789*0.9900497512))</f>
        <v>0</v>
      </c>
      <c r="L790">
        <f>IF(OR($E790="",$E789=""),"",MAX($E790-$E789,0))</f>
        <v>0</v>
      </c>
      <c r="M790">
        <f>IF(OR($E790="",$E789=""),"",MAX($E789-$E790,0))</f>
        <v>0</v>
      </c>
      <c r="N790">
        <f>IF(COUNT($E$2:$E790)&lt;15,"",IF(AVERAGE($M$777:$M$790)=0,100,100-100/(1+AVERAGE($L$777:$L$790)/AVERAGE($M$777:$M$790))))</f>
        <v>0</v>
      </c>
      <c r="O790">
        <f>IF($E790="","",IF($E789="",$E790,$E790*0.1538461538+O789*0.8461538462))</f>
        <v>0</v>
      </c>
      <c r="P790">
        <f>IF($E790="","",IF($E789="",$E790,$E790*0.0740740741+P789*0.9259259259))</f>
        <v>0</v>
      </c>
      <c r="Q790">
        <f>IF(OR(O790="",P790=""),"",O790-P790)</f>
        <v>0</v>
      </c>
      <c r="R790">
        <f>IF(Q790="","",IF(R789="",Q790,Q790*0.2000000000+R789*0.8000000000))</f>
        <v>0</v>
      </c>
      <c r="S790">
        <f>IF(OR(Q790="",R790=""),"",Q790-R790)</f>
        <v>0</v>
      </c>
      <c r="T790">
        <f>IF(COUNT($E$2:$E790)&lt;14,"",MAX($C$777:$C$790))</f>
        <v>0</v>
      </c>
      <c r="U790">
        <f>IF(COUNT($E$2:$E790)&lt;14,"",MIN($D$777:$D$790))</f>
        <v>0</v>
      </c>
      <c r="V790">
        <f>IF(OR(T790="",U790="",T790=U790),"",100*($E790-U790)/(T790-U790))</f>
        <v>0</v>
      </c>
      <c r="W790">
        <f>IF(COUNT($V$788:$V$790)&lt;3,"",AVERAGE($V$788:$V$790))</f>
        <v>0</v>
      </c>
      <c r="X790">
        <f>IF(COUNT($N$777:$N$790)&lt;14,"",MIN($N$777:$N$790))</f>
        <v>0</v>
      </c>
      <c r="Y790">
        <f>IF(COUNT($N$777:$N$790)&lt;14,"",MAX($N$777:$N$790))</f>
        <v>0</v>
      </c>
      <c r="Z790">
        <f>IF(OR(N790="",X790="",Y790="",Y790=X790),"",100*(N790-X790)/(Y790-X790))</f>
        <v>0</v>
      </c>
      <c r="AA790">
        <f>IF(COUNT($Z$788:$Z$790)&lt;3,"",AVERAGE($Z$788:$Z$790))</f>
        <v>0</v>
      </c>
      <c r="AB790">
        <f>IF(COUNT($AA$788:$AA$790)&lt;3,"",AVERAGE($AA$788:$AA$790))</f>
        <v>0</v>
      </c>
      <c r="AC790">
        <f>IF($E790="","",MAX($C790-$D790,ABS($C790-$E789),ABS($D790-$E789)))</f>
        <v>0</v>
      </c>
      <c r="AD790">
        <f>IF(COUNT($E$2:$E790)&lt;15,"",AVERAGE($AC$777:$AC$790))</f>
        <v>0</v>
      </c>
      <c r="AE790">
        <f>IF(OR($E790="",$E789=""),"",IF(AND(($C790-$C789)&gt;($D789-$D790),($C790-$C789)&gt;0),$C790-$C789,0))</f>
        <v>0</v>
      </c>
      <c r="AF790">
        <f>IF(OR($E790="",$E789=""),"",IF(AND(($D789-$D790)&gt;($C790-$C789),($D789-$D790)&gt;0),$D789-$D790,0))</f>
        <v>0</v>
      </c>
      <c r="AG790">
        <f>IF(COUNT($E$2:$E790)&lt;15,"",IF(SUM($AC$777:$AC$790)=0,0,100*SUM($AE$777:$AE$790)/SUM($AC$777:$AC$790)))</f>
        <v>0</v>
      </c>
      <c r="AH790">
        <f>IF(COUNT($E$2:$E790)&lt;15,"",IF(SUM($AC$777:$AC$790)=0,0,100*SUM($AF$777:$AF$790)/SUM($AC$777:$AC$790)))</f>
        <v>0</v>
      </c>
      <c r="AI790">
        <f>IF(OR(AG790="",AH790=""),"",IF((AG790+AH790)=0,0,100*ABS(AG790-AH790)/(AG790+AH790)))</f>
        <v>0</v>
      </c>
      <c r="AJ790">
        <f>IF(COUNT($AI$777:$AI$790)&lt;14,"",AVERAGE($AI$777:$AI$790))</f>
        <v>0</v>
      </c>
      <c r="AK790">
        <f>IF(COUNT($E$2:$E790)&lt;20,"",AVERAGE($E$771:$E$790))</f>
        <v>0</v>
      </c>
      <c r="AL790">
        <f>IF(COUNT($E$2:$E790)&lt;20,"",STDEVP($E$771:$E$790))</f>
        <v>0</v>
      </c>
      <c r="AM790">
        <f>IF(AK790="","",AK790+2*AL790)</f>
        <v>0</v>
      </c>
      <c r="AN790">
        <f>IF(AK790="","",AK790-2*AL790)</f>
        <v>0</v>
      </c>
      <c r="AO790">
        <f>IF(OR(AM790="",AN790="",AM790=AN790),"",($E790-AN790)/(AM790-AN790))</f>
        <v>0</v>
      </c>
      <c r="AP790">
        <f>IF(OR(AM790="",AK790="",AK790=0),"",(AM790-AN790)/AK790)</f>
        <v>0</v>
      </c>
      <c r="AQ790">
        <f>IF(COUNT($E$2:$E790)&lt;20,"",MAX($C$771:$C$790))</f>
        <v>0</v>
      </c>
      <c r="AR790">
        <f>IF(COUNT($E$2:$E790)&lt;20,"",MIN($D$771:$D$790))</f>
        <v>0</v>
      </c>
      <c r="AS790">
        <f>IF(OR(AQ790="",AR790=""),"",(AQ790+AR790)/2)</f>
        <v>0</v>
      </c>
      <c r="AT790">
        <f>IF(COUNT($G$771:$G$790)&lt;20,"",STDEV($G$771:$G$790)*SQRT(252))</f>
        <v>0</v>
      </c>
      <c r="AU790">
        <f>IF(COUNT($E$2:$E790)&lt;9,"",(MAX($C$782:$C$790)+MIN($D$782:$D$790))/2)</f>
        <v>0</v>
      </c>
      <c r="AV790">
        <f>IF(COUNT($E$2:$E790)&lt;26,"",(MAX($C$765:$C$790)+MIN($D$765:$D$790))/2)</f>
        <v>0</v>
      </c>
      <c r="AW790">
        <f>IF(OR(AU790="",AV790=""),"",(AU790+AV790)/2)</f>
        <v>0</v>
      </c>
      <c r="AX790">
        <f>IF(COUNT($E$2:$E790)&lt;52,"",(MAX($C$739:$C$790)+MIN($D$739:$D$790))/2)</f>
        <v>0</v>
      </c>
      <c r="AY790">
        <f>IF(COUNT($E$2:$E790)&lt;20,"",MAX($C$691:$C$790))</f>
        <v>0</v>
      </c>
      <c r="AZ790">
        <f>IF(COUNT($E$2:$E790)&lt;20,"",MIN($D$691:$D$790))</f>
        <v>0</v>
      </c>
      <c r="BA790">
        <f>IF(COUNT($E$2:$E790)&lt;20,"",SLOPE($E$691:$E$790,$F$691:$F$790))</f>
        <v>0</v>
      </c>
      <c r="BB790">
        <f>IF(COUNT($E$2:$E790)&lt;20,"",INTERCEPT($E$691:$E$790,$F$691:$F$790))</f>
        <v>0</v>
      </c>
      <c r="BC790">
        <f>IF(OR(BA790="",BB790=""),"",BB790+BA790*F790)</f>
        <v>0</v>
      </c>
      <c r="BD790">
        <f>IF(COUNT($E$2:$E790)&lt;20,"",STEYX($E$691:$E$790,$F$691:$F$790))</f>
        <v>0</v>
      </c>
      <c r="BE790">
        <f>IF($E790="","",IF(AND(COUNT($E$791:$E$794)&gt;=4,$C790=MAX($C$786:$C$794)),$C790,""))</f>
        <v>0</v>
      </c>
      <c r="BF790">
        <f>IF($E790="","",IF(AND(COUNT($E$791:$E$794)&gt;=4,$D790=MIN($D$786:$D$794)),$D790,""))</f>
        <v>0</v>
      </c>
      <c r="BG790">
        <f>IF($A790="","",$A790-WEEKDAY($A790,2)+1)</f>
        <v>0</v>
      </c>
      <c r="BH790">
        <f>IF($A790="","",IF($A789="",1,IF(BG790&lt;&gt;BG789,1,0)))</f>
        <v>0</v>
      </c>
      <c r="BI790">
        <f>IF($A790="","",IF($A791="",1,IF(BG791&lt;&gt;BG790,1,0)))</f>
        <v>0</v>
      </c>
      <c r="BJ790">
        <f>IF($A790="","",IF(BH790=1,$B790,BJ789))</f>
        <v>0</v>
      </c>
      <c r="BK790">
        <f>IF($A790="","",IF(BH790=1,$C790,MAX($C790,BK789)))</f>
        <v>0</v>
      </c>
      <c r="BL790">
        <f>IF($A790="","",IF(BH790=1,$D790,MIN($D790,BL789)))</f>
        <v>0</v>
      </c>
      <c r="BM790">
        <f>IF($A790="","",IF(BI790=1,F790,""))</f>
        <v>0</v>
      </c>
      <c r="BN790">
        <f>IF($A790="","",DATE(YEAR($A790),MONTH($A790),1))</f>
        <v>0</v>
      </c>
      <c r="BO790">
        <f>IF($A790="","",IF($A789="",1,IF(BN790&lt;&gt;BN789,1,0)))</f>
        <v>0</v>
      </c>
      <c r="BP790">
        <f>IF($A790="","",IF($A791="",1,IF(BN791&lt;&gt;BN790,1,0)))</f>
        <v>0</v>
      </c>
      <c r="BQ790">
        <f>IF($A790="","",IF(BO790=1,$B790,BQ789))</f>
        <v>0</v>
      </c>
      <c r="BR790">
        <f>IF($A790="","",IF(BO790=1,$C790,MAX($C790,BR789)))</f>
        <v>0</v>
      </c>
      <c r="BS790">
        <f>IF($A790="","",IF(BO790=1,$D790,MIN($D790,BS789)))</f>
        <v>0</v>
      </c>
      <c r="BT790">
        <f>IF($A790="","",IF(BP790=1,F790,""))</f>
        <v>0</v>
      </c>
    </row>
    <row r="791" spans="1:72">
      <c r="A791" s="27">
        <f>IF(Data!$A791="","",Data!$A791)</f>
        <v>0</v>
      </c>
      <c r="B791">
        <f>IF(Data!$B791="","",Data!$B791)</f>
        <v>0</v>
      </c>
      <c r="C791">
        <f>IF(Data!$C791="","",Data!$C791)</f>
        <v>0</v>
      </c>
      <c r="D791">
        <f>IF(Data!$D791="","",Data!$D791)</f>
        <v>0</v>
      </c>
      <c r="E791">
        <f>IF(Data!$E791="","",Data!$E791)</f>
        <v>0</v>
      </c>
      <c r="F791">
        <f>IF($E791="","",N(F790)+1)</f>
        <v>0</v>
      </c>
      <c r="G791">
        <f>IF(OR($E791="",$E790=""),"",LN($E791/$E790))</f>
        <v>0</v>
      </c>
      <c r="H791">
        <f>IF($E791="","",IF($E790="",$E791,$E791*0.0952380952+H790*0.9047619048))</f>
        <v>0</v>
      </c>
      <c r="I791">
        <f>IF($E791="","",IF($E790="",$E791,$E791*0.0392156863+I790*0.9607843137))</f>
        <v>0</v>
      </c>
      <c r="J791">
        <f>IF($E791="","",IF($E790="",$E791,$E791*0.0198019802+J790*0.9801980198))</f>
        <v>0</v>
      </c>
      <c r="K791">
        <f>IF($E791="","",IF($E790="",$E791,$E791*0.0099502488+K790*0.9900497512))</f>
        <v>0</v>
      </c>
      <c r="L791">
        <f>IF(OR($E791="",$E790=""),"",MAX($E791-$E790,0))</f>
        <v>0</v>
      </c>
      <c r="M791">
        <f>IF(OR($E791="",$E790=""),"",MAX($E790-$E791,0))</f>
        <v>0</v>
      </c>
      <c r="N791">
        <f>IF(COUNT($E$2:$E791)&lt;15,"",IF(AVERAGE($M$778:$M$791)=0,100,100-100/(1+AVERAGE($L$778:$L$791)/AVERAGE($M$778:$M$791))))</f>
        <v>0</v>
      </c>
      <c r="O791">
        <f>IF($E791="","",IF($E790="",$E791,$E791*0.1538461538+O790*0.8461538462))</f>
        <v>0</v>
      </c>
      <c r="P791">
        <f>IF($E791="","",IF($E790="",$E791,$E791*0.0740740741+P790*0.9259259259))</f>
        <v>0</v>
      </c>
      <c r="Q791">
        <f>IF(OR(O791="",P791=""),"",O791-P791)</f>
        <v>0</v>
      </c>
      <c r="R791">
        <f>IF(Q791="","",IF(R790="",Q791,Q791*0.2000000000+R790*0.8000000000))</f>
        <v>0</v>
      </c>
      <c r="S791">
        <f>IF(OR(Q791="",R791=""),"",Q791-R791)</f>
        <v>0</v>
      </c>
      <c r="T791">
        <f>IF(COUNT($E$2:$E791)&lt;14,"",MAX($C$778:$C$791))</f>
        <v>0</v>
      </c>
      <c r="U791">
        <f>IF(COUNT($E$2:$E791)&lt;14,"",MIN($D$778:$D$791))</f>
        <v>0</v>
      </c>
      <c r="V791">
        <f>IF(OR(T791="",U791="",T791=U791),"",100*($E791-U791)/(T791-U791))</f>
        <v>0</v>
      </c>
      <c r="W791">
        <f>IF(COUNT($V$789:$V$791)&lt;3,"",AVERAGE($V$789:$V$791))</f>
        <v>0</v>
      </c>
      <c r="X791">
        <f>IF(COUNT($N$778:$N$791)&lt;14,"",MIN($N$778:$N$791))</f>
        <v>0</v>
      </c>
      <c r="Y791">
        <f>IF(COUNT($N$778:$N$791)&lt;14,"",MAX($N$778:$N$791))</f>
        <v>0</v>
      </c>
      <c r="Z791">
        <f>IF(OR(N791="",X791="",Y791="",Y791=X791),"",100*(N791-X791)/(Y791-X791))</f>
        <v>0</v>
      </c>
      <c r="AA791">
        <f>IF(COUNT($Z$789:$Z$791)&lt;3,"",AVERAGE($Z$789:$Z$791))</f>
        <v>0</v>
      </c>
      <c r="AB791">
        <f>IF(COUNT($AA$789:$AA$791)&lt;3,"",AVERAGE($AA$789:$AA$791))</f>
        <v>0</v>
      </c>
      <c r="AC791">
        <f>IF($E791="","",MAX($C791-$D791,ABS($C791-$E790),ABS($D791-$E790)))</f>
        <v>0</v>
      </c>
      <c r="AD791">
        <f>IF(COUNT($E$2:$E791)&lt;15,"",AVERAGE($AC$778:$AC$791))</f>
        <v>0</v>
      </c>
      <c r="AE791">
        <f>IF(OR($E791="",$E790=""),"",IF(AND(($C791-$C790)&gt;($D790-$D791),($C791-$C790)&gt;0),$C791-$C790,0))</f>
        <v>0</v>
      </c>
      <c r="AF791">
        <f>IF(OR($E791="",$E790=""),"",IF(AND(($D790-$D791)&gt;($C791-$C790),($D790-$D791)&gt;0),$D790-$D791,0))</f>
        <v>0</v>
      </c>
      <c r="AG791">
        <f>IF(COUNT($E$2:$E791)&lt;15,"",IF(SUM($AC$778:$AC$791)=0,0,100*SUM($AE$778:$AE$791)/SUM($AC$778:$AC$791)))</f>
        <v>0</v>
      </c>
      <c r="AH791">
        <f>IF(COUNT($E$2:$E791)&lt;15,"",IF(SUM($AC$778:$AC$791)=0,0,100*SUM($AF$778:$AF$791)/SUM($AC$778:$AC$791)))</f>
        <v>0</v>
      </c>
      <c r="AI791">
        <f>IF(OR(AG791="",AH791=""),"",IF((AG791+AH791)=0,0,100*ABS(AG791-AH791)/(AG791+AH791)))</f>
        <v>0</v>
      </c>
      <c r="AJ791">
        <f>IF(COUNT($AI$778:$AI$791)&lt;14,"",AVERAGE($AI$778:$AI$791))</f>
        <v>0</v>
      </c>
      <c r="AK791">
        <f>IF(COUNT($E$2:$E791)&lt;20,"",AVERAGE($E$772:$E$791))</f>
        <v>0</v>
      </c>
      <c r="AL791">
        <f>IF(COUNT($E$2:$E791)&lt;20,"",STDEVP($E$772:$E$791))</f>
        <v>0</v>
      </c>
      <c r="AM791">
        <f>IF(AK791="","",AK791+2*AL791)</f>
        <v>0</v>
      </c>
      <c r="AN791">
        <f>IF(AK791="","",AK791-2*AL791)</f>
        <v>0</v>
      </c>
      <c r="AO791">
        <f>IF(OR(AM791="",AN791="",AM791=AN791),"",($E791-AN791)/(AM791-AN791))</f>
        <v>0</v>
      </c>
      <c r="AP791">
        <f>IF(OR(AM791="",AK791="",AK791=0),"",(AM791-AN791)/AK791)</f>
        <v>0</v>
      </c>
      <c r="AQ791">
        <f>IF(COUNT($E$2:$E791)&lt;20,"",MAX($C$772:$C$791))</f>
        <v>0</v>
      </c>
      <c r="AR791">
        <f>IF(COUNT($E$2:$E791)&lt;20,"",MIN($D$772:$D$791))</f>
        <v>0</v>
      </c>
      <c r="AS791">
        <f>IF(OR(AQ791="",AR791=""),"",(AQ791+AR791)/2)</f>
        <v>0</v>
      </c>
      <c r="AT791">
        <f>IF(COUNT($G$772:$G$791)&lt;20,"",STDEV($G$772:$G$791)*SQRT(252))</f>
        <v>0</v>
      </c>
      <c r="AU791">
        <f>IF(COUNT($E$2:$E791)&lt;9,"",(MAX($C$783:$C$791)+MIN($D$783:$D$791))/2)</f>
        <v>0</v>
      </c>
      <c r="AV791">
        <f>IF(COUNT($E$2:$E791)&lt;26,"",(MAX($C$766:$C$791)+MIN($D$766:$D$791))/2)</f>
        <v>0</v>
      </c>
      <c r="AW791">
        <f>IF(OR(AU791="",AV791=""),"",(AU791+AV791)/2)</f>
        <v>0</v>
      </c>
      <c r="AX791">
        <f>IF(COUNT($E$2:$E791)&lt;52,"",(MAX($C$740:$C$791)+MIN($D$740:$D$791))/2)</f>
        <v>0</v>
      </c>
      <c r="AY791">
        <f>IF(COUNT($E$2:$E791)&lt;20,"",MAX($C$692:$C$791))</f>
        <v>0</v>
      </c>
      <c r="AZ791">
        <f>IF(COUNT($E$2:$E791)&lt;20,"",MIN($D$692:$D$791))</f>
        <v>0</v>
      </c>
      <c r="BA791">
        <f>IF(COUNT($E$2:$E791)&lt;20,"",SLOPE($E$692:$E$791,$F$692:$F$791))</f>
        <v>0</v>
      </c>
      <c r="BB791">
        <f>IF(COUNT($E$2:$E791)&lt;20,"",INTERCEPT($E$692:$E$791,$F$692:$F$791))</f>
        <v>0</v>
      </c>
      <c r="BC791">
        <f>IF(OR(BA791="",BB791=""),"",BB791+BA791*F791)</f>
        <v>0</v>
      </c>
      <c r="BD791">
        <f>IF(COUNT($E$2:$E791)&lt;20,"",STEYX($E$692:$E$791,$F$692:$F$791))</f>
        <v>0</v>
      </c>
      <c r="BE791">
        <f>IF($E791="","",IF(AND(COUNT($E$792:$E$795)&gt;=4,$C791=MAX($C$787:$C$795)),$C791,""))</f>
        <v>0</v>
      </c>
      <c r="BF791">
        <f>IF($E791="","",IF(AND(COUNT($E$792:$E$795)&gt;=4,$D791=MIN($D$787:$D$795)),$D791,""))</f>
        <v>0</v>
      </c>
      <c r="BG791">
        <f>IF($A791="","",$A791-WEEKDAY($A791,2)+1)</f>
        <v>0</v>
      </c>
      <c r="BH791">
        <f>IF($A791="","",IF($A790="",1,IF(BG791&lt;&gt;BG790,1,0)))</f>
        <v>0</v>
      </c>
      <c r="BI791">
        <f>IF($A791="","",IF($A792="",1,IF(BG792&lt;&gt;BG791,1,0)))</f>
        <v>0</v>
      </c>
      <c r="BJ791">
        <f>IF($A791="","",IF(BH791=1,$B791,BJ790))</f>
        <v>0</v>
      </c>
      <c r="BK791">
        <f>IF($A791="","",IF(BH791=1,$C791,MAX($C791,BK790)))</f>
        <v>0</v>
      </c>
      <c r="BL791">
        <f>IF($A791="","",IF(BH791=1,$D791,MIN($D791,BL790)))</f>
        <v>0</v>
      </c>
      <c r="BM791">
        <f>IF($A791="","",IF(BI791=1,F791,""))</f>
        <v>0</v>
      </c>
      <c r="BN791">
        <f>IF($A791="","",DATE(YEAR($A791),MONTH($A791),1))</f>
        <v>0</v>
      </c>
      <c r="BO791">
        <f>IF($A791="","",IF($A790="",1,IF(BN791&lt;&gt;BN790,1,0)))</f>
        <v>0</v>
      </c>
      <c r="BP791">
        <f>IF($A791="","",IF($A792="",1,IF(BN792&lt;&gt;BN791,1,0)))</f>
        <v>0</v>
      </c>
      <c r="BQ791">
        <f>IF($A791="","",IF(BO791=1,$B791,BQ790))</f>
        <v>0</v>
      </c>
      <c r="BR791">
        <f>IF($A791="","",IF(BO791=1,$C791,MAX($C791,BR790)))</f>
        <v>0</v>
      </c>
      <c r="BS791">
        <f>IF($A791="","",IF(BO791=1,$D791,MIN($D791,BS790)))</f>
        <v>0</v>
      </c>
      <c r="BT791">
        <f>IF($A791="","",IF(BP791=1,F791,""))</f>
        <v>0</v>
      </c>
    </row>
    <row r="792" spans="1:72">
      <c r="A792" s="27">
        <f>IF(Data!$A792="","",Data!$A792)</f>
        <v>0</v>
      </c>
      <c r="B792">
        <f>IF(Data!$B792="","",Data!$B792)</f>
        <v>0</v>
      </c>
      <c r="C792">
        <f>IF(Data!$C792="","",Data!$C792)</f>
        <v>0</v>
      </c>
      <c r="D792">
        <f>IF(Data!$D792="","",Data!$D792)</f>
        <v>0</v>
      </c>
      <c r="E792">
        <f>IF(Data!$E792="","",Data!$E792)</f>
        <v>0</v>
      </c>
      <c r="F792">
        <f>IF($E792="","",N(F791)+1)</f>
        <v>0</v>
      </c>
      <c r="G792">
        <f>IF(OR($E792="",$E791=""),"",LN($E792/$E791))</f>
        <v>0</v>
      </c>
      <c r="H792">
        <f>IF($E792="","",IF($E791="",$E792,$E792*0.0952380952+H791*0.9047619048))</f>
        <v>0</v>
      </c>
      <c r="I792">
        <f>IF($E792="","",IF($E791="",$E792,$E792*0.0392156863+I791*0.9607843137))</f>
        <v>0</v>
      </c>
      <c r="J792">
        <f>IF($E792="","",IF($E791="",$E792,$E792*0.0198019802+J791*0.9801980198))</f>
        <v>0</v>
      </c>
      <c r="K792">
        <f>IF($E792="","",IF($E791="",$E792,$E792*0.0099502488+K791*0.9900497512))</f>
        <v>0</v>
      </c>
      <c r="L792">
        <f>IF(OR($E792="",$E791=""),"",MAX($E792-$E791,0))</f>
        <v>0</v>
      </c>
      <c r="M792">
        <f>IF(OR($E792="",$E791=""),"",MAX($E791-$E792,0))</f>
        <v>0</v>
      </c>
      <c r="N792">
        <f>IF(COUNT($E$2:$E792)&lt;15,"",IF(AVERAGE($M$779:$M$792)=0,100,100-100/(1+AVERAGE($L$779:$L$792)/AVERAGE($M$779:$M$792))))</f>
        <v>0</v>
      </c>
      <c r="O792">
        <f>IF($E792="","",IF($E791="",$E792,$E792*0.1538461538+O791*0.8461538462))</f>
        <v>0</v>
      </c>
      <c r="P792">
        <f>IF($E792="","",IF($E791="",$E792,$E792*0.0740740741+P791*0.9259259259))</f>
        <v>0</v>
      </c>
      <c r="Q792">
        <f>IF(OR(O792="",P792=""),"",O792-P792)</f>
        <v>0</v>
      </c>
      <c r="R792">
        <f>IF(Q792="","",IF(R791="",Q792,Q792*0.2000000000+R791*0.8000000000))</f>
        <v>0</v>
      </c>
      <c r="S792">
        <f>IF(OR(Q792="",R792=""),"",Q792-R792)</f>
        <v>0</v>
      </c>
      <c r="T792">
        <f>IF(COUNT($E$2:$E792)&lt;14,"",MAX($C$779:$C$792))</f>
        <v>0</v>
      </c>
      <c r="U792">
        <f>IF(COUNT($E$2:$E792)&lt;14,"",MIN($D$779:$D$792))</f>
        <v>0</v>
      </c>
      <c r="V792">
        <f>IF(OR(T792="",U792="",T792=U792),"",100*($E792-U792)/(T792-U792))</f>
        <v>0</v>
      </c>
      <c r="W792">
        <f>IF(COUNT($V$790:$V$792)&lt;3,"",AVERAGE($V$790:$V$792))</f>
        <v>0</v>
      </c>
      <c r="X792">
        <f>IF(COUNT($N$779:$N$792)&lt;14,"",MIN($N$779:$N$792))</f>
        <v>0</v>
      </c>
      <c r="Y792">
        <f>IF(COUNT($N$779:$N$792)&lt;14,"",MAX($N$779:$N$792))</f>
        <v>0</v>
      </c>
      <c r="Z792">
        <f>IF(OR(N792="",X792="",Y792="",Y792=X792),"",100*(N792-X792)/(Y792-X792))</f>
        <v>0</v>
      </c>
      <c r="AA792">
        <f>IF(COUNT($Z$790:$Z$792)&lt;3,"",AVERAGE($Z$790:$Z$792))</f>
        <v>0</v>
      </c>
      <c r="AB792">
        <f>IF(COUNT($AA$790:$AA$792)&lt;3,"",AVERAGE($AA$790:$AA$792))</f>
        <v>0</v>
      </c>
      <c r="AC792">
        <f>IF($E792="","",MAX($C792-$D792,ABS($C792-$E791),ABS($D792-$E791)))</f>
        <v>0</v>
      </c>
      <c r="AD792">
        <f>IF(COUNT($E$2:$E792)&lt;15,"",AVERAGE($AC$779:$AC$792))</f>
        <v>0</v>
      </c>
      <c r="AE792">
        <f>IF(OR($E792="",$E791=""),"",IF(AND(($C792-$C791)&gt;($D791-$D792),($C792-$C791)&gt;0),$C792-$C791,0))</f>
        <v>0</v>
      </c>
      <c r="AF792">
        <f>IF(OR($E792="",$E791=""),"",IF(AND(($D791-$D792)&gt;($C792-$C791),($D791-$D792)&gt;0),$D791-$D792,0))</f>
        <v>0</v>
      </c>
      <c r="AG792">
        <f>IF(COUNT($E$2:$E792)&lt;15,"",IF(SUM($AC$779:$AC$792)=0,0,100*SUM($AE$779:$AE$792)/SUM($AC$779:$AC$792)))</f>
        <v>0</v>
      </c>
      <c r="AH792">
        <f>IF(COUNT($E$2:$E792)&lt;15,"",IF(SUM($AC$779:$AC$792)=0,0,100*SUM($AF$779:$AF$792)/SUM($AC$779:$AC$792)))</f>
        <v>0</v>
      </c>
      <c r="AI792">
        <f>IF(OR(AG792="",AH792=""),"",IF((AG792+AH792)=0,0,100*ABS(AG792-AH792)/(AG792+AH792)))</f>
        <v>0</v>
      </c>
      <c r="AJ792">
        <f>IF(COUNT($AI$779:$AI$792)&lt;14,"",AVERAGE($AI$779:$AI$792))</f>
        <v>0</v>
      </c>
      <c r="AK792">
        <f>IF(COUNT($E$2:$E792)&lt;20,"",AVERAGE($E$773:$E$792))</f>
        <v>0</v>
      </c>
      <c r="AL792">
        <f>IF(COUNT($E$2:$E792)&lt;20,"",STDEVP($E$773:$E$792))</f>
        <v>0</v>
      </c>
      <c r="AM792">
        <f>IF(AK792="","",AK792+2*AL792)</f>
        <v>0</v>
      </c>
      <c r="AN792">
        <f>IF(AK792="","",AK792-2*AL792)</f>
        <v>0</v>
      </c>
      <c r="AO792">
        <f>IF(OR(AM792="",AN792="",AM792=AN792),"",($E792-AN792)/(AM792-AN792))</f>
        <v>0</v>
      </c>
      <c r="AP792">
        <f>IF(OR(AM792="",AK792="",AK792=0),"",(AM792-AN792)/AK792)</f>
        <v>0</v>
      </c>
      <c r="AQ792">
        <f>IF(COUNT($E$2:$E792)&lt;20,"",MAX($C$773:$C$792))</f>
        <v>0</v>
      </c>
      <c r="AR792">
        <f>IF(COUNT($E$2:$E792)&lt;20,"",MIN($D$773:$D$792))</f>
        <v>0</v>
      </c>
      <c r="AS792">
        <f>IF(OR(AQ792="",AR792=""),"",(AQ792+AR792)/2)</f>
        <v>0</v>
      </c>
      <c r="AT792">
        <f>IF(COUNT($G$773:$G$792)&lt;20,"",STDEV($G$773:$G$792)*SQRT(252))</f>
        <v>0</v>
      </c>
      <c r="AU792">
        <f>IF(COUNT($E$2:$E792)&lt;9,"",(MAX($C$784:$C$792)+MIN($D$784:$D$792))/2)</f>
        <v>0</v>
      </c>
      <c r="AV792">
        <f>IF(COUNT($E$2:$E792)&lt;26,"",(MAX($C$767:$C$792)+MIN($D$767:$D$792))/2)</f>
        <v>0</v>
      </c>
      <c r="AW792">
        <f>IF(OR(AU792="",AV792=""),"",(AU792+AV792)/2)</f>
        <v>0</v>
      </c>
      <c r="AX792">
        <f>IF(COUNT($E$2:$E792)&lt;52,"",(MAX($C$741:$C$792)+MIN($D$741:$D$792))/2)</f>
        <v>0</v>
      </c>
      <c r="AY792">
        <f>IF(COUNT($E$2:$E792)&lt;20,"",MAX($C$693:$C$792))</f>
        <v>0</v>
      </c>
      <c r="AZ792">
        <f>IF(COUNT($E$2:$E792)&lt;20,"",MIN($D$693:$D$792))</f>
        <v>0</v>
      </c>
      <c r="BA792">
        <f>IF(COUNT($E$2:$E792)&lt;20,"",SLOPE($E$693:$E$792,$F$693:$F$792))</f>
        <v>0</v>
      </c>
      <c r="BB792">
        <f>IF(COUNT($E$2:$E792)&lt;20,"",INTERCEPT($E$693:$E$792,$F$693:$F$792))</f>
        <v>0</v>
      </c>
      <c r="BC792">
        <f>IF(OR(BA792="",BB792=""),"",BB792+BA792*F792)</f>
        <v>0</v>
      </c>
      <c r="BD792">
        <f>IF(COUNT($E$2:$E792)&lt;20,"",STEYX($E$693:$E$792,$F$693:$F$792))</f>
        <v>0</v>
      </c>
      <c r="BE792">
        <f>IF($E792="","",IF(AND(COUNT($E$793:$E$796)&gt;=4,$C792=MAX($C$788:$C$796)),$C792,""))</f>
        <v>0</v>
      </c>
      <c r="BF792">
        <f>IF($E792="","",IF(AND(COUNT($E$793:$E$796)&gt;=4,$D792=MIN($D$788:$D$796)),$D792,""))</f>
        <v>0</v>
      </c>
      <c r="BG792">
        <f>IF($A792="","",$A792-WEEKDAY($A792,2)+1)</f>
        <v>0</v>
      </c>
      <c r="BH792">
        <f>IF($A792="","",IF($A791="",1,IF(BG792&lt;&gt;BG791,1,0)))</f>
        <v>0</v>
      </c>
      <c r="BI792">
        <f>IF($A792="","",IF($A793="",1,IF(BG793&lt;&gt;BG792,1,0)))</f>
        <v>0</v>
      </c>
      <c r="BJ792">
        <f>IF($A792="","",IF(BH792=1,$B792,BJ791))</f>
        <v>0</v>
      </c>
      <c r="BK792">
        <f>IF($A792="","",IF(BH792=1,$C792,MAX($C792,BK791)))</f>
        <v>0</v>
      </c>
      <c r="BL792">
        <f>IF($A792="","",IF(BH792=1,$D792,MIN($D792,BL791)))</f>
        <v>0</v>
      </c>
      <c r="BM792">
        <f>IF($A792="","",IF(BI792=1,F792,""))</f>
        <v>0</v>
      </c>
      <c r="BN792">
        <f>IF($A792="","",DATE(YEAR($A792),MONTH($A792),1))</f>
        <v>0</v>
      </c>
      <c r="BO792">
        <f>IF($A792="","",IF($A791="",1,IF(BN792&lt;&gt;BN791,1,0)))</f>
        <v>0</v>
      </c>
      <c r="BP792">
        <f>IF($A792="","",IF($A793="",1,IF(BN793&lt;&gt;BN792,1,0)))</f>
        <v>0</v>
      </c>
      <c r="BQ792">
        <f>IF($A792="","",IF(BO792=1,$B792,BQ791))</f>
        <v>0</v>
      </c>
      <c r="BR792">
        <f>IF($A792="","",IF(BO792=1,$C792,MAX($C792,BR791)))</f>
        <v>0</v>
      </c>
      <c r="BS792">
        <f>IF($A792="","",IF(BO792=1,$D792,MIN($D792,BS791)))</f>
        <v>0</v>
      </c>
      <c r="BT792">
        <f>IF($A792="","",IF(BP792=1,F792,""))</f>
        <v>0</v>
      </c>
    </row>
    <row r="793" spans="1:72">
      <c r="A793" s="27">
        <f>IF(Data!$A793="","",Data!$A793)</f>
        <v>0</v>
      </c>
      <c r="B793">
        <f>IF(Data!$B793="","",Data!$B793)</f>
        <v>0</v>
      </c>
      <c r="C793">
        <f>IF(Data!$C793="","",Data!$C793)</f>
        <v>0</v>
      </c>
      <c r="D793">
        <f>IF(Data!$D793="","",Data!$D793)</f>
        <v>0</v>
      </c>
      <c r="E793">
        <f>IF(Data!$E793="","",Data!$E793)</f>
        <v>0</v>
      </c>
      <c r="F793">
        <f>IF($E793="","",N(F792)+1)</f>
        <v>0</v>
      </c>
      <c r="G793">
        <f>IF(OR($E793="",$E792=""),"",LN($E793/$E792))</f>
        <v>0</v>
      </c>
      <c r="H793">
        <f>IF($E793="","",IF($E792="",$E793,$E793*0.0952380952+H792*0.9047619048))</f>
        <v>0</v>
      </c>
      <c r="I793">
        <f>IF($E793="","",IF($E792="",$E793,$E793*0.0392156863+I792*0.9607843137))</f>
        <v>0</v>
      </c>
      <c r="J793">
        <f>IF($E793="","",IF($E792="",$E793,$E793*0.0198019802+J792*0.9801980198))</f>
        <v>0</v>
      </c>
      <c r="K793">
        <f>IF($E793="","",IF($E792="",$E793,$E793*0.0099502488+K792*0.9900497512))</f>
        <v>0</v>
      </c>
      <c r="L793">
        <f>IF(OR($E793="",$E792=""),"",MAX($E793-$E792,0))</f>
        <v>0</v>
      </c>
      <c r="M793">
        <f>IF(OR($E793="",$E792=""),"",MAX($E792-$E793,0))</f>
        <v>0</v>
      </c>
      <c r="N793">
        <f>IF(COUNT($E$2:$E793)&lt;15,"",IF(AVERAGE($M$780:$M$793)=0,100,100-100/(1+AVERAGE($L$780:$L$793)/AVERAGE($M$780:$M$793))))</f>
        <v>0</v>
      </c>
      <c r="O793">
        <f>IF($E793="","",IF($E792="",$E793,$E793*0.1538461538+O792*0.8461538462))</f>
        <v>0</v>
      </c>
      <c r="P793">
        <f>IF($E793="","",IF($E792="",$E793,$E793*0.0740740741+P792*0.9259259259))</f>
        <v>0</v>
      </c>
      <c r="Q793">
        <f>IF(OR(O793="",P793=""),"",O793-P793)</f>
        <v>0</v>
      </c>
      <c r="R793">
        <f>IF(Q793="","",IF(R792="",Q793,Q793*0.2000000000+R792*0.8000000000))</f>
        <v>0</v>
      </c>
      <c r="S793">
        <f>IF(OR(Q793="",R793=""),"",Q793-R793)</f>
        <v>0</v>
      </c>
      <c r="T793">
        <f>IF(COUNT($E$2:$E793)&lt;14,"",MAX($C$780:$C$793))</f>
        <v>0</v>
      </c>
      <c r="U793">
        <f>IF(COUNT($E$2:$E793)&lt;14,"",MIN($D$780:$D$793))</f>
        <v>0</v>
      </c>
      <c r="V793">
        <f>IF(OR(T793="",U793="",T793=U793),"",100*($E793-U793)/(T793-U793))</f>
        <v>0</v>
      </c>
      <c r="W793">
        <f>IF(COUNT($V$791:$V$793)&lt;3,"",AVERAGE($V$791:$V$793))</f>
        <v>0</v>
      </c>
      <c r="X793">
        <f>IF(COUNT($N$780:$N$793)&lt;14,"",MIN($N$780:$N$793))</f>
        <v>0</v>
      </c>
      <c r="Y793">
        <f>IF(COUNT($N$780:$N$793)&lt;14,"",MAX($N$780:$N$793))</f>
        <v>0</v>
      </c>
      <c r="Z793">
        <f>IF(OR(N793="",X793="",Y793="",Y793=X793),"",100*(N793-X793)/(Y793-X793))</f>
        <v>0</v>
      </c>
      <c r="AA793">
        <f>IF(COUNT($Z$791:$Z$793)&lt;3,"",AVERAGE($Z$791:$Z$793))</f>
        <v>0</v>
      </c>
      <c r="AB793">
        <f>IF(COUNT($AA$791:$AA$793)&lt;3,"",AVERAGE($AA$791:$AA$793))</f>
        <v>0</v>
      </c>
      <c r="AC793">
        <f>IF($E793="","",MAX($C793-$D793,ABS($C793-$E792),ABS($D793-$E792)))</f>
        <v>0</v>
      </c>
      <c r="AD793">
        <f>IF(COUNT($E$2:$E793)&lt;15,"",AVERAGE($AC$780:$AC$793))</f>
        <v>0</v>
      </c>
      <c r="AE793">
        <f>IF(OR($E793="",$E792=""),"",IF(AND(($C793-$C792)&gt;($D792-$D793),($C793-$C792)&gt;0),$C793-$C792,0))</f>
        <v>0</v>
      </c>
      <c r="AF793">
        <f>IF(OR($E793="",$E792=""),"",IF(AND(($D792-$D793)&gt;($C793-$C792),($D792-$D793)&gt;0),$D792-$D793,0))</f>
        <v>0</v>
      </c>
      <c r="AG793">
        <f>IF(COUNT($E$2:$E793)&lt;15,"",IF(SUM($AC$780:$AC$793)=0,0,100*SUM($AE$780:$AE$793)/SUM($AC$780:$AC$793)))</f>
        <v>0</v>
      </c>
      <c r="AH793">
        <f>IF(COUNT($E$2:$E793)&lt;15,"",IF(SUM($AC$780:$AC$793)=0,0,100*SUM($AF$780:$AF$793)/SUM($AC$780:$AC$793)))</f>
        <v>0</v>
      </c>
      <c r="AI793">
        <f>IF(OR(AG793="",AH793=""),"",IF((AG793+AH793)=0,0,100*ABS(AG793-AH793)/(AG793+AH793)))</f>
        <v>0</v>
      </c>
      <c r="AJ793">
        <f>IF(COUNT($AI$780:$AI$793)&lt;14,"",AVERAGE($AI$780:$AI$793))</f>
        <v>0</v>
      </c>
      <c r="AK793">
        <f>IF(COUNT($E$2:$E793)&lt;20,"",AVERAGE($E$774:$E$793))</f>
        <v>0</v>
      </c>
      <c r="AL793">
        <f>IF(COUNT($E$2:$E793)&lt;20,"",STDEVP($E$774:$E$793))</f>
        <v>0</v>
      </c>
      <c r="AM793">
        <f>IF(AK793="","",AK793+2*AL793)</f>
        <v>0</v>
      </c>
      <c r="AN793">
        <f>IF(AK793="","",AK793-2*AL793)</f>
        <v>0</v>
      </c>
      <c r="AO793">
        <f>IF(OR(AM793="",AN793="",AM793=AN793),"",($E793-AN793)/(AM793-AN793))</f>
        <v>0</v>
      </c>
      <c r="AP793">
        <f>IF(OR(AM793="",AK793="",AK793=0),"",(AM793-AN793)/AK793)</f>
        <v>0</v>
      </c>
      <c r="AQ793">
        <f>IF(COUNT($E$2:$E793)&lt;20,"",MAX($C$774:$C$793))</f>
        <v>0</v>
      </c>
      <c r="AR793">
        <f>IF(COUNT($E$2:$E793)&lt;20,"",MIN($D$774:$D$793))</f>
        <v>0</v>
      </c>
      <c r="AS793">
        <f>IF(OR(AQ793="",AR793=""),"",(AQ793+AR793)/2)</f>
        <v>0</v>
      </c>
      <c r="AT793">
        <f>IF(COUNT($G$774:$G$793)&lt;20,"",STDEV($G$774:$G$793)*SQRT(252))</f>
        <v>0</v>
      </c>
      <c r="AU793">
        <f>IF(COUNT($E$2:$E793)&lt;9,"",(MAX($C$785:$C$793)+MIN($D$785:$D$793))/2)</f>
        <v>0</v>
      </c>
      <c r="AV793">
        <f>IF(COUNT($E$2:$E793)&lt;26,"",(MAX($C$768:$C$793)+MIN($D$768:$D$793))/2)</f>
        <v>0</v>
      </c>
      <c r="AW793">
        <f>IF(OR(AU793="",AV793=""),"",(AU793+AV793)/2)</f>
        <v>0</v>
      </c>
      <c r="AX793">
        <f>IF(COUNT($E$2:$E793)&lt;52,"",(MAX($C$742:$C$793)+MIN($D$742:$D$793))/2)</f>
        <v>0</v>
      </c>
      <c r="AY793">
        <f>IF(COUNT($E$2:$E793)&lt;20,"",MAX($C$694:$C$793))</f>
        <v>0</v>
      </c>
      <c r="AZ793">
        <f>IF(COUNT($E$2:$E793)&lt;20,"",MIN($D$694:$D$793))</f>
        <v>0</v>
      </c>
      <c r="BA793">
        <f>IF(COUNT($E$2:$E793)&lt;20,"",SLOPE($E$694:$E$793,$F$694:$F$793))</f>
        <v>0</v>
      </c>
      <c r="BB793">
        <f>IF(COUNT($E$2:$E793)&lt;20,"",INTERCEPT($E$694:$E$793,$F$694:$F$793))</f>
        <v>0</v>
      </c>
      <c r="BC793">
        <f>IF(OR(BA793="",BB793=""),"",BB793+BA793*F793)</f>
        <v>0</v>
      </c>
      <c r="BD793">
        <f>IF(COUNT($E$2:$E793)&lt;20,"",STEYX($E$694:$E$793,$F$694:$F$793))</f>
        <v>0</v>
      </c>
      <c r="BE793">
        <f>IF($E793="","",IF(AND(COUNT($E$794:$E$797)&gt;=4,$C793=MAX($C$789:$C$797)),$C793,""))</f>
        <v>0</v>
      </c>
      <c r="BF793">
        <f>IF($E793="","",IF(AND(COUNT($E$794:$E$797)&gt;=4,$D793=MIN($D$789:$D$797)),$D793,""))</f>
        <v>0</v>
      </c>
      <c r="BG793">
        <f>IF($A793="","",$A793-WEEKDAY($A793,2)+1)</f>
        <v>0</v>
      </c>
      <c r="BH793">
        <f>IF($A793="","",IF($A792="",1,IF(BG793&lt;&gt;BG792,1,0)))</f>
        <v>0</v>
      </c>
      <c r="BI793">
        <f>IF($A793="","",IF($A794="",1,IF(BG794&lt;&gt;BG793,1,0)))</f>
        <v>0</v>
      </c>
      <c r="BJ793">
        <f>IF($A793="","",IF(BH793=1,$B793,BJ792))</f>
        <v>0</v>
      </c>
      <c r="BK793">
        <f>IF($A793="","",IF(BH793=1,$C793,MAX($C793,BK792)))</f>
        <v>0</v>
      </c>
      <c r="BL793">
        <f>IF($A793="","",IF(BH793=1,$D793,MIN($D793,BL792)))</f>
        <v>0</v>
      </c>
      <c r="BM793">
        <f>IF($A793="","",IF(BI793=1,F793,""))</f>
        <v>0</v>
      </c>
      <c r="BN793">
        <f>IF($A793="","",DATE(YEAR($A793),MONTH($A793),1))</f>
        <v>0</v>
      </c>
      <c r="BO793">
        <f>IF($A793="","",IF($A792="",1,IF(BN793&lt;&gt;BN792,1,0)))</f>
        <v>0</v>
      </c>
      <c r="BP793">
        <f>IF($A793="","",IF($A794="",1,IF(BN794&lt;&gt;BN793,1,0)))</f>
        <v>0</v>
      </c>
      <c r="BQ793">
        <f>IF($A793="","",IF(BO793=1,$B793,BQ792))</f>
        <v>0</v>
      </c>
      <c r="BR793">
        <f>IF($A793="","",IF(BO793=1,$C793,MAX($C793,BR792)))</f>
        <v>0</v>
      </c>
      <c r="BS793">
        <f>IF($A793="","",IF(BO793=1,$D793,MIN($D793,BS792)))</f>
        <v>0</v>
      </c>
      <c r="BT793">
        <f>IF($A793="","",IF(BP793=1,F793,""))</f>
        <v>0</v>
      </c>
    </row>
    <row r="794" spans="1:72">
      <c r="A794" s="27">
        <f>IF(Data!$A794="","",Data!$A794)</f>
        <v>0</v>
      </c>
      <c r="B794">
        <f>IF(Data!$B794="","",Data!$B794)</f>
        <v>0</v>
      </c>
      <c r="C794">
        <f>IF(Data!$C794="","",Data!$C794)</f>
        <v>0</v>
      </c>
      <c r="D794">
        <f>IF(Data!$D794="","",Data!$D794)</f>
        <v>0</v>
      </c>
      <c r="E794">
        <f>IF(Data!$E794="","",Data!$E794)</f>
        <v>0</v>
      </c>
      <c r="F794">
        <f>IF($E794="","",N(F793)+1)</f>
        <v>0</v>
      </c>
      <c r="G794">
        <f>IF(OR($E794="",$E793=""),"",LN($E794/$E793))</f>
        <v>0</v>
      </c>
      <c r="H794">
        <f>IF($E794="","",IF($E793="",$E794,$E794*0.0952380952+H793*0.9047619048))</f>
        <v>0</v>
      </c>
      <c r="I794">
        <f>IF($E794="","",IF($E793="",$E794,$E794*0.0392156863+I793*0.9607843137))</f>
        <v>0</v>
      </c>
      <c r="J794">
        <f>IF($E794="","",IF($E793="",$E794,$E794*0.0198019802+J793*0.9801980198))</f>
        <v>0</v>
      </c>
      <c r="K794">
        <f>IF($E794="","",IF($E793="",$E794,$E794*0.0099502488+K793*0.9900497512))</f>
        <v>0</v>
      </c>
      <c r="L794">
        <f>IF(OR($E794="",$E793=""),"",MAX($E794-$E793,0))</f>
        <v>0</v>
      </c>
      <c r="M794">
        <f>IF(OR($E794="",$E793=""),"",MAX($E793-$E794,0))</f>
        <v>0</v>
      </c>
      <c r="N794">
        <f>IF(COUNT($E$2:$E794)&lt;15,"",IF(AVERAGE($M$781:$M$794)=0,100,100-100/(1+AVERAGE($L$781:$L$794)/AVERAGE($M$781:$M$794))))</f>
        <v>0</v>
      </c>
      <c r="O794">
        <f>IF($E794="","",IF($E793="",$E794,$E794*0.1538461538+O793*0.8461538462))</f>
        <v>0</v>
      </c>
      <c r="P794">
        <f>IF($E794="","",IF($E793="",$E794,$E794*0.0740740741+P793*0.9259259259))</f>
        <v>0</v>
      </c>
      <c r="Q794">
        <f>IF(OR(O794="",P794=""),"",O794-P794)</f>
        <v>0</v>
      </c>
      <c r="R794">
        <f>IF(Q794="","",IF(R793="",Q794,Q794*0.2000000000+R793*0.8000000000))</f>
        <v>0</v>
      </c>
      <c r="S794">
        <f>IF(OR(Q794="",R794=""),"",Q794-R794)</f>
        <v>0</v>
      </c>
      <c r="T794">
        <f>IF(COUNT($E$2:$E794)&lt;14,"",MAX($C$781:$C$794))</f>
        <v>0</v>
      </c>
      <c r="U794">
        <f>IF(COUNT($E$2:$E794)&lt;14,"",MIN($D$781:$D$794))</f>
        <v>0</v>
      </c>
      <c r="V794">
        <f>IF(OR(T794="",U794="",T794=U794),"",100*($E794-U794)/(T794-U794))</f>
        <v>0</v>
      </c>
      <c r="W794">
        <f>IF(COUNT($V$792:$V$794)&lt;3,"",AVERAGE($V$792:$V$794))</f>
        <v>0</v>
      </c>
      <c r="X794">
        <f>IF(COUNT($N$781:$N$794)&lt;14,"",MIN($N$781:$N$794))</f>
        <v>0</v>
      </c>
      <c r="Y794">
        <f>IF(COUNT($N$781:$N$794)&lt;14,"",MAX($N$781:$N$794))</f>
        <v>0</v>
      </c>
      <c r="Z794">
        <f>IF(OR(N794="",X794="",Y794="",Y794=X794),"",100*(N794-X794)/(Y794-X794))</f>
        <v>0</v>
      </c>
      <c r="AA794">
        <f>IF(COUNT($Z$792:$Z$794)&lt;3,"",AVERAGE($Z$792:$Z$794))</f>
        <v>0</v>
      </c>
      <c r="AB794">
        <f>IF(COUNT($AA$792:$AA$794)&lt;3,"",AVERAGE($AA$792:$AA$794))</f>
        <v>0</v>
      </c>
      <c r="AC794">
        <f>IF($E794="","",MAX($C794-$D794,ABS($C794-$E793),ABS($D794-$E793)))</f>
        <v>0</v>
      </c>
      <c r="AD794">
        <f>IF(COUNT($E$2:$E794)&lt;15,"",AVERAGE($AC$781:$AC$794))</f>
        <v>0</v>
      </c>
      <c r="AE794">
        <f>IF(OR($E794="",$E793=""),"",IF(AND(($C794-$C793)&gt;($D793-$D794),($C794-$C793)&gt;0),$C794-$C793,0))</f>
        <v>0</v>
      </c>
      <c r="AF794">
        <f>IF(OR($E794="",$E793=""),"",IF(AND(($D793-$D794)&gt;($C794-$C793),($D793-$D794)&gt;0),$D793-$D794,0))</f>
        <v>0</v>
      </c>
      <c r="AG794">
        <f>IF(COUNT($E$2:$E794)&lt;15,"",IF(SUM($AC$781:$AC$794)=0,0,100*SUM($AE$781:$AE$794)/SUM($AC$781:$AC$794)))</f>
        <v>0</v>
      </c>
      <c r="AH794">
        <f>IF(COUNT($E$2:$E794)&lt;15,"",IF(SUM($AC$781:$AC$794)=0,0,100*SUM($AF$781:$AF$794)/SUM($AC$781:$AC$794)))</f>
        <v>0</v>
      </c>
      <c r="AI794">
        <f>IF(OR(AG794="",AH794=""),"",IF((AG794+AH794)=0,0,100*ABS(AG794-AH794)/(AG794+AH794)))</f>
        <v>0</v>
      </c>
      <c r="AJ794">
        <f>IF(COUNT($AI$781:$AI$794)&lt;14,"",AVERAGE($AI$781:$AI$794))</f>
        <v>0</v>
      </c>
      <c r="AK794">
        <f>IF(COUNT($E$2:$E794)&lt;20,"",AVERAGE($E$775:$E$794))</f>
        <v>0</v>
      </c>
      <c r="AL794">
        <f>IF(COUNT($E$2:$E794)&lt;20,"",STDEVP($E$775:$E$794))</f>
        <v>0</v>
      </c>
      <c r="AM794">
        <f>IF(AK794="","",AK794+2*AL794)</f>
        <v>0</v>
      </c>
      <c r="AN794">
        <f>IF(AK794="","",AK794-2*AL794)</f>
        <v>0</v>
      </c>
      <c r="AO794">
        <f>IF(OR(AM794="",AN794="",AM794=AN794),"",($E794-AN794)/(AM794-AN794))</f>
        <v>0</v>
      </c>
      <c r="AP794">
        <f>IF(OR(AM794="",AK794="",AK794=0),"",(AM794-AN794)/AK794)</f>
        <v>0</v>
      </c>
      <c r="AQ794">
        <f>IF(COUNT($E$2:$E794)&lt;20,"",MAX($C$775:$C$794))</f>
        <v>0</v>
      </c>
      <c r="AR794">
        <f>IF(COUNT($E$2:$E794)&lt;20,"",MIN($D$775:$D$794))</f>
        <v>0</v>
      </c>
      <c r="AS794">
        <f>IF(OR(AQ794="",AR794=""),"",(AQ794+AR794)/2)</f>
        <v>0</v>
      </c>
      <c r="AT794">
        <f>IF(COUNT($G$775:$G$794)&lt;20,"",STDEV($G$775:$G$794)*SQRT(252))</f>
        <v>0</v>
      </c>
      <c r="AU794">
        <f>IF(COUNT($E$2:$E794)&lt;9,"",(MAX($C$786:$C$794)+MIN($D$786:$D$794))/2)</f>
        <v>0</v>
      </c>
      <c r="AV794">
        <f>IF(COUNT($E$2:$E794)&lt;26,"",(MAX($C$769:$C$794)+MIN($D$769:$D$794))/2)</f>
        <v>0</v>
      </c>
      <c r="AW794">
        <f>IF(OR(AU794="",AV794=""),"",(AU794+AV794)/2)</f>
        <v>0</v>
      </c>
      <c r="AX794">
        <f>IF(COUNT($E$2:$E794)&lt;52,"",(MAX($C$743:$C$794)+MIN($D$743:$D$794))/2)</f>
        <v>0</v>
      </c>
      <c r="AY794">
        <f>IF(COUNT($E$2:$E794)&lt;20,"",MAX($C$695:$C$794))</f>
        <v>0</v>
      </c>
      <c r="AZ794">
        <f>IF(COUNT($E$2:$E794)&lt;20,"",MIN($D$695:$D$794))</f>
        <v>0</v>
      </c>
      <c r="BA794">
        <f>IF(COUNT($E$2:$E794)&lt;20,"",SLOPE($E$695:$E$794,$F$695:$F$794))</f>
        <v>0</v>
      </c>
      <c r="BB794">
        <f>IF(COUNT($E$2:$E794)&lt;20,"",INTERCEPT($E$695:$E$794,$F$695:$F$794))</f>
        <v>0</v>
      </c>
      <c r="BC794">
        <f>IF(OR(BA794="",BB794=""),"",BB794+BA794*F794)</f>
        <v>0</v>
      </c>
      <c r="BD794">
        <f>IF(COUNT($E$2:$E794)&lt;20,"",STEYX($E$695:$E$794,$F$695:$F$794))</f>
        <v>0</v>
      </c>
      <c r="BE794">
        <f>IF($E794="","",IF(AND(COUNT($E$795:$E$798)&gt;=4,$C794=MAX($C$790:$C$798)),$C794,""))</f>
        <v>0</v>
      </c>
      <c r="BF794">
        <f>IF($E794="","",IF(AND(COUNT($E$795:$E$798)&gt;=4,$D794=MIN($D$790:$D$798)),$D794,""))</f>
        <v>0</v>
      </c>
      <c r="BG794">
        <f>IF($A794="","",$A794-WEEKDAY($A794,2)+1)</f>
        <v>0</v>
      </c>
      <c r="BH794">
        <f>IF($A794="","",IF($A793="",1,IF(BG794&lt;&gt;BG793,1,0)))</f>
        <v>0</v>
      </c>
      <c r="BI794">
        <f>IF($A794="","",IF($A795="",1,IF(BG795&lt;&gt;BG794,1,0)))</f>
        <v>0</v>
      </c>
      <c r="BJ794">
        <f>IF($A794="","",IF(BH794=1,$B794,BJ793))</f>
        <v>0</v>
      </c>
      <c r="BK794">
        <f>IF($A794="","",IF(BH794=1,$C794,MAX($C794,BK793)))</f>
        <v>0</v>
      </c>
      <c r="BL794">
        <f>IF($A794="","",IF(BH794=1,$D794,MIN($D794,BL793)))</f>
        <v>0</v>
      </c>
      <c r="BM794">
        <f>IF($A794="","",IF(BI794=1,F794,""))</f>
        <v>0</v>
      </c>
      <c r="BN794">
        <f>IF($A794="","",DATE(YEAR($A794),MONTH($A794),1))</f>
        <v>0</v>
      </c>
      <c r="BO794">
        <f>IF($A794="","",IF($A793="",1,IF(BN794&lt;&gt;BN793,1,0)))</f>
        <v>0</v>
      </c>
      <c r="BP794">
        <f>IF($A794="","",IF($A795="",1,IF(BN795&lt;&gt;BN794,1,0)))</f>
        <v>0</v>
      </c>
      <c r="BQ794">
        <f>IF($A794="","",IF(BO794=1,$B794,BQ793))</f>
        <v>0</v>
      </c>
      <c r="BR794">
        <f>IF($A794="","",IF(BO794=1,$C794,MAX($C794,BR793)))</f>
        <v>0</v>
      </c>
      <c r="BS794">
        <f>IF($A794="","",IF(BO794=1,$D794,MIN($D794,BS793)))</f>
        <v>0</v>
      </c>
      <c r="BT794">
        <f>IF($A794="","",IF(BP794=1,F794,""))</f>
        <v>0</v>
      </c>
    </row>
    <row r="795" spans="1:72">
      <c r="A795" s="27">
        <f>IF(Data!$A795="","",Data!$A795)</f>
        <v>0</v>
      </c>
      <c r="B795">
        <f>IF(Data!$B795="","",Data!$B795)</f>
        <v>0</v>
      </c>
      <c r="C795">
        <f>IF(Data!$C795="","",Data!$C795)</f>
        <v>0</v>
      </c>
      <c r="D795">
        <f>IF(Data!$D795="","",Data!$D795)</f>
        <v>0</v>
      </c>
      <c r="E795">
        <f>IF(Data!$E795="","",Data!$E795)</f>
        <v>0</v>
      </c>
      <c r="F795">
        <f>IF($E795="","",N(F794)+1)</f>
        <v>0</v>
      </c>
      <c r="G795">
        <f>IF(OR($E795="",$E794=""),"",LN($E795/$E794))</f>
        <v>0</v>
      </c>
      <c r="H795">
        <f>IF($E795="","",IF($E794="",$E795,$E795*0.0952380952+H794*0.9047619048))</f>
        <v>0</v>
      </c>
      <c r="I795">
        <f>IF($E795="","",IF($E794="",$E795,$E795*0.0392156863+I794*0.9607843137))</f>
        <v>0</v>
      </c>
      <c r="J795">
        <f>IF($E795="","",IF($E794="",$E795,$E795*0.0198019802+J794*0.9801980198))</f>
        <v>0</v>
      </c>
      <c r="K795">
        <f>IF($E795="","",IF($E794="",$E795,$E795*0.0099502488+K794*0.9900497512))</f>
        <v>0</v>
      </c>
      <c r="L795">
        <f>IF(OR($E795="",$E794=""),"",MAX($E795-$E794,0))</f>
        <v>0</v>
      </c>
      <c r="M795">
        <f>IF(OR($E795="",$E794=""),"",MAX($E794-$E795,0))</f>
        <v>0</v>
      </c>
      <c r="N795">
        <f>IF(COUNT($E$2:$E795)&lt;15,"",IF(AVERAGE($M$782:$M$795)=0,100,100-100/(1+AVERAGE($L$782:$L$795)/AVERAGE($M$782:$M$795))))</f>
        <v>0</v>
      </c>
      <c r="O795">
        <f>IF($E795="","",IF($E794="",$E795,$E795*0.1538461538+O794*0.8461538462))</f>
        <v>0</v>
      </c>
      <c r="P795">
        <f>IF($E795="","",IF($E794="",$E795,$E795*0.0740740741+P794*0.9259259259))</f>
        <v>0</v>
      </c>
      <c r="Q795">
        <f>IF(OR(O795="",P795=""),"",O795-P795)</f>
        <v>0</v>
      </c>
      <c r="R795">
        <f>IF(Q795="","",IF(R794="",Q795,Q795*0.2000000000+R794*0.8000000000))</f>
        <v>0</v>
      </c>
      <c r="S795">
        <f>IF(OR(Q795="",R795=""),"",Q795-R795)</f>
        <v>0</v>
      </c>
      <c r="T795">
        <f>IF(COUNT($E$2:$E795)&lt;14,"",MAX($C$782:$C$795))</f>
        <v>0</v>
      </c>
      <c r="U795">
        <f>IF(COUNT($E$2:$E795)&lt;14,"",MIN($D$782:$D$795))</f>
        <v>0</v>
      </c>
      <c r="V795">
        <f>IF(OR(T795="",U795="",T795=U795),"",100*($E795-U795)/(T795-U795))</f>
        <v>0</v>
      </c>
      <c r="W795">
        <f>IF(COUNT($V$793:$V$795)&lt;3,"",AVERAGE($V$793:$V$795))</f>
        <v>0</v>
      </c>
      <c r="X795">
        <f>IF(COUNT($N$782:$N$795)&lt;14,"",MIN($N$782:$N$795))</f>
        <v>0</v>
      </c>
      <c r="Y795">
        <f>IF(COUNT($N$782:$N$795)&lt;14,"",MAX($N$782:$N$795))</f>
        <v>0</v>
      </c>
      <c r="Z795">
        <f>IF(OR(N795="",X795="",Y795="",Y795=X795),"",100*(N795-X795)/(Y795-X795))</f>
        <v>0</v>
      </c>
      <c r="AA795">
        <f>IF(COUNT($Z$793:$Z$795)&lt;3,"",AVERAGE($Z$793:$Z$795))</f>
        <v>0</v>
      </c>
      <c r="AB795">
        <f>IF(COUNT($AA$793:$AA$795)&lt;3,"",AVERAGE($AA$793:$AA$795))</f>
        <v>0</v>
      </c>
      <c r="AC795">
        <f>IF($E795="","",MAX($C795-$D795,ABS($C795-$E794),ABS($D795-$E794)))</f>
        <v>0</v>
      </c>
      <c r="AD795">
        <f>IF(COUNT($E$2:$E795)&lt;15,"",AVERAGE($AC$782:$AC$795))</f>
        <v>0</v>
      </c>
      <c r="AE795">
        <f>IF(OR($E795="",$E794=""),"",IF(AND(($C795-$C794)&gt;($D794-$D795),($C795-$C794)&gt;0),$C795-$C794,0))</f>
        <v>0</v>
      </c>
      <c r="AF795">
        <f>IF(OR($E795="",$E794=""),"",IF(AND(($D794-$D795)&gt;($C795-$C794),($D794-$D795)&gt;0),$D794-$D795,0))</f>
        <v>0</v>
      </c>
      <c r="AG795">
        <f>IF(COUNT($E$2:$E795)&lt;15,"",IF(SUM($AC$782:$AC$795)=0,0,100*SUM($AE$782:$AE$795)/SUM($AC$782:$AC$795)))</f>
        <v>0</v>
      </c>
      <c r="AH795">
        <f>IF(COUNT($E$2:$E795)&lt;15,"",IF(SUM($AC$782:$AC$795)=0,0,100*SUM($AF$782:$AF$795)/SUM($AC$782:$AC$795)))</f>
        <v>0</v>
      </c>
      <c r="AI795">
        <f>IF(OR(AG795="",AH795=""),"",IF((AG795+AH795)=0,0,100*ABS(AG795-AH795)/(AG795+AH795)))</f>
        <v>0</v>
      </c>
      <c r="AJ795">
        <f>IF(COUNT($AI$782:$AI$795)&lt;14,"",AVERAGE($AI$782:$AI$795))</f>
        <v>0</v>
      </c>
      <c r="AK795">
        <f>IF(COUNT($E$2:$E795)&lt;20,"",AVERAGE($E$776:$E$795))</f>
        <v>0</v>
      </c>
      <c r="AL795">
        <f>IF(COUNT($E$2:$E795)&lt;20,"",STDEVP($E$776:$E$795))</f>
        <v>0</v>
      </c>
      <c r="AM795">
        <f>IF(AK795="","",AK795+2*AL795)</f>
        <v>0</v>
      </c>
      <c r="AN795">
        <f>IF(AK795="","",AK795-2*AL795)</f>
        <v>0</v>
      </c>
      <c r="AO795">
        <f>IF(OR(AM795="",AN795="",AM795=AN795),"",($E795-AN795)/(AM795-AN795))</f>
        <v>0</v>
      </c>
      <c r="AP795">
        <f>IF(OR(AM795="",AK795="",AK795=0),"",(AM795-AN795)/AK795)</f>
        <v>0</v>
      </c>
      <c r="AQ795">
        <f>IF(COUNT($E$2:$E795)&lt;20,"",MAX($C$776:$C$795))</f>
        <v>0</v>
      </c>
      <c r="AR795">
        <f>IF(COUNT($E$2:$E795)&lt;20,"",MIN($D$776:$D$795))</f>
        <v>0</v>
      </c>
      <c r="AS795">
        <f>IF(OR(AQ795="",AR795=""),"",(AQ795+AR795)/2)</f>
        <v>0</v>
      </c>
      <c r="AT795">
        <f>IF(COUNT($G$776:$G$795)&lt;20,"",STDEV($G$776:$G$795)*SQRT(252))</f>
        <v>0</v>
      </c>
      <c r="AU795">
        <f>IF(COUNT($E$2:$E795)&lt;9,"",(MAX($C$787:$C$795)+MIN($D$787:$D$795))/2)</f>
        <v>0</v>
      </c>
      <c r="AV795">
        <f>IF(COUNT($E$2:$E795)&lt;26,"",(MAX($C$770:$C$795)+MIN($D$770:$D$795))/2)</f>
        <v>0</v>
      </c>
      <c r="AW795">
        <f>IF(OR(AU795="",AV795=""),"",(AU795+AV795)/2)</f>
        <v>0</v>
      </c>
      <c r="AX795">
        <f>IF(COUNT($E$2:$E795)&lt;52,"",(MAX($C$744:$C$795)+MIN($D$744:$D$795))/2)</f>
        <v>0</v>
      </c>
      <c r="AY795">
        <f>IF(COUNT($E$2:$E795)&lt;20,"",MAX($C$696:$C$795))</f>
        <v>0</v>
      </c>
      <c r="AZ795">
        <f>IF(COUNT($E$2:$E795)&lt;20,"",MIN($D$696:$D$795))</f>
        <v>0</v>
      </c>
      <c r="BA795">
        <f>IF(COUNT($E$2:$E795)&lt;20,"",SLOPE($E$696:$E$795,$F$696:$F$795))</f>
        <v>0</v>
      </c>
      <c r="BB795">
        <f>IF(COUNT($E$2:$E795)&lt;20,"",INTERCEPT($E$696:$E$795,$F$696:$F$795))</f>
        <v>0</v>
      </c>
      <c r="BC795">
        <f>IF(OR(BA795="",BB795=""),"",BB795+BA795*F795)</f>
        <v>0</v>
      </c>
      <c r="BD795">
        <f>IF(COUNT($E$2:$E795)&lt;20,"",STEYX($E$696:$E$795,$F$696:$F$795))</f>
        <v>0</v>
      </c>
      <c r="BE795">
        <f>IF($E795="","",IF(AND(COUNT($E$796:$E$799)&gt;=4,$C795=MAX($C$791:$C$799)),$C795,""))</f>
        <v>0</v>
      </c>
      <c r="BF795">
        <f>IF($E795="","",IF(AND(COUNT($E$796:$E$799)&gt;=4,$D795=MIN($D$791:$D$799)),$D795,""))</f>
        <v>0</v>
      </c>
      <c r="BG795">
        <f>IF($A795="","",$A795-WEEKDAY($A795,2)+1)</f>
        <v>0</v>
      </c>
      <c r="BH795">
        <f>IF($A795="","",IF($A794="",1,IF(BG795&lt;&gt;BG794,1,0)))</f>
        <v>0</v>
      </c>
      <c r="BI795">
        <f>IF($A795="","",IF($A796="",1,IF(BG796&lt;&gt;BG795,1,0)))</f>
        <v>0</v>
      </c>
      <c r="BJ795">
        <f>IF($A795="","",IF(BH795=1,$B795,BJ794))</f>
        <v>0</v>
      </c>
      <c r="BK795">
        <f>IF($A795="","",IF(BH795=1,$C795,MAX($C795,BK794)))</f>
        <v>0</v>
      </c>
      <c r="BL795">
        <f>IF($A795="","",IF(BH795=1,$D795,MIN($D795,BL794)))</f>
        <v>0</v>
      </c>
      <c r="BM795">
        <f>IF($A795="","",IF(BI795=1,F795,""))</f>
        <v>0</v>
      </c>
      <c r="BN795">
        <f>IF($A795="","",DATE(YEAR($A795),MONTH($A795),1))</f>
        <v>0</v>
      </c>
      <c r="BO795">
        <f>IF($A795="","",IF($A794="",1,IF(BN795&lt;&gt;BN794,1,0)))</f>
        <v>0</v>
      </c>
      <c r="BP795">
        <f>IF($A795="","",IF($A796="",1,IF(BN796&lt;&gt;BN795,1,0)))</f>
        <v>0</v>
      </c>
      <c r="BQ795">
        <f>IF($A795="","",IF(BO795=1,$B795,BQ794))</f>
        <v>0</v>
      </c>
      <c r="BR795">
        <f>IF($A795="","",IF(BO795=1,$C795,MAX($C795,BR794)))</f>
        <v>0</v>
      </c>
      <c r="BS795">
        <f>IF($A795="","",IF(BO795=1,$D795,MIN($D795,BS794)))</f>
        <v>0</v>
      </c>
      <c r="BT795">
        <f>IF($A795="","",IF(BP795=1,F795,""))</f>
        <v>0</v>
      </c>
    </row>
    <row r="796" spans="1:72">
      <c r="A796" s="27">
        <f>IF(Data!$A796="","",Data!$A796)</f>
        <v>0</v>
      </c>
      <c r="B796">
        <f>IF(Data!$B796="","",Data!$B796)</f>
        <v>0</v>
      </c>
      <c r="C796">
        <f>IF(Data!$C796="","",Data!$C796)</f>
        <v>0</v>
      </c>
      <c r="D796">
        <f>IF(Data!$D796="","",Data!$D796)</f>
        <v>0</v>
      </c>
      <c r="E796">
        <f>IF(Data!$E796="","",Data!$E796)</f>
        <v>0</v>
      </c>
      <c r="F796">
        <f>IF($E796="","",N(F795)+1)</f>
        <v>0</v>
      </c>
      <c r="G796">
        <f>IF(OR($E796="",$E795=""),"",LN($E796/$E795))</f>
        <v>0</v>
      </c>
      <c r="H796">
        <f>IF($E796="","",IF($E795="",$E796,$E796*0.0952380952+H795*0.9047619048))</f>
        <v>0</v>
      </c>
      <c r="I796">
        <f>IF($E796="","",IF($E795="",$E796,$E796*0.0392156863+I795*0.9607843137))</f>
        <v>0</v>
      </c>
      <c r="J796">
        <f>IF($E796="","",IF($E795="",$E796,$E796*0.0198019802+J795*0.9801980198))</f>
        <v>0</v>
      </c>
      <c r="K796">
        <f>IF($E796="","",IF($E795="",$E796,$E796*0.0099502488+K795*0.9900497512))</f>
        <v>0</v>
      </c>
      <c r="L796">
        <f>IF(OR($E796="",$E795=""),"",MAX($E796-$E795,0))</f>
        <v>0</v>
      </c>
      <c r="M796">
        <f>IF(OR($E796="",$E795=""),"",MAX($E795-$E796,0))</f>
        <v>0</v>
      </c>
      <c r="N796">
        <f>IF(COUNT($E$2:$E796)&lt;15,"",IF(AVERAGE($M$783:$M$796)=0,100,100-100/(1+AVERAGE($L$783:$L$796)/AVERAGE($M$783:$M$796))))</f>
        <v>0</v>
      </c>
      <c r="O796">
        <f>IF($E796="","",IF($E795="",$E796,$E796*0.1538461538+O795*0.8461538462))</f>
        <v>0</v>
      </c>
      <c r="P796">
        <f>IF($E796="","",IF($E795="",$E796,$E796*0.0740740741+P795*0.9259259259))</f>
        <v>0</v>
      </c>
      <c r="Q796">
        <f>IF(OR(O796="",P796=""),"",O796-P796)</f>
        <v>0</v>
      </c>
      <c r="R796">
        <f>IF(Q796="","",IF(R795="",Q796,Q796*0.2000000000+R795*0.8000000000))</f>
        <v>0</v>
      </c>
      <c r="S796">
        <f>IF(OR(Q796="",R796=""),"",Q796-R796)</f>
        <v>0</v>
      </c>
      <c r="T796">
        <f>IF(COUNT($E$2:$E796)&lt;14,"",MAX($C$783:$C$796))</f>
        <v>0</v>
      </c>
      <c r="U796">
        <f>IF(COUNT($E$2:$E796)&lt;14,"",MIN($D$783:$D$796))</f>
        <v>0</v>
      </c>
      <c r="V796">
        <f>IF(OR(T796="",U796="",T796=U796),"",100*($E796-U796)/(T796-U796))</f>
        <v>0</v>
      </c>
      <c r="W796">
        <f>IF(COUNT($V$794:$V$796)&lt;3,"",AVERAGE($V$794:$V$796))</f>
        <v>0</v>
      </c>
      <c r="X796">
        <f>IF(COUNT($N$783:$N$796)&lt;14,"",MIN($N$783:$N$796))</f>
        <v>0</v>
      </c>
      <c r="Y796">
        <f>IF(COUNT($N$783:$N$796)&lt;14,"",MAX($N$783:$N$796))</f>
        <v>0</v>
      </c>
      <c r="Z796">
        <f>IF(OR(N796="",X796="",Y796="",Y796=X796),"",100*(N796-X796)/(Y796-X796))</f>
        <v>0</v>
      </c>
      <c r="AA796">
        <f>IF(COUNT($Z$794:$Z$796)&lt;3,"",AVERAGE($Z$794:$Z$796))</f>
        <v>0</v>
      </c>
      <c r="AB796">
        <f>IF(COUNT($AA$794:$AA$796)&lt;3,"",AVERAGE($AA$794:$AA$796))</f>
        <v>0</v>
      </c>
      <c r="AC796">
        <f>IF($E796="","",MAX($C796-$D796,ABS($C796-$E795),ABS($D796-$E795)))</f>
        <v>0</v>
      </c>
      <c r="AD796">
        <f>IF(COUNT($E$2:$E796)&lt;15,"",AVERAGE($AC$783:$AC$796))</f>
        <v>0</v>
      </c>
      <c r="AE796">
        <f>IF(OR($E796="",$E795=""),"",IF(AND(($C796-$C795)&gt;($D795-$D796),($C796-$C795)&gt;0),$C796-$C795,0))</f>
        <v>0</v>
      </c>
      <c r="AF796">
        <f>IF(OR($E796="",$E795=""),"",IF(AND(($D795-$D796)&gt;($C796-$C795),($D795-$D796)&gt;0),$D795-$D796,0))</f>
        <v>0</v>
      </c>
      <c r="AG796">
        <f>IF(COUNT($E$2:$E796)&lt;15,"",IF(SUM($AC$783:$AC$796)=0,0,100*SUM($AE$783:$AE$796)/SUM($AC$783:$AC$796)))</f>
        <v>0</v>
      </c>
      <c r="AH796">
        <f>IF(COUNT($E$2:$E796)&lt;15,"",IF(SUM($AC$783:$AC$796)=0,0,100*SUM($AF$783:$AF$796)/SUM($AC$783:$AC$796)))</f>
        <v>0</v>
      </c>
      <c r="AI796">
        <f>IF(OR(AG796="",AH796=""),"",IF((AG796+AH796)=0,0,100*ABS(AG796-AH796)/(AG796+AH796)))</f>
        <v>0</v>
      </c>
      <c r="AJ796">
        <f>IF(COUNT($AI$783:$AI$796)&lt;14,"",AVERAGE($AI$783:$AI$796))</f>
        <v>0</v>
      </c>
      <c r="AK796">
        <f>IF(COUNT($E$2:$E796)&lt;20,"",AVERAGE($E$777:$E$796))</f>
        <v>0</v>
      </c>
      <c r="AL796">
        <f>IF(COUNT($E$2:$E796)&lt;20,"",STDEVP($E$777:$E$796))</f>
        <v>0</v>
      </c>
      <c r="AM796">
        <f>IF(AK796="","",AK796+2*AL796)</f>
        <v>0</v>
      </c>
      <c r="AN796">
        <f>IF(AK796="","",AK796-2*AL796)</f>
        <v>0</v>
      </c>
      <c r="AO796">
        <f>IF(OR(AM796="",AN796="",AM796=AN796),"",($E796-AN796)/(AM796-AN796))</f>
        <v>0</v>
      </c>
      <c r="AP796">
        <f>IF(OR(AM796="",AK796="",AK796=0),"",(AM796-AN796)/AK796)</f>
        <v>0</v>
      </c>
      <c r="AQ796">
        <f>IF(COUNT($E$2:$E796)&lt;20,"",MAX($C$777:$C$796))</f>
        <v>0</v>
      </c>
      <c r="AR796">
        <f>IF(COUNT($E$2:$E796)&lt;20,"",MIN($D$777:$D$796))</f>
        <v>0</v>
      </c>
      <c r="AS796">
        <f>IF(OR(AQ796="",AR796=""),"",(AQ796+AR796)/2)</f>
        <v>0</v>
      </c>
      <c r="AT796">
        <f>IF(COUNT($G$777:$G$796)&lt;20,"",STDEV($G$777:$G$796)*SQRT(252))</f>
        <v>0</v>
      </c>
      <c r="AU796">
        <f>IF(COUNT($E$2:$E796)&lt;9,"",(MAX($C$788:$C$796)+MIN($D$788:$D$796))/2)</f>
        <v>0</v>
      </c>
      <c r="AV796">
        <f>IF(COUNT($E$2:$E796)&lt;26,"",(MAX($C$771:$C$796)+MIN($D$771:$D$796))/2)</f>
        <v>0</v>
      </c>
      <c r="AW796">
        <f>IF(OR(AU796="",AV796=""),"",(AU796+AV796)/2)</f>
        <v>0</v>
      </c>
      <c r="AX796">
        <f>IF(COUNT($E$2:$E796)&lt;52,"",(MAX($C$745:$C$796)+MIN($D$745:$D$796))/2)</f>
        <v>0</v>
      </c>
      <c r="AY796">
        <f>IF(COUNT($E$2:$E796)&lt;20,"",MAX($C$697:$C$796))</f>
        <v>0</v>
      </c>
      <c r="AZ796">
        <f>IF(COUNT($E$2:$E796)&lt;20,"",MIN($D$697:$D$796))</f>
        <v>0</v>
      </c>
      <c r="BA796">
        <f>IF(COUNT($E$2:$E796)&lt;20,"",SLOPE($E$697:$E$796,$F$697:$F$796))</f>
        <v>0</v>
      </c>
      <c r="BB796">
        <f>IF(COUNT($E$2:$E796)&lt;20,"",INTERCEPT($E$697:$E$796,$F$697:$F$796))</f>
        <v>0</v>
      </c>
      <c r="BC796">
        <f>IF(OR(BA796="",BB796=""),"",BB796+BA796*F796)</f>
        <v>0</v>
      </c>
      <c r="BD796">
        <f>IF(COUNT($E$2:$E796)&lt;20,"",STEYX($E$697:$E$796,$F$697:$F$796))</f>
        <v>0</v>
      </c>
      <c r="BE796">
        <f>IF($E796="","",IF(AND(COUNT($E$797:$E$800)&gt;=4,$C796=MAX($C$792:$C$800)),$C796,""))</f>
        <v>0</v>
      </c>
      <c r="BF796">
        <f>IF($E796="","",IF(AND(COUNT($E$797:$E$800)&gt;=4,$D796=MIN($D$792:$D$800)),$D796,""))</f>
        <v>0</v>
      </c>
      <c r="BG796">
        <f>IF($A796="","",$A796-WEEKDAY($A796,2)+1)</f>
        <v>0</v>
      </c>
      <c r="BH796">
        <f>IF($A796="","",IF($A795="",1,IF(BG796&lt;&gt;BG795,1,0)))</f>
        <v>0</v>
      </c>
      <c r="BI796">
        <f>IF($A796="","",IF($A797="",1,IF(BG797&lt;&gt;BG796,1,0)))</f>
        <v>0</v>
      </c>
      <c r="BJ796">
        <f>IF($A796="","",IF(BH796=1,$B796,BJ795))</f>
        <v>0</v>
      </c>
      <c r="BK796">
        <f>IF($A796="","",IF(BH796=1,$C796,MAX($C796,BK795)))</f>
        <v>0</v>
      </c>
      <c r="BL796">
        <f>IF($A796="","",IF(BH796=1,$D796,MIN($D796,BL795)))</f>
        <v>0</v>
      </c>
      <c r="BM796">
        <f>IF($A796="","",IF(BI796=1,F796,""))</f>
        <v>0</v>
      </c>
      <c r="BN796">
        <f>IF($A796="","",DATE(YEAR($A796),MONTH($A796),1))</f>
        <v>0</v>
      </c>
      <c r="BO796">
        <f>IF($A796="","",IF($A795="",1,IF(BN796&lt;&gt;BN795,1,0)))</f>
        <v>0</v>
      </c>
      <c r="BP796">
        <f>IF($A796="","",IF($A797="",1,IF(BN797&lt;&gt;BN796,1,0)))</f>
        <v>0</v>
      </c>
      <c r="BQ796">
        <f>IF($A796="","",IF(BO796=1,$B796,BQ795))</f>
        <v>0</v>
      </c>
      <c r="BR796">
        <f>IF($A796="","",IF(BO796=1,$C796,MAX($C796,BR795)))</f>
        <v>0</v>
      </c>
      <c r="BS796">
        <f>IF($A796="","",IF(BO796=1,$D796,MIN($D796,BS795)))</f>
        <v>0</v>
      </c>
      <c r="BT796">
        <f>IF($A796="","",IF(BP796=1,F796,""))</f>
        <v>0</v>
      </c>
    </row>
    <row r="797" spans="1:72">
      <c r="A797" s="27">
        <f>IF(Data!$A797="","",Data!$A797)</f>
        <v>0</v>
      </c>
      <c r="B797">
        <f>IF(Data!$B797="","",Data!$B797)</f>
        <v>0</v>
      </c>
      <c r="C797">
        <f>IF(Data!$C797="","",Data!$C797)</f>
        <v>0</v>
      </c>
      <c r="D797">
        <f>IF(Data!$D797="","",Data!$D797)</f>
        <v>0</v>
      </c>
      <c r="E797">
        <f>IF(Data!$E797="","",Data!$E797)</f>
        <v>0</v>
      </c>
      <c r="F797">
        <f>IF($E797="","",N(F796)+1)</f>
        <v>0</v>
      </c>
      <c r="G797">
        <f>IF(OR($E797="",$E796=""),"",LN($E797/$E796))</f>
        <v>0</v>
      </c>
      <c r="H797">
        <f>IF($E797="","",IF($E796="",$E797,$E797*0.0952380952+H796*0.9047619048))</f>
        <v>0</v>
      </c>
      <c r="I797">
        <f>IF($E797="","",IF($E796="",$E797,$E797*0.0392156863+I796*0.9607843137))</f>
        <v>0</v>
      </c>
      <c r="J797">
        <f>IF($E797="","",IF($E796="",$E797,$E797*0.0198019802+J796*0.9801980198))</f>
        <v>0</v>
      </c>
      <c r="K797">
        <f>IF($E797="","",IF($E796="",$E797,$E797*0.0099502488+K796*0.9900497512))</f>
        <v>0</v>
      </c>
      <c r="L797">
        <f>IF(OR($E797="",$E796=""),"",MAX($E797-$E796,0))</f>
        <v>0</v>
      </c>
      <c r="M797">
        <f>IF(OR($E797="",$E796=""),"",MAX($E796-$E797,0))</f>
        <v>0</v>
      </c>
      <c r="N797">
        <f>IF(COUNT($E$2:$E797)&lt;15,"",IF(AVERAGE($M$784:$M$797)=0,100,100-100/(1+AVERAGE($L$784:$L$797)/AVERAGE($M$784:$M$797))))</f>
        <v>0</v>
      </c>
      <c r="O797">
        <f>IF($E797="","",IF($E796="",$E797,$E797*0.1538461538+O796*0.8461538462))</f>
        <v>0</v>
      </c>
      <c r="P797">
        <f>IF($E797="","",IF($E796="",$E797,$E797*0.0740740741+P796*0.9259259259))</f>
        <v>0</v>
      </c>
      <c r="Q797">
        <f>IF(OR(O797="",P797=""),"",O797-P797)</f>
        <v>0</v>
      </c>
      <c r="R797">
        <f>IF(Q797="","",IF(R796="",Q797,Q797*0.2000000000+R796*0.8000000000))</f>
        <v>0</v>
      </c>
      <c r="S797">
        <f>IF(OR(Q797="",R797=""),"",Q797-R797)</f>
        <v>0</v>
      </c>
      <c r="T797">
        <f>IF(COUNT($E$2:$E797)&lt;14,"",MAX($C$784:$C$797))</f>
        <v>0</v>
      </c>
      <c r="U797">
        <f>IF(COUNT($E$2:$E797)&lt;14,"",MIN($D$784:$D$797))</f>
        <v>0</v>
      </c>
      <c r="V797">
        <f>IF(OR(T797="",U797="",T797=U797),"",100*($E797-U797)/(T797-U797))</f>
        <v>0</v>
      </c>
      <c r="W797">
        <f>IF(COUNT($V$795:$V$797)&lt;3,"",AVERAGE($V$795:$V$797))</f>
        <v>0</v>
      </c>
      <c r="X797">
        <f>IF(COUNT($N$784:$N$797)&lt;14,"",MIN($N$784:$N$797))</f>
        <v>0</v>
      </c>
      <c r="Y797">
        <f>IF(COUNT($N$784:$N$797)&lt;14,"",MAX($N$784:$N$797))</f>
        <v>0</v>
      </c>
      <c r="Z797">
        <f>IF(OR(N797="",X797="",Y797="",Y797=X797),"",100*(N797-X797)/(Y797-X797))</f>
        <v>0</v>
      </c>
      <c r="AA797">
        <f>IF(COUNT($Z$795:$Z$797)&lt;3,"",AVERAGE($Z$795:$Z$797))</f>
        <v>0</v>
      </c>
      <c r="AB797">
        <f>IF(COUNT($AA$795:$AA$797)&lt;3,"",AVERAGE($AA$795:$AA$797))</f>
        <v>0</v>
      </c>
      <c r="AC797">
        <f>IF($E797="","",MAX($C797-$D797,ABS($C797-$E796),ABS($D797-$E796)))</f>
        <v>0</v>
      </c>
      <c r="AD797">
        <f>IF(COUNT($E$2:$E797)&lt;15,"",AVERAGE($AC$784:$AC$797))</f>
        <v>0</v>
      </c>
      <c r="AE797">
        <f>IF(OR($E797="",$E796=""),"",IF(AND(($C797-$C796)&gt;($D796-$D797),($C797-$C796)&gt;0),$C797-$C796,0))</f>
        <v>0</v>
      </c>
      <c r="AF797">
        <f>IF(OR($E797="",$E796=""),"",IF(AND(($D796-$D797)&gt;($C797-$C796),($D796-$D797)&gt;0),$D796-$D797,0))</f>
        <v>0</v>
      </c>
      <c r="AG797">
        <f>IF(COUNT($E$2:$E797)&lt;15,"",IF(SUM($AC$784:$AC$797)=0,0,100*SUM($AE$784:$AE$797)/SUM($AC$784:$AC$797)))</f>
        <v>0</v>
      </c>
      <c r="AH797">
        <f>IF(COUNT($E$2:$E797)&lt;15,"",IF(SUM($AC$784:$AC$797)=0,0,100*SUM($AF$784:$AF$797)/SUM($AC$784:$AC$797)))</f>
        <v>0</v>
      </c>
      <c r="AI797">
        <f>IF(OR(AG797="",AH797=""),"",IF((AG797+AH797)=0,0,100*ABS(AG797-AH797)/(AG797+AH797)))</f>
        <v>0</v>
      </c>
      <c r="AJ797">
        <f>IF(COUNT($AI$784:$AI$797)&lt;14,"",AVERAGE($AI$784:$AI$797))</f>
        <v>0</v>
      </c>
      <c r="AK797">
        <f>IF(COUNT($E$2:$E797)&lt;20,"",AVERAGE($E$778:$E$797))</f>
        <v>0</v>
      </c>
      <c r="AL797">
        <f>IF(COUNT($E$2:$E797)&lt;20,"",STDEVP($E$778:$E$797))</f>
        <v>0</v>
      </c>
      <c r="AM797">
        <f>IF(AK797="","",AK797+2*AL797)</f>
        <v>0</v>
      </c>
      <c r="AN797">
        <f>IF(AK797="","",AK797-2*AL797)</f>
        <v>0</v>
      </c>
      <c r="AO797">
        <f>IF(OR(AM797="",AN797="",AM797=AN797),"",($E797-AN797)/(AM797-AN797))</f>
        <v>0</v>
      </c>
      <c r="AP797">
        <f>IF(OR(AM797="",AK797="",AK797=0),"",(AM797-AN797)/AK797)</f>
        <v>0</v>
      </c>
      <c r="AQ797">
        <f>IF(COUNT($E$2:$E797)&lt;20,"",MAX($C$778:$C$797))</f>
        <v>0</v>
      </c>
      <c r="AR797">
        <f>IF(COUNT($E$2:$E797)&lt;20,"",MIN($D$778:$D$797))</f>
        <v>0</v>
      </c>
      <c r="AS797">
        <f>IF(OR(AQ797="",AR797=""),"",(AQ797+AR797)/2)</f>
        <v>0</v>
      </c>
      <c r="AT797">
        <f>IF(COUNT($G$778:$G$797)&lt;20,"",STDEV($G$778:$G$797)*SQRT(252))</f>
        <v>0</v>
      </c>
      <c r="AU797">
        <f>IF(COUNT($E$2:$E797)&lt;9,"",(MAX($C$789:$C$797)+MIN($D$789:$D$797))/2)</f>
        <v>0</v>
      </c>
      <c r="AV797">
        <f>IF(COUNT($E$2:$E797)&lt;26,"",(MAX($C$772:$C$797)+MIN($D$772:$D$797))/2)</f>
        <v>0</v>
      </c>
      <c r="AW797">
        <f>IF(OR(AU797="",AV797=""),"",(AU797+AV797)/2)</f>
        <v>0</v>
      </c>
      <c r="AX797">
        <f>IF(COUNT($E$2:$E797)&lt;52,"",(MAX($C$746:$C$797)+MIN($D$746:$D$797))/2)</f>
        <v>0</v>
      </c>
      <c r="AY797">
        <f>IF(COUNT($E$2:$E797)&lt;20,"",MAX($C$698:$C$797))</f>
        <v>0</v>
      </c>
      <c r="AZ797">
        <f>IF(COUNT($E$2:$E797)&lt;20,"",MIN($D$698:$D$797))</f>
        <v>0</v>
      </c>
      <c r="BA797">
        <f>IF(COUNT($E$2:$E797)&lt;20,"",SLOPE($E$698:$E$797,$F$698:$F$797))</f>
        <v>0</v>
      </c>
      <c r="BB797">
        <f>IF(COUNT($E$2:$E797)&lt;20,"",INTERCEPT($E$698:$E$797,$F$698:$F$797))</f>
        <v>0</v>
      </c>
      <c r="BC797">
        <f>IF(OR(BA797="",BB797=""),"",BB797+BA797*F797)</f>
        <v>0</v>
      </c>
      <c r="BD797">
        <f>IF(COUNT($E$2:$E797)&lt;20,"",STEYX($E$698:$E$797,$F$698:$F$797))</f>
        <v>0</v>
      </c>
      <c r="BE797">
        <f>IF($E797="","",IF(AND(COUNT($E$798:$E$801)&gt;=4,$C797=MAX($C$793:$C$801)),$C797,""))</f>
        <v>0</v>
      </c>
      <c r="BF797">
        <f>IF($E797="","",IF(AND(COUNT($E$798:$E$801)&gt;=4,$D797=MIN($D$793:$D$801)),$D797,""))</f>
        <v>0</v>
      </c>
      <c r="BG797">
        <f>IF($A797="","",$A797-WEEKDAY($A797,2)+1)</f>
        <v>0</v>
      </c>
      <c r="BH797">
        <f>IF($A797="","",IF($A796="",1,IF(BG797&lt;&gt;BG796,1,0)))</f>
        <v>0</v>
      </c>
      <c r="BI797">
        <f>IF($A797="","",IF($A798="",1,IF(BG798&lt;&gt;BG797,1,0)))</f>
        <v>0</v>
      </c>
      <c r="BJ797">
        <f>IF($A797="","",IF(BH797=1,$B797,BJ796))</f>
        <v>0</v>
      </c>
      <c r="BK797">
        <f>IF($A797="","",IF(BH797=1,$C797,MAX($C797,BK796)))</f>
        <v>0</v>
      </c>
      <c r="BL797">
        <f>IF($A797="","",IF(BH797=1,$D797,MIN($D797,BL796)))</f>
        <v>0</v>
      </c>
      <c r="BM797">
        <f>IF($A797="","",IF(BI797=1,F797,""))</f>
        <v>0</v>
      </c>
      <c r="BN797">
        <f>IF($A797="","",DATE(YEAR($A797),MONTH($A797),1))</f>
        <v>0</v>
      </c>
      <c r="BO797">
        <f>IF($A797="","",IF($A796="",1,IF(BN797&lt;&gt;BN796,1,0)))</f>
        <v>0</v>
      </c>
      <c r="BP797">
        <f>IF($A797="","",IF($A798="",1,IF(BN798&lt;&gt;BN797,1,0)))</f>
        <v>0</v>
      </c>
      <c r="BQ797">
        <f>IF($A797="","",IF(BO797=1,$B797,BQ796))</f>
        <v>0</v>
      </c>
      <c r="BR797">
        <f>IF($A797="","",IF(BO797=1,$C797,MAX($C797,BR796)))</f>
        <v>0</v>
      </c>
      <c r="BS797">
        <f>IF($A797="","",IF(BO797=1,$D797,MIN($D797,BS796)))</f>
        <v>0</v>
      </c>
      <c r="BT797">
        <f>IF($A797="","",IF(BP797=1,F797,""))</f>
        <v>0</v>
      </c>
    </row>
    <row r="798" spans="1:72">
      <c r="A798" s="27">
        <f>IF(Data!$A798="","",Data!$A798)</f>
        <v>0</v>
      </c>
      <c r="B798">
        <f>IF(Data!$B798="","",Data!$B798)</f>
        <v>0</v>
      </c>
      <c r="C798">
        <f>IF(Data!$C798="","",Data!$C798)</f>
        <v>0</v>
      </c>
      <c r="D798">
        <f>IF(Data!$D798="","",Data!$D798)</f>
        <v>0</v>
      </c>
      <c r="E798">
        <f>IF(Data!$E798="","",Data!$E798)</f>
        <v>0</v>
      </c>
      <c r="F798">
        <f>IF($E798="","",N(F797)+1)</f>
        <v>0</v>
      </c>
      <c r="G798">
        <f>IF(OR($E798="",$E797=""),"",LN($E798/$E797))</f>
        <v>0</v>
      </c>
      <c r="H798">
        <f>IF($E798="","",IF($E797="",$E798,$E798*0.0952380952+H797*0.9047619048))</f>
        <v>0</v>
      </c>
      <c r="I798">
        <f>IF($E798="","",IF($E797="",$E798,$E798*0.0392156863+I797*0.9607843137))</f>
        <v>0</v>
      </c>
      <c r="J798">
        <f>IF($E798="","",IF($E797="",$E798,$E798*0.0198019802+J797*0.9801980198))</f>
        <v>0</v>
      </c>
      <c r="K798">
        <f>IF($E798="","",IF($E797="",$E798,$E798*0.0099502488+K797*0.9900497512))</f>
        <v>0</v>
      </c>
      <c r="L798">
        <f>IF(OR($E798="",$E797=""),"",MAX($E798-$E797,0))</f>
        <v>0</v>
      </c>
      <c r="M798">
        <f>IF(OR($E798="",$E797=""),"",MAX($E797-$E798,0))</f>
        <v>0</v>
      </c>
      <c r="N798">
        <f>IF(COUNT($E$2:$E798)&lt;15,"",IF(AVERAGE($M$785:$M$798)=0,100,100-100/(1+AVERAGE($L$785:$L$798)/AVERAGE($M$785:$M$798))))</f>
        <v>0</v>
      </c>
      <c r="O798">
        <f>IF($E798="","",IF($E797="",$E798,$E798*0.1538461538+O797*0.8461538462))</f>
        <v>0</v>
      </c>
      <c r="P798">
        <f>IF($E798="","",IF($E797="",$E798,$E798*0.0740740741+P797*0.9259259259))</f>
        <v>0</v>
      </c>
      <c r="Q798">
        <f>IF(OR(O798="",P798=""),"",O798-P798)</f>
        <v>0</v>
      </c>
      <c r="R798">
        <f>IF(Q798="","",IF(R797="",Q798,Q798*0.2000000000+R797*0.8000000000))</f>
        <v>0</v>
      </c>
      <c r="S798">
        <f>IF(OR(Q798="",R798=""),"",Q798-R798)</f>
        <v>0</v>
      </c>
      <c r="T798">
        <f>IF(COUNT($E$2:$E798)&lt;14,"",MAX($C$785:$C$798))</f>
        <v>0</v>
      </c>
      <c r="U798">
        <f>IF(COUNT($E$2:$E798)&lt;14,"",MIN($D$785:$D$798))</f>
        <v>0</v>
      </c>
      <c r="V798">
        <f>IF(OR(T798="",U798="",T798=U798),"",100*($E798-U798)/(T798-U798))</f>
        <v>0</v>
      </c>
      <c r="W798">
        <f>IF(COUNT($V$796:$V$798)&lt;3,"",AVERAGE($V$796:$V$798))</f>
        <v>0</v>
      </c>
      <c r="X798">
        <f>IF(COUNT($N$785:$N$798)&lt;14,"",MIN($N$785:$N$798))</f>
        <v>0</v>
      </c>
      <c r="Y798">
        <f>IF(COUNT($N$785:$N$798)&lt;14,"",MAX($N$785:$N$798))</f>
        <v>0</v>
      </c>
      <c r="Z798">
        <f>IF(OR(N798="",X798="",Y798="",Y798=X798),"",100*(N798-X798)/(Y798-X798))</f>
        <v>0</v>
      </c>
      <c r="AA798">
        <f>IF(COUNT($Z$796:$Z$798)&lt;3,"",AVERAGE($Z$796:$Z$798))</f>
        <v>0</v>
      </c>
      <c r="AB798">
        <f>IF(COUNT($AA$796:$AA$798)&lt;3,"",AVERAGE($AA$796:$AA$798))</f>
        <v>0</v>
      </c>
      <c r="AC798">
        <f>IF($E798="","",MAX($C798-$D798,ABS($C798-$E797),ABS($D798-$E797)))</f>
        <v>0</v>
      </c>
      <c r="AD798">
        <f>IF(COUNT($E$2:$E798)&lt;15,"",AVERAGE($AC$785:$AC$798))</f>
        <v>0</v>
      </c>
      <c r="AE798">
        <f>IF(OR($E798="",$E797=""),"",IF(AND(($C798-$C797)&gt;($D797-$D798),($C798-$C797)&gt;0),$C798-$C797,0))</f>
        <v>0</v>
      </c>
      <c r="AF798">
        <f>IF(OR($E798="",$E797=""),"",IF(AND(($D797-$D798)&gt;($C798-$C797),($D797-$D798)&gt;0),$D797-$D798,0))</f>
        <v>0</v>
      </c>
      <c r="AG798">
        <f>IF(COUNT($E$2:$E798)&lt;15,"",IF(SUM($AC$785:$AC$798)=0,0,100*SUM($AE$785:$AE$798)/SUM($AC$785:$AC$798)))</f>
        <v>0</v>
      </c>
      <c r="AH798">
        <f>IF(COUNT($E$2:$E798)&lt;15,"",IF(SUM($AC$785:$AC$798)=0,0,100*SUM($AF$785:$AF$798)/SUM($AC$785:$AC$798)))</f>
        <v>0</v>
      </c>
      <c r="AI798">
        <f>IF(OR(AG798="",AH798=""),"",IF((AG798+AH798)=0,0,100*ABS(AG798-AH798)/(AG798+AH798)))</f>
        <v>0</v>
      </c>
      <c r="AJ798">
        <f>IF(COUNT($AI$785:$AI$798)&lt;14,"",AVERAGE($AI$785:$AI$798))</f>
        <v>0</v>
      </c>
      <c r="AK798">
        <f>IF(COUNT($E$2:$E798)&lt;20,"",AVERAGE($E$779:$E$798))</f>
        <v>0</v>
      </c>
      <c r="AL798">
        <f>IF(COUNT($E$2:$E798)&lt;20,"",STDEVP($E$779:$E$798))</f>
        <v>0</v>
      </c>
      <c r="AM798">
        <f>IF(AK798="","",AK798+2*AL798)</f>
        <v>0</v>
      </c>
      <c r="AN798">
        <f>IF(AK798="","",AK798-2*AL798)</f>
        <v>0</v>
      </c>
      <c r="AO798">
        <f>IF(OR(AM798="",AN798="",AM798=AN798),"",($E798-AN798)/(AM798-AN798))</f>
        <v>0</v>
      </c>
      <c r="AP798">
        <f>IF(OR(AM798="",AK798="",AK798=0),"",(AM798-AN798)/AK798)</f>
        <v>0</v>
      </c>
      <c r="AQ798">
        <f>IF(COUNT($E$2:$E798)&lt;20,"",MAX($C$779:$C$798))</f>
        <v>0</v>
      </c>
      <c r="AR798">
        <f>IF(COUNT($E$2:$E798)&lt;20,"",MIN($D$779:$D$798))</f>
        <v>0</v>
      </c>
      <c r="AS798">
        <f>IF(OR(AQ798="",AR798=""),"",(AQ798+AR798)/2)</f>
        <v>0</v>
      </c>
      <c r="AT798">
        <f>IF(COUNT($G$779:$G$798)&lt;20,"",STDEV($G$779:$G$798)*SQRT(252))</f>
        <v>0</v>
      </c>
      <c r="AU798">
        <f>IF(COUNT($E$2:$E798)&lt;9,"",(MAX($C$790:$C$798)+MIN($D$790:$D$798))/2)</f>
        <v>0</v>
      </c>
      <c r="AV798">
        <f>IF(COUNT($E$2:$E798)&lt;26,"",(MAX($C$773:$C$798)+MIN($D$773:$D$798))/2)</f>
        <v>0</v>
      </c>
      <c r="AW798">
        <f>IF(OR(AU798="",AV798=""),"",(AU798+AV798)/2)</f>
        <v>0</v>
      </c>
      <c r="AX798">
        <f>IF(COUNT($E$2:$E798)&lt;52,"",(MAX($C$747:$C$798)+MIN($D$747:$D$798))/2)</f>
        <v>0</v>
      </c>
      <c r="AY798">
        <f>IF(COUNT($E$2:$E798)&lt;20,"",MAX($C$699:$C$798))</f>
        <v>0</v>
      </c>
      <c r="AZ798">
        <f>IF(COUNT($E$2:$E798)&lt;20,"",MIN($D$699:$D$798))</f>
        <v>0</v>
      </c>
      <c r="BA798">
        <f>IF(COUNT($E$2:$E798)&lt;20,"",SLOPE($E$699:$E$798,$F$699:$F$798))</f>
        <v>0</v>
      </c>
      <c r="BB798">
        <f>IF(COUNT($E$2:$E798)&lt;20,"",INTERCEPT($E$699:$E$798,$F$699:$F$798))</f>
        <v>0</v>
      </c>
      <c r="BC798">
        <f>IF(OR(BA798="",BB798=""),"",BB798+BA798*F798)</f>
        <v>0</v>
      </c>
      <c r="BD798">
        <f>IF(COUNT($E$2:$E798)&lt;20,"",STEYX($E$699:$E$798,$F$699:$F$798))</f>
        <v>0</v>
      </c>
      <c r="BE798">
        <f>IF($E798="","",IF(AND(COUNT($E$799:$E$802)&gt;=4,$C798=MAX($C$794:$C$802)),$C798,""))</f>
        <v>0</v>
      </c>
      <c r="BF798">
        <f>IF($E798="","",IF(AND(COUNT($E$799:$E$802)&gt;=4,$D798=MIN($D$794:$D$802)),$D798,""))</f>
        <v>0</v>
      </c>
      <c r="BG798">
        <f>IF($A798="","",$A798-WEEKDAY($A798,2)+1)</f>
        <v>0</v>
      </c>
      <c r="BH798">
        <f>IF($A798="","",IF($A797="",1,IF(BG798&lt;&gt;BG797,1,0)))</f>
        <v>0</v>
      </c>
      <c r="BI798">
        <f>IF($A798="","",IF($A799="",1,IF(BG799&lt;&gt;BG798,1,0)))</f>
        <v>0</v>
      </c>
      <c r="BJ798">
        <f>IF($A798="","",IF(BH798=1,$B798,BJ797))</f>
        <v>0</v>
      </c>
      <c r="BK798">
        <f>IF($A798="","",IF(BH798=1,$C798,MAX($C798,BK797)))</f>
        <v>0</v>
      </c>
      <c r="BL798">
        <f>IF($A798="","",IF(BH798=1,$D798,MIN($D798,BL797)))</f>
        <v>0</v>
      </c>
      <c r="BM798">
        <f>IF($A798="","",IF(BI798=1,F798,""))</f>
        <v>0</v>
      </c>
      <c r="BN798">
        <f>IF($A798="","",DATE(YEAR($A798),MONTH($A798),1))</f>
        <v>0</v>
      </c>
      <c r="BO798">
        <f>IF($A798="","",IF($A797="",1,IF(BN798&lt;&gt;BN797,1,0)))</f>
        <v>0</v>
      </c>
      <c r="BP798">
        <f>IF($A798="","",IF($A799="",1,IF(BN799&lt;&gt;BN798,1,0)))</f>
        <v>0</v>
      </c>
      <c r="BQ798">
        <f>IF($A798="","",IF(BO798=1,$B798,BQ797))</f>
        <v>0</v>
      </c>
      <c r="BR798">
        <f>IF($A798="","",IF(BO798=1,$C798,MAX($C798,BR797)))</f>
        <v>0</v>
      </c>
      <c r="BS798">
        <f>IF($A798="","",IF(BO798=1,$D798,MIN($D798,BS797)))</f>
        <v>0</v>
      </c>
      <c r="BT798">
        <f>IF($A798="","",IF(BP798=1,F798,""))</f>
        <v>0</v>
      </c>
    </row>
    <row r="799" spans="1:72">
      <c r="A799" s="27">
        <f>IF(Data!$A799="","",Data!$A799)</f>
        <v>0</v>
      </c>
      <c r="B799">
        <f>IF(Data!$B799="","",Data!$B799)</f>
        <v>0</v>
      </c>
      <c r="C799">
        <f>IF(Data!$C799="","",Data!$C799)</f>
        <v>0</v>
      </c>
      <c r="D799">
        <f>IF(Data!$D799="","",Data!$D799)</f>
        <v>0</v>
      </c>
      <c r="E799">
        <f>IF(Data!$E799="","",Data!$E799)</f>
        <v>0</v>
      </c>
      <c r="F799">
        <f>IF($E799="","",N(F798)+1)</f>
        <v>0</v>
      </c>
      <c r="G799">
        <f>IF(OR($E799="",$E798=""),"",LN($E799/$E798))</f>
        <v>0</v>
      </c>
      <c r="H799">
        <f>IF($E799="","",IF($E798="",$E799,$E799*0.0952380952+H798*0.9047619048))</f>
        <v>0</v>
      </c>
      <c r="I799">
        <f>IF($E799="","",IF($E798="",$E799,$E799*0.0392156863+I798*0.9607843137))</f>
        <v>0</v>
      </c>
      <c r="J799">
        <f>IF($E799="","",IF($E798="",$E799,$E799*0.0198019802+J798*0.9801980198))</f>
        <v>0</v>
      </c>
      <c r="K799">
        <f>IF($E799="","",IF($E798="",$E799,$E799*0.0099502488+K798*0.9900497512))</f>
        <v>0</v>
      </c>
      <c r="L799">
        <f>IF(OR($E799="",$E798=""),"",MAX($E799-$E798,0))</f>
        <v>0</v>
      </c>
      <c r="M799">
        <f>IF(OR($E799="",$E798=""),"",MAX($E798-$E799,0))</f>
        <v>0</v>
      </c>
      <c r="N799">
        <f>IF(COUNT($E$2:$E799)&lt;15,"",IF(AVERAGE($M$786:$M$799)=0,100,100-100/(1+AVERAGE($L$786:$L$799)/AVERAGE($M$786:$M$799))))</f>
        <v>0</v>
      </c>
      <c r="O799">
        <f>IF($E799="","",IF($E798="",$E799,$E799*0.1538461538+O798*0.8461538462))</f>
        <v>0</v>
      </c>
      <c r="P799">
        <f>IF($E799="","",IF($E798="",$E799,$E799*0.0740740741+P798*0.9259259259))</f>
        <v>0</v>
      </c>
      <c r="Q799">
        <f>IF(OR(O799="",P799=""),"",O799-P799)</f>
        <v>0</v>
      </c>
      <c r="R799">
        <f>IF(Q799="","",IF(R798="",Q799,Q799*0.2000000000+R798*0.8000000000))</f>
        <v>0</v>
      </c>
      <c r="S799">
        <f>IF(OR(Q799="",R799=""),"",Q799-R799)</f>
        <v>0</v>
      </c>
      <c r="T799">
        <f>IF(COUNT($E$2:$E799)&lt;14,"",MAX($C$786:$C$799))</f>
        <v>0</v>
      </c>
      <c r="U799">
        <f>IF(COUNT($E$2:$E799)&lt;14,"",MIN($D$786:$D$799))</f>
        <v>0</v>
      </c>
      <c r="V799">
        <f>IF(OR(T799="",U799="",T799=U799),"",100*($E799-U799)/(T799-U799))</f>
        <v>0</v>
      </c>
      <c r="W799">
        <f>IF(COUNT($V$797:$V$799)&lt;3,"",AVERAGE($V$797:$V$799))</f>
        <v>0</v>
      </c>
      <c r="X799">
        <f>IF(COUNT($N$786:$N$799)&lt;14,"",MIN($N$786:$N$799))</f>
        <v>0</v>
      </c>
      <c r="Y799">
        <f>IF(COUNT($N$786:$N$799)&lt;14,"",MAX($N$786:$N$799))</f>
        <v>0</v>
      </c>
      <c r="Z799">
        <f>IF(OR(N799="",X799="",Y799="",Y799=X799),"",100*(N799-X799)/(Y799-X799))</f>
        <v>0</v>
      </c>
      <c r="AA799">
        <f>IF(COUNT($Z$797:$Z$799)&lt;3,"",AVERAGE($Z$797:$Z$799))</f>
        <v>0</v>
      </c>
      <c r="AB799">
        <f>IF(COUNT($AA$797:$AA$799)&lt;3,"",AVERAGE($AA$797:$AA$799))</f>
        <v>0</v>
      </c>
      <c r="AC799">
        <f>IF($E799="","",MAX($C799-$D799,ABS($C799-$E798),ABS($D799-$E798)))</f>
        <v>0</v>
      </c>
      <c r="AD799">
        <f>IF(COUNT($E$2:$E799)&lt;15,"",AVERAGE($AC$786:$AC$799))</f>
        <v>0</v>
      </c>
      <c r="AE799">
        <f>IF(OR($E799="",$E798=""),"",IF(AND(($C799-$C798)&gt;($D798-$D799),($C799-$C798)&gt;0),$C799-$C798,0))</f>
        <v>0</v>
      </c>
      <c r="AF799">
        <f>IF(OR($E799="",$E798=""),"",IF(AND(($D798-$D799)&gt;($C799-$C798),($D798-$D799)&gt;0),$D798-$D799,0))</f>
        <v>0</v>
      </c>
      <c r="AG799">
        <f>IF(COUNT($E$2:$E799)&lt;15,"",IF(SUM($AC$786:$AC$799)=0,0,100*SUM($AE$786:$AE$799)/SUM($AC$786:$AC$799)))</f>
        <v>0</v>
      </c>
      <c r="AH799">
        <f>IF(COUNT($E$2:$E799)&lt;15,"",IF(SUM($AC$786:$AC$799)=0,0,100*SUM($AF$786:$AF$799)/SUM($AC$786:$AC$799)))</f>
        <v>0</v>
      </c>
      <c r="AI799">
        <f>IF(OR(AG799="",AH799=""),"",IF((AG799+AH799)=0,0,100*ABS(AG799-AH799)/(AG799+AH799)))</f>
        <v>0</v>
      </c>
      <c r="AJ799">
        <f>IF(COUNT($AI$786:$AI$799)&lt;14,"",AVERAGE($AI$786:$AI$799))</f>
        <v>0</v>
      </c>
      <c r="AK799">
        <f>IF(COUNT($E$2:$E799)&lt;20,"",AVERAGE($E$780:$E$799))</f>
        <v>0</v>
      </c>
      <c r="AL799">
        <f>IF(COUNT($E$2:$E799)&lt;20,"",STDEVP($E$780:$E$799))</f>
        <v>0</v>
      </c>
      <c r="AM799">
        <f>IF(AK799="","",AK799+2*AL799)</f>
        <v>0</v>
      </c>
      <c r="AN799">
        <f>IF(AK799="","",AK799-2*AL799)</f>
        <v>0</v>
      </c>
      <c r="AO799">
        <f>IF(OR(AM799="",AN799="",AM799=AN799),"",($E799-AN799)/(AM799-AN799))</f>
        <v>0</v>
      </c>
      <c r="AP799">
        <f>IF(OR(AM799="",AK799="",AK799=0),"",(AM799-AN799)/AK799)</f>
        <v>0</v>
      </c>
      <c r="AQ799">
        <f>IF(COUNT($E$2:$E799)&lt;20,"",MAX($C$780:$C$799))</f>
        <v>0</v>
      </c>
      <c r="AR799">
        <f>IF(COUNT($E$2:$E799)&lt;20,"",MIN($D$780:$D$799))</f>
        <v>0</v>
      </c>
      <c r="AS799">
        <f>IF(OR(AQ799="",AR799=""),"",(AQ799+AR799)/2)</f>
        <v>0</v>
      </c>
      <c r="AT799">
        <f>IF(COUNT($G$780:$G$799)&lt;20,"",STDEV($G$780:$G$799)*SQRT(252))</f>
        <v>0</v>
      </c>
      <c r="AU799">
        <f>IF(COUNT($E$2:$E799)&lt;9,"",(MAX($C$791:$C$799)+MIN($D$791:$D$799))/2)</f>
        <v>0</v>
      </c>
      <c r="AV799">
        <f>IF(COUNT($E$2:$E799)&lt;26,"",(MAX($C$774:$C$799)+MIN($D$774:$D$799))/2)</f>
        <v>0</v>
      </c>
      <c r="AW799">
        <f>IF(OR(AU799="",AV799=""),"",(AU799+AV799)/2)</f>
        <v>0</v>
      </c>
      <c r="AX799">
        <f>IF(COUNT($E$2:$E799)&lt;52,"",(MAX($C$748:$C$799)+MIN($D$748:$D$799))/2)</f>
        <v>0</v>
      </c>
      <c r="AY799">
        <f>IF(COUNT($E$2:$E799)&lt;20,"",MAX($C$700:$C$799))</f>
        <v>0</v>
      </c>
      <c r="AZ799">
        <f>IF(COUNT($E$2:$E799)&lt;20,"",MIN($D$700:$D$799))</f>
        <v>0</v>
      </c>
      <c r="BA799">
        <f>IF(COUNT($E$2:$E799)&lt;20,"",SLOPE($E$700:$E$799,$F$700:$F$799))</f>
        <v>0</v>
      </c>
      <c r="BB799">
        <f>IF(COUNT($E$2:$E799)&lt;20,"",INTERCEPT($E$700:$E$799,$F$700:$F$799))</f>
        <v>0</v>
      </c>
      <c r="BC799">
        <f>IF(OR(BA799="",BB799=""),"",BB799+BA799*F799)</f>
        <v>0</v>
      </c>
      <c r="BD799">
        <f>IF(COUNT($E$2:$E799)&lt;20,"",STEYX($E$700:$E$799,$F$700:$F$799))</f>
        <v>0</v>
      </c>
      <c r="BE799">
        <f>IF($E799="","",IF(AND(COUNT($E$800:$E$803)&gt;=4,$C799=MAX($C$795:$C$803)),$C799,""))</f>
        <v>0</v>
      </c>
      <c r="BF799">
        <f>IF($E799="","",IF(AND(COUNT($E$800:$E$803)&gt;=4,$D799=MIN($D$795:$D$803)),$D799,""))</f>
        <v>0</v>
      </c>
      <c r="BG799">
        <f>IF($A799="","",$A799-WEEKDAY($A799,2)+1)</f>
        <v>0</v>
      </c>
      <c r="BH799">
        <f>IF($A799="","",IF($A798="",1,IF(BG799&lt;&gt;BG798,1,0)))</f>
        <v>0</v>
      </c>
      <c r="BI799">
        <f>IF($A799="","",IF($A800="",1,IF(BG800&lt;&gt;BG799,1,0)))</f>
        <v>0</v>
      </c>
      <c r="BJ799">
        <f>IF($A799="","",IF(BH799=1,$B799,BJ798))</f>
        <v>0</v>
      </c>
      <c r="BK799">
        <f>IF($A799="","",IF(BH799=1,$C799,MAX($C799,BK798)))</f>
        <v>0</v>
      </c>
      <c r="BL799">
        <f>IF($A799="","",IF(BH799=1,$D799,MIN($D799,BL798)))</f>
        <v>0</v>
      </c>
      <c r="BM799">
        <f>IF($A799="","",IF(BI799=1,F799,""))</f>
        <v>0</v>
      </c>
      <c r="BN799">
        <f>IF($A799="","",DATE(YEAR($A799),MONTH($A799),1))</f>
        <v>0</v>
      </c>
      <c r="BO799">
        <f>IF($A799="","",IF($A798="",1,IF(BN799&lt;&gt;BN798,1,0)))</f>
        <v>0</v>
      </c>
      <c r="BP799">
        <f>IF($A799="","",IF($A800="",1,IF(BN800&lt;&gt;BN799,1,0)))</f>
        <v>0</v>
      </c>
      <c r="BQ799">
        <f>IF($A799="","",IF(BO799=1,$B799,BQ798))</f>
        <v>0</v>
      </c>
      <c r="BR799">
        <f>IF($A799="","",IF(BO799=1,$C799,MAX($C799,BR798)))</f>
        <v>0</v>
      </c>
      <c r="BS799">
        <f>IF($A799="","",IF(BO799=1,$D799,MIN($D799,BS798)))</f>
        <v>0</v>
      </c>
      <c r="BT799">
        <f>IF($A799="","",IF(BP799=1,F799,""))</f>
        <v>0</v>
      </c>
    </row>
    <row r="800" spans="1:72">
      <c r="A800" s="27">
        <f>IF(Data!$A800="","",Data!$A800)</f>
        <v>0</v>
      </c>
      <c r="B800">
        <f>IF(Data!$B800="","",Data!$B800)</f>
        <v>0</v>
      </c>
      <c r="C800">
        <f>IF(Data!$C800="","",Data!$C800)</f>
        <v>0</v>
      </c>
      <c r="D800">
        <f>IF(Data!$D800="","",Data!$D800)</f>
        <v>0</v>
      </c>
      <c r="E800">
        <f>IF(Data!$E800="","",Data!$E800)</f>
        <v>0</v>
      </c>
      <c r="F800">
        <f>IF($E800="","",N(F799)+1)</f>
        <v>0</v>
      </c>
      <c r="G800">
        <f>IF(OR($E800="",$E799=""),"",LN($E800/$E799))</f>
        <v>0</v>
      </c>
      <c r="H800">
        <f>IF($E800="","",IF($E799="",$E800,$E800*0.0952380952+H799*0.9047619048))</f>
        <v>0</v>
      </c>
      <c r="I800">
        <f>IF($E800="","",IF($E799="",$E800,$E800*0.0392156863+I799*0.9607843137))</f>
        <v>0</v>
      </c>
      <c r="J800">
        <f>IF($E800="","",IF($E799="",$E800,$E800*0.0198019802+J799*0.9801980198))</f>
        <v>0</v>
      </c>
      <c r="K800">
        <f>IF($E800="","",IF($E799="",$E800,$E800*0.0099502488+K799*0.9900497512))</f>
        <v>0</v>
      </c>
      <c r="L800">
        <f>IF(OR($E800="",$E799=""),"",MAX($E800-$E799,0))</f>
        <v>0</v>
      </c>
      <c r="M800">
        <f>IF(OR($E800="",$E799=""),"",MAX($E799-$E800,0))</f>
        <v>0</v>
      </c>
      <c r="N800">
        <f>IF(COUNT($E$2:$E800)&lt;15,"",IF(AVERAGE($M$787:$M$800)=0,100,100-100/(1+AVERAGE($L$787:$L$800)/AVERAGE($M$787:$M$800))))</f>
        <v>0</v>
      </c>
      <c r="O800">
        <f>IF($E800="","",IF($E799="",$E800,$E800*0.1538461538+O799*0.8461538462))</f>
        <v>0</v>
      </c>
      <c r="P800">
        <f>IF($E800="","",IF($E799="",$E800,$E800*0.0740740741+P799*0.9259259259))</f>
        <v>0</v>
      </c>
      <c r="Q800">
        <f>IF(OR(O800="",P800=""),"",O800-P800)</f>
        <v>0</v>
      </c>
      <c r="R800">
        <f>IF(Q800="","",IF(R799="",Q800,Q800*0.2000000000+R799*0.8000000000))</f>
        <v>0</v>
      </c>
      <c r="S800">
        <f>IF(OR(Q800="",R800=""),"",Q800-R800)</f>
        <v>0</v>
      </c>
      <c r="T800">
        <f>IF(COUNT($E$2:$E800)&lt;14,"",MAX($C$787:$C$800))</f>
        <v>0</v>
      </c>
      <c r="U800">
        <f>IF(COUNT($E$2:$E800)&lt;14,"",MIN($D$787:$D$800))</f>
        <v>0</v>
      </c>
      <c r="V800">
        <f>IF(OR(T800="",U800="",T800=U800),"",100*($E800-U800)/(T800-U800))</f>
        <v>0</v>
      </c>
      <c r="W800">
        <f>IF(COUNT($V$798:$V$800)&lt;3,"",AVERAGE($V$798:$V$800))</f>
        <v>0</v>
      </c>
      <c r="X800">
        <f>IF(COUNT($N$787:$N$800)&lt;14,"",MIN($N$787:$N$800))</f>
        <v>0</v>
      </c>
      <c r="Y800">
        <f>IF(COUNT($N$787:$N$800)&lt;14,"",MAX($N$787:$N$800))</f>
        <v>0</v>
      </c>
      <c r="Z800">
        <f>IF(OR(N800="",X800="",Y800="",Y800=X800),"",100*(N800-X800)/(Y800-X800))</f>
        <v>0</v>
      </c>
      <c r="AA800">
        <f>IF(COUNT($Z$798:$Z$800)&lt;3,"",AVERAGE($Z$798:$Z$800))</f>
        <v>0</v>
      </c>
      <c r="AB800">
        <f>IF(COUNT($AA$798:$AA$800)&lt;3,"",AVERAGE($AA$798:$AA$800))</f>
        <v>0</v>
      </c>
      <c r="AC800">
        <f>IF($E800="","",MAX($C800-$D800,ABS($C800-$E799),ABS($D800-$E799)))</f>
        <v>0</v>
      </c>
      <c r="AD800">
        <f>IF(COUNT($E$2:$E800)&lt;15,"",AVERAGE($AC$787:$AC$800))</f>
        <v>0</v>
      </c>
      <c r="AE800">
        <f>IF(OR($E800="",$E799=""),"",IF(AND(($C800-$C799)&gt;($D799-$D800),($C800-$C799)&gt;0),$C800-$C799,0))</f>
        <v>0</v>
      </c>
      <c r="AF800">
        <f>IF(OR($E800="",$E799=""),"",IF(AND(($D799-$D800)&gt;($C800-$C799),($D799-$D800)&gt;0),$D799-$D800,0))</f>
        <v>0</v>
      </c>
      <c r="AG800">
        <f>IF(COUNT($E$2:$E800)&lt;15,"",IF(SUM($AC$787:$AC$800)=0,0,100*SUM($AE$787:$AE$800)/SUM($AC$787:$AC$800)))</f>
        <v>0</v>
      </c>
      <c r="AH800">
        <f>IF(COUNT($E$2:$E800)&lt;15,"",IF(SUM($AC$787:$AC$800)=0,0,100*SUM($AF$787:$AF$800)/SUM($AC$787:$AC$800)))</f>
        <v>0</v>
      </c>
      <c r="AI800">
        <f>IF(OR(AG800="",AH800=""),"",IF((AG800+AH800)=0,0,100*ABS(AG800-AH800)/(AG800+AH800)))</f>
        <v>0</v>
      </c>
      <c r="AJ800">
        <f>IF(COUNT($AI$787:$AI$800)&lt;14,"",AVERAGE($AI$787:$AI$800))</f>
        <v>0</v>
      </c>
      <c r="AK800">
        <f>IF(COUNT($E$2:$E800)&lt;20,"",AVERAGE($E$781:$E$800))</f>
        <v>0</v>
      </c>
      <c r="AL800">
        <f>IF(COUNT($E$2:$E800)&lt;20,"",STDEVP($E$781:$E$800))</f>
        <v>0</v>
      </c>
      <c r="AM800">
        <f>IF(AK800="","",AK800+2*AL800)</f>
        <v>0</v>
      </c>
      <c r="AN800">
        <f>IF(AK800="","",AK800-2*AL800)</f>
        <v>0</v>
      </c>
      <c r="AO800">
        <f>IF(OR(AM800="",AN800="",AM800=AN800),"",($E800-AN800)/(AM800-AN800))</f>
        <v>0</v>
      </c>
      <c r="AP800">
        <f>IF(OR(AM800="",AK800="",AK800=0),"",(AM800-AN800)/AK800)</f>
        <v>0</v>
      </c>
      <c r="AQ800">
        <f>IF(COUNT($E$2:$E800)&lt;20,"",MAX($C$781:$C$800))</f>
        <v>0</v>
      </c>
      <c r="AR800">
        <f>IF(COUNT($E$2:$E800)&lt;20,"",MIN($D$781:$D$800))</f>
        <v>0</v>
      </c>
      <c r="AS800">
        <f>IF(OR(AQ800="",AR800=""),"",(AQ800+AR800)/2)</f>
        <v>0</v>
      </c>
      <c r="AT800">
        <f>IF(COUNT($G$781:$G$800)&lt;20,"",STDEV($G$781:$G$800)*SQRT(252))</f>
        <v>0</v>
      </c>
      <c r="AU800">
        <f>IF(COUNT($E$2:$E800)&lt;9,"",(MAX($C$792:$C$800)+MIN($D$792:$D$800))/2)</f>
        <v>0</v>
      </c>
      <c r="AV800">
        <f>IF(COUNT($E$2:$E800)&lt;26,"",(MAX($C$775:$C$800)+MIN($D$775:$D$800))/2)</f>
        <v>0</v>
      </c>
      <c r="AW800">
        <f>IF(OR(AU800="",AV800=""),"",(AU800+AV800)/2)</f>
        <v>0</v>
      </c>
      <c r="AX800">
        <f>IF(COUNT($E$2:$E800)&lt;52,"",(MAX($C$749:$C$800)+MIN($D$749:$D$800))/2)</f>
        <v>0</v>
      </c>
      <c r="AY800">
        <f>IF(COUNT($E$2:$E800)&lt;20,"",MAX($C$701:$C$800))</f>
        <v>0</v>
      </c>
      <c r="AZ800">
        <f>IF(COUNT($E$2:$E800)&lt;20,"",MIN($D$701:$D$800))</f>
        <v>0</v>
      </c>
      <c r="BA800">
        <f>IF(COUNT($E$2:$E800)&lt;20,"",SLOPE($E$701:$E$800,$F$701:$F$800))</f>
        <v>0</v>
      </c>
      <c r="BB800">
        <f>IF(COUNT($E$2:$E800)&lt;20,"",INTERCEPT($E$701:$E$800,$F$701:$F$800))</f>
        <v>0</v>
      </c>
      <c r="BC800">
        <f>IF(OR(BA800="",BB800=""),"",BB800+BA800*F800)</f>
        <v>0</v>
      </c>
      <c r="BD800">
        <f>IF(COUNT($E$2:$E800)&lt;20,"",STEYX($E$701:$E$800,$F$701:$F$800))</f>
        <v>0</v>
      </c>
      <c r="BE800">
        <f>IF($E800="","",IF(AND(COUNT($E$801:$E$804)&gt;=4,$C800=MAX($C$796:$C$804)),$C800,""))</f>
        <v>0</v>
      </c>
      <c r="BF800">
        <f>IF($E800="","",IF(AND(COUNT($E$801:$E$804)&gt;=4,$D800=MIN($D$796:$D$804)),$D800,""))</f>
        <v>0</v>
      </c>
      <c r="BG800">
        <f>IF($A800="","",$A800-WEEKDAY($A800,2)+1)</f>
        <v>0</v>
      </c>
      <c r="BH800">
        <f>IF($A800="","",IF($A799="",1,IF(BG800&lt;&gt;BG799,1,0)))</f>
        <v>0</v>
      </c>
      <c r="BI800">
        <f>IF($A800="","",IF($A801="",1,IF(BG801&lt;&gt;BG800,1,0)))</f>
        <v>0</v>
      </c>
      <c r="BJ800">
        <f>IF($A800="","",IF(BH800=1,$B800,BJ799))</f>
        <v>0</v>
      </c>
      <c r="BK800">
        <f>IF($A800="","",IF(BH800=1,$C800,MAX($C800,BK799)))</f>
        <v>0</v>
      </c>
      <c r="BL800">
        <f>IF($A800="","",IF(BH800=1,$D800,MIN($D800,BL799)))</f>
        <v>0</v>
      </c>
      <c r="BM800">
        <f>IF($A800="","",IF(BI800=1,F800,""))</f>
        <v>0</v>
      </c>
      <c r="BN800">
        <f>IF($A800="","",DATE(YEAR($A800),MONTH($A800),1))</f>
        <v>0</v>
      </c>
      <c r="BO800">
        <f>IF($A800="","",IF($A799="",1,IF(BN800&lt;&gt;BN799,1,0)))</f>
        <v>0</v>
      </c>
      <c r="BP800">
        <f>IF($A800="","",IF($A801="",1,IF(BN801&lt;&gt;BN800,1,0)))</f>
        <v>0</v>
      </c>
      <c r="BQ800">
        <f>IF($A800="","",IF(BO800=1,$B800,BQ799))</f>
        <v>0</v>
      </c>
      <c r="BR800">
        <f>IF($A800="","",IF(BO800=1,$C800,MAX($C800,BR799)))</f>
        <v>0</v>
      </c>
      <c r="BS800">
        <f>IF($A800="","",IF(BO800=1,$D800,MIN($D800,BS799)))</f>
        <v>0</v>
      </c>
      <c r="BT800">
        <f>IF($A800="","",IF(BP800=1,F800,""))</f>
        <v>0</v>
      </c>
    </row>
    <row r="801" spans="1:72">
      <c r="A801" s="27">
        <f>IF(Data!$A801="","",Data!$A801)</f>
        <v>0</v>
      </c>
      <c r="B801">
        <f>IF(Data!$B801="","",Data!$B801)</f>
        <v>0</v>
      </c>
      <c r="C801">
        <f>IF(Data!$C801="","",Data!$C801)</f>
        <v>0</v>
      </c>
      <c r="D801">
        <f>IF(Data!$D801="","",Data!$D801)</f>
        <v>0</v>
      </c>
      <c r="E801">
        <f>IF(Data!$E801="","",Data!$E801)</f>
        <v>0</v>
      </c>
      <c r="F801">
        <f>IF($E801="","",N(F800)+1)</f>
        <v>0</v>
      </c>
      <c r="G801">
        <f>IF(OR($E801="",$E800=""),"",LN($E801/$E800))</f>
        <v>0</v>
      </c>
      <c r="H801">
        <f>IF($E801="","",IF($E800="",$E801,$E801*0.0952380952+H800*0.9047619048))</f>
        <v>0</v>
      </c>
      <c r="I801">
        <f>IF($E801="","",IF($E800="",$E801,$E801*0.0392156863+I800*0.9607843137))</f>
        <v>0</v>
      </c>
      <c r="J801">
        <f>IF($E801="","",IF($E800="",$E801,$E801*0.0198019802+J800*0.9801980198))</f>
        <v>0</v>
      </c>
      <c r="K801">
        <f>IF($E801="","",IF($E800="",$E801,$E801*0.0099502488+K800*0.9900497512))</f>
        <v>0</v>
      </c>
      <c r="L801">
        <f>IF(OR($E801="",$E800=""),"",MAX($E801-$E800,0))</f>
        <v>0</v>
      </c>
      <c r="M801">
        <f>IF(OR($E801="",$E800=""),"",MAX($E800-$E801,0))</f>
        <v>0</v>
      </c>
      <c r="N801">
        <f>IF(COUNT($E$2:$E801)&lt;15,"",IF(AVERAGE($M$788:$M$801)=0,100,100-100/(1+AVERAGE($L$788:$L$801)/AVERAGE($M$788:$M$801))))</f>
        <v>0</v>
      </c>
      <c r="O801">
        <f>IF($E801="","",IF($E800="",$E801,$E801*0.1538461538+O800*0.8461538462))</f>
        <v>0</v>
      </c>
      <c r="P801">
        <f>IF($E801="","",IF($E800="",$E801,$E801*0.0740740741+P800*0.9259259259))</f>
        <v>0</v>
      </c>
      <c r="Q801">
        <f>IF(OR(O801="",P801=""),"",O801-P801)</f>
        <v>0</v>
      </c>
      <c r="R801">
        <f>IF(Q801="","",IF(R800="",Q801,Q801*0.2000000000+R800*0.8000000000))</f>
        <v>0</v>
      </c>
      <c r="S801">
        <f>IF(OR(Q801="",R801=""),"",Q801-R801)</f>
        <v>0</v>
      </c>
      <c r="T801">
        <f>IF(COUNT($E$2:$E801)&lt;14,"",MAX($C$788:$C$801))</f>
        <v>0</v>
      </c>
      <c r="U801">
        <f>IF(COUNT($E$2:$E801)&lt;14,"",MIN($D$788:$D$801))</f>
        <v>0</v>
      </c>
      <c r="V801">
        <f>IF(OR(T801="",U801="",T801=U801),"",100*($E801-U801)/(T801-U801))</f>
        <v>0</v>
      </c>
      <c r="W801">
        <f>IF(COUNT($V$799:$V$801)&lt;3,"",AVERAGE($V$799:$V$801))</f>
        <v>0</v>
      </c>
      <c r="X801">
        <f>IF(COUNT($N$788:$N$801)&lt;14,"",MIN($N$788:$N$801))</f>
        <v>0</v>
      </c>
      <c r="Y801">
        <f>IF(COUNT($N$788:$N$801)&lt;14,"",MAX($N$788:$N$801))</f>
        <v>0</v>
      </c>
      <c r="Z801">
        <f>IF(OR(N801="",X801="",Y801="",Y801=X801),"",100*(N801-X801)/(Y801-X801))</f>
        <v>0</v>
      </c>
      <c r="AA801">
        <f>IF(COUNT($Z$799:$Z$801)&lt;3,"",AVERAGE($Z$799:$Z$801))</f>
        <v>0</v>
      </c>
      <c r="AB801">
        <f>IF(COUNT($AA$799:$AA$801)&lt;3,"",AVERAGE($AA$799:$AA$801))</f>
        <v>0</v>
      </c>
      <c r="AC801">
        <f>IF($E801="","",MAX($C801-$D801,ABS($C801-$E800),ABS($D801-$E800)))</f>
        <v>0</v>
      </c>
      <c r="AD801">
        <f>IF(COUNT($E$2:$E801)&lt;15,"",AVERAGE($AC$788:$AC$801))</f>
        <v>0</v>
      </c>
      <c r="AE801">
        <f>IF(OR($E801="",$E800=""),"",IF(AND(($C801-$C800)&gt;($D800-$D801),($C801-$C800)&gt;0),$C801-$C800,0))</f>
        <v>0</v>
      </c>
      <c r="AF801">
        <f>IF(OR($E801="",$E800=""),"",IF(AND(($D800-$D801)&gt;($C801-$C800),($D800-$D801)&gt;0),$D800-$D801,0))</f>
        <v>0</v>
      </c>
      <c r="AG801">
        <f>IF(COUNT($E$2:$E801)&lt;15,"",IF(SUM($AC$788:$AC$801)=0,0,100*SUM($AE$788:$AE$801)/SUM($AC$788:$AC$801)))</f>
        <v>0</v>
      </c>
      <c r="AH801">
        <f>IF(COUNT($E$2:$E801)&lt;15,"",IF(SUM($AC$788:$AC$801)=0,0,100*SUM($AF$788:$AF$801)/SUM($AC$788:$AC$801)))</f>
        <v>0</v>
      </c>
      <c r="AI801">
        <f>IF(OR(AG801="",AH801=""),"",IF((AG801+AH801)=0,0,100*ABS(AG801-AH801)/(AG801+AH801)))</f>
        <v>0</v>
      </c>
      <c r="AJ801">
        <f>IF(COUNT($AI$788:$AI$801)&lt;14,"",AVERAGE($AI$788:$AI$801))</f>
        <v>0</v>
      </c>
      <c r="AK801">
        <f>IF(COUNT($E$2:$E801)&lt;20,"",AVERAGE($E$782:$E$801))</f>
        <v>0</v>
      </c>
      <c r="AL801">
        <f>IF(COUNT($E$2:$E801)&lt;20,"",STDEVP($E$782:$E$801))</f>
        <v>0</v>
      </c>
      <c r="AM801">
        <f>IF(AK801="","",AK801+2*AL801)</f>
        <v>0</v>
      </c>
      <c r="AN801">
        <f>IF(AK801="","",AK801-2*AL801)</f>
        <v>0</v>
      </c>
      <c r="AO801">
        <f>IF(OR(AM801="",AN801="",AM801=AN801),"",($E801-AN801)/(AM801-AN801))</f>
        <v>0</v>
      </c>
      <c r="AP801">
        <f>IF(OR(AM801="",AK801="",AK801=0),"",(AM801-AN801)/AK801)</f>
        <v>0</v>
      </c>
      <c r="AQ801">
        <f>IF(COUNT($E$2:$E801)&lt;20,"",MAX($C$782:$C$801))</f>
        <v>0</v>
      </c>
      <c r="AR801">
        <f>IF(COUNT($E$2:$E801)&lt;20,"",MIN($D$782:$D$801))</f>
        <v>0</v>
      </c>
      <c r="AS801">
        <f>IF(OR(AQ801="",AR801=""),"",(AQ801+AR801)/2)</f>
        <v>0</v>
      </c>
      <c r="AT801">
        <f>IF(COUNT($G$782:$G$801)&lt;20,"",STDEV($G$782:$G$801)*SQRT(252))</f>
        <v>0</v>
      </c>
      <c r="AU801">
        <f>IF(COUNT($E$2:$E801)&lt;9,"",(MAX($C$793:$C$801)+MIN($D$793:$D$801))/2)</f>
        <v>0</v>
      </c>
      <c r="AV801">
        <f>IF(COUNT($E$2:$E801)&lt;26,"",(MAX($C$776:$C$801)+MIN($D$776:$D$801))/2)</f>
        <v>0</v>
      </c>
      <c r="AW801">
        <f>IF(OR(AU801="",AV801=""),"",(AU801+AV801)/2)</f>
        <v>0</v>
      </c>
      <c r="AX801">
        <f>IF(COUNT($E$2:$E801)&lt;52,"",(MAX($C$750:$C$801)+MIN($D$750:$D$801))/2)</f>
        <v>0</v>
      </c>
      <c r="AY801">
        <f>IF(COUNT($E$2:$E801)&lt;20,"",MAX($C$702:$C$801))</f>
        <v>0</v>
      </c>
      <c r="AZ801">
        <f>IF(COUNT($E$2:$E801)&lt;20,"",MIN($D$702:$D$801))</f>
        <v>0</v>
      </c>
      <c r="BA801">
        <f>IF(COUNT($E$2:$E801)&lt;20,"",SLOPE($E$702:$E$801,$F$702:$F$801))</f>
        <v>0</v>
      </c>
      <c r="BB801">
        <f>IF(COUNT($E$2:$E801)&lt;20,"",INTERCEPT($E$702:$E$801,$F$702:$F$801))</f>
        <v>0</v>
      </c>
      <c r="BC801">
        <f>IF(OR(BA801="",BB801=""),"",BB801+BA801*F801)</f>
        <v>0</v>
      </c>
      <c r="BD801">
        <f>IF(COUNT($E$2:$E801)&lt;20,"",STEYX($E$702:$E$801,$F$702:$F$801))</f>
        <v>0</v>
      </c>
      <c r="BE801">
        <f>IF($E801="","",IF(AND(COUNT($E$802:$E$805)&gt;=4,$C801=MAX($C$797:$C$805)),$C801,""))</f>
        <v>0</v>
      </c>
      <c r="BF801">
        <f>IF($E801="","",IF(AND(COUNT($E$802:$E$805)&gt;=4,$D801=MIN($D$797:$D$805)),$D801,""))</f>
        <v>0</v>
      </c>
      <c r="BG801">
        <f>IF($A801="","",$A801-WEEKDAY($A801,2)+1)</f>
        <v>0</v>
      </c>
      <c r="BH801">
        <f>IF($A801="","",IF($A800="",1,IF(BG801&lt;&gt;BG800,1,0)))</f>
        <v>0</v>
      </c>
      <c r="BI801">
        <f>IF($A801="","",IF($A802="",1,IF(BG802&lt;&gt;BG801,1,0)))</f>
        <v>0</v>
      </c>
      <c r="BJ801">
        <f>IF($A801="","",IF(BH801=1,$B801,BJ800))</f>
        <v>0</v>
      </c>
      <c r="BK801">
        <f>IF($A801="","",IF(BH801=1,$C801,MAX($C801,BK800)))</f>
        <v>0</v>
      </c>
      <c r="BL801">
        <f>IF($A801="","",IF(BH801=1,$D801,MIN($D801,BL800)))</f>
        <v>0</v>
      </c>
      <c r="BM801">
        <f>IF($A801="","",IF(BI801=1,F801,""))</f>
        <v>0</v>
      </c>
      <c r="BN801">
        <f>IF($A801="","",DATE(YEAR($A801),MONTH($A801),1))</f>
        <v>0</v>
      </c>
      <c r="BO801">
        <f>IF($A801="","",IF($A800="",1,IF(BN801&lt;&gt;BN800,1,0)))</f>
        <v>0</v>
      </c>
      <c r="BP801">
        <f>IF($A801="","",IF($A802="",1,IF(BN802&lt;&gt;BN801,1,0)))</f>
        <v>0</v>
      </c>
      <c r="BQ801">
        <f>IF($A801="","",IF(BO801=1,$B801,BQ800))</f>
        <v>0</v>
      </c>
      <c r="BR801">
        <f>IF($A801="","",IF(BO801=1,$C801,MAX($C801,BR800)))</f>
        <v>0</v>
      </c>
      <c r="BS801">
        <f>IF($A801="","",IF(BO801=1,$D801,MIN($D801,BS800)))</f>
        <v>0</v>
      </c>
      <c r="BT801">
        <f>IF($A801="","",IF(BP801=1,F801,""))</f>
        <v>0</v>
      </c>
    </row>
    <row r="802" spans="1:72">
      <c r="A802" s="27">
        <f>IF(Data!$A802="","",Data!$A802)</f>
        <v>0</v>
      </c>
      <c r="B802">
        <f>IF(Data!$B802="","",Data!$B802)</f>
        <v>0</v>
      </c>
      <c r="C802">
        <f>IF(Data!$C802="","",Data!$C802)</f>
        <v>0</v>
      </c>
      <c r="D802">
        <f>IF(Data!$D802="","",Data!$D802)</f>
        <v>0</v>
      </c>
      <c r="E802">
        <f>IF(Data!$E802="","",Data!$E802)</f>
        <v>0</v>
      </c>
      <c r="F802">
        <f>IF($E802="","",N(F801)+1)</f>
        <v>0</v>
      </c>
      <c r="G802">
        <f>IF(OR($E802="",$E801=""),"",LN($E802/$E801))</f>
        <v>0</v>
      </c>
      <c r="H802">
        <f>IF($E802="","",IF($E801="",$E802,$E802*0.0952380952+H801*0.9047619048))</f>
        <v>0</v>
      </c>
      <c r="I802">
        <f>IF($E802="","",IF($E801="",$E802,$E802*0.0392156863+I801*0.9607843137))</f>
        <v>0</v>
      </c>
      <c r="J802">
        <f>IF($E802="","",IF($E801="",$E802,$E802*0.0198019802+J801*0.9801980198))</f>
        <v>0</v>
      </c>
      <c r="K802">
        <f>IF($E802="","",IF($E801="",$E802,$E802*0.0099502488+K801*0.9900497512))</f>
        <v>0</v>
      </c>
      <c r="L802">
        <f>IF(OR($E802="",$E801=""),"",MAX($E802-$E801,0))</f>
        <v>0</v>
      </c>
      <c r="M802">
        <f>IF(OR($E802="",$E801=""),"",MAX($E801-$E802,0))</f>
        <v>0</v>
      </c>
      <c r="N802">
        <f>IF(COUNT($E$2:$E802)&lt;15,"",IF(AVERAGE($M$789:$M$802)=0,100,100-100/(1+AVERAGE($L$789:$L$802)/AVERAGE($M$789:$M$802))))</f>
        <v>0</v>
      </c>
      <c r="O802">
        <f>IF($E802="","",IF($E801="",$E802,$E802*0.1538461538+O801*0.8461538462))</f>
        <v>0</v>
      </c>
      <c r="P802">
        <f>IF($E802="","",IF($E801="",$E802,$E802*0.0740740741+P801*0.9259259259))</f>
        <v>0</v>
      </c>
      <c r="Q802">
        <f>IF(OR(O802="",P802=""),"",O802-P802)</f>
        <v>0</v>
      </c>
      <c r="R802">
        <f>IF(Q802="","",IF(R801="",Q802,Q802*0.2000000000+R801*0.8000000000))</f>
        <v>0</v>
      </c>
      <c r="S802">
        <f>IF(OR(Q802="",R802=""),"",Q802-R802)</f>
        <v>0</v>
      </c>
      <c r="T802">
        <f>IF(COUNT($E$2:$E802)&lt;14,"",MAX($C$789:$C$802))</f>
        <v>0</v>
      </c>
      <c r="U802">
        <f>IF(COUNT($E$2:$E802)&lt;14,"",MIN($D$789:$D$802))</f>
        <v>0</v>
      </c>
      <c r="V802">
        <f>IF(OR(T802="",U802="",T802=U802),"",100*($E802-U802)/(T802-U802))</f>
        <v>0</v>
      </c>
      <c r="W802">
        <f>IF(COUNT($V$800:$V$802)&lt;3,"",AVERAGE($V$800:$V$802))</f>
        <v>0</v>
      </c>
      <c r="X802">
        <f>IF(COUNT($N$789:$N$802)&lt;14,"",MIN($N$789:$N$802))</f>
        <v>0</v>
      </c>
      <c r="Y802">
        <f>IF(COUNT($N$789:$N$802)&lt;14,"",MAX($N$789:$N$802))</f>
        <v>0</v>
      </c>
      <c r="Z802">
        <f>IF(OR(N802="",X802="",Y802="",Y802=X802),"",100*(N802-X802)/(Y802-X802))</f>
        <v>0</v>
      </c>
      <c r="AA802">
        <f>IF(COUNT($Z$800:$Z$802)&lt;3,"",AVERAGE($Z$800:$Z$802))</f>
        <v>0</v>
      </c>
      <c r="AB802">
        <f>IF(COUNT($AA$800:$AA$802)&lt;3,"",AVERAGE($AA$800:$AA$802))</f>
        <v>0</v>
      </c>
      <c r="AC802">
        <f>IF($E802="","",MAX($C802-$D802,ABS($C802-$E801),ABS($D802-$E801)))</f>
        <v>0</v>
      </c>
      <c r="AD802">
        <f>IF(COUNT($E$2:$E802)&lt;15,"",AVERAGE($AC$789:$AC$802))</f>
        <v>0</v>
      </c>
      <c r="AE802">
        <f>IF(OR($E802="",$E801=""),"",IF(AND(($C802-$C801)&gt;($D801-$D802),($C802-$C801)&gt;0),$C802-$C801,0))</f>
        <v>0</v>
      </c>
      <c r="AF802">
        <f>IF(OR($E802="",$E801=""),"",IF(AND(($D801-$D802)&gt;($C802-$C801),($D801-$D802)&gt;0),$D801-$D802,0))</f>
        <v>0</v>
      </c>
      <c r="AG802">
        <f>IF(COUNT($E$2:$E802)&lt;15,"",IF(SUM($AC$789:$AC$802)=0,0,100*SUM($AE$789:$AE$802)/SUM($AC$789:$AC$802)))</f>
        <v>0</v>
      </c>
      <c r="AH802">
        <f>IF(COUNT($E$2:$E802)&lt;15,"",IF(SUM($AC$789:$AC$802)=0,0,100*SUM($AF$789:$AF$802)/SUM($AC$789:$AC$802)))</f>
        <v>0</v>
      </c>
      <c r="AI802">
        <f>IF(OR(AG802="",AH802=""),"",IF((AG802+AH802)=0,0,100*ABS(AG802-AH802)/(AG802+AH802)))</f>
        <v>0</v>
      </c>
      <c r="AJ802">
        <f>IF(COUNT($AI$789:$AI$802)&lt;14,"",AVERAGE($AI$789:$AI$802))</f>
        <v>0</v>
      </c>
      <c r="AK802">
        <f>IF(COUNT($E$2:$E802)&lt;20,"",AVERAGE($E$783:$E$802))</f>
        <v>0</v>
      </c>
      <c r="AL802">
        <f>IF(COUNT($E$2:$E802)&lt;20,"",STDEVP($E$783:$E$802))</f>
        <v>0</v>
      </c>
      <c r="AM802">
        <f>IF(AK802="","",AK802+2*AL802)</f>
        <v>0</v>
      </c>
      <c r="AN802">
        <f>IF(AK802="","",AK802-2*AL802)</f>
        <v>0</v>
      </c>
      <c r="AO802">
        <f>IF(OR(AM802="",AN802="",AM802=AN802),"",($E802-AN802)/(AM802-AN802))</f>
        <v>0</v>
      </c>
      <c r="AP802">
        <f>IF(OR(AM802="",AK802="",AK802=0),"",(AM802-AN802)/AK802)</f>
        <v>0</v>
      </c>
      <c r="AQ802">
        <f>IF(COUNT($E$2:$E802)&lt;20,"",MAX($C$783:$C$802))</f>
        <v>0</v>
      </c>
      <c r="AR802">
        <f>IF(COUNT($E$2:$E802)&lt;20,"",MIN($D$783:$D$802))</f>
        <v>0</v>
      </c>
      <c r="AS802">
        <f>IF(OR(AQ802="",AR802=""),"",(AQ802+AR802)/2)</f>
        <v>0</v>
      </c>
      <c r="AT802">
        <f>IF(COUNT($G$783:$G$802)&lt;20,"",STDEV($G$783:$G$802)*SQRT(252))</f>
        <v>0</v>
      </c>
      <c r="AU802">
        <f>IF(COUNT($E$2:$E802)&lt;9,"",(MAX($C$794:$C$802)+MIN($D$794:$D$802))/2)</f>
        <v>0</v>
      </c>
      <c r="AV802">
        <f>IF(COUNT($E$2:$E802)&lt;26,"",(MAX($C$777:$C$802)+MIN($D$777:$D$802))/2)</f>
        <v>0</v>
      </c>
      <c r="AW802">
        <f>IF(OR(AU802="",AV802=""),"",(AU802+AV802)/2)</f>
        <v>0</v>
      </c>
      <c r="AX802">
        <f>IF(COUNT($E$2:$E802)&lt;52,"",(MAX($C$751:$C$802)+MIN($D$751:$D$802))/2)</f>
        <v>0</v>
      </c>
      <c r="AY802">
        <f>IF(COUNT($E$2:$E802)&lt;20,"",MAX($C$703:$C$802))</f>
        <v>0</v>
      </c>
      <c r="AZ802">
        <f>IF(COUNT($E$2:$E802)&lt;20,"",MIN($D$703:$D$802))</f>
        <v>0</v>
      </c>
      <c r="BA802">
        <f>IF(COUNT($E$2:$E802)&lt;20,"",SLOPE($E$703:$E$802,$F$703:$F$802))</f>
        <v>0</v>
      </c>
      <c r="BB802">
        <f>IF(COUNT($E$2:$E802)&lt;20,"",INTERCEPT($E$703:$E$802,$F$703:$F$802))</f>
        <v>0</v>
      </c>
      <c r="BC802">
        <f>IF(OR(BA802="",BB802=""),"",BB802+BA802*F802)</f>
        <v>0</v>
      </c>
      <c r="BD802">
        <f>IF(COUNT($E$2:$E802)&lt;20,"",STEYX($E$703:$E$802,$F$703:$F$802))</f>
        <v>0</v>
      </c>
      <c r="BE802">
        <f>IF($E802="","",IF(AND(COUNT($E$803:$E$806)&gt;=4,$C802=MAX($C$798:$C$806)),$C802,""))</f>
        <v>0</v>
      </c>
      <c r="BF802">
        <f>IF($E802="","",IF(AND(COUNT($E$803:$E$806)&gt;=4,$D802=MIN($D$798:$D$806)),$D802,""))</f>
        <v>0</v>
      </c>
      <c r="BG802">
        <f>IF($A802="","",$A802-WEEKDAY($A802,2)+1)</f>
        <v>0</v>
      </c>
      <c r="BH802">
        <f>IF($A802="","",IF($A801="",1,IF(BG802&lt;&gt;BG801,1,0)))</f>
        <v>0</v>
      </c>
      <c r="BI802">
        <f>IF($A802="","",IF($A803="",1,IF(BG803&lt;&gt;BG802,1,0)))</f>
        <v>0</v>
      </c>
      <c r="BJ802">
        <f>IF($A802="","",IF(BH802=1,$B802,BJ801))</f>
        <v>0</v>
      </c>
      <c r="BK802">
        <f>IF($A802="","",IF(BH802=1,$C802,MAX($C802,BK801)))</f>
        <v>0</v>
      </c>
      <c r="BL802">
        <f>IF($A802="","",IF(BH802=1,$D802,MIN($D802,BL801)))</f>
        <v>0</v>
      </c>
      <c r="BM802">
        <f>IF($A802="","",IF(BI802=1,F802,""))</f>
        <v>0</v>
      </c>
      <c r="BN802">
        <f>IF($A802="","",DATE(YEAR($A802),MONTH($A802),1))</f>
        <v>0</v>
      </c>
      <c r="BO802">
        <f>IF($A802="","",IF($A801="",1,IF(BN802&lt;&gt;BN801,1,0)))</f>
        <v>0</v>
      </c>
      <c r="BP802">
        <f>IF($A802="","",IF($A803="",1,IF(BN803&lt;&gt;BN802,1,0)))</f>
        <v>0</v>
      </c>
      <c r="BQ802">
        <f>IF($A802="","",IF(BO802=1,$B802,BQ801))</f>
        <v>0</v>
      </c>
      <c r="BR802">
        <f>IF($A802="","",IF(BO802=1,$C802,MAX($C802,BR801)))</f>
        <v>0</v>
      </c>
      <c r="BS802">
        <f>IF($A802="","",IF(BO802=1,$D802,MIN($D802,BS801)))</f>
        <v>0</v>
      </c>
      <c r="BT802">
        <f>IF($A802="","",IF(BP802=1,F802,""))</f>
        <v>0</v>
      </c>
    </row>
    <row r="803" spans="1:72">
      <c r="A803" s="27">
        <f>IF(Data!$A803="","",Data!$A803)</f>
        <v>0</v>
      </c>
      <c r="B803">
        <f>IF(Data!$B803="","",Data!$B803)</f>
        <v>0</v>
      </c>
      <c r="C803">
        <f>IF(Data!$C803="","",Data!$C803)</f>
        <v>0</v>
      </c>
      <c r="D803">
        <f>IF(Data!$D803="","",Data!$D803)</f>
        <v>0</v>
      </c>
      <c r="E803">
        <f>IF(Data!$E803="","",Data!$E803)</f>
        <v>0</v>
      </c>
      <c r="F803">
        <f>IF($E803="","",N(F802)+1)</f>
        <v>0</v>
      </c>
      <c r="G803">
        <f>IF(OR($E803="",$E802=""),"",LN($E803/$E802))</f>
        <v>0</v>
      </c>
      <c r="H803">
        <f>IF($E803="","",IF($E802="",$E803,$E803*0.0952380952+H802*0.9047619048))</f>
        <v>0</v>
      </c>
      <c r="I803">
        <f>IF($E803="","",IF($E802="",$E803,$E803*0.0392156863+I802*0.9607843137))</f>
        <v>0</v>
      </c>
      <c r="J803">
        <f>IF($E803="","",IF($E802="",$E803,$E803*0.0198019802+J802*0.9801980198))</f>
        <v>0</v>
      </c>
      <c r="K803">
        <f>IF($E803="","",IF($E802="",$E803,$E803*0.0099502488+K802*0.9900497512))</f>
        <v>0</v>
      </c>
      <c r="L803">
        <f>IF(OR($E803="",$E802=""),"",MAX($E803-$E802,0))</f>
        <v>0</v>
      </c>
      <c r="M803">
        <f>IF(OR($E803="",$E802=""),"",MAX($E802-$E803,0))</f>
        <v>0</v>
      </c>
      <c r="N803">
        <f>IF(COUNT($E$2:$E803)&lt;15,"",IF(AVERAGE($M$790:$M$803)=0,100,100-100/(1+AVERAGE($L$790:$L$803)/AVERAGE($M$790:$M$803))))</f>
        <v>0</v>
      </c>
      <c r="O803">
        <f>IF($E803="","",IF($E802="",$E803,$E803*0.1538461538+O802*0.8461538462))</f>
        <v>0</v>
      </c>
      <c r="P803">
        <f>IF($E803="","",IF($E802="",$E803,$E803*0.0740740741+P802*0.9259259259))</f>
        <v>0</v>
      </c>
      <c r="Q803">
        <f>IF(OR(O803="",P803=""),"",O803-P803)</f>
        <v>0</v>
      </c>
      <c r="R803">
        <f>IF(Q803="","",IF(R802="",Q803,Q803*0.2000000000+R802*0.8000000000))</f>
        <v>0</v>
      </c>
      <c r="S803">
        <f>IF(OR(Q803="",R803=""),"",Q803-R803)</f>
        <v>0</v>
      </c>
      <c r="T803">
        <f>IF(COUNT($E$2:$E803)&lt;14,"",MAX($C$790:$C$803))</f>
        <v>0</v>
      </c>
      <c r="U803">
        <f>IF(COUNT($E$2:$E803)&lt;14,"",MIN($D$790:$D$803))</f>
        <v>0</v>
      </c>
      <c r="V803">
        <f>IF(OR(T803="",U803="",T803=U803),"",100*($E803-U803)/(T803-U803))</f>
        <v>0</v>
      </c>
      <c r="W803">
        <f>IF(COUNT($V$801:$V$803)&lt;3,"",AVERAGE($V$801:$V$803))</f>
        <v>0</v>
      </c>
      <c r="X803">
        <f>IF(COUNT($N$790:$N$803)&lt;14,"",MIN($N$790:$N$803))</f>
        <v>0</v>
      </c>
      <c r="Y803">
        <f>IF(COUNT($N$790:$N$803)&lt;14,"",MAX($N$790:$N$803))</f>
        <v>0</v>
      </c>
      <c r="Z803">
        <f>IF(OR(N803="",X803="",Y803="",Y803=X803),"",100*(N803-X803)/(Y803-X803))</f>
        <v>0</v>
      </c>
      <c r="AA803">
        <f>IF(COUNT($Z$801:$Z$803)&lt;3,"",AVERAGE($Z$801:$Z$803))</f>
        <v>0</v>
      </c>
      <c r="AB803">
        <f>IF(COUNT($AA$801:$AA$803)&lt;3,"",AVERAGE($AA$801:$AA$803))</f>
        <v>0</v>
      </c>
      <c r="AC803">
        <f>IF($E803="","",MAX($C803-$D803,ABS($C803-$E802),ABS($D803-$E802)))</f>
        <v>0</v>
      </c>
      <c r="AD803">
        <f>IF(COUNT($E$2:$E803)&lt;15,"",AVERAGE($AC$790:$AC$803))</f>
        <v>0</v>
      </c>
      <c r="AE803">
        <f>IF(OR($E803="",$E802=""),"",IF(AND(($C803-$C802)&gt;($D802-$D803),($C803-$C802)&gt;0),$C803-$C802,0))</f>
        <v>0</v>
      </c>
      <c r="AF803">
        <f>IF(OR($E803="",$E802=""),"",IF(AND(($D802-$D803)&gt;($C803-$C802),($D802-$D803)&gt;0),$D802-$D803,0))</f>
        <v>0</v>
      </c>
      <c r="AG803">
        <f>IF(COUNT($E$2:$E803)&lt;15,"",IF(SUM($AC$790:$AC$803)=0,0,100*SUM($AE$790:$AE$803)/SUM($AC$790:$AC$803)))</f>
        <v>0</v>
      </c>
      <c r="AH803">
        <f>IF(COUNT($E$2:$E803)&lt;15,"",IF(SUM($AC$790:$AC$803)=0,0,100*SUM($AF$790:$AF$803)/SUM($AC$790:$AC$803)))</f>
        <v>0</v>
      </c>
      <c r="AI803">
        <f>IF(OR(AG803="",AH803=""),"",IF((AG803+AH803)=0,0,100*ABS(AG803-AH803)/(AG803+AH803)))</f>
        <v>0</v>
      </c>
      <c r="AJ803">
        <f>IF(COUNT($AI$790:$AI$803)&lt;14,"",AVERAGE($AI$790:$AI$803))</f>
        <v>0</v>
      </c>
      <c r="AK803">
        <f>IF(COUNT($E$2:$E803)&lt;20,"",AVERAGE($E$784:$E$803))</f>
        <v>0</v>
      </c>
      <c r="AL803">
        <f>IF(COUNT($E$2:$E803)&lt;20,"",STDEVP($E$784:$E$803))</f>
        <v>0</v>
      </c>
      <c r="AM803">
        <f>IF(AK803="","",AK803+2*AL803)</f>
        <v>0</v>
      </c>
      <c r="AN803">
        <f>IF(AK803="","",AK803-2*AL803)</f>
        <v>0</v>
      </c>
      <c r="AO803">
        <f>IF(OR(AM803="",AN803="",AM803=AN803),"",($E803-AN803)/(AM803-AN803))</f>
        <v>0</v>
      </c>
      <c r="AP803">
        <f>IF(OR(AM803="",AK803="",AK803=0),"",(AM803-AN803)/AK803)</f>
        <v>0</v>
      </c>
      <c r="AQ803">
        <f>IF(COUNT($E$2:$E803)&lt;20,"",MAX($C$784:$C$803))</f>
        <v>0</v>
      </c>
      <c r="AR803">
        <f>IF(COUNT($E$2:$E803)&lt;20,"",MIN($D$784:$D$803))</f>
        <v>0</v>
      </c>
      <c r="AS803">
        <f>IF(OR(AQ803="",AR803=""),"",(AQ803+AR803)/2)</f>
        <v>0</v>
      </c>
      <c r="AT803">
        <f>IF(COUNT($G$784:$G$803)&lt;20,"",STDEV($G$784:$G$803)*SQRT(252))</f>
        <v>0</v>
      </c>
      <c r="AU803">
        <f>IF(COUNT($E$2:$E803)&lt;9,"",(MAX($C$795:$C$803)+MIN($D$795:$D$803))/2)</f>
        <v>0</v>
      </c>
      <c r="AV803">
        <f>IF(COUNT($E$2:$E803)&lt;26,"",(MAX($C$778:$C$803)+MIN($D$778:$D$803))/2)</f>
        <v>0</v>
      </c>
      <c r="AW803">
        <f>IF(OR(AU803="",AV803=""),"",(AU803+AV803)/2)</f>
        <v>0</v>
      </c>
      <c r="AX803">
        <f>IF(COUNT($E$2:$E803)&lt;52,"",(MAX($C$752:$C$803)+MIN($D$752:$D$803))/2)</f>
        <v>0</v>
      </c>
      <c r="AY803">
        <f>IF(COUNT($E$2:$E803)&lt;20,"",MAX($C$704:$C$803))</f>
        <v>0</v>
      </c>
      <c r="AZ803">
        <f>IF(COUNT($E$2:$E803)&lt;20,"",MIN($D$704:$D$803))</f>
        <v>0</v>
      </c>
      <c r="BA803">
        <f>IF(COUNT($E$2:$E803)&lt;20,"",SLOPE($E$704:$E$803,$F$704:$F$803))</f>
        <v>0</v>
      </c>
      <c r="BB803">
        <f>IF(COUNT($E$2:$E803)&lt;20,"",INTERCEPT($E$704:$E$803,$F$704:$F$803))</f>
        <v>0</v>
      </c>
      <c r="BC803">
        <f>IF(OR(BA803="",BB803=""),"",BB803+BA803*F803)</f>
        <v>0</v>
      </c>
      <c r="BD803">
        <f>IF(COUNT($E$2:$E803)&lt;20,"",STEYX($E$704:$E$803,$F$704:$F$803))</f>
        <v>0</v>
      </c>
      <c r="BE803">
        <f>IF($E803="","",IF(AND(COUNT($E$804:$E$807)&gt;=4,$C803=MAX($C$799:$C$807)),$C803,""))</f>
        <v>0</v>
      </c>
      <c r="BF803">
        <f>IF($E803="","",IF(AND(COUNT($E$804:$E$807)&gt;=4,$D803=MIN($D$799:$D$807)),$D803,""))</f>
        <v>0</v>
      </c>
      <c r="BG803">
        <f>IF($A803="","",$A803-WEEKDAY($A803,2)+1)</f>
        <v>0</v>
      </c>
      <c r="BH803">
        <f>IF($A803="","",IF($A802="",1,IF(BG803&lt;&gt;BG802,1,0)))</f>
        <v>0</v>
      </c>
      <c r="BI803">
        <f>IF($A803="","",IF($A804="",1,IF(BG804&lt;&gt;BG803,1,0)))</f>
        <v>0</v>
      </c>
      <c r="BJ803">
        <f>IF($A803="","",IF(BH803=1,$B803,BJ802))</f>
        <v>0</v>
      </c>
      <c r="BK803">
        <f>IF($A803="","",IF(BH803=1,$C803,MAX($C803,BK802)))</f>
        <v>0</v>
      </c>
      <c r="BL803">
        <f>IF($A803="","",IF(BH803=1,$D803,MIN($D803,BL802)))</f>
        <v>0</v>
      </c>
      <c r="BM803">
        <f>IF($A803="","",IF(BI803=1,F803,""))</f>
        <v>0</v>
      </c>
      <c r="BN803">
        <f>IF($A803="","",DATE(YEAR($A803),MONTH($A803),1))</f>
        <v>0</v>
      </c>
      <c r="BO803">
        <f>IF($A803="","",IF($A802="",1,IF(BN803&lt;&gt;BN802,1,0)))</f>
        <v>0</v>
      </c>
      <c r="BP803">
        <f>IF($A803="","",IF($A804="",1,IF(BN804&lt;&gt;BN803,1,0)))</f>
        <v>0</v>
      </c>
      <c r="BQ803">
        <f>IF($A803="","",IF(BO803=1,$B803,BQ802))</f>
        <v>0</v>
      </c>
      <c r="BR803">
        <f>IF($A803="","",IF(BO803=1,$C803,MAX($C803,BR802)))</f>
        <v>0</v>
      </c>
      <c r="BS803">
        <f>IF($A803="","",IF(BO803=1,$D803,MIN($D803,BS802)))</f>
        <v>0</v>
      </c>
      <c r="BT803">
        <f>IF($A803="","",IF(BP803=1,F803,""))</f>
        <v>0</v>
      </c>
    </row>
    <row r="804" spans="1:72">
      <c r="A804" s="27">
        <f>IF(Data!$A804="","",Data!$A804)</f>
        <v>0</v>
      </c>
      <c r="B804">
        <f>IF(Data!$B804="","",Data!$B804)</f>
        <v>0</v>
      </c>
      <c r="C804">
        <f>IF(Data!$C804="","",Data!$C804)</f>
        <v>0</v>
      </c>
      <c r="D804">
        <f>IF(Data!$D804="","",Data!$D804)</f>
        <v>0</v>
      </c>
      <c r="E804">
        <f>IF(Data!$E804="","",Data!$E804)</f>
        <v>0</v>
      </c>
      <c r="F804">
        <f>IF($E804="","",N(F803)+1)</f>
        <v>0</v>
      </c>
      <c r="G804">
        <f>IF(OR($E804="",$E803=""),"",LN($E804/$E803))</f>
        <v>0</v>
      </c>
      <c r="H804">
        <f>IF($E804="","",IF($E803="",$E804,$E804*0.0952380952+H803*0.9047619048))</f>
        <v>0</v>
      </c>
      <c r="I804">
        <f>IF($E804="","",IF($E803="",$E804,$E804*0.0392156863+I803*0.9607843137))</f>
        <v>0</v>
      </c>
      <c r="J804">
        <f>IF($E804="","",IF($E803="",$E804,$E804*0.0198019802+J803*0.9801980198))</f>
        <v>0</v>
      </c>
      <c r="K804">
        <f>IF($E804="","",IF($E803="",$E804,$E804*0.0099502488+K803*0.9900497512))</f>
        <v>0</v>
      </c>
      <c r="L804">
        <f>IF(OR($E804="",$E803=""),"",MAX($E804-$E803,0))</f>
        <v>0</v>
      </c>
      <c r="M804">
        <f>IF(OR($E804="",$E803=""),"",MAX($E803-$E804,0))</f>
        <v>0</v>
      </c>
      <c r="N804">
        <f>IF(COUNT($E$2:$E804)&lt;15,"",IF(AVERAGE($M$791:$M$804)=0,100,100-100/(1+AVERAGE($L$791:$L$804)/AVERAGE($M$791:$M$804))))</f>
        <v>0</v>
      </c>
      <c r="O804">
        <f>IF($E804="","",IF($E803="",$E804,$E804*0.1538461538+O803*0.8461538462))</f>
        <v>0</v>
      </c>
      <c r="P804">
        <f>IF($E804="","",IF($E803="",$E804,$E804*0.0740740741+P803*0.9259259259))</f>
        <v>0</v>
      </c>
      <c r="Q804">
        <f>IF(OR(O804="",P804=""),"",O804-P804)</f>
        <v>0</v>
      </c>
      <c r="R804">
        <f>IF(Q804="","",IF(R803="",Q804,Q804*0.2000000000+R803*0.8000000000))</f>
        <v>0</v>
      </c>
      <c r="S804">
        <f>IF(OR(Q804="",R804=""),"",Q804-R804)</f>
        <v>0</v>
      </c>
      <c r="T804">
        <f>IF(COUNT($E$2:$E804)&lt;14,"",MAX($C$791:$C$804))</f>
        <v>0</v>
      </c>
      <c r="U804">
        <f>IF(COUNT($E$2:$E804)&lt;14,"",MIN($D$791:$D$804))</f>
        <v>0</v>
      </c>
      <c r="V804">
        <f>IF(OR(T804="",U804="",T804=U804),"",100*($E804-U804)/(T804-U804))</f>
        <v>0</v>
      </c>
      <c r="W804">
        <f>IF(COUNT($V$802:$V$804)&lt;3,"",AVERAGE($V$802:$V$804))</f>
        <v>0</v>
      </c>
      <c r="X804">
        <f>IF(COUNT($N$791:$N$804)&lt;14,"",MIN($N$791:$N$804))</f>
        <v>0</v>
      </c>
      <c r="Y804">
        <f>IF(COUNT($N$791:$N$804)&lt;14,"",MAX($N$791:$N$804))</f>
        <v>0</v>
      </c>
      <c r="Z804">
        <f>IF(OR(N804="",X804="",Y804="",Y804=X804),"",100*(N804-X804)/(Y804-X804))</f>
        <v>0</v>
      </c>
      <c r="AA804">
        <f>IF(COUNT($Z$802:$Z$804)&lt;3,"",AVERAGE($Z$802:$Z$804))</f>
        <v>0</v>
      </c>
      <c r="AB804">
        <f>IF(COUNT($AA$802:$AA$804)&lt;3,"",AVERAGE($AA$802:$AA$804))</f>
        <v>0</v>
      </c>
      <c r="AC804">
        <f>IF($E804="","",MAX($C804-$D804,ABS($C804-$E803),ABS($D804-$E803)))</f>
        <v>0</v>
      </c>
      <c r="AD804">
        <f>IF(COUNT($E$2:$E804)&lt;15,"",AVERAGE($AC$791:$AC$804))</f>
        <v>0</v>
      </c>
      <c r="AE804">
        <f>IF(OR($E804="",$E803=""),"",IF(AND(($C804-$C803)&gt;($D803-$D804),($C804-$C803)&gt;0),$C804-$C803,0))</f>
        <v>0</v>
      </c>
      <c r="AF804">
        <f>IF(OR($E804="",$E803=""),"",IF(AND(($D803-$D804)&gt;($C804-$C803),($D803-$D804)&gt;0),$D803-$D804,0))</f>
        <v>0</v>
      </c>
      <c r="AG804">
        <f>IF(COUNT($E$2:$E804)&lt;15,"",IF(SUM($AC$791:$AC$804)=0,0,100*SUM($AE$791:$AE$804)/SUM($AC$791:$AC$804)))</f>
        <v>0</v>
      </c>
      <c r="AH804">
        <f>IF(COUNT($E$2:$E804)&lt;15,"",IF(SUM($AC$791:$AC$804)=0,0,100*SUM($AF$791:$AF$804)/SUM($AC$791:$AC$804)))</f>
        <v>0</v>
      </c>
      <c r="AI804">
        <f>IF(OR(AG804="",AH804=""),"",IF((AG804+AH804)=0,0,100*ABS(AG804-AH804)/(AG804+AH804)))</f>
        <v>0</v>
      </c>
      <c r="AJ804">
        <f>IF(COUNT($AI$791:$AI$804)&lt;14,"",AVERAGE($AI$791:$AI$804))</f>
        <v>0</v>
      </c>
      <c r="AK804">
        <f>IF(COUNT($E$2:$E804)&lt;20,"",AVERAGE($E$785:$E$804))</f>
        <v>0</v>
      </c>
      <c r="AL804">
        <f>IF(COUNT($E$2:$E804)&lt;20,"",STDEVP($E$785:$E$804))</f>
        <v>0</v>
      </c>
      <c r="AM804">
        <f>IF(AK804="","",AK804+2*AL804)</f>
        <v>0</v>
      </c>
      <c r="AN804">
        <f>IF(AK804="","",AK804-2*AL804)</f>
        <v>0</v>
      </c>
      <c r="AO804">
        <f>IF(OR(AM804="",AN804="",AM804=AN804),"",($E804-AN804)/(AM804-AN804))</f>
        <v>0</v>
      </c>
      <c r="AP804">
        <f>IF(OR(AM804="",AK804="",AK804=0),"",(AM804-AN804)/AK804)</f>
        <v>0</v>
      </c>
      <c r="AQ804">
        <f>IF(COUNT($E$2:$E804)&lt;20,"",MAX($C$785:$C$804))</f>
        <v>0</v>
      </c>
      <c r="AR804">
        <f>IF(COUNT($E$2:$E804)&lt;20,"",MIN($D$785:$D$804))</f>
        <v>0</v>
      </c>
      <c r="AS804">
        <f>IF(OR(AQ804="",AR804=""),"",(AQ804+AR804)/2)</f>
        <v>0</v>
      </c>
      <c r="AT804">
        <f>IF(COUNT($G$785:$G$804)&lt;20,"",STDEV($G$785:$G$804)*SQRT(252))</f>
        <v>0</v>
      </c>
      <c r="AU804">
        <f>IF(COUNT($E$2:$E804)&lt;9,"",(MAX($C$796:$C$804)+MIN($D$796:$D$804))/2)</f>
        <v>0</v>
      </c>
      <c r="AV804">
        <f>IF(COUNT($E$2:$E804)&lt;26,"",(MAX($C$779:$C$804)+MIN($D$779:$D$804))/2)</f>
        <v>0</v>
      </c>
      <c r="AW804">
        <f>IF(OR(AU804="",AV804=""),"",(AU804+AV804)/2)</f>
        <v>0</v>
      </c>
      <c r="AX804">
        <f>IF(COUNT($E$2:$E804)&lt;52,"",(MAX($C$753:$C$804)+MIN($D$753:$D$804))/2)</f>
        <v>0</v>
      </c>
      <c r="AY804">
        <f>IF(COUNT($E$2:$E804)&lt;20,"",MAX($C$705:$C$804))</f>
        <v>0</v>
      </c>
      <c r="AZ804">
        <f>IF(COUNT($E$2:$E804)&lt;20,"",MIN($D$705:$D$804))</f>
        <v>0</v>
      </c>
      <c r="BA804">
        <f>IF(COUNT($E$2:$E804)&lt;20,"",SLOPE($E$705:$E$804,$F$705:$F$804))</f>
        <v>0</v>
      </c>
      <c r="BB804">
        <f>IF(COUNT($E$2:$E804)&lt;20,"",INTERCEPT($E$705:$E$804,$F$705:$F$804))</f>
        <v>0</v>
      </c>
      <c r="BC804">
        <f>IF(OR(BA804="",BB804=""),"",BB804+BA804*F804)</f>
        <v>0</v>
      </c>
      <c r="BD804">
        <f>IF(COUNT($E$2:$E804)&lt;20,"",STEYX($E$705:$E$804,$F$705:$F$804))</f>
        <v>0</v>
      </c>
      <c r="BE804">
        <f>IF($E804="","",IF(AND(COUNT($E$805:$E$808)&gt;=4,$C804=MAX($C$800:$C$808)),$C804,""))</f>
        <v>0</v>
      </c>
      <c r="BF804">
        <f>IF($E804="","",IF(AND(COUNT($E$805:$E$808)&gt;=4,$D804=MIN($D$800:$D$808)),$D804,""))</f>
        <v>0</v>
      </c>
      <c r="BG804">
        <f>IF($A804="","",$A804-WEEKDAY($A804,2)+1)</f>
        <v>0</v>
      </c>
      <c r="BH804">
        <f>IF($A804="","",IF($A803="",1,IF(BG804&lt;&gt;BG803,1,0)))</f>
        <v>0</v>
      </c>
      <c r="BI804">
        <f>IF($A804="","",IF($A805="",1,IF(BG805&lt;&gt;BG804,1,0)))</f>
        <v>0</v>
      </c>
      <c r="BJ804">
        <f>IF($A804="","",IF(BH804=1,$B804,BJ803))</f>
        <v>0</v>
      </c>
      <c r="BK804">
        <f>IF($A804="","",IF(BH804=1,$C804,MAX($C804,BK803)))</f>
        <v>0</v>
      </c>
      <c r="BL804">
        <f>IF($A804="","",IF(BH804=1,$D804,MIN($D804,BL803)))</f>
        <v>0</v>
      </c>
      <c r="BM804">
        <f>IF($A804="","",IF(BI804=1,F804,""))</f>
        <v>0</v>
      </c>
      <c r="BN804">
        <f>IF($A804="","",DATE(YEAR($A804),MONTH($A804),1))</f>
        <v>0</v>
      </c>
      <c r="BO804">
        <f>IF($A804="","",IF($A803="",1,IF(BN804&lt;&gt;BN803,1,0)))</f>
        <v>0</v>
      </c>
      <c r="BP804">
        <f>IF($A804="","",IF($A805="",1,IF(BN805&lt;&gt;BN804,1,0)))</f>
        <v>0</v>
      </c>
      <c r="BQ804">
        <f>IF($A804="","",IF(BO804=1,$B804,BQ803))</f>
        <v>0</v>
      </c>
      <c r="BR804">
        <f>IF($A804="","",IF(BO804=1,$C804,MAX($C804,BR803)))</f>
        <v>0</v>
      </c>
      <c r="BS804">
        <f>IF($A804="","",IF(BO804=1,$D804,MIN($D804,BS803)))</f>
        <v>0</v>
      </c>
      <c r="BT804">
        <f>IF($A804="","",IF(BP804=1,F804,""))</f>
        <v>0</v>
      </c>
    </row>
    <row r="805" spans="1:72">
      <c r="A805" s="27">
        <f>IF(Data!$A805="","",Data!$A805)</f>
        <v>0</v>
      </c>
      <c r="B805">
        <f>IF(Data!$B805="","",Data!$B805)</f>
        <v>0</v>
      </c>
      <c r="C805">
        <f>IF(Data!$C805="","",Data!$C805)</f>
        <v>0</v>
      </c>
      <c r="D805">
        <f>IF(Data!$D805="","",Data!$D805)</f>
        <v>0</v>
      </c>
      <c r="E805">
        <f>IF(Data!$E805="","",Data!$E805)</f>
        <v>0</v>
      </c>
      <c r="F805">
        <f>IF($E805="","",N(F804)+1)</f>
        <v>0</v>
      </c>
      <c r="G805">
        <f>IF(OR($E805="",$E804=""),"",LN($E805/$E804))</f>
        <v>0</v>
      </c>
      <c r="H805">
        <f>IF($E805="","",IF($E804="",$E805,$E805*0.0952380952+H804*0.9047619048))</f>
        <v>0</v>
      </c>
      <c r="I805">
        <f>IF($E805="","",IF($E804="",$E805,$E805*0.0392156863+I804*0.9607843137))</f>
        <v>0</v>
      </c>
      <c r="J805">
        <f>IF($E805="","",IF($E804="",$E805,$E805*0.0198019802+J804*0.9801980198))</f>
        <v>0</v>
      </c>
      <c r="K805">
        <f>IF($E805="","",IF($E804="",$E805,$E805*0.0099502488+K804*0.9900497512))</f>
        <v>0</v>
      </c>
      <c r="L805">
        <f>IF(OR($E805="",$E804=""),"",MAX($E805-$E804,0))</f>
        <v>0</v>
      </c>
      <c r="M805">
        <f>IF(OR($E805="",$E804=""),"",MAX($E804-$E805,0))</f>
        <v>0</v>
      </c>
      <c r="N805">
        <f>IF(COUNT($E$2:$E805)&lt;15,"",IF(AVERAGE($M$792:$M$805)=0,100,100-100/(1+AVERAGE($L$792:$L$805)/AVERAGE($M$792:$M$805))))</f>
        <v>0</v>
      </c>
      <c r="O805">
        <f>IF($E805="","",IF($E804="",$E805,$E805*0.1538461538+O804*0.8461538462))</f>
        <v>0</v>
      </c>
      <c r="P805">
        <f>IF($E805="","",IF($E804="",$E805,$E805*0.0740740741+P804*0.9259259259))</f>
        <v>0</v>
      </c>
      <c r="Q805">
        <f>IF(OR(O805="",P805=""),"",O805-P805)</f>
        <v>0</v>
      </c>
      <c r="R805">
        <f>IF(Q805="","",IF(R804="",Q805,Q805*0.2000000000+R804*0.8000000000))</f>
        <v>0</v>
      </c>
      <c r="S805">
        <f>IF(OR(Q805="",R805=""),"",Q805-R805)</f>
        <v>0</v>
      </c>
      <c r="T805">
        <f>IF(COUNT($E$2:$E805)&lt;14,"",MAX($C$792:$C$805))</f>
        <v>0</v>
      </c>
      <c r="U805">
        <f>IF(COUNT($E$2:$E805)&lt;14,"",MIN($D$792:$D$805))</f>
        <v>0</v>
      </c>
      <c r="V805">
        <f>IF(OR(T805="",U805="",T805=U805),"",100*($E805-U805)/(T805-U805))</f>
        <v>0</v>
      </c>
      <c r="W805">
        <f>IF(COUNT($V$803:$V$805)&lt;3,"",AVERAGE($V$803:$V$805))</f>
        <v>0</v>
      </c>
      <c r="X805">
        <f>IF(COUNT($N$792:$N$805)&lt;14,"",MIN($N$792:$N$805))</f>
        <v>0</v>
      </c>
      <c r="Y805">
        <f>IF(COUNT($N$792:$N$805)&lt;14,"",MAX($N$792:$N$805))</f>
        <v>0</v>
      </c>
      <c r="Z805">
        <f>IF(OR(N805="",X805="",Y805="",Y805=X805),"",100*(N805-X805)/(Y805-X805))</f>
        <v>0</v>
      </c>
      <c r="AA805">
        <f>IF(COUNT($Z$803:$Z$805)&lt;3,"",AVERAGE($Z$803:$Z$805))</f>
        <v>0</v>
      </c>
      <c r="AB805">
        <f>IF(COUNT($AA$803:$AA$805)&lt;3,"",AVERAGE($AA$803:$AA$805))</f>
        <v>0</v>
      </c>
      <c r="AC805">
        <f>IF($E805="","",MAX($C805-$D805,ABS($C805-$E804),ABS($D805-$E804)))</f>
        <v>0</v>
      </c>
      <c r="AD805">
        <f>IF(COUNT($E$2:$E805)&lt;15,"",AVERAGE($AC$792:$AC$805))</f>
        <v>0</v>
      </c>
      <c r="AE805">
        <f>IF(OR($E805="",$E804=""),"",IF(AND(($C805-$C804)&gt;($D804-$D805),($C805-$C804)&gt;0),$C805-$C804,0))</f>
        <v>0</v>
      </c>
      <c r="AF805">
        <f>IF(OR($E805="",$E804=""),"",IF(AND(($D804-$D805)&gt;($C805-$C804),($D804-$D805)&gt;0),$D804-$D805,0))</f>
        <v>0</v>
      </c>
      <c r="AG805">
        <f>IF(COUNT($E$2:$E805)&lt;15,"",IF(SUM($AC$792:$AC$805)=0,0,100*SUM($AE$792:$AE$805)/SUM($AC$792:$AC$805)))</f>
        <v>0</v>
      </c>
      <c r="AH805">
        <f>IF(COUNT($E$2:$E805)&lt;15,"",IF(SUM($AC$792:$AC$805)=0,0,100*SUM($AF$792:$AF$805)/SUM($AC$792:$AC$805)))</f>
        <v>0</v>
      </c>
      <c r="AI805">
        <f>IF(OR(AG805="",AH805=""),"",IF((AG805+AH805)=0,0,100*ABS(AG805-AH805)/(AG805+AH805)))</f>
        <v>0</v>
      </c>
      <c r="AJ805">
        <f>IF(COUNT($AI$792:$AI$805)&lt;14,"",AVERAGE($AI$792:$AI$805))</f>
        <v>0</v>
      </c>
      <c r="AK805">
        <f>IF(COUNT($E$2:$E805)&lt;20,"",AVERAGE($E$786:$E$805))</f>
        <v>0</v>
      </c>
      <c r="AL805">
        <f>IF(COUNT($E$2:$E805)&lt;20,"",STDEVP($E$786:$E$805))</f>
        <v>0</v>
      </c>
      <c r="AM805">
        <f>IF(AK805="","",AK805+2*AL805)</f>
        <v>0</v>
      </c>
      <c r="AN805">
        <f>IF(AK805="","",AK805-2*AL805)</f>
        <v>0</v>
      </c>
      <c r="AO805">
        <f>IF(OR(AM805="",AN805="",AM805=AN805),"",($E805-AN805)/(AM805-AN805))</f>
        <v>0</v>
      </c>
      <c r="AP805">
        <f>IF(OR(AM805="",AK805="",AK805=0),"",(AM805-AN805)/AK805)</f>
        <v>0</v>
      </c>
      <c r="AQ805">
        <f>IF(COUNT($E$2:$E805)&lt;20,"",MAX($C$786:$C$805))</f>
        <v>0</v>
      </c>
      <c r="AR805">
        <f>IF(COUNT($E$2:$E805)&lt;20,"",MIN($D$786:$D$805))</f>
        <v>0</v>
      </c>
      <c r="AS805">
        <f>IF(OR(AQ805="",AR805=""),"",(AQ805+AR805)/2)</f>
        <v>0</v>
      </c>
      <c r="AT805">
        <f>IF(COUNT($G$786:$G$805)&lt;20,"",STDEV($G$786:$G$805)*SQRT(252))</f>
        <v>0</v>
      </c>
      <c r="AU805">
        <f>IF(COUNT($E$2:$E805)&lt;9,"",(MAX($C$797:$C$805)+MIN($D$797:$D$805))/2)</f>
        <v>0</v>
      </c>
      <c r="AV805">
        <f>IF(COUNT($E$2:$E805)&lt;26,"",(MAX($C$780:$C$805)+MIN($D$780:$D$805))/2)</f>
        <v>0</v>
      </c>
      <c r="AW805">
        <f>IF(OR(AU805="",AV805=""),"",(AU805+AV805)/2)</f>
        <v>0</v>
      </c>
      <c r="AX805">
        <f>IF(COUNT($E$2:$E805)&lt;52,"",(MAX($C$754:$C$805)+MIN($D$754:$D$805))/2)</f>
        <v>0</v>
      </c>
      <c r="AY805">
        <f>IF(COUNT($E$2:$E805)&lt;20,"",MAX($C$706:$C$805))</f>
        <v>0</v>
      </c>
      <c r="AZ805">
        <f>IF(COUNT($E$2:$E805)&lt;20,"",MIN($D$706:$D$805))</f>
        <v>0</v>
      </c>
      <c r="BA805">
        <f>IF(COUNT($E$2:$E805)&lt;20,"",SLOPE($E$706:$E$805,$F$706:$F$805))</f>
        <v>0</v>
      </c>
      <c r="BB805">
        <f>IF(COUNT($E$2:$E805)&lt;20,"",INTERCEPT($E$706:$E$805,$F$706:$F$805))</f>
        <v>0</v>
      </c>
      <c r="BC805">
        <f>IF(OR(BA805="",BB805=""),"",BB805+BA805*F805)</f>
        <v>0</v>
      </c>
      <c r="BD805">
        <f>IF(COUNT($E$2:$E805)&lt;20,"",STEYX($E$706:$E$805,$F$706:$F$805))</f>
        <v>0</v>
      </c>
      <c r="BE805">
        <f>IF($E805="","",IF(AND(COUNT($E$806:$E$809)&gt;=4,$C805=MAX($C$801:$C$809)),$C805,""))</f>
        <v>0</v>
      </c>
      <c r="BF805">
        <f>IF($E805="","",IF(AND(COUNT($E$806:$E$809)&gt;=4,$D805=MIN($D$801:$D$809)),$D805,""))</f>
        <v>0</v>
      </c>
      <c r="BG805">
        <f>IF($A805="","",$A805-WEEKDAY($A805,2)+1)</f>
        <v>0</v>
      </c>
      <c r="BH805">
        <f>IF($A805="","",IF($A804="",1,IF(BG805&lt;&gt;BG804,1,0)))</f>
        <v>0</v>
      </c>
      <c r="BI805">
        <f>IF($A805="","",IF($A806="",1,IF(BG806&lt;&gt;BG805,1,0)))</f>
        <v>0</v>
      </c>
      <c r="BJ805">
        <f>IF($A805="","",IF(BH805=1,$B805,BJ804))</f>
        <v>0</v>
      </c>
      <c r="BK805">
        <f>IF($A805="","",IF(BH805=1,$C805,MAX($C805,BK804)))</f>
        <v>0</v>
      </c>
      <c r="BL805">
        <f>IF($A805="","",IF(BH805=1,$D805,MIN($D805,BL804)))</f>
        <v>0</v>
      </c>
      <c r="BM805">
        <f>IF($A805="","",IF(BI805=1,F805,""))</f>
        <v>0</v>
      </c>
      <c r="BN805">
        <f>IF($A805="","",DATE(YEAR($A805),MONTH($A805),1))</f>
        <v>0</v>
      </c>
      <c r="BO805">
        <f>IF($A805="","",IF($A804="",1,IF(BN805&lt;&gt;BN804,1,0)))</f>
        <v>0</v>
      </c>
      <c r="BP805">
        <f>IF($A805="","",IF($A806="",1,IF(BN806&lt;&gt;BN805,1,0)))</f>
        <v>0</v>
      </c>
      <c r="BQ805">
        <f>IF($A805="","",IF(BO805=1,$B805,BQ804))</f>
        <v>0</v>
      </c>
      <c r="BR805">
        <f>IF($A805="","",IF(BO805=1,$C805,MAX($C805,BR804)))</f>
        <v>0</v>
      </c>
      <c r="BS805">
        <f>IF($A805="","",IF(BO805=1,$D805,MIN($D805,BS804)))</f>
        <v>0</v>
      </c>
      <c r="BT805">
        <f>IF($A805="","",IF(BP805=1,F805,""))</f>
        <v>0</v>
      </c>
    </row>
    <row r="806" spans="1:72">
      <c r="A806" s="27">
        <f>IF(Data!$A806="","",Data!$A806)</f>
        <v>0</v>
      </c>
      <c r="B806">
        <f>IF(Data!$B806="","",Data!$B806)</f>
        <v>0</v>
      </c>
      <c r="C806">
        <f>IF(Data!$C806="","",Data!$C806)</f>
        <v>0</v>
      </c>
      <c r="D806">
        <f>IF(Data!$D806="","",Data!$D806)</f>
        <v>0</v>
      </c>
      <c r="E806">
        <f>IF(Data!$E806="","",Data!$E806)</f>
        <v>0</v>
      </c>
      <c r="F806">
        <f>IF($E806="","",N(F805)+1)</f>
        <v>0</v>
      </c>
      <c r="G806">
        <f>IF(OR($E806="",$E805=""),"",LN($E806/$E805))</f>
        <v>0</v>
      </c>
      <c r="H806">
        <f>IF($E806="","",IF($E805="",$E806,$E806*0.0952380952+H805*0.9047619048))</f>
        <v>0</v>
      </c>
      <c r="I806">
        <f>IF($E806="","",IF($E805="",$E806,$E806*0.0392156863+I805*0.9607843137))</f>
        <v>0</v>
      </c>
      <c r="J806">
        <f>IF($E806="","",IF($E805="",$E806,$E806*0.0198019802+J805*0.9801980198))</f>
        <v>0</v>
      </c>
      <c r="K806">
        <f>IF($E806="","",IF($E805="",$E806,$E806*0.0099502488+K805*0.9900497512))</f>
        <v>0</v>
      </c>
      <c r="L806">
        <f>IF(OR($E806="",$E805=""),"",MAX($E806-$E805,0))</f>
        <v>0</v>
      </c>
      <c r="M806">
        <f>IF(OR($E806="",$E805=""),"",MAX($E805-$E806,0))</f>
        <v>0</v>
      </c>
      <c r="N806">
        <f>IF(COUNT($E$2:$E806)&lt;15,"",IF(AVERAGE($M$793:$M$806)=0,100,100-100/(1+AVERAGE($L$793:$L$806)/AVERAGE($M$793:$M$806))))</f>
        <v>0</v>
      </c>
      <c r="O806">
        <f>IF($E806="","",IF($E805="",$E806,$E806*0.1538461538+O805*0.8461538462))</f>
        <v>0</v>
      </c>
      <c r="P806">
        <f>IF($E806="","",IF($E805="",$E806,$E806*0.0740740741+P805*0.9259259259))</f>
        <v>0</v>
      </c>
      <c r="Q806">
        <f>IF(OR(O806="",P806=""),"",O806-P806)</f>
        <v>0</v>
      </c>
      <c r="R806">
        <f>IF(Q806="","",IF(R805="",Q806,Q806*0.2000000000+R805*0.8000000000))</f>
        <v>0</v>
      </c>
      <c r="S806">
        <f>IF(OR(Q806="",R806=""),"",Q806-R806)</f>
        <v>0</v>
      </c>
      <c r="T806">
        <f>IF(COUNT($E$2:$E806)&lt;14,"",MAX($C$793:$C$806))</f>
        <v>0</v>
      </c>
      <c r="U806">
        <f>IF(COUNT($E$2:$E806)&lt;14,"",MIN($D$793:$D$806))</f>
        <v>0</v>
      </c>
      <c r="V806">
        <f>IF(OR(T806="",U806="",T806=U806),"",100*($E806-U806)/(T806-U806))</f>
        <v>0</v>
      </c>
      <c r="W806">
        <f>IF(COUNT($V$804:$V$806)&lt;3,"",AVERAGE($V$804:$V$806))</f>
        <v>0</v>
      </c>
      <c r="X806">
        <f>IF(COUNT($N$793:$N$806)&lt;14,"",MIN($N$793:$N$806))</f>
        <v>0</v>
      </c>
      <c r="Y806">
        <f>IF(COUNT($N$793:$N$806)&lt;14,"",MAX($N$793:$N$806))</f>
        <v>0</v>
      </c>
      <c r="Z806">
        <f>IF(OR(N806="",X806="",Y806="",Y806=X806),"",100*(N806-X806)/(Y806-X806))</f>
        <v>0</v>
      </c>
      <c r="AA806">
        <f>IF(COUNT($Z$804:$Z$806)&lt;3,"",AVERAGE($Z$804:$Z$806))</f>
        <v>0</v>
      </c>
      <c r="AB806">
        <f>IF(COUNT($AA$804:$AA$806)&lt;3,"",AVERAGE($AA$804:$AA$806))</f>
        <v>0</v>
      </c>
      <c r="AC806">
        <f>IF($E806="","",MAX($C806-$D806,ABS($C806-$E805),ABS($D806-$E805)))</f>
        <v>0</v>
      </c>
      <c r="AD806">
        <f>IF(COUNT($E$2:$E806)&lt;15,"",AVERAGE($AC$793:$AC$806))</f>
        <v>0</v>
      </c>
      <c r="AE806">
        <f>IF(OR($E806="",$E805=""),"",IF(AND(($C806-$C805)&gt;($D805-$D806),($C806-$C805)&gt;0),$C806-$C805,0))</f>
        <v>0</v>
      </c>
      <c r="AF806">
        <f>IF(OR($E806="",$E805=""),"",IF(AND(($D805-$D806)&gt;($C806-$C805),($D805-$D806)&gt;0),$D805-$D806,0))</f>
        <v>0</v>
      </c>
      <c r="AG806">
        <f>IF(COUNT($E$2:$E806)&lt;15,"",IF(SUM($AC$793:$AC$806)=0,0,100*SUM($AE$793:$AE$806)/SUM($AC$793:$AC$806)))</f>
        <v>0</v>
      </c>
      <c r="AH806">
        <f>IF(COUNT($E$2:$E806)&lt;15,"",IF(SUM($AC$793:$AC$806)=0,0,100*SUM($AF$793:$AF$806)/SUM($AC$793:$AC$806)))</f>
        <v>0</v>
      </c>
      <c r="AI806">
        <f>IF(OR(AG806="",AH806=""),"",IF((AG806+AH806)=0,0,100*ABS(AG806-AH806)/(AG806+AH806)))</f>
        <v>0</v>
      </c>
      <c r="AJ806">
        <f>IF(COUNT($AI$793:$AI$806)&lt;14,"",AVERAGE($AI$793:$AI$806))</f>
        <v>0</v>
      </c>
      <c r="AK806">
        <f>IF(COUNT($E$2:$E806)&lt;20,"",AVERAGE($E$787:$E$806))</f>
        <v>0</v>
      </c>
      <c r="AL806">
        <f>IF(COUNT($E$2:$E806)&lt;20,"",STDEVP($E$787:$E$806))</f>
        <v>0</v>
      </c>
      <c r="AM806">
        <f>IF(AK806="","",AK806+2*AL806)</f>
        <v>0</v>
      </c>
      <c r="AN806">
        <f>IF(AK806="","",AK806-2*AL806)</f>
        <v>0</v>
      </c>
      <c r="AO806">
        <f>IF(OR(AM806="",AN806="",AM806=AN806),"",($E806-AN806)/(AM806-AN806))</f>
        <v>0</v>
      </c>
      <c r="AP806">
        <f>IF(OR(AM806="",AK806="",AK806=0),"",(AM806-AN806)/AK806)</f>
        <v>0</v>
      </c>
      <c r="AQ806">
        <f>IF(COUNT($E$2:$E806)&lt;20,"",MAX($C$787:$C$806))</f>
        <v>0</v>
      </c>
      <c r="AR806">
        <f>IF(COUNT($E$2:$E806)&lt;20,"",MIN($D$787:$D$806))</f>
        <v>0</v>
      </c>
      <c r="AS806">
        <f>IF(OR(AQ806="",AR806=""),"",(AQ806+AR806)/2)</f>
        <v>0</v>
      </c>
      <c r="AT806">
        <f>IF(COUNT($G$787:$G$806)&lt;20,"",STDEV($G$787:$G$806)*SQRT(252))</f>
        <v>0</v>
      </c>
      <c r="AU806">
        <f>IF(COUNT($E$2:$E806)&lt;9,"",(MAX($C$798:$C$806)+MIN($D$798:$D$806))/2)</f>
        <v>0</v>
      </c>
      <c r="AV806">
        <f>IF(COUNT($E$2:$E806)&lt;26,"",(MAX($C$781:$C$806)+MIN($D$781:$D$806))/2)</f>
        <v>0</v>
      </c>
      <c r="AW806">
        <f>IF(OR(AU806="",AV806=""),"",(AU806+AV806)/2)</f>
        <v>0</v>
      </c>
      <c r="AX806">
        <f>IF(COUNT($E$2:$E806)&lt;52,"",(MAX($C$755:$C$806)+MIN($D$755:$D$806))/2)</f>
        <v>0</v>
      </c>
      <c r="AY806">
        <f>IF(COUNT($E$2:$E806)&lt;20,"",MAX($C$707:$C$806))</f>
        <v>0</v>
      </c>
      <c r="AZ806">
        <f>IF(COUNT($E$2:$E806)&lt;20,"",MIN($D$707:$D$806))</f>
        <v>0</v>
      </c>
      <c r="BA806">
        <f>IF(COUNT($E$2:$E806)&lt;20,"",SLOPE($E$707:$E$806,$F$707:$F$806))</f>
        <v>0</v>
      </c>
      <c r="BB806">
        <f>IF(COUNT($E$2:$E806)&lt;20,"",INTERCEPT($E$707:$E$806,$F$707:$F$806))</f>
        <v>0</v>
      </c>
      <c r="BC806">
        <f>IF(OR(BA806="",BB806=""),"",BB806+BA806*F806)</f>
        <v>0</v>
      </c>
      <c r="BD806">
        <f>IF(COUNT($E$2:$E806)&lt;20,"",STEYX($E$707:$E$806,$F$707:$F$806))</f>
        <v>0</v>
      </c>
      <c r="BE806">
        <f>IF($E806="","",IF(AND(COUNT($E$807:$E$810)&gt;=4,$C806=MAX($C$802:$C$810)),$C806,""))</f>
        <v>0</v>
      </c>
      <c r="BF806">
        <f>IF($E806="","",IF(AND(COUNT($E$807:$E$810)&gt;=4,$D806=MIN($D$802:$D$810)),$D806,""))</f>
        <v>0</v>
      </c>
      <c r="BG806">
        <f>IF($A806="","",$A806-WEEKDAY($A806,2)+1)</f>
        <v>0</v>
      </c>
      <c r="BH806">
        <f>IF($A806="","",IF($A805="",1,IF(BG806&lt;&gt;BG805,1,0)))</f>
        <v>0</v>
      </c>
      <c r="BI806">
        <f>IF($A806="","",IF($A807="",1,IF(BG807&lt;&gt;BG806,1,0)))</f>
        <v>0</v>
      </c>
      <c r="BJ806">
        <f>IF($A806="","",IF(BH806=1,$B806,BJ805))</f>
        <v>0</v>
      </c>
      <c r="BK806">
        <f>IF($A806="","",IF(BH806=1,$C806,MAX($C806,BK805)))</f>
        <v>0</v>
      </c>
      <c r="BL806">
        <f>IF($A806="","",IF(BH806=1,$D806,MIN($D806,BL805)))</f>
        <v>0</v>
      </c>
      <c r="BM806">
        <f>IF($A806="","",IF(BI806=1,F806,""))</f>
        <v>0</v>
      </c>
      <c r="BN806">
        <f>IF($A806="","",DATE(YEAR($A806),MONTH($A806),1))</f>
        <v>0</v>
      </c>
      <c r="BO806">
        <f>IF($A806="","",IF($A805="",1,IF(BN806&lt;&gt;BN805,1,0)))</f>
        <v>0</v>
      </c>
      <c r="BP806">
        <f>IF($A806="","",IF($A807="",1,IF(BN807&lt;&gt;BN806,1,0)))</f>
        <v>0</v>
      </c>
      <c r="BQ806">
        <f>IF($A806="","",IF(BO806=1,$B806,BQ805))</f>
        <v>0</v>
      </c>
      <c r="BR806">
        <f>IF($A806="","",IF(BO806=1,$C806,MAX($C806,BR805)))</f>
        <v>0</v>
      </c>
      <c r="BS806">
        <f>IF($A806="","",IF(BO806=1,$D806,MIN($D806,BS805)))</f>
        <v>0</v>
      </c>
      <c r="BT806">
        <f>IF($A806="","",IF(BP806=1,F806,""))</f>
        <v>0</v>
      </c>
    </row>
    <row r="807" spans="1:72">
      <c r="A807" s="27">
        <f>IF(Data!$A807="","",Data!$A807)</f>
        <v>0</v>
      </c>
      <c r="B807">
        <f>IF(Data!$B807="","",Data!$B807)</f>
        <v>0</v>
      </c>
      <c r="C807">
        <f>IF(Data!$C807="","",Data!$C807)</f>
        <v>0</v>
      </c>
      <c r="D807">
        <f>IF(Data!$D807="","",Data!$D807)</f>
        <v>0</v>
      </c>
      <c r="E807">
        <f>IF(Data!$E807="","",Data!$E807)</f>
        <v>0</v>
      </c>
      <c r="F807">
        <f>IF($E807="","",N(F806)+1)</f>
        <v>0</v>
      </c>
      <c r="G807">
        <f>IF(OR($E807="",$E806=""),"",LN($E807/$E806))</f>
        <v>0</v>
      </c>
      <c r="H807">
        <f>IF($E807="","",IF($E806="",$E807,$E807*0.0952380952+H806*0.9047619048))</f>
        <v>0</v>
      </c>
      <c r="I807">
        <f>IF($E807="","",IF($E806="",$E807,$E807*0.0392156863+I806*0.9607843137))</f>
        <v>0</v>
      </c>
      <c r="J807">
        <f>IF($E807="","",IF($E806="",$E807,$E807*0.0198019802+J806*0.9801980198))</f>
        <v>0</v>
      </c>
      <c r="K807">
        <f>IF($E807="","",IF($E806="",$E807,$E807*0.0099502488+K806*0.9900497512))</f>
        <v>0</v>
      </c>
      <c r="L807">
        <f>IF(OR($E807="",$E806=""),"",MAX($E807-$E806,0))</f>
        <v>0</v>
      </c>
      <c r="M807">
        <f>IF(OR($E807="",$E806=""),"",MAX($E806-$E807,0))</f>
        <v>0</v>
      </c>
      <c r="N807">
        <f>IF(COUNT($E$2:$E807)&lt;15,"",IF(AVERAGE($M$794:$M$807)=0,100,100-100/(1+AVERAGE($L$794:$L$807)/AVERAGE($M$794:$M$807))))</f>
        <v>0</v>
      </c>
      <c r="O807">
        <f>IF($E807="","",IF($E806="",$E807,$E807*0.1538461538+O806*0.8461538462))</f>
        <v>0</v>
      </c>
      <c r="P807">
        <f>IF($E807="","",IF($E806="",$E807,$E807*0.0740740741+P806*0.9259259259))</f>
        <v>0</v>
      </c>
      <c r="Q807">
        <f>IF(OR(O807="",P807=""),"",O807-P807)</f>
        <v>0</v>
      </c>
      <c r="R807">
        <f>IF(Q807="","",IF(R806="",Q807,Q807*0.2000000000+R806*0.8000000000))</f>
        <v>0</v>
      </c>
      <c r="S807">
        <f>IF(OR(Q807="",R807=""),"",Q807-R807)</f>
        <v>0</v>
      </c>
      <c r="T807">
        <f>IF(COUNT($E$2:$E807)&lt;14,"",MAX($C$794:$C$807))</f>
        <v>0</v>
      </c>
      <c r="U807">
        <f>IF(COUNT($E$2:$E807)&lt;14,"",MIN($D$794:$D$807))</f>
        <v>0</v>
      </c>
      <c r="V807">
        <f>IF(OR(T807="",U807="",T807=U807),"",100*($E807-U807)/(T807-U807))</f>
        <v>0</v>
      </c>
      <c r="W807">
        <f>IF(COUNT($V$805:$V$807)&lt;3,"",AVERAGE($V$805:$V$807))</f>
        <v>0</v>
      </c>
      <c r="X807">
        <f>IF(COUNT($N$794:$N$807)&lt;14,"",MIN($N$794:$N$807))</f>
        <v>0</v>
      </c>
      <c r="Y807">
        <f>IF(COUNT($N$794:$N$807)&lt;14,"",MAX($N$794:$N$807))</f>
        <v>0</v>
      </c>
      <c r="Z807">
        <f>IF(OR(N807="",X807="",Y807="",Y807=X807),"",100*(N807-X807)/(Y807-X807))</f>
        <v>0</v>
      </c>
      <c r="AA807">
        <f>IF(COUNT($Z$805:$Z$807)&lt;3,"",AVERAGE($Z$805:$Z$807))</f>
        <v>0</v>
      </c>
      <c r="AB807">
        <f>IF(COUNT($AA$805:$AA$807)&lt;3,"",AVERAGE($AA$805:$AA$807))</f>
        <v>0</v>
      </c>
      <c r="AC807">
        <f>IF($E807="","",MAX($C807-$D807,ABS($C807-$E806),ABS($D807-$E806)))</f>
        <v>0</v>
      </c>
      <c r="AD807">
        <f>IF(COUNT($E$2:$E807)&lt;15,"",AVERAGE($AC$794:$AC$807))</f>
        <v>0</v>
      </c>
      <c r="AE807">
        <f>IF(OR($E807="",$E806=""),"",IF(AND(($C807-$C806)&gt;($D806-$D807),($C807-$C806)&gt;0),$C807-$C806,0))</f>
        <v>0</v>
      </c>
      <c r="AF807">
        <f>IF(OR($E807="",$E806=""),"",IF(AND(($D806-$D807)&gt;($C807-$C806),($D806-$D807)&gt;0),$D806-$D807,0))</f>
        <v>0</v>
      </c>
      <c r="AG807">
        <f>IF(COUNT($E$2:$E807)&lt;15,"",IF(SUM($AC$794:$AC$807)=0,0,100*SUM($AE$794:$AE$807)/SUM($AC$794:$AC$807)))</f>
        <v>0</v>
      </c>
      <c r="AH807">
        <f>IF(COUNT($E$2:$E807)&lt;15,"",IF(SUM($AC$794:$AC$807)=0,0,100*SUM($AF$794:$AF$807)/SUM($AC$794:$AC$807)))</f>
        <v>0</v>
      </c>
      <c r="AI807">
        <f>IF(OR(AG807="",AH807=""),"",IF((AG807+AH807)=0,0,100*ABS(AG807-AH807)/(AG807+AH807)))</f>
        <v>0</v>
      </c>
      <c r="AJ807">
        <f>IF(COUNT($AI$794:$AI$807)&lt;14,"",AVERAGE($AI$794:$AI$807))</f>
        <v>0</v>
      </c>
      <c r="AK807">
        <f>IF(COUNT($E$2:$E807)&lt;20,"",AVERAGE($E$788:$E$807))</f>
        <v>0</v>
      </c>
      <c r="AL807">
        <f>IF(COUNT($E$2:$E807)&lt;20,"",STDEVP($E$788:$E$807))</f>
        <v>0</v>
      </c>
      <c r="AM807">
        <f>IF(AK807="","",AK807+2*AL807)</f>
        <v>0</v>
      </c>
      <c r="AN807">
        <f>IF(AK807="","",AK807-2*AL807)</f>
        <v>0</v>
      </c>
      <c r="AO807">
        <f>IF(OR(AM807="",AN807="",AM807=AN807),"",($E807-AN807)/(AM807-AN807))</f>
        <v>0</v>
      </c>
      <c r="AP807">
        <f>IF(OR(AM807="",AK807="",AK807=0),"",(AM807-AN807)/AK807)</f>
        <v>0</v>
      </c>
      <c r="AQ807">
        <f>IF(COUNT($E$2:$E807)&lt;20,"",MAX($C$788:$C$807))</f>
        <v>0</v>
      </c>
      <c r="AR807">
        <f>IF(COUNT($E$2:$E807)&lt;20,"",MIN($D$788:$D$807))</f>
        <v>0</v>
      </c>
      <c r="AS807">
        <f>IF(OR(AQ807="",AR807=""),"",(AQ807+AR807)/2)</f>
        <v>0</v>
      </c>
      <c r="AT807">
        <f>IF(COUNT($G$788:$G$807)&lt;20,"",STDEV($G$788:$G$807)*SQRT(252))</f>
        <v>0</v>
      </c>
      <c r="AU807">
        <f>IF(COUNT($E$2:$E807)&lt;9,"",(MAX($C$799:$C$807)+MIN($D$799:$D$807))/2)</f>
        <v>0</v>
      </c>
      <c r="AV807">
        <f>IF(COUNT($E$2:$E807)&lt;26,"",(MAX($C$782:$C$807)+MIN($D$782:$D$807))/2)</f>
        <v>0</v>
      </c>
      <c r="AW807">
        <f>IF(OR(AU807="",AV807=""),"",(AU807+AV807)/2)</f>
        <v>0</v>
      </c>
      <c r="AX807">
        <f>IF(COUNT($E$2:$E807)&lt;52,"",(MAX($C$756:$C$807)+MIN($D$756:$D$807))/2)</f>
        <v>0</v>
      </c>
      <c r="AY807">
        <f>IF(COUNT($E$2:$E807)&lt;20,"",MAX($C$708:$C$807))</f>
        <v>0</v>
      </c>
      <c r="AZ807">
        <f>IF(COUNT($E$2:$E807)&lt;20,"",MIN($D$708:$D$807))</f>
        <v>0</v>
      </c>
      <c r="BA807">
        <f>IF(COUNT($E$2:$E807)&lt;20,"",SLOPE($E$708:$E$807,$F$708:$F$807))</f>
        <v>0</v>
      </c>
      <c r="BB807">
        <f>IF(COUNT($E$2:$E807)&lt;20,"",INTERCEPT($E$708:$E$807,$F$708:$F$807))</f>
        <v>0</v>
      </c>
      <c r="BC807">
        <f>IF(OR(BA807="",BB807=""),"",BB807+BA807*F807)</f>
        <v>0</v>
      </c>
      <c r="BD807">
        <f>IF(COUNT($E$2:$E807)&lt;20,"",STEYX($E$708:$E$807,$F$708:$F$807))</f>
        <v>0</v>
      </c>
      <c r="BE807">
        <f>IF($E807="","",IF(AND(COUNT($E$808:$E$811)&gt;=4,$C807=MAX($C$803:$C$811)),$C807,""))</f>
        <v>0</v>
      </c>
      <c r="BF807">
        <f>IF($E807="","",IF(AND(COUNT($E$808:$E$811)&gt;=4,$D807=MIN($D$803:$D$811)),$D807,""))</f>
        <v>0</v>
      </c>
      <c r="BG807">
        <f>IF($A807="","",$A807-WEEKDAY($A807,2)+1)</f>
        <v>0</v>
      </c>
      <c r="BH807">
        <f>IF($A807="","",IF($A806="",1,IF(BG807&lt;&gt;BG806,1,0)))</f>
        <v>0</v>
      </c>
      <c r="BI807">
        <f>IF($A807="","",IF($A808="",1,IF(BG808&lt;&gt;BG807,1,0)))</f>
        <v>0</v>
      </c>
      <c r="BJ807">
        <f>IF($A807="","",IF(BH807=1,$B807,BJ806))</f>
        <v>0</v>
      </c>
      <c r="BK807">
        <f>IF($A807="","",IF(BH807=1,$C807,MAX($C807,BK806)))</f>
        <v>0</v>
      </c>
      <c r="BL807">
        <f>IF($A807="","",IF(BH807=1,$D807,MIN($D807,BL806)))</f>
        <v>0</v>
      </c>
      <c r="BM807">
        <f>IF($A807="","",IF(BI807=1,F807,""))</f>
        <v>0</v>
      </c>
      <c r="BN807">
        <f>IF($A807="","",DATE(YEAR($A807),MONTH($A807),1))</f>
        <v>0</v>
      </c>
      <c r="BO807">
        <f>IF($A807="","",IF($A806="",1,IF(BN807&lt;&gt;BN806,1,0)))</f>
        <v>0</v>
      </c>
      <c r="BP807">
        <f>IF($A807="","",IF($A808="",1,IF(BN808&lt;&gt;BN807,1,0)))</f>
        <v>0</v>
      </c>
      <c r="BQ807">
        <f>IF($A807="","",IF(BO807=1,$B807,BQ806))</f>
        <v>0</v>
      </c>
      <c r="BR807">
        <f>IF($A807="","",IF(BO807=1,$C807,MAX($C807,BR806)))</f>
        <v>0</v>
      </c>
      <c r="BS807">
        <f>IF($A807="","",IF(BO807=1,$D807,MIN($D807,BS806)))</f>
        <v>0</v>
      </c>
      <c r="BT807">
        <f>IF($A807="","",IF(BP807=1,F807,""))</f>
        <v>0</v>
      </c>
    </row>
    <row r="808" spans="1:72">
      <c r="A808" s="27">
        <f>IF(Data!$A808="","",Data!$A808)</f>
        <v>0</v>
      </c>
      <c r="B808">
        <f>IF(Data!$B808="","",Data!$B808)</f>
        <v>0</v>
      </c>
      <c r="C808">
        <f>IF(Data!$C808="","",Data!$C808)</f>
        <v>0</v>
      </c>
      <c r="D808">
        <f>IF(Data!$D808="","",Data!$D808)</f>
        <v>0</v>
      </c>
      <c r="E808">
        <f>IF(Data!$E808="","",Data!$E808)</f>
        <v>0</v>
      </c>
      <c r="F808">
        <f>IF($E808="","",N(F807)+1)</f>
        <v>0</v>
      </c>
      <c r="G808">
        <f>IF(OR($E808="",$E807=""),"",LN($E808/$E807))</f>
        <v>0</v>
      </c>
      <c r="H808">
        <f>IF($E808="","",IF($E807="",$E808,$E808*0.0952380952+H807*0.9047619048))</f>
        <v>0</v>
      </c>
      <c r="I808">
        <f>IF($E808="","",IF($E807="",$E808,$E808*0.0392156863+I807*0.9607843137))</f>
        <v>0</v>
      </c>
      <c r="J808">
        <f>IF($E808="","",IF($E807="",$E808,$E808*0.0198019802+J807*0.9801980198))</f>
        <v>0</v>
      </c>
      <c r="K808">
        <f>IF($E808="","",IF($E807="",$E808,$E808*0.0099502488+K807*0.9900497512))</f>
        <v>0</v>
      </c>
      <c r="L808">
        <f>IF(OR($E808="",$E807=""),"",MAX($E808-$E807,0))</f>
        <v>0</v>
      </c>
      <c r="M808">
        <f>IF(OR($E808="",$E807=""),"",MAX($E807-$E808,0))</f>
        <v>0</v>
      </c>
      <c r="N808">
        <f>IF(COUNT($E$2:$E808)&lt;15,"",IF(AVERAGE($M$795:$M$808)=0,100,100-100/(1+AVERAGE($L$795:$L$808)/AVERAGE($M$795:$M$808))))</f>
        <v>0</v>
      </c>
      <c r="O808">
        <f>IF($E808="","",IF($E807="",$E808,$E808*0.1538461538+O807*0.8461538462))</f>
        <v>0</v>
      </c>
      <c r="P808">
        <f>IF($E808="","",IF($E807="",$E808,$E808*0.0740740741+P807*0.9259259259))</f>
        <v>0</v>
      </c>
      <c r="Q808">
        <f>IF(OR(O808="",P808=""),"",O808-P808)</f>
        <v>0</v>
      </c>
      <c r="R808">
        <f>IF(Q808="","",IF(R807="",Q808,Q808*0.2000000000+R807*0.8000000000))</f>
        <v>0</v>
      </c>
      <c r="S808">
        <f>IF(OR(Q808="",R808=""),"",Q808-R808)</f>
        <v>0</v>
      </c>
      <c r="T808">
        <f>IF(COUNT($E$2:$E808)&lt;14,"",MAX($C$795:$C$808))</f>
        <v>0</v>
      </c>
      <c r="U808">
        <f>IF(COUNT($E$2:$E808)&lt;14,"",MIN($D$795:$D$808))</f>
        <v>0</v>
      </c>
      <c r="V808">
        <f>IF(OR(T808="",U808="",T808=U808),"",100*($E808-U808)/(T808-U808))</f>
        <v>0</v>
      </c>
      <c r="W808">
        <f>IF(COUNT($V$806:$V$808)&lt;3,"",AVERAGE($V$806:$V$808))</f>
        <v>0</v>
      </c>
      <c r="X808">
        <f>IF(COUNT($N$795:$N$808)&lt;14,"",MIN($N$795:$N$808))</f>
        <v>0</v>
      </c>
      <c r="Y808">
        <f>IF(COUNT($N$795:$N$808)&lt;14,"",MAX($N$795:$N$808))</f>
        <v>0</v>
      </c>
      <c r="Z808">
        <f>IF(OR(N808="",X808="",Y808="",Y808=X808),"",100*(N808-X808)/(Y808-X808))</f>
        <v>0</v>
      </c>
      <c r="AA808">
        <f>IF(COUNT($Z$806:$Z$808)&lt;3,"",AVERAGE($Z$806:$Z$808))</f>
        <v>0</v>
      </c>
      <c r="AB808">
        <f>IF(COUNT($AA$806:$AA$808)&lt;3,"",AVERAGE($AA$806:$AA$808))</f>
        <v>0</v>
      </c>
      <c r="AC808">
        <f>IF($E808="","",MAX($C808-$D808,ABS($C808-$E807),ABS($D808-$E807)))</f>
        <v>0</v>
      </c>
      <c r="AD808">
        <f>IF(COUNT($E$2:$E808)&lt;15,"",AVERAGE($AC$795:$AC$808))</f>
        <v>0</v>
      </c>
      <c r="AE808">
        <f>IF(OR($E808="",$E807=""),"",IF(AND(($C808-$C807)&gt;($D807-$D808),($C808-$C807)&gt;0),$C808-$C807,0))</f>
        <v>0</v>
      </c>
      <c r="AF808">
        <f>IF(OR($E808="",$E807=""),"",IF(AND(($D807-$D808)&gt;($C808-$C807),($D807-$D808)&gt;0),$D807-$D808,0))</f>
        <v>0</v>
      </c>
      <c r="AG808">
        <f>IF(COUNT($E$2:$E808)&lt;15,"",IF(SUM($AC$795:$AC$808)=0,0,100*SUM($AE$795:$AE$808)/SUM($AC$795:$AC$808)))</f>
        <v>0</v>
      </c>
      <c r="AH808">
        <f>IF(COUNT($E$2:$E808)&lt;15,"",IF(SUM($AC$795:$AC$808)=0,0,100*SUM($AF$795:$AF$808)/SUM($AC$795:$AC$808)))</f>
        <v>0</v>
      </c>
      <c r="AI808">
        <f>IF(OR(AG808="",AH808=""),"",IF((AG808+AH808)=0,0,100*ABS(AG808-AH808)/(AG808+AH808)))</f>
        <v>0</v>
      </c>
      <c r="AJ808">
        <f>IF(COUNT($AI$795:$AI$808)&lt;14,"",AVERAGE($AI$795:$AI$808))</f>
        <v>0</v>
      </c>
      <c r="AK808">
        <f>IF(COUNT($E$2:$E808)&lt;20,"",AVERAGE($E$789:$E$808))</f>
        <v>0</v>
      </c>
      <c r="AL808">
        <f>IF(COUNT($E$2:$E808)&lt;20,"",STDEVP($E$789:$E$808))</f>
        <v>0</v>
      </c>
      <c r="AM808">
        <f>IF(AK808="","",AK808+2*AL808)</f>
        <v>0</v>
      </c>
      <c r="AN808">
        <f>IF(AK808="","",AK808-2*AL808)</f>
        <v>0</v>
      </c>
      <c r="AO808">
        <f>IF(OR(AM808="",AN808="",AM808=AN808),"",($E808-AN808)/(AM808-AN808))</f>
        <v>0</v>
      </c>
      <c r="AP808">
        <f>IF(OR(AM808="",AK808="",AK808=0),"",(AM808-AN808)/AK808)</f>
        <v>0</v>
      </c>
      <c r="AQ808">
        <f>IF(COUNT($E$2:$E808)&lt;20,"",MAX($C$789:$C$808))</f>
        <v>0</v>
      </c>
      <c r="AR808">
        <f>IF(COUNT($E$2:$E808)&lt;20,"",MIN($D$789:$D$808))</f>
        <v>0</v>
      </c>
      <c r="AS808">
        <f>IF(OR(AQ808="",AR808=""),"",(AQ808+AR808)/2)</f>
        <v>0</v>
      </c>
      <c r="AT808">
        <f>IF(COUNT($G$789:$G$808)&lt;20,"",STDEV($G$789:$G$808)*SQRT(252))</f>
        <v>0</v>
      </c>
      <c r="AU808">
        <f>IF(COUNT($E$2:$E808)&lt;9,"",(MAX($C$800:$C$808)+MIN($D$800:$D$808))/2)</f>
        <v>0</v>
      </c>
      <c r="AV808">
        <f>IF(COUNT($E$2:$E808)&lt;26,"",(MAX($C$783:$C$808)+MIN($D$783:$D$808))/2)</f>
        <v>0</v>
      </c>
      <c r="AW808">
        <f>IF(OR(AU808="",AV808=""),"",(AU808+AV808)/2)</f>
        <v>0</v>
      </c>
      <c r="AX808">
        <f>IF(COUNT($E$2:$E808)&lt;52,"",(MAX($C$757:$C$808)+MIN($D$757:$D$808))/2)</f>
        <v>0</v>
      </c>
      <c r="AY808">
        <f>IF(COUNT($E$2:$E808)&lt;20,"",MAX($C$709:$C$808))</f>
        <v>0</v>
      </c>
      <c r="AZ808">
        <f>IF(COUNT($E$2:$E808)&lt;20,"",MIN($D$709:$D$808))</f>
        <v>0</v>
      </c>
      <c r="BA808">
        <f>IF(COUNT($E$2:$E808)&lt;20,"",SLOPE($E$709:$E$808,$F$709:$F$808))</f>
        <v>0</v>
      </c>
      <c r="BB808">
        <f>IF(COUNT($E$2:$E808)&lt;20,"",INTERCEPT($E$709:$E$808,$F$709:$F$808))</f>
        <v>0</v>
      </c>
      <c r="BC808">
        <f>IF(OR(BA808="",BB808=""),"",BB808+BA808*F808)</f>
        <v>0</v>
      </c>
      <c r="BD808">
        <f>IF(COUNT($E$2:$E808)&lt;20,"",STEYX($E$709:$E$808,$F$709:$F$808))</f>
        <v>0</v>
      </c>
      <c r="BE808">
        <f>IF($E808="","",IF(AND(COUNT($E$809:$E$812)&gt;=4,$C808=MAX($C$804:$C$812)),$C808,""))</f>
        <v>0</v>
      </c>
      <c r="BF808">
        <f>IF($E808="","",IF(AND(COUNT($E$809:$E$812)&gt;=4,$D808=MIN($D$804:$D$812)),$D808,""))</f>
        <v>0</v>
      </c>
      <c r="BG808">
        <f>IF($A808="","",$A808-WEEKDAY($A808,2)+1)</f>
        <v>0</v>
      </c>
      <c r="BH808">
        <f>IF($A808="","",IF($A807="",1,IF(BG808&lt;&gt;BG807,1,0)))</f>
        <v>0</v>
      </c>
      <c r="BI808">
        <f>IF($A808="","",IF($A809="",1,IF(BG809&lt;&gt;BG808,1,0)))</f>
        <v>0</v>
      </c>
      <c r="BJ808">
        <f>IF($A808="","",IF(BH808=1,$B808,BJ807))</f>
        <v>0</v>
      </c>
      <c r="BK808">
        <f>IF($A808="","",IF(BH808=1,$C808,MAX($C808,BK807)))</f>
        <v>0</v>
      </c>
      <c r="BL808">
        <f>IF($A808="","",IF(BH808=1,$D808,MIN($D808,BL807)))</f>
        <v>0</v>
      </c>
      <c r="BM808">
        <f>IF($A808="","",IF(BI808=1,F808,""))</f>
        <v>0</v>
      </c>
      <c r="BN808">
        <f>IF($A808="","",DATE(YEAR($A808),MONTH($A808),1))</f>
        <v>0</v>
      </c>
      <c r="BO808">
        <f>IF($A808="","",IF($A807="",1,IF(BN808&lt;&gt;BN807,1,0)))</f>
        <v>0</v>
      </c>
      <c r="BP808">
        <f>IF($A808="","",IF($A809="",1,IF(BN809&lt;&gt;BN808,1,0)))</f>
        <v>0</v>
      </c>
      <c r="BQ808">
        <f>IF($A808="","",IF(BO808=1,$B808,BQ807))</f>
        <v>0</v>
      </c>
      <c r="BR808">
        <f>IF($A808="","",IF(BO808=1,$C808,MAX($C808,BR807)))</f>
        <v>0</v>
      </c>
      <c r="BS808">
        <f>IF($A808="","",IF(BO808=1,$D808,MIN($D808,BS807)))</f>
        <v>0</v>
      </c>
      <c r="BT808">
        <f>IF($A808="","",IF(BP808=1,F808,""))</f>
        <v>0</v>
      </c>
    </row>
    <row r="809" spans="1:72">
      <c r="A809" s="27">
        <f>IF(Data!$A809="","",Data!$A809)</f>
        <v>0</v>
      </c>
      <c r="B809">
        <f>IF(Data!$B809="","",Data!$B809)</f>
        <v>0</v>
      </c>
      <c r="C809">
        <f>IF(Data!$C809="","",Data!$C809)</f>
        <v>0</v>
      </c>
      <c r="D809">
        <f>IF(Data!$D809="","",Data!$D809)</f>
        <v>0</v>
      </c>
      <c r="E809">
        <f>IF(Data!$E809="","",Data!$E809)</f>
        <v>0</v>
      </c>
      <c r="F809">
        <f>IF($E809="","",N(F808)+1)</f>
        <v>0</v>
      </c>
      <c r="G809">
        <f>IF(OR($E809="",$E808=""),"",LN($E809/$E808))</f>
        <v>0</v>
      </c>
      <c r="H809">
        <f>IF($E809="","",IF($E808="",$E809,$E809*0.0952380952+H808*0.9047619048))</f>
        <v>0</v>
      </c>
      <c r="I809">
        <f>IF($E809="","",IF($E808="",$E809,$E809*0.0392156863+I808*0.9607843137))</f>
        <v>0</v>
      </c>
      <c r="J809">
        <f>IF($E809="","",IF($E808="",$E809,$E809*0.0198019802+J808*0.9801980198))</f>
        <v>0</v>
      </c>
      <c r="K809">
        <f>IF($E809="","",IF($E808="",$E809,$E809*0.0099502488+K808*0.9900497512))</f>
        <v>0</v>
      </c>
      <c r="L809">
        <f>IF(OR($E809="",$E808=""),"",MAX($E809-$E808,0))</f>
        <v>0</v>
      </c>
      <c r="M809">
        <f>IF(OR($E809="",$E808=""),"",MAX($E808-$E809,0))</f>
        <v>0</v>
      </c>
      <c r="N809">
        <f>IF(COUNT($E$2:$E809)&lt;15,"",IF(AVERAGE($M$796:$M$809)=0,100,100-100/(1+AVERAGE($L$796:$L$809)/AVERAGE($M$796:$M$809))))</f>
        <v>0</v>
      </c>
      <c r="O809">
        <f>IF($E809="","",IF($E808="",$E809,$E809*0.1538461538+O808*0.8461538462))</f>
        <v>0</v>
      </c>
      <c r="P809">
        <f>IF($E809="","",IF($E808="",$E809,$E809*0.0740740741+P808*0.9259259259))</f>
        <v>0</v>
      </c>
      <c r="Q809">
        <f>IF(OR(O809="",P809=""),"",O809-P809)</f>
        <v>0</v>
      </c>
      <c r="R809">
        <f>IF(Q809="","",IF(R808="",Q809,Q809*0.2000000000+R808*0.8000000000))</f>
        <v>0</v>
      </c>
      <c r="S809">
        <f>IF(OR(Q809="",R809=""),"",Q809-R809)</f>
        <v>0</v>
      </c>
      <c r="T809">
        <f>IF(COUNT($E$2:$E809)&lt;14,"",MAX($C$796:$C$809))</f>
        <v>0</v>
      </c>
      <c r="U809">
        <f>IF(COUNT($E$2:$E809)&lt;14,"",MIN($D$796:$D$809))</f>
        <v>0</v>
      </c>
      <c r="V809">
        <f>IF(OR(T809="",U809="",T809=U809),"",100*($E809-U809)/(T809-U809))</f>
        <v>0</v>
      </c>
      <c r="W809">
        <f>IF(COUNT($V$807:$V$809)&lt;3,"",AVERAGE($V$807:$V$809))</f>
        <v>0</v>
      </c>
      <c r="X809">
        <f>IF(COUNT($N$796:$N$809)&lt;14,"",MIN($N$796:$N$809))</f>
        <v>0</v>
      </c>
      <c r="Y809">
        <f>IF(COUNT($N$796:$N$809)&lt;14,"",MAX($N$796:$N$809))</f>
        <v>0</v>
      </c>
      <c r="Z809">
        <f>IF(OR(N809="",X809="",Y809="",Y809=X809),"",100*(N809-X809)/(Y809-X809))</f>
        <v>0</v>
      </c>
      <c r="AA809">
        <f>IF(COUNT($Z$807:$Z$809)&lt;3,"",AVERAGE($Z$807:$Z$809))</f>
        <v>0</v>
      </c>
      <c r="AB809">
        <f>IF(COUNT($AA$807:$AA$809)&lt;3,"",AVERAGE($AA$807:$AA$809))</f>
        <v>0</v>
      </c>
      <c r="AC809">
        <f>IF($E809="","",MAX($C809-$D809,ABS($C809-$E808),ABS($D809-$E808)))</f>
        <v>0</v>
      </c>
      <c r="AD809">
        <f>IF(COUNT($E$2:$E809)&lt;15,"",AVERAGE($AC$796:$AC$809))</f>
        <v>0</v>
      </c>
      <c r="AE809">
        <f>IF(OR($E809="",$E808=""),"",IF(AND(($C809-$C808)&gt;($D808-$D809),($C809-$C808)&gt;0),$C809-$C808,0))</f>
        <v>0</v>
      </c>
      <c r="AF809">
        <f>IF(OR($E809="",$E808=""),"",IF(AND(($D808-$D809)&gt;($C809-$C808),($D808-$D809)&gt;0),$D808-$D809,0))</f>
        <v>0</v>
      </c>
      <c r="AG809">
        <f>IF(COUNT($E$2:$E809)&lt;15,"",IF(SUM($AC$796:$AC$809)=0,0,100*SUM($AE$796:$AE$809)/SUM($AC$796:$AC$809)))</f>
        <v>0</v>
      </c>
      <c r="AH809">
        <f>IF(COUNT($E$2:$E809)&lt;15,"",IF(SUM($AC$796:$AC$809)=0,0,100*SUM($AF$796:$AF$809)/SUM($AC$796:$AC$809)))</f>
        <v>0</v>
      </c>
      <c r="AI809">
        <f>IF(OR(AG809="",AH809=""),"",IF((AG809+AH809)=0,0,100*ABS(AG809-AH809)/(AG809+AH809)))</f>
        <v>0</v>
      </c>
      <c r="AJ809">
        <f>IF(COUNT($AI$796:$AI$809)&lt;14,"",AVERAGE($AI$796:$AI$809))</f>
        <v>0</v>
      </c>
      <c r="AK809">
        <f>IF(COUNT($E$2:$E809)&lt;20,"",AVERAGE($E$790:$E$809))</f>
        <v>0</v>
      </c>
      <c r="AL809">
        <f>IF(COUNT($E$2:$E809)&lt;20,"",STDEVP($E$790:$E$809))</f>
        <v>0</v>
      </c>
      <c r="AM809">
        <f>IF(AK809="","",AK809+2*AL809)</f>
        <v>0</v>
      </c>
      <c r="AN809">
        <f>IF(AK809="","",AK809-2*AL809)</f>
        <v>0</v>
      </c>
      <c r="AO809">
        <f>IF(OR(AM809="",AN809="",AM809=AN809),"",($E809-AN809)/(AM809-AN809))</f>
        <v>0</v>
      </c>
      <c r="AP809">
        <f>IF(OR(AM809="",AK809="",AK809=0),"",(AM809-AN809)/AK809)</f>
        <v>0</v>
      </c>
      <c r="AQ809">
        <f>IF(COUNT($E$2:$E809)&lt;20,"",MAX($C$790:$C$809))</f>
        <v>0</v>
      </c>
      <c r="AR809">
        <f>IF(COUNT($E$2:$E809)&lt;20,"",MIN($D$790:$D$809))</f>
        <v>0</v>
      </c>
      <c r="AS809">
        <f>IF(OR(AQ809="",AR809=""),"",(AQ809+AR809)/2)</f>
        <v>0</v>
      </c>
      <c r="AT809">
        <f>IF(COUNT($G$790:$G$809)&lt;20,"",STDEV($G$790:$G$809)*SQRT(252))</f>
        <v>0</v>
      </c>
      <c r="AU809">
        <f>IF(COUNT($E$2:$E809)&lt;9,"",(MAX($C$801:$C$809)+MIN($D$801:$D$809))/2)</f>
        <v>0</v>
      </c>
      <c r="AV809">
        <f>IF(COUNT($E$2:$E809)&lt;26,"",(MAX($C$784:$C$809)+MIN($D$784:$D$809))/2)</f>
        <v>0</v>
      </c>
      <c r="AW809">
        <f>IF(OR(AU809="",AV809=""),"",(AU809+AV809)/2)</f>
        <v>0</v>
      </c>
      <c r="AX809">
        <f>IF(COUNT($E$2:$E809)&lt;52,"",(MAX($C$758:$C$809)+MIN($D$758:$D$809))/2)</f>
        <v>0</v>
      </c>
      <c r="AY809">
        <f>IF(COUNT($E$2:$E809)&lt;20,"",MAX($C$710:$C$809))</f>
        <v>0</v>
      </c>
      <c r="AZ809">
        <f>IF(COUNT($E$2:$E809)&lt;20,"",MIN($D$710:$D$809))</f>
        <v>0</v>
      </c>
      <c r="BA809">
        <f>IF(COUNT($E$2:$E809)&lt;20,"",SLOPE($E$710:$E$809,$F$710:$F$809))</f>
        <v>0</v>
      </c>
      <c r="BB809">
        <f>IF(COUNT($E$2:$E809)&lt;20,"",INTERCEPT($E$710:$E$809,$F$710:$F$809))</f>
        <v>0</v>
      </c>
      <c r="BC809">
        <f>IF(OR(BA809="",BB809=""),"",BB809+BA809*F809)</f>
        <v>0</v>
      </c>
      <c r="BD809">
        <f>IF(COUNT($E$2:$E809)&lt;20,"",STEYX($E$710:$E$809,$F$710:$F$809))</f>
        <v>0</v>
      </c>
      <c r="BE809">
        <f>IF($E809="","",IF(AND(COUNT($E$810:$E$813)&gt;=4,$C809=MAX($C$805:$C$813)),$C809,""))</f>
        <v>0</v>
      </c>
      <c r="BF809">
        <f>IF($E809="","",IF(AND(COUNT($E$810:$E$813)&gt;=4,$D809=MIN($D$805:$D$813)),$D809,""))</f>
        <v>0</v>
      </c>
      <c r="BG809">
        <f>IF($A809="","",$A809-WEEKDAY($A809,2)+1)</f>
        <v>0</v>
      </c>
      <c r="BH809">
        <f>IF($A809="","",IF($A808="",1,IF(BG809&lt;&gt;BG808,1,0)))</f>
        <v>0</v>
      </c>
      <c r="BI809">
        <f>IF($A809="","",IF($A810="",1,IF(BG810&lt;&gt;BG809,1,0)))</f>
        <v>0</v>
      </c>
      <c r="BJ809">
        <f>IF($A809="","",IF(BH809=1,$B809,BJ808))</f>
        <v>0</v>
      </c>
      <c r="BK809">
        <f>IF($A809="","",IF(BH809=1,$C809,MAX($C809,BK808)))</f>
        <v>0</v>
      </c>
      <c r="BL809">
        <f>IF($A809="","",IF(BH809=1,$D809,MIN($D809,BL808)))</f>
        <v>0</v>
      </c>
      <c r="BM809">
        <f>IF($A809="","",IF(BI809=1,F809,""))</f>
        <v>0</v>
      </c>
      <c r="BN809">
        <f>IF($A809="","",DATE(YEAR($A809),MONTH($A809),1))</f>
        <v>0</v>
      </c>
      <c r="BO809">
        <f>IF($A809="","",IF($A808="",1,IF(BN809&lt;&gt;BN808,1,0)))</f>
        <v>0</v>
      </c>
      <c r="BP809">
        <f>IF($A809="","",IF($A810="",1,IF(BN810&lt;&gt;BN809,1,0)))</f>
        <v>0</v>
      </c>
      <c r="BQ809">
        <f>IF($A809="","",IF(BO809=1,$B809,BQ808))</f>
        <v>0</v>
      </c>
      <c r="BR809">
        <f>IF($A809="","",IF(BO809=1,$C809,MAX($C809,BR808)))</f>
        <v>0</v>
      </c>
      <c r="BS809">
        <f>IF($A809="","",IF(BO809=1,$D809,MIN($D809,BS808)))</f>
        <v>0</v>
      </c>
      <c r="BT809">
        <f>IF($A809="","",IF(BP809=1,F809,""))</f>
        <v>0</v>
      </c>
    </row>
    <row r="810" spans="1:72">
      <c r="A810" s="27">
        <f>IF(Data!$A810="","",Data!$A810)</f>
        <v>0</v>
      </c>
      <c r="B810">
        <f>IF(Data!$B810="","",Data!$B810)</f>
        <v>0</v>
      </c>
      <c r="C810">
        <f>IF(Data!$C810="","",Data!$C810)</f>
        <v>0</v>
      </c>
      <c r="D810">
        <f>IF(Data!$D810="","",Data!$D810)</f>
        <v>0</v>
      </c>
      <c r="E810">
        <f>IF(Data!$E810="","",Data!$E810)</f>
        <v>0</v>
      </c>
      <c r="F810">
        <f>IF($E810="","",N(F809)+1)</f>
        <v>0</v>
      </c>
      <c r="G810">
        <f>IF(OR($E810="",$E809=""),"",LN($E810/$E809))</f>
        <v>0</v>
      </c>
      <c r="H810">
        <f>IF($E810="","",IF($E809="",$E810,$E810*0.0952380952+H809*0.9047619048))</f>
        <v>0</v>
      </c>
      <c r="I810">
        <f>IF($E810="","",IF($E809="",$E810,$E810*0.0392156863+I809*0.9607843137))</f>
        <v>0</v>
      </c>
      <c r="J810">
        <f>IF($E810="","",IF($E809="",$E810,$E810*0.0198019802+J809*0.9801980198))</f>
        <v>0</v>
      </c>
      <c r="K810">
        <f>IF($E810="","",IF($E809="",$E810,$E810*0.0099502488+K809*0.9900497512))</f>
        <v>0</v>
      </c>
      <c r="L810">
        <f>IF(OR($E810="",$E809=""),"",MAX($E810-$E809,0))</f>
        <v>0</v>
      </c>
      <c r="M810">
        <f>IF(OR($E810="",$E809=""),"",MAX($E809-$E810,0))</f>
        <v>0</v>
      </c>
      <c r="N810">
        <f>IF(COUNT($E$2:$E810)&lt;15,"",IF(AVERAGE($M$797:$M$810)=0,100,100-100/(1+AVERAGE($L$797:$L$810)/AVERAGE($M$797:$M$810))))</f>
        <v>0</v>
      </c>
      <c r="O810">
        <f>IF($E810="","",IF($E809="",$E810,$E810*0.1538461538+O809*0.8461538462))</f>
        <v>0</v>
      </c>
      <c r="P810">
        <f>IF($E810="","",IF($E809="",$E810,$E810*0.0740740741+P809*0.9259259259))</f>
        <v>0</v>
      </c>
      <c r="Q810">
        <f>IF(OR(O810="",P810=""),"",O810-P810)</f>
        <v>0</v>
      </c>
      <c r="R810">
        <f>IF(Q810="","",IF(R809="",Q810,Q810*0.2000000000+R809*0.8000000000))</f>
        <v>0</v>
      </c>
      <c r="S810">
        <f>IF(OR(Q810="",R810=""),"",Q810-R810)</f>
        <v>0</v>
      </c>
      <c r="T810">
        <f>IF(COUNT($E$2:$E810)&lt;14,"",MAX($C$797:$C$810))</f>
        <v>0</v>
      </c>
      <c r="U810">
        <f>IF(COUNT($E$2:$E810)&lt;14,"",MIN($D$797:$D$810))</f>
        <v>0</v>
      </c>
      <c r="V810">
        <f>IF(OR(T810="",U810="",T810=U810),"",100*($E810-U810)/(T810-U810))</f>
        <v>0</v>
      </c>
      <c r="W810">
        <f>IF(COUNT($V$808:$V$810)&lt;3,"",AVERAGE($V$808:$V$810))</f>
        <v>0</v>
      </c>
      <c r="X810">
        <f>IF(COUNT($N$797:$N$810)&lt;14,"",MIN($N$797:$N$810))</f>
        <v>0</v>
      </c>
      <c r="Y810">
        <f>IF(COUNT($N$797:$N$810)&lt;14,"",MAX($N$797:$N$810))</f>
        <v>0</v>
      </c>
      <c r="Z810">
        <f>IF(OR(N810="",X810="",Y810="",Y810=X810),"",100*(N810-X810)/(Y810-X810))</f>
        <v>0</v>
      </c>
      <c r="AA810">
        <f>IF(COUNT($Z$808:$Z$810)&lt;3,"",AVERAGE($Z$808:$Z$810))</f>
        <v>0</v>
      </c>
      <c r="AB810">
        <f>IF(COUNT($AA$808:$AA$810)&lt;3,"",AVERAGE($AA$808:$AA$810))</f>
        <v>0</v>
      </c>
      <c r="AC810">
        <f>IF($E810="","",MAX($C810-$D810,ABS($C810-$E809),ABS($D810-$E809)))</f>
        <v>0</v>
      </c>
      <c r="AD810">
        <f>IF(COUNT($E$2:$E810)&lt;15,"",AVERAGE($AC$797:$AC$810))</f>
        <v>0</v>
      </c>
      <c r="AE810">
        <f>IF(OR($E810="",$E809=""),"",IF(AND(($C810-$C809)&gt;($D809-$D810),($C810-$C809)&gt;0),$C810-$C809,0))</f>
        <v>0</v>
      </c>
      <c r="AF810">
        <f>IF(OR($E810="",$E809=""),"",IF(AND(($D809-$D810)&gt;($C810-$C809),($D809-$D810)&gt;0),$D809-$D810,0))</f>
        <v>0</v>
      </c>
      <c r="AG810">
        <f>IF(COUNT($E$2:$E810)&lt;15,"",IF(SUM($AC$797:$AC$810)=0,0,100*SUM($AE$797:$AE$810)/SUM($AC$797:$AC$810)))</f>
        <v>0</v>
      </c>
      <c r="AH810">
        <f>IF(COUNT($E$2:$E810)&lt;15,"",IF(SUM($AC$797:$AC$810)=0,0,100*SUM($AF$797:$AF$810)/SUM($AC$797:$AC$810)))</f>
        <v>0</v>
      </c>
      <c r="AI810">
        <f>IF(OR(AG810="",AH810=""),"",IF((AG810+AH810)=0,0,100*ABS(AG810-AH810)/(AG810+AH810)))</f>
        <v>0</v>
      </c>
      <c r="AJ810">
        <f>IF(COUNT($AI$797:$AI$810)&lt;14,"",AVERAGE($AI$797:$AI$810))</f>
        <v>0</v>
      </c>
      <c r="AK810">
        <f>IF(COUNT($E$2:$E810)&lt;20,"",AVERAGE($E$791:$E$810))</f>
        <v>0</v>
      </c>
      <c r="AL810">
        <f>IF(COUNT($E$2:$E810)&lt;20,"",STDEVP($E$791:$E$810))</f>
        <v>0</v>
      </c>
      <c r="AM810">
        <f>IF(AK810="","",AK810+2*AL810)</f>
        <v>0</v>
      </c>
      <c r="AN810">
        <f>IF(AK810="","",AK810-2*AL810)</f>
        <v>0</v>
      </c>
      <c r="AO810">
        <f>IF(OR(AM810="",AN810="",AM810=AN810),"",($E810-AN810)/(AM810-AN810))</f>
        <v>0</v>
      </c>
      <c r="AP810">
        <f>IF(OR(AM810="",AK810="",AK810=0),"",(AM810-AN810)/AK810)</f>
        <v>0</v>
      </c>
      <c r="AQ810">
        <f>IF(COUNT($E$2:$E810)&lt;20,"",MAX($C$791:$C$810))</f>
        <v>0</v>
      </c>
      <c r="AR810">
        <f>IF(COUNT($E$2:$E810)&lt;20,"",MIN($D$791:$D$810))</f>
        <v>0</v>
      </c>
      <c r="AS810">
        <f>IF(OR(AQ810="",AR810=""),"",(AQ810+AR810)/2)</f>
        <v>0</v>
      </c>
      <c r="AT810">
        <f>IF(COUNT($G$791:$G$810)&lt;20,"",STDEV($G$791:$G$810)*SQRT(252))</f>
        <v>0</v>
      </c>
      <c r="AU810">
        <f>IF(COUNT($E$2:$E810)&lt;9,"",(MAX($C$802:$C$810)+MIN($D$802:$D$810))/2)</f>
        <v>0</v>
      </c>
      <c r="AV810">
        <f>IF(COUNT($E$2:$E810)&lt;26,"",(MAX($C$785:$C$810)+MIN($D$785:$D$810))/2)</f>
        <v>0</v>
      </c>
      <c r="AW810">
        <f>IF(OR(AU810="",AV810=""),"",(AU810+AV810)/2)</f>
        <v>0</v>
      </c>
      <c r="AX810">
        <f>IF(COUNT($E$2:$E810)&lt;52,"",(MAX($C$759:$C$810)+MIN($D$759:$D$810))/2)</f>
        <v>0</v>
      </c>
      <c r="AY810">
        <f>IF(COUNT($E$2:$E810)&lt;20,"",MAX($C$711:$C$810))</f>
        <v>0</v>
      </c>
      <c r="AZ810">
        <f>IF(COUNT($E$2:$E810)&lt;20,"",MIN($D$711:$D$810))</f>
        <v>0</v>
      </c>
      <c r="BA810">
        <f>IF(COUNT($E$2:$E810)&lt;20,"",SLOPE($E$711:$E$810,$F$711:$F$810))</f>
        <v>0</v>
      </c>
      <c r="BB810">
        <f>IF(COUNT($E$2:$E810)&lt;20,"",INTERCEPT($E$711:$E$810,$F$711:$F$810))</f>
        <v>0</v>
      </c>
      <c r="BC810">
        <f>IF(OR(BA810="",BB810=""),"",BB810+BA810*F810)</f>
        <v>0</v>
      </c>
      <c r="BD810">
        <f>IF(COUNT($E$2:$E810)&lt;20,"",STEYX($E$711:$E$810,$F$711:$F$810))</f>
        <v>0</v>
      </c>
      <c r="BE810">
        <f>IF($E810="","",IF(AND(COUNT($E$811:$E$814)&gt;=4,$C810=MAX($C$806:$C$814)),$C810,""))</f>
        <v>0</v>
      </c>
      <c r="BF810">
        <f>IF($E810="","",IF(AND(COUNT($E$811:$E$814)&gt;=4,$D810=MIN($D$806:$D$814)),$D810,""))</f>
        <v>0</v>
      </c>
      <c r="BG810">
        <f>IF($A810="","",$A810-WEEKDAY($A810,2)+1)</f>
        <v>0</v>
      </c>
      <c r="BH810">
        <f>IF($A810="","",IF($A809="",1,IF(BG810&lt;&gt;BG809,1,0)))</f>
        <v>0</v>
      </c>
      <c r="BI810">
        <f>IF($A810="","",IF($A811="",1,IF(BG811&lt;&gt;BG810,1,0)))</f>
        <v>0</v>
      </c>
      <c r="BJ810">
        <f>IF($A810="","",IF(BH810=1,$B810,BJ809))</f>
        <v>0</v>
      </c>
      <c r="BK810">
        <f>IF($A810="","",IF(BH810=1,$C810,MAX($C810,BK809)))</f>
        <v>0</v>
      </c>
      <c r="BL810">
        <f>IF($A810="","",IF(BH810=1,$D810,MIN($D810,BL809)))</f>
        <v>0</v>
      </c>
      <c r="BM810">
        <f>IF($A810="","",IF(BI810=1,F810,""))</f>
        <v>0</v>
      </c>
      <c r="BN810">
        <f>IF($A810="","",DATE(YEAR($A810),MONTH($A810),1))</f>
        <v>0</v>
      </c>
      <c r="BO810">
        <f>IF($A810="","",IF($A809="",1,IF(BN810&lt;&gt;BN809,1,0)))</f>
        <v>0</v>
      </c>
      <c r="BP810">
        <f>IF($A810="","",IF($A811="",1,IF(BN811&lt;&gt;BN810,1,0)))</f>
        <v>0</v>
      </c>
      <c r="BQ810">
        <f>IF($A810="","",IF(BO810=1,$B810,BQ809))</f>
        <v>0</v>
      </c>
      <c r="BR810">
        <f>IF($A810="","",IF(BO810=1,$C810,MAX($C810,BR809)))</f>
        <v>0</v>
      </c>
      <c r="BS810">
        <f>IF($A810="","",IF(BO810=1,$D810,MIN($D810,BS809)))</f>
        <v>0</v>
      </c>
      <c r="BT810">
        <f>IF($A810="","",IF(BP810=1,F810,""))</f>
        <v>0</v>
      </c>
    </row>
    <row r="811" spans="1:72">
      <c r="A811" s="27">
        <f>IF(Data!$A811="","",Data!$A811)</f>
        <v>0</v>
      </c>
      <c r="B811">
        <f>IF(Data!$B811="","",Data!$B811)</f>
        <v>0</v>
      </c>
      <c r="C811">
        <f>IF(Data!$C811="","",Data!$C811)</f>
        <v>0</v>
      </c>
      <c r="D811">
        <f>IF(Data!$D811="","",Data!$D811)</f>
        <v>0</v>
      </c>
      <c r="E811">
        <f>IF(Data!$E811="","",Data!$E811)</f>
        <v>0</v>
      </c>
      <c r="F811">
        <f>IF($E811="","",N(F810)+1)</f>
        <v>0</v>
      </c>
      <c r="G811">
        <f>IF(OR($E811="",$E810=""),"",LN($E811/$E810))</f>
        <v>0</v>
      </c>
      <c r="H811">
        <f>IF($E811="","",IF($E810="",$E811,$E811*0.0952380952+H810*0.9047619048))</f>
        <v>0</v>
      </c>
      <c r="I811">
        <f>IF($E811="","",IF($E810="",$E811,$E811*0.0392156863+I810*0.9607843137))</f>
        <v>0</v>
      </c>
      <c r="J811">
        <f>IF($E811="","",IF($E810="",$E811,$E811*0.0198019802+J810*0.9801980198))</f>
        <v>0</v>
      </c>
      <c r="K811">
        <f>IF($E811="","",IF($E810="",$E811,$E811*0.0099502488+K810*0.9900497512))</f>
        <v>0</v>
      </c>
      <c r="L811">
        <f>IF(OR($E811="",$E810=""),"",MAX($E811-$E810,0))</f>
        <v>0</v>
      </c>
      <c r="M811">
        <f>IF(OR($E811="",$E810=""),"",MAX($E810-$E811,0))</f>
        <v>0</v>
      </c>
      <c r="N811">
        <f>IF(COUNT($E$2:$E811)&lt;15,"",IF(AVERAGE($M$798:$M$811)=0,100,100-100/(1+AVERAGE($L$798:$L$811)/AVERAGE($M$798:$M$811))))</f>
        <v>0</v>
      </c>
      <c r="O811">
        <f>IF($E811="","",IF($E810="",$E811,$E811*0.1538461538+O810*0.8461538462))</f>
        <v>0</v>
      </c>
      <c r="P811">
        <f>IF($E811="","",IF($E810="",$E811,$E811*0.0740740741+P810*0.9259259259))</f>
        <v>0</v>
      </c>
      <c r="Q811">
        <f>IF(OR(O811="",P811=""),"",O811-P811)</f>
        <v>0</v>
      </c>
      <c r="R811">
        <f>IF(Q811="","",IF(R810="",Q811,Q811*0.2000000000+R810*0.8000000000))</f>
        <v>0</v>
      </c>
      <c r="S811">
        <f>IF(OR(Q811="",R811=""),"",Q811-R811)</f>
        <v>0</v>
      </c>
      <c r="T811">
        <f>IF(COUNT($E$2:$E811)&lt;14,"",MAX($C$798:$C$811))</f>
        <v>0</v>
      </c>
      <c r="U811">
        <f>IF(COUNT($E$2:$E811)&lt;14,"",MIN($D$798:$D$811))</f>
        <v>0</v>
      </c>
      <c r="V811">
        <f>IF(OR(T811="",U811="",T811=U811),"",100*($E811-U811)/(T811-U811))</f>
        <v>0</v>
      </c>
      <c r="W811">
        <f>IF(COUNT($V$809:$V$811)&lt;3,"",AVERAGE($V$809:$V$811))</f>
        <v>0</v>
      </c>
      <c r="X811">
        <f>IF(COUNT($N$798:$N$811)&lt;14,"",MIN($N$798:$N$811))</f>
        <v>0</v>
      </c>
      <c r="Y811">
        <f>IF(COUNT($N$798:$N$811)&lt;14,"",MAX($N$798:$N$811))</f>
        <v>0</v>
      </c>
      <c r="Z811">
        <f>IF(OR(N811="",X811="",Y811="",Y811=X811),"",100*(N811-X811)/(Y811-X811))</f>
        <v>0</v>
      </c>
      <c r="AA811">
        <f>IF(COUNT($Z$809:$Z$811)&lt;3,"",AVERAGE($Z$809:$Z$811))</f>
        <v>0</v>
      </c>
      <c r="AB811">
        <f>IF(COUNT($AA$809:$AA$811)&lt;3,"",AVERAGE($AA$809:$AA$811))</f>
        <v>0</v>
      </c>
      <c r="AC811">
        <f>IF($E811="","",MAX($C811-$D811,ABS($C811-$E810),ABS($D811-$E810)))</f>
        <v>0</v>
      </c>
      <c r="AD811">
        <f>IF(COUNT($E$2:$E811)&lt;15,"",AVERAGE($AC$798:$AC$811))</f>
        <v>0</v>
      </c>
      <c r="AE811">
        <f>IF(OR($E811="",$E810=""),"",IF(AND(($C811-$C810)&gt;($D810-$D811),($C811-$C810)&gt;0),$C811-$C810,0))</f>
        <v>0</v>
      </c>
      <c r="AF811">
        <f>IF(OR($E811="",$E810=""),"",IF(AND(($D810-$D811)&gt;($C811-$C810),($D810-$D811)&gt;0),$D810-$D811,0))</f>
        <v>0</v>
      </c>
      <c r="AG811">
        <f>IF(COUNT($E$2:$E811)&lt;15,"",IF(SUM($AC$798:$AC$811)=0,0,100*SUM($AE$798:$AE$811)/SUM($AC$798:$AC$811)))</f>
        <v>0</v>
      </c>
      <c r="AH811">
        <f>IF(COUNT($E$2:$E811)&lt;15,"",IF(SUM($AC$798:$AC$811)=0,0,100*SUM($AF$798:$AF$811)/SUM($AC$798:$AC$811)))</f>
        <v>0</v>
      </c>
      <c r="AI811">
        <f>IF(OR(AG811="",AH811=""),"",IF((AG811+AH811)=0,0,100*ABS(AG811-AH811)/(AG811+AH811)))</f>
        <v>0</v>
      </c>
      <c r="AJ811">
        <f>IF(COUNT($AI$798:$AI$811)&lt;14,"",AVERAGE($AI$798:$AI$811))</f>
        <v>0</v>
      </c>
      <c r="AK811">
        <f>IF(COUNT($E$2:$E811)&lt;20,"",AVERAGE($E$792:$E$811))</f>
        <v>0</v>
      </c>
      <c r="AL811">
        <f>IF(COUNT($E$2:$E811)&lt;20,"",STDEVP($E$792:$E$811))</f>
        <v>0</v>
      </c>
      <c r="AM811">
        <f>IF(AK811="","",AK811+2*AL811)</f>
        <v>0</v>
      </c>
      <c r="AN811">
        <f>IF(AK811="","",AK811-2*AL811)</f>
        <v>0</v>
      </c>
      <c r="AO811">
        <f>IF(OR(AM811="",AN811="",AM811=AN811),"",($E811-AN811)/(AM811-AN811))</f>
        <v>0</v>
      </c>
      <c r="AP811">
        <f>IF(OR(AM811="",AK811="",AK811=0),"",(AM811-AN811)/AK811)</f>
        <v>0</v>
      </c>
      <c r="AQ811">
        <f>IF(COUNT($E$2:$E811)&lt;20,"",MAX($C$792:$C$811))</f>
        <v>0</v>
      </c>
      <c r="AR811">
        <f>IF(COUNT($E$2:$E811)&lt;20,"",MIN($D$792:$D$811))</f>
        <v>0</v>
      </c>
      <c r="AS811">
        <f>IF(OR(AQ811="",AR811=""),"",(AQ811+AR811)/2)</f>
        <v>0</v>
      </c>
      <c r="AT811">
        <f>IF(COUNT($G$792:$G$811)&lt;20,"",STDEV($G$792:$G$811)*SQRT(252))</f>
        <v>0</v>
      </c>
      <c r="AU811">
        <f>IF(COUNT($E$2:$E811)&lt;9,"",(MAX($C$803:$C$811)+MIN($D$803:$D$811))/2)</f>
        <v>0</v>
      </c>
      <c r="AV811">
        <f>IF(COUNT($E$2:$E811)&lt;26,"",(MAX($C$786:$C$811)+MIN($D$786:$D$811))/2)</f>
        <v>0</v>
      </c>
      <c r="AW811">
        <f>IF(OR(AU811="",AV811=""),"",(AU811+AV811)/2)</f>
        <v>0</v>
      </c>
      <c r="AX811">
        <f>IF(COUNT($E$2:$E811)&lt;52,"",(MAX($C$760:$C$811)+MIN($D$760:$D$811))/2)</f>
        <v>0</v>
      </c>
      <c r="AY811">
        <f>IF(COUNT($E$2:$E811)&lt;20,"",MAX($C$712:$C$811))</f>
        <v>0</v>
      </c>
      <c r="AZ811">
        <f>IF(COUNT($E$2:$E811)&lt;20,"",MIN($D$712:$D$811))</f>
        <v>0</v>
      </c>
      <c r="BA811">
        <f>IF(COUNT($E$2:$E811)&lt;20,"",SLOPE($E$712:$E$811,$F$712:$F$811))</f>
        <v>0</v>
      </c>
      <c r="BB811">
        <f>IF(COUNT($E$2:$E811)&lt;20,"",INTERCEPT($E$712:$E$811,$F$712:$F$811))</f>
        <v>0</v>
      </c>
      <c r="BC811">
        <f>IF(OR(BA811="",BB811=""),"",BB811+BA811*F811)</f>
        <v>0</v>
      </c>
      <c r="BD811">
        <f>IF(COUNT($E$2:$E811)&lt;20,"",STEYX($E$712:$E$811,$F$712:$F$811))</f>
        <v>0</v>
      </c>
      <c r="BE811">
        <f>IF($E811="","",IF(AND(COUNT($E$812:$E$815)&gt;=4,$C811=MAX($C$807:$C$815)),$C811,""))</f>
        <v>0</v>
      </c>
      <c r="BF811">
        <f>IF($E811="","",IF(AND(COUNT($E$812:$E$815)&gt;=4,$D811=MIN($D$807:$D$815)),$D811,""))</f>
        <v>0</v>
      </c>
      <c r="BG811">
        <f>IF($A811="","",$A811-WEEKDAY($A811,2)+1)</f>
        <v>0</v>
      </c>
      <c r="BH811">
        <f>IF($A811="","",IF($A810="",1,IF(BG811&lt;&gt;BG810,1,0)))</f>
        <v>0</v>
      </c>
      <c r="BI811">
        <f>IF($A811="","",IF($A812="",1,IF(BG812&lt;&gt;BG811,1,0)))</f>
        <v>0</v>
      </c>
      <c r="BJ811">
        <f>IF($A811="","",IF(BH811=1,$B811,BJ810))</f>
        <v>0</v>
      </c>
      <c r="BK811">
        <f>IF($A811="","",IF(BH811=1,$C811,MAX($C811,BK810)))</f>
        <v>0</v>
      </c>
      <c r="BL811">
        <f>IF($A811="","",IF(BH811=1,$D811,MIN($D811,BL810)))</f>
        <v>0</v>
      </c>
      <c r="BM811">
        <f>IF($A811="","",IF(BI811=1,F811,""))</f>
        <v>0</v>
      </c>
      <c r="BN811">
        <f>IF($A811="","",DATE(YEAR($A811),MONTH($A811),1))</f>
        <v>0</v>
      </c>
      <c r="BO811">
        <f>IF($A811="","",IF($A810="",1,IF(BN811&lt;&gt;BN810,1,0)))</f>
        <v>0</v>
      </c>
      <c r="BP811">
        <f>IF($A811="","",IF($A812="",1,IF(BN812&lt;&gt;BN811,1,0)))</f>
        <v>0</v>
      </c>
      <c r="BQ811">
        <f>IF($A811="","",IF(BO811=1,$B811,BQ810))</f>
        <v>0</v>
      </c>
      <c r="BR811">
        <f>IF($A811="","",IF(BO811=1,$C811,MAX($C811,BR810)))</f>
        <v>0</v>
      </c>
      <c r="BS811">
        <f>IF($A811="","",IF(BO811=1,$D811,MIN($D811,BS810)))</f>
        <v>0</v>
      </c>
      <c r="BT811">
        <f>IF($A811="","",IF(BP811=1,F811,""))</f>
        <v>0</v>
      </c>
    </row>
    <row r="812" spans="1:72">
      <c r="A812" s="27">
        <f>IF(Data!$A812="","",Data!$A812)</f>
        <v>0</v>
      </c>
      <c r="B812">
        <f>IF(Data!$B812="","",Data!$B812)</f>
        <v>0</v>
      </c>
      <c r="C812">
        <f>IF(Data!$C812="","",Data!$C812)</f>
        <v>0</v>
      </c>
      <c r="D812">
        <f>IF(Data!$D812="","",Data!$D812)</f>
        <v>0</v>
      </c>
      <c r="E812">
        <f>IF(Data!$E812="","",Data!$E812)</f>
        <v>0</v>
      </c>
      <c r="F812">
        <f>IF($E812="","",N(F811)+1)</f>
        <v>0</v>
      </c>
      <c r="G812">
        <f>IF(OR($E812="",$E811=""),"",LN($E812/$E811))</f>
        <v>0</v>
      </c>
      <c r="H812">
        <f>IF($E812="","",IF($E811="",$E812,$E812*0.0952380952+H811*0.9047619048))</f>
        <v>0</v>
      </c>
      <c r="I812">
        <f>IF($E812="","",IF($E811="",$E812,$E812*0.0392156863+I811*0.9607843137))</f>
        <v>0</v>
      </c>
      <c r="J812">
        <f>IF($E812="","",IF($E811="",$E812,$E812*0.0198019802+J811*0.9801980198))</f>
        <v>0</v>
      </c>
      <c r="K812">
        <f>IF($E812="","",IF($E811="",$E812,$E812*0.0099502488+K811*0.9900497512))</f>
        <v>0</v>
      </c>
      <c r="L812">
        <f>IF(OR($E812="",$E811=""),"",MAX($E812-$E811,0))</f>
        <v>0</v>
      </c>
      <c r="M812">
        <f>IF(OR($E812="",$E811=""),"",MAX($E811-$E812,0))</f>
        <v>0</v>
      </c>
      <c r="N812">
        <f>IF(COUNT($E$2:$E812)&lt;15,"",IF(AVERAGE($M$799:$M$812)=0,100,100-100/(1+AVERAGE($L$799:$L$812)/AVERAGE($M$799:$M$812))))</f>
        <v>0</v>
      </c>
      <c r="O812">
        <f>IF($E812="","",IF($E811="",$E812,$E812*0.1538461538+O811*0.8461538462))</f>
        <v>0</v>
      </c>
      <c r="P812">
        <f>IF($E812="","",IF($E811="",$E812,$E812*0.0740740741+P811*0.9259259259))</f>
        <v>0</v>
      </c>
      <c r="Q812">
        <f>IF(OR(O812="",P812=""),"",O812-P812)</f>
        <v>0</v>
      </c>
      <c r="R812">
        <f>IF(Q812="","",IF(R811="",Q812,Q812*0.2000000000+R811*0.8000000000))</f>
        <v>0</v>
      </c>
      <c r="S812">
        <f>IF(OR(Q812="",R812=""),"",Q812-R812)</f>
        <v>0</v>
      </c>
      <c r="T812">
        <f>IF(COUNT($E$2:$E812)&lt;14,"",MAX($C$799:$C$812))</f>
        <v>0</v>
      </c>
      <c r="U812">
        <f>IF(COUNT($E$2:$E812)&lt;14,"",MIN($D$799:$D$812))</f>
        <v>0</v>
      </c>
      <c r="V812">
        <f>IF(OR(T812="",U812="",T812=U812),"",100*($E812-U812)/(T812-U812))</f>
        <v>0</v>
      </c>
      <c r="W812">
        <f>IF(COUNT($V$810:$V$812)&lt;3,"",AVERAGE($V$810:$V$812))</f>
        <v>0</v>
      </c>
      <c r="X812">
        <f>IF(COUNT($N$799:$N$812)&lt;14,"",MIN($N$799:$N$812))</f>
        <v>0</v>
      </c>
      <c r="Y812">
        <f>IF(COUNT($N$799:$N$812)&lt;14,"",MAX($N$799:$N$812))</f>
        <v>0</v>
      </c>
      <c r="Z812">
        <f>IF(OR(N812="",X812="",Y812="",Y812=X812),"",100*(N812-X812)/(Y812-X812))</f>
        <v>0</v>
      </c>
      <c r="AA812">
        <f>IF(COUNT($Z$810:$Z$812)&lt;3,"",AVERAGE($Z$810:$Z$812))</f>
        <v>0</v>
      </c>
      <c r="AB812">
        <f>IF(COUNT($AA$810:$AA$812)&lt;3,"",AVERAGE($AA$810:$AA$812))</f>
        <v>0</v>
      </c>
      <c r="AC812">
        <f>IF($E812="","",MAX($C812-$D812,ABS($C812-$E811),ABS($D812-$E811)))</f>
        <v>0</v>
      </c>
      <c r="AD812">
        <f>IF(COUNT($E$2:$E812)&lt;15,"",AVERAGE($AC$799:$AC$812))</f>
        <v>0</v>
      </c>
      <c r="AE812">
        <f>IF(OR($E812="",$E811=""),"",IF(AND(($C812-$C811)&gt;($D811-$D812),($C812-$C811)&gt;0),$C812-$C811,0))</f>
        <v>0</v>
      </c>
      <c r="AF812">
        <f>IF(OR($E812="",$E811=""),"",IF(AND(($D811-$D812)&gt;($C812-$C811),($D811-$D812)&gt;0),$D811-$D812,0))</f>
        <v>0</v>
      </c>
      <c r="AG812">
        <f>IF(COUNT($E$2:$E812)&lt;15,"",IF(SUM($AC$799:$AC$812)=0,0,100*SUM($AE$799:$AE$812)/SUM($AC$799:$AC$812)))</f>
        <v>0</v>
      </c>
      <c r="AH812">
        <f>IF(COUNT($E$2:$E812)&lt;15,"",IF(SUM($AC$799:$AC$812)=0,0,100*SUM($AF$799:$AF$812)/SUM($AC$799:$AC$812)))</f>
        <v>0</v>
      </c>
      <c r="AI812">
        <f>IF(OR(AG812="",AH812=""),"",IF((AG812+AH812)=0,0,100*ABS(AG812-AH812)/(AG812+AH812)))</f>
        <v>0</v>
      </c>
      <c r="AJ812">
        <f>IF(COUNT($AI$799:$AI$812)&lt;14,"",AVERAGE($AI$799:$AI$812))</f>
        <v>0</v>
      </c>
      <c r="AK812">
        <f>IF(COUNT($E$2:$E812)&lt;20,"",AVERAGE($E$793:$E$812))</f>
        <v>0</v>
      </c>
      <c r="AL812">
        <f>IF(COUNT($E$2:$E812)&lt;20,"",STDEVP($E$793:$E$812))</f>
        <v>0</v>
      </c>
      <c r="AM812">
        <f>IF(AK812="","",AK812+2*AL812)</f>
        <v>0</v>
      </c>
      <c r="AN812">
        <f>IF(AK812="","",AK812-2*AL812)</f>
        <v>0</v>
      </c>
      <c r="AO812">
        <f>IF(OR(AM812="",AN812="",AM812=AN812),"",($E812-AN812)/(AM812-AN812))</f>
        <v>0</v>
      </c>
      <c r="AP812">
        <f>IF(OR(AM812="",AK812="",AK812=0),"",(AM812-AN812)/AK812)</f>
        <v>0</v>
      </c>
      <c r="AQ812">
        <f>IF(COUNT($E$2:$E812)&lt;20,"",MAX($C$793:$C$812))</f>
        <v>0</v>
      </c>
      <c r="AR812">
        <f>IF(COUNT($E$2:$E812)&lt;20,"",MIN($D$793:$D$812))</f>
        <v>0</v>
      </c>
      <c r="AS812">
        <f>IF(OR(AQ812="",AR812=""),"",(AQ812+AR812)/2)</f>
        <v>0</v>
      </c>
      <c r="AT812">
        <f>IF(COUNT($G$793:$G$812)&lt;20,"",STDEV($G$793:$G$812)*SQRT(252))</f>
        <v>0</v>
      </c>
      <c r="AU812">
        <f>IF(COUNT($E$2:$E812)&lt;9,"",(MAX($C$804:$C$812)+MIN($D$804:$D$812))/2)</f>
        <v>0</v>
      </c>
      <c r="AV812">
        <f>IF(COUNT($E$2:$E812)&lt;26,"",(MAX($C$787:$C$812)+MIN($D$787:$D$812))/2)</f>
        <v>0</v>
      </c>
      <c r="AW812">
        <f>IF(OR(AU812="",AV812=""),"",(AU812+AV812)/2)</f>
        <v>0</v>
      </c>
      <c r="AX812">
        <f>IF(COUNT($E$2:$E812)&lt;52,"",(MAX($C$761:$C$812)+MIN($D$761:$D$812))/2)</f>
        <v>0</v>
      </c>
      <c r="AY812">
        <f>IF(COUNT($E$2:$E812)&lt;20,"",MAX($C$713:$C$812))</f>
        <v>0</v>
      </c>
      <c r="AZ812">
        <f>IF(COUNT($E$2:$E812)&lt;20,"",MIN($D$713:$D$812))</f>
        <v>0</v>
      </c>
      <c r="BA812">
        <f>IF(COUNT($E$2:$E812)&lt;20,"",SLOPE($E$713:$E$812,$F$713:$F$812))</f>
        <v>0</v>
      </c>
      <c r="BB812">
        <f>IF(COUNT($E$2:$E812)&lt;20,"",INTERCEPT($E$713:$E$812,$F$713:$F$812))</f>
        <v>0</v>
      </c>
      <c r="BC812">
        <f>IF(OR(BA812="",BB812=""),"",BB812+BA812*F812)</f>
        <v>0</v>
      </c>
      <c r="BD812">
        <f>IF(COUNT($E$2:$E812)&lt;20,"",STEYX($E$713:$E$812,$F$713:$F$812))</f>
        <v>0</v>
      </c>
      <c r="BE812">
        <f>IF($E812="","",IF(AND(COUNT($E$813:$E$816)&gt;=4,$C812=MAX($C$808:$C$816)),$C812,""))</f>
        <v>0</v>
      </c>
      <c r="BF812">
        <f>IF($E812="","",IF(AND(COUNT($E$813:$E$816)&gt;=4,$D812=MIN($D$808:$D$816)),$D812,""))</f>
        <v>0</v>
      </c>
      <c r="BG812">
        <f>IF($A812="","",$A812-WEEKDAY($A812,2)+1)</f>
        <v>0</v>
      </c>
      <c r="BH812">
        <f>IF($A812="","",IF($A811="",1,IF(BG812&lt;&gt;BG811,1,0)))</f>
        <v>0</v>
      </c>
      <c r="BI812">
        <f>IF($A812="","",IF($A813="",1,IF(BG813&lt;&gt;BG812,1,0)))</f>
        <v>0</v>
      </c>
      <c r="BJ812">
        <f>IF($A812="","",IF(BH812=1,$B812,BJ811))</f>
        <v>0</v>
      </c>
      <c r="BK812">
        <f>IF($A812="","",IF(BH812=1,$C812,MAX($C812,BK811)))</f>
        <v>0</v>
      </c>
      <c r="BL812">
        <f>IF($A812="","",IF(BH812=1,$D812,MIN($D812,BL811)))</f>
        <v>0</v>
      </c>
      <c r="BM812">
        <f>IF($A812="","",IF(BI812=1,F812,""))</f>
        <v>0</v>
      </c>
      <c r="BN812">
        <f>IF($A812="","",DATE(YEAR($A812),MONTH($A812),1))</f>
        <v>0</v>
      </c>
      <c r="BO812">
        <f>IF($A812="","",IF($A811="",1,IF(BN812&lt;&gt;BN811,1,0)))</f>
        <v>0</v>
      </c>
      <c r="BP812">
        <f>IF($A812="","",IF($A813="",1,IF(BN813&lt;&gt;BN812,1,0)))</f>
        <v>0</v>
      </c>
      <c r="BQ812">
        <f>IF($A812="","",IF(BO812=1,$B812,BQ811))</f>
        <v>0</v>
      </c>
      <c r="BR812">
        <f>IF($A812="","",IF(BO812=1,$C812,MAX($C812,BR811)))</f>
        <v>0</v>
      </c>
      <c r="BS812">
        <f>IF($A812="","",IF(BO812=1,$D812,MIN($D812,BS811)))</f>
        <v>0</v>
      </c>
      <c r="BT812">
        <f>IF($A812="","",IF(BP812=1,F812,""))</f>
        <v>0</v>
      </c>
    </row>
    <row r="813" spans="1:72">
      <c r="A813" s="27">
        <f>IF(Data!$A813="","",Data!$A813)</f>
        <v>0</v>
      </c>
      <c r="B813">
        <f>IF(Data!$B813="","",Data!$B813)</f>
        <v>0</v>
      </c>
      <c r="C813">
        <f>IF(Data!$C813="","",Data!$C813)</f>
        <v>0</v>
      </c>
      <c r="D813">
        <f>IF(Data!$D813="","",Data!$D813)</f>
        <v>0</v>
      </c>
      <c r="E813">
        <f>IF(Data!$E813="","",Data!$E813)</f>
        <v>0</v>
      </c>
      <c r="F813">
        <f>IF($E813="","",N(F812)+1)</f>
        <v>0</v>
      </c>
      <c r="G813">
        <f>IF(OR($E813="",$E812=""),"",LN($E813/$E812))</f>
        <v>0</v>
      </c>
      <c r="H813">
        <f>IF($E813="","",IF($E812="",$E813,$E813*0.0952380952+H812*0.9047619048))</f>
        <v>0</v>
      </c>
      <c r="I813">
        <f>IF($E813="","",IF($E812="",$E813,$E813*0.0392156863+I812*0.9607843137))</f>
        <v>0</v>
      </c>
      <c r="J813">
        <f>IF($E813="","",IF($E812="",$E813,$E813*0.0198019802+J812*0.9801980198))</f>
        <v>0</v>
      </c>
      <c r="K813">
        <f>IF($E813="","",IF($E812="",$E813,$E813*0.0099502488+K812*0.9900497512))</f>
        <v>0</v>
      </c>
      <c r="L813">
        <f>IF(OR($E813="",$E812=""),"",MAX($E813-$E812,0))</f>
        <v>0</v>
      </c>
      <c r="M813">
        <f>IF(OR($E813="",$E812=""),"",MAX($E812-$E813,0))</f>
        <v>0</v>
      </c>
      <c r="N813">
        <f>IF(COUNT($E$2:$E813)&lt;15,"",IF(AVERAGE($M$800:$M$813)=0,100,100-100/(1+AVERAGE($L$800:$L$813)/AVERAGE($M$800:$M$813))))</f>
        <v>0</v>
      </c>
      <c r="O813">
        <f>IF($E813="","",IF($E812="",$E813,$E813*0.1538461538+O812*0.8461538462))</f>
        <v>0</v>
      </c>
      <c r="P813">
        <f>IF($E813="","",IF($E812="",$E813,$E813*0.0740740741+P812*0.9259259259))</f>
        <v>0</v>
      </c>
      <c r="Q813">
        <f>IF(OR(O813="",P813=""),"",O813-P813)</f>
        <v>0</v>
      </c>
      <c r="R813">
        <f>IF(Q813="","",IF(R812="",Q813,Q813*0.2000000000+R812*0.8000000000))</f>
        <v>0</v>
      </c>
      <c r="S813">
        <f>IF(OR(Q813="",R813=""),"",Q813-R813)</f>
        <v>0</v>
      </c>
      <c r="T813">
        <f>IF(COUNT($E$2:$E813)&lt;14,"",MAX($C$800:$C$813))</f>
        <v>0</v>
      </c>
      <c r="U813">
        <f>IF(COUNT($E$2:$E813)&lt;14,"",MIN($D$800:$D$813))</f>
        <v>0</v>
      </c>
      <c r="V813">
        <f>IF(OR(T813="",U813="",T813=U813),"",100*($E813-U813)/(T813-U813))</f>
        <v>0</v>
      </c>
      <c r="W813">
        <f>IF(COUNT($V$811:$V$813)&lt;3,"",AVERAGE($V$811:$V$813))</f>
        <v>0</v>
      </c>
      <c r="X813">
        <f>IF(COUNT($N$800:$N$813)&lt;14,"",MIN($N$800:$N$813))</f>
        <v>0</v>
      </c>
      <c r="Y813">
        <f>IF(COUNT($N$800:$N$813)&lt;14,"",MAX($N$800:$N$813))</f>
        <v>0</v>
      </c>
      <c r="Z813">
        <f>IF(OR(N813="",X813="",Y813="",Y813=X813),"",100*(N813-X813)/(Y813-X813))</f>
        <v>0</v>
      </c>
      <c r="AA813">
        <f>IF(COUNT($Z$811:$Z$813)&lt;3,"",AVERAGE($Z$811:$Z$813))</f>
        <v>0</v>
      </c>
      <c r="AB813">
        <f>IF(COUNT($AA$811:$AA$813)&lt;3,"",AVERAGE($AA$811:$AA$813))</f>
        <v>0</v>
      </c>
      <c r="AC813">
        <f>IF($E813="","",MAX($C813-$D813,ABS($C813-$E812),ABS($D813-$E812)))</f>
        <v>0</v>
      </c>
      <c r="AD813">
        <f>IF(COUNT($E$2:$E813)&lt;15,"",AVERAGE($AC$800:$AC$813))</f>
        <v>0</v>
      </c>
      <c r="AE813">
        <f>IF(OR($E813="",$E812=""),"",IF(AND(($C813-$C812)&gt;($D812-$D813),($C813-$C812)&gt;0),$C813-$C812,0))</f>
        <v>0</v>
      </c>
      <c r="AF813">
        <f>IF(OR($E813="",$E812=""),"",IF(AND(($D812-$D813)&gt;($C813-$C812),($D812-$D813)&gt;0),$D812-$D813,0))</f>
        <v>0</v>
      </c>
      <c r="AG813">
        <f>IF(COUNT($E$2:$E813)&lt;15,"",IF(SUM($AC$800:$AC$813)=0,0,100*SUM($AE$800:$AE$813)/SUM($AC$800:$AC$813)))</f>
        <v>0</v>
      </c>
      <c r="AH813">
        <f>IF(COUNT($E$2:$E813)&lt;15,"",IF(SUM($AC$800:$AC$813)=0,0,100*SUM($AF$800:$AF$813)/SUM($AC$800:$AC$813)))</f>
        <v>0</v>
      </c>
      <c r="AI813">
        <f>IF(OR(AG813="",AH813=""),"",IF((AG813+AH813)=0,0,100*ABS(AG813-AH813)/(AG813+AH813)))</f>
        <v>0</v>
      </c>
      <c r="AJ813">
        <f>IF(COUNT($AI$800:$AI$813)&lt;14,"",AVERAGE($AI$800:$AI$813))</f>
        <v>0</v>
      </c>
      <c r="AK813">
        <f>IF(COUNT($E$2:$E813)&lt;20,"",AVERAGE($E$794:$E$813))</f>
        <v>0</v>
      </c>
      <c r="AL813">
        <f>IF(COUNT($E$2:$E813)&lt;20,"",STDEVP($E$794:$E$813))</f>
        <v>0</v>
      </c>
      <c r="AM813">
        <f>IF(AK813="","",AK813+2*AL813)</f>
        <v>0</v>
      </c>
      <c r="AN813">
        <f>IF(AK813="","",AK813-2*AL813)</f>
        <v>0</v>
      </c>
      <c r="AO813">
        <f>IF(OR(AM813="",AN813="",AM813=AN813),"",($E813-AN813)/(AM813-AN813))</f>
        <v>0</v>
      </c>
      <c r="AP813">
        <f>IF(OR(AM813="",AK813="",AK813=0),"",(AM813-AN813)/AK813)</f>
        <v>0</v>
      </c>
      <c r="AQ813">
        <f>IF(COUNT($E$2:$E813)&lt;20,"",MAX($C$794:$C$813))</f>
        <v>0</v>
      </c>
      <c r="AR813">
        <f>IF(COUNT($E$2:$E813)&lt;20,"",MIN($D$794:$D$813))</f>
        <v>0</v>
      </c>
      <c r="AS813">
        <f>IF(OR(AQ813="",AR813=""),"",(AQ813+AR813)/2)</f>
        <v>0</v>
      </c>
      <c r="AT813">
        <f>IF(COUNT($G$794:$G$813)&lt;20,"",STDEV($G$794:$G$813)*SQRT(252))</f>
        <v>0</v>
      </c>
      <c r="AU813">
        <f>IF(COUNT($E$2:$E813)&lt;9,"",(MAX($C$805:$C$813)+MIN($D$805:$D$813))/2)</f>
        <v>0</v>
      </c>
      <c r="AV813">
        <f>IF(COUNT($E$2:$E813)&lt;26,"",(MAX($C$788:$C$813)+MIN($D$788:$D$813))/2)</f>
        <v>0</v>
      </c>
      <c r="AW813">
        <f>IF(OR(AU813="",AV813=""),"",(AU813+AV813)/2)</f>
        <v>0</v>
      </c>
      <c r="AX813">
        <f>IF(COUNT($E$2:$E813)&lt;52,"",(MAX($C$762:$C$813)+MIN($D$762:$D$813))/2)</f>
        <v>0</v>
      </c>
      <c r="AY813">
        <f>IF(COUNT($E$2:$E813)&lt;20,"",MAX($C$714:$C$813))</f>
        <v>0</v>
      </c>
      <c r="AZ813">
        <f>IF(COUNT($E$2:$E813)&lt;20,"",MIN($D$714:$D$813))</f>
        <v>0</v>
      </c>
      <c r="BA813">
        <f>IF(COUNT($E$2:$E813)&lt;20,"",SLOPE($E$714:$E$813,$F$714:$F$813))</f>
        <v>0</v>
      </c>
      <c r="BB813">
        <f>IF(COUNT($E$2:$E813)&lt;20,"",INTERCEPT($E$714:$E$813,$F$714:$F$813))</f>
        <v>0</v>
      </c>
      <c r="BC813">
        <f>IF(OR(BA813="",BB813=""),"",BB813+BA813*F813)</f>
        <v>0</v>
      </c>
      <c r="BD813">
        <f>IF(COUNT($E$2:$E813)&lt;20,"",STEYX($E$714:$E$813,$F$714:$F$813))</f>
        <v>0</v>
      </c>
      <c r="BE813">
        <f>IF($E813="","",IF(AND(COUNT($E$814:$E$817)&gt;=4,$C813=MAX($C$809:$C$817)),$C813,""))</f>
        <v>0</v>
      </c>
      <c r="BF813">
        <f>IF($E813="","",IF(AND(COUNT($E$814:$E$817)&gt;=4,$D813=MIN($D$809:$D$817)),$D813,""))</f>
        <v>0</v>
      </c>
      <c r="BG813">
        <f>IF($A813="","",$A813-WEEKDAY($A813,2)+1)</f>
        <v>0</v>
      </c>
      <c r="BH813">
        <f>IF($A813="","",IF($A812="",1,IF(BG813&lt;&gt;BG812,1,0)))</f>
        <v>0</v>
      </c>
      <c r="BI813">
        <f>IF($A813="","",IF($A814="",1,IF(BG814&lt;&gt;BG813,1,0)))</f>
        <v>0</v>
      </c>
      <c r="BJ813">
        <f>IF($A813="","",IF(BH813=1,$B813,BJ812))</f>
        <v>0</v>
      </c>
      <c r="BK813">
        <f>IF($A813="","",IF(BH813=1,$C813,MAX($C813,BK812)))</f>
        <v>0</v>
      </c>
      <c r="BL813">
        <f>IF($A813="","",IF(BH813=1,$D813,MIN($D813,BL812)))</f>
        <v>0</v>
      </c>
      <c r="BM813">
        <f>IF($A813="","",IF(BI813=1,F813,""))</f>
        <v>0</v>
      </c>
      <c r="BN813">
        <f>IF($A813="","",DATE(YEAR($A813),MONTH($A813),1))</f>
        <v>0</v>
      </c>
      <c r="BO813">
        <f>IF($A813="","",IF($A812="",1,IF(BN813&lt;&gt;BN812,1,0)))</f>
        <v>0</v>
      </c>
      <c r="BP813">
        <f>IF($A813="","",IF($A814="",1,IF(BN814&lt;&gt;BN813,1,0)))</f>
        <v>0</v>
      </c>
      <c r="BQ813">
        <f>IF($A813="","",IF(BO813=1,$B813,BQ812))</f>
        <v>0</v>
      </c>
      <c r="BR813">
        <f>IF($A813="","",IF(BO813=1,$C813,MAX($C813,BR812)))</f>
        <v>0</v>
      </c>
      <c r="BS813">
        <f>IF($A813="","",IF(BO813=1,$D813,MIN($D813,BS812)))</f>
        <v>0</v>
      </c>
      <c r="BT813">
        <f>IF($A813="","",IF(BP813=1,F813,""))</f>
        <v>0</v>
      </c>
    </row>
    <row r="814" spans="1:72">
      <c r="A814" s="27">
        <f>IF(Data!$A814="","",Data!$A814)</f>
        <v>0</v>
      </c>
      <c r="B814">
        <f>IF(Data!$B814="","",Data!$B814)</f>
        <v>0</v>
      </c>
      <c r="C814">
        <f>IF(Data!$C814="","",Data!$C814)</f>
        <v>0</v>
      </c>
      <c r="D814">
        <f>IF(Data!$D814="","",Data!$D814)</f>
        <v>0</v>
      </c>
      <c r="E814">
        <f>IF(Data!$E814="","",Data!$E814)</f>
        <v>0</v>
      </c>
      <c r="F814">
        <f>IF($E814="","",N(F813)+1)</f>
        <v>0</v>
      </c>
      <c r="G814">
        <f>IF(OR($E814="",$E813=""),"",LN($E814/$E813))</f>
        <v>0</v>
      </c>
      <c r="H814">
        <f>IF($E814="","",IF($E813="",$E814,$E814*0.0952380952+H813*0.9047619048))</f>
        <v>0</v>
      </c>
      <c r="I814">
        <f>IF($E814="","",IF($E813="",$E814,$E814*0.0392156863+I813*0.9607843137))</f>
        <v>0</v>
      </c>
      <c r="J814">
        <f>IF($E814="","",IF($E813="",$E814,$E814*0.0198019802+J813*0.9801980198))</f>
        <v>0</v>
      </c>
      <c r="K814">
        <f>IF($E814="","",IF($E813="",$E814,$E814*0.0099502488+K813*0.9900497512))</f>
        <v>0</v>
      </c>
      <c r="L814">
        <f>IF(OR($E814="",$E813=""),"",MAX($E814-$E813,0))</f>
        <v>0</v>
      </c>
      <c r="M814">
        <f>IF(OR($E814="",$E813=""),"",MAX($E813-$E814,0))</f>
        <v>0</v>
      </c>
      <c r="N814">
        <f>IF(COUNT($E$2:$E814)&lt;15,"",IF(AVERAGE($M$801:$M$814)=0,100,100-100/(1+AVERAGE($L$801:$L$814)/AVERAGE($M$801:$M$814))))</f>
        <v>0</v>
      </c>
      <c r="O814">
        <f>IF($E814="","",IF($E813="",$E814,$E814*0.1538461538+O813*0.8461538462))</f>
        <v>0</v>
      </c>
      <c r="P814">
        <f>IF($E814="","",IF($E813="",$E814,$E814*0.0740740741+P813*0.9259259259))</f>
        <v>0</v>
      </c>
      <c r="Q814">
        <f>IF(OR(O814="",P814=""),"",O814-P814)</f>
        <v>0</v>
      </c>
      <c r="R814">
        <f>IF(Q814="","",IF(R813="",Q814,Q814*0.2000000000+R813*0.8000000000))</f>
        <v>0</v>
      </c>
      <c r="S814">
        <f>IF(OR(Q814="",R814=""),"",Q814-R814)</f>
        <v>0</v>
      </c>
      <c r="T814">
        <f>IF(COUNT($E$2:$E814)&lt;14,"",MAX($C$801:$C$814))</f>
        <v>0</v>
      </c>
      <c r="U814">
        <f>IF(COUNT($E$2:$E814)&lt;14,"",MIN($D$801:$D$814))</f>
        <v>0</v>
      </c>
      <c r="V814">
        <f>IF(OR(T814="",U814="",T814=U814),"",100*($E814-U814)/(T814-U814))</f>
        <v>0</v>
      </c>
      <c r="W814">
        <f>IF(COUNT($V$812:$V$814)&lt;3,"",AVERAGE($V$812:$V$814))</f>
        <v>0</v>
      </c>
      <c r="X814">
        <f>IF(COUNT($N$801:$N$814)&lt;14,"",MIN($N$801:$N$814))</f>
        <v>0</v>
      </c>
      <c r="Y814">
        <f>IF(COUNT($N$801:$N$814)&lt;14,"",MAX($N$801:$N$814))</f>
        <v>0</v>
      </c>
      <c r="Z814">
        <f>IF(OR(N814="",X814="",Y814="",Y814=X814),"",100*(N814-X814)/(Y814-X814))</f>
        <v>0</v>
      </c>
      <c r="AA814">
        <f>IF(COUNT($Z$812:$Z$814)&lt;3,"",AVERAGE($Z$812:$Z$814))</f>
        <v>0</v>
      </c>
      <c r="AB814">
        <f>IF(COUNT($AA$812:$AA$814)&lt;3,"",AVERAGE($AA$812:$AA$814))</f>
        <v>0</v>
      </c>
      <c r="AC814">
        <f>IF($E814="","",MAX($C814-$D814,ABS($C814-$E813),ABS($D814-$E813)))</f>
        <v>0</v>
      </c>
      <c r="AD814">
        <f>IF(COUNT($E$2:$E814)&lt;15,"",AVERAGE($AC$801:$AC$814))</f>
        <v>0</v>
      </c>
      <c r="AE814">
        <f>IF(OR($E814="",$E813=""),"",IF(AND(($C814-$C813)&gt;($D813-$D814),($C814-$C813)&gt;0),$C814-$C813,0))</f>
        <v>0</v>
      </c>
      <c r="AF814">
        <f>IF(OR($E814="",$E813=""),"",IF(AND(($D813-$D814)&gt;($C814-$C813),($D813-$D814)&gt;0),$D813-$D814,0))</f>
        <v>0</v>
      </c>
      <c r="AG814">
        <f>IF(COUNT($E$2:$E814)&lt;15,"",IF(SUM($AC$801:$AC$814)=0,0,100*SUM($AE$801:$AE$814)/SUM($AC$801:$AC$814)))</f>
        <v>0</v>
      </c>
      <c r="AH814">
        <f>IF(COUNT($E$2:$E814)&lt;15,"",IF(SUM($AC$801:$AC$814)=0,0,100*SUM($AF$801:$AF$814)/SUM($AC$801:$AC$814)))</f>
        <v>0</v>
      </c>
      <c r="AI814">
        <f>IF(OR(AG814="",AH814=""),"",IF((AG814+AH814)=0,0,100*ABS(AG814-AH814)/(AG814+AH814)))</f>
        <v>0</v>
      </c>
      <c r="AJ814">
        <f>IF(COUNT($AI$801:$AI$814)&lt;14,"",AVERAGE($AI$801:$AI$814))</f>
        <v>0</v>
      </c>
      <c r="AK814">
        <f>IF(COUNT($E$2:$E814)&lt;20,"",AVERAGE($E$795:$E$814))</f>
        <v>0</v>
      </c>
      <c r="AL814">
        <f>IF(COUNT($E$2:$E814)&lt;20,"",STDEVP($E$795:$E$814))</f>
        <v>0</v>
      </c>
      <c r="AM814">
        <f>IF(AK814="","",AK814+2*AL814)</f>
        <v>0</v>
      </c>
      <c r="AN814">
        <f>IF(AK814="","",AK814-2*AL814)</f>
        <v>0</v>
      </c>
      <c r="AO814">
        <f>IF(OR(AM814="",AN814="",AM814=AN814),"",($E814-AN814)/(AM814-AN814))</f>
        <v>0</v>
      </c>
      <c r="AP814">
        <f>IF(OR(AM814="",AK814="",AK814=0),"",(AM814-AN814)/AK814)</f>
        <v>0</v>
      </c>
      <c r="AQ814">
        <f>IF(COUNT($E$2:$E814)&lt;20,"",MAX($C$795:$C$814))</f>
        <v>0</v>
      </c>
      <c r="AR814">
        <f>IF(COUNT($E$2:$E814)&lt;20,"",MIN($D$795:$D$814))</f>
        <v>0</v>
      </c>
      <c r="AS814">
        <f>IF(OR(AQ814="",AR814=""),"",(AQ814+AR814)/2)</f>
        <v>0</v>
      </c>
      <c r="AT814">
        <f>IF(COUNT($G$795:$G$814)&lt;20,"",STDEV($G$795:$G$814)*SQRT(252))</f>
        <v>0</v>
      </c>
      <c r="AU814">
        <f>IF(COUNT($E$2:$E814)&lt;9,"",(MAX($C$806:$C$814)+MIN($D$806:$D$814))/2)</f>
        <v>0</v>
      </c>
      <c r="AV814">
        <f>IF(COUNT($E$2:$E814)&lt;26,"",(MAX($C$789:$C$814)+MIN($D$789:$D$814))/2)</f>
        <v>0</v>
      </c>
      <c r="AW814">
        <f>IF(OR(AU814="",AV814=""),"",(AU814+AV814)/2)</f>
        <v>0</v>
      </c>
      <c r="AX814">
        <f>IF(COUNT($E$2:$E814)&lt;52,"",(MAX($C$763:$C$814)+MIN($D$763:$D$814))/2)</f>
        <v>0</v>
      </c>
      <c r="AY814">
        <f>IF(COUNT($E$2:$E814)&lt;20,"",MAX($C$715:$C$814))</f>
        <v>0</v>
      </c>
      <c r="AZ814">
        <f>IF(COUNT($E$2:$E814)&lt;20,"",MIN($D$715:$D$814))</f>
        <v>0</v>
      </c>
      <c r="BA814">
        <f>IF(COUNT($E$2:$E814)&lt;20,"",SLOPE($E$715:$E$814,$F$715:$F$814))</f>
        <v>0</v>
      </c>
      <c r="BB814">
        <f>IF(COUNT($E$2:$E814)&lt;20,"",INTERCEPT($E$715:$E$814,$F$715:$F$814))</f>
        <v>0</v>
      </c>
      <c r="BC814">
        <f>IF(OR(BA814="",BB814=""),"",BB814+BA814*F814)</f>
        <v>0</v>
      </c>
      <c r="BD814">
        <f>IF(COUNT($E$2:$E814)&lt;20,"",STEYX($E$715:$E$814,$F$715:$F$814))</f>
        <v>0</v>
      </c>
      <c r="BE814">
        <f>IF($E814="","",IF(AND(COUNT($E$815:$E$818)&gt;=4,$C814=MAX($C$810:$C$818)),$C814,""))</f>
        <v>0</v>
      </c>
      <c r="BF814">
        <f>IF($E814="","",IF(AND(COUNT($E$815:$E$818)&gt;=4,$D814=MIN($D$810:$D$818)),$D814,""))</f>
        <v>0</v>
      </c>
      <c r="BG814">
        <f>IF($A814="","",$A814-WEEKDAY($A814,2)+1)</f>
        <v>0</v>
      </c>
      <c r="BH814">
        <f>IF($A814="","",IF($A813="",1,IF(BG814&lt;&gt;BG813,1,0)))</f>
        <v>0</v>
      </c>
      <c r="BI814">
        <f>IF($A814="","",IF($A815="",1,IF(BG815&lt;&gt;BG814,1,0)))</f>
        <v>0</v>
      </c>
      <c r="BJ814">
        <f>IF($A814="","",IF(BH814=1,$B814,BJ813))</f>
        <v>0</v>
      </c>
      <c r="BK814">
        <f>IF($A814="","",IF(BH814=1,$C814,MAX($C814,BK813)))</f>
        <v>0</v>
      </c>
      <c r="BL814">
        <f>IF($A814="","",IF(BH814=1,$D814,MIN($D814,BL813)))</f>
        <v>0</v>
      </c>
      <c r="BM814">
        <f>IF($A814="","",IF(BI814=1,F814,""))</f>
        <v>0</v>
      </c>
      <c r="BN814">
        <f>IF($A814="","",DATE(YEAR($A814),MONTH($A814),1))</f>
        <v>0</v>
      </c>
      <c r="BO814">
        <f>IF($A814="","",IF($A813="",1,IF(BN814&lt;&gt;BN813,1,0)))</f>
        <v>0</v>
      </c>
      <c r="BP814">
        <f>IF($A814="","",IF($A815="",1,IF(BN815&lt;&gt;BN814,1,0)))</f>
        <v>0</v>
      </c>
      <c r="BQ814">
        <f>IF($A814="","",IF(BO814=1,$B814,BQ813))</f>
        <v>0</v>
      </c>
      <c r="BR814">
        <f>IF($A814="","",IF(BO814=1,$C814,MAX($C814,BR813)))</f>
        <v>0</v>
      </c>
      <c r="BS814">
        <f>IF($A814="","",IF(BO814=1,$D814,MIN($D814,BS813)))</f>
        <v>0</v>
      </c>
      <c r="BT814">
        <f>IF($A814="","",IF(BP814=1,F814,""))</f>
        <v>0</v>
      </c>
    </row>
    <row r="815" spans="1:72">
      <c r="A815" s="27">
        <f>IF(Data!$A815="","",Data!$A815)</f>
        <v>0</v>
      </c>
      <c r="B815">
        <f>IF(Data!$B815="","",Data!$B815)</f>
        <v>0</v>
      </c>
      <c r="C815">
        <f>IF(Data!$C815="","",Data!$C815)</f>
        <v>0</v>
      </c>
      <c r="D815">
        <f>IF(Data!$D815="","",Data!$D815)</f>
        <v>0</v>
      </c>
      <c r="E815">
        <f>IF(Data!$E815="","",Data!$E815)</f>
        <v>0</v>
      </c>
      <c r="F815">
        <f>IF($E815="","",N(F814)+1)</f>
        <v>0</v>
      </c>
      <c r="G815">
        <f>IF(OR($E815="",$E814=""),"",LN($E815/$E814))</f>
        <v>0</v>
      </c>
      <c r="H815">
        <f>IF($E815="","",IF($E814="",$E815,$E815*0.0952380952+H814*0.9047619048))</f>
        <v>0</v>
      </c>
      <c r="I815">
        <f>IF($E815="","",IF($E814="",$E815,$E815*0.0392156863+I814*0.9607843137))</f>
        <v>0</v>
      </c>
      <c r="J815">
        <f>IF($E815="","",IF($E814="",$E815,$E815*0.0198019802+J814*0.9801980198))</f>
        <v>0</v>
      </c>
      <c r="K815">
        <f>IF($E815="","",IF($E814="",$E815,$E815*0.0099502488+K814*0.9900497512))</f>
        <v>0</v>
      </c>
      <c r="L815">
        <f>IF(OR($E815="",$E814=""),"",MAX($E815-$E814,0))</f>
        <v>0</v>
      </c>
      <c r="M815">
        <f>IF(OR($E815="",$E814=""),"",MAX($E814-$E815,0))</f>
        <v>0</v>
      </c>
      <c r="N815">
        <f>IF(COUNT($E$2:$E815)&lt;15,"",IF(AVERAGE($M$802:$M$815)=0,100,100-100/(1+AVERAGE($L$802:$L$815)/AVERAGE($M$802:$M$815))))</f>
        <v>0</v>
      </c>
      <c r="O815">
        <f>IF($E815="","",IF($E814="",$E815,$E815*0.1538461538+O814*0.8461538462))</f>
        <v>0</v>
      </c>
      <c r="P815">
        <f>IF($E815="","",IF($E814="",$E815,$E815*0.0740740741+P814*0.9259259259))</f>
        <v>0</v>
      </c>
      <c r="Q815">
        <f>IF(OR(O815="",P815=""),"",O815-P815)</f>
        <v>0</v>
      </c>
      <c r="R815">
        <f>IF(Q815="","",IF(R814="",Q815,Q815*0.2000000000+R814*0.8000000000))</f>
        <v>0</v>
      </c>
      <c r="S815">
        <f>IF(OR(Q815="",R815=""),"",Q815-R815)</f>
        <v>0</v>
      </c>
      <c r="T815">
        <f>IF(COUNT($E$2:$E815)&lt;14,"",MAX($C$802:$C$815))</f>
        <v>0</v>
      </c>
      <c r="U815">
        <f>IF(COUNT($E$2:$E815)&lt;14,"",MIN($D$802:$D$815))</f>
        <v>0</v>
      </c>
      <c r="V815">
        <f>IF(OR(T815="",U815="",T815=U815),"",100*($E815-U815)/(T815-U815))</f>
        <v>0</v>
      </c>
      <c r="W815">
        <f>IF(COUNT($V$813:$V$815)&lt;3,"",AVERAGE($V$813:$V$815))</f>
        <v>0</v>
      </c>
      <c r="X815">
        <f>IF(COUNT($N$802:$N$815)&lt;14,"",MIN($N$802:$N$815))</f>
        <v>0</v>
      </c>
      <c r="Y815">
        <f>IF(COUNT($N$802:$N$815)&lt;14,"",MAX($N$802:$N$815))</f>
        <v>0</v>
      </c>
      <c r="Z815">
        <f>IF(OR(N815="",X815="",Y815="",Y815=X815),"",100*(N815-X815)/(Y815-X815))</f>
        <v>0</v>
      </c>
      <c r="AA815">
        <f>IF(COUNT($Z$813:$Z$815)&lt;3,"",AVERAGE($Z$813:$Z$815))</f>
        <v>0</v>
      </c>
      <c r="AB815">
        <f>IF(COUNT($AA$813:$AA$815)&lt;3,"",AVERAGE($AA$813:$AA$815))</f>
        <v>0</v>
      </c>
      <c r="AC815">
        <f>IF($E815="","",MAX($C815-$D815,ABS($C815-$E814),ABS($D815-$E814)))</f>
        <v>0</v>
      </c>
      <c r="AD815">
        <f>IF(COUNT($E$2:$E815)&lt;15,"",AVERAGE($AC$802:$AC$815))</f>
        <v>0</v>
      </c>
      <c r="AE815">
        <f>IF(OR($E815="",$E814=""),"",IF(AND(($C815-$C814)&gt;($D814-$D815),($C815-$C814)&gt;0),$C815-$C814,0))</f>
        <v>0</v>
      </c>
      <c r="AF815">
        <f>IF(OR($E815="",$E814=""),"",IF(AND(($D814-$D815)&gt;($C815-$C814),($D814-$D815)&gt;0),$D814-$D815,0))</f>
        <v>0</v>
      </c>
      <c r="AG815">
        <f>IF(COUNT($E$2:$E815)&lt;15,"",IF(SUM($AC$802:$AC$815)=0,0,100*SUM($AE$802:$AE$815)/SUM($AC$802:$AC$815)))</f>
        <v>0</v>
      </c>
      <c r="AH815">
        <f>IF(COUNT($E$2:$E815)&lt;15,"",IF(SUM($AC$802:$AC$815)=0,0,100*SUM($AF$802:$AF$815)/SUM($AC$802:$AC$815)))</f>
        <v>0</v>
      </c>
      <c r="AI815">
        <f>IF(OR(AG815="",AH815=""),"",IF((AG815+AH815)=0,0,100*ABS(AG815-AH815)/(AG815+AH815)))</f>
        <v>0</v>
      </c>
      <c r="AJ815">
        <f>IF(COUNT($AI$802:$AI$815)&lt;14,"",AVERAGE($AI$802:$AI$815))</f>
        <v>0</v>
      </c>
      <c r="AK815">
        <f>IF(COUNT($E$2:$E815)&lt;20,"",AVERAGE($E$796:$E$815))</f>
        <v>0</v>
      </c>
      <c r="AL815">
        <f>IF(COUNT($E$2:$E815)&lt;20,"",STDEVP($E$796:$E$815))</f>
        <v>0</v>
      </c>
      <c r="AM815">
        <f>IF(AK815="","",AK815+2*AL815)</f>
        <v>0</v>
      </c>
      <c r="AN815">
        <f>IF(AK815="","",AK815-2*AL815)</f>
        <v>0</v>
      </c>
      <c r="AO815">
        <f>IF(OR(AM815="",AN815="",AM815=AN815),"",($E815-AN815)/(AM815-AN815))</f>
        <v>0</v>
      </c>
      <c r="AP815">
        <f>IF(OR(AM815="",AK815="",AK815=0),"",(AM815-AN815)/AK815)</f>
        <v>0</v>
      </c>
      <c r="AQ815">
        <f>IF(COUNT($E$2:$E815)&lt;20,"",MAX($C$796:$C$815))</f>
        <v>0</v>
      </c>
      <c r="AR815">
        <f>IF(COUNT($E$2:$E815)&lt;20,"",MIN($D$796:$D$815))</f>
        <v>0</v>
      </c>
      <c r="AS815">
        <f>IF(OR(AQ815="",AR815=""),"",(AQ815+AR815)/2)</f>
        <v>0</v>
      </c>
      <c r="AT815">
        <f>IF(COUNT($G$796:$G$815)&lt;20,"",STDEV($G$796:$G$815)*SQRT(252))</f>
        <v>0</v>
      </c>
      <c r="AU815">
        <f>IF(COUNT($E$2:$E815)&lt;9,"",(MAX($C$807:$C$815)+MIN($D$807:$D$815))/2)</f>
        <v>0</v>
      </c>
      <c r="AV815">
        <f>IF(COUNT($E$2:$E815)&lt;26,"",(MAX($C$790:$C$815)+MIN($D$790:$D$815))/2)</f>
        <v>0</v>
      </c>
      <c r="AW815">
        <f>IF(OR(AU815="",AV815=""),"",(AU815+AV815)/2)</f>
        <v>0</v>
      </c>
      <c r="AX815">
        <f>IF(COUNT($E$2:$E815)&lt;52,"",(MAX($C$764:$C$815)+MIN($D$764:$D$815))/2)</f>
        <v>0</v>
      </c>
      <c r="AY815">
        <f>IF(COUNT($E$2:$E815)&lt;20,"",MAX($C$716:$C$815))</f>
        <v>0</v>
      </c>
      <c r="AZ815">
        <f>IF(COUNT($E$2:$E815)&lt;20,"",MIN($D$716:$D$815))</f>
        <v>0</v>
      </c>
      <c r="BA815">
        <f>IF(COUNT($E$2:$E815)&lt;20,"",SLOPE($E$716:$E$815,$F$716:$F$815))</f>
        <v>0</v>
      </c>
      <c r="BB815">
        <f>IF(COUNT($E$2:$E815)&lt;20,"",INTERCEPT($E$716:$E$815,$F$716:$F$815))</f>
        <v>0</v>
      </c>
      <c r="BC815">
        <f>IF(OR(BA815="",BB815=""),"",BB815+BA815*F815)</f>
        <v>0</v>
      </c>
      <c r="BD815">
        <f>IF(COUNT($E$2:$E815)&lt;20,"",STEYX($E$716:$E$815,$F$716:$F$815))</f>
        <v>0</v>
      </c>
      <c r="BE815">
        <f>IF($E815="","",IF(AND(COUNT($E$816:$E$819)&gt;=4,$C815=MAX($C$811:$C$819)),$C815,""))</f>
        <v>0</v>
      </c>
      <c r="BF815">
        <f>IF($E815="","",IF(AND(COUNT($E$816:$E$819)&gt;=4,$D815=MIN($D$811:$D$819)),$D815,""))</f>
        <v>0</v>
      </c>
      <c r="BG815">
        <f>IF($A815="","",$A815-WEEKDAY($A815,2)+1)</f>
        <v>0</v>
      </c>
      <c r="BH815">
        <f>IF($A815="","",IF($A814="",1,IF(BG815&lt;&gt;BG814,1,0)))</f>
        <v>0</v>
      </c>
      <c r="BI815">
        <f>IF($A815="","",IF($A816="",1,IF(BG816&lt;&gt;BG815,1,0)))</f>
        <v>0</v>
      </c>
      <c r="BJ815">
        <f>IF($A815="","",IF(BH815=1,$B815,BJ814))</f>
        <v>0</v>
      </c>
      <c r="BK815">
        <f>IF($A815="","",IF(BH815=1,$C815,MAX($C815,BK814)))</f>
        <v>0</v>
      </c>
      <c r="BL815">
        <f>IF($A815="","",IF(BH815=1,$D815,MIN($D815,BL814)))</f>
        <v>0</v>
      </c>
      <c r="BM815">
        <f>IF($A815="","",IF(BI815=1,F815,""))</f>
        <v>0</v>
      </c>
      <c r="BN815">
        <f>IF($A815="","",DATE(YEAR($A815),MONTH($A815),1))</f>
        <v>0</v>
      </c>
      <c r="BO815">
        <f>IF($A815="","",IF($A814="",1,IF(BN815&lt;&gt;BN814,1,0)))</f>
        <v>0</v>
      </c>
      <c r="BP815">
        <f>IF($A815="","",IF($A816="",1,IF(BN816&lt;&gt;BN815,1,0)))</f>
        <v>0</v>
      </c>
      <c r="BQ815">
        <f>IF($A815="","",IF(BO815=1,$B815,BQ814))</f>
        <v>0</v>
      </c>
      <c r="BR815">
        <f>IF($A815="","",IF(BO815=1,$C815,MAX($C815,BR814)))</f>
        <v>0</v>
      </c>
      <c r="BS815">
        <f>IF($A815="","",IF(BO815=1,$D815,MIN($D815,BS814)))</f>
        <v>0</v>
      </c>
      <c r="BT815">
        <f>IF($A815="","",IF(BP815=1,F815,""))</f>
        <v>0</v>
      </c>
    </row>
    <row r="816" spans="1:72">
      <c r="A816" s="27">
        <f>IF(Data!$A816="","",Data!$A816)</f>
        <v>0</v>
      </c>
      <c r="B816">
        <f>IF(Data!$B816="","",Data!$B816)</f>
        <v>0</v>
      </c>
      <c r="C816">
        <f>IF(Data!$C816="","",Data!$C816)</f>
        <v>0</v>
      </c>
      <c r="D816">
        <f>IF(Data!$D816="","",Data!$D816)</f>
        <v>0</v>
      </c>
      <c r="E816">
        <f>IF(Data!$E816="","",Data!$E816)</f>
        <v>0</v>
      </c>
      <c r="F816">
        <f>IF($E816="","",N(F815)+1)</f>
        <v>0</v>
      </c>
      <c r="G816">
        <f>IF(OR($E816="",$E815=""),"",LN($E816/$E815))</f>
        <v>0</v>
      </c>
      <c r="H816">
        <f>IF($E816="","",IF($E815="",$E816,$E816*0.0952380952+H815*0.9047619048))</f>
        <v>0</v>
      </c>
      <c r="I816">
        <f>IF($E816="","",IF($E815="",$E816,$E816*0.0392156863+I815*0.9607843137))</f>
        <v>0</v>
      </c>
      <c r="J816">
        <f>IF($E816="","",IF($E815="",$E816,$E816*0.0198019802+J815*0.9801980198))</f>
        <v>0</v>
      </c>
      <c r="K816">
        <f>IF($E816="","",IF($E815="",$E816,$E816*0.0099502488+K815*0.9900497512))</f>
        <v>0</v>
      </c>
      <c r="L816">
        <f>IF(OR($E816="",$E815=""),"",MAX($E816-$E815,0))</f>
        <v>0</v>
      </c>
      <c r="M816">
        <f>IF(OR($E816="",$E815=""),"",MAX($E815-$E816,0))</f>
        <v>0</v>
      </c>
      <c r="N816">
        <f>IF(COUNT($E$2:$E816)&lt;15,"",IF(AVERAGE($M$803:$M$816)=0,100,100-100/(1+AVERAGE($L$803:$L$816)/AVERAGE($M$803:$M$816))))</f>
        <v>0</v>
      </c>
      <c r="O816">
        <f>IF($E816="","",IF($E815="",$E816,$E816*0.1538461538+O815*0.8461538462))</f>
        <v>0</v>
      </c>
      <c r="P816">
        <f>IF($E816="","",IF($E815="",$E816,$E816*0.0740740741+P815*0.9259259259))</f>
        <v>0</v>
      </c>
      <c r="Q816">
        <f>IF(OR(O816="",P816=""),"",O816-P816)</f>
        <v>0</v>
      </c>
      <c r="R816">
        <f>IF(Q816="","",IF(R815="",Q816,Q816*0.2000000000+R815*0.8000000000))</f>
        <v>0</v>
      </c>
      <c r="S816">
        <f>IF(OR(Q816="",R816=""),"",Q816-R816)</f>
        <v>0</v>
      </c>
      <c r="T816">
        <f>IF(COUNT($E$2:$E816)&lt;14,"",MAX($C$803:$C$816))</f>
        <v>0</v>
      </c>
      <c r="U816">
        <f>IF(COUNT($E$2:$E816)&lt;14,"",MIN($D$803:$D$816))</f>
        <v>0</v>
      </c>
      <c r="V816">
        <f>IF(OR(T816="",U816="",T816=U816),"",100*($E816-U816)/(T816-U816))</f>
        <v>0</v>
      </c>
      <c r="W816">
        <f>IF(COUNT($V$814:$V$816)&lt;3,"",AVERAGE($V$814:$V$816))</f>
        <v>0</v>
      </c>
      <c r="X816">
        <f>IF(COUNT($N$803:$N$816)&lt;14,"",MIN($N$803:$N$816))</f>
        <v>0</v>
      </c>
      <c r="Y816">
        <f>IF(COUNT($N$803:$N$816)&lt;14,"",MAX($N$803:$N$816))</f>
        <v>0</v>
      </c>
      <c r="Z816">
        <f>IF(OR(N816="",X816="",Y816="",Y816=X816),"",100*(N816-X816)/(Y816-X816))</f>
        <v>0</v>
      </c>
      <c r="AA816">
        <f>IF(COUNT($Z$814:$Z$816)&lt;3,"",AVERAGE($Z$814:$Z$816))</f>
        <v>0</v>
      </c>
      <c r="AB816">
        <f>IF(COUNT($AA$814:$AA$816)&lt;3,"",AVERAGE($AA$814:$AA$816))</f>
        <v>0</v>
      </c>
      <c r="AC816">
        <f>IF($E816="","",MAX($C816-$D816,ABS($C816-$E815),ABS($D816-$E815)))</f>
        <v>0</v>
      </c>
      <c r="AD816">
        <f>IF(COUNT($E$2:$E816)&lt;15,"",AVERAGE($AC$803:$AC$816))</f>
        <v>0</v>
      </c>
      <c r="AE816">
        <f>IF(OR($E816="",$E815=""),"",IF(AND(($C816-$C815)&gt;($D815-$D816),($C816-$C815)&gt;0),$C816-$C815,0))</f>
        <v>0</v>
      </c>
      <c r="AF816">
        <f>IF(OR($E816="",$E815=""),"",IF(AND(($D815-$D816)&gt;($C816-$C815),($D815-$D816)&gt;0),$D815-$D816,0))</f>
        <v>0</v>
      </c>
      <c r="AG816">
        <f>IF(COUNT($E$2:$E816)&lt;15,"",IF(SUM($AC$803:$AC$816)=0,0,100*SUM($AE$803:$AE$816)/SUM($AC$803:$AC$816)))</f>
        <v>0</v>
      </c>
      <c r="AH816">
        <f>IF(COUNT($E$2:$E816)&lt;15,"",IF(SUM($AC$803:$AC$816)=0,0,100*SUM($AF$803:$AF$816)/SUM($AC$803:$AC$816)))</f>
        <v>0</v>
      </c>
      <c r="AI816">
        <f>IF(OR(AG816="",AH816=""),"",IF((AG816+AH816)=0,0,100*ABS(AG816-AH816)/(AG816+AH816)))</f>
        <v>0</v>
      </c>
      <c r="AJ816">
        <f>IF(COUNT($AI$803:$AI$816)&lt;14,"",AVERAGE($AI$803:$AI$816))</f>
        <v>0</v>
      </c>
      <c r="AK816">
        <f>IF(COUNT($E$2:$E816)&lt;20,"",AVERAGE($E$797:$E$816))</f>
        <v>0</v>
      </c>
      <c r="AL816">
        <f>IF(COUNT($E$2:$E816)&lt;20,"",STDEVP($E$797:$E$816))</f>
        <v>0</v>
      </c>
      <c r="AM816">
        <f>IF(AK816="","",AK816+2*AL816)</f>
        <v>0</v>
      </c>
      <c r="AN816">
        <f>IF(AK816="","",AK816-2*AL816)</f>
        <v>0</v>
      </c>
      <c r="AO816">
        <f>IF(OR(AM816="",AN816="",AM816=AN816),"",($E816-AN816)/(AM816-AN816))</f>
        <v>0</v>
      </c>
      <c r="AP816">
        <f>IF(OR(AM816="",AK816="",AK816=0),"",(AM816-AN816)/AK816)</f>
        <v>0</v>
      </c>
      <c r="AQ816">
        <f>IF(COUNT($E$2:$E816)&lt;20,"",MAX($C$797:$C$816))</f>
        <v>0</v>
      </c>
      <c r="AR816">
        <f>IF(COUNT($E$2:$E816)&lt;20,"",MIN($D$797:$D$816))</f>
        <v>0</v>
      </c>
      <c r="AS816">
        <f>IF(OR(AQ816="",AR816=""),"",(AQ816+AR816)/2)</f>
        <v>0</v>
      </c>
      <c r="AT816">
        <f>IF(COUNT($G$797:$G$816)&lt;20,"",STDEV($G$797:$G$816)*SQRT(252))</f>
        <v>0</v>
      </c>
      <c r="AU816">
        <f>IF(COUNT($E$2:$E816)&lt;9,"",(MAX($C$808:$C$816)+MIN($D$808:$D$816))/2)</f>
        <v>0</v>
      </c>
      <c r="AV816">
        <f>IF(COUNT($E$2:$E816)&lt;26,"",(MAX($C$791:$C$816)+MIN($D$791:$D$816))/2)</f>
        <v>0</v>
      </c>
      <c r="AW816">
        <f>IF(OR(AU816="",AV816=""),"",(AU816+AV816)/2)</f>
        <v>0</v>
      </c>
      <c r="AX816">
        <f>IF(COUNT($E$2:$E816)&lt;52,"",(MAX($C$765:$C$816)+MIN($D$765:$D$816))/2)</f>
        <v>0</v>
      </c>
      <c r="AY816">
        <f>IF(COUNT($E$2:$E816)&lt;20,"",MAX($C$717:$C$816))</f>
        <v>0</v>
      </c>
      <c r="AZ816">
        <f>IF(COUNT($E$2:$E816)&lt;20,"",MIN($D$717:$D$816))</f>
        <v>0</v>
      </c>
      <c r="BA816">
        <f>IF(COUNT($E$2:$E816)&lt;20,"",SLOPE($E$717:$E$816,$F$717:$F$816))</f>
        <v>0</v>
      </c>
      <c r="BB816">
        <f>IF(COUNT($E$2:$E816)&lt;20,"",INTERCEPT($E$717:$E$816,$F$717:$F$816))</f>
        <v>0</v>
      </c>
      <c r="BC816">
        <f>IF(OR(BA816="",BB816=""),"",BB816+BA816*F816)</f>
        <v>0</v>
      </c>
      <c r="BD816">
        <f>IF(COUNT($E$2:$E816)&lt;20,"",STEYX($E$717:$E$816,$F$717:$F$816))</f>
        <v>0</v>
      </c>
      <c r="BE816">
        <f>IF($E816="","",IF(AND(COUNT($E$817:$E$820)&gt;=4,$C816=MAX($C$812:$C$820)),$C816,""))</f>
        <v>0</v>
      </c>
      <c r="BF816">
        <f>IF($E816="","",IF(AND(COUNT($E$817:$E$820)&gt;=4,$D816=MIN($D$812:$D$820)),$D816,""))</f>
        <v>0</v>
      </c>
      <c r="BG816">
        <f>IF($A816="","",$A816-WEEKDAY($A816,2)+1)</f>
        <v>0</v>
      </c>
      <c r="BH816">
        <f>IF($A816="","",IF($A815="",1,IF(BG816&lt;&gt;BG815,1,0)))</f>
        <v>0</v>
      </c>
      <c r="BI816">
        <f>IF($A816="","",IF($A817="",1,IF(BG817&lt;&gt;BG816,1,0)))</f>
        <v>0</v>
      </c>
      <c r="BJ816">
        <f>IF($A816="","",IF(BH816=1,$B816,BJ815))</f>
        <v>0</v>
      </c>
      <c r="BK816">
        <f>IF($A816="","",IF(BH816=1,$C816,MAX($C816,BK815)))</f>
        <v>0</v>
      </c>
      <c r="BL816">
        <f>IF($A816="","",IF(BH816=1,$D816,MIN($D816,BL815)))</f>
        <v>0</v>
      </c>
      <c r="BM816">
        <f>IF($A816="","",IF(BI816=1,F816,""))</f>
        <v>0</v>
      </c>
      <c r="BN816">
        <f>IF($A816="","",DATE(YEAR($A816),MONTH($A816),1))</f>
        <v>0</v>
      </c>
      <c r="BO816">
        <f>IF($A816="","",IF($A815="",1,IF(BN816&lt;&gt;BN815,1,0)))</f>
        <v>0</v>
      </c>
      <c r="BP816">
        <f>IF($A816="","",IF($A817="",1,IF(BN817&lt;&gt;BN816,1,0)))</f>
        <v>0</v>
      </c>
      <c r="BQ816">
        <f>IF($A816="","",IF(BO816=1,$B816,BQ815))</f>
        <v>0</v>
      </c>
      <c r="BR816">
        <f>IF($A816="","",IF(BO816=1,$C816,MAX($C816,BR815)))</f>
        <v>0</v>
      </c>
      <c r="BS816">
        <f>IF($A816="","",IF(BO816=1,$D816,MIN($D816,BS815)))</f>
        <v>0</v>
      </c>
      <c r="BT816">
        <f>IF($A816="","",IF(BP816=1,F816,""))</f>
        <v>0</v>
      </c>
    </row>
    <row r="817" spans="1:72">
      <c r="A817" s="27">
        <f>IF(Data!$A817="","",Data!$A817)</f>
        <v>0</v>
      </c>
      <c r="B817">
        <f>IF(Data!$B817="","",Data!$B817)</f>
        <v>0</v>
      </c>
      <c r="C817">
        <f>IF(Data!$C817="","",Data!$C817)</f>
        <v>0</v>
      </c>
      <c r="D817">
        <f>IF(Data!$D817="","",Data!$D817)</f>
        <v>0</v>
      </c>
      <c r="E817">
        <f>IF(Data!$E817="","",Data!$E817)</f>
        <v>0</v>
      </c>
      <c r="F817">
        <f>IF($E817="","",N(F816)+1)</f>
        <v>0</v>
      </c>
      <c r="G817">
        <f>IF(OR($E817="",$E816=""),"",LN($E817/$E816))</f>
        <v>0</v>
      </c>
      <c r="H817">
        <f>IF($E817="","",IF($E816="",$E817,$E817*0.0952380952+H816*0.9047619048))</f>
        <v>0</v>
      </c>
      <c r="I817">
        <f>IF($E817="","",IF($E816="",$E817,$E817*0.0392156863+I816*0.9607843137))</f>
        <v>0</v>
      </c>
      <c r="J817">
        <f>IF($E817="","",IF($E816="",$E817,$E817*0.0198019802+J816*0.9801980198))</f>
        <v>0</v>
      </c>
      <c r="K817">
        <f>IF($E817="","",IF($E816="",$E817,$E817*0.0099502488+K816*0.9900497512))</f>
        <v>0</v>
      </c>
      <c r="L817">
        <f>IF(OR($E817="",$E816=""),"",MAX($E817-$E816,0))</f>
        <v>0</v>
      </c>
      <c r="M817">
        <f>IF(OR($E817="",$E816=""),"",MAX($E816-$E817,0))</f>
        <v>0</v>
      </c>
      <c r="N817">
        <f>IF(COUNT($E$2:$E817)&lt;15,"",IF(AVERAGE($M$804:$M$817)=0,100,100-100/(1+AVERAGE($L$804:$L$817)/AVERAGE($M$804:$M$817))))</f>
        <v>0</v>
      </c>
      <c r="O817">
        <f>IF($E817="","",IF($E816="",$E817,$E817*0.1538461538+O816*0.8461538462))</f>
        <v>0</v>
      </c>
      <c r="P817">
        <f>IF($E817="","",IF($E816="",$E817,$E817*0.0740740741+P816*0.9259259259))</f>
        <v>0</v>
      </c>
      <c r="Q817">
        <f>IF(OR(O817="",P817=""),"",O817-P817)</f>
        <v>0</v>
      </c>
      <c r="R817">
        <f>IF(Q817="","",IF(R816="",Q817,Q817*0.2000000000+R816*0.8000000000))</f>
        <v>0</v>
      </c>
      <c r="S817">
        <f>IF(OR(Q817="",R817=""),"",Q817-R817)</f>
        <v>0</v>
      </c>
      <c r="T817">
        <f>IF(COUNT($E$2:$E817)&lt;14,"",MAX($C$804:$C$817))</f>
        <v>0</v>
      </c>
      <c r="U817">
        <f>IF(COUNT($E$2:$E817)&lt;14,"",MIN($D$804:$D$817))</f>
        <v>0</v>
      </c>
      <c r="V817">
        <f>IF(OR(T817="",U817="",T817=U817),"",100*($E817-U817)/(T817-U817))</f>
        <v>0</v>
      </c>
      <c r="W817">
        <f>IF(COUNT($V$815:$V$817)&lt;3,"",AVERAGE($V$815:$V$817))</f>
        <v>0</v>
      </c>
      <c r="X817">
        <f>IF(COUNT($N$804:$N$817)&lt;14,"",MIN($N$804:$N$817))</f>
        <v>0</v>
      </c>
      <c r="Y817">
        <f>IF(COUNT($N$804:$N$817)&lt;14,"",MAX($N$804:$N$817))</f>
        <v>0</v>
      </c>
      <c r="Z817">
        <f>IF(OR(N817="",X817="",Y817="",Y817=X817),"",100*(N817-X817)/(Y817-X817))</f>
        <v>0</v>
      </c>
      <c r="AA817">
        <f>IF(COUNT($Z$815:$Z$817)&lt;3,"",AVERAGE($Z$815:$Z$817))</f>
        <v>0</v>
      </c>
      <c r="AB817">
        <f>IF(COUNT($AA$815:$AA$817)&lt;3,"",AVERAGE($AA$815:$AA$817))</f>
        <v>0</v>
      </c>
      <c r="AC817">
        <f>IF($E817="","",MAX($C817-$D817,ABS($C817-$E816),ABS($D817-$E816)))</f>
        <v>0</v>
      </c>
      <c r="AD817">
        <f>IF(COUNT($E$2:$E817)&lt;15,"",AVERAGE($AC$804:$AC$817))</f>
        <v>0</v>
      </c>
      <c r="AE817">
        <f>IF(OR($E817="",$E816=""),"",IF(AND(($C817-$C816)&gt;($D816-$D817),($C817-$C816)&gt;0),$C817-$C816,0))</f>
        <v>0</v>
      </c>
      <c r="AF817">
        <f>IF(OR($E817="",$E816=""),"",IF(AND(($D816-$D817)&gt;($C817-$C816),($D816-$D817)&gt;0),$D816-$D817,0))</f>
        <v>0</v>
      </c>
      <c r="AG817">
        <f>IF(COUNT($E$2:$E817)&lt;15,"",IF(SUM($AC$804:$AC$817)=0,0,100*SUM($AE$804:$AE$817)/SUM($AC$804:$AC$817)))</f>
        <v>0</v>
      </c>
      <c r="AH817">
        <f>IF(COUNT($E$2:$E817)&lt;15,"",IF(SUM($AC$804:$AC$817)=0,0,100*SUM($AF$804:$AF$817)/SUM($AC$804:$AC$817)))</f>
        <v>0</v>
      </c>
      <c r="AI817">
        <f>IF(OR(AG817="",AH817=""),"",IF((AG817+AH817)=0,0,100*ABS(AG817-AH817)/(AG817+AH817)))</f>
        <v>0</v>
      </c>
      <c r="AJ817">
        <f>IF(COUNT($AI$804:$AI$817)&lt;14,"",AVERAGE($AI$804:$AI$817))</f>
        <v>0</v>
      </c>
      <c r="AK817">
        <f>IF(COUNT($E$2:$E817)&lt;20,"",AVERAGE($E$798:$E$817))</f>
        <v>0</v>
      </c>
      <c r="AL817">
        <f>IF(COUNT($E$2:$E817)&lt;20,"",STDEVP($E$798:$E$817))</f>
        <v>0</v>
      </c>
      <c r="AM817">
        <f>IF(AK817="","",AK817+2*AL817)</f>
        <v>0</v>
      </c>
      <c r="AN817">
        <f>IF(AK817="","",AK817-2*AL817)</f>
        <v>0</v>
      </c>
      <c r="AO817">
        <f>IF(OR(AM817="",AN817="",AM817=AN817),"",($E817-AN817)/(AM817-AN817))</f>
        <v>0</v>
      </c>
      <c r="AP817">
        <f>IF(OR(AM817="",AK817="",AK817=0),"",(AM817-AN817)/AK817)</f>
        <v>0</v>
      </c>
      <c r="AQ817">
        <f>IF(COUNT($E$2:$E817)&lt;20,"",MAX($C$798:$C$817))</f>
        <v>0</v>
      </c>
      <c r="AR817">
        <f>IF(COUNT($E$2:$E817)&lt;20,"",MIN($D$798:$D$817))</f>
        <v>0</v>
      </c>
      <c r="AS817">
        <f>IF(OR(AQ817="",AR817=""),"",(AQ817+AR817)/2)</f>
        <v>0</v>
      </c>
      <c r="AT817">
        <f>IF(COUNT($G$798:$G$817)&lt;20,"",STDEV($G$798:$G$817)*SQRT(252))</f>
        <v>0</v>
      </c>
      <c r="AU817">
        <f>IF(COUNT($E$2:$E817)&lt;9,"",(MAX($C$809:$C$817)+MIN($D$809:$D$817))/2)</f>
        <v>0</v>
      </c>
      <c r="AV817">
        <f>IF(COUNT($E$2:$E817)&lt;26,"",(MAX($C$792:$C$817)+MIN($D$792:$D$817))/2)</f>
        <v>0</v>
      </c>
      <c r="AW817">
        <f>IF(OR(AU817="",AV817=""),"",(AU817+AV817)/2)</f>
        <v>0</v>
      </c>
      <c r="AX817">
        <f>IF(COUNT($E$2:$E817)&lt;52,"",(MAX($C$766:$C$817)+MIN($D$766:$D$817))/2)</f>
        <v>0</v>
      </c>
      <c r="AY817">
        <f>IF(COUNT($E$2:$E817)&lt;20,"",MAX($C$718:$C$817))</f>
        <v>0</v>
      </c>
      <c r="AZ817">
        <f>IF(COUNT($E$2:$E817)&lt;20,"",MIN($D$718:$D$817))</f>
        <v>0</v>
      </c>
      <c r="BA817">
        <f>IF(COUNT($E$2:$E817)&lt;20,"",SLOPE($E$718:$E$817,$F$718:$F$817))</f>
        <v>0</v>
      </c>
      <c r="BB817">
        <f>IF(COUNT($E$2:$E817)&lt;20,"",INTERCEPT($E$718:$E$817,$F$718:$F$817))</f>
        <v>0</v>
      </c>
      <c r="BC817">
        <f>IF(OR(BA817="",BB817=""),"",BB817+BA817*F817)</f>
        <v>0</v>
      </c>
      <c r="BD817">
        <f>IF(COUNT($E$2:$E817)&lt;20,"",STEYX($E$718:$E$817,$F$718:$F$817))</f>
        <v>0</v>
      </c>
      <c r="BE817">
        <f>IF($E817="","",IF(AND(COUNT($E$818:$E$821)&gt;=4,$C817=MAX($C$813:$C$821)),$C817,""))</f>
        <v>0</v>
      </c>
      <c r="BF817">
        <f>IF($E817="","",IF(AND(COUNT($E$818:$E$821)&gt;=4,$D817=MIN($D$813:$D$821)),$D817,""))</f>
        <v>0</v>
      </c>
      <c r="BG817">
        <f>IF($A817="","",$A817-WEEKDAY($A817,2)+1)</f>
        <v>0</v>
      </c>
      <c r="BH817">
        <f>IF($A817="","",IF($A816="",1,IF(BG817&lt;&gt;BG816,1,0)))</f>
        <v>0</v>
      </c>
      <c r="BI817">
        <f>IF($A817="","",IF($A818="",1,IF(BG818&lt;&gt;BG817,1,0)))</f>
        <v>0</v>
      </c>
      <c r="BJ817">
        <f>IF($A817="","",IF(BH817=1,$B817,BJ816))</f>
        <v>0</v>
      </c>
      <c r="BK817">
        <f>IF($A817="","",IF(BH817=1,$C817,MAX($C817,BK816)))</f>
        <v>0</v>
      </c>
      <c r="BL817">
        <f>IF($A817="","",IF(BH817=1,$D817,MIN($D817,BL816)))</f>
        <v>0</v>
      </c>
      <c r="BM817">
        <f>IF($A817="","",IF(BI817=1,F817,""))</f>
        <v>0</v>
      </c>
      <c r="BN817">
        <f>IF($A817="","",DATE(YEAR($A817),MONTH($A817),1))</f>
        <v>0</v>
      </c>
      <c r="BO817">
        <f>IF($A817="","",IF($A816="",1,IF(BN817&lt;&gt;BN816,1,0)))</f>
        <v>0</v>
      </c>
      <c r="BP817">
        <f>IF($A817="","",IF($A818="",1,IF(BN818&lt;&gt;BN817,1,0)))</f>
        <v>0</v>
      </c>
      <c r="BQ817">
        <f>IF($A817="","",IF(BO817=1,$B817,BQ816))</f>
        <v>0</v>
      </c>
      <c r="BR817">
        <f>IF($A817="","",IF(BO817=1,$C817,MAX($C817,BR816)))</f>
        <v>0</v>
      </c>
      <c r="BS817">
        <f>IF($A817="","",IF(BO817=1,$D817,MIN($D817,BS816)))</f>
        <v>0</v>
      </c>
      <c r="BT817">
        <f>IF($A817="","",IF(BP817=1,F817,""))</f>
        <v>0</v>
      </c>
    </row>
    <row r="818" spans="1:72">
      <c r="A818" s="27">
        <f>IF(Data!$A818="","",Data!$A818)</f>
        <v>0</v>
      </c>
      <c r="B818">
        <f>IF(Data!$B818="","",Data!$B818)</f>
        <v>0</v>
      </c>
      <c r="C818">
        <f>IF(Data!$C818="","",Data!$C818)</f>
        <v>0</v>
      </c>
      <c r="D818">
        <f>IF(Data!$D818="","",Data!$D818)</f>
        <v>0</v>
      </c>
      <c r="E818">
        <f>IF(Data!$E818="","",Data!$E818)</f>
        <v>0</v>
      </c>
      <c r="F818">
        <f>IF($E818="","",N(F817)+1)</f>
        <v>0</v>
      </c>
      <c r="G818">
        <f>IF(OR($E818="",$E817=""),"",LN($E818/$E817))</f>
        <v>0</v>
      </c>
      <c r="H818">
        <f>IF($E818="","",IF($E817="",$E818,$E818*0.0952380952+H817*0.9047619048))</f>
        <v>0</v>
      </c>
      <c r="I818">
        <f>IF($E818="","",IF($E817="",$E818,$E818*0.0392156863+I817*0.9607843137))</f>
        <v>0</v>
      </c>
      <c r="J818">
        <f>IF($E818="","",IF($E817="",$E818,$E818*0.0198019802+J817*0.9801980198))</f>
        <v>0</v>
      </c>
      <c r="K818">
        <f>IF($E818="","",IF($E817="",$E818,$E818*0.0099502488+K817*0.9900497512))</f>
        <v>0</v>
      </c>
      <c r="L818">
        <f>IF(OR($E818="",$E817=""),"",MAX($E818-$E817,0))</f>
        <v>0</v>
      </c>
      <c r="M818">
        <f>IF(OR($E818="",$E817=""),"",MAX($E817-$E818,0))</f>
        <v>0</v>
      </c>
      <c r="N818">
        <f>IF(COUNT($E$2:$E818)&lt;15,"",IF(AVERAGE($M$805:$M$818)=0,100,100-100/(1+AVERAGE($L$805:$L$818)/AVERAGE($M$805:$M$818))))</f>
        <v>0</v>
      </c>
      <c r="O818">
        <f>IF($E818="","",IF($E817="",$E818,$E818*0.1538461538+O817*0.8461538462))</f>
        <v>0</v>
      </c>
      <c r="P818">
        <f>IF($E818="","",IF($E817="",$E818,$E818*0.0740740741+P817*0.9259259259))</f>
        <v>0</v>
      </c>
      <c r="Q818">
        <f>IF(OR(O818="",P818=""),"",O818-P818)</f>
        <v>0</v>
      </c>
      <c r="R818">
        <f>IF(Q818="","",IF(R817="",Q818,Q818*0.2000000000+R817*0.8000000000))</f>
        <v>0</v>
      </c>
      <c r="S818">
        <f>IF(OR(Q818="",R818=""),"",Q818-R818)</f>
        <v>0</v>
      </c>
      <c r="T818">
        <f>IF(COUNT($E$2:$E818)&lt;14,"",MAX($C$805:$C$818))</f>
        <v>0</v>
      </c>
      <c r="U818">
        <f>IF(COUNT($E$2:$E818)&lt;14,"",MIN($D$805:$D$818))</f>
        <v>0</v>
      </c>
      <c r="V818">
        <f>IF(OR(T818="",U818="",T818=U818),"",100*($E818-U818)/(T818-U818))</f>
        <v>0</v>
      </c>
      <c r="W818">
        <f>IF(COUNT($V$816:$V$818)&lt;3,"",AVERAGE($V$816:$V$818))</f>
        <v>0</v>
      </c>
      <c r="X818">
        <f>IF(COUNT($N$805:$N$818)&lt;14,"",MIN($N$805:$N$818))</f>
        <v>0</v>
      </c>
      <c r="Y818">
        <f>IF(COUNT($N$805:$N$818)&lt;14,"",MAX($N$805:$N$818))</f>
        <v>0</v>
      </c>
      <c r="Z818">
        <f>IF(OR(N818="",X818="",Y818="",Y818=X818),"",100*(N818-X818)/(Y818-X818))</f>
        <v>0</v>
      </c>
      <c r="AA818">
        <f>IF(COUNT($Z$816:$Z$818)&lt;3,"",AVERAGE($Z$816:$Z$818))</f>
        <v>0</v>
      </c>
      <c r="AB818">
        <f>IF(COUNT($AA$816:$AA$818)&lt;3,"",AVERAGE($AA$816:$AA$818))</f>
        <v>0</v>
      </c>
      <c r="AC818">
        <f>IF($E818="","",MAX($C818-$D818,ABS($C818-$E817),ABS($D818-$E817)))</f>
        <v>0</v>
      </c>
      <c r="AD818">
        <f>IF(COUNT($E$2:$E818)&lt;15,"",AVERAGE($AC$805:$AC$818))</f>
        <v>0</v>
      </c>
      <c r="AE818">
        <f>IF(OR($E818="",$E817=""),"",IF(AND(($C818-$C817)&gt;($D817-$D818),($C818-$C817)&gt;0),$C818-$C817,0))</f>
        <v>0</v>
      </c>
      <c r="AF818">
        <f>IF(OR($E818="",$E817=""),"",IF(AND(($D817-$D818)&gt;($C818-$C817),($D817-$D818)&gt;0),$D817-$D818,0))</f>
        <v>0</v>
      </c>
      <c r="AG818">
        <f>IF(COUNT($E$2:$E818)&lt;15,"",IF(SUM($AC$805:$AC$818)=0,0,100*SUM($AE$805:$AE$818)/SUM($AC$805:$AC$818)))</f>
        <v>0</v>
      </c>
      <c r="AH818">
        <f>IF(COUNT($E$2:$E818)&lt;15,"",IF(SUM($AC$805:$AC$818)=0,0,100*SUM($AF$805:$AF$818)/SUM($AC$805:$AC$818)))</f>
        <v>0</v>
      </c>
      <c r="AI818">
        <f>IF(OR(AG818="",AH818=""),"",IF((AG818+AH818)=0,0,100*ABS(AG818-AH818)/(AG818+AH818)))</f>
        <v>0</v>
      </c>
      <c r="AJ818">
        <f>IF(COUNT($AI$805:$AI$818)&lt;14,"",AVERAGE($AI$805:$AI$818))</f>
        <v>0</v>
      </c>
      <c r="AK818">
        <f>IF(COUNT($E$2:$E818)&lt;20,"",AVERAGE($E$799:$E$818))</f>
        <v>0</v>
      </c>
      <c r="AL818">
        <f>IF(COUNT($E$2:$E818)&lt;20,"",STDEVP($E$799:$E$818))</f>
        <v>0</v>
      </c>
      <c r="AM818">
        <f>IF(AK818="","",AK818+2*AL818)</f>
        <v>0</v>
      </c>
      <c r="AN818">
        <f>IF(AK818="","",AK818-2*AL818)</f>
        <v>0</v>
      </c>
      <c r="AO818">
        <f>IF(OR(AM818="",AN818="",AM818=AN818),"",($E818-AN818)/(AM818-AN818))</f>
        <v>0</v>
      </c>
      <c r="AP818">
        <f>IF(OR(AM818="",AK818="",AK818=0),"",(AM818-AN818)/AK818)</f>
        <v>0</v>
      </c>
      <c r="AQ818">
        <f>IF(COUNT($E$2:$E818)&lt;20,"",MAX($C$799:$C$818))</f>
        <v>0</v>
      </c>
      <c r="AR818">
        <f>IF(COUNT($E$2:$E818)&lt;20,"",MIN($D$799:$D$818))</f>
        <v>0</v>
      </c>
      <c r="AS818">
        <f>IF(OR(AQ818="",AR818=""),"",(AQ818+AR818)/2)</f>
        <v>0</v>
      </c>
      <c r="AT818">
        <f>IF(COUNT($G$799:$G$818)&lt;20,"",STDEV($G$799:$G$818)*SQRT(252))</f>
        <v>0</v>
      </c>
      <c r="AU818">
        <f>IF(COUNT($E$2:$E818)&lt;9,"",(MAX($C$810:$C$818)+MIN($D$810:$D$818))/2)</f>
        <v>0</v>
      </c>
      <c r="AV818">
        <f>IF(COUNT($E$2:$E818)&lt;26,"",(MAX($C$793:$C$818)+MIN($D$793:$D$818))/2)</f>
        <v>0</v>
      </c>
      <c r="AW818">
        <f>IF(OR(AU818="",AV818=""),"",(AU818+AV818)/2)</f>
        <v>0</v>
      </c>
      <c r="AX818">
        <f>IF(COUNT($E$2:$E818)&lt;52,"",(MAX($C$767:$C$818)+MIN($D$767:$D$818))/2)</f>
        <v>0</v>
      </c>
      <c r="AY818">
        <f>IF(COUNT($E$2:$E818)&lt;20,"",MAX($C$719:$C$818))</f>
        <v>0</v>
      </c>
      <c r="AZ818">
        <f>IF(COUNT($E$2:$E818)&lt;20,"",MIN($D$719:$D$818))</f>
        <v>0</v>
      </c>
      <c r="BA818">
        <f>IF(COUNT($E$2:$E818)&lt;20,"",SLOPE($E$719:$E$818,$F$719:$F$818))</f>
        <v>0</v>
      </c>
      <c r="BB818">
        <f>IF(COUNT($E$2:$E818)&lt;20,"",INTERCEPT($E$719:$E$818,$F$719:$F$818))</f>
        <v>0</v>
      </c>
      <c r="BC818">
        <f>IF(OR(BA818="",BB818=""),"",BB818+BA818*F818)</f>
        <v>0</v>
      </c>
      <c r="BD818">
        <f>IF(COUNT($E$2:$E818)&lt;20,"",STEYX($E$719:$E$818,$F$719:$F$818))</f>
        <v>0</v>
      </c>
      <c r="BE818">
        <f>IF($E818="","",IF(AND(COUNT($E$819:$E$822)&gt;=4,$C818=MAX($C$814:$C$822)),$C818,""))</f>
        <v>0</v>
      </c>
      <c r="BF818">
        <f>IF($E818="","",IF(AND(COUNT($E$819:$E$822)&gt;=4,$D818=MIN($D$814:$D$822)),$D818,""))</f>
        <v>0</v>
      </c>
      <c r="BG818">
        <f>IF($A818="","",$A818-WEEKDAY($A818,2)+1)</f>
        <v>0</v>
      </c>
      <c r="BH818">
        <f>IF($A818="","",IF($A817="",1,IF(BG818&lt;&gt;BG817,1,0)))</f>
        <v>0</v>
      </c>
      <c r="BI818">
        <f>IF($A818="","",IF($A819="",1,IF(BG819&lt;&gt;BG818,1,0)))</f>
        <v>0</v>
      </c>
      <c r="BJ818">
        <f>IF($A818="","",IF(BH818=1,$B818,BJ817))</f>
        <v>0</v>
      </c>
      <c r="BK818">
        <f>IF($A818="","",IF(BH818=1,$C818,MAX($C818,BK817)))</f>
        <v>0</v>
      </c>
      <c r="BL818">
        <f>IF($A818="","",IF(BH818=1,$D818,MIN($D818,BL817)))</f>
        <v>0</v>
      </c>
      <c r="BM818">
        <f>IF($A818="","",IF(BI818=1,F818,""))</f>
        <v>0</v>
      </c>
      <c r="BN818">
        <f>IF($A818="","",DATE(YEAR($A818),MONTH($A818),1))</f>
        <v>0</v>
      </c>
      <c r="BO818">
        <f>IF($A818="","",IF($A817="",1,IF(BN818&lt;&gt;BN817,1,0)))</f>
        <v>0</v>
      </c>
      <c r="BP818">
        <f>IF($A818="","",IF($A819="",1,IF(BN819&lt;&gt;BN818,1,0)))</f>
        <v>0</v>
      </c>
      <c r="BQ818">
        <f>IF($A818="","",IF(BO818=1,$B818,BQ817))</f>
        <v>0</v>
      </c>
      <c r="BR818">
        <f>IF($A818="","",IF(BO818=1,$C818,MAX($C818,BR817)))</f>
        <v>0</v>
      </c>
      <c r="BS818">
        <f>IF($A818="","",IF(BO818=1,$D818,MIN($D818,BS817)))</f>
        <v>0</v>
      </c>
      <c r="BT818">
        <f>IF($A818="","",IF(BP818=1,F818,""))</f>
        <v>0</v>
      </c>
    </row>
    <row r="819" spans="1:72">
      <c r="A819" s="27">
        <f>IF(Data!$A819="","",Data!$A819)</f>
        <v>0</v>
      </c>
      <c r="B819">
        <f>IF(Data!$B819="","",Data!$B819)</f>
        <v>0</v>
      </c>
      <c r="C819">
        <f>IF(Data!$C819="","",Data!$C819)</f>
        <v>0</v>
      </c>
      <c r="D819">
        <f>IF(Data!$D819="","",Data!$D819)</f>
        <v>0</v>
      </c>
      <c r="E819">
        <f>IF(Data!$E819="","",Data!$E819)</f>
        <v>0</v>
      </c>
      <c r="F819">
        <f>IF($E819="","",N(F818)+1)</f>
        <v>0</v>
      </c>
      <c r="G819">
        <f>IF(OR($E819="",$E818=""),"",LN($E819/$E818))</f>
        <v>0</v>
      </c>
      <c r="H819">
        <f>IF($E819="","",IF($E818="",$E819,$E819*0.0952380952+H818*0.9047619048))</f>
        <v>0</v>
      </c>
      <c r="I819">
        <f>IF($E819="","",IF($E818="",$E819,$E819*0.0392156863+I818*0.9607843137))</f>
        <v>0</v>
      </c>
      <c r="J819">
        <f>IF($E819="","",IF($E818="",$E819,$E819*0.0198019802+J818*0.9801980198))</f>
        <v>0</v>
      </c>
      <c r="K819">
        <f>IF($E819="","",IF($E818="",$E819,$E819*0.0099502488+K818*0.9900497512))</f>
        <v>0</v>
      </c>
      <c r="L819">
        <f>IF(OR($E819="",$E818=""),"",MAX($E819-$E818,0))</f>
        <v>0</v>
      </c>
      <c r="M819">
        <f>IF(OR($E819="",$E818=""),"",MAX($E818-$E819,0))</f>
        <v>0</v>
      </c>
      <c r="N819">
        <f>IF(COUNT($E$2:$E819)&lt;15,"",IF(AVERAGE($M$806:$M$819)=0,100,100-100/(1+AVERAGE($L$806:$L$819)/AVERAGE($M$806:$M$819))))</f>
        <v>0</v>
      </c>
      <c r="O819">
        <f>IF($E819="","",IF($E818="",$E819,$E819*0.1538461538+O818*0.8461538462))</f>
        <v>0</v>
      </c>
      <c r="P819">
        <f>IF($E819="","",IF($E818="",$E819,$E819*0.0740740741+P818*0.9259259259))</f>
        <v>0</v>
      </c>
      <c r="Q819">
        <f>IF(OR(O819="",P819=""),"",O819-P819)</f>
        <v>0</v>
      </c>
      <c r="R819">
        <f>IF(Q819="","",IF(R818="",Q819,Q819*0.2000000000+R818*0.8000000000))</f>
        <v>0</v>
      </c>
      <c r="S819">
        <f>IF(OR(Q819="",R819=""),"",Q819-R819)</f>
        <v>0</v>
      </c>
      <c r="T819">
        <f>IF(COUNT($E$2:$E819)&lt;14,"",MAX($C$806:$C$819))</f>
        <v>0</v>
      </c>
      <c r="U819">
        <f>IF(COUNT($E$2:$E819)&lt;14,"",MIN($D$806:$D$819))</f>
        <v>0</v>
      </c>
      <c r="V819">
        <f>IF(OR(T819="",U819="",T819=U819),"",100*($E819-U819)/(T819-U819))</f>
        <v>0</v>
      </c>
      <c r="W819">
        <f>IF(COUNT($V$817:$V$819)&lt;3,"",AVERAGE($V$817:$V$819))</f>
        <v>0</v>
      </c>
      <c r="X819">
        <f>IF(COUNT($N$806:$N$819)&lt;14,"",MIN($N$806:$N$819))</f>
        <v>0</v>
      </c>
      <c r="Y819">
        <f>IF(COUNT($N$806:$N$819)&lt;14,"",MAX($N$806:$N$819))</f>
        <v>0</v>
      </c>
      <c r="Z819">
        <f>IF(OR(N819="",X819="",Y819="",Y819=X819),"",100*(N819-X819)/(Y819-X819))</f>
        <v>0</v>
      </c>
      <c r="AA819">
        <f>IF(COUNT($Z$817:$Z$819)&lt;3,"",AVERAGE($Z$817:$Z$819))</f>
        <v>0</v>
      </c>
      <c r="AB819">
        <f>IF(COUNT($AA$817:$AA$819)&lt;3,"",AVERAGE($AA$817:$AA$819))</f>
        <v>0</v>
      </c>
      <c r="AC819">
        <f>IF($E819="","",MAX($C819-$D819,ABS($C819-$E818),ABS($D819-$E818)))</f>
        <v>0</v>
      </c>
      <c r="AD819">
        <f>IF(COUNT($E$2:$E819)&lt;15,"",AVERAGE($AC$806:$AC$819))</f>
        <v>0</v>
      </c>
      <c r="AE819">
        <f>IF(OR($E819="",$E818=""),"",IF(AND(($C819-$C818)&gt;($D818-$D819),($C819-$C818)&gt;0),$C819-$C818,0))</f>
        <v>0</v>
      </c>
      <c r="AF819">
        <f>IF(OR($E819="",$E818=""),"",IF(AND(($D818-$D819)&gt;($C819-$C818),($D818-$D819)&gt;0),$D818-$D819,0))</f>
        <v>0</v>
      </c>
      <c r="AG819">
        <f>IF(COUNT($E$2:$E819)&lt;15,"",IF(SUM($AC$806:$AC$819)=0,0,100*SUM($AE$806:$AE$819)/SUM($AC$806:$AC$819)))</f>
        <v>0</v>
      </c>
      <c r="AH819">
        <f>IF(COUNT($E$2:$E819)&lt;15,"",IF(SUM($AC$806:$AC$819)=0,0,100*SUM($AF$806:$AF$819)/SUM($AC$806:$AC$819)))</f>
        <v>0</v>
      </c>
      <c r="AI819">
        <f>IF(OR(AG819="",AH819=""),"",IF((AG819+AH819)=0,0,100*ABS(AG819-AH819)/(AG819+AH819)))</f>
        <v>0</v>
      </c>
      <c r="AJ819">
        <f>IF(COUNT($AI$806:$AI$819)&lt;14,"",AVERAGE($AI$806:$AI$819))</f>
        <v>0</v>
      </c>
      <c r="AK819">
        <f>IF(COUNT($E$2:$E819)&lt;20,"",AVERAGE($E$800:$E$819))</f>
        <v>0</v>
      </c>
      <c r="AL819">
        <f>IF(COUNT($E$2:$E819)&lt;20,"",STDEVP($E$800:$E$819))</f>
        <v>0</v>
      </c>
      <c r="AM819">
        <f>IF(AK819="","",AK819+2*AL819)</f>
        <v>0</v>
      </c>
      <c r="AN819">
        <f>IF(AK819="","",AK819-2*AL819)</f>
        <v>0</v>
      </c>
      <c r="AO819">
        <f>IF(OR(AM819="",AN819="",AM819=AN819),"",($E819-AN819)/(AM819-AN819))</f>
        <v>0</v>
      </c>
      <c r="AP819">
        <f>IF(OR(AM819="",AK819="",AK819=0),"",(AM819-AN819)/AK819)</f>
        <v>0</v>
      </c>
      <c r="AQ819">
        <f>IF(COUNT($E$2:$E819)&lt;20,"",MAX($C$800:$C$819))</f>
        <v>0</v>
      </c>
      <c r="AR819">
        <f>IF(COUNT($E$2:$E819)&lt;20,"",MIN($D$800:$D$819))</f>
        <v>0</v>
      </c>
      <c r="AS819">
        <f>IF(OR(AQ819="",AR819=""),"",(AQ819+AR819)/2)</f>
        <v>0</v>
      </c>
      <c r="AT819">
        <f>IF(COUNT($G$800:$G$819)&lt;20,"",STDEV($G$800:$G$819)*SQRT(252))</f>
        <v>0</v>
      </c>
      <c r="AU819">
        <f>IF(COUNT($E$2:$E819)&lt;9,"",(MAX($C$811:$C$819)+MIN($D$811:$D$819))/2)</f>
        <v>0</v>
      </c>
      <c r="AV819">
        <f>IF(COUNT($E$2:$E819)&lt;26,"",(MAX($C$794:$C$819)+MIN($D$794:$D$819))/2)</f>
        <v>0</v>
      </c>
      <c r="AW819">
        <f>IF(OR(AU819="",AV819=""),"",(AU819+AV819)/2)</f>
        <v>0</v>
      </c>
      <c r="AX819">
        <f>IF(COUNT($E$2:$E819)&lt;52,"",(MAX($C$768:$C$819)+MIN($D$768:$D$819))/2)</f>
        <v>0</v>
      </c>
      <c r="AY819">
        <f>IF(COUNT($E$2:$E819)&lt;20,"",MAX($C$720:$C$819))</f>
        <v>0</v>
      </c>
      <c r="AZ819">
        <f>IF(COUNT($E$2:$E819)&lt;20,"",MIN($D$720:$D$819))</f>
        <v>0</v>
      </c>
      <c r="BA819">
        <f>IF(COUNT($E$2:$E819)&lt;20,"",SLOPE($E$720:$E$819,$F$720:$F$819))</f>
        <v>0</v>
      </c>
      <c r="BB819">
        <f>IF(COUNT($E$2:$E819)&lt;20,"",INTERCEPT($E$720:$E$819,$F$720:$F$819))</f>
        <v>0</v>
      </c>
      <c r="BC819">
        <f>IF(OR(BA819="",BB819=""),"",BB819+BA819*F819)</f>
        <v>0</v>
      </c>
      <c r="BD819">
        <f>IF(COUNT($E$2:$E819)&lt;20,"",STEYX($E$720:$E$819,$F$720:$F$819))</f>
        <v>0</v>
      </c>
      <c r="BE819">
        <f>IF($E819="","",IF(AND(COUNT($E$820:$E$823)&gt;=4,$C819=MAX($C$815:$C$823)),$C819,""))</f>
        <v>0</v>
      </c>
      <c r="BF819">
        <f>IF($E819="","",IF(AND(COUNT($E$820:$E$823)&gt;=4,$D819=MIN($D$815:$D$823)),$D819,""))</f>
        <v>0</v>
      </c>
      <c r="BG819">
        <f>IF($A819="","",$A819-WEEKDAY($A819,2)+1)</f>
        <v>0</v>
      </c>
      <c r="BH819">
        <f>IF($A819="","",IF($A818="",1,IF(BG819&lt;&gt;BG818,1,0)))</f>
        <v>0</v>
      </c>
      <c r="BI819">
        <f>IF($A819="","",IF($A820="",1,IF(BG820&lt;&gt;BG819,1,0)))</f>
        <v>0</v>
      </c>
      <c r="BJ819">
        <f>IF($A819="","",IF(BH819=1,$B819,BJ818))</f>
        <v>0</v>
      </c>
      <c r="BK819">
        <f>IF($A819="","",IF(BH819=1,$C819,MAX($C819,BK818)))</f>
        <v>0</v>
      </c>
      <c r="BL819">
        <f>IF($A819="","",IF(BH819=1,$D819,MIN($D819,BL818)))</f>
        <v>0</v>
      </c>
      <c r="BM819">
        <f>IF($A819="","",IF(BI819=1,F819,""))</f>
        <v>0</v>
      </c>
      <c r="BN819">
        <f>IF($A819="","",DATE(YEAR($A819),MONTH($A819),1))</f>
        <v>0</v>
      </c>
      <c r="BO819">
        <f>IF($A819="","",IF($A818="",1,IF(BN819&lt;&gt;BN818,1,0)))</f>
        <v>0</v>
      </c>
      <c r="BP819">
        <f>IF($A819="","",IF($A820="",1,IF(BN820&lt;&gt;BN819,1,0)))</f>
        <v>0</v>
      </c>
      <c r="BQ819">
        <f>IF($A819="","",IF(BO819=1,$B819,BQ818))</f>
        <v>0</v>
      </c>
      <c r="BR819">
        <f>IF($A819="","",IF(BO819=1,$C819,MAX($C819,BR818)))</f>
        <v>0</v>
      </c>
      <c r="BS819">
        <f>IF($A819="","",IF(BO819=1,$D819,MIN($D819,BS818)))</f>
        <v>0</v>
      </c>
      <c r="BT819">
        <f>IF($A819="","",IF(BP819=1,F819,""))</f>
        <v>0</v>
      </c>
    </row>
    <row r="820" spans="1:72">
      <c r="A820" s="27">
        <f>IF(Data!$A820="","",Data!$A820)</f>
        <v>0</v>
      </c>
      <c r="B820">
        <f>IF(Data!$B820="","",Data!$B820)</f>
        <v>0</v>
      </c>
      <c r="C820">
        <f>IF(Data!$C820="","",Data!$C820)</f>
        <v>0</v>
      </c>
      <c r="D820">
        <f>IF(Data!$D820="","",Data!$D820)</f>
        <v>0</v>
      </c>
      <c r="E820">
        <f>IF(Data!$E820="","",Data!$E820)</f>
        <v>0</v>
      </c>
      <c r="F820">
        <f>IF($E820="","",N(F819)+1)</f>
        <v>0</v>
      </c>
      <c r="G820">
        <f>IF(OR($E820="",$E819=""),"",LN($E820/$E819))</f>
        <v>0</v>
      </c>
      <c r="H820">
        <f>IF($E820="","",IF($E819="",$E820,$E820*0.0952380952+H819*0.9047619048))</f>
        <v>0</v>
      </c>
      <c r="I820">
        <f>IF($E820="","",IF($E819="",$E820,$E820*0.0392156863+I819*0.9607843137))</f>
        <v>0</v>
      </c>
      <c r="J820">
        <f>IF($E820="","",IF($E819="",$E820,$E820*0.0198019802+J819*0.9801980198))</f>
        <v>0</v>
      </c>
      <c r="K820">
        <f>IF($E820="","",IF($E819="",$E820,$E820*0.0099502488+K819*0.9900497512))</f>
        <v>0</v>
      </c>
      <c r="L820">
        <f>IF(OR($E820="",$E819=""),"",MAX($E820-$E819,0))</f>
        <v>0</v>
      </c>
      <c r="M820">
        <f>IF(OR($E820="",$E819=""),"",MAX($E819-$E820,0))</f>
        <v>0</v>
      </c>
      <c r="N820">
        <f>IF(COUNT($E$2:$E820)&lt;15,"",IF(AVERAGE($M$807:$M$820)=0,100,100-100/(1+AVERAGE($L$807:$L$820)/AVERAGE($M$807:$M$820))))</f>
        <v>0</v>
      </c>
      <c r="O820">
        <f>IF($E820="","",IF($E819="",$E820,$E820*0.1538461538+O819*0.8461538462))</f>
        <v>0</v>
      </c>
      <c r="P820">
        <f>IF($E820="","",IF($E819="",$E820,$E820*0.0740740741+P819*0.9259259259))</f>
        <v>0</v>
      </c>
      <c r="Q820">
        <f>IF(OR(O820="",P820=""),"",O820-P820)</f>
        <v>0</v>
      </c>
      <c r="R820">
        <f>IF(Q820="","",IF(R819="",Q820,Q820*0.2000000000+R819*0.8000000000))</f>
        <v>0</v>
      </c>
      <c r="S820">
        <f>IF(OR(Q820="",R820=""),"",Q820-R820)</f>
        <v>0</v>
      </c>
      <c r="T820">
        <f>IF(COUNT($E$2:$E820)&lt;14,"",MAX($C$807:$C$820))</f>
        <v>0</v>
      </c>
      <c r="U820">
        <f>IF(COUNT($E$2:$E820)&lt;14,"",MIN($D$807:$D$820))</f>
        <v>0</v>
      </c>
      <c r="V820">
        <f>IF(OR(T820="",U820="",T820=U820),"",100*($E820-U820)/(T820-U820))</f>
        <v>0</v>
      </c>
      <c r="W820">
        <f>IF(COUNT($V$818:$V$820)&lt;3,"",AVERAGE($V$818:$V$820))</f>
        <v>0</v>
      </c>
      <c r="X820">
        <f>IF(COUNT($N$807:$N$820)&lt;14,"",MIN($N$807:$N$820))</f>
        <v>0</v>
      </c>
      <c r="Y820">
        <f>IF(COUNT($N$807:$N$820)&lt;14,"",MAX($N$807:$N$820))</f>
        <v>0</v>
      </c>
      <c r="Z820">
        <f>IF(OR(N820="",X820="",Y820="",Y820=X820),"",100*(N820-X820)/(Y820-X820))</f>
        <v>0</v>
      </c>
      <c r="AA820">
        <f>IF(COUNT($Z$818:$Z$820)&lt;3,"",AVERAGE($Z$818:$Z$820))</f>
        <v>0</v>
      </c>
      <c r="AB820">
        <f>IF(COUNT($AA$818:$AA$820)&lt;3,"",AVERAGE($AA$818:$AA$820))</f>
        <v>0</v>
      </c>
      <c r="AC820">
        <f>IF($E820="","",MAX($C820-$D820,ABS($C820-$E819),ABS($D820-$E819)))</f>
        <v>0</v>
      </c>
      <c r="AD820">
        <f>IF(COUNT($E$2:$E820)&lt;15,"",AVERAGE($AC$807:$AC$820))</f>
        <v>0</v>
      </c>
      <c r="AE820">
        <f>IF(OR($E820="",$E819=""),"",IF(AND(($C820-$C819)&gt;($D819-$D820),($C820-$C819)&gt;0),$C820-$C819,0))</f>
        <v>0</v>
      </c>
      <c r="AF820">
        <f>IF(OR($E820="",$E819=""),"",IF(AND(($D819-$D820)&gt;($C820-$C819),($D819-$D820)&gt;0),$D819-$D820,0))</f>
        <v>0</v>
      </c>
      <c r="AG820">
        <f>IF(COUNT($E$2:$E820)&lt;15,"",IF(SUM($AC$807:$AC$820)=0,0,100*SUM($AE$807:$AE$820)/SUM($AC$807:$AC$820)))</f>
        <v>0</v>
      </c>
      <c r="AH820">
        <f>IF(COUNT($E$2:$E820)&lt;15,"",IF(SUM($AC$807:$AC$820)=0,0,100*SUM($AF$807:$AF$820)/SUM($AC$807:$AC$820)))</f>
        <v>0</v>
      </c>
      <c r="AI820">
        <f>IF(OR(AG820="",AH820=""),"",IF((AG820+AH820)=0,0,100*ABS(AG820-AH820)/(AG820+AH820)))</f>
        <v>0</v>
      </c>
      <c r="AJ820">
        <f>IF(COUNT($AI$807:$AI$820)&lt;14,"",AVERAGE($AI$807:$AI$820))</f>
        <v>0</v>
      </c>
      <c r="AK820">
        <f>IF(COUNT($E$2:$E820)&lt;20,"",AVERAGE($E$801:$E$820))</f>
        <v>0</v>
      </c>
      <c r="AL820">
        <f>IF(COUNT($E$2:$E820)&lt;20,"",STDEVP($E$801:$E$820))</f>
        <v>0</v>
      </c>
      <c r="AM820">
        <f>IF(AK820="","",AK820+2*AL820)</f>
        <v>0</v>
      </c>
      <c r="AN820">
        <f>IF(AK820="","",AK820-2*AL820)</f>
        <v>0</v>
      </c>
      <c r="AO820">
        <f>IF(OR(AM820="",AN820="",AM820=AN820),"",($E820-AN820)/(AM820-AN820))</f>
        <v>0</v>
      </c>
      <c r="AP820">
        <f>IF(OR(AM820="",AK820="",AK820=0),"",(AM820-AN820)/AK820)</f>
        <v>0</v>
      </c>
      <c r="AQ820">
        <f>IF(COUNT($E$2:$E820)&lt;20,"",MAX($C$801:$C$820))</f>
        <v>0</v>
      </c>
      <c r="AR820">
        <f>IF(COUNT($E$2:$E820)&lt;20,"",MIN($D$801:$D$820))</f>
        <v>0</v>
      </c>
      <c r="AS820">
        <f>IF(OR(AQ820="",AR820=""),"",(AQ820+AR820)/2)</f>
        <v>0</v>
      </c>
      <c r="AT820">
        <f>IF(COUNT($G$801:$G$820)&lt;20,"",STDEV($G$801:$G$820)*SQRT(252))</f>
        <v>0</v>
      </c>
      <c r="AU820">
        <f>IF(COUNT($E$2:$E820)&lt;9,"",(MAX($C$812:$C$820)+MIN($D$812:$D$820))/2)</f>
        <v>0</v>
      </c>
      <c r="AV820">
        <f>IF(COUNT($E$2:$E820)&lt;26,"",(MAX($C$795:$C$820)+MIN($D$795:$D$820))/2)</f>
        <v>0</v>
      </c>
      <c r="AW820">
        <f>IF(OR(AU820="",AV820=""),"",(AU820+AV820)/2)</f>
        <v>0</v>
      </c>
      <c r="AX820">
        <f>IF(COUNT($E$2:$E820)&lt;52,"",(MAX($C$769:$C$820)+MIN($D$769:$D$820))/2)</f>
        <v>0</v>
      </c>
      <c r="AY820">
        <f>IF(COUNT($E$2:$E820)&lt;20,"",MAX($C$721:$C$820))</f>
        <v>0</v>
      </c>
      <c r="AZ820">
        <f>IF(COUNT($E$2:$E820)&lt;20,"",MIN($D$721:$D$820))</f>
        <v>0</v>
      </c>
      <c r="BA820">
        <f>IF(COUNT($E$2:$E820)&lt;20,"",SLOPE($E$721:$E$820,$F$721:$F$820))</f>
        <v>0</v>
      </c>
      <c r="BB820">
        <f>IF(COUNT($E$2:$E820)&lt;20,"",INTERCEPT($E$721:$E$820,$F$721:$F$820))</f>
        <v>0</v>
      </c>
      <c r="BC820">
        <f>IF(OR(BA820="",BB820=""),"",BB820+BA820*F820)</f>
        <v>0</v>
      </c>
      <c r="BD820">
        <f>IF(COUNT($E$2:$E820)&lt;20,"",STEYX($E$721:$E$820,$F$721:$F$820))</f>
        <v>0</v>
      </c>
      <c r="BE820">
        <f>IF($E820="","",IF(AND(COUNT($E$821:$E$824)&gt;=4,$C820=MAX($C$816:$C$824)),$C820,""))</f>
        <v>0</v>
      </c>
      <c r="BF820">
        <f>IF($E820="","",IF(AND(COUNT($E$821:$E$824)&gt;=4,$D820=MIN($D$816:$D$824)),$D820,""))</f>
        <v>0</v>
      </c>
      <c r="BG820">
        <f>IF($A820="","",$A820-WEEKDAY($A820,2)+1)</f>
        <v>0</v>
      </c>
      <c r="BH820">
        <f>IF($A820="","",IF($A819="",1,IF(BG820&lt;&gt;BG819,1,0)))</f>
        <v>0</v>
      </c>
      <c r="BI820">
        <f>IF($A820="","",IF($A821="",1,IF(BG821&lt;&gt;BG820,1,0)))</f>
        <v>0</v>
      </c>
      <c r="BJ820">
        <f>IF($A820="","",IF(BH820=1,$B820,BJ819))</f>
        <v>0</v>
      </c>
      <c r="BK820">
        <f>IF($A820="","",IF(BH820=1,$C820,MAX($C820,BK819)))</f>
        <v>0</v>
      </c>
      <c r="BL820">
        <f>IF($A820="","",IF(BH820=1,$D820,MIN($D820,BL819)))</f>
        <v>0</v>
      </c>
      <c r="BM820">
        <f>IF($A820="","",IF(BI820=1,F820,""))</f>
        <v>0</v>
      </c>
      <c r="BN820">
        <f>IF($A820="","",DATE(YEAR($A820),MONTH($A820),1))</f>
        <v>0</v>
      </c>
      <c r="BO820">
        <f>IF($A820="","",IF($A819="",1,IF(BN820&lt;&gt;BN819,1,0)))</f>
        <v>0</v>
      </c>
      <c r="BP820">
        <f>IF($A820="","",IF($A821="",1,IF(BN821&lt;&gt;BN820,1,0)))</f>
        <v>0</v>
      </c>
      <c r="BQ820">
        <f>IF($A820="","",IF(BO820=1,$B820,BQ819))</f>
        <v>0</v>
      </c>
      <c r="BR820">
        <f>IF($A820="","",IF(BO820=1,$C820,MAX($C820,BR819)))</f>
        <v>0</v>
      </c>
      <c r="BS820">
        <f>IF($A820="","",IF(BO820=1,$D820,MIN($D820,BS819)))</f>
        <v>0</v>
      </c>
      <c r="BT820">
        <f>IF($A820="","",IF(BP820=1,F820,""))</f>
        <v>0</v>
      </c>
    </row>
    <row r="821" spans="1:72">
      <c r="A821" s="27">
        <f>IF(Data!$A821="","",Data!$A821)</f>
        <v>0</v>
      </c>
      <c r="B821">
        <f>IF(Data!$B821="","",Data!$B821)</f>
        <v>0</v>
      </c>
      <c r="C821">
        <f>IF(Data!$C821="","",Data!$C821)</f>
        <v>0</v>
      </c>
      <c r="D821">
        <f>IF(Data!$D821="","",Data!$D821)</f>
        <v>0</v>
      </c>
      <c r="E821">
        <f>IF(Data!$E821="","",Data!$E821)</f>
        <v>0</v>
      </c>
      <c r="F821">
        <f>IF($E821="","",N(F820)+1)</f>
        <v>0</v>
      </c>
      <c r="G821">
        <f>IF(OR($E821="",$E820=""),"",LN($E821/$E820))</f>
        <v>0</v>
      </c>
      <c r="H821">
        <f>IF($E821="","",IF($E820="",$E821,$E821*0.0952380952+H820*0.9047619048))</f>
        <v>0</v>
      </c>
      <c r="I821">
        <f>IF($E821="","",IF($E820="",$E821,$E821*0.0392156863+I820*0.9607843137))</f>
        <v>0</v>
      </c>
      <c r="J821">
        <f>IF($E821="","",IF($E820="",$E821,$E821*0.0198019802+J820*0.9801980198))</f>
        <v>0</v>
      </c>
      <c r="K821">
        <f>IF($E821="","",IF($E820="",$E821,$E821*0.0099502488+K820*0.9900497512))</f>
        <v>0</v>
      </c>
      <c r="L821">
        <f>IF(OR($E821="",$E820=""),"",MAX($E821-$E820,0))</f>
        <v>0</v>
      </c>
      <c r="M821">
        <f>IF(OR($E821="",$E820=""),"",MAX($E820-$E821,0))</f>
        <v>0</v>
      </c>
      <c r="N821">
        <f>IF(COUNT($E$2:$E821)&lt;15,"",IF(AVERAGE($M$808:$M$821)=0,100,100-100/(1+AVERAGE($L$808:$L$821)/AVERAGE($M$808:$M$821))))</f>
        <v>0</v>
      </c>
      <c r="O821">
        <f>IF($E821="","",IF($E820="",$E821,$E821*0.1538461538+O820*0.8461538462))</f>
        <v>0</v>
      </c>
      <c r="P821">
        <f>IF($E821="","",IF($E820="",$E821,$E821*0.0740740741+P820*0.9259259259))</f>
        <v>0</v>
      </c>
      <c r="Q821">
        <f>IF(OR(O821="",P821=""),"",O821-P821)</f>
        <v>0</v>
      </c>
      <c r="R821">
        <f>IF(Q821="","",IF(R820="",Q821,Q821*0.2000000000+R820*0.8000000000))</f>
        <v>0</v>
      </c>
      <c r="S821">
        <f>IF(OR(Q821="",R821=""),"",Q821-R821)</f>
        <v>0</v>
      </c>
      <c r="T821">
        <f>IF(COUNT($E$2:$E821)&lt;14,"",MAX($C$808:$C$821))</f>
        <v>0</v>
      </c>
      <c r="U821">
        <f>IF(COUNT($E$2:$E821)&lt;14,"",MIN($D$808:$D$821))</f>
        <v>0</v>
      </c>
      <c r="V821">
        <f>IF(OR(T821="",U821="",T821=U821),"",100*($E821-U821)/(T821-U821))</f>
        <v>0</v>
      </c>
      <c r="W821">
        <f>IF(COUNT($V$819:$V$821)&lt;3,"",AVERAGE($V$819:$V$821))</f>
        <v>0</v>
      </c>
      <c r="X821">
        <f>IF(COUNT($N$808:$N$821)&lt;14,"",MIN($N$808:$N$821))</f>
        <v>0</v>
      </c>
      <c r="Y821">
        <f>IF(COUNT($N$808:$N$821)&lt;14,"",MAX($N$808:$N$821))</f>
        <v>0</v>
      </c>
      <c r="Z821">
        <f>IF(OR(N821="",X821="",Y821="",Y821=X821),"",100*(N821-X821)/(Y821-X821))</f>
        <v>0</v>
      </c>
      <c r="AA821">
        <f>IF(COUNT($Z$819:$Z$821)&lt;3,"",AVERAGE($Z$819:$Z$821))</f>
        <v>0</v>
      </c>
      <c r="AB821">
        <f>IF(COUNT($AA$819:$AA$821)&lt;3,"",AVERAGE($AA$819:$AA$821))</f>
        <v>0</v>
      </c>
      <c r="AC821">
        <f>IF($E821="","",MAX($C821-$D821,ABS($C821-$E820),ABS($D821-$E820)))</f>
        <v>0</v>
      </c>
      <c r="AD821">
        <f>IF(COUNT($E$2:$E821)&lt;15,"",AVERAGE($AC$808:$AC$821))</f>
        <v>0</v>
      </c>
      <c r="AE821">
        <f>IF(OR($E821="",$E820=""),"",IF(AND(($C821-$C820)&gt;($D820-$D821),($C821-$C820)&gt;0),$C821-$C820,0))</f>
        <v>0</v>
      </c>
      <c r="AF821">
        <f>IF(OR($E821="",$E820=""),"",IF(AND(($D820-$D821)&gt;($C821-$C820),($D820-$D821)&gt;0),$D820-$D821,0))</f>
        <v>0</v>
      </c>
      <c r="AG821">
        <f>IF(COUNT($E$2:$E821)&lt;15,"",IF(SUM($AC$808:$AC$821)=0,0,100*SUM($AE$808:$AE$821)/SUM($AC$808:$AC$821)))</f>
        <v>0</v>
      </c>
      <c r="AH821">
        <f>IF(COUNT($E$2:$E821)&lt;15,"",IF(SUM($AC$808:$AC$821)=0,0,100*SUM($AF$808:$AF$821)/SUM($AC$808:$AC$821)))</f>
        <v>0</v>
      </c>
      <c r="AI821">
        <f>IF(OR(AG821="",AH821=""),"",IF((AG821+AH821)=0,0,100*ABS(AG821-AH821)/(AG821+AH821)))</f>
        <v>0</v>
      </c>
      <c r="AJ821">
        <f>IF(COUNT($AI$808:$AI$821)&lt;14,"",AVERAGE($AI$808:$AI$821))</f>
        <v>0</v>
      </c>
      <c r="AK821">
        <f>IF(COUNT($E$2:$E821)&lt;20,"",AVERAGE($E$802:$E$821))</f>
        <v>0</v>
      </c>
      <c r="AL821">
        <f>IF(COUNT($E$2:$E821)&lt;20,"",STDEVP($E$802:$E$821))</f>
        <v>0</v>
      </c>
      <c r="AM821">
        <f>IF(AK821="","",AK821+2*AL821)</f>
        <v>0</v>
      </c>
      <c r="AN821">
        <f>IF(AK821="","",AK821-2*AL821)</f>
        <v>0</v>
      </c>
      <c r="AO821">
        <f>IF(OR(AM821="",AN821="",AM821=AN821),"",($E821-AN821)/(AM821-AN821))</f>
        <v>0</v>
      </c>
      <c r="AP821">
        <f>IF(OR(AM821="",AK821="",AK821=0),"",(AM821-AN821)/AK821)</f>
        <v>0</v>
      </c>
      <c r="AQ821">
        <f>IF(COUNT($E$2:$E821)&lt;20,"",MAX($C$802:$C$821))</f>
        <v>0</v>
      </c>
      <c r="AR821">
        <f>IF(COUNT($E$2:$E821)&lt;20,"",MIN($D$802:$D$821))</f>
        <v>0</v>
      </c>
      <c r="AS821">
        <f>IF(OR(AQ821="",AR821=""),"",(AQ821+AR821)/2)</f>
        <v>0</v>
      </c>
      <c r="AT821">
        <f>IF(COUNT($G$802:$G$821)&lt;20,"",STDEV($G$802:$G$821)*SQRT(252))</f>
        <v>0</v>
      </c>
      <c r="AU821">
        <f>IF(COUNT($E$2:$E821)&lt;9,"",(MAX($C$813:$C$821)+MIN($D$813:$D$821))/2)</f>
        <v>0</v>
      </c>
      <c r="AV821">
        <f>IF(COUNT($E$2:$E821)&lt;26,"",(MAX($C$796:$C$821)+MIN($D$796:$D$821))/2)</f>
        <v>0</v>
      </c>
      <c r="AW821">
        <f>IF(OR(AU821="",AV821=""),"",(AU821+AV821)/2)</f>
        <v>0</v>
      </c>
      <c r="AX821">
        <f>IF(COUNT($E$2:$E821)&lt;52,"",(MAX($C$770:$C$821)+MIN($D$770:$D$821))/2)</f>
        <v>0</v>
      </c>
      <c r="AY821">
        <f>IF(COUNT($E$2:$E821)&lt;20,"",MAX($C$722:$C$821))</f>
        <v>0</v>
      </c>
      <c r="AZ821">
        <f>IF(COUNT($E$2:$E821)&lt;20,"",MIN($D$722:$D$821))</f>
        <v>0</v>
      </c>
      <c r="BA821">
        <f>IF(COUNT($E$2:$E821)&lt;20,"",SLOPE($E$722:$E$821,$F$722:$F$821))</f>
        <v>0</v>
      </c>
      <c r="BB821">
        <f>IF(COUNT($E$2:$E821)&lt;20,"",INTERCEPT($E$722:$E$821,$F$722:$F$821))</f>
        <v>0</v>
      </c>
      <c r="BC821">
        <f>IF(OR(BA821="",BB821=""),"",BB821+BA821*F821)</f>
        <v>0</v>
      </c>
      <c r="BD821">
        <f>IF(COUNT($E$2:$E821)&lt;20,"",STEYX($E$722:$E$821,$F$722:$F$821))</f>
        <v>0</v>
      </c>
      <c r="BE821">
        <f>IF($E821="","",IF(AND(COUNT($E$822:$E$825)&gt;=4,$C821=MAX($C$817:$C$825)),$C821,""))</f>
        <v>0</v>
      </c>
      <c r="BF821">
        <f>IF($E821="","",IF(AND(COUNT($E$822:$E$825)&gt;=4,$D821=MIN($D$817:$D$825)),$D821,""))</f>
        <v>0</v>
      </c>
      <c r="BG821">
        <f>IF($A821="","",$A821-WEEKDAY($A821,2)+1)</f>
        <v>0</v>
      </c>
      <c r="BH821">
        <f>IF($A821="","",IF($A820="",1,IF(BG821&lt;&gt;BG820,1,0)))</f>
        <v>0</v>
      </c>
      <c r="BI821">
        <f>IF($A821="","",IF($A822="",1,IF(BG822&lt;&gt;BG821,1,0)))</f>
        <v>0</v>
      </c>
      <c r="BJ821">
        <f>IF($A821="","",IF(BH821=1,$B821,BJ820))</f>
        <v>0</v>
      </c>
      <c r="BK821">
        <f>IF($A821="","",IF(BH821=1,$C821,MAX($C821,BK820)))</f>
        <v>0</v>
      </c>
      <c r="BL821">
        <f>IF($A821="","",IF(BH821=1,$D821,MIN($D821,BL820)))</f>
        <v>0</v>
      </c>
      <c r="BM821">
        <f>IF($A821="","",IF(BI821=1,F821,""))</f>
        <v>0</v>
      </c>
      <c r="BN821">
        <f>IF($A821="","",DATE(YEAR($A821),MONTH($A821),1))</f>
        <v>0</v>
      </c>
      <c r="BO821">
        <f>IF($A821="","",IF($A820="",1,IF(BN821&lt;&gt;BN820,1,0)))</f>
        <v>0</v>
      </c>
      <c r="BP821">
        <f>IF($A821="","",IF($A822="",1,IF(BN822&lt;&gt;BN821,1,0)))</f>
        <v>0</v>
      </c>
      <c r="BQ821">
        <f>IF($A821="","",IF(BO821=1,$B821,BQ820))</f>
        <v>0</v>
      </c>
      <c r="BR821">
        <f>IF($A821="","",IF(BO821=1,$C821,MAX($C821,BR820)))</f>
        <v>0</v>
      </c>
      <c r="BS821">
        <f>IF($A821="","",IF(BO821=1,$D821,MIN($D821,BS820)))</f>
        <v>0</v>
      </c>
      <c r="BT821">
        <f>IF($A821="","",IF(BP821=1,F821,""))</f>
        <v>0</v>
      </c>
    </row>
    <row r="822" spans="1:72">
      <c r="A822" s="27">
        <f>IF(Data!$A822="","",Data!$A822)</f>
        <v>0</v>
      </c>
      <c r="B822">
        <f>IF(Data!$B822="","",Data!$B822)</f>
        <v>0</v>
      </c>
      <c r="C822">
        <f>IF(Data!$C822="","",Data!$C822)</f>
        <v>0</v>
      </c>
      <c r="D822">
        <f>IF(Data!$D822="","",Data!$D822)</f>
        <v>0</v>
      </c>
      <c r="E822">
        <f>IF(Data!$E822="","",Data!$E822)</f>
        <v>0</v>
      </c>
      <c r="F822">
        <f>IF($E822="","",N(F821)+1)</f>
        <v>0</v>
      </c>
      <c r="G822">
        <f>IF(OR($E822="",$E821=""),"",LN($E822/$E821))</f>
        <v>0</v>
      </c>
      <c r="H822">
        <f>IF($E822="","",IF($E821="",$E822,$E822*0.0952380952+H821*0.9047619048))</f>
        <v>0</v>
      </c>
      <c r="I822">
        <f>IF($E822="","",IF($E821="",$E822,$E822*0.0392156863+I821*0.9607843137))</f>
        <v>0</v>
      </c>
      <c r="J822">
        <f>IF($E822="","",IF($E821="",$E822,$E822*0.0198019802+J821*0.9801980198))</f>
        <v>0</v>
      </c>
      <c r="K822">
        <f>IF($E822="","",IF($E821="",$E822,$E822*0.0099502488+K821*0.9900497512))</f>
        <v>0</v>
      </c>
      <c r="L822">
        <f>IF(OR($E822="",$E821=""),"",MAX($E822-$E821,0))</f>
        <v>0</v>
      </c>
      <c r="M822">
        <f>IF(OR($E822="",$E821=""),"",MAX($E821-$E822,0))</f>
        <v>0</v>
      </c>
      <c r="N822">
        <f>IF(COUNT($E$2:$E822)&lt;15,"",IF(AVERAGE($M$809:$M$822)=0,100,100-100/(1+AVERAGE($L$809:$L$822)/AVERAGE($M$809:$M$822))))</f>
        <v>0</v>
      </c>
      <c r="O822">
        <f>IF($E822="","",IF($E821="",$E822,$E822*0.1538461538+O821*0.8461538462))</f>
        <v>0</v>
      </c>
      <c r="P822">
        <f>IF($E822="","",IF($E821="",$E822,$E822*0.0740740741+P821*0.9259259259))</f>
        <v>0</v>
      </c>
      <c r="Q822">
        <f>IF(OR(O822="",P822=""),"",O822-P822)</f>
        <v>0</v>
      </c>
      <c r="R822">
        <f>IF(Q822="","",IF(R821="",Q822,Q822*0.2000000000+R821*0.8000000000))</f>
        <v>0</v>
      </c>
      <c r="S822">
        <f>IF(OR(Q822="",R822=""),"",Q822-R822)</f>
        <v>0</v>
      </c>
      <c r="T822">
        <f>IF(COUNT($E$2:$E822)&lt;14,"",MAX($C$809:$C$822))</f>
        <v>0</v>
      </c>
      <c r="U822">
        <f>IF(COUNT($E$2:$E822)&lt;14,"",MIN($D$809:$D$822))</f>
        <v>0</v>
      </c>
      <c r="V822">
        <f>IF(OR(T822="",U822="",T822=U822),"",100*($E822-U822)/(T822-U822))</f>
        <v>0</v>
      </c>
      <c r="W822">
        <f>IF(COUNT($V$820:$V$822)&lt;3,"",AVERAGE($V$820:$V$822))</f>
        <v>0</v>
      </c>
      <c r="X822">
        <f>IF(COUNT($N$809:$N$822)&lt;14,"",MIN($N$809:$N$822))</f>
        <v>0</v>
      </c>
      <c r="Y822">
        <f>IF(COUNT($N$809:$N$822)&lt;14,"",MAX($N$809:$N$822))</f>
        <v>0</v>
      </c>
      <c r="Z822">
        <f>IF(OR(N822="",X822="",Y822="",Y822=X822),"",100*(N822-X822)/(Y822-X822))</f>
        <v>0</v>
      </c>
      <c r="AA822">
        <f>IF(COUNT($Z$820:$Z$822)&lt;3,"",AVERAGE($Z$820:$Z$822))</f>
        <v>0</v>
      </c>
      <c r="AB822">
        <f>IF(COUNT($AA$820:$AA$822)&lt;3,"",AVERAGE($AA$820:$AA$822))</f>
        <v>0</v>
      </c>
      <c r="AC822">
        <f>IF($E822="","",MAX($C822-$D822,ABS($C822-$E821),ABS($D822-$E821)))</f>
        <v>0</v>
      </c>
      <c r="AD822">
        <f>IF(COUNT($E$2:$E822)&lt;15,"",AVERAGE($AC$809:$AC$822))</f>
        <v>0</v>
      </c>
      <c r="AE822">
        <f>IF(OR($E822="",$E821=""),"",IF(AND(($C822-$C821)&gt;($D821-$D822),($C822-$C821)&gt;0),$C822-$C821,0))</f>
        <v>0</v>
      </c>
      <c r="AF822">
        <f>IF(OR($E822="",$E821=""),"",IF(AND(($D821-$D822)&gt;($C822-$C821),($D821-$D822)&gt;0),$D821-$D822,0))</f>
        <v>0</v>
      </c>
      <c r="AG822">
        <f>IF(COUNT($E$2:$E822)&lt;15,"",IF(SUM($AC$809:$AC$822)=0,0,100*SUM($AE$809:$AE$822)/SUM($AC$809:$AC$822)))</f>
        <v>0</v>
      </c>
      <c r="AH822">
        <f>IF(COUNT($E$2:$E822)&lt;15,"",IF(SUM($AC$809:$AC$822)=0,0,100*SUM($AF$809:$AF$822)/SUM($AC$809:$AC$822)))</f>
        <v>0</v>
      </c>
      <c r="AI822">
        <f>IF(OR(AG822="",AH822=""),"",IF((AG822+AH822)=0,0,100*ABS(AG822-AH822)/(AG822+AH822)))</f>
        <v>0</v>
      </c>
      <c r="AJ822">
        <f>IF(COUNT($AI$809:$AI$822)&lt;14,"",AVERAGE($AI$809:$AI$822))</f>
        <v>0</v>
      </c>
      <c r="AK822">
        <f>IF(COUNT($E$2:$E822)&lt;20,"",AVERAGE($E$803:$E$822))</f>
        <v>0</v>
      </c>
      <c r="AL822">
        <f>IF(COUNT($E$2:$E822)&lt;20,"",STDEVP($E$803:$E$822))</f>
        <v>0</v>
      </c>
      <c r="AM822">
        <f>IF(AK822="","",AK822+2*AL822)</f>
        <v>0</v>
      </c>
      <c r="AN822">
        <f>IF(AK822="","",AK822-2*AL822)</f>
        <v>0</v>
      </c>
      <c r="AO822">
        <f>IF(OR(AM822="",AN822="",AM822=AN822),"",($E822-AN822)/(AM822-AN822))</f>
        <v>0</v>
      </c>
      <c r="AP822">
        <f>IF(OR(AM822="",AK822="",AK822=0),"",(AM822-AN822)/AK822)</f>
        <v>0</v>
      </c>
      <c r="AQ822">
        <f>IF(COUNT($E$2:$E822)&lt;20,"",MAX($C$803:$C$822))</f>
        <v>0</v>
      </c>
      <c r="AR822">
        <f>IF(COUNT($E$2:$E822)&lt;20,"",MIN($D$803:$D$822))</f>
        <v>0</v>
      </c>
      <c r="AS822">
        <f>IF(OR(AQ822="",AR822=""),"",(AQ822+AR822)/2)</f>
        <v>0</v>
      </c>
      <c r="AT822">
        <f>IF(COUNT($G$803:$G$822)&lt;20,"",STDEV($G$803:$G$822)*SQRT(252))</f>
        <v>0</v>
      </c>
      <c r="AU822">
        <f>IF(COUNT($E$2:$E822)&lt;9,"",(MAX($C$814:$C$822)+MIN($D$814:$D$822))/2)</f>
        <v>0</v>
      </c>
      <c r="AV822">
        <f>IF(COUNT($E$2:$E822)&lt;26,"",(MAX($C$797:$C$822)+MIN($D$797:$D$822))/2)</f>
        <v>0</v>
      </c>
      <c r="AW822">
        <f>IF(OR(AU822="",AV822=""),"",(AU822+AV822)/2)</f>
        <v>0</v>
      </c>
      <c r="AX822">
        <f>IF(COUNT($E$2:$E822)&lt;52,"",(MAX($C$771:$C$822)+MIN($D$771:$D$822))/2)</f>
        <v>0</v>
      </c>
      <c r="AY822">
        <f>IF(COUNT($E$2:$E822)&lt;20,"",MAX($C$723:$C$822))</f>
        <v>0</v>
      </c>
      <c r="AZ822">
        <f>IF(COUNT($E$2:$E822)&lt;20,"",MIN($D$723:$D$822))</f>
        <v>0</v>
      </c>
      <c r="BA822">
        <f>IF(COUNT($E$2:$E822)&lt;20,"",SLOPE($E$723:$E$822,$F$723:$F$822))</f>
        <v>0</v>
      </c>
      <c r="BB822">
        <f>IF(COUNT($E$2:$E822)&lt;20,"",INTERCEPT($E$723:$E$822,$F$723:$F$822))</f>
        <v>0</v>
      </c>
      <c r="BC822">
        <f>IF(OR(BA822="",BB822=""),"",BB822+BA822*F822)</f>
        <v>0</v>
      </c>
      <c r="BD822">
        <f>IF(COUNT($E$2:$E822)&lt;20,"",STEYX($E$723:$E$822,$F$723:$F$822))</f>
        <v>0</v>
      </c>
      <c r="BE822">
        <f>IF($E822="","",IF(AND(COUNT($E$823:$E$826)&gt;=4,$C822=MAX($C$818:$C$826)),$C822,""))</f>
        <v>0</v>
      </c>
      <c r="BF822">
        <f>IF($E822="","",IF(AND(COUNT($E$823:$E$826)&gt;=4,$D822=MIN($D$818:$D$826)),$D822,""))</f>
        <v>0</v>
      </c>
      <c r="BG822">
        <f>IF($A822="","",$A822-WEEKDAY($A822,2)+1)</f>
        <v>0</v>
      </c>
      <c r="BH822">
        <f>IF($A822="","",IF($A821="",1,IF(BG822&lt;&gt;BG821,1,0)))</f>
        <v>0</v>
      </c>
      <c r="BI822">
        <f>IF($A822="","",IF($A823="",1,IF(BG823&lt;&gt;BG822,1,0)))</f>
        <v>0</v>
      </c>
      <c r="BJ822">
        <f>IF($A822="","",IF(BH822=1,$B822,BJ821))</f>
        <v>0</v>
      </c>
      <c r="BK822">
        <f>IF($A822="","",IF(BH822=1,$C822,MAX($C822,BK821)))</f>
        <v>0</v>
      </c>
      <c r="BL822">
        <f>IF($A822="","",IF(BH822=1,$D822,MIN($D822,BL821)))</f>
        <v>0</v>
      </c>
      <c r="BM822">
        <f>IF($A822="","",IF(BI822=1,F822,""))</f>
        <v>0</v>
      </c>
      <c r="BN822">
        <f>IF($A822="","",DATE(YEAR($A822),MONTH($A822),1))</f>
        <v>0</v>
      </c>
      <c r="BO822">
        <f>IF($A822="","",IF($A821="",1,IF(BN822&lt;&gt;BN821,1,0)))</f>
        <v>0</v>
      </c>
      <c r="BP822">
        <f>IF($A822="","",IF($A823="",1,IF(BN823&lt;&gt;BN822,1,0)))</f>
        <v>0</v>
      </c>
      <c r="BQ822">
        <f>IF($A822="","",IF(BO822=1,$B822,BQ821))</f>
        <v>0</v>
      </c>
      <c r="BR822">
        <f>IF($A822="","",IF(BO822=1,$C822,MAX($C822,BR821)))</f>
        <v>0</v>
      </c>
      <c r="BS822">
        <f>IF($A822="","",IF(BO822=1,$D822,MIN($D822,BS821)))</f>
        <v>0</v>
      </c>
      <c r="BT822">
        <f>IF($A822="","",IF(BP822=1,F822,""))</f>
        <v>0</v>
      </c>
    </row>
    <row r="823" spans="1:72">
      <c r="A823" s="27">
        <f>IF(Data!$A823="","",Data!$A823)</f>
        <v>0</v>
      </c>
      <c r="B823">
        <f>IF(Data!$B823="","",Data!$B823)</f>
        <v>0</v>
      </c>
      <c r="C823">
        <f>IF(Data!$C823="","",Data!$C823)</f>
        <v>0</v>
      </c>
      <c r="D823">
        <f>IF(Data!$D823="","",Data!$D823)</f>
        <v>0</v>
      </c>
      <c r="E823">
        <f>IF(Data!$E823="","",Data!$E823)</f>
        <v>0</v>
      </c>
      <c r="F823">
        <f>IF($E823="","",N(F822)+1)</f>
        <v>0</v>
      </c>
      <c r="G823">
        <f>IF(OR($E823="",$E822=""),"",LN($E823/$E822))</f>
        <v>0</v>
      </c>
      <c r="H823">
        <f>IF($E823="","",IF($E822="",$E823,$E823*0.0952380952+H822*0.9047619048))</f>
        <v>0</v>
      </c>
      <c r="I823">
        <f>IF($E823="","",IF($E822="",$E823,$E823*0.0392156863+I822*0.9607843137))</f>
        <v>0</v>
      </c>
      <c r="J823">
        <f>IF($E823="","",IF($E822="",$E823,$E823*0.0198019802+J822*0.9801980198))</f>
        <v>0</v>
      </c>
      <c r="K823">
        <f>IF($E823="","",IF($E822="",$E823,$E823*0.0099502488+K822*0.9900497512))</f>
        <v>0</v>
      </c>
      <c r="L823">
        <f>IF(OR($E823="",$E822=""),"",MAX($E823-$E822,0))</f>
        <v>0</v>
      </c>
      <c r="M823">
        <f>IF(OR($E823="",$E822=""),"",MAX($E822-$E823,0))</f>
        <v>0</v>
      </c>
      <c r="N823">
        <f>IF(COUNT($E$2:$E823)&lt;15,"",IF(AVERAGE($M$810:$M$823)=0,100,100-100/(1+AVERAGE($L$810:$L$823)/AVERAGE($M$810:$M$823))))</f>
        <v>0</v>
      </c>
      <c r="O823">
        <f>IF($E823="","",IF($E822="",$E823,$E823*0.1538461538+O822*0.8461538462))</f>
        <v>0</v>
      </c>
      <c r="P823">
        <f>IF($E823="","",IF($E822="",$E823,$E823*0.0740740741+P822*0.9259259259))</f>
        <v>0</v>
      </c>
      <c r="Q823">
        <f>IF(OR(O823="",P823=""),"",O823-P823)</f>
        <v>0</v>
      </c>
      <c r="R823">
        <f>IF(Q823="","",IF(R822="",Q823,Q823*0.2000000000+R822*0.8000000000))</f>
        <v>0</v>
      </c>
      <c r="S823">
        <f>IF(OR(Q823="",R823=""),"",Q823-R823)</f>
        <v>0</v>
      </c>
      <c r="T823">
        <f>IF(COUNT($E$2:$E823)&lt;14,"",MAX($C$810:$C$823))</f>
        <v>0</v>
      </c>
      <c r="U823">
        <f>IF(COUNT($E$2:$E823)&lt;14,"",MIN($D$810:$D$823))</f>
        <v>0</v>
      </c>
      <c r="V823">
        <f>IF(OR(T823="",U823="",T823=U823),"",100*($E823-U823)/(T823-U823))</f>
        <v>0</v>
      </c>
      <c r="W823">
        <f>IF(COUNT($V$821:$V$823)&lt;3,"",AVERAGE($V$821:$V$823))</f>
        <v>0</v>
      </c>
      <c r="X823">
        <f>IF(COUNT($N$810:$N$823)&lt;14,"",MIN($N$810:$N$823))</f>
        <v>0</v>
      </c>
      <c r="Y823">
        <f>IF(COUNT($N$810:$N$823)&lt;14,"",MAX($N$810:$N$823))</f>
        <v>0</v>
      </c>
      <c r="Z823">
        <f>IF(OR(N823="",X823="",Y823="",Y823=X823),"",100*(N823-X823)/(Y823-X823))</f>
        <v>0</v>
      </c>
      <c r="AA823">
        <f>IF(COUNT($Z$821:$Z$823)&lt;3,"",AVERAGE($Z$821:$Z$823))</f>
        <v>0</v>
      </c>
      <c r="AB823">
        <f>IF(COUNT($AA$821:$AA$823)&lt;3,"",AVERAGE($AA$821:$AA$823))</f>
        <v>0</v>
      </c>
      <c r="AC823">
        <f>IF($E823="","",MAX($C823-$D823,ABS($C823-$E822),ABS($D823-$E822)))</f>
        <v>0</v>
      </c>
      <c r="AD823">
        <f>IF(COUNT($E$2:$E823)&lt;15,"",AVERAGE($AC$810:$AC$823))</f>
        <v>0</v>
      </c>
      <c r="AE823">
        <f>IF(OR($E823="",$E822=""),"",IF(AND(($C823-$C822)&gt;($D822-$D823),($C823-$C822)&gt;0),$C823-$C822,0))</f>
        <v>0</v>
      </c>
      <c r="AF823">
        <f>IF(OR($E823="",$E822=""),"",IF(AND(($D822-$D823)&gt;($C823-$C822),($D822-$D823)&gt;0),$D822-$D823,0))</f>
        <v>0</v>
      </c>
      <c r="AG823">
        <f>IF(COUNT($E$2:$E823)&lt;15,"",IF(SUM($AC$810:$AC$823)=0,0,100*SUM($AE$810:$AE$823)/SUM($AC$810:$AC$823)))</f>
        <v>0</v>
      </c>
      <c r="AH823">
        <f>IF(COUNT($E$2:$E823)&lt;15,"",IF(SUM($AC$810:$AC$823)=0,0,100*SUM($AF$810:$AF$823)/SUM($AC$810:$AC$823)))</f>
        <v>0</v>
      </c>
      <c r="AI823">
        <f>IF(OR(AG823="",AH823=""),"",IF((AG823+AH823)=0,0,100*ABS(AG823-AH823)/(AG823+AH823)))</f>
        <v>0</v>
      </c>
      <c r="AJ823">
        <f>IF(COUNT($AI$810:$AI$823)&lt;14,"",AVERAGE($AI$810:$AI$823))</f>
        <v>0</v>
      </c>
      <c r="AK823">
        <f>IF(COUNT($E$2:$E823)&lt;20,"",AVERAGE($E$804:$E$823))</f>
        <v>0</v>
      </c>
      <c r="AL823">
        <f>IF(COUNT($E$2:$E823)&lt;20,"",STDEVP($E$804:$E$823))</f>
        <v>0</v>
      </c>
      <c r="AM823">
        <f>IF(AK823="","",AK823+2*AL823)</f>
        <v>0</v>
      </c>
      <c r="AN823">
        <f>IF(AK823="","",AK823-2*AL823)</f>
        <v>0</v>
      </c>
      <c r="AO823">
        <f>IF(OR(AM823="",AN823="",AM823=AN823),"",($E823-AN823)/(AM823-AN823))</f>
        <v>0</v>
      </c>
      <c r="AP823">
        <f>IF(OR(AM823="",AK823="",AK823=0),"",(AM823-AN823)/AK823)</f>
        <v>0</v>
      </c>
      <c r="AQ823">
        <f>IF(COUNT($E$2:$E823)&lt;20,"",MAX($C$804:$C$823))</f>
        <v>0</v>
      </c>
      <c r="AR823">
        <f>IF(COUNT($E$2:$E823)&lt;20,"",MIN($D$804:$D$823))</f>
        <v>0</v>
      </c>
      <c r="AS823">
        <f>IF(OR(AQ823="",AR823=""),"",(AQ823+AR823)/2)</f>
        <v>0</v>
      </c>
      <c r="AT823">
        <f>IF(COUNT($G$804:$G$823)&lt;20,"",STDEV($G$804:$G$823)*SQRT(252))</f>
        <v>0</v>
      </c>
      <c r="AU823">
        <f>IF(COUNT($E$2:$E823)&lt;9,"",(MAX($C$815:$C$823)+MIN($D$815:$D$823))/2)</f>
        <v>0</v>
      </c>
      <c r="AV823">
        <f>IF(COUNT($E$2:$E823)&lt;26,"",(MAX($C$798:$C$823)+MIN($D$798:$D$823))/2)</f>
        <v>0</v>
      </c>
      <c r="AW823">
        <f>IF(OR(AU823="",AV823=""),"",(AU823+AV823)/2)</f>
        <v>0</v>
      </c>
      <c r="AX823">
        <f>IF(COUNT($E$2:$E823)&lt;52,"",(MAX($C$772:$C$823)+MIN($D$772:$D$823))/2)</f>
        <v>0</v>
      </c>
      <c r="AY823">
        <f>IF(COUNT($E$2:$E823)&lt;20,"",MAX($C$724:$C$823))</f>
        <v>0</v>
      </c>
      <c r="AZ823">
        <f>IF(COUNT($E$2:$E823)&lt;20,"",MIN($D$724:$D$823))</f>
        <v>0</v>
      </c>
      <c r="BA823">
        <f>IF(COUNT($E$2:$E823)&lt;20,"",SLOPE($E$724:$E$823,$F$724:$F$823))</f>
        <v>0</v>
      </c>
      <c r="BB823">
        <f>IF(COUNT($E$2:$E823)&lt;20,"",INTERCEPT($E$724:$E$823,$F$724:$F$823))</f>
        <v>0</v>
      </c>
      <c r="BC823">
        <f>IF(OR(BA823="",BB823=""),"",BB823+BA823*F823)</f>
        <v>0</v>
      </c>
      <c r="BD823">
        <f>IF(COUNT($E$2:$E823)&lt;20,"",STEYX($E$724:$E$823,$F$724:$F$823))</f>
        <v>0</v>
      </c>
      <c r="BE823">
        <f>IF($E823="","",IF(AND(COUNT($E$824:$E$827)&gt;=4,$C823=MAX($C$819:$C$827)),$C823,""))</f>
        <v>0</v>
      </c>
      <c r="BF823">
        <f>IF($E823="","",IF(AND(COUNT($E$824:$E$827)&gt;=4,$D823=MIN($D$819:$D$827)),$D823,""))</f>
        <v>0</v>
      </c>
      <c r="BG823">
        <f>IF($A823="","",$A823-WEEKDAY($A823,2)+1)</f>
        <v>0</v>
      </c>
      <c r="BH823">
        <f>IF($A823="","",IF($A822="",1,IF(BG823&lt;&gt;BG822,1,0)))</f>
        <v>0</v>
      </c>
      <c r="BI823">
        <f>IF($A823="","",IF($A824="",1,IF(BG824&lt;&gt;BG823,1,0)))</f>
        <v>0</v>
      </c>
      <c r="BJ823">
        <f>IF($A823="","",IF(BH823=1,$B823,BJ822))</f>
        <v>0</v>
      </c>
      <c r="BK823">
        <f>IF($A823="","",IF(BH823=1,$C823,MAX($C823,BK822)))</f>
        <v>0</v>
      </c>
      <c r="BL823">
        <f>IF($A823="","",IF(BH823=1,$D823,MIN($D823,BL822)))</f>
        <v>0</v>
      </c>
      <c r="BM823">
        <f>IF($A823="","",IF(BI823=1,F823,""))</f>
        <v>0</v>
      </c>
      <c r="BN823">
        <f>IF($A823="","",DATE(YEAR($A823),MONTH($A823),1))</f>
        <v>0</v>
      </c>
      <c r="BO823">
        <f>IF($A823="","",IF($A822="",1,IF(BN823&lt;&gt;BN822,1,0)))</f>
        <v>0</v>
      </c>
      <c r="BP823">
        <f>IF($A823="","",IF($A824="",1,IF(BN824&lt;&gt;BN823,1,0)))</f>
        <v>0</v>
      </c>
      <c r="BQ823">
        <f>IF($A823="","",IF(BO823=1,$B823,BQ822))</f>
        <v>0</v>
      </c>
      <c r="BR823">
        <f>IF($A823="","",IF(BO823=1,$C823,MAX($C823,BR822)))</f>
        <v>0</v>
      </c>
      <c r="BS823">
        <f>IF($A823="","",IF(BO823=1,$D823,MIN($D823,BS822)))</f>
        <v>0</v>
      </c>
      <c r="BT823">
        <f>IF($A823="","",IF(BP823=1,F823,""))</f>
        <v>0</v>
      </c>
    </row>
    <row r="824" spans="1:72">
      <c r="A824" s="27">
        <f>IF(Data!$A824="","",Data!$A824)</f>
        <v>0</v>
      </c>
      <c r="B824">
        <f>IF(Data!$B824="","",Data!$B824)</f>
        <v>0</v>
      </c>
      <c r="C824">
        <f>IF(Data!$C824="","",Data!$C824)</f>
        <v>0</v>
      </c>
      <c r="D824">
        <f>IF(Data!$D824="","",Data!$D824)</f>
        <v>0</v>
      </c>
      <c r="E824">
        <f>IF(Data!$E824="","",Data!$E824)</f>
        <v>0</v>
      </c>
      <c r="F824">
        <f>IF($E824="","",N(F823)+1)</f>
        <v>0</v>
      </c>
      <c r="G824">
        <f>IF(OR($E824="",$E823=""),"",LN($E824/$E823))</f>
        <v>0</v>
      </c>
      <c r="H824">
        <f>IF($E824="","",IF($E823="",$E824,$E824*0.0952380952+H823*0.9047619048))</f>
        <v>0</v>
      </c>
      <c r="I824">
        <f>IF($E824="","",IF($E823="",$E824,$E824*0.0392156863+I823*0.9607843137))</f>
        <v>0</v>
      </c>
      <c r="J824">
        <f>IF($E824="","",IF($E823="",$E824,$E824*0.0198019802+J823*0.9801980198))</f>
        <v>0</v>
      </c>
      <c r="K824">
        <f>IF($E824="","",IF($E823="",$E824,$E824*0.0099502488+K823*0.9900497512))</f>
        <v>0</v>
      </c>
      <c r="L824">
        <f>IF(OR($E824="",$E823=""),"",MAX($E824-$E823,0))</f>
        <v>0</v>
      </c>
      <c r="M824">
        <f>IF(OR($E824="",$E823=""),"",MAX($E823-$E824,0))</f>
        <v>0</v>
      </c>
      <c r="N824">
        <f>IF(COUNT($E$2:$E824)&lt;15,"",IF(AVERAGE($M$811:$M$824)=0,100,100-100/(1+AVERAGE($L$811:$L$824)/AVERAGE($M$811:$M$824))))</f>
        <v>0</v>
      </c>
      <c r="O824">
        <f>IF($E824="","",IF($E823="",$E824,$E824*0.1538461538+O823*0.8461538462))</f>
        <v>0</v>
      </c>
      <c r="P824">
        <f>IF($E824="","",IF($E823="",$E824,$E824*0.0740740741+P823*0.9259259259))</f>
        <v>0</v>
      </c>
      <c r="Q824">
        <f>IF(OR(O824="",P824=""),"",O824-P824)</f>
        <v>0</v>
      </c>
      <c r="R824">
        <f>IF(Q824="","",IF(R823="",Q824,Q824*0.2000000000+R823*0.8000000000))</f>
        <v>0</v>
      </c>
      <c r="S824">
        <f>IF(OR(Q824="",R824=""),"",Q824-R824)</f>
        <v>0</v>
      </c>
      <c r="T824">
        <f>IF(COUNT($E$2:$E824)&lt;14,"",MAX($C$811:$C$824))</f>
        <v>0</v>
      </c>
      <c r="U824">
        <f>IF(COUNT($E$2:$E824)&lt;14,"",MIN($D$811:$D$824))</f>
        <v>0</v>
      </c>
      <c r="V824">
        <f>IF(OR(T824="",U824="",T824=U824),"",100*($E824-U824)/(T824-U824))</f>
        <v>0</v>
      </c>
      <c r="W824">
        <f>IF(COUNT($V$822:$V$824)&lt;3,"",AVERAGE($V$822:$V$824))</f>
        <v>0</v>
      </c>
      <c r="X824">
        <f>IF(COUNT($N$811:$N$824)&lt;14,"",MIN($N$811:$N$824))</f>
        <v>0</v>
      </c>
      <c r="Y824">
        <f>IF(COUNT($N$811:$N$824)&lt;14,"",MAX($N$811:$N$824))</f>
        <v>0</v>
      </c>
      <c r="Z824">
        <f>IF(OR(N824="",X824="",Y824="",Y824=X824),"",100*(N824-X824)/(Y824-X824))</f>
        <v>0</v>
      </c>
      <c r="AA824">
        <f>IF(COUNT($Z$822:$Z$824)&lt;3,"",AVERAGE($Z$822:$Z$824))</f>
        <v>0</v>
      </c>
      <c r="AB824">
        <f>IF(COUNT($AA$822:$AA$824)&lt;3,"",AVERAGE($AA$822:$AA$824))</f>
        <v>0</v>
      </c>
      <c r="AC824">
        <f>IF($E824="","",MAX($C824-$D824,ABS($C824-$E823),ABS($D824-$E823)))</f>
        <v>0</v>
      </c>
      <c r="AD824">
        <f>IF(COUNT($E$2:$E824)&lt;15,"",AVERAGE($AC$811:$AC$824))</f>
        <v>0</v>
      </c>
      <c r="AE824">
        <f>IF(OR($E824="",$E823=""),"",IF(AND(($C824-$C823)&gt;($D823-$D824),($C824-$C823)&gt;0),$C824-$C823,0))</f>
        <v>0</v>
      </c>
      <c r="AF824">
        <f>IF(OR($E824="",$E823=""),"",IF(AND(($D823-$D824)&gt;($C824-$C823),($D823-$D824)&gt;0),$D823-$D824,0))</f>
        <v>0</v>
      </c>
      <c r="AG824">
        <f>IF(COUNT($E$2:$E824)&lt;15,"",IF(SUM($AC$811:$AC$824)=0,0,100*SUM($AE$811:$AE$824)/SUM($AC$811:$AC$824)))</f>
        <v>0</v>
      </c>
      <c r="AH824">
        <f>IF(COUNT($E$2:$E824)&lt;15,"",IF(SUM($AC$811:$AC$824)=0,0,100*SUM($AF$811:$AF$824)/SUM($AC$811:$AC$824)))</f>
        <v>0</v>
      </c>
      <c r="AI824">
        <f>IF(OR(AG824="",AH824=""),"",IF((AG824+AH824)=0,0,100*ABS(AG824-AH824)/(AG824+AH824)))</f>
        <v>0</v>
      </c>
      <c r="AJ824">
        <f>IF(COUNT($AI$811:$AI$824)&lt;14,"",AVERAGE($AI$811:$AI$824))</f>
        <v>0</v>
      </c>
      <c r="AK824">
        <f>IF(COUNT($E$2:$E824)&lt;20,"",AVERAGE($E$805:$E$824))</f>
        <v>0</v>
      </c>
      <c r="AL824">
        <f>IF(COUNT($E$2:$E824)&lt;20,"",STDEVP($E$805:$E$824))</f>
        <v>0</v>
      </c>
      <c r="AM824">
        <f>IF(AK824="","",AK824+2*AL824)</f>
        <v>0</v>
      </c>
      <c r="AN824">
        <f>IF(AK824="","",AK824-2*AL824)</f>
        <v>0</v>
      </c>
      <c r="AO824">
        <f>IF(OR(AM824="",AN824="",AM824=AN824),"",($E824-AN824)/(AM824-AN824))</f>
        <v>0</v>
      </c>
      <c r="AP824">
        <f>IF(OR(AM824="",AK824="",AK824=0),"",(AM824-AN824)/AK824)</f>
        <v>0</v>
      </c>
      <c r="AQ824">
        <f>IF(COUNT($E$2:$E824)&lt;20,"",MAX($C$805:$C$824))</f>
        <v>0</v>
      </c>
      <c r="AR824">
        <f>IF(COUNT($E$2:$E824)&lt;20,"",MIN($D$805:$D$824))</f>
        <v>0</v>
      </c>
      <c r="AS824">
        <f>IF(OR(AQ824="",AR824=""),"",(AQ824+AR824)/2)</f>
        <v>0</v>
      </c>
      <c r="AT824">
        <f>IF(COUNT($G$805:$G$824)&lt;20,"",STDEV($G$805:$G$824)*SQRT(252))</f>
        <v>0</v>
      </c>
      <c r="AU824">
        <f>IF(COUNT($E$2:$E824)&lt;9,"",(MAX($C$816:$C$824)+MIN($D$816:$D$824))/2)</f>
        <v>0</v>
      </c>
      <c r="AV824">
        <f>IF(COUNT($E$2:$E824)&lt;26,"",(MAX($C$799:$C$824)+MIN($D$799:$D$824))/2)</f>
        <v>0</v>
      </c>
      <c r="AW824">
        <f>IF(OR(AU824="",AV824=""),"",(AU824+AV824)/2)</f>
        <v>0</v>
      </c>
      <c r="AX824">
        <f>IF(COUNT($E$2:$E824)&lt;52,"",(MAX($C$773:$C$824)+MIN($D$773:$D$824))/2)</f>
        <v>0</v>
      </c>
      <c r="AY824">
        <f>IF(COUNT($E$2:$E824)&lt;20,"",MAX($C$725:$C$824))</f>
        <v>0</v>
      </c>
      <c r="AZ824">
        <f>IF(COUNT($E$2:$E824)&lt;20,"",MIN($D$725:$D$824))</f>
        <v>0</v>
      </c>
      <c r="BA824">
        <f>IF(COUNT($E$2:$E824)&lt;20,"",SLOPE($E$725:$E$824,$F$725:$F$824))</f>
        <v>0</v>
      </c>
      <c r="BB824">
        <f>IF(COUNT($E$2:$E824)&lt;20,"",INTERCEPT($E$725:$E$824,$F$725:$F$824))</f>
        <v>0</v>
      </c>
      <c r="BC824">
        <f>IF(OR(BA824="",BB824=""),"",BB824+BA824*F824)</f>
        <v>0</v>
      </c>
      <c r="BD824">
        <f>IF(COUNT($E$2:$E824)&lt;20,"",STEYX($E$725:$E$824,$F$725:$F$824))</f>
        <v>0</v>
      </c>
      <c r="BE824">
        <f>IF($E824="","",IF(AND(COUNT($E$825:$E$828)&gt;=4,$C824=MAX($C$820:$C$828)),$C824,""))</f>
        <v>0</v>
      </c>
      <c r="BF824">
        <f>IF($E824="","",IF(AND(COUNT($E$825:$E$828)&gt;=4,$D824=MIN($D$820:$D$828)),$D824,""))</f>
        <v>0</v>
      </c>
      <c r="BG824">
        <f>IF($A824="","",$A824-WEEKDAY($A824,2)+1)</f>
        <v>0</v>
      </c>
      <c r="BH824">
        <f>IF($A824="","",IF($A823="",1,IF(BG824&lt;&gt;BG823,1,0)))</f>
        <v>0</v>
      </c>
      <c r="BI824">
        <f>IF($A824="","",IF($A825="",1,IF(BG825&lt;&gt;BG824,1,0)))</f>
        <v>0</v>
      </c>
      <c r="BJ824">
        <f>IF($A824="","",IF(BH824=1,$B824,BJ823))</f>
        <v>0</v>
      </c>
      <c r="BK824">
        <f>IF($A824="","",IF(BH824=1,$C824,MAX($C824,BK823)))</f>
        <v>0</v>
      </c>
      <c r="BL824">
        <f>IF($A824="","",IF(BH824=1,$D824,MIN($D824,BL823)))</f>
        <v>0</v>
      </c>
      <c r="BM824">
        <f>IF($A824="","",IF(BI824=1,F824,""))</f>
        <v>0</v>
      </c>
      <c r="BN824">
        <f>IF($A824="","",DATE(YEAR($A824),MONTH($A824),1))</f>
        <v>0</v>
      </c>
      <c r="BO824">
        <f>IF($A824="","",IF($A823="",1,IF(BN824&lt;&gt;BN823,1,0)))</f>
        <v>0</v>
      </c>
      <c r="BP824">
        <f>IF($A824="","",IF($A825="",1,IF(BN825&lt;&gt;BN824,1,0)))</f>
        <v>0</v>
      </c>
      <c r="BQ824">
        <f>IF($A824="","",IF(BO824=1,$B824,BQ823))</f>
        <v>0</v>
      </c>
      <c r="BR824">
        <f>IF($A824="","",IF(BO824=1,$C824,MAX($C824,BR823)))</f>
        <v>0</v>
      </c>
      <c r="BS824">
        <f>IF($A824="","",IF(BO824=1,$D824,MIN($D824,BS823)))</f>
        <v>0</v>
      </c>
      <c r="BT824">
        <f>IF($A824="","",IF(BP824=1,F824,""))</f>
        <v>0</v>
      </c>
    </row>
    <row r="825" spans="1:72">
      <c r="A825" s="27">
        <f>IF(Data!$A825="","",Data!$A825)</f>
        <v>0</v>
      </c>
      <c r="B825">
        <f>IF(Data!$B825="","",Data!$B825)</f>
        <v>0</v>
      </c>
      <c r="C825">
        <f>IF(Data!$C825="","",Data!$C825)</f>
        <v>0</v>
      </c>
      <c r="D825">
        <f>IF(Data!$D825="","",Data!$D825)</f>
        <v>0</v>
      </c>
      <c r="E825">
        <f>IF(Data!$E825="","",Data!$E825)</f>
        <v>0</v>
      </c>
      <c r="F825">
        <f>IF($E825="","",N(F824)+1)</f>
        <v>0</v>
      </c>
      <c r="G825">
        <f>IF(OR($E825="",$E824=""),"",LN($E825/$E824))</f>
        <v>0</v>
      </c>
      <c r="H825">
        <f>IF($E825="","",IF($E824="",$E825,$E825*0.0952380952+H824*0.9047619048))</f>
        <v>0</v>
      </c>
      <c r="I825">
        <f>IF($E825="","",IF($E824="",$E825,$E825*0.0392156863+I824*0.9607843137))</f>
        <v>0</v>
      </c>
      <c r="J825">
        <f>IF($E825="","",IF($E824="",$E825,$E825*0.0198019802+J824*0.9801980198))</f>
        <v>0</v>
      </c>
      <c r="K825">
        <f>IF($E825="","",IF($E824="",$E825,$E825*0.0099502488+K824*0.9900497512))</f>
        <v>0</v>
      </c>
      <c r="L825">
        <f>IF(OR($E825="",$E824=""),"",MAX($E825-$E824,0))</f>
        <v>0</v>
      </c>
      <c r="M825">
        <f>IF(OR($E825="",$E824=""),"",MAX($E824-$E825,0))</f>
        <v>0</v>
      </c>
      <c r="N825">
        <f>IF(COUNT($E$2:$E825)&lt;15,"",IF(AVERAGE($M$812:$M$825)=0,100,100-100/(1+AVERAGE($L$812:$L$825)/AVERAGE($M$812:$M$825))))</f>
        <v>0</v>
      </c>
      <c r="O825">
        <f>IF($E825="","",IF($E824="",$E825,$E825*0.1538461538+O824*0.8461538462))</f>
        <v>0</v>
      </c>
      <c r="P825">
        <f>IF($E825="","",IF($E824="",$E825,$E825*0.0740740741+P824*0.9259259259))</f>
        <v>0</v>
      </c>
      <c r="Q825">
        <f>IF(OR(O825="",P825=""),"",O825-P825)</f>
        <v>0</v>
      </c>
      <c r="R825">
        <f>IF(Q825="","",IF(R824="",Q825,Q825*0.2000000000+R824*0.8000000000))</f>
        <v>0</v>
      </c>
      <c r="S825">
        <f>IF(OR(Q825="",R825=""),"",Q825-R825)</f>
        <v>0</v>
      </c>
      <c r="T825">
        <f>IF(COUNT($E$2:$E825)&lt;14,"",MAX($C$812:$C$825))</f>
        <v>0</v>
      </c>
      <c r="U825">
        <f>IF(COUNT($E$2:$E825)&lt;14,"",MIN($D$812:$D$825))</f>
        <v>0</v>
      </c>
      <c r="V825">
        <f>IF(OR(T825="",U825="",T825=U825),"",100*($E825-U825)/(T825-U825))</f>
        <v>0</v>
      </c>
      <c r="W825">
        <f>IF(COUNT($V$823:$V$825)&lt;3,"",AVERAGE($V$823:$V$825))</f>
        <v>0</v>
      </c>
      <c r="X825">
        <f>IF(COUNT($N$812:$N$825)&lt;14,"",MIN($N$812:$N$825))</f>
        <v>0</v>
      </c>
      <c r="Y825">
        <f>IF(COUNT($N$812:$N$825)&lt;14,"",MAX($N$812:$N$825))</f>
        <v>0</v>
      </c>
      <c r="Z825">
        <f>IF(OR(N825="",X825="",Y825="",Y825=X825),"",100*(N825-X825)/(Y825-X825))</f>
        <v>0</v>
      </c>
      <c r="AA825">
        <f>IF(COUNT($Z$823:$Z$825)&lt;3,"",AVERAGE($Z$823:$Z$825))</f>
        <v>0</v>
      </c>
      <c r="AB825">
        <f>IF(COUNT($AA$823:$AA$825)&lt;3,"",AVERAGE($AA$823:$AA$825))</f>
        <v>0</v>
      </c>
      <c r="AC825">
        <f>IF($E825="","",MAX($C825-$D825,ABS($C825-$E824),ABS($D825-$E824)))</f>
        <v>0</v>
      </c>
      <c r="AD825">
        <f>IF(COUNT($E$2:$E825)&lt;15,"",AVERAGE($AC$812:$AC$825))</f>
        <v>0</v>
      </c>
      <c r="AE825">
        <f>IF(OR($E825="",$E824=""),"",IF(AND(($C825-$C824)&gt;($D824-$D825),($C825-$C824)&gt;0),$C825-$C824,0))</f>
        <v>0</v>
      </c>
      <c r="AF825">
        <f>IF(OR($E825="",$E824=""),"",IF(AND(($D824-$D825)&gt;($C825-$C824),($D824-$D825)&gt;0),$D824-$D825,0))</f>
        <v>0</v>
      </c>
      <c r="AG825">
        <f>IF(COUNT($E$2:$E825)&lt;15,"",IF(SUM($AC$812:$AC$825)=0,0,100*SUM($AE$812:$AE$825)/SUM($AC$812:$AC$825)))</f>
        <v>0</v>
      </c>
      <c r="AH825">
        <f>IF(COUNT($E$2:$E825)&lt;15,"",IF(SUM($AC$812:$AC$825)=0,0,100*SUM($AF$812:$AF$825)/SUM($AC$812:$AC$825)))</f>
        <v>0</v>
      </c>
      <c r="AI825">
        <f>IF(OR(AG825="",AH825=""),"",IF((AG825+AH825)=0,0,100*ABS(AG825-AH825)/(AG825+AH825)))</f>
        <v>0</v>
      </c>
      <c r="AJ825">
        <f>IF(COUNT($AI$812:$AI$825)&lt;14,"",AVERAGE($AI$812:$AI$825))</f>
        <v>0</v>
      </c>
      <c r="AK825">
        <f>IF(COUNT($E$2:$E825)&lt;20,"",AVERAGE($E$806:$E$825))</f>
        <v>0</v>
      </c>
      <c r="AL825">
        <f>IF(COUNT($E$2:$E825)&lt;20,"",STDEVP($E$806:$E$825))</f>
        <v>0</v>
      </c>
      <c r="AM825">
        <f>IF(AK825="","",AK825+2*AL825)</f>
        <v>0</v>
      </c>
      <c r="AN825">
        <f>IF(AK825="","",AK825-2*AL825)</f>
        <v>0</v>
      </c>
      <c r="AO825">
        <f>IF(OR(AM825="",AN825="",AM825=AN825),"",($E825-AN825)/(AM825-AN825))</f>
        <v>0</v>
      </c>
      <c r="AP825">
        <f>IF(OR(AM825="",AK825="",AK825=0),"",(AM825-AN825)/AK825)</f>
        <v>0</v>
      </c>
      <c r="AQ825">
        <f>IF(COUNT($E$2:$E825)&lt;20,"",MAX($C$806:$C$825))</f>
        <v>0</v>
      </c>
      <c r="AR825">
        <f>IF(COUNT($E$2:$E825)&lt;20,"",MIN($D$806:$D$825))</f>
        <v>0</v>
      </c>
      <c r="AS825">
        <f>IF(OR(AQ825="",AR825=""),"",(AQ825+AR825)/2)</f>
        <v>0</v>
      </c>
      <c r="AT825">
        <f>IF(COUNT($G$806:$G$825)&lt;20,"",STDEV($G$806:$G$825)*SQRT(252))</f>
        <v>0</v>
      </c>
      <c r="AU825">
        <f>IF(COUNT($E$2:$E825)&lt;9,"",(MAX($C$817:$C$825)+MIN($D$817:$D$825))/2)</f>
        <v>0</v>
      </c>
      <c r="AV825">
        <f>IF(COUNT($E$2:$E825)&lt;26,"",(MAX($C$800:$C$825)+MIN($D$800:$D$825))/2)</f>
        <v>0</v>
      </c>
      <c r="AW825">
        <f>IF(OR(AU825="",AV825=""),"",(AU825+AV825)/2)</f>
        <v>0</v>
      </c>
      <c r="AX825">
        <f>IF(COUNT($E$2:$E825)&lt;52,"",(MAX($C$774:$C$825)+MIN($D$774:$D$825))/2)</f>
        <v>0</v>
      </c>
      <c r="AY825">
        <f>IF(COUNT($E$2:$E825)&lt;20,"",MAX($C$726:$C$825))</f>
        <v>0</v>
      </c>
      <c r="AZ825">
        <f>IF(COUNT($E$2:$E825)&lt;20,"",MIN($D$726:$D$825))</f>
        <v>0</v>
      </c>
      <c r="BA825">
        <f>IF(COUNT($E$2:$E825)&lt;20,"",SLOPE($E$726:$E$825,$F$726:$F$825))</f>
        <v>0</v>
      </c>
      <c r="BB825">
        <f>IF(COUNT($E$2:$E825)&lt;20,"",INTERCEPT($E$726:$E$825,$F$726:$F$825))</f>
        <v>0</v>
      </c>
      <c r="BC825">
        <f>IF(OR(BA825="",BB825=""),"",BB825+BA825*F825)</f>
        <v>0</v>
      </c>
      <c r="BD825">
        <f>IF(COUNT($E$2:$E825)&lt;20,"",STEYX($E$726:$E$825,$F$726:$F$825))</f>
        <v>0</v>
      </c>
      <c r="BE825">
        <f>IF($E825="","",IF(AND(COUNT($E$826:$E$829)&gt;=4,$C825=MAX($C$821:$C$829)),$C825,""))</f>
        <v>0</v>
      </c>
      <c r="BF825">
        <f>IF($E825="","",IF(AND(COUNT($E$826:$E$829)&gt;=4,$D825=MIN($D$821:$D$829)),$D825,""))</f>
        <v>0</v>
      </c>
      <c r="BG825">
        <f>IF($A825="","",$A825-WEEKDAY($A825,2)+1)</f>
        <v>0</v>
      </c>
      <c r="BH825">
        <f>IF($A825="","",IF($A824="",1,IF(BG825&lt;&gt;BG824,1,0)))</f>
        <v>0</v>
      </c>
      <c r="BI825">
        <f>IF($A825="","",IF($A826="",1,IF(BG826&lt;&gt;BG825,1,0)))</f>
        <v>0</v>
      </c>
      <c r="BJ825">
        <f>IF($A825="","",IF(BH825=1,$B825,BJ824))</f>
        <v>0</v>
      </c>
      <c r="BK825">
        <f>IF($A825="","",IF(BH825=1,$C825,MAX($C825,BK824)))</f>
        <v>0</v>
      </c>
      <c r="BL825">
        <f>IF($A825="","",IF(BH825=1,$D825,MIN($D825,BL824)))</f>
        <v>0</v>
      </c>
      <c r="BM825">
        <f>IF($A825="","",IF(BI825=1,F825,""))</f>
        <v>0</v>
      </c>
      <c r="BN825">
        <f>IF($A825="","",DATE(YEAR($A825),MONTH($A825),1))</f>
        <v>0</v>
      </c>
      <c r="BO825">
        <f>IF($A825="","",IF($A824="",1,IF(BN825&lt;&gt;BN824,1,0)))</f>
        <v>0</v>
      </c>
      <c r="BP825">
        <f>IF($A825="","",IF($A826="",1,IF(BN826&lt;&gt;BN825,1,0)))</f>
        <v>0</v>
      </c>
      <c r="BQ825">
        <f>IF($A825="","",IF(BO825=1,$B825,BQ824))</f>
        <v>0</v>
      </c>
      <c r="BR825">
        <f>IF($A825="","",IF(BO825=1,$C825,MAX($C825,BR824)))</f>
        <v>0</v>
      </c>
      <c r="BS825">
        <f>IF($A825="","",IF(BO825=1,$D825,MIN($D825,BS824)))</f>
        <v>0</v>
      </c>
      <c r="BT825">
        <f>IF($A825="","",IF(BP825=1,F825,""))</f>
        <v>0</v>
      </c>
    </row>
    <row r="826" spans="1:72">
      <c r="A826" s="27">
        <f>IF(Data!$A826="","",Data!$A826)</f>
        <v>0</v>
      </c>
      <c r="B826">
        <f>IF(Data!$B826="","",Data!$B826)</f>
        <v>0</v>
      </c>
      <c r="C826">
        <f>IF(Data!$C826="","",Data!$C826)</f>
        <v>0</v>
      </c>
      <c r="D826">
        <f>IF(Data!$D826="","",Data!$D826)</f>
        <v>0</v>
      </c>
      <c r="E826">
        <f>IF(Data!$E826="","",Data!$E826)</f>
        <v>0</v>
      </c>
      <c r="F826">
        <f>IF($E826="","",N(F825)+1)</f>
        <v>0</v>
      </c>
      <c r="G826">
        <f>IF(OR($E826="",$E825=""),"",LN($E826/$E825))</f>
        <v>0</v>
      </c>
      <c r="H826">
        <f>IF($E826="","",IF($E825="",$E826,$E826*0.0952380952+H825*0.9047619048))</f>
        <v>0</v>
      </c>
      <c r="I826">
        <f>IF($E826="","",IF($E825="",$E826,$E826*0.0392156863+I825*0.9607843137))</f>
        <v>0</v>
      </c>
      <c r="J826">
        <f>IF($E826="","",IF($E825="",$E826,$E826*0.0198019802+J825*0.9801980198))</f>
        <v>0</v>
      </c>
      <c r="K826">
        <f>IF($E826="","",IF($E825="",$E826,$E826*0.0099502488+K825*0.9900497512))</f>
        <v>0</v>
      </c>
      <c r="L826">
        <f>IF(OR($E826="",$E825=""),"",MAX($E826-$E825,0))</f>
        <v>0</v>
      </c>
      <c r="M826">
        <f>IF(OR($E826="",$E825=""),"",MAX($E825-$E826,0))</f>
        <v>0</v>
      </c>
      <c r="N826">
        <f>IF(COUNT($E$2:$E826)&lt;15,"",IF(AVERAGE($M$813:$M$826)=0,100,100-100/(1+AVERAGE($L$813:$L$826)/AVERAGE($M$813:$M$826))))</f>
        <v>0</v>
      </c>
      <c r="O826">
        <f>IF($E826="","",IF($E825="",$E826,$E826*0.1538461538+O825*0.8461538462))</f>
        <v>0</v>
      </c>
      <c r="P826">
        <f>IF($E826="","",IF($E825="",$E826,$E826*0.0740740741+P825*0.9259259259))</f>
        <v>0</v>
      </c>
      <c r="Q826">
        <f>IF(OR(O826="",P826=""),"",O826-P826)</f>
        <v>0</v>
      </c>
      <c r="R826">
        <f>IF(Q826="","",IF(R825="",Q826,Q826*0.2000000000+R825*0.8000000000))</f>
        <v>0</v>
      </c>
      <c r="S826">
        <f>IF(OR(Q826="",R826=""),"",Q826-R826)</f>
        <v>0</v>
      </c>
      <c r="T826">
        <f>IF(COUNT($E$2:$E826)&lt;14,"",MAX($C$813:$C$826))</f>
        <v>0</v>
      </c>
      <c r="U826">
        <f>IF(COUNT($E$2:$E826)&lt;14,"",MIN($D$813:$D$826))</f>
        <v>0</v>
      </c>
      <c r="V826">
        <f>IF(OR(T826="",U826="",T826=U826),"",100*($E826-U826)/(T826-U826))</f>
        <v>0</v>
      </c>
      <c r="W826">
        <f>IF(COUNT($V$824:$V$826)&lt;3,"",AVERAGE($V$824:$V$826))</f>
        <v>0</v>
      </c>
      <c r="X826">
        <f>IF(COUNT($N$813:$N$826)&lt;14,"",MIN($N$813:$N$826))</f>
        <v>0</v>
      </c>
      <c r="Y826">
        <f>IF(COUNT($N$813:$N$826)&lt;14,"",MAX($N$813:$N$826))</f>
        <v>0</v>
      </c>
      <c r="Z826">
        <f>IF(OR(N826="",X826="",Y826="",Y826=X826),"",100*(N826-X826)/(Y826-X826))</f>
        <v>0</v>
      </c>
      <c r="AA826">
        <f>IF(COUNT($Z$824:$Z$826)&lt;3,"",AVERAGE($Z$824:$Z$826))</f>
        <v>0</v>
      </c>
      <c r="AB826">
        <f>IF(COUNT($AA$824:$AA$826)&lt;3,"",AVERAGE($AA$824:$AA$826))</f>
        <v>0</v>
      </c>
      <c r="AC826">
        <f>IF($E826="","",MAX($C826-$D826,ABS($C826-$E825),ABS($D826-$E825)))</f>
        <v>0</v>
      </c>
      <c r="AD826">
        <f>IF(COUNT($E$2:$E826)&lt;15,"",AVERAGE($AC$813:$AC$826))</f>
        <v>0</v>
      </c>
      <c r="AE826">
        <f>IF(OR($E826="",$E825=""),"",IF(AND(($C826-$C825)&gt;($D825-$D826),($C826-$C825)&gt;0),$C826-$C825,0))</f>
        <v>0</v>
      </c>
      <c r="AF826">
        <f>IF(OR($E826="",$E825=""),"",IF(AND(($D825-$D826)&gt;($C826-$C825),($D825-$D826)&gt;0),$D825-$D826,0))</f>
        <v>0</v>
      </c>
      <c r="AG826">
        <f>IF(COUNT($E$2:$E826)&lt;15,"",IF(SUM($AC$813:$AC$826)=0,0,100*SUM($AE$813:$AE$826)/SUM($AC$813:$AC$826)))</f>
        <v>0</v>
      </c>
      <c r="AH826">
        <f>IF(COUNT($E$2:$E826)&lt;15,"",IF(SUM($AC$813:$AC$826)=0,0,100*SUM($AF$813:$AF$826)/SUM($AC$813:$AC$826)))</f>
        <v>0</v>
      </c>
      <c r="AI826">
        <f>IF(OR(AG826="",AH826=""),"",IF((AG826+AH826)=0,0,100*ABS(AG826-AH826)/(AG826+AH826)))</f>
        <v>0</v>
      </c>
      <c r="AJ826">
        <f>IF(COUNT($AI$813:$AI$826)&lt;14,"",AVERAGE($AI$813:$AI$826))</f>
        <v>0</v>
      </c>
      <c r="AK826">
        <f>IF(COUNT($E$2:$E826)&lt;20,"",AVERAGE($E$807:$E$826))</f>
        <v>0</v>
      </c>
      <c r="AL826">
        <f>IF(COUNT($E$2:$E826)&lt;20,"",STDEVP($E$807:$E$826))</f>
        <v>0</v>
      </c>
      <c r="AM826">
        <f>IF(AK826="","",AK826+2*AL826)</f>
        <v>0</v>
      </c>
      <c r="AN826">
        <f>IF(AK826="","",AK826-2*AL826)</f>
        <v>0</v>
      </c>
      <c r="AO826">
        <f>IF(OR(AM826="",AN826="",AM826=AN826),"",($E826-AN826)/(AM826-AN826))</f>
        <v>0</v>
      </c>
      <c r="AP826">
        <f>IF(OR(AM826="",AK826="",AK826=0),"",(AM826-AN826)/AK826)</f>
        <v>0</v>
      </c>
      <c r="AQ826">
        <f>IF(COUNT($E$2:$E826)&lt;20,"",MAX($C$807:$C$826))</f>
        <v>0</v>
      </c>
      <c r="AR826">
        <f>IF(COUNT($E$2:$E826)&lt;20,"",MIN($D$807:$D$826))</f>
        <v>0</v>
      </c>
      <c r="AS826">
        <f>IF(OR(AQ826="",AR826=""),"",(AQ826+AR826)/2)</f>
        <v>0</v>
      </c>
      <c r="AT826">
        <f>IF(COUNT($G$807:$G$826)&lt;20,"",STDEV($G$807:$G$826)*SQRT(252))</f>
        <v>0</v>
      </c>
      <c r="AU826">
        <f>IF(COUNT($E$2:$E826)&lt;9,"",(MAX($C$818:$C$826)+MIN($D$818:$D$826))/2)</f>
        <v>0</v>
      </c>
      <c r="AV826">
        <f>IF(COUNT($E$2:$E826)&lt;26,"",(MAX($C$801:$C$826)+MIN($D$801:$D$826))/2)</f>
        <v>0</v>
      </c>
      <c r="AW826">
        <f>IF(OR(AU826="",AV826=""),"",(AU826+AV826)/2)</f>
        <v>0</v>
      </c>
      <c r="AX826">
        <f>IF(COUNT($E$2:$E826)&lt;52,"",(MAX($C$775:$C$826)+MIN($D$775:$D$826))/2)</f>
        <v>0</v>
      </c>
      <c r="AY826">
        <f>IF(COUNT($E$2:$E826)&lt;20,"",MAX($C$727:$C$826))</f>
        <v>0</v>
      </c>
      <c r="AZ826">
        <f>IF(COUNT($E$2:$E826)&lt;20,"",MIN($D$727:$D$826))</f>
        <v>0</v>
      </c>
      <c r="BA826">
        <f>IF(COUNT($E$2:$E826)&lt;20,"",SLOPE($E$727:$E$826,$F$727:$F$826))</f>
        <v>0</v>
      </c>
      <c r="BB826">
        <f>IF(COUNT($E$2:$E826)&lt;20,"",INTERCEPT($E$727:$E$826,$F$727:$F$826))</f>
        <v>0</v>
      </c>
      <c r="BC826">
        <f>IF(OR(BA826="",BB826=""),"",BB826+BA826*F826)</f>
        <v>0</v>
      </c>
      <c r="BD826">
        <f>IF(COUNT($E$2:$E826)&lt;20,"",STEYX($E$727:$E$826,$F$727:$F$826))</f>
        <v>0</v>
      </c>
      <c r="BE826">
        <f>IF($E826="","",IF(AND(COUNT($E$827:$E$830)&gt;=4,$C826=MAX($C$822:$C$830)),$C826,""))</f>
        <v>0</v>
      </c>
      <c r="BF826">
        <f>IF($E826="","",IF(AND(COUNT($E$827:$E$830)&gt;=4,$D826=MIN($D$822:$D$830)),$D826,""))</f>
        <v>0</v>
      </c>
      <c r="BG826">
        <f>IF($A826="","",$A826-WEEKDAY($A826,2)+1)</f>
        <v>0</v>
      </c>
      <c r="BH826">
        <f>IF($A826="","",IF($A825="",1,IF(BG826&lt;&gt;BG825,1,0)))</f>
        <v>0</v>
      </c>
      <c r="BI826">
        <f>IF($A826="","",IF($A827="",1,IF(BG827&lt;&gt;BG826,1,0)))</f>
        <v>0</v>
      </c>
      <c r="BJ826">
        <f>IF($A826="","",IF(BH826=1,$B826,BJ825))</f>
        <v>0</v>
      </c>
      <c r="BK826">
        <f>IF($A826="","",IF(BH826=1,$C826,MAX($C826,BK825)))</f>
        <v>0</v>
      </c>
      <c r="BL826">
        <f>IF($A826="","",IF(BH826=1,$D826,MIN($D826,BL825)))</f>
        <v>0</v>
      </c>
      <c r="BM826">
        <f>IF($A826="","",IF(BI826=1,F826,""))</f>
        <v>0</v>
      </c>
      <c r="BN826">
        <f>IF($A826="","",DATE(YEAR($A826),MONTH($A826),1))</f>
        <v>0</v>
      </c>
      <c r="BO826">
        <f>IF($A826="","",IF($A825="",1,IF(BN826&lt;&gt;BN825,1,0)))</f>
        <v>0</v>
      </c>
      <c r="BP826">
        <f>IF($A826="","",IF($A827="",1,IF(BN827&lt;&gt;BN826,1,0)))</f>
        <v>0</v>
      </c>
      <c r="BQ826">
        <f>IF($A826="","",IF(BO826=1,$B826,BQ825))</f>
        <v>0</v>
      </c>
      <c r="BR826">
        <f>IF($A826="","",IF(BO826=1,$C826,MAX($C826,BR825)))</f>
        <v>0</v>
      </c>
      <c r="BS826">
        <f>IF($A826="","",IF(BO826=1,$D826,MIN($D826,BS825)))</f>
        <v>0</v>
      </c>
      <c r="BT826">
        <f>IF($A826="","",IF(BP826=1,F826,""))</f>
        <v>0</v>
      </c>
    </row>
    <row r="827" spans="1:72">
      <c r="A827" s="27">
        <f>IF(Data!$A827="","",Data!$A827)</f>
        <v>0</v>
      </c>
      <c r="B827">
        <f>IF(Data!$B827="","",Data!$B827)</f>
        <v>0</v>
      </c>
      <c r="C827">
        <f>IF(Data!$C827="","",Data!$C827)</f>
        <v>0</v>
      </c>
      <c r="D827">
        <f>IF(Data!$D827="","",Data!$D827)</f>
        <v>0</v>
      </c>
      <c r="E827">
        <f>IF(Data!$E827="","",Data!$E827)</f>
        <v>0</v>
      </c>
      <c r="F827">
        <f>IF($E827="","",N(F826)+1)</f>
        <v>0</v>
      </c>
      <c r="G827">
        <f>IF(OR($E827="",$E826=""),"",LN($E827/$E826))</f>
        <v>0</v>
      </c>
      <c r="H827">
        <f>IF($E827="","",IF($E826="",$E827,$E827*0.0952380952+H826*0.9047619048))</f>
        <v>0</v>
      </c>
      <c r="I827">
        <f>IF($E827="","",IF($E826="",$E827,$E827*0.0392156863+I826*0.9607843137))</f>
        <v>0</v>
      </c>
      <c r="J827">
        <f>IF($E827="","",IF($E826="",$E827,$E827*0.0198019802+J826*0.9801980198))</f>
        <v>0</v>
      </c>
      <c r="K827">
        <f>IF($E827="","",IF($E826="",$E827,$E827*0.0099502488+K826*0.9900497512))</f>
        <v>0</v>
      </c>
      <c r="L827">
        <f>IF(OR($E827="",$E826=""),"",MAX($E827-$E826,0))</f>
        <v>0</v>
      </c>
      <c r="M827">
        <f>IF(OR($E827="",$E826=""),"",MAX($E826-$E827,0))</f>
        <v>0</v>
      </c>
      <c r="N827">
        <f>IF(COUNT($E$2:$E827)&lt;15,"",IF(AVERAGE($M$814:$M$827)=0,100,100-100/(1+AVERAGE($L$814:$L$827)/AVERAGE($M$814:$M$827))))</f>
        <v>0</v>
      </c>
      <c r="O827">
        <f>IF($E827="","",IF($E826="",$E827,$E827*0.1538461538+O826*0.8461538462))</f>
        <v>0</v>
      </c>
      <c r="P827">
        <f>IF($E827="","",IF($E826="",$E827,$E827*0.0740740741+P826*0.9259259259))</f>
        <v>0</v>
      </c>
      <c r="Q827">
        <f>IF(OR(O827="",P827=""),"",O827-P827)</f>
        <v>0</v>
      </c>
      <c r="R827">
        <f>IF(Q827="","",IF(R826="",Q827,Q827*0.2000000000+R826*0.8000000000))</f>
        <v>0</v>
      </c>
      <c r="S827">
        <f>IF(OR(Q827="",R827=""),"",Q827-R827)</f>
        <v>0</v>
      </c>
      <c r="T827">
        <f>IF(COUNT($E$2:$E827)&lt;14,"",MAX($C$814:$C$827))</f>
        <v>0</v>
      </c>
      <c r="U827">
        <f>IF(COUNT($E$2:$E827)&lt;14,"",MIN($D$814:$D$827))</f>
        <v>0</v>
      </c>
      <c r="V827">
        <f>IF(OR(T827="",U827="",T827=U827),"",100*($E827-U827)/(T827-U827))</f>
        <v>0</v>
      </c>
      <c r="W827">
        <f>IF(COUNT($V$825:$V$827)&lt;3,"",AVERAGE($V$825:$V$827))</f>
        <v>0</v>
      </c>
      <c r="X827">
        <f>IF(COUNT($N$814:$N$827)&lt;14,"",MIN($N$814:$N$827))</f>
        <v>0</v>
      </c>
      <c r="Y827">
        <f>IF(COUNT($N$814:$N$827)&lt;14,"",MAX($N$814:$N$827))</f>
        <v>0</v>
      </c>
      <c r="Z827">
        <f>IF(OR(N827="",X827="",Y827="",Y827=X827),"",100*(N827-X827)/(Y827-X827))</f>
        <v>0</v>
      </c>
      <c r="AA827">
        <f>IF(COUNT($Z$825:$Z$827)&lt;3,"",AVERAGE($Z$825:$Z$827))</f>
        <v>0</v>
      </c>
      <c r="AB827">
        <f>IF(COUNT($AA$825:$AA$827)&lt;3,"",AVERAGE($AA$825:$AA$827))</f>
        <v>0</v>
      </c>
      <c r="AC827">
        <f>IF($E827="","",MAX($C827-$D827,ABS($C827-$E826),ABS($D827-$E826)))</f>
        <v>0</v>
      </c>
      <c r="AD827">
        <f>IF(COUNT($E$2:$E827)&lt;15,"",AVERAGE($AC$814:$AC$827))</f>
        <v>0</v>
      </c>
      <c r="AE827">
        <f>IF(OR($E827="",$E826=""),"",IF(AND(($C827-$C826)&gt;($D826-$D827),($C827-$C826)&gt;0),$C827-$C826,0))</f>
        <v>0</v>
      </c>
      <c r="AF827">
        <f>IF(OR($E827="",$E826=""),"",IF(AND(($D826-$D827)&gt;($C827-$C826),($D826-$D827)&gt;0),$D826-$D827,0))</f>
        <v>0</v>
      </c>
      <c r="AG827">
        <f>IF(COUNT($E$2:$E827)&lt;15,"",IF(SUM($AC$814:$AC$827)=0,0,100*SUM($AE$814:$AE$827)/SUM($AC$814:$AC$827)))</f>
        <v>0</v>
      </c>
      <c r="AH827">
        <f>IF(COUNT($E$2:$E827)&lt;15,"",IF(SUM($AC$814:$AC$827)=0,0,100*SUM($AF$814:$AF$827)/SUM($AC$814:$AC$827)))</f>
        <v>0</v>
      </c>
      <c r="AI827">
        <f>IF(OR(AG827="",AH827=""),"",IF((AG827+AH827)=0,0,100*ABS(AG827-AH827)/(AG827+AH827)))</f>
        <v>0</v>
      </c>
      <c r="AJ827">
        <f>IF(COUNT($AI$814:$AI$827)&lt;14,"",AVERAGE($AI$814:$AI$827))</f>
        <v>0</v>
      </c>
      <c r="AK827">
        <f>IF(COUNT($E$2:$E827)&lt;20,"",AVERAGE($E$808:$E$827))</f>
        <v>0</v>
      </c>
      <c r="AL827">
        <f>IF(COUNT($E$2:$E827)&lt;20,"",STDEVP($E$808:$E$827))</f>
        <v>0</v>
      </c>
      <c r="AM827">
        <f>IF(AK827="","",AK827+2*AL827)</f>
        <v>0</v>
      </c>
      <c r="AN827">
        <f>IF(AK827="","",AK827-2*AL827)</f>
        <v>0</v>
      </c>
      <c r="AO827">
        <f>IF(OR(AM827="",AN827="",AM827=AN827),"",($E827-AN827)/(AM827-AN827))</f>
        <v>0</v>
      </c>
      <c r="AP827">
        <f>IF(OR(AM827="",AK827="",AK827=0),"",(AM827-AN827)/AK827)</f>
        <v>0</v>
      </c>
      <c r="AQ827">
        <f>IF(COUNT($E$2:$E827)&lt;20,"",MAX($C$808:$C$827))</f>
        <v>0</v>
      </c>
      <c r="AR827">
        <f>IF(COUNT($E$2:$E827)&lt;20,"",MIN($D$808:$D$827))</f>
        <v>0</v>
      </c>
      <c r="AS827">
        <f>IF(OR(AQ827="",AR827=""),"",(AQ827+AR827)/2)</f>
        <v>0</v>
      </c>
      <c r="AT827">
        <f>IF(COUNT($G$808:$G$827)&lt;20,"",STDEV($G$808:$G$827)*SQRT(252))</f>
        <v>0</v>
      </c>
      <c r="AU827">
        <f>IF(COUNT($E$2:$E827)&lt;9,"",(MAX($C$819:$C$827)+MIN($D$819:$D$827))/2)</f>
        <v>0</v>
      </c>
      <c r="AV827">
        <f>IF(COUNT($E$2:$E827)&lt;26,"",(MAX($C$802:$C$827)+MIN($D$802:$D$827))/2)</f>
        <v>0</v>
      </c>
      <c r="AW827">
        <f>IF(OR(AU827="",AV827=""),"",(AU827+AV827)/2)</f>
        <v>0</v>
      </c>
      <c r="AX827">
        <f>IF(COUNT($E$2:$E827)&lt;52,"",(MAX($C$776:$C$827)+MIN($D$776:$D$827))/2)</f>
        <v>0</v>
      </c>
      <c r="AY827">
        <f>IF(COUNT($E$2:$E827)&lt;20,"",MAX($C$728:$C$827))</f>
        <v>0</v>
      </c>
      <c r="AZ827">
        <f>IF(COUNT($E$2:$E827)&lt;20,"",MIN($D$728:$D$827))</f>
        <v>0</v>
      </c>
      <c r="BA827">
        <f>IF(COUNT($E$2:$E827)&lt;20,"",SLOPE($E$728:$E$827,$F$728:$F$827))</f>
        <v>0</v>
      </c>
      <c r="BB827">
        <f>IF(COUNT($E$2:$E827)&lt;20,"",INTERCEPT($E$728:$E$827,$F$728:$F$827))</f>
        <v>0</v>
      </c>
      <c r="BC827">
        <f>IF(OR(BA827="",BB827=""),"",BB827+BA827*F827)</f>
        <v>0</v>
      </c>
      <c r="BD827">
        <f>IF(COUNT($E$2:$E827)&lt;20,"",STEYX($E$728:$E$827,$F$728:$F$827))</f>
        <v>0</v>
      </c>
      <c r="BE827">
        <f>IF($E827="","",IF(AND(COUNT($E$828:$E$831)&gt;=4,$C827=MAX($C$823:$C$831)),$C827,""))</f>
        <v>0</v>
      </c>
      <c r="BF827">
        <f>IF($E827="","",IF(AND(COUNT($E$828:$E$831)&gt;=4,$D827=MIN($D$823:$D$831)),$D827,""))</f>
        <v>0</v>
      </c>
      <c r="BG827">
        <f>IF($A827="","",$A827-WEEKDAY($A827,2)+1)</f>
        <v>0</v>
      </c>
      <c r="BH827">
        <f>IF($A827="","",IF($A826="",1,IF(BG827&lt;&gt;BG826,1,0)))</f>
        <v>0</v>
      </c>
      <c r="BI827">
        <f>IF($A827="","",IF($A828="",1,IF(BG828&lt;&gt;BG827,1,0)))</f>
        <v>0</v>
      </c>
      <c r="BJ827">
        <f>IF($A827="","",IF(BH827=1,$B827,BJ826))</f>
        <v>0</v>
      </c>
      <c r="BK827">
        <f>IF($A827="","",IF(BH827=1,$C827,MAX($C827,BK826)))</f>
        <v>0</v>
      </c>
      <c r="BL827">
        <f>IF($A827="","",IF(BH827=1,$D827,MIN($D827,BL826)))</f>
        <v>0</v>
      </c>
      <c r="BM827">
        <f>IF($A827="","",IF(BI827=1,F827,""))</f>
        <v>0</v>
      </c>
      <c r="BN827">
        <f>IF($A827="","",DATE(YEAR($A827),MONTH($A827),1))</f>
        <v>0</v>
      </c>
      <c r="BO827">
        <f>IF($A827="","",IF($A826="",1,IF(BN827&lt;&gt;BN826,1,0)))</f>
        <v>0</v>
      </c>
      <c r="BP827">
        <f>IF($A827="","",IF($A828="",1,IF(BN828&lt;&gt;BN827,1,0)))</f>
        <v>0</v>
      </c>
      <c r="BQ827">
        <f>IF($A827="","",IF(BO827=1,$B827,BQ826))</f>
        <v>0</v>
      </c>
      <c r="BR827">
        <f>IF($A827="","",IF(BO827=1,$C827,MAX($C827,BR826)))</f>
        <v>0</v>
      </c>
      <c r="BS827">
        <f>IF($A827="","",IF(BO827=1,$D827,MIN($D827,BS826)))</f>
        <v>0</v>
      </c>
      <c r="BT827">
        <f>IF($A827="","",IF(BP827=1,F827,""))</f>
        <v>0</v>
      </c>
    </row>
    <row r="828" spans="1:72">
      <c r="A828" s="27">
        <f>IF(Data!$A828="","",Data!$A828)</f>
        <v>0</v>
      </c>
      <c r="B828">
        <f>IF(Data!$B828="","",Data!$B828)</f>
        <v>0</v>
      </c>
      <c r="C828">
        <f>IF(Data!$C828="","",Data!$C828)</f>
        <v>0</v>
      </c>
      <c r="D828">
        <f>IF(Data!$D828="","",Data!$D828)</f>
        <v>0</v>
      </c>
      <c r="E828">
        <f>IF(Data!$E828="","",Data!$E828)</f>
        <v>0</v>
      </c>
      <c r="F828">
        <f>IF($E828="","",N(F827)+1)</f>
        <v>0</v>
      </c>
      <c r="G828">
        <f>IF(OR($E828="",$E827=""),"",LN($E828/$E827))</f>
        <v>0</v>
      </c>
      <c r="H828">
        <f>IF($E828="","",IF($E827="",$E828,$E828*0.0952380952+H827*0.9047619048))</f>
        <v>0</v>
      </c>
      <c r="I828">
        <f>IF($E828="","",IF($E827="",$E828,$E828*0.0392156863+I827*0.9607843137))</f>
        <v>0</v>
      </c>
      <c r="J828">
        <f>IF($E828="","",IF($E827="",$E828,$E828*0.0198019802+J827*0.9801980198))</f>
        <v>0</v>
      </c>
      <c r="K828">
        <f>IF($E828="","",IF($E827="",$E828,$E828*0.0099502488+K827*0.9900497512))</f>
        <v>0</v>
      </c>
      <c r="L828">
        <f>IF(OR($E828="",$E827=""),"",MAX($E828-$E827,0))</f>
        <v>0</v>
      </c>
      <c r="M828">
        <f>IF(OR($E828="",$E827=""),"",MAX($E827-$E828,0))</f>
        <v>0</v>
      </c>
      <c r="N828">
        <f>IF(COUNT($E$2:$E828)&lt;15,"",IF(AVERAGE($M$815:$M$828)=0,100,100-100/(1+AVERAGE($L$815:$L$828)/AVERAGE($M$815:$M$828))))</f>
        <v>0</v>
      </c>
      <c r="O828">
        <f>IF($E828="","",IF($E827="",$E828,$E828*0.1538461538+O827*0.8461538462))</f>
        <v>0</v>
      </c>
      <c r="P828">
        <f>IF($E828="","",IF($E827="",$E828,$E828*0.0740740741+P827*0.9259259259))</f>
        <v>0</v>
      </c>
      <c r="Q828">
        <f>IF(OR(O828="",P828=""),"",O828-P828)</f>
        <v>0</v>
      </c>
      <c r="R828">
        <f>IF(Q828="","",IF(R827="",Q828,Q828*0.2000000000+R827*0.8000000000))</f>
        <v>0</v>
      </c>
      <c r="S828">
        <f>IF(OR(Q828="",R828=""),"",Q828-R828)</f>
        <v>0</v>
      </c>
      <c r="T828">
        <f>IF(COUNT($E$2:$E828)&lt;14,"",MAX($C$815:$C$828))</f>
        <v>0</v>
      </c>
      <c r="U828">
        <f>IF(COUNT($E$2:$E828)&lt;14,"",MIN($D$815:$D$828))</f>
        <v>0</v>
      </c>
      <c r="V828">
        <f>IF(OR(T828="",U828="",T828=U828),"",100*($E828-U828)/(T828-U828))</f>
        <v>0</v>
      </c>
      <c r="W828">
        <f>IF(COUNT($V$826:$V$828)&lt;3,"",AVERAGE($V$826:$V$828))</f>
        <v>0</v>
      </c>
      <c r="X828">
        <f>IF(COUNT($N$815:$N$828)&lt;14,"",MIN($N$815:$N$828))</f>
        <v>0</v>
      </c>
      <c r="Y828">
        <f>IF(COUNT($N$815:$N$828)&lt;14,"",MAX($N$815:$N$828))</f>
        <v>0</v>
      </c>
      <c r="Z828">
        <f>IF(OR(N828="",X828="",Y828="",Y828=X828),"",100*(N828-X828)/(Y828-X828))</f>
        <v>0</v>
      </c>
      <c r="AA828">
        <f>IF(COUNT($Z$826:$Z$828)&lt;3,"",AVERAGE($Z$826:$Z$828))</f>
        <v>0</v>
      </c>
      <c r="AB828">
        <f>IF(COUNT($AA$826:$AA$828)&lt;3,"",AVERAGE($AA$826:$AA$828))</f>
        <v>0</v>
      </c>
      <c r="AC828">
        <f>IF($E828="","",MAX($C828-$D828,ABS($C828-$E827),ABS($D828-$E827)))</f>
        <v>0</v>
      </c>
      <c r="AD828">
        <f>IF(COUNT($E$2:$E828)&lt;15,"",AVERAGE($AC$815:$AC$828))</f>
        <v>0</v>
      </c>
      <c r="AE828">
        <f>IF(OR($E828="",$E827=""),"",IF(AND(($C828-$C827)&gt;($D827-$D828),($C828-$C827)&gt;0),$C828-$C827,0))</f>
        <v>0</v>
      </c>
      <c r="AF828">
        <f>IF(OR($E828="",$E827=""),"",IF(AND(($D827-$D828)&gt;($C828-$C827),($D827-$D828)&gt;0),$D827-$D828,0))</f>
        <v>0</v>
      </c>
      <c r="AG828">
        <f>IF(COUNT($E$2:$E828)&lt;15,"",IF(SUM($AC$815:$AC$828)=0,0,100*SUM($AE$815:$AE$828)/SUM($AC$815:$AC$828)))</f>
        <v>0</v>
      </c>
      <c r="AH828">
        <f>IF(COUNT($E$2:$E828)&lt;15,"",IF(SUM($AC$815:$AC$828)=0,0,100*SUM($AF$815:$AF$828)/SUM($AC$815:$AC$828)))</f>
        <v>0</v>
      </c>
      <c r="AI828">
        <f>IF(OR(AG828="",AH828=""),"",IF((AG828+AH828)=0,0,100*ABS(AG828-AH828)/(AG828+AH828)))</f>
        <v>0</v>
      </c>
      <c r="AJ828">
        <f>IF(COUNT($AI$815:$AI$828)&lt;14,"",AVERAGE($AI$815:$AI$828))</f>
        <v>0</v>
      </c>
      <c r="AK828">
        <f>IF(COUNT($E$2:$E828)&lt;20,"",AVERAGE($E$809:$E$828))</f>
        <v>0</v>
      </c>
      <c r="AL828">
        <f>IF(COUNT($E$2:$E828)&lt;20,"",STDEVP($E$809:$E$828))</f>
        <v>0</v>
      </c>
      <c r="AM828">
        <f>IF(AK828="","",AK828+2*AL828)</f>
        <v>0</v>
      </c>
      <c r="AN828">
        <f>IF(AK828="","",AK828-2*AL828)</f>
        <v>0</v>
      </c>
      <c r="AO828">
        <f>IF(OR(AM828="",AN828="",AM828=AN828),"",($E828-AN828)/(AM828-AN828))</f>
        <v>0</v>
      </c>
      <c r="AP828">
        <f>IF(OR(AM828="",AK828="",AK828=0),"",(AM828-AN828)/AK828)</f>
        <v>0</v>
      </c>
      <c r="AQ828">
        <f>IF(COUNT($E$2:$E828)&lt;20,"",MAX($C$809:$C$828))</f>
        <v>0</v>
      </c>
      <c r="AR828">
        <f>IF(COUNT($E$2:$E828)&lt;20,"",MIN($D$809:$D$828))</f>
        <v>0</v>
      </c>
      <c r="AS828">
        <f>IF(OR(AQ828="",AR828=""),"",(AQ828+AR828)/2)</f>
        <v>0</v>
      </c>
      <c r="AT828">
        <f>IF(COUNT($G$809:$G$828)&lt;20,"",STDEV($G$809:$G$828)*SQRT(252))</f>
        <v>0</v>
      </c>
      <c r="AU828">
        <f>IF(COUNT($E$2:$E828)&lt;9,"",(MAX($C$820:$C$828)+MIN($D$820:$D$828))/2)</f>
        <v>0</v>
      </c>
      <c r="AV828">
        <f>IF(COUNT($E$2:$E828)&lt;26,"",(MAX($C$803:$C$828)+MIN($D$803:$D$828))/2)</f>
        <v>0</v>
      </c>
      <c r="AW828">
        <f>IF(OR(AU828="",AV828=""),"",(AU828+AV828)/2)</f>
        <v>0</v>
      </c>
      <c r="AX828">
        <f>IF(COUNT($E$2:$E828)&lt;52,"",(MAX($C$777:$C$828)+MIN($D$777:$D$828))/2)</f>
        <v>0</v>
      </c>
      <c r="AY828">
        <f>IF(COUNT($E$2:$E828)&lt;20,"",MAX($C$729:$C$828))</f>
        <v>0</v>
      </c>
      <c r="AZ828">
        <f>IF(COUNT($E$2:$E828)&lt;20,"",MIN($D$729:$D$828))</f>
        <v>0</v>
      </c>
      <c r="BA828">
        <f>IF(COUNT($E$2:$E828)&lt;20,"",SLOPE($E$729:$E$828,$F$729:$F$828))</f>
        <v>0</v>
      </c>
      <c r="BB828">
        <f>IF(COUNT($E$2:$E828)&lt;20,"",INTERCEPT($E$729:$E$828,$F$729:$F$828))</f>
        <v>0</v>
      </c>
      <c r="BC828">
        <f>IF(OR(BA828="",BB828=""),"",BB828+BA828*F828)</f>
        <v>0</v>
      </c>
      <c r="BD828">
        <f>IF(COUNT($E$2:$E828)&lt;20,"",STEYX($E$729:$E$828,$F$729:$F$828))</f>
        <v>0</v>
      </c>
      <c r="BE828">
        <f>IF($E828="","",IF(AND(COUNT($E$829:$E$832)&gt;=4,$C828=MAX($C$824:$C$832)),$C828,""))</f>
        <v>0</v>
      </c>
      <c r="BF828">
        <f>IF($E828="","",IF(AND(COUNT($E$829:$E$832)&gt;=4,$D828=MIN($D$824:$D$832)),$D828,""))</f>
        <v>0</v>
      </c>
      <c r="BG828">
        <f>IF($A828="","",$A828-WEEKDAY($A828,2)+1)</f>
        <v>0</v>
      </c>
      <c r="BH828">
        <f>IF($A828="","",IF($A827="",1,IF(BG828&lt;&gt;BG827,1,0)))</f>
        <v>0</v>
      </c>
      <c r="BI828">
        <f>IF($A828="","",IF($A829="",1,IF(BG829&lt;&gt;BG828,1,0)))</f>
        <v>0</v>
      </c>
      <c r="BJ828">
        <f>IF($A828="","",IF(BH828=1,$B828,BJ827))</f>
        <v>0</v>
      </c>
      <c r="BK828">
        <f>IF($A828="","",IF(BH828=1,$C828,MAX($C828,BK827)))</f>
        <v>0</v>
      </c>
      <c r="BL828">
        <f>IF($A828="","",IF(BH828=1,$D828,MIN($D828,BL827)))</f>
        <v>0</v>
      </c>
      <c r="BM828">
        <f>IF($A828="","",IF(BI828=1,F828,""))</f>
        <v>0</v>
      </c>
      <c r="BN828">
        <f>IF($A828="","",DATE(YEAR($A828),MONTH($A828),1))</f>
        <v>0</v>
      </c>
      <c r="BO828">
        <f>IF($A828="","",IF($A827="",1,IF(BN828&lt;&gt;BN827,1,0)))</f>
        <v>0</v>
      </c>
      <c r="BP828">
        <f>IF($A828="","",IF($A829="",1,IF(BN829&lt;&gt;BN828,1,0)))</f>
        <v>0</v>
      </c>
      <c r="BQ828">
        <f>IF($A828="","",IF(BO828=1,$B828,BQ827))</f>
        <v>0</v>
      </c>
      <c r="BR828">
        <f>IF($A828="","",IF(BO828=1,$C828,MAX($C828,BR827)))</f>
        <v>0</v>
      </c>
      <c r="BS828">
        <f>IF($A828="","",IF(BO828=1,$D828,MIN($D828,BS827)))</f>
        <v>0</v>
      </c>
      <c r="BT828">
        <f>IF($A828="","",IF(BP828=1,F828,""))</f>
        <v>0</v>
      </c>
    </row>
    <row r="829" spans="1:72">
      <c r="A829" s="27">
        <f>IF(Data!$A829="","",Data!$A829)</f>
        <v>0</v>
      </c>
      <c r="B829">
        <f>IF(Data!$B829="","",Data!$B829)</f>
        <v>0</v>
      </c>
      <c r="C829">
        <f>IF(Data!$C829="","",Data!$C829)</f>
        <v>0</v>
      </c>
      <c r="D829">
        <f>IF(Data!$D829="","",Data!$D829)</f>
        <v>0</v>
      </c>
      <c r="E829">
        <f>IF(Data!$E829="","",Data!$E829)</f>
        <v>0</v>
      </c>
      <c r="F829">
        <f>IF($E829="","",N(F828)+1)</f>
        <v>0</v>
      </c>
      <c r="G829">
        <f>IF(OR($E829="",$E828=""),"",LN($E829/$E828))</f>
        <v>0</v>
      </c>
      <c r="H829">
        <f>IF($E829="","",IF($E828="",$E829,$E829*0.0952380952+H828*0.9047619048))</f>
        <v>0</v>
      </c>
      <c r="I829">
        <f>IF($E829="","",IF($E828="",$E829,$E829*0.0392156863+I828*0.9607843137))</f>
        <v>0</v>
      </c>
      <c r="J829">
        <f>IF($E829="","",IF($E828="",$E829,$E829*0.0198019802+J828*0.9801980198))</f>
        <v>0</v>
      </c>
      <c r="K829">
        <f>IF($E829="","",IF($E828="",$E829,$E829*0.0099502488+K828*0.9900497512))</f>
        <v>0</v>
      </c>
      <c r="L829">
        <f>IF(OR($E829="",$E828=""),"",MAX($E829-$E828,0))</f>
        <v>0</v>
      </c>
      <c r="M829">
        <f>IF(OR($E829="",$E828=""),"",MAX($E828-$E829,0))</f>
        <v>0</v>
      </c>
      <c r="N829">
        <f>IF(COUNT($E$2:$E829)&lt;15,"",IF(AVERAGE($M$816:$M$829)=0,100,100-100/(1+AVERAGE($L$816:$L$829)/AVERAGE($M$816:$M$829))))</f>
        <v>0</v>
      </c>
      <c r="O829">
        <f>IF($E829="","",IF($E828="",$E829,$E829*0.1538461538+O828*0.8461538462))</f>
        <v>0</v>
      </c>
      <c r="P829">
        <f>IF($E829="","",IF($E828="",$E829,$E829*0.0740740741+P828*0.9259259259))</f>
        <v>0</v>
      </c>
      <c r="Q829">
        <f>IF(OR(O829="",P829=""),"",O829-P829)</f>
        <v>0</v>
      </c>
      <c r="R829">
        <f>IF(Q829="","",IF(R828="",Q829,Q829*0.2000000000+R828*0.8000000000))</f>
        <v>0</v>
      </c>
      <c r="S829">
        <f>IF(OR(Q829="",R829=""),"",Q829-R829)</f>
        <v>0</v>
      </c>
      <c r="T829">
        <f>IF(COUNT($E$2:$E829)&lt;14,"",MAX($C$816:$C$829))</f>
        <v>0</v>
      </c>
      <c r="U829">
        <f>IF(COUNT($E$2:$E829)&lt;14,"",MIN($D$816:$D$829))</f>
        <v>0</v>
      </c>
      <c r="V829">
        <f>IF(OR(T829="",U829="",T829=U829),"",100*($E829-U829)/(T829-U829))</f>
        <v>0</v>
      </c>
      <c r="W829">
        <f>IF(COUNT($V$827:$V$829)&lt;3,"",AVERAGE($V$827:$V$829))</f>
        <v>0</v>
      </c>
      <c r="X829">
        <f>IF(COUNT($N$816:$N$829)&lt;14,"",MIN($N$816:$N$829))</f>
        <v>0</v>
      </c>
      <c r="Y829">
        <f>IF(COUNT($N$816:$N$829)&lt;14,"",MAX($N$816:$N$829))</f>
        <v>0</v>
      </c>
      <c r="Z829">
        <f>IF(OR(N829="",X829="",Y829="",Y829=X829),"",100*(N829-X829)/(Y829-X829))</f>
        <v>0</v>
      </c>
      <c r="AA829">
        <f>IF(COUNT($Z$827:$Z$829)&lt;3,"",AVERAGE($Z$827:$Z$829))</f>
        <v>0</v>
      </c>
      <c r="AB829">
        <f>IF(COUNT($AA$827:$AA$829)&lt;3,"",AVERAGE($AA$827:$AA$829))</f>
        <v>0</v>
      </c>
      <c r="AC829">
        <f>IF($E829="","",MAX($C829-$D829,ABS($C829-$E828),ABS($D829-$E828)))</f>
        <v>0</v>
      </c>
      <c r="AD829">
        <f>IF(COUNT($E$2:$E829)&lt;15,"",AVERAGE($AC$816:$AC$829))</f>
        <v>0</v>
      </c>
      <c r="AE829">
        <f>IF(OR($E829="",$E828=""),"",IF(AND(($C829-$C828)&gt;($D828-$D829),($C829-$C828)&gt;0),$C829-$C828,0))</f>
        <v>0</v>
      </c>
      <c r="AF829">
        <f>IF(OR($E829="",$E828=""),"",IF(AND(($D828-$D829)&gt;($C829-$C828),($D828-$D829)&gt;0),$D828-$D829,0))</f>
        <v>0</v>
      </c>
      <c r="AG829">
        <f>IF(COUNT($E$2:$E829)&lt;15,"",IF(SUM($AC$816:$AC$829)=0,0,100*SUM($AE$816:$AE$829)/SUM($AC$816:$AC$829)))</f>
        <v>0</v>
      </c>
      <c r="AH829">
        <f>IF(COUNT($E$2:$E829)&lt;15,"",IF(SUM($AC$816:$AC$829)=0,0,100*SUM($AF$816:$AF$829)/SUM($AC$816:$AC$829)))</f>
        <v>0</v>
      </c>
      <c r="AI829">
        <f>IF(OR(AG829="",AH829=""),"",IF((AG829+AH829)=0,0,100*ABS(AG829-AH829)/(AG829+AH829)))</f>
        <v>0</v>
      </c>
      <c r="AJ829">
        <f>IF(COUNT($AI$816:$AI$829)&lt;14,"",AVERAGE($AI$816:$AI$829))</f>
        <v>0</v>
      </c>
      <c r="AK829">
        <f>IF(COUNT($E$2:$E829)&lt;20,"",AVERAGE($E$810:$E$829))</f>
        <v>0</v>
      </c>
      <c r="AL829">
        <f>IF(COUNT($E$2:$E829)&lt;20,"",STDEVP($E$810:$E$829))</f>
        <v>0</v>
      </c>
      <c r="AM829">
        <f>IF(AK829="","",AK829+2*AL829)</f>
        <v>0</v>
      </c>
      <c r="AN829">
        <f>IF(AK829="","",AK829-2*AL829)</f>
        <v>0</v>
      </c>
      <c r="AO829">
        <f>IF(OR(AM829="",AN829="",AM829=AN829),"",($E829-AN829)/(AM829-AN829))</f>
        <v>0</v>
      </c>
      <c r="AP829">
        <f>IF(OR(AM829="",AK829="",AK829=0),"",(AM829-AN829)/AK829)</f>
        <v>0</v>
      </c>
      <c r="AQ829">
        <f>IF(COUNT($E$2:$E829)&lt;20,"",MAX($C$810:$C$829))</f>
        <v>0</v>
      </c>
      <c r="AR829">
        <f>IF(COUNT($E$2:$E829)&lt;20,"",MIN($D$810:$D$829))</f>
        <v>0</v>
      </c>
      <c r="AS829">
        <f>IF(OR(AQ829="",AR829=""),"",(AQ829+AR829)/2)</f>
        <v>0</v>
      </c>
      <c r="AT829">
        <f>IF(COUNT($G$810:$G$829)&lt;20,"",STDEV($G$810:$G$829)*SQRT(252))</f>
        <v>0</v>
      </c>
      <c r="AU829">
        <f>IF(COUNT($E$2:$E829)&lt;9,"",(MAX($C$821:$C$829)+MIN($D$821:$D$829))/2)</f>
        <v>0</v>
      </c>
      <c r="AV829">
        <f>IF(COUNT($E$2:$E829)&lt;26,"",(MAX($C$804:$C$829)+MIN($D$804:$D$829))/2)</f>
        <v>0</v>
      </c>
      <c r="AW829">
        <f>IF(OR(AU829="",AV829=""),"",(AU829+AV829)/2)</f>
        <v>0</v>
      </c>
      <c r="AX829">
        <f>IF(COUNT($E$2:$E829)&lt;52,"",(MAX($C$778:$C$829)+MIN($D$778:$D$829))/2)</f>
        <v>0</v>
      </c>
      <c r="AY829">
        <f>IF(COUNT($E$2:$E829)&lt;20,"",MAX($C$730:$C$829))</f>
        <v>0</v>
      </c>
      <c r="AZ829">
        <f>IF(COUNT($E$2:$E829)&lt;20,"",MIN($D$730:$D$829))</f>
        <v>0</v>
      </c>
      <c r="BA829">
        <f>IF(COUNT($E$2:$E829)&lt;20,"",SLOPE($E$730:$E$829,$F$730:$F$829))</f>
        <v>0</v>
      </c>
      <c r="BB829">
        <f>IF(COUNT($E$2:$E829)&lt;20,"",INTERCEPT($E$730:$E$829,$F$730:$F$829))</f>
        <v>0</v>
      </c>
      <c r="BC829">
        <f>IF(OR(BA829="",BB829=""),"",BB829+BA829*F829)</f>
        <v>0</v>
      </c>
      <c r="BD829">
        <f>IF(COUNT($E$2:$E829)&lt;20,"",STEYX($E$730:$E$829,$F$730:$F$829))</f>
        <v>0</v>
      </c>
      <c r="BE829">
        <f>IF($E829="","",IF(AND(COUNT($E$830:$E$833)&gt;=4,$C829=MAX($C$825:$C$833)),$C829,""))</f>
        <v>0</v>
      </c>
      <c r="BF829">
        <f>IF($E829="","",IF(AND(COUNT($E$830:$E$833)&gt;=4,$D829=MIN($D$825:$D$833)),$D829,""))</f>
        <v>0</v>
      </c>
      <c r="BG829">
        <f>IF($A829="","",$A829-WEEKDAY($A829,2)+1)</f>
        <v>0</v>
      </c>
      <c r="BH829">
        <f>IF($A829="","",IF($A828="",1,IF(BG829&lt;&gt;BG828,1,0)))</f>
        <v>0</v>
      </c>
      <c r="BI829">
        <f>IF($A829="","",IF($A830="",1,IF(BG830&lt;&gt;BG829,1,0)))</f>
        <v>0</v>
      </c>
      <c r="BJ829">
        <f>IF($A829="","",IF(BH829=1,$B829,BJ828))</f>
        <v>0</v>
      </c>
      <c r="BK829">
        <f>IF($A829="","",IF(BH829=1,$C829,MAX($C829,BK828)))</f>
        <v>0</v>
      </c>
      <c r="BL829">
        <f>IF($A829="","",IF(BH829=1,$D829,MIN($D829,BL828)))</f>
        <v>0</v>
      </c>
      <c r="BM829">
        <f>IF($A829="","",IF(BI829=1,F829,""))</f>
        <v>0</v>
      </c>
      <c r="BN829">
        <f>IF($A829="","",DATE(YEAR($A829),MONTH($A829),1))</f>
        <v>0</v>
      </c>
      <c r="BO829">
        <f>IF($A829="","",IF($A828="",1,IF(BN829&lt;&gt;BN828,1,0)))</f>
        <v>0</v>
      </c>
      <c r="BP829">
        <f>IF($A829="","",IF($A830="",1,IF(BN830&lt;&gt;BN829,1,0)))</f>
        <v>0</v>
      </c>
      <c r="BQ829">
        <f>IF($A829="","",IF(BO829=1,$B829,BQ828))</f>
        <v>0</v>
      </c>
      <c r="BR829">
        <f>IF($A829="","",IF(BO829=1,$C829,MAX($C829,BR828)))</f>
        <v>0</v>
      </c>
      <c r="BS829">
        <f>IF($A829="","",IF(BO829=1,$D829,MIN($D829,BS828)))</f>
        <v>0</v>
      </c>
      <c r="BT829">
        <f>IF($A829="","",IF(BP829=1,F829,""))</f>
        <v>0</v>
      </c>
    </row>
    <row r="830" spans="1:72">
      <c r="A830" s="27">
        <f>IF(Data!$A830="","",Data!$A830)</f>
        <v>0</v>
      </c>
      <c r="B830">
        <f>IF(Data!$B830="","",Data!$B830)</f>
        <v>0</v>
      </c>
      <c r="C830">
        <f>IF(Data!$C830="","",Data!$C830)</f>
        <v>0</v>
      </c>
      <c r="D830">
        <f>IF(Data!$D830="","",Data!$D830)</f>
        <v>0</v>
      </c>
      <c r="E830">
        <f>IF(Data!$E830="","",Data!$E830)</f>
        <v>0</v>
      </c>
      <c r="F830">
        <f>IF($E830="","",N(F829)+1)</f>
        <v>0</v>
      </c>
      <c r="G830">
        <f>IF(OR($E830="",$E829=""),"",LN($E830/$E829))</f>
        <v>0</v>
      </c>
      <c r="H830">
        <f>IF($E830="","",IF($E829="",$E830,$E830*0.0952380952+H829*0.9047619048))</f>
        <v>0</v>
      </c>
      <c r="I830">
        <f>IF($E830="","",IF($E829="",$E830,$E830*0.0392156863+I829*0.9607843137))</f>
        <v>0</v>
      </c>
      <c r="J830">
        <f>IF($E830="","",IF($E829="",$E830,$E830*0.0198019802+J829*0.9801980198))</f>
        <v>0</v>
      </c>
      <c r="K830">
        <f>IF($E830="","",IF($E829="",$E830,$E830*0.0099502488+K829*0.9900497512))</f>
        <v>0</v>
      </c>
      <c r="L830">
        <f>IF(OR($E830="",$E829=""),"",MAX($E830-$E829,0))</f>
        <v>0</v>
      </c>
      <c r="M830">
        <f>IF(OR($E830="",$E829=""),"",MAX($E829-$E830,0))</f>
        <v>0</v>
      </c>
      <c r="N830">
        <f>IF(COUNT($E$2:$E830)&lt;15,"",IF(AVERAGE($M$817:$M$830)=0,100,100-100/(1+AVERAGE($L$817:$L$830)/AVERAGE($M$817:$M$830))))</f>
        <v>0</v>
      </c>
      <c r="O830">
        <f>IF($E830="","",IF($E829="",$E830,$E830*0.1538461538+O829*0.8461538462))</f>
        <v>0</v>
      </c>
      <c r="P830">
        <f>IF($E830="","",IF($E829="",$E830,$E830*0.0740740741+P829*0.9259259259))</f>
        <v>0</v>
      </c>
      <c r="Q830">
        <f>IF(OR(O830="",P830=""),"",O830-P830)</f>
        <v>0</v>
      </c>
      <c r="R830">
        <f>IF(Q830="","",IF(R829="",Q830,Q830*0.2000000000+R829*0.8000000000))</f>
        <v>0</v>
      </c>
      <c r="S830">
        <f>IF(OR(Q830="",R830=""),"",Q830-R830)</f>
        <v>0</v>
      </c>
      <c r="T830">
        <f>IF(COUNT($E$2:$E830)&lt;14,"",MAX($C$817:$C$830))</f>
        <v>0</v>
      </c>
      <c r="U830">
        <f>IF(COUNT($E$2:$E830)&lt;14,"",MIN($D$817:$D$830))</f>
        <v>0</v>
      </c>
      <c r="V830">
        <f>IF(OR(T830="",U830="",T830=U830),"",100*($E830-U830)/(T830-U830))</f>
        <v>0</v>
      </c>
      <c r="W830">
        <f>IF(COUNT($V$828:$V$830)&lt;3,"",AVERAGE($V$828:$V$830))</f>
        <v>0</v>
      </c>
      <c r="X830">
        <f>IF(COUNT($N$817:$N$830)&lt;14,"",MIN($N$817:$N$830))</f>
        <v>0</v>
      </c>
      <c r="Y830">
        <f>IF(COUNT($N$817:$N$830)&lt;14,"",MAX($N$817:$N$830))</f>
        <v>0</v>
      </c>
      <c r="Z830">
        <f>IF(OR(N830="",X830="",Y830="",Y830=X830),"",100*(N830-X830)/(Y830-X830))</f>
        <v>0</v>
      </c>
      <c r="AA830">
        <f>IF(COUNT($Z$828:$Z$830)&lt;3,"",AVERAGE($Z$828:$Z$830))</f>
        <v>0</v>
      </c>
      <c r="AB830">
        <f>IF(COUNT($AA$828:$AA$830)&lt;3,"",AVERAGE($AA$828:$AA$830))</f>
        <v>0</v>
      </c>
      <c r="AC830">
        <f>IF($E830="","",MAX($C830-$D830,ABS($C830-$E829),ABS($D830-$E829)))</f>
        <v>0</v>
      </c>
      <c r="AD830">
        <f>IF(COUNT($E$2:$E830)&lt;15,"",AVERAGE($AC$817:$AC$830))</f>
        <v>0</v>
      </c>
      <c r="AE830">
        <f>IF(OR($E830="",$E829=""),"",IF(AND(($C830-$C829)&gt;($D829-$D830),($C830-$C829)&gt;0),$C830-$C829,0))</f>
        <v>0</v>
      </c>
      <c r="AF830">
        <f>IF(OR($E830="",$E829=""),"",IF(AND(($D829-$D830)&gt;($C830-$C829),($D829-$D830)&gt;0),$D829-$D830,0))</f>
        <v>0</v>
      </c>
      <c r="AG830">
        <f>IF(COUNT($E$2:$E830)&lt;15,"",IF(SUM($AC$817:$AC$830)=0,0,100*SUM($AE$817:$AE$830)/SUM($AC$817:$AC$830)))</f>
        <v>0</v>
      </c>
      <c r="AH830">
        <f>IF(COUNT($E$2:$E830)&lt;15,"",IF(SUM($AC$817:$AC$830)=0,0,100*SUM($AF$817:$AF$830)/SUM($AC$817:$AC$830)))</f>
        <v>0</v>
      </c>
      <c r="AI830">
        <f>IF(OR(AG830="",AH830=""),"",IF((AG830+AH830)=0,0,100*ABS(AG830-AH830)/(AG830+AH830)))</f>
        <v>0</v>
      </c>
      <c r="AJ830">
        <f>IF(COUNT($AI$817:$AI$830)&lt;14,"",AVERAGE($AI$817:$AI$830))</f>
        <v>0</v>
      </c>
      <c r="AK830">
        <f>IF(COUNT($E$2:$E830)&lt;20,"",AVERAGE($E$811:$E$830))</f>
        <v>0</v>
      </c>
      <c r="AL830">
        <f>IF(COUNT($E$2:$E830)&lt;20,"",STDEVP($E$811:$E$830))</f>
        <v>0</v>
      </c>
      <c r="AM830">
        <f>IF(AK830="","",AK830+2*AL830)</f>
        <v>0</v>
      </c>
      <c r="AN830">
        <f>IF(AK830="","",AK830-2*AL830)</f>
        <v>0</v>
      </c>
      <c r="AO830">
        <f>IF(OR(AM830="",AN830="",AM830=AN830),"",($E830-AN830)/(AM830-AN830))</f>
        <v>0</v>
      </c>
      <c r="AP830">
        <f>IF(OR(AM830="",AK830="",AK830=0),"",(AM830-AN830)/AK830)</f>
        <v>0</v>
      </c>
      <c r="AQ830">
        <f>IF(COUNT($E$2:$E830)&lt;20,"",MAX($C$811:$C$830))</f>
        <v>0</v>
      </c>
      <c r="AR830">
        <f>IF(COUNT($E$2:$E830)&lt;20,"",MIN($D$811:$D$830))</f>
        <v>0</v>
      </c>
      <c r="AS830">
        <f>IF(OR(AQ830="",AR830=""),"",(AQ830+AR830)/2)</f>
        <v>0</v>
      </c>
      <c r="AT830">
        <f>IF(COUNT($G$811:$G$830)&lt;20,"",STDEV($G$811:$G$830)*SQRT(252))</f>
        <v>0</v>
      </c>
      <c r="AU830">
        <f>IF(COUNT($E$2:$E830)&lt;9,"",(MAX($C$822:$C$830)+MIN($D$822:$D$830))/2)</f>
        <v>0</v>
      </c>
      <c r="AV830">
        <f>IF(COUNT($E$2:$E830)&lt;26,"",(MAX($C$805:$C$830)+MIN($D$805:$D$830))/2)</f>
        <v>0</v>
      </c>
      <c r="AW830">
        <f>IF(OR(AU830="",AV830=""),"",(AU830+AV830)/2)</f>
        <v>0</v>
      </c>
      <c r="AX830">
        <f>IF(COUNT($E$2:$E830)&lt;52,"",(MAX($C$779:$C$830)+MIN($D$779:$D$830))/2)</f>
        <v>0</v>
      </c>
      <c r="AY830">
        <f>IF(COUNT($E$2:$E830)&lt;20,"",MAX($C$731:$C$830))</f>
        <v>0</v>
      </c>
      <c r="AZ830">
        <f>IF(COUNT($E$2:$E830)&lt;20,"",MIN($D$731:$D$830))</f>
        <v>0</v>
      </c>
      <c r="BA830">
        <f>IF(COUNT($E$2:$E830)&lt;20,"",SLOPE($E$731:$E$830,$F$731:$F$830))</f>
        <v>0</v>
      </c>
      <c r="BB830">
        <f>IF(COUNT($E$2:$E830)&lt;20,"",INTERCEPT($E$731:$E$830,$F$731:$F$830))</f>
        <v>0</v>
      </c>
      <c r="BC830">
        <f>IF(OR(BA830="",BB830=""),"",BB830+BA830*F830)</f>
        <v>0</v>
      </c>
      <c r="BD830">
        <f>IF(COUNT($E$2:$E830)&lt;20,"",STEYX($E$731:$E$830,$F$731:$F$830))</f>
        <v>0</v>
      </c>
      <c r="BE830">
        <f>IF($E830="","",IF(AND(COUNT($E$831:$E$834)&gt;=4,$C830=MAX($C$826:$C$834)),$C830,""))</f>
        <v>0</v>
      </c>
      <c r="BF830">
        <f>IF($E830="","",IF(AND(COUNT($E$831:$E$834)&gt;=4,$D830=MIN($D$826:$D$834)),$D830,""))</f>
        <v>0</v>
      </c>
      <c r="BG830">
        <f>IF($A830="","",$A830-WEEKDAY($A830,2)+1)</f>
        <v>0</v>
      </c>
      <c r="BH830">
        <f>IF($A830="","",IF($A829="",1,IF(BG830&lt;&gt;BG829,1,0)))</f>
        <v>0</v>
      </c>
      <c r="BI830">
        <f>IF($A830="","",IF($A831="",1,IF(BG831&lt;&gt;BG830,1,0)))</f>
        <v>0</v>
      </c>
      <c r="BJ830">
        <f>IF($A830="","",IF(BH830=1,$B830,BJ829))</f>
        <v>0</v>
      </c>
      <c r="BK830">
        <f>IF($A830="","",IF(BH830=1,$C830,MAX($C830,BK829)))</f>
        <v>0</v>
      </c>
      <c r="BL830">
        <f>IF($A830="","",IF(BH830=1,$D830,MIN($D830,BL829)))</f>
        <v>0</v>
      </c>
      <c r="BM830">
        <f>IF($A830="","",IF(BI830=1,F830,""))</f>
        <v>0</v>
      </c>
      <c r="BN830">
        <f>IF($A830="","",DATE(YEAR($A830),MONTH($A830),1))</f>
        <v>0</v>
      </c>
      <c r="BO830">
        <f>IF($A830="","",IF($A829="",1,IF(BN830&lt;&gt;BN829,1,0)))</f>
        <v>0</v>
      </c>
      <c r="BP830">
        <f>IF($A830="","",IF($A831="",1,IF(BN831&lt;&gt;BN830,1,0)))</f>
        <v>0</v>
      </c>
      <c r="BQ830">
        <f>IF($A830="","",IF(BO830=1,$B830,BQ829))</f>
        <v>0</v>
      </c>
      <c r="BR830">
        <f>IF($A830="","",IF(BO830=1,$C830,MAX($C830,BR829)))</f>
        <v>0</v>
      </c>
      <c r="BS830">
        <f>IF($A830="","",IF(BO830=1,$D830,MIN($D830,BS829)))</f>
        <v>0</v>
      </c>
      <c r="BT830">
        <f>IF($A830="","",IF(BP830=1,F830,""))</f>
        <v>0</v>
      </c>
    </row>
    <row r="831" spans="1:72">
      <c r="A831" s="27">
        <f>IF(Data!$A831="","",Data!$A831)</f>
        <v>0</v>
      </c>
      <c r="B831">
        <f>IF(Data!$B831="","",Data!$B831)</f>
        <v>0</v>
      </c>
      <c r="C831">
        <f>IF(Data!$C831="","",Data!$C831)</f>
        <v>0</v>
      </c>
      <c r="D831">
        <f>IF(Data!$D831="","",Data!$D831)</f>
        <v>0</v>
      </c>
      <c r="E831">
        <f>IF(Data!$E831="","",Data!$E831)</f>
        <v>0</v>
      </c>
      <c r="F831">
        <f>IF($E831="","",N(F830)+1)</f>
        <v>0</v>
      </c>
      <c r="G831">
        <f>IF(OR($E831="",$E830=""),"",LN($E831/$E830))</f>
        <v>0</v>
      </c>
      <c r="H831">
        <f>IF($E831="","",IF($E830="",$E831,$E831*0.0952380952+H830*0.9047619048))</f>
        <v>0</v>
      </c>
      <c r="I831">
        <f>IF($E831="","",IF($E830="",$E831,$E831*0.0392156863+I830*0.9607843137))</f>
        <v>0</v>
      </c>
      <c r="J831">
        <f>IF($E831="","",IF($E830="",$E831,$E831*0.0198019802+J830*0.9801980198))</f>
        <v>0</v>
      </c>
      <c r="K831">
        <f>IF($E831="","",IF($E830="",$E831,$E831*0.0099502488+K830*0.9900497512))</f>
        <v>0</v>
      </c>
      <c r="L831">
        <f>IF(OR($E831="",$E830=""),"",MAX($E831-$E830,0))</f>
        <v>0</v>
      </c>
      <c r="M831">
        <f>IF(OR($E831="",$E830=""),"",MAX($E830-$E831,0))</f>
        <v>0</v>
      </c>
      <c r="N831">
        <f>IF(COUNT($E$2:$E831)&lt;15,"",IF(AVERAGE($M$818:$M$831)=0,100,100-100/(1+AVERAGE($L$818:$L$831)/AVERAGE($M$818:$M$831))))</f>
        <v>0</v>
      </c>
      <c r="O831">
        <f>IF($E831="","",IF($E830="",$E831,$E831*0.1538461538+O830*0.8461538462))</f>
        <v>0</v>
      </c>
      <c r="P831">
        <f>IF($E831="","",IF($E830="",$E831,$E831*0.0740740741+P830*0.9259259259))</f>
        <v>0</v>
      </c>
      <c r="Q831">
        <f>IF(OR(O831="",P831=""),"",O831-P831)</f>
        <v>0</v>
      </c>
      <c r="R831">
        <f>IF(Q831="","",IF(R830="",Q831,Q831*0.2000000000+R830*0.8000000000))</f>
        <v>0</v>
      </c>
      <c r="S831">
        <f>IF(OR(Q831="",R831=""),"",Q831-R831)</f>
        <v>0</v>
      </c>
      <c r="T831">
        <f>IF(COUNT($E$2:$E831)&lt;14,"",MAX($C$818:$C$831))</f>
        <v>0</v>
      </c>
      <c r="U831">
        <f>IF(COUNT($E$2:$E831)&lt;14,"",MIN($D$818:$D$831))</f>
        <v>0</v>
      </c>
      <c r="V831">
        <f>IF(OR(T831="",U831="",T831=U831),"",100*($E831-U831)/(T831-U831))</f>
        <v>0</v>
      </c>
      <c r="W831">
        <f>IF(COUNT($V$829:$V$831)&lt;3,"",AVERAGE($V$829:$V$831))</f>
        <v>0</v>
      </c>
      <c r="X831">
        <f>IF(COUNT($N$818:$N$831)&lt;14,"",MIN($N$818:$N$831))</f>
        <v>0</v>
      </c>
      <c r="Y831">
        <f>IF(COUNT($N$818:$N$831)&lt;14,"",MAX($N$818:$N$831))</f>
        <v>0</v>
      </c>
      <c r="Z831">
        <f>IF(OR(N831="",X831="",Y831="",Y831=X831),"",100*(N831-X831)/(Y831-X831))</f>
        <v>0</v>
      </c>
      <c r="AA831">
        <f>IF(COUNT($Z$829:$Z$831)&lt;3,"",AVERAGE($Z$829:$Z$831))</f>
        <v>0</v>
      </c>
      <c r="AB831">
        <f>IF(COUNT($AA$829:$AA$831)&lt;3,"",AVERAGE($AA$829:$AA$831))</f>
        <v>0</v>
      </c>
      <c r="AC831">
        <f>IF($E831="","",MAX($C831-$D831,ABS($C831-$E830),ABS($D831-$E830)))</f>
        <v>0</v>
      </c>
      <c r="AD831">
        <f>IF(COUNT($E$2:$E831)&lt;15,"",AVERAGE($AC$818:$AC$831))</f>
        <v>0</v>
      </c>
      <c r="AE831">
        <f>IF(OR($E831="",$E830=""),"",IF(AND(($C831-$C830)&gt;($D830-$D831),($C831-$C830)&gt;0),$C831-$C830,0))</f>
        <v>0</v>
      </c>
      <c r="AF831">
        <f>IF(OR($E831="",$E830=""),"",IF(AND(($D830-$D831)&gt;($C831-$C830),($D830-$D831)&gt;0),$D830-$D831,0))</f>
        <v>0</v>
      </c>
      <c r="AG831">
        <f>IF(COUNT($E$2:$E831)&lt;15,"",IF(SUM($AC$818:$AC$831)=0,0,100*SUM($AE$818:$AE$831)/SUM($AC$818:$AC$831)))</f>
        <v>0</v>
      </c>
      <c r="AH831">
        <f>IF(COUNT($E$2:$E831)&lt;15,"",IF(SUM($AC$818:$AC$831)=0,0,100*SUM($AF$818:$AF$831)/SUM($AC$818:$AC$831)))</f>
        <v>0</v>
      </c>
      <c r="AI831">
        <f>IF(OR(AG831="",AH831=""),"",IF((AG831+AH831)=0,0,100*ABS(AG831-AH831)/(AG831+AH831)))</f>
        <v>0</v>
      </c>
      <c r="AJ831">
        <f>IF(COUNT($AI$818:$AI$831)&lt;14,"",AVERAGE($AI$818:$AI$831))</f>
        <v>0</v>
      </c>
      <c r="AK831">
        <f>IF(COUNT($E$2:$E831)&lt;20,"",AVERAGE($E$812:$E$831))</f>
        <v>0</v>
      </c>
      <c r="AL831">
        <f>IF(COUNT($E$2:$E831)&lt;20,"",STDEVP($E$812:$E$831))</f>
        <v>0</v>
      </c>
      <c r="AM831">
        <f>IF(AK831="","",AK831+2*AL831)</f>
        <v>0</v>
      </c>
      <c r="AN831">
        <f>IF(AK831="","",AK831-2*AL831)</f>
        <v>0</v>
      </c>
      <c r="AO831">
        <f>IF(OR(AM831="",AN831="",AM831=AN831),"",($E831-AN831)/(AM831-AN831))</f>
        <v>0</v>
      </c>
      <c r="AP831">
        <f>IF(OR(AM831="",AK831="",AK831=0),"",(AM831-AN831)/AK831)</f>
        <v>0</v>
      </c>
      <c r="AQ831">
        <f>IF(COUNT($E$2:$E831)&lt;20,"",MAX($C$812:$C$831))</f>
        <v>0</v>
      </c>
      <c r="AR831">
        <f>IF(COUNT($E$2:$E831)&lt;20,"",MIN($D$812:$D$831))</f>
        <v>0</v>
      </c>
      <c r="AS831">
        <f>IF(OR(AQ831="",AR831=""),"",(AQ831+AR831)/2)</f>
        <v>0</v>
      </c>
      <c r="AT831">
        <f>IF(COUNT($G$812:$G$831)&lt;20,"",STDEV($G$812:$G$831)*SQRT(252))</f>
        <v>0</v>
      </c>
      <c r="AU831">
        <f>IF(COUNT($E$2:$E831)&lt;9,"",(MAX($C$823:$C$831)+MIN($D$823:$D$831))/2)</f>
        <v>0</v>
      </c>
      <c r="AV831">
        <f>IF(COUNT($E$2:$E831)&lt;26,"",(MAX($C$806:$C$831)+MIN($D$806:$D$831))/2)</f>
        <v>0</v>
      </c>
      <c r="AW831">
        <f>IF(OR(AU831="",AV831=""),"",(AU831+AV831)/2)</f>
        <v>0</v>
      </c>
      <c r="AX831">
        <f>IF(COUNT($E$2:$E831)&lt;52,"",(MAX($C$780:$C$831)+MIN($D$780:$D$831))/2)</f>
        <v>0</v>
      </c>
      <c r="AY831">
        <f>IF(COUNT($E$2:$E831)&lt;20,"",MAX($C$732:$C$831))</f>
        <v>0</v>
      </c>
      <c r="AZ831">
        <f>IF(COUNT($E$2:$E831)&lt;20,"",MIN($D$732:$D$831))</f>
        <v>0</v>
      </c>
      <c r="BA831">
        <f>IF(COUNT($E$2:$E831)&lt;20,"",SLOPE($E$732:$E$831,$F$732:$F$831))</f>
        <v>0</v>
      </c>
      <c r="BB831">
        <f>IF(COUNT($E$2:$E831)&lt;20,"",INTERCEPT($E$732:$E$831,$F$732:$F$831))</f>
        <v>0</v>
      </c>
      <c r="BC831">
        <f>IF(OR(BA831="",BB831=""),"",BB831+BA831*F831)</f>
        <v>0</v>
      </c>
      <c r="BD831">
        <f>IF(COUNT($E$2:$E831)&lt;20,"",STEYX($E$732:$E$831,$F$732:$F$831))</f>
        <v>0</v>
      </c>
      <c r="BE831">
        <f>IF($E831="","",IF(AND(COUNT($E$832:$E$835)&gt;=4,$C831=MAX($C$827:$C$835)),$C831,""))</f>
        <v>0</v>
      </c>
      <c r="BF831">
        <f>IF($E831="","",IF(AND(COUNT($E$832:$E$835)&gt;=4,$D831=MIN($D$827:$D$835)),$D831,""))</f>
        <v>0</v>
      </c>
      <c r="BG831">
        <f>IF($A831="","",$A831-WEEKDAY($A831,2)+1)</f>
        <v>0</v>
      </c>
      <c r="BH831">
        <f>IF($A831="","",IF($A830="",1,IF(BG831&lt;&gt;BG830,1,0)))</f>
        <v>0</v>
      </c>
      <c r="BI831">
        <f>IF($A831="","",IF($A832="",1,IF(BG832&lt;&gt;BG831,1,0)))</f>
        <v>0</v>
      </c>
      <c r="BJ831">
        <f>IF($A831="","",IF(BH831=1,$B831,BJ830))</f>
        <v>0</v>
      </c>
      <c r="BK831">
        <f>IF($A831="","",IF(BH831=1,$C831,MAX($C831,BK830)))</f>
        <v>0</v>
      </c>
      <c r="BL831">
        <f>IF($A831="","",IF(BH831=1,$D831,MIN($D831,BL830)))</f>
        <v>0</v>
      </c>
      <c r="BM831">
        <f>IF($A831="","",IF(BI831=1,F831,""))</f>
        <v>0</v>
      </c>
      <c r="BN831">
        <f>IF($A831="","",DATE(YEAR($A831),MONTH($A831),1))</f>
        <v>0</v>
      </c>
      <c r="BO831">
        <f>IF($A831="","",IF($A830="",1,IF(BN831&lt;&gt;BN830,1,0)))</f>
        <v>0</v>
      </c>
      <c r="BP831">
        <f>IF($A831="","",IF($A832="",1,IF(BN832&lt;&gt;BN831,1,0)))</f>
        <v>0</v>
      </c>
      <c r="BQ831">
        <f>IF($A831="","",IF(BO831=1,$B831,BQ830))</f>
        <v>0</v>
      </c>
      <c r="BR831">
        <f>IF($A831="","",IF(BO831=1,$C831,MAX($C831,BR830)))</f>
        <v>0</v>
      </c>
      <c r="BS831">
        <f>IF($A831="","",IF(BO831=1,$D831,MIN($D831,BS830)))</f>
        <v>0</v>
      </c>
      <c r="BT831">
        <f>IF($A831="","",IF(BP831=1,F831,""))</f>
        <v>0</v>
      </c>
    </row>
    <row r="832" spans="1:72">
      <c r="A832" s="27">
        <f>IF(Data!$A832="","",Data!$A832)</f>
        <v>0</v>
      </c>
      <c r="B832">
        <f>IF(Data!$B832="","",Data!$B832)</f>
        <v>0</v>
      </c>
      <c r="C832">
        <f>IF(Data!$C832="","",Data!$C832)</f>
        <v>0</v>
      </c>
      <c r="D832">
        <f>IF(Data!$D832="","",Data!$D832)</f>
        <v>0</v>
      </c>
      <c r="E832">
        <f>IF(Data!$E832="","",Data!$E832)</f>
        <v>0</v>
      </c>
      <c r="F832">
        <f>IF($E832="","",N(F831)+1)</f>
        <v>0</v>
      </c>
      <c r="G832">
        <f>IF(OR($E832="",$E831=""),"",LN($E832/$E831))</f>
        <v>0</v>
      </c>
      <c r="H832">
        <f>IF($E832="","",IF($E831="",$E832,$E832*0.0952380952+H831*0.9047619048))</f>
        <v>0</v>
      </c>
      <c r="I832">
        <f>IF($E832="","",IF($E831="",$E832,$E832*0.0392156863+I831*0.9607843137))</f>
        <v>0</v>
      </c>
      <c r="J832">
        <f>IF($E832="","",IF($E831="",$E832,$E832*0.0198019802+J831*0.9801980198))</f>
        <v>0</v>
      </c>
      <c r="K832">
        <f>IF($E832="","",IF($E831="",$E832,$E832*0.0099502488+K831*0.9900497512))</f>
        <v>0</v>
      </c>
      <c r="L832">
        <f>IF(OR($E832="",$E831=""),"",MAX($E832-$E831,0))</f>
        <v>0</v>
      </c>
      <c r="M832">
        <f>IF(OR($E832="",$E831=""),"",MAX($E831-$E832,0))</f>
        <v>0</v>
      </c>
      <c r="N832">
        <f>IF(COUNT($E$2:$E832)&lt;15,"",IF(AVERAGE($M$819:$M$832)=0,100,100-100/(1+AVERAGE($L$819:$L$832)/AVERAGE($M$819:$M$832))))</f>
        <v>0</v>
      </c>
      <c r="O832">
        <f>IF($E832="","",IF($E831="",$E832,$E832*0.1538461538+O831*0.8461538462))</f>
        <v>0</v>
      </c>
      <c r="P832">
        <f>IF($E832="","",IF($E831="",$E832,$E832*0.0740740741+P831*0.9259259259))</f>
        <v>0</v>
      </c>
      <c r="Q832">
        <f>IF(OR(O832="",P832=""),"",O832-P832)</f>
        <v>0</v>
      </c>
      <c r="R832">
        <f>IF(Q832="","",IF(R831="",Q832,Q832*0.2000000000+R831*0.8000000000))</f>
        <v>0</v>
      </c>
      <c r="S832">
        <f>IF(OR(Q832="",R832=""),"",Q832-R832)</f>
        <v>0</v>
      </c>
      <c r="T832">
        <f>IF(COUNT($E$2:$E832)&lt;14,"",MAX($C$819:$C$832))</f>
        <v>0</v>
      </c>
      <c r="U832">
        <f>IF(COUNT($E$2:$E832)&lt;14,"",MIN($D$819:$D$832))</f>
        <v>0</v>
      </c>
      <c r="V832">
        <f>IF(OR(T832="",U832="",T832=U832),"",100*($E832-U832)/(T832-U832))</f>
        <v>0</v>
      </c>
      <c r="W832">
        <f>IF(COUNT($V$830:$V$832)&lt;3,"",AVERAGE($V$830:$V$832))</f>
        <v>0</v>
      </c>
      <c r="X832">
        <f>IF(COUNT($N$819:$N$832)&lt;14,"",MIN($N$819:$N$832))</f>
        <v>0</v>
      </c>
      <c r="Y832">
        <f>IF(COUNT($N$819:$N$832)&lt;14,"",MAX($N$819:$N$832))</f>
        <v>0</v>
      </c>
      <c r="Z832">
        <f>IF(OR(N832="",X832="",Y832="",Y832=X832),"",100*(N832-X832)/(Y832-X832))</f>
        <v>0</v>
      </c>
      <c r="AA832">
        <f>IF(COUNT($Z$830:$Z$832)&lt;3,"",AVERAGE($Z$830:$Z$832))</f>
        <v>0</v>
      </c>
      <c r="AB832">
        <f>IF(COUNT($AA$830:$AA$832)&lt;3,"",AVERAGE($AA$830:$AA$832))</f>
        <v>0</v>
      </c>
      <c r="AC832">
        <f>IF($E832="","",MAX($C832-$D832,ABS($C832-$E831),ABS($D832-$E831)))</f>
        <v>0</v>
      </c>
      <c r="AD832">
        <f>IF(COUNT($E$2:$E832)&lt;15,"",AVERAGE($AC$819:$AC$832))</f>
        <v>0</v>
      </c>
      <c r="AE832">
        <f>IF(OR($E832="",$E831=""),"",IF(AND(($C832-$C831)&gt;($D831-$D832),($C832-$C831)&gt;0),$C832-$C831,0))</f>
        <v>0</v>
      </c>
      <c r="AF832">
        <f>IF(OR($E832="",$E831=""),"",IF(AND(($D831-$D832)&gt;($C832-$C831),($D831-$D832)&gt;0),$D831-$D832,0))</f>
        <v>0</v>
      </c>
      <c r="AG832">
        <f>IF(COUNT($E$2:$E832)&lt;15,"",IF(SUM($AC$819:$AC$832)=0,0,100*SUM($AE$819:$AE$832)/SUM($AC$819:$AC$832)))</f>
        <v>0</v>
      </c>
      <c r="AH832">
        <f>IF(COUNT($E$2:$E832)&lt;15,"",IF(SUM($AC$819:$AC$832)=0,0,100*SUM($AF$819:$AF$832)/SUM($AC$819:$AC$832)))</f>
        <v>0</v>
      </c>
      <c r="AI832">
        <f>IF(OR(AG832="",AH832=""),"",IF((AG832+AH832)=0,0,100*ABS(AG832-AH832)/(AG832+AH832)))</f>
        <v>0</v>
      </c>
      <c r="AJ832">
        <f>IF(COUNT($AI$819:$AI$832)&lt;14,"",AVERAGE($AI$819:$AI$832))</f>
        <v>0</v>
      </c>
      <c r="AK832">
        <f>IF(COUNT($E$2:$E832)&lt;20,"",AVERAGE($E$813:$E$832))</f>
        <v>0</v>
      </c>
      <c r="AL832">
        <f>IF(COUNT($E$2:$E832)&lt;20,"",STDEVP($E$813:$E$832))</f>
        <v>0</v>
      </c>
      <c r="AM832">
        <f>IF(AK832="","",AK832+2*AL832)</f>
        <v>0</v>
      </c>
      <c r="AN832">
        <f>IF(AK832="","",AK832-2*AL832)</f>
        <v>0</v>
      </c>
      <c r="AO832">
        <f>IF(OR(AM832="",AN832="",AM832=AN832),"",($E832-AN832)/(AM832-AN832))</f>
        <v>0</v>
      </c>
      <c r="AP832">
        <f>IF(OR(AM832="",AK832="",AK832=0),"",(AM832-AN832)/AK832)</f>
        <v>0</v>
      </c>
      <c r="AQ832">
        <f>IF(COUNT($E$2:$E832)&lt;20,"",MAX($C$813:$C$832))</f>
        <v>0</v>
      </c>
      <c r="AR832">
        <f>IF(COUNT($E$2:$E832)&lt;20,"",MIN($D$813:$D$832))</f>
        <v>0</v>
      </c>
      <c r="AS832">
        <f>IF(OR(AQ832="",AR832=""),"",(AQ832+AR832)/2)</f>
        <v>0</v>
      </c>
      <c r="AT832">
        <f>IF(COUNT($G$813:$G$832)&lt;20,"",STDEV($G$813:$G$832)*SQRT(252))</f>
        <v>0</v>
      </c>
      <c r="AU832">
        <f>IF(COUNT($E$2:$E832)&lt;9,"",(MAX($C$824:$C$832)+MIN($D$824:$D$832))/2)</f>
        <v>0</v>
      </c>
      <c r="AV832">
        <f>IF(COUNT($E$2:$E832)&lt;26,"",(MAX($C$807:$C$832)+MIN($D$807:$D$832))/2)</f>
        <v>0</v>
      </c>
      <c r="AW832">
        <f>IF(OR(AU832="",AV832=""),"",(AU832+AV832)/2)</f>
        <v>0</v>
      </c>
      <c r="AX832">
        <f>IF(COUNT($E$2:$E832)&lt;52,"",(MAX($C$781:$C$832)+MIN($D$781:$D$832))/2)</f>
        <v>0</v>
      </c>
      <c r="AY832">
        <f>IF(COUNT($E$2:$E832)&lt;20,"",MAX($C$733:$C$832))</f>
        <v>0</v>
      </c>
      <c r="AZ832">
        <f>IF(COUNT($E$2:$E832)&lt;20,"",MIN($D$733:$D$832))</f>
        <v>0</v>
      </c>
      <c r="BA832">
        <f>IF(COUNT($E$2:$E832)&lt;20,"",SLOPE($E$733:$E$832,$F$733:$F$832))</f>
        <v>0</v>
      </c>
      <c r="BB832">
        <f>IF(COUNT($E$2:$E832)&lt;20,"",INTERCEPT($E$733:$E$832,$F$733:$F$832))</f>
        <v>0</v>
      </c>
      <c r="BC832">
        <f>IF(OR(BA832="",BB832=""),"",BB832+BA832*F832)</f>
        <v>0</v>
      </c>
      <c r="BD832">
        <f>IF(COUNT($E$2:$E832)&lt;20,"",STEYX($E$733:$E$832,$F$733:$F$832))</f>
        <v>0</v>
      </c>
      <c r="BE832">
        <f>IF($E832="","",IF(AND(COUNT($E$833:$E$836)&gt;=4,$C832=MAX($C$828:$C$836)),$C832,""))</f>
        <v>0</v>
      </c>
      <c r="BF832">
        <f>IF($E832="","",IF(AND(COUNT($E$833:$E$836)&gt;=4,$D832=MIN($D$828:$D$836)),$D832,""))</f>
        <v>0</v>
      </c>
      <c r="BG832">
        <f>IF($A832="","",$A832-WEEKDAY($A832,2)+1)</f>
        <v>0</v>
      </c>
      <c r="BH832">
        <f>IF($A832="","",IF($A831="",1,IF(BG832&lt;&gt;BG831,1,0)))</f>
        <v>0</v>
      </c>
      <c r="BI832">
        <f>IF($A832="","",IF($A833="",1,IF(BG833&lt;&gt;BG832,1,0)))</f>
        <v>0</v>
      </c>
      <c r="BJ832">
        <f>IF($A832="","",IF(BH832=1,$B832,BJ831))</f>
        <v>0</v>
      </c>
      <c r="BK832">
        <f>IF($A832="","",IF(BH832=1,$C832,MAX($C832,BK831)))</f>
        <v>0</v>
      </c>
      <c r="BL832">
        <f>IF($A832="","",IF(BH832=1,$D832,MIN($D832,BL831)))</f>
        <v>0</v>
      </c>
      <c r="BM832">
        <f>IF($A832="","",IF(BI832=1,F832,""))</f>
        <v>0</v>
      </c>
      <c r="BN832">
        <f>IF($A832="","",DATE(YEAR($A832),MONTH($A832),1))</f>
        <v>0</v>
      </c>
      <c r="BO832">
        <f>IF($A832="","",IF($A831="",1,IF(BN832&lt;&gt;BN831,1,0)))</f>
        <v>0</v>
      </c>
      <c r="BP832">
        <f>IF($A832="","",IF($A833="",1,IF(BN833&lt;&gt;BN832,1,0)))</f>
        <v>0</v>
      </c>
      <c r="BQ832">
        <f>IF($A832="","",IF(BO832=1,$B832,BQ831))</f>
        <v>0</v>
      </c>
      <c r="BR832">
        <f>IF($A832="","",IF(BO832=1,$C832,MAX($C832,BR831)))</f>
        <v>0</v>
      </c>
      <c r="BS832">
        <f>IF($A832="","",IF(BO832=1,$D832,MIN($D832,BS831)))</f>
        <v>0</v>
      </c>
      <c r="BT832">
        <f>IF($A832="","",IF(BP832=1,F832,""))</f>
        <v>0</v>
      </c>
    </row>
    <row r="833" spans="1:72">
      <c r="A833" s="27">
        <f>IF(Data!$A833="","",Data!$A833)</f>
        <v>0</v>
      </c>
      <c r="B833">
        <f>IF(Data!$B833="","",Data!$B833)</f>
        <v>0</v>
      </c>
      <c r="C833">
        <f>IF(Data!$C833="","",Data!$C833)</f>
        <v>0</v>
      </c>
      <c r="D833">
        <f>IF(Data!$D833="","",Data!$D833)</f>
        <v>0</v>
      </c>
      <c r="E833">
        <f>IF(Data!$E833="","",Data!$E833)</f>
        <v>0</v>
      </c>
      <c r="F833">
        <f>IF($E833="","",N(F832)+1)</f>
        <v>0</v>
      </c>
      <c r="G833">
        <f>IF(OR($E833="",$E832=""),"",LN($E833/$E832))</f>
        <v>0</v>
      </c>
      <c r="H833">
        <f>IF($E833="","",IF($E832="",$E833,$E833*0.0952380952+H832*0.9047619048))</f>
        <v>0</v>
      </c>
      <c r="I833">
        <f>IF($E833="","",IF($E832="",$E833,$E833*0.0392156863+I832*0.9607843137))</f>
        <v>0</v>
      </c>
      <c r="J833">
        <f>IF($E833="","",IF($E832="",$E833,$E833*0.0198019802+J832*0.9801980198))</f>
        <v>0</v>
      </c>
      <c r="K833">
        <f>IF($E833="","",IF($E832="",$E833,$E833*0.0099502488+K832*0.9900497512))</f>
        <v>0</v>
      </c>
      <c r="L833">
        <f>IF(OR($E833="",$E832=""),"",MAX($E833-$E832,0))</f>
        <v>0</v>
      </c>
      <c r="M833">
        <f>IF(OR($E833="",$E832=""),"",MAX($E832-$E833,0))</f>
        <v>0</v>
      </c>
      <c r="N833">
        <f>IF(COUNT($E$2:$E833)&lt;15,"",IF(AVERAGE($M$820:$M$833)=0,100,100-100/(1+AVERAGE($L$820:$L$833)/AVERAGE($M$820:$M$833))))</f>
        <v>0</v>
      </c>
      <c r="O833">
        <f>IF($E833="","",IF($E832="",$E833,$E833*0.1538461538+O832*0.8461538462))</f>
        <v>0</v>
      </c>
      <c r="P833">
        <f>IF($E833="","",IF($E832="",$E833,$E833*0.0740740741+P832*0.9259259259))</f>
        <v>0</v>
      </c>
      <c r="Q833">
        <f>IF(OR(O833="",P833=""),"",O833-P833)</f>
        <v>0</v>
      </c>
      <c r="R833">
        <f>IF(Q833="","",IF(R832="",Q833,Q833*0.2000000000+R832*0.8000000000))</f>
        <v>0</v>
      </c>
      <c r="S833">
        <f>IF(OR(Q833="",R833=""),"",Q833-R833)</f>
        <v>0</v>
      </c>
      <c r="T833">
        <f>IF(COUNT($E$2:$E833)&lt;14,"",MAX($C$820:$C$833))</f>
        <v>0</v>
      </c>
      <c r="U833">
        <f>IF(COUNT($E$2:$E833)&lt;14,"",MIN($D$820:$D$833))</f>
        <v>0</v>
      </c>
      <c r="V833">
        <f>IF(OR(T833="",U833="",T833=U833),"",100*($E833-U833)/(T833-U833))</f>
        <v>0</v>
      </c>
      <c r="W833">
        <f>IF(COUNT($V$831:$V$833)&lt;3,"",AVERAGE($V$831:$V$833))</f>
        <v>0</v>
      </c>
      <c r="X833">
        <f>IF(COUNT($N$820:$N$833)&lt;14,"",MIN($N$820:$N$833))</f>
        <v>0</v>
      </c>
      <c r="Y833">
        <f>IF(COUNT($N$820:$N$833)&lt;14,"",MAX($N$820:$N$833))</f>
        <v>0</v>
      </c>
      <c r="Z833">
        <f>IF(OR(N833="",X833="",Y833="",Y833=X833),"",100*(N833-X833)/(Y833-X833))</f>
        <v>0</v>
      </c>
      <c r="AA833">
        <f>IF(COUNT($Z$831:$Z$833)&lt;3,"",AVERAGE($Z$831:$Z$833))</f>
        <v>0</v>
      </c>
      <c r="AB833">
        <f>IF(COUNT($AA$831:$AA$833)&lt;3,"",AVERAGE($AA$831:$AA$833))</f>
        <v>0</v>
      </c>
      <c r="AC833">
        <f>IF($E833="","",MAX($C833-$D833,ABS($C833-$E832),ABS($D833-$E832)))</f>
        <v>0</v>
      </c>
      <c r="AD833">
        <f>IF(COUNT($E$2:$E833)&lt;15,"",AVERAGE($AC$820:$AC$833))</f>
        <v>0</v>
      </c>
      <c r="AE833">
        <f>IF(OR($E833="",$E832=""),"",IF(AND(($C833-$C832)&gt;($D832-$D833),($C833-$C832)&gt;0),$C833-$C832,0))</f>
        <v>0</v>
      </c>
      <c r="AF833">
        <f>IF(OR($E833="",$E832=""),"",IF(AND(($D832-$D833)&gt;($C833-$C832),($D832-$D833)&gt;0),$D832-$D833,0))</f>
        <v>0</v>
      </c>
      <c r="AG833">
        <f>IF(COUNT($E$2:$E833)&lt;15,"",IF(SUM($AC$820:$AC$833)=0,0,100*SUM($AE$820:$AE$833)/SUM($AC$820:$AC$833)))</f>
        <v>0</v>
      </c>
      <c r="AH833">
        <f>IF(COUNT($E$2:$E833)&lt;15,"",IF(SUM($AC$820:$AC$833)=0,0,100*SUM($AF$820:$AF$833)/SUM($AC$820:$AC$833)))</f>
        <v>0</v>
      </c>
      <c r="AI833">
        <f>IF(OR(AG833="",AH833=""),"",IF((AG833+AH833)=0,0,100*ABS(AG833-AH833)/(AG833+AH833)))</f>
        <v>0</v>
      </c>
      <c r="AJ833">
        <f>IF(COUNT($AI$820:$AI$833)&lt;14,"",AVERAGE($AI$820:$AI$833))</f>
        <v>0</v>
      </c>
      <c r="AK833">
        <f>IF(COUNT($E$2:$E833)&lt;20,"",AVERAGE($E$814:$E$833))</f>
        <v>0</v>
      </c>
      <c r="AL833">
        <f>IF(COUNT($E$2:$E833)&lt;20,"",STDEVP($E$814:$E$833))</f>
        <v>0</v>
      </c>
      <c r="AM833">
        <f>IF(AK833="","",AK833+2*AL833)</f>
        <v>0</v>
      </c>
      <c r="AN833">
        <f>IF(AK833="","",AK833-2*AL833)</f>
        <v>0</v>
      </c>
      <c r="AO833">
        <f>IF(OR(AM833="",AN833="",AM833=AN833),"",($E833-AN833)/(AM833-AN833))</f>
        <v>0</v>
      </c>
      <c r="AP833">
        <f>IF(OR(AM833="",AK833="",AK833=0),"",(AM833-AN833)/AK833)</f>
        <v>0</v>
      </c>
      <c r="AQ833">
        <f>IF(COUNT($E$2:$E833)&lt;20,"",MAX($C$814:$C$833))</f>
        <v>0</v>
      </c>
      <c r="AR833">
        <f>IF(COUNT($E$2:$E833)&lt;20,"",MIN($D$814:$D$833))</f>
        <v>0</v>
      </c>
      <c r="AS833">
        <f>IF(OR(AQ833="",AR833=""),"",(AQ833+AR833)/2)</f>
        <v>0</v>
      </c>
      <c r="AT833">
        <f>IF(COUNT($G$814:$G$833)&lt;20,"",STDEV($G$814:$G$833)*SQRT(252))</f>
        <v>0</v>
      </c>
      <c r="AU833">
        <f>IF(COUNT($E$2:$E833)&lt;9,"",(MAX($C$825:$C$833)+MIN($D$825:$D$833))/2)</f>
        <v>0</v>
      </c>
      <c r="AV833">
        <f>IF(COUNT($E$2:$E833)&lt;26,"",(MAX($C$808:$C$833)+MIN($D$808:$D$833))/2)</f>
        <v>0</v>
      </c>
      <c r="AW833">
        <f>IF(OR(AU833="",AV833=""),"",(AU833+AV833)/2)</f>
        <v>0</v>
      </c>
      <c r="AX833">
        <f>IF(COUNT($E$2:$E833)&lt;52,"",(MAX($C$782:$C$833)+MIN($D$782:$D$833))/2)</f>
        <v>0</v>
      </c>
      <c r="AY833">
        <f>IF(COUNT($E$2:$E833)&lt;20,"",MAX($C$734:$C$833))</f>
        <v>0</v>
      </c>
      <c r="AZ833">
        <f>IF(COUNT($E$2:$E833)&lt;20,"",MIN($D$734:$D$833))</f>
        <v>0</v>
      </c>
      <c r="BA833">
        <f>IF(COUNT($E$2:$E833)&lt;20,"",SLOPE($E$734:$E$833,$F$734:$F$833))</f>
        <v>0</v>
      </c>
      <c r="BB833">
        <f>IF(COUNT($E$2:$E833)&lt;20,"",INTERCEPT($E$734:$E$833,$F$734:$F$833))</f>
        <v>0</v>
      </c>
      <c r="BC833">
        <f>IF(OR(BA833="",BB833=""),"",BB833+BA833*F833)</f>
        <v>0</v>
      </c>
      <c r="BD833">
        <f>IF(COUNT($E$2:$E833)&lt;20,"",STEYX($E$734:$E$833,$F$734:$F$833))</f>
        <v>0</v>
      </c>
      <c r="BE833">
        <f>IF($E833="","",IF(AND(COUNT($E$834:$E$837)&gt;=4,$C833=MAX($C$829:$C$837)),$C833,""))</f>
        <v>0</v>
      </c>
      <c r="BF833">
        <f>IF($E833="","",IF(AND(COUNT($E$834:$E$837)&gt;=4,$D833=MIN($D$829:$D$837)),$D833,""))</f>
        <v>0</v>
      </c>
      <c r="BG833">
        <f>IF($A833="","",$A833-WEEKDAY($A833,2)+1)</f>
        <v>0</v>
      </c>
      <c r="BH833">
        <f>IF($A833="","",IF($A832="",1,IF(BG833&lt;&gt;BG832,1,0)))</f>
        <v>0</v>
      </c>
      <c r="BI833">
        <f>IF($A833="","",IF($A834="",1,IF(BG834&lt;&gt;BG833,1,0)))</f>
        <v>0</v>
      </c>
      <c r="BJ833">
        <f>IF($A833="","",IF(BH833=1,$B833,BJ832))</f>
        <v>0</v>
      </c>
      <c r="BK833">
        <f>IF($A833="","",IF(BH833=1,$C833,MAX($C833,BK832)))</f>
        <v>0</v>
      </c>
      <c r="BL833">
        <f>IF($A833="","",IF(BH833=1,$D833,MIN($D833,BL832)))</f>
        <v>0</v>
      </c>
      <c r="BM833">
        <f>IF($A833="","",IF(BI833=1,F833,""))</f>
        <v>0</v>
      </c>
      <c r="BN833">
        <f>IF($A833="","",DATE(YEAR($A833),MONTH($A833),1))</f>
        <v>0</v>
      </c>
      <c r="BO833">
        <f>IF($A833="","",IF($A832="",1,IF(BN833&lt;&gt;BN832,1,0)))</f>
        <v>0</v>
      </c>
      <c r="BP833">
        <f>IF($A833="","",IF($A834="",1,IF(BN834&lt;&gt;BN833,1,0)))</f>
        <v>0</v>
      </c>
      <c r="BQ833">
        <f>IF($A833="","",IF(BO833=1,$B833,BQ832))</f>
        <v>0</v>
      </c>
      <c r="BR833">
        <f>IF($A833="","",IF(BO833=1,$C833,MAX($C833,BR832)))</f>
        <v>0</v>
      </c>
      <c r="BS833">
        <f>IF($A833="","",IF(BO833=1,$D833,MIN($D833,BS832)))</f>
        <v>0</v>
      </c>
      <c r="BT833">
        <f>IF($A833="","",IF(BP833=1,F833,""))</f>
        <v>0</v>
      </c>
    </row>
    <row r="834" spans="1:72">
      <c r="A834" s="27">
        <f>IF(Data!$A834="","",Data!$A834)</f>
        <v>0</v>
      </c>
      <c r="B834">
        <f>IF(Data!$B834="","",Data!$B834)</f>
        <v>0</v>
      </c>
      <c r="C834">
        <f>IF(Data!$C834="","",Data!$C834)</f>
        <v>0</v>
      </c>
      <c r="D834">
        <f>IF(Data!$D834="","",Data!$D834)</f>
        <v>0</v>
      </c>
      <c r="E834">
        <f>IF(Data!$E834="","",Data!$E834)</f>
        <v>0</v>
      </c>
      <c r="F834">
        <f>IF($E834="","",N(F833)+1)</f>
        <v>0</v>
      </c>
      <c r="G834">
        <f>IF(OR($E834="",$E833=""),"",LN($E834/$E833))</f>
        <v>0</v>
      </c>
      <c r="H834">
        <f>IF($E834="","",IF($E833="",$E834,$E834*0.0952380952+H833*0.9047619048))</f>
        <v>0</v>
      </c>
      <c r="I834">
        <f>IF($E834="","",IF($E833="",$E834,$E834*0.0392156863+I833*0.9607843137))</f>
        <v>0</v>
      </c>
      <c r="J834">
        <f>IF($E834="","",IF($E833="",$E834,$E834*0.0198019802+J833*0.9801980198))</f>
        <v>0</v>
      </c>
      <c r="K834">
        <f>IF($E834="","",IF($E833="",$E834,$E834*0.0099502488+K833*0.9900497512))</f>
        <v>0</v>
      </c>
      <c r="L834">
        <f>IF(OR($E834="",$E833=""),"",MAX($E834-$E833,0))</f>
        <v>0</v>
      </c>
      <c r="M834">
        <f>IF(OR($E834="",$E833=""),"",MAX($E833-$E834,0))</f>
        <v>0</v>
      </c>
      <c r="N834">
        <f>IF(COUNT($E$2:$E834)&lt;15,"",IF(AVERAGE($M$821:$M$834)=0,100,100-100/(1+AVERAGE($L$821:$L$834)/AVERAGE($M$821:$M$834))))</f>
        <v>0</v>
      </c>
      <c r="O834">
        <f>IF($E834="","",IF($E833="",$E834,$E834*0.1538461538+O833*0.8461538462))</f>
        <v>0</v>
      </c>
      <c r="P834">
        <f>IF($E834="","",IF($E833="",$E834,$E834*0.0740740741+P833*0.9259259259))</f>
        <v>0</v>
      </c>
      <c r="Q834">
        <f>IF(OR(O834="",P834=""),"",O834-P834)</f>
        <v>0</v>
      </c>
      <c r="R834">
        <f>IF(Q834="","",IF(R833="",Q834,Q834*0.2000000000+R833*0.8000000000))</f>
        <v>0</v>
      </c>
      <c r="S834">
        <f>IF(OR(Q834="",R834=""),"",Q834-R834)</f>
        <v>0</v>
      </c>
      <c r="T834">
        <f>IF(COUNT($E$2:$E834)&lt;14,"",MAX($C$821:$C$834))</f>
        <v>0</v>
      </c>
      <c r="U834">
        <f>IF(COUNT($E$2:$E834)&lt;14,"",MIN($D$821:$D$834))</f>
        <v>0</v>
      </c>
      <c r="V834">
        <f>IF(OR(T834="",U834="",T834=U834),"",100*($E834-U834)/(T834-U834))</f>
        <v>0</v>
      </c>
      <c r="W834">
        <f>IF(COUNT($V$832:$V$834)&lt;3,"",AVERAGE($V$832:$V$834))</f>
        <v>0</v>
      </c>
      <c r="X834">
        <f>IF(COUNT($N$821:$N$834)&lt;14,"",MIN($N$821:$N$834))</f>
        <v>0</v>
      </c>
      <c r="Y834">
        <f>IF(COUNT($N$821:$N$834)&lt;14,"",MAX($N$821:$N$834))</f>
        <v>0</v>
      </c>
      <c r="Z834">
        <f>IF(OR(N834="",X834="",Y834="",Y834=X834),"",100*(N834-X834)/(Y834-X834))</f>
        <v>0</v>
      </c>
      <c r="AA834">
        <f>IF(COUNT($Z$832:$Z$834)&lt;3,"",AVERAGE($Z$832:$Z$834))</f>
        <v>0</v>
      </c>
      <c r="AB834">
        <f>IF(COUNT($AA$832:$AA$834)&lt;3,"",AVERAGE($AA$832:$AA$834))</f>
        <v>0</v>
      </c>
      <c r="AC834">
        <f>IF($E834="","",MAX($C834-$D834,ABS($C834-$E833),ABS($D834-$E833)))</f>
        <v>0</v>
      </c>
      <c r="AD834">
        <f>IF(COUNT($E$2:$E834)&lt;15,"",AVERAGE($AC$821:$AC$834))</f>
        <v>0</v>
      </c>
      <c r="AE834">
        <f>IF(OR($E834="",$E833=""),"",IF(AND(($C834-$C833)&gt;($D833-$D834),($C834-$C833)&gt;0),$C834-$C833,0))</f>
        <v>0</v>
      </c>
      <c r="AF834">
        <f>IF(OR($E834="",$E833=""),"",IF(AND(($D833-$D834)&gt;($C834-$C833),($D833-$D834)&gt;0),$D833-$D834,0))</f>
        <v>0</v>
      </c>
      <c r="AG834">
        <f>IF(COUNT($E$2:$E834)&lt;15,"",IF(SUM($AC$821:$AC$834)=0,0,100*SUM($AE$821:$AE$834)/SUM($AC$821:$AC$834)))</f>
        <v>0</v>
      </c>
      <c r="AH834">
        <f>IF(COUNT($E$2:$E834)&lt;15,"",IF(SUM($AC$821:$AC$834)=0,0,100*SUM($AF$821:$AF$834)/SUM($AC$821:$AC$834)))</f>
        <v>0</v>
      </c>
      <c r="AI834">
        <f>IF(OR(AG834="",AH834=""),"",IF((AG834+AH834)=0,0,100*ABS(AG834-AH834)/(AG834+AH834)))</f>
        <v>0</v>
      </c>
      <c r="AJ834">
        <f>IF(COUNT($AI$821:$AI$834)&lt;14,"",AVERAGE($AI$821:$AI$834))</f>
        <v>0</v>
      </c>
      <c r="AK834">
        <f>IF(COUNT($E$2:$E834)&lt;20,"",AVERAGE($E$815:$E$834))</f>
        <v>0</v>
      </c>
      <c r="AL834">
        <f>IF(COUNT($E$2:$E834)&lt;20,"",STDEVP($E$815:$E$834))</f>
        <v>0</v>
      </c>
      <c r="AM834">
        <f>IF(AK834="","",AK834+2*AL834)</f>
        <v>0</v>
      </c>
      <c r="AN834">
        <f>IF(AK834="","",AK834-2*AL834)</f>
        <v>0</v>
      </c>
      <c r="AO834">
        <f>IF(OR(AM834="",AN834="",AM834=AN834),"",($E834-AN834)/(AM834-AN834))</f>
        <v>0</v>
      </c>
      <c r="AP834">
        <f>IF(OR(AM834="",AK834="",AK834=0),"",(AM834-AN834)/AK834)</f>
        <v>0</v>
      </c>
      <c r="AQ834">
        <f>IF(COUNT($E$2:$E834)&lt;20,"",MAX($C$815:$C$834))</f>
        <v>0</v>
      </c>
      <c r="AR834">
        <f>IF(COUNT($E$2:$E834)&lt;20,"",MIN($D$815:$D$834))</f>
        <v>0</v>
      </c>
      <c r="AS834">
        <f>IF(OR(AQ834="",AR834=""),"",(AQ834+AR834)/2)</f>
        <v>0</v>
      </c>
      <c r="AT834">
        <f>IF(COUNT($G$815:$G$834)&lt;20,"",STDEV($G$815:$G$834)*SQRT(252))</f>
        <v>0</v>
      </c>
      <c r="AU834">
        <f>IF(COUNT($E$2:$E834)&lt;9,"",(MAX($C$826:$C$834)+MIN($D$826:$D$834))/2)</f>
        <v>0</v>
      </c>
      <c r="AV834">
        <f>IF(COUNT($E$2:$E834)&lt;26,"",(MAX($C$809:$C$834)+MIN($D$809:$D$834))/2)</f>
        <v>0</v>
      </c>
      <c r="AW834">
        <f>IF(OR(AU834="",AV834=""),"",(AU834+AV834)/2)</f>
        <v>0</v>
      </c>
      <c r="AX834">
        <f>IF(COUNT($E$2:$E834)&lt;52,"",(MAX($C$783:$C$834)+MIN($D$783:$D$834))/2)</f>
        <v>0</v>
      </c>
      <c r="AY834">
        <f>IF(COUNT($E$2:$E834)&lt;20,"",MAX($C$735:$C$834))</f>
        <v>0</v>
      </c>
      <c r="AZ834">
        <f>IF(COUNT($E$2:$E834)&lt;20,"",MIN($D$735:$D$834))</f>
        <v>0</v>
      </c>
      <c r="BA834">
        <f>IF(COUNT($E$2:$E834)&lt;20,"",SLOPE($E$735:$E$834,$F$735:$F$834))</f>
        <v>0</v>
      </c>
      <c r="BB834">
        <f>IF(COUNT($E$2:$E834)&lt;20,"",INTERCEPT($E$735:$E$834,$F$735:$F$834))</f>
        <v>0</v>
      </c>
      <c r="BC834">
        <f>IF(OR(BA834="",BB834=""),"",BB834+BA834*F834)</f>
        <v>0</v>
      </c>
      <c r="BD834">
        <f>IF(COUNT($E$2:$E834)&lt;20,"",STEYX($E$735:$E$834,$F$735:$F$834))</f>
        <v>0</v>
      </c>
      <c r="BE834">
        <f>IF($E834="","",IF(AND(COUNT($E$835:$E$838)&gt;=4,$C834=MAX($C$830:$C$838)),$C834,""))</f>
        <v>0</v>
      </c>
      <c r="BF834">
        <f>IF($E834="","",IF(AND(COUNT($E$835:$E$838)&gt;=4,$D834=MIN($D$830:$D$838)),$D834,""))</f>
        <v>0</v>
      </c>
      <c r="BG834">
        <f>IF($A834="","",$A834-WEEKDAY($A834,2)+1)</f>
        <v>0</v>
      </c>
      <c r="BH834">
        <f>IF($A834="","",IF($A833="",1,IF(BG834&lt;&gt;BG833,1,0)))</f>
        <v>0</v>
      </c>
      <c r="BI834">
        <f>IF($A834="","",IF($A835="",1,IF(BG835&lt;&gt;BG834,1,0)))</f>
        <v>0</v>
      </c>
      <c r="BJ834">
        <f>IF($A834="","",IF(BH834=1,$B834,BJ833))</f>
        <v>0</v>
      </c>
      <c r="BK834">
        <f>IF($A834="","",IF(BH834=1,$C834,MAX($C834,BK833)))</f>
        <v>0</v>
      </c>
      <c r="BL834">
        <f>IF($A834="","",IF(BH834=1,$D834,MIN($D834,BL833)))</f>
        <v>0</v>
      </c>
      <c r="BM834">
        <f>IF($A834="","",IF(BI834=1,F834,""))</f>
        <v>0</v>
      </c>
      <c r="BN834">
        <f>IF($A834="","",DATE(YEAR($A834),MONTH($A834),1))</f>
        <v>0</v>
      </c>
      <c r="BO834">
        <f>IF($A834="","",IF($A833="",1,IF(BN834&lt;&gt;BN833,1,0)))</f>
        <v>0</v>
      </c>
      <c r="BP834">
        <f>IF($A834="","",IF($A835="",1,IF(BN835&lt;&gt;BN834,1,0)))</f>
        <v>0</v>
      </c>
      <c r="BQ834">
        <f>IF($A834="","",IF(BO834=1,$B834,BQ833))</f>
        <v>0</v>
      </c>
      <c r="BR834">
        <f>IF($A834="","",IF(BO834=1,$C834,MAX($C834,BR833)))</f>
        <v>0</v>
      </c>
      <c r="BS834">
        <f>IF($A834="","",IF(BO834=1,$D834,MIN($D834,BS833)))</f>
        <v>0</v>
      </c>
      <c r="BT834">
        <f>IF($A834="","",IF(BP834=1,F834,""))</f>
        <v>0</v>
      </c>
    </row>
    <row r="835" spans="1:72">
      <c r="A835" s="27">
        <f>IF(Data!$A835="","",Data!$A835)</f>
        <v>0</v>
      </c>
      <c r="B835">
        <f>IF(Data!$B835="","",Data!$B835)</f>
        <v>0</v>
      </c>
      <c r="C835">
        <f>IF(Data!$C835="","",Data!$C835)</f>
        <v>0</v>
      </c>
      <c r="D835">
        <f>IF(Data!$D835="","",Data!$D835)</f>
        <v>0</v>
      </c>
      <c r="E835">
        <f>IF(Data!$E835="","",Data!$E835)</f>
        <v>0</v>
      </c>
      <c r="F835">
        <f>IF($E835="","",N(F834)+1)</f>
        <v>0</v>
      </c>
      <c r="G835">
        <f>IF(OR($E835="",$E834=""),"",LN($E835/$E834))</f>
        <v>0</v>
      </c>
      <c r="H835">
        <f>IF($E835="","",IF($E834="",$E835,$E835*0.0952380952+H834*0.9047619048))</f>
        <v>0</v>
      </c>
      <c r="I835">
        <f>IF($E835="","",IF($E834="",$E835,$E835*0.0392156863+I834*0.9607843137))</f>
        <v>0</v>
      </c>
      <c r="J835">
        <f>IF($E835="","",IF($E834="",$E835,$E835*0.0198019802+J834*0.9801980198))</f>
        <v>0</v>
      </c>
      <c r="K835">
        <f>IF($E835="","",IF($E834="",$E835,$E835*0.0099502488+K834*0.9900497512))</f>
        <v>0</v>
      </c>
      <c r="L835">
        <f>IF(OR($E835="",$E834=""),"",MAX($E835-$E834,0))</f>
        <v>0</v>
      </c>
      <c r="M835">
        <f>IF(OR($E835="",$E834=""),"",MAX($E834-$E835,0))</f>
        <v>0</v>
      </c>
      <c r="N835">
        <f>IF(COUNT($E$2:$E835)&lt;15,"",IF(AVERAGE($M$822:$M$835)=0,100,100-100/(1+AVERAGE($L$822:$L$835)/AVERAGE($M$822:$M$835))))</f>
        <v>0</v>
      </c>
      <c r="O835">
        <f>IF($E835="","",IF($E834="",$E835,$E835*0.1538461538+O834*0.8461538462))</f>
        <v>0</v>
      </c>
      <c r="P835">
        <f>IF($E835="","",IF($E834="",$E835,$E835*0.0740740741+P834*0.9259259259))</f>
        <v>0</v>
      </c>
      <c r="Q835">
        <f>IF(OR(O835="",P835=""),"",O835-P835)</f>
        <v>0</v>
      </c>
      <c r="R835">
        <f>IF(Q835="","",IF(R834="",Q835,Q835*0.2000000000+R834*0.8000000000))</f>
        <v>0</v>
      </c>
      <c r="S835">
        <f>IF(OR(Q835="",R835=""),"",Q835-R835)</f>
        <v>0</v>
      </c>
      <c r="T835">
        <f>IF(COUNT($E$2:$E835)&lt;14,"",MAX($C$822:$C$835))</f>
        <v>0</v>
      </c>
      <c r="U835">
        <f>IF(COUNT($E$2:$E835)&lt;14,"",MIN($D$822:$D$835))</f>
        <v>0</v>
      </c>
      <c r="V835">
        <f>IF(OR(T835="",U835="",T835=U835),"",100*($E835-U835)/(T835-U835))</f>
        <v>0</v>
      </c>
      <c r="W835">
        <f>IF(COUNT($V$833:$V$835)&lt;3,"",AVERAGE($V$833:$V$835))</f>
        <v>0</v>
      </c>
      <c r="X835">
        <f>IF(COUNT($N$822:$N$835)&lt;14,"",MIN($N$822:$N$835))</f>
        <v>0</v>
      </c>
      <c r="Y835">
        <f>IF(COUNT($N$822:$N$835)&lt;14,"",MAX($N$822:$N$835))</f>
        <v>0</v>
      </c>
      <c r="Z835">
        <f>IF(OR(N835="",X835="",Y835="",Y835=X835),"",100*(N835-X835)/(Y835-X835))</f>
        <v>0</v>
      </c>
      <c r="AA835">
        <f>IF(COUNT($Z$833:$Z$835)&lt;3,"",AVERAGE($Z$833:$Z$835))</f>
        <v>0</v>
      </c>
      <c r="AB835">
        <f>IF(COUNT($AA$833:$AA$835)&lt;3,"",AVERAGE($AA$833:$AA$835))</f>
        <v>0</v>
      </c>
      <c r="AC835">
        <f>IF($E835="","",MAX($C835-$D835,ABS($C835-$E834),ABS($D835-$E834)))</f>
        <v>0</v>
      </c>
      <c r="AD835">
        <f>IF(COUNT($E$2:$E835)&lt;15,"",AVERAGE($AC$822:$AC$835))</f>
        <v>0</v>
      </c>
      <c r="AE835">
        <f>IF(OR($E835="",$E834=""),"",IF(AND(($C835-$C834)&gt;($D834-$D835),($C835-$C834)&gt;0),$C835-$C834,0))</f>
        <v>0</v>
      </c>
      <c r="AF835">
        <f>IF(OR($E835="",$E834=""),"",IF(AND(($D834-$D835)&gt;($C835-$C834),($D834-$D835)&gt;0),$D834-$D835,0))</f>
        <v>0</v>
      </c>
      <c r="AG835">
        <f>IF(COUNT($E$2:$E835)&lt;15,"",IF(SUM($AC$822:$AC$835)=0,0,100*SUM($AE$822:$AE$835)/SUM($AC$822:$AC$835)))</f>
        <v>0</v>
      </c>
      <c r="AH835">
        <f>IF(COUNT($E$2:$E835)&lt;15,"",IF(SUM($AC$822:$AC$835)=0,0,100*SUM($AF$822:$AF$835)/SUM($AC$822:$AC$835)))</f>
        <v>0</v>
      </c>
      <c r="AI835">
        <f>IF(OR(AG835="",AH835=""),"",IF((AG835+AH835)=0,0,100*ABS(AG835-AH835)/(AG835+AH835)))</f>
        <v>0</v>
      </c>
      <c r="AJ835">
        <f>IF(COUNT($AI$822:$AI$835)&lt;14,"",AVERAGE($AI$822:$AI$835))</f>
        <v>0</v>
      </c>
      <c r="AK835">
        <f>IF(COUNT($E$2:$E835)&lt;20,"",AVERAGE($E$816:$E$835))</f>
        <v>0</v>
      </c>
      <c r="AL835">
        <f>IF(COUNT($E$2:$E835)&lt;20,"",STDEVP($E$816:$E$835))</f>
        <v>0</v>
      </c>
      <c r="AM835">
        <f>IF(AK835="","",AK835+2*AL835)</f>
        <v>0</v>
      </c>
      <c r="AN835">
        <f>IF(AK835="","",AK835-2*AL835)</f>
        <v>0</v>
      </c>
      <c r="AO835">
        <f>IF(OR(AM835="",AN835="",AM835=AN835),"",($E835-AN835)/(AM835-AN835))</f>
        <v>0</v>
      </c>
      <c r="AP835">
        <f>IF(OR(AM835="",AK835="",AK835=0),"",(AM835-AN835)/AK835)</f>
        <v>0</v>
      </c>
      <c r="AQ835">
        <f>IF(COUNT($E$2:$E835)&lt;20,"",MAX($C$816:$C$835))</f>
        <v>0</v>
      </c>
      <c r="AR835">
        <f>IF(COUNT($E$2:$E835)&lt;20,"",MIN($D$816:$D$835))</f>
        <v>0</v>
      </c>
      <c r="AS835">
        <f>IF(OR(AQ835="",AR835=""),"",(AQ835+AR835)/2)</f>
        <v>0</v>
      </c>
      <c r="AT835">
        <f>IF(COUNT($G$816:$G$835)&lt;20,"",STDEV($G$816:$G$835)*SQRT(252))</f>
        <v>0</v>
      </c>
      <c r="AU835">
        <f>IF(COUNT($E$2:$E835)&lt;9,"",(MAX($C$827:$C$835)+MIN($D$827:$D$835))/2)</f>
        <v>0</v>
      </c>
      <c r="AV835">
        <f>IF(COUNT($E$2:$E835)&lt;26,"",(MAX($C$810:$C$835)+MIN($D$810:$D$835))/2)</f>
        <v>0</v>
      </c>
      <c r="AW835">
        <f>IF(OR(AU835="",AV835=""),"",(AU835+AV835)/2)</f>
        <v>0</v>
      </c>
      <c r="AX835">
        <f>IF(COUNT($E$2:$E835)&lt;52,"",(MAX($C$784:$C$835)+MIN($D$784:$D$835))/2)</f>
        <v>0</v>
      </c>
      <c r="AY835">
        <f>IF(COUNT($E$2:$E835)&lt;20,"",MAX($C$736:$C$835))</f>
        <v>0</v>
      </c>
      <c r="AZ835">
        <f>IF(COUNT($E$2:$E835)&lt;20,"",MIN($D$736:$D$835))</f>
        <v>0</v>
      </c>
      <c r="BA835">
        <f>IF(COUNT($E$2:$E835)&lt;20,"",SLOPE($E$736:$E$835,$F$736:$F$835))</f>
        <v>0</v>
      </c>
      <c r="BB835">
        <f>IF(COUNT($E$2:$E835)&lt;20,"",INTERCEPT($E$736:$E$835,$F$736:$F$835))</f>
        <v>0</v>
      </c>
      <c r="BC835">
        <f>IF(OR(BA835="",BB835=""),"",BB835+BA835*F835)</f>
        <v>0</v>
      </c>
      <c r="BD835">
        <f>IF(COUNT($E$2:$E835)&lt;20,"",STEYX($E$736:$E$835,$F$736:$F$835))</f>
        <v>0</v>
      </c>
      <c r="BE835">
        <f>IF($E835="","",IF(AND(COUNT($E$836:$E$839)&gt;=4,$C835=MAX($C$831:$C$839)),$C835,""))</f>
        <v>0</v>
      </c>
      <c r="BF835">
        <f>IF($E835="","",IF(AND(COUNT($E$836:$E$839)&gt;=4,$D835=MIN($D$831:$D$839)),$D835,""))</f>
        <v>0</v>
      </c>
      <c r="BG835">
        <f>IF($A835="","",$A835-WEEKDAY($A835,2)+1)</f>
        <v>0</v>
      </c>
      <c r="BH835">
        <f>IF($A835="","",IF($A834="",1,IF(BG835&lt;&gt;BG834,1,0)))</f>
        <v>0</v>
      </c>
      <c r="BI835">
        <f>IF($A835="","",IF($A836="",1,IF(BG836&lt;&gt;BG835,1,0)))</f>
        <v>0</v>
      </c>
      <c r="BJ835">
        <f>IF($A835="","",IF(BH835=1,$B835,BJ834))</f>
        <v>0</v>
      </c>
      <c r="BK835">
        <f>IF($A835="","",IF(BH835=1,$C835,MAX($C835,BK834)))</f>
        <v>0</v>
      </c>
      <c r="BL835">
        <f>IF($A835="","",IF(BH835=1,$D835,MIN($D835,BL834)))</f>
        <v>0</v>
      </c>
      <c r="BM835">
        <f>IF($A835="","",IF(BI835=1,F835,""))</f>
        <v>0</v>
      </c>
      <c r="BN835">
        <f>IF($A835="","",DATE(YEAR($A835),MONTH($A835),1))</f>
        <v>0</v>
      </c>
      <c r="BO835">
        <f>IF($A835="","",IF($A834="",1,IF(BN835&lt;&gt;BN834,1,0)))</f>
        <v>0</v>
      </c>
      <c r="BP835">
        <f>IF($A835="","",IF($A836="",1,IF(BN836&lt;&gt;BN835,1,0)))</f>
        <v>0</v>
      </c>
      <c r="BQ835">
        <f>IF($A835="","",IF(BO835=1,$B835,BQ834))</f>
        <v>0</v>
      </c>
      <c r="BR835">
        <f>IF($A835="","",IF(BO835=1,$C835,MAX($C835,BR834)))</f>
        <v>0</v>
      </c>
      <c r="BS835">
        <f>IF($A835="","",IF(BO835=1,$D835,MIN($D835,BS834)))</f>
        <v>0</v>
      </c>
      <c r="BT835">
        <f>IF($A835="","",IF(BP835=1,F835,""))</f>
        <v>0</v>
      </c>
    </row>
    <row r="836" spans="1:72">
      <c r="A836" s="27">
        <f>IF(Data!$A836="","",Data!$A836)</f>
        <v>0</v>
      </c>
      <c r="B836">
        <f>IF(Data!$B836="","",Data!$B836)</f>
        <v>0</v>
      </c>
      <c r="C836">
        <f>IF(Data!$C836="","",Data!$C836)</f>
        <v>0</v>
      </c>
      <c r="D836">
        <f>IF(Data!$D836="","",Data!$D836)</f>
        <v>0</v>
      </c>
      <c r="E836">
        <f>IF(Data!$E836="","",Data!$E836)</f>
        <v>0</v>
      </c>
      <c r="F836">
        <f>IF($E836="","",N(F835)+1)</f>
        <v>0</v>
      </c>
      <c r="G836">
        <f>IF(OR($E836="",$E835=""),"",LN($E836/$E835))</f>
        <v>0</v>
      </c>
      <c r="H836">
        <f>IF($E836="","",IF($E835="",$E836,$E836*0.0952380952+H835*0.9047619048))</f>
        <v>0</v>
      </c>
      <c r="I836">
        <f>IF($E836="","",IF($E835="",$E836,$E836*0.0392156863+I835*0.9607843137))</f>
        <v>0</v>
      </c>
      <c r="J836">
        <f>IF($E836="","",IF($E835="",$E836,$E836*0.0198019802+J835*0.9801980198))</f>
        <v>0</v>
      </c>
      <c r="K836">
        <f>IF($E836="","",IF($E835="",$E836,$E836*0.0099502488+K835*0.9900497512))</f>
        <v>0</v>
      </c>
      <c r="L836">
        <f>IF(OR($E836="",$E835=""),"",MAX($E836-$E835,0))</f>
        <v>0</v>
      </c>
      <c r="M836">
        <f>IF(OR($E836="",$E835=""),"",MAX($E835-$E836,0))</f>
        <v>0</v>
      </c>
      <c r="N836">
        <f>IF(COUNT($E$2:$E836)&lt;15,"",IF(AVERAGE($M$823:$M$836)=0,100,100-100/(1+AVERAGE($L$823:$L$836)/AVERAGE($M$823:$M$836))))</f>
        <v>0</v>
      </c>
      <c r="O836">
        <f>IF($E836="","",IF($E835="",$E836,$E836*0.1538461538+O835*0.8461538462))</f>
        <v>0</v>
      </c>
      <c r="P836">
        <f>IF($E836="","",IF($E835="",$E836,$E836*0.0740740741+P835*0.9259259259))</f>
        <v>0</v>
      </c>
      <c r="Q836">
        <f>IF(OR(O836="",P836=""),"",O836-P836)</f>
        <v>0</v>
      </c>
      <c r="R836">
        <f>IF(Q836="","",IF(R835="",Q836,Q836*0.2000000000+R835*0.8000000000))</f>
        <v>0</v>
      </c>
      <c r="S836">
        <f>IF(OR(Q836="",R836=""),"",Q836-R836)</f>
        <v>0</v>
      </c>
      <c r="T836">
        <f>IF(COUNT($E$2:$E836)&lt;14,"",MAX($C$823:$C$836))</f>
        <v>0</v>
      </c>
      <c r="U836">
        <f>IF(COUNT($E$2:$E836)&lt;14,"",MIN($D$823:$D$836))</f>
        <v>0</v>
      </c>
      <c r="V836">
        <f>IF(OR(T836="",U836="",T836=U836),"",100*($E836-U836)/(T836-U836))</f>
        <v>0</v>
      </c>
      <c r="W836">
        <f>IF(COUNT($V$834:$V$836)&lt;3,"",AVERAGE($V$834:$V$836))</f>
        <v>0</v>
      </c>
      <c r="X836">
        <f>IF(COUNT($N$823:$N$836)&lt;14,"",MIN($N$823:$N$836))</f>
        <v>0</v>
      </c>
      <c r="Y836">
        <f>IF(COUNT($N$823:$N$836)&lt;14,"",MAX($N$823:$N$836))</f>
        <v>0</v>
      </c>
      <c r="Z836">
        <f>IF(OR(N836="",X836="",Y836="",Y836=X836),"",100*(N836-X836)/(Y836-X836))</f>
        <v>0</v>
      </c>
      <c r="AA836">
        <f>IF(COUNT($Z$834:$Z$836)&lt;3,"",AVERAGE($Z$834:$Z$836))</f>
        <v>0</v>
      </c>
      <c r="AB836">
        <f>IF(COUNT($AA$834:$AA$836)&lt;3,"",AVERAGE($AA$834:$AA$836))</f>
        <v>0</v>
      </c>
      <c r="AC836">
        <f>IF($E836="","",MAX($C836-$D836,ABS($C836-$E835),ABS($D836-$E835)))</f>
        <v>0</v>
      </c>
      <c r="AD836">
        <f>IF(COUNT($E$2:$E836)&lt;15,"",AVERAGE($AC$823:$AC$836))</f>
        <v>0</v>
      </c>
      <c r="AE836">
        <f>IF(OR($E836="",$E835=""),"",IF(AND(($C836-$C835)&gt;($D835-$D836),($C836-$C835)&gt;0),$C836-$C835,0))</f>
        <v>0</v>
      </c>
      <c r="AF836">
        <f>IF(OR($E836="",$E835=""),"",IF(AND(($D835-$D836)&gt;($C836-$C835),($D835-$D836)&gt;0),$D835-$D836,0))</f>
        <v>0</v>
      </c>
      <c r="AG836">
        <f>IF(COUNT($E$2:$E836)&lt;15,"",IF(SUM($AC$823:$AC$836)=0,0,100*SUM($AE$823:$AE$836)/SUM($AC$823:$AC$836)))</f>
        <v>0</v>
      </c>
      <c r="AH836">
        <f>IF(COUNT($E$2:$E836)&lt;15,"",IF(SUM($AC$823:$AC$836)=0,0,100*SUM($AF$823:$AF$836)/SUM($AC$823:$AC$836)))</f>
        <v>0</v>
      </c>
      <c r="AI836">
        <f>IF(OR(AG836="",AH836=""),"",IF((AG836+AH836)=0,0,100*ABS(AG836-AH836)/(AG836+AH836)))</f>
        <v>0</v>
      </c>
      <c r="AJ836">
        <f>IF(COUNT($AI$823:$AI$836)&lt;14,"",AVERAGE($AI$823:$AI$836))</f>
        <v>0</v>
      </c>
      <c r="AK836">
        <f>IF(COUNT($E$2:$E836)&lt;20,"",AVERAGE($E$817:$E$836))</f>
        <v>0</v>
      </c>
      <c r="AL836">
        <f>IF(COUNT($E$2:$E836)&lt;20,"",STDEVP($E$817:$E$836))</f>
        <v>0</v>
      </c>
      <c r="AM836">
        <f>IF(AK836="","",AK836+2*AL836)</f>
        <v>0</v>
      </c>
      <c r="AN836">
        <f>IF(AK836="","",AK836-2*AL836)</f>
        <v>0</v>
      </c>
      <c r="AO836">
        <f>IF(OR(AM836="",AN836="",AM836=AN836),"",($E836-AN836)/(AM836-AN836))</f>
        <v>0</v>
      </c>
      <c r="AP836">
        <f>IF(OR(AM836="",AK836="",AK836=0),"",(AM836-AN836)/AK836)</f>
        <v>0</v>
      </c>
      <c r="AQ836">
        <f>IF(COUNT($E$2:$E836)&lt;20,"",MAX($C$817:$C$836))</f>
        <v>0</v>
      </c>
      <c r="AR836">
        <f>IF(COUNT($E$2:$E836)&lt;20,"",MIN($D$817:$D$836))</f>
        <v>0</v>
      </c>
      <c r="AS836">
        <f>IF(OR(AQ836="",AR836=""),"",(AQ836+AR836)/2)</f>
        <v>0</v>
      </c>
      <c r="AT836">
        <f>IF(COUNT($G$817:$G$836)&lt;20,"",STDEV($G$817:$G$836)*SQRT(252))</f>
        <v>0</v>
      </c>
      <c r="AU836">
        <f>IF(COUNT($E$2:$E836)&lt;9,"",(MAX($C$828:$C$836)+MIN($D$828:$D$836))/2)</f>
        <v>0</v>
      </c>
      <c r="AV836">
        <f>IF(COUNT($E$2:$E836)&lt;26,"",(MAX($C$811:$C$836)+MIN($D$811:$D$836))/2)</f>
        <v>0</v>
      </c>
      <c r="AW836">
        <f>IF(OR(AU836="",AV836=""),"",(AU836+AV836)/2)</f>
        <v>0</v>
      </c>
      <c r="AX836">
        <f>IF(COUNT($E$2:$E836)&lt;52,"",(MAX($C$785:$C$836)+MIN($D$785:$D$836))/2)</f>
        <v>0</v>
      </c>
      <c r="AY836">
        <f>IF(COUNT($E$2:$E836)&lt;20,"",MAX($C$737:$C$836))</f>
        <v>0</v>
      </c>
      <c r="AZ836">
        <f>IF(COUNT($E$2:$E836)&lt;20,"",MIN($D$737:$D$836))</f>
        <v>0</v>
      </c>
      <c r="BA836">
        <f>IF(COUNT($E$2:$E836)&lt;20,"",SLOPE($E$737:$E$836,$F$737:$F$836))</f>
        <v>0</v>
      </c>
      <c r="BB836">
        <f>IF(COUNT($E$2:$E836)&lt;20,"",INTERCEPT($E$737:$E$836,$F$737:$F$836))</f>
        <v>0</v>
      </c>
      <c r="BC836">
        <f>IF(OR(BA836="",BB836=""),"",BB836+BA836*F836)</f>
        <v>0</v>
      </c>
      <c r="BD836">
        <f>IF(COUNT($E$2:$E836)&lt;20,"",STEYX($E$737:$E$836,$F$737:$F$836))</f>
        <v>0</v>
      </c>
      <c r="BE836">
        <f>IF($E836="","",IF(AND(COUNT($E$837:$E$840)&gt;=4,$C836=MAX($C$832:$C$840)),$C836,""))</f>
        <v>0</v>
      </c>
      <c r="BF836">
        <f>IF($E836="","",IF(AND(COUNT($E$837:$E$840)&gt;=4,$D836=MIN($D$832:$D$840)),$D836,""))</f>
        <v>0</v>
      </c>
      <c r="BG836">
        <f>IF($A836="","",$A836-WEEKDAY($A836,2)+1)</f>
        <v>0</v>
      </c>
      <c r="BH836">
        <f>IF($A836="","",IF($A835="",1,IF(BG836&lt;&gt;BG835,1,0)))</f>
        <v>0</v>
      </c>
      <c r="BI836">
        <f>IF($A836="","",IF($A837="",1,IF(BG837&lt;&gt;BG836,1,0)))</f>
        <v>0</v>
      </c>
      <c r="BJ836">
        <f>IF($A836="","",IF(BH836=1,$B836,BJ835))</f>
        <v>0</v>
      </c>
      <c r="BK836">
        <f>IF($A836="","",IF(BH836=1,$C836,MAX($C836,BK835)))</f>
        <v>0</v>
      </c>
      <c r="BL836">
        <f>IF($A836="","",IF(BH836=1,$D836,MIN($D836,BL835)))</f>
        <v>0</v>
      </c>
      <c r="BM836">
        <f>IF($A836="","",IF(BI836=1,F836,""))</f>
        <v>0</v>
      </c>
      <c r="BN836">
        <f>IF($A836="","",DATE(YEAR($A836),MONTH($A836),1))</f>
        <v>0</v>
      </c>
      <c r="BO836">
        <f>IF($A836="","",IF($A835="",1,IF(BN836&lt;&gt;BN835,1,0)))</f>
        <v>0</v>
      </c>
      <c r="BP836">
        <f>IF($A836="","",IF($A837="",1,IF(BN837&lt;&gt;BN836,1,0)))</f>
        <v>0</v>
      </c>
      <c r="BQ836">
        <f>IF($A836="","",IF(BO836=1,$B836,BQ835))</f>
        <v>0</v>
      </c>
      <c r="BR836">
        <f>IF($A836="","",IF(BO836=1,$C836,MAX($C836,BR835)))</f>
        <v>0</v>
      </c>
      <c r="BS836">
        <f>IF($A836="","",IF(BO836=1,$D836,MIN($D836,BS835)))</f>
        <v>0</v>
      </c>
      <c r="BT836">
        <f>IF($A836="","",IF(BP836=1,F836,""))</f>
        <v>0</v>
      </c>
    </row>
    <row r="837" spans="1:72">
      <c r="A837" s="27">
        <f>IF(Data!$A837="","",Data!$A837)</f>
        <v>0</v>
      </c>
      <c r="B837">
        <f>IF(Data!$B837="","",Data!$B837)</f>
        <v>0</v>
      </c>
      <c r="C837">
        <f>IF(Data!$C837="","",Data!$C837)</f>
        <v>0</v>
      </c>
      <c r="D837">
        <f>IF(Data!$D837="","",Data!$D837)</f>
        <v>0</v>
      </c>
      <c r="E837">
        <f>IF(Data!$E837="","",Data!$E837)</f>
        <v>0</v>
      </c>
      <c r="F837">
        <f>IF($E837="","",N(F836)+1)</f>
        <v>0</v>
      </c>
      <c r="G837">
        <f>IF(OR($E837="",$E836=""),"",LN($E837/$E836))</f>
        <v>0</v>
      </c>
      <c r="H837">
        <f>IF($E837="","",IF($E836="",$E837,$E837*0.0952380952+H836*0.9047619048))</f>
        <v>0</v>
      </c>
      <c r="I837">
        <f>IF($E837="","",IF($E836="",$E837,$E837*0.0392156863+I836*0.9607843137))</f>
        <v>0</v>
      </c>
      <c r="J837">
        <f>IF($E837="","",IF($E836="",$E837,$E837*0.0198019802+J836*0.9801980198))</f>
        <v>0</v>
      </c>
      <c r="K837">
        <f>IF($E837="","",IF($E836="",$E837,$E837*0.0099502488+K836*0.9900497512))</f>
        <v>0</v>
      </c>
      <c r="L837">
        <f>IF(OR($E837="",$E836=""),"",MAX($E837-$E836,0))</f>
        <v>0</v>
      </c>
      <c r="M837">
        <f>IF(OR($E837="",$E836=""),"",MAX($E836-$E837,0))</f>
        <v>0</v>
      </c>
      <c r="N837">
        <f>IF(COUNT($E$2:$E837)&lt;15,"",IF(AVERAGE($M$824:$M$837)=0,100,100-100/(1+AVERAGE($L$824:$L$837)/AVERAGE($M$824:$M$837))))</f>
        <v>0</v>
      </c>
      <c r="O837">
        <f>IF($E837="","",IF($E836="",$E837,$E837*0.1538461538+O836*0.8461538462))</f>
        <v>0</v>
      </c>
      <c r="P837">
        <f>IF($E837="","",IF($E836="",$E837,$E837*0.0740740741+P836*0.9259259259))</f>
        <v>0</v>
      </c>
      <c r="Q837">
        <f>IF(OR(O837="",P837=""),"",O837-P837)</f>
        <v>0</v>
      </c>
      <c r="R837">
        <f>IF(Q837="","",IF(R836="",Q837,Q837*0.2000000000+R836*0.8000000000))</f>
        <v>0</v>
      </c>
      <c r="S837">
        <f>IF(OR(Q837="",R837=""),"",Q837-R837)</f>
        <v>0</v>
      </c>
      <c r="T837">
        <f>IF(COUNT($E$2:$E837)&lt;14,"",MAX($C$824:$C$837))</f>
        <v>0</v>
      </c>
      <c r="U837">
        <f>IF(COUNT($E$2:$E837)&lt;14,"",MIN($D$824:$D$837))</f>
        <v>0</v>
      </c>
      <c r="V837">
        <f>IF(OR(T837="",U837="",T837=U837),"",100*($E837-U837)/(T837-U837))</f>
        <v>0</v>
      </c>
      <c r="W837">
        <f>IF(COUNT($V$835:$V$837)&lt;3,"",AVERAGE($V$835:$V$837))</f>
        <v>0</v>
      </c>
      <c r="X837">
        <f>IF(COUNT($N$824:$N$837)&lt;14,"",MIN($N$824:$N$837))</f>
        <v>0</v>
      </c>
      <c r="Y837">
        <f>IF(COUNT($N$824:$N$837)&lt;14,"",MAX($N$824:$N$837))</f>
        <v>0</v>
      </c>
      <c r="Z837">
        <f>IF(OR(N837="",X837="",Y837="",Y837=X837),"",100*(N837-X837)/(Y837-X837))</f>
        <v>0</v>
      </c>
      <c r="AA837">
        <f>IF(COUNT($Z$835:$Z$837)&lt;3,"",AVERAGE($Z$835:$Z$837))</f>
        <v>0</v>
      </c>
      <c r="AB837">
        <f>IF(COUNT($AA$835:$AA$837)&lt;3,"",AVERAGE($AA$835:$AA$837))</f>
        <v>0</v>
      </c>
      <c r="AC837">
        <f>IF($E837="","",MAX($C837-$D837,ABS($C837-$E836),ABS($D837-$E836)))</f>
        <v>0</v>
      </c>
      <c r="AD837">
        <f>IF(COUNT($E$2:$E837)&lt;15,"",AVERAGE($AC$824:$AC$837))</f>
        <v>0</v>
      </c>
      <c r="AE837">
        <f>IF(OR($E837="",$E836=""),"",IF(AND(($C837-$C836)&gt;($D836-$D837),($C837-$C836)&gt;0),$C837-$C836,0))</f>
        <v>0</v>
      </c>
      <c r="AF837">
        <f>IF(OR($E837="",$E836=""),"",IF(AND(($D836-$D837)&gt;($C837-$C836),($D836-$D837)&gt;0),$D836-$D837,0))</f>
        <v>0</v>
      </c>
      <c r="AG837">
        <f>IF(COUNT($E$2:$E837)&lt;15,"",IF(SUM($AC$824:$AC$837)=0,0,100*SUM($AE$824:$AE$837)/SUM($AC$824:$AC$837)))</f>
        <v>0</v>
      </c>
      <c r="AH837">
        <f>IF(COUNT($E$2:$E837)&lt;15,"",IF(SUM($AC$824:$AC$837)=0,0,100*SUM($AF$824:$AF$837)/SUM($AC$824:$AC$837)))</f>
        <v>0</v>
      </c>
      <c r="AI837">
        <f>IF(OR(AG837="",AH837=""),"",IF((AG837+AH837)=0,0,100*ABS(AG837-AH837)/(AG837+AH837)))</f>
        <v>0</v>
      </c>
      <c r="AJ837">
        <f>IF(COUNT($AI$824:$AI$837)&lt;14,"",AVERAGE($AI$824:$AI$837))</f>
        <v>0</v>
      </c>
      <c r="AK837">
        <f>IF(COUNT($E$2:$E837)&lt;20,"",AVERAGE($E$818:$E$837))</f>
        <v>0</v>
      </c>
      <c r="AL837">
        <f>IF(COUNT($E$2:$E837)&lt;20,"",STDEVP($E$818:$E$837))</f>
        <v>0</v>
      </c>
      <c r="AM837">
        <f>IF(AK837="","",AK837+2*AL837)</f>
        <v>0</v>
      </c>
      <c r="AN837">
        <f>IF(AK837="","",AK837-2*AL837)</f>
        <v>0</v>
      </c>
      <c r="AO837">
        <f>IF(OR(AM837="",AN837="",AM837=AN837),"",($E837-AN837)/(AM837-AN837))</f>
        <v>0</v>
      </c>
      <c r="AP837">
        <f>IF(OR(AM837="",AK837="",AK837=0),"",(AM837-AN837)/AK837)</f>
        <v>0</v>
      </c>
      <c r="AQ837">
        <f>IF(COUNT($E$2:$E837)&lt;20,"",MAX($C$818:$C$837))</f>
        <v>0</v>
      </c>
      <c r="AR837">
        <f>IF(COUNT($E$2:$E837)&lt;20,"",MIN($D$818:$D$837))</f>
        <v>0</v>
      </c>
      <c r="AS837">
        <f>IF(OR(AQ837="",AR837=""),"",(AQ837+AR837)/2)</f>
        <v>0</v>
      </c>
      <c r="AT837">
        <f>IF(COUNT($G$818:$G$837)&lt;20,"",STDEV($G$818:$G$837)*SQRT(252))</f>
        <v>0</v>
      </c>
      <c r="AU837">
        <f>IF(COUNT($E$2:$E837)&lt;9,"",(MAX($C$829:$C$837)+MIN($D$829:$D$837))/2)</f>
        <v>0</v>
      </c>
      <c r="AV837">
        <f>IF(COUNT($E$2:$E837)&lt;26,"",(MAX($C$812:$C$837)+MIN($D$812:$D$837))/2)</f>
        <v>0</v>
      </c>
      <c r="AW837">
        <f>IF(OR(AU837="",AV837=""),"",(AU837+AV837)/2)</f>
        <v>0</v>
      </c>
      <c r="AX837">
        <f>IF(COUNT($E$2:$E837)&lt;52,"",(MAX($C$786:$C$837)+MIN($D$786:$D$837))/2)</f>
        <v>0</v>
      </c>
      <c r="AY837">
        <f>IF(COUNT($E$2:$E837)&lt;20,"",MAX($C$738:$C$837))</f>
        <v>0</v>
      </c>
      <c r="AZ837">
        <f>IF(COUNT($E$2:$E837)&lt;20,"",MIN($D$738:$D$837))</f>
        <v>0</v>
      </c>
      <c r="BA837">
        <f>IF(COUNT($E$2:$E837)&lt;20,"",SLOPE($E$738:$E$837,$F$738:$F$837))</f>
        <v>0</v>
      </c>
      <c r="BB837">
        <f>IF(COUNT($E$2:$E837)&lt;20,"",INTERCEPT($E$738:$E$837,$F$738:$F$837))</f>
        <v>0</v>
      </c>
      <c r="BC837">
        <f>IF(OR(BA837="",BB837=""),"",BB837+BA837*F837)</f>
        <v>0</v>
      </c>
      <c r="BD837">
        <f>IF(COUNT($E$2:$E837)&lt;20,"",STEYX($E$738:$E$837,$F$738:$F$837))</f>
        <v>0</v>
      </c>
      <c r="BE837">
        <f>IF($E837="","",IF(AND(COUNT($E$838:$E$841)&gt;=4,$C837=MAX($C$833:$C$841)),$C837,""))</f>
        <v>0</v>
      </c>
      <c r="BF837">
        <f>IF($E837="","",IF(AND(COUNT($E$838:$E$841)&gt;=4,$D837=MIN($D$833:$D$841)),$D837,""))</f>
        <v>0</v>
      </c>
      <c r="BG837">
        <f>IF($A837="","",$A837-WEEKDAY($A837,2)+1)</f>
        <v>0</v>
      </c>
      <c r="BH837">
        <f>IF($A837="","",IF($A836="",1,IF(BG837&lt;&gt;BG836,1,0)))</f>
        <v>0</v>
      </c>
      <c r="BI837">
        <f>IF($A837="","",IF($A838="",1,IF(BG838&lt;&gt;BG837,1,0)))</f>
        <v>0</v>
      </c>
      <c r="BJ837">
        <f>IF($A837="","",IF(BH837=1,$B837,BJ836))</f>
        <v>0</v>
      </c>
      <c r="BK837">
        <f>IF($A837="","",IF(BH837=1,$C837,MAX($C837,BK836)))</f>
        <v>0</v>
      </c>
      <c r="BL837">
        <f>IF($A837="","",IF(BH837=1,$D837,MIN($D837,BL836)))</f>
        <v>0</v>
      </c>
      <c r="BM837">
        <f>IF($A837="","",IF(BI837=1,F837,""))</f>
        <v>0</v>
      </c>
      <c r="BN837">
        <f>IF($A837="","",DATE(YEAR($A837),MONTH($A837),1))</f>
        <v>0</v>
      </c>
      <c r="BO837">
        <f>IF($A837="","",IF($A836="",1,IF(BN837&lt;&gt;BN836,1,0)))</f>
        <v>0</v>
      </c>
      <c r="BP837">
        <f>IF($A837="","",IF($A838="",1,IF(BN838&lt;&gt;BN837,1,0)))</f>
        <v>0</v>
      </c>
      <c r="BQ837">
        <f>IF($A837="","",IF(BO837=1,$B837,BQ836))</f>
        <v>0</v>
      </c>
      <c r="BR837">
        <f>IF($A837="","",IF(BO837=1,$C837,MAX($C837,BR836)))</f>
        <v>0</v>
      </c>
      <c r="BS837">
        <f>IF($A837="","",IF(BO837=1,$D837,MIN($D837,BS836)))</f>
        <v>0</v>
      </c>
      <c r="BT837">
        <f>IF($A837="","",IF(BP837=1,F837,""))</f>
        <v>0</v>
      </c>
    </row>
    <row r="838" spans="1:72">
      <c r="A838" s="27">
        <f>IF(Data!$A838="","",Data!$A838)</f>
        <v>0</v>
      </c>
      <c r="B838">
        <f>IF(Data!$B838="","",Data!$B838)</f>
        <v>0</v>
      </c>
      <c r="C838">
        <f>IF(Data!$C838="","",Data!$C838)</f>
        <v>0</v>
      </c>
      <c r="D838">
        <f>IF(Data!$D838="","",Data!$D838)</f>
        <v>0</v>
      </c>
      <c r="E838">
        <f>IF(Data!$E838="","",Data!$E838)</f>
        <v>0</v>
      </c>
      <c r="F838">
        <f>IF($E838="","",N(F837)+1)</f>
        <v>0</v>
      </c>
      <c r="G838">
        <f>IF(OR($E838="",$E837=""),"",LN($E838/$E837))</f>
        <v>0</v>
      </c>
      <c r="H838">
        <f>IF($E838="","",IF($E837="",$E838,$E838*0.0952380952+H837*0.9047619048))</f>
        <v>0</v>
      </c>
      <c r="I838">
        <f>IF($E838="","",IF($E837="",$E838,$E838*0.0392156863+I837*0.9607843137))</f>
        <v>0</v>
      </c>
      <c r="J838">
        <f>IF($E838="","",IF($E837="",$E838,$E838*0.0198019802+J837*0.9801980198))</f>
        <v>0</v>
      </c>
      <c r="K838">
        <f>IF($E838="","",IF($E837="",$E838,$E838*0.0099502488+K837*0.9900497512))</f>
        <v>0</v>
      </c>
      <c r="L838">
        <f>IF(OR($E838="",$E837=""),"",MAX($E838-$E837,0))</f>
        <v>0</v>
      </c>
      <c r="M838">
        <f>IF(OR($E838="",$E837=""),"",MAX($E837-$E838,0))</f>
        <v>0</v>
      </c>
      <c r="N838">
        <f>IF(COUNT($E$2:$E838)&lt;15,"",IF(AVERAGE($M$825:$M$838)=0,100,100-100/(1+AVERAGE($L$825:$L$838)/AVERAGE($M$825:$M$838))))</f>
        <v>0</v>
      </c>
      <c r="O838">
        <f>IF($E838="","",IF($E837="",$E838,$E838*0.1538461538+O837*0.8461538462))</f>
        <v>0</v>
      </c>
      <c r="P838">
        <f>IF($E838="","",IF($E837="",$E838,$E838*0.0740740741+P837*0.9259259259))</f>
        <v>0</v>
      </c>
      <c r="Q838">
        <f>IF(OR(O838="",P838=""),"",O838-P838)</f>
        <v>0</v>
      </c>
      <c r="R838">
        <f>IF(Q838="","",IF(R837="",Q838,Q838*0.2000000000+R837*0.8000000000))</f>
        <v>0</v>
      </c>
      <c r="S838">
        <f>IF(OR(Q838="",R838=""),"",Q838-R838)</f>
        <v>0</v>
      </c>
      <c r="T838">
        <f>IF(COUNT($E$2:$E838)&lt;14,"",MAX($C$825:$C$838))</f>
        <v>0</v>
      </c>
      <c r="U838">
        <f>IF(COUNT($E$2:$E838)&lt;14,"",MIN($D$825:$D$838))</f>
        <v>0</v>
      </c>
      <c r="V838">
        <f>IF(OR(T838="",U838="",T838=U838),"",100*($E838-U838)/(T838-U838))</f>
        <v>0</v>
      </c>
      <c r="W838">
        <f>IF(COUNT($V$836:$V$838)&lt;3,"",AVERAGE($V$836:$V$838))</f>
        <v>0</v>
      </c>
      <c r="X838">
        <f>IF(COUNT($N$825:$N$838)&lt;14,"",MIN($N$825:$N$838))</f>
        <v>0</v>
      </c>
      <c r="Y838">
        <f>IF(COUNT($N$825:$N$838)&lt;14,"",MAX($N$825:$N$838))</f>
        <v>0</v>
      </c>
      <c r="Z838">
        <f>IF(OR(N838="",X838="",Y838="",Y838=X838),"",100*(N838-X838)/(Y838-X838))</f>
        <v>0</v>
      </c>
      <c r="AA838">
        <f>IF(COUNT($Z$836:$Z$838)&lt;3,"",AVERAGE($Z$836:$Z$838))</f>
        <v>0</v>
      </c>
      <c r="AB838">
        <f>IF(COUNT($AA$836:$AA$838)&lt;3,"",AVERAGE($AA$836:$AA$838))</f>
        <v>0</v>
      </c>
      <c r="AC838">
        <f>IF($E838="","",MAX($C838-$D838,ABS($C838-$E837),ABS($D838-$E837)))</f>
        <v>0</v>
      </c>
      <c r="AD838">
        <f>IF(COUNT($E$2:$E838)&lt;15,"",AVERAGE($AC$825:$AC$838))</f>
        <v>0</v>
      </c>
      <c r="AE838">
        <f>IF(OR($E838="",$E837=""),"",IF(AND(($C838-$C837)&gt;($D837-$D838),($C838-$C837)&gt;0),$C838-$C837,0))</f>
        <v>0</v>
      </c>
      <c r="AF838">
        <f>IF(OR($E838="",$E837=""),"",IF(AND(($D837-$D838)&gt;($C838-$C837),($D837-$D838)&gt;0),$D837-$D838,0))</f>
        <v>0</v>
      </c>
      <c r="AG838">
        <f>IF(COUNT($E$2:$E838)&lt;15,"",IF(SUM($AC$825:$AC$838)=0,0,100*SUM($AE$825:$AE$838)/SUM($AC$825:$AC$838)))</f>
        <v>0</v>
      </c>
      <c r="AH838">
        <f>IF(COUNT($E$2:$E838)&lt;15,"",IF(SUM($AC$825:$AC$838)=0,0,100*SUM($AF$825:$AF$838)/SUM($AC$825:$AC$838)))</f>
        <v>0</v>
      </c>
      <c r="AI838">
        <f>IF(OR(AG838="",AH838=""),"",IF((AG838+AH838)=0,0,100*ABS(AG838-AH838)/(AG838+AH838)))</f>
        <v>0</v>
      </c>
      <c r="AJ838">
        <f>IF(COUNT($AI$825:$AI$838)&lt;14,"",AVERAGE($AI$825:$AI$838))</f>
        <v>0</v>
      </c>
      <c r="AK838">
        <f>IF(COUNT($E$2:$E838)&lt;20,"",AVERAGE($E$819:$E$838))</f>
        <v>0</v>
      </c>
      <c r="AL838">
        <f>IF(COUNT($E$2:$E838)&lt;20,"",STDEVP($E$819:$E$838))</f>
        <v>0</v>
      </c>
      <c r="AM838">
        <f>IF(AK838="","",AK838+2*AL838)</f>
        <v>0</v>
      </c>
      <c r="AN838">
        <f>IF(AK838="","",AK838-2*AL838)</f>
        <v>0</v>
      </c>
      <c r="AO838">
        <f>IF(OR(AM838="",AN838="",AM838=AN838),"",($E838-AN838)/(AM838-AN838))</f>
        <v>0</v>
      </c>
      <c r="AP838">
        <f>IF(OR(AM838="",AK838="",AK838=0),"",(AM838-AN838)/AK838)</f>
        <v>0</v>
      </c>
      <c r="AQ838">
        <f>IF(COUNT($E$2:$E838)&lt;20,"",MAX($C$819:$C$838))</f>
        <v>0</v>
      </c>
      <c r="AR838">
        <f>IF(COUNT($E$2:$E838)&lt;20,"",MIN($D$819:$D$838))</f>
        <v>0</v>
      </c>
      <c r="AS838">
        <f>IF(OR(AQ838="",AR838=""),"",(AQ838+AR838)/2)</f>
        <v>0</v>
      </c>
      <c r="AT838">
        <f>IF(COUNT($G$819:$G$838)&lt;20,"",STDEV($G$819:$G$838)*SQRT(252))</f>
        <v>0</v>
      </c>
      <c r="AU838">
        <f>IF(COUNT($E$2:$E838)&lt;9,"",(MAX($C$830:$C$838)+MIN($D$830:$D$838))/2)</f>
        <v>0</v>
      </c>
      <c r="AV838">
        <f>IF(COUNT($E$2:$E838)&lt;26,"",(MAX($C$813:$C$838)+MIN($D$813:$D$838))/2)</f>
        <v>0</v>
      </c>
      <c r="AW838">
        <f>IF(OR(AU838="",AV838=""),"",(AU838+AV838)/2)</f>
        <v>0</v>
      </c>
      <c r="AX838">
        <f>IF(COUNT($E$2:$E838)&lt;52,"",(MAX($C$787:$C$838)+MIN($D$787:$D$838))/2)</f>
        <v>0</v>
      </c>
      <c r="AY838">
        <f>IF(COUNT($E$2:$E838)&lt;20,"",MAX($C$739:$C$838))</f>
        <v>0</v>
      </c>
      <c r="AZ838">
        <f>IF(COUNT($E$2:$E838)&lt;20,"",MIN($D$739:$D$838))</f>
        <v>0</v>
      </c>
      <c r="BA838">
        <f>IF(COUNT($E$2:$E838)&lt;20,"",SLOPE($E$739:$E$838,$F$739:$F$838))</f>
        <v>0</v>
      </c>
      <c r="BB838">
        <f>IF(COUNT($E$2:$E838)&lt;20,"",INTERCEPT($E$739:$E$838,$F$739:$F$838))</f>
        <v>0</v>
      </c>
      <c r="BC838">
        <f>IF(OR(BA838="",BB838=""),"",BB838+BA838*F838)</f>
        <v>0</v>
      </c>
      <c r="BD838">
        <f>IF(COUNT($E$2:$E838)&lt;20,"",STEYX($E$739:$E$838,$F$739:$F$838))</f>
        <v>0</v>
      </c>
      <c r="BE838">
        <f>IF($E838="","",IF(AND(COUNT($E$839:$E$842)&gt;=4,$C838=MAX($C$834:$C$842)),$C838,""))</f>
        <v>0</v>
      </c>
      <c r="BF838">
        <f>IF($E838="","",IF(AND(COUNT($E$839:$E$842)&gt;=4,$D838=MIN($D$834:$D$842)),$D838,""))</f>
        <v>0</v>
      </c>
      <c r="BG838">
        <f>IF($A838="","",$A838-WEEKDAY($A838,2)+1)</f>
        <v>0</v>
      </c>
      <c r="BH838">
        <f>IF($A838="","",IF($A837="",1,IF(BG838&lt;&gt;BG837,1,0)))</f>
        <v>0</v>
      </c>
      <c r="BI838">
        <f>IF($A838="","",IF($A839="",1,IF(BG839&lt;&gt;BG838,1,0)))</f>
        <v>0</v>
      </c>
      <c r="BJ838">
        <f>IF($A838="","",IF(BH838=1,$B838,BJ837))</f>
        <v>0</v>
      </c>
      <c r="BK838">
        <f>IF($A838="","",IF(BH838=1,$C838,MAX($C838,BK837)))</f>
        <v>0</v>
      </c>
      <c r="BL838">
        <f>IF($A838="","",IF(BH838=1,$D838,MIN($D838,BL837)))</f>
        <v>0</v>
      </c>
      <c r="BM838">
        <f>IF($A838="","",IF(BI838=1,F838,""))</f>
        <v>0</v>
      </c>
      <c r="BN838">
        <f>IF($A838="","",DATE(YEAR($A838),MONTH($A838),1))</f>
        <v>0</v>
      </c>
      <c r="BO838">
        <f>IF($A838="","",IF($A837="",1,IF(BN838&lt;&gt;BN837,1,0)))</f>
        <v>0</v>
      </c>
      <c r="BP838">
        <f>IF($A838="","",IF($A839="",1,IF(BN839&lt;&gt;BN838,1,0)))</f>
        <v>0</v>
      </c>
      <c r="BQ838">
        <f>IF($A838="","",IF(BO838=1,$B838,BQ837))</f>
        <v>0</v>
      </c>
      <c r="BR838">
        <f>IF($A838="","",IF(BO838=1,$C838,MAX($C838,BR837)))</f>
        <v>0</v>
      </c>
      <c r="BS838">
        <f>IF($A838="","",IF(BO838=1,$D838,MIN($D838,BS837)))</f>
        <v>0</v>
      </c>
      <c r="BT838">
        <f>IF($A838="","",IF(BP838=1,F838,""))</f>
        <v>0</v>
      </c>
    </row>
    <row r="839" spans="1:72">
      <c r="A839" s="27">
        <f>IF(Data!$A839="","",Data!$A839)</f>
        <v>0</v>
      </c>
      <c r="B839">
        <f>IF(Data!$B839="","",Data!$B839)</f>
        <v>0</v>
      </c>
      <c r="C839">
        <f>IF(Data!$C839="","",Data!$C839)</f>
        <v>0</v>
      </c>
      <c r="D839">
        <f>IF(Data!$D839="","",Data!$D839)</f>
        <v>0</v>
      </c>
      <c r="E839">
        <f>IF(Data!$E839="","",Data!$E839)</f>
        <v>0</v>
      </c>
      <c r="F839">
        <f>IF($E839="","",N(F838)+1)</f>
        <v>0</v>
      </c>
      <c r="G839">
        <f>IF(OR($E839="",$E838=""),"",LN($E839/$E838))</f>
        <v>0</v>
      </c>
      <c r="H839">
        <f>IF($E839="","",IF($E838="",$E839,$E839*0.0952380952+H838*0.9047619048))</f>
        <v>0</v>
      </c>
      <c r="I839">
        <f>IF($E839="","",IF($E838="",$E839,$E839*0.0392156863+I838*0.9607843137))</f>
        <v>0</v>
      </c>
      <c r="J839">
        <f>IF($E839="","",IF($E838="",$E839,$E839*0.0198019802+J838*0.9801980198))</f>
        <v>0</v>
      </c>
      <c r="K839">
        <f>IF($E839="","",IF($E838="",$E839,$E839*0.0099502488+K838*0.9900497512))</f>
        <v>0</v>
      </c>
      <c r="L839">
        <f>IF(OR($E839="",$E838=""),"",MAX($E839-$E838,0))</f>
        <v>0</v>
      </c>
      <c r="M839">
        <f>IF(OR($E839="",$E838=""),"",MAX($E838-$E839,0))</f>
        <v>0</v>
      </c>
      <c r="N839">
        <f>IF(COUNT($E$2:$E839)&lt;15,"",IF(AVERAGE($M$826:$M$839)=0,100,100-100/(1+AVERAGE($L$826:$L$839)/AVERAGE($M$826:$M$839))))</f>
        <v>0</v>
      </c>
      <c r="O839">
        <f>IF($E839="","",IF($E838="",$E839,$E839*0.1538461538+O838*0.8461538462))</f>
        <v>0</v>
      </c>
      <c r="P839">
        <f>IF($E839="","",IF($E838="",$E839,$E839*0.0740740741+P838*0.9259259259))</f>
        <v>0</v>
      </c>
      <c r="Q839">
        <f>IF(OR(O839="",P839=""),"",O839-P839)</f>
        <v>0</v>
      </c>
      <c r="R839">
        <f>IF(Q839="","",IF(R838="",Q839,Q839*0.2000000000+R838*0.8000000000))</f>
        <v>0</v>
      </c>
      <c r="S839">
        <f>IF(OR(Q839="",R839=""),"",Q839-R839)</f>
        <v>0</v>
      </c>
      <c r="T839">
        <f>IF(COUNT($E$2:$E839)&lt;14,"",MAX($C$826:$C$839))</f>
        <v>0</v>
      </c>
      <c r="U839">
        <f>IF(COUNT($E$2:$E839)&lt;14,"",MIN($D$826:$D$839))</f>
        <v>0</v>
      </c>
      <c r="V839">
        <f>IF(OR(T839="",U839="",T839=U839),"",100*($E839-U839)/(T839-U839))</f>
        <v>0</v>
      </c>
      <c r="W839">
        <f>IF(COUNT($V$837:$V$839)&lt;3,"",AVERAGE($V$837:$V$839))</f>
        <v>0</v>
      </c>
      <c r="X839">
        <f>IF(COUNT($N$826:$N$839)&lt;14,"",MIN($N$826:$N$839))</f>
        <v>0</v>
      </c>
      <c r="Y839">
        <f>IF(COUNT($N$826:$N$839)&lt;14,"",MAX($N$826:$N$839))</f>
        <v>0</v>
      </c>
      <c r="Z839">
        <f>IF(OR(N839="",X839="",Y839="",Y839=X839),"",100*(N839-X839)/(Y839-X839))</f>
        <v>0</v>
      </c>
      <c r="AA839">
        <f>IF(COUNT($Z$837:$Z$839)&lt;3,"",AVERAGE($Z$837:$Z$839))</f>
        <v>0</v>
      </c>
      <c r="AB839">
        <f>IF(COUNT($AA$837:$AA$839)&lt;3,"",AVERAGE($AA$837:$AA$839))</f>
        <v>0</v>
      </c>
      <c r="AC839">
        <f>IF($E839="","",MAX($C839-$D839,ABS($C839-$E838),ABS($D839-$E838)))</f>
        <v>0</v>
      </c>
      <c r="AD839">
        <f>IF(COUNT($E$2:$E839)&lt;15,"",AVERAGE($AC$826:$AC$839))</f>
        <v>0</v>
      </c>
      <c r="AE839">
        <f>IF(OR($E839="",$E838=""),"",IF(AND(($C839-$C838)&gt;($D838-$D839),($C839-$C838)&gt;0),$C839-$C838,0))</f>
        <v>0</v>
      </c>
      <c r="AF839">
        <f>IF(OR($E839="",$E838=""),"",IF(AND(($D838-$D839)&gt;($C839-$C838),($D838-$D839)&gt;0),$D838-$D839,0))</f>
        <v>0</v>
      </c>
      <c r="AG839">
        <f>IF(COUNT($E$2:$E839)&lt;15,"",IF(SUM($AC$826:$AC$839)=0,0,100*SUM($AE$826:$AE$839)/SUM($AC$826:$AC$839)))</f>
        <v>0</v>
      </c>
      <c r="AH839">
        <f>IF(COUNT($E$2:$E839)&lt;15,"",IF(SUM($AC$826:$AC$839)=0,0,100*SUM($AF$826:$AF$839)/SUM($AC$826:$AC$839)))</f>
        <v>0</v>
      </c>
      <c r="AI839">
        <f>IF(OR(AG839="",AH839=""),"",IF((AG839+AH839)=0,0,100*ABS(AG839-AH839)/(AG839+AH839)))</f>
        <v>0</v>
      </c>
      <c r="AJ839">
        <f>IF(COUNT($AI$826:$AI$839)&lt;14,"",AVERAGE($AI$826:$AI$839))</f>
        <v>0</v>
      </c>
      <c r="AK839">
        <f>IF(COUNT($E$2:$E839)&lt;20,"",AVERAGE($E$820:$E$839))</f>
        <v>0</v>
      </c>
      <c r="AL839">
        <f>IF(COUNT($E$2:$E839)&lt;20,"",STDEVP($E$820:$E$839))</f>
        <v>0</v>
      </c>
      <c r="AM839">
        <f>IF(AK839="","",AK839+2*AL839)</f>
        <v>0</v>
      </c>
      <c r="AN839">
        <f>IF(AK839="","",AK839-2*AL839)</f>
        <v>0</v>
      </c>
      <c r="AO839">
        <f>IF(OR(AM839="",AN839="",AM839=AN839),"",($E839-AN839)/(AM839-AN839))</f>
        <v>0</v>
      </c>
      <c r="AP839">
        <f>IF(OR(AM839="",AK839="",AK839=0),"",(AM839-AN839)/AK839)</f>
        <v>0</v>
      </c>
      <c r="AQ839">
        <f>IF(COUNT($E$2:$E839)&lt;20,"",MAX($C$820:$C$839))</f>
        <v>0</v>
      </c>
      <c r="AR839">
        <f>IF(COUNT($E$2:$E839)&lt;20,"",MIN($D$820:$D$839))</f>
        <v>0</v>
      </c>
      <c r="AS839">
        <f>IF(OR(AQ839="",AR839=""),"",(AQ839+AR839)/2)</f>
        <v>0</v>
      </c>
      <c r="AT839">
        <f>IF(COUNT($G$820:$G$839)&lt;20,"",STDEV($G$820:$G$839)*SQRT(252))</f>
        <v>0</v>
      </c>
      <c r="AU839">
        <f>IF(COUNT($E$2:$E839)&lt;9,"",(MAX($C$831:$C$839)+MIN($D$831:$D$839))/2)</f>
        <v>0</v>
      </c>
      <c r="AV839">
        <f>IF(COUNT($E$2:$E839)&lt;26,"",(MAX($C$814:$C$839)+MIN($D$814:$D$839))/2)</f>
        <v>0</v>
      </c>
      <c r="AW839">
        <f>IF(OR(AU839="",AV839=""),"",(AU839+AV839)/2)</f>
        <v>0</v>
      </c>
      <c r="AX839">
        <f>IF(COUNT($E$2:$E839)&lt;52,"",(MAX($C$788:$C$839)+MIN($D$788:$D$839))/2)</f>
        <v>0</v>
      </c>
      <c r="AY839">
        <f>IF(COUNT($E$2:$E839)&lt;20,"",MAX($C$740:$C$839))</f>
        <v>0</v>
      </c>
      <c r="AZ839">
        <f>IF(COUNT($E$2:$E839)&lt;20,"",MIN($D$740:$D$839))</f>
        <v>0</v>
      </c>
      <c r="BA839">
        <f>IF(COUNT($E$2:$E839)&lt;20,"",SLOPE($E$740:$E$839,$F$740:$F$839))</f>
        <v>0</v>
      </c>
      <c r="BB839">
        <f>IF(COUNT($E$2:$E839)&lt;20,"",INTERCEPT($E$740:$E$839,$F$740:$F$839))</f>
        <v>0</v>
      </c>
      <c r="BC839">
        <f>IF(OR(BA839="",BB839=""),"",BB839+BA839*F839)</f>
        <v>0</v>
      </c>
      <c r="BD839">
        <f>IF(COUNT($E$2:$E839)&lt;20,"",STEYX($E$740:$E$839,$F$740:$F$839))</f>
        <v>0</v>
      </c>
      <c r="BE839">
        <f>IF($E839="","",IF(AND(COUNT($E$840:$E$843)&gt;=4,$C839=MAX($C$835:$C$843)),$C839,""))</f>
        <v>0</v>
      </c>
      <c r="BF839">
        <f>IF($E839="","",IF(AND(COUNT($E$840:$E$843)&gt;=4,$D839=MIN($D$835:$D$843)),$D839,""))</f>
        <v>0</v>
      </c>
      <c r="BG839">
        <f>IF($A839="","",$A839-WEEKDAY($A839,2)+1)</f>
        <v>0</v>
      </c>
      <c r="BH839">
        <f>IF($A839="","",IF($A838="",1,IF(BG839&lt;&gt;BG838,1,0)))</f>
        <v>0</v>
      </c>
      <c r="BI839">
        <f>IF($A839="","",IF($A840="",1,IF(BG840&lt;&gt;BG839,1,0)))</f>
        <v>0</v>
      </c>
      <c r="BJ839">
        <f>IF($A839="","",IF(BH839=1,$B839,BJ838))</f>
        <v>0</v>
      </c>
      <c r="BK839">
        <f>IF($A839="","",IF(BH839=1,$C839,MAX($C839,BK838)))</f>
        <v>0</v>
      </c>
      <c r="BL839">
        <f>IF($A839="","",IF(BH839=1,$D839,MIN($D839,BL838)))</f>
        <v>0</v>
      </c>
      <c r="BM839">
        <f>IF($A839="","",IF(BI839=1,F839,""))</f>
        <v>0</v>
      </c>
      <c r="BN839">
        <f>IF($A839="","",DATE(YEAR($A839),MONTH($A839),1))</f>
        <v>0</v>
      </c>
      <c r="BO839">
        <f>IF($A839="","",IF($A838="",1,IF(BN839&lt;&gt;BN838,1,0)))</f>
        <v>0</v>
      </c>
      <c r="BP839">
        <f>IF($A839="","",IF($A840="",1,IF(BN840&lt;&gt;BN839,1,0)))</f>
        <v>0</v>
      </c>
      <c r="BQ839">
        <f>IF($A839="","",IF(BO839=1,$B839,BQ838))</f>
        <v>0</v>
      </c>
      <c r="BR839">
        <f>IF($A839="","",IF(BO839=1,$C839,MAX($C839,BR838)))</f>
        <v>0</v>
      </c>
      <c r="BS839">
        <f>IF($A839="","",IF(BO839=1,$D839,MIN($D839,BS838)))</f>
        <v>0</v>
      </c>
      <c r="BT839">
        <f>IF($A839="","",IF(BP839=1,F839,""))</f>
        <v>0</v>
      </c>
    </row>
    <row r="840" spans="1:72">
      <c r="A840" s="27">
        <f>IF(Data!$A840="","",Data!$A840)</f>
        <v>0</v>
      </c>
      <c r="B840">
        <f>IF(Data!$B840="","",Data!$B840)</f>
        <v>0</v>
      </c>
      <c r="C840">
        <f>IF(Data!$C840="","",Data!$C840)</f>
        <v>0</v>
      </c>
      <c r="D840">
        <f>IF(Data!$D840="","",Data!$D840)</f>
        <v>0</v>
      </c>
      <c r="E840">
        <f>IF(Data!$E840="","",Data!$E840)</f>
        <v>0</v>
      </c>
      <c r="F840">
        <f>IF($E840="","",N(F839)+1)</f>
        <v>0</v>
      </c>
      <c r="G840">
        <f>IF(OR($E840="",$E839=""),"",LN($E840/$E839))</f>
        <v>0</v>
      </c>
      <c r="H840">
        <f>IF($E840="","",IF($E839="",$E840,$E840*0.0952380952+H839*0.9047619048))</f>
        <v>0</v>
      </c>
      <c r="I840">
        <f>IF($E840="","",IF($E839="",$E840,$E840*0.0392156863+I839*0.9607843137))</f>
        <v>0</v>
      </c>
      <c r="J840">
        <f>IF($E840="","",IF($E839="",$E840,$E840*0.0198019802+J839*0.9801980198))</f>
        <v>0</v>
      </c>
      <c r="K840">
        <f>IF($E840="","",IF($E839="",$E840,$E840*0.0099502488+K839*0.9900497512))</f>
        <v>0</v>
      </c>
      <c r="L840">
        <f>IF(OR($E840="",$E839=""),"",MAX($E840-$E839,0))</f>
        <v>0</v>
      </c>
      <c r="M840">
        <f>IF(OR($E840="",$E839=""),"",MAX($E839-$E840,0))</f>
        <v>0</v>
      </c>
      <c r="N840">
        <f>IF(COUNT($E$2:$E840)&lt;15,"",IF(AVERAGE($M$827:$M$840)=0,100,100-100/(1+AVERAGE($L$827:$L$840)/AVERAGE($M$827:$M$840))))</f>
        <v>0</v>
      </c>
      <c r="O840">
        <f>IF($E840="","",IF($E839="",$E840,$E840*0.1538461538+O839*0.8461538462))</f>
        <v>0</v>
      </c>
      <c r="P840">
        <f>IF($E840="","",IF($E839="",$E840,$E840*0.0740740741+P839*0.9259259259))</f>
        <v>0</v>
      </c>
      <c r="Q840">
        <f>IF(OR(O840="",P840=""),"",O840-P840)</f>
        <v>0</v>
      </c>
      <c r="R840">
        <f>IF(Q840="","",IF(R839="",Q840,Q840*0.2000000000+R839*0.8000000000))</f>
        <v>0</v>
      </c>
      <c r="S840">
        <f>IF(OR(Q840="",R840=""),"",Q840-R840)</f>
        <v>0</v>
      </c>
      <c r="T840">
        <f>IF(COUNT($E$2:$E840)&lt;14,"",MAX($C$827:$C$840))</f>
        <v>0</v>
      </c>
      <c r="U840">
        <f>IF(COUNT($E$2:$E840)&lt;14,"",MIN($D$827:$D$840))</f>
        <v>0</v>
      </c>
      <c r="V840">
        <f>IF(OR(T840="",U840="",T840=U840),"",100*($E840-U840)/(T840-U840))</f>
        <v>0</v>
      </c>
      <c r="W840">
        <f>IF(COUNT($V$838:$V$840)&lt;3,"",AVERAGE($V$838:$V$840))</f>
        <v>0</v>
      </c>
      <c r="X840">
        <f>IF(COUNT($N$827:$N$840)&lt;14,"",MIN($N$827:$N$840))</f>
        <v>0</v>
      </c>
      <c r="Y840">
        <f>IF(COUNT($N$827:$N$840)&lt;14,"",MAX($N$827:$N$840))</f>
        <v>0</v>
      </c>
      <c r="Z840">
        <f>IF(OR(N840="",X840="",Y840="",Y840=X840),"",100*(N840-X840)/(Y840-X840))</f>
        <v>0</v>
      </c>
      <c r="AA840">
        <f>IF(COUNT($Z$838:$Z$840)&lt;3,"",AVERAGE($Z$838:$Z$840))</f>
        <v>0</v>
      </c>
      <c r="AB840">
        <f>IF(COUNT($AA$838:$AA$840)&lt;3,"",AVERAGE($AA$838:$AA$840))</f>
        <v>0</v>
      </c>
      <c r="AC840">
        <f>IF($E840="","",MAX($C840-$D840,ABS($C840-$E839),ABS($D840-$E839)))</f>
        <v>0</v>
      </c>
      <c r="AD840">
        <f>IF(COUNT($E$2:$E840)&lt;15,"",AVERAGE($AC$827:$AC$840))</f>
        <v>0</v>
      </c>
      <c r="AE840">
        <f>IF(OR($E840="",$E839=""),"",IF(AND(($C840-$C839)&gt;($D839-$D840),($C840-$C839)&gt;0),$C840-$C839,0))</f>
        <v>0</v>
      </c>
      <c r="AF840">
        <f>IF(OR($E840="",$E839=""),"",IF(AND(($D839-$D840)&gt;($C840-$C839),($D839-$D840)&gt;0),$D839-$D840,0))</f>
        <v>0</v>
      </c>
      <c r="AG840">
        <f>IF(COUNT($E$2:$E840)&lt;15,"",IF(SUM($AC$827:$AC$840)=0,0,100*SUM($AE$827:$AE$840)/SUM($AC$827:$AC$840)))</f>
        <v>0</v>
      </c>
      <c r="AH840">
        <f>IF(COUNT($E$2:$E840)&lt;15,"",IF(SUM($AC$827:$AC$840)=0,0,100*SUM($AF$827:$AF$840)/SUM($AC$827:$AC$840)))</f>
        <v>0</v>
      </c>
      <c r="AI840">
        <f>IF(OR(AG840="",AH840=""),"",IF((AG840+AH840)=0,0,100*ABS(AG840-AH840)/(AG840+AH840)))</f>
        <v>0</v>
      </c>
      <c r="AJ840">
        <f>IF(COUNT($AI$827:$AI$840)&lt;14,"",AVERAGE($AI$827:$AI$840))</f>
        <v>0</v>
      </c>
      <c r="AK840">
        <f>IF(COUNT($E$2:$E840)&lt;20,"",AVERAGE($E$821:$E$840))</f>
        <v>0</v>
      </c>
      <c r="AL840">
        <f>IF(COUNT($E$2:$E840)&lt;20,"",STDEVP($E$821:$E$840))</f>
        <v>0</v>
      </c>
      <c r="AM840">
        <f>IF(AK840="","",AK840+2*AL840)</f>
        <v>0</v>
      </c>
      <c r="AN840">
        <f>IF(AK840="","",AK840-2*AL840)</f>
        <v>0</v>
      </c>
      <c r="AO840">
        <f>IF(OR(AM840="",AN840="",AM840=AN840),"",($E840-AN840)/(AM840-AN840))</f>
        <v>0</v>
      </c>
      <c r="AP840">
        <f>IF(OR(AM840="",AK840="",AK840=0),"",(AM840-AN840)/AK840)</f>
        <v>0</v>
      </c>
      <c r="AQ840">
        <f>IF(COUNT($E$2:$E840)&lt;20,"",MAX($C$821:$C$840))</f>
        <v>0</v>
      </c>
      <c r="AR840">
        <f>IF(COUNT($E$2:$E840)&lt;20,"",MIN($D$821:$D$840))</f>
        <v>0</v>
      </c>
      <c r="AS840">
        <f>IF(OR(AQ840="",AR840=""),"",(AQ840+AR840)/2)</f>
        <v>0</v>
      </c>
      <c r="AT840">
        <f>IF(COUNT($G$821:$G$840)&lt;20,"",STDEV($G$821:$G$840)*SQRT(252))</f>
        <v>0</v>
      </c>
      <c r="AU840">
        <f>IF(COUNT($E$2:$E840)&lt;9,"",(MAX($C$832:$C$840)+MIN($D$832:$D$840))/2)</f>
        <v>0</v>
      </c>
      <c r="AV840">
        <f>IF(COUNT($E$2:$E840)&lt;26,"",(MAX($C$815:$C$840)+MIN($D$815:$D$840))/2)</f>
        <v>0</v>
      </c>
      <c r="AW840">
        <f>IF(OR(AU840="",AV840=""),"",(AU840+AV840)/2)</f>
        <v>0</v>
      </c>
      <c r="AX840">
        <f>IF(COUNT($E$2:$E840)&lt;52,"",(MAX($C$789:$C$840)+MIN($D$789:$D$840))/2)</f>
        <v>0</v>
      </c>
      <c r="AY840">
        <f>IF(COUNT($E$2:$E840)&lt;20,"",MAX($C$741:$C$840))</f>
        <v>0</v>
      </c>
      <c r="AZ840">
        <f>IF(COUNT($E$2:$E840)&lt;20,"",MIN($D$741:$D$840))</f>
        <v>0</v>
      </c>
      <c r="BA840">
        <f>IF(COUNT($E$2:$E840)&lt;20,"",SLOPE($E$741:$E$840,$F$741:$F$840))</f>
        <v>0</v>
      </c>
      <c r="BB840">
        <f>IF(COUNT($E$2:$E840)&lt;20,"",INTERCEPT($E$741:$E$840,$F$741:$F$840))</f>
        <v>0</v>
      </c>
      <c r="BC840">
        <f>IF(OR(BA840="",BB840=""),"",BB840+BA840*F840)</f>
        <v>0</v>
      </c>
      <c r="BD840">
        <f>IF(COUNT($E$2:$E840)&lt;20,"",STEYX($E$741:$E$840,$F$741:$F$840))</f>
        <v>0</v>
      </c>
      <c r="BE840">
        <f>IF($E840="","",IF(AND(COUNT($E$841:$E$844)&gt;=4,$C840=MAX($C$836:$C$844)),$C840,""))</f>
        <v>0</v>
      </c>
      <c r="BF840">
        <f>IF($E840="","",IF(AND(COUNT($E$841:$E$844)&gt;=4,$D840=MIN($D$836:$D$844)),$D840,""))</f>
        <v>0</v>
      </c>
      <c r="BG840">
        <f>IF($A840="","",$A840-WEEKDAY($A840,2)+1)</f>
        <v>0</v>
      </c>
      <c r="BH840">
        <f>IF($A840="","",IF($A839="",1,IF(BG840&lt;&gt;BG839,1,0)))</f>
        <v>0</v>
      </c>
      <c r="BI840">
        <f>IF($A840="","",IF($A841="",1,IF(BG841&lt;&gt;BG840,1,0)))</f>
        <v>0</v>
      </c>
      <c r="BJ840">
        <f>IF($A840="","",IF(BH840=1,$B840,BJ839))</f>
        <v>0</v>
      </c>
      <c r="BK840">
        <f>IF($A840="","",IF(BH840=1,$C840,MAX($C840,BK839)))</f>
        <v>0</v>
      </c>
      <c r="BL840">
        <f>IF($A840="","",IF(BH840=1,$D840,MIN($D840,BL839)))</f>
        <v>0</v>
      </c>
      <c r="BM840">
        <f>IF($A840="","",IF(BI840=1,F840,""))</f>
        <v>0</v>
      </c>
      <c r="BN840">
        <f>IF($A840="","",DATE(YEAR($A840),MONTH($A840),1))</f>
        <v>0</v>
      </c>
      <c r="BO840">
        <f>IF($A840="","",IF($A839="",1,IF(BN840&lt;&gt;BN839,1,0)))</f>
        <v>0</v>
      </c>
      <c r="BP840">
        <f>IF($A840="","",IF($A841="",1,IF(BN841&lt;&gt;BN840,1,0)))</f>
        <v>0</v>
      </c>
      <c r="BQ840">
        <f>IF($A840="","",IF(BO840=1,$B840,BQ839))</f>
        <v>0</v>
      </c>
      <c r="BR840">
        <f>IF($A840="","",IF(BO840=1,$C840,MAX($C840,BR839)))</f>
        <v>0</v>
      </c>
      <c r="BS840">
        <f>IF($A840="","",IF(BO840=1,$D840,MIN($D840,BS839)))</f>
        <v>0</v>
      </c>
      <c r="BT840">
        <f>IF($A840="","",IF(BP840=1,F840,""))</f>
        <v>0</v>
      </c>
    </row>
    <row r="841" spans="1:72">
      <c r="A841" s="27">
        <f>IF(Data!$A841="","",Data!$A841)</f>
        <v>0</v>
      </c>
      <c r="B841">
        <f>IF(Data!$B841="","",Data!$B841)</f>
        <v>0</v>
      </c>
      <c r="C841">
        <f>IF(Data!$C841="","",Data!$C841)</f>
        <v>0</v>
      </c>
      <c r="D841">
        <f>IF(Data!$D841="","",Data!$D841)</f>
        <v>0</v>
      </c>
      <c r="E841">
        <f>IF(Data!$E841="","",Data!$E841)</f>
        <v>0</v>
      </c>
      <c r="F841">
        <f>IF($E841="","",N(F840)+1)</f>
        <v>0</v>
      </c>
      <c r="G841">
        <f>IF(OR($E841="",$E840=""),"",LN($E841/$E840))</f>
        <v>0</v>
      </c>
      <c r="H841">
        <f>IF($E841="","",IF($E840="",$E841,$E841*0.0952380952+H840*0.9047619048))</f>
        <v>0</v>
      </c>
      <c r="I841">
        <f>IF($E841="","",IF($E840="",$E841,$E841*0.0392156863+I840*0.9607843137))</f>
        <v>0</v>
      </c>
      <c r="J841">
        <f>IF($E841="","",IF($E840="",$E841,$E841*0.0198019802+J840*0.9801980198))</f>
        <v>0</v>
      </c>
      <c r="K841">
        <f>IF($E841="","",IF($E840="",$E841,$E841*0.0099502488+K840*0.9900497512))</f>
        <v>0</v>
      </c>
      <c r="L841">
        <f>IF(OR($E841="",$E840=""),"",MAX($E841-$E840,0))</f>
        <v>0</v>
      </c>
      <c r="M841">
        <f>IF(OR($E841="",$E840=""),"",MAX($E840-$E841,0))</f>
        <v>0</v>
      </c>
      <c r="N841">
        <f>IF(COUNT($E$2:$E841)&lt;15,"",IF(AVERAGE($M$828:$M$841)=0,100,100-100/(1+AVERAGE($L$828:$L$841)/AVERAGE($M$828:$M$841))))</f>
        <v>0</v>
      </c>
      <c r="O841">
        <f>IF($E841="","",IF($E840="",$E841,$E841*0.1538461538+O840*0.8461538462))</f>
        <v>0</v>
      </c>
      <c r="P841">
        <f>IF($E841="","",IF($E840="",$E841,$E841*0.0740740741+P840*0.9259259259))</f>
        <v>0</v>
      </c>
      <c r="Q841">
        <f>IF(OR(O841="",P841=""),"",O841-P841)</f>
        <v>0</v>
      </c>
      <c r="R841">
        <f>IF(Q841="","",IF(R840="",Q841,Q841*0.2000000000+R840*0.8000000000))</f>
        <v>0</v>
      </c>
      <c r="S841">
        <f>IF(OR(Q841="",R841=""),"",Q841-R841)</f>
        <v>0</v>
      </c>
      <c r="T841">
        <f>IF(COUNT($E$2:$E841)&lt;14,"",MAX($C$828:$C$841))</f>
        <v>0</v>
      </c>
      <c r="U841">
        <f>IF(COUNT($E$2:$E841)&lt;14,"",MIN($D$828:$D$841))</f>
        <v>0</v>
      </c>
      <c r="V841">
        <f>IF(OR(T841="",U841="",T841=U841),"",100*($E841-U841)/(T841-U841))</f>
        <v>0</v>
      </c>
      <c r="W841">
        <f>IF(COUNT($V$839:$V$841)&lt;3,"",AVERAGE($V$839:$V$841))</f>
        <v>0</v>
      </c>
      <c r="X841">
        <f>IF(COUNT($N$828:$N$841)&lt;14,"",MIN($N$828:$N$841))</f>
        <v>0</v>
      </c>
      <c r="Y841">
        <f>IF(COUNT($N$828:$N$841)&lt;14,"",MAX($N$828:$N$841))</f>
        <v>0</v>
      </c>
      <c r="Z841">
        <f>IF(OR(N841="",X841="",Y841="",Y841=X841),"",100*(N841-X841)/(Y841-X841))</f>
        <v>0</v>
      </c>
      <c r="AA841">
        <f>IF(COUNT($Z$839:$Z$841)&lt;3,"",AVERAGE($Z$839:$Z$841))</f>
        <v>0</v>
      </c>
      <c r="AB841">
        <f>IF(COUNT($AA$839:$AA$841)&lt;3,"",AVERAGE($AA$839:$AA$841))</f>
        <v>0</v>
      </c>
      <c r="AC841">
        <f>IF($E841="","",MAX($C841-$D841,ABS($C841-$E840),ABS($D841-$E840)))</f>
        <v>0</v>
      </c>
      <c r="AD841">
        <f>IF(COUNT($E$2:$E841)&lt;15,"",AVERAGE($AC$828:$AC$841))</f>
        <v>0</v>
      </c>
      <c r="AE841">
        <f>IF(OR($E841="",$E840=""),"",IF(AND(($C841-$C840)&gt;($D840-$D841),($C841-$C840)&gt;0),$C841-$C840,0))</f>
        <v>0</v>
      </c>
      <c r="AF841">
        <f>IF(OR($E841="",$E840=""),"",IF(AND(($D840-$D841)&gt;($C841-$C840),($D840-$D841)&gt;0),$D840-$D841,0))</f>
        <v>0</v>
      </c>
      <c r="AG841">
        <f>IF(COUNT($E$2:$E841)&lt;15,"",IF(SUM($AC$828:$AC$841)=0,0,100*SUM($AE$828:$AE$841)/SUM($AC$828:$AC$841)))</f>
        <v>0</v>
      </c>
      <c r="AH841">
        <f>IF(COUNT($E$2:$E841)&lt;15,"",IF(SUM($AC$828:$AC$841)=0,0,100*SUM($AF$828:$AF$841)/SUM($AC$828:$AC$841)))</f>
        <v>0</v>
      </c>
      <c r="AI841">
        <f>IF(OR(AG841="",AH841=""),"",IF((AG841+AH841)=0,0,100*ABS(AG841-AH841)/(AG841+AH841)))</f>
        <v>0</v>
      </c>
      <c r="AJ841">
        <f>IF(COUNT($AI$828:$AI$841)&lt;14,"",AVERAGE($AI$828:$AI$841))</f>
        <v>0</v>
      </c>
      <c r="AK841">
        <f>IF(COUNT($E$2:$E841)&lt;20,"",AVERAGE($E$822:$E$841))</f>
        <v>0</v>
      </c>
      <c r="AL841">
        <f>IF(COUNT($E$2:$E841)&lt;20,"",STDEVP($E$822:$E$841))</f>
        <v>0</v>
      </c>
      <c r="AM841">
        <f>IF(AK841="","",AK841+2*AL841)</f>
        <v>0</v>
      </c>
      <c r="AN841">
        <f>IF(AK841="","",AK841-2*AL841)</f>
        <v>0</v>
      </c>
      <c r="AO841">
        <f>IF(OR(AM841="",AN841="",AM841=AN841),"",($E841-AN841)/(AM841-AN841))</f>
        <v>0</v>
      </c>
      <c r="AP841">
        <f>IF(OR(AM841="",AK841="",AK841=0),"",(AM841-AN841)/AK841)</f>
        <v>0</v>
      </c>
      <c r="AQ841">
        <f>IF(COUNT($E$2:$E841)&lt;20,"",MAX($C$822:$C$841))</f>
        <v>0</v>
      </c>
      <c r="AR841">
        <f>IF(COUNT($E$2:$E841)&lt;20,"",MIN($D$822:$D$841))</f>
        <v>0</v>
      </c>
      <c r="AS841">
        <f>IF(OR(AQ841="",AR841=""),"",(AQ841+AR841)/2)</f>
        <v>0</v>
      </c>
      <c r="AT841">
        <f>IF(COUNT($G$822:$G$841)&lt;20,"",STDEV($G$822:$G$841)*SQRT(252))</f>
        <v>0</v>
      </c>
      <c r="AU841">
        <f>IF(COUNT($E$2:$E841)&lt;9,"",(MAX($C$833:$C$841)+MIN($D$833:$D$841))/2)</f>
        <v>0</v>
      </c>
      <c r="AV841">
        <f>IF(COUNT($E$2:$E841)&lt;26,"",(MAX($C$816:$C$841)+MIN($D$816:$D$841))/2)</f>
        <v>0</v>
      </c>
      <c r="AW841">
        <f>IF(OR(AU841="",AV841=""),"",(AU841+AV841)/2)</f>
        <v>0</v>
      </c>
      <c r="AX841">
        <f>IF(COUNT($E$2:$E841)&lt;52,"",(MAX($C$790:$C$841)+MIN($D$790:$D$841))/2)</f>
        <v>0</v>
      </c>
      <c r="AY841">
        <f>IF(COUNT($E$2:$E841)&lt;20,"",MAX($C$742:$C$841))</f>
        <v>0</v>
      </c>
      <c r="AZ841">
        <f>IF(COUNT($E$2:$E841)&lt;20,"",MIN($D$742:$D$841))</f>
        <v>0</v>
      </c>
      <c r="BA841">
        <f>IF(COUNT($E$2:$E841)&lt;20,"",SLOPE($E$742:$E$841,$F$742:$F$841))</f>
        <v>0</v>
      </c>
      <c r="BB841">
        <f>IF(COUNT($E$2:$E841)&lt;20,"",INTERCEPT($E$742:$E$841,$F$742:$F$841))</f>
        <v>0</v>
      </c>
      <c r="BC841">
        <f>IF(OR(BA841="",BB841=""),"",BB841+BA841*F841)</f>
        <v>0</v>
      </c>
      <c r="BD841">
        <f>IF(COUNT($E$2:$E841)&lt;20,"",STEYX($E$742:$E$841,$F$742:$F$841))</f>
        <v>0</v>
      </c>
      <c r="BE841">
        <f>IF($E841="","",IF(AND(COUNT($E$842:$E$845)&gt;=4,$C841=MAX($C$837:$C$845)),$C841,""))</f>
        <v>0</v>
      </c>
      <c r="BF841">
        <f>IF($E841="","",IF(AND(COUNT($E$842:$E$845)&gt;=4,$D841=MIN($D$837:$D$845)),$D841,""))</f>
        <v>0</v>
      </c>
      <c r="BG841">
        <f>IF($A841="","",$A841-WEEKDAY($A841,2)+1)</f>
        <v>0</v>
      </c>
      <c r="BH841">
        <f>IF($A841="","",IF($A840="",1,IF(BG841&lt;&gt;BG840,1,0)))</f>
        <v>0</v>
      </c>
      <c r="BI841">
        <f>IF($A841="","",IF($A842="",1,IF(BG842&lt;&gt;BG841,1,0)))</f>
        <v>0</v>
      </c>
      <c r="BJ841">
        <f>IF($A841="","",IF(BH841=1,$B841,BJ840))</f>
        <v>0</v>
      </c>
      <c r="BK841">
        <f>IF($A841="","",IF(BH841=1,$C841,MAX($C841,BK840)))</f>
        <v>0</v>
      </c>
      <c r="BL841">
        <f>IF($A841="","",IF(BH841=1,$D841,MIN($D841,BL840)))</f>
        <v>0</v>
      </c>
      <c r="BM841">
        <f>IF($A841="","",IF(BI841=1,F841,""))</f>
        <v>0</v>
      </c>
      <c r="BN841">
        <f>IF($A841="","",DATE(YEAR($A841),MONTH($A841),1))</f>
        <v>0</v>
      </c>
      <c r="BO841">
        <f>IF($A841="","",IF($A840="",1,IF(BN841&lt;&gt;BN840,1,0)))</f>
        <v>0</v>
      </c>
      <c r="BP841">
        <f>IF($A841="","",IF($A842="",1,IF(BN842&lt;&gt;BN841,1,0)))</f>
        <v>0</v>
      </c>
      <c r="BQ841">
        <f>IF($A841="","",IF(BO841=1,$B841,BQ840))</f>
        <v>0</v>
      </c>
      <c r="BR841">
        <f>IF($A841="","",IF(BO841=1,$C841,MAX($C841,BR840)))</f>
        <v>0</v>
      </c>
      <c r="BS841">
        <f>IF($A841="","",IF(BO841=1,$D841,MIN($D841,BS840)))</f>
        <v>0</v>
      </c>
      <c r="BT841">
        <f>IF($A841="","",IF(BP841=1,F841,""))</f>
        <v>0</v>
      </c>
    </row>
    <row r="842" spans="1:72">
      <c r="A842" s="27">
        <f>IF(Data!$A842="","",Data!$A842)</f>
        <v>0</v>
      </c>
      <c r="B842">
        <f>IF(Data!$B842="","",Data!$B842)</f>
        <v>0</v>
      </c>
      <c r="C842">
        <f>IF(Data!$C842="","",Data!$C842)</f>
        <v>0</v>
      </c>
      <c r="D842">
        <f>IF(Data!$D842="","",Data!$D842)</f>
        <v>0</v>
      </c>
      <c r="E842">
        <f>IF(Data!$E842="","",Data!$E842)</f>
        <v>0</v>
      </c>
      <c r="F842">
        <f>IF($E842="","",N(F841)+1)</f>
        <v>0</v>
      </c>
      <c r="G842">
        <f>IF(OR($E842="",$E841=""),"",LN($E842/$E841))</f>
        <v>0</v>
      </c>
      <c r="H842">
        <f>IF($E842="","",IF($E841="",$E842,$E842*0.0952380952+H841*0.9047619048))</f>
        <v>0</v>
      </c>
      <c r="I842">
        <f>IF($E842="","",IF($E841="",$E842,$E842*0.0392156863+I841*0.9607843137))</f>
        <v>0</v>
      </c>
      <c r="J842">
        <f>IF($E842="","",IF($E841="",$E842,$E842*0.0198019802+J841*0.9801980198))</f>
        <v>0</v>
      </c>
      <c r="K842">
        <f>IF($E842="","",IF($E841="",$E842,$E842*0.0099502488+K841*0.9900497512))</f>
        <v>0</v>
      </c>
      <c r="L842">
        <f>IF(OR($E842="",$E841=""),"",MAX($E842-$E841,0))</f>
        <v>0</v>
      </c>
      <c r="M842">
        <f>IF(OR($E842="",$E841=""),"",MAX($E841-$E842,0))</f>
        <v>0</v>
      </c>
      <c r="N842">
        <f>IF(COUNT($E$2:$E842)&lt;15,"",IF(AVERAGE($M$829:$M$842)=0,100,100-100/(1+AVERAGE($L$829:$L$842)/AVERAGE($M$829:$M$842))))</f>
        <v>0</v>
      </c>
      <c r="O842">
        <f>IF($E842="","",IF($E841="",$E842,$E842*0.1538461538+O841*0.8461538462))</f>
        <v>0</v>
      </c>
      <c r="P842">
        <f>IF($E842="","",IF($E841="",$E842,$E842*0.0740740741+P841*0.9259259259))</f>
        <v>0</v>
      </c>
      <c r="Q842">
        <f>IF(OR(O842="",P842=""),"",O842-P842)</f>
        <v>0</v>
      </c>
      <c r="R842">
        <f>IF(Q842="","",IF(R841="",Q842,Q842*0.2000000000+R841*0.8000000000))</f>
        <v>0</v>
      </c>
      <c r="S842">
        <f>IF(OR(Q842="",R842=""),"",Q842-R842)</f>
        <v>0</v>
      </c>
      <c r="T842">
        <f>IF(COUNT($E$2:$E842)&lt;14,"",MAX($C$829:$C$842))</f>
        <v>0</v>
      </c>
      <c r="U842">
        <f>IF(COUNT($E$2:$E842)&lt;14,"",MIN($D$829:$D$842))</f>
        <v>0</v>
      </c>
      <c r="V842">
        <f>IF(OR(T842="",U842="",T842=U842),"",100*($E842-U842)/(T842-U842))</f>
        <v>0</v>
      </c>
      <c r="W842">
        <f>IF(COUNT($V$840:$V$842)&lt;3,"",AVERAGE($V$840:$V$842))</f>
        <v>0</v>
      </c>
      <c r="X842">
        <f>IF(COUNT($N$829:$N$842)&lt;14,"",MIN($N$829:$N$842))</f>
        <v>0</v>
      </c>
      <c r="Y842">
        <f>IF(COUNT($N$829:$N$842)&lt;14,"",MAX($N$829:$N$842))</f>
        <v>0</v>
      </c>
      <c r="Z842">
        <f>IF(OR(N842="",X842="",Y842="",Y842=X842),"",100*(N842-X842)/(Y842-X842))</f>
        <v>0</v>
      </c>
      <c r="AA842">
        <f>IF(COUNT($Z$840:$Z$842)&lt;3,"",AVERAGE($Z$840:$Z$842))</f>
        <v>0</v>
      </c>
      <c r="AB842">
        <f>IF(COUNT($AA$840:$AA$842)&lt;3,"",AVERAGE($AA$840:$AA$842))</f>
        <v>0</v>
      </c>
      <c r="AC842">
        <f>IF($E842="","",MAX($C842-$D842,ABS($C842-$E841),ABS($D842-$E841)))</f>
        <v>0</v>
      </c>
      <c r="AD842">
        <f>IF(COUNT($E$2:$E842)&lt;15,"",AVERAGE($AC$829:$AC$842))</f>
        <v>0</v>
      </c>
      <c r="AE842">
        <f>IF(OR($E842="",$E841=""),"",IF(AND(($C842-$C841)&gt;($D841-$D842),($C842-$C841)&gt;0),$C842-$C841,0))</f>
        <v>0</v>
      </c>
      <c r="AF842">
        <f>IF(OR($E842="",$E841=""),"",IF(AND(($D841-$D842)&gt;($C842-$C841),($D841-$D842)&gt;0),$D841-$D842,0))</f>
        <v>0</v>
      </c>
      <c r="AG842">
        <f>IF(COUNT($E$2:$E842)&lt;15,"",IF(SUM($AC$829:$AC$842)=0,0,100*SUM($AE$829:$AE$842)/SUM($AC$829:$AC$842)))</f>
        <v>0</v>
      </c>
      <c r="AH842">
        <f>IF(COUNT($E$2:$E842)&lt;15,"",IF(SUM($AC$829:$AC$842)=0,0,100*SUM($AF$829:$AF$842)/SUM($AC$829:$AC$842)))</f>
        <v>0</v>
      </c>
      <c r="AI842">
        <f>IF(OR(AG842="",AH842=""),"",IF((AG842+AH842)=0,0,100*ABS(AG842-AH842)/(AG842+AH842)))</f>
        <v>0</v>
      </c>
      <c r="AJ842">
        <f>IF(COUNT($AI$829:$AI$842)&lt;14,"",AVERAGE($AI$829:$AI$842))</f>
        <v>0</v>
      </c>
      <c r="AK842">
        <f>IF(COUNT($E$2:$E842)&lt;20,"",AVERAGE($E$823:$E$842))</f>
        <v>0</v>
      </c>
      <c r="AL842">
        <f>IF(COUNT($E$2:$E842)&lt;20,"",STDEVP($E$823:$E$842))</f>
        <v>0</v>
      </c>
      <c r="AM842">
        <f>IF(AK842="","",AK842+2*AL842)</f>
        <v>0</v>
      </c>
      <c r="AN842">
        <f>IF(AK842="","",AK842-2*AL842)</f>
        <v>0</v>
      </c>
      <c r="AO842">
        <f>IF(OR(AM842="",AN842="",AM842=AN842),"",($E842-AN842)/(AM842-AN842))</f>
        <v>0</v>
      </c>
      <c r="AP842">
        <f>IF(OR(AM842="",AK842="",AK842=0),"",(AM842-AN842)/AK842)</f>
        <v>0</v>
      </c>
      <c r="AQ842">
        <f>IF(COUNT($E$2:$E842)&lt;20,"",MAX($C$823:$C$842))</f>
        <v>0</v>
      </c>
      <c r="AR842">
        <f>IF(COUNT($E$2:$E842)&lt;20,"",MIN($D$823:$D$842))</f>
        <v>0</v>
      </c>
      <c r="AS842">
        <f>IF(OR(AQ842="",AR842=""),"",(AQ842+AR842)/2)</f>
        <v>0</v>
      </c>
      <c r="AT842">
        <f>IF(COUNT($G$823:$G$842)&lt;20,"",STDEV($G$823:$G$842)*SQRT(252))</f>
        <v>0</v>
      </c>
      <c r="AU842">
        <f>IF(COUNT($E$2:$E842)&lt;9,"",(MAX($C$834:$C$842)+MIN($D$834:$D$842))/2)</f>
        <v>0</v>
      </c>
      <c r="AV842">
        <f>IF(COUNT($E$2:$E842)&lt;26,"",(MAX($C$817:$C$842)+MIN($D$817:$D$842))/2)</f>
        <v>0</v>
      </c>
      <c r="AW842">
        <f>IF(OR(AU842="",AV842=""),"",(AU842+AV842)/2)</f>
        <v>0</v>
      </c>
      <c r="AX842">
        <f>IF(COUNT($E$2:$E842)&lt;52,"",(MAX($C$791:$C$842)+MIN($D$791:$D$842))/2)</f>
        <v>0</v>
      </c>
      <c r="AY842">
        <f>IF(COUNT($E$2:$E842)&lt;20,"",MAX($C$743:$C$842))</f>
        <v>0</v>
      </c>
      <c r="AZ842">
        <f>IF(COUNT($E$2:$E842)&lt;20,"",MIN($D$743:$D$842))</f>
        <v>0</v>
      </c>
      <c r="BA842">
        <f>IF(COUNT($E$2:$E842)&lt;20,"",SLOPE($E$743:$E$842,$F$743:$F$842))</f>
        <v>0</v>
      </c>
      <c r="BB842">
        <f>IF(COUNT($E$2:$E842)&lt;20,"",INTERCEPT($E$743:$E$842,$F$743:$F$842))</f>
        <v>0</v>
      </c>
      <c r="BC842">
        <f>IF(OR(BA842="",BB842=""),"",BB842+BA842*F842)</f>
        <v>0</v>
      </c>
      <c r="BD842">
        <f>IF(COUNT($E$2:$E842)&lt;20,"",STEYX($E$743:$E$842,$F$743:$F$842))</f>
        <v>0</v>
      </c>
      <c r="BE842">
        <f>IF($E842="","",IF(AND(COUNT($E$843:$E$846)&gt;=4,$C842=MAX($C$838:$C$846)),$C842,""))</f>
        <v>0</v>
      </c>
      <c r="BF842">
        <f>IF($E842="","",IF(AND(COUNT($E$843:$E$846)&gt;=4,$D842=MIN($D$838:$D$846)),$D842,""))</f>
        <v>0</v>
      </c>
      <c r="BG842">
        <f>IF($A842="","",$A842-WEEKDAY($A842,2)+1)</f>
        <v>0</v>
      </c>
      <c r="BH842">
        <f>IF($A842="","",IF($A841="",1,IF(BG842&lt;&gt;BG841,1,0)))</f>
        <v>0</v>
      </c>
      <c r="BI842">
        <f>IF($A842="","",IF($A843="",1,IF(BG843&lt;&gt;BG842,1,0)))</f>
        <v>0</v>
      </c>
      <c r="BJ842">
        <f>IF($A842="","",IF(BH842=1,$B842,BJ841))</f>
        <v>0</v>
      </c>
      <c r="BK842">
        <f>IF($A842="","",IF(BH842=1,$C842,MAX($C842,BK841)))</f>
        <v>0</v>
      </c>
      <c r="BL842">
        <f>IF($A842="","",IF(BH842=1,$D842,MIN($D842,BL841)))</f>
        <v>0</v>
      </c>
      <c r="BM842">
        <f>IF($A842="","",IF(BI842=1,F842,""))</f>
        <v>0</v>
      </c>
      <c r="BN842">
        <f>IF($A842="","",DATE(YEAR($A842),MONTH($A842),1))</f>
        <v>0</v>
      </c>
      <c r="BO842">
        <f>IF($A842="","",IF($A841="",1,IF(BN842&lt;&gt;BN841,1,0)))</f>
        <v>0</v>
      </c>
      <c r="BP842">
        <f>IF($A842="","",IF($A843="",1,IF(BN843&lt;&gt;BN842,1,0)))</f>
        <v>0</v>
      </c>
      <c r="BQ842">
        <f>IF($A842="","",IF(BO842=1,$B842,BQ841))</f>
        <v>0</v>
      </c>
      <c r="BR842">
        <f>IF($A842="","",IF(BO842=1,$C842,MAX($C842,BR841)))</f>
        <v>0</v>
      </c>
      <c r="BS842">
        <f>IF($A842="","",IF(BO842=1,$D842,MIN($D842,BS841)))</f>
        <v>0</v>
      </c>
      <c r="BT842">
        <f>IF($A842="","",IF(BP842=1,F842,""))</f>
        <v>0</v>
      </c>
    </row>
    <row r="843" spans="1:72">
      <c r="A843" s="27">
        <f>IF(Data!$A843="","",Data!$A843)</f>
        <v>0</v>
      </c>
      <c r="B843">
        <f>IF(Data!$B843="","",Data!$B843)</f>
        <v>0</v>
      </c>
      <c r="C843">
        <f>IF(Data!$C843="","",Data!$C843)</f>
        <v>0</v>
      </c>
      <c r="D843">
        <f>IF(Data!$D843="","",Data!$D843)</f>
        <v>0</v>
      </c>
      <c r="E843">
        <f>IF(Data!$E843="","",Data!$E843)</f>
        <v>0</v>
      </c>
      <c r="F843">
        <f>IF($E843="","",N(F842)+1)</f>
        <v>0</v>
      </c>
      <c r="G843">
        <f>IF(OR($E843="",$E842=""),"",LN($E843/$E842))</f>
        <v>0</v>
      </c>
      <c r="H843">
        <f>IF($E843="","",IF($E842="",$E843,$E843*0.0952380952+H842*0.9047619048))</f>
        <v>0</v>
      </c>
      <c r="I843">
        <f>IF($E843="","",IF($E842="",$E843,$E843*0.0392156863+I842*0.9607843137))</f>
        <v>0</v>
      </c>
      <c r="J843">
        <f>IF($E843="","",IF($E842="",$E843,$E843*0.0198019802+J842*0.9801980198))</f>
        <v>0</v>
      </c>
      <c r="K843">
        <f>IF($E843="","",IF($E842="",$E843,$E843*0.0099502488+K842*0.9900497512))</f>
        <v>0</v>
      </c>
      <c r="L843">
        <f>IF(OR($E843="",$E842=""),"",MAX($E843-$E842,0))</f>
        <v>0</v>
      </c>
      <c r="M843">
        <f>IF(OR($E843="",$E842=""),"",MAX($E842-$E843,0))</f>
        <v>0</v>
      </c>
      <c r="N843">
        <f>IF(COUNT($E$2:$E843)&lt;15,"",IF(AVERAGE($M$830:$M$843)=0,100,100-100/(1+AVERAGE($L$830:$L$843)/AVERAGE($M$830:$M$843))))</f>
        <v>0</v>
      </c>
      <c r="O843">
        <f>IF($E843="","",IF($E842="",$E843,$E843*0.1538461538+O842*0.8461538462))</f>
        <v>0</v>
      </c>
      <c r="P843">
        <f>IF($E843="","",IF($E842="",$E843,$E843*0.0740740741+P842*0.9259259259))</f>
        <v>0</v>
      </c>
      <c r="Q843">
        <f>IF(OR(O843="",P843=""),"",O843-P843)</f>
        <v>0</v>
      </c>
      <c r="R843">
        <f>IF(Q843="","",IF(R842="",Q843,Q843*0.2000000000+R842*0.8000000000))</f>
        <v>0</v>
      </c>
      <c r="S843">
        <f>IF(OR(Q843="",R843=""),"",Q843-R843)</f>
        <v>0</v>
      </c>
      <c r="T843">
        <f>IF(COUNT($E$2:$E843)&lt;14,"",MAX($C$830:$C$843))</f>
        <v>0</v>
      </c>
      <c r="U843">
        <f>IF(COUNT($E$2:$E843)&lt;14,"",MIN($D$830:$D$843))</f>
        <v>0</v>
      </c>
      <c r="V843">
        <f>IF(OR(T843="",U843="",T843=U843),"",100*($E843-U843)/(T843-U843))</f>
        <v>0</v>
      </c>
      <c r="W843">
        <f>IF(COUNT($V$841:$V$843)&lt;3,"",AVERAGE($V$841:$V$843))</f>
        <v>0</v>
      </c>
      <c r="X843">
        <f>IF(COUNT($N$830:$N$843)&lt;14,"",MIN($N$830:$N$843))</f>
        <v>0</v>
      </c>
      <c r="Y843">
        <f>IF(COUNT($N$830:$N$843)&lt;14,"",MAX($N$830:$N$843))</f>
        <v>0</v>
      </c>
      <c r="Z843">
        <f>IF(OR(N843="",X843="",Y843="",Y843=X843),"",100*(N843-X843)/(Y843-X843))</f>
        <v>0</v>
      </c>
      <c r="AA843">
        <f>IF(COUNT($Z$841:$Z$843)&lt;3,"",AVERAGE($Z$841:$Z$843))</f>
        <v>0</v>
      </c>
      <c r="AB843">
        <f>IF(COUNT($AA$841:$AA$843)&lt;3,"",AVERAGE($AA$841:$AA$843))</f>
        <v>0</v>
      </c>
      <c r="AC843">
        <f>IF($E843="","",MAX($C843-$D843,ABS($C843-$E842),ABS($D843-$E842)))</f>
        <v>0</v>
      </c>
      <c r="AD843">
        <f>IF(COUNT($E$2:$E843)&lt;15,"",AVERAGE($AC$830:$AC$843))</f>
        <v>0</v>
      </c>
      <c r="AE843">
        <f>IF(OR($E843="",$E842=""),"",IF(AND(($C843-$C842)&gt;($D842-$D843),($C843-$C842)&gt;0),$C843-$C842,0))</f>
        <v>0</v>
      </c>
      <c r="AF843">
        <f>IF(OR($E843="",$E842=""),"",IF(AND(($D842-$D843)&gt;($C843-$C842),($D842-$D843)&gt;0),$D842-$D843,0))</f>
        <v>0</v>
      </c>
      <c r="AG843">
        <f>IF(COUNT($E$2:$E843)&lt;15,"",IF(SUM($AC$830:$AC$843)=0,0,100*SUM($AE$830:$AE$843)/SUM($AC$830:$AC$843)))</f>
        <v>0</v>
      </c>
      <c r="AH843">
        <f>IF(COUNT($E$2:$E843)&lt;15,"",IF(SUM($AC$830:$AC$843)=0,0,100*SUM($AF$830:$AF$843)/SUM($AC$830:$AC$843)))</f>
        <v>0</v>
      </c>
      <c r="AI843">
        <f>IF(OR(AG843="",AH843=""),"",IF((AG843+AH843)=0,0,100*ABS(AG843-AH843)/(AG843+AH843)))</f>
        <v>0</v>
      </c>
      <c r="AJ843">
        <f>IF(COUNT($AI$830:$AI$843)&lt;14,"",AVERAGE($AI$830:$AI$843))</f>
        <v>0</v>
      </c>
      <c r="AK843">
        <f>IF(COUNT($E$2:$E843)&lt;20,"",AVERAGE($E$824:$E$843))</f>
        <v>0</v>
      </c>
      <c r="AL843">
        <f>IF(COUNT($E$2:$E843)&lt;20,"",STDEVP($E$824:$E$843))</f>
        <v>0</v>
      </c>
      <c r="AM843">
        <f>IF(AK843="","",AK843+2*AL843)</f>
        <v>0</v>
      </c>
      <c r="AN843">
        <f>IF(AK843="","",AK843-2*AL843)</f>
        <v>0</v>
      </c>
      <c r="AO843">
        <f>IF(OR(AM843="",AN843="",AM843=AN843),"",($E843-AN843)/(AM843-AN843))</f>
        <v>0</v>
      </c>
      <c r="AP843">
        <f>IF(OR(AM843="",AK843="",AK843=0),"",(AM843-AN843)/AK843)</f>
        <v>0</v>
      </c>
      <c r="AQ843">
        <f>IF(COUNT($E$2:$E843)&lt;20,"",MAX($C$824:$C$843))</f>
        <v>0</v>
      </c>
      <c r="AR843">
        <f>IF(COUNT($E$2:$E843)&lt;20,"",MIN($D$824:$D$843))</f>
        <v>0</v>
      </c>
      <c r="AS843">
        <f>IF(OR(AQ843="",AR843=""),"",(AQ843+AR843)/2)</f>
        <v>0</v>
      </c>
      <c r="AT843">
        <f>IF(COUNT($G$824:$G$843)&lt;20,"",STDEV($G$824:$G$843)*SQRT(252))</f>
        <v>0</v>
      </c>
      <c r="AU843">
        <f>IF(COUNT($E$2:$E843)&lt;9,"",(MAX($C$835:$C$843)+MIN($D$835:$D$843))/2)</f>
        <v>0</v>
      </c>
      <c r="AV843">
        <f>IF(COUNT($E$2:$E843)&lt;26,"",(MAX($C$818:$C$843)+MIN($D$818:$D$843))/2)</f>
        <v>0</v>
      </c>
      <c r="AW843">
        <f>IF(OR(AU843="",AV843=""),"",(AU843+AV843)/2)</f>
        <v>0</v>
      </c>
      <c r="AX843">
        <f>IF(COUNT($E$2:$E843)&lt;52,"",(MAX($C$792:$C$843)+MIN($D$792:$D$843))/2)</f>
        <v>0</v>
      </c>
      <c r="AY843">
        <f>IF(COUNT($E$2:$E843)&lt;20,"",MAX($C$744:$C$843))</f>
        <v>0</v>
      </c>
      <c r="AZ843">
        <f>IF(COUNT($E$2:$E843)&lt;20,"",MIN($D$744:$D$843))</f>
        <v>0</v>
      </c>
      <c r="BA843">
        <f>IF(COUNT($E$2:$E843)&lt;20,"",SLOPE($E$744:$E$843,$F$744:$F$843))</f>
        <v>0</v>
      </c>
      <c r="BB843">
        <f>IF(COUNT($E$2:$E843)&lt;20,"",INTERCEPT($E$744:$E$843,$F$744:$F$843))</f>
        <v>0</v>
      </c>
      <c r="BC843">
        <f>IF(OR(BA843="",BB843=""),"",BB843+BA843*F843)</f>
        <v>0</v>
      </c>
      <c r="BD843">
        <f>IF(COUNT($E$2:$E843)&lt;20,"",STEYX($E$744:$E$843,$F$744:$F$843))</f>
        <v>0</v>
      </c>
      <c r="BE843">
        <f>IF($E843="","",IF(AND(COUNT($E$844:$E$847)&gt;=4,$C843=MAX($C$839:$C$847)),$C843,""))</f>
        <v>0</v>
      </c>
      <c r="BF843">
        <f>IF($E843="","",IF(AND(COUNT($E$844:$E$847)&gt;=4,$D843=MIN($D$839:$D$847)),$D843,""))</f>
        <v>0</v>
      </c>
      <c r="BG843">
        <f>IF($A843="","",$A843-WEEKDAY($A843,2)+1)</f>
        <v>0</v>
      </c>
      <c r="BH843">
        <f>IF($A843="","",IF($A842="",1,IF(BG843&lt;&gt;BG842,1,0)))</f>
        <v>0</v>
      </c>
      <c r="BI843">
        <f>IF($A843="","",IF($A844="",1,IF(BG844&lt;&gt;BG843,1,0)))</f>
        <v>0</v>
      </c>
      <c r="BJ843">
        <f>IF($A843="","",IF(BH843=1,$B843,BJ842))</f>
        <v>0</v>
      </c>
      <c r="BK843">
        <f>IF($A843="","",IF(BH843=1,$C843,MAX($C843,BK842)))</f>
        <v>0</v>
      </c>
      <c r="BL843">
        <f>IF($A843="","",IF(BH843=1,$D843,MIN($D843,BL842)))</f>
        <v>0</v>
      </c>
      <c r="BM843">
        <f>IF($A843="","",IF(BI843=1,F843,""))</f>
        <v>0</v>
      </c>
      <c r="BN843">
        <f>IF($A843="","",DATE(YEAR($A843),MONTH($A843),1))</f>
        <v>0</v>
      </c>
      <c r="BO843">
        <f>IF($A843="","",IF($A842="",1,IF(BN843&lt;&gt;BN842,1,0)))</f>
        <v>0</v>
      </c>
      <c r="BP843">
        <f>IF($A843="","",IF($A844="",1,IF(BN844&lt;&gt;BN843,1,0)))</f>
        <v>0</v>
      </c>
      <c r="BQ843">
        <f>IF($A843="","",IF(BO843=1,$B843,BQ842))</f>
        <v>0</v>
      </c>
      <c r="BR843">
        <f>IF($A843="","",IF(BO843=1,$C843,MAX($C843,BR842)))</f>
        <v>0</v>
      </c>
      <c r="BS843">
        <f>IF($A843="","",IF(BO843=1,$D843,MIN($D843,BS842)))</f>
        <v>0</v>
      </c>
      <c r="BT843">
        <f>IF($A843="","",IF(BP843=1,F843,""))</f>
        <v>0</v>
      </c>
    </row>
    <row r="844" spans="1:72">
      <c r="A844" s="27">
        <f>IF(Data!$A844="","",Data!$A844)</f>
        <v>0</v>
      </c>
      <c r="B844">
        <f>IF(Data!$B844="","",Data!$B844)</f>
        <v>0</v>
      </c>
      <c r="C844">
        <f>IF(Data!$C844="","",Data!$C844)</f>
        <v>0</v>
      </c>
      <c r="D844">
        <f>IF(Data!$D844="","",Data!$D844)</f>
        <v>0</v>
      </c>
      <c r="E844">
        <f>IF(Data!$E844="","",Data!$E844)</f>
        <v>0</v>
      </c>
      <c r="F844">
        <f>IF($E844="","",N(F843)+1)</f>
        <v>0</v>
      </c>
      <c r="G844">
        <f>IF(OR($E844="",$E843=""),"",LN($E844/$E843))</f>
        <v>0</v>
      </c>
      <c r="H844">
        <f>IF($E844="","",IF($E843="",$E844,$E844*0.0952380952+H843*0.9047619048))</f>
        <v>0</v>
      </c>
      <c r="I844">
        <f>IF($E844="","",IF($E843="",$E844,$E844*0.0392156863+I843*0.9607843137))</f>
        <v>0</v>
      </c>
      <c r="J844">
        <f>IF($E844="","",IF($E843="",$E844,$E844*0.0198019802+J843*0.9801980198))</f>
        <v>0</v>
      </c>
      <c r="K844">
        <f>IF($E844="","",IF($E843="",$E844,$E844*0.0099502488+K843*0.9900497512))</f>
        <v>0</v>
      </c>
      <c r="L844">
        <f>IF(OR($E844="",$E843=""),"",MAX($E844-$E843,0))</f>
        <v>0</v>
      </c>
      <c r="M844">
        <f>IF(OR($E844="",$E843=""),"",MAX($E843-$E844,0))</f>
        <v>0</v>
      </c>
      <c r="N844">
        <f>IF(COUNT($E$2:$E844)&lt;15,"",IF(AVERAGE($M$831:$M$844)=0,100,100-100/(1+AVERAGE($L$831:$L$844)/AVERAGE($M$831:$M$844))))</f>
        <v>0</v>
      </c>
      <c r="O844">
        <f>IF($E844="","",IF($E843="",$E844,$E844*0.1538461538+O843*0.8461538462))</f>
        <v>0</v>
      </c>
      <c r="P844">
        <f>IF($E844="","",IF($E843="",$E844,$E844*0.0740740741+P843*0.9259259259))</f>
        <v>0</v>
      </c>
      <c r="Q844">
        <f>IF(OR(O844="",P844=""),"",O844-P844)</f>
        <v>0</v>
      </c>
      <c r="R844">
        <f>IF(Q844="","",IF(R843="",Q844,Q844*0.2000000000+R843*0.8000000000))</f>
        <v>0</v>
      </c>
      <c r="S844">
        <f>IF(OR(Q844="",R844=""),"",Q844-R844)</f>
        <v>0</v>
      </c>
      <c r="T844">
        <f>IF(COUNT($E$2:$E844)&lt;14,"",MAX($C$831:$C$844))</f>
        <v>0</v>
      </c>
      <c r="U844">
        <f>IF(COUNT($E$2:$E844)&lt;14,"",MIN($D$831:$D$844))</f>
        <v>0</v>
      </c>
      <c r="V844">
        <f>IF(OR(T844="",U844="",T844=U844),"",100*($E844-U844)/(T844-U844))</f>
        <v>0</v>
      </c>
      <c r="W844">
        <f>IF(COUNT($V$842:$V$844)&lt;3,"",AVERAGE($V$842:$V$844))</f>
        <v>0</v>
      </c>
      <c r="X844">
        <f>IF(COUNT($N$831:$N$844)&lt;14,"",MIN($N$831:$N$844))</f>
        <v>0</v>
      </c>
      <c r="Y844">
        <f>IF(COUNT($N$831:$N$844)&lt;14,"",MAX($N$831:$N$844))</f>
        <v>0</v>
      </c>
      <c r="Z844">
        <f>IF(OR(N844="",X844="",Y844="",Y844=X844),"",100*(N844-X844)/(Y844-X844))</f>
        <v>0</v>
      </c>
      <c r="AA844">
        <f>IF(COUNT($Z$842:$Z$844)&lt;3,"",AVERAGE($Z$842:$Z$844))</f>
        <v>0</v>
      </c>
      <c r="AB844">
        <f>IF(COUNT($AA$842:$AA$844)&lt;3,"",AVERAGE($AA$842:$AA$844))</f>
        <v>0</v>
      </c>
      <c r="AC844">
        <f>IF($E844="","",MAX($C844-$D844,ABS($C844-$E843),ABS($D844-$E843)))</f>
        <v>0</v>
      </c>
      <c r="AD844">
        <f>IF(COUNT($E$2:$E844)&lt;15,"",AVERAGE($AC$831:$AC$844))</f>
        <v>0</v>
      </c>
      <c r="AE844">
        <f>IF(OR($E844="",$E843=""),"",IF(AND(($C844-$C843)&gt;($D843-$D844),($C844-$C843)&gt;0),$C844-$C843,0))</f>
        <v>0</v>
      </c>
      <c r="AF844">
        <f>IF(OR($E844="",$E843=""),"",IF(AND(($D843-$D844)&gt;($C844-$C843),($D843-$D844)&gt;0),$D843-$D844,0))</f>
        <v>0</v>
      </c>
      <c r="AG844">
        <f>IF(COUNT($E$2:$E844)&lt;15,"",IF(SUM($AC$831:$AC$844)=0,0,100*SUM($AE$831:$AE$844)/SUM($AC$831:$AC$844)))</f>
        <v>0</v>
      </c>
      <c r="AH844">
        <f>IF(COUNT($E$2:$E844)&lt;15,"",IF(SUM($AC$831:$AC$844)=0,0,100*SUM($AF$831:$AF$844)/SUM($AC$831:$AC$844)))</f>
        <v>0</v>
      </c>
      <c r="AI844">
        <f>IF(OR(AG844="",AH844=""),"",IF((AG844+AH844)=0,0,100*ABS(AG844-AH844)/(AG844+AH844)))</f>
        <v>0</v>
      </c>
      <c r="AJ844">
        <f>IF(COUNT($AI$831:$AI$844)&lt;14,"",AVERAGE($AI$831:$AI$844))</f>
        <v>0</v>
      </c>
      <c r="AK844">
        <f>IF(COUNT($E$2:$E844)&lt;20,"",AVERAGE($E$825:$E$844))</f>
        <v>0</v>
      </c>
      <c r="AL844">
        <f>IF(COUNT($E$2:$E844)&lt;20,"",STDEVP($E$825:$E$844))</f>
        <v>0</v>
      </c>
      <c r="AM844">
        <f>IF(AK844="","",AK844+2*AL844)</f>
        <v>0</v>
      </c>
      <c r="AN844">
        <f>IF(AK844="","",AK844-2*AL844)</f>
        <v>0</v>
      </c>
      <c r="AO844">
        <f>IF(OR(AM844="",AN844="",AM844=AN844),"",($E844-AN844)/(AM844-AN844))</f>
        <v>0</v>
      </c>
      <c r="AP844">
        <f>IF(OR(AM844="",AK844="",AK844=0),"",(AM844-AN844)/AK844)</f>
        <v>0</v>
      </c>
      <c r="AQ844">
        <f>IF(COUNT($E$2:$E844)&lt;20,"",MAX($C$825:$C$844))</f>
        <v>0</v>
      </c>
      <c r="AR844">
        <f>IF(COUNT($E$2:$E844)&lt;20,"",MIN($D$825:$D$844))</f>
        <v>0</v>
      </c>
      <c r="AS844">
        <f>IF(OR(AQ844="",AR844=""),"",(AQ844+AR844)/2)</f>
        <v>0</v>
      </c>
      <c r="AT844">
        <f>IF(COUNT($G$825:$G$844)&lt;20,"",STDEV($G$825:$G$844)*SQRT(252))</f>
        <v>0</v>
      </c>
      <c r="AU844">
        <f>IF(COUNT($E$2:$E844)&lt;9,"",(MAX($C$836:$C$844)+MIN($D$836:$D$844))/2)</f>
        <v>0</v>
      </c>
      <c r="AV844">
        <f>IF(COUNT($E$2:$E844)&lt;26,"",(MAX($C$819:$C$844)+MIN($D$819:$D$844))/2)</f>
        <v>0</v>
      </c>
      <c r="AW844">
        <f>IF(OR(AU844="",AV844=""),"",(AU844+AV844)/2)</f>
        <v>0</v>
      </c>
      <c r="AX844">
        <f>IF(COUNT($E$2:$E844)&lt;52,"",(MAX($C$793:$C$844)+MIN($D$793:$D$844))/2)</f>
        <v>0</v>
      </c>
      <c r="AY844">
        <f>IF(COUNT($E$2:$E844)&lt;20,"",MAX($C$745:$C$844))</f>
        <v>0</v>
      </c>
      <c r="AZ844">
        <f>IF(COUNT($E$2:$E844)&lt;20,"",MIN($D$745:$D$844))</f>
        <v>0</v>
      </c>
      <c r="BA844">
        <f>IF(COUNT($E$2:$E844)&lt;20,"",SLOPE($E$745:$E$844,$F$745:$F$844))</f>
        <v>0</v>
      </c>
      <c r="BB844">
        <f>IF(COUNT($E$2:$E844)&lt;20,"",INTERCEPT($E$745:$E$844,$F$745:$F$844))</f>
        <v>0</v>
      </c>
      <c r="BC844">
        <f>IF(OR(BA844="",BB844=""),"",BB844+BA844*F844)</f>
        <v>0</v>
      </c>
      <c r="BD844">
        <f>IF(COUNT($E$2:$E844)&lt;20,"",STEYX($E$745:$E$844,$F$745:$F$844))</f>
        <v>0</v>
      </c>
      <c r="BE844">
        <f>IF($E844="","",IF(AND(COUNT($E$845:$E$848)&gt;=4,$C844=MAX($C$840:$C$848)),$C844,""))</f>
        <v>0</v>
      </c>
      <c r="BF844">
        <f>IF($E844="","",IF(AND(COUNT($E$845:$E$848)&gt;=4,$D844=MIN($D$840:$D$848)),$D844,""))</f>
        <v>0</v>
      </c>
      <c r="BG844">
        <f>IF($A844="","",$A844-WEEKDAY($A844,2)+1)</f>
        <v>0</v>
      </c>
      <c r="BH844">
        <f>IF($A844="","",IF($A843="",1,IF(BG844&lt;&gt;BG843,1,0)))</f>
        <v>0</v>
      </c>
      <c r="BI844">
        <f>IF($A844="","",IF($A845="",1,IF(BG845&lt;&gt;BG844,1,0)))</f>
        <v>0</v>
      </c>
      <c r="BJ844">
        <f>IF($A844="","",IF(BH844=1,$B844,BJ843))</f>
        <v>0</v>
      </c>
      <c r="BK844">
        <f>IF($A844="","",IF(BH844=1,$C844,MAX($C844,BK843)))</f>
        <v>0</v>
      </c>
      <c r="BL844">
        <f>IF($A844="","",IF(BH844=1,$D844,MIN($D844,BL843)))</f>
        <v>0</v>
      </c>
      <c r="BM844">
        <f>IF($A844="","",IF(BI844=1,F844,""))</f>
        <v>0</v>
      </c>
      <c r="BN844">
        <f>IF($A844="","",DATE(YEAR($A844),MONTH($A844),1))</f>
        <v>0</v>
      </c>
      <c r="BO844">
        <f>IF($A844="","",IF($A843="",1,IF(BN844&lt;&gt;BN843,1,0)))</f>
        <v>0</v>
      </c>
      <c r="BP844">
        <f>IF($A844="","",IF($A845="",1,IF(BN845&lt;&gt;BN844,1,0)))</f>
        <v>0</v>
      </c>
      <c r="BQ844">
        <f>IF($A844="","",IF(BO844=1,$B844,BQ843))</f>
        <v>0</v>
      </c>
      <c r="BR844">
        <f>IF($A844="","",IF(BO844=1,$C844,MAX($C844,BR843)))</f>
        <v>0</v>
      </c>
      <c r="BS844">
        <f>IF($A844="","",IF(BO844=1,$D844,MIN($D844,BS843)))</f>
        <v>0</v>
      </c>
      <c r="BT844">
        <f>IF($A844="","",IF(BP844=1,F844,""))</f>
        <v>0</v>
      </c>
    </row>
    <row r="845" spans="1:72">
      <c r="A845" s="27">
        <f>IF(Data!$A845="","",Data!$A845)</f>
        <v>0</v>
      </c>
      <c r="B845">
        <f>IF(Data!$B845="","",Data!$B845)</f>
        <v>0</v>
      </c>
      <c r="C845">
        <f>IF(Data!$C845="","",Data!$C845)</f>
        <v>0</v>
      </c>
      <c r="D845">
        <f>IF(Data!$D845="","",Data!$D845)</f>
        <v>0</v>
      </c>
      <c r="E845">
        <f>IF(Data!$E845="","",Data!$E845)</f>
        <v>0</v>
      </c>
      <c r="F845">
        <f>IF($E845="","",N(F844)+1)</f>
        <v>0</v>
      </c>
      <c r="G845">
        <f>IF(OR($E845="",$E844=""),"",LN($E845/$E844))</f>
        <v>0</v>
      </c>
      <c r="H845">
        <f>IF($E845="","",IF($E844="",$E845,$E845*0.0952380952+H844*0.9047619048))</f>
        <v>0</v>
      </c>
      <c r="I845">
        <f>IF($E845="","",IF($E844="",$E845,$E845*0.0392156863+I844*0.9607843137))</f>
        <v>0</v>
      </c>
      <c r="J845">
        <f>IF($E845="","",IF($E844="",$E845,$E845*0.0198019802+J844*0.9801980198))</f>
        <v>0</v>
      </c>
      <c r="K845">
        <f>IF($E845="","",IF($E844="",$E845,$E845*0.0099502488+K844*0.9900497512))</f>
        <v>0</v>
      </c>
      <c r="L845">
        <f>IF(OR($E845="",$E844=""),"",MAX($E845-$E844,0))</f>
        <v>0</v>
      </c>
      <c r="M845">
        <f>IF(OR($E845="",$E844=""),"",MAX($E844-$E845,0))</f>
        <v>0</v>
      </c>
      <c r="N845">
        <f>IF(COUNT($E$2:$E845)&lt;15,"",IF(AVERAGE($M$832:$M$845)=0,100,100-100/(1+AVERAGE($L$832:$L$845)/AVERAGE($M$832:$M$845))))</f>
        <v>0</v>
      </c>
      <c r="O845">
        <f>IF($E845="","",IF($E844="",$E845,$E845*0.1538461538+O844*0.8461538462))</f>
        <v>0</v>
      </c>
      <c r="P845">
        <f>IF($E845="","",IF($E844="",$E845,$E845*0.0740740741+P844*0.9259259259))</f>
        <v>0</v>
      </c>
      <c r="Q845">
        <f>IF(OR(O845="",P845=""),"",O845-P845)</f>
        <v>0</v>
      </c>
      <c r="R845">
        <f>IF(Q845="","",IF(R844="",Q845,Q845*0.2000000000+R844*0.8000000000))</f>
        <v>0</v>
      </c>
      <c r="S845">
        <f>IF(OR(Q845="",R845=""),"",Q845-R845)</f>
        <v>0</v>
      </c>
      <c r="T845">
        <f>IF(COUNT($E$2:$E845)&lt;14,"",MAX($C$832:$C$845))</f>
        <v>0</v>
      </c>
      <c r="U845">
        <f>IF(COUNT($E$2:$E845)&lt;14,"",MIN($D$832:$D$845))</f>
        <v>0</v>
      </c>
      <c r="V845">
        <f>IF(OR(T845="",U845="",T845=U845),"",100*($E845-U845)/(T845-U845))</f>
        <v>0</v>
      </c>
      <c r="W845">
        <f>IF(COUNT($V$843:$V$845)&lt;3,"",AVERAGE($V$843:$V$845))</f>
        <v>0</v>
      </c>
      <c r="X845">
        <f>IF(COUNT($N$832:$N$845)&lt;14,"",MIN($N$832:$N$845))</f>
        <v>0</v>
      </c>
      <c r="Y845">
        <f>IF(COUNT($N$832:$N$845)&lt;14,"",MAX($N$832:$N$845))</f>
        <v>0</v>
      </c>
      <c r="Z845">
        <f>IF(OR(N845="",X845="",Y845="",Y845=X845),"",100*(N845-X845)/(Y845-X845))</f>
        <v>0</v>
      </c>
      <c r="AA845">
        <f>IF(COUNT($Z$843:$Z$845)&lt;3,"",AVERAGE($Z$843:$Z$845))</f>
        <v>0</v>
      </c>
      <c r="AB845">
        <f>IF(COUNT($AA$843:$AA$845)&lt;3,"",AVERAGE($AA$843:$AA$845))</f>
        <v>0</v>
      </c>
      <c r="AC845">
        <f>IF($E845="","",MAX($C845-$D845,ABS($C845-$E844),ABS($D845-$E844)))</f>
        <v>0</v>
      </c>
      <c r="AD845">
        <f>IF(COUNT($E$2:$E845)&lt;15,"",AVERAGE($AC$832:$AC$845))</f>
        <v>0</v>
      </c>
      <c r="AE845">
        <f>IF(OR($E845="",$E844=""),"",IF(AND(($C845-$C844)&gt;($D844-$D845),($C845-$C844)&gt;0),$C845-$C844,0))</f>
        <v>0</v>
      </c>
      <c r="AF845">
        <f>IF(OR($E845="",$E844=""),"",IF(AND(($D844-$D845)&gt;($C845-$C844),($D844-$D845)&gt;0),$D844-$D845,0))</f>
        <v>0</v>
      </c>
      <c r="AG845">
        <f>IF(COUNT($E$2:$E845)&lt;15,"",IF(SUM($AC$832:$AC$845)=0,0,100*SUM($AE$832:$AE$845)/SUM($AC$832:$AC$845)))</f>
        <v>0</v>
      </c>
      <c r="AH845">
        <f>IF(COUNT($E$2:$E845)&lt;15,"",IF(SUM($AC$832:$AC$845)=0,0,100*SUM($AF$832:$AF$845)/SUM($AC$832:$AC$845)))</f>
        <v>0</v>
      </c>
      <c r="AI845">
        <f>IF(OR(AG845="",AH845=""),"",IF((AG845+AH845)=0,0,100*ABS(AG845-AH845)/(AG845+AH845)))</f>
        <v>0</v>
      </c>
      <c r="AJ845">
        <f>IF(COUNT($AI$832:$AI$845)&lt;14,"",AVERAGE($AI$832:$AI$845))</f>
        <v>0</v>
      </c>
      <c r="AK845">
        <f>IF(COUNT($E$2:$E845)&lt;20,"",AVERAGE($E$826:$E$845))</f>
        <v>0</v>
      </c>
      <c r="AL845">
        <f>IF(COUNT($E$2:$E845)&lt;20,"",STDEVP($E$826:$E$845))</f>
        <v>0</v>
      </c>
      <c r="AM845">
        <f>IF(AK845="","",AK845+2*AL845)</f>
        <v>0</v>
      </c>
      <c r="AN845">
        <f>IF(AK845="","",AK845-2*AL845)</f>
        <v>0</v>
      </c>
      <c r="AO845">
        <f>IF(OR(AM845="",AN845="",AM845=AN845),"",($E845-AN845)/(AM845-AN845))</f>
        <v>0</v>
      </c>
      <c r="AP845">
        <f>IF(OR(AM845="",AK845="",AK845=0),"",(AM845-AN845)/AK845)</f>
        <v>0</v>
      </c>
      <c r="AQ845">
        <f>IF(COUNT($E$2:$E845)&lt;20,"",MAX($C$826:$C$845))</f>
        <v>0</v>
      </c>
      <c r="AR845">
        <f>IF(COUNT($E$2:$E845)&lt;20,"",MIN($D$826:$D$845))</f>
        <v>0</v>
      </c>
      <c r="AS845">
        <f>IF(OR(AQ845="",AR845=""),"",(AQ845+AR845)/2)</f>
        <v>0</v>
      </c>
      <c r="AT845">
        <f>IF(COUNT($G$826:$G$845)&lt;20,"",STDEV($G$826:$G$845)*SQRT(252))</f>
        <v>0</v>
      </c>
      <c r="AU845">
        <f>IF(COUNT($E$2:$E845)&lt;9,"",(MAX($C$837:$C$845)+MIN($D$837:$D$845))/2)</f>
        <v>0</v>
      </c>
      <c r="AV845">
        <f>IF(COUNT($E$2:$E845)&lt;26,"",(MAX($C$820:$C$845)+MIN($D$820:$D$845))/2)</f>
        <v>0</v>
      </c>
      <c r="AW845">
        <f>IF(OR(AU845="",AV845=""),"",(AU845+AV845)/2)</f>
        <v>0</v>
      </c>
      <c r="AX845">
        <f>IF(COUNT($E$2:$E845)&lt;52,"",(MAX($C$794:$C$845)+MIN($D$794:$D$845))/2)</f>
        <v>0</v>
      </c>
      <c r="AY845">
        <f>IF(COUNT($E$2:$E845)&lt;20,"",MAX($C$746:$C$845))</f>
        <v>0</v>
      </c>
      <c r="AZ845">
        <f>IF(COUNT($E$2:$E845)&lt;20,"",MIN($D$746:$D$845))</f>
        <v>0</v>
      </c>
      <c r="BA845">
        <f>IF(COUNT($E$2:$E845)&lt;20,"",SLOPE($E$746:$E$845,$F$746:$F$845))</f>
        <v>0</v>
      </c>
      <c r="BB845">
        <f>IF(COUNT($E$2:$E845)&lt;20,"",INTERCEPT($E$746:$E$845,$F$746:$F$845))</f>
        <v>0</v>
      </c>
      <c r="BC845">
        <f>IF(OR(BA845="",BB845=""),"",BB845+BA845*F845)</f>
        <v>0</v>
      </c>
      <c r="BD845">
        <f>IF(COUNT($E$2:$E845)&lt;20,"",STEYX($E$746:$E$845,$F$746:$F$845))</f>
        <v>0</v>
      </c>
      <c r="BE845">
        <f>IF($E845="","",IF(AND(COUNT($E$846:$E$849)&gt;=4,$C845=MAX($C$841:$C$849)),$C845,""))</f>
        <v>0</v>
      </c>
      <c r="BF845">
        <f>IF($E845="","",IF(AND(COUNT($E$846:$E$849)&gt;=4,$D845=MIN($D$841:$D$849)),$D845,""))</f>
        <v>0</v>
      </c>
      <c r="BG845">
        <f>IF($A845="","",$A845-WEEKDAY($A845,2)+1)</f>
        <v>0</v>
      </c>
      <c r="BH845">
        <f>IF($A845="","",IF($A844="",1,IF(BG845&lt;&gt;BG844,1,0)))</f>
        <v>0</v>
      </c>
      <c r="BI845">
        <f>IF($A845="","",IF($A846="",1,IF(BG846&lt;&gt;BG845,1,0)))</f>
        <v>0</v>
      </c>
      <c r="BJ845">
        <f>IF($A845="","",IF(BH845=1,$B845,BJ844))</f>
        <v>0</v>
      </c>
      <c r="BK845">
        <f>IF($A845="","",IF(BH845=1,$C845,MAX($C845,BK844)))</f>
        <v>0</v>
      </c>
      <c r="BL845">
        <f>IF($A845="","",IF(BH845=1,$D845,MIN($D845,BL844)))</f>
        <v>0</v>
      </c>
      <c r="BM845">
        <f>IF($A845="","",IF(BI845=1,F845,""))</f>
        <v>0</v>
      </c>
      <c r="BN845">
        <f>IF($A845="","",DATE(YEAR($A845),MONTH($A845),1))</f>
        <v>0</v>
      </c>
      <c r="BO845">
        <f>IF($A845="","",IF($A844="",1,IF(BN845&lt;&gt;BN844,1,0)))</f>
        <v>0</v>
      </c>
      <c r="BP845">
        <f>IF($A845="","",IF($A846="",1,IF(BN846&lt;&gt;BN845,1,0)))</f>
        <v>0</v>
      </c>
      <c r="BQ845">
        <f>IF($A845="","",IF(BO845=1,$B845,BQ844))</f>
        <v>0</v>
      </c>
      <c r="BR845">
        <f>IF($A845="","",IF(BO845=1,$C845,MAX($C845,BR844)))</f>
        <v>0</v>
      </c>
      <c r="BS845">
        <f>IF($A845="","",IF(BO845=1,$D845,MIN($D845,BS844)))</f>
        <v>0</v>
      </c>
      <c r="BT845">
        <f>IF($A845="","",IF(BP845=1,F845,""))</f>
        <v>0</v>
      </c>
    </row>
    <row r="846" spans="1:72">
      <c r="A846" s="27">
        <f>IF(Data!$A846="","",Data!$A846)</f>
        <v>0</v>
      </c>
      <c r="B846">
        <f>IF(Data!$B846="","",Data!$B846)</f>
        <v>0</v>
      </c>
      <c r="C846">
        <f>IF(Data!$C846="","",Data!$C846)</f>
        <v>0</v>
      </c>
      <c r="D846">
        <f>IF(Data!$D846="","",Data!$D846)</f>
        <v>0</v>
      </c>
      <c r="E846">
        <f>IF(Data!$E846="","",Data!$E846)</f>
        <v>0</v>
      </c>
      <c r="F846">
        <f>IF($E846="","",N(F845)+1)</f>
        <v>0</v>
      </c>
      <c r="G846">
        <f>IF(OR($E846="",$E845=""),"",LN($E846/$E845))</f>
        <v>0</v>
      </c>
      <c r="H846">
        <f>IF($E846="","",IF($E845="",$E846,$E846*0.0952380952+H845*0.9047619048))</f>
        <v>0</v>
      </c>
      <c r="I846">
        <f>IF($E846="","",IF($E845="",$E846,$E846*0.0392156863+I845*0.9607843137))</f>
        <v>0</v>
      </c>
      <c r="J846">
        <f>IF($E846="","",IF($E845="",$E846,$E846*0.0198019802+J845*0.9801980198))</f>
        <v>0</v>
      </c>
      <c r="K846">
        <f>IF($E846="","",IF($E845="",$E846,$E846*0.0099502488+K845*0.9900497512))</f>
        <v>0</v>
      </c>
      <c r="L846">
        <f>IF(OR($E846="",$E845=""),"",MAX($E846-$E845,0))</f>
        <v>0</v>
      </c>
      <c r="M846">
        <f>IF(OR($E846="",$E845=""),"",MAX($E845-$E846,0))</f>
        <v>0</v>
      </c>
      <c r="N846">
        <f>IF(COUNT($E$2:$E846)&lt;15,"",IF(AVERAGE($M$833:$M$846)=0,100,100-100/(1+AVERAGE($L$833:$L$846)/AVERAGE($M$833:$M$846))))</f>
        <v>0</v>
      </c>
      <c r="O846">
        <f>IF($E846="","",IF($E845="",$E846,$E846*0.1538461538+O845*0.8461538462))</f>
        <v>0</v>
      </c>
      <c r="P846">
        <f>IF($E846="","",IF($E845="",$E846,$E846*0.0740740741+P845*0.9259259259))</f>
        <v>0</v>
      </c>
      <c r="Q846">
        <f>IF(OR(O846="",P846=""),"",O846-P846)</f>
        <v>0</v>
      </c>
      <c r="R846">
        <f>IF(Q846="","",IF(R845="",Q846,Q846*0.2000000000+R845*0.8000000000))</f>
        <v>0</v>
      </c>
      <c r="S846">
        <f>IF(OR(Q846="",R846=""),"",Q846-R846)</f>
        <v>0</v>
      </c>
      <c r="T846">
        <f>IF(COUNT($E$2:$E846)&lt;14,"",MAX($C$833:$C$846))</f>
        <v>0</v>
      </c>
      <c r="U846">
        <f>IF(COUNT($E$2:$E846)&lt;14,"",MIN($D$833:$D$846))</f>
        <v>0</v>
      </c>
      <c r="V846">
        <f>IF(OR(T846="",U846="",T846=U846),"",100*($E846-U846)/(T846-U846))</f>
        <v>0</v>
      </c>
      <c r="W846">
        <f>IF(COUNT($V$844:$V$846)&lt;3,"",AVERAGE($V$844:$V$846))</f>
        <v>0</v>
      </c>
      <c r="X846">
        <f>IF(COUNT($N$833:$N$846)&lt;14,"",MIN($N$833:$N$846))</f>
        <v>0</v>
      </c>
      <c r="Y846">
        <f>IF(COUNT($N$833:$N$846)&lt;14,"",MAX($N$833:$N$846))</f>
        <v>0</v>
      </c>
      <c r="Z846">
        <f>IF(OR(N846="",X846="",Y846="",Y846=X846),"",100*(N846-X846)/(Y846-X846))</f>
        <v>0</v>
      </c>
      <c r="AA846">
        <f>IF(COUNT($Z$844:$Z$846)&lt;3,"",AVERAGE($Z$844:$Z$846))</f>
        <v>0</v>
      </c>
      <c r="AB846">
        <f>IF(COUNT($AA$844:$AA$846)&lt;3,"",AVERAGE($AA$844:$AA$846))</f>
        <v>0</v>
      </c>
      <c r="AC846">
        <f>IF($E846="","",MAX($C846-$D846,ABS($C846-$E845),ABS($D846-$E845)))</f>
        <v>0</v>
      </c>
      <c r="AD846">
        <f>IF(COUNT($E$2:$E846)&lt;15,"",AVERAGE($AC$833:$AC$846))</f>
        <v>0</v>
      </c>
      <c r="AE846">
        <f>IF(OR($E846="",$E845=""),"",IF(AND(($C846-$C845)&gt;($D845-$D846),($C846-$C845)&gt;0),$C846-$C845,0))</f>
        <v>0</v>
      </c>
      <c r="AF846">
        <f>IF(OR($E846="",$E845=""),"",IF(AND(($D845-$D846)&gt;($C846-$C845),($D845-$D846)&gt;0),$D845-$D846,0))</f>
        <v>0</v>
      </c>
      <c r="AG846">
        <f>IF(COUNT($E$2:$E846)&lt;15,"",IF(SUM($AC$833:$AC$846)=0,0,100*SUM($AE$833:$AE$846)/SUM($AC$833:$AC$846)))</f>
        <v>0</v>
      </c>
      <c r="AH846">
        <f>IF(COUNT($E$2:$E846)&lt;15,"",IF(SUM($AC$833:$AC$846)=0,0,100*SUM($AF$833:$AF$846)/SUM($AC$833:$AC$846)))</f>
        <v>0</v>
      </c>
      <c r="AI846">
        <f>IF(OR(AG846="",AH846=""),"",IF((AG846+AH846)=0,0,100*ABS(AG846-AH846)/(AG846+AH846)))</f>
        <v>0</v>
      </c>
      <c r="AJ846">
        <f>IF(COUNT($AI$833:$AI$846)&lt;14,"",AVERAGE($AI$833:$AI$846))</f>
        <v>0</v>
      </c>
      <c r="AK846">
        <f>IF(COUNT($E$2:$E846)&lt;20,"",AVERAGE($E$827:$E$846))</f>
        <v>0</v>
      </c>
      <c r="AL846">
        <f>IF(COUNT($E$2:$E846)&lt;20,"",STDEVP($E$827:$E$846))</f>
        <v>0</v>
      </c>
      <c r="AM846">
        <f>IF(AK846="","",AK846+2*AL846)</f>
        <v>0</v>
      </c>
      <c r="AN846">
        <f>IF(AK846="","",AK846-2*AL846)</f>
        <v>0</v>
      </c>
      <c r="AO846">
        <f>IF(OR(AM846="",AN846="",AM846=AN846),"",($E846-AN846)/(AM846-AN846))</f>
        <v>0</v>
      </c>
      <c r="AP846">
        <f>IF(OR(AM846="",AK846="",AK846=0),"",(AM846-AN846)/AK846)</f>
        <v>0</v>
      </c>
      <c r="AQ846">
        <f>IF(COUNT($E$2:$E846)&lt;20,"",MAX($C$827:$C$846))</f>
        <v>0</v>
      </c>
      <c r="AR846">
        <f>IF(COUNT($E$2:$E846)&lt;20,"",MIN($D$827:$D$846))</f>
        <v>0</v>
      </c>
      <c r="AS846">
        <f>IF(OR(AQ846="",AR846=""),"",(AQ846+AR846)/2)</f>
        <v>0</v>
      </c>
      <c r="AT846">
        <f>IF(COUNT($G$827:$G$846)&lt;20,"",STDEV($G$827:$G$846)*SQRT(252))</f>
        <v>0</v>
      </c>
      <c r="AU846">
        <f>IF(COUNT($E$2:$E846)&lt;9,"",(MAX($C$838:$C$846)+MIN($D$838:$D$846))/2)</f>
        <v>0</v>
      </c>
      <c r="AV846">
        <f>IF(COUNT($E$2:$E846)&lt;26,"",(MAX($C$821:$C$846)+MIN($D$821:$D$846))/2)</f>
        <v>0</v>
      </c>
      <c r="AW846">
        <f>IF(OR(AU846="",AV846=""),"",(AU846+AV846)/2)</f>
        <v>0</v>
      </c>
      <c r="AX846">
        <f>IF(COUNT($E$2:$E846)&lt;52,"",(MAX($C$795:$C$846)+MIN($D$795:$D$846))/2)</f>
        <v>0</v>
      </c>
      <c r="AY846">
        <f>IF(COUNT($E$2:$E846)&lt;20,"",MAX($C$747:$C$846))</f>
        <v>0</v>
      </c>
      <c r="AZ846">
        <f>IF(COUNT($E$2:$E846)&lt;20,"",MIN($D$747:$D$846))</f>
        <v>0</v>
      </c>
      <c r="BA846">
        <f>IF(COUNT($E$2:$E846)&lt;20,"",SLOPE($E$747:$E$846,$F$747:$F$846))</f>
        <v>0</v>
      </c>
      <c r="BB846">
        <f>IF(COUNT($E$2:$E846)&lt;20,"",INTERCEPT($E$747:$E$846,$F$747:$F$846))</f>
        <v>0</v>
      </c>
      <c r="BC846">
        <f>IF(OR(BA846="",BB846=""),"",BB846+BA846*F846)</f>
        <v>0</v>
      </c>
      <c r="BD846">
        <f>IF(COUNT($E$2:$E846)&lt;20,"",STEYX($E$747:$E$846,$F$747:$F$846))</f>
        <v>0</v>
      </c>
      <c r="BE846">
        <f>IF($E846="","",IF(AND(COUNT($E$847:$E$850)&gt;=4,$C846=MAX($C$842:$C$850)),$C846,""))</f>
        <v>0</v>
      </c>
      <c r="BF846">
        <f>IF($E846="","",IF(AND(COUNT($E$847:$E$850)&gt;=4,$D846=MIN($D$842:$D$850)),$D846,""))</f>
        <v>0</v>
      </c>
      <c r="BG846">
        <f>IF($A846="","",$A846-WEEKDAY($A846,2)+1)</f>
        <v>0</v>
      </c>
      <c r="BH846">
        <f>IF($A846="","",IF($A845="",1,IF(BG846&lt;&gt;BG845,1,0)))</f>
        <v>0</v>
      </c>
      <c r="BI846">
        <f>IF($A846="","",IF($A847="",1,IF(BG847&lt;&gt;BG846,1,0)))</f>
        <v>0</v>
      </c>
      <c r="BJ846">
        <f>IF($A846="","",IF(BH846=1,$B846,BJ845))</f>
        <v>0</v>
      </c>
      <c r="BK846">
        <f>IF($A846="","",IF(BH846=1,$C846,MAX($C846,BK845)))</f>
        <v>0</v>
      </c>
      <c r="BL846">
        <f>IF($A846="","",IF(BH846=1,$D846,MIN($D846,BL845)))</f>
        <v>0</v>
      </c>
      <c r="BM846">
        <f>IF($A846="","",IF(BI846=1,F846,""))</f>
        <v>0</v>
      </c>
      <c r="BN846">
        <f>IF($A846="","",DATE(YEAR($A846),MONTH($A846),1))</f>
        <v>0</v>
      </c>
      <c r="BO846">
        <f>IF($A846="","",IF($A845="",1,IF(BN846&lt;&gt;BN845,1,0)))</f>
        <v>0</v>
      </c>
      <c r="BP846">
        <f>IF($A846="","",IF($A847="",1,IF(BN847&lt;&gt;BN846,1,0)))</f>
        <v>0</v>
      </c>
      <c r="BQ846">
        <f>IF($A846="","",IF(BO846=1,$B846,BQ845))</f>
        <v>0</v>
      </c>
      <c r="BR846">
        <f>IF($A846="","",IF(BO846=1,$C846,MAX($C846,BR845)))</f>
        <v>0</v>
      </c>
      <c r="BS846">
        <f>IF($A846="","",IF(BO846=1,$D846,MIN($D846,BS845)))</f>
        <v>0</v>
      </c>
      <c r="BT846">
        <f>IF($A846="","",IF(BP846=1,F846,""))</f>
        <v>0</v>
      </c>
    </row>
    <row r="847" spans="1:72">
      <c r="A847" s="27">
        <f>IF(Data!$A847="","",Data!$A847)</f>
        <v>0</v>
      </c>
      <c r="B847">
        <f>IF(Data!$B847="","",Data!$B847)</f>
        <v>0</v>
      </c>
      <c r="C847">
        <f>IF(Data!$C847="","",Data!$C847)</f>
        <v>0</v>
      </c>
      <c r="D847">
        <f>IF(Data!$D847="","",Data!$D847)</f>
        <v>0</v>
      </c>
      <c r="E847">
        <f>IF(Data!$E847="","",Data!$E847)</f>
        <v>0</v>
      </c>
      <c r="F847">
        <f>IF($E847="","",N(F846)+1)</f>
        <v>0</v>
      </c>
      <c r="G847">
        <f>IF(OR($E847="",$E846=""),"",LN($E847/$E846))</f>
        <v>0</v>
      </c>
      <c r="H847">
        <f>IF($E847="","",IF($E846="",$E847,$E847*0.0952380952+H846*0.9047619048))</f>
        <v>0</v>
      </c>
      <c r="I847">
        <f>IF($E847="","",IF($E846="",$E847,$E847*0.0392156863+I846*0.9607843137))</f>
        <v>0</v>
      </c>
      <c r="J847">
        <f>IF($E847="","",IF($E846="",$E847,$E847*0.0198019802+J846*0.9801980198))</f>
        <v>0</v>
      </c>
      <c r="K847">
        <f>IF($E847="","",IF($E846="",$E847,$E847*0.0099502488+K846*0.9900497512))</f>
        <v>0</v>
      </c>
      <c r="L847">
        <f>IF(OR($E847="",$E846=""),"",MAX($E847-$E846,0))</f>
        <v>0</v>
      </c>
      <c r="M847">
        <f>IF(OR($E847="",$E846=""),"",MAX($E846-$E847,0))</f>
        <v>0</v>
      </c>
      <c r="N847">
        <f>IF(COUNT($E$2:$E847)&lt;15,"",IF(AVERAGE($M$834:$M$847)=0,100,100-100/(1+AVERAGE($L$834:$L$847)/AVERAGE($M$834:$M$847))))</f>
        <v>0</v>
      </c>
      <c r="O847">
        <f>IF($E847="","",IF($E846="",$E847,$E847*0.1538461538+O846*0.8461538462))</f>
        <v>0</v>
      </c>
      <c r="P847">
        <f>IF($E847="","",IF($E846="",$E847,$E847*0.0740740741+P846*0.9259259259))</f>
        <v>0</v>
      </c>
      <c r="Q847">
        <f>IF(OR(O847="",P847=""),"",O847-P847)</f>
        <v>0</v>
      </c>
      <c r="R847">
        <f>IF(Q847="","",IF(R846="",Q847,Q847*0.2000000000+R846*0.8000000000))</f>
        <v>0</v>
      </c>
      <c r="S847">
        <f>IF(OR(Q847="",R847=""),"",Q847-R847)</f>
        <v>0</v>
      </c>
      <c r="T847">
        <f>IF(COUNT($E$2:$E847)&lt;14,"",MAX($C$834:$C$847))</f>
        <v>0</v>
      </c>
      <c r="U847">
        <f>IF(COUNT($E$2:$E847)&lt;14,"",MIN($D$834:$D$847))</f>
        <v>0</v>
      </c>
      <c r="V847">
        <f>IF(OR(T847="",U847="",T847=U847),"",100*($E847-U847)/(T847-U847))</f>
        <v>0</v>
      </c>
      <c r="W847">
        <f>IF(COUNT($V$845:$V$847)&lt;3,"",AVERAGE($V$845:$V$847))</f>
        <v>0</v>
      </c>
      <c r="X847">
        <f>IF(COUNT($N$834:$N$847)&lt;14,"",MIN($N$834:$N$847))</f>
        <v>0</v>
      </c>
      <c r="Y847">
        <f>IF(COUNT($N$834:$N$847)&lt;14,"",MAX($N$834:$N$847))</f>
        <v>0</v>
      </c>
      <c r="Z847">
        <f>IF(OR(N847="",X847="",Y847="",Y847=X847),"",100*(N847-X847)/(Y847-X847))</f>
        <v>0</v>
      </c>
      <c r="AA847">
        <f>IF(COUNT($Z$845:$Z$847)&lt;3,"",AVERAGE($Z$845:$Z$847))</f>
        <v>0</v>
      </c>
      <c r="AB847">
        <f>IF(COUNT($AA$845:$AA$847)&lt;3,"",AVERAGE($AA$845:$AA$847))</f>
        <v>0</v>
      </c>
      <c r="AC847">
        <f>IF($E847="","",MAX($C847-$D847,ABS($C847-$E846),ABS($D847-$E846)))</f>
        <v>0</v>
      </c>
      <c r="AD847">
        <f>IF(COUNT($E$2:$E847)&lt;15,"",AVERAGE($AC$834:$AC$847))</f>
        <v>0</v>
      </c>
      <c r="AE847">
        <f>IF(OR($E847="",$E846=""),"",IF(AND(($C847-$C846)&gt;($D846-$D847),($C847-$C846)&gt;0),$C847-$C846,0))</f>
        <v>0</v>
      </c>
      <c r="AF847">
        <f>IF(OR($E847="",$E846=""),"",IF(AND(($D846-$D847)&gt;($C847-$C846),($D846-$D847)&gt;0),$D846-$D847,0))</f>
        <v>0</v>
      </c>
      <c r="AG847">
        <f>IF(COUNT($E$2:$E847)&lt;15,"",IF(SUM($AC$834:$AC$847)=0,0,100*SUM($AE$834:$AE$847)/SUM($AC$834:$AC$847)))</f>
        <v>0</v>
      </c>
      <c r="AH847">
        <f>IF(COUNT($E$2:$E847)&lt;15,"",IF(SUM($AC$834:$AC$847)=0,0,100*SUM($AF$834:$AF$847)/SUM($AC$834:$AC$847)))</f>
        <v>0</v>
      </c>
      <c r="AI847">
        <f>IF(OR(AG847="",AH847=""),"",IF((AG847+AH847)=0,0,100*ABS(AG847-AH847)/(AG847+AH847)))</f>
        <v>0</v>
      </c>
      <c r="AJ847">
        <f>IF(COUNT($AI$834:$AI$847)&lt;14,"",AVERAGE($AI$834:$AI$847))</f>
        <v>0</v>
      </c>
      <c r="AK847">
        <f>IF(COUNT($E$2:$E847)&lt;20,"",AVERAGE($E$828:$E$847))</f>
        <v>0</v>
      </c>
      <c r="AL847">
        <f>IF(COUNT($E$2:$E847)&lt;20,"",STDEVP($E$828:$E$847))</f>
        <v>0</v>
      </c>
      <c r="AM847">
        <f>IF(AK847="","",AK847+2*AL847)</f>
        <v>0</v>
      </c>
      <c r="AN847">
        <f>IF(AK847="","",AK847-2*AL847)</f>
        <v>0</v>
      </c>
      <c r="AO847">
        <f>IF(OR(AM847="",AN847="",AM847=AN847),"",($E847-AN847)/(AM847-AN847))</f>
        <v>0</v>
      </c>
      <c r="AP847">
        <f>IF(OR(AM847="",AK847="",AK847=0),"",(AM847-AN847)/AK847)</f>
        <v>0</v>
      </c>
      <c r="AQ847">
        <f>IF(COUNT($E$2:$E847)&lt;20,"",MAX($C$828:$C$847))</f>
        <v>0</v>
      </c>
      <c r="AR847">
        <f>IF(COUNT($E$2:$E847)&lt;20,"",MIN($D$828:$D$847))</f>
        <v>0</v>
      </c>
      <c r="AS847">
        <f>IF(OR(AQ847="",AR847=""),"",(AQ847+AR847)/2)</f>
        <v>0</v>
      </c>
      <c r="AT847">
        <f>IF(COUNT($G$828:$G$847)&lt;20,"",STDEV($G$828:$G$847)*SQRT(252))</f>
        <v>0</v>
      </c>
      <c r="AU847">
        <f>IF(COUNT($E$2:$E847)&lt;9,"",(MAX($C$839:$C$847)+MIN($D$839:$D$847))/2)</f>
        <v>0</v>
      </c>
      <c r="AV847">
        <f>IF(COUNT($E$2:$E847)&lt;26,"",(MAX($C$822:$C$847)+MIN($D$822:$D$847))/2)</f>
        <v>0</v>
      </c>
      <c r="AW847">
        <f>IF(OR(AU847="",AV847=""),"",(AU847+AV847)/2)</f>
        <v>0</v>
      </c>
      <c r="AX847">
        <f>IF(COUNT($E$2:$E847)&lt;52,"",(MAX($C$796:$C$847)+MIN($D$796:$D$847))/2)</f>
        <v>0</v>
      </c>
      <c r="AY847">
        <f>IF(COUNT($E$2:$E847)&lt;20,"",MAX($C$748:$C$847))</f>
        <v>0</v>
      </c>
      <c r="AZ847">
        <f>IF(COUNT($E$2:$E847)&lt;20,"",MIN($D$748:$D$847))</f>
        <v>0</v>
      </c>
      <c r="BA847">
        <f>IF(COUNT($E$2:$E847)&lt;20,"",SLOPE($E$748:$E$847,$F$748:$F$847))</f>
        <v>0</v>
      </c>
      <c r="BB847">
        <f>IF(COUNT($E$2:$E847)&lt;20,"",INTERCEPT($E$748:$E$847,$F$748:$F$847))</f>
        <v>0</v>
      </c>
      <c r="BC847">
        <f>IF(OR(BA847="",BB847=""),"",BB847+BA847*F847)</f>
        <v>0</v>
      </c>
      <c r="BD847">
        <f>IF(COUNT($E$2:$E847)&lt;20,"",STEYX($E$748:$E$847,$F$748:$F$847))</f>
        <v>0</v>
      </c>
      <c r="BE847">
        <f>IF($E847="","",IF(AND(COUNT($E$848:$E$851)&gt;=4,$C847=MAX($C$843:$C$851)),$C847,""))</f>
        <v>0</v>
      </c>
      <c r="BF847">
        <f>IF($E847="","",IF(AND(COUNT($E$848:$E$851)&gt;=4,$D847=MIN($D$843:$D$851)),$D847,""))</f>
        <v>0</v>
      </c>
      <c r="BG847">
        <f>IF($A847="","",$A847-WEEKDAY($A847,2)+1)</f>
        <v>0</v>
      </c>
      <c r="BH847">
        <f>IF($A847="","",IF($A846="",1,IF(BG847&lt;&gt;BG846,1,0)))</f>
        <v>0</v>
      </c>
      <c r="BI847">
        <f>IF($A847="","",IF($A848="",1,IF(BG848&lt;&gt;BG847,1,0)))</f>
        <v>0</v>
      </c>
      <c r="BJ847">
        <f>IF($A847="","",IF(BH847=1,$B847,BJ846))</f>
        <v>0</v>
      </c>
      <c r="BK847">
        <f>IF($A847="","",IF(BH847=1,$C847,MAX($C847,BK846)))</f>
        <v>0</v>
      </c>
      <c r="BL847">
        <f>IF($A847="","",IF(BH847=1,$D847,MIN($D847,BL846)))</f>
        <v>0</v>
      </c>
      <c r="BM847">
        <f>IF($A847="","",IF(BI847=1,F847,""))</f>
        <v>0</v>
      </c>
      <c r="BN847">
        <f>IF($A847="","",DATE(YEAR($A847),MONTH($A847),1))</f>
        <v>0</v>
      </c>
      <c r="BO847">
        <f>IF($A847="","",IF($A846="",1,IF(BN847&lt;&gt;BN846,1,0)))</f>
        <v>0</v>
      </c>
      <c r="BP847">
        <f>IF($A847="","",IF($A848="",1,IF(BN848&lt;&gt;BN847,1,0)))</f>
        <v>0</v>
      </c>
      <c r="BQ847">
        <f>IF($A847="","",IF(BO847=1,$B847,BQ846))</f>
        <v>0</v>
      </c>
      <c r="BR847">
        <f>IF($A847="","",IF(BO847=1,$C847,MAX($C847,BR846)))</f>
        <v>0</v>
      </c>
      <c r="BS847">
        <f>IF($A847="","",IF(BO847=1,$D847,MIN($D847,BS846)))</f>
        <v>0</v>
      </c>
      <c r="BT847">
        <f>IF($A847="","",IF(BP847=1,F847,""))</f>
        <v>0</v>
      </c>
    </row>
    <row r="848" spans="1:72">
      <c r="A848" s="27">
        <f>IF(Data!$A848="","",Data!$A848)</f>
        <v>0</v>
      </c>
      <c r="B848">
        <f>IF(Data!$B848="","",Data!$B848)</f>
        <v>0</v>
      </c>
      <c r="C848">
        <f>IF(Data!$C848="","",Data!$C848)</f>
        <v>0</v>
      </c>
      <c r="D848">
        <f>IF(Data!$D848="","",Data!$D848)</f>
        <v>0</v>
      </c>
      <c r="E848">
        <f>IF(Data!$E848="","",Data!$E848)</f>
        <v>0</v>
      </c>
      <c r="F848">
        <f>IF($E848="","",N(F847)+1)</f>
        <v>0</v>
      </c>
      <c r="G848">
        <f>IF(OR($E848="",$E847=""),"",LN($E848/$E847))</f>
        <v>0</v>
      </c>
      <c r="H848">
        <f>IF($E848="","",IF($E847="",$E848,$E848*0.0952380952+H847*0.9047619048))</f>
        <v>0</v>
      </c>
      <c r="I848">
        <f>IF($E848="","",IF($E847="",$E848,$E848*0.0392156863+I847*0.9607843137))</f>
        <v>0</v>
      </c>
      <c r="J848">
        <f>IF($E848="","",IF($E847="",$E848,$E848*0.0198019802+J847*0.9801980198))</f>
        <v>0</v>
      </c>
      <c r="K848">
        <f>IF($E848="","",IF($E847="",$E848,$E848*0.0099502488+K847*0.9900497512))</f>
        <v>0</v>
      </c>
      <c r="L848">
        <f>IF(OR($E848="",$E847=""),"",MAX($E848-$E847,0))</f>
        <v>0</v>
      </c>
      <c r="M848">
        <f>IF(OR($E848="",$E847=""),"",MAX($E847-$E848,0))</f>
        <v>0</v>
      </c>
      <c r="N848">
        <f>IF(COUNT($E$2:$E848)&lt;15,"",IF(AVERAGE($M$835:$M$848)=0,100,100-100/(1+AVERAGE($L$835:$L$848)/AVERAGE($M$835:$M$848))))</f>
        <v>0</v>
      </c>
      <c r="O848">
        <f>IF($E848="","",IF($E847="",$E848,$E848*0.1538461538+O847*0.8461538462))</f>
        <v>0</v>
      </c>
      <c r="P848">
        <f>IF($E848="","",IF($E847="",$E848,$E848*0.0740740741+P847*0.9259259259))</f>
        <v>0</v>
      </c>
      <c r="Q848">
        <f>IF(OR(O848="",P848=""),"",O848-P848)</f>
        <v>0</v>
      </c>
      <c r="R848">
        <f>IF(Q848="","",IF(R847="",Q848,Q848*0.2000000000+R847*0.8000000000))</f>
        <v>0</v>
      </c>
      <c r="S848">
        <f>IF(OR(Q848="",R848=""),"",Q848-R848)</f>
        <v>0</v>
      </c>
      <c r="T848">
        <f>IF(COUNT($E$2:$E848)&lt;14,"",MAX($C$835:$C$848))</f>
        <v>0</v>
      </c>
      <c r="U848">
        <f>IF(COUNT($E$2:$E848)&lt;14,"",MIN($D$835:$D$848))</f>
        <v>0</v>
      </c>
      <c r="V848">
        <f>IF(OR(T848="",U848="",T848=U848),"",100*($E848-U848)/(T848-U848))</f>
        <v>0</v>
      </c>
      <c r="W848">
        <f>IF(COUNT($V$846:$V$848)&lt;3,"",AVERAGE($V$846:$V$848))</f>
        <v>0</v>
      </c>
      <c r="X848">
        <f>IF(COUNT($N$835:$N$848)&lt;14,"",MIN($N$835:$N$848))</f>
        <v>0</v>
      </c>
      <c r="Y848">
        <f>IF(COUNT($N$835:$N$848)&lt;14,"",MAX($N$835:$N$848))</f>
        <v>0</v>
      </c>
      <c r="Z848">
        <f>IF(OR(N848="",X848="",Y848="",Y848=X848),"",100*(N848-X848)/(Y848-X848))</f>
        <v>0</v>
      </c>
      <c r="AA848">
        <f>IF(COUNT($Z$846:$Z$848)&lt;3,"",AVERAGE($Z$846:$Z$848))</f>
        <v>0</v>
      </c>
      <c r="AB848">
        <f>IF(COUNT($AA$846:$AA$848)&lt;3,"",AVERAGE($AA$846:$AA$848))</f>
        <v>0</v>
      </c>
      <c r="AC848">
        <f>IF($E848="","",MAX($C848-$D848,ABS($C848-$E847),ABS($D848-$E847)))</f>
        <v>0</v>
      </c>
      <c r="AD848">
        <f>IF(COUNT($E$2:$E848)&lt;15,"",AVERAGE($AC$835:$AC$848))</f>
        <v>0</v>
      </c>
      <c r="AE848">
        <f>IF(OR($E848="",$E847=""),"",IF(AND(($C848-$C847)&gt;($D847-$D848),($C848-$C847)&gt;0),$C848-$C847,0))</f>
        <v>0</v>
      </c>
      <c r="AF848">
        <f>IF(OR($E848="",$E847=""),"",IF(AND(($D847-$D848)&gt;($C848-$C847),($D847-$D848)&gt;0),$D847-$D848,0))</f>
        <v>0</v>
      </c>
      <c r="AG848">
        <f>IF(COUNT($E$2:$E848)&lt;15,"",IF(SUM($AC$835:$AC$848)=0,0,100*SUM($AE$835:$AE$848)/SUM($AC$835:$AC$848)))</f>
        <v>0</v>
      </c>
      <c r="AH848">
        <f>IF(COUNT($E$2:$E848)&lt;15,"",IF(SUM($AC$835:$AC$848)=0,0,100*SUM($AF$835:$AF$848)/SUM($AC$835:$AC$848)))</f>
        <v>0</v>
      </c>
      <c r="AI848">
        <f>IF(OR(AG848="",AH848=""),"",IF((AG848+AH848)=0,0,100*ABS(AG848-AH848)/(AG848+AH848)))</f>
        <v>0</v>
      </c>
      <c r="AJ848">
        <f>IF(COUNT($AI$835:$AI$848)&lt;14,"",AVERAGE($AI$835:$AI$848))</f>
        <v>0</v>
      </c>
      <c r="AK848">
        <f>IF(COUNT($E$2:$E848)&lt;20,"",AVERAGE($E$829:$E$848))</f>
        <v>0</v>
      </c>
      <c r="AL848">
        <f>IF(COUNT($E$2:$E848)&lt;20,"",STDEVP($E$829:$E$848))</f>
        <v>0</v>
      </c>
      <c r="AM848">
        <f>IF(AK848="","",AK848+2*AL848)</f>
        <v>0</v>
      </c>
      <c r="AN848">
        <f>IF(AK848="","",AK848-2*AL848)</f>
        <v>0</v>
      </c>
      <c r="AO848">
        <f>IF(OR(AM848="",AN848="",AM848=AN848),"",($E848-AN848)/(AM848-AN848))</f>
        <v>0</v>
      </c>
      <c r="AP848">
        <f>IF(OR(AM848="",AK848="",AK848=0),"",(AM848-AN848)/AK848)</f>
        <v>0</v>
      </c>
      <c r="AQ848">
        <f>IF(COUNT($E$2:$E848)&lt;20,"",MAX($C$829:$C$848))</f>
        <v>0</v>
      </c>
      <c r="AR848">
        <f>IF(COUNT($E$2:$E848)&lt;20,"",MIN($D$829:$D$848))</f>
        <v>0</v>
      </c>
      <c r="AS848">
        <f>IF(OR(AQ848="",AR848=""),"",(AQ848+AR848)/2)</f>
        <v>0</v>
      </c>
      <c r="AT848">
        <f>IF(COUNT($G$829:$G$848)&lt;20,"",STDEV($G$829:$G$848)*SQRT(252))</f>
        <v>0</v>
      </c>
      <c r="AU848">
        <f>IF(COUNT($E$2:$E848)&lt;9,"",(MAX($C$840:$C$848)+MIN($D$840:$D$848))/2)</f>
        <v>0</v>
      </c>
      <c r="AV848">
        <f>IF(COUNT($E$2:$E848)&lt;26,"",(MAX($C$823:$C$848)+MIN($D$823:$D$848))/2)</f>
        <v>0</v>
      </c>
      <c r="AW848">
        <f>IF(OR(AU848="",AV848=""),"",(AU848+AV848)/2)</f>
        <v>0</v>
      </c>
      <c r="AX848">
        <f>IF(COUNT($E$2:$E848)&lt;52,"",(MAX($C$797:$C$848)+MIN($D$797:$D$848))/2)</f>
        <v>0</v>
      </c>
      <c r="AY848">
        <f>IF(COUNT($E$2:$E848)&lt;20,"",MAX($C$749:$C$848))</f>
        <v>0</v>
      </c>
      <c r="AZ848">
        <f>IF(COUNT($E$2:$E848)&lt;20,"",MIN($D$749:$D$848))</f>
        <v>0</v>
      </c>
      <c r="BA848">
        <f>IF(COUNT($E$2:$E848)&lt;20,"",SLOPE($E$749:$E$848,$F$749:$F$848))</f>
        <v>0</v>
      </c>
      <c r="BB848">
        <f>IF(COUNT($E$2:$E848)&lt;20,"",INTERCEPT($E$749:$E$848,$F$749:$F$848))</f>
        <v>0</v>
      </c>
      <c r="BC848">
        <f>IF(OR(BA848="",BB848=""),"",BB848+BA848*F848)</f>
        <v>0</v>
      </c>
      <c r="BD848">
        <f>IF(COUNT($E$2:$E848)&lt;20,"",STEYX($E$749:$E$848,$F$749:$F$848))</f>
        <v>0</v>
      </c>
      <c r="BE848">
        <f>IF($E848="","",IF(AND(COUNT($E$849:$E$852)&gt;=4,$C848=MAX($C$844:$C$852)),$C848,""))</f>
        <v>0</v>
      </c>
      <c r="BF848">
        <f>IF($E848="","",IF(AND(COUNT($E$849:$E$852)&gt;=4,$D848=MIN($D$844:$D$852)),$D848,""))</f>
        <v>0</v>
      </c>
      <c r="BG848">
        <f>IF($A848="","",$A848-WEEKDAY($A848,2)+1)</f>
        <v>0</v>
      </c>
      <c r="BH848">
        <f>IF($A848="","",IF($A847="",1,IF(BG848&lt;&gt;BG847,1,0)))</f>
        <v>0</v>
      </c>
      <c r="BI848">
        <f>IF($A848="","",IF($A849="",1,IF(BG849&lt;&gt;BG848,1,0)))</f>
        <v>0</v>
      </c>
      <c r="BJ848">
        <f>IF($A848="","",IF(BH848=1,$B848,BJ847))</f>
        <v>0</v>
      </c>
      <c r="BK848">
        <f>IF($A848="","",IF(BH848=1,$C848,MAX($C848,BK847)))</f>
        <v>0</v>
      </c>
      <c r="BL848">
        <f>IF($A848="","",IF(BH848=1,$D848,MIN($D848,BL847)))</f>
        <v>0</v>
      </c>
      <c r="BM848">
        <f>IF($A848="","",IF(BI848=1,F848,""))</f>
        <v>0</v>
      </c>
      <c r="BN848">
        <f>IF($A848="","",DATE(YEAR($A848),MONTH($A848),1))</f>
        <v>0</v>
      </c>
      <c r="BO848">
        <f>IF($A848="","",IF($A847="",1,IF(BN848&lt;&gt;BN847,1,0)))</f>
        <v>0</v>
      </c>
      <c r="BP848">
        <f>IF($A848="","",IF($A849="",1,IF(BN849&lt;&gt;BN848,1,0)))</f>
        <v>0</v>
      </c>
      <c r="BQ848">
        <f>IF($A848="","",IF(BO848=1,$B848,BQ847))</f>
        <v>0</v>
      </c>
      <c r="BR848">
        <f>IF($A848="","",IF(BO848=1,$C848,MAX($C848,BR847)))</f>
        <v>0</v>
      </c>
      <c r="BS848">
        <f>IF($A848="","",IF(BO848=1,$D848,MIN($D848,BS847)))</f>
        <v>0</v>
      </c>
      <c r="BT848">
        <f>IF($A848="","",IF(BP848=1,F848,""))</f>
        <v>0</v>
      </c>
    </row>
    <row r="849" spans="1:72">
      <c r="A849" s="27">
        <f>IF(Data!$A849="","",Data!$A849)</f>
        <v>0</v>
      </c>
      <c r="B849">
        <f>IF(Data!$B849="","",Data!$B849)</f>
        <v>0</v>
      </c>
      <c r="C849">
        <f>IF(Data!$C849="","",Data!$C849)</f>
        <v>0</v>
      </c>
      <c r="D849">
        <f>IF(Data!$D849="","",Data!$D849)</f>
        <v>0</v>
      </c>
      <c r="E849">
        <f>IF(Data!$E849="","",Data!$E849)</f>
        <v>0</v>
      </c>
      <c r="F849">
        <f>IF($E849="","",N(F848)+1)</f>
        <v>0</v>
      </c>
      <c r="G849">
        <f>IF(OR($E849="",$E848=""),"",LN($E849/$E848))</f>
        <v>0</v>
      </c>
      <c r="H849">
        <f>IF($E849="","",IF($E848="",$E849,$E849*0.0952380952+H848*0.9047619048))</f>
        <v>0</v>
      </c>
      <c r="I849">
        <f>IF($E849="","",IF($E848="",$E849,$E849*0.0392156863+I848*0.9607843137))</f>
        <v>0</v>
      </c>
      <c r="J849">
        <f>IF($E849="","",IF($E848="",$E849,$E849*0.0198019802+J848*0.9801980198))</f>
        <v>0</v>
      </c>
      <c r="K849">
        <f>IF($E849="","",IF($E848="",$E849,$E849*0.0099502488+K848*0.9900497512))</f>
        <v>0</v>
      </c>
      <c r="L849">
        <f>IF(OR($E849="",$E848=""),"",MAX($E849-$E848,0))</f>
        <v>0</v>
      </c>
      <c r="M849">
        <f>IF(OR($E849="",$E848=""),"",MAX($E848-$E849,0))</f>
        <v>0</v>
      </c>
      <c r="N849">
        <f>IF(COUNT($E$2:$E849)&lt;15,"",IF(AVERAGE($M$836:$M$849)=0,100,100-100/(1+AVERAGE($L$836:$L$849)/AVERAGE($M$836:$M$849))))</f>
        <v>0</v>
      </c>
      <c r="O849">
        <f>IF($E849="","",IF($E848="",$E849,$E849*0.1538461538+O848*0.8461538462))</f>
        <v>0</v>
      </c>
      <c r="P849">
        <f>IF($E849="","",IF($E848="",$E849,$E849*0.0740740741+P848*0.9259259259))</f>
        <v>0</v>
      </c>
      <c r="Q849">
        <f>IF(OR(O849="",P849=""),"",O849-P849)</f>
        <v>0</v>
      </c>
      <c r="R849">
        <f>IF(Q849="","",IF(R848="",Q849,Q849*0.2000000000+R848*0.8000000000))</f>
        <v>0</v>
      </c>
      <c r="S849">
        <f>IF(OR(Q849="",R849=""),"",Q849-R849)</f>
        <v>0</v>
      </c>
      <c r="T849">
        <f>IF(COUNT($E$2:$E849)&lt;14,"",MAX($C$836:$C$849))</f>
        <v>0</v>
      </c>
      <c r="U849">
        <f>IF(COUNT($E$2:$E849)&lt;14,"",MIN($D$836:$D$849))</f>
        <v>0</v>
      </c>
      <c r="V849">
        <f>IF(OR(T849="",U849="",T849=U849),"",100*($E849-U849)/(T849-U849))</f>
        <v>0</v>
      </c>
      <c r="W849">
        <f>IF(COUNT($V$847:$V$849)&lt;3,"",AVERAGE($V$847:$V$849))</f>
        <v>0</v>
      </c>
      <c r="X849">
        <f>IF(COUNT($N$836:$N$849)&lt;14,"",MIN($N$836:$N$849))</f>
        <v>0</v>
      </c>
      <c r="Y849">
        <f>IF(COUNT($N$836:$N$849)&lt;14,"",MAX($N$836:$N$849))</f>
        <v>0</v>
      </c>
      <c r="Z849">
        <f>IF(OR(N849="",X849="",Y849="",Y849=X849),"",100*(N849-X849)/(Y849-X849))</f>
        <v>0</v>
      </c>
      <c r="AA849">
        <f>IF(COUNT($Z$847:$Z$849)&lt;3,"",AVERAGE($Z$847:$Z$849))</f>
        <v>0</v>
      </c>
      <c r="AB849">
        <f>IF(COUNT($AA$847:$AA$849)&lt;3,"",AVERAGE($AA$847:$AA$849))</f>
        <v>0</v>
      </c>
      <c r="AC849">
        <f>IF($E849="","",MAX($C849-$D849,ABS($C849-$E848),ABS($D849-$E848)))</f>
        <v>0</v>
      </c>
      <c r="AD849">
        <f>IF(COUNT($E$2:$E849)&lt;15,"",AVERAGE($AC$836:$AC$849))</f>
        <v>0</v>
      </c>
      <c r="AE849">
        <f>IF(OR($E849="",$E848=""),"",IF(AND(($C849-$C848)&gt;($D848-$D849),($C849-$C848)&gt;0),$C849-$C848,0))</f>
        <v>0</v>
      </c>
      <c r="AF849">
        <f>IF(OR($E849="",$E848=""),"",IF(AND(($D848-$D849)&gt;($C849-$C848),($D848-$D849)&gt;0),$D848-$D849,0))</f>
        <v>0</v>
      </c>
      <c r="AG849">
        <f>IF(COUNT($E$2:$E849)&lt;15,"",IF(SUM($AC$836:$AC$849)=0,0,100*SUM($AE$836:$AE$849)/SUM($AC$836:$AC$849)))</f>
        <v>0</v>
      </c>
      <c r="AH849">
        <f>IF(COUNT($E$2:$E849)&lt;15,"",IF(SUM($AC$836:$AC$849)=0,0,100*SUM($AF$836:$AF$849)/SUM($AC$836:$AC$849)))</f>
        <v>0</v>
      </c>
      <c r="AI849">
        <f>IF(OR(AG849="",AH849=""),"",IF((AG849+AH849)=0,0,100*ABS(AG849-AH849)/(AG849+AH849)))</f>
        <v>0</v>
      </c>
      <c r="AJ849">
        <f>IF(COUNT($AI$836:$AI$849)&lt;14,"",AVERAGE($AI$836:$AI$849))</f>
        <v>0</v>
      </c>
      <c r="AK849">
        <f>IF(COUNT($E$2:$E849)&lt;20,"",AVERAGE($E$830:$E$849))</f>
        <v>0</v>
      </c>
      <c r="AL849">
        <f>IF(COUNT($E$2:$E849)&lt;20,"",STDEVP($E$830:$E$849))</f>
        <v>0</v>
      </c>
      <c r="AM849">
        <f>IF(AK849="","",AK849+2*AL849)</f>
        <v>0</v>
      </c>
      <c r="AN849">
        <f>IF(AK849="","",AK849-2*AL849)</f>
        <v>0</v>
      </c>
      <c r="AO849">
        <f>IF(OR(AM849="",AN849="",AM849=AN849),"",($E849-AN849)/(AM849-AN849))</f>
        <v>0</v>
      </c>
      <c r="AP849">
        <f>IF(OR(AM849="",AK849="",AK849=0),"",(AM849-AN849)/AK849)</f>
        <v>0</v>
      </c>
      <c r="AQ849">
        <f>IF(COUNT($E$2:$E849)&lt;20,"",MAX($C$830:$C$849))</f>
        <v>0</v>
      </c>
      <c r="AR849">
        <f>IF(COUNT($E$2:$E849)&lt;20,"",MIN($D$830:$D$849))</f>
        <v>0</v>
      </c>
      <c r="AS849">
        <f>IF(OR(AQ849="",AR849=""),"",(AQ849+AR849)/2)</f>
        <v>0</v>
      </c>
      <c r="AT849">
        <f>IF(COUNT($G$830:$G$849)&lt;20,"",STDEV($G$830:$G$849)*SQRT(252))</f>
        <v>0</v>
      </c>
      <c r="AU849">
        <f>IF(COUNT($E$2:$E849)&lt;9,"",(MAX($C$841:$C$849)+MIN($D$841:$D$849))/2)</f>
        <v>0</v>
      </c>
      <c r="AV849">
        <f>IF(COUNT($E$2:$E849)&lt;26,"",(MAX($C$824:$C$849)+MIN($D$824:$D$849))/2)</f>
        <v>0</v>
      </c>
      <c r="AW849">
        <f>IF(OR(AU849="",AV849=""),"",(AU849+AV849)/2)</f>
        <v>0</v>
      </c>
      <c r="AX849">
        <f>IF(COUNT($E$2:$E849)&lt;52,"",(MAX($C$798:$C$849)+MIN($D$798:$D$849))/2)</f>
        <v>0</v>
      </c>
      <c r="AY849">
        <f>IF(COUNT($E$2:$E849)&lt;20,"",MAX($C$750:$C$849))</f>
        <v>0</v>
      </c>
      <c r="AZ849">
        <f>IF(COUNT($E$2:$E849)&lt;20,"",MIN($D$750:$D$849))</f>
        <v>0</v>
      </c>
      <c r="BA849">
        <f>IF(COUNT($E$2:$E849)&lt;20,"",SLOPE($E$750:$E$849,$F$750:$F$849))</f>
        <v>0</v>
      </c>
      <c r="BB849">
        <f>IF(COUNT($E$2:$E849)&lt;20,"",INTERCEPT($E$750:$E$849,$F$750:$F$849))</f>
        <v>0</v>
      </c>
      <c r="BC849">
        <f>IF(OR(BA849="",BB849=""),"",BB849+BA849*F849)</f>
        <v>0</v>
      </c>
      <c r="BD849">
        <f>IF(COUNT($E$2:$E849)&lt;20,"",STEYX($E$750:$E$849,$F$750:$F$849))</f>
        <v>0</v>
      </c>
      <c r="BE849">
        <f>IF($E849="","",IF(AND(COUNT($E$850:$E$853)&gt;=4,$C849=MAX($C$845:$C$853)),$C849,""))</f>
        <v>0</v>
      </c>
      <c r="BF849">
        <f>IF($E849="","",IF(AND(COUNT($E$850:$E$853)&gt;=4,$D849=MIN($D$845:$D$853)),$D849,""))</f>
        <v>0</v>
      </c>
      <c r="BG849">
        <f>IF($A849="","",$A849-WEEKDAY($A849,2)+1)</f>
        <v>0</v>
      </c>
      <c r="BH849">
        <f>IF($A849="","",IF($A848="",1,IF(BG849&lt;&gt;BG848,1,0)))</f>
        <v>0</v>
      </c>
      <c r="BI849">
        <f>IF($A849="","",IF($A850="",1,IF(BG850&lt;&gt;BG849,1,0)))</f>
        <v>0</v>
      </c>
      <c r="BJ849">
        <f>IF($A849="","",IF(BH849=1,$B849,BJ848))</f>
        <v>0</v>
      </c>
      <c r="BK849">
        <f>IF($A849="","",IF(BH849=1,$C849,MAX($C849,BK848)))</f>
        <v>0</v>
      </c>
      <c r="BL849">
        <f>IF($A849="","",IF(BH849=1,$D849,MIN($D849,BL848)))</f>
        <v>0</v>
      </c>
      <c r="BM849">
        <f>IF($A849="","",IF(BI849=1,F849,""))</f>
        <v>0</v>
      </c>
      <c r="BN849">
        <f>IF($A849="","",DATE(YEAR($A849),MONTH($A849),1))</f>
        <v>0</v>
      </c>
      <c r="BO849">
        <f>IF($A849="","",IF($A848="",1,IF(BN849&lt;&gt;BN848,1,0)))</f>
        <v>0</v>
      </c>
      <c r="BP849">
        <f>IF($A849="","",IF($A850="",1,IF(BN850&lt;&gt;BN849,1,0)))</f>
        <v>0</v>
      </c>
      <c r="BQ849">
        <f>IF($A849="","",IF(BO849=1,$B849,BQ848))</f>
        <v>0</v>
      </c>
      <c r="BR849">
        <f>IF($A849="","",IF(BO849=1,$C849,MAX($C849,BR848)))</f>
        <v>0</v>
      </c>
      <c r="BS849">
        <f>IF($A849="","",IF(BO849=1,$D849,MIN($D849,BS848)))</f>
        <v>0</v>
      </c>
      <c r="BT849">
        <f>IF($A849="","",IF(BP849=1,F849,""))</f>
        <v>0</v>
      </c>
    </row>
    <row r="850" spans="1:72">
      <c r="A850" s="27">
        <f>IF(Data!$A850="","",Data!$A850)</f>
        <v>0</v>
      </c>
      <c r="B850">
        <f>IF(Data!$B850="","",Data!$B850)</f>
        <v>0</v>
      </c>
      <c r="C850">
        <f>IF(Data!$C850="","",Data!$C850)</f>
        <v>0</v>
      </c>
      <c r="D850">
        <f>IF(Data!$D850="","",Data!$D850)</f>
        <v>0</v>
      </c>
      <c r="E850">
        <f>IF(Data!$E850="","",Data!$E850)</f>
        <v>0</v>
      </c>
      <c r="F850">
        <f>IF($E850="","",N(F849)+1)</f>
        <v>0</v>
      </c>
      <c r="G850">
        <f>IF(OR($E850="",$E849=""),"",LN($E850/$E849))</f>
        <v>0</v>
      </c>
      <c r="H850">
        <f>IF($E850="","",IF($E849="",$E850,$E850*0.0952380952+H849*0.9047619048))</f>
        <v>0</v>
      </c>
      <c r="I850">
        <f>IF($E850="","",IF($E849="",$E850,$E850*0.0392156863+I849*0.9607843137))</f>
        <v>0</v>
      </c>
      <c r="J850">
        <f>IF($E850="","",IF($E849="",$E850,$E850*0.0198019802+J849*0.9801980198))</f>
        <v>0</v>
      </c>
      <c r="K850">
        <f>IF($E850="","",IF($E849="",$E850,$E850*0.0099502488+K849*0.9900497512))</f>
        <v>0</v>
      </c>
      <c r="L850">
        <f>IF(OR($E850="",$E849=""),"",MAX($E850-$E849,0))</f>
        <v>0</v>
      </c>
      <c r="M850">
        <f>IF(OR($E850="",$E849=""),"",MAX($E849-$E850,0))</f>
        <v>0</v>
      </c>
      <c r="N850">
        <f>IF(COUNT($E$2:$E850)&lt;15,"",IF(AVERAGE($M$837:$M$850)=0,100,100-100/(1+AVERAGE($L$837:$L$850)/AVERAGE($M$837:$M$850))))</f>
        <v>0</v>
      </c>
      <c r="O850">
        <f>IF($E850="","",IF($E849="",$E850,$E850*0.1538461538+O849*0.8461538462))</f>
        <v>0</v>
      </c>
      <c r="P850">
        <f>IF($E850="","",IF($E849="",$E850,$E850*0.0740740741+P849*0.9259259259))</f>
        <v>0</v>
      </c>
      <c r="Q850">
        <f>IF(OR(O850="",P850=""),"",O850-P850)</f>
        <v>0</v>
      </c>
      <c r="R850">
        <f>IF(Q850="","",IF(R849="",Q850,Q850*0.2000000000+R849*0.8000000000))</f>
        <v>0</v>
      </c>
      <c r="S850">
        <f>IF(OR(Q850="",R850=""),"",Q850-R850)</f>
        <v>0</v>
      </c>
      <c r="T850">
        <f>IF(COUNT($E$2:$E850)&lt;14,"",MAX($C$837:$C$850))</f>
        <v>0</v>
      </c>
      <c r="U850">
        <f>IF(COUNT($E$2:$E850)&lt;14,"",MIN($D$837:$D$850))</f>
        <v>0</v>
      </c>
      <c r="V850">
        <f>IF(OR(T850="",U850="",T850=U850),"",100*($E850-U850)/(T850-U850))</f>
        <v>0</v>
      </c>
      <c r="W850">
        <f>IF(COUNT($V$848:$V$850)&lt;3,"",AVERAGE($V$848:$V$850))</f>
        <v>0</v>
      </c>
      <c r="X850">
        <f>IF(COUNT($N$837:$N$850)&lt;14,"",MIN($N$837:$N$850))</f>
        <v>0</v>
      </c>
      <c r="Y850">
        <f>IF(COUNT($N$837:$N$850)&lt;14,"",MAX($N$837:$N$850))</f>
        <v>0</v>
      </c>
      <c r="Z850">
        <f>IF(OR(N850="",X850="",Y850="",Y850=X850),"",100*(N850-X850)/(Y850-X850))</f>
        <v>0</v>
      </c>
      <c r="AA850">
        <f>IF(COUNT($Z$848:$Z$850)&lt;3,"",AVERAGE($Z$848:$Z$850))</f>
        <v>0</v>
      </c>
      <c r="AB850">
        <f>IF(COUNT($AA$848:$AA$850)&lt;3,"",AVERAGE($AA$848:$AA$850))</f>
        <v>0</v>
      </c>
      <c r="AC850">
        <f>IF($E850="","",MAX($C850-$D850,ABS($C850-$E849),ABS($D850-$E849)))</f>
        <v>0</v>
      </c>
      <c r="AD850">
        <f>IF(COUNT($E$2:$E850)&lt;15,"",AVERAGE($AC$837:$AC$850))</f>
        <v>0</v>
      </c>
      <c r="AE850">
        <f>IF(OR($E850="",$E849=""),"",IF(AND(($C850-$C849)&gt;($D849-$D850),($C850-$C849)&gt;0),$C850-$C849,0))</f>
        <v>0</v>
      </c>
      <c r="AF850">
        <f>IF(OR($E850="",$E849=""),"",IF(AND(($D849-$D850)&gt;($C850-$C849),($D849-$D850)&gt;0),$D849-$D850,0))</f>
        <v>0</v>
      </c>
      <c r="AG850">
        <f>IF(COUNT($E$2:$E850)&lt;15,"",IF(SUM($AC$837:$AC$850)=0,0,100*SUM($AE$837:$AE$850)/SUM($AC$837:$AC$850)))</f>
        <v>0</v>
      </c>
      <c r="AH850">
        <f>IF(COUNT($E$2:$E850)&lt;15,"",IF(SUM($AC$837:$AC$850)=0,0,100*SUM($AF$837:$AF$850)/SUM($AC$837:$AC$850)))</f>
        <v>0</v>
      </c>
      <c r="AI850">
        <f>IF(OR(AG850="",AH850=""),"",IF((AG850+AH850)=0,0,100*ABS(AG850-AH850)/(AG850+AH850)))</f>
        <v>0</v>
      </c>
      <c r="AJ850">
        <f>IF(COUNT($AI$837:$AI$850)&lt;14,"",AVERAGE($AI$837:$AI$850))</f>
        <v>0</v>
      </c>
      <c r="AK850">
        <f>IF(COUNT($E$2:$E850)&lt;20,"",AVERAGE($E$831:$E$850))</f>
        <v>0</v>
      </c>
      <c r="AL850">
        <f>IF(COUNT($E$2:$E850)&lt;20,"",STDEVP($E$831:$E$850))</f>
        <v>0</v>
      </c>
      <c r="AM850">
        <f>IF(AK850="","",AK850+2*AL850)</f>
        <v>0</v>
      </c>
      <c r="AN850">
        <f>IF(AK850="","",AK850-2*AL850)</f>
        <v>0</v>
      </c>
      <c r="AO850">
        <f>IF(OR(AM850="",AN850="",AM850=AN850),"",($E850-AN850)/(AM850-AN850))</f>
        <v>0</v>
      </c>
      <c r="AP850">
        <f>IF(OR(AM850="",AK850="",AK850=0),"",(AM850-AN850)/AK850)</f>
        <v>0</v>
      </c>
      <c r="AQ850">
        <f>IF(COUNT($E$2:$E850)&lt;20,"",MAX($C$831:$C$850))</f>
        <v>0</v>
      </c>
      <c r="AR850">
        <f>IF(COUNT($E$2:$E850)&lt;20,"",MIN($D$831:$D$850))</f>
        <v>0</v>
      </c>
      <c r="AS850">
        <f>IF(OR(AQ850="",AR850=""),"",(AQ850+AR850)/2)</f>
        <v>0</v>
      </c>
      <c r="AT850">
        <f>IF(COUNT($G$831:$G$850)&lt;20,"",STDEV($G$831:$G$850)*SQRT(252))</f>
        <v>0</v>
      </c>
      <c r="AU850">
        <f>IF(COUNT($E$2:$E850)&lt;9,"",(MAX($C$842:$C$850)+MIN($D$842:$D$850))/2)</f>
        <v>0</v>
      </c>
      <c r="AV850">
        <f>IF(COUNT($E$2:$E850)&lt;26,"",(MAX($C$825:$C$850)+MIN($D$825:$D$850))/2)</f>
        <v>0</v>
      </c>
      <c r="AW850">
        <f>IF(OR(AU850="",AV850=""),"",(AU850+AV850)/2)</f>
        <v>0</v>
      </c>
      <c r="AX850">
        <f>IF(COUNT($E$2:$E850)&lt;52,"",(MAX($C$799:$C$850)+MIN($D$799:$D$850))/2)</f>
        <v>0</v>
      </c>
      <c r="AY850">
        <f>IF(COUNT($E$2:$E850)&lt;20,"",MAX($C$751:$C$850))</f>
        <v>0</v>
      </c>
      <c r="AZ850">
        <f>IF(COUNT($E$2:$E850)&lt;20,"",MIN($D$751:$D$850))</f>
        <v>0</v>
      </c>
      <c r="BA850">
        <f>IF(COUNT($E$2:$E850)&lt;20,"",SLOPE($E$751:$E$850,$F$751:$F$850))</f>
        <v>0</v>
      </c>
      <c r="BB850">
        <f>IF(COUNT($E$2:$E850)&lt;20,"",INTERCEPT($E$751:$E$850,$F$751:$F$850))</f>
        <v>0</v>
      </c>
      <c r="BC850">
        <f>IF(OR(BA850="",BB850=""),"",BB850+BA850*F850)</f>
        <v>0</v>
      </c>
      <c r="BD850">
        <f>IF(COUNT($E$2:$E850)&lt;20,"",STEYX($E$751:$E$850,$F$751:$F$850))</f>
        <v>0</v>
      </c>
      <c r="BE850">
        <f>IF($E850="","",IF(AND(COUNT($E$851:$E$854)&gt;=4,$C850=MAX($C$846:$C$854)),$C850,""))</f>
        <v>0</v>
      </c>
      <c r="BF850">
        <f>IF($E850="","",IF(AND(COUNT($E$851:$E$854)&gt;=4,$D850=MIN($D$846:$D$854)),$D850,""))</f>
        <v>0</v>
      </c>
      <c r="BG850">
        <f>IF($A850="","",$A850-WEEKDAY($A850,2)+1)</f>
        <v>0</v>
      </c>
      <c r="BH850">
        <f>IF($A850="","",IF($A849="",1,IF(BG850&lt;&gt;BG849,1,0)))</f>
        <v>0</v>
      </c>
      <c r="BI850">
        <f>IF($A850="","",IF($A851="",1,IF(BG851&lt;&gt;BG850,1,0)))</f>
        <v>0</v>
      </c>
      <c r="BJ850">
        <f>IF($A850="","",IF(BH850=1,$B850,BJ849))</f>
        <v>0</v>
      </c>
      <c r="BK850">
        <f>IF($A850="","",IF(BH850=1,$C850,MAX($C850,BK849)))</f>
        <v>0</v>
      </c>
      <c r="BL850">
        <f>IF($A850="","",IF(BH850=1,$D850,MIN($D850,BL849)))</f>
        <v>0</v>
      </c>
      <c r="BM850">
        <f>IF($A850="","",IF(BI850=1,F850,""))</f>
        <v>0</v>
      </c>
      <c r="BN850">
        <f>IF($A850="","",DATE(YEAR($A850),MONTH($A850),1))</f>
        <v>0</v>
      </c>
      <c r="BO850">
        <f>IF($A850="","",IF($A849="",1,IF(BN850&lt;&gt;BN849,1,0)))</f>
        <v>0</v>
      </c>
      <c r="BP850">
        <f>IF($A850="","",IF($A851="",1,IF(BN851&lt;&gt;BN850,1,0)))</f>
        <v>0</v>
      </c>
      <c r="BQ850">
        <f>IF($A850="","",IF(BO850=1,$B850,BQ849))</f>
        <v>0</v>
      </c>
      <c r="BR850">
        <f>IF($A850="","",IF(BO850=1,$C850,MAX($C850,BR849)))</f>
        <v>0</v>
      </c>
      <c r="BS850">
        <f>IF($A850="","",IF(BO850=1,$D850,MIN($D850,BS849)))</f>
        <v>0</v>
      </c>
      <c r="BT850">
        <f>IF($A850="","",IF(BP850=1,F850,""))</f>
        <v>0</v>
      </c>
    </row>
    <row r="851" spans="1:72">
      <c r="A851" s="27">
        <f>IF(Data!$A851="","",Data!$A851)</f>
        <v>0</v>
      </c>
      <c r="B851">
        <f>IF(Data!$B851="","",Data!$B851)</f>
        <v>0</v>
      </c>
      <c r="C851">
        <f>IF(Data!$C851="","",Data!$C851)</f>
        <v>0</v>
      </c>
      <c r="D851">
        <f>IF(Data!$D851="","",Data!$D851)</f>
        <v>0</v>
      </c>
      <c r="E851">
        <f>IF(Data!$E851="","",Data!$E851)</f>
        <v>0</v>
      </c>
      <c r="F851">
        <f>IF($E851="","",N(F850)+1)</f>
        <v>0</v>
      </c>
      <c r="G851">
        <f>IF(OR($E851="",$E850=""),"",LN($E851/$E850))</f>
        <v>0</v>
      </c>
      <c r="H851">
        <f>IF($E851="","",IF($E850="",$E851,$E851*0.0952380952+H850*0.9047619048))</f>
        <v>0</v>
      </c>
      <c r="I851">
        <f>IF($E851="","",IF($E850="",$E851,$E851*0.0392156863+I850*0.9607843137))</f>
        <v>0</v>
      </c>
      <c r="J851">
        <f>IF($E851="","",IF($E850="",$E851,$E851*0.0198019802+J850*0.9801980198))</f>
        <v>0</v>
      </c>
      <c r="K851">
        <f>IF($E851="","",IF($E850="",$E851,$E851*0.0099502488+K850*0.9900497512))</f>
        <v>0</v>
      </c>
      <c r="L851">
        <f>IF(OR($E851="",$E850=""),"",MAX($E851-$E850,0))</f>
        <v>0</v>
      </c>
      <c r="M851">
        <f>IF(OR($E851="",$E850=""),"",MAX($E850-$E851,0))</f>
        <v>0</v>
      </c>
      <c r="N851">
        <f>IF(COUNT($E$2:$E851)&lt;15,"",IF(AVERAGE($M$838:$M$851)=0,100,100-100/(1+AVERAGE($L$838:$L$851)/AVERAGE($M$838:$M$851))))</f>
        <v>0</v>
      </c>
      <c r="O851">
        <f>IF($E851="","",IF($E850="",$E851,$E851*0.1538461538+O850*0.8461538462))</f>
        <v>0</v>
      </c>
      <c r="P851">
        <f>IF($E851="","",IF($E850="",$E851,$E851*0.0740740741+P850*0.9259259259))</f>
        <v>0</v>
      </c>
      <c r="Q851">
        <f>IF(OR(O851="",P851=""),"",O851-P851)</f>
        <v>0</v>
      </c>
      <c r="R851">
        <f>IF(Q851="","",IF(R850="",Q851,Q851*0.2000000000+R850*0.8000000000))</f>
        <v>0</v>
      </c>
      <c r="S851">
        <f>IF(OR(Q851="",R851=""),"",Q851-R851)</f>
        <v>0</v>
      </c>
      <c r="T851">
        <f>IF(COUNT($E$2:$E851)&lt;14,"",MAX($C$838:$C$851))</f>
        <v>0</v>
      </c>
      <c r="U851">
        <f>IF(COUNT($E$2:$E851)&lt;14,"",MIN($D$838:$D$851))</f>
        <v>0</v>
      </c>
      <c r="V851">
        <f>IF(OR(T851="",U851="",T851=U851),"",100*($E851-U851)/(T851-U851))</f>
        <v>0</v>
      </c>
      <c r="W851">
        <f>IF(COUNT($V$849:$V$851)&lt;3,"",AVERAGE($V$849:$V$851))</f>
        <v>0</v>
      </c>
      <c r="X851">
        <f>IF(COUNT($N$838:$N$851)&lt;14,"",MIN($N$838:$N$851))</f>
        <v>0</v>
      </c>
      <c r="Y851">
        <f>IF(COUNT($N$838:$N$851)&lt;14,"",MAX($N$838:$N$851))</f>
        <v>0</v>
      </c>
      <c r="Z851">
        <f>IF(OR(N851="",X851="",Y851="",Y851=X851),"",100*(N851-X851)/(Y851-X851))</f>
        <v>0</v>
      </c>
      <c r="AA851">
        <f>IF(COUNT($Z$849:$Z$851)&lt;3,"",AVERAGE($Z$849:$Z$851))</f>
        <v>0</v>
      </c>
      <c r="AB851">
        <f>IF(COUNT($AA$849:$AA$851)&lt;3,"",AVERAGE($AA$849:$AA$851))</f>
        <v>0</v>
      </c>
      <c r="AC851">
        <f>IF($E851="","",MAX($C851-$D851,ABS($C851-$E850),ABS($D851-$E850)))</f>
        <v>0</v>
      </c>
      <c r="AD851">
        <f>IF(COUNT($E$2:$E851)&lt;15,"",AVERAGE($AC$838:$AC$851))</f>
        <v>0</v>
      </c>
      <c r="AE851">
        <f>IF(OR($E851="",$E850=""),"",IF(AND(($C851-$C850)&gt;($D850-$D851),($C851-$C850)&gt;0),$C851-$C850,0))</f>
        <v>0</v>
      </c>
      <c r="AF851">
        <f>IF(OR($E851="",$E850=""),"",IF(AND(($D850-$D851)&gt;($C851-$C850),($D850-$D851)&gt;0),$D850-$D851,0))</f>
        <v>0</v>
      </c>
      <c r="AG851">
        <f>IF(COUNT($E$2:$E851)&lt;15,"",IF(SUM($AC$838:$AC$851)=0,0,100*SUM($AE$838:$AE$851)/SUM($AC$838:$AC$851)))</f>
        <v>0</v>
      </c>
      <c r="AH851">
        <f>IF(COUNT($E$2:$E851)&lt;15,"",IF(SUM($AC$838:$AC$851)=0,0,100*SUM($AF$838:$AF$851)/SUM($AC$838:$AC$851)))</f>
        <v>0</v>
      </c>
      <c r="AI851">
        <f>IF(OR(AG851="",AH851=""),"",IF((AG851+AH851)=0,0,100*ABS(AG851-AH851)/(AG851+AH851)))</f>
        <v>0</v>
      </c>
      <c r="AJ851">
        <f>IF(COUNT($AI$838:$AI$851)&lt;14,"",AVERAGE($AI$838:$AI$851))</f>
        <v>0</v>
      </c>
      <c r="AK851">
        <f>IF(COUNT($E$2:$E851)&lt;20,"",AVERAGE($E$832:$E$851))</f>
        <v>0</v>
      </c>
      <c r="AL851">
        <f>IF(COUNT($E$2:$E851)&lt;20,"",STDEVP($E$832:$E$851))</f>
        <v>0</v>
      </c>
      <c r="AM851">
        <f>IF(AK851="","",AK851+2*AL851)</f>
        <v>0</v>
      </c>
      <c r="AN851">
        <f>IF(AK851="","",AK851-2*AL851)</f>
        <v>0</v>
      </c>
      <c r="AO851">
        <f>IF(OR(AM851="",AN851="",AM851=AN851),"",($E851-AN851)/(AM851-AN851))</f>
        <v>0</v>
      </c>
      <c r="AP851">
        <f>IF(OR(AM851="",AK851="",AK851=0),"",(AM851-AN851)/AK851)</f>
        <v>0</v>
      </c>
      <c r="AQ851">
        <f>IF(COUNT($E$2:$E851)&lt;20,"",MAX($C$832:$C$851))</f>
        <v>0</v>
      </c>
      <c r="AR851">
        <f>IF(COUNT($E$2:$E851)&lt;20,"",MIN($D$832:$D$851))</f>
        <v>0</v>
      </c>
      <c r="AS851">
        <f>IF(OR(AQ851="",AR851=""),"",(AQ851+AR851)/2)</f>
        <v>0</v>
      </c>
      <c r="AT851">
        <f>IF(COUNT($G$832:$G$851)&lt;20,"",STDEV($G$832:$G$851)*SQRT(252))</f>
        <v>0</v>
      </c>
      <c r="AU851">
        <f>IF(COUNT($E$2:$E851)&lt;9,"",(MAX($C$843:$C$851)+MIN($D$843:$D$851))/2)</f>
        <v>0</v>
      </c>
      <c r="AV851">
        <f>IF(COUNT($E$2:$E851)&lt;26,"",(MAX($C$826:$C$851)+MIN($D$826:$D$851))/2)</f>
        <v>0</v>
      </c>
      <c r="AW851">
        <f>IF(OR(AU851="",AV851=""),"",(AU851+AV851)/2)</f>
        <v>0</v>
      </c>
      <c r="AX851">
        <f>IF(COUNT($E$2:$E851)&lt;52,"",(MAX($C$800:$C$851)+MIN($D$800:$D$851))/2)</f>
        <v>0</v>
      </c>
      <c r="AY851">
        <f>IF(COUNT($E$2:$E851)&lt;20,"",MAX($C$752:$C$851))</f>
        <v>0</v>
      </c>
      <c r="AZ851">
        <f>IF(COUNT($E$2:$E851)&lt;20,"",MIN($D$752:$D$851))</f>
        <v>0</v>
      </c>
      <c r="BA851">
        <f>IF(COUNT($E$2:$E851)&lt;20,"",SLOPE($E$752:$E$851,$F$752:$F$851))</f>
        <v>0</v>
      </c>
      <c r="BB851">
        <f>IF(COUNT($E$2:$E851)&lt;20,"",INTERCEPT($E$752:$E$851,$F$752:$F$851))</f>
        <v>0</v>
      </c>
      <c r="BC851">
        <f>IF(OR(BA851="",BB851=""),"",BB851+BA851*F851)</f>
        <v>0</v>
      </c>
      <c r="BD851">
        <f>IF(COUNT($E$2:$E851)&lt;20,"",STEYX($E$752:$E$851,$F$752:$F$851))</f>
        <v>0</v>
      </c>
      <c r="BE851">
        <f>IF($E851="","",IF(AND(COUNT($E$852:$E$855)&gt;=4,$C851=MAX($C$847:$C$855)),$C851,""))</f>
        <v>0</v>
      </c>
      <c r="BF851">
        <f>IF($E851="","",IF(AND(COUNT($E$852:$E$855)&gt;=4,$D851=MIN($D$847:$D$855)),$D851,""))</f>
        <v>0</v>
      </c>
      <c r="BG851">
        <f>IF($A851="","",$A851-WEEKDAY($A851,2)+1)</f>
        <v>0</v>
      </c>
      <c r="BH851">
        <f>IF($A851="","",IF($A850="",1,IF(BG851&lt;&gt;BG850,1,0)))</f>
        <v>0</v>
      </c>
      <c r="BI851">
        <f>IF($A851="","",IF($A852="",1,IF(BG852&lt;&gt;BG851,1,0)))</f>
        <v>0</v>
      </c>
      <c r="BJ851">
        <f>IF($A851="","",IF(BH851=1,$B851,BJ850))</f>
        <v>0</v>
      </c>
      <c r="BK851">
        <f>IF($A851="","",IF(BH851=1,$C851,MAX($C851,BK850)))</f>
        <v>0</v>
      </c>
      <c r="BL851">
        <f>IF($A851="","",IF(BH851=1,$D851,MIN($D851,BL850)))</f>
        <v>0</v>
      </c>
      <c r="BM851">
        <f>IF($A851="","",IF(BI851=1,F851,""))</f>
        <v>0</v>
      </c>
      <c r="BN851">
        <f>IF($A851="","",DATE(YEAR($A851),MONTH($A851),1))</f>
        <v>0</v>
      </c>
      <c r="BO851">
        <f>IF($A851="","",IF($A850="",1,IF(BN851&lt;&gt;BN850,1,0)))</f>
        <v>0</v>
      </c>
      <c r="BP851">
        <f>IF($A851="","",IF($A852="",1,IF(BN852&lt;&gt;BN851,1,0)))</f>
        <v>0</v>
      </c>
      <c r="BQ851">
        <f>IF($A851="","",IF(BO851=1,$B851,BQ850))</f>
        <v>0</v>
      </c>
      <c r="BR851">
        <f>IF($A851="","",IF(BO851=1,$C851,MAX($C851,BR850)))</f>
        <v>0</v>
      </c>
      <c r="BS851">
        <f>IF($A851="","",IF(BO851=1,$D851,MIN($D851,BS850)))</f>
        <v>0</v>
      </c>
      <c r="BT851">
        <f>IF($A851="","",IF(BP851=1,F851,""))</f>
        <v>0</v>
      </c>
    </row>
    <row r="852" spans="1:72">
      <c r="A852" s="27">
        <f>IF(Data!$A852="","",Data!$A852)</f>
        <v>0</v>
      </c>
      <c r="B852">
        <f>IF(Data!$B852="","",Data!$B852)</f>
        <v>0</v>
      </c>
      <c r="C852">
        <f>IF(Data!$C852="","",Data!$C852)</f>
        <v>0</v>
      </c>
      <c r="D852">
        <f>IF(Data!$D852="","",Data!$D852)</f>
        <v>0</v>
      </c>
      <c r="E852">
        <f>IF(Data!$E852="","",Data!$E852)</f>
        <v>0</v>
      </c>
      <c r="F852">
        <f>IF($E852="","",N(F851)+1)</f>
        <v>0</v>
      </c>
      <c r="G852">
        <f>IF(OR($E852="",$E851=""),"",LN($E852/$E851))</f>
        <v>0</v>
      </c>
      <c r="H852">
        <f>IF($E852="","",IF($E851="",$E852,$E852*0.0952380952+H851*0.9047619048))</f>
        <v>0</v>
      </c>
      <c r="I852">
        <f>IF($E852="","",IF($E851="",$E852,$E852*0.0392156863+I851*0.9607843137))</f>
        <v>0</v>
      </c>
      <c r="J852">
        <f>IF($E852="","",IF($E851="",$E852,$E852*0.0198019802+J851*0.9801980198))</f>
        <v>0</v>
      </c>
      <c r="K852">
        <f>IF($E852="","",IF($E851="",$E852,$E852*0.0099502488+K851*0.9900497512))</f>
        <v>0</v>
      </c>
      <c r="L852">
        <f>IF(OR($E852="",$E851=""),"",MAX($E852-$E851,0))</f>
        <v>0</v>
      </c>
      <c r="M852">
        <f>IF(OR($E852="",$E851=""),"",MAX($E851-$E852,0))</f>
        <v>0</v>
      </c>
      <c r="N852">
        <f>IF(COUNT($E$2:$E852)&lt;15,"",IF(AVERAGE($M$839:$M$852)=0,100,100-100/(1+AVERAGE($L$839:$L$852)/AVERAGE($M$839:$M$852))))</f>
        <v>0</v>
      </c>
      <c r="O852">
        <f>IF($E852="","",IF($E851="",$E852,$E852*0.1538461538+O851*0.8461538462))</f>
        <v>0</v>
      </c>
      <c r="P852">
        <f>IF($E852="","",IF($E851="",$E852,$E852*0.0740740741+P851*0.9259259259))</f>
        <v>0</v>
      </c>
      <c r="Q852">
        <f>IF(OR(O852="",P852=""),"",O852-P852)</f>
        <v>0</v>
      </c>
      <c r="R852">
        <f>IF(Q852="","",IF(R851="",Q852,Q852*0.2000000000+R851*0.8000000000))</f>
        <v>0</v>
      </c>
      <c r="S852">
        <f>IF(OR(Q852="",R852=""),"",Q852-R852)</f>
        <v>0</v>
      </c>
      <c r="T852">
        <f>IF(COUNT($E$2:$E852)&lt;14,"",MAX($C$839:$C$852))</f>
        <v>0</v>
      </c>
      <c r="U852">
        <f>IF(COUNT($E$2:$E852)&lt;14,"",MIN($D$839:$D$852))</f>
        <v>0</v>
      </c>
      <c r="V852">
        <f>IF(OR(T852="",U852="",T852=U852),"",100*($E852-U852)/(T852-U852))</f>
        <v>0</v>
      </c>
      <c r="W852">
        <f>IF(COUNT($V$850:$V$852)&lt;3,"",AVERAGE($V$850:$V$852))</f>
        <v>0</v>
      </c>
      <c r="X852">
        <f>IF(COUNT($N$839:$N$852)&lt;14,"",MIN($N$839:$N$852))</f>
        <v>0</v>
      </c>
      <c r="Y852">
        <f>IF(COUNT($N$839:$N$852)&lt;14,"",MAX($N$839:$N$852))</f>
        <v>0</v>
      </c>
      <c r="Z852">
        <f>IF(OR(N852="",X852="",Y852="",Y852=X852),"",100*(N852-X852)/(Y852-X852))</f>
        <v>0</v>
      </c>
      <c r="AA852">
        <f>IF(COUNT($Z$850:$Z$852)&lt;3,"",AVERAGE($Z$850:$Z$852))</f>
        <v>0</v>
      </c>
      <c r="AB852">
        <f>IF(COUNT($AA$850:$AA$852)&lt;3,"",AVERAGE($AA$850:$AA$852))</f>
        <v>0</v>
      </c>
      <c r="AC852">
        <f>IF($E852="","",MAX($C852-$D852,ABS($C852-$E851),ABS($D852-$E851)))</f>
        <v>0</v>
      </c>
      <c r="AD852">
        <f>IF(COUNT($E$2:$E852)&lt;15,"",AVERAGE($AC$839:$AC$852))</f>
        <v>0</v>
      </c>
      <c r="AE852">
        <f>IF(OR($E852="",$E851=""),"",IF(AND(($C852-$C851)&gt;($D851-$D852),($C852-$C851)&gt;0),$C852-$C851,0))</f>
        <v>0</v>
      </c>
      <c r="AF852">
        <f>IF(OR($E852="",$E851=""),"",IF(AND(($D851-$D852)&gt;($C852-$C851),($D851-$D852)&gt;0),$D851-$D852,0))</f>
        <v>0</v>
      </c>
      <c r="AG852">
        <f>IF(COUNT($E$2:$E852)&lt;15,"",IF(SUM($AC$839:$AC$852)=0,0,100*SUM($AE$839:$AE$852)/SUM($AC$839:$AC$852)))</f>
        <v>0</v>
      </c>
      <c r="AH852">
        <f>IF(COUNT($E$2:$E852)&lt;15,"",IF(SUM($AC$839:$AC$852)=0,0,100*SUM($AF$839:$AF$852)/SUM($AC$839:$AC$852)))</f>
        <v>0</v>
      </c>
      <c r="AI852">
        <f>IF(OR(AG852="",AH852=""),"",IF((AG852+AH852)=0,0,100*ABS(AG852-AH852)/(AG852+AH852)))</f>
        <v>0</v>
      </c>
      <c r="AJ852">
        <f>IF(COUNT($AI$839:$AI$852)&lt;14,"",AVERAGE($AI$839:$AI$852))</f>
        <v>0</v>
      </c>
      <c r="AK852">
        <f>IF(COUNT($E$2:$E852)&lt;20,"",AVERAGE($E$833:$E$852))</f>
        <v>0</v>
      </c>
      <c r="AL852">
        <f>IF(COUNT($E$2:$E852)&lt;20,"",STDEVP($E$833:$E$852))</f>
        <v>0</v>
      </c>
      <c r="AM852">
        <f>IF(AK852="","",AK852+2*AL852)</f>
        <v>0</v>
      </c>
      <c r="AN852">
        <f>IF(AK852="","",AK852-2*AL852)</f>
        <v>0</v>
      </c>
      <c r="AO852">
        <f>IF(OR(AM852="",AN852="",AM852=AN852),"",($E852-AN852)/(AM852-AN852))</f>
        <v>0</v>
      </c>
      <c r="AP852">
        <f>IF(OR(AM852="",AK852="",AK852=0),"",(AM852-AN852)/AK852)</f>
        <v>0</v>
      </c>
      <c r="AQ852">
        <f>IF(COUNT($E$2:$E852)&lt;20,"",MAX($C$833:$C$852))</f>
        <v>0</v>
      </c>
      <c r="AR852">
        <f>IF(COUNT($E$2:$E852)&lt;20,"",MIN($D$833:$D$852))</f>
        <v>0</v>
      </c>
      <c r="AS852">
        <f>IF(OR(AQ852="",AR852=""),"",(AQ852+AR852)/2)</f>
        <v>0</v>
      </c>
      <c r="AT852">
        <f>IF(COUNT($G$833:$G$852)&lt;20,"",STDEV($G$833:$G$852)*SQRT(252))</f>
        <v>0</v>
      </c>
      <c r="AU852">
        <f>IF(COUNT($E$2:$E852)&lt;9,"",(MAX($C$844:$C$852)+MIN($D$844:$D$852))/2)</f>
        <v>0</v>
      </c>
      <c r="AV852">
        <f>IF(COUNT($E$2:$E852)&lt;26,"",(MAX($C$827:$C$852)+MIN($D$827:$D$852))/2)</f>
        <v>0</v>
      </c>
      <c r="AW852">
        <f>IF(OR(AU852="",AV852=""),"",(AU852+AV852)/2)</f>
        <v>0</v>
      </c>
      <c r="AX852">
        <f>IF(COUNT($E$2:$E852)&lt;52,"",(MAX($C$801:$C$852)+MIN($D$801:$D$852))/2)</f>
        <v>0</v>
      </c>
      <c r="AY852">
        <f>IF(COUNT($E$2:$E852)&lt;20,"",MAX($C$753:$C$852))</f>
        <v>0</v>
      </c>
      <c r="AZ852">
        <f>IF(COUNT($E$2:$E852)&lt;20,"",MIN($D$753:$D$852))</f>
        <v>0</v>
      </c>
      <c r="BA852">
        <f>IF(COUNT($E$2:$E852)&lt;20,"",SLOPE($E$753:$E$852,$F$753:$F$852))</f>
        <v>0</v>
      </c>
      <c r="BB852">
        <f>IF(COUNT($E$2:$E852)&lt;20,"",INTERCEPT($E$753:$E$852,$F$753:$F$852))</f>
        <v>0</v>
      </c>
      <c r="BC852">
        <f>IF(OR(BA852="",BB852=""),"",BB852+BA852*F852)</f>
        <v>0</v>
      </c>
      <c r="BD852">
        <f>IF(COUNT($E$2:$E852)&lt;20,"",STEYX($E$753:$E$852,$F$753:$F$852))</f>
        <v>0</v>
      </c>
      <c r="BE852">
        <f>IF($E852="","",IF(AND(COUNT($E$853:$E$856)&gt;=4,$C852=MAX($C$848:$C$856)),$C852,""))</f>
        <v>0</v>
      </c>
      <c r="BF852">
        <f>IF($E852="","",IF(AND(COUNT($E$853:$E$856)&gt;=4,$D852=MIN($D$848:$D$856)),$D852,""))</f>
        <v>0</v>
      </c>
      <c r="BG852">
        <f>IF($A852="","",$A852-WEEKDAY($A852,2)+1)</f>
        <v>0</v>
      </c>
      <c r="BH852">
        <f>IF($A852="","",IF($A851="",1,IF(BG852&lt;&gt;BG851,1,0)))</f>
        <v>0</v>
      </c>
      <c r="BI852">
        <f>IF($A852="","",IF($A853="",1,IF(BG853&lt;&gt;BG852,1,0)))</f>
        <v>0</v>
      </c>
      <c r="BJ852">
        <f>IF($A852="","",IF(BH852=1,$B852,BJ851))</f>
        <v>0</v>
      </c>
      <c r="BK852">
        <f>IF($A852="","",IF(BH852=1,$C852,MAX($C852,BK851)))</f>
        <v>0</v>
      </c>
      <c r="BL852">
        <f>IF($A852="","",IF(BH852=1,$D852,MIN($D852,BL851)))</f>
        <v>0</v>
      </c>
      <c r="BM852">
        <f>IF($A852="","",IF(BI852=1,F852,""))</f>
        <v>0</v>
      </c>
      <c r="BN852">
        <f>IF($A852="","",DATE(YEAR($A852),MONTH($A852),1))</f>
        <v>0</v>
      </c>
      <c r="BO852">
        <f>IF($A852="","",IF($A851="",1,IF(BN852&lt;&gt;BN851,1,0)))</f>
        <v>0</v>
      </c>
      <c r="BP852">
        <f>IF($A852="","",IF($A853="",1,IF(BN853&lt;&gt;BN852,1,0)))</f>
        <v>0</v>
      </c>
      <c r="BQ852">
        <f>IF($A852="","",IF(BO852=1,$B852,BQ851))</f>
        <v>0</v>
      </c>
      <c r="BR852">
        <f>IF($A852="","",IF(BO852=1,$C852,MAX($C852,BR851)))</f>
        <v>0</v>
      </c>
      <c r="BS852">
        <f>IF($A852="","",IF(BO852=1,$D852,MIN($D852,BS851)))</f>
        <v>0</v>
      </c>
      <c r="BT852">
        <f>IF($A852="","",IF(BP852=1,F852,""))</f>
        <v>0</v>
      </c>
    </row>
    <row r="853" spans="1:72">
      <c r="A853" s="27">
        <f>IF(Data!$A853="","",Data!$A853)</f>
        <v>0</v>
      </c>
      <c r="B853">
        <f>IF(Data!$B853="","",Data!$B853)</f>
        <v>0</v>
      </c>
      <c r="C853">
        <f>IF(Data!$C853="","",Data!$C853)</f>
        <v>0</v>
      </c>
      <c r="D853">
        <f>IF(Data!$D853="","",Data!$D853)</f>
        <v>0</v>
      </c>
      <c r="E853">
        <f>IF(Data!$E853="","",Data!$E853)</f>
        <v>0</v>
      </c>
      <c r="F853">
        <f>IF($E853="","",N(F852)+1)</f>
        <v>0</v>
      </c>
      <c r="G853">
        <f>IF(OR($E853="",$E852=""),"",LN($E853/$E852))</f>
        <v>0</v>
      </c>
      <c r="H853">
        <f>IF($E853="","",IF($E852="",$E853,$E853*0.0952380952+H852*0.9047619048))</f>
        <v>0</v>
      </c>
      <c r="I853">
        <f>IF($E853="","",IF($E852="",$E853,$E853*0.0392156863+I852*0.9607843137))</f>
        <v>0</v>
      </c>
      <c r="J853">
        <f>IF($E853="","",IF($E852="",$E853,$E853*0.0198019802+J852*0.9801980198))</f>
        <v>0</v>
      </c>
      <c r="K853">
        <f>IF($E853="","",IF($E852="",$E853,$E853*0.0099502488+K852*0.9900497512))</f>
        <v>0</v>
      </c>
      <c r="L853">
        <f>IF(OR($E853="",$E852=""),"",MAX($E853-$E852,0))</f>
        <v>0</v>
      </c>
      <c r="M853">
        <f>IF(OR($E853="",$E852=""),"",MAX($E852-$E853,0))</f>
        <v>0</v>
      </c>
      <c r="N853">
        <f>IF(COUNT($E$2:$E853)&lt;15,"",IF(AVERAGE($M$840:$M$853)=0,100,100-100/(1+AVERAGE($L$840:$L$853)/AVERAGE($M$840:$M$853))))</f>
        <v>0</v>
      </c>
      <c r="O853">
        <f>IF($E853="","",IF($E852="",$E853,$E853*0.1538461538+O852*0.8461538462))</f>
        <v>0</v>
      </c>
      <c r="P853">
        <f>IF($E853="","",IF($E852="",$E853,$E853*0.0740740741+P852*0.9259259259))</f>
        <v>0</v>
      </c>
      <c r="Q853">
        <f>IF(OR(O853="",P853=""),"",O853-P853)</f>
        <v>0</v>
      </c>
      <c r="R853">
        <f>IF(Q853="","",IF(R852="",Q853,Q853*0.2000000000+R852*0.8000000000))</f>
        <v>0</v>
      </c>
      <c r="S853">
        <f>IF(OR(Q853="",R853=""),"",Q853-R853)</f>
        <v>0</v>
      </c>
      <c r="T853">
        <f>IF(COUNT($E$2:$E853)&lt;14,"",MAX($C$840:$C$853))</f>
        <v>0</v>
      </c>
      <c r="U853">
        <f>IF(COUNT($E$2:$E853)&lt;14,"",MIN($D$840:$D$853))</f>
        <v>0</v>
      </c>
      <c r="V853">
        <f>IF(OR(T853="",U853="",T853=U853),"",100*($E853-U853)/(T853-U853))</f>
        <v>0</v>
      </c>
      <c r="W853">
        <f>IF(COUNT($V$851:$V$853)&lt;3,"",AVERAGE($V$851:$V$853))</f>
        <v>0</v>
      </c>
      <c r="X853">
        <f>IF(COUNT($N$840:$N$853)&lt;14,"",MIN($N$840:$N$853))</f>
        <v>0</v>
      </c>
      <c r="Y853">
        <f>IF(COUNT($N$840:$N$853)&lt;14,"",MAX($N$840:$N$853))</f>
        <v>0</v>
      </c>
      <c r="Z853">
        <f>IF(OR(N853="",X853="",Y853="",Y853=X853),"",100*(N853-X853)/(Y853-X853))</f>
        <v>0</v>
      </c>
      <c r="AA853">
        <f>IF(COUNT($Z$851:$Z$853)&lt;3,"",AVERAGE($Z$851:$Z$853))</f>
        <v>0</v>
      </c>
      <c r="AB853">
        <f>IF(COUNT($AA$851:$AA$853)&lt;3,"",AVERAGE($AA$851:$AA$853))</f>
        <v>0</v>
      </c>
      <c r="AC853">
        <f>IF($E853="","",MAX($C853-$D853,ABS($C853-$E852),ABS($D853-$E852)))</f>
        <v>0</v>
      </c>
      <c r="AD853">
        <f>IF(COUNT($E$2:$E853)&lt;15,"",AVERAGE($AC$840:$AC$853))</f>
        <v>0</v>
      </c>
      <c r="AE853">
        <f>IF(OR($E853="",$E852=""),"",IF(AND(($C853-$C852)&gt;($D852-$D853),($C853-$C852)&gt;0),$C853-$C852,0))</f>
        <v>0</v>
      </c>
      <c r="AF853">
        <f>IF(OR($E853="",$E852=""),"",IF(AND(($D852-$D853)&gt;($C853-$C852),($D852-$D853)&gt;0),$D852-$D853,0))</f>
        <v>0</v>
      </c>
      <c r="AG853">
        <f>IF(COUNT($E$2:$E853)&lt;15,"",IF(SUM($AC$840:$AC$853)=0,0,100*SUM($AE$840:$AE$853)/SUM($AC$840:$AC$853)))</f>
        <v>0</v>
      </c>
      <c r="AH853">
        <f>IF(COUNT($E$2:$E853)&lt;15,"",IF(SUM($AC$840:$AC$853)=0,0,100*SUM($AF$840:$AF$853)/SUM($AC$840:$AC$853)))</f>
        <v>0</v>
      </c>
      <c r="AI853">
        <f>IF(OR(AG853="",AH853=""),"",IF((AG853+AH853)=0,0,100*ABS(AG853-AH853)/(AG853+AH853)))</f>
        <v>0</v>
      </c>
      <c r="AJ853">
        <f>IF(COUNT($AI$840:$AI$853)&lt;14,"",AVERAGE($AI$840:$AI$853))</f>
        <v>0</v>
      </c>
      <c r="AK853">
        <f>IF(COUNT($E$2:$E853)&lt;20,"",AVERAGE($E$834:$E$853))</f>
        <v>0</v>
      </c>
      <c r="AL853">
        <f>IF(COUNT($E$2:$E853)&lt;20,"",STDEVP($E$834:$E$853))</f>
        <v>0</v>
      </c>
      <c r="AM853">
        <f>IF(AK853="","",AK853+2*AL853)</f>
        <v>0</v>
      </c>
      <c r="AN853">
        <f>IF(AK853="","",AK853-2*AL853)</f>
        <v>0</v>
      </c>
      <c r="AO853">
        <f>IF(OR(AM853="",AN853="",AM853=AN853),"",($E853-AN853)/(AM853-AN853))</f>
        <v>0</v>
      </c>
      <c r="AP853">
        <f>IF(OR(AM853="",AK853="",AK853=0),"",(AM853-AN853)/AK853)</f>
        <v>0</v>
      </c>
      <c r="AQ853">
        <f>IF(COUNT($E$2:$E853)&lt;20,"",MAX($C$834:$C$853))</f>
        <v>0</v>
      </c>
      <c r="AR853">
        <f>IF(COUNT($E$2:$E853)&lt;20,"",MIN($D$834:$D$853))</f>
        <v>0</v>
      </c>
      <c r="AS853">
        <f>IF(OR(AQ853="",AR853=""),"",(AQ853+AR853)/2)</f>
        <v>0</v>
      </c>
      <c r="AT853">
        <f>IF(COUNT($G$834:$G$853)&lt;20,"",STDEV($G$834:$G$853)*SQRT(252))</f>
        <v>0</v>
      </c>
      <c r="AU853">
        <f>IF(COUNT($E$2:$E853)&lt;9,"",(MAX($C$845:$C$853)+MIN($D$845:$D$853))/2)</f>
        <v>0</v>
      </c>
      <c r="AV853">
        <f>IF(COUNT($E$2:$E853)&lt;26,"",(MAX($C$828:$C$853)+MIN($D$828:$D$853))/2)</f>
        <v>0</v>
      </c>
      <c r="AW853">
        <f>IF(OR(AU853="",AV853=""),"",(AU853+AV853)/2)</f>
        <v>0</v>
      </c>
      <c r="AX853">
        <f>IF(COUNT($E$2:$E853)&lt;52,"",(MAX($C$802:$C$853)+MIN($D$802:$D$853))/2)</f>
        <v>0</v>
      </c>
      <c r="AY853">
        <f>IF(COUNT($E$2:$E853)&lt;20,"",MAX($C$754:$C$853))</f>
        <v>0</v>
      </c>
      <c r="AZ853">
        <f>IF(COUNT($E$2:$E853)&lt;20,"",MIN($D$754:$D$853))</f>
        <v>0</v>
      </c>
      <c r="BA853">
        <f>IF(COUNT($E$2:$E853)&lt;20,"",SLOPE($E$754:$E$853,$F$754:$F$853))</f>
        <v>0</v>
      </c>
      <c r="BB853">
        <f>IF(COUNT($E$2:$E853)&lt;20,"",INTERCEPT($E$754:$E$853,$F$754:$F$853))</f>
        <v>0</v>
      </c>
      <c r="BC853">
        <f>IF(OR(BA853="",BB853=""),"",BB853+BA853*F853)</f>
        <v>0</v>
      </c>
      <c r="BD853">
        <f>IF(COUNT($E$2:$E853)&lt;20,"",STEYX($E$754:$E$853,$F$754:$F$853))</f>
        <v>0</v>
      </c>
      <c r="BE853">
        <f>IF($E853="","",IF(AND(COUNT($E$854:$E$857)&gt;=4,$C853=MAX($C$849:$C$857)),$C853,""))</f>
        <v>0</v>
      </c>
      <c r="BF853">
        <f>IF($E853="","",IF(AND(COUNT($E$854:$E$857)&gt;=4,$D853=MIN($D$849:$D$857)),$D853,""))</f>
        <v>0</v>
      </c>
      <c r="BG853">
        <f>IF($A853="","",$A853-WEEKDAY($A853,2)+1)</f>
        <v>0</v>
      </c>
      <c r="BH853">
        <f>IF($A853="","",IF($A852="",1,IF(BG853&lt;&gt;BG852,1,0)))</f>
        <v>0</v>
      </c>
      <c r="BI853">
        <f>IF($A853="","",IF($A854="",1,IF(BG854&lt;&gt;BG853,1,0)))</f>
        <v>0</v>
      </c>
      <c r="BJ853">
        <f>IF($A853="","",IF(BH853=1,$B853,BJ852))</f>
        <v>0</v>
      </c>
      <c r="BK853">
        <f>IF($A853="","",IF(BH853=1,$C853,MAX($C853,BK852)))</f>
        <v>0</v>
      </c>
      <c r="BL853">
        <f>IF($A853="","",IF(BH853=1,$D853,MIN($D853,BL852)))</f>
        <v>0</v>
      </c>
      <c r="BM853">
        <f>IF($A853="","",IF(BI853=1,F853,""))</f>
        <v>0</v>
      </c>
      <c r="BN853">
        <f>IF($A853="","",DATE(YEAR($A853),MONTH($A853),1))</f>
        <v>0</v>
      </c>
      <c r="BO853">
        <f>IF($A853="","",IF($A852="",1,IF(BN853&lt;&gt;BN852,1,0)))</f>
        <v>0</v>
      </c>
      <c r="BP853">
        <f>IF($A853="","",IF($A854="",1,IF(BN854&lt;&gt;BN853,1,0)))</f>
        <v>0</v>
      </c>
      <c r="BQ853">
        <f>IF($A853="","",IF(BO853=1,$B853,BQ852))</f>
        <v>0</v>
      </c>
      <c r="BR853">
        <f>IF($A853="","",IF(BO853=1,$C853,MAX($C853,BR852)))</f>
        <v>0</v>
      </c>
      <c r="BS853">
        <f>IF($A853="","",IF(BO853=1,$D853,MIN($D853,BS852)))</f>
        <v>0</v>
      </c>
      <c r="BT853">
        <f>IF($A853="","",IF(BP853=1,F853,""))</f>
        <v>0</v>
      </c>
    </row>
    <row r="854" spans="1:72">
      <c r="A854" s="27">
        <f>IF(Data!$A854="","",Data!$A854)</f>
        <v>0</v>
      </c>
      <c r="B854">
        <f>IF(Data!$B854="","",Data!$B854)</f>
        <v>0</v>
      </c>
      <c r="C854">
        <f>IF(Data!$C854="","",Data!$C854)</f>
        <v>0</v>
      </c>
      <c r="D854">
        <f>IF(Data!$D854="","",Data!$D854)</f>
        <v>0</v>
      </c>
      <c r="E854">
        <f>IF(Data!$E854="","",Data!$E854)</f>
        <v>0</v>
      </c>
      <c r="F854">
        <f>IF($E854="","",N(F853)+1)</f>
        <v>0</v>
      </c>
      <c r="G854">
        <f>IF(OR($E854="",$E853=""),"",LN($E854/$E853))</f>
        <v>0</v>
      </c>
      <c r="H854">
        <f>IF($E854="","",IF($E853="",$E854,$E854*0.0952380952+H853*0.9047619048))</f>
        <v>0</v>
      </c>
      <c r="I854">
        <f>IF($E854="","",IF($E853="",$E854,$E854*0.0392156863+I853*0.9607843137))</f>
        <v>0</v>
      </c>
      <c r="J854">
        <f>IF($E854="","",IF($E853="",$E854,$E854*0.0198019802+J853*0.9801980198))</f>
        <v>0</v>
      </c>
      <c r="K854">
        <f>IF($E854="","",IF($E853="",$E854,$E854*0.0099502488+K853*0.9900497512))</f>
        <v>0</v>
      </c>
      <c r="L854">
        <f>IF(OR($E854="",$E853=""),"",MAX($E854-$E853,0))</f>
        <v>0</v>
      </c>
      <c r="M854">
        <f>IF(OR($E854="",$E853=""),"",MAX($E853-$E854,0))</f>
        <v>0</v>
      </c>
      <c r="N854">
        <f>IF(COUNT($E$2:$E854)&lt;15,"",IF(AVERAGE($M$841:$M$854)=0,100,100-100/(1+AVERAGE($L$841:$L$854)/AVERAGE($M$841:$M$854))))</f>
        <v>0</v>
      </c>
      <c r="O854">
        <f>IF($E854="","",IF($E853="",$E854,$E854*0.1538461538+O853*0.8461538462))</f>
        <v>0</v>
      </c>
      <c r="P854">
        <f>IF($E854="","",IF($E853="",$E854,$E854*0.0740740741+P853*0.9259259259))</f>
        <v>0</v>
      </c>
      <c r="Q854">
        <f>IF(OR(O854="",P854=""),"",O854-P854)</f>
        <v>0</v>
      </c>
      <c r="R854">
        <f>IF(Q854="","",IF(R853="",Q854,Q854*0.2000000000+R853*0.8000000000))</f>
        <v>0</v>
      </c>
      <c r="S854">
        <f>IF(OR(Q854="",R854=""),"",Q854-R854)</f>
        <v>0</v>
      </c>
      <c r="T854">
        <f>IF(COUNT($E$2:$E854)&lt;14,"",MAX($C$841:$C$854))</f>
        <v>0</v>
      </c>
      <c r="U854">
        <f>IF(COUNT($E$2:$E854)&lt;14,"",MIN($D$841:$D$854))</f>
        <v>0</v>
      </c>
      <c r="V854">
        <f>IF(OR(T854="",U854="",T854=U854),"",100*($E854-U854)/(T854-U854))</f>
        <v>0</v>
      </c>
      <c r="W854">
        <f>IF(COUNT($V$852:$V$854)&lt;3,"",AVERAGE($V$852:$V$854))</f>
        <v>0</v>
      </c>
      <c r="X854">
        <f>IF(COUNT($N$841:$N$854)&lt;14,"",MIN($N$841:$N$854))</f>
        <v>0</v>
      </c>
      <c r="Y854">
        <f>IF(COUNT($N$841:$N$854)&lt;14,"",MAX($N$841:$N$854))</f>
        <v>0</v>
      </c>
      <c r="Z854">
        <f>IF(OR(N854="",X854="",Y854="",Y854=X854),"",100*(N854-X854)/(Y854-X854))</f>
        <v>0</v>
      </c>
      <c r="AA854">
        <f>IF(COUNT($Z$852:$Z$854)&lt;3,"",AVERAGE($Z$852:$Z$854))</f>
        <v>0</v>
      </c>
      <c r="AB854">
        <f>IF(COUNT($AA$852:$AA$854)&lt;3,"",AVERAGE($AA$852:$AA$854))</f>
        <v>0</v>
      </c>
      <c r="AC854">
        <f>IF($E854="","",MAX($C854-$D854,ABS($C854-$E853),ABS($D854-$E853)))</f>
        <v>0</v>
      </c>
      <c r="AD854">
        <f>IF(COUNT($E$2:$E854)&lt;15,"",AVERAGE($AC$841:$AC$854))</f>
        <v>0</v>
      </c>
      <c r="AE854">
        <f>IF(OR($E854="",$E853=""),"",IF(AND(($C854-$C853)&gt;($D853-$D854),($C854-$C853)&gt;0),$C854-$C853,0))</f>
        <v>0</v>
      </c>
      <c r="AF854">
        <f>IF(OR($E854="",$E853=""),"",IF(AND(($D853-$D854)&gt;($C854-$C853),($D853-$D854)&gt;0),$D853-$D854,0))</f>
        <v>0</v>
      </c>
      <c r="AG854">
        <f>IF(COUNT($E$2:$E854)&lt;15,"",IF(SUM($AC$841:$AC$854)=0,0,100*SUM($AE$841:$AE$854)/SUM($AC$841:$AC$854)))</f>
        <v>0</v>
      </c>
      <c r="AH854">
        <f>IF(COUNT($E$2:$E854)&lt;15,"",IF(SUM($AC$841:$AC$854)=0,0,100*SUM($AF$841:$AF$854)/SUM($AC$841:$AC$854)))</f>
        <v>0</v>
      </c>
      <c r="AI854">
        <f>IF(OR(AG854="",AH854=""),"",IF((AG854+AH854)=0,0,100*ABS(AG854-AH854)/(AG854+AH854)))</f>
        <v>0</v>
      </c>
      <c r="AJ854">
        <f>IF(COUNT($AI$841:$AI$854)&lt;14,"",AVERAGE($AI$841:$AI$854))</f>
        <v>0</v>
      </c>
      <c r="AK854">
        <f>IF(COUNT($E$2:$E854)&lt;20,"",AVERAGE($E$835:$E$854))</f>
        <v>0</v>
      </c>
      <c r="AL854">
        <f>IF(COUNT($E$2:$E854)&lt;20,"",STDEVP($E$835:$E$854))</f>
        <v>0</v>
      </c>
      <c r="AM854">
        <f>IF(AK854="","",AK854+2*AL854)</f>
        <v>0</v>
      </c>
      <c r="AN854">
        <f>IF(AK854="","",AK854-2*AL854)</f>
        <v>0</v>
      </c>
      <c r="AO854">
        <f>IF(OR(AM854="",AN854="",AM854=AN854),"",($E854-AN854)/(AM854-AN854))</f>
        <v>0</v>
      </c>
      <c r="AP854">
        <f>IF(OR(AM854="",AK854="",AK854=0),"",(AM854-AN854)/AK854)</f>
        <v>0</v>
      </c>
      <c r="AQ854">
        <f>IF(COUNT($E$2:$E854)&lt;20,"",MAX($C$835:$C$854))</f>
        <v>0</v>
      </c>
      <c r="AR854">
        <f>IF(COUNT($E$2:$E854)&lt;20,"",MIN($D$835:$D$854))</f>
        <v>0</v>
      </c>
      <c r="AS854">
        <f>IF(OR(AQ854="",AR854=""),"",(AQ854+AR854)/2)</f>
        <v>0</v>
      </c>
      <c r="AT854">
        <f>IF(COUNT($G$835:$G$854)&lt;20,"",STDEV($G$835:$G$854)*SQRT(252))</f>
        <v>0</v>
      </c>
      <c r="AU854">
        <f>IF(COUNT($E$2:$E854)&lt;9,"",(MAX($C$846:$C$854)+MIN($D$846:$D$854))/2)</f>
        <v>0</v>
      </c>
      <c r="AV854">
        <f>IF(COUNT($E$2:$E854)&lt;26,"",(MAX($C$829:$C$854)+MIN($D$829:$D$854))/2)</f>
        <v>0</v>
      </c>
      <c r="AW854">
        <f>IF(OR(AU854="",AV854=""),"",(AU854+AV854)/2)</f>
        <v>0</v>
      </c>
      <c r="AX854">
        <f>IF(COUNT($E$2:$E854)&lt;52,"",(MAX($C$803:$C$854)+MIN($D$803:$D$854))/2)</f>
        <v>0</v>
      </c>
      <c r="AY854">
        <f>IF(COUNT($E$2:$E854)&lt;20,"",MAX($C$755:$C$854))</f>
        <v>0</v>
      </c>
      <c r="AZ854">
        <f>IF(COUNT($E$2:$E854)&lt;20,"",MIN($D$755:$D$854))</f>
        <v>0</v>
      </c>
      <c r="BA854">
        <f>IF(COUNT($E$2:$E854)&lt;20,"",SLOPE($E$755:$E$854,$F$755:$F$854))</f>
        <v>0</v>
      </c>
      <c r="BB854">
        <f>IF(COUNT($E$2:$E854)&lt;20,"",INTERCEPT($E$755:$E$854,$F$755:$F$854))</f>
        <v>0</v>
      </c>
      <c r="BC854">
        <f>IF(OR(BA854="",BB854=""),"",BB854+BA854*F854)</f>
        <v>0</v>
      </c>
      <c r="BD854">
        <f>IF(COUNT($E$2:$E854)&lt;20,"",STEYX($E$755:$E$854,$F$755:$F$854))</f>
        <v>0</v>
      </c>
      <c r="BE854">
        <f>IF($E854="","",IF(AND(COUNT($E$855:$E$858)&gt;=4,$C854=MAX($C$850:$C$858)),$C854,""))</f>
        <v>0</v>
      </c>
      <c r="BF854">
        <f>IF($E854="","",IF(AND(COUNT($E$855:$E$858)&gt;=4,$D854=MIN($D$850:$D$858)),$D854,""))</f>
        <v>0</v>
      </c>
      <c r="BG854">
        <f>IF($A854="","",$A854-WEEKDAY($A854,2)+1)</f>
        <v>0</v>
      </c>
      <c r="BH854">
        <f>IF($A854="","",IF($A853="",1,IF(BG854&lt;&gt;BG853,1,0)))</f>
        <v>0</v>
      </c>
      <c r="BI854">
        <f>IF($A854="","",IF($A855="",1,IF(BG855&lt;&gt;BG854,1,0)))</f>
        <v>0</v>
      </c>
      <c r="BJ854">
        <f>IF($A854="","",IF(BH854=1,$B854,BJ853))</f>
        <v>0</v>
      </c>
      <c r="BK854">
        <f>IF($A854="","",IF(BH854=1,$C854,MAX($C854,BK853)))</f>
        <v>0</v>
      </c>
      <c r="BL854">
        <f>IF($A854="","",IF(BH854=1,$D854,MIN($D854,BL853)))</f>
        <v>0</v>
      </c>
      <c r="BM854">
        <f>IF($A854="","",IF(BI854=1,F854,""))</f>
        <v>0</v>
      </c>
      <c r="BN854">
        <f>IF($A854="","",DATE(YEAR($A854),MONTH($A854),1))</f>
        <v>0</v>
      </c>
      <c r="BO854">
        <f>IF($A854="","",IF($A853="",1,IF(BN854&lt;&gt;BN853,1,0)))</f>
        <v>0</v>
      </c>
      <c r="BP854">
        <f>IF($A854="","",IF($A855="",1,IF(BN855&lt;&gt;BN854,1,0)))</f>
        <v>0</v>
      </c>
      <c r="BQ854">
        <f>IF($A854="","",IF(BO854=1,$B854,BQ853))</f>
        <v>0</v>
      </c>
      <c r="BR854">
        <f>IF($A854="","",IF(BO854=1,$C854,MAX($C854,BR853)))</f>
        <v>0</v>
      </c>
      <c r="BS854">
        <f>IF($A854="","",IF(BO854=1,$D854,MIN($D854,BS853)))</f>
        <v>0</v>
      </c>
      <c r="BT854">
        <f>IF($A854="","",IF(BP854=1,F854,""))</f>
        <v>0</v>
      </c>
    </row>
    <row r="855" spans="1:72">
      <c r="A855" s="27">
        <f>IF(Data!$A855="","",Data!$A855)</f>
        <v>0</v>
      </c>
      <c r="B855">
        <f>IF(Data!$B855="","",Data!$B855)</f>
        <v>0</v>
      </c>
      <c r="C855">
        <f>IF(Data!$C855="","",Data!$C855)</f>
        <v>0</v>
      </c>
      <c r="D855">
        <f>IF(Data!$D855="","",Data!$D855)</f>
        <v>0</v>
      </c>
      <c r="E855">
        <f>IF(Data!$E855="","",Data!$E855)</f>
        <v>0</v>
      </c>
      <c r="F855">
        <f>IF($E855="","",N(F854)+1)</f>
        <v>0</v>
      </c>
      <c r="G855">
        <f>IF(OR($E855="",$E854=""),"",LN($E855/$E854))</f>
        <v>0</v>
      </c>
      <c r="H855">
        <f>IF($E855="","",IF($E854="",$E855,$E855*0.0952380952+H854*0.9047619048))</f>
        <v>0</v>
      </c>
      <c r="I855">
        <f>IF($E855="","",IF($E854="",$E855,$E855*0.0392156863+I854*0.9607843137))</f>
        <v>0</v>
      </c>
      <c r="J855">
        <f>IF($E855="","",IF($E854="",$E855,$E855*0.0198019802+J854*0.9801980198))</f>
        <v>0</v>
      </c>
      <c r="K855">
        <f>IF($E855="","",IF($E854="",$E855,$E855*0.0099502488+K854*0.9900497512))</f>
        <v>0</v>
      </c>
      <c r="L855">
        <f>IF(OR($E855="",$E854=""),"",MAX($E855-$E854,0))</f>
        <v>0</v>
      </c>
      <c r="M855">
        <f>IF(OR($E855="",$E854=""),"",MAX($E854-$E855,0))</f>
        <v>0</v>
      </c>
      <c r="N855">
        <f>IF(COUNT($E$2:$E855)&lt;15,"",IF(AVERAGE($M$842:$M$855)=0,100,100-100/(1+AVERAGE($L$842:$L$855)/AVERAGE($M$842:$M$855))))</f>
        <v>0</v>
      </c>
      <c r="O855">
        <f>IF($E855="","",IF($E854="",$E855,$E855*0.1538461538+O854*0.8461538462))</f>
        <v>0</v>
      </c>
      <c r="P855">
        <f>IF($E855="","",IF($E854="",$E855,$E855*0.0740740741+P854*0.9259259259))</f>
        <v>0</v>
      </c>
      <c r="Q855">
        <f>IF(OR(O855="",P855=""),"",O855-P855)</f>
        <v>0</v>
      </c>
      <c r="R855">
        <f>IF(Q855="","",IF(R854="",Q855,Q855*0.2000000000+R854*0.8000000000))</f>
        <v>0</v>
      </c>
      <c r="S855">
        <f>IF(OR(Q855="",R855=""),"",Q855-R855)</f>
        <v>0</v>
      </c>
      <c r="T855">
        <f>IF(COUNT($E$2:$E855)&lt;14,"",MAX($C$842:$C$855))</f>
        <v>0</v>
      </c>
      <c r="U855">
        <f>IF(COUNT($E$2:$E855)&lt;14,"",MIN($D$842:$D$855))</f>
        <v>0</v>
      </c>
      <c r="V855">
        <f>IF(OR(T855="",U855="",T855=U855),"",100*($E855-U855)/(T855-U855))</f>
        <v>0</v>
      </c>
      <c r="W855">
        <f>IF(COUNT($V$853:$V$855)&lt;3,"",AVERAGE($V$853:$V$855))</f>
        <v>0</v>
      </c>
      <c r="X855">
        <f>IF(COUNT($N$842:$N$855)&lt;14,"",MIN($N$842:$N$855))</f>
        <v>0</v>
      </c>
      <c r="Y855">
        <f>IF(COUNT($N$842:$N$855)&lt;14,"",MAX($N$842:$N$855))</f>
        <v>0</v>
      </c>
      <c r="Z855">
        <f>IF(OR(N855="",X855="",Y855="",Y855=X855),"",100*(N855-X855)/(Y855-X855))</f>
        <v>0</v>
      </c>
      <c r="AA855">
        <f>IF(COUNT($Z$853:$Z$855)&lt;3,"",AVERAGE($Z$853:$Z$855))</f>
        <v>0</v>
      </c>
      <c r="AB855">
        <f>IF(COUNT($AA$853:$AA$855)&lt;3,"",AVERAGE($AA$853:$AA$855))</f>
        <v>0</v>
      </c>
      <c r="AC855">
        <f>IF($E855="","",MAX($C855-$D855,ABS($C855-$E854),ABS($D855-$E854)))</f>
        <v>0</v>
      </c>
      <c r="AD855">
        <f>IF(COUNT($E$2:$E855)&lt;15,"",AVERAGE($AC$842:$AC$855))</f>
        <v>0</v>
      </c>
      <c r="AE855">
        <f>IF(OR($E855="",$E854=""),"",IF(AND(($C855-$C854)&gt;($D854-$D855),($C855-$C854)&gt;0),$C855-$C854,0))</f>
        <v>0</v>
      </c>
      <c r="AF855">
        <f>IF(OR($E855="",$E854=""),"",IF(AND(($D854-$D855)&gt;($C855-$C854),($D854-$D855)&gt;0),$D854-$D855,0))</f>
        <v>0</v>
      </c>
      <c r="AG855">
        <f>IF(COUNT($E$2:$E855)&lt;15,"",IF(SUM($AC$842:$AC$855)=0,0,100*SUM($AE$842:$AE$855)/SUM($AC$842:$AC$855)))</f>
        <v>0</v>
      </c>
      <c r="AH855">
        <f>IF(COUNT($E$2:$E855)&lt;15,"",IF(SUM($AC$842:$AC$855)=0,0,100*SUM($AF$842:$AF$855)/SUM($AC$842:$AC$855)))</f>
        <v>0</v>
      </c>
      <c r="AI855">
        <f>IF(OR(AG855="",AH855=""),"",IF((AG855+AH855)=0,0,100*ABS(AG855-AH855)/(AG855+AH855)))</f>
        <v>0</v>
      </c>
      <c r="AJ855">
        <f>IF(COUNT($AI$842:$AI$855)&lt;14,"",AVERAGE($AI$842:$AI$855))</f>
        <v>0</v>
      </c>
      <c r="AK855">
        <f>IF(COUNT($E$2:$E855)&lt;20,"",AVERAGE($E$836:$E$855))</f>
        <v>0</v>
      </c>
      <c r="AL855">
        <f>IF(COUNT($E$2:$E855)&lt;20,"",STDEVP($E$836:$E$855))</f>
        <v>0</v>
      </c>
      <c r="AM855">
        <f>IF(AK855="","",AK855+2*AL855)</f>
        <v>0</v>
      </c>
      <c r="AN855">
        <f>IF(AK855="","",AK855-2*AL855)</f>
        <v>0</v>
      </c>
      <c r="AO855">
        <f>IF(OR(AM855="",AN855="",AM855=AN855),"",($E855-AN855)/(AM855-AN855))</f>
        <v>0</v>
      </c>
      <c r="AP855">
        <f>IF(OR(AM855="",AK855="",AK855=0),"",(AM855-AN855)/AK855)</f>
        <v>0</v>
      </c>
      <c r="AQ855">
        <f>IF(COUNT($E$2:$E855)&lt;20,"",MAX($C$836:$C$855))</f>
        <v>0</v>
      </c>
      <c r="AR855">
        <f>IF(COUNT($E$2:$E855)&lt;20,"",MIN($D$836:$D$855))</f>
        <v>0</v>
      </c>
      <c r="AS855">
        <f>IF(OR(AQ855="",AR855=""),"",(AQ855+AR855)/2)</f>
        <v>0</v>
      </c>
      <c r="AT855">
        <f>IF(COUNT($G$836:$G$855)&lt;20,"",STDEV($G$836:$G$855)*SQRT(252))</f>
        <v>0</v>
      </c>
      <c r="AU855">
        <f>IF(COUNT($E$2:$E855)&lt;9,"",(MAX($C$847:$C$855)+MIN($D$847:$D$855))/2)</f>
        <v>0</v>
      </c>
      <c r="AV855">
        <f>IF(COUNT($E$2:$E855)&lt;26,"",(MAX($C$830:$C$855)+MIN($D$830:$D$855))/2)</f>
        <v>0</v>
      </c>
      <c r="AW855">
        <f>IF(OR(AU855="",AV855=""),"",(AU855+AV855)/2)</f>
        <v>0</v>
      </c>
      <c r="AX855">
        <f>IF(COUNT($E$2:$E855)&lt;52,"",(MAX($C$804:$C$855)+MIN($D$804:$D$855))/2)</f>
        <v>0</v>
      </c>
      <c r="AY855">
        <f>IF(COUNT($E$2:$E855)&lt;20,"",MAX($C$756:$C$855))</f>
        <v>0</v>
      </c>
      <c r="AZ855">
        <f>IF(COUNT($E$2:$E855)&lt;20,"",MIN($D$756:$D$855))</f>
        <v>0</v>
      </c>
      <c r="BA855">
        <f>IF(COUNT($E$2:$E855)&lt;20,"",SLOPE($E$756:$E$855,$F$756:$F$855))</f>
        <v>0</v>
      </c>
      <c r="BB855">
        <f>IF(COUNT($E$2:$E855)&lt;20,"",INTERCEPT($E$756:$E$855,$F$756:$F$855))</f>
        <v>0</v>
      </c>
      <c r="BC855">
        <f>IF(OR(BA855="",BB855=""),"",BB855+BA855*F855)</f>
        <v>0</v>
      </c>
      <c r="BD855">
        <f>IF(COUNT($E$2:$E855)&lt;20,"",STEYX($E$756:$E$855,$F$756:$F$855))</f>
        <v>0</v>
      </c>
      <c r="BE855">
        <f>IF($E855="","",IF(AND(COUNT($E$856:$E$859)&gt;=4,$C855=MAX($C$851:$C$859)),$C855,""))</f>
        <v>0</v>
      </c>
      <c r="BF855">
        <f>IF($E855="","",IF(AND(COUNT($E$856:$E$859)&gt;=4,$D855=MIN($D$851:$D$859)),$D855,""))</f>
        <v>0</v>
      </c>
      <c r="BG855">
        <f>IF($A855="","",$A855-WEEKDAY($A855,2)+1)</f>
        <v>0</v>
      </c>
      <c r="BH855">
        <f>IF($A855="","",IF($A854="",1,IF(BG855&lt;&gt;BG854,1,0)))</f>
        <v>0</v>
      </c>
      <c r="BI855">
        <f>IF($A855="","",IF($A856="",1,IF(BG856&lt;&gt;BG855,1,0)))</f>
        <v>0</v>
      </c>
      <c r="BJ855">
        <f>IF($A855="","",IF(BH855=1,$B855,BJ854))</f>
        <v>0</v>
      </c>
      <c r="BK855">
        <f>IF($A855="","",IF(BH855=1,$C855,MAX($C855,BK854)))</f>
        <v>0</v>
      </c>
      <c r="BL855">
        <f>IF($A855="","",IF(BH855=1,$D855,MIN($D855,BL854)))</f>
        <v>0</v>
      </c>
      <c r="BM855">
        <f>IF($A855="","",IF(BI855=1,F855,""))</f>
        <v>0</v>
      </c>
      <c r="BN855">
        <f>IF($A855="","",DATE(YEAR($A855),MONTH($A855),1))</f>
        <v>0</v>
      </c>
      <c r="BO855">
        <f>IF($A855="","",IF($A854="",1,IF(BN855&lt;&gt;BN854,1,0)))</f>
        <v>0</v>
      </c>
      <c r="BP855">
        <f>IF($A855="","",IF($A856="",1,IF(BN856&lt;&gt;BN855,1,0)))</f>
        <v>0</v>
      </c>
      <c r="BQ855">
        <f>IF($A855="","",IF(BO855=1,$B855,BQ854))</f>
        <v>0</v>
      </c>
      <c r="BR855">
        <f>IF($A855="","",IF(BO855=1,$C855,MAX($C855,BR854)))</f>
        <v>0</v>
      </c>
      <c r="BS855">
        <f>IF($A855="","",IF(BO855=1,$D855,MIN($D855,BS854)))</f>
        <v>0</v>
      </c>
      <c r="BT855">
        <f>IF($A855="","",IF(BP855=1,F855,""))</f>
        <v>0</v>
      </c>
    </row>
    <row r="856" spans="1:72">
      <c r="A856" s="27">
        <f>IF(Data!$A856="","",Data!$A856)</f>
        <v>0</v>
      </c>
      <c r="B856">
        <f>IF(Data!$B856="","",Data!$B856)</f>
        <v>0</v>
      </c>
      <c r="C856">
        <f>IF(Data!$C856="","",Data!$C856)</f>
        <v>0</v>
      </c>
      <c r="D856">
        <f>IF(Data!$D856="","",Data!$D856)</f>
        <v>0</v>
      </c>
      <c r="E856">
        <f>IF(Data!$E856="","",Data!$E856)</f>
        <v>0</v>
      </c>
      <c r="F856">
        <f>IF($E856="","",N(F855)+1)</f>
        <v>0</v>
      </c>
      <c r="G856">
        <f>IF(OR($E856="",$E855=""),"",LN($E856/$E855))</f>
        <v>0</v>
      </c>
      <c r="H856">
        <f>IF($E856="","",IF($E855="",$E856,$E856*0.0952380952+H855*0.9047619048))</f>
        <v>0</v>
      </c>
      <c r="I856">
        <f>IF($E856="","",IF($E855="",$E856,$E856*0.0392156863+I855*0.9607843137))</f>
        <v>0</v>
      </c>
      <c r="J856">
        <f>IF($E856="","",IF($E855="",$E856,$E856*0.0198019802+J855*0.9801980198))</f>
        <v>0</v>
      </c>
      <c r="K856">
        <f>IF($E856="","",IF($E855="",$E856,$E856*0.0099502488+K855*0.9900497512))</f>
        <v>0</v>
      </c>
      <c r="L856">
        <f>IF(OR($E856="",$E855=""),"",MAX($E856-$E855,0))</f>
        <v>0</v>
      </c>
      <c r="M856">
        <f>IF(OR($E856="",$E855=""),"",MAX($E855-$E856,0))</f>
        <v>0</v>
      </c>
      <c r="N856">
        <f>IF(COUNT($E$2:$E856)&lt;15,"",IF(AVERAGE($M$843:$M$856)=0,100,100-100/(1+AVERAGE($L$843:$L$856)/AVERAGE($M$843:$M$856))))</f>
        <v>0</v>
      </c>
      <c r="O856">
        <f>IF($E856="","",IF($E855="",$E856,$E856*0.1538461538+O855*0.8461538462))</f>
        <v>0</v>
      </c>
      <c r="P856">
        <f>IF($E856="","",IF($E855="",$E856,$E856*0.0740740741+P855*0.9259259259))</f>
        <v>0</v>
      </c>
      <c r="Q856">
        <f>IF(OR(O856="",P856=""),"",O856-P856)</f>
        <v>0</v>
      </c>
      <c r="R856">
        <f>IF(Q856="","",IF(R855="",Q856,Q856*0.2000000000+R855*0.8000000000))</f>
        <v>0</v>
      </c>
      <c r="S856">
        <f>IF(OR(Q856="",R856=""),"",Q856-R856)</f>
        <v>0</v>
      </c>
      <c r="T856">
        <f>IF(COUNT($E$2:$E856)&lt;14,"",MAX($C$843:$C$856))</f>
        <v>0</v>
      </c>
      <c r="U856">
        <f>IF(COUNT($E$2:$E856)&lt;14,"",MIN($D$843:$D$856))</f>
        <v>0</v>
      </c>
      <c r="V856">
        <f>IF(OR(T856="",U856="",T856=U856),"",100*($E856-U856)/(T856-U856))</f>
        <v>0</v>
      </c>
      <c r="W856">
        <f>IF(COUNT($V$854:$V$856)&lt;3,"",AVERAGE($V$854:$V$856))</f>
        <v>0</v>
      </c>
      <c r="X856">
        <f>IF(COUNT($N$843:$N$856)&lt;14,"",MIN($N$843:$N$856))</f>
        <v>0</v>
      </c>
      <c r="Y856">
        <f>IF(COUNT($N$843:$N$856)&lt;14,"",MAX($N$843:$N$856))</f>
        <v>0</v>
      </c>
      <c r="Z856">
        <f>IF(OR(N856="",X856="",Y856="",Y856=X856),"",100*(N856-X856)/(Y856-X856))</f>
        <v>0</v>
      </c>
      <c r="AA856">
        <f>IF(COUNT($Z$854:$Z$856)&lt;3,"",AVERAGE($Z$854:$Z$856))</f>
        <v>0</v>
      </c>
      <c r="AB856">
        <f>IF(COUNT($AA$854:$AA$856)&lt;3,"",AVERAGE($AA$854:$AA$856))</f>
        <v>0</v>
      </c>
      <c r="AC856">
        <f>IF($E856="","",MAX($C856-$D856,ABS($C856-$E855),ABS($D856-$E855)))</f>
        <v>0</v>
      </c>
      <c r="AD856">
        <f>IF(COUNT($E$2:$E856)&lt;15,"",AVERAGE($AC$843:$AC$856))</f>
        <v>0</v>
      </c>
      <c r="AE856">
        <f>IF(OR($E856="",$E855=""),"",IF(AND(($C856-$C855)&gt;($D855-$D856),($C856-$C855)&gt;0),$C856-$C855,0))</f>
        <v>0</v>
      </c>
      <c r="AF856">
        <f>IF(OR($E856="",$E855=""),"",IF(AND(($D855-$D856)&gt;($C856-$C855),($D855-$D856)&gt;0),$D855-$D856,0))</f>
        <v>0</v>
      </c>
      <c r="AG856">
        <f>IF(COUNT($E$2:$E856)&lt;15,"",IF(SUM($AC$843:$AC$856)=0,0,100*SUM($AE$843:$AE$856)/SUM($AC$843:$AC$856)))</f>
        <v>0</v>
      </c>
      <c r="AH856">
        <f>IF(COUNT($E$2:$E856)&lt;15,"",IF(SUM($AC$843:$AC$856)=0,0,100*SUM($AF$843:$AF$856)/SUM($AC$843:$AC$856)))</f>
        <v>0</v>
      </c>
      <c r="AI856">
        <f>IF(OR(AG856="",AH856=""),"",IF((AG856+AH856)=0,0,100*ABS(AG856-AH856)/(AG856+AH856)))</f>
        <v>0</v>
      </c>
      <c r="AJ856">
        <f>IF(COUNT($AI$843:$AI$856)&lt;14,"",AVERAGE($AI$843:$AI$856))</f>
        <v>0</v>
      </c>
      <c r="AK856">
        <f>IF(COUNT($E$2:$E856)&lt;20,"",AVERAGE($E$837:$E$856))</f>
        <v>0</v>
      </c>
      <c r="AL856">
        <f>IF(COUNT($E$2:$E856)&lt;20,"",STDEVP($E$837:$E$856))</f>
        <v>0</v>
      </c>
      <c r="AM856">
        <f>IF(AK856="","",AK856+2*AL856)</f>
        <v>0</v>
      </c>
      <c r="AN856">
        <f>IF(AK856="","",AK856-2*AL856)</f>
        <v>0</v>
      </c>
      <c r="AO856">
        <f>IF(OR(AM856="",AN856="",AM856=AN856),"",($E856-AN856)/(AM856-AN856))</f>
        <v>0</v>
      </c>
      <c r="AP856">
        <f>IF(OR(AM856="",AK856="",AK856=0),"",(AM856-AN856)/AK856)</f>
        <v>0</v>
      </c>
      <c r="AQ856">
        <f>IF(COUNT($E$2:$E856)&lt;20,"",MAX($C$837:$C$856))</f>
        <v>0</v>
      </c>
      <c r="AR856">
        <f>IF(COUNT($E$2:$E856)&lt;20,"",MIN($D$837:$D$856))</f>
        <v>0</v>
      </c>
      <c r="AS856">
        <f>IF(OR(AQ856="",AR856=""),"",(AQ856+AR856)/2)</f>
        <v>0</v>
      </c>
      <c r="AT856">
        <f>IF(COUNT($G$837:$G$856)&lt;20,"",STDEV($G$837:$G$856)*SQRT(252))</f>
        <v>0</v>
      </c>
      <c r="AU856">
        <f>IF(COUNT($E$2:$E856)&lt;9,"",(MAX($C$848:$C$856)+MIN($D$848:$D$856))/2)</f>
        <v>0</v>
      </c>
      <c r="AV856">
        <f>IF(COUNT($E$2:$E856)&lt;26,"",(MAX($C$831:$C$856)+MIN($D$831:$D$856))/2)</f>
        <v>0</v>
      </c>
      <c r="AW856">
        <f>IF(OR(AU856="",AV856=""),"",(AU856+AV856)/2)</f>
        <v>0</v>
      </c>
      <c r="AX856">
        <f>IF(COUNT($E$2:$E856)&lt;52,"",(MAX($C$805:$C$856)+MIN($D$805:$D$856))/2)</f>
        <v>0</v>
      </c>
      <c r="AY856">
        <f>IF(COUNT($E$2:$E856)&lt;20,"",MAX($C$757:$C$856))</f>
        <v>0</v>
      </c>
      <c r="AZ856">
        <f>IF(COUNT($E$2:$E856)&lt;20,"",MIN($D$757:$D$856))</f>
        <v>0</v>
      </c>
      <c r="BA856">
        <f>IF(COUNT($E$2:$E856)&lt;20,"",SLOPE($E$757:$E$856,$F$757:$F$856))</f>
        <v>0</v>
      </c>
      <c r="BB856">
        <f>IF(COUNT($E$2:$E856)&lt;20,"",INTERCEPT($E$757:$E$856,$F$757:$F$856))</f>
        <v>0</v>
      </c>
      <c r="BC856">
        <f>IF(OR(BA856="",BB856=""),"",BB856+BA856*F856)</f>
        <v>0</v>
      </c>
      <c r="BD856">
        <f>IF(COUNT($E$2:$E856)&lt;20,"",STEYX($E$757:$E$856,$F$757:$F$856))</f>
        <v>0</v>
      </c>
      <c r="BE856">
        <f>IF($E856="","",IF(AND(COUNT($E$857:$E$860)&gt;=4,$C856=MAX($C$852:$C$860)),$C856,""))</f>
        <v>0</v>
      </c>
      <c r="BF856">
        <f>IF($E856="","",IF(AND(COUNT($E$857:$E$860)&gt;=4,$D856=MIN($D$852:$D$860)),$D856,""))</f>
        <v>0</v>
      </c>
      <c r="BG856">
        <f>IF($A856="","",$A856-WEEKDAY($A856,2)+1)</f>
        <v>0</v>
      </c>
      <c r="BH856">
        <f>IF($A856="","",IF($A855="",1,IF(BG856&lt;&gt;BG855,1,0)))</f>
        <v>0</v>
      </c>
      <c r="BI856">
        <f>IF($A856="","",IF($A857="",1,IF(BG857&lt;&gt;BG856,1,0)))</f>
        <v>0</v>
      </c>
      <c r="BJ856">
        <f>IF($A856="","",IF(BH856=1,$B856,BJ855))</f>
        <v>0</v>
      </c>
      <c r="BK856">
        <f>IF($A856="","",IF(BH856=1,$C856,MAX($C856,BK855)))</f>
        <v>0</v>
      </c>
      <c r="BL856">
        <f>IF($A856="","",IF(BH856=1,$D856,MIN($D856,BL855)))</f>
        <v>0</v>
      </c>
      <c r="BM856">
        <f>IF($A856="","",IF(BI856=1,F856,""))</f>
        <v>0</v>
      </c>
      <c r="BN856">
        <f>IF($A856="","",DATE(YEAR($A856),MONTH($A856),1))</f>
        <v>0</v>
      </c>
      <c r="BO856">
        <f>IF($A856="","",IF($A855="",1,IF(BN856&lt;&gt;BN855,1,0)))</f>
        <v>0</v>
      </c>
      <c r="BP856">
        <f>IF($A856="","",IF($A857="",1,IF(BN857&lt;&gt;BN856,1,0)))</f>
        <v>0</v>
      </c>
      <c r="BQ856">
        <f>IF($A856="","",IF(BO856=1,$B856,BQ855))</f>
        <v>0</v>
      </c>
      <c r="BR856">
        <f>IF($A856="","",IF(BO856=1,$C856,MAX($C856,BR855)))</f>
        <v>0</v>
      </c>
      <c r="BS856">
        <f>IF($A856="","",IF(BO856=1,$D856,MIN($D856,BS855)))</f>
        <v>0</v>
      </c>
      <c r="BT856">
        <f>IF($A856="","",IF(BP856=1,F856,""))</f>
        <v>0</v>
      </c>
    </row>
    <row r="857" spans="1:72">
      <c r="A857" s="27">
        <f>IF(Data!$A857="","",Data!$A857)</f>
        <v>0</v>
      </c>
      <c r="B857">
        <f>IF(Data!$B857="","",Data!$B857)</f>
        <v>0</v>
      </c>
      <c r="C857">
        <f>IF(Data!$C857="","",Data!$C857)</f>
        <v>0</v>
      </c>
      <c r="D857">
        <f>IF(Data!$D857="","",Data!$D857)</f>
        <v>0</v>
      </c>
      <c r="E857">
        <f>IF(Data!$E857="","",Data!$E857)</f>
        <v>0</v>
      </c>
      <c r="F857">
        <f>IF($E857="","",N(F856)+1)</f>
        <v>0</v>
      </c>
      <c r="G857">
        <f>IF(OR($E857="",$E856=""),"",LN($E857/$E856))</f>
        <v>0</v>
      </c>
      <c r="H857">
        <f>IF($E857="","",IF($E856="",$E857,$E857*0.0952380952+H856*0.9047619048))</f>
        <v>0</v>
      </c>
      <c r="I857">
        <f>IF($E857="","",IF($E856="",$E857,$E857*0.0392156863+I856*0.9607843137))</f>
        <v>0</v>
      </c>
      <c r="J857">
        <f>IF($E857="","",IF($E856="",$E857,$E857*0.0198019802+J856*0.9801980198))</f>
        <v>0</v>
      </c>
      <c r="K857">
        <f>IF($E857="","",IF($E856="",$E857,$E857*0.0099502488+K856*0.9900497512))</f>
        <v>0</v>
      </c>
      <c r="L857">
        <f>IF(OR($E857="",$E856=""),"",MAX($E857-$E856,0))</f>
        <v>0</v>
      </c>
      <c r="M857">
        <f>IF(OR($E857="",$E856=""),"",MAX($E856-$E857,0))</f>
        <v>0</v>
      </c>
      <c r="N857">
        <f>IF(COUNT($E$2:$E857)&lt;15,"",IF(AVERAGE($M$844:$M$857)=0,100,100-100/(1+AVERAGE($L$844:$L$857)/AVERAGE($M$844:$M$857))))</f>
        <v>0</v>
      </c>
      <c r="O857">
        <f>IF($E857="","",IF($E856="",$E857,$E857*0.1538461538+O856*0.8461538462))</f>
        <v>0</v>
      </c>
      <c r="P857">
        <f>IF($E857="","",IF($E856="",$E857,$E857*0.0740740741+P856*0.9259259259))</f>
        <v>0</v>
      </c>
      <c r="Q857">
        <f>IF(OR(O857="",P857=""),"",O857-P857)</f>
        <v>0</v>
      </c>
      <c r="R857">
        <f>IF(Q857="","",IF(R856="",Q857,Q857*0.2000000000+R856*0.8000000000))</f>
        <v>0</v>
      </c>
      <c r="S857">
        <f>IF(OR(Q857="",R857=""),"",Q857-R857)</f>
        <v>0</v>
      </c>
      <c r="T857">
        <f>IF(COUNT($E$2:$E857)&lt;14,"",MAX($C$844:$C$857))</f>
        <v>0</v>
      </c>
      <c r="U857">
        <f>IF(COUNT($E$2:$E857)&lt;14,"",MIN($D$844:$D$857))</f>
        <v>0</v>
      </c>
      <c r="V857">
        <f>IF(OR(T857="",U857="",T857=U857),"",100*($E857-U857)/(T857-U857))</f>
        <v>0</v>
      </c>
      <c r="W857">
        <f>IF(COUNT($V$855:$V$857)&lt;3,"",AVERAGE($V$855:$V$857))</f>
        <v>0</v>
      </c>
      <c r="X857">
        <f>IF(COUNT($N$844:$N$857)&lt;14,"",MIN($N$844:$N$857))</f>
        <v>0</v>
      </c>
      <c r="Y857">
        <f>IF(COUNT($N$844:$N$857)&lt;14,"",MAX($N$844:$N$857))</f>
        <v>0</v>
      </c>
      <c r="Z857">
        <f>IF(OR(N857="",X857="",Y857="",Y857=X857),"",100*(N857-X857)/(Y857-X857))</f>
        <v>0</v>
      </c>
      <c r="AA857">
        <f>IF(COUNT($Z$855:$Z$857)&lt;3,"",AVERAGE($Z$855:$Z$857))</f>
        <v>0</v>
      </c>
      <c r="AB857">
        <f>IF(COUNT($AA$855:$AA$857)&lt;3,"",AVERAGE($AA$855:$AA$857))</f>
        <v>0</v>
      </c>
      <c r="AC857">
        <f>IF($E857="","",MAX($C857-$D857,ABS($C857-$E856),ABS($D857-$E856)))</f>
        <v>0</v>
      </c>
      <c r="AD857">
        <f>IF(COUNT($E$2:$E857)&lt;15,"",AVERAGE($AC$844:$AC$857))</f>
        <v>0</v>
      </c>
      <c r="AE857">
        <f>IF(OR($E857="",$E856=""),"",IF(AND(($C857-$C856)&gt;($D856-$D857),($C857-$C856)&gt;0),$C857-$C856,0))</f>
        <v>0</v>
      </c>
      <c r="AF857">
        <f>IF(OR($E857="",$E856=""),"",IF(AND(($D856-$D857)&gt;($C857-$C856),($D856-$D857)&gt;0),$D856-$D857,0))</f>
        <v>0</v>
      </c>
      <c r="AG857">
        <f>IF(COUNT($E$2:$E857)&lt;15,"",IF(SUM($AC$844:$AC$857)=0,0,100*SUM($AE$844:$AE$857)/SUM($AC$844:$AC$857)))</f>
        <v>0</v>
      </c>
      <c r="AH857">
        <f>IF(COUNT($E$2:$E857)&lt;15,"",IF(SUM($AC$844:$AC$857)=0,0,100*SUM($AF$844:$AF$857)/SUM($AC$844:$AC$857)))</f>
        <v>0</v>
      </c>
      <c r="AI857">
        <f>IF(OR(AG857="",AH857=""),"",IF((AG857+AH857)=0,0,100*ABS(AG857-AH857)/(AG857+AH857)))</f>
        <v>0</v>
      </c>
      <c r="AJ857">
        <f>IF(COUNT($AI$844:$AI$857)&lt;14,"",AVERAGE($AI$844:$AI$857))</f>
        <v>0</v>
      </c>
      <c r="AK857">
        <f>IF(COUNT($E$2:$E857)&lt;20,"",AVERAGE($E$838:$E$857))</f>
        <v>0</v>
      </c>
      <c r="AL857">
        <f>IF(COUNT($E$2:$E857)&lt;20,"",STDEVP($E$838:$E$857))</f>
        <v>0</v>
      </c>
      <c r="AM857">
        <f>IF(AK857="","",AK857+2*AL857)</f>
        <v>0</v>
      </c>
      <c r="AN857">
        <f>IF(AK857="","",AK857-2*AL857)</f>
        <v>0</v>
      </c>
      <c r="AO857">
        <f>IF(OR(AM857="",AN857="",AM857=AN857),"",($E857-AN857)/(AM857-AN857))</f>
        <v>0</v>
      </c>
      <c r="AP857">
        <f>IF(OR(AM857="",AK857="",AK857=0),"",(AM857-AN857)/AK857)</f>
        <v>0</v>
      </c>
      <c r="AQ857">
        <f>IF(COUNT($E$2:$E857)&lt;20,"",MAX($C$838:$C$857))</f>
        <v>0</v>
      </c>
      <c r="AR857">
        <f>IF(COUNT($E$2:$E857)&lt;20,"",MIN($D$838:$D$857))</f>
        <v>0</v>
      </c>
      <c r="AS857">
        <f>IF(OR(AQ857="",AR857=""),"",(AQ857+AR857)/2)</f>
        <v>0</v>
      </c>
      <c r="AT857">
        <f>IF(COUNT($G$838:$G$857)&lt;20,"",STDEV($G$838:$G$857)*SQRT(252))</f>
        <v>0</v>
      </c>
      <c r="AU857">
        <f>IF(COUNT($E$2:$E857)&lt;9,"",(MAX($C$849:$C$857)+MIN($D$849:$D$857))/2)</f>
        <v>0</v>
      </c>
      <c r="AV857">
        <f>IF(COUNT($E$2:$E857)&lt;26,"",(MAX($C$832:$C$857)+MIN($D$832:$D$857))/2)</f>
        <v>0</v>
      </c>
      <c r="AW857">
        <f>IF(OR(AU857="",AV857=""),"",(AU857+AV857)/2)</f>
        <v>0</v>
      </c>
      <c r="AX857">
        <f>IF(COUNT($E$2:$E857)&lt;52,"",(MAX($C$806:$C$857)+MIN($D$806:$D$857))/2)</f>
        <v>0</v>
      </c>
      <c r="AY857">
        <f>IF(COUNT($E$2:$E857)&lt;20,"",MAX($C$758:$C$857))</f>
        <v>0</v>
      </c>
      <c r="AZ857">
        <f>IF(COUNT($E$2:$E857)&lt;20,"",MIN($D$758:$D$857))</f>
        <v>0</v>
      </c>
      <c r="BA857">
        <f>IF(COUNT($E$2:$E857)&lt;20,"",SLOPE($E$758:$E$857,$F$758:$F$857))</f>
        <v>0</v>
      </c>
      <c r="BB857">
        <f>IF(COUNT($E$2:$E857)&lt;20,"",INTERCEPT($E$758:$E$857,$F$758:$F$857))</f>
        <v>0</v>
      </c>
      <c r="BC857">
        <f>IF(OR(BA857="",BB857=""),"",BB857+BA857*F857)</f>
        <v>0</v>
      </c>
      <c r="BD857">
        <f>IF(COUNT($E$2:$E857)&lt;20,"",STEYX($E$758:$E$857,$F$758:$F$857))</f>
        <v>0</v>
      </c>
      <c r="BE857">
        <f>IF($E857="","",IF(AND(COUNT($E$858:$E$861)&gt;=4,$C857=MAX($C$853:$C$861)),$C857,""))</f>
        <v>0</v>
      </c>
      <c r="BF857">
        <f>IF($E857="","",IF(AND(COUNT($E$858:$E$861)&gt;=4,$D857=MIN($D$853:$D$861)),$D857,""))</f>
        <v>0</v>
      </c>
      <c r="BG857">
        <f>IF($A857="","",$A857-WEEKDAY($A857,2)+1)</f>
        <v>0</v>
      </c>
      <c r="BH857">
        <f>IF($A857="","",IF($A856="",1,IF(BG857&lt;&gt;BG856,1,0)))</f>
        <v>0</v>
      </c>
      <c r="BI857">
        <f>IF($A857="","",IF($A858="",1,IF(BG858&lt;&gt;BG857,1,0)))</f>
        <v>0</v>
      </c>
      <c r="BJ857">
        <f>IF($A857="","",IF(BH857=1,$B857,BJ856))</f>
        <v>0</v>
      </c>
      <c r="BK857">
        <f>IF($A857="","",IF(BH857=1,$C857,MAX($C857,BK856)))</f>
        <v>0</v>
      </c>
      <c r="BL857">
        <f>IF($A857="","",IF(BH857=1,$D857,MIN($D857,BL856)))</f>
        <v>0</v>
      </c>
      <c r="BM857">
        <f>IF($A857="","",IF(BI857=1,F857,""))</f>
        <v>0</v>
      </c>
      <c r="BN857">
        <f>IF($A857="","",DATE(YEAR($A857),MONTH($A857),1))</f>
        <v>0</v>
      </c>
      <c r="BO857">
        <f>IF($A857="","",IF($A856="",1,IF(BN857&lt;&gt;BN856,1,0)))</f>
        <v>0</v>
      </c>
      <c r="BP857">
        <f>IF($A857="","",IF($A858="",1,IF(BN858&lt;&gt;BN857,1,0)))</f>
        <v>0</v>
      </c>
      <c r="BQ857">
        <f>IF($A857="","",IF(BO857=1,$B857,BQ856))</f>
        <v>0</v>
      </c>
      <c r="BR857">
        <f>IF($A857="","",IF(BO857=1,$C857,MAX($C857,BR856)))</f>
        <v>0</v>
      </c>
      <c r="BS857">
        <f>IF($A857="","",IF(BO857=1,$D857,MIN($D857,BS856)))</f>
        <v>0</v>
      </c>
      <c r="BT857">
        <f>IF($A857="","",IF(BP857=1,F857,""))</f>
        <v>0</v>
      </c>
    </row>
    <row r="858" spans="1:72">
      <c r="A858" s="27">
        <f>IF(Data!$A858="","",Data!$A858)</f>
        <v>0</v>
      </c>
      <c r="B858">
        <f>IF(Data!$B858="","",Data!$B858)</f>
        <v>0</v>
      </c>
      <c r="C858">
        <f>IF(Data!$C858="","",Data!$C858)</f>
        <v>0</v>
      </c>
      <c r="D858">
        <f>IF(Data!$D858="","",Data!$D858)</f>
        <v>0</v>
      </c>
      <c r="E858">
        <f>IF(Data!$E858="","",Data!$E858)</f>
        <v>0</v>
      </c>
      <c r="F858">
        <f>IF($E858="","",N(F857)+1)</f>
        <v>0</v>
      </c>
      <c r="G858">
        <f>IF(OR($E858="",$E857=""),"",LN($E858/$E857))</f>
        <v>0</v>
      </c>
      <c r="H858">
        <f>IF($E858="","",IF($E857="",$E858,$E858*0.0952380952+H857*0.9047619048))</f>
        <v>0</v>
      </c>
      <c r="I858">
        <f>IF($E858="","",IF($E857="",$E858,$E858*0.0392156863+I857*0.9607843137))</f>
        <v>0</v>
      </c>
      <c r="J858">
        <f>IF($E858="","",IF($E857="",$E858,$E858*0.0198019802+J857*0.9801980198))</f>
        <v>0</v>
      </c>
      <c r="K858">
        <f>IF($E858="","",IF($E857="",$E858,$E858*0.0099502488+K857*0.9900497512))</f>
        <v>0</v>
      </c>
      <c r="L858">
        <f>IF(OR($E858="",$E857=""),"",MAX($E858-$E857,0))</f>
        <v>0</v>
      </c>
      <c r="M858">
        <f>IF(OR($E858="",$E857=""),"",MAX($E857-$E858,0))</f>
        <v>0</v>
      </c>
      <c r="N858">
        <f>IF(COUNT($E$2:$E858)&lt;15,"",IF(AVERAGE($M$845:$M$858)=0,100,100-100/(1+AVERAGE($L$845:$L$858)/AVERAGE($M$845:$M$858))))</f>
        <v>0</v>
      </c>
      <c r="O858">
        <f>IF($E858="","",IF($E857="",$E858,$E858*0.1538461538+O857*0.8461538462))</f>
        <v>0</v>
      </c>
      <c r="P858">
        <f>IF($E858="","",IF($E857="",$E858,$E858*0.0740740741+P857*0.9259259259))</f>
        <v>0</v>
      </c>
      <c r="Q858">
        <f>IF(OR(O858="",P858=""),"",O858-P858)</f>
        <v>0</v>
      </c>
      <c r="R858">
        <f>IF(Q858="","",IF(R857="",Q858,Q858*0.2000000000+R857*0.8000000000))</f>
        <v>0</v>
      </c>
      <c r="S858">
        <f>IF(OR(Q858="",R858=""),"",Q858-R858)</f>
        <v>0</v>
      </c>
      <c r="T858">
        <f>IF(COUNT($E$2:$E858)&lt;14,"",MAX($C$845:$C$858))</f>
        <v>0</v>
      </c>
      <c r="U858">
        <f>IF(COUNT($E$2:$E858)&lt;14,"",MIN($D$845:$D$858))</f>
        <v>0</v>
      </c>
      <c r="V858">
        <f>IF(OR(T858="",U858="",T858=U858),"",100*($E858-U858)/(T858-U858))</f>
        <v>0</v>
      </c>
      <c r="W858">
        <f>IF(COUNT($V$856:$V$858)&lt;3,"",AVERAGE($V$856:$V$858))</f>
        <v>0</v>
      </c>
      <c r="X858">
        <f>IF(COUNT($N$845:$N$858)&lt;14,"",MIN($N$845:$N$858))</f>
        <v>0</v>
      </c>
      <c r="Y858">
        <f>IF(COUNT($N$845:$N$858)&lt;14,"",MAX($N$845:$N$858))</f>
        <v>0</v>
      </c>
      <c r="Z858">
        <f>IF(OR(N858="",X858="",Y858="",Y858=X858),"",100*(N858-X858)/(Y858-X858))</f>
        <v>0</v>
      </c>
      <c r="AA858">
        <f>IF(COUNT($Z$856:$Z$858)&lt;3,"",AVERAGE($Z$856:$Z$858))</f>
        <v>0</v>
      </c>
      <c r="AB858">
        <f>IF(COUNT($AA$856:$AA$858)&lt;3,"",AVERAGE($AA$856:$AA$858))</f>
        <v>0</v>
      </c>
      <c r="AC858">
        <f>IF($E858="","",MAX($C858-$D858,ABS($C858-$E857),ABS($D858-$E857)))</f>
        <v>0</v>
      </c>
      <c r="AD858">
        <f>IF(COUNT($E$2:$E858)&lt;15,"",AVERAGE($AC$845:$AC$858))</f>
        <v>0</v>
      </c>
      <c r="AE858">
        <f>IF(OR($E858="",$E857=""),"",IF(AND(($C858-$C857)&gt;($D857-$D858),($C858-$C857)&gt;0),$C858-$C857,0))</f>
        <v>0</v>
      </c>
      <c r="AF858">
        <f>IF(OR($E858="",$E857=""),"",IF(AND(($D857-$D858)&gt;($C858-$C857),($D857-$D858)&gt;0),$D857-$D858,0))</f>
        <v>0</v>
      </c>
      <c r="AG858">
        <f>IF(COUNT($E$2:$E858)&lt;15,"",IF(SUM($AC$845:$AC$858)=0,0,100*SUM($AE$845:$AE$858)/SUM($AC$845:$AC$858)))</f>
        <v>0</v>
      </c>
      <c r="AH858">
        <f>IF(COUNT($E$2:$E858)&lt;15,"",IF(SUM($AC$845:$AC$858)=0,0,100*SUM($AF$845:$AF$858)/SUM($AC$845:$AC$858)))</f>
        <v>0</v>
      </c>
      <c r="AI858">
        <f>IF(OR(AG858="",AH858=""),"",IF((AG858+AH858)=0,0,100*ABS(AG858-AH858)/(AG858+AH858)))</f>
        <v>0</v>
      </c>
      <c r="AJ858">
        <f>IF(COUNT($AI$845:$AI$858)&lt;14,"",AVERAGE($AI$845:$AI$858))</f>
        <v>0</v>
      </c>
      <c r="AK858">
        <f>IF(COUNT($E$2:$E858)&lt;20,"",AVERAGE($E$839:$E$858))</f>
        <v>0</v>
      </c>
      <c r="AL858">
        <f>IF(COUNT($E$2:$E858)&lt;20,"",STDEVP($E$839:$E$858))</f>
        <v>0</v>
      </c>
      <c r="AM858">
        <f>IF(AK858="","",AK858+2*AL858)</f>
        <v>0</v>
      </c>
      <c r="AN858">
        <f>IF(AK858="","",AK858-2*AL858)</f>
        <v>0</v>
      </c>
      <c r="AO858">
        <f>IF(OR(AM858="",AN858="",AM858=AN858),"",($E858-AN858)/(AM858-AN858))</f>
        <v>0</v>
      </c>
      <c r="AP858">
        <f>IF(OR(AM858="",AK858="",AK858=0),"",(AM858-AN858)/AK858)</f>
        <v>0</v>
      </c>
      <c r="AQ858">
        <f>IF(COUNT($E$2:$E858)&lt;20,"",MAX($C$839:$C$858))</f>
        <v>0</v>
      </c>
      <c r="AR858">
        <f>IF(COUNT($E$2:$E858)&lt;20,"",MIN($D$839:$D$858))</f>
        <v>0</v>
      </c>
      <c r="AS858">
        <f>IF(OR(AQ858="",AR858=""),"",(AQ858+AR858)/2)</f>
        <v>0</v>
      </c>
      <c r="AT858">
        <f>IF(COUNT($G$839:$G$858)&lt;20,"",STDEV($G$839:$G$858)*SQRT(252))</f>
        <v>0</v>
      </c>
      <c r="AU858">
        <f>IF(COUNT($E$2:$E858)&lt;9,"",(MAX($C$850:$C$858)+MIN($D$850:$D$858))/2)</f>
        <v>0</v>
      </c>
      <c r="AV858">
        <f>IF(COUNT($E$2:$E858)&lt;26,"",(MAX($C$833:$C$858)+MIN($D$833:$D$858))/2)</f>
        <v>0</v>
      </c>
      <c r="AW858">
        <f>IF(OR(AU858="",AV858=""),"",(AU858+AV858)/2)</f>
        <v>0</v>
      </c>
      <c r="AX858">
        <f>IF(COUNT($E$2:$E858)&lt;52,"",(MAX($C$807:$C$858)+MIN($D$807:$D$858))/2)</f>
        <v>0</v>
      </c>
      <c r="AY858">
        <f>IF(COUNT($E$2:$E858)&lt;20,"",MAX($C$759:$C$858))</f>
        <v>0</v>
      </c>
      <c r="AZ858">
        <f>IF(COUNT($E$2:$E858)&lt;20,"",MIN($D$759:$D$858))</f>
        <v>0</v>
      </c>
      <c r="BA858">
        <f>IF(COUNT($E$2:$E858)&lt;20,"",SLOPE($E$759:$E$858,$F$759:$F$858))</f>
        <v>0</v>
      </c>
      <c r="BB858">
        <f>IF(COUNT($E$2:$E858)&lt;20,"",INTERCEPT($E$759:$E$858,$F$759:$F$858))</f>
        <v>0</v>
      </c>
      <c r="BC858">
        <f>IF(OR(BA858="",BB858=""),"",BB858+BA858*F858)</f>
        <v>0</v>
      </c>
      <c r="BD858">
        <f>IF(COUNT($E$2:$E858)&lt;20,"",STEYX($E$759:$E$858,$F$759:$F$858))</f>
        <v>0</v>
      </c>
      <c r="BE858">
        <f>IF($E858="","",IF(AND(COUNT($E$859:$E$862)&gt;=4,$C858=MAX($C$854:$C$862)),$C858,""))</f>
        <v>0</v>
      </c>
      <c r="BF858">
        <f>IF($E858="","",IF(AND(COUNT($E$859:$E$862)&gt;=4,$D858=MIN($D$854:$D$862)),$D858,""))</f>
        <v>0</v>
      </c>
      <c r="BG858">
        <f>IF($A858="","",$A858-WEEKDAY($A858,2)+1)</f>
        <v>0</v>
      </c>
      <c r="BH858">
        <f>IF($A858="","",IF($A857="",1,IF(BG858&lt;&gt;BG857,1,0)))</f>
        <v>0</v>
      </c>
      <c r="BI858">
        <f>IF($A858="","",IF($A859="",1,IF(BG859&lt;&gt;BG858,1,0)))</f>
        <v>0</v>
      </c>
      <c r="BJ858">
        <f>IF($A858="","",IF(BH858=1,$B858,BJ857))</f>
        <v>0</v>
      </c>
      <c r="BK858">
        <f>IF($A858="","",IF(BH858=1,$C858,MAX($C858,BK857)))</f>
        <v>0</v>
      </c>
      <c r="BL858">
        <f>IF($A858="","",IF(BH858=1,$D858,MIN($D858,BL857)))</f>
        <v>0</v>
      </c>
      <c r="BM858">
        <f>IF($A858="","",IF(BI858=1,F858,""))</f>
        <v>0</v>
      </c>
      <c r="BN858">
        <f>IF($A858="","",DATE(YEAR($A858),MONTH($A858),1))</f>
        <v>0</v>
      </c>
      <c r="BO858">
        <f>IF($A858="","",IF($A857="",1,IF(BN858&lt;&gt;BN857,1,0)))</f>
        <v>0</v>
      </c>
      <c r="BP858">
        <f>IF($A858="","",IF($A859="",1,IF(BN859&lt;&gt;BN858,1,0)))</f>
        <v>0</v>
      </c>
      <c r="BQ858">
        <f>IF($A858="","",IF(BO858=1,$B858,BQ857))</f>
        <v>0</v>
      </c>
      <c r="BR858">
        <f>IF($A858="","",IF(BO858=1,$C858,MAX($C858,BR857)))</f>
        <v>0</v>
      </c>
      <c r="BS858">
        <f>IF($A858="","",IF(BO858=1,$D858,MIN($D858,BS857)))</f>
        <v>0</v>
      </c>
      <c r="BT858">
        <f>IF($A858="","",IF(BP858=1,F858,""))</f>
        <v>0</v>
      </c>
    </row>
    <row r="859" spans="1:72">
      <c r="A859" s="27">
        <f>IF(Data!$A859="","",Data!$A859)</f>
        <v>0</v>
      </c>
      <c r="B859">
        <f>IF(Data!$B859="","",Data!$B859)</f>
        <v>0</v>
      </c>
      <c r="C859">
        <f>IF(Data!$C859="","",Data!$C859)</f>
        <v>0</v>
      </c>
      <c r="D859">
        <f>IF(Data!$D859="","",Data!$D859)</f>
        <v>0</v>
      </c>
      <c r="E859">
        <f>IF(Data!$E859="","",Data!$E859)</f>
        <v>0</v>
      </c>
      <c r="F859">
        <f>IF($E859="","",N(F858)+1)</f>
        <v>0</v>
      </c>
      <c r="G859">
        <f>IF(OR($E859="",$E858=""),"",LN($E859/$E858))</f>
        <v>0</v>
      </c>
      <c r="H859">
        <f>IF($E859="","",IF($E858="",$E859,$E859*0.0952380952+H858*0.9047619048))</f>
        <v>0</v>
      </c>
      <c r="I859">
        <f>IF($E859="","",IF($E858="",$E859,$E859*0.0392156863+I858*0.9607843137))</f>
        <v>0</v>
      </c>
      <c r="J859">
        <f>IF($E859="","",IF($E858="",$E859,$E859*0.0198019802+J858*0.9801980198))</f>
        <v>0</v>
      </c>
      <c r="K859">
        <f>IF($E859="","",IF($E858="",$E859,$E859*0.0099502488+K858*0.9900497512))</f>
        <v>0</v>
      </c>
      <c r="L859">
        <f>IF(OR($E859="",$E858=""),"",MAX($E859-$E858,0))</f>
        <v>0</v>
      </c>
      <c r="M859">
        <f>IF(OR($E859="",$E858=""),"",MAX($E858-$E859,0))</f>
        <v>0</v>
      </c>
      <c r="N859">
        <f>IF(COUNT($E$2:$E859)&lt;15,"",IF(AVERAGE($M$846:$M$859)=0,100,100-100/(1+AVERAGE($L$846:$L$859)/AVERAGE($M$846:$M$859))))</f>
        <v>0</v>
      </c>
      <c r="O859">
        <f>IF($E859="","",IF($E858="",$E859,$E859*0.1538461538+O858*0.8461538462))</f>
        <v>0</v>
      </c>
      <c r="P859">
        <f>IF($E859="","",IF($E858="",$E859,$E859*0.0740740741+P858*0.9259259259))</f>
        <v>0</v>
      </c>
      <c r="Q859">
        <f>IF(OR(O859="",P859=""),"",O859-P859)</f>
        <v>0</v>
      </c>
      <c r="R859">
        <f>IF(Q859="","",IF(R858="",Q859,Q859*0.2000000000+R858*0.8000000000))</f>
        <v>0</v>
      </c>
      <c r="S859">
        <f>IF(OR(Q859="",R859=""),"",Q859-R859)</f>
        <v>0</v>
      </c>
      <c r="T859">
        <f>IF(COUNT($E$2:$E859)&lt;14,"",MAX($C$846:$C$859))</f>
        <v>0</v>
      </c>
      <c r="U859">
        <f>IF(COUNT($E$2:$E859)&lt;14,"",MIN($D$846:$D$859))</f>
        <v>0</v>
      </c>
      <c r="V859">
        <f>IF(OR(T859="",U859="",T859=U859),"",100*($E859-U859)/(T859-U859))</f>
        <v>0</v>
      </c>
      <c r="W859">
        <f>IF(COUNT($V$857:$V$859)&lt;3,"",AVERAGE($V$857:$V$859))</f>
        <v>0</v>
      </c>
      <c r="X859">
        <f>IF(COUNT($N$846:$N$859)&lt;14,"",MIN($N$846:$N$859))</f>
        <v>0</v>
      </c>
      <c r="Y859">
        <f>IF(COUNT($N$846:$N$859)&lt;14,"",MAX($N$846:$N$859))</f>
        <v>0</v>
      </c>
      <c r="Z859">
        <f>IF(OR(N859="",X859="",Y859="",Y859=X859),"",100*(N859-X859)/(Y859-X859))</f>
        <v>0</v>
      </c>
      <c r="AA859">
        <f>IF(COUNT($Z$857:$Z$859)&lt;3,"",AVERAGE($Z$857:$Z$859))</f>
        <v>0</v>
      </c>
      <c r="AB859">
        <f>IF(COUNT($AA$857:$AA$859)&lt;3,"",AVERAGE($AA$857:$AA$859))</f>
        <v>0</v>
      </c>
      <c r="AC859">
        <f>IF($E859="","",MAX($C859-$D859,ABS($C859-$E858),ABS($D859-$E858)))</f>
        <v>0</v>
      </c>
      <c r="AD859">
        <f>IF(COUNT($E$2:$E859)&lt;15,"",AVERAGE($AC$846:$AC$859))</f>
        <v>0</v>
      </c>
      <c r="AE859">
        <f>IF(OR($E859="",$E858=""),"",IF(AND(($C859-$C858)&gt;($D858-$D859),($C859-$C858)&gt;0),$C859-$C858,0))</f>
        <v>0</v>
      </c>
      <c r="AF859">
        <f>IF(OR($E859="",$E858=""),"",IF(AND(($D858-$D859)&gt;($C859-$C858),($D858-$D859)&gt;0),$D858-$D859,0))</f>
        <v>0</v>
      </c>
      <c r="AG859">
        <f>IF(COUNT($E$2:$E859)&lt;15,"",IF(SUM($AC$846:$AC$859)=0,0,100*SUM($AE$846:$AE$859)/SUM($AC$846:$AC$859)))</f>
        <v>0</v>
      </c>
      <c r="AH859">
        <f>IF(COUNT($E$2:$E859)&lt;15,"",IF(SUM($AC$846:$AC$859)=0,0,100*SUM($AF$846:$AF$859)/SUM($AC$846:$AC$859)))</f>
        <v>0</v>
      </c>
      <c r="AI859">
        <f>IF(OR(AG859="",AH859=""),"",IF((AG859+AH859)=0,0,100*ABS(AG859-AH859)/(AG859+AH859)))</f>
        <v>0</v>
      </c>
      <c r="AJ859">
        <f>IF(COUNT($AI$846:$AI$859)&lt;14,"",AVERAGE($AI$846:$AI$859))</f>
        <v>0</v>
      </c>
      <c r="AK859">
        <f>IF(COUNT($E$2:$E859)&lt;20,"",AVERAGE($E$840:$E$859))</f>
        <v>0</v>
      </c>
      <c r="AL859">
        <f>IF(COUNT($E$2:$E859)&lt;20,"",STDEVP($E$840:$E$859))</f>
        <v>0</v>
      </c>
      <c r="AM859">
        <f>IF(AK859="","",AK859+2*AL859)</f>
        <v>0</v>
      </c>
      <c r="AN859">
        <f>IF(AK859="","",AK859-2*AL859)</f>
        <v>0</v>
      </c>
      <c r="AO859">
        <f>IF(OR(AM859="",AN859="",AM859=AN859),"",($E859-AN859)/(AM859-AN859))</f>
        <v>0</v>
      </c>
      <c r="AP859">
        <f>IF(OR(AM859="",AK859="",AK859=0),"",(AM859-AN859)/AK859)</f>
        <v>0</v>
      </c>
      <c r="AQ859">
        <f>IF(COUNT($E$2:$E859)&lt;20,"",MAX($C$840:$C$859))</f>
        <v>0</v>
      </c>
      <c r="AR859">
        <f>IF(COUNT($E$2:$E859)&lt;20,"",MIN($D$840:$D$859))</f>
        <v>0</v>
      </c>
      <c r="AS859">
        <f>IF(OR(AQ859="",AR859=""),"",(AQ859+AR859)/2)</f>
        <v>0</v>
      </c>
      <c r="AT859">
        <f>IF(COUNT($G$840:$G$859)&lt;20,"",STDEV($G$840:$G$859)*SQRT(252))</f>
        <v>0</v>
      </c>
      <c r="AU859">
        <f>IF(COUNT($E$2:$E859)&lt;9,"",(MAX($C$851:$C$859)+MIN($D$851:$D$859))/2)</f>
        <v>0</v>
      </c>
      <c r="AV859">
        <f>IF(COUNT($E$2:$E859)&lt;26,"",(MAX($C$834:$C$859)+MIN($D$834:$D$859))/2)</f>
        <v>0</v>
      </c>
      <c r="AW859">
        <f>IF(OR(AU859="",AV859=""),"",(AU859+AV859)/2)</f>
        <v>0</v>
      </c>
      <c r="AX859">
        <f>IF(COUNT($E$2:$E859)&lt;52,"",(MAX($C$808:$C$859)+MIN($D$808:$D$859))/2)</f>
        <v>0</v>
      </c>
      <c r="AY859">
        <f>IF(COUNT($E$2:$E859)&lt;20,"",MAX($C$760:$C$859))</f>
        <v>0</v>
      </c>
      <c r="AZ859">
        <f>IF(COUNT($E$2:$E859)&lt;20,"",MIN($D$760:$D$859))</f>
        <v>0</v>
      </c>
      <c r="BA859">
        <f>IF(COUNT($E$2:$E859)&lt;20,"",SLOPE($E$760:$E$859,$F$760:$F$859))</f>
        <v>0</v>
      </c>
      <c r="BB859">
        <f>IF(COUNT($E$2:$E859)&lt;20,"",INTERCEPT($E$760:$E$859,$F$760:$F$859))</f>
        <v>0</v>
      </c>
      <c r="BC859">
        <f>IF(OR(BA859="",BB859=""),"",BB859+BA859*F859)</f>
        <v>0</v>
      </c>
      <c r="BD859">
        <f>IF(COUNT($E$2:$E859)&lt;20,"",STEYX($E$760:$E$859,$F$760:$F$859))</f>
        <v>0</v>
      </c>
      <c r="BE859">
        <f>IF($E859="","",IF(AND(COUNT($E$860:$E$863)&gt;=4,$C859=MAX($C$855:$C$863)),$C859,""))</f>
        <v>0</v>
      </c>
      <c r="BF859">
        <f>IF($E859="","",IF(AND(COUNT($E$860:$E$863)&gt;=4,$D859=MIN($D$855:$D$863)),$D859,""))</f>
        <v>0</v>
      </c>
      <c r="BG859">
        <f>IF($A859="","",$A859-WEEKDAY($A859,2)+1)</f>
        <v>0</v>
      </c>
      <c r="BH859">
        <f>IF($A859="","",IF($A858="",1,IF(BG859&lt;&gt;BG858,1,0)))</f>
        <v>0</v>
      </c>
      <c r="BI859">
        <f>IF($A859="","",IF($A860="",1,IF(BG860&lt;&gt;BG859,1,0)))</f>
        <v>0</v>
      </c>
      <c r="BJ859">
        <f>IF($A859="","",IF(BH859=1,$B859,BJ858))</f>
        <v>0</v>
      </c>
      <c r="BK859">
        <f>IF($A859="","",IF(BH859=1,$C859,MAX($C859,BK858)))</f>
        <v>0</v>
      </c>
      <c r="BL859">
        <f>IF($A859="","",IF(BH859=1,$D859,MIN($D859,BL858)))</f>
        <v>0</v>
      </c>
      <c r="BM859">
        <f>IF($A859="","",IF(BI859=1,F859,""))</f>
        <v>0</v>
      </c>
      <c r="BN859">
        <f>IF($A859="","",DATE(YEAR($A859),MONTH($A859),1))</f>
        <v>0</v>
      </c>
      <c r="BO859">
        <f>IF($A859="","",IF($A858="",1,IF(BN859&lt;&gt;BN858,1,0)))</f>
        <v>0</v>
      </c>
      <c r="BP859">
        <f>IF($A859="","",IF($A860="",1,IF(BN860&lt;&gt;BN859,1,0)))</f>
        <v>0</v>
      </c>
      <c r="BQ859">
        <f>IF($A859="","",IF(BO859=1,$B859,BQ858))</f>
        <v>0</v>
      </c>
      <c r="BR859">
        <f>IF($A859="","",IF(BO859=1,$C859,MAX($C859,BR858)))</f>
        <v>0</v>
      </c>
      <c r="BS859">
        <f>IF($A859="","",IF(BO859=1,$D859,MIN($D859,BS858)))</f>
        <v>0</v>
      </c>
      <c r="BT859">
        <f>IF($A859="","",IF(BP859=1,F859,""))</f>
        <v>0</v>
      </c>
    </row>
    <row r="860" spans="1:72">
      <c r="A860" s="27">
        <f>IF(Data!$A860="","",Data!$A860)</f>
        <v>0</v>
      </c>
      <c r="B860">
        <f>IF(Data!$B860="","",Data!$B860)</f>
        <v>0</v>
      </c>
      <c r="C860">
        <f>IF(Data!$C860="","",Data!$C860)</f>
        <v>0</v>
      </c>
      <c r="D860">
        <f>IF(Data!$D860="","",Data!$D860)</f>
        <v>0</v>
      </c>
      <c r="E860">
        <f>IF(Data!$E860="","",Data!$E860)</f>
        <v>0</v>
      </c>
      <c r="F860">
        <f>IF($E860="","",N(F859)+1)</f>
        <v>0</v>
      </c>
      <c r="G860">
        <f>IF(OR($E860="",$E859=""),"",LN($E860/$E859))</f>
        <v>0</v>
      </c>
      <c r="H860">
        <f>IF($E860="","",IF($E859="",$E860,$E860*0.0952380952+H859*0.9047619048))</f>
        <v>0</v>
      </c>
      <c r="I860">
        <f>IF($E860="","",IF($E859="",$E860,$E860*0.0392156863+I859*0.9607843137))</f>
        <v>0</v>
      </c>
      <c r="J860">
        <f>IF($E860="","",IF($E859="",$E860,$E860*0.0198019802+J859*0.9801980198))</f>
        <v>0</v>
      </c>
      <c r="K860">
        <f>IF($E860="","",IF($E859="",$E860,$E860*0.0099502488+K859*0.9900497512))</f>
        <v>0</v>
      </c>
      <c r="L860">
        <f>IF(OR($E860="",$E859=""),"",MAX($E860-$E859,0))</f>
        <v>0</v>
      </c>
      <c r="M860">
        <f>IF(OR($E860="",$E859=""),"",MAX($E859-$E860,0))</f>
        <v>0</v>
      </c>
      <c r="N860">
        <f>IF(COUNT($E$2:$E860)&lt;15,"",IF(AVERAGE($M$847:$M$860)=0,100,100-100/(1+AVERAGE($L$847:$L$860)/AVERAGE($M$847:$M$860))))</f>
        <v>0</v>
      </c>
      <c r="O860">
        <f>IF($E860="","",IF($E859="",$E860,$E860*0.1538461538+O859*0.8461538462))</f>
        <v>0</v>
      </c>
      <c r="P860">
        <f>IF($E860="","",IF($E859="",$E860,$E860*0.0740740741+P859*0.9259259259))</f>
        <v>0</v>
      </c>
      <c r="Q860">
        <f>IF(OR(O860="",P860=""),"",O860-P860)</f>
        <v>0</v>
      </c>
      <c r="R860">
        <f>IF(Q860="","",IF(R859="",Q860,Q860*0.2000000000+R859*0.8000000000))</f>
        <v>0</v>
      </c>
      <c r="S860">
        <f>IF(OR(Q860="",R860=""),"",Q860-R860)</f>
        <v>0</v>
      </c>
      <c r="T860">
        <f>IF(COUNT($E$2:$E860)&lt;14,"",MAX($C$847:$C$860))</f>
        <v>0</v>
      </c>
      <c r="U860">
        <f>IF(COUNT($E$2:$E860)&lt;14,"",MIN($D$847:$D$860))</f>
        <v>0</v>
      </c>
      <c r="V860">
        <f>IF(OR(T860="",U860="",T860=U860),"",100*($E860-U860)/(T860-U860))</f>
        <v>0</v>
      </c>
      <c r="W860">
        <f>IF(COUNT($V$858:$V$860)&lt;3,"",AVERAGE($V$858:$V$860))</f>
        <v>0</v>
      </c>
      <c r="X860">
        <f>IF(COUNT($N$847:$N$860)&lt;14,"",MIN($N$847:$N$860))</f>
        <v>0</v>
      </c>
      <c r="Y860">
        <f>IF(COUNT($N$847:$N$860)&lt;14,"",MAX($N$847:$N$860))</f>
        <v>0</v>
      </c>
      <c r="Z860">
        <f>IF(OR(N860="",X860="",Y860="",Y860=X860),"",100*(N860-X860)/(Y860-X860))</f>
        <v>0</v>
      </c>
      <c r="AA860">
        <f>IF(COUNT($Z$858:$Z$860)&lt;3,"",AVERAGE($Z$858:$Z$860))</f>
        <v>0</v>
      </c>
      <c r="AB860">
        <f>IF(COUNT($AA$858:$AA$860)&lt;3,"",AVERAGE($AA$858:$AA$860))</f>
        <v>0</v>
      </c>
      <c r="AC860">
        <f>IF($E860="","",MAX($C860-$D860,ABS($C860-$E859),ABS($D860-$E859)))</f>
        <v>0</v>
      </c>
      <c r="AD860">
        <f>IF(COUNT($E$2:$E860)&lt;15,"",AVERAGE($AC$847:$AC$860))</f>
        <v>0</v>
      </c>
      <c r="AE860">
        <f>IF(OR($E860="",$E859=""),"",IF(AND(($C860-$C859)&gt;($D859-$D860),($C860-$C859)&gt;0),$C860-$C859,0))</f>
        <v>0</v>
      </c>
      <c r="AF860">
        <f>IF(OR($E860="",$E859=""),"",IF(AND(($D859-$D860)&gt;($C860-$C859),($D859-$D860)&gt;0),$D859-$D860,0))</f>
        <v>0</v>
      </c>
      <c r="AG860">
        <f>IF(COUNT($E$2:$E860)&lt;15,"",IF(SUM($AC$847:$AC$860)=0,0,100*SUM($AE$847:$AE$860)/SUM($AC$847:$AC$860)))</f>
        <v>0</v>
      </c>
      <c r="AH860">
        <f>IF(COUNT($E$2:$E860)&lt;15,"",IF(SUM($AC$847:$AC$860)=0,0,100*SUM($AF$847:$AF$860)/SUM($AC$847:$AC$860)))</f>
        <v>0</v>
      </c>
      <c r="AI860">
        <f>IF(OR(AG860="",AH860=""),"",IF((AG860+AH860)=0,0,100*ABS(AG860-AH860)/(AG860+AH860)))</f>
        <v>0</v>
      </c>
      <c r="AJ860">
        <f>IF(COUNT($AI$847:$AI$860)&lt;14,"",AVERAGE($AI$847:$AI$860))</f>
        <v>0</v>
      </c>
      <c r="AK860">
        <f>IF(COUNT($E$2:$E860)&lt;20,"",AVERAGE($E$841:$E$860))</f>
        <v>0</v>
      </c>
      <c r="AL860">
        <f>IF(COUNT($E$2:$E860)&lt;20,"",STDEVP($E$841:$E$860))</f>
        <v>0</v>
      </c>
      <c r="AM860">
        <f>IF(AK860="","",AK860+2*AL860)</f>
        <v>0</v>
      </c>
      <c r="AN860">
        <f>IF(AK860="","",AK860-2*AL860)</f>
        <v>0</v>
      </c>
      <c r="AO860">
        <f>IF(OR(AM860="",AN860="",AM860=AN860),"",($E860-AN860)/(AM860-AN860))</f>
        <v>0</v>
      </c>
      <c r="AP860">
        <f>IF(OR(AM860="",AK860="",AK860=0),"",(AM860-AN860)/AK860)</f>
        <v>0</v>
      </c>
      <c r="AQ860">
        <f>IF(COUNT($E$2:$E860)&lt;20,"",MAX($C$841:$C$860))</f>
        <v>0</v>
      </c>
      <c r="AR860">
        <f>IF(COUNT($E$2:$E860)&lt;20,"",MIN($D$841:$D$860))</f>
        <v>0</v>
      </c>
      <c r="AS860">
        <f>IF(OR(AQ860="",AR860=""),"",(AQ860+AR860)/2)</f>
        <v>0</v>
      </c>
      <c r="AT860">
        <f>IF(COUNT($G$841:$G$860)&lt;20,"",STDEV($G$841:$G$860)*SQRT(252))</f>
        <v>0</v>
      </c>
      <c r="AU860">
        <f>IF(COUNT($E$2:$E860)&lt;9,"",(MAX($C$852:$C$860)+MIN($D$852:$D$860))/2)</f>
        <v>0</v>
      </c>
      <c r="AV860">
        <f>IF(COUNT($E$2:$E860)&lt;26,"",(MAX($C$835:$C$860)+MIN($D$835:$D$860))/2)</f>
        <v>0</v>
      </c>
      <c r="AW860">
        <f>IF(OR(AU860="",AV860=""),"",(AU860+AV860)/2)</f>
        <v>0</v>
      </c>
      <c r="AX860">
        <f>IF(COUNT($E$2:$E860)&lt;52,"",(MAX($C$809:$C$860)+MIN($D$809:$D$860))/2)</f>
        <v>0</v>
      </c>
      <c r="AY860">
        <f>IF(COUNT($E$2:$E860)&lt;20,"",MAX($C$761:$C$860))</f>
        <v>0</v>
      </c>
      <c r="AZ860">
        <f>IF(COUNT($E$2:$E860)&lt;20,"",MIN($D$761:$D$860))</f>
        <v>0</v>
      </c>
      <c r="BA860">
        <f>IF(COUNT($E$2:$E860)&lt;20,"",SLOPE($E$761:$E$860,$F$761:$F$860))</f>
        <v>0</v>
      </c>
      <c r="BB860">
        <f>IF(COUNT($E$2:$E860)&lt;20,"",INTERCEPT($E$761:$E$860,$F$761:$F$860))</f>
        <v>0</v>
      </c>
      <c r="BC860">
        <f>IF(OR(BA860="",BB860=""),"",BB860+BA860*F860)</f>
        <v>0</v>
      </c>
      <c r="BD860">
        <f>IF(COUNT($E$2:$E860)&lt;20,"",STEYX($E$761:$E$860,$F$761:$F$860))</f>
        <v>0</v>
      </c>
      <c r="BE860">
        <f>IF($E860="","",IF(AND(COUNT($E$861:$E$864)&gt;=4,$C860=MAX($C$856:$C$864)),$C860,""))</f>
        <v>0</v>
      </c>
      <c r="BF860">
        <f>IF($E860="","",IF(AND(COUNT($E$861:$E$864)&gt;=4,$D860=MIN($D$856:$D$864)),$D860,""))</f>
        <v>0</v>
      </c>
      <c r="BG860">
        <f>IF($A860="","",$A860-WEEKDAY($A860,2)+1)</f>
        <v>0</v>
      </c>
      <c r="BH860">
        <f>IF($A860="","",IF($A859="",1,IF(BG860&lt;&gt;BG859,1,0)))</f>
        <v>0</v>
      </c>
      <c r="BI860">
        <f>IF($A860="","",IF($A861="",1,IF(BG861&lt;&gt;BG860,1,0)))</f>
        <v>0</v>
      </c>
      <c r="BJ860">
        <f>IF($A860="","",IF(BH860=1,$B860,BJ859))</f>
        <v>0</v>
      </c>
      <c r="BK860">
        <f>IF($A860="","",IF(BH860=1,$C860,MAX($C860,BK859)))</f>
        <v>0</v>
      </c>
      <c r="BL860">
        <f>IF($A860="","",IF(BH860=1,$D860,MIN($D860,BL859)))</f>
        <v>0</v>
      </c>
      <c r="BM860">
        <f>IF($A860="","",IF(BI860=1,F860,""))</f>
        <v>0</v>
      </c>
      <c r="BN860">
        <f>IF($A860="","",DATE(YEAR($A860),MONTH($A860),1))</f>
        <v>0</v>
      </c>
      <c r="BO860">
        <f>IF($A860="","",IF($A859="",1,IF(BN860&lt;&gt;BN859,1,0)))</f>
        <v>0</v>
      </c>
      <c r="BP860">
        <f>IF($A860="","",IF($A861="",1,IF(BN861&lt;&gt;BN860,1,0)))</f>
        <v>0</v>
      </c>
      <c r="BQ860">
        <f>IF($A860="","",IF(BO860=1,$B860,BQ859))</f>
        <v>0</v>
      </c>
      <c r="BR860">
        <f>IF($A860="","",IF(BO860=1,$C860,MAX($C860,BR859)))</f>
        <v>0</v>
      </c>
      <c r="BS860">
        <f>IF($A860="","",IF(BO860=1,$D860,MIN($D860,BS859)))</f>
        <v>0</v>
      </c>
      <c r="BT860">
        <f>IF($A860="","",IF(BP860=1,F860,""))</f>
        <v>0</v>
      </c>
    </row>
    <row r="861" spans="1:72">
      <c r="A861" s="27">
        <f>IF(Data!$A861="","",Data!$A861)</f>
        <v>0</v>
      </c>
      <c r="B861">
        <f>IF(Data!$B861="","",Data!$B861)</f>
        <v>0</v>
      </c>
      <c r="C861">
        <f>IF(Data!$C861="","",Data!$C861)</f>
        <v>0</v>
      </c>
      <c r="D861">
        <f>IF(Data!$D861="","",Data!$D861)</f>
        <v>0</v>
      </c>
      <c r="E861">
        <f>IF(Data!$E861="","",Data!$E861)</f>
        <v>0</v>
      </c>
      <c r="F861">
        <f>IF($E861="","",N(F860)+1)</f>
        <v>0</v>
      </c>
      <c r="G861">
        <f>IF(OR($E861="",$E860=""),"",LN($E861/$E860))</f>
        <v>0</v>
      </c>
      <c r="H861">
        <f>IF($E861="","",IF($E860="",$E861,$E861*0.0952380952+H860*0.9047619048))</f>
        <v>0</v>
      </c>
      <c r="I861">
        <f>IF($E861="","",IF($E860="",$E861,$E861*0.0392156863+I860*0.9607843137))</f>
        <v>0</v>
      </c>
      <c r="J861">
        <f>IF($E861="","",IF($E860="",$E861,$E861*0.0198019802+J860*0.9801980198))</f>
        <v>0</v>
      </c>
      <c r="K861">
        <f>IF($E861="","",IF($E860="",$E861,$E861*0.0099502488+K860*0.9900497512))</f>
        <v>0</v>
      </c>
      <c r="L861">
        <f>IF(OR($E861="",$E860=""),"",MAX($E861-$E860,0))</f>
        <v>0</v>
      </c>
      <c r="M861">
        <f>IF(OR($E861="",$E860=""),"",MAX($E860-$E861,0))</f>
        <v>0</v>
      </c>
      <c r="N861">
        <f>IF(COUNT($E$2:$E861)&lt;15,"",IF(AVERAGE($M$848:$M$861)=0,100,100-100/(1+AVERAGE($L$848:$L$861)/AVERAGE($M$848:$M$861))))</f>
        <v>0</v>
      </c>
      <c r="O861">
        <f>IF($E861="","",IF($E860="",$E861,$E861*0.1538461538+O860*0.8461538462))</f>
        <v>0</v>
      </c>
      <c r="P861">
        <f>IF($E861="","",IF($E860="",$E861,$E861*0.0740740741+P860*0.9259259259))</f>
        <v>0</v>
      </c>
      <c r="Q861">
        <f>IF(OR(O861="",P861=""),"",O861-P861)</f>
        <v>0</v>
      </c>
      <c r="R861">
        <f>IF(Q861="","",IF(R860="",Q861,Q861*0.2000000000+R860*0.8000000000))</f>
        <v>0</v>
      </c>
      <c r="S861">
        <f>IF(OR(Q861="",R861=""),"",Q861-R861)</f>
        <v>0</v>
      </c>
      <c r="T861">
        <f>IF(COUNT($E$2:$E861)&lt;14,"",MAX($C$848:$C$861))</f>
        <v>0</v>
      </c>
      <c r="U861">
        <f>IF(COUNT($E$2:$E861)&lt;14,"",MIN($D$848:$D$861))</f>
        <v>0</v>
      </c>
      <c r="V861">
        <f>IF(OR(T861="",U861="",T861=U861),"",100*($E861-U861)/(T861-U861))</f>
        <v>0</v>
      </c>
      <c r="W861">
        <f>IF(COUNT($V$859:$V$861)&lt;3,"",AVERAGE($V$859:$V$861))</f>
        <v>0</v>
      </c>
      <c r="X861">
        <f>IF(COUNT($N$848:$N$861)&lt;14,"",MIN($N$848:$N$861))</f>
        <v>0</v>
      </c>
      <c r="Y861">
        <f>IF(COUNT($N$848:$N$861)&lt;14,"",MAX($N$848:$N$861))</f>
        <v>0</v>
      </c>
      <c r="Z861">
        <f>IF(OR(N861="",X861="",Y861="",Y861=X861),"",100*(N861-X861)/(Y861-X861))</f>
        <v>0</v>
      </c>
      <c r="AA861">
        <f>IF(COUNT($Z$859:$Z$861)&lt;3,"",AVERAGE($Z$859:$Z$861))</f>
        <v>0</v>
      </c>
      <c r="AB861">
        <f>IF(COUNT($AA$859:$AA$861)&lt;3,"",AVERAGE($AA$859:$AA$861))</f>
        <v>0</v>
      </c>
      <c r="AC861">
        <f>IF($E861="","",MAX($C861-$D861,ABS($C861-$E860),ABS($D861-$E860)))</f>
        <v>0</v>
      </c>
      <c r="AD861">
        <f>IF(COUNT($E$2:$E861)&lt;15,"",AVERAGE($AC$848:$AC$861))</f>
        <v>0</v>
      </c>
      <c r="AE861">
        <f>IF(OR($E861="",$E860=""),"",IF(AND(($C861-$C860)&gt;($D860-$D861),($C861-$C860)&gt;0),$C861-$C860,0))</f>
        <v>0</v>
      </c>
      <c r="AF861">
        <f>IF(OR($E861="",$E860=""),"",IF(AND(($D860-$D861)&gt;($C861-$C860),($D860-$D861)&gt;0),$D860-$D861,0))</f>
        <v>0</v>
      </c>
      <c r="AG861">
        <f>IF(COUNT($E$2:$E861)&lt;15,"",IF(SUM($AC$848:$AC$861)=0,0,100*SUM($AE$848:$AE$861)/SUM($AC$848:$AC$861)))</f>
        <v>0</v>
      </c>
      <c r="AH861">
        <f>IF(COUNT($E$2:$E861)&lt;15,"",IF(SUM($AC$848:$AC$861)=0,0,100*SUM($AF$848:$AF$861)/SUM($AC$848:$AC$861)))</f>
        <v>0</v>
      </c>
      <c r="AI861">
        <f>IF(OR(AG861="",AH861=""),"",IF((AG861+AH861)=0,0,100*ABS(AG861-AH861)/(AG861+AH861)))</f>
        <v>0</v>
      </c>
      <c r="AJ861">
        <f>IF(COUNT($AI$848:$AI$861)&lt;14,"",AVERAGE($AI$848:$AI$861))</f>
        <v>0</v>
      </c>
      <c r="AK861">
        <f>IF(COUNT($E$2:$E861)&lt;20,"",AVERAGE($E$842:$E$861))</f>
        <v>0</v>
      </c>
      <c r="AL861">
        <f>IF(COUNT($E$2:$E861)&lt;20,"",STDEVP($E$842:$E$861))</f>
        <v>0</v>
      </c>
      <c r="AM861">
        <f>IF(AK861="","",AK861+2*AL861)</f>
        <v>0</v>
      </c>
      <c r="AN861">
        <f>IF(AK861="","",AK861-2*AL861)</f>
        <v>0</v>
      </c>
      <c r="AO861">
        <f>IF(OR(AM861="",AN861="",AM861=AN861),"",($E861-AN861)/(AM861-AN861))</f>
        <v>0</v>
      </c>
      <c r="AP861">
        <f>IF(OR(AM861="",AK861="",AK861=0),"",(AM861-AN861)/AK861)</f>
        <v>0</v>
      </c>
      <c r="AQ861">
        <f>IF(COUNT($E$2:$E861)&lt;20,"",MAX($C$842:$C$861))</f>
        <v>0</v>
      </c>
      <c r="AR861">
        <f>IF(COUNT($E$2:$E861)&lt;20,"",MIN($D$842:$D$861))</f>
        <v>0</v>
      </c>
      <c r="AS861">
        <f>IF(OR(AQ861="",AR861=""),"",(AQ861+AR861)/2)</f>
        <v>0</v>
      </c>
      <c r="AT861">
        <f>IF(COUNT($G$842:$G$861)&lt;20,"",STDEV($G$842:$G$861)*SQRT(252))</f>
        <v>0</v>
      </c>
      <c r="AU861">
        <f>IF(COUNT($E$2:$E861)&lt;9,"",(MAX($C$853:$C$861)+MIN($D$853:$D$861))/2)</f>
        <v>0</v>
      </c>
      <c r="AV861">
        <f>IF(COUNT($E$2:$E861)&lt;26,"",(MAX($C$836:$C$861)+MIN($D$836:$D$861))/2)</f>
        <v>0</v>
      </c>
      <c r="AW861">
        <f>IF(OR(AU861="",AV861=""),"",(AU861+AV861)/2)</f>
        <v>0</v>
      </c>
      <c r="AX861">
        <f>IF(COUNT($E$2:$E861)&lt;52,"",(MAX($C$810:$C$861)+MIN($D$810:$D$861))/2)</f>
        <v>0</v>
      </c>
      <c r="AY861">
        <f>IF(COUNT($E$2:$E861)&lt;20,"",MAX($C$762:$C$861))</f>
        <v>0</v>
      </c>
      <c r="AZ861">
        <f>IF(COUNT($E$2:$E861)&lt;20,"",MIN($D$762:$D$861))</f>
        <v>0</v>
      </c>
      <c r="BA861">
        <f>IF(COUNT($E$2:$E861)&lt;20,"",SLOPE($E$762:$E$861,$F$762:$F$861))</f>
        <v>0</v>
      </c>
      <c r="BB861">
        <f>IF(COUNT($E$2:$E861)&lt;20,"",INTERCEPT($E$762:$E$861,$F$762:$F$861))</f>
        <v>0</v>
      </c>
      <c r="BC861">
        <f>IF(OR(BA861="",BB861=""),"",BB861+BA861*F861)</f>
        <v>0</v>
      </c>
      <c r="BD861">
        <f>IF(COUNT($E$2:$E861)&lt;20,"",STEYX($E$762:$E$861,$F$762:$F$861))</f>
        <v>0</v>
      </c>
      <c r="BE861">
        <f>IF($E861="","",IF(AND(COUNT($E$862:$E$865)&gt;=4,$C861=MAX($C$857:$C$865)),$C861,""))</f>
        <v>0</v>
      </c>
      <c r="BF861">
        <f>IF($E861="","",IF(AND(COUNT($E$862:$E$865)&gt;=4,$D861=MIN($D$857:$D$865)),$D861,""))</f>
        <v>0</v>
      </c>
      <c r="BG861">
        <f>IF($A861="","",$A861-WEEKDAY($A861,2)+1)</f>
        <v>0</v>
      </c>
      <c r="BH861">
        <f>IF($A861="","",IF($A860="",1,IF(BG861&lt;&gt;BG860,1,0)))</f>
        <v>0</v>
      </c>
      <c r="BI861">
        <f>IF($A861="","",IF($A862="",1,IF(BG862&lt;&gt;BG861,1,0)))</f>
        <v>0</v>
      </c>
      <c r="BJ861">
        <f>IF($A861="","",IF(BH861=1,$B861,BJ860))</f>
        <v>0</v>
      </c>
      <c r="BK861">
        <f>IF($A861="","",IF(BH861=1,$C861,MAX($C861,BK860)))</f>
        <v>0</v>
      </c>
      <c r="BL861">
        <f>IF($A861="","",IF(BH861=1,$D861,MIN($D861,BL860)))</f>
        <v>0</v>
      </c>
      <c r="BM861">
        <f>IF($A861="","",IF(BI861=1,F861,""))</f>
        <v>0</v>
      </c>
      <c r="BN861">
        <f>IF($A861="","",DATE(YEAR($A861),MONTH($A861),1))</f>
        <v>0</v>
      </c>
      <c r="BO861">
        <f>IF($A861="","",IF($A860="",1,IF(BN861&lt;&gt;BN860,1,0)))</f>
        <v>0</v>
      </c>
      <c r="BP861">
        <f>IF($A861="","",IF($A862="",1,IF(BN862&lt;&gt;BN861,1,0)))</f>
        <v>0</v>
      </c>
      <c r="BQ861">
        <f>IF($A861="","",IF(BO861=1,$B861,BQ860))</f>
        <v>0</v>
      </c>
      <c r="BR861">
        <f>IF($A861="","",IF(BO861=1,$C861,MAX($C861,BR860)))</f>
        <v>0</v>
      </c>
      <c r="BS861">
        <f>IF($A861="","",IF(BO861=1,$D861,MIN($D861,BS860)))</f>
        <v>0</v>
      </c>
      <c r="BT861">
        <f>IF($A861="","",IF(BP861=1,F861,""))</f>
        <v>0</v>
      </c>
    </row>
    <row r="862" spans="1:72">
      <c r="A862" s="27">
        <f>IF(Data!$A862="","",Data!$A862)</f>
        <v>0</v>
      </c>
      <c r="B862">
        <f>IF(Data!$B862="","",Data!$B862)</f>
        <v>0</v>
      </c>
      <c r="C862">
        <f>IF(Data!$C862="","",Data!$C862)</f>
        <v>0</v>
      </c>
      <c r="D862">
        <f>IF(Data!$D862="","",Data!$D862)</f>
        <v>0</v>
      </c>
      <c r="E862">
        <f>IF(Data!$E862="","",Data!$E862)</f>
        <v>0</v>
      </c>
      <c r="F862">
        <f>IF($E862="","",N(F861)+1)</f>
        <v>0</v>
      </c>
      <c r="G862">
        <f>IF(OR($E862="",$E861=""),"",LN($E862/$E861))</f>
        <v>0</v>
      </c>
      <c r="H862">
        <f>IF($E862="","",IF($E861="",$E862,$E862*0.0952380952+H861*0.9047619048))</f>
        <v>0</v>
      </c>
      <c r="I862">
        <f>IF($E862="","",IF($E861="",$E862,$E862*0.0392156863+I861*0.9607843137))</f>
        <v>0</v>
      </c>
      <c r="J862">
        <f>IF($E862="","",IF($E861="",$E862,$E862*0.0198019802+J861*0.9801980198))</f>
        <v>0</v>
      </c>
      <c r="K862">
        <f>IF($E862="","",IF($E861="",$E862,$E862*0.0099502488+K861*0.9900497512))</f>
        <v>0</v>
      </c>
      <c r="L862">
        <f>IF(OR($E862="",$E861=""),"",MAX($E862-$E861,0))</f>
        <v>0</v>
      </c>
      <c r="M862">
        <f>IF(OR($E862="",$E861=""),"",MAX($E861-$E862,0))</f>
        <v>0</v>
      </c>
      <c r="N862">
        <f>IF(COUNT($E$2:$E862)&lt;15,"",IF(AVERAGE($M$849:$M$862)=0,100,100-100/(1+AVERAGE($L$849:$L$862)/AVERAGE($M$849:$M$862))))</f>
        <v>0</v>
      </c>
      <c r="O862">
        <f>IF($E862="","",IF($E861="",$E862,$E862*0.1538461538+O861*0.8461538462))</f>
        <v>0</v>
      </c>
      <c r="P862">
        <f>IF($E862="","",IF($E861="",$E862,$E862*0.0740740741+P861*0.9259259259))</f>
        <v>0</v>
      </c>
      <c r="Q862">
        <f>IF(OR(O862="",P862=""),"",O862-P862)</f>
        <v>0</v>
      </c>
      <c r="R862">
        <f>IF(Q862="","",IF(R861="",Q862,Q862*0.2000000000+R861*0.8000000000))</f>
        <v>0</v>
      </c>
      <c r="S862">
        <f>IF(OR(Q862="",R862=""),"",Q862-R862)</f>
        <v>0</v>
      </c>
      <c r="T862">
        <f>IF(COUNT($E$2:$E862)&lt;14,"",MAX($C$849:$C$862))</f>
        <v>0</v>
      </c>
      <c r="U862">
        <f>IF(COUNT($E$2:$E862)&lt;14,"",MIN($D$849:$D$862))</f>
        <v>0</v>
      </c>
      <c r="V862">
        <f>IF(OR(T862="",U862="",T862=U862),"",100*($E862-U862)/(T862-U862))</f>
        <v>0</v>
      </c>
      <c r="W862">
        <f>IF(COUNT($V$860:$V$862)&lt;3,"",AVERAGE($V$860:$V$862))</f>
        <v>0</v>
      </c>
      <c r="X862">
        <f>IF(COUNT($N$849:$N$862)&lt;14,"",MIN($N$849:$N$862))</f>
        <v>0</v>
      </c>
      <c r="Y862">
        <f>IF(COUNT($N$849:$N$862)&lt;14,"",MAX($N$849:$N$862))</f>
        <v>0</v>
      </c>
      <c r="Z862">
        <f>IF(OR(N862="",X862="",Y862="",Y862=X862),"",100*(N862-X862)/(Y862-X862))</f>
        <v>0</v>
      </c>
      <c r="AA862">
        <f>IF(COUNT($Z$860:$Z$862)&lt;3,"",AVERAGE($Z$860:$Z$862))</f>
        <v>0</v>
      </c>
      <c r="AB862">
        <f>IF(COUNT($AA$860:$AA$862)&lt;3,"",AVERAGE($AA$860:$AA$862))</f>
        <v>0</v>
      </c>
      <c r="AC862">
        <f>IF($E862="","",MAX($C862-$D862,ABS($C862-$E861),ABS($D862-$E861)))</f>
        <v>0</v>
      </c>
      <c r="AD862">
        <f>IF(COUNT($E$2:$E862)&lt;15,"",AVERAGE($AC$849:$AC$862))</f>
        <v>0</v>
      </c>
      <c r="AE862">
        <f>IF(OR($E862="",$E861=""),"",IF(AND(($C862-$C861)&gt;($D861-$D862),($C862-$C861)&gt;0),$C862-$C861,0))</f>
        <v>0</v>
      </c>
      <c r="AF862">
        <f>IF(OR($E862="",$E861=""),"",IF(AND(($D861-$D862)&gt;($C862-$C861),($D861-$D862)&gt;0),$D861-$D862,0))</f>
        <v>0</v>
      </c>
      <c r="AG862">
        <f>IF(COUNT($E$2:$E862)&lt;15,"",IF(SUM($AC$849:$AC$862)=0,0,100*SUM($AE$849:$AE$862)/SUM($AC$849:$AC$862)))</f>
        <v>0</v>
      </c>
      <c r="AH862">
        <f>IF(COUNT($E$2:$E862)&lt;15,"",IF(SUM($AC$849:$AC$862)=0,0,100*SUM($AF$849:$AF$862)/SUM($AC$849:$AC$862)))</f>
        <v>0</v>
      </c>
      <c r="AI862">
        <f>IF(OR(AG862="",AH862=""),"",IF((AG862+AH862)=0,0,100*ABS(AG862-AH862)/(AG862+AH862)))</f>
        <v>0</v>
      </c>
      <c r="AJ862">
        <f>IF(COUNT($AI$849:$AI$862)&lt;14,"",AVERAGE($AI$849:$AI$862))</f>
        <v>0</v>
      </c>
      <c r="AK862">
        <f>IF(COUNT($E$2:$E862)&lt;20,"",AVERAGE($E$843:$E$862))</f>
        <v>0</v>
      </c>
      <c r="AL862">
        <f>IF(COUNT($E$2:$E862)&lt;20,"",STDEVP($E$843:$E$862))</f>
        <v>0</v>
      </c>
      <c r="AM862">
        <f>IF(AK862="","",AK862+2*AL862)</f>
        <v>0</v>
      </c>
      <c r="AN862">
        <f>IF(AK862="","",AK862-2*AL862)</f>
        <v>0</v>
      </c>
      <c r="AO862">
        <f>IF(OR(AM862="",AN862="",AM862=AN862),"",($E862-AN862)/(AM862-AN862))</f>
        <v>0</v>
      </c>
      <c r="AP862">
        <f>IF(OR(AM862="",AK862="",AK862=0),"",(AM862-AN862)/AK862)</f>
        <v>0</v>
      </c>
      <c r="AQ862">
        <f>IF(COUNT($E$2:$E862)&lt;20,"",MAX($C$843:$C$862))</f>
        <v>0</v>
      </c>
      <c r="AR862">
        <f>IF(COUNT($E$2:$E862)&lt;20,"",MIN($D$843:$D$862))</f>
        <v>0</v>
      </c>
      <c r="AS862">
        <f>IF(OR(AQ862="",AR862=""),"",(AQ862+AR862)/2)</f>
        <v>0</v>
      </c>
      <c r="AT862">
        <f>IF(COUNT($G$843:$G$862)&lt;20,"",STDEV($G$843:$G$862)*SQRT(252))</f>
        <v>0</v>
      </c>
      <c r="AU862">
        <f>IF(COUNT($E$2:$E862)&lt;9,"",(MAX($C$854:$C$862)+MIN($D$854:$D$862))/2)</f>
        <v>0</v>
      </c>
      <c r="AV862">
        <f>IF(COUNT($E$2:$E862)&lt;26,"",(MAX($C$837:$C$862)+MIN($D$837:$D$862))/2)</f>
        <v>0</v>
      </c>
      <c r="AW862">
        <f>IF(OR(AU862="",AV862=""),"",(AU862+AV862)/2)</f>
        <v>0</v>
      </c>
      <c r="AX862">
        <f>IF(COUNT($E$2:$E862)&lt;52,"",(MAX($C$811:$C$862)+MIN($D$811:$D$862))/2)</f>
        <v>0</v>
      </c>
      <c r="AY862">
        <f>IF(COUNT($E$2:$E862)&lt;20,"",MAX($C$763:$C$862))</f>
        <v>0</v>
      </c>
      <c r="AZ862">
        <f>IF(COUNT($E$2:$E862)&lt;20,"",MIN($D$763:$D$862))</f>
        <v>0</v>
      </c>
      <c r="BA862">
        <f>IF(COUNT($E$2:$E862)&lt;20,"",SLOPE($E$763:$E$862,$F$763:$F$862))</f>
        <v>0</v>
      </c>
      <c r="BB862">
        <f>IF(COUNT($E$2:$E862)&lt;20,"",INTERCEPT($E$763:$E$862,$F$763:$F$862))</f>
        <v>0</v>
      </c>
      <c r="BC862">
        <f>IF(OR(BA862="",BB862=""),"",BB862+BA862*F862)</f>
        <v>0</v>
      </c>
      <c r="BD862">
        <f>IF(COUNT($E$2:$E862)&lt;20,"",STEYX($E$763:$E$862,$F$763:$F$862))</f>
        <v>0</v>
      </c>
      <c r="BE862">
        <f>IF($E862="","",IF(AND(COUNT($E$863:$E$866)&gt;=4,$C862=MAX($C$858:$C$866)),$C862,""))</f>
        <v>0</v>
      </c>
      <c r="BF862">
        <f>IF($E862="","",IF(AND(COUNT($E$863:$E$866)&gt;=4,$D862=MIN($D$858:$D$866)),$D862,""))</f>
        <v>0</v>
      </c>
      <c r="BG862">
        <f>IF($A862="","",$A862-WEEKDAY($A862,2)+1)</f>
        <v>0</v>
      </c>
      <c r="BH862">
        <f>IF($A862="","",IF($A861="",1,IF(BG862&lt;&gt;BG861,1,0)))</f>
        <v>0</v>
      </c>
      <c r="BI862">
        <f>IF($A862="","",IF($A863="",1,IF(BG863&lt;&gt;BG862,1,0)))</f>
        <v>0</v>
      </c>
      <c r="BJ862">
        <f>IF($A862="","",IF(BH862=1,$B862,BJ861))</f>
        <v>0</v>
      </c>
      <c r="BK862">
        <f>IF($A862="","",IF(BH862=1,$C862,MAX($C862,BK861)))</f>
        <v>0</v>
      </c>
      <c r="BL862">
        <f>IF($A862="","",IF(BH862=1,$D862,MIN($D862,BL861)))</f>
        <v>0</v>
      </c>
      <c r="BM862">
        <f>IF($A862="","",IF(BI862=1,F862,""))</f>
        <v>0</v>
      </c>
      <c r="BN862">
        <f>IF($A862="","",DATE(YEAR($A862),MONTH($A862),1))</f>
        <v>0</v>
      </c>
      <c r="BO862">
        <f>IF($A862="","",IF($A861="",1,IF(BN862&lt;&gt;BN861,1,0)))</f>
        <v>0</v>
      </c>
      <c r="BP862">
        <f>IF($A862="","",IF($A863="",1,IF(BN863&lt;&gt;BN862,1,0)))</f>
        <v>0</v>
      </c>
      <c r="BQ862">
        <f>IF($A862="","",IF(BO862=1,$B862,BQ861))</f>
        <v>0</v>
      </c>
      <c r="BR862">
        <f>IF($A862="","",IF(BO862=1,$C862,MAX($C862,BR861)))</f>
        <v>0</v>
      </c>
      <c r="BS862">
        <f>IF($A862="","",IF(BO862=1,$D862,MIN($D862,BS861)))</f>
        <v>0</v>
      </c>
      <c r="BT862">
        <f>IF($A862="","",IF(BP862=1,F862,""))</f>
        <v>0</v>
      </c>
    </row>
    <row r="863" spans="1:72">
      <c r="A863" s="27">
        <f>IF(Data!$A863="","",Data!$A863)</f>
        <v>0</v>
      </c>
      <c r="B863">
        <f>IF(Data!$B863="","",Data!$B863)</f>
        <v>0</v>
      </c>
      <c r="C863">
        <f>IF(Data!$C863="","",Data!$C863)</f>
        <v>0</v>
      </c>
      <c r="D863">
        <f>IF(Data!$D863="","",Data!$D863)</f>
        <v>0</v>
      </c>
      <c r="E863">
        <f>IF(Data!$E863="","",Data!$E863)</f>
        <v>0</v>
      </c>
      <c r="F863">
        <f>IF($E863="","",N(F862)+1)</f>
        <v>0</v>
      </c>
      <c r="G863">
        <f>IF(OR($E863="",$E862=""),"",LN($E863/$E862))</f>
        <v>0</v>
      </c>
      <c r="H863">
        <f>IF($E863="","",IF($E862="",$E863,$E863*0.0952380952+H862*0.9047619048))</f>
        <v>0</v>
      </c>
      <c r="I863">
        <f>IF($E863="","",IF($E862="",$E863,$E863*0.0392156863+I862*0.9607843137))</f>
        <v>0</v>
      </c>
      <c r="J863">
        <f>IF($E863="","",IF($E862="",$E863,$E863*0.0198019802+J862*0.9801980198))</f>
        <v>0</v>
      </c>
      <c r="K863">
        <f>IF($E863="","",IF($E862="",$E863,$E863*0.0099502488+K862*0.9900497512))</f>
        <v>0</v>
      </c>
      <c r="L863">
        <f>IF(OR($E863="",$E862=""),"",MAX($E863-$E862,0))</f>
        <v>0</v>
      </c>
      <c r="M863">
        <f>IF(OR($E863="",$E862=""),"",MAX($E862-$E863,0))</f>
        <v>0</v>
      </c>
      <c r="N863">
        <f>IF(COUNT($E$2:$E863)&lt;15,"",IF(AVERAGE($M$850:$M$863)=0,100,100-100/(1+AVERAGE($L$850:$L$863)/AVERAGE($M$850:$M$863))))</f>
        <v>0</v>
      </c>
      <c r="O863">
        <f>IF($E863="","",IF($E862="",$E863,$E863*0.1538461538+O862*0.8461538462))</f>
        <v>0</v>
      </c>
      <c r="P863">
        <f>IF($E863="","",IF($E862="",$E863,$E863*0.0740740741+P862*0.9259259259))</f>
        <v>0</v>
      </c>
      <c r="Q863">
        <f>IF(OR(O863="",P863=""),"",O863-P863)</f>
        <v>0</v>
      </c>
      <c r="R863">
        <f>IF(Q863="","",IF(R862="",Q863,Q863*0.2000000000+R862*0.8000000000))</f>
        <v>0</v>
      </c>
      <c r="S863">
        <f>IF(OR(Q863="",R863=""),"",Q863-R863)</f>
        <v>0</v>
      </c>
      <c r="T863">
        <f>IF(COUNT($E$2:$E863)&lt;14,"",MAX($C$850:$C$863))</f>
        <v>0</v>
      </c>
      <c r="U863">
        <f>IF(COUNT($E$2:$E863)&lt;14,"",MIN($D$850:$D$863))</f>
        <v>0</v>
      </c>
      <c r="V863">
        <f>IF(OR(T863="",U863="",T863=U863),"",100*($E863-U863)/(T863-U863))</f>
        <v>0</v>
      </c>
      <c r="W863">
        <f>IF(COUNT($V$861:$V$863)&lt;3,"",AVERAGE($V$861:$V$863))</f>
        <v>0</v>
      </c>
      <c r="X863">
        <f>IF(COUNT($N$850:$N$863)&lt;14,"",MIN($N$850:$N$863))</f>
        <v>0</v>
      </c>
      <c r="Y863">
        <f>IF(COUNT($N$850:$N$863)&lt;14,"",MAX($N$850:$N$863))</f>
        <v>0</v>
      </c>
      <c r="Z863">
        <f>IF(OR(N863="",X863="",Y863="",Y863=X863),"",100*(N863-X863)/(Y863-X863))</f>
        <v>0</v>
      </c>
      <c r="AA863">
        <f>IF(COUNT($Z$861:$Z$863)&lt;3,"",AVERAGE($Z$861:$Z$863))</f>
        <v>0</v>
      </c>
      <c r="AB863">
        <f>IF(COUNT($AA$861:$AA$863)&lt;3,"",AVERAGE($AA$861:$AA$863))</f>
        <v>0</v>
      </c>
      <c r="AC863">
        <f>IF($E863="","",MAX($C863-$D863,ABS($C863-$E862),ABS($D863-$E862)))</f>
        <v>0</v>
      </c>
      <c r="AD863">
        <f>IF(COUNT($E$2:$E863)&lt;15,"",AVERAGE($AC$850:$AC$863))</f>
        <v>0</v>
      </c>
      <c r="AE863">
        <f>IF(OR($E863="",$E862=""),"",IF(AND(($C863-$C862)&gt;($D862-$D863),($C863-$C862)&gt;0),$C863-$C862,0))</f>
        <v>0</v>
      </c>
      <c r="AF863">
        <f>IF(OR($E863="",$E862=""),"",IF(AND(($D862-$D863)&gt;($C863-$C862),($D862-$D863)&gt;0),$D862-$D863,0))</f>
        <v>0</v>
      </c>
      <c r="AG863">
        <f>IF(COUNT($E$2:$E863)&lt;15,"",IF(SUM($AC$850:$AC$863)=0,0,100*SUM($AE$850:$AE$863)/SUM($AC$850:$AC$863)))</f>
        <v>0</v>
      </c>
      <c r="AH863">
        <f>IF(COUNT($E$2:$E863)&lt;15,"",IF(SUM($AC$850:$AC$863)=0,0,100*SUM($AF$850:$AF$863)/SUM($AC$850:$AC$863)))</f>
        <v>0</v>
      </c>
      <c r="AI863">
        <f>IF(OR(AG863="",AH863=""),"",IF((AG863+AH863)=0,0,100*ABS(AG863-AH863)/(AG863+AH863)))</f>
        <v>0</v>
      </c>
      <c r="AJ863">
        <f>IF(COUNT($AI$850:$AI$863)&lt;14,"",AVERAGE($AI$850:$AI$863))</f>
        <v>0</v>
      </c>
      <c r="AK863">
        <f>IF(COUNT($E$2:$E863)&lt;20,"",AVERAGE($E$844:$E$863))</f>
        <v>0</v>
      </c>
      <c r="AL863">
        <f>IF(COUNT($E$2:$E863)&lt;20,"",STDEVP($E$844:$E$863))</f>
        <v>0</v>
      </c>
      <c r="AM863">
        <f>IF(AK863="","",AK863+2*AL863)</f>
        <v>0</v>
      </c>
      <c r="AN863">
        <f>IF(AK863="","",AK863-2*AL863)</f>
        <v>0</v>
      </c>
      <c r="AO863">
        <f>IF(OR(AM863="",AN863="",AM863=AN863),"",($E863-AN863)/(AM863-AN863))</f>
        <v>0</v>
      </c>
      <c r="AP863">
        <f>IF(OR(AM863="",AK863="",AK863=0),"",(AM863-AN863)/AK863)</f>
        <v>0</v>
      </c>
      <c r="AQ863">
        <f>IF(COUNT($E$2:$E863)&lt;20,"",MAX($C$844:$C$863))</f>
        <v>0</v>
      </c>
      <c r="AR863">
        <f>IF(COUNT($E$2:$E863)&lt;20,"",MIN($D$844:$D$863))</f>
        <v>0</v>
      </c>
      <c r="AS863">
        <f>IF(OR(AQ863="",AR863=""),"",(AQ863+AR863)/2)</f>
        <v>0</v>
      </c>
      <c r="AT863">
        <f>IF(COUNT($G$844:$G$863)&lt;20,"",STDEV($G$844:$G$863)*SQRT(252))</f>
        <v>0</v>
      </c>
      <c r="AU863">
        <f>IF(COUNT($E$2:$E863)&lt;9,"",(MAX($C$855:$C$863)+MIN($D$855:$D$863))/2)</f>
        <v>0</v>
      </c>
      <c r="AV863">
        <f>IF(COUNT($E$2:$E863)&lt;26,"",(MAX($C$838:$C$863)+MIN($D$838:$D$863))/2)</f>
        <v>0</v>
      </c>
      <c r="AW863">
        <f>IF(OR(AU863="",AV863=""),"",(AU863+AV863)/2)</f>
        <v>0</v>
      </c>
      <c r="AX863">
        <f>IF(COUNT($E$2:$E863)&lt;52,"",(MAX($C$812:$C$863)+MIN($D$812:$D$863))/2)</f>
        <v>0</v>
      </c>
      <c r="AY863">
        <f>IF(COUNT($E$2:$E863)&lt;20,"",MAX($C$764:$C$863))</f>
        <v>0</v>
      </c>
      <c r="AZ863">
        <f>IF(COUNT($E$2:$E863)&lt;20,"",MIN($D$764:$D$863))</f>
        <v>0</v>
      </c>
      <c r="BA863">
        <f>IF(COUNT($E$2:$E863)&lt;20,"",SLOPE($E$764:$E$863,$F$764:$F$863))</f>
        <v>0</v>
      </c>
      <c r="BB863">
        <f>IF(COUNT($E$2:$E863)&lt;20,"",INTERCEPT($E$764:$E$863,$F$764:$F$863))</f>
        <v>0</v>
      </c>
      <c r="BC863">
        <f>IF(OR(BA863="",BB863=""),"",BB863+BA863*F863)</f>
        <v>0</v>
      </c>
      <c r="BD863">
        <f>IF(COUNT($E$2:$E863)&lt;20,"",STEYX($E$764:$E$863,$F$764:$F$863))</f>
        <v>0</v>
      </c>
      <c r="BE863">
        <f>IF($E863="","",IF(AND(COUNT($E$864:$E$867)&gt;=4,$C863=MAX($C$859:$C$867)),$C863,""))</f>
        <v>0</v>
      </c>
      <c r="BF863">
        <f>IF($E863="","",IF(AND(COUNT($E$864:$E$867)&gt;=4,$D863=MIN($D$859:$D$867)),$D863,""))</f>
        <v>0</v>
      </c>
      <c r="BG863">
        <f>IF($A863="","",$A863-WEEKDAY($A863,2)+1)</f>
        <v>0</v>
      </c>
      <c r="BH863">
        <f>IF($A863="","",IF($A862="",1,IF(BG863&lt;&gt;BG862,1,0)))</f>
        <v>0</v>
      </c>
      <c r="BI863">
        <f>IF($A863="","",IF($A864="",1,IF(BG864&lt;&gt;BG863,1,0)))</f>
        <v>0</v>
      </c>
      <c r="BJ863">
        <f>IF($A863="","",IF(BH863=1,$B863,BJ862))</f>
        <v>0</v>
      </c>
      <c r="BK863">
        <f>IF($A863="","",IF(BH863=1,$C863,MAX($C863,BK862)))</f>
        <v>0</v>
      </c>
      <c r="BL863">
        <f>IF($A863="","",IF(BH863=1,$D863,MIN($D863,BL862)))</f>
        <v>0</v>
      </c>
      <c r="BM863">
        <f>IF($A863="","",IF(BI863=1,F863,""))</f>
        <v>0</v>
      </c>
      <c r="BN863">
        <f>IF($A863="","",DATE(YEAR($A863),MONTH($A863),1))</f>
        <v>0</v>
      </c>
      <c r="BO863">
        <f>IF($A863="","",IF($A862="",1,IF(BN863&lt;&gt;BN862,1,0)))</f>
        <v>0</v>
      </c>
      <c r="BP863">
        <f>IF($A863="","",IF($A864="",1,IF(BN864&lt;&gt;BN863,1,0)))</f>
        <v>0</v>
      </c>
      <c r="BQ863">
        <f>IF($A863="","",IF(BO863=1,$B863,BQ862))</f>
        <v>0</v>
      </c>
      <c r="BR863">
        <f>IF($A863="","",IF(BO863=1,$C863,MAX($C863,BR862)))</f>
        <v>0</v>
      </c>
      <c r="BS863">
        <f>IF($A863="","",IF(BO863=1,$D863,MIN($D863,BS862)))</f>
        <v>0</v>
      </c>
      <c r="BT863">
        <f>IF($A863="","",IF(BP863=1,F863,""))</f>
        <v>0</v>
      </c>
    </row>
    <row r="864" spans="1:72">
      <c r="A864" s="27">
        <f>IF(Data!$A864="","",Data!$A864)</f>
        <v>0</v>
      </c>
      <c r="B864">
        <f>IF(Data!$B864="","",Data!$B864)</f>
        <v>0</v>
      </c>
      <c r="C864">
        <f>IF(Data!$C864="","",Data!$C864)</f>
        <v>0</v>
      </c>
      <c r="D864">
        <f>IF(Data!$D864="","",Data!$D864)</f>
        <v>0</v>
      </c>
      <c r="E864">
        <f>IF(Data!$E864="","",Data!$E864)</f>
        <v>0</v>
      </c>
      <c r="F864">
        <f>IF($E864="","",N(F863)+1)</f>
        <v>0</v>
      </c>
      <c r="G864">
        <f>IF(OR($E864="",$E863=""),"",LN($E864/$E863))</f>
        <v>0</v>
      </c>
      <c r="H864">
        <f>IF($E864="","",IF($E863="",$E864,$E864*0.0952380952+H863*0.9047619048))</f>
        <v>0</v>
      </c>
      <c r="I864">
        <f>IF($E864="","",IF($E863="",$E864,$E864*0.0392156863+I863*0.9607843137))</f>
        <v>0</v>
      </c>
      <c r="J864">
        <f>IF($E864="","",IF($E863="",$E864,$E864*0.0198019802+J863*0.9801980198))</f>
        <v>0</v>
      </c>
      <c r="K864">
        <f>IF($E864="","",IF($E863="",$E864,$E864*0.0099502488+K863*0.9900497512))</f>
        <v>0</v>
      </c>
      <c r="L864">
        <f>IF(OR($E864="",$E863=""),"",MAX($E864-$E863,0))</f>
        <v>0</v>
      </c>
      <c r="M864">
        <f>IF(OR($E864="",$E863=""),"",MAX($E863-$E864,0))</f>
        <v>0</v>
      </c>
      <c r="N864">
        <f>IF(COUNT($E$2:$E864)&lt;15,"",IF(AVERAGE($M$851:$M$864)=0,100,100-100/(1+AVERAGE($L$851:$L$864)/AVERAGE($M$851:$M$864))))</f>
        <v>0</v>
      </c>
      <c r="O864">
        <f>IF($E864="","",IF($E863="",$E864,$E864*0.1538461538+O863*0.8461538462))</f>
        <v>0</v>
      </c>
      <c r="P864">
        <f>IF($E864="","",IF($E863="",$E864,$E864*0.0740740741+P863*0.9259259259))</f>
        <v>0</v>
      </c>
      <c r="Q864">
        <f>IF(OR(O864="",P864=""),"",O864-P864)</f>
        <v>0</v>
      </c>
      <c r="R864">
        <f>IF(Q864="","",IF(R863="",Q864,Q864*0.2000000000+R863*0.8000000000))</f>
        <v>0</v>
      </c>
      <c r="S864">
        <f>IF(OR(Q864="",R864=""),"",Q864-R864)</f>
        <v>0</v>
      </c>
      <c r="T864">
        <f>IF(COUNT($E$2:$E864)&lt;14,"",MAX($C$851:$C$864))</f>
        <v>0</v>
      </c>
      <c r="U864">
        <f>IF(COUNT($E$2:$E864)&lt;14,"",MIN($D$851:$D$864))</f>
        <v>0</v>
      </c>
      <c r="V864">
        <f>IF(OR(T864="",U864="",T864=U864),"",100*($E864-U864)/(T864-U864))</f>
        <v>0</v>
      </c>
      <c r="W864">
        <f>IF(COUNT($V$862:$V$864)&lt;3,"",AVERAGE($V$862:$V$864))</f>
        <v>0</v>
      </c>
      <c r="X864">
        <f>IF(COUNT($N$851:$N$864)&lt;14,"",MIN($N$851:$N$864))</f>
        <v>0</v>
      </c>
      <c r="Y864">
        <f>IF(COUNT($N$851:$N$864)&lt;14,"",MAX($N$851:$N$864))</f>
        <v>0</v>
      </c>
      <c r="Z864">
        <f>IF(OR(N864="",X864="",Y864="",Y864=X864),"",100*(N864-X864)/(Y864-X864))</f>
        <v>0</v>
      </c>
      <c r="AA864">
        <f>IF(COUNT($Z$862:$Z$864)&lt;3,"",AVERAGE($Z$862:$Z$864))</f>
        <v>0</v>
      </c>
      <c r="AB864">
        <f>IF(COUNT($AA$862:$AA$864)&lt;3,"",AVERAGE($AA$862:$AA$864))</f>
        <v>0</v>
      </c>
      <c r="AC864">
        <f>IF($E864="","",MAX($C864-$D864,ABS($C864-$E863),ABS($D864-$E863)))</f>
        <v>0</v>
      </c>
      <c r="AD864">
        <f>IF(COUNT($E$2:$E864)&lt;15,"",AVERAGE($AC$851:$AC$864))</f>
        <v>0</v>
      </c>
      <c r="AE864">
        <f>IF(OR($E864="",$E863=""),"",IF(AND(($C864-$C863)&gt;($D863-$D864),($C864-$C863)&gt;0),$C864-$C863,0))</f>
        <v>0</v>
      </c>
      <c r="AF864">
        <f>IF(OR($E864="",$E863=""),"",IF(AND(($D863-$D864)&gt;($C864-$C863),($D863-$D864)&gt;0),$D863-$D864,0))</f>
        <v>0</v>
      </c>
      <c r="AG864">
        <f>IF(COUNT($E$2:$E864)&lt;15,"",IF(SUM($AC$851:$AC$864)=0,0,100*SUM($AE$851:$AE$864)/SUM($AC$851:$AC$864)))</f>
        <v>0</v>
      </c>
      <c r="AH864">
        <f>IF(COUNT($E$2:$E864)&lt;15,"",IF(SUM($AC$851:$AC$864)=0,0,100*SUM($AF$851:$AF$864)/SUM($AC$851:$AC$864)))</f>
        <v>0</v>
      </c>
      <c r="AI864">
        <f>IF(OR(AG864="",AH864=""),"",IF((AG864+AH864)=0,0,100*ABS(AG864-AH864)/(AG864+AH864)))</f>
        <v>0</v>
      </c>
      <c r="AJ864">
        <f>IF(COUNT($AI$851:$AI$864)&lt;14,"",AVERAGE($AI$851:$AI$864))</f>
        <v>0</v>
      </c>
      <c r="AK864">
        <f>IF(COUNT($E$2:$E864)&lt;20,"",AVERAGE($E$845:$E$864))</f>
        <v>0</v>
      </c>
      <c r="AL864">
        <f>IF(COUNT($E$2:$E864)&lt;20,"",STDEVP($E$845:$E$864))</f>
        <v>0</v>
      </c>
      <c r="AM864">
        <f>IF(AK864="","",AK864+2*AL864)</f>
        <v>0</v>
      </c>
      <c r="AN864">
        <f>IF(AK864="","",AK864-2*AL864)</f>
        <v>0</v>
      </c>
      <c r="AO864">
        <f>IF(OR(AM864="",AN864="",AM864=AN864),"",($E864-AN864)/(AM864-AN864))</f>
        <v>0</v>
      </c>
      <c r="AP864">
        <f>IF(OR(AM864="",AK864="",AK864=0),"",(AM864-AN864)/AK864)</f>
        <v>0</v>
      </c>
      <c r="AQ864">
        <f>IF(COUNT($E$2:$E864)&lt;20,"",MAX($C$845:$C$864))</f>
        <v>0</v>
      </c>
      <c r="AR864">
        <f>IF(COUNT($E$2:$E864)&lt;20,"",MIN($D$845:$D$864))</f>
        <v>0</v>
      </c>
      <c r="AS864">
        <f>IF(OR(AQ864="",AR864=""),"",(AQ864+AR864)/2)</f>
        <v>0</v>
      </c>
      <c r="AT864">
        <f>IF(COUNT($G$845:$G$864)&lt;20,"",STDEV($G$845:$G$864)*SQRT(252))</f>
        <v>0</v>
      </c>
      <c r="AU864">
        <f>IF(COUNT($E$2:$E864)&lt;9,"",(MAX($C$856:$C$864)+MIN($D$856:$D$864))/2)</f>
        <v>0</v>
      </c>
      <c r="AV864">
        <f>IF(COUNT($E$2:$E864)&lt;26,"",(MAX($C$839:$C$864)+MIN($D$839:$D$864))/2)</f>
        <v>0</v>
      </c>
      <c r="AW864">
        <f>IF(OR(AU864="",AV864=""),"",(AU864+AV864)/2)</f>
        <v>0</v>
      </c>
      <c r="AX864">
        <f>IF(COUNT($E$2:$E864)&lt;52,"",(MAX($C$813:$C$864)+MIN($D$813:$D$864))/2)</f>
        <v>0</v>
      </c>
      <c r="AY864">
        <f>IF(COUNT($E$2:$E864)&lt;20,"",MAX($C$765:$C$864))</f>
        <v>0</v>
      </c>
      <c r="AZ864">
        <f>IF(COUNT($E$2:$E864)&lt;20,"",MIN($D$765:$D$864))</f>
        <v>0</v>
      </c>
      <c r="BA864">
        <f>IF(COUNT($E$2:$E864)&lt;20,"",SLOPE($E$765:$E$864,$F$765:$F$864))</f>
        <v>0</v>
      </c>
      <c r="BB864">
        <f>IF(COUNT($E$2:$E864)&lt;20,"",INTERCEPT($E$765:$E$864,$F$765:$F$864))</f>
        <v>0</v>
      </c>
      <c r="BC864">
        <f>IF(OR(BA864="",BB864=""),"",BB864+BA864*F864)</f>
        <v>0</v>
      </c>
      <c r="BD864">
        <f>IF(COUNT($E$2:$E864)&lt;20,"",STEYX($E$765:$E$864,$F$765:$F$864))</f>
        <v>0</v>
      </c>
      <c r="BE864">
        <f>IF($E864="","",IF(AND(COUNT($E$865:$E$868)&gt;=4,$C864=MAX($C$860:$C$868)),$C864,""))</f>
        <v>0</v>
      </c>
      <c r="BF864">
        <f>IF($E864="","",IF(AND(COUNT($E$865:$E$868)&gt;=4,$D864=MIN($D$860:$D$868)),$D864,""))</f>
        <v>0</v>
      </c>
      <c r="BG864">
        <f>IF($A864="","",$A864-WEEKDAY($A864,2)+1)</f>
        <v>0</v>
      </c>
      <c r="BH864">
        <f>IF($A864="","",IF($A863="",1,IF(BG864&lt;&gt;BG863,1,0)))</f>
        <v>0</v>
      </c>
      <c r="BI864">
        <f>IF($A864="","",IF($A865="",1,IF(BG865&lt;&gt;BG864,1,0)))</f>
        <v>0</v>
      </c>
      <c r="BJ864">
        <f>IF($A864="","",IF(BH864=1,$B864,BJ863))</f>
        <v>0</v>
      </c>
      <c r="BK864">
        <f>IF($A864="","",IF(BH864=1,$C864,MAX($C864,BK863)))</f>
        <v>0</v>
      </c>
      <c r="BL864">
        <f>IF($A864="","",IF(BH864=1,$D864,MIN($D864,BL863)))</f>
        <v>0</v>
      </c>
      <c r="BM864">
        <f>IF($A864="","",IF(BI864=1,F864,""))</f>
        <v>0</v>
      </c>
      <c r="BN864">
        <f>IF($A864="","",DATE(YEAR($A864),MONTH($A864),1))</f>
        <v>0</v>
      </c>
      <c r="BO864">
        <f>IF($A864="","",IF($A863="",1,IF(BN864&lt;&gt;BN863,1,0)))</f>
        <v>0</v>
      </c>
      <c r="BP864">
        <f>IF($A864="","",IF($A865="",1,IF(BN865&lt;&gt;BN864,1,0)))</f>
        <v>0</v>
      </c>
      <c r="BQ864">
        <f>IF($A864="","",IF(BO864=1,$B864,BQ863))</f>
        <v>0</v>
      </c>
      <c r="BR864">
        <f>IF($A864="","",IF(BO864=1,$C864,MAX($C864,BR863)))</f>
        <v>0</v>
      </c>
      <c r="BS864">
        <f>IF($A864="","",IF(BO864=1,$D864,MIN($D864,BS863)))</f>
        <v>0</v>
      </c>
      <c r="BT864">
        <f>IF($A864="","",IF(BP864=1,F864,""))</f>
        <v>0</v>
      </c>
    </row>
    <row r="865" spans="1:72">
      <c r="A865" s="27">
        <f>IF(Data!$A865="","",Data!$A865)</f>
        <v>0</v>
      </c>
      <c r="B865">
        <f>IF(Data!$B865="","",Data!$B865)</f>
        <v>0</v>
      </c>
      <c r="C865">
        <f>IF(Data!$C865="","",Data!$C865)</f>
        <v>0</v>
      </c>
      <c r="D865">
        <f>IF(Data!$D865="","",Data!$D865)</f>
        <v>0</v>
      </c>
      <c r="E865">
        <f>IF(Data!$E865="","",Data!$E865)</f>
        <v>0</v>
      </c>
      <c r="F865">
        <f>IF($E865="","",N(F864)+1)</f>
        <v>0</v>
      </c>
      <c r="G865">
        <f>IF(OR($E865="",$E864=""),"",LN($E865/$E864))</f>
        <v>0</v>
      </c>
      <c r="H865">
        <f>IF($E865="","",IF($E864="",$E865,$E865*0.0952380952+H864*0.9047619048))</f>
        <v>0</v>
      </c>
      <c r="I865">
        <f>IF($E865="","",IF($E864="",$E865,$E865*0.0392156863+I864*0.9607843137))</f>
        <v>0</v>
      </c>
      <c r="J865">
        <f>IF($E865="","",IF($E864="",$E865,$E865*0.0198019802+J864*0.9801980198))</f>
        <v>0</v>
      </c>
      <c r="K865">
        <f>IF($E865="","",IF($E864="",$E865,$E865*0.0099502488+K864*0.9900497512))</f>
        <v>0</v>
      </c>
      <c r="L865">
        <f>IF(OR($E865="",$E864=""),"",MAX($E865-$E864,0))</f>
        <v>0</v>
      </c>
      <c r="M865">
        <f>IF(OR($E865="",$E864=""),"",MAX($E864-$E865,0))</f>
        <v>0</v>
      </c>
      <c r="N865">
        <f>IF(COUNT($E$2:$E865)&lt;15,"",IF(AVERAGE($M$852:$M$865)=0,100,100-100/(1+AVERAGE($L$852:$L$865)/AVERAGE($M$852:$M$865))))</f>
        <v>0</v>
      </c>
      <c r="O865">
        <f>IF($E865="","",IF($E864="",$E865,$E865*0.1538461538+O864*0.8461538462))</f>
        <v>0</v>
      </c>
      <c r="P865">
        <f>IF($E865="","",IF($E864="",$E865,$E865*0.0740740741+P864*0.9259259259))</f>
        <v>0</v>
      </c>
      <c r="Q865">
        <f>IF(OR(O865="",P865=""),"",O865-P865)</f>
        <v>0</v>
      </c>
      <c r="R865">
        <f>IF(Q865="","",IF(R864="",Q865,Q865*0.2000000000+R864*0.8000000000))</f>
        <v>0</v>
      </c>
      <c r="S865">
        <f>IF(OR(Q865="",R865=""),"",Q865-R865)</f>
        <v>0</v>
      </c>
      <c r="T865">
        <f>IF(COUNT($E$2:$E865)&lt;14,"",MAX($C$852:$C$865))</f>
        <v>0</v>
      </c>
      <c r="U865">
        <f>IF(COUNT($E$2:$E865)&lt;14,"",MIN($D$852:$D$865))</f>
        <v>0</v>
      </c>
      <c r="V865">
        <f>IF(OR(T865="",U865="",T865=U865),"",100*($E865-U865)/(T865-U865))</f>
        <v>0</v>
      </c>
      <c r="W865">
        <f>IF(COUNT($V$863:$V$865)&lt;3,"",AVERAGE($V$863:$V$865))</f>
        <v>0</v>
      </c>
      <c r="X865">
        <f>IF(COUNT($N$852:$N$865)&lt;14,"",MIN($N$852:$N$865))</f>
        <v>0</v>
      </c>
      <c r="Y865">
        <f>IF(COUNT($N$852:$N$865)&lt;14,"",MAX($N$852:$N$865))</f>
        <v>0</v>
      </c>
      <c r="Z865">
        <f>IF(OR(N865="",X865="",Y865="",Y865=X865),"",100*(N865-X865)/(Y865-X865))</f>
        <v>0</v>
      </c>
      <c r="AA865">
        <f>IF(COUNT($Z$863:$Z$865)&lt;3,"",AVERAGE($Z$863:$Z$865))</f>
        <v>0</v>
      </c>
      <c r="AB865">
        <f>IF(COUNT($AA$863:$AA$865)&lt;3,"",AVERAGE($AA$863:$AA$865))</f>
        <v>0</v>
      </c>
      <c r="AC865">
        <f>IF($E865="","",MAX($C865-$D865,ABS($C865-$E864),ABS($D865-$E864)))</f>
        <v>0</v>
      </c>
      <c r="AD865">
        <f>IF(COUNT($E$2:$E865)&lt;15,"",AVERAGE($AC$852:$AC$865))</f>
        <v>0</v>
      </c>
      <c r="AE865">
        <f>IF(OR($E865="",$E864=""),"",IF(AND(($C865-$C864)&gt;($D864-$D865),($C865-$C864)&gt;0),$C865-$C864,0))</f>
        <v>0</v>
      </c>
      <c r="AF865">
        <f>IF(OR($E865="",$E864=""),"",IF(AND(($D864-$D865)&gt;($C865-$C864),($D864-$D865)&gt;0),$D864-$D865,0))</f>
        <v>0</v>
      </c>
      <c r="AG865">
        <f>IF(COUNT($E$2:$E865)&lt;15,"",IF(SUM($AC$852:$AC$865)=0,0,100*SUM($AE$852:$AE$865)/SUM($AC$852:$AC$865)))</f>
        <v>0</v>
      </c>
      <c r="AH865">
        <f>IF(COUNT($E$2:$E865)&lt;15,"",IF(SUM($AC$852:$AC$865)=0,0,100*SUM($AF$852:$AF$865)/SUM($AC$852:$AC$865)))</f>
        <v>0</v>
      </c>
      <c r="AI865">
        <f>IF(OR(AG865="",AH865=""),"",IF((AG865+AH865)=0,0,100*ABS(AG865-AH865)/(AG865+AH865)))</f>
        <v>0</v>
      </c>
      <c r="AJ865">
        <f>IF(COUNT($AI$852:$AI$865)&lt;14,"",AVERAGE($AI$852:$AI$865))</f>
        <v>0</v>
      </c>
      <c r="AK865">
        <f>IF(COUNT($E$2:$E865)&lt;20,"",AVERAGE($E$846:$E$865))</f>
        <v>0</v>
      </c>
      <c r="AL865">
        <f>IF(COUNT($E$2:$E865)&lt;20,"",STDEVP($E$846:$E$865))</f>
        <v>0</v>
      </c>
      <c r="AM865">
        <f>IF(AK865="","",AK865+2*AL865)</f>
        <v>0</v>
      </c>
      <c r="AN865">
        <f>IF(AK865="","",AK865-2*AL865)</f>
        <v>0</v>
      </c>
      <c r="AO865">
        <f>IF(OR(AM865="",AN865="",AM865=AN865),"",($E865-AN865)/(AM865-AN865))</f>
        <v>0</v>
      </c>
      <c r="AP865">
        <f>IF(OR(AM865="",AK865="",AK865=0),"",(AM865-AN865)/AK865)</f>
        <v>0</v>
      </c>
      <c r="AQ865">
        <f>IF(COUNT($E$2:$E865)&lt;20,"",MAX($C$846:$C$865))</f>
        <v>0</v>
      </c>
      <c r="AR865">
        <f>IF(COUNT($E$2:$E865)&lt;20,"",MIN($D$846:$D$865))</f>
        <v>0</v>
      </c>
      <c r="AS865">
        <f>IF(OR(AQ865="",AR865=""),"",(AQ865+AR865)/2)</f>
        <v>0</v>
      </c>
      <c r="AT865">
        <f>IF(COUNT($G$846:$G$865)&lt;20,"",STDEV($G$846:$G$865)*SQRT(252))</f>
        <v>0</v>
      </c>
      <c r="AU865">
        <f>IF(COUNT($E$2:$E865)&lt;9,"",(MAX($C$857:$C$865)+MIN($D$857:$D$865))/2)</f>
        <v>0</v>
      </c>
      <c r="AV865">
        <f>IF(COUNT($E$2:$E865)&lt;26,"",(MAX($C$840:$C$865)+MIN($D$840:$D$865))/2)</f>
        <v>0</v>
      </c>
      <c r="AW865">
        <f>IF(OR(AU865="",AV865=""),"",(AU865+AV865)/2)</f>
        <v>0</v>
      </c>
      <c r="AX865">
        <f>IF(COUNT($E$2:$E865)&lt;52,"",(MAX($C$814:$C$865)+MIN($D$814:$D$865))/2)</f>
        <v>0</v>
      </c>
      <c r="AY865">
        <f>IF(COUNT($E$2:$E865)&lt;20,"",MAX($C$766:$C$865))</f>
        <v>0</v>
      </c>
      <c r="AZ865">
        <f>IF(COUNT($E$2:$E865)&lt;20,"",MIN($D$766:$D$865))</f>
        <v>0</v>
      </c>
      <c r="BA865">
        <f>IF(COUNT($E$2:$E865)&lt;20,"",SLOPE($E$766:$E$865,$F$766:$F$865))</f>
        <v>0</v>
      </c>
      <c r="BB865">
        <f>IF(COUNT($E$2:$E865)&lt;20,"",INTERCEPT($E$766:$E$865,$F$766:$F$865))</f>
        <v>0</v>
      </c>
      <c r="BC865">
        <f>IF(OR(BA865="",BB865=""),"",BB865+BA865*F865)</f>
        <v>0</v>
      </c>
      <c r="BD865">
        <f>IF(COUNT($E$2:$E865)&lt;20,"",STEYX($E$766:$E$865,$F$766:$F$865))</f>
        <v>0</v>
      </c>
      <c r="BE865">
        <f>IF($E865="","",IF(AND(COUNT($E$866:$E$869)&gt;=4,$C865=MAX($C$861:$C$869)),$C865,""))</f>
        <v>0</v>
      </c>
      <c r="BF865">
        <f>IF($E865="","",IF(AND(COUNT($E$866:$E$869)&gt;=4,$D865=MIN($D$861:$D$869)),$D865,""))</f>
        <v>0</v>
      </c>
      <c r="BG865">
        <f>IF($A865="","",$A865-WEEKDAY($A865,2)+1)</f>
        <v>0</v>
      </c>
      <c r="BH865">
        <f>IF($A865="","",IF($A864="",1,IF(BG865&lt;&gt;BG864,1,0)))</f>
        <v>0</v>
      </c>
      <c r="BI865">
        <f>IF($A865="","",IF($A866="",1,IF(BG866&lt;&gt;BG865,1,0)))</f>
        <v>0</v>
      </c>
      <c r="BJ865">
        <f>IF($A865="","",IF(BH865=1,$B865,BJ864))</f>
        <v>0</v>
      </c>
      <c r="BK865">
        <f>IF($A865="","",IF(BH865=1,$C865,MAX($C865,BK864)))</f>
        <v>0</v>
      </c>
      <c r="BL865">
        <f>IF($A865="","",IF(BH865=1,$D865,MIN($D865,BL864)))</f>
        <v>0</v>
      </c>
      <c r="BM865">
        <f>IF($A865="","",IF(BI865=1,F865,""))</f>
        <v>0</v>
      </c>
      <c r="BN865">
        <f>IF($A865="","",DATE(YEAR($A865),MONTH($A865),1))</f>
        <v>0</v>
      </c>
      <c r="BO865">
        <f>IF($A865="","",IF($A864="",1,IF(BN865&lt;&gt;BN864,1,0)))</f>
        <v>0</v>
      </c>
      <c r="BP865">
        <f>IF($A865="","",IF($A866="",1,IF(BN866&lt;&gt;BN865,1,0)))</f>
        <v>0</v>
      </c>
      <c r="BQ865">
        <f>IF($A865="","",IF(BO865=1,$B865,BQ864))</f>
        <v>0</v>
      </c>
      <c r="BR865">
        <f>IF($A865="","",IF(BO865=1,$C865,MAX($C865,BR864)))</f>
        <v>0</v>
      </c>
      <c r="BS865">
        <f>IF($A865="","",IF(BO865=1,$D865,MIN($D865,BS864)))</f>
        <v>0</v>
      </c>
      <c r="BT865">
        <f>IF($A865="","",IF(BP865=1,F865,""))</f>
        <v>0</v>
      </c>
    </row>
    <row r="866" spans="1:72">
      <c r="A866" s="27">
        <f>IF(Data!$A866="","",Data!$A866)</f>
        <v>0</v>
      </c>
      <c r="B866">
        <f>IF(Data!$B866="","",Data!$B866)</f>
        <v>0</v>
      </c>
      <c r="C866">
        <f>IF(Data!$C866="","",Data!$C866)</f>
        <v>0</v>
      </c>
      <c r="D866">
        <f>IF(Data!$D866="","",Data!$D866)</f>
        <v>0</v>
      </c>
      <c r="E866">
        <f>IF(Data!$E866="","",Data!$E866)</f>
        <v>0</v>
      </c>
      <c r="F866">
        <f>IF($E866="","",N(F865)+1)</f>
        <v>0</v>
      </c>
      <c r="G866">
        <f>IF(OR($E866="",$E865=""),"",LN($E866/$E865))</f>
        <v>0</v>
      </c>
      <c r="H866">
        <f>IF($E866="","",IF($E865="",$E866,$E866*0.0952380952+H865*0.9047619048))</f>
        <v>0</v>
      </c>
      <c r="I866">
        <f>IF($E866="","",IF($E865="",$E866,$E866*0.0392156863+I865*0.9607843137))</f>
        <v>0</v>
      </c>
      <c r="J866">
        <f>IF($E866="","",IF($E865="",$E866,$E866*0.0198019802+J865*0.9801980198))</f>
        <v>0</v>
      </c>
      <c r="K866">
        <f>IF($E866="","",IF($E865="",$E866,$E866*0.0099502488+K865*0.9900497512))</f>
        <v>0</v>
      </c>
      <c r="L866">
        <f>IF(OR($E866="",$E865=""),"",MAX($E866-$E865,0))</f>
        <v>0</v>
      </c>
      <c r="M866">
        <f>IF(OR($E866="",$E865=""),"",MAX($E865-$E866,0))</f>
        <v>0</v>
      </c>
      <c r="N866">
        <f>IF(COUNT($E$2:$E866)&lt;15,"",IF(AVERAGE($M$853:$M$866)=0,100,100-100/(1+AVERAGE($L$853:$L$866)/AVERAGE($M$853:$M$866))))</f>
        <v>0</v>
      </c>
      <c r="O866">
        <f>IF($E866="","",IF($E865="",$E866,$E866*0.1538461538+O865*0.8461538462))</f>
        <v>0</v>
      </c>
      <c r="P866">
        <f>IF($E866="","",IF($E865="",$E866,$E866*0.0740740741+P865*0.9259259259))</f>
        <v>0</v>
      </c>
      <c r="Q866">
        <f>IF(OR(O866="",P866=""),"",O866-P866)</f>
        <v>0</v>
      </c>
      <c r="R866">
        <f>IF(Q866="","",IF(R865="",Q866,Q866*0.2000000000+R865*0.8000000000))</f>
        <v>0</v>
      </c>
      <c r="S866">
        <f>IF(OR(Q866="",R866=""),"",Q866-R866)</f>
        <v>0</v>
      </c>
      <c r="T866">
        <f>IF(COUNT($E$2:$E866)&lt;14,"",MAX($C$853:$C$866))</f>
        <v>0</v>
      </c>
      <c r="U866">
        <f>IF(COUNT($E$2:$E866)&lt;14,"",MIN($D$853:$D$866))</f>
        <v>0</v>
      </c>
      <c r="V866">
        <f>IF(OR(T866="",U866="",T866=U866),"",100*($E866-U866)/(T866-U866))</f>
        <v>0</v>
      </c>
      <c r="W866">
        <f>IF(COUNT($V$864:$V$866)&lt;3,"",AVERAGE($V$864:$V$866))</f>
        <v>0</v>
      </c>
      <c r="X866">
        <f>IF(COUNT($N$853:$N$866)&lt;14,"",MIN($N$853:$N$866))</f>
        <v>0</v>
      </c>
      <c r="Y866">
        <f>IF(COUNT($N$853:$N$866)&lt;14,"",MAX($N$853:$N$866))</f>
        <v>0</v>
      </c>
      <c r="Z866">
        <f>IF(OR(N866="",X866="",Y866="",Y866=X866),"",100*(N866-X866)/(Y866-X866))</f>
        <v>0</v>
      </c>
      <c r="AA866">
        <f>IF(COUNT($Z$864:$Z$866)&lt;3,"",AVERAGE($Z$864:$Z$866))</f>
        <v>0</v>
      </c>
      <c r="AB866">
        <f>IF(COUNT($AA$864:$AA$866)&lt;3,"",AVERAGE($AA$864:$AA$866))</f>
        <v>0</v>
      </c>
      <c r="AC866">
        <f>IF($E866="","",MAX($C866-$D866,ABS($C866-$E865),ABS($D866-$E865)))</f>
        <v>0</v>
      </c>
      <c r="AD866">
        <f>IF(COUNT($E$2:$E866)&lt;15,"",AVERAGE($AC$853:$AC$866))</f>
        <v>0</v>
      </c>
      <c r="AE866">
        <f>IF(OR($E866="",$E865=""),"",IF(AND(($C866-$C865)&gt;($D865-$D866),($C866-$C865)&gt;0),$C866-$C865,0))</f>
        <v>0</v>
      </c>
      <c r="AF866">
        <f>IF(OR($E866="",$E865=""),"",IF(AND(($D865-$D866)&gt;($C866-$C865),($D865-$D866)&gt;0),$D865-$D866,0))</f>
        <v>0</v>
      </c>
      <c r="AG866">
        <f>IF(COUNT($E$2:$E866)&lt;15,"",IF(SUM($AC$853:$AC$866)=0,0,100*SUM($AE$853:$AE$866)/SUM($AC$853:$AC$866)))</f>
        <v>0</v>
      </c>
      <c r="AH866">
        <f>IF(COUNT($E$2:$E866)&lt;15,"",IF(SUM($AC$853:$AC$866)=0,0,100*SUM($AF$853:$AF$866)/SUM($AC$853:$AC$866)))</f>
        <v>0</v>
      </c>
      <c r="AI866">
        <f>IF(OR(AG866="",AH866=""),"",IF((AG866+AH866)=0,0,100*ABS(AG866-AH866)/(AG866+AH866)))</f>
        <v>0</v>
      </c>
      <c r="AJ866">
        <f>IF(COUNT($AI$853:$AI$866)&lt;14,"",AVERAGE($AI$853:$AI$866))</f>
        <v>0</v>
      </c>
      <c r="AK866">
        <f>IF(COUNT($E$2:$E866)&lt;20,"",AVERAGE($E$847:$E$866))</f>
        <v>0</v>
      </c>
      <c r="AL866">
        <f>IF(COUNT($E$2:$E866)&lt;20,"",STDEVP($E$847:$E$866))</f>
        <v>0</v>
      </c>
      <c r="AM866">
        <f>IF(AK866="","",AK866+2*AL866)</f>
        <v>0</v>
      </c>
      <c r="AN866">
        <f>IF(AK866="","",AK866-2*AL866)</f>
        <v>0</v>
      </c>
      <c r="AO866">
        <f>IF(OR(AM866="",AN866="",AM866=AN866),"",($E866-AN866)/(AM866-AN866))</f>
        <v>0</v>
      </c>
      <c r="AP866">
        <f>IF(OR(AM866="",AK866="",AK866=0),"",(AM866-AN866)/AK866)</f>
        <v>0</v>
      </c>
      <c r="AQ866">
        <f>IF(COUNT($E$2:$E866)&lt;20,"",MAX($C$847:$C$866))</f>
        <v>0</v>
      </c>
      <c r="AR866">
        <f>IF(COUNT($E$2:$E866)&lt;20,"",MIN($D$847:$D$866))</f>
        <v>0</v>
      </c>
      <c r="AS866">
        <f>IF(OR(AQ866="",AR866=""),"",(AQ866+AR866)/2)</f>
        <v>0</v>
      </c>
      <c r="AT866">
        <f>IF(COUNT($G$847:$G$866)&lt;20,"",STDEV($G$847:$G$866)*SQRT(252))</f>
        <v>0</v>
      </c>
      <c r="AU866">
        <f>IF(COUNT($E$2:$E866)&lt;9,"",(MAX($C$858:$C$866)+MIN($D$858:$D$866))/2)</f>
        <v>0</v>
      </c>
      <c r="AV866">
        <f>IF(COUNT($E$2:$E866)&lt;26,"",(MAX($C$841:$C$866)+MIN($D$841:$D$866))/2)</f>
        <v>0</v>
      </c>
      <c r="AW866">
        <f>IF(OR(AU866="",AV866=""),"",(AU866+AV866)/2)</f>
        <v>0</v>
      </c>
      <c r="AX866">
        <f>IF(COUNT($E$2:$E866)&lt;52,"",(MAX($C$815:$C$866)+MIN($D$815:$D$866))/2)</f>
        <v>0</v>
      </c>
      <c r="AY866">
        <f>IF(COUNT($E$2:$E866)&lt;20,"",MAX($C$767:$C$866))</f>
        <v>0</v>
      </c>
      <c r="AZ866">
        <f>IF(COUNT($E$2:$E866)&lt;20,"",MIN($D$767:$D$866))</f>
        <v>0</v>
      </c>
      <c r="BA866">
        <f>IF(COUNT($E$2:$E866)&lt;20,"",SLOPE($E$767:$E$866,$F$767:$F$866))</f>
        <v>0</v>
      </c>
      <c r="BB866">
        <f>IF(COUNT($E$2:$E866)&lt;20,"",INTERCEPT($E$767:$E$866,$F$767:$F$866))</f>
        <v>0</v>
      </c>
      <c r="BC866">
        <f>IF(OR(BA866="",BB866=""),"",BB866+BA866*F866)</f>
        <v>0</v>
      </c>
      <c r="BD866">
        <f>IF(COUNT($E$2:$E866)&lt;20,"",STEYX($E$767:$E$866,$F$767:$F$866))</f>
        <v>0</v>
      </c>
      <c r="BE866">
        <f>IF($E866="","",IF(AND(COUNT($E$867:$E$870)&gt;=4,$C866=MAX($C$862:$C$870)),$C866,""))</f>
        <v>0</v>
      </c>
      <c r="BF866">
        <f>IF($E866="","",IF(AND(COUNT($E$867:$E$870)&gt;=4,$D866=MIN($D$862:$D$870)),$D866,""))</f>
        <v>0</v>
      </c>
      <c r="BG866">
        <f>IF($A866="","",$A866-WEEKDAY($A866,2)+1)</f>
        <v>0</v>
      </c>
      <c r="BH866">
        <f>IF($A866="","",IF($A865="",1,IF(BG866&lt;&gt;BG865,1,0)))</f>
        <v>0</v>
      </c>
      <c r="BI866">
        <f>IF($A866="","",IF($A867="",1,IF(BG867&lt;&gt;BG866,1,0)))</f>
        <v>0</v>
      </c>
      <c r="BJ866">
        <f>IF($A866="","",IF(BH866=1,$B866,BJ865))</f>
        <v>0</v>
      </c>
      <c r="BK866">
        <f>IF($A866="","",IF(BH866=1,$C866,MAX($C866,BK865)))</f>
        <v>0</v>
      </c>
      <c r="BL866">
        <f>IF($A866="","",IF(BH866=1,$D866,MIN($D866,BL865)))</f>
        <v>0</v>
      </c>
      <c r="BM866">
        <f>IF($A866="","",IF(BI866=1,F866,""))</f>
        <v>0</v>
      </c>
      <c r="BN866">
        <f>IF($A866="","",DATE(YEAR($A866),MONTH($A866),1))</f>
        <v>0</v>
      </c>
      <c r="BO866">
        <f>IF($A866="","",IF($A865="",1,IF(BN866&lt;&gt;BN865,1,0)))</f>
        <v>0</v>
      </c>
      <c r="BP866">
        <f>IF($A866="","",IF($A867="",1,IF(BN867&lt;&gt;BN866,1,0)))</f>
        <v>0</v>
      </c>
      <c r="BQ866">
        <f>IF($A866="","",IF(BO866=1,$B866,BQ865))</f>
        <v>0</v>
      </c>
      <c r="BR866">
        <f>IF($A866="","",IF(BO866=1,$C866,MAX($C866,BR865)))</f>
        <v>0</v>
      </c>
      <c r="BS866">
        <f>IF($A866="","",IF(BO866=1,$D866,MIN($D866,BS865)))</f>
        <v>0</v>
      </c>
      <c r="BT866">
        <f>IF($A866="","",IF(BP866=1,F866,""))</f>
        <v>0</v>
      </c>
    </row>
    <row r="867" spans="1:72">
      <c r="A867" s="27">
        <f>IF(Data!$A867="","",Data!$A867)</f>
        <v>0</v>
      </c>
      <c r="B867">
        <f>IF(Data!$B867="","",Data!$B867)</f>
        <v>0</v>
      </c>
      <c r="C867">
        <f>IF(Data!$C867="","",Data!$C867)</f>
        <v>0</v>
      </c>
      <c r="D867">
        <f>IF(Data!$D867="","",Data!$D867)</f>
        <v>0</v>
      </c>
      <c r="E867">
        <f>IF(Data!$E867="","",Data!$E867)</f>
        <v>0</v>
      </c>
      <c r="F867">
        <f>IF($E867="","",N(F866)+1)</f>
        <v>0</v>
      </c>
      <c r="G867">
        <f>IF(OR($E867="",$E866=""),"",LN($E867/$E866))</f>
        <v>0</v>
      </c>
      <c r="H867">
        <f>IF($E867="","",IF($E866="",$E867,$E867*0.0952380952+H866*0.9047619048))</f>
        <v>0</v>
      </c>
      <c r="I867">
        <f>IF($E867="","",IF($E866="",$E867,$E867*0.0392156863+I866*0.9607843137))</f>
        <v>0</v>
      </c>
      <c r="J867">
        <f>IF($E867="","",IF($E866="",$E867,$E867*0.0198019802+J866*0.9801980198))</f>
        <v>0</v>
      </c>
      <c r="K867">
        <f>IF($E867="","",IF($E866="",$E867,$E867*0.0099502488+K866*0.9900497512))</f>
        <v>0</v>
      </c>
      <c r="L867">
        <f>IF(OR($E867="",$E866=""),"",MAX($E867-$E866,0))</f>
        <v>0</v>
      </c>
      <c r="M867">
        <f>IF(OR($E867="",$E866=""),"",MAX($E866-$E867,0))</f>
        <v>0</v>
      </c>
      <c r="N867">
        <f>IF(COUNT($E$2:$E867)&lt;15,"",IF(AVERAGE($M$854:$M$867)=0,100,100-100/(1+AVERAGE($L$854:$L$867)/AVERAGE($M$854:$M$867))))</f>
        <v>0</v>
      </c>
      <c r="O867">
        <f>IF($E867="","",IF($E866="",$E867,$E867*0.1538461538+O866*0.8461538462))</f>
        <v>0</v>
      </c>
      <c r="P867">
        <f>IF($E867="","",IF($E866="",$E867,$E867*0.0740740741+P866*0.9259259259))</f>
        <v>0</v>
      </c>
      <c r="Q867">
        <f>IF(OR(O867="",P867=""),"",O867-P867)</f>
        <v>0</v>
      </c>
      <c r="R867">
        <f>IF(Q867="","",IF(R866="",Q867,Q867*0.2000000000+R866*0.8000000000))</f>
        <v>0</v>
      </c>
      <c r="S867">
        <f>IF(OR(Q867="",R867=""),"",Q867-R867)</f>
        <v>0</v>
      </c>
      <c r="T867">
        <f>IF(COUNT($E$2:$E867)&lt;14,"",MAX($C$854:$C$867))</f>
        <v>0</v>
      </c>
      <c r="U867">
        <f>IF(COUNT($E$2:$E867)&lt;14,"",MIN($D$854:$D$867))</f>
        <v>0</v>
      </c>
      <c r="V867">
        <f>IF(OR(T867="",U867="",T867=U867),"",100*($E867-U867)/(T867-U867))</f>
        <v>0</v>
      </c>
      <c r="W867">
        <f>IF(COUNT($V$865:$V$867)&lt;3,"",AVERAGE($V$865:$V$867))</f>
        <v>0</v>
      </c>
      <c r="X867">
        <f>IF(COUNT($N$854:$N$867)&lt;14,"",MIN($N$854:$N$867))</f>
        <v>0</v>
      </c>
      <c r="Y867">
        <f>IF(COUNT($N$854:$N$867)&lt;14,"",MAX($N$854:$N$867))</f>
        <v>0</v>
      </c>
      <c r="Z867">
        <f>IF(OR(N867="",X867="",Y867="",Y867=X867),"",100*(N867-X867)/(Y867-X867))</f>
        <v>0</v>
      </c>
      <c r="AA867">
        <f>IF(COUNT($Z$865:$Z$867)&lt;3,"",AVERAGE($Z$865:$Z$867))</f>
        <v>0</v>
      </c>
      <c r="AB867">
        <f>IF(COUNT($AA$865:$AA$867)&lt;3,"",AVERAGE($AA$865:$AA$867))</f>
        <v>0</v>
      </c>
      <c r="AC867">
        <f>IF($E867="","",MAX($C867-$D867,ABS($C867-$E866),ABS($D867-$E866)))</f>
        <v>0</v>
      </c>
      <c r="AD867">
        <f>IF(COUNT($E$2:$E867)&lt;15,"",AVERAGE($AC$854:$AC$867))</f>
        <v>0</v>
      </c>
      <c r="AE867">
        <f>IF(OR($E867="",$E866=""),"",IF(AND(($C867-$C866)&gt;($D866-$D867),($C867-$C866)&gt;0),$C867-$C866,0))</f>
        <v>0</v>
      </c>
      <c r="AF867">
        <f>IF(OR($E867="",$E866=""),"",IF(AND(($D866-$D867)&gt;($C867-$C866),($D866-$D867)&gt;0),$D866-$D867,0))</f>
        <v>0</v>
      </c>
      <c r="AG867">
        <f>IF(COUNT($E$2:$E867)&lt;15,"",IF(SUM($AC$854:$AC$867)=0,0,100*SUM($AE$854:$AE$867)/SUM($AC$854:$AC$867)))</f>
        <v>0</v>
      </c>
      <c r="AH867">
        <f>IF(COUNT($E$2:$E867)&lt;15,"",IF(SUM($AC$854:$AC$867)=0,0,100*SUM($AF$854:$AF$867)/SUM($AC$854:$AC$867)))</f>
        <v>0</v>
      </c>
      <c r="AI867">
        <f>IF(OR(AG867="",AH867=""),"",IF((AG867+AH867)=0,0,100*ABS(AG867-AH867)/(AG867+AH867)))</f>
        <v>0</v>
      </c>
      <c r="AJ867">
        <f>IF(COUNT($AI$854:$AI$867)&lt;14,"",AVERAGE($AI$854:$AI$867))</f>
        <v>0</v>
      </c>
      <c r="AK867">
        <f>IF(COUNT($E$2:$E867)&lt;20,"",AVERAGE($E$848:$E$867))</f>
        <v>0</v>
      </c>
      <c r="AL867">
        <f>IF(COUNT($E$2:$E867)&lt;20,"",STDEVP($E$848:$E$867))</f>
        <v>0</v>
      </c>
      <c r="AM867">
        <f>IF(AK867="","",AK867+2*AL867)</f>
        <v>0</v>
      </c>
      <c r="AN867">
        <f>IF(AK867="","",AK867-2*AL867)</f>
        <v>0</v>
      </c>
      <c r="AO867">
        <f>IF(OR(AM867="",AN867="",AM867=AN867),"",($E867-AN867)/(AM867-AN867))</f>
        <v>0</v>
      </c>
      <c r="AP867">
        <f>IF(OR(AM867="",AK867="",AK867=0),"",(AM867-AN867)/AK867)</f>
        <v>0</v>
      </c>
      <c r="AQ867">
        <f>IF(COUNT($E$2:$E867)&lt;20,"",MAX($C$848:$C$867))</f>
        <v>0</v>
      </c>
      <c r="AR867">
        <f>IF(COUNT($E$2:$E867)&lt;20,"",MIN($D$848:$D$867))</f>
        <v>0</v>
      </c>
      <c r="AS867">
        <f>IF(OR(AQ867="",AR867=""),"",(AQ867+AR867)/2)</f>
        <v>0</v>
      </c>
      <c r="AT867">
        <f>IF(COUNT($G$848:$G$867)&lt;20,"",STDEV($G$848:$G$867)*SQRT(252))</f>
        <v>0</v>
      </c>
      <c r="AU867">
        <f>IF(COUNT($E$2:$E867)&lt;9,"",(MAX($C$859:$C$867)+MIN($D$859:$D$867))/2)</f>
        <v>0</v>
      </c>
      <c r="AV867">
        <f>IF(COUNT($E$2:$E867)&lt;26,"",(MAX($C$842:$C$867)+MIN($D$842:$D$867))/2)</f>
        <v>0</v>
      </c>
      <c r="AW867">
        <f>IF(OR(AU867="",AV867=""),"",(AU867+AV867)/2)</f>
        <v>0</v>
      </c>
      <c r="AX867">
        <f>IF(COUNT($E$2:$E867)&lt;52,"",(MAX($C$816:$C$867)+MIN($D$816:$D$867))/2)</f>
        <v>0</v>
      </c>
      <c r="AY867">
        <f>IF(COUNT($E$2:$E867)&lt;20,"",MAX($C$768:$C$867))</f>
        <v>0</v>
      </c>
      <c r="AZ867">
        <f>IF(COUNT($E$2:$E867)&lt;20,"",MIN($D$768:$D$867))</f>
        <v>0</v>
      </c>
      <c r="BA867">
        <f>IF(COUNT($E$2:$E867)&lt;20,"",SLOPE($E$768:$E$867,$F$768:$F$867))</f>
        <v>0</v>
      </c>
      <c r="BB867">
        <f>IF(COUNT($E$2:$E867)&lt;20,"",INTERCEPT($E$768:$E$867,$F$768:$F$867))</f>
        <v>0</v>
      </c>
      <c r="BC867">
        <f>IF(OR(BA867="",BB867=""),"",BB867+BA867*F867)</f>
        <v>0</v>
      </c>
      <c r="BD867">
        <f>IF(COUNT($E$2:$E867)&lt;20,"",STEYX($E$768:$E$867,$F$768:$F$867))</f>
        <v>0</v>
      </c>
      <c r="BE867">
        <f>IF($E867="","",IF(AND(COUNT($E$868:$E$871)&gt;=4,$C867=MAX($C$863:$C$871)),$C867,""))</f>
        <v>0</v>
      </c>
      <c r="BF867">
        <f>IF($E867="","",IF(AND(COUNT($E$868:$E$871)&gt;=4,$D867=MIN($D$863:$D$871)),$D867,""))</f>
        <v>0</v>
      </c>
      <c r="BG867">
        <f>IF($A867="","",$A867-WEEKDAY($A867,2)+1)</f>
        <v>0</v>
      </c>
      <c r="BH867">
        <f>IF($A867="","",IF($A866="",1,IF(BG867&lt;&gt;BG866,1,0)))</f>
        <v>0</v>
      </c>
      <c r="BI867">
        <f>IF($A867="","",IF($A868="",1,IF(BG868&lt;&gt;BG867,1,0)))</f>
        <v>0</v>
      </c>
      <c r="BJ867">
        <f>IF($A867="","",IF(BH867=1,$B867,BJ866))</f>
        <v>0</v>
      </c>
      <c r="BK867">
        <f>IF($A867="","",IF(BH867=1,$C867,MAX($C867,BK866)))</f>
        <v>0</v>
      </c>
      <c r="BL867">
        <f>IF($A867="","",IF(BH867=1,$D867,MIN($D867,BL866)))</f>
        <v>0</v>
      </c>
      <c r="BM867">
        <f>IF($A867="","",IF(BI867=1,F867,""))</f>
        <v>0</v>
      </c>
      <c r="BN867">
        <f>IF($A867="","",DATE(YEAR($A867),MONTH($A867),1))</f>
        <v>0</v>
      </c>
      <c r="BO867">
        <f>IF($A867="","",IF($A866="",1,IF(BN867&lt;&gt;BN866,1,0)))</f>
        <v>0</v>
      </c>
      <c r="BP867">
        <f>IF($A867="","",IF($A868="",1,IF(BN868&lt;&gt;BN867,1,0)))</f>
        <v>0</v>
      </c>
      <c r="BQ867">
        <f>IF($A867="","",IF(BO867=1,$B867,BQ866))</f>
        <v>0</v>
      </c>
      <c r="BR867">
        <f>IF($A867="","",IF(BO867=1,$C867,MAX($C867,BR866)))</f>
        <v>0</v>
      </c>
      <c r="BS867">
        <f>IF($A867="","",IF(BO867=1,$D867,MIN($D867,BS866)))</f>
        <v>0</v>
      </c>
      <c r="BT867">
        <f>IF($A867="","",IF(BP867=1,F867,""))</f>
        <v>0</v>
      </c>
    </row>
    <row r="868" spans="1:72">
      <c r="A868" s="27">
        <f>IF(Data!$A868="","",Data!$A868)</f>
        <v>0</v>
      </c>
      <c r="B868">
        <f>IF(Data!$B868="","",Data!$B868)</f>
        <v>0</v>
      </c>
      <c r="C868">
        <f>IF(Data!$C868="","",Data!$C868)</f>
        <v>0</v>
      </c>
      <c r="D868">
        <f>IF(Data!$D868="","",Data!$D868)</f>
        <v>0</v>
      </c>
      <c r="E868">
        <f>IF(Data!$E868="","",Data!$E868)</f>
        <v>0</v>
      </c>
      <c r="F868">
        <f>IF($E868="","",N(F867)+1)</f>
        <v>0</v>
      </c>
      <c r="G868">
        <f>IF(OR($E868="",$E867=""),"",LN($E868/$E867))</f>
        <v>0</v>
      </c>
      <c r="H868">
        <f>IF($E868="","",IF($E867="",$E868,$E868*0.0952380952+H867*0.9047619048))</f>
        <v>0</v>
      </c>
      <c r="I868">
        <f>IF($E868="","",IF($E867="",$E868,$E868*0.0392156863+I867*0.9607843137))</f>
        <v>0</v>
      </c>
      <c r="J868">
        <f>IF($E868="","",IF($E867="",$E868,$E868*0.0198019802+J867*0.9801980198))</f>
        <v>0</v>
      </c>
      <c r="K868">
        <f>IF($E868="","",IF($E867="",$E868,$E868*0.0099502488+K867*0.9900497512))</f>
        <v>0</v>
      </c>
      <c r="L868">
        <f>IF(OR($E868="",$E867=""),"",MAX($E868-$E867,0))</f>
        <v>0</v>
      </c>
      <c r="M868">
        <f>IF(OR($E868="",$E867=""),"",MAX($E867-$E868,0))</f>
        <v>0</v>
      </c>
      <c r="N868">
        <f>IF(COUNT($E$2:$E868)&lt;15,"",IF(AVERAGE($M$855:$M$868)=0,100,100-100/(1+AVERAGE($L$855:$L$868)/AVERAGE($M$855:$M$868))))</f>
        <v>0</v>
      </c>
      <c r="O868">
        <f>IF($E868="","",IF($E867="",$E868,$E868*0.1538461538+O867*0.8461538462))</f>
        <v>0</v>
      </c>
      <c r="P868">
        <f>IF($E868="","",IF($E867="",$E868,$E868*0.0740740741+P867*0.9259259259))</f>
        <v>0</v>
      </c>
      <c r="Q868">
        <f>IF(OR(O868="",P868=""),"",O868-P868)</f>
        <v>0</v>
      </c>
      <c r="R868">
        <f>IF(Q868="","",IF(R867="",Q868,Q868*0.2000000000+R867*0.8000000000))</f>
        <v>0</v>
      </c>
      <c r="S868">
        <f>IF(OR(Q868="",R868=""),"",Q868-R868)</f>
        <v>0</v>
      </c>
      <c r="T868">
        <f>IF(COUNT($E$2:$E868)&lt;14,"",MAX($C$855:$C$868))</f>
        <v>0</v>
      </c>
      <c r="U868">
        <f>IF(COUNT($E$2:$E868)&lt;14,"",MIN($D$855:$D$868))</f>
        <v>0</v>
      </c>
      <c r="V868">
        <f>IF(OR(T868="",U868="",T868=U868),"",100*($E868-U868)/(T868-U868))</f>
        <v>0</v>
      </c>
      <c r="W868">
        <f>IF(COUNT($V$866:$V$868)&lt;3,"",AVERAGE($V$866:$V$868))</f>
        <v>0</v>
      </c>
      <c r="X868">
        <f>IF(COUNT($N$855:$N$868)&lt;14,"",MIN($N$855:$N$868))</f>
        <v>0</v>
      </c>
      <c r="Y868">
        <f>IF(COUNT($N$855:$N$868)&lt;14,"",MAX($N$855:$N$868))</f>
        <v>0</v>
      </c>
      <c r="Z868">
        <f>IF(OR(N868="",X868="",Y868="",Y868=X868),"",100*(N868-X868)/(Y868-X868))</f>
        <v>0</v>
      </c>
      <c r="AA868">
        <f>IF(COUNT($Z$866:$Z$868)&lt;3,"",AVERAGE($Z$866:$Z$868))</f>
        <v>0</v>
      </c>
      <c r="AB868">
        <f>IF(COUNT($AA$866:$AA$868)&lt;3,"",AVERAGE($AA$866:$AA$868))</f>
        <v>0</v>
      </c>
      <c r="AC868">
        <f>IF($E868="","",MAX($C868-$D868,ABS($C868-$E867),ABS($D868-$E867)))</f>
        <v>0</v>
      </c>
      <c r="AD868">
        <f>IF(COUNT($E$2:$E868)&lt;15,"",AVERAGE($AC$855:$AC$868))</f>
        <v>0</v>
      </c>
      <c r="AE868">
        <f>IF(OR($E868="",$E867=""),"",IF(AND(($C868-$C867)&gt;($D867-$D868),($C868-$C867)&gt;0),$C868-$C867,0))</f>
        <v>0</v>
      </c>
      <c r="AF868">
        <f>IF(OR($E868="",$E867=""),"",IF(AND(($D867-$D868)&gt;($C868-$C867),($D867-$D868)&gt;0),$D867-$D868,0))</f>
        <v>0</v>
      </c>
      <c r="AG868">
        <f>IF(COUNT($E$2:$E868)&lt;15,"",IF(SUM($AC$855:$AC$868)=0,0,100*SUM($AE$855:$AE$868)/SUM($AC$855:$AC$868)))</f>
        <v>0</v>
      </c>
      <c r="AH868">
        <f>IF(COUNT($E$2:$E868)&lt;15,"",IF(SUM($AC$855:$AC$868)=0,0,100*SUM($AF$855:$AF$868)/SUM($AC$855:$AC$868)))</f>
        <v>0</v>
      </c>
      <c r="AI868">
        <f>IF(OR(AG868="",AH868=""),"",IF((AG868+AH868)=0,0,100*ABS(AG868-AH868)/(AG868+AH868)))</f>
        <v>0</v>
      </c>
      <c r="AJ868">
        <f>IF(COUNT($AI$855:$AI$868)&lt;14,"",AVERAGE($AI$855:$AI$868))</f>
        <v>0</v>
      </c>
      <c r="AK868">
        <f>IF(COUNT($E$2:$E868)&lt;20,"",AVERAGE($E$849:$E$868))</f>
        <v>0</v>
      </c>
      <c r="AL868">
        <f>IF(COUNT($E$2:$E868)&lt;20,"",STDEVP($E$849:$E$868))</f>
        <v>0</v>
      </c>
      <c r="AM868">
        <f>IF(AK868="","",AK868+2*AL868)</f>
        <v>0</v>
      </c>
      <c r="AN868">
        <f>IF(AK868="","",AK868-2*AL868)</f>
        <v>0</v>
      </c>
      <c r="AO868">
        <f>IF(OR(AM868="",AN868="",AM868=AN868),"",($E868-AN868)/(AM868-AN868))</f>
        <v>0</v>
      </c>
      <c r="AP868">
        <f>IF(OR(AM868="",AK868="",AK868=0),"",(AM868-AN868)/AK868)</f>
        <v>0</v>
      </c>
      <c r="AQ868">
        <f>IF(COUNT($E$2:$E868)&lt;20,"",MAX($C$849:$C$868))</f>
        <v>0</v>
      </c>
      <c r="AR868">
        <f>IF(COUNT($E$2:$E868)&lt;20,"",MIN($D$849:$D$868))</f>
        <v>0</v>
      </c>
      <c r="AS868">
        <f>IF(OR(AQ868="",AR868=""),"",(AQ868+AR868)/2)</f>
        <v>0</v>
      </c>
      <c r="AT868">
        <f>IF(COUNT($G$849:$G$868)&lt;20,"",STDEV($G$849:$G$868)*SQRT(252))</f>
        <v>0</v>
      </c>
      <c r="AU868">
        <f>IF(COUNT($E$2:$E868)&lt;9,"",(MAX($C$860:$C$868)+MIN($D$860:$D$868))/2)</f>
        <v>0</v>
      </c>
      <c r="AV868">
        <f>IF(COUNT($E$2:$E868)&lt;26,"",(MAX($C$843:$C$868)+MIN($D$843:$D$868))/2)</f>
        <v>0</v>
      </c>
      <c r="AW868">
        <f>IF(OR(AU868="",AV868=""),"",(AU868+AV868)/2)</f>
        <v>0</v>
      </c>
      <c r="AX868">
        <f>IF(COUNT($E$2:$E868)&lt;52,"",(MAX($C$817:$C$868)+MIN($D$817:$D$868))/2)</f>
        <v>0</v>
      </c>
      <c r="AY868">
        <f>IF(COUNT($E$2:$E868)&lt;20,"",MAX($C$769:$C$868))</f>
        <v>0</v>
      </c>
      <c r="AZ868">
        <f>IF(COUNT($E$2:$E868)&lt;20,"",MIN($D$769:$D$868))</f>
        <v>0</v>
      </c>
      <c r="BA868">
        <f>IF(COUNT($E$2:$E868)&lt;20,"",SLOPE($E$769:$E$868,$F$769:$F$868))</f>
        <v>0</v>
      </c>
      <c r="BB868">
        <f>IF(COUNT($E$2:$E868)&lt;20,"",INTERCEPT($E$769:$E$868,$F$769:$F$868))</f>
        <v>0</v>
      </c>
      <c r="BC868">
        <f>IF(OR(BA868="",BB868=""),"",BB868+BA868*F868)</f>
        <v>0</v>
      </c>
      <c r="BD868">
        <f>IF(COUNT($E$2:$E868)&lt;20,"",STEYX($E$769:$E$868,$F$769:$F$868))</f>
        <v>0</v>
      </c>
      <c r="BE868">
        <f>IF($E868="","",IF(AND(COUNT($E$869:$E$872)&gt;=4,$C868=MAX($C$864:$C$872)),$C868,""))</f>
        <v>0</v>
      </c>
      <c r="BF868">
        <f>IF($E868="","",IF(AND(COUNT($E$869:$E$872)&gt;=4,$D868=MIN($D$864:$D$872)),$D868,""))</f>
        <v>0</v>
      </c>
      <c r="BG868">
        <f>IF($A868="","",$A868-WEEKDAY($A868,2)+1)</f>
        <v>0</v>
      </c>
      <c r="BH868">
        <f>IF($A868="","",IF($A867="",1,IF(BG868&lt;&gt;BG867,1,0)))</f>
        <v>0</v>
      </c>
      <c r="BI868">
        <f>IF($A868="","",IF($A869="",1,IF(BG869&lt;&gt;BG868,1,0)))</f>
        <v>0</v>
      </c>
      <c r="BJ868">
        <f>IF($A868="","",IF(BH868=1,$B868,BJ867))</f>
        <v>0</v>
      </c>
      <c r="BK868">
        <f>IF($A868="","",IF(BH868=1,$C868,MAX($C868,BK867)))</f>
        <v>0</v>
      </c>
      <c r="BL868">
        <f>IF($A868="","",IF(BH868=1,$D868,MIN($D868,BL867)))</f>
        <v>0</v>
      </c>
      <c r="BM868">
        <f>IF($A868="","",IF(BI868=1,F868,""))</f>
        <v>0</v>
      </c>
      <c r="BN868">
        <f>IF($A868="","",DATE(YEAR($A868),MONTH($A868),1))</f>
        <v>0</v>
      </c>
      <c r="BO868">
        <f>IF($A868="","",IF($A867="",1,IF(BN868&lt;&gt;BN867,1,0)))</f>
        <v>0</v>
      </c>
      <c r="BP868">
        <f>IF($A868="","",IF($A869="",1,IF(BN869&lt;&gt;BN868,1,0)))</f>
        <v>0</v>
      </c>
      <c r="BQ868">
        <f>IF($A868="","",IF(BO868=1,$B868,BQ867))</f>
        <v>0</v>
      </c>
      <c r="BR868">
        <f>IF($A868="","",IF(BO868=1,$C868,MAX($C868,BR867)))</f>
        <v>0</v>
      </c>
      <c r="BS868">
        <f>IF($A868="","",IF(BO868=1,$D868,MIN($D868,BS867)))</f>
        <v>0</v>
      </c>
      <c r="BT868">
        <f>IF($A868="","",IF(BP868=1,F868,""))</f>
        <v>0</v>
      </c>
    </row>
    <row r="869" spans="1:72">
      <c r="A869" s="27">
        <f>IF(Data!$A869="","",Data!$A869)</f>
        <v>0</v>
      </c>
      <c r="B869">
        <f>IF(Data!$B869="","",Data!$B869)</f>
        <v>0</v>
      </c>
      <c r="C869">
        <f>IF(Data!$C869="","",Data!$C869)</f>
        <v>0</v>
      </c>
      <c r="D869">
        <f>IF(Data!$D869="","",Data!$D869)</f>
        <v>0</v>
      </c>
      <c r="E869">
        <f>IF(Data!$E869="","",Data!$E869)</f>
        <v>0</v>
      </c>
      <c r="F869">
        <f>IF($E869="","",N(F868)+1)</f>
        <v>0</v>
      </c>
      <c r="G869">
        <f>IF(OR($E869="",$E868=""),"",LN($E869/$E868))</f>
        <v>0</v>
      </c>
      <c r="H869">
        <f>IF($E869="","",IF($E868="",$E869,$E869*0.0952380952+H868*0.9047619048))</f>
        <v>0</v>
      </c>
      <c r="I869">
        <f>IF($E869="","",IF($E868="",$E869,$E869*0.0392156863+I868*0.9607843137))</f>
        <v>0</v>
      </c>
      <c r="J869">
        <f>IF($E869="","",IF($E868="",$E869,$E869*0.0198019802+J868*0.9801980198))</f>
        <v>0</v>
      </c>
      <c r="K869">
        <f>IF($E869="","",IF($E868="",$E869,$E869*0.0099502488+K868*0.9900497512))</f>
        <v>0</v>
      </c>
      <c r="L869">
        <f>IF(OR($E869="",$E868=""),"",MAX($E869-$E868,0))</f>
        <v>0</v>
      </c>
      <c r="M869">
        <f>IF(OR($E869="",$E868=""),"",MAX($E868-$E869,0))</f>
        <v>0</v>
      </c>
      <c r="N869">
        <f>IF(COUNT($E$2:$E869)&lt;15,"",IF(AVERAGE($M$856:$M$869)=0,100,100-100/(1+AVERAGE($L$856:$L$869)/AVERAGE($M$856:$M$869))))</f>
        <v>0</v>
      </c>
      <c r="O869">
        <f>IF($E869="","",IF($E868="",$E869,$E869*0.1538461538+O868*0.8461538462))</f>
        <v>0</v>
      </c>
      <c r="P869">
        <f>IF($E869="","",IF($E868="",$E869,$E869*0.0740740741+P868*0.9259259259))</f>
        <v>0</v>
      </c>
      <c r="Q869">
        <f>IF(OR(O869="",P869=""),"",O869-P869)</f>
        <v>0</v>
      </c>
      <c r="R869">
        <f>IF(Q869="","",IF(R868="",Q869,Q869*0.2000000000+R868*0.8000000000))</f>
        <v>0</v>
      </c>
      <c r="S869">
        <f>IF(OR(Q869="",R869=""),"",Q869-R869)</f>
        <v>0</v>
      </c>
      <c r="T869">
        <f>IF(COUNT($E$2:$E869)&lt;14,"",MAX($C$856:$C$869))</f>
        <v>0</v>
      </c>
      <c r="U869">
        <f>IF(COUNT($E$2:$E869)&lt;14,"",MIN($D$856:$D$869))</f>
        <v>0</v>
      </c>
      <c r="V869">
        <f>IF(OR(T869="",U869="",T869=U869),"",100*($E869-U869)/(T869-U869))</f>
        <v>0</v>
      </c>
      <c r="W869">
        <f>IF(COUNT($V$867:$V$869)&lt;3,"",AVERAGE($V$867:$V$869))</f>
        <v>0</v>
      </c>
      <c r="X869">
        <f>IF(COUNT($N$856:$N$869)&lt;14,"",MIN($N$856:$N$869))</f>
        <v>0</v>
      </c>
      <c r="Y869">
        <f>IF(COUNT($N$856:$N$869)&lt;14,"",MAX($N$856:$N$869))</f>
        <v>0</v>
      </c>
      <c r="Z869">
        <f>IF(OR(N869="",X869="",Y869="",Y869=X869),"",100*(N869-X869)/(Y869-X869))</f>
        <v>0</v>
      </c>
      <c r="AA869">
        <f>IF(COUNT($Z$867:$Z$869)&lt;3,"",AVERAGE($Z$867:$Z$869))</f>
        <v>0</v>
      </c>
      <c r="AB869">
        <f>IF(COUNT($AA$867:$AA$869)&lt;3,"",AVERAGE($AA$867:$AA$869))</f>
        <v>0</v>
      </c>
      <c r="AC869">
        <f>IF($E869="","",MAX($C869-$D869,ABS($C869-$E868),ABS($D869-$E868)))</f>
        <v>0</v>
      </c>
      <c r="AD869">
        <f>IF(COUNT($E$2:$E869)&lt;15,"",AVERAGE($AC$856:$AC$869))</f>
        <v>0</v>
      </c>
      <c r="AE869">
        <f>IF(OR($E869="",$E868=""),"",IF(AND(($C869-$C868)&gt;($D868-$D869),($C869-$C868)&gt;0),$C869-$C868,0))</f>
        <v>0</v>
      </c>
      <c r="AF869">
        <f>IF(OR($E869="",$E868=""),"",IF(AND(($D868-$D869)&gt;($C869-$C868),($D868-$D869)&gt;0),$D868-$D869,0))</f>
        <v>0</v>
      </c>
      <c r="AG869">
        <f>IF(COUNT($E$2:$E869)&lt;15,"",IF(SUM($AC$856:$AC$869)=0,0,100*SUM($AE$856:$AE$869)/SUM($AC$856:$AC$869)))</f>
        <v>0</v>
      </c>
      <c r="AH869">
        <f>IF(COUNT($E$2:$E869)&lt;15,"",IF(SUM($AC$856:$AC$869)=0,0,100*SUM($AF$856:$AF$869)/SUM($AC$856:$AC$869)))</f>
        <v>0</v>
      </c>
      <c r="AI869">
        <f>IF(OR(AG869="",AH869=""),"",IF((AG869+AH869)=0,0,100*ABS(AG869-AH869)/(AG869+AH869)))</f>
        <v>0</v>
      </c>
      <c r="AJ869">
        <f>IF(COUNT($AI$856:$AI$869)&lt;14,"",AVERAGE($AI$856:$AI$869))</f>
        <v>0</v>
      </c>
      <c r="AK869">
        <f>IF(COUNT($E$2:$E869)&lt;20,"",AVERAGE($E$850:$E$869))</f>
        <v>0</v>
      </c>
      <c r="AL869">
        <f>IF(COUNT($E$2:$E869)&lt;20,"",STDEVP($E$850:$E$869))</f>
        <v>0</v>
      </c>
      <c r="AM869">
        <f>IF(AK869="","",AK869+2*AL869)</f>
        <v>0</v>
      </c>
      <c r="AN869">
        <f>IF(AK869="","",AK869-2*AL869)</f>
        <v>0</v>
      </c>
      <c r="AO869">
        <f>IF(OR(AM869="",AN869="",AM869=AN869),"",($E869-AN869)/(AM869-AN869))</f>
        <v>0</v>
      </c>
      <c r="AP869">
        <f>IF(OR(AM869="",AK869="",AK869=0),"",(AM869-AN869)/AK869)</f>
        <v>0</v>
      </c>
      <c r="AQ869">
        <f>IF(COUNT($E$2:$E869)&lt;20,"",MAX($C$850:$C$869))</f>
        <v>0</v>
      </c>
      <c r="AR869">
        <f>IF(COUNT($E$2:$E869)&lt;20,"",MIN($D$850:$D$869))</f>
        <v>0</v>
      </c>
      <c r="AS869">
        <f>IF(OR(AQ869="",AR869=""),"",(AQ869+AR869)/2)</f>
        <v>0</v>
      </c>
      <c r="AT869">
        <f>IF(COUNT($G$850:$G$869)&lt;20,"",STDEV($G$850:$G$869)*SQRT(252))</f>
        <v>0</v>
      </c>
      <c r="AU869">
        <f>IF(COUNT($E$2:$E869)&lt;9,"",(MAX($C$861:$C$869)+MIN($D$861:$D$869))/2)</f>
        <v>0</v>
      </c>
      <c r="AV869">
        <f>IF(COUNT($E$2:$E869)&lt;26,"",(MAX($C$844:$C$869)+MIN($D$844:$D$869))/2)</f>
        <v>0</v>
      </c>
      <c r="AW869">
        <f>IF(OR(AU869="",AV869=""),"",(AU869+AV869)/2)</f>
        <v>0</v>
      </c>
      <c r="AX869">
        <f>IF(COUNT($E$2:$E869)&lt;52,"",(MAX($C$818:$C$869)+MIN($D$818:$D$869))/2)</f>
        <v>0</v>
      </c>
      <c r="AY869">
        <f>IF(COUNT($E$2:$E869)&lt;20,"",MAX($C$770:$C$869))</f>
        <v>0</v>
      </c>
      <c r="AZ869">
        <f>IF(COUNT($E$2:$E869)&lt;20,"",MIN($D$770:$D$869))</f>
        <v>0</v>
      </c>
      <c r="BA869">
        <f>IF(COUNT($E$2:$E869)&lt;20,"",SLOPE($E$770:$E$869,$F$770:$F$869))</f>
        <v>0</v>
      </c>
      <c r="BB869">
        <f>IF(COUNT($E$2:$E869)&lt;20,"",INTERCEPT($E$770:$E$869,$F$770:$F$869))</f>
        <v>0</v>
      </c>
      <c r="BC869">
        <f>IF(OR(BA869="",BB869=""),"",BB869+BA869*F869)</f>
        <v>0</v>
      </c>
      <c r="BD869">
        <f>IF(COUNT($E$2:$E869)&lt;20,"",STEYX($E$770:$E$869,$F$770:$F$869))</f>
        <v>0</v>
      </c>
      <c r="BE869">
        <f>IF($E869="","",IF(AND(COUNT($E$870:$E$873)&gt;=4,$C869=MAX($C$865:$C$873)),$C869,""))</f>
        <v>0</v>
      </c>
      <c r="BF869">
        <f>IF($E869="","",IF(AND(COUNT($E$870:$E$873)&gt;=4,$D869=MIN($D$865:$D$873)),$D869,""))</f>
        <v>0</v>
      </c>
      <c r="BG869">
        <f>IF($A869="","",$A869-WEEKDAY($A869,2)+1)</f>
        <v>0</v>
      </c>
      <c r="BH869">
        <f>IF($A869="","",IF($A868="",1,IF(BG869&lt;&gt;BG868,1,0)))</f>
        <v>0</v>
      </c>
      <c r="BI869">
        <f>IF($A869="","",IF($A870="",1,IF(BG870&lt;&gt;BG869,1,0)))</f>
        <v>0</v>
      </c>
      <c r="BJ869">
        <f>IF($A869="","",IF(BH869=1,$B869,BJ868))</f>
        <v>0</v>
      </c>
      <c r="BK869">
        <f>IF($A869="","",IF(BH869=1,$C869,MAX($C869,BK868)))</f>
        <v>0</v>
      </c>
      <c r="BL869">
        <f>IF($A869="","",IF(BH869=1,$D869,MIN($D869,BL868)))</f>
        <v>0</v>
      </c>
      <c r="BM869">
        <f>IF($A869="","",IF(BI869=1,F869,""))</f>
        <v>0</v>
      </c>
      <c r="BN869">
        <f>IF($A869="","",DATE(YEAR($A869),MONTH($A869),1))</f>
        <v>0</v>
      </c>
      <c r="BO869">
        <f>IF($A869="","",IF($A868="",1,IF(BN869&lt;&gt;BN868,1,0)))</f>
        <v>0</v>
      </c>
      <c r="BP869">
        <f>IF($A869="","",IF($A870="",1,IF(BN870&lt;&gt;BN869,1,0)))</f>
        <v>0</v>
      </c>
      <c r="BQ869">
        <f>IF($A869="","",IF(BO869=1,$B869,BQ868))</f>
        <v>0</v>
      </c>
      <c r="BR869">
        <f>IF($A869="","",IF(BO869=1,$C869,MAX($C869,BR868)))</f>
        <v>0</v>
      </c>
      <c r="BS869">
        <f>IF($A869="","",IF(BO869=1,$D869,MIN($D869,BS868)))</f>
        <v>0</v>
      </c>
      <c r="BT869">
        <f>IF($A869="","",IF(BP869=1,F869,""))</f>
        <v>0</v>
      </c>
    </row>
    <row r="870" spans="1:72">
      <c r="A870" s="27">
        <f>IF(Data!$A870="","",Data!$A870)</f>
        <v>0</v>
      </c>
      <c r="B870">
        <f>IF(Data!$B870="","",Data!$B870)</f>
        <v>0</v>
      </c>
      <c r="C870">
        <f>IF(Data!$C870="","",Data!$C870)</f>
        <v>0</v>
      </c>
      <c r="D870">
        <f>IF(Data!$D870="","",Data!$D870)</f>
        <v>0</v>
      </c>
      <c r="E870">
        <f>IF(Data!$E870="","",Data!$E870)</f>
        <v>0</v>
      </c>
      <c r="F870">
        <f>IF($E870="","",N(F869)+1)</f>
        <v>0</v>
      </c>
      <c r="G870">
        <f>IF(OR($E870="",$E869=""),"",LN($E870/$E869))</f>
        <v>0</v>
      </c>
      <c r="H870">
        <f>IF($E870="","",IF($E869="",$E870,$E870*0.0952380952+H869*0.9047619048))</f>
        <v>0</v>
      </c>
      <c r="I870">
        <f>IF($E870="","",IF($E869="",$E870,$E870*0.0392156863+I869*0.9607843137))</f>
        <v>0</v>
      </c>
      <c r="J870">
        <f>IF($E870="","",IF($E869="",$E870,$E870*0.0198019802+J869*0.9801980198))</f>
        <v>0</v>
      </c>
      <c r="K870">
        <f>IF($E870="","",IF($E869="",$E870,$E870*0.0099502488+K869*0.9900497512))</f>
        <v>0</v>
      </c>
      <c r="L870">
        <f>IF(OR($E870="",$E869=""),"",MAX($E870-$E869,0))</f>
        <v>0</v>
      </c>
      <c r="M870">
        <f>IF(OR($E870="",$E869=""),"",MAX($E869-$E870,0))</f>
        <v>0</v>
      </c>
      <c r="N870">
        <f>IF(COUNT($E$2:$E870)&lt;15,"",IF(AVERAGE($M$857:$M$870)=0,100,100-100/(1+AVERAGE($L$857:$L$870)/AVERAGE($M$857:$M$870))))</f>
        <v>0</v>
      </c>
      <c r="O870">
        <f>IF($E870="","",IF($E869="",$E870,$E870*0.1538461538+O869*0.8461538462))</f>
        <v>0</v>
      </c>
      <c r="P870">
        <f>IF($E870="","",IF($E869="",$E870,$E870*0.0740740741+P869*0.9259259259))</f>
        <v>0</v>
      </c>
      <c r="Q870">
        <f>IF(OR(O870="",P870=""),"",O870-P870)</f>
        <v>0</v>
      </c>
      <c r="R870">
        <f>IF(Q870="","",IF(R869="",Q870,Q870*0.2000000000+R869*0.8000000000))</f>
        <v>0</v>
      </c>
      <c r="S870">
        <f>IF(OR(Q870="",R870=""),"",Q870-R870)</f>
        <v>0</v>
      </c>
      <c r="T870">
        <f>IF(COUNT($E$2:$E870)&lt;14,"",MAX($C$857:$C$870))</f>
        <v>0</v>
      </c>
      <c r="U870">
        <f>IF(COUNT($E$2:$E870)&lt;14,"",MIN($D$857:$D$870))</f>
        <v>0</v>
      </c>
      <c r="V870">
        <f>IF(OR(T870="",U870="",T870=U870),"",100*($E870-U870)/(T870-U870))</f>
        <v>0</v>
      </c>
      <c r="W870">
        <f>IF(COUNT($V$868:$V$870)&lt;3,"",AVERAGE($V$868:$V$870))</f>
        <v>0</v>
      </c>
      <c r="X870">
        <f>IF(COUNT($N$857:$N$870)&lt;14,"",MIN($N$857:$N$870))</f>
        <v>0</v>
      </c>
      <c r="Y870">
        <f>IF(COUNT($N$857:$N$870)&lt;14,"",MAX($N$857:$N$870))</f>
        <v>0</v>
      </c>
      <c r="Z870">
        <f>IF(OR(N870="",X870="",Y870="",Y870=X870),"",100*(N870-X870)/(Y870-X870))</f>
        <v>0</v>
      </c>
      <c r="AA870">
        <f>IF(COUNT($Z$868:$Z$870)&lt;3,"",AVERAGE($Z$868:$Z$870))</f>
        <v>0</v>
      </c>
      <c r="AB870">
        <f>IF(COUNT($AA$868:$AA$870)&lt;3,"",AVERAGE($AA$868:$AA$870))</f>
        <v>0</v>
      </c>
      <c r="AC870">
        <f>IF($E870="","",MAX($C870-$D870,ABS($C870-$E869),ABS($D870-$E869)))</f>
        <v>0</v>
      </c>
      <c r="AD870">
        <f>IF(COUNT($E$2:$E870)&lt;15,"",AVERAGE($AC$857:$AC$870))</f>
        <v>0</v>
      </c>
      <c r="AE870">
        <f>IF(OR($E870="",$E869=""),"",IF(AND(($C870-$C869)&gt;($D869-$D870),($C870-$C869)&gt;0),$C870-$C869,0))</f>
        <v>0</v>
      </c>
      <c r="AF870">
        <f>IF(OR($E870="",$E869=""),"",IF(AND(($D869-$D870)&gt;($C870-$C869),($D869-$D870)&gt;0),$D869-$D870,0))</f>
        <v>0</v>
      </c>
      <c r="AG870">
        <f>IF(COUNT($E$2:$E870)&lt;15,"",IF(SUM($AC$857:$AC$870)=0,0,100*SUM($AE$857:$AE$870)/SUM($AC$857:$AC$870)))</f>
        <v>0</v>
      </c>
      <c r="AH870">
        <f>IF(COUNT($E$2:$E870)&lt;15,"",IF(SUM($AC$857:$AC$870)=0,0,100*SUM($AF$857:$AF$870)/SUM($AC$857:$AC$870)))</f>
        <v>0</v>
      </c>
      <c r="AI870">
        <f>IF(OR(AG870="",AH870=""),"",IF((AG870+AH870)=0,0,100*ABS(AG870-AH870)/(AG870+AH870)))</f>
        <v>0</v>
      </c>
      <c r="AJ870">
        <f>IF(COUNT($AI$857:$AI$870)&lt;14,"",AVERAGE($AI$857:$AI$870))</f>
        <v>0</v>
      </c>
      <c r="AK870">
        <f>IF(COUNT($E$2:$E870)&lt;20,"",AVERAGE($E$851:$E$870))</f>
        <v>0</v>
      </c>
      <c r="AL870">
        <f>IF(COUNT($E$2:$E870)&lt;20,"",STDEVP($E$851:$E$870))</f>
        <v>0</v>
      </c>
      <c r="AM870">
        <f>IF(AK870="","",AK870+2*AL870)</f>
        <v>0</v>
      </c>
      <c r="AN870">
        <f>IF(AK870="","",AK870-2*AL870)</f>
        <v>0</v>
      </c>
      <c r="AO870">
        <f>IF(OR(AM870="",AN870="",AM870=AN870),"",($E870-AN870)/(AM870-AN870))</f>
        <v>0</v>
      </c>
      <c r="AP870">
        <f>IF(OR(AM870="",AK870="",AK870=0),"",(AM870-AN870)/AK870)</f>
        <v>0</v>
      </c>
      <c r="AQ870">
        <f>IF(COUNT($E$2:$E870)&lt;20,"",MAX($C$851:$C$870))</f>
        <v>0</v>
      </c>
      <c r="AR870">
        <f>IF(COUNT($E$2:$E870)&lt;20,"",MIN($D$851:$D$870))</f>
        <v>0</v>
      </c>
      <c r="AS870">
        <f>IF(OR(AQ870="",AR870=""),"",(AQ870+AR870)/2)</f>
        <v>0</v>
      </c>
      <c r="AT870">
        <f>IF(COUNT($G$851:$G$870)&lt;20,"",STDEV($G$851:$G$870)*SQRT(252))</f>
        <v>0</v>
      </c>
      <c r="AU870">
        <f>IF(COUNT($E$2:$E870)&lt;9,"",(MAX($C$862:$C$870)+MIN($D$862:$D$870))/2)</f>
        <v>0</v>
      </c>
      <c r="AV870">
        <f>IF(COUNT($E$2:$E870)&lt;26,"",(MAX($C$845:$C$870)+MIN($D$845:$D$870))/2)</f>
        <v>0</v>
      </c>
      <c r="AW870">
        <f>IF(OR(AU870="",AV870=""),"",(AU870+AV870)/2)</f>
        <v>0</v>
      </c>
      <c r="AX870">
        <f>IF(COUNT($E$2:$E870)&lt;52,"",(MAX($C$819:$C$870)+MIN($D$819:$D$870))/2)</f>
        <v>0</v>
      </c>
      <c r="AY870">
        <f>IF(COUNT($E$2:$E870)&lt;20,"",MAX($C$771:$C$870))</f>
        <v>0</v>
      </c>
      <c r="AZ870">
        <f>IF(COUNT($E$2:$E870)&lt;20,"",MIN($D$771:$D$870))</f>
        <v>0</v>
      </c>
      <c r="BA870">
        <f>IF(COUNT($E$2:$E870)&lt;20,"",SLOPE($E$771:$E$870,$F$771:$F$870))</f>
        <v>0</v>
      </c>
      <c r="BB870">
        <f>IF(COUNT($E$2:$E870)&lt;20,"",INTERCEPT($E$771:$E$870,$F$771:$F$870))</f>
        <v>0</v>
      </c>
      <c r="BC870">
        <f>IF(OR(BA870="",BB870=""),"",BB870+BA870*F870)</f>
        <v>0</v>
      </c>
      <c r="BD870">
        <f>IF(COUNT($E$2:$E870)&lt;20,"",STEYX($E$771:$E$870,$F$771:$F$870))</f>
        <v>0</v>
      </c>
      <c r="BE870">
        <f>IF($E870="","",IF(AND(COUNT($E$871:$E$874)&gt;=4,$C870=MAX($C$866:$C$874)),$C870,""))</f>
        <v>0</v>
      </c>
      <c r="BF870">
        <f>IF($E870="","",IF(AND(COUNT($E$871:$E$874)&gt;=4,$D870=MIN($D$866:$D$874)),$D870,""))</f>
        <v>0</v>
      </c>
      <c r="BG870">
        <f>IF($A870="","",$A870-WEEKDAY($A870,2)+1)</f>
        <v>0</v>
      </c>
      <c r="BH870">
        <f>IF($A870="","",IF($A869="",1,IF(BG870&lt;&gt;BG869,1,0)))</f>
        <v>0</v>
      </c>
      <c r="BI870">
        <f>IF($A870="","",IF($A871="",1,IF(BG871&lt;&gt;BG870,1,0)))</f>
        <v>0</v>
      </c>
      <c r="BJ870">
        <f>IF($A870="","",IF(BH870=1,$B870,BJ869))</f>
        <v>0</v>
      </c>
      <c r="BK870">
        <f>IF($A870="","",IF(BH870=1,$C870,MAX($C870,BK869)))</f>
        <v>0</v>
      </c>
      <c r="BL870">
        <f>IF($A870="","",IF(BH870=1,$D870,MIN($D870,BL869)))</f>
        <v>0</v>
      </c>
      <c r="BM870">
        <f>IF($A870="","",IF(BI870=1,F870,""))</f>
        <v>0</v>
      </c>
      <c r="BN870">
        <f>IF($A870="","",DATE(YEAR($A870),MONTH($A870),1))</f>
        <v>0</v>
      </c>
      <c r="BO870">
        <f>IF($A870="","",IF($A869="",1,IF(BN870&lt;&gt;BN869,1,0)))</f>
        <v>0</v>
      </c>
      <c r="BP870">
        <f>IF($A870="","",IF($A871="",1,IF(BN871&lt;&gt;BN870,1,0)))</f>
        <v>0</v>
      </c>
      <c r="BQ870">
        <f>IF($A870="","",IF(BO870=1,$B870,BQ869))</f>
        <v>0</v>
      </c>
      <c r="BR870">
        <f>IF($A870="","",IF(BO870=1,$C870,MAX($C870,BR869)))</f>
        <v>0</v>
      </c>
      <c r="BS870">
        <f>IF($A870="","",IF(BO870=1,$D870,MIN($D870,BS869)))</f>
        <v>0</v>
      </c>
      <c r="BT870">
        <f>IF($A870="","",IF(BP870=1,F870,""))</f>
        <v>0</v>
      </c>
    </row>
    <row r="871" spans="1:72">
      <c r="A871" s="27">
        <f>IF(Data!$A871="","",Data!$A871)</f>
        <v>0</v>
      </c>
      <c r="B871">
        <f>IF(Data!$B871="","",Data!$B871)</f>
        <v>0</v>
      </c>
      <c r="C871">
        <f>IF(Data!$C871="","",Data!$C871)</f>
        <v>0</v>
      </c>
      <c r="D871">
        <f>IF(Data!$D871="","",Data!$D871)</f>
        <v>0</v>
      </c>
      <c r="E871">
        <f>IF(Data!$E871="","",Data!$E871)</f>
        <v>0</v>
      </c>
      <c r="F871">
        <f>IF($E871="","",N(F870)+1)</f>
        <v>0</v>
      </c>
      <c r="G871">
        <f>IF(OR($E871="",$E870=""),"",LN($E871/$E870))</f>
        <v>0</v>
      </c>
      <c r="H871">
        <f>IF($E871="","",IF($E870="",$E871,$E871*0.0952380952+H870*0.9047619048))</f>
        <v>0</v>
      </c>
      <c r="I871">
        <f>IF($E871="","",IF($E870="",$E871,$E871*0.0392156863+I870*0.9607843137))</f>
        <v>0</v>
      </c>
      <c r="J871">
        <f>IF($E871="","",IF($E870="",$E871,$E871*0.0198019802+J870*0.9801980198))</f>
        <v>0</v>
      </c>
      <c r="K871">
        <f>IF($E871="","",IF($E870="",$E871,$E871*0.0099502488+K870*0.9900497512))</f>
        <v>0</v>
      </c>
      <c r="L871">
        <f>IF(OR($E871="",$E870=""),"",MAX($E871-$E870,0))</f>
        <v>0</v>
      </c>
      <c r="M871">
        <f>IF(OR($E871="",$E870=""),"",MAX($E870-$E871,0))</f>
        <v>0</v>
      </c>
      <c r="N871">
        <f>IF(COUNT($E$2:$E871)&lt;15,"",IF(AVERAGE($M$858:$M$871)=0,100,100-100/(1+AVERAGE($L$858:$L$871)/AVERAGE($M$858:$M$871))))</f>
        <v>0</v>
      </c>
      <c r="O871">
        <f>IF($E871="","",IF($E870="",$E871,$E871*0.1538461538+O870*0.8461538462))</f>
        <v>0</v>
      </c>
      <c r="P871">
        <f>IF($E871="","",IF($E870="",$E871,$E871*0.0740740741+P870*0.9259259259))</f>
        <v>0</v>
      </c>
      <c r="Q871">
        <f>IF(OR(O871="",P871=""),"",O871-P871)</f>
        <v>0</v>
      </c>
      <c r="R871">
        <f>IF(Q871="","",IF(R870="",Q871,Q871*0.2000000000+R870*0.8000000000))</f>
        <v>0</v>
      </c>
      <c r="S871">
        <f>IF(OR(Q871="",R871=""),"",Q871-R871)</f>
        <v>0</v>
      </c>
      <c r="T871">
        <f>IF(COUNT($E$2:$E871)&lt;14,"",MAX($C$858:$C$871))</f>
        <v>0</v>
      </c>
      <c r="U871">
        <f>IF(COUNT($E$2:$E871)&lt;14,"",MIN($D$858:$D$871))</f>
        <v>0</v>
      </c>
      <c r="V871">
        <f>IF(OR(T871="",U871="",T871=U871),"",100*($E871-U871)/(T871-U871))</f>
        <v>0</v>
      </c>
      <c r="W871">
        <f>IF(COUNT($V$869:$V$871)&lt;3,"",AVERAGE($V$869:$V$871))</f>
        <v>0</v>
      </c>
      <c r="X871">
        <f>IF(COUNT($N$858:$N$871)&lt;14,"",MIN($N$858:$N$871))</f>
        <v>0</v>
      </c>
      <c r="Y871">
        <f>IF(COUNT($N$858:$N$871)&lt;14,"",MAX($N$858:$N$871))</f>
        <v>0</v>
      </c>
      <c r="Z871">
        <f>IF(OR(N871="",X871="",Y871="",Y871=X871),"",100*(N871-X871)/(Y871-X871))</f>
        <v>0</v>
      </c>
      <c r="AA871">
        <f>IF(COUNT($Z$869:$Z$871)&lt;3,"",AVERAGE($Z$869:$Z$871))</f>
        <v>0</v>
      </c>
      <c r="AB871">
        <f>IF(COUNT($AA$869:$AA$871)&lt;3,"",AVERAGE($AA$869:$AA$871))</f>
        <v>0</v>
      </c>
      <c r="AC871">
        <f>IF($E871="","",MAX($C871-$D871,ABS($C871-$E870),ABS($D871-$E870)))</f>
        <v>0</v>
      </c>
      <c r="AD871">
        <f>IF(COUNT($E$2:$E871)&lt;15,"",AVERAGE($AC$858:$AC$871))</f>
        <v>0</v>
      </c>
      <c r="AE871">
        <f>IF(OR($E871="",$E870=""),"",IF(AND(($C871-$C870)&gt;($D870-$D871),($C871-$C870)&gt;0),$C871-$C870,0))</f>
        <v>0</v>
      </c>
      <c r="AF871">
        <f>IF(OR($E871="",$E870=""),"",IF(AND(($D870-$D871)&gt;($C871-$C870),($D870-$D871)&gt;0),$D870-$D871,0))</f>
        <v>0</v>
      </c>
      <c r="AG871">
        <f>IF(COUNT($E$2:$E871)&lt;15,"",IF(SUM($AC$858:$AC$871)=0,0,100*SUM($AE$858:$AE$871)/SUM($AC$858:$AC$871)))</f>
        <v>0</v>
      </c>
      <c r="AH871">
        <f>IF(COUNT($E$2:$E871)&lt;15,"",IF(SUM($AC$858:$AC$871)=0,0,100*SUM($AF$858:$AF$871)/SUM($AC$858:$AC$871)))</f>
        <v>0</v>
      </c>
      <c r="AI871">
        <f>IF(OR(AG871="",AH871=""),"",IF((AG871+AH871)=0,0,100*ABS(AG871-AH871)/(AG871+AH871)))</f>
        <v>0</v>
      </c>
      <c r="AJ871">
        <f>IF(COUNT($AI$858:$AI$871)&lt;14,"",AVERAGE($AI$858:$AI$871))</f>
        <v>0</v>
      </c>
      <c r="AK871">
        <f>IF(COUNT($E$2:$E871)&lt;20,"",AVERAGE($E$852:$E$871))</f>
        <v>0</v>
      </c>
      <c r="AL871">
        <f>IF(COUNT($E$2:$E871)&lt;20,"",STDEVP($E$852:$E$871))</f>
        <v>0</v>
      </c>
      <c r="AM871">
        <f>IF(AK871="","",AK871+2*AL871)</f>
        <v>0</v>
      </c>
      <c r="AN871">
        <f>IF(AK871="","",AK871-2*AL871)</f>
        <v>0</v>
      </c>
      <c r="AO871">
        <f>IF(OR(AM871="",AN871="",AM871=AN871),"",($E871-AN871)/(AM871-AN871))</f>
        <v>0</v>
      </c>
      <c r="AP871">
        <f>IF(OR(AM871="",AK871="",AK871=0),"",(AM871-AN871)/AK871)</f>
        <v>0</v>
      </c>
      <c r="AQ871">
        <f>IF(COUNT($E$2:$E871)&lt;20,"",MAX($C$852:$C$871))</f>
        <v>0</v>
      </c>
      <c r="AR871">
        <f>IF(COUNT($E$2:$E871)&lt;20,"",MIN($D$852:$D$871))</f>
        <v>0</v>
      </c>
      <c r="AS871">
        <f>IF(OR(AQ871="",AR871=""),"",(AQ871+AR871)/2)</f>
        <v>0</v>
      </c>
      <c r="AT871">
        <f>IF(COUNT($G$852:$G$871)&lt;20,"",STDEV($G$852:$G$871)*SQRT(252))</f>
        <v>0</v>
      </c>
      <c r="AU871">
        <f>IF(COUNT($E$2:$E871)&lt;9,"",(MAX($C$863:$C$871)+MIN($D$863:$D$871))/2)</f>
        <v>0</v>
      </c>
      <c r="AV871">
        <f>IF(COUNT($E$2:$E871)&lt;26,"",(MAX($C$846:$C$871)+MIN($D$846:$D$871))/2)</f>
        <v>0</v>
      </c>
      <c r="AW871">
        <f>IF(OR(AU871="",AV871=""),"",(AU871+AV871)/2)</f>
        <v>0</v>
      </c>
      <c r="AX871">
        <f>IF(COUNT($E$2:$E871)&lt;52,"",(MAX($C$820:$C$871)+MIN($D$820:$D$871))/2)</f>
        <v>0</v>
      </c>
      <c r="AY871">
        <f>IF(COUNT($E$2:$E871)&lt;20,"",MAX($C$772:$C$871))</f>
        <v>0</v>
      </c>
      <c r="AZ871">
        <f>IF(COUNT($E$2:$E871)&lt;20,"",MIN($D$772:$D$871))</f>
        <v>0</v>
      </c>
      <c r="BA871">
        <f>IF(COUNT($E$2:$E871)&lt;20,"",SLOPE($E$772:$E$871,$F$772:$F$871))</f>
        <v>0</v>
      </c>
      <c r="BB871">
        <f>IF(COUNT($E$2:$E871)&lt;20,"",INTERCEPT($E$772:$E$871,$F$772:$F$871))</f>
        <v>0</v>
      </c>
      <c r="BC871">
        <f>IF(OR(BA871="",BB871=""),"",BB871+BA871*F871)</f>
        <v>0</v>
      </c>
      <c r="BD871">
        <f>IF(COUNT($E$2:$E871)&lt;20,"",STEYX($E$772:$E$871,$F$772:$F$871))</f>
        <v>0</v>
      </c>
      <c r="BE871">
        <f>IF($E871="","",IF(AND(COUNT($E$872:$E$875)&gt;=4,$C871=MAX($C$867:$C$875)),$C871,""))</f>
        <v>0</v>
      </c>
      <c r="BF871">
        <f>IF($E871="","",IF(AND(COUNT($E$872:$E$875)&gt;=4,$D871=MIN($D$867:$D$875)),$D871,""))</f>
        <v>0</v>
      </c>
      <c r="BG871">
        <f>IF($A871="","",$A871-WEEKDAY($A871,2)+1)</f>
        <v>0</v>
      </c>
      <c r="BH871">
        <f>IF($A871="","",IF($A870="",1,IF(BG871&lt;&gt;BG870,1,0)))</f>
        <v>0</v>
      </c>
      <c r="BI871">
        <f>IF($A871="","",IF($A872="",1,IF(BG872&lt;&gt;BG871,1,0)))</f>
        <v>0</v>
      </c>
      <c r="BJ871">
        <f>IF($A871="","",IF(BH871=1,$B871,BJ870))</f>
        <v>0</v>
      </c>
      <c r="BK871">
        <f>IF($A871="","",IF(BH871=1,$C871,MAX($C871,BK870)))</f>
        <v>0</v>
      </c>
      <c r="BL871">
        <f>IF($A871="","",IF(BH871=1,$D871,MIN($D871,BL870)))</f>
        <v>0</v>
      </c>
      <c r="BM871">
        <f>IF($A871="","",IF(BI871=1,F871,""))</f>
        <v>0</v>
      </c>
      <c r="BN871">
        <f>IF($A871="","",DATE(YEAR($A871),MONTH($A871),1))</f>
        <v>0</v>
      </c>
      <c r="BO871">
        <f>IF($A871="","",IF($A870="",1,IF(BN871&lt;&gt;BN870,1,0)))</f>
        <v>0</v>
      </c>
      <c r="BP871">
        <f>IF($A871="","",IF($A872="",1,IF(BN872&lt;&gt;BN871,1,0)))</f>
        <v>0</v>
      </c>
      <c r="BQ871">
        <f>IF($A871="","",IF(BO871=1,$B871,BQ870))</f>
        <v>0</v>
      </c>
      <c r="BR871">
        <f>IF($A871="","",IF(BO871=1,$C871,MAX($C871,BR870)))</f>
        <v>0</v>
      </c>
      <c r="BS871">
        <f>IF($A871="","",IF(BO871=1,$D871,MIN($D871,BS870)))</f>
        <v>0</v>
      </c>
      <c r="BT871">
        <f>IF($A871="","",IF(BP871=1,F871,""))</f>
        <v>0</v>
      </c>
    </row>
    <row r="872" spans="1:72">
      <c r="A872" s="27">
        <f>IF(Data!$A872="","",Data!$A872)</f>
        <v>0</v>
      </c>
      <c r="B872">
        <f>IF(Data!$B872="","",Data!$B872)</f>
        <v>0</v>
      </c>
      <c r="C872">
        <f>IF(Data!$C872="","",Data!$C872)</f>
        <v>0</v>
      </c>
      <c r="D872">
        <f>IF(Data!$D872="","",Data!$D872)</f>
        <v>0</v>
      </c>
      <c r="E872">
        <f>IF(Data!$E872="","",Data!$E872)</f>
        <v>0</v>
      </c>
      <c r="F872">
        <f>IF($E872="","",N(F871)+1)</f>
        <v>0</v>
      </c>
      <c r="G872">
        <f>IF(OR($E872="",$E871=""),"",LN($E872/$E871))</f>
        <v>0</v>
      </c>
      <c r="H872">
        <f>IF($E872="","",IF($E871="",$E872,$E872*0.0952380952+H871*0.9047619048))</f>
        <v>0</v>
      </c>
      <c r="I872">
        <f>IF($E872="","",IF($E871="",$E872,$E872*0.0392156863+I871*0.9607843137))</f>
        <v>0</v>
      </c>
      <c r="J872">
        <f>IF($E872="","",IF($E871="",$E872,$E872*0.0198019802+J871*0.9801980198))</f>
        <v>0</v>
      </c>
      <c r="K872">
        <f>IF($E872="","",IF($E871="",$E872,$E872*0.0099502488+K871*0.9900497512))</f>
        <v>0</v>
      </c>
      <c r="L872">
        <f>IF(OR($E872="",$E871=""),"",MAX($E872-$E871,0))</f>
        <v>0</v>
      </c>
      <c r="M872">
        <f>IF(OR($E872="",$E871=""),"",MAX($E871-$E872,0))</f>
        <v>0</v>
      </c>
      <c r="N872">
        <f>IF(COUNT($E$2:$E872)&lt;15,"",IF(AVERAGE($M$859:$M$872)=0,100,100-100/(1+AVERAGE($L$859:$L$872)/AVERAGE($M$859:$M$872))))</f>
        <v>0</v>
      </c>
      <c r="O872">
        <f>IF($E872="","",IF($E871="",$E872,$E872*0.1538461538+O871*0.8461538462))</f>
        <v>0</v>
      </c>
      <c r="P872">
        <f>IF($E872="","",IF($E871="",$E872,$E872*0.0740740741+P871*0.9259259259))</f>
        <v>0</v>
      </c>
      <c r="Q872">
        <f>IF(OR(O872="",P872=""),"",O872-P872)</f>
        <v>0</v>
      </c>
      <c r="R872">
        <f>IF(Q872="","",IF(R871="",Q872,Q872*0.2000000000+R871*0.8000000000))</f>
        <v>0</v>
      </c>
      <c r="S872">
        <f>IF(OR(Q872="",R872=""),"",Q872-R872)</f>
        <v>0</v>
      </c>
      <c r="T872">
        <f>IF(COUNT($E$2:$E872)&lt;14,"",MAX($C$859:$C$872))</f>
        <v>0</v>
      </c>
      <c r="U872">
        <f>IF(COUNT($E$2:$E872)&lt;14,"",MIN($D$859:$D$872))</f>
        <v>0</v>
      </c>
      <c r="V872">
        <f>IF(OR(T872="",U872="",T872=U872),"",100*($E872-U872)/(T872-U872))</f>
        <v>0</v>
      </c>
      <c r="W872">
        <f>IF(COUNT($V$870:$V$872)&lt;3,"",AVERAGE($V$870:$V$872))</f>
        <v>0</v>
      </c>
      <c r="X872">
        <f>IF(COUNT($N$859:$N$872)&lt;14,"",MIN($N$859:$N$872))</f>
        <v>0</v>
      </c>
      <c r="Y872">
        <f>IF(COUNT($N$859:$N$872)&lt;14,"",MAX($N$859:$N$872))</f>
        <v>0</v>
      </c>
      <c r="Z872">
        <f>IF(OR(N872="",X872="",Y872="",Y872=X872),"",100*(N872-X872)/(Y872-X872))</f>
        <v>0</v>
      </c>
      <c r="AA872">
        <f>IF(COUNT($Z$870:$Z$872)&lt;3,"",AVERAGE($Z$870:$Z$872))</f>
        <v>0</v>
      </c>
      <c r="AB872">
        <f>IF(COUNT($AA$870:$AA$872)&lt;3,"",AVERAGE($AA$870:$AA$872))</f>
        <v>0</v>
      </c>
      <c r="AC872">
        <f>IF($E872="","",MAX($C872-$D872,ABS($C872-$E871),ABS($D872-$E871)))</f>
        <v>0</v>
      </c>
      <c r="AD872">
        <f>IF(COUNT($E$2:$E872)&lt;15,"",AVERAGE($AC$859:$AC$872))</f>
        <v>0</v>
      </c>
      <c r="AE872">
        <f>IF(OR($E872="",$E871=""),"",IF(AND(($C872-$C871)&gt;($D871-$D872),($C872-$C871)&gt;0),$C872-$C871,0))</f>
        <v>0</v>
      </c>
      <c r="AF872">
        <f>IF(OR($E872="",$E871=""),"",IF(AND(($D871-$D872)&gt;($C872-$C871),($D871-$D872)&gt;0),$D871-$D872,0))</f>
        <v>0</v>
      </c>
      <c r="AG872">
        <f>IF(COUNT($E$2:$E872)&lt;15,"",IF(SUM($AC$859:$AC$872)=0,0,100*SUM($AE$859:$AE$872)/SUM($AC$859:$AC$872)))</f>
        <v>0</v>
      </c>
      <c r="AH872">
        <f>IF(COUNT($E$2:$E872)&lt;15,"",IF(SUM($AC$859:$AC$872)=0,0,100*SUM($AF$859:$AF$872)/SUM($AC$859:$AC$872)))</f>
        <v>0</v>
      </c>
      <c r="AI872">
        <f>IF(OR(AG872="",AH872=""),"",IF((AG872+AH872)=0,0,100*ABS(AG872-AH872)/(AG872+AH872)))</f>
        <v>0</v>
      </c>
      <c r="AJ872">
        <f>IF(COUNT($AI$859:$AI$872)&lt;14,"",AVERAGE($AI$859:$AI$872))</f>
        <v>0</v>
      </c>
      <c r="AK872">
        <f>IF(COUNT($E$2:$E872)&lt;20,"",AVERAGE($E$853:$E$872))</f>
        <v>0</v>
      </c>
      <c r="AL872">
        <f>IF(COUNT($E$2:$E872)&lt;20,"",STDEVP($E$853:$E$872))</f>
        <v>0</v>
      </c>
      <c r="AM872">
        <f>IF(AK872="","",AK872+2*AL872)</f>
        <v>0</v>
      </c>
      <c r="AN872">
        <f>IF(AK872="","",AK872-2*AL872)</f>
        <v>0</v>
      </c>
      <c r="AO872">
        <f>IF(OR(AM872="",AN872="",AM872=AN872),"",($E872-AN872)/(AM872-AN872))</f>
        <v>0</v>
      </c>
      <c r="AP872">
        <f>IF(OR(AM872="",AK872="",AK872=0),"",(AM872-AN872)/AK872)</f>
        <v>0</v>
      </c>
      <c r="AQ872">
        <f>IF(COUNT($E$2:$E872)&lt;20,"",MAX($C$853:$C$872))</f>
        <v>0</v>
      </c>
      <c r="AR872">
        <f>IF(COUNT($E$2:$E872)&lt;20,"",MIN($D$853:$D$872))</f>
        <v>0</v>
      </c>
      <c r="AS872">
        <f>IF(OR(AQ872="",AR872=""),"",(AQ872+AR872)/2)</f>
        <v>0</v>
      </c>
      <c r="AT872">
        <f>IF(COUNT($G$853:$G$872)&lt;20,"",STDEV($G$853:$G$872)*SQRT(252))</f>
        <v>0</v>
      </c>
      <c r="AU872">
        <f>IF(COUNT($E$2:$E872)&lt;9,"",(MAX($C$864:$C$872)+MIN($D$864:$D$872))/2)</f>
        <v>0</v>
      </c>
      <c r="AV872">
        <f>IF(COUNT($E$2:$E872)&lt;26,"",(MAX($C$847:$C$872)+MIN($D$847:$D$872))/2)</f>
        <v>0</v>
      </c>
      <c r="AW872">
        <f>IF(OR(AU872="",AV872=""),"",(AU872+AV872)/2)</f>
        <v>0</v>
      </c>
      <c r="AX872">
        <f>IF(COUNT($E$2:$E872)&lt;52,"",(MAX($C$821:$C$872)+MIN($D$821:$D$872))/2)</f>
        <v>0</v>
      </c>
      <c r="AY872">
        <f>IF(COUNT($E$2:$E872)&lt;20,"",MAX($C$773:$C$872))</f>
        <v>0</v>
      </c>
      <c r="AZ872">
        <f>IF(COUNT($E$2:$E872)&lt;20,"",MIN($D$773:$D$872))</f>
        <v>0</v>
      </c>
      <c r="BA872">
        <f>IF(COUNT($E$2:$E872)&lt;20,"",SLOPE($E$773:$E$872,$F$773:$F$872))</f>
        <v>0</v>
      </c>
      <c r="BB872">
        <f>IF(COUNT($E$2:$E872)&lt;20,"",INTERCEPT($E$773:$E$872,$F$773:$F$872))</f>
        <v>0</v>
      </c>
      <c r="BC872">
        <f>IF(OR(BA872="",BB872=""),"",BB872+BA872*F872)</f>
        <v>0</v>
      </c>
      <c r="BD872">
        <f>IF(COUNT($E$2:$E872)&lt;20,"",STEYX($E$773:$E$872,$F$773:$F$872))</f>
        <v>0</v>
      </c>
      <c r="BE872">
        <f>IF($E872="","",IF(AND(COUNT($E$873:$E$876)&gt;=4,$C872=MAX($C$868:$C$876)),$C872,""))</f>
        <v>0</v>
      </c>
      <c r="BF872">
        <f>IF($E872="","",IF(AND(COUNT($E$873:$E$876)&gt;=4,$D872=MIN($D$868:$D$876)),$D872,""))</f>
        <v>0</v>
      </c>
      <c r="BG872">
        <f>IF($A872="","",$A872-WEEKDAY($A872,2)+1)</f>
        <v>0</v>
      </c>
      <c r="BH872">
        <f>IF($A872="","",IF($A871="",1,IF(BG872&lt;&gt;BG871,1,0)))</f>
        <v>0</v>
      </c>
      <c r="BI872">
        <f>IF($A872="","",IF($A873="",1,IF(BG873&lt;&gt;BG872,1,0)))</f>
        <v>0</v>
      </c>
      <c r="BJ872">
        <f>IF($A872="","",IF(BH872=1,$B872,BJ871))</f>
        <v>0</v>
      </c>
      <c r="BK872">
        <f>IF($A872="","",IF(BH872=1,$C872,MAX($C872,BK871)))</f>
        <v>0</v>
      </c>
      <c r="BL872">
        <f>IF($A872="","",IF(BH872=1,$D872,MIN($D872,BL871)))</f>
        <v>0</v>
      </c>
      <c r="BM872">
        <f>IF($A872="","",IF(BI872=1,F872,""))</f>
        <v>0</v>
      </c>
      <c r="BN872">
        <f>IF($A872="","",DATE(YEAR($A872),MONTH($A872),1))</f>
        <v>0</v>
      </c>
      <c r="BO872">
        <f>IF($A872="","",IF($A871="",1,IF(BN872&lt;&gt;BN871,1,0)))</f>
        <v>0</v>
      </c>
      <c r="BP872">
        <f>IF($A872="","",IF($A873="",1,IF(BN873&lt;&gt;BN872,1,0)))</f>
        <v>0</v>
      </c>
      <c r="BQ872">
        <f>IF($A872="","",IF(BO872=1,$B872,BQ871))</f>
        <v>0</v>
      </c>
      <c r="BR872">
        <f>IF($A872="","",IF(BO872=1,$C872,MAX($C872,BR871)))</f>
        <v>0</v>
      </c>
      <c r="BS872">
        <f>IF($A872="","",IF(BO872=1,$D872,MIN($D872,BS871)))</f>
        <v>0</v>
      </c>
      <c r="BT872">
        <f>IF($A872="","",IF(BP872=1,F872,""))</f>
        <v>0</v>
      </c>
    </row>
    <row r="873" spans="1:72">
      <c r="A873" s="27">
        <f>IF(Data!$A873="","",Data!$A873)</f>
        <v>0</v>
      </c>
      <c r="B873">
        <f>IF(Data!$B873="","",Data!$B873)</f>
        <v>0</v>
      </c>
      <c r="C873">
        <f>IF(Data!$C873="","",Data!$C873)</f>
        <v>0</v>
      </c>
      <c r="D873">
        <f>IF(Data!$D873="","",Data!$D873)</f>
        <v>0</v>
      </c>
      <c r="E873">
        <f>IF(Data!$E873="","",Data!$E873)</f>
        <v>0</v>
      </c>
      <c r="F873">
        <f>IF($E873="","",N(F872)+1)</f>
        <v>0</v>
      </c>
      <c r="G873">
        <f>IF(OR($E873="",$E872=""),"",LN($E873/$E872))</f>
        <v>0</v>
      </c>
      <c r="H873">
        <f>IF($E873="","",IF($E872="",$E873,$E873*0.0952380952+H872*0.9047619048))</f>
        <v>0</v>
      </c>
      <c r="I873">
        <f>IF($E873="","",IF($E872="",$E873,$E873*0.0392156863+I872*0.9607843137))</f>
        <v>0</v>
      </c>
      <c r="J873">
        <f>IF($E873="","",IF($E872="",$E873,$E873*0.0198019802+J872*0.9801980198))</f>
        <v>0</v>
      </c>
      <c r="K873">
        <f>IF($E873="","",IF($E872="",$E873,$E873*0.0099502488+K872*0.9900497512))</f>
        <v>0</v>
      </c>
      <c r="L873">
        <f>IF(OR($E873="",$E872=""),"",MAX($E873-$E872,0))</f>
        <v>0</v>
      </c>
      <c r="M873">
        <f>IF(OR($E873="",$E872=""),"",MAX($E872-$E873,0))</f>
        <v>0</v>
      </c>
      <c r="N873">
        <f>IF(COUNT($E$2:$E873)&lt;15,"",IF(AVERAGE($M$860:$M$873)=0,100,100-100/(1+AVERAGE($L$860:$L$873)/AVERAGE($M$860:$M$873))))</f>
        <v>0</v>
      </c>
      <c r="O873">
        <f>IF($E873="","",IF($E872="",$E873,$E873*0.1538461538+O872*0.8461538462))</f>
        <v>0</v>
      </c>
      <c r="P873">
        <f>IF($E873="","",IF($E872="",$E873,$E873*0.0740740741+P872*0.9259259259))</f>
        <v>0</v>
      </c>
      <c r="Q873">
        <f>IF(OR(O873="",P873=""),"",O873-P873)</f>
        <v>0</v>
      </c>
      <c r="R873">
        <f>IF(Q873="","",IF(R872="",Q873,Q873*0.2000000000+R872*0.8000000000))</f>
        <v>0</v>
      </c>
      <c r="S873">
        <f>IF(OR(Q873="",R873=""),"",Q873-R873)</f>
        <v>0</v>
      </c>
      <c r="T873">
        <f>IF(COUNT($E$2:$E873)&lt;14,"",MAX($C$860:$C$873))</f>
        <v>0</v>
      </c>
      <c r="U873">
        <f>IF(COUNT($E$2:$E873)&lt;14,"",MIN($D$860:$D$873))</f>
        <v>0</v>
      </c>
      <c r="V873">
        <f>IF(OR(T873="",U873="",T873=U873),"",100*($E873-U873)/(T873-U873))</f>
        <v>0</v>
      </c>
      <c r="W873">
        <f>IF(COUNT($V$871:$V$873)&lt;3,"",AVERAGE($V$871:$V$873))</f>
        <v>0</v>
      </c>
      <c r="X873">
        <f>IF(COUNT($N$860:$N$873)&lt;14,"",MIN($N$860:$N$873))</f>
        <v>0</v>
      </c>
      <c r="Y873">
        <f>IF(COUNT($N$860:$N$873)&lt;14,"",MAX($N$860:$N$873))</f>
        <v>0</v>
      </c>
      <c r="Z873">
        <f>IF(OR(N873="",X873="",Y873="",Y873=X873),"",100*(N873-X873)/(Y873-X873))</f>
        <v>0</v>
      </c>
      <c r="AA873">
        <f>IF(COUNT($Z$871:$Z$873)&lt;3,"",AVERAGE($Z$871:$Z$873))</f>
        <v>0</v>
      </c>
      <c r="AB873">
        <f>IF(COUNT($AA$871:$AA$873)&lt;3,"",AVERAGE($AA$871:$AA$873))</f>
        <v>0</v>
      </c>
      <c r="AC873">
        <f>IF($E873="","",MAX($C873-$D873,ABS($C873-$E872),ABS($D873-$E872)))</f>
        <v>0</v>
      </c>
      <c r="AD873">
        <f>IF(COUNT($E$2:$E873)&lt;15,"",AVERAGE($AC$860:$AC$873))</f>
        <v>0</v>
      </c>
      <c r="AE873">
        <f>IF(OR($E873="",$E872=""),"",IF(AND(($C873-$C872)&gt;($D872-$D873),($C873-$C872)&gt;0),$C873-$C872,0))</f>
        <v>0</v>
      </c>
      <c r="AF873">
        <f>IF(OR($E873="",$E872=""),"",IF(AND(($D872-$D873)&gt;($C873-$C872),($D872-$D873)&gt;0),$D872-$D873,0))</f>
        <v>0</v>
      </c>
      <c r="AG873">
        <f>IF(COUNT($E$2:$E873)&lt;15,"",IF(SUM($AC$860:$AC$873)=0,0,100*SUM($AE$860:$AE$873)/SUM($AC$860:$AC$873)))</f>
        <v>0</v>
      </c>
      <c r="AH873">
        <f>IF(COUNT($E$2:$E873)&lt;15,"",IF(SUM($AC$860:$AC$873)=0,0,100*SUM($AF$860:$AF$873)/SUM($AC$860:$AC$873)))</f>
        <v>0</v>
      </c>
      <c r="AI873">
        <f>IF(OR(AG873="",AH873=""),"",IF((AG873+AH873)=0,0,100*ABS(AG873-AH873)/(AG873+AH873)))</f>
        <v>0</v>
      </c>
      <c r="AJ873">
        <f>IF(COUNT($AI$860:$AI$873)&lt;14,"",AVERAGE($AI$860:$AI$873))</f>
        <v>0</v>
      </c>
      <c r="AK873">
        <f>IF(COUNT($E$2:$E873)&lt;20,"",AVERAGE($E$854:$E$873))</f>
        <v>0</v>
      </c>
      <c r="AL873">
        <f>IF(COUNT($E$2:$E873)&lt;20,"",STDEVP($E$854:$E$873))</f>
        <v>0</v>
      </c>
      <c r="AM873">
        <f>IF(AK873="","",AK873+2*AL873)</f>
        <v>0</v>
      </c>
      <c r="AN873">
        <f>IF(AK873="","",AK873-2*AL873)</f>
        <v>0</v>
      </c>
      <c r="AO873">
        <f>IF(OR(AM873="",AN873="",AM873=AN873),"",($E873-AN873)/(AM873-AN873))</f>
        <v>0</v>
      </c>
      <c r="AP873">
        <f>IF(OR(AM873="",AK873="",AK873=0),"",(AM873-AN873)/AK873)</f>
        <v>0</v>
      </c>
      <c r="AQ873">
        <f>IF(COUNT($E$2:$E873)&lt;20,"",MAX($C$854:$C$873))</f>
        <v>0</v>
      </c>
      <c r="AR873">
        <f>IF(COUNT($E$2:$E873)&lt;20,"",MIN($D$854:$D$873))</f>
        <v>0</v>
      </c>
      <c r="AS873">
        <f>IF(OR(AQ873="",AR873=""),"",(AQ873+AR873)/2)</f>
        <v>0</v>
      </c>
      <c r="AT873">
        <f>IF(COUNT($G$854:$G$873)&lt;20,"",STDEV($G$854:$G$873)*SQRT(252))</f>
        <v>0</v>
      </c>
      <c r="AU873">
        <f>IF(COUNT($E$2:$E873)&lt;9,"",(MAX($C$865:$C$873)+MIN($D$865:$D$873))/2)</f>
        <v>0</v>
      </c>
      <c r="AV873">
        <f>IF(COUNT($E$2:$E873)&lt;26,"",(MAX($C$848:$C$873)+MIN($D$848:$D$873))/2)</f>
        <v>0</v>
      </c>
      <c r="AW873">
        <f>IF(OR(AU873="",AV873=""),"",(AU873+AV873)/2)</f>
        <v>0</v>
      </c>
      <c r="AX873">
        <f>IF(COUNT($E$2:$E873)&lt;52,"",(MAX($C$822:$C$873)+MIN($D$822:$D$873))/2)</f>
        <v>0</v>
      </c>
      <c r="AY873">
        <f>IF(COUNT($E$2:$E873)&lt;20,"",MAX($C$774:$C$873))</f>
        <v>0</v>
      </c>
      <c r="AZ873">
        <f>IF(COUNT($E$2:$E873)&lt;20,"",MIN($D$774:$D$873))</f>
        <v>0</v>
      </c>
      <c r="BA873">
        <f>IF(COUNT($E$2:$E873)&lt;20,"",SLOPE($E$774:$E$873,$F$774:$F$873))</f>
        <v>0</v>
      </c>
      <c r="BB873">
        <f>IF(COUNT($E$2:$E873)&lt;20,"",INTERCEPT($E$774:$E$873,$F$774:$F$873))</f>
        <v>0</v>
      </c>
      <c r="BC873">
        <f>IF(OR(BA873="",BB873=""),"",BB873+BA873*F873)</f>
        <v>0</v>
      </c>
      <c r="BD873">
        <f>IF(COUNT($E$2:$E873)&lt;20,"",STEYX($E$774:$E$873,$F$774:$F$873))</f>
        <v>0</v>
      </c>
      <c r="BE873">
        <f>IF($E873="","",IF(AND(COUNT($E$874:$E$877)&gt;=4,$C873=MAX($C$869:$C$877)),$C873,""))</f>
        <v>0</v>
      </c>
      <c r="BF873">
        <f>IF($E873="","",IF(AND(COUNT($E$874:$E$877)&gt;=4,$D873=MIN($D$869:$D$877)),$D873,""))</f>
        <v>0</v>
      </c>
      <c r="BG873">
        <f>IF($A873="","",$A873-WEEKDAY($A873,2)+1)</f>
        <v>0</v>
      </c>
      <c r="BH873">
        <f>IF($A873="","",IF($A872="",1,IF(BG873&lt;&gt;BG872,1,0)))</f>
        <v>0</v>
      </c>
      <c r="BI873">
        <f>IF($A873="","",IF($A874="",1,IF(BG874&lt;&gt;BG873,1,0)))</f>
        <v>0</v>
      </c>
      <c r="BJ873">
        <f>IF($A873="","",IF(BH873=1,$B873,BJ872))</f>
        <v>0</v>
      </c>
      <c r="BK873">
        <f>IF($A873="","",IF(BH873=1,$C873,MAX($C873,BK872)))</f>
        <v>0</v>
      </c>
      <c r="BL873">
        <f>IF($A873="","",IF(BH873=1,$D873,MIN($D873,BL872)))</f>
        <v>0</v>
      </c>
      <c r="BM873">
        <f>IF($A873="","",IF(BI873=1,F873,""))</f>
        <v>0</v>
      </c>
      <c r="BN873">
        <f>IF($A873="","",DATE(YEAR($A873),MONTH($A873),1))</f>
        <v>0</v>
      </c>
      <c r="BO873">
        <f>IF($A873="","",IF($A872="",1,IF(BN873&lt;&gt;BN872,1,0)))</f>
        <v>0</v>
      </c>
      <c r="BP873">
        <f>IF($A873="","",IF($A874="",1,IF(BN874&lt;&gt;BN873,1,0)))</f>
        <v>0</v>
      </c>
      <c r="BQ873">
        <f>IF($A873="","",IF(BO873=1,$B873,BQ872))</f>
        <v>0</v>
      </c>
      <c r="BR873">
        <f>IF($A873="","",IF(BO873=1,$C873,MAX($C873,BR872)))</f>
        <v>0</v>
      </c>
      <c r="BS873">
        <f>IF($A873="","",IF(BO873=1,$D873,MIN($D873,BS872)))</f>
        <v>0</v>
      </c>
      <c r="BT873">
        <f>IF($A873="","",IF(BP873=1,F873,""))</f>
        <v>0</v>
      </c>
    </row>
    <row r="874" spans="1:72">
      <c r="A874" s="27">
        <f>IF(Data!$A874="","",Data!$A874)</f>
        <v>0</v>
      </c>
      <c r="B874">
        <f>IF(Data!$B874="","",Data!$B874)</f>
        <v>0</v>
      </c>
      <c r="C874">
        <f>IF(Data!$C874="","",Data!$C874)</f>
        <v>0</v>
      </c>
      <c r="D874">
        <f>IF(Data!$D874="","",Data!$D874)</f>
        <v>0</v>
      </c>
      <c r="E874">
        <f>IF(Data!$E874="","",Data!$E874)</f>
        <v>0</v>
      </c>
      <c r="F874">
        <f>IF($E874="","",N(F873)+1)</f>
        <v>0</v>
      </c>
      <c r="G874">
        <f>IF(OR($E874="",$E873=""),"",LN($E874/$E873))</f>
        <v>0</v>
      </c>
      <c r="H874">
        <f>IF($E874="","",IF($E873="",$E874,$E874*0.0952380952+H873*0.9047619048))</f>
        <v>0</v>
      </c>
      <c r="I874">
        <f>IF($E874="","",IF($E873="",$E874,$E874*0.0392156863+I873*0.9607843137))</f>
        <v>0</v>
      </c>
      <c r="J874">
        <f>IF($E874="","",IF($E873="",$E874,$E874*0.0198019802+J873*0.9801980198))</f>
        <v>0</v>
      </c>
      <c r="K874">
        <f>IF($E874="","",IF($E873="",$E874,$E874*0.0099502488+K873*0.9900497512))</f>
        <v>0</v>
      </c>
      <c r="L874">
        <f>IF(OR($E874="",$E873=""),"",MAX($E874-$E873,0))</f>
        <v>0</v>
      </c>
      <c r="M874">
        <f>IF(OR($E874="",$E873=""),"",MAX($E873-$E874,0))</f>
        <v>0</v>
      </c>
      <c r="N874">
        <f>IF(COUNT($E$2:$E874)&lt;15,"",IF(AVERAGE($M$861:$M$874)=0,100,100-100/(1+AVERAGE($L$861:$L$874)/AVERAGE($M$861:$M$874))))</f>
        <v>0</v>
      </c>
      <c r="O874">
        <f>IF($E874="","",IF($E873="",$E874,$E874*0.1538461538+O873*0.8461538462))</f>
        <v>0</v>
      </c>
      <c r="P874">
        <f>IF($E874="","",IF($E873="",$E874,$E874*0.0740740741+P873*0.9259259259))</f>
        <v>0</v>
      </c>
      <c r="Q874">
        <f>IF(OR(O874="",P874=""),"",O874-P874)</f>
        <v>0</v>
      </c>
      <c r="R874">
        <f>IF(Q874="","",IF(R873="",Q874,Q874*0.2000000000+R873*0.8000000000))</f>
        <v>0</v>
      </c>
      <c r="S874">
        <f>IF(OR(Q874="",R874=""),"",Q874-R874)</f>
        <v>0</v>
      </c>
      <c r="T874">
        <f>IF(COUNT($E$2:$E874)&lt;14,"",MAX($C$861:$C$874))</f>
        <v>0</v>
      </c>
      <c r="U874">
        <f>IF(COUNT($E$2:$E874)&lt;14,"",MIN($D$861:$D$874))</f>
        <v>0</v>
      </c>
      <c r="V874">
        <f>IF(OR(T874="",U874="",T874=U874),"",100*($E874-U874)/(T874-U874))</f>
        <v>0</v>
      </c>
      <c r="W874">
        <f>IF(COUNT($V$872:$V$874)&lt;3,"",AVERAGE($V$872:$V$874))</f>
        <v>0</v>
      </c>
      <c r="X874">
        <f>IF(COUNT($N$861:$N$874)&lt;14,"",MIN($N$861:$N$874))</f>
        <v>0</v>
      </c>
      <c r="Y874">
        <f>IF(COUNT($N$861:$N$874)&lt;14,"",MAX($N$861:$N$874))</f>
        <v>0</v>
      </c>
      <c r="Z874">
        <f>IF(OR(N874="",X874="",Y874="",Y874=X874),"",100*(N874-X874)/(Y874-X874))</f>
        <v>0</v>
      </c>
      <c r="AA874">
        <f>IF(COUNT($Z$872:$Z$874)&lt;3,"",AVERAGE($Z$872:$Z$874))</f>
        <v>0</v>
      </c>
      <c r="AB874">
        <f>IF(COUNT($AA$872:$AA$874)&lt;3,"",AVERAGE($AA$872:$AA$874))</f>
        <v>0</v>
      </c>
      <c r="AC874">
        <f>IF($E874="","",MAX($C874-$D874,ABS($C874-$E873),ABS($D874-$E873)))</f>
        <v>0</v>
      </c>
      <c r="AD874">
        <f>IF(COUNT($E$2:$E874)&lt;15,"",AVERAGE($AC$861:$AC$874))</f>
        <v>0</v>
      </c>
      <c r="AE874">
        <f>IF(OR($E874="",$E873=""),"",IF(AND(($C874-$C873)&gt;($D873-$D874),($C874-$C873)&gt;0),$C874-$C873,0))</f>
        <v>0</v>
      </c>
      <c r="AF874">
        <f>IF(OR($E874="",$E873=""),"",IF(AND(($D873-$D874)&gt;($C874-$C873),($D873-$D874)&gt;0),$D873-$D874,0))</f>
        <v>0</v>
      </c>
      <c r="AG874">
        <f>IF(COUNT($E$2:$E874)&lt;15,"",IF(SUM($AC$861:$AC$874)=0,0,100*SUM($AE$861:$AE$874)/SUM($AC$861:$AC$874)))</f>
        <v>0</v>
      </c>
      <c r="AH874">
        <f>IF(COUNT($E$2:$E874)&lt;15,"",IF(SUM($AC$861:$AC$874)=0,0,100*SUM($AF$861:$AF$874)/SUM($AC$861:$AC$874)))</f>
        <v>0</v>
      </c>
      <c r="AI874">
        <f>IF(OR(AG874="",AH874=""),"",IF((AG874+AH874)=0,0,100*ABS(AG874-AH874)/(AG874+AH874)))</f>
        <v>0</v>
      </c>
      <c r="AJ874">
        <f>IF(COUNT($AI$861:$AI$874)&lt;14,"",AVERAGE($AI$861:$AI$874))</f>
        <v>0</v>
      </c>
      <c r="AK874">
        <f>IF(COUNT($E$2:$E874)&lt;20,"",AVERAGE($E$855:$E$874))</f>
        <v>0</v>
      </c>
      <c r="AL874">
        <f>IF(COUNT($E$2:$E874)&lt;20,"",STDEVP($E$855:$E$874))</f>
        <v>0</v>
      </c>
      <c r="AM874">
        <f>IF(AK874="","",AK874+2*AL874)</f>
        <v>0</v>
      </c>
      <c r="AN874">
        <f>IF(AK874="","",AK874-2*AL874)</f>
        <v>0</v>
      </c>
      <c r="AO874">
        <f>IF(OR(AM874="",AN874="",AM874=AN874),"",($E874-AN874)/(AM874-AN874))</f>
        <v>0</v>
      </c>
      <c r="AP874">
        <f>IF(OR(AM874="",AK874="",AK874=0),"",(AM874-AN874)/AK874)</f>
        <v>0</v>
      </c>
      <c r="AQ874">
        <f>IF(COUNT($E$2:$E874)&lt;20,"",MAX($C$855:$C$874))</f>
        <v>0</v>
      </c>
      <c r="AR874">
        <f>IF(COUNT($E$2:$E874)&lt;20,"",MIN($D$855:$D$874))</f>
        <v>0</v>
      </c>
      <c r="AS874">
        <f>IF(OR(AQ874="",AR874=""),"",(AQ874+AR874)/2)</f>
        <v>0</v>
      </c>
      <c r="AT874">
        <f>IF(COUNT($G$855:$G$874)&lt;20,"",STDEV($G$855:$G$874)*SQRT(252))</f>
        <v>0</v>
      </c>
      <c r="AU874">
        <f>IF(COUNT($E$2:$E874)&lt;9,"",(MAX($C$866:$C$874)+MIN($D$866:$D$874))/2)</f>
        <v>0</v>
      </c>
      <c r="AV874">
        <f>IF(COUNT($E$2:$E874)&lt;26,"",(MAX($C$849:$C$874)+MIN($D$849:$D$874))/2)</f>
        <v>0</v>
      </c>
      <c r="AW874">
        <f>IF(OR(AU874="",AV874=""),"",(AU874+AV874)/2)</f>
        <v>0</v>
      </c>
      <c r="AX874">
        <f>IF(COUNT($E$2:$E874)&lt;52,"",(MAX($C$823:$C$874)+MIN($D$823:$D$874))/2)</f>
        <v>0</v>
      </c>
      <c r="AY874">
        <f>IF(COUNT($E$2:$E874)&lt;20,"",MAX($C$775:$C$874))</f>
        <v>0</v>
      </c>
      <c r="AZ874">
        <f>IF(COUNT($E$2:$E874)&lt;20,"",MIN($D$775:$D$874))</f>
        <v>0</v>
      </c>
      <c r="BA874">
        <f>IF(COUNT($E$2:$E874)&lt;20,"",SLOPE($E$775:$E$874,$F$775:$F$874))</f>
        <v>0</v>
      </c>
      <c r="BB874">
        <f>IF(COUNT($E$2:$E874)&lt;20,"",INTERCEPT($E$775:$E$874,$F$775:$F$874))</f>
        <v>0</v>
      </c>
      <c r="BC874">
        <f>IF(OR(BA874="",BB874=""),"",BB874+BA874*F874)</f>
        <v>0</v>
      </c>
      <c r="BD874">
        <f>IF(COUNT($E$2:$E874)&lt;20,"",STEYX($E$775:$E$874,$F$775:$F$874))</f>
        <v>0</v>
      </c>
      <c r="BE874">
        <f>IF($E874="","",IF(AND(COUNT($E$875:$E$878)&gt;=4,$C874=MAX($C$870:$C$878)),$C874,""))</f>
        <v>0</v>
      </c>
      <c r="BF874">
        <f>IF($E874="","",IF(AND(COUNT($E$875:$E$878)&gt;=4,$D874=MIN($D$870:$D$878)),$D874,""))</f>
        <v>0</v>
      </c>
      <c r="BG874">
        <f>IF($A874="","",$A874-WEEKDAY($A874,2)+1)</f>
        <v>0</v>
      </c>
      <c r="BH874">
        <f>IF($A874="","",IF($A873="",1,IF(BG874&lt;&gt;BG873,1,0)))</f>
        <v>0</v>
      </c>
      <c r="BI874">
        <f>IF($A874="","",IF($A875="",1,IF(BG875&lt;&gt;BG874,1,0)))</f>
        <v>0</v>
      </c>
      <c r="BJ874">
        <f>IF($A874="","",IF(BH874=1,$B874,BJ873))</f>
        <v>0</v>
      </c>
      <c r="BK874">
        <f>IF($A874="","",IF(BH874=1,$C874,MAX($C874,BK873)))</f>
        <v>0</v>
      </c>
      <c r="BL874">
        <f>IF($A874="","",IF(BH874=1,$D874,MIN($D874,BL873)))</f>
        <v>0</v>
      </c>
      <c r="BM874">
        <f>IF($A874="","",IF(BI874=1,F874,""))</f>
        <v>0</v>
      </c>
      <c r="BN874">
        <f>IF($A874="","",DATE(YEAR($A874),MONTH($A874),1))</f>
        <v>0</v>
      </c>
      <c r="BO874">
        <f>IF($A874="","",IF($A873="",1,IF(BN874&lt;&gt;BN873,1,0)))</f>
        <v>0</v>
      </c>
      <c r="BP874">
        <f>IF($A874="","",IF($A875="",1,IF(BN875&lt;&gt;BN874,1,0)))</f>
        <v>0</v>
      </c>
      <c r="BQ874">
        <f>IF($A874="","",IF(BO874=1,$B874,BQ873))</f>
        <v>0</v>
      </c>
      <c r="BR874">
        <f>IF($A874="","",IF(BO874=1,$C874,MAX($C874,BR873)))</f>
        <v>0</v>
      </c>
      <c r="BS874">
        <f>IF($A874="","",IF(BO874=1,$D874,MIN($D874,BS873)))</f>
        <v>0</v>
      </c>
      <c r="BT874">
        <f>IF($A874="","",IF(BP874=1,F874,""))</f>
        <v>0</v>
      </c>
    </row>
    <row r="875" spans="1:72">
      <c r="A875" s="27">
        <f>IF(Data!$A875="","",Data!$A875)</f>
        <v>0</v>
      </c>
      <c r="B875">
        <f>IF(Data!$B875="","",Data!$B875)</f>
        <v>0</v>
      </c>
      <c r="C875">
        <f>IF(Data!$C875="","",Data!$C875)</f>
        <v>0</v>
      </c>
      <c r="D875">
        <f>IF(Data!$D875="","",Data!$D875)</f>
        <v>0</v>
      </c>
      <c r="E875">
        <f>IF(Data!$E875="","",Data!$E875)</f>
        <v>0</v>
      </c>
      <c r="F875">
        <f>IF($E875="","",N(F874)+1)</f>
        <v>0</v>
      </c>
      <c r="G875">
        <f>IF(OR($E875="",$E874=""),"",LN($E875/$E874))</f>
        <v>0</v>
      </c>
      <c r="H875">
        <f>IF($E875="","",IF($E874="",$E875,$E875*0.0952380952+H874*0.9047619048))</f>
        <v>0</v>
      </c>
      <c r="I875">
        <f>IF($E875="","",IF($E874="",$E875,$E875*0.0392156863+I874*0.9607843137))</f>
        <v>0</v>
      </c>
      <c r="J875">
        <f>IF($E875="","",IF($E874="",$E875,$E875*0.0198019802+J874*0.9801980198))</f>
        <v>0</v>
      </c>
      <c r="K875">
        <f>IF($E875="","",IF($E874="",$E875,$E875*0.0099502488+K874*0.9900497512))</f>
        <v>0</v>
      </c>
      <c r="L875">
        <f>IF(OR($E875="",$E874=""),"",MAX($E875-$E874,0))</f>
        <v>0</v>
      </c>
      <c r="M875">
        <f>IF(OR($E875="",$E874=""),"",MAX($E874-$E875,0))</f>
        <v>0</v>
      </c>
      <c r="N875">
        <f>IF(COUNT($E$2:$E875)&lt;15,"",IF(AVERAGE($M$862:$M$875)=0,100,100-100/(1+AVERAGE($L$862:$L$875)/AVERAGE($M$862:$M$875))))</f>
        <v>0</v>
      </c>
      <c r="O875">
        <f>IF($E875="","",IF($E874="",$E875,$E875*0.1538461538+O874*0.8461538462))</f>
        <v>0</v>
      </c>
      <c r="P875">
        <f>IF($E875="","",IF($E874="",$E875,$E875*0.0740740741+P874*0.9259259259))</f>
        <v>0</v>
      </c>
      <c r="Q875">
        <f>IF(OR(O875="",P875=""),"",O875-P875)</f>
        <v>0</v>
      </c>
      <c r="R875">
        <f>IF(Q875="","",IF(R874="",Q875,Q875*0.2000000000+R874*0.8000000000))</f>
        <v>0</v>
      </c>
      <c r="S875">
        <f>IF(OR(Q875="",R875=""),"",Q875-R875)</f>
        <v>0</v>
      </c>
      <c r="T875">
        <f>IF(COUNT($E$2:$E875)&lt;14,"",MAX($C$862:$C$875))</f>
        <v>0</v>
      </c>
      <c r="U875">
        <f>IF(COUNT($E$2:$E875)&lt;14,"",MIN($D$862:$D$875))</f>
        <v>0</v>
      </c>
      <c r="V875">
        <f>IF(OR(T875="",U875="",T875=U875),"",100*($E875-U875)/(T875-U875))</f>
        <v>0</v>
      </c>
      <c r="W875">
        <f>IF(COUNT($V$873:$V$875)&lt;3,"",AVERAGE($V$873:$V$875))</f>
        <v>0</v>
      </c>
      <c r="X875">
        <f>IF(COUNT($N$862:$N$875)&lt;14,"",MIN($N$862:$N$875))</f>
        <v>0</v>
      </c>
      <c r="Y875">
        <f>IF(COUNT($N$862:$N$875)&lt;14,"",MAX($N$862:$N$875))</f>
        <v>0</v>
      </c>
      <c r="Z875">
        <f>IF(OR(N875="",X875="",Y875="",Y875=X875),"",100*(N875-X875)/(Y875-X875))</f>
        <v>0</v>
      </c>
      <c r="AA875">
        <f>IF(COUNT($Z$873:$Z$875)&lt;3,"",AVERAGE($Z$873:$Z$875))</f>
        <v>0</v>
      </c>
      <c r="AB875">
        <f>IF(COUNT($AA$873:$AA$875)&lt;3,"",AVERAGE($AA$873:$AA$875))</f>
        <v>0</v>
      </c>
      <c r="AC875">
        <f>IF($E875="","",MAX($C875-$D875,ABS($C875-$E874),ABS($D875-$E874)))</f>
        <v>0</v>
      </c>
      <c r="AD875">
        <f>IF(COUNT($E$2:$E875)&lt;15,"",AVERAGE($AC$862:$AC$875))</f>
        <v>0</v>
      </c>
      <c r="AE875">
        <f>IF(OR($E875="",$E874=""),"",IF(AND(($C875-$C874)&gt;($D874-$D875),($C875-$C874)&gt;0),$C875-$C874,0))</f>
        <v>0</v>
      </c>
      <c r="AF875">
        <f>IF(OR($E875="",$E874=""),"",IF(AND(($D874-$D875)&gt;($C875-$C874),($D874-$D875)&gt;0),$D874-$D875,0))</f>
        <v>0</v>
      </c>
      <c r="AG875">
        <f>IF(COUNT($E$2:$E875)&lt;15,"",IF(SUM($AC$862:$AC$875)=0,0,100*SUM($AE$862:$AE$875)/SUM($AC$862:$AC$875)))</f>
        <v>0</v>
      </c>
      <c r="AH875">
        <f>IF(COUNT($E$2:$E875)&lt;15,"",IF(SUM($AC$862:$AC$875)=0,0,100*SUM($AF$862:$AF$875)/SUM($AC$862:$AC$875)))</f>
        <v>0</v>
      </c>
      <c r="AI875">
        <f>IF(OR(AG875="",AH875=""),"",IF((AG875+AH875)=0,0,100*ABS(AG875-AH875)/(AG875+AH875)))</f>
        <v>0</v>
      </c>
      <c r="AJ875">
        <f>IF(COUNT($AI$862:$AI$875)&lt;14,"",AVERAGE($AI$862:$AI$875))</f>
        <v>0</v>
      </c>
      <c r="AK875">
        <f>IF(COUNT($E$2:$E875)&lt;20,"",AVERAGE($E$856:$E$875))</f>
        <v>0</v>
      </c>
      <c r="AL875">
        <f>IF(COUNT($E$2:$E875)&lt;20,"",STDEVP($E$856:$E$875))</f>
        <v>0</v>
      </c>
      <c r="AM875">
        <f>IF(AK875="","",AK875+2*AL875)</f>
        <v>0</v>
      </c>
      <c r="AN875">
        <f>IF(AK875="","",AK875-2*AL875)</f>
        <v>0</v>
      </c>
      <c r="AO875">
        <f>IF(OR(AM875="",AN875="",AM875=AN875),"",($E875-AN875)/(AM875-AN875))</f>
        <v>0</v>
      </c>
      <c r="AP875">
        <f>IF(OR(AM875="",AK875="",AK875=0),"",(AM875-AN875)/AK875)</f>
        <v>0</v>
      </c>
      <c r="AQ875">
        <f>IF(COUNT($E$2:$E875)&lt;20,"",MAX($C$856:$C$875))</f>
        <v>0</v>
      </c>
      <c r="AR875">
        <f>IF(COUNT($E$2:$E875)&lt;20,"",MIN($D$856:$D$875))</f>
        <v>0</v>
      </c>
      <c r="AS875">
        <f>IF(OR(AQ875="",AR875=""),"",(AQ875+AR875)/2)</f>
        <v>0</v>
      </c>
      <c r="AT875">
        <f>IF(COUNT($G$856:$G$875)&lt;20,"",STDEV($G$856:$G$875)*SQRT(252))</f>
        <v>0</v>
      </c>
      <c r="AU875">
        <f>IF(COUNT($E$2:$E875)&lt;9,"",(MAX($C$867:$C$875)+MIN($D$867:$D$875))/2)</f>
        <v>0</v>
      </c>
      <c r="AV875">
        <f>IF(COUNT($E$2:$E875)&lt;26,"",(MAX($C$850:$C$875)+MIN($D$850:$D$875))/2)</f>
        <v>0</v>
      </c>
      <c r="AW875">
        <f>IF(OR(AU875="",AV875=""),"",(AU875+AV875)/2)</f>
        <v>0</v>
      </c>
      <c r="AX875">
        <f>IF(COUNT($E$2:$E875)&lt;52,"",(MAX($C$824:$C$875)+MIN($D$824:$D$875))/2)</f>
        <v>0</v>
      </c>
      <c r="AY875">
        <f>IF(COUNT($E$2:$E875)&lt;20,"",MAX($C$776:$C$875))</f>
        <v>0</v>
      </c>
      <c r="AZ875">
        <f>IF(COUNT($E$2:$E875)&lt;20,"",MIN($D$776:$D$875))</f>
        <v>0</v>
      </c>
      <c r="BA875">
        <f>IF(COUNT($E$2:$E875)&lt;20,"",SLOPE($E$776:$E$875,$F$776:$F$875))</f>
        <v>0</v>
      </c>
      <c r="BB875">
        <f>IF(COUNT($E$2:$E875)&lt;20,"",INTERCEPT($E$776:$E$875,$F$776:$F$875))</f>
        <v>0</v>
      </c>
      <c r="BC875">
        <f>IF(OR(BA875="",BB875=""),"",BB875+BA875*F875)</f>
        <v>0</v>
      </c>
      <c r="BD875">
        <f>IF(COUNT($E$2:$E875)&lt;20,"",STEYX($E$776:$E$875,$F$776:$F$875))</f>
        <v>0</v>
      </c>
      <c r="BE875">
        <f>IF($E875="","",IF(AND(COUNT($E$876:$E$879)&gt;=4,$C875=MAX($C$871:$C$879)),$C875,""))</f>
        <v>0</v>
      </c>
      <c r="BF875">
        <f>IF($E875="","",IF(AND(COUNT($E$876:$E$879)&gt;=4,$D875=MIN($D$871:$D$879)),$D875,""))</f>
        <v>0</v>
      </c>
      <c r="BG875">
        <f>IF($A875="","",$A875-WEEKDAY($A875,2)+1)</f>
        <v>0</v>
      </c>
      <c r="BH875">
        <f>IF($A875="","",IF($A874="",1,IF(BG875&lt;&gt;BG874,1,0)))</f>
        <v>0</v>
      </c>
      <c r="BI875">
        <f>IF($A875="","",IF($A876="",1,IF(BG876&lt;&gt;BG875,1,0)))</f>
        <v>0</v>
      </c>
      <c r="BJ875">
        <f>IF($A875="","",IF(BH875=1,$B875,BJ874))</f>
        <v>0</v>
      </c>
      <c r="BK875">
        <f>IF($A875="","",IF(BH875=1,$C875,MAX($C875,BK874)))</f>
        <v>0</v>
      </c>
      <c r="BL875">
        <f>IF($A875="","",IF(BH875=1,$D875,MIN($D875,BL874)))</f>
        <v>0</v>
      </c>
      <c r="BM875">
        <f>IF($A875="","",IF(BI875=1,F875,""))</f>
        <v>0</v>
      </c>
      <c r="BN875">
        <f>IF($A875="","",DATE(YEAR($A875),MONTH($A875),1))</f>
        <v>0</v>
      </c>
      <c r="BO875">
        <f>IF($A875="","",IF($A874="",1,IF(BN875&lt;&gt;BN874,1,0)))</f>
        <v>0</v>
      </c>
      <c r="BP875">
        <f>IF($A875="","",IF($A876="",1,IF(BN876&lt;&gt;BN875,1,0)))</f>
        <v>0</v>
      </c>
      <c r="BQ875">
        <f>IF($A875="","",IF(BO875=1,$B875,BQ874))</f>
        <v>0</v>
      </c>
      <c r="BR875">
        <f>IF($A875="","",IF(BO875=1,$C875,MAX($C875,BR874)))</f>
        <v>0</v>
      </c>
      <c r="BS875">
        <f>IF($A875="","",IF(BO875=1,$D875,MIN($D875,BS874)))</f>
        <v>0</v>
      </c>
      <c r="BT875">
        <f>IF($A875="","",IF(BP875=1,F875,""))</f>
        <v>0</v>
      </c>
    </row>
    <row r="876" spans="1:72">
      <c r="A876" s="27">
        <f>IF(Data!$A876="","",Data!$A876)</f>
        <v>0</v>
      </c>
      <c r="B876">
        <f>IF(Data!$B876="","",Data!$B876)</f>
        <v>0</v>
      </c>
      <c r="C876">
        <f>IF(Data!$C876="","",Data!$C876)</f>
        <v>0</v>
      </c>
      <c r="D876">
        <f>IF(Data!$D876="","",Data!$D876)</f>
        <v>0</v>
      </c>
      <c r="E876">
        <f>IF(Data!$E876="","",Data!$E876)</f>
        <v>0</v>
      </c>
      <c r="F876">
        <f>IF($E876="","",N(F875)+1)</f>
        <v>0</v>
      </c>
      <c r="G876">
        <f>IF(OR($E876="",$E875=""),"",LN($E876/$E875))</f>
        <v>0</v>
      </c>
      <c r="H876">
        <f>IF($E876="","",IF($E875="",$E876,$E876*0.0952380952+H875*0.9047619048))</f>
        <v>0</v>
      </c>
      <c r="I876">
        <f>IF($E876="","",IF($E875="",$E876,$E876*0.0392156863+I875*0.9607843137))</f>
        <v>0</v>
      </c>
      <c r="J876">
        <f>IF($E876="","",IF($E875="",$E876,$E876*0.0198019802+J875*0.9801980198))</f>
        <v>0</v>
      </c>
      <c r="K876">
        <f>IF($E876="","",IF($E875="",$E876,$E876*0.0099502488+K875*0.9900497512))</f>
        <v>0</v>
      </c>
      <c r="L876">
        <f>IF(OR($E876="",$E875=""),"",MAX($E876-$E875,0))</f>
        <v>0</v>
      </c>
      <c r="M876">
        <f>IF(OR($E876="",$E875=""),"",MAX($E875-$E876,0))</f>
        <v>0</v>
      </c>
      <c r="N876">
        <f>IF(COUNT($E$2:$E876)&lt;15,"",IF(AVERAGE($M$863:$M$876)=0,100,100-100/(1+AVERAGE($L$863:$L$876)/AVERAGE($M$863:$M$876))))</f>
        <v>0</v>
      </c>
      <c r="O876">
        <f>IF($E876="","",IF($E875="",$E876,$E876*0.1538461538+O875*0.8461538462))</f>
        <v>0</v>
      </c>
      <c r="P876">
        <f>IF($E876="","",IF($E875="",$E876,$E876*0.0740740741+P875*0.9259259259))</f>
        <v>0</v>
      </c>
      <c r="Q876">
        <f>IF(OR(O876="",P876=""),"",O876-P876)</f>
        <v>0</v>
      </c>
      <c r="R876">
        <f>IF(Q876="","",IF(R875="",Q876,Q876*0.2000000000+R875*0.8000000000))</f>
        <v>0</v>
      </c>
      <c r="S876">
        <f>IF(OR(Q876="",R876=""),"",Q876-R876)</f>
        <v>0</v>
      </c>
      <c r="T876">
        <f>IF(COUNT($E$2:$E876)&lt;14,"",MAX($C$863:$C$876))</f>
        <v>0</v>
      </c>
      <c r="U876">
        <f>IF(COUNT($E$2:$E876)&lt;14,"",MIN($D$863:$D$876))</f>
        <v>0</v>
      </c>
      <c r="V876">
        <f>IF(OR(T876="",U876="",T876=U876),"",100*($E876-U876)/(T876-U876))</f>
        <v>0</v>
      </c>
      <c r="W876">
        <f>IF(COUNT($V$874:$V$876)&lt;3,"",AVERAGE($V$874:$V$876))</f>
        <v>0</v>
      </c>
      <c r="X876">
        <f>IF(COUNT($N$863:$N$876)&lt;14,"",MIN($N$863:$N$876))</f>
        <v>0</v>
      </c>
      <c r="Y876">
        <f>IF(COUNT($N$863:$N$876)&lt;14,"",MAX($N$863:$N$876))</f>
        <v>0</v>
      </c>
      <c r="Z876">
        <f>IF(OR(N876="",X876="",Y876="",Y876=X876),"",100*(N876-X876)/(Y876-X876))</f>
        <v>0</v>
      </c>
      <c r="AA876">
        <f>IF(COUNT($Z$874:$Z$876)&lt;3,"",AVERAGE($Z$874:$Z$876))</f>
        <v>0</v>
      </c>
      <c r="AB876">
        <f>IF(COUNT($AA$874:$AA$876)&lt;3,"",AVERAGE($AA$874:$AA$876))</f>
        <v>0</v>
      </c>
      <c r="AC876">
        <f>IF($E876="","",MAX($C876-$D876,ABS($C876-$E875),ABS($D876-$E875)))</f>
        <v>0</v>
      </c>
      <c r="AD876">
        <f>IF(COUNT($E$2:$E876)&lt;15,"",AVERAGE($AC$863:$AC$876))</f>
        <v>0</v>
      </c>
      <c r="AE876">
        <f>IF(OR($E876="",$E875=""),"",IF(AND(($C876-$C875)&gt;($D875-$D876),($C876-$C875)&gt;0),$C876-$C875,0))</f>
        <v>0</v>
      </c>
      <c r="AF876">
        <f>IF(OR($E876="",$E875=""),"",IF(AND(($D875-$D876)&gt;($C876-$C875),($D875-$D876)&gt;0),$D875-$D876,0))</f>
        <v>0</v>
      </c>
      <c r="AG876">
        <f>IF(COUNT($E$2:$E876)&lt;15,"",IF(SUM($AC$863:$AC$876)=0,0,100*SUM($AE$863:$AE$876)/SUM($AC$863:$AC$876)))</f>
        <v>0</v>
      </c>
      <c r="AH876">
        <f>IF(COUNT($E$2:$E876)&lt;15,"",IF(SUM($AC$863:$AC$876)=0,0,100*SUM($AF$863:$AF$876)/SUM($AC$863:$AC$876)))</f>
        <v>0</v>
      </c>
      <c r="AI876">
        <f>IF(OR(AG876="",AH876=""),"",IF((AG876+AH876)=0,0,100*ABS(AG876-AH876)/(AG876+AH876)))</f>
        <v>0</v>
      </c>
      <c r="AJ876">
        <f>IF(COUNT($AI$863:$AI$876)&lt;14,"",AVERAGE($AI$863:$AI$876))</f>
        <v>0</v>
      </c>
      <c r="AK876">
        <f>IF(COUNT($E$2:$E876)&lt;20,"",AVERAGE($E$857:$E$876))</f>
        <v>0</v>
      </c>
      <c r="AL876">
        <f>IF(COUNT($E$2:$E876)&lt;20,"",STDEVP($E$857:$E$876))</f>
        <v>0</v>
      </c>
      <c r="AM876">
        <f>IF(AK876="","",AK876+2*AL876)</f>
        <v>0</v>
      </c>
      <c r="AN876">
        <f>IF(AK876="","",AK876-2*AL876)</f>
        <v>0</v>
      </c>
      <c r="AO876">
        <f>IF(OR(AM876="",AN876="",AM876=AN876),"",($E876-AN876)/(AM876-AN876))</f>
        <v>0</v>
      </c>
      <c r="AP876">
        <f>IF(OR(AM876="",AK876="",AK876=0),"",(AM876-AN876)/AK876)</f>
        <v>0</v>
      </c>
      <c r="AQ876">
        <f>IF(COUNT($E$2:$E876)&lt;20,"",MAX($C$857:$C$876))</f>
        <v>0</v>
      </c>
      <c r="AR876">
        <f>IF(COUNT($E$2:$E876)&lt;20,"",MIN($D$857:$D$876))</f>
        <v>0</v>
      </c>
      <c r="AS876">
        <f>IF(OR(AQ876="",AR876=""),"",(AQ876+AR876)/2)</f>
        <v>0</v>
      </c>
      <c r="AT876">
        <f>IF(COUNT($G$857:$G$876)&lt;20,"",STDEV($G$857:$G$876)*SQRT(252))</f>
        <v>0</v>
      </c>
      <c r="AU876">
        <f>IF(COUNT($E$2:$E876)&lt;9,"",(MAX($C$868:$C$876)+MIN($D$868:$D$876))/2)</f>
        <v>0</v>
      </c>
      <c r="AV876">
        <f>IF(COUNT($E$2:$E876)&lt;26,"",(MAX($C$851:$C$876)+MIN($D$851:$D$876))/2)</f>
        <v>0</v>
      </c>
      <c r="AW876">
        <f>IF(OR(AU876="",AV876=""),"",(AU876+AV876)/2)</f>
        <v>0</v>
      </c>
      <c r="AX876">
        <f>IF(COUNT($E$2:$E876)&lt;52,"",(MAX($C$825:$C$876)+MIN($D$825:$D$876))/2)</f>
        <v>0</v>
      </c>
      <c r="AY876">
        <f>IF(COUNT($E$2:$E876)&lt;20,"",MAX($C$777:$C$876))</f>
        <v>0</v>
      </c>
      <c r="AZ876">
        <f>IF(COUNT($E$2:$E876)&lt;20,"",MIN($D$777:$D$876))</f>
        <v>0</v>
      </c>
      <c r="BA876">
        <f>IF(COUNT($E$2:$E876)&lt;20,"",SLOPE($E$777:$E$876,$F$777:$F$876))</f>
        <v>0</v>
      </c>
      <c r="BB876">
        <f>IF(COUNT($E$2:$E876)&lt;20,"",INTERCEPT($E$777:$E$876,$F$777:$F$876))</f>
        <v>0</v>
      </c>
      <c r="BC876">
        <f>IF(OR(BA876="",BB876=""),"",BB876+BA876*F876)</f>
        <v>0</v>
      </c>
      <c r="BD876">
        <f>IF(COUNT($E$2:$E876)&lt;20,"",STEYX($E$777:$E$876,$F$777:$F$876))</f>
        <v>0</v>
      </c>
      <c r="BE876">
        <f>IF($E876="","",IF(AND(COUNT($E$877:$E$880)&gt;=4,$C876=MAX($C$872:$C$880)),$C876,""))</f>
        <v>0</v>
      </c>
      <c r="BF876">
        <f>IF($E876="","",IF(AND(COUNT($E$877:$E$880)&gt;=4,$D876=MIN($D$872:$D$880)),$D876,""))</f>
        <v>0</v>
      </c>
      <c r="BG876">
        <f>IF($A876="","",$A876-WEEKDAY($A876,2)+1)</f>
        <v>0</v>
      </c>
      <c r="BH876">
        <f>IF($A876="","",IF($A875="",1,IF(BG876&lt;&gt;BG875,1,0)))</f>
        <v>0</v>
      </c>
      <c r="BI876">
        <f>IF($A876="","",IF($A877="",1,IF(BG877&lt;&gt;BG876,1,0)))</f>
        <v>0</v>
      </c>
      <c r="BJ876">
        <f>IF($A876="","",IF(BH876=1,$B876,BJ875))</f>
        <v>0</v>
      </c>
      <c r="BK876">
        <f>IF($A876="","",IF(BH876=1,$C876,MAX($C876,BK875)))</f>
        <v>0</v>
      </c>
      <c r="BL876">
        <f>IF($A876="","",IF(BH876=1,$D876,MIN($D876,BL875)))</f>
        <v>0</v>
      </c>
      <c r="BM876">
        <f>IF($A876="","",IF(BI876=1,F876,""))</f>
        <v>0</v>
      </c>
      <c r="BN876">
        <f>IF($A876="","",DATE(YEAR($A876),MONTH($A876),1))</f>
        <v>0</v>
      </c>
      <c r="BO876">
        <f>IF($A876="","",IF($A875="",1,IF(BN876&lt;&gt;BN875,1,0)))</f>
        <v>0</v>
      </c>
      <c r="BP876">
        <f>IF($A876="","",IF($A877="",1,IF(BN877&lt;&gt;BN876,1,0)))</f>
        <v>0</v>
      </c>
      <c r="BQ876">
        <f>IF($A876="","",IF(BO876=1,$B876,BQ875))</f>
        <v>0</v>
      </c>
      <c r="BR876">
        <f>IF($A876="","",IF(BO876=1,$C876,MAX($C876,BR875)))</f>
        <v>0</v>
      </c>
      <c r="BS876">
        <f>IF($A876="","",IF(BO876=1,$D876,MIN($D876,BS875)))</f>
        <v>0</v>
      </c>
      <c r="BT876">
        <f>IF($A876="","",IF(BP876=1,F876,""))</f>
        <v>0</v>
      </c>
    </row>
    <row r="877" spans="1:72">
      <c r="A877" s="27">
        <f>IF(Data!$A877="","",Data!$A877)</f>
        <v>0</v>
      </c>
      <c r="B877">
        <f>IF(Data!$B877="","",Data!$B877)</f>
        <v>0</v>
      </c>
      <c r="C877">
        <f>IF(Data!$C877="","",Data!$C877)</f>
        <v>0</v>
      </c>
      <c r="D877">
        <f>IF(Data!$D877="","",Data!$D877)</f>
        <v>0</v>
      </c>
      <c r="E877">
        <f>IF(Data!$E877="","",Data!$E877)</f>
        <v>0</v>
      </c>
      <c r="F877">
        <f>IF($E877="","",N(F876)+1)</f>
        <v>0</v>
      </c>
      <c r="G877">
        <f>IF(OR($E877="",$E876=""),"",LN($E877/$E876))</f>
        <v>0</v>
      </c>
      <c r="H877">
        <f>IF($E877="","",IF($E876="",$E877,$E877*0.0952380952+H876*0.9047619048))</f>
        <v>0</v>
      </c>
      <c r="I877">
        <f>IF($E877="","",IF($E876="",$E877,$E877*0.0392156863+I876*0.9607843137))</f>
        <v>0</v>
      </c>
      <c r="J877">
        <f>IF($E877="","",IF($E876="",$E877,$E877*0.0198019802+J876*0.9801980198))</f>
        <v>0</v>
      </c>
      <c r="K877">
        <f>IF($E877="","",IF($E876="",$E877,$E877*0.0099502488+K876*0.9900497512))</f>
        <v>0</v>
      </c>
      <c r="L877">
        <f>IF(OR($E877="",$E876=""),"",MAX($E877-$E876,0))</f>
        <v>0</v>
      </c>
      <c r="M877">
        <f>IF(OR($E877="",$E876=""),"",MAX($E876-$E877,0))</f>
        <v>0</v>
      </c>
      <c r="N877">
        <f>IF(COUNT($E$2:$E877)&lt;15,"",IF(AVERAGE($M$864:$M$877)=0,100,100-100/(1+AVERAGE($L$864:$L$877)/AVERAGE($M$864:$M$877))))</f>
        <v>0</v>
      </c>
      <c r="O877">
        <f>IF($E877="","",IF($E876="",$E877,$E877*0.1538461538+O876*0.8461538462))</f>
        <v>0</v>
      </c>
      <c r="P877">
        <f>IF($E877="","",IF($E876="",$E877,$E877*0.0740740741+P876*0.9259259259))</f>
        <v>0</v>
      </c>
      <c r="Q877">
        <f>IF(OR(O877="",P877=""),"",O877-P877)</f>
        <v>0</v>
      </c>
      <c r="R877">
        <f>IF(Q877="","",IF(R876="",Q877,Q877*0.2000000000+R876*0.8000000000))</f>
        <v>0</v>
      </c>
      <c r="S877">
        <f>IF(OR(Q877="",R877=""),"",Q877-R877)</f>
        <v>0</v>
      </c>
      <c r="T877">
        <f>IF(COUNT($E$2:$E877)&lt;14,"",MAX($C$864:$C$877))</f>
        <v>0</v>
      </c>
      <c r="U877">
        <f>IF(COUNT($E$2:$E877)&lt;14,"",MIN($D$864:$D$877))</f>
        <v>0</v>
      </c>
      <c r="V877">
        <f>IF(OR(T877="",U877="",T877=U877),"",100*($E877-U877)/(T877-U877))</f>
        <v>0</v>
      </c>
      <c r="W877">
        <f>IF(COUNT($V$875:$V$877)&lt;3,"",AVERAGE($V$875:$V$877))</f>
        <v>0</v>
      </c>
      <c r="X877">
        <f>IF(COUNT($N$864:$N$877)&lt;14,"",MIN($N$864:$N$877))</f>
        <v>0</v>
      </c>
      <c r="Y877">
        <f>IF(COUNT($N$864:$N$877)&lt;14,"",MAX($N$864:$N$877))</f>
        <v>0</v>
      </c>
      <c r="Z877">
        <f>IF(OR(N877="",X877="",Y877="",Y877=X877),"",100*(N877-X877)/(Y877-X877))</f>
        <v>0</v>
      </c>
      <c r="AA877">
        <f>IF(COUNT($Z$875:$Z$877)&lt;3,"",AVERAGE($Z$875:$Z$877))</f>
        <v>0</v>
      </c>
      <c r="AB877">
        <f>IF(COUNT($AA$875:$AA$877)&lt;3,"",AVERAGE($AA$875:$AA$877))</f>
        <v>0</v>
      </c>
      <c r="AC877">
        <f>IF($E877="","",MAX($C877-$D877,ABS($C877-$E876),ABS($D877-$E876)))</f>
        <v>0</v>
      </c>
      <c r="AD877">
        <f>IF(COUNT($E$2:$E877)&lt;15,"",AVERAGE($AC$864:$AC$877))</f>
        <v>0</v>
      </c>
      <c r="AE877">
        <f>IF(OR($E877="",$E876=""),"",IF(AND(($C877-$C876)&gt;($D876-$D877),($C877-$C876)&gt;0),$C877-$C876,0))</f>
        <v>0</v>
      </c>
      <c r="AF877">
        <f>IF(OR($E877="",$E876=""),"",IF(AND(($D876-$D877)&gt;($C877-$C876),($D876-$D877)&gt;0),$D876-$D877,0))</f>
        <v>0</v>
      </c>
      <c r="AG877">
        <f>IF(COUNT($E$2:$E877)&lt;15,"",IF(SUM($AC$864:$AC$877)=0,0,100*SUM($AE$864:$AE$877)/SUM($AC$864:$AC$877)))</f>
        <v>0</v>
      </c>
      <c r="AH877">
        <f>IF(COUNT($E$2:$E877)&lt;15,"",IF(SUM($AC$864:$AC$877)=0,0,100*SUM($AF$864:$AF$877)/SUM($AC$864:$AC$877)))</f>
        <v>0</v>
      </c>
      <c r="AI877">
        <f>IF(OR(AG877="",AH877=""),"",IF((AG877+AH877)=0,0,100*ABS(AG877-AH877)/(AG877+AH877)))</f>
        <v>0</v>
      </c>
      <c r="AJ877">
        <f>IF(COUNT($AI$864:$AI$877)&lt;14,"",AVERAGE($AI$864:$AI$877))</f>
        <v>0</v>
      </c>
      <c r="AK877">
        <f>IF(COUNT($E$2:$E877)&lt;20,"",AVERAGE($E$858:$E$877))</f>
        <v>0</v>
      </c>
      <c r="AL877">
        <f>IF(COUNT($E$2:$E877)&lt;20,"",STDEVP($E$858:$E$877))</f>
        <v>0</v>
      </c>
      <c r="AM877">
        <f>IF(AK877="","",AK877+2*AL877)</f>
        <v>0</v>
      </c>
      <c r="AN877">
        <f>IF(AK877="","",AK877-2*AL877)</f>
        <v>0</v>
      </c>
      <c r="AO877">
        <f>IF(OR(AM877="",AN877="",AM877=AN877),"",($E877-AN877)/(AM877-AN877))</f>
        <v>0</v>
      </c>
      <c r="AP877">
        <f>IF(OR(AM877="",AK877="",AK877=0),"",(AM877-AN877)/AK877)</f>
        <v>0</v>
      </c>
      <c r="AQ877">
        <f>IF(COUNT($E$2:$E877)&lt;20,"",MAX($C$858:$C$877))</f>
        <v>0</v>
      </c>
      <c r="AR877">
        <f>IF(COUNT($E$2:$E877)&lt;20,"",MIN($D$858:$D$877))</f>
        <v>0</v>
      </c>
      <c r="AS877">
        <f>IF(OR(AQ877="",AR877=""),"",(AQ877+AR877)/2)</f>
        <v>0</v>
      </c>
      <c r="AT877">
        <f>IF(COUNT($G$858:$G$877)&lt;20,"",STDEV($G$858:$G$877)*SQRT(252))</f>
        <v>0</v>
      </c>
      <c r="AU877">
        <f>IF(COUNT($E$2:$E877)&lt;9,"",(MAX($C$869:$C$877)+MIN($D$869:$D$877))/2)</f>
        <v>0</v>
      </c>
      <c r="AV877">
        <f>IF(COUNT($E$2:$E877)&lt;26,"",(MAX($C$852:$C$877)+MIN($D$852:$D$877))/2)</f>
        <v>0</v>
      </c>
      <c r="AW877">
        <f>IF(OR(AU877="",AV877=""),"",(AU877+AV877)/2)</f>
        <v>0</v>
      </c>
      <c r="AX877">
        <f>IF(COUNT($E$2:$E877)&lt;52,"",(MAX($C$826:$C$877)+MIN($D$826:$D$877))/2)</f>
        <v>0</v>
      </c>
      <c r="AY877">
        <f>IF(COUNT($E$2:$E877)&lt;20,"",MAX($C$778:$C$877))</f>
        <v>0</v>
      </c>
      <c r="AZ877">
        <f>IF(COUNT($E$2:$E877)&lt;20,"",MIN($D$778:$D$877))</f>
        <v>0</v>
      </c>
      <c r="BA877">
        <f>IF(COUNT($E$2:$E877)&lt;20,"",SLOPE($E$778:$E$877,$F$778:$F$877))</f>
        <v>0</v>
      </c>
      <c r="BB877">
        <f>IF(COUNT($E$2:$E877)&lt;20,"",INTERCEPT($E$778:$E$877,$F$778:$F$877))</f>
        <v>0</v>
      </c>
      <c r="BC877">
        <f>IF(OR(BA877="",BB877=""),"",BB877+BA877*F877)</f>
        <v>0</v>
      </c>
      <c r="BD877">
        <f>IF(COUNT($E$2:$E877)&lt;20,"",STEYX($E$778:$E$877,$F$778:$F$877))</f>
        <v>0</v>
      </c>
      <c r="BE877">
        <f>IF($E877="","",IF(AND(COUNT($E$878:$E$881)&gt;=4,$C877=MAX($C$873:$C$881)),$C877,""))</f>
        <v>0</v>
      </c>
      <c r="BF877">
        <f>IF($E877="","",IF(AND(COUNT($E$878:$E$881)&gt;=4,$D877=MIN($D$873:$D$881)),$D877,""))</f>
        <v>0</v>
      </c>
      <c r="BG877">
        <f>IF($A877="","",$A877-WEEKDAY($A877,2)+1)</f>
        <v>0</v>
      </c>
      <c r="BH877">
        <f>IF($A877="","",IF($A876="",1,IF(BG877&lt;&gt;BG876,1,0)))</f>
        <v>0</v>
      </c>
      <c r="BI877">
        <f>IF($A877="","",IF($A878="",1,IF(BG878&lt;&gt;BG877,1,0)))</f>
        <v>0</v>
      </c>
      <c r="BJ877">
        <f>IF($A877="","",IF(BH877=1,$B877,BJ876))</f>
        <v>0</v>
      </c>
      <c r="BK877">
        <f>IF($A877="","",IF(BH877=1,$C877,MAX($C877,BK876)))</f>
        <v>0</v>
      </c>
      <c r="BL877">
        <f>IF($A877="","",IF(BH877=1,$D877,MIN($D877,BL876)))</f>
        <v>0</v>
      </c>
      <c r="BM877">
        <f>IF($A877="","",IF(BI877=1,F877,""))</f>
        <v>0</v>
      </c>
      <c r="BN877">
        <f>IF($A877="","",DATE(YEAR($A877),MONTH($A877),1))</f>
        <v>0</v>
      </c>
      <c r="BO877">
        <f>IF($A877="","",IF($A876="",1,IF(BN877&lt;&gt;BN876,1,0)))</f>
        <v>0</v>
      </c>
      <c r="BP877">
        <f>IF($A877="","",IF($A878="",1,IF(BN878&lt;&gt;BN877,1,0)))</f>
        <v>0</v>
      </c>
      <c r="BQ877">
        <f>IF($A877="","",IF(BO877=1,$B877,BQ876))</f>
        <v>0</v>
      </c>
      <c r="BR877">
        <f>IF($A877="","",IF(BO877=1,$C877,MAX($C877,BR876)))</f>
        <v>0</v>
      </c>
      <c r="BS877">
        <f>IF($A877="","",IF(BO877=1,$D877,MIN($D877,BS876)))</f>
        <v>0</v>
      </c>
      <c r="BT877">
        <f>IF($A877="","",IF(BP877=1,F877,""))</f>
        <v>0</v>
      </c>
    </row>
    <row r="878" spans="1:72">
      <c r="A878" s="27">
        <f>IF(Data!$A878="","",Data!$A878)</f>
        <v>0</v>
      </c>
      <c r="B878">
        <f>IF(Data!$B878="","",Data!$B878)</f>
        <v>0</v>
      </c>
      <c r="C878">
        <f>IF(Data!$C878="","",Data!$C878)</f>
        <v>0</v>
      </c>
      <c r="D878">
        <f>IF(Data!$D878="","",Data!$D878)</f>
        <v>0</v>
      </c>
      <c r="E878">
        <f>IF(Data!$E878="","",Data!$E878)</f>
        <v>0</v>
      </c>
      <c r="F878">
        <f>IF($E878="","",N(F877)+1)</f>
        <v>0</v>
      </c>
      <c r="G878">
        <f>IF(OR($E878="",$E877=""),"",LN($E878/$E877))</f>
        <v>0</v>
      </c>
      <c r="H878">
        <f>IF($E878="","",IF($E877="",$E878,$E878*0.0952380952+H877*0.9047619048))</f>
        <v>0</v>
      </c>
      <c r="I878">
        <f>IF($E878="","",IF($E877="",$E878,$E878*0.0392156863+I877*0.9607843137))</f>
        <v>0</v>
      </c>
      <c r="J878">
        <f>IF($E878="","",IF($E877="",$E878,$E878*0.0198019802+J877*0.9801980198))</f>
        <v>0</v>
      </c>
      <c r="K878">
        <f>IF($E878="","",IF($E877="",$E878,$E878*0.0099502488+K877*0.9900497512))</f>
        <v>0</v>
      </c>
      <c r="L878">
        <f>IF(OR($E878="",$E877=""),"",MAX($E878-$E877,0))</f>
        <v>0</v>
      </c>
      <c r="M878">
        <f>IF(OR($E878="",$E877=""),"",MAX($E877-$E878,0))</f>
        <v>0</v>
      </c>
      <c r="N878">
        <f>IF(COUNT($E$2:$E878)&lt;15,"",IF(AVERAGE($M$865:$M$878)=0,100,100-100/(1+AVERAGE($L$865:$L$878)/AVERAGE($M$865:$M$878))))</f>
        <v>0</v>
      </c>
      <c r="O878">
        <f>IF($E878="","",IF($E877="",$E878,$E878*0.1538461538+O877*0.8461538462))</f>
        <v>0</v>
      </c>
      <c r="P878">
        <f>IF($E878="","",IF($E877="",$E878,$E878*0.0740740741+P877*0.9259259259))</f>
        <v>0</v>
      </c>
      <c r="Q878">
        <f>IF(OR(O878="",P878=""),"",O878-P878)</f>
        <v>0</v>
      </c>
      <c r="R878">
        <f>IF(Q878="","",IF(R877="",Q878,Q878*0.2000000000+R877*0.8000000000))</f>
        <v>0</v>
      </c>
      <c r="S878">
        <f>IF(OR(Q878="",R878=""),"",Q878-R878)</f>
        <v>0</v>
      </c>
      <c r="T878">
        <f>IF(COUNT($E$2:$E878)&lt;14,"",MAX($C$865:$C$878))</f>
        <v>0</v>
      </c>
      <c r="U878">
        <f>IF(COUNT($E$2:$E878)&lt;14,"",MIN($D$865:$D$878))</f>
        <v>0</v>
      </c>
      <c r="V878">
        <f>IF(OR(T878="",U878="",T878=U878),"",100*($E878-U878)/(T878-U878))</f>
        <v>0</v>
      </c>
      <c r="W878">
        <f>IF(COUNT($V$876:$V$878)&lt;3,"",AVERAGE($V$876:$V$878))</f>
        <v>0</v>
      </c>
      <c r="X878">
        <f>IF(COUNT($N$865:$N$878)&lt;14,"",MIN($N$865:$N$878))</f>
        <v>0</v>
      </c>
      <c r="Y878">
        <f>IF(COUNT($N$865:$N$878)&lt;14,"",MAX($N$865:$N$878))</f>
        <v>0</v>
      </c>
      <c r="Z878">
        <f>IF(OR(N878="",X878="",Y878="",Y878=X878),"",100*(N878-X878)/(Y878-X878))</f>
        <v>0</v>
      </c>
      <c r="AA878">
        <f>IF(COUNT($Z$876:$Z$878)&lt;3,"",AVERAGE($Z$876:$Z$878))</f>
        <v>0</v>
      </c>
      <c r="AB878">
        <f>IF(COUNT($AA$876:$AA$878)&lt;3,"",AVERAGE($AA$876:$AA$878))</f>
        <v>0</v>
      </c>
      <c r="AC878">
        <f>IF($E878="","",MAX($C878-$D878,ABS($C878-$E877),ABS($D878-$E877)))</f>
        <v>0</v>
      </c>
      <c r="AD878">
        <f>IF(COUNT($E$2:$E878)&lt;15,"",AVERAGE($AC$865:$AC$878))</f>
        <v>0</v>
      </c>
      <c r="AE878">
        <f>IF(OR($E878="",$E877=""),"",IF(AND(($C878-$C877)&gt;($D877-$D878),($C878-$C877)&gt;0),$C878-$C877,0))</f>
        <v>0</v>
      </c>
      <c r="AF878">
        <f>IF(OR($E878="",$E877=""),"",IF(AND(($D877-$D878)&gt;($C878-$C877),($D877-$D878)&gt;0),$D877-$D878,0))</f>
        <v>0</v>
      </c>
      <c r="AG878">
        <f>IF(COUNT($E$2:$E878)&lt;15,"",IF(SUM($AC$865:$AC$878)=0,0,100*SUM($AE$865:$AE$878)/SUM($AC$865:$AC$878)))</f>
        <v>0</v>
      </c>
      <c r="AH878">
        <f>IF(COUNT($E$2:$E878)&lt;15,"",IF(SUM($AC$865:$AC$878)=0,0,100*SUM($AF$865:$AF$878)/SUM($AC$865:$AC$878)))</f>
        <v>0</v>
      </c>
      <c r="AI878">
        <f>IF(OR(AG878="",AH878=""),"",IF((AG878+AH878)=0,0,100*ABS(AG878-AH878)/(AG878+AH878)))</f>
        <v>0</v>
      </c>
      <c r="AJ878">
        <f>IF(COUNT($AI$865:$AI$878)&lt;14,"",AVERAGE($AI$865:$AI$878))</f>
        <v>0</v>
      </c>
      <c r="AK878">
        <f>IF(COUNT($E$2:$E878)&lt;20,"",AVERAGE($E$859:$E$878))</f>
        <v>0</v>
      </c>
      <c r="AL878">
        <f>IF(COUNT($E$2:$E878)&lt;20,"",STDEVP($E$859:$E$878))</f>
        <v>0</v>
      </c>
      <c r="AM878">
        <f>IF(AK878="","",AK878+2*AL878)</f>
        <v>0</v>
      </c>
      <c r="AN878">
        <f>IF(AK878="","",AK878-2*AL878)</f>
        <v>0</v>
      </c>
      <c r="AO878">
        <f>IF(OR(AM878="",AN878="",AM878=AN878),"",($E878-AN878)/(AM878-AN878))</f>
        <v>0</v>
      </c>
      <c r="AP878">
        <f>IF(OR(AM878="",AK878="",AK878=0),"",(AM878-AN878)/AK878)</f>
        <v>0</v>
      </c>
      <c r="AQ878">
        <f>IF(COUNT($E$2:$E878)&lt;20,"",MAX($C$859:$C$878))</f>
        <v>0</v>
      </c>
      <c r="AR878">
        <f>IF(COUNT($E$2:$E878)&lt;20,"",MIN($D$859:$D$878))</f>
        <v>0</v>
      </c>
      <c r="AS878">
        <f>IF(OR(AQ878="",AR878=""),"",(AQ878+AR878)/2)</f>
        <v>0</v>
      </c>
      <c r="AT878">
        <f>IF(COUNT($G$859:$G$878)&lt;20,"",STDEV($G$859:$G$878)*SQRT(252))</f>
        <v>0</v>
      </c>
      <c r="AU878">
        <f>IF(COUNT($E$2:$E878)&lt;9,"",(MAX($C$870:$C$878)+MIN($D$870:$D$878))/2)</f>
        <v>0</v>
      </c>
      <c r="AV878">
        <f>IF(COUNT($E$2:$E878)&lt;26,"",(MAX($C$853:$C$878)+MIN($D$853:$D$878))/2)</f>
        <v>0</v>
      </c>
      <c r="AW878">
        <f>IF(OR(AU878="",AV878=""),"",(AU878+AV878)/2)</f>
        <v>0</v>
      </c>
      <c r="AX878">
        <f>IF(COUNT($E$2:$E878)&lt;52,"",(MAX($C$827:$C$878)+MIN($D$827:$D$878))/2)</f>
        <v>0</v>
      </c>
      <c r="AY878">
        <f>IF(COUNT($E$2:$E878)&lt;20,"",MAX($C$779:$C$878))</f>
        <v>0</v>
      </c>
      <c r="AZ878">
        <f>IF(COUNT($E$2:$E878)&lt;20,"",MIN($D$779:$D$878))</f>
        <v>0</v>
      </c>
      <c r="BA878">
        <f>IF(COUNT($E$2:$E878)&lt;20,"",SLOPE($E$779:$E$878,$F$779:$F$878))</f>
        <v>0</v>
      </c>
      <c r="BB878">
        <f>IF(COUNT($E$2:$E878)&lt;20,"",INTERCEPT($E$779:$E$878,$F$779:$F$878))</f>
        <v>0</v>
      </c>
      <c r="BC878">
        <f>IF(OR(BA878="",BB878=""),"",BB878+BA878*F878)</f>
        <v>0</v>
      </c>
      <c r="BD878">
        <f>IF(COUNT($E$2:$E878)&lt;20,"",STEYX($E$779:$E$878,$F$779:$F$878))</f>
        <v>0</v>
      </c>
      <c r="BE878">
        <f>IF($E878="","",IF(AND(COUNT($E$879:$E$882)&gt;=4,$C878=MAX($C$874:$C$882)),$C878,""))</f>
        <v>0</v>
      </c>
      <c r="BF878">
        <f>IF($E878="","",IF(AND(COUNT($E$879:$E$882)&gt;=4,$D878=MIN($D$874:$D$882)),$D878,""))</f>
        <v>0</v>
      </c>
      <c r="BG878">
        <f>IF($A878="","",$A878-WEEKDAY($A878,2)+1)</f>
        <v>0</v>
      </c>
      <c r="BH878">
        <f>IF($A878="","",IF($A877="",1,IF(BG878&lt;&gt;BG877,1,0)))</f>
        <v>0</v>
      </c>
      <c r="BI878">
        <f>IF($A878="","",IF($A879="",1,IF(BG879&lt;&gt;BG878,1,0)))</f>
        <v>0</v>
      </c>
      <c r="BJ878">
        <f>IF($A878="","",IF(BH878=1,$B878,BJ877))</f>
        <v>0</v>
      </c>
      <c r="BK878">
        <f>IF($A878="","",IF(BH878=1,$C878,MAX($C878,BK877)))</f>
        <v>0</v>
      </c>
      <c r="BL878">
        <f>IF($A878="","",IF(BH878=1,$D878,MIN($D878,BL877)))</f>
        <v>0</v>
      </c>
      <c r="BM878">
        <f>IF($A878="","",IF(BI878=1,F878,""))</f>
        <v>0</v>
      </c>
      <c r="BN878">
        <f>IF($A878="","",DATE(YEAR($A878),MONTH($A878),1))</f>
        <v>0</v>
      </c>
      <c r="BO878">
        <f>IF($A878="","",IF($A877="",1,IF(BN878&lt;&gt;BN877,1,0)))</f>
        <v>0</v>
      </c>
      <c r="BP878">
        <f>IF($A878="","",IF($A879="",1,IF(BN879&lt;&gt;BN878,1,0)))</f>
        <v>0</v>
      </c>
      <c r="BQ878">
        <f>IF($A878="","",IF(BO878=1,$B878,BQ877))</f>
        <v>0</v>
      </c>
      <c r="BR878">
        <f>IF($A878="","",IF(BO878=1,$C878,MAX($C878,BR877)))</f>
        <v>0</v>
      </c>
      <c r="BS878">
        <f>IF($A878="","",IF(BO878=1,$D878,MIN($D878,BS877)))</f>
        <v>0</v>
      </c>
      <c r="BT878">
        <f>IF($A878="","",IF(BP878=1,F878,""))</f>
        <v>0</v>
      </c>
    </row>
    <row r="879" spans="1:72">
      <c r="A879" s="27">
        <f>IF(Data!$A879="","",Data!$A879)</f>
        <v>0</v>
      </c>
      <c r="B879">
        <f>IF(Data!$B879="","",Data!$B879)</f>
        <v>0</v>
      </c>
      <c r="C879">
        <f>IF(Data!$C879="","",Data!$C879)</f>
        <v>0</v>
      </c>
      <c r="D879">
        <f>IF(Data!$D879="","",Data!$D879)</f>
        <v>0</v>
      </c>
      <c r="E879">
        <f>IF(Data!$E879="","",Data!$E879)</f>
        <v>0</v>
      </c>
      <c r="F879">
        <f>IF($E879="","",N(F878)+1)</f>
        <v>0</v>
      </c>
      <c r="G879">
        <f>IF(OR($E879="",$E878=""),"",LN($E879/$E878))</f>
        <v>0</v>
      </c>
      <c r="H879">
        <f>IF($E879="","",IF($E878="",$E879,$E879*0.0952380952+H878*0.9047619048))</f>
        <v>0</v>
      </c>
      <c r="I879">
        <f>IF($E879="","",IF($E878="",$E879,$E879*0.0392156863+I878*0.9607843137))</f>
        <v>0</v>
      </c>
      <c r="J879">
        <f>IF($E879="","",IF($E878="",$E879,$E879*0.0198019802+J878*0.9801980198))</f>
        <v>0</v>
      </c>
      <c r="K879">
        <f>IF($E879="","",IF($E878="",$E879,$E879*0.0099502488+K878*0.9900497512))</f>
        <v>0</v>
      </c>
      <c r="L879">
        <f>IF(OR($E879="",$E878=""),"",MAX($E879-$E878,0))</f>
        <v>0</v>
      </c>
      <c r="M879">
        <f>IF(OR($E879="",$E878=""),"",MAX($E878-$E879,0))</f>
        <v>0</v>
      </c>
      <c r="N879">
        <f>IF(COUNT($E$2:$E879)&lt;15,"",IF(AVERAGE($M$866:$M$879)=0,100,100-100/(1+AVERAGE($L$866:$L$879)/AVERAGE($M$866:$M$879))))</f>
        <v>0</v>
      </c>
      <c r="O879">
        <f>IF($E879="","",IF($E878="",$E879,$E879*0.1538461538+O878*0.8461538462))</f>
        <v>0</v>
      </c>
      <c r="P879">
        <f>IF($E879="","",IF($E878="",$E879,$E879*0.0740740741+P878*0.9259259259))</f>
        <v>0</v>
      </c>
      <c r="Q879">
        <f>IF(OR(O879="",P879=""),"",O879-P879)</f>
        <v>0</v>
      </c>
      <c r="R879">
        <f>IF(Q879="","",IF(R878="",Q879,Q879*0.2000000000+R878*0.8000000000))</f>
        <v>0</v>
      </c>
      <c r="S879">
        <f>IF(OR(Q879="",R879=""),"",Q879-R879)</f>
        <v>0</v>
      </c>
      <c r="T879">
        <f>IF(COUNT($E$2:$E879)&lt;14,"",MAX($C$866:$C$879))</f>
        <v>0</v>
      </c>
      <c r="U879">
        <f>IF(COUNT($E$2:$E879)&lt;14,"",MIN($D$866:$D$879))</f>
        <v>0</v>
      </c>
      <c r="V879">
        <f>IF(OR(T879="",U879="",T879=U879),"",100*($E879-U879)/(T879-U879))</f>
        <v>0</v>
      </c>
      <c r="W879">
        <f>IF(COUNT($V$877:$V$879)&lt;3,"",AVERAGE($V$877:$V$879))</f>
        <v>0</v>
      </c>
      <c r="X879">
        <f>IF(COUNT($N$866:$N$879)&lt;14,"",MIN($N$866:$N$879))</f>
        <v>0</v>
      </c>
      <c r="Y879">
        <f>IF(COUNT($N$866:$N$879)&lt;14,"",MAX($N$866:$N$879))</f>
        <v>0</v>
      </c>
      <c r="Z879">
        <f>IF(OR(N879="",X879="",Y879="",Y879=X879),"",100*(N879-X879)/(Y879-X879))</f>
        <v>0</v>
      </c>
      <c r="AA879">
        <f>IF(COUNT($Z$877:$Z$879)&lt;3,"",AVERAGE($Z$877:$Z$879))</f>
        <v>0</v>
      </c>
      <c r="AB879">
        <f>IF(COUNT($AA$877:$AA$879)&lt;3,"",AVERAGE($AA$877:$AA$879))</f>
        <v>0</v>
      </c>
      <c r="AC879">
        <f>IF($E879="","",MAX($C879-$D879,ABS($C879-$E878),ABS($D879-$E878)))</f>
        <v>0</v>
      </c>
      <c r="AD879">
        <f>IF(COUNT($E$2:$E879)&lt;15,"",AVERAGE($AC$866:$AC$879))</f>
        <v>0</v>
      </c>
      <c r="AE879">
        <f>IF(OR($E879="",$E878=""),"",IF(AND(($C879-$C878)&gt;($D878-$D879),($C879-$C878)&gt;0),$C879-$C878,0))</f>
        <v>0</v>
      </c>
      <c r="AF879">
        <f>IF(OR($E879="",$E878=""),"",IF(AND(($D878-$D879)&gt;($C879-$C878),($D878-$D879)&gt;0),$D878-$D879,0))</f>
        <v>0</v>
      </c>
      <c r="AG879">
        <f>IF(COUNT($E$2:$E879)&lt;15,"",IF(SUM($AC$866:$AC$879)=0,0,100*SUM($AE$866:$AE$879)/SUM($AC$866:$AC$879)))</f>
        <v>0</v>
      </c>
      <c r="AH879">
        <f>IF(COUNT($E$2:$E879)&lt;15,"",IF(SUM($AC$866:$AC$879)=0,0,100*SUM($AF$866:$AF$879)/SUM($AC$866:$AC$879)))</f>
        <v>0</v>
      </c>
      <c r="AI879">
        <f>IF(OR(AG879="",AH879=""),"",IF((AG879+AH879)=0,0,100*ABS(AG879-AH879)/(AG879+AH879)))</f>
        <v>0</v>
      </c>
      <c r="AJ879">
        <f>IF(COUNT($AI$866:$AI$879)&lt;14,"",AVERAGE($AI$866:$AI$879))</f>
        <v>0</v>
      </c>
      <c r="AK879">
        <f>IF(COUNT($E$2:$E879)&lt;20,"",AVERAGE($E$860:$E$879))</f>
        <v>0</v>
      </c>
      <c r="AL879">
        <f>IF(COUNT($E$2:$E879)&lt;20,"",STDEVP($E$860:$E$879))</f>
        <v>0</v>
      </c>
      <c r="AM879">
        <f>IF(AK879="","",AK879+2*AL879)</f>
        <v>0</v>
      </c>
      <c r="AN879">
        <f>IF(AK879="","",AK879-2*AL879)</f>
        <v>0</v>
      </c>
      <c r="AO879">
        <f>IF(OR(AM879="",AN879="",AM879=AN879),"",($E879-AN879)/(AM879-AN879))</f>
        <v>0</v>
      </c>
      <c r="AP879">
        <f>IF(OR(AM879="",AK879="",AK879=0),"",(AM879-AN879)/AK879)</f>
        <v>0</v>
      </c>
      <c r="AQ879">
        <f>IF(COUNT($E$2:$E879)&lt;20,"",MAX($C$860:$C$879))</f>
        <v>0</v>
      </c>
      <c r="AR879">
        <f>IF(COUNT($E$2:$E879)&lt;20,"",MIN($D$860:$D$879))</f>
        <v>0</v>
      </c>
      <c r="AS879">
        <f>IF(OR(AQ879="",AR879=""),"",(AQ879+AR879)/2)</f>
        <v>0</v>
      </c>
      <c r="AT879">
        <f>IF(COUNT($G$860:$G$879)&lt;20,"",STDEV($G$860:$G$879)*SQRT(252))</f>
        <v>0</v>
      </c>
      <c r="AU879">
        <f>IF(COUNT($E$2:$E879)&lt;9,"",(MAX($C$871:$C$879)+MIN($D$871:$D$879))/2)</f>
        <v>0</v>
      </c>
      <c r="AV879">
        <f>IF(COUNT($E$2:$E879)&lt;26,"",(MAX($C$854:$C$879)+MIN($D$854:$D$879))/2)</f>
        <v>0</v>
      </c>
      <c r="AW879">
        <f>IF(OR(AU879="",AV879=""),"",(AU879+AV879)/2)</f>
        <v>0</v>
      </c>
      <c r="AX879">
        <f>IF(COUNT($E$2:$E879)&lt;52,"",(MAX($C$828:$C$879)+MIN($D$828:$D$879))/2)</f>
        <v>0</v>
      </c>
      <c r="AY879">
        <f>IF(COUNT($E$2:$E879)&lt;20,"",MAX($C$780:$C$879))</f>
        <v>0</v>
      </c>
      <c r="AZ879">
        <f>IF(COUNT($E$2:$E879)&lt;20,"",MIN($D$780:$D$879))</f>
        <v>0</v>
      </c>
      <c r="BA879">
        <f>IF(COUNT($E$2:$E879)&lt;20,"",SLOPE($E$780:$E$879,$F$780:$F$879))</f>
        <v>0</v>
      </c>
      <c r="BB879">
        <f>IF(COUNT($E$2:$E879)&lt;20,"",INTERCEPT($E$780:$E$879,$F$780:$F$879))</f>
        <v>0</v>
      </c>
      <c r="BC879">
        <f>IF(OR(BA879="",BB879=""),"",BB879+BA879*F879)</f>
        <v>0</v>
      </c>
      <c r="BD879">
        <f>IF(COUNT($E$2:$E879)&lt;20,"",STEYX($E$780:$E$879,$F$780:$F$879))</f>
        <v>0</v>
      </c>
      <c r="BE879">
        <f>IF($E879="","",IF(AND(COUNT($E$880:$E$883)&gt;=4,$C879=MAX($C$875:$C$883)),$C879,""))</f>
        <v>0</v>
      </c>
      <c r="BF879">
        <f>IF($E879="","",IF(AND(COUNT($E$880:$E$883)&gt;=4,$D879=MIN($D$875:$D$883)),$D879,""))</f>
        <v>0</v>
      </c>
      <c r="BG879">
        <f>IF($A879="","",$A879-WEEKDAY($A879,2)+1)</f>
        <v>0</v>
      </c>
      <c r="BH879">
        <f>IF($A879="","",IF($A878="",1,IF(BG879&lt;&gt;BG878,1,0)))</f>
        <v>0</v>
      </c>
      <c r="BI879">
        <f>IF($A879="","",IF($A880="",1,IF(BG880&lt;&gt;BG879,1,0)))</f>
        <v>0</v>
      </c>
      <c r="BJ879">
        <f>IF($A879="","",IF(BH879=1,$B879,BJ878))</f>
        <v>0</v>
      </c>
      <c r="BK879">
        <f>IF($A879="","",IF(BH879=1,$C879,MAX($C879,BK878)))</f>
        <v>0</v>
      </c>
      <c r="BL879">
        <f>IF($A879="","",IF(BH879=1,$D879,MIN($D879,BL878)))</f>
        <v>0</v>
      </c>
      <c r="BM879">
        <f>IF($A879="","",IF(BI879=1,F879,""))</f>
        <v>0</v>
      </c>
      <c r="BN879">
        <f>IF($A879="","",DATE(YEAR($A879),MONTH($A879),1))</f>
        <v>0</v>
      </c>
      <c r="BO879">
        <f>IF($A879="","",IF($A878="",1,IF(BN879&lt;&gt;BN878,1,0)))</f>
        <v>0</v>
      </c>
      <c r="BP879">
        <f>IF($A879="","",IF($A880="",1,IF(BN880&lt;&gt;BN879,1,0)))</f>
        <v>0</v>
      </c>
      <c r="BQ879">
        <f>IF($A879="","",IF(BO879=1,$B879,BQ878))</f>
        <v>0</v>
      </c>
      <c r="BR879">
        <f>IF($A879="","",IF(BO879=1,$C879,MAX($C879,BR878)))</f>
        <v>0</v>
      </c>
      <c r="BS879">
        <f>IF($A879="","",IF(BO879=1,$D879,MIN($D879,BS878)))</f>
        <v>0</v>
      </c>
      <c r="BT879">
        <f>IF($A879="","",IF(BP879=1,F879,""))</f>
        <v>0</v>
      </c>
    </row>
    <row r="880" spans="1:72">
      <c r="A880" s="27">
        <f>IF(Data!$A880="","",Data!$A880)</f>
        <v>0</v>
      </c>
      <c r="B880">
        <f>IF(Data!$B880="","",Data!$B880)</f>
        <v>0</v>
      </c>
      <c r="C880">
        <f>IF(Data!$C880="","",Data!$C880)</f>
        <v>0</v>
      </c>
      <c r="D880">
        <f>IF(Data!$D880="","",Data!$D880)</f>
        <v>0</v>
      </c>
      <c r="E880">
        <f>IF(Data!$E880="","",Data!$E880)</f>
        <v>0</v>
      </c>
      <c r="F880">
        <f>IF($E880="","",N(F879)+1)</f>
        <v>0</v>
      </c>
      <c r="G880">
        <f>IF(OR($E880="",$E879=""),"",LN($E880/$E879))</f>
        <v>0</v>
      </c>
      <c r="H880">
        <f>IF($E880="","",IF($E879="",$E880,$E880*0.0952380952+H879*0.9047619048))</f>
        <v>0</v>
      </c>
      <c r="I880">
        <f>IF($E880="","",IF($E879="",$E880,$E880*0.0392156863+I879*0.9607843137))</f>
        <v>0</v>
      </c>
      <c r="J880">
        <f>IF($E880="","",IF($E879="",$E880,$E880*0.0198019802+J879*0.9801980198))</f>
        <v>0</v>
      </c>
      <c r="K880">
        <f>IF($E880="","",IF($E879="",$E880,$E880*0.0099502488+K879*0.9900497512))</f>
        <v>0</v>
      </c>
      <c r="L880">
        <f>IF(OR($E880="",$E879=""),"",MAX($E880-$E879,0))</f>
        <v>0</v>
      </c>
      <c r="M880">
        <f>IF(OR($E880="",$E879=""),"",MAX($E879-$E880,0))</f>
        <v>0</v>
      </c>
      <c r="N880">
        <f>IF(COUNT($E$2:$E880)&lt;15,"",IF(AVERAGE($M$867:$M$880)=0,100,100-100/(1+AVERAGE($L$867:$L$880)/AVERAGE($M$867:$M$880))))</f>
        <v>0</v>
      </c>
      <c r="O880">
        <f>IF($E880="","",IF($E879="",$E880,$E880*0.1538461538+O879*0.8461538462))</f>
        <v>0</v>
      </c>
      <c r="P880">
        <f>IF($E880="","",IF($E879="",$E880,$E880*0.0740740741+P879*0.9259259259))</f>
        <v>0</v>
      </c>
      <c r="Q880">
        <f>IF(OR(O880="",P880=""),"",O880-P880)</f>
        <v>0</v>
      </c>
      <c r="R880">
        <f>IF(Q880="","",IF(R879="",Q880,Q880*0.2000000000+R879*0.8000000000))</f>
        <v>0</v>
      </c>
      <c r="S880">
        <f>IF(OR(Q880="",R880=""),"",Q880-R880)</f>
        <v>0</v>
      </c>
      <c r="T880">
        <f>IF(COUNT($E$2:$E880)&lt;14,"",MAX($C$867:$C$880))</f>
        <v>0</v>
      </c>
      <c r="U880">
        <f>IF(COUNT($E$2:$E880)&lt;14,"",MIN($D$867:$D$880))</f>
        <v>0</v>
      </c>
      <c r="V880">
        <f>IF(OR(T880="",U880="",T880=U880),"",100*($E880-U880)/(T880-U880))</f>
        <v>0</v>
      </c>
      <c r="W880">
        <f>IF(COUNT($V$878:$V$880)&lt;3,"",AVERAGE($V$878:$V$880))</f>
        <v>0</v>
      </c>
      <c r="X880">
        <f>IF(COUNT($N$867:$N$880)&lt;14,"",MIN($N$867:$N$880))</f>
        <v>0</v>
      </c>
      <c r="Y880">
        <f>IF(COUNT($N$867:$N$880)&lt;14,"",MAX($N$867:$N$880))</f>
        <v>0</v>
      </c>
      <c r="Z880">
        <f>IF(OR(N880="",X880="",Y880="",Y880=X880),"",100*(N880-X880)/(Y880-X880))</f>
        <v>0</v>
      </c>
      <c r="AA880">
        <f>IF(COUNT($Z$878:$Z$880)&lt;3,"",AVERAGE($Z$878:$Z$880))</f>
        <v>0</v>
      </c>
      <c r="AB880">
        <f>IF(COUNT($AA$878:$AA$880)&lt;3,"",AVERAGE($AA$878:$AA$880))</f>
        <v>0</v>
      </c>
      <c r="AC880">
        <f>IF($E880="","",MAX($C880-$D880,ABS($C880-$E879),ABS($D880-$E879)))</f>
        <v>0</v>
      </c>
      <c r="AD880">
        <f>IF(COUNT($E$2:$E880)&lt;15,"",AVERAGE($AC$867:$AC$880))</f>
        <v>0</v>
      </c>
      <c r="AE880">
        <f>IF(OR($E880="",$E879=""),"",IF(AND(($C880-$C879)&gt;($D879-$D880),($C880-$C879)&gt;0),$C880-$C879,0))</f>
        <v>0</v>
      </c>
      <c r="AF880">
        <f>IF(OR($E880="",$E879=""),"",IF(AND(($D879-$D880)&gt;($C880-$C879),($D879-$D880)&gt;0),$D879-$D880,0))</f>
        <v>0</v>
      </c>
      <c r="AG880">
        <f>IF(COUNT($E$2:$E880)&lt;15,"",IF(SUM($AC$867:$AC$880)=0,0,100*SUM($AE$867:$AE$880)/SUM($AC$867:$AC$880)))</f>
        <v>0</v>
      </c>
      <c r="AH880">
        <f>IF(COUNT($E$2:$E880)&lt;15,"",IF(SUM($AC$867:$AC$880)=0,0,100*SUM($AF$867:$AF$880)/SUM($AC$867:$AC$880)))</f>
        <v>0</v>
      </c>
      <c r="AI880">
        <f>IF(OR(AG880="",AH880=""),"",IF((AG880+AH880)=0,0,100*ABS(AG880-AH880)/(AG880+AH880)))</f>
        <v>0</v>
      </c>
      <c r="AJ880">
        <f>IF(COUNT($AI$867:$AI$880)&lt;14,"",AVERAGE($AI$867:$AI$880))</f>
        <v>0</v>
      </c>
      <c r="AK880">
        <f>IF(COUNT($E$2:$E880)&lt;20,"",AVERAGE($E$861:$E$880))</f>
        <v>0</v>
      </c>
      <c r="AL880">
        <f>IF(COUNT($E$2:$E880)&lt;20,"",STDEVP($E$861:$E$880))</f>
        <v>0</v>
      </c>
      <c r="AM880">
        <f>IF(AK880="","",AK880+2*AL880)</f>
        <v>0</v>
      </c>
      <c r="AN880">
        <f>IF(AK880="","",AK880-2*AL880)</f>
        <v>0</v>
      </c>
      <c r="AO880">
        <f>IF(OR(AM880="",AN880="",AM880=AN880),"",($E880-AN880)/(AM880-AN880))</f>
        <v>0</v>
      </c>
      <c r="AP880">
        <f>IF(OR(AM880="",AK880="",AK880=0),"",(AM880-AN880)/AK880)</f>
        <v>0</v>
      </c>
      <c r="AQ880">
        <f>IF(COUNT($E$2:$E880)&lt;20,"",MAX($C$861:$C$880))</f>
        <v>0</v>
      </c>
      <c r="AR880">
        <f>IF(COUNT($E$2:$E880)&lt;20,"",MIN($D$861:$D$880))</f>
        <v>0</v>
      </c>
      <c r="AS880">
        <f>IF(OR(AQ880="",AR880=""),"",(AQ880+AR880)/2)</f>
        <v>0</v>
      </c>
      <c r="AT880">
        <f>IF(COUNT($G$861:$G$880)&lt;20,"",STDEV($G$861:$G$880)*SQRT(252))</f>
        <v>0</v>
      </c>
      <c r="AU880">
        <f>IF(COUNT($E$2:$E880)&lt;9,"",(MAX($C$872:$C$880)+MIN($D$872:$D$880))/2)</f>
        <v>0</v>
      </c>
      <c r="AV880">
        <f>IF(COUNT($E$2:$E880)&lt;26,"",(MAX($C$855:$C$880)+MIN($D$855:$D$880))/2)</f>
        <v>0</v>
      </c>
      <c r="AW880">
        <f>IF(OR(AU880="",AV880=""),"",(AU880+AV880)/2)</f>
        <v>0</v>
      </c>
      <c r="AX880">
        <f>IF(COUNT($E$2:$E880)&lt;52,"",(MAX($C$829:$C$880)+MIN($D$829:$D$880))/2)</f>
        <v>0</v>
      </c>
      <c r="AY880">
        <f>IF(COUNT($E$2:$E880)&lt;20,"",MAX($C$781:$C$880))</f>
        <v>0</v>
      </c>
      <c r="AZ880">
        <f>IF(COUNT($E$2:$E880)&lt;20,"",MIN($D$781:$D$880))</f>
        <v>0</v>
      </c>
      <c r="BA880">
        <f>IF(COUNT($E$2:$E880)&lt;20,"",SLOPE($E$781:$E$880,$F$781:$F$880))</f>
        <v>0</v>
      </c>
      <c r="BB880">
        <f>IF(COUNT($E$2:$E880)&lt;20,"",INTERCEPT($E$781:$E$880,$F$781:$F$880))</f>
        <v>0</v>
      </c>
      <c r="BC880">
        <f>IF(OR(BA880="",BB880=""),"",BB880+BA880*F880)</f>
        <v>0</v>
      </c>
      <c r="BD880">
        <f>IF(COUNT($E$2:$E880)&lt;20,"",STEYX($E$781:$E$880,$F$781:$F$880))</f>
        <v>0</v>
      </c>
      <c r="BE880">
        <f>IF($E880="","",IF(AND(COUNT($E$881:$E$884)&gt;=4,$C880=MAX($C$876:$C$884)),$C880,""))</f>
        <v>0</v>
      </c>
      <c r="BF880">
        <f>IF($E880="","",IF(AND(COUNT($E$881:$E$884)&gt;=4,$D880=MIN($D$876:$D$884)),$D880,""))</f>
        <v>0</v>
      </c>
      <c r="BG880">
        <f>IF($A880="","",$A880-WEEKDAY($A880,2)+1)</f>
        <v>0</v>
      </c>
      <c r="BH880">
        <f>IF($A880="","",IF($A879="",1,IF(BG880&lt;&gt;BG879,1,0)))</f>
        <v>0</v>
      </c>
      <c r="BI880">
        <f>IF($A880="","",IF($A881="",1,IF(BG881&lt;&gt;BG880,1,0)))</f>
        <v>0</v>
      </c>
      <c r="BJ880">
        <f>IF($A880="","",IF(BH880=1,$B880,BJ879))</f>
        <v>0</v>
      </c>
      <c r="BK880">
        <f>IF($A880="","",IF(BH880=1,$C880,MAX($C880,BK879)))</f>
        <v>0</v>
      </c>
      <c r="BL880">
        <f>IF($A880="","",IF(BH880=1,$D880,MIN($D880,BL879)))</f>
        <v>0</v>
      </c>
      <c r="BM880">
        <f>IF($A880="","",IF(BI880=1,F880,""))</f>
        <v>0</v>
      </c>
      <c r="BN880">
        <f>IF($A880="","",DATE(YEAR($A880),MONTH($A880),1))</f>
        <v>0</v>
      </c>
      <c r="BO880">
        <f>IF($A880="","",IF($A879="",1,IF(BN880&lt;&gt;BN879,1,0)))</f>
        <v>0</v>
      </c>
      <c r="BP880">
        <f>IF($A880="","",IF($A881="",1,IF(BN881&lt;&gt;BN880,1,0)))</f>
        <v>0</v>
      </c>
      <c r="BQ880">
        <f>IF($A880="","",IF(BO880=1,$B880,BQ879))</f>
        <v>0</v>
      </c>
      <c r="BR880">
        <f>IF($A880="","",IF(BO880=1,$C880,MAX($C880,BR879)))</f>
        <v>0</v>
      </c>
      <c r="BS880">
        <f>IF($A880="","",IF(BO880=1,$D880,MIN($D880,BS879)))</f>
        <v>0</v>
      </c>
      <c r="BT880">
        <f>IF($A880="","",IF(BP880=1,F880,""))</f>
        <v>0</v>
      </c>
    </row>
    <row r="881" spans="1:72">
      <c r="A881" s="27">
        <f>IF(Data!$A881="","",Data!$A881)</f>
        <v>0</v>
      </c>
      <c r="B881">
        <f>IF(Data!$B881="","",Data!$B881)</f>
        <v>0</v>
      </c>
      <c r="C881">
        <f>IF(Data!$C881="","",Data!$C881)</f>
        <v>0</v>
      </c>
      <c r="D881">
        <f>IF(Data!$D881="","",Data!$D881)</f>
        <v>0</v>
      </c>
      <c r="E881">
        <f>IF(Data!$E881="","",Data!$E881)</f>
        <v>0</v>
      </c>
      <c r="F881">
        <f>IF($E881="","",N(F880)+1)</f>
        <v>0</v>
      </c>
      <c r="G881">
        <f>IF(OR($E881="",$E880=""),"",LN($E881/$E880))</f>
        <v>0</v>
      </c>
      <c r="H881">
        <f>IF($E881="","",IF($E880="",$E881,$E881*0.0952380952+H880*0.9047619048))</f>
        <v>0</v>
      </c>
      <c r="I881">
        <f>IF($E881="","",IF($E880="",$E881,$E881*0.0392156863+I880*0.9607843137))</f>
        <v>0</v>
      </c>
      <c r="J881">
        <f>IF($E881="","",IF($E880="",$E881,$E881*0.0198019802+J880*0.9801980198))</f>
        <v>0</v>
      </c>
      <c r="K881">
        <f>IF($E881="","",IF($E880="",$E881,$E881*0.0099502488+K880*0.9900497512))</f>
        <v>0</v>
      </c>
      <c r="L881">
        <f>IF(OR($E881="",$E880=""),"",MAX($E881-$E880,0))</f>
        <v>0</v>
      </c>
      <c r="M881">
        <f>IF(OR($E881="",$E880=""),"",MAX($E880-$E881,0))</f>
        <v>0</v>
      </c>
      <c r="N881">
        <f>IF(COUNT($E$2:$E881)&lt;15,"",IF(AVERAGE($M$868:$M$881)=0,100,100-100/(1+AVERAGE($L$868:$L$881)/AVERAGE($M$868:$M$881))))</f>
        <v>0</v>
      </c>
      <c r="O881">
        <f>IF($E881="","",IF($E880="",$E881,$E881*0.1538461538+O880*0.8461538462))</f>
        <v>0</v>
      </c>
      <c r="P881">
        <f>IF($E881="","",IF($E880="",$E881,$E881*0.0740740741+P880*0.9259259259))</f>
        <v>0</v>
      </c>
      <c r="Q881">
        <f>IF(OR(O881="",P881=""),"",O881-P881)</f>
        <v>0</v>
      </c>
      <c r="R881">
        <f>IF(Q881="","",IF(R880="",Q881,Q881*0.2000000000+R880*0.8000000000))</f>
        <v>0</v>
      </c>
      <c r="S881">
        <f>IF(OR(Q881="",R881=""),"",Q881-R881)</f>
        <v>0</v>
      </c>
      <c r="T881">
        <f>IF(COUNT($E$2:$E881)&lt;14,"",MAX($C$868:$C$881))</f>
        <v>0</v>
      </c>
      <c r="U881">
        <f>IF(COUNT($E$2:$E881)&lt;14,"",MIN($D$868:$D$881))</f>
        <v>0</v>
      </c>
      <c r="V881">
        <f>IF(OR(T881="",U881="",T881=U881),"",100*($E881-U881)/(T881-U881))</f>
        <v>0</v>
      </c>
      <c r="W881">
        <f>IF(COUNT($V$879:$V$881)&lt;3,"",AVERAGE($V$879:$V$881))</f>
        <v>0</v>
      </c>
      <c r="X881">
        <f>IF(COUNT($N$868:$N$881)&lt;14,"",MIN($N$868:$N$881))</f>
        <v>0</v>
      </c>
      <c r="Y881">
        <f>IF(COUNT($N$868:$N$881)&lt;14,"",MAX($N$868:$N$881))</f>
        <v>0</v>
      </c>
      <c r="Z881">
        <f>IF(OR(N881="",X881="",Y881="",Y881=X881),"",100*(N881-X881)/(Y881-X881))</f>
        <v>0</v>
      </c>
      <c r="AA881">
        <f>IF(COUNT($Z$879:$Z$881)&lt;3,"",AVERAGE($Z$879:$Z$881))</f>
        <v>0</v>
      </c>
      <c r="AB881">
        <f>IF(COUNT($AA$879:$AA$881)&lt;3,"",AVERAGE($AA$879:$AA$881))</f>
        <v>0</v>
      </c>
      <c r="AC881">
        <f>IF($E881="","",MAX($C881-$D881,ABS($C881-$E880),ABS($D881-$E880)))</f>
        <v>0</v>
      </c>
      <c r="AD881">
        <f>IF(COUNT($E$2:$E881)&lt;15,"",AVERAGE($AC$868:$AC$881))</f>
        <v>0</v>
      </c>
      <c r="AE881">
        <f>IF(OR($E881="",$E880=""),"",IF(AND(($C881-$C880)&gt;($D880-$D881),($C881-$C880)&gt;0),$C881-$C880,0))</f>
        <v>0</v>
      </c>
      <c r="AF881">
        <f>IF(OR($E881="",$E880=""),"",IF(AND(($D880-$D881)&gt;($C881-$C880),($D880-$D881)&gt;0),$D880-$D881,0))</f>
        <v>0</v>
      </c>
      <c r="AG881">
        <f>IF(COUNT($E$2:$E881)&lt;15,"",IF(SUM($AC$868:$AC$881)=0,0,100*SUM($AE$868:$AE$881)/SUM($AC$868:$AC$881)))</f>
        <v>0</v>
      </c>
      <c r="AH881">
        <f>IF(COUNT($E$2:$E881)&lt;15,"",IF(SUM($AC$868:$AC$881)=0,0,100*SUM($AF$868:$AF$881)/SUM($AC$868:$AC$881)))</f>
        <v>0</v>
      </c>
      <c r="AI881">
        <f>IF(OR(AG881="",AH881=""),"",IF((AG881+AH881)=0,0,100*ABS(AG881-AH881)/(AG881+AH881)))</f>
        <v>0</v>
      </c>
      <c r="AJ881">
        <f>IF(COUNT($AI$868:$AI$881)&lt;14,"",AVERAGE($AI$868:$AI$881))</f>
        <v>0</v>
      </c>
      <c r="AK881">
        <f>IF(COUNT($E$2:$E881)&lt;20,"",AVERAGE($E$862:$E$881))</f>
        <v>0</v>
      </c>
      <c r="AL881">
        <f>IF(COUNT($E$2:$E881)&lt;20,"",STDEVP($E$862:$E$881))</f>
        <v>0</v>
      </c>
      <c r="AM881">
        <f>IF(AK881="","",AK881+2*AL881)</f>
        <v>0</v>
      </c>
      <c r="AN881">
        <f>IF(AK881="","",AK881-2*AL881)</f>
        <v>0</v>
      </c>
      <c r="AO881">
        <f>IF(OR(AM881="",AN881="",AM881=AN881),"",($E881-AN881)/(AM881-AN881))</f>
        <v>0</v>
      </c>
      <c r="AP881">
        <f>IF(OR(AM881="",AK881="",AK881=0),"",(AM881-AN881)/AK881)</f>
        <v>0</v>
      </c>
      <c r="AQ881">
        <f>IF(COUNT($E$2:$E881)&lt;20,"",MAX($C$862:$C$881))</f>
        <v>0</v>
      </c>
      <c r="AR881">
        <f>IF(COUNT($E$2:$E881)&lt;20,"",MIN($D$862:$D$881))</f>
        <v>0</v>
      </c>
      <c r="AS881">
        <f>IF(OR(AQ881="",AR881=""),"",(AQ881+AR881)/2)</f>
        <v>0</v>
      </c>
      <c r="AT881">
        <f>IF(COUNT($G$862:$G$881)&lt;20,"",STDEV($G$862:$G$881)*SQRT(252))</f>
        <v>0</v>
      </c>
      <c r="AU881">
        <f>IF(COUNT($E$2:$E881)&lt;9,"",(MAX($C$873:$C$881)+MIN($D$873:$D$881))/2)</f>
        <v>0</v>
      </c>
      <c r="AV881">
        <f>IF(COUNT($E$2:$E881)&lt;26,"",(MAX($C$856:$C$881)+MIN($D$856:$D$881))/2)</f>
        <v>0</v>
      </c>
      <c r="AW881">
        <f>IF(OR(AU881="",AV881=""),"",(AU881+AV881)/2)</f>
        <v>0</v>
      </c>
      <c r="AX881">
        <f>IF(COUNT($E$2:$E881)&lt;52,"",(MAX($C$830:$C$881)+MIN($D$830:$D$881))/2)</f>
        <v>0</v>
      </c>
      <c r="AY881">
        <f>IF(COUNT($E$2:$E881)&lt;20,"",MAX($C$782:$C$881))</f>
        <v>0</v>
      </c>
      <c r="AZ881">
        <f>IF(COUNT($E$2:$E881)&lt;20,"",MIN($D$782:$D$881))</f>
        <v>0</v>
      </c>
      <c r="BA881">
        <f>IF(COUNT($E$2:$E881)&lt;20,"",SLOPE($E$782:$E$881,$F$782:$F$881))</f>
        <v>0</v>
      </c>
      <c r="BB881">
        <f>IF(COUNT($E$2:$E881)&lt;20,"",INTERCEPT($E$782:$E$881,$F$782:$F$881))</f>
        <v>0</v>
      </c>
      <c r="BC881">
        <f>IF(OR(BA881="",BB881=""),"",BB881+BA881*F881)</f>
        <v>0</v>
      </c>
      <c r="BD881">
        <f>IF(COUNT($E$2:$E881)&lt;20,"",STEYX($E$782:$E$881,$F$782:$F$881))</f>
        <v>0</v>
      </c>
      <c r="BE881">
        <f>IF($E881="","",IF(AND(COUNT($E$882:$E$885)&gt;=4,$C881=MAX($C$877:$C$885)),$C881,""))</f>
        <v>0</v>
      </c>
      <c r="BF881">
        <f>IF($E881="","",IF(AND(COUNT($E$882:$E$885)&gt;=4,$D881=MIN($D$877:$D$885)),$D881,""))</f>
        <v>0</v>
      </c>
      <c r="BG881">
        <f>IF($A881="","",$A881-WEEKDAY($A881,2)+1)</f>
        <v>0</v>
      </c>
      <c r="BH881">
        <f>IF($A881="","",IF($A880="",1,IF(BG881&lt;&gt;BG880,1,0)))</f>
        <v>0</v>
      </c>
      <c r="BI881">
        <f>IF($A881="","",IF($A882="",1,IF(BG882&lt;&gt;BG881,1,0)))</f>
        <v>0</v>
      </c>
      <c r="BJ881">
        <f>IF($A881="","",IF(BH881=1,$B881,BJ880))</f>
        <v>0</v>
      </c>
      <c r="BK881">
        <f>IF($A881="","",IF(BH881=1,$C881,MAX($C881,BK880)))</f>
        <v>0</v>
      </c>
      <c r="BL881">
        <f>IF($A881="","",IF(BH881=1,$D881,MIN($D881,BL880)))</f>
        <v>0</v>
      </c>
      <c r="BM881">
        <f>IF($A881="","",IF(BI881=1,F881,""))</f>
        <v>0</v>
      </c>
      <c r="BN881">
        <f>IF($A881="","",DATE(YEAR($A881),MONTH($A881),1))</f>
        <v>0</v>
      </c>
      <c r="BO881">
        <f>IF($A881="","",IF($A880="",1,IF(BN881&lt;&gt;BN880,1,0)))</f>
        <v>0</v>
      </c>
      <c r="BP881">
        <f>IF($A881="","",IF($A882="",1,IF(BN882&lt;&gt;BN881,1,0)))</f>
        <v>0</v>
      </c>
      <c r="BQ881">
        <f>IF($A881="","",IF(BO881=1,$B881,BQ880))</f>
        <v>0</v>
      </c>
      <c r="BR881">
        <f>IF($A881="","",IF(BO881=1,$C881,MAX($C881,BR880)))</f>
        <v>0</v>
      </c>
      <c r="BS881">
        <f>IF($A881="","",IF(BO881=1,$D881,MIN($D881,BS880)))</f>
        <v>0</v>
      </c>
      <c r="BT881">
        <f>IF($A881="","",IF(BP881=1,F881,""))</f>
        <v>0</v>
      </c>
    </row>
    <row r="882" spans="1:72">
      <c r="A882" s="27">
        <f>IF(Data!$A882="","",Data!$A882)</f>
        <v>0</v>
      </c>
      <c r="B882">
        <f>IF(Data!$B882="","",Data!$B882)</f>
        <v>0</v>
      </c>
      <c r="C882">
        <f>IF(Data!$C882="","",Data!$C882)</f>
        <v>0</v>
      </c>
      <c r="D882">
        <f>IF(Data!$D882="","",Data!$D882)</f>
        <v>0</v>
      </c>
      <c r="E882">
        <f>IF(Data!$E882="","",Data!$E882)</f>
        <v>0</v>
      </c>
      <c r="F882">
        <f>IF($E882="","",N(F881)+1)</f>
        <v>0</v>
      </c>
      <c r="G882">
        <f>IF(OR($E882="",$E881=""),"",LN($E882/$E881))</f>
        <v>0</v>
      </c>
      <c r="H882">
        <f>IF($E882="","",IF($E881="",$E882,$E882*0.0952380952+H881*0.9047619048))</f>
        <v>0</v>
      </c>
      <c r="I882">
        <f>IF($E882="","",IF($E881="",$E882,$E882*0.0392156863+I881*0.9607843137))</f>
        <v>0</v>
      </c>
      <c r="J882">
        <f>IF($E882="","",IF($E881="",$E882,$E882*0.0198019802+J881*0.9801980198))</f>
        <v>0</v>
      </c>
      <c r="K882">
        <f>IF($E882="","",IF($E881="",$E882,$E882*0.0099502488+K881*0.9900497512))</f>
        <v>0</v>
      </c>
      <c r="L882">
        <f>IF(OR($E882="",$E881=""),"",MAX($E882-$E881,0))</f>
        <v>0</v>
      </c>
      <c r="M882">
        <f>IF(OR($E882="",$E881=""),"",MAX($E881-$E882,0))</f>
        <v>0</v>
      </c>
      <c r="N882">
        <f>IF(COUNT($E$2:$E882)&lt;15,"",IF(AVERAGE($M$869:$M$882)=0,100,100-100/(1+AVERAGE($L$869:$L$882)/AVERAGE($M$869:$M$882))))</f>
        <v>0</v>
      </c>
      <c r="O882">
        <f>IF($E882="","",IF($E881="",$E882,$E882*0.1538461538+O881*0.8461538462))</f>
        <v>0</v>
      </c>
      <c r="P882">
        <f>IF($E882="","",IF($E881="",$E882,$E882*0.0740740741+P881*0.9259259259))</f>
        <v>0</v>
      </c>
      <c r="Q882">
        <f>IF(OR(O882="",P882=""),"",O882-P882)</f>
        <v>0</v>
      </c>
      <c r="R882">
        <f>IF(Q882="","",IF(R881="",Q882,Q882*0.2000000000+R881*0.8000000000))</f>
        <v>0</v>
      </c>
      <c r="S882">
        <f>IF(OR(Q882="",R882=""),"",Q882-R882)</f>
        <v>0</v>
      </c>
      <c r="T882">
        <f>IF(COUNT($E$2:$E882)&lt;14,"",MAX($C$869:$C$882))</f>
        <v>0</v>
      </c>
      <c r="U882">
        <f>IF(COUNT($E$2:$E882)&lt;14,"",MIN($D$869:$D$882))</f>
        <v>0</v>
      </c>
      <c r="V882">
        <f>IF(OR(T882="",U882="",T882=U882),"",100*($E882-U882)/(T882-U882))</f>
        <v>0</v>
      </c>
      <c r="W882">
        <f>IF(COUNT($V$880:$V$882)&lt;3,"",AVERAGE($V$880:$V$882))</f>
        <v>0</v>
      </c>
      <c r="X882">
        <f>IF(COUNT($N$869:$N$882)&lt;14,"",MIN($N$869:$N$882))</f>
        <v>0</v>
      </c>
      <c r="Y882">
        <f>IF(COUNT($N$869:$N$882)&lt;14,"",MAX($N$869:$N$882))</f>
        <v>0</v>
      </c>
      <c r="Z882">
        <f>IF(OR(N882="",X882="",Y882="",Y882=X882),"",100*(N882-X882)/(Y882-X882))</f>
        <v>0</v>
      </c>
      <c r="AA882">
        <f>IF(COUNT($Z$880:$Z$882)&lt;3,"",AVERAGE($Z$880:$Z$882))</f>
        <v>0</v>
      </c>
      <c r="AB882">
        <f>IF(COUNT($AA$880:$AA$882)&lt;3,"",AVERAGE($AA$880:$AA$882))</f>
        <v>0</v>
      </c>
      <c r="AC882">
        <f>IF($E882="","",MAX($C882-$D882,ABS($C882-$E881),ABS($D882-$E881)))</f>
        <v>0</v>
      </c>
      <c r="AD882">
        <f>IF(COUNT($E$2:$E882)&lt;15,"",AVERAGE($AC$869:$AC$882))</f>
        <v>0</v>
      </c>
      <c r="AE882">
        <f>IF(OR($E882="",$E881=""),"",IF(AND(($C882-$C881)&gt;($D881-$D882),($C882-$C881)&gt;0),$C882-$C881,0))</f>
        <v>0</v>
      </c>
      <c r="AF882">
        <f>IF(OR($E882="",$E881=""),"",IF(AND(($D881-$D882)&gt;($C882-$C881),($D881-$D882)&gt;0),$D881-$D882,0))</f>
        <v>0</v>
      </c>
      <c r="AG882">
        <f>IF(COUNT($E$2:$E882)&lt;15,"",IF(SUM($AC$869:$AC$882)=0,0,100*SUM($AE$869:$AE$882)/SUM($AC$869:$AC$882)))</f>
        <v>0</v>
      </c>
      <c r="AH882">
        <f>IF(COUNT($E$2:$E882)&lt;15,"",IF(SUM($AC$869:$AC$882)=0,0,100*SUM($AF$869:$AF$882)/SUM($AC$869:$AC$882)))</f>
        <v>0</v>
      </c>
      <c r="AI882">
        <f>IF(OR(AG882="",AH882=""),"",IF((AG882+AH882)=0,0,100*ABS(AG882-AH882)/(AG882+AH882)))</f>
        <v>0</v>
      </c>
      <c r="AJ882">
        <f>IF(COUNT($AI$869:$AI$882)&lt;14,"",AVERAGE($AI$869:$AI$882))</f>
        <v>0</v>
      </c>
      <c r="AK882">
        <f>IF(COUNT($E$2:$E882)&lt;20,"",AVERAGE($E$863:$E$882))</f>
        <v>0</v>
      </c>
      <c r="AL882">
        <f>IF(COUNT($E$2:$E882)&lt;20,"",STDEVP($E$863:$E$882))</f>
        <v>0</v>
      </c>
      <c r="AM882">
        <f>IF(AK882="","",AK882+2*AL882)</f>
        <v>0</v>
      </c>
      <c r="AN882">
        <f>IF(AK882="","",AK882-2*AL882)</f>
        <v>0</v>
      </c>
      <c r="AO882">
        <f>IF(OR(AM882="",AN882="",AM882=AN882),"",($E882-AN882)/(AM882-AN882))</f>
        <v>0</v>
      </c>
      <c r="AP882">
        <f>IF(OR(AM882="",AK882="",AK882=0),"",(AM882-AN882)/AK882)</f>
        <v>0</v>
      </c>
      <c r="AQ882">
        <f>IF(COUNT($E$2:$E882)&lt;20,"",MAX($C$863:$C$882))</f>
        <v>0</v>
      </c>
      <c r="AR882">
        <f>IF(COUNT($E$2:$E882)&lt;20,"",MIN($D$863:$D$882))</f>
        <v>0</v>
      </c>
      <c r="AS882">
        <f>IF(OR(AQ882="",AR882=""),"",(AQ882+AR882)/2)</f>
        <v>0</v>
      </c>
      <c r="AT882">
        <f>IF(COUNT($G$863:$G$882)&lt;20,"",STDEV($G$863:$G$882)*SQRT(252))</f>
        <v>0</v>
      </c>
      <c r="AU882">
        <f>IF(COUNT($E$2:$E882)&lt;9,"",(MAX($C$874:$C$882)+MIN($D$874:$D$882))/2)</f>
        <v>0</v>
      </c>
      <c r="AV882">
        <f>IF(COUNT($E$2:$E882)&lt;26,"",(MAX($C$857:$C$882)+MIN($D$857:$D$882))/2)</f>
        <v>0</v>
      </c>
      <c r="AW882">
        <f>IF(OR(AU882="",AV882=""),"",(AU882+AV882)/2)</f>
        <v>0</v>
      </c>
      <c r="AX882">
        <f>IF(COUNT($E$2:$E882)&lt;52,"",(MAX($C$831:$C$882)+MIN($D$831:$D$882))/2)</f>
        <v>0</v>
      </c>
      <c r="AY882">
        <f>IF(COUNT($E$2:$E882)&lt;20,"",MAX($C$783:$C$882))</f>
        <v>0</v>
      </c>
      <c r="AZ882">
        <f>IF(COUNT($E$2:$E882)&lt;20,"",MIN($D$783:$D$882))</f>
        <v>0</v>
      </c>
      <c r="BA882">
        <f>IF(COUNT($E$2:$E882)&lt;20,"",SLOPE($E$783:$E$882,$F$783:$F$882))</f>
        <v>0</v>
      </c>
      <c r="BB882">
        <f>IF(COUNT($E$2:$E882)&lt;20,"",INTERCEPT($E$783:$E$882,$F$783:$F$882))</f>
        <v>0</v>
      </c>
      <c r="BC882">
        <f>IF(OR(BA882="",BB882=""),"",BB882+BA882*F882)</f>
        <v>0</v>
      </c>
      <c r="BD882">
        <f>IF(COUNT($E$2:$E882)&lt;20,"",STEYX($E$783:$E$882,$F$783:$F$882))</f>
        <v>0</v>
      </c>
      <c r="BE882">
        <f>IF($E882="","",IF(AND(COUNT($E$883:$E$886)&gt;=4,$C882=MAX($C$878:$C$886)),$C882,""))</f>
        <v>0</v>
      </c>
      <c r="BF882">
        <f>IF($E882="","",IF(AND(COUNT($E$883:$E$886)&gt;=4,$D882=MIN($D$878:$D$886)),$D882,""))</f>
        <v>0</v>
      </c>
      <c r="BG882">
        <f>IF($A882="","",$A882-WEEKDAY($A882,2)+1)</f>
        <v>0</v>
      </c>
      <c r="BH882">
        <f>IF($A882="","",IF($A881="",1,IF(BG882&lt;&gt;BG881,1,0)))</f>
        <v>0</v>
      </c>
      <c r="BI882">
        <f>IF($A882="","",IF($A883="",1,IF(BG883&lt;&gt;BG882,1,0)))</f>
        <v>0</v>
      </c>
      <c r="BJ882">
        <f>IF($A882="","",IF(BH882=1,$B882,BJ881))</f>
        <v>0</v>
      </c>
      <c r="BK882">
        <f>IF($A882="","",IF(BH882=1,$C882,MAX($C882,BK881)))</f>
        <v>0</v>
      </c>
      <c r="BL882">
        <f>IF($A882="","",IF(BH882=1,$D882,MIN($D882,BL881)))</f>
        <v>0</v>
      </c>
      <c r="BM882">
        <f>IF($A882="","",IF(BI882=1,F882,""))</f>
        <v>0</v>
      </c>
      <c r="BN882">
        <f>IF($A882="","",DATE(YEAR($A882),MONTH($A882),1))</f>
        <v>0</v>
      </c>
      <c r="BO882">
        <f>IF($A882="","",IF($A881="",1,IF(BN882&lt;&gt;BN881,1,0)))</f>
        <v>0</v>
      </c>
      <c r="BP882">
        <f>IF($A882="","",IF($A883="",1,IF(BN883&lt;&gt;BN882,1,0)))</f>
        <v>0</v>
      </c>
      <c r="BQ882">
        <f>IF($A882="","",IF(BO882=1,$B882,BQ881))</f>
        <v>0</v>
      </c>
      <c r="BR882">
        <f>IF($A882="","",IF(BO882=1,$C882,MAX($C882,BR881)))</f>
        <v>0</v>
      </c>
      <c r="BS882">
        <f>IF($A882="","",IF(BO882=1,$D882,MIN($D882,BS881)))</f>
        <v>0</v>
      </c>
      <c r="BT882">
        <f>IF($A882="","",IF(BP882=1,F882,""))</f>
        <v>0</v>
      </c>
    </row>
    <row r="883" spans="1:72">
      <c r="A883" s="27">
        <f>IF(Data!$A883="","",Data!$A883)</f>
        <v>0</v>
      </c>
      <c r="B883">
        <f>IF(Data!$B883="","",Data!$B883)</f>
        <v>0</v>
      </c>
      <c r="C883">
        <f>IF(Data!$C883="","",Data!$C883)</f>
        <v>0</v>
      </c>
      <c r="D883">
        <f>IF(Data!$D883="","",Data!$D883)</f>
        <v>0</v>
      </c>
      <c r="E883">
        <f>IF(Data!$E883="","",Data!$E883)</f>
        <v>0</v>
      </c>
      <c r="F883">
        <f>IF($E883="","",N(F882)+1)</f>
        <v>0</v>
      </c>
      <c r="G883">
        <f>IF(OR($E883="",$E882=""),"",LN($E883/$E882))</f>
        <v>0</v>
      </c>
      <c r="H883">
        <f>IF($E883="","",IF($E882="",$E883,$E883*0.0952380952+H882*0.9047619048))</f>
        <v>0</v>
      </c>
      <c r="I883">
        <f>IF($E883="","",IF($E882="",$E883,$E883*0.0392156863+I882*0.9607843137))</f>
        <v>0</v>
      </c>
      <c r="J883">
        <f>IF($E883="","",IF($E882="",$E883,$E883*0.0198019802+J882*0.9801980198))</f>
        <v>0</v>
      </c>
      <c r="K883">
        <f>IF($E883="","",IF($E882="",$E883,$E883*0.0099502488+K882*0.9900497512))</f>
        <v>0</v>
      </c>
      <c r="L883">
        <f>IF(OR($E883="",$E882=""),"",MAX($E883-$E882,0))</f>
        <v>0</v>
      </c>
      <c r="M883">
        <f>IF(OR($E883="",$E882=""),"",MAX($E882-$E883,0))</f>
        <v>0</v>
      </c>
      <c r="N883">
        <f>IF(COUNT($E$2:$E883)&lt;15,"",IF(AVERAGE($M$870:$M$883)=0,100,100-100/(1+AVERAGE($L$870:$L$883)/AVERAGE($M$870:$M$883))))</f>
        <v>0</v>
      </c>
      <c r="O883">
        <f>IF($E883="","",IF($E882="",$E883,$E883*0.1538461538+O882*0.8461538462))</f>
        <v>0</v>
      </c>
      <c r="P883">
        <f>IF($E883="","",IF($E882="",$E883,$E883*0.0740740741+P882*0.9259259259))</f>
        <v>0</v>
      </c>
      <c r="Q883">
        <f>IF(OR(O883="",P883=""),"",O883-P883)</f>
        <v>0</v>
      </c>
      <c r="R883">
        <f>IF(Q883="","",IF(R882="",Q883,Q883*0.2000000000+R882*0.8000000000))</f>
        <v>0</v>
      </c>
      <c r="S883">
        <f>IF(OR(Q883="",R883=""),"",Q883-R883)</f>
        <v>0</v>
      </c>
      <c r="T883">
        <f>IF(COUNT($E$2:$E883)&lt;14,"",MAX($C$870:$C$883))</f>
        <v>0</v>
      </c>
      <c r="U883">
        <f>IF(COUNT($E$2:$E883)&lt;14,"",MIN($D$870:$D$883))</f>
        <v>0</v>
      </c>
      <c r="V883">
        <f>IF(OR(T883="",U883="",T883=U883),"",100*($E883-U883)/(T883-U883))</f>
        <v>0</v>
      </c>
      <c r="W883">
        <f>IF(COUNT($V$881:$V$883)&lt;3,"",AVERAGE($V$881:$V$883))</f>
        <v>0</v>
      </c>
      <c r="X883">
        <f>IF(COUNT($N$870:$N$883)&lt;14,"",MIN($N$870:$N$883))</f>
        <v>0</v>
      </c>
      <c r="Y883">
        <f>IF(COUNT($N$870:$N$883)&lt;14,"",MAX($N$870:$N$883))</f>
        <v>0</v>
      </c>
      <c r="Z883">
        <f>IF(OR(N883="",X883="",Y883="",Y883=X883),"",100*(N883-X883)/(Y883-X883))</f>
        <v>0</v>
      </c>
      <c r="AA883">
        <f>IF(COUNT($Z$881:$Z$883)&lt;3,"",AVERAGE($Z$881:$Z$883))</f>
        <v>0</v>
      </c>
      <c r="AB883">
        <f>IF(COUNT($AA$881:$AA$883)&lt;3,"",AVERAGE($AA$881:$AA$883))</f>
        <v>0</v>
      </c>
      <c r="AC883">
        <f>IF($E883="","",MAX($C883-$D883,ABS($C883-$E882),ABS($D883-$E882)))</f>
        <v>0</v>
      </c>
      <c r="AD883">
        <f>IF(COUNT($E$2:$E883)&lt;15,"",AVERAGE($AC$870:$AC$883))</f>
        <v>0</v>
      </c>
      <c r="AE883">
        <f>IF(OR($E883="",$E882=""),"",IF(AND(($C883-$C882)&gt;($D882-$D883),($C883-$C882)&gt;0),$C883-$C882,0))</f>
        <v>0</v>
      </c>
      <c r="AF883">
        <f>IF(OR($E883="",$E882=""),"",IF(AND(($D882-$D883)&gt;($C883-$C882),($D882-$D883)&gt;0),$D882-$D883,0))</f>
        <v>0</v>
      </c>
      <c r="AG883">
        <f>IF(COUNT($E$2:$E883)&lt;15,"",IF(SUM($AC$870:$AC$883)=0,0,100*SUM($AE$870:$AE$883)/SUM($AC$870:$AC$883)))</f>
        <v>0</v>
      </c>
      <c r="AH883">
        <f>IF(COUNT($E$2:$E883)&lt;15,"",IF(SUM($AC$870:$AC$883)=0,0,100*SUM($AF$870:$AF$883)/SUM($AC$870:$AC$883)))</f>
        <v>0</v>
      </c>
      <c r="AI883">
        <f>IF(OR(AG883="",AH883=""),"",IF((AG883+AH883)=0,0,100*ABS(AG883-AH883)/(AG883+AH883)))</f>
        <v>0</v>
      </c>
      <c r="AJ883">
        <f>IF(COUNT($AI$870:$AI$883)&lt;14,"",AVERAGE($AI$870:$AI$883))</f>
        <v>0</v>
      </c>
      <c r="AK883">
        <f>IF(COUNT($E$2:$E883)&lt;20,"",AVERAGE($E$864:$E$883))</f>
        <v>0</v>
      </c>
      <c r="AL883">
        <f>IF(COUNT($E$2:$E883)&lt;20,"",STDEVP($E$864:$E$883))</f>
        <v>0</v>
      </c>
      <c r="AM883">
        <f>IF(AK883="","",AK883+2*AL883)</f>
        <v>0</v>
      </c>
      <c r="AN883">
        <f>IF(AK883="","",AK883-2*AL883)</f>
        <v>0</v>
      </c>
      <c r="AO883">
        <f>IF(OR(AM883="",AN883="",AM883=AN883),"",($E883-AN883)/(AM883-AN883))</f>
        <v>0</v>
      </c>
      <c r="AP883">
        <f>IF(OR(AM883="",AK883="",AK883=0),"",(AM883-AN883)/AK883)</f>
        <v>0</v>
      </c>
      <c r="AQ883">
        <f>IF(COUNT($E$2:$E883)&lt;20,"",MAX($C$864:$C$883))</f>
        <v>0</v>
      </c>
      <c r="AR883">
        <f>IF(COUNT($E$2:$E883)&lt;20,"",MIN($D$864:$D$883))</f>
        <v>0</v>
      </c>
      <c r="AS883">
        <f>IF(OR(AQ883="",AR883=""),"",(AQ883+AR883)/2)</f>
        <v>0</v>
      </c>
      <c r="AT883">
        <f>IF(COUNT($G$864:$G$883)&lt;20,"",STDEV($G$864:$G$883)*SQRT(252))</f>
        <v>0</v>
      </c>
      <c r="AU883">
        <f>IF(COUNT($E$2:$E883)&lt;9,"",(MAX($C$875:$C$883)+MIN($D$875:$D$883))/2)</f>
        <v>0</v>
      </c>
      <c r="AV883">
        <f>IF(COUNT($E$2:$E883)&lt;26,"",(MAX($C$858:$C$883)+MIN($D$858:$D$883))/2)</f>
        <v>0</v>
      </c>
      <c r="AW883">
        <f>IF(OR(AU883="",AV883=""),"",(AU883+AV883)/2)</f>
        <v>0</v>
      </c>
      <c r="AX883">
        <f>IF(COUNT($E$2:$E883)&lt;52,"",(MAX($C$832:$C$883)+MIN($D$832:$D$883))/2)</f>
        <v>0</v>
      </c>
      <c r="AY883">
        <f>IF(COUNT($E$2:$E883)&lt;20,"",MAX($C$784:$C$883))</f>
        <v>0</v>
      </c>
      <c r="AZ883">
        <f>IF(COUNT($E$2:$E883)&lt;20,"",MIN($D$784:$D$883))</f>
        <v>0</v>
      </c>
      <c r="BA883">
        <f>IF(COUNT($E$2:$E883)&lt;20,"",SLOPE($E$784:$E$883,$F$784:$F$883))</f>
        <v>0</v>
      </c>
      <c r="BB883">
        <f>IF(COUNT($E$2:$E883)&lt;20,"",INTERCEPT($E$784:$E$883,$F$784:$F$883))</f>
        <v>0</v>
      </c>
      <c r="BC883">
        <f>IF(OR(BA883="",BB883=""),"",BB883+BA883*F883)</f>
        <v>0</v>
      </c>
      <c r="BD883">
        <f>IF(COUNT($E$2:$E883)&lt;20,"",STEYX($E$784:$E$883,$F$784:$F$883))</f>
        <v>0</v>
      </c>
      <c r="BE883">
        <f>IF($E883="","",IF(AND(COUNT($E$884:$E$887)&gt;=4,$C883=MAX($C$879:$C$887)),$C883,""))</f>
        <v>0</v>
      </c>
      <c r="BF883">
        <f>IF($E883="","",IF(AND(COUNT($E$884:$E$887)&gt;=4,$D883=MIN($D$879:$D$887)),$D883,""))</f>
        <v>0</v>
      </c>
      <c r="BG883">
        <f>IF($A883="","",$A883-WEEKDAY($A883,2)+1)</f>
        <v>0</v>
      </c>
      <c r="BH883">
        <f>IF($A883="","",IF($A882="",1,IF(BG883&lt;&gt;BG882,1,0)))</f>
        <v>0</v>
      </c>
      <c r="BI883">
        <f>IF($A883="","",IF($A884="",1,IF(BG884&lt;&gt;BG883,1,0)))</f>
        <v>0</v>
      </c>
      <c r="BJ883">
        <f>IF($A883="","",IF(BH883=1,$B883,BJ882))</f>
        <v>0</v>
      </c>
      <c r="BK883">
        <f>IF($A883="","",IF(BH883=1,$C883,MAX($C883,BK882)))</f>
        <v>0</v>
      </c>
      <c r="BL883">
        <f>IF($A883="","",IF(BH883=1,$D883,MIN($D883,BL882)))</f>
        <v>0</v>
      </c>
      <c r="BM883">
        <f>IF($A883="","",IF(BI883=1,F883,""))</f>
        <v>0</v>
      </c>
      <c r="BN883">
        <f>IF($A883="","",DATE(YEAR($A883),MONTH($A883),1))</f>
        <v>0</v>
      </c>
      <c r="BO883">
        <f>IF($A883="","",IF($A882="",1,IF(BN883&lt;&gt;BN882,1,0)))</f>
        <v>0</v>
      </c>
      <c r="BP883">
        <f>IF($A883="","",IF($A884="",1,IF(BN884&lt;&gt;BN883,1,0)))</f>
        <v>0</v>
      </c>
      <c r="BQ883">
        <f>IF($A883="","",IF(BO883=1,$B883,BQ882))</f>
        <v>0</v>
      </c>
      <c r="BR883">
        <f>IF($A883="","",IF(BO883=1,$C883,MAX($C883,BR882)))</f>
        <v>0</v>
      </c>
      <c r="BS883">
        <f>IF($A883="","",IF(BO883=1,$D883,MIN($D883,BS882)))</f>
        <v>0</v>
      </c>
      <c r="BT883">
        <f>IF($A883="","",IF(BP883=1,F883,""))</f>
        <v>0</v>
      </c>
    </row>
    <row r="884" spans="1:72">
      <c r="A884" s="27">
        <f>IF(Data!$A884="","",Data!$A884)</f>
        <v>0</v>
      </c>
      <c r="B884">
        <f>IF(Data!$B884="","",Data!$B884)</f>
        <v>0</v>
      </c>
      <c r="C884">
        <f>IF(Data!$C884="","",Data!$C884)</f>
        <v>0</v>
      </c>
      <c r="D884">
        <f>IF(Data!$D884="","",Data!$D884)</f>
        <v>0</v>
      </c>
      <c r="E884">
        <f>IF(Data!$E884="","",Data!$E884)</f>
        <v>0</v>
      </c>
      <c r="F884">
        <f>IF($E884="","",N(F883)+1)</f>
        <v>0</v>
      </c>
      <c r="G884">
        <f>IF(OR($E884="",$E883=""),"",LN($E884/$E883))</f>
        <v>0</v>
      </c>
      <c r="H884">
        <f>IF($E884="","",IF($E883="",$E884,$E884*0.0952380952+H883*0.9047619048))</f>
        <v>0</v>
      </c>
      <c r="I884">
        <f>IF($E884="","",IF($E883="",$E884,$E884*0.0392156863+I883*0.9607843137))</f>
        <v>0</v>
      </c>
      <c r="J884">
        <f>IF($E884="","",IF($E883="",$E884,$E884*0.0198019802+J883*0.9801980198))</f>
        <v>0</v>
      </c>
      <c r="K884">
        <f>IF($E884="","",IF($E883="",$E884,$E884*0.0099502488+K883*0.9900497512))</f>
        <v>0</v>
      </c>
      <c r="L884">
        <f>IF(OR($E884="",$E883=""),"",MAX($E884-$E883,0))</f>
        <v>0</v>
      </c>
      <c r="M884">
        <f>IF(OR($E884="",$E883=""),"",MAX($E883-$E884,0))</f>
        <v>0</v>
      </c>
      <c r="N884">
        <f>IF(COUNT($E$2:$E884)&lt;15,"",IF(AVERAGE($M$871:$M$884)=0,100,100-100/(1+AVERAGE($L$871:$L$884)/AVERAGE($M$871:$M$884))))</f>
        <v>0</v>
      </c>
      <c r="O884">
        <f>IF($E884="","",IF($E883="",$E884,$E884*0.1538461538+O883*0.8461538462))</f>
        <v>0</v>
      </c>
      <c r="P884">
        <f>IF($E884="","",IF($E883="",$E884,$E884*0.0740740741+P883*0.9259259259))</f>
        <v>0</v>
      </c>
      <c r="Q884">
        <f>IF(OR(O884="",P884=""),"",O884-P884)</f>
        <v>0</v>
      </c>
      <c r="R884">
        <f>IF(Q884="","",IF(R883="",Q884,Q884*0.2000000000+R883*0.8000000000))</f>
        <v>0</v>
      </c>
      <c r="S884">
        <f>IF(OR(Q884="",R884=""),"",Q884-R884)</f>
        <v>0</v>
      </c>
      <c r="T884">
        <f>IF(COUNT($E$2:$E884)&lt;14,"",MAX($C$871:$C$884))</f>
        <v>0</v>
      </c>
      <c r="U884">
        <f>IF(COUNT($E$2:$E884)&lt;14,"",MIN($D$871:$D$884))</f>
        <v>0</v>
      </c>
      <c r="V884">
        <f>IF(OR(T884="",U884="",T884=U884),"",100*($E884-U884)/(T884-U884))</f>
        <v>0</v>
      </c>
      <c r="W884">
        <f>IF(COUNT($V$882:$V$884)&lt;3,"",AVERAGE($V$882:$V$884))</f>
        <v>0</v>
      </c>
      <c r="X884">
        <f>IF(COUNT($N$871:$N$884)&lt;14,"",MIN($N$871:$N$884))</f>
        <v>0</v>
      </c>
      <c r="Y884">
        <f>IF(COUNT($N$871:$N$884)&lt;14,"",MAX($N$871:$N$884))</f>
        <v>0</v>
      </c>
      <c r="Z884">
        <f>IF(OR(N884="",X884="",Y884="",Y884=X884),"",100*(N884-X884)/(Y884-X884))</f>
        <v>0</v>
      </c>
      <c r="AA884">
        <f>IF(COUNT($Z$882:$Z$884)&lt;3,"",AVERAGE($Z$882:$Z$884))</f>
        <v>0</v>
      </c>
      <c r="AB884">
        <f>IF(COUNT($AA$882:$AA$884)&lt;3,"",AVERAGE($AA$882:$AA$884))</f>
        <v>0</v>
      </c>
      <c r="AC884">
        <f>IF($E884="","",MAX($C884-$D884,ABS($C884-$E883),ABS($D884-$E883)))</f>
        <v>0</v>
      </c>
      <c r="AD884">
        <f>IF(COUNT($E$2:$E884)&lt;15,"",AVERAGE($AC$871:$AC$884))</f>
        <v>0</v>
      </c>
      <c r="AE884">
        <f>IF(OR($E884="",$E883=""),"",IF(AND(($C884-$C883)&gt;($D883-$D884),($C884-$C883)&gt;0),$C884-$C883,0))</f>
        <v>0</v>
      </c>
      <c r="AF884">
        <f>IF(OR($E884="",$E883=""),"",IF(AND(($D883-$D884)&gt;($C884-$C883),($D883-$D884)&gt;0),$D883-$D884,0))</f>
        <v>0</v>
      </c>
      <c r="AG884">
        <f>IF(COUNT($E$2:$E884)&lt;15,"",IF(SUM($AC$871:$AC$884)=0,0,100*SUM($AE$871:$AE$884)/SUM($AC$871:$AC$884)))</f>
        <v>0</v>
      </c>
      <c r="AH884">
        <f>IF(COUNT($E$2:$E884)&lt;15,"",IF(SUM($AC$871:$AC$884)=0,0,100*SUM($AF$871:$AF$884)/SUM($AC$871:$AC$884)))</f>
        <v>0</v>
      </c>
      <c r="AI884">
        <f>IF(OR(AG884="",AH884=""),"",IF((AG884+AH884)=0,0,100*ABS(AG884-AH884)/(AG884+AH884)))</f>
        <v>0</v>
      </c>
      <c r="AJ884">
        <f>IF(COUNT($AI$871:$AI$884)&lt;14,"",AVERAGE($AI$871:$AI$884))</f>
        <v>0</v>
      </c>
      <c r="AK884">
        <f>IF(COUNT($E$2:$E884)&lt;20,"",AVERAGE($E$865:$E$884))</f>
        <v>0</v>
      </c>
      <c r="AL884">
        <f>IF(COUNT($E$2:$E884)&lt;20,"",STDEVP($E$865:$E$884))</f>
        <v>0</v>
      </c>
      <c r="AM884">
        <f>IF(AK884="","",AK884+2*AL884)</f>
        <v>0</v>
      </c>
      <c r="AN884">
        <f>IF(AK884="","",AK884-2*AL884)</f>
        <v>0</v>
      </c>
      <c r="AO884">
        <f>IF(OR(AM884="",AN884="",AM884=AN884),"",($E884-AN884)/(AM884-AN884))</f>
        <v>0</v>
      </c>
      <c r="AP884">
        <f>IF(OR(AM884="",AK884="",AK884=0),"",(AM884-AN884)/AK884)</f>
        <v>0</v>
      </c>
      <c r="AQ884">
        <f>IF(COUNT($E$2:$E884)&lt;20,"",MAX($C$865:$C$884))</f>
        <v>0</v>
      </c>
      <c r="AR884">
        <f>IF(COUNT($E$2:$E884)&lt;20,"",MIN($D$865:$D$884))</f>
        <v>0</v>
      </c>
      <c r="AS884">
        <f>IF(OR(AQ884="",AR884=""),"",(AQ884+AR884)/2)</f>
        <v>0</v>
      </c>
      <c r="AT884">
        <f>IF(COUNT($G$865:$G$884)&lt;20,"",STDEV($G$865:$G$884)*SQRT(252))</f>
        <v>0</v>
      </c>
      <c r="AU884">
        <f>IF(COUNT($E$2:$E884)&lt;9,"",(MAX($C$876:$C$884)+MIN($D$876:$D$884))/2)</f>
        <v>0</v>
      </c>
      <c r="AV884">
        <f>IF(COUNT($E$2:$E884)&lt;26,"",(MAX($C$859:$C$884)+MIN($D$859:$D$884))/2)</f>
        <v>0</v>
      </c>
      <c r="AW884">
        <f>IF(OR(AU884="",AV884=""),"",(AU884+AV884)/2)</f>
        <v>0</v>
      </c>
      <c r="AX884">
        <f>IF(COUNT($E$2:$E884)&lt;52,"",(MAX($C$833:$C$884)+MIN($D$833:$D$884))/2)</f>
        <v>0</v>
      </c>
      <c r="AY884">
        <f>IF(COUNT($E$2:$E884)&lt;20,"",MAX($C$785:$C$884))</f>
        <v>0</v>
      </c>
      <c r="AZ884">
        <f>IF(COUNT($E$2:$E884)&lt;20,"",MIN($D$785:$D$884))</f>
        <v>0</v>
      </c>
      <c r="BA884">
        <f>IF(COUNT($E$2:$E884)&lt;20,"",SLOPE($E$785:$E$884,$F$785:$F$884))</f>
        <v>0</v>
      </c>
      <c r="BB884">
        <f>IF(COUNT($E$2:$E884)&lt;20,"",INTERCEPT($E$785:$E$884,$F$785:$F$884))</f>
        <v>0</v>
      </c>
      <c r="BC884">
        <f>IF(OR(BA884="",BB884=""),"",BB884+BA884*F884)</f>
        <v>0</v>
      </c>
      <c r="BD884">
        <f>IF(COUNT($E$2:$E884)&lt;20,"",STEYX($E$785:$E$884,$F$785:$F$884))</f>
        <v>0</v>
      </c>
      <c r="BE884">
        <f>IF($E884="","",IF(AND(COUNT($E$885:$E$888)&gt;=4,$C884=MAX($C$880:$C$888)),$C884,""))</f>
        <v>0</v>
      </c>
      <c r="BF884">
        <f>IF($E884="","",IF(AND(COUNT($E$885:$E$888)&gt;=4,$D884=MIN($D$880:$D$888)),$D884,""))</f>
        <v>0</v>
      </c>
      <c r="BG884">
        <f>IF($A884="","",$A884-WEEKDAY($A884,2)+1)</f>
        <v>0</v>
      </c>
      <c r="BH884">
        <f>IF($A884="","",IF($A883="",1,IF(BG884&lt;&gt;BG883,1,0)))</f>
        <v>0</v>
      </c>
      <c r="BI884">
        <f>IF($A884="","",IF($A885="",1,IF(BG885&lt;&gt;BG884,1,0)))</f>
        <v>0</v>
      </c>
      <c r="BJ884">
        <f>IF($A884="","",IF(BH884=1,$B884,BJ883))</f>
        <v>0</v>
      </c>
      <c r="BK884">
        <f>IF($A884="","",IF(BH884=1,$C884,MAX($C884,BK883)))</f>
        <v>0</v>
      </c>
      <c r="BL884">
        <f>IF($A884="","",IF(BH884=1,$D884,MIN($D884,BL883)))</f>
        <v>0</v>
      </c>
      <c r="BM884">
        <f>IF($A884="","",IF(BI884=1,F884,""))</f>
        <v>0</v>
      </c>
      <c r="BN884">
        <f>IF($A884="","",DATE(YEAR($A884),MONTH($A884),1))</f>
        <v>0</v>
      </c>
      <c r="BO884">
        <f>IF($A884="","",IF($A883="",1,IF(BN884&lt;&gt;BN883,1,0)))</f>
        <v>0</v>
      </c>
      <c r="BP884">
        <f>IF($A884="","",IF($A885="",1,IF(BN885&lt;&gt;BN884,1,0)))</f>
        <v>0</v>
      </c>
      <c r="BQ884">
        <f>IF($A884="","",IF(BO884=1,$B884,BQ883))</f>
        <v>0</v>
      </c>
      <c r="BR884">
        <f>IF($A884="","",IF(BO884=1,$C884,MAX($C884,BR883)))</f>
        <v>0</v>
      </c>
      <c r="BS884">
        <f>IF($A884="","",IF(BO884=1,$D884,MIN($D884,BS883)))</f>
        <v>0</v>
      </c>
      <c r="BT884">
        <f>IF($A884="","",IF(BP884=1,F884,""))</f>
        <v>0</v>
      </c>
    </row>
    <row r="885" spans="1:72">
      <c r="A885" s="27">
        <f>IF(Data!$A885="","",Data!$A885)</f>
        <v>0</v>
      </c>
      <c r="B885">
        <f>IF(Data!$B885="","",Data!$B885)</f>
        <v>0</v>
      </c>
      <c r="C885">
        <f>IF(Data!$C885="","",Data!$C885)</f>
        <v>0</v>
      </c>
      <c r="D885">
        <f>IF(Data!$D885="","",Data!$D885)</f>
        <v>0</v>
      </c>
      <c r="E885">
        <f>IF(Data!$E885="","",Data!$E885)</f>
        <v>0</v>
      </c>
      <c r="F885">
        <f>IF($E885="","",N(F884)+1)</f>
        <v>0</v>
      </c>
      <c r="G885">
        <f>IF(OR($E885="",$E884=""),"",LN($E885/$E884))</f>
        <v>0</v>
      </c>
      <c r="H885">
        <f>IF($E885="","",IF($E884="",$E885,$E885*0.0952380952+H884*0.9047619048))</f>
        <v>0</v>
      </c>
      <c r="I885">
        <f>IF($E885="","",IF($E884="",$E885,$E885*0.0392156863+I884*0.9607843137))</f>
        <v>0</v>
      </c>
      <c r="J885">
        <f>IF($E885="","",IF($E884="",$E885,$E885*0.0198019802+J884*0.9801980198))</f>
        <v>0</v>
      </c>
      <c r="K885">
        <f>IF($E885="","",IF($E884="",$E885,$E885*0.0099502488+K884*0.9900497512))</f>
        <v>0</v>
      </c>
      <c r="L885">
        <f>IF(OR($E885="",$E884=""),"",MAX($E885-$E884,0))</f>
        <v>0</v>
      </c>
      <c r="M885">
        <f>IF(OR($E885="",$E884=""),"",MAX($E884-$E885,0))</f>
        <v>0</v>
      </c>
      <c r="N885">
        <f>IF(COUNT($E$2:$E885)&lt;15,"",IF(AVERAGE($M$872:$M$885)=0,100,100-100/(1+AVERAGE($L$872:$L$885)/AVERAGE($M$872:$M$885))))</f>
        <v>0</v>
      </c>
      <c r="O885">
        <f>IF($E885="","",IF($E884="",$E885,$E885*0.1538461538+O884*0.8461538462))</f>
        <v>0</v>
      </c>
      <c r="P885">
        <f>IF($E885="","",IF($E884="",$E885,$E885*0.0740740741+P884*0.9259259259))</f>
        <v>0</v>
      </c>
      <c r="Q885">
        <f>IF(OR(O885="",P885=""),"",O885-P885)</f>
        <v>0</v>
      </c>
      <c r="R885">
        <f>IF(Q885="","",IF(R884="",Q885,Q885*0.2000000000+R884*0.8000000000))</f>
        <v>0</v>
      </c>
      <c r="S885">
        <f>IF(OR(Q885="",R885=""),"",Q885-R885)</f>
        <v>0</v>
      </c>
      <c r="T885">
        <f>IF(COUNT($E$2:$E885)&lt;14,"",MAX($C$872:$C$885))</f>
        <v>0</v>
      </c>
      <c r="U885">
        <f>IF(COUNT($E$2:$E885)&lt;14,"",MIN($D$872:$D$885))</f>
        <v>0</v>
      </c>
      <c r="V885">
        <f>IF(OR(T885="",U885="",T885=U885),"",100*($E885-U885)/(T885-U885))</f>
        <v>0</v>
      </c>
      <c r="W885">
        <f>IF(COUNT($V$883:$V$885)&lt;3,"",AVERAGE($V$883:$V$885))</f>
        <v>0</v>
      </c>
      <c r="X885">
        <f>IF(COUNT($N$872:$N$885)&lt;14,"",MIN($N$872:$N$885))</f>
        <v>0</v>
      </c>
      <c r="Y885">
        <f>IF(COUNT($N$872:$N$885)&lt;14,"",MAX($N$872:$N$885))</f>
        <v>0</v>
      </c>
      <c r="Z885">
        <f>IF(OR(N885="",X885="",Y885="",Y885=X885),"",100*(N885-X885)/(Y885-X885))</f>
        <v>0</v>
      </c>
      <c r="AA885">
        <f>IF(COUNT($Z$883:$Z$885)&lt;3,"",AVERAGE($Z$883:$Z$885))</f>
        <v>0</v>
      </c>
      <c r="AB885">
        <f>IF(COUNT($AA$883:$AA$885)&lt;3,"",AVERAGE($AA$883:$AA$885))</f>
        <v>0</v>
      </c>
      <c r="AC885">
        <f>IF($E885="","",MAX($C885-$D885,ABS($C885-$E884),ABS($D885-$E884)))</f>
        <v>0</v>
      </c>
      <c r="AD885">
        <f>IF(COUNT($E$2:$E885)&lt;15,"",AVERAGE($AC$872:$AC$885))</f>
        <v>0</v>
      </c>
      <c r="AE885">
        <f>IF(OR($E885="",$E884=""),"",IF(AND(($C885-$C884)&gt;($D884-$D885),($C885-$C884)&gt;0),$C885-$C884,0))</f>
        <v>0</v>
      </c>
      <c r="AF885">
        <f>IF(OR($E885="",$E884=""),"",IF(AND(($D884-$D885)&gt;($C885-$C884),($D884-$D885)&gt;0),$D884-$D885,0))</f>
        <v>0</v>
      </c>
      <c r="AG885">
        <f>IF(COUNT($E$2:$E885)&lt;15,"",IF(SUM($AC$872:$AC$885)=0,0,100*SUM($AE$872:$AE$885)/SUM($AC$872:$AC$885)))</f>
        <v>0</v>
      </c>
      <c r="AH885">
        <f>IF(COUNT($E$2:$E885)&lt;15,"",IF(SUM($AC$872:$AC$885)=0,0,100*SUM($AF$872:$AF$885)/SUM($AC$872:$AC$885)))</f>
        <v>0</v>
      </c>
      <c r="AI885">
        <f>IF(OR(AG885="",AH885=""),"",IF((AG885+AH885)=0,0,100*ABS(AG885-AH885)/(AG885+AH885)))</f>
        <v>0</v>
      </c>
      <c r="AJ885">
        <f>IF(COUNT($AI$872:$AI$885)&lt;14,"",AVERAGE($AI$872:$AI$885))</f>
        <v>0</v>
      </c>
      <c r="AK885">
        <f>IF(COUNT($E$2:$E885)&lt;20,"",AVERAGE($E$866:$E$885))</f>
        <v>0</v>
      </c>
      <c r="AL885">
        <f>IF(COUNT($E$2:$E885)&lt;20,"",STDEVP($E$866:$E$885))</f>
        <v>0</v>
      </c>
      <c r="AM885">
        <f>IF(AK885="","",AK885+2*AL885)</f>
        <v>0</v>
      </c>
      <c r="AN885">
        <f>IF(AK885="","",AK885-2*AL885)</f>
        <v>0</v>
      </c>
      <c r="AO885">
        <f>IF(OR(AM885="",AN885="",AM885=AN885),"",($E885-AN885)/(AM885-AN885))</f>
        <v>0</v>
      </c>
      <c r="AP885">
        <f>IF(OR(AM885="",AK885="",AK885=0),"",(AM885-AN885)/AK885)</f>
        <v>0</v>
      </c>
      <c r="AQ885">
        <f>IF(COUNT($E$2:$E885)&lt;20,"",MAX($C$866:$C$885))</f>
        <v>0</v>
      </c>
      <c r="AR885">
        <f>IF(COUNT($E$2:$E885)&lt;20,"",MIN($D$866:$D$885))</f>
        <v>0</v>
      </c>
      <c r="AS885">
        <f>IF(OR(AQ885="",AR885=""),"",(AQ885+AR885)/2)</f>
        <v>0</v>
      </c>
      <c r="AT885">
        <f>IF(COUNT($G$866:$G$885)&lt;20,"",STDEV($G$866:$G$885)*SQRT(252))</f>
        <v>0</v>
      </c>
      <c r="AU885">
        <f>IF(COUNT($E$2:$E885)&lt;9,"",(MAX($C$877:$C$885)+MIN($D$877:$D$885))/2)</f>
        <v>0</v>
      </c>
      <c r="AV885">
        <f>IF(COUNT($E$2:$E885)&lt;26,"",(MAX($C$860:$C$885)+MIN($D$860:$D$885))/2)</f>
        <v>0</v>
      </c>
      <c r="AW885">
        <f>IF(OR(AU885="",AV885=""),"",(AU885+AV885)/2)</f>
        <v>0</v>
      </c>
      <c r="AX885">
        <f>IF(COUNT($E$2:$E885)&lt;52,"",(MAX($C$834:$C$885)+MIN($D$834:$D$885))/2)</f>
        <v>0</v>
      </c>
      <c r="AY885">
        <f>IF(COUNT($E$2:$E885)&lt;20,"",MAX($C$786:$C$885))</f>
        <v>0</v>
      </c>
      <c r="AZ885">
        <f>IF(COUNT($E$2:$E885)&lt;20,"",MIN($D$786:$D$885))</f>
        <v>0</v>
      </c>
      <c r="BA885">
        <f>IF(COUNT($E$2:$E885)&lt;20,"",SLOPE($E$786:$E$885,$F$786:$F$885))</f>
        <v>0</v>
      </c>
      <c r="BB885">
        <f>IF(COUNT($E$2:$E885)&lt;20,"",INTERCEPT($E$786:$E$885,$F$786:$F$885))</f>
        <v>0</v>
      </c>
      <c r="BC885">
        <f>IF(OR(BA885="",BB885=""),"",BB885+BA885*F885)</f>
        <v>0</v>
      </c>
      <c r="BD885">
        <f>IF(COUNT($E$2:$E885)&lt;20,"",STEYX($E$786:$E$885,$F$786:$F$885))</f>
        <v>0</v>
      </c>
      <c r="BE885">
        <f>IF($E885="","",IF(AND(COUNT($E$886:$E$889)&gt;=4,$C885=MAX($C$881:$C$889)),$C885,""))</f>
        <v>0</v>
      </c>
      <c r="BF885">
        <f>IF($E885="","",IF(AND(COUNT($E$886:$E$889)&gt;=4,$D885=MIN($D$881:$D$889)),$D885,""))</f>
        <v>0</v>
      </c>
      <c r="BG885">
        <f>IF($A885="","",$A885-WEEKDAY($A885,2)+1)</f>
        <v>0</v>
      </c>
      <c r="BH885">
        <f>IF($A885="","",IF($A884="",1,IF(BG885&lt;&gt;BG884,1,0)))</f>
        <v>0</v>
      </c>
      <c r="BI885">
        <f>IF($A885="","",IF($A886="",1,IF(BG886&lt;&gt;BG885,1,0)))</f>
        <v>0</v>
      </c>
      <c r="BJ885">
        <f>IF($A885="","",IF(BH885=1,$B885,BJ884))</f>
        <v>0</v>
      </c>
      <c r="BK885">
        <f>IF($A885="","",IF(BH885=1,$C885,MAX($C885,BK884)))</f>
        <v>0</v>
      </c>
      <c r="BL885">
        <f>IF($A885="","",IF(BH885=1,$D885,MIN($D885,BL884)))</f>
        <v>0</v>
      </c>
      <c r="BM885">
        <f>IF($A885="","",IF(BI885=1,F885,""))</f>
        <v>0</v>
      </c>
      <c r="BN885">
        <f>IF($A885="","",DATE(YEAR($A885),MONTH($A885),1))</f>
        <v>0</v>
      </c>
      <c r="BO885">
        <f>IF($A885="","",IF($A884="",1,IF(BN885&lt;&gt;BN884,1,0)))</f>
        <v>0</v>
      </c>
      <c r="BP885">
        <f>IF($A885="","",IF($A886="",1,IF(BN886&lt;&gt;BN885,1,0)))</f>
        <v>0</v>
      </c>
      <c r="BQ885">
        <f>IF($A885="","",IF(BO885=1,$B885,BQ884))</f>
        <v>0</v>
      </c>
      <c r="BR885">
        <f>IF($A885="","",IF(BO885=1,$C885,MAX($C885,BR884)))</f>
        <v>0</v>
      </c>
      <c r="BS885">
        <f>IF($A885="","",IF(BO885=1,$D885,MIN($D885,BS884)))</f>
        <v>0</v>
      </c>
      <c r="BT885">
        <f>IF($A885="","",IF(BP885=1,F885,""))</f>
        <v>0</v>
      </c>
    </row>
    <row r="886" spans="1:72">
      <c r="A886" s="27">
        <f>IF(Data!$A886="","",Data!$A886)</f>
        <v>0</v>
      </c>
      <c r="B886">
        <f>IF(Data!$B886="","",Data!$B886)</f>
        <v>0</v>
      </c>
      <c r="C886">
        <f>IF(Data!$C886="","",Data!$C886)</f>
        <v>0</v>
      </c>
      <c r="D886">
        <f>IF(Data!$D886="","",Data!$D886)</f>
        <v>0</v>
      </c>
      <c r="E886">
        <f>IF(Data!$E886="","",Data!$E886)</f>
        <v>0</v>
      </c>
      <c r="F886">
        <f>IF($E886="","",N(F885)+1)</f>
        <v>0</v>
      </c>
      <c r="G886">
        <f>IF(OR($E886="",$E885=""),"",LN($E886/$E885))</f>
        <v>0</v>
      </c>
      <c r="H886">
        <f>IF($E886="","",IF($E885="",$E886,$E886*0.0952380952+H885*0.9047619048))</f>
        <v>0</v>
      </c>
      <c r="I886">
        <f>IF($E886="","",IF($E885="",$E886,$E886*0.0392156863+I885*0.9607843137))</f>
        <v>0</v>
      </c>
      <c r="J886">
        <f>IF($E886="","",IF($E885="",$E886,$E886*0.0198019802+J885*0.9801980198))</f>
        <v>0</v>
      </c>
      <c r="K886">
        <f>IF($E886="","",IF($E885="",$E886,$E886*0.0099502488+K885*0.9900497512))</f>
        <v>0</v>
      </c>
      <c r="L886">
        <f>IF(OR($E886="",$E885=""),"",MAX($E886-$E885,0))</f>
        <v>0</v>
      </c>
      <c r="M886">
        <f>IF(OR($E886="",$E885=""),"",MAX($E885-$E886,0))</f>
        <v>0</v>
      </c>
      <c r="N886">
        <f>IF(COUNT($E$2:$E886)&lt;15,"",IF(AVERAGE($M$873:$M$886)=0,100,100-100/(1+AVERAGE($L$873:$L$886)/AVERAGE($M$873:$M$886))))</f>
        <v>0</v>
      </c>
      <c r="O886">
        <f>IF($E886="","",IF($E885="",$E886,$E886*0.1538461538+O885*0.8461538462))</f>
        <v>0</v>
      </c>
      <c r="P886">
        <f>IF($E886="","",IF($E885="",$E886,$E886*0.0740740741+P885*0.9259259259))</f>
        <v>0</v>
      </c>
      <c r="Q886">
        <f>IF(OR(O886="",P886=""),"",O886-P886)</f>
        <v>0</v>
      </c>
      <c r="R886">
        <f>IF(Q886="","",IF(R885="",Q886,Q886*0.2000000000+R885*0.8000000000))</f>
        <v>0</v>
      </c>
      <c r="S886">
        <f>IF(OR(Q886="",R886=""),"",Q886-R886)</f>
        <v>0</v>
      </c>
      <c r="T886">
        <f>IF(COUNT($E$2:$E886)&lt;14,"",MAX($C$873:$C$886))</f>
        <v>0</v>
      </c>
      <c r="U886">
        <f>IF(COUNT($E$2:$E886)&lt;14,"",MIN($D$873:$D$886))</f>
        <v>0</v>
      </c>
      <c r="V886">
        <f>IF(OR(T886="",U886="",T886=U886),"",100*($E886-U886)/(T886-U886))</f>
        <v>0</v>
      </c>
      <c r="W886">
        <f>IF(COUNT($V$884:$V$886)&lt;3,"",AVERAGE($V$884:$V$886))</f>
        <v>0</v>
      </c>
      <c r="X886">
        <f>IF(COUNT($N$873:$N$886)&lt;14,"",MIN($N$873:$N$886))</f>
        <v>0</v>
      </c>
      <c r="Y886">
        <f>IF(COUNT($N$873:$N$886)&lt;14,"",MAX($N$873:$N$886))</f>
        <v>0</v>
      </c>
      <c r="Z886">
        <f>IF(OR(N886="",X886="",Y886="",Y886=X886),"",100*(N886-X886)/(Y886-X886))</f>
        <v>0</v>
      </c>
      <c r="AA886">
        <f>IF(COUNT($Z$884:$Z$886)&lt;3,"",AVERAGE($Z$884:$Z$886))</f>
        <v>0</v>
      </c>
      <c r="AB886">
        <f>IF(COUNT($AA$884:$AA$886)&lt;3,"",AVERAGE($AA$884:$AA$886))</f>
        <v>0</v>
      </c>
      <c r="AC886">
        <f>IF($E886="","",MAX($C886-$D886,ABS($C886-$E885),ABS($D886-$E885)))</f>
        <v>0</v>
      </c>
      <c r="AD886">
        <f>IF(COUNT($E$2:$E886)&lt;15,"",AVERAGE($AC$873:$AC$886))</f>
        <v>0</v>
      </c>
      <c r="AE886">
        <f>IF(OR($E886="",$E885=""),"",IF(AND(($C886-$C885)&gt;($D885-$D886),($C886-$C885)&gt;0),$C886-$C885,0))</f>
        <v>0</v>
      </c>
      <c r="AF886">
        <f>IF(OR($E886="",$E885=""),"",IF(AND(($D885-$D886)&gt;($C886-$C885),($D885-$D886)&gt;0),$D885-$D886,0))</f>
        <v>0</v>
      </c>
      <c r="AG886">
        <f>IF(COUNT($E$2:$E886)&lt;15,"",IF(SUM($AC$873:$AC$886)=0,0,100*SUM($AE$873:$AE$886)/SUM($AC$873:$AC$886)))</f>
        <v>0</v>
      </c>
      <c r="AH886">
        <f>IF(COUNT($E$2:$E886)&lt;15,"",IF(SUM($AC$873:$AC$886)=0,0,100*SUM($AF$873:$AF$886)/SUM($AC$873:$AC$886)))</f>
        <v>0</v>
      </c>
      <c r="AI886">
        <f>IF(OR(AG886="",AH886=""),"",IF((AG886+AH886)=0,0,100*ABS(AG886-AH886)/(AG886+AH886)))</f>
        <v>0</v>
      </c>
      <c r="AJ886">
        <f>IF(COUNT($AI$873:$AI$886)&lt;14,"",AVERAGE($AI$873:$AI$886))</f>
        <v>0</v>
      </c>
      <c r="AK886">
        <f>IF(COUNT($E$2:$E886)&lt;20,"",AVERAGE($E$867:$E$886))</f>
        <v>0</v>
      </c>
      <c r="AL886">
        <f>IF(COUNT($E$2:$E886)&lt;20,"",STDEVP($E$867:$E$886))</f>
        <v>0</v>
      </c>
      <c r="AM886">
        <f>IF(AK886="","",AK886+2*AL886)</f>
        <v>0</v>
      </c>
      <c r="AN886">
        <f>IF(AK886="","",AK886-2*AL886)</f>
        <v>0</v>
      </c>
      <c r="AO886">
        <f>IF(OR(AM886="",AN886="",AM886=AN886),"",($E886-AN886)/(AM886-AN886))</f>
        <v>0</v>
      </c>
      <c r="AP886">
        <f>IF(OR(AM886="",AK886="",AK886=0),"",(AM886-AN886)/AK886)</f>
        <v>0</v>
      </c>
      <c r="AQ886">
        <f>IF(COUNT($E$2:$E886)&lt;20,"",MAX($C$867:$C$886))</f>
        <v>0</v>
      </c>
      <c r="AR886">
        <f>IF(COUNT($E$2:$E886)&lt;20,"",MIN($D$867:$D$886))</f>
        <v>0</v>
      </c>
      <c r="AS886">
        <f>IF(OR(AQ886="",AR886=""),"",(AQ886+AR886)/2)</f>
        <v>0</v>
      </c>
      <c r="AT886">
        <f>IF(COUNT($G$867:$G$886)&lt;20,"",STDEV($G$867:$G$886)*SQRT(252))</f>
        <v>0</v>
      </c>
      <c r="AU886">
        <f>IF(COUNT($E$2:$E886)&lt;9,"",(MAX($C$878:$C$886)+MIN($D$878:$D$886))/2)</f>
        <v>0</v>
      </c>
      <c r="AV886">
        <f>IF(COUNT($E$2:$E886)&lt;26,"",(MAX($C$861:$C$886)+MIN($D$861:$D$886))/2)</f>
        <v>0</v>
      </c>
      <c r="AW886">
        <f>IF(OR(AU886="",AV886=""),"",(AU886+AV886)/2)</f>
        <v>0</v>
      </c>
      <c r="AX886">
        <f>IF(COUNT($E$2:$E886)&lt;52,"",(MAX($C$835:$C$886)+MIN($D$835:$D$886))/2)</f>
        <v>0</v>
      </c>
      <c r="AY886">
        <f>IF(COUNT($E$2:$E886)&lt;20,"",MAX($C$787:$C$886))</f>
        <v>0</v>
      </c>
      <c r="AZ886">
        <f>IF(COUNT($E$2:$E886)&lt;20,"",MIN($D$787:$D$886))</f>
        <v>0</v>
      </c>
      <c r="BA886">
        <f>IF(COUNT($E$2:$E886)&lt;20,"",SLOPE($E$787:$E$886,$F$787:$F$886))</f>
        <v>0</v>
      </c>
      <c r="BB886">
        <f>IF(COUNT($E$2:$E886)&lt;20,"",INTERCEPT($E$787:$E$886,$F$787:$F$886))</f>
        <v>0</v>
      </c>
      <c r="BC886">
        <f>IF(OR(BA886="",BB886=""),"",BB886+BA886*F886)</f>
        <v>0</v>
      </c>
      <c r="BD886">
        <f>IF(COUNT($E$2:$E886)&lt;20,"",STEYX($E$787:$E$886,$F$787:$F$886))</f>
        <v>0</v>
      </c>
      <c r="BE886">
        <f>IF($E886="","",IF(AND(COUNT($E$887:$E$890)&gt;=4,$C886=MAX($C$882:$C$890)),$C886,""))</f>
        <v>0</v>
      </c>
      <c r="BF886">
        <f>IF($E886="","",IF(AND(COUNT($E$887:$E$890)&gt;=4,$D886=MIN($D$882:$D$890)),$D886,""))</f>
        <v>0</v>
      </c>
      <c r="BG886">
        <f>IF($A886="","",$A886-WEEKDAY($A886,2)+1)</f>
        <v>0</v>
      </c>
      <c r="BH886">
        <f>IF($A886="","",IF($A885="",1,IF(BG886&lt;&gt;BG885,1,0)))</f>
        <v>0</v>
      </c>
      <c r="BI886">
        <f>IF($A886="","",IF($A887="",1,IF(BG887&lt;&gt;BG886,1,0)))</f>
        <v>0</v>
      </c>
      <c r="BJ886">
        <f>IF($A886="","",IF(BH886=1,$B886,BJ885))</f>
        <v>0</v>
      </c>
      <c r="BK886">
        <f>IF($A886="","",IF(BH886=1,$C886,MAX($C886,BK885)))</f>
        <v>0</v>
      </c>
      <c r="BL886">
        <f>IF($A886="","",IF(BH886=1,$D886,MIN($D886,BL885)))</f>
        <v>0</v>
      </c>
      <c r="BM886">
        <f>IF($A886="","",IF(BI886=1,F886,""))</f>
        <v>0</v>
      </c>
      <c r="BN886">
        <f>IF($A886="","",DATE(YEAR($A886),MONTH($A886),1))</f>
        <v>0</v>
      </c>
      <c r="BO886">
        <f>IF($A886="","",IF($A885="",1,IF(BN886&lt;&gt;BN885,1,0)))</f>
        <v>0</v>
      </c>
      <c r="BP886">
        <f>IF($A886="","",IF($A887="",1,IF(BN887&lt;&gt;BN886,1,0)))</f>
        <v>0</v>
      </c>
      <c r="BQ886">
        <f>IF($A886="","",IF(BO886=1,$B886,BQ885))</f>
        <v>0</v>
      </c>
      <c r="BR886">
        <f>IF($A886="","",IF(BO886=1,$C886,MAX($C886,BR885)))</f>
        <v>0</v>
      </c>
      <c r="BS886">
        <f>IF($A886="","",IF(BO886=1,$D886,MIN($D886,BS885)))</f>
        <v>0</v>
      </c>
      <c r="BT886">
        <f>IF($A886="","",IF(BP886=1,F886,""))</f>
        <v>0</v>
      </c>
    </row>
    <row r="887" spans="1:72">
      <c r="A887" s="27">
        <f>IF(Data!$A887="","",Data!$A887)</f>
        <v>0</v>
      </c>
      <c r="B887">
        <f>IF(Data!$B887="","",Data!$B887)</f>
        <v>0</v>
      </c>
      <c r="C887">
        <f>IF(Data!$C887="","",Data!$C887)</f>
        <v>0</v>
      </c>
      <c r="D887">
        <f>IF(Data!$D887="","",Data!$D887)</f>
        <v>0</v>
      </c>
      <c r="E887">
        <f>IF(Data!$E887="","",Data!$E887)</f>
        <v>0</v>
      </c>
      <c r="F887">
        <f>IF($E887="","",N(F886)+1)</f>
        <v>0</v>
      </c>
      <c r="G887">
        <f>IF(OR($E887="",$E886=""),"",LN($E887/$E886))</f>
        <v>0</v>
      </c>
      <c r="H887">
        <f>IF($E887="","",IF($E886="",$E887,$E887*0.0952380952+H886*0.9047619048))</f>
        <v>0</v>
      </c>
      <c r="I887">
        <f>IF($E887="","",IF($E886="",$E887,$E887*0.0392156863+I886*0.9607843137))</f>
        <v>0</v>
      </c>
      <c r="J887">
        <f>IF($E887="","",IF($E886="",$E887,$E887*0.0198019802+J886*0.9801980198))</f>
        <v>0</v>
      </c>
      <c r="K887">
        <f>IF($E887="","",IF($E886="",$E887,$E887*0.0099502488+K886*0.9900497512))</f>
        <v>0</v>
      </c>
      <c r="L887">
        <f>IF(OR($E887="",$E886=""),"",MAX($E887-$E886,0))</f>
        <v>0</v>
      </c>
      <c r="M887">
        <f>IF(OR($E887="",$E886=""),"",MAX($E886-$E887,0))</f>
        <v>0</v>
      </c>
      <c r="N887">
        <f>IF(COUNT($E$2:$E887)&lt;15,"",IF(AVERAGE($M$874:$M$887)=0,100,100-100/(1+AVERAGE($L$874:$L$887)/AVERAGE($M$874:$M$887))))</f>
        <v>0</v>
      </c>
      <c r="O887">
        <f>IF($E887="","",IF($E886="",$E887,$E887*0.1538461538+O886*0.8461538462))</f>
        <v>0</v>
      </c>
      <c r="P887">
        <f>IF($E887="","",IF($E886="",$E887,$E887*0.0740740741+P886*0.9259259259))</f>
        <v>0</v>
      </c>
      <c r="Q887">
        <f>IF(OR(O887="",P887=""),"",O887-P887)</f>
        <v>0</v>
      </c>
      <c r="R887">
        <f>IF(Q887="","",IF(R886="",Q887,Q887*0.2000000000+R886*0.8000000000))</f>
        <v>0</v>
      </c>
      <c r="S887">
        <f>IF(OR(Q887="",R887=""),"",Q887-R887)</f>
        <v>0</v>
      </c>
      <c r="T887">
        <f>IF(COUNT($E$2:$E887)&lt;14,"",MAX($C$874:$C$887))</f>
        <v>0</v>
      </c>
      <c r="U887">
        <f>IF(COUNT($E$2:$E887)&lt;14,"",MIN($D$874:$D$887))</f>
        <v>0</v>
      </c>
      <c r="V887">
        <f>IF(OR(T887="",U887="",T887=U887),"",100*($E887-U887)/(T887-U887))</f>
        <v>0</v>
      </c>
      <c r="W887">
        <f>IF(COUNT($V$885:$V$887)&lt;3,"",AVERAGE($V$885:$V$887))</f>
        <v>0</v>
      </c>
      <c r="X887">
        <f>IF(COUNT($N$874:$N$887)&lt;14,"",MIN($N$874:$N$887))</f>
        <v>0</v>
      </c>
      <c r="Y887">
        <f>IF(COUNT($N$874:$N$887)&lt;14,"",MAX($N$874:$N$887))</f>
        <v>0</v>
      </c>
      <c r="Z887">
        <f>IF(OR(N887="",X887="",Y887="",Y887=X887),"",100*(N887-X887)/(Y887-X887))</f>
        <v>0</v>
      </c>
      <c r="AA887">
        <f>IF(COUNT($Z$885:$Z$887)&lt;3,"",AVERAGE($Z$885:$Z$887))</f>
        <v>0</v>
      </c>
      <c r="AB887">
        <f>IF(COUNT($AA$885:$AA$887)&lt;3,"",AVERAGE($AA$885:$AA$887))</f>
        <v>0</v>
      </c>
      <c r="AC887">
        <f>IF($E887="","",MAX($C887-$D887,ABS($C887-$E886),ABS($D887-$E886)))</f>
        <v>0</v>
      </c>
      <c r="AD887">
        <f>IF(COUNT($E$2:$E887)&lt;15,"",AVERAGE($AC$874:$AC$887))</f>
        <v>0</v>
      </c>
      <c r="AE887">
        <f>IF(OR($E887="",$E886=""),"",IF(AND(($C887-$C886)&gt;($D886-$D887),($C887-$C886)&gt;0),$C887-$C886,0))</f>
        <v>0</v>
      </c>
      <c r="AF887">
        <f>IF(OR($E887="",$E886=""),"",IF(AND(($D886-$D887)&gt;($C887-$C886),($D886-$D887)&gt;0),$D886-$D887,0))</f>
        <v>0</v>
      </c>
      <c r="AG887">
        <f>IF(COUNT($E$2:$E887)&lt;15,"",IF(SUM($AC$874:$AC$887)=0,0,100*SUM($AE$874:$AE$887)/SUM($AC$874:$AC$887)))</f>
        <v>0</v>
      </c>
      <c r="AH887">
        <f>IF(COUNT($E$2:$E887)&lt;15,"",IF(SUM($AC$874:$AC$887)=0,0,100*SUM($AF$874:$AF$887)/SUM($AC$874:$AC$887)))</f>
        <v>0</v>
      </c>
      <c r="AI887">
        <f>IF(OR(AG887="",AH887=""),"",IF((AG887+AH887)=0,0,100*ABS(AG887-AH887)/(AG887+AH887)))</f>
        <v>0</v>
      </c>
      <c r="AJ887">
        <f>IF(COUNT($AI$874:$AI$887)&lt;14,"",AVERAGE($AI$874:$AI$887))</f>
        <v>0</v>
      </c>
      <c r="AK887">
        <f>IF(COUNT($E$2:$E887)&lt;20,"",AVERAGE($E$868:$E$887))</f>
        <v>0</v>
      </c>
      <c r="AL887">
        <f>IF(COUNT($E$2:$E887)&lt;20,"",STDEVP($E$868:$E$887))</f>
        <v>0</v>
      </c>
      <c r="AM887">
        <f>IF(AK887="","",AK887+2*AL887)</f>
        <v>0</v>
      </c>
      <c r="AN887">
        <f>IF(AK887="","",AK887-2*AL887)</f>
        <v>0</v>
      </c>
      <c r="AO887">
        <f>IF(OR(AM887="",AN887="",AM887=AN887),"",($E887-AN887)/(AM887-AN887))</f>
        <v>0</v>
      </c>
      <c r="AP887">
        <f>IF(OR(AM887="",AK887="",AK887=0),"",(AM887-AN887)/AK887)</f>
        <v>0</v>
      </c>
      <c r="AQ887">
        <f>IF(COUNT($E$2:$E887)&lt;20,"",MAX($C$868:$C$887))</f>
        <v>0</v>
      </c>
      <c r="AR887">
        <f>IF(COUNT($E$2:$E887)&lt;20,"",MIN($D$868:$D$887))</f>
        <v>0</v>
      </c>
      <c r="AS887">
        <f>IF(OR(AQ887="",AR887=""),"",(AQ887+AR887)/2)</f>
        <v>0</v>
      </c>
      <c r="AT887">
        <f>IF(COUNT($G$868:$G$887)&lt;20,"",STDEV($G$868:$G$887)*SQRT(252))</f>
        <v>0</v>
      </c>
      <c r="AU887">
        <f>IF(COUNT($E$2:$E887)&lt;9,"",(MAX($C$879:$C$887)+MIN($D$879:$D$887))/2)</f>
        <v>0</v>
      </c>
      <c r="AV887">
        <f>IF(COUNT($E$2:$E887)&lt;26,"",(MAX($C$862:$C$887)+MIN($D$862:$D$887))/2)</f>
        <v>0</v>
      </c>
      <c r="AW887">
        <f>IF(OR(AU887="",AV887=""),"",(AU887+AV887)/2)</f>
        <v>0</v>
      </c>
      <c r="AX887">
        <f>IF(COUNT($E$2:$E887)&lt;52,"",(MAX($C$836:$C$887)+MIN($D$836:$D$887))/2)</f>
        <v>0</v>
      </c>
      <c r="AY887">
        <f>IF(COUNT($E$2:$E887)&lt;20,"",MAX($C$788:$C$887))</f>
        <v>0</v>
      </c>
      <c r="AZ887">
        <f>IF(COUNT($E$2:$E887)&lt;20,"",MIN($D$788:$D$887))</f>
        <v>0</v>
      </c>
      <c r="BA887">
        <f>IF(COUNT($E$2:$E887)&lt;20,"",SLOPE($E$788:$E$887,$F$788:$F$887))</f>
        <v>0</v>
      </c>
      <c r="BB887">
        <f>IF(COUNT($E$2:$E887)&lt;20,"",INTERCEPT($E$788:$E$887,$F$788:$F$887))</f>
        <v>0</v>
      </c>
      <c r="BC887">
        <f>IF(OR(BA887="",BB887=""),"",BB887+BA887*F887)</f>
        <v>0</v>
      </c>
      <c r="BD887">
        <f>IF(COUNT($E$2:$E887)&lt;20,"",STEYX($E$788:$E$887,$F$788:$F$887))</f>
        <v>0</v>
      </c>
      <c r="BE887">
        <f>IF($E887="","",IF(AND(COUNT($E$888:$E$891)&gt;=4,$C887=MAX($C$883:$C$891)),$C887,""))</f>
        <v>0</v>
      </c>
      <c r="BF887">
        <f>IF($E887="","",IF(AND(COUNT($E$888:$E$891)&gt;=4,$D887=MIN($D$883:$D$891)),$D887,""))</f>
        <v>0</v>
      </c>
      <c r="BG887">
        <f>IF($A887="","",$A887-WEEKDAY($A887,2)+1)</f>
        <v>0</v>
      </c>
      <c r="BH887">
        <f>IF($A887="","",IF($A886="",1,IF(BG887&lt;&gt;BG886,1,0)))</f>
        <v>0</v>
      </c>
      <c r="BI887">
        <f>IF($A887="","",IF($A888="",1,IF(BG888&lt;&gt;BG887,1,0)))</f>
        <v>0</v>
      </c>
      <c r="BJ887">
        <f>IF($A887="","",IF(BH887=1,$B887,BJ886))</f>
        <v>0</v>
      </c>
      <c r="BK887">
        <f>IF($A887="","",IF(BH887=1,$C887,MAX($C887,BK886)))</f>
        <v>0</v>
      </c>
      <c r="BL887">
        <f>IF($A887="","",IF(BH887=1,$D887,MIN($D887,BL886)))</f>
        <v>0</v>
      </c>
      <c r="BM887">
        <f>IF($A887="","",IF(BI887=1,F887,""))</f>
        <v>0</v>
      </c>
      <c r="BN887">
        <f>IF($A887="","",DATE(YEAR($A887),MONTH($A887),1))</f>
        <v>0</v>
      </c>
      <c r="BO887">
        <f>IF($A887="","",IF($A886="",1,IF(BN887&lt;&gt;BN886,1,0)))</f>
        <v>0</v>
      </c>
      <c r="BP887">
        <f>IF($A887="","",IF($A888="",1,IF(BN888&lt;&gt;BN887,1,0)))</f>
        <v>0</v>
      </c>
      <c r="BQ887">
        <f>IF($A887="","",IF(BO887=1,$B887,BQ886))</f>
        <v>0</v>
      </c>
      <c r="BR887">
        <f>IF($A887="","",IF(BO887=1,$C887,MAX($C887,BR886)))</f>
        <v>0</v>
      </c>
      <c r="BS887">
        <f>IF($A887="","",IF(BO887=1,$D887,MIN($D887,BS886)))</f>
        <v>0</v>
      </c>
      <c r="BT887">
        <f>IF($A887="","",IF(BP887=1,F887,""))</f>
        <v>0</v>
      </c>
    </row>
    <row r="888" spans="1:72">
      <c r="A888" s="27">
        <f>IF(Data!$A888="","",Data!$A888)</f>
        <v>0</v>
      </c>
      <c r="B888">
        <f>IF(Data!$B888="","",Data!$B888)</f>
        <v>0</v>
      </c>
      <c r="C888">
        <f>IF(Data!$C888="","",Data!$C888)</f>
        <v>0</v>
      </c>
      <c r="D888">
        <f>IF(Data!$D888="","",Data!$D888)</f>
        <v>0</v>
      </c>
      <c r="E888">
        <f>IF(Data!$E888="","",Data!$E888)</f>
        <v>0</v>
      </c>
      <c r="F888">
        <f>IF($E888="","",N(F887)+1)</f>
        <v>0</v>
      </c>
      <c r="G888">
        <f>IF(OR($E888="",$E887=""),"",LN($E888/$E887))</f>
        <v>0</v>
      </c>
      <c r="H888">
        <f>IF($E888="","",IF($E887="",$E888,$E888*0.0952380952+H887*0.9047619048))</f>
        <v>0</v>
      </c>
      <c r="I888">
        <f>IF($E888="","",IF($E887="",$E888,$E888*0.0392156863+I887*0.9607843137))</f>
        <v>0</v>
      </c>
      <c r="J888">
        <f>IF($E888="","",IF($E887="",$E888,$E888*0.0198019802+J887*0.9801980198))</f>
        <v>0</v>
      </c>
      <c r="K888">
        <f>IF($E888="","",IF($E887="",$E888,$E888*0.0099502488+K887*0.9900497512))</f>
        <v>0</v>
      </c>
      <c r="L888">
        <f>IF(OR($E888="",$E887=""),"",MAX($E888-$E887,0))</f>
        <v>0</v>
      </c>
      <c r="M888">
        <f>IF(OR($E888="",$E887=""),"",MAX($E887-$E888,0))</f>
        <v>0</v>
      </c>
      <c r="N888">
        <f>IF(COUNT($E$2:$E888)&lt;15,"",IF(AVERAGE($M$875:$M$888)=0,100,100-100/(1+AVERAGE($L$875:$L$888)/AVERAGE($M$875:$M$888))))</f>
        <v>0</v>
      </c>
      <c r="O888">
        <f>IF($E888="","",IF($E887="",$E888,$E888*0.1538461538+O887*0.8461538462))</f>
        <v>0</v>
      </c>
      <c r="P888">
        <f>IF($E888="","",IF($E887="",$E888,$E888*0.0740740741+P887*0.9259259259))</f>
        <v>0</v>
      </c>
      <c r="Q888">
        <f>IF(OR(O888="",P888=""),"",O888-P888)</f>
        <v>0</v>
      </c>
      <c r="R888">
        <f>IF(Q888="","",IF(R887="",Q888,Q888*0.2000000000+R887*0.8000000000))</f>
        <v>0</v>
      </c>
      <c r="S888">
        <f>IF(OR(Q888="",R888=""),"",Q888-R888)</f>
        <v>0</v>
      </c>
      <c r="T888">
        <f>IF(COUNT($E$2:$E888)&lt;14,"",MAX($C$875:$C$888))</f>
        <v>0</v>
      </c>
      <c r="U888">
        <f>IF(COUNT($E$2:$E888)&lt;14,"",MIN($D$875:$D$888))</f>
        <v>0</v>
      </c>
      <c r="V888">
        <f>IF(OR(T888="",U888="",T888=U888),"",100*($E888-U888)/(T888-U888))</f>
        <v>0</v>
      </c>
      <c r="W888">
        <f>IF(COUNT($V$886:$V$888)&lt;3,"",AVERAGE($V$886:$V$888))</f>
        <v>0</v>
      </c>
      <c r="X888">
        <f>IF(COUNT($N$875:$N$888)&lt;14,"",MIN($N$875:$N$888))</f>
        <v>0</v>
      </c>
      <c r="Y888">
        <f>IF(COUNT($N$875:$N$888)&lt;14,"",MAX($N$875:$N$888))</f>
        <v>0</v>
      </c>
      <c r="Z888">
        <f>IF(OR(N888="",X888="",Y888="",Y888=X888),"",100*(N888-X888)/(Y888-X888))</f>
        <v>0</v>
      </c>
      <c r="AA888">
        <f>IF(COUNT($Z$886:$Z$888)&lt;3,"",AVERAGE($Z$886:$Z$888))</f>
        <v>0</v>
      </c>
      <c r="AB888">
        <f>IF(COUNT($AA$886:$AA$888)&lt;3,"",AVERAGE($AA$886:$AA$888))</f>
        <v>0</v>
      </c>
      <c r="AC888">
        <f>IF($E888="","",MAX($C888-$D888,ABS($C888-$E887),ABS($D888-$E887)))</f>
        <v>0</v>
      </c>
      <c r="AD888">
        <f>IF(COUNT($E$2:$E888)&lt;15,"",AVERAGE($AC$875:$AC$888))</f>
        <v>0</v>
      </c>
      <c r="AE888">
        <f>IF(OR($E888="",$E887=""),"",IF(AND(($C888-$C887)&gt;($D887-$D888),($C888-$C887)&gt;0),$C888-$C887,0))</f>
        <v>0</v>
      </c>
      <c r="AF888">
        <f>IF(OR($E888="",$E887=""),"",IF(AND(($D887-$D888)&gt;($C888-$C887),($D887-$D888)&gt;0),$D887-$D888,0))</f>
        <v>0</v>
      </c>
      <c r="AG888">
        <f>IF(COUNT($E$2:$E888)&lt;15,"",IF(SUM($AC$875:$AC$888)=0,0,100*SUM($AE$875:$AE$888)/SUM($AC$875:$AC$888)))</f>
        <v>0</v>
      </c>
      <c r="AH888">
        <f>IF(COUNT($E$2:$E888)&lt;15,"",IF(SUM($AC$875:$AC$888)=0,0,100*SUM($AF$875:$AF$888)/SUM($AC$875:$AC$888)))</f>
        <v>0</v>
      </c>
      <c r="AI888">
        <f>IF(OR(AG888="",AH888=""),"",IF((AG888+AH888)=0,0,100*ABS(AG888-AH888)/(AG888+AH888)))</f>
        <v>0</v>
      </c>
      <c r="AJ888">
        <f>IF(COUNT($AI$875:$AI$888)&lt;14,"",AVERAGE($AI$875:$AI$888))</f>
        <v>0</v>
      </c>
      <c r="AK888">
        <f>IF(COUNT($E$2:$E888)&lt;20,"",AVERAGE($E$869:$E$888))</f>
        <v>0</v>
      </c>
      <c r="AL888">
        <f>IF(COUNT($E$2:$E888)&lt;20,"",STDEVP($E$869:$E$888))</f>
        <v>0</v>
      </c>
      <c r="AM888">
        <f>IF(AK888="","",AK888+2*AL888)</f>
        <v>0</v>
      </c>
      <c r="AN888">
        <f>IF(AK888="","",AK888-2*AL888)</f>
        <v>0</v>
      </c>
      <c r="AO888">
        <f>IF(OR(AM888="",AN888="",AM888=AN888),"",($E888-AN888)/(AM888-AN888))</f>
        <v>0</v>
      </c>
      <c r="AP888">
        <f>IF(OR(AM888="",AK888="",AK888=0),"",(AM888-AN888)/AK888)</f>
        <v>0</v>
      </c>
      <c r="AQ888">
        <f>IF(COUNT($E$2:$E888)&lt;20,"",MAX($C$869:$C$888))</f>
        <v>0</v>
      </c>
      <c r="AR888">
        <f>IF(COUNT($E$2:$E888)&lt;20,"",MIN($D$869:$D$888))</f>
        <v>0</v>
      </c>
      <c r="AS888">
        <f>IF(OR(AQ888="",AR888=""),"",(AQ888+AR888)/2)</f>
        <v>0</v>
      </c>
      <c r="AT888">
        <f>IF(COUNT($G$869:$G$888)&lt;20,"",STDEV($G$869:$G$888)*SQRT(252))</f>
        <v>0</v>
      </c>
      <c r="AU888">
        <f>IF(COUNT($E$2:$E888)&lt;9,"",(MAX($C$880:$C$888)+MIN($D$880:$D$888))/2)</f>
        <v>0</v>
      </c>
      <c r="AV888">
        <f>IF(COUNT($E$2:$E888)&lt;26,"",(MAX($C$863:$C$888)+MIN($D$863:$D$888))/2)</f>
        <v>0</v>
      </c>
      <c r="AW888">
        <f>IF(OR(AU888="",AV888=""),"",(AU888+AV888)/2)</f>
        <v>0</v>
      </c>
      <c r="AX888">
        <f>IF(COUNT($E$2:$E888)&lt;52,"",(MAX($C$837:$C$888)+MIN($D$837:$D$888))/2)</f>
        <v>0</v>
      </c>
      <c r="AY888">
        <f>IF(COUNT($E$2:$E888)&lt;20,"",MAX($C$789:$C$888))</f>
        <v>0</v>
      </c>
      <c r="AZ888">
        <f>IF(COUNT($E$2:$E888)&lt;20,"",MIN($D$789:$D$888))</f>
        <v>0</v>
      </c>
      <c r="BA888">
        <f>IF(COUNT($E$2:$E888)&lt;20,"",SLOPE($E$789:$E$888,$F$789:$F$888))</f>
        <v>0</v>
      </c>
      <c r="BB888">
        <f>IF(COUNT($E$2:$E888)&lt;20,"",INTERCEPT($E$789:$E$888,$F$789:$F$888))</f>
        <v>0</v>
      </c>
      <c r="BC888">
        <f>IF(OR(BA888="",BB888=""),"",BB888+BA888*F888)</f>
        <v>0</v>
      </c>
      <c r="BD888">
        <f>IF(COUNT($E$2:$E888)&lt;20,"",STEYX($E$789:$E$888,$F$789:$F$888))</f>
        <v>0</v>
      </c>
      <c r="BE888">
        <f>IF($E888="","",IF(AND(COUNT($E$889:$E$892)&gt;=4,$C888=MAX($C$884:$C$892)),$C888,""))</f>
        <v>0</v>
      </c>
      <c r="BF888">
        <f>IF($E888="","",IF(AND(COUNT($E$889:$E$892)&gt;=4,$D888=MIN($D$884:$D$892)),$D888,""))</f>
        <v>0</v>
      </c>
      <c r="BG888">
        <f>IF($A888="","",$A888-WEEKDAY($A888,2)+1)</f>
        <v>0</v>
      </c>
      <c r="BH888">
        <f>IF($A888="","",IF($A887="",1,IF(BG888&lt;&gt;BG887,1,0)))</f>
        <v>0</v>
      </c>
      <c r="BI888">
        <f>IF($A888="","",IF($A889="",1,IF(BG889&lt;&gt;BG888,1,0)))</f>
        <v>0</v>
      </c>
      <c r="BJ888">
        <f>IF($A888="","",IF(BH888=1,$B888,BJ887))</f>
        <v>0</v>
      </c>
      <c r="BK888">
        <f>IF($A888="","",IF(BH888=1,$C888,MAX($C888,BK887)))</f>
        <v>0</v>
      </c>
      <c r="BL888">
        <f>IF($A888="","",IF(BH888=1,$D888,MIN($D888,BL887)))</f>
        <v>0</v>
      </c>
      <c r="BM888">
        <f>IF($A888="","",IF(BI888=1,F888,""))</f>
        <v>0</v>
      </c>
      <c r="BN888">
        <f>IF($A888="","",DATE(YEAR($A888),MONTH($A888),1))</f>
        <v>0</v>
      </c>
      <c r="BO888">
        <f>IF($A888="","",IF($A887="",1,IF(BN888&lt;&gt;BN887,1,0)))</f>
        <v>0</v>
      </c>
      <c r="BP888">
        <f>IF($A888="","",IF($A889="",1,IF(BN889&lt;&gt;BN888,1,0)))</f>
        <v>0</v>
      </c>
      <c r="BQ888">
        <f>IF($A888="","",IF(BO888=1,$B888,BQ887))</f>
        <v>0</v>
      </c>
      <c r="BR888">
        <f>IF($A888="","",IF(BO888=1,$C888,MAX($C888,BR887)))</f>
        <v>0</v>
      </c>
      <c r="BS888">
        <f>IF($A888="","",IF(BO888=1,$D888,MIN($D888,BS887)))</f>
        <v>0</v>
      </c>
      <c r="BT888">
        <f>IF($A888="","",IF(BP888=1,F888,""))</f>
        <v>0</v>
      </c>
    </row>
    <row r="889" spans="1:72">
      <c r="A889" s="27">
        <f>IF(Data!$A889="","",Data!$A889)</f>
        <v>0</v>
      </c>
      <c r="B889">
        <f>IF(Data!$B889="","",Data!$B889)</f>
        <v>0</v>
      </c>
      <c r="C889">
        <f>IF(Data!$C889="","",Data!$C889)</f>
        <v>0</v>
      </c>
      <c r="D889">
        <f>IF(Data!$D889="","",Data!$D889)</f>
        <v>0</v>
      </c>
      <c r="E889">
        <f>IF(Data!$E889="","",Data!$E889)</f>
        <v>0</v>
      </c>
      <c r="F889">
        <f>IF($E889="","",N(F888)+1)</f>
        <v>0</v>
      </c>
      <c r="G889">
        <f>IF(OR($E889="",$E888=""),"",LN($E889/$E888))</f>
        <v>0</v>
      </c>
      <c r="H889">
        <f>IF($E889="","",IF($E888="",$E889,$E889*0.0952380952+H888*0.9047619048))</f>
        <v>0</v>
      </c>
      <c r="I889">
        <f>IF($E889="","",IF($E888="",$E889,$E889*0.0392156863+I888*0.9607843137))</f>
        <v>0</v>
      </c>
      <c r="J889">
        <f>IF($E889="","",IF($E888="",$E889,$E889*0.0198019802+J888*0.9801980198))</f>
        <v>0</v>
      </c>
      <c r="K889">
        <f>IF($E889="","",IF($E888="",$E889,$E889*0.0099502488+K888*0.9900497512))</f>
        <v>0</v>
      </c>
      <c r="L889">
        <f>IF(OR($E889="",$E888=""),"",MAX($E889-$E888,0))</f>
        <v>0</v>
      </c>
      <c r="M889">
        <f>IF(OR($E889="",$E888=""),"",MAX($E888-$E889,0))</f>
        <v>0</v>
      </c>
      <c r="N889">
        <f>IF(COUNT($E$2:$E889)&lt;15,"",IF(AVERAGE($M$876:$M$889)=0,100,100-100/(1+AVERAGE($L$876:$L$889)/AVERAGE($M$876:$M$889))))</f>
        <v>0</v>
      </c>
      <c r="O889">
        <f>IF($E889="","",IF($E888="",$E889,$E889*0.1538461538+O888*0.8461538462))</f>
        <v>0</v>
      </c>
      <c r="P889">
        <f>IF($E889="","",IF($E888="",$E889,$E889*0.0740740741+P888*0.9259259259))</f>
        <v>0</v>
      </c>
      <c r="Q889">
        <f>IF(OR(O889="",P889=""),"",O889-P889)</f>
        <v>0</v>
      </c>
      <c r="R889">
        <f>IF(Q889="","",IF(R888="",Q889,Q889*0.2000000000+R888*0.8000000000))</f>
        <v>0</v>
      </c>
      <c r="S889">
        <f>IF(OR(Q889="",R889=""),"",Q889-R889)</f>
        <v>0</v>
      </c>
      <c r="T889">
        <f>IF(COUNT($E$2:$E889)&lt;14,"",MAX($C$876:$C$889))</f>
        <v>0</v>
      </c>
      <c r="U889">
        <f>IF(COUNT($E$2:$E889)&lt;14,"",MIN($D$876:$D$889))</f>
        <v>0</v>
      </c>
      <c r="V889">
        <f>IF(OR(T889="",U889="",T889=U889),"",100*($E889-U889)/(T889-U889))</f>
        <v>0</v>
      </c>
      <c r="W889">
        <f>IF(COUNT($V$887:$V$889)&lt;3,"",AVERAGE($V$887:$V$889))</f>
        <v>0</v>
      </c>
      <c r="X889">
        <f>IF(COUNT($N$876:$N$889)&lt;14,"",MIN($N$876:$N$889))</f>
        <v>0</v>
      </c>
      <c r="Y889">
        <f>IF(COUNT($N$876:$N$889)&lt;14,"",MAX($N$876:$N$889))</f>
        <v>0</v>
      </c>
      <c r="Z889">
        <f>IF(OR(N889="",X889="",Y889="",Y889=X889),"",100*(N889-X889)/(Y889-X889))</f>
        <v>0</v>
      </c>
      <c r="AA889">
        <f>IF(COUNT($Z$887:$Z$889)&lt;3,"",AVERAGE($Z$887:$Z$889))</f>
        <v>0</v>
      </c>
      <c r="AB889">
        <f>IF(COUNT($AA$887:$AA$889)&lt;3,"",AVERAGE($AA$887:$AA$889))</f>
        <v>0</v>
      </c>
      <c r="AC889">
        <f>IF($E889="","",MAX($C889-$D889,ABS($C889-$E888),ABS($D889-$E888)))</f>
        <v>0</v>
      </c>
      <c r="AD889">
        <f>IF(COUNT($E$2:$E889)&lt;15,"",AVERAGE($AC$876:$AC$889))</f>
        <v>0</v>
      </c>
      <c r="AE889">
        <f>IF(OR($E889="",$E888=""),"",IF(AND(($C889-$C888)&gt;($D888-$D889),($C889-$C888)&gt;0),$C889-$C888,0))</f>
        <v>0</v>
      </c>
      <c r="AF889">
        <f>IF(OR($E889="",$E888=""),"",IF(AND(($D888-$D889)&gt;($C889-$C888),($D888-$D889)&gt;0),$D888-$D889,0))</f>
        <v>0</v>
      </c>
      <c r="AG889">
        <f>IF(COUNT($E$2:$E889)&lt;15,"",IF(SUM($AC$876:$AC$889)=0,0,100*SUM($AE$876:$AE$889)/SUM($AC$876:$AC$889)))</f>
        <v>0</v>
      </c>
      <c r="AH889">
        <f>IF(COUNT($E$2:$E889)&lt;15,"",IF(SUM($AC$876:$AC$889)=0,0,100*SUM($AF$876:$AF$889)/SUM($AC$876:$AC$889)))</f>
        <v>0</v>
      </c>
      <c r="AI889">
        <f>IF(OR(AG889="",AH889=""),"",IF((AG889+AH889)=0,0,100*ABS(AG889-AH889)/(AG889+AH889)))</f>
        <v>0</v>
      </c>
      <c r="AJ889">
        <f>IF(COUNT($AI$876:$AI$889)&lt;14,"",AVERAGE($AI$876:$AI$889))</f>
        <v>0</v>
      </c>
      <c r="AK889">
        <f>IF(COUNT($E$2:$E889)&lt;20,"",AVERAGE($E$870:$E$889))</f>
        <v>0</v>
      </c>
      <c r="AL889">
        <f>IF(COUNT($E$2:$E889)&lt;20,"",STDEVP($E$870:$E$889))</f>
        <v>0</v>
      </c>
      <c r="AM889">
        <f>IF(AK889="","",AK889+2*AL889)</f>
        <v>0</v>
      </c>
      <c r="AN889">
        <f>IF(AK889="","",AK889-2*AL889)</f>
        <v>0</v>
      </c>
      <c r="AO889">
        <f>IF(OR(AM889="",AN889="",AM889=AN889),"",($E889-AN889)/(AM889-AN889))</f>
        <v>0</v>
      </c>
      <c r="AP889">
        <f>IF(OR(AM889="",AK889="",AK889=0),"",(AM889-AN889)/AK889)</f>
        <v>0</v>
      </c>
      <c r="AQ889">
        <f>IF(COUNT($E$2:$E889)&lt;20,"",MAX($C$870:$C$889))</f>
        <v>0</v>
      </c>
      <c r="AR889">
        <f>IF(COUNT($E$2:$E889)&lt;20,"",MIN($D$870:$D$889))</f>
        <v>0</v>
      </c>
      <c r="AS889">
        <f>IF(OR(AQ889="",AR889=""),"",(AQ889+AR889)/2)</f>
        <v>0</v>
      </c>
      <c r="AT889">
        <f>IF(COUNT($G$870:$G$889)&lt;20,"",STDEV($G$870:$G$889)*SQRT(252))</f>
        <v>0</v>
      </c>
      <c r="AU889">
        <f>IF(COUNT($E$2:$E889)&lt;9,"",(MAX($C$881:$C$889)+MIN($D$881:$D$889))/2)</f>
        <v>0</v>
      </c>
      <c r="AV889">
        <f>IF(COUNT($E$2:$E889)&lt;26,"",(MAX($C$864:$C$889)+MIN($D$864:$D$889))/2)</f>
        <v>0</v>
      </c>
      <c r="AW889">
        <f>IF(OR(AU889="",AV889=""),"",(AU889+AV889)/2)</f>
        <v>0</v>
      </c>
      <c r="AX889">
        <f>IF(COUNT($E$2:$E889)&lt;52,"",(MAX($C$838:$C$889)+MIN($D$838:$D$889))/2)</f>
        <v>0</v>
      </c>
      <c r="AY889">
        <f>IF(COUNT($E$2:$E889)&lt;20,"",MAX($C$790:$C$889))</f>
        <v>0</v>
      </c>
      <c r="AZ889">
        <f>IF(COUNT($E$2:$E889)&lt;20,"",MIN($D$790:$D$889))</f>
        <v>0</v>
      </c>
      <c r="BA889">
        <f>IF(COUNT($E$2:$E889)&lt;20,"",SLOPE($E$790:$E$889,$F$790:$F$889))</f>
        <v>0</v>
      </c>
      <c r="BB889">
        <f>IF(COUNT($E$2:$E889)&lt;20,"",INTERCEPT($E$790:$E$889,$F$790:$F$889))</f>
        <v>0</v>
      </c>
      <c r="BC889">
        <f>IF(OR(BA889="",BB889=""),"",BB889+BA889*F889)</f>
        <v>0</v>
      </c>
      <c r="BD889">
        <f>IF(COUNT($E$2:$E889)&lt;20,"",STEYX($E$790:$E$889,$F$790:$F$889))</f>
        <v>0</v>
      </c>
      <c r="BE889">
        <f>IF($E889="","",IF(AND(COUNT($E$890:$E$893)&gt;=4,$C889=MAX($C$885:$C$893)),$C889,""))</f>
        <v>0</v>
      </c>
      <c r="BF889">
        <f>IF($E889="","",IF(AND(COUNT($E$890:$E$893)&gt;=4,$D889=MIN($D$885:$D$893)),$D889,""))</f>
        <v>0</v>
      </c>
      <c r="BG889">
        <f>IF($A889="","",$A889-WEEKDAY($A889,2)+1)</f>
        <v>0</v>
      </c>
      <c r="BH889">
        <f>IF($A889="","",IF($A888="",1,IF(BG889&lt;&gt;BG888,1,0)))</f>
        <v>0</v>
      </c>
      <c r="BI889">
        <f>IF($A889="","",IF($A890="",1,IF(BG890&lt;&gt;BG889,1,0)))</f>
        <v>0</v>
      </c>
      <c r="BJ889">
        <f>IF($A889="","",IF(BH889=1,$B889,BJ888))</f>
        <v>0</v>
      </c>
      <c r="BK889">
        <f>IF($A889="","",IF(BH889=1,$C889,MAX($C889,BK888)))</f>
        <v>0</v>
      </c>
      <c r="BL889">
        <f>IF($A889="","",IF(BH889=1,$D889,MIN($D889,BL888)))</f>
        <v>0</v>
      </c>
      <c r="BM889">
        <f>IF($A889="","",IF(BI889=1,F889,""))</f>
        <v>0</v>
      </c>
      <c r="BN889">
        <f>IF($A889="","",DATE(YEAR($A889),MONTH($A889),1))</f>
        <v>0</v>
      </c>
      <c r="BO889">
        <f>IF($A889="","",IF($A888="",1,IF(BN889&lt;&gt;BN888,1,0)))</f>
        <v>0</v>
      </c>
      <c r="BP889">
        <f>IF($A889="","",IF($A890="",1,IF(BN890&lt;&gt;BN889,1,0)))</f>
        <v>0</v>
      </c>
      <c r="BQ889">
        <f>IF($A889="","",IF(BO889=1,$B889,BQ888))</f>
        <v>0</v>
      </c>
      <c r="BR889">
        <f>IF($A889="","",IF(BO889=1,$C889,MAX($C889,BR888)))</f>
        <v>0</v>
      </c>
      <c r="BS889">
        <f>IF($A889="","",IF(BO889=1,$D889,MIN($D889,BS888)))</f>
        <v>0</v>
      </c>
      <c r="BT889">
        <f>IF($A889="","",IF(BP889=1,F889,""))</f>
        <v>0</v>
      </c>
    </row>
    <row r="890" spans="1:72">
      <c r="A890" s="27">
        <f>IF(Data!$A890="","",Data!$A890)</f>
        <v>0</v>
      </c>
      <c r="B890">
        <f>IF(Data!$B890="","",Data!$B890)</f>
        <v>0</v>
      </c>
      <c r="C890">
        <f>IF(Data!$C890="","",Data!$C890)</f>
        <v>0</v>
      </c>
      <c r="D890">
        <f>IF(Data!$D890="","",Data!$D890)</f>
        <v>0</v>
      </c>
      <c r="E890">
        <f>IF(Data!$E890="","",Data!$E890)</f>
        <v>0</v>
      </c>
      <c r="F890">
        <f>IF($E890="","",N(F889)+1)</f>
        <v>0</v>
      </c>
      <c r="G890">
        <f>IF(OR($E890="",$E889=""),"",LN($E890/$E889))</f>
        <v>0</v>
      </c>
      <c r="H890">
        <f>IF($E890="","",IF($E889="",$E890,$E890*0.0952380952+H889*0.9047619048))</f>
        <v>0</v>
      </c>
      <c r="I890">
        <f>IF($E890="","",IF($E889="",$E890,$E890*0.0392156863+I889*0.9607843137))</f>
        <v>0</v>
      </c>
      <c r="J890">
        <f>IF($E890="","",IF($E889="",$E890,$E890*0.0198019802+J889*0.9801980198))</f>
        <v>0</v>
      </c>
      <c r="K890">
        <f>IF($E890="","",IF($E889="",$E890,$E890*0.0099502488+K889*0.9900497512))</f>
        <v>0</v>
      </c>
      <c r="L890">
        <f>IF(OR($E890="",$E889=""),"",MAX($E890-$E889,0))</f>
        <v>0</v>
      </c>
      <c r="M890">
        <f>IF(OR($E890="",$E889=""),"",MAX($E889-$E890,0))</f>
        <v>0</v>
      </c>
      <c r="N890">
        <f>IF(COUNT($E$2:$E890)&lt;15,"",IF(AVERAGE($M$877:$M$890)=0,100,100-100/(1+AVERAGE($L$877:$L$890)/AVERAGE($M$877:$M$890))))</f>
        <v>0</v>
      </c>
      <c r="O890">
        <f>IF($E890="","",IF($E889="",$E890,$E890*0.1538461538+O889*0.8461538462))</f>
        <v>0</v>
      </c>
      <c r="P890">
        <f>IF($E890="","",IF($E889="",$E890,$E890*0.0740740741+P889*0.9259259259))</f>
        <v>0</v>
      </c>
      <c r="Q890">
        <f>IF(OR(O890="",P890=""),"",O890-P890)</f>
        <v>0</v>
      </c>
      <c r="R890">
        <f>IF(Q890="","",IF(R889="",Q890,Q890*0.2000000000+R889*0.8000000000))</f>
        <v>0</v>
      </c>
      <c r="S890">
        <f>IF(OR(Q890="",R890=""),"",Q890-R890)</f>
        <v>0</v>
      </c>
      <c r="T890">
        <f>IF(COUNT($E$2:$E890)&lt;14,"",MAX($C$877:$C$890))</f>
        <v>0</v>
      </c>
      <c r="U890">
        <f>IF(COUNT($E$2:$E890)&lt;14,"",MIN($D$877:$D$890))</f>
        <v>0</v>
      </c>
      <c r="V890">
        <f>IF(OR(T890="",U890="",T890=U890),"",100*($E890-U890)/(T890-U890))</f>
        <v>0</v>
      </c>
      <c r="W890">
        <f>IF(COUNT($V$888:$V$890)&lt;3,"",AVERAGE($V$888:$V$890))</f>
        <v>0</v>
      </c>
      <c r="X890">
        <f>IF(COUNT($N$877:$N$890)&lt;14,"",MIN($N$877:$N$890))</f>
        <v>0</v>
      </c>
      <c r="Y890">
        <f>IF(COUNT($N$877:$N$890)&lt;14,"",MAX($N$877:$N$890))</f>
        <v>0</v>
      </c>
      <c r="Z890">
        <f>IF(OR(N890="",X890="",Y890="",Y890=X890),"",100*(N890-X890)/(Y890-X890))</f>
        <v>0</v>
      </c>
      <c r="AA890">
        <f>IF(COUNT($Z$888:$Z$890)&lt;3,"",AVERAGE($Z$888:$Z$890))</f>
        <v>0</v>
      </c>
      <c r="AB890">
        <f>IF(COUNT($AA$888:$AA$890)&lt;3,"",AVERAGE($AA$888:$AA$890))</f>
        <v>0</v>
      </c>
      <c r="AC890">
        <f>IF($E890="","",MAX($C890-$D890,ABS($C890-$E889),ABS($D890-$E889)))</f>
        <v>0</v>
      </c>
      <c r="AD890">
        <f>IF(COUNT($E$2:$E890)&lt;15,"",AVERAGE($AC$877:$AC$890))</f>
        <v>0</v>
      </c>
      <c r="AE890">
        <f>IF(OR($E890="",$E889=""),"",IF(AND(($C890-$C889)&gt;($D889-$D890),($C890-$C889)&gt;0),$C890-$C889,0))</f>
        <v>0</v>
      </c>
      <c r="AF890">
        <f>IF(OR($E890="",$E889=""),"",IF(AND(($D889-$D890)&gt;($C890-$C889),($D889-$D890)&gt;0),$D889-$D890,0))</f>
        <v>0</v>
      </c>
      <c r="AG890">
        <f>IF(COUNT($E$2:$E890)&lt;15,"",IF(SUM($AC$877:$AC$890)=0,0,100*SUM($AE$877:$AE$890)/SUM($AC$877:$AC$890)))</f>
        <v>0</v>
      </c>
      <c r="AH890">
        <f>IF(COUNT($E$2:$E890)&lt;15,"",IF(SUM($AC$877:$AC$890)=0,0,100*SUM($AF$877:$AF$890)/SUM($AC$877:$AC$890)))</f>
        <v>0</v>
      </c>
      <c r="AI890">
        <f>IF(OR(AG890="",AH890=""),"",IF((AG890+AH890)=0,0,100*ABS(AG890-AH890)/(AG890+AH890)))</f>
        <v>0</v>
      </c>
      <c r="AJ890">
        <f>IF(COUNT($AI$877:$AI$890)&lt;14,"",AVERAGE($AI$877:$AI$890))</f>
        <v>0</v>
      </c>
      <c r="AK890">
        <f>IF(COUNT($E$2:$E890)&lt;20,"",AVERAGE($E$871:$E$890))</f>
        <v>0</v>
      </c>
      <c r="AL890">
        <f>IF(COUNT($E$2:$E890)&lt;20,"",STDEVP($E$871:$E$890))</f>
        <v>0</v>
      </c>
      <c r="AM890">
        <f>IF(AK890="","",AK890+2*AL890)</f>
        <v>0</v>
      </c>
      <c r="AN890">
        <f>IF(AK890="","",AK890-2*AL890)</f>
        <v>0</v>
      </c>
      <c r="AO890">
        <f>IF(OR(AM890="",AN890="",AM890=AN890),"",($E890-AN890)/(AM890-AN890))</f>
        <v>0</v>
      </c>
      <c r="AP890">
        <f>IF(OR(AM890="",AK890="",AK890=0),"",(AM890-AN890)/AK890)</f>
        <v>0</v>
      </c>
      <c r="AQ890">
        <f>IF(COUNT($E$2:$E890)&lt;20,"",MAX($C$871:$C$890))</f>
        <v>0</v>
      </c>
      <c r="AR890">
        <f>IF(COUNT($E$2:$E890)&lt;20,"",MIN($D$871:$D$890))</f>
        <v>0</v>
      </c>
      <c r="AS890">
        <f>IF(OR(AQ890="",AR890=""),"",(AQ890+AR890)/2)</f>
        <v>0</v>
      </c>
      <c r="AT890">
        <f>IF(COUNT($G$871:$G$890)&lt;20,"",STDEV($G$871:$G$890)*SQRT(252))</f>
        <v>0</v>
      </c>
      <c r="AU890">
        <f>IF(COUNT($E$2:$E890)&lt;9,"",(MAX($C$882:$C$890)+MIN($D$882:$D$890))/2)</f>
        <v>0</v>
      </c>
      <c r="AV890">
        <f>IF(COUNT($E$2:$E890)&lt;26,"",(MAX($C$865:$C$890)+MIN($D$865:$D$890))/2)</f>
        <v>0</v>
      </c>
      <c r="AW890">
        <f>IF(OR(AU890="",AV890=""),"",(AU890+AV890)/2)</f>
        <v>0</v>
      </c>
      <c r="AX890">
        <f>IF(COUNT($E$2:$E890)&lt;52,"",(MAX($C$839:$C$890)+MIN($D$839:$D$890))/2)</f>
        <v>0</v>
      </c>
      <c r="AY890">
        <f>IF(COUNT($E$2:$E890)&lt;20,"",MAX($C$791:$C$890))</f>
        <v>0</v>
      </c>
      <c r="AZ890">
        <f>IF(COUNT($E$2:$E890)&lt;20,"",MIN($D$791:$D$890))</f>
        <v>0</v>
      </c>
      <c r="BA890">
        <f>IF(COUNT($E$2:$E890)&lt;20,"",SLOPE($E$791:$E$890,$F$791:$F$890))</f>
        <v>0</v>
      </c>
      <c r="BB890">
        <f>IF(COUNT($E$2:$E890)&lt;20,"",INTERCEPT($E$791:$E$890,$F$791:$F$890))</f>
        <v>0</v>
      </c>
      <c r="BC890">
        <f>IF(OR(BA890="",BB890=""),"",BB890+BA890*F890)</f>
        <v>0</v>
      </c>
      <c r="BD890">
        <f>IF(COUNT($E$2:$E890)&lt;20,"",STEYX($E$791:$E$890,$F$791:$F$890))</f>
        <v>0</v>
      </c>
      <c r="BE890">
        <f>IF($E890="","",IF(AND(COUNT($E$891:$E$894)&gt;=4,$C890=MAX($C$886:$C$894)),$C890,""))</f>
        <v>0</v>
      </c>
      <c r="BF890">
        <f>IF($E890="","",IF(AND(COUNT($E$891:$E$894)&gt;=4,$D890=MIN($D$886:$D$894)),$D890,""))</f>
        <v>0</v>
      </c>
      <c r="BG890">
        <f>IF($A890="","",$A890-WEEKDAY($A890,2)+1)</f>
        <v>0</v>
      </c>
      <c r="BH890">
        <f>IF($A890="","",IF($A889="",1,IF(BG890&lt;&gt;BG889,1,0)))</f>
        <v>0</v>
      </c>
      <c r="BI890">
        <f>IF($A890="","",IF($A891="",1,IF(BG891&lt;&gt;BG890,1,0)))</f>
        <v>0</v>
      </c>
      <c r="BJ890">
        <f>IF($A890="","",IF(BH890=1,$B890,BJ889))</f>
        <v>0</v>
      </c>
      <c r="BK890">
        <f>IF($A890="","",IF(BH890=1,$C890,MAX($C890,BK889)))</f>
        <v>0</v>
      </c>
      <c r="BL890">
        <f>IF($A890="","",IF(BH890=1,$D890,MIN($D890,BL889)))</f>
        <v>0</v>
      </c>
      <c r="BM890">
        <f>IF($A890="","",IF(BI890=1,F890,""))</f>
        <v>0</v>
      </c>
      <c r="BN890">
        <f>IF($A890="","",DATE(YEAR($A890),MONTH($A890),1))</f>
        <v>0</v>
      </c>
      <c r="BO890">
        <f>IF($A890="","",IF($A889="",1,IF(BN890&lt;&gt;BN889,1,0)))</f>
        <v>0</v>
      </c>
      <c r="BP890">
        <f>IF($A890="","",IF($A891="",1,IF(BN891&lt;&gt;BN890,1,0)))</f>
        <v>0</v>
      </c>
      <c r="BQ890">
        <f>IF($A890="","",IF(BO890=1,$B890,BQ889))</f>
        <v>0</v>
      </c>
      <c r="BR890">
        <f>IF($A890="","",IF(BO890=1,$C890,MAX($C890,BR889)))</f>
        <v>0</v>
      </c>
      <c r="BS890">
        <f>IF($A890="","",IF(BO890=1,$D890,MIN($D890,BS889)))</f>
        <v>0</v>
      </c>
      <c r="BT890">
        <f>IF($A890="","",IF(BP890=1,F890,""))</f>
        <v>0</v>
      </c>
    </row>
    <row r="891" spans="1:72">
      <c r="A891" s="27">
        <f>IF(Data!$A891="","",Data!$A891)</f>
        <v>0</v>
      </c>
      <c r="B891">
        <f>IF(Data!$B891="","",Data!$B891)</f>
        <v>0</v>
      </c>
      <c r="C891">
        <f>IF(Data!$C891="","",Data!$C891)</f>
        <v>0</v>
      </c>
      <c r="D891">
        <f>IF(Data!$D891="","",Data!$D891)</f>
        <v>0</v>
      </c>
      <c r="E891">
        <f>IF(Data!$E891="","",Data!$E891)</f>
        <v>0</v>
      </c>
      <c r="F891">
        <f>IF($E891="","",N(F890)+1)</f>
        <v>0</v>
      </c>
      <c r="G891">
        <f>IF(OR($E891="",$E890=""),"",LN($E891/$E890))</f>
        <v>0</v>
      </c>
      <c r="H891">
        <f>IF($E891="","",IF($E890="",$E891,$E891*0.0952380952+H890*0.9047619048))</f>
        <v>0</v>
      </c>
      <c r="I891">
        <f>IF($E891="","",IF($E890="",$E891,$E891*0.0392156863+I890*0.9607843137))</f>
        <v>0</v>
      </c>
      <c r="J891">
        <f>IF($E891="","",IF($E890="",$E891,$E891*0.0198019802+J890*0.9801980198))</f>
        <v>0</v>
      </c>
      <c r="K891">
        <f>IF($E891="","",IF($E890="",$E891,$E891*0.0099502488+K890*0.9900497512))</f>
        <v>0</v>
      </c>
      <c r="L891">
        <f>IF(OR($E891="",$E890=""),"",MAX($E891-$E890,0))</f>
        <v>0</v>
      </c>
      <c r="M891">
        <f>IF(OR($E891="",$E890=""),"",MAX($E890-$E891,0))</f>
        <v>0</v>
      </c>
      <c r="N891">
        <f>IF(COUNT($E$2:$E891)&lt;15,"",IF(AVERAGE($M$878:$M$891)=0,100,100-100/(1+AVERAGE($L$878:$L$891)/AVERAGE($M$878:$M$891))))</f>
        <v>0</v>
      </c>
      <c r="O891">
        <f>IF($E891="","",IF($E890="",$E891,$E891*0.1538461538+O890*0.8461538462))</f>
        <v>0</v>
      </c>
      <c r="P891">
        <f>IF($E891="","",IF($E890="",$E891,$E891*0.0740740741+P890*0.9259259259))</f>
        <v>0</v>
      </c>
      <c r="Q891">
        <f>IF(OR(O891="",P891=""),"",O891-P891)</f>
        <v>0</v>
      </c>
      <c r="R891">
        <f>IF(Q891="","",IF(R890="",Q891,Q891*0.2000000000+R890*0.8000000000))</f>
        <v>0</v>
      </c>
      <c r="S891">
        <f>IF(OR(Q891="",R891=""),"",Q891-R891)</f>
        <v>0</v>
      </c>
      <c r="T891">
        <f>IF(COUNT($E$2:$E891)&lt;14,"",MAX($C$878:$C$891))</f>
        <v>0</v>
      </c>
      <c r="U891">
        <f>IF(COUNT($E$2:$E891)&lt;14,"",MIN($D$878:$D$891))</f>
        <v>0</v>
      </c>
      <c r="V891">
        <f>IF(OR(T891="",U891="",T891=U891),"",100*($E891-U891)/(T891-U891))</f>
        <v>0</v>
      </c>
      <c r="W891">
        <f>IF(COUNT($V$889:$V$891)&lt;3,"",AVERAGE($V$889:$V$891))</f>
        <v>0</v>
      </c>
      <c r="X891">
        <f>IF(COUNT($N$878:$N$891)&lt;14,"",MIN($N$878:$N$891))</f>
        <v>0</v>
      </c>
      <c r="Y891">
        <f>IF(COUNT($N$878:$N$891)&lt;14,"",MAX($N$878:$N$891))</f>
        <v>0</v>
      </c>
      <c r="Z891">
        <f>IF(OR(N891="",X891="",Y891="",Y891=X891),"",100*(N891-X891)/(Y891-X891))</f>
        <v>0</v>
      </c>
      <c r="AA891">
        <f>IF(COUNT($Z$889:$Z$891)&lt;3,"",AVERAGE($Z$889:$Z$891))</f>
        <v>0</v>
      </c>
      <c r="AB891">
        <f>IF(COUNT($AA$889:$AA$891)&lt;3,"",AVERAGE($AA$889:$AA$891))</f>
        <v>0</v>
      </c>
      <c r="AC891">
        <f>IF($E891="","",MAX($C891-$D891,ABS($C891-$E890),ABS($D891-$E890)))</f>
        <v>0</v>
      </c>
      <c r="AD891">
        <f>IF(COUNT($E$2:$E891)&lt;15,"",AVERAGE($AC$878:$AC$891))</f>
        <v>0</v>
      </c>
      <c r="AE891">
        <f>IF(OR($E891="",$E890=""),"",IF(AND(($C891-$C890)&gt;($D890-$D891),($C891-$C890)&gt;0),$C891-$C890,0))</f>
        <v>0</v>
      </c>
      <c r="AF891">
        <f>IF(OR($E891="",$E890=""),"",IF(AND(($D890-$D891)&gt;($C891-$C890),($D890-$D891)&gt;0),$D890-$D891,0))</f>
        <v>0</v>
      </c>
      <c r="AG891">
        <f>IF(COUNT($E$2:$E891)&lt;15,"",IF(SUM($AC$878:$AC$891)=0,0,100*SUM($AE$878:$AE$891)/SUM($AC$878:$AC$891)))</f>
        <v>0</v>
      </c>
      <c r="AH891">
        <f>IF(COUNT($E$2:$E891)&lt;15,"",IF(SUM($AC$878:$AC$891)=0,0,100*SUM($AF$878:$AF$891)/SUM($AC$878:$AC$891)))</f>
        <v>0</v>
      </c>
      <c r="AI891">
        <f>IF(OR(AG891="",AH891=""),"",IF((AG891+AH891)=0,0,100*ABS(AG891-AH891)/(AG891+AH891)))</f>
        <v>0</v>
      </c>
      <c r="AJ891">
        <f>IF(COUNT($AI$878:$AI$891)&lt;14,"",AVERAGE($AI$878:$AI$891))</f>
        <v>0</v>
      </c>
      <c r="AK891">
        <f>IF(COUNT($E$2:$E891)&lt;20,"",AVERAGE($E$872:$E$891))</f>
        <v>0</v>
      </c>
      <c r="AL891">
        <f>IF(COUNT($E$2:$E891)&lt;20,"",STDEVP($E$872:$E$891))</f>
        <v>0</v>
      </c>
      <c r="AM891">
        <f>IF(AK891="","",AK891+2*AL891)</f>
        <v>0</v>
      </c>
      <c r="AN891">
        <f>IF(AK891="","",AK891-2*AL891)</f>
        <v>0</v>
      </c>
      <c r="AO891">
        <f>IF(OR(AM891="",AN891="",AM891=AN891),"",($E891-AN891)/(AM891-AN891))</f>
        <v>0</v>
      </c>
      <c r="AP891">
        <f>IF(OR(AM891="",AK891="",AK891=0),"",(AM891-AN891)/AK891)</f>
        <v>0</v>
      </c>
      <c r="AQ891">
        <f>IF(COUNT($E$2:$E891)&lt;20,"",MAX($C$872:$C$891))</f>
        <v>0</v>
      </c>
      <c r="AR891">
        <f>IF(COUNT($E$2:$E891)&lt;20,"",MIN($D$872:$D$891))</f>
        <v>0</v>
      </c>
      <c r="AS891">
        <f>IF(OR(AQ891="",AR891=""),"",(AQ891+AR891)/2)</f>
        <v>0</v>
      </c>
      <c r="AT891">
        <f>IF(COUNT($G$872:$G$891)&lt;20,"",STDEV($G$872:$G$891)*SQRT(252))</f>
        <v>0</v>
      </c>
      <c r="AU891">
        <f>IF(COUNT($E$2:$E891)&lt;9,"",(MAX($C$883:$C$891)+MIN($D$883:$D$891))/2)</f>
        <v>0</v>
      </c>
      <c r="AV891">
        <f>IF(COUNT($E$2:$E891)&lt;26,"",(MAX($C$866:$C$891)+MIN($D$866:$D$891))/2)</f>
        <v>0</v>
      </c>
      <c r="AW891">
        <f>IF(OR(AU891="",AV891=""),"",(AU891+AV891)/2)</f>
        <v>0</v>
      </c>
      <c r="AX891">
        <f>IF(COUNT($E$2:$E891)&lt;52,"",(MAX($C$840:$C$891)+MIN($D$840:$D$891))/2)</f>
        <v>0</v>
      </c>
      <c r="AY891">
        <f>IF(COUNT($E$2:$E891)&lt;20,"",MAX($C$792:$C$891))</f>
        <v>0</v>
      </c>
      <c r="AZ891">
        <f>IF(COUNT($E$2:$E891)&lt;20,"",MIN($D$792:$D$891))</f>
        <v>0</v>
      </c>
      <c r="BA891">
        <f>IF(COUNT($E$2:$E891)&lt;20,"",SLOPE($E$792:$E$891,$F$792:$F$891))</f>
        <v>0</v>
      </c>
      <c r="BB891">
        <f>IF(COUNT($E$2:$E891)&lt;20,"",INTERCEPT($E$792:$E$891,$F$792:$F$891))</f>
        <v>0</v>
      </c>
      <c r="BC891">
        <f>IF(OR(BA891="",BB891=""),"",BB891+BA891*F891)</f>
        <v>0</v>
      </c>
      <c r="BD891">
        <f>IF(COUNT($E$2:$E891)&lt;20,"",STEYX($E$792:$E$891,$F$792:$F$891))</f>
        <v>0</v>
      </c>
      <c r="BE891">
        <f>IF($E891="","",IF(AND(COUNT($E$892:$E$895)&gt;=4,$C891=MAX($C$887:$C$895)),$C891,""))</f>
        <v>0</v>
      </c>
      <c r="BF891">
        <f>IF($E891="","",IF(AND(COUNT($E$892:$E$895)&gt;=4,$D891=MIN($D$887:$D$895)),$D891,""))</f>
        <v>0</v>
      </c>
      <c r="BG891">
        <f>IF($A891="","",$A891-WEEKDAY($A891,2)+1)</f>
        <v>0</v>
      </c>
      <c r="BH891">
        <f>IF($A891="","",IF($A890="",1,IF(BG891&lt;&gt;BG890,1,0)))</f>
        <v>0</v>
      </c>
      <c r="BI891">
        <f>IF($A891="","",IF($A892="",1,IF(BG892&lt;&gt;BG891,1,0)))</f>
        <v>0</v>
      </c>
      <c r="BJ891">
        <f>IF($A891="","",IF(BH891=1,$B891,BJ890))</f>
        <v>0</v>
      </c>
      <c r="BK891">
        <f>IF($A891="","",IF(BH891=1,$C891,MAX($C891,BK890)))</f>
        <v>0</v>
      </c>
      <c r="BL891">
        <f>IF($A891="","",IF(BH891=1,$D891,MIN($D891,BL890)))</f>
        <v>0</v>
      </c>
      <c r="BM891">
        <f>IF($A891="","",IF(BI891=1,F891,""))</f>
        <v>0</v>
      </c>
      <c r="BN891">
        <f>IF($A891="","",DATE(YEAR($A891),MONTH($A891),1))</f>
        <v>0</v>
      </c>
      <c r="BO891">
        <f>IF($A891="","",IF($A890="",1,IF(BN891&lt;&gt;BN890,1,0)))</f>
        <v>0</v>
      </c>
      <c r="BP891">
        <f>IF($A891="","",IF($A892="",1,IF(BN892&lt;&gt;BN891,1,0)))</f>
        <v>0</v>
      </c>
      <c r="BQ891">
        <f>IF($A891="","",IF(BO891=1,$B891,BQ890))</f>
        <v>0</v>
      </c>
      <c r="BR891">
        <f>IF($A891="","",IF(BO891=1,$C891,MAX($C891,BR890)))</f>
        <v>0</v>
      </c>
      <c r="BS891">
        <f>IF($A891="","",IF(BO891=1,$D891,MIN($D891,BS890)))</f>
        <v>0</v>
      </c>
      <c r="BT891">
        <f>IF($A891="","",IF(BP891=1,F891,""))</f>
        <v>0</v>
      </c>
    </row>
    <row r="892" spans="1:72">
      <c r="A892" s="27">
        <f>IF(Data!$A892="","",Data!$A892)</f>
        <v>0</v>
      </c>
      <c r="B892">
        <f>IF(Data!$B892="","",Data!$B892)</f>
        <v>0</v>
      </c>
      <c r="C892">
        <f>IF(Data!$C892="","",Data!$C892)</f>
        <v>0</v>
      </c>
      <c r="D892">
        <f>IF(Data!$D892="","",Data!$D892)</f>
        <v>0</v>
      </c>
      <c r="E892">
        <f>IF(Data!$E892="","",Data!$E892)</f>
        <v>0</v>
      </c>
      <c r="F892">
        <f>IF($E892="","",N(F891)+1)</f>
        <v>0</v>
      </c>
      <c r="G892">
        <f>IF(OR($E892="",$E891=""),"",LN($E892/$E891))</f>
        <v>0</v>
      </c>
      <c r="H892">
        <f>IF($E892="","",IF($E891="",$E892,$E892*0.0952380952+H891*0.9047619048))</f>
        <v>0</v>
      </c>
      <c r="I892">
        <f>IF($E892="","",IF($E891="",$E892,$E892*0.0392156863+I891*0.9607843137))</f>
        <v>0</v>
      </c>
      <c r="J892">
        <f>IF($E892="","",IF($E891="",$E892,$E892*0.0198019802+J891*0.9801980198))</f>
        <v>0</v>
      </c>
      <c r="K892">
        <f>IF($E892="","",IF($E891="",$E892,$E892*0.0099502488+K891*0.9900497512))</f>
        <v>0</v>
      </c>
      <c r="L892">
        <f>IF(OR($E892="",$E891=""),"",MAX($E892-$E891,0))</f>
        <v>0</v>
      </c>
      <c r="M892">
        <f>IF(OR($E892="",$E891=""),"",MAX($E891-$E892,0))</f>
        <v>0</v>
      </c>
      <c r="N892">
        <f>IF(COUNT($E$2:$E892)&lt;15,"",IF(AVERAGE($M$879:$M$892)=0,100,100-100/(1+AVERAGE($L$879:$L$892)/AVERAGE($M$879:$M$892))))</f>
        <v>0</v>
      </c>
      <c r="O892">
        <f>IF($E892="","",IF($E891="",$E892,$E892*0.1538461538+O891*0.8461538462))</f>
        <v>0</v>
      </c>
      <c r="P892">
        <f>IF($E892="","",IF($E891="",$E892,$E892*0.0740740741+P891*0.9259259259))</f>
        <v>0</v>
      </c>
      <c r="Q892">
        <f>IF(OR(O892="",P892=""),"",O892-P892)</f>
        <v>0</v>
      </c>
      <c r="R892">
        <f>IF(Q892="","",IF(R891="",Q892,Q892*0.2000000000+R891*0.8000000000))</f>
        <v>0</v>
      </c>
      <c r="S892">
        <f>IF(OR(Q892="",R892=""),"",Q892-R892)</f>
        <v>0</v>
      </c>
      <c r="T892">
        <f>IF(COUNT($E$2:$E892)&lt;14,"",MAX($C$879:$C$892))</f>
        <v>0</v>
      </c>
      <c r="U892">
        <f>IF(COUNT($E$2:$E892)&lt;14,"",MIN($D$879:$D$892))</f>
        <v>0</v>
      </c>
      <c r="V892">
        <f>IF(OR(T892="",U892="",T892=U892),"",100*($E892-U892)/(T892-U892))</f>
        <v>0</v>
      </c>
      <c r="W892">
        <f>IF(COUNT($V$890:$V$892)&lt;3,"",AVERAGE($V$890:$V$892))</f>
        <v>0</v>
      </c>
      <c r="X892">
        <f>IF(COUNT($N$879:$N$892)&lt;14,"",MIN($N$879:$N$892))</f>
        <v>0</v>
      </c>
      <c r="Y892">
        <f>IF(COUNT($N$879:$N$892)&lt;14,"",MAX($N$879:$N$892))</f>
        <v>0</v>
      </c>
      <c r="Z892">
        <f>IF(OR(N892="",X892="",Y892="",Y892=X892),"",100*(N892-X892)/(Y892-X892))</f>
        <v>0</v>
      </c>
      <c r="AA892">
        <f>IF(COUNT($Z$890:$Z$892)&lt;3,"",AVERAGE($Z$890:$Z$892))</f>
        <v>0</v>
      </c>
      <c r="AB892">
        <f>IF(COUNT($AA$890:$AA$892)&lt;3,"",AVERAGE($AA$890:$AA$892))</f>
        <v>0</v>
      </c>
      <c r="AC892">
        <f>IF($E892="","",MAX($C892-$D892,ABS($C892-$E891),ABS($D892-$E891)))</f>
        <v>0</v>
      </c>
      <c r="AD892">
        <f>IF(COUNT($E$2:$E892)&lt;15,"",AVERAGE($AC$879:$AC$892))</f>
        <v>0</v>
      </c>
      <c r="AE892">
        <f>IF(OR($E892="",$E891=""),"",IF(AND(($C892-$C891)&gt;($D891-$D892),($C892-$C891)&gt;0),$C892-$C891,0))</f>
        <v>0</v>
      </c>
      <c r="AF892">
        <f>IF(OR($E892="",$E891=""),"",IF(AND(($D891-$D892)&gt;($C892-$C891),($D891-$D892)&gt;0),$D891-$D892,0))</f>
        <v>0</v>
      </c>
      <c r="AG892">
        <f>IF(COUNT($E$2:$E892)&lt;15,"",IF(SUM($AC$879:$AC$892)=0,0,100*SUM($AE$879:$AE$892)/SUM($AC$879:$AC$892)))</f>
        <v>0</v>
      </c>
      <c r="AH892">
        <f>IF(COUNT($E$2:$E892)&lt;15,"",IF(SUM($AC$879:$AC$892)=0,0,100*SUM($AF$879:$AF$892)/SUM($AC$879:$AC$892)))</f>
        <v>0</v>
      </c>
      <c r="AI892">
        <f>IF(OR(AG892="",AH892=""),"",IF((AG892+AH892)=0,0,100*ABS(AG892-AH892)/(AG892+AH892)))</f>
        <v>0</v>
      </c>
      <c r="AJ892">
        <f>IF(COUNT($AI$879:$AI$892)&lt;14,"",AVERAGE($AI$879:$AI$892))</f>
        <v>0</v>
      </c>
      <c r="AK892">
        <f>IF(COUNT($E$2:$E892)&lt;20,"",AVERAGE($E$873:$E$892))</f>
        <v>0</v>
      </c>
      <c r="AL892">
        <f>IF(COUNT($E$2:$E892)&lt;20,"",STDEVP($E$873:$E$892))</f>
        <v>0</v>
      </c>
      <c r="AM892">
        <f>IF(AK892="","",AK892+2*AL892)</f>
        <v>0</v>
      </c>
      <c r="AN892">
        <f>IF(AK892="","",AK892-2*AL892)</f>
        <v>0</v>
      </c>
      <c r="AO892">
        <f>IF(OR(AM892="",AN892="",AM892=AN892),"",($E892-AN892)/(AM892-AN892))</f>
        <v>0</v>
      </c>
      <c r="AP892">
        <f>IF(OR(AM892="",AK892="",AK892=0),"",(AM892-AN892)/AK892)</f>
        <v>0</v>
      </c>
      <c r="AQ892">
        <f>IF(COUNT($E$2:$E892)&lt;20,"",MAX($C$873:$C$892))</f>
        <v>0</v>
      </c>
      <c r="AR892">
        <f>IF(COUNT($E$2:$E892)&lt;20,"",MIN($D$873:$D$892))</f>
        <v>0</v>
      </c>
      <c r="AS892">
        <f>IF(OR(AQ892="",AR892=""),"",(AQ892+AR892)/2)</f>
        <v>0</v>
      </c>
      <c r="AT892">
        <f>IF(COUNT($G$873:$G$892)&lt;20,"",STDEV($G$873:$G$892)*SQRT(252))</f>
        <v>0</v>
      </c>
      <c r="AU892">
        <f>IF(COUNT($E$2:$E892)&lt;9,"",(MAX($C$884:$C$892)+MIN($D$884:$D$892))/2)</f>
        <v>0</v>
      </c>
      <c r="AV892">
        <f>IF(COUNT($E$2:$E892)&lt;26,"",(MAX($C$867:$C$892)+MIN($D$867:$D$892))/2)</f>
        <v>0</v>
      </c>
      <c r="AW892">
        <f>IF(OR(AU892="",AV892=""),"",(AU892+AV892)/2)</f>
        <v>0</v>
      </c>
      <c r="AX892">
        <f>IF(COUNT($E$2:$E892)&lt;52,"",(MAX($C$841:$C$892)+MIN($D$841:$D$892))/2)</f>
        <v>0</v>
      </c>
      <c r="AY892">
        <f>IF(COUNT($E$2:$E892)&lt;20,"",MAX($C$793:$C$892))</f>
        <v>0</v>
      </c>
      <c r="AZ892">
        <f>IF(COUNT($E$2:$E892)&lt;20,"",MIN($D$793:$D$892))</f>
        <v>0</v>
      </c>
      <c r="BA892">
        <f>IF(COUNT($E$2:$E892)&lt;20,"",SLOPE($E$793:$E$892,$F$793:$F$892))</f>
        <v>0</v>
      </c>
      <c r="BB892">
        <f>IF(COUNT($E$2:$E892)&lt;20,"",INTERCEPT($E$793:$E$892,$F$793:$F$892))</f>
        <v>0</v>
      </c>
      <c r="BC892">
        <f>IF(OR(BA892="",BB892=""),"",BB892+BA892*F892)</f>
        <v>0</v>
      </c>
      <c r="BD892">
        <f>IF(COUNT($E$2:$E892)&lt;20,"",STEYX($E$793:$E$892,$F$793:$F$892))</f>
        <v>0</v>
      </c>
      <c r="BE892">
        <f>IF($E892="","",IF(AND(COUNT($E$893:$E$896)&gt;=4,$C892=MAX($C$888:$C$896)),$C892,""))</f>
        <v>0</v>
      </c>
      <c r="BF892">
        <f>IF($E892="","",IF(AND(COUNT($E$893:$E$896)&gt;=4,$D892=MIN($D$888:$D$896)),$D892,""))</f>
        <v>0</v>
      </c>
      <c r="BG892">
        <f>IF($A892="","",$A892-WEEKDAY($A892,2)+1)</f>
        <v>0</v>
      </c>
      <c r="BH892">
        <f>IF($A892="","",IF($A891="",1,IF(BG892&lt;&gt;BG891,1,0)))</f>
        <v>0</v>
      </c>
      <c r="BI892">
        <f>IF($A892="","",IF($A893="",1,IF(BG893&lt;&gt;BG892,1,0)))</f>
        <v>0</v>
      </c>
      <c r="BJ892">
        <f>IF($A892="","",IF(BH892=1,$B892,BJ891))</f>
        <v>0</v>
      </c>
      <c r="BK892">
        <f>IF($A892="","",IF(BH892=1,$C892,MAX($C892,BK891)))</f>
        <v>0</v>
      </c>
      <c r="BL892">
        <f>IF($A892="","",IF(BH892=1,$D892,MIN($D892,BL891)))</f>
        <v>0</v>
      </c>
      <c r="BM892">
        <f>IF($A892="","",IF(BI892=1,F892,""))</f>
        <v>0</v>
      </c>
      <c r="BN892">
        <f>IF($A892="","",DATE(YEAR($A892),MONTH($A892),1))</f>
        <v>0</v>
      </c>
      <c r="BO892">
        <f>IF($A892="","",IF($A891="",1,IF(BN892&lt;&gt;BN891,1,0)))</f>
        <v>0</v>
      </c>
      <c r="BP892">
        <f>IF($A892="","",IF($A893="",1,IF(BN893&lt;&gt;BN892,1,0)))</f>
        <v>0</v>
      </c>
      <c r="BQ892">
        <f>IF($A892="","",IF(BO892=1,$B892,BQ891))</f>
        <v>0</v>
      </c>
      <c r="BR892">
        <f>IF($A892="","",IF(BO892=1,$C892,MAX($C892,BR891)))</f>
        <v>0</v>
      </c>
      <c r="BS892">
        <f>IF($A892="","",IF(BO892=1,$D892,MIN($D892,BS891)))</f>
        <v>0</v>
      </c>
      <c r="BT892">
        <f>IF($A892="","",IF(BP892=1,F892,""))</f>
        <v>0</v>
      </c>
    </row>
    <row r="893" spans="1:72">
      <c r="A893" s="27">
        <f>IF(Data!$A893="","",Data!$A893)</f>
        <v>0</v>
      </c>
      <c r="B893">
        <f>IF(Data!$B893="","",Data!$B893)</f>
        <v>0</v>
      </c>
      <c r="C893">
        <f>IF(Data!$C893="","",Data!$C893)</f>
        <v>0</v>
      </c>
      <c r="D893">
        <f>IF(Data!$D893="","",Data!$D893)</f>
        <v>0</v>
      </c>
      <c r="E893">
        <f>IF(Data!$E893="","",Data!$E893)</f>
        <v>0</v>
      </c>
      <c r="F893">
        <f>IF($E893="","",N(F892)+1)</f>
        <v>0</v>
      </c>
      <c r="G893">
        <f>IF(OR($E893="",$E892=""),"",LN($E893/$E892))</f>
        <v>0</v>
      </c>
      <c r="H893">
        <f>IF($E893="","",IF($E892="",$E893,$E893*0.0952380952+H892*0.9047619048))</f>
        <v>0</v>
      </c>
      <c r="I893">
        <f>IF($E893="","",IF($E892="",$E893,$E893*0.0392156863+I892*0.9607843137))</f>
        <v>0</v>
      </c>
      <c r="J893">
        <f>IF($E893="","",IF($E892="",$E893,$E893*0.0198019802+J892*0.9801980198))</f>
        <v>0</v>
      </c>
      <c r="K893">
        <f>IF($E893="","",IF($E892="",$E893,$E893*0.0099502488+K892*0.9900497512))</f>
        <v>0</v>
      </c>
      <c r="L893">
        <f>IF(OR($E893="",$E892=""),"",MAX($E893-$E892,0))</f>
        <v>0</v>
      </c>
      <c r="M893">
        <f>IF(OR($E893="",$E892=""),"",MAX($E892-$E893,0))</f>
        <v>0</v>
      </c>
      <c r="N893">
        <f>IF(COUNT($E$2:$E893)&lt;15,"",IF(AVERAGE($M$880:$M$893)=0,100,100-100/(1+AVERAGE($L$880:$L$893)/AVERAGE($M$880:$M$893))))</f>
        <v>0</v>
      </c>
      <c r="O893">
        <f>IF($E893="","",IF($E892="",$E893,$E893*0.1538461538+O892*0.8461538462))</f>
        <v>0</v>
      </c>
      <c r="P893">
        <f>IF($E893="","",IF($E892="",$E893,$E893*0.0740740741+P892*0.9259259259))</f>
        <v>0</v>
      </c>
      <c r="Q893">
        <f>IF(OR(O893="",P893=""),"",O893-P893)</f>
        <v>0</v>
      </c>
      <c r="R893">
        <f>IF(Q893="","",IF(R892="",Q893,Q893*0.2000000000+R892*0.8000000000))</f>
        <v>0</v>
      </c>
      <c r="S893">
        <f>IF(OR(Q893="",R893=""),"",Q893-R893)</f>
        <v>0</v>
      </c>
      <c r="T893">
        <f>IF(COUNT($E$2:$E893)&lt;14,"",MAX($C$880:$C$893))</f>
        <v>0</v>
      </c>
      <c r="U893">
        <f>IF(COUNT($E$2:$E893)&lt;14,"",MIN($D$880:$D$893))</f>
        <v>0</v>
      </c>
      <c r="V893">
        <f>IF(OR(T893="",U893="",T893=U893),"",100*($E893-U893)/(T893-U893))</f>
        <v>0</v>
      </c>
      <c r="W893">
        <f>IF(COUNT($V$891:$V$893)&lt;3,"",AVERAGE($V$891:$V$893))</f>
        <v>0</v>
      </c>
      <c r="X893">
        <f>IF(COUNT($N$880:$N$893)&lt;14,"",MIN($N$880:$N$893))</f>
        <v>0</v>
      </c>
      <c r="Y893">
        <f>IF(COUNT($N$880:$N$893)&lt;14,"",MAX($N$880:$N$893))</f>
        <v>0</v>
      </c>
      <c r="Z893">
        <f>IF(OR(N893="",X893="",Y893="",Y893=X893),"",100*(N893-X893)/(Y893-X893))</f>
        <v>0</v>
      </c>
      <c r="AA893">
        <f>IF(COUNT($Z$891:$Z$893)&lt;3,"",AVERAGE($Z$891:$Z$893))</f>
        <v>0</v>
      </c>
      <c r="AB893">
        <f>IF(COUNT($AA$891:$AA$893)&lt;3,"",AVERAGE($AA$891:$AA$893))</f>
        <v>0</v>
      </c>
      <c r="AC893">
        <f>IF($E893="","",MAX($C893-$D893,ABS($C893-$E892),ABS($D893-$E892)))</f>
        <v>0</v>
      </c>
      <c r="AD893">
        <f>IF(COUNT($E$2:$E893)&lt;15,"",AVERAGE($AC$880:$AC$893))</f>
        <v>0</v>
      </c>
      <c r="AE893">
        <f>IF(OR($E893="",$E892=""),"",IF(AND(($C893-$C892)&gt;($D892-$D893),($C893-$C892)&gt;0),$C893-$C892,0))</f>
        <v>0</v>
      </c>
      <c r="AF893">
        <f>IF(OR($E893="",$E892=""),"",IF(AND(($D892-$D893)&gt;($C893-$C892),($D892-$D893)&gt;0),$D892-$D893,0))</f>
        <v>0</v>
      </c>
      <c r="AG893">
        <f>IF(COUNT($E$2:$E893)&lt;15,"",IF(SUM($AC$880:$AC$893)=0,0,100*SUM($AE$880:$AE$893)/SUM($AC$880:$AC$893)))</f>
        <v>0</v>
      </c>
      <c r="AH893">
        <f>IF(COUNT($E$2:$E893)&lt;15,"",IF(SUM($AC$880:$AC$893)=0,0,100*SUM($AF$880:$AF$893)/SUM($AC$880:$AC$893)))</f>
        <v>0</v>
      </c>
      <c r="AI893">
        <f>IF(OR(AG893="",AH893=""),"",IF((AG893+AH893)=0,0,100*ABS(AG893-AH893)/(AG893+AH893)))</f>
        <v>0</v>
      </c>
      <c r="AJ893">
        <f>IF(COUNT($AI$880:$AI$893)&lt;14,"",AVERAGE($AI$880:$AI$893))</f>
        <v>0</v>
      </c>
      <c r="AK893">
        <f>IF(COUNT($E$2:$E893)&lt;20,"",AVERAGE($E$874:$E$893))</f>
        <v>0</v>
      </c>
      <c r="AL893">
        <f>IF(COUNT($E$2:$E893)&lt;20,"",STDEVP($E$874:$E$893))</f>
        <v>0</v>
      </c>
      <c r="AM893">
        <f>IF(AK893="","",AK893+2*AL893)</f>
        <v>0</v>
      </c>
      <c r="AN893">
        <f>IF(AK893="","",AK893-2*AL893)</f>
        <v>0</v>
      </c>
      <c r="AO893">
        <f>IF(OR(AM893="",AN893="",AM893=AN893),"",($E893-AN893)/(AM893-AN893))</f>
        <v>0</v>
      </c>
      <c r="AP893">
        <f>IF(OR(AM893="",AK893="",AK893=0),"",(AM893-AN893)/AK893)</f>
        <v>0</v>
      </c>
      <c r="AQ893">
        <f>IF(COUNT($E$2:$E893)&lt;20,"",MAX($C$874:$C$893))</f>
        <v>0</v>
      </c>
      <c r="AR893">
        <f>IF(COUNT($E$2:$E893)&lt;20,"",MIN($D$874:$D$893))</f>
        <v>0</v>
      </c>
      <c r="AS893">
        <f>IF(OR(AQ893="",AR893=""),"",(AQ893+AR893)/2)</f>
        <v>0</v>
      </c>
      <c r="AT893">
        <f>IF(COUNT($G$874:$G$893)&lt;20,"",STDEV($G$874:$G$893)*SQRT(252))</f>
        <v>0</v>
      </c>
      <c r="AU893">
        <f>IF(COUNT($E$2:$E893)&lt;9,"",(MAX($C$885:$C$893)+MIN($D$885:$D$893))/2)</f>
        <v>0</v>
      </c>
      <c r="AV893">
        <f>IF(COUNT($E$2:$E893)&lt;26,"",(MAX($C$868:$C$893)+MIN($D$868:$D$893))/2)</f>
        <v>0</v>
      </c>
      <c r="AW893">
        <f>IF(OR(AU893="",AV893=""),"",(AU893+AV893)/2)</f>
        <v>0</v>
      </c>
      <c r="AX893">
        <f>IF(COUNT($E$2:$E893)&lt;52,"",(MAX($C$842:$C$893)+MIN($D$842:$D$893))/2)</f>
        <v>0</v>
      </c>
      <c r="AY893">
        <f>IF(COUNT($E$2:$E893)&lt;20,"",MAX($C$794:$C$893))</f>
        <v>0</v>
      </c>
      <c r="AZ893">
        <f>IF(COUNT($E$2:$E893)&lt;20,"",MIN($D$794:$D$893))</f>
        <v>0</v>
      </c>
      <c r="BA893">
        <f>IF(COUNT($E$2:$E893)&lt;20,"",SLOPE($E$794:$E$893,$F$794:$F$893))</f>
        <v>0</v>
      </c>
      <c r="BB893">
        <f>IF(COUNT($E$2:$E893)&lt;20,"",INTERCEPT($E$794:$E$893,$F$794:$F$893))</f>
        <v>0</v>
      </c>
      <c r="BC893">
        <f>IF(OR(BA893="",BB893=""),"",BB893+BA893*F893)</f>
        <v>0</v>
      </c>
      <c r="BD893">
        <f>IF(COUNT($E$2:$E893)&lt;20,"",STEYX($E$794:$E$893,$F$794:$F$893))</f>
        <v>0</v>
      </c>
      <c r="BE893">
        <f>IF($E893="","",IF(AND(COUNT($E$894:$E$897)&gt;=4,$C893=MAX($C$889:$C$897)),$C893,""))</f>
        <v>0</v>
      </c>
      <c r="BF893">
        <f>IF($E893="","",IF(AND(COUNT($E$894:$E$897)&gt;=4,$D893=MIN($D$889:$D$897)),$D893,""))</f>
        <v>0</v>
      </c>
      <c r="BG893">
        <f>IF($A893="","",$A893-WEEKDAY($A893,2)+1)</f>
        <v>0</v>
      </c>
      <c r="BH893">
        <f>IF($A893="","",IF($A892="",1,IF(BG893&lt;&gt;BG892,1,0)))</f>
        <v>0</v>
      </c>
      <c r="BI893">
        <f>IF($A893="","",IF($A894="",1,IF(BG894&lt;&gt;BG893,1,0)))</f>
        <v>0</v>
      </c>
      <c r="BJ893">
        <f>IF($A893="","",IF(BH893=1,$B893,BJ892))</f>
        <v>0</v>
      </c>
      <c r="BK893">
        <f>IF($A893="","",IF(BH893=1,$C893,MAX($C893,BK892)))</f>
        <v>0</v>
      </c>
      <c r="BL893">
        <f>IF($A893="","",IF(BH893=1,$D893,MIN($D893,BL892)))</f>
        <v>0</v>
      </c>
      <c r="BM893">
        <f>IF($A893="","",IF(BI893=1,F893,""))</f>
        <v>0</v>
      </c>
      <c r="BN893">
        <f>IF($A893="","",DATE(YEAR($A893),MONTH($A893),1))</f>
        <v>0</v>
      </c>
      <c r="BO893">
        <f>IF($A893="","",IF($A892="",1,IF(BN893&lt;&gt;BN892,1,0)))</f>
        <v>0</v>
      </c>
      <c r="BP893">
        <f>IF($A893="","",IF($A894="",1,IF(BN894&lt;&gt;BN893,1,0)))</f>
        <v>0</v>
      </c>
      <c r="BQ893">
        <f>IF($A893="","",IF(BO893=1,$B893,BQ892))</f>
        <v>0</v>
      </c>
      <c r="BR893">
        <f>IF($A893="","",IF(BO893=1,$C893,MAX($C893,BR892)))</f>
        <v>0</v>
      </c>
      <c r="BS893">
        <f>IF($A893="","",IF(BO893=1,$D893,MIN($D893,BS892)))</f>
        <v>0</v>
      </c>
      <c r="BT893">
        <f>IF($A893="","",IF(BP893=1,F893,""))</f>
        <v>0</v>
      </c>
    </row>
    <row r="894" spans="1:72">
      <c r="A894" s="27">
        <f>IF(Data!$A894="","",Data!$A894)</f>
        <v>0</v>
      </c>
      <c r="B894">
        <f>IF(Data!$B894="","",Data!$B894)</f>
        <v>0</v>
      </c>
      <c r="C894">
        <f>IF(Data!$C894="","",Data!$C894)</f>
        <v>0</v>
      </c>
      <c r="D894">
        <f>IF(Data!$D894="","",Data!$D894)</f>
        <v>0</v>
      </c>
      <c r="E894">
        <f>IF(Data!$E894="","",Data!$E894)</f>
        <v>0</v>
      </c>
      <c r="F894">
        <f>IF($E894="","",N(F893)+1)</f>
        <v>0</v>
      </c>
      <c r="G894">
        <f>IF(OR($E894="",$E893=""),"",LN($E894/$E893))</f>
        <v>0</v>
      </c>
      <c r="H894">
        <f>IF($E894="","",IF($E893="",$E894,$E894*0.0952380952+H893*0.9047619048))</f>
        <v>0</v>
      </c>
      <c r="I894">
        <f>IF($E894="","",IF($E893="",$E894,$E894*0.0392156863+I893*0.9607843137))</f>
        <v>0</v>
      </c>
      <c r="J894">
        <f>IF($E894="","",IF($E893="",$E894,$E894*0.0198019802+J893*0.9801980198))</f>
        <v>0</v>
      </c>
      <c r="K894">
        <f>IF($E894="","",IF($E893="",$E894,$E894*0.0099502488+K893*0.9900497512))</f>
        <v>0</v>
      </c>
      <c r="L894">
        <f>IF(OR($E894="",$E893=""),"",MAX($E894-$E893,0))</f>
        <v>0</v>
      </c>
      <c r="M894">
        <f>IF(OR($E894="",$E893=""),"",MAX($E893-$E894,0))</f>
        <v>0</v>
      </c>
      <c r="N894">
        <f>IF(COUNT($E$2:$E894)&lt;15,"",IF(AVERAGE($M$881:$M$894)=0,100,100-100/(1+AVERAGE($L$881:$L$894)/AVERAGE($M$881:$M$894))))</f>
        <v>0</v>
      </c>
      <c r="O894">
        <f>IF($E894="","",IF($E893="",$E894,$E894*0.1538461538+O893*0.8461538462))</f>
        <v>0</v>
      </c>
      <c r="P894">
        <f>IF($E894="","",IF($E893="",$E894,$E894*0.0740740741+P893*0.9259259259))</f>
        <v>0</v>
      </c>
      <c r="Q894">
        <f>IF(OR(O894="",P894=""),"",O894-P894)</f>
        <v>0</v>
      </c>
      <c r="R894">
        <f>IF(Q894="","",IF(R893="",Q894,Q894*0.2000000000+R893*0.8000000000))</f>
        <v>0</v>
      </c>
      <c r="S894">
        <f>IF(OR(Q894="",R894=""),"",Q894-R894)</f>
        <v>0</v>
      </c>
      <c r="T894">
        <f>IF(COUNT($E$2:$E894)&lt;14,"",MAX($C$881:$C$894))</f>
        <v>0</v>
      </c>
      <c r="U894">
        <f>IF(COUNT($E$2:$E894)&lt;14,"",MIN($D$881:$D$894))</f>
        <v>0</v>
      </c>
      <c r="V894">
        <f>IF(OR(T894="",U894="",T894=U894),"",100*($E894-U894)/(T894-U894))</f>
        <v>0</v>
      </c>
      <c r="W894">
        <f>IF(COUNT($V$892:$V$894)&lt;3,"",AVERAGE($V$892:$V$894))</f>
        <v>0</v>
      </c>
      <c r="X894">
        <f>IF(COUNT($N$881:$N$894)&lt;14,"",MIN($N$881:$N$894))</f>
        <v>0</v>
      </c>
      <c r="Y894">
        <f>IF(COUNT($N$881:$N$894)&lt;14,"",MAX($N$881:$N$894))</f>
        <v>0</v>
      </c>
      <c r="Z894">
        <f>IF(OR(N894="",X894="",Y894="",Y894=X894),"",100*(N894-X894)/(Y894-X894))</f>
        <v>0</v>
      </c>
      <c r="AA894">
        <f>IF(COUNT($Z$892:$Z$894)&lt;3,"",AVERAGE($Z$892:$Z$894))</f>
        <v>0</v>
      </c>
      <c r="AB894">
        <f>IF(COUNT($AA$892:$AA$894)&lt;3,"",AVERAGE($AA$892:$AA$894))</f>
        <v>0</v>
      </c>
      <c r="AC894">
        <f>IF($E894="","",MAX($C894-$D894,ABS($C894-$E893),ABS($D894-$E893)))</f>
        <v>0</v>
      </c>
      <c r="AD894">
        <f>IF(COUNT($E$2:$E894)&lt;15,"",AVERAGE($AC$881:$AC$894))</f>
        <v>0</v>
      </c>
      <c r="AE894">
        <f>IF(OR($E894="",$E893=""),"",IF(AND(($C894-$C893)&gt;($D893-$D894),($C894-$C893)&gt;0),$C894-$C893,0))</f>
        <v>0</v>
      </c>
      <c r="AF894">
        <f>IF(OR($E894="",$E893=""),"",IF(AND(($D893-$D894)&gt;($C894-$C893),($D893-$D894)&gt;0),$D893-$D894,0))</f>
        <v>0</v>
      </c>
      <c r="AG894">
        <f>IF(COUNT($E$2:$E894)&lt;15,"",IF(SUM($AC$881:$AC$894)=0,0,100*SUM($AE$881:$AE$894)/SUM($AC$881:$AC$894)))</f>
        <v>0</v>
      </c>
      <c r="AH894">
        <f>IF(COUNT($E$2:$E894)&lt;15,"",IF(SUM($AC$881:$AC$894)=0,0,100*SUM($AF$881:$AF$894)/SUM($AC$881:$AC$894)))</f>
        <v>0</v>
      </c>
      <c r="AI894">
        <f>IF(OR(AG894="",AH894=""),"",IF((AG894+AH894)=0,0,100*ABS(AG894-AH894)/(AG894+AH894)))</f>
        <v>0</v>
      </c>
      <c r="AJ894">
        <f>IF(COUNT($AI$881:$AI$894)&lt;14,"",AVERAGE($AI$881:$AI$894))</f>
        <v>0</v>
      </c>
      <c r="AK894">
        <f>IF(COUNT($E$2:$E894)&lt;20,"",AVERAGE($E$875:$E$894))</f>
        <v>0</v>
      </c>
      <c r="AL894">
        <f>IF(COUNT($E$2:$E894)&lt;20,"",STDEVP($E$875:$E$894))</f>
        <v>0</v>
      </c>
      <c r="AM894">
        <f>IF(AK894="","",AK894+2*AL894)</f>
        <v>0</v>
      </c>
      <c r="AN894">
        <f>IF(AK894="","",AK894-2*AL894)</f>
        <v>0</v>
      </c>
      <c r="AO894">
        <f>IF(OR(AM894="",AN894="",AM894=AN894),"",($E894-AN894)/(AM894-AN894))</f>
        <v>0</v>
      </c>
      <c r="AP894">
        <f>IF(OR(AM894="",AK894="",AK894=0),"",(AM894-AN894)/AK894)</f>
        <v>0</v>
      </c>
      <c r="AQ894">
        <f>IF(COUNT($E$2:$E894)&lt;20,"",MAX($C$875:$C$894))</f>
        <v>0</v>
      </c>
      <c r="AR894">
        <f>IF(COUNT($E$2:$E894)&lt;20,"",MIN($D$875:$D$894))</f>
        <v>0</v>
      </c>
      <c r="AS894">
        <f>IF(OR(AQ894="",AR894=""),"",(AQ894+AR894)/2)</f>
        <v>0</v>
      </c>
      <c r="AT894">
        <f>IF(COUNT($G$875:$G$894)&lt;20,"",STDEV($G$875:$G$894)*SQRT(252))</f>
        <v>0</v>
      </c>
      <c r="AU894">
        <f>IF(COUNT($E$2:$E894)&lt;9,"",(MAX($C$886:$C$894)+MIN($D$886:$D$894))/2)</f>
        <v>0</v>
      </c>
      <c r="AV894">
        <f>IF(COUNT($E$2:$E894)&lt;26,"",(MAX($C$869:$C$894)+MIN($D$869:$D$894))/2)</f>
        <v>0</v>
      </c>
      <c r="AW894">
        <f>IF(OR(AU894="",AV894=""),"",(AU894+AV894)/2)</f>
        <v>0</v>
      </c>
      <c r="AX894">
        <f>IF(COUNT($E$2:$E894)&lt;52,"",(MAX($C$843:$C$894)+MIN($D$843:$D$894))/2)</f>
        <v>0</v>
      </c>
      <c r="AY894">
        <f>IF(COUNT($E$2:$E894)&lt;20,"",MAX($C$795:$C$894))</f>
        <v>0</v>
      </c>
      <c r="AZ894">
        <f>IF(COUNT($E$2:$E894)&lt;20,"",MIN($D$795:$D$894))</f>
        <v>0</v>
      </c>
      <c r="BA894">
        <f>IF(COUNT($E$2:$E894)&lt;20,"",SLOPE($E$795:$E$894,$F$795:$F$894))</f>
        <v>0</v>
      </c>
      <c r="BB894">
        <f>IF(COUNT($E$2:$E894)&lt;20,"",INTERCEPT($E$795:$E$894,$F$795:$F$894))</f>
        <v>0</v>
      </c>
      <c r="BC894">
        <f>IF(OR(BA894="",BB894=""),"",BB894+BA894*F894)</f>
        <v>0</v>
      </c>
      <c r="BD894">
        <f>IF(COUNT($E$2:$E894)&lt;20,"",STEYX($E$795:$E$894,$F$795:$F$894))</f>
        <v>0</v>
      </c>
      <c r="BE894">
        <f>IF($E894="","",IF(AND(COUNT($E$895:$E$898)&gt;=4,$C894=MAX($C$890:$C$898)),$C894,""))</f>
        <v>0</v>
      </c>
      <c r="BF894">
        <f>IF($E894="","",IF(AND(COUNT($E$895:$E$898)&gt;=4,$D894=MIN($D$890:$D$898)),$D894,""))</f>
        <v>0</v>
      </c>
      <c r="BG894">
        <f>IF($A894="","",$A894-WEEKDAY($A894,2)+1)</f>
        <v>0</v>
      </c>
      <c r="BH894">
        <f>IF($A894="","",IF($A893="",1,IF(BG894&lt;&gt;BG893,1,0)))</f>
        <v>0</v>
      </c>
      <c r="BI894">
        <f>IF($A894="","",IF($A895="",1,IF(BG895&lt;&gt;BG894,1,0)))</f>
        <v>0</v>
      </c>
      <c r="BJ894">
        <f>IF($A894="","",IF(BH894=1,$B894,BJ893))</f>
        <v>0</v>
      </c>
      <c r="BK894">
        <f>IF($A894="","",IF(BH894=1,$C894,MAX($C894,BK893)))</f>
        <v>0</v>
      </c>
      <c r="BL894">
        <f>IF($A894="","",IF(BH894=1,$D894,MIN($D894,BL893)))</f>
        <v>0</v>
      </c>
      <c r="BM894">
        <f>IF($A894="","",IF(BI894=1,F894,""))</f>
        <v>0</v>
      </c>
      <c r="BN894">
        <f>IF($A894="","",DATE(YEAR($A894),MONTH($A894),1))</f>
        <v>0</v>
      </c>
      <c r="BO894">
        <f>IF($A894="","",IF($A893="",1,IF(BN894&lt;&gt;BN893,1,0)))</f>
        <v>0</v>
      </c>
      <c r="BP894">
        <f>IF($A894="","",IF($A895="",1,IF(BN895&lt;&gt;BN894,1,0)))</f>
        <v>0</v>
      </c>
      <c r="BQ894">
        <f>IF($A894="","",IF(BO894=1,$B894,BQ893))</f>
        <v>0</v>
      </c>
      <c r="BR894">
        <f>IF($A894="","",IF(BO894=1,$C894,MAX($C894,BR893)))</f>
        <v>0</v>
      </c>
      <c r="BS894">
        <f>IF($A894="","",IF(BO894=1,$D894,MIN($D894,BS893)))</f>
        <v>0</v>
      </c>
      <c r="BT894">
        <f>IF($A894="","",IF(BP894=1,F894,""))</f>
        <v>0</v>
      </c>
    </row>
    <row r="895" spans="1:72">
      <c r="A895" s="27">
        <f>IF(Data!$A895="","",Data!$A895)</f>
        <v>0</v>
      </c>
      <c r="B895">
        <f>IF(Data!$B895="","",Data!$B895)</f>
        <v>0</v>
      </c>
      <c r="C895">
        <f>IF(Data!$C895="","",Data!$C895)</f>
        <v>0</v>
      </c>
      <c r="D895">
        <f>IF(Data!$D895="","",Data!$D895)</f>
        <v>0</v>
      </c>
      <c r="E895">
        <f>IF(Data!$E895="","",Data!$E895)</f>
        <v>0</v>
      </c>
      <c r="F895">
        <f>IF($E895="","",N(F894)+1)</f>
        <v>0</v>
      </c>
      <c r="G895">
        <f>IF(OR($E895="",$E894=""),"",LN($E895/$E894))</f>
        <v>0</v>
      </c>
      <c r="H895">
        <f>IF($E895="","",IF($E894="",$E895,$E895*0.0952380952+H894*0.9047619048))</f>
        <v>0</v>
      </c>
      <c r="I895">
        <f>IF($E895="","",IF($E894="",$E895,$E895*0.0392156863+I894*0.9607843137))</f>
        <v>0</v>
      </c>
      <c r="J895">
        <f>IF($E895="","",IF($E894="",$E895,$E895*0.0198019802+J894*0.9801980198))</f>
        <v>0</v>
      </c>
      <c r="K895">
        <f>IF($E895="","",IF($E894="",$E895,$E895*0.0099502488+K894*0.9900497512))</f>
        <v>0</v>
      </c>
      <c r="L895">
        <f>IF(OR($E895="",$E894=""),"",MAX($E895-$E894,0))</f>
        <v>0</v>
      </c>
      <c r="M895">
        <f>IF(OR($E895="",$E894=""),"",MAX($E894-$E895,0))</f>
        <v>0</v>
      </c>
      <c r="N895">
        <f>IF(COUNT($E$2:$E895)&lt;15,"",IF(AVERAGE($M$882:$M$895)=0,100,100-100/(1+AVERAGE($L$882:$L$895)/AVERAGE($M$882:$M$895))))</f>
        <v>0</v>
      </c>
      <c r="O895">
        <f>IF($E895="","",IF($E894="",$E895,$E895*0.1538461538+O894*0.8461538462))</f>
        <v>0</v>
      </c>
      <c r="P895">
        <f>IF($E895="","",IF($E894="",$E895,$E895*0.0740740741+P894*0.9259259259))</f>
        <v>0</v>
      </c>
      <c r="Q895">
        <f>IF(OR(O895="",P895=""),"",O895-P895)</f>
        <v>0</v>
      </c>
      <c r="R895">
        <f>IF(Q895="","",IF(R894="",Q895,Q895*0.2000000000+R894*0.8000000000))</f>
        <v>0</v>
      </c>
      <c r="S895">
        <f>IF(OR(Q895="",R895=""),"",Q895-R895)</f>
        <v>0</v>
      </c>
      <c r="T895">
        <f>IF(COUNT($E$2:$E895)&lt;14,"",MAX($C$882:$C$895))</f>
        <v>0</v>
      </c>
      <c r="U895">
        <f>IF(COUNT($E$2:$E895)&lt;14,"",MIN($D$882:$D$895))</f>
        <v>0</v>
      </c>
      <c r="V895">
        <f>IF(OR(T895="",U895="",T895=U895),"",100*($E895-U895)/(T895-U895))</f>
        <v>0</v>
      </c>
      <c r="W895">
        <f>IF(COUNT($V$893:$V$895)&lt;3,"",AVERAGE($V$893:$V$895))</f>
        <v>0</v>
      </c>
      <c r="X895">
        <f>IF(COUNT($N$882:$N$895)&lt;14,"",MIN($N$882:$N$895))</f>
        <v>0</v>
      </c>
      <c r="Y895">
        <f>IF(COUNT($N$882:$N$895)&lt;14,"",MAX($N$882:$N$895))</f>
        <v>0</v>
      </c>
      <c r="Z895">
        <f>IF(OR(N895="",X895="",Y895="",Y895=X895),"",100*(N895-X895)/(Y895-X895))</f>
        <v>0</v>
      </c>
      <c r="AA895">
        <f>IF(COUNT($Z$893:$Z$895)&lt;3,"",AVERAGE($Z$893:$Z$895))</f>
        <v>0</v>
      </c>
      <c r="AB895">
        <f>IF(COUNT($AA$893:$AA$895)&lt;3,"",AVERAGE($AA$893:$AA$895))</f>
        <v>0</v>
      </c>
      <c r="AC895">
        <f>IF($E895="","",MAX($C895-$D895,ABS($C895-$E894),ABS($D895-$E894)))</f>
        <v>0</v>
      </c>
      <c r="AD895">
        <f>IF(COUNT($E$2:$E895)&lt;15,"",AVERAGE($AC$882:$AC$895))</f>
        <v>0</v>
      </c>
      <c r="AE895">
        <f>IF(OR($E895="",$E894=""),"",IF(AND(($C895-$C894)&gt;($D894-$D895),($C895-$C894)&gt;0),$C895-$C894,0))</f>
        <v>0</v>
      </c>
      <c r="AF895">
        <f>IF(OR($E895="",$E894=""),"",IF(AND(($D894-$D895)&gt;($C895-$C894),($D894-$D895)&gt;0),$D894-$D895,0))</f>
        <v>0</v>
      </c>
      <c r="AG895">
        <f>IF(COUNT($E$2:$E895)&lt;15,"",IF(SUM($AC$882:$AC$895)=0,0,100*SUM($AE$882:$AE$895)/SUM($AC$882:$AC$895)))</f>
        <v>0</v>
      </c>
      <c r="AH895">
        <f>IF(COUNT($E$2:$E895)&lt;15,"",IF(SUM($AC$882:$AC$895)=0,0,100*SUM($AF$882:$AF$895)/SUM($AC$882:$AC$895)))</f>
        <v>0</v>
      </c>
      <c r="AI895">
        <f>IF(OR(AG895="",AH895=""),"",IF((AG895+AH895)=0,0,100*ABS(AG895-AH895)/(AG895+AH895)))</f>
        <v>0</v>
      </c>
      <c r="AJ895">
        <f>IF(COUNT($AI$882:$AI$895)&lt;14,"",AVERAGE($AI$882:$AI$895))</f>
        <v>0</v>
      </c>
      <c r="AK895">
        <f>IF(COUNT($E$2:$E895)&lt;20,"",AVERAGE($E$876:$E$895))</f>
        <v>0</v>
      </c>
      <c r="AL895">
        <f>IF(COUNT($E$2:$E895)&lt;20,"",STDEVP($E$876:$E$895))</f>
        <v>0</v>
      </c>
      <c r="AM895">
        <f>IF(AK895="","",AK895+2*AL895)</f>
        <v>0</v>
      </c>
      <c r="AN895">
        <f>IF(AK895="","",AK895-2*AL895)</f>
        <v>0</v>
      </c>
      <c r="AO895">
        <f>IF(OR(AM895="",AN895="",AM895=AN895),"",($E895-AN895)/(AM895-AN895))</f>
        <v>0</v>
      </c>
      <c r="AP895">
        <f>IF(OR(AM895="",AK895="",AK895=0),"",(AM895-AN895)/AK895)</f>
        <v>0</v>
      </c>
      <c r="AQ895">
        <f>IF(COUNT($E$2:$E895)&lt;20,"",MAX($C$876:$C$895))</f>
        <v>0</v>
      </c>
      <c r="AR895">
        <f>IF(COUNT($E$2:$E895)&lt;20,"",MIN($D$876:$D$895))</f>
        <v>0</v>
      </c>
      <c r="AS895">
        <f>IF(OR(AQ895="",AR895=""),"",(AQ895+AR895)/2)</f>
        <v>0</v>
      </c>
      <c r="AT895">
        <f>IF(COUNT($G$876:$G$895)&lt;20,"",STDEV($G$876:$G$895)*SQRT(252))</f>
        <v>0</v>
      </c>
      <c r="AU895">
        <f>IF(COUNT($E$2:$E895)&lt;9,"",(MAX($C$887:$C$895)+MIN($D$887:$D$895))/2)</f>
        <v>0</v>
      </c>
      <c r="AV895">
        <f>IF(COUNT($E$2:$E895)&lt;26,"",(MAX($C$870:$C$895)+MIN($D$870:$D$895))/2)</f>
        <v>0</v>
      </c>
      <c r="AW895">
        <f>IF(OR(AU895="",AV895=""),"",(AU895+AV895)/2)</f>
        <v>0</v>
      </c>
      <c r="AX895">
        <f>IF(COUNT($E$2:$E895)&lt;52,"",(MAX($C$844:$C$895)+MIN($D$844:$D$895))/2)</f>
        <v>0</v>
      </c>
      <c r="AY895">
        <f>IF(COUNT($E$2:$E895)&lt;20,"",MAX($C$796:$C$895))</f>
        <v>0</v>
      </c>
      <c r="AZ895">
        <f>IF(COUNT($E$2:$E895)&lt;20,"",MIN($D$796:$D$895))</f>
        <v>0</v>
      </c>
      <c r="BA895">
        <f>IF(COUNT($E$2:$E895)&lt;20,"",SLOPE($E$796:$E$895,$F$796:$F$895))</f>
        <v>0</v>
      </c>
      <c r="BB895">
        <f>IF(COUNT($E$2:$E895)&lt;20,"",INTERCEPT($E$796:$E$895,$F$796:$F$895))</f>
        <v>0</v>
      </c>
      <c r="BC895">
        <f>IF(OR(BA895="",BB895=""),"",BB895+BA895*F895)</f>
        <v>0</v>
      </c>
      <c r="BD895">
        <f>IF(COUNT($E$2:$E895)&lt;20,"",STEYX($E$796:$E$895,$F$796:$F$895))</f>
        <v>0</v>
      </c>
      <c r="BE895">
        <f>IF($E895="","",IF(AND(COUNT($E$896:$E$899)&gt;=4,$C895=MAX($C$891:$C$899)),$C895,""))</f>
        <v>0</v>
      </c>
      <c r="BF895">
        <f>IF($E895="","",IF(AND(COUNT($E$896:$E$899)&gt;=4,$D895=MIN($D$891:$D$899)),$D895,""))</f>
        <v>0</v>
      </c>
      <c r="BG895">
        <f>IF($A895="","",$A895-WEEKDAY($A895,2)+1)</f>
        <v>0</v>
      </c>
      <c r="BH895">
        <f>IF($A895="","",IF($A894="",1,IF(BG895&lt;&gt;BG894,1,0)))</f>
        <v>0</v>
      </c>
      <c r="BI895">
        <f>IF($A895="","",IF($A896="",1,IF(BG896&lt;&gt;BG895,1,0)))</f>
        <v>0</v>
      </c>
      <c r="BJ895">
        <f>IF($A895="","",IF(BH895=1,$B895,BJ894))</f>
        <v>0</v>
      </c>
      <c r="BK895">
        <f>IF($A895="","",IF(BH895=1,$C895,MAX($C895,BK894)))</f>
        <v>0</v>
      </c>
      <c r="BL895">
        <f>IF($A895="","",IF(BH895=1,$D895,MIN($D895,BL894)))</f>
        <v>0</v>
      </c>
      <c r="BM895">
        <f>IF($A895="","",IF(BI895=1,F895,""))</f>
        <v>0</v>
      </c>
      <c r="BN895">
        <f>IF($A895="","",DATE(YEAR($A895),MONTH($A895),1))</f>
        <v>0</v>
      </c>
      <c r="BO895">
        <f>IF($A895="","",IF($A894="",1,IF(BN895&lt;&gt;BN894,1,0)))</f>
        <v>0</v>
      </c>
      <c r="BP895">
        <f>IF($A895="","",IF($A896="",1,IF(BN896&lt;&gt;BN895,1,0)))</f>
        <v>0</v>
      </c>
      <c r="BQ895">
        <f>IF($A895="","",IF(BO895=1,$B895,BQ894))</f>
        <v>0</v>
      </c>
      <c r="BR895">
        <f>IF($A895="","",IF(BO895=1,$C895,MAX($C895,BR894)))</f>
        <v>0</v>
      </c>
      <c r="BS895">
        <f>IF($A895="","",IF(BO895=1,$D895,MIN($D895,BS894)))</f>
        <v>0</v>
      </c>
      <c r="BT895">
        <f>IF($A895="","",IF(BP895=1,F895,""))</f>
        <v>0</v>
      </c>
    </row>
    <row r="896" spans="1:72">
      <c r="A896" s="27">
        <f>IF(Data!$A896="","",Data!$A896)</f>
        <v>0</v>
      </c>
      <c r="B896">
        <f>IF(Data!$B896="","",Data!$B896)</f>
        <v>0</v>
      </c>
      <c r="C896">
        <f>IF(Data!$C896="","",Data!$C896)</f>
        <v>0</v>
      </c>
      <c r="D896">
        <f>IF(Data!$D896="","",Data!$D896)</f>
        <v>0</v>
      </c>
      <c r="E896">
        <f>IF(Data!$E896="","",Data!$E896)</f>
        <v>0</v>
      </c>
      <c r="F896">
        <f>IF($E896="","",N(F895)+1)</f>
        <v>0</v>
      </c>
      <c r="G896">
        <f>IF(OR($E896="",$E895=""),"",LN($E896/$E895))</f>
        <v>0</v>
      </c>
      <c r="H896">
        <f>IF($E896="","",IF($E895="",$E896,$E896*0.0952380952+H895*0.9047619048))</f>
        <v>0</v>
      </c>
      <c r="I896">
        <f>IF($E896="","",IF($E895="",$E896,$E896*0.0392156863+I895*0.9607843137))</f>
        <v>0</v>
      </c>
      <c r="J896">
        <f>IF($E896="","",IF($E895="",$E896,$E896*0.0198019802+J895*0.9801980198))</f>
        <v>0</v>
      </c>
      <c r="K896">
        <f>IF($E896="","",IF($E895="",$E896,$E896*0.0099502488+K895*0.9900497512))</f>
        <v>0</v>
      </c>
      <c r="L896">
        <f>IF(OR($E896="",$E895=""),"",MAX($E896-$E895,0))</f>
        <v>0</v>
      </c>
      <c r="M896">
        <f>IF(OR($E896="",$E895=""),"",MAX($E895-$E896,0))</f>
        <v>0</v>
      </c>
      <c r="N896">
        <f>IF(COUNT($E$2:$E896)&lt;15,"",IF(AVERAGE($M$883:$M$896)=0,100,100-100/(1+AVERAGE($L$883:$L$896)/AVERAGE($M$883:$M$896))))</f>
        <v>0</v>
      </c>
      <c r="O896">
        <f>IF($E896="","",IF($E895="",$E896,$E896*0.1538461538+O895*0.8461538462))</f>
        <v>0</v>
      </c>
      <c r="P896">
        <f>IF($E896="","",IF($E895="",$E896,$E896*0.0740740741+P895*0.9259259259))</f>
        <v>0</v>
      </c>
      <c r="Q896">
        <f>IF(OR(O896="",P896=""),"",O896-P896)</f>
        <v>0</v>
      </c>
      <c r="R896">
        <f>IF(Q896="","",IF(R895="",Q896,Q896*0.2000000000+R895*0.8000000000))</f>
        <v>0</v>
      </c>
      <c r="S896">
        <f>IF(OR(Q896="",R896=""),"",Q896-R896)</f>
        <v>0</v>
      </c>
      <c r="T896">
        <f>IF(COUNT($E$2:$E896)&lt;14,"",MAX($C$883:$C$896))</f>
        <v>0</v>
      </c>
      <c r="U896">
        <f>IF(COUNT($E$2:$E896)&lt;14,"",MIN($D$883:$D$896))</f>
        <v>0</v>
      </c>
      <c r="V896">
        <f>IF(OR(T896="",U896="",T896=U896),"",100*($E896-U896)/(T896-U896))</f>
        <v>0</v>
      </c>
      <c r="W896">
        <f>IF(COUNT($V$894:$V$896)&lt;3,"",AVERAGE($V$894:$V$896))</f>
        <v>0</v>
      </c>
      <c r="X896">
        <f>IF(COUNT($N$883:$N$896)&lt;14,"",MIN($N$883:$N$896))</f>
        <v>0</v>
      </c>
      <c r="Y896">
        <f>IF(COUNT($N$883:$N$896)&lt;14,"",MAX($N$883:$N$896))</f>
        <v>0</v>
      </c>
      <c r="Z896">
        <f>IF(OR(N896="",X896="",Y896="",Y896=X896),"",100*(N896-X896)/(Y896-X896))</f>
        <v>0</v>
      </c>
      <c r="AA896">
        <f>IF(COUNT($Z$894:$Z$896)&lt;3,"",AVERAGE($Z$894:$Z$896))</f>
        <v>0</v>
      </c>
      <c r="AB896">
        <f>IF(COUNT($AA$894:$AA$896)&lt;3,"",AVERAGE($AA$894:$AA$896))</f>
        <v>0</v>
      </c>
      <c r="AC896">
        <f>IF($E896="","",MAX($C896-$D896,ABS($C896-$E895),ABS($D896-$E895)))</f>
        <v>0</v>
      </c>
      <c r="AD896">
        <f>IF(COUNT($E$2:$E896)&lt;15,"",AVERAGE($AC$883:$AC$896))</f>
        <v>0</v>
      </c>
      <c r="AE896">
        <f>IF(OR($E896="",$E895=""),"",IF(AND(($C896-$C895)&gt;($D895-$D896),($C896-$C895)&gt;0),$C896-$C895,0))</f>
        <v>0</v>
      </c>
      <c r="AF896">
        <f>IF(OR($E896="",$E895=""),"",IF(AND(($D895-$D896)&gt;($C896-$C895),($D895-$D896)&gt;0),$D895-$D896,0))</f>
        <v>0</v>
      </c>
      <c r="AG896">
        <f>IF(COUNT($E$2:$E896)&lt;15,"",IF(SUM($AC$883:$AC$896)=0,0,100*SUM($AE$883:$AE$896)/SUM($AC$883:$AC$896)))</f>
        <v>0</v>
      </c>
      <c r="AH896">
        <f>IF(COUNT($E$2:$E896)&lt;15,"",IF(SUM($AC$883:$AC$896)=0,0,100*SUM($AF$883:$AF$896)/SUM($AC$883:$AC$896)))</f>
        <v>0</v>
      </c>
      <c r="AI896">
        <f>IF(OR(AG896="",AH896=""),"",IF((AG896+AH896)=0,0,100*ABS(AG896-AH896)/(AG896+AH896)))</f>
        <v>0</v>
      </c>
      <c r="AJ896">
        <f>IF(COUNT($AI$883:$AI$896)&lt;14,"",AVERAGE($AI$883:$AI$896))</f>
        <v>0</v>
      </c>
      <c r="AK896">
        <f>IF(COUNT($E$2:$E896)&lt;20,"",AVERAGE($E$877:$E$896))</f>
        <v>0</v>
      </c>
      <c r="AL896">
        <f>IF(COUNT($E$2:$E896)&lt;20,"",STDEVP($E$877:$E$896))</f>
        <v>0</v>
      </c>
      <c r="AM896">
        <f>IF(AK896="","",AK896+2*AL896)</f>
        <v>0</v>
      </c>
      <c r="AN896">
        <f>IF(AK896="","",AK896-2*AL896)</f>
        <v>0</v>
      </c>
      <c r="AO896">
        <f>IF(OR(AM896="",AN896="",AM896=AN896),"",($E896-AN896)/(AM896-AN896))</f>
        <v>0</v>
      </c>
      <c r="AP896">
        <f>IF(OR(AM896="",AK896="",AK896=0),"",(AM896-AN896)/AK896)</f>
        <v>0</v>
      </c>
      <c r="AQ896">
        <f>IF(COUNT($E$2:$E896)&lt;20,"",MAX($C$877:$C$896))</f>
        <v>0</v>
      </c>
      <c r="AR896">
        <f>IF(COUNT($E$2:$E896)&lt;20,"",MIN($D$877:$D$896))</f>
        <v>0</v>
      </c>
      <c r="AS896">
        <f>IF(OR(AQ896="",AR896=""),"",(AQ896+AR896)/2)</f>
        <v>0</v>
      </c>
      <c r="AT896">
        <f>IF(COUNT($G$877:$G$896)&lt;20,"",STDEV($G$877:$G$896)*SQRT(252))</f>
        <v>0</v>
      </c>
      <c r="AU896">
        <f>IF(COUNT($E$2:$E896)&lt;9,"",(MAX($C$888:$C$896)+MIN($D$888:$D$896))/2)</f>
        <v>0</v>
      </c>
      <c r="AV896">
        <f>IF(COUNT($E$2:$E896)&lt;26,"",(MAX($C$871:$C$896)+MIN($D$871:$D$896))/2)</f>
        <v>0</v>
      </c>
      <c r="AW896">
        <f>IF(OR(AU896="",AV896=""),"",(AU896+AV896)/2)</f>
        <v>0</v>
      </c>
      <c r="AX896">
        <f>IF(COUNT($E$2:$E896)&lt;52,"",(MAX($C$845:$C$896)+MIN($D$845:$D$896))/2)</f>
        <v>0</v>
      </c>
      <c r="AY896">
        <f>IF(COUNT($E$2:$E896)&lt;20,"",MAX($C$797:$C$896))</f>
        <v>0</v>
      </c>
      <c r="AZ896">
        <f>IF(COUNT($E$2:$E896)&lt;20,"",MIN($D$797:$D$896))</f>
        <v>0</v>
      </c>
      <c r="BA896">
        <f>IF(COUNT($E$2:$E896)&lt;20,"",SLOPE($E$797:$E$896,$F$797:$F$896))</f>
        <v>0</v>
      </c>
      <c r="BB896">
        <f>IF(COUNT($E$2:$E896)&lt;20,"",INTERCEPT($E$797:$E$896,$F$797:$F$896))</f>
        <v>0</v>
      </c>
      <c r="BC896">
        <f>IF(OR(BA896="",BB896=""),"",BB896+BA896*F896)</f>
        <v>0</v>
      </c>
      <c r="BD896">
        <f>IF(COUNT($E$2:$E896)&lt;20,"",STEYX($E$797:$E$896,$F$797:$F$896))</f>
        <v>0</v>
      </c>
      <c r="BE896">
        <f>IF($E896="","",IF(AND(COUNT($E$897:$E$900)&gt;=4,$C896=MAX($C$892:$C$900)),$C896,""))</f>
        <v>0</v>
      </c>
      <c r="BF896">
        <f>IF($E896="","",IF(AND(COUNT($E$897:$E$900)&gt;=4,$D896=MIN($D$892:$D$900)),$D896,""))</f>
        <v>0</v>
      </c>
      <c r="BG896">
        <f>IF($A896="","",$A896-WEEKDAY($A896,2)+1)</f>
        <v>0</v>
      </c>
      <c r="BH896">
        <f>IF($A896="","",IF($A895="",1,IF(BG896&lt;&gt;BG895,1,0)))</f>
        <v>0</v>
      </c>
      <c r="BI896">
        <f>IF($A896="","",IF($A897="",1,IF(BG897&lt;&gt;BG896,1,0)))</f>
        <v>0</v>
      </c>
      <c r="BJ896">
        <f>IF($A896="","",IF(BH896=1,$B896,BJ895))</f>
        <v>0</v>
      </c>
      <c r="BK896">
        <f>IF($A896="","",IF(BH896=1,$C896,MAX($C896,BK895)))</f>
        <v>0</v>
      </c>
      <c r="BL896">
        <f>IF($A896="","",IF(BH896=1,$D896,MIN($D896,BL895)))</f>
        <v>0</v>
      </c>
      <c r="BM896">
        <f>IF($A896="","",IF(BI896=1,F896,""))</f>
        <v>0</v>
      </c>
      <c r="BN896">
        <f>IF($A896="","",DATE(YEAR($A896),MONTH($A896),1))</f>
        <v>0</v>
      </c>
      <c r="BO896">
        <f>IF($A896="","",IF($A895="",1,IF(BN896&lt;&gt;BN895,1,0)))</f>
        <v>0</v>
      </c>
      <c r="BP896">
        <f>IF($A896="","",IF($A897="",1,IF(BN897&lt;&gt;BN896,1,0)))</f>
        <v>0</v>
      </c>
      <c r="BQ896">
        <f>IF($A896="","",IF(BO896=1,$B896,BQ895))</f>
        <v>0</v>
      </c>
      <c r="BR896">
        <f>IF($A896="","",IF(BO896=1,$C896,MAX($C896,BR895)))</f>
        <v>0</v>
      </c>
      <c r="BS896">
        <f>IF($A896="","",IF(BO896=1,$D896,MIN($D896,BS895)))</f>
        <v>0</v>
      </c>
      <c r="BT896">
        <f>IF($A896="","",IF(BP896=1,F896,""))</f>
        <v>0</v>
      </c>
    </row>
    <row r="897" spans="1:72">
      <c r="A897" s="27">
        <f>IF(Data!$A897="","",Data!$A897)</f>
        <v>0</v>
      </c>
      <c r="B897">
        <f>IF(Data!$B897="","",Data!$B897)</f>
        <v>0</v>
      </c>
      <c r="C897">
        <f>IF(Data!$C897="","",Data!$C897)</f>
        <v>0</v>
      </c>
      <c r="D897">
        <f>IF(Data!$D897="","",Data!$D897)</f>
        <v>0</v>
      </c>
      <c r="E897">
        <f>IF(Data!$E897="","",Data!$E897)</f>
        <v>0</v>
      </c>
      <c r="F897">
        <f>IF($E897="","",N(F896)+1)</f>
        <v>0</v>
      </c>
      <c r="G897">
        <f>IF(OR($E897="",$E896=""),"",LN($E897/$E896))</f>
        <v>0</v>
      </c>
      <c r="H897">
        <f>IF($E897="","",IF($E896="",$E897,$E897*0.0952380952+H896*0.9047619048))</f>
        <v>0</v>
      </c>
      <c r="I897">
        <f>IF($E897="","",IF($E896="",$E897,$E897*0.0392156863+I896*0.9607843137))</f>
        <v>0</v>
      </c>
      <c r="J897">
        <f>IF($E897="","",IF($E896="",$E897,$E897*0.0198019802+J896*0.9801980198))</f>
        <v>0</v>
      </c>
      <c r="K897">
        <f>IF($E897="","",IF($E896="",$E897,$E897*0.0099502488+K896*0.9900497512))</f>
        <v>0</v>
      </c>
      <c r="L897">
        <f>IF(OR($E897="",$E896=""),"",MAX($E897-$E896,0))</f>
        <v>0</v>
      </c>
      <c r="M897">
        <f>IF(OR($E897="",$E896=""),"",MAX($E896-$E897,0))</f>
        <v>0</v>
      </c>
      <c r="N897">
        <f>IF(COUNT($E$2:$E897)&lt;15,"",IF(AVERAGE($M$884:$M$897)=0,100,100-100/(1+AVERAGE($L$884:$L$897)/AVERAGE($M$884:$M$897))))</f>
        <v>0</v>
      </c>
      <c r="O897">
        <f>IF($E897="","",IF($E896="",$E897,$E897*0.1538461538+O896*0.8461538462))</f>
        <v>0</v>
      </c>
      <c r="P897">
        <f>IF($E897="","",IF($E896="",$E897,$E897*0.0740740741+P896*0.9259259259))</f>
        <v>0</v>
      </c>
      <c r="Q897">
        <f>IF(OR(O897="",P897=""),"",O897-P897)</f>
        <v>0</v>
      </c>
      <c r="R897">
        <f>IF(Q897="","",IF(R896="",Q897,Q897*0.2000000000+R896*0.8000000000))</f>
        <v>0</v>
      </c>
      <c r="S897">
        <f>IF(OR(Q897="",R897=""),"",Q897-R897)</f>
        <v>0</v>
      </c>
      <c r="T897">
        <f>IF(COUNT($E$2:$E897)&lt;14,"",MAX($C$884:$C$897))</f>
        <v>0</v>
      </c>
      <c r="U897">
        <f>IF(COUNT($E$2:$E897)&lt;14,"",MIN($D$884:$D$897))</f>
        <v>0</v>
      </c>
      <c r="V897">
        <f>IF(OR(T897="",U897="",T897=U897),"",100*($E897-U897)/(T897-U897))</f>
        <v>0</v>
      </c>
      <c r="W897">
        <f>IF(COUNT($V$895:$V$897)&lt;3,"",AVERAGE($V$895:$V$897))</f>
        <v>0</v>
      </c>
      <c r="X897">
        <f>IF(COUNT($N$884:$N$897)&lt;14,"",MIN($N$884:$N$897))</f>
        <v>0</v>
      </c>
      <c r="Y897">
        <f>IF(COUNT($N$884:$N$897)&lt;14,"",MAX($N$884:$N$897))</f>
        <v>0</v>
      </c>
      <c r="Z897">
        <f>IF(OR(N897="",X897="",Y897="",Y897=X897),"",100*(N897-X897)/(Y897-X897))</f>
        <v>0</v>
      </c>
      <c r="AA897">
        <f>IF(COUNT($Z$895:$Z$897)&lt;3,"",AVERAGE($Z$895:$Z$897))</f>
        <v>0</v>
      </c>
      <c r="AB897">
        <f>IF(COUNT($AA$895:$AA$897)&lt;3,"",AVERAGE($AA$895:$AA$897))</f>
        <v>0</v>
      </c>
      <c r="AC897">
        <f>IF($E897="","",MAX($C897-$D897,ABS($C897-$E896),ABS($D897-$E896)))</f>
        <v>0</v>
      </c>
      <c r="AD897">
        <f>IF(COUNT($E$2:$E897)&lt;15,"",AVERAGE($AC$884:$AC$897))</f>
        <v>0</v>
      </c>
      <c r="AE897">
        <f>IF(OR($E897="",$E896=""),"",IF(AND(($C897-$C896)&gt;($D896-$D897),($C897-$C896)&gt;0),$C897-$C896,0))</f>
        <v>0</v>
      </c>
      <c r="AF897">
        <f>IF(OR($E897="",$E896=""),"",IF(AND(($D896-$D897)&gt;($C897-$C896),($D896-$D897)&gt;0),$D896-$D897,0))</f>
        <v>0</v>
      </c>
      <c r="AG897">
        <f>IF(COUNT($E$2:$E897)&lt;15,"",IF(SUM($AC$884:$AC$897)=0,0,100*SUM($AE$884:$AE$897)/SUM($AC$884:$AC$897)))</f>
        <v>0</v>
      </c>
      <c r="AH897">
        <f>IF(COUNT($E$2:$E897)&lt;15,"",IF(SUM($AC$884:$AC$897)=0,0,100*SUM($AF$884:$AF$897)/SUM($AC$884:$AC$897)))</f>
        <v>0</v>
      </c>
      <c r="AI897">
        <f>IF(OR(AG897="",AH897=""),"",IF((AG897+AH897)=0,0,100*ABS(AG897-AH897)/(AG897+AH897)))</f>
        <v>0</v>
      </c>
      <c r="AJ897">
        <f>IF(COUNT($AI$884:$AI$897)&lt;14,"",AVERAGE($AI$884:$AI$897))</f>
        <v>0</v>
      </c>
      <c r="AK897">
        <f>IF(COUNT($E$2:$E897)&lt;20,"",AVERAGE($E$878:$E$897))</f>
        <v>0</v>
      </c>
      <c r="AL897">
        <f>IF(COUNT($E$2:$E897)&lt;20,"",STDEVP($E$878:$E$897))</f>
        <v>0</v>
      </c>
      <c r="AM897">
        <f>IF(AK897="","",AK897+2*AL897)</f>
        <v>0</v>
      </c>
      <c r="AN897">
        <f>IF(AK897="","",AK897-2*AL897)</f>
        <v>0</v>
      </c>
      <c r="AO897">
        <f>IF(OR(AM897="",AN897="",AM897=AN897),"",($E897-AN897)/(AM897-AN897))</f>
        <v>0</v>
      </c>
      <c r="AP897">
        <f>IF(OR(AM897="",AK897="",AK897=0),"",(AM897-AN897)/AK897)</f>
        <v>0</v>
      </c>
      <c r="AQ897">
        <f>IF(COUNT($E$2:$E897)&lt;20,"",MAX($C$878:$C$897))</f>
        <v>0</v>
      </c>
      <c r="AR897">
        <f>IF(COUNT($E$2:$E897)&lt;20,"",MIN($D$878:$D$897))</f>
        <v>0</v>
      </c>
      <c r="AS897">
        <f>IF(OR(AQ897="",AR897=""),"",(AQ897+AR897)/2)</f>
        <v>0</v>
      </c>
      <c r="AT897">
        <f>IF(COUNT($G$878:$G$897)&lt;20,"",STDEV($G$878:$G$897)*SQRT(252))</f>
        <v>0</v>
      </c>
      <c r="AU897">
        <f>IF(COUNT($E$2:$E897)&lt;9,"",(MAX($C$889:$C$897)+MIN($D$889:$D$897))/2)</f>
        <v>0</v>
      </c>
      <c r="AV897">
        <f>IF(COUNT($E$2:$E897)&lt;26,"",(MAX($C$872:$C$897)+MIN($D$872:$D$897))/2)</f>
        <v>0</v>
      </c>
      <c r="AW897">
        <f>IF(OR(AU897="",AV897=""),"",(AU897+AV897)/2)</f>
        <v>0</v>
      </c>
      <c r="AX897">
        <f>IF(COUNT($E$2:$E897)&lt;52,"",(MAX($C$846:$C$897)+MIN($D$846:$D$897))/2)</f>
        <v>0</v>
      </c>
      <c r="AY897">
        <f>IF(COUNT($E$2:$E897)&lt;20,"",MAX($C$798:$C$897))</f>
        <v>0</v>
      </c>
      <c r="AZ897">
        <f>IF(COUNT($E$2:$E897)&lt;20,"",MIN($D$798:$D$897))</f>
        <v>0</v>
      </c>
      <c r="BA897">
        <f>IF(COUNT($E$2:$E897)&lt;20,"",SLOPE($E$798:$E$897,$F$798:$F$897))</f>
        <v>0</v>
      </c>
      <c r="BB897">
        <f>IF(COUNT($E$2:$E897)&lt;20,"",INTERCEPT($E$798:$E$897,$F$798:$F$897))</f>
        <v>0</v>
      </c>
      <c r="BC897">
        <f>IF(OR(BA897="",BB897=""),"",BB897+BA897*F897)</f>
        <v>0</v>
      </c>
      <c r="BD897">
        <f>IF(COUNT($E$2:$E897)&lt;20,"",STEYX($E$798:$E$897,$F$798:$F$897))</f>
        <v>0</v>
      </c>
      <c r="BE897">
        <f>IF($E897="","",IF(AND(COUNT($E$898:$E$901)&gt;=4,$C897=MAX($C$893:$C$901)),$C897,""))</f>
        <v>0</v>
      </c>
      <c r="BF897">
        <f>IF($E897="","",IF(AND(COUNT($E$898:$E$901)&gt;=4,$D897=MIN($D$893:$D$901)),$D897,""))</f>
        <v>0</v>
      </c>
      <c r="BG897">
        <f>IF($A897="","",$A897-WEEKDAY($A897,2)+1)</f>
        <v>0</v>
      </c>
      <c r="BH897">
        <f>IF($A897="","",IF($A896="",1,IF(BG897&lt;&gt;BG896,1,0)))</f>
        <v>0</v>
      </c>
      <c r="BI897">
        <f>IF($A897="","",IF($A898="",1,IF(BG898&lt;&gt;BG897,1,0)))</f>
        <v>0</v>
      </c>
      <c r="BJ897">
        <f>IF($A897="","",IF(BH897=1,$B897,BJ896))</f>
        <v>0</v>
      </c>
      <c r="BK897">
        <f>IF($A897="","",IF(BH897=1,$C897,MAX($C897,BK896)))</f>
        <v>0</v>
      </c>
      <c r="BL897">
        <f>IF($A897="","",IF(BH897=1,$D897,MIN($D897,BL896)))</f>
        <v>0</v>
      </c>
      <c r="BM897">
        <f>IF($A897="","",IF(BI897=1,F897,""))</f>
        <v>0</v>
      </c>
      <c r="BN897">
        <f>IF($A897="","",DATE(YEAR($A897),MONTH($A897),1))</f>
        <v>0</v>
      </c>
      <c r="BO897">
        <f>IF($A897="","",IF($A896="",1,IF(BN897&lt;&gt;BN896,1,0)))</f>
        <v>0</v>
      </c>
      <c r="BP897">
        <f>IF($A897="","",IF($A898="",1,IF(BN898&lt;&gt;BN897,1,0)))</f>
        <v>0</v>
      </c>
      <c r="BQ897">
        <f>IF($A897="","",IF(BO897=1,$B897,BQ896))</f>
        <v>0</v>
      </c>
      <c r="BR897">
        <f>IF($A897="","",IF(BO897=1,$C897,MAX($C897,BR896)))</f>
        <v>0</v>
      </c>
      <c r="BS897">
        <f>IF($A897="","",IF(BO897=1,$D897,MIN($D897,BS896)))</f>
        <v>0</v>
      </c>
      <c r="BT897">
        <f>IF($A897="","",IF(BP897=1,F897,""))</f>
        <v>0</v>
      </c>
    </row>
    <row r="898" spans="1:72">
      <c r="A898" s="27">
        <f>IF(Data!$A898="","",Data!$A898)</f>
        <v>0</v>
      </c>
      <c r="B898">
        <f>IF(Data!$B898="","",Data!$B898)</f>
        <v>0</v>
      </c>
      <c r="C898">
        <f>IF(Data!$C898="","",Data!$C898)</f>
        <v>0</v>
      </c>
      <c r="D898">
        <f>IF(Data!$D898="","",Data!$D898)</f>
        <v>0</v>
      </c>
      <c r="E898">
        <f>IF(Data!$E898="","",Data!$E898)</f>
        <v>0</v>
      </c>
      <c r="F898">
        <f>IF($E898="","",N(F897)+1)</f>
        <v>0</v>
      </c>
      <c r="G898">
        <f>IF(OR($E898="",$E897=""),"",LN($E898/$E897))</f>
        <v>0</v>
      </c>
      <c r="H898">
        <f>IF($E898="","",IF($E897="",$E898,$E898*0.0952380952+H897*0.9047619048))</f>
        <v>0</v>
      </c>
      <c r="I898">
        <f>IF($E898="","",IF($E897="",$E898,$E898*0.0392156863+I897*0.9607843137))</f>
        <v>0</v>
      </c>
      <c r="J898">
        <f>IF($E898="","",IF($E897="",$E898,$E898*0.0198019802+J897*0.9801980198))</f>
        <v>0</v>
      </c>
      <c r="K898">
        <f>IF($E898="","",IF($E897="",$E898,$E898*0.0099502488+K897*0.9900497512))</f>
        <v>0</v>
      </c>
      <c r="L898">
        <f>IF(OR($E898="",$E897=""),"",MAX($E898-$E897,0))</f>
        <v>0</v>
      </c>
      <c r="M898">
        <f>IF(OR($E898="",$E897=""),"",MAX($E897-$E898,0))</f>
        <v>0</v>
      </c>
      <c r="N898">
        <f>IF(COUNT($E$2:$E898)&lt;15,"",IF(AVERAGE($M$885:$M$898)=0,100,100-100/(1+AVERAGE($L$885:$L$898)/AVERAGE($M$885:$M$898))))</f>
        <v>0</v>
      </c>
      <c r="O898">
        <f>IF($E898="","",IF($E897="",$E898,$E898*0.1538461538+O897*0.8461538462))</f>
        <v>0</v>
      </c>
      <c r="P898">
        <f>IF($E898="","",IF($E897="",$E898,$E898*0.0740740741+P897*0.9259259259))</f>
        <v>0</v>
      </c>
      <c r="Q898">
        <f>IF(OR(O898="",P898=""),"",O898-P898)</f>
        <v>0</v>
      </c>
      <c r="R898">
        <f>IF(Q898="","",IF(R897="",Q898,Q898*0.2000000000+R897*0.8000000000))</f>
        <v>0</v>
      </c>
      <c r="S898">
        <f>IF(OR(Q898="",R898=""),"",Q898-R898)</f>
        <v>0</v>
      </c>
      <c r="T898">
        <f>IF(COUNT($E$2:$E898)&lt;14,"",MAX($C$885:$C$898))</f>
        <v>0</v>
      </c>
      <c r="U898">
        <f>IF(COUNT($E$2:$E898)&lt;14,"",MIN($D$885:$D$898))</f>
        <v>0</v>
      </c>
      <c r="V898">
        <f>IF(OR(T898="",U898="",T898=U898),"",100*($E898-U898)/(T898-U898))</f>
        <v>0</v>
      </c>
      <c r="W898">
        <f>IF(COUNT($V$896:$V$898)&lt;3,"",AVERAGE($V$896:$V$898))</f>
        <v>0</v>
      </c>
      <c r="X898">
        <f>IF(COUNT($N$885:$N$898)&lt;14,"",MIN($N$885:$N$898))</f>
        <v>0</v>
      </c>
      <c r="Y898">
        <f>IF(COUNT($N$885:$N$898)&lt;14,"",MAX($N$885:$N$898))</f>
        <v>0</v>
      </c>
      <c r="Z898">
        <f>IF(OR(N898="",X898="",Y898="",Y898=X898),"",100*(N898-X898)/(Y898-X898))</f>
        <v>0</v>
      </c>
      <c r="AA898">
        <f>IF(COUNT($Z$896:$Z$898)&lt;3,"",AVERAGE($Z$896:$Z$898))</f>
        <v>0</v>
      </c>
      <c r="AB898">
        <f>IF(COUNT($AA$896:$AA$898)&lt;3,"",AVERAGE($AA$896:$AA$898))</f>
        <v>0</v>
      </c>
      <c r="AC898">
        <f>IF($E898="","",MAX($C898-$D898,ABS($C898-$E897),ABS($D898-$E897)))</f>
        <v>0</v>
      </c>
      <c r="AD898">
        <f>IF(COUNT($E$2:$E898)&lt;15,"",AVERAGE($AC$885:$AC$898))</f>
        <v>0</v>
      </c>
      <c r="AE898">
        <f>IF(OR($E898="",$E897=""),"",IF(AND(($C898-$C897)&gt;($D897-$D898),($C898-$C897)&gt;0),$C898-$C897,0))</f>
        <v>0</v>
      </c>
      <c r="AF898">
        <f>IF(OR($E898="",$E897=""),"",IF(AND(($D897-$D898)&gt;($C898-$C897),($D897-$D898)&gt;0),$D897-$D898,0))</f>
        <v>0</v>
      </c>
      <c r="AG898">
        <f>IF(COUNT($E$2:$E898)&lt;15,"",IF(SUM($AC$885:$AC$898)=0,0,100*SUM($AE$885:$AE$898)/SUM($AC$885:$AC$898)))</f>
        <v>0</v>
      </c>
      <c r="AH898">
        <f>IF(COUNT($E$2:$E898)&lt;15,"",IF(SUM($AC$885:$AC$898)=0,0,100*SUM($AF$885:$AF$898)/SUM($AC$885:$AC$898)))</f>
        <v>0</v>
      </c>
      <c r="AI898">
        <f>IF(OR(AG898="",AH898=""),"",IF((AG898+AH898)=0,0,100*ABS(AG898-AH898)/(AG898+AH898)))</f>
        <v>0</v>
      </c>
      <c r="AJ898">
        <f>IF(COUNT($AI$885:$AI$898)&lt;14,"",AVERAGE($AI$885:$AI$898))</f>
        <v>0</v>
      </c>
      <c r="AK898">
        <f>IF(COUNT($E$2:$E898)&lt;20,"",AVERAGE($E$879:$E$898))</f>
        <v>0</v>
      </c>
      <c r="AL898">
        <f>IF(COUNT($E$2:$E898)&lt;20,"",STDEVP($E$879:$E$898))</f>
        <v>0</v>
      </c>
      <c r="AM898">
        <f>IF(AK898="","",AK898+2*AL898)</f>
        <v>0</v>
      </c>
      <c r="AN898">
        <f>IF(AK898="","",AK898-2*AL898)</f>
        <v>0</v>
      </c>
      <c r="AO898">
        <f>IF(OR(AM898="",AN898="",AM898=AN898),"",($E898-AN898)/(AM898-AN898))</f>
        <v>0</v>
      </c>
      <c r="AP898">
        <f>IF(OR(AM898="",AK898="",AK898=0),"",(AM898-AN898)/AK898)</f>
        <v>0</v>
      </c>
      <c r="AQ898">
        <f>IF(COUNT($E$2:$E898)&lt;20,"",MAX($C$879:$C$898))</f>
        <v>0</v>
      </c>
      <c r="AR898">
        <f>IF(COUNT($E$2:$E898)&lt;20,"",MIN($D$879:$D$898))</f>
        <v>0</v>
      </c>
      <c r="AS898">
        <f>IF(OR(AQ898="",AR898=""),"",(AQ898+AR898)/2)</f>
        <v>0</v>
      </c>
      <c r="AT898">
        <f>IF(COUNT($G$879:$G$898)&lt;20,"",STDEV($G$879:$G$898)*SQRT(252))</f>
        <v>0</v>
      </c>
      <c r="AU898">
        <f>IF(COUNT($E$2:$E898)&lt;9,"",(MAX($C$890:$C$898)+MIN($D$890:$D$898))/2)</f>
        <v>0</v>
      </c>
      <c r="AV898">
        <f>IF(COUNT($E$2:$E898)&lt;26,"",(MAX($C$873:$C$898)+MIN($D$873:$D$898))/2)</f>
        <v>0</v>
      </c>
      <c r="AW898">
        <f>IF(OR(AU898="",AV898=""),"",(AU898+AV898)/2)</f>
        <v>0</v>
      </c>
      <c r="AX898">
        <f>IF(COUNT($E$2:$E898)&lt;52,"",(MAX($C$847:$C$898)+MIN($D$847:$D$898))/2)</f>
        <v>0</v>
      </c>
      <c r="AY898">
        <f>IF(COUNT($E$2:$E898)&lt;20,"",MAX($C$799:$C$898))</f>
        <v>0</v>
      </c>
      <c r="AZ898">
        <f>IF(COUNT($E$2:$E898)&lt;20,"",MIN($D$799:$D$898))</f>
        <v>0</v>
      </c>
      <c r="BA898">
        <f>IF(COUNT($E$2:$E898)&lt;20,"",SLOPE($E$799:$E$898,$F$799:$F$898))</f>
        <v>0</v>
      </c>
      <c r="BB898">
        <f>IF(COUNT($E$2:$E898)&lt;20,"",INTERCEPT($E$799:$E$898,$F$799:$F$898))</f>
        <v>0</v>
      </c>
      <c r="BC898">
        <f>IF(OR(BA898="",BB898=""),"",BB898+BA898*F898)</f>
        <v>0</v>
      </c>
      <c r="BD898">
        <f>IF(COUNT($E$2:$E898)&lt;20,"",STEYX($E$799:$E$898,$F$799:$F$898))</f>
        <v>0</v>
      </c>
      <c r="BE898">
        <f>IF($E898="","",IF(AND(COUNT($E$899:$E$902)&gt;=4,$C898=MAX($C$894:$C$902)),$C898,""))</f>
        <v>0</v>
      </c>
      <c r="BF898">
        <f>IF($E898="","",IF(AND(COUNT($E$899:$E$902)&gt;=4,$D898=MIN($D$894:$D$902)),$D898,""))</f>
        <v>0</v>
      </c>
      <c r="BG898">
        <f>IF($A898="","",$A898-WEEKDAY($A898,2)+1)</f>
        <v>0</v>
      </c>
      <c r="BH898">
        <f>IF($A898="","",IF($A897="",1,IF(BG898&lt;&gt;BG897,1,0)))</f>
        <v>0</v>
      </c>
      <c r="BI898">
        <f>IF($A898="","",IF($A899="",1,IF(BG899&lt;&gt;BG898,1,0)))</f>
        <v>0</v>
      </c>
      <c r="BJ898">
        <f>IF($A898="","",IF(BH898=1,$B898,BJ897))</f>
        <v>0</v>
      </c>
      <c r="BK898">
        <f>IF($A898="","",IF(BH898=1,$C898,MAX($C898,BK897)))</f>
        <v>0</v>
      </c>
      <c r="BL898">
        <f>IF($A898="","",IF(BH898=1,$D898,MIN($D898,BL897)))</f>
        <v>0</v>
      </c>
      <c r="BM898">
        <f>IF($A898="","",IF(BI898=1,F898,""))</f>
        <v>0</v>
      </c>
      <c r="BN898">
        <f>IF($A898="","",DATE(YEAR($A898),MONTH($A898),1))</f>
        <v>0</v>
      </c>
      <c r="BO898">
        <f>IF($A898="","",IF($A897="",1,IF(BN898&lt;&gt;BN897,1,0)))</f>
        <v>0</v>
      </c>
      <c r="BP898">
        <f>IF($A898="","",IF($A899="",1,IF(BN899&lt;&gt;BN898,1,0)))</f>
        <v>0</v>
      </c>
      <c r="BQ898">
        <f>IF($A898="","",IF(BO898=1,$B898,BQ897))</f>
        <v>0</v>
      </c>
      <c r="BR898">
        <f>IF($A898="","",IF(BO898=1,$C898,MAX($C898,BR897)))</f>
        <v>0</v>
      </c>
      <c r="BS898">
        <f>IF($A898="","",IF(BO898=1,$D898,MIN($D898,BS897)))</f>
        <v>0</v>
      </c>
      <c r="BT898">
        <f>IF($A898="","",IF(BP898=1,F898,""))</f>
        <v>0</v>
      </c>
    </row>
    <row r="899" spans="1:72">
      <c r="A899" s="27">
        <f>IF(Data!$A899="","",Data!$A899)</f>
        <v>0</v>
      </c>
      <c r="B899">
        <f>IF(Data!$B899="","",Data!$B899)</f>
        <v>0</v>
      </c>
      <c r="C899">
        <f>IF(Data!$C899="","",Data!$C899)</f>
        <v>0</v>
      </c>
      <c r="D899">
        <f>IF(Data!$D899="","",Data!$D899)</f>
        <v>0</v>
      </c>
      <c r="E899">
        <f>IF(Data!$E899="","",Data!$E899)</f>
        <v>0</v>
      </c>
      <c r="F899">
        <f>IF($E899="","",N(F898)+1)</f>
        <v>0</v>
      </c>
      <c r="G899">
        <f>IF(OR($E899="",$E898=""),"",LN($E899/$E898))</f>
        <v>0</v>
      </c>
      <c r="H899">
        <f>IF($E899="","",IF($E898="",$E899,$E899*0.0952380952+H898*0.9047619048))</f>
        <v>0</v>
      </c>
      <c r="I899">
        <f>IF($E899="","",IF($E898="",$E899,$E899*0.0392156863+I898*0.9607843137))</f>
        <v>0</v>
      </c>
      <c r="J899">
        <f>IF($E899="","",IF($E898="",$E899,$E899*0.0198019802+J898*0.9801980198))</f>
        <v>0</v>
      </c>
      <c r="K899">
        <f>IF($E899="","",IF($E898="",$E899,$E899*0.0099502488+K898*0.9900497512))</f>
        <v>0</v>
      </c>
      <c r="L899">
        <f>IF(OR($E899="",$E898=""),"",MAX($E899-$E898,0))</f>
        <v>0</v>
      </c>
      <c r="M899">
        <f>IF(OR($E899="",$E898=""),"",MAX($E898-$E899,0))</f>
        <v>0</v>
      </c>
      <c r="N899">
        <f>IF(COUNT($E$2:$E899)&lt;15,"",IF(AVERAGE($M$886:$M$899)=0,100,100-100/(1+AVERAGE($L$886:$L$899)/AVERAGE($M$886:$M$899))))</f>
        <v>0</v>
      </c>
      <c r="O899">
        <f>IF($E899="","",IF($E898="",$E899,$E899*0.1538461538+O898*0.8461538462))</f>
        <v>0</v>
      </c>
      <c r="P899">
        <f>IF($E899="","",IF($E898="",$E899,$E899*0.0740740741+P898*0.9259259259))</f>
        <v>0</v>
      </c>
      <c r="Q899">
        <f>IF(OR(O899="",P899=""),"",O899-P899)</f>
        <v>0</v>
      </c>
      <c r="R899">
        <f>IF(Q899="","",IF(R898="",Q899,Q899*0.2000000000+R898*0.8000000000))</f>
        <v>0</v>
      </c>
      <c r="S899">
        <f>IF(OR(Q899="",R899=""),"",Q899-R899)</f>
        <v>0</v>
      </c>
      <c r="T899">
        <f>IF(COUNT($E$2:$E899)&lt;14,"",MAX($C$886:$C$899))</f>
        <v>0</v>
      </c>
      <c r="U899">
        <f>IF(COUNT($E$2:$E899)&lt;14,"",MIN($D$886:$D$899))</f>
        <v>0</v>
      </c>
      <c r="V899">
        <f>IF(OR(T899="",U899="",T899=U899),"",100*($E899-U899)/(T899-U899))</f>
        <v>0</v>
      </c>
      <c r="W899">
        <f>IF(COUNT($V$897:$V$899)&lt;3,"",AVERAGE($V$897:$V$899))</f>
        <v>0</v>
      </c>
      <c r="X899">
        <f>IF(COUNT($N$886:$N$899)&lt;14,"",MIN($N$886:$N$899))</f>
        <v>0</v>
      </c>
      <c r="Y899">
        <f>IF(COUNT($N$886:$N$899)&lt;14,"",MAX($N$886:$N$899))</f>
        <v>0</v>
      </c>
      <c r="Z899">
        <f>IF(OR(N899="",X899="",Y899="",Y899=X899),"",100*(N899-X899)/(Y899-X899))</f>
        <v>0</v>
      </c>
      <c r="AA899">
        <f>IF(COUNT($Z$897:$Z$899)&lt;3,"",AVERAGE($Z$897:$Z$899))</f>
        <v>0</v>
      </c>
      <c r="AB899">
        <f>IF(COUNT($AA$897:$AA$899)&lt;3,"",AVERAGE($AA$897:$AA$899))</f>
        <v>0</v>
      </c>
      <c r="AC899">
        <f>IF($E899="","",MAX($C899-$D899,ABS($C899-$E898),ABS($D899-$E898)))</f>
        <v>0</v>
      </c>
      <c r="AD899">
        <f>IF(COUNT($E$2:$E899)&lt;15,"",AVERAGE($AC$886:$AC$899))</f>
        <v>0</v>
      </c>
      <c r="AE899">
        <f>IF(OR($E899="",$E898=""),"",IF(AND(($C899-$C898)&gt;($D898-$D899),($C899-$C898)&gt;0),$C899-$C898,0))</f>
        <v>0</v>
      </c>
      <c r="AF899">
        <f>IF(OR($E899="",$E898=""),"",IF(AND(($D898-$D899)&gt;($C899-$C898),($D898-$D899)&gt;0),$D898-$D899,0))</f>
        <v>0</v>
      </c>
      <c r="AG899">
        <f>IF(COUNT($E$2:$E899)&lt;15,"",IF(SUM($AC$886:$AC$899)=0,0,100*SUM($AE$886:$AE$899)/SUM($AC$886:$AC$899)))</f>
        <v>0</v>
      </c>
      <c r="AH899">
        <f>IF(COUNT($E$2:$E899)&lt;15,"",IF(SUM($AC$886:$AC$899)=0,0,100*SUM($AF$886:$AF$899)/SUM($AC$886:$AC$899)))</f>
        <v>0</v>
      </c>
      <c r="AI899">
        <f>IF(OR(AG899="",AH899=""),"",IF((AG899+AH899)=0,0,100*ABS(AG899-AH899)/(AG899+AH899)))</f>
        <v>0</v>
      </c>
      <c r="AJ899">
        <f>IF(COUNT($AI$886:$AI$899)&lt;14,"",AVERAGE($AI$886:$AI$899))</f>
        <v>0</v>
      </c>
      <c r="AK899">
        <f>IF(COUNT($E$2:$E899)&lt;20,"",AVERAGE($E$880:$E$899))</f>
        <v>0</v>
      </c>
      <c r="AL899">
        <f>IF(COUNT($E$2:$E899)&lt;20,"",STDEVP($E$880:$E$899))</f>
        <v>0</v>
      </c>
      <c r="AM899">
        <f>IF(AK899="","",AK899+2*AL899)</f>
        <v>0</v>
      </c>
      <c r="AN899">
        <f>IF(AK899="","",AK899-2*AL899)</f>
        <v>0</v>
      </c>
      <c r="AO899">
        <f>IF(OR(AM899="",AN899="",AM899=AN899),"",($E899-AN899)/(AM899-AN899))</f>
        <v>0</v>
      </c>
      <c r="AP899">
        <f>IF(OR(AM899="",AK899="",AK899=0),"",(AM899-AN899)/AK899)</f>
        <v>0</v>
      </c>
      <c r="AQ899">
        <f>IF(COUNT($E$2:$E899)&lt;20,"",MAX($C$880:$C$899))</f>
        <v>0</v>
      </c>
      <c r="AR899">
        <f>IF(COUNT($E$2:$E899)&lt;20,"",MIN($D$880:$D$899))</f>
        <v>0</v>
      </c>
      <c r="AS899">
        <f>IF(OR(AQ899="",AR899=""),"",(AQ899+AR899)/2)</f>
        <v>0</v>
      </c>
      <c r="AT899">
        <f>IF(COUNT($G$880:$G$899)&lt;20,"",STDEV($G$880:$G$899)*SQRT(252))</f>
        <v>0</v>
      </c>
      <c r="AU899">
        <f>IF(COUNT($E$2:$E899)&lt;9,"",(MAX($C$891:$C$899)+MIN($D$891:$D$899))/2)</f>
        <v>0</v>
      </c>
      <c r="AV899">
        <f>IF(COUNT($E$2:$E899)&lt;26,"",(MAX($C$874:$C$899)+MIN($D$874:$D$899))/2)</f>
        <v>0</v>
      </c>
      <c r="AW899">
        <f>IF(OR(AU899="",AV899=""),"",(AU899+AV899)/2)</f>
        <v>0</v>
      </c>
      <c r="AX899">
        <f>IF(COUNT($E$2:$E899)&lt;52,"",(MAX($C$848:$C$899)+MIN($D$848:$D$899))/2)</f>
        <v>0</v>
      </c>
      <c r="AY899">
        <f>IF(COUNT($E$2:$E899)&lt;20,"",MAX($C$800:$C$899))</f>
        <v>0</v>
      </c>
      <c r="AZ899">
        <f>IF(COUNT($E$2:$E899)&lt;20,"",MIN($D$800:$D$899))</f>
        <v>0</v>
      </c>
      <c r="BA899">
        <f>IF(COUNT($E$2:$E899)&lt;20,"",SLOPE($E$800:$E$899,$F$800:$F$899))</f>
        <v>0</v>
      </c>
      <c r="BB899">
        <f>IF(COUNT($E$2:$E899)&lt;20,"",INTERCEPT($E$800:$E$899,$F$800:$F$899))</f>
        <v>0</v>
      </c>
      <c r="BC899">
        <f>IF(OR(BA899="",BB899=""),"",BB899+BA899*F899)</f>
        <v>0</v>
      </c>
      <c r="BD899">
        <f>IF(COUNT($E$2:$E899)&lt;20,"",STEYX($E$800:$E$899,$F$800:$F$899))</f>
        <v>0</v>
      </c>
      <c r="BE899">
        <f>IF($E899="","",IF(AND(COUNT($E$900:$E$903)&gt;=4,$C899=MAX($C$895:$C$903)),$C899,""))</f>
        <v>0</v>
      </c>
      <c r="BF899">
        <f>IF($E899="","",IF(AND(COUNT($E$900:$E$903)&gt;=4,$D899=MIN($D$895:$D$903)),$D899,""))</f>
        <v>0</v>
      </c>
      <c r="BG899">
        <f>IF($A899="","",$A899-WEEKDAY($A899,2)+1)</f>
        <v>0</v>
      </c>
      <c r="BH899">
        <f>IF($A899="","",IF($A898="",1,IF(BG899&lt;&gt;BG898,1,0)))</f>
        <v>0</v>
      </c>
      <c r="BI899">
        <f>IF($A899="","",IF($A900="",1,IF(BG900&lt;&gt;BG899,1,0)))</f>
        <v>0</v>
      </c>
      <c r="BJ899">
        <f>IF($A899="","",IF(BH899=1,$B899,BJ898))</f>
        <v>0</v>
      </c>
      <c r="BK899">
        <f>IF($A899="","",IF(BH899=1,$C899,MAX($C899,BK898)))</f>
        <v>0</v>
      </c>
      <c r="BL899">
        <f>IF($A899="","",IF(BH899=1,$D899,MIN($D899,BL898)))</f>
        <v>0</v>
      </c>
      <c r="BM899">
        <f>IF($A899="","",IF(BI899=1,F899,""))</f>
        <v>0</v>
      </c>
      <c r="BN899">
        <f>IF($A899="","",DATE(YEAR($A899),MONTH($A899),1))</f>
        <v>0</v>
      </c>
      <c r="BO899">
        <f>IF($A899="","",IF($A898="",1,IF(BN899&lt;&gt;BN898,1,0)))</f>
        <v>0</v>
      </c>
      <c r="BP899">
        <f>IF($A899="","",IF($A900="",1,IF(BN900&lt;&gt;BN899,1,0)))</f>
        <v>0</v>
      </c>
      <c r="BQ899">
        <f>IF($A899="","",IF(BO899=1,$B899,BQ898))</f>
        <v>0</v>
      </c>
      <c r="BR899">
        <f>IF($A899="","",IF(BO899=1,$C899,MAX($C899,BR898)))</f>
        <v>0</v>
      </c>
      <c r="BS899">
        <f>IF($A899="","",IF(BO899=1,$D899,MIN($D899,BS898)))</f>
        <v>0</v>
      </c>
      <c r="BT899">
        <f>IF($A899="","",IF(BP899=1,F899,""))</f>
        <v>0</v>
      </c>
    </row>
    <row r="900" spans="1:72">
      <c r="A900" s="27">
        <f>IF(Data!$A900="","",Data!$A900)</f>
        <v>0</v>
      </c>
      <c r="B900">
        <f>IF(Data!$B900="","",Data!$B900)</f>
        <v>0</v>
      </c>
      <c r="C900">
        <f>IF(Data!$C900="","",Data!$C900)</f>
        <v>0</v>
      </c>
      <c r="D900">
        <f>IF(Data!$D900="","",Data!$D900)</f>
        <v>0</v>
      </c>
      <c r="E900">
        <f>IF(Data!$E900="","",Data!$E900)</f>
        <v>0</v>
      </c>
      <c r="F900">
        <f>IF($E900="","",N(F899)+1)</f>
        <v>0</v>
      </c>
      <c r="G900">
        <f>IF(OR($E900="",$E899=""),"",LN($E900/$E899))</f>
        <v>0</v>
      </c>
      <c r="H900">
        <f>IF($E900="","",IF($E899="",$E900,$E900*0.0952380952+H899*0.9047619048))</f>
        <v>0</v>
      </c>
      <c r="I900">
        <f>IF($E900="","",IF($E899="",$E900,$E900*0.0392156863+I899*0.9607843137))</f>
        <v>0</v>
      </c>
      <c r="J900">
        <f>IF($E900="","",IF($E899="",$E900,$E900*0.0198019802+J899*0.9801980198))</f>
        <v>0</v>
      </c>
      <c r="K900">
        <f>IF($E900="","",IF($E899="",$E900,$E900*0.0099502488+K899*0.9900497512))</f>
        <v>0</v>
      </c>
      <c r="L900">
        <f>IF(OR($E900="",$E899=""),"",MAX($E900-$E899,0))</f>
        <v>0</v>
      </c>
      <c r="M900">
        <f>IF(OR($E900="",$E899=""),"",MAX($E899-$E900,0))</f>
        <v>0</v>
      </c>
      <c r="N900">
        <f>IF(COUNT($E$2:$E900)&lt;15,"",IF(AVERAGE($M$887:$M$900)=0,100,100-100/(1+AVERAGE($L$887:$L$900)/AVERAGE($M$887:$M$900))))</f>
        <v>0</v>
      </c>
      <c r="O900">
        <f>IF($E900="","",IF($E899="",$E900,$E900*0.1538461538+O899*0.8461538462))</f>
        <v>0</v>
      </c>
      <c r="P900">
        <f>IF($E900="","",IF($E899="",$E900,$E900*0.0740740741+P899*0.9259259259))</f>
        <v>0</v>
      </c>
      <c r="Q900">
        <f>IF(OR(O900="",P900=""),"",O900-P900)</f>
        <v>0</v>
      </c>
      <c r="R900">
        <f>IF(Q900="","",IF(R899="",Q900,Q900*0.2000000000+R899*0.8000000000))</f>
        <v>0</v>
      </c>
      <c r="S900">
        <f>IF(OR(Q900="",R900=""),"",Q900-R900)</f>
        <v>0</v>
      </c>
      <c r="T900">
        <f>IF(COUNT($E$2:$E900)&lt;14,"",MAX($C$887:$C$900))</f>
        <v>0</v>
      </c>
      <c r="U900">
        <f>IF(COUNT($E$2:$E900)&lt;14,"",MIN($D$887:$D$900))</f>
        <v>0</v>
      </c>
      <c r="V900">
        <f>IF(OR(T900="",U900="",T900=U900),"",100*($E900-U900)/(T900-U900))</f>
        <v>0</v>
      </c>
      <c r="W900">
        <f>IF(COUNT($V$898:$V$900)&lt;3,"",AVERAGE($V$898:$V$900))</f>
        <v>0</v>
      </c>
      <c r="X900">
        <f>IF(COUNT($N$887:$N$900)&lt;14,"",MIN($N$887:$N$900))</f>
        <v>0</v>
      </c>
      <c r="Y900">
        <f>IF(COUNT($N$887:$N$900)&lt;14,"",MAX($N$887:$N$900))</f>
        <v>0</v>
      </c>
      <c r="Z900">
        <f>IF(OR(N900="",X900="",Y900="",Y900=X900),"",100*(N900-X900)/(Y900-X900))</f>
        <v>0</v>
      </c>
      <c r="AA900">
        <f>IF(COUNT($Z$898:$Z$900)&lt;3,"",AVERAGE($Z$898:$Z$900))</f>
        <v>0</v>
      </c>
      <c r="AB900">
        <f>IF(COUNT($AA$898:$AA$900)&lt;3,"",AVERAGE($AA$898:$AA$900))</f>
        <v>0</v>
      </c>
      <c r="AC900">
        <f>IF($E900="","",MAX($C900-$D900,ABS($C900-$E899),ABS($D900-$E899)))</f>
        <v>0</v>
      </c>
      <c r="AD900">
        <f>IF(COUNT($E$2:$E900)&lt;15,"",AVERAGE($AC$887:$AC$900))</f>
        <v>0</v>
      </c>
      <c r="AE900">
        <f>IF(OR($E900="",$E899=""),"",IF(AND(($C900-$C899)&gt;($D899-$D900),($C900-$C899)&gt;0),$C900-$C899,0))</f>
        <v>0</v>
      </c>
      <c r="AF900">
        <f>IF(OR($E900="",$E899=""),"",IF(AND(($D899-$D900)&gt;($C900-$C899),($D899-$D900)&gt;0),$D899-$D900,0))</f>
        <v>0</v>
      </c>
      <c r="AG900">
        <f>IF(COUNT($E$2:$E900)&lt;15,"",IF(SUM($AC$887:$AC$900)=0,0,100*SUM($AE$887:$AE$900)/SUM($AC$887:$AC$900)))</f>
        <v>0</v>
      </c>
      <c r="AH900">
        <f>IF(COUNT($E$2:$E900)&lt;15,"",IF(SUM($AC$887:$AC$900)=0,0,100*SUM($AF$887:$AF$900)/SUM($AC$887:$AC$900)))</f>
        <v>0</v>
      </c>
      <c r="AI900">
        <f>IF(OR(AG900="",AH900=""),"",IF((AG900+AH900)=0,0,100*ABS(AG900-AH900)/(AG900+AH900)))</f>
        <v>0</v>
      </c>
      <c r="AJ900">
        <f>IF(COUNT($AI$887:$AI$900)&lt;14,"",AVERAGE($AI$887:$AI$900))</f>
        <v>0</v>
      </c>
      <c r="AK900">
        <f>IF(COUNT($E$2:$E900)&lt;20,"",AVERAGE($E$881:$E$900))</f>
        <v>0</v>
      </c>
      <c r="AL900">
        <f>IF(COUNT($E$2:$E900)&lt;20,"",STDEVP($E$881:$E$900))</f>
        <v>0</v>
      </c>
      <c r="AM900">
        <f>IF(AK900="","",AK900+2*AL900)</f>
        <v>0</v>
      </c>
      <c r="AN900">
        <f>IF(AK900="","",AK900-2*AL900)</f>
        <v>0</v>
      </c>
      <c r="AO900">
        <f>IF(OR(AM900="",AN900="",AM900=AN900),"",($E900-AN900)/(AM900-AN900))</f>
        <v>0</v>
      </c>
      <c r="AP900">
        <f>IF(OR(AM900="",AK900="",AK900=0),"",(AM900-AN900)/AK900)</f>
        <v>0</v>
      </c>
      <c r="AQ900">
        <f>IF(COUNT($E$2:$E900)&lt;20,"",MAX($C$881:$C$900))</f>
        <v>0</v>
      </c>
      <c r="AR900">
        <f>IF(COUNT($E$2:$E900)&lt;20,"",MIN($D$881:$D$900))</f>
        <v>0</v>
      </c>
      <c r="AS900">
        <f>IF(OR(AQ900="",AR900=""),"",(AQ900+AR900)/2)</f>
        <v>0</v>
      </c>
      <c r="AT900">
        <f>IF(COUNT($G$881:$G$900)&lt;20,"",STDEV($G$881:$G$900)*SQRT(252))</f>
        <v>0</v>
      </c>
      <c r="AU900">
        <f>IF(COUNT($E$2:$E900)&lt;9,"",(MAX($C$892:$C$900)+MIN($D$892:$D$900))/2)</f>
        <v>0</v>
      </c>
      <c r="AV900">
        <f>IF(COUNT($E$2:$E900)&lt;26,"",(MAX($C$875:$C$900)+MIN($D$875:$D$900))/2)</f>
        <v>0</v>
      </c>
      <c r="AW900">
        <f>IF(OR(AU900="",AV900=""),"",(AU900+AV900)/2)</f>
        <v>0</v>
      </c>
      <c r="AX900">
        <f>IF(COUNT($E$2:$E900)&lt;52,"",(MAX($C$849:$C$900)+MIN($D$849:$D$900))/2)</f>
        <v>0</v>
      </c>
      <c r="AY900">
        <f>IF(COUNT($E$2:$E900)&lt;20,"",MAX($C$801:$C$900))</f>
        <v>0</v>
      </c>
      <c r="AZ900">
        <f>IF(COUNT($E$2:$E900)&lt;20,"",MIN($D$801:$D$900))</f>
        <v>0</v>
      </c>
      <c r="BA900">
        <f>IF(COUNT($E$2:$E900)&lt;20,"",SLOPE($E$801:$E$900,$F$801:$F$900))</f>
        <v>0</v>
      </c>
      <c r="BB900">
        <f>IF(COUNT($E$2:$E900)&lt;20,"",INTERCEPT($E$801:$E$900,$F$801:$F$900))</f>
        <v>0</v>
      </c>
      <c r="BC900">
        <f>IF(OR(BA900="",BB900=""),"",BB900+BA900*F900)</f>
        <v>0</v>
      </c>
      <c r="BD900">
        <f>IF(COUNT($E$2:$E900)&lt;20,"",STEYX($E$801:$E$900,$F$801:$F$900))</f>
        <v>0</v>
      </c>
      <c r="BE900">
        <f>IF($E900="","",IF(AND(COUNT($E$901:$E$904)&gt;=4,$C900=MAX($C$896:$C$904)),$C900,""))</f>
        <v>0</v>
      </c>
      <c r="BF900">
        <f>IF($E900="","",IF(AND(COUNT($E$901:$E$904)&gt;=4,$D900=MIN($D$896:$D$904)),$D900,""))</f>
        <v>0</v>
      </c>
      <c r="BG900">
        <f>IF($A900="","",$A900-WEEKDAY($A900,2)+1)</f>
        <v>0</v>
      </c>
      <c r="BH900">
        <f>IF($A900="","",IF($A899="",1,IF(BG900&lt;&gt;BG899,1,0)))</f>
        <v>0</v>
      </c>
      <c r="BI900">
        <f>IF($A900="","",IF($A901="",1,IF(BG901&lt;&gt;BG900,1,0)))</f>
        <v>0</v>
      </c>
      <c r="BJ900">
        <f>IF($A900="","",IF(BH900=1,$B900,BJ899))</f>
        <v>0</v>
      </c>
      <c r="BK900">
        <f>IF($A900="","",IF(BH900=1,$C900,MAX($C900,BK899)))</f>
        <v>0</v>
      </c>
      <c r="BL900">
        <f>IF($A900="","",IF(BH900=1,$D900,MIN($D900,BL899)))</f>
        <v>0</v>
      </c>
      <c r="BM900">
        <f>IF($A900="","",IF(BI900=1,F900,""))</f>
        <v>0</v>
      </c>
      <c r="BN900">
        <f>IF($A900="","",DATE(YEAR($A900),MONTH($A900),1))</f>
        <v>0</v>
      </c>
      <c r="BO900">
        <f>IF($A900="","",IF($A899="",1,IF(BN900&lt;&gt;BN899,1,0)))</f>
        <v>0</v>
      </c>
      <c r="BP900">
        <f>IF($A900="","",IF($A901="",1,IF(BN901&lt;&gt;BN900,1,0)))</f>
        <v>0</v>
      </c>
      <c r="BQ900">
        <f>IF($A900="","",IF(BO900=1,$B900,BQ899))</f>
        <v>0</v>
      </c>
      <c r="BR900">
        <f>IF($A900="","",IF(BO900=1,$C900,MAX($C900,BR899)))</f>
        <v>0</v>
      </c>
      <c r="BS900">
        <f>IF($A900="","",IF(BO900=1,$D900,MIN($D900,BS899)))</f>
        <v>0</v>
      </c>
      <c r="BT900">
        <f>IF($A900="","",IF(BP900=1,F900,""))</f>
        <v>0</v>
      </c>
    </row>
    <row r="901" spans="1:72">
      <c r="A901" s="27">
        <f>IF(Data!$A901="","",Data!$A901)</f>
        <v>0</v>
      </c>
      <c r="B901">
        <f>IF(Data!$B901="","",Data!$B901)</f>
        <v>0</v>
      </c>
      <c r="C901">
        <f>IF(Data!$C901="","",Data!$C901)</f>
        <v>0</v>
      </c>
      <c r="D901">
        <f>IF(Data!$D901="","",Data!$D901)</f>
        <v>0</v>
      </c>
      <c r="E901">
        <f>IF(Data!$E901="","",Data!$E901)</f>
        <v>0</v>
      </c>
      <c r="F901">
        <f>IF($E901="","",N(F900)+1)</f>
        <v>0</v>
      </c>
      <c r="G901">
        <f>IF(OR($E901="",$E900=""),"",LN($E901/$E900))</f>
        <v>0</v>
      </c>
      <c r="H901">
        <f>IF($E901="","",IF($E900="",$E901,$E901*0.0952380952+H900*0.9047619048))</f>
        <v>0</v>
      </c>
      <c r="I901">
        <f>IF($E901="","",IF($E900="",$E901,$E901*0.0392156863+I900*0.9607843137))</f>
        <v>0</v>
      </c>
      <c r="J901">
        <f>IF($E901="","",IF($E900="",$E901,$E901*0.0198019802+J900*0.9801980198))</f>
        <v>0</v>
      </c>
      <c r="K901">
        <f>IF($E901="","",IF($E900="",$E901,$E901*0.0099502488+K900*0.9900497512))</f>
        <v>0</v>
      </c>
      <c r="L901">
        <f>IF(OR($E901="",$E900=""),"",MAX($E901-$E900,0))</f>
        <v>0</v>
      </c>
      <c r="M901">
        <f>IF(OR($E901="",$E900=""),"",MAX($E900-$E901,0))</f>
        <v>0</v>
      </c>
      <c r="N901">
        <f>IF(COUNT($E$2:$E901)&lt;15,"",IF(AVERAGE($M$888:$M$901)=0,100,100-100/(1+AVERAGE($L$888:$L$901)/AVERAGE($M$888:$M$901))))</f>
        <v>0</v>
      </c>
      <c r="O901">
        <f>IF($E901="","",IF($E900="",$E901,$E901*0.1538461538+O900*0.8461538462))</f>
        <v>0</v>
      </c>
      <c r="P901">
        <f>IF($E901="","",IF($E900="",$E901,$E901*0.0740740741+P900*0.9259259259))</f>
        <v>0</v>
      </c>
      <c r="Q901">
        <f>IF(OR(O901="",P901=""),"",O901-P901)</f>
        <v>0</v>
      </c>
      <c r="R901">
        <f>IF(Q901="","",IF(R900="",Q901,Q901*0.2000000000+R900*0.8000000000))</f>
        <v>0</v>
      </c>
      <c r="S901">
        <f>IF(OR(Q901="",R901=""),"",Q901-R901)</f>
        <v>0</v>
      </c>
      <c r="T901">
        <f>IF(COUNT($E$2:$E901)&lt;14,"",MAX($C$888:$C$901))</f>
        <v>0</v>
      </c>
      <c r="U901">
        <f>IF(COUNT($E$2:$E901)&lt;14,"",MIN($D$888:$D$901))</f>
        <v>0</v>
      </c>
      <c r="V901">
        <f>IF(OR(T901="",U901="",T901=U901),"",100*($E901-U901)/(T901-U901))</f>
        <v>0</v>
      </c>
      <c r="W901">
        <f>IF(COUNT($V$899:$V$901)&lt;3,"",AVERAGE($V$899:$V$901))</f>
        <v>0</v>
      </c>
      <c r="X901">
        <f>IF(COUNT($N$888:$N$901)&lt;14,"",MIN($N$888:$N$901))</f>
        <v>0</v>
      </c>
      <c r="Y901">
        <f>IF(COUNT($N$888:$N$901)&lt;14,"",MAX($N$888:$N$901))</f>
        <v>0</v>
      </c>
      <c r="Z901">
        <f>IF(OR(N901="",X901="",Y901="",Y901=X901),"",100*(N901-X901)/(Y901-X901))</f>
        <v>0</v>
      </c>
      <c r="AA901">
        <f>IF(COUNT($Z$899:$Z$901)&lt;3,"",AVERAGE($Z$899:$Z$901))</f>
        <v>0</v>
      </c>
      <c r="AB901">
        <f>IF(COUNT($AA$899:$AA$901)&lt;3,"",AVERAGE($AA$899:$AA$901))</f>
        <v>0</v>
      </c>
      <c r="AC901">
        <f>IF($E901="","",MAX($C901-$D901,ABS($C901-$E900),ABS($D901-$E900)))</f>
        <v>0</v>
      </c>
      <c r="AD901">
        <f>IF(COUNT($E$2:$E901)&lt;15,"",AVERAGE($AC$888:$AC$901))</f>
        <v>0</v>
      </c>
      <c r="AE901">
        <f>IF(OR($E901="",$E900=""),"",IF(AND(($C901-$C900)&gt;($D900-$D901),($C901-$C900)&gt;0),$C901-$C900,0))</f>
        <v>0</v>
      </c>
      <c r="AF901">
        <f>IF(OR($E901="",$E900=""),"",IF(AND(($D900-$D901)&gt;($C901-$C900),($D900-$D901)&gt;0),$D900-$D901,0))</f>
        <v>0</v>
      </c>
      <c r="AG901">
        <f>IF(COUNT($E$2:$E901)&lt;15,"",IF(SUM($AC$888:$AC$901)=0,0,100*SUM($AE$888:$AE$901)/SUM($AC$888:$AC$901)))</f>
        <v>0</v>
      </c>
      <c r="AH901">
        <f>IF(COUNT($E$2:$E901)&lt;15,"",IF(SUM($AC$888:$AC$901)=0,0,100*SUM($AF$888:$AF$901)/SUM($AC$888:$AC$901)))</f>
        <v>0</v>
      </c>
      <c r="AI901">
        <f>IF(OR(AG901="",AH901=""),"",IF((AG901+AH901)=0,0,100*ABS(AG901-AH901)/(AG901+AH901)))</f>
        <v>0</v>
      </c>
      <c r="AJ901">
        <f>IF(COUNT($AI$888:$AI$901)&lt;14,"",AVERAGE($AI$888:$AI$901))</f>
        <v>0</v>
      </c>
      <c r="AK901">
        <f>IF(COUNT($E$2:$E901)&lt;20,"",AVERAGE($E$882:$E$901))</f>
        <v>0</v>
      </c>
      <c r="AL901">
        <f>IF(COUNT($E$2:$E901)&lt;20,"",STDEVP($E$882:$E$901))</f>
        <v>0</v>
      </c>
      <c r="AM901">
        <f>IF(AK901="","",AK901+2*AL901)</f>
        <v>0</v>
      </c>
      <c r="AN901">
        <f>IF(AK901="","",AK901-2*AL901)</f>
        <v>0</v>
      </c>
      <c r="AO901">
        <f>IF(OR(AM901="",AN901="",AM901=AN901),"",($E901-AN901)/(AM901-AN901))</f>
        <v>0</v>
      </c>
      <c r="AP901">
        <f>IF(OR(AM901="",AK901="",AK901=0),"",(AM901-AN901)/AK901)</f>
        <v>0</v>
      </c>
      <c r="AQ901">
        <f>IF(COUNT($E$2:$E901)&lt;20,"",MAX($C$882:$C$901))</f>
        <v>0</v>
      </c>
      <c r="AR901">
        <f>IF(COUNT($E$2:$E901)&lt;20,"",MIN($D$882:$D$901))</f>
        <v>0</v>
      </c>
      <c r="AS901">
        <f>IF(OR(AQ901="",AR901=""),"",(AQ901+AR901)/2)</f>
        <v>0</v>
      </c>
      <c r="AT901">
        <f>IF(COUNT($G$882:$G$901)&lt;20,"",STDEV($G$882:$G$901)*SQRT(252))</f>
        <v>0</v>
      </c>
      <c r="AU901">
        <f>IF(COUNT($E$2:$E901)&lt;9,"",(MAX($C$893:$C$901)+MIN($D$893:$D$901))/2)</f>
        <v>0</v>
      </c>
      <c r="AV901">
        <f>IF(COUNT($E$2:$E901)&lt;26,"",(MAX($C$876:$C$901)+MIN($D$876:$D$901))/2)</f>
        <v>0</v>
      </c>
      <c r="AW901">
        <f>IF(OR(AU901="",AV901=""),"",(AU901+AV901)/2)</f>
        <v>0</v>
      </c>
      <c r="AX901">
        <f>IF(COUNT($E$2:$E901)&lt;52,"",(MAX($C$850:$C$901)+MIN($D$850:$D$901))/2)</f>
        <v>0</v>
      </c>
      <c r="AY901">
        <f>IF(COUNT($E$2:$E901)&lt;20,"",MAX($C$802:$C$901))</f>
        <v>0</v>
      </c>
      <c r="AZ901">
        <f>IF(COUNT($E$2:$E901)&lt;20,"",MIN($D$802:$D$901))</f>
        <v>0</v>
      </c>
      <c r="BA901">
        <f>IF(COUNT($E$2:$E901)&lt;20,"",SLOPE($E$802:$E$901,$F$802:$F$901))</f>
        <v>0</v>
      </c>
      <c r="BB901">
        <f>IF(COUNT($E$2:$E901)&lt;20,"",INTERCEPT($E$802:$E$901,$F$802:$F$901))</f>
        <v>0</v>
      </c>
      <c r="BC901">
        <f>IF(OR(BA901="",BB901=""),"",BB901+BA901*F901)</f>
        <v>0</v>
      </c>
      <c r="BD901">
        <f>IF(COUNT($E$2:$E901)&lt;20,"",STEYX($E$802:$E$901,$F$802:$F$901))</f>
        <v>0</v>
      </c>
      <c r="BE901">
        <f>IF($E901="","",IF(AND(COUNT($E$902:$E$905)&gt;=4,$C901=MAX($C$897:$C$905)),$C901,""))</f>
        <v>0</v>
      </c>
      <c r="BF901">
        <f>IF($E901="","",IF(AND(COUNT($E$902:$E$905)&gt;=4,$D901=MIN($D$897:$D$905)),$D901,""))</f>
        <v>0</v>
      </c>
      <c r="BG901">
        <f>IF($A901="","",$A901-WEEKDAY($A901,2)+1)</f>
        <v>0</v>
      </c>
      <c r="BH901">
        <f>IF($A901="","",IF($A900="",1,IF(BG901&lt;&gt;BG900,1,0)))</f>
        <v>0</v>
      </c>
      <c r="BI901">
        <f>IF($A901="","",IF($A902="",1,IF(BG902&lt;&gt;BG901,1,0)))</f>
        <v>0</v>
      </c>
      <c r="BJ901">
        <f>IF($A901="","",IF(BH901=1,$B901,BJ900))</f>
        <v>0</v>
      </c>
      <c r="BK901">
        <f>IF($A901="","",IF(BH901=1,$C901,MAX($C901,BK900)))</f>
        <v>0</v>
      </c>
      <c r="BL901">
        <f>IF($A901="","",IF(BH901=1,$D901,MIN($D901,BL900)))</f>
        <v>0</v>
      </c>
      <c r="BM901">
        <f>IF($A901="","",IF(BI901=1,F901,""))</f>
        <v>0</v>
      </c>
      <c r="BN901">
        <f>IF($A901="","",DATE(YEAR($A901),MONTH($A901),1))</f>
        <v>0</v>
      </c>
      <c r="BO901">
        <f>IF($A901="","",IF($A900="",1,IF(BN901&lt;&gt;BN900,1,0)))</f>
        <v>0</v>
      </c>
      <c r="BP901">
        <f>IF($A901="","",IF($A902="",1,IF(BN902&lt;&gt;BN901,1,0)))</f>
        <v>0</v>
      </c>
      <c r="BQ901">
        <f>IF($A901="","",IF(BO901=1,$B901,BQ900))</f>
        <v>0</v>
      </c>
      <c r="BR901">
        <f>IF($A901="","",IF(BO901=1,$C901,MAX($C901,BR900)))</f>
        <v>0</v>
      </c>
      <c r="BS901">
        <f>IF($A901="","",IF(BO901=1,$D901,MIN($D901,BS900)))</f>
        <v>0</v>
      </c>
      <c r="BT901">
        <f>IF($A901="","",IF(BP901=1,F901,""))</f>
        <v>0</v>
      </c>
    </row>
    <row r="902" spans="1:72">
      <c r="A902" s="27">
        <f>IF(Data!$A902="","",Data!$A902)</f>
        <v>0</v>
      </c>
      <c r="B902">
        <f>IF(Data!$B902="","",Data!$B902)</f>
        <v>0</v>
      </c>
      <c r="C902">
        <f>IF(Data!$C902="","",Data!$C902)</f>
        <v>0</v>
      </c>
      <c r="D902">
        <f>IF(Data!$D902="","",Data!$D902)</f>
        <v>0</v>
      </c>
      <c r="E902">
        <f>IF(Data!$E902="","",Data!$E902)</f>
        <v>0</v>
      </c>
      <c r="F902">
        <f>IF($E902="","",N(F901)+1)</f>
        <v>0</v>
      </c>
      <c r="G902">
        <f>IF(OR($E902="",$E901=""),"",LN($E902/$E901))</f>
        <v>0</v>
      </c>
      <c r="H902">
        <f>IF($E902="","",IF($E901="",$E902,$E902*0.0952380952+H901*0.9047619048))</f>
        <v>0</v>
      </c>
      <c r="I902">
        <f>IF($E902="","",IF($E901="",$E902,$E902*0.0392156863+I901*0.9607843137))</f>
        <v>0</v>
      </c>
      <c r="J902">
        <f>IF($E902="","",IF($E901="",$E902,$E902*0.0198019802+J901*0.9801980198))</f>
        <v>0</v>
      </c>
      <c r="K902">
        <f>IF($E902="","",IF($E901="",$E902,$E902*0.0099502488+K901*0.9900497512))</f>
        <v>0</v>
      </c>
      <c r="L902">
        <f>IF(OR($E902="",$E901=""),"",MAX($E902-$E901,0))</f>
        <v>0</v>
      </c>
      <c r="M902">
        <f>IF(OR($E902="",$E901=""),"",MAX($E901-$E902,0))</f>
        <v>0</v>
      </c>
      <c r="N902">
        <f>IF(COUNT($E$2:$E902)&lt;15,"",IF(AVERAGE($M$889:$M$902)=0,100,100-100/(1+AVERAGE($L$889:$L$902)/AVERAGE($M$889:$M$902))))</f>
        <v>0</v>
      </c>
      <c r="O902">
        <f>IF($E902="","",IF($E901="",$E902,$E902*0.1538461538+O901*0.8461538462))</f>
        <v>0</v>
      </c>
      <c r="P902">
        <f>IF($E902="","",IF($E901="",$E902,$E902*0.0740740741+P901*0.9259259259))</f>
        <v>0</v>
      </c>
      <c r="Q902">
        <f>IF(OR(O902="",P902=""),"",O902-P902)</f>
        <v>0</v>
      </c>
      <c r="R902">
        <f>IF(Q902="","",IF(R901="",Q902,Q902*0.2000000000+R901*0.8000000000))</f>
        <v>0</v>
      </c>
      <c r="S902">
        <f>IF(OR(Q902="",R902=""),"",Q902-R902)</f>
        <v>0</v>
      </c>
      <c r="T902">
        <f>IF(COUNT($E$2:$E902)&lt;14,"",MAX($C$889:$C$902))</f>
        <v>0</v>
      </c>
      <c r="U902">
        <f>IF(COUNT($E$2:$E902)&lt;14,"",MIN($D$889:$D$902))</f>
        <v>0</v>
      </c>
      <c r="V902">
        <f>IF(OR(T902="",U902="",T902=U902),"",100*($E902-U902)/(T902-U902))</f>
        <v>0</v>
      </c>
      <c r="W902">
        <f>IF(COUNT($V$900:$V$902)&lt;3,"",AVERAGE($V$900:$V$902))</f>
        <v>0</v>
      </c>
      <c r="X902">
        <f>IF(COUNT($N$889:$N$902)&lt;14,"",MIN($N$889:$N$902))</f>
        <v>0</v>
      </c>
      <c r="Y902">
        <f>IF(COUNT($N$889:$N$902)&lt;14,"",MAX($N$889:$N$902))</f>
        <v>0</v>
      </c>
      <c r="Z902">
        <f>IF(OR(N902="",X902="",Y902="",Y902=X902),"",100*(N902-X902)/(Y902-X902))</f>
        <v>0</v>
      </c>
      <c r="AA902">
        <f>IF(COUNT($Z$900:$Z$902)&lt;3,"",AVERAGE($Z$900:$Z$902))</f>
        <v>0</v>
      </c>
      <c r="AB902">
        <f>IF(COUNT($AA$900:$AA$902)&lt;3,"",AVERAGE($AA$900:$AA$902))</f>
        <v>0</v>
      </c>
      <c r="AC902">
        <f>IF($E902="","",MAX($C902-$D902,ABS($C902-$E901),ABS($D902-$E901)))</f>
        <v>0</v>
      </c>
      <c r="AD902">
        <f>IF(COUNT($E$2:$E902)&lt;15,"",AVERAGE($AC$889:$AC$902))</f>
        <v>0</v>
      </c>
      <c r="AE902">
        <f>IF(OR($E902="",$E901=""),"",IF(AND(($C902-$C901)&gt;($D901-$D902),($C902-$C901)&gt;0),$C902-$C901,0))</f>
        <v>0</v>
      </c>
      <c r="AF902">
        <f>IF(OR($E902="",$E901=""),"",IF(AND(($D901-$D902)&gt;($C902-$C901),($D901-$D902)&gt;0),$D901-$D902,0))</f>
        <v>0</v>
      </c>
      <c r="AG902">
        <f>IF(COUNT($E$2:$E902)&lt;15,"",IF(SUM($AC$889:$AC$902)=0,0,100*SUM($AE$889:$AE$902)/SUM($AC$889:$AC$902)))</f>
        <v>0</v>
      </c>
      <c r="AH902">
        <f>IF(COUNT($E$2:$E902)&lt;15,"",IF(SUM($AC$889:$AC$902)=0,0,100*SUM($AF$889:$AF$902)/SUM($AC$889:$AC$902)))</f>
        <v>0</v>
      </c>
      <c r="AI902">
        <f>IF(OR(AG902="",AH902=""),"",IF((AG902+AH902)=0,0,100*ABS(AG902-AH902)/(AG902+AH902)))</f>
        <v>0</v>
      </c>
      <c r="AJ902">
        <f>IF(COUNT($AI$889:$AI$902)&lt;14,"",AVERAGE($AI$889:$AI$902))</f>
        <v>0</v>
      </c>
      <c r="AK902">
        <f>IF(COUNT($E$2:$E902)&lt;20,"",AVERAGE($E$883:$E$902))</f>
        <v>0</v>
      </c>
      <c r="AL902">
        <f>IF(COUNT($E$2:$E902)&lt;20,"",STDEVP($E$883:$E$902))</f>
        <v>0</v>
      </c>
      <c r="AM902">
        <f>IF(AK902="","",AK902+2*AL902)</f>
        <v>0</v>
      </c>
      <c r="AN902">
        <f>IF(AK902="","",AK902-2*AL902)</f>
        <v>0</v>
      </c>
      <c r="AO902">
        <f>IF(OR(AM902="",AN902="",AM902=AN902),"",($E902-AN902)/(AM902-AN902))</f>
        <v>0</v>
      </c>
      <c r="AP902">
        <f>IF(OR(AM902="",AK902="",AK902=0),"",(AM902-AN902)/AK902)</f>
        <v>0</v>
      </c>
      <c r="AQ902">
        <f>IF(COUNT($E$2:$E902)&lt;20,"",MAX($C$883:$C$902))</f>
        <v>0</v>
      </c>
      <c r="AR902">
        <f>IF(COUNT($E$2:$E902)&lt;20,"",MIN($D$883:$D$902))</f>
        <v>0</v>
      </c>
      <c r="AS902">
        <f>IF(OR(AQ902="",AR902=""),"",(AQ902+AR902)/2)</f>
        <v>0</v>
      </c>
      <c r="AT902">
        <f>IF(COUNT($G$883:$G$902)&lt;20,"",STDEV($G$883:$G$902)*SQRT(252))</f>
        <v>0</v>
      </c>
      <c r="AU902">
        <f>IF(COUNT($E$2:$E902)&lt;9,"",(MAX($C$894:$C$902)+MIN($D$894:$D$902))/2)</f>
        <v>0</v>
      </c>
      <c r="AV902">
        <f>IF(COUNT($E$2:$E902)&lt;26,"",(MAX($C$877:$C$902)+MIN($D$877:$D$902))/2)</f>
        <v>0</v>
      </c>
      <c r="AW902">
        <f>IF(OR(AU902="",AV902=""),"",(AU902+AV902)/2)</f>
        <v>0</v>
      </c>
      <c r="AX902">
        <f>IF(COUNT($E$2:$E902)&lt;52,"",(MAX($C$851:$C$902)+MIN($D$851:$D$902))/2)</f>
        <v>0</v>
      </c>
      <c r="AY902">
        <f>IF(COUNT($E$2:$E902)&lt;20,"",MAX($C$803:$C$902))</f>
        <v>0</v>
      </c>
      <c r="AZ902">
        <f>IF(COUNT($E$2:$E902)&lt;20,"",MIN($D$803:$D$902))</f>
        <v>0</v>
      </c>
      <c r="BA902">
        <f>IF(COUNT($E$2:$E902)&lt;20,"",SLOPE($E$803:$E$902,$F$803:$F$902))</f>
        <v>0</v>
      </c>
      <c r="BB902">
        <f>IF(COUNT($E$2:$E902)&lt;20,"",INTERCEPT($E$803:$E$902,$F$803:$F$902))</f>
        <v>0</v>
      </c>
      <c r="BC902">
        <f>IF(OR(BA902="",BB902=""),"",BB902+BA902*F902)</f>
        <v>0</v>
      </c>
      <c r="BD902">
        <f>IF(COUNT($E$2:$E902)&lt;20,"",STEYX($E$803:$E$902,$F$803:$F$902))</f>
        <v>0</v>
      </c>
      <c r="BE902">
        <f>IF($E902="","",IF(AND(COUNT($E$903:$E$906)&gt;=4,$C902=MAX($C$898:$C$906)),$C902,""))</f>
        <v>0</v>
      </c>
      <c r="BF902">
        <f>IF($E902="","",IF(AND(COUNT($E$903:$E$906)&gt;=4,$D902=MIN($D$898:$D$906)),$D902,""))</f>
        <v>0</v>
      </c>
      <c r="BG902">
        <f>IF($A902="","",$A902-WEEKDAY($A902,2)+1)</f>
        <v>0</v>
      </c>
      <c r="BH902">
        <f>IF($A902="","",IF($A901="",1,IF(BG902&lt;&gt;BG901,1,0)))</f>
        <v>0</v>
      </c>
      <c r="BI902">
        <f>IF($A902="","",IF($A903="",1,IF(BG903&lt;&gt;BG902,1,0)))</f>
        <v>0</v>
      </c>
      <c r="BJ902">
        <f>IF($A902="","",IF(BH902=1,$B902,BJ901))</f>
        <v>0</v>
      </c>
      <c r="BK902">
        <f>IF($A902="","",IF(BH902=1,$C902,MAX($C902,BK901)))</f>
        <v>0</v>
      </c>
      <c r="BL902">
        <f>IF($A902="","",IF(BH902=1,$D902,MIN($D902,BL901)))</f>
        <v>0</v>
      </c>
      <c r="BM902">
        <f>IF($A902="","",IF(BI902=1,F902,""))</f>
        <v>0</v>
      </c>
      <c r="BN902">
        <f>IF($A902="","",DATE(YEAR($A902),MONTH($A902),1))</f>
        <v>0</v>
      </c>
      <c r="BO902">
        <f>IF($A902="","",IF($A901="",1,IF(BN902&lt;&gt;BN901,1,0)))</f>
        <v>0</v>
      </c>
      <c r="BP902">
        <f>IF($A902="","",IF($A903="",1,IF(BN903&lt;&gt;BN902,1,0)))</f>
        <v>0</v>
      </c>
      <c r="BQ902">
        <f>IF($A902="","",IF(BO902=1,$B902,BQ901))</f>
        <v>0</v>
      </c>
      <c r="BR902">
        <f>IF($A902="","",IF(BO902=1,$C902,MAX($C902,BR901)))</f>
        <v>0</v>
      </c>
      <c r="BS902">
        <f>IF($A902="","",IF(BO902=1,$D902,MIN($D902,BS901)))</f>
        <v>0</v>
      </c>
      <c r="BT902">
        <f>IF($A902="","",IF(BP902=1,F902,""))</f>
        <v>0</v>
      </c>
    </row>
    <row r="903" spans="1:72">
      <c r="A903" s="27">
        <f>IF(Data!$A903="","",Data!$A903)</f>
        <v>0</v>
      </c>
      <c r="B903">
        <f>IF(Data!$B903="","",Data!$B903)</f>
        <v>0</v>
      </c>
      <c r="C903">
        <f>IF(Data!$C903="","",Data!$C903)</f>
        <v>0</v>
      </c>
      <c r="D903">
        <f>IF(Data!$D903="","",Data!$D903)</f>
        <v>0</v>
      </c>
      <c r="E903">
        <f>IF(Data!$E903="","",Data!$E903)</f>
        <v>0</v>
      </c>
      <c r="F903">
        <f>IF($E903="","",N(F902)+1)</f>
        <v>0</v>
      </c>
      <c r="G903">
        <f>IF(OR($E903="",$E902=""),"",LN($E903/$E902))</f>
        <v>0</v>
      </c>
      <c r="H903">
        <f>IF($E903="","",IF($E902="",$E903,$E903*0.0952380952+H902*0.9047619048))</f>
        <v>0</v>
      </c>
      <c r="I903">
        <f>IF($E903="","",IF($E902="",$E903,$E903*0.0392156863+I902*0.9607843137))</f>
        <v>0</v>
      </c>
      <c r="J903">
        <f>IF($E903="","",IF($E902="",$E903,$E903*0.0198019802+J902*0.9801980198))</f>
        <v>0</v>
      </c>
      <c r="K903">
        <f>IF($E903="","",IF($E902="",$E903,$E903*0.0099502488+K902*0.9900497512))</f>
        <v>0</v>
      </c>
      <c r="L903">
        <f>IF(OR($E903="",$E902=""),"",MAX($E903-$E902,0))</f>
        <v>0</v>
      </c>
      <c r="M903">
        <f>IF(OR($E903="",$E902=""),"",MAX($E902-$E903,0))</f>
        <v>0</v>
      </c>
      <c r="N903">
        <f>IF(COUNT($E$2:$E903)&lt;15,"",IF(AVERAGE($M$890:$M$903)=0,100,100-100/(1+AVERAGE($L$890:$L$903)/AVERAGE($M$890:$M$903))))</f>
        <v>0</v>
      </c>
      <c r="O903">
        <f>IF($E903="","",IF($E902="",$E903,$E903*0.1538461538+O902*0.8461538462))</f>
        <v>0</v>
      </c>
      <c r="P903">
        <f>IF($E903="","",IF($E902="",$E903,$E903*0.0740740741+P902*0.9259259259))</f>
        <v>0</v>
      </c>
      <c r="Q903">
        <f>IF(OR(O903="",P903=""),"",O903-P903)</f>
        <v>0</v>
      </c>
      <c r="R903">
        <f>IF(Q903="","",IF(R902="",Q903,Q903*0.2000000000+R902*0.8000000000))</f>
        <v>0</v>
      </c>
      <c r="S903">
        <f>IF(OR(Q903="",R903=""),"",Q903-R903)</f>
        <v>0</v>
      </c>
      <c r="T903">
        <f>IF(COUNT($E$2:$E903)&lt;14,"",MAX($C$890:$C$903))</f>
        <v>0</v>
      </c>
      <c r="U903">
        <f>IF(COUNT($E$2:$E903)&lt;14,"",MIN($D$890:$D$903))</f>
        <v>0</v>
      </c>
      <c r="V903">
        <f>IF(OR(T903="",U903="",T903=U903),"",100*($E903-U903)/(T903-U903))</f>
        <v>0</v>
      </c>
      <c r="W903">
        <f>IF(COUNT($V$901:$V$903)&lt;3,"",AVERAGE($V$901:$V$903))</f>
        <v>0</v>
      </c>
      <c r="X903">
        <f>IF(COUNT($N$890:$N$903)&lt;14,"",MIN($N$890:$N$903))</f>
        <v>0</v>
      </c>
      <c r="Y903">
        <f>IF(COUNT($N$890:$N$903)&lt;14,"",MAX($N$890:$N$903))</f>
        <v>0</v>
      </c>
      <c r="Z903">
        <f>IF(OR(N903="",X903="",Y903="",Y903=X903),"",100*(N903-X903)/(Y903-X903))</f>
        <v>0</v>
      </c>
      <c r="AA903">
        <f>IF(COUNT($Z$901:$Z$903)&lt;3,"",AVERAGE($Z$901:$Z$903))</f>
        <v>0</v>
      </c>
      <c r="AB903">
        <f>IF(COUNT($AA$901:$AA$903)&lt;3,"",AVERAGE($AA$901:$AA$903))</f>
        <v>0</v>
      </c>
      <c r="AC903">
        <f>IF($E903="","",MAX($C903-$D903,ABS($C903-$E902),ABS($D903-$E902)))</f>
        <v>0</v>
      </c>
      <c r="AD903">
        <f>IF(COUNT($E$2:$E903)&lt;15,"",AVERAGE($AC$890:$AC$903))</f>
        <v>0</v>
      </c>
      <c r="AE903">
        <f>IF(OR($E903="",$E902=""),"",IF(AND(($C903-$C902)&gt;($D902-$D903),($C903-$C902)&gt;0),$C903-$C902,0))</f>
        <v>0</v>
      </c>
      <c r="AF903">
        <f>IF(OR($E903="",$E902=""),"",IF(AND(($D902-$D903)&gt;($C903-$C902),($D902-$D903)&gt;0),$D902-$D903,0))</f>
        <v>0</v>
      </c>
      <c r="AG903">
        <f>IF(COUNT($E$2:$E903)&lt;15,"",IF(SUM($AC$890:$AC$903)=0,0,100*SUM($AE$890:$AE$903)/SUM($AC$890:$AC$903)))</f>
        <v>0</v>
      </c>
      <c r="AH903">
        <f>IF(COUNT($E$2:$E903)&lt;15,"",IF(SUM($AC$890:$AC$903)=0,0,100*SUM($AF$890:$AF$903)/SUM($AC$890:$AC$903)))</f>
        <v>0</v>
      </c>
      <c r="AI903">
        <f>IF(OR(AG903="",AH903=""),"",IF((AG903+AH903)=0,0,100*ABS(AG903-AH903)/(AG903+AH903)))</f>
        <v>0</v>
      </c>
      <c r="AJ903">
        <f>IF(COUNT($AI$890:$AI$903)&lt;14,"",AVERAGE($AI$890:$AI$903))</f>
        <v>0</v>
      </c>
      <c r="AK903">
        <f>IF(COUNT($E$2:$E903)&lt;20,"",AVERAGE($E$884:$E$903))</f>
        <v>0</v>
      </c>
      <c r="AL903">
        <f>IF(COUNT($E$2:$E903)&lt;20,"",STDEVP($E$884:$E$903))</f>
        <v>0</v>
      </c>
      <c r="AM903">
        <f>IF(AK903="","",AK903+2*AL903)</f>
        <v>0</v>
      </c>
      <c r="AN903">
        <f>IF(AK903="","",AK903-2*AL903)</f>
        <v>0</v>
      </c>
      <c r="AO903">
        <f>IF(OR(AM903="",AN903="",AM903=AN903),"",($E903-AN903)/(AM903-AN903))</f>
        <v>0</v>
      </c>
      <c r="AP903">
        <f>IF(OR(AM903="",AK903="",AK903=0),"",(AM903-AN903)/AK903)</f>
        <v>0</v>
      </c>
      <c r="AQ903">
        <f>IF(COUNT($E$2:$E903)&lt;20,"",MAX($C$884:$C$903))</f>
        <v>0</v>
      </c>
      <c r="AR903">
        <f>IF(COUNT($E$2:$E903)&lt;20,"",MIN($D$884:$D$903))</f>
        <v>0</v>
      </c>
      <c r="AS903">
        <f>IF(OR(AQ903="",AR903=""),"",(AQ903+AR903)/2)</f>
        <v>0</v>
      </c>
      <c r="AT903">
        <f>IF(COUNT($G$884:$G$903)&lt;20,"",STDEV($G$884:$G$903)*SQRT(252))</f>
        <v>0</v>
      </c>
      <c r="AU903">
        <f>IF(COUNT($E$2:$E903)&lt;9,"",(MAX($C$895:$C$903)+MIN($D$895:$D$903))/2)</f>
        <v>0</v>
      </c>
      <c r="AV903">
        <f>IF(COUNT($E$2:$E903)&lt;26,"",(MAX($C$878:$C$903)+MIN($D$878:$D$903))/2)</f>
        <v>0</v>
      </c>
      <c r="AW903">
        <f>IF(OR(AU903="",AV903=""),"",(AU903+AV903)/2)</f>
        <v>0</v>
      </c>
      <c r="AX903">
        <f>IF(COUNT($E$2:$E903)&lt;52,"",(MAX($C$852:$C$903)+MIN($D$852:$D$903))/2)</f>
        <v>0</v>
      </c>
      <c r="AY903">
        <f>IF(COUNT($E$2:$E903)&lt;20,"",MAX($C$804:$C$903))</f>
        <v>0</v>
      </c>
      <c r="AZ903">
        <f>IF(COUNT($E$2:$E903)&lt;20,"",MIN($D$804:$D$903))</f>
        <v>0</v>
      </c>
      <c r="BA903">
        <f>IF(COUNT($E$2:$E903)&lt;20,"",SLOPE($E$804:$E$903,$F$804:$F$903))</f>
        <v>0</v>
      </c>
      <c r="BB903">
        <f>IF(COUNT($E$2:$E903)&lt;20,"",INTERCEPT($E$804:$E$903,$F$804:$F$903))</f>
        <v>0</v>
      </c>
      <c r="BC903">
        <f>IF(OR(BA903="",BB903=""),"",BB903+BA903*F903)</f>
        <v>0</v>
      </c>
      <c r="BD903">
        <f>IF(COUNT($E$2:$E903)&lt;20,"",STEYX($E$804:$E$903,$F$804:$F$903))</f>
        <v>0</v>
      </c>
      <c r="BE903">
        <f>IF($E903="","",IF(AND(COUNT($E$904:$E$907)&gt;=4,$C903=MAX($C$899:$C$907)),$C903,""))</f>
        <v>0</v>
      </c>
      <c r="BF903">
        <f>IF($E903="","",IF(AND(COUNT($E$904:$E$907)&gt;=4,$D903=MIN($D$899:$D$907)),$D903,""))</f>
        <v>0</v>
      </c>
      <c r="BG903">
        <f>IF($A903="","",$A903-WEEKDAY($A903,2)+1)</f>
        <v>0</v>
      </c>
      <c r="BH903">
        <f>IF($A903="","",IF($A902="",1,IF(BG903&lt;&gt;BG902,1,0)))</f>
        <v>0</v>
      </c>
      <c r="BI903">
        <f>IF($A903="","",IF($A904="",1,IF(BG904&lt;&gt;BG903,1,0)))</f>
        <v>0</v>
      </c>
      <c r="BJ903">
        <f>IF($A903="","",IF(BH903=1,$B903,BJ902))</f>
        <v>0</v>
      </c>
      <c r="BK903">
        <f>IF($A903="","",IF(BH903=1,$C903,MAX($C903,BK902)))</f>
        <v>0</v>
      </c>
      <c r="BL903">
        <f>IF($A903="","",IF(BH903=1,$D903,MIN($D903,BL902)))</f>
        <v>0</v>
      </c>
      <c r="BM903">
        <f>IF($A903="","",IF(BI903=1,F903,""))</f>
        <v>0</v>
      </c>
      <c r="BN903">
        <f>IF($A903="","",DATE(YEAR($A903),MONTH($A903),1))</f>
        <v>0</v>
      </c>
      <c r="BO903">
        <f>IF($A903="","",IF($A902="",1,IF(BN903&lt;&gt;BN902,1,0)))</f>
        <v>0</v>
      </c>
      <c r="BP903">
        <f>IF($A903="","",IF($A904="",1,IF(BN904&lt;&gt;BN903,1,0)))</f>
        <v>0</v>
      </c>
      <c r="BQ903">
        <f>IF($A903="","",IF(BO903=1,$B903,BQ902))</f>
        <v>0</v>
      </c>
      <c r="BR903">
        <f>IF($A903="","",IF(BO903=1,$C903,MAX($C903,BR902)))</f>
        <v>0</v>
      </c>
      <c r="BS903">
        <f>IF($A903="","",IF(BO903=1,$D903,MIN($D903,BS902)))</f>
        <v>0</v>
      </c>
      <c r="BT903">
        <f>IF($A903="","",IF(BP903=1,F903,""))</f>
        <v>0</v>
      </c>
    </row>
    <row r="904" spans="1:72">
      <c r="A904" s="27">
        <f>IF(Data!$A904="","",Data!$A904)</f>
        <v>0</v>
      </c>
      <c r="B904">
        <f>IF(Data!$B904="","",Data!$B904)</f>
        <v>0</v>
      </c>
      <c r="C904">
        <f>IF(Data!$C904="","",Data!$C904)</f>
        <v>0</v>
      </c>
      <c r="D904">
        <f>IF(Data!$D904="","",Data!$D904)</f>
        <v>0</v>
      </c>
      <c r="E904">
        <f>IF(Data!$E904="","",Data!$E904)</f>
        <v>0</v>
      </c>
      <c r="F904">
        <f>IF($E904="","",N(F903)+1)</f>
        <v>0</v>
      </c>
      <c r="G904">
        <f>IF(OR($E904="",$E903=""),"",LN($E904/$E903))</f>
        <v>0</v>
      </c>
      <c r="H904">
        <f>IF($E904="","",IF($E903="",$E904,$E904*0.0952380952+H903*0.9047619048))</f>
        <v>0</v>
      </c>
      <c r="I904">
        <f>IF($E904="","",IF($E903="",$E904,$E904*0.0392156863+I903*0.9607843137))</f>
        <v>0</v>
      </c>
      <c r="J904">
        <f>IF($E904="","",IF($E903="",$E904,$E904*0.0198019802+J903*0.9801980198))</f>
        <v>0</v>
      </c>
      <c r="K904">
        <f>IF($E904="","",IF($E903="",$E904,$E904*0.0099502488+K903*0.9900497512))</f>
        <v>0</v>
      </c>
      <c r="L904">
        <f>IF(OR($E904="",$E903=""),"",MAX($E904-$E903,0))</f>
        <v>0</v>
      </c>
      <c r="M904">
        <f>IF(OR($E904="",$E903=""),"",MAX($E903-$E904,0))</f>
        <v>0</v>
      </c>
      <c r="N904">
        <f>IF(COUNT($E$2:$E904)&lt;15,"",IF(AVERAGE($M$891:$M$904)=0,100,100-100/(1+AVERAGE($L$891:$L$904)/AVERAGE($M$891:$M$904))))</f>
        <v>0</v>
      </c>
      <c r="O904">
        <f>IF($E904="","",IF($E903="",$E904,$E904*0.1538461538+O903*0.8461538462))</f>
        <v>0</v>
      </c>
      <c r="P904">
        <f>IF($E904="","",IF($E903="",$E904,$E904*0.0740740741+P903*0.9259259259))</f>
        <v>0</v>
      </c>
      <c r="Q904">
        <f>IF(OR(O904="",P904=""),"",O904-P904)</f>
        <v>0</v>
      </c>
      <c r="R904">
        <f>IF(Q904="","",IF(R903="",Q904,Q904*0.2000000000+R903*0.8000000000))</f>
        <v>0</v>
      </c>
      <c r="S904">
        <f>IF(OR(Q904="",R904=""),"",Q904-R904)</f>
        <v>0</v>
      </c>
      <c r="T904">
        <f>IF(COUNT($E$2:$E904)&lt;14,"",MAX($C$891:$C$904))</f>
        <v>0</v>
      </c>
      <c r="U904">
        <f>IF(COUNT($E$2:$E904)&lt;14,"",MIN($D$891:$D$904))</f>
        <v>0</v>
      </c>
      <c r="V904">
        <f>IF(OR(T904="",U904="",T904=U904),"",100*($E904-U904)/(T904-U904))</f>
        <v>0</v>
      </c>
      <c r="W904">
        <f>IF(COUNT($V$902:$V$904)&lt;3,"",AVERAGE($V$902:$V$904))</f>
        <v>0</v>
      </c>
      <c r="X904">
        <f>IF(COUNT($N$891:$N$904)&lt;14,"",MIN($N$891:$N$904))</f>
        <v>0</v>
      </c>
      <c r="Y904">
        <f>IF(COUNT($N$891:$N$904)&lt;14,"",MAX($N$891:$N$904))</f>
        <v>0</v>
      </c>
      <c r="Z904">
        <f>IF(OR(N904="",X904="",Y904="",Y904=X904),"",100*(N904-X904)/(Y904-X904))</f>
        <v>0</v>
      </c>
      <c r="AA904">
        <f>IF(COUNT($Z$902:$Z$904)&lt;3,"",AVERAGE($Z$902:$Z$904))</f>
        <v>0</v>
      </c>
      <c r="AB904">
        <f>IF(COUNT($AA$902:$AA$904)&lt;3,"",AVERAGE($AA$902:$AA$904))</f>
        <v>0</v>
      </c>
      <c r="AC904">
        <f>IF($E904="","",MAX($C904-$D904,ABS($C904-$E903),ABS($D904-$E903)))</f>
        <v>0</v>
      </c>
      <c r="AD904">
        <f>IF(COUNT($E$2:$E904)&lt;15,"",AVERAGE($AC$891:$AC$904))</f>
        <v>0</v>
      </c>
      <c r="AE904">
        <f>IF(OR($E904="",$E903=""),"",IF(AND(($C904-$C903)&gt;($D903-$D904),($C904-$C903)&gt;0),$C904-$C903,0))</f>
        <v>0</v>
      </c>
      <c r="AF904">
        <f>IF(OR($E904="",$E903=""),"",IF(AND(($D903-$D904)&gt;($C904-$C903),($D903-$D904)&gt;0),$D903-$D904,0))</f>
        <v>0</v>
      </c>
      <c r="AG904">
        <f>IF(COUNT($E$2:$E904)&lt;15,"",IF(SUM($AC$891:$AC$904)=0,0,100*SUM($AE$891:$AE$904)/SUM($AC$891:$AC$904)))</f>
        <v>0</v>
      </c>
      <c r="AH904">
        <f>IF(COUNT($E$2:$E904)&lt;15,"",IF(SUM($AC$891:$AC$904)=0,0,100*SUM($AF$891:$AF$904)/SUM($AC$891:$AC$904)))</f>
        <v>0</v>
      </c>
      <c r="AI904">
        <f>IF(OR(AG904="",AH904=""),"",IF((AG904+AH904)=0,0,100*ABS(AG904-AH904)/(AG904+AH904)))</f>
        <v>0</v>
      </c>
      <c r="AJ904">
        <f>IF(COUNT($AI$891:$AI$904)&lt;14,"",AVERAGE($AI$891:$AI$904))</f>
        <v>0</v>
      </c>
      <c r="AK904">
        <f>IF(COUNT($E$2:$E904)&lt;20,"",AVERAGE($E$885:$E$904))</f>
        <v>0</v>
      </c>
      <c r="AL904">
        <f>IF(COUNT($E$2:$E904)&lt;20,"",STDEVP($E$885:$E$904))</f>
        <v>0</v>
      </c>
      <c r="AM904">
        <f>IF(AK904="","",AK904+2*AL904)</f>
        <v>0</v>
      </c>
      <c r="AN904">
        <f>IF(AK904="","",AK904-2*AL904)</f>
        <v>0</v>
      </c>
      <c r="AO904">
        <f>IF(OR(AM904="",AN904="",AM904=AN904),"",($E904-AN904)/(AM904-AN904))</f>
        <v>0</v>
      </c>
      <c r="AP904">
        <f>IF(OR(AM904="",AK904="",AK904=0),"",(AM904-AN904)/AK904)</f>
        <v>0</v>
      </c>
      <c r="AQ904">
        <f>IF(COUNT($E$2:$E904)&lt;20,"",MAX($C$885:$C$904))</f>
        <v>0</v>
      </c>
      <c r="AR904">
        <f>IF(COUNT($E$2:$E904)&lt;20,"",MIN($D$885:$D$904))</f>
        <v>0</v>
      </c>
      <c r="AS904">
        <f>IF(OR(AQ904="",AR904=""),"",(AQ904+AR904)/2)</f>
        <v>0</v>
      </c>
      <c r="AT904">
        <f>IF(COUNT($G$885:$G$904)&lt;20,"",STDEV($G$885:$G$904)*SQRT(252))</f>
        <v>0</v>
      </c>
      <c r="AU904">
        <f>IF(COUNT($E$2:$E904)&lt;9,"",(MAX($C$896:$C$904)+MIN($D$896:$D$904))/2)</f>
        <v>0</v>
      </c>
      <c r="AV904">
        <f>IF(COUNT($E$2:$E904)&lt;26,"",(MAX($C$879:$C$904)+MIN($D$879:$D$904))/2)</f>
        <v>0</v>
      </c>
      <c r="AW904">
        <f>IF(OR(AU904="",AV904=""),"",(AU904+AV904)/2)</f>
        <v>0</v>
      </c>
      <c r="AX904">
        <f>IF(COUNT($E$2:$E904)&lt;52,"",(MAX($C$853:$C$904)+MIN($D$853:$D$904))/2)</f>
        <v>0</v>
      </c>
      <c r="AY904">
        <f>IF(COUNT($E$2:$E904)&lt;20,"",MAX($C$805:$C$904))</f>
        <v>0</v>
      </c>
      <c r="AZ904">
        <f>IF(COUNT($E$2:$E904)&lt;20,"",MIN($D$805:$D$904))</f>
        <v>0</v>
      </c>
      <c r="BA904">
        <f>IF(COUNT($E$2:$E904)&lt;20,"",SLOPE($E$805:$E$904,$F$805:$F$904))</f>
        <v>0</v>
      </c>
      <c r="BB904">
        <f>IF(COUNT($E$2:$E904)&lt;20,"",INTERCEPT($E$805:$E$904,$F$805:$F$904))</f>
        <v>0</v>
      </c>
      <c r="BC904">
        <f>IF(OR(BA904="",BB904=""),"",BB904+BA904*F904)</f>
        <v>0</v>
      </c>
      <c r="BD904">
        <f>IF(COUNT($E$2:$E904)&lt;20,"",STEYX($E$805:$E$904,$F$805:$F$904))</f>
        <v>0</v>
      </c>
      <c r="BE904">
        <f>IF($E904="","",IF(AND(COUNT($E$905:$E$908)&gt;=4,$C904=MAX($C$900:$C$908)),$C904,""))</f>
        <v>0</v>
      </c>
      <c r="BF904">
        <f>IF($E904="","",IF(AND(COUNT($E$905:$E$908)&gt;=4,$D904=MIN($D$900:$D$908)),$D904,""))</f>
        <v>0</v>
      </c>
      <c r="BG904">
        <f>IF($A904="","",$A904-WEEKDAY($A904,2)+1)</f>
        <v>0</v>
      </c>
      <c r="BH904">
        <f>IF($A904="","",IF($A903="",1,IF(BG904&lt;&gt;BG903,1,0)))</f>
        <v>0</v>
      </c>
      <c r="BI904">
        <f>IF($A904="","",IF($A905="",1,IF(BG905&lt;&gt;BG904,1,0)))</f>
        <v>0</v>
      </c>
      <c r="BJ904">
        <f>IF($A904="","",IF(BH904=1,$B904,BJ903))</f>
        <v>0</v>
      </c>
      <c r="BK904">
        <f>IF($A904="","",IF(BH904=1,$C904,MAX($C904,BK903)))</f>
        <v>0</v>
      </c>
      <c r="BL904">
        <f>IF($A904="","",IF(BH904=1,$D904,MIN($D904,BL903)))</f>
        <v>0</v>
      </c>
      <c r="BM904">
        <f>IF($A904="","",IF(BI904=1,F904,""))</f>
        <v>0</v>
      </c>
      <c r="BN904">
        <f>IF($A904="","",DATE(YEAR($A904),MONTH($A904),1))</f>
        <v>0</v>
      </c>
      <c r="BO904">
        <f>IF($A904="","",IF($A903="",1,IF(BN904&lt;&gt;BN903,1,0)))</f>
        <v>0</v>
      </c>
      <c r="BP904">
        <f>IF($A904="","",IF($A905="",1,IF(BN905&lt;&gt;BN904,1,0)))</f>
        <v>0</v>
      </c>
      <c r="BQ904">
        <f>IF($A904="","",IF(BO904=1,$B904,BQ903))</f>
        <v>0</v>
      </c>
      <c r="BR904">
        <f>IF($A904="","",IF(BO904=1,$C904,MAX($C904,BR903)))</f>
        <v>0</v>
      </c>
      <c r="BS904">
        <f>IF($A904="","",IF(BO904=1,$D904,MIN($D904,BS903)))</f>
        <v>0</v>
      </c>
      <c r="BT904">
        <f>IF($A904="","",IF(BP904=1,F904,""))</f>
        <v>0</v>
      </c>
    </row>
    <row r="905" spans="1:72">
      <c r="A905" s="27">
        <f>IF(Data!$A905="","",Data!$A905)</f>
        <v>0</v>
      </c>
      <c r="B905">
        <f>IF(Data!$B905="","",Data!$B905)</f>
        <v>0</v>
      </c>
      <c r="C905">
        <f>IF(Data!$C905="","",Data!$C905)</f>
        <v>0</v>
      </c>
      <c r="D905">
        <f>IF(Data!$D905="","",Data!$D905)</f>
        <v>0</v>
      </c>
      <c r="E905">
        <f>IF(Data!$E905="","",Data!$E905)</f>
        <v>0</v>
      </c>
      <c r="F905">
        <f>IF($E905="","",N(F904)+1)</f>
        <v>0</v>
      </c>
      <c r="G905">
        <f>IF(OR($E905="",$E904=""),"",LN($E905/$E904))</f>
        <v>0</v>
      </c>
      <c r="H905">
        <f>IF($E905="","",IF($E904="",$E905,$E905*0.0952380952+H904*0.9047619048))</f>
        <v>0</v>
      </c>
      <c r="I905">
        <f>IF($E905="","",IF($E904="",$E905,$E905*0.0392156863+I904*0.9607843137))</f>
        <v>0</v>
      </c>
      <c r="J905">
        <f>IF($E905="","",IF($E904="",$E905,$E905*0.0198019802+J904*0.9801980198))</f>
        <v>0</v>
      </c>
      <c r="K905">
        <f>IF($E905="","",IF($E904="",$E905,$E905*0.0099502488+K904*0.9900497512))</f>
        <v>0</v>
      </c>
      <c r="L905">
        <f>IF(OR($E905="",$E904=""),"",MAX($E905-$E904,0))</f>
        <v>0</v>
      </c>
      <c r="M905">
        <f>IF(OR($E905="",$E904=""),"",MAX($E904-$E905,0))</f>
        <v>0</v>
      </c>
      <c r="N905">
        <f>IF(COUNT($E$2:$E905)&lt;15,"",IF(AVERAGE($M$892:$M$905)=0,100,100-100/(1+AVERAGE($L$892:$L$905)/AVERAGE($M$892:$M$905))))</f>
        <v>0</v>
      </c>
      <c r="O905">
        <f>IF($E905="","",IF($E904="",$E905,$E905*0.1538461538+O904*0.8461538462))</f>
        <v>0</v>
      </c>
      <c r="P905">
        <f>IF($E905="","",IF($E904="",$E905,$E905*0.0740740741+P904*0.9259259259))</f>
        <v>0</v>
      </c>
      <c r="Q905">
        <f>IF(OR(O905="",P905=""),"",O905-P905)</f>
        <v>0</v>
      </c>
      <c r="R905">
        <f>IF(Q905="","",IF(R904="",Q905,Q905*0.2000000000+R904*0.8000000000))</f>
        <v>0</v>
      </c>
      <c r="S905">
        <f>IF(OR(Q905="",R905=""),"",Q905-R905)</f>
        <v>0</v>
      </c>
      <c r="T905">
        <f>IF(COUNT($E$2:$E905)&lt;14,"",MAX($C$892:$C$905))</f>
        <v>0</v>
      </c>
      <c r="U905">
        <f>IF(COUNT($E$2:$E905)&lt;14,"",MIN($D$892:$D$905))</f>
        <v>0</v>
      </c>
      <c r="V905">
        <f>IF(OR(T905="",U905="",T905=U905),"",100*($E905-U905)/(T905-U905))</f>
        <v>0</v>
      </c>
      <c r="W905">
        <f>IF(COUNT($V$903:$V$905)&lt;3,"",AVERAGE($V$903:$V$905))</f>
        <v>0</v>
      </c>
      <c r="X905">
        <f>IF(COUNT($N$892:$N$905)&lt;14,"",MIN($N$892:$N$905))</f>
        <v>0</v>
      </c>
      <c r="Y905">
        <f>IF(COUNT($N$892:$N$905)&lt;14,"",MAX($N$892:$N$905))</f>
        <v>0</v>
      </c>
      <c r="Z905">
        <f>IF(OR(N905="",X905="",Y905="",Y905=X905),"",100*(N905-X905)/(Y905-X905))</f>
        <v>0</v>
      </c>
      <c r="AA905">
        <f>IF(COUNT($Z$903:$Z$905)&lt;3,"",AVERAGE($Z$903:$Z$905))</f>
        <v>0</v>
      </c>
      <c r="AB905">
        <f>IF(COUNT($AA$903:$AA$905)&lt;3,"",AVERAGE($AA$903:$AA$905))</f>
        <v>0</v>
      </c>
      <c r="AC905">
        <f>IF($E905="","",MAX($C905-$D905,ABS($C905-$E904),ABS($D905-$E904)))</f>
        <v>0</v>
      </c>
      <c r="AD905">
        <f>IF(COUNT($E$2:$E905)&lt;15,"",AVERAGE($AC$892:$AC$905))</f>
        <v>0</v>
      </c>
      <c r="AE905">
        <f>IF(OR($E905="",$E904=""),"",IF(AND(($C905-$C904)&gt;($D904-$D905),($C905-$C904)&gt;0),$C905-$C904,0))</f>
        <v>0</v>
      </c>
      <c r="AF905">
        <f>IF(OR($E905="",$E904=""),"",IF(AND(($D904-$D905)&gt;($C905-$C904),($D904-$D905)&gt;0),$D904-$D905,0))</f>
        <v>0</v>
      </c>
      <c r="AG905">
        <f>IF(COUNT($E$2:$E905)&lt;15,"",IF(SUM($AC$892:$AC$905)=0,0,100*SUM($AE$892:$AE$905)/SUM($AC$892:$AC$905)))</f>
        <v>0</v>
      </c>
      <c r="AH905">
        <f>IF(COUNT($E$2:$E905)&lt;15,"",IF(SUM($AC$892:$AC$905)=0,0,100*SUM($AF$892:$AF$905)/SUM($AC$892:$AC$905)))</f>
        <v>0</v>
      </c>
      <c r="AI905">
        <f>IF(OR(AG905="",AH905=""),"",IF((AG905+AH905)=0,0,100*ABS(AG905-AH905)/(AG905+AH905)))</f>
        <v>0</v>
      </c>
      <c r="AJ905">
        <f>IF(COUNT($AI$892:$AI$905)&lt;14,"",AVERAGE($AI$892:$AI$905))</f>
        <v>0</v>
      </c>
      <c r="AK905">
        <f>IF(COUNT($E$2:$E905)&lt;20,"",AVERAGE($E$886:$E$905))</f>
        <v>0</v>
      </c>
      <c r="AL905">
        <f>IF(COUNT($E$2:$E905)&lt;20,"",STDEVP($E$886:$E$905))</f>
        <v>0</v>
      </c>
      <c r="AM905">
        <f>IF(AK905="","",AK905+2*AL905)</f>
        <v>0</v>
      </c>
      <c r="AN905">
        <f>IF(AK905="","",AK905-2*AL905)</f>
        <v>0</v>
      </c>
      <c r="AO905">
        <f>IF(OR(AM905="",AN905="",AM905=AN905),"",($E905-AN905)/(AM905-AN905))</f>
        <v>0</v>
      </c>
      <c r="AP905">
        <f>IF(OR(AM905="",AK905="",AK905=0),"",(AM905-AN905)/AK905)</f>
        <v>0</v>
      </c>
      <c r="AQ905">
        <f>IF(COUNT($E$2:$E905)&lt;20,"",MAX($C$886:$C$905))</f>
        <v>0</v>
      </c>
      <c r="AR905">
        <f>IF(COUNT($E$2:$E905)&lt;20,"",MIN($D$886:$D$905))</f>
        <v>0</v>
      </c>
      <c r="AS905">
        <f>IF(OR(AQ905="",AR905=""),"",(AQ905+AR905)/2)</f>
        <v>0</v>
      </c>
      <c r="AT905">
        <f>IF(COUNT($G$886:$G$905)&lt;20,"",STDEV($G$886:$G$905)*SQRT(252))</f>
        <v>0</v>
      </c>
      <c r="AU905">
        <f>IF(COUNT($E$2:$E905)&lt;9,"",(MAX($C$897:$C$905)+MIN($D$897:$D$905))/2)</f>
        <v>0</v>
      </c>
      <c r="AV905">
        <f>IF(COUNT($E$2:$E905)&lt;26,"",(MAX($C$880:$C$905)+MIN($D$880:$D$905))/2)</f>
        <v>0</v>
      </c>
      <c r="AW905">
        <f>IF(OR(AU905="",AV905=""),"",(AU905+AV905)/2)</f>
        <v>0</v>
      </c>
      <c r="AX905">
        <f>IF(COUNT($E$2:$E905)&lt;52,"",(MAX($C$854:$C$905)+MIN($D$854:$D$905))/2)</f>
        <v>0</v>
      </c>
      <c r="AY905">
        <f>IF(COUNT($E$2:$E905)&lt;20,"",MAX($C$806:$C$905))</f>
        <v>0</v>
      </c>
      <c r="AZ905">
        <f>IF(COUNT($E$2:$E905)&lt;20,"",MIN($D$806:$D$905))</f>
        <v>0</v>
      </c>
      <c r="BA905">
        <f>IF(COUNT($E$2:$E905)&lt;20,"",SLOPE($E$806:$E$905,$F$806:$F$905))</f>
        <v>0</v>
      </c>
      <c r="BB905">
        <f>IF(COUNT($E$2:$E905)&lt;20,"",INTERCEPT($E$806:$E$905,$F$806:$F$905))</f>
        <v>0</v>
      </c>
      <c r="BC905">
        <f>IF(OR(BA905="",BB905=""),"",BB905+BA905*F905)</f>
        <v>0</v>
      </c>
      <c r="BD905">
        <f>IF(COUNT($E$2:$E905)&lt;20,"",STEYX($E$806:$E$905,$F$806:$F$905))</f>
        <v>0</v>
      </c>
      <c r="BE905">
        <f>IF($E905="","",IF(AND(COUNT($E$906:$E$909)&gt;=4,$C905=MAX($C$901:$C$909)),$C905,""))</f>
        <v>0</v>
      </c>
      <c r="BF905">
        <f>IF($E905="","",IF(AND(COUNT($E$906:$E$909)&gt;=4,$D905=MIN($D$901:$D$909)),$D905,""))</f>
        <v>0</v>
      </c>
      <c r="BG905">
        <f>IF($A905="","",$A905-WEEKDAY($A905,2)+1)</f>
        <v>0</v>
      </c>
      <c r="BH905">
        <f>IF($A905="","",IF($A904="",1,IF(BG905&lt;&gt;BG904,1,0)))</f>
        <v>0</v>
      </c>
      <c r="BI905">
        <f>IF($A905="","",IF($A906="",1,IF(BG906&lt;&gt;BG905,1,0)))</f>
        <v>0</v>
      </c>
      <c r="BJ905">
        <f>IF($A905="","",IF(BH905=1,$B905,BJ904))</f>
        <v>0</v>
      </c>
      <c r="BK905">
        <f>IF($A905="","",IF(BH905=1,$C905,MAX($C905,BK904)))</f>
        <v>0</v>
      </c>
      <c r="BL905">
        <f>IF($A905="","",IF(BH905=1,$D905,MIN($D905,BL904)))</f>
        <v>0</v>
      </c>
      <c r="BM905">
        <f>IF($A905="","",IF(BI905=1,F905,""))</f>
        <v>0</v>
      </c>
      <c r="BN905">
        <f>IF($A905="","",DATE(YEAR($A905),MONTH($A905),1))</f>
        <v>0</v>
      </c>
      <c r="BO905">
        <f>IF($A905="","",IF($A904="",1,IF(BN905&lt;&gt;BN904,1,0)))</f>
        <v>0</v>
      </c>
      <c r="BP905">
        <f>IF($A905="","",IF($A906="",1,IF(BN906&lt;&gt;BN905,1,0)))</f>
        <v>0</v>
      </c>
      <c r="BQ905">
        <f>IF($A905="","",IF(BO905=1,$B905,BQ904))</f>
        <v>0</v>
      </c>
      <c r="BR905">
        <f>IF($A905="","",IF(BO905=1,$C905,MAX($C905,BR904)))</f>
        <v>0</v>
      </c>
      <c r="BS905">
        <f>IF($A905="","",IF(BO905=1,$D905,MIN($D905,BS904)))</f>
        <v>0</v>
      </c>
      <c r="BT905">
        <f>IF($A905="","",IF(BP905=1,F905,""))</f>
        <v>0</v>
      </c>
    </row>
    <row r="906" spans="1:72">
      <c r="A906" s="27">
        <f>IF(Data!$A906="","",Data!$A906)</f>
        <v>0</v>
      </c>
      <c r="B906">
        <f>IF(Data!$B906="","",Data!$B906)</f>
        <v>0</v>
      </c>
      <c r="C906">
        <f>IF(Data!$C906="","",Data!$C906)</f>
        <v>0</v>
      </c>
      <c r="D906">
        <f>IF(Data!$D906="","",Data!$D906)</f>
        <v>0</v>
      </c>
      <c r="E906">
        <f>IF(Data!$E906="","",Data!$E906)</f>
        <v>0</v>
      </c>
      <c r="F906">
        <f>IF($E906="","",N(F905)+1)</f>
        <v>0</v>
      </c>
      <c r="G906">
        <f>IF(OR($E906="",$E905=""),"",LN($E906/$E905))</f>
        <v>0</v>
      </c>
      <c r="H906">
        <f>IF($E906="","",IF($E905="",$E906,$E906*0.0952380952+H905*0.9047619048))</f>
        <v>0</v>
      </c>
      <c r="I906">
        <f>IF($E906="","",IF($E905="",$E906,$E906*0.0392156863+I905*0.9607843137))</f>
        <v>0</v>
      </c>
      <c r="J906">
        <f>IF($E906="","",IF($E905="",$E906,$E906*0.0198019802+J905*0.9801980198))</f>
        <v>0</v>
      </c>
      <c r="K906">
        <f>IF($E906="","",IF($E905="",$E906,$E906*0.0099502488+K905*0.9900497512))</f>
        <v>0</v>
      </c>
      <c r="L906">
        <f>IF(OR($E906="",$E905=""),"",MAX($E906-$E905,0))</f>
        <v>0</v>
      </c>
      <c r="M906">
        <f>IF(OR($E906="",$E905=""),"",MAX($E905-$E906,0))</f>
        <v>0</v>
      </c>
      <c r="N906">
        <f>IF(COUNT($E$2:$E906)&lt;15,"",IF(AVERAGE($M$893:$M$906)=0,100,100-100/(1+AVERAGE($L$893:$L$906)/AVERAGE($M$893:$M$906))))</f>
        <v>0</v>
      </c>
      <c r="O906">
        <f>IF($E906="","",IF($E905="",$E906,$E906*0.1538461538+O905*0.8461538462))</f>
        <v>0</v>
      </c>
      <c r="P906">
        <f>IF($E906="","",IF($E905="",$E906,$E906*0.0740740741+P905*0.9259259259))</f>
        <v>0</v>
      </c>
      <c r="Q906">
        <f>IF(OR(O906="",P906=""),"",O906-P906)</f>
        <v>0</v>
      </c>
      <c r="R906">
        <f>IF(Q906="","",IF(R905="",Q906,Q906*0.2000000000+R905*0.8000000000))</f>
        <v>0</v>
      </c>
      <c r="S906">
        <f>IF(OR(Q906="",R906=""),"",Q906-R906)</f>
        <v>0</v>
      </c>
      <c r="T906">
        <f>IF(COUNT($E$2:$E906)&lt;14,"",MAX($C$893:$C$906))</f>
        <v>0</v>
      </c>
      <c r="U906">
        <f>IF(COUNT($E$2:$E906)&lt;14,"",MIN($D$893:$D$906))</f>
        <v>0</v>
      </c>
      <c r="V906">
        <f>IF(OR(T906="",U906="",T906=U906),"",100*($E906-U906)/(T906-U906))</f>
        <v>0</v>
      </c>
      <c r="W906">
        <f>IF(COUNT($V$904:$V$906)&lt;3,"",AVERAGE($V$904:$V$906))</f>
        <v>0</v>
      </c>
      <c r="X906">
        <f>IF(COUNT($N$893:$N$906)&lt;14,"",MIN($N$893:$N$906))</f>
        <v>0</v>
      </c>
      <c r="Y906">
        <f>IF(COUNT($N$893:$N$906)&lt;14,"",MAX($N$893:$N$906))</f>
        <v>0</v>
      </c>
      <c r="Z906">
        <f>IF(OR(N906="",X906="",Y906="",Y906=X906),"",100*(N906-X906)/(Y906-X906))</f>
        <v>0</v>
      </c>
      <c r="AA906">
        <f>IF(COUNT($Z$904:$Z$906)&lt;3,"",AVERAGE($Z$904:$Z$906))</f>
        <v>0</v>
      </c>
      <c r="AB906">
        <f>IF(COUNT($AA$904:$AA$906)&lt;3,"",AVERAGE($AA$904:$AA$906))</f>
        <v>0</v>
      </c>
      <c r="AC906">
        <f>IF($E906="","",MAX($C906-$D906,ABS($C906-$E905),ABS($D906-$E905)))</f>
        <v>0</v>
      </c>
      <c r="AD906">
        <f>IF(COUNT($E$2:$E906)&lt;15,"",AVERAGE($AC$893:$AC$906))</f>
        <v>0</v>
      </c>
      <c r="AE906">
        <f>IF(OR($E906="",$E905=""),"",IF(AND(($C906-$C905)&gt;($D905-$D906),($C906-$C905)&gt;0),$C906-$C905,0))</f>
        <v>0</v>
      </c>
      <c r="AF906">
        <f>IF(OR($E906="",$E905=""),"",IF(AND(($D905-$D906)&gt;($C906-$C905),($D905-$D906)&gt;0),$D905-$D906,0))</f>
        <v>0</v>
      </c>
      <c r="AG906">
        <f>IF(COUNT($E$2:$E906)&lt;15,"",IF(SUM($AC$893:$AC$906)=0,0,100*SUM($AE$893:$AE$906)/SUM($AC$893:$AC$906)))</f>
        <v>0</v>
      </c>
      <c r="AH906">
        <f>IF(COUNT($E$2:$E906)&lt;15,"",IF(SUM($AC$893:$AC$906)=0,0,100*SUM($AF$893:$AF$906)/SUM($AC$893:$AC$906)))</f>
        <v>0</v>
      </c>
      <c r="AI906">
        <f>IF(OR(AG906="",AH906=""),"",IF((AG906+AH906)=0,0,100*ABS(AG906-AH906)/(AG906+AH906)))</f>
        <v>0</v>
      </c>
      <c r="AJ906">
        <f>IF(COUNT($AI$893:$AI$906)&lt;14,"",AVERAGE($AI$893:$AI$906))</f>
        <v>0</v>
      </c>
      <c r="AK906">
        <f>IF(COUNT($E$2:$E906)&lt;20,"",AVERAGE($E$887:$E$906))</f>
        <v>0</v>
      </c>
      <c r="AL906">
        <f>IF(COUNT($E$2:$E906)&lt;20,"",STDEVP($E$887:$E$906))</f>
        <v>0</v>
      </c>
      <c r="AM906">
        <f>IF(AK906="","",AK906+2*AL906)</f>
        <v>0</v>
      </c>
      <c r="AN906">
        <f>IF(AK906="","",AK906-2*AL906)</f>
        <v>0</v>
      </c>
      <c r="AO906">
        <f>IF(OR(AM906="",AN906="",AM906=AN906),"",($E906-AN906)/(AM906-AN906))</f>
        <v>0</v>
      </c>
      <c r="AP906">
        <f>IF(OR(AM906="",AK906="",AK906=0),"",(AM906-AN906)/AK906)</f>
        <v>0</v>
      </c>
      <c r="AQ906">
        <f>IF(COUNT($E$2:$E906)&lt;20,"",MAX($C$887:$C$906))</f>
        <v>0</v>
      </c>
      <c r="AR906">
        <f>IF(COUNT($E$2:$E906)&lt;20,"",MIN($D$887:$D$906))</f>
        <v>0</v>
      </c>
      <c r="AS906">
        <f>IF(OR(AQ906="",AR906=""),"",(AQ906+AR906)/2)</f>
        <v>0</v>
      </c>
      <c r="AT906">
        <f>IF(COUNT($G$887:$G$906)&lt;20,"",STDEV($G$887:$G$906)*SQRT(252))</f>
        <v>0</v>
      </c>
      <c r="AU906">
        <f>IF(COUNT($E$2:$E906)&lt;9,"",(MAX($C$898:$C$906)+MIN($D$898:$D$906))/2)</f>
        <v>0</v>
      </c>
      <c r="AV906">
        <f>IF(COUNT($E$2:$E906)&lt;26,"",(MAX($C$881:$C$906)+MIN($D$881:$D$906))/2)</f>
        <v>0</v>
      </c>
      <c r="AW906">
        <f>IF(OR(AU906="",AV906=""),"",(AU906+AV906)/2)</f>
        <v>0</v>
      </c>
      <c r="AX906">
        <f>IF(COUNT($E$2:$E906)&lt;52,"",(MAX($C$855:$C$906)+MIN($D$855:$D$906))/2)</f>
        <v>0</v>
      </c>
      <c r="AY906">
        <f>IF(COUNT($E$2:$E906)&lt;20,"",MAX($C$807:$C$906))</f>
        <v>0</v>
      </c>
      <c r="AZ906">
        <f>IF(COUNT($E$2:$E906)&lt;20,"",MIN($D$807:$D$906))</f>
        <v>0</v>
      </c>
      <c r="BA906">
        <f>IF(COUNT($E$2:$E906)&lt;20,"",SLOPE($E$807:$E$906,$F$807:$F$906))</f>
        <v>0</v>
      </c>
      <c r="BB906">
        <f>IF(COUNT($E$2:$E906)&lt;20,"",INTERCEPT($E$807:$E$906,$F$807:$F$906))</f>
        <v>0</v>
      </c>
      <c r="BC906">
        <f>IF(OR(BA906="",BB906=""),"",BB906+BA906*F906)</f>
        <v>0</v>
      </c>
      <c r="BD906">
        <f>IF(COUNT($E$2:$E906)&lt;20,"",STEYX($E$807:$E$906,$F$807:$F$906))</f>
        <v>0</v>
      </c>
      <c r="BE906">
        <f>IF($E906="","",IF(AND(COUNT($E$907:$E$910)&gt;=4,$C906=MAX($C$902:$C$910)),$C906,""))</f>
        <v>0</v>
      </c>
      <c r="BF906">
        <f>IF($E906="","",IF(AND(COUNT($E$907:$E$910)&gt;=4,$D906=MIN($D$902:$D$910)),$D906,""))</f>
        <v>0</v>
      </c>
      <c r="BG906">
        <f>IF($A906="","",$A906-WEEKDAY($A906,2)+1)</f>
        <v>0</v>
      </c>
      <c r="BH906">
        <f>IF($A906="","",IF($A905="",1,IF(BG906&lt;&gt;BG905,1,0)))</f>
        <v>0</v>
      </c>
      <c r="BI906">
        <f>IF($A906="","",IF($A907="",1,IF(BG907&lt;&gt;BG906,1,0)))</f>
        <v>0</v>
      </c>
      <c r="BJ906">
        <f>IF($A906="","",IF(BH906=1,$B906,BJ905))</f>
        <v>0</v>
      </c>
      <c r="BK906">
        <f>IF($A906="","",IF(BH906=1,$C906,MAX($C906,BK905)))</f>
        <v>0</v>
      </c>
      <c r="BL906">
        <f>IF($A906="","",IF(BH906=1,$D906,MIN($D906,BL905)))</f>
        <v>0</v>
      </c>
      <c r="BM906">
        <f>IF($A906="","",IF(BI906=1,F906,""))</f>
        <v>0</v>
      </c>
      <c r="BN906">
        <f>IF($A906="","",DATE(YEAR($A906),MONTH($A906),1))</f>
        <v>0</v>
      </c>
      <c r="BO906">
        <f>IF($A906="","",IF($A905="",1,IF(BN906&lt;&gt;BN905,1,0)))</f>
        <v>0</v>
      </c>
      <c r="BP906">
        <f>IF($A906="","",IF($A907="",1,IF(BN907&lt;&gt;BN906,1,0)))</f>
        <v>0</v>
      </c>
      <c r="BQ906">
        <f>IF($A906="","",IF(BO906=1,$B906,BQ905))</f>
        <v>0</v>
      </c>
      <c r="BR906">
        <f>IF($A906="","",IF(BO906=1,$C906,MAX($C906,BR905)))</f>
        <v>0</v>
      </c>
      <c r="BS906">
        <f>IF($A906="","",IF(BO906=1,$D906,MIN($D906,BS905)))</f>
        <v>0</v>
      </c>
      <c r="BT906">
        <f>IF($A906="","",IF(BP906=1,F906,""))</f>
        <v>0</v>
      </c>
    </row>
    <row r="907" spans="1:72">
      <c r="A907" s="27">
        <f>IF(Data!$A907="","",Data!$A907)</f>
        <v>0</v>
      </c>
      <c r="B907">
        <f>IF(Data!$B907="","",Data!$B907)</f>
        <v>0</v>
      </c>
      <c r="C907">
        <f>IF(Data!$C907="","",Data!$C907)</f>
        <v>0</v>
      </c>
      <c r="D907">
        <f>IF(Data!$D907="","",Data!$D907)</f>
        <v>0</v>
      </c>
      <c r="E907">
        <f>IF(Data!$E907="","",Data!$E907)</f>
        <v>0</v>
      </c>
      <c r="F907">
        <f>IF($E907="","",N(F906)+1)</f>
        <v>0</v>
      </c>
      <c r="G907">
        <f>IF(OR($E907="",$E906=""),"",LN($E907/$E906))</f>
        <v>0</v>
      </c>
      <c r="H907">
        <f>IF($E907="","",IF($E906="",$E907,$E907*0.0952380952+H906*0.9047619048))</f>
        <v>0</v>
      </c>
      <c r="I907">
        <f>IF($E907="","",IF($E906="",$E907,$E907*0.0392156863+I906*0.9607843137))</f>
        <v>0</v>
      </c>
      <c r="J907">
        <f>IF($E907="","",IF($E906="",$E907,$E907*0.0198019802+J906*0.9801980198))</f>
        <v>0</v>
      </c>
      <c r="K907">
        <f>IF($E907="","",IF($E906="",$E907,$E907*0.0099502488+K906*0.9900497512))</f>
        <v>0</v>
      </c>
      <c r="L907">
        <f>IF(OR($E907="",$E906=""),"",MAX($E907-$E906,0))</f>
        <v>0</v>
      </c>
      <c r="M907">
        <f>IF(OR($E907="",$E906=""),"",MAX($E906-$E907,0))</f>
        <v>0</v>
      </c>
      <c r="N907">
        <f>IF(COUNT($E$2:$E907)&lt;15,"",IF(AVERAGE($M$894:$M$907)=0,100,100-100/(1+AVERAGE($L$894:$L$907)/AVERAGE($M$894:$M$907))))</f>
        <v>0</v>
      </c>
      <c r="O907">
        <f>IF($E907="","",IF($E906="",$E907,$E907*0.1538461538+O906*0.8461538462))</f>
        <v>0</v>
      </c>
      <c r="P907">
        <f>IF($E907="","",IF($E906="",$E907,$E907*0.0740740741+P906*0.9259259259))</f>
        <v>0</v>
      </c>
      <c r="Q907">
        <f>IF(OR(O907="",P907=""),"",O907-P907)</f>
        <v>0</v>
      </c>
      <c r="R907">
        <f>IF(Q907="","",IF(R906="",Q907,Q907*0.2000000000+R906*0.8000000000))</f>
        <v>0</v>
      </c>
      <c r="S907">
        <f>IF(OR(Q907="",R907=""),"",Q907-R907)</f>
        <v>0</v>
      </c>
      <c r="T907">
        <f>IF(COUNT($E$2:$E907)&lt;14,"",MAX($C$894:$C$907))</f>
        <v>0</v>
      </c>
      <c r="U907">
        <f>IF(COUNT($E$2:$E907)&lt;14,"",MIN($D$894:$D$907))</f>
        <v>0</v>
      </c>
      <c r="V907">
        <f>IF(OR(T907="",U907="",T907=U907),"",100*($E907-U907)/(T907-U907))</f>
        <v>0</v>
      </c>
      <c r="W907">
        <f>IF(COUNT($V$905:$V$907)&lt;3,"",AVERAGE($V$905:$V$907))</f>
        <v>0</v>
      </c>
      <c r="X907">
        <f>IF(COUNT($N$894:$N$907)&lt;14,"",MIN($N$894:$N$907))</f>
        <v>0</v>
      </c>
      <c r="Y907">
        <f>IF(COUNT($N$894:$N$907)&lt;14,"",MAX($N$894:$N$907))</f>
        <v>0</v>
      </c>
      <c r="Z907">
        <f>IF(OR(N907="",X907="",Y907="",Y907=X907),"",100*(N907-X907)/(Y907-X907))</f>
        <v>0</v>
      </c>
      <c r="AA907">
        <f>IF(COUNT($Z$905:$Z$907)&lt;3,"",AVERAGE($Z$905:$Z$907))</f>
        <v>0</v>
      </c>
      <c r="AB907">
        <f>IF(COUNT($AA$905:$AA$907)&lt;3,"",AVERAGE($AA$905:$AA$907))</f>
        <v>0</v>
      </c>
      <c r="AC907">
        <f>IF($E907="","",MAX($C907-$D907,ABS($C907-$E906),ABS($D907-$E906)))</f>
        <v>0</v>
      </c>
      <c r="AD907">
        <f>IF(COUNT($E$2:$E907)&lt;15,"",AVERAGE($AC$894:$AC$907))</f>
        <v>0</v>
      </c>
      <c r="AE907">
        <f>IF(OR($E907="",$E906=""),"",IF(AND(($C907-$C906)&gt;($D906-$D907),($C907-$C906)&gt;0),$C907-$C906,0))</f>
        <v>0</v>
      </c>
      <c r="AF907">
        <f>IF(OR($E907="",$E906=""),"",IF(AND(($D906-$D907)&gt;($C907-$C906),($D906-$D907)&gt;0),$D906-$D907,0))</f>
        <v>0</v>
      </c>
      <c r="AG907">
        <f>IF(COUNT($E$2:$E907)&lt;15,"",IF(SUM($AC$894:$AC$907)=0,0,100*SUM($AE$894:$AE$907)/SUM($AC$894:$AC$907)))</f>
        <v>0</v>
      </c>
      <c r="AH907">
        <f>IF(COUNT($E$2:$E907)&lt;15,"",IF(SUM($AC$894:$AC$907)=0,0,100*SUM($AF$894:$AF$907)/SUM($AC$894:$AC$907)))</f>
        <v>0</v>
      </c>
      <c r="AI907">
        <f>IF(OR(AG907="",AH907=""),"",IF((AG907+AH907)=0,0,100*ABS(AG907-AH907)/(AG907+AH907)))</f>
        <v>0</v>
      </c>
      <c r="AJ907">
        <f>IF(COUNT($AI$894:$AI$907)&lt;14,"",AVERAGE($AI$894:$AI$907))</f>
        <v>0</v>
      </c>
      <c r="AK907">
        <f>IF(COUNT($E$2:$E907)&lt;20,"",AVERAGE($E$888:$E$907))</f>
        <v>0</v>
      </c>
      <c r="AL907">
        <f>IF(COUNT($E$2:$E907)&lt;20,"",STDEVP($E$888:$E$907))</f>
        <v>0</v>
      </c>
      <c r="AM907">
        <f>IF(AK907="","",AK907+2*AL907)</f>
        <v>0</v>
      </c>
      <c r="AN907">
        <f>IF(AK907="","",AK907-2*AL907)</f>
        <v>0</v>
      </c>
      <c r="AO907">
        <f>IF(OR(AM907="",AN907="",AM907=AN907),"",($E907-AN907)/(AM907-AN907))</f>
        <v>0</v>
      </c>
      <c r="AP907">
        <f>IF(OR(AM907="",AK907="",AK907=0),"",(AM907-AN907)/AK907)</f>
        <v>0</v>
      </c>
      <c r="AQ907">
        <f>IF(COUNT($E$2:$E907)&lt;20,"",MAX($C$888:$C$907))</f>
        <v>0</v>
      </c>
      <c r="AR907">
        <f>IF(COUNT($E$2:$E907)&lt;20,"",MIN($D$888:$D$907))</f>
        <v>0</v>
      </c>
      <c r="AS907">
        <f>IF(OR(AQ907="",AR907=""),"",(AQ907+AR907)/2)</f>
        <v>0</v>
      </c>
      <c r="AT907">
        <f>IF(COUNT($G$888:$G$907)&lt;20,"",STDEV($G$888:$G$907)*SQRT(252))</f>
        <v>0</v>
      </c>
      <c r="AU907">
        <f>IF(COUNT($E$2:$E907)&lt;9,"",(MAX($C$899:$C$907)+MIN($D$899:$D$907))/2)</f>
        <v>0</v>
      </c>
      <c r="AV907">
        <f>IF(COUNT($E$2:$E907)&lt;26,"",(MAX($C$882:$C$907)+MIN($D$882:$D$907))/2)</f>
        <v>0</v>
      </c>
      <c r="AW907">
        <f>IF(OR(AU907="",AV907=""),"",(AU907+AV907)/2)</f>
        <v>0</v>
      </c>
      <c r="AX907">
        <f>IF(COUNT($E$2:$E907)&lt;52,"",(MAX($C$856:$C$907)+MIN($D$856:$D$907))/2)</f>
        <v>0</v>
      </c>
      <c r="AY907">
        <f>IF(COUNT($E$2:$E907)&lt;20,"",MAX($C$808:$C$907))</f>
        <v>0</v>
      </c>
      <c r="AZ907">
        <f>IF(COUNT($E$2:$E907)&lt;20,"",MIN($D$808:$D$907))</f>
        <v>0</v>
      </c>
      <c r="BA907">
        <f>IF(COUNT($E$2:$E907)&lt;20,"",SLOPE($E$808:$E$907,$F$808:$F$907))</f>
        <v>0</v>
      </c>
      <c r="BB907">
        <f>IF(COUNT($E$2:$E907)&lt;20,"",INTERCEPT($E$808:$E$907,$F$808:$F$907))</f>
        <v>0</v>
      </c>
      <c r="BC907">
        <f>IF(OR(BA907="",BB907=""),"",BB907+BA907*F907)</f>
        <v>0</v>
      </c>
      <c r="BD907">
        <f>IF(COUNT($E$2:$E907)&lt;20,"",STEYX($E$808:$E$907,$F$808:$F$907))</f>
        <v>0</v>
      </c>
      <c r="BE907">
        <f>IF($E907="","",IF(AND(COUNT($E$908:$E$911)&gt;=4,$C907=MAX($C$903:$C$911)),$C907,""))</f>
        <v>0</v>
      </c>
      <c r="BF907">
        <f>IF($E907="","",IF(AND(COUNT($E$908:$E$911)&gt;=4,$D907=MIN($D$903:$D$911)),$D907,""))</f>
        <v>0</v>
      </c>
      <c r="BG907">
        <f>IF($A907="","",$A907-WEEKDAY($A907,2)+1)</f>
        <v>0</v>
      </c>
      <c r="BH907">
        <f>IF($A907="","",IF($A906="",1,IF(BG907&lt;&gt;BG906,1,0)))</f>
        <v>0</v>
      </c>
      <c r="BI907">
        <f>IF($A907="","",IF($A908="",1,IF(BG908&lt;&gt;BG907,1,0)))</f>
        <v>0</v>
      </c>
      <c r="BJ907">
        <f>IF($A907="","",IF(BH907=1,$B907,BJ906))</f>
        <v>0</v>
      </c>
      <c r="BK907">
        <f>IF($A907="","",IF(BH907=1,$C907,MAX($C907,BK906)))</f>
        <v>0</v>
      </c>
      <c r="BL907">
        <f>IF($A907="","",IF(BH907=1,$D907,MIN($D907,BL906)))</f>
        <v>0</v>
      </c>
      <c r="BM907">
        <f>IF($A907="","",IF(BI907=1,F907,""))</f>
        <v>0</v>
      </c>
      <c r="BN907">
        <f>IF($A907="","",DATE(YEAR($A907),MONTH($A907),1))</f>
        <v>0</v>
      </c>
      <c r="BO907">
        <f>IF($A907="","",IF($A906="",1,IF(BN907&lt;&gt;BN906,1,0)))</f>
        <v>0</v>
      </c>
      <c r="BP907">
        <f>IF($A907="","",IF($A908="",1,IF(BN908&lt;&gt;BN907,1,0)))</f>
        <v>0</v>
      </c>
      <c r="BQ907">
        <f>IF($A907="","",IF(BO907=1,$B907,BQ906))</f>
        <v>0</v>
      </c>
      <c r="BR907">
        <f>IF($A907="","",IF(BO907=1,$C907,MAX($C907,BR906)))</f>
        <v>0</v>
      </c>
      <c r="BS907">
        <f>IF($A907="","",IF(BO907=1,$D907,MIN($D907,BS906)))</f>
        <v>0</v>
      </c>
      <c r="BT907">
        <f>IF($A907="","",IF(BP907=1,F907,""))</f>
        <v>0</v>
      </c>
    </row>
    <row r="908" spans="1:72">
      <c r="A908" s="27">
        <f>IF(Data!$A908="","",Data!$A908)</f>
        <v>0</v>
      </c>
      <c r="B908">
        <f>IF(Data!$B908="","",Data!$B908)</f>
        <v>0</v>
      </c>
      <c r="C908">
        <f>IF(Data!$C908="","",Data!$C908)</f>
        <v>0</v>
      </c>
      <c r="D908">
        <f>IF(Data!$D908="","",Data!$D908)</f>
        <v>0</v>
      </c>
      <c r="E908">
        <f>IF(Data!$E908="","",Data!$E908)</f>
        <v>0</v>
      </c>
      <c r="F908">
        <f>IF($E908="","",N(F907)+1)</f>
        <v>0</v>
      </c>
      <c r="G908">
        <f>IF(OR($E908="",$E907=""),"",LN($E908/$E907))</f>
        <v>0</v>
      </c>
      <c r="H908">
        <f>IF($E908="","",IF($E907="",$E908,$E908*0.0952380952+H907*0.9047619048))</f>
        <v>0</v>
      </c>
      <c r="I908">
        <f>IF($E908="","",IF($E907="",$E908,$E908*0.0392156863+I907*0.9607843137))</f>
        <v>0</v>
      </c>
      <c r="J908">
        <f>IF($E908="","",IF($E907="",$E908,$E908*0.0198019802+J907*0.9801980198))</f>
        <v>0</v>
      </c>
      <c r="K908">
        <f>IF($E908="","",IF($E907="",$E908,$E908*0.0099502488+K907*0.9900497512))</f>
        <v>0</v>
      </c>
      <c r="L908">
        <f>IF(OR($E908="",$E907=""),"",MAX($E908-$E907,0))</f>
        <v>0</v>
      </c>
      <c r="M908">
        <f>IF(OR($E908="",$E907=""),"",MAX($E907-$E908,0))</f>
        <v>0</v>
      </c>
      <c r="N908">
        <f>IF(COUNT($E$2:$E908)&lt;15,"",IF(AVERAGE($M$895:$M$908)=0,100,100-100/(1+AVERAGE($L$895:$L$908)/AVERAGE($M$895:$M$908))))</f>
        <v>0</v>
      </c>
      <c r="O908">
        <f>IF($E908="","",IF($E907="",$E908,$E908*0.1538461538+O907*0.8461538462))</f>
        <v>0</v>
      </c>
      <c r="P908">
        <f>IF($E908="","",IF($E907="",$E908,$E908*0.0740740741+P907*0.9259259259))</f>
        <v>0</v>
      </c>
      <c r="Q908">
        <f>IF(OR(O908="",P908=""),"",O908-P908)</f>
        <v>0</v>
      </c>
      <c r="R908">
        <f>IF(Q908="","",IF(R907="",Q908,Q908*0.2000000000+R907*0.8000000000))</f>
        <v>0</v>
      </c>
      <c r="S908">
        <f>IF(OR(Q908="",R908=""),"",Q908-R908)</f>
        <v>0</v>
      </c>
      <c r="T908">
        <f>IF(COUNT($E$2:$E908)&lt;14,"",MAX($C$895:$C$908))</f>
        <v>0</v>
      </c>
      <c r="U908">
        <f>IF(COUNT($E$2:$E908)&lt;14,"",MIN($D$895:$D$908))</f>
        <v>0</v>
      </c>
      <c r="V908">
        <f>IF(OR(T908="",U908="",T908=U908),"",100*($E908-U908)/(T908-U908))</f>
        <v>0</v>
      </c>
      <c r="W908">
        <f>IF(COUNT($V$906:$V$908)&lt;3,"",AVERAGE($V$906:$V$908))</f>
        <v>0</v>
      </c>
      <c r="X908">
        <f>IF(COUNT($N$895:$N$908)&lt;14,"",MIN($N$895:$N$908))</f>
        <v>0</v>
      </c>
      <c r="Y908">
        <f>IF(COUNT($N$895:$N$908)&lt;14,"",MAX($N$895:$N$908))</f>
        <v>0</v>
      </c>
      <c r="Z908">
        <f>IF(OR(N908="",X908="",Y908="",Y908=X908),"",100*(N908-X908)/(Y908-X908))</f>
        <v>0</v>
      </c>
      <c r="AA908">
        <f>IF(COUNT($Z$906:$Z$908)&lt;3,"",AVERAGE($Z$906:$Z$908))</f>
        <v>0</v>
      </c>
      <c r="AB908">
        <f>IF(COUNT($AA$906:$AA$908)&lt;3,"",AVERAGE($AA$906:$AA$908))</f>
        <v>0</v>
      </c>
      <c r="AC908">
        <f>IF($E908="","",MAX($C908-$D908,ABS($C908-$E907),ABS($D908-$E907)))</f>
        <v>0</v>
      </c>
      <c r="AD908">
        <f>IF(COUNT($E$2:$E908)&lt;15,"",AVERAGE($AC$895:$AC$908))</f>
        <v>0</v>
      </c>
      <c r="AE908">
        <f>IF(OR($E908="",$E907=""),"",IF(AND(($C908-$C907)&gt;($D907-$D908),($C908-$C907)&gt;0),$C908-$C907,0))</f>
        <v>0</v>
      </c>
      <c r="AF908">
        <f>IF(OR($E908="",$E907=""),"",IF(AND(($D907-$D908)&gt;($C908-$C907),($D907-$D908)&gt;0),$D907-$D908,0))</f>
        <v>0</v>
      </c>
      <c r="AG908">
        <f>IF(COUNT($E$2:$E908)&lt;15,"",IF(SUM($AC$895:$AC$908)=0,0,100*SUM($AE$895:$AE$908)/SUM($AC$895:$AC$908)))</f>
        <v>0</v>
      </c>
      <c r="AH908">
        <f>IF(COUNT($E$2:$E908)&lt;15,"",IF(SUM($AC$895:$AC$908)=0,0,100*SUM($AF$895:$AF$908)/SUM($AC$895:$AC$908)))</f>
        <v>0</v>
      </c>
      <c r="AI908">
        <f>IF(OR(AG908="",AH908=""),"",IF((AG908+AH908)=0,0,100*ABS(AG908-AH908)/(AG908+AH908)))</f>
        <v>0</v>
      </c>
      <c r="AJ908">
        <f>IF(COUNT($AI$895:$AI$908)&lt;14,"",AVERAGE($AI$895:$AI$908))</f>
        <v>0</v>
      </c>
      <c r="AK908">
        <f>IF(COUNT($E$2:$E908)&lt;20,"",AVERAGE($E$889:$E$908))</f>
        <v>0</v>
      </c>
      <c r="AL908">
        <f>IF(COUNT($E$2:$E908)&lt;20,"",STDEVP($E$889:$E$908))</f>
        <v>0</v>
      </c>
      <c r="AM908">
        <f>IF(AK908="","",AK908+2*AL908)</f>
        <v>0</v>
      </c>
      <c r="AN908">
        <f>IF(AK908="","",AK908-2*AL908)</f>
        <v>0</v>
      </c>
      <c r="AO908">
        <f>IF(OR(AM908="",AN908="",AM908=AN908),"",($E908-AN908)/(AM908-AN908))</f>
        <v>0</v>
      </c>
      <c r="AP908">
        <f>IF(OR(AM908="",AK908="",AK908=0),"",(AM908-AN908)/AK908)</f>
        <v>0</v>
      </c>
      <c r="AQ908">
        <f>IF(COUNT($E$2:$E908)&lt;20,"",MAX($C$889:$C$908))</f>
        <v>0</v>
      </c>
      <c r="AR908">
        <f>IF(COUNT($E$2:$E908)&lt;20,"",MIN($D$889:$D$908))</f>
        <v>0</v>
      </c>
      <c r="AS908">
        <f>IF(OR(AQ908="",AR908=""),"",(AQ908+AR908)/2)</f>
        <v>0</v>
      </c>
      <c r="AT908">
        <f>IF(COUNT($G$889:$G$908)&lt;20,"",STDEV($G$889:$G$908)*SQRT(252))</f>
        <v>0</v>
      </c>
      <c r="AU908">
        <f>IF(COUNT($E$2:$E908)&lt;9,"",(MAX($C$900:$C$908)+MIN($D$900:$D$908))/2)</f>
        <v>0</v>
      </c>
      <c r="AV908">
        <f>IF(COUNT($E$2:$E908)&lt;26,"",(MAX($C$883:$C$908)+MIN($D$883:$D$908))/2)</f>
        <v>0</v>
      </c>
      <c r="AW908">
        <f>IF(OR(AU908="",AV908=""),"",(AU908+AV908)/2)</f>
        <v>0</v>
      </c>
      <c r="AX908">
        <f>IF(COUNT($E$2:$E908)&lt;52,"",(MAX($C$857:$C$908)+MIN($D$857:$D$908))/2)</f>
        <v>0</v>
      </c>
      <c r="AY908">
        <f>IF(COUNT($E$2:$E908)&lt;20,"",MAX($C$809:$C$908))</f>
        <v>0</v>
      </c>
      <c r="AZ908">
        <f>IF(COUNT($E$2:$E908)&lt;20,"",MIN($D$809:$D$908))</f>
        <v>0</v>
      </c>
      <c r="BA908">
        <f>IF(COUNT($E$2:$E908)&lt;20,"",SLOPE($E$809:$E$908,$F$809:$F$908))</f>
        <v>0</v>
      </c>
      <c r="BB908">
        <f>IF(COUNT($E$2:$E908)&lt;20,"",INTERCEPT($E$809:$E$908,$F$809:$F$908))</f>
        <v>0</v>
      </c>
      <c r="BC908">
        <f>IF(OR(BA908="",BB908=""),"",BB908+BA908*F908)</f>
        <v>0</v>
      </c>
      <c r="BD908">
        <f>IF(COUNT($E$2:$E908)&lt;20,"",STEYX($E$809:$E$908,$F$809:$F$908))</f>
        <v>0</v>
      </c>
      <c r="BE908">
        <f>IF($E908="","",IF(AND(COUNT($E$909:$E$912)&gt;=4,$C908=MAX($C$904:$C$912)),$C908,""))</f>
        <v>0</v>
      </c>
      <c r="BF908">
        <f>IF($E908="","",IF(AND(COUNT($E$909:$E$912)&gt;=4,$D908=MIN($D$904:$D$912)),$D908,""))</f>
        <v>0</v>
      </c>
      <c r="BG908">
        <f>IF($A908="","",$A908-WEEKDAY($A908,2)+1)</f>
        <v>0</v>
      </c>
      <c r="BH908">
        <f>IF($A908="","",IF($A907="",1,IF(BG908&lt;&gt;BG907,1,0)))</f>
        <v>0</v>
      </c>
      <c r="BI908">
        <f>IF($A908="","",IF($A909="",1,IF(BG909&lt;&gt;BG908,1,0)))</f>
        <v>0</v>
      </c>
      <c r="BJ908">
        <f>IF($A908="","",IF(BH908=1,$B908,BJ907))</f>
        <v>0</v>
      </c>
      <c r="BK908">
        <f>IF($A908="","",IF(BH908=1,$C908,MAX($C908,BK907)))</f>
        <v>0</v>
      </c>
      <c r="BL908">
        <f>IF($A908="","",IF(BH908=1,$D908,MIN($D908,BL907)))</f>
        <v>0</v>
      </c>
      <c r="BM908">
        <f>IF($A908="","",IF(BI908=1,F908,""))</f>
        <v>0</v>
      </c>
      <c r="BN908">
        <f>IF($A908="","",DATE(YEAR($A908),MONTH($A908),1))</f>
        <v>0</v>
      </c>
      <c r="BO908">
        <f>IF($A908="","",IF($A907="",1,IF(BN908&lt;&gt;BN907,1,0)))</f>
        <v>0</v>
      </c>
      <c r="BP908">
        <f>IF($A908="","",IF($A909="",1,IF(BN909&lt;&gt;BN908,1,0)))</f>
        <v>0</v>
      </c>
      <c r="BQ908">
        <f>IF($A908="","",IF(BO908=1,$B908,BQ907))</f>
        <v>0</v>
      </c>
      <c r="BR908">
        <f>IF($A908="","",IF(BO908=1,$C908,MAX($C908,BR907)))</f>
        <v>0</v>
      </c>
      <c r="BS908">
        <f>IF($A908="","",IF(BO908=1,$D908,MIN($D908,BS907)))</f>
        <v>0</v>
      </c>
      <c r="BT908">
        <f>IF($A908="","",IF(BP908=1,F908,""))</f>
        <v>0</v>
      </c>
    </row>
    <row r="909" spans="1:72">
      <c r="A909" s="27">
        <f>IF(Data!$A909="","",Data!$A909)</f>
        <v>0</v>
      </c>
      <c r="B909">
        <f>IF(Data!$B909="","",Data!$B909)</f>
        <v>0</v>
      </c>
      <c r="C909">
        <f>IF(Data!$C909="","",Data!$C909)</f>
        <v>0</v>
      </c>
      <c r="D909">
        <f>IF(Data!$D909="","",Data!$D909)</f>
        <v>0</v>
      </c>
      <c r="E909">
        <f>IF(Data!$E909="","",Data!$E909)</f>
        <v>0</v>
      </c>
      <c r="F909">
        <f>IF($E909="","",N(F908)+1)</f>
        <v>0</v>
      </c>
      <c r="G909">
        <f>IF(OR($E909="",$E908=""),"",LN($E909/$E908))</f>
        <v>0</v>
      </c>
      <c r="H909">
        <f>IF($E909="","",IF($E908="",$E909,$E909*0.0952380952+H908*0.9047619048))</f>
        <v>0</v>
      </c>
      <c r="I909">
        <f>IF($E909="","",IF($E908="",$E909,$E909*0.0392156863+I908*0.9607843137))</f>
        <v>0</v>
      </c>
      <c r="J909">
        <f>IF($E909="","",IF($E908="",$E909,$E909*0.0198019802+J908*0.9801980198))</f>
        <v>0</v>
      </c>
      <c r="K909">
        <f>IF($E909="","",IF($E908="",$E909,$E909*0.0099502488+K908*0.9900497512))</f>
        <v>0</v>
      </c>
      <c r="L909">
        <f>IF(OR($E909="",$E908=""),"",MAX($E909-$E908,0))</f>
        <v>0</v>
      </c>
      <c r="M909">
        <f>IF(OR($E909="",$E908=""),"",MAX($E908-$E909,0))</f>
        <v>0</v>
      </c>
      <c r="N909">
        <f>IF(COUNT($E$2:$E909)&lt;15,"",IF(AVERAGE($M$896:$M$909)=0,100,100-100/(1+AVERAGE($L$896:$L$909)/AVERAGE($M$896:$M$909))))</f>
        <v>0</v>
      </c>
      <c r="O909">
        <f>IF($E909="","",IF($E908="",$E909,$E909*0.1538461538+O908*0.8461538462))</f>
        <v>0</v>
      </c>
      <c r="P909">
        <f>IF($E909="","",IF($E908="",$E909,$E909*0.0740740741+P908*0.9259259259))</f>
        <v>0</v>
      </c>
      <c r="Q909">
        <f>IF(OR(O909="",P909=""),"",O909-P909)</f>
        <v>0</v>
      </c>
      <c r="R909">
        <f>IF(Q909="","",IF(R908="",Q909,Q909*0.2000000000+R908*0.8000000000))</f>
        <v>0</v>
      </c>
      <c r="S909">
        <f>IF(OR(Q909="",R909=""),"",Q909-R909)</f>
        <v>0</v>
      </c>
      <c r="T909">
        <f>IF(COUNT($E$2:$E909)&lt;14,"",MAX($C$896:$C$909))</f>
        <v>0</v>
      </c>
      <c r="U909">
        <f>IF(COUNT($E$2:$E909)&lt;14,"",MIN($D$896:$D$909))</f>
        <v>0</v>
      </c>
      <c r="V909">
        <f>IF(OR(T909="",U909="",T909=U909),"",100*($E909-U909)/(T909-U909))</f>
        <v>0</v>
      </c>
      <c r="W909">
        <f>IF(COUNT($V$907:$V$909)&lt;3,"",AVERAGE($V$907:$V$909))</f>
        <v>0</v>
      </c>
      <c r="X909">
        <f>IF(COUNT($N$896:$N$909)&lt;14,"",MIN($N$896:$N$909))</f>
        <v>0</v>
      </c>
      <c r="Y909">
        <f>IF(COUNT($N$896:$N$909)&lt;14,"",MAX($N$896:$N$909))</f>
        <v>0</v>
      </c>
      <c r="Z909">
        <f>IF(OR(N909="",X909="",Y909="",Y909=X909),"",100*(N909-X909)/(Y909-X909))</f>
        <v>0</v>
      </c>
      <c r="AA909">
        <f>IF(COUNT($Z$907:$Z$909)&lt;3,"",AVERAGE($Z$907:$Z$909))</f>
        <v>0</v>
      </c>
      <c r="AB909">
        <f>IF(COUNT($AA$907:$AA$909)&lt;3,"",AVERAGE($AA$907:$AA$909))</f>
        <v>0</v>
      </c>
      <c r="AC909">
        <f>IF($E909="","",MAX($C909-$D909,ABS($C909-$E908),ABS($D909-$E908)))</f>
        <v>0</v>
      </c>
      <c r="AD909">
        <f>IF(COUNT($E$2:$E909)&lt;15,"",AVERAGE($AC$896:$AC$909))</f>
        <v>0</v>
      </c>
      <c r="AE909">
        <f>IF(OR($E909="",$E908=""),"",IF(AND(($C909-$C908)&gt;($D908-$D909),($C909-$C908)&gt;0),$C909-$C908,0))</f>
        <v>0</v>
      </c>
      <c r="AF909">
        <f>IF(OR($E909="",$E908=""),"",IF(AND(($D908-$D909)&gt;($C909-$C908),($D908-$D909)&gt;0),$D908-$D909,0))</f>
        <v>0</v>
      </c>
      <c r="AG909">
        <f>IF(COUNT($E$2:$E909)&lt;15,"",IF(SUM($AC$896:$AC$909)=0,0,100*SUM($AE$896:$AE$909)/SUM($AC$896:$AC$909)))</f>
        <v>0</v>
      </c>
      <c r="AH909">
        <f>IF(COUNT($E$2:$E909)&lt;15,"",IF(SUM($AC$896:$AC$909)=0,0,100*SUM($AF$896:$AF$909)/SUM($AC$896:$AC$909)))</f>
        <v>0</v>
      </c>
      <c r="AI909">
        <f>IF(OR(AG909="",AH909=""),"",IF((AG909+AH909)=0,0,100*ABS(AG909-AH909)/(AG909+AH909)))</f>
        <v>0</v>
      </c>
      <c r="AJ909">
        <f>IF(COUNT($AI$896:$AI$909)&lt;14,"",AVERAGE($AI$896:$AI$909))</f>
        <v>0</v>
      </c>
      <c r="AK909">
        <f>IF(COUNT($E$2:$E909)&lt;20,"",AVERAGE($E$890:$E$909))</f>
        <v>0</v>
      </c>
      <c r="AL909">
        <f>IF(COUNT($E$2:$E909)&lt;20,"",STDEVP($E$890:$E$909))</f>
        <v>0</v>
      </c>
      <c r="AM909">
        <f>IF(AK909="","",AK909+2*AL909)</f>
        <v>0</v>
      </c>
      <c r="AN909">
        <f>IF(AK909="","",AK909-2*AL909)</f>
        <v>0</v>
      </c>
      <c r="AO909">
        <f>IF(OR(AM909="",AN909="",AM909=AN909),"",($E909-AN909)/(AM909-AN909))</f>
        <v>0</v>
      </c>
      <c r="AP909">
        <f>IF(OR(AM909="",AK909="",AK909=0),"",(AM909-AN909)/AK909)</f>
        <v>0</v>
      </c>
      <c r="AQ909">
        <f>IF(COUNT($E$2:$E909)&lt;20,"",MAX($C$890:$C$909))</f>
        <v>0</v>
      </c>
      <c r="AR909">
        <f>IF(COUNT($E$2:$E909)&lt;20,"",MIN($D$890:$D$909))</f>
        <v>0</v>
      </c>
      <c r="AS909">
        <f>IF(OR(AQ909="",AR909=""),"",(AQ909+AR909)/2)</f>
        <v>0</v>
      </c>
      <c r="AT909">
        <f>IF(COUNT($G$890:$G$909)&lt;20,"",STDEV($G$890:$G$909)*SQRT(252))</f>
        <v>0</v>
      </c>
      <c r="AU909">
        <f>IF(COUNT($E$2:$E909)&lt;9,"",(MAX($C$901:$C$909)+MIN($D$901:$D$909))/2)</f>
        <v>0</v>
      </c>
      <c r="AV909">
        <f>IF(COUNT($E$2:$E909)&lt;26,"",(MAX($C$884:$C$909)+MIN($D$884:$D$909))/2)</f>
        <v>0</v>
      </c>
      <c r="AW909">
        <f>IF(OR(AU909="",AV909=""),"",(AU909+AV909)/2)</f>
        <v>0</v>
      </c>
      <c r="AX909">
        <f>IF(COUNT($E$2:$E909)&lt;52,"",(MAX($C$858:$C$909)+MIN($D$858:$D$909))/2)</f>
        <v>0</v>
      </c>
      <c r="AY909">
        <f>IF(COUNT($E$2:$E909)&lt;20,"",MAX($C$810:$C$909))</f>
        <v>0</v>
      </c>
      <c r="AZ909">
        <f>IF(COUNT($E$2:$E909)&lt;20,"",MIN($D$810:$D$909))</f>
        <v>0</v>
      </c>
      <c r="BA909">
        <f>IF(COUNT($E$2:$E909)&lt;20,"",SLOPE($E$810:$E$909,$F$810:$F$909))</f>
        <v>0</v>
      </c>
      <c r="BB909">
        <f>IF(COUNT($E$2:$E909)&lt;20,"",INTERCEPT($E$810:$E$909,$F$810:$F$909))</f>
        <v>0</v>
      </c>
      <c r="BC909">
        <f>IF(OR(BA909="",BB909=""),"",BB909+BA909*F909)</f>
        <v>0</v>
      </c>
      <c r="BD909">
        <f>IF(COUNT($E$2:$E909)&lt;20,"",STEYX($E$810:$E$909,$F$810:$F$909))</f>
        <v>0</v>
      </c>
      <c r="BE909">
        <f>IF($E909="","",IF(AND(COUNT($E$910:$E$913)&gt;=4,$C909=MAX($C$905:$C$913)),$C909,""))</f>
        <v>0</v>
      </c>
      <c r="BF909">
        <f>IF($E909="","",IF(AND(COUNT($E$910:$E$913)&gt;=4,$D909=MIN($D$905:$D$913)),$D909,""))</f>
        <v>0</v>
      </c>
      <c r="BG909">
        <f>IF($A909="","",$A909-WEEKDAY($A909,2)+1)</f>
        <v>0</v>
      </c>
      <c r="BH909">
        <f>IF($A909="","",IF($A908="",1,IF(BG909&lt;&gt;BG908,1,0)))</f>
        <v>0</v>
      </c>
      <c r="BI909">
        <f>IF($A909="","",IF($A910="",1,IF(BG910&lt;&gt;BG909,1,0)))</f>
        <v>0</v>
      </c>
      <c r="BJ909">
        <f>IF($A909="","",IF(BH909=1,$B909,BJ908))</f>
        <v>0</v>
      </c>
      <c r="BK909">
        <f>IF($A909="","",IF(BH909=1,$C909,MAX($C909,BK908)))</f>
        <v>0</v>
      </c>
      <c r="BL909">
        <f>IF($A909="","",IF(BH909=1,$D909,MIN($D909,BL908)))</f>
        <v>0</v>
      </c>
      <c r="BM909">
        <f>IF($A909="","",IF(BI909=1,F909,""))</f>
        <v>0</v>
      </c>
      <c r="BN909">
        <f>IF($A909="","",DATE(YEAR($A909),MONTH($A909),1))</f>
        <v>0</v>
      </c>
      <c r="BO909">
        <f>IF($A909="","",IF($A908="",1,IF(BN909&lt;&gt;BN908,1,0)))</f>
        <v>0</v>
      </c>
      <c r="BP909">
        <f>IF($A909="","",IF($A910="",1,IF(BN910&lt;&gt;BN909,1,0)))</f>
        <v>0</v>
      </c>
      <c r="BQ909">
        <f>IF($A909="","",IF(BO909=1,$B909,BQ908))</f>
        <v>0</v>
      </c>
      <c r="BR909">
        <f>IF($A909="","",IF(BO909=1,$C909,MAX($C909,BR908)))</f>
        <v>0</v>
      </c>
      <c r="BS909">
        <f>IF($A909="","",IF(BO909=1,$D909,MIN($D909,BS908)))</f>
        <v>0</v>
      </c>
      <c r="BT909">
        <f>IF($A909="","",IF(BP909=1,F909,""))</f>
        <v>0</v>
      </c>
    </row>
    <row r="910" spans="1:72">
      <c r="A910" s="27">
        <f>IF(Data!$A910="","",Data!$A910)</f>
        <v>0</v>
      </c>
      <c r="B910">
        <f>IF(Data!$B910="","",Data!$B910)</f>
        <v>0</v>
      </c>
      <c r="C910">
        <f>IF(Data!$C910="","",Data!$C910)</f>
        <v>0</v>
      </c>
      <c r="D910">
        <f>IF(Data!$D910="","",Data!$D910)</f>
        <v>0</v>
      </c>
      <c r="E910">
        <f>IF(Data!$E910="","",Data!$E910)</f>
        <v>0</v>
      </c>
      <c r="F910">
        <f>IF($E910="","",N(F909)+1)</f>
        <v>0</v>
      </c>
      <c r="G910">
        <f>IF(OR($E910="",$E909=""),"",LN($E910/$E909))</f>
        <v>0</v>
      </c>
      <c r="H910">
        <f>IF($E910="","",IF($E909="",$E910,$E910*0.0952380952+H909*0.9047619048))</f>
        <v>0</v>
      </c>
      <c r="I910">
        <f>IF($E910="","",IF($E909="",$E910,$E910*0.0392156863+I909*0.9607843137))</f>
        <v>0</v>
      </c>
      <c r="J910">
        <f>IF($E910="","",IF($E909="",$E910,$E910*0.0198019802+J909*0.9801980198))</f>
        <v>0</v>
      </c>
      <c r="K910">
        <f>IF($E910="","",IF($E909="",$E910,$E910*0.0099502488+K909*0.9900497512))</f>
        <v>0</v>
      </c>
      <c r="L910">
        <f>IF(OR($E910="",$E909=""),"",MAX($E910-$E909,0))</f>
        <v>0</v>
      </c>
      <c r="M910">
        <f>IF(OR($E910="",$E909=""),"",MAX($E909-$E910,0))</f>
        <v>0</v>
      </c>
      <c r="N910">
        <f>IF(COUNT($E$2:$E910)&lt;15,"",IF(AVERAGE($M$897:$M$910)=0,100,100-100/(1+AVERAGE($L$897:$L$910)/AVERAGE($M$897:$M$910))))</f>
        <v>0</v>
      </c>
      <c r="O910">
        <f>IF($E910="","",IF($E909="",$E910,$E910*0.1538461538+O909*0.8461538462))</f>
        <v>0</v>
      </c>
      <c r="P910">
        <f>IF($E910="","",IF($E909="",$E910,$E910*0.0740740741+P909*0.9259259259))</f>
        <v>0</v>
      </c>
      <c r="Q910">
        <f>IF(OR(O910="",P910=""),"",O910-P910)</f>
        <v>0</v>
      </c>
      <c r="R910">
        <f>IF(Q910="","",IF(R909="",Q910,Q910*0.2000000000+R909*0.8000000000))</f>
        <v>0</v>
      </c>
      <c r="S910">
        <f>IF(OR(Q910="",R910=""),"",Q910-R910)</f>
        <v>0</v>
      </c>
      <c r="T910">
        <f>IF(COUNT($E$2:$E910)&lt;14,"",MAX($C$897:$C$910))</f>
        <v>0</v>
      </c>
      <c r="U910">
        <f>IF(COUNT($E$2:$E910)&lt;14,"",MIN($D$897:$D$910))</f>
        <v>0</v>
      </c>
      <c r="V910">
        <f>IF(OR(T910="",U910="",T910=U910),"",100*($E910-U910)/(T910-U910))</f>
        <v>0</v>
      </c>
      <c r="W910">
        <f>IF(COUNT($V$908:$V$910)&lt;3,"",AVERAGE($V$908:$V$910))</f>
        <v>0</v>
      </c>
      <c r="X910">
        <f>IF(COUNT($N$897:$N$910)&lt;14,"",MIN($N$897:$N$910))</f>
        <v>0</v>
      </c>
      <c r="Y910">
        <f>IF(COUNT($N$897:$N$910)&lt;14,"",MAX($N$897:$N$910))</f>
        <v>0</v>
      </c>
      <c r="Z910">
        <f>IF(OR(N910="",X910="",Y910="",Y910=X910),"",100*(N910-X910)/(Y910-X910))</f>
        <v>0</v>
      </c>
      <c r="AA910">
        <f>IF(COUNT($Z$908:$Z$910)&lt;3,"",AVERAGE($Z$908:$Z$910))</f>
        <v>0</v>
      </c>
      <c r="AB910">
        <f>IF(COUNT($AA$908:$AA$910)&lt;3,"",AVERAGE($AA$908:$AA$910))</f>
        <v>0</v>
      </c>
      <c r="AC910">
        <f>IF($E910="","",MAX($C910-$D910,ABS($C910-$E909),ABS($D910-$E909)))</f>
        <v>0</v>
      </c>
      <c r="AD910">
        <f>IF(COUNT($E$2:$E910)&lt;15,"",AVERAGE($AC$897:$AC$910))</f>
        <v>0</v>
      </c>
      <c r="AE910">
        <f>IF(OR($E910="",$E909=""),"",IF(AND(($C910-$C909)&gt;($D909-$D910),($C910-$C909)&gt;0),$C910-$C909,0))</f>
        <v>0</v>
      </c>
      <c r="AF910">
        <f>IF(OR($E910="",$E909=""),"",IF(AND(($D909-$D910)&gt;($C910-$C909),($D909-$D910)&gt;0),$D909-$D910,0))</f>
        <v>0</v>
      </c>
      <c r="AG910">
        <f>IF(COUNT($E$2:$E910)&lt;15,"",IF(SUM($AC$897:$AC$910)=0,0,100*SUM($AE$897:$AE$910)/SUM($AC$897:$AC$910)))</f>
        <v>0</v>
      </c>
      <c r="AH910">
        <f>IF(COUNT($E$2:$E910)&lt;15,"",IF(SUM($AC$897:$AC$910)=0,0,100*SUM($AF$897:$AF$910)/SUM($AC$897:$AC$910)))</f>
        <v>0</v>
      </c>
      <c r="AI910">
        <f>IF(OR(AG910="",AH910=""),"",IF((AG910+AH910)=0,0,100*ABS(AG910-AH910)/(AG910+AH910)))</f>
        <v>0</v>
      </c>
      <c r="AJ910">
        <f>IF(COUNT($AI$897:$AI$910)&lt;14,"",AVERAGE($AI$897:$AI$910))</f>
        <v>0</v>
      </c>
      <c r="AK910">
        <f>IF(COUNT($E$2:$E910)&lt;20,"",AVERAGE($E$891:$E$910))</f>
        <v>0</v>
      </c>
      <c r="AL910">
        <f>IF(COUNT($E$2:$E910)&lt;20,"",STDEVP($E$891:$E$910))</f>
        <v>0</v>
      </c>
      <c r="AM910">
        <f>IF(AK910="","",AK910+2*AL910)</f>
        <v>0</v>
      </c>
      <c r="AN910">
        <f>IF(AK910="","",AK910-2*AL910)</f>
        <v>0</v>
      </c>
      <c r="AO910">
        <f>IF(OR(AM910="",AN910="",AM910=AN910),"",($E910-AN910)/(AM910-AN910))</f>
        <v>0</v>
      </c>
      <c r="AP910">
        <f>IF(OR(AM910="",AK910="",AK910=0),"",(AM910-AN910)/AK910)</f>
        <v>0</v>
      </c>
      <c r="AQ910">
        <f>IF(COUNT($E$2:$E910)&lt;20,"",MAX($C$891:$C$910))</f>
        <v>0</v>
      </c>
      <c r="AR910">
        <f>IF(COUNT($E$2:$E910)&lt;20,"",MIN($D$891:$D$910))</f>
        <v>0</v>
      </c>
      <c r="AS910">
        <f>IF(OR(AQ910="",AR910=""),"",(AQ910+AR910)/2)</f>
        <v>0</v>
      </c>
      <c r="AT910">
        <f>IF(COUNT($G$891:$G$910)&lt;20,"",STDEV($G$891:$G$910)*SQRT(252))</f>
        <v>0</v>
      </c>
      <c r="AU910">
        <f>IF(COUNT($E$2:$E910)&lt;9,"",(MAX($C$902:$C$910)+MIN($D$902:$D$910))/2)</f>
        <v>0</v>
      </c>
      <c r="AV910">
        <f>IF(COUNT($E$2:$E910)&lt;26,"",(MAX($C$885:$C$910)+MIN($D$885:$D$910))/2)</f>
        <v>0</v>
      </c>
      <c r="AW910">
        <f>IF(OR(AU910="",AV910=""),"",(AU910+AV910)/2)</f>
        <v>0</v>
      </c>
      <c r="AX910">
        <f>IF(COUNT($E$2:$E910)&lt;52,"",(MAX($C$859:$C$910)+MIN($D$859:$D$910))/2)</f>
        <v>0</v>
      </c>
      <c r="AY910">
        <f>IF(COUNT($E$2:$E910)&lt;20,"",MAX($C$811:$C$910))</f>
        <v>0</v>
      </c>
      <c r="AZ910">
        <f>IF(COUNT($E$2:$E910)&lt;20,"",MIN($D$811:$D$910))</f>
        <v>0</v>
      </c>
      <c r="BA910">
        <f>IF(COUNT($E$2:$E910)&lt;20,"",SLOPE($E$811:$E$910,$F$811:$F$910))</f>
        <v>0</v>
      </c>
      <c r="BB910">
        <f>IF(COUNT($E$2:$E910)&lt;20,"",INTERCEPT($E$811:$E$910,$F$811:$F$910))</f>
        <v>0</v>
      </c>
      <c r="BC910">
        <f>IF(OR(BA910="",BB910=""),"",BB910+BA910*F910)</f>
        <v>0</v>
      </c>
      <c r="BD910">
        <f>IF(COUNT($E$2:$E910)&lt;20,"",STEYX($E$811:$E$910,$F$811:$F$910))</f>
        <v>0</v>
      </c>
      <c r="BE910">
        <f>IF($E910="","",IF(AND(COUNT($E$911:$E$914)&gt;=4,$C910=MAX($C$906:$C$914)),$C910,""))</f>
        <v>0</v>
      </c>
      <c r="BF910">
        <f>IF($E910="","",IF(AND(COUNT($E$911:$E$914)&gt;=4,$D910=MIN($D$906:$D$914)),$D910,""))</f>
        <v>0</v>
      </c>
      <c r="BG910">
        <f>IF($A910="","",$A910-WEEKDAY($A910,2)+1)</f>
        <v>0</v>
      </c>
      <c r="BH910">
        <f>IF($A910="","",IF($A909="",1,IF(BG910&lt;&gt;BG909,1,0)))</f>
        <v>0</v>
      </c>
      <c r="BI910">
        <f>IF($A910="","",IF($A911="",1,IF(BG911&lt;&gt;BG910,1,0)))</f>
        <v>0</v>
      </c>
      <c r="BJ910">
        <f>IF($A910="","",IF(BH910=1,$B910,BJ909))</f>
        <v>0</v>
      </c>
      <c r="BK910">
        <f>IF($A910="","",IF(BH910=1,$C910,MAX($C910,BK909)))</f>
        <v>0</v>
      </c>
      <c r="BL910">
        <f>IF($A910="","",IF(BH910=1,$D910,MIN($D910,BL909)))</f>
        <v>0</v>
      </c>
      <c r="BM910">
        <f>IF($A910="","",IF(BI910=1,F910,""))</f>
        <v>0</v>
      </c>
      <c r="BN910">
        <f>IF($A910="","",DATE(YEAR($A910),MONTH($A910),1))</f>
        <v>0</v>
      </c>
      <c r="BO910">
        <f>IF($A910="","",IF($A909="",1,IF(BN910&lt;&gt;BN909,1,0)))</f>
        <v>0</v>
      </c>
      <c r="BP910">
        <f>IF($A910="","",IF($A911="",1,IF(BN911&lt;&gt;BN910,1,0)))</f>
        <v>0</v>
      </c>
      <c r="BQ910">
        <f>IF($A910="","",IF(BO910=1,$B910,BQ909))</f>
        <v>0</v>
      </c>
      <c r="BR910">
        <f>IF($A910="","",IF(BO910=1,$C910,MAX($C910,BR909)))</f>
        <v>0</v>
      </c>
      <c r="BS910">
        <f>IF($A910="","",IF(BO910=1,$D910,MIN($D910,BS909)))</f>
        <v>0</v>
      </c>
      <c r="BT910">
        <f>IF($A910="","",IF(BP910=1,F910,""))</f>
        <v>0</v>
      </c>
    </row>
    <row r="911" spans="1:72">
      <c r="A911" s="27">
        <f>IF(Data!$A911="","",Data!$A911)</f>
        <v>0</v>
      </c>
      <c r="B911">
        <f>IF(Data!$B911="","",Data!$B911)</f>
        <v>0</v>
      </c>
      <c r="C911">
        <f>IF(Data!$C911="","",Data!$C911)</f>
        <v>0</v>
      </c>
      <c r="D911">
        <f>IF(Data!$D911="","",Data!$D911)</f>
        <v>0</v>
      </c>
      <c r="E911">
        <f>IF(Data!$E911="","",Data!$E911)</f>
        <v>0</v>
      </c>
      <c r="F911">
        <f>IF($E911="","",N(F910)+1)</f>
        <v>0</v>
      </c>
      <c r="G911">
        <f>IF(OR($E911="",$E910=""),"",LN($E911/$E910))</f>
        <v>0</v>
      </c>
      <c r="H911">
        <f>IF($E911="","",IF($E910="",$E911,$E911*0.0952380952+H910*0.9047619048))</f>
        <v>0</v>
      </c>
      <c r="I911">
        <f>IF($E911="","",IF($E910="",$E911,$E911*0.0392156863+I910*0.9607843137))</f>
        <v>0</v>
      </c>
      <c r="J911">
        <f>IF($E911="","",IF($E910="",$E911,$E911*0.0198019802+J910*0.9801980198))</f>
        <v>0</v>
      </c>
      <c r="K911">
        <f>IF($E911="","",IF($E910="",$E911,$E911*0.0099502488+K910*0.9900497512))</f>
        <v>0</v>
      </c>
      <c r="L911">
        <f>IF(OR($E911="",$E910=""),"",MAX($E911-$E910,0))</f>
        <v>0</v>
      </c>
      <c r="M911">
        <f>IF(OR($E911="",$E910=""),"",MAX($E910-$E911,0))</f>
        <v>0</v>
      </c>
      <c r="N911">
        <f>IF(COUNT($E$2:$E911)&lt;15,"",IF(AVERAGE($M$898:$M$911)=0,100,100-100/(1+AVERAGE($L$898:$L$911)/AVERAGE($M$898:$M$911))))</f>
        <v>0</v>
      </c>
      <c r="O911">
        <f>IF($E911="","",IF($E910="",$E911,$E911*0.1538461538+O910*0.8461538462))</f>
        <v>0</v>
      </c>
      <c r="P911">
        <f>IF($E911="","",IF($E910="",$E911,$E911*0.0740740741+P910*0.9259259259))</f>
        <v>0</v>
      </c>
      <c r="Q911">
        <f>IF(OR(O911="",P911=""),"",O911-P911)</f>
        <v>0</v>
      </c>
      <c r="R911">
        <f>IF(Q911="","",IF(R910="",Q911,Q911*0.2000000000+R910*0.8000000000))</f>
        <v>0</v>
      </c>
      <c r="S911">
        <f>IF(OR(Q911="",R911=""),"",Q911-R911)</f>
        <v>0</v>
      </c>
      <c r="T911">
        <f>IF(COUNT($E$2:$E911)&lt;14,"",MAX($C$898:$C$911))</f>
        <v>0</v>
      </c>
      <c r="U911">
        <f>IF(COUNT($E$2:$E911)&lt;14,"",MIN($D$898:$D$911))</f>
        <v>0</v>
      </c>
      <c r="V911">
        <f>IF(OR(T911="",U911="",T911=U911),"",100*($E911-U911)/(T911-U911))</f>
        <v>0</v>
      </c>
      <c r="W911">
        <f>IF(COUNT($V$909:$V$911)&lt;3,"",AVERAGE($V$909:$V$911))</f>
        <v>0</v>
      </c>
      <c r="X911">
        <f>IF(COUNT($N$898:$N$911)&lt;14,"",MIN($N$898:$N$911))</f>
        <v>0</v>
      </c>
      <c r="Y911">
        <f>IF(COUNT($N$898:$N$911)&lt;14,"",MAX($N$898:$N$911))</f>
        <v>0</v>
      </c>
      <c r="Z911">
        <f>IF(OR(N911="",X911="",Y911="",Y911=X911),"",100*(N911-X911)/(Y911-X911))</f>
        <v>0</v>
      </c>
      <c r="AA911">
        <f>IF(COUNT($Z$909:$Z$911)&lt;3,"",AVERAGE($Z$909:$Z$911))</f>
        <v>0</v>
      </c>
      <c r="AB911">
        <f>IF(COUNT($AA$909:$AA$911)&lt;3,"",AVERAGE($AA$909:$AA$911))</f>
        <v>0</v>
      </c>
      <c r="AC911">
        <f>IF($E911="","",MAX($C911-$D911,ABS($C911-$E910),ABS($D911-$E910)))</f>
        <v>0</v>
      </c>
      <c r="AD911">
        <f>IF(COUNT($E$2:$E911)&lt;15,"",AVERAGE($AC$898:$AC$911))</f>
        <v>0</v>
      </c>
      <c r="AE911">
        <f>IF(OR($E911="",$E910=""),"",IF(AND(($C911-$C910)&gt;($D910-$D911),($C911-$C910)&gt;0),$C911-$C910,0))</f>
        <v>0</v>
      </c>
      <c r="AF911">
        <f>IF(OR($E911="",$E910=""),"",IF(AND(($D910-$D911)&gt;($C911-$C910),($D910-$D911)&gt;0),$D910-$D911,0))</f>
        <v>0</v>
      </c>
      <c r="AG911">
        <f>IF(COUNT($E$2:$E911)&lt;15,"",IF(SUM($AC$898:$AC$911)=0,0,100*SUM($AE$898:$AE$911)/SUM($AC$898:$AC$911)))</f>
        <v>0</v>
      </c>
      <c r="AH911">
        <f>IF(COUNT($E$2:$E911)&lt;15,"",IF(SUM($AC$898:$AC$911)=0,0,100*SUM($AF$898:$AF$911)/SUM($AC$898:$AC$911)))</f>
        <v>0</v>
      </c>
      <c r="AI911">
        <f>IF(OR(AG911="",AH911=""),"",IF((AG911+AH911)=0,0,100*ABS(AG911-AH911)/(AG911+AH911)))</f>
        <v>0</v>
      </c>
      <c r="AJ911">
        <f>IF(COUNT($AI$898:$AI$911)&lt;14,"",AVERAGE($AI$898:$AI$911))</f>
        <v>0</v>
      </c>
      <c r="AK911">
        <f>IF(COUNT($E$2:$E911)&lt;20,"",AVERAGE($E$892:$E$911))</f>
        <v>0</v>
      </c>
      <c r="AL911">
        <f>IF(COUNT($E$2:$E911)&lt;20,"",STDEVP($E$892:$E$911))</f>
        <v>0</v>
      </c>
      <c r="AM911">
        <f>IF(AK911="","",AK911+2*AL911)</f>
        <v>0</v>
      </c>
      <c r="AN911">
        <f>IF(AK911="","",AK911-2*AL911)</f>
        <v>0</v>
      </c>
      <c r="AO911">
        <f>IF(OR(AM911="",AN911="",AM911=AN911),"",($E911-AN911)/(AM911-AN911))</f>
        <v>0</v>
      </c>
      <c r="AP911">
        <f>IF(OR(AM911="",AK911="",AK911=0),"",(AM911-AN911)/AK911)</f>
        <v>0</v>
      </c>
      <c r="AQ911">
        <f>IF(COUNT($E$2:$E911)&lt;20,"",MAX($C$892:$C$911))</f>
        <v>0</v>
      </c>
      <c r="AR911">
        <f>IF(COUNT($E$2:$E911)&lt;20,"",MIN($D$892:$D$911))</f>
        <v>0</v>
      </c>
      <c r="AS911">
        <f>IF(OR(AQ911="",AR911=""),"",(AQ911+AR911)/2)</f>
        <v>0</v>
      </c>
      <c r="AT911">
        <f>IF(COUNT($G$892:$G$911)&lt;20,"",STDEV($G$892:$G$911)*SQRT(252))</f>
        <v>0</v>
      </c>
      <c r="AU911">
        <f>IF(COUNT($E$2:$E911)&lt;9,"",(MAX($C$903:$C$911)+MIN($D$903:$D$911))/2)</f>
        <v>0</v>
      </c>
      <c r="AV911">
        <f>IF(COUNT($E$2:$E911)&lt;26,"",(MAX($C$886:$C$911)+MIN($D$886:$D$911))/2)</f>
        <v>0</v>
      </c>
      <c r="AW911">
        <f>IF(OR(AU911="",AV911=""),"",(AU911+AV911)/2)</f>
        <v>0</v>
      </c>
      <c r="AX911">
        <f>IF(COUNT($E$2:$E911)&lt;52,"",(MAX($C$860:$C$911)+MIN($D$860:$D$911))/2)</f>
        <v>0</v>
      </c>
      <c r="AY911">
        <f>IF(COUNT($E$2:$E911)&lt;20,"",MAX($C$812:$C$911))</f>
        <v>0</v>
      </c>
      <c r="AZ911">
        <f>IF(COUNT($E$2:$E911)&lt;20,"",MIN($D$812:$D$911))</f>
        <v>0</v>
      </c>
      <c r="BA911">
        <f>IF(COUNT($E$2:$E911)&lt;20,"",SLOPE($E$812:$E$911,$F$812:$F$911))</f>
        <v>0</v>
      </c>
      <c r="BB911">
        <f>IF(COUNT($E$2:$E911)&lt;20,"",INTERCEPT($E$812:$E$911,$F$812:$F$911))</f>
        <v>0</v>
      </c>
      <c r="BC911">
        <f>IF(OR(BA911="",BB911=""),"",BB911+BA911*F911)</f>
        <v>0</v>
      </c>
      <c r="BD911">
        <f>IF(COUNT($E$2:$E911)&lt;20,"",STEYX($E$812:$E$911,$F$812:$F$911))</f>
        <v>0</v>
      </c>
      <c r="BE911">
        <f>IF($E911="","",IF(AND(COUNT($E$912:$E$915)&gt;=4,$C911=MAX($C$907:$C$915)),$C911,""))</f>
        <v>0</v>
      </c>
      <c r="BF911">
        <f>IF($E911="","",IF(AND(COUNT($E$912:$E$915)&gt;=4,$D911=MIN($D$907:$D$915)),$D911,""))</f>
        <v>0</v>
      </c>
      <c r="BG911">
        <f>IF($A911="","",$A911-WEEKDAY($A911,2)+1)</f>
        <v>0</v>
      </c>
      <c r="BH911">
        <f>IF($A911="","",IF($A910="",1,IF(BG911&lt;&gt;BG910,1,0)))</f>
        <v>0</v>
      </c>
      <c r="BI911">
        <f>IF($A911="","",IF($A912="",1,IF(BG912&lt;&gt;BG911,1,0)))</f>
        <v>0</v>
      </c>
      <c r="BJ911">
        <f>IF($A911="","",IF(BH911=1,$B911,BJ910))</f>
        <v>0</v>
      </c>
      <c r="BK911">
        <f>IF($A911="","",IF(BH911=1,$C911,MAX($C911,BK910)))</f>
        <v>0</v>
      </c>
      <c r="BL911">
        <f>IF($A911="","",IF(BH911=1,$D911,MIN($D911,BL910)))</f>
        <v>0</v>
      </c>
      <c r="BM911">
        <f>IF($A911="","",IF(BI911=1,F911,""))</f>
        <v>0</v>
      </c>
      <c r="BN911">
        <f>IF($A911="","",DATE(YEAR($A911),MONTH($A911),1))</f>
        <v>0</v>
      </c>
      <c r="BO911">
        <f>IF($A911="","",IF($A910="",1,IF(BN911&lt;&gt;BN910,1,0)))</f>
        <v>0</v>
      </c>
      <c r="BP911">
        <f>IF($A911="","",IF($A912="",1,IF(BN912&lt;&gt;BN911,1,0)))</f>
        <v>0</v>
      </c>
      <c r="BQ911">
        <f>IF($A911="","",IF(BO911=1,$B911,BQ910))</f>
        <v>0</v>
      </c>
      <c r="BR911">
        <f>IF($A911="","",IF(BO911=1,$C911,MAX($C911,BR910)))</f>
        <v>0</v>
      </c>
      <c r="BS911">
        <f>IF($A911="","",IF(BO911=1,$D911,MIN($D911,BS910)))</f>
        <v>0</v>
      </c>
      <c r="BT911">
        <f>IF($A911="","",IF(BP911=1,F911,""))</f>
        <v>0</v>
      </c>
    </row>
    <row r="912" spans="1:72">
      <c r="A912" s="27">
        <f>IF(Data!$A912="","",Data!$A912)</f>
        <v>0</v>
      </c>
      <c r="B912">
        <f>IF(Data!$B912="","",Data!$B912)</f>
        <v>0</v>
      </c>
      <c r="C912">
        <f>IF(Data!$C912="","",Data!$C912)</f>
        <v>0</v>
      </c>
      <c r="D912">
        <f>IF(Data!$D912="","",Data!$D912)</f>
        <v>0</v>
      </c>
      <c r="E912">
        <f>IF(Data!$E912="","",Data!$E912)</f>
        <v>0</v>
      </c>
      <c r="F912">
        <f>IF($E912="","",N(F911)+1)</f>
        <v>0</v>
      </c>
      <c r="G912">
        <f>IF(OR($E912="",$E911=""),"",LN($E912/$E911))</f>
        <v>0</v>
      </c>
      <c r="H912">
        <f>IF($E912="","",IF($E911="",$E912,$E912*0.0952380952+H911*0.9047619048))</f>
        <v>0</v>
      </c>
      <c r="I912">
        <f>IF($E912="","",IF($E911="",$E912,$E912*0.0392156863+I911*0.9607843137))</f>
        <v>0</v>
      </c>
      <c r="J912">
        <f>IF($E912="","",IF($E911="",$E912,$E912*0.0198019802+J911*0.9801980198))</f>
        <v>0</v>
      </c>
      <c r="K912">
        <f>IF($E912="","",IF($E911="",$E912,$E912*0.0099502488+K911*0.9900497512))</f>
        <v>0</v>
      </c>
      <c r="L912">
        <f>IF(OR($E912="",$E911=""),"",MAX($E912-$E911,0))</f>
        <v>0</v>
      </c>
      <c r="M912">
        <f>IF(OR($E912="",$E911=""),"",MAX($E911-$E912,0))</f>
        <v>0</v>
      </c>
      <c r="N912">
        <f>IF(COUNT($E$2:$E912)&lt;15,"",IF(AVERAGE($M$899:$M$912)=0,100,100-100/(1+AVERAGE($L$899:$L$912)/AVERAGE($M$899:$M$912))))</f>
        <v>0</v>
      </c>
      <c r="O912">
        <f>IF($E912="","",IF($E911="",$E912,$E912*0.1538461538+O911*0.8461538462))</f>
        <v>0</v>
      </c>
      <c r="P912">
        <f>IF($E912="","",IF($E911="",$E912,$E912*0.0740740741+P911*0.9259259259))</f>
        <v>0</v>
      </c>
      <c r="Q912">
        <f>IF(OR(O912="",P912=""),"",O912-P912)</f>
        <v>0</v>
      </c>
      <c r="R912">
        <f>IF(Q912="","",IF(R911="",Q912,Q912*0.2000000000+R911*0.8000000000))</f>
        <v>0</v>
      </c>
      <c r="S912">
        <f>IF(OR(Q912="",R912=""),"",Q912-R912)</f>
        <v>0</v>
      </c>
      <c r="T912">
        <f>IF(COUNT($E$2:$E912)&lt;14,"",MAX($C$899:$C$912))</f>
        <v>0</v>
      </c>
      <c r="U912">
        <f>IF(COUNT($E$2:$E912)&lt;14,"",MIN($D$899:$D$912))</f>
        <v>0</v>
      </c>
      <c r="V912">
        <f>IF(OR(T912="",U912="",T912=U912),"",100*($E912-U912)/(T912-U912))</f>
        <v>0</v>
      </c>
      <c r="W912">
        <f>IF(COUNT($V$910:$V$912)&lt;3,"",AVERAGE($V$910:$V$912))</f>
        <v>0</v>
      </c>
      <c r="X912">
        <f>IF(COUNT($N$899:$N$912)&lt;14,"",MIN($N$899:$N$912))</f>
        <v>0</v>
      </c>
      <c r="Y912">
        <f>IF(COUNT($N$899:$N$912)&lt;14,"",MAX($N$899:$N$912))</f>
        <v>0</v>
      </c>
      <c r="Z912">
        <f>IF(OR(N912="",X912="",Y912="",Y912=X912),"",100*(N912-X912)/(Y912-X912))</f>
        <v>0</v>
      </c>
      <c r="AA912">
        <f>IF(COUNT($Z$910:$Z$912)&lt;3,"",AVERAGE($Z$910:$Z$912))</f>
        <v>0</v>
      </c>
      <c r="AB912">
        <f>IF(COUNT($AA$910:$AA$912)&lt;3,"",AVERAGE($AA$910:$AA$912))</f>
        <v>0</v>
      </c>
      <c r="AC912">
        <f>IF($E912="","",MAX($C912-$D912,ABS($C912-$E911),ABS($D912-$E911)))</f>
        <v>0</v>
      </c>
      <c r="AD912">
        <f>IF(COUNT($E$2:$E912)&lt;15,"",AVERAGE($AC$899:$AC$912))</f>
        <v>0</v>
      </c>
      <c r="AE912">
        <f>IF(OR($E912="",$E911=""),"",IF(AND(($C912-$C911)&gt;($D911-$D912),($C912-$C911)&gt;0),$C912-$C911,0))</f>
        <v>0</v>
      </c>
      <c r="AF912">
        <f>IF(OR($E912="",$E911=""),"",IF(AND(($D911-$D912)&gt;($C912-$C911),($D911-$D912)&gt;0),$D911-$D912,0))</f>
        <v>0</v>
      </c>
      <c r="AG912">
        <f>IF(COUNT($E$2:$E912)&lt;15,"",IF(SUM($AC$899:$AC$912)=0,0,100*SUM($AE$899:$AE$912)/SUM($AC$899:$AC$912)))</f>
        <v>0</v>
      </c>
      <c r="AH912">
        <f>IF(COUNT($E$2:$E912)&lt;15,"",IF(SUM($AC$899:$AC$912)=0,0,100*SUM($AF$899:$AF$912)/SUM($AC$899:$AC$912)))</f>
        <v>0</v>
      </c>
      <c r="AI912">
        <f>IF(OR(AG912="",AH912=""),"",IF((AG912+AH912)=0,0,100*ABS(AG912-AH912)/(AG912+AH912)))</f>
        <v>0</v>
      </c>
      <c r="AJ912">
        <f>IF(COUNT($AI$899:$AI$912)&lt;14,"",AVERAGE($AI$899:$AI$912))</f>
        <v>0</v>
      </c>
      <c r="AK912">
        <f>IF(COUNT($E$2:$E912)&lt;20,"",AVERAGE($E$893:$E$912))</f>
        <v>0</v>
      </c>
      <c r="AL912">
        <f>IF(COUNT($E$2:$E912)&lt;20,"",STDEVP($E$893:$E$912))</f>
        <v>0</v>
      </c>
      <c r="AM912">
        <f>IF(AK912="","",AK912+2*AL912)</f>
        <v>0</v>
      </c>
      <c r="AN912">
        <f>IF(AK912="","",AK912-2*AL912)</f>
        <v>0</v>
      </c>
      <c r="AO912">
        <f>IF(OR(AM912="",AN912="",AM912=AN912),"",($E912-AN912)/(AM912-AN912))</f>
        <v>0</v>
      </c>
      <c r="AP912">
        <f>IF(OR(AM912="",AK912="",AK912=0),"",(AM912-AN912)/AK912)</f>
        <v>0</v>
      </c>
      <c r="AQ912">
        <f>IF(COUNT($E$2:$E912)&lt;20,"",MAX($C$893:$C$912))</f>
        <v>0</v>
      </c>
      <c r="AR912">
        <f>IF(COUNT($E$2:$E912)&lt;20,"",MIN($D$893:$D$912))</f>
        <v>0</v>
      </c>
      <c r="AS912">
        <f>IF(OR(AQ912="",AR912=""),"",(AQ912+AR912)/2)</f>
        <v>0</v>
      </c>
      <c r="AT912">
        <f>IF(COUNT($G$893:$G$912)&lt;20,"",STDEV($G$893:$G$912)*SQRT(252))</f>
        <v>0</v>
      </c>
      <c r="AU912">
        <f>IF(COUNT($E$2:$E912)&lt;9,"",(MAX($C$904:$C$912)+MIN($D$904:$D$912))/2)</f>
        <v>0</v>
      </c>
      <c r="AV912">
        <f>IF(COUNT($E$2:$E912)&lt;26,"",(MAX($C$887:$C$912)+MIN($D$887:$D$912))/2)</f>
        <v>0</v>
      </c>
      <c r="AW912">
        <f>IF(OR(AU912="",AV912=""),"",(AU912+AV912)/2)</f>
        <v>0</v>
      </c>
      <c r="AX912">
        <f>IF(COUNT($E$2:$E912)&lt;52,"",(MAX($C$861:$C$912)+MIN($D$861:$D$912))/2)</f>
        <v>0</v>
      </c>
      <c r="AY912">
        <f>IF(COUNT($E$2:$E912)&lt;20,"",MAX($C$813:$C$912))</f>
        <v>0</v>
      </c>
      <c r="AZ912">
        <f>IF(COUNT($E$2:$E912)&lt;20,"",MIN($D$813:$D$912))</f>
        <v>0</v>
      </c>
      <c r="BA912">
        <f>IF(COUNT($E$2:$E912)&lt;20,"",SLOPE($E$813:$E$912,$F$813:$F$912))</f>
        <v>0</v>
      </c>
      <c r="BB912">
        <f>IF(COUNT($E$2:$E912)&lt;20,"",INTERCEPT($E$813:$E$912,$F$813:$F$912))</f>
        <v>0</v>
      </c>
      <c r="BC912">
        <f>IF(OR(BA912="",BB912=""),"",BB912+BA912*F912)</f>
        <v>0</v>
      </c>
      <c r="BD912">
        <f>IF(COUNT($E$2:$E912)&lt;20,"",STEYX($E$813:$E$912,$F$813:$F$912))</f>
        <v>0</v>
      </c>
      <c r="BE912">
        <f>IF($E912="","",IF(AND(COUNT($E$913:$E$916)&gt;=4,$C912=MAX($C$908:$C$916)),$C912,""))</f>
        <v>0</v>
      </c>
      <c r="BF912">
        <f>IF($E912="","",IF(AND(COUNT($E$913:$E$916)&gt;=4,$D912=MIN($D$908:$D$916)),$D912,""))</f>
        <v>0</v>
      </c>
      <c r="BG912">
        <f>IF($A912="","",$A912-WEEKDAY($A912,2)+1)</f>
        <v>0</v>
      </c>
      <c r="BH912">
        <f>IF($A912="","",IF($A911="",1,IF(BG912&lt;&gt;BG911,1,0)))</f>
        <v>0</v>
      </c>
      <c r="BI912">
        <f>IF($A912="","",IF($A913="",1,IF(BG913&lt;&gt;BG912,1,0)))</f>
        <v>0</v>
      </c>
      <c r="BJ912">
        <f>IF($A912="","",IF(BH912=1,$B912,BJ911))</f>
        <v>0</v>
      </c>
      <c r="BK912">
        <f>IF($A912="","",IF(BH912=1,$C912,MAX($C912,BK911)))</f>
        <v>0</v>
      </c>
      <c r="BL912">
        <f>IF($A912="","",IF(BH912=1,$D912,MIN($D912,BL911)))</f>
        <v>0</v>
      </c>
      <c r="BM912">
        <f>IF($A912="","",IF(BI912=1,F912,""))</f>
        <v>0</v>
      </c>
      <c r="BN912">
        <f>IF($A912="","",DATE(YEAR($A912),MONTH($A912),1))</f>
        <v>0</v>
      </c>
      <c r="BO912">
        <f>IF($A912="","",IF($A911="",1,IF(BN912&lt;&gt;BN911,1,0)))</f>
        <v>0</v>
      </c>
      <c r="BP912">
        <f>IF($A912="","",IF($A913="",1,IF(BN913&lt;&gt;BN912,1,0)))</f>
        <v>0</v>
      </c>
      <c r="BQ912">
        <f>IF($A912="","",IF(BO912=1,$B912,BQ911))</f>
        <v>0</v>
      </c>
      <c r="BR912">
        <f>IF($A912="","",IF(BO912=1,$C912,MAX($C912,BR911)))</f>
        <v>0</v>
      </c>
      <c r="BS912">
        <f>IF($A912="","",IF(BO912=1,$D912,MIN($D912,BS911)))</f>
        <v>0</v>
      </c>
      <c r="BT912">
        <f>IF($A912="","",IF(BP912=1,F912,""))</f>
        <v>0</v>
      </c>
    </row>
    <row r="913" spans="1:72">
      <c r="A913" s="27">
        <f>IF(Data!$A913="","",Data!$A913)</f>
        <v>0</v>
      </c>
      <c r="B913">
        <f>IF(Data!$B913="","",Data!$B913)</f>
        <v>0</v>
      </c>
      <c r="C913">
        <f>IF(Data!$C913="","",Data!$C913)</f>
        <v>0</v>
      </c>
      <c r="D913">
        <f>IF(Data!$D913="","",Data!$D913)</f>
        <v>0</v>
      </c>
      <c r="E913">
        <f>IF(Data!$E913="","",Data!$E913)</f>
        <v>0</v>
      </c>
      <c r="F913">
        <f>IF($E913="","",N(F912)+1)</f>
        <v>0</v>
      </c>
      <c r="G913">
        <f>IF(OR($E913="",$E912=""),"",LN($E913/$E912))</f>
        <v>0</v>
      </c>
      <c r="H913">
        <f>IF($E913="","",IF($E912="",$E913,$E913*0.0952380952+H912*0.9047619048))</f>
        <v>0</v>
      </c>
      <c r="I913">
        <f>IF($E913="","",IF($E912="",$E913,$E913*0.0392156863+I912*0.9607843137))</f>
        <v>0</v>
      </c>
      <c r="J913">
        <f>IF($E913="","",IF($E912="",$E913,$E913*0.0198019802+J912*0.9801980198))</f>
        <v>0</v>
      </c>
      <c r="K913">
        <f>IF($E913="","",IF($E912="",$E913,$E913*0.0099502488+K912*0.9900497512))</f>
        <v>0</v>
      </c>
      <c r="L913">
        <f>IF(OR($E913="",$E912=""),"",MAX($E913-$E912,0))</f>
        <v>0</v>
      </c>
      <c r="M913">
        <f>IF(OR($E913="",$E912=""),"",MAX($E912-$E913,0))</f>
        <v>0</v>
      </c>
      <c r="N913">
        <f>IF(COUNT($E$2:$E913)&lt;15,"",IF(AVERAGE($M$900:$M$913)=0,100,100-100/(1+AVERAGE($L$900:$L$913)/AVERAGE($M$900:$M$913))))</f>
        <v>0</v>
      </c>
      <c r="O913">
        <f>IF($E913="","",IF($E912="",$E913,$E913*0.1538461538+O912*0.8461538462))</f>
        <v>0</v>
      </c>
      <c r="P913">
        <f>IF($E913="","",IF($E912="",$E913,$E913*0.0740740741+P912*0.9259259259))</f>
        <v>0</v>
      </c>
      <c r="Q913">
        <f>IF(OR(O913="",P913=""),"",O913-P913)</f>
        <v>0</v>
      </c>
      <c r="R913">
        <f>IF(Q913="","",IF(R912="",Q913,Q913*0.2000000000+R912*0.8000000000))</f>
        <v>0</v>
      </c>
      <c r="S913">
        <f>IF(OR(Q913="",R913=""),"",Q913-R913)</f>
        <v>0</v>
      </c>
      <c r="T913">
        <f>IF(COUNT($E$2:$E913)&lt;14,"",MAX($C$900:$C$913))</f>
        <v>0</v>
      </c>
      <c r="U913">
        <f>IF(COUNT($E$2:$E913)&lt;14,"",MIN($D$900:$D$913))</f>
        <v>0</v>
      </c>
      <c r="V913">
        <f>IF(OR(T913="",U913="",T913=U913),"",100*($E913-U913)/(T913-U913))</f>
        <v>0</v>
      </c>
      <c r="W913">
        <f>IF(COUNT($V$911:$V$913)&lt;3,"",AVERAGE($V$911:$V$913))</f>
        <v>0</v>
      </c>
      <c r="X913">
        <f>IF(COUNT($N$900:$N$913)&lt;14,"",MIN($N$900:$N$913))</f>
        <v>0</v>
      </c>
      <c r="Y913">
        <f>IF(COUNT($N$900:$N$913)&lt;14,"",MAX($N$900:$N$913))</f>
        <v>0</v>
      </c>
      <c r="Z913">
        <f>IF(OR(N913="",X913="",Y913="",Y913=X913),"",100*(N913-X913)/(Y913-X913))</f>
        <v>0</v>
      </c>
      <c r="AA913">
        <f>IF(COUNT($Z$911:$Z$913)&lt;3,"",AVERAGE($Z$911:$Z$913))</f>
        <v>0</v>
      </c>
      <c r="AB913">
        <f>IF(COUNT($AA$911:$AA$913)&lt;3,"",AVERAGE($AA$911:$AA$913))</f>
        <v>0</v>
      </c>
      <c r="AC913">
        <f>IF($E913="","",MAX($C913-$D913,ABS($C913-$E912),ABS($D913-$E912)))</f>
        <v>0</v>
      </c>
      <c r="AD913">
        <f>IF(COUNT($E$2:$E913)&lt;15,"",AVERAGE($AC$900:$AC$913))</f>
        <v>0</v>
      </c>
      <c r="AE913">
        <f>IF(OR($E913="",$E912=""),"",IF(AND(($C913-$C912)&gt;($D912-$D913),($C913-$C912)&gt;0),$C913-$C912,0))</f>
        <v>0</v>
      </c>
      <c r="AF913">
        <f>IF(OR($E913="",$E912=""),"",IF(AND(($D912-$D913)&gt;($C913-$C912),($D912-$D913)&gt;0),$D912-$D913,0))</f>
        <v>0</v>
      </c>
      <c r="AG913">
        <f>IF(COUNT($E$2:$E913)&lt;15,"",IF(SUM($AC$900:$AC$913)=0,0,100*SUM($AE$900:$AE$913)/SUM($AC$900:$AC$913)))</f>
        <v>0</v>
      </c>
      <c r="AH913">
        <f>IF(COUNT($E$2:$E913)&lt;15,"",IF(SUM($AC$900:$AC$913)=0,0,100*SUM($AF$900:$AF$913)/SUM($AC$900:$AC$913)))</f>
        <v>0</v>
      </c>
      <c r="AI913">
        <f>IF(OR(AG913="",AH913=""),"",IF((AG913+AH913)=0,0,100*ABS(AG913-AH913)/(AG913+AH913)))</f>
        <v>0</v>
      </c>
      <c r="AJ913">
        <f>IF(COUNT($AI$900:$AI$913)&lt;14,"",AVERAGE($AI$900:$AI$913))</f>
        <v>0</v>
      </c>
      <c r="AK913">
        <f>IF(COUNT($E$2:$E913)&lt;20,"",AVERAGE($E$894:$E$913))</f>
        <v>0</v>
      </c>
      <c r="AL913">
        <f>IF(COUNT($E$2:$E913)&lt;20,"",STDEVP($E$894:$E$913))</f>
        <v>0</v>
      </c>
      <c r="AM913">
        <f>IF(AK913="","",AK913+2*AL913)</f>
        <v>0</v>
      </c>
      <c r="AN913">
        <f>IF(AK913="","",AK913-2*AL913)</f>
        <v>0</v>
      </c>
      <c r="AO913">
        <f>IF(OR(AM913="",AN913="",AM913=AN913),"",($E913-AN913)/(AM913-AN913))</f>
        <v>0</v>
      </c>
      <c r="AP913">
        <f>IF(OR(AM913="",AK913="",AK913=0),"",(AM913-AN913)/AK913)</f>
        <v>0</v>
      </c>
      <c r="AQ913">
        <f>IF(COUNT($E$2:$E913)&lt;20,"",MAX($C$894:$C$913))</f>
        <v>0</v>
      </c>
      <c r="AR913">
        <f>IF(COUNT($E$2:$E913)&lt;20,"",MIN($D$894:$D$913))</f>
        <v>0</v>
      </c>
      <c r="AS913">
        <f>IF(OR(AQ913="",AR913=""),"",(AQ913+AR913)/2)</f>
        <v>0</v>
      </c>
      <c r="AT913">
        <f>IF(COUNT($G$894:$G$913)&lt;20,"",STDEV($G$894:$G$913)*SQRT(252))</f>
        <v>0</v>
      </c>
      <c r="AU913">
        <f>IF(COUNT($E$2:$E913)&lt;9,"",(MAX($C$905:$C$913)+MIN($D$905:$D$913))/2)</f>
        <v>0</v>
      </c>
      <c r="AV913">
        <f>IF(COUNT($E$2:$E913)&lt;26,"",(MAX($C$888:$C$913)+MIN($D$888:$D$913))/2)</f>
        <v>0</v>
      </c>
      <c r="AW913">
        <f>IF(OR(AU913="",AV913=""),"",(AU913+AV913)/2)</f>
        <v>0</v>
      </c>
      <c r="AX913">
        <f>IF(COUNT($E$2:$E913)&lt;52,"",(MAX($C$862:$C$913)+MIN($D$862:$D$913))/2)</f>
        <v>0</v>
      </c>
      <c r="AY913">
        <f>IF(COUNT($E$2:$E913)&lt;20,"",MAX($C$814:$C$913))</f>
        <v>0</v>
      </c>
      <c r="AZ913">
        <f>IF(COUNT($E$2:$E913)&lt;20,"",MIN($D$814:$D$913))</f>
        <v>0</v>
      </c>
      <c r="BA913">
        <f>IF(COUNT($E$2:$E913)&lt;20,"",SLOPE($E$814:$E$913,$F$814:$F$913))</f>
        <v>0</v>
      </c>
      <c r="BB913">
        <f>IF(COUNT($E$2:$E913)&lt;20,"",INTERCEPT($E$814:$E$913,$F$814:$F$913))</f>
        <v>0</v>
      </c>
      <c r="BC913">
        <f>IF(OR(BA913="",BB913=""),"",BB913+BA913*F913)</f>
        <v>0</v>
      </c>
      <c r="BD913">
        <f>IF(COUNT($E$2:$E913)&lt;20,"",STEYX($E$814:$E$913,$F$814:$F$913))</f>
        <v>0</v>
      </c>
      <c r="BE913">
        <f>IF($E913="","",IF(AND(COUNT($E$914:$E$917)&gt;=4,$C913=MAX($C$909:$C$917)),$C913,""))</f>
        <v>0</v>
      </c>
      <c r="BF913">
        <f>IF($E913="","",IF(AND(COUNT($E$914:$E$917)&gt;=4,$D913=MIN($D$909:$D$917)),$D913,""))</f>
        <v>0</v>
      </c>
      <c r="BG913">
        <f>IF($A913="","",$A913-WEEKDAY($A913,2)+1)</f>
        <v>0</v>
      </c>
      <c r="BH913">
        <f>IF($A913="","",IF($A912="",1,IF(BG913&lt;&gt;BG912,1,0)))</f>
        <v>0</v>
      </c>
      <c r="BI913">
        <f>IF($A913="","",IF($A914="",1,IF(BG914&lt;&gt;BG913,1,0)))</f>
        <v>0</v>
      </c>
      <c r="BJ913">
        <f>IF($A913="","",IF(BH913=1,$B913,BJ912))</f>
        <v>0</v>
      </c>
      <c r="BK913">
        <f>IF($A913="","",IF(BH913=1,$C913,MAX($C913,BK912)))</f>
        <v>0</v>
      </c>
      <c r="BL913">
        <f>IF($A913="","",IF(BH913=1,$D913,MIN($D913,BL912)))</f>
        <v>0</v>
      </c>
      <c r="BM913">
        <f>IF($A913="","",IF(BI913=1,F913,""))</f>
        <v>0</v>
      </c>
      <c r="BN913">
        <f>IF($A913="","",DATE(YEAR($A913),MONTH($A913),1))</f>
        <v>0</v>
      </c>
      <c r="BO913">
        <f>IF($A913="","",IF($A912="",1,IF(BN913&lt;&gt;BN912,1,0)))</f>
        <v>0</v>
      </c>
      <c r="BP913">
        <f>IF($A913="","",IF($A914="",1,IF(BN914&lt;&gt;BN913,1,0)))</f>
        <v>0</v>
      </c>
      <c r="BQ913">
        <f>IF($A913="","",IF(BO913=1,$B913,BQ912))</f>
        <v>0</v>
      </c>
      <c r="BR913">
        <f>IF($A913="","",IF(BO913=1,$C913,MAX($C913,BR912)))</f>
        <v>0</v>
      </c>
      <c r="BS913">
        <f>IF($A913="","",IF(BO913=1,$D913,MIN($D913,BS912)))</f>
        <v>0</v>
      </c>
      <c r="BT913">
        <f>IF($A913="","",IF(BP913=1,F913,""))</f>
        <v>0</v>
      </c>
    </row>
    <row r="914" spans="1:72">
      <c r="A914" s="27">
        <f>IF(Data!$A914="","",Data!$A914)</f>
        <v>0</v>
      </c>
      <c r="B914">
        <f>IF(Data!$B914="","",Data!$B914)</f>
        <v>0</v>
      </c>
      <c r="C914">
        <f>IF(Data!$C914="","",Data!$C914)</f>
        <v>0</v>
      </c>
      <c r="D914">
        <f>IF(Data!$D914="","",Data!$D914)</f>
        <v>0</v>
      </c>
      <c r="E914">
        <f>IF(Data!$E914="","",Data!$E914)</f>
        <v>0</v>
      </c>
      <c r="F914">
        <f>IF($E914="","",N(F913)+1)</f>
        <v>0</v>
      </c>
      <c r="G914">
        <f>IF(OR($E914="",$E913=""),"",LN($E914/$E913))</f>
        <v>0</v>
      </c>
      <c r="H914">
        <f>IF($E914="","",IF($E913="",$E914,$E914*0.0952380952+H913*0.9047619048))</f>
        <v>0</v>
      </c>
      <c r="I914">
        <f>IF($E914="","",IF($E913="",$E914,$E914*0.0392156863+I913*0.9607843137))</f>
        <v>0</v>
      </c>
      <c r="J914">
        <f>IF($E914="","",IF($E913="",$E914,$E914*0.0198019802+J913*0.9801980198))</f>
        <v>0</v>
      </c>
      <c r="K914">
        <f>IF($E914="","",IF($E913="",$E914,$E914*0.0099502488+K913*0.9900497512))</f>
        <v>0</v>
      </c>
      <c r="L914">
        <f>IF(OR($E914="",$E913=""),"",MAX($E914-$E913,0))</f>
        <v>0</v>
      </c>
      <c r="M914">
        <f>IF(OR($E914="",$E913=""),"",MAX($E913-$E914,0))</f>
        <v>0</v>
      </c>
      <c r="N914">
        <f>IF(COUNT($E$2:$E914)&lt;15,"",IF(AVERAGE($M$901:$M$914)=0,100,100-100/(1+AVERAGE($L$901:$L$914)/AVERAGE($M$901:$M$914))))</f>
        <v>0</v>
      </c>
      <c r="O914">
        <f>IF($E914="","",IF($E913="",$E914,$E914*0.1538461538+O913*0.8461538462))</f>
        <v>0</v>
      </c>
      <c r="P914">
        <f>IF($E914="","",IF($E913="",$E914,$E914*0.0740740741+P913*0.9259259259))</f>
        <v>0</v>
      </c>
      <c r="Q914">
        <f>IF(OR(O914="",P914=""),"",O914-P914)</f>
        <v>0</v>
      </c>
      <c r="R914">
        <f>IF(Q914="","",IF(R913="",Q914,Q914*0.2000000000+R913*0.8000000000))</f>
        <v>0</v>
      </c>
      <c r="S914">
        <f>IF(OR(Q914="",R914=""),"",Q914-R914)</f>
        <v>0</v>
      </c>
      <c r="T914">
        <f>IF(COUNT($E$2:$E914)&lt;14,"",MAX($C$901:$C$914))</f>
        <v>0</v>
      </c>
      <c r="U914">
        <f>IF(COUNT($E$2:$E914)&lt;14,"",MIN($D$901:$D$914))</f>
        <v>0</v>
      </c>
      <c r="V914">
        <f>IF(OR(T914="",U914="",T914=U914),"",100*($E914-U914)/(T914-U914))</f>
        <v>0</v>
      </c>
      <c r="W914">
        <f>IF(COUNT($V$912:$V$914)&lt;3,"",AVERAGE($V$912:$V$914))</f>
        <v>0</v>
      </c>
      <c r="X914">
        <f>IF(COUNT($N$901:$N$914)&lt;14,"",MIN($N$901:$N$914))</f>
        <v>0</v>
      </c>
      <c r="Y914">
        <f>IF(COUNT($N$901:$N$914)&lt;14,"",MAX($N$901:$N$914))</f>
        <v>0</v>
      </c>
      <c r="Z914">
        <f>IF(OR(N914="",X914="",Y914="",Y914=X914),"",100*(N914-X914)/(Y914-X914))</f>
        <v>0</v>
      </c>
      <c r="AA914">
        <f>IF(COUNT($Z$912:$Z$914)&lt;3,"",AVERAGE($Z$912:$Z$914))</f>
        <v>0</v>
      </c>
      <c r="AB914">
        <f>IF(COUNT($AA$912:$AA$914)&lt;3,"",AVERAGE($AA$912:$AA$914))</f>
        <v>0</v>
      </c>
      <c r="AC914">
        <f>IF($E914="","",MAX($C914-$D914,ABS($C914-$E913),ABS($D914-$E913)))</f>
        <v>0</v>
      </c>
      <c r="AD914">
        <f>IF(COUNT($E$2:$E914)&lt;15,"",AVERAGE($AC$901:$AC$914))</f>
        <v>0</v>
      </c>
      <c r="AE914">
        <f>IF(OR($E914="",$E913=""),"",IF(AND(($C914-$C913)&gt;($D913-$D914),($C914-$C913)&gt;0),$C914-$C913,0))</f>
        <v>0</v>
      </c>
      <c r="AF914">
        <f>IF(OR($E914="",$E913=""),"",IF(AND(($D913-$D914)&gt;($C914-$C913),($D913-$D914)&gt;0),$D913-$D914,0))</f>
        <v>0</v>
      </c>
      <c r="AG914">
        <f>IF(COUNT($E$2:$E914)&lt;15,"",IF(SUM($AC$901:$AC$914)=0,0,100*SUM($AE$901:$AE$914)/SUM($AC$901:$AC$914)))</f>
        <v>0</v>
      </c>
      <c r="AH914">
        <f>IF(COUNT($E$2:$E914)&lt;15,"",IF(SUM($AC$901:$AC$914)=0,0,100*SUM($AF$901:$AF$914)/SUM($AC$901:$AC$914)))</f>
        <v>0</v>
      </c>
      <c r="AI914">
        <f>IF(OR(AG914="",AH914=""),"",IF((AG914+AH914)=0,0,100*ABS(AG914-AH914)/(AG914+AH914)))</f>
        <v>0</v>
      </c>
      <c r="AJ914">
        <f>IF(COUNT($AI$901:$AI$914)&lt;14,"",AVERAGE($AI$901:$AI$914))</f>
        <v>0</v>
      </c>
      <c r="AK914">
        <f>IF(COUNT($E$2:$E914)&lt;20,"",AVERAGE($E$895:$E$914))</f>
        <v>0</v>
      </c>
      <c r="AL914">
        <f>IF(COUNT($E$2:$E914)&lt;20,"",STDEVP($E$895:$E$914))</f>
        <v>0</v>
      </c>
      <c r="AM914">
        <f>IF(AK914="","",AK914+2*AL914)</f>
        <v>0</v>
      </c>
      <c r="AN914">
        <f>IF(AK914="","",AK914-2*AL914)</f>
        <v>0</v>
      </c>
      <c r="AO914">
        <f>IF(OR(AM914="",AN914="",AM914=AN914),"",($E914-AN914)/(AM914-AN914))</f>
        <v>0</v>
      </c>
      <c r="AP914">
        <f>IF(OR(AM914="",AK914="",AK914=0),"",(AM914-AN914)/AK914)</f>
        <v>0</v>
      </c>
      <c r="AQ914">
        <f>IF(COUNT($E$2:$E914)&lt;20,"",MAX($C$895:$C$914))</f>
        <v>0</v>
      </c>
      <c r="AR914">
        <f>IF(COUNT($E$2:$E914)&lt;20,"",MIN($D$895:$D$914))</f>
        <v>0</v>
      </c>
      <c r="AS914">
        <f>IF(OR(AQ914="",AR914=""),"",(AQ914+AR914)/2)</f>
        <v>0</v>
      </c>
      <c r="AT914">
        <f>IF(COUNT($G$895:$G$914)&lt;20,"",STDEV($G$895:$G$914)*SQRT(252))</f>
        <v>0</v>
      </c>
      <c r="AU914">
        <f>IF(COUNT($E$2:$E914)&lt;9,"",(MAX($C$906:$C$914)+MIN($D$906:$D$914))/2)</f>
        <v>0</v>
      </c>
      <c r="AV914">
        <f>IF(COUNT($E$2:$E914)&lt;26,"",(MAX($C$889:$C$914)+MIN($D$889:$D$914))/2)</f>
        <v>0</v>
      </c>
      <c r="AW914">
        <f>IF(OR(AU914="",AV914=""),"",(AU914+AV914)/2)</f>
        <v>0</v>
      </c>
      <c r="AX914">
        <f>IF(COUNT($E$2:$E914)&lt;52,"",(MAX($C$863:$C$914)+MIN($D$863:$D$914))/2)</f>
        <v>0</v>
      </c>
      <c r="AY914">
        <f>IF(COUNT($E$2:$E914)&lt;20,"",MAX($C$815:$C$914))</f>
        <v>0</v>
      </c>
      <c r="AZ914">
        <f>IF(COUNT($E$2:$E914)&lt;20,"",MIN($D$815:$D$914))</f>
        <v>0</v>
      </c>
      <c r="BA914">
        <f>IF(COUNT($E$2:$E914)&lt;20,"",SLOPE($E$815:$E$914,$F$815:$F$914))</f>
        <v>0</v>
      </c>
      <c r="BB914">
        <f>IF(COUNT($E$2:$E914)&lt;20,"",INTERCEPT($E$815:$E$914,$F$815:$F$914))</f>
        <v>0</v>
      </c>
      <c r="BC914">
        <f>IF(OR(BA914="",BB914=""),"",BB914+BA914*F914)</f>
        <v>0</v>
      </c>
      <c r="BD914">
        <f>IF(COUNT($E$2:$E914)&lt;20,"",STEYX($E$815:$E$914,$F$815:$F$914))</f>
        <v>0</v>
      </c>
      <c r="BE914">
        <f>IF($E914="","",IF(AND(COUNT($E$915:$E$918)&gt;=4,$C914=MAX($C$910:$C$918)),$C914,""))</f>
        <v>0</v>
      </c>
      <c r="BF914">
        <f>IF($E914="","",IF(AND(COUNT($E$915:$E$918)&gt;=4,$D914=MIN($D$910:$D$918)),$D914,""))</f>
        <v>0</v>
      </c>
      <c r="BG914">
        <f>IF($A914="","",$A914-WEEKDAY($A914,2)+1)</f>
        <v>0</v>
      </c>
      <c r="BH914">
        <f>IF($A914="","",IF($A913="",1,IF(BG914&lt;&gt;BG913,1,0)))</f>
        <v>0</v>
      </c>
      <c r="BI914">
        <f>IF($A914="","",IF($A915="",1,IF(BG915&lt;&gt;BG914,1,0)))</f>
        <v>0</v>
      </c>
      <c r="BJ914">
        <f>IF($A914="","",IF(BH914=1,$B914,BJ913))</f>
        <v>0</v>
      </c>
      <c r="BK914">
        <f>IF($A914="","",IF(BH914=1,$C914,MAX($C914,BK913)))</f>
        <v>0</v>
      </c>
      <c r="BL914">
        <f>IF($A914="","",IF(BH914=1,$D914,MIN($D914,BL913)))</f>
        <v>0</v>
      </c>
      <c r="BM914">
        <f>IF($A914="","",IF(BI914=1,F914,""))</f>
        <v>0</v>
      </c>
      <c r="BN914">
        <f>IF($A914="","",DATE(YEAR($A914),MONTH($A914),1))</f>
        <v>0</v>
      </c>
      <c r="BO914">
        <f>IF($A914="","",IF($A913="",1,IF(BN914&lt;&gt;BN913,1,0)))</f>
        <v>0</v>
      </c>
      <c r="BP914">
        <f>IF($A914="","",IF($A915="",1,IF(BN915&lt;&gt;BN914,1,0)))</f>
        <v>0</v>
      </c>
      <c r="BQ914">
        <f>IF($A914="","",IF(BO914=1,$B914,BQ913))</f>
        <v>0</v>
      </c>
      <c r="BR914">
        <f>IF($A914="","",IF(BO914=1,$C914,MAX($C914,BR913)))</f>
        <v>0</v>
      </c>
      <c r="BS914">
        <f>IF($A914="","",IF(BO914=1,$D914,MIN($D914,BS913)))</f>
        <v>0</v>
      </c>
      <c r="BT914">
        <f>IF($A914="","",IF(BP914=1,F914,""))</f>
        <v>0</v>
      </c>
    </row>
    <row r="915" spans="1:72">
      <c r="A915" s="27">
        <f>IF(Data!$A915="","",Data!$A915)</f>
        <v>0</v>
      </c>
      <c r="B915">
        <f>IF(Data!$B915="","",Data!$B915)</f>
        <v>0</v>
      </c>
      <c r="C915">
        <f>IF(Data!$C915="","",Data!$C915)</f>
        <v>0</v>
      </c>
      <c r="D915">
        <f>IF(Data!$D915="","",Data!$D915)</f>
        <v>0</v>
      </c>
      <c r="E915">
        <f>IF(Data!$E915="","",Data!$E915)</f>
        <v>0</v>
      </c>
      <c r="F915">
        <f>IF($E915="","",N(F914)+1)</f>
        <v>0</v>
      </c>
      <c r="G915">
        <f>IF(OR($E915="",$E914=""),"",LN($E915/$E914))</f>
        <v>0</v>
      </c>
      <c r="H915">
        <f>IF($E915="","",IF($E914="",$E915,$E915*0.0952380952+H914*0.9047619048))</f>
        <v>0</v>
      </c>
      <c r="I915">
        <f>IF($E915="","",IF($E914="",$E915,$E915*0.0392156863+I914*0.9607843137))</f>
        <v>0</v>
      </c>
      <c r="J915">
        <f>IF($E915="","",IF($E914="",$E915,$E915*0.0198019802+J914*0.9801980198))</f>
        <v>0</v>
      </c>
      <c r="K915">
        <f>IF($E915="","",IF($E914="",$E915,$E915*0.0099502488+K914*0.9900497512))</f>
        <v>0</v>
      </c>
      <c r="L915">
        <f>IF(OR($E915="",$E914=""),"",MAX($E915-$E914,0))</f>
        <v>0</v>
      </c>
      <c r="M915">
        <f>IF(OR($E915="",$E914=""),"",MAX($E914-$E915,0))</f>
        <v>0</v>
      </c>
      <c r="N915">
        <f>IF(COUNT($E$2:$E915)&lt;15,"",IF(AVERAGE($M$902:$M$915)=0,100,100-100/(1+AVERAGE($L$902:$L$915)/AVERAGE($M$902:$M$915))))</f>
        <v>0</v>
      </c>
      <c r="O915">
        <f>IF($E915="","",IF($E914="",$E915,$E915*0.1538461538+O914*0.8461538462))</f>
        <v>0</v>
      </c>
      <c r="P915">
        <f>IF($E915="","",IF($E914="",$E915,$E915*0.0740740741+P914*0.9259259259))</f>
        <v>0</v>
      </c>
      <c r="Q915">
        <f>IF(OR(O915="",P915=""),"",O915-P915)</f>
        <v>0</v>
      </c>
      <c r="R915">
        <f>IF(Q915="","",IF(R914="",Q915,Q915*0.2000000000+R914*0.8000000000))</f>
        <v>0</v>
      </c>
      <c r="S915">
        <f>IF(OR(Q915="",R915=""),"",Q915-R915)</f>
        <v>0</v>
      </c>
      <c r="T915">
        <f>IF(COUNT($E$2:$E915)&lt;14,"",MAX($C$902:$C$915))</f>
        <v>0</v>
      </c>
      <c r="U915">
        <f>IF(COUNT($E$2:$E915)&lt;14,"",MIN($D$902:$D$915))</f>
        <v>0</v>
      </c>
      <c r="V915">
        <f>IF(OR(T915="",U915="",T915=U915),"",100*($E915-U915)/(T915-U915))</f>
        <v>0</v>
      </c>
      <c r="W915">
        <f>IF(COUNT($V$913:$V$915)&lt;3,"",AVERAGE($V$913:$V$915))</f>
        <v>0</v>
      </c>
      <c r="X915">
        <f>IF(COUNT($N$902:$N$915)&lt;14,"",MIN($N$902:$N$915))</f>
        <v>0</v>
      </c>
      <c r="Y915">
        <f>IF(COUNT($N$902:$N$915)&lt;14,"",MAX($N$902:$N$915))</f>
        <v>0</v>
      </c>
      <c r="Z915">
        <f>IF(OR(N915="",X915="",Y915="",Y915=X915),"",100*(N915-X915)/(Y915-X915))</f>
        <v>0</v>
      </c>
      <c r="AA915">
        <f>IF(COUNT($Z$913:$Z$915)&lt;3,"",AVERAGE($Z$913:$Z$915))</f>
        <v>0</v>
      </c>
      <c r="AB915">
        <f>IF(COUNT($AA$913:$AA$915)&lt;3,"",AVERAGE($AA$913:$AA$915))</f>
        <v>0</v>
      </c>
      <c r="AC915">
        <f>IF($E915="","",MAX($C915-$D915,ABS($C915-$E914),ABS($D915-$E914)))</f>
        <v>0</v>
      </c>
      <c r="AD915">
        <f>IF(COUNT($E$2:$E915)&lt;15,"",AVERAGE($AC$902:$AC$915))</f>
        <v>0</v>
      </c>
      <c r="AE915">
        <f>IF(OR($E915="",$E914=""),"",IF(AND(($C915-$C914)&gt;($D914-$D915),($C915-$C914)&gt;0),$C915-$C914,0))</f>
        <v>0</v>
      </c>
      <c r="AF915">
        <f>IF(OR($E915="",$E914=""),"",IF(AND(($D914-$D915)&gt;($C915-$C914),($D914-$D915)&gt;0),$D914-$D915,0))</f>
        <v>0</v>
      </c>
      <c r="AG915">
        <f>IF(COUNT($E$2:$E915)&lt;15,"",IF(SUM($AC$902:$AC$915)=0,0,100*SUM($AE$902:$AE$915)/SUM($AC$902:$AC$915)))</f>
        <v>0</v>
      </c>
      <c r="AH915">
        <f>IF(COUNT($E$2:$E915)&lt;15,"",IF(SUM($AC$902:$AC$915)=0,0,100*SUM($AF$902:$AF$915)/SUM($AC$902:$AC$915)))</f>
        <v>0</v>
      </c>
      <c r="AI915">
        <f>IF(OR(AG915="",AH915=""),"",IF((AG915+AH915)=0,0,100*ABS(AG915-AH915)/(AG915+AH915)))</f>
        <v>0</v>
      </c>
      <c r="AJ915">
        <f>IF(COUNT($AI$902:$AI$915)&lt;14,"",AVERAGE($AI$902:$AI$915))</f>
        <v>0</v>
      </c>
      <c r="AK915">
        <f>IF(COUNT($E$2:$E915)&lt;20,"",AVERAGE($E$896:$E$915))</f>
        <v>0</v>
      </c>
      <c r="AL915">
        <f>IF(COUNT($E$2:$E915)&lt;20,"",STDEVP($E$896:$E$915))</f>
        <v>0</v>
      </c>
      <c r="AM915">
        <f>IF(AK915="","",AK915+2*AL915)</f>
        <v>0</v>
      </c>
      <c r="AN915">
        <f>IF(AK915="","",AK915-2*AL915)</f>
        <v>0</v>
      </c>
      <c r="AO915">
        <f>IF(OR(AM915="",AN915="",AM915=AN915),"",($E915-AN915)/(AM915-AN915))</f>
        <v>0</v>
      </c>
      <c r="AP915">
        <f>IF(OR(AM915="",AK915="",AK915=0),"",(AM915-AN915)/AK915)</f>
        <v>0</v>
      </c>
      <c r="AQ915">
        <f>IF(COUNT($E$2:$E915)&lt;20,"",MAX($C$896:$C$915))</f>
        <v>0</v>
      </c>
      <c r="AR915">
        <f>IF(COUNT($E$2:$E915)&lt;20,"",MIN($D$896:$D$915))</f>
        <v>0</v>
      </c>
      <c r="AS915">
        <f>IF(OR(AQ915="",AR915=""),"",(AQ915+AR915)/2)</f>
        <v>0</v>
      </c>
      <c r="AT915">
        <f>IF(COUNT($G$896:$G$915)&lt;20,"",STDEV($G$896:$G$915)*SQRT(252))</f>
        <v>0</v>
      </c>
      <c r="AU915">
        <f>IF(COUNT($E$2:$E915)&lt;9,"",(MAX($C$907:$C$915)+MIN($D$907:$D$915))/2)</f>
        <v>0</v>
      </c>
      <c r="AV915">
        <f>IF(COUNT($E$2:$E915)&lt;26,"",(MAX($C$890:$C$915)+MIN($D$890:$D$915))/2)</f>
        <v>0</v>
      </c>
      <c r="AW915">
        <f>IF(OR(AU915="",AV915=""),"",(AU915+AV915)/2)</f>
        <v>0</v>
      </c>
      <c r="AX915">
        <f>IF(COUNT($E$2:$E915)&lt;52,"",(MAX($C$864:$C$915)+MIN($D$864:$D$915))/2)</f>
        <v>0</v>
      </c>
      <c r="AY915">
        <f>IF(COUNT($E$2:$E915)&lt;20,"",MAX($C$816:$C$915))</f>
        <v>0</v>
      </c>
      <c r="AZ915">
        <f>IF(COUNT($E$2:$E915)&lt;20,"",MIN($D$816:$D$915))</f>
        <v>0</v>
      </c>
      <c r="BA915">
        <f>IF(COUNT($E$2:$E915)&lt;20,"",SLOPE($E$816:$E$915,$F$816:$F$915))</f>
        <v>0</v>
      </c>
      <c r="BB915">
        <f>IF(COUNT($E$2:$E915)&lt;20,"",INTERCEPT($E$816:$E$915,$F$816:$F$915))</f>
        <v>0</v>
      </c>
      <c r="BC915">
        <f>IF(OR(BA915="",BB915=""),"",BB915+BA915*F915)</f>
        <v>0</v>
      </c>
      <c r="BD915">
        <f>IF(COUNT($E$2:$E915)&lt;20,"",STEYX($E$816:$E$915,$F$816:$F$915))</f>
        <v>0</v>
      </c>
      <c r="BE915">
        <f>IF($E915="","",IF(AND(COUNT($E$916:$E$919)&gt;=4,$C915=MAX($C$911:$C$919)),$C915,""))</f>
        <v>0</v>
      </c>
      <c r="BF915">
        <f>IF($E915="","",IF(AND(COUNT($E$916:$E$919)&gt;=4,$D915=MIN($D$911:$D$919)),$D915,""))</f>
        <v>0</v>
      </c>
      <c r="BG915">
        <f>IF($A915="","",$A915-WEEKDAY($A915,2)+1)</f>
        <v>0</v>
      </c>
      <c r="BH915">
        <f>IF($A915="","",IF($A914="",1,IF(BG915&lt;&gt;BG914,1,0)))</f>
        <v>0</v>
      </c>
      <c r="BI915">
        <f>IF($A915="","",IF($A916="",1,IF(BG916&lt;&gt;BG915,1,0)))</f>
        <v>0</v>
      </c>
      <c r="BJ915">
        <f>IF($A915="","",IF(BH915=1,$B915,BJ914))</f>
        <v>0</v>
      </c>
      <c r="BK915">
        <f>IF($A915="","",IF(BH915=1,$C915,MAX($C915,BK914)))</f>
        <v>0</v>
      </c>
      <c r="BL915">
        <f>IF($A915="","",IF(BH915=1,$D915,MIN($D915,BL914)))</f>
        <v>0</v>
      </c>
      <c r="BM915">
        <f>IF($A915="","",IF(BI915=1,F915,""))</f>
        <v>0</v>
      </c>
      <c r="BN915">
        <f>IF($A915="","",DATE(YEAR($A915),MONTH($A915),1))</f>
        <v>0</v>
      </c>
      <c r="BO915">
        <f>IF($A915="","",IF($A914="",1,IF(BN915&lt;&gt;BN914,1,0)))</f>
        <v>0</v>
      </c>
      <c r="BP915">
        <f>IF($A915="","",IF($A916="",1,IF(BN916&lt;&gt;BN915,1,0)))</f>
        <v>0</v>
      </c>
      <c r="BQ915">
        <f>IF($A915="","",IF(BO915=1,$B915,BQ914))</f>
        <v>0</v>
      </c>
      <c r="BR915">
        <f>IF($A915="","",IF(BO915=1,$C915,MAX($C915,BR914)))</f>
        <v>0</v>
      </c>
      <c r="BS915">
        <f>IF($A915="","",IF(BO915=1,$D915,MIN($D915,BS914)))</f>
        <v>0</v>
      </c>
      <c r="BT915">
        <f>IF($A915="","",IF(BP915=1,F915,""))</f>
        <v>0</v>
      </c>
    </row>
    <row r="916" spans="1:72">
      <c r="A916" s="27">
        <f>IF(Data!$A916="","",Data!$A916)</f>
        <v>0</v>
      </c>
      <c r="B916">
        <f>IF(Data!$B916="","",Data!$B916)</f>
        <v>0</v>
      </c>
      <c r="C916">
        <f>IF(Data!$C916="","",Data!$C916)</f>
        <v>0</v>
      </c>
      <c r="D916">
        <f>IF(Data!$D916="","",Data!$D916)</f>
        <v>0</v>
      </c>
      <c r="E916">
        <f>IF(Data!$E916="","",Data!$E916)</f>
        <v>0</v>
      </c>
      <c r="F916">
        <f>IF($E916="","",N(F915)+1)</f>
        <v>0</v>
      </c>
      <c r="G916">
        <f>IF(OR($E916="",$E915=""),"",LN($E916/$E915))</f>
        <v>0</v>
      </c>
      <c r="H916">
        <f>IF($E916="","",IF($E915="",$E916,$E916*0.0952380952+H915*0.9047619048))</f>
        <v>0</v>
      </c>
      <c r="I916">
        <f>IF($E916="","",IF($E915="",$E916,$E916*0.0392156863+I915*0.9607843137))</f>
        <v>0</v>
      </c>
      <c r="J916">
        <f>IF($E916="","",IF($E915="",$E916,$E916*0.0198019802+J915*0.9801980198))</f>
        <v>0</v>
      </c>
      <c r="K916">
        <f>IF($E916="","",IF($E915="",$E916,$E916*0.0099502488+K915*0.9900497512))</f>
        <v>0</v>
      </c>
      <c r="L916">
        <f>IF(OR($E916="",$E915=""),"",MAX($E916-$E915,0))</f>
        <v>0</v>
      </c>
      <c r="M916">
        <f>IF(OR($E916="",$E915=""),"",MAX($E915-$E916,0))</f>
        <v>0</v>
      </c>
      <c r="N916">
        <f>IF(COUNT($E$2:$E916)&lt;15,"",IF(AVERAGE($M$903:$M$916)=0,100,100-100/(1+AVERAGE($L$903:$L$916)/AVERAGE($M$903:$M$916))))</f>
        <v>0</v>
      </c>
      <c r="O916">
        <f>IF($E916="","",IF($E915="",$E916,$E916*0.1538461538+O915*0.8461538462))</f>
        <v>0</v>
      </c>
      <c r="P916">
        <f>IF($E916="","",IF($E915="",$E916,$E916*0.0740740741+P915*0.9259259259))</f>
        <v>0</v>
      </c>
      <c r="Q916">
        <f>IF(OR(O916="",P916=""),"",O916-P916)</f>
        <v>0</v>
      </c>
      <c r="R916">
        <f>IF(Q916="","",IF(R915="",Q916,Q916*0.2000000000+R915*0.8000000000))</f>
        <v>0</v>
      </c>
      <c r="S916">
        <f>IF(OR(Q916="",R916=""),"",Q916-R916)</f>
        <v>0</v>
      </c>
      <c r="T916">
        <f>IF(COUNT($E$2:$E916)&lt;14,"",MAX($C$903:$C$916))</f>
        <v>0</v>
      </c>
      <c r="U916">
        <f>IF(COUNT($E$2:$E916)&lt;14,"",MIN($D$903:$D$916))</f>
        <v>0</v>
      </c>
      <c r="V916">
        <f>IF(OR(T916="",U916="",T916=U916),"",100*($E916-U916)/(T916-U916))</f>
        <v>0</v>
      </c>
      <c r="W916">
        <f>IF(COUNT($V$914:$V$916)&lt;3,"",AVERAGE($V$914:$V$916))</f>
        <v>0</v>
      </c>
      <c r="X916">
        <f>IF(COUNT($N$903:$N$916)&lt;14,"",MIN($N$903:$N$916))</f>
        <v>0</v>
      </c>
      <c r="Y916">
        <f>IF(COUNT($N$903:$N$916)&lt;14,"",MAX($N$903:$N$916))</f>
        <v>0</v>
      </c>
      <c r="Z916">
        <f>IF(OR(N916="",X916="",Y916="",Y916=X916),"",100*(N916-X916)/(Y916-X916))</f>
        <v>0</v>
      </c>
      <c r="AA916">
        <f>IF(COUNT($Z$914:$Z$916)&lt;3,"",AVERAGE($Z$914:$Z$916))</f>
        <v>0</v>
      </c>
      <c r="AB916">
        <f>IF(COUNT($AA$914:$AA$916)&lt;3,"",AVERAGE($AA$914:$AA$916))</f>
        <v>0</v>
      </c>
      <c r="AC916">
        <f>IF($E916="","",MAX($C916-$D916,ABS($C916-$E915),ABS($D916-$E915)))</f>
        <v>0</v>
      </c>
      <c r="AD916">
        <f>IF(COUNT($E$2:$E916)&lt;15,"",AVERAGE($AC$903:$AC$916))</f>
        <v>0</v>
      </c>
      <c r="AE916">
        <f>IF(OR($E916="",$E915=""),"",IF(AND(($C916-$C915)&gt;($D915-$D916),($C916-$C915)&gt;0),$C916-$C915,0))</f>
        <v>0</v>
      </c>
      <c r="AF916">
        <f>IF(OR($E916="",$E915=""),"",IF(AND(($D915-$D916)&gt;($C916-$C915),($D915-$D916)&gt;0),$D915-$D916,0))</f>
        <v>0</v>
      </c>
      <c r="AG916">
        <f>IF(COUNT($E$2:$E916)&lt;15,"",IF(SUM($AC$903:$AC$916)=0,0,100*SUM($AE$903:$AE$916)/SUM($AC$903:$AC$916)))</f>
        <v>0</v>
      </c>
      <c r="AH916">
        <f>IF(COUNT($E$2:$E916)&lt;15,"",IF(SUM($AC$903:$AC$916)=0,0,100*SUM($AF$903:$AF$916)/SUM($AC$903:$AC$916)))</f>
        <v>0</v>
      </c>
      <c r="AI916">
        <f>IF(OR(AG916="",AH916=""),"",IF((AG916+AH916)=0,0,100*ABS(AG916-AH916)/(AG916+AH916)))</f>
        <v>0</v>
      </c>
      <c r="AJ916">
        <f>IF(COUNT($AI$903:$AI$916)&lt;14,"",AVERAGE($AI$903:$AI$916))</f>
        <v>0</v>
      </c>
      <c r="AK916">
        <f>IF(COUNT($E$2:$E916)&lt;20,"",AVERAGE($E$897:$E$916))</f>
        <v>0</v>
      </c>
      <c r="AL916">
        <f>IF(COUNT($E$2:$E916)&lt;20,"",STDEVP($E$897:$E$916))</f>
        <v>0</v>
      </c>
      <c r="AM916">
        <f>IF(AK916="","",AK916+2*AL916)</f>
        <v>0</v>
      </c>
      <c r="AN916">
        <f>IF(AK916="","",AK916-2*AL916)</f>
        <v>0</v>
      </c>
      <c r="AO916">
        <f>IF(OR(AM916="",AN916="",AM916=AN916),"",($E916-AN916)/(AM916-AN916))</f>
        <v>0</v>
      </c>
      <c r="AP916">
        <f>IF(OR(AM916="",AK916="",AK916=0),"",(AM916-AN916)/AK916)</f>
        <v>0</v>
      </c>
      <c r="AQ916">
        <f>IF(COUNT($E$2:$E916)&lt;20,"",MAX($C$897:$C$916))</f>
        <v>0</v>
      </c>
      <c r="AR916">
        <f>IF(COUNT($E$2:$E916)&lt;20,"",MIN($D$897:$D$916))</f>
        <v>0</v>
      </c>
      <c r="AS916">
        <f>IF(OR(AQ916="",AR916=""),"",(AQ916+AR916)/2)</f>
        <v>0</v>
      </c>
      <c r="AT916">
        <f>IF(COUNT($G$897:$G$916)&lt;20,"",STDEV($G$897:$G$916)*SQRT(252))</f>
        <v>0</v>
      </c>
      <c r="AU916">
        <f>IF(COUNT($E$2:$E916)&lt;9,"",(MAX($C$908:$C$916)+MIN($D$908:$D$916))/2)</f>
        <v>0</v>
      </c>
      <c r="AV916">
        <f>IF(COUNT($E$2:$E916)&lt;26,"",(MAX($C$891:$C$916)+MIN($D$891:$D$916))/2)</f>
        <v>0</v>
      </c>
      <c r="AW916">
        <f>IF(OR(AU916="",AV916=""),"",(AU916+AV916)/2)</f>
        <v>0</v>
      </c>
      <c r="AX916">
        <f>IF(COUNT($E$2:$E916)&lt;52,"",(MAX($C$865:$C$916)+MIN($D$865:$D$916))/2)</f>
        <v>0</v>
      </c>
      <c r="AY916">
        <f>IF(COUNT($E$2:$E916)&lt;20,"",MAX($C$817:$C$916))</f>
        <v>0</v>
      </c>
      <c r="AZ916">
        <f>IF(COUNT($E$2:$E916)&lt;20,"",MIN($D$817:$D$916))</f>
        <v>0</v>
      </c>
      <c r="BA916">
        <f>IF(COUNT($E$2:$E916)&lt;20,"",SLOPE($E$817:$E$916,$F$817:$F$916))</f>
        <v>0</v>
      </c>
      <c r="BB916">
        <f>IF(COUNT($E$2:$E916)&lt;20,"",INTERCEPT($E$817:$E$916,$F$817:$F$916))</f>
        <v>0</v>
      </c>
      <c r="BC916">
        <f>IF(OR(BA916="",BB916=""),"",BB916+BA916*F916)</f>
        <v>0</v>
      </c>
      <c r="BD916">
        <f>IF(COUNT($E$2:$E916)&lt;20,"",STEYX($E$817:$E$916,$F$817:$F$916))</f>
        <v>0</v>
      </c>
      <c r="BE916">
        <f>IF($E916="","",IF(AND(COUNT($E$917:$E$920)&gt;=4,$C916=MAX($C$912:$C$920)),$C916,""))</f>
        <v>0</v>
      </c>
      <c r="BF916">
        <f>IF($E916="","",IF(AND(COUNT($E$917:$E$920)&gt;=4,$D916=MIN($D$912:$D$920)),$D916,""))</f>
        <v>0</v>
      </c>
      <c r="BG916">
        <f>IF($A916="","",$A916-WEEKDAY($A916,2)+1)</f>
        <v>0</v>
      </c>
      <c r="BH916">
        <f>IF($A916="","",IF($A915="",1,IF(BG916&lt;&gt;BG915,1,0)))</f>
        <v>0</v>
      </c>
      <c r="BI916">
        <f>IF($A916="","",IF($A917="",1,IF(BG917&lt;&gt;BG916,1,0)))</f>
        <v>0</v>
      </c>
      <c r="BJ916">
        <f>IF($A916="","",IF(BH916=1,$B916,BJ915))</f>
        <v>0</v>
      </c>
      <c r="BK916">
        <f>IF($A916="","",IF(BH916=1,$C916,MAX($C916,BK915)))</f>
        <v>0</v>
      </c>
      <c r="BL916">
        <f>IF($A916="","",IF(BH916=1,$D916,MIN($D916,BL915)))</f>
        <v>0</v>
      </c>
      <c r="BM916">
        <f>IF($A916="","",IF(BI916=1,F916,""))</f>
        <v>0</v>
      </c>
      <c r="BN916">
        <f>IF($A916="","",DATE(YEAR($A916),MONTH($A916),1))</f>
        <v>0</v>
      </c>
      <c r="BO916">
        <f>IF($A916="","",IF($A915="",1,IF(BN916&lt;&gt;BN915,1,0)))</f>
        <v>0</v>
      </c>
      <c r="BP916">
        <f>IF($A916="","",IF($A917="",1,IF(BN917&lt;&gt;BN916,1,0)))</f>
        <v>0</v>
      </c>
      <c r="BQ916">
        <f>IF($A916="","",IF(BO916=1,$B916,BQ915))</f>
        <v>0</v>
      </c>
      <c r="BR916">
        <f>IF($A916="","",IF(BO916=1,$C916,MAX($C916,BR915)))</f>
        <v>0</v>
      </c>
      <c r="BS916">
        <f>IF($A916="","",IF(BO916=1,$D916,MIN($D916,BS915)))</f>
        <v>0</v>
      </c>
      <c r="BT916">
        <f>IF($A916="","",IF(BP916=1,F916,""))</f>
        <v>0</v>
      </c>
    </row>
    <row r="917" spans="1:72">
      <c r="A917" s="27">
        <f>IF(Data!$A917="","",Data!$A917)</f>
        <v>0</v>
      </c>
      <c r="B917">
        <f>IF(Data!$B917="","",Data!$B917)</f>
        <v>0</v>
      </c>
      <c r="C917">
        <f>IF(Data!$C917="","",Data!$C917)</f>
        <v>0</v>
      </c>
      <c r="D917">
        <f>IF(Data!$D917="","",Data!$D917)</f>
        <v>0</v>
      </c>
      <c r="E917">
        <f>IF(Data!$E917="","",Data!$E917)</f>
        <v>0</v>
      </c>
      <c r="F917">
        <f>IF($E917="","",N(F916)+1)</f>
        <v>0</v>
      </c>
      <c r="G917">
        <f>IF(OR($E917="",$E916=""),"",LN($E917/$E916))</f>
        <v>0</v>
      </c>
      <c r="H917">
        <f>IF($E917="","",IF($E916="",$E917,$E917*0.0952380952+H916*0.9047619048))</f>
        <v>0</v>
      </c>
      <c r="I917">
        <f>IF($E917="","",IF($E916="",$E917,$E917*0.0392156863+I916*0.9607843137))</f>
        <v>0</v>
      </c>
      <c r="J917">
        <f>IF($E917="","",IF($E916="",$E917,$E917*0.0198019802+J916*0.9801980198))</f>
        <v>0</v>
      </c>
      <c r="K917">
        <f>IF($E917="","",IF($E916="",$E917,$E917*0.0099502488+K916*0.9900497512))</f>
        <v>0</v>
      </c>
      <c r="L917">
        <f>IF(OR($E917="",$E916=""),"",MAX($E917-$E916,0))</f>
        <v>0</v>
      </c>
      <c r="M917">
        <f>IF(OR($E917="",$E916=""),"",MAX($E916-$E917,0))</f>
        <v>0</v>
      </c>
      <c r="N917">
        <f>IF(COUNT($E$2:$E917)&lt;15,"",IF(AVERAGE($M$904:$M$917)=0,100,100-100/(1+AVERAGE($L$904:$L$917)/AVERAGE($M$904:$M$917))))</f>
        <v>0</v>
      </c>
      <c r="O917">
        <f>IF($E917="","",IF($E916="",$E917,$E917*0.1538461538+O916*0.8461538462))</f>
        <v>0</v>
      </c>
      <c r="P917">
        <f>IF($E917="","",IF($E916="",$E917,$E917*0.0740740741+P916*0.9259259259))</f>
        <v>0</v>
      </c>
      <c r="Q917">
        <f>IF(OR(O917="",P917=""),"",O917-P917)</f>
        <v>0</v>
      </c>
      <c r="R917">
        <f>IF(Q917="","",IF(R916="",Q917,Q917*0.2000000000+R916*0.8000000000))</f>
        <v>0</v>
      </c>
      <c r="S917">
        <f>IF(OR(Q917="",R917=""),"",Q917-R917)</f>
        <v>0</v>
      </c>
      <c r="T917">
        <f>IF(COUNT($E$2:$E917)&lt;14,"",MAX($C$904:$C$917))</f>
        <v>0</v>
      </c>
      <c r="U917">
        <f>IF(COUNT($E$2:$E917)&lt;14,"",MIN($D$904:$D$917))</f>
        <v>0</v>
      </c>
      <c r="V917">
        <f>IF(OR(T917="",U917="",T917=U917),"",100*($E917-U917)/(T917-U917))</f>
        <v>0</v>
      </c>
      <c r="W917">
        <f>IF(COUNT($V$915:$V$917)&lt;3,"",AVERAGE($V$915:$V$917))</f>
        <v>0</v>
      </c>
      <c r="X917">
        <f>IF(COUNT($N$904:$N$917)&lt;14,"",MIN($N$904:$N$917))</f>
        <v>0</v>
      </c>
      <c r="Y917">
        <f>IF(COUNT($N$904:$N$917)&lt;14,"",MAX($N$904:$N$917))</f>
        <v>0</v>
      </c>
      <c r="Z917">
        <f>IF(OR(N917="",X917="",Y917="",Y917=X917),"",100*(N917-X917)/(Y917-X917))</f>
        <v>0</v>
      </c>
      <c r="AA917">
        <f>IF(COUNT($Z$915:$Z$917)&lt;3,"",AVERAGE($Z$915:$Z$917))</f>
        <v>0</v>
      </c>
      <c r="AB917">
        <f>IF(COUNT($AA$915:$AA$917)&lt;3,"",AVERAGE($AA$915:$AA$917))</f>
        <v>0</v>
      </c>
      <c r="AC917">
        <f>IF($E917="","",MAX($C917-$D917,ABS($C917-$E916),ABS($D917-$E916)))</f>
        <v>0</v>
      </c>
      <c r="AD917">
        <f>IF(COUNT($E$2:$E917)&lt;15,"",AVERAGE($AC$904:$AC$917))</f>
        <v>0</v>
      </c>
      <c r="AE917">
        <f>IF(OR($E917="",$E916=""),"",IF(AND(($C917-$C916)&gt;($D916-$D917),($C917-$C916)&gt;0),$C917-$C916,0))</f>
        <v>0</v>
      </c>
      <c r="AF917">
        <f>IF(OR($E917="",$E916=""),"",IF(AND(($D916-$D917)&gt;($C917-$C916),($D916-$D917)&gt;0),$D916-$D917,0))</f>
        <v>0</v>
      </c>
      <c r="AG917">
        <f>IF(COUNT($E$2:$E917)&lt;15,"",IF(SUM($AC$904:$AC$917)=0,0,100*SUM($AE$904:$AE$917)/SUM($AC$904:$AC$917)))</f>
        <v>0</v>
      </c>
      <c r="AH917">
        <f>IF(COUNT($E$2:$E917)&lt;15,"",IF(SUM($AC$904:$AC$917)=0,0,100*SUM($AF$904:$AF$917)/SUM($AC$904:$AC$917)))</f>
        <v>0</v>
      </c>
      <c r="AI917">
        <f>IF(OR(AG917="",AH917=""),"",IF((AG917+AH917)=0,0,100*ABS(AG917-AH917)/(AG917+AH917)))</f>
        <v>0</v>
      </c>
      <c r="AJ917">
        <f>IF(COUNT($AI$904:$AI$917)&lt;14,"",AVERAGE($AI$904:$AI$917))</f>
        <v>0</v>
      </c>
      <c r="AK917">
        <f>IF(COUNT($E$2:$E917)&lt;20,"",AVERAGE($E$898:$E$917))</f>
        <v>0</v>
      </c>
      <c r="AL917">
        <f>IF(COUNT($E$2:$E917)&lt;20,"",STDEVP($E$898:$E$917))</f>
        <v>0</v>
      </c>
      <c r="AM917">
        <f>IF(AK917="","",AK917+2*AL917)</f>
        <v>0</v>
      </c>
      <c r="AN917">
        <f>IF(AK917="","",AK917-2*AL917)</f>
        <v>0</v>
      </c>
      <c r="AO917">
        <f>IF(OR(AM917="",AN917="",AM917=AN917),"",($E917-AN917)/(AM917-AN917))</f>
        <v>0</v>
      </c>
      <c r="AP917">
        <f>IF(OR(AM917="",AK917="",AK917=0),"",(AM917-AN917)/AK917)</f>
        <v>0</v>
      </c>
      <c r="AQ917">
        <f>IF(COUNT($E$2:$E917)&lt;20,"",MAX($C$898:$C$917))</f>
        <v>0</v>
      </c>
      <c r="AR917">
        <f>IF(COUNT($E$2:$E917)&lt;20,"",MIN($D$898:$D$917))</f>
        <v>0</v>
      </c>
      <c r="AS917">
        <f>IF(OR(AQ917="",AR917=""),"",(AQ917+AR917)/2)</f>
        <v>0</v>
      </c>
      <c r="AT917">
        <f>IF(COUNT($G$898:$G$917)&lt;20,"",STDEV($G$898:$G$917)*SQRT(252))</f>
        <v>0</v>
      </c>
      <c r="AU917">
        <f>IF(COUNT($E$2:$E917)&lt;9,"",(MAX($C$909:$C$917)+MIN($D$909:$D$917))/2)</f>
        <v>0</v>
      </c>
      <c r="AV917">
        <f>IF(COUNT($E$2:$E917)&lt;26,"",(MAX($C$892:$C$917)+MIN($D$892:$D$917))/2)</f>
        <v>0</v>
      </c>
      <c r="AW917">
        <f>IF(OR(AU917="",AV917=""),"",(AU917+AV917)/2)</f>
        <v>0</v>
      </c>
      <c r="AX917">
        <f>IF(COUNT($E$2:$E917)&lt;52,"",(MAX($C$866:$C$917)+MIN($D$866:$D$917))/2)</f>
        <v>0</v>
      </c>
      <c r="AY917">
        <f>IF(COUNT($E$2:$E917)&lt;20,"",MAX($C$818:$C$917))</f>
        <v>0</v>
      </c>
      <c r="AZ917">
        <f>IF(COUNT($E$2:$E917)&lt;20,"",MIN($D$818:$D$917))</f>
        <v>0</v>
      </c>
      <c r="BA917">
        <f>IF(COUNT($E$2:$E917)&lt;20,"",SLOPE($E$818:$E$917,$F$818:$F$917))</f>
        <v>0</v>
      </c>
      <c r="BB917">
        <f>IF(COUNT($E$2:$E917)&lt;20,"",INTERCEPT($E$818:$E$917,$F$818:$F$917))</f>
        <v>0</v>
      </c>
      <c r="BC917">
        <f>IF(OR(BA917="",BB917=""),"",BB917+BA917*F917)</f>
        <v>0</v>
      </c>
      <c r="BD917">
        <f>IF(COUNT($E$2:$E917)&lt;20,"",STEYX($E$818:$E$917,$F$818:$F$917))</f>
        <v>0</v>
      </c>
      <c r="BE917">
        <f>IF($E917="","",IF(AND(COUNT($E$918:$E$921)&gt;=4,$C917=MAX($C$913:$C$921)),$C917,""))</f>
        <v>0</v>
      </c>
      <c r="BF917">
        <f>IF($E917="","",IF(AND(COUNT($E$918:$E$921)&gt;=4,$D917=MIN($D$913:$D$921)),$D917,""))</f>
        <v>0</v>
      </c>
      <c r="BG917">
        <f>IF($A917="","",$A917-WEEKDAY($A917,2)+1)</f>
        <v>0</v>
      </c>
      <c r="BH917">
        <f>IF($A917="","",IF($A916="",1,IF(BG917&lt;&gt;BG916,1,0)))</f>
        <v>0</v>
      </c>
      <c r="BI917">
        <f>IF($A917="","",IF($A918="",1,IF(BG918&lt;&gt;BG917,1,0)))</f>
        <v>0</v>
      </c>
      <c r="BJ917">
        <f>IF($A917="","",IF(BH917=1,$B917,BJ916))</f>
        <v>0</v>
      </c>
      <c r="BK917">
        <f>IF($A917="","",IF(BH917=1,$C917,MAX($C917,BK916)))</f>
        <v>0</v>
      </c>
      <c r="BL917">
        <f>IF($A917="","",IF(BH917=1,$D917,MIN($D917,BL916)))</f>
        <v>0</v>
      </c>
      <c r="BM917">
        <f>IF($A917="","",IF(BI917=1,F917,""))</f>
        <v>0</v>
      </c>
      <c r="BN917">
        <f>IF($A917="","",DATE(YEAR($A917),MONTH($A917),1))</f>
        <v>0</v>
      </c>
      <c r="BO917">
        <f>IF($A917="","",IF($A916="",1,IF(BN917&lt;&gt;BN916,1,0)))</f>
        <v>0</v>
      </c>
      <c r="BP917">
        <f>IF($A917="","",IF($A918="",1,IF(BN918&lt;&gt;BN917,1,0)))</f>
        <v>0</v>
      </c>
      <c r="BQ917">
        <f>IF($A917="","",IF(BO917=1,$B917,BQ916))</f>
        <v>0</v>
      </c>
      <c r="BR917">
        <f>IF($A917="","",IF(BO917=1,$C917,MAX($C917,BR916)))</f>
        <v>0</v>
      </c>
      <c r="BS917">
        <f>IF($A917="","",IF(BO917=1,$D917,MIN($D917,BS916)))</f>
        <v>0</v>
      </c>
      <c r="BT917">
        <f>IF($A917="","",IF(BP917=1,F917,""))</f>
        <v>0</v>
      </c>
    </row>
    <row r="918" spans="1:72">
      <c r="A918" s="27">
        <f>IF(Data!$A918="","",Data!$A918)</f>
        <v>0</v>
      </c>
      <c r="B918">
        <f>IF(Data!$B918="","",Data!$B918)</f>
        <v>0</v>
      </c>
      <c r="C918">
        <f>IF(Data!$C918="","",Data!$C918)</f>
        <v>0</v>
      </c>
      <c r="D918">
        <f>IF(Data!$D918="","",Data!$D918)</f>
        <v>0</v>
      </c>
      <c r="E918">
        <f>IF(Data!$E918="","",Data!$E918)</f>
        <v>0</v>
      </c>
      <c r="F918">
        <f>IF($E918="","",N(F917)+1)</f>
        <v>0</v>
      </c>
      <c r="G918">
        <f>IF(OR($E918="",$E917=""),"",LN($E918/$E917))</f>
        <v>0</v>
      </c>
      <c r="H918">
        <f>IF($E918="","",IF($E917="",$E918,$E918*0.0952380952+H917*0.9047619048))</f>
        <v>0</v>
      </c>
      <c r="I918">
        <f>IF($E918="","",IF($E917="",$E918,$E918*0.0392156863+I917*0.9607843137))</f>
        <v>0</v>
      </c>
      <c r="J918">
        <f>IF($E918="","",IF($E917="",$E918,$E918*0.0198019802+J917*0.9801980198))</f>
        <v>0</v>
      </c>
      <c r="K918">
        <f>IF($E918="","",IF($E917="",$E918,$E918*0.0099502488+K917*0.9900497512))</f>
        <v>0</v>
      </c>
      <c r="L918">
        <f>IF(OR($E918="",$E917=""),"",MAX($E918-$E917,0))</f>
        <v>0</v>
      </c>
      <c r="M918">
        <f>IF(OR($E918="",$E917=""),"",MAX($E917-$E918,0))</f>
        <v>0</v>
      </c>
      <c r="N918">
        <f>IF(COUNT($E$2:$E918)&lt;15,"",IF(AVERAGE($M$905:$M$918)=0,100,100-100/(1+AVERAGE($L$905:$L$918)/AVERAGE($M$905:$M$918))))</f>
        <v>0</v>
      </c>
      <c r="O918">
        <f>IF($E918="","",IF($E917="",$E918,$E918*0.1538461538+O917*0.8461538462))</f>
        <v>0</v>
      </c>
      <c r="P918">
        <f>IF($E918="","",IF($E917="",$E918,$E918*0.0740740741+P917*0.9259259259))</f>
        <v>0</v>
      </c>
      <c r="Q918">
        <f>IF(OR(O918="",P918=""),"",O918-P918)</f>
        <v>0</v>
      </c>
      <c r="R918">
        <f>IF(Q918="","",IF(R917="",Q918,Q918*0.2000000000+R917*0.8000000000))</f>
        <v>0</v>
      </c>
      <c r="S918">
        <f>IF(OR(Q918="",R918=""),"",Q918-R918)</f>
        <v>0</v>
      </c>
      <c r="T918">
        <f>IF(COUNT($E$2:$E918)&lt;14,"",MAX($C$905:$C$918))</f>
        <v>0</v>
      </c>
      <c r="U918">
        <f>IF(COUNT($E$2:$E918)&lt;14,"",MIN($D$905:$D$918))</f>
        <v>0</v>
      </c>
      <c r="V918">
        <f>IF(OR(T918="",U918="",T918=U918),"",100*($E918-U918)/(T918-U918))</f>
        <v>0</v>
      </c>
      <c r="W918">
        <f>IF(COUNT($V$916:$V$918)&lt;3,"",AVERAGE($V$916:$V$918))</f>
        <v>0</v>
      </c>
      <c r="X918">
        <f>IF(COUNT($N$905:$N$918)&lt;14,"",MIN($N$905:$N$918))</f>
        <v>0</v>
      </c>
      <c r="Y918">
        <f>IF(COUNT($N$905:$N$918)&lt;14,"",MAX($N$905:$N$918))</f>
        <v>0</v>
      </c>
      <c r="Z918">
        <f>IF(OR(N918="",X918="",Y918="",Y918=X918),"",100*(N918-X918)/(Y918-X918))</f>
        <v>0</v>
      </c>
      <c r="AA918">
        <f>IF(COUNT($Z$916:$Z$918)&lt;3,"",AVERAGE($Z$916:$Z$918))</f>
        <v>0</v>
      </c>
      <c r="AB918">
        <f>IF(COUNT($AA$916:$AA$918)&lt;3,"",AVERAGE($AA$916:$AA$918))</f>
        <v>0</v>
      </c>
      <c r="AC918">
        <f>IF($E918="","",MAX($C918-$D918,ABS($C918-$E917),ABS($D918-$E917)))</f>
        <v>0</v>
      </c>
      <c r="AD918">
        <f>IF(COUNT($E$2:$E918)&lt;15,"",AVERAGE($AC$905:$AC$918))</f>
        <v>0</v>
      </c>
      <c r="AE918">
        <f>IF(OR($E918="",$E917=""),"",IF(AND(($C918-$C917)&gt;($D917-$D918),($C918-$C917)&gt;0),$C918-$C917,0))</f>
        <v>0</v>
      </c>
      <c r="AF918">
        <f>IF(OR($E918="",$E917=""),"",IF(AND(($D917-$D918)&gt;($C918-$C917),($D917-$D918)&gt;0),$D917-$D918,0))</f>
        <v>0</v>
      </c>
      <c r="AG918">
        <f>IF(COUNT($E$2:$E918)&lt;15,"",IF(SUM($AC$905:$AC$918)=0,0,100*SUM($AE$905:$AE$918)/SUM($AC$905:$AC$918)))</f>
        <v>0</v>
      </c>
      <c r="AH918">
        <f>IF(COUNT($E$2:$E918)&lt;15,"",IF(SUM($AC$905:$AC$918)=0,0,100*SUM($AF$905:$AF$918)/SUM($AC$905:$AC$918)))</f>
        <v>0</v>
      </c>
      <c r="AI918">
        <f>IF(OR(AG918="",AH918=""),"",IF((AG918+AH918)=0,0,100*ABS(AG918-AH918)/(AG918+AH918)))</f>
        <v>0</v>
      </c>
      <c r="AJ918">
        <f>IF(COUNT($AI$905:$AI$918)&lt;14,"",AVERAGE($AI$905:$AI$918))</f>
        <v>0</v>
      </c>
      <c r="AK918">
        <f>IF(COUNT($E$2:$E918)&lt;20,"",AVERAGE($E$899:$E$918))</f>
        <v>0</v>
      </c>
      <c r="AL918">
        <f>IF(COUNT($E$2:$E918)&lt;20,"",STDEVP($E$899:$E$918))</f>
        <v>0</v>
      </c>
      <c r="AM918">
        <f>IF(AK918="","",AK918+2*AL918)</f>
        <v>0</v>
      </c>
      <c r="AN918">
        <f>IF(AK918="","",AK918-2*AL918)</f>
        <v>0</v>
      </c>
      <c r="AO918">
        <f>IF(OR(AM918="",AN918="",AM918=AN918),"",($E918-AN918)/(AM918-AN918))</f>
        <v>0</v>
      </c>
      <c r="AP918">
        <f>IF(OR(AM918="",AK918="",AK918=0),"",(AM918-AN918)/AK918)</f>
        <v>0</v>
      </c>
      <c r="AQ918">
        <f>IF(COUNT($E$2:$E918)&lt;20,"",MAX($C$899:$C$918))</f>
        <v>0</v>
      </c>
      <c r="AR918">
        <f>IF(COUNT($E$2:$E918)&lt;20,"",MIN($D$899:$D$918))</f>
        <v>0</v>
      </c>
      <c r="AS918">
        <f>IF(OR(AQ918="",AR918=""),"",(AQ918+AR918)/2)</f>
        <v>0</v>
      </c>
      <c r="AT918">
        <f>IF(COUNT($G$899:$G$918)&lt;20,"",STDEV($G$899:$G$918)*SQRT(252))</f>
        <v>0</v>
      </c>
      <c r="AU918">
        <f>IF(COUNT($E$2:$E918)&lt;9,"",(MAX($C$910:$C$918)+MIN($D$910:$D$918))/2)</f>
        <v>0</v>
      </c>
      <c r="AV918">
        <f>IF(COUNT($E$2:$E918)&lt;26,"",(MAX($C$893:$C$918)+MIN($D$893:$D$918))/2)</f>
        <v>0</v>
      </c>
      <c r="AW918">
        <f>IF(OR(AU918="",AV918=""),"",(AU918+AV918)/2)</f>
        <v>0</v>
      </c>
      <c r="AX918">
        <f>IF(COUNT($E$2:$E918)&lt;52,"",(MAX($C$867:$C$918)+MIN($D$867:$D$918))/2)</f>
        <v>0</v>
      </c>
      <c r="AY918">
        <f>IF(COUNT($E$2:$E918)&lt;20,"",MAX($C$819:$C$918))</f>
        <v>0</v>
      </c>
      <c r="AZ918">
        <f>IF(COUNT($E$2:$E918)&lt;20,"",MIN($D$819:$D$918))</f>
        <v>0</v>
      </c>
      <c r="BA918">
        <f>IF(COUNT($E$2:$E918)&lt;20,"",SLOPE($E$819:$E$918,$F$819:$F$918))</f>
        <v>0</v>
      </c>
      <c r="BB918">
        <f>IF(COUNT($E$2:$E918)&lt;20,"",INTERCEPT($E$819:$E$918,$F$819:$F$918))</f>
        <v>0</v>
      </c>
      <c r="BC918">
        <f>IF(OR(BA918="",BB918=""),"",BB918+BA918*F918)</f>
        <v>0</v>
      </c>
      <c r="BD918">
        <f>IF(COUNT($E$2:$E918)&lt;20,"",STEYX($E$819:$E$918,$F$819:$F$918))</f>
        <v>0</v>
      </c>
      <c r="BE918">
        <f>IF($E918="","",IF(AND(COUNT($E$919:$E$922)&gt;=4,$C918=MAX($C$914:$C$922)),$C918,""))</f>
        <v>0</v>
      </c>
      <c r="BF918">
        <f>IF($E918="","",IF(AND(COUNT($E$919:$E$922)&gt;=4,$D918=MIN($D$914:$D$922)),$D918,""))</f>
        <v>0</v>
      </c>
      <c r="BG918">
        <f>IF($A918="","",$A918-WEEKDAY($A918,2)+1)</f>
        <v>0</v>
      </c>
      <c r="BH918">
        <f>IF($A918="","",IF($A917="",1,IF(BG918&lt;&gt;BG917,1,0)))</f>
        <v>0</v>
      </c>
      <c r="BI918">
        <f>IF($A918="","",IF($A919="",1,IF(BG919&lt;&gt;BG918,1,0)))</f>
        <v>0</v>
      </c>
      <c r="BJ918">
        <f>IF($A918="","",IF(BH918=1,$B918,BJ917))</f>
        <v>0</v>
      </c>
      <c r="BK918">
        <f>IF($A918="","",IF(BH918=1,$C918,MAX($C918,BK917)))</f>
        <v>0</v>
      </c>
      <c r="BL918">
        <f>IF($A918="","",IF(BH918=1,$D918,MIN($D918,BL917)))</f>
        <v>0</v>
      </c>
      <c r="BM918">
        <f>IF($A918="","",IF(BI918=1,F918,""))</f>
        <v>0</v>
      </c>
      <c r="BN918">
        <f>IF($A918="","",DATE(YEAR($A918),MONTH($A918),1))</f>
        <v>0</v>
      </c>
      <c r="BO918">
        <f>IF($A918="","",IF($A917="",1,IF(BN918&lt;&gt;BN917,1,0)))</f>
        <v>0</v>
      </c>
      <c r="BP918">
        <f>IF($A918="","",IF($A919="",1,IF(BN919&lt;&gt;BN918,1,0)))</f>
        <v>0</v>
      </c>
      <c r="BQ918">
        <f>IF($A918="","",IF(BO918=1,$B918,BQ917))</f>
        <v>0</v>
      </c>
      <c r="BR918">
        <f>IF($A918="","",IF(BO918=1,$C918,MAX($C918,BR917)))</f>
        <v>0</v>
      </c>
      <c r="BS918">
        <f>IF($A918="","",IF(BO918=1,$D918,MIN($D918,BS917)))</f>
        <v>0</v>
      </c>
      <c r="BT918">
        <f>IF($A918="","",IF(BP918=1,F918,""))</f>
        <v>0</v>
      </c>
    </row>
    <row r="919" spans="1:72">
      <c r="A919" s="27">
        <f>IF(Data!$A919="","",Data!$A919)</f>
        <v>0</v>
      </c>
      <c r="B919">
        <f>IF(Data!$B919="","",Data!$B919)</f>
        <v>0</v>
      </c>
      <c r="C919">
        <f>IF(Data!$C919="","",Data!$C919)</f>
        <v>0</v>
      </c>
      <c r="D919">
        <f>IF(Data!$D919="","",Data!$D919)</f>
        <v>0</v>
      </c>
      <c r="E919">
        <f>IF(Data!$E919="","",Data!$E919)</f>
        <v>0</v>
      </c>
      <c r="F919">
        <f>IF($E919="","",N(F918)+1)</f>
        <v>0</v>
      </c>
      <c r="G919">
        <f>IF(OR($E919="",$E918=""),"",LN($E919/$E918))</f>
        <v>0</v>
      </c>
      <c r="H919">
        <f>IF($E919="","",IF($E918="",$E919,$E919*0.0952380952+H918*0.9047619048))</f>
        <v>0</v>
      </c>
      <c r="I919">
        <f>IF($E919="","",IF($E918="",$E919,$E919*0.0392156863+I918*0.9607843137))</f>
        <v>0</v>
      </c>
      <c r="J919">
        <f>IF($E919="","",IF($E918="",$E919,$E919*0.0198019802+J918*0.9801980198))</f>
        <v>0</v>
      </c>
      <c r="K919">
        <f>IF($E919="","",IF($E918="",$E919,$E919*0.0099502488+K918*0.9900497512))</f>
        <v>0</v>
      </c>
      <c r="L919">
        <f>IF(OR($E919="",$E918=""),"",MAX($E919-$E918,0))</f>
        <v>0</v>
      </c>
      <c r="M919">
        <f>IF(OR($E919="",$E918=""),"",MAX($E918-$E919,0))</f>
        <v>0</v>
      </c>
      <c r="N919">
        <f>IF(COUNT($E$2:$E919)&lt;15,"",IF(AVERAGE($M$906:$M$919)=0,100,100-100/(1+AVERAGE($L$906:$L$919)/AVERAGE($M$906:$M$919))))</f>
        <v>0</v>
      </c>
      <c r="O919">
        <f>IF($E919="","",IF($E918="",$E919,$E919*0.1538461538+O918*0.8461538462))</f>
        <v>0</v>
      </c>
      <c r="P919">
        <f>IF($E919="","",IF($E918="",$E919,$E919*0.0740740741+P918*0.9259259259))</f>
        <v>0</v>
      </c>
      <c r="Q919">
        <f>IF(OR(O919="",P919=""),"",O919-P919)</f>
        <v>0</v>
      </c>
      <c r="R919">
        <f>IF(Q919="","",IF(R918="",Q919,Q919*0.2000000000+R918*0.8000000000))</f>
        <v>0</v>
      </c>
      <c r="S919">
        <f>IF(OR(Q919="",R919=""),"",Q919-R919)</f>
        <v>0</v>
      </c>
      <c r="T919">
        <f>IF(COUNT($E$2:$E919)&lt;14,"",MAX($C$906:$C$919))</f>
        <v>0</v>
      </c>
      <c r="U919">
        <f>IF(COUNT($E$2:$E919)&lt;14,"",MIN($D$906:$D$919))</f>
        <v>0</v>
      </c>
      <c r="V919">
        <f>IF(OR(T919="",U919="",T919=U919),"",100*($E919-U919)/(T919-U919))</f>
        <v>0</v>
      </c>
      <c r="W919">
        <f>IF(COUNT($V$917:$V$919)&lt;3,"",AVERAGE($V$917:$V$919))</f>
        <v>0</v>
      </c>
      <c r="X919">
        <f>IF(COUNT($N$906:$N$919)&lt;14,"",MIN($N$906:$N$919))</f>
        <v>0</v>
      </c>
      <c r="Y919">
        <f>IF(COUNT($N$906:$N$919)&lt;14,"",MAX($N$906:$N$919))</f>
        <v>0</v>
      </c>
      <c r="Z919">
        <f>IF(OR(N919="",X919="",Y919="",Y919=X919),"",100*(N919-X919)/(Y919-X919))</f>
        <v>0</v>
      </c>
      <c r="AA919">
        <f>IF(COUNT($Z$917:$Z$919)&lt;3,"",AVERAGE($Z$917:$Z$919))</f>
        <v>0</v>
      </c>
      <c r="AB919">
        <f>IF(COUNT($AA$917:$AA$919)&lt;3,"",AVERAGE($AA$917:$AA$919))</f>
        <v>0</v>
      </c>
      <c r="AC919">
        <f>IF($E919="","",MAX($C919-$D919,ABS($C919-$E918),ABS($D919-$E918)))</f>
        <v>0</v>
      </c>
      <c r="AD919">
        <f>IF(COUNT($E$2:$E919)&lt;15,"",AVERAGE($AC$906:$AC$919))</f>
        <v>0</v>
      </c>
      <c r="AE919">
        <f>IF(OR($E919="",$E918=""),"",IF(AND(($C919-$C918)&gt;($D918-$D919),($C919-$C918)&gt;0),$C919-$C918,0))</f>
        <v>0</v>
      </c>
      <c r="AF919">
        <f>IF(OR($E919="",$E918=""),"",IF(AND(($D918-$D919)&gt;($C919-$C918),($D918-$D919)&gt;0),$D918-$D919,0))</f>
        <v>0</v>
      </c>
      <c r="AG919">
        <f>IF(COUNT($E$2:$E919)&lt;15,"",IF(SUM($AC$906:$AC$919)=0,0,100*SUM($AE$906:$AE$919)/SUM($AC$906:$AC$919)))</f>
        <v>0</v>
      </c>
      <c r="AH919">
        <f>IF(COUNT($E$2:$E919)&lt;15,"",IF(SUM($AC$906:$AC$919)=0,0,100*SUM($AF$906:$AF$919)/SUM($AC$906:$AC$919)))</f>
        <v>0</v>
      </c>
      <c r="AI919">
        <f>IF(OR(AG919="",AH919=""),"",IF((AG919+AH919)=0,0,100*ABS(AG919-AH919)/(AG919+AH919)))</f>
        <v>0</v>
      </c>
      <c r="AJ919">
        <f>IF(COUNT($AI$906:$AI$919)&lt;14,"",AVERAGE($AI$906:$AI$919))</f>
        <v>0</v>
      </c>
      <c r="AK919">
        <f>IF(COUNT($E$2:$E919)&lt;20,"",AVERAGE($E$900:$E$919))</f>
        <v>0</v>
      </c>
      <c r="AL919">
        <f>IF(COUNT($E$2:$E919)&lt;20,"",STDEVP($E$900:$E$919))</f>
        <v>0</v>
      </c>
      <c r="AM919">
        <f>IF(AK919="","",AK919+2*AL919)</f>
        <v>0</v>
      </c>
      <c r="AN919">
        <f>IF(AK919="","",AK919-2*AL919)</f>
        <v>0</v>
      </c>
      <c r="AO919">
        <f>IF(OR(AM919="",AN919="",AM919=AN919),"",($E919-AN919)/(AM919-AN919))</f>
        <v>0</v>
      </c>
      <c r="AP919">
        <f>IF(OR(AM919="",AK919="",AK919=0),"",(AM919-AN919)/AK919)</f>
        <v>0</v>
      </c>
      <c r="AQ919">
        <f>IF(COUNT($E$2:$E919)&lt;20,"",MAX($C$900:$C$919))</f>
        <v>0</v>
      </c>
      <c r="AR919">
        <f>IF(COUNT($E$2:$E919)&lt;20,"",MIN($D$900:$D$919))</f>
        <v>0</v>
      </c>
      <c r="AS919">
        <f>IF(OR(AQ919="",AR919=""),"",(AQ919+AR919)/2)</f>
        <v>0</v>
      </c>
      <c r="AT919">
        <f>IF(COUNT($G$900:$G$919)&lt;20,"",STDEV($G$900:$G$919)*SQRT(252))</f>
        <v>0</v>
      </c>
      <c r="AU919">
        <f>IF(COUNT($E$2:$E919)&lt;9,"",(MAX($C$911:$C$919)+MIN($D$911:$D$919))/2)</f>
        <v>0</v>
      </c>
      <c r="AV919">
        <f>IF(COUNT($E$2:$E919)&lt;26,"",(MAX($C$894:$C$919)+MIN($D$894:$D$919))/2)</f>
        <v>0</v>
      </c>
      <c r="AW919">
        <f>IF(OR(AU919="",AV919=""),"",(AU919+AV919)/2)</f>
        <v>0</v>
      </c>
      <c r="AX919">
        <f>IF(COUNT($E$2:$E919)&lt;52,"",(MAX($C$868:$C$919)+MIN($D$868:$D$919))/2)</f>
        <v>0</v>
      </c>
      <c r="AY919">
        <f>IF(COUNT($E$2:$E919)&lt;20,"",MAX($C$820:$C$919))</f>
        <v>0</v>
      </c>
      <c r="AZ919">
        <f>IF(COUNT($E$2:$E919)&lt;20,"",MIN($D$820:$D$919))</f>
        <v>0</v>
      </c>
      <c r="BA919">
        <f>IF(COUNT($E$2:$E919)&lt;20,"",SLOPE($E$820:$E$919,$F$820:$F$919))</f>
        <v>0</v>
      </c>
      <c r="BB919">
        <f>IF(COUNT($E$2:$E919)&lt;20,"",INTERCEPT($E$820:$E$919,$F$820:$F$919))</f>
        <v>0</v>
      </c>
      <c r="BC919">
        <f>IF(OR(BA919="",BB919=""),"",BB919+BA919*F919)</f>
        <v>0</v>
      </c>
      <c r="BD919">
        <f>IF(COUNT($E$2:$E919)&lt;20,"",STEYX($E$820:$E$919,$F$820:$F$919))</f>
        <v>0</v>
      </c>
      <c r="BE919">
        <f>IF($E919="","",IF(AND(COUNT($E$920:$E$923)&gt;=4,$C919=MAX($C$915:$C$923)),$C919,""))</f>
        <v>0</v>
      </c>
      <c r="BF919">
        <f>IF($E919="","",IF(AND(COUNT($E$920:$E$923)&gt;=4,$D919=MIN($D$915:$D$923)),$D919,""))</f>
        <v>0</v>
      </c>
      <c r="BG919">
        <f>IF($A919="","",$A919-WEEKDAY($A919,2)+1)</f>
        <v>0</v>
      </c>
      <c r="BH919">
        <f>IF($A919="","",IF($A918="",1,IF(BG919&lt;&gt;BG918,1,0)))</f>
        <v>0</v>
      </c>
      <c r="BI919">
        <f>IF($A919="","",IF($A920="",1,IF(BG920&lt;&gt;BG919,1,0)))</f>
        <v>0</v>
      </c>
      <c r="BJ919">
        <f>IF($A919="","",IF(BH919=1,$B919,BJ918))</f>
        <v>0</v>
      </c>
      <c r="BK919">
        <f>IF($A919="","",IF(BH919=1,$C919,MAX($C919,BK918)))</f>
        <v>0</v>
      </c>
      <c r="BL919">
        <f>IF($A919="","",IF(BH919=1,$D919,MIN($D919,BL918)))</f>
        <v>0</v>
      </c>
      <c r="BM919">
        <f>IF($A919="","",IF(BI919=1,F919,""))</f>
        <v>0</v>
      </c>
      <c r="BN919">
        <f>IF($A919="","",DATE(YEAR($A919),MONTH($A919),1))</f>
        <v>0</v>
      </c>
      <c r="BO919">
        <f>IF($A919="","",IF($A918="",1,IF(BN919&lt;&gt;BN918,1,0)))</f>
        <v>0</v>
      </c>
      <c r="BP919">
        <f>IF($A919="","",IF($A920="",1,IF(BN920&lt;&gt;BN919,1,0)))</f>
        <v>0</v>
      </c>
      <c r="BQ919">
        <f>IF($A919="","",IF(BO919=1,$B919,BQ918))</f>
        <v>0</v>
      </c>
      <c r="BR919">
        <f>IF($A919="","",IF(BO919=1,$C919,MAX($C919,BR918)))</f>
        <v>0</v>
      </c>
      <c r="BS919">
        <f>IF($A919="","",IF(BO919=1,$D919,MIN($D919,BS918)))</f>
        <v>0</v>
      </c>
      <c r="BT919">
        <f>IF($A919="","",IF(BP919=1,F919,""))</f>
        <v>0</v>
      </c>
    </row>
    <row r="920" spans="1:72">
      <c r="A920" s="27">
        <f>IF(Data!$A920="","",Data!$A920)</f>
        <v>0</v>
      </c>
      <c r="B920">
        <f>IF(Data!$B920="","",Data!$B920)</f>
        <v>0</v>
      </c>
      <c r="C920">
        <f>IF(Data!$C920="","",Data!$C920)</f>
        <v>0</v>
      </c>
      <c r="D920">
        <f>IF(Data!$D920="","",Data!$D920)</f>
        <v>0</v>
      </c>
      <c r="E920">
        <f>IF(Data!$E920="","",Data!$E920)</f>
        <v>0</v>
      </c>
      <c r="F920">
        <f>IF($E920="","",N(F919)+1)</f>
        <v>0</v>
      </c>
      <c r="G920">
        <f>IF(OR($E920="",$E919=""),"",LN($E920/$E919))</f>
        <v>0</v>
      </c>
      <c r="H920">
        <f>IF($E920="","",IF($E919="",$E920,$E920*0.0952380952+H919*0.9047619048))</f>
        <v>0</v>
      </c>
      <c r="I920">
        <f>IF($E920="","",IF($E919="",$E920,$E920*0.0392156863+I919*0.9607843137))</f>
        <v>0</v>
      </c>
      <c r="J920">
        <f>IF($E920="","",IF($E919="",$E920,$E920*0.0198019802+J919*0.9801980198))</f>
        <v>0</v>
      </c>
      <c r="K920">
        <f>IF($E920="","",IF($E919="",$E920,$E920*0.0099502488+K919*0.9900497512))</f>
        <v>0</v>
      </c>
      <c r="L920">
        <f>IF(OR($E920="",$E919=""),"",MAX($E920-$E919,0))</f>
        <v>0</v>
      </c>
      <c r="M920">
        <f>IF(OR($E920="",$E919=""),"",MAX($E919-$E920,0))</f>
        <v>0</v>
      </c>
      <c r="N920">
        <f>IF(COUNT($E$2:$E920)&lt;15,"",IF(AVERAGE($M$907:$M$920)=0,100,100-100/(1+AVERAGE($L$907:$L$920)/AVERAGE($M$907:$M$920))))</f>
        <v>0</v>
      </c>
      <c r="O920">
        <f>IF($E920="","",IF($E919="",$E920,$E920*0.1538461538+O919*0.8461538462))</f>
        <v>0</v>
      </c>
      <c r="P920">
        <f>IF($E920="","",IF($E919="",$E920,$E920*0.0740740741+P919*0.9259259259))</f>
        <v>0</v>
      </c>
      <c r="Q920">
        <f>IF(OR(O920="",P920=""),"",O920-P920)</f>
        <v>0</v>
      </c>
      <c r="R920">
        <f>IF(Q920="","",IF(R919="",Q920,Q920*0.2000000000+R919*0.8000000000))</f>
        <v>0</v>
      </c>
      <c r="S920">
        <f>IF(OR(Q920="",R920=""),"",Q920-R920)</f>
        <v>0</v>
      </c>
      <c r="T920">
        <f>IF(COUNT($E$2:$E920)&lt;14,"",MAX($C$907:$C$920))</f>
        <v>0</v>
      </c>
      <c r="U920">
        <f>IF(COUNT($E$2:$E920)&lt;14,"",MIN($D$907:$D$920))</f>
        <v>0</v>
      </c>
      <c r="V920">
        <f>IF(OR(T920="",U920="",T920=U920),"",100*($E920-U920)/(T920-U920))</f>
        <v>0</v>
      </c>
      <c r="W920">
        <f>IF(COUNT($V$918:$V$920)&lt;3,"",AVERAGE($V$918:$V$920))</f>
        <v>0</v>
      </c>
      <c r="X920">
        <f>IF(COUNT($N$907:$N$920)&lt;14,"",MIN($N$907:$N$920))</f>
        <v>0</v>
      </c>
      <c r="Y920">
        <f>IF(COUNT($N$907:$N$920)&lt;14,"",MAX($N$907:$N$920))</f>
        <v>0</v>
      </c>
      <c r="Z920">
        <f>IF(OR(N920="",X920="",Y920="",Y920=X920),"",100*(N920-X920)/(Y920-X920))</f>
        <v>0</v>
      </c>
      <c r="AA920">
        <f>IF(COUNT($Z$918:$Z$920)&lt;3,"",AVERAGE($Z$918:$Z$920))</f>
        <v>0</v>
      </c>
      <c r="AB920">
        <f>IF(COUNT($AA$918:$AA$920)&lt;3,"",AVERAGE($AA$918:$AA$920))</f>
        <v>0</v>
      </c>
      <c r="AC920">
        <f>IF($E920="","",MAX($C920-$D920,ABS($C920-$E919),ABS($D920-$E919)))</f>
        <v>0</v>
      </c>
      <c r="AD920">
        <f>IF(COUNT($E$2:$E920)&lt;15,"",AVERAGE($AC$907:$AC$920))</f>
        <v>0</v>
      </c>
      <c r="AE920">
        <f>IF(OR($E920="",$E919=""),"",IF(AND(($C920-$C919)&gt;($D919-$D920),($C920-$C919)&gt;0),$C920-$C919,0))</f>
        <v>0</v>
      </c>
      <c r="AF920">
        <f>IF(OR($E920="",$E919=""),"",IF(AND(($D919-$D920)&gt;($C920-$C919),($D919-$D920)&gt;0),$D919-$D920,0))</f>
        <v>0</v>
      </c>
      <c r="AG920">
        <f>IF(COUNT($E$2:$E920)&lt;15,"",IF(SUM($AC$907:$AC$920)=0,0,100*SUM($AE$907:$AE$920)/SUM($AC$907:$AC$920)))</f>
        <v>0</v>
      </c>
      <c r="AH920">
        <f>IF(COUNT($E$2:$E920)&lt;15,"",IF(SUM($AC$907:$AC$920)=0,0,100*SUM($AF$907:$AF$920)/SUM($AC$907:$AC$920)))</f>
        <v>0</v>
      </c>
      <c r="AI920">
        <f>IF(OR(AG920="",AH920=""),"",IF((AG920+AH920)=0,0,100*ABS(AG920-AH920)/(AG920+AH920)))</f>
        <v>0</v>
      </c>
      <c r="AJ920">
        <f>IF(COUNT($AI$907:$AI$920)&lt;14,"",AVERAGE($AI$907:$AI$920))</f>
        <v>0</v>
      </c>
      <c r="AK920">
        <f>IF(COUNT($E$2:$E920)&lt;20,"",AVERAGE($E$901:$E$920))</f>
        <v>0</v>
      </c>
      <c r="AL920">
        <f>IF(COUNT($E$2:$E920)&lt;20,"",STDEVP($E$901:$E$920))</f>
        <v>0</v>
      </c>
      <c r="AM920">
        <f>IF(AK920="","",AK920+2*AL920)</f>
        <v>0</v>
      </c>
      <c r="AN920">
        <f>IF(AK920="","",AK920-2*AL920)</f>
        <v>0</v>
      </c>
      <c r="AO920">
        <f>IF(OR(AM920="",AN920="",AM920=AN920),"",($E920-AN920)/(AM920-AN920))</f>
        <v>0</v>
      </c>
      <c r="AP920">
        <f>IF(OR(AM920="",AK920="",AK920=0),"",(AM920-AN920)/AK920)</f>
        <v>0</v>
      </c>
      <c r="AQ920">
        <f>IF(COUNT($E$2:$E920)&lt;20,"",MAX($C$901:$C$920))</f>
        <v>0</v>
      </c>
      <c r="AR920">
        <f>IF(COUNT($E$2:$E920)&lt;20,"",MIN($D$901:$D$920))</f>
        <v>0</v>
      </c>
      <c r="AS920">
        <f>IF(OR(AQ920="",AR920=""),"",(AQ920+AR920)/2)</f>
        <v>0</v>
      </c>
      <c r="AT920">
        <f>IF(COUNT($G$901:$G$920)&lt;20,"",STDEV($G$901:$G$920)*SQRT(252))</f>
        <v>0</v>
      </c>
      <c r="AU920">
        <f>IF(COUNT($E$2:$E920)&lt;9,"",(MAX($C$912:$C$920)+MIN($D$912:$D$920))/2)</f>
        <v>0</v>
      </c>
      <c r="AV920">
        <f>IF(COUNT($E$2:$E920)&lt;26,"",(MAX($C$895:$C$920)+MIN($D$895:$D$920))/2)</f>
        <v>0</v>
      </c>
      <c r="AW920">
        <f>IF(OR(AU920="",AV920=""),"",(AU920+AV920)/2)</f>
        <v>0</v>
      </c>
      <c r="AX920">
        <f>IF(COUNT($E$2:$E920)&lt;52,"",(MAX($C$869:$C$920)+MIN($D$869:$D$920))/2)</f>
        <v>0</v>
      </c>
      <c r="AY920">
        <f>IF(COUNT($E$2:$E920)&lt;20,"",MAX($C$821:$C$920))</f>
        <v>0</v>
      </c>
      <c r="AZ920">
        <f>IF(COUNT($E$2:$E920)&lt;20,"",MIN($D$821:$D$920))</f>
        <v>0</v>
      </c>
      <c r="BA920">
        <f>IF(COUNT($E$2:$E920)&lt;20,"",SLOPE($E$821:$E$920,$F$821:$F$920))</f>
        <v>0</v>
      </c>
      <c r="BB920">
        <f>IF(COUNT($E$2:$E920)&lt;20,"",INTERCEPT($E$821:$E$920,$F$821:$F$920))</f>
        <v>0</v>
      </c>
      <c r="BC920">
        <f>IF(OR(BA920="",BB920=""),"",BB920+BA920*F920)</f>
        <v>0</v>
      </c>
      <c r="BD920">
        <f>IF(COUNT($E$2:$E920)&lt;20,"",STEYX($E$821:$E$920,$F$821:$F$920))</f>
        <v>0</v>
      </c>
      <c r="BE920">
        <f>IF($E920="","",IF(AND(COUNT($E$921:$E$924)&gt;=4,$C920=MAX($C$916:$C$924)),$C920,""))</f>
        <v>0</v>
      </c>
      <c r="BF920">
        <f>IF($E920="","",IF(AND(COUNT($E$921:$E$924)&gt;=4,$D920=MIN($D$916:$D$924)),$D920,""))</f>
        <v>0</v>
      </c>
      <c r="BG920">
        <f>IF($A920="","",$A920-WEEKDAY($A920,2)+1)</f>
        <v>0</v>
      </c>
      <c r="BH920">
        <f>IF($A920="","",IF($A919="",1,IF(BG920&lt;&gt;BG919,1,0)))</f>
        <v>0</v>
      </c>
      <c r="BI920">
        <f>IF($A920="","",IF($A921="",1,IF(BG921&lt;&gt;BG920,1,0)))</f>
        <v>0</v>
      </c>
      <c r="BJ920">
        <f>IF($A920="","",IF(BH920=1,$B920,BJ919))</f>
        <v>0</v>
      </c>
      <c r="BK920">
        <f>IF($A920="","",IF(BH920=1,$C920,MAX($C920,BK919)))</f>
        <v>0</v>
      </c>
      <c r="BL920">
        <f>IF($A920="","",IF(BH920=1,$D920,MIN($D920,BL919)))</f>
        <v>0</v>
      </c>
      <c r="BM920">
        <f>IF($A920="","",IF(BI920=1,F920,""))</f>
        <v>0</v>
      </c>
      <c r="BN920">
        <f>IF($A920="","",DATE(YEAR($A920),MONTH($A920),1))</f>
        <v>0</v>
      </c>
      <c r="BO920">
        <f>IF($A920="","",IF($A919="",1,IF(BN920&lt;&gt;BN919,1,0)))</f>
        <v>0</v>
      </c>
      <c r="BP920">
        <f>IF($A920="","",IF($A921="",1,IF(BN921&lt;&gt;BN920,1,0)))</f>
        <v>0</v>
      </c>
      <c r="BQ920">
        <f>IF($A920="","",IF(BO920=1,$B920,BQ919))</f>
        <v>0</v>
      </c>
      <c r="BR920">
        <f>IF($A920="","",IF(BO920=1,$C920,MAX($C920,BR919)))</f>
        <v>0</v>
      </c>
      <c r="BS920">
        <f>IF($A920="","",IF(BO920=1,$D920,MIN($D920,BS919)))</f>
        <v>0</v>
      </c>
      <c r="BT920">
        <f>IF($A920="","",IF(BP920=1,F920,""))</f>
        <v>0</v>
      </c>
    </row>
    <row r="921" spans="1:72">
      <c r="A921" s="27">
        <f>IF(Data!$A921="","",Data!$A921)</f>
        <v>0</v>
      </c>
      <c r="B921">
        <f>IF(Data!$B921="","",Data!$B921)</f>
        <v>0</v>
      </c>
      <c r="C921">
        <f>IF(Data!$C921="","",Data!$C921)</f>
        <v>0</v>
      </c>
      <c r="D921">
        <f>IF(Data!$D921="","",Data!$D921)</f>
        <v>0</v>
      </c>
      <c r="E921">
        <f>IF(Data!$E921="","",Data!$E921)</f>
        <v>0</v>
      </c>
      <c r="F921">
        <f>IF($E921="","",N(F920)+1)</f>
        <v>0</v>
      </c>
      <c r="G921">
        <f>IF(OR($E921="",$E920=""),"",LN($E921/$E920))</f>
        <v>0</v>
      </c>
      <c r="H921">
        <f>IF($E921="","",IF($E920="",$E921,$E921*0.0952380952+H920*0.9047619048))</f>
        <v>0</v>
      </c>
      <c r="I921">
        <f>IF($E921="","",IF($E920="",$E921,$E921*0.0392156863+I920*0.9607843137))</f>
        <v>0</v>
      </c>
      <c r="J921">
        <f>IF($E921="","",IF($E920="",$E921,$E921*0.0198019802+J920*0.9801980198))</f>
        <v>0</v>
      </c>
      <c r="K921">
        <f>IF($E921="","",IF($E920="",$E921,$E921*0.0099502488+K920*0.9900497512))</f>
        <v>0</v>
      </c>
      <c r="L921">
        <f>IF(OR($E921="",$E920=""),"",MAX($E921-$E920,0))</f>
        <v>0</v>
      </c>
      <c r="M921">
        <f>IF(OR($E921="",$E920=""),"",MAX($E920-$E921,0))</f>
        <v>0</v>
      </c>
      <c r="N921">
        <f>IF(COUNT($E$2:$E921)&lt;15,"",IF(AVERAGE($M$908:$M$921)=0,100,100-100/(1+AVERAGE($L$908:$L$921)/AVERAGE($M$908:$M$921))))</f>
        <v>0</v>
      </c>
      <c r="O921">
        <f>IF($E921="","",IF($E920="",$E921,$E921*0.1538461538+O920*0.8461538462))</f>
        <v>0</v>
      </c>
      <c r="P921">
        <f>IF($E921="","",IF($E920="",$E921,$E921*0.0740740741+P920*0.9259259259))</f>
        <v>0</v>
      </c>
      <c r="Q921">
        <f>IF(OR(O921="",P921=""),"",O921-P921)</f>
        <v>0</v>
      </c>
      <c r="R921">
        <f>IF(Q921="","",IF(R920="",Q921,Q921*0.2000000000+R920*0.8000000000))</f>
        <v>0</v>
      </c>
      <c r="S921">
        <f>IF(OR(Q921="",R921=""),"",Q921-R921)</f>
        <v>0</v>
      </c>
      <c r="T921">
        <f>IF(COUNT($E$2:$E921)&lt;14,"",MAX($C$908:$C$921))</f>
        <v>0</v>
      </c>
      <c r="U921">
        <f>IF(COUNT($E$2:$E921)&lt;14,"",MIN($D$908:$D$921))</f>
        <v>0</v>
      </c>
      <c r="V921">
        <f>IF(OR(T921="",U921="",T921=U921),"",100*($E921-U921)/(T921-U921))</f>
        <v>0</v>
      </c>
      <c r="W921">
        <f>IF(COUNT($V$919:$V$921)&lt;3,"",AVERAGE($V$919:$V$921))</f>
        <v>0</v>
      </c>
      <c r="X921">
        <f>IF(COUNT($N$908:$N$921)&lt;14,"",MIN($N$908:$N$921))</f>
        <v>0</v>
      </c>
      <c r="Y921">
        <f>IF(COUNT($N$908:$N$921)&lt;14,"",MAX($N$908:$N$921))</f>
        <v>0</v>
      </c>
      <c r="Z921">
        <f>IF(OR(N921="",X921="",Y921="",Y921=X921),"",100*(N921-X921)/(Y921-X921))</f>
        <v>0</v>
      </c>
      <c r="AA921">
        <f>IF(COUNT($Z$919:$Z$921)&lt;3,"",AVERAGE($Z$919:$Z$921))</f>
        <v>0</v>
      </c>
      <c r="AB921">
        <f>IF(COUNT($AA$919:$AA$921)&lt;3,"",AVERAGE($AA$919:$AA$921))</f>
        <v>0</v>
      </c>
      <c r="AC921">
        <f>IF($E921="","",MAX($C921-$D921,ABS($C921-$E920),ABS($D921-$E920)))</f>
        <v>0</v>
      </c>
      <c r="AD921">
        <f>IF(COUNT($E$2:$E921)&lt;15,"",AVERAGE($AC$908:$AC$921))</f>
        <v>0</v>
      </c>
      <c r="AE921">
        <f>IF(OR($E921="",$E920=""),"",IF(AND(($C921-$C920)&gt;($D920-$D921),($C921-$C920)&gt;0),$C921-$C920,0))</f>
        <v>0</v>
      </c>
      <c r="AF921">
        <f>IF(OR($E921="",$E920=""),"",IF(AND(($D920-$D921)&gt;($C921-$C920),($D920-$D921)&gt;0),$D920-$D921,0))</f>
        <v>0</v>
      </c>
      <c r="AG921">
        <f>IF(COUNT($E$2:$E921)&lt;15,"",IF(SUM($AC$908:$AC$921)=0,0,100*SUM($AE$908:$AE$921)/SUM($AC$908:$AC$921)))</f>
        <v>0</v>
      </c>
      <c r="AH921">
        <f>IF(COUNT($E$2:$E921)&lt;15,"",IF(SUM($AC$908:$AC$921)=0,0,100*SUM($AF$908:$AF$921)/SUM($AC$908:$AC$921)))</f>
        <v>0</v>
      </c>
      <c r="AI921">
        <f>IF(OR(AG921="",AH921=""),"",IF((AG921+AH921)=0,0,100*ABS(AG921-AH921)/(AG921+AH921)))</f>
        <v>0</v>
      </c>
      <c r="AJ921">
        <f>IF(COUNT($AI$908:$AI$921)&lt;14,"",AVERAGE($AI$908:$AI$921))</f>
        <v>0</v>
      </c>
      <c r="AK921">
        <f>IF(COUNT($E$2:$E921)&lt;20,"",AVERAGE($E$902:$E$921))</f>
        <v>0</v>
      </c>
      <c r="AL921">
        <f>IF(COUNT($E$2:$E921)&lt;20,"",STDEVP($E$902:$E$921))</f>
        <v>0</v>
      </c>
      <c r="AM921">
        <f>IF(AK921="","",AK921+2*AL921)</f>
        <v>0</v>
      </c>
      <c r="AN921">
        <f>IF(AK921="","",AK921-2*AL921)</f>
        <v>0</v>
      </c>
      <c r="AO921">
        <f>IF(OR(AM921="",AN921="",AM921=AN921),"",($E921-AN921)/(AM921-AN921))</f>
        <v>0</v>
      </c>
      <c r="AP921">
        <f>IF(OR(AM921="",AK921="",AK921=0),"",(AM921-AN921)/AK921)</f>
        <v>0</v>
      </c>
      <c r="AQ921">
        <f>IF(COUNT($E$2:$E921)&lt;20,"",MAX($C$902:$C$921))</f>
        <v>0</v>
      </c>
      <c r="AR921">
        <f>IF(COUNT($E$2:$E921)&lt;20,"",MIN($D$902:$D$921))</f>
        <v>0</v>
      </c>
      <c r="AS921">
        <f>IF(OR(AQ921="",AR921=""),"",(AQ921+AR921)/2)</f>
        <v>0</v>
      </c>
      <c r="AT921">
        <f>IF(COUNT($G$902:$G$921)&lt;20,"",STDEV($G$902:$G$921)*SQRT(252))</f>
        <v>0</v>
      </c>
      <c r="AU921">
        <f>IF(COUNT($E$2:$E921)&lt;9,"",(MAX($C$913:$C$921)+MIN($D$913:$D$921))/2)</f>
        <v>0</v>
      </c>
      <c r="AV921">
        <f>IF(COUNT($E$2:$E921)&lt;26,"",(MAX($C$896:$C$921)+MIN($D$896:$D$921))/2)</f>
        <v>0</v>
      </c>
      <c r="AW921">
        <f>IF(OR(AU921="",AV921=""),"",(AU921+AV921)/2)</f>
        <v>0</v>
      </c>
      <c r="AX921">
        <f>IF(COUNT($E$2:$E921)&lt;52,"",(MAX($C$870:$C$921)+MIN($D$870:$D$921))/2)</f>
        <v>0</v>
      </c>
      <c r="AY921">
        <f>IF(COUNT($E$2:$E921)&lt;20,"",MAX($C$822:$C$921))</f>
        <v>0</v>
      </c>
      <c r="AZ921">
        <f>IF(COUNT($E$2:$E921)&lt;20,"",MIN($D$822:$D$921))</f>
        <v>0</v>
      </c>
      <c r="BA921">
        <f>IF(COUNT($E$2:$E921)&lt;20,"",SLOPE($E$822:$E$921,$F$822:$F$921))</f>
        <v>0</v>
      </c>
      <c r="BB921">
        <f>IF(COUNT($E$2:$E921)&lt;20,"",INTERCEPT($E$822:$E$921,$F$822:$F$921))</f>
        <v>0</v>
      </c>
      <c r="BC921">
        <f>IF(OR(BA921="",BB921=""),"",BB921+BA921*F921)</f>
        <v>0</v>
      </c>
      <c r="BD921">
        <f>IF(COUNT($E$2:$E921)&lt;20,"",STEYX($E$822:$E$921,$F$822:$F$921))</f>
        <v>0</v>
      </c>
      <c r="BE921">
        <f>IF($E921="","",IF(AND(COUNT($E$922:$E$925)&gt;=4,$C921=MAX($C$917:$C$925)),$C921,""))</f>
        <v>0</v>
      </c>
      <c r="BF921">
        <f>IF($E921="","",IF(AND(COUNT($E$922:$E$925)&gt;=4,$D921=MIN($D$917:$D$925)),$D921,""))</f>
        <v>0</v>
      </c>
      <c r="BG921">
        <f>IF($A921="","",$A921-WEEKDAY($A921,2)+1)</f>
        <v>0</v>
      </c>
      <c r="BH921">
        <f>IF($A921="","",IF($A920="",1,IF(BG921&lt;&gt;BG920,1,0)))</f>
        <v>0</v>
      </c>
      <c r="BI921">
        <f>IF($A921="","",IF($A922="",1,IF(BG922&lt;&gt;BG921,1,0)))</f>
        <v>0</v>
      </c>
      <c r="BJ921">
        <f>IF($A921="","",IF(BH921=1,$B921,BJ920))</f>
        <v>0</v>
      </c>
      <c r="BK921">
        <f>IF($A921="","",IF(BH921=1,$C921,MAX($C921,BK920)))</f>
        <v>0</v>
      </c>
      <c r="BL921">
        <f>IF($A921="","",IF(BH921=1,$D921,MIN($D921,BL920)))</f>
        <v>0</v>
      </c>
      <c r="BM921">
        <f>IF($A921="","",IF(BI921=1,F921,""))</f>
        <v>0</v>
      </c>
      <c r="BN921">
        <f>IF($A921="","",DATE(YEAR($A921),MONTH($A921),1))</f>
        <v>0</v>
      </c>
      <c r="BO921">
        <f>IF($A921="","",IF($A920="",1,IF(BN921&lt;&gt;BN920,1,0)))</f>
        <v>0</v>
      </c>
      <c r="BP921">
        <f>IF($A921="","",IF($A922="",1,IF(BN922&lt;&gt;BN921,1,0)))</f>
        <v>0</v>
      </c>
      <c r="BQ921">
        <f>IF($A921="","",IF(BO921=1,$B921,BQ920))</f>
        <v>0</v>
      </c>
      <c r="BR921">
        <f>IF($A921="","",IF(BO921=1,$C921,MAX($C921,BR920)))</f>
        <v>0</v>
      </c>
      <c r="BS921">
        <f>IF($A921="","",IF(BO921=1,$D921,MIN($D921,BS920)))</f>
        <v>0</v>
      </c>
      <c r="BT921">
        <f>IF($A921="","",IF(BP921=1,F921,""))</f>
        <v>0</v>
      </c>
    </row>
    <row r="922" spans="1:72">
      <c r="A922" s="27">
        <f>IF(Data!$A922="","",Data!$A922)</f>
        <v>0</v>
      </c>
      <c r="B922">
        <f>IF(Data!$B922="","",Data!$B922)</f>
        <v>0</v>
      </c>
      <c r="C922">
        <f>IF(Data!$C922="","",Data!$C922)</f>
        <v>0</v>
      </c>
      <c r="D922">
        <f>IF(Data!$D922="","",Data!$D922)</f>
        <v>0</v>
      </c>
      <c r="E922">
        <f>IF(Data!$E922="","",Data!$E922)</f>
        <v>0</v>
      </c>
      <c r="F922">
        <f>IF($E922="","",N(F921)+1)</f>
        <v>0</v>
      </c>
      <c r="G922">
        <f>IF(OR($E922="",$E921=""),"",LN($E922/$E921))</f>
        <v>0</v>
      </c>
      <c r="H922">
        <f>IF($E922="","",IF($E921="",$E922,$E922*0.0952380952+H921*0.9047619048))</f>
        <v>0</v>
      </c>
      <c r="I922">
        <f>IF($E922="","",IF($E921="",$E922,$E922*0.0392156863+I921*0.9607843137))</f>
        <v>0</v>
      </c>
      <c r="J922">
        <f>IF($E922="","",IF($E921="",$E922,$E922*0.0198019802+J921*0.9801980198))</f>
        <v>0</v>
      </c>
      <c r="K922">
        <f>IF($E922="","",IF($E921="",$E922,$E922*0.0099502488+K921*0.9900497512))</f>
        <v>0</v>
      </c>
      <c r="L922">
        <f>IF(OR($E922="",$E921=""),"",MAX($E922-$E921,0))</f>
        <v>0</v>
      </c>
      <c r="M922">
        <f>IF(OR($E922="",$E921=""),"",MAX($E921-$E922,0))</f>
        <v>0</v>
      </c>
      <c r="N922">
        <f>IF(COUNT($E$2:$E922)&lt;15,"",IF(AVERAGE($M$909:$M$922)=0,100,100-100/(1+AVERAGE($L$909:$L$922)/AVERAGE($M$909:$M$922))))</f>
        <v>0</v>
      </c>
      <c r="O922">
        <f>IF($E922="","",IF($E921="",$E922,$E922*0.1538461538+O921*0.8461538462))</f>
        <v>0</v>
      </c>
      <c r="P922">
        <f>IF($E922="","",IF($E921="",$E922,$E922*0.0740740741+P921*0.9259259259))</f>
        <v>0</v>
      </c>
      <c r="Q922">
        <f>IF(OR(O922="",P922=""),"",O922-P922)</f>
        <v>0</v>
      </c>
      <c r="R922">
        <f>IF(Q922="","",IF(R921="",Q922,Q922*0.2000000000+R921*0.8000000000))</f>
        <v>0</v>
      </c>
      <c r="S922">
        <f>IF(OR(Q922="",R922=""),"",Q922-R922)</f>
        <v>0</v>
      </c>
      <c r="T922">
        <f>IF(COUNT($E$2:$E922)&lt;14,"",MAX($C$909:$C$922))</f>
        <v>0</v>
      </c>
      <c r="U922">
        <f>IF(COUNT($E$2:$E922)&lt;14,"",MIN($D$909:$D$922))</f>
        <v>0</v>
      </c>
      <c r="V922">
        <f>IF(OR(T922="",U922="",T922=U922),"",100*($E922-U922)/(T922-U922))</f>
        <v>0</v>
      </c>
      <c r="W922">
        <f>IF(COUNT($V$920:$V$922)&lt;3,"",AVERAGE($V$920:$V$922))</f>
        <v>0</v>
      </c>
      <c r="X922">
        <f>IF(COUNT($N$909:$N$922)&lt;14,"",MIN($N$909:$N$922))</f>
        <v>0</v>
      </c>
      <c r="Y922">
        <f>IF(COUNT($N$909:$N$922)&lt;14,"",MAX($N$909:$N$922))</f>
        <v>0</v>
      </c>
      <c r="Z922">
        <f>IF(OR(N922="",X922="",Y922="",Y922=X922),"",100*(N922-X922)/(Y922-X922))</f>
        <v>0</v>
      </c>
      <c r="AA922">
        <f>IF(COUNT($Z$920:$Z$922)&lt;3,"",AVERAGE($Z$920:$Z$922))</f>
        <v>0</v>
      </c>
      <c r="AB922">
        <f>IF(COUNT($AA$920:$AA$922)&lt;3,"",AVERAGE($AA$920:$AA$922))</f>
        <v>0</v>
      </c>
      <c r="AC922">
        <f>IF($E922="","",MAX($C922-$D922,ABS($C922-$E921),ABS($D922-$E921)))</f>
        <v>0</v>
      </c>
      <c r="AD922">
        <f>IF(COUNT($E$2:$E922)&lt;15,"",AVERAGE($AC$909:$AC$922))</f>
        <v>0</v>
      </c>
      <c r="AE922">
        <f>IF(OR($E922="",$E921=""),"",IF(AND(($C922-$C921)&gt;($D921-$D922),($C922-$C921)&gt;0),$C922-$C921,0))</f>
        <v>0</v>
      </c>
      <c r="AF922">
        <f>IF(OR($E922="",$E921=""),"",IF(AND(($D921-$D922)&gt;($C922-$C921),($D921-$D922)&gt;0),$D921-$D922,0))</f>
        <v>0</v>
      </c>
      <c r="AG922">
        <f>IF(COUNT($E$2:$E922)&lt;15,"",IF(SUM($AC$909:$AC$922)=0,0,100*SUM($AE$909:$AE$922)/SUM($AC$909:$AC$922)))</f>
        <v>0</v>
      </c>
      <c r="AH922">
        <f>IF(COUNT($E$2:$E922)&lt;15,"",IF(SUM($AC$909:$AC$922)=0,0,100*SUM($AF$909:$AF$922)/SUM($AC$909:$AC$922)))</f>
        <v>0</v>
      </c>
      <c r="AI922">
        <f>IF(OR(AG922="",AH922=""),"",IF((AG922+AH922)=0,0,100*ABS(AG922-AH922)/(AG922+AH922)))</f>
        <v>0</v>
      </c>
      <c r="AJ922">
        <f>IF(COUNT($AI$909:$AI$922)&lt;14,"",AVERAGE($AI$909:$AI$922))</f>
        <v>0</v>
      </c>
      <c r="AK922">
        <f>IF(COUNT($E$2:$E922)&lt;20,"",AVERAGE($E$903:$E$922))</f>
        <v>0</v>
      </c>
      <c r="AL922">
        <f>IF(COUNT($E$2:$E922)&lt;20,"",STDEVP($E$903:$E$922))</f>
        <v>0</v>
      </c>
      <c r="AM922">
        <f>IF(AK922="","",AK922+2*AL922)</f>
        <v>0</v>
      </c>
      <c r="AN922">
        <f>IF(AK922="","",AK922-2*AL922)</f>
        <v>0</v>
      </c>
      <c r="AO922">
        <f>IF(OR(AM922="",AN922="",AM922=AN922),"",($E922-AN922)/(AM922-AN922))</f>
        <v>0</v>
      </c>
      <c r="AP922">
        <f>IF(OR(AM922="",AK922="",AK922=0),"",(AM922-AN922)/AK922)</f>
        <v>0</v>
      </c>
      <c r="AQ922">
        <f>IF(COUNT($E$2:$E922)&lt;20,"",MAX($C$903:$C$922))</f>
        <v>0</v>
      </c>
      <c r="AR922">
        <f>IF(COUNT($E$2:$E922)&lt;20,"",MIN($D$903:$D$922))</f>
        <v>0</v>
      </c>
      <c r="AS922">
        <f>IF(OR(AQ922="",AR922=""),"",(AQ922+AR922)/2)</f>
        <v>0</v>
      </c>
      <c r="AT922">
        <f>IF(COUNT($G$903:$G$922)&lt;20,"",STDEV($G$903:$G$922)*SQRT(252))</f>
        <v>0</v>
      </c>
      <c r="AU922">
        <f>IF(COUNT($E$2:$E922)&lt;9,"",(MAX($C$914:$C$922)+MIN($D$914:$D$922))/2)</f>
        <v>0</v>
      </c>
      <c r="AV922">
        <f>IF(COUNT($E$2:$E922)&lt;26,"",(MAX($C$897:$C$922)+MIN($D$897:$D$922))/2)</f>
        <v>0</v>
      </c>
      <c r="AW922">
        <f>IF(OR(AU922="",AV922=""),"",(AU922+AV922)/2)</f>
        <v>0</v>
      </c>
      <c r="AX922">
        <f>IF(COUNT($E$2:$E922)&lt;52,"",(MAX($C$871:$C$922)+MIN($D$871:$D$922))/2)</f>
        <v>0</v>
      </c>
      <c r="AY922">
        <f>IF(COUNT($E$2:$E922)&lt;20,"",MAX($C$823:$C$922))</f>
        <v>0</v>
      </c>
      <c r="AZ922">
        <f>IF(COUNT($E$2:$E922)&lt;20,"",MIN($D$823:$D$922))</f>
        <v>0</v>
      </c>
      <c r="BA922">
        <f>IF(COUNT($E$2:$E922)&lt;20,"",SLOPE($E$823:$E$922,$F$823:$F$922))</f>
        <v>0</v>
      </c>
      <c r="BB922">
        <f>IF(COUNT($E$2:$E922)&lt;20,"",INTERCEPT($E$823:$E$922,$F$823:$F$922))</f>
        <v>0</v>
      </c>
      <c r="BC922">
        <f>IF(OR(BA922="",BB922=""),"",BB922+BA922*F922)</f>
        <v>0</v>
      </c>
      <c r="BD922">
        <f>IF(COUNT($E$2:$E922)&lt;20,"",STEYX($E$823:$E$922,$F$823:$F$922))</f>
        <v>0</v>
      </c>
      <c r="BE922">
        <f>IF($E922="","",IF(AND(COUNT($E$923:$E$926)&gt;=4,$C922=MAX($C$918:$C$926)),$C922,""))</f>
        <v>0</v>
      </c>
      <c r="BF922">
        <f>IF($E922="","",IF(AND(COUNT($E$923:$E$926)&gt;=4,$D922=MIN($D$918:$D$926)),$D922,""))</f>
        <v>0</v>
      </c>
      <c r="BG922">
        <f>IF($A922="","",$A922-WEEKDAY($A922,2)+1)</f>
        <v>0</v>
      </c>
      <c r="BH922">
        <f>IF($A922="","",IF($A921="",1,IF(BG922&lt;&gt;BG921,1,0)))</f>
        <v>0</v>
      </c>
      <c r="BI922">
        <f>IF($A922="","",IF($A923="",1,IF(BG923&lt;&gt;BG922,1,0)))</f>
        <v>0</v>
      </c>
      <c r="BJ922">
        <f>IF($A922="","",IF(BH922=1,$B922,BJ921))</f>
        <v>0</v>
      </c>
      <c r="BK922">
        <f>IF($A922="","",IF(BH922=1,$C922,MAX($C922,BK921)))</f>
        <v>0</v>
      </c>
      <c r="BL922">
        <f>IF($A922="","",IF(BH922=1,$D922,MIN($D922,BL921)))</f>
        <v>0</v>
      </c>
      <c r="BM922">
        <f>IF($A922="","",IF(BI922=1,F922,""))</f>
        <v>0</v>
      </c>
      <c r="BN922">
        <f>IF($A922="","",DATE(YEAR($A922),MONTH($A922),1))</f>
        <v>0</v>
      </c>
      <c r="BO922">
        <f>IF($A922="","",IF($A921="",1,IF(BN922&lt;&gt;BN921,1,0)))</f>
        <v>0</v>
      </c>
      <c r="BP922">
        <f>IF($A922="","",IF($A923="",1,IF(BN923&lt;&gt;BN922,1,0)))</f>
        <v>0</v>
      </c>
      <c r="BQ922">
        <f>IF($A922="","",IF(BO922=1,$B922,BQ921))</f>
        <v>0</v>
      </c>
      <c r="BR922">
        <f>IF($A922="","",IF(BO922=1,$C922,MAX($C922,BR921)))</f>
        <v>0</v>
      </c>
      <c r="BS922">
        <f>IF($A922="","",IF(BO922=1,$D922,MIN($D922,BS921)))</f>
        <v>0</v>
      </c>
      <c r="BT922">
        <f>IF($A922="","",IF(BP922=1,F922,""))</f>
        <v>0</v>
      </c>
    </row>
    <row r="923" spans="1:72">
      <c r="A923" s="27">
        <f>IF(Data!$A923="","",Data!$A923)</f>
        <v>0</v>
      </c>
      <c r="B923">
        <f>IF(Data!$B923="","",Data!$B923)</f>
        <v>0</v>
      </c>
      <c r="C923">
        <f>IF(Data!$C923="","",Data!$C923)</f>
        <v>0</v>
      </c>
      <c r="D923">
        <f>IF(Data!$D923="","",Data!$D923)</f>
        <v>0</v>
      </c>
      <c r="E923">
        <f>IF(Data!$E923="","",Data!$E923)</f>
        <v>0</v>
      </c>
      <c r="F923">
        <f>IF($E923="","",N(F922)+1)</f>
        <v>0</v>
      </c>
      <c r="G923">
        <f>IF(OR($E923="",$E922=""),"",LN($E923/$E922))</f>
        <v>0</v>
      </c>
      <c r="H923">
        <f>IF($E923="","",IF($E922="",$E923,$E923*0.0952380952+H922*0.9047619048))</f>
        <v>0</v>
      </c>
      <c r="I923">
        <f>IF($E923="","",IF($E922="",$E923,$E923*0.0392156863+I922*0.9607843137))</f>
        <v>0</v>
      </c>
      <c r="J923">
        <f>IF($E923="","",IF($E922="",$E923,$E923*0.0198019802+J922*0.9801980198))</f>
        <v>0</v>
      </c>
      <c r="K923">
        <f>IF($E923="","",IF($E922="",$E923,$E923*0.0099502488+K922*0.9900497512))</f>
        <v>0</v>
      </c>
      <c r="L923">
        <f>IF(OR($E923="",$E922=""),"",MAX($E923-$E922,0))</f>
        <v>0</v>
      </c>
      <c r="M923">
        <f>IF(OR($E923="",$E922=""),"",MAX($E922-$E923,0))</f>
        <v>0</v>
      </c>
      <c r="N923">
        <f>IF(COUNT($E$2:$E923)&lt;15,"",IF(AVERAGE($M$910:$M$923)=0,100,100-100/(1+AVERAGE($L$910:$L$923)/AVERAGE($M$910:$M$923))))</f>
        <v>0</v>
      </c>
      <c r="O923">
        <f>IF($E923="","",IF($E922="",$E923,$E923*0.1538461538+O922*0.8461538462))</f>
        <v>0</v>
      </c>
      <c r="P923">
        <f>IF($E923="","",IF($E922="",$E923,$E923*0.0740740741+P922*0.9259259259))</f>
        <v>0</v>
      </c>
      <c r="Q923">
        <f>IF(OR(O923="",P923=""),"",O923-P923)</f>
        <v>0</v>
      </c>
      <c r="R923">
        <f>IF(Q923="","",IF(R922="",Q923,Q923*0.2000000000+R922*0.8000000000))</f>
        <v>0</v>
      </c>
      <c r="S923">
        <f>IF(OR(Q923="",R923=""),"",Q923-R923)</f>
        <v>0</v>
      </c>
      <c r="T923">
        <f>IF(COUNT($E$2:$E923)&lt;14,"",MAX($C$910:$C$923))</f>
        <v>0</v>
      </c>
      <c r="U923">
        <f>IF(COUNT($E$2:$E923)&lt;14,"",MIN($D$910:$D$923))</f>
        <v>0</v>
      </c>
      <c r="V923">
        <f>IF(OR(T923="",U923="",T923=U923),"",100*($E923-U923)/(T923-U923))</f>
        <v>0</v>
      </c>
      <c r="W923">
        <f>IF(COUNT($V$921:$V$923)&lt;3,"",AVERAGE($V$921:$V$923))</f>
        <v>0</v>
      </c>
      <c r="X923">
        <f>IF(COUNT($N$910:$N$923)&lt;14,"",MIN($N$910:$N$923))</f>
        <v>0</v>
      </c>
      <c r="Y923">
        <f>IF(COUNT($N$910:$N$923)&lt;14,"",MAX($N$910:$N$923))</f>
        <v>0</v>
      </c>
      <c r="Z923">
        <f>IF(OR(N923="",X923="",Y923="",Y923=X923),"",100*(N923-X923)/(Y923-X923))</f>
        <v>0</v>
      </c>
      <c r="AA923">
        <f>IF(COUNT($Z$921:$Z$923)&lt;3,"",AVERAGE($Z$921:$Z$923))</f>
        <v>0</v>
      </c>
      <c r="AB923">
        <f>IF(COUNT($AA$921:$AA$923)&lt;3,"",AVERAGE($AA$921:$AA$923))</f>
        <v>0</v>
      </c>
      <c r="AC923">
        <f>IF($E923="","",MAX($C923-$D923,ABS($C923-$E922),ABS($D923-$E922)))</f>
        <v>0</v>
      </c>
      <c r="AD923">
        <f>IF(COUNT($E$2:$E923)&lt;15,"",AVERAGE($AC$910:$AC$923))</f>
        <v>0</v>
      </c>
      <c r="AE923">
        <f>IF(OR($E923="",$E922=""),"",IF(AND(($C923-$C922)&gt;($D922-$D923),($C923-$C922)&gt;0),$C923-$C922,0))</f>
        <v>0</v>
      </c>
      <c r="AF923">
        <f>IF(OR($E923="",$E922=""),"",IF(AND(($D922-$D923)&gt;($C923-$C922),($D922-$D923)&gt;0),$D922-$D923,0))</f>
        <v>0</v>
      </c>
      <c r="AG923">
        <f>IF(COUNT($E$2:$E923)&lt;15,"",IF(SUM($AC$910:$AC$923)=0,0,100*SUM($AE$910:$AE$923)/SUM($AC$910:$AC$923)))</f>
        <v>0</v>
      </c>
      <c r="AH923">
        <f>IF(COUNT($E$2:$E923)&lt;15,"",IF(SUM($AC$910:$AC$923)=0,0,100*SUM($AF$910:$AF$923)/SUM($AC$910:$AC$923)))</f>
        <v>0</v>
      </c>
      <c r="AI923">
        <f>IF(OR(AG923="",AH923=""),"",IF((AG923+AH923)=0,0,100*ABS(AG923-AH923)/(AG923+AH923)))</f>
        <v>0</v>
      </c>
      <c r="AJ923">
        <f>IF(COUNT($AI$910:$AI$923)&lt;14,"",AVERAGE($AI$910:$AI$923))</f>
        <v>0</v>
      </c>
      <c r="AK923">
        <f>IF(COUNT($E$2:$E923)&lt;20,"",AVERAGE($E$904:$E$923))</f>
        <v>0</v>
      </c>
      <c r="AL923">
        <f>IF(COUNT($E$2:$E923)&lt;20,"",STDEVP($E$904:$E$923))</f>
        <v>0</v>
      </c>
      <c r="AM923">
        <f>IF(AK923="","",AK923+2*AL923)</f>
        <v>0</v>
      </c>
      <c r="AN923">
        <f>IF(AK923="","",AK923-2*AL923)</f>
        <v>0</v>
      </c>
      <c r="AO923">
        <f>IF(OR(AM923="",AN923="",AM923=AN923),"",($E923-AN923)/(AM923-AN923))</f>
        <v>0</v>
      </c>
      <c r="AP923">
        <f>IF(OR(AM923="",AK923="",AK923=0),"",(AM923-AN923)/AK923)</f>
        <v>0</v>
      </c>
      <c r="AQ923">
        <f>IF(COUNT($E$2:$E923)&lt;20,"",MAX($C$904:$C$923))</f>
        <v>0</v>
      </c>
      <c r="AR923">
        <f>IF(COUNT($E$2:$E923)&lt;20,"",MIN($D$904:$D$923))</f>
        <v>0</v>
      </c>
      <c r="AS923">
        <f>IF(OR(AQ923="",AR923=""),"",(AQ923+AR923)/2)</f>
        <v>0</v>
      </c>
      <c r="AT923">
        <f>IF(COUNT($G$904:$G$923)&lt;20,"",STDEV($G$904:$G$923)*SQRT(252))</f>
        <v>0</v>
      </c>
      <c r="AU923">
        <f>IF(COUNT($E$2:$E923)&lt;9,"",(MAX($C$915:$C$923)+MIN($D$915:$D$923))/2)</f>
        <v>0</v>
      </c>
      <c r="AV923">
        <f>IF(COUNT($E$2:$E923)&lt;26,"",(MAX($C$898:$C$923)+MIN($D$898:$D$923))/2)</f>
        <v>0</v>
      </c>
      <c r="AW923">
        <f>IF(OR(AU923="",AV923=""),"",(AU923+AV923)/2)</f>
        <v>0</v>
      </c>
      <c r="AX923">
        <f>IF(COUNT($E$2:$E923)&lt;52,"",(MAX($C$872:$C$923)+MIN($D$872:$D$923))/2)</f>
        <v>0</v>
      </c>
      <c r="AY923">
        <f>IF(COUNT($E$2:$E923)&lt;20,"",MAX($C$824:$C$923))</f>
        <v>0</v>
      </c>
      <c r="AZ923">
        <f>IF(COUNT($E$2:$E923)&lt;20,"",MIN($D$824:$D$923))</f>
        <v>0</v>
      </c>
      <c r="BA923">
        <f>IF(COUNT($E$2:$E923)&lt;20,"",SLOPE($E$824:$E$923,$F$824:$F$923))</f>
        <v>0</v>
      </c>
      <c r="BB923">
        <f>IF(COUNT($E$2:$E923)&lt;20,"",INTERCEPT($E$824:$E$923,$F$824:$F$923))</f>
        <v>0</v>
      </c>
      <c r="BC923">
        <f>IF(OR(BA923="",BB923=""),"",BB923+BA923*F923)</f>
        <v>0</v>
      </c>
      <c r="BD923">
        <f>IF(COUNT($E$2:$E923)&lt;20,"",STEYX($E$824:$E$923,$F$824:$F$923))</f>
        <v>0</v>
      </c>
      <c r="BE923">
        <f>IF($E923="","",IF(AND(COUNT($E$924:$E$927)&gt;=4,$C923=MAX($C$919:$C$927)),$C923,""))</f>
        <v>0</v>
      </c>
      <c r="BF923">
        <f>IF($E923="","",IF(AND(COUNT($E$924:$E$927)&gt;=4,$D923=MIN($D$919:$D$927)),$D923,""))</f>
        <v>0</v>
      </c>
      <c r="BG923">
        <f>IF($A923="","",$A923-WEEKDAY($A923,2)+1)</f>
        <v>0</v>
      </c>
      <c r="BH923">
        <f>IF($A923="","",IF($A922="",1,IF(BG923&lt;&gt;BG922,1,0)))</f>
        <v>0</v>
      </c>
      <c r="BI923">
        <f>IF($A923="","",IF($A924="",1,IF(BG924&lt;&gt;BG923,1,0)))</f>
        <v>0</v>
      </c>
      <c r="BJ923">
        <f>IF($A923="","",IF(BH923=1,$B923,BJ922))</f>
        <v>0</v>
      </c>
      <c r="BK923">
        <f>IF($A923="","",IF(BH923=1,$C923,MAX($C923,BK922)))</f>
        <v>0</v>
      </c>
      <c r="BL923">
        <f>IF($A923="","",IF(BH923=1,$D923,MIN($D923,BL922)))</f>
        <v>0</v>
      </c>
      <c r="BM923">
        <f>IF($A923="","",IF(BI923=1,F923,""))</f>
        <v>0</v>
      </c>
      <c r="BN923">
        <f>IF($A923="","",DATE(YEAR($A923),MONTH($A923),1))</f>
        <v>0</v>
      </c>
      <c r="BO923">
        <f>IF($A923="","",IF($A922="",1,IF(BN923&lt;&gt;BN922,1,0)))</f>
        <v>0</v>
      </c>
      <c r="BP923">
        <f>IF($A923="","",IF($A924="",1,IF(BN924&lt;&gt;BN923,1,0)))</f>
        <v>0</v>
      </c>
      <c r="BQ923">
        <f>IF($A923="","",IF(BO923=1,$B923,BQ922))</f>
        <v>0</v>
      </c>
      <c r="BR923">
        <f>IF($A923="","",IF(BO923=1,$C923,MAX($C923,BR922)))</f>
        <v>0</v>
      </c>
      <c r="BS923">
        <f>IF($A923="","",IF(BO923=1,$D923,MIN($D923,BS922)))</f>
        <v>0</v>
      </c>
      <c r="BT923">
        <f>IF($A923="","",IF(BP923=1,F923,""))</f>
        <v>0</v>
      </c>
    </row>
    <row r="924" spans="1:72">
      <c r="A924" s="27">
        <f>IF(Data!$A924="","",Data!$A924)</f>
        <v>0</v>
      </c>
      <c r="B924">
        <f>IF(Data!$B924="","",Data!$B924)</f>
        <v>0</v>
      </c>
      <c r="C924">
        <f>IF(Data!$C924="","",Data!$C924)</f>
        <v>0</v>
      </c>
      <c r="D924">
        <f>IF(Data!$D924="","",Data!$D924)</f>
        <v>0</v>
      </c>
      <c r="E924">
        <f>IF(Data!$E924="","",Data!$E924)</f>
        <v>0</v>
      </c>
      <c r="F924">
        <f>IF($E924="","",N(F923)+1)</f>
        <v>0</v>
      </c>
      <c r="G924">
        <f>IF(OR($E924="",$E923=""),"",LN($E924/$E923))</f>
        <v>0</v>
      </c>
      <c r="H924">
        <f>IF($E924="","",IF($E923="",$E924,$E924*0.0952380952+H923*0.9047619048))</f>
        <v>0</v>
      </c>
      <c r="I924">
        <f>IF($E924="","",IF($E923="",$E924,$E924*0.0392156863+I923*0.9607843137))</f>
        <v>0</v>
      </c>
      <c r="J924">
        <f>IF($E924="","",IF($E923="",$E924,$E924*0.0198019802+J923*0.9801980198))</f>
        <v>0</v>
      </c>
      <c r="K924">
        <f>IF($E924="","",IF($E923="",$E924,$E924*0.0099502488+K923*0.9900497512))</f>
        <v>0</v>
      </c>
      <c r="L924">
        <f>IF(OR($E924="",$E923=""),"",MAX($E924-$E923,0))</f>
        <v>0</v>
      </c>
      <c r="M924">
        <f>IF(OR($E924="",$E923=""),"",MAX($E923-$E924,0))</f>
        <v>0</v>
      </c>
      <c r="N924">
        <f>IF(COUNT($E$2:$E924)&lt;15,"",IF(AVERAGE($M$911:$M$924)=0,100,100-100/(1+AVERAGE($L$911:$L$924)/AVERAGE($M$911:$M$924))))</f>
        <v>0</v>
      </c>
      <c r="O924">
        <f>IF($E924="","",IF($E923="",$E924,$E924*0.1538461538+O923*0.8461538462))</f>
        <v>0</v>
      </c>
      <c r="P924">
        <f>IF($E924="","",IF($E923="",$E924,$E924*0.0740740741+P923*0.9259259259))</f>
        <v>0</v>
      </c>
      <c r="Q924">
        <f>IF(OR(O924="",P924=""),"",O924-P924)</f>
        <v>0</v>
      </c>
      <c r="R924">
        <f>IF(Q924="","",IF(R923="",Q924,Q924*0.2000000000+R923*0.8000000000))</f>
        <v>0</v>
      </c>
      <c r="S924">
        <f>IF(OR(Q924="",R924=""),"",Q924-R924)</f>
        <v>0</v>
      </c>
      <c r="T924">
        <f>IF(COUNT($E$2:$E924)&lt;14,"",MAX($C$911:$C$924))</f>
        <v>0</v>
      </c>
      <c r="U924">
        <f>IF(COUNT($E$2:$E924)&lt;14,"",MIN($D$911:$D$924))</f>
        <v>0</v>
      </c>
      <c r="V924">
        <f>IF(OR(T924="",U924="",T924=U924),"",100*($E924-U924)/(T924-U924))</f>
        <v>0</v>
      </c>
      <c r="W924">
        <f>IF(COUNT($V$922:$V$924)&lt;3,"",AVERAGE($V$922:$V$924))</f>
        <v>0</v>
      </c>
      <c r="X924">
        <f>IF(COUNT($N$911:$N$924)&lt;14,"",MIN($N$911:$N$924))</f>
        <v>0</v>
      </c>
      <c r="Y924">
        <f>IF(COUNT($N$911:$N$924)&lt;14,"",MAX($N$911:$N$924))</f>
        <v>0</v>
      </c>
      <c r="Z924">
        <f>IF(OR(N924="",X924="",Y924="",Y924=X924),"",100*(N924-X924)/(Y924-X924))</f>
        <v>0</v>
      </c>
      <c r="AA924">
        <f>IF(COUNT($Z$922:$Z$924)&lt;3,"",AVERAGE($Z$922:$Z$924))</f>
        <v>0</v>
      </c>
      <c r="AB924">
        <f>IF(COUNT($AA$922:$AA$924)&lt;3,"",AVERAGE($AA$922:$AA$924))</f>
        <v>0</v>
      </c>
      <c r="AC924">
        <f>IF($E924="","",MAX($C924-$D924,ABS($C924-$E923),ABS($D924-$E923)))</f>
        <v>0</v>
      </c>
      <c r="AD924">
        <f>IF(COUNT($E$2:$E924)&lt;15,"",AVERAGE($AC$911:$AC$924))</f>
        <v>0</v>
      </c>
      <c r="AE924">
        <f>IF(OR($E924="",$E923=""),"",IF(AND(($C924-$C923)&gt;($D923-$D924),($C924-$C923)&gt;0),$C924-$C923,0))</f>
        <v>0</v>
      </c>
      <c r="AF924">
        <f>IF(OR($E924="",$E923=""),"",IF(AND(($D923-$D924)&gt;($C924-$C923),($D923-$D924)&gt;0),$D923-$D924,0))</f>
        <v>0</v>
      </c>
      <c r="AG924">
        <f>IF(COUNT($E$2:$E924)&lt;15,"",IF(SUM($AC$911:$AC$924)=0,0,100*SUM($AE$911:$AE$924)/SUM($AC$911:$AC$924)))</f>
        <v>0</v>
      </c>
      <c r="AH924">
        <f>IF(COUNT($E$2:$E924)&lt;15,"",IF(SUM($AC$911:$AC$924)=0,0,100*SUM($AF$911:$AF$924)/SUM($AC$911:$AC$924)))</f>
        <v>0</v>
      </c>
      <c r="AI924">
        <f>IF(OR(AG924="",AH924=""),"",IF((AG924+AH924)=0,0,100*ABS(AG924-AH924)/(AG924+AH924)))</f>
        <v>0</v>
      </c>
      <c r="AJ924">
        <f>IF(COUNT($AI$911:$AI$924)&lt;14,"",AVERAGE($AI$911:$AI$924))</f>
        <v>0</v>
      </c>
      <c r="AK924">
        <f>IF(COUNT($E$2:$E924)&lt;20,"",AVERAGE($E$905:$E$924))</f>
        <v>0</v>
      </c>
      <c r="AL924">
        <f>IF(COUNT($E$2:$E924)&lt;20,"",STDEVP($E$905:$E$924))</f>
        <v>0</v>
      </c>
      <c r="AM924">
        <f>IF(AK924="","",AK924+2*AL924)</f>
        <v>0</v>
      </c>
      <c r="AN924">
        <f>IF(AK924="","",AK924-2*AL924)</f>
        <v>0</v>
      </c>
      <c r="AO924">
        <f>IF(OR(AM924="",AN924="",AM924=AN924),"",($E924-AN924)/(AM924-AN924))</f>
        <v>0</v>
      </c>
      <c r="AP924">
        <f>IF(OR(AM924="",AK924="",AK924=0),"",(AM924-AN924)/AK924)</f>
        <v>0</v>
      </c>
      <c r="AQ924">
        <f>IF(COUNT($E$2:$E924)&lt;20,"",MAX($C$905:$C$924))</f>
        <v>0</v>
      </c>
      <c r="AR924">
        <f>IF(COUNT($E$2:$E924)&lt;20,"",MIN($D$905:$D$924))</f>
        <v>0</v>
      </c>
      <c r="AS924">
        <f>IF(OR(AQ924="",AR924=""),"",(AQ924+AR924)/2)</f>
        <v>0</v>
      </c>
      <c r="AT924">
        <f>IF(COUNT($G$905:$G$924)&lt;20,"",STDEV($G$905:$G$924)*SQRT(252))</f>
        <v>0</v>
      </c>
      <c r="AU924">
        <f>IF(COUNT($E$2:$E924)&lt;9,"",(MAX($C$916:$C$924)+MIN($D$916:$D$924))/2)</f>
        <v>0</v>
      </c>
      <c r="AV924">
        <f>IF(COUNT($E$2:$E924)&lt;26,"",(MAX($C$899:$C$924)+MIN($D$899:$D$924))/2)</f>
        <v>0</v>
      </c>
      <c r="AW924">
        <f>IF(OR(AU924="",AV924=""),"",(AU924+AV924)/2)</f>
        <v>0</v>
      </c>
      <c r="AX924">
        <f>IF(COUNT($E$2:$E924)&lt;52,"",(MAX($C$873:$C$924)+MIN($D$873:$D$924))/2)</f>
        <v>0</v>
      </c>
      <c r="AY924">
        <f>IF(COUNT($E$2:$E924)&lt;20,"",MAX($C$825:$C$924))</f>
        <v>0</v>
      </c>
      <c r="AZ924">
        <f>IF(COUNT($E$2:$E924)&lt;20,"",MIN($D$825:$D$924))</f>
        <v>0</v>
      </c>
      <c r="BA924">
        <f>IF(COUNT($E$2:$E924)&lt;20,"",SLOPE($E$825:$E$924,$F$825:$F$924))</f>
        <v>0</v>
      </c>
      <c r="BB924">
        <f>IF(COUNT($E$2:$E924)&lt;20,"",INTERCEPT($E$825:$E$924,$F$825:$F$924))</f>
        <v>0</v>
      </c>
      <c r="BC924">
        <f>IF(OR(BA924="",BB924=""),"",BB924+BA924*F924)</f>
        <v>0</v>
      </c>
      <c r="BD924">
        <f>IF(COUNT($E$2:$E924)&lt;20,"",STEYX($E$825:$E$924,$F$825:$F$924))</f>
        <v>0</v>
      </c>
      <c r="BE924">
        <f>IF($E924="","",IF(AND(COUNT($E$925:$E$928)&gt;=4,$C924=MAX($C$920:$C$928)),$C924,""))</f>
        <v>0</v>
      </c>
      <c r="BF924">
        <f>IF($E924="","",IF(AND(COUNT($E$925:$E$928)&gt;=4,$D924=MIN($D$920:$D$928)),$D924,""))</f>
        <v>0</v>
      </c>
      <c r="BG924">
        <f>IF($A924="","",$A924-WEEKDAY($A924,2)+1)</f>
        <v>0</v>
      </c>
      <c r="BH924">
        <f>IF($A924="","",IF($A923="",1,IF(BG924&lt;&gt;BG923,1,0)))</f>
        <v>0</v>
      </c>
      <c r="BI924">
        <f>IF($A924="","",IF($A925="",1,IF(BG925&lt;&gt;BG924,1,0)))</f>
        <v>0</v>
      </c>
      <c r="BJ924">
        <f>IF($A924="","",IF(BH924=1,$B924,BJ923))</f>
        <v>0</v>
      </c>
      <c r="BK924">
        <f>IF($A924="","",IF(BH924=1,$C924,MAX($C924,BK923)))</f>
        <v>0</v>
      </c>
      <c r="BL924">
        <f>IF($A924="","",IF(BH924=1,$D924,MIN($D924,BL923)))</f>
        <v>0</v>
      </c>
      <c r="BM924">
        <f>IF($A924="","",IF(BI924=1,F924,""))</f>
        <v>0</v>
      </c>
      <c r="BN924">
        <f>IF($A924="","",DATE(YEAR($A924),MONTH($A924),1))</f>
        <v>0</v>
      </c>
      <c r="BO924">
        <f>IF($A924="","",IF($A923="",1,IF(BN924&lt;&gt;BN923,1,0)))</f>
        <v>0</v>
      </c>
      <c r="BP924">
        <f>IF($A924="","",IF($A925="",1,IF(BN925&lt;&gt;BN924,1,0)))</f>
        <v>0</v>
      </c>
      <c r="BQ924">
        <f>IF($A924="","",IF(BO924=1,$B924,BQ923))</f>
        <v>0</v>
      </c>
      <c r="BR924">
        <f>IF($A924="","",IF(BO924=1,$C924,MAX($C924,BR923)))</f>
        <v>0</v>
      </c>
      <c r="BS924">
        <f>IF($A924="","",IF(BO924=1,$D924,MIN($D924,BS923)))</f>
        <v>0</v>
      </c>
      <c r="BT924">
        <f>IF($A924="","",IF(BP924=1,F924,""))</f>
        <v>0</v>
      </c>
    </row>
    <row r="925" spans="1:72">
      <c r="A925" s="27">
        <f>IF(Data!$A925="","",Data!$A925)</f>
        <v>0</v>
      </c>
      <c r="B925">
        <f>IF(Data!$B925="","",Data!$B925)</f>
        <v>0</v>
      </c>
      <c r="C925">
        <f>IF(Data!$C925="","",Data!$C925)</f>
        <v>0</v>
      </c>
      <c r="D925">
        <f>IF(Data!$D925="","",Data!$D925)</f>
        <v>0</v>
      </c>
      <c r="E925">
        <f>IF(Data!$E925="","",Data!$E925)</f>
        <v>0</v>
      </c>
      <c r="F925">
        <f>IF($E925="","",N(F924)+1)</f>
        <v>0</v>
      </c>
      <c r="G925">
        <f>IF(OR($E925="",$E924=""),"",LN($E925/$E924))</f>
        <v>0</v>
      </c>
      <c r="H925">
        <f>IF($E925="","",IF($E924="",$E925,$E925*0.0952380952+H924*0.9047619048))</f>
        <v>0</v>
      </c>
      <c r="I925">
        <f>IF($E925="","",IF($E924="",$E925,$E925*0.0392156863+I924*0.9607843137))</f>
        <v>0</v>
      </c>
      <c r="J925">
        <f>IF($E925="","",IF($E924="",$E925,$E925*0.0198019802+J924*0.9801980198))</f>
        <v>0</v>
      </c>
      <c r="K925">
        <f>IF($E925="","",IF($E924="",$E925,$E925*0.0099502488+K924*0.9900497512))</f>
        <v>0</v>
      </c>
      <c r="L925">
        <f>IF(OR($E925="",$E924=""),"",MAX($E925-$E924,0))</f>
        <v>0</v>
      </c>
      <c r="M925">
        <f>IF(OR($E925="",$E924=""),"",MAX($E924-$E925,0))</f>
        <v>0</v>
      </c>
      <c r="N925">
        <f>IF(COUNT($E$2:$E925)&lt;15,"",IF(AVERAGE($M$912:$M$925)=0,100,100-100/(1+AVERAGE($L$912:$L$925)/AVERAGE($M$912:$M$925))))</f>
        <v>0</v>
      </c>
      <c r="O925">
        <f>IF($E925="","",IF($E924="",$E925,$E925*0.1538461538+O924*0.8461538462))</f>
        <v>0</v>
      </c>
      <c r="P925">
        <f>IF($E925="","",IF($E924="",$E925,$E925*0.0740740741+P924*0.9259259259))</f>
        <v>0</v>
      </c>
      <c r="Q925">
        <f>IF(OR(O925="",P925=""),"",O925-P925)</f>
        <v>0</v>
      </c>
      <c r="R925">
        <f>IF(Q925="","",IF(R924="",Q925,Q925*0.2000000000+R924*0.8000000000))</f>
        <v>0</v>
      </c>
      <c r="S925">
        <f>IF(OR(Q925="",R925=""),"",Q925-R925)</f>
        <v>0</v>
      </c>
      <c r="T925">
        <f>IF(COUNT($E$2:$E925)&lt;14,"",MAX($C$912:$C$925))</f>
        <v>0</v>
      </c>
      <c r="U925">
        <f>IF(COUNT($E$2:$E925)&lt;14,"",MIN($D$912:$D$925))</f>
        <v>0</v>
      </c>
      <c r="V925">
        <f>IF(OR(T925="",U925="",T925=U925),"",100*($E925-U925)/(T925-U925))</f>
        <v>0</v>
      </c>
      <c r="W925">
        <f>IF(COUNT($V$923:$V$925)&lt;3,"",AVERAGE($V$923:$V$925))</f>
        <v>0</v>
      </c>
      <c r="X925">
        <f>IF(COUNT($N$912:$N$925)&lt;14,"",MIN($N$912:$N$925))</f>
        <v>0</v>
      </c>
      <c r="Y925">
        <f>IF(COUNT($N$912:$N$925)&lt;14,"",MAX($N$912:$N$925))</f>
        <v>0</v>
      </c>
      <c r="Z925">
        <f>IF(OR(N925="",X925="",Y925="",Y925=X925),"",100*(N925-X925)/(Y925-X925))</f>
        <v>0</v>
      </c>
      <c r="AA925">
        <f>IF(COUNT($Z$923:$Z$925)&lt;3,"",AVERAGE($Z$923:$Z$925))</f>
        <v>0</v>
      </c>
      <c r="AB925">
        <f>IF(COUNT($AA$923:$AA$925)&lt;3,"",AVERAGE($AA$923:$AA$925))</f>
        <v>0</v>
      </c>
      <c r="AC925">
        <f>IF($E925="","",MAX($C925-$D925,ABS($C925-$E924),ABS($D925-$E924)))</f>
        <v>0</v>
      </c>
      <c r="AD925">
        <f>IF(COUNT($E$2:$E925)&lt;15,"",AVERAGE($AC$912:$AC$925))</f>
        <v>0</v>
      </c>
      <c r="AE925">
        <f>IF(OR($E925="",$E924=""),"",IF(AND(($C925-$C924)&gt;($D924-$D925),($C925-$C924)&gt;0),$C925-$C924,0))</f>
        <v>0</v>
      </c>
      <c r="AF925">
        <f>IF(OR($E925="",$E924=""),"",IF(AND(($D924-$D925)&gt;($C925-$C924),($D924-$D925)&gt;0),$D924-$D925,0))</f>
        <v>0</v>
      </c>
      <c r="AG925">
        <f>IF(COUNT($E$2:$E925)&lt;15,"",IF(SUM($AC$912:$AC$925)=0,0,100*SUM($AE$912:$AE$925)/SUM($AC$912:$AC$925)))</f>
        <v>0</v>
      </c>
      <c r="AH925">
        <f>IF(COUNT($E$2:$E925)&lt;15,"",IF(SUM($AC$912:$AC$925)=0,0,100*SUM($AF$912:$AF$925)/SUM($AC$912:$AC$925)))</f>
        <v>0</v>
      </c>
      <c r="AI925">
        <f>IF(OR(AG925="",AH925=""),"",IF((AG925+AH925)=0,0,100*ABS(AG925-AH925)/(AG925+AH925)))</f>
        <v>0</v>
      </c>
      <c r="AJ925">
        <f>IF(COUNT($AI$912:$AI$925)&lt;14,"",AVERAGE($AI$912:$AI$925))</f>
        <v>0</v>
      </c>
      <c r="AK925">
        <f>IF(COUNT($E$2:$E925)&lt;20,"",AVERAGE($E$906:$E$925))</f>
        <v>0</v>
      </c>
      <c r="AL925">
        <f>IF(COUNT($E$2:$E925)&lt;20,"",STDEVP($E$906:$E$925))</f>
        <v>0</v>
      </c>
      <c r="AM925">
        <f>IF(AK925="","",AK925+2*AL925)</f>
        <v>0</v>
      </c>
      <c r="AN925">
        <f>IF(AK925="","",AK925-2*AL925)</f>
        <v>0</v>
      </c>
      <c r="AO925">
        <f>IF(OR(AM925="",AN925="",AM925=AN925),"",($E925-AN925)/(AM925-AN925))</f>
        <v>0</v>
      </c>
      <c r="AP925">
        <f>IF(OR(AM925="",AK925="",AK925=0),"",(AM925-AN925)/AK925)</f>
        <v>0</v>
      </c>
      <c r="AQ925">
        <f>IF(COUNT($E$2:$E925)&lt;20,"",MAX($C$906:$C$925))</f>
        <v>0</v>
      </c>
      <c r="AR925">
        <f>IF(COUNT($E$2:$E925)&lt;20,"",MIN($D$906:$D$925))</f>
        <v>0</v>
      </c>
      <c r="AS925">
        <f>IF(OR(AQ925="",AR925=""),"",(AQ925+AR925)/2)</f>
        <v>0</v>
      </c>
      <c r="AT925">
        <f>IF(COUNT($G$906:$G$925)&lt;20,"",STDEV($G$906:$G$925)*SQRT(252))</f>
        <v>0</v>
      </c>
      <c r="AU925">
        <f>IF(COUNT($E$2:$E925)&lt;9,"",(MAX($C$917:$C$925)+MIN($D$917:$D$925))/2)</f>
        <v>0</v>
      </c>
      <c r="AV925">
        <f>IF(COUNT($E$2:$E925)&lt;26,"",(MAX($C$900:$C$925)+MIN($D$900:$D$925))/2)</f>
        <v>0</v>
      </c>
      <c r="AW925">
        <f>IF(OR(AU925="",AV925=""),"",(AU925+AV925)/2)</f>
        <v>0</v>
      </c>
      <c r="AX925">
        <f>IF(COUNT($E$2:$E925)&lt;52,"",(MAX($C$874:$C$925)+MIN($D$874:$D$925))/2)</f>
        <v>0</v>
      </c>
      <c r="AY925">
        <f>IF(COUNT($E$2:$E925)&lt;20,"",MAX($C$826:$C$925))</f>
        <v>0</v>
      </c>
      <c r="AZ925">
        <f>IF(COUNT($E$2:$E925)&lt;20,"",MIN($D$826:$D$925))</f>
        <v>0</v>
      </c>
      <c r="BA925">
        <f>IF(COUNT($E$2:$E925)&lt;20,"",SLOPE($E$826:$E$925,$F$826:$F$925))</f>
        <v>0</v>
      </c>
      <c r="BB925">
        <f>IF(COUNT($E$2:$E925)&lt;20,"",INTERCEPT($E$826:$E$925,$F$826:$F$925))</f>
        <v>0</v>
      </c>
      <c r="BC925">
        <f>IF(OR(BA925="",BB925=""),"",BB925+BA925*F925)</f>
        <v>0</v>
      </c>
      <c r="BD925">
        <f>IF(COUNT($E$2:$E925)&lt;20,"",STEYX($E$826:$E$925,$F$826:$F$925))</f>
        <v>0</v>
      </c>
      <c r="BE925">
        <f>IF($E925="","",IF(AND(COUNT($E$926:$E$929)&gt;=4,$C925=MAX($C$921:$C$929)),$C925,""))</f>
        <v>0</v>
      </c>
      <c r="BF925">
        <f>IF($E925="","",IF(AND(COUNT($E$926:$E$929)&gt;=4,$D925=MIN($D$921:$D$929)),$D925,""))</f>
        <v>0</v>
      </c>
      <c r="BG925">
        <f>IF($A925="","",$A925-WEEKDAY($A925,2)+1)</f>
        <v>0</v>
      </c>
      <c r="BH925">
        <f>IF($A925="","",IF($A924="",1,IF(BG925&lt;&gt;BG924,1,0)))</f>
        <v>0</v>
      </c>
      <c r="BI925">
        <f>IF($A925="","",IF($A926="",1,IF(BG926&lt;&gt;BG925,1,0)))</f>
        <v>0</v>
      </c>
      <c r="BJ925">
        <f>IF($A925="","",IF(BH925=1,$B925,BJ924))</f>
        <v>0</v>
      </c>
      <c r="BK925">
        <f>IF($A925="","",IF(BH925=1,$C925,MAX($C925,BK924)))</f>
        <v>0</v>
      </c>
      <c r="BL925">
        <f>IF($A925="","",IF(BH925=1,$D925,MIN($D925,BL924)))</f>
        <v>0</v>
      </c>
      <c r="BM925">
        <f>IF($A925="","",IF(BI925=1,F925,""))</f>
        <v>0</v>
      </c>
      <c r="BN925">
        <f>IF($A925="","",DATE(YEAR($A925),MONTH($A925),1))</f>
        <v>0</v>
      </c>
      <c r="BO925">
        <f>IF($A925="","",IF($A924="",1,IF(BN925&lt;&gt;BN924,1,0)))</f>
        <v>0</v>
      </c>
      <c r="BP925">
        <f>IF($A925="","",IF($A926="",1,IF(BN926&lt;&gt;BN925,1,0)))</f>
        <v>0</v>
      </c>
      <c r="BQ925">
        <f>IF($A925="","",IF(BO925=1,$B925,BQ924))</f>
        <v>0</v>
      </c>
      <c r="BR925">
        <f>IF($A925="","",IF(BO925=1,$C925,MAX($C925,BR924)))</f>
        <v>0</v>
      </c>
      <c r="BS925">
        <f>IF($A925="","",IF(BO925=1,$D925,MIN($D925,BS924)))</f>
        <v>0</v>
      </c>
      <c r="BT925">
        <f>IF($A925="","",IF(BP925=1,F925,""))</f>
        <v>0</v>
      </c>
    </row>
    <row r="926" spans="1:72">
      <c r="A926" s="27">
        <f>IF(Data!$A926="","",Data!$A926)</f>
        <v>0</v>
      </c>
      <c r="B926">
        <f>IF(Data!$B926="","",Data!$B926)</f>
        <v>0</v>
      </c>
      <c r="C926">
        <f>IF(Data!$C926="","",Data!$C926)</f>
        <v>0</v>
      </c>
      <c r="D926">
        <f>IF(Data!$D926="","",Data!$D926)</f>
        <v>0</v>
      </c>
      <c r="E926">
        <f>IF(Data!$E926="","",Data!$E926)</f>
        <v>0</v>
      </c>
      <c r="F926">
        <f>IF($E926="","",N(F925)+1)</f>
        <v>0</v>
      </c>
      <c r="G926">
        <f>IF(OR($E926="",$E925=""),"",LN($E926/$E925))</f>
        <v>0</v>
      </c>
      <c r="H926">
        <f>IF($E926="","",IF($E925="",$E926,$E926*0.0952380952+H925*0.9047619048))</f>
        <v>0</v>
      </c>
      <c r="I926">
        <f>IF($E926="","",IF($E925="",$E926,$E926*0.0392156863+I925*0.9607843137))</f>
        <v>0</v>
      </c>
      <c r="J926">
        <f>IF($E926="","",IF($E925="",$E926,$E926*0.0198019802+J925*0.9801980198))</f>
        <v>0</v>
      </c>
      <c r="K926">
        <f>IF($E926="","",IF($E925="",$E926,$E926*0.0099502488+K925*0.9900497512))</f>
        <v>0</v>
      </c>
      <c r="L926">
        <f>IF(OR($E926="",$E925=""),"",MAX($E926-$E925,0))</f>
        <v>0</v>
      </c>
      <c r="M926">
        <f>IF(OR($E926="",$E925=""),"",MAX($E925-$E926,0))</f>
        <v>0</v>
      </c>
      <c r="N926">
        <f>IF(COUNT($E$2:$E926)&lt;15,"",IF(AVERAGE($M$913:$M$926)=0,100,100-100/(1+AVERAGE($L$913:$L$926)/AVERAGE($M$913:$M$926))))</f>
        <v>0</v>
      </c>
      <c r="O926">
        <f>IF($E926="","",IF($E925="",$E926,$E926*0.1538461538+O925*0.8461538462))</f>
        <v>0</v>
      </c>
      <c r="P926">
        <f>IF($E926="","",IF($E925="",$E926,$E926*0.0740740741+P925*0.9259259259))</f>
        <v>0</v>
      </c>
      <c r="Q926">
        <f>IF(OR(O926="",P926=""),"",O926-P926)</f>
        <v>0</v>
      </c>
      <c r="R926">
        <f>IF(Q926="","",IF(R925="",Q926,Q926*0.2000000000+R925*0.8000000000))</f>
        <v>0</v>
      </c>
      <c r="S926">
        <f>IF(OR(Q926="",R926=""),"",Q926-R926)</f>
        <v>0</v>
      </c>
      <c r="T926">
        <f>IF(COUNT($E$2:$E926)&lt;14,"",MAX($C$913:$C$926))</f>
        <v>0</v>
      </c>
      <c r="U926">
        <f>IF(COUNT($E$2:$E926)&lt;14,"",MIN($D$913:$D$926))</f>
        <v>0</v>
      </c>
      <c r="V926">
        <f>IF(OR(T926="",U926="",T926=U926),"",100*($E926-U926)/(T926-U926))</f>
        <v>0</v>
      </c>
      <c r="W926">
        <f>IF(COUNT($V$924:$V$926)&lt;3,"",AVERAGE($V$924:$V$926))</f>
        <v>0</v>
      </c>
      <c r="X926">
        <f>IF(COUNT($N$913:$N$926)&lt;14,"",MIN($N$913:$N$926))</f>
        <v>0</v>
      </c>
      <c r="Y926">
        <f>IF(COUNT($N$913:$N$926)&lt;14,"",MAX($N$913:$N$926))</f>
        <v>0</v>
      </c>
      <c r="Z926">
        <f>IF(OR(N926="",X926="",Y926="",Y926=X926),"",100*(N926-X926)/(Y926-X926))</f>
        <v>0</v>
      </c>
      <c r="AA926">
        <f>IF(COUNT($Z$924:$Z$926)&lt;3,"",AVERAGE($Z$924:$Z$926))</f>
        <v>0</v>
      </c>
      <c r="AB926">
        <f>IF(COUNT($AA$924:$AA$926)&lt;3,"",AVERAGE($AA$924:$AA$926))</f>
        <v>0</v>
      </c>
      <c r="AC926">
        <f>IF($E926="","",MAX($C926-$D926,ABS($C926-$E925),ABS($D926-$E925)))</f>
        <v>0</v>
      </c>
      <c r="AD926">
        <f>IF(COUNT($E$2:$E926)&lt;15,"",AVERAGE($AC$913:$AC$926))</f>
        <v>0</v>
      </c>
      <c r="AE926">
        <f>IF(OR($E926="",$E925=""),"",IF(AND(($C926-$C925)&gt;($D925-$D926),($C926-$C925)&gt;0),$C926-$C925,0))</f>
        <v>0</v>
      </c>
      <c r="AF926">
        <f>IF(OR($E926="",$E925=""),"",IF(AND(($D925-$D926)&gt;($C926-$C925),($D925-$D926)&gt;0),$D925-$D926,0))</f>
        <v>0</v>
      </c>
      <c r="AG926">
        <f>IF(COUNT($E$2:$E926)&lt;15,"",IF(SUM($AC$913:$AC$926)=0,0,100*SUM($AE$913:$AE$926)/SUM($AC$913:$AC$926)))</f>
        <v>0</v>
      </c>
      <c r="AH926">
        <f>IF(COUNT($E$2:$E926)&lt;15,"",IF(SUM($AC$913:$AC$926)=0,0,100*SUM($AF$913:$AF$926)/SUM($AC$913:$AC$926)))</f>
        <v>0</v>
      </c>
      <c r="AI926">
        <f>IF(OR(AG926="",AH926=""),"",IF((AG926+AH926)=0,0,100*ABS(AG926-AH926)/(AG926+AH926)))</f>
        <v>0</v>
      </c>
      <c r="AJ926">
        <f>IF(COUNT($AI$913:$AI$926)&lt;14,"",AVERAGE($AI$913:$AI$926))</f>
        <v>0</v>
      </c>
      <c r="AK926">
        <f>IF(COUNT($E$2:$E926)&lt;20,"",AVERAGE($E$907:$E$926))</f>
        <v>0</v>
      </c>
      <c r="AL926">
        <f>IF(COUNT($E$2:$E926)&lt;20,"",STDEVP($E$907:$E$926))</f>
        <v>0</v>
      </c>
      <c r="AM926">
        <f>IF(AK926="","",AK926+2*AL926)</f>
        <v>0</v>
      </c>
      <c r="AN926">
        <f>IF(AK926="","",AK926-2*AL926)</f>
        <v>0</v>
      </c>
      <c r="AO926">
        <f>IF(OR(AM926="",AN926="",AM926=AN926),"",($E926-AN926)/(AM926-AN926))</f>
        <v>0</v>
      </c>
      <c r="AP926">
        <f>IF(OR(AM926="",AK926="",AK926=0),"",(AM926-AN926)/AK926)</f>
        <v>0</v>
      </c>
      <c r="AQ926">
        <f>IF(COUNT($E$2:$E926)&lt;20,"",MAX($C$907:$C$926))</f>
        <v>0</v>
      </c>
      <c r="AR926">
        <f>IF(COUNT($E$2:$E926)&lt;20,"",MIN($D$907:$D$926))</f>
        <v>0</v>
      </c>
      <c r="AS926">
        <f>IF(OR(AQ926="",AR926=""),"",(AQ926+AR926)/2)</f>
        <v>0</v>
      </c>
      <c r="AT926">
        <f>IF(COUNT($G$907:$G$926)&lt;20,"",STDEV($G$907:$G$926)*SQRT(252))</f>
        <v>0</v>
      </c>
      <c r="AU926">
        <f>IF(COUNT($E$2:$E926)&lt;9,"",(MAX($C$918:$C$926)+MIN($D$918:$D$926))/2)</f>
        <v>0</v>
      </c>
      <c r="AV926">
        <f>IF(COUNT($E$2:$E926)&lt;26,"",(MAX($C$901:$C$926)+MIN($D$901:$D$926))/2)</f>
        <v>0</v>
      </c>
      <c r="AW926">
        <f>IF(OR(AU926="",AV926=""),"",(AU926+AV926)/2)</f>
        <v>0</v>
      </c>
      <c r="AX926">
        <f>IF(COUNT($E$2:$E926)&lt;52,"",(MAX($C$875:$C$926)+MIN($D$875:$D$926))/2)</f>
        <v>0</v>
      </c>
      <c r="AY926">
        <f>IF(COUNT($E$2:$E926)&lt;20,"",MAX($C$827:$C$926))</f>
        <v>0</v>
      </c>
      <c r="AZ926">
        <f>IF(COUNT($E$2:$E926)&lt;20,"",MIN($D$827:$D$926))</f>
        <v>0</v>
      </c>
      <c r="BA926">
        <f>IF(COUNT($E$2:$E926)&lt;20,"",SLOPE($E$827:$E$926,$F$827:$F$926))</f>
        <v>0</v>
      </c>
      <c r="BB926">
        <f>IF(COUNT($E$2:$E926)&lt;20,"",INTERCEPT($E$827:$E$926,$F$827:$F$926))</f>
        <v>0</v>
      </c>
      <c r="BC926">
        <f>IF(OR(BA926="",BB926=""),"",BB926+BA926*F926)</f>
        <v>0</v>
      </c>
      <c r="BD926">
        <f>IF(COUNT($E$2:$E926)&lt;20,"",STEYX($E$827:$E$926,$F$827:$F$926))</f>
        <v>0</v>
      </c>
      <c r="BE926">
        <f>IF($E926="","",IF(AND(COUNT($E$927:$E$930)&gt;=4,$C926=MAX($C$922:$C$930)),$C926,""))</f>
        <v>0</v>
      </c>
      <c r="BF926">
        <f>IF($E926="","",IF(AND(COUNT($E$927:$E$930)&gt;=4,$D926=MIN($D$922:$D$930)),$D926,""))</f>
        <v>0</v>
      </c>
      <c r="BG926">
        <f>IF($A926="","",$A926-WEEKDAY($A926,2)+1)</f>
        <v>0</v>
      </c>
      <c r="BH926">
        <f>IF($A926="","",IF($A925="",1,IF(BG926&lt;&gt;BG925,1,0)))</f>
        <v>0</v>
      </c>
      <c r="BI926">
        <f>IF($A926="","",IF($A927="",1,IF(BG927&lt;&gt;BG926,1,0)))</f>
        <v>0</v>
      </c>
      <c r="BJ926">
        <f>IF($A926="","",IF(BH926=1,$B926,BJ925))</f>
        <v>0</v>
      </c>
      <c r="BK926">
        <f>IF($A926="","",IF(BH926=1,$C926,MAX($C926,BK925)))</f>
        <v>0</v>
      </c>
      <c r="BL926">
        <f>IF($A926="","",IF(BH926=1,$D926,MIN($D926,BL925)))</f>
        <v>0</v>
      </c>
      <c r="BM926">
        <f>IF($A926="","",IF(BI926=1,F926,""))</f>
        <v>0</v>
      </c>
      <c r="BN926">
        <f>IF($A926="","",DATE(YEAR($A926),MONTH($A926),1))</f>
        <v>0</v>
      </c>
      <c r="BO926">
        <f>IF($A926="","",IF($A925="",1,IF(BN926&lt;&gt;BN925,1,0)))</f>
        <v>0</v>
      </c>
      <c r="BP926">
        <f>IF($A926="","",IF($A927="",1,IF(BN927&lt;&gt;BN926,1,0)))</f>
        <v>0</v>
      </c>
      <c r="BQ926">
        <f>IF($A926="","",IF(BO926=1,$B926,BQ925))</f>
        <v>0</v>
      </c>
      <c r="BR926">
        <f>IF($A926="","",IF(BO926=1,$C926,MAX($C926,BR925)))</f>
        <v>0</v>
      </c>
      <c r="BS926">
        <f>IF($A926="","",IF(BO926=1,$D926,MIN($D926,BS925)))</f>
        <v>0</v>
      </c>
      <c r="BT926">
        <f>IF($A926="","",IF(BP926=1,F926,""))</f>
        <v>0</v>
      </c>
    </row>
    <row r="927" spans="1:72">
      <c r="A927" s="27">
        <f>IF(Data!$A927="","",Data!$A927)</f>
        <v>0</v>
      </c>
      <c r="B927">
        <f>IF(Data!$B927="","",Data!$B927)</f>
        <v>0</v>
      </c>
      <c r="C927">
        <f>IF(Data!$C927="","",Data!$C927)</f>
        <v>0</v>
      </c>
      <c r="D927">
        <f>IF(Data!$D927="","",Data!$D927)</f>
        <v>0</v>
      </c>
      <c r="E927">
        <f>IF(Data!$E927="","",Data!$E927)</f>
        <v>0</v>
      </c>
      <c r="F927">
        <f>IF($E927="","",N(F926)+1)</f>
        <v>0</v>
      </c>
      <c r="G927">
        <f>IF(OR($E927="",$E926=""),"",LN($E927/$E926))</f>
        <v>0</v>
      </c>
      <c r="H927">
        <f>IF($E927="","",IF($E926="",$E927,$E927*0.0952380952+H926*0.9047619048))</f>
        <v>0</v>
      </c>
      <c r="I927">
        <f>IF($E927="","",IF($E926="",$E927,$E927*0.0392156863+I926*0.9607843137))</f>
        <v>0</v>
      </c>
      <c r="J927">
        <f>IF($E927="","",IF($E926="",$E927,$E927*0.0198019802+J926*0.9801980198))</f>
        <v>0</v>
      </c>
      <c r="K927">
        <f>IF($E927="","",IF($E926="",$E927,$E927*0.0099502488+K926*0.9900497512))</f>
        <v>0</v>
      </c>
      <c r="L927">
        <f>IF(OR($E927="",$E926=""),"",MAX($E927-$E926,0))</f>
        <v>0</v>
      </c>
      <c r="M927">
        <f>IF(OR($E927="",$E926=""),"",MAX($E926-$E927,0))</f>
        <v>0</v>
      </c>
      <c r="N927">
        <f>IF(COUNT($E$2:$E927)&lt;15,"",IF(AVERAGE($M$914:$M$927)=0,100,100-100/(1+AVERAGE($L$914:$L$927)/AVERAGE($M$914:$M$927))))</f>
        <v>0</v>
      </c>
      <c r="O927">
        <f>IF($E927="","",IF($E926="",$E927,$E927*0.1538461538+O926*0.8461538462))</f>
        <v>0</v>
      </c>
      <c r="P927">
        <f>IF($E927="","",IF($E926="",$E927,$E927*0.0740740741+P926*0.9259259259))</f>
        <v>0</v>
      </c>
      <c r="Q927">
        <f>IF(OR(O927="",P927=""),"",O927-P927)</f>
        <v>0</v>
      </c>
      <c r="R927">
        <f>IF(Q927="","",IF(R926="",Q927,Q927*0.2000000000+R926*0.8000000000))</f>
        <v>0</v>
      </c>
      <c r="S927">
        <f>IF(OR(Q927="",R927=""),"",Q927-R927)</f>
        <v>0</v>
      </c>
      <c r="T927">
        <f>IF(COUNT($E$2:$E927)&lt;14,"",MAX($C$914:$C$927))</f>
        <v>0</v>
      </c>
      <c r="U927">
        <f>IF(COUNT($E$2:$E927)&lt;14,"",MIN($D$914:$D$927))</f>
        <v>0</v>
      </c>
      <c r="V927">
        <f>IF(OR(T927="",U927="",T927=U927),"",100*($E927-U927)/(T927-U927))</f>
        <v>0</v>
      </c>
      <c r="W927">
        <f>IF(COUNT($V$925:$V$927)&lt;3,"",AVERAGE($V$925:$V$927))</f>
        <v>0</v>
      </c>
      <c r="X927">
        <f>IF(COUNT($N$914:$N$927)&lt;14,"",MIN($N$914:$N$927))</f>
        <v>0</v>
      </c>
      <c r="Y927">
        <f>IF(COUNT($N$914:$N$927)&lt;14,"",MAX($N$914:$N$927))</f>
        <v>0</v>
      </c>
      <c r="Z927">
        <f>IF(OR(N927="",X927="",Y927="",Y927=X927),"",100*(N927-X927)/(Y927-X927))</f>
        <v>0</v>
      </c>
      <c r="AA927">
        <f>IF(COUNT($Z$925:$Z$927)&lt;3,"",AVERAGE($Z$925:$Z$927))</f>
        <v>0</v>
      </c>
      <c r="AB927">
        <f>IF(COUNT($AA$925:$AA$927)&lt;3,"",AVERAGE($AA$925:$AA$927))</f>
        <v>0</v>
      </c>
      <c r="AC927">
        <f>IF($E927="","",MAX($C927-$D927,ABS($C927-$E926),ABS($D927-$E926)))</f>
        <v>0</v>
      </c>
      <c r="AD927">
        <f>IF(COUNT($E$2:$E927)&lt;15,"",AVERAGE($AC$914:$AC$927))</f>
        <v>0</v>
      </c>
      <c r="AE927">
        <f>IF(OR($E927="",$E926=""),"",IF(AND(($C927-$C926)&gt;($D926-$D927),($C927-$C926)&gt;0),$C927-$C926,0))</f>
        <v>0</v>
      </c>
      <c r="AF927">
        <f>IF(OR($E927="",$E926=""),"",IF(AND(($D926-$D927)&gt;($C927-$C926),($D926-$D927)&gt;0),$D926-$D927,0))</f>
        <v>0</v>
      </c>
      <c r="AG927">
        <f>IF(COUNT($E$2:$E927)&lt;15,"",IF(SUM($AC$914:$AC$927)=0,0,100*SUM($AE$914:$AE$927)/SUM($AC$914:$AC$927)))</f>
        <v>0</v>
      </c>
      <c r="AH927">
        <f>IF(COUNT($E$2:$E927)&lt;15,"",IF(SUM($AC$914:$AC$927)=0,0,100*SUM($AF$914:$AF$927)/SUM($AC$914:$AC$927)))</f>
        <v>0</v>
      </c>
      <c r="AI927">
        <f>IF(OR(AG927="",AH927=""),"",IF((AG927+AH927)=0,0,100*ABS(AG927-AH927)/(AG927+AH927)))</f>
        <v>0</v>
      </c>
      <c r="AJ927">
        <f>IF(COUNT($AI$914:$AI$927)&lt;14,"",AVERAGE($AI$914:$AI$927))</f>
        <v>0</v>
      </c>
      <c r="AK927">
        <f>IF(COUNT($E$2:$E927)&lt;20,"",AVERAGE($E$908:$E$927))</f>
        <v>0</v>
      </c>
      <c r="AL927">
        <f>IF(COUNT($E$2:$E927)&lt;20,"",STDEVP($E$908:$E$927))</f>
        <v>0</v>
      </c>
      <c r="AM927">
        <f>IF(AK927="","",AK927+2*AL927)</f>
        <v>0</v>
      </c>
      <c r="AN927">
        <f>IF(AK927="","",AK927-2*AL927)</f>
        <v>0</v>
      </c>
      <c r="AO927">
        <f>IF(OR(AM927="",AN927="",AM927=AN927),"",($E927-AN927)/(AM927-AN927))</f>
        <v>0</v>
      </c>
      <c r="AP927">
        <f>IF(OR(AM927="",AK927="",AK927=0),"",(AM927-AN927)/AK927)</f>
        <v>0</v>
      </c>
      <c r="AQ927">
        <f>IF(COUNT($E$2:$E927)&lt;20,"",MAX($C$908:$C$927))</f>
        <v>0</v>
      </c>
      <c r="AR927">
        <f>IF(COUNT($E$2:$E927)&lt;20,"",MIN($D$908:$D$927))</f>
        <v>0</v>
      </c>
      <c r="AS927">
        <f>IF(OR(AQ927="",AR927=""),"",(AQ927+AR927)/2)</f>
        <v>0</v>
      </c>
      <c r="AT927">
        <f>IF(COUNT($G$908:$G$927)&lt;20,"",STDEV($G$908:$G$927)*SQRT(252))</f>
        <v>0</v>
      </c>
      <c r="AU927">
        <f>IF(COUNT($E$2:$E927)&lt;9,"",(MAX($C$919:$C$927)+MIN($D$919:$D$927))/2)</f>
        <v>0</v>
      </c>
      <c r="AV927">
        <f>IF(COUNT($E$2:$E927)&lt;26,"",(MAX($C$902:$C$927)+MIN($D$902:$D$927))/2)</f>
        <v>0</v>
      </c>
      <c r="AW927">
        <f>IF(OR(AU927="",AV927=""),"",(AU927+AV927)/2)</f>
        <v>0</v>
      </c>
      <c r="AX927">
        <f>IF(COUNT($E$2:$E927)&lt;52,"",(MAX($C$876:$C$927)+MIN($D$876:$D$927))/2)</f>
        <v>0</v>
      </c>
      <c r="AY927">
        <f>IF(COUNT($E$2:$E927)&lt;20,"",MAX($C$828:$C$927))</f>
        <v>0</v>
      </c>
      <c r="AZ927">
        <f>IF(COUNT($E$2:$E927)&lt;20,"",MIN($D$828:$D$927))</f>
        <v>0</v>
      </c>
      <c r="BA927">
        <f>IF(COUNT($E$2:$E927)&lt;20,"",SLOPE($E$828:$E$927,$F$828:$F$927))</f>
        <v>0</v>
      </c>
      <c r="BB927">
        <f>IF(COUNT($E$2:$E927)&lt;20,"",INTERCEPT($E$828:$E$927,$F$828:$F$927))</f>
        <v>0</v>
      </c>
      <c r="BC927">
        <f>IF(OR(BA927="",BB927=""),"",BB927+BA927*F927)</f>
        <v>0</v>
      </c>
      <c r="BD927">
        <f>IF(COUNT($E$2:$E927)&lt;20,"",STEYX($E$828:$E$927,$F$828:$F$927))</f>
        <v>0</v>
      </c>
      <c r="BE927">
        <f>IF($E927="","",IF(AND(COUNT($E$928:$E$931)&gt;=4,$C927=MAX($C$923:$C$931)),$C927,""))</f>
        <v>0</v>
      </c>
      <c r="BF927">
        <f>IF($E927="","",IF(AND(COUNT($E$928:$E$931)&gt;=4,$D927=MIN($D$923:$D$931)),$D927,""))</f>
        <v>0</v>
      </c>
      <c r="BG927">
        <f>IF($A927="","",$A927-WEEKDAY($A927,2)+1)</f>
        <v>0</v>
      </c>
      <c r="BH927">
        <f>IF($A927="","",IF($A926="",1,IF(BG927&lt;&gt;BG926,1,0)))</f>
        <v>0</v>
      </c>
      <c r="BI927">
        <f>IF($A927="","",IF($A928="",1,IF(BG928&lt;&gt;BG927,1,0)))</f>
        <v>0</v>
      </c>
      <c r="BJ927">
        <f>IF($A927="","",IF(BH927=1,$B927,BJ926))</f>
        <v>0</v>
      </c>
      <c r="BK927">
        <f>IF($A927="","",IF(BH927=1,$C927,MAX($C927,BK926)))</f>
        <v>0</v>
      </c>
      <c r="BL927">
        <f>IF($A927="","",IF(BH927=1,$D927,MIN($D927,BL926)))</f>
        <v>0</v>
      </c>
      <c r="BM927">
        <f>IF($A927="","",IF(BI927=1,F927,""))</f>
        <v>0</v>
      </c>
      <c r="BN927">
        <f>IF($A927="","",DATE(YEAR($A927),MONTH($A927),1))</f>
        <v>0</v>
      </c>
      <c r="BO927">
        <f>IF($A927="","",IF($A926="",1,IF(BN927&lt;&gt;BN926,1,0)))</f>
        <v>0</v>
      </c>
      <c r="BP927">
        <f>IF($A927="","",IF($A928="",1,IF(BN928&lt;&gt;BN927,1,0)))</f>
        <v>0</v>
      </c>
      <c r="BQ927">
        <f>IF($A927="","",IF(BO927=1,$B927,BQ926))</f>
        <v>0</v>
      </c>
      <c r="BR927">
        <f>IF($A927="","",IF(BO927=1,$C927,MAX($C927,BR926)))</f>
        <v>0</v>
      </c>
      <c r="BS927">
        <f>IF($A927="","",IF(BO927=1,$D927,MIN($D927,BS926)))</f>
        <v>0</v>
      </c>
      <c r="BT927">
        <f>IF($A927="","",IF(BP927=1,F927,""))</f>
        <v>0</v>
      </c>
    </row>
    <row r="928" spans="1:72">
      <c r="A928" s="27">
        <f>IF(Data!$A928="","",Data!$A928)</f>
        <v>0</v>
      </c>
      <c r="B928">
        <f>IF(Data!$B928="","",Data!$B928)</f>
        <v>0</v>
      </c>
      <c r="C928">
        <f>IF(Data!$C928="","",Data!$C928)</f>
        <v>0</v>
      </c>
      <c r="D928">
        <f>IF(Data!$D928="","",Data!$D928)</f>
        <v>0</v>
      </c>
      <c r="E928">
        <f>IF(Data!$E928="","",Data!$E928)</f>
        <v>0</v>
      </c>
      <c r="F928">
        <f>IF($E928="","",N(F927)+1)</f>
        <v>0</v>
      </c>
      <c r="G928">
        <f>IF(OR($E928="",$E927=""),"",LN($E928/$E927))</f>
        <v>0</v>
      </c>
      <c r="H928">
        <f>IF($E928="","",IF($E927="",$E928,$E928*0.0952380952+H927*0.9047619048))</f>
        <v>0</v>
      </c>
      <c r="I928">
        <f>IF($E928="","",IF($E927="",$E928,$E928*0.0392156863+I927*0.9607843137))</f>
        <v>0</v>
      </c>
      <c r="J928">
        <f>IF($E928="","",IF($E927="",$E928,$E928*0.0198019802+J927*0.9801980198))</f>
        <v>0</v>
      </c>
      <c r="K928">
        <f>IF($E928="","",IF($E927="",$E928,$E928*0.0099502488+K927*0.9900497512))</f>
        <v>0</v>
      </c>
      <c r="L928">
        <f>IF(OR($E928="",$E927=""),"",MAX($E928-$E927,0))</f>
        <v>0</v>
      </c>
      <c r="M928">
        <f>IF(OR($E928="",$E927=""),"",MAX($E927-$E928,0))</f>
        <v>0</v>
      </c>
      <c r="N928">
        <f>IF(COUNT($E$2:$E928)&lt;15,"",IF(AVERAGE($M$915:$M$928)=0,100,100-100/(1+AVERAGE($L$915:$L$928)/AVERAGE($M$915:$M$928))))</f>
        <v>0</v>
      </c>
      <c r="O928">
        <f>IF($E928="","",IF($E927="",$E928,$E928*0.1538461538+O927*0.8461538462))</f>
        <v>0</v>
      </c>
      <c r="P928">
        <f>IF($E928="","",IF($E927="",$E928,$E928*0.0740740741+P927*0.9259259259))</f>
        <v>0</v>
      </c>
      <c r="Q928">
        <f>IF(OR(O928="",P928=""),"",O928-P928)</f>
        <v>0</v>
      </c>
      <c r="R928">
        <f>IF(Q928="","",IF(R927="",Q928,Q928*0.2000000000+R927*0.8000000000))</f>
        <v>0</v>
      </c>
      <c r="S928">
        <f>IF(OR(Q928="",R928=""),"",Q928-R928)</f>
        <v>0</v>
      </c>
      <c r="T928">
        <f>IF(COUNT($E$2:$E928)&lt;14,"",MAX($C$915:$C$928))</f>
        <v>0</v>
      </c>
      <c r="U928">
        <f>IF(COUNT($E$2:$E928)&lt;14,"",MIN($D$915:$D$928))</f>
        <v>0</v>
      </c>
      <c r="V928">
        <f>IF(OR(T928="",U928="",T928=U928),"",100*($E928-U928)/(T928-U928))</f>
        <v>0</v>
      </c>
      <c r="W928">
        <f>IF(COUNT($V$926:$V$928)&lt;3,"",AVERAGE($V$926:$V$928))</f>
        <v>0</v>
      </c>
      <c r="X928">
        <f>IF(COUNT($N$915:$N$928)&lt;14,"",MIN($N$915:$N$928))</f>
        <v>0</v>
      </c>
      <c r="Y928">
        <f>IF(COUNT($N$915:$N$928)&lt;14,"",MAX($N$915:$N$928))</f>
        <v>0</v>
      </c>
      <c r="Z928">
        <f>IF(OR(N928="",X928="",Y928="",Y928=X928),"",100*(N928-X928)/(Y928-X928))</f>
        <v>0</v>
      </c>
      <c r="AA928">
        <f>IF(COUNT($Z$926:$Z$928)&lt;3,"",AVERAGE($Z$926:$Z$928))</f>
        <v>0</v>
      </c>
      <c r="AB928">
        <f>IF(COUNT($AA$926:$AA$928)&lt;3,"",AVERAGE($AA$926:$AA$928))</f>
        <v>0</v>
      </c>
      <c r="AC928">
        <f>IF($E928="","",MAX($C928-$D928,ABS($C928-$E927),ABS($D928-$E927)))</f>
        <v>0</v>
      </c>
      <c r="AD928">
        <f>IF(COUNT($E$2:$E928)&lt;15,"",AVERAGE($AC$915:$AC$928))</f>
        <v>0</v>
      </c>
      <c r="AE928">
        <f>IF(OR($E928="",$E927=""),"",IF(AND(($C928-$C927)&gt;($D927-$D928),($C928-$C927)&gt;0),$C928-$C927,0))</f>
        <v>0</v>
      </c>
      <c r="AF928">
        <f>IF(OR($E928="",$E927=""),"",IF(AND(($D927-$D928)&gt;($C928-$C927),($D927-$D928)&gt;0),$D927-$D928,0))</f>
        <v>0</v>
      </c>
      <c r="AG928">
        <f>IF(COUNT($E$2:$E928)&lt;15,"",IF(SUM($AC$915:$AC$928)=0,0,100*SUM($AE$915:$AE$928)/SUM($AC$915:$AC$928)))</f>
        <v>0</v>
      </c>
      <c r="AH928">
        <f>IF(COUNT($E$2:$E928)&lt;15,"",IF(SUM($AC$915:$AC$928)=0,0,100*SUM($AF$915:$AF$928)/SUM($AC$915:$AC$928)))</f>
        <v>0</v>
      </c>
      <c r="AI928">
        <f>IF(OR(AG928="",AH928=""),"",IF((AG928+AH928)=0,0,100*ABS(AG928-AH928)/(AG928+AH928)))</f>
        <v>0</v>
      </c>
      <c r="AJ928">
        <f>IF(COUNT($AI$915:$AI$928)&lt;14,"",AVERAGE($AI$915:$AI$928))</f>
        <v>0</v>
      </c>
      <c r="AK928">
        <f>IF(COUNT($E$2:$E928)&lt;20,"",AVERAGE($E$909:$E$928))</f>
        <v>0</v>
      </c>
      <c r="AL928">
        <f>IF(COUNT($E$2:$E928)&lt;20,"",STDEVP($E$909:$E$928))</f>
        <v>0</v>
      </c>
      <c r="AM928">
        <f>IF(AK928="","",AK928+2*AL928)</f>
        <v>0</v>
      </c>
      <c r="AN928">
        <f>IF(AK928="","",AK928-2*AL928)</f>
        <v>0</v>
      </c>
      <c r="AO928">
        <f>IF(OR(AM928="",AN928="",AM928=AN928),"",($E928-AN928)/(AM928-AN928))</f>
        <v>0</v>
      </c>
      <c r="AP928">
        <f>IF(OR(AM928="",AK928="",AK928=0),"",(AM928-AN928)/AK928)</f>
        <v>0</v>
      </c>
      <c r="AQ928">
        <f>IF(COUNT($E$2:$E928)&lt;20,"",MAX($C$909:$C$928))</f>
        <v>0</v>
      </c>
      <c r="AR928">
        <f>IF(COUNT($E$2:$E928)&lt;20,"",MIN($D$909:$D$928))</f>
        <v>0</v>
      </c>
      <c r="AS928">
        <f>IF(OR(AQ928="",AR928=""),"",(AQ928+AR928)/2)</f>
        <v>0</v>
      </c>
      <c r="AT928">
        <f>IF(COUNT($G$909:$G$928)&lt;20,"",STDEV($G$909:$G$928)*SQRT(252))</f>
        <v>0</v>
      </c>
      <c r="AU928">
        <f>IF(COUNT($E$2:$E928)&lt;9,"",(MAX($C$920:$C$928)+MIN($D$920:$D$928))/2)</f>
        <v>0</v>
      </c>
      <c r="AV928">
        <f>IF(COUNT($E$2:$E928)&lt;26,"",(MAX($C$903:$C$928)+MIN($D$903:$D$928))/2)</f>
        <v>0</v>
      </c>
      <c r="AW928">
        <f>IF(OR(AU928="",AV928=""),"",(AU928+AV928)/2)</f>
        <v>0</v>
      </c>
      <c r="AX928">
        <f>IF(COUNT($E$2:$E928)&lt;52,"",(MAX($C$877:$C$928)+MIN($D$877:$D$928))/2)</f>
        <v>0</v>
      </c>
      <c r="AY928">
        <f>IF(COUNT($E$2:$E928)&lt;20,"",MAX($C$829:$C$928))</f>
        <v>0</v>
      </c>
      <c r="AZ928">
        <f>IF(COUNT($E$2:$E928)&lt;20,"",MIN($D$829:$D$928))</f>
        <v>0</v>
      </c>
      <c r="BA928">
        <f>IF(COUNT($E$2:$E928)&lt;20,"",SLOPE($E$829:$E$928,$F$829:$F$928))</f>
        <v>0</v>
      </c>
      <c r="BB928">
        <f>IF(COUNT($E$2:$E928)&lt;20,"",INTERCEPT($E$829:$E$928,$F$829:$F$928))</f>
        <v>0</v>
      </c>
      <c r="BC928">
        <f>IF(OR(BA928="",BB928=""),"",BB928+BA928*F928)</f>
        <v>0</v>
      </c>
      <c r="BD928">
        <f>IF(COUNT($E$2:$E928)&lt;20,"",STEYX($E$829:$E$928,$F$829:$F$928))</f>
        <v>0</v>
      </c>
      <c r="BE928">
        <f>IF($E928="","",IF(AND(COUNT($E$929:$E$932)&gt;=4,$C928=MAX($C$924:$C$932)),$C928,""))</f>
        <v>0</v>
      </c>
      <c r="BF928">
        <f>IF($E928="","",IF(AND(COUNT($E$929:$E$932)&gt;=4,$D928=MIN($D$924:$D$932)),$D928,""))</f>
        <v>0</v>
      </c>
      <c r="BG928">
        <f>IF($A928="","",$A928-WEEKDAY($A928,2)+1)</f>
        <v>0</v>
      </c>
      <c r="BH928">
        <f>IF($A928="","",IF($A927="",1,IF(BG928&lt;&gt;BG927,1,0)))</f>
        <v>0</v>
      </c>
      <c r="BI928">
        <f>IF($A928="","",IF($A929="",1,IF(BG929&lt;&gt;BG928,1,0)))</f>
        <v>0</v>
      </c>
      <c r="BJ928">
        <f>IF($A928="","",IF(BH928=1,$B928,BJ927))</f>
        <v>0</v>
      </c>
      <c r="BK928">
        <f>IF($A928="","",IF(BH928=1,$C928,MAX($C928,BK927)))</f>
        <v>0</v>
      </c>
      <c r="BL928">
        <f>IF($A928="","",IF(BH928=1,$D928,MIN($D928,BL927)))</f>
        <v>0</v>
      </c>
      <c r="BM928">
        <f>IF($A928="","",IF(BI928=1,F928,""))</f>
        <v>0</v>
      </c>
      <c r="BN928">
        <f>IF($A928="","",DATE(YEAR($A928),MONTH($A928),1))</f>
        <v>0</v>
      </c>
      <c r="BO928">
        <f>IF($A928="","",IF($A927="",1,IF(BN928&lt;&gt;BN927,1,0)))</f>
        <v>0</v>
      </c>
      <c r="BP928">
        <f>IF($A928="","",IF($A929="",1,IF(BN929&lt;&gt;BN928,1,0)))</f>
        <v>0</v>
      </c>
      <c r="BQ928">
        <f>IF($A928="","",IF(BO928=1,$B928,BQ927))</f>
        <v>0</v>
      </c>
      <c r="BR928">
        <f>IF($A928="","",IF(BO928=1,$C928,MAX($C928,BR927)))</f>
        <v>0</v>
      </c>
      <c r="BS928">
        <f>IF($A928="","",IF(BO928=1,$D928,MIN($D928,BS927)))</f>
        <v>0</v>
      </c>
      <c r="BT928">
        <f>IF($A928="","",IF(BP928=1,F928,""))</f>
        <v>0</v>
      </c>
    </row>
    <row r="929" spans="1:72">
      <c r="A929" s="27">
        <f>IF(Data!$A929="","",Data!$A929)</f>
        <v>0</v>
      </c>
      <c r="B929">
        <f>IF(Data!$B929="","",Data!$B929)</f>
        <v>0</v>
      </c>
      <c r="C929">
        <f>IF(Data!$C929="","",Data!$C929)</f>
        <v>0</v>
      </c>
      <c r="D929">
        <f>IF(Data!$D929="","",Data!$D929)</f>
        <v>0</v>
      </c>
      <c r="E929">
        <f>IF(Data!$E929="","",Data!$E929)</f>
        <v>0</v>
      </c>
      <c r="F929">
        <f>IF($E929="","",N(F928)+1)</f>
        <v>0</v>
      </c>
      <c r="G929">
        <f>IF(OR($E929="",$E928=""),"",LN($E929/$E928))</f>
        <v>0</v>
      </c>
      <c r="H929">
        <f>IF($E929="","",IF($E928="",$E929,$E929*0.0952380952+H928*0.9047619048))</f>
        <v>0</v>
      </c>
      <c r="I929">
        <f>IF($E929="","",IF($E928="",$E929,$E929*0.0392156863+I928*0.9607843137))</f>
        <v>0</v>
      </c>
      <c r="J929">
        <f>IF($E929="","",IF($E928="",$E929,$E929*0.0198019802+J928*0.9801980198))</f>
        <v>0</v>
      </c>
      <c r="K929">
        <f>IF($E929="","",IF($E928="",$E929,$E929*0.0099502488+K928*0.9900497512))</f>
        <v>0</v>
      </c>
      <c r="L929">
        <f>IF(OR($E929="",$E928=""),"",MAX($E929-$E928,0))</f>
        <v>0</v>
      </c>
      <c r="M929">
        <f>IF(OR($E929="",$E928=""),"",MAX($E928-$E929,0))</f>
        <v>0</v>
      </c>
      <c r="N929">
        <f>IF(COUNT($E$2:$E929)&lt;15,"",IF(AVERAGE($M$916:$M$929)=0,100,100-100/(1+AVERAGE($L$916:$L$929)/AVERAGE($M$916:$M$929))))</f>
        <v>0</v>
      </c>
      <c r="O929">
        <f>IF($E929="","",IF($E928="",$E929,$E929*0.1538461538+O928*0.8461538462))</f>
        <v>0</v>
      </c>
      <c r="P929">
        <f>IF($E929="","",IF($E928="",$E929,$E929*0.0740740741+P928*0.9259259259))</f>
        <v>0</v>
      </c>
      <c r="Q929">
        <f>IF(OR(O929="",P929=""),"",O929-P929)</f>
        <v>0</v>
      </c>
      <c r="R929">
        <f>IF(Q929="","",IF(R928="",Q929,Q929*0.2000000000+R928*0.8000000000))</f>
        <v>0</v>
      </c>
      <c r="S929">
        <f>IF(OR(Q929="",R929=""),"",Q929-R929)</f>
        <v>0</v>
      </c>
      <c r="T929">
        <f>IF(COUNT($E$2:$E929)&lt;14,"",MAX($C$916:$C$929))</f>
        <v>0</v>
      </c>
      <c r="U929">
        <f>IF(COUNT($E$2:$E929)&lt;14,"",MIN($D$916:$D$929))</f>
        <v>0</v>
      </c>
      <c r="V929">
        <f>IF(OR(T929="",U929="",T929=U929),"",100*($E929-U929)/(T929-U929))</f>
        <v>0</v>
      </c>
      <c r="W929">
        <f>IF(COUNT($V$927:$V$929)&lt;3,"",AVERAGE($V$927:$V$929))</f>
        <v>0</v>
      </c>
      <c r="X929">
        <f>IF(COUNT($N$916:$N$929)&lt;14,"",MIN($N$916:$N$929))</f>
        <v>0</v>
      </c>
      <c r="Y929">
        <f>IF(COUNT($N$916:$N$929)&lt;14,"",MAX($N$916:$N$929))</f>
        <v>0</v>
      </c>
      <c r="Z929">
        <f>IF(OR(N929="",X929="",Y929="",Y929=X929),"",100*(N929-X929)/(Y929-X929))</f>
        <v>0</v>
      </c>
      <c r="AA929">
        <f>IF(COUNT($Z$927:$Z$929)&lt;3,"",AVERAGE($Z$927:$Z$929))</f>
        <v>0</v>
      </c>
      <c r="AB929">
        <f>IF(COUNT($AA$927:$AA$929)&lt;3,"",AVERAGE($AA$927:$AA$929))</f>
        <v>0</v>
      </c>
      <c r="AC929">
        <f>IF($E929="","",MAX($C929-$D929,ABS($C929-$E928),ABS($D929-$E928)))</f>
        <v>0</v>
      </c>
      <c r="AD929">
        <f>IF(COUNT($E$2:$E929)&lt;15,"",AVERAGE($AC$916:$AC$929))</f>
        <v>0</v>
      </c>
      <c r="AE929">
        <f>IF(OR($E929="",$E928=""),"",IF(AND(($C929-$C928)&gt;($D928-$D929),($C929-$C928)&gt;0),$C929-$C928,0))</f>
        <v>0</v>
      </c>
      <c r="AF929">
        <f>IF(OR($E929="",$E928=""),"",IF(AND(($D928-$D929)&gt;($C929-$C928),($D928-$D929)&gt;0),$D928-$D929,0))</f>
        <v>0</v>
      </c>
      <c r="AG929">
        <f>IF(COUNT($E$2:$E929)&lt;15,"",IF(SUM($AC$916:$AC$929)=0,0,100*SUM($AE$916:$AE$929)/SUM($AC$916:$AC$929)))</f>
        <v>0</v>
      </c>
      <c r="AH929">
        <f>IF(COUNT($E$2:$E929)&lt;15,"",IF(SUM($AC$916:$AC$929)=0,0,100*SUM($AF$916:$AF$929)/SUM($AC$916:$AC$929)))</f>
        <v>0</v>
      </c>
      <c r="AI929">
        <f>IF(OR(AG929="",AH929=""),"",IF((AG929+AH929)=0,0,100*ABS(AG929-AH929)/(AG929+AH929)))</f>
        <v>0</v>
      </c>
      <c r="AJ929">
        <f>IF(COUNT($AI$916:$AI$929)&lt;14,"",AVERAGE($AI$916:$AI$929))</f>
        <v>0</v>
      </c>
      <c r="AK929">
        <f>IF(COUNT($E$2:$E929)&lt;20,"",AVERAGE($E$910:$E$929))</f>
        <v>0</v>
      </c>
      <c r="AL929">
        <f>IF(COUNT($E$2:$E929)&lt;20,"",STDEVP($E$910:$E$929))</f>
        <v>0</v>
      </c>
      <c r="AM929">
        <f>IF(AK929="","",AK929+2*AL929)</f>
        <v>0</v>
      </c>
      <c r="AN929">
        <f>IF(AK929="","",AK929-2*AL929)</f>
        <v>0</v>
      </c>
      <c r="AO929">
        <f>IF(OR(AM929="",AN929="",AM929=AN929),"",($E929-AN929)/(AM929-AN929))</f>
        <v>0</v>
      </c>
      <c r="AP929">
        <f>IF(OR(AM929="",AK929="",AK929=0),"",(AM929-AN929)/AK929)</f>
        <v>0</v>
      </c>
      <c r="AQ929">
        <f>IF(COUNT($E$2:$E929)&lt;20,"",MAX($C$910:$C$929))</f>
        <v>0</v>
      </c>
      <c r="AR929">
        <f>IF(COUNT($E$2:$E929)&lt;20,"",MIN($D$910:$D$929))</f>
        <v>0</v>
      </c>
      <c r="AS929">
        <f>IF(OR(AQ929="",AR929=""),"",(AQ929+AR929)/2)</f>
        <v>0</v>
      </c>
      <c r="AT929">
        <f>IF(COUNT($G$910:$G$929)&lt;20,"",STDEV($G$910:$G$929)*SQRT(252))</f>
        <v>0</v>
      </c>
      <c r="AU929">
        <f>IF(COUNT($E$2:$E929)&lt;9,"",(MAX($C$921:$C$929)+MIN($D$921:$D$929))/2)</f>
        <v>0</v>
      </c>
      <c r="AV929">
        <f>IF(COUNT($E$2:$E929)&lt;26,"",(MAX($C$904:$C$929)+MIN($D$904:$D$929))/2)</f>
        <v>0</v>
      </c>
      <c r="AW929">
        <f>IF(OR(AU929="",AV929=""),"",(AU929+AV929)/2)</f>
        <v>0</v>
      </c>
      <c r="AX929">
        <f>IF(COUNT($E$2:$E929)&lt;52,"",(MAX($C$878:$C$929)+MIN($D$878:$D$929))/2)</f>
        <v>0</v>
      </c>
      <c r="AY929">
        <f>IF(COUNT($E$2:$E929)&lt;20,"",MAX($C$830:$C$929))</f>
        <v>0</v>
      </c>
      <c r="AZ929">
        <f>IF(COUNT($E$2:$E929)&lt;20,"",MIN($D$830:$D$929))</f>
        <v>0</v>
      </c>
      <c r="BA929">
        <f>IF(COUNT($E$2:$E929)&lt;20,"",SLOPE($E$830:$E$929,$F$830:$F$929))</f>
        <v>0</v>
      </c>
      <c r="BB929">
        <f>IF(COUNT($E$2:$E929)&lt;20,"",INTERCEPT($E$830:$E$929,$F$830:$F$929))</f>
        <v>0</v>
      </c>
      <c r="BC929">
        <f>IF(OR(BA929="",BB929=""),"",BB929+BA929*F929)</f>
        <v>0</v>
      </c>
      <c r="BD929">
        <f>IF(COUNT($E$2:$E929)&lt;20,"",STEYX($E$830:$E$929,$F$830:$F$929))</f>
        <v>0</v>
      </c>
      <c r="BE929">
        <f>IF($E929="","",IF(AND(COUNT($E$930:$E$933)&gt;=4,$C929=MAX($C$925:$C$933)),$C929,""))</f>
        <v>0</v>
      </c>
      <c r="BF929">
        <f>IF($E929="","",IF(AND(COUNT($E$930:$E$933)&gt;=4,$D929=MIN($D$925:$D$933)),$D929,""))</f>
        <v>0</v>
      </c>
      <c r="BG929">
        <f>IF($A929="","",$A929-WEEKDAY($A929,2)+1)</f>
        <v>0</v>
      </c>
      <c r="BH929">
        <f>IF($A929="","",IF($A928="",1,IF(BG929&lt;&gt;BG928,1,0)))</f>
        <v>0</v>
      </c>
      <c r="BI929">
        <f>IF($A929="","",IF($A930="",1,IF(BG930&lt;&gt;BG929,1,0)))</f>
        <v>0</v>
      </c>
      <c r="BJ929">
        <f>IF($A929="","",IF(BH929=1,$B929,BJ928))</f>
        <v>0</v>
      </c>
      <c r="BK929">
        <f>IF($A929="","",IF(BH929=1,$C929,MAX($C929,BK928)))</f>
        <v>0</v>
      </c>
      <c r="BL929">
        <f>IF($A929="","",IF(BH929=1,$D929,MIN($D929,BL928)))</f>
        <v>0</v>
      </c>
      <c r="BM929">
        <f>IF($A929="","",IF(BI929=1,F929,""))</f>
        <v>0</v>
      </c>
      <c r="BN929">
        <f>IF($A929="","",DATE(YEAR($A929),MONTH($A929),1))</f>
        <v>0</v>
      </c>
      <c r="BO929">
        <f>IF($A929="","",IF($A928="",1,IF(BN929&lt;&gt;BN928,1,0)))</f>
        <v>0</v>
      </c>
      <c r="BP929">
        <f>IF($A929="","",IF($A930="",1,IF(BN930&lt;&gt;BN929,1,0)))</f>
        <v>0</v>
      </c>
      <c r="BQ929">
        <f>IF($A929="","",IF(BO929=1,$B929,BQ928))</f>
        <v>0</v>
      </c>
      <c r="BR929">
        <f>IF($A929="","",IF(BO929=1,$C929,MAX($C929,BR928)))</f>
        <v>0</v>
      </c>
      <c r="BS929">
        <f>IF($A929="","",IF(BO929=1,$D929,MIN($D929,BS928)))</f>
        <v>0</v>
      </c>
      <c r="BT929">
        <f>IF($A929="","",IF(BP929=1,F929,""))</f>
        <v>0</v>
      </c>
    </row>
    <row r="930" spans="1:72">
      <c r="A930" s="27">
        <f>IF(Data!$A930="","",Data!$A930)</f>
        <v>0</v>
      </c>
      <c r="B930">
        <f>IF(Data!$B930="","",Data!$B930)</f>
        <v>0</v>
      </c>
      <c r="C930">
        <f>IF(Data!$C930="","",Data!$C930)</f>
        <v>0</v>
      </c>
      <c r="D930">
        <f>IF(Data!$D930="","",Data!$D930)</f>
        <v>0</v>
      </c>
      <c r="E930">
        <f>IF(Data!$E930="","",Data!$E930)</f>
        <v>0</v>
      </c>
      <c r="F930">
        <f>IF($E930="","",N(F929)+1)</f>
        <v>0</v>
      </c>
      <c r="G930">
        <f>IF(OR($E930="",$E929=""),"",LN($E930/$E929))</f>
        <v>0</v>
      </c>
      <c r="H930">
        <f>IF($E930="","",IF($E929="",$E930,$E930*0.0952380952+H929*0.9047619048))</f>
        <v>0</v>
      </c>
      <c r="I930">
        <f>IF($E930="","",IF($E929="",$E930,$E930*0.0392156863+I929*0.9607843137))</f>
        <v>0</v>
      </c>
      <c r="J930">
        <f>IF($E930="","",IF($E929="",$E930,$E930*0.0198019802+J929*0.9801980198))</f>
        <v>0</v>
      </c>
      <c r="K930">
        <f>IF($E930="","",IF($E929="",$E930,$E930*0.0099502488+K929*0.9900497512))</f>
        <v>0</v>
      </c>
      <c r="L930">
        <f>IF(OR($E930="",$E929=""),"",MAX($E930-$E929,0))</f>
        <v>0</v>
      </c>
      <c r="M930">
        <f>IF(OR($E930="",$E929=""),"",MAX($E929-$E930,0))</f>
        <v>0</v>
      </c>
      <c r="N930">
        <f>IF(COUNT($E$2:$E930)&lt;15,"",IF(AVERAGE($M$917:$M$930)=0,100,100-100/(1+AVERAGE($L$917:$L$930)/AVERAGE($M$917:$M$930))))</f>
        <v>0</v>
      </c>
      <c r="O930">
        <f>IF($E930="","",IF($E929="",$E930,$E930*0.1538461538+O929*0.8461538462))</f>
        <v>0</v>
      </c>
      <c r="P930">
        <f>IF($E930="","",IF($E929="",$E930,$E930*0.0740740741+P929*0.9259259259))</f>
        <v>0</v>
      </c>
      <c r="Q930">
        <f>IF(OR(O930="",P930=""),"",O930-P930)</f>
        <v>0</v>
      </c>
      <c r="R930">
        <f>IF(Q930="","",IF(R929="",Q930,Q930*0.2000000000+R929*0.8000000000))</f>
        <v>0</v>
      </c>
      <c r="S930">
        <f>IF(OR(Q930="",R930=""),"",Q930-R930)</f>
        <v>0</v>
      </c>
      <c r="T930">
        <f>IF(COUNT($E$2:$E930)&lt;14,"",MAX($C$917:$C$930))</f>
        <v>0</v>
      </c>
      <c r="U930">
        <f>IF(COUNT($E$2:$E930)&lt;14,"",MIN($D$917:$D$930))</f>
        <v>0</v>
      </c>
      <c r="V930">
        <f>IF(OR(T930="",U930="",T930=U930),"",100*($E930-U930)/(T930-U930))</f>
        <v>0</v>
      </c>
      <c r="W930">
        <f>IF(COUNT($V$928:$V$930)&lt;3,"",AVERAGE($V$928:$V$930))</f>
        <v>0</v>
      </c>
      <c r="X930">
        <f>IF(COUNT($N$917:$N$930)&lt;14,"",MIN($N$917:$N$930))</f>
        <v>0</v>
      </c>
      <c r="Y930">
        <f>IF(COUNT($N$917:$N$930)&lt;14,"",MAX($N$917:$N$930))</f>
        <v>0</v>
      </c>
      <c r="Z930">
        <f>IF(OR(N930="",X930="",Y930="",Y930=X930),"",100*(N930-X930)/(Y930-X930))</f>
        <v>0</v>
      </c>
      <c r="AA930">
        <f>IF(COUNT($Z$928:$Z$930)&lt;3,"",AVERAGE($Z$928:$Z$930))</f>
        <v>0</v>
      </c>
      <c r="AB930">
        <f>IF(COUNT($AA$928:$AA$930)&lt;3,"",AVERAGE($AA$928:$AA$930))</f>
        <v>0</v>
      </c>
      <c r="AC930">
        <f>IF($E930="","",MAX($C930-$D930,ABS($C930-$E929),ABS($D930-$E929)))</f>
        <v>0</v>
      </c>
      <c r="AD930">
        <f>IF(COUNT($E$2:$E930)&lt;15,"",AVERAGE($AC$917:$AC$930))</f>
        <v>0</v>
      </c>
      <c r="AE930">
        <f>IF(OR($E930="",$E929=""),"",IF(AND(($C930-$C929)&gt;($D929-$D930),($C930-$C929)&gt;0),$C930-$C929,0))</f>
        <v>0</v>
      </c>
      <c r="AF930">
        <f>IF(OR($E930="",$E929=""),"",IF(AND(($D929-$D930)&gt;($C930-$C929),($D929-$D930)&gt;0),$D929-$D930,0))</f>
        <v>0</v>
      </c>
      <c r="AG930">
        <f>IF(COUNT($E$2:$E930)&lt;15,"",IF(SUM($AC$917:$AC$930)=0,0,100*SUM($AE$917:$AE$930)/SUM($AC$917:$AC$930)))</f>
        <v>0</v>
      </c>
      <c r="AH930">
        <f>IF(COUNT($E$2:$E930)&lt;15,"",IF(SUM($AC$917:$AC$930)=0,0,100*SUM($AF$917:$AF$930)/SUM($AC$917:$AC$930)))</f>
        <v>0</v>
      </c>
      <c r="AI930">
        <f>IF(OR(AG930="",AH930=""),"",IF((AG930+AH930)=0,0,100*ABS(AG930-AH930)/(AG930+AH930)))</f>
        <v>0</v>
      </c>
      <c r="AJ930">
        <f>IF(COUNT($AI$917:$AI$930)&lt;14,"",AVERAGE($AI$917:$AI$930))</f>
        <v>0</v>
      </c>
      <c r="AK930">
        <f>IF(COUNT($E$2:$E930)&lt;20,"",AVERAGE($E$911:$E$930))</f>
        <v>0</v>
      </c>
      <c r="AL930">
        <f>IF(COUNT($E$2:$E930)&lt;20,"",STDEVP($E$911:$E$930))</f>
        <v>0</v>
      </c>
      <c r="AM930">
        <f>IF(AK930="","",AK930+2*AL930)</f>
        <v>0</v>
      </c>
      <c r="AN930">
        <f>IF(AK930="","",AK930-2*AL930)</f>
        <v>0</v>
      </c>
      <c r="AO930">
        <f>IF(OR(AM930="",AN930="",AM930=AN930),"",($E930-AN930)/(AM930-AN930))</f>
        <v>0</v>
      </c>
      <c r="AP930">
        <f>IF(OR(AM930="",AK930="",AK930=0),"",(AM930-AN930)/AK930)</f>
        <v>0</v>
      </c>
      <c r="AQ930">
        <f>IF(COUNT($E$2:$E930)&lt;20,"",MAX($C$911:$C$930))</f>
        <v>0</v>
      </c>
      <c r="AR930">
        <f>IF(COUNT($E$2:$E930)&lt;20,"",MIN($D$911:$D$930))</f>
        <v>0</v>
      </c>
      <c r="AS930">
        <f>IF(OR(AQ930="",AR930=""),"",(AQ930+AR930)/2)</f>
        <v>0</v>
      </c>
      <c r="AT930">
        <f>IF(COUNT($G$911:$G$930)&lt;20,"",STDEV($G$911:$G$930)*SQRT(252))</f>
        <v>0</v>
      </c>
      <c r="AU930">
        <f>IF(COUNT($E$2:$E930)&lt;9,"",(MAX($C$922:$C$930)+MIN($D$922:$D$930))/2)</f>
        <v>0</v>
      </c>
      <c r="AV930">
        <f>IF(COUNT($E$2:$E930)&lt;26,"",(MAX($C$905:$C$930)+MIN($D$905:$D$930))/2)</f>
        <v>0</v>
      </c>
      <c r="AW930">
        <f>IF(OR(AU930="",AV930=""),"",(AU930+AV930)/2)</f>
        <v>0</v>
      </c>
      <c r="AX930">
        <f>IF(COUNT($E$2:$E930)&lt;52,"",(MAX($C$879:$C$930)+MIN($D$879:$D$930))/2)</f>
        <v>0</v>
      </c>
      <c r="AY930">
        <f>IF(COUNT($E$2:$E930)&lt;20,"",MAX($C$831:$C$930))</f>
        <v>0</v>
      </c>
      <c r="AZ930">
        <f>IF(COUNT($E$2:$E930)&lt;20,"",MIN($D$831:$D$930))</f>
        <v>0</v>
      </c>
      <c r="BA930">
        <f>IF(COUNT($E$2:$E930)&lt;20,"",SLOPE($E$831:$E$930,$F$831:$F$930))</f>
        <v>0</v>
      </c>
      <c r="BB930">
        <f>IF(COUNT($E$2:$E930)&lt;20,"",INTERCEPT($E$831:$E$930,$F$831:$F$930))</f>
        <v>0</v>
      </c>
      <c r="BC930">
        <f>IF(OR(BA930="",BB930=""),"",BB930+BA930*F930)</f>
        <v>0</v>
      </c>
      <c r="BD930">
        <f>IF(COUNT($E$2:$E930)&lt;20,"",STEYX($E$831:$E$930,$F$831:$F$930))</f>
        <v>0</v>
      </c>
      <c r="BE930">
        <f>IF($E930="","",IF(AND(COUNT($E$931:$E$934)&gt;=4,$C930=MAX($C$926:$C$934)),$C930,""))</f>
        <v>0</v>
      </c>
      <c r="BF930">
        <f>IF($E930="","",IF(AND(COUNT($E$931:$E$934)&gt;=4,$D930=MIN($D$926:$D$934)),$D930,""))</f>
        <v>0</v>
      </c>
      <c r="BG930">
        <f>IF($A930="","",$A930-WEEKDAY($A930,2)+1)</f>
        <v>0</v>
      </c>
      <c r="BH930">
        <f>IF($A930="","",IF($A929="",1,IF(BG930&lt;&gt;BG929,1,0)))</f>
        <v>0</v>
      </c>
      <c r="BI930">
        <f>IF($A930="","",IF($A931="",1,IF(BG931&lt;&gt;BG930,1,0)))</f>
        <v>0</v>
      </c>
      <c r="BJ930">
        <f>IF($A930="","",IF(BH930=1,$B930,BJ929))</f>
        <v>0</v>
      </c>
      <c r="BK930">
        <f>IF($A930="","",IF(BH930=1,$C930,MAX($C930,BK929)))</f>
        <v>0</v>
      </c>
      <c r="BL930">
        <f>IF($A930="","",IF(BH930=1,$D930,MIN($D930,BL929)))</f>
        <v>0</v>
      </c>
      <c r="BM930">
        <f>IF($A930="","",IF(BI930=1,F930,""))</f>
        <v>0</v>
      </c>
      <c r="BN930">
        <f>IF($A930="","",DATE(YEAR($A930),MONTH($A930),1))</f>
        <v>0</v>
      </c>
      <c r="BO930">
        <f>IF($A930="","",IF($A929="",1,IF(BN930&lt;&gt;BN929,1,0)))</f>
        <v>0</v>
      </c>
      <c r="BP930">
        <f>IF($A930="","",IF($A931="",1,IF(BN931&lt;&gt;BN930,1,0)))</f>
        <v>0</v>
      </c>
      <c r="BQ930">
        <f>IF($A930="","",IF(BO930=1,$B930,BQ929))</f>
        <v>0</v>
      </c>
      <c r="BR930">
        <f>IF($A930="","",IF(BO930=1,$C930,MAX($C930,BR929)))</f>
        <v>0</v>
      </c>
      <c r="BS930">
        <f>IF($A930="","",IF(BO930=1,$D930,MIN($D930,BS929)))</f>
        <v>0</v>
      </c>
      <c r="BT930">
        <f>IF($A930="","",IF(BP930=1,F930,""))</f>
        <v>0</v>
      </c>
    </row>
    <row r="931" spans="1:72">
      <c r="A931" s="27">
        <f>IF(Data!$A931="","",Data!$A931)</f>
        <v>0</v>
      </c>
      <c r="B931">
        <f>IF(Data!$B931="","",Data!$B931)</f>
        <v>0</v>
      </c>
      <c r="C931">
        <f>IF(Data!$C931="","",Data!$C931)</f>
        <v>0</v>
      </c>
      <c r="D931">
        <f>IF(Data!$D931="","",Data!$D931)</f>
        <v>0</v>
      </c>
      <c r="E931">
        <f>IF(Data!$E931="","",Data!$E931)</f>
        <v>0</v>
      </c>
      <c r="F931">
        <f>IF($E931="","",N(F930)+1)</f>
        <v>0</v>
      </c>
      <c r="G931">
        <f>IF(OR($E931="",$E930=""),"",LN($E931/$E930))</f>
        <v>0</v>
      </c>
      <c r="H931">
        <f>IF($E931="","",IF($E930="",$E931,$E931*0.0952380952+H930*0.9047619048))</f>
        <v>0</v>
      </c>
      <c r="I931">
        <f>IF($E931="","",IF($E930="",$E931,$E931*0.0392156863+I930*0.9607843137))</f>
        <v>0</v>
      </c>
      <c r="J931">
        <f>IF($E931="","",IF($E930="",$E931,$E931*0.0198019802+J930*0.9801980198))</f>
        <v>0</v>
      </c>
      <c r="K931">
        <f>IF($E931="","",IF($E930="",$E931,$E931*0.0099502488+K930*0.9900497512))</f>
        <v>0</v>
      </c>
      <c r="L931">
        <f>IF(OR($E931="",$E930=""),"",MAX($E931-$E930,0))</f>
        <v>0</v>
      </c>
      <c r="M931">
        <f>IF(OR($E931="",$E930=""),"",MAX($E930-$E931,0))</f>
        <v>0</v>
      </c>
      <c r="N931">
        <f>IF(COUNT($E$2:$E931)&lt;15,"",IF(AVERAGE($M$918:$M$931)=0,100,100-100/(1+AVERAGE($L$918:$L$931)/AVERAGE($M$918:$M$931))))</f>
        <v>0</v>
      </c>
      <c r="O931">
        <f>IF($E931="","",IF($E930="",$E931,$E931*0.1538461538+O930*0.8461538462))</f>
        <v>0</v>
      </c>
      <c r="P931">
        <f>IF($E931="","",IF($E930="",$E931,$E931*0.0740740741+P930*0.9259259259))</f>
        <v>0</v>
      </c>
      <c r="Q931">
        <f>IF(OR(O931="",P931=""),"",O931-P931)</f>
        <v>0</v>
      </c>
      <c r="R931">
        <f>IF(Q931="","",IF(R930="",Q931,Q931*0.2000000000+R930*0.8000000000))</f>
        <v>0</v>
      </c>
      <c r="S931">
        <f>IF(OR(Q931="",R931=""),"",Q931-R931)</f>
        <v>0</v>
      </c>
      <c r="T931">
        <f>IF(COUNT($E$2:$E931)&lt;14,"",MAX($C$918:$C$931))</f>
        <v>0</v>
      </c>
      <c r="U931">
        <f>IF(COUNT($E$2:$E931)&lt;14,"",MIN($D$918:$D$931))</f>
        <v>0</v>
      </c>
      <c r="V931">
        <f>IF(OR(T931="",U931="",T931=U931),"",100*($E931-U931)/(T931-U931))</f>
        <v>0</v>
      </c>
      <c r="W931">
        <f>IF(COUNT($V$929:$V$931)&lt;3,"",AVERAGE($V$929:$V$931))</f>
        <v>0</v>
      </c>
      <c r="X931">
        <f>IF(COUNT($N$918:$N$931)&lt;14,"",MIN($N$918:$N$931))</f>
        <v>0</v>
      </c>
      <c r="Y931">
        <f>IF(COUNT($N$918:$N$931)&lt;14,"",MAX($N$918:$N$931))</f>
        <v>0</v>
      </c>
      <c r="Z931">
        <f>IF(OR(N931="",X931="",Y931="",Y931=X931),"",100*(N931-X931)/(Y931-X931))</f>
        <v>0</v>
      </c>
      <c r="AA931">
        <f>IF(COUNT($Z$929:$Z$931)&lt;3,"",AVERAGE($Z$929:$Z$931))</f>
        <v>0</v>
      </c>
      <c r="AB931">
        <f>IF(COUNT($AA$929:$AA$931)&lt;3,"",AVERAGE($AA$929:$AA$931))</f>
        <v>0</v>
      </c>
      <c r="AC931">
        <f>IF($E931="","",MAX($C931-$D931,ABS($C931-$E930),ABS($D931-$E930)))</f>
        <v>0</v>
      </c>
      <c r="AD931">
        <f>IF(COUNT($E$2:$E931)&lt;15,"",AVERAGE($AC$918:$AC$931))</f>
        <v>0</v>
      </c>
      <c r="AE931">
        <f>IF(OR($E931="",$E930=""),"",IF(AND(($C931-$C930)&gt;($D930-$D931),($C931-$C930)&gt;0),$C931-$C930,0))</f>
        <v>0</v>
      </c>
      <c r="AF931">
        <f>IF(OR($E931="",$E930=""),"",IF(AND(($D930-$D931)&gt;($C931-$C930),($D930-$D931)&gt;0),$D930-$D931,0))</f>
        <v>0</v>
      </c>
      <c r="AG931">
        <f>IF(COUNT($E$2:$E931)&lt;15,"",IF(SUM($AC$918:$AC$931)=0,0,100*SUM($AE$918:$AE$931)/SUM($AC$918:$AC$931)))</f>
        <v>0</v>
      </c>
      <c r="AH931">
        <f>IF(COUNT($E$2:$E931)&lt;15,"",IF(SUM($AC$918:$AC$931)=0,0,100*SUM($AF$918:$AF$931)/SUM($AC$918:$AC$931)))</f>
        <v>0</v>
      </c>
      <c r="AI931">
        <f>IF(OR(AG931="",AH931=""),"",IF((AG931+AH931)=0,0,100*ABS(AG931-AH931)/(AG931+AH931)))</f>
        <v>0</v>
      </c>
      <c r="AJ931">
        <f>IF(COUNT($AI$918:$AI$931)&lt;14,"",AVERAGE($AI$918:$AI$931))</f>
        <v>0</v>
      </c>
      <c r="AK931">
        <f>IF(COUNT($E$2:$E931)&lt;20,"",AVERAGE($E$912:$E$931))</f>
        <v>0</v>
      </c>
      <c r="AL931">
        <f>IF(COUNT($E$2:$E931)&lt;20,"",STDEVP($E$912:$E$931))</f>
        <v>0</v>
      </c>
      <c r="AM931">
        <f>IF(AK931="","",AK931+2*AL931)</f>
        <v>0</v>
      </c>
      <c r="AN931">
        <f>IF(AK931="","",AK931-2*AL931)</f>
        <v>0</v>
      </c>
      <c r="AO931">
        <f>IF(OR(AM931="",AN931="",AM931=AN931),"",($E931-AN931)/(AM931-AN931))</f>
        <v>0</v>
      </c>
      <c r="AP931">
        <f>IF(OR(AM931="",AK931="",AK931=0),"",(AM931-AN931)/AK931)</f>
        <v>0</v>
      </c>
      <c r="AQ931">
        <f>IF(COUNT($E$2:$E931)&lt;20,"",MAX($C$912:$C$931))</f>
        <v>0</v>
      </c>
      <c r="AR931">
        <f>IF(COUNT($E$2:$E931)&lt;20,"",MIN($D$912:$D$931))</f>
        <v>0</v>
      </c>
      <c r="AS931">
        <f>IF(OR(AQ931="",AR931=""),"",(AQ931+AR931)/2)</f>
        <v>0</v>
      </c>
      <c r="AT931">
        <f>IF(COUNT($G$912:$G$931)&lt;20,"",STDEV($G$912:$G$931)*SQRT(252))</f>
        <v>0</v>
      </c>
      <c r="AU931">
        <f>IF(COUNT($E$2:$E931)&lt;9,"",(MAX($C$923:$C$931)+MIN($D$923:$D$931))/2)</f>
        <v>0</v>
      </c>
      <c r="AV931">
        <f>IF(COUNT($E$2:$E931)&lt;26,"",(MAX($C$906:$C$931)+MIN($D$906:$D$931))/2)</f>
        <v>0</v>
      </c>
      <c r="AW931">
        <f>IF(OR(AU931="",AV931=""),"",(AU931+AV931)/2)</f>
        <v>0</v>
      </c>
      <c r="AX931">
        <f>IF(COUNT($E$2:$E931)&lt;52,"",(MAX($C$880:$C$931)+MIN($D$880:$D$931))/2)</f>
        <v>0</v>
      </c>
      <c r="AY931">
        <f>IF(COUNT($E$2:$E931)&lt;20,"",MAX($C$832:$C$931))</f>
        <v>0</v>
      </c>
      <c r="AZ931">
        <f>IF(COUNT($E$2:$E931)&lt;20,"",MIN($D$832:$D$931))</f>
        <v>0</v>
      </c>
      <c r="BA931">
        <f>IF(COUNT($E$2:$E931)&lt;20,"",SLOPE($E$832:$E$931,$F$832:$F$931))</f>
        <v>0</v>
      </c>
      <c r="BB931">
        <f>IF(COUNT($E$2:$E931)&lt;20,"",INTERCEPT($E$832:$E$931,$F$832:$F$931))</f>
        <v>0</v>
      </c>
      <c r="BC931">
        <f>IF(OR(BA931="",BB931=""),"",BB931+BA931*F931)</f>
        <v>0</v>
      </c>
      <c r="BD931">
        <f>IF(COUNT($E$2:$E931)&lt;20,"",STEYX($E$832:$E$931,$F$832:$F$931))</f>
        <v>0</v>
      </c>
      <c r="BE931">
        <f>IF($E931="","",IF(AND(COUNT($E$932:$E$935)&gt;=4,$C931=MAX($C$927:$C$935)),$C931,""))</f>
        <v>0</v>
      </c>
      <c r="BF931">
        <f>IF($E931="","",IF(AND(COUNT($E$932:$E$935)&gt;=4,$D931=MIN($D$927:$D$935)),$D931,""))</f>
        <v>0</v>
      </c>
      <c r="BG931">
        <f>IF($A931="","",$A931-WEEKDAY($A931,2)+1)</f>
        <v>0</v>
      </c>
      <c r="BH931">
        <f>IF($A931="","",IF($A930="",1,IF(BG931&lt;&gt;BG930,1,0)))</f>
        <v>0</v>
      </c>
      <c r="BI931">
        <f>IF($A931="","",IF($A932="",1,IF(BG932&lt;&gt;BG931,1,0)))</f>
        <v>0</v>
      </c>
      <c r="BJ931">
        <f>IF($A931="","",IF(BH931=1,$B931,BJ930))</f>
        <v>0</v>
      </c>
      <c r="BK931">
        <f>IF($A931="","",IF(BH931=1,$C931,MAX($C931,BK930)))</f>
        <v>0</v>
      </c>
      <c r="BL931">
        <f>IF($A931="","",IF(BH931=1,$D931,MIN($D931,BL930)))</f>
        <v>0</v>
      </c>
      <c r="BM931">
        <f>IF($A931="","",IF(BI931=1,F931,""))</f>
        <v>0</v>
      </c>
      <c r="BN931">
        <f>IF($A931="","",DATE(YEAR($A931),MONTH($A931),1))</f>
        <v>0</v>
      </c>
      <c r="BO931">
        <f>IF($A931="","",IF($A930="",1,IF(BN931&lt;&gt;BN930,1,0)))</f>
        <v>0</v>
      </c>
      <c r="BP931">
        <f>IF($A931="","",IF($A932="",1,IF(BN932&lt;&gt;BN931,1,0)))</f>
        <v>0</v>
      </c>
      <c r="BQ931">
        <f>IF($A931="","",IF(BO931=1,$B931,BQ930))</f>
        <v>0</v>
      </c>
      <c r="BR931">
        <f>IF($A931="","",IF(BO931=1,$C931,MAX($C931,BR930)))</f>
        <v>0</v>
      </c>
      <c r="BS931">
        <f>IF($A931="","",IF(BO931=1,$D931,MIN($D931,BS930)))</f>
        <v>0</v>
      </c>
      <c r="BT931">
        <f>IF($A931="","",IF(BP931=1,F931,""))</f>
        <v>0</v>
      </c>
    </row>
    <row r="932" spans="1:72">
      <c r="A932" s="27">
        <f>IF(Data!$A932="","",Data!$A932)</f>
        <v>0</v>
      </c>
      <c r="B932">
        <f>IF(Data!$B932="","",Data!$B932)</f>
        <v>0</v>
      </c>
      <c r="C932">
        <f>IF(Data!$C932="","",Data!$C932)</f>
        <v>0</v>
      </c>
      <c r="D932">
        <f>IF(Data!$D932="","",Data!$D932)</f>
        <v>0</v>
      </c>
      <c r="E932">
        <f>IF(Data!$E932="","",Data!$E932)</f>
        <v>0</v>
      </c>
      <c r="F932">
        <f>IF($E932="","",N(F931)+1)</f>
        <v>0</v>
      </c>
      <c r="G932">
        <f>IF(OR($E932="",$E931=""),"",LN($E932/$E931))</f>
        <v>0</v>
      </c>
      <c r="H932">
        <f>IF($E932="","",IF($E931="",$E932,$E932*0.0952380952+H931*0.9047619048))</f>
        <v>0</v>
      </c>
      <c r="I932">
        <f>IF($E932="","",IF($E931="",$E932,$E932*0.0392156863+I931*0.9607843137))</f>
        <v>0</v>
      </c>
      <c r="J932">
        <f>IF($E932="","",IF($E931="",$E932,$E932*0.0198019802+J931*0.9801980198))</f>
        <v>0</v>
      </c>
      <c r="K932">
        <f>IF($E932="","",IF($E931="",$E932,$E932*0.0099502488+K931*0.9900497512))</f>
        <v>0</v>
      </c>
      <c r="L932">
        <f>IF(OR($E932="",$E931=""),"",MAX($E932-$E931,0))</f>
        <v>0</v>
      </c>
      <c r="M932">
        <f>IF(OR($E932="",$E931=""),"",MAX($E931-$E932,0))</f>
        <v>0</v>
      </c>
      <c r="N932">
        <f>IF(COUNT($E$2:$E932)&lt;15,"",IF(AVERAGE($M$919:$M$932)=0,100,100-100/(1+AVERAGE($L$919:$L$932)/AVERAGE($M$919:$M$932))))</f>
        <v>0</v>
      </c>
      <c r="O932">
        <f>IF($E932="","",IF($E931="",$E932,$E932*0.1538461538+O931*0.8461538462))</f>
        <v>0</v>
      </c>
      <c r="P932">
        <f>IF($E932="","",IF($E931="",$E932,$E932*0.0740740741+P931*0.9259259259))</f>
        <v>0</v>
      </c>
      <c r="Q932">
        <f>IF(OR(O932="",P932=""),"",O932-P932)</f>
        <v>0</v>
      </c>
      <c r="R932">
        <f>IF(Q932="","",IF(R931="",Q932,Q932*0.2000000000+R931*0.8000000000))</f>
        <v>0</v>
      </c>
      <c r="S932">
        <f>IF(OR(Q932="",R932=""),"",Q932-R932)</f>
        <v>0</v>
      </c>
      <c r="T932">
        <f>IF(COUNT($E$2:$E932)&lt;14,"",MAX($C$919:$C$932))</f>
        <v>0</v>
      </c>
      <c r="U932">
        <f>IF(COUNT($E$2:$E932)&lt;14,"",MIN($D$919:$D$932))</f>
        <v>0</v>
      </c>
      <c r="V932">
        <f>IF(OR(T932="",U932="",T932=U932),"",100*($E932-U932)/(T932-U932))</f>
        <v>0</v>
      </c>
      <c r="W932">
        <f>IF(COUNT($V$930:$V$932)&lt;3,"",AVERAGE($V$930:$V$932))</f>
        <v>0</v>
      </c>
      <c r="X932">
        <f>IF(COUNT($N$919:$N$932)&lt;14,"",MIN($N$919:$N$932))</f>
        <v>0</v>
      </c>
      <c r="Y932">
        <f>IF(COUNT($N$919:$N$932)&lt;14,"",MAX($N$919:$N$932))</f>
        <v>0</v>
      </c>
      <c r="Z932">
        <f>IF(OR(N932="",X932="",Y932="",Y932=X932),"",100*(N932-X932)/(Y932-X932))</f>
        <v>0</v>
      </c>
      <c r="AA932">
        <f>IF(COUNT($Z$930:$Z$932)&lt;3,"",AVERAGE($Z$930:$Z$932))</f>
        <v>0</v>
      </c>
      <c r="AB932">
        <f>IF(COUNT($AA$930:$AA$932)&lt;3,"",AVERAGE($AA$930:$AA$932))</f>
        <v>0</v>
      </c>
      <c r="AC932">
        <f>IF($E932="","",MAX($C932-$D932,ABS($C932-$E931),ABS($D932-$E931)))</f>
        <v>0</v>
      </c>
      <c r="AD932">
        <f>IF(COUNT($E$2:$E932)&lt;15,"",AVERAGE($AC$919:$AC$932))</f>
        <v>0</v>
      </c>
      <c r="AE932">
        <f>IF(OR($E932="",$E931=""),"",IF(AND(($C932-$C931)&gt;($D931-$D932),($C932-$C931)&gt;0),$C932-$C931,0))</f>
        <v>0</v>
      </c>
      <c r="AF932">
        <f>IF(OR($E932="",$E931=""),"",IF(AND(($D931-$D932)&gt;($C932-$C931),($D931-$D932)&gt;0),$D931-$D932,0))</f>
        <v>0</v>
      </c>
      <c r="AG932">
        <f>IF(COUNT($E$2:$E932)&lt;15,"",IF(SUM($AC$919:$AC$932)=0,0,100*SUM($AE$919:$AE$932)/SUM($AC$919:$AC$932)))</f>
        <v>0</v>
      </c>
      <c r="AH932">
        <f>IF(COUNT($E$2:$E932)&lt;15,"",IF(SUM($AC$919:$AC$932)=0,0,100*SUM($AF$919:$AF$932)/SUM($AC$919:$AC$932)))</f>
        <v>0</v>
      </c>
      <c r="AI932">
        <f>IF(OR(AG932="",AH932=""),"",IF((AG932+AH932)=0,0,100*ABS(AG932-AH932)/(AG932+AH932)))</f>
        <v>0</v>
      </c>
      <c r="AJ932">
        <f>IF(COUNT($AI$919:$AI$932)&lt;14,"",AVERAGE($AI$919:$AI$932))</f>
        <v>0</v>
      </c>
      <c r="AK932">
        <f>IF(COUNT($E$2:$E932)&lt;20,"",AVERAGE($E$913:$E$932))</f>
        <v>0</v>
      </c>
      <c r="AL932">
        <f>IF(COUNT($E$2:$E932)&lt;20,"",STDEVP($E$913:$E$932))</f>
        <v>0</v>
      </c>
      <c r="AM932">
        <f>IF(AK932="","",AK932+2*AL932)</f>
        <v>0</v>
      </c>
      <c r="AN932">
        <f>IF(AK932="","",AK932-2*AL932)</f>
        <v>0</v>
      </c>
      <c r="AO932">
        <f>IF(OR(AM932="",AN932="",AM932=AN932),"",($E932-AN932)/(AM932-AN932))</f>
        <v>0</v>
      </c>
      <c r="AP932">
        <f>IF(OR(AM932="",AK932="",AK932=0),"",(AM932-AN932)/AK932)</f>
        <v>0</v>
      </c>
      <c r="AQ932">
        <f>IF(COUNT($E$2:$E932)&lt;20,"",MAX($C$913:$C$932))</f>
        <v>0</v>
      </c>
      <c r="AR932">
        <f>IF(COUNT($E$2:$E932)&lt;20,"",MIN($D$913:$D$932))</f>
        <v>0</v>
      </c>
      <c r="AS932">
        <f>IF(OR(AQ932="",AR932=""),"",(AQ932+AR932)/2)</f>
        <v>0</v>
      </c>
      <c r="AT932">
        <f>IF(COUNT($G$913:$G$932)&lt;20,"",STDEV($G$913:$G$932)*SQRT(252))</f>
        <v>0</v>
      </c>
      <c r="AU932">
        <f>IF(COUNT($E$2:$E932)&lt;9,"",(MAX($C$924:$C$932)+MIN($D$924:$D$932))/2)</f>
        <v>0</v>
      </c>
      <c r="AV932">
        <f>IF(COUNT($E$2:$E932)&lt;26,"",(MAX($C$907:$C$932)+MIN($D$907:$D$932))/2)</f>
        <v>0</v>
      </c>
      <c r="AW932">
        <f>IF(OR(AU932="",AV932=""),"",(AU932+AV932)/2)</f>
        <v>0</v>
      </c>
      <c r="AX932">
        <f>IF(COUNT($E$2:$E932)&lt;52,"",(MAX($C$881:$C$932)+MIN($D$881:$D$932))/2)</f>
        <v>0</v>
      </c>
      <c r="AY932">
        <f>IF(COUNT($E$2:$E932)&lt;20,"",MAX($C$833:$C$932))</f>
        <v>0</v>
      </c>
      <c r="AZ932">
        <f>IF(COUNT($E$2:$E932)&lt;20,"",MIN($D$833:$D$932))</f>
        <v>0</v>
      </c>
      <c r="BA932">
        <f>IF(COUNT($E$2:$E932)&lt;20,"",SLOPE($E$833:$E$932,$F$833:$F$932))</f>
        <v>0</v>
      </c>
      <c r="BB932">
        <f>IF(COUNT($E$2:$E932)&lt;20,"",INTERCEPT($E$833:$E$932,$F$833:$F$932))</f>
        <v>0</v>
      </c>
      <c r="BC932">
        <f>IF(OR(BA932="",BB932=""),"",BB932+BA932*F932)</f>
        <v>0</v>
      </c>
      <c r="BD932">
        <f>IF(COUNT($E$2:$E932)&lt;20,"",STEYX($E$833:$E$932,$F$833:$F$932))</f>
        <v>0</v>
      </c>
      <c r="BE932">
        <f>IF($E932="","",IF(AND(COUNT($E$933:$E$936)&gt;=4,$C932=MAX($C$928:$C$936)),$C932,""))</f>
        <v>0</v>
      </c>
      <c r="BF932">
        <f>IF($E932="","",IF(AND(COUNT($E$933:$E$936)&gt;=4,$D932=MIN($D$928:$D$936)),$D932,""))</f>
        <v>0</v>
      </c>
      <c r="BG932">
        <f>IF($A932="","",$A932-WEEKDAY($A932,2)+1)</f>
        <v>0</v>
      </c>
      <c r="BH932">
        <f>IF($A932="","",IF($A931="",1,IF(BG932&lt;&gt;BG931,1,0)))</f>
        <v>0</v>
      </c>
      <c r="BI932">
        <f>IF($A932="","",IF($A933="",1,IF(BG933&lt;&gt;BG932,1,0)))</f>
        <v>0</v>
      </c>
      <c r="BJ932">
        <f>IF($A932="","",IF(BH932=1,$B932,BJ931))</f>
        <v>0</v>
      </c>
      <c r="BK932">
        <f>IF($A932="","",IF(BH932=1,$C932,MAX($C932,BK931)))</f>
        <v>0</v>
      </c>
      <c r="BL932">
        <f>IF($A932="","",IF(BH932=1,$D932,MIN($D932,BL931)))</f>
        <v>0</v>
      </c>
      <c r="BM932">
        <f>IF($A932="","",IF(BI932=1,F932,""))</f>
        <v>0</v>
      </c>
      <c r="BN932">
        <f>IF($A932="","",DATE(YEAR($A932),MONTH($A932),1))</f>
        <v>0</v>
      </c>
      <c r="BO932">
        <f>IF($A932="","",IF($A931="",1,IF(BN932&lt;&gt;BN931,1,0)))</f>
        <v>0</v>
      </c>
      <c r="BP932">
        <f>IF($A932="","",IF($A933="",1,IF(BN933&lt;&gt;BN932,1,0)))</f>
        <v>0</v>
      </c>
      <c r="BQ932">
        <f>IF($A932="","",IF(BO932=1,$B932,BQ931))</f>
        <v>0</v>
      </c>
      <c r="BR932">
        <f>IF($A932="","",IF(BO932=1,$C932,MAX($C932,BR931)))</f>
        <v>0</v>
      </c>
      <c r="BS932">
        <f>IF($A932="","",IF(BO932=1,$D932,MIN($D932,BS931)))</f>
        <v>0</v>
      </c>
      <c r="BT932">
        <f>IF($A932="","",IF(BP932=1,F932,""))</f>
        <v>0</v>
      </c>
    </row>
    <row r="933" spans="1:72">
      <c r="A933" s="27">
        <f>IF(Data!$A933="","",Data!$A933)</f>
        <v>0</v>
      </c>
      <c r="B933">
        <f>IF(Data!$B933="","",Data!$B933)</f>
        <v>0</v>
      </c>
      <c r="C933">
        <f>IF(Data!$C933="","",Data!$C933)</f>
        <v>0</v>
      </c>
      <c r="D933">
        <f>IF(Data!$D933="","",Data!$D933)</f>
        <v>0</v>
      </c>
      <c r="E933">
        <f>IF(Data!$E933="","",Data!$E933)</f>
        <v>0</v>
      </c>
      <c r="F933">
        <f>IF($E933="","",N(F932)+1)</f>
        <v>0</v>
      </c>
      <c r="G933">
        <f>IF(OR($E933="",$E932=""),"",LN($E933/$E932))</f>
        <v>0</v>
      </c>
      <c r="H933">
        <f>IF($E933="","",IF($E932="",$E933,$E933*0.0952380952+H932*0.9047619048))</f>
        <v>0</v>
      </c>
      <c r="I933">
        <f>IF($E933="","",IF($E932="",$E933,$E933*0.0392156863+I932*0.9607843137))</f>
        <v>0</v>
      </c>
      <c r="J933">
        <f>IF($E933="","",IF($E932="",$E933,$E933*0.0198019802+J932*0.9801980198))</f>
        <v>0</v>
      </c>
      <c r="K933">
        <f>IF($E933="","",IF($E932="",$E933,$E933*0.0099502488+K932*0.9900497512))</f>
        <v>0</v>
      </c>
      <c r="L933">
        <f>IF(OR($E933="",$E932=""),"",MAX($E933-$E932,0))</f>
        <v>0</v>
      </c>
      <c r="M933">
        <f>IF(OR($E933="",$E932=""),"",MAX($E932-$E933,0))</f>
        <v>0</v>
      </c>
      <c r="N933">
        <f>IF(COUNT($E$2:$E933)&lt;15,"",IF(AVERAGE($M$920:$M$933)=0,100,100-100/(1+AVERAGE($L$920:$L$933)/AVERAGE($M$920:$M$933))))</f>
        <v>0</v>
      </c>
      <c r="O933">
        <f>IF($E933="","",IF($E932="",$E933,$E933*0.1538461538+O932*0.8461538462))</f>
        <v>0</v>
      </c>
      <c r="P933">
        <f>IF($E933="","",IF($E932="",$E933,$E933*0.0740740741+P932*0.9259259259))</f>
        <v>0</v>
      </c>
      <c r="Q933">
        <f>IF(OR(O933="",P933=""),"",O933-P933)</f>
        <v>0</v>
      </c>
      <c r="R933">
        <f>IF(Q933="","",IF(R932="",Q933,Q933*0.2000000000+R932*0.8000000000))</f>
        <v>0</v>
      </c>
      <c r="S933">
        <f>IF(OR(Q933="",R933=""),"",Q933-R933)</f>
        <v>0</v>
      </c>
      <c r="T933">
        <f>IF(COUNT($E$2:$E933)&lt;14,"",MAX($C$920:$C$933))</f>
        <v>0</v>
      </c>
      <c r="U933">
        <f>IF(COUNT($E$2:$E933)&lt;14,"",MIN($D$920:$D$933))</f>
        <v>0</v>
      </c>
      <c r="V933">
        <f>IF(OR(T933="",U933="",T933=U933),"",100*($E933-U933)/(T933-U933))</f>
        <v>0</v>
      </c>
      <c r="W933">
        <f>IF(COUNT($V$931:$V$933)&lt;3,"",AVERAGE($V$931:$V$933))</f>
        <v>0</v>
      </c>
      <c r="X933">
        <f>IF(COUNT($N$920:$N$933)&lt;14,"",MIN($N$920:$N$933))</f>
        <v>0</v>
      </c>
      <c r="Y933">
        <f>IF(COUNT($N$920:$N$933)&lt;14,"",MAX($N$920:$N$933))</f>
        <v>0</v>
      </c>
      <c r="Z933">
        <f>IF(OR(N933="",X933="",Y933="",Y933=X933),"",100*(N933-X933)/(Y933-X933))</f>
        <v>0</v>
      </c>
      <c r="AA933">
        <f>IF(COUNT($Z$931:$Z$933)&lt;3,"",AVERAGE($Z$931:$Z$933))</f>
        <v>0</v>
      </c>
      <c r="AB933">
        <f>IF(COUNT($AA$931:$AA$933)&lt;3,"",AVERAGE($AA$931:$AA$933))</f>
        <v>0</v>
      </c>
      <c r="AC933">
        <f>IF($E933="","",MAX($C933-$D933,ABS($C933-$E932),ABS($D933-$E932)))</f>
        <v>0</v>
      </c>
      <c r="AD933">
        <f>IF(COUNT($E$2:$E933)&lt;15,"",AVERAGE($AC$920:$AC$933))</f>
        <v>0</v>
      </c>
      <c r="AE933">
        <f>IF(OR($E933="",$E932=""),"",IF(AND(($C933-$C932)&gt;($D932-$D933),($C933-$C932)&gt;0),$C933-$C932,0))</f>
        <v>0</v>
      </c>
      <c r="AF933">
        <f>IF(OR($E933="",$E932=""),"",IF(AND(($D932-$D933)&gt;($C933-$C932),($D932-$D933)&gt;0),$D932-$D933,0))</f>
        <v>0</v>
      </c>
      <c r="AG933">
        <f>IF(COUNT($E$2:$E933)&lt;15,"",IF(SUM($AC$920:$AC$933)=0,0,100*SUM($AE$920:$AE$933)/SUM($AC$920:$AC$933)))</f>
        <v>0</v>
      </c>
      <c r="AH933">
        <f>IF(COUNT($E$2:$E933)&lt;15,"",IF(SUM($AC$920:$AC$933)=0,0,100*SUM($AF$920:$AF$933)/SUM($AC$920:$AC$933)))</f>
        <v>0</v>
      </c>
      <c r="AI933">
        <f>IF(OR(AG933="",AH933=""),"",IF((AG933+AH933)=0,0,100*ABS(AG933-AH933)/(AG933+AH933)))</f>
        <v>0</v>
      </c>
      <c r="AJ933">
        <f>IF(COUNT($AI$920:$AI$933)&lt;14,"",AVERAGE($AI$920:$AI$933))</f>
        <v>0</v>
      </c>
      <c r="AK933">
        <f>IF(COUNT($E$2:$E933)&lt;20,"",AVERAGE($E$914:$E$933))</f>
        <v>0</v>
      </c>
      <c r="AL933">
        <f>IF(COUNT($E$2:$E933)&lt;20,"",STDEVP($E$914:$E$933))</f>
        <v>0</v>
      </c>
      <c r="AM933">
        <f>IF(AK933="","",AK933+2*AL933)</f>
        <v>0</v>
      </c>
      <c r="AN933">
        <f>IF(AK933="","",AK933-2*AL933)</f>
        <v>0</v>
      </c>
      <c r="AO933">
        <f>IF(OR(AM933="",AN933="",AM933=AN933),"",($E933-AN933)/(AM933-AN933))</f>
        <v>0</v>
      </c>
      <c r="AP933">
        <f>IF(OR(AM933="",AK933="",AK933=0),"",(AM933-AN933)/AK933)</f>
        <v>0</v>
      </c>
      <c r="AQ933">
        <f>IF(COUNT($E$2:$E933)&lt;20,"",MAX($C$914:$C$933))</f>
        <v>0</v>
      </c>
      <c r="AR933">
        <f>IF(COUNT($E$2:$E933)&lt;20,"",MIN($D$914:$D$933))</f>
        <v>0</v>
      </c>
      <c r="AS933">
        <f>IF(OR(AQ933="",AR933=""),"",(AQ933+AR933)/2)</f>
        <v>0</v>
      </c>
      <c r="AT933">
        <f>IF(COUNT($G$914:$G$933)&lt;20,"",STDEV($G$914:$G$933)*SQRT(252))</f>
        <v>0</v>
      </c>
      <c r="AU933">
        <f>IF(COUNT($E$2:$E933)&lt;9,"",(MAX($C$925:$C$933)+MIN($D$925:$D$933))/2)</f>
        <v>0</v>
      </c>
      <c r="AV933">
        <f>IF(COUNT($E$2:$E933)&lt;26,"",(MAX($C$908:$C$933)+MIN($D$908:$D$933))/2)</f>
        <v>0</v>
      </c>
      <c r="AW933">
        <f>IF(OR(AU933="",AV933=""),"",(AU933+AV933)/2)</f>
        <v>0</v>
      </c>
      <c r="AX933">
        <f>IF(COUNT($E$2:$E933)&lt;52,"",(MAX($C$882:$C$933)+MIN($D$882:$D$933))/2)</f>
        <v>0</v>
      </c>
      <c r="AY933">
        <f>IF(COUNT($E$2:$E933)&lt;20,"",MAX($C$834:$C$933))</f>
        <v>0</v>
      </c>
      <c r="AZ933">
        <f>IF(COUNT($E$2:$E933)&lt;20,"",MIN($D$834:$D$933))</f>
        <v>0</v>
      </c>
      <c r="BA933">
        <f>IF(COUNT($E$2:$E933)&lt;20,"",SLOPE($E$834:$E$933,$F$834:$F$933))</f>
        <v>0</v>
      </c>
      <c r="BB933">
        <f>IF(COUNT($E$2:$E933)&lt;20,"",INTERCEPT($E$834:$E$933,$F$834:$F$933))</f>
        <v>0</v>
      </c>
      <c r="BC933">
        <f>IF(OR(BA933="",BB933=""),"",BB933+BA933*F933)</f>
        <v>0</v>
      </c>
      <c r="BD933">
        <f>IF(COUNT($E$2:$E933)&lt;20,"",STEYX($E$834:$E$933,$F$834:$F$933))</f>
        <v>0</v>
      </c>
      <c r="BE933">
        <f>IF($E933="","",IF(AND(COUNT($E$934:$E$937)&gt;=4,$C933=MAX($C$929:$C$937)),$C933,""))</f>
        <v>0</v>
      </c>
      <c r="BF933">
        <f>IF($E933="","",IF(AND(COUNT($E$934:$E$937)&gt;=4,$D933=MIN($D$929:$D$937)),$D933,""))</f>
        <v>0</v>
      </c>
      <c r="BG933">
        <f>IF($A933="","",$A933-WEEKDAY($A933,2)+1)</f>
        <v>0</v>
      </c>
      <c r="BH933">
        <f>IF($A933="","",IF($A932="",1,IF(BG933&lt;&gt;BG932,1,0)))</f>
        <v>0</v>
      </c>
      <c r="BI933">
        <f>IF($A933="","",IF($A934="",1,IF(BG934&lt;&gt;BG933,1,0)))</f>
        <v>0</v>
      </c>
      <c r="BJ933">
        <f>IF($A933="","",IF(BH933=1,$B933,BJ932))</f>
        <v>0</v>
      </c>
      <c r="BK933">
        <f>IF($A933="","",IF(BH933=1,$C933,MAX($C933,BK932)))</f>
        <v>0</v>
      </c>
      <c r="BL933">
        <f>IF($A933="","",IF(BH933=1,$D933,MIN($D933,BL932)))</f>
        <v>0</v>
      </c>
      <c r="BM933">
        <f>IF($A933="","",IF(BI933=1,F933,""))</f>
        <v>0</v>
      </c>
      <c r="BN933">
        <f>IF($A933="","",DATE(YEAR($A933),MONTH($A933),1))</f>
        <v>0</v>
      </c>
      <c r="BO933">
        <f>IF($A933="","",IF($A932="",1,IF(BN933&lt;&gt;BN932,1,0)))</f>
        <v>0</v>
      </c>
      <c r="BP933">
        <f>IF($A933="","",IF($A934="",1,IF(BN934&lt;&gt;BN933,1,0)))</f>
        <v>0</v>
      </c>
      <c r="BQ933">
        <f>IF($A933="","",IF(BO933=1,$B933,BQ932))</f>
        <v>0</v>
      </c>
      <c r="BR933">
        <f>IF($A933="","",IF(BO933=1,$C933,MAX($C933,BR932)))</f>
        <v>0</v>
      </c>
      <c r="BS933">
        <f>IF($A933="","",IF(BO933=1,$D933,MIN($D933,BS932)))</f>
        <v>0</v>
      </c>
      <c r="BT933">
        <f>IF($A933="","",IF(BP933=1,F933,""))</f>
        <v>0</v>
      </c>
    </row>
    <row r="934" spans="1:72">
      <c r="A934" s="27">
        <f>IF(Data!$A934="","",Data!$A934)</f>
        <v>0</v>
      </c>
      <c r="B934">
        <f>IF(Data!$B934="","",Data!$B934)</f>
        <v>0</v>
      </c>
      <c r="C934">
        <f>IF(Data!$C934="","",Data!$C934)</f>
        <v>0</v>
      </c>
      <c r="D934">
        <f>IF(Data!$D934="","",Data!$D934)</f>
        <v>0</v>
      </c>
      <c r="E934">
        <f>IF(Data!$E934="","",Data!$E934)</f>
        <v>0</v>
      </c>
      <c r="F934">
        <f>IF($E934="","",N(F933)+1)</f>
        <v>0</v>
      </c>
      <c r="G934">
        <f>IF(OR($E934="",$E933=""),"",LN($E934/$E933))</f>
        <v>0</v>
      </c>
      <c r="H934">
        <f>IF($E934="","",IF($E933="",$E934,$E934*0.0952380952+H933*0.9047619048))</f>
        <v>0</v>
      </c>
      <c r="I934">
        <f>IF($E934="","",IF($E933="",$E934,$E934*0.0392156863+I933*0.9607843137))</f>
        <v>0</v>
      </c>
      <c r="J934">
        <f>IF($E934="","",IF($E933="",$E934,$E934*0.0198019802+J933*0.9801980198))</f>
        <v>0</v>
      </c>
      <c r="K934">
        <f>IF($E934="","",IF($E933="",$E934,$E934*0.0099502488+K933*0.9900497512))</f>
        <v>0</v>
      </c>
      <c r="L934">
        <f>IF(OR($E934="",$E933=""),"",MAX($E934-$E933,0))</f>
        <v>0</v>
      </c>
      <c r="M934">
        <f>IF(OR($E934="",$E933=""),"",MAX($E933-$E934,0))</f>
        <v>0</v>
      </c>
      <c r="N934">
        <f>IF(COUNT($E$2:$E934)&lt;15,"",IF(AVERAGE($M$921:$M$934)=0,100,100-100/(1+AVERAGE($L$921:$L$934)/AVERAGE($M$921:$M$934))))</f>
        <v>0</v>
      </c>
      <c r="O934">
        <f>IF($E934="","",IF($E933="",$E934,$E934*0.1538461538+O933*0.8461538462))</f>
        <v>0</v>
      </c>
      <c r="P934">
        <f>IF($E934="","",IF($E933="",$E934,$E934*0.0740740741+P933*0.9259259259))</f>
        <v>0</v>
      </c>
      <c r="Q934">
        <f>IF(OR(O934="",P934=""),"",O934-P934)</f>
        <v>0</v>
      </c>
      <c r="R934">
        <f>IF(Q934="","",IF(R933="",Q934,Q934*0.2000000000+R933*0.8000000000))</f>
        <v>0</v>
      </c>
      <c r="S934">
        <f>IF(OR(Q934="",R934=""),"",Q934-R934)</f>
        <v>0</v>
      </c>
      <c r="T934">
        <f>IF(COUNT($E$2:$E934)&lt;14,"",MAX($C$921:$C$934))</f>
        <v>0</v>
      </c>
      <c r="U934">
        <f>IF(COUNT($E$2:$E934)&lt;14,"",MIN($D$921:$D$934))</f>
        <v>0</v>
      </c>
      <c r="V934">
        <f>IF(OR(T934="",U934="",T934=U934),"",100*($E934-U934)/(T934-U934))</f>
        <v>0</v>
      </c>
      <c r="W934">
        <f>IF(COUNT($V$932:$V$934)&lt;3,"",AVERAGE($V$932:$V$934))</f>
        <v>0</v>
      </c>
      <c r="X934">
        <f>IF(COUNT($N$921:$N$934)&lt;14,"",MIN($N$921:$N$934))</f>
        <v>0</v>
      </c>
      <c r="Y934">
        <f>IF(COUNT($N$921:$N$934)&lt;14,"",MAX($N$921:$N$934))</f>
        <v>0</v>
      </c>
      <c r="Z934">
        <f>IF(OR(N934="",X934="",Y934="",Y934=X934),"",100*(N934-X934)/(Y934-X934))</f>
        <v>0</v>
      </c>
      <c r="AA934">
        <f>IF(COUNT($Z$932:$Z$934)&lt;3,"",AVERAGE($Z$932:$Z$934))</f>
        <v>0</v>
      </c>
      <c r="AB934">
        <f>IF(COUNT($AA$932:$AA$934)&lt;3,"",AVERAGE($AA$932:$AA$934))</f>
        <v>0</v>
      </c>
      <c r="AC934">
        <f>IF($E934="","",MAX($C934-$D934,ABS($C934-$E933),ABS($D934-$E933)))</f>
        <v>0</v>
      </c>
      <c r="AD934">
        <f>IF(COUNT($E$2:$E934)&lt;15,"",AVERAGE($AC$921:$AC$934))</f>
        <v>0</v>
      </c>
      <c r="AE934">
        <f>IF(OR($E934="",$E933=""),"",IF(AND(($C934-$C933)&gt;($D933-$D934),($C934-$C933)&gt;0),$C934-$C933,0))</f>
        <v>0</v>
      </c>
      <c r="AF934">
        <f>IF(OR($E934="",$E933=""),"",IF(AND(($D933-$D934)&gt;($C934-$C933),($D933-$D934)&gt;0),$D933-$D934,0))</f>
        <v>0</v>
      </c>
      <c r="AG934">
        <f>IF(COUNT($E$2:$E934)&lt;15,"",IF(SUM($AC$921:$AC$934)=0,0,100*SUM($AE$921:$AE$934)/SUM($AC$921:$AC$934)))</f>
        <v>0</v>
      </c>
      <c r="AH934">
        <f>IF(COUNT($E$2:$E934)&lt;15,"",IF(SUM($AC$921:$AC$934)=0,0,100*SUM($AF$921:$AF$934)/SUM($AC$921:$AC$934)))</f>
        <v>0</v>
      </c>
      <c r="AI934">
        <f>IF(OR(AG934="",AH934=""),"",IF((AG934+AH934)=0,0,100*ABS(AG934-AH934)/(AG934+AH934)))</f>
        <v>0</v>
      </c>
      <c r="AJ934">
        <f>IF(COUNT($AI$921:$AI$934)&lt;14,"",AVERAGE($AI$921:$AI$934))</f>
        <v>0</v>
      </c>
      <c r="AK934">
        <f>IF(COUNT($E$2:$E934)&lt;20,"",AVERAGE($E$915:$E$934))</f>
        <v>0</v>
      </c>
      <c r="AL934">
        <f>IF(COUNT($E$2:$E934)&lt;20,"",STDEVP($E$915:$E$934))</f>
        <v>0</v>
      </c>
      <c r="AM934">
        <f>IF(AK934="","",AK934+2*AL934)</f>
        <v>0</v>
      </c>
      <c r="AN934">
        <f>IF(AK934="","",AK934-2*AL934)</f>
        <v>0</v>
      </c>
      <c r="AO934">
        <f>IF(OR(AM934="",AN934="",AM934=AN934),"",($E934-AN934)/(AM934-AN934))</f>
        <v>0</v>
      </c>
      <c r="AP934">
        <f>IF(OR(AM934="",AK934="",AK934=0),"",(AM934-AN934)/AK934)</f>
        <v>0</v>
      </c>
      <c r="AQ934">
        <f>IF(COUNT($E$2:$E934)&lt;20,"",MAX($C$915:$C$934))</f>
        <v>0</v>
      </c>
      <c r="AR934">
        <f>IF(COUNT($E$2:$E934)&lt;20,"",MIN($D$915:$D$934))</f>
        <v>0</v>
      </c>
      <c r="AS934">
        <f>IF(OR(AQ934="",AR934=""),"",(AQ934+AR934)/2)</f>
        <v>0</v>
      </c>
      <c r="AT934">
        <f>IF(COUNT($G$915:$G$934)&lt;20,"",STDEV($G$915:$G$934)*SQRT(252))</f>
        <v>0</v>
      </c>
      <c r="AU934">
        <f>IF(COUNT($E$2:$E934)&lt;9,"",(MAX($C$926:$C$934)+MIN($D$926:$D$934))/2)</f>
        <v>0</v>
      </c>
      <c r="AV934">
        <f>IF(COUNT($E$2:$E934)&lt;26,"",(MAX($C$909:$C$934)+MIN($D$909:$D$934))/2)</f>
        <v>0</v>
      </c>
      <c r="AW934">
        <f>IF(OR(AU934="",AV934=""),"",(AU934+AV934)/2)</f>
        <v>0</v>
      </c>
      <c r="AX934">
        <f>IF(COUNT($E$2:$E934)&lt;52,"",(MAX($C$883:$C$934)+MIN($D$883:$D$934))/2)</f>
        <v>0</v>
      </c>
      <c r="AY934">
        <f>IF(COUNT($E$2:$E934)&lt;20,"",MAX($C$835:$C$934))</f>
        <v>0</v>
      </c>
      <c r="AZ934">
        <f>IF(COUNT($E$2:$E934)&lt;20,"",MIN($D$835:$D$934))</f>
        <v>0</v>
      </c>
      <c r="BA934">
        <f>IF(COUNT($E$2:$E934)&lt;20,"",SLOPE($E$835:$E$934,$F$835:$F$934))</f>
        <v>0</v>
      </c>
      <c r="BB934">
        <f>IF(COUNT($E$2:$E934)&lt;20,"",INTERCEPT($E$835:$E$934,$F$835:$F$934))</f>
        <v>0</v>
      </c>
      <c r="BC934">
        <f>IF(OR(BA934="",BB934=""),"",BB934+BA934*F934)</f>
        <v>0</v>
      </c>
      <c r="BD934">
        <f>IF(COUNT($E$2:$E934)&lt;20,"",STEYX($E$835:$E$934,$F$835:$F$934))</f>
        <v>0</v>
      </c>
      <c r="BE934">
        <f>IF($E934="","",IF(AND(COUNT($E$935:$E$938)&gt;=4,$C934=MAX($C$930:$C$938)),$C934,""))</f>
        <v>0</v>
      </c>
      <c r="BF934">
        <f>IF($E934="","",IF(AND(COUNT($E$935:$E$938)&gt;=4,$D934=MIN($D$930:$D$938)),$D934,""))</f>
        <v>0</v>
      </c>
      <c r="BG934">
        <f>IF($A934="","",$A934-WEEKDAY($A934,2)+1)</f>
        <v>0</v>
      </c>
      <c r="BH934">
        <f>IF($A934="","",IF($A933="",1,IF(BG934&lt;&gt;BG933,1,0)))</f>
        <v>0</v>
      </c>
      <c r="BI934">
        <f>IF($A934="","",IF($A935="",1,IF(BG935&lt;&gt;BG934,1,0)))</f>
        <v>0</v>
      </c>
      <c r="BJ934">
        <f>IF($A934="","",IF(BH934=1,$B934,BJ933))</f>
        <v>0</v>
      </c>
      <c r="BK934">
        <f>IF($A934="","",IF(BH934=1,$C934,MAX($C934,BK933)))</f>
        <v>0</v>
      </c>
      <c r="BL934">
        <f>IF($A934="","",IF(BH934=1,$D934,MIN($D934,BL933)))</f>
        <v>0</v>
      </c>
      <c r="BM934">
        <f>IF($A934="","",IF(BI934=1,F934,""))</f>
        <v>0</v>
      </c>
      <c r="BN934">
        <f>IF($A934="","",DATE(YEAR($A934),MONTH($A934),1))</f>
        <v>0</v>
      </c>
      <c r="BO934">
        <f>IF($A934="","",IF($A933="",1,IF(BN934&lt;&gt;BN933,1,0)))</f>
        <v>0</v>
      </c>
      <c r="BP934">
        <f>IF($A934="","",IF($A935="",1,IF(BN935&lt;&gt;BN934,1,0)))</f>
        <v>0</v>
      </c>
      <c r="BQ934">
        <f>IF($A934="","",IF(BO934=1,$B934,BQ933))</f>
        <v>0</v>
      </c>
      <c r="BR934">
        <f>IF($A934="","",IF(BO934=1,$C934,MAX($C934,BR933)))</f>
        <v>0</v>
      </c>
      <c r="BS934">
        <f>IF($A934="","",IF(BO934=1,$D934,MIN($D934,BS933)))</f>
        <v>0</v>
      </c>
      <c r="BT934">
        <f>IF($A934="","",IF(BP934=1,F934,""))</f>
        <v>0</v>
      </c>
    </row>
    <row r="935" spans="1:72">
      <c r="A935" s="27">
        <f>IF(Data!$A935="","",Data!$A935)</f>
        <v>0</v>
      </c>
      <c r="B935">
        <f>IF(Data!$B935="","",Data!$B935)</f>
        <v>0</v>
      </c>
      <c r="C935">
        <f>IF(Data!$C935="","",Data!$C935)</f>
        <v>0</v>
      </c>
      <c r="D935">
        <f>IF(Data!$D935="","",Data!$D935)</f>
        <v>0</v>
      </c>
      <c r="E935">
        <f>IF(Data!$E935="","",Data!$E935)</f>
        <v>0</v>
      </c>
      <c r="F935">
        <f>IF($E935="","",N(F934)+1)</f>
        <v>0</v>
      </c>
      <c r="G935">
        <f>IF(OR($E935="",$E934=""),"",LN($E935/$E934))</f>
        <v>0</v>
      </c>
      <c r="H935">
        <f>IF($E935="","",IF($E934="",$E935,$E935*0.0952380952+H934*0.9047619048))</f>
        <v>0</v>
      </c>
      <c r="I935">
        <f>IF($E935="","",IF($E934="",$E935,$E935*0.0392156863+I934*0.9607843137))</f>
        <v>0</v>
      </c>
      <c r="J935">
        <f>IF($E935="","",IF($E934="",$E935,$E935*0.0198019802+J934*0.9801980198))</f>
        <v>0</v>
      </c>
      <c r="K935">
        <f>IF($E935="","",IF($E934="",$E935,$E935*0.0099502488+K934*0.9900497512))</f>
        <v>0</v>
      </c>
      <c r="L935">
        <f>IF(OR($E935="",$E934=""),"",MAX($E935-$E934,0))</f>
        <v>0</v>
      </c>
      <c r="M935">
        <f>IF(OR($E935="",$E934=""),"",MAX($E934-$E935,0))</f>
        <v>0</v>
      </c>
      <c r="N935">
        <f>IF(COUNT($E$2:$E935)&lt;15,"",IF(AVERAGE($M$922:$M$935)=0,100,100-100/(1+AVERAGE($L$922:$L$935)/AVERAGE($M$922:$M$935))))</f>
        <v>0</v>
      </c>
      <c r="O935">
        <f>IF($E935="","",IF($E934="",$E935,$E935*0.1538461538+O934*0.8461538462))</f>
        <v>0</v>
      </c>
      <c r="P935">
        <f>IF($E935="","",IF($E934="",$E935,$E935*0.0740740741+P934*0.9259259259))</f>
        <v>0</v>
      </c>
      <c r="Q935">
        <f>IF(OR(O935="",P935=""),"",O935-P935)</f>
        <v>0</v>
      </c>
      <c r="R935">
        <f>IF(Q935="","",IF(R934="",Q935,Q935*0.2000000000+R934*0.8000000000))</f>
        <v>0</v>
      </c>
      <c r="S935">
        <f>IF(OR(Q935="",R935=""),"",Q935-R935)</f>
        <v>0</v>
      </c>
      <c r="T935">
        <f>IF(COUNT($E$2:$E935)&lt;14,"",MAX($C$922:$C$935))</f>
        <v>0</v>
      </c>
      <c r="U935">
        <f>IF(COUNT($E$2:$E935)&lt;14,"",MIN($D$922:$D$935))</f>
        <v>0</v>
      </c>
      <c r="V935">
        <f>IF(OR(T935="",U935="",T935=U935),"",100*($E935-U935)/(T935-U935))</f>
        <v>0</v>
      </c>
      <c r="W935">
        <f>IF(COUNT($V$933:$V$935)&lt;3,"",AVERAGE($V$933:$V$935))</f>
        <v>0</v>
      </c>
      <c r="X935">
        <f>IF(COUNT($N$922:$N$935)&lt;14,"",MIN($N$922:$N$935))</f>
        <v>0</v>
      </c>
      <c r="Y935">
        <f>IF(COUNT($N$922:$N$935)&lt;14,"",MAX($N$922:$N$935))</f>
        <v>0</v>
      </c>
      <c r="Z935">
        <f>IF(OR(N935="",X935="",Y935="",Y935=X935),"",100*(N935-X935)/(Y935-X935))</f>
        <v>0</v>
      </c>
      <c r="AA935">
        <f>IF(COUNT($Z$933:$Z$935)&lt;3,"",AVERAGE($Z$933:$Z$935))</f>
        <v>0</v>
      </c>
      <c r="AB935">
        <f>IF(COUNT($AA$933:$AA$935)&lt;3,"",AVERAGE($AA$933:$AA$935))</f>
        <v>0</v>
      </c>
      <c r="AC935">
        <f>IF($E935="","",MAX($C935-$D935,ABS($C935-$E934),ABS($D935-$E934)))</f>
        <v>0</v>
      </c>
      <c r="AD935">
        <f>IF(COUNT($E$2:$E935)&lt;15,"",AVERAGE($AC$922:$AC$935))</f>
        <v>0</v>
      </c>
      <c r="AE935">
        <f>IF(OR($E935="",$E934=""),"",IF(AND(($C935-$C934)&gt;($D934-$D935),($C935-$C934)&gt;0),$C935-$C934,0))</f>
        <v>0</v>
      </c>
      <c r="AF935">
        <f>IF(OR($E935="",$E934=""),"",IF(AND(($D934-$D935)&gt;($C935-$C934),($D934-$D935)&gt;0),$D934-$D935,0))</f>
        <v>0</v>
      </c>
      <c r="AG935">
        <f>IF(COUNT($E$2:$E935)&lt;15,"",IF(SUM($AC$922:$AC$935)=0,0,100*SUM($AE$922:$AE$935)/SUM($AC$922:$AC$935)))</f>
        <v>0</v>
      </c>
      <c r="AH935">
        <f>IF(COUNT($E$2:$E935)&lt;15,"",IF(SUM($AC$922:$AC$935)=0,0,100*SUM($AF$922:$AF$935)/SUM($AC$922:$AC$935)))</f>
        <v>0</v>
      </c>
      <c r="AI935">
        <f>IF(OR(AG935="",AH935=""),"",IF((AG935+AH935)=0,0,100*ABS(AG935-AH935)/(AG935+AH935)))</f>
        <v>0</v>
      </c>
      <c r="AJ935">
        <f>IF(COUNT($AI$922:$AI$935)&lt;14,"",AVERAGE($AI$922:$AI$935))</f>
        <v>0</v>
      </c>
      <c r="AK935">
        <f>IF(COUNT($E$2:$E935)&lt;20,"",AVERAGE($E$916:$E$935))</f>
        <v>0</v>
      </c>
      <c r="AL935">
        <f>IF(COUNT($E$2:$E935)&lt;20,"",STDEVP($E$916:$E$935))</f>
        <v>0</v>
      </c>
      <c r="AM935">
        <f>IF(AK935="","",AK935+2*AL935)</f>
        <v>0</v>
      </c>
      <c r="AN935">
        <f>IF(AK935="","",AK935-2*AL935)</f>
        <v>0</v>
      </c>
      <c r="AO935">
        <f>IF(OR(AM935="",AN935="",AM935=AN935),"",($E935-AN935)/(AM935-AN935))</f>
        <v>0</v>
      </c>
      <c r="AP935">
        <f>IF(OR(AM935="",AK935="",AK935=0),"",(AM935-AN935)/AK935)</f>
        <v>0</v>
      </c>
      <c r="AQ935">
        <f>IF(COUNT($E$2:$E935)&lt;20,"",MAX($C$916:$C$935))</f>
        <v>0</v>
      </c>
      <c r="AR935">
        <f>IF(COUNT($E$2:$E935)&lt;20,"",MIN($D$916:$D$935))</f>
        <v>0</v>
      </c>
      <c r="AS935">
        <f>IF(OR(AQ935="",AR935=""),"",(AQ935+AR935)/2)</f>
        <v>0</v>
      </c>
      <c r="AT935">
        <f>IF(COUNT($G$916:$G$935)&lt;20,"",STDEV($G$916:$G$935)*SQRT(252))</f>
        <v>0</v>
      </c>
      <c r="AU935">
        <f>IF(COUNT($E$2:$E935)&lt;9,"",(MAX($C$927:$C$935)+MIN($D$927:$D$935))/2)</f>
        <v>0</v>
      </c>
      <c r="AV935">
        <f>IF(COUNT($E$2:$E935)&lt;26,"",(MAX($C$910:$C$935)+MIN($D$910:$D$935))/2)</f>
        <v>0</v>
      </c>
      <c r="AW935">
        <f>IF(OR(AU935="",AV935=""),"",(AU935+AV935)/2)</f>
        <v>0</v>
      </c>
      <c r="AX935">
        <f>IF(COUNT($E$2:$E935)&lt;52,"",(MAX($C$884:$C$935)+MIN($D$884:$D$935))/2)</f>
        <v>0</v>
      </c>
      <c r="AY935">
        <f>IF(COUNT($E$2:$E935)&lt;20,"",MAX($C$836:$C$935))</f>
        <v>0</v>
      </c>
      <c r="AZ935">
        <f>IF(COUNT($E$2:$E935)&lt;20,"",MIN($D$836:$D$935))</f>
        <v>0</v>
      </c>
      <c r="BA935">
        <f>IF(COUNT($E$2:$E935)&lt;20,"",SLOPE($E$836:$E$935,$F$836:$F$935))</f>
        <v>0</v>
      </c>
      <c r="BB935">
        <f>IF(COUNT($E$2:$E935)&lt;20,"",INTERCEPT($E$836:$E$935,$F$836:$F$935))</f>
        <v>0</v>
      </c>
      <c r="BC935">
        <f>IF(OR(BA935="",BB935=""),"",BB935+BA935*F935)</f>
        <v>0</v>
      </c>
      <c r="BD935">
        <f>IF(COUNT($E$2:$E935)&lt;20,"",STEYX($E$836:$E$935,$F$836:$F$935))</f>
        <v>0</v>
      </c>
      <c r="BE935">
        <f>IF($E935="","",IF(AND(COUNT($E$936:$E$939)&gt;=4,$C935=MAX($C$931:$C$939)),$C935,""))</f>
        <v>0</v>
      </c>
      <c r="BF935">
        <f>IF($E935="","",IF(AND(COUNT($E$936:$E$939)&gt;=4,$D935=MIN($D$931:$D$939)),$D935,""))</f>
        <v>0</v>
      </c>
      <c r="BG935">
        <f>IF($A935="","",$A935-WEEKDAY($A935,2)+1)</f>
        <v>0</v>
      </c>
      <c r="BH935">
        <f>IF($A935="","",IF($A934="",1,IF(BG935&lt;&gt;BG934,1,0)))</f>
        <v>0</v>
      </c>
      <c r="BI935">
        <f>IF($A935="","",IF($A936="",1,IF(BG936&lt;&gt;BG935,1,0)))</f>
        <v>0</v>
      </c>
      <c r="BJ935">
        <f>IF($A935="","",IF(BH935=1,$B935,BJ934))</f>
        <v>0</v>
      </c>
      <c r="BK935">
        <f>IF($A935="","",IF(BH935=1,$C935,MAX($C935,BK934)))</f>
        <v>0</v>
      </c>
      <c r="BL935">
        <f>IF($A935="","",IF(BH935=1,$D935,MIN($D935,BL934)))</f>
        <v>0</v>
      </c>
      <c r="BM935">
        <f>IF($A935="","",IF(BI935=1,F935,""))</f>
        <v>0</v>
      </c>
      <c r="BN935">
        <f>IF($A935="","",DATE(YEAR($A935),MONTH($A935),1))</f>
        <v>0</v>
      </c>
      <c r="BO935">
        <f>IF($A935="","",IF($A934="",1,IF(BN935&lt;&gt;BN934,1,0)))</f>
        <v>0</v>
      </c>
      <c r="BP935">
        <f>IF($A935="","",IF($A936="",1,IF(BN936&lt;&gt;BN935,1,0)))</f>
        <v>0</v>
      </c>
      <c r="BQ935">
        <f>IF($A935="","",IF(BO935=1,$B935,BQ934))</f>
        <v>0</v>
      </c>
      <c r="BR935">
        <f>IF($A935="","",IF(BO935=1,$C935,MAX($C935,BR934)))</f>
        <v>0</v>
      </c>
      <c r="BS935">
        <f>IF($A935="","",IF(BO935=1,$D935,MIN($D935,BS934)))</f>
        <v>0</v>
      </c>
      <c r="BT935">
        <f>IF($A935="","",IF(BP935=1,F935,""))</f>
        <v>0</v>
      </c>
    </row>
    <row r="936" spans="1:72">
      <c r="A936" s="27">
        <f>IF(Data!$A936="","",Data!$A936)</f>
        <v>0</v>
      </c>
      <c r="B936">
        <f>IF(Data!$B936="","",Data!$B936)</f>
        <v>0</v>
      </c>
      <c r="C936">
        <f>IF(Data!$C936="","",Data!$C936)</f>
        <v>0</v>
      </c>
      <c r="D936">
        <f>IF(Data!$D936="","",Data!$D936)</f>
        <v>0</v>
      </c>
      <c r="E936">
        <f>IF(Data!$E936="","",Data!$E936)</f>
        <v>0</v>
      </c>
      <c r="F936">
        <f>IF($E936="","",N(F935)+1)</f>
        <v>0</v>
      </c>
      <c r="G936">
        <f>IF(OR($E936="",$E935=""),"",LN($E936/$E935))</f>
        <v>0</v>
      </c>
      <c r="H936">
        <f>IF($E936="","",IF($E935="",$E936,$E936*0.0952380952+H935*0.9047619048))</f>
        <v>0</v>
      </c>
      <c r="I936">
        <f>IF($E936="","",IF($E935="",$E936,$E936*0.0392156863+I935*0.9607843137))</f>
        <v>0</v>
      </c>
      <c r="J936">
        <f>IF($E936="","",IF($E935="",$E936,$E936*0.0198019802+J935*0.9801980198))</f>
        <v>0</v>
      </c>
      <c r="K936">
        <f>IF($E936="","",IF($E935="",$E936,$E936*0.0099502488+K935*0.9900497512))</f>
        <v>0</v>
      </c>
      <c r="L936">
        <f>IF(OR($E936="",$E935=""),"",MAX($E936-$E935,0))</f>
        <v>0</v>
      </c>
      <c r="M936">
        <f>IF(OR($E936="",$E935=""),"",MAX($E935-$E936,0))</f>
        <v>0</v>
      </c>
      <c r="N936">
        <f>IF(COUNT($E$2:$E936)&lt;15,"",IF(AVERAGE($M$923:$M$936)=0,100,100-100/(1+AVERAGE($L$923:$L$936)/AVERAGE($M$923:$M$936))))</f>
        <v>0</v>
      </c>
      <c r="O936">
        <f>IF($E936="","",IF($E935="",$E936,$E936*0.1538461538+O935*0.8461538462))</f>
        <v>0</v>
      </c>
      <c r="P936">
        <f>IF($E936="","",IF($E935="",$E936,$E936*0.0740740741+P935*0.9259259259))</f>
        <v>0</v>
      </c>
      <c r="Q936">
        <f>IF(OR(O936="",P936=""),"",O936-P936)</f>
        <v>0</v>
      </c>
      <c r="R936">
        <f>IF(Q936="","",IF(R935="",Q936,Q936*0.2000000000+R935*0.8000000000))</f>
        <v>0</v>
      </c>
      <c r="S936">
        <f>IF(OR(Q936="",R936=""),"",Q936-R936)</f>
        <v>0</v>
      </c>
      <c r="T936">
        <f>IF(COUNT($E$2:$E936)&lt;14,"",MAX($C$923:$C$936))</f>
        <v>0</v>
      </c>
      <c r="U936">
        <f>IF(COUNT($E$2:$E936)&lt;14,"",MIN($D$923:$D$936))</f>
        <v>0</v>
      </c>
      <c r="V936">
        <f>IF(OR(T936="",U936="",T936=U936),"",100*($E936-U936)/(T936-U936))</f>
        <v>0</v>
      </c>
      <c r="W936">
        <f>IF(COUNT($V$934:$V$936)&lt;3,"",AVERAGE($V$934:$V$936))</f>
        <v>0</v>
      </c>
      <c r="X936">
        <f>IF(COUNT($N$923:$N$936)&lt;14,"",MIN($N$923:$N$936))</f>
        <v>0</v>
      </c>
      <c r="Y936">
        <f>IF(COUNT($N$923:$N$936)&lt;14,"",MAX($N$923:$N$936))</f>
        <v>0</v>
      </c>
      <c r="Z936">
        <f>IF(OR(N936="",X936="",Y936="",Y936=X936),"",100*(N936-X936)/(Y936-X936))</f>
        <v>0</v>
      </c>
      <c r="AA936">
        <f>IF(COUNT($Z$934:$Z$936)&lt;3,"",AVERAGE($Z$934:$Z$936))</f>
        <v>0</v>
      </c>
      <c r="AB936">
        <f>IF(COUNT($AA$934:$AA$936)&lt;3,"",AVERAGE($AA$934:$AA$936))</f>
        <v>0</v>
      </c>
      <c r="AC936">
        <f>IF($E936="","",MAX($C936-$D936,ABS($C936-$E935),ABS($D936-$E935)))</f>
        <v>0</v>
      </c>
      <c r="AD936">
        <f>IF(COUNT($E$2:$E936)&lt;15,"",AVERAGE($AC$923:$AC$936))</f>
        <v>0</v>
      </c>
      <c r="AE936">
        <f>IF(OR($E936="",$E935=""),"",IF(AND(($C936-$C935)&gt;($D935-$D936),($C936-$C935)&gt;0),$C936-$C935,0))</f>
        <v>0</v>
      </c>
      <c r="AF936">
        <f>IF(OR($E936="",$E935=""),"",IF(AND(($D935-$D936)&gt;($C936-$C935),($D935-$D936)&gt;0),$D935-$D936,0))</f>
        <v>0</v>
      </c>
      <c r="AG936">
        <f>IF(COUNT($E$2:$E936)&lt;15,"",IF(SUM($AC$923:$AC$936)=0,0,100*SUM($AE$923:$AE$936)/SUM($AC$923:$AC$936)))</f>
        <v>0</v>
      </c>
      <c r="AH936">
        <f>IF(COUNT($E$2:$E936)&lt;15,"",IF(SUM($AC$923:$AC$936)=0,0,100*SUM($AF$923:$AF$936)/SUM($AC$923:$AC$936)))</f>
        <v>0</v>
      </c>
      <c r="AI936">
        <f>IF(OR(AG936="",AH936=""),"",IF((AG936+AH936)=0,0,100*ABS(AG936-AH936)/(AG936+AH936)))</f>
        <v>0</v>
      </c>
      <c r="AJ936">
        <f>IF(COUNT($AI$923:$AI$936)&lt;14,"",AVERAGE($AI$923:$AI$936))</f>
        <v>0</v>
      </c>
      <c r="AK936">
        <f>IF(COUNT($E$2:$E936)&lt;20,"",AVERAGE($E$917:$E$936))</f>
        <v>0</v>
      </c>
      <c r="AL936">
        <f>IF(COUNT($E$2:$E936)&lt;20,"",STDEVP($E$917:$E$936))</f>
        <v>0</v>
      </c>
      <c r="AM936">
        <f>IF(AK936="","",AK936+2*AL936)</f>
        <v>0</v>
      </c>
      <c r="AN936">
        <f>IF(AK936="","",AK936-2*AL936)</f>
        <v>0</v>
      </c>
      <c r="AO936">
        <f>IF(OR(AM936="",AN936="",AM936=AN936),"",($E936-AN936)/(AM936-AN936))</f>
        <v>0</v>
      </c>
      <c r="AP936">
        <f>IF(OR(AM936="",AK936="",AK936=0),"",(AM936-AN936)/AK936)</f>
        <v>0</v>
      </c>
      <c r="AQ936">
        <f>IF(COUNT($E$2:$E936)&lt;20,"",MAX($C$917:$C$936))</f>
        <v>0</v>
      </c>
      <c r="AR936">
        <f>IF(COUNT($E$2:$E936)&lt;20,"",MIN($D$917:$D$936))</f>
        <v>0</v>
      </c>
      <c r="AS936">
        <f>IF(OR(AQ936="",AR936=""),"",(AQ936+AR936)/2)</f>
        <v>0</v>
      </c>
      <c r="AT936">
        <f>IF(COUNT($G$917:$G$936)&lt;20,"",STDEV($G$917:$G$936)*SQRT(252))</f>
        <v>0</v>
      </c>
      <c r="AU936">
        <f>IF(COUNT($E$2:$E936)&lt;9,"",(MAX($C$928:$C$936)+MIN($D$928:$D$936))/2)</f>
        <v>0</v>
      </c>
      <c r="AV936">
        <f>IF(COUNT($E$2:$E936)&lt;26,"",(MAX($C$911:$C$936)+MIN($D$911:$D$936))/2)</f>
        <v>0</v>
      </c>
      <c r="AW936">
        <f>IF(OR(AU936="",AV936=""),"",(AU936+AV936)/2)</f>
        <v>0</v>
      </c>
      <c r="AX936">
        <f>IF(COUNT($E$2:$E936)&lt;52,"",(MAX($C$885:$C$936)+MIN($D$885:$D$936))/2)</f>
        <v>0</v>
      </c>
      <c r="AY936">
        <f>IF(COUNT($E$2:$E936)&lt;20,"",MAX($C$837:$C$936))</f>
        <v>0</v>
      </c>
      <c r="AZ936">
        <f>IF(COUNT($E$2:$E936)&lt;20,"",MIN($D$837:$D$936))</f>
        <v>0</v>
      </c>
      <c r="BA936">
        <f>IF(COUNT($E$2:$E936)&lt;20,"",SLOPE($E$837:$E$936,$F$837:$F$936))</f>
        <v>0</v>
      </c>
      <c r="BB936">
        <f>IF(COUNT($E$2:$E936)&lt;20,"",INTERCEPT($E$837:$E$936,$F$837:$F$936))</f>
        <v>0</v>
      </c>
      <c r="BC936">
        <f>IF(OR(BA936="",BB936=""),"",BB936+BA936*F936)</f>
        <v>0</v>
      </c>
      <c r="BD936">
        <f>IF(COUNT($E$2:$E936)&lt;20,"",STEYX($E$837:$E$936,$F$837:$F$936))</f>
        <v>0</v>
      </c>
      <c r="BE936">
        <f>IF($E936="","",IF(AND(COUNT($E$937:$E$940)&gt;=4,$C936=MAX($C$932:$C$940)),$C936,""))</f>
        <v>0</v>
      </c>
      <c r="BF936">
        <f>IF($E936="","",IF(AND(COUNT($E$937:$E$940)&gt;=4,$D936=MIN($D$932:$D$940)),$D936,""))</f>
        <v>0</v>
      </c>
      <c r="BG936">
        <f>IF($A936="","",$A936-WEEKDAY($A936,2)+1)</f>
        <v>0</v>
      </c>
      <c r="BH936">
        <f>IF($A936="","",IF($A935="",1,IF(BG936&lt;&gt;BG935,1,0)))</f>
        <v>0</v>
      </c>
      <c r="BI936">
        <f>IF($A936="","",IF($A937="",1,IF(BG937&lt;&gt;BG936,1,0)))</f>
        <v>0</v>
      </c>
      <c r="BJ936">
        <f>IF($A936="","",IF(BH936=1,$B936,BJ935))</f>
        <v>0</v>
      </c>
      <c r="BK936">
        <f>IF($A936="","",IF(BH936=1,$C936,MAX($C936,BK935)))</f>
        <v>0</v>
      </c>
      <c r="BL936">
        <f>IF($A936="","",IF(BH936=1,$D936,MIN($D936,BL935)))</f>
        <v>0</v>
      </c>
      <c r="BM936">
        <f>IF($A936="","",IF(BI936=1,F936,""))</f>
        <v>0</v>
      </c>
      <c r="BN936">
        <f>IF($A936="","",DATE(YEAR($A936),MONTH($A936),1))</f>
        <v>0</v>
      </c>
      <c r="BO936">
        <f>IF($A936="","",IF($A935="",1,IF(BN936&lt;&gt;BN935,1,0)))</f>
        <v>0</v>
      </c>
      <c r="BP936">
        <f>IF($A936="","",IF($A937="",1,IF(BN937&lt;&gt;BN936,1,0)))</f>
        <v>0</v>
      </c>
      <c r="BQ936">
        <f>IF($A936="","",IF(BO936=1,$B936,BQ935))</f>
        <v>0</v>
      </c>
      <c r="BR936">
        <f>IF($A936="","",IF(BO936=1,$C936,MAX($C936,BR935)))</f>
        <v>0</v>
      </c>
      <c r="BS936">
        <f>IF($A936="","",IF(BO936=1,$D936,MIN($D936,BS935)))</f>
        <v>0</v>
      </c>
      <c r="BT936">
        <f>IF($A936="","",IF(BP936=1,F936,""))</f>
        <v>0</v>
      </c>
    </row>
    <row r="937" spans="1:72">
      <c r="A937" s="27">
        <f>IF(Data!$A937="","",Data!$A937)</f>
        <v>0</v>
      </c>
      <c r="B937">
        <f>IF(Data!$B937="","",Data!$B937)</f>
        <v>0</v>
      </c>
      <c r="C937">
        <f>IF(Data!$C937="","",Data!$C937)</f>
        <v>0</v>
      </c>
      <c r="D937">
        <f>IF(Data!$D937="","",Data!$D937)</f>
        <v>0</v>
      </c>
      <c r="E937">
        <f>IF(Data!$E937="","",Data!$E937)</f>
        <v>0</v>
      </c>
      <c r="F937">
        <f>IF($E937="","",N(F936)+1)</f>
        <v>0</v>
      </c>
      <c r="G937">
        <f>IF(OR($E937="",$E936=""),"",LN($E937/$E936))</f>
        <v>0</v>
      </c>
      <c r="H937">
        <f>IF($E937="","",IF($E936="",$E937,$E937*0.0952380952+H936*0.9047619048))</f>
        <v>0</v>
      </c>
      <c r="I937">
        <f>IF($E937="","",IF($E936="",$E937,$E937*0.0392156863+I936*0.9607843137))</f>
        <v>0</v>
      </c>
      <c r="J937">
        <f>IF($E937="","",IF($E936="",$E937,$E937*0.0198019802+J936*0.9801980198))</f>
        <v>0</v>
      </c>
      <c r="K937">
        <f>IF($E937="","",IF($E936="",$E937,$E937*0.0099502488+K936*0.9900497512))</f>
        <v>0</v>
      </c>
      <c r="L937">
        <f>IF(OR($E937="",$E936=""),"",MAX($E937-$E936,0))</f>
        <v>0</v>
      </c>
      <c r="M937">
        <f>IF(OR($E937="",$E936=""),"",MAX($E936-$E937,0))</f>
        <v>0</v>
      </c>
      <c r="N937">
        <f>IF(COUNT($E$2:$E937)&lt;15,"",IF(AVERAGE($M$924:$M$937)=0,100,100-100/(1+AVERAGE($L$924:$L$937)/AVERAGE($M$924:$M$937))))</f>
        <v>0</v>
      </c>
      <c r="O937">
        <f>IF($E937="","",IF($E936="",$E937,$E937*0.1538461538+O936*0.8461538462))</f>
        <v>0</v>
      </c>
      <c r="P937">
        <f>IF($E937="","",IF($E936="",$E937,$E937*0.0740740741+P936*0.9259259259))</f>
        <v>0</v>
      </c>
      <c r="Q937">
        <f>IF(OR(O937="",P937=""),"",O937-P937)</f>
        <v>0</v>
      </c>
      <c r="R937">
        <f>IF(Q937="","",IF(R936="",Q937,Q937*0.2000000000+R936*0.8000000000))</f>
        <v>0</v>
      </c>
      <c r="S937">
        <f>IF(OR(Q937="",R937=""),"",Q937-R937)</f>
        <v>0</v>
      </c>
      <c r="T937">
        <f>IF(COUNT($E$2:$E937)&lt;14,"",MAX($C$924:$C$937))</f>
        <v>0</v>
      </c>
      <c r="U937">
        <f>IF(COUNT($E$2:$E937)&lt;14,"",MIN($D$924:$D$937))</f>
        <v>0</v>
      </c>
      <c r="V937">
        <f>IF(OR(T937="",U937="",T937=U937),"",100*($E937-U937)/(T937-U937))</f>
        <v>0</v>
      </c>
      <c r="W937">
        <f>IF(COUNT($V$935:$V$937)&lt;3,"",AVERAGE($V$935:$V$937))</f>
        <v>0</v>
      </c>
      <c r="X937">
        <f>IF(COUNT($N$924:$N$937)&lt;14,"",MIN($N$924:$N$937))</f>
        <v>0</v>
      </c>
      <c r="Y937">
        <f>IF(COUNT($N$924:$N$937)&lt;14,"",MAX($N$924:$N$937))</f>
        <v>0</v>
      </c>
      <c r="Z937">
        <f>IF(OR(N937="",X937="",Y937="",Y937=X937),"",100*(N937-X937)/(Y937-X937))</f>
        <v>0</v>
      </c>
      <c r="AA937">
        <f>IF(COUNT($Z$935:$Z$937)&lt;3,"",AVERAGE($Z$935:$Z$937))</f>
        <v>0</v>
      </c>
      <c r="AB937">
        <f>IF(COUNT($AA$935:$AA$937)&lt;3,"",AVERAGE($AA$935:$AA$937))</f>
        <v>0</v>
      </c>
      <c r="AC937">
        <f>IF($E937="","",MAX($C937-$D937,ABS($C937-$E936),ABS($D937-$E936)))</f>
        <v>0</v>
      </c>
      <c r="AD937">
        <f>IF(COUNT($E$2:$E937)&lt;15,"",AVERAGE($AC$924:$AC$937))</f>
        <v>0</v>
      </c>
      <c r="AE937">
        <f>IF(OR($E937="",$E936=""),"",IF(AND(($C937-$C936)&gt;($D936-$D937),($C937-$C936)&gt;0),$C937-$C936,0))</f>
        <v>0</v>
      </c>
      <c r="AF937">
        <f>IF(OR($E937="",$E936=""),"",IF(AND(($D936-$D937)&gt;($C937-$C936),($D936-$D937)&gt;0),$D936-$D937,0))</f>
        <v>0</v>
      </c>
      <c r="AG937">
        <f>IF(COUNT($E$2:$E937)&lt;15,"",IF(SUM($AC$924:$AC$937)=0,0,100*SUM($AE$924:$AE$937)/SUM($AC$924:$AC$937)))</f>
        <v>0</v>
      </c>
      <c r="AH937">
        <f>IF(COUNT($E$2:$E937)&lt;15,"",IF(SUM($AC$924:$AC$937)=0,0,100*SUM($AF$924:$AF$937)/SUM($AC$924:$AC$937)))</f>
        <v>0</v>
      </c>
      <c r="AI937">
        <f>IF(OR(AG937="",AH937=""),"",IF((AG937+AH937)=0,0,100*ABS(AG937-AH937)/(AG937+AH937)))</f>
        <v>0</v>
      </c>
      <c r="AJ937">
        <f>IF(COUNT($AI$924:$AI$937)&lt;14,"",AVERAGE($AI$924:$AI$937))</f>
        <v>0</v>
      </c>
      <c r="AK937">
        <f>IF(COUNT($E$2:$E937)&lt;20,"",AVERAGE($E$918:$E$937))</f>
        <v>0</v>
      </c>
      <c r="AL937">
        <f>IF(COUNT($E$2:$E937)&lt;20,"",STDEVP($E$918:$E$937))</f>
        <v>0</v>
      </c>
      <c r="AM937">
        <f>IF(AK937="","",AK937+2*AL937)</f>
        <v>0</v>
      </c>
      <c r="AN937">
        <f>IF(AK937="","",AK937-2*AL937)</f>
        <v>0</v>
      </c>
      <c r="AO937">
        <f>IF(OR(AM937="",AN937="",AM937=AN937),"",($E937-AN937)/(AM937-AN937))</f>
        <v>0</v>
      </c>
      <c r="AP937">
        <f>IF(OR(AM937="",AK937="",AK937=0),"",(AM937-AN937)/AK937)</f>
        <v>0</v>
      </c>
      <c r="AQ937">
        <f>IF(COUNT($E$2:$E937)&lt;20,"",MAX($C$918:$C$937))</f>
        <v>0</v>
      </c>
      <c r="AR937">
        <f>IF(COUNT($E$2:$E937)&lt;20,"",MIN($D$918:$D$937))</f>
        <v>0</v>
      </c>
      <c r="AS937">
        <f>IF(OR(AQ937="",AR937=""),"",(AQ937+AR937)/2)</f>
        <v>0</v>
      </c>
      <c r="AT937">
        <f>IF(COUNT($G$918:$G$937)&lt;20,"",STDEV($G$918:$G$937)*SQRT(252))</f>
        <v>0</v>
      </c>
      <c r="AU937">
        <f>IF(COUNT($E$2:$E937)&lt;9,"",(MAX($C$929:$C$937)+MIN($D$929:$D$937))/2)</f>
        <v>0</v>
      </c>
      <c r="AV937">
        <f>IF(COUNT($E$2:$E937)&lt;26,"",(MAX($C$912:$C$937)+MIN($D$912:$D$937))/2)</f>
        <v>0</v>
      </c>
      <c r="AW937">
        <f>IF(OR(AU937="",AV937=""),"",(AU937+AV937)/2)</f>
        <v>0</v>
      </c>
      <c r="AX937">
        <f>IF(COUNT($E$2:$E937)&lt;52,"",(MAX($C$886:$C$937)+MIN($D$886:$D$937))/2)</f>
        <v>0</v>
      </c>
      <c r="AY937">
        <f>IF(COUNT($E$2:$E937)&lt;20,"",MAX($C$838:$C$937))</f>
        <v>0</v>
      </c>
      <c r="AZ937">
        <f>IF(COUNT($E$2:$E937)&lt;20,"",MIN($D$838:$D$937))</f>
        <v>0</v>
      </c>
      <c r="BA937">
        <f>IF(COUNT($E$2:$E937)&lt;20,"",SLOPE($E$838:$E$937,$F$838:$F$937))</f>
        <v>0</v>
      </c>
      <c r="BB937">
        <f>IF(COUNT($E$2:$E937)&lt;20,"",INTERCEPT($E$838:$E$937,$F$838:$F$937))</f>
        <v>0</v>
      </c>
      <c r="BC937">
        <f>IF(OR(BA937="",BB937=""),"",BB937+BA937*F937)</f>
        <v>0</v>
      </c>
      <c r="BD937">
        <f>IF(COUNT($E$2:$E937)&lt;20,"",STEYX($E$838:$E$937,$F$838:$F$937))</f>
        <v>0</v>
      </c>
      <c r="BE937">
        <f>IF($E937="","",IF(AND(COUNT($E$938:$E$941)&gt;=4,$C937=MAX($C$933:$C$941)),$C937,""))</f>
        <v>0</v>
      </c>
      <c r="BF937">
        <f>IF($E937="","",IF(AND(COUNT($E$938:$E$941)&gt;=4,$D937=MIN($D$933:$D$941)),$D937,""))</f>
        <v>0</v>
      </c>
      <c r="BG937">
        <f>IF($A937="","",$A937-WEEKDAY($A937,2)+1)</f>
        <v>0</v>
      </c>
      <c r="BH937">
        <f>IF($A937="","",IF($A936="",1,IF(BG937&lt;&gt;BG936,1,0)))</f>
        <v>0</v>
      </c>
      <c r="BI937">
        <f>IF($A937="","",IF($A938="",1,IF(BG938&lt;&gt;BG937,1,0)))</f>
        <v>0</v>
      </c>
      <c r="BJ937">
        <f>IF($A937="","",IF(BH937=1,$B937,BJ936))</f>
        <v>0</v>
      </c>
      <c r="BK937">
        <f>IF($A937="","",IF(BH937=1,$C937,MAX($C937,BK936)))</f>
        <v>0</v>
      </c>
      <c r="BL937">
        <f>IF($A937="","",IF(BH937=1,$D937,MIN($D937,BL936)))</f>
        <v>0</v>
      </c>
      <c r="BM937">
        <f>IF($A937="","",IF(BI937=1,F937,""))</f>
        <v>0</v>
      </c>
      <c r="BN937">
        <f>IF($A937="","",DATE(YEAR($A937),MONTH($A937),1))</f>
        <v>0</v>
      </c>
      <c r="BO937">
        <f>IF($A937="","",IF($A936="",1,IF(BN937&lt;&gt;BN936,1,0)))</f>
        <v>0</v>
      </c>
      <c r="BP937">
        <f>IF($A937="","",IF($A938="",1,IF(BN938&lt;&gt;BN937,1,0)))</f>
        <v>0</v>
      </c>
      <c r="BQ937">
        <f>IF($A937="","",IF(BO937=1,$B937,BQ936))</f>
        <v>0</v>
      </c>
      <c r="BR937">
        <f>IF($A937="","",IF(BO937=1,$C937,MAX($C937,BR936)))</f>
        <v>0</v>
      </c>
      <c r="BS937">
        <f>IF($A937="","",IF(BO937=1,$D937,MIN($D937,BS936)))</f>
        <v>0</v>
      </c>
      <c r="BT937">
        <f>IF($A937="","",IF(BP937=1,F937,""))</f>
        <v>0</v>
      </c>
    </row>
    <row r="938" spans="1:72">
      <c r="A938" s="27">
        <f>IF(Data!$A938="","",Data!$A938)</f>
        <v>0</v>
      </c>
      <c r="B938">
        <f>IF(Data!$B938="","",Data!$B938)</f>
        <v>0</v>
      </c>
      <c r="C938">
        <f>IF(Data!$C938="","",Data!$C938)</f>
        <v>0</v>
      </c>
      <c r="D938">
        <f>IF(Data!$D938="","",Data!$D938)</f>
        <v>0</v>
      </c>
      <c r="E938">
        <f>IF(Data!$E938="","",Data!$E938)</f>
        <v>0</v>
      </c>
      <c r="F938">
        <f>IF($E938="","",N(F937)+1)</f>
        <v>0</v>
      </c>
      <c r="G938">
        <f>IF(OR($E938="",$E937=""),"",LN($E938/$E937))</f>
        <v>0</v>
      </c>
      <c r="H938">
        <f>IF($E938="","",IF($E937="",$E938,$E938*0.0952380952+H937*0.9047619048))</f>
        <v>0</v>
      </c>
      <c r="I938">
        <f>IF($E938="","",IF($E937="",$E938,$E938*0.0392156863+I937*0.9607843137))</f>
        <v>0</v>
      </c>
      <c r="J938">
        <f>IF($E938="","",IF($E937="",$E938,$E938*0.0198019802+J937*0.9801980198))</f>
        <v>0</v>
      </c>
      <c r="K938">
        <f>IF($E938="","",IF($E937="",$E938,$E938*0.0099502488+K937*0.9900497512))</f>
        <v>0</v>
      </c>
      <c r="L938">
        <f>IF(OR($E938="",$E937=""),"",MAX($E938-$E937,0))</f>
        <v>0</v>
      </c>
      <c r="M938">
        <f>IF(OR($E938="",$E937=""),"",MAX($E937-$E938,0))</f>
        <v>0</v>
      </c>
      <c r="N938">
        <f>IF(COUNT($E$2:$E938)&lt;15,"",IF(AVERAGE($M$925:$M$938)=0,100,100-100/(1+AVERAGE($L$925:$L$938)/AVERAGE($M$925:$M$938))))</f>
        <v>0</v>
      </c>
      <c r="O938">
        <f>IF($E938="","",IF($E937="",$E938,$E938*0.1538461538+O937*0.8461538462))</f>
        <v>0</v>
      </c>
      <c r="P938">
        <f>IF($E938="","",IF($E937="",$E938,$E938*0.0740740741+P937*0.9259259259))</f>
        <v>0</v>
      </c>
      <c r="Q938">
        <f>IF(OR(O938="",P938=""),"",O938-P938)</f>
        <v>0</v>
      </c>
      <c r="R938">
        <f>IF(Q938="","",IF(R937="",Q938,Q938*0.2000000000+R937*0.8000000000))</f>
        <v>0</v>
      </c>
      <c r="S938">
        <f>IF(OR(Q938="",R938=""),"",Q938-R938)</f>
        <v>0</v>
      </c>
      <c r="T938">
        <f>IF(COUNT($E$2:$E938)&lt;14,"",MAX($C$925:$C$938))</f>
        <v>0</v>
      </c>
      <c r="U938">
        <f>IF(COUNT($E$2:$E938)&lt;14,"",MIN($D$925:$D$938))</f>
        <v>0</v>
      </c>
      <c r="V938">
        <f>IF(OR(T938="",U938="",T938=U938),"",100*($E938-U938)/(T938-U938))</f>
        <v>0</v>
      </c>
      <c r="W938">
        <f>IF(COUNT($V$936:$V$938)&lt;3,"",AVERAGE($V$936:$V$938))</f>
        <v>0</v>
      </c>
      <c r="X938">
        <f>IF(COUNT($N$925:$N$938)&lt;14,"",MIN($N$925:$N$938))</f>
        <v>0</v>
      </c>
      <c r="Y938">
        <f>IF(COUNT($N$925:$N$938)&lt;14,"",MAX($N$925:$N$938))</f>
        <v>0</v>
      </c>
      <c r="Z938">
        <f>IF(OR(N938="",X938="",Y938="",Y938=X938),"",100*(N938-X938)/(Y938-X938))</f>
        <v>0</v>
      </c>
      <c r="AA938">
        <f>IF(COUNT($Z$936:$Z$938)&lt;3,"",AVERAGE($Z$936:$Z$938))</f>
        <v>0</v>
      </c>
      <c r="AB938">
        <f>IF(COUNT($AA$936:$AA$938)&lt;3,"",AVERAGE($AA$936:$AA$938))</f>
        <v>0</v>
      </c>
      <c r="AC938">
        <f>IF($E938="","",MAX($C938-$D938,ABS($C938-$E937),ABS($D938-$E937)))</f>
        <v>0</v>
      </c>
      <c r="AD938">
        <f>IF(COUNT($E$2:$E938)&lt;15,"",AVERAGE($AC$925:$AC$938))</f>
        <v>0</v>
      </c>
      <c r="AE938">
        <f>IF(OR($E938="",$E937=""),"",IF(AND(($C938-$C937)&gt;($D937-$D938),($C938-$C937)&gt;0),$C938-$C937,0))</f>
        <v>0</v>
      </c>
      <c r="AF938">
        <f>IF(OR($E938="",$E937=""),"",IF(AND(($D937-$D938)&gt;($C938-$C937),($D937-$D938)&gt;0),$D937-$D938,0))</f>
        <v>0</v>
      </c>
      <c r="AG938">
        <f>IF(COUNT($E$2:$E938)&lt;15,"",IF(SUM($AC$925:$AC$938)=0,0,100*SUM($AE$925:$AE$938)/SUM($AC$925:$AC$938)))</f>
        <v>0</v>
      </c>
      <c r="AH938">
        <f>IF(COUNT($E$2:$E938)&lt;15,"",IF(SUM($AC$925:$AC$938)=0,0,100*SUM($AF$925:$AF$938)/SUM($AC$925:$AC$938)))</f>
        <v>0</v>
      </c>
      <c r="AI938">
        <f>IF(OR(AG938="",AH938=""),"",IF((AG938+AH938)=0,0,100*ABS(AG938-AH938)/(AG938+AH938)))</f>
        <v>0</v>
      </c>
      <c r="AJ938">
        <f>IF(COUNT($AI$925:$AI$938)&lt;14,"",AVERAGE($AI$925:$AI$938))</f>
        <v>0</v>
      </c>
      <c r="AK938">
        <f>IF(COUNT($E$2:$E938)&lt;20,"",AVERAGE($E$919:$E$938))</f>
        <v>0</v>
      </c>
      <c r="AL938">
        <f>IF(COUNT($E$2:$E938)&lt;20,"",STDEVP($E$919:$E$938))</f>
        <v>0</v>
      </c>
      <c r="AM938">
        <f>IF(AK938="","",AK938+2*AL938)</f>
        <v>0</v>
      </c>
      <c r="AN938">
        <f>IF(AK938="","",AK938-2*AL938)</f>
        <v>0</v>
      </c>
      <c r="AO938">
        <f>IF(OR(AM938="",AN938="",AM938=AN938),"",($E938-AN938)/(AM938-AN938))</f>
        <v>0</v>
      </c>
      <c r="AP938">
        <f>IF(OR(AM938="",AK938="",AK938=0),"",(AM938-AN938)/AK938)</f>
        <v>0</v>
      </c>
      <c r="AQ938">
        <f>IF(COUNT($E$2:$E938)&lt;20,"",MAX($C$919:$C$938))</f>
        <v>0</v>
      </c>
      <c r="AR938">
        <f>IF(COUNT($E$2:$E938)&lt;20,"",MIN($D$919:$D$938))</f>
        <v>0</v>
      </c>
      <c r="AS938">
        <f>IF(OR(AQ938="",AR938=""),"",(AQ938+AR938)/2)</f>
        <v>0</v>
      </c>
      <c r="AT938">
        <f>IF(COUNT($G$919:$G$938)&lt;20,"",STDEV($G$919:$G$938)*SQRT(252))</f>
        <v>0</v>
      </c>
      <c r="AU938">
        <f>IF(COUNT($E$2:$E938)&lt;9,"",(MAX($C$930:$C$938)+MIN($D$930:$D$938))/2)</f>
        <v>0</v>
      </c>
      <c r="AV938">
        <f>IF(COUNT($E$2:$E938)&lt;26,"",(MAX($C$913:$C$938)+MIN($D$913:$D$938))/2)</f>
        <v>0</v>
      </c>
      <c r="AW938">
        <f>IF(OR(AU938="",AV938=""),"",(AU938+AV938)/2)</f>
        <v>0</v>
      </c>
      <c r="AX938">
        <f>IF(COUNT($E$2:$E938)&lt;52,"",(MAX($C$887:$C$938)+MIN($D$887:$D$938))/2)</f>
        <v>0</v>
      </c>
      <c r="AY938">
        <f>IF(COUNT($E$2:$E938)&lt;20,"",MAX($C$839:$C$938))</f>
        <v>0</v>
      </c>
      <c r="AZ938">
        <f>IF(COUNT($E$2:$E938)&lt;20,"",MIN($D$839:$D$938))</f>
        <v>0</v>
      </c>
      <c r="BA938">
        <f>IF(COUNT($E$2:$E938)&lt;20,"",SLOPE($E$839:$E$938,$F$839:$F$938))</f>
        <v>0</v>
      </c>
      <c r="BB938">
        <f>IF(COUNT($E$2:$E938)&lt;20,"",INTERCEPT($E$839:$E$938,$F$839:$F$938))</f>
        <v>0</v>
      </c>
      <c r="BC938">
        <f>IF(OR(BA938="",BB938=""),"",BB938+BA938*F938)</f>
        <v>0</v>
      </c>
      <c r="BD938">
        <f>IF(COUNT($E$2:$E938)&lt;20,"",STEYX($E$839:$E$938,$F$839:$F$938))</f>
        <v>0</v>
      </c>
      <c r="BE938">
        <f>IF($E938="","",IF(AND(COUNT($E$939:$E$942)&gt;=4,$C938=MAX($C$934:$C$942)),$C938,""))</f>
        <v>0</v>
      </c>
      <c r="BF938">
        <f>IF($E938="","",IF(AND(COUNT($E$939:$E$942)&gt;=4,$D938=MIN($D$934:$D$942)),$D938,""))</f>
        <v>0</v>
      </c>
      <c r="BG938">
        <f>IF($A938="","",$A938-WEEKDAY($A938,2)+1)</f>
        <v>0</v>
      </c>
      <c r="BH938">
        <f>IF($A938="","",IF($A937="",1,IF(BG938&lt;&gt;BG937,1,0)))</f>
        <v>0</v>
      </c>
      <c r="BI938">
        <f>IF($A938="","",IF($A939="",1,IF(BG939&lt;&gt;BG938,1,0)))</f>
        <v>0</v>
      </c>
      <c r="BJ938">
        <f>IF($A938="","",IF(BH938=1,$B938,BJ937))</f>
        <v>0</v>
      </c>
      <c r="BK938">
        <f>IF($A938="","",IF(BH938=1,$C938,MAX($C938,BK937)))</f>
        <v>0</v>
      </c>
      <c r="BL938">
        <f>IF($A938="","",IF(BH938=1,$D938,MIN($D938,BL937)))</f>
        <v>0</v>
      </c>
      <c r="BM938">
        <f>IF($A938="","",IF(BI938=1,F938,""))</f>
        <v>0</v>
      </c>
      <c r="BN938">
        <f>IF($A938="","",DATE(YEAR($A938),MONTH($A938),1))</f>
        <v>0</v>
      </c>
      <c r="BO938">
        <f>IF($A938="","",IF($A937="",1,IF(BN938&lt;&gt;BN937,1,0)))</f>
        <v>0</v>
      </c>
      <c r="BP938">
        <f>IF($A938="","",IF($A939="",1,IF(BN939&lt;&gt;BN938,1,0)))</f>
        <v>0</v>
      </c>
      <c r="BQ938">
        <f>IF($A938="","",IF(BO938=1,$B938,BQ937))</f>
        <v>0</v>
      </c>
      <c r="BR938">
        <f>IF($A938="","",IF(BO938=1,$C938,MAX($C938,BR937)))</f>
        <v>0</v>
      </c>
      <c r="BS938">
        <f>IF($A938="","",IF(BO938=1,$D938,MIN($D938,BS937)))</f>
        <v>0</v>
      </c>
      <c r="BT938">
        <f>IF($A938="","",IF(BP938=1,F938,""))</f>
        <v>0</v>
      </c>
    </row>
    <row r="939" spans="1:72">
      <c r="A939" s="27">
        <f>IF(Data!$A939="","",Data!$A939)</f>
        <v>0</v>
      </c>
      <c r="B939">
        <f>IF(Data!$B939="","",Data!$B939)</f>
        <v>0</v>
      </c>
      <c r="C939">
        <f>IF(Data!$C939="","",Data!$C939)</f>
        <v>0</v>
      </c>
      <c r="D939">
        <f>IF(Data!$D939="","",Data!$D939)</f>
        <v>0</v>
      </c>
      <c r="E939">
        <f>IF(Data!$E939="","",Data!$E939)</f>
        <v>0</v>
      </c>
      <c r="F939">
        <f>IF($E939="","",N(F938)+1)</f>
        <v>0</v>
      </c>
      <c r="G939">
        <f>IF(OR($E939="",$E938=""),"",LN($E939/$E938))</f>
        <v>0</v>
      </c>
      <c r="H939">
        <f>IF($E939="","",IF($E938="",$E939,$E939*0.0952380952+H938*0.9047619048))</f>
        <v>0</v>
      </c>
      <c r="I939">
        <f>IF($E939="","",IF($E938="",$E939,$E939*0.0392156863+I938*0.9607843137))</f>
        <v>0</v>
      </c>
      <c r="J939">
        <f>IF($E939="","",IF($E938="",$E939,$E939*0.0198019802+J938*0.9801980198))</f>
        <v>0</v>
      </c>
      <c r="K939">
        <f>IF($E939="","",IF($E938="",$E939,$E939*0.0099502488+K938*0.9900497512))</f>
        <v>0</v>
      </c>
      <c r="L939">
        <f>IF(OR($E939="",$E938=""),"",MAX($E939-$E938,0))</f>
        <v>0</v>
      </c>
      <c r="M939">
        <f>IF(OR($E939="",$E938=""),"",MAX($E938-$E939,0))</f>
        <v>0</v>
      </c>
      <c r="N939">
        <f>IF(COUNT($E$2:$E939)&lt;15,"",IF(AVERAGE($M$926:$M$939)=0,100,100-100/(1+AVERAGE($L$926:$L$939)/AVERAGE($M$926:$M$939))))</f>
        <v>0</v>
      </c>
      <c r="O939">
        <f>IF($E939="","",IF($E938="",$E939,$E939*0.1538461538+O938*0.8461538462))</f>
        <v>0</v>
      </c>
      <c r="P939">
        <f>IF($E939="","",IF($E938="",$E939,$E939*0.0740740741+P938*0.9259259259))</f>
        <v>0</v>
      </c>
      <c r="Q939">
        <f>IF(OR(O939="",P939=""),"",O939-P939)</f>
        <v>0</v>
      </c>
      <c r="R939">
        <f>IF(Q939="","",IF(R938="",Q939,Q939*0.2000000000+R938*0.8000000000))</f>
        <v>0</v>
      </c>
      <c r="S939">
        <f>IF(OR(Q939="",R939=""),"",Q939-R939)</f>
        <v>0</v>
      </c>
      <c r="T939">
        <f>IF(COUNT($E$2:$E939)&lt;14,"",MAX($C$926:$C$939))</f>
        <v>0</v>
      </c>
      <c r="U939">
        <f>IF(COUNT($E$2:$E939)&lt;14,"",MIN($D$926:$D$939))</f>
        <v>0</v>
      </c>
      <c r="V939">
        <f>IF(OR(T939="",U939="",T939=U939),"",100*($E939-U939)/(T939-U939))</f>
        <v>0</v>
      </c>
      <c r="W939">
        <f>IF(COUNT($V$937:$V$939)&lt;3,"",AVERAGE($V$937:$V$939))</f>
        <v>0</v>
      </c>
      <c r="X939">
        <f>IF(COUNT($N$926:$N$939)&lt;14,"",MIN($N$926:$N$939))</f>
        <v>0</v>
      </c>
      <c r="Y939">
        <f>IF(COUNT($N$926:$N$939)&lt;14,"",MAX($N$926:$N$939))</f>
        <v>0</v>
      </c>
      <c r="Z939">
        <f>IF(OR(N939="",X939="",Y939="",Y939=X939),"",100*(N939-X939)/(Y939-X939))</f>
        <v>0</v>
      </c>
      <c r="AA939">
        <f>IF(COUNT($Z$937:$Z$939)&lt;3,"",AVERAGE($Z$937:$Z$939))</f>
        <v>0</v>
      </c>
      <c r="AB939">
        <f>IF(COUNT($AA$937:$AA$939)&lt;3,"",AVERAGE($AA$937:$AA$939))</f>
        <v>0</v>
      </c>
      <c r="AC939">
        <f>IF($E939="","",MAX($C939-$D939,ABS($C939-$E938),ABS($D939-$E938)))</f>
        <v>0</v>
      </c>
      <c r="AD939">
        <f>IF(COUNT($E$2:$E939)&lt;15,"",AVERAGE($AC$926:$AC$939))</f>
        <v>0</v>
      </c>
      <c r="AE939">
        <f>IF(OR($E939="",$E938=""),"",IF(AND(($C939-$C938)&gt;($D938-$D939),($C939-$C938)&gt;0),$C939-$C938,0))</f>
        <v>0</v>
      </c>
      <c r="AF939">
        <f>IF(OR($E939="",$E938=""),"",IF(AND(($D938-$D939)&gt;($C939-$C938),($D938-$D939)&gt;0),$D938-$D939,0))</f>
        <v>0</v>
      </c>
      <c r="AG939">
        <f>IF(COUNT($E$2:$E939)&lt;15,"",IF(SUM($AC$926:$AC$939)=0,0,100*SUM($AE$926:$AE$939)/SUM($AC$926:$AC$939)))</f>
        <v>0</v>
      </c>
      <c r="AH939">
        <f>IF(COUNT($E$2:$E939)&lt;15,"",IF(SUM($AC$926:$AC$939)=0,0,100*SUM($AF$926:$AF$939)/SUM($AC$926:$AC$939)))</f>
        <v>0</v>
      </c>
      <c r="AI939">
        <f>IF(OR(AG939="",AH939=""),"",IF((AG939+AH939)=0,0,100*ABS(AG939-AH939)/(AG939+AH939)))</f>
        <v>0</v>
      </c>
      <c r="AJ939">
        <f>IF(COUNT($AI$926:$AI$939)&lt;14,"",AVERAGE($AI$926:$AI$939))</f>
        <v>0</v>
      </c>
      <c r="AK939">
        <f>IF(COUNT($E$2:$E939)&lt;20,"",AVERAGE($E$920:$E$939))</f>
        <v>0</v>
      </c>
      <c r="AL939">
        <f>IF(COUNT($E$2:$E939)&lt;20,"",STDEVP($E$920:$E$939))</f>
        <v>0</v>
      </c>
      <c r="AM939">
        <f>IF(AK939="","",AK939+2*AL939)</f>
        <v>0</v>
      </c>
      <c r="AN939">
        <f>IF(AK939="","",AK939-2*AL939)</f>
        <v>0</v>
      </c>
      <c r="AO939">
        <f>IF(OR(AM939="",AN939="",AM939=AN939),"",($E939-AN939)/(AM939-AN939))</f>
        <v>0</v>
      </c>
      <c r="AP939">
        <f>IF(OR(AM939="",AK939="",AK939=0),"",(AM939-AN939)/AK939)</f>
        <v>0</v>
      </c>
      <c r="AQ939">
        <f>IF(COUNT($E$2:$E939)&lt;20,"",MAX($C$920:$C$939))</f>
        <v>0</v>
      </c>
      <c r="AR939">
        <f>IF(COUNT($E$2:$E939)&lt;20,"",MIN($D$920:$D$939))</f>
        <v>0</v>
      </c>
      <c r="AS939">
        <f>IF(OR(AQ939="",AR939=""),"",(AQ939+AR939)/2)</f>
        <v>0</v>
      </c>
      <c r="AT939">
        <f>IF(COUNT($G$920:$G$939)&lt;20,"",STDEV($G$920:$G$939)*SQRT(252))</f>
        <v>0</v>
      </c>
      <c r="AU939">
        <f>IF(COUNT($E$2:$E939)&lt;9,"",(MAX($C$931:$C$939)+MIN($D$931:$D$939))/2)</f>
        <v>0</v>
      </c>
      <c r="AV939">
        <f>IF(COUNT($E$2:$E939)&lt;26,"",(MAX($C$914:$C$939)+MIN($D$914:$D$939))/2)</f>
        <v>0</v>
      </c>
      <c r="AW939">
        <f>IF(OR(AU939="",AV939=""),"",(AU939+AV939)/2)</f>
        <v>0</v>
      </c>
      <c r="AX939">
        <f>IF(COUNT($E$2:$E939)&lt;52,"",(MAX($C$888:$C$939)+MIN($D$888:$D$939))/2)</f>
        <v>0</v>
      </c>
      <c r="AY939">
        <f>IF(COUNT($E$2:$E939)&lt;20,"",MAX($C$840:$C$939))</f>
        <v>0</v>
      </c>
      <c r="AZ939">
        <f>IF(COUNT($E$2:$E939)&lt;20,"",MIN($D$840:$D$939))</f>
        <v>0</v>
      </c>
      <c r="BA939">
        <f>IF(COUNT($E$2:$E939)&lt;20,"",SLOPE($E$840:$E$939,$F$840:$F$939))</f>
        <v>0</v>
      </c>
      <c r="BB939">
        <f>IF(COUNT($E$2:$E939)&lt;20,"",INTERCEPT($E$840:$E$939,$F$840:$F$939))</f>
        <v>0</v>
      </c>
      <c r="BC939">
        <f>IF(OR(BA939="",BB939=""),"",BB939+BA939*F939)</f>
        <v>0</v>
      </c>
      <c r="BD939">
        <f>IF(COUNT($E$2:$E939)&lt;20,"",STEYX($E$840:$E$939,$F$840:$F$939))</f>
        <v>0</v>
      </c>
      <c r="BE939">
        <f>IF($E939="","",IF(AND(COUNT($E$940:$E$943)&gt;=4,$C939=MAX($C$935:$C$943)),$C939,""))</f>
        <v>0</v>
      </c>
      <c r="BF939">
        <f>IF($E939="","",IF(AND(COUNT($E$940:$E$943)&gt;=4,$D939=MIN($D$935:$D$943)),$D939,""))</f>
        <v>0</v>
      </c>
      <c r="BG939">
        <f>IF($A939="","",$A939-WEEKDAY($A939,2)+1)</f>
        <v>0</v>
      </c>
      <c r="BH939">
        <f>IF($A939="","",IF($A938="",1,IF(BG939&lt;&gt;BG938,1,0)))</f>
        <v>0</v>
      </c>
      <c r="BI939">
        <f>IF($A939="","",IF($A940="",1,IF(BG940&lt;&gt;BG939,1,0)))</f>
        <v>0</v>
      </c>
      <c r="BJ939">
        <f>IF($A939="","",IF(BH939=1,$B939,BJ938))</f>
        <v>0</v>
      </c>
      <c r="BK939">
        <f>IF($A939="","",IF(BH939=1,$C939,MAX($C939,BK938)))</f>
        <v>0</v>
      </c>
      <c r="BL939">
        <f>IF($A939="","",IF(BH939=1,$D939,MIN($D939,BL938)))</f>
        <v>0</v>
      </c>
      <c r="BM939">
        <f>IF($A939="","",IF(BI939=1,F939,""))</f>
        <v>0</v>
      </c>
      <c r="BN939">
        <f>IF($A939="","",DATE(YEAR($A939),MONTH($A939),1))</f>
        <v>0</v>
      </c>
      <c r="BO939">
        <f>IF($A939="","",IF($A938="",1,IF(BN939&lt;&gt;BN938,1,0)))</f>
        <v>0</v>
      </c>
      <c r="BP939">
        <f>IF($A939="","",IF($A940="",1,IF(BN940&lt;&gt;BN939,1,0)))</f>
        <v>0</v>
      </c>
      <c r="BQ939">
        <f>IF($A939="","",IF(BO939=1,$B939,BQ938))</f>
        <v>0</v>
      </c>
      <c r="BR939">
        <f>IF($A939="","",IF(BO939=1,$C939,MAX($C939,BR938)))</f>
        <v>0</v>
      </c>
      <c r="BS939">
        <f>IF($A939="","",IF(BO939=1,$D939,MIN($D939,BS938)))</f>
        <v>0</v>
      </c>
      <c r="BT939">
        <f>IF($A939="","",IF(BP939=1,F939,""))</f>
        <v>0</v>
      </c>
    </row>
    <row r="940" spans="1:72">
      <c r="A940" s="27">
        <f>IF(Data!$A940="","",Data!$A940)</f>
        <v>0</v>
      </c>
      <c r="B940">
        <f>IF(Data!$B940="","",Data!$B940)</f>
        <v>0</v>
      </c>
      <c r="C940">
        <f>IF(Data!$C940="","",Data!$C940)</f>
        <v>0</v>
      </c>
      <c r="D940">
        <f>IF(Data!$D940="","",Data!$D940)</f>
        <v>0</v>
      </c>
      <c r="E940">
        <f>IF(Data!$E940="","",Data!$E940)</f>
        <v>0</v>
      </c>
      <c r="F940">
        <f>IF($E940="","",N(F939)+1)</f>
        <v>0</v>
      </c>
      <c r="G940">
        <f>IF(OR($E940="",$E939=""),"",LN($E940/$E939))</f>
        <v>0</v>
      </c>
      <c r="H940">
        <f>IF($E940="","",IF($E939="",$E940,$E940*0.0952380952+H939*0.9047619048))</f>
        <v>0</v>
      </c>
      <c r="I940">
        <f>IF($E940="","",IF($E939="",$E940,$E940*0.0392156863+I939*0.9607843137))</f>
        <v>0</v>
      </c>
      <c r="J940">
        <f>IF($E940="","",IF($E939="",$E940,$E940*0.0198019802+J939*0.9801980198))</f>
        <v>0</v>
      </c>
      <c r="K940">
        <f>IF($E940="","",IF($E939="",$E940,$E940*0.0099502488+K939*0.9900497512))</f>
        <v>0</v>
      </c>
      <c r="L940">
        <f>IF(OR($E940="",$E939=""),"",MAX($E940-$E939,0))</f>
        <v>0</v>
      </c>
      <c r="M940">
        <f>IF(OR($E940="",$E939=""),"",MAX($E939-$E940,0))</f>
        <v>0</v>
      </c>
      <c r="N940">
        <f>IF(COUNT($E$2:$E940)&lt;15,"",IF(AVERAGE($M$927:$M$940)=0,100,100-100/(1+AVERAGE($L$927:$L$940)/AVERAGE($M$927:$M$940))))</f>
        <v>0</v>
      </c>
      <c r="O940">
        <f>IF($E940="","",IF($E939="",$E940,$E940*0.1538461538+O939*0.8461538462))</f>
        <v>0</v>
      </c>
      <c r="P940">
        <f>IF($E940="","",IF($E939="",$E940,$E940*0.0740740741+P939*0.9259259259))</f>
        <v>0</v>
      </c>
      <c r="Q940">
        <f>IF(OR(O940="",P940=""),"",O940-P940)</f>
        <v>0</v>
      </c>
      <c r="R940">
        <f>IF(Q940="","",IF(R939="",Q940,Q940*0.2000000000+R939*0.8000000000))</f>
        <v>0</v>
      </c>
      <c r="S940">
        <f>IF(OR(Q940="",R940=""),"",Q940-R940)</f>
        <v>0</v>
      </c>
      <c r="T940">
        <f>IF(COUNT($E$2:$E940)&lt;14,"",MAX($C$927:$C$940))</f>
        <v>0</v>
      </c>
      <c r="U940">
        <f>IF(COUNT($E$2:$E940)&lt;14,"",MIN($D$927:$D$940))</f>
        <v>0</v>
      </c>
      <c r="V940">
        <f>IF(OR(T940="",U940="",T940=U940),"",100*($E940-U940)/(T940-U940))</f>
        <v>0</v>
      </c>
      <c r="W940">
        <f>IF(COUNT($V$938:$V$940)&lt;3,"",AVERAGE($V$938:$V$940))</f>
        <v>0</v>
      </c>
      <c r="X940">
        <f>IF(COUNT($N$927:$N$940)&lt;14,"",MIN($N$927:$N$940))</f>
        <v>0</v>
      </c>
      <c r="Y940">
        <f>IF(COUNT($N$927:$N$940)&lt;14,"",MAX($N$927:$N$940))</f>
        <v>0</v>
      </c>
      <c r="Z940">
        <f>IF(OR(N940="",X940="",Y940="",Y940=X940),"",100*(N940-X940)/(Y940-X940))</f>
        <v>0</v>
      </c>
      <c r="AA940">
        <f>IF(COUNT($Z$938:$Z$940)&lt;3,"",AVERAGE($Z$938:$Z$940))</f>
        <v>0</v>
      </c>
      <c r="AB940">
        <f>IF(COUNT($AA$938:$AA$940)&lt;3,"",AVERAGE($AA$938:$AA$940))</f>
        <v>0</v>
      </c>
      <c r="AC940">
        <f>IF($E940="","",MAX($C940-$D940,ABS($C940-$E939),ABS($D940-$E939)))</f>
        <v>0</v>
      </c>
      <c r="AD940">
        <f>IF(COUNT($E$2:$E940)&lt;15,"",AVERAGE($AC$927:$AC$940))</f>
        <v>0</v>
      </c>
      <c r="AE940">
        <f>IF(OR($E940="",$E939=""),"",IF(AND(($C940-$C939)&gt;($D939-$D940),($C940-$C939)&gt;0),$C940-$C939,0))</f>
        <v>0</v>
      </c>
      <c r="AF940">
        <f>IF(OR($E940="",$E939=""),"",IF(AND(($D939-$D940)&gt;($C940-$C939),($D939-$D940)&gt;0),$D939-$D940,0))</f>
        <v>0</v>
      </c>
      <c r="AG940">
        <f>IF(COUNT($E$2:$E940)&lt;15,"",IF(SUM($AC$927:$AC$940)=0,0,100*SUM($AE$927:$AE$940)/SUM($AC$927:$AC$940)))</f>
        <v>0</v>
      </c>
      <c r="AH940">
        <f>IF(COUNT($E$2:$E940)&lt;15,"",IF(SUM($AC$927:$AC$940)=0,0,100*SUM($AF$927:$AF$940)/SUM($AC$927:$AC$940)))</f>
        <v>0</v>
      </c>
      <c r="AI940">
        <f>IF(OR(AG940="",AH940=""),"",IF((AG940+AH940)=0,0,100*ABS(AG940-AH940)/(AG940+AH940)))</f>
        <v>0</v>
      </c>
      <c r="AJ940">
        <f>IF(COUNT($AI$927:$AI$940)&lt;14,"",AVERAGE($AI$927:$AI$940))</f>
        <v>0</v>
      </c>
      <c r="AK940">
        <f>IF(COUNT($E$2:$E940)&lt;20,"",AVERAGE($E$921:$E$940))</f>
        <v>0</v>
      </c>
      <c r="AL940">
        <f>IF(COUNT($E$2:$E940)&lt;20,"",STDEVP($E$921:$E$940))</f>
        <v>0</v>
      </c>
      <c r="AM940">
        <f>IF(AK940="","",AK940+2*AL940)</f>
        <v>0</v>
      </c>
      <c r="AN940">
        <f>IF(AK940="","",AK940-2*AL940)</f>
        <v>0</v>
      </c>
      <c r="AO940">
        <f>IF(OR(AM940="",AN940="",AM940=AN940),"",($E940-AN940)/(AM940-AN940))</f>
        <v>0</v>
      </c>
      <c r="AP940">
        <f>IF(OR(AM940="",AK940="",AK940=0),"",(AM940-AN940)/AK940)</f>
        <v>0</v>
      </c>
      <c r="AQ940">
        <f>IF(COUNT($E$2:$E940)&lt;20,"",MAX($C$921:$C$940))</f>
        <v>0</v>
      </c>
      <c r="AR940">
        <f>IF(COUNT($E$2:$E940)&lt;20,"",MIN($D$921:$D$940))</f>
        <v>0</v>
      </c>
      <c r="AS940">
        <f>IF(OR(AQ940="",AR940=""),"",(AQ940+AR940)/2)</f>
        <v>0</v>
      </c>
      <c r="AT940">
        <f>IF(COUNT($G$921:$G$940)&lt;20,"",STDEV($G$921:$G$940)*SQRT(252))</f>
        <v>0</v>
      </c>
      <c r="AU940">
        <f>IF(COUNT($E$2:$E940)&lt;9,"",(MAX($C$932:$C$940)+MIN($D$932:$D$940))/2)</f>
        <v>0</v>
      </c>
      <c r="AV940">
        <f>IF(COUNT($E$2:$E940)&lt;26,"",(MAX($C$915:$C$940)+MIN($D$915:$D$940))/2)</f>
        <v>0</v>
      </c>
      <c r="AW940">
        <f>IF(OR(AU940="",AV940=""),"",(AU940+AV940)/2)</f>
        <v>0</v>
      </c>
      <c r="AX940">
        <f>IF(COUNT($E$2:$E940)&lt;52,"",(MAX($C$889:$C$940)+MIN($D$889:$D$940))/2)</f>
        <v>0</v>
      </c>
      <c r="AY940">
        <f>IF(COUNT($E$2:$E940)&lt;20,"",MAX($C$841:$C$940))</f>
        <v>0</v>
      </c>
      <c r="AZ940">
        <f>IF(COUNT($E$2:$E940)&lt;20,"",MIN($D$841:$D$940))</f>
        <v>0</v>
      </c>
      <c r="BA940">
        <f>IF(COUNT($E$2:$E940)&lt;20,"",SLOPE($E$841:$E$940,$F$841:$F$940))</f>
        <v>0</v>
      </c>
      <c r="BB940">
        <f>IF(COUNT($E$2:$E940)&lt;20,"",INTERCEPT($E$841:$E$940,$F$841:$F$940))</f>
        <v>0</v>
      </c>
      <c r="BC940">
        <f>IF(OR(BA940="",BB940=""),"",BB940+BA940*F940)</f>
        <v>0</v>
      </c>
      <c r="BD940">
        <f>IF(COUNT($E$2:$E940)&lt;20,"",STEYX($E$841:$E$940,$F$841:$F$940))</f>
        <v>0</v>
      </c>
      <c r="BE940">
        <f>IF($E940="","",IF(AND(COUNT($E$941:$E$944)&gt;=4,$C940=MAX($C$936:$C$944)),$C940,""))</f>
        <v>0</v>
      </c>
      <c r="BF940">
        <f>IF($E940="","",IF(AND(COUNT($E$941:$E$944)&gt;=4,$D940=MIN($D$936:$D$944)),$D940,""))</f>
        <v>0</v>
      </c>
      <c r="BG940">
        <f>IF($A940="","",$A940-WEEKDAY($A940,2)+1)</f>
        <v>0</v>
      </c>
      <c r="BH940">
        <f>IF($A940="","",IF($A939="",1,IF(BG940&lt;&gt;BG939,1,0)))</f>
        <v>0</v>
      </c>
      <c r="BI940">
        <f>IF($A940="","",IF($A941="",1,IF(BG941&lt;&gt;BG940,1,0)))</f>
        <v>0</v>
      </c>
      <c r="BJ940">
        <f>IF($A940="","",IF(BH940=1,$B940,BJ939))</f>
        <v>0</v>
      </c>
      <c r="BK940">
        <f>IF($A940="","",IF(BH940=1,$C940,MAX($C940,BK939)))</f>
        <v>0</v>
      </c>
      <c r="BL940">
        <f>IF($A940="","",IF(BH940=1,$D940,MIN($D940,BL939)))</f>
        <v>0</v>
      </c>
      <c r="BM940">
        <f>IF($A940="","",IF(BI940=1,F940,""))</f>
        <v>0</v>
      </c>
      <c r="BN940">
        <f>IF($A940="","",DATE(YEAR($A940),MONTH($A940),1))</f>
        <v>0</v>
      </c>
      <c r="BO940">
        <f>IF($A940="","",IF($A939="",1,IF(BN940&lt;&gt;BN939,1,0)))</f>
        <v>0</v>
      </c>
      <c r="BP940">
        <f>IF($A940="","",IF($A941="",1,IF(BN941&lt;&gt;BN940,1,0)))</f>
        <v>0</v>
      </c>
      <c r="BQ940">
        <f>IF($A940="","",IF(BO940=1,$B940,BQ939))</f>
        <v>0</v>
      </c>
      <c r="BR940">
        <f>IF($A940="","",IF(BO940=1,$C940,MAX($C940,BR939)))</f>
        <v>0</v>
      </c>
      <c r="BS940">
        <f>IF($A940="","",IF(BO940=1,$D940,MIN($D940,BS939)))</f>
        <v>0</v>
      </c>
      <c r="BT940">
        <f>IF($A940="","",IF(BP940=1,F940,""))</f>
        <v>0</v>
      </c>
    </row>
    <row r="941" spans="1:72">
      <c r="A941" s="27">
        <f>IF(Data!$A941="","",Data!$A941)</f>
        <v>0</v>
      </c>
      <c r="B941">
        <f>IF(Data!$B941="","",Data!$B941)</f>
        <v>0</v>
      </c>
      <c r="C941">
        <f>IF(Data!$C941="","",Data!$C941)</f>
        <v>0</v>
      </c>
      <c r="D941">
        <f>IF(Data!$D941="","",Data!$D941)</f>
        <v>0</v>
      </c>
      <c r="E941">
        <f>IF(Data!$E941="","",Data!$E941)</f>
        <v>0</v>
      </c>
      <c r="F941">
        <f>IF($E941="","",N(F940)+1)</f>
        <v>0</v>
      </c>
      <c r="G941">
        <f>IF(OR($E941="",$E940=""),"",LN($E941/$E940))</f>
        <v>0</v>
      </c>
      <c r="H941">
        <f>IF($E941="","",IF($E940="",$E941,$E941*0.0952380952+H940*0.9047619048))</f>
        <v>0</v>
      </c>
      <c r="I941">
        <f>IF($E941="","",IF($E940="",$E941,$E941*0.0392156863+I940*0.9607843137))</f>
        <v>0</v>
      </c>
      <c r="J941">
        <f>IF($E941="","",IF($E940="",$E941,$E941*0.0198019802+J940*0.9801980198))</f>
        <v>0</v>
      </c>
      <c r="K941">
        <f>IF($E941="","",IF($E940="",$E941,$E941*0.0099502488+K940*0.9900497512))</f>
        <v>0</v>
      </c>
      <c r="L941">
        <f>IF(OR($E941="",$E940=""),"",MAX($E941-$E940,0))</f>
        <v>0</v>
      </c>
      <c r="M941">
        <f>IF(OR($E941="",$E940=""),"",MAX($E940-$E941,0))</f>
        <v>0</v>
      </c>
      <c r="N941">
        <f>IF(COUNT($E$2:$E941)&lt;15,"",IF(AVERAGE($M$928:$M$941)=0,100,100-100/(1+AVERAGE($L$928:$L$941)/AVERAGE($M$928:$M$941))))</f>
        <v>0</v>
      </c>
      <c r="O941">
        <f>IF($E941="","",IF($E940="",$E941,$E941*0.1538461538+O940*0.8461538462))</f>
        <v>0</v>
      </c>
      <c r="P941">
        <f>IF($E941="","",IF($E940="",$E941,$E941*0.0740740741+P940*0.9259259259))</f>
        <v>0</v>
      </c>
      <c r="Q941">
        <f>IF(OR(O941="",P941=""),"",O941-P941)</f>
        <v>0</v>
      </c>
      <c r="R941">
        <f>IF(Q941="","",IF(R940="",Q941,Q941*0.2000000000+R940*0.8000000000))</f>
        <v>0</v>
      </c>
      <c r="S941">
        <f>IF(OR(Q941="",R941=""),"",Q941-R941)</f>
        <v>0</v>
      </c>
      <c r="T941">
        <f>IF(COUNT($E$2:$E941)&lt;14,"",MAX($C$928:$C$941))</f>
        <v>0</v>
      </c>
      <c r="U941">
        <f>IF(COUNT($E$2:$E941)&lt;14,"",MIN($D$928:$D$941))</f>
        <v>0</v>
      </c>
      <c r="V941">
        <f>IF(OR(T941="",U941="",T941=U941),"",100*($E941-U941)/(T941-U941))</f>
        <v>0</v>
      </c>
      <c r="W941">
        <f>IF(COUNT($V$939:$V$941)&lt;3,"",AVERAGE($V$939:$V$941))</f>
        <v>0</v>
      </c>
      <c r="X941">
        <f>IF(COUNT($N$928:$N$941)&lt;14,"",MIN($N$928:$N$941))</f>
        <v>0</v>
      </c>
      <c r="Y941">
        <f>IF(COUNT($N$928:$N$941)&lt;14,"",MAX($N$928:$N$941))</f>
        <v>0</v>
      </c>
      <c r="Z941">
        <f>IF(OR(N941="",X941="",Y941="",Y941=X941),"",100*(N941-X941)/(Y941-X941))</f>
        <v>0</v>
      </c>
      <c r="AA941">
        <f>IF(COUNT($Z$939:$Z$941)&lt;3,"",AVERAGE($Z$939:$Z$941))</f>
        <v>0</v>
      </c>
      <c r="AB941">
        <f>IF(COUNT($AA$939:$AA$941)&lt;3,"",AVERAGE($AA$939:$AA$941))</f>
        <v>0</v>
      </c>
      <c r="AC941">
        <f>IF($E941="","",MAX($C941-$D941,ABS($C941-$E940),ABS($D941-$E940)))</f>
        <v>0</v>
      </c>
      <c r="AD941">
        <f>IF(COUNT($E$2:$E941)&lt;15,"",AVERAGE($AC$928:$AC$941))</f>
        <v>0</v>
      </c>
      <c r="AE941">
        <f>IF(OR($E941="",$E940=""),"",IF(AND(($C941-$C940)&gt;($D940-$D941),($C941-$C940)&gt;0),$C941-$C940,0))</f>
        <v>0</v>
      </c>
      <c r="AF941">
        <f>IF(OR($E941="",$E940=""),"",IF(AND(($D940-$D941)&gt;($C941-$C940),($D940-$D941)&gt;0),$D940-$D941,0))</f>
        <v>0</v>
      </c>
      <c r="AG941">
        <f>IF(COUNT($E$2:$E941)&lt;15,"",IF(SUM($AC$928:$AC$941)=0,0,100*SUM($AE$928:$AE$941)/SUM($AC$928:$AC$941)))</f>
        <v>0</v>
      </c>
      <c r="AH941">
        <f>IF(COUNT($E$2:$E941)&lt;15,"",IF(SUM($AC$928:$AC$941)=0,0,100*SUM($AF$928:$AF$941)/SUM($AC$928:$AC$941)))</f>
        <v>0</v>
      </c>
      <c r="AI941">
        <f>IF(OR(AG941="",AH941=""),"",IF((AG941+AH941)=0,0,100*ABS(AG941-AH941)/(AG941+AH941)))</f>
        <v>0</v>
      </c>
      <c r="AJ941">
        <f>IF(COUNT($AI$928:$AI$941)&lt;14,"",AVERAGE($AI$928:$AI$941))</f>
        <v>0</v>
      </c>
      <c r="AK941">
        <f>IF(COUNT($E$2:$E941)&lt;20,"",AVERAGE($E$922:$E$941))</f>
        <v>0</v>
      </c>
      <c r="AL941">
        <f>IF(COUNT($E$2:$E941)&lt;20,"",STDEVP($E$922:$E$941))</f>
        <v>0</v>
      </c>
      <c r="AM941">
        <f>IF(AK941="","",AK941+2*AL941)</f>
        <v>0</v>
      </c>
      <c r="AN941">
        <f>IF(AK941="","",AK941-2*AL941)</f>
        <v>0</v>
      </c>
      <c r="AO941">
        <f>IF(OR(AM941="",AN941="",AM941=AN941),"",($E941-AN941)/(AM941-AN941))</f>
        <v>0</v>
      </c>
      <c r="AP941">
        <f>IF(OR(AM941="",AK941="",AK941=0),"",(AM941-AN941)/AK941)</f>
        <v>0</v>
      </c>
      <c r="AQ941">
        <f>IF(COUNT($E$2:$E941)&lt;20,"",MAX($C$922:$C$941))</f>
        <v>0</v>
      </c>
      <c r="AR941">
        <f>IF(COUNT($E$2:$E941)&lt;20,"",MIN($D$922:$D$941))</f>
        <v>0</v>
      </c>
      <c r="AS941">
        <f>IF(OR(AQ941="",AR941=""),"",(AQ941+AR941)/2)</f>
        <v>0</v>
      </c>
      <c r="AT941">
        <f>IF(COUNT($G$922:$G$941)&lt;20,"",STDEV($G$922:$G$941)*SQRT(252))</f>
        <v>0</v>
      </c>
      <c r="AU941">
        <f>IF(COUNT($E$2:$E941)&lt;9,"",(MAX($C$933:$C$941)+MIN($D$933:$D$941))/2)</f>
        <v>0</v>
      </c>
      <c r="AV941">
        <f>IF(COUNT($E$2:$E941)&lt;26,"",(MAX($C$916:$C$941)+MIN($D$916:$D$941))/2)</f>
        <v>0</v>
      </c>
      <c r="AW941">
        <f>IF(OR(AU941="",AV941=""),"",(AU941+AV941)/2)</f>
        <v>0</v>
      </c>
      <c r="AX941">
        <f>IF(COUNT($E$2:$E941)&lt;52,"",(MAX($C$890:$C$941)+MIN($D$890:$D$941))/2)</f>
        <v>0</v>
      </c>
      <c r="AY941">
        <f>IF(COUNT($E$2:$E941)&lt;20,"",MAX($C$842:$C$941))</f>
        <v>0</v>
      </c>
      <c r="AZ941">
        <f>IF(COUNT($E$2:$E941)&lt;20,"",MIN($D$842:$D$941))</f>
        <v>0</v>
      </c>
      <c r="BA941">
        <f>IF(COUNT($E$2:$E941)&lt;20,"",SLOPE($E$842:$E$941,$F$842:$F$941))</f>
        <v>0</v>
      </c>
      <c r="BB941">
        <f>IF(COUNT($E$2:$E941)&lt;20,"",INTERCEPT($E$842:$E$941,$F$842:$F$941))</f>
        <v>0</v>
      </c>
      <c r="BC941">
        <f>IF(OR(BA941="",BB941=""),"",BB941+BA941*F941)</f>
        <v>0</v>
      </c>
      <c r="BD941">
        <f>IF(COUNT($E$2:$E941)&lt;20,"",STEYX($E$842:$E$941,$F$842:$F$941))</f>
        <v>0</v>
      </c>
      <c r="BE941">
        <f>IF($E941="","",IF(AND(COUNT($E$942:$E$945)&gt;=4,$C941=MAX($C$937:$C$945)),$C941,""))</f>
        <v>0</v>
      </c>
      <c r="BF941">
        <f>IF($E941="","",IF(AND(COUNT($E$942:$E$945)&gt;=4,$D941=MIN($D$937:$D$945)),$D941,""))</f>
        <v>0</v>
      </c>
      <c r="BG941">
        <f>IF($A941="","",$A941-WEEKDAY($A941,2)+1)</f>
        <v>0</v>
      </c>
      <c r="BH941">
        <f>IF($A941="","",IF($A940="",1,IF(BG941&lt;&gt;BG940,1,0)))</f>
        <v>0</v>
      </c>
      <c r="BI941">
        <f>IF($A941="","",IF($A942="",1,IF(BG942&lt;&gt;BG941,1,0)))</f>
        <v>0</v>
      </c>
      <c r="BJ941">
        <f>IF($A941="","",IF(BH941=1,$B941,BJ940))</f>
        <v>0</v>
      </c>
      <c r="BK941">
        <f>IF($A941="","",IF(BH941=1,$C941,MAX($C941,BK940)))</f>
        <v>0</v>
      </c>
      <c r="BL941">
        <f>IF($A941="","",IF(BH941=1,$D941,MIN($D941,BL940)))</f>
        <v>0</v>
      </c>
      <c r="BM941">
        <f>IF($A941="","",IF(BI941=1,F941,""))</f>
        <v>0</v>
      </c>
      <c r="BN941">
        <f>IF($A941="","",DATE(YEAR($A941),MONTH($A941),1))</f>
        <v>0</v>
      </c>
      <c r="BO941">
        <f>IF($A941="","",IF($A940="",1,IF(BN941&lt;&gt;BN940,1,0)))</f>
        <v>0</v>
      </c>
      <c r="BP941">
        <f>IF($A941="","",IF($A942="",1,IF(BN942&lt;&gt;BN941,1,0)))</f>
        <v>0</v>
      </c>
      <c r="BQ941">
        <f>IF($A941="","",IF(BO941=1,$B941,BQ940))</f>
        <v>0</v>
      </c>
      <c r="BR941">
        <f>IF($A941="","",IF(BO941=1,$C941,MAX($C941,BR940)))</f>
        <v>0</v>
      </c>
      <c r="BS941">
        <f>IF($A941="","",IF(BO941=1,$D941,MIN($D941,BS940)))</f>
        <v>0</v>
      </c>
      <c r="BT941">
        <f>IF($A941="","",IF(BP941=1,F941,""))</f>
        <v>0</v>
      </c>
    </row>
    <row r="942" spans="1:72">
      <c r="A942" s="27">
        <f>IF(Data!$A942="","",Data!$A942)</f>
        <v>0</v>
      </c>
      <c r="B942">
        <f>IF(Data!$B942="","",Data!$B942)</f>
        <v>0</v>
      </c>
      <c r="C942">
        <f>IF(Data!$C942="","",Data!$C942)</f>
        <v>0</v>
      </c>
      <c r="D942">
        <f>IF(Data!$D942="","",Data!$D942)</f>
        <v>0</v>
      </c>
      <c r="E942">
        <f>IF(Data!$E942="","",Data!$E942)</f>
        <v>0</v>
      </c>
      <c r="F942">
        <f>IF($E942="","",N(F941)+1)</f>
        <v>0</v>
      </c>
      <c r="G942">
        <f>IF(OR($E942="",$E941=""),"",LN($E942/$E941))</f>
        <v>0</v>
      </c>
      <c r="H942">
        <f>IF($E942="","",IF($E941="",$E942,$E942*0.0952380952+H941*0.9047619048))</f>
        <v>0</v>
      </c>
      <c r="I942">
        <f>IF($E942="","",IF($E941="",$E942,$E942*0.0392156863+I941*0.9607843137))</f>
        <v>0</v>
      </c>
      <c r="J942">
        <f>IF($E942="","",IF($E941="",$E942,$E942*0.0198019802+J941*0.9801980198))</f>
        <v>0</v>
      </c>
      <c r="K942">
        <f>IF($E942="","",IF($E941="",$E942,$E942*0.0099502488+K941*0.9900497512))</f>
        <v>0</v>
      </c>
      <c r="L942">
        <f>IF(OR($E942="",$E941=""),"",MAX($E942-$E941,0))</f>
        <v>0</v>
      </c>
      <c r="M942">
        <f>IF(OR($E942="",$E941=""),"",MAX($E941-$E942,0))</f>
        <v>0</v>
      </c>
      <c r="N942">
        <f>IF(COUNT($E$2:$E942)&lt;15,"",IF(AVERAGE($M$929:$M$942)=0,100,100-100/(1+AVERAGE($L$929:$L$942)/AVERAGE($M$929:$M$942))))</f>
        <v>0</v>
      </c>
      <c r="O942">
        <f>IF($E942="","",IF($E941="",$E942,$E942*0.1538461538+O941*0.8461538462))</f>
        <v>0</v>
      </c>
      <c r="P942">
        <f>IF($E942="","",IF($E941="",$E942,$E942*0.0740740741+P941*0.9259259259))</f>
        <v>0</v>
      </c>
      <c r="Q942">
        <f>IF(OR(O942="",P942=""),"",O942-P942)</f>
        <v>0</v>
      </c>
      <c r="R942">
        <f>IF(Q942="","",IF(R941="",Q942,Q942*0.2000000000+R941*0.8000000000))</f>
        <v>0</v>
      </c>
      <c r="S942">
        <f>IF(OR(Q942="",R942=""),"",Q942-R942)</f>
        <v>0</v>
      </c>
      <c r="T942">
        <f>IF(COUNT($E$2:$E942)&lt;14,"",MAX($C$929:$C$942))</f>
        <v>0</v>
      </c>
      <c r="U942">
        <f>IF(COUNT($E$2:$E942)&lt;14,"",MIN($D$929:$D$942))</f>
        <v>0</v>
      </c>
      <c r="V942">
        <f>IF(OR(T942="",U942="",T942=U942),"",100*($E942-U942)/(T942-U942))</f>
        <v>0</v>
      </c>
      <c r="W942">
        <f>IF(COUNT($V$940:$V$942)&lt;3,"",AVERAGE($V$940:$V$942))</f>
        <v>0</v>
      </c>
      <c r="X942">
        <f>IF(COUNT($N$929:$N$942)&lt;14,"",MIN($N$929:$N$942))</f>
        <v>0</v>
      </c>
      <c r="Y942">
        <f>IF(COUNT($N$929:$N$942)&lt;14,"",MAX($N$929:$N$942))</f>
        <v>0</v>
      </c>
      <c r="Z942">
        <f>IF(OR(N942="",X942="",Y942="",Y942=X942),"",100*(N942-X942)/(Y942-X942))</f>
        <v>0</v>
      </c>
      <c r="AA942">
        <f>IF(COUNT($Z$940:$Z$942)&lt;3,"",AVERAGE($Z$940:$Z$942))</f>
        <v>0</v>
      </c>
      <c r="AB942">
        <f>IF(COUNT($AA$940:$AA$942)&lt;3,"",AVERAGE($AA$940:$AA$942))</f>
        <v>0</v>
      </c>
      <c r="AC942">
        <f>IF($E942="","",MAX($C942-$D942,ABS($C942-$E941),ABS($D942-$E941)))</f>
        <v>0</v>
      </c>
      <c r="AD942">
        <f>IF(COUNT($E$2:$E942)&lt;15,"",AVERAGE($AC$929:$AC$942))</f>
        <v>0</v>
      </c>
      <c r="AE942">
        <f>IF(OR($E942="",$E941=""),"",IF(AND(($C942-$C941)&gt;($D941-$D942),($C942-$C941)&gt;0),$C942-$C941,0))</f>
        <v>0</v>
      </c>
      <c r="AF942">
        <f>IF(OR($E942="",$E941=""),"",IF(AND(($D941-$D942)&gt;($C942-$C941),($D941-$D942)&gt;0),$D941-$D942,0))</f>
        <v>0</v>
      </c>
      <c r="AG942">
        <f>IF(COUNT($E$2:$E942)&lt;15,"",IF(SUM($AC$929:$AC$942)=0,0,100*SUM($AE$929:$AE$942)/SUM($AC$929:$AC$942)))</f>
        <v>0</v>
      </c>
      <c r="AH942">
        <f>IF(COUNT($E$2:$E942)&lt;15,"",IF(SUM($AC$929:$AC$942)=0,0,100*SUM($AF$929:$AF$942)/SUM($AC$929:$AC$942)))</f>
        <v>0</v>
      </c>
      <c r="AI942">
        <f>IF(OR(AG942="",AH942=""),"",IF((AG942+AH942)=0,0,100*ABS(AG942-AH942)/(AG942+AH942)))</f>
        <v>0</v>
      </c>
      <c r="AJ942">
        <f>IF(COUNT($AI$929:$AI$942)&lt;14,"",AVERAGE($AI$929:$AI$942))</f>
        <v>0</v>
      </c>
      <c r="AK942">
        <f>IF(COUNT($E$2:$E942)&lt;20,"",AVERAGE($E$923:$E$942))</f>
        <v>0</v>
      </c>
      <c r="AL942">
        <f>IF(COUNT($E$2:$E942)&lt;20,"",STDEVP($E$923:$E$942))</f>
        <v>0</v>
      </c>
      <c r="AM942">
        <f>IF(AK942="","",AK942+2*AL942)</f>
        <v>0</v>
      </c>
      <c r="AN942">
        <f>IF(AK942="","",AK942-2*AL942)</f>
        <v>0</v>
      </c>
      <c r="AO942">
        <f>IF(OR(AM942="",AN942="",AM942=AN942),"",($E942-AN942)/(AM942-AN942))</f>
        <v>0</v>
      </c>
      <c r="AP942">
        <f>IF(OR(AM942="",AK942="",AK942=0),"",(AM942-AN942)/AK942)</f>
        <v>0</v>
      </c>
      <c r="AQ942">
        <f>IF(COUNT($E$2:$E942)&lt;20,"",MAX($C$923:$C$942))</f>
        <v>0</v>
      </c>
      <c r="AR942">
        <f>IF(COUNT($E$2:$E942)&lt;20,"",MIN($D$923:$D$942))</f>
        <v>0</v>
      </c>
      <c r="AS942">
        <f>IF(OR(AQ942="",AR942=""),"",(AQ942+AR942)/2)</f>
        <v>0</v>
      </c>
      <c r="AT942">
        <f>IF(COUNT($G$923:$G$942)&lt;20,"",STDEV($G$923:$G$942)*SQRT(252))</f>
        <v>0</v>
      </c>
      <c r="AU942">
        <f>IF(COUNT($E$2:$E942)&lt;9,"",(MAX($C$934:$C$942)+MIN($D$934:$D$942))/2)</f>
        <v>0</v>
      </c>
      <c r="AV942">
        <f>IF(COUNT($E$2:$E942)&lt;26,"",(MAX($C$917:$C$942)+MIN($D$917:$D$942))/2)</f>
        <v>0</v>
      </c>
      <c r="AW942">
        <f>IF(OR(AU942="",AV942=""),"",(AU942+AV942)/2)</f>
        <v>0</v>
      </c>
      <c r="AX942">
        <f>IF(COUNT($E$2:$E942)&lt;52,"",(MAX($C$891:$C$942)+MIN($D$891:$D$942))/2)</f>
        <v>0</v>
      </c>
      <c r="AY942">
        <f>IF(COUNT($E$2:$E942)&lt;20,"",MAX($C$843:$C$942))</f>
        <v>0</v>
      </c>
      <c r="AZ942">
        <f>IF(COUNT($E$2:$E942)&lt;20,"",MIN($D$843:$D$942))</f>
        <v>0</v>
      </c>
      <c r="BA942">
        <f>IF(COUNT($E$2:$E942)&lt;20,"",SLOPE($E$843:$E$942,$F$843:$F$942))</f>
        <v>0</v>
      </c>
      <c r="BB942">
        <f>IF(COUNT($E$2:$E942)&lt;20,"",INTERCEPT($E$843:$E$942,$F$843:$F$942))</f>
        <v>0</v>
      </c>
      <c r="BC942">
        <f>IF(OR(BA942="",BB942=""),"",BB942+BA942*F942)</f>
        <v>0</v>
      </c>
      <c r="BD942">
        <f>IF(COUNT($E$2:$E942)&lt;20,"",STEYX($E$843:$E$942,$F$843:$F$942))</f>
        <v>0</v>
      </c>
      <c r="BE942">
        <f>IF($E942="","",IF(AND(COUNT($E$943:$E$946)&gt;=4,$C942=MAX($C$938:$C$946)),$C942,""))</f>
        <v>0</v>
      </c>
      <c r="BF942">
        <f>IF($E942="","",IF(AND(COUNT($E$943:$E$946)&gt;=4,$D942=MIN($D$938:$D$946)),$D942,""))</f>
        <v>0</v>
      </c>
      <c r="BG942">
        <f>IF($A942="","",$A942-WEEKDAY($A942,2)+1)</f>
        <v>0</v>
      </c>
      <c r="BH942">
        <f>IF($A942="","",IF($A941="",1,IF(BG942&lt;&gt;BG941,1,0)))</f>
        <v>0</v>
      </c>
      <c r="BI942">
        <f>IF($A942="","",IF($A943="",1,IF(BG943&lt;&gt;BG942,1,0)))</f>
        <v>0</v>
      </c>
      <c r="BJ942">
        <f>IF($A942="","",IF(BH942=1,$B942,BJ941))</f>
        <v>0</v>
      </c>
      <c r="BK942">
        <f>IF($A942="","",IF(BH942=1,$C942,MAX($C942,BK941)))</f>
        <v>0</v>
      </c>
      <c r="BL942">
        <f>IF($A942="","",IF(BH942=1,$D942,MIN($D942,BL941)))</f>
        <v>0</v>
      </c>
      <c r="BM942">
        <f>IF($A942="","",IF(BI942=1,F942,""))</f>
        <v>0</v>
      </c>
      <c r="BN942">
        <f>IF($A942="","",DATE(YEAR($A942),MONTH($A942),1))</f>
        <v>0</v>
      </c>
      <c r="BO942">
        <f>IF($A942="","",IF($A941="",1,IF(BN942&lt;&gt;BN941,1,0)))</f>
        <v>0</v>
      </c>
      <c r="BP942">
        <f>IF($A942="","",IF($A943="",1,IF(BN943&lt;&gt;BN942,1,0)))</f>
        <v>0</v>
      </c>
      <c r="BQ942">
        <f>IF($A942="","",IF(BO942=1,$B942,BQ941))</f>
        <v>0</v>
      </c>
      <c r="BR942">
        <f>IF($A942="","",IF(BO942=1,$C942,MAX($C942,BR941)))</f>
        <v>0</v>
      </c>
      <c r="BS942">
        <f>IF($A942="","",IF(BO942=1,$D942,MIN($D942,BS941)))</f>
        <v>0</v>
      </c>
      <c r="BT942">
        <f>IF($A942="","",IF(BP942=1,F942,""))</f>
        <v>0</v>
      </c>
    </row>
    <row r="943" spans="1:72">
      <c r="A943" s="27">
        <f>IF(Data!$A943="","",Data!$A943)</f>
        <v>0</v>
      </c>
      <c r="B943">
        <f>IF(Data!$B943="","",Data!$B943)</f>
        <v>0</v>
      </c>
      <c r="C943">
        <f>IF(Data!$C943="","",Data!$C943)</f>
        <v>0</v>
      </c>
      <c r="D943">
        <f>IF(Data!$D943="","",Data!$D943)</f>
        <v>0</v>
      </c>
      <c r="E943">
        <f>IF(Data!$E943="","",Data!$E943)</f>
        <v>0</v>
      </c>
      <c r="F943">
        <f>IF($E943="","",N(F942)+1)</f>
        <v>0</v>
      </c>
      <c r="G943">
        <f>IF(OR($E943="",$E942=""),"",LN($E943/$E942))</f>
        <v>0</v>
      </c>
      <c r="H943">
        <f>IF($E943="","",IF($E942="",$E943,$E943*0.0952380952+H942*0.9047619048))</f>
        <v>0</v>
      </c>
      <c r="I943">
        <f>IF($E943="","",IF($E942="",$E943,$E943*0.0392156863+I942*0.9607843137))</f>
        <v>0</v>
      </c>
      <c r="J943">
        <f>IF($E943="","",IF($E942="",$E943,$E943*0.0198019802+J942*0.9801980198))</f>
        <v>0</v>
      </c>
      <c r="K943">
        <f>IF($E943="","",IF($E942="",$E943,$E943*0.0099502488+K942*0.9900497512))</f>
        <v>0</v>
      </c>
      <c r="L943">
        <f>IF(OR($E943="",$E942=""),"",MAX($E943-$E942,0))</f>
        <v>0</v>
      </c>
      <c r="M943">
        <f>IF(OR($E943="",$E942=""),"",MAX($E942-$E943,0))</f>
        <v>0</v>
      </c>
      <c r="N943">
        <f>IF(COUNT($E$2:$E943)&lt;15,"",IF(AVERAGE($M$930:$M$943)=0,100,100-100/(1+AVERAGE($L$930:$L$943)/AVERAGE($M$930:$M$943))))</f>
        <v>0</v>
      </c>
      <c r="O943">
        <f>IF($E943="","",IF($E942="",$E943,$E943*0.1538461538+O942*0.8461538462))</f>
        <v>0</v>
      </c>
      <c r="P943">
        <f>IF($E943="","",IF($E942="",$E943,$E943*0.0740740741+P942*0.9259259259))</f>
        <v>0</v>
      </c>
      <c r="Q943">
        <f>IF(OR(O943="",P943=""),"",O943-P943)</f>
        <v>0</v>
      </c>
      <c r="R943">
        <f>IF(Q943="","",IF(R942="",Q943,Q943*0.2000000000+R942*0.8000000000))</f>
        <v>0</v>
      </c>
      <c r="S943">
        <f>IF(OR(Q943="",R943=""),"",Q943-R943)</f>
        <v>0</v>
      </c>
      <c r="T943">
        <f>IF(COUNT($E$2:$E943)&lt;14,"",MAX($C$930:$C$943))</f>
        <v>0</v>
      </c>
      <c r="U943">
        <f>IF(COUNT($E$2:$E943)&lt;14,"",MIN($D$930:$D$943))</f>
        <v>0</v>
      </c>
      <c r="V943">
        <f>IF(OR(T943="",U943="",T943=U943),"",100*($E943-U943)/(T943-U943))</f>
        <v>0</v>
      </c>
      <c r="W943">
        <f>IF(COUNT($V$941:$V$943)&lt;3,"",AVERAGE($V$941:$V$943))</f>
        <v>0</v>
      </c>
      <c r="X943">
        <f>IF(COUNT($N$930:$N$943)&lt;14,"",MIN($N$930:$N$943))</f>
        <v>0</v>
      </c>
      <c r="Y943">
        <f>IF(COUNT($N$930:$N$943)&lt;14,"",MAX($N$930:$N$943))</f>
        <v>0</v>
      </c>
      <c r="Z943">
        <f>IF(OR(N943="",X943="",Y943="",Y943=X943),"",100*(N943-X943)/(Y943-X943))</f>
        <v>0</v>
      </c>
      <c r="AA943">
        <f>IF(COUNT($Z$941:$Z$943)&lt;3,"",AVERAGE($Z$941:$Z$943))</f>
        <v>0</v>
      </c>
      <c r="AB943">
        <f>IF(COUNT($AA$941:$AA$943)&lt;3,"",AVERAGE($AA$941:$AA$943))</f>
        <v>0</v>
      </c>
      <c r="AC943">
        <f>IF($E943="","",MAX($C943-$D943,ABS($C943-$E942),ABS($D943-$E942)))</f>
        <v>0</v>
      </c>
      <c r="AD943">
        <f>IF(COUNT($E$2:$E943)&lt;15,"",AVERAGE($AC$930:$AC$943))</f>
        <v>0</v>
      </c>
      <c r="AE943">
        <f>IF(OR($E943="",$E942=""),"",IF(AND(($C943-$C942)&gt;($D942-$D943),($C943-$C942)&gt;0),$C943-$C942,0))</f>
        <v>0</v>
      </c>
      <c r="AF943">
        <f>IF(OR($E943="",$E942=""),"",IF(AND(($D942-$D943)&gt;($C943-$C942),($D942-$D943)&gt;0),$D942-$D943,0))</f>
        <v>0</v>
      </c>
      <c r="AG943">
        <f>IF(COUNT($E$2:$E943)&lt;15,"",IF(SUM($AC$930:$AC$943)=0,0,100*SUM($AE$930:$AE$943)/SUM($AC$930:$AC$943)))</f>
        <v>0</v>
      </c>
      <c r="AH943">
        <f>IF(COUNT($E$2:$E943)&lt;15,"",IF(SUM($AC$930:$AC$943)=0,0,100*SUM($AF$930:$AF$943)/SUM($AC$930:$AC$943)))</f>
        <v>0</v>
      </c>
      <c r="AI943">
        <f>IF(OR(AG943="",AH943=""),"",IF((AG943+AH943)=0,0,100*ABS(AG943-AH943)/(AG943+AH943)))</f>
        <v>0</v>
      </c>
      <c r="AJ943">
        <f>IF(COUNT($AI$930:$AI$943)&lt;14,"",AVERAGE($AI$930:$AI$943))</f>
        <v>0</v>
      </c>
      <c r="AK943">
        <f>IF(COUNT($E$2:$E943)&lt;20,"",AVERAGE($E$924:$E$943))</f>
        <v>0</v>
      </c>
      <c r="AL943">
        <f>IF(COUNT($E$2:$E943)&lt;20,"",STDEVP($E$924:$E$943))</f>
        <v>0</v>
      </c>
      <c r="AM943">
        <f>IF(AK943="","",AK943+2*AL943)</f>
        <v>0</v>
      </c>
      <c r="AN943">
        <f>IF(AK943="","",AK943-2*AL943)</f>
        <v>0</v>
      </c>
      <c r="AO943">
        <f>IF(OR(AM943="",AN943="",AM943=AN943),"",($E943-AN943)/(AM943-AN943))</f>
        <v>0</v>
      </c>
      <c r="AP943">
        <f>IF(OR(AM943="",AK943="",AK943=0),"",(AM943-AN943)/AK943)</f>
        <v>0</v>
      </c>
      <c r="AQ943">
        <f>IF(COUNT($E$2:$E943)&lt;20,"",MAX($C$924:$C$943))</f>
        <v>0</v>
      </c>
      <c r="AR943">
        <f>IF(COUNT($E$2:$E943)&lt;20,"",MIN($D$924:$D$943))</f>
        <v>0</v>
      </c>
      <c r="AS943">
        <f>IF(OR(AQ943="",AR943=""),"",(AQ943+AR943)/2)</f>
        <v>0</v>
      </c>
      <c r="AT943">
        <f>IF(COUNT($G$924:$G$943)&lt;20,"",STDEV($G$924:$G$943)*SQRT(252))</f>
        <v>0</v>
      </c>
      <c r="AU943">
        <f>IF(COUNT($E$2:$E943)&lt;9,"",(MAX($C$935:$C$943)+MIN($D$935:$D$943))/2)</f>
        <v>0</v>
      </c>
      <c r="AV943">
        <f>IF(COUNT($E$2:$E943)&lt;26,"",(MAX($C$918:$C$943)+MIN($D$918:$D$943))/2)</f>
        <v>0</v>
      </c>
      <c r="AW943">
        <f>IF(OR(AU943="",AV943=""),"",(AU943+AV943)/2)</f>
        <v>0</v>
      </c>
      <c r="AX943">
        <f>IF(COUNT($E$2:$E943)&lt;52,"",(MAX($C$892:$C$943)+MIN($D$892:$D$943))/2)</f>
        <v>0</v>
      </c>
      <c r="AY943">
        <f>IF(COUNT($E$2:$E943)&lt;20,"",MAX($C$844:$C$943))</f>
        <v>0</v>
      </c>
      <c r="AZ943">
        <f>IF(COUNT($E$2:$E943)&lt;20,"",MIN($D$844:$D$943))</f>
        <v>0</v>
      </c>
      <c r="BA943">
        <f>IF(COUNT($E$2:$E943)&lt;20,"",SLOPE($E$844:$E$943,$F$844:$F$943))</f>
        <v>0</v>
      </c>
      <c r="BB943">
        <f>IF(COUNT($E$2:$E943)&lt;20,"",INTERCEPT($E$844:$E$943,$F$844:$F$943))</f>
        <v>0</v>
      </c>
      <c r="BC943">
        <f>IF(OR(BA943="",BB943=""),"",BB943+BA943*F943)</f>
        <v>0</v>
      </c>
      <c r="BD943">
        <f>IF(COUNT($E$2:$E943)&lt;20,"",STEYX($E$844:$E$943,$F$844:$F$943))</f>
        <v>0</v>
      </c>
      <c r="BE943">
        <f>IF($E943="","",IF(AND(COUNT($E$944:$E$947)&gt;=4,$C943=MAX($C$939:$C$947)),$C943,""))</f>
        <v>0</v>
      </c>
      <c r="BF943">
        <f>IF($E943="","",IF(AND(COUNT($E$944:$E$947)&gt;=4,$D943=MIN($D$939:$D$947)),$D943,""))</f>
        <v>0</v>
      </c>
      <c r="BG943">
        <f>IF($A943="","",$A943-WEEKDAY($A943,2)+1)</f>
        <v>0</v>
      </c>
      <c r="BH943">
        <f>IF($A943="","",IF($A942="",1,IF(BG943&lt;&gt;BG942,1,0)))</f>
        <v>0</v>
      </c>
      <c r="BI943">
        <f>IF($A943="","",IF($A944="",1,IF(BG944&lt;&gt;BG943,1,0)))</f>
        <v>0</v>
      </c>
      <c r="BJ943">
        <f>IF($A943="","",IF(BH943=1,$B943,BJ942))</f>
        <v>0</v>
      </c>
      <c r="BK943">
        <f>IF($A943="","",IF(BH943=1,$C943,MAX($C943,BK942)))</f>
        <v>0</v>
      </c>
      <c r="BL943">
        <f>IF($A943="","",IF(BH943=1,$D943,MIN($D943,BL942)))</f>
        <v>0</v>
      </c>
      <c r="BM943">
        <f>IF($A943="","",IF(BI943=1,F943,""))</f>
        <v>0</v>
      </c>
      <c r="BN943">
        <f>IF($A943="","",DATE(YEAR($A943),MONTH($A943),1))</f>
        <v>0</v>
      </c>
      <c r="BO943">
        <f>IF($A943="","",IF($A942="",1,IF(BN943&lt;&gt;BN942,1,0)))</f>
        <v>0</v>
      </c>
      <c r="BP943">
        <f>IF($A943="","",IF($A944="",1,IF(BN944&lt;&gt;BN943,1,0)))</f>
        <v>0</v>
      </c>
      <c r="BQ943">
        <f>IF($A943="","",IF(BO943=1,$B943,BQ942))</f>
        <v>0</v>
      </c>
      <c r="BR943">
        <f>IF($A943="","",IF(BO943=1,$C943,MAX($C943,BR942)))</f>
        <v>0</v>
      </c>
      <c r="BS943">
        <f>IF($A943="","",IF(BO943=1,$D943,MIN($D943,BS942)))</f>
        <v>0</v>
      </c>
      <c r="BT943">
        <f>IF($A943="","",IF(BP943=1,F943,""))</f>
        <v>0</v>
      </c>
    </row>
    <row r="944" spans="1:72">
      <c r="A944" s="27">
        <f>IF(Data!$A944="","",Data!$A944)</f>
        <v>0</v>
      </c>
      <c r="B944">
        <f>IF(Data!$B944="","",Data!$B944)</f>
        <v>0</v>
      </c>
      <c r="C944">
        <f>IF(Data!$C944="","",Data!$C944)</f>
        <v>0</v>
      </c>
      <c r="D944">
        <f>IF(Data!$D944="","",Data!$D944)</f>
        <v>0</v>
      </c>
      <c r="E944">
        <f>IF(Data!$E944="","",Data!$E944)</f>
        <v>0</v>
      </c>
      <c r="F944">
        <f>IF($E944="","",N(F943)+1)</f>
        <v>0</v>
      </c>
      <c r="G944">
        <f>IF(OR($E944="",$E943=""),"",LN($E944/$E943))</f>
        <v>0</v>
      </c>
      <c r="H944">
        <f>IF($E944="","",IF($E943="",$E944,$E944*0.0952380952+H943*0.9047619048))</f>
        <v>0</v>
      </c>
      <c r="I944">
        <f>IF($E944="","",IF($E943="",$E944,$E944*0.0392156863+I943*0.9607843137))</f>
        <v>0</v>
      </c>
      <c r="J944">
        <f>IF($E944="","",IF($E943="",$E944,$E944*0.0198019802+J943*0.9801980198))</f>
        <v>0</v>
      </c>
      <c r="K944">
        <f>IF($E944="","",IF($E943="",$E944,$E944*0.0099502488+K943*0.9900497512))</f>
        <v>0</v>
      </c>
      <c r="L944">
        <f>IF(OR($E944="",$E943=""),"",MAX($E944-$E943,0))</f>
        <v>0</v>
      </c>
      <c r="M944">
        <f>IF(OR($E944="",$E943=""),"",MAX($E943-$E944,0))</f>
        <v>0</v>
      </c>
      <c r="N944">
        <f>IF(COUNT($E$2:$E944)&lt;15,"",IF(AVERAGE($M$931:$M$944)=0,100,100-100/(1+AVERAGE($L$931:$L$944)/AVERAGE($M$931:$M$944))))</f>
        <v>0</v>
      </c>
      <c r="O944">
        <f>IF($E944="","",IF($E943="",$E944,$E944*0.1538461538+O943*0.8461538462))</f>
        <v>0</v>
      </c>
      <c r="P944">
        <f>IF($E944="","",IF($E943="",$E944,$E944*0.0740740741+P943*0.9259259259))</f>
        <v>0</v>
      </c>
      <c r="Q944">
        <f>IF(OR(O944="",P944=""),"",O944-P944)</f>
        <v>0</v>
      </c>
      <c r="R944">
        <f>IF(Q944="","",IF(R943="",Q944,Q944*0.2000000000+R943*0.8000000000))</f>
        <v>0</v>
      </c>
      <c r="S944">
        <f>IF(OR(Q944="",R944=""),"",Q944-R944)</f>
        <v>0</v>
      </c>
      <c r="T944">
        <f>IF(COUNT($E$2:$E944)&lt;14,"",MAX($C$931:$C$944))</f>
        <v>0</v>
      </c>
      <c r="U944">
        <f>IF(COUNT($E$2:$E944)&lt;14,"",MIN($D$931:$D$944))</f>
        <v>0</v>
      </c>
      <c r="V944">
        <f>IF(OR(T944="",U944="",T944=U944),"",100*($E944-U944)/(T944-U944))</f>
        <v>0</v>
      </c>
      <c r="W944">
        <f>IF(COUNT($V$942:$V$944)&lt;3,"",AVERAGE($V$942:$V$944))</f>
        <v>0</v>
      </c>
      <c r="X944">
        <f>IF(COUNT($N$931:$N$944)&lt;14,"",MIN($N$931:$N$944))</f>
        <v>0</v>
      </c>
      <c r="Y944">
        <f>IF(COUNT($N$931:$N$944)&lt;14,"",MAX($N$931:$N$944))</f>
        <v>0</v>
      </c>
      <c r="Z944">
        <f>IF(OR(N944="",X944="",Y944="",Y944=X944),"",100*(N944-X944)/(Y944-X944))</f>
        <v>0</v>
      </c>
      <c r="AA944">
        <f>IF(COUNT($Z$942:$Z$944)&lt;3,"",AVERAGE($Z$942:$Z$944))</f>
        <v>0</v>
      </c>
      <c r="AB944">
        <f>IF(COUNT($AA$942:$AA$944)&lt;3,"",AVERAGE($AA$942:$AA$944))</f>
        <v>0</v>
      </c>
      <c r="AC944">
        <f>IF($E944="","",MAX($C944-$D944,ABS($C944-$E943),ABS($D944-$E943)))</f>
        <v>0</v>
      </c>
      <c r="AD944">
        <f>IF(COUNT($E$2:$E944)&lt;15,"",AVERAGE($AC$931:$AC$944))</f>
        <v>0</v>
      </c>
      <c r="AE944">
        <f>IF(OR($E944="",$E943=""),"",IF(AND(($C944-$C943)&gt;($D943-$D944),($C944-$C943)&gt;0),$C944-$C943,0))</f>
        <v>0</v>
      </c>
      <c r="AF944">
        <f>IF(OR($E944="",$E943=""),"",IF(AND(($D943-$D944)&gt;($C944-$C943),($D943-$D944)&gt;0),$D943-$D944,0))</f>
        <v>0</v>
      </c>
      <c r="AG944">
        <f>IF(COUNT($E$2:$E944)&lt;15,"",IF(SUM($AC$931:$AC$944)=0,0,100*SUM($AE$931:$AE$944)/SUM($AC$931:$AC$944)))</f>
        <v>0</v>
      </c>
      <c r="AH944">
        <f>IF(COUNT($E$2:$E944)&lt;15,"",IF(SUM($AC$931:$AC$944)=0,0,100*SUM($AF$931:$AF$944)/SUM($AC$931:$AC$944)))</f>
        <v>0</v>
      </c>
      <c r="AI944">
        <f>IF(OR(AG944="",AH944=""),"",IF((AG944+AH944)=0,0,100*ABS(AG944-AH944)/(AG944+AH944)))</f>
        <v>0</v>
      </c>
      <c r="AJ944">
        <f>IF(COUNT($AI$931:$AI$944)&lt;14,"",AVERAGE($AI$931:$AI$944))</f>
        <v>0</v>
      </c>
      <c r="AK944">
        <f>IF(COUNT($E$2:$E944)&lt;20,"",AVERAGE($E$925:$E$944))</f>
        <v>0</v>
      </c>
      <c r="AL944">
        <f>IF(COUNT($E$2:$E944)&lt;20,"",STDEVP($E$925:$E$944))</f>
        <v>0</v>
      </c>
      <c r="AM944">
        <f>IF(AK944="","",AK944+2*AL944)</f>
        <v>0</v>
      </c>
      <c r="AN944">
        <f>IF(AK944="","",AK944-2*AL944)</f>
        <v>0</v>
      </c>
      <c r="AO944">
        <f>IF(OR(AM944="",AN944="",AM944=AN944),"",($E944-AN944)/(AM944-AN944))</f>
        <v>0</v>
      </c>
      <c r="AP944">
        <f>IF(OR(AM944="",AK944="",AK944=0),"",(AM944-AN944)/AK944)</f>
        <v>0</v>
      </c>
      <c r="AQ944">
        <f>IF(COUNT($E$2:$E944)&lt;20,"",MAX($C$925:$C$944))</f>
        <v>0</v>
      </c>
      <c r="AR944">
        <f>IF(COUNT($E$2:$E944)&lt;20,"",MIN($D$925:$D$944))</f>
        <v>0</v>
      </c>
      <c r="AS944">
        <f>IF(OR(AQ944="",AR944=""),"",(AQ944+AR944)/2)</f>
        <v>0</v>
      </c>
      <c r="AT944">
        <f>IF(COUNT($G$925:$G$944)&lt;20,"",STDEV($G$925:$G$944)*SQRT(252))</f>
        <v>0</v>
      </c>
      <c r="AU944">
        <f>IF(COUNT($E$2:$E944)&lt;9,"",(MAX($C$936:$C$944)+MIN($D$936:$D$944))/2)</f>
        <v>0</v>
      </c>
      <c r="AV944">
        <f>IF(COUNT($E$2:$E944)&lt;26,"",(MAX($C$919:$C$944)+MIN($D$919:$D$944))/2)</f>
        <v>0</v>
      </c>
      <c r="AW944">
        <f>IF(OR(AU944="",AV944=""),"",(AU944+AV944)/2)</f>
        <v>0</v>
      </c>
      <c r="AX944">
        <f>IF(COUNT($E$2:$E944)&lt;52,"",(MAX($C$893:$C$944)+MIN($D$893:$D$944))/2)</f>
        <v>0</v>
      </c>
      <c r="AY944">
        <f>IF(COUNT($E$2:$E944)&lt;20,"",MAX($C$845:$C$944))</f>
        <v>0</v>
      </c>
      <c r="AZ944">
        <f>IF(COUNT($E$2:$E944)&lt;20,"",MIN($D$845:$D$944))</f>
        <v>0</v>
      </c>
      <c r="BA944">
        <f>IF(COUNT($E$2:$E944)&lt;20,"",SLOPE($E$845:$E$944,$F$845:$F$944))</f>
        <v>0</v>
      </c>
      <c r="BB944">
        <f>IF(COUNT($E$2:$E944)&lt;20,"",INTERCEPT($E$845:$E$944,$F$845:$F$944))</f>
        <v>0</v>
      </c>
      <c r="BC944">
        <f>IF(OR(BA944="",BB944=""),"",BB944+BA944*F944)</f>
        <v>0</v>
      </c>
      <c r="BD944">
        <f>IF(COUNT($E$2:$E944)&lt;20,"",STEYX($E$845:$E$944,$F$845:$F$944))</f>
        <v>0</v>
      </c>
      <c r="BE944">
        <f>IF($E944="","",IF(AND(COUNT($E$945:$E$948)&gt;=4,$C944=MAX($C$940:$C$948)),$C944,""))</f>
        <v>0</v>
      </c>
      <c r="BF944">
        <f>IF($E944="","",IF(AND(COUNT($E$945:$E$948)&gt;=4,$D944=MIN($D$940:$D$948)),$D944,""))</f>
        <v>0</v>
      </c>
      <c r="BG944">
        <f>IF($A944="","",$A944-WEEKDAY($A944,2)+1)</f>
        <v>0</v>
      </c>
      <c r="BH944">
        <f>IF($A944="","",IF($A943="",1,IF(BG944&lt;&gt;BG943,1,0)))</f>
        <v>0</v>
      </c>
      <c r="BI944">
        <f>IF($A944="","",IF($A945="",1,IF(BG945&lt;&gt;BG944,1,0)))</f>
        <v>0</v>
      </c>
      <c r="BJ944">
        <f>IF($A944="","",IF(BH944=1,$B944,BJ943))</f>
        <v>0</v>
      </c>
      <c r="BK944">
        <f>IF($A944="","",IF(BH944=1,$C944,MAX($C944,BK943)))</f>
        <v>0</v>
      </c>
      <c r="BL944">
        <f>IF($A944="","",IF(BH944=1,$D944,MIN($D944,BL943)))</f>
        <v>0</v>
      </c>
      <c r="BM944">
        <f>IF($A944="","",IF(BI944=1,F944,""))</f>
        <v>0</v>
      </c>
      <c r="BN944">
        <f>IF($A944="","",DATE(YEAR($A944),MONTH($A944),1))</f>
        <v>0</v>
      </c>
      <c r="BO944">
        <f>IF($A944="","",IF($A943="",1,IF(BN944&lt;&gt;BN943,1,0)))</f>
        <v>0</v>
      </c>
      <c r="BP944">
        <f>IF($A944="","",IF($A945="",1,IF(BN945&lt;&gt;BN944,1,0)))</f>
        <v>0</v>
      </c>
      <c r="BQ944">
        <f>IF($A944="","",IF(BO944=1,$B944,BQ943))</f>
        <v>0</v>
      </c>
      <c r="BR944">
        <f>IF($A944="","",IF(BO944=1,$C944,MAX($C944,BR943)))</f>
        <v>0</v>
      </c>
      <c r="BS944">
        <f>IF($A944="","",IF(BO944=1,$D944,MIN($D944,BS943)))</f>
        <v>0</v>
      </c>
      <c r="BT944">
        <f>IF($A944="","",IF(BP944=1,F944,""))</f>
        <v>0</v>
      </c>
    </row>
    <row r="945" spans="1:72">
      <c r="A945" s="27">
        <f>IF(Data!$A945="","",Data!$A945)</f>
        <v>0</v>
      </c>
      <c r="B945">
        <f>IF(Data!$B945="","",Data!$B945)</f>
        <v>0</v>
      </c>
      <c r="C945">
        <f>IF(Data!$C945="","",Data!$C945)</f>
        <v>0</v>
      </c>
      <c r="D945">
        <f>IF(Data!$D945="","",Data!$D945)</f>
        <v>0</v>
      </c>
      <c r="E945">
        <f>IF(Data!$E945="","",Data!$E945)</f>
        <v>0</v>
      </c>
      <c r="F945">
        <f>IF($E945="","",N(F944)+1)</f>
        <v>0</v>
      </c>
      <c r="G945">
        <f>IF(OR($E945="",$E944=""),"",LN($E945/$E944))</f>
        <v>0</v>
      </c>
      <c r="H945">
        <f>IF($E945="","",IF($E944="",$E945,$E945*0.0952380952+H944*0.9047619048))</f>
        <v>0</v>
      </c>
      <c r="I945">
        <f>IF($E945="","",IF($E944="",$E945,$E945*0.0392156863+I944*0.9607843137))</f>
        <v>0</v>
      </c>
      <c r="J945">
        <f>IF($E945="","",IF($E944="",$E945,$E945*0.0198019802+J944*0.9801980198))</f>
        <v>0</v>
      </c>
      <c r="K945">
        <f>IF($E945="","",IF($E944="",$E945,$E945*0.0099502488+K944*0.9900497512))</f>
        <v>0</v>
      </c>
      <c r="L945">
        <f>IF(OR($E945="",$E944=""),"",MAX($E945-$E944,0))</f>
        <v>0</v>
      </c>
      <c r="M945">
        <f>IF(OR($E945="",$E944=""),"",MAX($E944-$E945,0))</f>
        <v>0</v>
      </c>
      <c r="N945">
        <f>IF(COUNT($E$2:$E945)&lt;15,"",IF(AVERAGE($M$932:$M$945)=0,100,100-100/(1+AVERAGE($L$932:$L$945)/AVERAGE($M$932:$M$945))))</f>
        <v>0</v>
      </c>
      <c r="O945">
        <f>IF($E945="","",IF($E944="",$E945,$E945*0.1538461538+O944*0.8461538462))</f>
        <v>0</v>
      </c>
      <c r="P945">
        <f>IF($E945="","",IF($E944="",$E945,$E945*0.0740740741+P944*0.9259259259))</f>
        <v>0</v>
      </c>
      <c r="Q945">
        <f>IF(OR(O945="",P945=""),"",O945-P945)</f>
        <v>0</v>
      </c>
      <c r="R945">
        <f>IF(Q945="","",IF(R944="",Q945,Q945*0.2000000000+R944*0.8000000000))</f>
        <v>0</v>
      </c>
      <c r="S945">
        <f>IF(OR(Q945="",R945=""),"",Q945-R945)</f>
        <v>0</v>
      </c>
      <c r="T945">
        <f>IF(COUNT($E$2:$E945)&lt;14,"",MAX($C$932:$C$945))</f>
        <v>0</v>
      </c>
      <c r="U945">
        <f>IF(COUNT($E$2:$E945)&lt;14,"",MIN($D$932:$D$945))</f>
        <v>0</v>
      </c>
      <c r="V945">
        <f>IF(OR(T945="",U945="",T945=U945),"",100*($E945-U945)/(T945-U945))</f>
        <v>0</v>
      </c>
      <c r="W945">
        <f>IF(COUNT($V$943:$V$945)&lt;3,"",AVERAGE($V$943:$V$945))</f>
        <v>0</v>
      </c>
      <c r="X945">
        <f>IF(COUNT($N$932:$N$945)&lt;14,"",MIN($N$932:$N$945))</f>
        <v>0</v>
      </c>
      <c r="Y945">
        <f>IF(COUNT($N$932:$N$945)&lt;14,"",MAX($N$932:$N$945))</f>
        <v>0</v>
      </c>
      <c r="Z945">
        <f>IF(OR(N945="",X945="",Y945="",Y945=X945),"",100*(N945-X945)/(Y945-X945))</f>
        <v>0</v>
      </c>
      <c r="AA945">
        <f>IF(COUNT($Z$943:$Z$945)&lt;3,"",AVERAGE($Z$943:$Z$945))</f>
        <v>0</v>
      </c>
      <c r="AB945">
        <f>IF(COUNT($AA$943:$AA$945)&lt;3,"",AVERAGE($AA$943:$AA$945))</f>
        <v>0</v>
      </c>
      <c r="AC945">
        <f>IF($E945="","",MAX($C945-$D945,ABS($C945-$E944),ABS($D945-$E944)))</f>
        <v>0</v>
      </c>
      <c r="AD945">
        <f>IF(COUNT($E$2:$E945)&lt;15,"",AVERAGE($AC$932:$AC$945))</f>
        <v>0</v>
      </c>
      <c r="AE945">
        <f>IF(OR($E945="",$E944=""),"",IF(AND(($C945-$C944)&gt;($D944-$D945),($C945-$C944)&gt;0),$C945-$C944,0))</f>
        <v>0</v>
      </c>
      <c r="AF945">
        <f>IF(OR($E945="",$E944=""),"",IF(AND(($D944-$D945)&gt;($C945-$C944),($D944-$D945)&gt;0),$D944-$D945,0))</f>
        <v>0</v>
      </c>
      <c r="AG945">
        <f>IF(COUNT($E$2:$E945)&lt;15,"",IF(SUM($AC$932:$AC$945)=0,0,100*SUM($AE$932:$AE$945)/SUM($AC$932:$AC$945)))</f>
        <v>0</v>
      </c>
      <c r="AH945">
        <f>IF(COUNT($E$2:$E945)&lt;15,"",IF(SUM($AC$932:$AC$945)=0,0,100*SUM($AF$932:$AF$945)/SUM($AC$932:$AC$945)))</f>
        <v>0</v>
      </c>
      <c r="AI945">
        <f>IF(OR(AG945="",AH945=""),"",IF((AG945+AH945)=0,0,100*ABS(AG945-AH945)/(AG945+AH945)))</f>
        <v>0</v>
      </c>
      <c r="AJ945">
        <f>IF(COUNT($AI$932:$AI$945)&lt;14,"",AVERAGE($AI$932:$AI$945))</f>
        <v>0</v>
      </c>
      <c r="AK945">
        <f>IF(COUNT($E$2:$E945)&lt;20,"",AVERAGE($E$926:$E$945))</f>
        <v>0</v>
      </c>
      <c r="AL945">
        <f>IF(COUNT($E$2:$E945)&lt;20,"",STDEVP($E$926:$E$945))</f>
        <v>0</v>
      </c>
      <c r="AM945">
        <f>IF(AK945="","",AK945+2*AL945)</f>
        <v>0</v>
      </c>
      <c r="AN945">
        <f>IF(AK945="","",AK945-2*AL945)</f>
        <v>0</v>
      </c>
      <c r="AO945">
        <f>IF(OR(AM945="",AN945="",AM945=AN945),"",($E945-AN945)/(AM945-AN945))</f>
        <v>0</v>
      </c>
      <c r="AP945">
        <f>IF(OR(AM945="",AK945="",AK945=0),"",(AM945-AN945)/AK945)</f>
        <v>0</v>
      </c>
      <c r="AQ945">
        <f>IF(COUNT($E$2:$E945)&lt;20,"",MAX($C$926:$C$945))</f>
        <v>0</v>
      </c>
      <c r="AR945">
        <f>IF(COUNT($E$2:$E945)&lt;20,"",MIN($D$926:$D$945))</f>
        <v>0</v>
      </c>
      <c r="AS945">
        <f>IF(OR(AQ945="",AR945=""),"",(AQ945+AR945)/2)</f>
        <v>0</v>
      </c>
      <c r="AT945">
        <f>IF(COUNT($G$926:$G$945)&lt;20,"",STDEV($G$926:$G$945)*SQRT(252))</f>
        <v>0</v>
      </c>
      <c r="AU945">
        <f>IF(COUNT($E$2:$E945)&lt;9,"",(MAX($C$937:$C$945)+MIN($D$937:$D$945))/2)</f>
        <v>0</v>
      </c>
      <c r="AV945">
        <f>IF(COUNT($E$2:$E945)&lt;26,"",(MAX($C$920:$C$945)+MIN($D$920:$D$945))/2)</f>
        <v>0</v>
      </c>
      <c r="AW945">
        <f>IF(OR(AU945="",AV945=""),"",(AU945+AV945)/2)</f>
        <v>0</v>
      </c>
      <c r="AX945">
        <f>IF(COUNT($E$2:$E945)&lt;52,"",(MAX($C$894:$C$945)+MIN($D$894:$D$945))/2)</f>
        <v>0</v>
      </c>
      <c r="AY945">
        <f>IF(COUNT($E$2:$E945)&lt;20,"",MAX($C$846:$C$945))</f>
        <v>0</v>
      </c>
      <c r="AZ945">
        <f>IF(COUNT($E$2:$E945)&lt;20,"",MIN($D$846:$D$945))</f>
        <v>0</v>
      </c>
      <c r="BA945">
        <f>IF(COUNT($E$2:$E945)&lt;20,"",SLOPE($E$846:$E$945,$F$846:$F$945))</f>
        <v>0</v>
      </c>
      <c r="BB945">
        <f>IF(COUNT($E$2:$E945)&lt;20,"",INTERCEPT($E$846:$E$945,$F$846:$F$945))</f>
        <v>0</v>
      </c>
      <c r="BC945">
        <f>IF(OR(BA945="",BB945=""),"",BB945+BA945*F945)</f>
        <v>0</v>
      </c>
      <c r="BD945">
        <f>IF(COUNT($E$2:$E945)&lt;20,"",STEYX($E$846:$E$945,$F$846:$F$945))</f>
        <v>0</v>
      </c>
      <c r="BE945">
        <f>IF($E945="","",IF(AND(COUNT($E$946:$E$949)&gt;=4,$C945=MAX($C$941:$C$949)),$C945,""))</f>
        <v>0</v>
      </c>
      <c r="BF945">
        <f>IF($E945="","",IF(AND(COUNT($E$946:$E$949)&gt;=4,$D945=MIN($D$941:$D$949)),$D945,""))</f>
        <v>0</v>
      </c>
      <c r="BG945">
        <f>IF($A945="","",$A945-WEEKDAY($A945,2)+1)</f>
        <v>0</v>
      </c>
      <c r="BH945">
        <f>IF($A945="","",IF($A944="",1,IF(BG945&lt;&gt;BG944,1,0)))</f>
        <v>0</v>
      </c>
      <c r="BI945">
        <f>IF($A945="","",IF($A946="",1,IF(BG946&lt;&gt;BG945,1,0)))</f>
        <v>0</v>
      </c>
      <c r="BJ945">
        <f>IF($A945="","",IF(BH945=1,$B945,BJ944))</f>
        <v>0</v>
      </c>
      <c r="BK945">
        <f>IF($A945="","",IF(BH945=1,$C945,MAX($C945,BK944)))</f>
        <v>0</v>
      </c>
      <c r="BL945">
        <f>IF($A945="","",IF(BH945=1,$D945,MIN($D945,BL944)))</f>
        <v>0</v>
      </c>
      <c r="BM945">
        <f>IF($A945="","",IF(BI945=1,F945,""))</f>
        <v>0</v>
      </c>
      <c r="BN945">
        <f>IF($A945="","",DATE(YEAR($A945),MONTH($A945),1))</f>
        <v>0</v>
      </c>
      <c r="BO945">
        <f>IF($A945="","",IF($A944="",1,IF(BN945&lt;&gt;BN944,1,0)))</f>
        <v>0</v>
      </c>
      <c r="BP945">
        <f>IF($A945="","",IF($A946="",1,IF(BN946&lt;&gt;BN945,1,0)))</f>
        <v>0</v>
      </c>
      <c r="BQ945">
        <f>IF($A945="","",IF(BO945=1,$B945,BQ944))</f>
        <v>0</v>
      </c>
      <c r="BR945">
        <f>IF($A945="","",IF(BO945=1,$C945,MAX($C945,BR944)))</f>
        <v>0</v>
      </c>
      <c r="BS945">
        <f>IF($A945="","",IF(BO945=1,$D945,MIN($D945,BS944)))</f>
        <v>0</v>
      </c>
      <c r="BT945">
        <f>IF($A945="","",IF(BP945=1,F945,""))</f>
        <v>0</v>
      </c>
    </row>
    <row r="946" spans="1:72">
      <c r="A946" s="27">
        <f>IF(Data!$A946="","",Data!$A946)</f>
        <v>0</v>
      </c>
      <c r="B946">
        <f>IF(Data!$B946="","",Data!$B946)</f>
        <v>0</v>
      </c>
      <c r="C946">
        <f>IF(Data!$C946="","",Data!$C946)</f>
        <v>0</v>
      </c>
      <c r="D946">
        <f>IF(Data!$D946="","",Data!$D946)</f>
        <v>0</v>
      </c>
      <c r="E946">
        <f>IF(Data!$E946="","",Data!$E946)</f>
        <v>0</v>
      </c>
      <c r="F946">
        <f>IF($E946="","",N(F945)+1)</f>
        <v>0</v>
      </c>
      <c r="G946">
        <f>IF(OR($E946="",$E945=""),"",LN($E946/$E945))</f>
        <v>0</v>
      </c>
      <c r="H946">
        <f>IF($E946="","",IF($E945="",$E946,$E946*0.0952380952+H945*0.9047619048))</f>
        <v>0</v>
      </c>
      <c r="I946">
        <f>IF($E946="","",IF($E945="",$E946,$E946*0.0392156863+I945*0.9607843137))</f>
        <v>0</v>
      </c>
      <c r="J946">
        <f>IF($E946="","",IF($E945="",$E946,$E946*0.0198019802+J945*0.9801980198))</f>
        <v>0</v>
      </c>
      <c r="K946">
        <f>IF($E946="","",IF($E945="",$E946,$E946*0.0099502488+K945*0.9900497512))</f>
        <v>0</v>
      </c>
      <c r="L946">
        <f>IF(OR($E946="",$E945=""),"",MAX($E946-$E945,0))</f>
        <v>0</v>
      </c>
      <c r="M946">
        <f>IF(OR($E946="",$E945=""),"",MAX($E945-$E946,0))</f>
        <v>0</v>
      </c>
      <c r="N946">
        <f>IF(COUNT($E$2:$E946)&lt;15,"",IF(AVERAGE($M$933:$M$946)=0,100,100-100/(1+AVERAGE($L$933:$L$946)/AVERAGE($M$933:$M$946))))</f>
        <v>0</v>
      </c>
      <c r="O946">
        <f>IF($E946="","",IF($E945="",$E946,$E946*0.1538461538+O945*0.8461538462))</f>
        <v>0</v>
      </c>
      <c r="P946">
        <f>IF($E946="","",IF($E945="",$E946,$E946*0.0740740741+P945*0.9259259259))</f>
        <v>0</v>
      </c>
      <c r="Q946">
        <f>IF(OR(O946="",P946=""),"",O946-P946)</f>
        <v>0</v>
      </c>
      <c r="R946">
        <f>IF(Q946="","",IF(R945="",Q946,Q946*0.2000000000+R945*0.8000000000))</f>
        <v>0</v>
      </c>
      <c r="S946">
        <f>IF(OR(Q946="",R946=""),"",Q946-R946)</f>
        <v>0</v>
      </c>
      <c r="T946">
        <f>IF(COUNT($E$2:$E946)&lt;14,"",MAX($C$933:$C$946))</f>
        <v>0</v>
      </c>
      <c r="U946">
        <f>IF(COUNT($E$2:$E946)&lt;14,"",MIN($D$933:$D$946))</f>
        <v>0</v>
      </c>
      <c r="V946">
        <f>IF(OR(T946="",U946="",T946=U946),"",100*($E946-U946)/(T946-U946))</f>
        <v>0</v>
      </c>
      <c r="W946">
        <f>IF(COUNT($V$944:$V$946)&lt;3,"",AVERAGE($V$944:$V$946))</f>
        <v>0</v>
      </c>
      <c r="X946">
        <f>IF(COUNT($N$933:$N$946)&lt;14,"",MIN($N$933:$N$946))</f>
        <v>0</v>
      </c>
      <c r="Y946">
        <f>IF(COUNT($N$933:$N$946)&lt;14,"",MAX($N$933:$N$946))</f>
        <v>0</v>
      </c>
      <c r="Z946">
        <f>IF(OR(N946="",X946="",Y946="",Y946=X946),"",100*(N946-X946)/(Y946-X946))</f>
        <v>0</v>
      </c>
      <c r="AA946">
        <f>IF(COUNT($Z$944:$Z$946)&lt;3,"",AVERAGE($Z$944:$Z$946))</f>
        <v>0</v>
      </c>
      <c r="AB946">
        <f>IF(COUNT($AA$944:$AA$946)&lt;3,"",AVERAGE($AA$944:$AA$946))</f>
        <v>0</v>
      </c>
      <c r="AC946">
        <f>IF($E946="","",MAX($C946-$D946,ABS($C946-$E945),ABS($D946-$E945)))</f>
        <v>0</v>
      </c>
      <c r="AD946">
        <f>IF(COUNT($E$2:$E946)&lt;15,"",AVERAGE($AC$933:$AC$946))</f>
        <v>0</v>
      </c>
      <c r="AE946">
        <f>IF(OR($E946="",$E945=""),"",IF(AND(($C946-$C945)&gt;($D945-$D946),($C946-$C945)&gt;0),$C946-$C945,0))</f>
        <v>0</v>
      </c>
      <c r="AF946">
        <f>IF(OR($E946="",$E945=""),"",IF(AND(($D945-$D946)&gt;($C946-$C945),($D945-$D946)&gt;0),$D945-$D946,0))</f>
        <v>0</v>
      </c>
      <c r="AG946">
        <f>IF(COUNT($E$2:$E946)&lt;15,"",IF(SUM($AC$933:$AC$946)=0,0,100*SUM($AE$933:$AE$946)/SUM($AC$933:$AC$946)))</f>
        <v>0</v>
      </c>
      <c r="AH946">
        <f>IF(COUNT($E$2:$E946)&lt;15,"",IF(SUM($AC$933:$AC$946)=0,0,100*SUM($AF$933:$AF$946)/SUM($AC$933:$AC$946)))</f>
        <v>0</v>
      </c>
      <c r="AI946">
        <f>IF(OR(AG946="",AH946=""),"",IF((AG946+AH946)=0,0,100*ABS(AG946-AH946)/(AG946+AH946)))</f>
        <v>0</v>
      </c>
      <c r="AJ946">
        <f>IF(COUNT($AI$933:$AI$946)&lt;14,"",AVERAGE($AI$933:$AI$946))</f>
        <v>0</v>
      </c>
      <c r="AK946">
        <f>IF(COUNT($E$2:$E946)&lt;20,"",AVERAGE($E$927:$E$946))</f>
        <v>0</v>
      </c>
      <c r="AL946">
        <f>IF(COUNT($E$2:$E946)&lt;20,"",STDEVP($E$927:$E$946))</f>
        <v>0</v>
      </c>
      <c r="AM946">
        <f>IF(AK946="","",AK946+2*AL946)</f>
        <v>0</v>
      </c>
      <c r="AN946">
        <f>IF(AK946="","",AK946-2*AL946)</f>
        <v>0</v>
      </c>
      <c r="AO946">
        <f>IF(OR(AM946="",AN946="",AM946=AN946),"",($E946-AN946)/(AM946-AN946))</f>
        <v>0</v>
      </c>
      <c r="AP946">
        <f>IF(OR(AM946="",AK946="",AK946=0),"",(AM946-AN946)/AK946)</f>
        <v>0</v>
      </c>
      <c r="AQ946">
        <f>IF(COUNT($E$2:$E946)&lt;20,"",MAX($C$927:$C$946))</f>
        <v>0</v>
      </c>
      <c r="AR946">
        <f>IF(COUNT($E$2:$E946)&lt;20,"",MIN($D$927:$D$946))</f>
        <v>0</v>
      </c>
      <c r="AS946">
        <f>IF(OR(AQ946="",AR946=""),"",(AQ946+AR946)/2)</f>
        <v>0</v>
      </c>
      <c r="AT946">
        <f>IF(COUNT($G$927:$G$946)&lt;20,"",STDEV($G$927:$G$946)*SQRT(252))</f>
        <v>0</v>
      </c>
      <c r="AU946">
        <f>IF(COUNT($E$2:$E946)&lt;9,"",(MAX($C$938:$C$946)+MIN($D$938:$D$946))/2)</f>
        <v>0</v>
      </c>
      <c r="AV946">
        <f>IF(COUNT($E$2:$E946)&lt;26,"",(MAX($C$921:$C$946)+MIN($D$921:$D$946))/2)</f>
        <v>0</v>
      </c>
      <c r="AW946">
        <f>IF(OR(AU946="",AV946=""),"",(AU946+AV946)/2)</f>
        <v>0</v>
      </c>
      <c r="AX946">
        <f>IF(COUNT($E$2:$E946)&lt;52,"",(MAX($C$895:$C$946)+MIN($D$895:$D$946))/2)</f>
        <v>0</v>
      </c>
      <c r="AY946">
        <f>IF(COUNT($E$2:$E946)&lt;20,"",MAX($C$847:$C$946))</f>
        <v>0</v>
      </c>
      <c r="AZ946">
        <f>IF(COUNT($E$2:$E946)&lt;20,"",MIN($D$847:$D$946))</f>
        <v>0</v>
      </c>
      <c r="BA946">
        <f>IF(COUNT($E$2:$E946)&lt;20,"",SLOPE($E$847:$E$946,$F$847:$F$946))</f>
        <v>0</v>
      </c>
      <c r="BB946">
        <f>IF(COUNT($E$2:$E946)&lt;20,"",INTERCEPT($E$847:$E$946,$F$847:$F$946))</f>
        <v>0</v>
      </c>
      <c r="BC946">
        <f>IF(OR(BA946="",BB946=""),"",BB946+BA946*F946)</f>
        <v>0</v>
      </c>
      <c r="BD946">
        <f>IF(COUNT($E$2:$E946)&lt;20,"",STEYX($E$847:$E$946,$F$847:$F$946))</f>
        <v>0</v>
      </c>
      <c r="BE946">
        <f>IF($E946="","",IF(AND(COUNT($E$947:$E$950)&gt;=4,$C946=MAX($C$942:$C$950)),$C946,""))</f>
        <v>0</v>
      </c>
      <c r="BF946">
        <f>IF($E946="","",IF(AND(COUNT($E$947:$E$950)&gt;=4,$D946=MIN($D$942:$D$950)),$D946,""))</f>
        <v>0</v>
      </c>
      <c r="BG946">
        <f>IF($A946="","",$A946-WEEKDAY($A946,2)+1)</f>
        <v>0</v>
      </c>
      <c r="BH946">
        <f>IF($A946="","",IF($A945="",1,IF(BG946&lt;&gt;BG945,1,0)))</f>
        <v>0</v>
      </c>
      <c r="BI946">
        <f>IF($A946="","",IF($A947="",1,IF(BG947&lt;&gt;BG946,1,0)))</f>
        <v>0</v>
      </c>
      <c r="BJ946">
        <f>IF($A946="","",IF(BH946=1,$B946,BJ945))</f>
        <v>0</v>
      </c>
      <c r="BK946">
        <f>IF($A946="","",IF(BH946=1,$C946,MAX($C946,BK945)))</f>
        <v>0</v>
      </c>
      <c r="BL946">
        <f>IF($A946="","",IF(BH946=1,$D946,MIN($D946,BL945)))</f>
        <v>0</v>
      </c>
      <c r="BM946">
        <f>IF($A946="","",IF(BI946=1,F946,""))</f>
        <v>0</v>
      </c>
      <c r="BN946">
        <f>IF($A946="","",DATE(YEAR($A946),MONTH($A946),1))</f>
        <v>0</v>
      </c>
      <c r="BO946">
        <f>IF($A946="","",IF($A945="",1,IF(BN946&lt;&gt;BN945,1,0)))</f>
        <v>0</v>
      </c>
      <c r="BP946">
        <f>IF($A946="","",IF($A947="",1,IF(BN947&lt;&gt;BN946,1,0)))</f>
        <v>0</v>
      </c>
      <c r="BQ946">
        <f>IF($A946="","",IF(BO946=1,$B946,BQ945))</f>
        <v>0</v>
      </c>
      <c r="BR946">
        <f>IF($A946="","",IF(BO946=1,$C946,MAX($C946,BR945)))</f>
        <v>0</v>
      </c>
      <c r="BS946">
        <f>IF($A946="","",IF(BO946=1,$D946,MIN($D946,BS945)))</f>
        <v>0</v>
      </c>
      <c r="BT946">
        <f>IF($A946="","",IF(BP946=1,F946,""))</f>
        <v>0</v>
      </c>
    </row>
    <row r="947" spans="1:72">
      <c r="A947" s="27">
        <f>IF(Data!$A947="","",Data!$A947)</f>
        <v>0</v>
      </c>
      <c r="B947">
        <f>IF(Data!$B947="","",Data!$B947)</f>
        <v>0</v>
      </c>
      <c r="C947">
        <f>IF(Data!$C947="","",Data!$C947)</f>
        <v>0</v>
      </c>
      <c r="D947">
        <f>IF(Data!$D947="","",Data!$D947)</f>
        <v>0</v>
      </c>
      <c r="E947">
        <f>IF(Data!$E947="","",Data!$E947)</f>
        <v>0</v>
      </c>
      <c r="F947">
        <f>IF($E947="","",N(F946)+1)</f>
        <v>0</v>
      </c>
      <c r="G947">
        <f>IF(OR($E947="",$E946=""),"",LN($E947/$E946))</f>
        <v>0</v>
      </c>
      <c r="H947">
        <f>IF($E947="","",IF($E946="",$E947,$E947*0.0952380952+H946*0.9047619048))</f>
        <v>0</v>
      </c>
      <c r="I947">
        <f>IF($E947="","",IF($E946="",$E947,$E947*0.0392156863+I946*0.9607843137))</f>
        <v>0</v>
      </c>
      <c r="J947">
        <f>IF($E947="","",IF($E946="",$E947,$E947*0.0198019802+J946*0.9801980198))</f>
        <v>0</v>
      </c>
      <c r="K947">
        <f>IF($E947="","",IF($E946="",$E947,$E947*0.0099502488+K946*0.9900497512))</f>
        <v>0</v>
      </c>
      <c r="L947">
        <f>IF(OR($E947="",$E946=""),"",MAX($E947-$E946,0))</f>
        <v>0</v>
      </c>
      <c r="M947">
        <f>IF(OR($E947="",$E946=""),"",MAX($E946-$E947,0))</f>
        <v>0</v>
      </c>
      <c r="N947">
        <f>IF(COUNT($E$2:$E947)&lt;15,"",IF(AVERAGE($M$934:$M$947)=0,100,100-100/(1+AVERAGE($L$934:$L$947)/AVERAGE($M$934:$M$947))))</f>
        <v>0</v>
      </c>
      <c r="O947">
        <f>IF($E947="","",IF($E946="",$E947,$E947*0.1538461538+O946*0.8461538462))</f>
        <v>0</v>
      </c>
      <c r="P947">
        <f>IF($E947="","",IF($E946="",$E947,$E947*0.0740740741+P946*0.9259259259))</f>
        <v>0</v>
      </c>
      <c r="Q947">
        <f>IF(OR(O947="",P947=""),"",O947-P947)</f>
        <v>0</v>
      </c>
      <c r="R947">
        <f>IF(Q947="","",IF(R946="",Q947,Q947*0.2000000000+R946*0.8000000000))</f>
        <v>0</v>
      </c>
      <c r="S947">
        <f>IF(OR(Q947="",R947=""),"",Q947-R947)</f>
        <v>0</v>
      </c>
      <c r="T947">
        <f>IF(COUNT($E$2:$E947)&lt;14,"",MAX($C$934:$C$947))</f>
        <v>0</v>
      </c>
      <c r="U947">
        <f>IF(COUNT($E$2:$E947)&lt;14,"",MIN($D$934:$D$947))</f>
        <v>0</v>
      </c>
      <c r="V947">
        <f>IF(OR(T947="",U947="",T947=U947),"",100*($E947-U947)/(T947-U947))</f>
        <v>0</v>
      </c>
      <c r="W947">
        <f>IF(COUNT($V$945:$V$947)&lt;3,"",AVERAGE($V$945:$V$947))</f>
        <v>0</v>
      </c>
      <c r="X947">
        <f>IF(COUNT($N$934:$N$947)&lt;14,"",MIN($N$934:$N$947))</f>
        <v>0</v>
      </c>
      <c r="Y947">
        <f>IF(COUNT($N$934:$N$947)&lt;14,"",MAX($N$934:$N$947))</f>
        <v>0</v>
      </c>
      <c r="Z947">
        <f>IF(OR(N947="",X947="",Y947="",Y947=X947),"",100*(N947-X947)/(Y947-X947))</f>
        <v>0</v>
      </c>
      <c r="AA947">
        <f>IF(COUNT($Z$945:$Z$947)&lt;3,"",AVERAGE($Z$945:$Z$947))</f>
        <v>0</v>
      </c>
      <c r="AB947">
        <f>IF(COUNT($AA$945:$AA$947)&lt;3,"",AVERAGE($AA$945:$AA$947))</f>
        <v>0</v>
      </c>
      <c r="AC947">
        <f>IF($E947="","",MAX($C947-$D947,ABS($C947-$E946),ABS($D947-$E946)))</f>
        <v>0</v>
      </c>
      <c r="AD947">
        <f>IF(COUNT($E$2:$E947)&lt;15,"",AVERAGE($AC$934:$AC$947))</f>
        <v>0</v>
      </c>
      <c r="AE947">
        <f>IF(OR($E947="",$E946=""),"",IF(AND(($C947-$C946)&gt;($D946-$D947),($C947-$C946)&gt;0),$C947-$C946,0))</f>
        <v>0</v>
      </c>
      <c r="AF947">
        <f>IF(OR($E947="",$E946=""),"",IF(AND(($D946-$D947)&gt;($C947-$C946),($D946-$D947)&gt;0),$D946-$D947,0))</f>
        <v>0</v>
      </c>
      <c r="AG947">
        <f>IF(COUNT($E$2:$E947)&lt;15,"",IF(SUM($AC$934:$AC$947)=0,0,100*SUM($AE$934:$AE$947)/SUM($AC$934:$AC$947)))</f>
        <v>0</v>
      </c>
      <c r="AH947">
        <f>IF(COUNT($E$2:$E947)&lt;15,"",IF(SUM($AC$934:$AC$947)=0,0,100*SUM($AF$934:$AF$947)/SUM($AC$934:$AC$947)))</f>
        <v>0</v>
      </c>
      <c r="AI947">
        <f>IF(OR(AG947="",AH947=""),"",IF((AG947+AH947)=0,0,100*ABS(AG947-AH947)/(AG947+AH947)))</f>
        <v>0</v>
      </c>
      <c r="AJ947">
        <f>IF(COUNT($AI$934:$AI$947)&lt;14,"",AVERAGE($AI$934:$AI$947))</f>
        <v>0</v>
      </c>
      <c r="AK947">
        <f>IF(COUNT($E$2:$E947)&lt;20,"",AVERAGE($E$928:$E$947))</f>
        <v>0</v>
      </c>
      <c r="AL947">
        <f>IF(COUNT($E$2:$E947)&lt;20,"",STDEVP($E$928:$E$947))</f>
        <v>0</v>
      </c>
      <c r="AM947">
        <f>IF(AK947="","",AK947+2*AL947)</f>
        <v>0</v>
      </c>
      <c r="AN947">
        <f>IF(AK947="","",AK947-2*AL947)</f>
        <v>0</v>
      </c>
      <c r="AO947">
        <f>IF(OR(AM947="",AN947="",AM947=AN947),"",($E947-AN947)/(AM947-AN947))</f>
        <v>0</v>
      </c>
      <c r="AP947">
        <f>IF(OR(AM947="",AK947="",AK947=0),"",(AM947-AN947)/AK947)</f>
        <v>0</v>
      </c>
      <c r="AQ947">
        <f>IF(COUNT($E$2:$E947)&lt;20,"",MAX($C$928:$C$947))</f>
        <v>0</v>
      </c>
      <c r="AR947">
        <f>IF(COUNT($E$2:$E947)&lt;20,"",MIN($D$928:$D$947))</f>
        <v>0</v>
      </c>
      <c r="AS947">
        <f>IF(OR(AQ947="",AR947=""),"",(AQ947+AR947)/2)</f>
        <v>0</v>
      </c>
      <c r="AT947">
        <f>IF(COUNT($G$928:$G$947)&lt;20,"",STDEV($G$928:$G$947)*SQRT(252))</f>
        <v>0</v>
      </c>
      <c r="AU947">
        <f>IF(COUNT($E$2:$E947)&lt;9,"",(MAX($C$939:$C$947)+MIN($D$939:$D$947))/2)</f>
        <v>0</v>
      </c>
      <c r="AV947">
        <f>IF(COUNT($E$2:$E947)&lt;26,"",(MAX($C$922:$C$947)+MIN($D$922:$D$947))/2)</f>
        <v>0</v>
      </c>
      <c r="AW947">
        <f>IF(OR(AU947="",AV947=""),"",(AU947+AV947)/2)</f>
        <v>0</v>
      </c>
      <c r="AX947">
        <f>IF(COUNT($E$2:$E947)&lt;52,"",(MAX($C$896:$C$947)+MIN($D$896:$D$947))/2)</f>
        <v>0</v>
      </c>
      <c r="AY947">
        <f>IF(COUNT($E$2:$E947)&lt;20,"",MAX($C$848:$C$947))</f>
        <v>0</v>
      </c>
      <c r="AZ947">
        <f>IF(COUNT($E$2:$E947)&lt;20,"",MIN($D$848:$D$947))</f>
        <v>0</v>
      </c>
      <c r="BA947">
        <f>IF(COUNT($E$2:$E947)&lt;20,"",SLOPE($E$848:$E$947,$F$848:$F$947))</f>
        <v>0</v>
      </c>
      <c r="BB947">
        <f>IF(COUNT($E$2:$E947)&lt;20,"",INTERCEPT($E$848:$E$947,$F$848:$F$947))</f>
        <v>0</v>
      </c>
      <c r="BC947">
        <f>IF(OR(BA947="",BB947=""),"",BB947+BA947*F947)</f>
        <v>0</v>
      </c>
      <c r="BD947">
        <f>IF(COUNT($E$2:$E947)&lt;20,"",STEYX($E$848:$E$947,$F$848:$F$947))</f>
        <v>0</v>
      </c>
      <c r="BE947">
        <f>IF($E947="","",IF(AND(COUNT($E$948:$E$951)&gt;=4,$C947=MAX($C$943:$C$951)),$C947,""))</f>
        <v>0</v>
      </c>
      <c r="BF947">
        <f>IF($E947="","",IF(AND(COUNT($E$948:$E$951)&gt;=4,$D947=MIN($D$943:$D$951)),$D947,""))</f>
        <v>0</v>
      </c>
      <c r="BG947">
        <f>IF($A947="","",$A947-WEEKDAY($A947,2)+1)</f>
        <v>0</v>
      </c>
      <c r="BH947">
        <f>IF($A947="","",IF($A946="",1,IF(BG947&lt;&gt;BG946,1,0)))</f>
        <v>0</v>
      </c>
      <c r="BI947">
        <f>IF($A947="","",IF($A948="",1,IF(BG948&lt;&gt;BG947,1,0)))</f>
        <v>0</v>
      </c>
      <c r="BJ947">
        <f>IF($A947="","",IF(BH947=1,$B947,BJ946))</f>
        <v>0</v>
      </c>
      <c r="BK947">
        <f>IF($A947="","",IF(BH947=1,$C947,MAX($C947,BK946)))</f>
        <v>0</v>
      </c>
      <c r="BL947">
        <f>IF($A947="","",IF(BH947=1,$D947,MIN($D947,BL946)))</f>
        <v>0</v>
      </c>
      <c r="BM947">
        <f>IF($A947="","",IF(BI947=1,F947,""))</f>
        <v>0</v>
      </c>
      <c r="BN947">
        <f>IF($A947="","",DATE(YEAR($A947),MONTH($A947),1))</f>
        <v>0</v>
      </c>
      <c r="BO947">
        <f>IF($A947="","",IF($A946="",1,IF(BN947&lt;&gt;BN946,1,0)))</f>
        <v>0</v>
      </c>
      <c r="BP947">
        <f>IF($A947="","",IF($A948="",1,IF(BN948&lt;&gt;BN947,1,0)))</f>
        <v>0</v>
      </c>
      <c r="BQ947">
        <f>IF($A947="","",IF(BO947=1,$B947,BQ946))</f>
        <v>0</v>
      </c>
      <c r="BR947">
        <f>IF($A947="","",IF(BO947=1,$C947,MAX($C947,BR946)))</f>
        <v>0</v>
      </c>
      <c r="BS947">
        <f>IF($A947="","",IF(BO947=1,$D947,MIN($D947,BS946)))</f>
        <v>0</v>
      </c>
      <c r="BT947">
        <f>IF($A947="","",IF(BP947=1,F947,""))</f>
        <v>0</v>
      </c>
    </row>
    <row r="948" spans="1:72">
      <c r="A948" s="27">
        <f>IF(Data!$A948="","",Data!$A948)</f>
        <v>0</v>
      </c>
      <c r="B948">
        <f>IF(Data!$B948="","",Data!$B948)</f>
        <v>0</v>
      </c>
      <c r="C948">
        <f>IF(Data!$C948="","",Data!$C948)</f>
        <v>0</v>
      </c>
      <c r="D948">
        <f>IF(Data!$D948="","",Data!$D948)</f>
        <v>0</v>
      </c>
      <c r="E948">
        <f>IF(Data!$E948="","",Data!$E948)</f>
        <v>0</v>
      </c>
      <c r="F948">
        <f>IF($E948="","",N(F947)+1)</f>
        <v>0</v>
      </c>
      <c r="G948">
        <f>IF(OR($E948="",$E947=""),"",LN($E948/$E947))</f>
        <v>0</v>
      </c>
      <c r="H948">
        <f>IF($E948="","",IF($E947="",$E948,$E948*0.0952380952+H947*0.9047619048))</f>
        <v>0</v>
      </c>
      <c r="I948">
        <f>IF($E948="","",IF($E947="",$E948,$E948*0.0392156863+I947*0.9607843137))</f>
        <v>0</v>
      </c>
      <c r="J948">
        <f>IF($E948="","",IF($E947="",$E948,$E948*0.0198019802+J947*0.9801980198))</f>
        <v>0</v>
      </c>
      <c r="K948">
        <f>IF($E948="","",IF($E947="",$E948,$E948*0.0099502488+K947*0.9900497512))</f>
        <v>0</v>
      </c>
      <c r="L948">
        <f>IF(OR($E948="",$E947=""),"",MAX($E948-$E947,0))</f>
        <v>0</v>
      </c>
      <c r="M948">
        <f>IF(OR($E948="",$E947=""),"",MAX($E947-$E948,0))</f>
        <v>0</v>
      </c>
      <c r="N948">
        <f>IF(COUNT($E$2:$E948)&lt;15,"",IF(AVERAGE($M$935:$M$948)=0,100,100-100/(1+AVERAGE($L$935:$L$948)/AVERAGE($M$935:$M$948))))</f>
        <v>0</v>
      </c>
      <c r="O948">
        <f>IF($E948="","",IF($E947="",$E948,$E948*0.1538461538+O947*0.8461538462))</f>
        <v>0</v>
      </c>
      <c r="P948">
        <f>IF($E948="","",IF($E947="",$E948,$E948*0.0740740741+P947*0.9259259259))</f>
        <v>0</v>
      </c>
      <c r="Q948">
        <f>IF(OR(O948="",P948=""),"",O948-P948)</f>
        <v>0</v>
      </c>
      <c r="R948">
        <f>IF(Q948="","",IF(R947="",Q948,Q948*0.2000000000+R947*0.8000000000))</f>
        <v>0</v>
      </c>
      <c r="S948">
        <f>IF(OR(Q948="",R948=""),"",Q948-R948)</f>
        <v>0</v>
      </c>
      <c r="T948">
        <f>IF(COUNT($E$2:$E948)&lt;14,"",MAX($C$935:$C$948))</f>
        <v>0</v>
      </c>
      <c r="U948">
        <f>IF(COUNT($E$2:$E948)&lt;14,"",MIN($D$935:$D$948))</f>
        <v>0</v>
      </c>
      <c r="V948">
        <f>IF(OR(T948="",U948="",T948=U948),"",100*($E948-U948)/(T948-U948))</f>
        <v>0</v>
      </c>
      <c r="W948">
        <f>IF(COUNT($V$946:$V$948)&lt;3,"",AVERAGE($V$946:$V$948))</f>
        <v>0</v>
      </c>
      <c r="X948">
        <f>IF(COUNT($N$935:$N$948)&lt;14,"",MIN($N$935:$N$948))</f>
        <v>0</v>
      </c>
      <c r="Y948">
        <f>IF(COUNT($N$935:$N$948)&lt;14,"",MAX($N$935:$N$948))</f>
        <v>0</v>
      </c>
      <c r="Z948">
        <f>IF(OR(N948="",X948="",Y948="",Y948=X948),"",100*(N948-X948)/(Y948-X948))</f>
        <v>0</v>
      </c>
      <c r="AA948">
        <f>IF(COUNT($Z$946:$Z$948)&lt;3,"",AVERAGE($Z$946:$Z$948))</f>
        <v>0</v>
      </c>
      <c r="AB948">
        <f>IF(COUNT($AA$946:$AA$948)&lt;3,"",AVERAGE($AA$946:$AA$948))</f>
        <v>0</v>
      </c>
      <c r="AC948">
        <f>IF($E948="","",MAX($C948-$D948,ABS($C948-$E947),ABS($D948-$E947)))</f>
        <v>0</v>
      </c>
      <c r="AD948">
        <f>IF(COUNT($E$2:$E948)&lt;15,"",AVERAGE($AC$935:$AC$948))</f>
        <v>0</v>
      </c>
      <c r="AE948">
        <f>IF(OR($E948="",$E947=""),"",IF(AND(($C948-$C947)&gt;($D947-$D948),($C948-$C947)&gt;0),$C948-$C947,0))</f>
        <v>0</v>
      </c>
      <c r="AF948">
        <f>IF(OR($E948="",$E947=""),"",IF(AND(($D947-$D948)&gt;($C948-$C947),($D947-$D948)&gt;0),$D947-$D948,0))</f>
        <v>0</v>
      </c>
      <c r="AG948">
        <f>IF(COUNT($E$2:$E948)&lt;15,"",IF(SUM($AC$935:$AC$948)=0,0,100*SUM($AE$935:$AE$948)/SUM($AC$935:$AC$948)))</f>
        <v>0</v>
      </c>
      <c r="AH948">
        <f>IF(COUNT($E$2:$E948)&lt;15,"",IF(SUM($AC$935:$AC$948)=0,0,100*SUM($AF$935:$AF$948)/SUM($AC$935:$AC$948)))</f>
        <v>0</v>
      </c>
      <c r="AI948">
        <f>IF(OR(AG948="",AH948=""),"",IF((AG948+AH948)=0,0,100*ABS(AG948-AH948)/(AG948+AH948)))</f>
        <v>0</v>
      </c>
      <c r="AJ948">
        <f>IF(COUNT($AI$935:$AI$948)&lt;14,"",AVERAGE($AI$935:$AI$948))</f>
        <v>0</v>
      </c>
      <c r="AK948">
        <f>IF(COUNT($E$2:$E948)&lt;20,"",AVERAGE($E$929:$E$948))</f>
        <v>0</v>
      </c>
      <c r="AL948">
        <f>IF(COUNT($E$2:$E948)&lt;20,"",STDEVP($E$929:$E$948))</f>
        <v>0</v>
      </c>
      <c r="AM948">
        <f>IF(AK948="","",AK948+2*AL948)</f>
        <v>0</v>
      </c>
      <c r="AN948">
        <f>IF(AK948="","",AK948-2*AL948)</f>
        <v>0</v>
      </c>
      <c r="AO948">
        <f>IF(OR(AM948="",AN948="",AM948=AN948),"",($E948-AN948)/(AM948-AN948))</f>
        <v>0</v>
      </c>
      <c r="AP948">
        <f>IF(OR(AM948="",AK948="",AK948=0),"",(AM948-AN948)/AK948)</f>
        <v>0</v>
      </c>
      <c r="AQ948">
        <f>IF(COUNT($E$2:$E948)&lt;20,"",MAX($C$929:$C$948))</f>
        <v>0</v>
      </c>
      <c r="AR948">
        <f>IF(COUNT($E$2:$E948)&lt;20,"",MIN($D$929:$D$948))</f>
        <v>0</v>
      </c>
      <c r="AS948">
        <f>IF(OR(AQ948="",AR948=""),"",(AQ948+AR948)/2)</f>
        <v>0</v>
      </c>
      <c r="AT948">
        <f>IF(COUNT($G$929:$G$948)&lt;20,"",STDEV($G$929:$G$948)*SQRT(252))</f>
        <v>0</v>
      </c>
      <c r="AU948">
        <f>IF(COUNT($E$2:$E948)&lt;9,"",(MAX($C$940:$C$948)+MIN($D$940:$D$948))/2)</f>
        <v>0</v>
      </c>
      <c r="AV948">
        <f>IF(COUNT($E$2:$E948)&lt;26,"",(MAX($C$923:$C$948)+MIN($D$923:$D$948))/2)</f>
        <v>0</v>
      </c>
      <c r="AW948">
        <f>IF(OR(AU948="",AV948=""),"",(AU948+AV948)/2)</f>
        <v>0</v>
      </c>
      <c r="AX948">
        <f>IF(COUNT($E$2:$E948)&lt;52,"",(MAX($C$897:$C$948)+MIN($D$897:$D$948))/2)</f>
        <v>0</v>
      </c>
      <c r="AY948">
        <f>IF(COUNT($E$2:$E948)&lt;20,"",MAX($C$849:$C$948))</f>
        <v>0</v>
      </c>
      <c r="AZ948">
        <f>IF(COUNT($E$2:$E948)&lt;20,"",MIN($D$849:$D$948))</f>
        <v>0</v>
      </c>
      <c r="BA948">
        <f>IF(COUNT($E$2:$E948)&lt;20,"",SLOPE($E$849:$E$948,$F$849:$F$948))</f>
        <v>0</v>
      </c>
      <c r="BB948">
        <f>IF(COUNT($E$2:$E948)&lt;20,"",INTERCEPT($E$849:$E$948,$F$849:$F$948))</f>
        <v>0</v>
      </c>
      <c r="BC948">
        <f>IF(OR(BA948="",BB948=""),"",BB948+BA948*F948)</f>
        <v>0</v>
      </c>
      <c r="BD948">
        <f>IF(COUNT($E$2:$E948)&lt;20,"",STEYX($E$849:$E$948,$F$849:$F$948))</f>
        <v>0</v>
      </c>
      <c r="BE948">
        <f>IF($E948="","",IF(AND(COUNT($E$949:$E$952)&gt;=4,$C948=MAX($C$944:$C$952)),$C948,""))</f>
        <v>0</v>
      </c>
      <c r="BF948">
        <f>IF($E948="","",IF(AND(COUNT($E$949:$E$952)&gt;=4,$D948=MIN($D$944:$D$952)),$D948,""))</f>
        <v>0</v>
      </c>
      <c r="BG948">
        <f>IF($A948="","",$A948-WEEKDAY($A948,2)+1)</f>
        <v>0</v>
      </c>
      <c r="BH948">
        <f>IF($A948="","",IF($A947="",1,IF(BG948&lt;&gt;BG947,1,0)))</f>
        <v>0</v>
      </c>
      <c r="BI948">
        <f>IF($A948="","",IF($A949="",1,IF(BG949&lt;&gt;BG948,1,0)))</f>
        <v>0</v>
      </c>
      <c r="BJ948">
        <f>IF($A948="","",IF(BH948=1,$B948,BJ947))</f>
        <v>0</v>
      </c>
      <c r="BK948">
        <f>IF($A948="","",IF(BH948=1,$C948,MAX($C948,BK947)))</f>
        <v>0</v>
      </c>
      <c r="BL948">
        <f>IF($A948="","",IF(BH948=1,$D948,MIN($D948,BL947)))</f>
        <v>0</v>
      </c>
      <c r="BM948">
        <f>IF($A948="","",IF(BI948=1,F948,""))</f>
        <v>0</v>
      </c>
      <c r="BN948">
        <f>IF($A948="","",DATE(YEAR($A948),MONTH($A948),1))</f>
        <v>0</v>
      </c>
      <c r="BO948">
        <f>IF($A948="","",IF($A947="",1,IF(BN948&lt;&gt;BN947,1,0)))</f>
        <v>0</v>
      </c>
      <c r="BP948">
        <f>IF($A948="","",IF($A949="",1,IF(BN949&lt;&gt;BN948,1,0)))</f>
        <v>0</v>
      </c>
      <c r="BQ948">
        <f>IF($A948="","",IF(BO948=1,$B948,BQ947))</f>
        <v>0</v>
      </c>
      <c r="BR948">
        <f>IF($A948="","",IF(BO948=1,$C948,MAX($C948,BR947)))</f>
        <v>0</v>
      </c>
      <c r="BS948">
        <f>IF($A948="","",IF(BO948=1,$D948,MIN($D948,BS947)))</f>
        <v>0</v>
      </c>
      <c r="BT948">
        <f>IF($A948="","",IF(BP948=1,F948,""))</f>
        <v>0</v>
      </c>
    </row>
    <row r="949" spans="1:72">
      <c r="A949" s="27">
        <f>IF(Data!$A949="","",Data!$A949)</f>
        <v>0</v>
      </c>
      <c r="B949">
        <f>IF(Data!$B949="","",Data!$B949)</f>
        <v>0</v>
      </c>
      <c r="C949">
        <f>IF(Data!$C949="","",Data!$C949)</f>
        <v>0</v>
      </c>
      <c r="D949">
        <f>IF(Data!$D949="","",Data!$D949)</f>
        <v>0</v>
      </c>
      <c r="E949">
        <f>IF(Data!$E949="","",Data!$E949)</f>
        <v>0</v>
      </c>
      <c r="F949">
        <f>IF($E949="","",N(F948)+1)</f>
        <v>0</v>
      </c>
      <c r="G949">
        <f>IF(OR($E949="",$E948=""),"",LN($E949/$E948))</f>
        <v>0</v>
      </c>
      <c r="H949">
        <f>IF($E949="","",IF($E948="",$E949,$E949*0.0952380952+H948*0.9047619048))</f>
        <v>0</v>
      </c>
      <c r="I949">
        <f>IF($E949="","",IF($E948="",$E949,$E949*0.0392156863+I948*0.9607843137))</f>
        <v>0</v>
      </c>
      <c r="J949">
        <f>IF($E949="","",IF($E948="",$E949,$E949*0.0198019802+J948*0.9801980198))</f>
        <v>0</v>
      </c>
      <c r="K949">
        <f>IF($E949="","",IF($E948="",$E949,$E949*0.0099502488+K948*0.9900497512))</f>
        <v>0</v>
      </c>
      <c r="L949">
        <f>IF(OR($E949="",$E948=""),"",MAX($E949-$E948,0))</f>
        <v>0</v>
      </c>
      <c r="M949">
        <f>IF(OR($E949="",$E948=""),"",MAX($E948-$E949,0))</f>
        <v>0</v>
      </c>
      <c r="N949">
        <f>IF(COUNT($E$2:$E949)&lt;15,"",IF(AVERAGE($M$936:$M$949)=0,100,100-100/(1+AVERAGE($L$936:$L$949)/AVERAGE($M$936:$M$949))))</f>
        <v>0</v>
      </c>
      <c r="O949">
        <f>IF($E949="","",IF($E948="",$E949,$E949*0.1538461538+O948*0.8461538462))</f>
        <v>0</v>
      </c>
      <c r="P949">
        <f>IF($E949="","",IF($E948="",$E949,$E949*0.0740740741+P948*0.9259259259))</f>
        <v>0</v>
      </c>
      <c r="Q949">
        <f>IF(OR(O949="",P949=""),"",O949-P949)</f>
        <v>0</v>
      </c>
      <c r="R949">
        <f>IF(Q949="","",IF(R948="",Q949,Q949*0.2000000000+R948*0.8000000000))</f>
        <v>0</v>
      </c>
      <c r="S949">
        <f>IF(OR(Q949="",R949=""),"",Q949-R949)</f>
        <v>0</v>
      </c>
      <c r="T949">
        <f>IF(COUNT($E$2:$E949)&lt;14,"",MAX($C$936:$C$949))</f>
        <v>0</v>
      </c>
      <c r="U949">
        <f>IF(COUNT($E$2:$E949)&lt;14,"",MIN($D$936:$D$949))</f>
        <v>0</v>
      </c>
      <c r="V949">
        <f>IF(OR(T949="",U949="",T949=U949),"",100*($E949-U949)/(T949-U949))</f>
        <v>0</v>
      </c>
      <c r="W949">
        <f>IF(COUNT($V$947:$V$949)&lt;3,"",AVERAGE($V$947:$V$949))</f>
        <v>0</v>
      </c>
      <c r="X949">
        <f>IF(COUNT($N$936:$N$949)&lt;14,"",MIN($N$936:$N$949))</f>
        <v>0</v>
      </c>
      <c r="Y949">
        <f>IF(COUNT($N$936:$N$949)&lt;14,"",MAX($N$936:$N$949))</f>
        <v>0</v>
      </c>
      <c r="Z949">
        <f>IF(OR(N949="",X949="",Y949="",Y949=X949),"",100*(N949-X949)/(Y949-X949))</f>
        <v>0</v>
      </c>
      <c r="AA949">
        <f>IF(COUNT($Z$947:$Z$949)&lt;3,"",AVERAGE($Z$947:$Z$949))</f>
        <v>0</v>
      </c>
      <c r="AB949">
        <f>IF(COUNT($AA$947:$AA$949)&lt;3,"",AVERAGE($AA$947:$AA$949))</f>
        <v>0</v>
      </c>
      <c r="AC949">
        <f>IF($E949="","",MAX($C949-$D949,ABS($C949-$E948),ABS($D949-$E948)))</f>
        <v>0</v>
      </c>
      <c r="AD949">
        <f>IF(COUNT($E$2:$E949)&lt;15,"",AVERAGE($AC$936:$AC$949))</f>
        <v>0</v>
      </c>
      <c r="AE949">
        <f>IF(OR($E949="",$E948=""),"",IF(AND(($C949-$C948)&gt;($D948-$D949),($C949-$C948)&gt;0),$C949-$C948,0))</f>
        <v>0</v>
      </c>
      <c r="AF949">
        <f>IF(OR($E949="",$E948=""),"",IF(AND(($D948-$D949)&gt;($C949-$C948),($D948-$D949)&gt;0),$D948-$D949,0))</f>
        <v>0</v>
      </c>
      <c r="AG949">
        <f>IF(COUNT($E$2:$E949)&lt;15,"",IF(SUM($AC$936:$AC$949)=0,0,100*SUM($AE$936:$AE$949)/SUM($AC$936:$AC$949)))</f>
        <v>0</v>
      </c>
      <c r="AH949">
        <f>IF(COUNT($E$2:$E949)&lt;15,"",IF(SUM($AC$936:$AC$949)=0,0,100*SUM($AF$936:$AF$949)/SUM($AC$936:$AC$949)))</f>
        <v>0</v>
      </c>
      <c r="AI949">
        <f>IF(OR(AG949="",AH949=""),"",IF((AG949+AH949)=0,0,100*ABS(AG949-AH949)/(AG949+AH949)))</f>
        <v>0</v>
      </c>
      <c r="AJ949">
        <f>IF(COUNT($AI$936:$AI$949)&lt;14,"",AVERAGE($AI$936:$AI$949))</f>
        <v>0</v>
      </c>
      <c r="AK949">
        <f>IF(COUNT($E$2:$E949)&lt;20,"",AVERAGE($E$930:$E$949))</f>
        <v>0</v>
      </c>
      <c r="AL949">
        <f>IF(COUNT($E$2:$E949)&lt;20,"",STDEVP($E$930:$E$949))</f>
        <v>0</v>
      </c>
      <c r="AM949">
        <f>IF(AK949="","",AK949+2*AL949)</f>
        <v>0</v>
      </c>
      <c r="AN949">
        <f>IF(AK949="","",AK949-2*AL949)</f>
        <v>0</v>
      </c>
      <c r="AO949">
        <f>IF(OR(AM949="",AN949="",AM949=AN949),"",($E949-AN949)/(AM949-AN949))</f>
        <v>0</v>
      </c>
      <c r="AP949">
        <f>IF(OR(AM949="",AK949="",AK949=0),"",(AM949-AN949)/AK949)</f>
        <v>0</v>
      </c>
      <c r="AQ949">
        <f>IF(COUNT($E$2:$E949)&lt;20,"",MAX($C$930:$C$949))</f>
        <v>0</v>
      </c>
      <c r="AR949">
        <f>IF(COUNT($E$2:$E949)&lt;20,"",MIN($D$930:$D$949))</f>
        <v>0</v>
      </c>
      <c r="AS949">
        <f>IF(OR(AQ949="",AR949=""),"",(AQ949+AR949)/2)</f>
        <v>0</v>
      </c>
      <c r="AT949">
        <f>IF(COUNT($G$930:$G$949)&lt;20,"",STDEV($G$930:$G$949)*SQRT(252))</f>
        <v>0</v>
      </c>
      <c r="AU949">
        <f>IF(COUNT($E$2:$E949)&lt;9,"",(MAX($C$941:$C$949)+MIN($D$941:$D$949))/2)</f>
        <v>0</v>
      </c>
      <c r="AV949">
        <f>IF(COUNT($E$2:$E949)&lt;26,"",(MAX($C$924:$C$949)+MIN($D$924:$D$949))/2)</f>
        <v>0</v>
      </c>
      <c r="AW949">
        <f>IF(OR(AU949="",AV949=""),"",(AU949+AV949)/2)</f>
        <v>0</v>
      </c>
      <c r="AX949">
        <f>IF(COUNT($E$2:$E949)&lt;52,"",(MAX($C$898:$C$949)+MIN($D$898:$D$949))/2)</f>
        <v>0</v>
      </c>
      <c r="AY949">
        <f>IF(COUNT($E$2:$E949)&lt;20,"",MAX($C$850:$C$949))</f>
        <v>0</v>
      </c>
      <c r="AZ949">
        <f>IF(COUNT($E$2:$E949)&lt;20,"",MIN($D$850:$D$949))</f>
        <v>0</v>
      </c>
      <c r="BA949">
        <f>IF(COUNT($E$2:$E949)&lt;20,"",SLOPE($E$850:$E$949,$F$850:$F$949))</f>
        <v>0</v>
      </c>
      <c r="BB949">
        <f>IF(COUNT($E$2:$E949)&lt;20,"",INTERCEPT($E$850:$E$949,$F$850:$F$949))</f>
        <v>0</v>
      </c>
      <c r="BC949">
        <f>IF(OR(BA949="",BB949=""),"",BB949+BA949*F949)</f>
        <v>0</v>
      </c>
      <c r="BD949">
        <f>IF(COUNT($E$2:$E949)&lt;20,"",STEYX($E$850:$E$949,$F$850:$F$949))</f>
        <v>0</v>
      </c>
      <c r="BE949">
        <f>IF($E949="","",IF(AND(COUNT($E$950:$E$953)&gt;=4,$C949=MAX($C$945:$C$953)),$C949,""))</f>
        <v>0</v>
      </c>
      <c r="BF949">
        <f>IF($E949="","",IF(AND(COUNT($E$950:$E$953)&gt;=4,$D949=MIN($D$945:$D$953)),$D949,""))</f>
        <v>0</v>
      </c>
      <c r="BG949">
        <f>IF($A949="","",$A949-WEEKDAY($A949,2)+1)</f>
        <v>0</v>
      </c>
      <c r="BH949">
        <f>IF($A949="","",IF($A948="",1,IF(BG949&lt;&gt;BG948,1,0)))</f>
        <v>0</v>
      </c>
      <c r="BI949">
        <f>IF($A949="","",IF($A950="",1,IF(BG950&lt;&gt;BG949,1,0)))</f>
        <v>0</v>
      </c>
      <c r="BJ949">
        <f>IF($A949="","",IF(BH949=1,$B949,BJ948))</f>
        <v>0</v>
      </c>
      <c r="BK949">
        <f>IF($A949="","",IF(BH949=1,$C949,MAX($C949,BK948)))</f>
        <v>0</v>
      </c>
      <c r="BL949">
        <f>IF($A949="","",IF(BH949=1,$D949,MIN($D949,BL948)))</f>
        <v>0</v>
      </c>
      <c r="BM949">
        <f>IF($A949="","",IF(BI949=1,F949,""))</f>
        <v>0</v>
      </c>
      <c r="BN949">
        <f>IF($A949="","",DATE(YEAR($A949),MONTH($A949),1))</f>
        <v>0</v>
      </c>
      <c r="BO949">
        <f>IF($A949="","",IF($A948="",1,IF(BN949&lt;&gt;BN948,1,0)))</f>
        <v>0</v>
      </c>
      <c r="BP949">
        <f>IF($A949="","",IF($A950="",1,IF(BN950&lt;&gt;BN949,1,0)))</f>
        <v>0</v>
      </c>
      <c r="BQ949">
        <f>IF($A949="","",IF(BO949=1,$B949,BQ948))</f>
        <v>0</v>
      </c>
      <c r="BR949">
        <f>IF($A949="","",IF(BO949=1,$C949,MAX($C949,BR948)))</f>
        <v>0</v>
      </c>
      <c r="BS949">
        <f>IF($A949="","",IF(BO949=1,$D949,MIN($D949,BS948)))</f>
        <v>0</v>
      </c>
      <c r="BT949">
        <f>IF($A949="","",IF(BP949=1,F949,""))</f>
        <v>0</v>
      </c>
    </row>
    <row r="950" spans="1:72">
      <c r="A950" s="27">
        <f>IF(Data!$A950="","",Data!$A950)</f>
        <v>0</v>
      </c>
      <c r="B950">
        <f>IF(Data!$B950="","",Data!$B950)</f>
        <v>0</v>
      </c>
      <c r="C950">
        <f>IF(Data!$C950="","",Data!$C950)</f>
        <v>0</v>
      </c>
      <c r="D950">
        <f>IF(Data!$D950="","",Data!$D950)</f>
        <v>0</v>
      </c>
      <c r="E950">
        <f>IF(Data!$E950="","",Data!$E950)</f>
        <v>0</v>
      </c>
      <c r="F950">
        <f>IF($E950="","",N(F949)+1)</f>
        <v>0</v>
      </c>
      <c r="G950">
        <f>IF(OR($E950="",$E949=""),"",LN($E950/$E949))</f>
        <v>0</v>
      </c>
      <c r="H950">
        <f>IF($E950="","",IF($E949="",$E950,$E950*0.0952380952+H949*0.9047619048))</f>
        <v>0</v>
      </c>
      <c r="I950">
        <f>IF($E950="","",IF($E949="",$E950,$E950*0.0392156863+I949*0.9607843137))</f>
        <v>0</v>
      </c>
      <c r="J950">
        <f>IF($E950="","",IF($E949="",$E950,$E950*0.0198019802+J949*0.9801980198))</f>
        <v>0</v>
      </c>
      <c r="K950">
        <f>IF($E950="","",IF($E949="",$E950,$E950*0.0099502488+K949*0.9900497512))</f>
        <v>0</v>
      </c>
      <c r="L950">
        <f>IF(OR($E950="",$E949=""),"",MAX($E950-$E949,0))</f>
        <v>0</v>
      </c>
      <c r="M950">
        <f>IF(OR($E950="",$E949=""),"",MAX($E949-$E950,0))</f>
        <v>0</v>
      </c>
      <c r="N950">
        <f>IF(COUNT($E$2:$E950)&lt;15,"",IF(AVERAGE($M$937:$M$950)=0,100,100-100/(1+AVERAGE($L$937:$L$950)/AVERAGE($M$937:$M$950))))</f>
        <v>0</v>
      </c>
      <c r="O950">
        <f>IF($E950="","",IF($E949="",$E950,$E950*0.1538461538+O949*0.8461538462))</f>
        <v>0</v>
      </c>
      <c r="P950">
        <f>IF($E950="","",IF($E949="",$E950,$E950*0.0740740741+P949*0.9259259259))</f>
        <v>0</v>
      </c>
      <c r="Q950">
        <f>IF(OR(O950="",P950=""),"",O950-P950)</f>
        <v>0</v>
      </c>
      <c r="R950">
        <f>IF(Q950="","",IF(R949="",Q950,Q950*0.2000000000+R949*0.8000000000))</f>
        <v>0</v>
      </c>
      <c r="S950">
        <f>IF(OR(Q950="",R950=""),"",Q950-R950)</f>
        <v>0</v>
      </c>
      <c r="T950">
        <f>IF(COUNT($E$2:$E950)&lt;14,"",MAX($C$937:$C$950))</f>
        <v>0</v>
      </c>
      <c r="U950">
        <f>IF(COUNT($E$2:$E950)&lt;14,"",MIN($D$937:$D$950))</f>
        <v>0</v>
      </c>
      <c r="V950">
        <f>IF(OR(T950="",U950="",T950=U950),"",100*($E950-U950)/(T950-U950))</f>
        <v>0</v>
      </c>
      <c r="W950">
        <f>IF(COUNT($V$948:$V$950)&lt;3,"",AVERAGE($V$948:$V$950))</f>
        <v>0</v>
      </c>
      <c r="X950">
        <f>IF(COUNT($N$937:$N$950)&lt;14,"",MIN($N$937:$N$950))</f>
        <v>0</v>
      </c>
      <c r="Y950">
        <f>IF(COUNT($N$937:$N$950)&lt;14,"",MAX($N$937:$N$950))</f>
        <v>0</v>
      </c>
      <c r="Z950">
        <f>IF(OR(N950="",X950="",Y950="",Y950=X950),"",100*(N950-X950)/(Y950-X950))</f>
        <v>0</v>
      </c>
      <c r="AA950">
        <f>IF(COUNT($Z$948:$Z$950)&lt;3,"",AVERAGE($Z$948:$Z$950))</f>
        <v>0</v>
      </c>
      <c r="AB950">
        <f>IF(COUNT($AA$948:$AA$950)&lt;3,"",AVERAGE($AA$948:$AA$950))</f>
        <v>0</v>
      </c>
      <c r="AC950">
        <f>IF($E950="","",MAX($C950-$D950,ABS($C950-$E949),ABS($D950-$E949)))</f>
        <v>0</v>
      </c>
      <c r="AD950">
        <f>IF(COUNT($E$2:$E950)&lt;15,"",AVERAGE($AC$937:$AC$950))</f>
        <v>0</v>
      </c>
      <c r="AE950">
        <f>IF(OR($E950="",$E949=""),"",IF(AND(($C950-$C949)&gt;($D949-$D950),($C950-$C949)&gt;0),$C950-$C949,0))</f>
        <v>0</v>
      </c>
      <c r="AF950">
        <f>IF(OR($E950="",$E949=""),"",IF(AND(($D949-$D950)&gt;($C950-$C949),($D949-$D950)&gt;0),$D949-$D950,0))</f>
        <v>0</v>
      </c>
      <c r="AG950">
        <f>IF(COUNT($E$2:$E950)&lt;15,"",IF(SUM($AC$937:$AC$950)=0,0,100*SUM($AE$937:$AE$950)/SUM($AC$937:$AC$950)))</f>
        <v>0</v>
      </c>
      <c r="AH950">
        <f>IF(COUNT($E$2:$E950)&lt;15,"",IF(SUM($AC$937:$AC$950)=0,0,100*SUM($AF$937:$AF$950)/SUM($AC$937:$AC$950)))</f>
        <v>0</v>
      </c>
      <c r="AI950">
        <f>IF(OR(AG950="",AH950=""),"",IF((AG950+AH950)=0,0,100*ABS(AG950-AH950)/(AG950+AH950)))</f>
        <v>0</v>
      </c>
      <c r="AJ950">
        <f>IF(COUNT($AI$937:$AI$950)&lt;14,"",AVERAGE($AI$937:$AI$950))</f>
        <v>0</v>
      </c>
      <c r="AK950">
        <f>IF(COUNT($E$2:$E950)&lt;20,"",AVERAGE($E$931:$E$950))</f>
        <v>0</v>
      </c>
      <c r="AL950">
        <f>IF(COUNT($E$2:$E950)&lt;20,"",STDEVP($E$931:$E$950))</f>
        <v>0</v>
      </c>
      <c r="AM950">
        <f>IF(AK950="","",AK950+2*AL950)</f>
        <v>0</v>
      </c>
      <c r="AN950">
        <f>IF(AK950="","",AK950-2*AL950)</f>
        <v>0</v>
      </c>
      <c r="AO950">
        <f>IF(OR(AM950="",AN950="",AM950=AN950),"",($E950-AN950)/(AM950-AN950))</f>
        <v>0</v>
      </c>
      <c r="AP950">
        <f>IF(OR(AM950="",AK950="",AK950=0),"",(AM950-AN950)/AK950)</f>
        <v>0</v>
      </c>
      <c r="AQ950">
        <f>IF(COUNT($E$2:$E950)&lt;20,"",MAX($C$931:$C$950))</f>
        <v>0</v>
      </c>
      <c r="AR950">
        <f>IF(COUNT($E$2:$E950)&lt;20,"",MIN($D$931:$D$950))</f>
        <v>0</v>
      </c>
      <c r="AS950">
        <f>IF(OR(AQ950="",AR950=""),"",(AQ950+AR950)/2)</f>
        <v>0</v>
      </c>
      <c r="AT950">
        <f>IF(COUNT($G$931:$G$950)&lt;20,"",STDEV($G$931:$G$950)*SQRT(252))</f>
        <v>0</v>
      </c>
      <c r="AU950">
        <f>IF(COUNT($E$2:$E950)&lt;9,"",(MAX($C$942:$C$950)+MIN($D$942:$D$950))/2)</f>
        <v>0</v>
      </c>
      <c r="AV950">
        <f>IF(COUNT($E$2:$E950)&lt;26,"",(MAX($C$925:$C$950)+MIN($D$925:$D$950))/2)</f>
        <v>0</v>
      </c>
      <c r="AW950">
        <f>IF(OR(AU950="",AV950=""),"",(AU950+AV950)/2)</f>
        <v>0</v>
      </c>
      <c r="AX950">
        <f>IF(COUNT($E$2:$E950)&lt;52,"",(MAX($C$899:$C$950)+MIN($D$899:$D$950))/2)</f>
        <v>0</v>
      </c>
      <c r="AY950">
        <f>IF(COUNT($E$2:$E950)&lt;20,"",MAX($C$851:$C$950))</f>
        <v>0</v>
      </c>
      <c r="AZ950">
        <f>IF(COUNT($E$2:$E950)&lt;20,"",MIN($D$851:$D$950))</f>
        <v>0</v>
      </c>
      <c r="BA950">
        <f>IF(COUNT($E$2:$E950)&lt;20,"",SLOPE($E$851:$E$950,$F$851:$F$950))</f>
        <v>0</v>
      </c>
      <c r="BB950">
        <f>IF(COUNT($E$2:$E950)&lt;20,"",INTERCEPT($E$851:$E$950,$F$851:$F$950))</f>
        <v>0</v>
      </c>
      <c r="BC950">
        <f>IF(OR(BA950="",BB950=""),"",BB950+BA950*F950)</f>
        <v>0</v>
      </c>
      <c r="BD950">
        <f>IF(COUNT($E$2:$E950)&lt;20,"",STEYX($E$851:$E$950,$F$851:$F$950))</f>
        <v>0</v>
      </c>
      <c r="BE950">
        <f>IF($E950="","",IF(AND(COUNT($E$951:$E$954)&gt;=4,$C950=MAX($C$946:$C$954)),$C950,""))</f>
        <v>0</v>
      </c>
      <c r="BF950">
        <f>IF($E950="","",IF(AND(COUNT($E$951:$E$954)&gt;=4,$D950=MIN($D$946:$D$954)),$D950,""))</f>
        <v>0</v>
      </c>
      <c r="BG950">
        <f>IF($A950="","",$A950-WEEKDAY($A950,2)+1)</f>
        <v>0</v>
      </c>
      <c r="BH950">
        <f>IF($A950="","",IF($A949="",1,IF(BG950&lt;&gt;BG949,1,0)))</f>
        <v>0</v>
      </c>
      <c r="BI950">
        <f>IF($A950="","",IF($A951="",1,IF(BG951&lt;&gt;BG950,1,0)))</f>
        <v>0</v>
      </c>
      <c r="BJ950">
        <f>IF($A950="","",IF(BH950=1,$B950,BJ949))</f>
        <v>0</v>
      </c>
      <c r="BK950">
        <f>IF($A950="","",IF(BH950=1,$C950,MAX($C950,BK949)))</f>
        <v>0</v>
      </c>
      <c r="BL950">
        <f>IF($A950="","",IF(BH950=1,$D950,MIN($D950,BL949)))</f>
        <v>0</v>
      </c>
      <c r="BM950">
        <f>IF($A950="","",IF(BI950=1,F950,""))</f>
        <v>0</v>
      </c>
      <c r="BN950">
        <f>IF($A950="","",DATE(YEAR($A950),MONTH($A950),1))</f>
        <v>0</v>
      </c>
      <c r="BO950">
        <f>IF($A950="","",IF($A949="",1,IF(BN950&lt;&gt;BN949,1,0)))</f>
        <v>0</v>
      </c>
      <c r="BP950">
        <f>IF($A950="","",IF($A951="",1,IF(BN951&lt;&gt;BN950,1,0)))</f>
        <v>0</v>
      </c>
      <c r="BQ950">
        <f>IF($A950="","",IF(BO950=1,$B950,BQ949))</f>
        <v>0</v>
      </c>
      <c r="BR950">
        <f>IF($A950="","",IF(BO950=1,$C950,MAX($C950,BR949)))</f>
        <v>0</v>
      </c>
      <c r="BS950">
        <f>IF($A950="","",IF(BO950=1,$D950,MIN($D950,BS949)))</f>
        <v>0</v>
      </c>
      <c r="BT950">
        <f>IF($A950="","",IF(BP950=1,F950,""))</f>
        <v>0</v>
      </c>
    </row>
    <row r="951" spans="1:72">
      <c r="A951" s="27">
        <f>IF(Data!$A951="","",Data!$A951)</f>
        <v>0</v>
      </c>
      <c r="B951">
        <f>IF(Data!$B951="","",Data!$B951)</f>
        <v>0</v>
      </c>
      <c r="C951">
        <f>IF(Data!$C951="","",Data!$C951)</f>
        <v>0</v>
      </c>
      <c r="D951">
        <f>IF(Data!$D951="","",Data!$D951)</f>
        <v>0</v>
      </c>
      <c r="E951">
        <f>IF(Data!$E951="","",Data!$E951)</f>
        <v>0</v>
      </c>
      <c r="F951">
        <f>IF($E951="","",N(F950)+1)</f>
        <v>0</v>
      </c>
      <c r="G951">
        <f>IF(OR($E951="",$E950=""),"",LN($E951/$E950))</f>
        <v>0</v>
      </c>
      <c r="H951">
        <f>IF($E951="","",IF($E950="",$E951,$E951*0.0952380952+H950*0.9047619048))</f>
        <v>0</v>
      </c>
      <c r="I951">
        <f>IF($E951="","",IF($E950="",$E951,$E951*0.0392156863+I950*0.9607843137))</f>
        <v>0</v>
      </c>
      <c r="J951">
        <f>IF($E951="","",IF($E950="",$E951,$E951*0.0198019802+J950*0.9801980198))</f>
        <v>0</v>
      </c>
      <c r="K951">
        <f>IF($E951="","",IF($E950="",$E951,$E951*0.0099502488+K950*0.9900497512))</f>
        <v>0</v>
      </c>
      <c r="L951">
        <f>IF(OR($E951="",$E950=""),"",MAX($E951-$E950,0))</f>
        <v>0</v>
      </c>
      <c r="M951">
        <f>IF(OR($E951="",$E950=""),"",MAX($E950-$E951,0))</f>
        <v>0</v>
      </c>
      <c r="N951">
        <f>IF(COUNT($E$2:$E951)&lt;15,"",IF(AVERAGE($M$938:$M$951)=0,100,100-100/(1+AVERAGE($L$938:$L$951)/AVERAGE($M$938:$M$951))))</f>
        <v>0</v>
      </c>
      <c r="O951">
        <f>IF($E951="","",IF($E950="",$E951,$E951*0.1538461538+O950*0.8461538462))</f>
        <v>0</v>
      </c>
      <c r="P951">
        <f>IF($E951="","",IF($E950="",$E951,$E951*0.0740740741+P950*0.9259259259))</f>
        <v>0</v>
      </c>
      <c r="Q951">
        <f>IF(OR(O951="",P951=""),"",O951-P951)</f>
        <v>0</v>
      </c>
      <c r="R951">
        <f>IF(Q951="","",IF(R950="",Q951,Q951*0.2000000000+R950*0.8000000000))</f>
        <v>0</v>
      </c>
      <c r="S951">
        <f>IF(OR(Q951="",R951=""),"",Q951-R951)</f>
        <v>0</v>
      </c>
      <c r="T951">
        <f>IF(COUNT($E$2:$E951)&lt;14,"",MAX($C$938:$C$951))</f>
        <v>0</v>
      </c>
      <c r="U951">
        <f>IF(COUNT($E$2:$E951)&lt;14,"",MIN($D$938:$D$951))</f>
        <v>0</v>
      </c>
      <c r="V951">
        <f>IF(OR(T951="",U951="",T951=U951),"",100*($E951-U951)/(T951-U951))</f>
        <v>0</v>
      </c>
      <c r="W951">
        <f>IF(COUNT($V$949:$V$951)&lt;3,"",AVERAGE($V$949:$V$951))</f>
        <v>0</v>
      </c>
      <c r="X951">
        <f>IF(COUNT($N$938:$N$951)&lt;14,"",MIN($N$938:$N$951))</f>
        <v>0</v>
      </c>
      <c r="Y951">
        <f>IF(COUNT($N$938:$N$951)&lt;14,"",MAX($N$938:$N$951))</f>
        <v>0</v>
      </c>
      <c r="Z951">
        <f>IF(OR(N951="",X951="",Y951="",Y951=X951),"",100*(N951-X951)/(Y951-X951))</f>
        <v>0</v>
      </c>
      <c r="AA951">
        <f>IF(COUNT($Z$949:$Z$951)&lt;3,"",AVERAGE($Z$949:$Z$951))</f>
        <v>0</v>
      </c>
      <c r="AB951">
        <f>IF(COUNT($AA$949:$AA$951)&lt;3,"",AVERAGE($AA$949:$AA$951))</f>
        <v>0</v>
      </c>
      <c r="AC951">
        <f>IF($E951="","",MAX($C951-$D951,ABS($C951-$E950),ABS($D951-$E950)))</f>
        <v>0</v>
      </c>
      <c r="AD951">
        <f>IF(COUNT($E$2:$E951)&lt;15,"",AVERAGE($AC$938:$AC$951))</f>
        <v>0</v>
      </c>
      <c r="AE951">
        <f>IF(OR($E951="",$E950=""),"",IF(AND(($C951-$C950)&gt;($D950-$D951),($C951-$C950)&gt;0),$C951-$C950,0))</f>
        <v>0</v>
      </c>
      <c r="AF951">
        <f>IF(OR($E951="",$E950=""),"",IF(AND(($D950-$D951)&gt;($C951-$C950),($D950-$D951)&gt;0),$D950-$D951,0))</f>
        <v>0</v>
      </c>
      <c r="AG951">
        <f>IF(COUNT($E$2:$E951)&lt;15,"",IF(SUM($AC$938:$AC$951)=0,0,100*SUM($AE$938:$AE$951)/SUM($AC$938:$AC$951)))</f>
        <v>0</v>
      </c>
      <c r="AH951">
        <f>IF(COUNT($E$2:$E951)&lt;15,"",IF(SUM($AC$938:$AC$951)=0,0,100*SUM($AF$938:$AF$951)/SUM($AC$938:$AC$951)))</f>
        <v>0</v>
      </c>
      <c r="AI951">
        <f>IF(OR(AG951="",AH951=""),"",IF((AG951+AH951)=0,0,100*ABS(AG951-AH951)/(AG951+AH951)))</f>
        <v>0</v>
      </c>
      <c r="AJ951">
        <f>IF(COUNT($AI$938:$AI$951)&lt;14,"",AVERAGE($AI$938:$AI$951))</f>
        <v>0</v>
      </c>
      <c r="AK951">
        <f>IF(COUNT($E$2:$E951)&lt;20,"",AVERAGE($E$932:$E$951))</f>
        <v>0</v>
      </c>
      <c r="AL951">
        <f>IF(COUNT($E$2:$E951)&lt;20,"",STDEVP($E$932:$E$951))</f>
        <v>0</v>
      </c>
      <c r="AM951">
        <f>IF(AK951="","",AK951+2*AL951)</f>
        <v>0</v>
      </c>
      <c r="AN951">
        <f>IF(AK951="","",AK951-2*AL951)</f>
        <v>0</v>
      </c>
      <c r="AO951">
        <f>IF(OR(AM951="",AN951="",AM951=AN951),"",($E951-AN951)/(AM951-AN951))</f>
        <v>0</v>
      </c>
      <c r="AP951">
        <f>IF(OR(AM951="",AK951="",AK951=0),"",(AM951-AN951)/AK951)</f>
        <v>0</v>
      </c>
      <c r="AQ951">
        <f>IF(COUNT($E$2:$E951)&lt;20,"",MAX($C$932:$C$951))</f>
        <v>0</v>
      </c>
      <c r="AR951">
        <f>IF(COUNT($E$2:$E951)&lt;20,"",MIN($D$932:$D$951))</f>
        <v>0</v>
      </c>
      <c r="AS951">
        <f>IF(OR(AQ951="",AR951=""),"",(AQ951+AR951)/2)</f>
        <v>0</v>
      </c>
      <c r="AT951">
        <f>IF(COUNT($G$932:$G$951)&lt;20,"",STDEV($G$932:$G$951)*SQRT(252))</f>
        <v>0</v>
      </c>
      <c r="AU951">
        <f>IF(COUNT($E$2:$E951)&lt;9,"",(MAX($C$943:$C$951)+MIN($D$943:$D$951))/2)</f>
        <v>0</v>
      </c>
      <c r="AV951">
        <f>IF(COUNT($E$2:$E951)&lt;26,"",(MAX($C$926:$C$951)+MIN($D$926:$D$951))/2)</f>
        <v>0</v>
      </c>
      <c r="AW951">
        <f>IF(OR(AU951="",AV951=""),"",(AU951+AV951)/2)</f>
        <v>0</v>
      </c>
      <c r="AX951">
        <f>IF(COUNT($E$2:$E951)&lt;52,"",(MAX($C$900:$C$951)+MIN($D$900:$D$951))/2)</f>
        <v>0</v>
      </c>
      <c r="AY951">
        <f>IF(COUNT($E$2:$E951)&lt;20,"",MAX($C$852:$C$951))</f>
        <v>0</v>
      </c>
      <c r="AZ951">
        <f>IF(COUNT($E$2:$E951)&lt;20,"",MIN($D$852:$D$951))</f>
        <v>0</v>
      </c>
      <c r="BA951">
        <f>IF(COUNT($E$2:$E951)&lt;20,"",SLOPE($E$852:$E$951,$F$852:$F$951))</f>
        <v>0</v>
      </c>
      <c r="BB951">
        <f>IF(COUNT($E$2:$E951)&lt;20,"",INTERCEPT($E$852:$E$951,$F$852:$F$951))</f>
        <v>0</v>
      </c>
      <c r="BC951">
        <f>IF(OR(BA951="",BB951=""),"",BB951+BA951*F951)</f>
        <v>0</v>
      </c>
      <c r="BD951">
        <f>IF(COUNT($E$2:$E951)&lt;20,"",STEYX($E$852:$E$951,$F$852:$F$951))</f>
        <v>0</v>
      </c>
      <c r="BE951">
        <f>IF($E951="","",IF(AND(COUNT($E$952:$E$955)&gt;=4,$C951=MAX($C$947:$C$955)),$C951,""))</f>
        <v>0</v>
      </c>
      <c r="BF951">
        <f>IF($E951="","",IF(AND(COUNT($E$952:$E$955)&gt;=4,$D951=MIN($D$947:$D$955)),$D951,""))</f>
        <v>0</v>
      </c>
      <c r="BG951">
        <f>IF($A951="","",$A951-WEEKDAY($A951,2)+1)</f>
        <v>0</v>
      </c>
      <c r="BH951">
        <f>IF($A951="","",IF($A950="",1,IF(BG951&lt;&gt;BG950,1,0)))</f>
        <v>0</v>
      </c>
      <c r="BI951">
        <f>IF($A951="","",IF($A952="",1,IF(BG952&lt;&gt;BG951,1,0)))</f>
        <v>0</v>
      </c>
      <c r="BJ951">
        <f>IF($A951="","",IF(BH951=1,$B951,BJ950))</f>
        <v>0</v>
      </c>
      <c r="BK951">
        <f>IF($A951="","",IF(BH951=1,$C951,MAX($C951,BK950)))</f>
        <v>0</v>
      </c>
      <c r="BL951">
        <f>IF($A951="","",IF(BH951=1,$D951,MIN($D951,BL950)))</f>
        <v>0</v>
      </c>
      <c r="BM951">
        <f>IF($A951="","",IF(BI951=1,F951,""))</f>
        <v>0</v>
      </c>
      <c r="BN951">
        <f>IF($A951="","",DATE(YEAR($A951),MONTH($A951),1))</f>
        <v>0</v>
      </c>
      <c r="BO951">
        <f>IF($A951="","",IF($A950="",1,IF(BN951&lt;&gt;BN950,1,0)))</f>
        <v>0</v>
      </c>
      <c r="BP951">
        <f>IF($A951="","",IF($A952="",1,IF(BN952&lt;&gt;BN951,1,0)))</f>
        <v>0</v>
      </c>
      <c r="BQ951">
        <f>IF($A951="","",IF(BO951=1,$B951,BQ950))</f>
        <v>0</v>
      </c>
      <c r="BR951">
        <f>IF($A951="","",IF(BO951=1,$C951,MAX($C951,BR950)))</f>
        <v>0</v>
      </c>
      <c r="BS951">
        <f>IF($A951="","",IF(BO951=1,$D951,MIN($D951,BS950)))</f>
        <v>0</v>
      </c>
      <c r="BT951">
        <f>IF($A951="","",IF(BP951=1,F951,""))</f>
        <v>0</v>
      </c>
    </row>
    <row r="952" spans="1:72">
      <c r="A952" s="27">
        <f>IF(Data!$A952="","",Data!$A952)</f>
        <v>0</v>
      </c>
      <c r="B952">
        <f>IF(Data!$B952="","",Data!$B952)</f>
        <v>0</v>
      </c>
      <c r="C952">
        <f>IF(Data!$C952="","",Data!$C952)</f>
        <v>0</v>
      </c>
      <c r="D952">
        <f>IF(Data!$D952="","",Data!$D952)</f>
        <v>0</v>
      </c>
      <c r="E952">
        <f>IF(Data!$E952="","",Data!$E952)</f>
        <v>0</v>
      </c>
      <c r="F952">
        <f>IF($E952="","",N(F951)+1)</f>
        <v>0</v>
      </c>
      <c r="G952">
        <f>IF(OR($E952="",$E951=""),"",LN($E952/$E951))</f>
        <v>0</v>
      </c>
      <c r="H952">
        <f>IF($E952="","",IF($E951="",$E952,$E952*0.0952380952+H951*0.9047619048))</f>
        <v>0</v>
      </c>
      <c r="I952">
        <f>IF($E952="","",IF($E951="",$E952,$E952*0.0392156863+I951*0.9607843137))</f>
        <v>0</v>
      </c>
      <c r="J952">
        <f>IF($E952="","",IF($E951="",$E952,$E952*0.0198019802+J951*0.9801980198))</f>
        <v>0</v>
      </c>
      <c r="K952">
        <f>IF($E952="","",IF($E951="",$E952,$E952*0.0099502488+K951*0.9900497512))</f>
        <v>0</v>
      </c>
      <c r="L952">
        <f>IF(OR($E952="",$E951=""),"",MAX($E952-$E951,0))</f>
        <v>0</v>
      </c>
      <c r="M952">
        <f>IF(OR($E952="",$E951=""),"",MAX($E951-$E952,0))</f>
        <v>0</v>
      </c>
      <c r="N952">
        <f>IF(COUNT($E$2:$E952)&lt;15,"",IF(AVERAGE($M$939:$M$952)=0,100,100-100/(1+AVERAGE($L$939:$L$952)/AVERAGE($M$939:$M$952))))</f>
        <v>0</v>
      </c>
      <c r="O952">
        <f>IF($E952="","",IF($E951="",$E952,$E952*0.1538461538+O951*0.8461538462))</f>
        <v>0</v>
      </c>
      <c r="P952">
        <f>IF($E952="","",IF($E951="",$E952,$E952*0.0740740741+P951*0.9259259259))</f>
        <v>0</v>
      </c>
      <c r="Q952">
        <f>IF(OR(O952="",P952=""),"",O952-P952)</f>
        <v>0</v>
      </c>
      <c r="R952">
        <f>IF(Q952="","",IF(R951="",Q952,Q952*0.2000000000+R951*0.8000000000))</f>
        <v>0</v>
      </c>
      <c r="S952">
        <f>IF(OR(Q952="",R952=""),"",Q952-R952)</f>
        <v>0</v>
      </c>
      <c r="T952">
        <f>IF(COUNT($E$2:$E952)&lt;14,"",MAX($C$939:$C$952))</f>
        <v>0</v>
      </c>
      <c r="U952">
        <f>IF(COUNT($E$2:$E952)&lt;14,"",MIN($D$939:$D$952))</f>
        <v>0</v>
      </c>
      <c r="V952">
        <f>IF(OR(T952="",U952="",T952=U952),"",100*($E952-U952)/(T952-U952))</f>
        <v>0</v>
      </c>
      <c r="W952">
        <f>IF(COUNT($V$950:$V$952)&lt;3,"",AVERAGE($V$950:$V$952))</f>
        <v>0</v>
      </c>
      <c r="X952">
        <f>IF(COUNT($N$939:$N$952)&lt;14,"",MIN($N$939:$N$952))</f>
        <v>0</v>
      </c>
      <c r="Y952">
        <f>IF(COUNT($N$939:$N$952)&lt;14,"",MAX($N$939:$N$952))</f>
        <v>0</v>
      </c>
      <c r="Z952">
        <f>IF(OR(N952="",X952="",Y952="",Y952=X952),"",100*(N952-X952)/(Y952-X952))</f>
        <v>0</v>
      </c>
      <c r="AA952">
        <f>IF(COUNT($Z$950:$Z$952)&lt;3,"",AVERAGE($Z$950:$Z$952))</f>
        <v>0</v>
      </c>
      <c r="AB952">
        <f>IF(COUNT($AA$950:$AA$952)&lt;3,"",AVERAGE($AA$950:$AA$952))</f>
        <v>0</v>
      </c>
      <c r="AC952">
        <f>IF($E952="","",MAX($C952-$D952,ABS($C952-$E951),ABS($D952-$E951)))</f>
        <v>0</v>
      </c>
      <c r="AD952">
        <f>IF(COUNT($E$2:$E952)&lt;15,"",AVERAGE($AC$939:$AC$952))</f>
        <v>0</v>
      </c>
      <c r="AE952">
        <f>IF(OR($E952="",$E951=""),"",IF(AND(($C952-$C951)&gt;($D951-$D952),($C952-$C951)&gt;0),$C952-$C951,0))</f>
        <v>0</v>
      </c>
      <c r="AF952">
        <f>IF(OR($E952="",$E951=""),"",IF(AND(($D951-$D952)&gt;($C952-$C951),($D951-$D952)&gt;0),$D951-$D952,0))</f>
        <v>0</v>
      </c>
      <c r="AG952">
        <f>IF(COUNT($E$2:$E952)&lt;15,"",IF(SUM($AC$939:$AC$952)=0,0,100*SUM($AE$939:$AE$952)/SUM($AC$939:$AC$952)))</f>
        <v>0</v>
      </c>
      <c r="AH952">
        <f>IF(COUNT($E$2:$E952)&lt;15,"",IF(SUM($AC$939:$AC$952)=0,0,100*SUM($AF$939:$AF$952)/SUM($AC$939:$AC$952)))</f>
        <v>0</v>
      </c>
      <c r="AI952">
        <f>IF(OR(AG952="",AH952=""),"",IF((AG952+AH952)=0,0,100*ABS(AG952-AH952)/(AG952+AH952)))</f>
        <v>0</v>
      </c>
      <c r="AJ952">
        <f>IF(COUNT($AI$939:$AI$952)&lt;14,"",AVERAGE($AI$939:$AI$952))</f>
        <v>0</v>
      </c>
      <c r="AK952">
        <f>IF(COUNT($E$2:$E952)&lt;20,"",AVERAGE($E$933:$E$952))</f>
        <v>0</v>
      </c>
      <c r="AL952">
        <f>IF(COUNT($E$2:$E952)&lt;20,"",STDEVP($E$933:$E$952))</f>
        <v>0</v>
      </c>
      <c r="AM952">
        <f>IF(AK952="","",AK952+2*AL952)</f>
        <v>0</v>
      </c>
      <c r="AN952">
        <f>IF(AK952="","",AK952-2*AL952)</f>
        <v>0</v>
      </c>
      <c r="AO952">
        <f>IF(OR(AM952="",AN952="",AM952=AN952),"",($E952-AN952)/(AM952-AN952))</f>
        <v>0</v>
      </c>
      <c r="AP952">
        <f>IF(OR(AM952="",AK952="",AK952=0),"",(AM952-AN952)/AK952)</f>
        <v>0</v>
      </c>
      <c r="AQ952">
        <f>IF(COUNT($E$2:$E952)&lt;20,"",MAX($C$933:$C$952))</f>
        <v>0</v>
      </c>
      <c r="AR952">
        <f>IF(COUNT($E$2:$E952)&lt;20,"",MIN($D$933:$D$952))</f>
        <v>0</v>
      </c>
      <c r="AS952">
        <f>IF(OR(AQ952="",AR952=""),"",(AQ952+AR952)/2)</f>
        <v>0</v>
      </c>
      <c r="AT952">
        <f>IF(COUNT($G$933:$G$952)&lt;20,"",STDEV($G$933:$G$952)*SQRT(252))</f>
        <v>0</v>
      </c>
      <c r="AU952">
        <f>IF(COUNT($E$2:$E952)&lt;9,"",(MAX($C$944:$C$952)+MIN($D$944:$D$952))/2)</f>
        <v>0</v>
      </c>
      <c r="AV952">
        <f>IF(COUNT($E$2:$E952)&lt;26,"",(MAX($C$927:$C$952)+MIN($D$927:$D$952))/2)</f>
        <v>0</v>
      </c>
      <c r="AW952">
        <f>IF(OR(AU952="",AV952=""),"",(AU952+AV952)/2)</f>
        <v>0</v>
      </c>
      <c r="AX952">
        <f>IF(COUNT($E$2:$E952)&lt;52,"",(MAX($C$901:$C$952)+MIN($D$901:$D$952))/2)</f>
        <v>0</v>
      </c>
      <c r="AY952">
        <f>IF(COUNT($E$2:$E952)&lt;20,"",MAX($C$853:$C$952))</f>
        <v>0</v>
      </c>
      <c r="AZ952">
        <f>IF(COUNT($E$2:$E952)&lt;20,"",MIN($D$853:$D$952))</f>
        <v>0</v>
      </c>
      <c r="BA952">
        <f>IF(COUNT($E$2:$E952)&lt;20,"",SLOPE($E$853:$E$952,$F$853:$F$952))</f>
        <v>0</v>
      </c>
      <c r="BB952">
        <f>IF(COUNT($E$2:$E952)&lt;20,"",INTERCEPT($E$853:$E$952,$F$853:$F$952))</f>
        <v>0</v>
      </c>
      <c r="BC952">
        <f>IF(OR(BA952="",BB952=""),"",BB952+BA952*F952)</f>
        <v>0</v>
      </c>
      <c r="BD952">
        <f>IF(COUNT($E$2:$E952)&lt;20,"",STEYX($E$853:$E$952,$F$853:$F$952))</f>
        <v>0</v>
      </c>
      <c r="BE952">
        <f>IF($E952="","",IF(AND(COUNT($E$953:$E$956)&gt;=4,$C952=MAX($C$948:$C$956)),$C952,""))</f>
        <v>0</v>
      </c>
      <c r="BF952">
        <f>IF($E952="","",IF(AND(COUNT($E$953:$E$956)&gt;=4,$D952=MIN($D$948:$D$956)),$D952,""))</f>
        <v>0</v>
      </c>
      <c r="BG952">
        <f>IF($A952="","",$A952-WEEKDAY($A952,2)+1)</f>
        <v>0</v>
      </c>
      <c r="BH952">
        <f>IF($A952="","",IF($A951="",1,IF(BG952&lt;&gt;BG951,1,0)))</f>
        <v>0</v>
      </c>
      <c r="BI952">
        <f>IF($A952="","",IF($A953="",1,IF(BG953&lt;&gt;BG952,1,0)))</f>
        <v>0</v>
      </c>
      <c r="BJ952">
        <f>IF($A952="","",IF(BH952=1,$B952,BJ951))</f>
        <v>0</v>
      </c>
      <c r="BK952">
        <f>IF($A952="","",IF(BH952=1,$C952,MAX($C952,BK951)))</f>
        <v>0</v>
      </c>
      <c r="BL952">
        <f>IF($A952="","",IF(BH952=1,$D952,MIN($D952,BL951)))</f>
        <v>0</v>
      </c>
      <c r="BM952">
        <f>IF($A952="","",IF(BI952=1,F952,""))</f>
        <v>0</v>
      </c>
      <c r="BN952">
        <f>IF($A952="","",DATE(YEAR($A952),MONTH($A952),1))</f>
        <v>0</v>
      </c>
      <c r="BO952">
        <f>IF($A952="","",IF($A951="",1,IF(BN952&lt;&gt;BN951,1,0)))</f>
        <v>0</v>
      </c>
      <c r="BP952">
        <f>IF($A952="","",IF($A953="",1,IF(BN953&lt;&gt;BN952,1,0)))</f>
        <v>0</v>
      </c>
      <c r="BQ952">
        <f>IF($A952="","",IF(BO952=1,$B952,BQ951))</f>
        <v>0</v>
      </c>
      <c r="BR952">
        <f>IF($A952="","",IF(BO952=1,$C952,MAX($C952,BR951)))</f>
        <v>0</v>
      </c>
      <c r="BS952">
        <f>IF($A952="","",IF(BO952=1,$D952,MIN($D952,BS951)))</f>
        <v>0</v>
      </c>
      <c r="BT952">
        <f>IF($A952="","",IF(BP952=1,F952,""))</f>
        <v>0</v>
      </c>
    </row>
    <row r="953" spans="1:72">
      <c r="A953" s="27">
        <f>IF(Data!$A953="","",Data!$A953)</f>
        <v>0</v>
      </c>
      <c r="B953">
        <f>IF(Data!$B953="","",Data!$B953)</f>
        <v>0</v>
      </c>
      <c r="C953">
        <f>IF(Data!$C953="","",Data!$C953)</f>
        <v>0</v>
      </c>
      <c r="D953">
        <f>IF(Data!$D953="","",Data!$D953)</f>
        <v>0</v>
      </c>
      <c r="E953">
        <f>IF(Data!$E953="","",Data!$E953)</f>
        <v>0</v>
      </c>
      <c r="F953">
        <f>IF($E953="","",N(F952)+1)</f>
        <v>0</v>
      </c>
      <c r="G953">
        <f>IF(OR($E953="",$E952=""),"",LN($E953/$E952))</f>
        <v>0</v>
      </c>
      <c r="H953">
        <f>IF($E953="","",IF($E952="",$E953,$E953*0.0952380952+H952*0.9047619048))</f>
        <v>0</v>
      </c>
      <c r="I953">
        <f>IF($E953="","",IF($E952="",$E953,$E953*0.0392156863+I952*0.9607843137))</f>
        <v>0</v>
      </c>
      <c r="J953">
        <f>IF($E953="","",IF($E952="",$E953,$E953*0.0198019802+J952*0.9801980198))</f>
        <v>0</v>
      </c>
      <c r="K953">
        <f>IF($E953="","",IF($E952="",$E953,$E953*0.0099502488+K952*0.9900497512))</f>
        <v>0</v>
      </c>
      <c r="L953">
        <f>IF(OR($E953="",$E952=""),"",MAX($E953-$E952,0))</f>
        <v>0</v>
      </c>
      <c r="M953">
        <f>IF(OR($E953="",$E952=""),"",MAX($E952-$E953,0))</f>
        <v>0</v>
      </c>
      <c r="N953">
        <f>IF(COUNT($E$2:$E953)&lt;15,"",IF(AVERAGE($M$940:$M$953)=0,100,100-100/(1+AVERAGE($L$940:$L$953)/AVERAGE($M$940:$M$953))))</f>
        <v>0</v>
      </c>
      <c r="O953">
        <f>IF($E953="","",IF($E952="",$E953,$E953*0.1538461538+O952*0.8461538462))</f>
        <v>0</v>
      </c>
      <c r="P953">
        <f>IF($E953="","",IF($E952="",$E953,$E953*0.0740740741+P952*0.9259259259))</f>
        <v>0</v>
      </c>
      <c r="Q953">
        <f>IF(OR(O953="",P953=""),"",O953-P953)</f>
        <v>0</v>
      </c>
      <c r="R953">
        <f>IF(Q953="","",IF(R952="",Q953,Q953*0.2000000000+R952*0.8000000000))</f>
        <v>0</v>
      </c>
      <c r="S953">
        <f>IF(OR(Q953="",R953=""),"",Q953-R953)</f>
        <v>0</v>
      </c>
      <c r="T953">
        <f>IF(COUNT($E$2:$E953)&lt;14,"",MAX($C$940:$C$953))</f>
        <v>0</v>
      </c>
      <c r="U953">
        <f>IF(COUNT($E$2:$E953)&lt;14,"",MIN($D$940:$D$953))</f>
        <v>0</v>
      </c>
      <c r="V953">
        <f>IF(OR(T953="",U953="",T953=U953),"",100*($E953-U953)/(T953-U953))</f>
        <v>0</v>
      </c>
      <c r="W953">
        <f>IF(COUNT($V$951:$V$953)&lt;3,"",AVERAGE($V$951:$V$953))</f>
        <v>0</v>
      </c>
      <c r="X953">
        <f>IF(COUNT($N$940:$N$953)&lt;14,"",MIN($N$940:$N$953))</f>
        <v>0</v>
      </c>
      <c r="Y953">
        <f>IF(COUNT($N$940:$N$953)&lt;14,"",MAX($N$940:$N$953))</f>
        <v>0</v>
      </c>
      <c r="Z953">
        <f>IF(OR(N953="",X953="",Y953="",Y953=X953),"",100*(N953-X953)/(Y953-X953))</f>
        <v>0</v>
      </c>
      <c r="AA953">
        <f>IF(COUNT($Z$951:$Z$953)&lt;3,"",AVERAGE($Z$951:$Z$953))</f>
        <v>0</v>
      </c>
      <c r="AB953">
        <f>IF(COUNT($AA$951:$AA$953)&lt;3,"",AVERAGE($AA$951:$AA$953))</f>
        <v>0</v>
      </c>
      <c r="AC953">
        <f>IF($E953="","",MAX($C953-$D953,ABS($C953-$E952),ABS($D953-$E952)))</f>
        <v>0</v>
      </c>
      <c r="AD953">
        <f>IF(COUNT($E$2:$E953)&lt;15,"",AVERAGE($AC$940:$AC$953))</f>
        <v>0</v>
      </c>
      <c r="AE953">
        <f>IF(OR($E953="",$E952=""),"",IF(AND(($C953-$C952)&gt;($D952-$D953),($C953-$C952)&gt;0),$C953-$C952,0))</f>
        <v>0</v>
      </c>
      <c r="AF953">
        <f>IF(OR($E953="",$E952=""),"",IF(AND(($D952-$D953)&gt;($C953-$C952),($D952-$D953)&gt;0),$D952-$D953,0))</f>
        <v>0</v>
      </c>
      <c r="AG953">
        <f>IF(COUNT($E$2:$E953)&lt;15,"",IF(SUM($AC$940:$AC$953)=0,0,100*SUM($AE$940:$AE$953)/SUM($AC$940:$AC$953)))</f>
        <v>0</v>
      </c>
      <c r="AH953">
        <f>IF(COUNT($E$2:$E953)&lt;15,"",IF(SUM($AC$940:$AC$953)=0,0,100*SUM($AF$940:$AF$953)/SUM($AC$940:$AC$953)))</f>
        <v>0</v>
      </c>
      <c r="AI953">
        <f>IF(OR(AG953="",AH953=""),"",IF((AG953+AH953)=0,0,100*ABS(AG953-AH953)/(AG953+AH953)))</f>
        <v>0</v>
      </c>
      <c r="AJ953">
        <f>IF(COUNT($AI$940:$AI$953)&lt;14,"",AVERAGE($AI$940:$AI$953))</f>
        <v>0</v>
      </c>
      <c r="AK953">
        <f>IF(COUNT($E$2:$E953)&lt;20,"",AVERAGE($E$934:$E$953))</f>
        <v>0</v>
      </c>
      <c r="AL953">
        <f>IF(COUNT($E$2:$E953)&lt;20,"",STDEVP($E$934:$E$953))</f>
        <v>0</v>
      </c>
      <c r="AM953">
        <f>IF(AK953="","",AK953+2*AL953)</f>
        <v>0</v>
      </c>
      <c r="AN953">
        <f>IF(AK953="","",AK953-2*AL953)</f>
        <v>0</v>
      </c>
      <c r="AO953">
        <f>IF(OR(AM953="",AN953="",AM953=AN953),"",($E953-AN953)/(AM953-AN953))</f>
        <v>0</v>
      </c>
      <c r="AP953">
        <f>IF(OR(AM953="",AK953="",AK953=0),"",(AM953-AN953)/AK953)</f>
        <v>0</v>
      </c>
      <c r="AQ953">
        <f>IF(COUNT($E$2:$E953)&lt;20,"",MAX($C$934:$C$953))</f>
        <v>0</v>
      </c>
      <c r="AR953">
        <f>IF(COUNT($E$2:$E953)&lt;20,"",MIN($D$934:$D$953))</f>
        <v>0</v>
      </c>
      <c r="AS953">
        <f>IF(OR(AQ953="",AR953=""),"",(AQ953+AR953)/2)</f>
        <v>0</v>
      </c>
      <c r="AT953">
        <f>IF(COUNT($G$934:$G$953)&lt;20,"",STDEV($G$934:$G$953)*SQRT(252))</f>
        <v>0</v>
      </c>
      <c r="AU953">
        <f>IF(COUNT($E$2:$E953)&lt;9,"",(MAX($C$945:$C$953)+MIN($D$945:$D$953))/2)</f>
        <v>0</v>
      </c>
      <c r="AV953">
        <f>IF(COUNT($E$2:$E953)&lt;26,"",(MAX($C$928:$C$953)+MIN($D$928:$D$953))/2)</f>
        <v>0</v>
      </c>
      <c r="AW953">
        <f>IF(OR(AU953="",AV953=""),"",(AU953+AV953)/2)</f>
        <v>0</v>
      </c>
      <c r="AX953">
        <f>IF(COUNT($E$2:$E953)&lt;52,"",(MAX($C$902:$C$953)+MIN($D$902:$D$953))/2)</f>
        <v>0</v>
      </c>
      <c r="AY953">
        <f>IF(COUNT($E$2:$E953)&lt;20,"",MAX($C$854:$C$953))</f>
        <v>0</v>
      </c>
      <c r="AZ953">
        <f>IF(COUNT($E$2:$E953)&lt;20,"",MIN($D$854:$D$953))</f>
        <v>0</v>
      </c>
      <c r="BA953">
        <f>IF(COUNT($E$2:$E953)&lt;20,"",SLOPE($E$854:$E$953,$F$854:$F$953))</f>
        <v>0</v>
      </c>
      <c r="BB953">
        <f>IF(COUNT($E$2:$E953)&lt;20,"",INTERCEPT($E$854:$E$953,$F$854:$F$953))</f>
        <v>0</v>
      </c>
      <c r="BC953">
        <f>IF(OR(BA953="",BB953=""),"",BB953+BA953*F953)</f>
        <v>0</v>
      </c>
      <c r="BD953">
        <f>IF(COUNT($E$2:$E953)&lt;20,"",STEYX($E$854:$E$953,$F$854:$F$953))</f>
        <v>0</v>
      </c>
      <c r="BE953">
        <f>IF($E953="","",IF(AND(COUNT($E$954:$E$957)&gt;=4,$C953=MAX($C$949:$C$957)),$C953,""))</f>
        <v>0</v>
      </c>
      <c r="BF953">
        <f>IF($E953="","",IF(AND(COUNT($E$954:$E$957)&gt;=4,$D953=MIN($D$949:$D$957)),$D953,""))</f>
        <v>0</v>
      </c>
      <c r="BG953">
        <f>IF($A953="","",$A953-WEEKDAY($A953,2)+1)</f>
        <v>0</v>
      </c>
      <c r="BH953">
        <f>IF($A953="","",IF($A952="",1,IF(BG953&lt;&gt;BG952,1,0)))</f>
        <v>0</v>
      </c>
      <c r="BI953">
        <f>IF($A953="","",IF($A954="",1,IF(BG954&lt;&gt;BG953,1,0)))</f>
        <v>0</v>
      </c>
      <c r="BJ953">
        <f>IF($A953="","",IF(BH953=1,$B953,BJ952))</f>
        <v>0</v>
      </c>
      <c r="BK953">
        <f>IF($A953="","",IF(BH953=1,$C953,MAX($C953,BK952)))</f>
        <v>0</v>
      </c>
      <c r="BL953">
        <f>IF($A953="","",IF(BH953=1,$D953,MIN($D953,BL952)))</f>
        <v>0</v>
      </c>
      <c r="BM953">
        <f>IF($A953="","",IF(BI953=1,F953,""))</f>
        <v>0</v>
      </c>
      <c r="BN953">
        <f>IF($A953="","",DATE(YEAR($A953),MONTH($A953),1))</f>
        <v>0</v>
      </c>
      <c r="BO953">
        <f>IF($A953="","",IF($A952="",1,IF(BN953&lt;&gt;BN952,1,0)))</f>
        <v>0</v>
      </c>
      <c r="BP953">
        <f>IF($A953="","",IF($A954="",1,IF(BN954&lt;&gt;BN953,1,0)))</f>
        <v>0</v>
      </c>
      <c r="BQ953">
        <f>IF($A953="","",IF(BO953=1,$B953,BQ952))</f>
        <v>0</v>
      </c>
      <c r="BR953">
        <f>IF($A953="","",IF(BO953=1,$C953,MAX($C953,BR952)))</f>
        <v>0</v>
      </c>
      <c r="BS953">
        <f>IF($A953="","",IF(BO953=1,$D953,MIN($D953,BS952)))</f>
        <v>0</v>
      </c>
      <c r="BT953">
        <f>IF($A953="","",IF(BP953=1,F953,""))</f>
        <v>0</v>
      </c>
    </row>
    <row r="954" spans="1:72">
      <c r="A954" s="27">
        <f>IF(Data!$A954="","",Data!$A954)</f>
        <v>0</v>
      </c>
      <c r="B954">
        <f>IF(Data!$B954="","",Data!$B954)</f>
        <v>0</v>
      </c>
      <c r="C954">
        <f>IF(Data!$C954="","",Data!$C954)</f>
        <v>0</v>
      </c>
      <c r="D954">
        <f>IF(Data!$D954="","",Data!$D954)</f>
        <v>0</v>
      </c>
      <c r="E954">
        <f>IF(Data!$E954="","",Data!$E954)</f>
        <v>0</v>
      </c>
      <c r="F954">
        <f>IF($E954="","",N(F953)+1)</f>
        <v>0</v>
      </c>
      <c r="G954">
        <f>IF(OR($E954="",$E953=""),"",LN($E954/$E953))</f>
        <v>0</v>
      </c>
      <c r="H954">
        <f>IF($E954="","",IF($E953="",$E954,$E954*0.0952380952+H953*0.9047619048))</f>
        <v>0</v>
      </c>
      <c r="I954">
        <f>IF($E954="","",IF($E953="",$E954,$E954*0.0392156863+I953*0.9607843137))</f>
        <v>0</v>
      </c>
      <c r="J954">
        <f>IF($E954="","",IF($E953="",$E954,$E954*0.0198019802+J953*0.9801980198))</f>
        <v>0</v>
      </c>
      <c r="K954">
        <f>IF($E954="","",IF($E953="",$E954,$E954*0.0099502488+K953*0.9900497512))</f>
        <v>0</v>
      </c>
      <c r="L954">
        <f>IF(OR($E954="",$E953=""),"",MAX($E954-$E953,0))</f>
        <v>0</v>
      </c>
      <c r="M954">
        <f>IF(OR($E954="",$E953=""),"",MAX($E953-$E954,0))</f>
        <v>0</v>
      </c>
      <c r="N954">
        <f>IF(COUNT($E$2:$E954)&lt;15,"",IF(AVERAGE($M$941:$M$954)=0,100,100-100/(1+AVERAGE($L$941:$L$954)/AVERAGE($M$941:$M$954))))</f>
        <v>0</v>
      </c>
      <c r="O954">
        <f>IF($E954="","",IF($E953="",$E954,$E954*0.1538461538+O953*0.8461538462))</f>
        <v>0</v>
      </c>
      <c r="P954">
        <f>IF($E954="","",IF($E953="",$E954,$E954*0.0740740741+P953*0.9259259259))</f>
        <v>0</v>
      </c>
      <c r="Q954">
        <f>IF(OR(O954="",P954=""),"",O954-P954)</f>
        <v>0</v>
      </c>
      <c r="R954">
        <f>IF(Q954="","",IF(R953="",Q954,Q954*0.2000000000+R953*0.8000000000))</f>
        <v>0</v>
      </c>
      <c r="S954">
        <f>IF(OR(Q954="",R954=""),"",Q954-R954)</f>
        <v>0</v>
      </c>
      <c r="T954">
        <f>IF(COUNT($E$2:$E954)&lt;14,"",MAX($C$941:$C$954))</f>
        <v>0</v>
      </c>
      <c r="U954">
        <f>IF(COUNT($E$2:$E954)&lt;14,"",MIN($D$941:$D$954))</f>
        <v>0</v>
      </c>
      <c r="V954">
        <f>IF(OR(T954="",U954="",T954=U954),"",100*($E954-U954)/(T954-U954))</f>
        <v>0</v>
      </c>
      <c r="W954">
        <f>IF(COUNT($V$952:$V$954)&lt;3,"",AVERAGE($V$952:$V$954))</f>
        <v>0</v>
      </c>
      <c r="X954">
        <f>IF(COUNT($N$941:$N$954)&lt;14,"",MIN($N$941:$N$954))</f>
        <v>0</v>
      </c>
      <c r="Y954">
        <f>IF(COUNT($N$941:$N$954)&lt;14,"",MAX($N$941:$N$954))</f>
        <v>0</v>
      </c>
      <c r="Z954">
        <f>IF(OR(N954="",X954="",Y954="",Y954=X954),"",100*(N954-X954)/(Y954-X954))</f>
        <v>0</v>
      </c>
      <c r="AA954">
        <f>IF(COUNT($Z$952:$Z$954)&lt;3,"",AVERAGE($Z$952:$Z$954))</f>
        <v>0</v>
      </c>
      <c r="AB954">
        <f>IF(COUNT($AA$952:$AA$954)&lt;3,"",AVERAGE($AA$952:$AA$954))</f>
        <v>0</v>
      </c>
      <c r="AC954">
        <f>IF($E954="","",MAX($C954-$D954,ABS($C954-$E953),ABS($D954-$E953)))</f>
        <v>0</v>
      </c>
      <c r="AD954">
        <f>IF(COUNT($E$2:$E954)&lt;15,"",AVERAGE($AC$941:$AC$954))</f>
        <v>0</v>
      </c>
      <c r="AE954">
        <f>IF(OR($E954="",$E953=""),"",IF(AND(($C954-$C953)&gt;($D953-$D954),($C954-$C953)&gt;0),$C954-$C953,0))</f>
        <v>0</v>
      </c>
      <c r="AF954">
        <f>IF(OR($E954="",$E953=""),"",IF(AND(($D953-$D954)&gt;($C954-$C953),($D953-$D954)&gt;0),$D953-$D954,0))</f>
        <v>0</v>
      </c>
      <c r="AG954">
        <f>IF(COUNT($E$2:$E954)&lt;15,"",IF(SUM($AC$941:$AC$954)=0,0,100*SUM($AE$941:$AE$954)/SUM($AC$941:$AC$954)))</f>
        <v>0</v>
      </c>
      <c r="AH954">
        <f>IF(COUNT($E$2:$E954)&lt;15,"",IF(SUM($AC$941:$AC$954)=0,0,100*SUM($AF$941:$AF$954)/SUM($AC$941:$AC$954)))</f>
        <v>0</v>
      </c>
      <c r="AI954">
        <f>IF(OR(AG954="",AH954=""),"",IF((AG954+AH954)=0,0,100*ABS(AG954-AH954)/(AG954+AH954)))</f>
        <v>0</v>
      </c>
      <c r="AJ954">
        <f>IF(COUNT($AI$941:$AI$954)&lt;14,"",AVERAGE($AI$941:$AI$954))</f>
        <v>0</v>
      </c>
      <c r="AK954">
        <f>IF(COUNT($E$2:$E954)&lt;20,"",AVERAGE($E$935:$E$954))</f>
        <v>0</v>
      </c>
      <c r="AL954">
        <f>IF(COUNT($E$2:$E954)&lt;20,"",STDEVP($E$935:$E$954))</f>
        <v>0</v>
      </c>
      <c r="AM954">
        <f>IF(AK954="","",AK954+2*AL954)</f>
        <v>0</v>
      </c>
      <c r="AN954">
        <f>IF(AK954="","",AK954-2*AL954)</f>
        <v>0</v>
      </c>
      <c r="AO954">
        <f>IF(OR(AM954="",AN954="",AM954=AN954),"",($E954-AN954)/(AM954-AN954))</f>
        <v>0</v>
      </c>
      <c r="AP954">
        <f>IF(OR(AM954="",AK954="",AK954=0),"",(AM954-AN954)/AK954)</f>
        <v>0</v>
      </c>
      <c r="AQ954">
        <f>IF(COUNT($E$2:$E954)&lt;20,"",MAX($C$935:$C$954))</f>
        <v>0</v>
      </c>
      <c r="AR954">
        <f>IF(COUNT($E$2:$E954)&lt;20,"",MIN($D$935:$D$954))</f>
        <v>0</v>
      </c>
      <c r="AS954">
        <f>IF(OR(AQ954="",AR954=""),"",(AQ954+AR954)/2)</f>
        <v>0</v>
      </c>
      <c r="AT954">
        <f>IF(COUNT($G$935:$G$954)&lt;20,"",STDEV($G$935:$G$954)*SQRT(252))</f>
        <v>0</v>
      </c>
      <c r="AU954">
        <f>IF(COUNT($E$2:$E954)&lt;9,"",(MAX($C$946:$C$954)+MIN($D$946:$D$954))/2)</f>
        <v>0</v>
      </c>
      <c r="AV954">
        <f>IF(COUNT($E$2:$E954)&lt;26,"",(MAX($C$929:$C$954)+MIN($D$929:$D$954))/2)</f>
        <v>0</v>
      </c>
      <c r="AW954">
        <f>IF(OR(AU954="",AV954=""),"",(AU954+AV954)/2)</f>
        <v>0</v>
      </c>
      <c r="AX954">
        <f>IF(COUNT($E$2:$E954)&lt;52,"",(MAX($C$903:$C$954)+MIN($D$903:$D$954))/2)</f>
        <v>0</v>
      </c>
      <c r="AY954">
        <f>IF(COUNT($E$2:$E954)&lt;20,"",MAX($C$855:$C$954))</f>
        <v>0</v>
      </c>
      <c r="AZ954">
        <f>IF(COUNT($E$2:$E954)&lt;20,"",MIN($D$855:$D$954))</f>
        <v>0</v>
      </c>
      <c r="BA954">
        <f>IF(COUNT($E$2:$E954)&lt;20,"",SLOPE($E$855:$E$954,$F$855:$F$954))</f>
        <v>0</v>
      </c>
      <c r="BB954">
        <f>IF(COUNT($E$2:$E954)&lt;20,"",INTERCEPT($E$855:$E$954,$F$855:$F$954))</f>
        <v>0</v>
      </c>
      <c r="BC954">
        <f>IF(OR(BA954="",BB954=""),"",BB954+BA954*F954)</f>
        <v>0</v>
      </c>
      <c r="BD954">
        <f>IF(COUNT($E$2:$E954)&lt;20,"",STEYX($E$855:$E$954,$F$855:$F$954))</f>
        <v>0</v>
      </c>
      <c r="BE954">
        <f>IF($E954="","",IF(AND(COUNT($E$955:$E$958)&gt;=4,$C954=MAX($C$950:$C$958)),$C954,""))</f>
        <v>0</v>
      </c>
      <c r="BF954">
        <f>IF($E954="","",IF(AND(COUNT($E$955:$E$958)&gt;=4,$D954=MIN($D$950:$D$958)),$D954,""))</f>
        <v>0</v>
      </c>
      <c r="BG954">
        <f>IF($A954="","",$A954-WEEKDAY($A954,2)+1)</f>
        <v>0</v>
      </c>
      <c r="BH954">
        <f>IF($A954="","",IF($A953="",1,IF(BG954&lt;&gt;BG953,1,0)))</f>
        <v>0</v>
      </c>
      <c r="BI954">
        <f>IF($A954="","",IF($A955="",1,IF(BG955&lt;&gt;BG954,1,0)))</f>
        <v>0</v>
      </c>
      <c r="BJ954">
        <f>IF($A954="","",IF(BH954=1,$B954,BJ953))</f>
        <v>0</v>
      </c>
      <c r="BK954">
        <f>IF($A954="","",IF(BH954=1,$C954,MAX($C954,BK953)))</f>
        <v>0</v>
      </c>
      <c r="BL954">
        <f>IF($A954="","",IF(BH954=1,$D954,MIN($D954,BL953)))</f>
        <v>0</v>
      </c>
      <c r="BM954">
        <f>IF($A954="","",IF(BI954=1,F954,""))</f>
        <v>0</v>
      </c>
      <c r="BN954">
        <f>IF($A954="","",DATE(YEAR($A954),MONTH($A954),1))</f>
        <v>0</v>
      </c>
      <c r="BO954">
        <f>IF($A954="","",IF($A953="",1,IF(BN954&lt;&gt;BN953,1,0)))</f>
        <v>0</v>
      </c>
      <c r="BP954">
        <f>IF($A954="","",IF($A955="",1,IF(BN955&lt;&gt;BN954,1,0)))</f>
        <v>0</v>
      </c>
      <c r="BQ954">
        <f>IF($A954="","",IF(BO954=1,$B954,BQ953))</f>
        <v>0</v>
      </c>
      <c r="BR954">
        <f>IF($A954="","",IF(BO954=1,$C954,MAX($C954,BR953)))</f>
        <v>0</v>
      </c>
      <c r="BS954">
        <f>IF($A954="","",IF(BO954=1,$D954,MIN($D954,BS953)))</f>
        <v>0</v>
      </c>
      <c r="BT954">
        <f>IF($A954="","",IF(BP954=1,F954,""))</f>
        <v>0</v>
      </c>
    </row>
    <row r="955" spans="1:72">
      <c r="A955" s="27">
        <f>IF(Data!$A955="","",Data!$A955)</f>
        <v>0</v>
      </c>
      <c r="B955">
        <f>IF(Data!$B955="","",Data!$B955)</f>
        <v>0</v>
      </c>
      <c r="C955">
        <f>IF(Data!$C955="","",Data!$C955)</f>
        <v>0</v>
      </c>
      <c r="D955">
        <f>IF(Data!$D955="","",Data!$D955)</f>
        <v>0</v>
      </c>
      <c r="E955">
        <f>IF(Data!$E955="","",Data!$E955)</f>
        <v>0</v>
      </c>
      <c r="F955">
        <f>IF($E955="","",N(F954)+1)</f>
        <v>0</v>
      </c>
      <c r="G955">
        <f>IF(OR($E955="",$E954=""),"",LN($E955/$E954))</f>
        <v>0</v>
      </c>
      <c r="H955">
        <f>IF($E955="","",IF($E954="",$E955,$E955*0.0952380952+H954*0.9047619048))</f>
        <v>0</v>
      </c>
      <c r="I955">
        <f>IF($E955="","",IF($E954="",$E955,$E955*0.0392156863+I954*0.9607843137))</f>
        <v>0</v>
      </c>
      <c r="J955">
        <f>IF($E955="","",IF($E954="",$E955,$E955*0.0198019802+J954*0.9801980198))</f>
        <v>0</v>
      </c>
      <c r="K955">
        <f>IF($E955="","",IF($E954="",$E955,$E955*0.0099502488+K954*0.9900497512))</f>
        <v>0</v>
      </c>
      <c r="L955">
        <f>IF(OR($E955="",$E954=""),"",MAX($E955-$E954,0))</f>
        <v>0</v>
      </c>
      <c r="M955">
        <f>IF(OR($E955="",$E954=""),"",MAX($E954-$E955,0))</f>
        <v>0</v>
      </c>
      <c r="N955">
        <f>IF(COUNT($E$2:$E955)&lt;15,"",IF(AVERAGE($M$942:$M$955)=0,100,100-100/(1+AVERAGE($L$942:$L$955)/AVERAGE($M$942:$M$955))))</f>
        <v>0</v>
      </c>
      <c r="O955">
        <f>IF($E955="","",IF($E954="",$E955,$E955*0.1538461538+O954*0.8461538462))</f>
        <v>0</v>
      </c>
      <c r="P955">
        <f>IF($E955="","",IF($E954="",$E955,$E955*0.0740740741+P954*0.9259259259))</f>
        <v>0</v>
      </c>
      <c r="Q955">
        <f>IF(OR(O955="",P955=""),"",O955-P955)</f>
        <v>0</v>
      </c>
      <c r="R955">
        <f>IF(Q955="","",IF(R954="",Q955,Q955*0.2000000000+R954*0.8000000000))</f>
        <v>0</v>
      </c>
      <c r="S955">
        <f>IF(OR(Q955="",R955=""),"",Q955-R955)</f>
        <v>0</v>
      </c>
      <c r="T955">
        <f>IF(COUNT($E$2:$E955)&lt;14,"",MAX($C$942:$C$955))</f>
        <v>0</v>
      </c>
      <c r="U955">
        <f>IF(COUNT($E$2:$E955)&lt;14,"",MIN($D$942:$D$955))</f>
        <v>0</v>
      </c>
      <c r="V955">
        <f>IF(OR(T955="",U955="",T955=U955),"",100*($E955-U955)/(T955-U955))</f>
        <v>0</v>
      </c>
      <c r="W955">
        <f>IF(COUNT($V$953:$V$955)&lt;3,"",AVERAGE($V$953:$V$955))</f>
        <v>0</v>
      </c>
      <c r="X955">
        <f>IF(COUNT($N$942:$N$955)&lt;14,"",MIN($N$942:$N$955))</f>
        <v>0</v>
      </c>
      <c r="Y955">
        <f>IF(COUNT($N$942:$N$955)&lt;14,"",MAX($N$942:$N$955))</f>
        <v>0</v>
      </c>
      <c r="Z955">
        <f>IF(OR(N955="",X955="",Y955="",Y955=X955),"",100*(N955-X955)/(Y955-X955))</f>
        <v>0</v>
      </c>
      <c r="AA955">
        <f>IF(COUNT($Z$953:$Z$955)&lt;3,"",AVERAGE($Z$953:$Z$955))</f>
        <v>0</v>
      </c>
      <c r="AB955">
        <f>IF(COUNT($AA$953:$AA$955)&lt;3,"",AVERAGE($AA$953:$AA$955))</f>
        <v>0</v>
      </c>
      <c r="AC955">
        <f>IF($E955="","",MAX($C955-$D955,ABS($C955-$E954),ABS($D955-$E954)))</f>
        <v>0</v>
      </c>
      <c r="AD955">
        <f>IF(COUNT($E$2:$E955)&lt;15,"",AVERAGE($AC$942:$AC$955))</f>
        <v>0</v>
      </c>
      <c r="AE955">
        <f>IF(OR($E955="",$E954=""),"",IF(AND(($C955-$C954)&gt;($D954-$D955),($C955-$C954)&gt;0),$C955-$C954,0))</f>
        <v>0</v>
      </c>
      <c r="AF955">
        <f>IF(OR($E955="",$E954=""),"",IF(AND(($D954-$D955)&gt;($C955-$C954),($D954-$D955)&gt;0),$D954-$D955,0))</f>
        <v>0</v>
      </c>
      <c r="AG955">
        <f>IF(COUNT($E$2:$E955)&lt;15,"",IF(SUM($AC$942:$AC$955)=0,0,100*SUM($AE$942:$AE$955)/SUM($AC$942:$AC$955)))</f>
        <v>0</v>
      </c>
      <c r="AH955">
        <f>IF(COUNT($E$2:$E955)&lt;15,"",IF(SUM($AC$942:$AC$955)=0,0,100*SUM($AF$942:$AF$955)/SUM($AC$942:$AC$955)))</f>
        <v>0</v>
      </c>
      <c r="AI955">
        <f>IF(OR(AG955="",AH955=""),"",IF((AG955+AH955)=0,0,100*ABS(AG955-AH955)/(AG955+AH955)))</f>
        <v>0</v>
      </c>
      <c r="AJ955">
        <f>IF(COUNT($AI$942:$AI$955)&lt;14,"",AVERAGE($AI$942:$AI$955))</f>
        <v>0</v>
      </c>
      <c r="AK955">
        <f>IF(COUNT($E$2:$E955)&lt;20,"",AVERAGE($E$936:$E$955))</f>
        <v>0</v>
      </c>
      <c r="AL955">
        <f>IF(COUNT($E$2:$E955)&lt;20,"",STDEVP($E$936:$E$955))</f>
        <v>0</v>
      </c>
      <c r="AM955">
        <f>IF(AK955="","",AK955+2*AL955)</f>
        <v>0</v>
      </c>
      <c r="AN955">
        <f>IF(AK955="","",AK955-2*AL955)</f>
        <v>0</v>
      </c>
      <c r="AO955">
        <f>IF(OR(AM955="",AN955="",AM955=AN955),"",($E955-AN955)/(AM955-AN955))</f>
        <v>0</v>
      </c>
      <c r="AP955">
        <f>IF(OR(AM955="",AK955="",AK955=0),"",(AM955-AN955)/AK955)</f>
        <v>0</v>
      </c>
      <c r="AQ955">
        <f>IF(COUNT($E$2:$E955)&lt;20,"",MAX($C$936:$C$955))</f>
        <v>0</v>
      </c>
      <c r="AR955">
        <f>IF(COUNT($E$2:$E955)&lt;20,"",MIN($D$936:$D$955))</f>
        <v>0</v>
      </c>
      <c r="AS955">
        <f>IF(OR(AQ955="",AR955=""),"",(AQ955+AR955)/2)</f>
        <v>0</v>
      </c>
      <c r="AT955">
        <f>IF(COUNT($G$936:$G$955)&lt;20,"",STDEV($G$936:$G$955)*SQRT(252))</f>
        <v>0</v>
      </c>
      <c r="AU955">
        <f>IF(COUNT($E$2:$E955)&lt;9,"",(MAX($C$947:$C$955)+MIN($D$947:$D$955))/2)</f>
        <v>0</v>
      </c>
      <c r="AV955">
        <f>IF(COUNT($E$2:$E955)&lt;26,"",(MAX($C$930:$C$955)+MIN($D$930:$D$955))/2)</f>
        <v>0</v>
      </c>
      <c r="AW955">
        <f>IF(OR(AU955="",AV955=""),"",(AU955+AV955)/2)</f>
        <v>0</v>
      </c>
      <c r="AX955">
        <f>IF(COUNT($E$2:$E955)&lt;52,"",(MAX($C$904:$C$955)+MIN($D$904:$D$955))/2)</f>
        <v>0</v>
      </c>
      <c r="AY955">
        <f>IF(COUNT($E$2:$E955)&lt;20,"",MAX($C$856:$C$955))</f>
        <v>0</v>
      </c>
      <c r="AZ955">
        <f>IF(COUNT($E$2:$E955)&lt;20,"",MIN($D$856:$D$955))</f>
        <v>0</v>
      </c>
      <c r="BA955">
        <f>IF(COUNT($E$2:$E955)&lt;20,"",SLOPE($E$856:$E$955,$F$856:$F$955))</f>
        <v>0</v>
      </c>
      <c r="BB955">
        <f>IF(COUNT($E$2:$E955)&lt;20,"",INTERCEPT($E$856:$E$955,$F$856:$F$955))</f>
        <v>0</v>
      </c>
      <c r="BC955">
        <f>IF(OR(BA955="",BB955=""),"",BB955+BA955*F955)</f>
        <v>0</v>
      </c>
      <c r="BD955">
        <f>IF(COUNT($E$2:$E955)&lt;20,"",STEYX($E$856:$E$955,$F$856:$F$955))</f>
        <v>0</v>
      </c>
      <c r="BE955">
        <f>IF($E955="","",IF(AND(COUNT($E$956:$E$959)&gt;=4,$C955=MAX($C$951:$C$959)),$C955,""))</f>
        <v>0</v>
      </c>
      <c r="BF955">
        <f>IF($E955="","",IF(AND(COUNT($E$956:$E$959)&gt;=4,$D955=MIN($D$951:$D$959)),$D955,""))</f>
        <v>0</v>
      </c>
      <c r="BG955">
        <f>IF($A955="","",$A955-WEEKDAY($A955,2)+1)</f>
        <v>0</v>
      </c>
      <c r="BH955">
        <f>IF($A955="","",IF($A954="",1,IF(BG955&lt;&gt;BG954,1,0)))</f>
        <v>0</v>
      </c>
      <c r="BI955">
        <f>IF($A955="","",IF($A956="",1,IF(BG956&lt;&gt;BG955,1,0)))</f>
        <v>0</v>
      </c>
      <c r="BJ955">
        <f>IF($A955="","",IF(BH955=1,$B955,BJ954))</f>
        <v>0</v>
      </c>
      <c r="BK955">
        <f>IF($A955="","",IF(BH955=1,$C955,MAX($C955,BK954)))</f>
        <v>0</v>
      </c>
      <c r="BL955">
        <f>IF($A955="","",IF(BH955=1,$D955,MIN($D955,BL954)))</f>
        <v>0</v>
      </c>
      <c r="BM955">
        <f>IF($A955="","",IF(BI955=1,F955,""))</f>
        <v>0</v>
      </c>
      <c r="BN955">
        <f>IF($A955="","",DATE(YEAR($A955),MONTH($A955),1))</f>
        <v>0</v>
      </c>
      <c r="BO955">
        <f>IF($A955="","",IF($A954="",1,IF(BN955&lt;&gt;BN954,1,0)))</f>
        <v>0</v>
      </c>
      <c r="BP955">
        <f>IF($A955="","",IF($A956="",1,IF(BN956&lt;&gt;BN955,1,0)))</f>
        <v>0</v>
      </c>
      <c r="BQ955">
        <f>IF($A955="","",IF(BO955=1,$B955,BQ954))</f>
        <v>0</v>
      </c>
      <c r="BR955">
        <f>IF($A955="","",IF(BO955=1,$C955,MAX($C955,BR954)))</f>
        <v>0</v>
      </c>
      <c r="BS955">
        <f>IF($A955="","",IF(BO955=1,$D955,MIN($D955,BS954)))</f>
        <v>0</v>
      </c>
      <c r="BT955">
        <f>IF($A955="","",IF(BP955=1,F955,""))</f>
        <v>0</v>
      </c>
    </row>
    <row r="956" spans="1:72">
      <c r="A956" s="27">
        <f>IF(Data!$A956="","",Data!$A956)</f>
        <v>0</v>
      </c>
      <c r="B956">
        <f>IF(Data!$B956="","",Data!$B956)</f>
        <v>0</v>
      </c>
      <c r="C956">
        <f>IF(Data!$C956="","",Data!$C956)</f>
        <v>0</v>
      </c>
      <c r="D956">
        <f>IF(Data!$D956="","",Data!$D956)</f>
        <v>0</v>
      </c>
      <c r="E956">
        <f>IF(Data!$E956="","",Data!$E956)</f>
        <v>0</v>
      </c>
      <c r="F956">
        <f>IF($E956="","",N(F955)+1)</f>
        <v>0</v>
      </c>
      <c r="G956">
        <f>IF(OR($E956="",$E955=""),"",LN($E956/$E955))</f>
        <v>0</v>
      </c>
      <c r="H956">
        <f>IF($E956="","",IF($E955="",$E956,$E956*0.0952380952+H955*0.9047619048))</f>
        <v>0</v>
      </c>
      <c r="I956">
        <f>IF($E956="","",IF($E955="",$E956,$E956*0.0392156863+I955*0.9607843137))</f>
        <v>0</v>
      </c>
      <c r="J956">
        <f>IF($E956="","",IF($E955="",$E956,$E956*0.0198019802+J955*0.9801980198))</f>
        <v>0</v>
      </c>
      <c r="K956">
        <f>IF($E956="","",IF($E955="",$E956,$E956*0.0099502488+K955*0.9900497512))</f>
        <v>0</v>
      </c>
      <c r="L956">
        <f>IF(OR($E956="",$E955=""),"",MAX($E956-$E955,0))</f>
        <v>0</v>
      </c>
      <c r="M956">
        <f>IF(OR($E956="",$E955=""),"",MAX($E955-$E956,0))</f>
        <v>0</v>
      </c>
      <c r="N956">
        <f>IF(COUNT($E$2:$E956)&lt;15,"",IF(AVERAGE($M$943:$M$956)=0,100,100-100/(1+AVERAGE($L$943:$L$956)/AVERAGE($M$943:$M$956))))</f>
        <v>0</v>
      </c>
      <c r="O956">
        <f>IF($E956="","",IF($E955="",$E956,$E956*0.1538461538+O955*0.8461538462))</f>
        <v>0</v>
      </c>
      <c r="P956">
        <f>IF($E956="","",IF($E955="",$E956,$E956*0.0740740741+P955*0.9259259259))</f>
        <v>0</v>
      </c>
      <c r="Q956">
        <f>IF(OR(O956="",P956=""),"",O956-P956)</f>
        <v>0</v>
      </c>
      <c r="R956">
        <f>IF(Q956="","",IF(R955="",Q956,Q956*0.2000000000+R955*0.8000000000))</f>
        <v>0</v>
      </c>
      <c r="S956">
        <f>IF(OR(Q956="",R956=""),"",Q956-R956)</f>
        <v>0</v>
      </c>
      <c r="T956">
        <f>IF(COUNT($E$2:$E956)&lt;14,"",MAX($C$943:$C$956))</f>
        <v>0</v>
      </c>
      <c r="U956">
        <f>IF(COUNT($E$2:$E956)&lt;14,"",MIN($D$943:$D$956))</f>
        <v>0</v>
      </c>
      <c r="V956">
        <f>IF(OR(T956="",U956="",T956=U956),"",100*($E956-U956)/(T956-U956))</f>
        <v>0</v>
      </c>
      <c r="W956">
        <f>IF(COUNT($V$954:$V$956)&lt;3,"",AVERAGE($V$954:$V$956))</f>
        <v>0</v>
      </c>
      <c r="X956">
        <f>IF(COUNT($N$943:$N$956)&lt;14,"",MIN($N$943:$N$956))</f>
        <v>0</v>
      </c>
      <c r="Y956">
        <f>IF(COUNT($N$943:$N$956)&lt;14,"",MAX($N$943:$N$956))</f>
        <v>0</v>
      </c>
      <c r="Z956">
        <f>IF(OR(N956="",X956="",Y956="",Y956=X956),"",100*(N956-X956)/(Y956-X956))</f>
        <v>0</v>
      </c>
      <c r="AA956">
        <f>IF(COUNT($Z$954:$Z$956)&lt;3,"",AVERAGE($Z$954:$Z$956))</f>
        <v>0</v>
      </c>
      <c r="AB956">
        <f>IF(COUNT($AA$954:$AA$956)&lt;3,"",AVERAGE($AA$954:$AA$956))</f>
        <v>0</v>
      </c>
      <c r="AC956">
        <f>IF($E956="","",MAX($C956-$D956,ABS($C956-$E955),ABS($D956-$E955)))</f>
        <v>0</v>
      </c>
      <c r="AD956">
        <f>IF(COUNT($E$2:$E956)&lt;15,"",AVERAGE($AC$943:$AC$956))</f>
        <v>0</v>
      </c>
      <c r="AE956">
        <f>IF(OR($E956="",$E955=""),"",IF(AND(($C956-$C955)&gt;($D955-$D956),($C956-$C955)&gt;0),$C956-$C955,0))</f>
        <v>0</v>
      </c>
      <c r="AF956">
        <f>IF(OR($E956="",$E955=""),"",IF(AND(($D955-$D956)&gt;($C956-$C955),($D955-$D956)&gt;0),$D955-$D956,0))</f>
        <v>0</v>
      </c>
      <c r="AG956">
        <f>IF(COUNT($E$2:$E956)&lt;15,"",IF(SUM($AC$943:$AC$956)=0,0,100*SUM($AE$943:$AE$956)/SUM($AC$943:$AC$956)))</f>
        <v>0</v>
      </c>
      <c r="AH956">
        <f>IF(COUNT($E$2:$E956)&lt;15,"",IF(SUM($AC$943:$AC$956)=0,0,100*SUM($AF$943:$AF$956)/SUM($AC$943:$AC$956)))</f>
        <v>0</v>
      </c>
      <c r="AI956">
        <f>IF(OR(AG956="",AH956=""),"",IF((AG956+AH956)=0,0,100*ABS(AG956-AH956)/(AG956+AH956)))</f>
        <v>0</v>
      </c>
      <c r="AJ956">
        <f>IF(COUNT($AI$943:$AI$956)&lt;14,"",AVERAGE($AI$943:$AI$956))</f>
        <v>0</v>
      </c>
      <c r="AK956">
        <f>IF(COUNT($E$2:$E956)&lt;20,"",AVERAGE($E$937:$E$956))</f>
        <v>0</v>
      </c>
      <c r="AL956">
        <f>IF(COUNT($E$2:$E956)&lt;20,"",STDEVP($E$937:$E$956))</f>
        <v>0</v>
      </c>
      <c r="AM956">
        <f>IF(AK956="","",AK956+2*AL956)</f>
        <v>0</v>
      </c>
      <c r="AN956">
        <f>IF(AK956="","",AK956-2*AL956)</f>
        <v>0</v>
      </c>
      <c r="AO956">
        <f>IF(OR(AM956="",AN956="",AM956=AN956),"",($E956-AN956)/(AM956-AN956))</f>
        <v>0</v>
      </c>
      <c r="AP956">
        <f>IF(OR(AM956="",AK956="",AK956=0),"",(AM956-AN956)/AK956)</f>
        <v>0</v>
      </c>
      <c r="AQ956">
        <f>IF(COUNT($E$2:$E956)&lt;20,"",MAX($C$937:$C$956))</f>
        <v>0</v>
      </c>
      <c r="AR956">
        <f>IF(COUNT($E$2:$E956)&lt;20,"",MIN($D$937:$D$956))</f>
        <v>0</v>
      </c>
      <c r="AS956">
        <f>IF(OR(AQ956="",AR956=""),"",(AQ956+AR956)/2)</f>
        <v>0</v>
      </c>
      <c r="AT956">
        <f>IF(COUNT($G$937:$G$956)&lt;20,"",STDEV($G$937:$G$956)*SQRT(252))</f>
        <v>0</v>
      </c>
      <c r="AU956">
        <f>IF(COUNT($E$2:$E956)&lt;9,"",(MAX($C$948:$C$956)+MIN($D$948:$D$956))/2)</f>
        <v>0</v>
      </c>
      <c r="AV956">
        <f>IF(COUNT($E$2:$E956)&lt;26,"",(MAX($C$931:$C$956)+MIN($D$931:$D$956))/2)</f>
        <v>0</v>
      </c>
      <c r="AW956">
        <f>IF(OR(AU956="",AV956=""),"",(AU956+AV956)/2)</f>
        <v>0</v>
      </c>
      <c r="AX956">
        <f>IF(COUNT($E$2:$E956)&lt;52,"",(MAX($C$905:$C$956)+MIN($D$905:$D$956))/2)</f>
        <v>0</v>
      </c>
      <c r="AY956">
        <f>IF(COUNT($E$2:$E956)&lt;20,"",MAX($C$857:$C$956))</f>
        <v>0</v>
      </c>
      <c r="AZ956">
        <f>IF(COUNT($E$2:$E956)&lt;20,"",MIN($D$857:$D$956))</f>
        <v>0</v>
      </c>
      <c r="BA956">
        <f>IF(COUNT($E$2:$E956)&lt;20,"",SLOPE($E$857:$E$956,$F$857:$F$956))</f>
        <v>0</v>
      </c>
      <c r="BB956">
        <f>IF(COUNT($E$2:$E956)&lt;20,"",INTERCEPT($E$857:$E$956,$F$857:$F$956))</f>
        <v>0</v>
      </c>
      <c r="BC956">
        <f>IF(OR(BA956="",BB956=""),"",BB956+BA956*F956)</f>
        <v>0</v>
      </c>
      <c r="BD956">
        <f>IF(COUNT($E$2:$E956)&lt;20,"",STEYX($E$857:$E$956,$F$857:$F$956))</f>
        <v>0</v>
      </c>
      <c r="BE956">
        <f>IF($E956="","",IF(AND(COUNT($E$957:$E$960)&gt;=4,$C956=MAX($C$952:$C$960)),$C956,""))</f>
        <v>0</v>
      </c>
      <c r="BF956">
        <f>IF($E956="","",IF(AND(COUNT($E$957:$E$960)&gt;=4,$D956=MIN($D$952:$D$960)),$D956,""))</f>
        <v>0</v>
      </c>
      <c r="BG956">
        <f>IF($A956="","",$A956-WEEKDAY($A956,2)+1)</f>
        <v>0</v>
      </c>
      <c r="BH956">
        <f>IF($A956="","",IF($A955="",1,IF(BG956&lt;&gt;BG955,1,0)))</f>
        <v>0</v>
      </c>
      <c r="BI956">
        <f>IF($A956="","",IF($A957="",1,IF(BG957&lt;&gt;BG956,1,0)))</f>
        <v>0</v>
      </c>
      <c r="BJ956">
        <f>IF($A956="","",IF(BH956=1,$B956,BJ955))</f>
        <v>0</v>
      </c>
      <c r="BK956">
        <f>IF($A956="","",IF(BH956=1,$C956,MAX($C956,BK955)))</f>
        <v>0</v>
      </c>
      <c r="BL956">
        <f>IF($A956="","",IF(BH956=1,$D956,MIN($D956,BL955)))</f>
        <v>0</v>
      </c>
      <c r="BM956">
        <f>IF($A956="","",IF(BI956=1,F956,""))</f>
        <v>0</v>
      </c>
      <c r="BN956">
        <f>IF($A956="","",DATE(YEAR($A956),MONTH($A956),1))</f>
        <v>0</v>
      </c>
      <c r="BO956">
        <f>IF($A956="","",IF($A955="",1,IF(BN956&lt;&gt;BN955,1,0)))</f>
        <v>0</v>
      </c>
      <c r="BP956">
        <f>IF($A956="","",IF($A957="",1,IF(BN957&lt;&gt;BN956,1,0)))</f>
        <v>0</v>
      </c>
      <c r="BQ956">
        <f>IF($A956="","",IF(BO956=1,$B956,BQ955))</f>
        <v>0</v>
      </c>
      <c r="BR956">
        <f>IF($A956="","",IF(BO956=1,$C956,MAX($C956,BR955)))</f>
        <v>0</v>
      </c>
      <c r="BS956">
        <f>IF($A956="","",IF(BO956=1,$D956,MIN($D956,BS955)))</f>
        <v>0</v>
      </c>
      <c r="BT956">
        <f>IF($A956="","",IF(BP956=1,F956,""))</f>
        <v>0</v>
      </c>
    </row>
    <row r="957" spans="1:72">
      <c r="A957" s="27">
        <f>IF(Data!$A957="","",Data!$A957)</f>
        <v>0</v>
      </c>
      <c r="B957">
        <f>IF(Data!$B957="","",Data!$B957)</f>
        <v>0</v>
      </c>
      <c r="C957">
        <f>IF(Data!$C957="","",Data!$C957)</f>
        <v>0</v>
      </c>
      <c r="D957">
        <f>IF(Data!$D957="","",Data!$D957)</f>
        <v>0</v>
      </c>
      <c r="E957">
        <f>IF(Data!$E957="","",Data!$E957)</f>
        <v>0</v>
      </c>
      <c r="F957">
        <f>IF($E957="","",N(F956)+1)</f>
        <v>0</v>
      </c>
      <c r="G957">
        <f>IF(OR($E957="",$E956=""),"",LN($E957/$E956))</f>
        <v>0</v>
      </c>
      <c r="H957">
        <f>IF($E957="","",IF($E956="",$E957,$E957*0.0952380952+H956*0.9047619048))</f>
        <v>0</v>
      </c>
      <c r="I957">
        <f>IF($E957="","",IF($E956="",$E957,$E957*0.0392156863+I956*0.9607843137))</f>
        <v>0</v>
      </c>
      <c r="J957">
        <f>IF($E957="","",IF($E956="",$E957,$E957*0.0198019802+J956*0.9801980198))</f>
        <v>0</v>
      </c>
      <c r="K957">
        <f>IF($E957="","",IF($E956="",$E957,$E957*0.0099502488+K956*0.9900497512))</f>
        <v>0</v>
      </c>
      <c r="L957">
        <f>IF(OR($E957="",$E956=""),"",MAX($E957-$E956,0))</f>
        <v>0</v>
      </c>
      <c r="M957">
        <f>IF(OR($E957="",$E956=""),"",MAX($E956-$E957,0))</f>
        <v>0</v>
      </c>
      <c r="N957">
        <f>IF(COUNT($E$2:$E957)&lt;15,"",IF(AVERAGE($M$944:$M$957)=0,100,100-100/(1+AVERAGE($L$944:$L$957)/AVERAGE($M$944:$M$957))))</f>
        <v>0</v>
      </c>
      <c r="O957">
        <f>IF($E957="","",IF($E956="",$E957,$E957*0.1538461538+O956*0.8461538462))</f>
        <v>0</v>
      </c>
      <c r="P957">
        <f>IF($E957="","",IF($E956="",$E957,$E957*0.0740740741+P956*0.9259259259))</f>
        <v>0</v>
      </c>
      <c r="Q957">
        <f>IF(OR(O957="",P957=""),"",O957-P957)</f>
        <v>0</v>
      </c>
      <c r="R957">
        <f>IF(Q957="","",IF(R956="",Q957,Q957*0.2000000000+R956*0.8000000000))</f>
        <v>0</v>
      </c>
      <c r="S957">
        <f>IF(OR(Q957="",R957=""),"",Q957-R957)</f>
        <v>0</v>
      </c>
      <c r="T957">
        <f>IF(COUNT($E$2:$E957)&lt;14,"",MAX($C$944:$C$957))</f>
        <v>0</v>
      </c>
      <c r="U957">
        <f>IF(COUNT($E$2:$E957)&lt;14,"",MIN($D$944:$D$957))</f>
        <v>0</v>
      </c>
      <c r="V957">
        <f>IF(OR(T957="",U957="",T957=U957),"",100*($E957-U957)/(T957-U957))</f>
        <v>0</v>
      </c>
      <c r="W957">
        <f>IF(COUNT($V$955:$V$957)&lt;3,"",AVERAGE($V$955:$V$957))</f>
        <v>0</v>
      </c>
      <c r="X957">
        <f>IF(COUNT($N$944:$N$957)&lt;14,"",MIN($N$944:$N$957))</f>
        <v>0</v>
      </c>
      <c r="Y957">
        <f>IF(COUNT($N$944:$N$957)&lt;14,"",MAX($N$944:$N$957))</f>
        <v>0</v>
      </c>
      <c r="Z957">
        <f>IF(OR(N957="",X957="",Y957="",Y957=X957),"",100*(N957-X957)/(Y957-X957))</f>
        <v>0</v>
      </c>
      <c r="AA957">
        <f>IF(COUNT($Z$955:$Z$957)&lt;3,"",AVERAGE($Z$955:$Z$957))</f>
        <v>0</v>
      </c>
      <c r="AB957">
        <f>IF(COUNT($AA$955:$AA$957)&lt;3,"",AVERAGE($AA$955:$AA$957))</f>
        <v>0</v>
      </c>
      <c r="AC957">
        <f>IF($E957="","",MAX($C957-$D957,ABS($C957-$E956),ABS($D957-$E956)))</f>
        <v>0</v>
      </c>
      <c r="AD957">
        <f>IF(COUNT($E$2:$E957)&lt;15,"",AVERAGE($AC$944:$AC$957))</f>
        <v>0</v>
      </c>
      <c r="AE957">
        <f>IF(OR($E957="",$E956=""),"",IF(AND(($C957-$C956)&gt;($D956-$D957),($C957-$C956)&gt;0),$C957-$C956,0))</f>
        <v>0</v>
      </c>
      <c r="AF957">
        <f>IF(OR($E957="",$E956=""),"",IF(AND(($D956-$D957)&gt;($C957-$C956),($D956-$D957)&gt;0),$D956-$D957,0))</f>
        <v>0</v>
      </c>
      <c r="AG957">
        <f>IF(COUNT($E$2:$E957)&lt;15,"",IF(SUM($AC$944:$AC$957)=0,0,100*SUM($AE$944:$AE$957)/SUM($AC$944:$AC$957)))</f>
        <v>0</v>
      </c>
      <c r="AH957">
        <f>IF(COUNT($E$2:$E957)&lt;15,"",IF(SUM($AC$944:$AC$957)=0,0,100*SUM($AF$944:$AF$957)/SUM($AC$944:$AC$957)))</f>
        <v>0</v>
      </c>
      <c r="AI957">
        <f>IF(OR(AG957="",AH957=""),"",IF((AG957+AH957)=0,0,100*ABS(AG957-AH957)/(AG957+AH957)))</f>
        <v>0</v>
      </c>
      <c r="AJ957">
        <f>IF(COUNT($AI$944:$AI$957)&lt;14,"",AVERAGE($AI$944:$AI$957))</f>
        <v>0</v>
      </c>
      <c r="AK957">
        <f>IF(COUNT($E$2:$E957)&lt;20,"",AVERAGE($E$938:$E$957))</f>
        <v>0</v>
      </c>
      <c r="AL957">
        <f>IF(COUNT($E$2:$E957)&lt;20,"",STDEVP($E$938:$E$957))</f>
        <v>0</v>
      </c>
      <c r="AM957">
        <f>IF(AK957="","",AK957+2*AL957)</f>
        <v>0</v>
      </c>
      <c r="AN957">
        <f>IF(AK957="","",AK957-2*AL957)</f>
        <v>0</v>
      </c>
      <c r="AO957">
        <f>IF(OR(AM957="",AN957="",AM957=AN957),"",($E957-AN957)/(AM957-AN957))</f>
        <v>0</v>
      </c>
      <c r="AP957">
        <f>IF(OR(AM957="",AK957="",AK957=0),"",(AM957-AN957)/AK957)</f>
        <v>0</v>
      </c>
      <c r="AQ957">
        <f>IF(COUNT($E$2:$E957)&lt;20,"",MAX($C$938:$C$957))</f>
        <v>0</v>
      </c>
      <c r="AR957">
        <f>IF(COUNT($E$2:$E957)&lt;20,"",MIN($D$938:$D$957))</f>
        <v>0</v>
      </c>
      <c r="AS957">
        <f>IF(OR(AQ957="",AR957=""),"",(AQ957+AR957)/2)</f>
        <v>0</v>
      </c>
      <c r="AT957">
        <f>IF(COUNT($G$938:$G$957)&lt;20,"",STDEV($G$938:$G$957)*SQRT(252))</f>
        <v>0</v>
      </c>
      <c r="AU957">
        <f>IF(COUNT($E$2:$E957)&lt;9,"",(MAX($C$949:$C$957)+MIN($D$949:$D$957))/2)</f>
        <v>0</v>
      </c>
      <c r="AV957">
        <f>IF(COUNT($E$2:$E957)&lt;26,"",(MAX($C$932:$C$957)+MIN($D$932:$D$957))/2)</f>
        <v>0</v>
      </c>
      <c r="AW957">
        <f>IF(OR(AU957="",AV957=""),"",(AU957+AV957)/2)</f>
        <v>0</v>
      </c>
      <c r="AX957">
        <f>IF(COUNT($E$2:$E957)&lt;52,"",(MAX($C$906:$C$957)+MIN($D$906:$D$957))/2)</f>
        <v>0</v>
      </c>
      <c r="AY957">
        <f>IF(COUNT($E$2:$E957)&lt;20,"",MAX($C$858:$C$957))</f>
        <v>0</v>
      </c>
      <c r="AZ957">
        <f>IF(COUNT($E$2:$E957)&lt;20,"",MIN($D$858:$D$957))</f>
        <v>0</v>
      </c>
      <c r="BA957">
        <f>IF(COUNT($E$2:$E957)&lt;20,"",SLOPE($E$858:$E$957,$F$858:$F$957))</f>
        <v>0</v>
      </c>
      <c r="BB957">
        <f>IF(COUNT($E$2:$E957)&lt;20,"",INTERCEPT($E$858:$E$957,$F$858:$F$957))</f>
        <v>0</v>
      </c>
      <c r="BC957">
        <f>IF(OR(BA957="",BB957=""),"",BB957+BA957*F957)</f>
        <v>0</v>
      </c>
      <c r="BD957">
        <f>IF(COUNT($E$2:$E957)&lt;20,"",STEYX($E$858:$E$957,$F$858:$F$957))</f>
        <v>0</v>
      </c>
      <c r="BE957">
        <f>IF($E957="","",IF(AND(COUNT($E$958:$E$961)&gt;=4,$C957=MAX($C$953:$C$961)),$C957,""))</f>
        <v>0</v>
      </c>
      <c r="BF957">
        <f>IF($E957="","",IF(AND(COUNT($E$958:$E$961)&gt;=4,$D957=MIN($D$953:$D$961)),$D957,""))</f>
        <v>0</v>
      </c>
      <c r="BG957">
        <f>IF($A957="","",$A957-WEEKDAY($A957,2)+1)</f>
        <v>0</v>
      </c>
      <c r="BH957">
        <f>IF($A957="","",IF($A956="",1,IF(BG957&lt;&gt;BG956,1,0)))</f>
        <v>0</v>
      </c>
      <c r="BI957">
        <f>IF($A957="","",IF($A958="",1,IF(BG958&lt;&gt;BG957,1,0)))</f>
        <v>0</v>
      </c>
      <c r="BJ957">
        <f>IF($A957="","",IF(BH957=1,$B957,BJ956))</f>
        <v>0</v>
      </c>
      <c r="BK957">
        <f>IF($A957="","",IF(BH957=1,$C957,MAX($C957,BK956)))</f>
        <v>0</v>
      </c>
      <c r="BL957">
        <f>IF($A957="","",IF(BH957=1,$D957,MIN($D957,BL956)))</f>
        <v>0</v>
      </c>
      <c r="BM957">
        <f>IF($A957="","",IF(BI957=1,F957,""))</f>
        <v>0</v>
      </c>
      <c r="BN957">
        <f>IF($A957="","",DATE(YEAR($A957),MONTH($A957),1))</f>
        <v>0</v>
      </c>
      <c r="BO957">
        <f>IF($A957="","",IF($A956="",1,IF(BN957&lt;&gt;BN956,1,0)))</f>
        <v>0</v>
      </c>
      <c r="BP957">
        <f>IF($A957="","",IF($A958="",1,IF(BN958&lt;&gt;BN957,1,0)))</f>
        <v>0</v>
      </c>
      <c r="BQ957">
        <f>IF($A957="","",IF(BO957=1,$B957,BQ956))</f>
        <v>0</v>
      </c>
      <c r="BR957">
        <f>IF($A957="","",IF(BO957=1,$C957,MAX($C957,BR956)))</f>
        <v>0</v>
      </c>
      <c r="BS957">
        <f>IF($A957="","",IF(BO957=1,$D957,MIN($D957,BS956)))</f>
        <v>0</v>
      </c>
      <c r="BT957">
        <f>IF($A957="","",IF(BP957=1,F957,""))</f>
        <v>0</v>
      </c>
    </row>
    <row r="958" spans="1:72">
      <c r="A958" s="27">
        <f>IF(Data!$A958="","",Data!$A958)</f>
        <v>0</v>
      </c>
      <c r="B958">
        <f>IF(Data!$B958="","",Data!$B958)</f>
        <v>0</v>
      </c>
      <c r="C958">
        <f>IF(Data!$C958="","",Data!$C958)</f>
        <v>0</v>
      </c>
      <c r="D958">
        <f>IF(Data!$D958="","",Data!$D958)</f>
        <v>0</v>
      </c>
      <c r="E958">
        <f>IF(Data!$E958="","",Data!$E958)</f>
        <v>0</v>
      </c>
      <c r="F958">
        <f>IF($E958="","",N(F957)+1)</f>
        <v>0</v>
      </c>
      <c r="G958">
        <f>IF(OR($E958="",$E957=""),"",LN($E958/$E957))</f>
        <v>0</v>
      </c>
      <c r="H958">
        <f>IF($E958="","",IF($E957="",$E958,$E958*0.0952380952+H957*0.9047619048))</f>
        <v>0</v>
      </c>
      <c r="I958">
        <f>IF($E958="","",IF($E957="",$E958,$E958*0.0392156863+I957*0.9607843137))</f>
        <v>0</v>
      </c>
      <c r="J958">
        <f>IF($E958="","",IF($E957="",$E958,$E958*0.0198019802+J957*0.9801980198))</f>
        <v>0</v>
      </c>
      <c r="K958">
        <f>IF($E958="","",IF($E957="",$E958,$E958*0.0099502488+K957*0.9900497512))</f>
        <v>0</v>
      </c>
      <c r="L958">
        <f>IF(OR($E958="",$E957=""),"",MAX($E958-$E957,0))</f>
        <v>0</v>
      </c>
      <c r="M958">
        <f>IF(OR($E958="",$E957=""),"",MAX($E957-$E958,0))</f>
        <v>0</v>
      </c>
      <c r="N958">
        <f>IF(COUNT($E$2:$E958)&lt;15,"",IF(AVERAGE($M$945:$M$958)=0,100,100-100/(1+AVERAGE($L$945:$L$958)/AVERAGE($M$945:$M$958))))</f>
        <v>0</v>
      </c>
      <c r="O958">
        <f>IF($E958="","",IF($E957="",$E958,$E958*0.1538461538+O957*0.8461538462))</f>
        <v>0</v>
      </c>
      <c r="P958">
        <f>IF($E958="","",IF($E957="",$E958,$E958*0.0740740741+P957*0.9259259259))</f>
        <v>0</v>
      </c>
      <c r="Q958">
        <f>IF(OR(O958="",P958=""),"",O958-P958)</f>
        <v>0</v>
      </c>
      <c r="R958">
        <f>IF(Q958="","",IF(R957="",Q958,Q958*0.2000000000+R957*0.8000000000))</f>
        <v>0</v>
      </c>
      <c r="S958">
        <f>IF(OR(Q958="",R958=""),"",Q958-R958)</f>
        <v>0</v>
      </c>
      <c r="T958">
        <f>IF(COUNT($E$2:$E958)&lt;14,"",MAX($C$945:$C$958))</f>
        <v>0</v>
      </c>
      <c r="U958">
        <f>IF(COUNT($E$2:$E958)&lt;14,"",MIN($D$945:$D$958))</f>
        <v>0</v>
      </c>
      <c r="V958">
        <f>IF(OR(T958="",U958="",T958=U958),"",100*($E958-U958)/(T958-U958))</f>
        <v>0</v>
      </c>
      <c r="W958">
        <f>IF(COUNT($V$956:$V$958)&lt;3,"",AVERAGE($V$956:$V$958))</f>
        <v>0</v>
      </c>
      <c r="X958">
        <f>IF(COUNT($N$945:$N$958)&lt;14,"",MIN($N$945:$N$958))</f>
        <v>0</v>
      </c>
      <c r="Y958">
        <f>IF(COUNT($N$945:$N$958)&lt;14,"",MAX($N$945:$N$958))</f>
        <v>0</v>
      </c>
      <c r="Z958">
        <f>IF(OR(N958="",X958="",Y958="",Y958=X958),"",100*(N958-X958)/(Y958-X958))</f>
        <v>0</v>
      </c>
      <c r="AA958">
        <f>IF(COUNT($Z$956:$Z$958)&lt;3,"",AVERAGE($Z$956:$Z$958))</f>
        <v>0</v>
      </c>
      <c r="AB958">
        <f>IF(COUNT($AA$956:$AA$958)&lt;3,"",AVERAGE($AA$956:$AA$958))</f>
        <v>0</v>
      </c>
      <c r="AC958">
        <f>IF($E958="","",MAX($C958-$D958,ABS($C958-$E957),ABS($D958-$E957)))</f>
        <v>0</v>
      </c>
      <c r="AD958">
        <f>IF(COUNT($E$2:$E958)&lt;15,"",AVERAGE($AC$945:$AC$958))</f>
        <v>0</v>
      </c>
      <c r="AE958">
        <f>IF(OR($E958="",$E957=""),"",IF(AND(($C958-$C957)&gt;($D957-$D958),($C958-$C957)&gt;0),$C958-$C957,0))</f>
        <v>0</v>
      </c>
      <c r="AF958">
        <f>IF(OR($E958="",$E957=""),"",IF(AND(($D957-$D958)&gt;($C958-$C957),($D957-$D958)&gt;0),$D957-$D958,0))</f>
        <v>0</v>
      </c>
      <c r="AG958">
        <f>IF(COUNT($E$2:$E958)&lt;15,"",IF(SUM($AC$945:$AC$958)=0,0,100*SUM($AE$945:$AE$958)/SUM($AC$945:$AC$958)))</f>
        <v>0</v>
      </c>
      <c r="AH958">
        <f>IF(COUNT($E$2:$E958)&lt;15,"",IF(SUM($AC$945:$AC$958)=0,0,100*SUM($AF$945:$AF$958)/SUM($AC$945:$AC$958)))</f>
        <v>0</v>
      </c>
      <c r="AI958">
        <f>IF(OR(AG958="",AH958=""),"",IF((AG958+AH958)=0,0,100*ABS(AG958-AH958)/(AG958+AH958)))</f>
        <v>0</v>
      </c>
      <c r="AJ958">
        <f>IF(COUNT($AI$945:$AI$958)&lt;14,"",AVERAGE($AI$945:$AI$958))</f>
        <v>0</v>
      </c>
      <c r="AK958">
        <f>IF(COUNT($E$2:$E958)&lt;20,"",AVERAGE($E$939:$E$958))</f>
        <v>0</v>
      </c>
      <c r="AL958">
        <f>IF(COUNT($E$2:$E958)&lt;20,"",STDEVP($E$939:$E$958))</f>
        <v>0</v>
      </c>
      <c r="AM958">
        <f>IF(AK958="","",AK958+2*AL958)</f>
        <v>0</v>
      </c>
      <c r="AN958">
        <f>IF(AK958="","",AK958-2*AL958)</f>
        <v>0</v>
      </c>
      <c r="AO958">
        <f>IF(OR(AM958="",AN958="",AM958=AN958),"",($E958-AN958)/(AM958-AN958))</f>
        <v>0</v>
      </c>
      <c r="AP958">
        <f>IF(OR(AM958="",AK958="",AK958=0),"",(AM958-AN958)/AK958)</f>
        <v>0</v>
      </c>
      <c r="AQ958">
        <f>IF(COUNT($E$2:$E958)&lt;20,"",MAX($C$939:$C$958))</f>
        <v>0</v>
      </c>
      <c r="AR958">
        <f>IF(COUNT($E$2:$E958)&lt;20,"",MIN($D$939:$D$958))</f>
        <v>0</v>
      </c>
      <c r="AS958">
        <f>IF(OR(AQ958="",AR958=""),"",(AQ958+AR958)/2)</f>
        <v>0</v>
      </c>
      <c r="AT958">
        <f>IF(COUNT($G$939:$G$958)&lt;20,"",STDEV($G$939:$G$958)*SQRT(252))</f>
        <v>0</v>
      </c>
      <c r="AU958">
        <f>IF(COUNT($E$2:$E958)&lt;9,"",(MAX($C$950:$C$958)+MIN($D$950:$D$958))/2)</f>
        <v>0</v>
      </c>
      <c r="AV958">
        <f>IF(COUNT($E$2:$E958)&lt;26,"",(MAX($C$933:$C$958)+MIN($D$933:$D$958))/2)</f>
        <v>0</v>
      </c>
      <c r="AW958">
        <f>IF(OR(AU958="",AV958=""),"",(AU958+AV958)/2)</f>
        <v>0</v>
      </c>
      <c r="AX958">
        <f>IF(COUNT($E$2:$E958)&lt;52,"",(MAX($C$907:$C$958)+MIN($D$907:$D$958))/2)</f>
        <v>0</v>
      </c>
      <c r="AY958">
        <f>IF(COUNT($E$2:$E958)&lt;20,"",MAX($C$859:$C$958))</f>
        <v>0</v>
      </c>
      <c r="AZ958">
        <f>IF(COUNT($E$2:$E958)&lt;20,"",MIN($D$859:$D$958))</f>
        <v>0</v>
      </c>
      <c r="BA958">
        <f>IF(COUNT($E$2:$E958)&lt;20,"",SLOPE($E$859:$E$958,$F$859:$F$958))</f>
        <v>0</v>
      </c>
      <c r="BB958">
        <f>IF(COUNT($E$2:$E958)&lt;20,"",INTERCEPT($E$859:$E$958,$F$859:$F$958))</f>
        <v>0</v>
      </c>
      <c r="BC958">
        <f>IF(OR(BA958="",BB958=""),"",BB958+BA958*F958)</f>
        <v>0</v>
      </c>
      <c r="BD958">
        <f>IF(COUNT($E$2:$E958)&lt;20,"",STEYX($E$859:$E$958,$F$859:$F$958))</f>
        <v>0</v>
      </c>
      <c r="BE958">
        <f>IF($E958="","",IF(AND(COUNT($E$959:$E$962)&gt;=4,$C958=MAX($C$954:$C$962)),$C958,""))</f>
        <v>0</v>
      </c>
      <c r="BF958">
        <f>IF($E958="","",IF(AND(COUNT($E$959:$E$962)&gt;=4,$D958=MIN($D$954:$D$962)),$D958,""))</f>
        <v>0</v>
      </c>
      <c r="BG958">
        <f>IF($A958="","",$A958-WEEKDAY($A958,2)+1)</f>
        <v>0</v>
      </c>
      <c r="BH958">
        <f>IF($A958="","",IF($A957="",1,IF(BG958&lt;&gt;BG957,1,0)))</f>
        <v>0</v>
      </c>
      <c r="BI958">
        <f>IF($A958="","",IF($A959="",1,IF(BG959&lt;&gt;BG958,1,0)))</f>
        <v>0</v>
      </c>
      <c r="BJ958">
        <f>IF($A958="","",IF(BH958=1,$B958,BJ957))</f>
        <v>0</v>
      </c>
      <c r="BK958">
        <f>IF($A958="","",IF(BH958=1,$C958,MAX($C958,BK957)))</f>
        <v>0</v>
      </c>
      <c r="BL958">
        <f>IF($A958="","",IF(BH958=1,$D958,MIN($D958,BL957)))</f>
        <v>0</v>
      </c>
      <c r="BM958">
        <f>IF($A958="","",IF(BI958=1,F958,""))</f>
        <v>0</v>
      </c>
      <c r="BN958">
        <f>IF($A958="","",DATE(YEAR($A958),MONTH($A958),1))</f>
        <v>0</v>
      </c>
      <c r="BO958">
        <f>IF($A958="","",IF($A957="",1,IF(BN958&lt;&gt;BN957,1,0)))</f>
        <v>0</v>
      </c>
      <c r="BP958">
        <f>IF($A958="","",IF($A959="",1,IF(BN959&lt;&gt;BN958,1,0)))</f>
        <v>0</v>
      </c>
      <c r="BQ958">
        <f>IF($A958="","",IF(BO958=1,$B958,BQ957))</f>
        <v>0</v>
      </c>
      <c r="BR958">
        <f>IF($A958="","",IF(BO958=1,$C958,MAX($C958,BR957)))</f>
        <v>0</v>
      </c>
      <c r="BS958">
        <f>IF($A958="","",IF(BO958=1,$D958,MIN($D958,BS957)))</f>
        <v>0</v>
      </c>
      <c r="BT958">
        <f>IF($A958="","",IF(BP958=1,F958,""))</f>
        <v>0</v>
      </c>
    </row>
    <row r="959" spans="1:72">
      <c r="A959" s="27">
        <f>IF(Data!$A959="","",Data!$A959)</f>
        <v>0</v>
      </c>
      <c r="B959">
        <f>IF(Data!$B959="","",Data!$B959)</f>
        <v>0</v>
      </c>
      <c r="C959">
        <f>IF(Data!$C959="","",Data!$C959)</f>
        <v>0</v>
      </c>
      <c r="D959">
        <f>IF(Data!$D959="","",Data!$D959)</f>
        <v>0</v>
      </c>
      <c r="E959">
        <f>IF(Data!$E959="","",Data!$E959)</f>
        <v>0</v>
      </c>
      <c r="F959">
        <f>IF($E959="","",N(F958)+1)</f>
        <v>0</v>
      </c>
      <c r="G959">
        <f>IF(OR($E959="",$E958=""),"",LN($E959/$E958))</f>
        <v>0</v>
      </c>
      <c r="H959">
        <f>IF($E959="","",IF($E958="",$E959,$E959*0.0952380952+H958*0.9047619048))</f>
        <v>0</v>
      </c>
      <c r="I959">
        <f>IF($E959="","",IF($E958="",$E959,$E959*0.0392156863+I958*0.9607843137))</f>
        <v>0</v>
      </c>
      <c r="J959">
        <f>IF($E959="","",IF($E958="",$E959,$E959*0.0198019802+J958*0.9801980198))</f>
        <v>0</v>
      </c>
      <c r="K959">
        <f>IF($E959="","",IF($E958="",$E959,$E959*0.0099502488+K958*0.9900497512))</f>
        <v>0</v>
      </c>
      <c r="L959">
        <f>IF(OR($E959="",$E958=""),"",MAX($E959-$E958,0))</f>
        <v>0</v>
      </c>
      <c r="M959">
        <f>IF(OR($E959="",$E958=""),"",MAX($E958-$E959,0))</f>
        <v>0</v>
      </c>
      <c r="N959">
        <f>IF(COUNT($E$2:$E959)&lt;15,"",IF(AVERAGE($M$946:$M$959)=0,100,100-100/(1+AVERAGE($L$946:$L$959)/AVERAGE($M$946:$M$959))))</f>
        <v>0</v>
      </c>
      <c r="O959">
        <f>IF($E959="","",IF($E958="",$E959,$E959*0.1538461538+O958*0.8461538462))</f>
        <v>0</v>
      </c>
      <c r="P959">
        <f>IF($E959="","",IF($E958="",$E959,$E959*0.0740740741+P958*0.9259259259))</f>
        <v>0</v>
      </c>
      <c r="Q959">
        <f>IF(OR(O959="",P959=""),"",O959-P959)</f>
        <v>0</v>
      </c>
      <c r="R959">
        <f>IF(Q959="","",IF(R958="",Q959,Q959*0.2000000000+R958*0.8000000000))</f>
        <v>0</v>
      </c>
      <c r="S959">
        <f>IF(OR(Q959="",R959=""),"",Q959-R959)</f>
        <v>0</v>
      </c>
      <c r="T959">
        <f>IF(COUNT($E$2:$E959)&lt;14,"",MAX($C$946:$C$959))</f>
        <v>0</v>
      </c>
      <c r="U959">
        <f>IF(COUNT($E$2:$E959)&lt;14,"",MIN($D$946:$D$959))</f>
        <v>0</v>
      </c>
      <c r="V959">
        <f>IF(OR(T959="",U959="",T959=U959),"",100*($E959-U959)/(T959-U959))</f>
        <v>0</v>
      </c>
      <c r="W959">
        <f>IF(COUNT($V$957:$V$959)&lt;3,"",AVERAGE($V$957:$V$959))</f>
        <v>0</v>
      </c>
      <c r="X959">
        <f>IF(COUNT($N$946:$N$959)&lt;14,"",MIN($N$946:$N$959))</f>
        <v>0</v>
      </c>
      <c r="Y959">
        <f>IF(COUNT($N$946:$N$959)&lt;14,"",MAX($N$946:$N$959))</f>
        <v>0</v>
      </c>
      <c r="Z959">
        <f>IF(OR(N959="",X959="",Y959="",Y959=X959),"",100*(N959-X959)/(Y959-X959))</f>
        <v>0</v>
      </c>
      <c r="AA959">
        <f>IF(COUNT($Z$957:$Z$959)&lt;3,"",AVERAGE($Z$957:$Z$959))</f>
        <v>0</v>
      </c>
      <c r="AB959">
        <f>IF(COUNT($AA$957:$AA$959)&lt;3,"",AVERAGE($AA$957:$AA$959))</f>
        <v>0</v>
      </c>
      <c r="AC959">
        <f>IF($E959="","",MAX($C959-$D959,ABS($C959-$E958),ABS($D959-$E958)))</f>
        <v>0</v>
      </c>
      <c r="AD959">
        <f>IF(COUNT($E$2:$E959)&lt;15,"",AVERAGE($AC$946:$AC$959))</f>
        <v>0</v>
      </c>
      <c r="AE959">
        <f>IF(OR($E959="",$E958=""),"",IF(AND(($C959-$C958)&gt;($D958-$D959),($C959-$C958)&gt;0),$C959-$C958,0))</f>
        <v>0</v>
      </c>
      <c r="AF959">
        <f>IF(OR($E959="",$E958=""),"",IF(AND(($D958-$D959)&gt;($C959-$C958),($D958-$D959)&gt;0),$D958-$D959,0))</f>
        <v>0</v>
      </c>
      <c r="AG959">
        <f>IF(COUNT($E$2:$E959)&lt;15,"",IF(SUM($AC$946:$AC$959)=0,0,100*SUM($AE$946:$AE$959)/SUM($AC$946:$AC$959)))</f>
        <v>0</v>
      </c>
      <c r="AH959">
        <f>IF(COUNT($E$2:$E959)&lt;15,"",IF(SUM($AC$946:$AC$959)=0,0,100*SUM($AF$946:$AF$959)/SUM($AC$946:$AC$959)))</f>
        <v>0</v>
      </c>
      <c r="AI959">
        <f>IF(OR(AG959="",AH959=""),"",IF((AG959+AH959)=0,0,100*ABS(AG959-AH959)/(AG959+AH959)))</f>
        <v>0</v>
      </c>
      <c r="AJ959">
        <f>IF(COUNT($AI$946:$AI$959)&lt;14,"",AVERAGE($AI$946:$AI$959))</f>
        <v>0</v>
      </c>
      <c r="AK959">
        <f>IF(COUNT($E$2:$E959)&lt;20,"",AVERAGE($E$940:$E$959))</f>
        <v>0</v>
      </c>
      <c r="AL959">
        <f>IF(COUNT($E$2:$E959)&lt;20,"",STDEVP($E$940:$E$959))</f>
        <v>0</v>
      </c>
      <c r="AM959">
        <f>IF(AK959="","",AK959+2*AL959)</f>
        <v>0</v>
      </c>
      <c r="AN959">
        <f>IF(AK959="","",AK959-2*AL959)</f>
        <v>0</v>
      </c>
      <c r="AO959">
        <f>IF(OR(AM959="",AN959="",AM959=AN959),"",($E959-AN959)/(AM959-AN959))</f>
        <v>0</v>
      </c>
      <c r="AP959">
        <f>IF(OR(AM959="",AK959="",AK959=0),"",(AM959-AN959)/AK959)</f>
        <v>0</v>
      </c>
      <c r="AQ959">
        <f>IF(COUNT($E$2:$E959)&lt;20,"",MAX($C$940:$C$959))</f>
        <v>0</v>
      </c>
      <c r="AR959">
        <f>IF(COUNT($E$2:$E959)&lt;20,"",MIN($D$940:$D$959))</f>
        <v>0</v>
      </c>
      <c r="AS959">
        <f>IF(OR(AQ959="",AR959=""),"",(AQ959+AR959)/2)</f>
        <v>0</v>
      </c>
      <c r="AT959">
        <f>IF(COUNT($G$940:$G$959)&lt;20,"",STDEV($G$940:$G$959)*SQRT(252))</f>
        <v>0</v>
      </c>
      <c r="AU959">
        <f>IF(COUNT($E$2:$E959)&lt;9,"",(MAX($C$951:$C$959)+MIN($D$951:$D$959))/2)</f>
        <v>0</v>
      </c>
      <c r="AV959">
        <f>IF(COUNT($E$2:$E959)&lt;26,"",(MAX($C$934:$C$959)+MIN($D$934:$D$959))/2)</f>
        <v>0</v>
      </c>
      <c r="AW959">
        <f>IF(OR(AU959="",AV959=""),"",(AU959+AV959)/2)</f>
        <v>0</v>
      </c>
      <c r="AX959">
        <f>IF(COUNT($E$2:$E959)&lt;52,"",(MAX($C$908:$C$959)+MIN($D$908:$D$959))/2)</f>
        <v>0</v>
      </c>
      <c r="AY959">
        <f>IF(COUNT($E$2:$E959)&lt;20,"",MAX($C$860:$C$959))</f>
        <v>0</v>
      </c>
      <c r="AZ959">
        <f>IF(COUNT($E$2:$E959)&lt;20,"",MIN($D$860:$D$959))</f>
        <v>0</v>
      </c>
      <c r="BA959">
        <f>IF(COUNT($E$2:$E959)&lt;20,"",SLOPE($E$860:$E$959,$F$860:$F$959))</f>
        <v>0</v>
      </c>
      <c r="BB959">
        <f>IF(COUNT($E$2:$E959)&lt;20,"",INTERCEPT($E$860:$E$959,$F$860:$F$959))</f>
        <v>0</v>
      </c>
      <c r="BC959">
        <f>IF(OR(BA959="",BB959=""),"",BB959+BA959*F959)</f>
        <v>0</v>
      </c>
      <c r="BD959">
        <f>IF(COUNT($E$2:$E959)&lt;20,"",STEYX($E$860:$E$959,$F$860:$F$959))</f>
        <v>0</v>
      </c>
      <c r="BE959">
        <f>IF($E959="","",IF(AND(COUNT($E$960:$E$963)&gt;=4,$C959=MAX($C$955:$C$963)),$C959,""))</f>
        <v>0</v>
      </c>
      <c r="BF959">
        <f>IF($E959="","",IF(AND(COUNT($E$960:$E$963)&gt;=4,$D959=MIN($D$955:$D$963)),$D959,""))</f>
        <v>0</v>
      </c>
      <c r="BG959">
        <f>IF($A959="","",$A959-WEEKDAY($A959,2)+1)</f>
        <v>0</v>
      </c>
      <c r="BH959">
        <f>IF($A959="","",IF($A958="",1,IF(BG959&lt;&gt;BG958,1,0)))</f>
        <v>0</v>
      </c>
      <c r="BI959">
        <f>IF($A959="","",IF($A960="",1,IF(BG960&lt;&gt;BG959,1,0)))</f>
        <v>0</v>
      </c>
      <c r="BJ959">
        <f>IF($A959="","",IF(BH959=1,$B959,BJ958))</f>
        <v>0</v>
      </c>
      <c r="BK959">
        <f>IF($A959="","",IF(BH959=1,$C959,MAX($C959,BK958)))</f>
        <v>0</v>
      </c>
      <c r="BL959">
        <f>IF($A959="","",IF(BH959=1,$D959,MIN($D959,BL958)))</f>
        <v>0</v>
      </c>
      <c r="BM959">
        <f>IF($A959="","",IF(BI959=1,F959,""))</f>
        <v>0</v>
      </c>
      <c r="BN959">
        <f>IF($A959="","",DATE(YEAR($A959),MONTH($A959),1))</f>
        <v>0</v>
      </c>
      <c r="BO959">
        <f>IF($A959="","",IF($A958="",1,IF(BN959&lt;&gt;BN958,1,0)))</f>
        <v>0</v>
      </c>
      <c r="BP959">
        <f>IF($A959="","",IF($A960="",1,IF(BN960&lt;&gt;BN959,1,0)))</f>
        <v>0</v>
      </c>
      <c r="BQ959">
        <f>IF($A959="","",IF(BO959=1,$B959,BQ958))</f>
        <v>0</v>
      </c>
      <c r="BR959">
        <f>IF($A959="","",IF(BO959=1,$C959,MAX($C959,BR958)))</f>
        <v>0</v>
      </c>
      <c r="BS959">
        <f>IF($A959="","",IF(BO959=1,$D959,MIN($D959,BS958)))</f>
        <v>0</v>
      </c>
      <c r="BT959">
        <f>IF($A959="","",IF(BP959=1,F959,""))</f>
        <v>0</v>
      </c>
    </row>
    <row r="960" spans="1:72">
      <c r="A960" s="27">
        <f>IF(Data!$A960="","",Data!$A960)</f>
        <v>0</v>
      </c>
      <c r="B960">
        <f>IF(Data!$B960="","",Data!$B960)</f>
        <v>0</v>
      </c>
      <c r="C960">
        <f>IF(Data!$C960="","",Data!$C960)</f>
        <v>0</v>
      </c>
      <c r="D960">
        <f>IF(Data!$D960="","",Data!$D960)</f>
        <v>0</v>
      </c>
      <c r="E960">
        <f>IF(Data!$E960="","",Data!$E960)</f>
        <v>0</v>
      </c>
      <c r="F960">
        <f>IF($E960="","",N(F959)+1)</f>
        <v>0</v>
      </c>
      <c r="G960">
        <f>IF(OR($E960="",$E959=""),"",LN($E960/$E959))</f>
        <v>0</v>
      </c>
      <c r="H960">
        <f>IF($E960="","",IF($E959="",$E960,$E960*0.0952380952+H959*0.9047619048))</f>
        <v>0</v>
      </c>
      <c r="I960">
        <f>IF($E960="","",IF($E959="",$E960,$E960*0.0392156863+I959*0.9607843137))</f>
        <v>0</v>
      </c>
      <c r="J960">
        <f>IF($E960="","",IF($E959="",$E960,$E960*0.0198019802+J959*0.9801980198))</f>
        <v>0</v>
      </c>
      <c r="K960">
        <f>IF($E960="","",IF($E959="",$E960,$E960*0.0099502488+K959*0.9900497512))</f>
        <v>0</v>
      </c>
      <c r="L960">
        <f>IF(OR($E960="",$E959=""),"",MAX($E960-$E959,0))</f>
        <v>0</v>
      </c>
      <c r="M960">
        <f>IF(OR($E960="",$E959=""),"",MAX($E959-$E960,0))</f>
        <v>0</v>
      </c>
      <c r="N960">
        <f>IF(COUNT($E$2:$E960)&lt;15,"",IF(AVERAGE($M$947:$M$960)=0,100,100-100/(1+AVERAGE($L$947:$L$960)/AVERAGE($M$947:$M$960))))</f>
        <v>0</v>
      </c>
      <c r="O960">
        <f>IF($E960="","",IF($E959="",$E960,$E960*0.1538461538+O959*0.8461538462))</f>
        <v>0</v>
      </c>
      <c r="P960">
        <f>IF($E960="","",IF($E959="",$E960,$E960*0.0740740741+P959*0.9259259259))</f>
        <v>0</v>
      </c>
      <c r="Q960">
        <f>IF(OR(O960="",P960=""),"",O960-P960)</f>
        <v>0</v>
      </c>
      <c r="R960">
        <f>IF(Q960="","",IF(R959="",Q960,Q960*0.2000000000+R959*0.8000000000))</f>
        <v>0</v>
      </c>
      <c r="S960">
        <f>IF(OR(Q960="",R960=""),"",Q960-R960)</f>
        <v>0</v>
      </c>
      <c r="T960">
        <f>IF(COUNT($E$2:$E960)&lt;14,"",MAX($C$947:$C$960))</f>
        <v>0</v>
      </c>
      <c r="U960">
        <f>IF(COUNT($E$2:$E960)&lt;14,"",MIN($D$947:$D$960))</f>
        <v>0</v>
      </c>
      <c r="V960">
        <f>IF(OR(T960="",U960="",T960=U960),"",100*($E960-U960)/(T960-U960))</f>
        <v>0</v>
      </c>
      <c r="W960">
        <f>IF(COUNT($V$958:$V$960)&lt;3,"",AVERAGE($V$958:$V$960))</f>
        <v>0</v>
      </c>
      <c r="X960">
        <f>IF(COUNT($N$947:$N$960)&lt;14,"",MIN($N$947:$N$960))</f>
        <v>0</v>
      </c>
      <c r="Y960">
        <f>IF(COUNT($N$947:$N$960)&lt;14,"",MAX($N$947:$N$960))</f>
        <v>0</v>
      </c>
      <c r="Z960">
        <f>IF(OR(N960="",X960="",Y960="",Y960=X960),"",100*(N960-X960)/(Y960-X960))</f>
        <v>0</v>
      </c>
      <c r="AA960">
        <f>IF(COUNT($Z$958:$Z$960)&lt;3,"",AVERAGE($Z$958:$Z$960))</f>
        <v>0</v>
      </c>
      <c r="AB960">
        <f>IF(COUNT($AA$958:$AA$960)&lt;3,"",AVERAGE($AA$958:$AA$960))</f>
        <v>0</v>
      </c>
      <c r="AC960">
        <f>IF($E960="","",MAX($C960-$D960,ABS($C960-$E959),ABS($D960-$E959)))</f>
        <v>0</v>
      </c>
      <c r="AD960">
        <f>IF(COUNT($E$2:$E960)&lt;15,"",AVERAGE($AC$947:$AC$960))</f>
        <v>0</v>
      </c>
      <c r="AE960">
        <f>IF(OR($E960="",$E959=""),"",IF(AND(($C960-$C959)&gt;($D959-$D960),($C960-$C959)&gt;0),$C960-$C959,0))</f>
        <v>0</v>
      </c>
      <c r="AF960">
        <f>IF(OR($E960="",$E959=""),"",IF(AND(($D959-$D960)&gt;($C960-$C959),($D959-$D960)&gt;0),$D959-$D960,0))</f>
        <v>0</v>
      </c>
      <c r="AG960">
        <f>IF(COUNT($E$2:$E960)&lt;15,"",IF(SUM($AC$947:$AC$960)=0,0,100*SUM($AE$947:$AE$960)/SUM($AC$947:$AC$960)))</f>
        <v>0</v>
      </c>
      <c r="AH960">
        <f>IF(COUNT($E$2:$E960)&lt;15,"",IF(SUM($AC$947:$AC$960)=0,0,100*SUM($AF$947:$AF$960)/SUM($AC$947:$AC$960)))</f>
        <v>0</v>
      </c>
      <c r="AI960">
        <f>IF(OR(AG960="",AH960=""),"",IF((AG960+AH960)=0,0,100*ABS(AG960-AH960)/(AG960+AH960)))</f>
        <v>0</v>
      </c>
      <c r="AJ960">
        <f>IF(COUNT($AI$947:$AI$960)&lt;14,"",AVERAGE($AI$947:$AI$960))</f>
        <v>0</v>
      </c>
      <c r="AK960">
        <f>IF(COUNT($E$2:$E960)&lt;20,"",AVERAGE($E$941:$E$960))</f>
        <v>0</v>
      </c>
      <c r="AL960">
        <f>IF(COUNT($E$2:$E960)&lt;20,"",STDEVP($E$941:$E$960))</f>
        <v>0</v>
      </c>
      <c r="AM960">
        <f>IF(AK960="","",AK960+2*AL960)</f>
        <v>0</v>
      </c>
      <c r="AN960">
        <f>IF(AK960="","",AK960-2*AL960)</f>
        <v>0</v>
      </c>
      <c r="AO960">
        <f>IF(OR(AM960="",AN960="",AM960=AN960),"",($E960-AN960)/(AM960-AN960))</f>
        <v>0</v>
      </c>
      <c r="AP960">
        <f>IF(OR(AM960="",AK960="",AK960=0),"",(AM960-AN960)/AK960)</f>
        <v>0</v>
      </c>
      <c r="AQ960">
        <f>IF(COUNT($E$2:$E960)&lt;20,"",MAX($C$941:$C$960))</f>
        <v>0</v>
      </c>
      <c r="AR960">
        <f>IF(COUNT($E$2:$E960)&lt;20,"",MIN($D$941:$D$960))</f>
        <v>0</v>
      </c>
      <c r="AS960">
        <f>IF(OR(AQ960="",AR960=""),"",(AQ960+AR960)/2)</f>
        <v>0</v>
      </c>
      <c r="AT960">
        <f>IF(COUNT($G$941:$G$960)&lt;20,"",STDEV($G$941:$G$960)*SQRT(252))</f>
        <v>0</v>
      </c>
      <c r="AU960">
        <f>IF(COUNT($E$2:$E960)&lt;9,"",(MAX($C$952:$C$960)+MIN($D$952:$D$960))/2)</f>
        <v>0</v>
      </c>
      <c r="AV960">
        <f>IF(COUNT($E$2:$E960)&lt;26,"",(MAX($C$935:$C$960)+MIN($D$935:$D$960))/2)</f>
        <v>0</v>
      </c>
      <c r="AW960">
        <f>IF(OR(AU960="",AV960=""),"",(AU960+AV960)/2)</f>
        <v>0</v>
      </c>
      <c r="AX960">
        <f>IF(COUNT($E$2:$E960)&lt;52,"",(MAX($C$909:$C$960)+MIN($D$909:$D$960))/2)</f>
        <v>0</v>
      </c>
      <c r="AY960">
        <f>IF(COUNT($E$2:$E960)&lt;20,"",MAX($C$861:$C$960))</f>
        <v>0</v>
      </c>
      <c r="AZ960">
        <f>IF(COUNT($E$2:$E960)&lt;20,"",MIN($D$861:$D$960))</f>
        <v>0</v>
      </c>
      <c r="BA960">
        <f>IF(COUNT($E$2:$E960)&lt;20,"",SLOPE($E$861:$E$960,$F$861:$F$960))</f>
        <v>0</v>
      </c>
      <c r="BB960">
        <f>IF(COUNT($E$2:$E960)&lt;20,"",INTERCEPT($E$861:$E$960,$F$861:$F$960))</f>
        <v>0</v>
      </c>
      <c r="BC960">
        <f>IF(OR(BA960="",BB960=""),"",BB960+BA960*F960)</f>
        <v>0</v>
      </c>
      <c r="BD960">
        <f>IF(COUNT($E$2:$E960)&lt;20,"",STEYX($E$861:$E$960,$F$861:$F$960))</f>
        <v>0</v>
      </c>
      <c r="BE960">
        <f>IF($E960="","",IF(AND(COUNT($E$961:$E$964)&gt;=4,$C960=MAX($C$956:$C$964)),$C960,""))</f>
        <v>0</v>
      </c>
      <c r="BF960">
        <f>IF($E960="","",IF(AND(COUNT($E$961:$E$964)&gt;=4,$D960=MIN($D$956:$D$964)),$D960,""))</f>
        <v>0</v>
      </c>
      <c r="BG960">
        <f>IF($A960="","",$A960-WEEKDAY($A960,2)+1)</f>
        <v>0</v>
      </c>
      <c r="BH960">
        <f>IF($A960="","",IF($A959="",1,IF(BG960&lt;&gt;BG959,1,0)))</f>
        <v>0</v>
      </c>
      <c r="BI960">
        <f>IF($A960="","",IF($A961="",1,IF(BG961&lt;&gt;BG960,1,0)))</f>
        <v>0</v>
      </c>
      <c r="BJ960">
        <f>IF($A960="","",IF(BH960=1,$B960,BJ959))</f>
        <v>0</v>
      </c>
      <c r="BK960">
        <f>IF($A960="","",IF(BH960=1,$C960,MAX($C960,BK959)))</f>
        <v>0</v>
      </c>
      <c r="BL960">
        <f>IF($A960="","",IF(BH960=1,$D960,MIN($D960,BL959)))</f>
        <v>0</v>
      </c>
      <c r="BM960">
        <f>IF($A960="","",IF(BI960=1,F960,""))</f>
        <v>0</v>
      </c>
      <c r="BN960">
        <f>IF($A960="","",DATE(YEAR($A960),MONTH($A960),1))</f>
        <v>0</v>
      </c>
      <c r="BO960">
        <f>IF($A960="","",IF($A959="",1,IF(BN960&lt;&gt;BN959,1,0)))</f>
        <v>0</v>
      </c>
      <c r="BP960">
        <f>IF($A960="","",IF($A961="",1,IF(BN961&lt;&gt;BN960,1,0)))</f>
        <v>0</v>
      </c>
      <c r="BQ960">
        <f>IF($A960="","",IF(BO960=1,$B960,BQ959))</f>
        <v>0</v>
      </c>
      <c r="BR960">
        <f>IF($A960="","",IF(BO960=1,$C960,MAX($C960,BR959)))</f>
        <v>0</v>
      </c>
      <c r="BS960">
        <f>IF($A960="","",IF(BO960=1,$D960,MIN($D960,BS959)))</f>
        <v>0</v>
      </c>
      <c r="BT960">
        <f>IF($A960="","",IF(BP960=1,F960,""))</f>
        <v>0</v>
      </c>
    </row>
    <row r="961" spans="1:72">
      <c r="A961" s="27">
        <f>IF(Data!$A961="","",Data!$A961)</f>
        <v>0</v>
      </c>
      <c r="B961">
        <f>IF(Data!$B961="","",Data!$B961)</f>
        <v>0</v>
      </c>
      <c r="C961">
        <f>IF(Data!$C961="","",Data!$C961)</f>
        <v>0</v>
      </c>
      <c r="D961">
        <f>IF(Data!$D961="","",Data!$D961)</f>
        <v>0</v>
      </c>
      <c r="E961">
        <f>IF(Data!$E961="","",Data!$E961)</f>
        <v>0</v>
      </c>
      <c r="F961">
        <f>IF($E961="","",N(F960)+1)</f>
        <v>0</v>
      </c>
      <c r="G961">
        <f>IF(OR($E961="",$E960=""),"",LN($E961/$E960))</f>
        <v>0</v>
      </c>
      <c r="H961">
        <f>IF($E961="","",IF($E960="",$E961,$E961*0.0952380952+H960*0.9047619048))</f>
        <v>0</v>
      </c>
      <c r="I961">
        <f>IF($E961="","",IF($E960="",$E961,$E961*0.0392156863+I960*0.9607843137))</f>
        <v>0</v>
      </c>
      <c r="J961">
        <f>IF($E961="","",IF($E960="",$E961,$E961*0.0198019802+J960*0.9801980198))</f>
        <v>0</v>
      </c>
      <c r="K961">
        <f>IF($E961="","",IF($E960="",$E961,$E961*0.0099502488+K960*0.9900497512))</f>
        <v>0</v>
      </c>
      <c r="L961">
        <f>IF(OR($E961="",$E960=""),"",MAX($E961-$E960,0))</f>
        <v>0</v>
      </c>
      <c r="M961">
        <f>IF(OR($E961="",$E960=""),"",MAX($E960-$E961,0))</f>
        <v>0</v>
      </c>
      <c r="N961">
        <f>IF(COUNT($E$2:$E961)&lt;15,"",IF(AVERAGE($M$948:$M$961)=0,100,100-100/(1+AVERAGE($L$948:$L$961)/AVERAGE($M$948:$M$961))))</f>
        <v>0</v>
      </c>
      <c r="O961">
        <f>IF($E961="","",IF($E960="",$E961,$E961*0.1538461538+O960*0.8461538462))</f>
        <v>0</v>
      </c>
      <c r="P961">
        <f>IF($E961="","",IF($E960="",$E961,$E961*0.0740740741+P960*0.9259259259))</f>
        <v>0</v>
      </c>
      <c r="Q961">
        <f>IF(OR(O961="",P961=""),"",O961-P961)</f>
        <v>0</v>
      </c>
      <c r="R961">
        <f>IF(Q961="","",IF(R960="",Q961,Q961*0.2000000000+R960*0.8000000000))</f>
        <v>0</v>
      </c>
      <c r="S961">
        <f>IF(OR(Q961="",R961=""),"",Q961-R961)</f>
        <v>0</v>
      </c>
      <c r="T961">
        <f>IF(COUNT($E$2:$E961)&lt;14,"",MAX($C$948:$C$961))</f>
        <v>0</v>
      </c>
      <c r="U961">
        <f>IF(COUNT($E$2:$E961)&lt;14,"",MIN($D$948:$D$961))</f>
        <v>0</v>
      </c>
      <c r="V961">
        <f>IF(OR(T961="",U961="",T961=U961),"",100*($E961-U961)/(T961-U961))</f>
        <v>0</v>
      </c>
      <c r="W961">
        <f>IF(COUNT($V$959:$V$961)&lt;3,"",AVERAGE($V$959:$V$961))</f>
        <v>0</v>
      </c>
      <c r="X961">
        <f>IF(COUNT($N$948:$N$961)&lt;14,"",MIN($N$948:$N$961))</f>
        <v>0</v>
      </c>
      <c r="Y961">
        <f>IF(COUNT($N$948:$N$961)&lt;14,"",MAX($N$948:$N$961))</f>
        <v>0</v>
      </c>
      <c r="Z961">
        <f>IF(OR(N961="",X961="",Y961="",Y961=X961),"",100*(N961-X961)/(Y961-X961))</f>
        <v>0</v>
      </c>
      <c r="AA961">
        <f>IF(COUNT($Z$959:$Z$961)&lt;3,"",AVERAGE($Z$959:$Z$961))</f>
        <v>0</v>
      </c>
      <c r="AB961">
        <f>IF(COUNT($AA$959:$AA$961)&lt;3,"",AVERAGE($AA$959:$AA$961))</f>
        <v>0</v>
      </c>
      <c r="AC961">
        <f>IF($E961="","",MAX($C961-$D961,ABS($C961-$E960),ABS($D961-$E960)))</f>
        <v>0</v>
      </c>
      <c r="AD961">
        <f>IF(COUNT($E$2:$E961)&lt;15,"",AVERAGE($AC$948:$AC$961))</f>
        <v>0</v>
      </c>
      <c r="AE961">
        <f>IF(OR($E961="",$E960=""),"",IF(AND(($C961-$C960)&gt;($D960-$D961),($C961-$C960)&gt;0),$C961-$C960,0))</f>
        <v>0</v>
      </c>
      <c r="AF961">
        <f>IF(OR($E961="",$E960=""),"",IF(AND(($D960-$D961)&gt;($C961-$C960),($D960-$D961)&gt;0),$D960-$D961,0))</f>
        <v>0</v>
      </c>
      <c r="AG961">
        <f>IF(COUNT($E$2:$E961)&lt;15,"",IF(SUM($AC$948:$AC$961)=0,0,100*SUM($AE$948:$AE$961)/SUM($AC$948:$AC$961)))</f>
        <v>0</v>
      </c>
      <c r="AH961">
        <f>IF(COUNT($E$2:$E961)&lt;15,"",IF(SUM($AC$948:$AC$961)=0,0,100*SUM($AF$948:$AF$961)/SUM($AC$948:$AC$961)))</f>
        <v>0</v>
      </c>
      <c r="AI961">
        <f>IF(OR(AG961="",AH961=""),"",IF((AG961+AH961)=0,0,100*ABS(AG961-AH961)/(AG961+AH961)))</f>
        <v>0</v>
      </c>
      <c r="AJ961">
        <f>IF(COUNT($AI$948:$AI$961)&lt;14,"",AVERAGE($AI$948:$AI$961))</f>
        <v>0</v>
      </c>
      <c r="AK961">
        <f>IF(COUNT($E$2:$E961)&lt;20,"",AVERAGE($E$942:$E$961))</f>
        <v>0</v>
      </c>
      <c r="AL961">
        <f>IF(COUNT($E$2:$E961)&lt;20,"",STDEVP($E$942:$E$961))</f>
        <v>0</v>
      </c>
      <c r="AM961">
        <f>IF(AK961="","",AK961+2*AL961)</f>
        <v>0</v>
      </c>
      <c r="AN961">
        <f>IF(AK961="","",AK961-2*AL961)</f>
        <v>0</v>
      </c>
      <c r="AO961">
        <f>IF(OR(AM961="",AN961="",AM961=AN961),"",($E961-AN961)/(AM961-AN961))</f>
        <v>0</v>
      </c>
      <c r="AP961">
        <f>IF(OR(AM961="",AK961="",AK961=0),"",(AM961-AN961)/AK961)</f>
        <v>0</v>
      </c>
      <c r="AQ961">
        <f>IF(COUNT($E$2:$E961)&lt;20,"",MAX($C$942:$C$961))</f>
        <v>0</v>
      </c>
      <c r="AR961">
        <f>IF(COUNT($E$2:$E961)&lt;20,"",MIN($D$942:$D$961))</f>
        <v>0</v>
      </c>
      <c r="AS961">
        <f>IF(OR(AQ961="",AR961=""),"",(AQ961+AR961)/2)</f>
        <v>0</v>
      </c>
      <c r="AT961">
        <f>IF(COUNT($G$942:$G$961)&lt;20,"",STDEV($G$942:$G$961)*SQRT(252))</f>
        <v>0</v>
      </c>
      <c r="AU961">
        <f>IF(COUNT($E$2:$E961)&lt;9,"",(MAX($C$953:$C$961)+MIN($D$953:$D$961))/2)</f>
        <v>0</v>
      </c>
      <c r="AV961">
        <f>IF(COUNT($E$2:$E961)&lt;26,"",(MAX($C$936:$C$961)+MIN($D$936:$D$961))/2)</f>
        <v>0</v>
      </c>
      <c r="AW961">
        <f>IF(OR(AU961="",AV961=""),"",(AU961+AV961)/2)</f>
        <v>0</v>
      </c>
      <c r="AX961">
        <f>IF(COUNT($E$2:$E961)&lt;52,"",(MAX($C$910:$C$961)+MIN($D$910:$D$961))/2)</f>
        <v>0</v>
      </c>
      <c r="AY961">
        <f>IF(COUNT($E$2:$E961)&lt;20,"",MAX($C$862:$C$961))</f>
        <v>0</v>
      </c>
      <c r="AZ961">
        <f>IF(COUNT($E$2:$E961)&lt;20,"",MIN($D$862:$D$961))</f>
        <v>0</v>
      </c>
      <c r="BA961">
        <f>IF(COUNT($E$2:$E961)&lt;20,"",SLOPE($E$862:$E$961,$F$862:$F$961))</f>
        <v>0</v>
      </c>
      <c r="BB961">
        <f>IF(COUNT($E$2:$E961)&lt;20,"",INTERCEPT($E$862:$E$961,$F$862:$F$961))</f>
        <v>0</v>
      </c>
      <c r="BC961">
        <f>IF(OR(BA961="",BB961=""),"",BB961+BA961*F961)</f>
        <v>0</v>
      </c>
      <c r="BD961">
        <f>IF(COUNT($E$2:$E961)&lt;20,"",STEYX($E$862:$E$961,$F$862:$F$961))</f>
        <v>0</v>
      </c>
      <c r="BE961">
        <f>IF($E961="","",IF(AND(COUNT($E$962:$E$965)&gt;=4,$C961=MAX($C$957:$C$965)),$C961,""))</f>
        <v>0</v>
      </c>
      <c r="BF961">
        <f>IF($E961="","",IF(AND(COUNT($E$962:$E$965)&gt;=4,$D961=MIN($D$957:$D$965)),$D961,""))</f>
        <v>0</v>
      </c>
      <c r="BG961">
        <f>IF($A961="","",$A961-WEEKDAY($A961,2)+1)</f>
        <v>0</v>
      </c>
      <c r="BH961">
        <f>IF($A961="","",IF($A960="",1,IF(BG961&lt;&gt;BG960,1,0)))</f>
        <v>0</v>
      </c>
      <c r="BI961">
        <f>IF($A961="","",IF($A962="",1,IF(BG962&lt;&gt;BG961,1,0)))</f>
        <v>0</v>
      </c>
      <c r="BJ961">
        <f>IF($A961="","",IF(BH961=1,$B961,BJ960))</f>
        <v>0</v>
      </c>
      <c r="BK961">
        <f>IF($A961="","",IF(BH961=1,$C961,MAX($C961,BK960)))</f>
        <v>0</v>
      </c>
      <c r="BL961">
        <f>IF($A961="","",IF(BH961=1,$D961,MIN($D961,BL960)))</f>
        <v>0</v>
      </c>
      <c r="BM961">
        <f>IF($A961="","",IF(BI961=1,F961,""))</f>
        <v>0</v>
      </c>
      <c r="BN961">
        <f>IF($A961="","",DATE(YEAR($A961),MONTH($A961),1))</f>
        <v>0</v>
      </c>
      <c r="BO961">
        <f>IF($A961="","",IF($A960="",1,IF(BN961&lt;&gt;BN960,1,0)))</f>
        <v>0</v>
      </c>
      <c r="BP961">
        <f>IF($A961="","",IF($A962="",1,IF(BN962&lt;&gt;BN961,1,0)))</f>
        <v>0</v>
      </c>
      <c r="BQ961">
        <f>IF($A961="","",IF(BO961=1,$B961,BQ960))</f>
        <v>0</v>
      </c>
      <c r="BR961">
        <f>IF($A961="","",IF(BO961=1,$C961,MAX($C961,BR960)))</f>
        <v>0</v>
      </c>
      <c r="BS961">
        <f>IF($A961="","",IF(BO961=1,$D961,MIN($D961,BS960)))</f>
        <v>0</v>
      </c>
      <c r="BT961">
        <f>IF($A961="","",IF(BP961=1,F961,""))</f>
        <v>0</v>
      </c>
    </row>
    <row r="962" spans="1:72">
      <c r="A962" s="27">
        <f>IF(Data!$A962="","",Data!$A962)</f>
        <v>0</v>
      </c>
      <c r="B962">
        <f>IF(Data!$B962="","",Data!$B962)</f>
        <v>0</v>
      </c>
      <c r="C962">
        <f>IF(Data!$C962="","",Data!$C962)</f>
        <v>0</v>
      </c>
      <c r="D962">
        <f>IF(Data!$D962="","",Data!$D962)</f>
        <v>0</v>
      </c>
      <c r="E962">
        <f>IF(Data!$E962="","",Data!$E962)</f>
        <v>0</v>
      </c>
      <c r="F962">
        <f>IF($E962="","",N(F961)+1)</f>
        <v>0</v>
      </c>
      <c r="G962">
        <f>IF(OR($E962="",$E961=""),"",LN($E962/$E961))</f>
        <v>0</v>
      </c>
      <c r="H962">
        <f>IF($E962="","",IF($E961="",$E962,$E962*0.0952380952+H961*0.9047619048))</f>
        <v>0</v>
      </c>
      <c r="I962">
        <f>IF($E962="","",IF($E961="",$E962,$E962*0.0392156863+I961*0.9607843137))</f>
        <v>0</v>
      </c>
      <c r="J962">
        <f>IF($E962="","",IF($E961="",$E962,$E962*0.0198019802+J961*0.9801980198))</f>
        <v>0</v>
      </c>
      <c r="K962">
        <f>IF($E962="","",IF($E961="",$E962,$E962*0.0099502488+K961*0.9900497512))</f>
        <v>0</v>
      </c>
      <c r="L962">
        <f>IF(OR($E962="",$E961=""),"",MAX($E962-$E961,0))</f>
        <v>0</v>
      </c>
      <c r="M962">
        <f>IF(OR($E962="",$E961=""),"",MAX($E961-$E962,0))</f>
        <v>0</v>
      </c>
      <c r="N962">
        <f>IF(COUNT($E$2:$E962)&lt;15,"",IF(AVERAGE($M$949:$M$962)=0,100,100-100/(1+AVERAGE($L$949:$L$962)/AVERAGE($M$949:$M$962))))</f>
        <v>0</v>
      </c>
      <c r="O962">
        <f>IF($E962="","",IF($E961="",$E962,$E962*0.1538461538+O961*0.8461538462))</f>
        <v>0</v>
      </c>
      <c r="P962">
        <f>IF($E962="","",IF($E961="",$E962,$E962*0.0740740741+P961*0.9259259259))</f>
        <v>0</v>
      </c>
      <c r="Q962">
        <f>IF(OR(O962="",P962=""),"",O962-P962)</f>
        <v>0</v>
      </c>
      <c r="R962">
        <f>IF(Q962="","",IF(R961="",Q962,Q962*0.2000000000+R961*0.8000000000))</f>
        <v>0</v>
      </c>
      <c r="S962">
        <f>IF(OR(Q962="",R962=""),"",Q962-R962)</f>
        <v>0</v>
      </c>
      <c r="T962">
        <f>IF(COUNT($E$2:$E962)&lt;14,"",MAX($C$949:$C$962))</f>
        <v>0</v>
      </c>
      <c r="U962">
        <f>IF(COUNT($E$2:$E962)&lt;14,"",MIN($D$949:$D$962))</f>
        <v>0</v>
      </c>
      <c r="V962">
        <f>IF(OR(T962="",U962="",T962=U962),"",100*($E962-U962)/(T962-U962))</f>
        <v>0</v>
      </c>
      <c r="W962">
        <f>IF(COUNT($V$960:$V$962)&lt;3,"",AVERAGE($V$960:$V$962))</f>
        <v>0</v>
      </c>
      <c r="X962">
        <f>IF(COUNT($N$949:$N$962)&lt;14,"",MIN($N$949:$N$962))</f>
        <v>0</v>
      </c>
      <c r="Y962">
        <f>IF(COUNT($N$949:$N$962)&lt;14,"",MAX($N$949:$N$962))</f>
        <v>0</v>
      </c>
      <c r="Z962">
        <f>IF(OR(N962="",X962="",Y962="",Y962=X962),"",100*(N962-X962)/(Y962-X962))</f>
        <v>0</v>
      </c>
      <c r="AA962">
        <f>IF(COUNT($Z$960:$Z$962)&lt;3,"",AVERAGE($Z$960:$Z$962))</f>
        <v>0</v>
      </c>
      <c r="AB962">
        <f>IF(COUNT($AA$960:$AA$962)&lt;3,"",AVERAGE($AA$960:$AA$962))</f>
        <v>0</v>
      </c>
      <c r="AC962">
        <f>IF($E962="","",MAX($C962-$D962,ABS($C962-$E961),ABS($D962-$E961)))</f>
        <v>0</v>
      </c>
      <c r="AD962">
        <f>IF(COUNT($E$2:$E962)&lt;15,"",AVERAGE($AC$949:$AC$962))</f>
        <v>0</v>
      </c>
      <c r="AE962">
        <f>IF(OR($E962="",$E961=""),"",IF(AND(($C962-$C961)&gt;($D961-$D962),($C962-$C961)&gt;0),$C962-$C961,0))</f>
        <v>0</v>
      </c>
      <c r="AF962">
        <f>IF(OR($E962="",$E961=""),"",IF(AND(($D961-$D962)&gt;($C962-$C961),($D961-$D962)&gt;0),$D961-$D962,0))</f>
        <v>0</v>
      </c>
      <c r="AG962">
        <f>IF(COUNT($E$2:$E962)&lt;15,"",IF(SUM($AC$949:$AC$962)=0,0,100*SUM($AE$949:$AE$962)/SUM($AC$949:$AC$962)))</f>
        <v>0</v>
      </c>
      <c r="AH962">
        <f>IF(COUNT($E$2:$E962)&lt;15,"",IF(SUM($AC$949:$AC$962)=0,0,100*SUM($AF$949:$AF$962)/SUM($AC$949:$AC$962)))</f>
        <v>0</v>
      </c>
      <c r="AI962">
        <f>IF(OR(AG962="",AH962=""),"",IF((AG962+AH962)=0,0,100*ABS(AG962-AH962)/(AG962+AH962)))</f>
        <v>0</v>
      </c>
      <c r="AJ962">
        <f>IF(COUNT($AI$949:$AI$962)&lt;14,"",AVERAGE($AI$949:$AI$962))</f>
        <v>0</v>
      </c>
      <c r="AK962">
        <f>IF(COUNT($E$2:$E962)&lt;20,"",AVERAGE($E$943:$E$962))</f>
        <v>0</v>
      </c>
      <c r="AL962">
        <f>IF(COUNT($E$2:$E962)&lt;20,"",STDEVP($E$943:$E$962))</f>
        <v>0</v>
      </c>
      <c r="AM962">
        <f>IF(AK962="","",AK962+2*AL962)</f>
        <v>0</v>
      </c>
      <c r="AN962">
        <f>IF(AK962="","",AK962-2*AL962)</f>
        <v>0</v>
      </c>
      <c r="AO962">
        <f>IF(OR(AM962="",AN962="",AM962=AN962),"",($E962-AN962)/(AM962-AN962))</f>
        <v>0</v>
      </c>
      <c r="AP962">
        <f>IF(OR(AM962="",AK962="",AK962=0),"",(AM962-AN962)/AK962)</f>
        <v>0</v>
      </c>
      <c r="AQ962">
        <f>IF(COUNT($E$2:$E962)&lt;20,"",MAX($C$943:$C$962))</f>
        <v>0</v>
      </c>
      <c r="AR962">
        <f>IF(COUNT($E$2:$E962)&lt;20,"",MIN($D$943:$D$962))</f>
        <v>0</v>
      </c>
      <c r="AS962">
        <f>IF(OR(AQ962="",AR962=""),"",(AQ962+AR962)/2)</f>
        <v>0</v>
      </c>
      <c r="AT962">
        <f>IF(COUNT($G$943:$G$962)&lt;20,"",STDEV($G$943:$G$962)*SQRT(252))</f>
        <v>0</v>
      </c>
      <c r="AU962">
        <f>IF(COUNT($E$2:$E962)&lt;9,"",(MAX($C$954:$C$962)+MIN($D$954:$D$962))/2)</f>
        <v>0</v>
      </c>
      <c r="AV962">
        <f>IF(COUNT($E$2:$E962)&lt;26,"",(MAX($C$937:$C$962)+MIN($D$937:$D$962))/2)</f>
        <v>0</v>
      </c>
      <c r="AW962">
        <f>IF(OR(AU962="",AV962=""),"",(AU962+AV962)/2)</f>
        <v>0</v>
      </c>
      <c r="AX962">
        <f>IF(COUNT($E$2:$E962)&lt;52,"",(MAX($C$911:$C$962)+MIN($D$911:$D$962))/2)</f>
        <v>0</v>
      </c>
      <c r="AY962">
        <f>IF(COUNT($E$2:$E962)&lt;20,"",MAX($C$863:$C$962))</f>
        <v>0</v>
      </c>
      <c r="AZ962">
        <f>IF(COUNT($E$2:$E962)&lt;20,"",MIN($D$863:$D$962))</f>
        <v>0</v>
      </c>
      <c r="BA962">
        <f>IF(COUNT($E$2:$E962)&lt;20,"",SLOPE($E$863:$E$962,$F$863:$F$962))</f>
        <v>0</v>
      </c>
      <c r="BB962">
        <f>IF(COUNT($E$2:$E962)&lt;20,"",INTERCEPT($E$863:$E$962,$F$863:$F$962))</f>
        <v>0</v>
      </c>
      <c r="BC962">
        <f>IF(OR(BA962="",BB962=""),"",BB962+BA962*F962)</f>
        <v>0</v>
      </c>
      <c r="BD962">
        <f>IF(COUNT($E$2:$E962)&lt;20,"",STEYX($E$863:$E$962,$F$863:$F$962))</f>
        <v>0</v>
      </c>
      <c r="BE962">
        <f>IF($E962="","",IF(AND(COUNT($E$963:$E$966)&gt;=4,$C962=MAX($C$958:$C$966)),$C962,""))</f>
        <v>0</v>
      </c>
      <c r="BF962">
        <f>IF($E962="","",IF(AND(COUNT($E$963:$E$966)&gt;=4,$D962=MIN($D$958:$D$966)),$D962,""))</f>
        <v>0</v>
      </c>
      <c r="BG962">
        <f>IF($A962="","",$A962-WEEKDAY($A962,2)+1)</f>
        <v>0</v>
      </c>
      <c r="BH962">
        <f>IF($A962="","",IF($A961="",1,IF(BG962&lt;&gt;BG961,1,0)))</f>
        <v>0</v>
      </c>
      <c r="BI962">
        <f>IF($A962="","",IF($A963="",1,IF(BG963&lt;&gt;BG962,1,0)))</f>
        <v>0</v>
      </c>
      <c r="BJ962">
        <f>IF($A962="","",IF(BH962=1,$B962,BJ961))</f>
        <v>0</v>
      </c>
      <c r="BK962">
        <f>IF($A962="","",IF(BH962=1,$C962,MAX($C962,BK961)))</f>
        <v>0</v>
      </c>
      <c r="BL962">
        <f>IF($A962="","",IF(BH962=1,$D962,MIN($D962,BL961)))</f>
        <v>0</v>
      </c>
      <c r="BM962">
        <f>IF($A962="","",IF(BI962=1,F962,""))</f>
        <v>0</v>
      </c>
      <c r="BN962">
        <f>IF($A962="","",DATE(YEAR($A962),MONTH($A962),1))</f>
        <v>0</v>
      </c>
      <c r="BO962">
        <f>IF($A962="","",IF($A961="",1,IF(BN962&lt;&gt;BN961,1,0)))</f>
        <v>0</v>
      </c>
      <c r="BP962">
        <f>IF($A962="","",IF($A963="",1,IF(BN963&lt;&gt;BN962,1,0)))</f>
        <v>0</v>
      </c>
      <c r="BQ962">
        <f>IF($A962="","",IF(BO962=1,$B962,BQ961))</f>
        <v>0</v>
      </c>
      <c r="BR962">
        <f>IF($A962="","",IF(BO962=1,$C962,MAX($C962,BR961)))</f>
        <v>0</v>
      </c>
      <c r="BS962">
        <f>IF($A962="","",IF(BO962=1,$D962,MIN($D962,BS961)))</f>
        <v>0</v>
      </c>
      <c r="BT962">
        <f>IF($A962="","",IF(BP962=1,F962,""))</f>
        <v>0</v>
      </c>
    </row>
    <row r="963" spans="1:72">
      <c r="A963" s="27">
        <f>IF(Data!$A963="","",Data!$A963)</f>
        <v>0</v>
      </c>
      <c r="B963">
        <f>IF(Data!$B963="","",Data!$B963)</f>
        <v>0</v>
      </c>
      <c r="C963">
        <f>IF(Data!$C963="","",Data!$C963)</f>
        <v>0</v>
      </c>
      <c r="D963">
        <f>IF(Data!$D963="","",Data!$D963)</f>
        <v>0</v>
      </c>
      <c r="E963">
        <f>IF(Data!$E963="","",Data!$E963)</f>
        <v>0</v>
      </c>
      <c r="F963">
        <f>IF($E963="","",N(F962)+1)</f>
        <v>0</v>
      </c>
      <c r="G963">
        <f>IF(OR($E963="",$E962=""),"",LN($E963/$E962))</f>
        <v>0</v>
      </c>
      <c r="H963">
        <f>IF($E963="","",IF($E962="",$E963,$E963*0.0952380952+H962*0.9047619048))</f>
        <v>0</v>
      </c>
      <c r="I963">
        <f>IF($E963="","",IF($E962="",$E963,$E963*0.0392156863+I962*0.9607843137))</f>
        <v>0</v>
      </c>
      <c r="J963">
        <f>IF($E963="","",IF($E962="",$E963,$E963*0.0198019802+J962*0.9801980198))</f>
        <v>0</v>
      </c>
      <c r="K963">
        <f>IF($E963="","",IF($E962="",$E963,$E963*0.0099502488+K962*0.9900497512))</f>
        <v>0</v>
      </c>
      <c r="L963">
        <f>IF(OR($E963="",$E962=""),"",MAX($E963-$E962,0))</f>
        <v>0</v>
      </c>
      <c r="M963">
        <f>IF(OR($E963="",$E962=""),"",MAX($E962-$E963,0))</f>
        <v>0</v>
      </c>
      <c r="N963">
        <f>IF(COUNT($E$2:$E963)&lt;15,"",IF(AVERAGE($M$950:$M$963)=0,100,100-100/(1+AVERAGE($L$950:$L$963)/AVERAGE($M$950:$M$963))))</f>
        <v>0</v>
      </c>
      <c r="O963">
        <f>IF($E963="","",IF($E962="",$E963,$E963*0.1538461538+O962*0.8461538462))</f>
        <v>0</v>
      </c>
      <c r="P963">
        <f>IF($E963="","",IF($E962="",$E963,$E963*0.0740740741+P962*0.9259259259))</f>
        <v>0</v>
      </c>
      <c r="Q963">
        <f>IF(OR(O963="",P963=""),"",O963-P963)</f>
        <v>0</v>
      </c>
      <c r="R963">
        <f>IF(Q963="","",IF(R962="",Q963,Q963*0.2000000000+R962*0.8000000000))</f>
        <v>0</v>
      </c>
      <c r="S963">
        <f>IF(OR(Q963="",R963=""),"",Q963-R963)</f>
        <v>0</v>
      </c>
      <c r="T963">
        <f>IF(COUNT($E$2:$E963)&lt;14,"",MAX($C$950:$C$963))</f>
        <v>0</v>
      </c>
      <c r="U963">
        <f>IF(COUNT($E$2:$E963)&lt;14,"",MIN($D$950:$D$963))</f>
        <v>0</v>
      </c>
      <c r="V963">
        <f>IF(OR(T963="",U963="",T963=U963),"",100*($E963-U963)/(T963-U963))</f>
        <v>0</v>
      </c>
      <c r="W963">
        <f>IF(COUNT($V$961:$V$963)&lt;3,"",AVERAGE($V$961:$V$963))</f>
        <v>0</v>
      </c>
      <c r="X963">
        <f>IF(COUNT($N$950:$N$963)&lt;14,"",MIN($N$950:$N$963))</f>
        <v>0</v>
      </c>
      <c r="Y963">
        <f>IF(COUNT($N$950:$N$963)&lt;14,"",MAX($N$950:$N$963))</f>
        <v>0</v>
      </c>
      <c r="Z963">
        <f>IF(OR(N963="",X963="",Y963="",Y963=X963),"",100*(N963-X963)/(Y963-X963))</f>
        <v>0</v>
      </c>
      <c r="AA963">
        <f>IF(COUNT($Z$961:$Z$963)&lt;3,"",AVERAGE($Z$961:$Z$963))</f>
        <v>0</v>
      </c>
      <c r="AB963">
        <f>IF(COUNT($AA$961:$AA$963)&lt;3,"",AVERAGE($AA$961:$AA$963))</f>
        <v>0</v>
      </c>
      <c r="AC963">
        <f>IF($E963="","",MAX($C963-$D963,ABS($C963-$E962),ABS($D963-$E962)))</f>
        <v>0</v>
      </c>
      <c r="AD963">
        <f>IF(COUNT($E$2:$E963)&lt;15,"",AVERAGE($AC$950:$AC$963))</f>
        <v>0</v>
      </c>
      <c r="AE963">
        <f>IF(OR($E963="",$E962=""),"",IF(AND(($C963-$C962)&gt;($D962-$D963),($C963-$C962)&gt;0),$C963-$C962,0))</f>
        <v>0</v>
      </c>
      <c r="AF963">
        <f>IF(OR($E963="",$E962=""),"",IF(AND(($D962-$D963)&gt;($C963-$C962),($D962-$D963)&gt;0),$D962-$D963,0))</f>
        <v>0</v>
      </c>
      <c r="AG963">
        <f>IF(COUNT($E$2:$E963)&lt;15,"",IF(SUM($AC$950:$AC$963)=0,0,100*SUM($AE$950:$AE$963)/SUM($AC$950:$AC$963)))</f>
        <v>0</v>
      </c>
      <c r="AH963">
        <f>IF(COUNT($E$2:$E963)&lt;15,"",IF(SUM($AC$950:$AC$963)=0,0,100*SUM($AF$950:$AF$963)/SUM($AC$950:$AC$963)))</f>
        <v>0</v>
      </c>
      <c r="AI963">
        <f>IF(OR(AG963="",AH963=""),"",IF((AG963+AH963)=0,0,100*ABS(AG963-AH963)/(AG963+AH963)))</f>
        <v>0</v>
      </c>
      <c r="AJ963">
        <f>IF(COUNT($AI$950:$AI$963)&lt;14,"",AVERAGE($AI$950:$AI$963))</f>
        <v>0</v>
      </c>
      <c r="AK963">
        <f>IF(COUNT($E$2:$E963)&lt;20,"",AVERAGE($E$944:$E$963))</f>
        <v>0</v>
      </c>
      <c r="AL963">
        <f>IF(COUNT($E$2:$E963)&lt;20,"",STDEVP($E$944:$E$963))</f>
        <v>0</v>
      </c>
      <c r="AM963">
        <f>IF(AK963="","",AK963+2*AL963)</f>
        <v>0</v>
      </c>
      <c r="AN963">
        <f>IF(AK963="","",AK963-2*AL963)</f>
        <v>0</v>
      </c>
      <c r="AO963">
        <f>IF(OR(AM963="",AN963="",AM963=AN963),"",($E963-AN963)/(AM963-AN963))</f>
        <v>0</v>
      </c>
      <c r="AP963">
        <f>IF(OR(AM963="",AK963="",AK963=0),"",(AM963-AN963)/AK963)</f>
        <v>0</v>
      </c>
      <c r="AQ963">
        <f>IF(COUNT($E$2:$E963)&lt;20,"",MAX($C$944:$C$963))</f>
        <v>0</v>
      </c>
      <c r="AR963">
        <f>IF(COUNT($E$2:$E963)&lt;20,"",MIN($D$944:$D$963))</f>
        <v>0</v>
      </c>
      <c r="AS963">
        <f>IF(OR(AQ963="",AR963=""),"",(AQ963+AR963)/2)</f>
        <v>0</v>
      </c>
      <c r="AT963">
        <f>IF(COUNT($G$944:$G$963)&lt;20,"",STDEV($G$944:$G$963)*SQRT(252))</f>
        <v>0</v>
      </c>
      <c r="AU963">
        <f>IF(COUNT($E$2:$E963)&lt;9,"",(MAX($C$955:$C$963)+MIN($D$955:$D$963))/2)</f>
        <v>0</v>
      </c>
      <c r="AV963">
        <f>IF(COUNT($E$2:$E963)&lt;26,"",(MAX($C$938:$C$963)+MIN($D$938:$D$963))/2)</f>
        <v>0</v>
      </c>
      <c r="AW963">
        <f>IF(OR(AU963="",AV963=""),"",(AU963+AV963)/2)</f>
        <v>0</v>
      </c>
      <c r="AX963">
        <f>IF(COUNT($E$2:$E963)&lt;52,"",(MAX($C$912:$C$963)+MIN($D$912:$D$963))/2)</f>
        <v>0</v>
      </c>
      <c r="AY963">
        <f>IF(COUNT($E$2:$E963)&lt;20,"",MAX($C$864:$C$963))</f>
        <v>0</v>
      </c>
      <c r="AZ963">
        <f>IF(COUNT($E$2:$E963)&lt;20,"",MIN($D$864:$D$963))</f>
        <v>0</v>
      </c>
      <c r="BA963">
        <f>IF(COUNT($E$2:$E963)&lt;20,"",SLOPE($E$864:$E$963,$F$864:$F$963))</f>
        <v>0</v>
      </c>
      <c r="BB963">
        <f>IF(COUNT($E$2:$E963)&lt;20,"",INTERCEPT($E$864:$E$963,$F$864:$F$963))</f>
        <v>0</v>
      </c>
      <c r="BC963">
        <f>IF(OR(BA963="",BB963=""),"",BB963+BA963*F963)</f>
        <v>0</v>
      </c>
      <c r="BD963">
        <f>IF(COUNT($E$2:$E963)&lt;20,"",STEYX($E$864:$E$963,$F$864:$F$963))</f>
        <v>0</v>
      </c>
      <c r="BE963">
        <f>IF($E963="","",IF(AND(COUNT($E$964:$E$967)&gt;=4,$C963=MAX($C$959:$C$967)),$C963,""))</f>
        <v>0</v>
      </c>
      <c r="BF963">
        <f>IF($E963="","",IF(AND(COUNT($E$964:$E$967)&gt;=4,$D963=MIN($D$959:$D$967)),$D963,""))</f>
        <v>0</v>
      </c>
      <c r="BG963">
        <f>IF($A963="","",$A963-WEEKDAY($A963,2)+1)</f>
        <v>0</v>
      </c>
      <c r="BH963">
        <f>IF($A963="","",IF($A962="",1,IF(BG963&lt;&gt;BG962,1,0)))</f>
        <v>0</v>
      </c>
      <c r="BI963">
        <f>IF($A963="","",IF($A964="",1,IF(BG964&lt;&gt;BG963,1,0)))</f>
        <v>0</v>
      </c>
      <c r="BJ963">
        <f>IF($A963="","",IF(BH963=1,$B963,BJ962))</f>
        <v>0</v>
      </c>
      <c r="BK963">
        <f>IF($A963="","",IF(BH963=1,$C963,MAX($C963,BK962)))</f>
        <v>0</v>
      </c>
      <c r="BL963">
        <f>IF($A963="","",IF(BH963=1,$D963,MIN($D963,BL962)))</f>
        <v>0</v>
      </c>
      <c r="BM963">
        <f>IF($A963="","",IF(BI963=1,F963,""))</f>
        <v>0</v>
      </c>
      <c r="BN963">
        <f>IF($A963="","",DATE(YEAR($A963),MONTH($A963),1))</f>
        <v>0</v>
      </c>
      <c r="BO963">
        <f>IF($A963="","",IF($A962="",1,IF(BN963&lt;&gt;BN962,1,0)))</f>
        <v>0</v>
      </c>
      <c r="BP963">
        <f>IF($A963="","",IF($A964="",1,IF(BN964&lt;&gt;BN963,1,0)))</f>
        <v>0</v>
      </c>
      <c r="BQ963">
        <f>IF($A963="","",IF(BO963=1,$B963,BQ962))</f>
        <v>0</v>
      </c>
      <c r="BR963">
        <f>IF($A963="","",IF(BO963=1,$C963,MAX($C963,BR962)))</f>
        <v>0</v>
      </c>
      <c r="BS963">
        <f>IF($A963="","",IF(BO963=1,$D963,MIN($D963,BS962)))</f>
        <v>0</v>
      </c>
      <c r="BT963">
        <f>IF($A963="","",IF(BP963=1,F963,""))</f>
        <v>0</v>
      </c>
    </row>
    <row r="964" spans="1:72">
      <c r="A964" s="27">
        <f>IF(Data!$A964="","",Data!$A964)</f>
        <v>0</v>
      </c>
      <c r="B964">
        <f>IF(Data!$B964="","",Data!$B964)</f>
        <v>0</v>
      </c>
      <c r="C964">
        <f>IF(Data!$C964="","",Data!$C964)</f>
        <v>0</v>
      </c>
      <c r="D964">
        <f>IF(Data!$D964="","",Data!$D964)</f>
        <v>0</v>
      </c>
      <c r="E964">
        <f>IF(Data!$E964="","",Data!$E964)</f>
        <v>0</v>
      </c>
      <c r="F964">
        <f>IF($E964="","",N(F963)+1)</f>
        <v>0</v>
      </c>
      <c r="G964">
        <f>IF(OR($E964="",$E963=""),"",LN($E964/$E963))</f>
        <v>0</v>
      </c>
      <c r="H964">
        <f>IF($E964="","",IF($E963="",$E964,$E964*0.0952380952+H963*0.9047619048))</f>
        <v>0</v>
      </c>
      <c r="I964">
        <f>IF($E964="","",IF($E963="",$E964,$E964*0.0392156863+I963*0.9607843137))</f>
        <v>0</v>
      </c>
      <c r="J964">
        <f>IF($E964="","",IF($E963="",$E964,$E964*0.0198019802+J963*0.9801980198))</f>
        <v>0</v>
      </c>
      <c r="K964">
        <f>IF($E964="","",IF($E963="",$E964,$E964*0.0099502488+K963*0.9900497512))</f>
        <v>0</v>
      </c>
      <c r="L964">
        <f>IF(OR($E964="",$E963=""),"",MAX($E964-$E963,0))</f>
        <v>0</v>
      </c>
      <c r="M964">
        <f>IF(OR($E964="",$E963=""),"",MAX($E963-$E964,0))</f>
        <v>0</v>
      </c>
      <c r="N964">
        <f>IF(COUNT($E$2:$E964)&lt;15,"",IF(AVERAGE($M$951:$M$964)=0,100,100-100/(1+AVERAGE($L$951:$L$964)/AVERAGE($M$951:$M$964))))</f>
        <v>0</v>
      </c>
      <c r="O964">
        <f>IF($E964="","",IF($E963="",$E964,$E964*0.1538461538+O963*0.8461538462))</f>
        <v>0</v>
      </c>
      <c r="P964">
        <f>IF($E964="","",IF($E963="",$E964,$E964*0.0740740741+P963*0.9259259259))</f>
        <v>0</v>
      </c>
      <c r="Q964">
        <f>IF(OR(O964="",P964=""),"",O964-P964)</f>
        <v>0</v>
      </c>
      <c r="R964">
        <f>IF(Q964="","",IF(R963="",Q964,Q964*0.2000000000+R963*0.8000000000))</f>
        <v>0</v>
      </c>
      <c r="S964">
        <f>IF(OR(Q964="",R964=""),"",Q964-R964)</f>
        <v>0</v>
      </c>
      <c r="T964">
        <f>IF(COUNT($E$2:$E964)&lt;14,"",MAX($C$951:$C$964))</f>
        <v>0</v>
      </c>
      <c r="U964">
        <f>IF(COUNT($E$2:$E964)&lt;14,"",MIN($D$951:$D$964))</f>
        <v>0</v>
      </c>
      <c r="V964">
        <f>IF(OR(T964="",U964="",T964=U964),"",100*($E964-U964)/(T964-U964))</f>
        <v>0</v>
      </c>
      <c r="W964">
        <f>IF(COUNT($V$962:$V$964)&lt;3,"",AVERAGE($V$962:$V$964))</f>
        <v>0</v>
      </c>
      <c r="X964">
        <f>IF(COUNT($N$951:$N$964)&lt;14,"",MIN($N$951:$N$964))</f>
        <v>0</v>
      </c>
      <c r="Y964">
        <f>IF(COUNT($N$951:$N$964)&lt;14,"",MAX($N$951:$N$964))</f>
        <v>0</v>
      </c>
      <c r="Z964">
        <f>IF(OR(N964="",X964="",Y964="",Y964=X964),"",100*(N964-X964)/(Y964-X964))</f>
        <v>0</v>
      </c>
      <c r="AA964">
        <f>IF(COUNT($Z$962:$Z$964)&lt;3,"",AVERAGE($Z$962:$Z$964))</f>
        <v>0</v>
      </c>
      <c r="AB964">
        <f>IF(COUNT($AA$962:$AA$964)&lt;3,"",AVERAGE($AA$962:$AA$964))</f>
        <v>0</v>
      </c>
      <c r="AC964">
        <f>IF($E964="","",MAX($C964-$D964,ABS($C964-$E963),ABS($D964-$E963)))</f>
        <v>0</v>
      </c>
      <c r="AD964">
        <f>IF(COUNT($E$2:$E964)&lt;15,"",AVERAGE($AC$951:$AC$964))</f>
        <v>0</v>
      </c>
      <c r="AE964">
        <f>IF(OR($E964="",$E963=""),"",IF(AND(($C964-$C963)&gt;($D963-$D964),($C964-$C963)&gt;0),$C964-$C963,0))</f>
        <v>0</v>
      </c>
      <c r="AF964">
        <f>IF(OR($E964="",$E963=""),"",IF(AND(($D963-$D964)&gt;($C964-$C963),($D963-$D964)&gt;0),$D963-$D964,0))</f>
        <v>0</v>
      </c>
      <c r="AG964">
        <f>IF(COUNT($E$2:$E964)&lt;15,"",IF(SUM($AC$951:$AC$964)=0,0,100*SUM($AE$951:$AE$964)/SUM($AC$951:$AC$964)))</f>
        <v>0</v>
      </c>
      <c r="AH964">
        <f>IF(COUNT($E$2:$E964)&lt;15,"",IF(SUM($AC$951:$AC$964)=0,0,100*SUM($AF$951:$AF$964)/SUM($AC$951:$AC$964)))</f>
        <v>0</v>
      </c>
      <c r="AI964">
        <f>IF(OR(AG964="",AH964=""),"",IF((AG964+AH964)=0,0,100*ABS(AG964-AH964)/(AG964+AH964)))</f>
        <v>0</v>
      </c>
      <c r="AJ964">
        <f>IF(COUNT($AI$951:$AI$964)&lt;14,"",AVERAGE($AI$951:$AI$964))</f>
        <v>0</v>
      </c>
      <c r="AK964">
        <f>IF(COUNT($E$2:$E964)&lt;20,"",AVERAGE($E$945:$E$964))</f>
        <v>0</v>
      </c>
      <c r="AL964">
        <f>IF(COUNT($E$2:$E964)&lt;20,"",STDEVP($E$945:$E$964))</f>
        <v>0</v>
      </c>
      <c r="AM964">
        <f>IF(AK964="","",AK964+2*AL964)</f>
        <v>0</v>
      </c>
      <c r="AN964">
        <f>IF(AK964="","",AK964-2*AL964)</f>
        <v>0</v>
      </c>
      <c r="AO964">
        <f>IF(OR(AM964="",AN964="",AM964=AN964),"",($E964-AN964)/(AM964-AN964))</f>
        <v>0</v>
      </c>
      <c r="AP964">
        <f>IF(OR(AM964="",AK964="",AK964=0),"",(AM964-AN964)/AK964)</f>
        <v>0</v>
      </c>
      <c r="AQ964">
        <f>IF(COUNT($E$2:$E964)&lt;20,"",MAX($C$945:$C$964))</f>
        <v>0</v>
      </c>
      <c r="AR964">
        <f>IF(COUNT($E$2:$E964)&lt;20,"",MIN($D$945:$D$964))</f>
        <v>0</v>
      </c>
      <c r="AS964">
        <f>IF(OR(AQ964="",AR964=""),"",(AQ964+AR964)/2)</f>
        <v>0</v>
      </c>
      <c r="AT964">
        <f>IF(COUNT($G$945:$G$964)&lt;20,"",STDEV($G$945:$G$964)*SQRT(252))</f>
        <v>0</v>
      </c>
      <c r="AU964">
        <f>IF(COUNT($E$2:$E964)&lt;9,"",(MAX($C$956:$C$964)+MIN($D$956:$D$964))/2)</f>
        <v>0</v>
      </c>
      <c r="AV964">
        <f>IF(COUNT($E$2:$E964)&lt;26,"",(MAX($C$939:$C$964)+MIN($D$939:$D$964))/2)</f>
        <v>0</v>
      </c>
      <c r="AW964">
        <f>IF(OR(AU964="",AV964=""),"",(AU964+AV964)/2)</f>
        <v>0</v>
      </c>
      <c r="AX964">
        <f>IF(COUNT($E$2:$E964)&lt;52,"",(MAX($C$913:$C$964)+MIN($D$913:$D$964))/2)</f>
        <v>0</v>
      </c>
      <c r="AY964">
        <f>IF(COUNT($E$2:$E964)&lt;20,"",MAX($C$865:$C$964))</f>
        <v>0</v>
      </c>
      <c r="AZ964">
        <f>IF(COUNT($E$2:$E964)&lt;20,"",MIN($D$865:$D$964))</f>
        <v>0</v>
      </c>
      <c r="BA964">
        <f>IF(COUNT($E$2:$E964)&lt;20,"",SLOPE($E$865:$E$964,$F$865:$F$964))</f>
        <v>0</v>
      </c>
      <c r="BB964">
        <f>IF(COUNT($E$2:$E964)&lt;20,"",INTERCEPT($E$865:$E$964,$F$865:$F$964))</f>
        <v>0</v>
      </c>
      <c r="BC964">
        <f>IF(OR(BA964="",BB964=""),"",BB964+BA964*F964)</f>
        <v>0</v>
      </c>
      <c r="BD964">
        <f>IF(COUNT($E$2:$E964)&lt;20,"",STEYX($E$865:$E$964,$F$865:$F$964))</f>
        <v>0</v>
      </c>
      <c r="BE964">
        <f>IF($E964="","",IF(AND(COUNT($E$965:$E$968)&gt;=4,$C964=MAX($C$960:$C$968)),$C964,""))</f>
        <v>0</v>
      </c>
      <c r="BF964">
        <f>IF($E964="","",IF(AND(COUNT($E$965:$E$968)&gt;=4,$D964=MIN($D$960:$D$968)),$D964,""))</f>
        <v>0</v>
      </c>
      <c r="BG964">
        <f>IF($A964="","",$A964-WEEKDAY($A964,2)+1)</f>
        <v>0</v>
      </c>
      <c r="BH964">
        <f>IF($A964="","",IF($A963="",1,IF(BG964&lt;&gt;BG963,1,0)))</f>
        <v>0</v>
      </c>
      <c r="BI964">
        <f>IF($A964="","",IF($A965="",1,IF(BG965&lt;&gt;BG964,1,0)))</f>
        <v>0</v>
      </c>
      <c r="BJ964">
        <f>IF($A964="","",IF(BH964=1,$B964,BJ963))</f>
        <v>0</v>
      </c>
      <c r="BK964">
        <f>IF($A964="","",IF(BH964=1,$C964,MAX($C964,BK963)))</f>
        <v>0</v>
      </c>
      <c r="BL964">
        <f>IF($A964="","",IF(BH964=1,$D964,MIN($D964,BL963)))</f>
        <v>0</v>
      </c>
      <c r="BM964">
        <f>IF($A964="","",IF(BI964=1,F964,""))</f>
        <v>0</v>
      </c>
      <c r="BN964">
        <f>IF($A964="","",DATE(YEAR($A964),MONTH($A964),1))</f>
        <v>0</v>
      </c>
      <c r="BO964">
        <f>IF($A964="","",IF($A963="",1,IF(BN964&lt;&gt;BN963,1,0)))</f>
        <v>0</v>
      </c>
      <c r="BP964">
        <f>IF($A964="","",IF($A965="",1,IF(BN965&lt;&gt;BN964,1,0)))</f>
        <v>0</v>
      </c>
      <c r="BQ964">
        <f>IF($A964="","",IF(BO964=1,$B964,BQ963))</f>
        <v>0</v>
      </c>
      <c r="BR964">
        <f>IF($A964="","",IF(BO964=1,$C964,MAX($C964,BR963)))</f>
        <v>0</v>
      </c>
      <c r="BS964">
        <f>IF($A964="","",IF(BO964=1,$D964,MIN($D964,BS963)))</f>
        <v>0</v>
      </c>
      <c r="BT964">
        <f>IF($A964="","",IF(BP964=1,F964,""))</f>
        <v>0</v>
      </c>
    </row>
    <row r="965" spans="1:72">
      <c r="A965" s="27">
        <f>IF(Data!$A965="","",Data!$A965)</f>
        <v>0</v>
      </c>
      <c r="B965">
        <f>IF(Data!$B965="","",Data!$B965)</f>
        <v>0</v>
      </c>
      <c r="C965">
        <f>IF(Data!$C965="","",Data!$C965)</f>
        <v>0</v>
      </c>
      <c r="D965">
        <f>IF(Data!$D965="","",Data!$D965)</f>
        <v>0</v>
      </c>
      <c r="E965">
        <f>IF(Data!$E965="","",Data!$E965)</f>
        <v>0</v>
      </c>
      <c r="F965">
        <f>IF($E965="","",N(F964)+1)</f>
        <v>0</v>
      </c>
      <c r="G965">
        <f>IF(OR($E965="",$E964=""),"",LN($E965/$E964))</f>
        <v>0</v>
      </c>
      <c r="H965">
        <f>IF($E965="","",IF($E964="",$E965,$E965*0.0952380952+H964*0.9047619048))</f>
        <v>0</v>
      </c>
      <c r="I965">
        <f>IF($E965="","",IF($E964="",$E965,$E965*0.0392156863+I964*0.9607843137))</f>
        <v>0</v>
      </c>
      <c r="J965">
        <f>IF($E965="","",IF($E964="",$E965,$E965*0.0198019802+J964*0.9801980198))</f>
        <v>0</v>
      </c>
      <c r="K965">
        <f>IF($E965="","",IF($E964="",$E965,$E965*0.0099502488+K964*0.9900497512))</f>
        <v>0</v>
      </c>
      <c r="L965">
        <f>IF(OR($E965="",$E964=""),"",MAX($E965-$E964,0))</f>
        <v>0</v>
      </c>
      <c r="M965">
        <f>IF(OR($E965="",$E964=""),"",MAX($E964-$E965,0))</f>
        <v>0</v>
      </c>
      <c r="N965">
        <f>IF(COUNT($E$2:$E965)&lt;15,"",IF(AVERAGE($M$952:$M$965)=0,100,100-100/(1+AVERAGE($L$952:$L$965)/AVERAGE($M$952:$M$965))))</f>
        <v>0</v>
      </c>
      <c r="O965">
        <f>IF($E965="","",IF($E964="",$E965,$E965*0.1538461538+O964*0.8461538462))</f>
        <v>0</v>
      </c>
      <c r="P965">
        <f>IF($E965="","",IF($E964="",$E965,$E965*0.0740740741+P964*0.9259259259))</f>
        <v>0</v>
      </c>
      <c r="Q965">
        <f>IF(OR(O965="",P965=""),"",O965-P965)</f>
        <v>0</v>
      </c>
      <c r="R965">
        <f>IF(Q965="","",IF(R964="",Q965,Q965*0.2000000000+R964*0.8000000000))</f>
        <v>0</v>
      </c>
      <c r="S965">
        <f>IF(OR(Q965="",R965=""),"",Q965-R965)</f>
        <v>0</v>
      </c>
      <c r="T965">
        <f>IF(COUNT($E$2:$E965)&lt;14,"",MAX($C$952:$C$965))</f>
        <v>0</v>
      </c>
      <c r="U965">
        <f>IF(COUNT($E$2:$E965)&lt;14,"",MIN($D$952:$D$965))</f>
        <v>0</v>
      </c>
      <c r="V965">
        <f>IF(OR(T965="",U965="",T965=U965),"",100*($E965-U965)/(T965-U965))</f>
        <v>0</v>
      </c>
      <c r="W965">
        <f>IF(COUNT($V$963:$V$965)&lt;3,"",AVERAGE($V$963:$V$965))</f>
        <v>0</v>
      </c>
      <c r="X965">
        <f>IF(COUNT($N$952:$N$965)&lt;14,"",MIN($N$952:$N$965))</f>
        <v>0</v>
      </c>
      <c r="Y965">
        <f>IF(COUNT($N$952:$N$965)&lt;14,"",MAX($N$952:$N$965))</f>
        <v>0</v>
      </c>
      <c r="Z965">
        <f>IF(OR(N965="",X965="",Y965="",Y965=X965),"",100*(N965-X965)/(Y965-X965))</f>
        <v>0</v>
      </c>
      <c r="AA965">
        <f>IF(COUNT($Z$963:$Z$965)&lt;3,"",AVERAGE($Z$963:$Z$965))</f>
        <v>0</v>
      </c>
      <c r="AB965">
        <f>IF(COUNT($AA$963:$AA$965)&lt;3,"",AVERAGE($AA$963:$AA$965))</f>
        <v>0</v>
      </c>
      <c r="AC965">
        <f>IF($E965="","",MAX($C965-$D965,ABS($C965-$E964),ABS($D965-$E964)))</f>
        <v>0</v>
      </c>
      <c r="AD965">
        <f>IF(COUNT($E$2:$E965)&lt;15,"",AVERAGE($AC$952:$AC$965))</f>
        <v>0</v>
      </c>
      <c r="AE965">
        <f>IF(OR($E965="",$E964=""),"",IF(AND(($C965-$C964)&gt;($D964-$D965),($C965-$C964)&gt;0),$C965-$C964,0))</f>
        <v>0</v>
      </c>
      <c r="AF965">
        <f>IF(OR($E965="",$E964=""),"",IF(AND(($D964-$D965)&gt;($C965-$C964),($D964-$D965)&gt;0),$D964-$D965,0))</f>
        <v>0</v>
      </c>
      <c r="AG965">
        <f>IF(COUNT($E$2:$E965)&lt;15,"",IF(SUM($AC$952:$AC$965)=0,0,100*SUM($AE$952:$AE$965)/SUM($AC$952:$AC$965)))</f>
        <v>0</v>
      </c>
      <c r="AH965">
        <f>IF(COUNT($E$2:$E965)&lt;15,"",IF(SUM($AC$952:$AC$965)=0,0,100*SUM($AF$952:$AF$965)/SUM($AC$952:$AC$965)))</f>
        <v>0</v>
      </c>
      <c r="AI965">
        <f>IF(OR(AG965="",AH965=""),"",IF((AG965+AH965)=0,0,100*ABS(AG965-AH965)/(AG965+AH965)))</f>
        <v>0</v>
      </c>
      <c r="AJ965">
        <f>IF(COUNT($AI$952:$AI$965)&lt;14,"",AVERAGE($AI$952:$AI$965))</f>
        <v>0</v>
      </c>
      <c r="AK965">
        <f>IF(COUNT($E$2:$E965)&lt;20,"",AVERAGE($E$946:$E$965))</f>
        <v>0</v>
      </c>
      <c r="AL965">
        <f>IF(COUNT($E$2:$E965)&lt;20,"",STDEVP($E$946:$E$965))</f>
        <v>0</v>
      </c>
      <c r="AM965">
        <f>IF(AK965="","",AK965+2*AL965)</f>
        <v>0</v>
      </c>
      <c r="AN965">
        <f>IF(AK965="","",AK965-2*AL965)</f>
        <v>0</v>
      </c>
      <c r="AO965">
        <f>IF(OR(AM965="",AN965="",AM965=AN965),"",($E965-AN965)/(AM965-AN965))</f>
        <v>0</v>
      </c>
      <c r="AP965">
        <f>IF(OR(AM965="",AK965="",AK965=0),"",(AM965-AN965)/AK965)</f>
        <v>0</v>
      </c>
      <c r="AQ965">
        <f>IF(COUNT($E$2:$E965)&lt;20,"",MAX($C$946:$C$965))</f>
        <v>0</v>
      </c>
      <c r="AR965">
        <f>IF(COUNT($E$2:$E965)&lt;20,"",MIN($D$946:$D$965))</f>
        <v>0</v>
      </c>
      <c r="AS965">
        <f>IF(OR(AQ965="",AR965=""),"",(AQ965+AR965)/2)</f>
        <v>0</v>
      </c>
      <c r="AT965">
        <f>IF(COUNT($G$946:$G$965)&lt;20,"",STDEV($G$946:$G$965)*SQRT(252))</f>
        <v>0</v>
      </c>
      <c r="AU965">
        <f>IF(COUNT($E$2:$E965)&lt;9,"",(MAX($C$957:$C$965)+MIN($D$957:$D$965))/2)</f>
        <v>0</v>
      </c>
      <c r="AV965">
        <f>IF(COUNT($E$2:$E965)&lt;26,"",(MAX($C$940:$C$965)+MIN($D$940:$D$965))/2)</f>
        <v>0</v>
      </c>
      <c r="AW965">
        <f>IF(OR(AU965="",AV965=""),"",(AU965+AV965)/2)</f>
        <v>0</v>
      </c>
      <c r="AX965">
        <f>IF(COUNT($E$2:$E965)&lt;52,"",(MAX($C$914:$C$965)+MIN($D$914:$D$965))/2)</f>
        <v>0</v>
      </c>
      <c r="AY965">
        <f>IF(COUNT($E$2:$E965)&lt;20,"",MAX($C$866:$C$965))</f>
        <v>0</v>
      </c>
      <c r="AZ965">
        <f>IF(COUNT($E$2:$E965)&lt;20,"",MIN($D$866:$D$965))</f>
        <v>0</v>
      </c>
      <c r="BA965">
        <f>IF(COUNT($E$2:$E965)&lt;20,"",SLOPE($E$866:$E$965,$F$866:$F$965))</f>
        <v>0</v>
      </c>
      <c r="BB965">
        <f>IF(COUNT($E$2:$E965)&lt;20,"",INTERCEPT($E$866:$E$965,$F$866:$F$965))</f>
        <v>0</v>
      </c>
      <c r="BC965">
        <f>IF(OR(BA965="",BB965=""),"",BB965+BA965*F965)</f>
        <v>0</v>
      </c>
      <c r="BD965">
        <f>IF(COUNT($E$2:$E965)&lt;20,"",STEYX($E$866:$E$965,$F$866:$F$965))</f>
        <v>0</v>
      </c>
      <c r="BE965">
        <f>IF($E965="","",IF(AND(COUNT($E$966:$E$969)&gt;=4,$C965=MAX($C$961:$C$969)),$C965,""))</f>
        <v>0</v>
      </c>
      <c r="BF965">
        <f>IF($E965="","",IF(AND(COUNT($E$966:$E$969)&gt;=4,$D965=MIN($D$961:$D$969)),$D965,""))</f>
        <v>0</v>
      </c>
      <c r="BG965">
        <f>IF($A965="","",$A965-WEEKDAY($A965,2)+1)</f>
        <v>0</v>
      </c>
      <c r="BH965">
        <f>IF($A965="","",IF($A964="",1,IF(BG965&lt;&gt;BG964,1,0)))</f>
        <v>0</v>
      </c>
      <c r="BI965">
        <f>IF($A965="","",IF($A966="",1,IF(BG966&lt;&gt;BG965,1,0)))</f>
        <v>0</v>
      </c>
      <c r="BJ965">
        <f>IF($A965="","",IF(BH965=1,$B965,BJ964))</f>
        <v>0</v>
      </c>
      <c r="BK965">
        <f>IF($A965="","",IF(BH965=1,$C965,MAX($C965,BK964)))</f>
        <v>0</v>
      </c>
      <c r="BL965">
        <f>IF($A965="","",IF(BH965=1,$D965,MIN($D965,BL964)))</f>
        <v>0</v>
      </c>
      <c r="BM965">
        <f>IF($A965="","",IF(BI965=1,F965,""))</f>
        <v>0</v>
      </c>
      <c r="BN965">
        <f>IF($A965="","",DATE(YEAR($A965),MONTH($A965),1))</f>
        <v>0</v>
      </c>
      <c r="BO965">
        <f>IF($A965="","",IF($A964="",1,IF(BN965&lt;&gt;BN964,1,0)))</f>
        <v>0</v>
      </c>
      <c r="BP965">
        <f>IF($A965="","",IF($A966="",1,IF(BN966&lt;&gt;BN965,1,0)))</f>
        <v>0</v>
      </c>
      <c r="BQ965">
        <f>IF($A965="","",IF(BO965=1,$B965,BQ964))</f>
        <v>0</v>
      </c>
      <c r="BR965">
        <f>IF($A965="","",IF(BO965=1,$C965,MAX($C965,BR964)))</f>
        <v>0</v>
      </c>
      <c r="BS965">
        <f>IF($A965="","",IF(BO965=1,$D965,MIN($D965,BS964)))</f>
        <v>0</v>
      </c>
      <c r="BT965">
        <f>IF($A965="","",IF(BP965=1,F965,""))</f>
        <v>0</v>
      </c>
    </row>
    <row r="966" spans="1:72">
      <c r="A966" s="27">
        <f>IF(Data!$A966="","",Data!$A966)</f>
        <v>0</v>
      </c>
      <c r="B966">
        <f>IF(Data!$B966="","",Data!$B966)</f>
        <v>0</v>
      </c>
      <c r="C966">
        <f>IF(Data!$C966="","",Data!$C966)</f>
        <v>0</v>
      </c>
      <c r="D966">
        <f>IF(Data!$D966="","",Data!$D966)</f>
        <v>0</v>
      </c>
      <c r="E966">
        <f>IF(Data!$E966="","",Data!$E966)</f>
        <v>0</v>
      </c>
      <c r="F966">
        <f>IF($E966="","",N(F965)+1)</f>
        <v>0</v>
      </c>
      <c r="G966">
        <f>IF(OR($E966="",$E965=""),"",LN($E966/$E965))</f>
        <v>0</v>
      </c>
      <c r="H966">
        <f>IF($E966="","",IF($E965="",$E966,$E966*0.0952380952+H965*0.9047619048))</f>
        <v>0</v>
      </c>
      <c r="I966">
        <f>IF($E966="","",IF($E965="",$E966,$E966*0.0392156863+I965*0.9607843137))</f>
        <v>0</v>
      </c>
      <c r="J966">
        <f>IF($E966="","",IF($E965="",$E966,$E966*0.0198019802+J965*0.9801980198))</f>
        <v>0</v>
      </c>
      <c r="K966">
        <f>IF($E966="","",IF($E965="",$E966,$E966*0.0099502488+K965*0.9900497512))</f>
        <v>0</v>
      </c>
      <c r="L966">
        <f>IF(OR($E966="",$E965=""),"",MAX($E966-$E965,0))</f>
        <v>0</v>
      </c>
      <c r="M966">
        <f>IF(OR($E966="",$E965=""),"",MAX($E965-$E966,0))</f>
        <v>0</v>
      </c>
      <c r="N966">
        <f>IF(COUNT($E$2:$E966)&lt;15,"",IF(AVERAGE($M$953:$M$966)=0,100,100-100/(1+AVERAGE($L$953:$L$966)/AVERAGE($M$953:$M$966))))</f>
        <v>0</v>
      </c>
      <c r="O966">
        <f>IF($E966="","",IF($E965="",$E966,$E966*0.1538461538+O965*0.8461538462))</f>
        <v>0</v>
      </c>
      <c r="P966">
        <f>IF($E966="","",IF($E965="",$E966,$E966*0.0740740741+P965*0.9259259259))</f>
        <v>0</v>
      </c>
      <c r="Q966">
        <f>IF(OR(O966="",P966=""),"",O966-P966)</f>
        <v>0</v>
      </c>
      <c r="R966">
        <f>IF(Q966="","",IF(R965="",Q966,Q966*0.2000000000+R965*0.8000000000))</f>
        <v>0</v>
      </c>
      <c r="S966">
        <f>IF(OR(Q966="",R966=""),"",Q966-R966)</f>
        <v>0</v>
      </c>
      <c r="T966">
        <f>IF(COUNT($E$2:$E966)&lt;14,"",MAX($C$953:$C$966))</f>
        <v>0</v>
      </c>
      <c r="U966">
        <f>IF(COUNT($E$2:$E966)&lt;14,"",MIN($D$953:$D$966))</f>
        <v>0</v>
      </c>
      <c r="V966">
        <f>IF(OR(T966="",U966="",T966=U966),"",100*($E966-U966)/(T966-U966))</f>
        <v>0</v>
      </c>
      <c r="W966">
        <f>IF(COUNT($V$964:$V$966)&lt;3,"",AVERAGE($V$964:$V$966))</f>
        <v>0</v>
      </c>
      <c r="X966">
        <f>IF(COUNT($N$953:$N$966)&lt;14,"",MIN($N$953:$N$966))</f>
        <v>0</v>
      </c>
      <c r="Y966">
        <f>IF(COUNT($N$953:$N$966)&lt;14,"",MAX($N$953:$N$966))</f>
        <v>0</v>
      </c>
      <c r="Z966">
        <f>IF(OR(N966="",X966="",Y966="",Y966=X966),"",100*(N966-X966)/(Y966-X966))</f>
        <v>0</v>
      </c>
      <c r="AA966">
        <f>IF(COUNT($Z$964:$Z$966)&lt;3,"",AVERAGE($Z$964:$Z$966))</f>
        <v>0</v>
      </c>
      <c r="AB966">
        <f>IF(COUNT($AA$964:$AA$966)&lt;3,"",AVERAGE($AA$964:$AA$966))</f>
        <v>0</v>
      </c>
      <c r="AC966">
        <f>IF($E966="","",MAX($C966-$D966,ABS($C966-$E965),ABS($D966-$E965)))</f>
        <v>0</v>
      </c>
      <c r="AD966">
        <f>IF(COUNT($E$2:$E966)&lt;15,"",AVERAGE($AC$953:$AC$966))</f>
        <v>0</v>
      </c>
      <c r="AE966">
        <f>IF(OR($E966="",$E965=""),"",IF(AND(($C966-$C965)&gt;($D965-$D966),($C966-$C965)&gt;0),$C966-$C965,0))</f>
        <v>0</v>
      </c>
      <c r="AF966">
        <f>IF(OR($E966="",$E965=""),"",IF(AND(($D965-$D966)&gt;($C966-$C965),($D965-$D966)&gt;0),$D965-$D966,0))</f>
        <v>0</v>
      </c>
      <c r="AG966">
        <f>IF(COUNT($E$2:$E966)&lt;15,"",IF(SUM($AC$953:$AC$966)=0,0,100*SUM($AE$953:$AE$966)/SUM($AC$953:$AC$966)))</f>
        <v>0</v>
      </c>
      <c r="AH966">
        <f>IF(COUNT($E$2:$E966)&lt;15,"",IF(SUM($AC$953:$AC$966)=0,0,100*SUM($AF$953:$AF$966)/SUM($AC$953:$AC$966)))</f>
        <v>0</v>
      </c>
      <c r="AI966">
        <f>IF(OR(AG966="",AH966=""),"",IF((AG966+AH966)=0,0,100*ABS(AG966-AH966)/(AG966+AH966)))</f>
        <v>0</v>
      </c>
      <c r="AJ966">
        <f>IF(COUNT($AI$953:$AI$966)&lt;14,"",AVERAGE($AI$953:$AI$966))</f>
        <v>0</v>
      </c>
      <c r="AK966">
        <f>IF(COUNT($E$2:$E966)&lt;20,"",AVERAGE($E$947:$E$966))</f>
        <v>0</v>
      </c>
      <c r="AL966">
        <f>IF(COUNT($E$2:$E966)&lt;20,"",STDEVP($E$947:$E$966))</f>
        <v>0</v>
      </c>
      <c r="AM966">
        <f>IF(AK966="","",AK966+2*AL966)</f>
        <v>0</v>
      </c>
      <c r="AN966">
        <f>IF(AK966="","",AK966-2*AL966)</f>
        <v>0</v>
      </c>
      <c r="AO966">
        <f>IF(OR(AM966="",AN966="",AM966=AN966),"",($E966-AN966)/(AM966-AN966))</f>
        <v>0</v>
      </c>
      <c r="AP966">
        <f>IF(OR(AM966="",AK966="",AK966=0),"",(AM966-AN966)/AK966)</f>
        <v>0</v>
      </c>
      <c r="AQ966">
        <f>IF(COUNT($E$2:$E966)&lt;20,"",MAX($C$947:$C$966))</f>
        <v>0</v>
      </c>
      <c r="AR966">
        <f>IF(COUNT($E$2:$E966)&lt;20,"",MIN($D$947:$D$966))</f>
        <v>0</v>
      </c>
      <c r="AS966">
        <f>IF(OR(AQ966="",AR966=""),"",(AQ966+AR966)/2)</f>
        <v>0</v>
      </c>
      <c r="AT966">
        <f>IF(COUNT($G$947:$G$966)&lt;20,"",STDEV($G$947:$G$966)*SQRT(252))</f>
        <v>0</v>
      </c>
      <c r="AU966">
        <f>IF(COUNT($E$2:$E966)&lt;9,"",(MAX($C$958:$C$966)+MIN($D$958:$D$966))/2)</f>
        <v>0</v>
      </c>
      <c r="AV966">
        <f>IF(COUNT($E$2:$E966)&lt;26,"",(MAX($C$941:$C$966)+MIN($D$941:$D$966))/2)</f>
        <v>0</v>
      </c>
      <c r="AW966">
        <f>IF(OR(AU966="",AV966=""),"",(AU966+AV966)/2)</f>
        <v>0</v>
      </c>
      <c r="AX966">
        <f>IF(COUNT($E$2:$E966)&lt;52,"",(MAX($C$915:$C$966)+MIN($D$915:$D$966))/2)</f>
        <v>0</v>
      </c>
      <c r="AY966">
        <f>IF(COUNT($E$2:$E966)&lt;20,"",MAX($C$867:$C$966))</f>
        <v>0</v>
      </c>
      <c r="AZ966">
        <f>IF(COUNT($E$2:$E966)&lt;20,"",MIN($D$867:$D$966))</f>
        <v>0</v>
      </c>
      <c r="BA966">
        <f>IF(COUNT($E$2:$E966)&lt;20,"",SLOPE($E$867:$E$966,$F$867:$F$966))</f>
        <v>0</v>
      </c>
      <c r="BB966">
        <f>IF(COUNT($E$2:$E966)&lt;20,"",INTERCEPT($E$867:$E$966,$F$867:$F$966))</f>
        <v>0</v>
      </c>
      <c r="BC966">
        <f>IF(OR(BA966="",BB966=""),"",BB966+BA966*F966)</f>
        <v>0</v>
      </c>
      <c r="BD966">
        <f>IF(COUNT($E$2:$E966)&lt;20,"",STEYX($E$867:$E$966,$F$867:$F$966))</f>
        <v>0</v>
      </c>
      <c r="BE966">
        <f>IF($E966="","",IF(AND(COUNT($E$967:$E$970)&gt;=4,$C966=MAX($C$962:$C$970)),$C966,""))</f>
        <v>0</v>
      </c>
      <c r="BF966">
        <f>IF($E966="","",IF(AND(COUNT($E$967:$E$970)&gt;=4,$D966=MIN($D$962:$D$970)),$D966,""))</f>
        <v>0</v>
      </c>
      <c r="BG966">
        <f>IF($A966="","",$A966-WEEKDAY($A966,2)+1)</f>
        <v>0</v>
      </c>
      <c r="BH966">
        <f>IF($A966="","",IF($A965="",1,IF(BG966&lt;&gt;BG965,1,0)))</f>
        <v>0</v>
      </c>
      <c r="BI966">
        <f>IF($A966="","",IF($A967="",1,IF(BG967&lt;&gt;BG966,1,0)))</f>
        <v>0</v>
      </c>
      <c r="BJ966">
        <f>IF($A966="","",IF(BH966=1,$B966,BJ965))</f>
        <v>0</v>
      </c>
      <c r="BK966">
        <f>IF($A966="","",IF(BH966=1,$C966,MAX($C966,BK965)))</f>
        <v>0</v>
      </c>
      <c r="BL966">
        <f>IF($A966="","",IF(BH966=1,$D966,MIN($D966,BL965)))</f>
        <v>0</v>
      </c>
      <c r="BM966">
        <f>IF($A966="","",IF(BI966=1,F966,""))</f>
        <v>0</v>
      </c>
      <c r="BN966">
        <f>IF($A966="","",DATE(YEAR($A966),MONTH($A966),1))</f>
        <v>0</v>
      </c>
      <c r="BO966">
        <f>IF($A966="","",IF($A965="",1,IF(BN966&lt;&gt;BN965,1,0)))</f>
        <v>0</v>
      </c>
      <c r="BP966">
        <f>IF($A966="","",IF($A967="",1,IF(BN967&lt;&gt;BN966,1,0)))</f>
        <v>0</v>
      </c>
      <c r="BQ966">
        <f>IF($A966="","",IF(BO966=1,$B966,BQ965))</f>
        <v>0</v>
      </c>
      <c r="BR966">
        <f>IF($A966="","",IF(BO966=1,$C966,MAX($C966,BR965)))</f>
        <v>0</v>
      </c>
      <c r="BS966">
        <f>IF($A966="","",IF(BO966=1,$D966,MIN($D966,BS965)))</f>
        <v>0</v>
      </c>
      <c r="BT966">
        <f>IF($A966="","",IF(BP966=1,F966,""))</f>
        <v>0</v>
      </c>
    </row>
    <row r="967" spans="1:72">
      <c r="A967" s="27">
        <f>IF(Data!$A967="","",Data!$A967)</f>
        <v>0</v>
      </c>
      <c r="B967">
        <f>IF(Data!$B967="","",Data!$B967)</f>
        <v>0</v>
      </c>
      <c r="C967">
        <f>IF(Data!$C967="","",Data!$C967)</f>
        <v>0</v>
      </c>
      <c r="D967">
        <f>IF(Data!$D967="","",Data!$D967)</f>
        <v>0</v>
      </c>
      <c r="E967">
        <f>IF(Data!$E967="","",Data!$E967)</f>
        <v>0</v>
      </c>
      <c r="F967">
        <f>IF($E967="","",N(F966)+1)</f>
        <v>0</v>
      </c>
      <c r="G967">
        <f>IF(OR($E967="",$E966=""),"",LN($E967/$E966))</f>
        <v>0</v>
      </c>
      <c r="H967">
        <f>IF($E967="","",IF($E966="",$E967,$E967*0.0952380952+H966*0.9047619048))</f>
        <v>0</v>
      </c>
      <c r="I967">
        <f>IF($E967="","",IF($E966="",$E967,$E967*0.0392156863+I966*0.9607843137))</f>
        <v>0</v>
      </c>
      <c r="J967">
        <f>IF($E967="","",IF($E966="",$E967,$E967*0.0198019802+J966*0.9801980198))</f>
        <v>0</v>
      </c>
      <c r="K967">
        <f>IF($E967="","",IF($E966="",$E967,$E967*0.0099502488+K966*0.9900497512))</f>
        <v>0</v>
      </c>
      <c r="L967">
        <f>IF(OR($E967="",$E966=""),"",MAX($E967-$E966,0))</f>
        <v>0</v>
      </c>
      <c r="M967">
        <f>IF(OR($E967="",$E966=""),"",MAX($E966-$E967,0))</f>
        <v>0</v>
      </c>
      <c r="N967">
        <f>IF(COUNT($E$2:$E967)&lt;15,"",IF(AVERAGE($M$954:$M$967)=0,100,100-100/(1+AVERAGE($L$954:$L$967)/AVERAGE($M$954:$M$967))))</f>
        <v>0</v>
      </c>
      <c r="O967">
        <f>IF($E967="","",IF($E966="",$E967,$E967*0.1538461538+O966*0.8461538462))</f>
        <v>0</v>
      </c>
      <c r="P967">
        <f>IF($E967="","",IF($E966="",$E967,$E967*0.0740740741+P966*0.9259259259))</f>
        <v>0</v>
      </c>
      <c r="Q967">
        <f>IF(OR(O967="",P967=""),"",O967-P967)</f>
        <v>0</v>
      </c>
      <c r="R967">
        <f>IF(Q967="","",IF(R966="",Q967,Q967*0.2000000000+R966*0.8000000000))</f>
        <v>0</v>
      </c>
      <c r="S967">
        <f>IF(OR(Q967="",R967=""),"",Q967-R967)</f>
        <v>0</v>
      </c>
      <c r="T967">
        <f>IF(COUNT($E$2:$E967)&lt;14,"",MAX($C$954:$C$967))</f>
        <v>0</v>
      </c>
      <c r="U967">
        <f>IF(COUNT($E$2:$E967)&lt;14,"",MIN($D$954:$D$967))</f>
        <v>0</v>
      </c>
      <c r="V967">
        <f>IF(OR(T967="",U967="",T967=U967),"",100*($E967-U967)/(T967-U967))</f>
        <v>0</v>
      </c>
      <c r="W967">
        <f>IF(COUNT($V$965:$V$967)&lt;3,"",AVERAGE($V$965:$V$967))</f>
        <v>0</v>
      </c>
      <c r="X967">
        <f>IF(COUNT($N$954:$N$967)&lt;14,"",MIN($N$954:$N$967))</f>
        <v>0</v>
      </c>
      <c r="Y967">
        <f>IF(COUNT($N$954:$N$967)&lt;14,"",MAX($N$954:$N$967))</f>
        <v>0</v>
      </c>
      <c r="Z967">
        <f>IF(OR(N967="",X967="",Y967="",Y967=X967),"",100*(N967-X967)/(Y967-X967))</f>
        <v>0</v>
      </c>
      <c r="AA967">
        <f>IF(COUNT($Z$965:$Z$967)&lt;3,"",AVERAGE($Z$965:$Z$967))</f>
        <v>0</v>
      </c>
      <c r="AB967">
        <f>IF(COUNT($AA$965:$AA$967)&lt;3,"",AVERAGE($AA$965:$AA$967))</f>
        <v>0</v>
      </c>
      <c r="AC967">
        <f>IF($E967="","",MAX($C967-$D967,ABS($C967-$E966),ABS($D967-$E966)))</f>
        <v>0</v>
      </c>
      <c r="AD967">
        <f>IF(COUNT($E$2:$E967)&lt;15,"",AVERAGE($AC$954:$AC$967))</f>
        <v>0</v>
      </c>
      <c r="AE967">
        <f>IF(OR($E967="",$E966=""),"",IF(AND(($C967-$C966)&gt;($D966-$D967),($C967-$C966)&gt;0),$C967-$C966,0))</f>
        <v>0</v>
      </c>
      <c r="AF967">
        <f>IF(OR($E967="",$E966=""),"",IF(AND(($D966-$D967)&gt;($C967-$C966),($D966-$D967)&gt;0),$D966-$D967,0))</f>
        <v>0</v>
      </c>
      <c r="AG967">
        <f>IF(COUNT($E$2:$E967)&lt;15,"",IF(SUM($AC$954:$AC$967)=0,0,100*SUM($AE$954:$AE$967)/SUM($AC$954:$AC$967)))</f>
        <v>0</v>
      </c>
      <c r="AH967">
        <f>IF(COUNT($E$2:$E967)&lt;15,"",IF(SUM($AC$954:$AC$967)=0,0,100*SUM($AF$954:$AF$967)/SUM($AC$954:$AC$967)))</f>
        <v>0</v>
      </c>
      <c r="AI967">
        <f>IF(OR(AG967="",AH967=""),"",IF((AG967+AH967)=0,0,100*ABS(AG967-AH967)/(AG967+AH967)))</f>
        <v>0</v>
      </c>
      <c r="AJ967">
        <f>IF(COUNT($AI$954:$AI$967)&lt;14,"",AVERAGE($AI$954:$AI$967))</f>
        <v>0</v>
      </c>
      <c r="AK967">
        <f>IF(COUNT($E$2:$E967)&lt;20,"",AVERAGE($E$948:$E$967))</f>
        <v>0</v>
      </c>
      <c r="AL967">
        <f>IF(COUNT($E$2:$E967)&lt;20,"",STDEVP($E$948:$E$967))</f>
        <v>0</v>
      </c>
      <c r="AM967">
        <f>IF(AK967="","",AK967+2*AL967)</f>
        <v>0</v>
      </c>
      <c r="AN967">
        <f>IF(AK967="","",AK967-2*AL967)</f>
        <v>0</v>
      </c>
      <c r="AO967">
        <f>IF(OR(AM967="",AN967="",AM967=AN967),"",($E967-AN967)/(AM967-AN967))</f>
        <v>0</v>
      </c>
      <c r="AP967">
        <f>IF(OR(AM967="",AK967="",AK967=0),"",(AM967-AN967)/AK967)</f>
        <v>0</v>
      </c>
      <c r="AQ967">
        <f>IF(COUNT($E$2:$E967)&lt;20,"",MAX($C$948:$C$967))</f>
        <v>0</v>
      </c>
      <c r="AR967">
        <f>IF(COUNT($E$2:$E967)&lt;20,"",MIN($D$948:$D$967))</f>
        <v>0</v>
      </c>
      <c r="AS967">
        <f>IF(OR(AQ967="",AR967=""),"",(AQ967+AR967)/2)</f>
        <v>0</v>
      </c>
      <c r="AT967">
        <f>IF(COUNT($G$948:$G$967)&lt;20,"",STDEV($G$948:$G$967)*SQRT(252))</f>
        <v>0</v>
      </c>
      <c r="AU967">
        <f>IF(COUNT($E$2:$E967)&lt;9,"",(MAX($C$959:$C$967)+MIN($D$959:$D$967))/2)</f>
        <v>0</v>
      </c>
      <c r="AV967">
        <f>IF(COUNT($E$2:$E967)&lt;26,"",(MAX($C$942:$C$967)+MIN($D$942:$D$967))/2)</f>
        <v>0</v>
      </c>
      <c r="AW967">
        <f>IF(OR(AU967="",AV967=""),"",(AU967+AV967)/2)</f>
        <v>0</v>
      </c>
      <c r="AX967">
        <f>IF(COUNT($E$2:$E967)&lt;52,"",(MAX($C$916:$C$967)+MIN($D$916:$D$967))/2)</f>
        <v>0</v>
      </c>
      <c r="AY967">
        <f>IF(COUNT($E$2:$E967)&lt;20,"",MAX($C$868:$C$967))</f>
        <v>0</v>
      </c>
      <c r="AZ967">
        <f>IF(COUNT($E$2:$E967)&lt;20,"",MIN($D$868:$D$967))</f>
        <v>0</v>
      </c>
      <c r="BA967">
        <f>IF(COUNT($E$2:$E967)&lt;20,"",SLOPE($E$868:$E$967,$F$868:$F$967))</f>
        <v>0</v>
      </c>
      <c r="BB967">
        <f>IF(COUNT($E$2:$E967)&lt;20,"",INTERCEPT($E$868:$E$967,$F$868:$F$967))</f>
        <v>0</v>
      </c>
      <c r="BC967">
        <f>IF(OR(BA967="",BB967=""),"",BB967+BA967*F967)</f>
        <v>0</v>
      </c>
      <c r="BD967">
        <f>IF(COUNT($E$2:$E967)&lt;20,"",STEYX($E$868:$E$967,$F$868:$F$967))</f>
        <v>0</v>
      </c>
      <c r="BE967">
        <f>IF($E967="","",IF(AND(COUNT($E$968:$E$971)&gt;=4,$C967=MAX($C$963:$C$971)),$C967,""))</f>
        <v>0</v>
      </c>
      <c r="BF967">
        <f>IF($E967="","",IF(AND(COUNT($E$968:$E$971)&gt;=4,$D967=MIN($D$963:$D$971)),$D967,""))</f>
        <v>0</v>
      </c>
      <c r="BG967">
        <f>IF($A967="","",$A967-WEEKDAY($A967,2)+1)</f>
        <v>0</v>
      </c>
      <c r="BH967">
        <f>IF($A967="","",IF($A966="",1,IF(BG967&lt;&gt;BG966,1,0)))</f>
        <v>0</v>
      </c>
      <c r="BI967">
        <f>IF($A967="","",IF($A968="",1,IF(BG968&lt;&gt;BG967,1,0)))</f>
        <v>0</v>
      </c>
      <c r="BJ967">
        <f>IF($A967="","",IF(BH967=1,$B967,BJ966))</f>
        <v>0</v>
      </c>
      <c r="BK967">
        <f>IF($A967="","",IF(BH967=1,$C967,MAX($C967,BK966)))</f>
        <v>0</v>
      </c>
      <c r="BL967">
        <f>IF($A967="","",IF(BH967=1,$D967,MIN($D967,BL966)))</f>
        <v>0</v>
      </c>
      <c r="BM967">
        <f>IF($A967="","",IF(BI967=1,F967,""))</f>
        <v>0</v>
      </c>
      <c r="BN967">
        <f>IF($A967="","",DATE(YEAR($A967),MONTH($A967),1))</f>
        <v>0</v>
      </c>
      <c r="BO967">
        <f>IF($A967="","",IF($A966="",1,IF(BN967&lt;&gt;BN966,1,0)))</f>
        <v>0</v>
      </c>
      <c r="BP967">
        <f>IF($A967="","",IF($A968="",1,IF(BN968&lt;&gt;BN967,1,0)))</f>
        <v>0</v>
      </c>
      <c r="BQ967">
        <f>IF($A967="","",IF(BO967=1,$B967,BQ966))</f>
        <v>0</v>
      </c>
      <c r="BR967">
        <f>IF($A967="","",IF(BO967=1,$C967,MAX($C967,BR966)))</f>
        <v>0</v>
      </c>
      <c r="BS967">
        <f>IF($A967="","",IF(BO967=1,$D967,MIN($D967,BS966)))</f>
        <v>0</v>
      </c>
      <c r="BT967">
        <f>IF($A967="","",IF(BP967=1,F967,""))</f>
        <v>0</v>
      </c>
    </row>
    <row r="968" spans="1:72">
      <c r="A968" s="27">
        <f>IF(Data!$A968="","",Data!$A968)</f>
        <v>0</v>
      </c>
      <c r="B968">
        <f>IF(Data!$B968="","",Data!$B968)</f>
        <v>0</v>
      </c>
      <c r="C968">
        <f>IF(Data!$C968="","",Data!$C968)</f>
        <v>0</v>
      </c>
      <c r="D968">
        <f>IF(Data!$D968="","",Data!$D968)</f>
        <v>0</v>
      </c>
      <c r="E968">
        <f>IF(Data!$E968="","",Data!$E968)</f>
        <v>0</v>
      </c>
      <c r="F968">
        <f>IF($E968="","",N(F967)+1)</f>
        <v>0</v>
      </c>
      <c r="G968">
        <f>IF(OR($E968="",$E967=""),"",LN($E968/$E967))</f>
        <v>0</v>
      </c>
      <c r="H968">
        <f>IF($E968="","",IF($E967="",$E968,$E968*0.0952380952+H967*0.9047619048))</f>
        <v>0</v>
      </c>
      <c r="I968">
        <f>IF($E968="","",IF($E967="",$E968,$E968*0.0392156863+I967*0.9607843137))</f>
        <v>0</v>
      </c>
      <c r="J968">
        <f>IF($E968="","",IF($E967="",$E968,$E968*0.0198019802+J967*0.9801980198))</f>
        <v>0</v>
      </c>
      <c r="K968">
        <f>IF($E968="","",IF($E967="",$E968,$E968*0.0099502488+K967*0.9900497512))</f>
        <v>0</v>
      </c>
      <c r="L968">
        <f>IF(OR($E968="",$E967=""),"",MAX($E968-$E967,0))</f>
        <v>0</v>
      </c>
      <c r="M968">
        <f>IF(OR($E968="",$E967=""),"",MAX($E967-$E968,0))</f>
        <v>0</v>
      </c>
      <c r="N968">
        <f>IF(COUNT($E$2:$E968)&lt;15,"",IF(AVERAGE($M$955:$M$968)=0,100,100-100/(1+AVERAGE($L$955:$L$968)/AVERAGE($M$955:$M$968))))</f>
        <v>0</v>
      </c>
      <c r="O968">
        <f>IF($E968="","",IF($E967="",$E968,$E968*0.1538461538+O967*0.8461538462))</f>
        <v>0</v>
      </c>
      <c r="P968">
        <f>IF($E968="","",IF($E967="",$E968,$E968*0.0740740741+P967*0.9259259259))</f>
        <v>0</v>
      </c>
      <c r="Q968">
        <f>IF(OR(O968="",P968=""),"",O968-P968)</f>
        <v>0</v>
      </c>
      <c r="R968">
        <f>IF(Q968="","",IF(R967="",Q968,Q968*0.2000000000+R967*0.8000000000))</f>
        <v>0</v>
      </c>
      <c r="S968">
        <f>IF(OR(Q968="",R968=""),"",Q968-R968)</f>
        <v>0</v>
      </c>
      <c r="T968">
        <f>IF(COUNT($E$2:$E968)&lt;14,"",MAX($C$955:$C$968))</f>
        <v>0</v>
      </c>
      <c r="U968">
        <f>IF(COUNT($E$2:$E968)&lt;14,"",MIN($D$955:$D$968))</f>
        <v>0</v>
      </c>
      <c r="V968">
        <f>IF(OR(T968="",U968="",T968=U968),"",100*($E968-U968)/(T968-U968))</f>
        <v>0</v>
      </c>
      <c r="W968">
        <f>IF(COUNT($V$966:$V$968)&lt;3,"",AVERAGE($V$966:$V$968))</f>
        <v>0</v>
      </c>
      <c r="X968">
        <f>IF(COUNT($N$955:$N$968)&lt;14,"",MIN($N$955:$N$968))</f>
        <v>0</v>
      </c>
      <c r="Y968">
        <f>IF(COUNT($N$955:$N$968)&lt;14,"",MAX($N$955:$N$968))</f>
        <v>0</v>
      </c>
      <c r="Z968">
        <f>IF(OR(N968="",X968="",Y968="",Y968=X968),"",100*(N968-X968)/(Y968-X968))</f>
        <v>0</v>
      </c>
      <c r="AA968">
        <f>IF(COUNT($Z$966:$Z$968)&lt;3,"",AVERAGE($Z$966:$Z$968))</f>
        <v>0</v>
      </c>
      <c r="AB968">
        <f>IF(COUNT($AA$966:$AA$968)&lt;3,"",AVERAGE($AA$966:$AA$968))</f>
        <v>0</v>
      </c>
      <c r="AC968">
        <f>IF($E968="","",MAX($C968-$D968,ABS($C968-$E967),ABS($D968-$E967)))</f>
        <v>0</v>
      </c>
      <c r="AD968">
        <f>IF(COUNT($E$2:$E968)&lt;15,"",AVERAGE($AC$955:$AC$968))</f>
        <v>0</v>
      </c>
      <c r="AE968">
        <f>IF(OR($E968="",$E967=""),"",IF(AND(($C968-$C967)&gt;($D967-$D968),($C968-$C967)&gt;0),$C968-$C967,0))</f>
        <v>0</v>
      </c>
      <c r="AF968">
        <f>IF(OR($E968="",$E967=""),"",IF(AND(($D967-$D968)&gt;($C968-$C967),($D967-$D968)&gt;0),$D967-$D968,0))</f>
        <v>0</v>
      </c>
      <c r="AG968">
        <f>IF(COUNT($E$2:$E968)&lt;15,"",IF(SUM($AC$955:$AC$968)=0,0,100*SUM($AE$955:$AE$968)/SUM($AC$955:$AC$968)))</f>
        <v>0</v>
      </c>
      <c r="AH968">
        <f>IF(COUNT($E$2:$E968)&lt;15,"",IF(SUM($AC$955:$AC$968)=0,0,100*SUM($AF$955:$AF$968)/SUM($AC$955:$AC$968)))</f>
        <v>0</v>
      </c>
      <c r="AI968">
        <f>IF(OR(AG968="",AH968=""),"",IF((AG968+AH968)=0,0,100*ABS(AG968-AH968)/(AG968+AH968)))</f>
        <v>0</v>
      </c>
      <c r="AJ968">
        <f>IF(COUNT($AI$955:$AI$968)&lt;14,"",AVERAGE($AI$955:$AI$968))</f>
        <v>0</v>
      </c>
      <c r="AK968">
        <f>IF(COUNT($E$2:$E968)&lt;20,"",AVERAGE($E$949:$E$968))</f>
        <v>0</v>
      </c>
      <c r="AL968">
        <f>IF(COUNT($E$2:$E968)&lt;20,"",STDEVP($E$949:$E$968))</f>
        <v>0</v>
      </c>
      <c r="AM968">
        <f>IF(AK968="","",AK968+2*AL968)</f>
        <v>0</v>
      </c>
      <c r="AN968">
        <f>IF(AK968="","",AK968-2*AL968)</f>
        <v>0</v>
      </c>
      <c r="AO968">
        <f>IF(OR(AM968="",AN968="",AM968=AN968),"",($E968-AN968)/(AM968-AN968))</f>
        <v>0</v>
      </c>
      <c r="AP968">
        <f>IF(OR(AM968="",AK968="",AK968=0),"",(AM968-AN968)/AK968)</f>
        <v>0</v>
      </c>
      <c r="AQ968">
        <f>IF(COUNT($E$2:$E968)&lt;20,"",MAX($C$949:$C$968))</f>
        <v>0</v>
      </c>
      <c r="AR968">
        <f>IF(COUNT($E$2:$E968)&lt;20,"",MIN($D$949:$D$968))</f>
        <v>0</v>
      </c>
      <c r="AS968">
        <f>IF(OR(AQ968="",AR968=""),"",(AQ968+AR968)/2)</f>
        <v>0</v>
      </c>
      <c r="AT968">
        <f>IF(COUNT($G$949:$G$968)&lt;20,"",STDEV($G$949:$G$968)*SQRT(252))</f>
        <v>0</v>
      </c>
      <c r="AU968">
        <f>IF(COUNT($E$2:$E968)&lt;9,"",(MAX($C$960:$C$968)+MIN($D$960:$D$968))/2)</f>
        <v>0</v>
      </c>
      <c r="AV968">
        <f>IF(COUNT($E$2:$E968)&lt;26,"",(MAX($C$943:$C$968)+MIN($D$943:$D$968))/2)</f>
        <v>0</v>
      </c>
      <c r="AW968">
        <f>IF(OR(AU968="",AV968=""),"",(AU968+AV968)/2)</f>
        <v>0</v>
      </c>
      <c r="AX968">
        <f>IF(COUNT($E$2:$E968)&lt;52,"",(MAX($C$917:$C$968)+MIN($D$917:$D$968))/2)</f>
        <v>0</v>
      </c>
      <c r="AY968">
        <f>IF(COUNT($E$2:$E968)&lt;20,"",MAX($C$869:$C$968))</f>
        <v>0</v>
      </c>
      <c r="AZ968">
        <f>IF(COUNT($E$2:$E968)&lt;20,"",MIN($D$869:$D$968))</f>
        <v>0</v>
      </c>
      <c r="BA968">
        <f>IF(COUNT($E$2:$E968)&lt;20,"",SLOPE($E$869:$E$968,$F$869:$F$968))</f>
        <v>0</v>
      </c>
      <c r="BB968">
        <f>IF(COUNT($E$2:$E968)&lt;20,"",INTERCEPT($E$869:$E$968,$F$869:$F$968))</f>
        <v>0</v>
      </c>
      <c r="BC968">
        <f>IF(OR(BA968="",BB968=""),"",BB968+BA968*F968)</f>
        <v>0</v>
      </c>
      <c r="BD968">
        <f>IF(COUNT($E$2:$E968)&lt;20,"",STEYX($E$869:$E$968,$F$869:$F$968))</f>
        <v>0</v>
      </c>
      <c r="BE968">
        <f>IF($E968="","",IF(AND(COUNT($E$969:$E$972)&gt;=4,$C968=MAX($C$964:$C$972)),$C968,""))</f>
        <v>0</v>
      </c>
      <c r="BF968">
        <f>IF($E968="","",IF(AND(COUNT($E$969:$E$972)&gt;=4,$D968=MIN($D$964:$D$972)),$D968,""))</f>
        <v>0</v>
      </c>
      <c r="BG968">
        <f>IF($A968="","",$A968-WEEKDAY($A968,2)+1)</f>
        <v>0</v>
      </c>
      <c r="BH968">
        <f>IF($A968="","",IF($A967="",1,IF(BG968&lt;&gt;BG967,1,0)))</f>
        <v>0</v>
      </c>
      <c r="BI968">
        <f>IF($A968="","",IF($A969="",1,IF(BG969&lt;&gt;BG968,1,0)))</f>
        <v>0</v>
      </c>
      <c r="BJ968">
        <f>IF($A968="","",IF(BH968=1,$B968,BJ967))</f>
        <v>0</v>
      </c>
      <c r="BK968">
        <f>IF($A968="","",IF(BH968=1,$C968,MAX($C968,BK967)))</f>
        <v>0</v>
      </c>
      <c r="BL968">
        <f>IF($A968="","",IF(BH968=1,$D968,MIN($D968,BL967)))</f>
        <v>0</v>
      </c>
      <c r="BM968">
        <f>IF($A968="","",IF(BI968=1,F968,""))</f>
        <v>0</v>
      </c>
      <c r="BN968">
        <f>IF($A968="","",DATE(YEAR($A968),MONTH($A968),1))</f>
        <v>0</v>
      </c>
      <c r="BO968">
        <f>IF($A968="","",IF($A967="",1,IF(BN968&lt;&gt;BN967,1,0)))</f>
        <v>0</v>
      </c>
      <c r="BP968">
        <f>IF($A968="","",IF($A969="",1,IF(BN969&lt;&gt;BN968,1,0)))</f>
        <v>0</v>
      </c>
      <c r="BQ968">
        <f>IF($A968="","",IF(BO968=1,$B968,BQ967))</f>
        <v>0</v>
      </c>
      <c r="BR968">
        <f>IF($A968="","",IF(BO968=1,$C968,MAX($C968,BR967)))</f>
        <v>0</v>
      </c>
      <c r="BS968">
        <f>IF($A968="","",IF(BO968=1,$D968,MIN($D968,BS967)))</f>
        <v>0</v>
      </c>
      <c r="BT968">
        <f>IF($A968="","",IF(BP968=1,F968,""))</f>
        <v>0</v>
      </c>
    </row>
    <row r="969" spans="1:72">
      <c r="A969" s="27">
        <f>IF(Data!$A969="","",Data!$A969)</f>
        <v>0</v>
      </c>
      <c r="B969">
        <f>IF(Data!$B969="","",Data!$B969)</f>
        <v>0</v>
      </c>
      <c r="C969">
        <f>IF(Data!$C969="","",Data!$C969)</f>
        <v>0</v>
      </c>
      <c r="D969">
        <f>IF(Data!$D969="","",Data!$D969)</f>
        <v>0</v>
      </c>
      <c r="E969">
        <f>IF(Data!$E969="","",Data!$E969)</f>
        <v>0</v>
      </c>
      <c r="F969">
        <f>IF($E969="","",N(F968)+1)</f>
        <v>0</v>
      </c>
      <c r="G969">
        <f>IF(OR($E969="",$E968=""),"",LN($E969/$E968))</f>
        <v>0</v>
      </c>
      <c r="H969">
        <f>IF($E969="","",IF($E968="",$E969,$E969*0.0952380952+H968*0.9047619048))</f>
        <v>0</v>
      </c>
      <c r="I969">
        <f>IF($E969="","",IF($E968="",$E969,$E969*0.0392156863+I968*0.9607843137))</f>
        <v>0</v>
      </c>
      <c r="J969">
        <f>IF($E969="","",IF($E968="",$E969,$E969*0.0198019802+J968*0.9801980198))</f>
        <v>0</v>
      </c>
      <c r="K969">
        <f>IF($E969="","",IF($E968="",$E969,$E969*0.0099502488+K968*0.9900497512))</f>
        <v>0</v>
      </c>
      <c r="L969">
        <f>IF(OR($E969="",$E968=""),"",MAX($E969-$E968,0))</f>
        <v>0</v>
      </c>
      <c r="M969">
        <f>IF(OR($E969="",$E968=""),"",MAX($E968-$E969,0))</f>
        <v>0</v>
      </c>
      <c r="N969">
        <f>IF(COUNT($E$2:$E969)&lt;15,"",IF(AVERAGE($M$956:$M$969)=0,100,100-100/(1+AVERAGE($L$956:$L$969)/AVERAGE($M$956:$M$969))))</f>
        <v>0</v>
      </c>
      <c r="O969">
        <f>IF($E969="","",IF($E968="",$E969,$E969*0.1538461538+O968*0.8461538462))</f>
        <v>0</v>
      </c>
      <c r="P969">
        <f>IF($E969="","",IF($E968="",$E969,$E969*0.0740740741+P968*0.9259259259))</f>
        <v>0</v>
      </c>
      <c r="Q969">
        <f>IF(OR(O969="",P969=""),"",O969-P969)</f>
        <v>0</v>
      </c>
      <c r="R969">
        <f>IF(Q969="","",IF(R968="",Q969,Q969*0.2000000000+R968*0.8000000000))</f>
        <v>0</v>
      </c>
      <c r="S969">
        <f>IF(OR(Q969="",R969=""),"",Q969-R969)</f>
        <v>0</v>
      </c>
      <c r="T969">
        <f>IF(COUNT($E$2:$E969)&lt;14,"",MAX($C$956:$C$969))</f>
        <v>0</v>
      </c>
      <c r="U969">
        <f>IF(COUNT($E$2:$E969)&lt;14,"",MIN($D$956:$D$969))</f>
        <v>0</v>
      </c>
      <c r="V969">
        <f>IF(OR(T969="",U969="",T969=U969),"",100*($E969-U969)/(T969-U969))</f>
        <v>0</v>
      </c>
      <c r="W969">
        <f>IF(COUNT($V$967:$V$969)&lt;3,"",AVERAGE($V$967:$V$969))</f>
        <v>0</v>
      </c>
      <c r="X969">
        <f>IF(COUNT($N$956:$N$969)&lt;14,"",MIN($N$956:$N$969))</f>
        <v>0</v>
      </c>
      <c r="Y969">
        <f>IF(COUNT($N$956:$N$969)&lt;14,"",MAX($N$956:$N$969))</f>
        <v>0</v>
      </c>
      <c r="Z969">
        <f>IF(OR(N969="",X969="",Y969="",Y969=X969),"",100*(N969-X969)/(Y969-X969))</f>
        <v>0</v>
      </c>
      <c r="AA969">
        <f>IF(COUNT($Z$967:$Z$969)&lt;3,"",AVERAGE($Z$967:$Z$969))</f>
        <v>0</v>
      </c>
      <c r="AB969">
        <f>IF(COUNT($AA$967:$AA$969)&lt;3,"",AVERAGE($AA$967:$AA$969))</f>
        <v>0</v>
      </c>
      <c r="AC969">
        <f>IF($E969="","",MAX($C969-$D969,ABS($C969-$E968),ABS($D969-$E968)))</f>
        <v>0</v>
      </c>
      <c r="AD969">
        <f>IF(COUNT($E$2:$E969)&lt;15,"",AVERAGE($AC$956:$AC$969))</f>
        <v>0</v>
      </c>
      <c r="AE969">
        <f>IF(OR($E969="",$E968=""),"",IF(AND(($C969-$C968)&gt;($D968-$D969),($C969-$C968)&gt;0),$C969-$C968,0))</f>
        <v>0</v>
      </c>
      <c r="AF969">
        <f>IF(OR($E969="",$E968=""),"",IF(AND(($D968-$D969)&gt;($C969-$C968),($D968-$D969)&gt;0),$D968-$D969,0))</f>
        <v>0</v>
      </c>
      <c r="AG969">
        <f>IF(COUNT($E$2:$E969)&lt;15,"",IF(SUM($AC$956:$AC$969)=0,0,100*SUM($AE$956:$AE$969)/SUM($AC$956:$AC$969)))</f>
        <v>0</v>
      </c>
      <c r="AH969">
        <f>IF(COUNT($E$2:$E969)&lt;15,"",IF(SUM($AC$956:$AC$969)=0,0,100*SUM($AF$956:$AF$969)/SUM($AC$956:$AC$969)))</f>
        <v>0</v>
      </c>
      <c r="AI969">
        <f>IF(OR(AG969="",AH969=""),"",IF((AG969+AH969)=0,0,100*ABS(AG969-AH969)/(AG969+AH969)))</f>
        <v>0</v>
      </c>
      <c r="AJ969">
        <f>IF(COUNT($AI$956:$AI$969)&lt;14,"",AVERAGE($AI$956:$AI$969))</f>
        <v>0</v>
      </c>
      <c r="AK969">
        <f>IF(COUNT($E$2:$E969)&lt;20,"",AVERAGE($E$950:$E$969))</f>
        <v>0</v>
      </c>
      <c r="AL969">
        <f>IF(COUNT($E$2:$E969)&lt;20,"",STDEVP($E$950:$E$969))</f>
        <v>0</v>
      </c>
      <c r="AM969">
        <f>IF(AK969="","",AK969+2*AL969)</f>
        <v>0</v>
      </c>
      <c r="AN969">
        <f>IF(AK969="","",AK969-2*AL969)</f>
        <v>0</v>
      </c>
      <c r="AO969">
        <f>IF(OR(AM969="",AN969="",AM969=AN969),"",($E969-AN969)/(AM969-AN969))</f>
        <v>0</v>
      </c>
      <c r="AP969">
        <f>IF(OR(AM969="",AK969="",AK969=0),"",(AM969-AN969)/AK969)</f>
        <v>0</v>
      </c>
      <c r="AQ969">
        <f>IF(COUNT($E$2:$E969)&lt;20,"",MAX($C$950:$C$969))</f>
        <v>0</v>
      </c>
      <c r="AR969">
        <f>IF(COUNT($E$2:$E969)&lt;20,"",MIN($D$950:$D$969))</f>
        <v>0</v>
      </c>
      <c r="AS969">
        <f>IF(OR(AQ969="",AR969=""),"",(AQ969+AR969)/2)</f>
        <v>0</v>
      </c>
      <c r="AT969">
        <f>IF(COUNT($G$950:$G$969)&lt;20,"",STDEV($G$950:$G$969)*SQRT(252))</f>
        <v>0</v>
      </c>
      <c r="AU969">
        <f>IF(COUNT($E$2:$E969)&lt;9,"",(MAX($C$961:$C$969)+MIN($D$961:$D$969))/2)</f>
        <v>0</v>
      </c>
      <c r="AV969">
        <f>IF(COUNT($E$2:$E969)&lt;26,"",(MAX($C$944:$C$969)+MIN($D$944:$D$969))/2)</f>
        <v>0</v>
      </c>
      <c r="AW969">
        <f>IF(OR(AU969="",AV969=""),"",(AU969+AV969)/2)</f>
        <v>0</v>
      </c>
      <c r="AX969">
        <f>IF(COUNT($E$2:$E969)&lt;52,"",(MAX($C$918:$C$969)+MIN($D$918:$D$969))/2)</f>
        <v>0</v>
      </c>
      <c r="AY969">
        <f>IF(COUNT($E$2:$E969)&lt;20,"",MAX($C$870:$C$969))</f>
        <v>0</v>
      </c>
      <c r="AZ969">
        <f>IF(COUNT($E$2:$E969)&lt;20,"",MIN($D$870:$D$969))</f>
        <v>0</v>
      </c>
      <c r="BA969">
        <f>IF(COUNT($E$2:$E969)&lt;20,"",SLOPE($E$870:$E$969,$F$870:$F$969))</f>
        <v>0</v>
      </c>
      <c r="BB969">
        <f>IF(COUNT($E$2:$E969)&lt;20,"",INTERCEPT($E$870:$E$969,$F$870:$F$969))</f>
        <v>0</v>
      </c>
      <c r="BC969">
        <f>IF(OR(BA969="",BB969=""),"",BB969+BA969*F969)</f>
        <v>0</v>
      </c>
      <c r="BD969">
        <f>IF(COUNT($E$2:$E969)&lt;20,"",STEYX($E$870:$E$969,$F$870:$F$969))</f>
        <v>0</v>
      </c>
      <c r="BE969">
        <f>IF($E969="","",IF(AND(COUNT($E$970:$E$973)&gt;=4,$C969=MAX($C$965:$C$973)),$C969,""))</f>
        <v>0</v>
      </c>
      <c r="BF969">
        <f>IF($E969="","",IF(AND(COUNT($E$970:$E$973)&gt;=4,$D969=MIN($D$965:$D$973)),$D969,""))</f>
        <v>0</v>
      </c>
      <c r="BG969">
        <f>IF($A969="","",$A969-WEEKDAY($A969,2)+1)</f>
        <v>0</v>
      </c>
      <c r="BH969">
        <f>IF($A969="","",IF($A968="",1,IF(BG969&lt;&gt;BG968,1,0)))</f>
        <v>0</v>
      </c>
      <c r="BI969">
        <f>IF($A969="","",IF($A970="",1,IF(BG970&lt;&gt;BG969,1,0)))</f>
        <v>0</v>
      </c>
      <c r="BJ969">
        <f>IF($A969="","",IF(BH969=1,$B969,BJ968))</f>
        <v>0</v>
      </c>
      <c r="BK969">
        <f>IF($A969="","",IF(BH969=1,$C969,MAX($C969,BK968)))</f>
        <v>0</v>
      </c>
      <c r="BL969">
        <f>IF($A969="","",IF(BH969=1,$D969,MIN($D969,BL968)))</f>
        <v>0</v>
      </c>
      <c r="BM969">
        <f>IF($A969="","",IF(BI969=1,F969,""))</f>
        <v>0</v>
      </c>
      <c r="BN969">
        <f>IF($A969="","",DATE(YEAR($A969),MONTH($A969),1))</f>
        <v>0</v>
      </c>
      <c r="BO969">
        <f>IF($A969="","",IF($A968="",1,IF(BN969&lt;&gt;BN968,1,0)))</f>
        <v>0</v>
      </c>
      <c r="BP969">
        <f>IF($A969="","",IF($A970="",1,IF(BN970&lt;&gt;BN969,1,0)))</f>
        <v>0</v>
      </c>
      <c r="BQ969">
        <f>IF($A969="","",IF(BO969=1,$B969,BQ968))</f>
        <v>0</v>
      </c>
      <c r="BR969">
        <f>IF($A969="","",IF(BO969=1,$C969,MAX($C969,BR968)))</f>
        <v>0</v>
      </c>
      <c r="BS969">
        <f>IF($A969="","",IF(BO969=1,$D969,MIN($D969,BS968)))</f>
        <v>0</v>
      </c>
      <c r="BT969">
        <f>IF($A969="","",IF(BP969=1,F969,""))</f>
        <v>0</v>
      </c>
    </row>
    <row r="970" spans="1:72">
      <c r="A970" s="27">
        <f>IF(Data!$A970="","",Data!$A970)</f>
        <v>0</v>
      </c>
      <c r="B970">
        <f>IF(Data!$B970="","",Data!$B970)</f>
        <v>0</v>
      </c>
      <c r="C970">
        <f>IF(Data!$C970="","",Data!$C970)</f>
        <v>0</v>
      </c>
      <c r="D970">
        <f>IF(Data!$D970="","",Data!$D970)</f>
        <v>0</v>
      </c>
      <c r="E970">
        <f>IF(Data!$E970="","",Data!$E970)</f>
        <v>0</v>
      </c>
      <c r="F970">
        <f>IF($E970="","",N(F969)+1)</f>
        <v>0</v>
      </c>
      <c r="G970">
        <f>IF(OR($E970="",$E969=""),"",LN($E970/$E969))</f>
        <v>0</v>
      </c>
      <c r="H970">
        <f>IF($E970="","",IF($E969="",$E970,$E970*0.0952380952+H969*0.9047619048))</f>
        <v>0</v>
      </c>
      <c r="I970">
        <f>IF($E970="","",IF($E969="",$E970,$E970*0.0392156863+I969*0.9607843137))</f>
        <v>0</v>
      </c>
      <c r="J970">
        <f>IF($E970="","",IF($E969="",$E970,$E970*0.0198019802+J969*0.9801980198))</f>
        <v>0</v>
      </c>
      <c r="K970">
        <f>IF($E970="","",IF($E969="",$E970,$E970*0.0099502488+K969*0.9900497512))</f>
        <v>0</v>
      </c>
      <c r="L970">
        <f>IF(OR($E970="",$E969=""),"",MAX($E970-$E969,0))</f>
        <v>0</v>
      </c>
      <c r="M970">
        <f>IF(OR($E970="",$E969=""),"",MAX($E969-$E970,0))</f>
        <v>0</v>
      </c>
      <c r="N970">
        <f>IF(COUNT($E$2:$E970)&lt;15,"",IF(AVERAGE($M$957:$M$970)=0,100,100-100/(1+AVERAGE($L$957:$L$970)/AVERAGE($M$957:$M$970))))</f>
        <v>0</v>
      </c>
      <c r="O970">
        <f>IF($E970="","",IF($E969="",$E970,$E970*0.1538461538+O969*0.8461538462))</f>
        <v>0</v>
      </c>
      <c r="P970">
        <f>IF($E970="","",IF($E969="",$E970,$E970*0.0740740741+P969*0.9259259259))</f>
        <v>0</v>
      </c>
      <c r="Q970">
        <f>IF(OR(O970="",P970=""),"",O970-P970)</f>
        <v>0</v>
      </c>
      <c r="R970">
        <f>IF(Q970="","",IF(R969="",Q970,Q970*0.2000000000+R969*0.8000000000))</f>
        <v>0</v>
      </c>
      <c r="S970">
        <f>IF(OR(Q970="",R970=""),"",Q970-R970)</f>
        <v>0</v>
      </c>
      <c r="T970">
        <f>IF(COUNT($E$2:$E970)&lt;14,"",MAX($C$957:$C$970))</f>
        <v>0</v>
      </c>
      <c r="U970">
        <f>IF(COUNT($E$2:$E970)&lt;14,"",MIN($D$957:$D$970))</f>
        <v>0</v>
      </c>
      <c r="V970">
        <f>IF(OR(T970="",U970="",T970=U970),"",100*($E970-U970)/(T970-U970))</f>
        <v>0</v>
      </c>
      <c r="W970">
        <f>IF(COUNT($V$968:$V$970)&lt;3,"",AVERAGE($V$968:$V$970))</f>
        <v>0</v>
      </c>
      <c r="X970">
        <f>IF(COUNT($N$957:$N$970)&lt;14,"",MIN($N$957:$N$970))</f>
        <v>0</v>
      </c>
      <c r="Y970">
        <f>IF(COUNT($N$957:$N$970)&lt;14,"",MAX($N$957:$N$970))</f>
        <v>0</v>
      </c>
      <c r="Z970">
        <f>IF(OR(N970="",X970="",Y970="",Y970=X970),"",100*(N970-X970)/(Y970-X970))</f>
        <v>0</v>
      </c>
      <c r="AA970">
        <f>IF(COUNT($Z$968:$Z$970)&lt;3,"",AVERAGE($Z$968:$Z$970))</f>
        <v>0</v>
      </c>
      <c r="AB970">
        <f>IF(COUNT($AA$968:$AA$970)&lt;3,"",AVERAGE($AA$968:$AA$970))</f>
        <v>0</v>
      </c>
      <c r="AC970">
        <f>IF($E970="","",MAX($C970-$D970,ABS($C970-$E969),ABS($D970-$E969)))</f>
        <v>0</v>
      </c>
      <c r="AD970">
        <f>IF(COUNT($E$2:$E970)&lt;15,"",AVERAGE($AC$957:$AC$970))</f>
        <v>0</v>
      </c>
      <c r="AE970">
        <f>IF(OR($E970="",$E969=""),"",IF(AND(($C970-$C969)&gt;($D969-$D970),($C970-$C969)&gt;0),$C970-$C969,0))</f>
        <v>0</v>
      </c>
      <c r="AF970">
        <f>IF(OR($E970="",$E969=""),"",IF(AND(($D969-$D970)&gt;($C970-$C969),($D969-$D970)&gt;0),$D969-$D970,0))</f>
        <v>0</v>
      </c>
      <c r="AG970">
        <f>IF(COUNT($E$2:$E970)&lt;15,"",IF(SUM($AC$957:$AC$970)=0,0,100*SUM($AE$957:$AE$970)/SUM($AC$957:$AC$970)))</f>
        <v>0</v>
      </c>
      <c r="AH970">
        <f>IF(COUNT($E$2:$E970)&lt;15,"",IF(SUM($AC$957:$AC$970)=0,0,100*SUM($AF$957:$AF$970)/SUM($AC$957:$AC$970)))</f>
        <v>0</v>
      </c>
      <c r="AI970">
        <f>IF(OR(AG970="",AH970=""),"",IF((AG970+AH970)=0,0,100*ABS(AG970-AH970)/(AG970+AH970)))</f>
        <v>0</v>
      </c>
      <c r="AJ970">
        <f>IF(COUNT($AI$957:$AI$970)&lt;14,"",AVERAGE($AI$957:$AI$970))</f>
        <v>0</v>
      </c>
      <c r="AK970">
        <f>IF(COUNT($E$2:$E970)&lt;20,"",AVERAGE($E$951:$E$970))</f>
        <v>0</v>
      </c>
      <c r="AL970">
        <f>IF(COUNT($E$2:$E970)&lt;20,"",STDEVP($E$951:$E$970))</f>
        <v>0</v>
      </c>
      <c r="AM970">
        <f>IF(AK970="","",AK970+2*AL970)</f>
        <v>0</v>
      </c>
      <c r="AN970">
        <f>IF(AK970="","",AK970-2*AL970)</f>
        <v>0</v>
      </c>
      <c r="AO970">
        <f>IF(OR(AM970="",AN970="",AM970=AN970),"",($E970-AN970)/(AM970-AN970))</f>
        <v>0</v>
      </c>
      <c r="AP970">
        <f>IF(OR(AM970="",AK970="",AK970=0),"",(AM970-AN970)/AK970)</f>
        <v>0</v>
      </c>
      <c r="AQ970">
        <f>IF(COUNT($E$2:$E970)&lt;20,"",MAX($C$951:$C$970))</f>
        <v>0</v>
      </c>
      <c r="AR970">
        <f>IF(COUNT($E$2:$E970)&lt;20,"",MIN($D$951:$D$970))</f>
        <v>0</v>
      </c>
      <c r="AS970">
        <f>IF(OR(AQ970="",AR970=""),"",(AQ970+AR970)/2)</f>
        <v>0</v>
      </c>
      <c r="AT970">
        <f>IF(COUNT($G$951:$G$970)&lt;20,"",STDEV($G$951:$G$970)*SQRT(252))</f>
        <v>0</v>
      </c>
      <c r="AU970">
        <f>IF(COUNT($E$2:$E970)&lt;9,"",(MAX($C$962:$C$970)+MIN($D$962:$D$970))/2)</f>
        <v>0</v>
      </c>
      <c r="AV970">
        <f>IF(COUNT($E$2:$E970)&lt;26,"",(MAX($C$945:$C$970)+MIN($D$945:$D$970))/2)</f>
        <v>0</v>
      </c>
      <c r="AW970">
        <f>IF(OR(AU970="",AV970=""),"",(AU970+AV970)/2)</f>
        <v>0</v>
      </c>
      <c r="AX970">
        <f>IF(COUNT($E$2:$E970)&lt;52,"",(MAX($C$919:$C$970)+MIN($D$919:$D$970))/2)</f>
        <v>0</v>
      </c>
      <c r="AY970">
        <f>IF(COUNT($E$2:$E970)&lt;20,"",MAX($C$871:$C$970))</f>
        <v>0</v>
      </c>
      <c r="AZ970">
        <f>IF(COUNT($E$2:$E970)&lt;20,"",MIN($D$871:$D$970))</f>
        <v>0</v>
      </c>
      <c r="BA970">
        <f>IF(COUNT($E$2:$E970)&lt;20,"",SLOPE($E$871:$E$970,$F$871:$F$970))</f>
        <v>0</v>
      </c>
      <c r="BB970">
        <f>IF(COUNT($E$2:$E970)&lt;20,"",INTERCEPT($E$871:$E$970,$F$871:$F$970))</f>
        <v>0</v>
      </c>
      <c r="BC970">
        <f>IF(OR(BA970="",BB970=""),"",BB970+BA970*F970)</f>
        <v>0</v>
      </c>
      <c r="BD970">
        <f>IF(COUNT($E$2:$E970)&lt;20,"",STEYX($E$871:$E$970,$F$871:$F$970))</f>
        <v>0</v>
      </c>
      <c r="BE970">
        <f>IF($E970="","",IF(AND(COUNT($E$971:$E$974)&gt;=4,$C970=MAX($C$966:$C$974)),$C970,""))</f>
        <v>0</v>
      </c>
      <c r="BF970">
        <f>IF($E970="","",IF(AND(COUNT($E$971:$E$974)&gt;=4,$D970=MIN($D$966:$D$974)),$D970,""))</f>
        <v>0</v>
      </c>
      <c r="BG970">
        <f>IF($A970="","",$A970-WEEKDAY($A970,2)+1)</f>
        <v>0</v>
      </c>
      <c r="BH970">
        <f>IF($A970="","",IF($A969="",1,IF(BG970&lt;&gt;BG969,1,0)))</f>
        <v>0</v>
      </c>
      <c r="BI970">
        <f>IF($A970="","",IF($A971="",1,IF(BG971&lt;&gt;BG970,1,0)))</f>
        <v>0</v>
      </c>
      <c r="BJ970">
        <f>IF($A970="","",IF(BH970=1,$B970,BJ969))</f>
        <v>0</v>
      </c>
      <c r="BK970">
        <f>IF($A970="","",IF(BH970=1,$C970,MAX($C970,BK969)))</f>
        <v>0</v>
      </c>
      <c r="BL970">
        <f>IF($A970="","",IF(BH970=1,$D970,MIN($D970,BL969)))</f>
        <v>0</v>
      </c>
      <c r="BM970">
        <f>IF($A970="","",IF(BI970=1,F970,""))</f>
        <v>0</v>
      </c>
      <c r="BN970">
        <f>IF($A970="","",DATE(YEAR($A970),MONTH($A970),1))</f>
        <v>0</v>
      </c>
      <c r="BO970">
        <f>IF($A970="","",IF($A969="",1,IF(BN970&lt;&gt;BN969,1,0)))</f>
        <v>0</v>
      </c>
      <c r="BP970">
        <f>IF($A970="","",IF($A971="",1,IF(BN971&lt;&gt;BN970,1,0)))</f>
        <v>0</v>
      </c>
      <c r="BQ970">
        <f>IF($A970="","",IF(BO970=1,$B970,BQ969))</f>
        <v>0</v>
      </c>
      <c r="BR970">
        <f>IF($A970="","",IF(BO970=1,$C970,MAX($C970,BR969)))</f>
        <v>0</v>
      </c>
      <c r="BS970">
        <f>IF($A970="","",IF(BO970=1,$D970,MIN($D970,BS969)))</f>
        <v>0</v>
      </c>
      <c r="BT970">
        <f>IF($A970="","",IF(BP970=1,F970,""))</f>
        <v>0</v>
      </c>
    </row>
    <row r="971" spans="1:72">
      <c r="A971" s="27">
        <f>IF(Data!$A971="","",Data!$A971)</f>
        <v>0</v>
      </c>
      <c r="B971">
        <f>IF(Data!$B971="","",Data!$B971)</f>
        <v>0</v>
      </c>
      <c r="C971">
        <f>IF(Data!$C971="","",Data!$C971)</f>
        <v>0</v>
      </c>
      <c r="D971">
        <f>IF(Data!$D971="","",Data!$D971)</f>
        <v>0</v>
      </c>
      <c r="E971">
        <f>IF(Data!$E971="","",Data!$E971)</f>
        <v>0</v>
      </c>
      <c r="F971">
        <f>IF($E971="","",N(F970)+1)</f>
        <v>0</v>
      </c>
      <c r="G971">
        <f>IF(OR($E971="",$E970=""),"",LN($E971/$E970))</f>
        <v>0</v>
      </c>
      <c r="H971">
        <f>IF($E971="","",IF($E970="",$E971,$E971*0.0952380952+H970*0.9047619048))</f>
        <v>0</v>
      </c>
      <c r="I971">
        <f>IF($E971="","",IF($E970="",$E971,$E971*0.0392156863+I970*0.9607843137))</f>
        <v>0</v>
      </c>
      <c r="J971">
        <f>IF($E971="","",IF($E970="",$E971,$E971*0.0198019802+J970*0.9801980198))</f>
        <v>0</v>
      </c>
      <c r="K971">
        <f>IF($E971="","",IF($E970="",$E971,$E971*0.0099502488+K970*0.9900497512))</f>
        <v>0</v>
      </c>
      <c r="L971">
        <f>IF(OR($E971="",$E970=""),"",MAX($E971-$E970,0))</f>
        <v>0</v>
      </c>
      <c r="M971">
        <f>IF(OR($E971="",$E970=""),"",MAX($E970-$E971,0))</f>
        <v>0</v>
      </c>
      <c r="N971">
        <f>IF(COUNT($E$2:$E971)&lt;15,"",IF(AVERAGE($M$958:$M$971)=0,100,100-100/(1+AVERAGE($L$958:$L$971)/AVERAGE($M$958:$M$971))))</f>
        <v>0</v>
      </c>
      <c r="O971">
        <f>IF($E971="","",IF($E970="",$E971,$E971*0.1538461538+O970*0.8461538462))</f>
        <v>0</v>
      </c>
      <c r="P971">
        <f>IF($E971="","",IF($E970="",$E971,$E971*0.0740740741+P970*0.9259259259))</f>
        <v>0</v>
      </c>
      <c r="Q971">
        <f>IF(OR(O971="",P971=""),"",O971-P971)</f>
        <v>0</v>
      </c>
      <c r="R971">
        <f>IF(Q971="","",IF(R970="",Q971,Q971*0.2000000000+R970*0.8000000000))</f>
        <v>0</v>
      </c>
      <c r="S971">
        <f>IF(OR(Q971="",R971=""),"",Q971-R971)</f>
        <v>0</v>
      </c>
      <c r="T971">
        <f>IF(COUNT($E$2:$E971)&lt;14,"",MAX($C$958:$C$971))</f>
        <v>0</v>
      </c>
      <c r="U971">
        <f>IF(COUNT($E$2:$E971)&lt;14,"",MIN($D$958:$D$971))</f>
        <v>0</v>
      </c>
      <c r="V971">
        <f>IF(OR(T971="",U971="",T971=U971),"",100*($E971-U971)/(T971-U971))</f>
        <v>0</v>
      </c>
      <c r="W971">
        <f>IF(COUNT($V$969:$V$971)&lt;3,"",AVERAGE($V$969:$V$971))</f>
        <v>0</v>
      </c>
      <c r="X971">
        <f>IF(COUNT($N$958:$N$971)&lt;14,"",MIN($N$958:$N$971))</f>
        <v>0</v>
      </c>
      <c r="Y971">
        <f>IF(COUNT($N$958:$N$971)&lt;14,"",MAX($N$958:$N$971))</f>
        <v>0</v>
      </c>
      <c r="Z971">
        <f>IF(OR(N971="",X971="",Y971="",Y971=X971),"",100*(N971-X971)/(Y971-X971))</f>
        <v>0</v>
      </c>
      <c r="AA971">
        <f>IF(COUNT($Z$969:$Z$971)&lt;3,"",AVERAGE($Z$969:$Z$971))</f>
        <v>0</v>
      </c>
      <c r="AB971">
        <f>IF(COUNT($AA$969:$AA$971)&lt;3,"",AVERAGE($AA$969:$AA$971))</f>
        <v>0</v>
      </c>
      <c r="AC971">
        <f>IF($E971="","",MAX($C971-$D971,ABS($C971-$E970),ABS($D971-$E970)))</f>
        <v>0</v>
      </c>
      <c r="AD971">
        <f>IF(COUNT($E$2:$E971)&lt;15,"",AVERAGE($AC$958:$AC$971))</f>
        <v>0</v>
      </c>
      <c r="AE971">
        <f>IF(OR($E971="",$E970=""),"",IF(AND(($C971-$C970)&gt;($D970-$D971),($C971-$C970)&gt;0),$C971-$C970,0))</f>
        <v>0</v>
      </c>
      <c r="AF971">
        <f>IF(OR($E971="",$E970=""),"",IF(AND(($D970-$D971)&gt;($C971-$C970),($D970-$D971)&gt;0),$D970-$D971,0))</f>
        <v>0</v>
      </c>
      <c r="AG971">
        <f>IF(COUNT($E$2:$E971)&lt;15,"",IF(SUM($AC$958:$AC$971)=0,0,100*SUM($AE$958:$AE$971)/SUM($AC$958:$AC$971)))</f>
        <v>0</v>
      </c>
      <c r="AH971">
        <f>IF(COUNT($E$2:$E971)&lt;15,"",IF(SUM($AC$958:$AC$971)=0,0,100*SUM($AF$958:$AF$971)/SUM($AC$958:$AC$971)))</f>
        <v>0</v>
      </c>
      <c r="AI971">
        <f>IF(OR(AG971="",AH971=""),"",IF((AG971+AH971)=0,0,100*ABS(AG971-AH971)/(AG971+AH971)))</f>
        <v>0</v>
      </c>
      <c r="AJ971">
        <f>IF(COUNT($AI$958:$AI$971)&lt;14,"",AVERAGE($AI$958:$AI$971))</f>
        <v>0</v>
      </c>
      <c r="AK971">
        <f>IF(COUNT($E$2:$E971)&lt;20,"",AVERAGE($E$952:$E$971))</f>
        <v>0</v>
      </c>
      <c r="AL971">
        <f>IF(COUNT($E$2:$E971)&lt;20,"",STDEVP($E$952:$E$971))</f>
        <v>0</v>
      </c>
      <c r="AM971">
        <f>IF(AK971="","",AK971+2*AL971)</f>
        <v>0</v>
      </c>
      <c r="AN971">
        <f>IF(AK971="","",AK971-2*AL971)</f>
        <v>0</v>
      </c>
      <c r="AO971">
        <f>IF(OR(AM971="",AN971="",AM971=AN971),"",($E971-AN971)/(AM971-AN971))</f>
        <v>0</v>
      </c>
      <c r="AP971">
        <f>IF(OR(AM971="",AK971="",AK971=0),"",(AM971-AN971)/AK971)</f>
        <v>0</v>
      </c>
      <c r="AQ971">
        <f>IF(COUNT($E$2:$E971)&lt;20,"",MAX($C$952:$C$971))</f>
        <v>0</v>
      </c>
      <c r="AR971">
        <f>IF(COUNT($E$2:$E971)&lt;20,"",MIN($D$952:$D$971))</f>
        <v>0</v>
      </c>
      <c r="AS971">
        <f>IF(OR(AQ971="",AR971=""),"",(AQ971+AR971)/2)</f>
        <v>0</v>
      </c>
      <c r="AT971">
        <f>IF(COUNT($G$952:$G$971)&lt;20,"",STDEV($G$952:$G$971)*SQRT(252))</f>
        <v>0</v>
      </c>
      <c r="AU971">
        <f>IF(COUNT($E$2:$E971)&lt;9,"",(MAX($C$963:$C$971)+MIN($D$963:$D$971))/2)</f>
        <v>0</v>
      </c>
      <c r="AV971">
        <f>IF(COUNT($E$2:$E971)&lt;26,"",(MAX($C$946:$C$971)+MIN($D$946:$D$971))/2)</f>
        <v>0</v>
      </c>
      <c r="AW971">
        <f>IF(OR(AU971="",AV971=""),"",(AU971+AV971)/2)</f>
        <v>0</v>
      </c>
      <c r="AX971">
        <f>IF(COUNT($E$2:$E971)&lt;52,"",(MAX($C$920:$C$971)+MIN($D$920:$D$971))/2)</f>
        <v>0</v>
      </c>
      <c r="AY971">
        <f>IF(COUNT($E$2:$E971)&lt;20,"",MAX($C$872:$C$971))</f>
        <v>0</v>
      </c>
      <c r="AZ971">
        <f>IF(COUNT($E$2:$E971)&lt;20,"",MIN($D$872:$D$971))</f>
        <v>0</v>
      </c>
      <c r="BA971">
        <f>IF(COUNT($E$2:$E971)&lt;20,"",SLOPE($E$872:$E$971,$F$872:$F$971))</f>
        <v>0</v>
      </c>
      <c r="BB971">
        <f>IF(COUNT($E$2:$E971)&lt;20,"",INTERCEPT($E$872:$E$971,$F$872:$F$971))</f>
        <v>0</v>
      </c>
      <c r="BC971">
        <f>IF(OR(BA971="",BB971=""),"",BB971+BA971*F971)</f>
        <v>0</v>
      </c>
      <c r="BD971">
        <f>IF(COUNT($E$2:$E971)&lt;20,"",STEYX($E$872:$E$971,$F$872:$F$971))</f>
        <v>0</v>
      </c>
      <c r="BE971">
        <f>IF($E971="","",IF(AND(COUNT($E$972:$E$975)&gt;=4,$C971=MAX($C$967:$C$975)),$C971,""))</f>
        <v>0</v>
      </c>
      <c r="BF971">
        <f>IF($E971="","",IF(AND(COUNT($E$972:$E$975)&gt;=4,$D971=MIN($D$967:$D$975)),$D971,""))</f>
        <v>0</v>
      </c>
      <c r="BG971">
        <f>IF($A971="","",$A971-WEEKDAY($A971,2)+1)</f>
        <v>0</v>
      </c>
      <c r="BH971">
        <f>IF($A971="","",IF($A970="",1,IF(BG971&lt;&gt;BG970,1,0)))</f>
        <v>0</v>
      </c>
      <c r="BI971">
        <f>IF($A971="","",IF($A972="",1,IF(BG972&lt;&gt;BG971,1,0)))</f>
        <v>0</v>
      </c>
      <c r="BJ971">
        <f>IF($A971="","",IF(BH971=1,$B971,BJ970))</f>
        <v>0</v>
      </c>
      <c r="BK971">
        <f>IF($A971="","",IF(BH971=1,$C971,MAX($C971,BK970)))</f>
        <v>0</v>
      </c>
      <c r="BL971">
        <f>IF($A971="","",IF(BH971=1,$D971,MIN($D971,BL970)))</f>
        <v>0</v>
      </c>
      <c r="BM971">
        <f>IF($A971="","",IF(BI971=1,F971,""))</f>
        <v>0</v>
      </c>
      <c r="BN971">
        <f>IF($A971="","",DATE(YEAR($A971),MONTH($A971),1))</f>
        <v>0</v>
      </c>
      <c r="BO971">
        <f>IF($A971="","",IF($A970="",1,IF(BN971&lt;&gt;BN970,1,0)))</f>
        <v>0</v>
      </c>
      <c r="BP971">
        <f>IF($A971="","",IF($A972="",1,IF(BN972&lt;&gt;BN971,1,0)))</f>
        <v>0</v>
      </c>
      <c r="BQ971">
        <f>IF($A971="","",IF(BO971=1,$B971,BQ970))</f>
        <v>0</v>
      </c>
      <c r="BR971">
        <f>IF($A971="","",IF(BO971=1,$C971,MAX($C971,BR970)))</f>
        <v>0</v>
      </c>
      <c r="BS971">
        <f>IF($A971="","",IF(BO971=1,$D971,MIN($D971,BS970)))</f>
        <v>0</v>
      </c>
      <c r="BT971">
        <f>IF($A971="","",IF(BP971=1,F971,""))</f>
        <v>0</v>
      </c>
    </row>
    <row r="972" spans="1:72">
      <c r="A972" s="27">
        <f>IF(Data!$A972="","",Data!$A972)</f>
        <v>0</v>
      </c>
      <c r="B972">
        <f>IF(Data!$B972="","",Data!$B972)</f>
        <v>0</v>
      </c>
      <c r="C972">
        <f>IF(Data!$C972="","",Data!$C972)</f>
        <v>0</v>
      </c>
      <c r="D972">
        <f>IF(Data!$D972="","",Data!$D972)</f>
        <v>0</v>
      </c>
      <c r="E972">
        <f>IF(Data!$E972="","",Data!$E972)</f>
        <v>0</v>
      </c>
      <c r="F972">
        <f>IF($E972="","",N(F971)+1)</f>
        <v>0</v>
      </c>
      <c r="G972">
        <f>IF(OR($E972="",$E971=""),"",LN($E972/$E971))</f>
        <v>0</v>
      </c>
      <c r="H972">
        <f>IF($E972="","",IF($E971="",$E972,$E972*0.0952380952+H971*0.9047619048))</f>
        <v>0</v>
      </c>
      <c r="I972">
        <f>IF($E972="","",IF($E971="",$E972,$E972*0.0392156863+I971*0.9607843137))</f>
        <v>0</v>
      </c>
      <c r="J972">
        <f>IF($E972="","",IF($E971="",$E972,$E972*0.0198019802+J971*0.9801980198))</f>
        <v>0</v>
      </c>
      <c r="K972">
        <f>IF($E972="","",IF($E971="",$E972,$E972*0.0099502488+K971*0.9900497512))</f>
        <v>0</v>
      </c>
      <c r="L972">
        <f>IF(OR($E972="",$E971=""),"",MAX($E972-$E971,0))</f>
        <v>0</v>
      </c>
      <c r="M972">
        <f>IF(OR($E972="",$E971=""),"",MAX($E971-$E972,0))</f>
        <v>0</v>
      </c>
      <c r="N972">
        <f>IF(COUNT($E$2:$E972)&lt;15,"",IF(AVERAGE($M$959:$M$972)=0,100,100-100/(1+AVERAGE($L$959:$L$972)/AVERAGE($M$959:$M$972))))</f>
        <v>0</v>
      </c>
      <c r="O972">
        <f>IF($E972="","",IF($E971="",$E972,$E972*0.1538461538+O971*0.8461538462))</f>
        <v>0</v>
      </c>
      <c r="P972">
        <f>IF($E972="","",IF($E971="",$E972,$E972*0.0740740741+P971*0.9259259259))</f>
        <v>0</v>
      </c>
      <c r="Q972">
        <f>IF(OR(O972="",P972=""),"",O972-P972)</f>
        <v>0</v>
      </c>
      <c r="R972">
        <f>IF(Q972="","",IF(R971="",Q972,Q972*0.2000000000+R971*0.8000000000))</f>
        <v>0</v>
      </c>
      <c r="S972">
        <f>IF(OR(Q972="",R972=""),"",Q972-R972)</f>
        <v>0</v>
      </c>
      <c r="T972">
        <f>IF(COUNT($E$2:$E972)&lt;14,"",MAX($C$959:$C$972))</f>
        <v>0</v>
      </c>
      <c r="U972">
        <f>IF(COUNT($E$2:$E972)&lt;14,"",MIN($D$959:$D$972))</f>
        <v>0</v>
      </c>
      <c r="V972">
        <f>IF(OR(T972="",U972="",T972=U972),"",100*($E972-U972)/(T972-U972))</f>
        <v>0</v>
      </c>
      <c r="W972">
        <f>IF(COUNT($V$970:$V$972)&lt;3,"",AVERAGE($V$970:$V$972))</f>
        <v>0</v>
      </c>
      <c r="X972">
        <f>IF(COUNT($N$959:$N$972)&lt;14,"",MIN($N$959:$N$972))</f>
        <v>0</v>
      </c>
      <c r="Y972">
        <f>IF(COUNT($N$959:$N$972)&lt;14,"",MAX($N$959:$N$972))</f>
        <v>0</v>
      </c>
      <c r="Z972">
        <f>IF(OR(N972="",X972="",Y972="",Y972=X972),"",100*(N972-X972)/(Y972-X972))</f>
        <v>0</v>
      </c>
      <c r="AA972">
        <f>IF(COUNT($Z$970:$Z$972)&lt;3,"",AVERAGE($Z$970:$Z$972))</f>
        <v>0</v>
      </c>
      <c r="AB972">
        <f>IF(COUNT($AA$970:$AA$972)&lt;3,"",AVERAGE($AA$970:$AA$972))</f>
        <v>0</v>
      </c>
      <c r="AC972">
        <f>IF($E972="","",MAX($C972-$D972,ABS($C972-$E971),ABS($D972-$E971)))</f>
        <v>0</v>
      </c>
      <c r="AD972">
        <f>IF(COUNT($E$2:$E972)&lt;15,"",AVERAGE($AC$959:$AC$972))</f>
        <v>0</v>
      </c>
      <c r="AE972">
        <f>IF(OR($E972="",$E971=""),"",IF(AND(($C972-$C971)&gt;($D971-$D972),($C972-$C971)&gt;0),$C972-$C971,0))</f>
        <v>0</v>
      </c>
      <c r="AF972">
        <f>IF(OR($E972="",$E971=""),"",IF(AND(($D971-$D972)&gt;($C972-$C971),($D971-$D972)&gt;0),$D971-$D972,0))</f>
        <v>0</v>
      </c>
      <c r="AG972">
        <f>IF(COUNT($E$2:$E972)&lt;15,"",IF(SUM($AC$959:$AC$972)=0,0,100*SUM($AE$959:$AE$972)/SUM($AC$959:$AC$972)))</f>
        <v>0</v>
      </c>
      <c r="AH972">
        <f>IF(COUNT($E$2:$E972)&lt;15,"",IF(SUM($AC$959:$AC$972)=0,0,100*SUM($AF$959:$AF$972)/SUM($AC$959:$AC$972)))</f>
        <v>0</v>
      </c>
      <c r="AI972">
        <f>IF(OR(AG972="",AH972=""),"",IF((AG972+AH972)=0,0,100*ABS(AG972-AH972)/(AG972+AH972)))</f>
        <v>0</v>
      </c>
      <c r="AJ972">
        <f>IF(COUNT($AI$959:$AI$972)&lt;14,"",AVERAGE($AI$959:$AI$972))</f>
        <v>0</v>
      </c>
      <c r="AK972">
        <f>IF(COUNT($E$2:$E972)&lt;20,"",AVERAGE($E$953:$E$972))</f>
        <v>0</v>
      </c>
      <c r="AL972">
        <f>IF(COUNT($E$2:$E972)&lt;20,"",STDEVP($E$953:$E$972))</f>
        <v>0</v>
      </c>
      <c r="AM972">
        <f>IF(AK972="","",AK972+2*AL972)</f>
        <v>0</v>
      </c>
      <c r="AN972">
        <f>IF(AK972="","",AK972-2*AL972)</f>
        <v>0</v>
      </c>
      <c r="AO972">
        <f>IF(OR(AM972="",AN972="",AM972=AN972),"",($E972-AN972)/(AM972-AN972))</f>
        <v>0</v>
      </c>
      <c r="AP972">
        <f>IF(OR(AM972="",AK972="",AK972=0),"",(AM972-AN972)/AK972)</f>
        <v>0</v>
      </c>
      <c r="AQ972">
        <f>IF(COUNT($E$2:$E972)&lt;20,"",MAX($C$953:$C$972))</f>
        <v>0</v>
      </c>
      <c r="AR972">
        <f>IF(COUNT($E$2:$E972)&lt;20,"",MIN($D$953:$D$972))</f>
        <v>0</v>
      </c>
      <c r="AS972">
        <f>IF(OR(AQ972="",AR972=""),"",(AQ972+AR972)/2)</f>
        <v>0</v>
      </c>
      <c r="AT972">
        <f>IF(COUNT($G$953:$G$972)&lt;20,"",STDEV($G$953:$G$972)*SQRT(252))</f>
        <v>0</v>
      </c>
      <c r="AU972">
        <f>IF(COUNT($E$2:$E972)&lt;9,"",(MAX($C$964:$C$972)+MIN($D$964:$D$972))/2)</f>
        <v>0</v>
      </c>
      <c r="AV972">
        <f>IF(COUNT($E$2:$E972)&lt;26,"",(MAX($C$947:$C$972)+MIN($D$947:$D$972))/2)</f>
        <v>0</v>
      </c>
      <c r="AW972">
        <f>IF(OR(AU972="",AV972=""),"",(AU972+AV972)/2)</f>
        <v>0</v>
      </c>
      <c r="AX972">
        <f>IF(COUNT($E$2:$E972)&lt;52,"",(MAX($C$921:$C$972)+MIN($D$921:$D$972))/2)</f>
        <v>0</v>
      </c>
      <c r="AY972">
        <f>IF(COUNT($E$2:$E972)&lt;20,"",MAX($C$873:$C$972))</f>
        <v>0</v>
      </c>
      <c r="AZ972">
        <f>IF(COUNT($E$2:$E972)&lt;20,"",MIN($D$873:$D$972))</f>
        <v>0</v>
      </c>
      <c r="BA972">
        <f>IF(COUNT($E$2:$E972)&lt;20,"",SLOPE($E$873:$E$972,$F$873:$F$972))</f>
        <v>0</v>
      </c>
      <c r="BB972">
        <f>IF(COUNT($E$2:$E972)&lt;20,"",INTERCEPT($E$873:$E$972,$F$873:$F$972))</f>
        <v>0</v>
      </c>
      <c r="BC972">
        <f>IF(OR(BA972="",BB972=""),"",BB972+BA972*F972)</f>
        <v>0</v>
      </c>
      <c r="BD972">
        <f>IF(COUNT($E$2:$E972)&lt;20,"",STEYX($E$873:$E$972,$F$873:$F$972))</f>
        <v>0</v>
      </c>
      <c r="BE972">
        <f>IF($E972="","",IF(AND(COUNT($E$973:$E$976)&gt;=4,$C972=MAX($C$968:$C$976)),$C972,""))</f>
        <v>0</v>
      </c>
      <c r="BF972">
        <f>IF($E972="","",IF(AND(COUNT($E$973:$E$976)&gt;=4,$D972=MIN($D$968:$D$976)),$D972,""))</f>
        <v>0</v>
      </c>
      <c r="BG972">
        <f>IF($A972="","",$A972-WEEKDAY($A972,2)+1)</f>
        <v>0</v>
      </c>
      <c r="BH972">
        <f>IF($A972="","",IF($A971="",1,IF(BG972&lt;&gt;BG971,1,0)))</f>
        <v>0</v>
      </c>
      <c r="BI972">
        <f>IF($A972="","",IF($A973="",1,IF(BG973&lt;&gt;BG972,1,0)))</f>
        <v>0</v>
      </c>
      <c r="BJ972">
        <f>IF($A972="","",IF(BH972=1,$B972,BJ971))</f>
        <v>0</v>
      </c>
      <c r="BK972">
        <f>IF($A972="","",IF(BH972=1,$C972,MAX($C972,BK971)))</f>
        <v>0</v>
      </c>
      <c r="BL972">
        <f>IF($A972="","",IF(BH972=1,$D972,MIN($D972,BL971)))</f>
        <v>0</v>
      </c>
      <c r="BM972">
        <f>IF($A972="","",IF(BI972=1,F972,""))</f>
        <v>0</v>
      </c>
      <c r="BN972">
        <f>IF($A972="","",DATE(YEAR($A972),MONTH($A972),1))</f>
        <v>0</v>
      </c>
      <c r="BO972">
        <f>IF($A972="","",IF($A971="",1,IF(BN972&lt;&gt;BN971,1,0)))</f>
        <v>0</v>
      </c>
      <c r="BP972">
        <f>IF($A972="","",IF($A973="",1,IF(BN973&lt;&gt;BN972,1,0)))</f>
        <v>0</v>
      </c>
      <c r="BQ972">
        <f>IF($A972="","",IF(BO972=1,$B972,BQ971))</f>
        <v>0</v>
      </c>
      <c r="BR972">
        <f>IF($A972="","",IF(BO972=1,$C972,MAX($C972,BR971)))</f>
        <v>0</v>
      </c>
      <c r="BS972">
        <f>IF($A972="","",IF(BO972=1,$D972,MIN($D972,BS971)))</f>
        <v>0</v>
      </c>
      <c r="BT972">
        <f>IF($A972="","",IF(BP972=1,F972,""))</f>
        <v>0</v>
      </c>
    </row>
    <row r="973" spans="1:72">
      <c r="A973" s="27">
        <f>IF(Data!$A973="","",Data!$A973)</f>
        <v>0</v>
      </c>
      <c r="B973">
        <f>IF(Data!$B973="","",Data!$B973)</f>
        <v>0</v>
      </c>
      <c r="C973">
        <f>IF(Data!$C973="","",Data!$C973)</f>
        <v>0</v>
      </c>
      <c r="D973">
        <f>IF(Data!$D973="","",Data!$D973)</f>
        <v>0</v>
      </c>
      <c r="E973">
        <f>IF(Data!$E973="","",Data!$E973)</f>
        <v>0</v>
      </c>
      <c r="F973">
        <f>IF($E973="","",N(F972)+1)</f>
        <v>0</v>
      </c>
      <c r="G973">
        <f>IF(OR($E973="",$E972=""),"",LN($E973/$E972))</f>
        <v>0</v>
      </c>
      <c r="H973">
        <f>IF($E973="","",IF($E972="",$E973,$E973*0.0952380952+H972*0.9047619048))</f>
        <v>0</v>
      </c>
      <c r="I973">
        <f>IF($E973="","",IF($E972="",$E973,$E973*0.0392156863+I972*0.9607843137))</f>
        <v>0</v>
      </c>
      <c r="J973">
        <f>IF($E973="","",IF($E972="",$E973,$E973*0.0198019802+J972*0.9801980198))</f>
        <v>0</v>
      </c>
      <c r="K973">
        <f>IF($E973="","",IF($E972="",$E973,$E973*0.0099502488+K972*0.9900497512))</f>
        <v>0</v>
      </c>
      <c r="L973">
        <f>IF(OR($E973="",$E972=""),"",MAX($E973-$E972,0))</f>
        <v>0</v>
      </c>
      <c r="M973">
        <f>IF(OR($E973="",$E972=""),"",MAX($E972-$E973,0))</f>
        <v>0</v>
      </c>
      <c r="N973">
        <f>IF(COUNT($E$2:$E973)&lt;15,"",IF(AVERAGE($M$960:$M$973)=0,100,100-100/(1+AVERAGE($L$960:$L$973)/AVERAGE($M$960:$M$973))))</f>
        <v>0</v>
      </c>
      <c r="O973">
        <f>IF($E973="","",IF($E972="",$E973,$E973*0.1538461538+O972*0.8461538462))</f>
        <v>0</v>
      </c>
      <c r="P973">
        <f>IF($E973="","",IF($E972="",$E973,$E973*0.0740740741+P972*0.9259259259))</f>
        <v>0</v>
      </c>
      <c r="Q973">
        <f>IF(OR(O973="",P973=""),"",O973-P973)</f>
        <v>0</v>
      </c>
      <c r="R973">
        <f>IF(Q973="","",IF(R972="",Q973,Q973*0.2000000000+R972*0.8000000000))</f>
        <v>0</v>
      </c>
      <c r="S973">
        <f>IF(OR(Q973="",R973=""),"",Q973-R973)</f>
        <v>0</v>
      </c>
      <c r="T973">
        <f>IF(COUNT($E$2:$E973)&lt;14,"",MAX($C$960:$C$973))</f>
        <v>0</v>
      </c>
      <c r="U973">
        <f>IF(COUNT($E$2:$E973)&lt;14,"",MIN($D$960:$D$973))</f>
        <v>0</v>
      </c>
      <c r="V973">
        <f>IF(OR(T973="",U973="",T973=U973),"",100*($E973-U973)/(T973-U973))</f>
        <v>0</v>
      </c>
      <c r="W973">
        <f>IF(COUNT($V$971:$V$973)&lt;3,"",AVERAGE($V$971:$V$973))</f>
        <v>0</v>
      </c>
      <c r="X973">
        <f>IF(COUNT($N$960:$N$973)&lt;14,"",MIN($N$960:$N$973))</f>
        <v>0</v>
      </c>
      <c r="Y973">
        <f>IF(COUNT($N$960:$N$973)&lt;14,"",MAX($N$960:$N$973))</f>
        <v>0</v>
      </c>
      <c r="Z973">
        <f>IF(OR(N973="",X973="",Y973="",Y973=X973),"",100*(N973-X973)/(Y973-X973))</f>
        <v>0</v>
      </c>
      <c r="AA973">
        <f>IF(COUNT($Z$971:$Z$973)&lt;3,"",AVERAGE($Z$971:$Z$973))</f>
        <v>0</v>
      </c>
      <c r="AB973">
        <f>IF(COUNT($AA$971:$AA$973)&lt;3,"",AVERAGE($AA$971:$AA$973))</f>
        <v>0</v>
      </c>
      <c r="AC973">
        <f>IF($E973="","",MAX($C973-$D973,ABS($C973-$E972),ABS($D973-$E972)))</f>
        <v>0</v>
      </c>
      <c r="AD973">
        <f>IF(COUNT($E$2:$E973)&lt;15,"",AVERAGE($AC$960:$AC$973))</f>
        <v>0</v>
      </c>
      <c r="AE973">
        <f>IF(OR($E973="",$E972=""),"",IF(AND(($C973-$C972)&gt;($D972-$D973),($C973-$C972)&gt;0),$C973-$C972,0))</f>
        <v>0</v>
      </c>
      <c r="AF973">
        <f>IF(OR($E973="",$E972=""),"",IF(AND(($D972-$D973)&gt;($C973-$C972),($D972-$D973)&gt;0),$D972-$D973,0))</f>
        <v>0</v>
      </c>
      <c r="AG973">
        <f>IF(COUNT($E$2:$E973)&lt;15,"",IF(SUM($AC$960:$AC$973)=0,0,100*SUM($AE$960:$AE$973)/SUM($AC$960:$AC$973)))</f>
        <v>0</v>
      </c>
      <c r="AH973">
        <f>IF(COUNT($E$2:$E973)&lt;15,"",IF(SUM($AC$960:$AC$973)=0,0,100*SUM($AF$960:$AF$973)/SUM($AC$960:$AC$973)))</f>
        <v>0</v>
      </c>
      <c r="AI973">
        <f>IF(OR(AG973="",AH973=""),"",IF((AG973+AH973)=0,0,100*ABS(AG973-AH973)/(AG973+AH973)))</f>
        <v>0</v>
      </c>
      <c r="AJ973">
        <f>IF(COUNT($AI$960:$AI$973)&lt;14,"",AVERAGE($AI$960:$AI$973))</f>
        <v>0</v>
      </c>
      <c r="AK973">
        <f>IF(COUNT($E$2:$E973)&lt;20,"",AVERAGE($E$954:$E$973))</f>
        <v>0</v>
      </c>
      <c r="AL973">
        <f>IF(COUNT($E$2:$E973)&lt;20,"",STDEVP($E$954:$E$973))</f>
        <v>0</v>
      </c>
      <c r="AM973">
        <f>IF(AK973="","",AK973+2*AL973)</f>
        <v>0</v>
      </c>
      <c r="AN973">
        <f>IF(AK973="","",AK973-2*AL973)</f>
        <v>0</v>
      </c>
      <c r="AO973">
        <f>IF(OR(AM973="",AN973="",AM973=AN973),"",($E973-AN973)/(AM973-AN973))</f>
        <v>0</v>
      </c>
      <c r="AP973">
        <f>IF(OR(AM973="",AK973="",AK973=0),"",(AM973-AN973)/AK973)</f>
        <v>0</v>
      </c>
      <c r="AQ973">
        <f>IF(COUNT($E$2:$E973)&lt;20,"",MAX($C$954:$C$973))</f>
        <v>0</v>
      </c>
      <c r="AR973">
        <f>IF(COUNT($E$2:$E973)&lt;20,"",MIN($D$954:$D$973))</f>
        <v>0</v>
      </c>
      <c r="AS973">
        <f>IF(OR(AQ973="",AR973=""),"",(AQ973+AR973)/2)</f>
        <v>0</v>
      </c>
      <c r="AT973">
        <f>IF(COUNT($G$954:$G$973)&lt;20,"",STDEV($G$954:$G$973)*SQRT(252))</f>
        <v>0</v>
      </c>
      <c r="AU973">
        <f>IF(COUNT($E$2:$E973)&lt;9,"",(MAX($C$965:$C$973)+MIN($D$965:$D$973))/2)</f>
        <v>0</v>
      </c>
      <c r="AV973">
        <f>IF(COUNT($E$2:$E973)&lt;26,"",(MAX($C$948:$C$973)+MIN($D$948:$D$973))/2)</f>
        <v>0</v>
      </c>
      <c r="AW973">
        <f>IF(OR(AU973="",AV973=""),"",(AU973+AV973)/2)</f>
        <v>0</v>
      </c>
      <c r="AX973">
        <f>IF(COUNT($E$2:$E973)&lt;52,"",(MAX($C$922:$C$973)+MIN($D$922:$D$973))/2)</f>
        <v>0</v>
      </c>
      <c r="AY973">
        <f>IF(COUNT($E$2:$E973)&lt;20,"",MAX($C$874:$C$973))</f>
        <v>0</v>
      </c>
      <c r="AZ973">
        <f>IF(COUNT($E$2:$E973)&lt;20,"",MIN($D$874:$D$973))</f>
        <v>0</v>
      </c>
      <c r="BA973">
        <f>IF(COUNT($E$2:$E973)&lt;20,"",SLOPE($E$874:$E$973,$F$874:$F$973))</f>
        <v>0</v>
      </c>
      <c r="BB973">
        <f>IF(COUNT($E$2:$E973)&lt;20,"",INTERCEPT($E$874:$E$973,$F$874:$F$973))</f>
        <v>0</v>
      </c>
      <c r="BC973">
        <f>IF(OR(BA973="",BB973=""),"",BB973+BA973*F973)</f>
        <v>0</v>
      </c>
      <c r="BD973">
        <f>IF(COUNT($E$2:$E973)&lt;20,"",STEYX($E$874:$E$973,$F$874:$F$973))</f>
        <v>0</v>
      </c>
      <c r="BE973">
        <f>IF($E973="","",IF(AND(COUNT($E$974:$E$977)&gt;=4,$C973=MAX($C$969:$C$977)),$C973,""))</f>
        <v>0</v>
      </c>
      <c r="BF973">
        <f>IF($E973="","",IF(AND(COUNT($E$974:$E$977)&gt;=4,$D973=MIN($D$969:$D$977)),$D973,""))</f>
        <v>0</v>
      </c>
      <c r="BG973">
        <f>IF($A973="","",$A973-WEEKDAY($A973,2)+1)</f>
        <v>0</v>
      </c>
      <c r="BH973">
        <f>IF($A973="","",IF($A972="",1,IF(BG973&lt;&gt;BG972,1,0)))</f>
        <v>0</v>
      </c>
      <c r="BI973">
        <f>IF($A973="","",IF($A974="",1,IF(BG974&lt;&gt;BG973,1,0)))</f>
        <v>0</v>
      </c>
      <c r="BJ973">
        <f>IF($A973="","",IF(BH973=1,$B973,BJ972))</f>
        <v>0</v>
      </c>
      <c r="BK973">
        <f>IF($A973="","",IF(BH973=1,$C973,MAX($C973,BK972)))</f>
        <v>0</v>
      </c>
      <c r="BL973">
        <f>IF($A973="","",IF(BH973=1,$D973,MIN($D973,BL972)))</f>
        <v>0</v>
      </c>
      <c r="BM973">
        <f>IF($A973="","",IF(BI973=1,F973,""))</f>
        <v>0</v>
      </c>
      <c r="BN973">
        <f>IF($A973="","",DATE(YEAR($A973),MONTH($A973),1))</f>
        <v>0</v>
      </c>
      <c r="BO973">
        <f>IF($A973="","",IF($A972="",1,IF(BN973&lt;&gt;BN972,1,0)))</f>
        <v>0</v>
      </c>
      <c r="BP973">
        <f>IF($A973="","",IF($A974="",1,IF(BN974&lt;&gt;BN973,1,0)))</f>
        <v>0</v>
      </c>
      <c r="BQ973">
        <f>IF($A973="","",IF(BO973=1,$B973,BQ972))</f>
        <v>0</v>
      </c>
      <c r="BR973">
        <f>IF($A973="","",IF(BO973=1,$C973,MAX($C973,BR972)))</f>
        <v>0</v>
      </c>
      <c r="BS973">
        <f>IF($A973="","",IF(BO973=1,$D973,MIN($D973,BS972)))</f>
        <v>0</v>
      </c>
      <c r="BT973">
        <f>IF($A973="","",IF(BP973=1,F973,""))</f>
        <v>0</v>
      </c>
    </row>
    <row r="974" spans="1:72">
      <c r="A974" s="27">
        <f>IF(Data!$A974="","",Data!$A974)</f>
        <v>0</v>
      </c>
      <c r="B974">
        <f>IF(Data!$B974="","",Data!$B974)</f>
        <v>0</v>
      </c>
      <c r="C974">
        <f>IF(Data!$C974="","",Data!$C974)</f>
        <v>0</v>
      </c>
      <c r="D974">
        <f>IF(Data!$D974="","",Data!$D974)</f>
        <v>0</v>
      </c>
      <c r="E974">
        <f>IF(Data!$E974="","",Data!$E974)</f>
        <v>0</v>
      </c>
      <c r="F974">
        <f>IF($E974="","",N(F973)+1)</f>
        <v>0</v>
      </c>
      <c r="G974">
        <f>IF(OR($E974="",$E973=""),"",LN($E974/$E973))</f>
        <v>0</v>
      </c>
      <c r="H974">
        <f>IF($E974="","",IF($E973="",$E974,$E974*0.0952380952+H973*0.9047619048))</f>
        <v>0</v>
      </c>
      <c r="I974">
        <f>IF($E974="","",IF($E973="",$E974,$E974*0.0392156863+I973*0.9607843137))</f>
        <v>0</v>
      </c>
      <c r="J974">
        <f>IF($E974="","",IF($E973="",$E974,$E974*0.0198019802+J973*0.9801980198))</f>
        <v>0</v>
      </c>
      <c r="K974">
        <f>IF($E974="","",IF($E973="",$E974,$E974*0.0099502488+K973*0.9900497512))</f>
        <v>0</v>
      </c>
      <c r="L974">
        <f>IF(OR($E974="",$E973=""),"",MAX($E974-$E973,0))</f>
        <v>0</v>
      </c>
      <c r="M974">
        <f>IF(OR($E974="",$E973=""),"",MAX($E973-$E974,0))</f>
        <v>0</v>
      </c>
      <c r="N974">
        <f>IF(COUNT($E$2:$E974)&lt;15,"",IF(AVERAGE($M$961:$M$974)=0,100,100-100/(1+AVERAGE($L$961:$L$974)/AVERAGE($M$961:$M$974))))</f>
        <v>0</v>
      </c>
      <c r="O974">
        <f>IF($E974="","",IF($E973="",$E974,$E974*0.1538461538+O973*0.8461538462))</f>
        <v>0</v>
      </c>
      <c r="P974">
        <f>IF($E974="","",IF($E973="",$E974,$E974*0.0740740741+P973*0.9259259259))</f>
        <v>0</v>
      </c>
      <c r="Q974">
        <f>IF(OR(O974="",P974=""),"",O974-P974)</f>
        <v>0</v>
      </c>
      <c r="R974">
        <f>IF(Q974="","",IF(R973="",Q974,Q974*0.2000000000+R973*0.8000000000))</f>
        <v>0</v>
      </c>
      <c r="S974">
        <f>IF(OR(Q974="",R974=""),"",Q974-R974)</f>
        <v>0</v>
      </c>
      <c r="T974">
        <f>IF(COUNT($E$2:$E974)&lt;14,"",MAX($C$961:$C$974))</f>
        <v>0</v>
      </c>
      <c r="U974">
        <f>IF(COUNT($E$2:$E974)&lt;14,"",MIN($D$961:$D$974))</f>
        <v>0</v>
      </c>
      <c r="V974">
        <f>IF(OR(T974="",U974="",T974=U974),"",100*($E974-U974)/(T974-U974))</f>
        <v>0</v>
      </c>
      <c r="W974">
        <f>IF(COUNT($V$972:$V$974)&lt;3,"",AVERAGE($V$972:$V$974))</f>
        <v>0</v>
      </c>
      <c r="X974">
        <f>IF(COUNT($N$961:$N$974)&lt;14,"",MIN($N$961:$N$974))</f>
        <v>0</v>
      </c>
      <c r="Y974">
        <f>IF(COUNT($N$961:$N$974)&lt;14,"",MAX($N$961:$N$974))</f>
        <v>0</v>
      </c>
      <c r="Z974">
        <f>IF(OR(N974="",X974="",Y974="",Y974=X974),"",100*(N974-X974)/(Y974-X974))</f>
        <v>0</v>
      </c>
      <c r="AA974">
        <f>IF(COUNT($Z$972:$Z$974)&lt;3,"",AVERAGE($Z$972:$Z$974))</f>
        <v>0</v>
      </c>
      <c r="AB974">
        <f>IF(COUNT($AA$972:$AA$974)&lt;3,"",AVERAGE($AA$972:$AA$974))</f>
        <v>0</v>
      </c>
      <c r="AC974">
        <f>IF($E974="","",MAX($C974-$D974,ABS($C974-$E973),ABS($D974-$E973)))</f>
        <v>0</v>
      </c>
      <c r="AD974">
        <f>IF(COUNT($E$2:$E974)&lt;15,"",AVERAGE($AC$961:$AC$974))</f>
        <v>0</v>
      </c>
      <c r="AE974">
        <f>IF(OR($E974="",$E973=""),"",IF(AND(($C974-$C973)&gt;($D973-$D974),($C974-$C973)&gt;0),$C974-$C973,0))</f>
        <v>0</v>
      </c>
      <c r="AF974">
        <f>IF(OR($E974="",$E973=""),"",IF(AND(($D973-$D974)&gt;($C974-$C973),($D973-$D974)&gt;0),$D973-$D974,0))</f>
        <v>0</v>
      </c>
      <c r="AG974">
        <f>IF(COUNT($E$2:$E974)&lt;15,"",IF(SUM($AC$961:$AC$974)=0,0,100*SUM($AE$961:$AE$974)/SUM($AC$961:$AC$974)))</f>
        <v>0</v>
      </c>
      <c r="AH974">
        <f>IF(COUNT($E$2:$E974)&lt;15,"",IF(SUM($AC$961:$AC$974)=0,0,100*SUM($AF$961:$AF$974)/SUM($AC$961:$AC$974)))</f>
        <v>0</v>
      </c>
      <c r="AI974">
        <f>IF(OR(AG974="",AH974=""),"",IF((AG974+AH974)=0,0,100*ABS(AG974-AH974)/(AG974+AH974)))</f>
        <v>0</v>
      </c>
      <c r="AJ974">
        <f>IF(COUNT($AI$961:$AI$974)&lt;14,"",AVERAGE($AI$961:$AI$974))</f>
        <v>0</v>
      </c>
      <c r="AK974">
        <f>IF(COUNT($E$2:$E974)&lt;20,"",AVERAGE($E$955:$E$974))</f>
        <v>0</v>
      </c>
      <c r="AL974">
        <f>IF(COUNT($E$2:$E974)&lt;20,"",STDEVP($E$955:$E$974))</f>
        <v>0</v>
      </c>
      <c r="AM974">
        <f>IF(AK974="","",AK974+2*AL974)</f>
        <v>0</v>
      </c>
      <c r="AN974">
        <f>IF(AK974="","",AK974-2*AL974)</f>
        <v>0</v>
      </c>
      <c r="AO974">
        <f>IF(OR(AM974="",AN974="",AM974=AN974),"",($E974-AN974)/(AM974-AN974))</f>
        <v>0</v>
      </c>
      <c r="AP974">
        <f>IF(OR(AM974="",AK974="",AK974=0),"",(AM974-AN974)/AK974)</f>
        <v>0</v>
      </c>
      <c r="AQ974">
        <f>IF(COUNT($E$2:$E974)&lt;20,"",MAX($C$955:$C$974))</f>
        <v>0</v>
      </c>
      <c r="AR974">
        <f>IF(COUNT($E$2:$E974)&lt;20,"",MIN($D$955:$D$974))</f>
        <v>0</v>
      </c>
      <c r="AS974">
        <f>IF(OR(AQ974="",AR974=""),"",(AQ974+AR974)/2)</f>
        <v>0</v>
      </c>
      <c r="AT974">
        <f>IF(COUNT($G$955:$G$974)&lt;20,"",STDEV($G$955:$G$974)*SQRT(252))</f>
        <v>0</v>
      </c>
      <c r="AU974">
        <f>IF(COUNT($E$2:$E974)&lt;9,"",(MAX($C$966:$C$974)+MIN($D$966:$D$974))/2)</f>
        <v>0</v>
      </c>
      <c r="AV974">
        <f>IF(COUNT($E$2:$E974)&lt;26,"",(MAX($C$949:$C$974)+MIN($D$949:$D$974))/2)</f>
        <v>0</v>
      </c>
      <c r="AW974">
        <f>IF(OR(AU974="",AV974=""),"",(AU974+AV974)/2)</f>
        <v>0</v>
      </c>
      <c r="AX974">
        <f>IF(COUNT($E$2:$E974)&lt;52,"",(MAX($C$923:$C$974)+MIN($D$923:$D$974))/2)</f>
        <v>0</v>
      </c>
      <c r="AY974">
        <f>IF(COUNT($E$2:$E974)&lt;20,"",MAX($C$875:$C$974))</f>
        <v>0</v>
      </c>
      <c r="AZ974">
        <f>IF(COUNT($E$2:$E974)&lt;20,"",MIN($D$875:$D$974))</f>
        <v>0</v>
      </c>
      <c r="BA974">
        <f>IF(COUNT($E$2:$E974)&lt;20,"",SLOPE($E$875:$E$974,$F$875:$F$974))</f>
        <v>0</v>
      </c>
      <c r="BB974">
        <f>IF(COUNT($E$2:$E974)&lt;20,"",INTERCEPT($E$875:$E$974,$F$875:$F$974))</f>
        <v>0</v>
      </c>
      <c r="BC974">
        <f>IF(OR(BA974="",BB974=""),"",BB974+BA974*F974)</f>
        <v>0</v>
      </c>
      <c r="BD974">
        <f>IF(COUNT($E$2:$E974)&lt;20,"",STEYX($E$875:$E$974,$F$875:$F$974))</f>
        <v>0</v>
      </c>
      <c r="BE974">
        <f>IF($E974="","",IF(AND(COUNT($E$975:$E$978)&gt;=4,$C974=MAX($C$970:$C$978)),$C974,""))</f>
        <v>0</v>
      </c>
      <c r="BF974">
        <f>IF($E974="","",IF(AND(COUNT($E$975:$E$978)&gt;=4,$D974=MIN($D$970:$D$978)),$D974,""))</f>
        <v>0</v>
      </c>
      <c r="BG974">
        <f>IF($A974="","",$A974-WEEKDAY($A974,2)+1)</f>
        <v>0</v>
      </c>
      <c r="BH974">
        <f>IF($A974="","",IF($A973="",1,IF(BG974&lt;&gt;BG973,1,0)))</f>
        <v>0</v>
      </c>
      <c r="BI974">
        <f>IF($A974="","",IF($A975="",1,IF(BG975&lt;&gt;BG974,1,0)))</f>
        <v>0</v>
      </c>
      <c r="BJ974">
        <f>IF($A974="","",IF(BH974=1,$B974,BJ973))</f>
        <v>0</v>
      </c>
      <c r="BK974">
        <f>IF($A974="","",IF(BH974=1,$C974,MAX($C974,BK973)))</f>
        <v>0</v>
      </c>
      <c r="BL974">
        <f>IF($A974="","",IF(BH974=1,$D974,MIN($D974,BL973)))</f>
        <v>0</v>
      </c>
      <c r="BM974">
        <f>IF($A974="","",IF(BI974=1,F974,""))</f>
        <v>0</v>
      </c>
      <c r="BN974">
        <f>IF($A974="","",DATE(YEAR($A974),MONTH($A974),1))</f>
        <v>0</v>
      </c>
      <c r="BO974">
        <f>IF($A974="","",IF($A973="",1,IF(BN974&lt;&gt;BN973,1,0)))</f>
        <v>0</v>
      </c>
      <c r="BP974">
        <f>IF($A974="","",IF($A975="",1,IF(BN975&lt;&gt;BN974,1,0)))</f>
        <v>0</v>
      </c>
      <c r="BQ974">
        <f>IF($A974="","",IF(BO974=1,$B974,BQ973))</f>
        <v>0</v>
      </c>
      <c r="BR974">
        <f>IF($A974="","",IF(BO974=1,$C974,MAX($C974,BR973)))</f>
        <v>0</v>
      </c>
      <c r="BS974">
        <f>IF($A974="","",IF(BO974=1,$D974,MIN($D974,BS973)))</f>
        <v>0</v>
      </c>
      <c r="BT974">
        <f>IF($A974="","",IF(BP974=1,F974,""))</f>
        <v>0</v>
      </c>
    </row>
    <row r="975" spans="1:72">
      <c r="A975" s="27">
        <f>IF(Data!$A975="","",Data!$A975)</f>
        <v>0</v>
      </c>
      <c r="B975">
        <f>IF(Data!$B975="","",Data!$B975)</f>
        <v>0</v>
      </c>
      <c r="C975">
        <f>IF(Data!$C975="","",Data!$C975)</f>
        <v>0</v>
      </c>
      <c r="D975">
        <f>IF(Data!$D975="","",Data!$D975)</f>
        <v>0</v>
      </c>
      <c r="E975">
        <f>IF(Data!$E975="","",Data!$E975)</f>
        <v>0</v>
      </c>
      <c r="F975">
        <f>IF($E975="","",N(F974)+1)</f>
        <v>0</v>
      </c>
      <c r="G975">
        <f>IF(OR($E975="",$E974=""),"",LN($E975/$E974))</f>
        <v>0</v>
      </c>
      <c r="H975">
        <f>IF($E975="","",IF($E974="",$E975,$E975*0.0952380952+H974*0.9047619048))</f>
        <v>0</v>
      </c>
      <c r="I975">
        <f>IF($E975="","",IF($E974="",$E975,$E975*0.0392156863+I974*0.9607843137))</f>
        <v>0</v>
      </c>
      <c r="J975">
        <f>IF($E975="","",IF($E974="",$E975,$E975*0.0198019802+J974*0.9801980198))</f>
        <v>0</v>
      </c>
      <c r="K975">
        <f>IF($E975="","",IF($E974="",$E975,$E975*0.0099502488+K974*0.9900497512))</f>
        <v>0</v>
      </c>
      <c r="L975">
        <f>IF(OR($E975="",$E974=""),"",MAX($E975-$E974,0))</f>
        <v>0</v>
      </c>
      <c r="M975">
        <f>IF(OR($E975="",$E974=""),"",MAX($E974-$E975,0))</f>
        <v>0</v>
      </c>
      <c r="N975">
        <f>IF(COUNT($E$2:$E975)&lt;15,"",IF(AVERAGE($M$962:$M$975)=0,100,100-100/(1+AVERAGE($L$962:$L$975)/AVERAGE($M$962:$M$975))))</f>
        <v>0</v>
      </c>
      <c r="O975">
        <f>IF($E975="","",IF($E974="",$E975,$E975*0.1538461538+O974*0.8461538462))</f>
        <v>0</v>
      </c>
      <c r="P975">
        <f>IF($E975="","",IF($E974="",$E975,$E975*0.0740740741+P974*0.9259259259))</f>
        <v>0</v>
      </c>
      <c r="Q975">
        <f>IF(OR(O975="",P975=""),"",O975-P975)</f>
        <v>0</v>
      </c>
      <c r="R975">
        <f>IF(Q975="","",IF(R974="",Q975,Q975*0.2000000000+R974*0.8000000000))</f>
        <v>0</v>
      </c>
      <c r="S975">
        <f>IF(OR(Q975="",R975=""),"",Q975-R975)</f>
        <v>0</v>
      </c>
      <c r="T975">
        <f>IF(COUNT($E$2:$E975)&lt;14,"",MAX($C$962:$C$975))</f>
        <v>0</v>
      </c>
      <c r="U975">
        <f>IF(COUNT($E$2:$E975)&lt;14,"",MIN($D$962:$D$975))</f>
        <v>0</v>
      </c>
      <c r="V975">
        <f>IF(OR(T975="",U975="",T975=U975),"",100*($E975-U975)/(T975-U975))</f>
        <v>0</v>
      </c>
      <c r="W975">
        <f>IF(COUNT($V$973:$V$975)&lt;3,"",AVERAGE($V$973:$V$975))</f>
        <v>0</v>
      </c>
      <c r="X975">
        <f>IF(COUNT($N$962:$N$975)&lt;14,"",MIN($N$962:$N$975))</f>
        <v>0</v>
      </c>
      <c r="Y975">
        <f>IF(COUNT($N$962:$N$975)&lt;14,"",MAX($N$962:$N$975))</f>
        <v>0</v>
      </c>
      <c r="Z975">
        <f>IF(OR(N975="",X975="",Y975="",Y975=X975),"",100*(N975-X975)/(Y975-X975))</f>
        <v>0</v>
      </c>
      <c r="AA975">
        <f>IF(COUNT($Z$973:$Z$975)&lt;3,"",AVERAGE($Z$973:$Z$975))</f>
        <v>0</v>
      </c>
      <c r="AB975">
        <f>IF(COUNT($AA$973:$AA$975)&lt;3,"",AVERAGE($AA$973:$AA$975))</f>
        <v>0</v>
      </c>
      <c r="AC975">
        <f>IF($E975="","",MAX($C975-$D975,ABS($C975-$E974),ABS($D975-$E974)))</f>
        <v>0</v>
      </c>
      <c r="AD975">
        <f>IF(COUNT($E$2:$E975)&lt;15,"",AVERAGE($AC$962:$AC$975))</f>
        <v>0</v>
      </c>
      <c r="AE975">
        <f>IF(OR($E975="",$E974=""),"",IF(AND(($C975-$C974)&gt;($D974-$D975),($C975-$C974)&gt;0),$C975-$C974,0))</f>
        <v>0</v>
      </c>
      <c r="AF975">
        <f>IF(OR($E975="",$E974=""),"",IF(AND(($D974-$D975)&gt;($C975-$C974),($D974-$D975)&gt;0),$D974-$D975,0))</f>
        <v>0</v>
      </c>
      <c r="AG975">
        <f>IF(COUNT($E$2:$E975)&lt;15,"",IF(SUM($AC$962:$AC$975)=0,0,100*SUM($AE$962:$AE$975)/SUM($AC$962:$AC$975)))</f>
        <v>0</v>
      </c>
      <c r="AH975">
        <f>IF(COUNT($E$2:$E975)&lt;15,"",IF(SUM($AC$962:$AC$975)=0,0,100*SUM($AF$962:$AF$975)/SUM($AC$962:$AC$975)))</f>
        <v>0</v>
      </c>
      <c r="AI975">
        <f>IF(OR(AG975="",AH975=""),"",IF((AG975+AH975)=0,0,100*ABS(AG975-AH975)/(AG975+AH975)))</f>
        <v>0</v>
      </c>
      <c r="AJ975">
        <f>IF(COUNT($AI$962:$AI$975)&lt;14,"",AVERAGE($AI$962:$AI$975))</f>
        <v>0</v>
      </c>
      <c r="AK975">
        <f>IF(COUNT($E$2:$E975)&lt;20,"",AVERAGE($E$956:$E$975))</f>
        <v>0</v>
      </c>
      <c r="AL975">
        <f>IF(COUNT($E$2:$E975)&lt;20,"",STDEVP($E$956:$E$975))</f>
        <v>0</v>
      </c>
      <c r="AM975">
        <f>IF(AK975="","",AK975+2*AL975)</f>
        <v>0</v>
      </c>
      <c r="AN975">
        <f>IF(AK975="","",AK975-2*AL975)</f>
        <v>0</v>
      </c>
      <c r="AO975">
        <f>IF(OR(AM975="",AN975="",AM975=AN975),"",($E975-AN975)/(AM975-AN975))</f>
        <v>0</v>
      </c>
      <c r="AP975">
        <f>IF(OR(AM975="",AK975="",AK975=0),"",(AM975-AN975)/AK975)</f>
        <v>0</v>
      </c>
      <c r="AQ975">
        <f>IF(COUNT($E$2:$E975)&lt;20,"",MAX($C$956:$C$975))</f>
        <v>0</v>
      </c>
      <c r="AR975">
        <f>IF(COUNT($E$2:$E975)&lt;20,"",MIN($D$956:$D$975))</f>
        <v>0</v>
      </c>
      <c r="AS975">
        <f>IF(OR(AQ975="",AR975=""),"",(AQ975+AR975)/2)</f>
        <v>0</v>
      </c>
      <c r="AT975">
        <f>IF(COUNT($G$956:$G$975)&lt;20,"",STDEV($G$956:$G$975)*SQRT(252))</f>
        <v>0</v>
      </c>
      <c r="AU975">
        <f>IF(COUNT($E$2:$E975)&lt;9,"",(MAX($C$967:$C$975)+MIN($D$967:$D$975))/2)</f>
        <v>0</v>
      </c>
      <c r="AV975">
        <f>IF(COUNT($E$2:$E975)&lt;26,"",(MAX($C$950:$C$975)+MIN($D$950:$D$975))/2)</f>
        <v>0</v>
      </c>
      <c r="AW975">
        <f>IF(OR(AU975="",AV975=""),"",(AU975+AV975)/2)</f>
        <v>0</v>
      </c>
      <c r="AX975">
        <f>IF(COUNT($E$2:$E975)&lt;52,"",(MAX($C$924:$C$975)+MIN($D$924:$D$975))/2)</f>
        <v>0</v>
      </c>
      <c r="AY975">
        <f>IF(COUNT($E$2:$E975)&lt;20,"",MAX($C$876:$C$975))</f>
        <v>0</v>
      </c>
      <c r="AZ975">
        <f>IF(COUNT($E$2:$E975)&lt;20,"",MIN($D$876:$D$975))</f>
        <v>0</v>
      </c>
      <c r="BA975">
        <f>IF(COUNT($E$2:$E975)&lt;20,"",SLOPE($E$876:$E$975,$F$876:$F$975))</f>
        <v>0</v>
      </c>
      <c r="BB975">
        <f>IF(COUNT($E$2:$E975)&lt;20,"",INTERCEPT($E$876:$E$975,$F$876:$F$975))</f>
        <v>0</v>
      </c>
      <c r="BC975">
        <f>IF(OR(BA975="",BB975=""),"",BB975+BA975*F975)</f>
        <v>0</v>
      </c>
      <c r="BD975">
        <f>IF(COUNT($E$2:$E975)&lt;20,"",STEYX($E$876:$E$975,$F$876:$F$975))</f>
        <v>0</v>
      </c>
      <c r="BE975">
        <f>IF($E975="","",IF(AND(COUNT($E$976:$E$979)&gt;=4,$C975=MAX($C$971:$C$979)),$C975,""))</f>
        <v>0</v>
      </c>
      <c r="BF975">
        <f>IF($E975="","",IF(AND(COUNT($E$976:$E$979)&gt;=4,$D975=MIN($D$971:$D$979)),$D975,""))</f>
        <v>0</v>
      </c>
      <c r="BG975">
        <f>IF($A975="","",$A975-WEEKDAY($A975,2)+1)</f>
        <v>0</v>
      </c>
      <c r="BH975">
        <f>IF($A975="","",IF($A974="",1,IF(BG975&lt;&gt;BG974,1,0)))</f>
        <v>0</v>
      </c>
      <c r="BI975">
        <f>IF($A975="","",IF($A976="",1,IF(BG976&lt;&gt;BG975,1,0)))</f>
        <v>0</v>
      </c>
      <c r="BJ975">
        <f>IF($A975="","",IF(BH975=1,$B975,BJ974))</f>
        <v>0</v>
      </c>
      <c r="BK975">
        <f>IF($A975="","",IF(BH975=1,$C975,MAX($C975,BK974)))</f>
        <v>0</v>
      </c>
      <c r="BL975">
        <f>IF($A975="","",IF(BH975=1,$D975,MIN($D975,BL974)))</f>
        <v>0</v>
      </c>
      <c r="BM975">
        <f>IF($A975="","",IF(BI975=1,F975,""))</f>
        <v>0</v>
      </c>
      <c r="BN975">
        <f>IF($A975="","",DATE(YEAR($A975),MONTH($A975),1))</f>
        <v>0</v>
      </c>
      <c r="BO975">
        <f>IF($A975="","",IF($A974="",1,IF(BN975&lt;&gt;BN974,1,0)))</f>
        <v>0</v>
      </c>
      <c r="BP975">
        <f>IF($A975="","",IF($A976="",1,IF(BN976&lt;&gt;BN975,1,0)))</f>
        <v>0</v>
      </c>
      <c r="BQ975">
        <f>IF($A975="","",IF(BO975=1,$B975,BQ974))</f>
        <v>0</v>
      </c>
      <c r="BR975">
        <f>IF($A975="","",IF(BO975=1,$C975,MAX($C975,BR974)))</f>
        <v>0</v>
      </c>
      <c r="BS975">
        <f>IF($A975="","",IF(BO975=1,$D975,MIN($D975,BS974)))</f>
        <v>0</v>
      </c>
      <c r="BT975">
        <f>IF($A975="","",IF(BP975=1,F975,""))</f>
        <v>0</v>
      </c>
    </row>
    <row r="976" spans="1:72">
      <c r="A976" s="27">
        <f>IF(Data!$A976="","",Data!$A976)</f>
        <v>0</v>
      </c>
      <c r="B976">
        <f>IF(Data!$B976="","",Data!$B976)</f>
        <v>0</v>
      </c>
      <c r="C976">
        <f>IF(Data!$C976="","",Data!$C976)</f>
        <v>0</v>
      </c>
      <c r="D976">
        <f>IF(Data!$D976="","",Data!$D976)</f>
        <v>0</v>
      </c>
      <c r="E976">
        <f>IF(Data!$E976="","",Data!$E976)</f>
        <v>0</v>
      </c>
      <c r="F976">
        <f>IF($E976="","",N(F975)+1)</f>
        <v>0</v>
      </c>
      <c r="G976">
        <f>IF(OR($E976="",$E975=""),"",LN($E976/$E975))</f>
        <v>0</v>
      </c>
      <c r="H976">
        <f>IF($E976="","",IF($E975="",$E976,$E976*0.0952380952+H975*0.9047619048))</f>
        <v>0</v>
      </c>
      <c r="I976">
        <f>IF($E976="","",IF($E975="",$E976,$E976*0.0392156863+I975*0.9607843137))</f>
        <v>0</v>
      </c>
      <c r="J976">
        <f>IF($E976="","",IF($E975="",$E976,$E976*0.0198019802+J975*0.9801980198))</f>
        <v>0</v>
      </c>
      <c r="K976">
        <f>IF($E976="","",IF($E975="",$E976,$E976*0.0099502488+K975*0.9900497512))</f>
        <v>0</v>
      </c>
      <c r="L976">
        <f>IF(OR($E976="",$E975=""),"",MAX($E976-$E975,0))</f>
        <v>0</v>
      </c>
      <c r="M976">
        <f>IF(OR($E976="",$E975=""),"",MAX($E975-$E976,0))</f>
        <v>0</v>
      </c>
      <c r="N976">
        <f>IF(COUNT($E$2:$E976)&lt;15,"",IF(AVERAGE($M$963:$M$976)=0,100,100-100/(1+AVERAGE($L$963:$L$976)/AVERAGE($M$963:$M$976))))</f>
        <v>0</v>
      </c>
      <c r="O976">
        <f>IF($E976="","",IF($E975="",$E976,$E976*0.1538461538+O975*0.8461538462))</f>
        <v>0</v>
      </c>
      <c r="P976">
        <f>IF($E976="","",IF($E975="",$E976,$E976*0.0740740741+P975*0.9259259259))</f>
        <v>0</v>
      </c>
      <c r="Q976">
        <f>IF(OR(O976="",P976=""),"",O976-P976)</f>
        <v>0</v>
      </c>
      <c r="R976">
        <f>IF(Q976="","",IF(R975="",Q976,Q976*0.2000000000+R975*0.8000000000))</f>
        <v>0</v>
      </c>
      <c r="S976">
        <f>IF(OR(Q976="",R976=""),"",Q976-R976)</f>
        <v>0</v>
      </c>
      <c r="T976">
        <f>IF(COUNT($E$2:$E976)&lt;14,"",MAX($C$963:$C$976))</f>
        <v>0</v>
      </c>
      <c r="U976">
        <f>IF(COUNT($E$2:$E976)&lt;14,"",MIN($D$963:$D$976))</f>
        <v>0</v>
      </c>
      <c r="V976">
        <f>IF(OR(T976="",U976="",T976=U976),"",100*($E976-U976)/(T976-U976))</f>
        <v>0</v>
      </c>
      <c r="W976">
        <f>IF(COUNT($V$974:$V$976)&lt;3,"",AVERAGE($V$974:$V$976))</f>
        <v>0</v>
      </c>
      <c r="X976">
        <f>IF(COUNT($N$963:$N$976)&lt;14,"",MIN($N$963:$N$976))</f>
        <v>0</v>
      </c>
      <c r="Y976">
        <f>IF(COUNT($N$963:$N$976)&lt;14,"",MAX($N$963:$N$976))</f>
        <v>0</v>
      </c>
      <c r="Z976">
        <f>IF(OR(N976="",X976="",Y976="",Y976=X976),"",100*(N976-X976)/(Y976-X976))</f>
        <v>0</v>
      </c>
      <c r="AA976">
        <f>IF(COUNT($Z$974:$Z$976)&lt;3,"",AVERAGE($Z$974:$Z$976))</f>
        <v>0</v>
      </c>
      <c r="AB976">
        <f>IF(COUNT($AA$974:$AA$976)&lt;3,"",AVERAGE($AA$974:$AA$976))</f>
        <v>0</v>
      </c>
      <c r="AC976">
        <f>IF($E976="","",MAX($C976-$D976,ABS($C976-$E975),ABS($D976-$E975)))</f>
        <v>0</v>
      </c>
      <c r="AD976">
        <f>IF(COUNT($E$2:$E976)&lt;15,"",AVERAGE($AC$963:$AC$976))</f>
        <v>0</v>
      </c>
      <c r="AE976">
        <f>IF(OR($E976="",$E975=""),"",IF(AND(($C976-$C975)&gt;($D975-$D976),($C976-$C975)&gt;0),$C976-$C975,0))</f>
        <v>0</v>
      </c>
      <c r="AF976">
        <f>IF(OR($E976="",$E975=""),"",IF(AND(($D975-$D976)&gt;($C976-$C975),($D975-$D976)&gt;0),$D975-$D976,0))</f>
        <v>0</v>
      </c>
      <c r="AG976">
        <f>IF(COUNT($E$2:$E976)&lt;15,"",IF(SUM($AC$963:$AC$976)=0,0,100*SUM($AE$963:$AE$976)/SUM($AC$963:$AC$976)))</f>
        <v>0</v>
      </c>
      <c r="AH976">
        <f>IF(COUNT($E$2:$E976)&lt;15,"",IF(SUM($AC$963:$AC$976)=0,0,100*SUM($AF$963:$AF$976)/SUM($AC$963:$AC$976)))</f>
        <v>0</v>
      </c>
      <c r="AI976">
        <f>IF(OR(AG976="",AH976=""),"",IF((AG976+AH976)=0,0,100*ABS(AG976-AH976)/(AG976+AH976)))</f>
        <v>0</v>
      </c>
      <c r="AJ976">
        <f>IF(COUNT($AI$963:$AI$976)&lt;14,"",AVERAGE($AI$963:$AI$976))</f>
        <v>0</v>
      </c>
      <c r="AK976">
        <f>IF(COUNT($E$2:$E976)&lt;20,"",AVERAGE($E$957:$E$976))</f>
        <v>0</v>
      </c>
      <c r="AL976">
        <f>IF(COUNT($E$2:$E976)&lt;20,"",STDEVP($E$957:$E$976))</f>
        <v>0</v>
      </c>
      <c r="AM976">
        <f>IF(AK976="","",AK976+2*AL976)</f>
        <v>0</v>
      </c>
      <c r="AN976">
        <f>IF(AK976="","",AK976-2*AL976)</f>
        <v>0</v>
      </c>
      <c r="AO976">
        <f>IF(OR(AM976="",AN976="",AM976=AN976),"",($E976-AN976)/(AM976-AN976))</f>
        <v>0</v>
      </c>
      <c r="AP976">
        <f>IF(OR(AM976="",AK976="",AK976=0),"",(AM976-AN976)/AK976)</f>
        <v>0</v>
      </c>
      <c r="AQ976">
        <f>IF(COUNT($E$2:$E976)&lt;20,"",MAX($C$957:$C$976))</f>
        <v>0</v>
      </c>
      <c r="AR976">
        <f>IF(COUNT($E$2:$E976)&lt;20,"",MIN($D$957:$D$976))</f>
        <v>0</v>
      </c>
      <c r="AS976">
        <f>IF(OR(AQ976="",AR976=""),"",(AQ976+AR976)/2)</f>
        <v>0</v>
      </c>
      <c r="AT976">
        <f>IF(COUNT($G$957:$G$976)&lt;20,"",STDEV($G$957:$G$976)*SQRT(252))</f>
        <v>0</v>
      </c>
      <c r="AU976">
        <f>IF(COUNT($E$2:$E976)&lt;9,"",(MAX($C$968:$C$976)+MIN($D$968:$D$976))/2)</f>
        <v>0</v>
      </c>
      <c r="AV976">
        <f>IF(COUNT($E$2:$E976)&lt;26,"",(MAX($C$951:$C$976)+MIN($D$951:$D$976))/2)</f>
        <v>0</v>
      </c>
      <c r="AW976">
        <f>IF(OR(AU976="",AV976=""),"",(AU976+AV976)/2)</f>
        <v>0</v>
      </c>
      <c r="AX976">
        <f>IF(COUNT($E$2:$E976)&lt;52,"",(MAX($C$925:$C$976)+MIN($D$925:$D$976))/2)</f>
        <v>0</v>
      </c>
      <c r="AY976">
        <f>IF(COUNT($E$2:$E976)&lt;20,"",MAX($C$877:$C$976))</f>
        <v>0</v>
      </c>
      <c r="AZ976">
        <f>IF(COUNT($E$2:$E976)&lt;20,"",MIN($D$877:$D$976))</f>
        <v>0</v>
      </c>
      <c r="BA976">
        <f>IF(COUNT($E$2:$E976)&lt;20,"",SLOPE($E$877:$E$976,$F$877:$F$976))</f>
        <v>0</v>
      </c>
      <c r="BB976">
        <f>IF(COUNT($E$2:$E976)&lt;20,"",INTERCEPT($E$877:$E$976,$F$877:$F$976))</f>
        <v>0</v>
      </c>
      <c r="BC976">
        <f>IF(OR(BA976="",BB976=""),"",BB976+BA976*F976)</f>
        <v>0</v>
      </c>
      <c r="BD976">
        <f>IF(COUNT($E$2:$E976)&lt;20,"",STEYX($E$877:$E$976,$F$877:$F$976))</f>
        <v>0</v>
      </c>
      <c r="BE976">
        <f>IF($E976="","",IF(AND(COUNT($E$977:$E$980)&gt;=4,$C976=MAX($C$972:$C$980)),$C976,""))</f>
        <v>0</v>
      </c>
      <c r="BF976">
        <f>IF($E976="","",IF(AND(COUNT($E$977:$E$980)&gt;=4,$D976=MIN($D$972:$D$980)),$D976,""))</f>
        <v>0</v>
      </c>
      <c r="BG976">
        <f>IF($A976="","",$A976-WEEKDAY($A976,2)+1)</f>
        <v>0</v>
      </c>
      <c r="BH976">
        <f>IF($A976="","",IF($A975="",1,IF(BG976&lt;&gt;BG975,1,0)))</f>
        <v>0</v>
      </c>
      <c r="BI976">
        <f>IF($A976="","",IF($A977="",1,IF(BG977&lt;&gt;BG976,1,0)))</f>
        <v>0</v>
      </c>
      <c r="BJ976">
        <f>IF($A976="","",IF(BH976=1,$B976,BJ975))</f>
        <v>0</v>
      </c>
      <c r="BK976">
        <f>IF($A976="","",IF(BH976=1,$C976,MAX($C976,BK975)))</f>
        <v>0</v>
      </c>
      <c r="BL976">
        <f>IF($A976="","",IF(BH976=1,$D976,MIN($D976,BL975)))</f>
        <v>0</v>
      </c>
      <c r="BM976">
        <f>IF($A976="","",IF(BI976=1,F976,""))</f>
        <v>0</v>
      </c>
      <c r="BN976">
        <f>IF($A976="","",DATE(YEAR($A976),MONTH($A976),1))</f>
        <v>0</v>
      </c>
      <c r="BO976">
        <f>IF($A976="","",IF($A975="",1,IF(BN976&lt;&gt;BN975,1,0)))</f>
        <v>0</v>
      </c>
      <c r="BP976">
        <f>IF($A976="","",IF($A977="",1,IF(BN977&lt;&gt;BN976,1,0)))</f>
        <v>0</v>
      </c>
      <c r="BQ976">
        <f>IF($A976="","",IF(BO976=1,$B976,BQ975))</f>
        <v>0</v>
      </c>
      <c r="BR976">
        <f>IF($A976="","",IF(BO976=1,$C976,MAX($C976,BR975)))</f>
        <v>0</v>
      </c>
      <c r="BS976">
        <f>IF($A976="","",IF(BO976=1,$D976,MIN($D976,BS975)))</f>
        <v>0</v>
      </c>
      <c r="BT976">
        <f>IF($A976="","",IF(BP976=1,F976,""))</f>
        <v>0</v>
      </c>
    </row>
    <row r="977" spans="1:72">
      <c r="A977" s="27">
        <f>IF(Data!$A977="","",Data!$A977)</f>
        <v>0</v>
      </c>
      <c r="B977">
        <f>IF(Data!$B977="","",Data!$B977)</f>
        <v>0</v>
      </c>
      <c r="C977">
        <f>IF(Data!$C977="","",Data!$C977)</f>
        <v>0</v>
      </c>
      <c r="D977">
        <f>IF(Data!$D977="","",Data!$D977)</f>
        <v>0</v>
      </c>
      <c r="E977">
        <f>IF(Data!$E977="","",Data!$E977)</f>
        <v>0</v>
      </c>
      <c r="F977">
        <f>IF($E977="","",N(F976)+1)</f>
        <v>0</v>
      </c>
      <c r="G977">
        <f>IF(OR($E977="",$E976=""),"",LN($E977/$E976))</f>
        <v>0</v>
      </c>
      <c r="H977">
        <f>IF($E977="","",IF($E976="",$E977,$E977*0.0952380952+H976*0.9047619048))</f>
        <v>0</v>
      </c>
      <c r="I977">
        <f>IF($E977="","",IF($E976="",$E977,$E977*0.0392156863+I976*0.9607843137))</f>
        <v>0</v>
      </c>
      <c r="J977">
        <f>IF($E977="","",IF($E976="",$E977,$E977*0.0198019802+J976*0.9801980198))</f>
        <v>0</v>
      </c>
      <c r="K977">
        <f>IF($E977="","",IF($E976="",$E977,$E977*0.0099502488+K976*0.9900497512))</f>
        <v>0</v>
      </c>
      <c r="L977">
        <f>IF(OR($E977="",$E976=""),"",MAX($E977-$E976,0))</f>
        <v>0</v>
      </c>
      <c r="M977">
        <f>IF(OR($E977="",$E976=""),"",MAX($E976-$E977,0))</f>
        <v>0</v>
      </c>
      <c r="N977">
        <f>IF(COUNT($E$2:$E977)&lt;15,"",IF(AVERAGE($M$964:$M$977)=0,100,100-100/(1+AVERAGE($L$964:$L$977)/AVERAGE($M$964:$M$977))))</f>
        <v>0</v>
      </c>
      <c r="O977">
        <f>IF($E977="","",IF($E976="",$E977,$E977*0.1538461538+O976*0.8461538462))</f>
        <v>0</v>
      </c>
      <c r="P977">
        <f>IF($E977="","",IF($E976="",$E977,$E977*0.0740740741+P976*0.9259259259))</f>
        <v>0</v>
      </c>
      <c r="Q977">
        <f>IF(OR(O977="",P977=""),"",O977-P977)</f>
        <v>0</v>
      </c>
      <c r="R977">
        <f>IF(Q977="","",IF(R976="",Q977,Q977*0.2000000000+R976*0.8000000000))</f>
        <v>0</v>
      </c>
      <c r="S977">
        <f>IF(OR(Q977="",R977=""),"",Q977-R977)</f>
        <v>0</v>
      </c>
      <c r="T977">
        <f>IF(COUNT($E$2:$E977)&lt;14,"",MAX($C$964:$C$977))</f>
        <v>0</v>
      </c>
      <c r="U977">
        <f>IF(COUNT($E$2:$E977)&lt;14,"",MIN($D$964:$D$977))</f>
        <v>0</v>
      </c>
      <c r="V977">
        <f>IF(OR(T977="",U977="",T977=U977),"",100*($E977-U977)/(T977-U977))</f>
        <v>0</v>
      </c>
      <c r="W977">
        <f>IF(COUNT($V$975:$V$977)&lt;3,"",AVERAGE($V$975:$V$977))</f>
        <v>0</v>
      </c>
      <c r="X977">
        <f>IF(COUNT($N$964:$N$977)&lt;14,"",MIN($N$964:$N$977))</f>
        <v>0</v>
      </c>
      <c r="Y977">
        <f>IF(COUNT($N$964:$N$977)&lt;14,"",MAX($N$964:$N$977))</f>
        <v>0</v>
      </c>
      <c r="Z977">
        <f>IF(OR(N977="",X977="",Y977="",Y977=X977),"",100*(N977-X977)/(Y977-X977))</f>
        <v>0</v>
      </c>
      <c r="AA977">
        <f>IF(COUNT($Z$975:$Z$977)&lt;3,"",AVERAGE($Z$975:$Z$977))</f>
        <v>0</v>
      </c>
      <c r="AB977">
        <f>IF(COUNT($AA$975:$AA$977)&lt;3,"",AVERAGE($AA$975:$AA$977))</f>
        <v>0</v>
      </c>
      <c r="AC977">
        <f>IF($E977="","",MAX($C977-$D977,ABS($C977-$E976),ABS($D977-$E976)))</f>
        <v>0</v>
      </c>
      <c r="AD977">
        <f>IF(COUNT($E$2:$E977)&lt;15,"",AVERAGE($AC$964:$AC$977))</f>
        <v>0</v>
      </c>
      <c r="AE977">
        <f>IF(OR($E977="",$E976=""),"",IF(AND(($C977-$C976)&gt;($D976-$D977),($C977-$C976)&gt;0),$C977-$C976,0))</f>
        <v>0</v>
      </c>
      <c r="AF977">
        <f>IF(OR($E977="",$E976=""),"",IF(AND(($D976-$D977)&gt;($C977-$C976),($D976-$D977)&gt;0),$D976-$D977,0))</f>
        <v>0</v>
      </c>
      <c r="AG977">
        <f>IF(COUNT($E$2:$E977)&lt;15,"",IF(SUM($AC$964:$AC$977)=0,0,100*SUM($AE$964:$AE$977)/SUM($AC$964:$AC$977)))</f>
        <v>0</v>
      </c>
      <c r="AH977">
        <f>IF(COUNT($E$2:$E977)&lt;15,"",IF(SUM($AC$964:$AC$977)=0,0,100*SUM($AF$964:$AF$977)/SUM($AC$964:$AC$977)))</f>
        <v>0</v>
      </c>
      <c r="AI977">
        <f>IF(OR(AG977="",AH977=""),"",IF((AG977+AH977)=0,0,100*ABS(AG977-AH977)/(AG977+AH977)))</f>
        <v>0</v>
      </c>
      <c r="AJ977">
        <f>IF(COUNT($AI$964:$AI$977)&lt;14,"",AVERAGE($AI$964:$AI$977))</f>
        <v>0</v>
      </c>
      <c r="AK977">
        <f>IF(COUNT($E$2:$E977)&lt;20,"",AVERAGE($E$958:$E$977))</f>
        <v>0</v>
      </c>
      <c r="AL977">
        <f>IF(COUNT($E$2:$E977)&lt;20,"",STDEVP($E$958:$E$977))</f>
        <v>0</v>
      </c>
      <c r="AM977">
        <f>IF(AK977="","",AK977+2*AL977)</f>
        <v>0</v>
      </c>
      <c r="AN977">
        <f>IF(AK977="","",AK977-2*AL977)</f>
        <v>0</v>
      </c>
      <c r="AO977">
        <f>IF(OR(AM977="",AN977="",AM977=AN977),"",($E977-AN977)/(AM977-AN977))</f>
        <v>0</v>
      </c>
      <c r="AP977">
        <f>IF(OR(AM977="",AK977="",AK977=0),"",(AM977-AN977)/AK977)</f>
        <v>0</v>
      </c>
      <c r="AQ977">
        <f>IF(COUNT($E$2:$E977)&lt;20,"",MAX($C$958:$C$977))</f>
        <v>0</v>
      </c>
      <c r="AR977">
        <f>IF(COUNT($E$2:$E977)&lt;20,"",MIN($D$958:$D$977))</f>
        <v>0</v>
      </c>
      <c r="AS977">
        <f>IF(OR(AQ977="",AR977=""),"",(AQ977+AR977)/2)</f>
        <v>0</v>
      </c>
      <c r="AT977">
        <f>IF(COUNT($G$958:$G$977)&lt;20,"",STDEV($G$958:$G$977)*SQRT(252))</f>
        <v>0</v>
      </c>
      <c r="AU977">
        <f>IF(COUNT($E$2:$E977)&lt;9,"",(MAX($C$969:$C$977)+MIN($D$969:$D$977))/2)</f>
        <v>0</v>
      </c>
      <c r="AV977">
        <f>IF(COUNT($E$2:$E977)&lt;26,"",(MAX($C$952:$C$977)+MIN($D$952:$D$977))/2)</f>
        <v>0</v>
      </c>
      <c r="AW977">
        <f>IF(OR(AU977="",AV977=""),"",(AU977+AV977)/2)</f>
        <v>0</v>
      </c>
      <c r="AX977">
        <f>IF(COUNT($E$2:$E977)&lt;52,"",(MAX($C$926:$C$977)+MIN($D$926:$D$977))/2)</f>
        <v>0</v>
      </c>
      <c r="AY977">
        <f>IF(COUNT($E$2:$E977)&lt;20,"",MAX($C$878:$C$977))</f>
        <v>0</v>
      </c>
      <c r="AZ977">
        <f>IF(COUNT($E$2:$E977)&lt;20,"",MIN($D$878:$D$977))</f>
        <v>0</v>
      </c>
      <c r="BA977">
        <f>IF(COUNT($E$2:$E977)&lt;20,"",SLOPE($E$878:$E$977,$F$878:$F$977))</f>
        <v>0</v>
      </c>
      <c r="BB977">
        <f>IF(COUNT($E$2:$E977)&lt;20,"",INTERCEPT($E$878:$E$977,$F$878:$F$977))</f>
        <v>0</v>
      </c>
      <c r="BC977">
        <f>IF(OR(BA977="",BB977=""),"",BB977+BA977*F977)</f>
        <v>0</v>
      </c>
      <c r="BD977">
        <f>IF(COUNT($E$2:$E977)&lt;20,"",STEYX($E$878:$E$977,$F$878:$F$977))</f>
        <v>0</v>
      </c>
      <c r="BE977">
        <f>IF($E977="","",IF(AND(COUNT($E$978:$E$981)&gt;=4,$C977=MAX($C$973:$C$981)),$C977,""))</f>
        <v>0</v>
      </c>
      <c r="BF977">
        <f>IF($E977="","",IF(AND(COUNT($E$978:$E$981)&gt;=4,$D977=MIN($D$973:$D$981)),$D977,""))</f>
        <v>0</v>
      </c>
      <c r="BG977">
        <f>IF($A977="","",$A977-WEEKDAY($A977,2)+1)</f>
        <v>0</v>
      </c>
      <c r="BH977">
        <f>IF($A977="","",IF($A976="",1,IF(BG977&lt;&gt;BG976,1,0)))</f>
        <v>0</v>
      </c>
      <c r="BI977">
        <f>IF($A977="","",IF($A978="",1,IF(BG978&lt;&gt;BG977,1,0)))</f>
        <v>0</v>
      </c>
      <c r="BJ977">
        <f>IF($A977="","",IF(BH977=1,$B977,BJ976))</f>
        <v>0</v>
      </c>
      <c r="BK977">
        <f>IF($A977="","",IF(BH977=1,$C977,MAX($C977,BK976)))</f>
        <v>0</v>
      </c>
      <c r="BL977">
        <f>IF($A977="","",IF(BH977=1,$D977,MIN($D977,BL976)))</f>
        <v>0</v>
      </c>
      <c r="BM977">
        <f>IF($A977="","",IF(BI977=1,F977,""))</f>
        <v>0</v>
      </c>
      <c r="BN977">
        <f>IF($A977="","",DATE(YEAR($A977),MONTH($A977),1))</f>
        <v>0</v>
      </c>
      <c r="BO977">
        <f>IF($A977="","",IF($A976="",1,IF(BN977&lt;&gt;BN976,1,0)))</f>
        <v>0</v>
      </c>
      <c r="BP977">
        <f>IF($A977="","",IF($A978="",1,IF(BN978&lt;&gt;BN977,1,0)))</f>
        <v>0</v>
      </c>
      <c r="BQ977">
        <f>IF($A977="","",IF(BO977=1,$B977,BQ976))</f>
        <v>0</v>
      </c>
      <c r="BR977">
        <f>IF($A977="","",IF(BO977=1,$C977,MAX($C977,BR976)))</f>
        <v>0</v>
      </c>
      <c r="BS977">
        <f>IF($A977="","",IF(BO977=1,$D977,MIN($D977,BS976)))</f>
        <v>0</v>
      </c>
      <c r="BT977">
        <f>IF($A977="","",IF(BP977=1,F977,""))</f>
        <v>0</v>
      </c>
    </row>
    <row r="978" spans="1:72">
      <c r="A978" s="27">
        <f>IF(Data!$A978="","",Data!$A978)</f>
        <v>0</v>
      </c>
      <c r="B978">
        <f>IF(Data!$B978="","",Data!$B978)</f>
        <v>0</v>
      </c>
      <c r="C978">
        <f>IF(Data!$C978="","",Data!$C978)</f>
        <v>0</v>
      </c>
      <c r="D978">
        <f>IF(Data!$D978="","",Data!$D978)</f>
        <v>0</v>
      </c>
      <c r="E978">
        <f>IF(Data!$E978="","",Data!$E978)</f>
        <v>0</v>
      </c>
      <c r="F978">
        <f>IF($E978="","",N(F977)+1)</f>
        <v>0</v>
      </c>
      <c r="G978">
        <f>IF(OR($E978="",$E977=""),"",LN($E978/$E977))</f>
        <v>0</v>
      </c>
      <c r="H978">
        <f>IF($E978="","",IF($E977="",$E978,$E978*0.0952380952+H977*0.9047619048))</f>
        <v>0</v>
      </c>
      <c r="I978">
        <f>IF($E978="","",IF($E977="",$E978,$E978*0.0392156863+I977*0.9607843137))</f>
        <v>0</v>
      </c>
      <c r="J978">
        <f>IF($E978="","",IF($E977="",$E978,$E978*0.0198019802+J977*0.9801980198))</f>
        <v>0</v>
      </c>
      <c r="K978">
        <f>IF($E978="","",IF($E977="",$E978,$E978*0.0099502488+K977*0.9900497512))</f>
        <v>0</v>
      </c>
      <c r="L978">
        <f>IF(OR($E978="",$E977=""),"",MAX($E978-$E977,0))</f>
        <v>0</v>
      </c>
      <c r="M978">
        <f>IF(OR($E978="",$E977=""),"",MAX($E977-$E978,0))</f>
        <v>0</v>
      </c>
      <c r="N978">
        <f>IF(COUNT($E$2:$E978)&lt;15,"",IF(AVERAGE($M$965:$M$978)=0,100,100-100/(1+AVERAGE($L$965:$L$978)/AVERAGE($M$965:$M$978))))</f>
        <v>0</v>
      </c>
      <c r="O978">
        <f>IF($E978="","",IF($E977="",$E978,$E978*0.1538461538+O977*0.8461538462))</f>
        <v>0</v>
      </c>
      <c r="P978">
        <f>IF($E978="","",IF($E977="",$E978,$E978*0.0740740741+P977*0.9259259259))</f>
        <v>0</v>
      </c>
      <c r="Q978">
        <f>IF(OR(O978="",P978=""),"",O978-P978)</f>
        <v>0</v>
      </c>
      <c r="R978">
        <f>IF(Q978="","",IF(R977="",Q978,Q978*0.2000000000+R977*0.8000000000))</f>
        <v>0</v>
      </c>
      <c r="S978">
        <f>IF(OR(Q978="",R978=""),"",Q978-R978)</f>
        <v>0</v>
      </c>
      <c r="T978">
        <f>IF(COUNT($E$2:$E978)&lt;14,"",MAX($C$965:$C$978))</f>
        <v>0</v>
      </c>
      <c r="U978">
        <f>IF(COUNT($E$2:$E978)&lt;14,"",MIN($D$965:$D$978))</f>
        <v>0</v>
      </c>
      <c r="V978">
        <f>IF(OR(T978="",U978="",T978=U978),"",100*($E978-U978)/(T978-U978))</f>
        <v>0</v>
      </c>
      <c r="W978">
        <f>IF(COUNT($V$976:$V$978)&lt;3,"",AVERAGE($V$976:$V$978))</f>
        <v>0</v>
      </c>
      <c r="X978">
        <f>IF(COUNT($N$965:$N$978)&lt;14,"",MIN($N$965:$N$978))</f>
        <v>0</v>
      </c>
      <c r="Y978">
        <f>IF(COUNT($N$965:$N$978)&lt;14,"",MAX($N$965:$N$978))</f>
        <v>0</v>
      </c>
      <c r="Z978">
        <f>IF(OR(N978="",X978="",Y978="",Y978=X978),"",100*(N978-X978)/(Y978-X978))</f>
        <v>0</v>
      </c>
      <c r="AA978">
        <f>IF(COUNT($Z$976:$Z$978)&lt;3,"",AVERAGE($Z$976:$Z$978))</f>
        <v>0</v>
      </c>
      <c r="AB978">
        <f>IF(COUNT($AA$976:$AA$978)&lt;3,"",AVERAGE($AA$976:$AA$978))</f>
        <v>0</v>
      </c>
      <c r="AC978">
        <f>IF($E978="","",MAX($C978-$D978,ABS($C978-$E977),ABS($D978-$E977)))</f>
        <v>0</v>
      </c>
      <c r="AD978">
        <f>IF(COUNT($E$2:$E978)&lt;15,"",AVERAGE($AC$965:$AC$978))</f>
        <v>0</v>
      </c>
      <c r="AE978">
        <f>IF(OR($E978="",$E977=""),"",IF(AND(($C978-$C977)&gt;($D977-$D978),($C978-$C977)&gt;0),$C978-$C977,0))</f>
        <v>0</v>
      </c>
      <c r="AF978">
        <f>IF(OR($E978="",$E977=""),"",IF(AND(($D977-$D978)&gt;($C978-$C977),($D977-$D978)&gt;0),$D977-$D978,0))</f>
        <v>0</v>
      </c>
      <c r="AG978">
        <f>IF(COUNT($E$2:$E978)&lt;15,"",IF(SUM($AC$965:$AC$978)=0,0,100*SUM($AE$965:$AE$978)/SUM($AC$965:$AC$978)))</f>
        <v>0</v>
      </c>
      <c r="AH978">
        <f>IF(COUNT($E$2:$E978)&lt;15,"",IF(SUM($AC$965:$AC$978)=0,0,100*SUM($AF$965:$AF$978)/SUM($AC$965:$AC$978)))</f>
        <v>0</v>
      </c>
      <c r="AI978">
        <f>IF(OR(AG978="",AH978=""),"",IF((AG978+AH978)=0,0,100*ABS(AG978-AH978)/(AG978+AH978)))</f>
        <v>0</v>
      </c>
      <c r="AJ978">
        <f>IF(COUNT($AI$965:$AI$978)&lt;14,"",AVERAGE($AI$965:$AI$978))</f>
        <v>0</v>
      </c>
      <c r="AK978">
        <f>IF(COUNT($E$2:$E978)&lt;20,"",AVERAGE($E$959:$E$978))</f>
        <v>0</v>
      </c>
      <c r="AL978">
        <f>IF(COUNT($E$2:$E978)&lt;20,"",STDEVP($E$959:$E$978))</f>
        <v>0</v>
      </c>
      <c r="AM978">
        <f>IF(AK978="","",AK978+2*AL978)</f>
        <v>0</v>
      </c>
      <c r="AN978">
        <f>IF(AK978="","",AK978-2*AL978)</f>
        <v>0</v>
      </c>
      <c r="AO978">
        <f>IF(OR(AM978="",AN978="",AM978=AN978),"",($E978-AN978)/(AM978-AN978))</f>
        <v>0</v>
      </c>
      <c r="AP978">
        <f>IF(OR(AM978="",AK978="",AK978=0),"",(AM978-AN978)/AK978)</f>
        <v>0</v>
      </c>
      <c r="AQ978">
        <f>IF(COUNT($E$2:$E978)&lt;20,"",MAX($C$959:$C$978))</f>
        <v>0</v>
      </c>
      <c r="AR978">
        <f>IF(COUNT($E$2:$E978)&lt;20,"",MIN($D$959:$D$978))</f>
        <v>0</v>
      </c>
      <c r="AS978">
        <f>IF(OR(AQ978="",AR978=""),"",(AQ978+AR978)/2)</f>
        <v>0</v>
      </c>
      <c r="AT978">
        <f>IF(COUNT($G$959:$G$978)&lt;20,"",STDEV($G$959:$G$978)*SQRT(252))</f>
        <v>0</v>
      </c>
      <c r="AU978">
        <f>IF(COUNT($E$2:$E978)&lt;9,"",(MAX($C$970:$C$978)+MIN($D$970:$D$978))/2)</f>
        <v>0</v>
      </c>
      <c r="AV978">
        <f>IF(COUNT($E$2:$E978)&lt;26,"",(MAX($C$953:$C$978)+MIN($D$953:$D$978))/2)</f>
        <v>0</v>
      </c>
      <c r="AW978">
        <f>IF(OR(AU978="",AV978=""),"",(AU978+AV978)/2)</f>
        <v>0</v>
      </c>
      <c r="AX978">
        <f>IF(COUNT($E$2:$E978)&lt;52,"",(MAX($C$927:$C$978)+MIN($D$927:$D$978))/2)</f>
        <v>0</v>
      </c>
      <c r="AY978">
        <f>IF(COUNT($E$2:$E978)&lt;20,"",MAX($C$879:$C$978))</f>
        <v>0</v>
      </c>
      <c r="AZ978">
        <f>IF(COUNT($E$2:$E978)&lt;20,"",MIN($D$879:$D$978))</f>
        <v>0</v>
      </c>
      <c r="BA978">
        <f>IF(COUNT($E$2:$E978)&lt;20,"",SLOPE($E$879:$E$978,$F$879:$F$978))</f>
        <v>0</v>
      </c>
      <c r="BB978">
        <f>IF(COUNT($E$2:$E978)&lt;20,"",INTERCEPT($E$879:$E$978,$F$879:$F$978))</f>
        <v>0</v>
      </c>
      <c r="BC978">
        <f>IF(OR(BA978="",BB978=""),"",BB978+BA978*F978)</f>
        <v>0</v>
      </c>
      <c r="BD978">
        <f>IF(COUNT($E$2:$E978)&lt;20,"",STEYX($E$879:$E$978,$F$879:$F$978))</f>
        <v>0</v>
      </c>
      <c r="BE978">
        <f>IF($E978="","",IF(AND(COUNT($E$979:$E$982)&gt;=4,$C978=MAX($C$974:$C$982)),$C978,""))</f>
        <v>0</v>
      </c>
      <c r="BF978">
        <f>IF($E978="","",IF(AND(COUNT($E$979:$E$982)&gt;=4,$D978=MIN($D$974:$D$982)),$D978,""))</f>
        <v>0</v>
      </c>
      <c r="BG978">
        <f>IF($A978="","",$A978-WEEKDAY($A978,2)+1)</f>
        <v>0</v>
      </c>
      <c r="BH978">
        <f>IF($A978="","",IF($A977="",1,IF(BG978&lt;&gt;BG977,1,0)))</f>
        <v>0</v>
      </c>
      <c r="BI978">
        <f>IF($A978="","",IF($A979="",1,IF(BG979&lt;&gt;BG978,1,0)))</f>
        <v>0</v>
      </c>
      <c r="BJ978">
        <f>IF($A978="","",IF(BH978=1,$B978,BJ977))</f>
        <v>0</v>
      </c>
      <c r="BK978">
        <f>IF($A978="","",IF(BH978=1,$C978,MAX($C978,BK977)))</f>
        <v>0</v>
      </c>
      <c r="BL978">
        <f>IF($A978="","",IF(BH978=1,$D978,MIN($D978,BL977)))</f>
        <v>0</v>
      </c>
      <c r="BM978">
        <f>IF($A978="","",IF(BI978=1,F978,""))</f>
        <v>0</v>
      </c>
      <c r="BN978">
        <f>IF($A978="","",DATE(YEAR($A978),MONTH($A978),1))</f>
        <v>0</v>
      </c>
      <c r="BO978">
        <f>IF($A978="","",IF($A977="",1,IF(BN978&lt;&gt;BN977,1,0)))</f>
        <v>0</v>
      </c>
      <c r="BP978">
        <f>IF($A978="","",IF($A979="",1,IF(BN979&lt;&gt;BN978,1,0)))</f>
        <v>0</v>
      </c>
      <c r="BQ978">
        <f>IF($A978="","",IF(BO978=1,$B978,BQ977))</f>
        <v>0</v>
      </c>
      <c r="BR978">
        <f>IF($A978="","",IF(BO978=1,$C978,MAX($C978,BR977)))</f>
        <v>0</v>
      </c>
      <c r="BS978">
        <f>IF($A978="","",IF(BO978=1,$D978,MIN($D978,BS977)))</f>
        <v>0</v>
      </c>
      <c r="BT978">
        <f>IF($A978="","",IF(BP978=1,F978,""))</f>
        <v>0</v>
      </c>
    </row>
    <row r="979" spans="1:72">
      <c r="A979" s="27">
        <f>IF(Data!$A979="","",Data!$A979)</f>
        <v>0</v>
      </c>
      <c r="B979">
        <f>IF(Data!$B979="","",Data!$B979)</f>
        <v>0</v>
      </c>
      <c r="C979">
        <f>IF(Data!$C979="","",Data!$C979)</f>
        <v>0</v>
      </c>
      <c r="D979">
        <f>IF(Data!$D979="","",Data!$D979)</f>
        <v>0</v>
      </c>
      <c r="E979">
        <f>IF(Data!$E979="","",Data!$E979)</f>
        <v>0</v>
      </c>
      <c r="F979">
        <f>IF($E979="","",N(F978)+1)</f>
        <v>0</v>
      </c>
      <c r="G979">
        <f>IF(OR($E979="",$E978=""),"",LN($E979/$E978))</f>
        <v>0</v>
      </c>
      <c r="H979">
        <f>IF($E979="","",IF($E978="",$E979,$E979*0.0952380952+H978*0.9047619048))</f>
        <v>0</v>
      </c>
      <c r="I979">
        <f>IF($E979="","",IF($E978="",$E979,$E979*0.0392156863+I978*0.9607843137))</f>
        <v>0</v>
      </c>
      <c r="J979">
        <f>IF($E979="","",IF($E978="",$E979,$E979*0.0198019802+J978*0.9801980198))</f>
        <v>0</v>
      </c>
      <c r="K979">
        <f>IF($E979="","",IF($E978="",$E979,$E979*0.0099502488+K978*0.9900497512))</f>
        <v>0</v>
      </c>
      <c r="L979">
        <f>IF(OR($E979="",$E978=""),"",MAX($E979-$E978,0))</f>
        <v>0</v>
      </c>
      <c r="M979">
        <f>IF(OR($E979="",$E978=""),"",MAX($E978-$E979,0))</f>
        <v>0</v>
      </c>
      <c r="N979">
        <f>IF(COUNT($E$2:$E979)&lt;15,"",IF(AVERAGE($M$966:$M$979)=0,100,100-100/(1+AVERAGE($L$966:$L$979)/AVERAGE($M$966:$M$979))))</f>
        <v>0</v>
      </c>
      <c r="O979">
        <f>IF($E979="","",IF($E978="",$E979,$E979*0.1538461538+O978*0.8461538462))</f>
        <v>0</v>
      </c>
      <c r="P979">
        <f>IF($E979="","",IF($E978="",$E979,$E979*0.0740740741+P978*0.9259259259))</f>
        <v>0</v>
      </c>
      <c r="Q979">
        <f>IF(OR(O979="",P979=""),"",O979-P979)</f>
        <v>0</v>
      </c>
      <c r="R979">
        <f>IF(Q979="","",IF(R978="",Q979,Q979*0.2000000000+R978*0.8000000000))</f>
        <v>0</v>
      </c>
      <c r="S979">
        <f>IF(OR(Q979="",R979=""),"",Q979-R979)</f>
        <v>0</v>
      </c>
      <c r="T979">
        <f>IF(COUNT($E$2:$E979)&lt;14,"",MAX($C$966:$C$979))</f>
        <v>0</v>
      </c>
      <c r="U979">
        <f>IF(COUNT($E$2:$E979)&lt;14,"",MIN($D$966:$D$979))</f>
        <v>0</v>
      </c>
      <c r="V979">
        <f>IF(OR(T979="",U979="",T979=U979),"",100*($E979-U979)/(T979-U979))</f>
        <v>0</v>
      </c>
      <c r="W979">
        <f>IF(COUNT($V$977:$V$979)&lt;3,"",AVERAGE($V$977:$V$979))</f>
        <v>0</v>
      </c>
      <c r="X979">
        <f>IF(COUNT($N$966:$N$979)&lt;14,"",MIN($N$966:$N$979))</f>
        <v>0</v>
      </c>
      <c r="Y979">
        <f>IF(COUNT($N$966:$N$979)&lt;14,"",MAX($N$966:$N$979))</f>
        <v>0</v>
      </c>
      <c r="Z979">
        <f>IF(OR(N979="",X979="",Y979="",Y979=X979),"",100*(N979-X979)/(Y979-X979))</f>
        <v>0</v>
      </c>
      <c r="AA979">
        <f>IF(COUNT($Z$977:$Z$979)&lt;3,"",AVERAGE($Z$977:$Z$979))</f>
        <v>0</v>
      </c>
      <c r="AB979">
        <f>IF(COUNT($AA$977:$AA$979)&lt;3,"",AVERAGE($AA$977:$AA$979))</f>
        <v>0</v>
      </c>
      <c r="AC979">
        <f>IF($E979="","",MAX($C979-$D979,ABS($C979-$E978),ABS($D979-$E978)))</f>
        <v>0</v>
      </c>
      <c r="AD979">
        <f>IF(COUNT($E$2:$E979)&lt;15,"",AVERAGE($AC$966:$AC$979))</f>
        <v>0</v>
      </c>
      <c r="AE979">
        <f>IF(OR($E979="",$E978=""),"",IF(AND(($C979-$C978)&gt;($D978-$D979),($C979-$C978)&gt;0),$C979-$C978,0))</f>
        <v>0</v>
      </c>
      <c r="AF979">
        <f>IF(OR($E979="",$E978=""),"",IF(AND(($D978-$D979)&gt;($C979-$C978),($D978-$D979)&gt;0),$D978-$D979,0))</f>
        <v>0</v>
      </c>
      <c r="AG979">
        <f>IF(COUNT($E$2:$E979)&lt;15,"",IF(SUM($AC$966:$AC$979)=0,0,100*SUM($AE$966:$AE$979)/SUM($AC$966:$AC$979)))</f>
        <v>0</v>
      </c>
      <c r="AH979">
        <f>IF(COUNT($E$2:$E979)&lt;15,"",IF(SUM($AC$966:$AC$979)=0,0,100*SUM($AF$966:$AF$979)/SUM($AC$966:$AC$979)))</f>
        <v>0</v>
      </c>
      <c r="AI979">
        <f>IF(OR(AG979="",AH979=""),"",IF((AG979+AH979)=0,0,100*ABS(AG979-AH979)/(AG979+AH979)))</f>
        <v>0</v>
      </c>
      <c r="AJ979">
        <f>IF(COUNT($AI$966:$AI$979)&lt;14,"",AVERAGE($AI$966:$AI$979))</f>
        <v>0</v>
      </c>
      <c r="AK979">
        <f>IF(COUNT($E$2:$E979)&lt;20,"",AVERAGE($E$960:$E$979))</f>
        <v>0</v>
      </c>
      <c r="AL979">
        <f>IF(COUNT($E$2:$E979)&lt;20,"",STDEVP($E$960:$E$979))</f>
        <v>0</v>
      </c>
      <c r="AM979">
        <f>IF(AK979="","",AK979+2*AL979)</f>
        <v>0</v>
      </c>
      <c r="AN979">
        <f>IF(AK979="","",AK979-2*AL979)</f>
        <v>0</v>
      </c>
      <c r="AO979">
        <f>IF(OR(AM979="",AN979="",AM979=AN979),"",($E979-AN979)/(AM979-AN979))</f>
        <v>0</v>
      </c>
      <c r="AP979">
        <f>IF(OR(AM979="",AK979="",AK979=0),"",(AM979-AN979)/AK979)</f>
        <v>0</v>
      </c>
      <c r="AQ979">
        <f>IF(COUNT($E$2:$E979)&lt;20,"",MAX($C$960:$C$979))</f>
        <v>0</v>
      </c>
      <c r="AR979">
        <f>IF(COUNT($E$2:$E979)&lt;20,"",MIN($D$960:$D$979))</f>
        <v>0</v>
      </c>
      <c r="AS979">
        <f>IF(OR(AQ979="",AR979=""),"",(AQ979+AR979)/2)</f>
        <v>0</v>
      </c>
      <c r="AT979">
        <f>IF(COUNT($G$960:$G$979)&lt;20,"",STDEV($G$960:$G$979)*SQRT(252))</f>
        <v>0</v>
      </c>
      <c r="AU979">
        <f>IF(COUNT($E$2:$E979)&lt;9,"",(MAX($C$971:$C$979)+MIN($D$971:$D$979))/2)</f>
        <v>0</v>
      </c>
      <c r="AV979">
        <f>IF(COUNT($E$2:$E979)&lt;26,"",(MAX($C$954:$C$979)+MIN($D$954:$D$979))/2)</f>
        <v>0</v>
      </c>
      <c r="AW979">
        <f>IF(OR(AU979="",AV979=""),"",(AU979+AV979)/2)</f>
        <v>0</v>
      </c>
      <c r="AX979">
        <f>IF(COUNT($E$2:$E979)&lt;52,"",(MAX($C$928:$C$979)+MIN($D$928:$D$979))/2)</f>
        <v>0</v>
      </c>
      <c r="AY979">
        <f>IF(COUNT($E$2:$E979)&lt;20,"",MAX($C$880:$C$979))</f>
        <v>0</v>
      </c>
      <c r="AZ979">
        <f>IF(COUNT($E$2:$E979)&lt;20,"",MIN($D$880:$D$979))</f>
        <v>0</v>
      </c>
      <c r="BA979">
        <f>IF(COUNT($E$2:$E979)&lt;20,"",SLOPE($E$880:$E$979,$F$880:$F$979))</f>
        <v>0</v>
      </c>
      <c r="BB979">
        <f>IF(COUNT($E$2:$E979)&lt;20,"",INTERCEPT($E$880:$E$979,$F$880:$F$979))</f>
        <v>0</v>
      </c>
      <c r="BC979">
        <f>IF(OR(BA979="",BB979=""),"",BB979+BA979*F979)</f>
        <v>0</v>
      </c>
      <c r="BD979">
        <f>IF(COUNT($E$2:$E979)&lt;20,"",STEYX($E$880:$E$979,$F$880:$F$979))</f>
        <v>0</v>
      </c>
      <c r="BE979">
        <f>IF($E979="","",IF(AND(COUNT($E$980:$E$983)&gt;=4,$C979=MAX($C$975:$C$983)),$C979,""))</f>
        <v>0</v>
      </c>
      <c r="BF979">
        <f>IF($E979="","",IF(AND(COUNT($E$980:$E$983)&gt;=4,$D979=MIN($D$975:$D$983)),$D979,""))</f>
        <v>0</v>
      </c>
      <c r="BG979">
        <f>IF($A979="","",$A979-WEEKDAY($A979,2)+1)</f>
        <v>0</v>
      </c>
      <c r="BH979">
        <f>IF($A979="","",IF($A978="",1,IF(BG979&lt;&gt;BG978,1,0)))</f>
        <v>0</v>
      </c>
      <c r="BI979">
        <f>IF($A979="","",IF($A980="",1,IF(BG980&lt;&gt;BG979,1,0)))</f>
        <v>0</v>
      </c>
      <c r="BJ979">
        <f>IF($A979="","",IF(BH979=1,$B979,BJ978))</f>
        <v>0</v>
      </c>
      <c r="BK979">
        <f>IF($A979="","",IF(BH979=1,$C979,MAX($C979,BK978)))</f>
        <v>0</v>
      </c>
      <c r="BL979">
        <f>IF($A979="","",IF(BH979=1,$D979,MIN($D979,BL978)))</f>
        <v>0</v>
      </c>
      <c r="BM979">
        <f>IF($A979="","",IF(BI979=1,F979,""))</f>
        <v>0</v>
      </c>
      <c r="BN979">
        <f>IF($A979="","",DATE(YEAR($A979),MONTH($A979),1))</f>
        <v>0</v>
      </c>
      <c r="BO979">
        <f>IF($A979="","",IF($A978="",1,IF(BN979&lt;&gt;BN978,1,0)))</f>
        <v>0</v>
      </c>
      <c r="BP979">
        <f>IF($A979="","",IF($A980="",1,IF(BN980&lt;&gt;BN979,1,0)))</f>
        <v>0</v>
      </c>
      <c r="BQ979">
        <f>IF($A979="","",IF(BO979=1,$B979,BQ978))</f>
        <v>0</v>
      </c>
      <c r="BR979">
        <f>IF($A979="","",IF(BO979=1,$C979,MAX($C979,BR978)))</f>
        <v>0</v>
      </c>
      <c r="BS979">
        <f>IF($A979="","",IF(BO979=1,$D979,MIN($D979,BS978)))</f>
        <v>0</v>
      </c>
      <c r="BT979">
        <f>IF($A979="","",IF(BP979=1,F979,""))</f>
        <v>0</v>
      </c>
    </row>
    <row r="980" spans="1:72">
      <c r="A980" s="27">
        <f>IF(Data!$A980="","",Data!$A980)</f>
        <v>0</v>
      </c>
      <c r="B980">
        <f>IF(Data!$B980="","",Data!$B980)</f>
        <v>0</v>
      </c>
      <c r="C980">
        <f>IF(Data!$C980="","",Data!$C980)</f>
        <v>0</v>
      </c>
      <c r="D980">
        <f>IF(Data!$D980="","",Data!$D980)</f>
        <v>0</v>
      </c>
      <c r="E980">
        <f>IF(Data!$E980="","",Data!$E980)</f>
        <v>0</v>
      </c>
      <c r="F980">
        <f>IF($E980="","",N(F979)+1)</f>
        <v>0</v>
      </c>
      <c r="G980">
        <f>IF(OR($E980="",$E979=""),"",LN($E980/$E979))</f>
        <v>0</v>
      </c>
      <c r="H980">
        <f>IF($E980="","",IF($E979="",$E980,$E980*0.0952380952+H979*0.9047619048))</f>
        <v>0</v>
      </c>
      <c r="I980">
        <f>IF($E980="","",IF($E979="",$E980,$E980*0.0392156863+I979*0.9607843137))</f>
        <v>0</v>
      </c>
      <c r="J980">
        <f>IF($E980="","",IF($E979="",$E980,$E980*0.0198019802+J979*0.9801980198))</f>
        <v>0</v>
      </c>
      <c r="K980">
        <f>IF($E980="","",IF($E979="",$E980,$E980*0.0099502488+K979*0.9900497512))</f>
        <v>0</v>
      </c>
      <c r="L980">
        <f>IF(OR($E980="",$E979=""),"",MAX($E980-$E979,0))</f>
        <v>0</v>
      </c>
      <c r="M980">
        <f>IF(OR($E980="",$E979=""),"",MAX($E979-$E980,0))</f>
        <v>0</v>
      </c>
      <c r="N980">
        <f>IF(COUNT($E$2:$E980)&lt;15,"",IF(AVERAGE($M$967:$M$980)=0,100,100-100/(1+AVERAGE($L$967:$L$980)/AVERAGE($M$967:$M$980))))</f>
        <v>0</v>
      </c>
      <c r="O980">
        <f>IF($E980="","",IF($E979="",$E980,$E980*0.1538461538+O979*0.8461538462))</f>
        <v>0</v>
      </c>
      <c r="P980">
        <f>IF($E980="","",IF($E979="",$E980,$E980*0.0740740741+P979*0.9259259259))</f>
        <v>0</v>
      </c>
      <c r="Q980">
        <f>IF(OR(O980="",P980=""),"",O980-P980)</f>
        <v>0</v>
      </c>
      <c r="R980">
        <f>IF(Q980="","",IF(R979="",Q980,Q980*0.2000000000+R979*0.8000000000))</f>
        <v>0</v>
      </c>
      <c r="S980">
        <f>IF(OR(Q980="",R980=""),"",Q980-R980)</f>
        <v>0</v>
      </c>
      <c r="T980">
        <f>IF(COUNT($E$2:$E980)&lt;14,"",MAX($C$967:$C$980))</f>
        <v>0</v>
      </c>
      <c r="U980">
        <f>IF(COUNT($E$2:$E980)&lt;14,"",MIN($D$967:$D$980))</f>
        <v>0</v>
      </c>
      <c r="V980">
        <f>IF(OR(T980="",U980="",T980=U980),"",100*($E980-U980)/(T980-U980))</f>
        <v>0</v>
      </c>
      <c r="W980">
        <f>IF(COUNT($V$978:$V$980)&lt;3,"",AVERAGE($V$978:$V$980))</f>
        <v>0</v>
      </c>
      <c r="X980">
        <f>IF(COUNT($N$967:$N$980)&lt;14,"",MIN($N$967:$N$980))</f>
        <v>0</v>
      </c>
      <c r="Y980">
        <f>IF(COUNT($N$967:$N$980)&lt;14,"",MAX($N$967:$N$980))</f>
        <v>0</v>
      </c>
      <c r="Z980">
        <f>IF(OR(N980="",X980="",Y980="",Y980=X980),"",100*(N980-X980)/(Y980-X980))</f>
        <v>0</v>
      </c>
      <c r="AA980">
        <f>IF(COUNT($Z$978:$Z$980)&lt;3,"",AVERAGE($Z$978:$Z$980))</f>
        <v>0</v>
      </c>
      <c r="AB980">
        <f>IF(COUNT($AA$978:$AA$980)&lt;3,"",AVERAGE($AA$978:$AA$980))</f>
        <v>0</v>
      </c>
      <c r="AC980">
        <f>IF($E980="","",MAX($C980-$D980,ABS($C980-$E979),ABS($D980-$E979)))</f>
        <v>0</v>
      </c>
      <c r="AD980">
        <f>IF(COUNT($E$2:$E980)&lt;15,"",AVERAGE($AC$967:$AC$980))</f>
        <v>0</v>
      </c>
      <c r="AE980">
        <f>IF(OR($E980="",$E979=""),"",IF(AND(($C980-$C979)&gt;($D979-$D980),($C980-$C979)&gt;0),$C980-$C979,0))</f>
        <v>0</v>
      </c>
      <c r="AF980">
        <f>IF(OR($E980="",$E979=""),"",IF(AND(($D979-$D980)&gt;($C980-$C979),($D979-$D980)&gt;0),$D979-$D980,0))</f>
        <v>0</v>
      </c>
      <c r="AG980">
        <f>IF(COUNT($E$2:$E980)&lt;15,"",IF(SUM($AC$967:$AC$980)=0,0,100*SUM($AE$967:$AE$980)/SUM($AC$967:$AC$980)))</f>
        <v>0</v>
      </c>
      <c r="AH980">
        <f>IF(COUNT($E$2:$E980)&lt;15,"",IF(SUM($AC$967:$AC$980)=0,0,100*SUM($AF$967:$AF$980)/SUM($AC$967:$AC$980)))</f>
        <v>0</v>
      </c>
      <c r="AI980">
        <f>IF(OR(AG980="",AH980=""),"",IF((AG980+AH980)=0,0,100*ABS(AG980-AH980)/(AG980+AH980)))</f>
        <v>0</v>
      </c>
      <c r="AJ980">
        <f>IF(COUNT($AI$967:$AI$980)&lt;14,"",AVERAGE($AI$967:$AI$980))</f>
        <v>0</v>
      </c>
      <c r="AK980">
        <f>IF(COUNT($E$2:$E980)&lt;20,"",AVERAGE($E$961:$E$980))</f>
        <v>0</v>
      </c>
      <c r="AL980">
        <f>IF(COUNT($E$2:$E980)&lt;20,"",STDEVP($E$961:$E$980))</f>
        <v>0</v>
      </c>
      <c r="AM980">
        <f>IF(AK980="","",AK980+2*AL980)</f>
        <v>0</v>
      </c>
      <c r="AN980">
        <f>IF(AK980="","",AK980-2*AL980)</f>
        <v>0</v>
      </c>
      <c r="AO980">
        <f>IF(OR(AM980="",AN980="",AM980=AN980),"",($E980-AN980)/(AM980-AN980))</f>
        <v>0</v>
      </c>
      <c r="AP980">
        <f>IF(OR(AM980="",AK980="",AK980=0),"",(AM980-AN980)/AK980)</f>
        <v>0</v>
      </c>
      <c r="AQ980">
        <f>IF(COUNT($E$2:$E980)&lt;20,"",MAX($C$961:$C$980))</f>
        <v>0</v>
      </c>
      <c r="AR980">
        <f>IF(COUNT($E$2:$E980)&lt;20,"",MIN($D$961:$D$980))</f>
        <v>0</v>
      </c>
      <c r="AS980">
        <f>IF(OR(AQ980="",AR980=""),"",(AQ980+AR980)/2)</f>
        <v>0</v>
      </c>
      <c r="AT980">
        <f>IF(COUNT($G$961:$G$980)&lt;20,"",STDEV($G$961:$G$980)*SQRT(252))</f>
        <v>0</v>
      </c>
      <c r="AU980">
        <f>IF(COUNT($E$2:$E980)&lt;9,"",(MAX($C$972:$C$980)+MIN($D$972:$D$980))/2)</f>
        <v>0</v>
      </c>
      <c r="AV980">
        <f>IF(COUNT($E$2:$E980)&lt;26,"",(MAX($C$955:$C$980)+MIN($D$955:$D$980))/2)</f>
        <v>0</v>
      </c>
      <c r="AW980">
        <f>IF(OR(AU980="",AV980=""),"",(AU980+AV980)/2)</f>
        <v>0</v>
      </c>
      <c r="AX980">
        <f>IF(COUNT($E$2:$E980)&lt;52,"",(MAX($C$929:$C$980)+MIN($D$929:$D$980))/2)</f>
        <v>0</v>
      </c>
      <c r="AY980">
        <f>IF(COUNT($E$2:$E980)&lt;20,"",MAX($C$881:$C$980))</f>
        <v>0</v>
      </c>
      <c r="AZ980">
        <f>IF(COUNT($E$2:$E980)&lt;20,"",MIN($D$881:$D$980))</f>
        <v>0</v>
      </c>
      <c r="BA980">
        <f>IF(COUNT($E$2:$E980)&lt;20,"",SLOPE($E$881:$E$980,$F$881:$F$980))</f>
        <v>0</v>
      </c>
      <c r="BB980">
        <f>IF(COUNT($E$2:$E980)&lt;20,"",INTERCEPT($E$881:$E$980,$F$881:$F$980))</f>
        <v>0</v>
      </c>
      <c r="BC980">
        <f>IF(OR(BA980="",BB980=""),"",BB980+BA980*F980)</f>
        <v>0</v>
      </c>
      <c r="BD980">
        <f>IF(COUNT($E$2:$E980)&lt;20,"",STEYX($E$881:$E$980,$F$881:$F$980))</f>
        <v>0</v>
      </c>
      <c r="BE980">
        <f>IF($E980="","",IF(AND(COUNT($E$981:$E$984)&gt;=4,$C980=MAX($C$976:$C$984)),$C980,""))</f>
        <v>0</v>
      </c>
      <c r="BF980">
        <f>IF($E980="","",IF(AND(COUNT($E$981:$E$984)&gt;=4,$D980=MIN($D$976:$D$984)),$D980,""))</f>
        <v>0</v>
      </c>
      <c r="BG980">
        <f>IF($A980="","",$A980-WEEKDAY($A980,2)+1)</f>
        <v>0</v>
      </c>
      <c r="BH980">
        <f>IF($A980="","",IF($A979="",1,IF(BG980&lt;&gt;BG979,1,0)))</f>
        <v>0</v>
      </c>
      <c r="BI980">
        <f>IF($A980="","",IF($A981="",1,IF(BG981&lt;&gt;BG980,1,0)))</f>
        <v>0</v>
      </c>
      <c r="BJ980">
        <f>IF($A980="","",IF(BH980=1,$B980,BJ979))</f>
        <v>0</v>
      </c>
      <c r="BK980">
        <f>IF($A980="","",IF(BH980=1,$C980,MAX($C980,BK979)))</f>
        <v>0</v>
      </c>
      <c r="BL980">
        <f>IF($A980="","",IF(BH980=1,$D980,MIN($D980,BL979)))</f>
        <v>0</v>
      </c>
      <c r="BM980">
        <f>IF($A980="","",IF(BI980=1,F980,""))</f>
        <v>0</v>
      </c>
      <c r="BN980">
        <f>IF($A980="","",DATE(YEAR($A980),MONTH($A980),1))</f>
        <v>0</v>
      </c>
      <c r="BO980">
        <f>IF($A980="","",IF($A979="",1,IF(BN980&lt;&gt;BN979,1,0)))</f>
        <v>0</v>
      </c>
      <c r="BP980">
        <f>IF($A980="","",IF($A981="",1,IF(BN981&lt;&gt;BN980,1,0)))</f>
        <v>0</v>
      </c>
      <c r="BQ980">
        <f>IF($A980="","",IF(BO980=1,$B980,BQ979))</f>
        <v>0</v>
      </c>
      <c r="BR980">
        <f>IF($A980="","",IF(BO980=1,$C980,MAX($C980,BR979)))</f>
        <v>0</v>
      </c>
      <c r="BS980">
        <f>IF($A980="","",IF(BO980=1,$D980,MIN($D980,BS979)))</f>
        <v>0</v>
      </c>
      <c r="BT980">
        <f>IF($A980="","",IF(BP980=1,F980,""))</f>
        <v>0</v>
      </c>
    </row>
    <row r="981" spans="1:72">
      <c r="A981" s="27">
        <f>IF(Data!$A981="","",Data!$A981)</f>
        <v>0</v>
      </c>
      <c r="B981">
        <f>IF(Data!$B981="","",Data!$B981)</f>
        <v>0</v>
      </c>
      <c r="C981">
        <f>IF(Data!$C981="","",Data!$C981)</f>
        <v>0</v>
      </c>
      <c r="D981">
        <f>IF(Data!$D981="","",Data!$D981)</f>
        <v>0</v>
      </c>
      <c r="E981">
        <f>IF(Data!$E981="","",Data!$E981)</f>
        <v>0</v>
      </c>
      <c r="F981">
        <f>IF($E981="","",N(F980)+1)</f>
        <v>0</v>
      </c>
      <c r="G981">
        <f>IF(OR($E981="",$E980=""),"",LN($E981/$E980))</f>
        <v>0</v>
      </c>
      <c r="H981">
        <f>IF($E981="","",IF($E980="",$E981,$E981*0.0952380952+H980*0.9047619048))</f>
        <v>0</v>
      </c>
      <c r="I981">
        <f>IF($E981="","",IF($E980="",$E981,$E981*0.0392156863+I980*0.9607843137))</f>
        <v>0</v>
      </c>
      <c r="J981">
        <f>IF($E981="","",IF($E980="",$E981,$E981*0.0198019802+J980*0.9801980198))</f>
        <v>0</v>
      </c>
      <c r="K981">
        <f>IF($E981="","",IF($E980="",$E981,$E981*0.0099502488+K980*0.9900497512))</f>
        <v>0</v>
      </c>
      <c r="L981">
        <f>IF(OR($E981="",$E980=""),"",MAX($E981-$E980,0))</f>
        <v>0</v>
      </c>
      <c r="M981">
        <f>IF(OR($E981="",$E980=""),"",MAX($E980-$E981,0))</f>
        <v>0</v>
      </c>
      <c r="N981">
        <f>IF(COUNT($E$2:$E981)&lt;15,"",IF(AVERAGE($M$968:$M$981)=0,100,100-100/(1+AVERAGE($L$968:$L$981)/AVERAGE($M$968:$M$981))))</f>
        <v>0</v>
      </c>
      <c r="O981">
        <f>IF($E981="","",IF($E980="",$E981,$E981*0.1538461538+O980*0.8461538462))</f>
        <v>0</v>
      </c>
      <c r="P981">
        <f>IF($E981="","",IF($E980="",$E981,$E981*0.0740740741+P980*0.9259259259))</f>
        <v>0</v>
      </c>
      <c r="Q981">
        <f>IF(OR(O981="",P981=""),"",O981-P981)</f>
        <v>0</v>
      </c>
      <c r="R981">
        <f>IF(Q981="","",IF(R980="",Q981,Q981*0.2000000000+R980*0.8000000000))</f>
        <v>0</v>
      </c>
      <c r="S981">
        <f>IF(OR(Q981="",R981=""),"",Q981-R981)</f>
        <v>0</v>
      </c>
      <c r="T981">
        <f>IF(COUNT($E$2:$E981)&lt;14,"",MAX($C$968:$C$981))</f>
        <v>0</v>
      </c>
      <c r="U981">
        <f>IF(COUNT($E$2:$E981)&lt;14,"",MIN($D$968:$D$981))</f>
        <v>0</v>
      </c>
      <c r="V981">
        <f>IF(OR(T981="",U981="",T981=U981),"",100*($E981-U981)/(T981-U981))</f>
        <v>0</v>
      </c>
      <c r="W981">
        <f>IF(COUNT($V$979:$V$981)&lt;3,"",AVERAGE($V$979:$V$981))</f>
        <v>0</v>
      </c>
      <c r="X981">
        <f>IF(COUNT($N$968:$N$981)&lt;14,"",MIN($N$968:$N$981))</f>
        <v>0</v>
      </c>
      <c r="Y981">
        <f>IF(COUNT($N$968:$N$981)&lt;14,"",MAX($N$968:$N$981))</f>
        <v>0</v>
      </c>
      <c r="Z981">
        <f>IF(OR(N981="",X981="",Y981="",Y981=X981),"",100*(N981-X981)/(Y981-X981))</f>
        <v>0</v>
      </c>
      <c r="AA981">
        <f>IF(COUNT($Z$979:$Z$981)&lt;3,"",AVERAGE($Z$979:$Z$981))</f>
        <v>0</v>
      </c>
      <c r="AB981">
        <f>IF(COUNT($AA$979:$AA$981)&lt;3,"",AVERAGE($AA$979:$AA$981))</f>
        <v>0</v>
      </c>
      <c r="AC981">
        <f>IF($E981="","",MAX($C981-$D981,ABS($C981-$E980),ABS($D981-$E980)))</f>
        <v>0</v>
      </c>
      <c r="AD981">
        <f>IF(COUNT($E$2:$E981)&lt;15,"",AVERAGE($AC$968:$AC$981))</f>
        <v>0</v>
      </c>
      <c r="AE981">
        <f>IF(OR($E981="",$E980=""),"",IF(AND(($C981-$C980)&gt;($D980-$D981),($C981-$C980)&gt;0),$C981-$C980,0))</f>
        <v>0</v>
      </c>
      <c r="AF981">
        <f>IF(OR($E981="",$E980=""),"",IF(AND(($D980-$D981)&gt;($C981-$C980),($D980-$D981)&gt;0),$D980-$D981,0))</f>
        <v>0</v>
      </c>
      <c r="AG981">
        <f>IF(COUNT($E$2:$E981)&lt;15,"",IF(SUM($AC$968:$AC$981)=0,0,100*SUM($AE$968:$AE$981)/SUM($AC$968:$AC$981)))</f>
        <v>0</v>
      </c>
      <c r="AH981">
        <f>IF(COUNT($E$2:$E981)&lt;15,"",IF(SUM($AC$968:$AC$981)=0,0,100*SUM($AF$968:$AF$981)/SUM($AC$968:$AC$981)))</f>
        <v>0</v>
      </c>
      <c r="AI981">
        <f>IF(OR(AG981="",AH981=""),"",IF((AG981+AH981)=0,0,100*ABS(AG981-AH981)/(AG981+AH981)))</f>
        <v>0</v>
      </c>
      <c r="AJ981">
        <f>IF(COUNT($AI$968:$AI$981)&lt;14,"",AVERAGE($AI$968:$AI$981))</f>
        <v>0</v>
      </c>
      <c r="AK981">
        <f>IF(COUNT($E$2:$E981)&lt;20,"",AVERAGE($E$962:$E$981))</f>
        <v>0</v>
      </c>
      <c r="AL981">
        <f>IF(COUNT($E$2:$E981)&lt;20,"",STDEVP($E$962:$E$981))</f>
        <v>0</v>
      </c>
      <c r="AM981">
        <f>IF(AK981="","",AK981+2*AL981)</f>
        <v>0</v>
      </c>
      <c r="AN981">
        <f>IF(AK981="","",AK981-2*AL981)</f>
        <v>0</v>
      </c>
      <c r="AO981">
        <f>IF(OR(AM981="",AN981="",AM981=AN981),"",($E981-AN981)/(AM981-AN981))</f>
        <v>0</v>
      </c>
      <c r="AP981">
        <f>IF(OR(AM981="",AK981="",AK981=0),"",(AM981-AN981)/AK981)</f>
        <v>0</v>
      </c>
      <c r="AQ981">
        <f>IF(COUNT($E$2:$E981)&lt;20,"",MAX($C$962:$C$981))</f>
        <v>0</v>
      </c>
      <c r="AR981">
        <f>IF(COUNT($E$2:$E981)&lt;20,"",MIN($D$962:$D$981))</f>
        <v>0</v>
      </c>
      <c r="AS981">
        <f>IF(OR(AQ981="",AR981=""),"",(AQ981+AR981)/2)</f>
        <v>0</v>
      </c>
      <c r="AT981">
        <f>IF(COUNT($G$962:$G$981)&lt;20,"",STDEV($G$962:$G$981)*SQRT(252))</f>
        <v>0</v>
      </c>
      <c r="AU981">
        <f>IF(COUNT($E$2:$E981)&lt;9,"",(MAX($C$973:$C$981)+MIN($D$973:$D$981))/2)</f>
        <v>0</v>
      </c>
      <c r="AV981">
        <f>IF(COUNT($E$2:$E981)&lt;26,"",(MAX($C$956:$C$981)+MIN($D$956:$D$981))/2)</f>
        <v>0</v>
      </c>
      <c r="AW981">
        <f>IF(OR(AU981="",AV981=""),"",(AU981+AV981)/2)</f>
        <v>0</v>
      </c>
      <c r="AX981">
        <f>IF(COUNT($E$2:$E981)&lt;52,"",(MAX($C$930:$C$981)+MIN($D$930:$D$981))/2)</f>
        <v>0</v>
      </c>
      <c r="AY981">
        <f>IF(COUNT($E$2:$E981)&lt;20,"",MAX($C$882:$C$981))</f>
        <v>0</v>
      </c>
      <c r="AZ981">
        <f>IF(COUNT($E$2:$E981)&lt;20,"",MIN($D$882:$D$981))</f>
        <v>0</v>
      </c>
      <c r="BA981">
        <f>IF(COUNT($E$2:$E981)&lt;20,"",SLOPE($E$882:$E$981,$F$882:$F$981))</f>
        <v>0</v>
      </c>
      <c r="BB981">
        <f>IF(COUNT($E$2:$E981)&lt;20,"",INTERCEPT($E$882:$E$981,$F$882:$F$981))</f>
        <v>0</v>
      </c>
      <c r="BC981">
        <f>IF(OR(BA981="",BB981=""),"",BB981+BA981*F981)</f>
        <v>0</v>
      </c>
      <c r="BD981">
        <f>IF(COUNT($E$2:$E981)&lt;20,"",STEYX($E$882:$E$981,$F$882:$F$981))</f>
        <v>0</v>
      </c>
      <c r="BE981">
        <f>IF($E981="","",IF(AND(COUNT($E$982:$E$985)&gt;=4,$C981=MAX($C$977:$C$985)),$C981,""))</f>
        <v>0</v>
      </c>
      <c r="BF981">
        <f>IF($E981="","",IF(AND(COUNT($E$982:$E$985)&gt;=4,$D981=MIN($D$977:$D$985)),$D981,""))</f>
        <v>0</v>
      </c>
      <c r="BG981">
        <f>IF($A981="","",$A981-WEEKDAY($A981,2)+1)</f>
        <v>0</v>
      </c>
      <c r="BH981">
        <f>IF($A981="","",IF($A980="",1,IF(BG981&lt;&gt;BG980,1,0)))</f>
        <v>0</v>
      </c>
      <c r="BI981">
        <f>IF($A981="","",IF($A982="",1,IF(BG982&lt;&gt;BG981,1,0)))</f>
        <v>0</v>
      </c>
      <c r="BJ981">
        <f>IF($A981="","",IF(BH981=1,$B981,BJ980))</f>
        <v>0</v>
      </c>
      <c r="BK981">
        <f>IF($A981="","",IF(BH981=1,$C981,MAX($C981,BK980)))</f>
        <v>0</v>
      </c>
      <c r="BL981">
        <f>IF($A981="","",IF(BH981=1,$D981,MIN($D981,BL980)))</f>
        <v>0</v>
      </c>
      <c r="BM981">
        <f>IF($A981="","",IF(BI981=1,F981,""))</f>
        <v>0</v>
      </c>
      <c r="BN981">
        <f>IF($A981="","",DATE(YEAR($A981),MONTH($A981),1))</f>
        <v>0</v>
      </c>
      <c r="BO981">
        <f>IF($A981="","",IF($A980="",1,IF(BN981&lt;&gt;BN980,1,0)))</f>
        <v>0</v>
      </c>
      <c r="BP981">
        <f>IF($A981="","",IF($A982="",1,IF(BN982&lt;&gt;BN981,1,0)))</f>
        <v>0</v>
      </c>
      <c r="BQ981">
        <f>IF($A981="","",IF(BO981=1,$B981,BQ980))</f>
        <v>0</v>
      </c>
      <c r="BR981">
        <f>IF($A981="","",IF(BO981=1,$C981,MAX($C981,BR980)))</f>
        <v>0</v>
      </c>
      <c r="BS981">
        <f>IF($A981="","",IF(BO981=1,$D981,MIN($D981,BS980)))</f>
        <v>0</v>
      </c>
      <c r="BT981">
        <f>IF($A981="","",IF(BP981=1,F981,""))</f>
        <v>0</v>
      </c>
    </row>
    <row r="982" spans="1:72">
      <c r="A982" s="27">
        <f>IF(Data!$A982="","",Data!$A982)</f>
        <v>0</v>
      </c>
      <c r="B982">
        <f>IF(Data!$B982="","",Data!$B982)</f>
        <v>0</v>
      </c>
      <c r="C982">
        <f>IF(Data!$C982="","",Data!$C982)</f>
        <v>0</v>
      </c>
      <c r="D982">
        <f>IF(Data!$D982="","",Data!$D982)</f>
        <v>0</v>
      </c>
      <c r="E982">
        <f>IF(Data!$E982="","",Data!$E982)</f>
        <v>0</v>
      </c>
      <c r="F982">
        <f>IF($E982="","",N(F981)+1)</f>
        <v>0</v>
      </c>
      <c r="G982">
        <f>IF(OR($E982="",$E981=""),"",LN($E982/$E981))</f>
        <v>0</v>
      </c>
      <c r="H982">
        <f>IF($E982="","",IF($E981="",$E982,$E982*0.0952380952+H981*0.9047619048))</f>
        <v>0</v>
      </c>
      <c r="I982">
        <f>IF($E982="","",IF($E981="",$E982,$E982*0.0392156863+I981*0.9607843137))</f>
        <v>0</v>
      </c>
      <c r="J982">
        <f>IF($E982="","",IF($E981="",$E982,$E982*0.0198019802+J981*0.9801980198))</f>
        <v>0</v>
      </c>
      <c r="K982">
        <f>IF($E982="","",IF($E981="",$E982,$E982*0.0099502488+K981*0.9900497512))</f>
        <v>0</v>
      </c>
      <c r="L982">
        <f>IF(OR($E982="",$E981=""),"",MAX($E982-$E981,0))</f>
        <v>0</v>
      </c>
      <c r="M982">
        <f>IF(OR($E982="",$E981=""),"",MAX($E981-$E982,0))</f>
        <v>0</v>
      </c>
      <c r="N982">
        <f>IF(COUNT($E$2:$E982)&lt;15,"",IF(AVERAGE($M$969:$M$982)=0,100,100-100/(1+AVERAGE($L$969:$L$982)/AVERAGE($M$969:$M$982))))</f>
        <v>0</v>
      </c>
      <c r="O982">
        <f>IF($E982="","",IF($E981="",$E982,$E982*0.1538461538+O981*0.8461538462))</f>
        <v>0</v>
      </c>
      <c r="P982">
        <f>IF($E982="","",IF($E981="",$E982,$E982*0.0740740741+P981*0.9259259259))</f>
        <v>0</v>
      </c>
      <c r="Q982">
        <f>IF(OR(O982="",P982=""),"",O982-P982)</f>
        <v>0</v>
      </c>
      <c r="R982">
        <f>IF(Q982="","",IF(R981="",Q982,Q982*0.2000000000+R981*0.8000000000))</f>
        <v>0</v>
      </c>
      <c r="S982">
        <f>IF(OR(Q982="",R982=""),"",Q982-R982)</f>
        <v>0</v>
      </c>
      <c r="T982">
        <f>IF(COUNT($E$2:$E982)&lt;14,"",MAX($C$969:$C$982))</f>
        <v>0</v>
      </c>
      <c r="U982">
        <f>IF(COUNT($E$2:$E982)&lt;14,"",MIN($D$969:$D$982))</f>
        <v>0</v>
      </c>
      <c r="V982">
        <f>IF(OR(T982="",U982="",T982=U982),"",100*($E982-U982)/(T982-U982))</f>
        <v>0</v>
      </c>
      <c r="W982">
        <f>IF(COUNT($V$980:$V$982)&lt;3,"",AVERAGE($V$980:$V$982))</f>
        <v>0</v>
      </c>
      <c r="X982">
        <f>IF(COUNT($N$969:$N$982)&lt;14,"",MIN($N$969:$N$982))</f>
        <v>0</v>
      </c>
      <c r="Y982">
        <f>IF(COUNT($N$969:$N$982)&lt;14,"",MAX($N$969:$N$982))</f>
        <v>0</v>
      </c>
      <c r="Z982">
        <f>IF(OR(N982="",X982="",Y982="",Y982=X982),"",100*(N982-X982)/(Y982-X982))</f>
        <v>0</v>
      </c>
      <c r="AA982">
        <f>IF(COUNT($Z$980:$Z$982)&lt;3,"",AVERAGE($Z$980:$Z$982))</f>
        <v>0</v>
      </c>
      <c r="AB982">
        <f>IF(COUNT($AA$980:$AA$982)&lt;3,"",AVERAGE($AA$980:$AA$982))</f>
        <v>0</v>
      </c>
      <c r="AC982">
        <f>IF($E982="","",MAX($C982-$D982,ABS($C982-$E981),ABS($D982-$E981)))</f>
        <v>0</v>
      </c>
      <c r="AD982">
        <f>IF(COUNT($E$2:$E982)&lt;15,"",AVERAGE($AC$969:$AC$982))</f>
        <v>0</v>
      </c>
      <c r="AE982">
        <f>IF(OR($E982="",$E981=""),"",IF(AND(($C982-$C981)&gt;($D981-$D982),($C982-$C981)&gt;0),$C982-$C981,0))</f>
        <v>0</v>
      </c>
      <c r="AF982">
        <f>IF(OR($E982="",$E981=""),"",IF(AND(($D981-$D982)&gt;($C982-$C981),($D981-$D982)&gt;0),$D981-$D982,0))</f>
        <v>0</v>
      </c>
      <c r="AG982">
        <f>IF(COUNT($E$2:$E982)&lt;15,"",IF(SUM($AC$969:$AC$982)=0,0,100*SUM($AE$969:$AE$982)/SUM($AC$969:$AC$982)))</f>
        <v>0</v>
      </c>
      <c r="AH982">
        <f>IF(COUNT($E$2:$E982)&lt;15,"",IF(SUM($AC$969:$AC$982)=0,0,100*SUM($AF$969:$AF$982)/SUM($AC$969:$AC$982)))</f>
        <v>0</v>
      </c>
      <c r="AI982">
        <f>IF(OR(AG982="",AH982=""),"",IF((AG982+AH982)=0,0,100*ABS(AG982-AH982)/(AG982+AH982)))</f>
        <v>0</v>
      </c>
      <c r="AJ982">
        <f>IF(COUNT($AI$969:$AI$982)&lt;14,"",AVERAGE($AI$969:$AI$982))</f>
        <v>0</v>
      </c>
      <c r="AK982">
        <f>IF(COUNT($E$2:$E982)&lt;20,"",AVERAGE($E$963:$E$982))</f>
        <v>0</v>
      </c>
      <c r="AL982">
        <f>IF(COUNT($E$2:$E982)&lt;20,"",STDEVP($E$963:$E$982))</f>
        <v>0</v>
      </c>
      <c r="AM982">
        <f>IF(AK982="","",AK982+2*AL982)</f>
        <v>0</v>
      </c>
      <c r="AN982">
        <f>IF(AK982="","",AK982-2*AL982)</f>
        <v>0</v>
      </c>
      <c r="AO982">
        <f>IF(OR(AM982="",AN982="",AM982=AN982),"",($E982-AN982)/(AM982-AN982))</f>
        <v>0</v>
      </c>
      <c r="AP982">
        <f>IF(OR(AM982="",AK982="",AK982=0),"",(AM982-AN982)/AK982)</f>
        <v>0</v>
      </c>
      <c r="AQ982">
        <f>IF(COUNT($E$2:$E982)&lt;20,"",MAX($C$963:$C$982))</f>
        <v>0</v>
      </c>
      <c r="AR982">
        <f>IF(COUNT($E$2:$E982)&lt;20,"",MIN($D$963:$D$982))</f>
        <v>0</v>
      </c>
      <c r="AS982">
        <f>IF(OR(AQ982="",AR982=""),"",(AQ982+AR982)/2)</f>
        <v>0</v>
      </c>
      <c r="AT982">
        <f>IF(COUNT($G$963:$G$982)&lt;20,"",STDEV($G$963:$G$982)*SQRT(252))</f>
        <v>0</v>
      </c>
      <c r="AU982">
        <f>IF(COUNT($E$2:$E982)&lt;9,"",(MAX($C$974:$C$982)+MIN($D$974:$D$982))/2)</f>
        <v>0</v>
      </c>
      <c r="AV982">
        <f>IF(COUNT($E$2:$E982)&lt;26,"",(MAX($C$957:$C$982)+MIN($D$957:$D$982))/2)</f>
        <v>0</v>
      </c>
      <c r="AW982">
        <f>IF(OR(AU982="",AV982=""),"",(AU982+AV982)/2)</f>
        <v>0</v>
      </c>
      <c r="AX982">
        <f>IF(COUNT($E$2:$E982)&lt;52,"",(MAX($C$931:$C$982)+MIN($D$931:$D$982))/2)</f>
        <v>0</v>
      </c>
      <c r="AY982">
        <f>IF(COUNT($E$2:$E982)&lt;20,"",MAX($C$883:$C$982))</f>
        <v>0</v>
      </c>
      <c r="AZ982">
        <f>IF(COUNT($E$2:$E982)&lt;20,"",MIN($D$883:$D$982))</f>
        <v>0</v>
      </c>
      <c r="BA982">
        <f>IF(COUNT($E$2:$E982)&lt;20,"",SLOPE($E$883:$E$982,$F$883:$F$982))</f>
        <v>0</v>
      </c>
      <c r="BB982">
        <f>IF(COUNT($E$2:$E982)&lt;20,"",INTERCEPT($E$883:$E$982,$F$883:$F$982))</f>
        <v>0</v>
      </c>
      <c r="BC982">
        <f>IF(OR(BA982="",BB982=""),"",BB982+BA982*F982)</f>
        <v>0</v>
      </c>
      <c r="BD982">
        <f>IF(COUNT($E$2:$E982)&lt;20,"",STEYX($E$883:$E$982,$F$883:$F$982))</f>
        <v>0</v>
      </c>
      <c r="BE982">
        <f>IF($E982="","",IF(AND(COUNT($E$983:$E$986)&gt;=4,$C982=MAX($C$978:$C$986)),$C982,""))</f>
        <v>0</v>
      </c>
      <c r="BF982">
        <f>IF($E982="","",IF(AND(COUNT($E$983:$E$986)&gt;=4,$D982=MIN($D$978:$D$986)),$D982,""))</f>
        <v>0</v>
      </c>
      <c r="BG982">
        <f>IF($A982="","",$A982-WEEKDAY($A982,2)+1)</f>
        <v>0</v>
      </c>
      <c r="BH982">
        <f>IF($A982="","",IF($A981="",1,IF(BG982&lt;&gt;BG981,1,0)))</f>
        <v>0</v>
      </c>
      <c r="BI982">
        <f>IF($A982="","",IF($A983="",1,IF(BG983&lt;&gt;BG982,1,0)))</f>
        <v>0</v>
      </c>
      <c r="BJ982">
        <f>IF($A982="","",IF(BH982=1,$B982,BJ981))</f>
        <v>0</v>
      </c>
      <c r="BK982">
        <f>IF($A982="","",IF(BH982=1,$C982,MAX($C982,BK981)))</f>
        <v>0</v>
      </c>
      <c r="BL982">
        <f>IF($A982="","",IF(BH982=1,$D982,MIN($D982,BL981)))</f>
        <v>0</v>
      </c>
      <c r="BM982">
        <f>IF($A982="","",IF(BI982=1,F982,""))</f>
        <v>0</v>
      </c>
      <c r="BN982">
        <f>IF($A982="","",DATE(YEAR($A982),MONTH($A982),1))</f>
        <v>0</v>
      </c>
      <c r="BO982">
        <f>IF($A982="","",IF($A981="",1,IF(BN982&lt;&gt;BN981,1,0)))</f>
        <v>0</v>
      </c>
      <c r="BP982">
        <f>IF($A982="","",IF($A983="",1,IF(BN983&lt;&gt;BN982,1,0)))</f>
        <v>0</v>
      </c>
      <c r="BQ982">
        <f>IF($A982="","",IF(BO982=1,$B982,BQ981))</f>
        <v>0</v>
      </c>
      <c r="BR982">
        <f>IF($A982="","",IF(BO982=1,$C982,MAX($C982,BR981)))</f>
        <v>0</v>
      </c>
      <c r="BS982">
        <f>IF($A982="","",IF(BO982=1,$D982,MIN($D982,BS981)))</f>
        <v>0</v>
      </c>
      <c r="BT982">
        <f>IF($A982="","",IF(BP982=1,F982,""))</f>
        <v>0</v>
      </c>
    </row>
    <row r="983" spans="1:72">
      <c r="A983" s="27">
        <f>IF(Data!$A983="","",Data!$A983)</f>
        <v>0</v>
      </c>
      <c r="B983">
        <f>IF(Data!$B983="","",Data!$B983)</f>
        <v>0</v>
      </c>
      <c r="C983">
        <f>IF(Data!$C983="","",Data!$C983)</f>
        <v>0</v>
      </c>
      <c r="D983">
        <f>IF(Data!$D983="","",Data!$D983)</f>
        <v>0</v>
      </c>
      <c r="E983">
        <f>IF(Data!$E983="","",Data!$E983)</f>
        <v>0</v>
      </c>
      <c r="F983">
        <f>IF($E983="","",N(F982)+1)</f>
        <v>0</v>
      </c>
      <c r="G983">
        <f>IF(OR($E983="",$E982=""),"",LN($E983/$E982))</f>
        <v>0</v>
      </c>
      <c r="H983">
        <f>IF($E983="","",IF($E982="",$E983,$E983*0.0952380952+H982*0.9047619048))</f>
        <v>0</v>
      </c>
      <c r="I983">
        <f>IF($E983="","",IF($E982="",$E983,$E983*0.0392156863+I982*0.9607843137))</f>
        <v>0</v>
      </c>
      <c r="J983">
        <f>IF($E983="","",IF($E982="",$E983,$E983*0.0198019802+J982*0.9801980198))</f>
        <v>0</v>
      </c>
      <c r="K983">
        <f>IF($E983="","",IF($E982="",$E983,$E983*0.0099502488+K982*0.9900497512))</f>
        <v>0</v>
      </c>
      <c r="L983">
        <f>IF(OR($E983="",$E982=""),"",MAX($E983-$E982,0))</f>
        <v>0</v>
      </c>
      <c r="M983">
        <f>IF(OR($E983="",$E982=""),"",MAX($E982-$E983,0))</f>
        <v>0</v>
      </c>
      <c r="N983">
        <f>IF(COUNT($E$2:$E983)&lt;15,"",IF(AVERAGE($M$970:$M$983)=0,100,100-100/(1+AVERAGE($L$970:$L$983)/AVERAGE($M$970:$M$983))))</f>
        <v>0</v>
      </c>
      <c r="O983">
        <f>IF($E983="","",IF($E982="",$E983,$E983*0.1538461538+O982*0.8461538462))</f>
        <v>0</v>
      </c>
      <c r="P983">
        <f>IF($E983="","",IF($E982="",$E983,$E983*0.0740740741+P982*0.9259259259))</f>
        <v>0</v>
      </c>
      <c r="Q983">
        <f>IF(OR(O983="",P983=""),"",O983-P983)</f>
        <v>0</v>
      </c>
      <c r="R983">
        <f>IF(Q983="","",IF(R982="",Q983,Q983*0.2000000000+R982*0.8000000000))</f>
        <v>0</v>
      </c>
      <c r="S983">
        <f>IF(OR(Q983="",R983=""),"",Q983-R983)</f>
        <v>0</v>
      </c>
      <c r="T983">
        <f>IF(COUNT($E$2:$E983)&lt;14,"",MAX($C$970:$C$983))</f>
        <v>0</v>
      </c>
      <c r="U983">
        <f>IF(COUNT($E$2:$E983)&lt;14,"",MIN($D$970:$D$983))</f>
        <v>0</v>
      </c>
      <c r="V983">
        <f>IF(OR(T983="",U983="",T983=U983),"",100*($E983-U983)/(T983-U983))</f>
        <v>0</v>
      </c>
      <c r="W983">
        <f>IF(COUNT($V$981:$V$983)&lt;3,"",AVERAGE($V$981:$V$983))</f>
        <v>0</v>
      </c>
      <c r="X983">
        <f>IF(COUNT($N$970:$N$983)&lt;14,"",MIN($N$970:$N$983))</f>
        <v>0</v>
      </c>
      <c r="Y983">
        <f>IF(COUNT($N$970:$N$983)&lt;14,"",MAX($N$970:$N$983))</f>
        <v>0</v>
      </c>
      <c r="Z983">
        <f>IF(OR(N983="",X983="",Y983="",Y983=X983),"",100*(N983-X983)/(Y983-X983))</f>
        <v>0</v>
      </c>
      <c r="AA983">
        <f>IF(COUNT($Z$981:$Z$983)&lt;3,"",AVERAGE($Z$981:$Z$983))</f>
        <v>0</v>
      </c>
      <c r="AB983">
        <f>IF(COUNT($AA$981:$AA$983)&lt;3,"",AVERAGE($AA$981:$AA$983))</f>
        <v>0</v>
      </c>
      <c r="AC983">
        <f>IF($E983="","",MAX($C983-$D983,ABS($C983-$E982),ABS($D983-$E982)))</f>
        <v>0</v>
      </c>
      <c r="AD983">
        <f>IF(COUNT($E$2:$E983)&lt;15,"",AVERAGE($AC$970:$AC$983))</f>
        <v>0</v>
      </c>
      <c r="AE983">
        <f>IF(OR($E983="",$E982=""),"",IF(AND(($C983-$C982)&gt;($D982-$D983),($C983-$C982)&gt;0),$C983-$C982,0))</f>
        <v>0</v>
      </c>
      <c r="AF983">
        <f>IF(OR($E983="",$E982=""),"",IF(AND(($D982-$D983)&gt;($C983-$C982),($D982-$D983)&gt;0),$D982-$D983,0))</f>
        <v>0</v>
      </c>
      <c r="AG983">
        <f>IF(COUNT($E$2:$E983)&lt;15,"",IF(SUM($AC$970:$AC$983)=0,0,100*SUM($AE$970:$AE$983)/SUM($AC$970:$AC$983)))</f>
        <v>0</v>
      </c>
      <c r="AH983">
        <f>IF(COUNT($E$2:$E983)&lt;15,"",IF(SUM($AC$970:$AC$983)=0,0,100*SUM($AF$970:$AF$983)/SUM($AC$970:$AC$983)))</f>
        <v>0</v>
      </c>
      <c r="AI983">
        <f>IF(OR(AG983="",AH983=""),"",IF((AG983+AH983)=0,0,100*ABS(AG983-AH983)/(AG983+AH983)))</f>
        <v>0</v>
      </c>
      <c r="AJ983">
        <f>IF(COUNT($AI$970:$AI$983)&lt;14,"",AVERAGE($AI$970:$AI$983))</f>
        <v>0</v>
      </c>
      <c r="AK983">
        <f>IF(COUNT($E$2:$E983)&lt;20,"",AVERAGE($E$964:$E$983))</f>
        <v>0</v>
      </c>
      <c r="AL983">
        <f>IF(COUNT($E$2:$E983)&lt;20,"",STDEVP($E$964:$E$983))</f>
        <v>0</v>
      </c>
      <c r="AM983">
        <f>IF(AK983="","",AK983+2*AL983)</f>
        <v>0</v>
      </c>
      <c r="AN983">
        <f>IF(AK983="","",AK983-2*AL983)</f>
        <v>0</v>
      </c>
      <c r="AO983">
        <f>IF(OR(AM983="",AN983="",AM983=AN983),"",($E983-AN983)/(AM983-AN983))</f>
        <v>0</v>
      </c>
      <c r="AP983">
        <f>IF(OR(AM983="",AK983="",AK983=0),"",(AM983-AN983)/AK983)</f>
        <v>0</v>
      </c>
      <c r="AQ983">
        <f>IF(COUNT($E$2:$E983)&lt;20,"",MAX($C$964:$C$983))</f>
        <v>0</v>
      </c>
      <c r="AR983">
        <f>IF(COUNT($E$2:$E983)&lt;20,"",MIN($D$964:$D$983))</f>
        <v>0</v>
      </c>
      <c r="AS983">
        <f>IF(OR(AQ983="",AR983=""),"",(AQ983+AR983)/2)</f>
        <v>0</v>
      </c>
      <c r="AT983">
        <f>IF(COUNT($G$964:$G$983)&lt;20,"",STDEV($G$964:$G$983)*SQRT(252))</f>
        <v>0</v>
      </c>
      <c r="AU983">
        <f>IF(COUNT($E$2:$E983)&lt;9,"",(MAX($C$975:$C$983)+MIN($D$975:$D$983))/2)</f>
        <v>0</v>
      </c>
      <c r="AV983">
        <f>IF(COUNT($E$2:$E983)&lt;26,"",(MAX($C$958:$C$983)+MIN($D$958:$D$983))/2)</f>
        <v>0</v>
      </c>
      <c r="AW983">
        <f>IF(OR(AU983="",AV983=""),"",(AU983+AV983)/2)</f>
        <v>0</v>
      </c>
      <c r="AX983">
        <f>IF(COUNT($E$2:$E983)&lt;52,"",(MAX($C$932:$C$983)+MIN($D$932:$D$983))/2)</f>
        <v>0</v>
      </c>
      <c r="AY983">
        <f>IF(COUNT($E$2:$E983)&lt;20,"",MAX($C$884:$C$983))</f>
        <v>0</v>
      </c>
      <c r="AZ983">
        <f>IF(COUNT($E$2:$E983)&lt;20,"",MIN($D$884:$D$983))</f>
        <v>0</v>
      </c>
      <c r="BA983">
        <f>IF(COUNT($E$2:$E983)&lt;20,"",SLOPE($E$884:$E$983,$F$884:$F$983))</f>
        <v>0</v>
      </c>
      <c r="BB983">
        <f>IF(COUNT($E$2:$E983)&lt;20,"",INTERCEPT($E$884:$E$983,$F$884:$F$983))</f>
        <v>0</v>
      </c>
      <c r="BC983">
        <f>IF(OR(BA983="",BB983=""),"",BB983+BA983*F983)</f>
        <v>0</v>
      </c>
      <c r="BD983">
        <f>IF(COUNT($E$2:$E983)&lt;20,"",STEYX($E$884:$E$983,$F$884:$F$983))</f>
        <v>0</v>
      </c>
      <c r="BE983">
        <f>IF($E983="","",IF(AND(COUNT($E$984:$E$987)&gt;=4,$C983=MAX($C$979:$C$987)),$C983,""))</f>
        <v>0</v>
      </c>
      <c r="BF983">
        <f>IF($E983="","",IF(AND(COUNT($E$984:$E$987)&gt;=4,$D983=MIN($D$979:$D$987)),$D983,""))</f>
        <v>0</v>
      </c>
      <c r="BG983">
        <f>IF($A983="","",$A983-WEEKDAY($A983,2)+1)</f>
        <v>0</v>
      </c>
      <c r="BH983">
        <f>IF($A983="","",IF($A982="",1,IF(BG983&lt;&gt;BG982,1,0)))</f>
        <v>0</v>
      </c>
      <c r="BI983">
        <f>IF($A983="","",IF($A984="",1,IF(BG984&lt;&gt;BG983,1,0)))</f>
        <v>0</v>
      </c>
      <c r="BJ983">
        <f>IF($A983="","",IF(BH983=1,$B983,BJ982))</f>
        <v>0</v>
      </c>
      <c r="BK983">
        <f>IF($A983="","",IF(BH983=1,$C983,MAX($C983,BK982)))</f>
        <v>0</v>
      </c>
      <c r="BL983">
        <f>IF($A983="","",IF(BH983=1,$D983,MIN($D983,BL982)))</f>
        <v>0</v>
      </c>
      <c r="BM983">
        <f>IF($A983="","",IF(BI983=1,F983,""))</f>
        <v>0</v>
      </c>
      <c r="BN983">
        <f>IF($A983="","",DATE(YEAR($A983),MONTH($A983),1))</f>
        <v>0</v>
      </c>
      <c r="BO983">
        <f>IF($A983="","",IF($A982="",1,IF(BN983&lt;&gt;BN982,1,0)))</f>
        <v>0</v>
      </c>
      <c r="BP983">
        <f>IF($A983="","",IF($A984="",1,IF(BN984&lt;&gt;BN983,1,0)))</f>
        <v>0</v>
      </c>
      <c r="BQ983">
        <f>IF($A983="","",IF(BO983=1,$B983,BQ982))</f>
        <v>0</v>
      </c>
      <c r="BR983">
        <f>IF($A983="","",IF(BO983=1,$C983,MAX($C983,BR982)))</f>
        <v>0</v>
      </c>
      <c r="BS983">
        <f>IF($A983="","",IF(BO983=1,$D983,MIN($D983,BS982)))</f>
        <v>0</v>
      </c>
      <c r="BT983">
        <f>IF($A983="","",IF(BP983=1,F983,""))</f>
        <v>0</v>
      </c>
    </row>
    <row r="984" spans="1:72">
      <c r="A984" s="27">
        <f>IF(Data!$A984="","",Data!$A984)</f>
        <v>0</v>
      </c>
      <c r="B984">
        <f>IF(Data!$B984="","",Data!$B984)</f>
        <v>0</v>
      </c>
      <c r="C984">
        <f>IF(Data!$C984="","",Data!$C984)</f>
        <v>0</v>
      </c>
      <c r="D984">
        <f>IF(Data!$D984="","",Data!$D984)</f>
        <v>0</v>
      </c>
      <c r="E984">
        <f>IF(Data!$E984="","",Data!$E984)</f>
        <v>0</v>
      </c>
      <c r="F984">
        <f>IF($E984="","",N(F983)+1)</f>
        <v>0</v>
      </c>
      <c r="G984">
        <f>IF(OR($E984="",$E983=""),"",LN($E984/$E983))</f>
        <v>0</v>
      </c>
      <c r="H984">
        <f>IF($E984="","",IF($E983="",$E984,$E984*0.0952380952+H983*0.9047619048))</f>
        <v>0</v>
      </c>
      <c r="I984">
        <f>IF($E984="","",IF($E983="",$E984,$E984*0.0392156863+I983*0.9607843137))</f>
        <v>0</v>
      </c>
      <c r="J984">
        <f>IF($E984="","",IF($E983="",$E984,$E984*0.0198019802+J983*0.9801980198))</f>
        <v>0</v>
      </c>
      <c r="K984">
        <f>IF($E984="","",IF($E983="",$E984,$E984*0.0099502488+K983*0.9900497512))</f>
        <v>0</v>
      </c>
      <c r="L984">
        <f>IF(OR($E984="",$E983=""),"",MAX($E984-$E983,0))</f>
        <v>0</v>
      </c>
      <c r="M984">
        <f>IF(OR($E984="",$E983=""),"",MAX($E983-$E984,0))</f>
        <v>0</v>
      </c>
      <c r="N984">
        <f>IF(COUNT($E$2:$E984)&lt;15,"",IF(AVERAGE($M$971:$M$984)=0,100,100-100/(1+AVERAGE($L$971:$L$984)/AVERAGE($M$971:$M$984))))</f>
        <v>0</v>
      </c>
      <c r="O984">
        <f>IF($E984="","",IF($E983="",$E984,$E984*0.1538461538+O983*0.8461538462))</f>
        <v>0</v>
      </c>
      <c r="P984">
        <f>IF($E984="","",IF($E983="",$E984,$E984*0.0740740741+P983*0.9259259259))</f>
        <v>0</v>
      </c>
      <c r="Q984">
        <f>IF(OR(O984="",P984=""),"",O984-P984)</f>
        <v>0</v>
      </c>
      <c r="R984">
        <f>IF(Q984="","",IF(R983="",Q984,Q984*0.2000000000+R983*0.8000000000))</f>
        <v>0</v>
      </c>
      <c r="S984">
        <f>IF(OR(Q984="",R984=""),"",Q984-R984)</f>
        <v>0</v>
      </c>
      <c r="T984">
        <f>IF(COUNT($E$2:$E984)&lt;14,"",MAX($C$971:$C$984))</f>
        <v>0</v>
      </c>
      <c r="U984">
        <f>IF(COUNT($E$2:$E984)&lt;14,"",MIN($D$971:$D$984))</f>
        <v>0</v>
      </c>
      <c r="V984">
        <f>IF(OR(T984="",U984="",T984=U984),"",100*($E984-U984)/(T984-U984))</f>
        <v>0</v>
      </c>
      <c r="W984">
        <f>IF(COUNT($V$982:$V$984)&lt;3,"",AVERAGE($V$982:$V$984))</f>
        <v>0</v>
      </c>
      <c r="X984">
        <f>IF(COUNT($N$971:$N$984)&lt;14,"",MIN($N$971:$N$984))</f>
        <v>0</v>
      </c>
      <c r="Y984">
        <f>IF(COUNT($N$971:$N$984)&lt;14,"",MAX($N$971:$N$984))</f>
        <v>0</v>
      </c>
      <c r="Z984">
        <f>IF(OR(N984="",X984="",Y984="",Y984=X984),"",100*(N984-X984)/(Y984-X984))</f>
        <v>0</v>
      </c>
      <c r="AA984">
        <f>IF(COUNT($Z$982:$Z$984)&lt;3,"",AVERAGE($Z$982:$Z$984))</f>
        <v>0</v>
      </c>
      <c r="AB984">
        <f>IF(COUNT($AA$982:$AA$984)&lt;3,"",AVERAGE($AA$982:$AA$984))</f>
        <v>0</v>
      </c>
      <c r="AC984">
        <f>IF($E984="","",MAX($C984-$D984,ABS($C984-$E983),ABS($D984-$E983)))</f>
        <v>0</v>
      </c>
      <c r="AD984">
        <f>IF(COUNT($E$2:$E984)&lt;15,"",AVERAGE($AC$971:$AC$984))</f>
        <v>0</v>
      </c>
      <c r="AE984">
        <f>IF(OR($E984="",$E983=""),"",IF(AND(($C984-$C983)&gt;($D983-$D984),($C984-$C983)&gt;0),$C984-$C983,0))</f>
        <v>0</v>
      </c>
      <c r="AF984">
        <f>IF(OR($E984="",$E983=""),"",IF(AND(($D983-$D984)&gt;($C984-$C983),($D983-$D984)&gt;0),$D983-$D984,0))</f>
        <v>0</v>
      </c>
      <c r="AG984">
        <f>IF(COUNT($E$2:$E984)&lt;15,"",IF(SUM($AC$971:$AC$984)=0,0,100*SUM($AE$971:$AE$984)/SUM($AC$971:$AC$984)))</f>
        <v>0</v>
      </c>
      <c r="AH984">
        <f>IF(COUNT($E$2:$E984)&lt;15,"",IF(SUM($AC$971:$AC$984)=0,0,100*SUM($AF$971:$AF$984)/SUM($AC$971:$AC$984)))</f>
        <v>0</v>
      </c>
      <c r="AI984">
        <f>IF(OR(AG984="",AH984=""),"",IF((AG984+AH984)=0,0,100*ABS(AG984-AH984)/(AG984+AH984)))</f>
        <v>0</v>
      </c>
      <c r="AJ984">
        <f>IF(COUNT($AI$971:$AI$984)&lt;14,"",AVERAGE($AI$971:$AI$984))</f>
        <v>0</v>
      </c>
      <c r="AK984">
        <f>IF(COUNT($E$2:$E984)&lt;20,"",AVERAGE($E$965:$E$984))</f>
        <v>0</v>
      </c>
      <c r="AL984">
        <f>IF(COUNT($E$2:$E984)&lt;20,"",STDEVP($E$965:$E$984))</f>
        <v>0</v>
      </c>
      <c r="AM984">
        <f>IF(AK984="","",AK984+2*AL984)</f>
        <v>0</v>
      </c>
      <c r="AN984">
        <f>IF(AK984="","",AK984-2*AL984)</f>
        <v>0</v>
      </c>
      <c r="AO984">
        <f>IF(OR(AM984="",AN984="",AM984=AN984),"",($E984-AN984)/(AM984-AN984))</f>
        <v>0</v>
      </c>
      <c r="AP984">
        <f>IF(OR(AM984="",AK984="",AK984=0),"",(AM984-AN984)/AK984)</f>
        <v>0</v>
      </c>
      <c r="AQ984">
        <f>IF(COUNT($E$2:$E984)&lt;20,"",MAX($C$965:$C$984))</f>
        <v>0</v>
      </c>
      <c r="AR984">
        <f>IF(COUNT($E$2:$E984)&lt;20,"",MIN($D$965:$D$984))</f>
        <v>0</v>
      </c>
      <c r="AS984">
        <f>IF(OR(AQ984="",AR984=""),"",(AQ984+AR984)/2)</f>
        <v>0</v>
      </c>
      <c r="AT984">
        <f>IF(COUNT($G$965:$G$984)&lt;20,"",STDEV($G$965:$G$984)*SQRT(252))</f>
        <v>0</v>
      </c>
      <c r="AU984">
        <f>IF(COUNT($E$2:$E984)&lt;9,"",(MAX($C$976:$C$984)+MIN($D$976:$D$984))/2)</f>
        <v>0</v>
      </c>
      <c r="AV984">
        <f>IF(COUNT($E$2:$E984)&lt;26,"",(MAX($C$959:$C$984)+MIN($D$959:$D$984))/2)</f>
        <v>0</v>
      </c>
      <c r="AW984">
        <f>IF(OR(AU984="",AV984=""),"",(AU984+AV984)/2)</f>
        <v>0</v>
      </c>
      <c r="AX984">
        <f>IF(COUNT($E$2:$E984)&lt;52,"",(MAX($C$933:$C$984)+MIN($D$933:$D$984))/2)</f>
        <v>0</v>
      </c>
      <c r="AY984">
        <f>IF(COUNT($E$2:$E984)&lt;20,"",MAX($C$885:$C$984))</f>
        <v>0</v>
      </c>
      <c r="AZ984">
        <f>IF(COUNT($E$2:$E984)&lt;20,"",MIN($D$885:$D$984))</f>
        <v>0</v>
      </c>
      <c r="BA984">
        <f>IF(COUNT($E$2:$E984)&lt;20,"",SLOPE($E$885:$E$984,$F$885:$F$984))</f>
        <v>0</v>
      </c>
      <c r="BB984">
        <f>IF(COUNT($E$2:$E984)&lt;20,"",INTERCEPT($E$885:$E$984,$F$885:$F$984))</f>
        <v>0</v>
      </c>
      <c r="BC984">
        <f>IF(OR(BA984="",BB984=""),"",BB984+BA984*F984)</f>
        <v>0</v>
      </c>
      <c r="BD984">
        <f>IF(COUNT($E$2:$E984)&lt;20,"",STEYX($E$885:$E$984,$F$885:$F$984))</f>
        <v>0</v>
      </c>
      <c r="BE984">
        <f>IF($E984="","",IF(AND(COUNT($E$985:$E$988)&gt;=4,$C984=MAX($C$980:$C$988)),$C984,""))</f>
        <v>0</v>
      </c>
      <c r="BF984">
        <f>IF($E984="","",IF(AND(COUNT($E$985:$E$988)&gt;=4,$D984=MIN($D$980:$D$988)),$D984,""))</f>
        <v>0</v>
      </c>
      <c r="BG984">
        <f>IF($A984="","",$A984-WEEKDAY($A984,2)+1)</f>
        <v>0</v>
      </c>
      <c r="BH984">
        <f>IF($A984="","",IF($A983="",1,IF(BG984&lt;&gt;BG983,1,0)))</f>
        <v>0</v>
      </c>
      <c r="BI984">
        <f>IF($A984="","",IF($A985="",1,IF(BG985&lt;&gt;BG984,1,0)))</f>
        <v>0</v>
      </c>
      <c r="BJ984">
        <f>IF($A984="","",IF(BH984=1,$B984,BJ983))</f>
        <v>0</v>
      </c>
      <c r="BK984">
        <f>IF($A984="","",IF(BH984=1,$C984,MAX($C984,BK983)))</f>
        <v>0</v>
      </c>
      <c r="BL984">
        <f>IF($A984="","",IF(BH984=1,$D984,MIN($D984,BL983)))</f>
        <v>0</v>
      </c>
      <c r="BM984">
        <f>IF($A984="","",IF(BI984=1,F984,""))</f>
        <v>0</v>
      </c>
      <c r="BN984">
        <f>IF($A984="","",DATE(YEAR($A984),MONTH($A984),1))</f>
        <v>0</v>
      </c>
      <c r="BO984">
        <f>IF($A984="","",IF($A983="",1,IF(BN984&lt;&gt;BN983,1,0)))</f>
        <v>0</v>
      </c>
      <c r="BP984">
        <f>IF($A984="","",IF($A985="",1,IF(BN985&lt;&gt;BN984,1,0)))</f>
        <v>0</v>
      </c>
      <c r="BQ984">
        <f>IF($A984="","",IF(BO984=1,$B984,BQ983))</f>
        <v>0</v>
      </c>
      <c r="BR984">
        <f>IF($A984="","",IF(BO984=1,$C984,MAX($C984,BR983)))</f>
        <v>0</v>
      </c>
      <c r="BS984">
        <f>IF($A984="","",IF(BO984=1,$D984,MIN($D984,BS983)))</f>
        <v>0</v>
      </c>
      <c r="BT984">
        <f>IF($A984="","",IF(BP984=1,F984,""))</f>
        <v>0</v>
      </c>
    </row>
    <row r="985" spans="1:72">
      <c r="A985" s="27">
        <f>IF(Data!$A985="","",Data!$A985)</f>
        <v>0</v>
      </c>
      <c r="B985">
        <f>IF(Data!$B985="","",Data!$B985)</f>
        <v>0</v>
      </c>
      <c r="C985">
        <f>IF(Data!$C985="","",Data!$C985)</f>
        <v>0</v>
      </c>
      <c r="D985">
        <f>IF(Data!$D985="","",Data!$D985)</f>
        <v>0</v>
      </c>
      <c r="E985">
        <f>IF(Data!$E985="","",Data!$E985)</f>
        <v>0</v>
      </c>
      <c r="F985">
        <f>IF($E985="","",N(F984)+1)</f>
        <v>0</v>
      </c>
      <c r="G985">
        <f>IF(OR($E985="",$E984=""),"",LN($E985/$E984))</f>
        <v>0</v>
      </c>
      <c r="H985">
        <f>IF($E985="","",IF($E984="",$E985,$E985*0.0952380952+H984*0.9047619048))</f>
        <v>0</v>
      </c>
      <c r="I985">
        <f>IF($E985="","",IF($E984="",$E985,$E985*0.0392156863+I984*0.9607843137))</f>
        <v>0</v>
      </c>
      <c r="J985">
        <f>IF($E985="","",IF($E984="",$E985,$E985*0.0198019802+J984*0.9801980198))</f>
        <v>0</v>
      </c>
      <c r="K985">
        <f>IF($E985="","",IF($E984="",$E985,$E985*0.0099502488+K984*0.9900497512))</f>
        <v>0</v>
      </c>
      <c r="L985">
        <f>IF(OR($E985="",$E984=""),"",MAX($E985-$E984,0))</f>
        <v>0</v>
      </c>
      <c r="M985">
        <f>IF(OR($E985="",$E984=""),"",MAX($E984-$E985,0))</f>
        <v>0</v>
      </c>
      <c r="N985">
        <f>IF(COUNT($E$2:$E985)&lt;15,"",IF(AVERAGE($M$972:$M$985)=0,100,100-100/(1+AVERAGE($L$972:$L$985)/AVERAGE($M$972:$M$985))))</f>
        <v>0</v>
      </c>
      <c r="O985">
        <f>IF($E985="","",IF($E984="",$E985,$E985*0.1538461538+O984*0.8461538462))</f>
        <v>0</v>
      </c>
      <c r="P985">
        <f>IF($E985="","",IF($E984="",$E985,$E985*0.0740740741+P984*0.9259259259))</f>
        <v>0</v>
      </c>
      <c r="Q985">
        <f>IF(OR(O985="",P985=""),"",O985-P985)</f>
        <v>0</v>
      </c>
      <c r="R985">
        <f>IF(Q985="","",IF(R984="",Q985,Q985*0.2000000000+R984*0.8000000000))</f>
        <v>0</v>
      </c>
      <c r="S985">
        <f>IF(OR(Q985="",R985=""),"",Q985-R985)</f>
        <v>0</v>
      </c>
      <c r="T985">
        <f>IF(COUNT($E$2:$E985)&lt;14,"",MAX($C$972:$C$985))</f>
        <v>0</v>
      </c>
      <c r="U985">
        <f>IF(COUNT($E$2:$E985)&lt;14,"",MIN($D$972:$D$985))</f>
        <v>0</v>
      </c>
      <c r="V985">
        <f>IF(OR(T985="",U985="",T985=U985),"",100*($E985-U985)/(T985-U985))</f>
        <v>0</v>
      </c>
      <c r="W985">
        <f>IF(COUNT($V$983:$V$985)&lt;3,"",AVERAGE($V$983:$V$985))</f>
        <v>0</v>
      </c>
      <c r="X985">
        <f>IF(COUNT($N$972:$N$985)&lt;14,"",MIN($N$972:$N$985))</f>
        <v>0</v>
      </c>
      <c r="Y985">
        <f>IF(COUNT($N$972:$N$985)&lt;14,"",MAX($N$972:$N$985))</f>
        <v>0</v>
      </c>
      <c r="Z985">
        <f>IF(OR(N985="",X985="",Y985="",Y985=X985),"",100*(N985-X985)/(Y985-X985))</f>
        <v>0</v>
      </c>
      <c r="AA985">
        <f>IF(COUNT($Z$983:$Z$985)&lt;3,"",AVERAGE($Z$983:$Z$985))</f>
        <v>0</v>
      </c>
      <c r="AB985">
        <f>IF(COUNT($AA$983:$AA$985)&lt;3,"",AVERAGE($AA$983:$AA$985))</f>
        <v>0</v>
      </c>
      <c r="AC985">
        <f>IF($E985="","",MAX($C985-$D985,ABS($C985-$E984),ABS($D985-$E984)))</f>
        <v>0</v>
      </c>
      <c r="AD985">
        <f>IF(COUNT($E$2:$E985)&lt;15,"",AVERAGE($AC$972:$AC$985))</f>
        <v>0</v>
      </c>
      <c r="AE985">
        <f>IF(OR($E985="",$E984=""),"",IF(AND(($C985-$C984)&gt;($D984-$D985),($C985-$C984)&gt;0),$C985-$C984,0))</f>
        <v>0</v>
      </c>
      <c r="AF985">
        <f>IF(OR($E985="",$E984=""),"",IF(AND(($D984-$D985)&gt;($C985-$C984),($D984-$D985)&gt;0),$D984-$D985,0))</f>
        <v>0</v>
      </c>
      <c r="AG985">
        <f>IF(COUNT($E$2:$E985)&lt;15,"",IF(SUM($AC$972:$AC$985)=0,0,100*SUM($AE$972:$AE$985)/SUM($AC$972:$AC$985)))</f>
        <v>0</v>
      </c>
      <c r="AH985">
        <f>IF(COUNT($E$2:$E985)&lt;15,"",IF(SUM($AC$972:$AC$985)=0,0,100*SUM($AF$972:$AF$985)/SUM($AC$972:$AC$985)))</f>
        <v>0</v>
      </c>
      <c r="AI985">
        <f>IF(OR(AG985="",AH985=""),"",IF((AG985+AH985)=0,0,100*ABS(AG985-AH985)/(AG985+AH985)))</f>
        <v>0</v>
      </c>
      <c r="AJ985">
        <f>IF(COUNT($AI$972:$AI$985)&lt;14,"",AVERAGE($AI$972:$AI$985))</f>
        <v>0</v>
      </c>
      <c r="AK985">
        <f>IF(COUNT($E$2:$E985)&lt;20,"",AVERAGE($E$966:$E$985))</f>
        <v>0</v>
      </c>
      <c r="AL985">
        <f>IF(COUNT($E$2:$E985)&lt;20,"",STDEVP($E$966:$E$985))</f>
        <v>0</v>
      </c>
      <c r="AM985">
        <f>IF(AK985="","",AK985+2*AL985)</f>
        <v>0</v>
      </c>
      <c r="AN985">
        <f>IF(AK985="","",AK985-2*AL985)</f>
        <v>0</v>
      </c>
      <c r="AO985">
        <f>IF(OR(AM985="",AN985="",AM985=AN985),"",($E985-AN985)/(AM985-AN985))</f>
        <v>0</v>
      </c>
      <c r="AP985">
        <f>IF(OR(AM985="",AK985="",AK985=0),"",(AM985-AN985)/AK985)</f>
        <v>0</v>
      </c>
      <c r="AQ985">
        <f>IF(COUNT($E$2:$E985)&lt;20,"",MAX($C$966:$C$985))</f>
        <v>0</v>
      </c>
      <c r="AR985">
        <f>IF(COUNT($E$2:$E985)&lt;20,"",MIN($D$966:$D$985))</f>
        <v>0</v>
      </c>
      <c r="AS985">
        <f>IF(OR(AQ985="",AR985=""),"",(AQ985+AR985)/2)</f>
        <v>0</v>
      </c>
      <c r="AT985">
        <f>IF(COUNT($G$966:$G$985)&lt;20,"",STDEV($G$966:$G$985)*SQRT(252))</f>
        <v>0</v>
      </c>
      <c r="AU985">
        <f>IF(COUNT($E$2:$E985)&lt;9,"",(MAX($C$977:$C$985)+MIN($D$977:$D$985))/2)</f>
        <v>0</v>
      </c>
      <c r="AV985">
        <f>IF(COUNT($E$2:$E985)&lt;26,"",(MAX($C$960:$C$985)+MIN($D$960:$D$985))/2)</f>
        <v>0</v>
      </c>
      <c r="AW985">
        <f>IF(OR(AU985="",AV985=""),"",(AU985+AV985)/2)</f>
        <v>0</v>
      </c>
      <c r="AX985">
        <f>IF(COUNT($E$2:$E985)&lt;52,"",(MAX($C$934:$C$985)+MIN($D$934:$D$985))/2)</f>
        <v>0</v>
      </c>
      <c r="AY985">
        <f>IF(COUNT($E$2:$E985)&lt;20,"",MAX($C$886:$C$985))</f>
        <v>0</v>
      </c>
      <c r="AZ985">
        <f>IF(COUNT($E$2:$E985)&lt;20,"",MIN($D$886:$D$985))</f>
        <v>0</v>
      </c>
      <c r="BA985">
        <f>IF(COUNT($E$2:$E985)&lt;20,"",SLOPE($E$886:$E$985,$F$886:$F$985))</f>
        <v>0</v>
      </c>
      <c r="BB985">
        <f>IF(COUNT($E$2:$E985)&lt;20,"",INTERCEPT($E$886:$E$985,$F$886:$F$985))</f>
        <v>0</v>
      </c>
      <c r="BC985">
        <f>IF(OR(BA985="",BB985=""),"",BB985+BA985*F985)</f>
        <v>0</v>
      </c>
      <c r="BD985">
        <f>IF(COUNT($E$2:$E985)&lt;20,"",STEYX($E$886:$E$985,$F$886:$F$985))</f>
        <v>0</v>
      </c>
      <c r="BE985">
        <f>IF($E985="","",IF(AND(COUNT($E$986:$E$989)&gt;=4,$C985=MAX($C$981:$C$989)),$C985,""))</f>
        <v>0</v>
      </c>
      <c r="BF985">
        <f>IF($E985="","",IF(AND(COUNT($E$986:$E$989)&gt;=4,$D985=MIN($D$981:$D$989)),$D985,""))</f>
        <v>0</v>
      </c>
      <c r="BG985">
        <f>IF($A985="","",$A985-WEEKDAY($A985,2)+1)</f>
        <v>0</v>
      </c>
      <c r="BH985">
        <f>IF($A985="","",IF($A984="",1,IF(BG985&lt;&gt;BG984,1,0)))</f>
        <v>0</v>
      </c>
      <c r="BI985">
        <f>IF($A985="","",IF($A986="",1,IF(BG986&lt;&gt;BG985,1,0)))</f>
        <v>0</v>
      </c>
      <c r="BJ985">
        <f>IF($A985="","",IF(BH985=1,$B985,BJ984))</f>
        <v>0</v>
      </c>
      <c r="BK985">
        <f>IF($A985="","",IF(BH985=1,$C985,MAX($C985,BK984)))</f>
        <v>0</v>
      </c>
      <c r="BL985">
        <f>IF($A985="","",IF(BH985=1,$D985,MIN($D985,BL984)))</f>
        <v>0</v>
      </c>
      <c r="BM985">
        <f>IF($A985="","",IF(BI985=1,F985,""))</f>
        <v>0</v>
      </c>
      <c r="BN985">
        <f>IF($A985="","",DATE(YEAR($A985),MONTH($A985),1))</f>
        <v>0</v>
      </c>
      <c r="BO985">
        <f>IF($A985="","",IF($A984="",1,IF(BN985&lt;&gt;BN984,1,0)))</f>
        <v>0</v>
      </c>
      <c r="BP985">
        <f>IF($A985="","",IF($A986="",1,IF(BN986&lt;&gt;BN985,1,0)))</f>
        <v>0</v>
      </c>
      <c r="BQ985">
        <f>IF($A985="","",IF(BO985=1,$B985,BQ984))</f>
        <v>0</v>
      </c>
      <c r="BR985">
        <f>IF($A985="","",IF(BO985=1,$C985,MAX($C985,BR984)))</f>
        <v>0</v>
      </c>
      <c r="BS985">
        <f>IF($A985="","",IF(BO985=1,$D985,MIN($D985,BS984)))</f>
        <v>0</v>
      </c>
      <c r="BT985">
        <f>IF($A985="","",IF(BP985=1,F985,""))</f>
        <v>0</v>
      </c>
    </row>
    <row r="986" spans="1:72">
      <c r="A986" s="27">
        <f>IF(Data!$A986="","",Data!$A986)</f>
        <v>0</v>
      </c>
      <c r="B986">
        <f>IF(Data!$B986="","",Data!$B986)</f>
        <v>0</v>
      </c>
      <c r="C986">
        <f>IF(Data!$C986="","",Data!$C986)</f>
        <v>0</v>
      </c>
      <c r="D986">
        <f>IF(Data!$D986="","",Data!$D986)</f>
        <v>0</v>
      </c>
      <c r="E986">
        <f>IF(Data!$E986="","",Data!$E986)</f>
        <v>0</v>
      </c>
      <c r="F986">
        <f>IF($E986="","",N(F985)+1)</f>
        <v>0</v>
      </c>
      <c r="G986">
        <f>IF(OR($E986="",$E985=""),"",LN($E986/$E985))</f>
        <v>0</v>
      </c>
      <c r="H986">
        <f>IF($E986="","",IF($E985="",$E986,$E986*0.0952380952+H985*0.9047619048))</f>
        <v>0</v>
      </c>
      <c r="I986">
        <f>IF($E986="","",IF($E985="",$E986,$E986*0.0392156863+I985*0.9607843137))</f>
        <v>0</v>
      </c>
      <c r="J986">
        <f>IF($E986="","",IF($E985="",$E986,$E986*0.0198019802+J985*0.9801980198))</f>
        <v>0</v>
      </c>
      <c r="K986">
        <f>IF($E986="","",IF($E985="",$E986,$E986*0.0099502488+K985*0.9900497512))</f>
        <v>0</v>
      </c>
      <c r="L986">
        <f>IF(OR($E986="",$E985=""),"",MAX($E986-$E985,0))</f>
        <v>0</v>
      </c>
      <c r="M986">
        <f>IF(OR($E986="",$E985=""),"",MAX($E985-$E986,0))</f>
        <v>0</v>
      </c>
      <c r="N986">
        <f>IF(COUNT($E$2:$E986)&lt;15,"",IF(AVERAGE($M$973:$M$986)=0,100,100-100/(1+AVERAGE($L$973:$L$986)/AVERAGE($M$973:$M$986))))</f>
        <v>0</v>
      </c>
      <c r="O986">
        <f>IF($E986="","",IF($E985="",$E986,$E986*0.1538461538+O985*0.8461538462))</f>
        <v>0</v>
      </c>
      <c r="P986">
        <f>IF($E986="","",IF($E985="",$E986,$E986*0.0740740741+P985*0.9259259259))</f>
        <v>0</v>
      </c>
      <c r="Q986">
        <f>IF(OR(O986="",P986=""),"",O986-P986)</f>
        <v>0</v>
      </c>
      <c r="R986">
        <f>IF(Q986="","",IF(R985="",Q986,Q986*0.2000000000+R985*0.8000000000))</f>
        <v>0</v>
      </c>
      <c r="S986">
        <f>IF(OR(Q986="",R986=""),"",Q986-R986)</f>
        <v>0</v>
      </c>
      <c r="T986">
        <f>IF(COUNT($E$2:$E986)&lt;14,"",MAX($C$973:$C$986))</f>
        <v>0</v>
      </c>
      <c r="U986">
        <f>IF(COUNT($E$2:$E986)&lt;14,"",MIN($D$973:$D$986))</f>
        <v>0</v>
      </c>
      <c r="V986">
        <f>IF(OR(T986="",U986="",T986=U986),"",100*($E986-U986)/(T986-U986))</f>
        <v>0</v>
      </c>
      <c r="W986">
        <f>IF(COUNT($V$984:$V$986)&lt;3,"",AVERAGE($V$984:$V$986))</f>
        <v>0</v>
      </c>
      <c r="X986">
        <f>IF(COUNT($N$973:$N$986)&lt;14,"",MIN($N$973:$N$986))</f>
        <v>0</v>
      </c>
      <c r="Y986">
        <f>IF(COUNT($N$973:$N$986)&lt;14,"",MAX($N$973:$N$986))</f>
        <v>0</v>
      </c>
      <c r="Z986">
        <f>IF(OR(N986="",X986="",Y986="",Y986=X986),"",100*(N986-X986)/(Y986-X986))</f>
        <v>0</v>
      </c>
      <c r="AA986">
        <f>IF(COUNT($Z$984:$Z$986)&lt;3,"",AVERAGE($Z$984:$Z$986))</f>
        <v>0</v>
      </c>
      <c r="AB986">
        <f>IF(COUNT($AA$984:$AA$986)&lt;3,"",AVERAGE($AA$984:$AA$986))</f>
        <v>0</v>
      </c>
      <c r="AC986">
        <f>IF($E986="","",MAX($C986-$D986,ABS($C986-$E985),ABS($D986-$E985)))</f>
        <v>0</v>
      </c>
      <c r="AD986">
        <f>IF(COUNT($E$2:$E986)&lt;15,"",AVERAGE($AC$973:$AC$986))</f>
        <v>0</v>
      </c>
      <c r="AE986">
        <f>IF(OR($E986="",$E985=""),"",IF(AND(($C986-$C985)&gt;($D985-$D986),($C986-$C985)&gt;0),$C986-$C985,0))</f>
        <v>0</v>
      </c>
      <c r="AF986">
        <f>IF(OR($E986="",$E985=""),"",IF(AND(($D985-$D986)&gt;($C986-$C985),($D985-$D986)&gt;0),$D985-$D986,0))</f>
        <v>0</v>
      </c>
      <c r="AG986">
        <f>IF(COUNT($E$2:$E986)&lt;15,"",IF(SUM($AC$973:$AC$986)=0,0,100*SUM($AE$973:$AE$986)/SUM($AC$973:$AC$986)))</f>
        <v>0</v>
      </c>
      <c r="AH986">
        <f>IF(COUNT($E$2:$E986)&lt;15,"",IF(SUM($AC$973:$AC$986)=0,0,100*SUM($AF$973:$AF$986)/SUM($AC$973:$AC$986)))</f>
        <v>0</v>
      </c>
      <c r="AI986">
        <f>IF(OR(AG986="",AH986=""),"",IF((AG986+AH986)=0,0,100*ABS(AG986-AH986)/(AG986+AH986)))</f>
        <v>0</v>
      </c>
      <c r="AJ986">
        <f>IF(COUNT($AI$973:$AI$986)&lt;14,"",AVERAGE($AI$973:$AI$986))</f>
        <v>0</v>
      </c>
      <c r="AK986">
        <f>IF(COUNT($E$2:$E986)&lt;20,"",AVERAGE($E$967:$E$986))</f>
        <v>0</v>
      </c>
      <c r="AL986">
        <f>IF(COUNT($E$2:$E986)&lt;20,"",STDEVP($E$967:$E$986))</f>
        <v>0</v>
      </c>
      <c r="AM986">
        <f>IF(AK986="","",AK986+2*AL986)</f>
        <v>0</v>
      </c>
      <c r="AN986">
        <f>IF(AK986="","",AK986-2*AL986)</f>
        <v>0</v>
      </c>
      <c r="AO986">
        <f>IF(OR(AM986="",AN986="",AM986=AN986),"",($E986-AN986)/(AM986-AN986))</f>
        <v>0</v>
      </c>
      <c r="AP986">
        <f>IF(OR(AM986="",AK986="",AK986=0),"",(AM986-AN986)/AK986)</f>
        <v>0</v>
      </c>
      <c r="AQ986">
        <f>IF(COUNT($E$2:$E986)&lt;20,"",MAX($C$967:$C$986))</f>
        <v>0</v>
      </c>
      <c r="AR986">
        <f>IF(COUNT($E$2:$E986)&lt;20,"",MIN($D$967:$D$986))</f>
        <v>0</v>
      </c>
      <c r="AS986">
        <f>IF(OR(AQ986="",AR986=""),"",(AQ986+AR986)/2)</f>
        <v>0</v>
      </c>
      <c r="AT986">
        <f>IF(COUNT($G$967:$G$986)&lt;20,"",STDEV($G$967:$G$986)*SQRT(252))</f>
        <v>0</v>
      </c>
      <c r="AU986">
        <f>IF(COUNT($E$2:$E986)&lt;9,"",(MAX($C$978:$C$986)+MIN($D$978:$D$986))/2)</f>
        <v>0</v>
      </c>
      <c r="AV986">
        <f>IF(COUNT($E$2:$E986)&lt;26,"",(MAX($C$961:$C$986)+MIN($D$961:$D$986))/2)</f>
        <v>0</v>
      </c>
      <c r="AW986">
        <f>IF(OR(AU986="",AV986=""),"",(AU986+AV986)/2)</f>
        <v>0</v>
      </c>
      <c r="AX986">
        <f>IF(COUNT($E$2:$E986)&lt;52,"",(MAX($C$935:$C$986)+MIN($D$935:$D$986))/2)</f>
        <v>0</v>
      </c>
      <c r="AY986">
        <f>IF(COUNT($E$2:$E986)&lt;20,"",MAX($C$887:$C$986))</f>
        <v>0</v>
      </c>
      <c r="AZ986">
        <f>IF(COUNT($E$2:$E986)&lt;20,"",MIN($D$887:$D$986))</f>
        <v>0</v>
      </c>
      <c r="BA986">
        <f>IF(COUNT($E$2:$E986)&lt;20,"",SLOPE($E$887:$E$986,$F$887:$F$986))</f>
        <v>0</v>
      </c>
      <c r="BB986">
        <f>IF(COUNT($E$2:$E986)&lt;20,"",INTERCEPT($E$887:$E$986,$F$887:$F$986))</f>
        <v>0</v>
      </c>
      <c r="BC986">
        <f>IF(OR(BA986="",BB986=""),"",BB986+BA986*F986)</f>
        <v>0</v>
      </c>
      <c r="BD986">
        <f>IF(COUNT($E$2:$E986)&lt;20,"",STEYX($E$887:$E$986,$F$887:$F$986))</f>
        <v>0</v>
      </c>
      <c r="BE986">
        <f>IF($E986="","",IF(AND(COUNT($E$987:$E$990)&gt;=4,$C986=MAX($C$982:$C$990)),$C986,""))</f>
        <v>0</v>
      </c>
      <c r="BF986">
        <f>IF($E986="","",IF(AND(COUNT($E$987:$E$990)&gt;=4,$D986=MIN($D$982:$D$990)),$D986,""))</f>
        <v>0</v>
      </c>
      <c r="BG986">
        <f>IF($A986="","",$A986-WEEKDAY($A986,2)+1)</f>
        <v>0</v>
      </c>
      <c r="BH986">
        <f>IF($A986="","",IF($A985="",1,IF(BG986&lt;&gt;BG985,1,0)))</f>
        <v>0</v>
      </c>
      <c r="BI986">
        <f>IF($A986="","",IF($A987="",1,IF(BG987&lt;&gt;BG986,1,0)))</f>
        <v>0</v>
      </c>
      <c r="BJ986">
        <f>IF($A986="","",IF(BH986=1,$B986,BJ985))</f>
        <v>0</v>
      </c>
      <c r="BK986">
        <f>IF($A986="","",IF(BH986=1,$C986,MAX($C986,BK985)))</f>
        <v>0</v>
      </c>
      <c r="BL986">
        <f>IF($A986="","",IF(BH986=1,$D986,MIN($D986,BL985)))</f>
        <v>0</v>
      </c>
      <c r="BM986">
        <f>IF($A986="","",IF(BI986=1,F986,""))</f>
        <v>0</v>
      </c>
      <c r="BN986">
        <f>IF($A986="","",DATE(YEAR($A986),MONTH($A986),1))</f>
        <v>0</v>
      </c>
      <c r="BO986">
        <f>IF($A986="","",IF($A985="",1,IF(BN986&lt;&gt;BN985,1,0)))</f>
        <v>0</v>
      </c>
      <c r="BP986">
        <f>IF($A986="","",IF($A987="",1,IF(BN987&lt;&gt;BN986,1,0)))</f>
        <v>0</v>
      </c>
      <c r="BQ986">
        <f>IF($A986="","",IF(BO986=1,$B986,BQ985))</f>
        <v>0</v>
      </c>
      <c r="BR986">
        <f>IF($A986="","",IF(BO986=1,$C986,MAX($C986,BR985)))</f>
        <v>0</v>
      </c>
      <c r="BS986">
        <f>IF($A986="","",IF(BO986=1,$D986,MIN($D986,BS985)))</f>
        <v>0</v>
      </c>
      <c r="BT986">
        <f>IF($A986="","",IF(BP986=1,F986,""))</f>
        <v>0</v>
      </c>
    </row>
    <row r="987" spans="1:72">
      <c r="A987" s="27">
        <f>IF(Data!$A987="","",Data!$A987)</f>
        <v>0</v>
      </c>
      <c r="B987">
        <f>IF(Data!$B987="","",Data!$B987)</f>
        <v>0</v>
      </c>
      <c r="C987">
        <f>IF(Data!$C987="","",Data!$C987)</f>
        <v>0</v>
      </c>
      <c r="D987">
        <f>IF(Data!$D987="","",Data!$D987)</f>
        <v>0</v>
      </c>
      <c r="E987">
        <f>IF(Data!$E987="","",Data!$E987)</f>
        <v>0</v>
      </c>
      <c r="F987">
        <f>IF($E987="","",N(F986)+1)</f>
        <v>0</v>
      </c>
      <c r="G987">
        <f>IF(OR($E987="",$E986=""),"",LN($E987/$E986))</f>
        <v>0</v>
      </c>
      <c r="H987">
        <f>IF($E987="","",IF($E986="",$E987,$E987*0.0952380952+H986*0.9047619048))</f>
        <v>0</v>
      </c>
      <c r="I987">
        <f>IF($E987="","",IF($E986="",$E987,$E987*0.0392156863+I986*0.9607843137))</f>
        <v>0</v>
      </c>
      <c r="J987">
        <f>IF($E987="","",IF($E986="",$E987,$E987*0.0198019802+J986*0.9801980198))</f>
        <v>0</v>
      </c>
      <c r="K987">
        <f>IF($E987="","",IF($E986="",$E987,$E987*0.0099502488+K986*0.9900497512))</f>
        <v>0</v>
      </c>
      <c r="L987">
        <f>IF(OR($E987="",$E986=""),"",MAX($E987-$E986,0))</f>
        <v>0</v>
      </c>
      <c r="M987">
        <f>IF(OR($E987="",$E986=""),"",MAX($E986-$E987,0))</f>
        <v>0</v>
      </c>
      <c r="N987">
        <f>IF(COUNT($E$2:$E987)&lt;15,"",IF(AVERAGE($M$974:$M$987)=0,100,100-100/(1+AVERAGE($L$974:$L$987)/AVERAGE($M$974:$M$987))))</f>
        <v>0</v>
      </c>
      <c r="O987">
        <f>IF($E987="","",IF($E986="",$E987,$E987*0.1538461538+O986*0.8461538462))</f>
        <v>0</v>
      </c>
      <c r="P987">
        <f>IF($E987="","",IF($E986="",$E987,$E987*0.0740740741+P986*0.9259259259))</f>
        <v>0</v>
      </c>
      <c r="Q987">
        <f>IF(OR(O987="",P987=""),"",O987-P987)</f>
        <v>0</v>
      </c>
      <c r="R987">
        <f>IF(Q987="","",IF(R986="",Q987,Q987*0.2000000000+R986*0.8000000000))</f>
        <v>0</v>
      </c>
      <c r="S987">
        <f>IF(OR(Q987="",R987=""),"",Q987-R987)</f>
        <v>0</v>
      </c>
      <c r="T987">
        <f>IF(COUNT($E$2:$E987)&lt;14,"",MAX($C$974:$C$987))</f>
        <v>0</v>
      </c>
      <c r="U987">
        <f>IF(COUNT($E$2:$E987)&lt;14,"",MIN($D$974:$D$987))</f>
        <v>0</v>
      </c>
      <c r="V987">
        <f>IF(OR(T987="",U987="",T987=U987),"",100*($E987-U987)/(T987-U987))</f>
        <v>0</v>
      </c>
      <c r="W987">
        <f>IF(COUNT($V$985:$V$987)&lt;3,"",AVERAGE($V$985:$V$987))</f>
        <v>0</v>
      </c>
      <c r="X987">
        <f>IF(COUNT($N$974:$N$987)&lt;14,"",MIN($N$974:$N$987))</f>
        <v>0</v>
      </c>
      <c r="Y987">
        <f>IF(COUNT($N$974:$N$987)&lt;14,"",MAX($N$974:$N$987))</f>
        <v>0</v>
      </c>
      <c r="Z987">
        <f>IF(OR(N987="",X987="",Y987="",Y987=X987),"",100*(N987-X987)/(Y987-X987))</f>
        <v>0</v>
      </c>
      <c r="AA987">
        <f>IF(COUNT($Z$985:$Z$987)&lt;3,"",AVERAGE($Z$985:$Z$987))</f>
        <v>0</v>
      </c>
      <c r="AB987">
        <f>IF(COUNT($AA$985:$AA$987)&lt;3,"",AVERAGE($AA$985:$AA$987))</f>
        <v>0</v>
      </c>
      <c r="AC987">
        <f>IF($E987="","",MAX($C987-$D987,ABS($C987-$E986),ABS($D987-$E986)))</f>
        <v>0</v>
      </c>
      <c r="AD987">
        <f>IF(COUNT($E$2:$E987)&lt;15,"",AVERAGE($AC$974:$AC$987))</f>
        <v>0</v>
      </c>
      <c r="AE987">
        <f>IF(OR($E987="",$E986=""),"",IF(AND(($C987-$C986)&gt;($D986-$D987),($C987-$C986)&gt;0),$C987-$C986,0))</f>
        <v>0</v>
      </c>
      <c r="AF987">
        <f>IF(OR($E987="",$E986=""),"",IF(AND(($D986-$D987)&gt;($C987-$C986),($D986-$D987)&gt;0),$D986-$D987,0))</f>
        <v>0</v>
      </c>
      <c r="AG987">
        <f>IF(COUNT($E$2:$E987)&lt;15,"",IF(SUM($AC$974:$AC$987)=0,0,100*SUM($AE$974:$AE$987)/SUM($AC$974:$AC$987)))</f>
        <v>0</v>
      </c>
      <c r="AH987">
        <f>IF(COUNT($E$2:$E987)&lt;15,"",IF(SUM($AC$974:$AC$987)=0,0,100*SUM($AF$974:$AF$987)/SUM($AC$974:$AC$987)))</f>
        <v>0</v>
      </c>
      <c r="AI987">
        <f>IF(OR(AG987="",AH987=""),"",IF((AG987+AH987)=0,0,100*ABS(AG987-AH987)/(AG987+AH987)))</f>
        <v>0</v>
      </c>
      <c r="AJ987">
        <f>IF(COUNT($AI$974:$AI$987)&lt;14,"",AVERAGE($AI$974:$AI$987))</f>
        <v>0</v>
      </c>
      <c r="AK987">
        <f>IF(COUNT($E$2:$E987)&lt;20,"",AVERAGE($E$968:$E$987))</f>
        <v>0</v>
      </c>
      <c r="AL987">
        <f>IF(COUNT($E$2:$E987)&lt;20,"",STDEVP($E$968:$E$987))</f>
        <v>0</v>
      </c>
      <c r="AM987">
        <f>IF(AK987="","",AK987+2*AL987)</f>
        <v>0</v>
      </c>
      <c r="AN987">
        <f>IF(AK987="","",AK987-2*AL987)</f>
        <v>0</v>
      </c>
      <c r="AO987">
        <f>IF(OR(AM987="",AN987="",AM987=AN987),"",($E987-AN987)/(AM987-AN987))</f>
        <v>0</v>
      </c>
      <c r="AP987">
        <f>IF(OR(AM987="",AK987="",AK987=0),"",(AM987-AN987)/AK987)</f>
        <v>0</v>
      </c>
      <c r="AQ987">
        <f>IF(COUNT($E$2:$E987)&lt;20,"",MAX($C$968:$C$987))</f>
        <v>0</v>
      </c>
      <c r="AR987">
        <f>IF(COUNT($E$2:$E987)&lt;20,"",MIN($D$968:$D$987))</f>
        <v>0</v>
      </c>
      <c r="AS987">
        <f>IF(OR(AQ987="",AR987=""),"",(AQ987+AR987)/2)</f>
        <v>0</v>
      </c>
      <c r="AT987">
        <f>IF(COUNT($G$968:$G$987)&lt;20,"",STDEV($G$968:$G$987)*SQRT(252))</f>
        <v>0</v>
      </c>
      <c r="AU987">
        <f>IF(COUNT($E$2:$E987)&lt;9,"",(MAX($C$979:$C$987)+MIN($D$979:$D$987))/2)</f>
        <v>0</v>
      </c>
      <c r="AV987">
        <f>IF(COUNT($E$2:$E987)&lt;26,"",(MAX($C$962:$C$987)+MIN($D$962:$D$987))/2)</f>
        <v>0</v>
      </c>
      <c r="AW987">
        <f>IF(OR(AU987="",AV987=""),"",(AU987+AV987)/2)</f>
        <v>0</v>
      </c>
      <c r="AX987">
        <f>IF(COUNT($E$2:$E987)&lt;52,"",(MAX($C$936:$C$987)+MIN($D$936:$D$987))/2)</f>
        <v>0</v>
      </c>
      <c r="AY987">
        <f>IF(COUNT($E$2:$E987)&lt;20,"",MAX($C$888:$C$987))</f>
        <v>0</v>
      </c>
      <c r="AZ987">
        <f>IF(COUNT($E$2:$E987)&lt;20,"",MIN($D$888:$D$987))</f>
        <v>0</v>
      </c>
      <c r="BA987">
        <f>IF(COUNT($E$2:$E987)&lt;20,"",SLOPE($E$888:$E$987,$F$888:$F$987))</f>
        <v>0</v>
      </c>
      <c r="BB987">
        <f>IF(COUNT($E$2:$E987)&lt;20,"",INTERCEPT($E$888:$E$987,$F$888:$F$987))</f>
        <v>0</v>
      </c>
      <c r="BC987">
        <f>IF(OR(BA987="",BB987=""),"",BB987+BA987*F987)</f>
        <v>0</v>
      </c>
      <c r="BD987">
        <f>IF(COUNT($E$2:$E987)&lt;20,"",STEYX($E$888:$E$987,$F$888:$F$987))</f>
        <v>0</v>
      </c>
      <c r="BE987">
        <f>IF($E987="","",IF(AND(COUNT($E$988:$E$991)&gt;=4,$C987=MAX($C$983:$C$991)),$C987,""))</f>
        <v>0</v>
      </c>
      <c r="BF987">
        <f>IF($E987="","",IF(AND(COUNT($E$988:$E$991)&gt;=4,$D987=MIN($D$983:$D$991)),$D987,""))</f>
        <v>0</v>
      </c>
      <c r="BG987">
        <f>IF($A987="","",$A987-WEEKDAY($A987,2)+1)</f>
        <v>0</v>
      </c>
      <c r="BH987">
        <f>IF($A987="","",IF($A986="",1,IF(BG987&lt;&gt;BG986,1,0)))</f>
        <v>0</v>
      </c>
      <c r="BI987">
        <f>IF($A987="","",IF($A988="",1,IF(BG988&lt;&gt;BG987,1,0)))</f>
        <v>0</v>
      </c>
      <c r="BJ987">
        <f>IF($A987="","",IF(BH987=1,$B987,BJ986))</f>
        <v>0</v>
      </c>
      <c r="BK987">
        <f>IF($A987="","",IF(BH987=1,$C987,MAX($C987,BK986)))</f>
        <v>0</v>
      </c>
      <c r="BL987">
        <f>IF($A987="","",IF(BH987=1,$D987,MIN($D987,BL986)))</f>
        <v>0</v>
      </c>
      <c r="BM987">
        <f>IF($A987="","",IF(BI987=1,F987,""))</f>
        <v>0</v>
      </c>
      <c r="BN987">
        <f>IF($A987="","",DATE(YEAR($A987),MONTH($A987),1))</f>
        <v>0</v>
      </c>
      <c r="BO987">
        <f>IF($A987="","",IF($A986="",1,IF(BN987&lt;&gt;BN986,1,0)))</f>
        <v>0</v>
      </c>
      <c r="BP987">
        <f>IF($A987="","",IF($A988="",1,IF(BN988&lt;&gt;BN987,1,0)))</f>
        <v>0</v>
      </c>
      <c r="BQ987">
        <f>IF($A987="","",IF(BO987=1,$B987,BQ986))</f>
        <v>0</v>
      </c>
      <c r="BR987">
        <f>IF($A987="","",IF(BO987=1,$C987,MAX($C987,BR986)))</f>
        <v>0</v>
      </c>
      <c r="BS987">
        <f>IF($A987="","",IF(BO987=1,$D987,MIN($D987,BS986)))</f>
        <v>0</v>
      </c>
      <c r="BT987">
        <f>IF($A987="","",IF(BP987=1,F987,""))</f>
        <v>0</v>
      </c>
    </row>
    <row r="988" spans="1:72">
      <c r="A988" s="27">
        <f>IF(Data!$A988="","",Data!$A988)</f>
        <v>0</v>
      </c>
      <c r="B988">
        <f>IF(Data!$B988="","",Data!$B988)</f>
        <v>0</v>
      </c>
      <c r="C988">
        <f>IF(Data!$C988="","",Data!$C988)</f>
        <v>0</v>
      </c>
      <c r="D988">
        <f>IF(Data!$D988="","",Data!$D988)</f>
        <v>0</v>
      </c>
      <c r="E988">
        <f>IF(Data!$E988="","",Data!$E988)</f>
        <v>0</v>
      </c>
      <c r="F988">
        <f>IF($E988="","",N(F987)+1)</f>
        <v>0</v>
      </c>
      <c r="G988">
        <f>IF(OR($E988="",$E987=""),"",LN($E988/$E987))</f>
        <v>0</v>
      </c>
      <c r="H988">
        <f>IF($E988="","",IF($E987="",$E988,$E988*0.0952380952+H987*0.9047619048))</f>
        <v>0</v>
      </c>
      <c r="I988">
        <f>IF($E988="","",IF($E987="",$E988,$E988*0.0392156863+I987*0.9607843137))</f>
        <v>0</v>
      </c>
      <c r="J988">
        <f>IF($E988="","",IF($E987="",$E988,$E988*0.0198019802+J987*0.9801980198))</f>
        <v>0</v>
      </c>
      <c r="K988">
        <f>IF($E988="","",IF($E987="",$E988,$E988*0.0099502488+K987*0.9900497512))</f>
        <v>0</v>
      </c>
      <c r="L988">
        <f>IF(OR($E988="",$E987=""),"",MAX($E988-$E987,0))</f>
        <v>0</v>
      </c>
      <c r="M988">
        <f>IF(OR($E988="",$E987=""),"",MAX($E987-$E988,0))</f>
        <v>0</v>
      </c>
      <c r="N988">
        <f>IF(COUNT($E$2:$E988)&lt;15,"",IF(AVERAGE($M$975:$M$988)=0,100,100-100/(1+AVERAGE($L$975:$L$988)/AVERAGE($M$975:$M$988))))</f>
        <v>0</v>
      </c>
      <c r="O988">
        <f>IF($E988="","",IF($E987="",$E988,$E988*0.1538461538+O987*0.8461538462))</f>
        <v>0</v>
      </c>
      <c r="P988">
        <f>IF($E988="","",IF($E987="",$E988,$E988*0.0740740741+P987*0.9259259259))</f>
        <v>0</v>
      </c>
      <c r="Q988">
        <f>IF(OR(O988="",P988=""),"",O988-P988)</f>
        <v>0</v>
      </c>
      <c r="R988">
        <f>IF(Q988="","",IF(R987="",Q988,Q988*0.2000000000+R987*0.8000000000))</f>
        <v>0</v>
      </c>
      <c r="S988">
        <f>IF(OR(Q988="",R988=""),"",Q988-R988)</f>
        <v>0</v>
      </c>
      <c r="T988">
        <f>IF(COUNT($E$2:$E988)&lt;14,"",MAX($C$975:$C$988))</f>
        <v>0</v>
      </c>
      <c r="U988">
        <f>IF(COUNT($E$2:$E988)&lt;14,"",MIN($D$975:$D$988))</f>
        <v>0</v>
      </c>
      <c r="V988">
        <f>IF(OR(T988="",U988="",T988=U988),"",100*($E988-U988)/(T988-U988))</f>
        <v>0</v>
      </c>
      <c r="W988">
        <f>IF(COUNT($V$986:$V$988)&lt;3,"",AVERAGE($V$986:$V$988))</f>
        <v>0</v>
      </c>
      <c r="X988">
        <f>IF(COUNT($N$975:$N$988)&lt;14,"",MIN($N$975:$N$988))</f>
        <v>0</v>
      </c>
      <c r="Y988">
        <f>IF(COUNT($N$975:$N$988)&lt;14,"",MAX($N$975:$N$988))</f>
        <v>0</v>
      </c>
      <c r="Z988">
        <f>IF(OR(N988="",X988="",Y988="",Y988=X988),"",100*(N988-X988)/(Y988-X988))</f>
        <v>0</v>
      </c>
      <c r="AA988">
        <f>IF(COUNT($Z$986:$Z$988)&lt;3,"",AVERAGE($Z$986:$Z$988))</f>
        <v>0</v>
      </c>
      <c r="AB988">
        <f>IF(COUNT($AA$986:$AA$988)&lt;3,"",AVERAGE($AA$986:$AA$988))</f>
        <v>0</v>
      </c>
      <c r="AC988">
        <f>IF($E988="","",MAX($C988-$D988,ABS($C988-$E987),ABS($D988-$E987)))</f>
        <v>0</v>
      </c>
      <c r="AD988">
        <f>IF(COUNT($E$2:$E988)&lt;15,"",AVERAGE($AC$975:$AC$988))</f>
        <v>0</v>
      </c>
      <c r="AE988">
        <f>IF(OR($E988="",$E987=""),"",IF(AND(($C988-$C987)&gt;($D987-$D988),($C988-$C987)&gt;0),$C988-$C987,0))</f>
        <v>0</v>
      </c>
      <c r="AF988">
        <f>IF(OR($E988="",$E987=""),"",IF(AND(($D987-$D988)&gt;($C988-$C987),($D987-$D988)&gt;0),$D987-$D988,0))</f>
        <v>0</v>
      </c>
      <c r="AG988">
        <f>IF(COUNT($E$2:$E988)&lt;15,"",IF(SUM($AC$975:$AC$988)=0,0,100*SUM($AE$975:$AE$988)/SUM($AC$975:$AC$988)))</f>
        <v>0</v>
      </c>
      <c r="AH988">
        <f>IF(COUNT($E$2:$E988)&lt;15,"",IF(SUM($AC$975:$AC$988)=0,0,100*SUM($AF$975:$AF$988)/SUM($AC$975:$AC$988)))</f>
        <v>0</v>
      </c>
      <c r="AI988">
        <f>IF(OR(AG988="",AH988=""),"",IF((AG988+AH988)=0,0,100*ABS(AG988-AH988)/(AG988+AH988)))</f>
        <v>0</v>
      </c>
      <c r="AJ988">
        <f>IF(COUNT($AI$975:$AI$988)&lt;14,"",AVERAGE($AI$975:$AI$988))</f>
        <v>0</v>
      </c>
      <c r="AK988">
        <f>IF(COUNT($E$2:$E988)&lt;20,"",AVERAGE($E$969:$E$988))</f>
        <v>0</v>
      </c>
      <c r="AL988">
        <f>IF(COUNT($E$2:$E988)&lt;20,"",STDEVP($E$969:$E$988))</f>
        <v>0</v>
      </c>
      <c r="AM988">
        <f>IF(AK988="","",AK988+2*AL988)</f>
        <v>0</v>
      </c>
      <c r="AN988">
        <f>IF(AK988="","",AK988-2*AL988)</f>
        <v>0</v>
      </c>
      <c r="AO988">
        <f>IF(OR(AM988="",AN988="",AM988=AN988),"",($E988-AN988)/(AM988-AN988))</f>
        <v>0</v>
      </c>
      <c r="AP988">
        <f>IF(OR(AM988="",AK988="",AK988=0),"",(AM988-AN988)/AK988)</f>
        <v>0</v>
      </c>
      <c r="AQ988">
        <f>IF(COUNT($E$2:$E988)&lt;20,"",MAX($C$969:$C$988))</f>
        <v>0</v>
      </c>
      <c r="AR988">
        <f>IF(COUNT($E$2:$E988)&lt;20,"",MIN($D$969:$D$988))</f>
        <v>0</v>
      </c>
      <c r="AS988">
        <f>IF(OR(AQ988="",AR988=""),"",(AQ988+AR988)/2)</f>
        <v>0</v>
      </c>
      <c r="AT988">
        <f>IF(COUNT($G$969:$G$988)&lt;20,"",STDEV($G$969:$G$988)*SQRT(252))</f>
        <v>0</v>
      </c>
      <c r="AU988">
        <f>IF(COUNT($E$2:$E988)&lt;9,"",(MAX($C$980:$C$988)+MIN($D$980:$D$988))/2)</f>
        <v>0</v>
      </c>
      <c r="AV988">
        <f>IF(COUNT($E$2:$E988)&lt;26,"",(MAX($C$963:$C$988)+MIN($D$963:$D$988))/2)</f>
        <v>0</v>
      </c>
      <c r="AW988">
        <f>IF(OR(AU988="",AV988=""),"",(AU988+AV988)/2)</f>
        <v>0</v>
      </c>
      <c r="AX988">
        <f>IF(COUNT($E$2:$E988)&lt;52,"",(MAX($C$937:$C$988)+MIN($D$937:$D$988))/2)</f>
        <v>0</v>
      </c>
      <c r="AY988">
        <f>IF(COUNT($E$2:$E988)&lt;20,"",MAX($C$889:$C$988))</f>
        <v>0</v>
      </c>
      <c r="AZ988">
        <f>IF(COUNT($E$2:$E988)&lt;20,"",MIN($D$889:$D$988))</f>
        <v>0</v>
      </c>
      <c r="BA988">
        <f>IF(COUNT($E$2:$E988)&lt;20,"",SLOPE($E$889:$E$988,$F$889:$F$988))</f>
        <v>0</v>
      </c>
      <c r="BB988">
        <f>IF(COUNT($E$2:$E988)&lt;20,"",INTERCEPT($E$889:$E$988,$F$889:$F$988))</f>
        <v>0</v>
      </c>
      <c r="BC988">
        <f>IF(OR(BA988="",BB988=""),"",BB988+BA988*F988)</f>
        <v>0</v>
      </c>
      <c r="BD988">
        <f>IF(COUNT($E$2:$E988)&lt;20,"",STEYX($E$889:$E$988,$F$889:$F$988))</f>
        <v>0</v>
      </c>
      <c r="BE988">
        <f>IF($E988="","",IF(AND(COUNT($E$989:$E$992)&gt;=4,$C988=MAX($C$984:$C$992)),$C988,""))</f>
        <v>0</v>
      </c>
      <c r="BF988">
        <f>IF($E988="","",IF(AND(COUNT($E$989:$E$992)&gt;=4,$D988=MIN($D$984:$D$992)),$D988,""))</f>
        <v>0</v>
      </c>
      <c r="BG988">
        <f>IF($A988="","",$A988-WEEKDAY($A988,2)+1)</f>
        <v>0</v>
      </c>
      <c r="BH988">
        <f>IF($A988="","",IF($A987="",1,IF(BG988&lt;&gt;BG987,1,0)))</f>
        <v>0</v>
      </c>
      <c r="BI988">
        <f>IF($A988="","",IF($A989="",1,IF(BG989&lt;&gt;BG988,1,0)))</f>
        <v>0</v>
      </c>
      <c r="BJ988">
        <f>IF($A988="","",IF(BH988=1,$B988,BJ987))</f>
        <v>0</v>
      </c>
      <c r="BK988">
        <f>IF($A988="","",IF(BH988=1,$C988,MAX($C988,BK987)))</f>
        <v>0</v>
      </c>
      <c r="BL988">
        <f>IF($A988="","",IF(BH988=1,$D988,MIN($D988,BL987)))</f>
        <v>0</v>
      </c>
      <c r="BM988">
        <f>IF($A988="","",IF(BI988=1,F988,""))</f>
        <v>0</v>
      </c>
      <c r="BN988">
        <f>IF($A988="","",DATE(YEAR($A988),MONTH($A988),1))</f>
        <v>0</v>
      </c>
      <c r="BO988">
        <f>IF($A988="","",IF($A987="",1,IF(BN988&lt;&gt;BN987,1,0)))</f>
        <v>0</v>
      </c>
      <c r="BP988">
        <f>IF($A988="","",IF($A989="",1,IF(BN989&lt;&gt;BN988,1,0)))</f>
        <v>0</v>
      </c>
      <c r="BQ988">
        <f>IF($A988="","",IF(BO988=1,$B988,BQ987))</f>
        <v>0</v>
      </c>
      <c r="BR988">
        <f>IF($A988="","",IF(BO988=1,$C988,MAX($C988,BR987)))</f>
        <v>0</v>
      </c>
      <c r="BS988">
        <f>IF($A988="","",IF(BO988=1,$D988,MIN($D988,BS987)))</f>
        <v>0</v>
      </c>
      <c r="BT988">
        <f>IF($A988="","",IF(BP988=1,F988,""))</f>
        <v>0</v>
      </c>
    </row>
    <row r="989" spans="1:72">
      <c r="A989" s="27">
        <f>IF(Data!$A989="","",Data!$A989)</f>
        <v>0</v>
      </c>
      <c r="B989">
        <f>IF(Data!$B989="","",Data!$B989)</f>
        <v>0</v>
      </c>
      <c r="C989">
        <f>IF(Data!$C989="","",Data!$C989)</f>
        <v>0</v>
      </c>
      <c r="D989">
        <f>IF(Data!$D989="","",Data!$D989)</f>
        <v>0</v>
      </c>
      <c r="E989">
        <f>IF(Data!$E989="","",Data!$E989)</f>
        <v>0</v>
      </c>
      <c r="F989">
        <f>IF($E989="","",N(F988)+1)</f>
        <v>0</v>
      </c>
      <c r="G989">
        <f>IF(OR($E989="",$E988=""),"",LN($E989/$E988))</f>
        <v>0</v>
      </c>
      <c r="H989">
        <f>IF($E989="","",IF($E988="",$E989,$E989*0.0952380952+H988*0.9047619048))</f>
        <v>0</v>
      </c>
      <c r="I989">
        <f>IF($E989="","",IF($E988="",$E989,$E989*0.0392156863+I988*0.9607843137))</f>
        <v>0</v>
      </c>
      <c r="J989">
        <f>IF($E989="","",IF($E988="",$E989,$E989*0.0198019802+J988*0.9801980198))</f>
        <v>0</v>
      </c>
      <c r="K989">
        <f>IF($E989="","",IF($E988="",$E989,$E989*0.0099502488+K988*0.9900497512))</f>
        <v>0</v>
      </c>
      <c r="L989">
        <f>IF(OR($E989="",$E988=""),"",MAX($E989-$E988,0))</f>
        <v>0</v>
      </c>
      <c r="M989">
        <f>IF(OR($E989="",$E988=""),"",MAX($E988-$E989,0))</f>
        <v>0</v>
      </c>
      <c r="N989">
        <f>IF(COUNT($E$2:$E989)&lt;15,"",IF(AVERAGE($M$976:$M$989)=0,100,100-100/(1+AVERAGE($L$976:$L$989)/AVERAGE($M$976:$M$989))))</f>
        <v>0</v>
      </c>
      <c r="O989">
        <f>IF($E989="","",IF($E988="",$E989,$E989*0.1538461538+O988*0.8461538462))</f>
        <v>0</v>
      </c>
      <c r="P989">
        <f>IF($E989="","",IF($E988="",$E989,$E989*0.0740740741+P988*0.9259259259))</f>
        <v>0</v>
      </c>
      <c r="Q989">
        <f>IF(OR(O989="",P989=""),"",O989-P989)</f>
        <v>0</v>
      </c>
      <c r="R989">
        <f>IF(Q989="","",IF(R988="",Q989,Q989*0.2000000000+R988*0.8000000000))</f>
        <v>0</v>
      </c>
      <c r="S989">
        <f>IF(OR(Q989="",R989=""),"",Q989-R989)</f>
        <v>0</v>
      </c>
      <c r="T989">
        <f>IF(COUNT($E$2:$E989)&lt;14,"",MAX($C$976:$C$989))</f>
        <v>0</v>
      </c>
      <c r="U989">
        <f>IF(COUNT($E$2:$E989)&lt;14,"",MIN($D$976:$D$989))</f>
        <v>0</v>
      </c>
      <c r="V989">
        <f>IF(OR(T989="",U989="",T989=U989),"",100*($E989-U989)/(T989-U989))</f>
        <v>0</v>
      </c>
      <c r="W989">
        <f>IF(COUNT($V$987:$V$989)&lt;3,"",AVERAGE($V$987:$V$989))</f>
        <v>0</v>
      </c>
      <c r="X989">
        <f>IF(COUNT($N$976:$N$989)&lt;14,"",MIN($N$976:$N$989))</f>
        <v>0</v>
      </c>
      <c r="Y989">
        <f>IF(COUNT($N$976:$N$989)&lt;14,"",MAX($N$976:$N$989))</f>
        <v>0</v>
      </c>
      <c r="Z989">
        <f>IF(OR(N989="",X989="",Y989="",Y989=X989),"",100*(N989-X989)/(Y989-X989))</f>
        <v>0</v>
      </c>
      <c r="AA989">
        <f>IF(COUNT($Z$987:$Z$989)&lt;3,"",AVERAGE($Z$987:$Z$989))</f>
        <v>0</v>
      </c>
      <c r="AB989">
        <f>IF(COUNT($AA$987:$AA$989)&lt;3,"",AVERAGE($AA$987:$AA$989))</f>
        <v>0</v>
      </c>
      <c r="AC989">
        <f>IF($E989="","",MAX($C989-$D989,ABS($C989-$E988),ABS($D989-$E988)))</f>
        <v>0</v>
      </c>
      <c r="AD989">
        <f>IF(COUNT($E$2:$E989)&lt;15,"",AVERAGE($AC$976:$AC$989))</f>
        <v>0</v>
      </c>
      <c r="AE989">
        <f>IF(OR($E989="",$E988=""),"",IF(AND(($C989-$C988)&gt;($D988-$D989),($C989-$C988)&gt;0),$C989-$C988,0))</f>
        <v>0</v>
      </c>
      <c r="AF989">
        <f>IF(OR($E989="",$E988=""),"",IF(AND(($D988-$D989)&gt;($C989-$C988),($D988-$D989)&gt;0),$D988-$D989,0))</f>
        <v>0</v>
      </c>
      <c r="AG989">
        <f>IF(COUNT($E$2:$E989)&lt;15,"",IF(SUM($AC$976:$AC$989)=0,0,100*SUM($AE$976:$AE$989)/SUM($AC$976:$AC$989)))</f>
        <v>0</v>
      </c>
      <c r="AH989">
        <f>IF(COUNT($E$2:$E989)&lt;15,"",IF(SUM($AC$976:$AC$989)=0,0,100*SUM($AF$976:$AF$989)/SUM($AC$976:$AC$989)))</f>
        <v>0</v>
      </c>
      <c r="AI989">
        <f>IF(OR(AG989="",AH989=""),"",IF((AG989+AH989)=0,0,100*ABS(AG989-AH989)/(AG989+AH989)))</f>
        <v>0</v>
      </c>
      <c r="AJ989">
        <f>IF(COUNT($AI$976:$AI$989)&lt;14,"",AVERAGE($AI$976:$AI$989))</f>
        <v>0</v>
      </c>
      <c r="AK989">
        <f>IF(COUNT($E$2:$E989)&lt;20,"",AVERAGE($E$970:$E$989))</f>
        <v>0</v>
      </c>
      <c r="AL989">
        <f>IF(COUNT($E$2:$E989)&lt;20,"",STDEVP($E$970:$E$989))</f>
        <v>0</v>
      </c>
      <c r="AM989">
        <f>IF(AK989="","",AK989+2*AL989)</f>
        <v>0</v>
      </c>
      <c r="AN989">
        <f>IF(AK989="","",AK989-2*AL989)</f>
        <v>0</v>
      </c>
      <c r="AO989">
        <f>IF(OR(AM989="",AN989="",AM989=AN989),"",($E989-AN989)/(AM989-AN989))</f>
        <v>0</v>
      </c>
      <c r="AP989">
        <f>IF(OR(AM989="",AK989="",AK989=0),"",(AM989-AN989)/AK989)</f>
        <v>0</v>
      </c>
      <c r="AQ989">
        <f>IF(COUNT($E$2:$E989)&lt;20,"",MAX($C$970:$C$989))</f>
        <v>0</v>
      </c>
      <c r="AR989">
        <f>IF(COUNT($E$2:$E989)&lt;20,"",MIN($D$970:$D$989))</f>
        <v>0</v>
      </c>
      <c r="AS989">
        <f>IF(OR(AQ989="",AR989=""),"",(AQ989+AR989)/2)</f>
        <v>0</v>
      </c>
      <c r="AT989">
        <f>IF(COUNT($G$970:$G$989)&lt;20,"",STDEV($G$970:$G$989)*SQRT(252))</f>
        <v>0</v>
      </c>
      <c r="AU989">
        <f>IF(COUNT($E$2:$E989)&lt;9,"",(MAX($C$981:$C$989)+MIN($D$981:$D$989))/2)</f>
        <v>0</v>
      </c>
      <c r="AV989">
        <f>IF(COUNT($E$2:$E989)&lt;26,"",(MAX($C$964:$C$989)+MIN($D$964:$D$989))/2)</f>
        <v>0</v>
      </c>
      <c r="AW989">
        <f>IF(OR(AU989="",AV989=""),"",(AU989+AV989)/2)</f>
        <v>0</v>
      </c>
      <c r="AX989">
        <f>IF(COUNT($E$2:$E989)&lt;52,"",(MAX($C$938:$C$989)+MIN($D$938:$D$989))/2)</f>
        <v>0</v>
      </c>
      <c r="AY989">
        <f>IF(COUNT($E$2:$E989)&lt;20,"",MAX($C$890:$C$989))</f>
        <v>0</v>
      </c>
      <c r="AZ989">
        <f>IF(COUNT($E$2:$E989)&lt;20,"",MIN($D$890:$D$989))</f>
        <v>0</v>
      </c>
      <c r="BA989">
        <f>IF(COUNT($E$2:$E989)&lt;20,"",SLOPE($E$890:$E$989,$F$890:$F$989))</f>
        <v>0</v>
      </c>
      <c r="BB989">
        <f>IF(COUNT($E$2:$E989)&lt;20,"",INTERCEPT($E$890:$E$989,$F$890:$F$989))</f>
        <v>0</v>
      </c>
      <c r="BC989">
        <f>IF(OR(BA989="",BB989=""),"",BB989+BA989*F989)</f>
        <v>0</v>
      </c>
      <c r="BD989">
        <f>IF(COUNT($E$2:$E989)&lt;20,"",STEYX($E$890:$E$989,$F$890:$F$989))</f>
        <v>0</v>
      </c>
      <c r="BE989">
        <f>IF($E989="","",IF(AND(COUNT($E$990:$E$993)&gt;=4,$C989=MAX($C$985:$C$993)),$C989,""))</f>
        <v>0</v>
      </c>
      <c r="BF989">
        <f>IF($E989="","",IF(AND(COUNT($E$990:$E$993)&gt;=4,$D989=MIN($D$985:$D$993)),$D989,""))</f>
        <v>0</v>
      </c>
      <c r="BG989">
        <f>IF($A989="","",$A989-WEEKDAY($A989,2)+1)</f>
        <v>0</v>
      </c>
      <c r="BH989">
        <f>IF($A989="","",IF($A988="",1,IF(BG989&lt;&gt;BG988,1,0)))</f>
        <v>0</v>
      </c>
      <c r="BI989">
        <f>IF($A989="","",IF($A990="",1,IF(BG990&lt;&gt;BG989,1,0)))</f>
        <v>0</v>
      </c>
      <c r="BJ989">
        <f>IF($A989="","",IF(BH989=1,$B989,BJ988))</f>
        <v>0</v>
      </c>
      <c r="BK989">
        <f>IF($A989="","",IF(BH989=1,$C989,MAX($C989,BK988)))</f>
        <v>0</v>
      </c>
      <c r="BL989">
        <f>IF($A989="","",IF(BH989=1,$D989,MIN($D989,BL988)))</f>
        <v>0</v>
      </c>
      <c r="BM989">
        <f>IF($A989="","",IF(BI989=1,F989,""))</f>
        <v>0</v>
      </c>
      <c r="BN989">
        <f>IF($A989="","",DATE(YEAR($A989),MONTH($A989),1))</f>
        <v>0</v>
      </c>
      <c r="BO989">
        <f>IF($A989="","",IF($A988="",1,IF(BN989&lt;&gt;BN988,1,0)))</f>
        <v>0</v>
      </c>
      <c r="BP989">
        <f>IF($A989="","",IF($A990="",1,IF(BN990&lt;&gt;BN989,1,0)))</f>
        <v>0</v>
      </c>
      <c r="BQ989">
        <f>IF($A989="","",IF(BO989=1,$B989,BQ988))</f>
        <v>0</v>
      </c>
      <c r="BR989">
        <f>IF($A989="","",IF(BO989=1,$C989,MAX($C989,BR988)))</f>
        <v>0</v>
      </c>
      <c r="BS989">
        <f>IF($A989="","",IF(BO989=1,$D989,MIN($D989,BS988)))</f>
        <v>0</v>
      </c>
      <c r="BT989">
        <f>IF($A989="","",IF(BP989=1,F989,""))</f>
        <v>0</v>
      </c>
    </row>
    <row r="990" spans="1:72">
      <c r="A990" s="27">
        <f>IF(Data!$A990="","",Data!$A990)</f>
        <v>0</v>
      </c>
      <c r="B990">
        <f>IF(Data!$B990="","",Data!$B990)</f>
        <v>0</v>
      </c>
      <c r="C990">
        <f>IF(Data!$C990="","",Data!$C990)</f>
        <v>0</v>
      </c>
      <c r="D990">
        <f>IF(Data!$D990="","",Data!$D990)</f>
        <v>0</v>
      </c>
      <c r="E990">
        <f>IF(Data!$E990="","",Data!$E990)</f>
        <v>0</v>
      </c>
      <c r="F990">
        <f>IF($E990="","",N(F989)+1)</f>
        <v>0</v>
      </c>
      <c r="G990">
        <f>IF(OR($E990="",$E989=""),"",LN($E990/$E989))</f>
        <v>0</v>
      </c>
      <c r="H990">
        <f>IF($E990="","",IF($E989="",$E990,$E990*0.0952380952+H989*0.9047619048))</f>
        <v>0</v>
      </c>
      <c r="I990">
        <f>IF($E990="","",IF($E989="",$E990,$E990*0.0392156863+I989*0.9607843137))</f>
        <v>0</v>
      </c>
      <c r="J990">
        <f>IF($E990="","",IF($E989="",$E990,$E990*0.0198019802+J989*0.9801980198))</f>
        <v>0</v>
      </c>
      <c r="K990">
        <f>IF($E990="","",IF($E989="",$E990,$E990*0.0099502488+K989*0.9900497512))</f>
        <v>0</v>
      </c>
      <c r="L990">
        <f>IF(OR($E990="",$E989=""),"",MAX($E990-$E989,0))</f>
        <v>0</v>
      </c>
      <c r="M990">
        <f>IF(OR($E990="",$E989=""),"",MAX($E989-$E990,0))</f>
        <v>0</v>
      </c>
      <c r="N990">
        <f>IF(COUNT($E$2:$E990)&lt;15,"",IF(AVERAGE($M$977:$M$990)=0,100,100-100/(1+AVERAGE($L$977:$L$990)/AVERAGE($M$977:$M$990))))</f>
        <v>0</v>
      </c>
      <c r="O990">
        <f>IF($E990="","",IF($E989="",$E990,$E990*0.1538461538+O989*0.8461538462))</f>
        <v>0</v>
      </c>
      <c r="P990">
        <f>IF($E990="","",IF($E989="",$E990,$E990*0.0740740741+P989*0.9259259259))</f>
        <v>0</v>
      </c>
      <c r="Q990">
        <f>IF(OR(O990="",P990=""),"",O990-P990)</f>
        <v>0</v>
      </c>
      <c r="R990">
        <f>IF(Q990="","",IF(R989="",Q990,Q990*0.2000000000+R989*0.8000000000))</f>
        <v>0</v>
      </c>
      <c r="S990">
        <f>IF(OR(Q990="",R990=""),"",Q990-R990)</f>
        <v>0</v>
      </c>
      <c r="T990">
        <f>IF(COUNT($E$2:$E990)&lt;14,"",MAX($C$977:$C$990))</f>
        <v>0</v>
      </c>
      <c r="U990">
        <f>IF(COUNT($E$2:$E990)&lt;14,"",MIN($D$977:$D$990))</f>
        <v>0</v>
      </c>
      <c r="V990">
        <f>IF(OR(T990="",U990="",T990=U990),"",100*($E990-U990)/(T990-U990))</f>
        <v>0</v>
      </c>
      <c r="W990">
        <f>IF(COUNT($V$988:$V$990)&lt;3,"",AVERAGE($V$988:$V$990))</f>
        <v>0</v>
      </c>
      <c r="X990">
        <f>IF(COUNT($N$977:$N$990)&lt;14,"",MIN($N$977:$N$990))</f>
        <v>0</v>
      </c>
      <c r="Y990">
        <f>IF(COUNT($N$977:$N$990)&lt;14,"",MAX($N$977:$N$990))</f>
        <v>0</v>
      </c>
      <c r="Z990">
        <f>IF(OR(N990="",X990="",Y990="",Y990=X990),"",100*(N990-X990)/(Y990-X990))</f>
        <v>0</v>
      </c>
      <c r="AA990">
        <f>IF(COUNT($Z$988:$Z$990)&lt;3,"",AVERAGE($Z$988:$Z$990))</f>
        <v>0</v>
      </c>
      <c r="AB990">
        <f>IF(COUNT($AA$988:$AA$990)&lt;3,"",AVERAGE($AA$988:$AA$990))</f>
        <v>0</v>
      </c>
      <c r="AC990">
        <f>IF($E990="","",MAX($C990-$D990,ABS($C990-$E989),ABS($D990-$E989)))</f>
        <v>0</v>
      </c>
      <c r="AD990">
        <f>IF(COUNT($E$2:$E990)&lt;15,"",AVERAGE($AC$977:$AC$990))</f>
        <v>0</v>
      </c>
      <c r="AE990">
        <f>IF(OR($E990="",$E989=""),"",IF(AND(($C990-$C989)&gt;($D989-$D990),($C990-$C989)&gt;0),$C990-$C989,0))</f>
        <v>0</v>
      </c>
      <c r="AF990">
        <f>IF(OR($E990="",$E989=""),"",IF(AND(($D989-$D990)&gt;($C990-$C989),($D989-$D990)&gt;0),$D989-$D990,0))</f>
        <v>0</v>
      </c>
      <c r="AG990">
        <f>IF(COUNT($E$2:$E990)&lt;15,"",IF(SUM($AC$977:$AC$990)=0,0,100*SUM($AE$977:$AE$990)/SUM($AC$977:$AC$990)))</f>
        <v>0</v>
      </c>
      <c r="AH990">
        <f>IF(COUNT($E$2:$E990)&lt;15,"",IF(SUM($AC$977:$AC$990)=0,0,100*SUM($AF$977:$AF$990)/SUM($AC$977:$AC$990)))</f>
        <v>0</v>
      </c>
      <c r="AI990">
        <f>IF(OR(AG990="",AH990=""),"",IF((AG990+AH990)=0,0,100*ABS(AG990-AH990)/(AG990+AH990)))</f>
        <v>0</v>
      </c>
      <c r="AJ990">
        <f>IF(COUNT($AI$977:$AI$990)&lt;14,"",AVERAGE($AI$977:$AI$990))</f>
        <v>0</v>
      </c>
      <c r="AK990">
        <f>IF(COUNT($E$2:$E990)&lt;20,"",AVERAGE($E$971:$E$990))</f>
        <v>0</v>
      </c>
      <c r="AL990">
        <f>IF(COUNT($E$2:$E990)&lt;20,"",STDEVP($E$971:$E$990))</f>
        <v>0</v>
      </c>
      <c r="AM990">
        <f>IF(AK990="","",AK990+2*AL990)</f>
        <v>0</v>
      </c>
      <c r="AN990">
        <f>IF(AK990="","",AK990-2*AL990)</f>
        <v>0</v>
      </c>
      <c r="AO990">
        <f>IF(OR(AM990="",AN990="",AM990=AN990),"",($E990-AN990)/(AM990-AN990))</f>
        <v>0</v>
      </c>
      <c r="AP990">
        <f>IF(OR(AM990="",AK990="",AK990=0),"",(AM990-AN990)/AK990)</f>
        <v>0</v>
      </c>
      <c r="AQ990">
        <f>IF(COUNT($E$2:$E990)&lt;20,"",MAX($C$971:$C$990))</f>
        <v>0</v>
      </c>
      <c r="AR990">
        <f>IF(COUNT($E$2:$E990)&lt;20,"",MIN($D$971:$D$990))</f>
        <v>0</v>
      </c>
      <c r="AS990">
        <f>IF(OR(AQ990="",AR990=""),"",(AQ990+AR990)/2)</f>
        <v>0</v>
      </c>
      <c r="AT990">
        <f>IF(COUNT($G$971:$G$990)&lt;20,"",STDEV($G$971:$G$990)*SQRT(252))</f>
        <v>0</v>
      </c>
      <c r="AU990">
        <f>IF(COUNT($E$2:$E990)&lt;9,"",(MAX($C$982:$C$990)+MIN($D$982:$D$990))/2)</f>
        <v>0</v>
      </c>
      <c r="AV990">
        <f>IF(COUNT($E$2:$E990)&lt;26,"",(MAX($C$965:$C$990)+MIN($D$965:$D$990))/2)</f>
        <v>0</v>
      </c>
      <c r="AW990">
        <f>IF(OR(AU990="",AV990=""),"",(AU990+AV990)/2)</f>
        <v>0</v>
      </c>
      <c r="AX990">
        <f>IF(COUNT($E$2:$E990)&lt;52,"",(MAX($C$939:$C$990)+MIN($D$939:$D$990))/2)</f>
        <v>0</v>
      </c>
      <c r="AY990">
        <f>IF(COUNT($E$2:$E990)&lt;20,"",MAX($C$891:$C$990))</f>
        <v>0</v>
      </c>
      <c r="AZ990">
        <f>IF(COUNT($E$2:$E990)&lt;20,"",MIN($D$891:$D$990))</f>
        <v>0</v>
      </c>
      <c r="BA990">
        <f>IF(COUNT($E$2:$E990)&lt;20,"",SLOPE($E$891:$E$990,$F$891:$F$990))</f>
        <v>0</v>
      </c>
      <c r="BB990">
        <f>IF(COUNT($E$2:$E990)&lt;20,"",INTERCEPT($E$891:$E$990,$F$891:$F$990))</f>
        <v>0</v>
      </c>
      <c r="BC990">
        <f>IF(OR(BA990="",BB990=""),"",BB990+BA990*F990)</f>
        <v>0</v>
      </c>
      <c r="BD990">
        <f>IF(COUNT($E$2:$E990)&lt;20,"",STEYX($E$891:$E$990,$F$891:$F$990))</f>
        <v>0</v>
      </c>
      <c r="BE990">
        <f>IF($E990="","",IF(AND(COUNT($E$991:$E$994)&gt;=4,$C990=MAX($C$986:$C$994)),$C990,""))</f>
        <v>0</v>
      </c>
      <c r="BF990">
        <f>IF($E990="","",IF(AND(COUNT($E$991:$E$994)&gt;=4,$D990=MIN($D$986:$D$994)),$D990,""))</f>
        <v>0</v>
      </c>
      <c r="BG990">
        <f>IF($A990="","",$A990-WEEKDAY($A990,2)+1)</f>
        <v>0</v>
      </c>
      <c r="BH990">
        <f>IF($A990="","",IF($A989="",1,IF(BG990&lt;&gt;BG989,1,0)))</f>
        <v>0</v>
      </c>
      <c r="BI990">
        <f>IF($A990="","",IF($A991="",1,IF(BG991&lt;&gt;BG990,1,0)))</f>
        <v>0</v>
      </c>
      <c r="BJ990">
        <f>IF($A990="","",IF(BH990=1,$B990,BJ989))</f>
        <v>0</v>
      </c>
      <c r="BK990">
        <f>IF($A990="","",IF(BH990=1,$C990,MAX($C990,BK989)))</f>
        <v>0</v>
      </c>
      <c r="BL990">
        <f>IF($A990="","",IF(BH990=1,$D990,MIN($D990,BL989)))</f>
        <v>0</v>
      </c>
      <c r="BM990">
        <f>IF($A990="","",IF(BI990=1,F990,""))</f>
        <v>0</v>
      </c>
      <c r="BN990">
        <f>IF($A990="","",DATE(YEAR($A990),MONTH($A990),1))</f>
        <v>0</v>
      </c>
      <c r="BO990">
        <f>IF($A990="","",IF($A989="",1,IF(BN990&lt;&gt;BN989,1,0)))</f>
        <v>0</v>
      </c>
      <c r="BP990">
        <f>IF($A990="","",IF($A991="",1,IF(BN991&lt;&gt;BN990,1,0)))</f>
        <v>0</v>
      </c>
      <c r="BQ990">
        <f>IF($A990="","",IF(BO990=1,$B990,BQ989))</f>
        <v>0</v>
      </c>
      <c r="BR990">
        <f>IF($A990="","",IF(BO990=1,$C990,MAX($C990,BR989)))</f>
        <v>0</v>
      </c>
      <c r="BS990">
        <f>IF($A990="","",IF(BO990=1,$D990,MIN($D990,BS989)))</f>
        <v>0</v>
      </c>
      <c r="BT990">
        <f>IF($A990="","",IF(BP990=1,F990,""))</f>
        <v>0</v>
      </c>
    </row>
    <row r="991" spans="1:72">
      <c r="A991" s="27">
        <f>IF(Data!$A991="","",Data!$A991)</f>
        <v>0</v>
      </c>
      <c r="B991">
        <f>IF(Data!$B991="","",Data!$B991)</f>
        <v>0</v>
      </c>
      <c r="C991">
        <f>IF(Data!$C991="","",Data!$C991)</f>
        <v>0</v>
      </c>
      <c r="D991">
        <f>IF(Data!$D991="","",Data!$D991)</f>
        <v>0</v>
      </c>
      <c r="E991">
        <f>IF(Data!$E991="","",Data!$E991)</f>
        <v>0</v>
      </c>
      <c r="F991">
        <f>IF($E991="","",N(F990)+1)</f>
        <v>0</v>
      </c>
      <c r="G991">
        <f>IF(OR($E991="",$E990=""),"",LN($E991/$E990))</f>
        <v>0</v>
      </c>
      <c r="H991">
        <f>IF($E991="","",IF($E990="",$E991,$E991*0.0952380952+H990*0.9047619048))</f>
        <v>0</v>
      </c>
      <c r="I991">
        <f>IF($E991="","",IF($E990="",$E991,$E991*0.0392156863+I990*0.9607843137))</f>
        <v>0</v>
      </c>
      <c r="J991">
        <f>IF($E991="","",IF($E990="",$E991,$E991*0.0198019802+J990*0.9801980198))</f>
        <v>0</v>
      </c>
      <c r="K991">
        <f>IF($E991="","",IF($E990="",$E991,$E991*0.0099502488+K990*0.9900497512))</f>
        <v>0</v>
      </c>
      <c r="L991">
        <f>IF(OR($E991="",$E990=""),"",MAX($E991-$E990,0))</f>
        <v>0</v>
      </c>
      <c r="M991">
        <f>IF(OR($E991="",$E990=""),"",MAX($E990-$E991,0))</f>
        <v>0</v>
      </c>
      <c r="N991">
        <f>IF(COUNT($E$2:$E991)&lt;15,"",IF(AVERAGE($M$978:$M$991)=0,100,100-100/(1+AVERAGE($L$978:$L$991)/AVERAGE($M$978:$M$991))))</f>
        <v>0</v>
      </c>
      <c r="O991">
        <f>IF($E991="","",IF($E990="",$E991,$E991*0.1538461538+O990*0.8461538462))</f>
        <v>0</v>
      </c>
      <c r="P991">
        <f>IF($E991="","",IF($E990="",$E991,$E991*0.0740740741+P990*0.9259259259))</f>
        <v>0</v>
      </c>
      <c r="Q991">
        <f>IF(OR(O991="",P991=""),"",O991-P991)</f>
        <v>0</v>
      </c>
      <c r="R991">
        <f>IF(Q991="","",IF(R990="",Q991,Q991*0.2000000000+R990*0.8000000000))</f>
        <v>0</v>
      </c>
      <c r="S991">
        <f>IF(OR(Q991="",R991=""),"",Q991-R991)</f>
        <v>0</v>
      </c>
      <c r="T991">
        <f>IF(COUNT($E$2:$E991)&lt;14,"",MAX($C$978:$C$991))</f>
        <v>0</v>
      </c>
      <c r="U991">
        <f>IF(COUNT($E$2:$E991)&lt;14,"",MIN($D$978:$D$991))</f>
        <v>0</v>
      </c>
      <c r="V991">
        <f>IF(OR(T991="",U991="",T991=U991),"",100*($E991-U991)/(T991-U991))</f>
        <v>0</v>
      </c>
      <c r="W991">
        <f>IF(COUNT($V$989:$V$991)&lt;3,"",AVERAGE($V$989:$V$991))</f>
        <v>0</v>
      </c>
      <c r="X991">
        <f>IF(COUNT($N$978:$N$991)&lt;14,"",MIN($N$978:$N$991))</f>
        <v>0</v>
      </c>
      <c r="Y991">
        <f>IF(COUNT($N$978:$N$991)&lt;14,"",MAX($N$978:$N$991))</f>
        <v>0</v>
      </c>
      <c r="Z991">
        <f>IF(OR(N991="",X991="",Y991="",Y991=X991),"",100*(N991-X991)/(Y991-X991))</f>
        <v>0</v>
      </c>
      <c r="AA991">
        <f>IF(COUNT($Z$989:$Z$991)&lt;3,"",AVERAGE($Z$989:$Z$991))</f>
        <v>0</v>
      </c>
      <c r="AB991">
        <f>IF(COUNT($AA$989:$AA$991)&lt;3,"",AVERAGE($AA$989:$AA$991))</f>
        <v>0</v>
      </c>
      <c r="AC991">
        <f>IF($E991="","",MAX($C991-$D991,ABS($C991-$E990),ABS($D991-$E990)))</f>
        <v>0</v>
      </c>
      <c r="AD991">
        <f>IF(COUNT($E$2:$E991)&lt;15,"",AVERAGE($AC$978:$AC$991))</f>
        <v>0</v>
      </c>
      <c r="AE991">
        <f>IF(OR($E991="",$E990=""),"",IF(AND(($C991-$C990)&gt;($D990-$D991),($C991-$C990)&gt;0),$C991-$C990,0))</f>
        <v>0</v>
      </c>
      <c r="AF991">
        <f>IF(OR($E991="",$E990=""),"",IF(AND(($D990-$D991)&gt;($C991-$C990),($D990-$D991)&gt;0),$D990-$D991,0))</f>
        <v>0</v>
      </c>
      <c r="AG991">
        <f>IF(COUNT($E$2:$E991)&lt;15,"",IF(SUM($AC$978:$AC$991)=0,0,100*SUM($AE$978:$AE$991)/SUM($AC$978:$AC$991)))</f>
        <v>0</v>
      </c>
      <c r="AH991">
        <f>IF(COUNT($E$2:$E991)&lt;15,"",IF(SUM($AC$978:$AC$991)=0,0,100*SUM($AF$978:$AF$991)/SUM($AC$978:$AC$991)))</f>
        <v>0</v>
      </c>
      <c r="AI991">
        <f>IF(OR(AG991="",AH991=""),"",IF((AG991+AH991)=0,0,100*ABS(AG991-AH991)/(AG991+AH991)))</f>
        <v>0</v>
      </c>
      <c r="AJ991">
        <f>IF(COUNT($AI$978:$AI$991)&lt;14,"",AVERAGE($AI$978:$AI$991))</f>
        <v>0</v>
      </c>
      <c r="AK991">
        <f>IF(COUNT($E$2:$E991)&lt;20,"",AVERAGE($E$972:$E$991))</f>
        <v>0</v>
      </c>
      <c r="AL991">
        <f>IF(COUNT($E$2:$E991)&lt;20,"",STDEVP($E$972:$E$991))</f>
        <v>0</v>
      </c>
      <c r="AM991">
        <f>IF(AK991="","",AK991+2*AL991)</f>
        <v>0</v>
      </c>
      <c r="AN991">
        <f>IF(AK991="","",AK991-2*AL991)</f>
        <v>0</v>
      </c>
      <c r="AO991">
        <f>IF(OR(AM991="",AN991="",AM991=AN991),"",($E991-AN991)/(AM991-AN991))</f>
        <v>0</v>
      </c>
      <c r="AP991">
        <f>IF(OR(AM991="",AK991="",AK991=0),"",(AM991-AN991)/AK991)</f>
        <v>0</v>
      </c>
      <c r="AQ991">
        <f>IF(COUNT($E$2:$E991)&lt;20,"",MAX($C$972:$C$991))</f>
        <v>0</v>
      </c>
      <c r="AR991">
        <f>IF(COUNT($E$2:$E991)&lt;20,"",MIN($D$972:$D$991))</f>
        <v>0</v>
      </c>
      <c r="AS991">
        <f>IF(OR(AQ991="",AR991=""),"",(AQ991+AR991)/2)</f>
        <v>0</v>
      </c>
      <c r="AT991">
        <f>IF(COUNT($G$972:$G$991)&lt;20,"",STDEV($G$972:$G$991)*SQRT(252))</f>
        <v>0</v>
      </c>
      <c r="AU991">
        <f>IF(COUNT($E$2:$E991)&lt;9,"",(MAX($C$983:$C$991)+MIN($D$983:$D$991))/2)</f>
        <v>0</v>
      </c>
      <c r="AV991">
        <f>IF(COUNT($E$2:$E991)&lt;26,"",(MAX($C$966:$C$991)+MIN($D$966:$D$991))/2)</f>
        <v>0</v>
      </c>
      <c r="AW991">
        <f>IF(OR(AU991="",AV991=""),"",(AU991+AV991)/2)</f>
        <v>0</v>
      </c>
      <c r="AX991">
        <f>IF(COUNT($E$2:$E991)&lt;52,"",(MAX($C$940:$C$991)+MIN($D$940:$D$991))/2)</f>
        <v>0</v>
      </c>
      <c r="AY991">
        <f>IF(COUNT($E$2:$E991)&lt;20,"",MAX($C$892:$C$991))</f>
        <v>0</v>
      </c>
      <c r="AZ991">
        <f>IF(COUNT($E$2:$E991)&lt;20,"",MIN($D$892:$D$991))</f>
        <v>0</v>
      </c>
      <c r="BA991">
        <f>IF(COUNT($E$2:$E991)&lt;20,"",SLOPE($E$892:$E$991,$F$892:$F$991))</f>
        <v>0</v>
      </c>
      <c r="BB991">
        <f>IF(COUNT($E$2:$E991)&lt;20,"",INTERCEPT($E$892:$E$991,$F$892:$F$991))</f>
        <v>0</v>
      </c>
      <c r="BC991">
        <f>IF(OR(BA991="",BB991=""),"",BB991+BA991*F991)</f>
        <v>0</v>
      </c>
      <c r="BD991">
        <f>IF(COUNT($E$2:$E991)&lt;20,"",STEYX($E$892:$E$991,$F$892:$F$991))</f>
        <v>0</v>
      </c>
      <c r="BE991">
        <f>IF($E991="","",IF(AND(COUNT($E$992:$E$995)&gt;=4,$C991=MAX($C$987:$C$995)),$C991,""))</f>
        <v>0</v>
      </c>
      <c r="BF991">
        <f>IF($E991="","",IF(AND(COUNT($E$992:$E$995)&gt;=4,$D991=MIN($D$987:$D$995)),$D991,""))</f>
        <v>0</v>
      </c>
      <c r="BG991">
        <f>IF($A991="","",$A991-WEEKDAY($A991,2)+1)</f>
        <v>0</v>
      </c>
      <c r="BH991">
        <f>IF($A991="","",IF($A990="",1,IF(BG991&lt;&gt;BG990,1,0)))</f>
        <v>0</v>
      </c>
      <c r="BI991">
        <f>IF($A991="","",IF($A992="",1,IF(BG992&lt;&gt;BG991,1,0)))</f>
        <v>0</v>
      </c>
      <c r="BJ991">
        <f>IF($A991="","",IF(BH991=1,$B991,BJ990))</f>
        <v>0</v>
      </c>
      <c r="BK991">
        <f>IF($A991="","",IF(BH991=1,$C991,MAX($C991,BK990)))</f>
        <v>0</v>
      </c>
      <c r="BL991">
        <f>IF($A991="","",IF(BH991=1,$D991,MIN($D991,BL990)))</f>
        <v>0</v>
      </c>
      <c r="BM991">
        <f>IF($A991="","",IF(BI991=1,F991,""))</f>
        <v>0</v>
      </c>
      <c r="BN991">
        <f>IF($A991="","",DATE(YEAR($A991),MONTH($A991),1))</f>
        <v>0</v>
      </c>
      <c r="BO991">
        <f>IF($A991="","",IF($A990="",1,IF(BN991&lt;&gt;BN990,1,0)))</f>
        <v>0</v>
      </c>
      <c r="BP991">
        <f>IF($A991="","",IF($A992="",1,IF(BN992&lt;&gt;BN991,1,0)))</f>
        <v>0</v>
      </c>
      <c r="BQ991">
        <f>IF($A991="","",IF(BO991=1,$B991,BQ990))</f>
        <v>0</v>
      </c>
      <c r="BR991">
        <f>IF($A991="","",IF(BO991=1,$C991,MAX($C991,BR990)))</f>
        <v>0</v>
      </c>
      <c r="BS991">
        <f>IF($A991="","",IF(BO991=1,$D991,MIN($D991,BS990)))</f>
        <v>0</v>
      </c>
      <c r="BT991">
        <f>IF($A991="","",IF(BP991=1,F991,""))</f>
        <v>0</v>
      </c>
    </row>
    <row r="992" spans="1:72">
      <c r="A992" s="27">
        <f>IF(Data!$A992="","",Data!$A992)</f>
        <v>0</v>
      </c>
      <c r="B992">
        <f>IF(Data!$B992="","",Data!$B992)</f>
        <v>0</v>
      </c>
      <c r="C992">
        <f>IF(Data!$C992="","",Data!$C992)</f>
        <v>0</v>
      </c>
      <c r="D992">
        <f>IF(Data!$D992="","",Data!$D992)</f>
        <v>0</v>
      </c>
      <c r="E992">
        <f>IF(Data!$E992="","",Data!$E992)</f>
        <v>0</v>
      </c>
      <c r="F992">
        <f>IF($E992="","",N(F991)+1)</f>
        <v>0</v>
      </c>
      <c r="G992">
        <f>IF(OR($E992="",$E991=""),"",LN($E992/$E991))</f>
        <v>0</v>
      </c>
      <c r="H992">
        <f>IF($E992="","",IF($E991="",$E992,$E992*0.0952380952+H991*0.9047619048))</f>
        <v>0</v>
      </c>
      <c r="I992">
        <f>IF($E992="","",IF($E991="",$E992,$E992*0.0392156863+I991*0.9607843137))</f>
        <v>0</v>
      </c>
      <c r="J992">
        <f>IF($E992="","",IF($E991="",$E992,$E992*0.0198019802+J991*0.9801980198))</f>
        <v>0</v>
      </c>
      <c r="K992">
        <f>IF($E992="","",IF($E991="",$E992,$E992*0.0099502488+K991*0.9900497512))</f>
        <v>0</v>
      </c>
      <c r="L992">
        <f>IF(OR($E992="",$E991=""),"",MAX($E992-$E991,0))</f>
        <v>0</v>
      </c>
      <c r="M992">
        <f>IF(OR($E992="",$E991=""),"",MAX($E991-$E992,0))</f>
        <v>0</v>
      </c>
      <c r="N992">
        <f>IF(COUNT($E$2:$E992)&lt;15,"",IF(AVERAGE($M$979:$M$992)=0,100,100-100/(1+AVERAGE($L$979:$L$992)/AVERAGE($M$979:$M$992))))</f>
        <v>0</v>
      </c>
      <c r="O992">
        <f>IF($E992="","",IF($E991="",$E992,$E992*0.1538461538+O991*0.8461538462))</f>
        <v>0</v>
      </c>
      <c r="P992">
        <f>IF($E992="","",IF($E991="",$E992,$E992*0.0740740741+P991*0.9259259259))</f>
        <v>0</v>
      </c>
      <c r="Q992">
        <f>IF(OR(O992="",P992=""),"",O992-P992)</f>
        <v>0</v>
      </c>
      <c r="R992">
        <f>IF(Q992="","",IF(R991="",Q992,Q992*0.2000000000+R991*0.8000000000))</f>
        <v>0</v>
      </c>
      <c r="S992">
        <f>IF(OR(Q992="",R992=""),"",Q992-R992)</f>
        <v>0</v>
      </c>
      <c r="T992">
        <f>IF(COUNT($E$2:$E992)&lt;14,"",MAX($C$979:$C$992))</f>
        <v>0</v>
      </c>
      <c r="U992">
        <f>IF(COUNT($E$2:$E992)&lt;14,"",MIN($D$979:$D$992))</f>
        <v>0</v>
      </c>
      <c r="V992">
        <f>IF(OR(T992="",U992="",T992=U992),"",100*($E992-U992)/(T992-U992))</f>
        <v>0</v>
      </c>
      <c r="W992">
        <f>IF(COUNT($V$990:$V$992)&lt;3,"",AVERAGE($V$990:$V$992))</f>
        <v>0</v>
      </c>
      <c r="X992">
        <f>IF(COUNT($N$979:$N$992)&lt;14,"",MIN($N$979:$N$992))</f>
        <v>0</v>
      </c>
      <c r="Y992">
        <f>IF(COUNT($N$979:$N$992)&lt;14,"",MAX($N$979:$N$992))</f>
        <v>0</v>
      </c>
      <c r="Z992">
        <f>IF(OR(N992="",X992="",Y992="",Y992=X992),"",100*(N992-X992)/(Y992-X992))</f>
        <v>0</v>
      </c>
      <c r="AA992">
        <f>IF(COUNT($Z$990:$Z$992)&lt;3,"",AVERAGE($Z$990:$Z$992))</f>
        <v>0</v>
      </c>
      <c r="AB992">
        <f>IF(COUNT($AA$990:$AA$992)&lt;3,"",AVERAGE($AA$990:$AA$992))</f>
        <v>0</v>
      </c>
      <c r="AC992">
        <f>IF($E992="","",MAX($C992-$D992,ABS($C992-$E991),ABS($D992-$E991)))</f>
        <v>0</v>
      </c>
      <c r="AD992">
        <f>IF(COUNT($E$2:$E992)&lt;15,"",AVERAGE($AC$979:$AC$992))</f>
        <v>0</v>
      </c>
      <c r="AE992">
        <f>IF(OR($E992="",$E991=""),"",IF(AND(($C992-$C991)&gt;($D991-$D992),($C992-$C991)&gt;0),$C992-$C991,0))</f>
        <v>0</v>
      </c>
      <c r="AF992">
        <f>IF(OR($E992="",$E991=""),"",IF(AND(($D991-$D992)&gt;($C992-$C991),($D991-$D992)&gt;0),$D991-$D992,0))</f>
        <v>0</v>
      </c>
      <c r="AG992">
        <f>IF(COUNT($E$2:$E992)&lt;15,"",IF(SUM($AC$979:$AC$992)=0,0,100*SUM($AE$979:$AE$992)/SUM($AC$979:$AC$992)))</f>
        <v>0</v>
      </c>
      <c r="AH992">
        <f>IF(COUNT($E$2:$E992)&lt;15,"",IF(SUM($AC$979:$AC$992)=0,0,100*SUM($AF$979:$AF$992)/SUM($AC$979:$AC$992)))</f>
        <v>0</v>
      </c>
      <c r="AI992">
        <f>IF(OR(AG992="",AH992=""),"",IF((AG992+AH992)=0,0,100*ABS(AG992-AH992)/(AG992+AH992)))</f>
        <v>0</v>
      </c>
      <c r="AJ992">
        <f>IF(COUNT($AI$979:$AI$992)&lt;14,"",AVERAGE($AI$979:$AI$992))</f>
        <v>0</v>
      </c>
      <c r="AK992">
        <f>IF(COUNT($E$2:$E992)&lt;20,"",AVERAGE($E$973:$E$992))</f>
        <v>0</v>
      </c>
      <c r="AL992">
        <f>IF(COUNT($E$2:$E992)&lt;20,"",STDEVP($E$973:$E$992))</f>
        <v>0</v>
      </c>
      <c r="AM992">
        <f>IF(AK992="","",AK992+2*AL992)</f>
        <v>0</v>
      </c>
      <c r="AN992">
        <f>IF(AK992="","",AK992-2*AL992)</f>
        <v>0</v>
      </c>
      <c r="AO992">
        <f>IF(OR(AM992="",AN992="",AM992=AN992),"",($E992-AN992)/(AM992-AN992))</f>
        <v>0</v>
      </c>
      <c r="AP992">
        <f>IF(OR(AM992="",AK992="",AK992=0),"",(AM992-AN992)/AK992)</f>
        <v>0</v>
      </c>
      <c r="AQ992">
        <f>IF(COUNT($E$2:$E992)&lt;20,"",MAX($C$973:$C$992))</f>
        <v>0</v>
      </c>
      <c r="AR992">
        <f>IF(COUNT($E$2:$E992)&lt;20,"",MIN($D$973:$D$992))</f>
        <v>0</v>
      </c>
      <c r="AS992">
        <f>IF(OR(AQ992="",AR992=""),"",(AQ992+AR992)/2)</f>
        <v>0</v>
      </c>
      <c r="AT992">
        <f>IF(COUNT($G$973:$G$992)&lt;20,"",STDEV($G$973:$G$992)*SQRT(252))</f>
        <v>0</v>
      </c>
      <c r="AU992">
        <f>IF(COUNT($E$2:$E992)&lt;9,"",(MAX($C$984:$C$992)+MIN($D$984:$D$992))/2)</f>
        <v>0</v>
      </c>
      <c r="AV992">
        <f>IF(COUNT($E$2:$E992)&lt;26,"",(MAX($C$967:$C$992)+MIN($D$967:$D$992))/2)</f>
        <v>0</v>
      </c>
      <c r="AW992">
        <f>IF(OR(AU992="",AV992=""),"",(AU992+AV992)/2)</f>
        <v>0</v>
      </c>
      <c r="AX992">
        <f>IF(COUNT($E$2:$E992)&lt;52,"",(MAX($C$941:$C$992)+MIN($D$941:$D$992))/2)</f>
        <v>0</v>
      </c>
      <c r="AY992">
        <f>IF(COUNT($E$2:$E992)&lt;20,"",MAX($C$893:$C$992))</f>
        <v>0</v>
      </c>
      <c r="AZ992">
        <f>IF(COUNT($E$2:$E992)&lt;20,"",MIN($D$893:$D$992))</f>
        <v>0</v>
      </c>
      <c r="BA992">
        <f>IF(COUNT($E$2:$E992)&lt;20,"",SLOPE($E$893:$E$992,$F$893:$F$992))</f>
        <v>0</v>
      </c>
      <c r="BB992">
        <f>IF(COUNT($E$2:$E992)&lt;20,"",INTERCEPT($E$893:$E$992,$F$893:$F$992))</f>
        <v>0</v>
      </c>
      <c r="BC992">
        <f>IF(OR(BA992="",BB992=""),"",BB992+BA992*F992)</f>
        <v>0</v>
      </c>
      <c r="BD992">
        <f>IF(COUNT($E$2:$E992)&lt;20,"",STEYX($E$893:$E$992,$F$893:$F$992))</f>
        <v>0</v>
      </c>
      <c r="BE992">
        <f>IF($E992="","",IF(AND(COUNT($E$993:$E$996)&gt;=4,$C992=MAX($C$988:$C$996)),$C992,""))</f>
        <v>0</v>
      </c>
      <c r="BF992">
        <f>IF($E992="","",IF(AND(COUNT($E$993:$E$996)&gt;=4,$D992=MIN($D$988:$D$996)),$D992,""))</f>
        <v>0</v>
      </c>
      <c r="BG992">
        <f>IF($A992="","",$A992-WEEKDAY($A992,2)+1)</f>
        <v>0</v>
      </c>
      <c r="BH992">
        <f>IF($A992="","",IF($A991="",1,IF(BG992&lt;&gt;BG991,1,0)))</f>
        <v>0</v>
      </c>
      <c r="BI992">
        <f>IF($A992="","",IF($A993="",1,IF(BG993&lt;&gt;BG992,1,0)))</f>
        <v>0</v>
      </c>
      <c r="BJ992">
        <f>IF($A992="","",IF(BH992=1,$B992,BJ991))</f>
        <v>0</v>
      </c>
      <c r="BK992">
        <f>IF($A992="","",IF(BH992=1,$C992,MAX($C992,BK991)))</f>
        <v>0</v>
      </c>
      <c r="BL992">
        <f>IF($A992="","",IF(BH992=1,$D992,MIN($D992,BL991)))</f>
        <v>0</v>
      </c>
      <c r="BM992">
        <f>IF($A992="","",IF(BI992=1,F992,""))</f>
        <v>0</v>
      </c>
      <c r="BN992">
        <f>IF($A992="","",DATE(YEAR($A992),MONTH($A992),1))</f>
        <v>0</v>
      </c>
      <c r="BO992">
        <f>IF($A992="","",IF($A991="",1,IF(BN992&lt;&gt;BN991,1,0)))</f>
        <v>0</v>
      </c>
      <c r="BP992">
        <f>IF($A992="","",IF($A993="",1,IF(BN993&lt;&gt;BN992,1,0)))</f>
        <v>0</v>
      </c>
      <c r="BQ992">
        <f>IF($A992="","",IF(BO992=1,$B992,BQ991))</f>
        <v>0</v>
      </c>
      <c r="BR992">
        <f>IF($A992="","",IF(BO992=1,$C992,MAX($C992,BR991)))</f>
        <v>0</v>
      </c>
      <c r="BS992">
        <f>IF($A992="","",IF(BO992=1,$D992,MIN($D992,BS991)))</f>
        <v>0</v>
      </c>
      <c r="BT992">
        <f>IF($A992="","",IF(BP992=1,F992,""))</f>
        <v>0</v>
      </c>
    </row>
    <row r="993" spans="1:72">
      <c r="A993" s="27">
        <f>IF(Data!$A993="","",Data!$A993)</f>
        <v>0</v>
      </c>
      <c r="B993">
        <f>IF(Data!$B993="","",Data!$B993)</f>
        <v>0</v>
      </c>
      <c r="C993">
        <f>IF(Data!$C993="","",Data!$C993)</f>
        <v>0</v>
      </c>
      <c r="D993">
        <f>IF(Data!$D993="","",Data!$D993)</f>
        <v>0</v>
      </c>
      <c r="E993">
        <f>IF(Data!$E993="","",Data!$E993)</f>
        <v>0</v>
      </c>
      <c r="F993">
        <f>IF($E993="","",N(F992)+1)</f>
        <v>0</v>
      </c>
      <c r="G993">
        <f>IF(OR($E993="",$E992=""),"",LN($E993/$E992))</f>
        <v>0</v>
      </c>
      <c r="H993">
        <f>IF($E993="","",IF($E992="",$E993,$E993*0.0952380952+H992*0.9047619048))</f>
        <v>0</v>
      </c>
      <c r="I993">
        <f>IF($E993="","",IF($E992="",$E993,$E993*0.0392156863+I992*0.9607843137))</f>
        <v>0</v>
      </c>
      <c r="J993">
        <f>IF($E993="","",IF($E992="",$E993,$E993*0.0198019802+J992*0.9801980198))</f>
        <v>0</v>
      </c>
      <c r="K993">
        <f>IF($E993="","",IF($E992="",$E993,$E993*0.0099502488+K992*0.9900497512))</f>
        <v>0</v>
      </c>
      <c r="L993">
        <f>IF(OR($E993="",$E992=""),"",MAX($E993-$E992,0))</f>
        <v>0</v>
      </c>
      <c r="M993">
        <f>IF(OR($E993="",$E992=""),"",MAX($E992-$E993,0))</f>
        <v>0</v>
      </c>
      <c r="N993">
        <f>IF(COUNT($E$2:$E993)&lt;15,"",IF(AVERAGE($M$980:$M$993)=0,100,100-100/(1+AVERAGE($L$980:$L$993)/AVERAGE($M$980:$M$993))))</f>
        <v>0</v>
      </c>
      <c r="O993">
        <f>IF($E993="","",IF($E992="",$E993,$E993*0.1538461538+O992*0.8461538462))</f>
        <v>0</v>
      </c>
      <c r="P993">
        <f>IF($E993="","",IF($E992="",$E993,$E993*0.0740740741+P992*0.9259259259))</f>
        <v>0</v>
      </c>
      <c r="Q993">
        <f>IF(OR(O993="",P993=""),"",O993-P993)</f>
        <v>0</v>
      </c>
      <c r="R993">
        <f>IF(Q993="","",IF(R992="",Q993,Q993*0.2000000000+R992*0.8000000000))</f>
        <v>0</v>
      </c>
      <c r="S993">
        <f>IF(OR(Q993="",R993=""),"",Q993-R993)</f>
        <v>0</v>
      </c>
      <c r="T993">
        <f>IF(COUNT($E$2:$E993)&lt;14,"",MAX($C$980:$C$993))</f>
        <v>0</v>
      </c>
      <c r="U993">
        <f>IF(COUNT($E$2:$E993)&lt;14,"",MIN($D$980:$D$993))</f>
        <v>0</v>
      </c>
      <c r="V993">
        <f>IF(OR(T993="",U993="",T993=U993),"",100*($E993-U993)/(T993-U993))</f>
        <v>0</v>
      </c>
      <c r="W993">
        <f>IF(COUNT($V$991:$V$993)&lt;3,"",AVERAGE($V$991:$V$993))</f>
        <v>0</v>
      </c>
      <c r="X993">
        <f>IF(COUNT($N$980:$N$993)&lt;14,"",MIN($N$980:$N$993))</f>
        <v>0</v>
      </c>
      <c r="Y993">
        <f>IF(COUNT($N$980:$N$993)&lt;14,"",MAX($N$980:$N$993))</f>
        <v>0</v>
      </c>
      <c r="Z993">
        <f>IF(OR(N993="",X993="",Y993="",Y993=X993),"",100*(N993-X993)/(Y993-X993))</f>
        <v>0</v>
      </c>
      <c r="AA993">
        <f>IF(COUNT($Z$991:$Z$993)&lt;3,"",AVERAGE($Z$991:$Z$993))</f>
        <v>0</v>
      </c>
      <c r="AB993">
        <f>IF(COUNT($AA$991:$AA$993)&lt;3,"",AVERAGE($AA$991:$AA$993))</f>
        <v>0</v>
      </c>
      <c r="AC993">
        <f>IF($E993="","",MAX($C993-$D993,ABS($C993-$E992),ABS($D993-$E992)))</f>
        <v>0</v>
      </c>
      <c r="AD993">
        <f>IF(COUNT($E$2:$E993)&lt;15,"",AVERAGE($AC$980:$AC$993))</f>
        <v>0</v>
      </c>
      <c r="AE993">
        <f>IF(OR($E993="",$E992=""),"",IF(AND(($C993-$C992)&gt;($D992-$D993),($C993-$C992)&gt;0),$C993-$C992,0))</f>
        <v>0</v>
      </c>
      <c r="AF993">
        <f>IF(OR($E993="",$E992=""),"",IF(AND(($D992-$D993)&gt;($C993-$C992),($D992-$D993)&gt;0),$D992-$D993,0))</f>
        <v>0</v>
      </c>
      <c r="AG993">
        <f>IF(COUNT($E$2:$E993)&lt;15,"",IF(SUM($AC$980:$AC$993)=0,0,100*SUM($AE$980:$AE$993)/SUM($AC$980:$AC$993)))</f>
        <v>0</v>
      </c>
      <c r="AH993">
        <f>IF(COUNT($E$2:$E993)&lt;15,"",IF(SUM($AC$980:$AC$993)=0,0,100*SUM($AF$980:$AF$993)/SUM($AC$980:$AC$993)))</f>
        <v>0</v>
      </c>
      <c r="AI993">
        <f>IF(OR(AG993="",AH993=""),"",IF((AG993+AH993)=0,0,100*ABS(AG993-AH993)/(AG993+AH993)))</f>
        <v>0</v>
      </c>
      <c r="AJ993">
        <f>IF(COUNT($AI$980:$AI$993)&lt;14,"",AVERAGE($AI$980:$AI$993))</f>
        <v>0</v>
      </c>
      <c r="AK993">
        <f>IF(COUNT($E$2:$E993)&lt;20,"",AVERAGE($E$974:$E$993))</f>
        <v>0</v>
      </c>
      <c r="AL993">
        <f>IF(COUNT($E$2:$E993)&lt;20,"",STDEVP($E$974:$E$993))</f>
        <v>0</v>
      </c>
      <c r="AM993">
        <f>IF(AK993="","",AK993+2*AL993)</f>
        <v>0</v>
      </c>
      <c r="AN993">
        <f>IF(AK993="","",AK993-2*AL993)</f>
        <v>0</v>
      </c>
      <c r="AO993">
        <f>IF(OR(AM993="",AN993="",AM993=AN993),"",($E993-AN993)/(AM993-AN993))</f>
        <v>0</v>
      </c>
      <c r="AP993">
        <f>IF(OR(AM993="",AK993="",AK993=0),"",(AM993-AN993)/AK993)</f>
        <v>0</v>
      </c>
      <c r="AQ993">
        <f>IF(COUNT($E$2:$E993)&lt;20,"",MAX($C$974:$C$993))</f>
        <v>0</v>
      </c>
      <c r="AR993">
        <f>IF(COUNT($E$2:$E993)&lt;20,"",MIN($D$974:$D$993))</f>
        <v>0</v>
      </c>
      <c r="AS993">
        <f>IF(OR(AQ993="",AR993=""),"",(AQ993+AR993)/2)</f>
        <v>0</v>
      </c>
      <c r="AT993">
        <f>IF(COUNT($G$974:$G$993)&lt;20,"",STDEV($G$974:$G$993)*SQRT(252))</f>
        <v>0</v>
      </c>
      <c r="AU993">
        <f>IF(COUNT($E$2:$E993)&lt;9,"",(MAX($C$985:$C$993)+MIN($D$985:$D$993))/2)</f>
        <v>0</v>
      </c>
      <c r="AV993">
        <f>IF(COUNT($E$2:$E993)&lt;26,"",(MAX($C$968:$C$993)+MIN($D$968:$D$993))/2)</f>
        <v>0</v>
      </c>
      <c r="AW993">
        <f>IF(OR(AU993="",AV993=""),"",(AU993+AV993)/2)</f>
        <v>0</v>
      </c>
      <c r="AX993">
        <f>IF(COUNT($E$2:$E993)&lt;52,"",(MAX($C$942:$C$993)+MIN($D$942:$D$993))/2)</f>
        <v>0</v>
      </c>
      <c r="AY993">
        <f>IF(COUNT($E$2:$E993)&lt;20,"",MAX($C$894:$C$993))</f>
        <v>0</v>
      </c>
      <c r="AZ993">
        <f>IF(COUNT($E$2:$E993)&lt;20,"",MIN($D$894:$D$993))</f>
        <v>0</v>
      </c>
      <c r="BA993">
        <f>IF(COUNT($E$2:$E993)&lt;20,"",SLOPE($E$894:$E$993,$F$894:$F$993))</f>
        <v>0</v>
      </c>
      <c r="BB993">
        <f>IF(COUNT($E$2:$E993)&lt;20,"",INTERCEPT($E$894:$E$993,$F$894:$F$993))</f>
        <v>0</v>
      </c>
      <c r="BC993">
        <f>IF(OR(BA993="",BB993=""),"",BB993+BA993*F993)</f>
        <v>0</v>
      </c>
      <c r="BD993">
        <f>IF(COUNT($E$2:$E993)&lt;20,"",STEYX($E$894:$E$993,$F$894:$F$993))</f>
        <v>0</v>
      </c>
      <c r="BE993">
        <f>IF($E993="","",IF(AND(COUNT($E$994:$E$997)&gt;=4,$C993=MAX($C$989:$C$997)),$C993,""))</f>
        <v>0</v>
      </c>
      <c r="BF993">
        <f>IF($E993="","",IF(AND(COUNT($E$994:$E$997)&gt;=4,$D993=MIN($D$989:$D$997)),$D993,""))</f>
        <v>0</v>
      </c>
      <c r="BG993">
        <f>IF($A993="","",$A993-WEEKDAY($A993,2)+1)</f>
        <v>0</v>
      </c>
      <c r="BH993">
        <f>IF($A993="","",IF($A992="",1,IF(BG993&lt;&gt;BG992,1,0)))</f>
        <v>0</v>
      </c>
      <c r="BI993">
        <f>IF($A993="","",IF($A994="",1,IF(BG994&lt;&gt;BG993,1,0)))</f>
        <v>0</v>
      </c>
      <c r="BJ993">
        <f>IF($A993="","",IF(BH993=1,$B993,BJ992))</f>
        <v>0</v>
      </c>
      <c r="BK993">
        <f>IF($A993="","",IF(BH993=1,$C993,MAX($C993,BK992)))</f>
        <v>0</v>
      </c>
      <c r="BL993">
        <f>IF($A993="","",IF(BH993=1,$D993,MIN($D993,BL992)))</f>
        <v>0</v>
      </c>
      <c r="BM993">
        <f>IF($A993="","",IF(BI993=1,F993,""))</f>
        <v>0</v>
      </c>
      <c r="BN993">
        <f>IF($A993="","",DATE(YEAR($A993),MONTH($A993),1))</f>
        <v>0</v>
      </c>
      <c r="BO993">
        <f>IF($A993="","",IF($A992="",1,IF(BN993&lt;&gt;BN992,1,0)))</f>
        <v>0</v>
      </c>
      <c r="BP993">
        <f>IF($A993="","",IF($A994="",1,IF(BN994&lt;&gt;BN993,1,0)))</f>
        <v>0</v>
      </c>
      <c r="BQ993">
        <f>IF($A993="","",IF(BO993=1,$B993,BQ992))</f>
        <v>0</v>
      </c>
      <c r="BR993">
        <f>IF($A993="","",IF(BO993=1,$C993,MAX($C993,BR992)))</f>
        <v>0</v>
      </c>
      <c r="BS993">
        <f>IF($A993="","",IF(BO993=1,$D993,MIN($D993,BS992)))</f>
        <v>0</v>
      </c>
      <c r="BT993">
        <f>IF($A993="","",IF(BP993=1,F993,""))</f>
        <v>0</v>
      </c>
    </row>
    <row r="994" spans="1:72">
      <c r="A994" s="27">
        <f>IF(Data!$A994="","",Data!$A994)</f>
        <v>0</v>
      </c>
      <c r="B994">
        <f>IF(Data!$B994="","",Data!$B994)</f>
        <v>0</v>
      </c>
      <c r="C994">
        <f>IF(Data!$C994="","",Data!$C994)</f>
        <v>0</v>
      </c>
      <c r="D994">
        <f>IF(Data!$D994="","",Data!$D994)</f>
        <v>0</v>
      </c>
      <c r="E994">
        <f>IF(Data!$E994="","",Data!$E994)</f>
        <v>0</v>
      </c>
      <c r="F994">
        <f>IF($E994="","",N(F993)+1)</f>
        <v>0</v>
      </c>
      <c r="G994">
        <f>IF(OR($E994="",$E993=""),"",LN($E994/$E993))</f>
        <v>0</v>
      </c>
      <c r="H994">
        <f>IF($E994="","",IF($E993="",$E994,$E994*0.0952380952+H993*0.9047619048))</f>
        <v>0</v>
      </c>
      <c r="I994">
        <f>IF($E994="","",IF($E993="",$E994,$E994*0.0392156863+I993*0.9607843137))</f>
        <v>0</v>
      </c>
      <c r="J994">
        <f>IF($E994="","",IF($E993="",$E994,$E994*0.0198019802+J993*0.9801980198))</f>
        <v>0</v>
      </c>
      <c r="K994">
        <f>IF($E994="","",IF($E993="",$E994,$E994*0.0099502488+K993*0.9900497512))</f>
        <v>0</v>
      </c>
      <c r="L994">
        <f>IF(OR($E994="",$E993=""),"",MAX($E994-$E993,0))</f>
        <v>0</v>
      </c>
      <c r="M994">
        <f>IF(OR($E994="",$E993=""),"",MAX($E993-$E994,0))</f>
        <v>0</v>
      </c>
      <c r="N994">
        <f>IF(COUNT($E$2:$E994)&lt;15,"",IF(AVERAGE($M$981:$M$994)=0,100,100-100/(1+AVERAGE($L$981:$L$994)/AVERAGE($M$981:$M$994))))</f>
        <v>0</v>
      </c>
      <c r="O994">
        <f>IF($E994="","",IF($E993="",$E994,$E994*0.1538461538+O993*0.8461538462))</f>
        <v>0</v>
      </c>
      <c r="P994">
        <f>IF($E994="","",IF($E993="",$E994,$E994*0.0740740741+P993*0.9259259259))</f>
        <v>0</v>
      </c>
      <c r="Q994">
        <f>IF(OR(O994="",P994=""),"",O994-P994)</f>
        <v>0</v>
      </c>
      <c r="R994">
        <f>IF(Q994="","",IF(R993="",Q994,Q994*0.2000000000+R993*0.8000000000))</f>
        <v>0</v>
      </c>
      <c r="S994">
        <f>IF(OR(Q994="",R994=""),"",Q994-R994)</f>
        <v>0</v>
      </c>
      <c r="T994">
        <f>IF(COUNT($E$2:$E994)&lt;14,"",MAX($C$981:$C$994))</f>
        <v>0</v>
      </c>
      <c r="U994">
        <f>IF(COUNT($E$2:$E994)&lt;14,"",MIN($D$981:$D$994))</f>
        <v>0</v>
      </c>
      <c r="V994">
        <f>IF(OR(T994="",U994="",T994=U994),"",100*($E994-U994)/(T994-U994))</f>
        <v>0</v>
      </c>
      <c r="W994">
        <f>IF(COUNT($V$992:$V$994)&lt;3,"",AVERAGE($V$992:$V$994))</f>
        <v>0</v>
      </c>
      <c r="X994">
        <f>IF(COUNT($N$981:$N$994)&lt;14,"",MIN($N$981:$N$994))</f>
        <v>0</v>
      </c>
      <c r="Y994">
        <f>IF(COUNT($N$981:$N$994)&lt;14,"",MAX($N$981:$N$994))</f>
        <v>0</v>
      </c>
      <c r="Z994">
        <f>IF(OR(N994="",X994="",Y994="",Y994=X994),"",100*(N994-X994)/(Y994-X994))</f>
        <v>0</v>
      </c>
      <c r="AA994">
        <f>IF(COUNT($Z$992:$Z$994)&lt;3,"",AVERAGE($Z$992:$Z$994))</f>
        <v>0</v>
      </c>
      <c r="AB994">
        <f>IF(COUNT($AA$992:$AA$994)&lt;3,"",AVERAGE($AA$992:$AA$994))</f>
        <v>0</v>
      </c>
      <c r="AC994">
        <f>IF($E994="","",MAX($C994-$D994,ABS($C994-$E993),ABS($D994-$E993)))</f>
        <v>0</v>
      </c>
      <c r="AD994">
        <f>IF(COUNT($E$2:$E994)&lt;15,"",AVERAGE($AC$981:$AC$994))</f>
        <v>0</v>
      </c>
      <c r="AE994">
        <f>IF(OR($E994="",$E993=""),"",IF(AND(($C994-$C993)&gt;($D993-$D994),($C994-$C993)&gt;0),$C994-$C993,0))</f>
        <v>0</v>
      </c>
      <c r="AF994">
        <f>IF(OR($E994="",$E993=""),"",IF(AND(($D993-$D994)&gt;($C994-$C993),($D993-$D994)&gt;0),$D993-$D994,0))</f>
        <v>0</v>
      </c>
      <c r="AG994">
        <f>IF(COUNT($E$2:$E994)&lt;15,"",IF(SUM($AC$981:$AC$994)=0,0,100*SUM($AE$981:$AE$994)/SUM($AC$981:$AC$994)))</f>
        <v>0</v>
      </c>
      <c r="AH994">
        <f>IF(COUNT($E$2:$E994)&lt;15,"",IF(SUM($AC$981:$AC$994)=0,0,100*SUM($AF$981:$AF$994)/SUM($AC$981:$AC$994)))</f>
        <v>0</v>
      </c>
      <c r="AI994">
        <f>IF(OR(AG994="",AH994=""),"",IF((AG994+AH994)=0,0,100*ABS(AG994-AH994)/(AG994+AH994)))</f>
        <v>0</v>
      </c>
      <c r="AJ994">
        <f>IF(COUNT($AI$981:$AI$994)&lt;14,"",AVERAGE($AI$981:$AI$994))</f>
        <v>0</v>
      </c>
      <c r="AK994">
        <f>IF(COUNT($E$2:$E994)&lt;20,"",AVERAGE($E$975:$E$994))</f>
        <v>0</v>
      </c>
      <c r="AL994">
        <f>IF(COUNT($E$2:$E994)&lt;20,"",STDEVP($E$975:$E$994))</f>
        <v>0</v>
      </c>
      <c r="AM994">
        <f>IF(AK994="","",AK994+2*AL994)</f>
        <v>0</v>
      </c>
      <c r="AN994">
        <f>IF(AK994="","",AK994-2*AL994)</f>
        <v>0</v>
      </c>
      <c r="AO994">
        <f>IF(OR(AM994="",AN994="",AM994=AN994),"",($E994-AN994)/(AM994-AN994))</f>
        <v>0</v>
      </c>
      <c r="AP994">
        <f>IF(OR(AM994="",AK994="",AK994=0),"",(AM994-AN994)/AK994)</f>
        <v>0</v>
      </c>
      <c r="AQ994">
        <f>IF(COUNT($E$2:$E994)&lt;20,"",MAX($C$975:$C$994))</f>
        <v>0</v>
      </c>
      <c r="AR994">
        <f>IF(COUNT($E$2:$E994)&lt;20,"",MIN($D$975:$D$994))</f>
        <v>0</v>
      </c>
      <c r="AS994">
        <f>IF(OR(AQ994="",AR994=""),"",(AQ994+AR994)/2)</f>
        <v>0</v>
      </c>
      <c r="AT994">
        <f>IF(COUNT($G$975:$G$994)&lt;20,"",STDEV($G$975:$G$994)*SQRT(252))</f>
        <v>0</v>
      </c>
      <c r="AU994">
        <f>IF(COUNT($E$2:$E994)&lt;9,"",(MAX($C$986:$C$994)+MIN($D$986:$D$994))/2)</f>
        <v>0</v>
      </c>
      <c r="AV994">
        <f>IF(COUNT($E$2:$E994)&lt;26,"",(MAX($C$969:$C$994)+MIN($D$969:$D$994))/2)</f>
        <v>0</v>
      </c>
      <c r="AW994">
        <f>IF(OR(AU994="",AV994=""),"",(AU994+AV994)/2)</f>
        <v>0</v>
      </c>
      <c r="AX994">
        <f>IF(COUNT($E$2:$E994)&lt;52,"",(MAX($C$943:$C$994)+MIN($D$943:$D$994))/2)</f>
        <v>0</v>
      </c>
      <c r="AY994">
        <f>IF(COUNT($E$2:$E994)&lt;20,"",MAX($C$895:$C$994))</f>
        <v>0</v>
      </c>
      <c r="AZ994">
        <f>IF(COUNT($E$2:$E994)&lt;20,"",MIN($D$895:$D$994))</f>
        <v>0</v>
      </c>
      <c r="BA994">
        <f>IF(COUNT($E$2:$E994)&lt;20,"",SLOPE($E$895:$E$994,$F$895:$F$994))</f>
        <v>0</v>
      </c>
      <c r="BB994">
        <f>IF(COUNT($E$2:$E994)&lt;20,"",INTERCEPT($E$895:$E$994,$F$895:$F$994))</f>
        <v>0</v>
      </c>
      <c r="BC994">
        <f>IF(OR(BA994="",BB994=""),"",BB994+BA994*F994)</f>
        <v>0</v>
      </c>
      <c r="BD994">
        <f>IF(COUNT($E$2:$E994)&lt;20,"",STEYX($E$895:$E$994,$F$895:$F$994))</f>
        <v>0</v>
      </c>
      <c r="BE994">
        <f>IF($E994="","",IF(AND(COUNT($E$995:$E$998)&gt;=4,$C994=MAX($C$990:$C$998)),$C994,""))</f>
        <v>0</v>
      </c>
      <c r="BF994">
        <f>IF($E994="","",IF(AND(COUNT($E$995:$E$998)&gt;=4,$D994=MIN($D$990:$D$998)),$D994,""))</f>
        <v>0</v>
      </c>
      <c r="BG994">
        <f>IF($A994="","",$A994-WEEKDAY($A994,2)+1)</f>
        <v>0</v>
      </c>
      <c r="BH994">
        <f>IF($A994="","",IF($A993="",1,IF(BG994&lt;&gt;BG993,1,0)))</f>
        <v>0</v>
      </c>
      <c r="BI994">
        <f>IF($A994="","",IF($A995="",1,IF(BG995&lt;&gt;BG994,1,0)))</f>
        <v>0</v>
      </c>
      <c r="BJ994">
        <f>IF($A994="","",IF(BH994=1,$B994,BJ993))</f>
        <v>0</v>
      </c>
      <c r="BK994">
        <f>IF($A994="","",IF(BH994=1,$C994,MAX($C994,BK993)))</f>
        <v>0</v>
      </c>
      <c r="BL994">
        <f>IF($A994="","",IF(BH994=1,$D994,MIN($D994,BL993)))</f>
        <v>0</v>
      </c>
      <c r="BM994">
        <f>IF($A994="","",IF(BI994=1,F994,""))</f>
        <v>0</v>
      </c>
      <c r="BN994">
        <f>IF($A994="","",DATE(YEAR($A994),MONTH($A994),1))</f>
        <v>0</v>
      </c>
      <c r="BO994">
        <f>IF($A994="","",IF($A993="",1,IF(BN994&lt;&gt;BN993,1,0)))</f>
        <v>0</v>
      </c>
      <c r="BP994">
        <f>IF($A994="","",IF($A995="",1,IF(BN995&lt;&gt;BN994,1,0)))</f>
        <v>0</v>
      </c>
      <c r="BQ994">
        <f>IF($A994="","",IF(BO994=1,$B994,BQ993))</f>
        <v>0</v>
      </c>
      <c r="BR994">
        <f>IF($A994="","",IF(BO994=1,$C994,MAX($C994,BR993)))</f>
        <v>0</v>
      </c>
      <c r="BS994">
        <f>IF($A994="","",IF(BO994=1,$D994,MIN($D994,BS993)))</f>
        <v>0</v>
      </c>
      <c r="BT994">
        <f>IF($A994="","",IF(BP994=1,F994,""))</f>
        <v>0</v>
      </c>
    </row>
    <row r="995" spans="1:72">
      <c r="A995" s="27">
        <f>IF(Data!$A995="","",Data!$A995)</f>
        <v>0</v>
      </c>
      <c r="B995">
        <f>IF(Data!$B995="","",Data!$B995)</f>
        <v>0</v>
      </c>
      <c r="C995">
        <f>IF(Data!$C995="","",Data!$C995)</f>
        <v>0</v>
      </c>
      <c r="D995">
        <f>IF(Data!$D995="","",Data!$D995)</f>
        <v>0</v>
      </c>
      <c r="E995">
        <f>IF(Data!$E995="","",Data!$E995)</f>
        <v>0</v>
      </c>
      <c r="F995">
        <f>IF($E995="","",N(F994)+1)</f>
        <v>0</v>
      </c>
      <c r="G995">
        <f>IF(OR($E995="",$E994=""),"",LN($E995/$E994))</f>
        <v>0</v>
      </c>
      <c r="H995">
        <f>IF($E995="","",IF($E994="",$E995,$E995*0.0952380952+H994*0.9047619048))</f>
        <v>0</v>
      </c>
      <c r="I995">
        <f>IF($E995="","",IF($E994="",$E995,$E995*0.0392156863+I994*0.9607843137))</f>
        <v>0</v>
      </c>
      <c r="J995">
        <f>IF($E995="","",IF($E994="",$E995,$E995*0.0198019802+J994*0.9801980198))</f>
        <v>0</v>
      </c>
      <c r="K995">
        <f>IF($E995="","",IF($E994="",$E995,$E995*0.0099502488+K994*0.9900497512))</f>
        <v>0</v>
      </c>
      <c r="L995">
        <f>IF(OR($E995="",$E994=""),"",MAX($E995-$E994,0))</f>
        <v>0</v>
      </c>
      <c r="M995">
        <f>IF(OR($E995="",$E994=""),"",MAX($E994-$E995,0))</f>
        <v>0</v>
      </c>
      <c r="N995">
        <f>IF(COUNT($E$2:$E995)&lt;15,"",IF(AVERAGE($M$982:$M$995)=0,100,100-100/(1+AVERAGE($L$982:$L$995)/AVERAGE($M$982:$M$995))))</f>
        <v>0</v>
      </c>
      <c r="O995">
        <f>IF($E995="","",IF($E994="",$E995,$E995*0.1538461538+O994*0.8461538462))</f>
        <v>0</v>
      </c>
      <c r="P995">
        <f>IF($E995="","",IF($E994="",$E995,$E995*0.0740740741+P994*0.9259259259))</f>
        <v>0</v>
      </c>
      <c r="Q995">
        <f>IF(OR(O995="",P995=""),"",O995-P995)</f>
        <v>0</v>
      </c>
      <c r="R995">
        <f>IF(Q995="","",IF(R994="",Q995,Q995*0.2000000000+R994*0.8000000000))</f>
        <v>0</v>
      </c>
      <c r="S995">
        <f>IF(OR(Q995="",R995=""),"",Q995-R995)</f>
        <v>0</v>
      </c>
      <c r="T995">
        <f>IF(COUNT($E$2:$E995)&lt;14,"",MAX($C$982:$C$995))</f>
        <v>0</v>
      </c>
      <c r="U995">
        <f>IF(COUNT($E$2:$E995)&lt;14,"",MIN($D$982:$D$995))</f>
        <v>0</v>
      </c>
      <c r="V995">
        <f>IF(OR(T995="",U995="",T995=U995),"",100*($E995-U995)/(T995-U995))</f>
        <v>0</v>
      </c>
      <c r="W995">
        <f>IF(COUNT($V$993:$V$995)&lt;3,"",AVERAGE($V$993:$V$995))</f>
        <v>0</v>
      </c>
      <c r="X995">
        <f>IF(COUNT($N$982:$N$995)&lt;14,"",MIN($N$982:$N$995))</f>
        <v>0</v>
      </c>
      <c r="Y995">
        <f>IF(COUNT($N$982:$N$995)&lt;14,"",MAX($N$982:$N$995))</f>
        <v>0</v>
      </c>
      <c r="Z995">
        <f>IF(OR(N995="",X995="",Y995="",Y995=X995),"",100*(N995-X995)/(Y995-X995))</f>
        <v>0</v>
      </c>
      <c r="AA995">
        <f>IF(COUNT($Z$993:$Z$995)&lt;3,"",AVERAGE($Z$993:$Z$995))</f>
        <v>0</v>
      </c>
      <c r="AB995">
        <f>IF(COUNT($AA$993:$AA$995)&lt;3,"",AVERAGE($AA$993:$AA$995))</f>
        <v>0</v>
      </c>
      <c r="AC995">
        <f>IF($E995="","",MAX($C995-$D995,ABS($C995-$E994),ABS($D995-$E994)))</f>
        <v>0</v>
      </c>
      <c r="AD995">
        <f>IF(COUNT($E$2:$E995)&lt;15,"",AVERAGE($AC$982:$AC$995))</f>
        <v>0</v>
      </c>
      <c r="AE995">
        <f>IF(OR($E995="",$E994=""),"",IF(AND(($C995-$C994)&gt;($D994-$D995),($C995-$C994)&gt;0),$C995-$C994,0))</f>
        <v>0</v>
      </c>
      <c r="AF995">
        <f>IF(OR($E995="",$E994=""),"",IF(AND(($D994-$D995)&gt;($C995-$C994),($D994-$D995)&gt;0),$D994-$D995,0))</f>
        <v>0</v>
      </c>
      <c r="AG995">
        <f>IF(COUNT($E$2:$E995)&lt;15,"",IF(SUM($AC$982:$AC$995)=0,0,100*SUM($AE$982:$AE$995)/SUM($AC$982:$AC$995)))</f>
        <v>0</v>
      </c>
      <c r="AH995">
        <f>IF(COUNT($E$2:$E995)&lt;15,"",IF(SUM($AC$982:$AC$995)=0,0,100*SUM($AF$982:$AF$995)/SUM($AC$982:$AC$995)))</f>
        <v>0</v>
      </c>
      <c r="AI995">
        <f>IF(OR(AG995="",AH995=""),"",IF((AG995+AH995)=0,0,100*ABS(AG995-AH995)/(AG995+AH995)))</f>
        <v>0</v>
      </c>
      <c r="AJ995">
        <f>IF(COUNT($AI$982:$AI$995)&lt;14,"",AVERAGE($AI$982:$AI$995))</f>
        <v>0</v>
      </c>
      <c r="AK995">
        <f>IF(COUNT($E$2:$E995)&lt;20,"",AVERAGE($E$976:$E$995))</f>
        <v>0</v>
      </c>
      <c r="AL995">
        <f>IF(COUNT($E$2:$E995)&lt;20,"",STDEVP($E$976:$E$995))</f>
        <v>0</v>
      </c>
      <c r="AM995">
        <f>IF(AK995="","",AK995+2*AL995)</f>
        <v>0</v>
      </c>
      <c r="AN995">
        <f>IF(AK995="","",AK995-2*AL995)</f>
        <v>0</v>
      </c>
      <c r="AO995">
        <f>IF(OR(AM995="",AN995="",AM995=AN995),"",($E995-AN995)/(AM995-AN995))</f>
        <v>0</v>
      </c>
      <c r="AP995">
        <f>IF(OR(AM995="",AK995="",AK995=0),"",(AM995-AN995)/AK995)</f>
        <v>0</v>
      </c>
      <c r="AQ995">
        <f>IF(COUNT($E$2:$E995)&lt;20,"",MAX($C$976:$C$995))</f>
        <v>0</v>
      </c>
      <c r="AR995">
        <f>IF(COUNT($E$2:$E995)&lt;20,"",MIN($D$976:$D$995))</f>
        <v>0</v>
      </c>
      <c r="AS995">
        <f>IF(OR(AQ995="",AR995=""),"",(AQ995+AR995)/2)</f>
        <v>0</v>
      </c>
      <c r="AT995">
        <f>IF(COUNT($G$976:$G$995)&lt;20,"",STDEV($G$976:$G$995)*SQRT(252))</f>
        <v>0</v>
      </c>
      <c r="AU995">
        <f>IF(COUNT($E$2:$E995)&lt;9,"",(MAX($C$987:$C$995)+MIN($D$987:$D$995))/2)</f>
        <v>0</v>
      </c>
      <c r="AV995">
        <f>IF(COUNT($E$2:$E995)&lt;26,"",(MAX($C$970:$C$995)+MIN($D$970:$D$995))/2)</f>
        <v>0</v>
      </c>
      <c r="AW995">
        <f>IF(OR(AU995="",AV995=""),"",(AU995+AV995)/2)</f>
        <v>0</v>
      </c>
      <c r="AX995">
        <f>IF(COUNT($E$2:$E995)&lt;52,"",(MAX($C$944:$C$995)+MIN($D$944:$D$995))/2)</f>
        <v>0</v>
      </c>
      <c r="AY995">
        <f>IF(COUNT($E$2:$E995)&lt;20,"",MAX($C$896:$C$995))</f>
        <v>0</v>
      </c>
      <c r="AZ995">
        <f>IF(COUNT($E$2:$E995)&lt;20,"",MIN($D$896:$D$995))</f>
        <v>0</v>
      </c>
      <c r="BA995">
        <f>IF(COUNT($E$2:$E995)&lt;20,"",SLOPE($E$896:$E$995,$F$896:$F$995))</f>
        <v>0</v>
      </c>
      <c r="BB995">
        <f>IF(COUNT($E$2:$E995)&lt;20,"",INTERCEPT($E$896:$E$995,$F$896:$F$995))</f>
        <v>0</v>
      </c>
      <c r="BC995">
        <f>IF(OR(BA995="",BB995=""),"",BB995+BA995*F995)</f>
        <v>0</v>
      </c>
      <c r="BD995">
        <f>IF(COUNT($E$2:$E995)&lt;20,"",STEYX($E$896:$E$995,$F$896:$F$995))</f>
        <v>0</v>
      </c>
      <c r="BE995">
        <f>IF($E995="","",IF(AND(COUNT($E$996:$E$999)&gt;=4,$C995=MAX($C$991:$C$999)),$C995,""))</f>
        <v>0</v>
      </c>
      <c r="BF995">
        <f>IF($E995="","",IF(AND(COUNT($E$996:$E$999)&gt;=4,$D995=MIN($D$991:$D$999)),$D995,""))</f>
        <v>0</v>
      </c>
      <c r="BG995">
        <f>IF($A995="","",$A995-WEEKDAY($A995,2)+1)</f>
        <v>0</v>
      </c>
      <c r="BH995">
        <f>IF($A995="","",IF($A994="",1,IF(BG995&lt;&gt;BG994,1,0)))</f>
        <v>0</v>
      </c>
      <c r="BI995">
        <f>IF($A995="","",IF($A996="",1,IF(BG996&lt;&gt;BG995,1,0)))</f>
        <v>0</v>
      </c>
      <c r="BJ995">
        <f>IF($A995="","",IF(BH995=1,$B995,BJ994))</f>
        <v>0</v>
      </c>
      <c r="BK995">
        <f>IF($A995="","",IF(BH995=1,$C995,MAX($C995,BK994)))</f>
        <v>0</v>
      </c>
      <c r="BL995">
        <f>IF($A995="","",IF(BH995=1,$D995,MIN($D995,BL994)))</f>
        <v>0</v>
      </c>
      <c r="BM995">
        <f>IF($A995="","",IF(BI995=1,F995,""))</f>
        <v>0</v>
      </c>
      <c r="BN995">
        <f>IF($A995="","",DATE(YEAR($A995),MONTH($A995),1))</f>
        <v>0</v>
      </c>
      <c r="BO995">
        <f>IF($A995="","",IF($A994="",1,IF(BN995&lt;&gt;BN994,1,0)))</f>
        <v>0</v>
      </c>
      <c r="BP995">
        <f>IF($A995="","",IF($A996="",1,IF(BN996&lt;&gt;BN995,1,0)))</f>
        <v>0</v>
      </c>
      <c r="BQ995">
        <f>IF($A995="","",IF(BO995=1,$B995,BQ994))</f>
        <v>0</v>
      </c>
      <c r="BR995">
        <f>IF($A995="","",IF(BO995=1,$C995,MAX($C995,BR994)))</f>
        <v>0</v>
      </c>
      <c r="BS995">
        <f>IF($A995="","",IF(BO995=1,$D995,MIN($D995,BS994)))</f>
        <v>0</v>
      </c>
      <c r="BT995">
        <f>IF($A995="","",IF(BP995=1,F995,""))</f>
        <v>0</v>
      </c>
    </row>
    <row r="996" spans="1:72">
      <c r="A996" s="27">
        <f>IF(Data!$A996="","",Data!$A996)</f>
        <v>0</v>
      </c>
      <c r="B996">
        <f>IF(Data!$B996="","",Data!$B996)</f>
        <v>0</v>
      </c>
      <c r="C996">
        <f>IF(Data!$C996="","",Data!$C996)</f>
        <v>0</v>
      </c>
      <c r="D996">
        <f>IF(Data!$D996="","",Data!$D996)</f>
        <v>0</v>
      </c>
      <c r="E996">
        <f>IF(Data!$E996="","",Data!$E996)</f>
        <v>0</v>
      </c>
      <c r="F996">
        <f>IF($E996="","",N(F995)+1)</f>
        <v>0</v>
      </c>
      <c r="G996">
        <f>IF(OR($E996="",$E995=""),"",LN($E996/$E995))</f>
        <v>0</v>
      </c>
      <c r="H996">
        <f>IF($E996="","",IF($E995="",$E996,$E996*0.0952380952+H995*0.9047619048))</f>
        <v>0</v>
      </c>
      <c r="I996">
        <f>IF($E996="","",IF($E995="",$E996,$E996*0.0392156863+I995*0.9607843137))</f>
        <v>0</v>
      </c>
      <c r="J996">
        <f>IF($E996="","",IF($E995="",$E996,$E996*0.0198019802+J995*0.9801980198))</f>
        <v>0</v>
      </c>
      <c r="K996">
        <f>IF($E996="","",IF($E995="",$E996,$E996*0.0099502488+K995*0.9900497512))</f>
        <v>0</v>
      </c>
      <c r="L996">
        <f>IF(OR($E996="",$E995=""),"",MAX($E996-$E995,0))</f>
        <v>0</v>
      </c>
      <c r="M996">
        <f>IF(OR($E996="",$E995=""),"",MAX($E995-$E996,0))</f>
        <v>0</v>
      </c>
      <c r="N996">
        <f>IF(COUNT($E$2:$E996)&lt;15,"",IF(AVERAGE($M$983:$M$996)=0,100,100-100/(1+AVERAGE($L$983:$L$996)/AVERAGE($M$983:$M$996))))</f>
        <v>0</v>
      </c>
      <c r="O996">
        <f>IF($E996="","",IF($E995="",$E996,$E996*0.1538461538+O995*0.8461538462))</f>
        <v>0</v>
      </c>
      <c r="P996">
        <f>IF($E996="","",IF($E995="",$E996,$E996*0.0740740741+P995*0.9259259259))</f>
        <v>0</v>
      </c>
      <c r="Q996">
        <f>IF(OR(O996="",P996=""),"",O996-P996)</f>
        <v>0</v>
      </c>
      <c r="R996">
        <f>IF(Q996="","",IF(R995="",Q996,Q996*0.2000000000+R995*0.8000000000))</f>
        <v>0</v>
      </c>
      <c r="S996">
        <f>IF(OR(Q996="",R996=""),"",Q996-R996)</f>
        <v>0</v>
      </c>
      <c r="T996">
        <f>IF(COUNT($E$2:$E996)&lt;14,"",MAX($C$983:$C$996))</f>
        <v>0</v>
      </c>
      <c r="U996">
        <f>IF(COUNT($E$2:$E996)&lt;14,"",MIN($D$983:$D$996))</f>
        <v>0</v>
      </c>
      <c r="V996">
        <f>IF(OR(T996="",U996="",T996=U996),"",100*($E996-U996)/(T996-U996))</f>
        <v>0</v>
      </c>
      <c r="W996">
        <f>IF(COUNT($V$994:$V$996)&lt;3,"",AVERAGE($V$994:$V$996))</f>
        <v>0</v>
      </c>
      <c r="X996">
        <f>IF(COUNT($N$983:$N$996)&lt;14,"",MIN($N$983:$N$996))</f>
        <v>0</v>
      </c>
      <c r="Y996">
        <f>IF(COUNT($N$983:$N$996)&lt;14,"",MAX($N$983:$N$996))</f>
        <v>0</v>
      </c>
      <c r="Z996">
        <f>IF(OR(N996="",X996="",Y996="",Y996=X996),"",100*(N996-X996)/(Y996-X996))</f>
        <v>0</v>
      </c>
      <c r="AA996">
        <f>IF(COUNT($Z$994:$Z$996)&lt;3,"",AVERAGE($Z$994:$Z$996))</f>
        <v>0</v>
      </c>
      <c r="AB996">
        <f>IF(COUNT($AA$994:$AA$996)&lt;3,"",AVERAGE($AA$994:$AA$996))</f>
        <v>0</v>
      </c>
      <c r="AC996">
        <f>IF($E996="","",MAX($C996-$D996,ABS($C996-$E995),ABS($D996-$E995)))</f>
        <v>0</v>
      </c>
      <c r="AD996">
        <f>IF(COUNT($E$2:$E996)&lt;15,"",AVERAGE($AC$983:$AC$996))</f>
        <v>0</v>
      </c>
      <c r="AE996">
        <f>IF(OR($E996="",$E995=""),"",IF(AND(($C996-$C995)&gt;($D995-$D996),($C996-$C995)&gt;0),$C996-$C995,0))</f>
        <v>0</v>
      </c>
      <c r="AF996">
        <f>IF(OR($E996="",$E995=""),"",IF(AND(($D995-$D996)&gt;($C996-$C995),($D995-$D996)&gt;0),$D995-$D996,0))</f>
        <v>0</v>
      </c>
      <c r="AG996">
        <f>IF(COUNT($E$2:$E996)&lt;15,"",IF(SUM($AC$983:$AC$996)=0,0,100*SUM($AE$983:$AE$996)/SUM($AC$983:$AC$996)))</f>
        <v>0</v>
      </c>
      <c r="AH996">
        <f>IF(COUNT($E$2:$E996)&lt;15,"",IF(SUM($AC$983:$AC$996)=0,0,100*SUM($AF$983:$AF$996)/SUM($AC$983:$AC$996)))</f>
        <v>0</v>
      </c>
      <c r="AI996">
        <f>IF(OR(AG996="",AH996=""),"",IF((AG996+AH996)=0,0,100*ABS(AG996-AH996)/(AG996+AH996)))</f>
        <v>0</v>
      </c>
      <c r="AJ996">
        <f>IF(COUNT($AI$983:$AI$996)&lt;14,"",AVERAGE($AI$983:$AI$996))</f>
        <v>0</v>
      </c>
      <c r="AK996">
        <f>IF(COUNT($E$2:$E996)&lt;20,"",AVERAGE($E$977:$E$996))</f>
        <v>0</v>
      </c>
      <c r="AL996">
        <f>IF(COUNT($E$2:$E996)&lt;20,"",STDEVP($E$977:$E$996))</f>
        <v>0</v>
      </c>
      <c r="AM996">
        <f>IF(AK996="","",AK996+2*AL996)</f>
        <v>0</v>
      </c>
      <c r="AN996">
        <f>IF(AK996="","",AK996-2*AL996)</f>
        <v>0</v>
      </c>
      <c r="AO996">
        <f>IF(OR(AM996="",AN996="",AM996=AN996),"",($E996-AN996)/(AM996-AN996))</f>
        <v>0</v>
      </c>
      <c r="AP996">
        <f>IF(OR(AM996="",AK996="",AK996=0),"",(AM996-AN996)/AK996)</f>
        <v>0</v>
      </c>
      <c r="AQ996">
        <f>IF(COUNT($E$2:$E996)&lt;20,"",MAX($C$977:$C$996))</f>
        <v>0</v>
      </c>
      <c r="AR996">
        <f>IF(COUNT($E$2:$E996)&lt;20,"",MIN($D$977:$D$996))</f>
        <v>0</v>
      </c>
      <c r="AS996">
        <f>IF(OR(AQ996="",AR996=""),"",(AQ996+AR996)/2)</f>
        <v>0</v>
      </c>
      <c r="AT996">
        <f>IF(COUNT($G$977:$G$996)&lt;20,"",STDEV($G$977:$G$996)*SQRT(252))</f>
        <v>0</v>
      </c>
      <c r="AU996">
        <f>IF(COUNT($E$2:$E996)&lt;9,"",(MAX($C$988:$C$996)+MIN($D$988:$D$996))/2)</f>
        <v>0</v>
      </c>
      <c r="AV996">
        <f>IF(COUNT($E$2:$E996)&lt;26,"",(MAX($C$971:$C$996)+MIN($D$971:$D$996))/2)</f>
        <v>0</v>
      </c>
      <c r="AW996">
        <f>IF(OR(AU996="",AV996=""),"",(AU996+AV996)/2)</f>
        <v>0</v>
      </c>
      <c r="AX996">
        <f>IF(COUNT($E$2:$E996)&lt;52,"",(MAX($C$945:$C$996)+MIN($D$945:$D$996))/2)</f>
        <v>0</v>
      </c>
      <c r="AY996">
        <f>IF(COUNT($E$2:$E996)&lt;20,"",MAX($C$897:$C$996))</f>
        <v>0</v>
      </c>
      <c r="AZ996">
        <f>IF(COUNT($E$2:$E996)&lt;20,"",MIN($D$897:$D$996))</f>
        <v>0</v>
      </c>
      <c r="BA996">
        <f>IF(COUNT($E$2:$E996)&lt;20,"",SLOPE($E$897:$E$996,$F$897:$F$996))</f>
        <v>0</v>
      </c>
      <c r="BB996">
        <f>IF(COUNT($E$2:$E996)&lt;20,"",INTERCEPT($E$897:$E$996,$F$897:$F$996))</f>
        <v>0</v>
      </c>
      <c r="BC996">
        <f>IF(OR(BA996="",BB996=""),"",BB996+BA996*F996)</f>
        <v>0</v>
      </c>
      <c r="BD996">
        <f>IF(COUNT($E$2:$E996)&lt;20,"",STEYX($E$897:$E$996,$F$897:$F$996))</f>
        <v>0</v>
      </c>
      <c r="BE996">
        <f>IF($E996="","",IF(AND(COUNT($E$997:$E$1000)&gt;=4,$C996=MAX($C$992:$C$1000)),$C996,""))</f>
        <v>0</v>
      </c>
      <c r="BF996">
        <f>IF($E996="","",IF(AND(COUNT($E$997:$E$1000)&gt;=4,$D996=MIN($D$992:$D$1000)),$D996,""))</f>
        <v>0</v>
      </c>
      <c r="BG996">
        <f>IF($A996="","",$A996-WEEKDAY($A996,2)+1)</f>
        <v>0</v>
      </c>
      <c r="BH996">
        <f>IF($A996="","",IF($A995="",1,IF(BG996&lt;&gt;BG995,1,0)))</f>
        <v>0</v>
      </c>
      <c r="BI996">
        <f>IF($A996="","",IF($A997="",1,IF(BG997&lt;&gt;BG996,1,0)))</f>
        <v>0</v>
      </c>
      <c r="BJ996">
        <f>IF($A996="","",IF(BH996=1,$B996,BJ995))</f>
        <v>0</v>
      </c>
      <c r="BK996">
        <f>IF($A996="","",IF(BH996=1,$C996,MAX($C996,BK995)))</f>
        <v>0</v>
      </c>
      <c r="BL996">
        <f>IF($A996="","",IF(BH996=1,$D996,MIN($D996,BL995)))</f>
        <v>0</v>
      </c>
      <c r="BM996">
        <f>IF($A996="","",IF(BI996=1,F996,""))</f>
        <v>0</v>
      </c>
      <c r="BN996">
        <f>IF($A996="","",DATE(YEAR($A996),MONTH($A996),1))</f>
        <v>0</v>
      </c>
      <c r="BO996">
        <f>IF($A996="","",IF($A995="",1,IF(BN996&lt;&gt;BN995,1,0)))</f>
        <v>0</v>
      </c>
      <c r="BP996">
        <f>IF($A996="","",IF($A997="",1,IF(BN997&lt;&gt;BN996,1,0)))</f>
        <v>0</v>
      </c>
      <c r="BQ996">
        <f>IF($A996="","",IF(BO996=1,$B996,BQ995))</f>
        <v>0</v>
      </c>
      <c r="BR996">
        <f>IF($A996="","",IF(BO996=1,$C996,MAX($C996,BR995)))</f>
        <v>0</v>
      </c>
      <c r="BS996">
        <f>IF($A996="","",IF(BO996=1,$D996,MIN($D996,BS995)))</f>
        <v>0</v>
      </c>
      <c r="BT996">
        <f>IF($A996="","",IF(BP996=1,F996,""))</f>
        <v>0</v>
      </c>
    </row>
    <row r="997" spans="1:72">
      <c r="A997" s="27">
        <f>IF(Data!$A997="","",Data!$A997)</f>
        <v>0</v>
      </c>
      <c r="B997">
        <f>IF(Data!$B997="","",Data!$B997)</f>
        <v>0</v>
      </c>
      <c r="C997">
        <f>IF(Data!$C997="","",Data!$C997)</f>
        <v>0</v>
      </c>
      <c r="D997">
        <f>IF(Data!$D997="","",Data!$D997)</f>
        <v>0</v>
      </c>
      <c r="E997">
        <f>IF(Data!$E997="","",Data!$E997)</f>
        <v>0</v>
      </c>
      <c r="F997">
        <f>IF($E997="","",N(F996)+1)</f>
        <v>0</v>
      </c>
      <c r="G997">
        <f>IF(OR($E997="",$E996=""),"",LN($E997/$E996))</f>
        <v>0</v>
      </c>
      <c r="H997">
        <f>IF($E997="","",IF($E996="",$E997,$E997*0.0952380952+H996*0.9047619048))</f>
        <v>0</v>
      </c>
      <c r="I997">
        <f>IF($E997="","",IF($E996="",$E997,$E997*0.0392156863+I996*0.9607843137))</f>
        <v>0</v>
      </c>
      <c r="J997">
        <f>IF($E997="","",IF($E996="",$E997,$E997*0.0198019802+J996*0.9801980198))</f>
        <v>0</v>
      </c>
      <c r="K997">
        <f>IF($E997="","",IF($E996="",$E997,$E997*0.0099502488+K996*0.9900497512))</f>
        <v>0</v>
      </c>
      <c r="L997">
        <f>IF(OR($E997="",$E996=""),"",MAX($E997-$E996,0))</f>
        <v>0</v>
      </c>
      <c r="M997">
        <f>IF(OR($E997="",$E996=""),"",MAX($E996-$E997,0))</f>
        <v>0</v>
      </c>
      <c r="N997">
        <f>IF(COUNT($E$2:$E997)&lt;15,"",IF(AVERAGE($M$984:$M$997)=0,100,100-100/(1+AVERAGE($L$984:$L$997)/AVERAGE($M$984:$M$997))))</f>
        <v>0</v>
      </c>
      <c r="O997">
        <f>IF($E997="","",IF($E996="",$E997,$E997*0.1538461538+O996*0.8461538462))</f>
        <v>0</v>
      </c>
      <c r="P997">
        <f>IF($E997="","",IF($E996="",$E997,$E997*0.0740740741+P996*0.9259259259))</f>
        <v>0</v>
      </c>
      <c r="Q997">
        <f>IF(OR(O997="",P997=""),"",O997-P997)</f>
        <v>0</v>
      </c>
      <c r="R997">
        <f>IF(Q997="","",IF(R996="",Q997,Q997*0.2000000000+R996*0.8000000000))</f>
        <v>0</v>
      </c>
      <c r="S997">
        <f>IF(OR(Q997="",R997=""),"",Q997-R997)</f>
        <v>0</v>
      </c>
      <c r="T997">
        <f>IF(COUNT($E$2:$E997)&lt;14,"",MAX($C$984:$C$997))</f>
        <v>0</v>
      </c>
      <c r="U997">
        <f>IF(COUNT($E$2:$E997)&lt;14,"",MIN($D$984:$D$997))</f>
        <v>0</v>
      </c>
      <c r="V997">
        <f>IF(OR(T997="",U997="",T997=U997),"",100*($E997-U997)/(T997-U997))</f>
        <v>0</v>
      </c>
      <c r="W997">
        <f>IF(COUNT($V$995:$V$997)&lt;3,"",AVERAGE($V$995:$V$997))</f>
        <v>0</v>
      </c>
      <c r="X997">
        <f>IF(COUNT($N$984:$N$997)&lt;14,"",MIN($N$984:$N$997))</f>
        <v>0</v>
      </c>
      <c r="Y997">
        <f>IF(COUNT($N$984:$N$997)&lt;14,"",MAX($N$984:$N$997))</f>
        <v>0</v>
      </c>
      <c r="Z997">
        <f>IF(OR(N997="",X997="",Y997="",Y997=X997),"",100*(N997-X997)/(Y997-X997))</f>
        <v>0</v>
      </c>
      <c r="AA997">
        <f>IF(COUNT($Z$995:$Z$997)&lt;3,"",AVERAGE($Z$995:$Z$997))</f>
        <v>0</v>
      </c>
      <c r="AB997">
        <f>IF(COUNT($AA$995:$AA$997)&lt;3,"",AVERAGE($AA$995:$AA$997))</f>
        <v>0</v>
      </c>
      <c r="AC997">
        <f>IF($E997="","",MAX($C997-$D997,ABS($C997-$E996),ABS($D997-$E996)))</f>
        <v>0</v>
      </c>
      <c r="AD997">
        <f>IF(COUNT($E$2:$E997)&lt;15,"",AVERAGE($AC$984:$AC$997))</f>
        <v>0</v>
      </c>
      <c r="AE997">
        <f>IF(OR($E997="",$E996=""),"",IF(AND(($C997-$C996)&gt;($D996-$D997),($C997-$C996)&gt;0),$C997-$C996,0))</f>
        <v>0</v>
      </c>
      <c r="AF997">
        <f>IF(OR($E997="",$E996=""),"",IF(AND(($D996-$D997)&gt;($C997-$C996),($D996-$D997)&gt;0),$D996-$D997,0))</f>
        <v>0</v>
      </c>
      <c r="AG997">
        <f>IF(COUNT($E$2:$E997)&lt;15,"",IF(SUM($AC$984:$AC$997)=0,0,100*SUM($AE$984:$AE$997)/SUM($AC$984:$AC$997)))</f>
        <v>0</v>
      </c>
      <c r="AH997">
        <f>IF(COUNT($E$2:$E997)&lt;15,"",IF(SUM($AC$984:$AC$997)=0,0,100*SUM($AF$984:$AF$997)/SUM($AC$984:$AC$997)))</f>
        <v>0</v>
      </c>
      <c r="AI997">
        <f>IF(OR(AG997="",AH997=""),"",IF((AG997+AH997)=0,0,100*ABS(AG997-AH997)/(AG997+AH997)))</f>
        <v>0</v>
      </c>
      <c r="AJ997">
        <f>IF(COUNT($AI$984:$AI$997)&lt;14,"",AVERAGE($AI$984:$AI$997))</f>
        <v>0</v>
      </c>
      <c r="AK997">
        <f>IF(COUNT($E$2:$E997)&lt;20,"",AVERAGE($E$978:$E$997))</f>
        <v>0</v>
      </c>
      <c r="AL997">
        <f>IF(COUNT($E$2:$E997)&lt;20,"",STDEVP($E$978:$E$997))</f>
        <v>0</v>
      </c>
      <c r="AM997">
        <f>IF(AK997="","",AK997+2*AL997)</f>
        <v>0</v>
      </c>
      <c r="AN997">
        <f>IF(AK997="","",AK997-2*AL997)</f>
        <v>0</v>
      </c>
      <c r="AO997">
        <f>IF(OR(AM997="",AN997="",AM997=AN997),"",($E997-AN997)/(AM997-AN997))</f>
        <v>0</v>
      </c>
      <c r="AP997">
        <f>IF(OR(AM997="",AK997="",AK997=0),"",(AM997-AN997)/AK997)</f>
        <v>0</v>
      </c>
      <c r="AQ997">
        <f>IF(COUNT($E$2:$E997)&lt;20,"",MAX($C$978:$C$997))</f>
        <v>0</v>
      </c>
      <c r="AR997">
        <f>IF(COUNT($E$2:$E997)&lt;20,"",MIN($D$978:$D$997))</f>
        <v>0</v>
      </c>
      <c r="AS997">
        <f>IF(OR(AQ997="",AR997=""),"",(AQ997+AR997)/2)</f>
        <v>0</v>
      </c>
      <c r="AT997">
        <f>IF(COUNT($G$978:$G$997)&lt;20,"",STDEV($G$978:$G$997)*SQRT(252))</f>
        <v>0</v>
      </c>
      <c r="AU997">
        <f>IF(COUNT($E$2:$E997)&lt;9,"",(MAX($C$989:$C$997)+MIN($D$989:$D$997))/2)</f>
        <v>0</v>
      </c>
      <c r="AV997">
        <f>IF(COUNT($E$2:$E997)&lt;26,"",(MAX($C$972:$C$997)+MIN($D$972:$D$997))/2)</f>
        <v>0</v>
      </c>
      <c r="AW997">
        <f>IF(OR(AU997="",AV997=""),"",(AU997+AV997)/2)</f>
        <v>0</v>
      </c>
      <c r="AX997">
        <f>IF(COUNT($E$2:$E997)&lt;52,"",(MAX($C$946:$C$997)+MIN($D$946:$D$997))/2)</f>
        <v>0</v>
      </c>
      <c r="AY997">
        <f>IF(COUNT($E$2:$E997)&lt;20,"",MAX($C$898:$C$997))</f>
        <v>0</v>
      </c>
      <c r="AZ997">
        <f>IF(COUNT($E$2:$E997)&lt;20,"",MIN($D$898:$D$997))</f>
        <v>0</v>
      </c>
      <c r="BA997">
        <f>IF(COUNT($E$2:$E997)&lt;20,"",SLOPE($E$898:$E$997,$F$898:$F$997))</f>
        <v>0</v>
      </c>
      <c r="BB997">
        <f>IF(COUNT($E$2:$E997)&lt;20,"",INTERCEPT($E$898:$E$997,$F$898:$F$997))</f>
        <v>0</v>
      </c>
      <c r="BC997">
        <f>IF(OR(BA997="",BB997=""),"",BB997+BA997*F997)</f>
        <v>0</v>
      </c>
      <c r="BD997">
        <f>IF(COUNT($E$2:$E997)&lt;20,"",STEYX($E$898:$E$997,$F$898:$F$997))</f>
        <v>0</v>
      </c>
      <c r="BE997">
        <f>IF($E997="","",IF(AND(COUNT($E$998:$E$1001)&gt;=4,$C997=MAX($C$993:$C$1001)),$C997,""))</f>
        <v>0</v>
      </c>
      <c r="BF997">
        <f>IF($E997="","",IF(AND(COUNT($E$998:$E$1001)&gt;=4,$D997=MIN($D$993:$D$1001)),$D997,""))</f>
        <v>0</v>
      </c>
      <c r="BG997">
        <f>IF($A997="","",$A997-WEEKDAY($A997,2)+1)</f>
        <v>0</v>
      </c>
      <c r="BH997">
        <f>IF($A997="","",IF($A996="",1,IF(BG997&lt;&gt;BG996,1,0)))</f>
        <v>0</v>
      </c>
      <c r="BI997">
        <f>IF($A997="","",IF($A998="",1,IF(BG998&lt;&gt;BG997,1,0)))</f>
        <v>0</v>
      </c>
      <c r="BJ997">
        <f>IF($A997="","",IF(BH997=1,$B997,BJ996))</f>
        <v>0</v>
      </c>
      <c r="BK997">
        <f>IF($A997="","",IF(BH997=1,$C997,MAX($C997,BK996)))</f>
        <v>0</v>
      </c>
      <c r="BL997">
        <f>IF($A997="","",IF(BH997=1,$D997,MIN($D997,BL996)))</f>
        <v>0</v>
      </c>
      <c r="BM997">
        <f>IF($A997="","",IF(BI997=1,F997,""))</f>
        <v>0</v>
      </c>
      <c r="BN997">
        <f>IF($A997="","",DATE(YEAR($A997),MONTH($A997),1))</f>
        <v>0</v>
      </c>
      <c r="BO997">
        <f>IF($A997="","",IF($A996="",1,IF(BN997&lt;&gt;BN996,1,0)))</f>
        <v>0</v>
      </c>
      <c r="BP997">
        <f>IF($A997="","",IF($A998="",1,IF(BN998&lt;&gt;BN997,1,0)))</f>
        <v>0</v>
      </c>
      <c r="BQ997">
        <f>IF($A997="","",IF(BO997=1,$B997,BQ996))</f>
        <v>0</v>
      </c>
      <c r="BR997">
        <f>IF($A997="","",IF(BO997=1,$C997,MAX($C997,BR996)))</f>
        <v>0</v>
      </c>
      <c r="BS997">
        <f>IF($A997="","",IF(BO997=1,$D997,MIN($D997,BS996)))</f>
        <v>0</v>
      </c>
      <c r="BT997">
        <f>IF($A997="","",IF(BP997=1,F997,""))</f>
        <v>0</v>
      </c>
    </row>
    <row r="998" spans="1:72">
      <c r="A998" s="27">
        <f>IF(Data!$A998="","",Data!$A998)</f>
        <v>0</v>
      </c>
      <c r="B998">
        <f>IF(Data!$B998="","",Data!$B998)</f>
        <v>0</v>
      </c>
      <c r="C998">
        <f>IF(Data!$C998="","",Data!$C998)</f>
        <v>0</v>
      </c>
      <c r="D998">
        <f>IF(Data!$D998="","",Data!$D998)</f>
        <v>0</v>
      </c>
      <c r="E998">
        <f>IF(Data!$E998="","",Data!$E998)</f>
        <v>0</v>
      </c>
      <c r="F998">
        <f>IF($E998="","",N(F997)+1)</f>
        <v>0</v>
      </c>
      <c r="G998">
        <f>IF(OR($E998="",$E997=""),"",LN($E998/$E997))</f>
        <v>0</v>
      </c>
      <c r="H998">
        <f>IF($E998="","",IF($E997="",$E998,$E998*0.0952380952+H997*0.9047619048))</f>
        <v>0</v>
      </c>
      <c r="I998">
        <f>IF($E998="","",IF($E997="",$E998,$E998*0.0392156863+I997*0.9607843137))</f>
        <v>0</v>
      </c>
      <c r="J998">
        <f>IF($E998="","",IF($E997="",$E998,$E998*0.0198019802+J997*0.9801980198))</f>
        <v>0</v>
      </c>
      <c r="K998">
        <f>IF($E998="","",IF($E997="",$E998,$E998*0.0099502488+K997*0.9900497512))</f>
        <v>0</v>
      </c>
      <c r="L998">
        <f>IF(OR($E998="",$E997=""),"",MAX($E998-$E997,0))</f>
        <v>0</v>
      </c>
      <c r="M998">
        <f>IF(OR($E998="",$E997=""),"",MAX($E997-$E998,0))</f>
        <v>0</v>
      </c>
      <c r="N998">
        <f>IF(COUNT($E$2:$E998)&lt;15,"",IF(AVERAGE($M$985:$M$998)=0,100,100-100/(1+AVERAGE($L$985:$L$998)/AVERAGE($M$985:$M$998))))</f>
        <v>0</v>
      </c>
      <c r="O998">
        <f>IF($E998="","",IF($E997="",$E998,$E998*0.1538461538+O997*0.8461538462))</f>
        <v>0</v>
      </c>
      <c r="P998">
        <f>IF($E998="","",IF($E997="",$E998,$E998*0.0740740741+P997*0.9259259259))</f>
        <v>0</v>
      </c>
      <c r="Q998">
        <f>IF(OR(O998="",P998=""),"",O998-P998)</f>
        <v>0</v>
      </c>
      <c r="R998">
        <f>IF(Q998="","",IF(R997="",Q998,Q998*0.2000000000+R997*0.8000000000))</f>
        <v>0</v>
      </c>
      <c r="S998">
        <f>IF(OR(Q998="",R998=""),"",Q998-R998)</f>
        <v>0</v>
      </c>
      <c r="T998">
        <f>IF(COUNT($E$2:$E998)&lt;14,"",MAX($C$985:$C$998))</f>
        <v>0</v>
      </c>
      <c r="U998">
        <f>IF(COUNT($E$2:$E998)&lt;14,"",MIN($D$985:$D$998))</f>
        <v>0</v>
      </c>
      <c r="V998">
        <f>IF(OR(T998="",U998="",T998=U998),"",100*($E998-U998)/(T998-U998))</f>
        <v>0</v>
      </c>
      <c r="W998">
        <f>IF(COUNT($V$996:$V$998)&lt;3,"",AVERAGE($V$996:$V$998))</f>
        <v>0</v>
      </c>
      <c r="X998">
        <f>IF(COUNT($N$985:$N$998)&lt;14,"",MIN($N$985:$N$998))</f>
        <v>0</v>
      </c>
      <c r="Y998">
        <f>IF(COUNT($N$985:$N$998)&lt;14,"",MAX($N$985:$N$998))</f>
        <v>0</v>
      </c>
      <c r="Z998">
        <f>IF(OR(N998="",X998="",Y998="",Y998=X998),"",100*(N998-X998)/(Y998-X998))</f>
        <v>0</v>
      </c>
      <c r="AA998">
        <f>IF(COUNT($Z$996:$Z$998)&lt;3,"",AVERAGE($Z$996:$Z$998))</f>
        <v>0</v>
      </c>
      <c r="AB998">
        <f>IF(COUNT($AA$996:$AA$998)&lt;3,"",AVERAGE($AA$996:$AA$998))</f>
        <v>0</v>
      </c>
      <c r="AC998">
        <f>IF($E998="","",MAX($C998-$D998,ABS($C998-$E997),ABS($D998-$E997)))</f>
        <v>0</v>
      </c>
      <c r="AD998">
        <f>IF(COUNT($E$2:$E998)&lt;15,"",AVERAGE($AC$985:$AC$998))</f>
        <v>0</v>
      </c>
      <c r="AE998">
        <f>IF(OR($E998="",$E997=""),"",IF(AND(($C998-$C997)&gt;($D997-$D998),($C998-$C997)&gt;0),$C998-$C997,0))</f>
        <v>0</v>
      </c>
      <c r="AF998">
        <f>IF(OR($E998="",$E997=""),"",IF(AND(($D997-$D998)&gt;($C998-$C997),($D997-$D998)&gt;0),$D997-$D998,0))</f>
        <v>0</v>
      </c>
      <c r="AG998">
        <f>IF(COUNT($E$2:$E998)&lt;15,"",IF(SUM($AC$985:$AC$998)=0,0,100*SUM($AE$985:$AE$998)/SUM($AC$985:$AC$998)))</f>
        <v>0</v>
      </c>
      <c r="AH998">
        <f>IF(COUNT($E$2:$E998)&lt;15,"",IF(SUM($AC$985:$AC$998)=0,0,100*SUM($AF$985:$AF$998)/SUM($AC$985:$AC$998)))</f>
        <v>0</v>
      </c>
      <c r="AI998">
        <f>IF(OR(AG998="",AH998=""),"",IF((AG998+AH998)=0,0,100*ABS(AG998-AH998)/(AG998+AH998)))</f>
        <v>0</v>
      </c>
      <c r="AJ998">
        <f>IF(COUNT($AI$985:$AI$998)&lt;14,"",AVERAGE($AI$985:$AI$998))</f>
        <v>0</v>
      </c>
      <c r="AK998">
        <f>IF(COUNT($E$2:$E998)&lt;20,"",AVERAGE($E$979:$E$998))</f>
        <v>0</v>
      </c>
      <c r="AL998">
        <f>IF(COUNT($E$2:$E998)&lt;20,"",STDEVP($E$979:$E$998))</f>
        <v>0</v>
      </c>
      <c r="AM998">
        <f>IF(AK998="","",AK998+2*AL998)</f>
        <v>0</v>
      </c>
      <c r="AN998">
        <f>IF(AK998="","",AK998-2*AL998)</f>
        <v>0</v>
      </c>
      <c r="AO998">
        <f>IF(OR(AM998="",AN998="",AM998=AN998),"",($E998-AN998)/(AM998-AN998))</f>
        <v>0</v>
      </c>
      <c r="AP998">
        <f>IF(OR(AM998="",AK998="",AK998=0),"",(AM998-AN998)/AK998)</f>
        <v>0</v>
      </c>
      <c r="AQ998">
        <f>IF(COUNT($E$2:$E998)&lt;20,"",MAX($C$979:$C$998))</f>
        <v>0</v>
      </c>
      <c r="AR998">
        <f>IF(COUNT($E$2:$E998)&lt;20,"",MIN($D$979:$D$998))</f>
        <v>0</v>
      </c>
      <c r="AS998">
        <f>IF(OR(AQ998="",AR998=""),"",(AQ998+AR998)/2)</f>
        <v>0</v>
      </c>
      <c r="AT998">
        <f>IF(COUNT($G$979:$G$998)&lt;20,"",STDEV($G$979:$G$998)*SQRT(252))</f>
        <v>0</v>
      </c>
      <c r="AU998">
        <f>IF(COUNT($E$2:$E998)&lt;9,"",(MAX($C$990:$C$998)+MIN($D$990:$D$998))/2)</f>
        <v>0</v>
      </c>
      <c r="AV998">
        <f>IF(COUNT($E$2:$E998)&lt;26,"",(MAX($C$973:$C$998)+MIN($D$973:$D$998))/2)</f>
        <v>0</v>
      </c>
      <c r="AW998">
        <f>IF(OR(AU998="",AV998=""),"",(AU998+AV998)/2)</f>
        <v>0</v>
      </c>
      <c r="AX998">
        <f>IF(COUNT($E$2:$E998)&lt;52,"",(MAX($C$947:$C$998)+MIN($D$947:$D$998))/2)</f>
        <v>0</v>
      </c>
      <c r="AY998">
        <f>IF(COUNT($E$2:$E998)&lt;20,"",MAX($C$899:$C$998))</f>
        <v>0</v>
      </c>
      <c r="AZ998">
        <f>IF(COUNT($E$2:$E998)&lt;20,"",MIN($D$899:$D$998))</f>
        <v>0</v>
      </c>
      <c r="BA998">
        <f>IF(COUNT($E$2:$E998)&lt;20,"",SLOPE($E$899:$E$998,$F$899:$F$998))</f>
        <v>0</v>
      </c>
      <c r="BB998">
        <f>IF(COUNT($E$2:$E998)&lt;20,"",INTERCEPT($E$899:$E$998,$F$899:$F$998))</f>
        <v>0</v>
      </c>
      <c r="BC998">
        <f>IF(OR(BA998="",BB998=""),"",BB998+BA998*F998)</f>
        <v>0</v>
      </c>
      <c r="BD998">
        <f>IF(COUNT($E$2:$E998)&lt;20,"",STEYX($E$899:$E$998,$F$899:$F$998))</f>
        <v>0</v>
      </c>
      <c r="BE998">
        <f>IF($E998="","",IF(AND(COUNT($E$999:$E$1002)&gt;=4,$C998=MAX($C$994:$C$1002)),$C998,""))</f>
        <v>0</v>
      </c>
      <c r="BF998">
        <f>IF($E998="","",IF(AND(COUNT($E$999:$E$1002)&gt;=4,$D998=MIN($D$994:$D$1002)),$D998,""))</f>
        <v>0</v>
      </c>
      <c r="BG998">
        <f>IF($A998="","",$A998-WEEKDAY($A998,2)+1)</f>
        <v>0</v>
      </c>
      <c r="BH998">
        <f>IF($A998="","",IF($A997="",1,IF(BG998&lt;&gt;BG997,1,0)))</f>
        <v>0</v>
      </c>
      <c r="BI998">
        <f>IF($A998="","",IF($A999="",1,IF(BG999&lt;&gt;BG998,1,0)))</f>
        <v>0</v>
      </c>
      <c r="BJ998">
        <f>IF($A998="","",IF(BH998=1,$B998,BJ997))</f>
        <v>0</v>
      </c>
      <c r="BK998">
        <f>IF($A998="","",IF(BH998=1,$C998,MAX($C998,BK997)))</f>
        <v>0</v>
      </c>
      <c r="BL998">
        <f>IF($A998="","",IF(BH998=1,$D998,MIN($D998,BL997)))</f>
        <v>0</v>
      </c>
      <c r="BM998">
        <f>IF($A998="","",IF(BI998=1,F998,""))</f>
        <v>0</v>
      </c>
      <c r="BN998">
        <f>IF($A998="","",DATE(YEAR($A998),MONTH($A998),1))</f>
        <v>0</v>
      </c>
      <c r="BO998">
        <f>IF($A998="","",IF($A997="",1,IF(BN998&lt;&gt;BN997,1,0)))</f>
        <v>0</v>
      </c>
      <c r="BP998">
        <f>IF($A998="","",IF($A999="",1,IF(BN999&lt;&gt;BN998,1,0)))</f>
        <v>0</v>
      </c>
      <c r="BQ998">
        <f>IF($A998="","",IF(BO998=1,$B998,BQ997))</f>
        <v>0</v>
      </c>
      <c r="BR998">
        <f>IF($A998="","",IF(BO998=1,$C998,MAX($C998,BR997)))</f>
        <v>0</v>
      </c>
      <c r="BS998">
        <f>IF($A998="","",IF(BO998=1,$D998,MIN($D998,BS997)))</f>
        <v>0</v>
      </c>
      <c r="BT998">
        <f>IF($A998="","",IF(BP998=1,F998,""))</f>
        <v>0</v>
      </c>
    </row>
    <row r="999" spans="1:72">
      <c r="A999" s="27">
        <f>IF(Data!$A999="","",Data!$A999)</f>
        <v>0</v>
      </c>
      <c r="B999">
        <f>IF(Data!$B999="","",Data!$B999)</f>
        <v>0</v>
      </c>
      <c r="C999">
        <f>IF(Data!$C999="","",Data!$C999)</f>
        <v>0</v>
      </c>
      <c r="D999">
        <f>IF(Data!$D999="","",Data!$D999)</f>
        <v>0</v>
      </c>
      <c r="E999">
        <f>IF(Data!$E999="","",Data!$E999)</f>
        <v>0</v>
      </c>
      <c r="F999">
        <f>IF($E999="","",N(F998)+1)</f>
        <v>0</v>
      </c>
      <c r="G999">
        <f>IF(OR($E999="",$E998=""),"",LN($E999/$E998))</f>
        <v>0</v>
      </c>
      <c r="H999">
        <f>IF($E999="","",IF($E998="",$E999,$E999*0.0952380952+H998*0.9047619048))</f>
        <v>0</v>
      </c>
      <c r="I999">
        <f>IF($E999="","",IF($E998="",$E999,$E999*0.0392156863+I998*0.9607843137))</f>
        <v>0</v>
      </c>
      <c r="J999">
        <f>IF($E999="","",IF($E998="",$E999,$E999*0.0198019802+J998*0.9801980198))</f>
        <v>0</v>
      </c>
      <c r="K999">
        <f>IF($E999="","",IF($E998="",$E999,$E999*0.0099502488+K998*0.9900497512))</f>
        <v>0</v>
      </c>
      <c r="L999">
        <f>IF(OR($E999="",$E998=""),"",MAX($E999-$E998,0))</f>
        <v>0</v>
      </c>
      <c r="M999">
        <f>IF(OR($E999="",$E998=""),"",MAX($E998-$E999,0))</f>
        <v>0</v>
      </c>
      <c r="N999">
        <f>IF(COUNT($E$2:$E999)&lt;15,"",IF(AVERAGE($M$986:$M$999)=0,100,100-100/(1+AVERAGE($L$986:$L$999)/AVERAGE($M$986:$M$999))))</f>
        <v>0</v>
      </c>
      <c r="O999">
        <f>IF($E999="","",IF($E998="",$E999,$E999*0.1538461538+O998*0.8461538462))</f>
        <v>0</v>
      </c>
      <c r="P999">
        <f>IF($E999="","",IF($E998="",$E999,$E999*0.0740740741+P998*0.9259259259))</f>
        <v>0</v>
      </c>
      <c r="Q999">
        <f>IF(OR(O999="",P999=""),"",O999-P999)</f>
        <v>0</v>
      </c>
      <c r="R999">
        <f>IF(Q999="","",IF(R998="",Q999,Q999*0.2000000000+R998*0.8000000000))</f>
        <v>0</v>
      </c>
      <c r="S999">
        <f>IF(OR(Q999="",R999=""),"",Q999-R999)</f>
        <v>0</v>
      </c>
      <c r="T999">
        <f>IF(COUNT($E$2:$E999)&lt;14,"",MAX($C$986:$C$999))</f>
        <v>0</v>
      </c>
      <c r="U999">
        <f>IF(COUNT($E$2:$E999)&lt;14,"",MIN($D$986:$D$999))</f>
        <v>0</v>
      </c>
      <c r="V999">
        <f>IF(OR(T999="",U999="",T999=U999),"",100*($E999-U999)/(T999-U999))</f>
        <v>0</v>
      </c>
      <c r="W999">
        <f>IF(COUNT($V$997:$V$999)&lt;3,"",AVERAGE($V$997:$V$999))</f>
        <v>0</v>
      </c>
      <c r="X999">
        <f>IF(COUNT($N$986:$N$999)&lt;14,"",MIN($N$986:$N$999))</f>
        <v>0</v>
      </c>
      <c r="Y999">
        <f>IF(COUNT($N$986:$N$999)&lt;14,"",MAX($N$986:$N$999))</f>
        <v>0</v>
      </c>
      <c r="Z999">
        <f>IF(OR(N999="",X999="",Y999="",Y999=X999),"",100*(N999-X999)/(Y999-X999))</f>
        <v>0</v>
      </c>
      <c r="AA999">
        <f>IF(COUNT($Z$997:$Z$999)&lt;3,"",AVERAGE($Z$997:$Z$999))</f>
        <v>0</v>
      </c>
      <c r="AB999">
        <f>IF(COUNT($AA$997:$AA$999)&lt;3,"",AVERAGE($AA$997:$AA$999))</f>
        <v>0</v>
      </c>
      <c r="AC999">
        <f>IF($E999="","",MAX($C999-$D999,ABS($C999-$E998),ABS($D999-$E998)))</f>
        <v>0</v>
      </c>
      <c r="AD999">
        <f>IF(COUNT($E$2:$E999)&lt;15,"",AVERAGE($AC$986:$AC$999))</f>
        <v>0</v>
      </c>
      <c r="AE999">
        <f>IF(OR($E999="",$E998=""),"",IF(AND(($C999-$C998)&gt;($D998-$D999),($C999-$C998)&gt;0),$C999-$C998,0))</f>
        <v>0</v>
      </c>
      <c r="AF999">
        <f>IF(OR($E999="",$E998=""),"",IF(AND(($D998-$D999)&gt;($C999-$C998),($D998-$D999)&gt;0),$D998-$D999,0))</f>
        <v>0</v>
      </c>
      <c r="AG999">
        <f>IF(COUNT($E$2:$E999)&lt;15,"",IF(SUM($AC$986:$AC$999)=0,0,100*SUM($AE$986:$AE$999)/SUM($AC$986:$AC$999)))</f>
        <v>0</v>
      </c>
      <c r="AH999">
        <f>IF(COUNT($E$2:$E999)&lt;15,"",IF(SUM($AC$986:$AC$999)=0,0,100*SUM($AF$986:$AF$999)/SUM($AC$986:$AC$999)))</f>
        <v>0</v>
      </c>
      <c r="AI999">
        <f>IF(OR(AG999="",AH999=""),"",IF((AG999+AH999)=0,0,100*ABS(AG999-AH999)/(AG999+AH999)))</f>
        <v>0</v>
      </c>
      <c r="AJ999">
        <f>IF(COUNT($AI$986:$AI$999)&lt;14,"",AVERAGE($AI$986:$AI$999))</f>
        <v>0</v>
      </c>
      <c r="AK999">
        <f>IF(COUNT($E$2:$E999)&lt;20,"",AVERAGE($E$980:$E$999))</f>
        <v>0</v>
      </c>
      <c r="AL999">
        <f>IF(COUNT($E$2:$E999)&lt;20,"",STDEVP($E$980:$E$999))</f>
        <v>0</v>
      </c>
      <c r="AM999">
        <f>IF(AK999="","",AK999+2*AL999)</f>
        <v>0</v>
      </c>
      <c r="AN999">
        <f>IF(AK999="","",AK999-2*AL999)</f>
        <v>0</v>
      </c>
      <c r="AO999">
        <f>IF(OR(AM999="",AN999="",AM999=AN999),"",($E999-AN999)/(AM999-AN999))</f>
        <v>0</v>
      </c>
      <c r="AP999">
        <f>IF(OR(AM999="",AK999="",AK999=0),"",(AM999-AN999)/AK999)</f>
        <v>0</v>
      </c>
      <c r="AQ999">
        <f>IF(COUNT($E$2:$E999)&lt;20,"",MAX($C$980:$C$999))</f>
        <v>0</v>
      </c>
      <c r="AR999">
        <f>IF(COUNT($E$2:$E999)&lt;20,"",MIN($D$980:$D$999))</f>
        <v>0</v>
      </c>
      <c r="AS999">
        <f>IF(OR(AQ999="",AR999=""),"",(AQ999+AR999)/2)</f>
        <v>0</v>
      </c>
      <c r="AT999">
        <f>IF(COUNT($G$980:$G$999)&lt;20,"",STDEV($G$980:$G$999)*SQRT(252))</f>
        <v>0</v>
      </c>
      <c r="AU999">
        <f>IF(COUNT($E$2:$E999)&lt;9,"",(MAX($C$991:$C$999)+MIN($D$991:$D$999))/2)</f>
        <v>0</v>
      </c>
      <c r="AV999">
        <f>IF(COUNT($E$2:$E999)&lt;26,"",(MAX($C$974:$C$999)+MIN($D$974:$D$999))/2)</f>
        <v>0</v>
      </c>
      <c r="AW999">
        <f>IF(OR(AU999="",AV999=""),"",(AU999+AV999)/2)</f>
        <v>0</v>
      </c>
      <c r="AX999">
        <f>IF(COUNT($E$2:$E999)&lt;52,"",(MAX($C$948:$C$999)+MIN($D$948:$D$999))/2)</f>
        <v>0</v>
      </c>
      <c r="AY999">
        <f>IF(COUNT($E$2:$E999)&lt;20,"",MAX($C$900:$C$999))</f>
        <v>0</v>
      </c>
      <c r="AZ999">
        <f>IF(COUNT($E$2:$E999)&lt;20,"",MIN($D$900:$D$999))</f>
        <v>0</v>
      </c>
      <c r="BA999">
        <f>IF(COUNT($E$2:$E999)&lt;20,"",SLOPE($E$900:$E$999,$F$900:$F$999))</f>
        <v>0</v>
      </c>
      <c r="BB999">
        <f>IF(COUNT($E$2:$E999)&lt;20,"",INTERCEPT($E$900:$E$999,$F$900:$F$999))</f>
        <v>0</v>
      </c>
      <c r="BC999">
        <f>IF(OR(BA999="",BB999=""),"",BB999+BA999*F999)</f>
        <v>0</v>
      </c>
      <c r="BD999">
        <f>IF(COUNT($E$2:$E999)&lt;20,"",STEYX($E$900:$E$999,$F$900:$F$999))</f>
        <v>0</v>
      </c>
      <c r="BE999">
        <f>IF($E999="","",IF(AND(COUNT($E$1000:$E$1003)&gt;=4,$C999=MAX($C$995:$C$1003)),$C999,""))</f>
        <v>0</v>
      </c>
      <c r="BF999">
        <f>IF($E999="","",IF(AND(COUNT($E$1000:$E$1003)&gt;=4,$D999=MIN($D$995:$D$1003)),$D999,""))</f>
        <v>0</v>
      </c>
      <c r="BG999">
        <f>IF($A999="","",$A999-WEEKDAY($A999,2)+1)</f>
        <v>0</v>
      </c>
      <c r="BH999">
        <f>IF($A999="","",IF($A998="",1,IF(BG999&lt;&gt;BG998,1,0)))</f>
        <v>0</v>
      </c>
      <c r="BI999">
        <f>IF($A999="","",IF($A1000="",1,IF(BG1000&lt;&gt;BG999,1,0)))</f>
        <v>0</v>
      </c>
      <c r="BJ999">
        <f>IF($A999="","",IF(BH999=1,$B999,BJ998))</f>
        <v>0</v>
      </c>
      <c r="BK999">
        <f>IF($A999="","",IF(BH999=1,$C999,MAX($C999,BK998)))</f>
        <v>0</v>
      </c>
      <c r="BL999">
        <f>IF($A999="","",IF(BH999=1,$D999,MIN($D999,BL998)))</f>
        <v>0</v>
      </c>
      <c r="BM999">
        <f>IF($A999="","",IF(BI999=1,F999,""))</f>
        <v>0</v>
      </c>
      <c r="BN999">
        <f>IF($A999="","",DATE(YEAR($A999),MONTH($A999),1))</f>
        <v>0</v>
      </c>
      <c r="BO999">
        <f>IF($A999="","",IF($A998="",1,IF(BN999&lt;&gt;BN998,1,0)))</f>
        <v>0</v>
      </c>
      <c r="BP999">
        <f>IF($A999="","",IF($A1000="",1,IF(BN1000&lt;&gt;BN999,1,0)))</f>
        <v>0</v>
      </c>
      <c r="BQ999">
        <f>IF($A999="","",IF(BO999=1,$B999,BQ998))</f>
        <v>0</v>
      </c>
      <c r="BR999">
        <f>IF($A999="","",IF(BO999=1,$C999,MAX($C999,BR998)))</f>
        <v>0</v>
      </c>
      <c r="BS999">
        <f>IF($A999="","",IF(BO999=1,$D999,MIN($D999,BS998)))</f>
        <v>0</v>
      </c>
      <c r="BT999">
        <f>IF($A999="","",IF(BP999=1,F999,""))</f>
        <v>0</v>
      </c>
    </row>
    <row r="1000" spans="1:72">
      <c r="A1000" s="27">
        <f>IF(Data!$A1000="","",Data!$A1000)</f>
        <v>0</v>
      </c>
      <c r="B1000">
        <f>IF(Data!$B1000="","",Data!$B1000)</f>
        <v>0</v>
      </c>
      <c r="C1000">
        <f>IF(Data!$C1000="","",Data!$C1000)</f>
        <v>0</v>
      </c>
      <c r="D1000">
        <f>IF(Data!$D1000="","",Data!$D1000)</f>
        <v>0</v>
      </c>
      <c r="E1000">
        <f>IF(Data!$E1000="","",Data!$E1000)</f>
        <v>0</v>
      </c>
      <c r="F1000">
        <f>IF($E1000="","",N(F999)+1)</f>
        <v>0</v>
      </c>
      <c r="G1000">
        <f>IF(OR($E1000="",$E999=""),"",LN($E1000/$E999))</f>
        <v>0</v>
      </c>
      <c r="H1000">
        <f>IF($E1000="","",IF($E999="",$E1000,$E1000*0.0952380952+H999*0.9047619048))</f>
        <v>0</v>
      </c>
      <c r="I1000">
        <f>IF($E1000="","",IF($E999="",$E1000,$E1000*0.0392156863+I999*0.9607843137))</f>
        <v>0</v>
      </c>
      <c r="J1000">
        <f>IF($E1000="","",IF($E999="",$E1000,$E1000*0.0198019802+J999*0.9801980198))</f>
        <v>0</v>
      </c>
      <c r="K1000">
        <f>IF($E1000="","",IF($E999="",$E1000,$E1000*0.0099502488+K999*0.9900497512))</f>
        <v>0</v>
      </c>
      <c r="L1000">
        <f>IF(OR($E1000="",$E999=""),"",MAX($E1000-$E999,0))</f>
        <v>0</v>
      </c>
      <c r="M1000">
        <f>IF(OR($E1000="",$E999=""),"",MAX($E999-$E1000,0))</f>
        <v>0</v>
      </c>
      <c r="N1000">
        <f>IF(COUNT($E$2:$E1000)&lt;15,"",IF(AVERAGE($M$987:$M$1000)=0,100,100-100/(1+AVERAGE($L$987:$L$1000)/AVERAGE($M$987:$M$1000))))</f>
        <v>0</v>
      </c>
      <c r="O1000">
        <f>IF($E1000="","",IF($E999="",$E1000,$E1000*0.1538461538+O999*0.8461538462))</f>
        <v>0</v>
      </c>
      <c r="P1000">
        <f>IF($E1000="","",IF($E999="",$E1000,$E1000*0.0740740741+P999*0.9259259259))</f>
        <v>0</v>
      </c>
      <c r="Q1000">
        <f>IF(OR(O1000="",P1000=""),"",O1000-P1000)</f>
        <v>0</v>
      </c>
      <c r="R1000">
        <f>IF(Q1000="","",IF(R999="",Q1000,Q1000*0.2000000000+R999*0.8000000000))</f>
        <v>0</v>
      </c>
      <c r="S1000">
        <f>IF(OR(Q1000="",R1000=""),"",Q1000-R1000)</f>
        <v>0</v>
      </c>
      <c r="T1000">
        <f>IF(COUNT($E$2:$E1000)&lt;14,"",MAX($C$987:$C$1000))</f>
        <v>0</v>
      </c>
      <c r="U1000">
        <f>IF(COUNT($E$2:$E1000)&lt;14,"",MIN($D$987:$D$1000))</f>
        <v>0</v>
      </c>
      <c r="V1000">
        <f>IF(OR(T1000="",U1000="",T1000=U1000),"",100*($E1000-U1000)/(T1000-U1000))</f>
        <v>0</v>
      </c>
      <c r="W1000">
        <f>IF(COUNT($V$998:$V$1000)&lt;3,"",AVERAGE($V$998:$V$1000))</f>
        <v>0</v>
      </c>
      <c r="X1000">
        <f>IF(COUNT($N$987:$N$1000)&lt;14,"",MIN($N$987:$N$1000))</f>
        <v>0</v>
      </c>
      <c r="Y1000">
        <f>IF(COUNT($N$987:$N$1000)&lt;14,"",MAX($N$987:$N$1000))</f>
        <v>0</v>
      </c>
      <c r="Z1000">
        <f>IF(OR(N1000="",X1000="",Y1000="",Y1000=X1000),"",100*(N1000-X1000)/(Y1000-X1000))</f>
        <v>0</v>
      </c>
      <c r="AA1000">
        <f>IF(COUNT($Z$998:$Z$1000)&lt;3,"",AVERAGE($Z$998:$Z$1000))</f>
        <v>0</v>
      </c>
      <c r="AB1000">
        <f>IF(COUNT($AA$998:$AA$1000)&lt;3,"",AVERAGE($AA$998:$AA$1000))</f>
        <v>0</v>
      </c>
      <c r="AC1000">
        <f>IF($E1000="","",MAX($C1000-$D1000,ABS($C1000-$E999),ABS($D1000-$E999)))</f>
        <v>0</v>
      </c>
      <c r="AD1000">
        <f>IF(COUNT($E$2:$E1000)&lt;15,"",AVERAGE($AC$987:$AC$1000))</f>
        <v>0</v>
      </c>
      <c r="AE1000">
        <f>IF(OR($E1000="",$E999=""),"",IF(AND(($C1000-$C999)&gt;($D999-$D1000),($C1000-$C999)&gt;0),$C1000-$C999,0))</f>
        <v>0</v>
      </c>
      <c r="AF1000">
        <f>IF(OR($E1000="",$E999=""),"",IF(AND(($D999-$D1000)&gt;($C1000-$C999),($D999-$D1000)&gt;0),$D999-$D1000,0))</f>
        <v>0</v>
      </c>
      <c r="AG1000">
        <f>IF(COUNT($E$2:$E1000)&lt;15,"",IF(SUM($AC$987:$AC$1000)=0,0,100*SUM($AE$987:$AE$1000)/SUM($AC$987:$AC$1000)))</f>
        <v>0</v>
      </c>
      <c r="AH1000">
        <f>IF(COUNT($E$2:$E1000)&lt;15,"",IF(SUM($AC$987:$AC$1000)=0,0,100*SUM($AF$987:$AF$1000)/SUM($AC$987:$AC$1000)))</f>
        <v>0</v>
      </c>
      <c r="AI1000">
        <f>IF(OR(AG1000="",AH1000=""),"",IF((AG1000+AH1000)=0,0,100*ABS(AG1000-AH1000)/(AG1000+AH1000)))</f>
        <v>0</v>
      </c>
      <c r="AJ1000">
        <f>IF(COUNT($AI$987:$AI$1000)&lt;14,"",AVERAGE($AI$987:$AI$1000))</f>
        <v>0</v>
      </c>
      <c r="AK1000">
        <f>IF(COUNT($E$2:$E1000)&lt;20,"",AVERAGE($E$981:$E$1000))</f>
        <v>0</v>
      </c>
      <c r="AL1000">
        <f>IF(COUNT($E$2:$E1000)&lt;20,"",STDEVP($E$981:$E$1000))</f>
        <v>0</v>
      </c>
      <c r="AM1000">
        <f>IF(AK1000="","",AK1000+2*AL1000)</f>
        <v>0</v>
      </c>
      <c r="AN1000">
        <f>IF(AK1000="","",AK1000-2*AL1000)</f>
        <v>0</v>
      </c>
      <c r="AO1000">
        <f>IF(OR(AM1000="",AN1000="",AM1000=AN1000),"",($E1000-AN1000)/(AM1000-AN1000))</f>
        <v>0</v>
      </c>
      <c r="AP1000">
        <f>IF(OR(AM1000="",AK1000="",AK1000=0),"",(AM1000-AN1000)/AK1000)</f>
        <v>0</v>
      </c>
      <c r="AQ1000">
        <f>IF(COUNT($E$2:$E1000)&lt;20,"",MAX($C$981:$C$1000))</f>
        <v>0</v>
      </c>
      <c r="AR1000">
        <f>IF(COUNT($E$2:$E1000)&lt;20,"",MIN($D$981:$D$1000))</f>
        <v>0</v>
      </c>
      <c r="AS1000">
        <f>IF(OR(AQ1000="",AR1000=""),"",(AQ1000+AR1000)/2)</f>
        <v>0</v>
      </c>
      <c r="AT1000">
        <f>IF(COUNT($G$981:$G$1000)&lt;20,"",STDEV($G$981:$G$1000)*SQRT(252))</f>
        <v>0</v>
      </c>
      <c r="AU1000">
        <f>IF(COUNT($E$2:$E1000)&lt;9,"",(MAX($C$992:$C$1000)+MIN($D$992:$D$1000))/2)</f>
        <v>0</v>
      </c>
      <c r="AV1000">
        <f>IF(COUNT($E$2:$E1000)&lt;26,"",(MAX($C$975:$C$1000)+MIN($D$975:$D$1000))/2)</f>
        <v>0</v>
      </c>
      <c r="AW1000">
        <f>IF(OR(AU1000="",AV1000=""),"",(AU1000+AV1000)/2)</f>
        <v>0</v>
      </c>
      <c r="AX1000">
        <f>IF(COUNT($E$2:$E1000)&lt;52,"",(MAX($C$949:$C$1000)+MIN($D$949:$D$1000))/2)</f>
        <v>0</v>
      </c>
      <c r="AY1000">
        <f>IF(COUNT($E$2:$E1000)&lt;20,"",MAX($C$901:$C$1000))</f>
        <v>0</v>
      </c>
      <c r="AZ1000">
        <f>IF(COUNT($E$2:$E1000)&lt;20,"",MIN($D$901:$D$1000))</f>
        <v>0</v>
      </c>
      <c r="BA1000">
        <f>IF(COUNT($E$2:$E1000)&lt;20,"",SLOPE($E$901:$E$1000,$F$901:$F$1000))</f>
        <v>0</v>
      </c>
      <c r="BB1000">
        <f>IF(COUNT($E$2:$E1000)&lt;20,"",INTERCEPT($E$901:$E$1000,$F$901:$F$1000))</f>
        <v>0</v>
      </c>
      <c r="BC1000">
        <f>IF(OR(BA1000="",BB1000=""),"",BB1000+BA1000*F1000)</f>
        <v>0</v>
      </c>
      <c r="BD1000">
        <f>IF(COUNT($E$2:$E1000)&lt;20,"",STEYX($E$901:$E$1000,$F$901:$F$1000))</f>
        <v>0</v>
      </c>
      <c r="BE1000">
        <f>IF($E1000="","",IF(AND(COUNT($E$1001:$E$1004)&gt;=4,$C1000=MAX($C$996:$C$1004)),$C1000,""))</f>
        <v>0</v>
      </c>
      <c r="BF1000">
        <f>IF($E1000="","",IF(AND(COUNT($E$1001:$E$1004)&gt;=4,$D1000=MIN($D$996:$D$1004)),$D1000,""))</f>
        <v>0</v>
      </c>
      <c r="BG1000">
        <f>IF($A1000="","",$A1000-WEEKDAY($A1000,2)+1)</f>
        <v>0</v>
      </c>
      <c r="BH1000">
        <f>IF($A1000="","",IF($A999="",1,IF(BG1000&lt;&gt;BG999,1,0)))</f>
        <v>0</v>
      </c>
      <c r="BI1000">
        <f>IF($A1000="","",IF($A1001="",1,IF(BG1001&lt;&gt;BG1000,1,0)))</f>
        <v>0</v>
      </c>
      <c r="BJ1000">
        <f>IF($A1000="","",IF(BH1000=1,$B1000,BJ999))</f>
        <v>0</v>
      </c>
      <c r="BK1000">
        <f>IF($A1000="","",IF(BH1000=1,$C1000,MAX($C1000,BK999)))</f>
        <v>0</v>
      </c>
      <c r="BL1000">
        <f>IF($A1000="","",IF(BH1000=1,$D1000,MIN($D1000,BL999)))</f>
        <v>0</v>
      </c>
      <c r="BM1000">
        <f>IF($A1000="","",IF(BI1000=1,F1000,""))</f>
        <v>0</v>
      </c>
      <c r="BN1000">
        <f>IF($A1000="","",DATE(YEAR($A1000),MONTH($A1000),1))</f>
        <v>0</v>
      </c>
      <c r="BO1000">
        <f>IF($A1000="","",IF($A999="",1,IF(BN1000&lt;&gt;BN999,1,0)))</f>
        <v>0</v>
      </c>
      <c r="BP1000">
        <f>IF($A1000="","",IF($A1001="",1,IF(BN1001&lt;&gt;BN1000,1,0)))</f>
        <v>0</v>
      </c>
      <c r="BQ1000">
        <f>IF($A1000="","",IF(BO1000=1,$B1000,BQ999))</f>
        <v>0</v>
      </c>
      <c r="BR1000">
        <f>IF($A1000="","",IF(BO1000=1,$C1000,MAX($C1000,BR999)))</f>
        <v>0</v>
      </c>
      <c r="BS1000">
        <f>IF($A1000="","",IF(BO1000=1,$D1000,MIN($D1000,BS999)))</f>
        <v>0</v>
      </c>
      <c r="BT1000">
        <f>IF($A1000="","",IF(BP1000=1,F1000,""))</f>
        <v>0</v>
      </c>
    </row>
    <row r="1001" spans="1:72">
      <c r="A1001" s="27">
        <f>IF(Data!$A1001="","",Data!$A1001)</f>
        <v>0</v>
      </c>
      <c r="B1001">
        <f>IF(Data!$B1001="","",Data!$B1001)</f>
        <v>0</v>
      </c>
      <c r="C1001">
        <f>IF(Data!$C1001="","",Data!$C1001)</f>
        <v>0</v>
      </c>
      <c r="D1001">
        <f>IF(Data!$D1001="","",Data!$D1001)</f>
        <v>0</v>
      </c>
      <c r="E1001">
        <f>IF(Data!$E1001="","",Data!$E1001)</f>
        <v>0</v>
      </c>
      <c r="F1001">
        <f>IF($E1001="","",N(F1000)+1)</f>
        <v>0</v>
      </c>
      <c r="G1001">
        <f>IF(OR($E1001="",$E1000=""),"",LN($E1001/$E1000))</f>
        <v>0</v>
      </c>
      <c r="H1001">
        <f>IF($E1001="","",IF($E1000="",$E1001,$E1001*0.0952380952+H1000*0.9047619048))</f>
        <v>0</v>
      </c>
      <c r="I1001">
        <f>IF($E1001="","",IF($E1000="",$E1001,$E1001*0.0392156863+I1000*0.9607843137))</f>
        <v>0</v>
      </c>
      <c r="J1001">
        <f>IF($E1001="","",IF($E1000="",$E1001,$E1001*0.0198019802+J1000*0.9801980198))</f>
        <v>0</v>
      </c>
      <c r="K1001">
        <f>IF($E1001="","",IF($E1000="",$E1001,$E1001*0.0099502488+K1000*0.9900497512))</f>
        <v>0</v>
      </c>
      <c r="L1001">
        <f>IF(OR($E1001="",$E1000=""),"",MAX($E1001-$E1000,0))</f>
        <v>0</v>
      </c>
      <c r="M1001">
        <f>IF(OR($E1001="",$E1000=""),"",MAX($E1000-$E1001,0))</f>
        <v>0</v>
      </c>
      <c r="N1001">
        <f>IF(COUNT($E$2:$E1001)&lt;15,"",IF(AVERAGE($M$988:$M$1001)=0,100,100-100/(1+AVERAGE($L$988:$L$1001)/AVERAGE($M$988:$M$1001))))</f>
        <v>0</v>
      </c>
      <c r="O1001">
        <f>IF($E1001="","",IF($E1000="",$E1001,$E1001*0.1538461538+O1000*0.8461538462))</f>
        <v>0</v>
      </c>
      <c r="P1001">
        <f>IF($E1001="","",IF($E1000="",$E1001,$E1001*0.0740740741+P1000*0.9259259259))</f>
        <v>0</v>
      </c>
      <c r="Q1001">
        <f>IF(OR(O1001="",P1001=""),"",O1001-P1001)</f>
        <v>0</v>
      </c>
      <c r="R1001">
        <f>IF(Q1001="","",IF(R1000="",Q1001,Q1001*0.2000000000+R1000*0.8000000000))</f>
        <v>0</v>
      </c>
      <c r="S1001">
        <f>IF(OR(Q1001="",R1001=""),"",Q1001-R1001)</f>
        <v>0</v>
      </c>
      <c r="T1001">
        <f>IF(COUNT($E$2:$E1001)&lt;14,"",MAX($C$988:$C$1001))</f>
        <v>0</v>
      </c>
      <c r="U1001">
        <f>IF(COUNT($E$2:$E1001)&lt;14,"",MIN($D$988:$D$1001))</f>
        <v>0</v>
      </c>
      <c r="V1001">
        <f>IF(OR(T1001="",U1001="",T1001=U1001),"",100*($E1001-U1001)/(T1001-U1001))</f>
        <v>0</v>
      </c>
      <c r="W1001">
        <f>IF(COUNT($V$999:$V$1001)&lt;3,"",AVERAGE($V$999:$V$1001))</f>
        <v>0</v>
      </c>
      <c r="X1001">
        <f>IF(COUNT($N$988:$N$1001)&lt;14,"",MIN($N$988:$N$1001))</f>
        <v>0</v>
      </c>
      <c r="Y1001">
        <f>IF(COUNT($N$988:$N$1001)&lt;14,"",MAX($N$988:$N$1001))</f>
        <v>0</v>
      </c>
      <c r="Z1001">
        <f>IF(OR(N1001="",X1001="",Y1001="",Y1001=X1001),"",100*(N1001-X1001)/(Y1001-X1001))</f>
        <v>0</v>
      </c>
      <c r="AA1001">
        <f>IF(COUNT($Z$999:$Z$1001)&lt;3,"",AVERAGE($Z$999:$Z$1001))</f>
        <v>0</v>
      </c>
      <c r="AB1001">
        <f>IF(COUNT($AA$999:$AA$1001)&lt;3,"",AVERAGE($AA$999:$AA$1001))</f>
        <v>0</v>
      </c>
      <c r="AC1001">
        <f>IF($E1001="","",MAX($C1001-$D1001,ABS($C1001-$E1000),ABS($D1001-$E1000)))</f>
        <v>0</v>
      </c>
      <c r="AD1001">
        <f>IF(COUNT($E$2:$E1001)&lt;15,"",AVERAGE($AC$988:$AC$1001))</f>
        <v>0</v>
      </c>
      <c r="AE1001">
        <f>IF(OR($E1001="",$E1000=""),"",IF(AND(($C1001-$C1000)&gt;($D1000-$D1001),($C1001-$C1000)&gt;0),$C1001-$C1000,0))</f>
        <v>0</v>
      </c>
      <c r="AF1001">
        <f>IF(OR($E1001="",$E1000=""),"",IF(AND(($D1000-$D1001)&gt;($C1001-$C1000),($D1000-$D1001)&gt;0),$D1000-$D1001,0))</f>
        <v>0</v>
      </c>
      <c r="AG1001">
        <f>IF(COUNT($E$2:$E1001)&lt;15,"",IF(SUM($AC$988:$AC$1001)=0,0,100*SUM($AE$988:$AE$1001)/SUM($AC$988:$AC$1001)))</f>
        <v>0</v>
      </c>
      <c r="AH1001">
        <f>IF(COUNT($E$2:$E1001)&lt;15,"",IF(SUM($AC$988:$AC$1001)=0,0,100*SUM($AF$988:$AF$1001)/SUM($AC$988:$AC$1001)))</f>
        <v>0</v>
      </c>
      <c r="AI1001">
        <f>IF(OR(AG1001="",AH1001=""),"",IF((AG1001+AH1001)=0,0,100*ABS(AG1001-AH1001)/(AG1001+AH1001)))</f>
        <v>0</v>
      </c>
      <c r="AJ1001">
        <f>IF(COUNT($AI$988:$AI$1001)&lt;14,"",AVERAGE($AI$988:$AI$1001))</f>
        <v>0</v>
      </c>
      <c r="AK1001">
        <f>IF(COUNT($E$2:$E1001)&lt;20,"",AVERAGE($E$982:$E$1001))</f>
        <v>0</v>
      </c>
      <c r="AL1001">
        <f>IF(COUNT($E$2:$E1001)&lt;20,"",STDEVP($E$982:$E$1001))</f>
        <v>0</v>
      </c>
      <c r="AM1001">
        <f>IF(AK1001="","",AK1001+2*AL1001)</f>
        <v>0</v>
      </c>
      <c r="AN1001">
        <f>IF(AK1001="","",AK1001-2*AL1001)</f>
        <v>0</v>
      </c>
      <c r="AO1001">
        <f>IF(OR(AM1001="",AN1001="",AM1001=AN1001),"",($E1001-AN1001)/(AM1001-AN1001))</f>
        <v>0</v>
      </c>
      <c r="AP1001">
        <f>IF(OR(AM1001="",AK1001="",AK1001=0),"",(AM1001-AN1001)/AK1001)</f>
        <v>0</v>
      </c>
      <c r="AQ1001">
        <f>IF(COUNT($E$2:$E1001)&lt;20,"",MAX($C$982:$C$1001))</f>
        <v>0</v>
      </c>
      <c r="AR1001">
        <f>IF(COUNT($E$2:$E1001)&lt;20,"",MIN($D$982:$D$1001))</f>
        <v>0</v>
      </c>
      <c r="AS1001">
        <f>IF(OR(AQ1001="",AR1001=""),"",(AQ1001+AR1001)/2)</f>
        <v>0</v>
      </c>
      <c r="AT1001">
        <f>IF(COUNT($G$982:$G$1001)&lt;20,"",STDEV($G$982:$G$1001)*SQRT(252))</f>
        <v>0</v>
      </c>
      <c r="AU1001">
        <f>IF(COUNT($E$2:$E1001)&lt;9,"",(MAX($C$993:$C$1001)+MIN($D$993:$D$1001))/2)</f>
        <v>0</v>
      </c>
      <c r="AV1001">
        <f>IF(COUNT($E$2:$E1001)&lt;26,"",(MAX($C$976:$C$1001)+MIN($D$976:$D$1001))/2)</f>
        <v>0</v>
      </c>
      <c r="AW1001">
        <f>IF(OR(AU1001="",AV1001=""),"",(AU1001+AV1001)/2)</f>
        <v>0</v>
      </c>
      <c r="AX1001">
        <f>IF(COUNT($E$2:$E1001)&lt;52,"",(MAX($C$950:$C$1001)+MIN($D$950:$D$1001))/2)</f>
        <v>0</v>
      </c>
      <c r="AY1001">
        <f>IF(COUNT($E$2:$E1001)&lt;20,"",MAX($C$902:$C$1001))</f>
        <v>0</v>
      </c>
      <c r="AZ1001">
        <f>IF(COUNT($E$2:$E1001)&lt;20,"",MIN($D$902:$D$1001))</f>
        <v>0</v>
      </c>
      <c r="BA1001">
        <f>IF(COUNT($E$2:$E1001)&lt;20,"",SLOPE($E$902:$E$1001,$F$902:$F$1001))</f>
        <v>0</v>
      </c>
      <c r="BB1001">
        <f>IF(COUNT($E$2:$E1001)&lt;20,"",INTERCEPT($E$902:$E$1001,$F$902:$F$1001))</f>
        <v>0</v>
      </c>
      <c r="BC1001">
        <f>IF(OR(BA1001="",BB1001=""),"",BB1001+BA1001*F1001)</f>
        <v>0</v>
      </c>
      <c r="BD1001">
        <f>IF(COUNT($E$2:$E1001)&lt;20,"",STEYX($E$902:$E$1001,$F$902:$F$1001))</f>
        <v>0</v>
      </c>
      <c r="BE1001">
        <f>IF($E1001="","",IF(AND(COUNT($E$1002:$E$1005)&gt;=4,$C1001=MAX($C$997:$C$1005)),$C1001,""))</f>
        <v>0</v>
      </c>
      <c r="BF1001">
        <f>IF($E1001="","",IF(AND(COUNT($E$1002:$E$1005)&gt;=4,$D1001=MIN($D$997:$D$1005)),$D1001,""))</f>
        <v>0</v>
      </c>
      <c r="BG1001">
        <f>IF($A1001="","",$A1001-WEEKDAY($A1001,2)+1)</f>
        <v>0</v>
      </c>
      <c r="BH1001">
        <f>IF($A1001="","",IF($A1000="",1,IF(BG1001&lt;&gt;BG1000,1,0)))</f>
        <v>0</v>
      </c>
      <c r="BI1001">
        <f>IF($A1001="","",IF($A1002="",1,IF(BG1002&lt;&gt;BG1001,1,0)))</f>
        <v>0</v>
      </c>
      <c r="BJ1001">
        <f>IF($A1001="","",IF(BH1001=1,$B1001,BJ1000))</f>
        <v>0</v>
      </c>
      <c r="BK1001">
        <f>IF($A1001="","",IF(BH1001=1,$C1001,MAX($C1001,BK1000)))</f>
        <v>0</v>
      </c>
      <c r="BL1001">
        <f>IF($A1001="","",IF(BH1001=1,$D1001,MIN($D1001,BL1000)))</f>
        <v>0</v>
      </c>
      <c r="BM1001">
        <f>IF($A1001="","",IF(BI1001=1,F1001,""))</f>
        <v>0</v>
      </c>
      <c r="BN1001">
        <f>IF($A1001="","",DATE(YEAR($A1001),MONTH($A1001),1))</f>
        <v>0</v>
      </c>
      <c r="BO1001">
        <f>IF($A1001="","",IF($A1000="",1,IF(BN1001&lt;&gt;BN1000,1,0)))</f>
        <v>0</v>
      </c>
      <c r="BP1001">
        <f>IF($A1001="","",IF($A1002="",1,IF(BN1002&lt;&gt;BN1001,1,0)))</f>
        <v>0</v>
      </c>
      <c r="BQ1001">
        <f>IF($A1001="","",IF(BO1001=1,$B1001,BQ1000))</f>
        <v>0</v>
      </c>
      <c r="BR1001">
        <f>IF($A1001="","",IF(BO1001=1,$C1001,MAX($C1001,BR1000)))</f>
        <v>0</v>
      </c>
      <c r="BS1001">
        <f>IF($A1001="","",IF(BO1001=1,$D1001,MIN($D1001,BS1000)))</f>
        <v>0</v>
      </c>
      <c r="BT1001">
        <f>IF($A1001="","",IF(BP1001=1,F1001,""))</f>
        <v>0</v>
      </c>
    </row>
    <row r="1002" spans="1:72">
      <c r="A1002" s="27">
        <f>IF(Data!$A1002="","",Data!$A1002)</f>
        <v>0</v>
      </c>
      <c r="B1002">
        <f>IF(Data!$B1002="","",Data!$B1002)</f>
        <v>0</v>
      </c>
      <c r="C1002">
        <f>IF(Data!$C1002="","",Data!$C1002)</f>
        <v>0</v>
      </c>
      <c r="D1002">
        <f>IF(Data!$D1002="","",Data!$D1002)</f>
        <v>0</v>
      </c>
      <c r="E1002">
        <f>IF(Data!$E1002="","",Data!$E1002)</f>
        <v>0</v>
      </c>
      <c r="F1002">
        <f>IF($E1002="","",N(F1001)+1)</f>
        <v>0</v>
      </c>
      <c r="G1002">
        <f>IF(OR($E1002="",$E1001=""),"",LN($E1002/$E1001))</f>
        <v>0</v>
      </c>
      <c r="H1002">
        <f>IF($E1002="","",IF($E1001="",$E1002,$E1002*0.0952380952+H1001*0.9047619048))</f>
        <v>0</v>
      </c>
      <c r="I1002">
        <f>IF($E1002="","",IF($E1001="",$E1002,$E1002*0.0392156863+I1001*0.9607843137))</f>
        <v>0</v>
      </c>
      <c r="J1002">
        <f>IF($E1002="","",IF($E1001="",$E1002,$E1002*0.0198019802+J1001*0.9801980198))</f>
        <v>0</v>
      </c>
      <c r="K1002">
        <f>IF($E1002="","",IF($E1001="",$E1002,$E1002*0.0099502488+K1001*0.9900497512))</f>
        <v>0</v>
      </c>
      <c r="L1002">
        <f>IF(OR($E1002="",$E1001=""),"",MAX($E1002-$E1001,0))</f>
        <v>0</v>
      </c>
      <c r="M1002">
        <f>IF(OR($E1002="",$E1001=""),"",MAX($E1001-$E1002,0))</f>
        <v>0</v>
      </c>
      <c r="N1002">
        <f>IF(COUNT($E$2:$E1002)&lt;15,"",IF(AVERAGE($M$989:$M$1002)=0,100,100-100/(1+AVERAGE($L$989:$L$1002)/AVERAGE($M$989:$M$1002))))</f>
        <v>0</v>
      </c>
      <c r="O1002">
        <f>IF($E1002="","",IF($E1001="",$E1002,$E1002*0.1538461538+O1001*0.8461538462))</f>
        <v>0</v>
      </c>
      <c r="P1002">
        <f>IF($E1002="","",IF($E1001="",$E1002,$E1002*0.0740740741+P1001*0.9259259259))</f>
        <v>0</v>
      </c>
      <c r="Q1002">
        <f>IF(OR(O1002="",P1002=""),"",O1002-P1002)</f>
        <v>0</v>
      </c>
      <c r="R1002">
        <f>IF(Q1002="","",IF(R1001="",Q1002,Q1002*0.2000000000+R1001*0.8000000000))</f>
        <v>0</v>
      </c>
      <c r="S1002">
        <f>IF(OR(Q1002="",R1002=""),"",Q1002-R1002)</f>
        <v>0</v>
      </c>
      <c r="T1002">
        <f>IF(COUNT($E$2:$E1002)&lt;14,"",MAX($C$989:$C$1002))</f>
        <v>0</v>
      </c>
      <c r="U1002">
        <f>IF(COUNT($E$2:$E1002)&lt;14,"",MIN($D$989:$D$1002))</f>
        <v>0</v>
      </c>
      <c r="V1002">
        <f>IF(OR(T1002="",U1002="",T1002=U1002),"",100*($E1002-U1002)/(T1002-U1002))</f>
        <v>0</v>
      </c>
      <c r="W1002">
        <f>IF(COUNT($V$1000:$V$1002)&lt;3,"",AVERAGE($V$1000:$V$1002))</f>
        <v>0</v>
      </c>
      <c r="X1002">
        <f>IF(COUNT($N$989:$N$1002)&lt;14,"",MIN($N$989:$N$1002))</f>
        <v>0</v>
      </c>
      <c r="Y1002">
        <f>IF(COUNT($N$989:$N$1002)&lt;14,"",MAX($N$989:$N$1002))</f>
        <v>0</v>
      </c>
      <c r="Z1002">
        <f>IF(OR(N1002="",X1002="",Y1002="",Y1002=X1002),"",100*(N1002-X1002)/(Y1002-X1002))</f>
        <v>0</v>
      </c>
      <c r="AA1002">
        <f>IF(COUNT($Z$1000:$Z$1002)&lt;3,"",AVERAGE($Z$1000:$Z$1002))</f>
        <v>0</v>
      </c>
      <c r="AB1002">
        <f>IF(COUNT($AA$1000:$AA$1002)&lt;3,"",AVERAGE($AA$1000:$AA$1002))</f>
        <v>0</v>
      </c>
      <c r="AC1002">
        <f>IF($E1002="","",MAX($C1002-$D1002,ABS($C1002-$E1001),ABS($D1002-$E1001)))</f>
        <v>0</v>
      </c>
      <c r="AD1002">
        <f>IF(COUNT($E$2:$E1002)&lt;15,"",AVERAGE($AC$989:$AC$1002))</f>
        <v>0</v>
      </c>
      <c r="AE1002">
        <f>IF(OR($E1002="",$E1001=""),"",IF(AND(($C1002-$C1001)&gt;($D1001-$D1002),($C1002-$C1001)&gt;0),$C1002-$C1001,0))</f>
        <v>0</v>
      </c>
      <c r="AF1002">
        <f>IF(OR($E1002="",$E1001=""),"",IF(AND(($D1001-$D1002)&gt;($C1002-$C1001),($D1001-$D1002)&gt;0),$D1001-$D1002,0))</f>
        <v>0</v>
      </c>
      <c r="AG1002">
        <f>IF(COUNT($E$2:$E1002)&lt;15,"",IF(SUM($AC$989:$AC$1002)=0,0,100*SUM($AE$989:$AE$1002)/SUM($AC$989:$AC$1002)))</f>
        <v>0</v>
      </c>
      <c r="AH1002">
        <f>IF(COUNT($E$2:$E1002)&lt;15,"",IF(SUM($AC$989:$AC$1002)=0,0,100*SUM($AF$989:$AF$1002)/SUM($AC$989:$AC$1002)))</f>
        <v>0</v>
      </c>
      <c r="AI1002">
        <f>IF(OR(AG1002="",AH1002=""),"",IF((AG1002+AH1002)=0,0,100*ABS(AG1002-AH1002)/(AG1002+AH1002)))</f>
        <v>0</v>
      </c>
      <c r="AJ1002">
        <f>IF(COUNT($AI$989:$AI$1002)&lt;14,"",AVERAGE($AI$989:$AI$1002))</f>
        <v>0</v>
      </c>
      <c r="AK1002">
        <f>IF(COUNT($E$2:$E1002)&lt;20,"",AVERAGE($E$983:$E$1002))</f>
        <v>0</v>
      </c>
      <c r="AL1002">
        <f>IF(COUNT($E$2:$E1002)&lt;20,"",STDEVP($E$983:$E$1002))</f>
        <v>0</v>
      </c>
      <c r="AM1002">
        <f>IF(AK1002="","",AK1002+2*AL1002)</f>
        <v>0</v>
      </c>
      <c r="AN1002">
        <f>IF(AK1002="","",AK1002-2*AL1002)</f>
        <v>0</v>
      </c>
      <c r="AO1002">
        <f>IF(OR(AM1002="",AN1002="",AM1002=AN1002),"",($E1002-AN1002)/(AM1002-AN1002))</f>
        <v>0</v>
      </c>
      <c r="AP1002">
        <f>IF(OR(AM1002="",AK1002="",AK1002=0),"",(AM1002-AN1002)/AK1002)</f>
        <v>0</v>
      </c>
      <c r="AQ1002">
        <f>IF(COUNT($E$2:$E1002)&lt;20,"",MAX($C$983:$C$1002))</f>
        <v>0</v>
      </c>
      <c r="AR1002">
        <f>IF(COUNT($E$2:$E1002)&lt;20,"",MIN($D$983:$D$1002))</f>
        <v>0</v>
      </c>
      <c r="AS1002">
        <f>IF(OR(AQ1002="",AR1002=""),"",(AQ1002+AR1002)/2)</f>
        <v>0</v>
      </c>
      <c r="AT1002">
        <f>IF(COUNT($G$983:$G$1002)&lt;20,"",STDEV($G$983:$G$1002)*SQRT(252))</f>
        <v>0</v>
      </c>
      <c r="AU1002">
        <f>IF(COUNT($E$2:$E1002)&lt;9,"",(MAX($C$994:$C$1002)+MIN($D$994:$D$1002))/2)</f>
        <v>0</v>
      </c>
      <c r="AV1002">
        <f>IF(COUNT($E$2:$E1002)&lt;26,"",(MAX($C$977:$C$1002)+MIN($D$977:$D$1002))/2)</f>
        <v>0</v>
      </c>
      <c r="AW1002">
        <f>IF(OR(AU1002="",AV1002=""),"",(AU1002+AV1002)/2)</f>
        <v>0</v>
      </c>
      <c r="AX1002">
        <f>IF(COUNT($E$2:$E1002)&lt;52,"",(MAX($C$951:$C$1002)+MIN($D$951:$D$1002))/2)</f>
        <v>0</v>
      </c>
      <c r="AY1002">
        <f>IF(COUNT($E$2:$E1002)&lt;20,"",MAX($C$903:$C$1002))</f>
        <v>0</v>
      </c>
      <c r="AZ1002">
        <f>IF(COUNT($E$2:$E1002)&lt;20,"",MIN($D$903:$D$1002))</f>
        <v>0</v>
      </c>
      <c r="BA1002">
        <f>IF(COUNT($E$2:$E1002)&lt;20,"",SLOPE($E$903:$E$1002,$F$903:$F$1002))</f>
        <v>0</v>
      </c>
      <c r="BB1002">
        <f>IF(COUNT($E$2:$E1002)&lt;20,"",INTERCEPT($E$903:$E$1002,$F$903:$F$1002))</f>
        <v>0</v>
      </c>
      <c r="BC1002">
        <f>IF(OR(BA1002="",BB1002=""),"",BB1002+BA1002*F1002)</f>
        <v>0</v>
      </c>
      <c r="BD1002">
        <f>IF(COUNT($E$2:$E1002)&lt;20,"",STEYX($E$903:$E$1002,$F$903:$F$1002))</f>
        <v>0</v>
      </c>
      <c r="BE1002">
        <f>IF($E1002="","",IF(AND(COUNT($E$1003:$E$1006)&gt;=4,$C1002=MAX($C$998:$C$1006)),$C1002,""))</f>
        <v>0</v>
      </c>
      <c r="BF1002">
        <f>IF($E1002="","",IF(AND(COUNT($E$1003:$E$1006)&gt;=4,$D1002=MIN($D$998:$D$1006)),$D1002,""))</f>
        <v>0</v>
      </c>
      <c r="BG1002">
        <f>IF($A1002="","",$A1002-WEEKDAY($A1002,2)+1)</f>
        <v>0</v>
      </c>
      <c r="BH1002">
        <f>IF($A1002="","",IF($A1001="",1,IF(BG1002&lt;&gt;BG1001,1,0)))</f>
        <v>0</v>
      </c>
      <c r="BI1002">
        <f>IF($A1002="","",IF($A1003="",1,IF(BG1003&lt;&gt;BG1002,1,0)))</f>
        <v>0</v>
      </c>
      <c r="BJ1002">
        <f>IF($A1002="","",IF(BH1002=1,$B1002,BJ1001))</f>
        <v>0</v>
      </c>
      <c r="BK1002">
        <f>IF($A1002="","",IF(BH1002=1,$C1002,MAX($C1002,BK1001)))</f>
        <v>0</v>
      </c>
      <c r="BL1002">
        <f>IF($A1002="","",IF(BH1002=1,$D1002,MIN($D1002,BL1001)))</f>
        <v>0</v>
      </c>
      <c r="BM1002">
        <f>IF($A1002="","",IF(BI1002=1,F1002,""))</f>
        <v>0</v>
      </c>
      <c r="BN1002">
        <f>IF($A1002="","",DATE(YEAR($A1002),MONTH($A1002),1))</f>
        <v>0</v>
      </c>
      <c r="BO1002">
        <f>IF($A1002="","",IF($A1001="",1,IF(BN1002&lt;&gt;BN1001,1,0)))</f>
        <v>0</v>
      </c>
      <c r="BP1002">
        <f>IF($A1002="","",IF($A1003="",1,IF(BN1003&lt;&gt;BN1002,1,0)))</f>
        <v>0</v>
      </c>
      <c r="BQ1002">
        <f>IF($A1002="","",IF(BO1002=1,$B1002,BQ1001))</f>
        <v>0</v>
      </c>
      <c r="BR1002">
        <f>IF($A1002="","",IF(BO1002=1,$C1002,MAX($C1002,BR1001)))</f>
        <v>0</v>
      </c>
      <c r="BS1002">
        <f>IF($A1002="","",IF(BO1002=1,$D1002,MIN($D1002,BS1001)))</f>
        <v>0</v>
      </c>
      <c r="BT1002">
        <f>IF($A1002="","",IF(BP1002=1,F1002,""))</f>
        <v>0</v>
      </c>
    </row>
    <row r="1003" spans="1:72">
      <c r="A1003" s="27">
        <f>IF(Data!$A1003="","",Data!$A1003)</f>
        <v>0</v>
      </c>
      <c r="B1003">
        <f>IF(Data!$B1003="","",Data!$B1003)</f>
        <v>0</v>
      </c>
      <c r="C1003">
        <f>IF(Data!$C1003="","",Data!$C1003)</f>
        <v>0</v>
      </c>
      <c r="D1003">
        <f>IF(Data!$D1003="","",Data!$D1003)</f>
        <v>0</v>
      </c>
      <c r="E1003">
        <f>IF(Data!$E1003="","",Data!$E1003)</f>
        <v>0</v>
      </c>
      <c r="F1003">
        <f>IF($E1003="","",N(F1002)+1)</f>
        <v>0</v>
      </c>
      <c r="G1003">
        <f>IF(OR($E1003="",$E1002=""),"",LN($E1003/$E1002))</f>
        <v>0</v>
      </c>
      <c r="H1003">
        <f>IF($E1003="","",IF($E1002="",$E1003,$E1003*0.0952380952+H1002*0.9047619048))</f>
        <v>0</v>
      </c>
      <c r="I1003">
        <f>IF($E1003="","",IF($E1002="",$E1003,$E1003*0.0392156863+I1002*0.9607843137))</f>
        <v>0</v>
      </c>
      <c r="J1003">
        <f>IF($E1003="","",IF($E1002="",$E1003,$E1003*0.0198019802+J1002*0.9801980198))</f>
        <v>0</v>
      </c>
      <c r="K1003">
        <f>IF($E1003="","",IF($E1002="",$E1003,$E1003*0.0099502488+K1002*0.9900497512))</f>
        <v>0</v>
      </c>
      <c r="L1003">
        <f>IF(OR($E1003="",$E1002=""),"",MAX($E1003-$E1002,0))</f>
        <v>0</v>
      </c>
      <c r="M1003">
        <f>IF(OR($E1003="",$E1002=""),"",MAX($E1002-$E1003,0))</f>
        <v>0</v>
      </c>
      <c r="N1003">
        <f>IF(COUNT($E$2:$E1003)&lt;15,"",IF(AVERAGE($M$990:$M$1003)=0,100,100-100/(1+AVERAGE($L$990:$L$1003)/AVERAGE($M$990:$M$1003))))</f>
        <v>0</v>
      </c>
      <c r="O1003">
        <f>IF($E1003="","",IF($E1002="",$E1003,$E1003*0.1538461538+O1002*0.8461538462))</f>
        <v>0</v>
      </c>
      <c r="P1003">
        <f>IF($E1003="","",IF($E1002="",$E1003,$E1003*0.0740740741+P1002*0.9259259259))</f>
        <v>0</v>
      </c>
      <c r="Q1003">
        <f>IF(OR(O1003="",P1003=""),"",O1003-P1003)</f>
        <v>0</v>
      </c>
      <c r="R1003">
        <f>IF(Q1003="","",IF(R1002="",Q1003,Q1003*0.2000000000+R1002*0.8000000000))</f>
        <v>0</v>
      </c>
      <c r="S1003">
        <f>IF(OR(Q1003="",R1003=""),"",Q1003-R1003)</f>
        <v>0</v>
      </c>
      <c r="T1003">
        <f>IF(COUNT($E$2:$E1003)&lt;14,"",MAX($C$990:$C$1003))</f>
        <v>0</v>
      </c>
      <c r="U1003">
        <f>IF(COUNT($E$2:$E1003)&lt;14,"",MIN($D$990:$D$1003))</f>
        <v>0</v>
      </c>
      <c r="V1003">
        <f>IF(OR(T1003="",U1003="",T1003=U1003),"",100*($E1003-U1003)/(T1003-U1003))</f>
        <v>0</v>
      </c>
      <c r="W1003">
        <f>IF(COUNT($V$1001:$V$1003)&lt;3,"",AVERAGE($V$1001:$V$1003))</f>
        <v>0</v>
      </c>
      <c r="X1003">
        <f>IF(COUNT($N$990:$N$1003)&lt;14,"",MIN($N$990:$N$1003))</f>
        <v>0</v>
      </c>
      <c r="Y1003">
        <f>IF(COUNT($N$990:$N$1003)&lt;14,"",MAX($N$990:$N$1003))</f>
        <v>0</v>
      </c>
      <c r="Z1003">
        <f>IF(OR(N1003="",X1003="",Y1003="",Y1003=X1003),"",100*(N1003-X1003)/(Y1003-X1003))</f>
        <v>0</v>
      </c>
      <c r="AA1003">
        <f>IF(COUNT($Z$1001:$Z$1003)&lt;3,"",AVERAGE($Z$1001:$Z$1003))</f>
        <v>0</v>
      </c>
      <c r="AB1003">
        <f>IF(COUNT($AA$1001:$AA$1003)&lt;3,"",AVERAGE($AA$1001:$AA$1003))</f>
        <v>0</v>
      </c>
      <c r="AC1003">
        <f>IF($E1003="","",MAX($C1003-$D1003,ABS($C1003-$E1002),ABS($D1003-$E1002)))</f>
        <v>0</v>
      </c>
      <c r="AD1003">
        <f>IF(COUNT($E$2:$E1003)&lt;15,"",AVERAGE($AC$990:$AC$1003))</f>
        <v>0</v>
      </c>
      <c r="AE1003">
        <f>IF(OR($E1003="",$E1002=""),"",IF(AND(($C1003-$C1002)&gt;($D1002-$D1003),($C1003-$C1002)&gt;0),$C1003-$C1002,0))</f>
        <v>0</v>
      </c>
      <c r="AF1003">
        <f>IF(OR($E1003="",$E1002=""),"",IF(AND(($D1002-$D1003)&gt;($C1003-$C1002),($D1002-$D1003)&gt;0),$D1002-$D1003,0))</f>
        <v>0</v>
      </c>
      <c r="AG1003">
        <f>IF(COUNT($E$2:$E1003)&lt;15,"",IF(SUM($AC$990:$AC$1003)=0,0,100*SUM($AE$990:$AE$1003)/SUM($AC$990:$AC$1003)))</f>
        <v>0</v>
      </c>
      <c r="AH1003">
        <f>IF(COUNT($E$2:$E1003)&lt;15,"",IF(SUM($AC$990:$AC$1003)=0,0,100*SUM($AF$990:$AF$1003)/SUM($AC$990:$AC$1003)))</f>
        <v>0</v>
      </c>
      <c r="AI1003">
        <f>IF(OR(AG1003="",AH1003=""),"",IF((AG1003+AH1003)=0,0,100*ABS(AG1003-AH1003)/(AG1003+AH1003)))</f>
        <v>0</v>
      </c>
      <c r="AJ1003">
        <f>IF(COUNT($AI$990:$AI$1003)&lt;14,"",AVERAGE($AI$990:$AI$1003))</f>
        <v>0</v>
      </c>
      <c r="AK1003">
        <f>IF(COUNT($E$2:$E1003)&lt;20,"",AVERAGE($E$984:$E$1003))</f>
        <v>0</v>
      </c>
      <c r="AL1003">
        <f>IF(COUNT($E$2:$E1003)&lt;20,"",STDEVP($E$984:$E$1003))</f>
        <v>0</v>
      </c>
      <c r="AM1003">
        <f>IF(AK1003="","",AK1003+2*AL1003)</f>
        <v>0</v>
      </c>
      <c r="AN1003">
        <f>IF(AK1003="","",AK1003-2*AL1003)</f>
        <v>0</v>
      </c>
      <c r="AO1003">
        <f>IF(OR(AM1003="",AN1003="",AM1003=AN1003),"",($E1003-AN1003)/(AM1003-AN1003))</f>
        <v>0</v>
      </c>
      <c r="AP1003">
        <f>IF(OR(AM1003="",AK1003="",AK1003=0),"",(AM1003-AN1003)/AK1003)</f>
        <v>0</v>
      </c>
      <c r="AQ1003">
        <f>IF(COUNT($E$2:$E1003)&lt;20,"",MAX($C$984:$C$1003))</f>
        <v>0</v>
      </c>
      <c r="AR1003">
        <f>IF(COUNT($E$2:$E1003)&lt;20,"",MIN($D$984:$D$1003))</f>
        <v>0</v>
      </c>
      <c r="AS1003">
        <f>IF(OR(AQ1003="",AR1003=""),"",(AQ1003+AR1003)/2)</f>
        <v>0</v>
      </c>
      <c r="AT1003">
        <f>IF(COUNT($G$984:$G$1003)&lt;20,"",STDEV($G$984:$G$1003)*SQRT(252))</f>
        <v>0</v>
      </c>
      <c r="AU1003">
        <f>IF(COUNT($E$2:$E1003)&lt;9,"",(MAX($C$995:$C$1003)+MIN($D$995:$D$1003))/2)</f>
        <v>0</v>
      </c>
      <c r="AV1003">
        <f>IF(COUNT($E$2:$E1003)&lt;26,"",(MAX($C$978:$C$1003)+MIN($D$978:$D$1003))/2)</f>
        <v>0</v>
      </c>
      <c r="AW1003">
        <f>IF(OR(AU1003="",AV1003=""),"",(AU1003+AV1003)/2)</f>
        <v>0</v>
      </c>
      <c r="AX1003">
        <f>IF(COUNT($E$2:$E1003)&lt;52,"",(MAX($C$952:$C$1003)+MIN($D$952:$D$1003))/2)</f>
        <v>0</v>
      </c>
      <c r="AY1003">
        <f>IF(COUNT($E$2:$E1003)&lt;20,"",MAX($C$904:$C$1003))</f>
        <v>0</v>
      </c>
      <c r="AZ1003">
        <f>IF(COUNT($E$2:$E1003)&lt;20,"",MIN($D$904:$D$1003))</f>
        <v>0</v>
      </c>
      <c r="BA1003">
        <f>IF(COUNT($E$2:$E1003)&lt;20,"",SLOPE($E$904:$E$1003,$F$904:$F$1003))</f>
        <v>0</v>
      </c>
      <c r="BB1003">
        <f>IF(COUNT($E$2:$E1003)&lt;20,"",INTERCEPT($E$904:$E$1003,$F$904:$F$1003))</f>
        <v>0</v>
      </c>
      <c r="BC1003">
        <f>IF(OR(BA1003="",BB1003=""),"",BB1003+BA1003*F1003)</f>
        <v>0</v>
      </c>
      <c r="BD1003">
        <f>IF(COUNT($E$2:$E1003)&lt;20,"",STEYX($E$904:$E$1003,$F$904:$F$1003))</f>
        <v>0</v>
      </c>
      <c r="BE1003">
        <f>IF($E1003="","",IF(AND(COUNT($E$1004:$E$1007)&gt;=4,$C1003=MAX($C$999:$C$1007)),$C1003,""))</f>
        <v>0</v>
      </c>
      <c r="BF1003">
        <f>IF($E1003="","",IF(AND(COUNT($E$1004:$E$1007)&gt;=4,$D1003=MIN($D$999:$D$1007)),$D1003,""))</f>
        <v>0</v>
      </c>
      <c r="BG1003">
        <f>IF($A1003="","",$A1003-WEEKDAY($A1003,2)+1)</f>
        <v>0</v>
      </c>
      <c r="BH1003">
        <f>IF($A1003="","",IF($A1002="",1,IF(BG1003&lt;&gt;BG1002,1,0)))</f>
        <v>0</v>
      </c>
      <c r="BI1003">
        <f>IF($A1003="","",IF($A1004="",1,IF(BG1004&lt;&gt;BG1003,1,0)))</f>
        <v>0</v>
      </c>
      <c r="BJ1003">
        <f>IF($A1003="","",IF(BH1003=1,$B1003,BJ1002))</f>
        <v>0</v>
      </c>
      <c r="BK1003">
        <f>IF($A1003="","",IF(BH1003=1,$C1003,MAX($C1003,BK1002)))</f>
        <v>0</v>
      </c>
      <c r="BL1003">
        <f>IF($A1003="","",IF(BH1003=1,$D1003,MIN($D1003,BL1002)))</f>
        <v>0</v>
      </c>
      <c r="BM1003">
        <f>IF($A1003="","",IF(BI1003=1,F1003,""))</f>
        <v>0</v>
      </c>
      <c r="BN1003">
        <f>IF($A1003="","",DATE(YEAR($A1003),MONTH($A1003),1))</f>
        <v>0</v>
      </c>
      <c r="BO1003">
        <f>IF($A1003="","",IF($A1002="",1,IF(BN1003&lt;&gt;BN1002,1,0)))</f>
        <v>0</v>
      </c>
      <c r="BP1003">
        <f>IF($A1003="","",IF($A1004="",1,IF(BN1004&lt;&gt;BN1003,1,0)))</f>
        <v>0</v>
      </c>
      <c r="BQ1003">
        <f>IF($A1003="","",IF(BO1003=1,$B1003,BQ1002))</f>
        <v>0</v>
      </c>
      <c r="BR1003">
        <f>IF($A1003="","",IF(BO1003=1,$C1003,MAX($C1003,BR1002)))</f>
        <v>0</v>
      </c>
      <c r="BS1003">
        <f>IF($A1003="","",IF(BO1003=1,$D1003,MIN($D1003,BS1002)))</f>
        <v>0</v>
      </c>
      <c r="BT1003">
        <f>IF($A1003="","",IF(BP1003=1,F1003,""))</f>
        <v>0</v>
      </c>
    </row>
    <row r="1004" spans="1:72">
      <c r="A1004" s="27">
        <f>IF(Data!$A1004="","",Data!$A1004)</f>
        <v>0</v>
      </c>
      <c r="B1004">
        <f>IF(Data!$B1004="","",Data!$B1004)</f>
        <v>0</v>
      </c>
      <c r="C1004">
        <f>IF(Data!$C1004="","",Data!$C1004)</f>
        <v>0</v>
      </c>
      <c r="D1004">
        <f>IF(Data!$D1004="","",Data!$D1004)</f>
        <v>0</v>
      </c>
      <c r="E1004">
        <f>IF(Data!$E1004="","",Data!$E1004)</f>
        <v>0</v>
      </c>
      <c r="F1004">
        <f>IF($E1004="","",N(F1003)+1)</f>
        <v>0</v>
      </c>
      <c r="G1004">
        <f>IF(OR($E1004="",$E1003=""),"",LN($E1004/$E1003))</f>
        <v>0</v>
      </c>
      <c r="H1004">
        <f>IF($E1004="","",IF($E1003="",$E1004,$E1004*0.0952380952+H1003*0.9047619048))</f>
        <v>0</v>
      </c>
      <c r="I1004">
        <f>IF($E1004="","",IF($E1003="",$E1004,$E1004*0.0392156863+I1003*0.9607843137))</f>
        <v>0</v>
      </c>
      <c r="J1004">
        <f>IF($E1004="","",IF($E1003="",$E1004,$E1004*0.0198019802+J1003*0.9801980198))</f>
        <v>0</v>
      </c>
      <c r="K1004">
        <f>IF($E1004="","",IF($E1003="",$E1004,$E1004*0.0099502488+K1003*0.9900497512))</f>
        <v>0</v>
      </c>
      <c r="L1004">
        <f>IF(OR($E1004="",$E1003=""),"",MAX($E1004-$E1003,0))</f>
        <v>0</v>
      </c>
      <c r="M1004">
        <f>IF(OR($E1004="",$E1003=""),"",MAX($E1003-$E1004,0))</f>
        <v>0</v>
      </c>
      <c r="N1004">
        <f>IF(COUNT($E$2:$E1004)&lt;15,"",IF(AVERAGE($M$991:$M$1004)=0,100,100-100/(1+AVERAGE($L$991:$L$1004)/AVERAGE($M$991:$M$1004))))</f>
        <v>0</v>
      </c>
      <c r="O1004">
        <f>IF($E1004="","",IF($E1003="",$E1004,$E1004*0.1538461538+O1003*0.8461538462))</f>
        <v>0</v>
      </c>
      <c r="P1004">
        <f>IF($E1004="","",IF($E1003="",$E1004,$E1004*0.0740740741+P1003*0.9259259259))</f>
        <v>0</v>
      </c>
      <c r="Q1004">
        <f>IF(OR(O1004="",P1004=""),"",O1004-P1004)</f>
        <v>0</v>
      </c>
      <c r="R1004">
        <f>IF(Q1004="","",IF(R1003="",Q1004,Q1004*0.2000000000+R1003*0.8000000000))</f>
        <v>0</v>
      </c>
      <c r="S1004">
        <f>IF(OR(Q1004="",R1004=""),"",Q1004-R1004)</f>
        <v>0</v>
      </c>
      <c r="T1004">
        <f>IF(COUNT($E$2:$E1004)&lt;14,"",MAX($C$991:$C$1004))</f>
        <v>0</v>
      </c>
      <c r="U1004">
        <f>IF(COUNT($E$2:$E1004)&lt;14,"",MIN($D$991:$D$1004))</f>
        <v>0</v>
      </c>
      <c r="V1004">
        <f>IF(OR(T1004="",U1004="",T1004=U1004),"",100*($E1004-U1004)/(T1004-U1004))</f>
        <v>0</v>
      </c>
      <c r="W1004">
        <f>IF(COUNT($V$1002:$V$1004)&lt;3,"",AVERAGE($V$1002:$V$1004))</f>
        <v>0</v>
      </c>
      <c r="X1004">
        <f>IF(COUNT($N$991:$N$1004)&lt;14,"",MIN($N$991:$N$1004))</f>
        <v>0</v>
      </c>
      <c r="Y1004">
        <f>IF(COUNT($N$991:$N$1004)&lt;14,"",MAX($N$991:$N$1004))</f>
        <v>0</v>
      </c>
      <c r="Z1004">
        <f>IF(OR(N1004="",X1004="",Y1004="",Y1004=X1004),"",100*(N1004-X1004)/(Y1004-X1004))</f>
        <v>0</v>
      </c>
      <c r="AA1004">
        <f>IF(COUNT($Z$1002:$Z$1004)&lt;3,"",AVERAGE($Z$1002:$Z$1004))</f>
        <v>0</v>
      </c>
      <c r="AB1004">
        <f>IF(COUNT($AA$1002:$AA$1004)&lt;3,"",AVERAGE($AA$1002:$AA$1004))</f>
        <v>0</v>
      </c>
      <c r="AC1004">
        <f>IF($E1004="","",MAX($C1004-$D1004,ABS($C1004-$E1003),ABS($D1004-$E1003)))</f>
        <v>0</v>
      </c>
      <c r="AD1004">
        <f>IF(COUNT($E$2:$E1004)&lt;15,"",AVERAGE($AC$991:$AC$1004))</f>
        <v>0</v>
      </c>
      <c r="AE1004">
        <f>IF(OR($E1004="",$E1003=""),"",IF(AND(($C1004-$C1003)&gt;($D1003-$D1004),($C1004-$C1003)&gt;0),$C1004-$C1003,0))</f>
        <v>0</v>
      </c>
      <c r="AF1004">
        <f>IF(OR($E1004="",$E1003=""),"",IF(AND(($D1003-$D1004)&gt;($C1004-$C1003),($D1003-$D1004)&gt;0),$D1003-$D1004,0))</f>
        <v>0</v>
      </c>
      <c r="AG1004">
        <f>IF(COUNT($E$2:$E1004)&lt;15,"",IF(SUM($AC$991:$AC$1004)=0,0,100*SUM($AE$991:$AE$1004)/SUM($AC$991:$AC$1004)))</f>
        <v>0</v>
      </c>
      <c r="AH1004">
        <f>IF(COUNT($E$2:$E1004)&lt;15,"",IF(SUM($AC$991:$AC$1004)=0,0,100*SUM($AF$991:$AF$1004)/SUM($AC$991:$AC$1004)))</f>
        <v>0</v>
      </c>
      <c r="AI1004">
        <f>IF(OR(AG1004="",AH1004=""),"",IF((AG1004+AH1004)=0,0,100*ABS(AG1004-AH1004)/(AG1004+AH1004)))</f>
        <v>0</v>
      </c>
      <c r="AJ1004">
        <f>IF(COUNT($AI$991:$AI$1004)&lt;14,"",AVERAGE($AI$991:$AI$1004))</f>
        <v>0</v>
      </c>
      <c r="AK1004">
        <f>IF(COUNT($E$2:$E1004)&lt;20,"",AVERAGE($E$985:$E$1004))</f>
        <v>0</v>
      </c>
      <c r="AL1004">
        <f>IF(COUNT($E$2:$E1004)&lt;20,"",STDEVP($E$985:$E$1004))</f>
        <v>0</v>
      </c>
      <c r="AM1004">
        <f>IF(AK1004="","",AK1004+2*AL1004)</f>
        <v>0</v>
      </c>
      <c r="AN1004">
        <f>IF(AK1004="","",AK1004-2*AL1004)</f>
        <v>0</v>
      </c>
      <c r="AO1004">
        <f>IF(OR(AM1004="",AN1004="",AM1004=AN1004),"",($E1004-AN1004)/(AM1004-AN1004))</f>
        <v>0</v>
      </c>
      <c r="AP1004">
        <f>IF(OR(AM1004="",AK1004="",AK1004=0),"",(AM1004-AN1004)/AK1004)</f>
        <v>0</v>
      </c>
      <c r="AQ1004">
        <f>IF(COUNT($E$2:$E1004)&lt;20,"",MAX($C$985:$C$1004))</f>
        <v>0</v>
      </c>
      <c r="AR1004">
        <f>IF(COUNT($E$2:$E1004)&lt;20,"",MIN($D$985:$D$1004))</f>
        <v>0</v>
      </c>
      <c r="AS1004">
        <f>IF(OR(AQ1004="",AR1004=""),"",(AQ1004+AR1004)/2)</f>
        <v>0</v>
      </c>
      <c r="AT1004">
        <f>IF(COUNT($G$985:$G$1004)&lt;20,"",STDEV($G$985:$G$1004)*SQRT(252))</f>
        <v>0</v>
      </c>
      <c r="AU1004">
        <f>IF(COUNT($E$2:$E1004)&lt;9,"",(MAX($C$996:$C$1004)+MIN($D$996:$D$1004))/2)</f>
        <v>0</v>
      </c>
      <c r="AV1004">
        <f>IF(COUNT($E$2:$E1004)&lt;26,"",(MAX($C$979:$C$1004)+MIN($D$979:$D$1004))/2)</f>
        <v>0</v>
      </c>
      <c r="AW1004">
        <f>IF(OR(AU1004="",AV1004=""),"",(AU1004+AV1004)/2)</f>
        <v>0</v>
      </c>
      <c r="AX1004">
        <f>IF(COUNT($E$2:$E1004)&lt;52,"",(MAX($C$953:$C$1004)+MIN($D$953:$D$1004))/2)</f>
        <v>0</v>
      </c>
      <c r="AY1004">
        <f>IF(COUNT($E$2:$E1004)&lt;20,"",MAX($C$905:$C$1004))</f>
        <v>0</v>
      </c>
      <c r="AZ1004">
        <f>IF(COUNT($E$2:$E1004)&lt;20,"",MIN($D$905:$D$1004))</f>
        <v>0</v>
      </c>
      <c r="BA1004">
        <f>IF(COUNT($E$2:$E1004)&lt;20,"",SLOPE($E$905:$E$1004,$F$905:$F$1004))</f>
        <v>0</v>
      </c>
      <c r="BB1004">
        <f>IF(COUNT($E$2:$E1004)&lt;20,"",INTERCEPT($E$905:$E$1004,$F$905:$F$1004))</f>
        <v>0</v>
      </c>
      <c r="BC1004">
        <f>IF(OR(BA1004="",BB1004=""),"",BB1004+BA1004*F1004)</f>
        <v>0</v>
      </c>
      <c r="BD1004">
        <f>IF(COUNT($E$2:$E1004)&lt;20,"",STEYX($E$905:$E$1004,$F$905:$F$1004))</f>
        <v>0</v>
      </c>
      <c r="BE1004">
        <f>IF($E1004="","",IF(AND(COUNT($E$1005:$E$1008)&gt;=4,$C1004=MAX($C$1000:$C$1008)),$C1004,""))</f>
        <v>0</v>
      </c>
      <c r="BF1004">
        <f>IF($E1004="","",IF(AND(COUNT($E$1005:$E$1008)&gt;=4,$D1004=MIN($D$1000:$D$1008)),$D1004,""))</f>
        <v>0</v>
      </c>
      <c r="BG1004">
        <f>IF($A1004="","",$A1004-WEEKDAY($A1004,2)+1)</f>
        <v>0</v>
      </c>
      <c r="BH1004">
        <f>IF($A1004="","",IF($A1003="",1,IF(BG1004&lt;&gt;BG1003,1,0)))</f>
        <v>0</v>
      </c>
      <c r="BI1004">
        <f>IF($A1004="","",IF($A1005="",1,IF(BG1005&lt;&gt;BG1004,1,0)))</f>
        <v>0</v>
      </c>
      <c r="BJ1004">
        <f>IF($A1004="","",IF(BH1004=1,$B1004,BJ1003))</f>
        <v>0</v>
      </c>
      <c r="BK1004">
        <f>IF($A1004="","",IF(BH1004=1,$C1004,MAX($C1004,BK1003)))</f>
        <v>0</v>
      </c>
      <c r="BL1004">
        <f>IF($A1004="","",IF(BH1004=1,$D1004,MIN($D1004,BL1003)))</f>
        <v>0</v>
      </c>
      <c r="BM1004">
        <f>IF($A1004="","",IF(BI1004=1,F1004,""))</f>
        <v>0</v>
      </c>
      <c r="BN1004">
        <f>IF($A1004="","",DATE(YEAR($A1004),MONTH($A1004),1))</f>
        <v>0</v>
      </c>
      <c r="BO1004">
        <f>IF($A1004="","",IF($A1003="",1,IF(BN1004&lt;&gt;BN1003,1,0)))</f>
        <v>0</v>
      </c>
      <c r="BP1004">
        <f>IF($A1004="","",IF($A1005="",1,IF(BN1005&lt;&gt;BN1004,1,0)))</f>
        <v>0</v>
      </c>
      <c r="BQ1004">
        <f>IF($A1004="","",IF(BO1004=1,$B1004,BQ1003))</f>
        <v>0</v>
      </c>
      <c r="BR1004">
        <f>IF($A1004="","",IF(BO1004=1,$C1004,MAX($C1004,BR1003)))</f>
        <v>0</v>
      </c>
      <c r="BS1004">
        <f>IF($A1004="","",IF(BO1004=1,$D1004,MIN($D1004,BS1003)))</f>
        <v>0</v>
      </c>
      <c r="BT1004">
        <f>IF($A1004="","",IF(BP1004=1,F1004,""))</f>
        <v>0</v>
      </c>
    </row>
    <row r="1005" spans="1:72">
      <c r="A1005" s="27">
        <f>IF(Data!$A1005="","",Data!$A1005)</f>
        <v>0</v>
      </c>
      <c r="B1005">
        <f>IF(Data!$B1005="","",Data!$B1005)</f>
        <v>0</v>
      </c>
      <c r="C1005">
        <f>IF(Data!$C1005="","",Data!$C1005)</f>
        <v>0</v>
      </c>
      <c r="D1005">
        <f>IF(Data!$D1005="","",Data!$D1005)</f>
        <v>0</v>
      </c>
      <c r="E1005">
        <f>IF(Data!$E1005="","",Data!$E1005)</f>
        <v>0</v>
      </c>
      <c r="F1005">
        <f>IF($E1005="","",N(F1004)+1)</f>
        <v>0</v>
      </c>
      <c r="G1005">
        <f>IF(OR($E1005="",$E1004=""),"",LN($E1005/$E1004))</f>
        <v>0</v>
      </c>
      <c r="H1005">
        <f>IF($E1005="","",IF($E1004="",$E1005,$E1005*0.0952380952+H1004*0.9047619048))</f>
        <v>0</v>
      </c>
      <c r="I1005">
        <f>IF($E1005="","",IF($E1004="",$E1005,$E1005*0.0392156863+I1004*0.9607843137))</f>
        <v>0</v>
      </c>
      <c r="J1005">
        <f>IF($E1005="","",IF($E1004="",$E1005,$E1005*0.0198019802+J1004*0.9801980198))</f>
        <v>0</v>
      </c>
      <c r="K1005">
        <f>IF($E1005="","",IF($E1004="",$E1005,$E1005*0.0099502488+K1004*0.9900497512))</f>
        <v>0</v>
      </c>
      <c r="L1005">
        <f>IF(OR($E1005="",$E1004=""),"",MAX($E1005-$E1004,0))</f>
        <v>0</v>
      </c>
      <c r="M1005">
        <f>IF(OR($E1005="",$E1004=""),"",MAX($E1004-$E1005,0))</f>
        <v>0</v>
      </c>
      <c r="N1005">
        <f>IF(COUNT($E$2:$E1005)&lt;15,"",IF(AVERAGE($M$992:$M$1005)=0,100,100-100/(1+AVERAGE($L$992:$L$1005)/AVERAGE($M$992:$M$1005))))</f>
        <v>0</v>
      </c>
      <c r="O1005">
        <f>IF($E1005="","",IF($E1004="",$E1005,$E1005*0.1538461538+O1004*0.8461538462))</f>
        <v>0</v>
      </c>
      <c r="P1005">
        <f>IF($E1005="","",IF($E1004="",$E1005,$E1005*0.0740740741+P1004*0.9259259259))</f>
        <v>0</v>
      </c>
      <c r="Q1005">
        <f>IF(OR(O1005="",P1005=""),"",O1005-P1005)</f>
        <v>0</v>
      </c>
      <c r="R1005">
        <f>IF(Q1005="","",IF(R1004="",Q1005,Q1005*0.2000000000+R1004*0.8000000000))</f>
        <v>0</v>
      </c>
      <c r="S1005">
        <f>IF(OR(Q1005="",R1005=""),"",Q1005-R1005)</f>
        <v>0</v>
      </c>
      <c r="T1005">
        <f>IF(COUNT($E$2:$E1005)&lt;14,"",MAX($C$992:$C$1005))</f>
        <v>0</v>
      </c>
      <c r="U1005">
        <f>IF(COUNT($E$2:$E1005)&lt;14,"",MIN($D$992:$D$1005))</f>
        <v>0</v>
      </c>
      <c r="V1005">
        <f>IF(OR(T1005="",U1005="",T1005=U1005),"",100*($E1005-U1005)/(T1005-U1005))</f>
        <v>0</v>
      </c>
      <c r="W1005">
        <f>IF(COUNT($V$1003:$V$1005)&lt;3,"",AVERAGE($V$1003:$V$1005))</f>
        <v>0</v>
      </c>
      <c r="X1005">
        <f>IF(COUNT($N$992:$N$1005)&lt;14,"",MIN($N$992:$N$1005))</f>
        <v>0</v>
      </c>
      <c r="Y1005">
        <f>IF(COUNT($N$992:$N$1005)&lt;14,"",MAX($N$992:$N$1005))</f>
        <v>0</v>
      </c>
      <c r="Z1005">
        <f>IF(OR(N1005="",X1005="",Y1005="",Y1005=X1005),"",100*(N1005-X1005)/(Y1005-X1005))</f>
        <v>0</v>
      </c>
      <c r="AA1005">
        <f>IF(COUNT($Z$1003:$Z$1005)&lt;3,"",AVERAGE($Z$1003:$Z$1005))</f>
        <v>0</v>
      </c>
      <c r="AB1005">
        <f>IF(COUNT($AA$1003:$AA$1005)&lt;3,"",AVERAGE($AA$1003:$AA$1005))</f>
        <v>0</v>
      </c>
      <c r="AC1005">
        <f>IF($E1005="","",MAX($C1005-$D1005,ABS($C1005-$E1004),ABS($D1005-$E1004)))</f>
        <v>0</v>
      </c>
      <c r="AD1005">
        <f>IF(COUNT($E$2:$E1005)&lt;15,"",AVERAGE($AC$992:$AC$1005))</f>
        <v>0</v>
      </c>
      <c r="AE1005">
        <f>IF(OR($E1005="",$E1004=""),"",IF(AND(($C1005-$C1004)&gt;($D1004-$D1005),($C1005-$C1004)&gt;0),$C1005-$C1004,0))</f>
        <v>0</v>
      </c>
      <c r="AF1005">
        <f>IF(OR($E1005="",$E1004=""),"",IF(AND(($D1004-$D1005)&gt;($C1005-$C1004),($D1004-$D1005)&gt;0),$D1004-$D1005,0))</f>
        <v>0</v>
      </c>
      <c r="AG1005">
        <f>IF(COUNT($E$2:$E1005)&lt;15,"",IF(SUM($AC$992:$AC$1005)=0,0,100*SUM($AE$992:$AE$1005)/SUM($AC$992:$AC$1005)))</f>
        <v>0</v>
      </c>
      <c r="AH1005">
        <f>IF(COUNT($E$2:$E1005)&lt;15,"",IF(SUM($AC$992:$AC$1005)=0,0,100*SUM($AF$992:$AF$1005)/SUM($AC$992:$AC$1005)))</f>
        <v>0</v>
      </c>
      <c r="AI1005">
        <f>IF(OR(AG1005="",AH1005=""),"",IF((AG1005+AH1005)=0,0,100*ABS(AG1005-AH1005)/(AG1005+AH1005)))</f>
        <v>0</v>
      </c>
      <c r="AJ1005">
        <f>IF(COUNT($AI$992:$AI$1005)&lt;14,"",AVERAGE($AI$992:$AI$1005))</f>
        <v>0</v>
      </c>
      <c r="AK1005">
        <f>IF(COUNT($E$2:$E1005)&lt;20,"",AVERAGE($E$986:$E$1005))</f>
        <v>0</v>
      </c>
      <c r="AL1005">
        <f>IF(COUNT($E$2:$E1005)&lt;20,"",STDEVP($E$986:$E$1005))</f>
        <v>0</v>
      </c>
      <c r="AM1005">
        <f>IF(AK1005="","",AK1005+2*AL1005)</f>
        <v>0</v>
      </c>
      <c r="AN1005">
        <f>IF(AK1005="","",AK1005-2*AL1005)</f>
        <v>0</v>
      </c>
      <c r="AO1005">
        <f>IF(OR(AM1005="",AN1005="",AM1005=AN1005),"",($E1005-AN1005)/(AM1005-AN1005))</f>
        <v>0</v>
      </c>
      <c r="AP1005">
        <f>IF(OR(AM1005="",AK1005="",AK1005=0),"",(AM1005-AN1005)/AK1005)</f>
        <v>0</v>
      </c>
      <c r="AQ1005">
        <f>IF(COUNT($E$2:$E1005)&lt;20,"",MAX($C$986:$C$1005))</f>
        <v>0</v>
      </c>
      <c r="AR1005">
        <f>IF(COUNT($E$2:$E1005)&lt;20,"",MIN($D$986:$D$1005))</f>
        <v>0</v>
      </c>
      <c r="AS1005">
        <f>IF(OR(AQ1005="",AR1005=""),"",(AQ1005+AR1005)/2)</f>
        <v>0</v>
      </c>
      <c r="AT1005">
        <f>IF(COUNT($G$986:$G$1005)&lt;20,"",STDEV($G$986:$G$1005)*SQRT(252))</f>
        <v>0</v>
      </c>
      <c r="AU1005">
        <f>IF(COUNT($E$2:$E1005)&lt;9,"",(MAX($C$997:$C$1005)+MIN($D$997:$D$1005))/2)</f>
        <v>0</v>
      </c>
      <c r="AV1005">
        <f>IF(COUNT($E$2:$E1005)&lt;26,"",(MAX($C$980:$C$1005)+MIN($D$980:$D$1005))/2)</f>
        <v>0</v>
      </c>
      <c r="AW1005">
        <f>IF(OR(AU1005="",AV1005=""),"",(AU1005+AV1005)/2)</f>
        <v>0</v>
      </c>
      <c r="AX1005">
        <f>IF(COUNT($E$2:$E1005)&lt;52,"",(MAX($C$954:$C$1005)+MIN($D$954:$D$1005))/2)</f>
        <v>0</v>
      </c>
      <c r="AY1005">
        <f>IF(COUNT($E$2:$E1005)&lt;20,"",MAX($C$906:$C$1005))</f>
        <v>0</v>
      </c>
      <c r="AZ1005">
        <f>IF(COUNT($E$2:$E1005)&lt;20,"",MIN($D$906:$D$1005))</f>
        <v>0</v>
      </c>
      <c r="BA1005">
        <f>IF(COUNT($E$2:$E1005)&lt;20,"",SLOPE($E$906:$E$1005,$F$906:$F$1005))</f>
        <v>0</v>
      </c>
      <c r="BB1005">
        <f>IF(COUNT($E$2:$E1005)&lt;20,"",INTERCEPT($E$906:$E$1005,$F$906:$F$1005))</f>
        <v>0</v>
      </c>
      <c r="BC1005">
        <f>IF(OR(BA1005="",BB1005=""),"",BB1005+BA1005*F1005)</f>
        <v>0</v>
      </c>
      <c r="BD1005">
        <f>IF(COUNT($E$2:$E1005)&lt;20,"",STEYX($E$906:$E$1005,$F$906:$F$1005))</f>
        <v>0</v>
      </c>
      <c r="BE1005">
        <f>IF($E1005="","",IF(AND(COUNT($E$1006:$E$1009)&gt;=4,$C1005=MAX($C$1001:$C$1009)),$C1005,""))</f>
        <v>0</v>
      </c>
      <c r="BF1005">
        <f>IF($E1005="","",IF(AND(COUNT($E$1006:$E$1009)&gt;=4,$D1005=MIN($D$1001:$D$1009)),$D1005,""))</f>
        <v>0</v>
      </c>
      <c r="BG1005">
        <f>IF($A1005="","",$A1005-WEEKDAY($A1005,2)+1)</f>
        <v>0</v>
      </c>
      <c r="BH1005">
        <f>IF($A1005="","",IF($A1004="",1,IF(BG1005&lt;&gt;BG1004,1,0)))</f>
        <v>0</v>
      </c>
      <c r="BI1005">
        <f>IF($A1005="","",IF($A1006="",1,IF(BG1006&lt;&gt;BG1005,1,0)))</f>
        <v>0</v>
      </c>
      <c r="BJ1005">
        <f>IF($A1005="","",IF(BH1005=1,$B1005,BJ1004))</f>
        <v>0</v>
      </c>
      <c r="BK1005">
        <f>IF($A1005="","",IF(BH1005=1,$C1005,MAX($C1005,BK1004)))</f>
        <v>0</v>
      </c>
      <c r="BL1005">
        <f>IF($A1005="","",IF(BH1005=1,$D1005,MIN($D1005,BL1004)))</f>
        <v>0</v>
      </c>
      <c r="BM1005">
        <f>IF($A1005="","",IF(BI1005=1,F1005,""))</f>
        <v>0</v>
      </c>
      <c r="BN1005">
        <f>IF($A1005="","",DATE(YEAR($A1005),MONTH($A1005),1))</f>
        <v>0</v>
      </c>
      <c r="BO1005">
        <f>IF($A1005="","",IF($A1004="",1,IF(BN1005&lt;&gt;BN1004,1,0)))</f>
        <v>0</v>
      </c>
      <c r="BP1005">
        <f>IF($A1005="","",IF($A1006="",1,IF(BN1006&lt;&gt;BN1005,1,0)))</f>
        <v>0</v>
      </c>
      <c r="BQ1005">
        <f>IF($A1005="","",IF(BO1005=1,$B1005,BQ1004))</f>
        <v>0</v>
      </c>
      <c r="BR1005">
        <f>IF($A1005="","",IF(BO1005=1,$C1005,MAX($C1005,BR1004)))</f>
        <v>0</v>
      </c>
      <c r="BS1005">
        <f>IF($A1005="","",IF(BO1005=1,$D1005,MIN($D1005,BS1004)))</f>
        <v>0</v>
      </c>
      <c r="BT1005">
        <f>IF($A1005="","",IF(BP1005=1,F1005,""))</f>
        <v>0</v>
      </c>
    </row>
    <row r="1006" spans="1:72">
      <c r="A1006" s="27">
        <f>IF(Data!$A1006="","",Data!$A1006)</f>
        <v>0</v>
      </c>
      <c r="B1006">
        <f>IF(Data!$B1006="","",Data!$B1006)</f>
        <v>0</v>
      </c>
      <c r="C1006">
        <f>IF(Data!$C1006="","",Data!$C1006)</f>
        <v>0</v>
      </c>
      <c r="D1006">
        <f>IF(Data!$D1006="","",Data!$D1006)</f>
        <v>0</v>
      </c>
      <c r="E1006">
        <f>IF(Data!$E1006="","",Data!$E1006)</f>
        <v>0</v>
      </c>
      <c r="F1006">
        <f>IF($E1006="","",N(F1005)+1)</f>
        <v>0</v>
      </c>
      <c r="G1006">
        <f>IF(OR($E1006="",$E1005=""),"",LN($E1006/$E1005))</f>
        <v>0</v>
      </c>
      <c r="H1006">
        <f>IF($E1006="","",IF($E1005="",$E1006,$E1006*0.0952380952+H1005*0.9047619048))</f>
        <v>0</v>
      </c>
      <c r="I1006">
        <f>IF($E1006="","",IF($E1005="",$E1006,$E1006*0.0392156863+I1005*0.9607843137))</f>
        <v>0</v>
      </c>
      <c r="J1006">
        <f>IF($E1006="","",IF($E1005="",$E1006,$E1006*0.0198019802+J1005*0.9801980198))</f>
        <v>0</v>
      </c>
      <c r="K1006">
        <f>IF($E1006="","",IF($E1005="",$E1006,$E1006*0.0099502488+K1005*0.9900497512))</f>
        <v>0</v>
      </c>
      <c r="L1006">
        <f>IF(OR($E1006="",$E1005=""),"",MAX($E1006-$E1005,0))</f>
        <v>0</v>
      </c>
      <c r="M1006">
        <f>IF(OR($E1006="",$E1005=""),"",MAX($E1005-$E1006,0))</f>
        <v>0</v>
      </c>
      <c r="N1006">
        <f>IF(COUNT($E$2:$E1006)&lt;15,"",IF(AVERAGE($M$993:$M$1006)=0,100,100-100/(1+AVERAGE($L$993:$L$1006)/AVERAGE($M$993:$M$1006))))</f>
        <v>0</v>
      </c>
      <c r="O1006">
        <f>IF($E1006="","",IF($E1005="",$E1006,$E1006*0.1538461538+O1005*0.8461538462))</f>
        <v>0</v>
      </c>
      <c r="P1006">
        <f>IF($E1006="","",IF($E1005="",$E1006,$E1006*0.0740740741+P1005*0.9259259259))</f>
        <v>0</v>
      </c>
      <c r="Q1006">
        <f>IF(OR(O1006="",P1006=""),"",O1006-P1006)</f>
        <v>0</v>
      </c>
      <c r="R1006">
        <f>IF(Q1006="","",IF(R1005="",Q1006,Q1006*0.2000000000+R1005*0.8000000000))</f>
        <v>0</v>
      </c>
      <c r="S1006">
        <f>IF(OR(Q1006="",R1006=""),"",Q1006-R1006)</f>
        <v>0</v>
      </c>
      <c r="T1006">
        <f>IF(COUNT($E$2:$E1006)&lt;14,"",MAX($C$993:$C$1006))</f>
        <v>0</v>
      </c>
      <c r="U1006">
        <f>IF(COUNT($E$2:$E1006)&lt;14,"",MIN($D$993:$D$1006))</f>
        <v>0</v>
      </c>
      <c r="V1006">
        <f>IF(OR(T1006="",U1006="",T1006=U1006),"",100*($E1006-U1006)/(T1006-U1006))</f>
        <v>0</v>
      </c>
      <c r="W1006">
        <f>IF(COUNT($V$1004:$V$1006)&lt;3,"",AVERAGE($V$1004:$V$1006))</f>
        <v>0</v>
      </c>
      <c r="X1006">
        <f>IF(COUNT($N$993:$N$1006)&lt;14,"",MIN($N$993:$N$1006))</f>
        <v>0</v>
      </c>
      <c r="Y1006">
        <f>IF(COUNT($N$993:$N$1006)&lt;14,"",MAX($N$993:$N$1006))</f>
        <v>0</v>
      </c>
      <c r="Z1006">
        <f>IF(OR(N1006="",X1006="",Y1006="",Y1006=X1006),"",100*(N1006-X1006)/(Y1006-X1006))</f>
        <v>0</v>
      </c>
      <c r="AA1006">
        <f>IF(COUNT($Z$1004:$Z$1006)&lt;3,"",AVERAGE($Z$1004:$Z$1006))</f>
        <v>0</v>
      </c>
      <c r="AB1006">
        <f>IF(COUNT($AA$1004:$AA$1006)&lt;3,"",AVERAGE($AA$1004:$AA$1006))</f>
        <v>0</v>
      </c>
      <c r="AC1006">
        <f>IF($E1006="","",MAX($C1006-$D1006,ABS($C1006-$E1005),ABS($D1006-$E1005)))</f>
        <v>0</v>
      </c>
      <c r="AD1006">
        <f>IF(COUNT($E$2:$E1006)&lt;15,"",AVERAGE($AC$993:$AC$1006))</f>
        <v>0</v>
      </c>
      <c r="AE1006">
        <f>IF(OR($E1006="",$E1005=""),"",IF(AND(($C1006-$C1005)&gt;($D1005-$D1006),($C1006-$C1005)&gt;0),$C1006-$C1005,0))</f>
        <v>0</v>
      </c>
      <c r="AF1006">
        <f>IF(OR($E1006="",$E1005=""),"",IF(AND(($D1005-$D1006)&gt;($C1006-$C1005),($D1005-$D1006)&gt;0),$D1005-$D1006,0))</f>
        <v>0</v>
      </c>
      <c r="AG1006">
        <f>IF(COUNT($E$2:$E1006)&lt;15,"",IF(SUM($AC$993:$AC$1006)=0,0,100*SUM($AE$993:$AE$1006)/SUM($AC$993:$AC$1006)))</f>
        <v>0</v>
      </c>
      <c r="AH1006">
        <f>IF(COUNT($E$2:$E1006)&lt;15,"",IF(SUM($AC$993:$AC$1006)=0,0,100*SUM($AF$993:$AF$1006)/SUM($AC$993:$AC$1006)))</f>
        <v>0</v>
      </c>
      <c r="AI1006">
        <f>IF(OR(AG1006="",AH1006=""),"",IF((AG1006+AH1006)=0,0,100*ABS(AG1006-AH1006)/(AG1006+AH1006)))</f>
        <v>0</v>
      </c>
      <c r="AJ1006">
        <f>IF(COUNT($AI$993:$AI$1006)&lt;14,"",AVERAGE($AI$993:$AI$1006))</f>
        <v>0</v>
      </c>
      <c r="AK1006">
        <f>IF(COUNT($E$2:$E1006)&lt;20,"",AVERAGE($E$987:$E$1006))</f>
        <v>0</v>
      </c>
      <c r="AL1006">
        <f>IF(COUNT($E$2:$E1006)&lt;20,"",STDEVP($E$987:$E$1006))</f>
        <v>0</v>
      </c>
      <c r="AM1006">
        <f>IF(AK1006="","",AK1006+2*AL1006)</f>
        <v>0</v>
      </c>
      <c r="AN1006">
        <f>IF(AK1006="","",AK1006-2*AL1006)</f>
        <v>0</v>
      </c>
      <c r="AO1006">
        <f>IF(OR(AM1006="",AN1006="",AM1006=AN1006),"",($E1006-AN1006)/(AM1006-AN1006))</f>
        <v>0</v>
      </c>
      <c r="AP1006">
        <f>IF(OR(AM1006="",AK1006="",AK1006=0),"",(AM1006-AN1006)/AK1006)</f>
        <v>0</v>
      </c>
      <c r="AQ1006">
        <f>IF(COUNT($E$2:$E1006)&lt;20,"",MAX($C$987:$C$1006))</f>
        <v>0</v>
      </c>
      <c r="AR1006">
        <f>IF(COUNT($E$2:$E1006)&lt;20,"",MIN($D$987:$D$1006))</f>
        <v>0</v>
      </c>
      <c r="AS1006">
        <f>IF(OR(AQ1006="",AR1006=""),"",(AQ1006+AR1006)/2)</f>
        <v>0</v>
      </c>
      <c r="AT1006">
        <f>IF(COUNT($G$987:$G$1006)&lt;20,"",STDEV($G$987:$G$1006)*SQRT(252))</f>
        <v>0</v>
      </c>
      <c r="AU1006">
        <f>IF(COUNT($E$2:$E1006)&lt;9,"",(MAX($C$998:$C$1006)+MIN($D$998:$D$1006))/2)</f>
        <v>0</v>
      </c>
      <c r="AV1006">
        <f>IF(COUNT($E$2:$E1006)&lt;26,"",(MAX($C$981:$C$1006)+MIN($D$981:$D$1006))/2)</f>
        <v>0</v>
      </c>
      <c r="AW1006">
        <f>IF(OR(AU1006="",AV1006=""),"",(AU1006+AV1006)/2)</f>
        <v>0</v>
      </c>
      <c r="AX1006">
        <f>IF(COUNT($E$2:$E1006)&lt;52,"",(MAX($C$955:$C$1006)+MIN($D$955:$D$1006))/2)</f>
        <v>0</v>
      </c>
      <c r="AY1006">
        <f>IF(COUNT($E$2:$E1006)&lt;20,"",MAX($C$907:$C$1006))</f>
        <v>0</v>
      </c>
      <c r="AZ1006">
        <f>IF(COUNT($E$2:$E1006)&lt;20,"",MIN($D$907:$D$1006))</f>
        <v>0</v>
      </c>
      <c r="BA1006">
        <f>IF(COUNT($E$2:$E1006)&lt;20,"",SLOPE($E$907:$E$1006,$F$907:$F$1006))</f>
        <v>0</v>
      </c>
      <c r="BB1006">
        <f>IF(COUNT($E$2:$E1006)&lt;20,"",INTERCEPT($E$907:$E$1006,$F$907:$F$1006))</f>
        <v>0</v>
      </c>
      <c r="BC1006">
        <f>IF(OR(BA1006="",BB1006=""),"",BB1006+BA1006*F1006)</f>
        <v>0</v>
      </c>
      <c r="BD1006">
        <f>IF(COUNT($E$2:$E1006)&lt;20,"",STEYX($E$907:$E$1006,$F$907:$F$1006))</f>
        <v>0</v>
      </c>
      <c r="BE1006">
        <f>IF($E1006="","",IF(AND(COUNT($E$1007:$E$1010)&gt;=4,$C1006=MAX($C$1002:$C$1010)),$C1006,""))</f>
        <v>0</v>
      </c>
      <c r="BF1006">
        <f>IF($E1006="","",IF(AND(COUNT($E$1007:$E$1010)&gt;=4,$D1006=MIN($D$1002:$D$1010)),$D1006,""))</f>
        <v>0</v>
      </c>
      <c r="BG1006">
        <f>IF($A1006="","",$A1006-WEEKDAY($A1006,2)+1)</f>
        <v>0</v>
      </c>
      <c r="BH1006">
        <f>IF($A1006="","",IF($A1005="",1,IF(BG1006&lt;&gt;BG1005,1,0)))</f>
        <v>0</v>
      </c>
      <c r="BI1006">
        <f>IF($A1006="","",IF($A1007="",1,IF(BG1007&lt;&gt;BG1006,1,0)))</f>
        <v>0</v>
      </c>
      <c r="BJ1006">
        <f>IF($A1006="","",IF(BH1006=1,$B1006,BJ1005))</f>
        <v>0</v>
      </c>
      <c r="BK1006">
        <f>IF($A1006="","",IF(BH1006=1,$C1006,MAX($C1006,BK1005)))</f>
        <v>0</v>
      </c>
      <c r="BL1006">
        <f>IF($A1006="","",IF(BH1006=1,$D1006,MIN($D1006,BL1005)))</f>
        <v>0</v>
      </c>
      <c r="BM1006">
        <f>IF($A1006="","",IF(BI1006=1,F1006,""))</f>
        <v>0</v>
      </c>
      <c r="BN1006">
        <f>IF($A1006="","",DATE(YEAR($A1006),MONTH($A1006),1))</f>
        <v>0</v>
      </c>
      <c r="BO1006">
        <f>IF($A1006="","",IF($A1005="",1,IF(BN1006&lt;&gt;BN1005,1,0)))</f>
        <v>0</v>
      </c>
      <c r="BP1006">
        <f>IF($A1006="","",IF($A1007="",1,IF(BN1007&lt;&gt;BN1006,1,0)))</f>
        <v>0</v>
      </c>
      <c r="BQ1006">
        <f>IF($A1006="","",IF(BO1006=1,$B1006,BQ1005))</f>
        <v>0</v>
      </c>
      <c r="BR1006">
        <f>IF($A1006="","",IF(BO1006=1,$C1006,MAX($C1006,BR1005)))</f>
        <v>0</v>
      </c>
      <c r="BS1006">
        <f>IF($A1006="","",IF(BO1006=1,$D1006,MIN($D1006,BS1005)))</f>
        <v>0</v>
      </c>
      <c r="BT1006">
        <f>IF($A1006="","",IF(BP1006=1,F1006,""))</f>
        <v>0</v>
      </c>
    </row>
    <row r="1007" spans="1:72">
      <c r="A1007" s="27">
        <f>IF(Data!$A1007="","",Data!$A1007)</f>
        <v>0</v>
      </c>
      <c r="B1007">
        <f>IF(Data!$B1007="","",Data!$B1007)</f>
        <v>0</v>
      </c>
      <c r="C1007">
        <f>IF(Data!$C1007="","",Data!$C1007)</f>
        <v>0</v>
      </c>
      <c r="D1007">
        <f>IF(Data!$D1007="","",Data!$D1007)</f>
        <v>0</v>
      </c>
      <c r="E1007">
        <f>IF(Data!$E1007="","",Data!$E1007)</f>
        <v>0</v>
      </c>
      <c r="F1007">
        <f>IF($E1007="","",N(F1006)+1)</f>
        <v>0</v>
      </c>
      <c r="G1007">
        <f>IF(OR($E1007="",$E1006=""),"",LN($E1007/$E1006))</f>
        <v>0</v>
      </c>
      <c r="H1007">
        <f>IF($E1007="","",IF($E1006="",$E1007,$E1007*0.0952380952+H1006*0.9047619048))</f>
        <v>0</v>
      </c>
      <c r="I1007">
        <f>IF($E1007="","",IF($E1006="",$E1007,$E1007*0.0392156863+I1006*0.9607843137))</f>
        <v>0</v>
      </c>
      <c r="J1007">
        <f>IF($E1007="","",IF($E1006="",$E1007,$E1007*0.0198019802+J1006*0.9801980198))</f>
        <v>0</v>
      </c>
      <c r="K1007">
        <f>IF($E1007="","",IF($E1006="",$E1007,$E1007*0.0099502488+K1006*0.9900497512))</f>
        <v>0</v>
      </c>
      <c r="L1007">
        <f>IF(OR($E1007="",$E1006=""),"",MAX($E1007-$E1006,0))</f>
        <v>0</v>
      </c>
      <c r="M1007">
        <f>IF(OR($E1007="",$E1006=""),"",MAX($E1006-$E1007,0))</f>
        <v>0</v>
      </c>
      <c r="N1007">
        <f>IF(COUNT($E$2:$E1007)&lt;15,"",IF(AVERAGE($M$994:$M$1007)=0,100,100-100/(1+AVERAGE($L$994:$L$1007)/AVERAGE($M$994:$M$1007))))</f>
        <v>0</v>
      </c>
      <c r="O1007">
        <f>IF($E1007="","",IF($E1006="",$E1007,$E1007*0.1538461538+O1006*0.8461538462))</f>
        <v>0</v>
      </c>
      <c r="P1007">
        <f>IF($E1007="","",IF($E1006="",$E1007,$E1007*0.0740740741+P1006*0.9259259259))</f>
        <v>0</v>
      </c>
      <c r="Q1007">
        <f>IF(OR(O1007="",P1007=""),"",O1007-P1007)</f>
        <v>0</v>
      </c>
      <c r="R1007">
        <f>IF(Q1007="","",IF(R1006="",Q1007,Q1007*0.2000000000+R1006*0.8000000000))</f>
        <v>0</v>
      </c>
      <c r="S1007">
        <f>IF(OR(Q1007="",R1007=""),"",Q1007-R1007)</f>
        <v>0</v>
      </c>
      <c r="T1007">
        <f>IF(COUNT($E$2:$E1007)&lt;14,"",MAX($C$994:$C$1007))</f>
        <v>0</v>
      </c>
      <c r="U1007">
        <f>IF(COUNT($E$2:$E1007)&lt;14,"",MIN($D$994:$D$1007))</f>
        <v>0</v>
      </c>
      <c r="V1007">
        <f>IF(OR(T1007="",U1007="",T1007=U1007),"",100*($E1007-U1007)/(T1007-U1007))</f>
        <v>0</v>
      </c>
      <c r="W1007">
        <f>IF(COUNT($V$1005:$V$1007)&lt;3,"",AVERAGE($V$1005:$V$1007))</f>
        <v>0</v>
      </c>
      <c r="X1007">
        <f>IF(COUNT($N$994:$N$1007)&lt;14,"",MIN($N$994:$N$1007))</f>
        <v>0</v>
      </c>
      <c r="Y1007">
        <f>IF(COUNT($N$994:$N$1007)&lt;14,"",MAX($N$994:$N$1007))</f>
        <v>0</v>
      </c>
      <c r="Z1007">
        <f>IF(OR(N1007="",X1007="",Y1007="",Y1007=X1007),"",100*(N1007-X1007)/(Y1007-X1007))</f>
        <v>0</v>
      </c>
      <c r="AA1007">
        <f>IF(COUNT($Z$1005:$Z$1007)&lt;3,"",AVERAGE($Z$1005:$Z$1007))</f>
        <v>0</v>
      </c>
      <c r="AB1007">
        <f>IF(COUNT($AA$1005:$AA$1007)&lt;3,"",AVERAGE($AA$1005:$AA$1007))</f>
        <v>0</v>
      </c>
      <c r="AC1007">
        <f>IF($E1007="","",MAX($C1007-$D1007,ABS($C1007-$E1006),ABS($D1007-$E1006)))</f>
        <v>0</v>
      </c>
      <c r="AD1007">
        <f>IF(COUNT($E$2:$E1007)&lt;15,"",AVERAGE($AC$994:$AC$1007))</f>
        <v>0</v>
      </c>
      <c r="AE1007">
        <f>IF(OR($E1007="",$E1006=""),"",IF(AND(($C1007-$C1006)&gt;($D1006-$D1007),($C1007-$C1006)&gt;0),$C1007-$C1006,0))</f>
        <v>0</v>
      </c>
      <c r="AF1007">
        <f>IF(OR($E1007="",$E1006=""),"",IF(AND(($D1006-$D1007)&gt;($C1007-$C1006),($D1006-$D1007)&gt;0),$D1006-$D1007,0))</f>
        <v>0</v>
      </c>
      <c r="AG1007">
        <f>IF(COUNT($E$2:$E1007)&lt;15,"",IF(SUM($AC$994:$AC$1007)=0,0,100*SUM($AE$994:$AE$1007)/SUM($AC$994:$AC$1007)))</f>
        <v>0</v>
      </c>
      <c r="AH1007">
        <f>IF(COUNT($E$2:$E1007)&lt;15,"",IF(SUM($AC$994:$AC$1007)=0,0,100*SUM($AF$994:$AF$1007)/SUM($AC$994:$AC$1007)))</f>
        <v>0</v>
      </c>
      <c r="AI1007">
        <f>IF(OR(AG1007="",AH1007=""),"",IF((AG1007+AH1007)=0,0,100*ABS(AG1007-AH1007)/(AG1007+AH1007)))</f>
        <v>0</v>
      </c>
      <c r="AJ1007">
        <f>IF(COUNT($AI$994:$AI$1007)&lt;14,"",AVERAGE($AI$994:$AI$1007))</f>
        <v>0</v>
      </c>
      <c r="AK1007">
        <f>IF(COUNT($E$2:$E1007)&lt;20,"",AVERAGE($E$988:$E$1007))</f>
        <v>0</v>
      </c>
      <c r="AL1007">
        <f>IF(COUNT($E$2:$E1007)&lt;20,"",STDEVP($E$988:$E$1007))</f>
        <v>0</v>
      </c>
      <c r="AM1007">
        <f>IF(AK1007="","",AK1007+2*AL1007)</f>
        <v>0</v>
      </c>
      <c r="AN1007">
        <f>IF(AK1007="","",AK1007-2*AL1007)</f>
        <v>0</v>
      </c>
      <c r="AO1007">
        <f>IF(OR(AM1007="",AN1007="",AM1007=AN1007),"",($E1007-AN1007)/(AM1007-AN1007))</f>
        <v>0</v>
      </c>
      <c r="AP1007">
        <f>IF(OR(AM1007="",AK1007="",AK1007=0),"",(AM1007-AN1007)/AK1007)</f>
        <v>0</v>
      </c>
      <c r="AQ1007">
        <f>IF(COUNT($E$2:$E1007)&lt;20,"",MAX($C$988:$C$1007))</f>
        <v>0</v>
      </c>
      <c r="AR1007">
        <f>IF(COUNT($E$2:$E1007)&lt;20,"",MIN($D$988:$D$1007))</f>
        <v>0</v>
      </c>
      <c r="AS1007">
        <f>IF(OR(AQ1007="",AR1007=""),"",(AQ1007+AR1007)/2)</f>
        <v>0</v>
      </c>
      <c r="AT1007">
        <f>IF(COUNT($G$988:$G$1007)&lt;20,"",STDEV($G$988:$G$1007)*SQRT(252))</f>
        <v>0</v>
      </c>
      <c r="AU1007">
        <f>IF(COUNT($E$2:$E1007)&lt;9,"",(MAX($C$999:$C$1007)+MIN($D$999:$D$1007))/2)</f>
        <v>0</v>
      </c>
      <c r="AV1007">
        <f>IF(COUNT($E$2:$E1007)&lt;26,"",(MAX($C$982:$C$1007)+MIN($D$982:$D$1007))/2)</f>
        <v>0</v>
      </c>
      <c r="AW1007">
        <f>IF(OR(AU1007="",AV1007=""),"",(AU1007+AV1007)/2)</f>
        <v>0</v>
      </c>
      <c r="AX1007">
        <f>IF(COUNT($E$2:$E1007)&lt;52,"",(MAX($C$956:$C$1007)+MIN($D$956:$D$1007))/2)</f>
        <v>0</v>
      </c>
      <c r="AY1007">
        <f>IF(COUNT($E$2:$E1007)&lt;20,"",MAX($C$908:$C$1007))</f>
        <v>0</v>
      </c>
      <c r="AZ1007">
        <f>IF(COUNT($E$2:$E1007)&lt;20,"",MIN($D$908:$D$1007))</f>
        <v>0</v>
      </c>
      <c r="BA1007">
        <f>IF(COUNT($E$2:$E1007)&lt;20,"",SLOPE($E$908:$E$1007,$F$908:$F$1007))</f>
        <v>0</v>
      </c>
      <c r="BB1007">
        <f>IF(COUNT($E$2:$E1007)&lt;20,"",INTERCEPT($E$908:$E$1007,$F$908:$F$1007))</f>
        <v>0</v>
      </c>
      <c r="BC1007">
        <f>IF(OR(BA1007="",BB1007=""),"",BB1007+BA1007*F1007)</f>
        <v>0</v>
      </c>
      <c r="BD1007">
        <f>IF(COUNT($E$2:$E1007)&lt;20,"",STEYX($E$908:$E$1007,$F$908:$F$1007))</f>
        <v>0</v>
      </c>
      <c r="BE1007">
        <f>IF($E1007="","",IF(AND(COUNT($E$1008:$E$1011)&gt;=4,$C1007=MAX($C$1003:$C$1011)),$C1007,""))</f>
        <v>0</v>
      </c>
      <c r="BF1007">
        <f>IF($E1007="","",IF(AND(COUNT($E$1008:$E$1011)&gt;=4,$D1007=MIN($D$1003:$D$1011)),$D1007,""))</f>
        <v>0</v>
      </c>
      <c r="BG1007">
        <f>IF($A1007="","",$A1007-WEEKDAY($A1007,2)+1)</f>
        <v>0</v>
      </c>
      <c r="BH1007">
        <f>IF($A1007="","",IF($A1006="",1,IF(BG1007&lt;&gt;BG1006,1,0)))</f>
        <v>0</v>
      </c>
      <c r="BI1007">
        <f>IF($A1007="","",IF($A1008="",1,IF(BG1008&lt;&gt;BG1007,1,0)))</f>
        <v>0</v>
      </c>
      <c r="BJ1007">
        <f>IF($A1007="","",IF(BH1007=1,$B1007,BJ1006))</f>
        <v>0</v>
      </c>
      <c r="BK1007">
        <f>IF($A1007="","",IF(BH1007=1,$C1007,MAX($C1007,BK1006)))</f>
        <v>0</v>
      </c>
      <c r="BL1007">
        <f>IF($A1007="","",IF(BH1007=1,$D1007,MIN($D1007,BL1006)))</f>
        <v>0</v>
      </c>
      <c r="BM1007">
        <f>IF($A1007="","",IF(BI1007=1,F1007,""))</f>
        <v>0</v>
      </c>
      <c r="BN1007">
        <f>IF($A1007="","",DATE(YEAR($A1007),MONTH($A1007),1))</f>
        <v>0</v>
      </c>
      <c r="BO1007">
        <f>IF($A1007="","",IF($A1006="",1,IF(BN1007&lt;&gt;BN1006,1,0)))</f>
        <v>0</v>
      </c>
      <c r="BP1007">
        <f>IF($A1007="","",IF($A1008="",1,IF(BN1008&lt;&gt;BN1007,1,0)))</f>
        <v>0</v>
      </c>
      <c r="BQ1007">
        <f>IF($A1007="","",IF(BO1007=1,$B1007,BQ1006))</f>
        <v>0</v>
      </c>
      <c r="BR1007">
        <f>IF($A1007="","",IF(BO1007=1,$C1007,MAX($C1007,BR1006)))</f>
        <v>0</v>
      </c>
      <c r="BS1007">
        <f>IF($A1007="","",IF(BO1007=1,$D1007,MIN($D1007,BS1006)))</f>
        <v>0</v>
      </c>
      <c r="BT1007">
        <f>IF($A1007="","",IF(BP1007=1,F1007,""))</f>
        <v>0</v>
      </c>
    </row>
    <row r="1008" spans="1:72">
      <c r="A1008" s="27">
        <f>IF(Data!$A1008="","",Data!$A1008)</f>
        <v>0</v>
      </c>
      <c r="B1008">
        <f>IF(Data!$B1008="","",Data!$B1008)</f>
        <v>0</v>
      </c>
      <c r="C1008">
        <f>IF(Data!$C1008="","",Data!$C1008)</f>
        <v>0</v>
      </c>
      <c r="D1008">
        <f>IF(Data!$D1008="","",Data!$D1008)</f>
        <v>0</v>
      </c>
      <c r="E1008">
        <f>IF(Data!$E1008="","",Data!$E1008)</f>
        <v>0</v>
      </c>
      <c r="F1008">
        <f>IF($E1008="","",N(F1007)+1)</f>
        <v>0</v>
      </c>
      <c r="G1008">
        <f>IF(OR($E1008="",$E1007=""),"",LN($E1008/$E1007))</f>
        <v>0</v>
      </c>
      <c r="H1008">
        <f>IF($E1008="","",IF($E1007="",$E1008,$E1008*0.0952380952+H1007*0.9047619048))</f>
        <v>0</v>
      </c>
      <c r="I1008">
        <f>IF($E1008="","",IF($E1007="",$E1008,$E1008*0.0392156863+I1007*0.9607843137))</f>
        <v>0</v>
      </c>
      <c r="J1008">
        <f>IF($E1008="","",IF($E1007="",$E1008,$E1008*0.0198019802+J1007*0.9801980198))</f>
        <v>0</v>
      </c>
      <c r="K1008">
        <f>IF($E1008="","",IF($E1007="",$E1008,$E1008*0.0099502488+K1007*0.9900497512))</f>
        <v>0</v>
      </c>
      <c r="L1008">
        <f>IF(OR($E1008="",$E1007=""),"",MAX($E1008-$E1007,0))</f>
        <v>0</v>
      </c>
      <c r="M1008">
        <f>IF(OR($E1008="",$E1007=""),"",MAX($E1007-$E1008,0))</f>
        <v>0</v>
      </c>
      <c r="N1008">
        <f>IF(COUNT($E$2:$E1008)&lt;15,"",IF(AVERAGE($M$995:$M$1008)=0,100,100-100/(1+AVERAGE($L$995:$L$1008)/AVERAGE($M$995:$M$1008))))</f>
        <v>0</v>
      </c>
      <c r="O1008">
        <f>IF($E1008="","",IF($E1007="",$E1008,$E1008*0.1538461538+O1007*0.8461538462))</f>
        <v>0</v>
      </c>
      <c r="P1008">
        <f>IF($E1008="","",IF($E1007="",$E1008,$E1008*0.0740740741+P1007*0.9259259259))</f>
        <v>0</v>
      </c>
      <c r="Q1008">
        <f>IF(OR(O1008="",P1008=""),"",O1008-P1008)</f>
        <v>0</v>
      </c>
      <c r="R1008">
        <f>IF(Q1008="","",IF(R1007="",Q1008,Q1008*0.2000000000+R1007*0.8000000000))</f>
        <v>0</v>
      </c>
      <c r="S1008">
        <f>IF(OR(Q1008="",R1008=""),"",Q1008-R1008)</f>
        <v>0</v>
      </c>
      <c r="T1008">
        <f>IF(COUNT($E$2:$E1008)&lt;14,"",MAX($C$995:$C$1008))</f>
        <v>0</v>
      </c>
      <c r="U1008">
        <f>IF(COUNT($E$2:$E1008)&lt;14,"",MIN($D$995:$D$1008))</f>
        <v>0</v>
      </c>
      <c r="V1008">
        <f>IF(OR(T1008="",U1008="",T1008=U1008),"",100*($E1008-U1008)/(T1008-U1008))</f>
        <v>0</v>
      </c>
      <c r="W1008">
        <f>IF(COUNT($V$1006:$V$1008)&lt;3,"",AVERAGE($V$1006:$V$1008))</f>
        <v>0</v>
      </c>
      <c r="X1008">
        <f>IF(COUNT($N$995:$N$1008)&lt;14,"",MIN($N$995:$N$1008))</f>
        <v>0</v>
      </c>
      <c r="Y1008">
        <f>IF(COUNT($N$995:$N$1008)&lt;14,"",MAX($N$995:$N$1008))</f>
        <v>0</v>
      </c>
      <c r="Z1008">
        <f>IF(OR(N1008="",X1008="",Y1008="",Y1008=X1008),"",100*(N1008-X1008)/(Y1008-X1008))</f>
        <v>0</v>
      </c>
      <c r="AA1008">
        <f>IF(COUNT($Z$1006:$Z$1008)&lt;3,"",AVERAGE($Z$1006:$Z$1008))</f>
        <v>0</v>
      </c>
      <c r="AB1008">
        <f>IF(COUNT($AA$1006:$AA$1008)&lt;3,"",AVERAGE($AA$1006:$AA$1008))</f>
        <v>0</v>
      </c>
      <c r="AC1008">
        <f>IF($E1008="","",MAX($C1008-$D1008,ABS($C1008-$E1007),ABS($D1008-$E1007)))</f>
        <v>0</v>
      </c>
      <c r="AD1008">
        <f>IF(COUNT($E$2:$E1008)&lt;15,"",AVERAGE($AC$995:$AC$1008))</f>
        <v>0</v>
      </c>
      <c r="AE1008">
        <f>IF(OR($E1008="",$E1007=""),"",IF(AND(($C1008-$C1007)&gt;($D1007-$D1008),($C1008-$C1007)&gt;0),$C1008-$C1007,0))</f>
        <v>0</v>
      </c>
      <c r="AF1008">
        <f>IF(OR($E1008="",$E1007=""),"",IF(AND(($D1007-$D1008)&gt;($C1008-$C1007),($D1007-$D1008)&gt;0),$D1007-$D1008,0))</f>
        <v>0</v>
      </c>
      <c r="AG1008">
        <f>IF(COUNT($E$2:$E1008)&lt;15,"",IF(SUM($AC$995:$AC$1008)=0,0,100*SUM($AE$995:$AE$1008)/SUM($AC$995:$AC$1008)))</f>
        <v>0</v>
      </c>
      <c r="AH1008">
        <f>IF(COUNT($E$2:$E1008)&lt;15,"",IF(SUM($AC$995:$AC$1008)=0,0,100*SUM($AF$995:$AF$1008)/SUM($AC$995:$AC$1008)))</f>
        <v>0</v>
      </c>
      <c r="AI1008">
        <f>IF(OR(AG1008="",AH1008=""),"",IF((AG1008+AH1008)=0,0,100*ABS(AG1008-AH1008)/(AG1008+AH1008)))</f>
        <v>0</v>
      </c>
      <c r="AJ1008">
        <f>IF(COUNT($AI$995:$AI$1008)&lt;14,"",AVERAGE($AI$995:$AI$1008))</f>
        <v>0</v>
      </c>
      <c r="AK1008">
        <f>IF(COUNT($E$2:$E1008)&lt;20,"",AVERAGE($E$989:$E$1008))</f>
        <v>0</v>
      </c>
      <c r="AL1008">
        <f>IF(COUNT($E$2:$E1008)&lt;20,"",STDEVP($E$989:$E$1008))</f>
        <v>0</v>
      </c>
      <c r="AM1008">
        <f>IF(AK1008="","",AK1008+2*AL1008)</f>
        <v>0</v>
      </c>
      <c r="AN1008">
        <f>IF(AK1008="","",AK1008-2*AL1008)</f>
        <v>0</v>
      </c>
      <c r="AO1008">
        <f>IF(OR(AM1008="",AN1008="",AM1008=AN1008),"",($E1008-AN1008)/(AM1008-AN1008))</f>
        <v>0</v>
      </c>
      <c r="AP1008">
        <f>IF(OR(AM1008="",AK1008="",AK1008=0),"",(AM1008-AN1008)/AK1008)</f>
        <v>0</v>
      </c>
      <c r="AQ1008">
        <f>IF(COUNT($E$2:$E1008)&lt;20,"",MAX($C$989:$C$1008))</f>
        <v>0</v>
      </c>
      <c r="AR1008">
        <f>IF(COUNT($E$2:$E1008)&lt;20,"",MIN($D$989:$D$1008))</f>
        <v>0</v>
      </c>
      <c r="AS1008">
        <f>IF(OR(AQ1008="",AR1008=""),"",(AQ1008+AR1008)/2)</f>
        <v>0</v>
      </c>
      <c r="AT1008">
        <f>IF(COUNT($G$989:$G$1008)&lt;20,"",STDEV($G$989:$G$1008)*SQRT(252))</f>
        <v>0</v>
      </c>
      <c r="AU1008">
        <f>IF(COUNT($E$2:$E1008)&lt;9,"",(MAX($C$1000:$C$1008)+MIN($D$1000:$D$1008))/2)</f>
        <v>0</v>
      </c>
      <c r="AV1008">
        <f>IF(COUNT($E$2:$E1008)&lt;26,"",(MAX($C$983:$C$1008)+MIN($D$983:$D$1008))/2)</f>
        <v>0</v>
      </c>
      <c r="AW1008">
        <f>IF(OR(AU1008="",AV1008=""),"",(AU1008+AV1008)/2)</f>
        <v>0</v>
      </c>
      <c r="AX1008">
        <f>IF(COUNT($E$2:$E1008)&lt;52,"",(MAX($C$957:$C$1008)+MIN($D$957:$D$1008))/2)</f>
        <v>0</v>
      </c>
      <c r="AY1008">
        <f>IF(COUNT($E$2:$E1008)&lt;20,"",MAX($C$909:$C$1008))</f>
        <v>0</v>
      </c>
      <c r="AZ1008">
        <f>IF(COUNT($E$2:$E1008)&lt;20,"",MIN($D$909:$D$1008))</f>
        <v>0</v>
      </c>
      <c r="BA1008">
        <f>IF(COUNT($E$2:$E1008)&lt;20,"",SLOPE($E$909:$E$1008,$F$909:$F$1008))</f>
        <v>0</v>
      </c>
      <c r="BB1008">
        <f>IF(COUNT($E$2:$E1008)&lt;20,"",INTERCEPT($E$909:$E$1008,$F$909:$F$1008))</f>
        <v>0</v>
      </c>
      <c r="BC1008">
        <f>IF(OR(BA1008="",BB1008=""),"",BB1008+BA1008*F1008)</f>
        <v>0</v>
      </c>
      <c r="BD1008">
        <f>IF(COUNT($E$2:$E1008)&lt;20,"",STEYX($E$909:$E$1008,$F$909:$F$1008))</f>
        <v>0</v>
      </c>
      <c r="BE1008">
        <f>IF($E1008="","",IF(AND(COUNT($E$1009:$E$1012)&gt;=4,$C1008=MAX($C$1004:$C$1012)),$C1008,""))</f>
        <v>0</v>
      </c>
      <c r="BF1008">
        <f>IF($E1008="","",IF(AND(COUNT($E$1009:$E$1012)&gt;=4,$D1008=MIN($D$1004:$D$1012)),$D1008,""))</f>
        <v>0</v>
      </c>
      <c r="BG1008">
        <f>IF($A1008="","",$A1008-WEEKDAY($A1008,2)+1)</f>
        <v>0</v>
      </c>
      <c r="BH1008">
        <f>IF($A1008="","",IF($A1007="",1,IF(BG1008&lt;&gt;BG1007,1,0)))</f>
        <v>0</v>
      </c>
      <c r="BI1008">
        <f>IF($A1008="","",IF($A1009="",1,IF(BG1009&lt;&gt;BG1008,1,0)))</f>
        <v>0</v>
      </c>
      <c r="BJ1008">
        <f>IF($A1008="","",IF(BH1008=1,$B1008,BJ1007))</f>
        <v>0</v>
      </c>
      <c r="BK1008">
        <f>IF($A1008="","",IF(BH1008=1,$C1008,MAX($C1008,BK1007)))</f>
        <v>0</v>
      </c>
      <c r="BL1008">
        <f>IF($A1008="","",IF(BH1008=1,$D1008,MIN($D1008,BL1007)))</f>
        <v>0</v>
      </c>
      <c r="BM1008">
        <f>IF($A1008="","",IF(BI1008=1,F1008,""))</f>
        <v>0</v>
      </c>
      <c r="BN1008">
        <f>IF($A1008="","",DATE(YEAR($A1008),MONTH($A1008),1))</f>
        <v>0</v>
      </c>
      <c r="BO1008">
        <f>IF($A1008="","",IF($A1007="",1,IF(BN1008&lt;&gt;BN1007,1,0)))</f>
        <v>0</v>
      </c>
      <c r="BP1008">
        <f>IF($A1008="","",IF($A1009="",1,IF(BN1009&lt;&gt;BN1008,1,0)))</f>
        <v>0</v>
      </c>
      <c r="BQ1008">
        <f>IF($A1008="","",IF(BO1008=1,$B1008,BQ1007))</f>
        <v>0</v>
      </c>
      <c r="BR1008">
        <f>IF($A1008="","",IF(BO1008=1,$C1008,MAX($C1008,BR1007)))</f>
        <v>0</v>
      </c>
      <c r="BS1008">
        <f>IF($A1008="","",IF(BO1008=1,$D1008,MIN($D1008,BS1007)))</f>
        <v>0</v>
      </c>
      <c r="BT1008">
        <f>IF($A1008="","",IF(BP1008=1,F1008,""))</f>
        <v>0</v>
      </c>
    </row>
    <row r="1009" spans="1:72">
      <c r="A1009" s="27">
        <f>IF(Data!$A1009="","",Data!$A1009)</f>
        <v>0</v>
      </c>
      <c r="B1009">
        <f>IF(Data!$B1009="","",Data!$B1009)</f>
        <v>0</v>
      </c>
      <c r="C1009">
        <f>IF(Data!$C1009="","",Data!$C1009)</f>
        <v>0</v>
      </c>
      <c r="D1009">
        <f>IF(Data!$D1009="","",Data!$D1009)</f>
        <v>0</v>
      </c>
      <c r="E1009">
        <f>IF(Data!$E1009="","",Data!$E1009)</f>
        <v>0</v>
      </c>
      <c r="F1009">
        <f>IF($E1009="","",N(F1008)+1)</f>
        <v>0</v>
      </c>
      <c r="G1009">
        <f>IF(OR($E1009="",$E1008=""),"",LN($E1009/$E1008))</f>
        <v>0</v>
      </c>
      <c r="H1009">
        <f>IF($E1009="","",IF($E1008="",$E1009,$E1009*0.0952380952+H1008*0.9047619048))</f>
        <v>0</v>
      </c>
      <c r="I1009">
        <f>IF($E1009="","",IF($E1008="",$E1009,$E1009*0.0392156863+I1008*0.9607843137))</f>
        <v>0</v>
      </c>
      <c r="J1009">
        <f>IF($E1009="","",IF($E1008="",$E1009,$E1009*0.0198019802+J1008*0.9801980198))</f>
        <v>0</v>
      </c>
      <c r="K1009">
        <f>IF($E1009="","",IF($E1008="",$E1009,$E1009*0.0099502488+K1008*0.9900497512))</f>
        <v>0</v>
      </c>
      <c r="L1009">
        <f>IF(OR($E1009="",$E1008=""),"",MAX($E1009-$E1008,0))</f>
        <v>0</v>
      </c>
      <c r="M1009">
        <f>IF(OR($E1009="",$E1008=""),"",MAX($E1008-$E1009,0))</f>
        <v>0</v>
      </c>
      <c r="N1009">
        <f>IF(COUNT($E$2:$E1009)&lt;15,"",IF(AVERAGE($M$996:$M$1009)=0,100,100-100/(1+AVERAGE($L$996:$L$1009)/AVERAGE($M$996:$M$1009))))</f>
        <v>0</v>
      </c>
      <c r="O1009">
        <f>IF($E1009="","",IF($E1008="",$E1009,$E1009*0.1538461538+O1008*0.8461538462))</f>
        <v>0</v>
      </c>
      <c r="P1009">
        <f>IF($E1009="","",IF($E1008="",$E1009,$E1009*0.0740740741+P1008*0.9259259259))</f>
        <v>0</v>
      </c>
      <c r="Q1009">
        <f>IF(OR(O1009="",P1009=""),"",O1009-P1009)</f>
        <v>0</v>
      </c>
      <c r="R1009">
        <f>IF(Q1009="","",IF(R1008="",Q1009,Q1009*0.2000000000+R1008*0.8000000000))</f>
        <v>0</v>
      </c>
      <c r="S1009">
        <f>IF(OR(Q1009="",R1009=""),"",Q1009-R1009)</f>
        <v>0</v>
      </c>
      <c r="T1009">
        <f>IF(COUNT($E$2:$E1009)&lt;14,"",MAX($C$996:$C$1009))</f>
        <v>0</v>
      </c>
      <c r="U1009">
        <f>IF(COUNT($E$2:$E1009)&lt;14,"",MIN($D$996:$D$1009))</f>
        <v>0</v>
      </c>
      <c r="V1009">
        <f>IF(OR(T1009="",U1009="",T1009=U1009),"",100*($E1009-U1009)/(T1009-U1009))</f>
        <v>0</v>
      </c>
      <c r="W1009">
        <f>IF(COUNT($V$1007:$V$1009)&lt;3,"",AVERAGE($V$1007:$V$1009))</f>
        <v>0</v>
      </c>
      <c r="X1009">
        <f>IF(COUNT($N$996:$N$1009)&lt;14,"",MIN($N$996:$N$1009))</f>
        <v>0</v>
      </c>
      <c r="Y1009">
        <f>IF(COUNT($N$996:$N$1009)&lt;14,"",MAX($N$996:$N$1009))</f>
        <v>0</v>
      </c>
      <c r="Z1009">
        <f>IF(OR(N1009="",X1009="",Y1009="",Y1009=X1009),"",100*(N1009-X1009)/(Y1009-X1009))</f>
        <v>0</v>
      </c>
      <c r="AA1009">
        <f>IF(COUNT($Z$1007:$Z$1009)&lt;3,"",AVERAGE($Z$1007:$Z$1009))</f>
        <v>0</v>
      </c>
      <c r="AB1009">
        <f>IF(COUNT($AA$1007:$AA$1009)&lt;3,"",AVERAGE($AA$1007:$AA$1009))</f>
        <v>0</v>
      </c>
      <c r="AC1009">
        <f>IF($E1009="","",MAX($C1009-$D1009,ABS($C1009-$E1008),ABS($D1009-$E1008)))</f>
        <v>0</v>
      </c>
      <c r="AD1009">
        <f>IF(COUNT($E$2:$E1009)&lt;15,"",AVERAGE($AC$996:$AC$1009))</f>
        <v>0</v>
      </c>
      <c r="AE1009">
        <f>IF(OR($E1009="",$E1008=""),"",IF(AND(($C1009-$C1008)&gt;($D1008-$D1009),($C1009-$C1008)&gt;0),$C1009-$C1008,0))</f>
        <v>0</v>
      </c>
      <c r="AF1009">
        <f>IF(OR($E1009="",$E1008=""),"",IF(AND(($D1008-$D1009)&gt;($C1009-$C1008),($D1008-$D1009)&gt;0),$D1008-$D1009,0))</f>
        <v>0</v>
      </c>
      <c r="AG1009">
        <f>IF(COUNT($E$2:$E1009)&lt;15,"",IF(SUM($AC$996:$AC$1009)=0,0,100*SUM($AE$996:$AE$1009)/SUM($AC$996:$AC$1009)))</f>
        <v>0</v>
      </c>
      <c r="AH1009">
        <f>IF(COUNT($E$2:$E1009)&lt;15,"",IF(SUM($AC$996:$AC$1009)=0,0,100*SUM($AF$996:$AF$1009)/SUM($AC$996:$AC$1009)))</f>
        <v>0</v>
      </c>
      <c r="AI1009">
        <f>IF(OR(AG1009="",AH1009=""),"",IF((AG1009+AH1009)=0,0,100*ABS(AG1009-AH1009)/(AG1009+AH1009)))</f>
        <v>0</v>
      </c>
      <c r="AJ1009">
        <f>IF(COUNT($AI$996:$AI$1009)&lt;14,"",AVERAGE($AI$996:$AI$1009))</f>
        <v>0</v>
      </c>
      <c r="AK1009">
        <f>IF(COUNT($E$2:$E1009)&lt;20,"",AVERAGE($E$990:$E$1009))</f>
        <v>0</v>
      </c>
      <c r="AL1009">
        <f>IF(COUNT($E$2:$E1009)&lt;20,"",STDEVP($E$990:$E$1009))</f>
        <v>0</v>
      </c>
      <c r="AM1009">
        <f>IF(AK1009="","",AK1009+2*AL1009)</f>
        <v>0</v>
      </c>
      <c r="AN1009">
        <f>IF(AK1009="","",AK1009-2*AL1009)</f>
        <v>0</v>
      </c>
      <c r="AO1009">
        <f>IF(OR(AM1009="",AN1009="",AM1009=AN1009),"",($E1009-AN1009)/(AM1009-AN1009))</f>
        <v>0</v>
      </c>
      <c r="AP1009">
        <f>IF(OR(AM1009="",AK1009="",AK1009=0),"",(AM1009-AN1009)/AK1009)</f>
        <v>0</v>
      </c>
      <c r="AQ1009">
        <f>IF(COUNT($E$2:$E1009)&lt;20,"",MAX($C$990:$C$1009))</f>
        <v>0</v>
      </c>
      <c r="AR1009">
        <f>IF(COUNT($E$2:$E1009)&lt;20,"",MIN($D$990:$D$1009))</f>
        <v>0</v>
      </c>
      <c r="AS1009">
        <f>IF(OR(AQ1009="",AR1009=""),"",(AQ1009+AR1009)/2)</f>
        <v>0</v>
      </c>
      <c r="AT1009">
        <f>IF(COUNT($G$990:$G$1009)&lt;20,"",STDEV($G$990:$G$1009)*SQRT(252))</f>
        <v>0</v>
      </c>
      <c r="AU1009">
        <f>IF(COUNT($E$2:$E1009)&lt;9,"",(MAX($C$1001:$C$1009)+MIN($D$1001:$D$1009))/2)</f>
        <v>0</v>
      </c>
      <c r="AV1009">
        <f>IF(COUNT($E$2:$E1009)&lt;26,"",(MAX($C$984:$C$1009)+MIN($D$984:$D$1009))/2)</f>
        <v>0</v>
      </c>
      <c r="AW1009">
        <f>IF(OR(AU1009="",AV1009=""),"",(AU1009+AV1009)/2)</f>
        <v>0</v>
      </c>
      <c r="AX1009">
        <f>IF(COUNT($E$2:$E1009)&lt;52,"",(MAX($C$958:$C$1009)+MIN($D$958:$D$1009))/2)</f>
        <v>0</v>
      </c>
      <c r="AY1009">
        <f>IF(COUNT($E$2:$E1009)&lt;20,"",MAX($C$910:$C$1009))</f>
        <v>0</v>
      </c>
      <c r="AZ1009">
        <f>IF(COUNT($E$2:$E1009)&lt;20,"",MIN($D$910:$D$1009))</f>
        <v>0</v>
      </c>
      <c r="BA1009">
        <f>IF(COUNT($E$2:$E1009)&lt;20,"",SLOPE($E$910:$E$1009,$F$910:$F$1009))</f>
        <v>0</v>
      </c>
      <c r="BB1009">
        <f>IF(COUNT($E$2:$E1009)&lt;20,"",INTERCEPT($E$910:$E$1009,$F$910:$F$1009))</f>
        <v>0</v>
      </c>
      <c r="BC1009">
        <f>IF(OR(BA1009="",BB1009=""),"",BB1009+BA1009*F1009)</f>
        <v>0</v>
      </c>
      <c r="BD1009">
        <f>IF(COUNT($E$2:$E1009)&lt;20,"",STEYX($E$910:$E$1009,$F$910:$F$1009))</f>
        <v>0</v>
      </c>
      <c r="BE1009">
        <f>IF($E1009="","",IF(AND(COUNT($E$1010:$E$1013)&gt;=4,$C1009=MAX($C$1005:$C$1013)),$C1009,""))</f>
        <v>0</v>
      </c>
      <c r="BF1009">
        <f>IF($E1009="","",IF(AND(COUNT($E$1010:$E$1013)&gt;=4,$D1009=MIN($D$1005:$D$1013)),$D1009,""))</f>
        <v>0</v>
      </c>
      <c r="BG1009">
        <f>IF($A1009="","",$A1009-WEEKDAY($A1009,2)+1)</f>
        <v>0</v>
      </c>
      <c r="BH1009">
        <f>IF($A1009="","",IF($A1008="",1,IF(BG1009&lt;&gt;BG1008,1,0)))</f>
        <v>0</v>
      </c>
      <c r="BI1009">
        <f>IF($A1009="","",IF($A1010="",1,IF(BG1010&lt;&gt;BG1009,1,0)))</f>
        <v>0</v>
      </c>
      <c r="BJ1009">
        <f>IF($A1009="","",IF(BH1009=1,$B1009,BJ1008))</f>
        <v>0</v>
      </c>
      <c r="BK1009">
        <f>IF($A1009="","",IF(BH1009=1,$C1009,MAX($C1009,BK1008)))</f>
        <v>0</v>
      </c>
      <c r="BL1009">
        <f>IF($A1009="","",IF(BH1009=1,$D1009,MIN($D1009,BL1008)))</f>
        <v>0</v>
      </c>
      <c r="BM1009">
        <f>IF($A1009="","",IF(BI1009=1,F1009,""))</f>
        <v>0</v>
      </c>
      <c r="BN1009">
        <f>IF($A1009="","",DATE(YEAR($A1009),MONTH($A1009),1))</f>
        <v>0</v>
      </c>
      <c r="BO1009">
        <f>IF($A1009="","",IF($A1008="",1,IF(BN1009&lt;&gt;BN1008,1,0)))</f>
        <v>0</v>
      </c>
      <c r="BP1009">
        <f>IF($A1009="","",IF($A1010="",1,IF(BN1010&lt;&gt;BN1009,1,0)))</f>
        <v>0</v>
      </c>
      <c r="BQ1009">
        <f>IF($A1009="","",IF(BO1009=1,$B1009,BQ1008))</f>
        <v>0</v>
      </c>
      <c r="BR1009">
        <f>IF($A1009="","",IF(BO1009=1,$C1009,MAX($C1009,BR1008)))</f>
        <v>0</v>
      </c>
      <c r="BS1009">
        <f>IF($A1009="","",IF(BO1009=1,$D1009,MIN($D1009,BS1008)))</f>
        <v>0</v>
      </c>
      <c r="BT1009">
        <f>IF($A1009="","",IF(BP1009=1,F1009,""))</f>
        <v>0</v>
      </c>
    </row>
    <row r="1010" spans="1:72">
      <c r="A1010" s="27">
        <f>IF(Data!$A1010="","",Data!$A1010)</f>
        <v>0</v>
      </c>
      <c r="B1010">
        <f>IF(Data!$B1010="","",Data!$B1010)</f>
        <v>0</v>
      </c>
      <c r="C1010">
        <f>IF(Data!$C1010="","",Data!$C1010)</f>
        <v>0</v>
      </c>
      <c r="D1010">
        <f>IF(Data!$D1010="","",Data!$D1010)</f>
        <v>0</v>
      </c>
      <c r="E1010">
        <f>IF(Data!$E1010="","",Data!$E1010)</f>
        <v>0</v>
      </c>
      <c r="F1010">
        <f>IF($E1010="","",N(F1009)+1)</f>
        <v>0</v>
      </c>
      <c r="G1010">
        <f>IF(OR($E1010="",$E1009=""),"",LN($E1010/$E1009))</f>
        <v>0</v>
      </c>
      <c r="H1010">
        <f>IF($E1010="","",IF($E1009="",$E1010,$E1010*0.0952380952+H1009*0.9047619048))</f>
        <v>0</v>
      </c>
      <c r="I1010">
        <f>IF($E1010="","",IF($E1009="",$E1010,$E1010*0.0392156863+I1009*0.9607843137))</f>
        <v>0</v>
      </c>
      <c r="J1010">
        <f>IF($E1010="","",IF($E1009="",$E1010,$E1010*0.0198019802+J1009*0.9801980198))</f>
        <v>0</v>
      </c>
      <c r="K1010">
        <f>IF($E1010="","",IF($E1009="",$E1010,$E1010*0.0099502488+K1009*0.9900497512))</f>
        <v>0</v>
      </c>
      <c r="L1010">
        <f>IF(OR($E1010="",$E1009=""),"",MAX($E1010-$E1009,0))</f>
        <v>0</v>
      </c>
      <c r="M1010">
        <f>IF(OR($E1010="",$E1009=""),"",MAX($E1009-$E1010,0))</f>
        <v>0</v>
      </c>
      <c r="N1010">
        <f>IF(COUNT($E$2:$E1010)&lt;15,"",IF(AVERAGE($M$997:$M$1010)=0,100,100-100/(1+AVERAGE($L$997:$L$1010)/AVERAGE($M$997:$M$1010))))</f>
        <v>0</v>
      </c>
      <c r="O1010">
        <f>IF($E1010="","",IF($E1009="",$E1010,$E1010*0.1538461538+O1009*0.8461538462))</f>
        <v>0</v>
      </c>
      <c r="P1010">
        <f>IF($E1010="","",IF($E1009="",$E1010,$E1010*0.0740740741+P1009*0.9259259259))</f>
        <v>0</v>
      </c>
      <c r="Q1010">
        <f>IF(OR(O1010="",P1010=""),"",O1010-P1010)</f>
        <v>0</v>
      </c>
      <c r="R1010">
        <f>IF(Q1010="","",IF(R1009="",Q1010,Q1010*0.2000000000+R1009*0.8000000000))</f>
        <v>0</v>
      </c>
      <c r="S1010">
        <f>IF(OR(Q1010="",R1010=""),"",Q1010-R1010)</f>
        <v>0</v>
      </c>
      <c r="T1010">
        <f>IF(COUNT($E$2:$E1010)&lt;14,"",MAX($C$997:$C$1010))</f>
        <v>0</v>
      </c>
      <c r="U1010">
        <f>IF(COUNT($E$2:$E1010)&lt;14,"",MIN($D$997:$D$1010))</f>
        <v>0</v>
      </c>
      <c r="V1010">
        <f>IF(OR(T1010="",U1010="",T1010=U1010),"",100*($E1010-U1010)/(T1010-U1010))</f>
        <v>0</v>
      </c>
      <c r="W1010">
        <f>IF(COUNT($V$1008:$V$1010)&lt;3,"",AVERAGE($V$1008:$V$1010))</f>
        <v>0</v>
      </c>
      <c r="X1010">
        <f>IF(COUNT($N$997:$N$1010)&lt;14,"",MIN($N$997:$N$1010))</f>
        <v>0</v>
      </c>
      <c r="Y1010">
        <f>IF(COUNT($N$997:$N$1010)&lt;14,"",MAX($N$997:$N$1010))</f>
        <v>0</v>
      </c>
      <c r="Z1010">
        <f>IF(OR(N1010="",X1010="",Y1010="",Y1010=X1010),"",100*(N1010-X1010)/(Y1010-X1010))</f>
        <v>0</v>
      </c>
      <c r="AA1010">
        <f>IF(COUNT($Z$1008:$Z$1010)&lt;3,"",AVERAGE($Z$1008:$Z$1010))</f>
        <v>0</v>
      </c>
      <c r="AB1010">
        <f>IF(COUNT($AA$1008:$AA$1010)&lt;3,"",AVERAGE($AA$1008:$AA$1010))</f>
        <v>0</v>
      </c>
      <c r="AC1010">
        <f>IF($E1010="","",MAX($C1010-$D1010,ABS($C1010-$E1009),ABS($D1010-$E1009)))</f>
        <v>0</v>
      </c>
      <c r="AD1010">
        <f>IF(COUNT($E$2:$E1010)&lt;15,"",AVERAGE($AC$997:$AC$1010))</f>
        <v>0</v>
      </c>
      <c r="AE1010">
        <f>IF(OR($E1010="",$E1009=""),"",IF(AND(($C1010-$C1009)&gt;($D1009-$D1010),($C1010-$C1009)&gt;0),$C1010-$C1009,0))</f>
        <v>0</v>
      </c>
      <c r="AF1010">
        <f>IF(OR($E1010="",$E1009=""),"",IF(AND(($D1009-$D1010)&gt;($C1010-$C1009),($D1009-$D1010)&gt;0),$D1009-$D1010,0))</f>
        <v>0</v>
      </c>
      <c r="AG1010">
        <f>IF(COUNT($E$2:$E1010)&lt;15,"",IF(SUM($AC$997:$AC$1010)=0,0,100*SUM($AE$997:$AE$1010)/SUM($AC$997:$AC$1010)))</f>
        <v>0</v>
      </c>
      <c r="AH1010">
        <f>IF(COUNT($E$2:$E1010)&lt;15,"",IF(SUM($AC$997:$AC$1010)=0,0,100*SUM($AF$997:$AF$1010)/SUM($AC$997:$AC$1010)))</f>
        <v>0</v>
      </c>
      <c r="AI1010">
        <f>IF(OR(AG1010="",AH1010=""),"",IF((AG1010+AH1010)=0,0,100*ABS(AG1010-AH1010)/(AG1010+AH1010)))</f>
        <v>0</v>
      </c>
      <c r="AJ1010">
        <f>IF(COUNT($AI$997:$AI$1010)&lt;14,"",AVERAGE($AI$997:$AI$1010))</f>
        <v>0</v>
      </c>
      <c r="AK1010">
        <f>IF(COUNT($E$2:$E1010)&lt;20,"",AVERAGE($E$991:$E$1010))</f>
        <v>0</v>
      </c>
      <c r="AL1010">
        <f>IF(COUNT($E$2:$E1010)&lt;20,"",STDEVP($E$991:$E$1010))</f>
        <v>0</v>
      </c>
      <c r="AM1010">
        <f>IF(AK1010="","",AK1010+2*AL1010)</f>
        <v>0</v>
      </c>
      <c r="AN1010">
        <f>IF(AK1010="","",AK1010-2*AL1010)</f>
        <v>0</v>
      </c>
      <c r="AO1010">
        <f>IF(OR(AM1010="",AN1010="",AM1010=AN1010),"",($E1010-AN1010)/(AM1010-AN1010))</f>
        <v>0</v>
      </c>
      <c r="AP1010">
        <f>IF(OR(AM1010="",AK1010="",AK1010=0),"",(AM1010-AN1010)/AK1010)</f>
        <v>0</v>
      </c>
      <c r="AQ1010">
        <f>IF(COUNT($E$2:$E1010)&lt;20,"",MAX($C$991:$C$1010))</f>
        <v>0</v>
      </c>
      <c r="AR1010">
        <f>IF(COUNT($E$2:$E1010)&lt;20,"",MIN($D$991:$D$1010))</f>
        <v>0</v>
      </c>
      <c r="AS1010">
        <f>IF(OR(AQ1010="",AR1010=""),"",(AQ1010+AR1010)/2)</f>
        <v>0</v>
      </c>
      <c r="AT1010">
        <f>IF(COUNT($G$991:$G$1010)&lt;20,"",STDEV($G$991:$G$1010)*SQRT(252))</f>
        <v>0</v>
      </c>
      <c r="AU1010">
        <f>IF(COUNT($E$2:$E1010)&lt;9,"",(MAX($C$1002:$C$1010)+MIN($D$1002:$D$1010))/2)</f>
        <v>0</v>
      </c>
      <c r="AV1010">
        <f>IF(COUNT($E$2:$E1010)&lt;26,"",(MAX($C$985:$C$1010)+MIN($D$985:$D$1010))/2)</f>
        <v>0</v>
      </c>
      <c r="AW1010">
        <f>IF(OR(AU1010="",AV1010=""),"",(AU1010+AV1010)/2)</f>
        <v>0</v>
      </c>
      <c r="AX1010">
        <f>IF(COUNT($E$2:$E1010)&lt;52,"",(MAX($C$959:$C$1010)+MIN($D$959:$D$1010))/2)</f>
        <v>0</v>
      </c>
      <c r="AY1010">
        <f>IF(COUNT($E$2:$E1010)&lt;20,"",MAX($C$911:$C$1010))</f>
        <v>0</v>
      </c>
      <c r="AZ1010">
        <f>IF(COUNT($E$2:$E1010)&lt;20,"",MIN($D$911:$D$1010))</f>
        <v>0</v>
      </c>
      <c r="BA1010">
        <f>IF(COUNT($E$2:$E1010)&lt;20,"",SLOPE($E$911:$E$1010,$F$911:$F$1010))</f>
        <v>0</v>
      </c>
      <c r="BB1010">
        <f>IF(COUNT($E$2:$E1010)&lt;20,"",INTERCEPT($E$911:$E$1010,$F$911:$F$1010))</f>
        <v>0</v>
      </c>
      <c r="BC1010">
        <f>IF(OR(BA1010="",BB1010=""),"",BB1010+BA1010*F1010)</f>
        <v>0</v>
      </c>
      <c r="BD1010">
        <f>IF(COUNT($E$2:$E1010)&lt;20,"",STEYX($E$911:$E$1010,$F$911:$F$1010))</f>
        <v>0</v>
      </c>
      <c r="BE1010">
        <f>IF($E1010="","",IF(AND(COUNT($E$1011:$E$1014)&gt;=4,$C1010=MAX($C$1006:$C$1014)),$C1010,""))</f>
        <v>0</v>
      </c>
      <c r="BF1010">
        <f>IF($E1010="","",IF(AND(COUNT($E$1011:$E$1014)&gt;=4,$D1010=MIN($D$1006:$D$1014)),$D1010,""))</f>
        <v>0</v>
      </c>
      <c r="BG1010">
        <f>IF($A1010="","",$A1010-WEEKDAY($A1010,2)+1)</f>
        <v>0</v>
      </c>
      <c r="BH1010">
        <f>IF($A1010="","",IF($A1009="",1,IF(BG1010&lt;&gt;BG1009,1,0)))</f>
        <v>0</v>
      </c>
      <c r="BI1010">
        <f>IF($A1010="","",IF($A1011="",1,IF(BG1011&lt;&gt;BG1010,1,0)))</f>
        <v>0</v>
      </c>
      <c r="BJ1010">
        <f>IF($A1010="","",IF(BH1010=1,$B1010,BJ1009))</f>
        <v>0</v>
      </c>
      <c r="BK1010">
        <f>IF($A1010="","",IF(BH1010=1,$C1010,MAX($C1010,BK1009)))</f>
        <v>0</v>
      </c>
      <c r="BL1010">
        <f>IF($A1010="","",IF(BH1010=1,$D1010,MIN($D1010,BL1009)))</f>
        <v>0</v>
      </c>
      <c r="BM1010">
        <f>IF($A1010="","",IF(BI1010=1,F1010,""))</f>
        <v>0</v>
      </c>
      <c r="BN1010">
        <f>IF($A1010="","",DATE(YEAR($A1010),MONTH($A1010),1))</f>
        <v>0</v>
      </c>
      <c r="BO1010">
        <f>IF($A1010="","",IF($A1009="",1,IF(BN1010&lt;&gt;BN1009,1,0)))</f>
        <v>0</v>
      </c>
      <c r="BP1010">
        <f>IF($A1010="","",IF($A1011="",1,IF(BN1011&lt;&gt;BN1010,1,0)))</f>
        <v>0</v>
      </c>
      <c r="BQ1010">
        <f>IF($A1010="","",IF(BO1010=1,$B1010,BQ1009))</f>
        <v>0</v>
      </c>
      <c r="BR1010">
        <f>IF($A1010="","",IF(BO1010=1,$C1010,MAX($C1010,BR1009)))</f>
        <v>0</v>
      </c>
      <c r="BS1010">
        <f>IF($A1010="","",IF(BO1010=1,$D1010,MIN($D1010,BS1009)))</f>
        <v>0</v>
      </c>
      <c r="BT1010">
        <f>IF($A1010="","",IF(BP1010=1,F1010,""))</f>
        <v>0</v>
      </c>
    </row>
    <row r="1011" spans="1:72">
      <c r="A1011" s="27">
        <f>IF(Data!$A1011="","",Data!$A1011)</f>
        <v>0</v>
      </c>
      <c r="B1011">
        <f>IF(Data!$B1011="","",Data!$B1011)</f>
        <v>0</v>
      </c>
      <c r="C1011">
        <f>IF(Data!$C1011="","",Data!$C1011)</f>
        <v>0</v>
      </c>
      <c r="D1011">
        <f>IF(Data!$D1011="","",Data!$D1011)</f>
        <v>0</v>
      </c>
      <c r="E1011">
        <f>IF(Data!$E1011="","",Data!$E1011)</f>
        <v>0</v>
      </c>
      <c r="F1011">
        <f>IF($E1011="","",N(F1010)+1)</f>
        <v>0</v>
      </c>
      <c r="G1011">
        <f>IF(OR($E1011="",$E1010=""),"",LN($E1011/$E1010))</f>
        <v>0</v>
      </c>
      <c r="H1011">
        <f>IF($E1011="","",IF($E1010="",$E1011,$E1011*0.0952380952+H1010*0.9047619048))</f>
        <v>0</v>
      </c>
      <c r="I1011">
        <f>IF($E1011="","",IF($E1010="",$E1011,$E1011*0.0392156863+I1010*0.9607843137))</f>
        <v>0</v>
      </c>
      <c r="J1011">
        <f>IF($E1011="","",IF($E1010="",$E1011,$E1011*0.0198019802+J1010*0.9801980198))</f>
        <v>0</v>
      </c>
      <c r="K1011">
        <f>IF($E1011="","",IF($E1010="",$E1011,$E1011*0.0099502488+K1010*0.9900497512))</f>
        <v>0</v>
      </c>
      <c r="L1011">
        <f>IF(OR($E1011="",$E1010=""),"",MAX($E1011-$E1010,0))</f>
        <v>0</v>
      </c>
      <c r="M1011">
        <f>IF(OR($E1011="",$E1010=""),"",MAX($E1010-$E1011,0))</f>
        <v>0</v>
      </c>
      <c r="N1011">
        <f>IF(COUNT($E$2:$E1011)&lt;15,"",IF(AVERAGE($M$998:$M$1011)=0,100,100-100/(1+AVERAGE($L$998:$L$1011)/AVERAGE($M$998:$M$1011))))</f>
        <v>0</v>
      </c>
      <c r="O1011">
        <f>IF($E1011="","",IF($E1010="",$E1011,$E1011*0.1538461538+O1010*0.8461538462))</f>
        <v>0</v>
      </c>
      <c r="P1011">
        <f>IF($E1011="","",IF($E1010="",$E1011,$E1011*0.0740740741+P1010*0.9259259259))</f>
        <v>0</v>
      </c>
      <c r="Q1011">
        <f>IF(OR(O1011="",P1011=""),"",O1011-P1011)</f>
        <v>0</v>
      </c>
      <c r="R1011">
        <f>IF(Q1011="","",IF(R1010="",Q1011,Q1011*0.2000000000+R1010*0.8000000000))</f>
        <v>0</v>
      </c>
      <c r="S1011">
        <f>IF(OR(Q1011="",R1011=""),"",Q1011-R1011)</f>
        <v>0</v>
      </c>
      <c r="T1011">
        <f>IF(COUNT($E$2:$E1011)&lt;14,"",MAX($C$998:$C$1011))</f>
        <v>0</v>
      </c>
      <c r="U1011">
        <f>IF(COUNT($E$2:$E1011)&lt;14,"",MIN($D$998:$D$1011))</f>
        <v>0</v>
      </c>
      <c r="V1011">
        <f>IF(OR(T1011="",U1011="",T1011=U1011),"",100*($E1011-U1011)/(T1011-U1011))</f>
        <v>0</v>
      </c>
      <c r="W1011">
        <f>IF(COUNT($V$1009:$V$1011)&lt;3,"",AVERAGE($V$1009:$V$1011))</f>
        <v>0</v>
      </c>
      <c r="X1011">
        <f>IF(COUNT($N$998:$N$1011)&lt;14,"",MIN($N$998:$N$1011))</f>
        <v>0</v>
      </c>
      <c r="Y1011">
        <f>IF(COUNT($N$998:$N$1011)&lt;14,"",MAX($N$998:$N$1011))</f>
        <v>0</v>
      </c>
      <c r="Z1011">
        <f>IF(OR(N1011="",X1011="",Y1011="",Y1011=X1011),"",100*(N1011-X1011)/(Y1011-X1011))</f>
        <v>0</v>
      </c>
      <c r="AA1011">
        <f>IF(COUNT($Z$1009:$Z$1011)&lt;3,"",AVERAGE($Z$1009:$Z$1011))</f>
        <v>0</v>
      </c>
      <c r="AB1011">
        <f>IF(COUNT($AA$1009:$AA$1011)&lt;3,"",AVERAGE($AA$1009:$AA$1011))</f>
        <v>0</v>
      </c>
      <c r="AC1011">
        <f>IF($E1011="","",MAX($C1011-$D1011,ABS($C1011-$E1010),ABS($D1011-$E1010)))</f>
        <v>0</v>
      </c>
      <c r="AD1011">
        <f>IF(COUNT($E$2:$E1011)&lt;15,"",AVERAGE($AC$998:$AC$1011))</f>
        <v>0</v>
      </c>
      <c r="AE1011">
        <f>IF(OR($E1011="",$E1010=""),"",IF(AND(($C1011-$C1010)&gt;($D1010-$D1011),($C1011-$C1010)&gt;0),$C1011-$C1010,0))</f>
        <v>0</v>
      </c>
      <c r="AF1011">
        <f>IF(OR($E1011="",$E1010=""),"",IF(AND(($D1010-$D1011)&gt;($C1011-$C1010),($D1010-$D1011)&gt;0),$D1010-$D1011,0))</f>
        <v>0</v>
      </c>
      <c r="AG1011">
        <f>IF(COUNT($E$2:$E1011)&lt;15,"",IF(SUM($AC$998:$AC$1011)=0,0,100*SUM($AE$998:$AE$1011)/SUM($AC$998:$AC$1011)))</f>
        <v>0</v>
      </c>
      <c r="AH1011">
        <f>IF(COUNT($E$2:$E1011)&lt;15,"",IF(SUM($AC$998:$AC$1011)=0,0,100*SUM($AF$998:$AF$1011)/SUM($AC$998:$AC$1011)))</f>
        <v>0</v>
      </c>
      <c r="AI1011">
        <f>IF(OR(AG1011="",AH1011=""),"",IF((AG1011+AH1011)=0,0,100*ABS(AG1011-AH1011)/(AG1011+AH1011)))</f>
        <v>0</v>
      </c>
      <c r="AJ1011">
        <f>IF(COUNT($AI$998:$AI$1011)&lt;14,"",AVERAGE($AI$998:$AI$1011))</f>
        <v>0</v>
      </c>
      <c r="AK1011">
        <f>IF(COUNT($E$2:$E1011)&lt;20,"",AVERAGE($E$992:$E$1011))</f>
        <v>0</v>
      </c>
      <c r="AL1011">
        <f>IF(COUNT($E$2:$E1011)&lt;20,"",STDEVP($E$992:$E$1011))</f>
        <v>0</v>
      </c>
      <c r="AM1011">
        <f>IF(AK1011="","",AK1011+2*AL1011)</f>
        <v>0</v>
      </c>
      <c r="AN1011">
        <f>IF(AK1011="","",AK1011-2*AL1011)</f>
        <v>0</v>
      </c>
      <c r="AO1011">
        <f>IF(OR(AM1011="",AN1011="",AM1011=AN1011),"",($E1011-AN1011)/(AM1011-AN1011))</f>
        <v>0</v>
      </c>
      <c r="AP1011">
        <f>IF(OR(AM1011="",AK1011="",AK1011=0),"",(AM1011-AN1011)/AK1011)</f>
        <v>0</v>
      </c>
      <c r="AQ1011">
        <f>IF(COUNT($E$2:$E1011)&lt;20,"",MAX($C$992:$C$1011))</f>
        <v>0</v>
      </c>
      <c r="AR1011">
        <f>IF(COUNT($E$2:$E1011)&lt;20,"",MIN($D$992:$D$1011))</f>
        <v>0</v>
      </c>
      <c r="AS1011">
        <f>IF(OR(AQ1011="",AR1011=""),"",(AQ1011+AR1011)/2)</f>
        <v>0</v>
      </c>
      <c r="AT1011">
        <f>IF(COUNT($G$992:$G$1011)&lt;20,"",STDEV($G$992:$G$1011)*SQRT(252))</f>
        <v>0</v>
      </c>
      <c r="AU1011">
        <f>IF(COUNT($E$2:$E1011)&lt;9,"",(MAX($C$1003:$C$1011)+MIN($D$1003:$D$1011))/2)</f>
        <v>0</v>
      </c>
      <c r="AV1011">
        <f>IF(COUNT($E$2:$E1011)&lt;26,"",(MAX($C$986:$C$1011)+MIN($D$986:$D$1011))/2)</f>
        <v>0</v>
      </c>
      <c r="AW1011">
        <f>IF(OR(AU1011="",AV1011=""),"",(AU1011+AV1011)/2)</f>
        <v>0</v>
      </c>
      <c r="AX1011">
        <f>IF(COUNT($E$2:$E1011)&lt;52,"",(MAX($C$960:$C$1011)+MIN($D$960:$D$1011))/2)</f>
        <v>0</v>
      </c>
      <c r="AY1011">
        <f>IF(COUNT($E$2:$E1011)&lt;20,"",MAX($C$912:$C$1011))</f>
        <v>0</v>
      </c>
      <c r="AZ1011">
        <f>IF(COUNT($E$2:$E1011)&lt;20,"",MIN($D$912:$D$1011))</f>
        <v>0</v>
      </c>
      <c r="BA1011">
        <f>IF(COUNT($E$2:$E1011)&lt;20,"",SLOPE($E$912:$E$1011,$F$912:$F$1011))</f>
        <v>0</v>
      </c>
      <c r="BB1011">
        <f>IF(COUNT($E$2:$E1011)&lt;20,"",INTERCEPT($E$912:$E$1011,$F$912:$F$1011))</f>
        <v>0</v>
      </c>
      <c r="BC1011">
        <f>IF(OR(BA1011="",BB1011=""),"",BB1011+BA1011*F1011)</f>
        <v>0</v>
      </c>
      <c r="BD1011">
        <f>IF(COUNT($E$2:$E1011)&lt;20,"",STEYX($E$912:$E$1011,$F$912:$F$1011))</f>
        <v>0</v>
      </c>
      <c r="BE1011">
        <f>IF($E1011="","",IF(AND(COUNT($E$1012:$E$1015)&gt;=4,$C1011=MAX($C$1007:$C$1015)),$C1011,""))</f>
        <v>0</v>
      </c>
      <c r="BF1011">
        <f>IF($E1011="","",IF(AND(COUNT($E$1012:$E$1015)&gt;=4,$D1011=MIN($D$1007:$D$1015)),$D1011,""))</f>
        <v>0</v>
      </c>
      <c r="BG1011">
        <f>IF($A1011="","",$A1011-WEEKDAY($A1011,2)+1)</f>
        <v>0</v>
      </c>
      <c r="BH1011">
        <f>IF($A1011="","",IF($A1010="",1,IF(BG1011&lt;&gt;BG1010,1,0)))</f>
        <v>0</v>
      </c>
      <c r="BI1011">
        <f>IF($A1011="","",IF($A1012="",1,IF(BG1012&lt;&gt;BG1011,1,0)))</f>
        <v>0</v>
      </c>
      <c r="BJ1011">
        <f>IF($A1011="","",IF(BH1011=1,$B1011,BJ1010))</f>
        <v>0</v>
      </c>
      <c r="BK1011">
        <f>IF($A1011="","",IF(BH1011=1,$C1011,MAX($C1011,BK1010)))</f>
        <v>0</v>
      </c>
      <c r="BL1011">
        <f>IF($A1011="","",IF(BH1011=1,$D1011,MIN($D1011,BL1010)))</f>
        <v>0</v>
      </c>
      <c r="BM1011">
        <f>IF($A1011="","",IF(BI1011=1,F1011,""))</f>
        <v>0</v>
      </c>
      <c r="BN1011">
        <f>IF($A1011="","",DATE(YEAR($A1011),MONTH($A1011),1))</f>
        <v>0</v>
      </c>
      <c r="BO1011">
        <f>IF($A1011="","",IF($A1010="",1,IF(BN1011&lt;&gt;BN1010,1,0)))</f>
        <v>0</v>
      </c>
      <c r="BP1011">
        <f>IF($A1011="","",IF($A1012="",1,IF(BN1012&lt;&gt;BN1011,1,0)))</f>
        <v>0</v>
      </c>
      <c r="BQ1011">
        <f>IF($A1011="","",IF(BO1011=1,$B1011,BQ1010))</f>
        <v>0</v>
      </c>
      <c r="BR1011">
        <f>IF($A1011="","",IF(BO1011=1,$C1011,MAX($C1011,BR1010)))</f>
        <v>0</v>
      </c>
      <c r="BS1011">
        <f>IF($A1011="","",IF(BO1011=1,$D1011,MIN($D1011,BS1010)))</f>
        <v>0</v>
      </c>
      <c r="BT1011">
        <f>IF($A1011="","",IF(BP1011=1,F1011,""))</f>
        <v>0</v>
      </c>
    </row>
    <row r="1012" spans="1:72">
      <c r="A1012" s="27">
        <f>IF(Data!$A1012="","",Data!$A1012)</f>
        <v>0</v>
      </c>
      <c r="B1012">
        <f>IF(Data!$B1012="","",Data!$B1012)</f>
        <v>0</v>
      </c>
      <c r="C1012">
        <f>IF(Data!$C1012="","",Data!$C1012)</f>
        <v>0</v>
      </c>
      <c r="D1012">
        <f>IF(Data!$D1012="","",Data!$D1012)</f>
        <v>0</v>
      </c>
      <c r="E1012">
        <f>IF(Data!$E1012="","",Data!$E1012)</f>
        <v>0</v>
      </c>
      <c r="F1012">
        <f>IF($E1012="","",N(F1011)+1)</f>
        <v>0</v>
      </c>
      <c r="G1012">
        <f>IF(OR($E1012="",$E1011=""),"",LN($E1012/$E1011))</f>
        <v>0</v>
      </c>
      <c r="H1012">
        <f>IF($E1012="","",IF($E1011="",$E1012,$E1012*0.0952380952+H1011*0.9047619048))</f>
        <v>0</v>
      </c>
      <c r="I1012">
        <f>IF($E1012="","",IF($E1011="",$E1012,$E1012*0.0392156863+I1011*0.9607843137))</f>
        <v>0</v>
      </c>
      <c r="J1012">
        <f>IF($E1012="","",IF($E1011="",$E1012,$E1012*0.0198019802+J1011*0.9801980198))</f>
        <v>0</v>
      </c>
      <c r="K1012">
        <f>IF($E1012="","",IF($E1011="",$E1012,$E1012*0.0099502488+K1011*0.9900497512))</f>
        <v>0</v>
      </c>
      <c r="L1012">
        <f>IF(OR($E1012="",$E1011=""),"",MAX($E1012-$E1011,0))</f>
        <v>0</v>
      </c>
      <c r="M1012">
        <f>IF(OR($E1012="",$E1011=""),"",MAX($E1011-$E1012,0))</f>
        <v>0</v>
      </c>
      <c r="N1012">
        <f>IF(COUNT($E$2:$E1012)&lt;15,"",IF(AVERAGE($M$999:$M$1012)=0,100,100-100/(1+AVERAGE($L$999:$L$1012)/AVERAGE($M$999:$M$1012))))</f>
        <v>0</v>
      </c>
      <c r="O1012">
        <f>IF($E1012="","",IF($E1011="",$E1012,$E1012*0.1538461538+O1011*0.8461538462))</f>
        <v>0</v>
      </c>
      <c r="P1012">
        <f>IF($E1012="","",IF($E1011="",$E1012,$E1012*0.0740740741+P1011*0.9259259259))</f>
        <v>0</v>
      </c>
      <c r="Q1012">
        <f>IF(OR(O1012="",P1012=""),"",O1012-P1012)</f>
        <v>0</v>
      </c>
      <c r="R1012">
        <f>IF(Q1012="","",IF(R1011="",Q1012,Q1012*0.2000000000+R1011*0.8000000000))</f>
        <v>0</v>
      </c>
      <c r="S1012">
        <f>IF(OR(Q1012="",R1012=""),"",Q1012-R1012)</f>
        <v>0</v>
      </c>
      <c r="T1012">
        <f>IF(COUNT($E$2:$E1012)&lt;14,"",MAX($C$999:$C$1012))</f>
        <v>0</v>
      </c>
      <c r="U1012">
        <f>IF(COUNT($E$2:$E1012)&lt;14,"",MIN($D$999:$D$1012))</f>
        <v>0</v>
      </c>
      <c r="V1012">
        <f>IF(OR(T1012="",U1012="",T1012=U1012),"",100*($E1012-U1012)/(T1012-U1012))</f>
        <v>0</v>
      </c>
      <c r="W1012">
        <f>IF(COUNT($V$1010:$V$1012)&lt;3,"",AVERAGE($V$1010:$V$1012))</f>
        <v>0</v>
      </c>
      <c r="X1012">
        <f>IF(COUNT($N$999:$N$1012)&lt;14,"",MIN($N$999:$N$1012))</f>
        <v>0</v>
      </c>
      <c r="Y1012">
        <f>IF(COUNT($N$999:$N$1012)&lt;14,"",MAX($N$999:$N$1012))</f>
        <v>0</v>
      </c>
      <c r="Z1012">
        <f>IF(OR(N1012="",X1012="",Y1012="",Y1012=X1012),"",100*(N1012-X1012)/(Y1012-X1012))</f>
        <v>0</v>
      </c>
      <c r="AA1012">
        <f>IF(COUNT($Z$1010:$Z$1012)&lt;3,"",AVERAGE($Z$1010:$Z$1012))</f>
        <v>0</v>
      </c>
      <c r="AB1012">
        <f>IF(COUNT($AA$1010:$AA$1012)&lt;3,"",AVERAGE($AA$1010:$AA$1012))</f>
        <v>0</v>
      </c>
      <c r="AC1012">
        <f>IF($E1012="","",MAX($C1012-$D1012,ABS($C1012-$E1011),ABS($D1012-$E1011)))</f>
        <v>0</v>
      </c>
      <c r="AD1012">
        <f>IF(COUNT($E$2:$E1012)&lt;15,"",AVERAGE($AC$999:$AC$1012))</f>
        <v>0</v>
      </c>
      <c r="AE1012">
        <f>IF(OR($E1012="",$E1011=""),"",IF(AND(($C1012-$C1011)&gt;($D1011-$D1012),($C1012-$C1011)&gt;0),$C1012-$C1011,0))</f>
        <v>0</v>
      </c>
      <c r="AF1012">
        <f>IF(OR($E1012="",$E1011=""),"",IF(AND(($D1011-$D1012)&gt;($C1012-$C1011),($D1011-$D1012)&gt;0),$D1011-$D1012,0))</f>
        <v>0</v>
      </c>
      <c r="AG1012">
        <f>IF(COUNT($E$2:$E1012)&lt;15,"",IF(SUM($AC$999:$AC$1012)=0,0,100*SUM($AE$999:$AE$1012)/SUM($AC$999:$AC$1012)))</f>
        <v>0</v>
      </c>
      <c r="AH1012">
        <f>IF(COUNT($E$2:$E1012)&lt;15,"",IF(SUM($AC$999:$AC$1012)=0,0,100*SUM($AF$999:$AF$1012)/SUM($AC$999:$AC$1012)))</f>
        <v>0</v>
      </c>
      <c r="AI1012">
        <f>IF(OR(AG1012="",AH1012=""),"",IF((AG1012+AH1012)=0,0,100*ABS(AG1012-AH1012)/(AG1012+AH1012)))</f>
        <v>0</v>
      </c>
      <c r="AJ1012">
        <f>IF(COUNT($AI$999:$AI$1012)&lt;14,"",AVERAGE($AI$999:$AI$1012))</f>
        <v>0</v>
      </c>
      <c r="AK1012">
        <f>IF(COUNT($E$2:$E1012)&lt;20,"",AVERAGE($E$993:$E$1012))</f>
        <v>0</v>
      </c>
      <c r="AL1012">
        <f>IF(COUNT($E$2:$E1012)&lt;20,"",STDEVP($E$993:$E$1012))</f>
        <v>0</v>
      </c>
      <c r="AM1012">
        <f>IF(AK1012="","",AK1012+2*AL1012)</f>
        <v>0</v>
      </c>
      <c r="AN1012">
        <f>IF(AK1012="","",AK1012-2*AL1012)</f>
        <v>0</v>
      </c>
      <c r="AO1012">
        <f>IF(OR(AM1012="",AN1012="",AM1012=AN1012),"",($E1012-AN1012)/(AM1012-AN1012))</f>
        <v>0</v>
      </c>
      <c r="AP1012">
        <f>IF(OR(AM1012="",AK1012="",AK1012=0),"",(AM1012-AN1012)/AK1012)</f>
        <v>0</v>
      </c>
      <c r="AQ1012">
        <f>IF(COUNT($E$2:$E1012)&lt;20,"",MAX($C$993:$C$1012))</f>
        <v>0</v>
      </c>
      <c r="AR1012">
        <f>IF(COUNT($E$2:$E1012)&lt;20,"",MIN($D$993:$D$1012))</f>
        <v>0</v>
      </c>
      <c r="AS1012">
        <f>IF(OR(AQ1012="",AR1012=""),"",(AQ1012+AR1012)/2)</f>
        <v>0</v>
      </c>
      <c r="AT1012">
        <f>IF(COUNT($G$993:$G$1012)&lt;20,"",STDEV($G$993:$G$1012)*SQRT(252))</f>
        <v>0</v>
      </c>
      <c r="AU1012">
        <f>IF(COUNT($E$2:$E1012)&lt;9,"",(MAX($C$1004:$C$1012)+MIN($D$1004:$D$1012))/2)</f>
        <v>0</v>
      </c>
      <c r="AV1012">
        <f>IF(COUNT($E$2:$E1012)&lt;26,"",(MAX($C$987:$C$1012)+MIN($D$987:$D$1012))/2)</f>
        <v>0</v>
      </c>
      <c r="AW1012">
        <f>IF(OR(AU1012="",AV1012=""),"",(AU1012+AV1012)/2)</f>
        <v>0</v>
      </c>
      <c r="AX1012">
        <f>IF(COUNT($E$2:$E1012)&lt;52,"",(MAX($C$961:$C$1012)+MIN($D$961:$D$1012))/2)</f>
        <v>0</v>
      </c>
      <c r="AY1012">
        <f>IF(COUNT($E$2:$E1012)&lt;20,"",MAX($C$913:$C$1012))</f>
        <v>0</v>
      </c>
      <c r="AZ1012">
        <f>IF(COUNT($E$2:$E1012)&lt;20,"",MIN($D$913:$D$1012))</f>
        <v>0</v>
      </c>
      <c r="BA1012">
        <f>IF(COUNT($E$2:$E1012)&lt;20,"",SLOPE($E$913:$E$1012,$F$913:$F$1012))</f>
        <v>0</v>
      </c>
      <c r="BB1012">
        <f>IF(COUNT($E$2:$E1012)&lt;20,"",INTERCEPT($E$913:$E$1012,$F$913:$F$1012))</f>
        <v>0</v>
      </c>
      <c r="BC1012">
        <f>IF(OR(BA1012="",BB1012=""),"",BB1012+BA1012*F1012)</f>
        <v>0</v>
      </c>
      <c r="BD1012">
        <f>IF(COUNT($E$2:$E1012)&lt;20,"",STEYX($E$913:$E$1012,$F$913:$F$1012))</f>
        <v>0</v>
      </c>
      <c r="BE1012">
        <f>IF($E1012="","",IF(AND(COUNT($E$1013:$E$1016)&gt;=4,$C1012=MAX($C$1008:$C$1016)),$C1012,""))</f>
        <v>0</v>
      </c>
      <c r="BF1012">
        <f>IF($E1012="","",IF(AND(COUNT($E$1013:$E$1016)&gt;=4,$D1012=MIN($D$1008:$D$1016)),$D1012,""))</f>
        <v>0</v>
      </c>
      <c r="BG1012">
        <f>IF($A1012="","",$A1012-WEEKDAY($A1012,2)+1)</f>
        <v>0</v>
      </c>
      <c r="BH1012">
        <f>IF($A1012="","",IF($A1011="",1,IF(BG1012&lt;&gt;BG1011,1,0)))</f>
        <v>0</v>
      </c>
      <c r="BI1012">
        <f>IF($A1012="","",IF($A1013="",1,IF(BG1013&lt;&gt;BG1012,1,0)))</f>
        <v>0</v>
      </c>
      <c r="BJ1012">
        <f>IF($A1012="","",IF(BH1012=1,$B1012,BJ1011))</f>
        <v>0</v>
      </c>
      <c r="BK1012">
        <f>IF($A1012="","",IF(BH1012=1,$C1012,MAX($C1012,BK1011)))</f>
        <v>0</v>
      </c>
      <c r="BL1012">
        <f>IF($A1012="","",IF(BH1012=1,$D1012,MIN($D1012,BL1011)))</f>
        <v>0</v>
      </c>
      <c r="BM1012">
        <f>IF($A1012="","",IF(BI1012=1,F1012,""))</f>
        <v>0</v>
      </c>
      <c r="BN1012">
        <f>IF($A1012="","",DATE(YEAR($A1012),MONTH($A1012),1))</f>
        <v>0</v>
      </c>
      <c r="BO1012">
        <f>IF($A1012="","",IF($A1011="",1,IF(BN1012&lt;&gt;BN1011,1,0)))</f>
        <v>0</v>
      </c>
      <c r="BP1012">
        <f>IF($A1012="","",IF($A1013="",1,IF(BN1013&lt;&gt;BN1012,1,0)))</f>
        <v>0</v>
      </c>
      <c r="BQ1012">
        <f>IF($A1012="","",IF(BO1012=1,$B1012,BQ1011))</f>
        <v>0</v>
      </c>
      <c r="BR1012">
        <f>IF($A1012="","",IF(BO1012=1,$C1012,MAX($C1012,BR1011)))</f>
        <v>0</v>
      </c>
      <c r="BS1012">
        <f>IF($A1012="","",IF(BO1012=1,$D1012,MIN($D1012,BS1011)))</f>
        <v>0</v>
      </c>
      <c r="BT1012">
        <f>IF($A1012="","",IF(BP1012=1,F1012,""))</f>
        <v>0</v>
      </c>
    </row>
    <row r="1013" spans="1:72">
      <c r="A1013" s="27">
        <f>IF(Data!$A1013="","",Data!$A1013)</f>
        <v>0</v>
      </c>
      <c r="B1013">
        <f>IF(Data!$B1013="","",Data!$B1013)</f>
        <v>0</v>
      </c>
      <c r="C1013">
        <f>IF(Data!$C1013="","",Data!$C1013)</f>
        <v>0</v>
      </c>
      <c r="D1013">
        <f>IF(Data!$D1013="","",Data!$D1013)</f>
        <v>0</v>
      </c>
      <c r="E1013">
        <f>IF(Data!$E1013="","",Data!$E1013)</f>
        <v>0</v>
      </c>
      <c r="F1013">
        <f>IF($E1013="","",N(F1012)+1)</f>
        <v>0</v>
      </c>
      <c r="G1013">
        <f>IF(OR($E1013="",$E1012=""),"",LN($E1013/$E1012))</f>
        <v>0</v>
      </c>
      <c r="H1013">
        <f>IF($E1013="","",IF($E1012="",$E1013,$E1013*0.0952380952+H1012*0.9047619048))</f>
        <v>0</v>
      </c>
      <c r="I1013">
        <f>IF($E1013="","",IF($E1012="",$E1013,$E1013*0.0392156863+I1012*0.9607843137))</f>
        <v>0</v>
      </c>
      <c r="J1013">
        <f>IF($E1013="","",IF($E1012="",$E1013,$E1013*0.0198019802+J1012*0.9801980198))</f>
        <v>0</v>
      </c>
      <c r="K1013">
        <f>IF($E1013="","",IF($E1012="",$E1013,$E1013*0.0099502488+K1012*0.9900497512))</f>
        <v>0</v>
      </c>
      <c r="L1013">
        <f>IF(OR($E1013="",$E1012=""),"",MAX($E1013-$E1012,0))</f>
        <v>0</v>
      </c>
      <c r="M1013">
        <f>IF(OR($E1013="",$E1012=""),"",MAX($E1012-$E1013,0))</f>
        <v>0</v>
      </c>
      <c r="N1013">
        <f>IF(COUNT($E$2:$E1013)&lt;15,"",IF(AVERAGE($M$1000:$M$1013)=0,100,100-100/(1+AVERAGE($L$1000:$L$1013)/AVERAGE($M$1000:$M$1013))))</f>
        <v>0</v>
      </c>
      <c r="O1013">
        <f>IF($E1013="","",IF($E1012="",$E1013,$E1013*0.1538461538+O1012*0.8461538462))</f>
        <v>0</v>
      </c>
      <c r="P1013">
        <f>IF($E1013="","",IF($E1012="",$E1013,$E1013*0.0740740741+P1012*0.9259259259))</f>
        <v>0</v>
      </c>
      <c r="Q1013">
        <f>IF(OR(O1013="",P1013=""),"",O1013-P1013)</f>
        <v>0</v>
      </c>
      <c r="R1013">
        <f>IF(Q1013="","",IF(R1012="",Q1013,Q1013*0.2000000000+R1012*0.8000000000))</f>
        <v>0</v>
      </c>
      <c r="S1013">
        <f>IF(OR(Q1013="",R1013=""),"",Q1013-R1013)</f>
        <v>0</v>
      </c>
      <c r="T1013">
        <f>IF(COUNT($E$2:$E1013)&lt;14,"",MAX($C$1000:$C$1013))</f>
        <v>0</v>
      </c>
      <c r="U1013">
        <f>IF(COUNT($E$2:$E1013)&lt;14,"",MIN($D$1000:$D$1013))</f>
        <v>0</v>
      </c>
      <c r="V1013">
        <f>IF(OR(T1013="",U1013="",T1013=U1013),"",100*($E1013-U1013)/(T1013-U1013))</f>
        <v>0</v>
      </c>
      <c r="W1013">
        <f>IF(COUNT($V$1011:$V$1013)&lt;3,"",AVERAGE($V$1011:$V$1013))</f>
        <v>0</v>
      </c>
      <c r="X1013">
        <f>IF(COUNT($N$1000:$N$1013)&lt;14,"",MIN($N$1000:$N$1013))</f>
        <v>0</v>
      </c>
      <c r="Y1013">
        <f>IF(COUNT($N$1000:$N$1013)&lt;14,"",MAX($N$1000:$N$1013))</f>
        <v>0</v>
      </c>
      <c r="Z1013">
        <f>IF(OR(N1013="",X1013="",Y1013="",Y1013=X1013),"",100*(N1013-X1013)/(Y1013-X1013))</f>
        <v>0</v>
      </c>
      <c r="AA1013">
        <f>IF(COUNT($Z$1011:$Z$1013)&lt;3,"",AVERAGE($Z$1011:$Z$1013))</f>
        <v>0</v>
      </c>
      <c r="AB1013">
        <f>IF(COUNT($AA$1011:$AA$1013)&lt;3,"",AVERAGE($AA$1011:$AA$1013))</f>
        <v>0</v>
      </c>
      <c r="AC1013">
        <f>IF($E1013="","",MAX($C1013-$D1013,ABS($C1013-$E1012),ABS($D1013-$E1012)))</f>
        <v>0</v>
      </c>
      <c r="AD1013">
        <f>IF(COUNT($E$2:$E1013)&lt;15,"",AVERAGE($AC$1000:$AC$1013))</f>
        <v>0</v>
      </c>
      <c r="AE1013">
        <f>IF(OR($E1013="",$E1012=""),"",IF(AND(($C1013-$C1012)&gt;($D1012-$D1013),($C1013-$C1012)&gt;0),$C1013-$C1012,0))</f>
        <v>0</v>
      </c>
      <c r="AF1013">
        <f>IF(OR($E1013="",$E1012=""),"",IF(AND(($D1012-$D1013)&gt;($C1013-$C1012),($D1012-$D1013)&gt;0),$D1012-$D1013,0))</f>
        <v>0</v>
      </c>
      <c r="AG1013">
        <f>IF(COUNT($E$2:$E1013)&lt;15,"",IF(SUM($AC$1000:$AC$1013)=0,0,100*SUM($AE$1000:$AE$1013)/SUM($AC$1000:$AC$1013)))</f>
        <v>0</v>
      </c>
      <c r="AH1013">
        <f>IF(COUNT($E$2:$E1013)&lt;15,"",IF(SUM($AC$1000:$AC$1013)=0,0,100*SUM($AF$1000:$AF$1013)/SUM($AC$1000:$AC$1013)))</f>
        <v>0</v>
      </c>
      <c r="AI1013">
        <f>IF(OR(AG1013="",AH1013=""),"",IF((AG1013+AH1013)=0,0,100*ABS(AG1013-AH1013)/(AG1013+AH1013)))</f>
        <v>0</v>
      </c>
      <c r="AJ1013">
        <f>IF(COUNT($AI$1000:$AI$1013)&lt;14,"",AVERAGE($AI$1000:$AI$1013))</f>
        <v>0</v>
      </c>
      <c r="AK1013">
        <f>IF(COUNT($E$2:$E1013)&lt;20,"",AVERAGE($E$994:$E$1013))</f>
        <v>0</v>
      </c>
      <c r="AL1013">
        <f>IF(COUNT($E$2:$E1013)&lt;20,"",STDEVP($E$994:$E$1013))</f>
        <v>0</v>
      </c>
      <c r="AM1013">
        <f>IF(AK1013="","",AK1013+2*AL1013)</f>
        <v>0</v>
      </c>
      <c r="AN1013">
        <f>IF(AK1013="","",AK1013-2*AL1013)</f>
        <v>0</v>
      </c>
      <c r="AO1013">
        <f>IF(OR(AM1013="",AN1013="",AM1013=AN1013),"",($E1013-AN1013)/(AM1013-AN1013))</f>
        <v>0</v>
      </c>
      <c r="AP1013">
        <f>IF(OR(AM1013="",AK1013="",AK1013=0),"",(AM1013-AN1013)/AK1013)</f>
        <v>0</v>
      </c>
      <c r="AQ1013">
        <f>IF(COUNT($E$2:$E1013)&lt;20,"",MAX($C$994:$C$1013))</f>
        <v>0</v>
      </c>
      <c r="AR1013">
        <f>IF(COUNT($E$2:$E1013)&lt;20,"",MIN($D$994:$D$1013))</f>
        <v>0</v>
      </c>
      <c r="AS1013">
        <f>IF(OR(AQ1013="",AR1013=""),"",(AQ1013+AR1013)/2)</f>
        <v>0</v>
      </c>
      <c r="AT1013">
        <f>IF(COUNT($G$994:$G$1013)&lt;20,"",STDEV($G$994:$G$1013)*SQRT(252))</f>
        <v>0</v>
      </c>
      <c r="AU1013">
        <f>IF(COUNT($E$2:$E1013)&lt;9,"",(MAX($C$1005:$C$1013)+MIN($D$1005:$D$1013))/2)</f>
        <v>0</v>
      </c>
      <c r="AV1013">
        <f>IF(COUNT($E$2:$E1013)&lt;26,"",(MAX($C$988:$C$1013)+MIN($D$988:$D$1013))/2)</f>
        <v>0</v>
      </c>
      <c r="AW1013">
        <f>IF(OR(AU1013="",AV1013=""),"",(AU1013+AV1013)/2)</f>
        <v>0</v>
      </c>
      <c r="AX1013">
        <f>IF(COUNT($E$2:$E1013)&lt;52,"",(MAX($C$962:$C$1013)+MIN($D$962:$D$1013))/2)</f>
        <v>0</v>
      </c>
      <c r="AY1013">
        <f>IF(COUNT($E$2:$E1013)&lt;20,"",MAX($C$914:$C$1013))</f>
        <v>0</v>
      </c>
      <c r="AZ1013">
        <f>IF(COUNT($E$2:$E1013)&lt;20,"",MIN($D$914:$D$1013))</f>
        <v>0</v>
      </c>
      <c r="BA1013">
        <f>IF(COUNT($E$2:$E1013)&lt;20,"",SLOPE($E$914:$E$1013,$F$914:$F$1013))</f>
        <v>0</v>
      </c>
      <c r="BB1013">
        <f>IF(COUNT($E$2:$E1013)&lt;20,"",INTERCEPT($E$914:$E$1013,$F$914:$F$1013))</f>
        <v>0</v>
      </c>
      <c r="BC1013">
        <f>IF(OR(BA1013="",BB1013=""),"",BB1013+BA1013*F1013)</f>
        <v>0</v>
      </c>
      <c r="BD1013">
        <f>IF(COUNT($E$2:$E1013)&lt;20,"",STEYX($E$914:$E$1013,$F$914:$F$1013))</f>
        <v>0</v>
      </c>
      <c r="BE1013">
        <f>IF($E1013="","",IF(AND(COUNT($E$1014:$E$1017)&gt;=4,$C1013=MAX($C$1009:$C$1017)),$C1013,""))</f>
        <v>0</v>
      </c>
      <c r="BF1013">
        <f>IF($E1013="","",IF(AND(COUNT($E$1014:$E$1017)&gt;=4,$D1013=MIN($D$1009:$D$1017)),$D1013,""))</f>
        <v>0</v>
      </c>
      <c r="BG1013">
        <f>IF($A1013="","",$A1013-WEEKDAY($A1013,2)+1)</f>
        <v>0</v>
      </c>
      <c r="BH1013">
        <f>IF($A1013="","",IF($A1012="",1,IF(BG1013&lt;&gt;BG1012,1,0)))</f>
        <v>0</v>
      </c>
      <c r="BI1013">
        <f>IF($A1013="","",IF($A1014="",1,IF(BG1014&lt;&gt;BG1013,1,0)))</f>
        <v>0</v>
      </c>
      <c r="BJ1013">
        <f>IF($A1013="","",IF(BH1013=1,$B1013,BJ1012))</f>
        <v>0</v>
      </c>
      <c r="BK1013">
        <f>IF($A1013="","",IF(BH1013=1,$C1013,MAX($C1013,BK1012)))</f>
        <v>0</v>
      </c>
      <c r="BL1013">
        <f>IF($A1013="","",IF(BH1013=1,$D1013,MIN($D1013,BL1012)))</f>
        <v>0</v>
      </c>
      <c r="BM1013">
        <f>IF($A1013="","",IF(BI1013=1,F1013,""))</f>
        <v>0</v>
      </c>
      <c r="BN1013">
        <f>IF($A1013="","",DATE(YEAR($A1013),MONTH($A1013),1))</f>
        <v>0</v>
      </c>
      <c r="BO1013">
        <f>IF($A1013="","",IF($A1012="",1,IF(BN1013&lt;&gt;BN1012,1,0)))</f>
        <v>0</v>
      </c>
      <c r="BP1013">
        <f>IF($A1013="","",IF($A1014="",1,IF(BN1014&lt;&gt;BN1013,1,0)))</f>
        <v>0</v>
      </c>
      <c r="BQ1013">
        <f>IF($A1013="","",IF(BO1013=1,$B1013,BQ1012))</f>
        <v>0</v>
      </c>
      <c r="BR1013">
        <f>IF($A1013="","",IF(BO1013=1,$C1013,MAX($C1013,BR1012)))</f>
        <v>0</v>
      </c>
      <c r="BS1013">
        <f>IF($A1013="","",IF(BO1013=1,$D1013,MIN($D1013,BS1012)))</f>
        <v>0</v>
      </c>
      <c r="BT1013">
        <f>IF($A1013="","",IF(BP1013=1,F1013,""))</f>
        <v>0</v>
      </c>
    </row>
    <row r="1014" spans="1:72">
      <c r="A1014" s="27">
        <f>IF(Data!$A1014="","",Data!$A1014)</f>
        <v>0</v>
      </c>
      <c r="B1014">
        <f>IF(Data!$B1014="","",Data!$B1014)</f>
        <v>0</v>
      </c>
      <c r="C1014">
        <f>IF(Data!$C1014="","",Data!$C1014)</f>
        <v>0</v>
      </c>
      <c r="D1014">
        <f>IF(Data!$D1014="","",Data!$D1014)</f>
        <v>0</v>
      </c>
      <c r="E1014">
        <f>IF(Data!$E1014="","",Data!$E1014)</f>
        <v>0</v>
      </c>
      <c r="F1014">
        <f>IF($E1014="","",N(F1013)+1)</f>
        <v>0</v>
      </c>
      <c r="G1014">
        <f>IF(OR($E1014="",$E1013=""),"",LN($E1014/$E1013))</f>
        <v>0</v>
      </c>
      <c r="H1014">
        <f>IF($E1014="","",IF($E1013="",$E1014,$E1014*0.0952380952+H1013*0.9047619048))</f>
        <v>0</v>
      </c>
      <c r="I1014">
        <f>IF($E1014="","",IF($E1013="",$E1014,$E1014*0.0392156863+I1013*0.9607843137))</f>
        <v>0</v>
      </c>
      <c r="J1014">
        <f>IF($E1014="","",IF($E1013="",$E1014,$E1014*0.0198019802+J1013*0.9801980198))</f>
        <v>0</v>
      </c>
      <c r="K1014">
        <f>IF($E1014="","",IF($E1013="",$E1014,$E1014*0.0099502488+K1013*0.9900497512))</f>
        <v>0</v>
      </c>
      <c r="L1014">
        <f>IF(OR($E1014="",$E1013=""),"",MAX($E1014-$E1013,0))</f>
        <v>0</v>
      </c>
      <c r="M1014">
        <f>IF(OR($E1014="",$E1013=""),"",MAX($E1013-$E1014,0))</f>
        <v>0</v>
      </c>
      <c r="N1014">
        <f>IF(COUNT($E$2:$E1014)&lt;15,"",IF(AVERAGE($M$1001:$M$1014)=0,100,100-100/(1+AVERAGE($L$1001:$L$1014)/AVERAGE($M$1001:$M$1014))))</f>
        <v>0</v>
      </c>
      <c r="O1014">
        <f>IF($E1014="","",IF($E1013="",$E1014,$E1014*0.1538461538+O1013*0.8461538462))</f>
        <v>0</v>
      </c>
      <c r="P1014">
        <f>IF($E1014="","",IF($E1013="",$E1014,$E1014*0.0740740741+P1013*0.9259259259))</f>
        <v>0</v>
      </c>
      <c r="Q1014">
        <f>IF(OR(O1014="",P1014=""),"",O1014-P1014)</f>
        <v>0</v>
      </c>
      <c r="R1014">
        <f>IF(Q1014="","",IF(R1013="",Q1014,Q1014*0.2000000000+R1013*0.8000000000))</f>
        <v>0</v>
      </c>
      <c r="S1014">
        <f>IF(OR(Q1014="",R1014=""),"",Q1014-R1014)</f>
        <v>0</v>
      </c>
      <c r="T1014">
        <f>IF(COUNT($E$2:$E1014)&lt;14,"",MAX($C$1001:$C$1014))</f>
        <v>0</v>
      </c>
      <c r="U1014">
        <f>IF(COUNT($E$2:$E1014)&lt;14,"",MIN($D$1001:$D$1014))</f>
        <v>0</v>
      </c>
      <c r="V1014">
        <f>IF(OR(T1014="",U1014="",T1014=U1014),"",100*($E1014-U1014)/(T1014-U1014))</f>
        <v>0</v>
      </c>
      <c r="W1014">
        <f>IF(COUNT($V$1012:$V$1014)&lt;3,"",AVERAGE($V$1012:$V$1014))</f>
        <v>0</v>
      </c>
      <c r="X1014">
        <f>IF(COUNT($N$1001:$N$1014)&lt;14,"",MIN($N$1001:$N$1014))</f>
        <v>0</v>
      </c>
      <c r="Y1014">
        <f>IF(COUNT($N$1001:$N$1014)&lt;14,"",MAX($N$1001:$N$1014))</f>
        <v>0</v>
      </c>
      <c r="Z1014">
        <f>IF(OR(N1014="",X1014="",Y1014="",Y1014=X1014),"",100*(N1014-X1014)/(Y1014-X1014))</f>
        <v>0</v>
      </c>
      <c r="AA1014">
        <f>IF(COUNT($Z$1012:$Z$1014)&lt;3,"",AVERAGE($Z$1012:$Z$1014))</f>
        <v>0</v>
      </c>
      <c r="AB1014">
        <f>IF(COUNT($AA$1012:$AA$1014)&lt;3,"",AVERAGE($AA$1012:$AA$1014))</f>
        <v>0</v>
      </c>
      <c r="AC1014">
        <f>IF($E1014="","",MAX($C1014-$D1014,ABS($C1014-$E1013),ABS($D1014-$E1013)))</f>
        <v>0</v>
      </c>
      <c r="AD1014">
        <f>IF(COUNT($E$2:$E1014)&lt;15,"",AVERAGE($AC$1001:$AC$1014))</f>
        <v>0</v>
      </c>
      <c r="AE1014">
        <f>IF(OR($E1014="",$E1013=""),"",IF(AND(($C1014-$C1013)&gt;($D1013-$D1014),($C1014-$C1013)&gt;0),$C1014-$C1013,0))</f>
        <v>0</v>
      </c>
      <c r="AF1014">
        <f>IF(OR($E1014="",$E1013=""),"",IF(AND(($D1013-$D1014)&gt;($C1014-$C1013),($D1013-$D1014)&gt;0),$D1013-$D1014,0))</f>
        <v>0</v>
      </c>
      <c r="AG1014">
        <f>IF(COUNT($E$2:$E1014)&lt;15,"",IF(SUM($AC$1001:$AC$1014)=0,0,100*SUM($AE$1001:$AE$1014)/SUM($AC$1001:$AC$1014)))</f>
        <v>0</v>
      </c>
      <c r="AH1014">
        <f>IF(COUNT($E$2:$E1014)&lt;15,"",IF(SUM($AC$1001:$AC$1014)=0,0,100*SUM($AF$1001:$AF$1014)/SUM($AC$1001:$AC$1014)))</f>
        <v>0</v>
      </c>
      <c r="AI1014">
        <f>IF(OR(AG1014="",AH1014=""),"",IF((AG1014+AH1014)=0,0,100*ABS(AG1014-AH1014)/(AG1014+AH1014)))</f>
        <v>0</v>
      </c>
      <c r="AJ1014">
        <f>IF(COUNT($AI$1001:$AI$1014)&lt;14,"",AVERAGE($AI$1001:$AI$1014))</f>
        <v>0</v>
      </c>
      <c r="AK1014">
        <f>IF(COUNT($E$2:$E1014)&lt;20,"",AVERAGE($E$995:$E$1014))</f>
        <v>0</v>
      </c>
      <c r="AL1014">
        <f>IF(COUNT($E$2:$E1014)&lt;20,"",STDEVP($E$995:$E$1014))</f>
        <v>0</v>
      </c>
      <c r="AM1014">
        <f>IF(AK1014="","",AK1014+2*AL1014)</f>
        <v>0</v>
      </c>
      <c r="AN1014">
        <f>IF(AK1014="","",AK1014-2*AL1014)</f>
        <v>0</v>
      </c>
      <c r="AO1014">
        <f>IF(OR(AM1014="",AN1014="",AM1014=AN1014),"",($E1014-AN1014)/(AM1014-AN1014))</f>
        <v>0</v>
      </c>
      <c r="AP1014">
        <f>IF(OR(AM1014="",AK1014="",AK1014=0),"",(AM1014-AN1014)/AK1014)</f>
        <v>0</v>
      </c>
      <c r="AQ1014">
        <f>IF(COUNT($E$2:$E1014)&lt;20,"",MAX($C$995:$C$1014))</f>
        <v>0</v>
      </c>
      <c r="AR1014">
        <f>IF(COUNT($E$2:$E1014)&lt;20,"",MIN($D$995:$D$1014))</f>
        <v>0</v>
      </c>
      <c r="AS1014">
        <f>IF(OR(AQ1014="",AR1014=""),"",(AQ1014+AR1014)/2)</f>
        <v>0</v>
      </c>
      <c r="AT1014">
        <f>IF(COUNT($G$995:$G$1014)&lt;20,"",STDEV($G$995:$G$1014)*SQRT(252))</f>
        <v>0</v>
      </c>
      <c r="AU1014">
        <f>IF(COUNT($E$2:$E1014)&lt;9,"",(MAX($C$1006:$C$1014)+MIN($D$1006:$D$1014))/2)</f>
        <v>0</v>
      </c>
      <c r="AV1014">
        <f>IF(COUNT($E$2:$E1014)&lt;26,"",(MAX($C$989:$C$1014)+MIN($D$989:$D$1014))/2)</f>
        <v>0</v>
      </c>
      <c r="AW1014">
        <f>IF(OR(AU1014="",AV1014=""),"",(AU1014+AV1014)/2)</f>
        <v>0</v>
      </c>
      <c r="AX1014">
        <f>IF(COUNT($E$2:$E1014)&lt;52,"",(MAX($C$963:$C$1014)+MIN($D$963:$D$1014))/2)</f>
        <v>0</v>
      </c>
      <c r="AY1014">
        <f>IF(COUNT($E$2:$E1014)&lt;20,"",MAX($C$915:$C$1014))</f>
        <v>0</v>
      </c>
      <c r="AZ1014">
        <f>IF(COUNT($E$2:$E1014)&lt;20,"",MIN($D$915:$D$1014))</f>
        <v>0</v>
      </c>
      <c r="BA1014">
        <f>IF(COUNT($E$2:$E1014)&lt;20,"",SLOPE($E$915:$E$1014,$F$915:$F$1014))</f>
        <v>0</v>
      </c>
      <c r="BB1014">
        <f>IF(COUNT($E$2:$E1014)&lt;20,"",INTERCEPT($E$915:$E$1014,$F$915:$F$1014))</f>
        <v>0</v>
      </c>
      <c r="BC1014">
        <f>IF(OR(BA1014="",BB1014=""),"",BB1014+BA1014*F1014)</f>
        <v>0</v>
      </c>
      <c r="BD1014">
        <f>IF(COUNT($E$2:$E1014)&lt;20,"",STEYX($E$915:$E$1014,$F$915:$F$1014))</f>
        <v>0</v>
      </c>
      <c r="BE1014">
        <f>IF($E1014="","",IF(AND(COUNT($E$1015:$E$1018)&gt;=4,$C1014=MAX($C$1010:$C$1018)),$C1014,""))</f>
        <v>0</v>
      </c>
      <c r="BF1014">
        <f>IF($E1014="","",IF(AND(COUNT($E$1015:$E$1018)&gt;=4,$D1014=MIN($D$1010:$D$1018)),$D1014,""))</f>
        <v>0</v>
      </c>
      <c r="BG1014">
        <f>IF($A1014="","",$A1014-WEEKDAY($A1014,2)+1)</f>
        <v>0</v>
      </c>
      <c r="BH1014">
        <f>IF($A1014="","",IF($A1013="",1,IF(BG1014&lt;&gt;BG1013,1,0)))</f>
        <v>0</v>
      </c>
      <c r="BI1014">
        <f>IF($A1014="","",IF($A1015="",1,IF(BG1015&lt;&gt;BG1014,1,0)))</f>
        <v>0</v>
      </c>
      <c r="BJ1014">
        <f>IF($A1014="","",IF(BH1014=1,$B1014,BJ1013))</f>
        <v>0</v>
      </c>
      <c r="BK1014">
        <f>IF($A1014="","",IF(BH1014=1,$C1014,MAX($C1014,BK1013)))</f>
        <v>0</v>
      </c>
      <c r="BL1014">
        <f>IF($A1014="","",IF(BH1014=1,$D1014,MIN($D1014,BL1013)))</f>
        <v>0</v>
      </c>
      <c r="BM1014">
        <f>IF($A1014="","",IF(BI1014=1,F1014,""))</f>
        <v>0</v>
      </c>
      <c r="BN1014">
        <f>IF($A1014="","",DATE(YEAR($A1014),MONTH($A1014),1))</f>
        <v>0</v>
      </c>
      <c r="BO1014">
        <f>IF($A1014="","",IF($A1013="",1,IF(BN1014&lt;&gt;BN1013,1,0)))</f>
        <v>0</v>
      </c>
      <c r="BP1014">
        <f>IF($A1014="","",IF($A1015="",1,IF(BN1015&lt;&gt;BN1014,1,0)))</f>
        <v>0</v>
      </c>
      <c r="BQ1014">
        <f>IF($A1014="","",IF(BO1014=1,$B1014,BQ1013))</f>
        <v>0</v>
      </c>
      <c r="BR1014">
        <f>IF($A1014="","",IF(BO1014=1,$C1014,MAX($C1014,BR1013)))</f>
        <v>0</v>
      </c>
      <c r="BS1014">
        <f>IF($A1014="","",IF(BO1014=1,$D1014,MIN($D1014,BS1013)))</f>
        <v>0</v>
      </c>
      <c r="BT1014">
        <f>IF($A1014="","",IF(BP1014=1,F1014,""))</f>
        <v>0</v>
      </c>
    </row>
    <row r="1015" spans="1:72">
      <c r="A1015" s="27">
        <f>IF(Data!$A1015="","",Data!$A1015)</f>
        <v>0</v>
      </c>
      <c r="B1015">
        <f>IF(Data!$B1015="","",Data!$B1015)</f>
        <v>0</v>
      </c>
      <c r="C1015">
        <f>IF(Data!$C1015="","",Data!$C1015)</f>
        <v>0</v>
      </c>
      <c r="D1015">
        <f>IF(Data!$D1015="","",Data!$D1015)</f>
        <v>0</v>
      </c>
      <c r="E1015">
        <f>IF(Data!$E1015="","",Data!$E1015)</f>
        <v>0</v>
      </c>
      <c r="F1015">
        <f>IF($E1015="","",N(F1014)+1)</f>
        <v>0</v>
      </c>
      <c r="G1015">
        <f>IF(OR($E1015="",$E1014=""),"",LN($E1015/$E1014))</f>
        <v>0</v>
      </c>
      <c r="H1015">
        <f>IF($E1015="","",IF($E1014="",$E1015,$E1015*0.0952380952+H1014*0.9047619048))</f>
        <v>0</v>
      </c>
      <c r="I1015">
        <f>IF($E1015="","",IF($E1014="",$E1015,$E1015*0.0392156863+I1014*0.9607843137))</f>
        <v>0</v>
      </c>
      <c r="J1015">
        <f>IF($E1015="","",IF($E1014="",$E1015,$E1015*0.0198019802+J1014*0.9801980198))</f>
        <v>0</v>
      </c>
      <c r="K1015">
        <f>IF($E1015="","",IF($E1014="",$E1015,$E1015*0.0099502488+K1014*0.9900497512))</f>
        <v>0</v>
      </c>
      <c r="L1015">
        <f>IF(OR($E1015="",$E1014=""),"",MAX($E1015-$E1014,0))</f>
        <v>0</v>
      </c>
      <c r="M1015">
        <f>IF(OR($E1015="",$E1014=""),"",MAX($E1014-$E1015,0))</f>
        <v>0</v>
      </c>
      <c r="N1015">
        <f>IF(COUNT($E$2:$E1015)&lt;15,"",IF(AVERAGE($M$1002:$M$1015)=0,100,100-100/(1+AVERAGE($L$1002:$L$1015)/AVERAGE($M$1002:$M$1015))))</f>
        <v>0</v>
      </c>
      <c r="O1015">
        <f>IF($E1015="","",IF($E1014="",$E1015,$E1015*0.1538461538+O1014*0.8461538462))</f>
        <v>0</v>
      </c>
      <c r="P1015">
        <f>IF($E1015="","",IF($E1014="",$E1015,$E1015*0.0740740741+P1014*0.9259259259))</f>
        <v>0</v>
      </c>
      <c r="Q1015">
        <f>IF(OR(O1015="",P1015=""),"",O1015-P1015)</f>
        <v>0</v>
      </c>
      <c r="R1015">
        <f>IF(Q1015="","",IF(R1014="",Q1015,Q1015*0.2000000000+R1014*0.8000000000))</f>
        <v>0</v>
      </c>
      <c r="S1015">
        <f>IF(OR(Q1015="",R1015=""),"",Q1015-R1015)</f>
        <v>0</v>
      </c>
      <c r="T1015">
        <f>IF(COUNT($E$2:$E1015)&lt;14,"",MAX($C$1002:$C$1015))</f>
        <v>0</v>
      </c>
      <c r="U1015">
        <f>IF(COUNT($E$2:$E1015)&lt;14,"",MIN($D$1002:$D$1015))</f>
        <v>0</v>
      </c>
      <c r="V1015">
        <f>IF(OR(T1015="",U1015="",T1015=U1015),"",100*($E1015-U1015)/(T1015-U1015))</f>
        <v>0</v>
      </c>
      <c r="W1015">
        <f>IF(COUNT($V$1013:$V$1015)&lt;3,"",AVERAGE($V$1013:$V$1015))</f>
        <v>0</v>
      </c>
      <c r="X1015">
        <f>IF(COUNT($N$1002:$N$1015)&lt;14,"",MIN($N$1002:$N$1015))</f>
        <v>0</v>
      </c>
      <c r="Y1015">
        <f>IF(COUNT($N$1002:$N$1015)&lt;14,"",MAX($N$1002:$N$1015))</f>
        <v>0</v>
      </c>
      <c r="Z1015">
        <f>IF(OR(N1015="",X1015="",Y1015="",Y1015=X1015),"",100*(N1015-X1015)/(Y1015-X1015))</f>
        <v>0</v>
      </c>
      <c r="AA1015">
        <f>IF(COUNT($Z$1013:$Z$1015)&lt;3,"",AVERAGE($Z$1013:$Z$1015))</f>
        <v>0</v>
      </c>
      <c r="AB1015">
        <f>IF(COUNT($AA$1013:$AA$1015)&lt;3,"",AVERAGE($AA$1013:$AA$1015))</f>
        <v>0</v>
      </c>
      <c r="AC1015">
        <f>IF($E1015="","",MAX($C1015-$D1015,ABS($C1015-$E1014),ABS($D1015-$E1014)))</f>
        <v>0</v>
      </c>
      <c r="AD1015">
        <f>IF(COUNT($E$2:$E1015)&lt;15,"",AVERAGE($AC$1002:$AC$1015))</f>
        <v>0</v>
      </c>
      <c r="AE1015">
        <f>IF(OR($E1015="",$E1014=""),"",IF(AND(($C1015-$C1014)&gt;($D1014-$D1015),($C1015-$C1014)&gt;0),$C1015-$C1014,0))</f>
        <v>0</v>
      </c>
      <c r="AF1015">
        <f>IF(OR($E1015="",$E1014=""),"",IF(AND(($D1014-$D1015)&gt;($C1015-$C1014),($D1014-$D1015)&gt;0),$D1014-$D1015,0))</f>
        <v>0</v>
      </c>
      <c r="AG1015">
        <f>IF(COUNT($E$2:$E1015)&lt;15,"",IF(SUM($AC$1002:$AC$1015)=0,0,100*SUM($AE$1002:$AE$1015)/SUM($AC$1002:$AC$1015)))</f>
        <v>0</v>
      </c>
      <c r="AH1015">
        <f>IF(COUNT($E$2:$E1015)&lt;15,"",IF(SUM($AC$1002:$AC$1015)=0,0,100*SUM($AF$1002:$AF$1015)/SUM($AC$1002:$AC$1015)))</f>
        <v>0</v>
      </c>
      <c r="AI1015">
        <f>IF(OR(AG1015="",AH1015=""),"",IF((AG1015+AH1015)=0,0,100*ABS(AG1015-AH1015)/(AG1015+AH1015)))</f>
        <v>0</v>
      </c>
      <c r="AJ1015">
        <f>IF(COUNT($AI$1002:$AI$1015)&lt;14,"",AVERAGE($AI$1002:$AI$1015))</f>
        <v>0</v>
      </c>
      <c r="AK1015">
        <f>IF(COUNT($E$2:$E1015)&lt;20,"",AVERAGE($E$996:$E$1015))</f>
        <v>0</v>
      </c>
      <c r="AL1015">
        <f>IF(COUNT($E$2:$E1015)&lt;20,"",STDEVP($E$996:$E$1015))</f>
        <v>0</v>
      </c>
      <c r="AM1015">
        <f>IF(AK1015="","",AK1015+2*AL1015)</f>
        <v>0</v>
      </c>
      <c r="AN1015">
        <f>IF(AK1015="","",AK1015-2*AL1015)</f>
        <v>0</v>
      </c>
      <c r="AO1015">
        <f>IF(OR(AM1015="",AN1015="",AM1015=AN1015),"",($E1015-AN1015)/(AM1015-AN1015))</f>
        <v>0</v>
      </c>
      <c r="AP1015">
        <f>IF(OR(AM1015="",AK1015="",AK1015=0),"",(AM1015-AN1015)/AK1015)</f>
        <v>0</v>
      </c>
      <c r="AQ1015">
        <f>IF(COUNT($E$2:$E1015)&lt;20,"",MAX($C$996:$C$1015))</f>
        <v>0</v>
      </c>
      <c r="AR1015">
        <f>IF(COUNT($E$2:$E1015)&lt;20,"",MIN($D$996:$D$1015))</f>
        <v>0</v>
      </c>
      <c r="AS1015">
        <f>IF(OR(AQ1015="",AR1015=""),"",(AQ1015+AR1015)/2)</f>
        <v>0</v>
      </c>
      <c r="AT1015">
        <f>IF(COUNT($G$996:$G$1015)&lt;20,"",STDEV($G$996:$G$1015)*SQRT(252))</f>
        <v>0</v>
      </c>
      <c r="AU1015">
        <f>IF(COUNT($E$2:$E1015)&lt;9,"",(MAX($C$1007:$C$1015)+MIN($D$1007:$D$1015))/2)</f>
        <v>0</v>
      </c>
      <c r="AV1015">
        <f>IF(COUNT($E$2:$E1015)&lt;26,"",(MAX($C$990:$C$1015)+MIN($D$990:$D$1015))/2)</f>
        <v>0</v>
      </c>
      <c r="AW1015">
        <f>IF(OR(AU1015="",AV1015=""),"",(AU1015+AV1015)/2)</f>
        <v>0</v>
      </c>
      <c r="AX1015">
        <f>IF(COUNT($E$2:$E1015)&lt;52,"",(MAX($C$964:$C$1015)+MIN($D$964:$D$1015))/2)</f>
        <v>0</v>
      </c>
      <c r="AY1015">
        <f>IF(COUNT($E$2:$E1015)&lt;20,"",MAX($C$916:$C$1015))</f>
        <v>0</v>
      </c>
      <c r="AZ1015">
        <f>IF(COUNT($E$2:$E1015)&lt;20,"",MIN($D$916:$D$1015))</f>
        <v>0</v>
      </c>
      <c r="BA1015">
        <f>IF(COUNT($E$2:$E1015)&lt;20,"",SLOPE($E$916:$E$1015,$F$916:$F$1015))</f>
        <v>0</v>
      </c>
      <c r="BB1015">
        <f>IF(COUNT($E$2:$E1015)&lt;20,"",INTERCEPT($E$916:$E$1015,$F$916:$F$1015))</f>
        <v>0</v>
      </c>
      <c r="BC1015">
        <f>IF(OR(BA1015="",BB1015=""),"",BB1015+BA1015*F1015)</f>
        <v>0</v>
      </c>
      <c r="BD1015">
        <f>IF(COUNT($E$2:$E1015)&lt;20,"",STEYX($E$916:$E$1015,$F$916:$F$1015))</f>
        <v>0</v>
      </c>
      <c r="BE1015">
        <f>IF($E1015="","",IF(AND(COUNT($E$1016:$E$1019)&gt;=4,$C1015=MAX($C$1011:$C$1019)),$C1015,""))</f>
        <v>0</v>
      </c>
      <c r="BF1015">
        <f>IF($E1015="","",IF(AND(COUNT($E$1016:$E$1019)&gt;=4,$D1015=MIN($D$1011:$D$1019)),$D1015,""))</f>
        <v>0</v>
      </c>
      <c r="BG1015">
        <f>IF($A1015="","",$A1015-WEEKDAY($A1015,2)+1)</f>
        <v>0</v>
      </c>
      <c r="BH1015">
        <f>IF($A1015="","",IF($A1014="",1,IF(BG1015&lt;&gt;BG1014,1,0)))</f>
        <v>0</v>
      </c>
      <c r="BI1015">
        <f>IF($A1015="","",IF($A1016="",1,IF(BG1016&lt;&gt;BG1015,1,0)))</f>
        <v>0</v>
      </c>
      <c r="BJ1015">
        <f>IF($A1015="","",IF(BH1015=1,$B1015,BJ1014))</f>
        <v>0</v>
      </c>
      <c r="BK1015">
        <f>IF($A1015="","",IF(BH1015=1,$C1015,MAX($C1015,BK1014)))</f>
        <v>0</v>
      </c>
      <c r="BL1015">
        <f>IF($A1015="","",IF(BH1015=1,$D1015,MIN($D1015,BL1014)))</f>
        <v>0</v>
      </c>
      <c r="BM1015">
        <f>IF($A1015="","",IF(BI1015=1,F1015,""))</f>
        <v>0</v>
      </c>
      <c r="BN1015">
        <f>IF($A1015="","",DATE(YEAR($A1015),MONTH($A1015),1))</f>
        <v>0</v>
      </c>
      <c r="BO1015">
        <f>IF($A1015="","",IF($A1014="",1,IF(BN1015&lt;&gt;BN1014,1,0)))</f>
        <v>0</v>
      </c>
      <c r="BP1015">
        <f>IF($A1015="","",IF($A1016="",1,IF(BN1016&lt;&gt;BN1015,1,0)))</f>
        <v>0</v>
      </c>
      <c r="BQ1015">
        <f>IF($A1015="","",IF(BO1015=1,$B1015,BQ1014))</f>
        <v>0</v>
      </c>
      <c r="BR1015">
        <f>IF($A1015="","",IF(BO1015=1,$C1015,MAX($C1015,BR1014)))</f>
        <v>0</v>
      </c>
      <c r="BS1015">
        <f>IF($A1015="","",IF(BO1015=1,$D1015,MIN($D1015,BS1014)))</f>
        <v>0</v>
      </c>
      <c r="BT1015">
        <f>IF($A1015="","",IF(BP1015=1,F1015,""))</f>
        <v>0</v>
      </c>
    </row>
    <row r="1016" spans="1:72">
      <c r="A1016" s="27">
        <f>IF(Data!$A1016="","",Data!$A1016)</f>
        <v>0</v>
      </c>
      <c r="B1016">
        <f>IF(Data!$B1016="","",Data!$B1016)</f>
        <v>0</v>
      </c>
      <c r="C1016">
        <f>IF(Data!$C1016="","",Data!$C1016)</f>
        <v>0</v>
      </c>
      <c r="D1016">
        <f>IF(Data!$D1016="","",Data!$D1016)</f>
        <v>0</v>
      </c>
      <c r="E1016">
        <f>IF(Data!$E1016="","",Data!$E1016)</f>
        <v>0</v>
      </c>
      <c r="F1016">
        <f>IF($E1016="","",N(F1015)+1)</f>
        <v>0</v>
      </c>
      <c r="G1016">
        <f>IF(OR($E1016="",$E1015=""),"",LN($E1016/$E1015))</f>
        <v>0</v>
      </c>
      <c r="H1016">
        <f>IF($E1016="","",IF($E1015="",$E1016,$E1016*0.0952380952+H1015*0.9047619048))</f>
        <v>0</v>
      </c>
      <c r="I1016">
        <f>IF($E1016="","",IF($E1015="",$E1016,$E1016*0.0392156863+I1015*0.9607843137))</f>
        <v>0</v>
      </c>
      <c r="J1016">
        <f>IF($E1016="","",IF($E1015="",$E1016,$E1016*0.0198019802+J1015*0.9801980198))</f>
        <v>0</v>
      </c>
      <c r="K1016">
        <f>IF($E1016="","",IF($E1015="",$E1016,$E1016*0.0099502488+K1015*0.9900497512))</f>
        <v>0</v>
      </c>
      <c r="L1016">
        <f>IF(OR($E1016="",$E1015=""),"",MAX($E1016-$E1015,0))</f>
        <v>0</v>
      </c>
      <c r="M1016">
        <f>IF(OR($E1016="",$E1015=""),"",MAX($E1015-$E1016,0))</f>
        <v>0</v>
      </c>
      <c r="N1016">
        <f>IF(COUNT($E$2:$E1016)&lt;15,"",IF(AVERAGE($M$1003:$M$1016)=0,100,100-100/(1+AVERAGE($L$1003:$L$1016)/AVERAGE($M$1003:$M$1016))))</f>
        <v>0</v>
      </c>
      <c r="O1016">
        <f>IF($E1016="","",IF($E1015="",$E1016,$E1016*0.1538461538+O1015*0.8461538462))</f>
        <v>0</v>
      </c>
      <c r="P1016">
        <f>IF($E1016="","",IF($E1015="",$E1016,$E1016*0.0740740741+P1015*0.9259259259))</f>
        <v>0</v>
      </c>
      <c r="Q1016">
        <f>IF(OR(O1016="",P1016=""),"",O1016-P1016)</f>
        <v>0</v>
      </c>
      <c r="R1016">
        <f>IF(Q1016="","",IF(R1015="",Q1016,Q1016*0.2000000000+R1015*0.8000000000))</f>
        <v>0</v>
      </c>
      <c r="S1016">
        <f>IF(OR(Q1016="",R1016=""),"",Q1016-R1016)</f>
        <v>0</v>
      </c>
      <c r="T1016">
        <f>IF(COUNT($E$2:$E1016)&lt;14,"",MAX($C$1003:$C$1016))</f>
        <v>0</v>
      </c>
      <c r="U1016">
        <f>IF(COUNT($E$2:$E1016)&lt;14,"",MIN($D$1003:$D$1016))</f>
        <v>0</v>
      </c>
      <c r="V1016">
        <f>IF(OR(T1016="",U1016="",T1016=U1016),"",100*($E1016-U1016)/(T1016-U1016))</f>
        <v>0</v>
      </c>
      <c r="W1016">
        <f>IF(COUNT($V$1014:$V$1016)&lt;3,"",AVERAGE($V$1014:$V$1016))</f>
        <v>0</v>
      </c>
      <c r="X1016">
        <f>IF(COUNT($N$1003:$N$1016)&lt;14,"",MIN($N$1003:$N$1016))</f>
        <v>0</v>
      </c>
      <c r="Y1016">
        <f>IF(COUNT($N$1003:$N$1016)&lt;14,"",MAX($N$1003:$N$1016))</f>
        <v>0</v>
      </c>
      <c r="Z1016">
        <f>IF(OR(N1016="",X1016="",Y1016="",Y1016=X1016),"",100*(N1016-X1016)/(Y1016-X1016))</f>
        <v>0</v>
      </c>
      <c r="AA1016">
        <f>IF(COUNT($Z$1014:$Z$1016)&lt;3,"",AVERAGE($Z$1014:$Z$1016))</f>
        <v>0</v>
      </c>
      <c r="AB1016">
        <f>IF(COUNT($AA$1014:$AA$1016)&lt;3,"",AVERAGE($AA$1014:$AA$1016))</f>
        <v>0</v>
      </c>
      <c r="AC1016">
        <f>IF($E1016="","",MAX($C1016-$D1016,ABS($C1016-$E1015),ABS($D1016-$E1015)))</f>
        <v>0</v>
      </c>
      <c r="AD1016">
        <f>IF(COUNT($E$2:$E1016)&lt;15,"",AVERAGE($AC$1003:$AC$1016))</f>
        <v>0</v>
      </c>
      <c r="AE1016">
        <f>IF(OR($E1016="",$E1015=""),"",IF(AND(($C1016-$C1015)&gt;($D1015-$D1016),($C1016-$C1015)&gt;0),$C1016-$C1015,0))</f>
        <v>0</v>
      </c>
      <c r="AF1016">
        <f>IF(OR($E1016="",$E1015=""),"",IF(AND(($D1015-$D1016)&gt;($C1016-$C1015),($D1015-$D1016)&gt;0),$D1015-$D1016,0))</f>
        <v>0</v>
      </c>
      <c r="AG1016">
        <f>IF(COUNT($E$2:$E1016)&lt;15,"",IF(SUM($AC$1003:$AC$1016)=0,0,100*SUM($AE$1003:$AE$1016)/SUM($AC$1003:$AC$1016)))</f>
        <v>0</v>
      </c>
      <c r="AH1016">
        <f>IF(COUNT($E$2:$E1016)&lt;15,"",IF(SUM($AC$1003:$AC$1016)=0,0,100*SUM($AF$1003:$AF$1016)/SUM($AC$1003:$AC$1016)))</f>
        <v>0</v>
      </c>
      <c r="AI1016">
        <f>IF(OR(AG1016="",AH1016=""),"",IF((AG1016+AH1016)=0,0,100*ABS(AG1016-AH1016)/(AG1016+AH1016)))</f>
        <v>0</v>
      </c>
      <c r="AJ1016">
        <f>IF(COUNT($AI$1003:$AI$1016)&lt;14,"",AVERAGE($AI$1003:$AI$1016))</f>
        <v>0</v>
      </c>
      <c r="AK1016">
        <f>IF(COUNT($E$2:$E1016)&lt;20,"",AVERAGE($E$997:$E$1016))</f>
        <v>0</v>
      </c>
      <c r="AL1016">
        <f>IF(COUNT($E$2:$E1016)&lt;20,"",STDEVP($E$997:$E$1016))</f>
        <v>0</v>
      </c>
      <c r="AM1016">
        <f>IF(AK1016="","",AK1016+2*AL1016)</f>
        <v>0</v>
      </c>
      <c r="AN1016">
        <f>IF(AK1016="","",AK1016-2*AL1016)</f>
        <v>0</v>
      </c>
      <c r="AO1016">
        <f>IF(OR(AM1016="",AN1016="",AM1016=AN1016),"",($E1016-AN1016)/(AM1016-AN1016))</f>
        <v>0</v>
      </c>
      <c r="AP1016">
        <f>IF(OR(AM1016="",AK1016="",AK1016=0),"",(AM1016-AN1016)/AK1016)</f>
        <v>0</v>
      </c>
      <c r="AQ1016">
        <f>IF(COUNT($E$2:$E1016)&lt;20,"",MAX($C$997:$C$1016))</f>
        <v>0</v>
      </c>
      <c r="AR1016">
        <f>IF(COUNT($E$2:$E1016)&lt;20,"",MIN($D$997:$D$1016))</f>
        <v>0</v>
      </c>
      <c r="AS1016">
        <f>IF(OR(AQ1016="",AR1016=""),"",(AQ1016+AR1016)/2)</f>
        <v>0</v>
      </c>
      <c r="AT1016">
        <f>IF(COUNT($G$997:$G$1016)&lt;20,"",STDEV($G$997:$G$1016)*SQRT(252))</f>
        <v>0</v>
      </c>
      <c r="AU1016">
        <f>IF(COUNT($E$2:$E1016)&lt;9,"",(MAX($C$1008:$C$1016)+MIN($D$1008:$D$1016))/2)</f>
        <v>0</v>
      </c>
      <c r="AV1016">
        <f>IF(COUNT($E$2:$E1016)&lt;26,"",(MAX($C$991:$C$1016)+MIN($D$991:$D$1016))/2)</f>
        <v>0</v>
      </c>
      <c r="AW1016">
        <f>IF(OR(AU1016="",AV1016=""),"",(AU1016+AV1016)/2)</f>
        <v>0</v>
      </c>
      <c r="AX1016">
        <f>IF(COUNT($E$2:$E1016)&lt;52,"",(MAX($C$965:$C$1016)+MIN($D$965:$D$1016))/2)</f>
        <v>0</v>
      </c>
      <c r="AY1016">
        <f>IF(COUNT($E$2:$E1016)&lt;20,"",MAX($C$917:$C$1016))</f>
        <v>0</v>
      </c>
      <c r="AZ1016">
        <f>IF(COUNT($E$2:$E1016)&lt;20,"",MIN($D$917:$D$1016))</f>
        <v>0</v>
      </c>
      <c r="BA1016">
        <f>IF(COUNT($E$2:$E1016)&lt;20,"",SLOPE($E$917:$E$1016,$F$917:$F$1016))</f>
        <v>0</v>
      </c>
      <c r="BB1016">
        <f>IF(COUNT($E$2:$E1016)&lt;20,"",INTERCEPT($E$917:$E$1016,$F$917:$F$1016))</f>
        <v>0</v>
      </c>
      <c r="BC1016">
        <f>IF(OR(BA1016="",BB1016=""),"",BB1016+BA1016*F1016)</f>
        <v>0</v>
      </c>
      <c r="BD1016">
        <f>IF(COUNT($E$2:$E1016)&lt;20,"",STEYX($E$917:$E$1016,$F$917:$F$1016))</f>
        <v>0</v>
      </c>
      <c r="BE1016">
        <f>IF($E1016="","",IF(AND(COUNT($E$1017:$E$1020)&gt;=4,$C1016=MAX($C$1012:$C$1020)),$C1016,""))</f>
        <v>0</v>
      </c>
      <c r="BF1016">
        <f>IF($E1016="","",IF(AND(COUNT($E$1017:$E$1020)&gt;=4,$D1016=MIN($D$1012:$D$1020)),$D1016,""))</f>
        <v>0</v>
      </c>
      <c r="BG1016">
        <f>IF($A1016="","",$A1016-WEEKDAY($A1016,2)+1)</f>
        <v>0</v>
      </c>
      <c r="BH1016">
        <f>IF($A1016="","",IF($A1015="",1,IF(BG1016&lt;&gt;BG1015,1,0)))</f>
        <v>0</v>
      </c>
      <c r="BI1016">
        <f>IF($A1016="","",IF($A1017="",1,IF(BG1017&lt;&gt;BG1016,1,0)))</f>
        <v>0</v>
      </c>
      <c r="BJ1016">
        <f>IF($A1016="","",IF(BH1016=1,$B1016,BJ1015))</f>
        <v>0</v>
      </c>
      <c r="BK1016">
        <f>IF($A1016="","",IF(BH1016=1,$C1016,MAX($C1016,BK1015)))</f>
        <v>0</v>
      </c>
      <c r="BL1016">
        <f>IF($A1016="","",IF(BH1016=1,$D1016,MIN($D1016,BL1015)))</f>
        <v>0</v>
      </c>
      <c r="BM1016">
        <f>IF($A1016="","",IF(BI1016=1,F1016,""))</f>
        <v>0</v>
      </c>
      <c r="BN1016">
        <f>IF($A1016="","",DATE(YEAR($A1016),MONTH($A1016),1))</f>
        <v>0</v>
      </c>
      <c r="BO1016">
        <f>IF($A1016="","",IF($A1015="",1,IF(BN1016&lt;&gt;BN1015,1,0)))</f>
        <v>0</v>
      </c>
      <c r="BP1016">
        <f>IF($A1016="","",IF($A1017="",1,IF(BN1017&lt;&gt;BN1016,1,0)))</f>
        <v>0</v>
      </c>
      <c r="BQ1016">
        <f>IF($A1016="","",IF(BO1016=1,$B1016,BQ1015))</f>
        <v>0</v>
      </c>
      <c r="BR1016">
        <f>IF($A1016="","",IF(BO1016=1,$C1016,MAX($C1016,BR1015)))</f>
        <v>0</v>
      </c>
      <c r="BS1016">
        <f>IF($A1016="","",IF(BO1016=1,$D1016,MIN($D1016,BS1015)))</f>
        <v>0</v>
      </c>
      <c r="BT1016">
        <f>IF($A1016="","",IF(BP1016=1,F1016,""))</f>
        <v>0</v>
      </c>
    </row>
    <row r="1017" spans="1:72">
      <c r="A1017" s="27">
        <f>IF(Data!$A1017="","",Data!$A1017)</f>
        <v>0</v>
      </c>
      <c r="B1017">
        <f>IF(Data!$B1017="","",Data!$B1017)</f>
        <v>0</v>
      </c>
      <c r="C1017">
        <f>IF(Data!$C1017="","",Data!$C1017)</f>
        <v>0</v>
      </c>
      <c r="D1017">
        <f>IF(Data!$D1017="","",Data!$D1017)</f>
        <v>0</v>
      </c>
      <c r="E1017">
        <f>IF(Data!$E1017="","",Data!$E1017)</f>
        <v>0</v>
      </c>
      <c r="F1017">
        <f>IF($E1017="","",N(F1016)+1)</f>
        <v>0</v>
      </c>
      <c r="G1017">
        <f>IF(OR($E1017="",$E1016=""),"",LN($E1017/$E1016))</f>
        <v>0</v>
      </c>
      <c r="H1017">
        <f>IF($E1017="","",IF($E1016="",$E1017,$E1017*0.0952380952+H1016*0.9047619048))</f>
        <v>0</v>
      </c>
      <c r="I1017">
        <f>IF($E1017="","",IF($E1016="",$E1017,$E1017*0.0392156863+I1016*0.9607843137))</f>
        <v>0</v>
      </c>
      <c r="J1017">
        <f>IF($E1017="","",IF($E1016="",$E1017,$E1017*0.0198019802+J1016*0.9801980198))</f>
        <v>0</v>
      </c>
      <c r="K1017">
        <f>IF($E1017="","",IF($E1016="",$E1017,$E1017*0.0099502488+K1016*0.9900497512))</f>
        <v>0</v>
      </c>
      <c r="L1017">
        <f>IF(OR($E1017="",$E1016=""),"",MAX($E1017-$E1016,0))</f>
        <v>0</v>
      </c>
      <c r="M1017">
        <f>IF(OR($E1017="",$E1016=""),"",MAX($E1016-$E1017,0))</f>
        <v>0</v>
      </c>
      <c r="N1017">
        <f>IF(COUNT($E$2:$E1017)&lt;15,"",IF(AVERAGE($M$1004:$M$1017)=0,100,100-100/(1+AVERAGE($L$1004:$L$1017)/AVERAGE($M$1004:$M$1017))))</f>
        <v>0</v>
      </c>
      <c r="O1017">
        <f>IF($E1017="","",IF($E1016="",$E1017,$E1017*0.1538461538+O1016*0.8461538462))</f>
        <v>0</v>
      </c>
      <c r="P1017">
        <f>IF($E1017="","",IF($E1016="",$E1017,$E1017*0.0740740741+P1016*0.9259259259))</f>
        <v>0</v>
      </c>
      <c r="Q1017">
        <f>IF(OR(O1017="",P1017=""),"",O1017-P1017)</f>
        <v>0</v>
      </c>
      <c r="R1017">
        <f>IF(Q1017="","",IF(R1016="",Q1017,Q1017*0.2000000000+R1016*0.8000000000))</f>
        <v>0</v>
      </c>
      <c r="S1017">
        <f>IF(OR(Q1017="",R1017=""),"",Q1017-R1017)</f>
        <v>0</v>
      </c>
      <c r="T1017">
        <f>IF(COUNT($E$2:$E1017)&lt;14,"",MAX($C$1004:$C$1017))</f>
        <v>0</v>
      </c>
      <c r="U1017">
        <f>IF(COUNT($E$2:$E1017)&lt;14,"",MIN($D$1004:$D$1017))</f>
        <v>0</v>
      </c>
      <c r="V1017">
        <f>IF(OR(T1017="",U1017="",T1017=U1017),"",100*($E1017-U1017)/(T1017-U1017))</f>
        <v>0</v>
      </c>
      <c r="W1017">
        <f>IF(COUNT($V$1015:$V$1017)&lt;3,"",AVERAGE($V$1015:$V$1017))</f>
        <v>0</v>
      </c>
      <c r="X1017">
        <f>IF(COUNT($N$1004:$N$1017)&lt;14,"",MIN($N$1004:$N$1017))</f>
        <v>0</v>
      </c>
      <c r="Y1017">
        <f>IF(COUNT($N$1004:$N$1017)&lt;14,"",MAX($N$1004:$N$1017))</f>
        <v>0</v>
      </c>
      <c r="Z1017">
        <f>IF(OR(N1017="",X1017="",Y1017="",Y1017=X1017),"",100*(N1017-X1017)/(Y1017-X1017))</f>
        <v>0</v>
      </c>
      <c r="AA1017">
        <f>IF(COUNT($Z$1015:$Z$1017)&lt;3,"",AVERAGE($Z$1015:$Z$1017))</f>
        <v>0</v>
      </c>
      <c r="AB1017">
        <f>IF(COUNT($AA$1015:$AA$1017)&lt;3,"",AVERAGE($AA$1015:$AA$1017))</f>
        <v>0</v>
      </c>
      <c r="AC1017">
        <f>IF($E1017="","",MAX($C1017-$D1017,ABS($C1017-$E1016),ABS($D1017-$E1016)))</f>
        <v>0</v>
      </c>
      <c r="AD1017">
        <f>IF(COUNT($E$2:$E1017)&lt;15,"",AVERAGE($AC$1004:$AC$1017))</f>
        <v>0</v>
      </c>
      <c r="AE1017">
        <f>IF(OR($E1017="",$E1016=""),"",IF(AND(($C1017-$C1016)&gt;($D1016-$D1017),($C1017-$C1016)&gt;0),$C1017-$C1016,0))</f>
        <v>0</v>
      </c>
      <c r="AF1017">
        <f>IF(OR($E1017="",$E1016=""),"",IF(AND(($D1016-$D1017)&gt;($C1017-$C1016),($D1016-$D1017)&gt;0),$D1016-$D1017,0))</f>
        <v>0</v>
      </c>
      <c r="AG1017">
        <f>IF(COUNT($E$2:$E1017)&lt;15,"",IF(SUM($AC$1004:$AC$1017)=0,0,100*SUM($AE$1004:$AE$1017)/SUM($AC$1004:$AC$1017)))</f>
        <v>0</v>
      </c>
      <c r="AH1017">
        <f>IF(COUNT($E$2:$E1017)&lt;15,"",IF(SUM($AC$1004:$AC$1017)=0,0,100*SUM($AF$1004:$AF$1017)/SUM($AC$1004:$AC$1017)))</f>
        <v>0</v>
      </c>
      <c r="AI1017">
        <f>IF(OR(AG1017="",AH1017=""),"",IF((AG1017+AH1017)=0,0,100*ABS(AG1017-AH1017)/(AG1017+AH1017)))</f>
        <v>0</v>
      </c>
      <c r="AJ1017">
        <f>IF(COUNT($AI$1004:$AI$1017)&lt;14,"",AVERAGE($AI$1004:$AI$1017))</f>
        <v>0</v>
      </c>
      <c r="AK1017">
        <f>IF(COUNT($E$2:$E1017)&lt;20,"",AVERAGE($E$998:$E$1017))</f>
        <v>0</v>
      </c>
      <c r="AL1017">
        <f>IF(COUNT($E$2:$E1017)&lt;20,"",STDEVP($E$998:$E$1017))</f>
        <v>0</v>
      </c>
      <c r="AM1017">
        <f>IF(AK1017="","",AK1017+2*AL1017)</f>
        <v>0</v>
      </c>
      <c r="AN1017">
        <f>IF(AK1017="","",AK1017-2*AL1017)</f>
        <v>0</v>
      </c>
      <c r="AO1017">
        <f>IF(OR(AM1017="",AN1017="",AM1017=AN1017),"",($E1017-AN1017)/(AM1017-AN1017))</f>
        <v>0</v>
      </c>
      <c r="AP1017">
        <f>IF(OR(AM1017="",AK1017="",AK1017=0),"",(AM1017-AN1017)/AK1017)</f>
        <v>0</v>
      </c>
      <c r="AQ1017">
        <f>IF(COUNT($E$2:$E1017)&lt;20,"",MAX($C$998:$C$1017))</f>
        <v>0</v>
      </c>
      <c r="AR1017">
        <f>IF(COUNT($E$2:$E1017)&lt;20,"",MIN($D$998:$D$1017))</f>
        <v>0</v>
      </c>
      <c r="AS1017">
        <f>IF(OR(AQ1017="",AR1017=""),"",(AQ1017+AR1017)/2)</f>
        <v>0</v>
      </c>
      <c r="AT1017">
        <f>IF(COUNT($G$998:$G$1017)&lt;20,"",STDEV($G$998:$G$1017)*SQRT(252))</f>
        <v>0</v>
      </c>
      <c r="AU1017">
        <f>IF(COUNT($E$2:$E1017)&lt;9,"",(MAX($C$1009:$C$1017)+MIN($D$1009:$D$1017))/2)</f>
        <v>0</v>
      </c>
      <c r="AV1017">
        <f>IF(COUNT($E$2:$E1017)&lt;26,"",(MAX($C$992:$C$1017)+MIN($D$992:$D$1017))/2)</f>
        <v>0</v>
      </c>
      <c r="AW1017">
        <f>IF(OR(AU1017="",AV1017=""),"",(AU1017+AV1017)/2)</f>
        <v>0</v>
      </c>
      <c r="AX1017">
        <f>IF(COUNT($E$2:$E1017)&lt;52,"",(MAX($C$966:$C$1017)+MIN($D$966:$D$1017))/2)</f>
        <v>0</v>
      </c>
      <c r="AY1017">
        <f>IF(COUNT($E$2:$E1017)&lt;20,"",MAX($C$918:$C$1017))</f>
        <v>0</v>
      </c>
      <c r="AZ1017">
        <f>IF(COUNT($E$2:$E1017)&lt;20,"",MIN($D$918:$D$1017))</f>
        <v>0</v>
      </c>
      <c r="BA1017">
        <f>IF(COUNT($E$2:$E1017)&lt;20,"",SLOPE($E$918:$E$1017,$F$918:$F$1017))</f>
        <v>0</v>
      </c>
      <c r="BB1017">
        <f>IF(COUNT($E$2:$E1017)&lt;20,"",INTERCEPT($E$918:$E$1017,$F$918:$F$1017))</f>
        <v>0</v>
      </c>
      <c r="BC1017">
        <f>IF(OR(BA1017="",BB1017=""),"",BB1017+BA1017*F1017)</f>
        <v>0</v>
      </c>
      <c r="BD1017">
        <f>IF(COUNT($E$2:$E1017)&lt;20,"",STEYX($E$918:$E$1017,$F$918:$F$1017))</f>
        <v>0</v>
      </c>
      <c r="BE1017">
        <f>IF($E1017="","",IF(AND(COUNT($E$1018:$E$1021)&gt;=4,$C1017=MAX($C$1013:$C$1021)),$C1017,""))</f>
        <v>0</v>
      </c>
      <c r="BF1017">
        <f>IF($E1017="","",IF(AND(COUNT($E$1018:$E$1021)&gt;=4,$D1017=MIN($D$1013:$D$1021)),$D1017,""))</f>
        <v>0</v>
      </c>
      <c r="BG1017">
        <f>IF($A1017="","",$A1017-WEEKDAY($A1017,2)+1)</f>
        <v>0</v>
      </c>
      <c r="BH1017">
        <f>IF($A1017="","",IF($A1016="",1,IF(BG1017&lt;&gt;BG1016,1,0)))</f>
        <v>0</v>
      </c>
      <c r="BI1017">
        <f>IF($A1017="","",IF($A1018="",1,IF(BG1018&lt;&gt;BG1017,1,0)))</f>
        <v>0</v>
      </c>
      <c r="BJ1017">
        <f>IF($A1017="","",IF(BH1017=1,$B1017,BJ1016))</f>
        <v>0</v>
      </c>
      <c r="BK1017">
        <f>IF($A1017="","",IF(BH1017=1,$C1017,MAX($C1017,BK1016)))</f>
        <v>0</v>
      </c>
      <c r="BL1017">
        <f>IF($A1017="","",IF(BH1017=1,$D1017,MIN($D1017,BL1016)))</f>
        <v>0</v>
      </c>
      <c r="BM1017">
        <f>IF($A1017="","",IF(BI1017=1,F1017,""))</f>
        <v>0</v>
      </c>
      <c r="BN1017">
        <f>IF($A1017="","",DATE(YEAR($A1017),MONTH($A1017),1))</f>
        <v>0</v>
      </c>
      <c r="BO1017">
        <f>IF($A1017="","",IF($A1016="",1,IF(BN1017&lt;&gt;BN1016,1,0)))</f>
        <v>0</v>
      </c>
      <c r="BP1017">
        <f>IF($A1017="","",IF($A1018="",1,IF(BN1018&lt;&gt;BN1017,1,0)))</f>
        <v>0</v>
      </c>
      <c r="BQ1017">
        <f>IF($A1017="","",IF(BO1017=1,$B1017,BQ1016))</f>
        <v>0</v>
      </c>
      <c r="BR1017">
        <f>IF($A1017="","",IF(BO1017=1,$C1017,MAX($C1017,BR1016)))</f>
        <v>0</v>
      </c>
      <c r="BS1017">
        <f>IF($A1017="","",IF(BO1017=1,$D1017,MIN($D1017,BS1016)))</f>
        <v>0</v>
      </c>
      <c r="BT1017">
        <f>IF($A1017="","",IF(BP1017=1,F1017,""))</f>
        <v>0</v>
      </c>
    </row>
    <row r="1018" spans="1:72">
      <c r="A1018" s="27">
        <f>IF(Data!$A1018="","",Data!$A1018)</f>
        <v>0</v>
      </c>
      <c r="B1018">
        <f>IF(Data!$B1018="","",Data!$B1018)</f>
        <v>0</v>
      </c>
      <c r="C1018">
        <f>IF(Data!$C1018="","",Data!$C1018)</f>
        <v>0</v>
      </c>
      <c r="D1018">
        <f>IF(Data!$D1018="","",Data!$D1018)</f>
        <v>0</v>
      </c>
      <c r="E1018">
        <f>IF(Data!$E1018="","",Data!$E1018)</f>
        <v>0</v>
      </c>
      <c r="F1018">
        <f>IF($E1018="","",N(F1017)+1)</f>
        <v>0</v>
      </c>
      <c r="G1018">
        <f>IF(OR($E1018="",$E1017=""),"",LN($E1018/$E1017))</f>
        <v>0</v>
      </c>
      <c r="H1018">
        <f>IF($E1018="","",IF($E1017="",$E1018,$E1018*0.0952380952+H1017*0.9047619048))</f>
        <v>0</v>
      </c>
      <c r="I1018">
        <f>IF($E1018="","",IF($E1017="",$E1018,$E1018*0.0392156863+I1017*0.9607843137))</f>
        <v>0</v>
      </c>
      <c r="J1018">
        <f>IF($E1018="","",IF($E1017="",$E1018,$E1018*0.0198019802+J1017*0.9801980198))</f>
        <v>0</v>
      </c>
      <c r="K1018">
        <f>IF($E1018="","",IF($E1017="",$E1018,$E1018*0.0099502488+K1017*0.9900497512))</f>
        <v>0</v>
      </c>
      <c r="L1018">
        <f>IF(OR($E1018="",$E1017=""),"",MAX($E1018-$E1017,0))</f>
        <v>0</v>
      </c>
      <c r="M1018">
        <f>IF(OR($E1018="",$E1017=""),"",MAX($E1017-$E1018,0))</f>
        <v>0</v>
      </c>
      <c r="N1018">
        <f>IF(COUNT($E$2:$E1018)&lt;15,"",IF(AVERAGE($M$1005:$M$1018)=0,100,100-100/(1+AVERAGE($L$1005:$L$1018)/AVERAGE($M$1005:$M$1018))))</f>
        <v>0</v>
      </c>
      <c r="O1018">
        <f>IF($E1018="","",IF($E1017="",$E1018,$E1018*0.1538461538+O1017*0.8461538462))</f>
        <v>0</v>
      </c>
      <c r="P1018">
        <f>IF($E1018="","",IF($E1017="",$E1018,$E1018*0.0740740741+P1017*0.9259259259))</f>
        <v>0</v>
      </c>
      <c r="Q1018">
        <f>IF(OR(O1018="",P1018=""),"",O1018-P1018)</f>
        <v>0</v>
      </c>
      <c r="R1018">
        <f>IF(Q1018="","",IF(R1017="",Q1018,Q1018*0.2000000000+R1017*0.8000000000))</f>
        <v>0</v>
      </c>
      <c r="S1018">
        <f>IF(OR(Q1018="",R1018=""),"",Q1018-R1018)</f>
        <v>0</v>
      </c>
      <c r="T1018">
        <f>IF(COUNT($E$2:$E1018)&lt;14,"",MAX($C$1005:$C$1018))</f>
        <v>0</v>
      </c>
      <c r="U1018">
        <f>IF(COUNT($E$2:$E1018)&lt;14,"",MIN($D$1005:$D$1018))</f>
        <v>0</v>
      </c>
      <c r="V1018">
        <f>IF(OR(T1018="",U1018="",T1018=U1018),"",100*($E1018-U1018)/(T1018-U1018))</f>
        <v>0</v>
      </c>
      <c r="W1018">
        <f>IF(COUNT($V$1016:$V$1018)&lt;3,"",AVERAGE($V$1016:$V$1018))</f>
        <v>0</v>
      </c>
      <c r="X1018">
        <f>IF(COUNT($N$1005:$N$1018)&lt;14,"",MIN($N$1005:$N$1018))</f>
        <v>0</v>
      </c>
      <c r="Y1018">
        <f>IF(COUNT($N$1005:$N$1018)&lt;14,"",MAX($N$1005:$N$1018))</f>
        <v>0</v>
      </c>
      <c r="Z1018">
        <f>IF(OR(N1018="",X1018="",Y1018="",Y1018=X1018),"",100*(N1018-X1018)/(Y1018-X1018))</f>
        <v>0</v>
      </c>
      <c r="AA1018">
        <f>IF(COUNT($Z$1016:$Z$1018)&lt;3,"",AVERAGE($Z$1016:$Z$1018))</f>
        <v>0</v>
      </c>
      <c r="AB1018">
        <f>IF(COUNT($AA$1016:$AA$1018)&lt;3,"",AVERAGE($AA$1016:$AA$1018))</f>
        <v>0</v>
      </c>
      <c r="AC1018">
        <f>IF($E1018="","",MAX($C1018-$D1018,ABS($C1018-$E1017),ABS($D1018-$E1017)))</f>
        <v>0</v>
      </c>
      <c r="AD1018">
        <f>IF(COUNT($E$2:$E1018)&lt;15,"",AVERAGE($AC$1005:$AC$1018))</f>
        <v>0</v>
      </c>
      <c r="AE1018">
        <f>IF(OR($E1018="",$E1017=""),"",IF(AND(($C1018-$C1017)&gt;($D1017-$D1018),($C1018-$C1017)&gt;0),$C1018-$C1017,0))</f>
        <v>0</v>
      </c>
      <c r="AF1018">
        <f>IF(OR($E1018="",$E1017=""),"",IF(AND(($D1017-$D1018)&gt;($C1018-$C1017),($D1017-$D1018)&gt;0),$D1017-$D1018,0))</f>
        <v>0</v>
      </c>
      <c r="AG1018">
        <f>IF(COUNT($E$2:$E1018)&lt;15,"",IF(SUM($AC$1005:$AC$1018)=0,0,100*SUM($AE$1005:$AE$1018)/SUM($AC$1005:$AC$1018)))</f>
        <v>0</v>
      </c>
      <c r="AH1018">
        <f>IF(COUNT($E$2:$E1018)&lt;15,"",IF(SUM($AC$1005:$AC$1018)=0,0,100*SUM($AF$1005:$AF$1018)/SUM($AC$1005:$AC$1018)))</f>
        <v>0</v>
      </c>
      <c r="AI1018">
        <f>IF(OR(AG1018="",AH1018=""),"",IF((AG1018+AH1018)=0,0,100*ABS(AG1018-AH1018)/(AG1018+AH1018)))</f>
        <v>0</v>
      </c>
      <c r="AJ1018">
        <f>IF(COUNT($AI$1005:$AI$1018)&lt;14,"",AVERAGE($AI$1005:$AI$1018))</f>
        <v>0</v>
      </c>
      <c r="AK1018">
        <f>IF(COUNT($E$2:$E1018)&lt;20,"",AVERAGE($E$999:$E$1018))</f>
        <v>0</v>
      </c>
      <c r="AL1018">
        <f>IF(COUNT($E$2:$E1018)&lt;20,"",STDEVP($E$999:$E$1018))</f>
        <v>0</v>
      </c>
      <c r="AM1018">
        <f>IF(AK1018="","",AK1018+2*AL1018)</f>
        <v>0</v>
      </c>
      <c r="AN1018">
        <f>IF(AK1018="","",AK1018-2*AL1018)</f>
        <v>0</v>
      </c>
      <c r="AO1018">
        <f>IF(OR(AM1018="",AN1018="",AM1018=AN1018),"",($E1018-AN1018)/(AM1018-AN1018))</f>
        <v>0</v>
      </c>
      <c r="AP1018">
        <f>IF(OR(AM1018="",AK1018="",AK1018=0),"",(AM1018-AN1018)/AK1018)</f>
        <v>0</v>
      </c>
      <c r="AQ1018">
        <f>IF(COUNT($E$2:$E1018)&lt;20,"",MAX($C$999:$C$1018))</f>
        <v>0</v>
      </c>
      <c r="AR1018">
        <f>IF(COUNT($E$2:$E1018)&lt;20,"",MIN($D$999:$D$1018))</f>
        <v>0</v>
      </c>
      <c r="AS1018">
        <f>IF(OR(AQ1018="",AR1018=""),"",(AQ1018+AR1018)/2)</f>
        <v>0</v>
      </c>
      <c r="AT1018">
        <f>IF(COUNT($G$999:$G$1018)&lt;20,"",STDEV($G$999:$G$1018)*SQRT(252))</f>
        <v>0</v>
      </c>
      <c r="AU1018">
        <f>IF(COUNT($E$2:$E1018)&lt;9,"",(MAX($C$1010:$C$1018)+MIN($D$1010:$D$1018))/2)</f>
        <v>0</v>
      </c>
      <c r="AV1018">
        <f>IF(COUNT($E$2:$E1018)&lt;26,"",(MAX($C$993:$C$1018)+MIN($D$993:$D$1018))/2)</f>
        <v>0</v>
      </c>
      <c r="AW1018">
        <f>IF(OR(AU1018="",AV1018=""),"",(AU1018+AV1018)/2)</f>
        <v>0</v>
      </c>
      <c r="AX1018">
        <f>IF(COUNT($E$2:$E1018)&lt;52,"",(MAX($C$967:$C$1018)+MIN($D$967:$D$1018))/2)</f>
        <v>0</v>
      </c>
      <c r="AY1018">
        <f>IF(COUNT($E$2:$E1018)&lt;20,"",MAX($C$919:$C$1018))</f>
        <v>0</v>
      </c>
      <c r="AZ1018">
        <f>IF(COUNT($E$2:$E1018)&lt;20,"",MIN($D$919:$D$1018))</f>
        <v>0</v>
      </c>
      <c r="BA1018">
        <f>IF(COUNT($E$2:$E1018)&lt;20,"",SLOPE($E$919:$E$1018,$F$919:$F$1018))</f>
        <v>0</v>
      </c>
      <c r="BB1018">
        <f>IF(COUNT($E$2:$E1018)&lt;20,"",INTERCEPT($E$919:$E$1018,$F$919:$F$1018))</f>
        <v>0</v>
      </c>
      <c r="BC1018">
        <f>IF(OR(BA1018="",BB1018=""),"",BB1018+BA1018*F1018)</f>
        <v>0</v>
      </c>
      <c r="BD1018">
        <f>IF(COUNT($E$2:$E1018)&lt;20,"",STEYX($E$919:$E$1018,$F$919:$F$1018))</f>
        <v>0</v>
      </c>
      <c r="BE1018">
        <f>IF($E1018="","",IF(AND(COUNT($E$1019:$E$1022)&gt;=4,$C1018=MAX($C$1014:$C$1022)),$C1018,""))</f>
        <v>0</v>
      </c>
      <c r="BF1018">
        <f>IF($E1018="","",IF(AND(COUNT($E$1019:$E$1022)&gt;=4,$D1018=MIN($D$1014:$D$1022)),$D1018,""))</f>
        <v>0</v>
      </c>
      <c r="BG1018">
        <f>IF($A1018="","",$A1018-WEEKDAY($A1018,2)+1)</f>
        <v>0</v>
      </c>
      <c r="BH1018">
        <f>IF($A1018="","",IF($A1017="",1,IF(BG1018&lt;&gt;BG1017,1,0)))</f>
        <v>0</v>
      </c>
      <c r="BI1018">
        <f>IF($A1018="","",IF($A1019="",1,IF(BG1019&lt;&gt;BG1018,1,0)))</f>
        <v>0</v>
      </c>
      <c r="BJ1018">
        <f>IF($A1018="","",IF(BH1018=1,$B1018,BJ1017))</f>
        <v>0</v>
      </c>
      <c r="BK1018">
        <f>IF($A1018="","",IF(BH1018=1,$C1018,MAX($C1018,BK1017)))</f>
        <v>0</v>
      </c>
      <c r="BL1018">
        <f>IF($A1018="","",IF(BH1018=1,$D1018,MIN($D1018,BL1017)))</f>
        <v>0</v>
      </c>
      <c r="BM1018">
        <f>IF($A1018="","",IF(BI1018=1,F1018,""))</f>
        <v>0</v>
      </c>
      <c r="BN1018">
        <f>IF($A1018="","",DATE(YEAR($A1018),MONTH($A1018),1))</f>
        <v>0</v>
      </c>
      <c r="BO1018">
        <f>IF($A1018="","",IF($A1017="",1,IF(BN1018&lt;&gt;BN1017,1,0)))</f>
        <v>0</v>
      </c>
      <c r="BP1018">
        <f>IF($A1018="","",IF($A1019="",1,IF(BN1019&lt;&gt;BN1018,1,0)))</f>
        <v>0</v>
      </c>
      <c r="BQ1018">
        <f>IF($A1018="","",IF(BO1018=1,$B1018,BQ1017))</f>
        <v>0</v>
      </c>
      <c r="BR1018">
        <f>IF($A1018="","",IF(BO1018=1,$C1018,MAX($C1018,BR1017)))</f>
        <v>0</v>
      </c>
      <c r="BS1018">
        <f>IF($A1018="","",IF(BO1018=1,$D1018,MIN($D1018,BS1017)))</f>
        <v>0</v>
      </c>
      <c r="BT1018">
        <f>IF($A1018="","",IF(BP1018=1,F1018,""))</f>
        <v>0</v>
      </c>
    </row>
    <row r="1019" spans="1:72">
      <c r="A1019" s="27">
        <f>IF(Data!$A1019="","",Data!$A1019)</f>
        <v>0</v>
      </c>
      <c r="B1019">
        <f>IF(Data!$B1019="","",Data!$B1019)</f>
        <v>0</v>
      </c>
      <c r="C1019">
        <f>IF(Data!$C1019="","",Data!$C1019)</f>
        <v>0</v>
      </c>
      <c r="D1019">
        <f>IF(Data!$D1019="","",Data!$D1019)</f>
        <v>0</v>
      </c>
      <c r="E1019">
        <f>IF(Data!$E1019="","",Data!$E1019)</f>
        <v>0</v>
      </c>
      <c r="F1019">
        <f>IF($E1019="","",N(F1018)+1)</f>
        <v>0</v>
      </c>
      <c r="G1019">
        <f>IF(OR($E1019="",$E1018=""),"",LN($E1019/$E1018))</f>
        <v>0</v>
      </c>
      <c r="H1019">
        <f>IF($E1019="","",IF($E1018="",$E1019,$E1019*0.0952380952+H1018*0.9047619048))</f>
        <v>0</v>
      </c>
      <c r="I1019">
        <f>IF($E1019="","",IF($E1018="",$E1019,$E1019*0.0392156863+I1018*0.9607843137))</f>
        <v>0</v>
      </c>
      <c r="J1019">
        <f>IF($E1019="","",IF($E1018="",$E1019,$E1019*0.0198019802+J1018*0.9801980198))</f>
        <v>0</v>
      </c>
      <c r="K1019">
        <f>IF($E1019="","",IF($E1018="",$E1019,$E1019*0.0099502488+K1018*0.9900497512))</f>
        <v>0</v>
      </c>
      <c r="L1019">
        <f>IF(OR($E1019="",$E1018=""),"",MAX($E1019-$E1018,0))</f>
        <v>0</v>
      </c>
      <c r="M1019">
        <f>IF(OR($E1019="",$E1018=""),"",MAX($E1018-$E1019,0))</f>
        <v>0</v>
      </c>
      <c r="N1019">
        <f>IF(COUNT($E$2:$E1019)&lt;15,"",IF(AVERAGE($M$1006:$M$1019)=0,100,100-100/(1+AVERAGE($L$1006:$L$1019)/AVERAGE($M$1006:$M$1019))))</f>
        <v>0</v>
      </c>
      <c r="O1019">
        <f>IF($E1019="","",IF($E1018="",$E1019,$E1019*0.1538461538+O1018*0.8461538462))</f>
        <v>0</v>
      </c>
      <c r="P1019">
        <f>IF($E1019="","",IF($E1018="",$E1019,$E1019*0.0740740741+P1018*0.9259259259))</f>
        <v>0</v>
      </c>
      <c r="Q1019">
        <f>IF(OR(O1019="",P1019=""),"",O1019-P1019)</f>
        <v>0</v>
      </c>
      <c r="R1019">
        <f>IF(Q1019="","",IF(R1018="",Q1019,Q1019*0.2000000000+R1018*0.8000000000))</f>
        <v>0</v>
      </c>
      <c r="S1019">
        <f>IF(OR(Q1019="",R1019=""),"",Q1019-R1019)</f>
        <v>0</v>
      </c>
      <c r="T1019">
        <f>IF(COUNT($E$2:$E1019)&lt;14,"",MAX($C$1006:$C$1019))</f>
        <v>0</v>
      </c>
      <c r="U1019">
        <f>IF(COUNT($E$2:$E1019)&lt;14,"",MIN($D$1006:$D$1019))</f>
        <v>0</v>
      </c>
      <c r="V1019">
        <f>IF(OR(T1019="",U1019="",T1019=U1019),"",100*($E1019-U1019)/(T1019-U1019))</f>
        <v>0</v>
      </c>
      <c r="W1019">
        <f>IF(COUNT($V$1017:$V$1019)&lt;3,"",AVERAGE($V$1017:$V$1019))</f>
        <v>0</v>
      </c>
      <c r="X1019">
        <f>IF(COUNT($N$1006:$N$1019)&lt;14,"",MIN($N$1006:$N$1019))</f>
        <v>0</v>
      </c>
      <c r="Y1019">
        <f>IF(COUNT($N$1006:$N$1019)&lt;14,"",MAX($N$1006:$N$1019))</f>
        <v>0</v>
      </c>
      <c r="Z1019">
        <f>IF(OR(N1019="",X1019="",Y1019="",Y1019=X1019),"",100*(N1019-X1019)/(Y1019-X1019))</f>
        <v>0</v>
      </c>
      <c r="AA1019">
        <f>IF(COUNT($Z$1017:$Z$1019)&lt;3,"",AVERAGE($Z$1017:$Z$1019))</f>
        <v>0</v>
      </c>
      <c r="AB1019">
        <f>IF(COUNT($AA$1017:$AA$1019)&lt;3,"",AVERAGE($AA$1017:$AA$1019))</f>
        <v>0</v>
      </c>
      <c r="AC1019">
        <f>IF($E1019="","",MAX($C1019-$D1019,ABS($C1019-$E1018),ABS($D1019-$E1018)))</f>
        <v>0</v>
      </c>
      <c r="AD1019">
        <f>IF(COUNT($E$2:$E1019)&lt;15,"",AVERAGE($AC$1006:$AC$1019))</f>
        <v>0</v>
      </c>
      <c r="AE1019">
        <f>IF(OR($E1019="",$E1018=""),"",IF(AND(($C1019-$C1018)&gt;($D1018-$D1019),($C1019-$C1018)&gt;0),$C1019-$C1018,0))</f>
        <v>0</v>
      </c>
      <c r="AF1019">
        <f>IF(OR($E1019="",$E1018=""),"",IF(AND(($D1018-$D1019)&gt;($C1019-$C1018),($D1018-$D1019)&gt;0),$D1018-$D1019,0))</f>
        <v>0</v>
      </c>
      <c r="AG1019">
        <f>IF(COUNT($E$2:$E1019)&lt;15,"",IF(SUM($AC$1006:$AC$1019)=0,0,100*SUM($AE$1006:$AE$1019)/SUM($AC$1006:$AC$1019)))</f>
        <v>0</v>
      </c>
      <c r="AH1019">
        <f>IF(COUNT($E$2:$E1019)&lt;15,"",IF(SUM($AC$1006:$AC$1019)=0,0,100*SUM($AF$1006:$AF$1019)/SUM($AC$1006:$AC$1019)))</f>
        <v>0</v>
      </c>
      <c r="AI1019">
        <f>IF(OR(AG1019="",AH1019=""),"",IF((AG1019+AH1019)=0,0,100*ABS(AG1019-AH1019)/(AG1019+AH1019)))</f>
        <v>0</v>
      </c>
      <c r="AJ1019">
        <f>IF(COUNT($AI$1006:$AI$1019)&lt;14,"",AVERAGE($AI$1006:$AI$1019))</f>
        <v>0</v>
      </c>
      <c r="AK1019">
        <f>IF(COUNT($E$2:$E1019)&lt;20,"",AVERAGE($E$1000:$E$1019))</f>
        <v>0</v>
      </c>
      <c r="AL1019">
        <f>IF(COUNT($E$2:$E1019)&lt;20,"",STDEVP($E$1000:$E$1019))</f>
        <v>0</v>
      </c>
      <c r="AM1019">
        <f>IF(AK1019="","",AK1019+2*AL1019)</f>
        <v>0</v>
      </c>
      <c r="AN1019">
        <f>IF(AK1019="","",AK1019-2*AL1019)</f>
        <v>0</v>
      </c>
      <c r="AO1019">
        <f>IF(OR(AM1019="",AN1019="",AM1019=AN1019),"",($E1019-AN1019)/(AM1019-AN1019))</f>
        <v>0</v>
      </c>
      <c r="AP1019">
        <f>IF(OR(AM1019="",AK1019="",AK1019=0),"",(AM1019-AN1019)/AK1019)</f>
        <v>0</v>
      </c>
      <c r="AQ1019">
        <f>IF(COUNT($E$2:$E1019)&lt;20,"",MAX($C$1000:$C$1019))</f>
        <v>0</v>
      </c>
      <c r="AR1019">
        <f>IF(COUNT($E$2:$E1019)&lt;20,"",MIN($D$1000:$D$1019))</f>
        <v>0</v>
      </c>
      <c r="AS1019">
        <f>IF(OR(AQ1019="",AR1019=""),"",(AQ1019+AR1019)/2)</f>
        <v>0</v>
      </c>
      <c r="AT1019">
        <f>IF(COUNT($G$1000:$G$1019)&lt;20,"",STDEV($G$1000:$G$1019)*SQRT(252))</f>
        <v>0</v>
      </c>
      <c r="AU1019">
        <f>IF(COUNT($E$2:$E1019)&lt;9,"",(MAX($C$1011:$C$1019)+MIN($D$1011:$D$1019))/2)</f>
        <v>0</v>
      </c>
      <c r="AV1019">
        <f>IF(COUNT($E$2:$E1019)&lt;26,"",(MAX($C$994:$C$1019)+MIN($D$994:$D$1019))/2)</f>
        <v>0</v>
      </c>
      <c r="AW1019">
        <f>IF(OR(AU1019="",AV1019=""),"",(AU1019+AV1019)/2)</f>
        <v>0</v>
      </c>
      <c r="AX1019">
        <f>IF(COUNT($E$2:$E1019)&lt;52,"",(MAX($C$968:$C$1019)+MIN($D$968:$D$1019))/2)</f>
        <v>0</v>
      </c>
      <c r="AY1019">
        <f>IF(COUNT($E$2:$E1019)&lt;20,"",MAX($C$920:$C$1019))</f>
        <v>0</v>
      </c>
      <c r="AZ1019">
        <f>IF(COUNT($E$2:$E1019)&lt;20,"",MIN($D$920:$D$1019))</f>
        <v>0</v>
      </c>
      <c r="BA1019">
        <f>IF(COUNT($E$2:$E1019)&lt;20,"",SLOPE($E$920:$E$1019,$F$920:$F$1019))</f>
        <v>0</v>
      </c>
      <c r="BB1019">
        <f>IF(COUNT($E$2:$E1019)&lt;20,"",INTERCEPT($E$920:$E$1019,$F$920:$F$1019))</f>
        <v>0</v>
      </c>
      <c r="BC1019">
        <f>IF(OR(BA1019="",BB1019=""),"",BB1019+BA1019*F1019)</f>
        <v>0</v>
      </c>
      <c r="BD1019">
        <f>IF(COUNT($E$2:$E1019)&lt;20,"",STEYX($E$920:$E$1019,$F$920:$F$1019))</f>
        <v>0</v>
      </c>
      <c r="BE1019">
        <f>IF($E1019="","",IF(AND(COUNT($E$1020:$E$1023)&gt;=4,$C1019=MAX($C$1015:$C$1023)),$C1019,""))</f>
        <v>0</v>
      </c>
      <c r="BF1019">
        <f>IF($E1019="","",IF(AND(COUNT($E$1020:$E$1023)&gt;=4,$D1019=MIN($D$1015:$D$1023)),$D1019,""))</f>
        <v>0</v>
      </c>
      <c r="BG1019">
        <f>IF($A1019="","",$A1019-WEEKDAY($A1019,2)+1)</f>
        <v>0</v>
      </c>
      <c r="BH1019">
        <f>IF($A1019="","",IF($A1018="",1,IF(BG1019&lt;&gt;BG1018,1,0)))</f>
        <v>0</v>
      </c>
      <c r="BI1019">
        <f>IF($A1019="","",IF($A1020="",1,IF(BG1020&lt;&gt;BG1019,1,0)))</f>
        <v>0</v>
      </c>
      <c r="BJ1019">
        <f>IF($A1019="","",IF(BH1019=1,$B1019,BJ1018))</f>
        <v>0</v>
      </c>
      <c r="BK1019">
        <f>IF($A1019="","",IF(BH1019=1,$C1019,MAX($C1019,BK1018)))</f>
        <v>0</v>
      </c>
      <c r="BL1019">
        <f>IF($A1019="","",IF(BH1019=1,$D1019,MIN($D1019,BL1018)))</f>
        <v>0</v>
      </c>
      <c r="BM1019">
        <f>IF($A1019="","",IF(BI1019=1,F1019,""))</f>
        <v>0</v>
      </c>
      <c r="BN1019">
        <f>IF($A1019="","",DATE(YEAR($A1019),MONTH($A1019),1))</f>
        <v>0</v>
      </c>
      <c r="BO1019">
        <f>IF($A1019="","",IF($A1018="",1,IF(BN1019&lt;&gt;BN1018,1,0)))</f>
        <v>0</v>
      </c>
      <c r="BP1019">
        <f>IF($A1019="","",IF($A1020="",1,IF(BN1020&lt;&gt;BN1019,1,0)))</f>
        <v>0</v>
      </c>
      <c r="BQ1019">
        <f>IF($A1019="","",IF(BO1019=1,$B1019,BQ1018))</f>
        <v>0</v>
      </c>
      <c r="BR1019">
        <f>IF($A1019="","",IF(BO1019=1,$C1019,MAX($C1019,BR1018)))</f>
        <v>0</v>
      </c>
      <c r="BS1019">
        <f>IF($A1019="","",IF(BO1019=1,$D1019,MIN($D1019,BS1018)))</f>
        <v>0</v>
      </c>
      <c r="BT1019">
        <f>IF($A1019="","",IF(BP1019=1,F1019,""))</f>
        <v>0</v>
      </c>
    </row>
    <row r="1020" spans="1:72">
      <c r="A1020" s="27">
        <f>IF(Data!$A1020="","",Data!$A1020)</f>
        <v>0</v>
      </c>
      <c r="B1020">
        <f>IF(Data!$B1020="","",Data!$B1020)</f>
        <v>0</v>
      </c>
      <c r="C1020">
        <f>IF(Data!$C1020="","",Data!$C1020)</f>
        <v>0</v>
      </c>
      <c r="D1020">
        <f>IF(Data!$D1020="","",Data!$D1020)</f>
        <v>0</v>
      </c>
      <c r="E1020">
        <f>IF(Data!$E1020="","",Data!$E1020)</f>
        <v>0</v>
      </c>
      <c r="F1020">
        <f>IF($E1020="","",N(F1019)+1)</f>
        <v>0</v>
      </c>
      <c r="G1020">
        <f>IF(OR($E1020="",$E1019=""),"",LN($E1020/$E1019))</f>
        <v>0</v>
      </c>
      <c r="H1020">
        <f>IF($E1020="","",IF($E1019="",$E1020,$E1020*0.0952380952+H1019*0.9047619048))</f>
        <v>0</v>
      </c>
      <c r="I1020">
        <f>IF($E1020="","",IF($E1019="",$E1020,$E1020*0.0392156863+I1019*0.9607843137))</f>
        <v>0</v>
      </c>
      <c r="J1020">
        <f>IF($E1020="","",IF($E1019="",$E1020,$E1020*0.0198019802+J1019*0.9801980198))</f>
        <v>0</v>
      </c>
      <c r="K1020">
        <f>IF($E1020="","",IF($E1019="",$E1020,$E1020*0.0099502488+K1019*0.9900497512))</f>
        <v>0</v>
      </c>
      <c r="L1020">
        <f>IF(OR($E1020="",$E1019=""),"",MAX($E1020-$E1019,0))</f>
        <v>0</v>
      </c>
      <c r="M1020">
        <f>IF(OR($E1020="",$E1019=""),"",MAX($E1019-$E1020,0))</f>
        <v>0</v>
      </c>
      <c r="N1020">
        <f>IF(COUNT($E$2:$E1020)&lt;15,"",IF(AVERAGE($M$1007:$M$1020)=0,100,100-100/(1+AVERAGE($L$1007:$L$1020)/AVERAGE($M$1007:$M$1020))))</f>
        <v>0</v>
      </c>
      <c r="O1020">
        <f>IF($E1020="","",IF($E1019="",$E1020,$E1020*0.1538461538+O1019*0.8461538462))</f>
        <v>0</v>
      </c>
      <c r="P1020">
        <f>IF($E1020="","",IF($E1019="",$E1020,$E1020*0.0740740741+P1019*0.9259259259))</f>
        <v>0</v>
      </c>
      <c r="Q1020">
        <f>IF(OR(O1020="",P1020=""),"",O1020-P1020)</f>
        <v>0</v>
      </c>
      <c r="R1020">
        <f>IF(Q1020="","",IF(R1019="",Q1020,Q1020*0.2000000000+R1019*0.8000000000))</f>
        <v>0</v>
      </c>
      <c r="S1020">
        <f>IF(OR(Q1020="",R1020=""),"",Q1020-R1020)</f>
        <v>0</v>
      </c>
      <c r="T1020">
        <f>IF(COUNT($E$2:$E1020)&lt;14,"",MAX($C$1007:$C$1020))</f>
        <v>0</v>
      </c>
      <c r="U1020">
        <f>IF(COUNT($E$2:$E1020)&lt;14,"",MIN($D$1007:$D$1020))</f>
        <v>0</v>
      </c>
      <c r="V1020">
        <f>IF(OR(T1020="",U1020="",T1020=U1020),"",100*($E1020-U1020)/(T1020-U1020))</f>
        <v>0</v>
      </c>
      <c r="W1020">
        <f>IF(COUNT($V$1018:$V$1020)&lt;3,"",AVERAGE($V$1018:$V$1020))</f>
        <v>0</v>
      </c>
      <c r="X1020">
        <f>IF(COUNT($N$1007:$N$1020)&lt;14,"",MIN($N$1007:$N$1020))</f>
        <v>0</v>
      </c>
      <c r="Y1020">
        <f>IF(COUNT($N$1007:$N$1020)&lt;14,"",MAX($N$1007:$N$1020))</f>
        <v>0</v>
      </c>
      <c r="Z1020">
        <f>IF(OR(N1020="",X1020="",Y1020="",Y1020=X1020),"",100*(N1020-X1020)/(Y1020-X1020))</f>
        <v>0</v>
      </c>
      <c r="AA1020">
        <f>IF(COUNT($Z$1018:$Z$1020)&lt;3,"",AVERAGE($Z$1018:$Z$1020))</f>
        <v>0</v>
      </c>
      <c r="AB1020">
        <f>IF(COUNT($AA$1018:$AA$1020)&lt;3,"",AVERAGE($AA$1018:$AA$1020))</f>
        <v>0</v>
      </c>
      <c r="AC1020">
        <f>IF($E1020="","",MAX($C1020-$D1020,ABS($C1020-$E1019),ABS($D1020-$E1019)))</f>
        <v>0</v>
      </c>
      <c r="AD1020">
        <f>IF(COUNT($E$2:$E1020)&lt;15,"",AVERAGE($AC$1007:$AC$1020))</f>
        <v>0</v>
      </c>
      <c r="AE1020">
        <f>IF(OR($E1020="",$E1019=""),"",IF(AND(($C1020-$C1019)&gt;($D1019-$D1020),($C1020-$C1019)&gt;0),$C1020-$C1019,0))</f>
        <v>0</v>
      </c>
      <c r="AF1020">
        <f>IF(OR($E1020="",$E1019=""),"",IF(AND(($D1019-$D1020)&gt;($C1020-$C1019),($D1019-$D1020)&gt;0),$D1019-$D1020,0))</f>
        <v>0</v>
      </c>
      <c r="AG1020">
        <f>IF(COUNT($E$2:$E1020)&lt;15,"",IF(SUM($AC$1007:$AC$1020)=0,0,100*SUM($AE$1007:$AE$1020)/SUM($AC$1007:$AC$1020)))</f>
        <v>0</v>
      </c>
      <c r="AH1020">
        <f>IF(COUNT($E$2:$E1020)&lt;15,"",IF(SUM($AC$1007:$AC$1020)=0,0,100*SUM($AF$1007:$AF$1020)/SUM($AC$1007:$AC$1020)))</f>
        <v>0</v>
      </c>
      <c r="AI1020">
        <f>IF(OR(AG1020="",AH1020=""),"",IF((AG1020+AH1020)=0,0,100*ABS(AG1020-AH1020)/(AG1020+AH1020)))</f>
        <v>0</v>
      </c>
      <c r="AJ1020">
        <f>IF(COUNT($AI$1007:$AI$1020)&lt;14,"",AVERAGE($AI$1007:$AI$1020))</f>
        <v>0</v>
      </c>
      <c r="AK1020">
        <f>IF(COUNT($E$2:$E1020)&lt;20,"",AVERAGE($E$1001:$E$1020))</f>
        <v>0</v>
      </c>
      <c r="AL1020">
        <f>IF(COUNT($E$2:$E1020)&lt;20,"",STDEVP($E$1001:$E$1020))</f>
        <v>0</v>
      </c>
      <c r="AM1020">
        <f>IF(AK1020="","",AK1020+2*AL1020)</f>
        <v>0</v>
      </c>
      <c r="AN1020">
        <f>IF(AK1020="","",AK1020-2*AL1020)</f>
        <v>0</v>
      </c>
      <c r="AO1020">
        <f>IF(OR(AM1020="",AN1020="",AM1020=AN1020),"",($E1020-AN1020)/(AM1020-AN1020))</f>
        <v>0</v>
      </c>
      <c r="AP1020">
        <f>IF(OR(AM1020="",AK1020="",AK1020=0),"",(AM1020-AN1020)/AK1020)</f>
        <v>0</v>
      </c>
      <c r="AQ1020">
        <f>IF(COUNT($E$2:$E1020)&lt;20,"",MAX($C$1001:$C$1020))</f>
        <v>0</v>
      </c>
      <c r="AR1020">
        <f>IF(COUNT($E$2:$E1020)&lt;20,"",MIN($D$1001:$D$1020))</f>
        <v>0</v>
      </c>
      <c r="AS1020">
        <f>IF(OR(AQ1020="",AR1020=""),"",(AQ1020+AR1020)/2)</f>
        <v>0</v>
      </c>
      <c r="AT1020">
        <f>IF(COUNT($G$1001:$G$1020)&lt;20,"",STDEV($G$1001:$G$1020)*SQRT(252))</f>
        <v>0</v>
      </c>
      <c r="AU1020">
        <f>IF(COUNT($E$2:$E1020)&lt;9,"",(MAX($C$1012:$C$1020)+MIN($D$1012:$D$1020))/2)</f>
        <v>0</v>
      </c>
      <c r="AV1020">
        <f>IF(COUNT($E$2:$E1020)&lt;26,"",(MAX($C$995:$C$1020)+MIN($D$995:$D$1020))/2)</f>
        <v>0</v>
      </c>
      <c r="AW1020">
        <f>IF(OR(AU1020="",AV1020=""),"",(AU1020+AV1020)/2)</f>
        <v>0</v>
      </c>
      <c r="AX1020">
        <f>IF(COUNT($E$2:$E1020)&lt;52,"",(MAX($C$969:$C$1020)+MIN($D$969:$D$1020))/2)</f>
        <v>0</v>
      </c>
      <c r="AY1020">
        <f>IF(COUNT($E$2:$E1020)&lt;20,"",MAX($C$921:$C$1020))</f>
        <v>0</v>
      </c>
      <c r="AZ1020">
        <f>IF(COUNT($E$2:$E1020)&lt;20,"",MIN($D$921:$D$1020))</f>
        <v>0</v>
      </c>
      <c r="BA1020">
        <f>IF(COUNT($E$2:$E1020)&lt;20,"",SLOPE($E$921:$E$1020,$F$921:$F$1020))</f>
        <v>0</v>
      </c>
      <c r="BB1020">
        <f>IF(COUNT($E$2:$E1020)&lt;20,"",INTERCEPT($E$921:$E$1020,$F$921:$F$1020))</f>
        <v>0</v>
      </c>
      <c r="BC1020">
        <f>IF(OR(BA1020="",BB1020=""),"",BB1020+BA1020*F1020)</f>
        <v>0</v>
      </c>
      <c r="BD1020">
        <f>IF(COUNT($E$2:$E1020)&lt;20,"",STEYX($E$921:$E$1020,$F$921:$F$1020))</f>
        <v>0</v>
      </c>
      <c r="BE1020">
        <f>IF($E1020="","",IF(AND(COUNT($E$1021:$E$1024)&gt;=4,$C1020=MAX($C$1016:$C$1024)),$C1020,""))</f>
        <v>0</v>
      </c>
      <c r="BF1020">
        <f>IF($E1020="","",IF(AND(COUNT($E$1021:$E$1024)&gt;=4,$D1020=MIN($D$1016:$D$1024)),$D1020,""))</f>
        <v>0</v>
      </c>
      <c r="BG1020">
        <f>IF($A1020="","",$A1020-WEEKDAY($A1020,2)+1)</f>
        <v>0</v>
      </c>
      <c r="BH1020">
        <f>IF($A1020="","",IF($A1019="",1,IF(BG1020&lt;&gt;BG1019,1,0)))</f>
        <v>0</v>
      </c>
      <c r="BI1020">
        <f>IF($A1020="","",IF($A1021="",1,IF(BG1021&lt;&gt;BG1020,1,0)))</f>
        <v>0</v>
      </c>
      <c r="BJ1020">
        <f>IF($A1020="","",IF(BH1020=1,$B1020,BJ1019))</f>
        <v>0</v>
      </c>
      <c r="BK1020">
        <f>IF($A1020="","",IF(BH1020=1,$C1020,MAX($C1020,BK1019)))</f>
        <v>0</v>
      </c>
      <c r="BL1020">
        <f>IF($A1020="","",IF(BH1020=1,$D1020,MIN($D1020,BL1019)))</f>
        <v>0</v>
      </c>
      <c r="BM1020">
        <f>IF($A1020="","",IF(BI1020=1,F1020,""))</f>
        <v>0</v>
      </c>
      <c r="BN1020">
        <f>IF($A1020="","",DATE(YEAR($A1020),MONTH($A1020),1))</f>
        <v>0</v>
      </c>
      <c r="BO1020">
        <f>IF($A1020="","",IF($A1019="",1,IF(BN1020&lt;&gt;BN1019,1,0)))</f>
        <v>0</v>
      </c>
      <c r="BP1020">
        <f>IF($A1020="","",IF($A1021="",1,IF(BN1021&lt;&gt;BN1020,1,0)))</f>
        <v>0</v>
      </c>
      <c r="BQ1020">
        <f>IF($A1020="","",IF(BO1020=1,$B1020,BQ1019))</f>
        <v>0</v>
      </c>
      <c r="BR1020">
        <f>IF($A1020="","",IF(BO1020=1,$C1020,MAX($C1020,BR1019)))</f>
        <v>0</v>
      </c>
      <c r="BS1020">
        <f>IF($A1020="","",IF(BO1020=1,$D1020,MIN($D1020,BS1019)))</f>
        <v>0</v>
      </c>
      <c r="BT1020">
        <f>IF($A1020="","",IF(BP1020=1,F1020,""))</f>
        <v>0</v>
      </c>
    </row>
    <row r="1021" spans="1:72">
      <c r="A1021" s="27">
        <f>IF(Data!$A1021="","",Data!$A1021)</f>
        <v>0</v>
      </c>
      <c r="B1021">
        <f>IF(Data!$B1021="","",Data!$B1021)</f>
        <v>0</v>
      </c>
      <c r="C1021">
        <f>IF(Data!$C1021="","",Data!$C1021)</f>
        <v>0</v>
      </c>
      <c r="D1021">
        <f>IF(Data!$D1021="","",Data!$D1021)</f>
        <v>0</v>
      </c>
      <c r="E1021">
        <f>IF(Data!$E1021="","",Data!$E1021)</f>
        <v>0</v>
      </c>
      <c r="F1021">
        <f>IF($E1021="","",N(F1020)+1)</f>
        <v>0</v>
      </c>
      <c r="G1021">
        <f>IF(OR($E1021="",$E1020=""),"",LN($E1021/$E1020))</f>
        <v>0</v>
      </c>
      <c r="H1021">
        <f>IF($E1021="","",IF($E1020="",$E1021,$E1021*0.0952380952+H1020*0.9047619048))</f>
        <v>0</v>
      </c>
      <c r="I1021">
        <f>IF($E1021="","",IF($E1020="",$E1021,$E1021*0.0392156863+I1020*0.9607843137))</f>
        <v>0</v>
      </c>
      <c r="J1021">
        <f>IF($E1021="","",IF($E1020="",$E1021,$E1021*0.0198019802+J1020*0.9801980198))</f>
        <v>0</v>
      </c>
      <c r="K1021">
        <f>IF($E1021="","",IF($E1020="",$E1021,$E1021*0.0099502488+K1020*0.9900497512))</f>
        <v>0</v>
      </c>
      <c r="L1021">
        <f>IF(OR($E1021="",$E1020=""),"",MAX($E1021-$E1020,0))</f>
        <v>0</v>
      </c>
      <c r="M1021">
        <f>IF(OR($E1021="",$E1020=""),"",MAX($E1020-$E1021,0))</f>
        <v>0</v>
      </c>
      <c r="N1021">
        <f>IF(COUNT($E$2:$E1021)&lt;15,"",IF(AVERAGE($M$1008:$M$1021)=0,100,100-100/(1+AVERAGE($L$1008:$L$1021)/AVERAGE($M$1008:$M$1021))))</f>
        <v>0</v>
      </c>
      <c r="O1021">
        <f>IF($E1021="","",IF($E1020="",$E1021,$E1021*0.1538461538+O1020*0.8461538462))</f>
        <v>0</v>
      </c>
      <c r="P1021">
        <f>IF($E1021="","",IF($E1020="",$E1021,$E1021*0.0740740741+P1020*0.9259259259))</f>
        <v>0</v>
      </c>
      <c r="Q1021">
        <f>IF(OR(O1021="",P1021=""),"",O1021-P1021)</f>
        <v>0</v>
      </c>
      <c r="R1021">
        <f>IF(Q1021="","",IF(R1020="",Q1021,Q1021*0.2000000000+R1020*0.8000000000))</f>
        <v>0</v>
      </c>
      <c r="S1021">
        <f>IF(OR(Q1021="",R1021=""),"",Q1021-R1021)</f>
        <v>0</v>
      </c>
      <c r="T1021">
        <f>IF(COUNT($E$2:$E1021)&lt;14,"",MAX($C$1008:$C$1021))</f>
        <v>0</v>
      </c>
      <c r="U1021">
        <f>IF(COUNT($E$2:$E1021)&lt;14,"",MIN($D$1008:$D$1021))</f>
        <v>0</v>
      </c>
      <c r="V1021">
        <f>IF(OR(T1021="",U1021="",T1021=U1021),"",100*($E1021-U1021)/(T1021-U1021))</f>
        <v>0</v>
      </c>
      <c r="W1021">
        <f>IF(COUNT($V$1019:$V$1021)&lt;3,"",AVERAGE($V$1019:$V$1021))</f>
        <v>0</v>
      </c>
      <c r="X1021">
        <f>IF(COUNT($N$1008:$N$1021)&lt;14,"",MIN($N$1008:$N$1021))</f>
        <v>0</v>
      </c>
      <c r="Y1021">
        <f>IF(COUNT($N$1008:$N$1021)&lt;14,"",MAX($N$1008:$N$1021))</f>
        <v>0</v>
      </c>
      <c r="Z1021">
        <f>IF(OR(N1021="",X1021="",Y1021="",Y1021=X1021),"",100*(N1021-X1021)/(Y1021-X1021))</f>
        <v>0</v>
      </c>
      <c r="AA1021">
        <f>IF(COUNT($Z$1019:$Z$1021)&lt;3,"",AVERAGE($Z$1019:$Z$1021))</f>
        <v>0</v>
      </c>
      <c r="AB1021">
        <f>IF(COUNT($AA$1019:$AA$1021)&lt;3,"",AVERAGE($AA$1019:$AA$1021))</f>
        <v>0</v>
      </c>
      <c r="AC1021">
        <f>IF($E1021="","",MAX($C1021-$D1021,ABS($C1021-$E1020),ABS($D1021-$E1020)))</f>
        <v>0</v>
      </c>
      <c r="AD1021">
        <f>IF(COUNT($E$2:$E1021)&lt;15,"",AVERAGE($AC$1008:$AC$1021))</f>
        <v>0</v>
      </c>
      <c r="AE1021">
        <f>IF(OR($E1021="",$E1020=""),"",IF(AND(($C1021-$C1020)&gt;($D1020-$D1021),($C1021-$C1020)&gt;0),$C1021-$C1020,0))</f>
        <v>0</v>
      </c>
      <c r="AF1021">
        <f>IF(OR($E1021="",$E1020=""),"",IF(AND(($D1020-$D1021)&gt;($C1021-$C1020),($D1020-$D1021)&gt;0),$D1020-$D1021,0))</f>
        <v>0</v>
      </c>
      <c r="AG1021">
        <f>IF(COUNT($E$2:$E1021)&lt;15,"",IF(SUM($AC$1008:$AC$1021)=0,0,100*SUM($AE$1008:$AE$1021)/SUM($AC$1008:$AC$1021)))</f>
        <v>0</v>
      </c>
      <c r="AH1021">
        <f>IF(COUNT($E$2:$E1021)&lt;15,"",IF(SUM($AC$1008:$AC$1021)=0,0,100*SUM($AF$1008:$AF$1021)/SUM($AC$1008:$AC$1021)))</f>
        <v>0</v>
      </c>
      <c r="AI1021">
        <f>IF(OR(AG1021="",AH1021=""),"",IF((AG1021+AH1021)=0,0,100*ABS(AG1021-AH1021)/(AG1021+AH1021)))</f>
        <v>0</v>
      </c>
      <c r="AJ1021">
        <f>IF(COUNT($AI$1008:$AI$1021)&lt;14,"",AVERAGE($AI$1008:$AI$1021))</f>
        <v>0</v>
      </c>
      <c r="AK1021">
        <f>IF(COUNT($E$2:$E1021)&lt;20,"",AVERAGE($E$1002:$E$1021))</f>
        <v>0</v>
      </c>
      <c r="AL1021">
        <f>IF(COUNT($E$2:$E1021)&lt;20,"",STDEVP($E$1002:$E$1021))</f>
        <v>0</v>
      </c>
      <c r="AM1021">
        <f>IF(AK1021="","",AK1021+2*AL1021)</f>
        <v>0</v>
      </c>
      <c r="AN1021">
        <f>IF(AK1021="","",AK1021-2*AL1021)</f>
        <v>0</v>
      </c>
      <c r="AO1021">
        <f>IF(OR(AM1021="",AN1021="",AM1021=AN1021),"",($E1021-AN1021)/(AM1021-AN1021))</f>
        <v>0</v>
      </c>
      <c r="AP1021">
        <f>IF(OR(AM1021="",AK1021="",AK1021=0),"",(AM1021-AN1021)/AK1021)</f>
        <v>0</v>
      </c>
      <c r="AQ1021">
        <f>IF(COUNT($E$2:$E1021)&lt;20,"",MAX($C$1002:$C$1021))</f>
        <v>0</v>
      </c>
      <c r="AR1021">
        <f>IF(COUNT($E$2:$E1021)&lt;20,"",MIN($D$1002:$D$1021))</f>
        <v>0</v>
      </c>
      <c r="AS1021">
        <f>IF(OR(AQ1021="",AR1021=""),"",(AQ1021+AR1021)/2)</f>
        <v>0</v>
      </c>
      <c r="AT1021">
        <f>IF(COUNT($G$1002:$G$1021)&lt;20,"",STDEV($G$1002:$G$1021)*SQRT(252))</f>
        <v>0</v>
      </c>
      <c r="AU1021">
        <f>IF(COUNT($E$2:$E1021)&lt;9,"",(MAX($C$1013:$C$1021)+MIN($D$1013:$D$1021))/2)</f>
        <v>0</v>
      </c>
      <c r="AV1021">
        <f>IF(COUNT($E$2:$E1021)&lt;26,"",(MAX($C$996:$C$1021)+MIN($D$996:$D$1021))/2)</f>
        <v>0</v>
      </c>
      <c r="AW1021">
        <f>IF(OR(AU1021="",AV1021=""),"",(AU1021+AV1021)/2)</f>
        <v>0</v>
      </c>
      <c r="AX1021">
        <f>IF(COUNT($E$2:$E1021)&lt;52,"",(MAX($C$970:$C$1021)+MIN($D$970:$D$1021))/2)</f>
        <v>0</v>
      </c>
      <c r="AY1021">
        <f>IF(COUNT($E$2:$E1021)&lt;20,"",MAX($C$922:$C$1021))</f>
        <v>0</v>
      </c>
      <c r="AZ1021">
        <f>IF(COUNT($E$2:$E1021)&lt;20,"",MIN($D$922:$D$1021))</f>
        <v>0</v>
      </c>
      <c r="BA1021">
        <f>IF(COUNT($E$2:$E1021)&lt;20,"",SLOPE($E$922:$E$1021,$F$922:$F$1021))</f>
        <v>0</v>
      </c>
      <c r="BB1021">
        <f>IF(COUNT($E$2:$E1021)&lt;20,"",INTERCEPT($E$922:$E$1021,$F$922:$F$1021))</f>
        <v>0</v>
      </c>
      <c r="BC1021">
        <f>IF(OR(BA1021="",BB1021=""),"",BB1021+BA1021*F1021)</f>
        <v>0</v>
      </c>
      <c r="BD1021">
        <f>IF(COUNT($E$2:$E1021)&lt;20,"",STEYX($E$922:$E$1021,$F$922:$F$1021))</f>
        <v>0</v>
      </c>
      <c r="BE1021">
        <f>IF($E1021="","",IF(AND(COUNT($E$1022:$E$1025)&gt;=4,$C1021=MAX($C$1017:$C$1025)),$C1021,""))</f>
        <v>0</v>
      </c>
      <c r="BF1021">
        <f>IF($E1021="","",IF(AND(COUNT($E$1022:$E$1025)&gt;=4,$D1021=MIN($D$1017:$D$1025)),$D1021,""))</f>
        <v>0</v>
      </c>
      <c r="BG1021">
        <f>IF($A1021="","",$A1021-WEEKDAY($A1021,2)+1)</f>
        <v>0</v>
      </c>
      <c r="BH1021">
        <f>IF($A1021="","",IF($A1020="",1,IF(BG1021&lt;&gt;BG1020,1,0)))</f>
        <v>0</v>
      </c>
      <c r="BI1021">
        <f>IF($A1021="","",IF($A1022="",1,IF(BG1022&lt;&gt;BG1021,1,0)))</f>
        <v>0</v>
      </c>
      <c r="BJ1021">
        <f>IF($A1021="","",IF(BH1021=1,$B1021,BJ1020))</f>
        <v>0</v>
      </c>
      <c r="BK1021">
        <f>IF($A1021="","",IF(BH1021=1,$C1021,MAX($C1021,BK1020)))</f>
        <v>0</v>
      </c>
      <c r="BL1021">
        <f>IF($A1021="","",IF(BH1021=1,$D1021,MIN($D1021,BL1020)))</f>
        <v>0</v>
      </c>
      <c r="BM1021">
        <f>IF($A1021="","",IF(BI1021=1,F1021,""))</f>
        <v>0</v>
      </c>
      <c r="BN1021">
        <f>IF($A1021="","",DATE(YEAR($A1021),MONTH($A1021),1))</f>
        <v>0</v>
      </c>
      <c r="BO1021">
        <f>IF($A1021="","",IF($A1020="",1,IF(BN1021&lt;&gt;BN1020,1,0)))</f>
        <v>0</v>
      </c>
      <c r="BP1021">
        <f>IF($A1021="","",IF($A1022="",1,IF(BN1022&lt;&gt;BN1021,1,0)))</f>
        <v>0</v>
      </c>
      <c r="BQ1021">
        <f>IF($A1021="","",IF(BO1021=1,$B1021,BQ1020))</f>
        <v>0</v>
      </c>
      <c r="BR1021">
        <f>IF($A1021="","",IF(BO1021=1,$C1021,MAX($C1021,BR1020)))</f>
        <v>0</v>
      </c>
      <c r="BS1021">
        <f>IF($A1021="","",IF(BO1021=1,$D1021,MIN($D1021,BS1020)))</f>
        <v>0</v>
      </c>
      <c r="BT1021">
        <f>IF($A1021="","",IF(BP1021=1,F1021,""))</f>
        <v>0</v>
      </c>
    </row>
    <row r="1022" spans="1:72">
      <c r="A1022" s="27">
        <f>IF(Data!$A1022="","",Data!$A1022)</f>
        <v>0</v>
      </c>
      <c r="B1022">
        <f>IF(Data!$B1022="","",Data!$B1022)</f>
        <v>0</v>
      </c>
      <c r="C1022">
        <f>IF(Data!$C1022="","",Data!$C1022)</f>
        <v>0</v>
      </c>
      <c r="D1022">
        <f>IF(Data!$D1022="","",Data!$D1022)</f>
        <v>0</v>
      </c>
      <c r="E1022">
        <f>IF(Data!$E1022="","",Data!$E1022)</f>
        <v>0</v>
      </c>
      <c r="F1022">
        <f>IF($E1022="","",N(F1021)+1)</f>
        <v>0</v>
      </c>
      <c r="G1022">
        <f>IF(OR($E1022="",$E1021=""),"",LN($E1022/$E1021))</f>
        <v>0</v>
      </c>
      <c r="H1022">
        <f>IF($E1022="","",IF($E1021="",$E1022,$E1022*0.0952380952+H1021*0.9047619048))</f>
        <v>0</v>
      </c>
      <c r="I1022">
        <f>IF($E1022="","",IF($E1021="",$E1022,$E1022*0.0392156863+I1021*0.9607843137))</f>
        <v>0</v>
      </c>
      <c r="J1022">
        <f>IF($E1022="","",IF($E1021="",$E1022,$E1022*0.0198019802+J1021*0.9801980198))</f>
        <v>0</v>
      </c>
      <c r="K1022">
        <f>IF($E1022="","",IF($E1021="",$E1022,$E1022*0.0099502488+K1021*0.9900497512))</f>
        <v>0</v>
      </c>
      <c r="L1022">
        <f>IF(OR($E1022="",$E1021=""),"",MAX($E1022-$E1021,0))</f>
        <v>0</v>
      </c>
      <c r="M1022">
        <f>IF(OR($E1022="",$E1021=""),"",MAX($E1021-$E1022,0))</f>
        <v>0</v>
      </c>
      <c r="N1022">
        <f>IF(COUNT($E$2:$E1022)&lt;15,"",IF(AVERAGE($M$1009:$M$1022)=0,100,100-100/(1+AVERAGE($L$1009:$L$1022)/AVERAGE($M$1009:$M$1022))))</f>
        <v>0</v>
      </c>
      <c r="O1022">
        <f>IF($E1022="","",IF($E1021="",$E1022,$E1022*0.1538461538+O1021*0.8461538462))</f>
        <v>0</v>
      </c>
      <c r="P1022">
        <f>IF($E1022="","",IF($E1021="",$E1022,$E1022*0.0740740741+P1021*0.9259259259))</f>
        <v>0</v>
      </c>
      <c r="Q1022">
        <f>IF(OR(O1022="",P1022=""),"",O1022-P1022)</f>
        <v>0</v>
      </c>
      <c r="R1022">
        <f>IF(Q1022="","",IF(R1021="",Q1022,Q1022*0.2000000000+R1021*0.8000000000))</f>
        <v>0</v>
      </c>
      <c r="S1022">
        <f>IF(OR(Q1022="",R1022=""),"",Q1022-R1022)</f>
        <v>0</v>
      </c>
      <c r="T1022">
        <f>IF(COUNT($E$2:$E1022)&lt;14,"",MAX($C$1009:$C$1022))</f>
        <v>0</v>
      </c>
      <c r="U1022">
        <f>IF(COUNT($E$2:$E1022)&lt;14,"",MIN($D$1009:$D$1022))</f>
        <v>0</v>
      </c>
      <c r="V1022">
        <f>IF(OR(T1022="",U1022="",T1022=U1022),"",100*($E1022-U1022)/(T1022-U1022))</f>
        <v>0</v>
      </c>
      <c r="W1022">
        <f>IF(COUNT($V$1020:$V$1022)&lt;3,"",AVERAGE($V$1020:$V$1022))</f>
        <v>0</v>
      </c>
      <c r="X1022">
        <f>IF(COUNT($N$1009:$N$1022)&lt;14,"",MIN($N$1009:$N$1022))</f>
        <v>0</v>
      </c>
      <c r="Y1022">
        <f>IF(COUNT($N$1009:$N$1022)&lt;14,"",MAX($N$1009:$N$1022))</f>
        <v>0</v>
      </c>
      <c r="Z1022">
        <f>IF(OR(N1022="",X1022="",Y1022="",Y1022=X1022),"",100*(N1022-X1022)/(Y1022-X1022))</f>
        <v>0</v>
      </c>
      <c r="AA1022">
        <f>IF(COUNT($Z$1020:$Z$1022)&lt;3,"",AVERAGE($Z$1020:$Z$1022))</f>
        <v>0</v>
      </c>
      <c r="AB1022">
        <f>IF(COUNT($AA$1020:$AA$1022)&lt;3,"",AVERAGE($AA$1020:$AA$1022))</f>
        <v>0</v>
      </c>
      <c r="AC1022">
        <f>IF($E1022="","",MAX($C1022-$D1022,ABS($C1022-$E1021),ABS($D1022-$E1021)))</f>
        <v>0</v>
      </c>
      <c r="AD1022">
        <f>IF(COUNT($E$2:$E1022)&lt;15,"",AVERAGE($AC$1009:$AC$1022))</f>
        <v>0</v>
      </c>
      <c r="AE1022">
        <f>IF(OR($E1022="",$E1021=""),"",IF(AND(($C1022-$C1021)&gt;($D1021-$D1022),($C1022-$C1021)&gt;0),$C1022-$C1021,0))</f>
        <v>0</v>
      </c>
      <c r="AF1022">
        <f>IF(OR($E1022="",$E1021=""),"",IF(AND(($D1021-$D1022)&gt;($C1022-$C1021),($D1021-$D1022)&gt;0),$D1021-$D1022,0))</f>
        <v>0</v>
      </c>
      <c r="AG1022">
        <f>IF(COUNT($E$2:$E1022)&lt;15,"",IF(SUM($AC$1009:$AC$1022)=0,0,100*SUM($AE$1009:$AE$1022)/SUM($AC$1009:$AC$1022)))</f>
        <v>0</v>
      </c>
      <c r="AH1022">
        <f>IF(COUNT($E$2:$E1022)&lt;15,"",IF(SUM($AC$1009:$AC$1022)=0,0,100*SUM($AF$1009:$AF$1022)/SUM($AC$1009:$AC$1022)))</f>
        <v>0</v>
      </c>
      <c r="AI1022">
        <f>IF(OR(AG1022="",AH1022=""),"",IF((AG1022+AH1022)=0,0,100*ABS(AG1022-AH1022)/(AG1022+AH1022)))</f>
        <v>0</v>
      </c>
      <c r="AJ1022">
        <f>IF(COUNT($AI$1009:$AI$1022)&lt;14,"",AVERAGE($AI$1009:$AI$1022))</f>
        <v>0</v>
      </c>
      <c r="AK1022">
        <f>IF(COUNT($E$2:$E1022)&lt;20,"",AVERAGE($E$1003:$E$1022))</f>
        <v>0</v>
      </c>
      <c r="AL1022">
        <f>IF(COUNT($E$2:$E1022)&lt;20,"",STDEVP($E$1003:$E$1022))</f>
        <v>0</v>
      </c>
      <c r="AM1022">
        <f>IF(AK1022="","",AK1022+2*AL1022)</f>
        <v>0</v>
      </c>
      <c r="AN1022">
        <f>IF(AK1022="","",AK1022-2*AL1022)</f>
        <v>0</v>
      </c>
      <c r="AO1022">
        <f>IF(OR(AM1022="",AN1022="",AM1022=AN1022),"",($E1022-AN1022)/(AM1022-AN1022))</f>
        <v>0</v>
      </c>
      <c r="AP1022">
        <f>IF(OR(AM1022="",AK1022="",AK1022=0),"",(AM1022-AN1022)/AK1022)</f>
        <v>0</v>
      </c>
      <c r="AQ1022">
        <f>IF(COUNT($E$2:$E1022)&lt;20,"",MAX($C$1003:$C$1022))</f>
        <v>0</v>
      </c>
      <c r="AR1022">
        <f>IF(COUNT($E$2:$E1022)&lt;20,"",MIN($D$1003:$D$1022))</f>
        <v>0</v>
      </c>
      <c r="AS1022">
        <f>IF(OR(AQ1022="",AR1022=""),"",(AQ1022+AR1022)/2)</f>
        <v>0</v>
      </c>
      <c r="AT1022">
        <f>IF(COUNT($G$1003:$G$1022)&lt;20,"",STDEV($G$1003:$G$1022)*SQRT(252))</f>
        <v>0</v>
      </c>
      <c r="AU1022">
        <f>IF(COUNT($E$2:$E1022)&lt;9,"",(MAX($C$1014:$C$1022)+MIN($D$1014:$D$1022))/2)</f>
        <v>0</v>
      </c>
      <c r="AV1022">
        <f>IF(COUNT($E$2:$E1022)&lt;26,"",(MAX($C$997:$C$1022)+MIN($D$997:$D$1022))/2)</f>
        <v>0</v>
      </c>
      <c r="AW1022">
        <f>IF(OR(AU1022="",AV1022=""),"",(AU1022+AV1022)/2)</f>
        <v>0</v>
      </c>
      <c r="AX1022">
        <f>IF(COUNT($E$2:$E1022)&lt;52,"",(MAX($C$971:$C$1022)+MIN($D$971:$D$1022))/2)</f>
        <v>0</v>
      </c>
      <c r="AY1022">
        <f>IF(COUNT($E$2:$E1022)&lt;20,"",MAX($C$923:$C$1022))</f>
        <v>0</v>
      </c>
      <c r="AZ1022">
        <f>IF(COUNT($E$2:$E1022)&lt;20,"",MIN($D$923:$D$1022))</f>
        <v>0</v>
      </c>
      <c r="BA1022">
        <f>IF(COUNT($E$2:$E1022)&lt;20,"",SLOPE($E$923:$E$1022,$F$923:$F$1022))</f>
        <v>0</v>
      </c>
      <c r="BB1022">
        <f>IF(COUNT($E$2:$E1022)&lt;20,"",INTERCEPT($E$923:$E$1022,$F$923:$F$1022))</f>
        <v>0</v>
      </c>
      <c r="BC1022">
        <f>IF(OR(BA1022="",BB1022=""),"",BB1022+BA1022*F1022)</f>
        <v>0</v>
      </c>
      <c r="BD1022">
        <f>IF(COUNT($E$2:$E1022)&lt;20,"",STEYX($E$923:$E$1022,$F$923:$F$1022))</f>
        <v>0</v>
      </c>
      <c r="BE1022">
        <f>IF($E1022="","",IF(AND(COUNT($E$1023:$E$1026)&gt;=4,$C1022=MAX($C$1018:$C$1026)),$C1022,""))</f>
        <v>0</v>
      </c>
      <c r="BF1022">
        <f>IF($E1022="","",IF(AND(COUNT($E$1023:$E$1026)&gt;=4,$D1022=MIN($D$1018:$D$1026)),$D1022,""))</f>
        <v>0</v>
      </c>
      <c r="BG1022">
        <f>IF($A1022="","",$A1022-WEEKDAY($A1022,2)+1)</f>
        <v>0</v>
      </c>
      <c r="BH1022">
        <f>IF($A1022="","",IF($A1021="",1,IF(BG1022&lt;&gt;BG1021,1,0)))</f>
        <v>0</v>
      </c>
      <c r="BI1022">
        <f>IF($A1022="","",IF($A1023="",1,IF(BG1023&lt;&gt;BG1022,1,0)))</f>
        <v>0</v>
      </c>
      <c r="BJ1022">
        <f>IF($A1022="","",IF(BH1022=1,$B1022,BJ1021))</f>
        <v>0</v>
      </c>
      <c r="BK1022">
        <f>IF($A1022="","",IF(BH1022=1,$C1022,MAX($C1022,BK1021)))</f>
        <v>0</v>
      </c>
      <c r="BL1022">
        <f>IF($A1022="","",IF(BH1022=1,$D1022,MIN($D1022,BL1021)))</f>
        <v>0</v>
      </c>
      <c r="BM1022">
        <f>IF($A1022="","",IF(BI1022=1,F1022,""))</f>
        <v>0</v>
      </c>
      <c r="BN1022">
        <f>IF($A1022="","",DATE(YEAR($A1022),MONTH($A1022),1))</f>
        <v>0</v>
      </c>
      <c r="BO1022">
        <f>IF($A1022="","",IF($A1021="",1,IF(BN1022&lt;&gt;BN1021,1,0)))</f>
        <v>0</v>
      </c>
      <c r="BP1022">
        <f>IF($A1022="","",IF($A1023="",1,IF(BN1023&lt;&gt;BN1022,1,0)))</f>
        <v>0</v>
      </c>
      <c r="BQ1022">
        <f>IF($A1022="","",IF(BO1022=1,$B1022,BQ1021))</f>
        <v>0</v>
      </c>
      <c r="BR1022">
        <f>IF($A1022="","",IF(BO1022=1,$C1022,MAX($C1022,BR1021)))</f>
        <v>0</v>
      </c>
      <c r="BS1022">
        <f>IF($A1022="","",IF(BO1022=1,$D1022,MIN($D1022,BS1021)))</f>
        <v>0</v>
      </c>
      <c r="BT1022">
        <f>IF($A1022="","",IF(BP1022=1,F1022,""))</f>
        <v>0</v>
      </c>
    </row>
    <row r="1023" spans="1:72">
      <c r="A1023" s="27">
        <f>IF(Data!$A1023="","",Data!$A1023)</f>
        <v>0</v>
      </c>
      <c r="B1023">
        <f>IF(Data!$B1023="","",Data!$B1023)</f>
        <v>0</v>
      </c>
      <c r="C1023">
        <f>IF(Data!$C1023="","",Data!$C1023)</f>
        <v>0</v>
      </c>
      <c r="D1023">
        <f>IF(Data!$D1023="","",Data!$D1023)</f>
        <v>0</v>
      </c>
      <c r="E1023">
        <f>IF(Data!$E1023="","",Data!$E1023)</f>
        <v>0</v>
      </c>
      <c r="F1023">
        <f>IF($E1023="","",N(F1022)+1)</f>
        <v>0</v>
      </c>
      <c r="G1023">
        <f>IF(OR($E1023="",$E1022=""),"",LN($E1023/$E1022))</f>
        <v>0</v>
      </c>
      <c r="H1023">
        <f>IF($E1023="","",IF($E1022="",$E1023,$E1023*0.0952380952+H1022*0.9047619048))</f>
        <v>0</v>
      </c>
      <c r="I1023">
        <f>IF($E1023="","",IF($E1022="",$E1023,$E1023*0.0392156863+I1022*0.9607843137))</f>
        <v>0</v>
      </c>
      <c r="J1023">
        <f>IF($E1023="","",IF($E1022="",$E1023,$E1023*0.0198019802+J1022*0.9801980198))</f>
        <v>0</v>
      </c>
      <c r="K1023">
        <f>IF($E1023="","",IF($E1022="",$E1023,$E1023*0.0099502488+K1022*0.9900497512))</f>
        <v>0</v>
      </c>
      <c r="L1023">
        <f>IF(OR($E1023="",$E1022=""),"",MAX($E1023-$E1022,0))</f>
        <v>0</v>
      </c>
      <c r="M1023">
        <f>IF(OR($E1023="",$E1022=""),"",MAX($E1022-$E1023,0))</f>
        <v>0</v>
      </c>
      <c r="N1023">
        <f>IF(COUNT($E$2:$E1023)&lt;15,"",IF(AVERAGE($M$1010:$M$1023)=0,100,100-100/(1+AVERAGE($L$1010:$L$1023)/AVERAGE($M$1010:$M$1023))))</f>
        <v>0</v>
      </c>
      <c r="O1023">
        <f>IF($E1023="","",IF($E1022="",$E1023,$E1023*0.1538461538+O1022*0.8461538462))</f>
        <v>0</v>
      </c>
      <c r="P1023">
        <f>IF($E1023="","",IF($E1022="",$E1023,$E1023*0.0740740741+P1022*0.9259259259))</f>
        <v>0</v>
      </c>
      <c r="Q1023">
        <f>IF(OR(O1023="",P1023=""),"",O1023-P1023)</f>
        <v>0</v>
      </c>
      <c r="R1023">
        <f>IF(Q1023="","",IF(R1022="",Q1023,Q1023*0.2000000000+R1022*0.8000000000))</f>
        <v>0</v>
      </c>
      <c r="S1023">
        <f>IF(OR(Q1023="",R1023=""),"",Q1023-R1023)</f>
        <v>0</v>
      </c>
      <c r="T1023">
        <f>IF(COUNT($E$2:$E1023)&lt;14,"",MAX($C$1010:$C$1023))</f>
        <v>0</v>
      </c>
      <c r="U1023">
        <f>IF(COUNT($E$2:$E1023)&lt;14,"",MIN($D$1010:$D$1023))</f>
        <v>0</v>
      </c>
      <c r="V1023">
        <f>IF(OR(T1023="",U1023="",T1023=U1023),"",100*($E1023-U1023)/(T1023-U1023))</f>
        <v>0</v>
      </c>
      <c r="W1023">
        <f>IF(COUNT($V$1021:$V$1023)&lt;3,"",AVERAGE($V$1021:$V$1023))</f>
        <v>0</v>
      </c>
      <c r="X1023">
        <f>IF(COUNT($N$1010:$N$1023)&lt;14,"",MIN($N$1010:$N$1023))</f>
        <v>0</v>
      </c>
      <c r="Y1023">
        <f>IF(COUNT($N$1010:$N$1023)&lt;14,"",MAX($N$1010:$N$1023))</f>
        <v>0</v>
      </c>
      <c r="Z1023">
        <f>IF(OR(N1023="",X1023="",Y1023="",Y1023=X1023),"",100*(N1023-X1023)/(Y1023-X1023))</f>
        <v>0</v>
      </c>
      <c r="AA1023">
        <f>IF(COUNT($Z$1021:$Z$1023)&lt;3,"",AVERAGE($Z$1021:$Z$1023))</f>
        <v>0</v>
      </c>
      <c r="AB1023">
        <f>IF(COUNT($AA$1021:$AA$1023)&lt;3,"",AVERAGE($AA$1021:$AA$1023))</f>
        <v>0</v>
      </c>
      <c r="AC1023">
        <f>IF($E1023="","",MAX($C1023-$D1023,ABS($C1023-$E1022),ABS($D1023-$E1022)))</f>
        <v>0</v>
      </c>
      <c r="AD1023">
        <f>IF(COUNT($E$2:$E1023)&lt;15,"",AVERAGE($AC$1010:$AC$1023))</f>
        <v>0</v>
      </c>
      <c r="AE1023">
        <f>IF(OR($E1023="",$E1022=""),"",IF(AND(($C1023-$C1022)&gt;($D1022-$D1023),($C1023-$C1022)&gt;0),$C1023-$C1022,0))</f>
        <v>0</v>
      </c>
      <c r="AF1023">
        <f>IF(OR($E1023="",$E1022=""),"",IF(AND(($D1022-$D1023)&gt;($C1023-$C1022),($D1022-$D1023)&gt;0),$D1022-$D1023,0))</f>
        <v>0</v>
      </c>
      <c r="AG1023">
        <f>IF(COUNT($E$2:$E1023)&lt;15,"",IF(SUM($AC$1010:$AC$1023)=0,0,100*SUM($AE$1010:$AE$1023)/SUM($AC$1010:$AC$1023)))</f>
        <v>0</v>
      </c>
      <c r="AH1023">
        <f>IF(COUNT($E$2:$E1023)&lt;15,"",IF(SUM($AC$1010:$AC$1023)=0,0,100*SUM($AF$1010:$AF$1023)/SUM($AC$1010:$AC$1023)))</f>
        <v>0</v>
      </c>
      <c r="AI1023">
        <f>IF(OR(AG1023="",AH1023=""),"",IF((AG1023+AH1023)=0,0,100*ABS(AG1023-AH1023)/(AG1023+AH1023)))</f>
        <v>0</v>
      </c>
      <c r="AJ1023">
        <f>IF(COUNT($AI$1010:$AI$1023)&lt;14,"",AVERAGE($AI$1010:$AI$1023))</f>
        <v>0</v>
      </c>
      <c r="AK1023">
        <f>IF(COUNT($E$2:$E1023)&lt;20,"",AVERAGE($E$1004:$E$1023))</f>
        <v>0</v>
      </c>
      <c r="AL1023">
        <f>IF(COUNT($E$2:$E1023)&lt;20,"",STDEVP($E$1004:$E$1023))</f>
        <v>0</v>
      </c>
      <c r="AM1023">
        <f>IF(AK1023="","",AK1023+2*AL1023)</f>
        <v>0</v>
      </c>
      <c r="AN1023">
        <f>IF(AK1023="","",AK1023-2*AL1023)</f>
        <v>0</v>
      </c>
      <c r="AO1023">
        <f>IF(OR(AM1023="",AN1023="",AM1023=AN1023),"",($E1023-AN1023)/(AM1023-AN1023))</f>
        <v>0</v>
      </c>
      <c r="AP1023">
        <f>IF(OR(AM1023="",AK1023="",AK1023=0),"",(AM1023-AN1023)/AK1023)</f>
        <v>0</v>
      </c>
      <c r="AQ1023">
        <f>IF(COUNT($E$2:$E1023)&lt;20,"",MAX($C$1004:$C$1023))</f>
        <v>0</v>
      </c>
      <c r="AR1023">
        <f>IF(COUNT($E$2:$E1023)&lt;20,"",MIN($D$1004:$D$1023))</f>
        <v>0</v>
      </c>
      <c r="AS1023">
        <f>IF(OR(AQ1023="",AR1023=""),"",(AQ1023+AR1023)/2)</f>
        <v>0</v>
      </c>
      <c r="AT1023">
        <f>IF(COUNT($G$1004:$G$1023)&lt;20,"",STDEV($G$1004:$G$1023)*SQRT(252))</f>
        <v>0</v>
      </c>
      <c r="AU1023">
        <f>IF(COUNT($E$2:$E1023)&lt;9,"",(MAX($C$1015:$C$1023)+MIN($D$1015:$D$1023))/2)</f>
        <v>0</v>
      </c>
      <c r="AV1023">
        <f>IF(COUNT($E$2:$E1023)&lt;26,"",(MAX($C$998:$C$1023)+MIN($D$998:$D$1023))/2)</f>
        <v>0</v>
      </c>
      <c r="AW1023">
        <f>IF(OR(AU1023="",AV1023=""),"",(AU1023+AV1023)/2)</f>
        <v>0</v>
      </c>
      <c r="AX1023">
        <f>IF(COUNT($E$2:$E1023)&lt;52,"",(MAX($C$972:$C$1023)+MIN($D$972:$D$1023))/2)</f>
        <v>0</v>
      </c>
      <c r="AY1023">
        <f>IF(COUNT($E$2:$E1023)&lt;20,"",MAX($C$924:$C$1023))</f>
        <v>0</v>
      </c>
      <c r="AZ1023">
        <f>IF(COUNT($E$2:$E1023)&lt;20,"",MIN($D$924:$D$1023))</f>
        <v>0</v>
      </c>
      <c r="BA1023">
        <f>IF(COUNT($E$2:$E1023)&lt;20,"",SLOPE($E$924:$E$1023,$F$924:$F$1023))</f>
        <v>0</v>
      </c>
      <c r="BB1023">
        <f>IF(COUNT($E$2:$E1023)&lt;20,"",INTERCEPT($E$924:$E$1023,$F$924:$F$1023))</f>
        <v>0</v>
      </c>
      <c r="BC1023">
        <f>IF(OR(BA1023="",BB1023=""),"",BB1023+BA1023*F1023)</f>
        <v>0</v>
      </c>
      <c r="BD1023">
        <f>IF(COUNT($E$2:$E1023)&lt;20,"",STEYX($E$924:$E$1023,$F$924:$F$1023))</f>
        <v>0</v>
      </c>
      <c r="BE1023">
        <f>IF($E1023="","",IF(AND(COUNT($E$1024:$E$1027)&gt;=4,$C1023=MAX($C$1019:$C$1027)),$C1023,""))</f>
        <v>0</v>
      </c>
      <c r="BF1023">
        <f>IF($E1023="","",IF(AND(COUNT($E$1024:$E$1027)&gt;=4,$D1023=MIN($D$1019:$D$1027)),$D1023,""))</f>
        <v>0</v>
      </c>
      <c r="BG1023">
        <f>IF($A1023="","",$A1023-WEEKDAY($A1023,2)+1)</f>
        <v>0</v>
      </c>
      <c r="BH1023">
        <f>IF($A1023="","",IF($A1022="",1,IF(BG1023&lt;&gt;BG1022,1,0)))</f>
        <v>0</v>
      </c>
      <c r="BI1023">
        <f>IF($A1023="","",IF($A1024="",1,IF(BG1024&lt;&gt;BG1023,1,0)))</f>
        <v>0</v>
      </c>
      <c r="BJ1023">
        <f>IF($A1023="","",IF(BH1023=1,$B1023,BJ1022))</f>
        <v>0</v>
      </c>
      <c r="BK1023">
        <f>IF($A1023="","",IF(BH1023=1,$C1023,MAX($C1023,BK1022)))</f>
        <v>0</v>
      </c>
      <c r="BL1023">
        <f>IF($A1023="","",IF(BH1023=1,$D1023,MIN($D1023,BL1022)))</f>
        <v>0</v>
      </c>
      <c r="BM1023">
        <f>IF($A1023="","",IF(BI1023=1,F1023,""))</f>
        <v>0</v>
      </c>
      <c r="BN1023">
        <f>IF($A1023="","",DATE(YEAR($A1023),MONTH($A1023),1))</f>
        <v>0</v>
      </c>
      <c r="BO1023">
        <f>IF($A1023="","",IF($A1022="",1,IF(BN1023&lt;&gt;BN1022,1,0)))</f>
        <v>0</v>
      </c>
      <c r="BP1023">
        <f>IF($A1023="","",IF($A1024="",1,IF(BN1024&lt;&gt;BN1023,1,0)))</f>
        <v>0</v>
      </c>
      <c r="BQ1023">
        <f>IF($A1023="","",IF(BO1023=1,$B1023,BQ1022))</f>
        <v>0</v>
      </c>
      <c r="BR1023">
        <f>IF($A1023="","",IF(BO1023=1,$C1023,MAX($C1023,BR1022)))</f>
        <v>0</v>
      </c>
      <c r="BS1023">
        <f>IF($A1023="","",IF(BO1023=1,$D1023,MIN($D1023,BS1022)))</f>
        <v>0</v>
      </c>
      <c r="BT1023">
        <f>IF($A1023="","",IF(BP1023=1,F1023,""))</f>
        <v>0</v>
      </c>
    </row>
    <row r="1024" spans="1:72">
      <c r="A1024" s="27">
        <f>IF(Data!$A1024="","",Data!$A1024)</f>
        <v>0</v>
      </c>
      <c r="B1024">
        <f>IF(Data!$B1024="","",Data!$B1024)</f>
        <v>0</v>
      </c>
      <c r="C1024">
        <f>IF(Data!$C1024="","",Data!$C1024)</f>
        <v>0</v>
      </c>
      <c r="D1024">
        <f>IF(Data!$D1024="","",Data!$D1024)</f>
        <v>0</v>
      </c>
      <c r="E1024">
        <f>IF(Data!$E1024="","",Data!$E1024)</f>
        <v>0</v>
      </c>
      <c r="F1024">
        <f>IF($E1024="","",N(F1023)+1)</f>
        <v>0</v>
      </c>
      <c r="G1024">
        <f>IF(OR($E1024="",$E1023=""),"",LN($E1024/$E1023))</f>
        <v>0</v>
      </c>
      <c r="H1024">
        <f>IF($E1024="","",IF($E1023="",$E1024,$E1024*0.0952380952+H1023*0.9047619048))</f>
        <v>0</v>
      </c>
      <c r="I1024">
        <f>IF($E1024="","",IF($E1023="",$E1024,$E1024*0.0392156863+I1023*0.9607843137))</f>
        <v>0</v>
      </c>
      <c r="J1024">
        <f>IF($E1024="","",IF($E1023="",$E1024,$E1024*0.0198019802+J1023*0.9801980198))</f>
        <v>0</v>
      </c>
      <c r="K1024">
        <f>IF($E1024="","",IF($E1023="",$E1024,$E1024*0.0099502488+K1023*0.9900497512))</f>
        <v>0</v>
      </c>
      <c r="L1024">
        <f>IF(OR($E1024="",$E1023=""),"",MAX($E1024-$E1023,0))</f>
        <v>0</v>
      </c>
      <c r="M1024">
        <f>IF(OR($E1024="",$E1023=""),"",MAX($E1023-$E1024,0))</f>
        <v>0</v>
      </c>
      <c r="N1024">
        <f>IF(COUNT($E$2:$E1024)&lt;15,"",IF(AVERAGE($M$1011:$M$1024)=0,100,100-100/(1+AVERAGE($L$1011:$L$1024)/AVERAGE($M$1011:$M$1024))))</f>
        <v>0</v>
      </c>
      <c r="O1024">
        <f>IF($E1024="","",IF($E1023="",$E1024,$E1024*0.1538461538+O1023*0.8461538462))</f>
        <v>0</v>
      </c>
      <c r="P1024">
        <f>IF($E1024="","",IF($E1023="",$E1024,$E1024*0.0740740741+P1023*0.9259259259))</f>
        <v>0</v>
      </c>
      <c r="Q1024">
        <f>IF(OR(O1024="",P1024=""),"",O1024-P1024)</f>
        <v>0</v>
      </c>
      <c r="R1024">
        <f>IF(Q1024="","",IF(R1023="",Q1024,Q1024*0.2000000000+R1023*0.8000000000))</f>
        <v>0</v>
      </c>
      <c r="S1024">
        <f>IF(OR(Q1024="",R1024=""),"",Q1024-R1024)</f>
        <v>0</v>
      </c>
      <c r="T1024">
        <f>IF(COUNT($E$2:$E1024)&lt;14,"",MAX($C$1011:$C$1024))</f>
        <v>0</v>
      </c>
      <c r="U1024">
        <f>IF(COUNT($E$2:$E1024)&lt;14,"",MIN($D$1011:$D$1024))</f>
        <v>0</v>
      </c>
      <c r="V1024">
        <f>IF(OR(T1024="",U1024="",T1024=U1024),"",100*($E1024-U1024)/(T1024-U1024))</f>
        <v>0</v>
      </c>
      <c r="W1024">
        <f>IF(COUNT($V$1022:$V$1024)&lt;3,"",AVERAGE($V$1022:$V$1024))</f>
        <v>0</v>
      </c>
      <c r="X1024">
        <f>IF(COUNT($N$1011:$N$1024)&lt;14,"",MIN($N$1011:$N$1024))</f>
        <v>0</v>
      </c>
      <c r="Y1024">
        <f>IF(COUNT($N$1011:$N$1024)&lt;14,"",MAX($N$1011:$N$1024))</f>
        <v>0</v>
      </c>
      <c r="Z1024">
        <f>IF(OR(N1024="",X1024="",Y1024="",Y1024=X1024),"",100*(N1024-X1024)/(Y1024-X1024))</f>
        <v>0</v>
      </c>
      <c r="AA1024">
        <f>IF(COUNT($Z$1022:$Z$1024)&lt;3,"",AVERAGE($Z$1022:$Z$1024))</f>
        <v>0</v>
      </c>
      <c r="AB1024">
        <f>IF(COUNT($AA$1022:$AA$1024)&lt;3,"",AVERAGE($AA$1022:$AA$1024))</f>
        <v>0</v>
      </c>
      <c r="AC1024">
        <f>IF($E1024="","",MAX($C1024-$D1024,ABS($C1024-$E1023),ABS($D1024-$E1023)))</f>
        <v>0</v>
      </c>
      <c r="AD1024">
        <f>IF(COUNT($E$2:$E1024)&lt;15,"",AVERAGE($AC$1011:$AC$1024))</f>
        <v>0</v>
      </c>
      <c r="AE1024">
        <f>IF(OR($E1024="",$E1023=""),"",IF(AND(($C1024-$C1023)&gt;($D1023-$D1024),($C1024-$C1023)&gt;0),$C1024-$C1023,0))</f>
        <v>0</v>
      </c>
      <c r="AF1024">
        <f>IF(OR($E1024="",$E1023=""),"",IF(AND(($D1023-$D1024)&gt;($C1024-$C1023),($D1023-$D1024)&gt;0),$D1023-$D1024,0))</f>
        <v>0</v>
      </c>
      <c r="AG1024">
        <f>IF(COUNT($E$2:$E1024)&lt;15,"",IF(SUM($AC$1011:$AC$1024)=0,0,100*SUM($AE$1011:$AE$1024)/SUM($AC$1011:$AC$1024)))</f>
        <v>0</v>
      </c>
      <c r="AH1024">
        <f>IF(COUNT($E$2:$E1024)&lt;15,"",IF(SUM($AC$1011:$AC$1024)=0,0,100*SUM($AF$1011:$AF$1024)/SUM($AC$1011:$AC$1024)))</f>
        <v>0</v>
      </c>
      <c r="AI1024">
        <f>IF(OR(AG1024="",AH1024=""),"",IF((AG1024+AH1024)=0,0,100*ABS(AG1024-AH1024)/(AG1024+AH1024)))</f>
        <v>0</v>
      </c>
      <c r="AJ1024">
        <f>IF(COUNT($AI$1011:$AI$1024)&lt;14,"",AVERAGE($AI$1011:$AI$1024))</f>
        <v>0</v>
      </c>
      <c r="AK1024">
        <f>IF(COUNT($E$2:$E1024)&lt;20,"",AVERAGE($E$1005:$E$1024))</f>
        <v>0</v>
      </c>
      <c r="AL1024">
        <f>IF(COUNT($E$2:$E1024)&lt;20,"",STDEVP($E$1005:$E$1024))</f>
        <v>0</v>
      </c>
      <c r="AM1024">
        <f>IF(AK1024="","",AK1024+2*AL1024)</f>
        <v>0</v>
      </c>
      <c r="AN1024">
        <f>IF(AK1024="","",AK1024-2*AL1024)</f>
        <v>0</v>
      </c>
      <c r="AO1024">
        <f>IF(OR(AM1024="",AN1024="",AM1024=AN1024),"",($E1024-AN1024)/(AM1024-AN1024))</f>
        <v>0</v>
      </c>
      <c r="AP1024">
        <f>IF(OR(AM1024="",AK1024="",AK1024=0),"",(AM1024-AN1024)/AK1024)</f>
        <v>0</v>
      </c>
      <c r="AQ1024">
        <f>IF(COUNT($E$2:$E1024)&lt;20,"",MAX($C$1005:$C$1024))</f>
        <v>0</v>
      </c>
      <c r="AR1024">
        <f>IF(COUNT($E$2:$E1024)&lt;20,"",MIN($D$1005:$D$1024))</f>
        <v>0</v>
      </c>
      <c r="AS1024">
        <f>IF(OR(AQ1024="",AR1024=""),"",(AQ1024+AR1024)/2)</f>
        <v>0</v>
      </c>
      <c r="AT1024">
        <f>IF(COUNT($G$1005:$G$1024)&lt;20,"",STDEV($G$1005:$G$1024)*SQRT(252))</f>
        <v>0</v>
      </c>
      <c r="AU1024">
        <f>IF(COUNT($E$2:$E1024)&lt;9,"",(MAX($C$1016:$C$1024)+MIN($D$1016:$D$1024))/2)</f>
        <v>0</v>
      </c>
      <c r="AV1024">
        <f>IF(COUNT($E$2:$E1024)&lt;26,"",(MAX($C$999:$C$1024)+MIN($D$999:$D$1024))/2)</f>
        <v>0</v>
      </c>
      <c r="AW1024">
        <f>IF(OR(AU1024="",AV1024=""),"",(AU1024+AV1024)/2)</f>
        <v>0</v>
      </c>
      <c r="AX1024">
        <f>IF(COUNT($E$2:$E1024)&lt;52,"",(MAX($C$973:$C$1024)+MIN($D$973:$D$1024))/2)</f>
        <v>0</v>
      </c>
      <c r="AY1024">
        <f>IF(COUNT($E$2:$E1024)&lt;20,"",MAX($C$925:$C$1024))</f>
        <v>0</v>
      </c>
      <c r="AZ1024">
        <f>IF(COUNT($E$2:$E1024)&lt;20,"",MIN($D$925:$D$1024))</f>
        <v>0</v>
      </c>
      <c r="BA1024">
        <f>IF(COUNT($E$2:$E1024)&lt;20,"",SLOPE($E$925:$E$1024,$F$925:$F$1024))</f>
        <v>0</v>
      </c>
      <c r="BB1024">
        <f>IF(COUNT($E$2:$E1024)&lt;20,"",INTERCEPT($E$925:$E$1024,$F$925:$F$1024))</f>
        <v>0</v>
      </c>
      <c r="BC1024">
        <f>IF(OR(BA1024="",BB1024=""),"",BB1024+BA1024*F1024)</f>
        <v>0</v>
      </c>
      <c r="BD1024">
        <f>IF(COUNT($E$2:$E1024)&lt;20,"",STEYX($E$925:$E$1024,$F$925:$F$1024))</f>
        <v>0</v>
      </c>
      <c r="BE1024">
        <f>IF($E1024="","",IF(AND(COUNT($E$1025:$E$1028)&gt;=4,$C1024=MAX($C$1020:$C$1028)),$C1024,""))</f>
        <v>0</v>
      </c>
      <c r="BF1024">
        <f>IF($E1024="","",IF(AND(COUNT($E$1025:$E$1028)&gt;=4,$D1024=MIN($D$1020:$D$1028)),$D1024,""))</f>
        <v>0</v>
      </c>
      <c r="BG1024">
        <f>IF($A1024="","",$A1024-WEEKDAY($A1024,2)+1)</f>
        <v>0</v>
      </c>
      <c r="BH1024">
        <f>IF($A1024="","",IF($A1023="",1,IF(BG1024&lt;&gt;BG1023,1,0)))</f>
        <v>0</v>
      </c>
      <c r="BI1024">
        <f>IF($A1024="","",IF($A1025="",1,IF(BG1025&lt;&gt;BG1024,1,0)))</f>
        <v>0</v>
      </c>
      <c r="BJ1024">
        <f>IF($A1024="","",IF(BH1024=1,$B1024,BJ1023))</f>
        <v>0</v>
      </c>
      <c r="BK1024">
        <f>IF($A1024="","",IF(BH1024=1,$C1024,MAX($C1024,BK1023)))</f>
        <v>0</v>
      </c>
      <c r="BL1024">
        <f>IF($A1024="","",IF(BH1024=1,$D1024,MIN($D1024,BL1023)))</f>
        <v>0</v>
      </c>
      <c r="BM1024">
        <f>IF($A1024="","",IF(BI1024=1,F1024,""))</f>
        <v>0</v>
      </c>
      <c r="BN1024">
        <f>IF($A1024="","",DATE(YEAR($A1024),MONTH($A1024),1))</f>
        <v>0</v>
      </c>
      <c r="BO1024">
        <f>IF($A1024="","",IF($A1023="",1,IF(BN1024&lt;&gt;BN1023,1,0)))</f>
        <v>0</v>
      </c>
      <c r="BP1024">
        <f>IF($A1024="","",IF($A1025="",1,IF(BN1025&lt;&gt;BN1024,1,0)))</f>
        <v>0</v>
      </c>
      <c r="BQ1024">
        <f>IF($A1024="","",IF(BO1024=1,$B1024,BQ1023))</f>
        <v>0</v>
      </c>
      <c r="BR1024">
        <f>IF($A1024="","",IF(BO1024=1,$C1024,MAX($C1024,BR1023)))</f>
        <v>0</v>
      </c>
      <c r="BS1024">
        <f>IF($A1024="","",IF(BO1024=1,$D1024,MIN($D1024,BS1023)))</f>
        <v>0</v>
      </c>
      <c r="BT1024">
        <f>IF($A1024="","",IF(BP1024=1,F1024,""))</f>
        <v>0</v>
      </c>
    </row>
    <row r="1025" spans="1:72">
      <c r="A1025" s="27">
        <f>IF(Data!$A1025="","",Data!$A1025)</f>
        <v>0</v>
      </c>
      <c r="B1025">
        <f>IF(Data!$B1025="","",Data!$B1025)</f>
        <v>0</v>
      </c>
      <c r="C1025">
        <f>IF(Data!$C1025="","",Data!$C1025)</f>
        <v>0</v>
      </c>
      <c r="D1025">
        <f>IF(Data!$D1025="","",Data!$D1025)</f>
        <v>0</v>
      </c>
      <c r="E1025">
        <f>IF(Data!$E1025="","",Data!$E1025)</f>
        <v>0</v>
      </c>
      <c r="F1025">
        <f>IF($E1025="","",N(F1024)+1)</f>
        <v>0</v>
      </c>
      <c r="G1025">
        <f>IF(OR($E1025="",$E1024=""),"",LN($E1025/$E1024))</f>
        <v>0</v>
      </c>
      <c r="H1025">
        <f>IF($E1025="","",IF($E1024="",$E1025,$E1025*0.0952380952+H1024*0.9047619048))</f>
        <v>0</v>
      </c>
      <c r="I1025">
        <f>IF($E1025="","",IF($E1024="",$E1025,$E1025*0.0392156863+I1024*0.9607843137))</f>
        <v>0</v>
      </c>
      <c r="J1025">
        <f>IF($E1025="","",IF($E1024="",$E1025,$E1025*0.0198019802+J1024*0.9801980198))</f>
        <v>0</v>
      </c>
      <c r="K1025">
        <f>IF($E1025="","",IF($E1024="",$E1025,$E1025*0.0099502488+K1024*0.9900497512))</f>
        <v>0</v>
      </c>
      <c r="L1025">
        <f>IF(OR($E1025="",$E1024=""),"",MAX($E1025-$E1024,0))</f>
        <v>0</v>
      </c>
      <c r="M1025">
        <f>IF(OR($E1025="",$E1024=""),"",MAX($E1024-$E1025,0))</f>
        <v>0</v>
      </c>
      <c r="N1025">
        <f>IF(COUNT($E$2:$E1025)&lt;15,"",IF(AVERAGE($M$1012:$M$1025)=0,100,100-100/(1+AVERAGE($L$1012:$L$1025)/AVERAGE($M$1012:$M$1025))))</f>
        <v>0</v>
      </c>
      <c r="O1025">
        <f>IF($E1025="","",IF($E1024="",$E1025,$E1025*0.1538461538+O1024*0.8461538462))</f>
        <v>0</v>
      </c>
      <c r="P1025">
        <f>IF($E1025="","",IF($E1024="",$E1025,$E1025*0.0740740741+P1024*0.9259259259))</f>
        <v>0</v>
      </c>
      <c r="Q1025">
        <f>IF(OR(O1025="",P1025=""),"",O1025-P1025)</f>
        <v>0</v>
      </c>
      <c r="R1025">
        <f>IF(Q1025="","",IF(R1024="",Q1025,Q1025*0.2000000000+R1024*0.8000000000))</f>
        <v>0</v>
      </c>
      <c r="S1025">
        <f>IF(OR(Q1025="",R1025=""),"",Q1025-R1025)</f>
        <v>0</v>
      </c>
      <c r="T1025">
        <f>IF(COUNT($E$2:$E1025)&lt;14,"",MAX($C$1012:$C$1025))</f>
        <v>0</v>
      </c>
      <c r="U1025">
        <f>IF(COUNT($E$2:$E1025)&lt;14,"",MIN($D$1012:$D$1025))</f>
        <v>0</v>
      </c>
      <c r="V1025">
        <f>IF(OR(T1025="",U1025="",T1025=U1025),"",100*($E1025-U1025)/(T1025-U1025))</f>
        <v>0</v>
      </c>
      <c r="W1025">
        <f>IF(COUNT($V$1023:$V$1025)&lt;3,"",AVERAGE($V$1023:$V$1025))</f>
        <v>0</v>
      </c>
      <c r="X1025">
        <f>IF(COUNT($N$1012:$N$1025)&lt;14,"",MIN($N$1012:$N$1025))</f>
        <v>0</v>
      </c>
      <c r="Y1025">
        <f>IF(COUNT($N$1012:$N$1025)&lt;14,"",MAX($N$1012:$N$1025))</f>
        <v>0</v>
      </c>
      <c r="Z1025">
        <f>IF(OR(N1025="",X1025="",Y1025="",Y1025=X1025),"",100*(N1025-X1025)/(Y1025-X1025))</f>
        <v>0</v>
      </c>
      <c r="AA1025">
        <f>IF(COUNT($Z$1023:$Z$1025)&lt;3,"",AVERAGE($Z$1023:$Z$1025))</f>
        <v>0</v>
      </c>
      <c r="AB1025">
        <f>IF(COUNT($AA$1023:$AA$1025)&lt;3,"",AVERAGE($AA$1023:$AA$1025))</f>
        <v>0</v>
      </c>
      <c r="AC1025">
        <f>IF($E1025="","",MAX($C1025-$D1025,ABS($C1025-$E1024),ABS($D1025-$E1024)))</f>
        <v>0</v>
      </c>
      <c r="AD1025">
        <f>IF(COUNT($E$2:$E1025)&lt;15,"",AVERAGE($AC$1012:$AC$1025))</f>
        <v>0</v>
      </c>
      <c r="AE1025">
        <f>IF(OR($E1025="",$E1024=""),"",IF(AND(($C1025-$C1024)&gt;($D1024-$D1025),($C1025-$C1024)&gt;0),$C1025-$C1024,0))</f>
        <v>0</v>
      </c>
      <c r="AF1025">
        <f>IF(OR($E1025="",$E1024=""),"",IF(AND(($D1024-$D1025)&gt;($C1025-$C1024),($D1024-$D1025)&gt;0),$D1024-$D1025,0))</f>
        <v>0</v>
      </c>
      <c r="AG1025">
        <f>IF(COUNT($E$2:$E1025)&lt;15,"",IF(SUM($AC$1012:$AC$1025)=0,0,100*SUM($AE$1012:$AE$1025)/SUM($AC$1012:$AC$1025)))</f>
        <v>0</v>
      </c>
      <c r="AH1025">
        <f>IF(COUNT($E$2:$E1025)&lt;15,"",IF(SUM($AC$1012:$AC$1025)=0,0,100*SUM($AF$1012:$AF$1025)/SUM($AC$1012:$AC$1025)))</f>
        <v>0</v>
      </c>
      <c r="AI1025">
        <f>IF(OR(AG1025="",AH1025=""),"",IF((AG1025+AH1025)=0,0,100*ABS(AG1025-AH1025)/(AG1025+AH1025)))</f>
        <v>0</v>
      </c>
      <c r="AJ1025">
        <f>IF(COUNT($AI$1012:$AI$1025)&lt;14,"",AVERAGE($AI$1012:$AI$1025))</f>
        <v>0</v>
      </c>
      <c r="AK1025">
        <f>IF(COUNT($E$2:$E1025)&lt;20,"",AVERAGE($E$1006:$E$1025))</f>
        <v>0</v>
      </c>
      <c r="AL1025">
        <f>IF(COUNT($E$2:$E1025)&lt;20,"",STDEVP($E$1006:$E$1025))</f>
        <v>0</v>
      </c>
      <c r="AM1025">
        <f>IF(AK1025="","",AK1025+2*AL1025)</f>
        <v>0</v>
      </c>
      <c r="AN1025">
        <f>IF(AK1025="","",AK1025-2*AL1025)</f>
        <v>0</v>
      </c>
      <c r="AO1025">
        <f>IF(OR(AM1025="",AN1025="",AM1025=AN1025),"",($E1025-AN1025)/(AM1025-AN1025))</f>
        <v>0</v>
      </c>
      <c r="AP1025">
        <f>IF(OR(AM1025="",AK1025="",AK1025=0),"",(AM1025-AN1025)/AK1025)</f>
        <v>0</v>
      </c>
      <c r="AQ1025">
        <f>IF(COUNT($E$2:$E1025)&lt;20,"",MAX($C$1006:$C$1025))</f>
        <v>0</v>
      </c>
      <c r="AR1025">
        <f>IF(COUNT($E$2:$E1025)&lt;20,"",MIN($D$1006:$D$1025))</f>
        <v>0</v>
      </c>
      <c r="AS1025">
        <f>IF(OR(AQ1025="",AR1025=""),"",(AQ1025+AR1025)/2)</f>
        <v>0</v>
      </c>
      <c r="AT1025">
        <f>IF(COUNT($G$1006:$G$1025)&lt;20,"",STDEV($G$1006:$G$1025)*SQRT(252))</f>
        <v>0</v>
      </c>
      <c r="AU1025">
        <f>IF(COUNT($E$2:$E1025)&lt;9,"",(MAX($C$1017:$C$1025)+MIN($D$1017:$D$1025))/2)</f>
        <v>0</v>
      </c>
      <c r="AV1025">
        <f>IF(COUNT($E$2:$E1025)&lt;26,"",(MAX($C$1000:$C$1025)+MIN($D$1000:$D$1025))/2)</f>
        <v>0</v>
      </c>
      <c r="AW1025">
        <f>IF(OR(AU1025="",AV1025=""),"",(AU1025+AV1025)/2)</f>
        <v>0</v>
      </c>
      <c r="AX1025">
        <f>IF(COUNT($E$2:$E1025)&lt;52,"",(MAX($C$974:$C$1025)+MIN($D$974:$D$1025))/2)</f>
        <v>0</v>
      </c>
      <c r="AY1025">
        <f>IF(COUNT($E$2:$E1025)&lt;20,"",MAX($C$926:$C$1025))</f>
        <v>0</v>
      </c>
      <c r="AZ1025">
        <f>IF(COUNT($E$2:$E1025)&lt;20,"",MIN($D$926:$D$1025))</f>
        <v>0</v>
      </c>
      <c r="BA1025">
        <f>IF(COUNT($E$2:$E1025)&lt;20,"",SLOPE($E$926:$E$1025,$F$926:$F$1025))</f>
        <v>0</v>
      </c>
      <c r="BB1025">
        <f>IF(COUNT($E$2:$E1025)&lt;20,"",INTERCEPT($E$926:$E$1025,$F$926:$F$1025))</f>
        <v>0</v>
      </c>
      <c r="BC1025">
        <f>IF(OR(BA1025="",BB1025=""),"",BB1025+BA1025*F1025)</f>
        <v>0</v>
      </c>
      <c r="BD1025">
        <f>IF(COUNT($E$2:$E1025)&lt;20,"",STEYX($E$926:$E$1025,$F$926:$F$1025))</f>
        <v>0</v>
      </c>
      <c r="BE1025">
        <f>IF($E1025="","",IF(AND(COUNT($E$1026:$E$1029)&gt;=4,$C1025=MAX($C$1021:$C$1029)),$C1025,""))</f>
        <v>0</v>
      </c>
      <c r="BF1025">
        <f>IF($E1025="","",IF(AND(COUNT($E$1026:$E$1029)&gt;=4,$D1025=MIN($D$1021:$D$1029)),$D1025,""))</f>
        <v>0</v>
      </c>
      <c r="BG1025">
        <f>IF($A1025="","",$A1025-WEEKDAY($A1025,2)+1)</f>
        <v>0</v>
      </c>
      <c r="BH1025">
        <f>IF($A1025="","",IF($A1024="",1,IF(BG1025&lt;&gt;BG1024,1,0)))</f>
        <v>0</v>
      </c>
      <c r="BI1025">
        <f>IF($A1025="","",IF($A1026="",1,IF(BG1026&lt;&gt;BG1025,1,0)))</f>
        <v>0</v>
      </c>
      <c r="BJ1025">
        <f>IF($A1025="","",IF(BH1025=1,$B1025,BJ1024))</f>
        <v>0</v>
      </c>
      <c r="BK1025">
        <f>IF($A1025="","",IF(BH1025=1,$C1025,MAX($C1025,BK1024)))</f>
        <v>0</v>
      </c>
      <c r="BL1025">
        <f>IF($A1025="","",IF(BH1025=1,$D1025,MIN($D1025,BL1024)))</f>
        <v>0</v>
      </c>
      <c r="BM1025">
        <f>IF($A1025="","",IF(BI1025=1,F1025,""))</f>
        <v>0</v>
      </c>
      <c r="BN1025">
        <f>IF($A1025="","",DATE(YEAR($A1025),MONTH($A1025),1))</f>
        <v>0</v>
      </c>
      <c r="BO1025">
        <f>IF($A1025="","",IF($A1024="",1,IF(BN1025&lt;&gt;BN1024,1,0)))</f>
        <v>0</v>
      </c>
      <c r="BP1025">
        <f>IF($A1025="","",IF($A1026="",1,IF(BN1026&lt;&gt;BN1025,1,0)))</f>
        <v>0</v>
      </c>
      <c r="BQ1025">
        <f>IF($A1025="","",IF(BO1025=1,$B1025,BQ1024))</f>
        <v>0</v>
      </c>
      <c r="BR1025">
        <f>IF($A1025="","",IF(BO1025=1,$C1025,MAX($C1025,BR1024)))</f>
        <v>0</v>
      </c>
      <c r="BS1025">
        <f>IF($A1025="","",IF(BO1025=1,$D1025,MIN($D1025,BS1024)))</f>
        <v>0</v>
      </c>
      <c r="BT1025">
        <f>IF($A1025="","",IF(BP1025=1,F1025,""))</f>
        <v>0</v>
      </c>
    </row>
    <row r="1026" spans="1:72">
      <c r="A1026" s="27">
        <f>IF(Data!$A1026="","",Data!$A1026)</f>
        <v>0</v>
      </c>
      <c r="B1026">
        <f>IF(Data!$B1026="","",Data!$B1026)</f>
        <v>0</v>
      </c>
      <c r="C1026">
        <f>IF(Data!$C1026="","",Data!$C1026)</f>
        <v>0</v>
      </c>
      <c r="D1026">
        <f>IF(Data!$D1026="","",Data!$D1026)</f>
        <v>0</v>
      </c>
      <c r="E1026">
        <f>IF(Data!$E1026="","",Data!$E1026)</f>
        <v>0</v>
      </c>
      <c r="F1026">
        <f>IF($E1026="","",N(F1025)+1)</f>
        <v>0</v>
      </c>
      <c r="G1026">
        <f>IF(OR($E1026="",$E1025=""),"",LN($E1026/$E1025))</f>
        <v>0</v>
      </c>
      <c r="H1026">
        <f>IF($E1026="","",IF($E1025="",$E1026,$E1026*0.0952380952+H1025*0.9047619048))</f>
        <v>0</v>
      </c>
      <c r="I1026">
        <f>IF($E1026="","",IF($E1025="",$E1026,$E1026*0.0392156863+I1025*0.9607843137))</f>
        <v>0</v>
      </c>
      <c r="J1026">
        <f>IF($E1026="","",IF($E1025="",$E1026,$E1026*0.0198019802+J1025*0.9801980198))</f>
        <v>0</v>
      </c>
      <c r="K1026">
        <f>IF($E1026="","",IF($E1025="",$E1026,$E1026*0.0099502488+K1025*0.9900497512))</f>
        <v>0</v>
      </c>
      <c r="L1026">
        <f>IF(OR($E1026="",$E1025=""),"",MAX($E1026-$E1025,0))</f>
        <v>0</v>
      </c>
      <c r="M1026">
        <f>IF(OR($E1026="",$E1025=""),"",MAX($E1025-$E1026,0))</f>
        <v>0</v>
      </c>
      <c r="N1026">
        <f>IF(COUNT($E$2:$E1026)&lt;15,"",IF(AVERAGE($M$1013:$M$1026)=0,100,100-100/(1+AVERAGE($L$1013:$L$1026)/AVERAGE($M$1013:$M$1026))))</f>
        <v>0</v>
      </c>
      <c r="O1026">
        <f>IF($E1026="","",IF($E1025="",$E1026,$E1026*0.1538461538+O1025*0.8461538462))</f>
        <v>0</v>
      </c>
      <c r="P1026">
        <f>IF($E1026="","",IF($E1025="",$E1026,$E1026*0.0740740741+P1025*0.9259259259))</f>
        <v>0</v>
      </c>
      <c r="Q1026">
        <f>IF(OR(O1026="",P1026=""),"",O1026-P1026)</f>
        <v>0</v>
      </c>
      <c r="R1026">
        <f>IF(Q1026="","",IF(R1025="",Q1026,Q1026*0.2000000000+R1025*0.8000000000))</f>
        <v>0</v>
      </c>
      <c r="S1026">
        <f>IF(OR(Q1026="",R1026=""),"",Q1026-R1026)</f>
        <v>0</v>
      </c>
      <c r="T1026">
        <f>IF(COUNT($E$2:$E1026)&lt;14,"",MAX($C$1013:$C$1026))</f>
        <v>0</v>
      </c>
      <c r="U1026">
        <f>IF(COUNT($E$2:$E1026)&lt;14,"",MIN($D$1013:$D$1026))</f>
        <v>0</v>
      </c>
      <c r="V1026">
        <f>IF(OR(T1026="",U1026="",T1026=U1026),"",100*($E1026-U1026)/(T1026-U1026))</f>
        <v>0</v>
      </c>
      <c r="W1026">
        <f>IF(COUNT($V$1024:$V$1026)&lt;3,"",AVERAGE($V$1024:$V$1026))</f>
        <v>0</v>
      </c>
      <c r="X1026">
        <f>IF(COUNT($N$1013:$N$1026)&lt;14,"",MIN($N$1013:$N$1026))</f>
        <v>0</v>
      </c>
      <c r="Y1026">
        <f>IF(COUNT($N$1013:$N$1026)&lt;14,"",MAX($N$1013:$N$1026))</f>
        <v>0</v>
      </c>
      <c r="Z1026">
        <f>IF(OR(N1026="",X1026="",Y1026="",Y1026=X1026),"",100*(N1026-X1026)/(Y1026-X1026))</f>
        <v>0</v>
      </c>
      <c r="AA1026">
        <f>IF(COUNT($Z$1024:$Z$1026)&lt;3,"",AVERAGE($Z$1024:$Z$1026))</f>
        <v>0</v>
      </c>
      <c r="AB1026">
        <f>IF(COUNT($AA$1024:$AA$1026)&lt;3,"",AVERAGE($AA$1024:$AA$1026))</f>
        <v>0</v>
      </c>
      <c r="AC1026">
        <f>IF($E1026="","",MAX($C1026-$D1026,ABS($C1026-$E1025),ABS($D1026-$E1025)))</f>
        <v>0</v>
      </c>
      <c r="AD1026">
        <f>IF(COUNT($E$2:$E1026)&lt;15,"",AVERAGE($AC$1013:$AC$1026))</f>
        <v>0</v>
      </c>
      <c r="AE1026">
        <f>IF(OR($E1026="",$E1025=""),"",IF(AND(($C1026-$C1025)&gt;($D1025-$D1026),($C1026-$C1025)&gt;0),$C1026-$C1025,0))</f>
        <v>0</v>
      </c>
      <c r="AF1026">
        <f>IF(OR($E1026="",$E1025=""),"",IF(AND(($D1025-$D1026)&gt;($C1026-$C1025),($D1025-$D1026)&gt;0),$D1025-$D1026,0))</f>
        <v>0</v>
      </c>
      <c r="AG1026">
        <f>IF(COUNT($E$2:$E1026)&lt;15,"",IF(SUM($AC$1013:$AC$1026)=0,0,100*SUM($AE$1013:$AE$1026)/SUM($AC$1013:$AC$1026)))</f>
        <v>0</v>
      </c>
      <c r="AH1026">
        <f>IF(COUNT($E$2:$E1026)&lt;15,"",IF(SUM($AC$1013:$AC$1026)=0,0,100*SUM($AF$1013:$AF$1026)/SUM($AC$1013:$AC$1026)))</f>
        <v>0</v>
      </c>
      <c r="AI1026">
        <f>IF(OR(AG1026="",AH1026=""),"",IF((AG1026+AH1026)=0,0,100*ABS(AG1026-AH1026)/(AG1026+AH1026)))</f>
        <v>0</v>
      </c>
      <c r="AJ1026">
        <f>IF(COUNT($AI$1013:$AI$1026)&lt;14,"",AVERAGE($AI$1013:$AI$1026))</f>
        <v>0</v>
      </c>
      <c r="AK1026">
        <f>IF(COUNT($E$2:$E1026)&lt;20,"",AVERAGE($E$1007:$E$1026))</f>
        <v>0</v>
      </c>
      <c r="AL1026">
        <f>IF(COUNT($E$2:$E1026)&lt;20,"",STDEVP($E$1007:$E$1026))</f>
        <v>0</v>
      </c>
      <c r="AM1026">
        <f>IF(AK1026="","",AK1026+2*AL1026)</f>
        <v>0</v>
      </c>
      <c r="AN1026">
        <f>IF(AK1026="","",AK1026-2*AL1026)</f>
        <v>0</v>
      </c>
      <c r="AO1026">
        <f>IF(OR(AM1026="",AN1026="",AM1026=AN1026),"",($E1026-AN1026)/(AM1026-AN1026))</f>
        <v>0</v>
      </c>
      <c r="AP1026">
        <f>IF(OR(AM1026="",AK1026="",AK1026=0),"",(AM1026-AN1026)/AK1026)</f>
        <v>0</v>
      </c>
      <c r="AQ1026">
        <f>IF(COUNT($E$2:$E1026)&lt;20,"",MAX($C$1007:$C$1026))</f>
        <v>0</v>
      </c>
      <c r="AR1026">
        <f>IF(COUNT($E$2:$E1026)&lt;20,"",MIN($D$1007:$D$1026))</f>
        <v>0</v>
      </c>
      <c r="AS1026">
        <f>IF(OR(AQ1026="",AR1026=""),"",(AQ1026+AR1026)/2)</f>
        <v>0</v>
      </c>
      <c r="AT1026">
        <f>IF(COUNT($G$1007:$G$1026)&lt;20,"",STDEV($G$1007:$G$1026)*SQRT(252))</f>
        <v>0</v>
      </c>
      <c r="AU1026">
        <f>IF(COUNT($E$2:$E1026)&lt;9,"",(MAX($C$1018:$C$1026)+MIN($D$1018:$D$1026))/2)</f>
        <v>0</v>
      </c>
      <c r="AV1026">
        <f>IF(COUNT($E$2:$E1026)&lt;26,"",(MAX($C$1001:$C$1026)+MIN($D$1001:$D$1026))/2)</f>
        <v>0</v>
      </c>
      <c r="AW1026">
        <f>IF(OR(AU1026="",AV1026=""),"",(AU1026+AV1026)/2)</f>
        <v>0</v>
      </c>
      <c r="AX1026">
        <f>IF(COUNT($E$2:$E1026)&lt;52,"",(MAX($C$975:$C$1026)+MIN($D$975:$D$1026))/2)</f>
        <v>0</v>
      </c>
      <c r="AY1026">
        <f>IF(COUNT($E$2:$E1026)&lt;20,"",MAX($C$927:$C$1026))</f>
        <v>0</v>
      </c>
      <c r="AZ1026">
        <f>IF(COUNT($E$2:$E1026)&lt;20,"",MIN($D$927:$D$1026))</f>
        <v>0</v>
      </c>
      <c r="BA1026">
        <f>IF(COUNT($E$2:$E1026)&lt;20,"",SLOPE($E$927:$E$1026,$F$927:$F$1026))</f>
        <v>0</v>
      </c>
      <c r="BB1026">
        <f>IF(COUNT($E$2:$E1026)&lt;20,"",INTERCEPT($E$927:$E$1026,$F$927:$F$1026))</f>
        <v>0</v>
      </c>
      <c r="BC1026">
        <f>IF(OR(BA1026="",BB1026=""),"",BB1026+BA1026*F1026)</f>
        <v>0</v>
      </c>
      <c r="BD1026">
        <f>IF(COUNT($E$2:$E1026)&lt;20,"",STEYX($E$927:$E$1026,$F$927:$F$1026))</f>
        <v>0</v>
      </c>
      <c r="BE1026">
        <f>IF($E1026="","",IF(AND(COUNT($E$1027:$E$1030)&gt;=4,$C1026=MAX($C$1022:$C$1030)),$C1026,""))</f>
        <v>0</v>
      </c>
      <c r="BF1026">
        <f>IF($E1026="","",IF(AND(COUNT($E$1027:$E$1030)&gt;=4,$D1026=MIN($D$1022:$D$1030)),$D1026,""))</f>
        <v>0</v>
      </c>
      <c r="BG1026">
        <f>IF($A1026="","",$A1026-WEEKDAY($A1026,2)+1)</f>
        <v>0</v>
      </c>
      <c r="BH1026">
        <f>IF($A1026="","",IF($A1025="",1,IF(BG1026&lt;&gt;BG1025,1,0)))</f>
        <v>0</v>
      </c>
      <c r="BI1026">
        <f>IF($A1026="","",IF($A1027="",1,IF(BG1027&lt;&gt;BG1026,1,0)))</f>
        <v>0</v>
      </c>
      <c r="BJ1026">
        <f>IF($A1026="","",IF(BH1026=1,$B1026,BJ1025))</f>
        <v>0</v>
      </c>
      <c r="BK1026">
        <f>IF($A1026="","",IF(BH1026=1,$C1026,MAX($C1026,BK1025)))</f>
        <v>0</v>
      </c>
      <c r="BL1026">
        <f>IF($A1026="","",IF(BH1026=1,$D1026,MIN($D1026,BL1025)))</f>
        <v>0</v>
      </c>
      <c r="BM1026">
        <f>IF($A1026="","",IF(BI1026=1,F1026,""))</f>
        <v>0</v>
      </c>
      <c r="BN1026">
        <f>IF($A1026="","",DATE(YEAR($A1026),MONTH($A1026),1))</f>
        <v>0</v>
      </c>
      <c r="BO1026">
        <f>IF($A1026="","",IF($A1025="",1,IF(BN1026&lt;&gt;BN1025,1,0)))</f>
        <v>0</v>
      </c>
      <c r="BP1026">
        <f>IF($A1026="","",IF($A1027="",1,IF(BN1027&lt;&gt;BN1026,1,0)))</f>
        <v>0</v>
      </c>
      <c r="BQ1026">
        <f>IF($A1026="","",IF(BO1026=1,$B1026,BQ1025))</f>
        <v>0</v>
      </c>
      <c r="BR1026">
        <f>IF($A1026="","",IF(BO1026=1,$C1026,MAX($C1026,BR1025)))</f>
        <v>0</v>
      </c>
      <c r="BS1026">
        <f>IF($A1026="","",IF(BO1026=1,$D1026,MIN($D1026,BS1025)))</f>
        <v>0</v>
      </c>
      <c r="BT1026">
        <f>IF($A1026="","",IF(BP1026=1,F1026,""))</f>
        <v>0</v>
      </c>
    </row>
    <row r="1027" spans="1:72">
      <c r="A1027" s="27">
        <f>IF(Data!$A1027="","",Data!$A1027)</f>
        <v>0</v>
      </c>
      <c r="B1027">
        <f>IF(Data!$B1027="","",Data!$B1027)</f>
        <v>0</v>
      </c>
      <c r="C1027">
        <f>IF(Data!$C1027="","",Data!$C1027)</f>
        <v>0</v>
      </c>
      <c r="D1027">
        <f>IF(Data!$D1027="","",Data!$D1027)</f>
        <v>0</v>
      </c>
      <c r="E1027">
        <f>IF(Data!$E1027="","",Data!$E1027)</f>
        <v>0</v>
      </c>
      <c r="F1027">
        <f>IF($E1027="","",N(F1026)+1)</f>
        <v>0</v>
      </c>
      <c r="G1027">
        <f>IF(OR($E1027="",$E1026=""),"",LN($E1027/$E1026))</f>
        <v>0</v>
      </c>
      <c r="H1027">
        <f>IF($E1027="","",IF($E1026="",$E1027,$E1027*0.0952380952+H1026*0.9047619048))</f>
        <v>0</v>
      </c>
      <c r="I1027">
        <f>IF($E1027="","",IF($E1026="",$E1027,$E1027*0.0392156863+I1026*0.9607843137))</f>
        <v>0</v>
      </c>
      <c r="J1027">
        <f>IF($E1027="","",IF($E1026="",$E1027,$E1027*0.0198019802+J1026*0.9801980198))</f>
        <v>0</v>
      </c>
      <c r="K1027">
        <f>IF($E1027="","",IF($E1026="",$E1027,$E1027*0.0099502488+K1026*0.9900497512))</f>
        <v>0</v>
      </c>
      <c r="L1027">
        <f>IF(OR($E1027="",$E1026=""),"",MAX($E1027-$E1026,0))</f>
        <v>0</v>
      </c>
      <c r="M1027">
        <f>IF(OR($E1027="",$E1026=""),"",MAX($E1026-$E1027,0))</f>
        <v>0</v>
      </c>
      <c r="N1027">
        <f>IF(COUNT($E$2:$E1027)&lt;15,"",IF(AVERAGE($M$1014:$M$1027)=0,100,100-100/(1+AVERAGE($L$1014:$L$1027)/AVERAGE($M$1014:$M$1027))))</f>
        <v>0</v>
      </c>
      <c r="O1027">
        <f>IF($E1027="","",IF($E1026="",$E1027,$E1027*0.1538461538+O1026*0.8461538462))</f>
        <v>0</v>
      </c>
      <c r="P1027">
        <f>IF($E1027="","",IF($E1026="",$E1027,$E1027*0.0740740741+P1026*0.9259259259))</f>
        <v>0</v>
      </c>
      <c r="Q1027">
        <f>IF(OR(O1027="",P1027=""),"",O1027-P1027)</f>
        <v>0</v>
      </c>
      <c r="R1027">
        <f>IF(Q1027="","",IF(R1026="",Q1027,Q1027*0.2000000000+R1026*0.8000000000))</f>
        <v>0</v>
      </c>
      <c r="S1027">
        <f>IF(OR(Q1027="",R1027=""),"",Q1027-R1027)</f>
        <v>0</v>
      </c>
      <c r="T1027">
        <f>IF(COUNT($E$2:$E1027)&lt;14,"",MAX($C$1014:$C$1027))</f>
        <v>0</v>
      </c>
      <c r="U1027">
        <f>IF(COUNT($E$2:$E1027)&lt;14,"",MIN($D$1014:$D$1027))</f>
        <v>0</v>
      </c>
      <c r="V1027">
        <f>IF(OR(T1027="",U1027="",T1027=U1027),"",100*($E1027-U1027)/(T1027-U1027))</f>
        <v>0</v>
      </c>
      <c r="W1027">
        <f>IF(COUNT($V$1025:$V$1027)&lt;3,"",AVERAGE($V$1025:$V$1027))</f>
        <v>0</v>
      </c>
      <c r="X1027">
        <f>IF(COUNT($N$1014:$N$1027)&lt;14,"",MIN($N$1014:$N$1027))</f>
        <v>0</v>
      </c>
      <c r="Y1027">
        <f>IF(COUNT($N$1014:$N$1027)&lt;14,"",MAX($N$1014:$N$1027))</f>
        <v>0</v>
      </c>
      <c r="Z1027">
        <f>IF(OR(N1027="",X1027="",Y1027="",Y1027=X1027),"",100*(N1027-X1027)/(Y1027-X1027))</f>
        <v>0</v>
      </c>
      <c r="AA1027">
        <f>IF(COUNT($Z$1025:$Z$1027)&lt;3,"",AVERAGE($Z$1025:$Z$1027))</f>
        <v>0</v>
      </c>
      <c r="AB1027">
        <f>IF(COUNT($AA$1025:$AA$1027)&lt;3,"",AVERAGE($AA$1025:$AA$1027))</f>
        <v>0</v>
      </c>
      <c r="AC1027">
        <f>IF($E1027="","",MAX($C1027-$D1027,ABS($C1027-$E1026),ABS($D1027-$E1026)))</f>
        <v>0</v>
      </c>
      <c r="AD1027">
        <f>IF(COUNT($E$2:$E1027)&lt;15,"",AVERAGE($AC$1014:$AC$1027))</f>
        <v>0</v>
      </c>
      <c r="AE1027">
        <f>IF(OR($E1027="",$E1026=""),"",IF(AND(($C1027-$C1026)&gt;($D1026-$D1027),($C1027-$C1026)&gt;0),$C1027-$C1026,0))</f>
        <v>0</v>
      </c>
      <c r="AF1027">
        <f>IF(OR($E1027="",$E1026=""),"",IF(AND(($D1026-$D1027)&gt;($C1027-$C1026),($D1026-$D1027)&gt;0),$D1026-$D1027,0))</f>
        <v>0</v>
      </c>
      <c r="AG1027">
        <f>IF(COUNT($E$2:$E1027)&lt;15,"",IF(SUM($AC$1014:$AC$1027)=0,0,100*SUM($AE$1014:$AE$1027)/SUM($AC$1014:$AC$1027)))</f>
        <v>0</v>
      </c>
      <c r="AH1027">
        <f>IF(COUNT($E$2:$E1027)&lt;15,"",IF(SUM($AC$1014:$AC$1027)=0,0,100*SUM($AF$1014:$AF$1027)/SUM($AC$1014:$AC$1027)))</f>
        <v>0</v>
      </c>
      <c r="AI1027">
        <f>IF(OR(AG1027="",AH1027=""),"",IF((AG1027+AH1027)=0,0,100*ABS(AG1027-AH1027)/(AG1027+AH1027)))</f>
        <v>0</v>
      </c>
      <c r="AJ1027">
        <f>IF(COUNT($AI$1014:$AI$1027)&lt;14,"",AVERAGE($AI$1014:$AI$1027))</f>
        <v>0</v>
      </c>
      <c r="AK1027">
        <f>IF(COUNT($E$2:$E1027)&lt;20,"",AVERAGE($E$1008:$E$1027))</f>
        <v>0</v>
      </c>
      <c r="AL1027">
        <f>IF(COUNT($E$2:$E1027)&lt;20,"",STDEVP($E$1008:$E$1027))</f>
        <v>0</v>
      </c>
      <c r="AM1027">
        <f>IF(AK1027="","",AK1027+2*AL1027)</f>
        <v>0</v>
      </c>
      <c r="AN1027">
        <f>IF(AK1027="","",AK1027-2*AL1027)</f>
        <v>0</v>
      </c>
      <c r="AO1027">
        <f>IF(OR(AM1027="",AN1027="",AM1027=AN1027),"",($E1027-AN1027)/(AM1027-AN1027))</f>
        <v>0</v>
      </c>
      <c r="AP1027">
        <f>IF(OR(AM1027="",AK1027="",AK1027=0),"",(AM1027-AN1027)/AK1027)</f>
        <v>0</v>
      </c>
      <c r="AQ1027">
        <f>IF(COUNT($E$2:$E1027)&lt;20,"",MAX($C$1008:$C$1027))</f>
        <v>0</v>
      </c>
      <c r="AR1027">
        <f>IF(COUNT($E$2:$E1027)&lt;20,"",MIN($D$1008:$D$1027))</f>
        <v>0</v>
      </c>
      <c r="AS1027">
        <f>IF(OR(AQ1027="",AR1027=""),"",(AQ1027+AR1027)/2)</f>
        <v>0</v>
      </c>
      <c r="AT1027">
        <f>IF(COUNT($G$1008:$G$1027)&lt;20,"",STDEV($G$1008:$G$1027)*SQRT(252))</f>
        <v>0</v>
      </c>
      <c r="AU1027">
        <f>IF(COUNT($E$2:$E1027)&lt;9,"",(MAX($C$1019:$C$1027)+MIN($D$1019:$D$1027))/2)</f>
        <v>0</v>
      </c>
      <c r="AV1027">
        <f>IF(COUNT($E$2:$E1027)&lt;26,"",(MAX($C$1002:$C$1027)+MIN($D$1002:$D$1027))/2)</f>
        <v>0</v>
      </c>
      <c r="AW1027">
        <f>IF(OR(AU1027="",AV1027=""),"",(AU1027+AV1027)/2)</f>
        <v>0</v>
      </c>
      <c r="AX1027">
        <f>IF(COUNT($E$2:$E1027)&lt;52,"",(MAX($C$976:$C$1027)+MIN($D$976:$D$1027))/2)</f>
        <v>0</v>
      </c>
      <c r="AY1027">
        <f>IF(COUNT($E$2:$E1027)&lt;20,"",MAX($C$928:$C$1027))</f>
        <v>0</v>
      </c>
      <c r="AZ1027">
        <f>IF(COUNT($E$2:$E1027)&lt;20,"",MIN($D$928:$D$1027))</f>
        <v>0</v>
      </c>
      <c r="BA1027">
        <f>IF(COUNT($E$2:$E1027)&lt;20,"",SLOPE($E$928:$E$1027,$F$928:$F$1027))</f>
        <v>0</v>
      </c>
      <c r="BB1027">
        <f>IF(COUNT($E$2:$E1027)&lt;20,"",INTERCEPT($E$928:$E$1027,$F$928:$F$1027))</f>
        <v>0</v>
      </c>
      <c r="BC1027">
        <f>IF(OR(BA1027="",BB1027=""),"",BB1027+BA1027*F1027)</f>
        <v>0</v>
      </c>
      <c r="BD1027">
        <f>IF(COUNT($E$2:$E1027)&lt;20,"",STEYX($E$928:$E$1027,$F$928:$F$1027))</f>
        <v>0</v>
      </c>
      <c r="BE1027">
        <f>IF($E1027="","",IF(AND(COUNT($E$1028:$E$1031)&gt;=4,$C1027=MAX($C$1023:$C$1031)),$C1027,""))</f>
        <v>0</v>
      </c>
      <c r="BF1027">
        <f>IF($E1027="","",IF(AND(COUNT($E$1028:$E$1031)&gt;=4,$D1027=MIN($D$1023:$D$1031)),$D1027,""))</f>
        <v>0</v>
      </c>
      <c r="BG1027">
        <f>IF($A1027="","",$A1027-WEEKDAY($A1027,2)+1)</f>
        <v>0</v>
      </c>
      <c r="BH1027">
        <f>IF($A1027="","",IF($A1026="",1,IF(BG1027&lt;&gt;BG1026,1,0)))</f>
        <v>0</v>
      </c>
      <c r="BI1027">
        <f>IF($A1027="","",IF($A1028="",1,IF(BG1028&lt;&gt;BG1027,1,0)))</f>
        <v>0</v>
      </c>
      <c r="BJ1027">
        <f>IF($A1027="","",IF(BH1027=1,$B1027,BJ1026))</f>
        <v>0</v>
      </c>
      <c r="BK1027">
        <f>IF($A1027="","",IF(BH1027=1,$C1027,MAX($C1027,BK1026)))</f>
        <v>0</v>
      </c>
      <c r="BL1027">
        <f>IF($A1027="","",IF(BH1027=1,$D1027,MIN($D1027,BL1026)))</f>
        <v>0</v>
      </c>
      <c r="BM1027">
        <f>IF($A1027="","",IF(BI1027=1,F1027,""))</f>
        <v>0</v>
      </c>
      <c r="BN1027">
        <f>IF($A1027="","",DATE(YEAR($A1027),MONTH($A1027),1))</f>
        <v>0</v>
      </c>
      <c r="BO1027">
        <f>IF($A1027="","",IF($A1026="",1,IF(BN1027&lt;&gt;BN1026,1,0)))</f>
        <v>0</v>
      </c>
      <c r="BP1027">
        <f>IF($A1027="","",IF($A1028="",1,IF(BN1028&lt;&gt;BN1027,1,0)))</f>
        <v>0</v>
      </c>
      <c r="BQ1027">
        <f>IF($A1027="","",IF(BO1027=1,$B1027,BQ1026))</f>
        <v>0</v>
      </c>
      <c r="BR1027">
        <f>IF($A1027="","",IF(BO1027=1,$C1027,MAX($C1027,BR1026)))</f>
        <v>0</v>
      </c>
      <c r="BS1027">
        <f>IF($A1027="","",IF(BO1027=1,$D1027,MIN($D1027,BS1026)))</f>
        <v>0</v>
      </c>
      <c r="BT1027">
        <f>IF($A1027="","",IF(BP1027=1,F1027,""))</f>
        <v>0</v>
      </c>
    </row>
    <row r="1028" spans="1:72">
      <c r="A1028" s="27">
        <f>IF(Data!$A1028="","",Data!$A1028)</f>
        <v>0</v>
      </c>
      <c r="B1028">
        <f>IF(Data!$B1028="","",Data!$B1028)</f>
        <v>0</v>
      </c>
      <c r="C1028">
        <f>IF(Data!$C1028="","",Data!$C1028)</f>
        <v>0</v>
      </c>
      <c r="D1028">
        <f>IF(Data!$D1028="","",Data!$D1028)</f>
        <v>0</v>
      </c>
      <c r="E1028">
        <f>IF(Data!$E1028="","",Data!$E1028)</f>
        <v>0</v>
      </c>
      <c r="F1028">
        <f>IF($E1028="","",N(F1027)+1)</f>
        <v>0</v>
      </c>
      <c r="G1028">
        <f>IF(OR($E1028="",$E1027=""),"",LN($E1028/$E1027))</f>
        <v>0</v>
      </c>
      <c r="H1028">
        <f>IF($E1028="","",IF($E1027="",$E1028,$E1028*0.0952380952+H1027*0.9047619048))</f>
        <v>0</v>
      </c>
      <c r="I1028">
        <f>IF($E1028="","",IF($E1027="",$E1028,$E1028*0.0392156863+I1027*0.9607843137))</f>
        <v>0</v>
      </c>
      <c r="J1028">
        <f>IF($E1028="","",IF($E1027="",$E1028,$E1028*0.0198019802+J1027*0.9801980198))</f>
        <v>0</v>
      </c>
      <c r="K1028">
        <f>IF($E1028="","",IF($E1027="",$E1028,$E1028*0.0099502488+K1027*0.9900497512))</f>
        <v>0</v>
      </c>
      <c r="L1028">
        <f>IF(OR($E1028="",$E1027=""),"",MAX($E1028-$E1027,0))</f>
        <v>0</v>
      </c>
      <c r="M1028">
        <f>IF(OR($E1028="",$E1027=""),"",MAX($E1027-$E1028,0))</f>
        <v>0</v>
      </c>
      <c r="N1028">
        <f>IF(COUNT($E$2:$E1028)&lt;15,"",IF(AVERAGE($M$1015:$M$1028)=0,100,100-100/(1+AVERAGE($L$1015:$L$1028)/AVERAGE($M$1015:$M$1028))))</f>
        <v>0</v>
      </c>
      <c r="O1028">
        <f>IF($E1028="","",IF($E1027="",$E1028,$E1028*0.1538461538+O1027*0.8461538462))</f>
        <v>0</v>
      </c>
      <c r="P1028">
        <f>IF($E1028="","",IF($E1027="",$E1028,$E1028*0.0740740741+P1027*0.9259259259))</f>
        <v>0</v>
      </c>
      <c r="Q1028">
        <f>IF(OR(O1028="",P1028=""),"",O1028-P1028)</f>
        <v>0</v>
      </c>
      <c r="R1028">
        <f>IF(Q1028="","",IF(R1027="",Q1028,Q1028*0.2000000000+R1027*0.8000000000))</f>
        <v>0</v>
      </c>
      <c r="S1028">
        <f>IF(OR(Q1028="",R1028=""),"",Q1028-R1028)</f>
        <v>0</v>
      </c>
      <c r="T1028">
        <f>IF(COUNT($E$2:$E1028)&lt;14,"",MAX($C$1015:$C$1028))</f>
        <v>0</v>
      </c>
      <c r="U1028">
        <f>IF(COUNT($E$2:$E1028)&lt;14,"",MIN($D$1015:$D$1028))</f>
        <v>0</v>
      </c>
      <c r="V1028">
        <f>IF(OR(T1028="",U1028="",T1028=U1028),"",100*($E1028-U1028)/(T1028-U1028))</f>
        <v>0</v>
      </c>
      <c r="W1028">
        <f>IF(COUNT($V$1026:$V$1028)&lt;3,"",AVERAGE($V$1026:$V$1028))</f>
        <v>0</v>
      </c>
      <c r="X1028">
        <f>IF(COUNT($N$1015:$N$1028)&lt;14,"",MIN($N$1015:$N$1028))</f>
        <v>0</v>
      </c>
      <c r="Y1028">
        <f>IF(COUNT($N$1015:$N$1028)&lt;14,"",MAX($N$1015:$N$1028))</f>
        <v>0</v>
      </c>
      <c r="Z1028">
        <f>IF(OR(N1028="",X1028="",Y1028="",Y1028=X1028),"",100*(N1028-X1028)/(Y1028-X1028))</f>
        <v>0</v>
      </c>
      <c r="AA1028">
        <f>IF(COUNT($Z$1026:$Z$1028)&lt;3,"",AVERAGE($Z$1026:$Z$1028))</f>
        <v>0</v>
      </c>
      <c r="AB1028">
        <f>IF(COUNT($AA$1026:$AA$1028)&lt;3,"",AVERAGE($AA$1026:$AA$1028))</f>
        <v>0</v>
      </c>
      <c r="AC1028">
        <f>IF($E1028="","",MAX($C1028-$D1028,ABS($C1028-$E1027),ABS($D1028-$E1027)))</f>
        <v>0</v>
      </c>
      <c r="AD1028">
        <f>IF(COUNT($E$2:$E1028)&lt;15,"",AVERAGE($AC$1015:$AC$1028))</f>
        <v>0</v>
      </c>
      <c r="AE1028">
        <f>IF(OR($E1028="",$E1027=""),"",IF(AND(($C1028-$C1027)&gt;($D1027-$D1028),($C1028-$C1027)&gt;0),$C1028-$C1027,0))</f>
        <v>0</v>
      </c>
      <c r="AF1028">
        <f>IF(OR($E1028="",$E1027=""),"",IF(AND(($D1027-$D1028)&gt;($C1028-$C1027),($D1027-$D1028)&gt;0),$D1027-$D1028,0))</f>
        <v>0</v>
      </c>
      <c r="AG1028">
        <f>IF(COUNT($E$2:$E1028)&lt;15,"",IF(SUM($AC$1015:$AC$1028)=0,0,100*SUM($AE$1015:$AE$1028)/SUM($AC$1015:$AC$1028)))</f>
        <v>0</v>
      </c>
      <c r="AH1028">
        <f>IF(COUNT($E$2:$E1028)&lt;15,"",IF(SUM($AC$1015:$AC$1028)=0,0,100*SUM($AF$1015:$AF$1028)/SUM($AC$1015:$AC$1028)))</f>
        <v>0</v>
      </c>
      <c r="AI1028">
        <f>IF(OR(AG1028="",AH1028=""),"",IF((AG1028+AH1028)=0,0,100*ABS(AG1028-AH1028)/(AG1028+AH1028)))</f>
        <v>0</v>
      </c>
      <c r="AJ1028">
        <f>IF(COUNT($AI$1015:$AI$1028)&lt;14,"",AVERAGE($AI$1015:$AI$1028))</f>
        <v>0</v>
      </c>
      <c r="AK1028">
        <f>IF(COUNT($E$2:$E1028)&lt;20,"",AVERAGE($E$1009:$E$1028))</f>
        <v>0</v>
      </c>
      <c r="AL1028">
        <f>IF(COUNT($E$2:$E1028)&lt;20,"",STDEVP($E$1009:$E$1028))</f>
        <v>0</v>
      </c>
      <c r="AM1028">
        <f>IF(AK1028="","",AK1028+2*AL1028)</f>
        <v>0</v>
      </c>
      <c r="AN1028">
        <f>IF(AK1028="","",AK1028-2*AL1028)</f>
        <v>0</v>
      </c>
      <c r="AO1028">
        <f>IF(OR(AM1028="",AN1028="",AM1028=AN1028),"",($E1028-AN1028)/(AM1028-AN1028))</f>
        <v>0</v>
      </c>
      <c r="AP1028">
        <f>IF(OR(AM1028="",AK1028="",AK1028=0),"",(AM1028-AN1028)/AK1028)</f>
        <v>0</v>
      </c>
      <c r="AQ1028">
        <f>IF(COUNT($E$2:$E1028)&lt;20,"",MAX($C$1009:$C$1028))</f>
        <v>0</v>
      </c>
      <c r="AR1028">
        <f>IF(COUNT($E$2:$E1028)&lt;20,"",MIN($D$1009:$D$1028))</f>
        <v>0</v>
      </c>
      <c r="AS1028">
        <f>IF(OR(AQ1028="",AR1028=""),"",(AQ1028+AR1028)/2)</f>
        <v>0</v>
      </c>
      <c r="AT1028">
        <f>IF(COUNT($G$1009:$G$1028)&lt;20,"",STDEV($G$1009:$G$1028)*SQRT(252))</f>
        <v>0</v>
      </c>
      <c r="AU1028">
        <f>IF(COUNT($E$2:$E1028)&lt;9,"",(MAX($C$1020:$C$1028)+MIN($D$1020:$D$1028))/2)</f>
        <v>0</v>
      </c>
      <c r="AV1028">
        <f>IF(COUNT($E$2:$E1028)&lt;26,"",(MAX($C$1003:$C$1028)+MIN($D$1003:$D$1028))/2)</f>
        <v>0</v>
      </c>
      <c r="AW1028">
        <f>IF(OR(AU1028="",AV1028=""),"",(AU1028+AV1028)/2)</f>
        <v>0</v>
      </c>
      <c r="AX1028">
        <f>IF(COUNT($E$2:$E1028)&lt;52,"",(MAX($C$977:$C$1028)+MIN($D$977:$D$1028))/2)</f>
        <v>0</v>
      </c>
      <c r="AY1028">
        <f>IF(COUNT($E$2:$E1028)&lt;20,"",MAX($C$929:$C$1028))</f>
        <v>0</v>
      </c>
      <c r="AZ1028">
        <f>IF(COUNT($E$2:$E1028)&lt;20,"",MIN($D$929:$D$1028))</f>
        <v>0</v>
      </c>
      <c r="BA1028">
        <f>IF(COUNT($E$2:$E1028)&lt;20,"",SLOPE($E$929:$E$1028,$F$929:$F$1028))</f>
        <v>0</v>
      </c>
      <c r="BB1028">
        <f>IF(COUNT($E$2:$E1028)&lt;20,"",INTERCEPT($E$929:$E$1028,$F$929:$F$1028))</f>
        <v>0</v>
      </c>
      <c r="BC1028">
        <f>IF(OR(BA1028="",BB1028=""),"",BB1028+BA1028*F1028)</f>
        <v>0</v>
      </c>
      <c r="BD1028">
        <f>IF(COUNT($E$2:$E1028)&lt;20,"",STEYX($E$929:$E$1028,$F$929:$F$1028))</f>
        <v>0</v>
      </c>
      <c r="BE1028">
        <f>IF($E1028="","",IF(AND(COUNT($E$1029:$E$1032)&gt;=4,$C1028=MAX($C$1024:$C$1032)),$C1028,""))</f>
        <v>0</v>
      </c>
      <c r="BF1028">
        <f>IF($E1028="","",IF(AND(COUNT($E$1029:$E$1032)&gt;=4,$D1028=MIN($D$1024:$D$1032)),$D1028,""))</f>
        <v>0</v>
      </c>
      <c r="BG1028">
        <f>IF($A1028="","",$A1028-WEEKDAY($A1028,2)+1)</f>
        <v>0</v>
      </c>
      <c r="BH1028">
        <f>IF($A1028="","",IF($A1027="",1,IF(BG1028&lt;&gt;BG1027,1,0)))</f>
        <v>0</v>
      </c>
      <c r="BI1028">
        <f>IF($A1028="","",IF($A1029="",1,IF(BG1029&lt;&gt;BG1028,1,0)))</f>
        <v>0</v>
      </c>
      <c r="BJ1028">
        <f>IF($A1028="","",IF(BH1028=1,$B1028,BJ1027))</f>
        <v>0</v>
      </c>
      <c r="BK1028">
        <f>IF($A1028="","",IF(BH1028=1,$C1028,MAX($C1028,BK1027)))</f>
        <v>0</v>
      </c>
      <c r="BL1028">
        <f>IF($A1028="","",IF(BH1028=1,$D1028,MIN($D1028,BL1027)))</f>
        <v>0</v>
      </c>
      <c r="BM1028">
        <f>IF($A1028="","",IF(BI1028=1,F1028,""))</f>
        <v>0</v>
      </c>
      <c r="BN1028">
        <f>IF($A1028="","",DATE(YEAR($A1028),MONTH($A1028),1))</f>
        <v>0</v>
      </c>
      <c r="BO1028">
        <f>IF($A1028="","",IF($A1027="",1,IF(BN1028&lt;&gt;BN1027,1,0)))</f>
        <v>0</v>
      </c>
      <c r="BP1028">
        <f>IF($A1028="","",IF($A1029="",1,IF(BN1029&lt;&gt;BN1028,1,0)))</f>
        <v>0</v>
      </c>
      <c r="BQ1028">
        <f>IF($A1028="","",IF(BO1028=1,$B1028,BQ1027))</f>
        <v>0</v>
      </c>
      <c r="BR1028">
        <f>IF($A1028="","",IF(BO1028=1,$C1028,MAX($C1028,BR1027)))</f>
        <v>0</v>
      </c>
      <c r="BS1028">
        <f>IF($A1028="","",IF(BO1028=1,$D1028,MIN($D1028,BS1027)))</f>
        <v>0</v>
      </c>
      <c r="BT1028">
        <f>IF($A1028="","",IF(BP1028=1,F1028,""))</f>
        <v>0</v>
      </c>
    </row>
    <row r="1029" spans="1:72">
      <c r="A1029" s="27">
        <f>IF(Data!$A1029="","",Data!$A1029)</f>
        <v>0</v>
      </c>
      <c r="B1029">
        <f>IF(Data!$B1029="","",Data!$B1029)</f>
        <v>0</v>
      </c>
      <c r="C1029">
        <f>IF(Data!$C1029="","",Data!$C1029)</f>
        <v>0</v>
      </c>
      <c r="D1029">
        <f>IF(Data!$D1029="","",Data!$D1029)</f>
        <v>0</v>
      </c>
      <c r="E1029">
        <f>IF(Data!$E1029="","",Data!$E1029)</f>
        <v>0</v>
      </c>
      <c r="F1029">
        <f>IF($E1029="","",N(F1028)+1)</f>
        <v>0</v>
      </c>
      <c r="G1029">
        <f>IF(OR($E1029="",$E1028=""),"",LN($E1029/$E1028))</f>
        <v>0</v>
      </c>
      <c r="H1029">
        <f>IF($E1029="","",IF($E1028="",$E1029,$E1029*0.0952380952+H1028*0.9047619048))</f>
        <v>0</v>
      </c>
      <c r="I1029">
        <f>IF($E1029="","",IF($E1028="",$E1029,$E1029*0.0392156863+I1028*0.9607843137))</f>
        <v>0</v>
      </c>
      <c r="J1029">
        <f>IF($E1029="","",IF($E1028="",$E1029,$E1029*0.0198019802+J1028*0.9801980198))</f>
        <v>0</v>
      </c>
      <c r="K1029">
        <f>IF($E1029="","",IF($E1028="",$E1029,$E1029*0.0099502488+K1028*0.9900497512))</f>
        <v>0</v>
      </c>
      <c r="L1029">
        <f>IF(OR($E1029="",$E1028=""),"",MAX($E1029-$E1028,0))</f>
        <v>0</v>
      </c>
      <c r="M1029">
        <f>IF(OR($E1029="",$E1028=""),"",MAX($E1028-$E1029,0))</f>
        <v>0</v>
      </c>
      <c r="N1029">
        <f>IF(COUNT($E$2:$E1029)&lt;15,"",IF(AVERAGE($M$1016:$M$1029)=0,100,100-100/(1+AVERAGE($L$1016:$L$1029)/AVERAGE($M$1016:$M$1029))))</f>
        <v>0</v>
      </c>
      <c r="O1029">
        <f>IF($E1029="","",IF($E1028="",$E1029,$E1029*0.1538461538+O1028*0.8461538462))</f>
        <v>0</v>
      </c>
      <c r="P1029">
        <f>IF($E1029="","",IF($E1028="",$E1029,$E1029*0.0740740741+P1028*0.9259259259))</f>
        <v>0</v>
      </c>
      <c r="Q1029">
        <f>IF(OR(O1029="",P1029=""),"",O1029-P1029)</f>
        <v>0</v>
      </c>
      <c r="R1029">
        <f>IF(Q1029="","",IF(R1028="",Q1029,Q1029*0.2000000000+R1028*0.8000000000))</f>
        <v>0</v>
      </c>
      <c r="S1029">
        <f>IF(OR(Q1029="",R1029=""),"",Q1029-R1029)</f>
        <v>0</v>
      </c>
      <c r="T1029">
        <f>IF(COUNT($E$2:$E1029)&lt;14,"",MAX($C$1016:$C$1029))</f>
        <v>0</v>
      </c>
      <c r="U1029">
        <f>IF(COUNT($E$2:$E1029)&lt;14,"",MIN($D$1016:$D$1029))</f>
        <v>0</v>
      </c>
      <c r="V1029">
        <f>IF(OR(T1029="",U1029="",T1029=U1029),"",100*($E1029-U1029)/(T1029-U1029))</f>
        <v>0</v>
      </c>
      <c r="W1029">
        <f>IF(COUNT($V$1027:$V$1029)&lt;3,"",AVERAGE($V$1027:$V$1029))</f>
        <v>0</v>
      </c>
      <c r="X1029">
        <f>IF(COUNT($N$1016:$N$1029)&lt;14,"",MIN($N$1016:$N$1029))</f>
        <v>0</v>
      </c>
      <c r="Y1029">
        <f>IF(COUNT($N$1016:$N$1029)&lt;14,"",MAX($N$1016:$N$1029))</f>
        <v>0</v>
      </c>
      <c r="Z1029">
        <f>IF(OR(N1029="",X1029="",Y1029="",Y1029=X1029),"",100*(N1029-X1029)/(Y1029-X1029))</f>
        <v>0</v>
      </c>
      <c r="AA1029">
        <f>IF(COUNT($Z$1027:$Z$1029)&lt;3,"",AVERAGE($Z$1027:$Z$1029))</f>
        <v>0</v>
      </c>
      <c r="AB1029">
        <f>IF(COUNT($AA$1027:$AA$1029)&lt;3,"",AVERAGE($AA$1027:$AA$1029))</f>
        <v>0</v>
      </c>
      <c r="AC1029">
        <f>IF($E1029="","",MAX($C1029-$D1029,ABS($C1029-$E1028),ABS($D1029-$E1028)))</f>
        <v>0</v>
      </c>
      <c r="AD1029">
        <f>IF(COUNT($E$2:$E1029)&lt;15,"",AVERAGE($AC$1016:$AC$1029))</f>
        <v>0</v>
      </c>
      <c r="AE1029">
        <f>IF(OR($E1029="",$E1028=""),"",IF(AND(($C1029-$C1028)&gt;($D1028-$D1029),($C1029-$C1028)&gt;0),$C1029-$C1028,0))</f>
        <v>0</v>
      </c>
      <c r="AF1029">
        <f>IF(OR($E1029="",$E1028=""),"",IF(AND(($D1028-$D1029)&gt;($C1029-$C1028),($D1028-$D1029)&gt;0),$D1028-$D1029,0))</f>
        <v>0</v>
      </c>
      <c r="AG1029">
        <f>IF(COUNT($E$2:$E1029)&lt;15,"",IF(SUM($AC$1016:$AC$1029)=0,0,100*SUM($AE$1016:$AE$1029)/SUM($AC$1016:$AC$1029)))</f>
        <v>0</v>
      </c>
      <c r="AH1029">
        <f>IF(COUNT($E$2:$E1029)&lt;15,"",IF(SUM($AC$1016:$AC$1029)=0,0,100*SUM($AF$1016:$AF$1029)/SUM($AC$1016:$AC$1029)))</f>
        <v>0</v>
      </c>
      <c r="AI1029">
        <f>IF(OR(AG1029="",AH1029=""),"",IF((AG1029+AH1029)=0,0,100*ABS(AG1029-AH1029)/(AG1029+AH1029)))</f>
        <v>0</v>
      </c>
      <c r="AJ1029">
        <f>IF(COUNT($AI$1016:$AI$1029)&lt;14,"",AVERAGE($AI$1016:$AI$1029))</f>
        <v>0</v>
      </c>
      <c r="AK1029">
        <f>IF(COUNT($E$2:$E1029)&lt;20,"",AVERAGE($E$1010:$E$1029))</f>
        <v>0</v>
      </c>
      <c r="AL1029">
        <f>IF(COUNT($E$2:$E1029)&lt;20,"",STDEVP($E$1010:$E$1029))</f>
        <v>0</v>
      </c>
      <c r="AM1029">
        <f>IF(AK1029="","",AK1029+2*AL1029)</f>
        <v>0</v>
      </c>
      <c r="AN1029">
        <f>IF(AK1029="","",AK1029-2*AL1029)</f>
        <v>0</v>
      </c>
      <c r="AO1029">
        <f>IF(OR(AM1029="",AN1029="",AM1029=AN1029),"",($E1029-AN1029)/(AM1029-AN1029))</f>
        <v>0</v>
      </c>
      <c r="AP1029">
        <f>IF(OR(AM1029="",AK1029="",AK1029=0),"",(AM1029-AN1029)/AK1029)</f>
        <v>0</v>
      </c>
      <c r="AQ1029">
        <f>IF(COUNT($E$2:$E1029)&lt;20,"",MAX($C$1010:$C$1029))</f>
        <v>0</v>
      </c>
      <c r="AR1029">
        <f>IF(COUNT($E$2:$E1029)&lt;20,"",MIN($D$1010:$D$1029))</f>
        <v>0</v>
      </c>
      <c r="AS1029">
        <f>IF(OR(AQ1029="",AR1029=""),"",(AQ1029+AR1029)/2)</f>
        <v>0</v>
      </c>
      <c r="AT1029">
        <f>IF(COUNT($G$1010:$G$1029)&lt;20,"",STDEV($G$1010:$G$1029)*SQRT(252))</f>
        <v>0</v>
      </c>
      <c r="AU1029">
        <f>IF(COUNT($E$2:$E1029)&lt;9,"",(MAX($C$1021:$C$1029)+MIN($D$1021:$D$1029))/2)</f>
        <v>0</v>
      </c>
      <c r="AV1029">
        <f>IF(COUNT($E$2:$E1029)&lt;26,"",(MAX($C$1004:$C$1029)+MIN($D$1004:$D$1029))/2)</f>
        <v>0</v>
      </c>
      <c r="AW1029">
        <f>IF(OR(AU1029="",AV1029=""),"",(AU1029+AV1029)/2)</f>
        <v>0</v>
      </c>
      <c r="AX1029">
        <f>IF(COUNT($E$2:$E1029)&lt;52,"",(MAX($C$978:$C$1029)+MIN($D$978:$D$1029))/2)</f>
        <v>0</v>
      </c>
      <c r="AY1029">
        <f>IF(COUNT($E$2:$E1029)&lt;20,"",MAX($C$930:$C$1029))</f>
        <v>0</v>
      </c>
      <c r="AZ1029">
        <f>IF(COUNT($E$2:$E1029)&lt;20,"",MIN($D$930:$D$1029))</f>
        <v>0</v>
      </c>
      <c r="BA1029">
        <f>IF(COUNT($E$2:$E1029)&lt;20,"",SLOPE($E$930:$E$1029,$F$930:$F$1029))</f>
        <v>0</v>
      </c>
      <c r="BB1029">
        <f>IF(COUNT($E$2:$E1029)&lt;20,"",INTERCEPT($E$930:$E$1029,$F$930:$F$1029))</f>
        <v>0</v>
      </c>
      <c r="BC1029">
        <f>IF(OR(BA1029="",BB1029=""),"",BB1029+BA1029*F1029)</f>
        <v>0</v>
      </c>
      <c r="BD1029">
        <f>IF(COUNT($E$2:$E1029)&lt;20,"",STEYX($E$930:$E$1029,$F$930:$F$1029))</f>
        <v>0</v>
      </c>
      <c r="BE1029">
        <f>IF($E1029="","",IF(AND(COUNT($E$1030:$E$1033)&gt;=4,$C1029=MAX($C$1025:$C$1033)),$C1029,""))</f>
        <v>0</v>
      </c>
      <c r="BF1029">
        <f>IF($E1029="","",IF(AND(COUNT($E$1030:$E$1033)&gt;=4,$D1029=MIN($D$1025:$D$1033)),$D1029,""))</f>
        <v>0</v>
      </c>
      <c r="BG1029">
        <f>IF($A1029="","",$A1029-WEEKDAY($A1029,2)+1)</f>
        <v>0</v>
      </c>
      <c r="BH1029">
        <f>IF($A1029="","",IF($A1028="",1,IF(BG1029&lt;&gt;BG1028,1,0)))</f>
        <v>0</v>
      </c>
      <c r="BI1029">
        <f>IF($A1029="","",IF($A1030="",1,IF(BG1030&lt;&gt;BG1029,1,0)))</f>
        <v>0</v>
      </c>
      <c r="BJ1029">
        <f>IF($A1029="","",IF(BH1029=1,$B1029,BJ1028))</f>
        <v>0</v>
      </c>
      <c r="BK1029">
        <f>IF($A1029="","",IF(BH1029=1,$C1029,MAX($C1029,BK1028)))</f>
        <v>0</v>
      </c>
      <c r="BL1029">
        <f>IF($A1029="","",IF(BH1029=1,$D1029,MIN($D1029,BL1028)))</f>
        <v>0</v>
      </c>
      <c r="BM1029">
        <f>IF($A1029="","",IF(BI1029=1,F1029,""))</f>
        <v>0</v>
      </c>
      <c r="BN1029">
        <f>IF($A1029="","",DATE(YEAR($A1029),MONTH($A1029),1))</f>
        <v>0</v>
      </c>
      <c r="BO1029">
        <f>IF($A1029="","",IF($A1028="",1,IF(BN1029&lt;&gt;BN1028,1,0)))</f>
        <v>0</v>
      </c>
      <c r="BP1029">
        <f>IF($A1029="","",IF($A1030="",1,IF(BN1030&lt;&gt;BN1029,1,0)))</f>
        <v>0</v>
      </c>
      <c r="BQ1029">
        <f>IF($A1029="","",IF(BO1029=1,$B1029,BQ1028))</f>
        <v>0</v>
      </c>
      <c r="BR1029">
        <f>IF($A1029="","",IF(BO1029=1,$C1029,MAX($C1029,BR1028)))</f>
        <v>0</v>
      </c>
      <c r="BS1029">
        <f>IF($A1029="","",IF(BO1029=1,$D1029,MIN($D1029,BS1028)))</f>
        <v>0</v>
      </c>
      <c r="BT1029">
        <f>IF($A1029="","",IF(BP1029=1,F1029,""))</f>
        <v>0</v>
      </c>
    </row>
    <row r="1030" spans="1:72">
      <c r="A1030" s="27">
        <f>IF(Data!$A1030="","",Data!$A1030)</f>
        <v>0</v>
      </c>
      <c r="B1030">
        <f>IF(Data!$B1030="","",Data!$B1030)</f>
        <v>0</v>
      </c>
      <c r="C1030">
        <f>IF(Data!$C1030="","",Data!$C1030)</f>
        <v>0</v>
      </c>
      <c r="D1030">
        <f>IF(Data!$D1030="","",Data!$D1030)</f>
        <v>0</v>
      </c>
      <c r="E1030">
        <f>IF(Data!$E1030="","",Data!$E1030)</f>
        <v>0</v>
      </c>
      <c r="F1030">
        <f>IF($E1030="","",N(F1029)+1)</f>
        <v>0</v>
      </c>
      <c r="G1030">
        <f>IF(OR($E1030="",$E1029=""),"",LN($E1030/$E1029))</f>
        <v>0</v>
      </c>
      <c r="H1030">
        <f>IF($E1030="","",IF($E1029="",$E1030,$E1030*0.0952380952+H1029*0.9047619048))</f>
        <v>0</v>
      </c>
      <c r="I1030">
        <f>IF($E1030="","",IF($E1029="",$E1030,$E1030*0.0392156863+I1029*0.9607843137))</f>
        <v>0</v>
      </c>
      <c r="J1030">
        <f>IF($E1030="","",IF($E1029="",$E1030,$E1030*0.0198019802+J1029*0.9801980198))</f>
        <v>0</v>
      </c>
      <c r="K1030">
        <f>IF($E1030="","",IF($E1029="",$E1030,$E1030*0.0099502488+K1029*0.9900497512))</f>
        <v>0</v>
      </c>
      <c r="L1030">
        <f>IF(OR($E1030="",$E1029=""),"",MAX($E1030-$E1029,0))</f>
        <v>0</v>
      </c>
      <c r="M1030">
        <f>IF(OR($E1030="",$E1029=""),"",MAX($E1029-$E1030,0))</f>
        <v>0</v>
      </c>
      <c r="N1030">
        <f>IF(COUNT($E$2:$E1030)&lt;15,"",IF(AVERAGE($M$1017:$M$1030)=0,100,100-100/(1+AVERAGE($L$1017:$L$1030)/AVERAGE($M$1017:$M$1030))))</f>
        <v>0</v>
      </c>
      <c r="O1030">
        <f>IF($E1030="","",IF($E1029="",$E1030,$E1030*0.1538461538+O1029*0.8461538462))</f>
        <v>0</v>
      </c>
      <c r="P1030">
        <f>IF($E1030="","",IF($E1029="",$E1030,$E1030*0.0740740741+P1029*0.9259259259))</f>
        <v>0</v>
      </c>
      <c r="Q1030">
        <f>IF(OR(O1030="",P1030=""),"",O1030-P1030)</f>
        <v>0</v>
      </c>
      <c r="R1030">
        <f>IF(Q1030="","",IF(R1029="",Q1030,Q1030*0.2000000000+R1029*0.8000000000))</f>
        <v>0</v>
      </c>
      <c r="S1030">
        <f>IF(OR(Q1030="",R1030=""),"",Q1030-R1030)</f>
        <v>0</v>
      </c>
      <c r="T1030">
        <f>IF(COUNT($E$2:$E1030)&lt;14,"",MAX($C$1017:$C$1030))</f>
        <v>0</v>
      </c>
      <c r="U1030">
        <f>IF(COUNT($E$2:$E1030)&lt;14,"",MIN($D$1017:$D$1030))</f>
        <v>0</v>
      </c>
      <c r="V1030">
        <f>IF(OR(T1030="",U1030="",T1030=U1030),"",100*($E1030-U1030)/(T1030-U1030))</f>
        <v>0</v>
      </c>
      <c r="W1030">
        <f>IF(COUNT($V$1028:$V$1030)&lt;3,"",AVERAGE($V$1028:$V$1030))</f>
        <v>0</v>
      </c>
      <c r="X1030">
        <f>IF(COUNT($N$1017:$N$1030)&lt;14,"",MIN($N$1017:$N$1030))</f>
        <v>0</v>
      </c>
      <c r="Y1030">
        <f>IF(COUNT($N$1017:$N$1030)&lt;14,"",MAX($N$1017:$N$1030))</f>
        <v>0</v>
      </c>
      <c r="Z1030">
        <f>IF(OR(N1030="",X1030="",Y1030="",Y1030=X1030),"",100*(N1030-X1030)/(Y1030-X1030))</f>
        <v>0</v>
      </c>
      <c r="AA1030">
        <f>IF(COUNT($Z$1028:$Z$1030)&lt;3,"",AVERAGE($Z$1028:$Z$1030))</f>
        <v>0</v>
      </c>
      <c r="AB1030">
        <f>IF(COUNT($AA$1028:$AA$1030)&lt;3,"",AVERAGE($AA$1028:$AA$1030))</f>
        <v>0</v>
      </c>
      <c r="AC1030">
        <f>IF($E1030="","",MAX($C1030-$D1030,ABS($C1030-$E1029),ABS($D1030-$E1029)))</f>
        <v>0</v>
      </c>
      <c r="AD1030">
        <f>IF(COUNT($E$2:$E1030)&lt;15,"",AVERAGE($AC$1017:$AC$1030))</f>
        <v>0</v>
      </c>
      <c r="AE1030">
        <f>IF(OR($E1030="",$E1029=""),"",IF(AND(($C1030-$C1029)&gt;($D1029-$D1030),($C1030-$C1029)&gt;0),$C1030-$C1029,0))</f>
        <v>0</v>
      </c>
      <c r="AF1030">
        <f>IF(OR($E1030="",$E1029=""),"",IF(AND(($D1029-$D1030)&gt;($C1030-$C1029),($D1029-$D1030)&gt;0),$D1029-$D1030,0))</f>
        <v>0</v>
      </c>
      <c r="AG1030">
        <f>IF(COUNT($E$2:$E1030)&lt;15,"",IF(SUM($AC$1017:$AC$1030)=0,0,100*SUM($AE$1017:$AE$1030)/SUM($AC$1017:$AC$1030)))</f>
        <v>0</v>
      </c>
      <c r="AH1030">
        <f>IF(COUNT($E$2:$E1030)&lt;15,"",IF(SUM($AC$1017:$AC$1030)=0,0,100*SUM($AF$1017:$AF$1030)/SUM($AC$1017:$AC$1030)))</f>
        <v>0</v>
      </c>
      <c r="AI1030">
        <f>IF(OR(AG1030="",AH1030=""),"",IF((AG1030+AH1030)=0,0,100*ABS(AG1030-AH1030)/(AG1030+AH1030)))</f>
        <v>0</v>
      </c>
      <c r="AJ1030">
        <f>IF(COUNT($AI$1017:$AI$1030)&lt;14,"",AVERAGE($AI$1017:$AI$1030))</f>
        <v>0</v>
      </c>
      <c r="AK1030">
        <f>IF(COUNT($E$2:$E1030)&lt;20,"",AVERAGE($E$1011:$E$1030))</f>
        <v>0</v>
      </c>
      <c r="AL1030">
        <f>IF(COUNT($E$2:$E1030)&lt;20,"",STDEVP($E$1011:$E$1030))</f>
        <v>0</v>
      </c>
      <c r="AM1030">
        <f>IF(AK1030="","",AK1030+2*AL1030)</f>
        <v>0</v>
      </c>
      <c r="AN1030">
        <f>IF(AK1030="","",AK1030-2*AL1030)</f>
        <v>0</v>
      </c>
      <c r="AO1030">
        <f>IF(OR(AM1030="",AN1030="",AM1030=AN1030),"",($E1030-AN1030)/(AM1030-AN1030))</f>
        <v>0</v>
      </c>
      <c r="AP1030">
        <f>IF(OR(AM1030="",AK1030="",AK1030=0),"",(AM1030-AN1030)/AK1030)</f>
        <v>0</v>
      </c>
      <c r="AQ1030">
        <f>IF(COUNT($E$2:$E1030)&lt;20,"",MAX($C$1011:$C$1030))</f>
        <v>0</v>
      </c>
      <c r="AR1030">
        <f>IF(COUNT($E$2:$E1030)&lt;20,"",MIN($D$1011:$D$1030))</f>
        <v>0</v>
      </c>
      <c r="AS1030">
        <f>IF(OR(AQ1030="",AR1030=""),"",(AQ1030+AR1030)/2)</f>
        <v>0</v>
      </c>
      <c r="AT1030">
        <f>IF(COUNT($G$1011:$G$1030)&lt;20,"",STDEV($G$1011:$G$1030)*SQRT(252))</f>
        <v>0</v>
      </c>
      <c r="AU1030">
        <f>IF(COUNT($E$2:$E1030)&lt;9,"",(MAX($C$1022:$C$1030)+MIN($D$1022:$D$1030))/2)</f>
        <v>0</v>
      </c>
      <c r="AV1030">
        <f>IF(COUNT($E$2:$E1030)&lt;26,"",(MAX($C$1005:$C$1030)+MIN($D$1005:$D$1030))/2)</f>
        <v>0</v>
      </c>
      <c r="AW1030">
        <f>IF(OR(AU1030="",AV1030=""),"",(AU1030+AV1030)/2)</f>
        <v>0</v>
      </c>
      <c r="AX1030">
        <f>IF(COUNT($E$2:$E1030)&lt;52,"",(MAX($C$979:$C$1030)+MIN($D$979:$D$1030))/2)</f>
        <v>0</v>
      </c>
      <c r="AY1030">
        <f>IF(COUNT($E$2:$E1030)&lt;20,"",MAX($C$931:$C$1030))</f>
        <v>0</v>
      </c>
      <c r="AZ1030">
        <f>IF(COUNT($E$2:$E1030)&lt;20,"",MIN($D$931:$D$1030))</f>
        <v>0</v>
      </c>
      <c r="BA1030">
        <f>IF(COUNT($E$2:$E1030)&lt;20,"",SLOPE($E$931:$E$1030,$F$931:$F$1030))</f>
        <v>0</v>
      </c>
      <c r="BB1030">
        <f>IF(COUNT($E$2:$E1030)&lt;20,"",INTERCEPT($E$931:$E$1030,$F$931:$F$1030))</f>
        <v>0</v>
      </c>
      <c r="BC1030">
        <f>IF(OR(BA1030="",BB1030=""),"",BB1030+BA1030*F1030)</f>
        <v>0</v>
      </c>
      <c r="BD1030">
        <f>IF(COUNT($E$2:$E1030)&lt;20,"",STEYX($E$931:$E$1030,$F$931:$F$1030))</f>
        <v>0</v>
      </c>
      <c r="BE1030">
        <f>IF($E1030="","",IF(AND(COUNT($E$1031:$E$1034)&gt;=4,$C1030=MAX($C$1026:$C$1034)),$C1030,""))</f>
        <v>0</v>
      </c>
      <c r="BF1030">
        <f>IF($E1030="","",IF(AND(COUNT($E$1031:$E$1034)&gt;=4,$D1030=MIN($D$1026:$D$1034)),$D1030,""))</f>
        <v>0</v>
      </c>
      <c r="BG1030">
        <f>IF($A1030="","",$A1030-WEEKDAY($A1030,2)+1)</f>
        <v>0</v>
      </c>
      <c r="BH1030">
        <f>IF($A1030="","",IF($A1029="",1,IF(BG1030&lt;&gt;BG1029,1,0)))</f>
        <v>0</v>
      </c>
      <c r="BI1030">
        <f>IF($A1030="","",IF($A1031="",1,IF(BG1031&lt;&gt;BG1030,1,0)))</f>
        <v>0</v>
      </c>
      <c r="BJ1030">
        <f>IF($A1030="","",IF(BH1030=1,$B1030,BJ1029))</f>
        <v>0</v>
      </c>
      <c r="BK1030">
        <f>IF($A1030="","",IF(BH1030=1,$C1030,MAX($C1030,BK1029)))</f>
        <v>0</v>
      </c>
      <c r="BL1030">
        <f>IF($A1030="","",IF(BH1030=1,$D1030,MIN($D1030,BL1029)))</f>
        <v>0</v>
      </c>
      <c r="BM1030">
        <f>IF($A1030="","",IF(BI1030=1,F1030,""))</f>
        <v>0</v>
      </c>
      <c r="BN1030">
        <f>IF($A1030="","",DATE(YEAR($A1030),MONTH($A1030),1))</f>
        <v>0</v>
      </c>
      <c r="BO1030">
        <f>IF($A1030="","",IF($A1029="",1,IF(BN1030&lt;&gt;BN1029,1,0)))</f>
        <v>0</v>
      </c>
      <c r="BP1030">
        <f>IF($A1030="","",IF($A1031="",1,IF(BN1031&lt;&gt;BN1030,1,0)))</f>
        <v>0</v>
      </c>
      <c r="BQ1030">
        <f>IF($A1030="","",IF(BO1030=1,$B1030,BQ1029))</f>
        <v>0</v>
      </c>
      <c r="BR1030">
        <f>IF($A1030="","",IF(BO1030=1,$C1030,MAX($C1030,BR1029)))</f>
        <v>0</v>
      </c>
      <c r="BS1030">
        <f>IF($A1030="","",IF(BO1030=1,$D1030,MIN($D1030,BS1029)))</f>
        <v>0</v>
      </c>
      <c r="BT1030">
        <f>IF($A1030="","",IF(BP1030=1,F1030,""))</f>
        <v>0</v>
      </c>
    </row>
    <row r="1031" spans="1:72">
      <c r="A1031" s="27">
        <f>IF(Data!$A1031="","",Data!$A1031)</f>
        <v>0</v>
      </c>
      <c r="B1031">
        <f>IF(Data!$B1031="","",Data!$B1031)</f>
        <v>0</v>
      </c>
      <c r="C1031">
        <f>IF(Data!$C1031="","",Data!$C1031)</f>
        <v>0</v>
      </c>
      <c r="D1031">
        <f>IF(Data!$D1031="","",Data!$D1031)</f>
        <v>0</v>
      </c>
      <c r="E1031">
        <f>IF(Data!$E1031="","",Data!$E1031)</f>
        <v>0</v>
      </c>
      <c r="F1031">
        <f>IF($E1031="","",N(F1030)+1)</f>
        <v>0</v>
      </c>
      <c r="G1031">
        <f>IF(OR($E1031="",$E1030=""),"",LN($E1031/$E1030))</f>
        <v>0</v>
      </c>
      <c r="H1031">
        <f>IF($E1031="","",IF($E1030="",$E1031,$E1031*0.0952380952+H1030*0.9047619048))</f>
        <v>0</v>
      </c>
      <c r="I1031">
        <f>IF($E1031="","",IF($E1030="",$E1031,$E1031*0.0392156863+I1030*0.9607843137))</f>
        <v>0</v>
      </c>
      <c r="J1031">
        <f>IF($E1031="","",IF($E1030="",$E1031,$E1031*0.0198019802+J1030*0.9801980198))</f>
        <v>0</v>
      </c>
      <c r="K1031">
        <f>IF($E1031="","",IF($E1030="",$E1031,$E1031*0.0099502488+K1030*0.9900497512))</f>
        <v>0</v>
      </c>
      <c r="L1031">
        <f>IF(OR($E1031="",$E1030=""),"",MAX($E1031-$E1030,0))</f>
        <v>0</v>
      </c>
      <c r="M1031">
        <f>IF(OR($E1031="",$E1030=""),"",MAX($E1030-$E1031,0))</f>
        <v>0</v>
      </c>
      <c r="N1031">
        <f>IF(COUNT($E$2:$E1031)&lt;15,"",IF(AVERAGE($M$1018:$M$1031)=0,100,100-100/(1+AVERAGE($L$1018:$L$1031)/AVERAGE($M$1018:$M$1031))))</f>
        <v>0</v>
      </c>
      <c r="O1031">
        <f>IF($E1031="","",IF($E1030="",$E1031,$E1031*0.1538461538+O1030*0.8461538462))</f>
        <v>0</v>
      </c>
      <c r="P1031">
        <f>IF($E1031="","",IF($E1030="",$E1031,$E1031*0.0740740741+P1030*0.9259259259))</f>
        <v>0</v>
      </c>
      <c r="Q1031">
        <f>IF(OR(O1031="",P1031=""),"",O1031-P1031)</f>
        <v>0</v>
      </c>
      <c r="R1031">
        <f>IF(Q1031="","",IF(R1030="",Q1031,Q1031*0.2000000000+R1030*0.8000000000))</f>
        <v>0</v>
      </c>
      <c r="S1031">
        <f>IF(OR(Q1031="",R1031=""),"",Q1031-R1031)</f>
        <v>0</v>
      </c>
      <c r="T1031">
        <f>IF(COUNT($E$2:$E1031)&lt;14,"",MAX($C$1018:$C$1031))</f>
        <v>0</v>
      </c>
      <c r="U1031">
        <f>IF(COUNT($E$2:$E1031)&lt;14,"",MIN($D$1018:$D$1031))</f>
        <v>0</v>
      </c>
      <c r="V1031">
        <f>IF(OR(T1031="",U1031="",T1031=U1031),"",100*($E1031-U1031)/(T1031-U1031))</f>
        <v>0</v>
      </c>
      <c r="W1031">
        <f>IF(COUNT($V$1029:$V$1031)&lt;3,"",AVERAGE($V$1029:$V$1031))</f>
        <v>0</v>
      </c>
      <c r="X1031">
        <f>IF(COUNT($N$1018:$N$1031)&lt;14,"",MIN($N$1018:$N$1031))</f>
        <v>0</v>
      </c>
      <c r="Y1031">
        <f>IF(COUNT($N$1018:$N$1031)&lt;14,"",MAX($N$1018:$N$1031))</f>
        <v>0</v>
      </c>
      <c r="Z1031">
        <f>IF(OR(N1031="",X1031="",Y1031="",Y1031=X1031),"",100*(N1031-X1031)/(Y1031-X1031))</f>
        <v>0</v>
      </c>
      <c r="AA1031">
        <f>IF(COUNT($Z$1029:$Z$1031)&lt;3,"",AVERAGE($Z$1029:$Z$1031))</f>
        <v>0</v>
      </c>
      <c r="AB1031">
        <f>IF(COUNT($AA$1029:$AA$1031)&lt;3,"",AVERAGE($AA$1029:$AA$1031))</f>
        <v>0</v>
      </c>
      <c r="AC1031">
        <f>IF($E1031="","",MAX($C1031-$D1031,ABS($C1031-$E1030),ABS($D1031-$E1030)))</f>
        <v>0</v>
      </c>
      <c r="AD1031">
        <f>IF(COUNT($E$2:$E1031)&lt;15,"",AVERAGE($AC$1018:$AC$1031))</f>
        <v>0</v>
      </c>
      <c r="AE1031">
        <f>IF(OR($E1031="",$E1030=""),"",IF(AND(($C1031-$C1030)&gt;($D1030-$D1031),($C1031-$C1030)&gt;0),$C1031-$C1030,0))</f>
        <v>0</v>
      </c>
      <c r="AF1031">
        <f>IF(OR($E1031="",$E1030=""),"",IF(AND(($D1030-$D1031)&gt;($C1031-$C1030),($D1030-$D1031)&gt;0),$D1030-$D1031,0))</f>
        <v>0</v>
      </c>
      <c r="AG1031">
        <f>IF(COUNT($E$2:$E1031)&lt;15,"",IF(SUM($AC$1018:$AC$1031)=0,0,100*SUM($AE$1018:$AE$1031)/SUM($AC$1018:$AC$1031)))</f>
        <v>0</v>
      </c>
      <c r="AH1031">
        <f>IF(COUNT($E$2:$E1031)&lt;15,"",IF(SUM($AC$1018:$AC$1031)=0,0,100*SUM($AF$1018:$AF$1031)/SUM($AC$1018:$AC$1031)))</f>
        <v>0</v>
      </c>
      <c r="AI1031">
        <f>IF(OR(AG1031="",AH1031=""),"",IF((AG1031+AH1031)=0,0,100*ABS(AG1031-AH1031)/(AG1031+AH1031)))</f>
        <v>0</v>
      </c>
      <c r="AJ1031">
        <f>IF(COUNT($AI$1018:$AI$1031)&lt;14,"",AVERAGE($AI$1018:$AI$1031))</f>
        <v>0</v>
      </c>
      <c r="AK1031">
        <f>IF(COUNT($E$2:$E1031)&lt;20,"",AVERAGE($E$1012:$E$1031))</f>
        <v>0</v>
      </c>
      <c r="AL1031">
        <f>IF(COUNT($E$2:$E1031)&lt;20,"",STDEVP($E$1012:$E$1031))</f>
        <v>0</v>
      </c>
      <c r="AM1031">
        <f>IF(AK1031="","",AK1031+2*AL1031)</f>
        <v>0</v>
      </c>
      <c r="AN1031">
        <f>IF(AK1031="","",AK1031-2*AL1031)</f>
        <v>0</v>
      </c>
      <c r="AO1031">
        <f>IF(OR(AM1031="",AN1031="",AM1031=AN1031),"",($E1031-AN1031)/(AM1031-AN1031))</f>
        <v>0</v>
      </c>
      <c r="AP1031">
        <f>IF(OR(AM1031="",AK1031="",AK1031=0),"",(AM1031-AN1031)/AK1031)</f>
        <v>0</v>
      </c>
      <c r="AQ1031">
        <f>IF(COUNT($E$2:$E1031)&lt;20,"",MAX($C$1012:$C$1031))</f>
        <v>0</v>
      </c>
      <c r="AR1031">
        <f>IF(COUNT($E$2:$E1031)&lt;20,"",MIN($D$1012:$D$1031))</f>
        <v>0</v>
      </c>
      <c r="AS1031">
        <f>IF(OR(AQ1031="",AR1031=""),"",(AQ1031+AR1031)/2)</f>
        <v>0</v>
      </c>
      <c r="AT1031">
        <f>IF(COUNT($G$1012:$G$1031)&lt;20,"",STDEV($G$1012:$G$1031)*SQRT(252))</f>
        <v>0</v>
      </c>
      <c r="AU1031">
        <f>IF(COUNT($E$2:$E1031)&lt;9,"",(MAX($C$1023:$C$1031)+MIN($D$1023:$D$1031))/2)</f>
        <v>0</v>
      </c>
      <c r="AV1031">
        <f>IF(COUNT($E$2:$E1031)&lt;26,"",(MAX($C$1006:$C$1031)+MIN($D$1006:$D$1031))/2)</f>
        <v>0</v>
      </c>
      <c r="AW1031">
        <f>IF(OR(AU1031="",AV1031=""),"",(AU1031+AV1031)/2)</f>
        <v>0</v>
      </c>
      <c r="AX1031">
        <f>IF(COUNT($E$2:$E1031)&lt;52,"",(MAX($C$980:$C$1031)+MIN($D$980:$D$1031))/2)</f>
        <v>0</v>
      </c>
      <c r="AY1031">
        <f>IF(COUNT($E$2:$E1031)&lt;20,"",MAX($C$932:$C$1031))</f>
        <v>0</v>
      </c>
      <c r="AZ1031">
        <f>IF(COUNT($E$2:$E1031)&lt;20,"",MIN($D$932:$D$1031))</f>
        <v>0</v>
      </c>
      <c r="BA1031">
        <f>IF(COUNT($E$2:$E1031)&lt;20,"",SLOPE($E$932:$E$1031,$F$932:$F$1031))</f>
        <v>0</v>
      </c>
      <c r="BB1031">
        <f>IF(COUNT($E$2:$E1031)&lt;20,"",INTERCEPT($E$932:$E$1031,$F$932:$F$1031))</f>
        <v>0</v>
      </c>
      <c r="BC1031">
        <f>IF(OR(BA1031="",BB1031=""),"",BB1031+BA1031*F1031)</f>
        <v>0</v>
      </c>
      <c r="BD1031">
        <f>IF(COUNT($E$2:$E1031)&lt;20,"",STEYX($E$932:$E$1031,$F$932:$F$1031))</f>
        <v>0</v>
      </c>
      <c r="BE1031">
        <f>IF($E1031="","",IF(AND(COUNT($E$1032:$E$1035)&gt;=4,$C1031=MAX($C$1027:$C$1035)),$C1031,""))</f>
        <v>0</v>
      </c>
      <c r="BF1031">
        <f>IF($E1031="","",IF(AND(COUNT($E$1032:$E$1035)&gt;=4,$D1031=MIN($D$1027:$D$1035)),$D1031,""))</f>
        <v>0</v>
      </c>
      <c r="BG1031">
        <f>IF($A1031="","",$A1031-WEEKDAY($A1031,2)+1)</f>
        <v>0</v>
      </c>
      <c r="BH1031">
        <f>IF($A1031="","",IF($A1030="",1,IF(BG1031&lt;&gt;BG1030,1,0)))</f>
        <v>0</v>
      </c>
      <c r="BI1031">
        <f>IF($A1031="","",IF($A1032="",1,IF(BG1032&lt;&gt;BG1031,1,0)))</f>
        <v>0</v>
      </c>
      <c r="BJ1031">
        <f>IF($A1031="","",IF(BH1031=1,$B1031,BJ1030))</f>
        <v>0</v>
      </c>
      <c r="BK1031">
        <f>IF($A1031="","",IF(BH1031=1,$C1031,MAX($C1031,BK1030)))</f>
        <v>0</v>
      </c>
      <c r="BL1031">
        <f>IF($A1031="","",IF(BH1031=1,$D1031,MIN($D1031,BL1030)))</f>
        <v>0</v>
      </c>
      <c r="BM1031">
        <f>IF($A1031="","",IF(BI1031=1,F1031,""))</f>
        <v>0</v>
      </c>
      <c r="BN1031">
        <f>IF($A1031="","",DATE(YEAR($A1031),MONTH($A1031),1))</f>
        <v>0</v>
      </c>
      <c r="BO1031">
        <f>IF($A1031="","",IF($A1030="",1,IF(BN1031&lt;&gt;BN1030,1,0)))</f>
        <v>0</v>
      </c>
      <c r="BP1031">
        <f>IF($A1031="","",IF($A1032="",1,IF(BN1032&lt;&gt;BN1031,1,0)))</f>
        <v>0</v>
      </c>
      <c r="BQ1031">
        <f>IF($A1031="","",IF(BO1031=1,$B1031,BQ1030))</f>
        <v>0</v>
      </c>
      <c r="BR1031">
        <f>IF($A1031="","",IF(BO1031=1,$C1031,MAX($C1031,BR1030)))</f>
        <v>0</v>
      </c>
      <c r="BS1031">
        <f>IF($A1031="","",IF(BO1031=1,$D1031,MIN($D1031,BS1030)))</f>
        <v>0</v>
      </c>
      <c r="BT1031">
        <f>IF($A1031="","",IF(BP1031=1,F1031,""))</f>
        <v>0</v>
      </c>
    </row>
    <row r="1032" spans="1:72">
      <c r="A1032" s="27">
        <f>IF(Data!$A1032="","",Data!$A1032)</f>
        <v>0</v>
      </c>
      <c r="B1032">
        <f>IF(Data!$B1032="","",Data!$B1032)</f>
        <v>0</v>
      </c>
      <c r="C1032">
        <f>IF(Data!$C1032="","",Data!$C1032)</f>
        <v>0</v>
      </c>
      <c r="D1032">
        <f>IF(Data!$D1032="","",Data!$D1032)</f>
        <v>0</v>
      </c>
      <c r="E1032">
        <f>IF(Data!$E1032="","",Data!$E1032)</f>
        <v>0</v>
      </c>
      <c r="F1032">
        <f>IF($E1032="","",N(F1031)+1)</f>
        <v>0</v>
      </c>
      <c r="G1032">
        <f>IF(OR($E1032="",$E1031=""),"",LN($E1032/$E1031))</f>
        <v>0</v>
      </c>
      <c r="H1032">
        <f>IF($E1032="","",IF($E1031="",$E1032,$E1032*0.0952380952+H1031*0.9047619048))</f>
        <v>0</v>
      </c>
      <c r="I1032">
        <f>IF($E1032="","",IF($E1031="",$E1032,$E1032*0.0392156863+I1031*0.9607843137))</f>
        <v>0</v>
      </c>
      <c r="J1032">
        <f>IF($E1032="","",IF($E1031="",$E1032,$E1032*0.0198019802+J1031*0.9801980198))</f>
        <v>0</v>
      </c>
      <c r="K1032">
        <f>IF($E1032="","",IF($E1031="",$E1032,$E1032*0.0099502488+K1031*0.9900497512))</f>
        <v>0</v>
      </c>
      <c r="L1032">
        <f>IF(OR($E1032="",$E1031=""),"",MAX($E1032-$E1031,0))</f>
        <v>0</v>
      </c>
      <c r="M1032">
        <f>IF(OR($E1032="",$E1031=""),"",MAX($E1031-$E1032,0))</f>
        <v>0</v>
      </c>
      <c r="N1032">
        <f>IF(COUNT($E$2:$E1032)&lt;15,"",IF(AVERAGE($M$1019:$M$1032)=0,100,100-100/(1+AVERAGE($L$1019:$L$1032)/AVERAGE($M$1019:$M$1032))))</f>
        <v>0</v>
      </c>
      <c r="O1032">
        <f>IF($E1032="","",IF($E1031="",$E1032,$E1032*0.1538461538+O1031*0.8461538462))</f>
        <v>0</v>
      </c>
      <c r="P1032">
        <f>IF($E1032="","",IF($E1031="",$E1032,$E1032*0.0740740741+P1031*0.9259259259))</f>
        <v>0</v>
      </c>
      <c r="Q1032">
        <f>IF(OR(O1032="",P1032=""),"",O1032-P1032)</f>
        <v>0</v>
      </c>
      <c r="R1032">
        <f>IF(Q1032="","",IF(R1031="",Q1032,Q1032*0.2000000000+R1031*0.8000000000))</f>
        <v>0</v>
      </c>
      <c r="S1032">
        <f>IF(OR(Q1032="",R1032=""),"",Q1032-R1032)</f>
        <v>0</v>
      </c>
      <c r="T1032">
        <f>IF(COUNT($E$2:$E1032)&lt;14,"",MAX($C$1019:$C$1032))</f>
        <v>0</v>
      </c>
      <c r="U1032">
        <f>IF(COUNT($E$2:$E1032)&lt;14,"",MIN($D$1019:$D$1032))</f>
        <v>0</v>
      </c>
      <c r="V1032">
        <f>IF(OR(T1032="",U1032="",T1032=U1032),"",100*($E1032-U1032)/(T1032-U1032))</f>
        <v>0</v>
      </c>
      <c r="W1032">
        <f>IF(COUNT($V$1030:$V$1032)&lt;3,"",AVERAGE($V$1030:$V$1032))</f>
        <v>0</v>
      </c>
      <c r="X1032">
        <f>IF(COUNT($N$1019:$N$1032)&lt;14,"",MIN($N$1019:$N$1032))</f>
        <v>0</v>
      </c>
      <c r="Y1032">
        <f>IF(COUNT($N$1019:$N$1032)&lt;14,"",MAX($N$1019:$N$1032))</f>
        <v>0</v>
      </c>
      <c r="Z1032">
        <f>IF(OR(N1032="",X1032="",Y1032="",Y1032=X1032),"",100*(N1032-X1032)/(Y1032-X1032))</f>
        <v>0</v>
      </c>
      <c r="AA1032">
        <f>IF(COUNT($Z$1030:$Z$1032)&lt;3,"",AVERAGE($Z$1030:$Z$1032))</f>
        <v>0</v>
      </c>
      <c r="AB1032">
        <f>IF(COUNT($AA$1030:$AA$1032)&lt;3,"",AVERAGE($AA$1030:$AA$1032))</f>
        <v>0</v>
      </c>
      <c r="AC1032">
        <f>IF($E1032="","",MAX($C1032-$D1032,ABS($C1032-$E1031),ABS($D1032-$E1031)))</f>
        <v>0</v>
      </c>
      <c r="AD1032">
        <f>IF(COUNT($E$2:$E1032)&lt;15,"",AVERAGE($AC$1019:$AC$1032))</f>
        <v>0</v>
      </c>
      <c r="AE1032">
        <f>IF(OR($E1032="",$E1031=""),"",IF(AND(($C1032-$C1031)&gt;($D1031-$D1032),($C1032-$C1031)&gt;0),$C1032-$C1031,0))</f>
        <v>0</v>
      </c>
      <c r="AF1032">
        <f>IF(OR($E1032="",$E1031=""),"",IF(AND(($D1031-$D1032)&gt;($C1032-$C1031),($D1031-$D1032)&gt;0),$D1031-$D1032,0))</f>
        <v>0</v>
      </c>
      <c r="AG1032">
        <f>IF(COUNT($E$2:$E1032)&lt;15,"",IF(SUM($AC$1019:$AC$1032)=0,0,100*SUM($AE$1019:$AE$1032)/SUM($AC$1019:$AC$1032)))</f>
        <v>0</v>
      </c>
      <c r="AH1032">
        <f>IF(COUNT($E$2:$E1032)&lt;15,"",IF(SUM($AC$1019:$AC$1032)=0,0,100*SUM($AF$1019:$AF$1032)/SUM($AC$1019:$AC$1032)))</f>
        <v>0</v>
      </c>
      <c r="AI1032">
        <f>IF(OR(AG1032="",AH1032=""),"",IF((AG1032+AH1032)=0,0,100*ABS(AG1032-AH1032)/(AG1032+AH1032)))</f>
        <v>0</v>
      </c>
      <c r="AJ1032">
        <f>IF(COUNT($AI$1019:$AI$1032)&lt;14,"",AVERAGE($AI$1019:$AI$1032))</f>
        <v>0</v>
      </c>
      <c r="AK1032">
        <f>IF(COUNT($E$2:$E1032)&lt;20,"",AVERAGE($E$1013:$E$1032))</f>
        <v>0</v>
      </c>
      <c r="AL1032">
        <f>IF(COUNT($E$2:$E1032)&lt;20,"",STDEVP($E$1013:$E$1032))</f>
        <v>0</v>
      </c>
      <c r="AM1032">
        <f>IF(AK1032="","",AK1032+2*AL1032)</f>
        <v>0</v>
      </c>
      <c r="AN1032">
        <f>IF(AK1032="","",AK1032-2*AL1032)</f>
        <v>0</v>
      </c>
      <c r="AO1032">
        <f>IF(OR(AM1032="",AN1032="",AM1032=AN1032),"",($E1032-AN1032)/(AM1032-AN1032))</f>
        <v>0</v>
      </c>
      <c r="AP1032">
        <f>IF(OR(AM1032="",AK1032="",AK1032=0),"",(AM1032-AN1032)/AK1032)</f>
        <v>0</v>
      </c>
      <c r="AQ1032">
        <f>IF(COUNT($E$2:$E1032)&lt;20,"",MAX($C$1013:$C$1032))</f>
        <v>0</v>
      </c>
      <c r="AR1032">
        <f>IF(COUNT($E$2:$E1032)&lt;20,"",MIN($D$1013:$D$1032))</f>
        <v>0</v>
      </c>
      <c r="AS1032">
        <f>IF(OR(AQ1032="",AR1032=""),"",(AQ1032+AR1032)/2)</f>
        <v>0</v>
      </c>
      <c r="AT1032">
        <f>IF(COUNT($G$1013:$G$1032)&lt;20,"",STDEV($G$1013:$G$1032)*SQRT(252))</f>
        <v>0</v>
      </c>
      <c r="AU1032">
        <f>IF(COUNT($E$2:$E1032)&lt;9,"",(MAX($C$1024:$C$1032)+MIN($D$1024:$D$1032))/2)</f>
        <v>0</v>
      </c>
      <c r="AV1032">
        <f>IF(COUNT($E$2:$E1032)&lt;26,"",(MAX($C$1007:$C$1032)+MIN($D$1007:$D$1032))/2)</f>
        <v>0</v>
      </c>
      <c r="AW1032">
        <f>IF(OR(AU1032="",AV1032=""),"",(AU1032+AV1032)/2)</f>
        <v>0</v>
      </c>
      <c r="AX1032">
        <f>IF(COUNT($E$2:$E1032)&lt;52,"",(MAX($C$981:$C$1032)+MIN($D$981:$D$1032))/2)</f>
        <v>0</v>
      </c>
      <c r="AY1032">
        <f>IF(COUNT($E$2:$E1032)&lt;20,"",MAX($C$933:$C$1032))</f>
        <v>0</v>
      </c>
      <c r="AZ1032">
        <f>IF(COUNT($E$2:$E1032)&lt;20,"",MIN($D$933:$D$1032))</f>
        <v>0</v>
      </c>
      <c r="BA1032">
        <f>IF(COUNT($E$2:$E1032)&lt;20,"",SLOPE($E$933:$E$1032,$F$933:$F$1032))</f>
        <v>0</v>
      </c>
      <c r="BB1032">
        <f>IF(COUNT($E$2:$E1032)&lt;20,"",INTERCEPT($E$933:$E$1032,$F$933:$F$1032))</f>
        <v>0</v>
      </c>
      <c r="BC1032">
        <f>IF(OR(BA1032="",BB1032=""),"",BB1032+BA1032*F1032)</f>
        <v>0</v>
      </c>
      <c r="BD1032">
        <f>IF(COUNT($E$2:$E1032)&lt;20,"",STEYX($E$933:$E$1032,$F$933:$F$1032))</f>
        <v>0</v>
      </c>
      <c r="BE1032">
        <f>IF($E1032="","",IF(AND(COUNT($E$1033:$E$1036)&gt;=4,$C1032=MAX($C$1028:$C$1036)),$C1032,""))</f>
        <v>0</v>
      </c>
      <c r="BF1032">
        <f>IF($E1032="","",IF(AND(COUNT($E$1033:$E$1036)&gt;=4,$D1032=MIN($D$1028:$D$1036)),$D1032,""))</f>
        <v>0</v>
      </c>
      <c r="BG1032">
        <f>IF($A1032="","",$A1032-WEEKDAY($A1032,2)+1)</f>
        <v>0</v>
      </c>
      <c r="BH1032">
        <f>IF($A1032="","",IF($A1031="",1,IF(BG1032&lt;&gt;BG1031,1,0)))</f>
        <v>0</v>
      </c>
      <c r="BI1032">
        <f>IF($A1032="","",IF($A1033="",1,IF(BG1033&lt;&gt;BG1032,1,0)))</f>
        <v>0</v>
      </c>
      <c r="BJ1032">
        <f>IF($A1032="","",IF(BH1032=1,$B1032,BJ1031))</f>
        <v>0</v>
      </c>
      <c r="BK1032">
        <f>IF($A1032="","",IF(BH1032=1,$C1032,MAX($C1032,BK1031)))</f>
        <v>0</v>
      </c>
      <c r="BL1032">
        <f>IF($A1032="","",IF(BH1032=1,$D1032,MIN($D1032,BL1031)))</f>
        <v>0</v>
      </c>
      <c r="BM1032">
        <f>IF($A1032="","",IF(BI1032=1,F1032,""))</f>
        <v>0</v>
      </c>
      <c r="BN1032">
        <f>IF($A1032="","",DATE(YEAR($A1032),MONTH($A1032),1))</f>
        <v>0</v>
      </c>
      <c r="BO1032">
        <f>IF($A1032="","",IF($A1031="",1,IF(BN1032&lt;&gt;BN1031,1,0)))</f>
        <v>0</v>
      </c>
      <c r="BP1032">
        <f>IF($A1032="","",IF($A1033="",1,IF(BN1033&lt;&gt;BN1032,1,0)))</f>
        <v>0</v>
      </c>
      <c r="BQ1032">
        <f>IF($A1032="","",IF(BO1032=1,$B1032,BQ1031))</f>
        <v>0</v>
      </c>
      <c r="BR1032">
        <f>IF($A1032="","",IF(BO1032=1,$C1032,MAX($C1032,BR1031)))</f>
        <v>0</v>
      </c>
      <c r="BS1032">
        <f>IF($A1032="","",IF(BO1032=1,$D1032,MIN($D1032,BS1031)))</f>
        <v>0</v>
      </c>
      <c r="BT1032">
        <f>IF($A1032="","",IF(BP1032=1,F1032,""))</f>
        <v>0</v>
      </c>
    </row>
    <row r="1033" spans="1:72">
      <c r="A1033" s="27">
        <f>IF(Data!$A1033="","",Data!$A1033)</f>
        <v>0</v>
      </c>
      <c r="B1033">
        <f>IF(Data!$B1033="","",Data!$B1033)</f>
        <v>0</v>
      </c>
      <c r="C1033">
        <f>IF(Data!$C1033="","",Data!$C1033)</f>
        <v>0</v>
      </c>
      <c r="D1033">
        <f>IF(Data!$D1033="","",Data!$D1033)</f>
        <v>0</v>
      </c>
      <c r="E1033">
        <f>IF(Data!$E1033="","",Data!$E1033)</f>
        <v>0</v>
      </c>
      <c r="F1033">
        <f>IF($E1033="","",N(F1032)+1)</f>
        <v>0</v>
      </c>
      <c r="G1033">
        <f>IF(OR($E1033="",$E1032=""),"",LN($E1033/$E1032))</f>
        <v>0</v>
      </c>
      <c r="H1033">
        <f>IF($E1033="","",IF($E1032="",$E1033,$E1033*0.0952380952+H1032*0.9047619048))</f>
        <v>0</v>
      </c>
      <c r="I1033">
        <f>IF($E1033="","",IF($E1032="",$E1033,$E1033*0.0392156863+I1032*0.9607843137))</f>
        <v>0</v>
      </c>
      <c r="J1033">
        <f>IF($E1033="","",IF($E1032="",$E1033,$E1033*0.0198019802+J1032*0.9801980198))</f>
        <v>0</v>
      </c>
      <c r="K1033">
        <f>IF($E1033="","",IF($E1032="",$E1033,$E1033*0.0099502488+K1032*0.9900497512))</f>
        <v>0</v>
      </c>
      <c r="L1033">
        <f>IF(OR($E1033="",$E1032=""),"",MAX($E1033-$E1032,0))</f>
        <v>0</v>
      </c>
      <c r="M1033">
        <f>IF(OR($E1033="",$E1032=""),"",MAX($E1032-$E1033,0))</f>
        <v>0</v>
      </c>
      <c r="N1033">
        <f>IF(COUNT($E$2:$E1033)&lt;15,"",IF(AVERAGE($M$1020:$M$1033)=0,100,100-100/(1+AVERAGE($L$1020:$L$1033)/AVERAGE($M$1020:$M$1033))))</f>
        <v>0</v>
      </c>
      <c r="O1033">
        <f>IF($E1033="","",IF($E1032="",$E1033,$E1033*0.1538461538+O1032*0.8461538462))</f>
        <v>0</v>
      </c>
      <c r="P1033">
        <f>IF($E1033="","",IF($E1032="",$E1033,$E1033*0.0740740741+P1032*0.9259259259))</f>
        <v>0</v>
      </c>
      <c r="Q1033">
        <f>IF(OR(O1033="",P1033=""),"",O1033-P1033)</f>
        <v>0</v>
      </c>
      <c r="R1033">
        <f>IF(Q1033="","",IF(R1032="",Q1033,Q1033*0.2000000000+R1032*0.8000000000))</f>
        <v>0</v>
      </c>
      <c r="S1033">
        <f>IF(OR(Q1033="",R1033=""),"",Q1033-R1033)</f>
        <v>0</v>
      </c>
      <c r="T1033">
        <f>IF(COUNT($E$2:$E1033)&lt;14,"",MAX($C$1020:$C$1033))</f>
        <v>0</v>
      </c>
      <c r="U1033">
        <f>IF(COUNT($E$2:$E1033)&lt;14,"",MIN($D$1020:$D$1033))</f>
        <v>0</v>
      </c>
      <c r="V1033">
        <f>IF(OR(T1033="",U1033="",T1033=U1033),"",100*($E1033-U1033)/(T1033-U1033))</f>
        <v>0</v>
      </c>
      <c r="W1033">
        <f>IF(COUNT($V$1031:$V$1033)&lt;3,"",AVERAGE($V$1031:$V$1033))</f>
        <v>0</v>
      </c>
      <c r="X1033">
        <f>IF(COUNT($N$1020:$N$1033)&lt;14,"",MIN($N$1020:$N$1033))</f>
        <v>0</v>
      </c>
      <c r="Y1033">
        <f>IF(COUNT($N$1020:$N$1033)&lt;14,"",MAX($N$1020:$N$1033))</f>
        <v>0</v>
      </c>
      <c r="Z1033">
        <f>IF(OR(N1033="",X1033="",Y1033="",Y1033=X1033),"",100*(N1033-X1033)/(Y1033-X1033))</f>
        <v>0</v>
      </c>
      <c r="AA1033">
        <f>IF(COUNT($Z$1031:$Z$1033)&lt;3,"",AVERAGE($Z$1031:$Z$1033))</f>
        <v>0</v>
      </c>
      <c r="AB1033">
        <f>IF(COUNT($AA$1031:$AA$1033)&lt;3,"",AVERAGE($AA$1031:$AA$1033))</f>
        <v>0</v>
      </c>
      <c r="AC1033">
        <f>IF($E1033="","",MAX($C1033-$D1033,ABS($C1033-$E1032),ABS($D1033-$E1032)))</f>
        <v>0</v>
      </c>
      <c r="AD1033">
        <f>IF(COUNT($E$2:$E1033)&lt;15,"",AVERAGE($AC$1020:$AC$1033))</f>
        <v>0</v>
      </c>
      <c r="AE1033">
        <f>IF(OR($E1033="",$E1032=""),"",IF(AND(($C1033-$C1032)&gt;($D1032-$D1033),($C1033-$C1032)&gt;0),$C1033-$C1032,0))</f>
        <v>0</v>
      </c>
      <c r="AF1033">
        <f>IF(OR($E1033="",$E1032=""),"",IF(AND(($D1032-$D1033)&gt;($C1033-$C1032),($D1032-$D1033)&gt;0),$D1032-$D1033,0))</f>
        <v>0</v>
      </c>
      <c r="AG1033">
        <f>IF(COUNT($E$2:$E1033)&lt;15,"",IF(SUM($AC$1020:$AC$1033)=0,0,100*SUM($AE$1020:$AE$1033)/SUM($AC$1020:$AC$1033)))</f>
        <v>0</v>
      </c>
      <c r="AH1033">
        <f>IF(COUNT($E$2:$E1033)&lt;15,"",IF(SUM($AC$1020:$AC$1033)=0,0,100*SUM($AF$1020:$AF$1033)/SUM($AC$1020:$AC$1033)))</f>
        <v>0</v>
      </c>
      <c r="AI1033">
        <f>IF(OR(AG1033="",AH1033=""),"",IF((AG1033+AH1033)=0,0,100*ABS(AG1033-AH1033)/(AG1033+AH1033)))</f>
        <v>0</v>
      </c>
      <c r="AJ1033">
        <f>IF(COUNT($AI$1020:$AI$1033)&lt;14,"",AVERAGE($AI$1020:$AI$1033))</f>
        <v>0</v>
      </c>
      <c r="AK1033">
        <f>IF(COUNT($E$2:$E1033)&lt;20,"",AVERAGE($E$1014:$E$1033))</f>
        <v>0</v>
      </c>
      <c r="AL1033">
        <f>IF(COUNT($E$2:$E1033)&lt;20,"",STDEVP($E$1014:$E$1033))</f>
        <v>0</v>
      </c>
      <c r="AM1033">
        <f>IF(AK1033="","",AK1033+2*AL1033)</f>
        <v>0</v>
      </c>
      <c r="AN1033">
        <f>IF(AK1033="","",AK1033-2*AL1033)</f>
        <v>0</v>
      </c>
      <c r="AO1033">
        <f>IF(OR(AM1033="",AN1033="",AM1033=AN1033),"",($E1033-AN1033)/(AM1033-AN1033))</f>
        <v>0</v>
      </c>
      <c r="AP1033">
        <f>IF(OR(AM1033="",AK1033="",AK1033=0),"",(AM1033-AN1033)/AK1033)</f>
        <v>0</v>
      </c>
      <c r="AQ1033">
        <f>IF(COUNT($E$2:$E1033)&lt;20,"",MAX($C$1014:$C$1033))</f>
        <v>0</v>
      </c>
      <c r="AR1033">
        <f>IF(COUNT($E$2:$E1033)&lt;20,"",MIN($D$1014:$D$1033))</f>
        <v>0</v>
      </c>
      <c r="AS1033">
        <f>IF(OR(AQ1033="",AR1033=""),"",(AQ1033+AR1033)/2)</f>
        <v>0</v>
      </c>
      <c r="AT1033">
        <f>IF(COUNT($G$1014:$G$1033)&lt;20,"",STDEV($G$1014:$G$1033)*SQRT(252))</f>
        <v>0</v>
      </c>
      <c r="AU1033">
        <f>IF(COUNT($E$2:$E1033)&lt;9,"",(MAX($C$1025:$C$1033)+MIN($D$1025:$D$1033))/2)</f>
        <v>0</v>
      </c>
      <c r="AV1033">
        <f>IF(COUNT($E$2:$E1033)&lt;26,"",(MAX($C$1008:$C$1033)+MIN($D$1008:$D$1033))/2)</f>
        <v>0</v>
      </c>
      <c r="AW1033">
        <f>IF(OR(AU1033="",AV1033=""),"",(AU1033+AV1033)/2)</f>
        <v>0</v>
      </c>
      <c r="AX1033">
        <f>IF(COUNT($E$2:$E1033)&lt;52,"",(MAX($C$982:$C$1033)+MIN($D$982:$D$1033))/2)</f>
        <v>0</v>
      </c>
      <c r="AY1033">
        <f>IF(COUNT($E$2:$E1033)&lt;20,"",MAX($C$934:$C$1033))</f>
        <v>0</v>
      </c>
      <c r="AZ1033">
        <f>IF(COUNT($E$2:$E1033)&lt;20,"",MIN($D$934:$D$1033))</f>
        <v>0</v>
      </c>
      <c r="BA1033">
        <f>IF(COUNT($E$2:$E1033)&lt;20,"",SLOPE($E$934:$E$1033,$F$934:$F$1033))</f>
        <v>0</v>
      </c>
      <c r="BB1033">
        <f>IF(COUNT($E$2:$E1033)&lt;20,"",INTERCEPT($E$934:$E$1033,$F$934:$F$1033))</f>
        <v>0</v>
      </c>
      <c r="BC1033">
        <f>IF(OR(BA1033="",BB1033=""),"",BB1033+BA1033*F1033)</f>
        <v>0</v>
      </c>
      <c r="BD1033">
        <f>IF(COUNT($E$2:$E1033)&lt;20,"",STEYX($E$934:$E$1033,$F$934:$F$1033))</f>
        <v>0</v>
      </c>
      <c r="BE1033">
        <f>IF($E1033="","",IF(AND(COUNT($E$1034:$E$1037)&gt;=4,$C1033=MAX($C$1029:$C$1037)),$C1033,""))</f>
        <v>0</v>
      </c>
      <c r="BF1033">
        <f>IF($E1033="","",IF(AND(COUNT($E$1034:$E$1037)&gt;=4,$D1033=MIN($D$1029:$D$1037)),$D1033,""))</f>
        <v>0</v>
      </c>
      <c r="BG1033">
        <f>IF($A1033="","",$A1033-WEEKDAY($A1033,2)+1)</f>
        <v>0</v>
      </c>
      <c r="BH1033">
        <f>IF($A1033="","",IF($A1032="",1,IF(BG1033&lt;&gt;BG1032,1,0)))</f>
        <v>0</v>
      </c>
      <c r="BI1033">
        <f>IF($A1033="","",IF($A1034="",1,IF(BG1034&lt;&gt;BG1033,1,0)))</f>
        <v>0</v>
      </c>
      <c r="BJ1033">
        <f>IF($A1033="","",IF(BH1033=1,$B1033,BJ1032))</f>
        <v>0</v>
      </c>
      <c r="BK1033">
        <f>IF($A1033="","",IF(BH1033=1,$C1033,MAX($C1033,BK1032)))</f>
        <v>0</v>
      </c>
      <c r="BL1033">
        <f>IF($A1033="","",IF(BH1033=1,$D1033,MIN($D1033,BL1032)))</f>
        <v>0</v>
      </c>
      <c r="BM1033">
        <f>IF($A1033="","",IF(BI1033=1,F1033,""))</f>
        <v>0</v>
      </c>
      <c r="BN1033">
        <f>IF($A1033="","",DATE(YEAR($A1033),MONTH($A1033),1))</f>
        <v>0</v>
      </c>
      <c r="BO1033">
        <f>IF($A1033="","",IF($A1032="",1,IF(BN1033&lt;&gt;BN1032,1,0)))</f>
        <v>0</v>
      </c>
      <c r="BP1033">
        <f>IF($A1033="","",IF($A1034="",1,IF(BN1034&lt;&gt;BN1033,1,0)))</f>
        <v>0</v>
      </c>
      <c r="BQ1033">
        <f>IF($A1033="","",IF(BO1033=1,$B1033,BQ1032))</f>
        <v>0</v>
      </c>
      <c r="BR1033">
        <f>IF($A1033="","",IF(BO1033=1,$C1033,MAX($C1033,BR1032)))</f>
        <v>0</v>
      </c>
      <c r="BS1033">
        <f>IF($A1033="","",IF(BO1033=1,$D1033,MIN($D1033,BS1032)))</f>
        <v>0</v>
      </c>
      <c r="BT1033">
        <f>IF($A1033="","",IF(BP1033=1,F1033,""))</f>
        <v>0</v>
      </c>
    </row>
    <row r="1034" spans="1:72">
      <c r="A1034" s="27">
        <f>IF(Data!$A1034="","",Data!$A1034)</f>
        <v>0</v>
      </c>
      <c r="B1034">
        <f>IF(Data!$B1034="","",Data!$B1034)</f>
        <v>0</v>
      </c>
      <c r="C1034">
        <f>IF(Data!$C1034="","",Data!$C1034)</f>
        <v>0</v>
      </c>
      <c r="D1034">
        <f>IF(Data!$D1034="","",Data!$D1034)</f>
        <v>0</v>
      </c>
      <c r="E1034">
        <f>IF(Data!$E1034="","",Data!$E1034)</f>
        <v>0</v>
      </c>
      <c r="F1034">
        <f>IF($E1034="","",N(F1033)+1)</f>
        <v>0</v>
      </c>
      <c r="G1034">
        <f>IF(OR($E1034="",$E1033=""),"",LN($E1034/$E1033))</f>
        <v>0</v>
      </c>
      <c r="H1034">
        <f>IF($E1034="","",IF($E1033="",$E1034,$E1034*0.0952380952+H1033*0.9047619048))</f>
        <v>0</v>
      </c>
      <c r="I1034">
        <f>IF($E1034="","",IF($E1033="",$E1034,$E1034*0.0392156863+I1033*0.9607843137))</f>
        <v>0</v>
      </c>
      <c r="J1034">
        <f>IF($E1034="","",IF($E1033="",$E1034,$E1034*0.0198019802+J1033*0.9801980198))</f>
        <v>0</v>
      </c>
      <c r="K1034">
        <f>IF($E1034="","",IF($E1033="",$E1034,$E1034*0.0099502488+K1033*0.9900497512))</f>
        <v>0</v>
      </c>
      <c r="L1034">
        <f>IF(OR($E1034="",$E1033=""),"",MAX($E1034-$E1033,0))</f>
        <v>0</v>
      </c>
      <c r="M1034">
        <f>IF(OR($E1034="",$E1033=""),"",MAX($E1033-$E1034,0))</f>
        <v>0</v>
      </c>
      <c r="N1034">
        <f>IF(COUNT($E$2:$E1034)&lt;15,"",IF(AVERAGE($M$1021:$M$1034)=0,100,100-100/(1+AVERAGE($L$1021:$L$1034)/AVERAGE($M$1021:$M$1034))))</f>
        <v>0</v>
      </c>
      <c r="O1034">
        <f>IF($E1034="","",IF($E1033="",$E1034,$E1034*0.1538461538+O1033*0.8461538462))</f>
        <v>0</v>
      </c>
      <c r="P1034">
        <f>IF($E1034="","",IF($E1033="",$E1034,$E1034*0.0740740741+P1033*0.9259259259))</f>
        <v>0</v>
      </c>
      <c r="Q1034">
        <f>IF(OR(O1034="",P1034=""),"",O1034-P1034)</f>
        <v>0</v>
      </c>
      <c r="R1034">
        <f>IF(Q1034="","",IF(R1033="",Q1034,Q1034*0.2000000000+R1033*0.8000000000))</f>
        <v>0</v>
      </c>
      <c r="S1034">
        <f>IF(OR(Q1034="",R1034=""),"",Q1034-R1034)</f>
        <v>0</v>
      </c>
      <c r="T1034">
        <f>IF(COUNT($E$2:$E1034)&lt;14,"",MAX($C$1021:$C$1034))</f>
        <v>0</v>
      </c>
      <c r="U1034">
        <f>IF(COUNT($E$2:$E1034)&lt;14,"",MIN($D$1021:$D$1034))</f>
        <v>0</v>
      </c>
      <c r="V1034">
        <f>IF(OR(T1034="",U1034="",T1034=U1034),"",100*($E1034-U1034)/(T1034-U1034))</f>
        <v>0</v>
      </c>
      <c r="W1034">
        <f>IF(COUNT($V$1032:$V$1034)&lt;3,"",AVERAGE($V$1032:$V$1034))</f>
        <v>0</v>
      </c>
      <c r="X1034">
        <f>IF(COUNT($N$1021:$N$1034)&lt;14,"",MIN($N$1021:$N$1034))</f>
        <v>0</v>
      </c>
      <c r="Y1034">
        <f>IF(COUNT($N$1021:$N$1034)&lt;14,"",MAX($N$1021:$N$1034))</f>
        <v>0</v>
      </c>
      <c r="Z1034">
        <f>IF(OR(N1034="",X1034="",Y1034="",Y1034=X1034),"",100*(N1034-X1034)/(Y1034-X1034))</f>
        <v>0</v>
      </c>
      <c r="AA1034">
        <f>IF(COUNT($Z$1032:$Z$1034)&lt;3,"",AVERAGE($Z$1032:$Z$1034))</f>
        <v>0</v>
      </c>
      <c r="AB1034">
        <f>IF(COUNT($AA$1032:$AA$1034)&lt;3,"",AVERAGE($AA$1032:$AA$1034))</f>
        <v>0</v>
      </c>
      <c r="AC1034">
        <f>IF($E1034="","",MAX($C1034-$D1034,ABS($C1034-$E1033),ABS($D1034-$E1033)))</f>
        <v>0</v>
      </c>
      <c r="AD1034">
        <f>IF(COUNT($E$2:$E1034)&lt;15,"",AVERAGE($AC$1021:$AC$1034))</f>
        <v>0</v>
      </c>
      <c r="AE1034">
        <f>IF(OR($E1034="",$E1033=""),"",IF(AND(($C1034-$C1033)&gt;($D1033-$D1034),($C1034-$C1033)&gt;0),$C1034-$C1033,0))</f>
        <v>0</v>
      </c>
      <c r="AF1034">
        <f>IF(OR($E1034="",$E1033=""),"",IF(AND(($D1033-$D1034)&gt;($C1034-$C1033),($D1033-$D1034)&gt;0),$D1033-$D1034,0))</f>
        <v>0</v>
      </c>
      <c r="AG1034">
        <f>IF(COUNT($E$2:$E1034)&lt;15,"",IF(SUM($AC$1021:$AC$1034)=0,0,100*SUM($AE$1021:$AE$1034)/SUM($AC$1021:$AC$1034)))</f>
        <v>0</v>
      </c>
      <c r="AH1034">
        <f>IF(COUNT($E$2:$E1034)&lt;15,"",IF(SUM($AC$1021:$AC$1034)=0,0,100*SUM($AF$1021:$AF$1034)/SUM($AC$1021:$AC$1034)))</f>
        <v>0</v>
      </c>
      <c r="AI1034">
        <f>IF(OR(AG1034="",AH1034=""),"",IF((AG1034+AH1034)=0,0,100*ABS(AG1034-AH1034)/(AG1034+AH1034)))</f>
        <v>0</v>
      </c>
      <c r="AJ1034">
        <f>IF(COUNT($AI$1021:$AI$1034)&lt;14,"",AVERAGE($AI$1021:$AI$1034))</f>
        <v>0</v>
      </c>
      <c r="AK1034">
        <f>IF(COUNT($E$2:$E1034)&lt;20,"",AVERAGE($E$1015:$E$1034))</f>
        <v>0</v>
      </c>
      <c r="AL1034">
        <f>IF(COUNT($E$2:$E1034)&lt;20,"",STDEVP($E$1015:$E$1034))</f>
        <v>0</v>
      </c>
      <c r="AM1034">
        <f>IF(AK1034="","",AK1034+2*AL1034)</f>
        <v>0</v>
      </c>
      <c r="AN1034">
        <f>IF(AK1034="","",AK1034-2*AL1034)</f>
        <v>0</v>
      </c>
      <c r="AO1034">
        <f>IF(OR(AM1034="",AN1034="",AM1034=AN1034),"",($E1034-AN1034)/(AM1034-AN1034))</f>
        <v>0</v>
      </c>
      <c r="AP1034">
        <f>IF(OR(AM1034="",AK1034="",AK1034=0),"",(AM1034-AN1034)/AK1034)</f>
        <v>0</v>
      </c>
      <c r="AQ1034">
        <f>IF(COUNT($E$2:$E1034)&lt;20,"",MAX($C$1015:$C$1034))</f>
        <v>0</v>
      </c>
      <c r="AR1034">
        <f>IF(COUNT($E$2:$E1034)&lt;20,"",MIN($D$1015:$D$1034))</f>
        <v>0</v>
      </c>
      <c r="AS1034">
        <f>IF(OR(AQ1034="",AR1034=""),"",(AQ1034+AR1034)/2)</f>
        <v>0</v>
      </c>
      <c r="AT1034">
        <f>IF(COUNT($G$1015:$G$1034)&lt;20,"",STDEV($G$1015:$G$1034)*SQRT(252))</f>
        <v>0</v>
      </c>
      <c r="AU1034">
        <f>IF(COUNT($E$2:$E1034)&lt;9,"",(MAX($C$1026:$C$1034)+MIN($D$1026:$D$1034))/2)</f>
        <v>0</v>
      </c>
      <c r="AV1034">
        <f>IF(COUNT($E$2:$E1034)&lt;26,"",(MAX($C$1009:$C$1034)+MIN($D$1009:$D$1034))/2)</f>
        <v>0</v>
      </c>
      <c r="AW1034">
        <f>IF(OR(AU1034="",AV1034=""),"",(AU1034+AV1034)/2)</f>
        <v>0</v>
      </c>
      <c r="AX1034">
        <f>IF(COUNT($E$2:$E1034)&lt;52,"",(MAX($C$983:$C$1034)+MIN($D$983:$D$1034))/2)</f>
        <v>0</v>
      </c>
      <c r="AY1034">
        <f>IF(COUNT($E$2:$E1034)&lt;20,"",MAX($C$935:$C$1034))</f>
        <v>0</v>
      </c>
      <c r="AZ1034">
        <f>IF(COUNT($E$2:$E1034)&lt;20,"",MIN($D$935:$D$1034))</f>
        <v>0</v>
      </c>
      <c r="BA1034">
        <f>IF(COUNT($E$2:$E1034)&lt;20,"",SLOPE($E$935:$E$1034,$F$935:$F$1034))</f>
        <v>0</v>
      </c>
      <c r="BB1034">
        <f>IF(COUNT($E$2:$E1034)&lt;20,"",INTERCEPT($E$935:$E$1034,$F$935:$F$1034))</f>
        <v>0</v>
      </c>
      <c r="BC1034">
        <f>IF(OR(BA1034="",BB1034=""),"",BB1034+BA1034*F1034)</f>
        <v>0</v>
      </c>
      <c r="BD1034">
        <f>IF(COUNT($E$2:$E1034)&lt;20,"",STEYX($E$935:$E$1034,$F$935:$F$1034))</f>
        <v>0</v>
      </c>
      <c r="BE1034">
        <f>IF($E1034="","",IF(AND(COUNT($E$1035:$E$1038)&gt;=4,$C1034=MAX($C$1030:$C$1038)),$C1034,""))</f>
        <v>0</v>
      </c>
      <c r="BF1034">
        <f>IF($E1034="","",IF(AND(COUNT($E$1035:$E$1038)&gt;=4,$D1034=MIN($D$1030:$D$1038)),$D1034,""))</f>
        <v>0</v>
      </c>
      <c r="BG1034">
        <f>IF($A1034="","",$A1034-WEEKDAY($A1034,2)+1)</f>
        <v>0</v>
      </c>
      <c r="BH1034">
        <f>IF($A1034="","",IF($A1033="",1,IF(BG1034&lt;&gt;BG1033,1,0)))</f>
        <v>0</v>
      </c>
      <c r="BI1034">
        <f>IF($A1034="","",IF($A1035="",1,IF(BG1035&lt;&gt;BG1034,1,0)))</f>
        <v>0</v>
      </c>
      <c r="BJ1034">
        <f>IF($A1034="","",IF(BH1034=1,$B1034,BJ1033))</f>
        <v>0</v>
      </c>
      <c r="BK1034">
        <f>IF($A1034="","",IF(BH1034=1,$C1034,MAX($C1034,BK1033)))</f>
        <v>0</v>
      </c>
      <c r="BL1034">
        <f>IF($A1034="","",IF(BH1034=1,$D1034,MIN($D1034,BL1033)))</f>
        <v>0</v>
      </c>
      <c r="BM1034">
        <f>IF($A1034="","",IF(BI1034=1,F1034,""))</f>
        <v>0</v>
      </c>
      <c r="BN1034">
        <f>IF($A1034="","",DATE(YEAR($A1034),MONTH($A1034),1))</f>
        <v>0</v>
      </c>
      <c r="BO1034">
        <f>IF($A1034="","",IF($A1033="",1,IF(BN1034&lt;&gt;BN1033,1,0)))</f>
        <v>0</v>
      </c>
      <c r="BP1034">
        <f>IF($A1034="","",IF($A1035="",1,IF(BN1035&lt;&gt;BN1034,1,0)))</f>
        <v>0</v>
      </c>
      <c r="BQ1034">
        <f>IF($A1034="","",IF(BO1034=1,$B1034,BQ1033))</f>
        <v>0</v>
      </c>
      <c r="BR1034">
        <f>IF($A1034="","",IF(BO1034=1,$C1034,MAX($C1034,BR1033)))</f>
        <v>0</v>
      </c>
      <c r="BS1034">
        <f>IF($A1034="","",IF(BO1034=1,$D1034,MIN($D1034,BS1033)))</f>
        <v>0</v>
      </c>
      <c r="BT1034">
        <f>IF($A1034="","",IF(BP1034=1,F1034,""))</f>
        <v>0</v>
      </c>
    </row>
    <row r="1035" spans="1:72">
      <c r="A1035" s="27">
        <f>IF(Data!$A1035="","",Data!$A1035)</f>
        <v>0</v>
      </c>
      <c r="B1035">
        <f>IF(Data!$B1035="","",Data!$B1035)</f>
        <v>0</v>
      </c>
      <c r="C1035">
        <f>IF(Data!$C1035="","",Data!$C1035)</f>
        <v>0</v>
      </c>
      <c r="D1035">
        <f>IF(Data!$D1035="","",Data!$D1035)</f>
        <v>0</v>
      </c>
      <c r="E1035">
        <f>IF(Data!$E1035="","",Data!$E1035)</f>
        <v>0</v>
      </c>
      <c r="F1035">
        <f>IF($E1035="","",N(F1034)+1)</f>
        <v>0</v>
      </c>
      <c r="G1035">
        <f>IF(OR($E1035="",$E1034=""),"",LN($E1035/$E1034))</f>
        <v>0</v>
      </c>
      <c r="H1035">
        <f>IF($E1035="","",IF($E1034="",$E1035,$E1035*0.0952380952+H1034*0.9047619048))</f>
        <v>0</v>
      </c>
      <c r="I1035">
        <f>IF($E1035="","",IF($E1034="",$E1035,$E1035*0.0392156863+I1034*0.9607843137))</f>
        <v>0</v>
      </c>
      <c r="J1035">
        <f>IF($E1035="","",IF($E1034="",$E1035,$E1035*0.0198019802+J1034*0.9801980198))</f>
        <v>0</v>
      </c>
      <c r="K1035">
        <f>IF($E1035="","",IF($E1034="",$E1035,$E1035*0.0099502488+K1034*0.9900497512))</f>
        <v>0</v>
      </c>
      <c r="L1035">
        <f>IF(OR($E1035="",$E1034=""),"",MAX($E1035-$E1034,0))</f>
        <v>0</v>
      </c>
      <c r="M1035">
        <f>IF(OR($E1035="",$E1034=""),"",MAX($E1034-$E1035,0))</f>
        <v>0</v>
      </c>
      <c r="N1035">
        <f>IF(COUNT($E$2:$E1035)&lt;15,"",IF(AVERAGE($M$1022:$M$1035)=0,100,100-100/(1+AVERAGE($L$1022:$L$1035)/AVERAGE($M$1022:$M$1035))))</f>
        <v>0</v>
      </c>
      <c r="O1035">
        <f>IF($E1035="","",IF($E1034="",$E1035,$E1035*0.1538461538+O1034*0.8461538462))</f>
        <v>0</v>
      </c>
      <c r="P1035">
        <f>IF($E1035="","",IF($E1034="",$E1035,$E1035*0.0740740741+P1034*0.9259259259))</f>
        <v>0</v>
      </c>
      <c r="Q1035">
        <f>IF(OR(O1035="",P1035=""),"",O1035-P1035)</f>
        <v>0</v>
      </c>
      <c r="R1035">
        <f>IF(Q1035="","",IF(R1034="",Q1035,Q1035*0.2000000000+R1034*0.8000000000))</f>
        <v>0</v>
      </c>
      <c r="S1035">
        <f>IF(OR(Q1035="",R1035=""),"",Q1035-R1035)</f>
        <v>0</v>
      </c>
      <c r="T1035">
        <f>IF(COUNT($E$2:$E1035)&lt;14,"",MAX($C$1022:$C$1035))</f>
        <v>0</v>
      </c>
      <c r="U1035">
        <f>IF(COUNT($E$2:$E1035)&lt;14,"",MIN($D$1022:$D$1035))</f>
        <v>0</v>
      </c>
      <c r="V1035">
        <f>IF(OR(T1035="",U1035="",T1035=U1035),"",100*($E1035-U1035)/(T1035-U1035))</f>
        <v>0</v>
      </c>
      <c r="W1035">
        <f>IF(COUNT($V$1033:$V$1035)&lt;3,"",AVERAGE($V$1033:$V$1035))</f>
        <v>0</v>
      </c>
      <c r="X1035">
        <f>IF(COUNT($N$1022:$N$1035)&lt;14,"",MIN($N$1022:$N$1035))</f>
        <v>0</v>
      </c>
      <c r="Y1035">
        <f>IF(COUNT($N$1022:$N$1035)&lt;14,"",MAX($N$1022:$N$1035))</f>
        <v>0</v>
      </c>
      <c r="Z1035">
        <f>IF(OR(N1035="",X1035="",Y1035="",Y1035=X1035),"",100*(N1035-X1035)/(Y1035-X1035))</f>
        <v>0</v>
      </c>
      <c r="AA1035">
        <f>IF(COUNT($Z$1033:$Z$1035)&lt;3,"",AVERAGE($Z$1033:$Z$1035))</f>
        <v>0</v>
      </c>
      <c r="AB1035">
        <f>IF(COUNT($AA$1033:$AA$1035)&lt;3,"",AVERAGE($AA$1033:$AA$1035))</f>
        <v>0</v>
      </c>
      <c r="AC1035">
        <f>IF($E1035="","",MAX($C1035-$D1035,ABS($C1035-$E1034),ABS($D1035-$E1034)))</f>
        <v>0</v>
      </c>
      <c r="AD1035">
        <f>IF(COUNT($E$2:$E1035)&lt;15,"",AVERAGE($AC$1022:$AC$1035))</f>
        <v>0</v>
      </c>
      <c r="AE1035">
        <f>IF(OR($E1035="",$E1034=""),"",IF(AND(($C1035-$C1034)&gt;($D1034-$D1035),($C1035-$C1034)&gt;0),$C1035-$C1034,0))</f>
        <v>0</v>
      </c>
      <c r="AF1035">
        <f>IF(OR($E1035="",$E1034=""),"",IF(AND(($D1034-$D1035)&gt;($C1035-$C1034),($D1034-$D1035)&gt;0),$D1034-$D1035,0))</f>
        <v>0</v>
      </c>
      <c r="AG1035">
        <f>IF(COUNT($E$2:$E1035)&lt;15,"",IF(SUM($AC$1022:$AC$1035)=0,0,100*SUM($AE$1022:$AE$1035)/SUM($AC$1022:$AC$1035)))</f>
        <v>0</v>
      </c>
      <c r="AH1035">
        <f>IF(COUNT($E$2:$E1035)&lt;15,"",IF(SUM($AC$1022:$AC$1035)=0,0,100*SUM($AF$1022:$AF$1035)/SUM($AC$1022:$AC$1035)))</f>
        <v>0</v>
      </c>
      <c r="AI1035">
        <f>IF(OR(AG1035="",AH1035=""),"",IF((AG1035+AH1035)=0,0,100*ABS(AG1035-AH1035)/(AG1035+AH1035)))</f>
        <v>0</v>
      </c>
      <c r="AJ1035">
        <f>IF(COUNT($AI$1022:$AI$1035)&lt;14,"",AVERAGE($AI$1022:$AI$1035))</f>
        <v>0</v>
      </c>
      <c r="AK1035">
        <f>IF(COUNT($E$2:$E1035)&lt;20,"",AVERAGE($E$1016:$E$1035))</f>
        <v>0</v>
      </c>
      <c r="AL1035">
        <f>IF(COUNT($E$2:$E1035)&lt;20,"",STDEVP($E$1016:$E$1035))</f>
        <v>0</v>
      </c>
      <c r="AM1035">
        <f>IF(AK1035="","",AK1035+2*AL1035)</f>
        <v>0</v>
      </c>
      <c r="AN1035">
        <f>IF(AK1035="","",AK1035-2*AL1035)</f>
        <v>0</v>
      </c>
      <c r="AO1035">
        <f>IF(OR(AM1035="",AN1035="",AM1035=AN1035),"",($E1035-AN1035)/(AM1035-AN1035))</f>
        <v>0</v>
      </c>
      <c r="AP1035">
        <f>IF(OR(AM1035="",AK1035="",AK1035=0),"",(AM1035-AN1035)/AK1035)</f>
        <v>0</v>
      </c>
      <c r="AQ1035">
        <f>IF(COUNT($E$2:$E1035)&lt;20,"",MAX($C$1016:$C$1035))</f>
        <v>0</v>
      </c>
      <c r="AR1035">
        <f>IF(COUNT($E$2:$E1035)&lt;20,"",MIN($D$1016:$D$1035))</f>
        <v>0</v>
      </c>
      <c r="AS1035">
        <f>IF(OR(AQ1035="",AR1035=""),"",(AQ1035+AR1035)/2)</f>
        <v>0</v>
      </c>
      <c r="AT1035">
        <f>IF(COUNT($G$1016:$G$1035)&lt;20,"",STDEV($G$1016:$G$1035)*SQRT(252))</f>
        <v>0</v>
      </c>
      <c r="AU1035">
        <f>IF(COUNT($E$2:$E1035)&lt;9,"",(MAX($C$1027:$C$1035)+MIN($D$1027:$D$1035))/2)</f>
        <v>0</v>
      </c>
      <c r="AV1035">
        <f>IF(COUNT($E$2:$E1035)&lt;26,"",(MAX($C$1010:$C$1035)+MIN($D$1010:$D$1035))/2)</f>
        <v>0</v>
      </c>
      <c r="AW1035">
        <f>IF(OR(AU1035="",AV1035=""),"",(AU1035+AV1035)/2)</f>
        <v>0</v>
      </c>
      <c r="AX1035">
        <f>IF(COUNT($E$2:$E1035)&lt;52,"",(MAX($C$984:$C$1035)+MIN($D$984:$D$1035))/2)</f>
        <v>0</v>
      </c>
      <c r="AY1035">
        <f>IF(COUNT($E$2:$E1035)&lt;20,"",MAX($C$936:$C$1035))</f>
        <v>0</v>
      </c>
      <c r="AZ1035">
        <f>IF(COUNT($E$2:$E1035)&lt;20,"",MIN($D$936:$D$1035))</f>
        <v>0</v>
      </c>
      <c r="BA1035">
        <f>IF(COUNT($E$2:$E1035)&lt;20,"",SLOPE($E$936:$E$1035,$F$936:$F$1035))</f>
        <v>0</v>
      </c>
      <c r="BB1035">
        <f>IF(COUNT($E$2:$E1035)&lt;20,"",INTERCEPT($E$936:$E$1035,$F$936:$F$1035))</f>
        <v>0</v>
      </c>
      <c r="BC1035">
        <f>IF(OR(BA1035="",BB1035=""),"",BB1035+BA1035*F1035)</f>
        <v>0</v>
      </c>
      <c r="BD1035">
        <f>IF(COUNT($E$2:$E1035)&lt;20,"",STEYX($E$936:$E$1035,$F$936:$F$1035))</f>
        <v>0</v>
      </c>
      <c r="BE1035">
        <f>IF($E1035="","",IF(AND(COUNT($E$1036:$E$1039)&gt;=4,$C1035=MAX($C$1031:$C$1039)),$C1035,""))</f>
        <v>0</v>
      </c>
      <c r="BF1035">
        <f>IF($E1035="","",IF(AND(COUNT($E$1036:$E$1039)&gt;=4,$D1035=MIN($D$1031:$D$1039)),$D1035,""))</f>
        <v>0</v>
      </c>
      <c r="BG1035">
        <f>IF($A1035="","",$A1035-WEEKDAY($A1035,2)+1)</f>
        <v>0</v>
      </c>
      <c r="BH1035">
        <f>IF($A1035="","",IF($A1034="",1,IF(BG1035&lt;&gt;BG1034,1,0)))</f>
        <v>0</v>
      </c>
      <c r="BI1035">
        <f>IF($A1035="","",IF($A1036="",1,IF(BG1036&lt;&gt;BG1035,1,0)))</f>
        <v>0</v>
      </c>
      <c r="BJ1035">
        <f>IF($A1035="","",IF(BH1035=1,$B1035,BJ1034))</f>
        <v>0</v>
      </c>
      <c r="BK1035">
        <f>IF($A1035="","",IF(BH1035=1,$C1035,MAX($C1035,BK1034)))</f>
        <v>0</v>
      </c>
      <c r="BL1035">
        <f>IF($A1035="","",IF(BH1035=1,$D1035,MIN($D1035,BL1034)))</f>
        <v>0</v>
      </c>
      <c r="BM1035">
        <f>IF($A1035="","",IF(BI1035=1,F1035,""))</f>
        <v>0</v>
      </c>
      <c r="BN1035">
        <f>IF($A1035="","",DATE(YEAR($A1035),MONTH($A1035),1))</f>
        <v>0</v>
      </c>
      <c r="BO1035">
        <f>IF($A1035="","",IF($A1034="",1,IF(BN1035&lt;&gt;BN1034,1,0)))</f>
        <v>0</v>
      </c>
      <c r="BP1035">
        <f>IF($A1035="","",IF($A1036="",1,IF(BN1036&lt;&gt;BN1035,1,0)))</f>
        <v>0</v>
      </c>
      <c r="BQ1035">
        <f>IF($A1035="","",IF(BO1035=1,$B1035,BQ1034))</f>
        <v>0</v>
      </c>
      <c r="BR1035">
        <f>IF($A1035="","",IF(BO1035=1,$C1035,MAX($C1035,BR1034)))</f>
        <v>0</v>
      </c>
      <c r="BS1035">
        <f>IF($A1035="","",IF(BO1035=1,$D1035,MIN($D1035,BS1034)))</f>
        <v>0</v>
      </c>
      <c r="BT1035">
        <f>IF($A1035="","",IF(BP1035=1,F1035,""))</f>
        <v>0</v>
      </c>
    </row>
    <row r="1036" spans="1:72">
      <c r="A1036" s="27">
        <f>IF(Data!$A1036="","",Data!$A1036)</f>
        <v>0</v>
      </c>
      <c r="B1036">
        <f>IF(Data!$B1036="","",Data!$B1036)</f>
        <v>0</v>
      </c>
      <c r="C1036">
        <f>IF(Data!$C1036="","",Data!$C1036)</f>
        <v>0</v>
      </c>
      <c r="D1036">
        <f>IF(Data!$D1036="","",Data!$D1036)</f>
        <v>0</v>
      </c>
      <c r="E1036">
        <f>IF(Data!$E1036="","",Data!$E1036)</f>
        <v>0</v>
      </c>
      <c r="F1036">
        <f>IF($E1036="","",N(F1035)+1)</f>
        <v>0</v>
      </c>
      <c r="G1036">
        <f>IF(OR($E1036="",$E1035=""),"",LN($E1036/$E1035))</f>
        <v>0</v>
      </c>
      <c r="H1036">
        <f>IF($E1036="","",IF($E1035="",$E1036,$E1036*0.0952380952+H1035*0.9047619048))</f>
        <v>0</v>
      </c>
      <c r="I1036">
        <f>IF($E1036="","",IF($E1035="",$E1036,$E1036*0.0392156863+I1035*0.9607843137))</f>
        <v>0</v>
      </c>
      <c r="J1036">
        <f>IF($E1036="","",IF($E1035="",$E1036,$E1036*0.0198019802+J1035*0.9801980198))</f>
        <v>0</v>
      </c>
      <c r="K1036">
        <f>IF($E1036="","",IF($E1035="",$E1036,$E1036*0.0099502488+K1035*0.9900497512))</f>
        <v>0</v>
      </c>
      <c r="L1036">
        <f>IF(OR($E1036="",$E1035=""),"",MAX($E1036-$E1035,0))</f>
        <v>0</v>
      </c>
      <c r="M1036">
        <f>IF(OR($E1036="",$E1035=""),"",MAX($E1035-$E1036,0))</f>
        <v>0</v>
      </c>
      <c r="N1036">
        <f>IF(COUNT($E$2:$E1036)&lt;15,"",IF(AVERAGE($M$1023:$M$1036)=0,100,100-100/(1+AVERAGE($L$1023:$L$1036)/AVERAGE($M$1023:$M$1036))))</f>
        <v>0</v>
      </c>
      <c r="O1036">
        <f>IF($E1036="","",IF($E1035="",$E1036,$E1036*0.1538461538+O1035*0.8461538462))</f>
        <v>0</v>
      </c>
      <c r="P1036">
        <f>IF($E1036="","",IF($E1035="",$E1036,$E1036*0.0740740741+P1035*0.9259259259))</f>
        <v>0</v>
      </c>
      <c r="Q1036">
        <f>IF(OR(O1036="",P1036=""),"",O1036-P1036)</f>
        <v>0</v>
      </c>
      <c r="R1036">
        <f>IF(Q1036="","",IF(R1035="",Q1036,Q1036*0.2000000000+R1035*0.8000000000))</f>
        <v>0</v>
      </c>
      <c r="S1036">
        <f>IF(OR(Q1036="",R1036=""),"",Q1036-R1036)</f>
        <v>0</v>
      </c>
      <c r="T1036">
        <f>IF(COUNT($E$2:$E1036)&lt;14,"",MAX($C$1023:$C$1036))</f>
        <v>0</v>
      </c>
      <c r="U1036">
        <f>IF(COUNT($E$2:$E1036)&lt;14,"",MIN($D$1023:$D$1036))</f>
        <v>0</v>
      </c>
      <c r="V1036">
        <f>IF(OR(T1036="",U1036="",T1036=U1036),"",100*($E1036-U1036)/(T1036-U1036))</f>
        <v>0</v>
      </c>
      <c r="W1036">
        <f>IF(COUNT($V$1034:$V$1036)&lt;3,"",AVERAGE($V$1034:$V$1036))</f>
        <v>0</v>
      </c>
      <c r="X1036">
        <f>IF(COUNT($N$1023:$N$1036)&lt;14,"",MIN($N$1023:$N$1036))</f>
        <v>0</v>
      </c>
      <c r="Y1036">
        <f>IF(COUNT($N$1023:$N$1036)&lt;14,"",MAX($N$1023:$N$1036))</f>
        <v>0</v>
      </c>
      <c r="Z1036">
        <f>IF(OR(N1036="",X1036="",Y1036="",Y1036=X1036),"",100*(N1036-X1036)/(Y1036-X1036))</f>
        <v>0</v>
      </c>
      <c r="AA1036">
        <f>IF(COUNT($Z$1034:$Z$1036)&lt;3,"",AVERAGE($Z$1034:$Z$1036))</f>
        <v>0</v>
      </c>
      <c r="AB1036">
        <f>IF(COUNT($AA$1034:$AA$1036)&lt;3,"",AVERAGE($AA$1034:$AA$1036))</f>
        <v>0</v>
      </c>
      <c r="AC1036">
        <f>IF($E1036="","",MAX($C1036-$D1036,ABS($C1036-$E1035),ABS($D1036-$E1035)))</f>
        <v>0</v>
      </c>
      <c r="AD1036">
        <f>IF(COUNT($E$2:$E1036)&lt;15,"",AVERAGE($AC$1023:$AC$1036))</f>
        <v>0</v>
      </c>
      <c r="AE1036">
        <f>IF(OR($E1036="",$E1035=""),"",IF(AND(($C1036-$C1035)&gt;($D1035-$D1036),($C1036-$C1035)&gt;0),$C1036-$C1035,0))</f>
        <v>0</v>
      </c>
      <c r="AF1036">
        <f>IF(OR($E1036="",$E1035=""),"",IF(AND(($D1035-$D1036)&gt;($C1036-$C1035),($D1035-$D1036)&gt;0),$D1035-$D1036,0))</f>
        <v>0</v>
      </c>
      <c r="AG1036">
        <f>IF(COUNT($E$2:$E1036)&lt;15,"",IF(SUM($AC$1023:$AC$1036)=0,0,100*SUM($AE$1023:$AE$1036)/SUM($AC$1023:$AC$1036)))</f>
        <v>0</v>
      </c>
      <c r="AH1036">
        <f>IF(COUNT($E$2:$E1036)&lt;15,"",IF(SUM($AC$1023:$AC$1036)=0,0,100*SUM($AF$1023:$AF$1036)/SUM($AC$1023:$AC$1036)))</f>
        <v>0</v>
      </c>
      <c r="AI1036">
        <f>IF(OR(AG1036="",AH1036=""),"",IF((AG1036+AH1036)=0,0,100*ABS(AG1036-AH1036)/(AG1036+AH1036)))</f>
        <v>0</v>
      </c>
      <c r="AJ1036">
        <f>IF(COUNT($AI$1023:$AI$1036)&lt;14,"",AVERAGE($AI$1023:$AI$1036))</f>
        <v>0</v>
      </c>
      <c r="AK1036">
        <f>IF(COUNT($E$2:$E1036)&lt;20,"",AVERAGE($E$1017:$E$1036))</f>
        <v>0</v>
      </c>
      <c r="AL1036">
        <f>IF(COUNT($E$2:$E1036)&lt;20,"",STDEVP($E$1017:$E$1036))</f>
        <v>0</v>
      </c>
      <c r="AM1036">
        <f>IF(AK1036="","",AK1036+2*AL1036)</f>
        <v>0</v>
      </c>
      <c r="AN1036">
        <f>IF(AK1036="","",AK1036-2*AL1036)</f>
        <v>0</v>
      </c>
      <c r="AO1036">
        <f>IF(OR(AM1036="",AN1036="",AM1036=AN1036),"",($E1036-AN1036)/(AM1036-AN1036))</f>
        <v>0</v>
      </c>
      <c r="AP1036">
        <f>IF(OR(AM1036="",AK1036="",AK1036=0),"",(AM1036-AN1036)/AK1036)</f>
        <v>0</v>
      </c>
      <c r="AQ1036">
        <f>IF(COUNT($E$2:$E1036)&lt;20,"",MAX($C$1017:$C$1036))</f>
        <v>0</v>
      </c>
      <c r="AR1036">
        <f>IF(COUNT($E$2:$E1036)&lt;20,"",MIN($D$1017:$D$1036))</f>
        <v>0</v>
      </c>
      <c r="AS1036">
        <f>IF(OR(AQ1036="",AR1036=""),"",(AQ1036+AR1036)/2)</f>
        <v>0</v>
      </c>
      <c r="AT1036">
        <f>IF(COUNT($G$1017:$G$1036)&lt;20,"",STDEV($G$1017:$G$1036)*SQRT(252))</f>
        <v>0</v>
      </c>
      <c r="AU1036">
        <f>IF(COUNT($E$2:$E1036)&lt;9,"",(MAX($C$1028:$C$1036)+MIN($D$1028:$D$1036))/2)</f>
        <v>0</v>
      </c>
      <c r="AV1036">
        <f>IF(COUNT($E$2:$E1036)&lt;26,"",(MAX($C$1011:$C$1036)+MIN($D$1011:$D$1036))/2)</f>
        <v>0</v>
      </c>
      <c r="AW1036">
        <f>IF(OR(AU1036="",AV1036=""),"",(AU1036+AV1036)/2)</f>
        <v>0</v>
      </c>
      <c r="AX1036">
        <f>IF(COUNT($E$2:$E1036)&lt;52,"",(MAX($C$985:$C$1036)+MIN($D$985:$D$1036))/2)</f>
        <v>0</v>
      </c>
      <c r="AY1036">
        <f>IF(COUNT($E$2:$E1036)&lt;20,"",MAX($C$937:$C$1036))</f>
        <v>0</v>
      </c>
      <c r="AZ1036">
        <f>IF(COUNT($E$2:$E1036)&lt;20,"",MIN($D$937:$D$1036))</f>
        <v>0</v>
      </c>
      <c r="BA1036">
        <f>IF(COUNT($E$2:$E1036)&lt;20,"",SLOPE($E$937:$E$1036,$F$937:$F$1036))</f>
        <v>0</v>
      </c>
      <c r="BB1036">
        <f>IF(COUNT($E$2:$E1036)&lt;20,"",INTERCEPT($E$937:$E$1036,$F$937:$F$1036))</f>
        <v>0</v>
      </c>
      <c r="BC1036">
        <f>IF(OR(BA1036="",BB1036=""),"",BB1036+BA1036*F1036)</f>
        <v>0</v>
      </c>
      <c r="BD1036">
        <f>IF(COUNT($E$2:$E1036)&lt;20,"",STEYX($E$937:$E$1036,$F$937:$F$1036))</f>
        <v>0</v>
      </c>
      <c r="BE1036">
        <f>IF($E1036="","",IF(AND(COUNT($E$1037:$E$1040)&gt;=4,$C1036=MAX($C$1032:$C$1040)),$C1036,""))</f>
        <v>0</v>
      </c>
      <c r="BF1036">
        <f>IF($E1036="","",IF(AND(COUNT($E$1037:$E$1040)&gt;=4,$D1036=MIN($D$1032:$D$1040)),$D1036,""))</f>
        <v>0</v>
      </c>
      <c r="BG1036">
        <f>IF($A1036="","",$A1036-WEEKDAY($A1036,2)+1)</f>
        <v>0</v>
      </c>
      <c r="BH1036">
        <f>IF($A1036="","",IF($A1035="",1,IF(BG1036&lt;&gt;BG1035,1,0)))</f>
        <v>0</v>
      </c>
      <c r="BI1036">
        <f>IF($A1036="","",IF($A1037="",1,IF(BG1037&lt;&gt;BG1036,1,0)))</f>
        <v>0</v>
      </c>
      <c r="BJ1036">
        <f>IF($A1036="","",IF(BH1036=1,$B1036,BJ1035))</f>
        <v>0</v>
      </c>
      <c r="BK1036">
        <f>IF($A1036="","",IF(BH1036=1,$C1036,MAX($C1036,BK1035)))</f>
        <v>0</v>
      </c>
      <c r="BL1036">
        <f>IF($A1036="","",IF(BH1036=1,$D1036,MIN($D1036,BL1035)))</f>
        <v>0</v>
      </c>
      <c r="BM1036">
        <f>IF($A1036="","",IF(BI1036=1,F1036,""))</f>
        <v>0</v>
      </c>
      <c r="BN1036">
        <f>IF($A1036="","",DATE(YEAR($A1036),MONTH($A1036),1))</f>
        <v>0</v>
      </c>
      <c r="BO1036">
        <f>IF($A1036="","",IF($A1035="",1,IF(BN1036&lt;&gt;BN1035,1,0)))</f>
        <v>0</v>
      </c>
      <c r="BP1036">
        <f>IF($A1036="","",IF($A1037="",1,IF(BN1037&lt;&gt;BN1036,1,0)))</f>
        <v>0</v>
      </c>
      <c r="BQ1036">
        <f>IF($A1036="","",IF(BO1036=1,$B1036,BQ1035))</f>
        <v>0</v>
      </c>
      <c r="BR1036">
        <f>IF($A1036="","",IF(BO1036=1,$C1036,MAX($C1036,BR1035)))</f>
        <v>0</v>
      </c>
      <c r="BS1036">
        <f>IF($A1036="","",IF(BO1036=1,$D1036,MIN($D1036,BS1035)))</f>
        <v>0</v>
      </c>
      <c r="BT1036">
        <f>IF($A1036="","",IF(BP1036=1,F1036,""))</f>
        <v>0</v>
      </c>
    </row>
    <row r="1037" spans="1:72">
      <c r="A1037" s="27">
        <f>IF(Data!$A1037="","",Data!$A1037)</f>
        <v>0</v>
      </c>
      <c r="B1037">
        <f>IF(Data!$B1037="","",Data!$B1037)</f>
        <v>0</v>
      </c>
      <c r="C1037">
        <f>IF(Data!$C1037="","",Data!$C1037)</f>
        <v>0</v>
      </c>
      <c r="D1037">
        <f>IF(Data!$D1037="","",Data!$D1037)</f>
        <v>0</v>
      </c>
      <c r="E1037">
        <f>IF(Data!$E1037="","",Data!$E1037)</f>
        <v>0</v>
      </c>
      <c r="F1037">
        <f>IF($E1037="","",N(F1036)+1)</f>
        <v>0</v>
      </c>
      <c r="G1037">
        <f>IF(OR($E1037="",$E1036=""),"",LN($E1037/$E1036))</f>
        <v>0</v>
      </c>
      <c r="H1037">
        <f>IF($E1037="","",IF($E1036="",$E1037,$E1037*0.0952380952+H1036*0.9047619048))</f>
        <v>0</v>
      </c>
      <c r="I1037">
        <f>IF($E1037="","",IF($E1036="",$E1037,$E1037*0.0392156863+I1036*0.9607843137))</f>
        <v>0</v>
      </c>
      <c r="J1037">
        <f>IF($E1037="","",IF($E1036="",$E1037,$E1037*0.0198019802+J1036*0.9801980198))</f>
        <v>0</v>
      </c>
      <c r="K1037">
        <f>IF($E1037="","",IF($E1036="",$E1037,$E1037*0.0099502488+K1036*0.9900497512))</f>
        <v>0</v>
      </c>
      <c r="L1037">
        <f>IF(OR($E1037="",$E1036=""),"",MAX($E1037-$E1036,0))</f>
        <v>0</v>
      </c>
      <c r="M1037">
        <f>IF(OR($E1037="",$E1036=""),"",MAX($E1036-$E1037,0))</f>
        <v>0</v>
      </c>
      <c r="N1037">
        <f>IF(COUNT($E$2:$E1037)&lt;15,"",IF(AVERAGE($M$1024:$M$1037)=0,100,100-100/(1+AVERAGE($L$1024:$L$1037)/AVERAGE($M$1024:$M$1037))))</f>
        <v>0</v>
      </c>
      <c r="O1037">
        <f>IF($E1037="","",IF($E1036="",$E1037,$E1037*0.1538461538+O1036*0.8461538462))</f>
        <v>0</v>
      </c>
      <c r="P1037">
        <f>IF($E1037="","",IF($E1036="",$E1037,$E1037*0.0740740741+P1036*0.9259259259))</f>
        <v>0</v>
      </c>
      <c r="Q1037">
        <f>IF(OR(O1037="",P1037=""),"",O1037-P1037)</f>
        <v>0</v>
      </c>
      <c r="R1037">
        <f>IF(Q1037="","",IF(R1036="",Q1037,Q1037*0.2000000000+R1036*0.8000000000))</f>
        <v>0</v>
      </c>
      <c r="S1037">
        <f>IF(OR(Q1037="",R1037=""),"",Q1037-R1037)</f>
        <v>0</v>
      </c>
      <c r="T1037">
        <f>IF(COUNT($E$2:$E1037)&lt;14,"",MAX($C$1024:$C$1037))</f>
        <v>0</v>
      </c>
      <c r="U1037">
        <f>IF(COUNT($E$2:$E1037)&lt;14,"",MIN($D$1024:$D$1037))</f>
        <v>0</v>
      </c>
      <c r="V1037">
        <f>IF(OR(T1037="",U1037="",T1037=U1037),"",100*($E1037-U1037)/(T1037-U1037))</f>
        <v>0</v>
      </c>
      <c r="W1037">
        <f>IF(COUNT($V$1035:$V$1037)&lt;3,"",AVERAGE($V$1035:$V$1037))</f>
        <v>0</v>
      </c>
      <c r="X1037">
        <f>IF(COUNT($N$1024:$N$1037)&lt;14,"",MIN($N$1024:$N$1037))</f>
        <v>0</v>
      </c>
      <c r="Y1037">
        <f>IF(COUNT($N$1024:$N$1037)&lt;14,"",MAX($N$1024:$N$1037))</f>
        <v>0</v>
      </c>
      <c r="Z1037">
        <f>IF(OR(N1037="",X1037="",Y1037="",Y1037=X1037),"",100*(N1037-X1037)/(Y1037-X1037))</f>
        <v>0</v>
      </c>
      <c r="AA1037">
        <f>IF(COUNT($Z$1035:$Z$1037)&lt;3,"",AVERAGE($Z$1035:$Z$1037))</f>
        <v>0</v>
      </c>
      <c r="AB1037">
        <f>IF(COUNT($AA$1035:$AA$1037)&lt;3,"",AVERAGE($AA$1035:$AA$1037))</f>
        <v>0</v>
      </c>
      <c r="AC1037">
        <f>IF($E1037="","",MAX($C1037-$D1037,ABS($C1037-$E1036),ABS($D1037-$E1036)))</f>
        <v>0</v>
      </c>
      <c r="AD1037">
        <f>IF(COUNT($E$2:$E1037)&lt;15,"",AVERAGE($AC$1024:$AC$1037))</f>
        <v>0</v>
      </c>
      <c r="AE1037">
        <f>IF(OR($E1037="",$E1036=""),"",IF(AND(($C1037-$C1036)&gt;($D1036-$D1037),($C1037-$C1036)&gt;0),$C1037-$C1036,0))</f>
        <v>0</v>
      </c>
      <c r="AF1037">
        <f>IF(OR($E1037="",$E1036=""),"",IF(AND(($D1036-$D1037)&gt;($C1037-$C1036),($D1036-$D1037)&gt;0),$D1036-$D1037,0))</f>
        <v>0</v>
      </c>
      <c r="AG1037">
        <f>IF(COUNT($E$2:$E1037)&lt;15,"",IF(SUM($AC$1024:$AC$1037)=0,0,100*SUM($AE$1024:$AE$1037)/SUM($AC$1024:$AC$1037)))</f>
        <v>0</v>
      </c>
      <c r="AH1037">
        <f>IF(COUNT($E$2:$E1037)&lt;15,"",IF(SUM($AC$1024:$AC$1037)=0,0,100*SUM($AF$1024:$AF$1037)/SUM($AC$1024:$AC$1037)))</f>
        <v>0</v>
      </c>
      <c r="AI1037">
        <f>IF(OR(AG1037="",AH1037=""),"",IF((AG1037+AH1037)=0,0,100*ABS(AG1037-AH1037)/(AG1037+AH1037)))</f>
        <v>0</v>
      </c>
      <c r="AJ1037">
        <f>IF(COUNT($AI$1024:$AI$1037)&lt;14,"",AVERAGE($AI$1024:$AI$1037))</f>
        <v>0</v>
      </c>
      <c r="AK1037">
        <f>IF(COUNT($E$2:$E1037)&lt;20,"",AVERAGE($E$1018:$E$1037))</f>
        <v>0</v>
      </c>
      <c r="AL1037">
        <f>IF(COUNT($E$2:$E1037)&lt;20,"",STDEVP($E$1018:$E$1037))</f>
        <v>0</v>
      </c>
      <c r="AM1037">
        <f>IF(AK1037="","",AK1037+2*AL1037)</f>
        <v>0</v>
      </c>
      <c r="AN1037">
        <f>IF(AK1037="","",AK1037-2*AL1037)</f>
        <v>0</v>
      </c>
      <c r="AO1037">
        <f>IF(OR(AM1037="",AN1037="",AM1037=AN1037),"",($E1037-AN1037)/(AM1037-AN1037))</f>
        <v>0</v>
      </c>
      <c r="AP1037">
        <f>IF(OR(AM1037="",AK1037="",AK1037=0),"",(AM1037-AN1037)/AK1037)</f>
        <v>0</v>
      </c>
      <c r="AQ1037">
        <f>IF(COUNT($E$2:$E1037)&lt;20,"",MAX($C$1018:$C$1037))</f>
        <v>0</v>
      </c>
      <c r="AR1037">
        <f>IF(COUNT($E$2:$E1037)&lt;20,"",MIN($D$1018:$D$1037))</f>
        <v>0</v>
      </c>
      <c r="AS1037">
        <f>IF(OR(AQ1037="",AR1037=""),"",(AQ1037+AR1037)/2)</f>
        <v>0</v>
      </c>
      <c r="AT1037">
        <f>IF(COUNT($G$1018:$G$1037)&lt;20,"",STDEV($G$1018:$G$1037)*SQRT(252))</f>
        <v>0</v>
      </c>
      <c r="AU1037">
        <f>IF(COUNT($E$2:$E1037)&lt;9,"",(MAX($C$1029:$C$1037)+MIN($D$1029:$D$1037))/2)</f>
        <v>0</v>
      </c>
      <c r="AV1037">
        <f>IF(COUNT($E$2:$E1037)&lt;26,"",(MAX($C$1012:$C$1037)+MIN($D$1012:$D$1037))/2)</f>
        <v>0</v>
      </c>
      <c r="AW1037">
        <f>IF(OR(AU1037="",AV1037=""),"",(AU1037+AV1037)/2)</f>
        <v>0</v>
      </c>
      <c r="AX1037">
        <f>IF(COUNT($E$2:$E1037)&lt;52,"",(MAX($C$986:$C$1037)+MIN($D$986:$D$1037))/2)</f>
        <v>0</v>
      </c>
      <c r="AY1037">
        <f>IF(COUNT($E$2:$E1037)&lt;20,"",MAX($C$938:$C$1037))</f>
        <v>0</v>
      </c>
      <c r="AZ1037">
        <f>IF(COUNT($E$2:$E1037)&lt;20,"",MIN($D$938:$D$1037))</f>
        <v>0</v>
      </c>
      <c r="BA1037">
        <f>IF(COUNT($E$2:$E1037)&lt;20,"",SLOPE($E$938:$E$1037,$F$938:$F$1037))</f>
        <v>0</v>
      </c>
      <c r="BB1037">
        <f>IF(COUNT($E$2:$E1037)&lt;20,"",INTERCEPT($E$938:$E$1037,$F$938:$F$1037))</f>
        <v>0</v>
      </c>
      <c r="BC1037">
        <f>IF(OR(BA1037="",BB1037=""),"",BB1037+BA1037*F1037)</f>
        <v>0</v>
      </c>
      <c r="BD1037">
        <f>IF(COUNT($E$2:$E1037)&lt;20,"",STEYX($E$938:$E$1037,$F$938:$F$1037))</f>
        <v>0</v>
      </c>
      <c r="BE1037">
        <f>IF($E1037="","",IF(AND(COUNT($E$1038:$E$1041)&gt;=4,$C1037=MAX($C$1033:$C$1041)),$C1037,""))</f>
        <v>0</v>
      </c>
      <c r="BF1037">
        <f>IF($E1037="","",IF(AND(COUNT($E$1038:$E$1041)&gt;=4,$D1037=MIN($D$1033:$D$1041)),$D1037,""))</f>
        <v>0</v>
      </c>
      <c r="BG1037">
        <f>IF($A1037="","",$A1037-WEEKDAY($A1037,2)+1)</f>
        <v>0</v>
      </c>
      <c r="BH1037">
        <f>IF($A1037="","",IF($A1036="",1,IF(BG1037&lt;&gt;BG1036,1,0)))</f>
        <v>0</v>
      </c>
      <c r="BI1037">
        <f>IF($A1037="","",IF($A1038="",1,IF(BG1038&lt;&gt;BG1037,1,0)))</f>
        <v>0</v>
      </c>
      <c r="BJ1037">
        <f>IF($A1037="","",IF(BH1037=1,$B1037,BJ1036))</f>
        <v>0</v>
      </c>
      <c r="BK1037">
        <f>IF($A1037="","",IF(BH1037=1,$C1037,MAX($C1037,BK1036)))</f>
        <v>0</v>
      </c>
      <c r="BL1037">
        <f>IF($A1037="","",IF(BH1037=1,$D1037,MIN($D1037,BL1036)))</f>
        <v>0</v>
      </c>
      <c r="BM1037">
        <f>IF($A1037="","",IF(BI1037=1,F1037,""))</f>
        <v>0</v>
      </c>
      <c r="BN1037">
        <f>IF($A1037="","",DATE(YEAR($A1037),MONTH($A1037),1))</f>
        <v>0</v>
      </c>
      <c r="BO1037">
        <f>IF($A1037="","",IF($A1036="",1,IF(BN1037&lt;&gt;BN1036,1,0)))</f>
        <v>0</v>
      </c>
      <c r="BP1037">
        <f>IF($A1037="","",IF($A1038="",1,IF(BN1038&lt;&gt;BN1037,1,0)))</f>
        <v>0</v>
      </c>
      <c r="BQ1037">
        <f>IF($A1037="","",IF(BO1037=1,$B1037,BQ1036))</f>
        <v>0</v>
      </c>
      <c r="BR1037">
        <f>IF($A1037="","",IF(BO1037=1,$C1037,MAX($C1037,BR1036)))</f>
        <v>0</v>
      </c>
      <c r="BS1037">
        <f>IF($A1037="","",IF(BO1037=1,$D1037,MIN($D1037,BS1036)))</f>
        <v>0</v>
      </c>
      <c r="BT1037">
        <f>IF($A1037="","",IF(BP1037=1,F1037,""))</f>
        <v>0</v>
      </c>
    </row>
    <row r="1038" spans="1:72">
      <c r="A1038" s="27">
        <f>IF(Data!$A1038="","",Data!$A1038)</f>
        <v>0</v>
      </c>
      <c r="B1038">
        <f>IF(Data!$B1038="","",Data!$B1038)</f>
        <v>0</v>
      </c>
      <c r="C1038">
        <f>IF(Data!$C1038="","",Data!$C1038)</f>
        <v>0</v>
      </c>
      <c r="D1038">
        <f>IF(Data!$D1038="","",Data!$D1038)</f>
        <v>0</v>
      </c>
      <c r="E1038">
        <f>IF(Data!$E1038="","",Data!$E1038)</f>
        <v>0</v>
      </c>
      <c r="F1038">
        <f>IF($E1038="","",N(F1037)+1)</f>
        <v>0</v>
      </c>
      <c r="G1038">
        <f>IF(OR($E1038="",$E1037=""),"",LN($E1038/$E1037))</f>
        <v>0</v>
      </c>
      <c r="H1038">
        <f>IF($E1038="","",IF($E1037="",$E1038,$E1038*0.0952380952+H1037*0.9047619048))</f>
        <v>0</v>
      </c>
      <c r="I1038">
        <f>IF($E1038="","",IF($E1037="",$E1038,$E1038*0.0392156863+I1037*0.9607843137))</f>
        <v>0</v>
      </c>
      <c r="J1038">
        <f>IF($E1038="","",IF($E1037="",$E1038,$E1038*0.0198019802+J1037*0.9801980198))</f>
        <v>0</v>
      </c>
      <c r="K1038">
        <f>IF($E1038="","",IF($E1037="",$E1038,$E1038*0.0099502488+K1037*0.9900497512))</f>
        <v>0</v>
      </c>
      <c r="L1038">
        <f>IF(OR($E1038="",$E1037=""),"",MAX($E1038-$E1037,0))</f>
        <v>0</v>
      </c>
      <c r="M1038">
        <f>IF(OR($E1038="",$E1037=""),"",MAX($E1037-$E1038,0))</f>
        <v>0</v>
      </c>
      <c r="N1038">
        <f>IF(COUNT($E$2:$E1038)&lt;15,"",IF(AVERAGE($M$1025:$M$1038)=0,100,100-100/(1+AVERAGE($L$1025:$L$1038)/AVERAGE($M$1025:$M$1038))))</f>
        <v>0</v>
      </c>
      <c r="O1038">
        <f>IF($E1038="","",IF($E1037="",$E1038,$E1038*0.1538461538+O1037*0.8461538462))</f>
        <v>0</v>
      </c>
      <c r="P1038">
        <f>IF($E1038="","",IF($E1037="",$E1038,$E1038*0.0740740741+P1037*0.9259259259))</f>
        <v>0</v>
      </c>
      <c r="Q1038">
        <f>IF(OR(O1038="",P1038=""),"",O1038-P1038)</f>
        <v>0</v>
      </c>
      <c r="R1038">
        <f>IF(Q1038="","",IF(R1037="",Q1038,Q1038*0.2000000000+R1037*0.8000000000))</f>
        <v>0</v>
      </c>
      <c r="S1038">
        <f>IF(OR(Q1038="",R1038=""),"",Q1038-R1038)</f>
        <v>0</v>
      </c>
      <c r="T1038">
        <f>IF(COUNT($E$2:$E1038)&lt;14,"",MAX($C$1025:$C$1038))</f>
        <v>0</v>
      </c>
      <c r="U1038">
        <f>IF(COUNT($E$2:$E1038)&lt;14,"",MIN($D$1025:$D$1038))</f>
        <v>0</v>
      </c>
      <c r="V1038">
        <f>IF(OR(T1038="",U1038="",T1038=U1038),"",100*($E1038-U1038)/(T1038-U1038))</f>
        <v>0</v>
      </c>
      <c r="W1038">
        <f>IF(COUNT($V$1036:$V$1038)&lt;3,"",AVERAGE($V$1036:$V$1038))</f>
        <v>0</v>
      </c>
      <c r="X1038">
        <f>IF(COUNT($N$1025:$N$1038)&lt;14,"",MIN($N$1025:$N$1038))</f>
        <v>0</v>
      </c>
      <c r="Y1038">
        <f>IF(COUNT($N$1025:$N$1038)&lt;14,"",MAX($N$1025:$N$1038))</f>
        <v>0</v>
      </c>
      <c r="Z1038">
        <f>IF(OR(N1038="",X1038="",Y1038="",Y1038=X1038),"",100*(N1038-X1038)/(Y1038-X1038))</f>
        <v>0</v>
      </c>
      <c r="AA1038">
        <f>IF(COUNT($Z$1036:$Z$1038)&lt;3,"",AVERAGE($Z$1036:$Z$1038))</f>
        <v>0</v>
      </c>
      <c r="AB1038">
        <f>IF(COUNT($AA$1036:$AA$1038)&lt;3,"",AVERAGE($AA$1036:$AA$1038))</f>
        <v>0</v>
      </c>
      <c r="AC1038">
        <f>IF($E1038="","",MAX($C1038-$D1038,ABS($C1038-$E1037),ABS($D1038-$E1037)))</f>
        <v>0</v>
      </c>
      <c r="AD1038">
        <f>IF(COUNT($E$2:$E1038)&lt;15,"",AVERAGE($AC$1025:$AC$1038))</f>
        <v>0</v>
      </c>
      <c r="AE1038">
        <f>IF(OR($E1038="",$E1037=""),"",IF(AND(($C1038-$C1037)&gt;($D1037-$D1038),($C1038-$C1037)&gt;0),$C1038-$C1037,0))</f>
        <v>0</v>
      </c>
      <c r="AF1038">
        <f>IF(OR($E1038="",$E1037=""),"",IF(AND(($D1037-$D1038)&gt;($C1038-$C1037),($D1037-$D1038)&gt;0),$D1037-$D1038,0))</f>
        <v>0</v>
      </c>
      <c r="AG1038">
        <f>IF(COUNT($E$2:$E1038)&lt;15,"",IF(SUM($AC$1025:$AC$1038)=0,0,100*SUM($AE$1025:$AE$1038)/SUM($AC$1025:$AC$1038)))</f>
        <v>0</v>
      </c>
      <c r="AH1038">
        <f>IF(COUNT($E$2:$E1038)&lt;15,"",IF(SUM($AC$1025:$AC$1038)=0,0,100*SUM($AF$1025:$AF$1038)/SUM($AC$1025:$AC$1038)))</f>
        <v>0</v>
      </c>
      <c r="AI1038">
        <f>IF(OR(AG1038="",AH1038=""),"",IF((AG1038+AH1038)=0,0,100*ABS(AG1038-AH1038)/(AG1038+AH1038)))</f>
        <v>0</v>
      </c>
      <c r="AJ1038">
        <f>IF(COUNT($AI$1025:$AI$1038)&lt;14,"",AVERAGE($AI$1025:$AI$1038))</f>
        <v>0</v>
      </c>
      <c r="AK1038">
        <f>IF(COUNT($E$2:$E1038)&lt;20,"",AVERAGE($E$1019:$E$1038))</f>
        <v>0</v>
      </c>
      <c r="AL1038">
        <f>IF(COUNT($E$2:$E1038)&lt;20,"",STDEVP($E$1019:$E$1038))</f>
        <v>0</v>
      </c>
      <c r="AM1038">
        <f>IF(AK1038="","",AK1038+2*AL1038)</f>
        <v>0</v>
      </c>
      <c r="AN1038">
        <f>IF(AK1038="","",AK1038-2*AL1038)</f>
        <v>0</v>
      </c>
      <c r="AO1038">
        <f>IF(OR(AM1038="",AN1038="",AM1038=AN1038),"",($E1038-AN1038)/(AM1038-AN1038))</f>
        <v>0</v>
      </c>
      <c r="AP1038">
        <f>IF(OR(AM1038="",AK1038="",AK1038=0),"",(AM1038-AN1038)/AK1038)</f>
        <v>0</v>
      </c>
      <c r="AQ1038">
        <f>IF(COUNT($E$2:$E1038)&lt;20,"",MAX($C$1019:$C$1038))</f>
        <v>0</v>
      </c>
      <c r="AR1038">
        <f>IF(COUNT($E$2:$E1038)&lt;20,"",MIN($D$1019:$D$1038))</f>
        <v>0</v>
      </c>
      <c r="AS1038">
        <f>IF(OR(AQ1038="",AR1038=""),"",(AQ1038+AR1038)/2)</f>
        <v>0</v>
      </c>
      <c r="AT1038">
        <f>IF(COUNT($G$1019:$G$1038)&lt;20,"",STDEV($G$1019:$G$1038)*SQRT(252))</f>
        <v>0</v>
      </c>
      <c r="AU1038">
        <f>IF(COUNT($E$2:$E1038)&lt;9,"",(MAX($C$1030:$C$1038)+MIN($D$1030:$D$1038))/2)</f>
        <v>0</v>
      </c>
      <c r="AV1038">
        <f>IF(COUNT($E$2:$E1038)&lt;26,"",(MAX($C$1013:$C$1038)+MIN($D$1013:$D$1038))/2)</f>
        <v>0</v>
      </c>
      <c r="AW1038">
        <f>IF(OR(AU1038="",AV1038=""),"",(AU1038+AV1038)/2)</f>
        <v>0</v>
      </c>
      <c r="AX1038">
        <f>IF(COUNT($E$2:$E1038)&lt;52,"",(MAX($C$987:$C$1038)+MIN($D$987:$D$1038))/2)</f>
        <v>0</v>
      </c>
      <c r="AY1038">
        <f>IF(COUNT($E$2:$E1038)&lt;20,"",MAX($C$939:$C$1038))</f>
        <v>0</v>
      </c>
      <c r="AZ1038">
        <f>IF(COUNT($E$2:$E1038)&lt;20,"",MIN($D$939:$D$1038))</f>
        <v>0</v>
      </c>
      <c r="BA1038">
        <f>IF(COUNT($E$2:$E1038)&lt;20,"",SLOPE($E$939:$E$1038,$F$939:$F$1038))</f>
        <v>0</v>
      </c>
      <c r="BB1038">
        <f>IF(COUNT($E$2:$E1038)&lt;20,"",INTERCEPT($E$939:$E$1038,$F$939:$F$1038))</f>
        <v>0</v>
      </c>
      <c r="BC1038">
        <f>IF(OR(BA1038="",BB1038=""),"",BB1038+BA1038*F1038)</f>
        <v>0</v>
      </c>
      <c r="BD1038">
        <f>IF(COUNT($E$2:$E1038)&lt;20,"",STEYX($E$939:$E$1038,$F$939:$F$1038))</f>
        <v>0</v>
      </c>
      <c r="BE1038">
        <f>IF($E1038="","",IF(AND(COUNT($E$1039:$E$1042)&gt;=4,$C1038=MAX($C$1034:$C$1042)),$C1038,""))</f>
        <v>0</v>
      </c>
      <c r="BF1038">
        <f>IF($E1038="","",IF(AND(COUNT($E$1039:$E$1042)&gt;=4,$D1038=MIN($D$1034:$D$1042)),$D1038,""))</f>
        <v>0</v>
      </c>
      <c r="BG1038">
        <f>IF($A1038="","",$A1038-WEEKDAY($A1038,2)+1)</f>
        <v>0</v>
      </c>
      <c r="BH1038">
        <f>IF($A1038="","",IF($A1037="",1,IF(BG1038&lt;&gt;BG1037,1,0)))</f>
        <v>0</v>
      </c>
      <c r="BI1038">
        <f>IF($A1038="","",IF($A1039="",1,IF(BG1039&lt;&gt;BG1038,1,0)))</f>
        <v>0</v>
      </c>
      <c r="BJ1038">
        <f>IF($A1038="","",IF(BH1038=1,$B1038,BJ1037))</f>
        <v>0</v>
      </c>
      <c r="BK1038">
        <f>IF($A1038="","",IF(BH1038=1,$C1038,MAX($C1038,BK1037)))</f>
        <v>0</v>
      </c>
      <c r="BL1038">
        <f>IF($A1038="","",IF(BH1038=1,$D1038,MIN($D1038,BL1037)))</f>
        <v>0</v>
      </c>
      <c r="BM1038">
        <f>IF($A1038="","",IF(BI1038=1,F1038,""))</f>
        <v>0</v>
      </c>
      <c r="BN1038">
        <f>IF($A1038="","",DATE(YEAR($A1038),MONTH($A1038),1))</f>
        <v>0</v>
      </c>
      <c r="BO1038">
        <f>IF($A1038="","",IF($A1037="",1,IF(BN1038&lt;&gt;BN1037,1,0)))</f>
        <v>0</v>
      </c>
      <c r="BP1038">
        <f>IF($A1038="","",IF($A1039="",1,IF(BN1039&lt;&gt;BN1038,1,0)))</f>
        <v>0</v>
      </c>
      <c r="BQ1038">
        <f>IF($A1038="","",IF(BO1038=1,$B1038,BQ1037))</f>
        <v>0</v>
      </c>
      <c r="BR1038">
        <f>IF($A1038="","",IF(BO1038=1,$C1038,MAX($C1038,BR1037)))</f>
        <v>0</v>
      </c>
      <c r="BS1038">
        <f>IF($A1038="","",IF(BO1038=1,$D1038,MIN($D1038,BS1037)))</f>
        <v>0</v>
      </c>
      <c r="BT1038">
        <f>IF($A1038="","",IF(BP1038=1,F1038,""))</f>
        <v>0</v>
      </c>
    </row>
    <row r="1039" spans="1:72">
      <c r="A1039" s="27">
        <f>IF(Data!$A1039="","",Data!$A1039)</f>
        <v>0</v>
      </c>
      <c r="B1039">
        <f>IF(Data!$B1039="","",Data!$B1039)</f>
        <v>0</v>
      </c>
      <c r="C1039">
        <f>IF(Data!$C1039="","",Data!$C1039)</f>
        <v>0</v>
      </c>
      <c r="D1039">
        <f>IF(Data!$D1039="","",Data!$D1039)</f>
        <v>0</v>
      </c>
      <c r="E1039">
        <f>IF(Data!$E1039="","",Data!$E1039)</f>
        <v>0</v>
      </c>
      <c r="F1039">
        <f>IF($E1039="","",N(F1038)+1)</f>
        <v>0</v>
      </c>
      <c r="G1039">
        <f>IF(OR($E1039="",$E1038=""),"",LN($E1039/$E1038))</f>
        <v>0</v>
      </c>
      <c r="H1039">
        <f>IF($E1039="","",IF($E1038="",$E1039,$E1039*0.0952380952+H1038*0.9047619048))</f>
        <v>0</v>
      </c>
      <c r="I1039">
        <f>IF($E1039="","",IF($E1038="",$E1039,$E1039*0.0392156863+I1038*0.9607843137))</f>
        <v>0</v>
      </c>
      <c r="J1039">
        <f>IF($E1039="","",IF($E1038="",$E1039,$E1039*0.0198019802+J1038*0.9801980198))</f>
        <v>0</v>
      </c>
      <c r="K1039">
        <f>IF($E1039="","",IF($E1038="",$E1039,$E1039*0.0099502488+K1038*0.9900497512))</f>
        <v>0</v>
      </c>
      <c r="L1039">
        <f>IF(OR($E1039="",$E1038=""),"",MAX($E1039-$E1038,0))</f>
        <v>0</v>
      </c>
      <c r="M1039">
        <f>IF(OR($E1039="",$E1038=""),"",MAX($E1038-$E1039,0))</f>
        <v>0</v>
      </c>
      <c r="N1039">
        <f>IF(COUNT($E$2:$E1039)&lt;15,"",IF(AVERAGE($M$1026:$M$1039)=0,100,100-100/(1+AVERAGE($L$1026:$L$1039)/AVERAGE($M$1026:$M$1039))))</f>
        <v>0</v>
      </c>
      <c r="O1039">
        <f>IF($E1039="","",IF($E1038="",$E1039,$E1039*0.1538461538+O1038*0.8461538462))</f>
        <v>0</v>
      </c>
      <c r="P1039">
        <f>IF($E1039="","",IF($E1038="",$E1039,$E1039*0.0740740741+P1038*0.9259259259))</f>
        <v>0</v>
      </c>
      <c r="Q1039">
        <f>IF(OR(O1039="",P1039=""),"",O1039-P1039)</f>
        <v>0</v>
      </c>
      <c r="R1039">
        <f>IF(Q1039="","",IF(R1038="",Q1039,Q1039*0.2000000000+R1038*0.8000000000))</f>
        <v>0</v>
      </c>
      <c r="S1039">
        <f>IF(OR(Q1039="",R1039=""),"",Q1039-R1039)</f>
        <v>0</v>
      </c>
      <c r="T1039">
        <f>IF(COUNT($E$2:$E1039)&lt;14,"",MAX($C$1026:$C$1039))</f>
        <v>0</v>
      </c>
      <c r="U1039">
        <f>IF(COUNT($E$2:$E1039)&lt;14,"",MIN($D$1026:$D$1039))</f>
        <v>0</v>
      </c>
      <c r="V1039">
        <f>IF(OR(T1039="",U1039="",T1039=U1039),"",100*($E1039-U1039)/(T1039-U1039))</f>
        <v>0</v>
      </c>
      <c r="W1039">
        <f>IF(COUNT($V$1037:$V$1039)&lt;3,"",AVERAGE($V$1037:$V$1039))</f>
        <v>0</v>
      </c>
      <c r="X1039">
        <f>IF(COUNT($N$1026:$N$1039)&lt;14,"",MIN($N$1026:$N$1039))</f>
        <v>0</v>
      </c>
      <c r="Y1039">
        <f>IF(COUNT($N$1026:$N$1039)&lt;14,"",MAX($N$1026:$N$1039))</f>
        <v>0</v>
      </c>
      <c r="Z1039">
        <f>IF(OR(N1039="",X1039="",Y1039="",Y1039=X1039),"",100*(N1039-X1039)/(Y1039-X1039))</f>
        <v>0</v>
      </c>
      <c r="AA1039">
        <f>IF(COUNT($Z$1037:$Z$1039)&lt;3,"",AVERAGE($Z$1037:$Z$1039))</f>
        <v>0</v>
      </c>
      <c r="AB1039">
        <f>IF(COUNT($AA$1037:$AA$1039)&lt;3,"",AVERAGE($AA$1037:$AA$1039))</f>
        <v>0</v>
      </c>
      <c r="AC1039">
        <f>IF($E1039="","",MAX($C1039-$D1039,ABS($C1039-$E1038),ABS($D1039-$E1038)))</f>
        <v>0</v>
      </c>
      <c r="AD1039">
        <f>IF(COUNT($E$2:$E1039)&lt;15,"",AVERAGE($AC$1026:$AC$1039))</f>
        <v>0</v>
      </c>
      <c r="AE1039">
        <f>IF(OR($E1039="",$E1038=""),"",IF(AND(($C1039-$C1038)&gt;($D1038-$D1039),($C1039-$C1038)&gt;0),$C1039-$C1038,0))</f>
        <v>0</v>
      </c>
      <c r="AF1039">
        <f>IF(OR($E1039="",$E1038=""),"",IF(AND(($D1038-$D1039)&gt;($C1039-$C1038),($D1038-$D1039)&gt;0),$D1038-$D1039,0))</f>
        <v>0</v>
      </c>
      <c r="AG1039">
        <f>IF(COUNT($E$2:$E1039)&lt;15,"",IF(SUM($AC$1026:$AC$1039)=0,0,100*SUM($AE$1026:$AE$1039)/SUM($AC$1026:$AC$1039)))</f>
        <v>0</v>
      </c>
      <c r="AH1039">
        <f>IF(COUNT($E$2:$E1039)&lt;15,"",IF(SUM($AC$1026:$AC$1039)=0,0,100*SUM($AF$1026:$AF$1039)/SUM($AC$1026:$AC$1039)))</f>
        <v>0</v>
      </c>
      <c r="AI1039">
        <f>IF(OR(AG1039="",AH1039=""),"",IF((AG1039+AH1039)=0,0,100*ABS(AG1039-AH1039)/(AG1039+AH1039)))</f>
        <v>0</v>
      </c>
      <c r="AJ1039">
        <f>IF(COUNT($AI$1026:$AI$1039)&lt;14,"",AVERAGE($AI$1026:$AI$1039))</f>
        <v>0</v>
      </c>
      <c r="AK1039">
        <f>IF(COUNT($E$2:$E1039)&lt;20,"",AVERAGE($E$1020:$E$1039))</f>
        <v>0</v>
      </c>
      <c r="AL1039">
        <f>IF(COUNT($E$2:$E1039)&lt;20,"",STDEVP($E$1020:$E$1039))</f>
        <v>0</v>
      </c>
      <c r="AM1039">
        <f>IF(AK1039="","",AK1039+2*AL1039)</f>
        <v>0</v>
      </c>
      <c r="AN1039">
        <f>IF(AK1039="","",AK1039-2*AL1039)</f>
        <v>0</v>
      </c>
      <c r="AO1039">
        <f>IF(OR(AM1039="",AN1039="",AM1039=AN1039),"",($E1039-AN1039)/(AM1039-AN1039))</f>
        <v>0</v>
      </c>
      <c r="AP1039">
        <f>IF(OR(AM1039="",AK1039="",AK1039=0),"",(AM1039-AN1039)/AK1039)</f>
        <v>0</v>
      </c>
      <c r="AQ1039">
        <f>IF(COUNT($E$2:$E1039)&lt;20,"",MAX($C$1020:$C$1039))</f>
        <v>0</v>
      </c>
      <c r="AR1039">
        <f>IF(COUNT($E$2:$E1039)&lt;20,"",MIN($D$1020:$D$1039))</f>
        <v>0</v>
      </c>
      <c r="AS1039">
        <f>IF(OR(AQ1039="",AR1039=""),"",(AQ1039+AR1039)/2)</f>
        <v>0</v>
      </c>
      <c r="AT1039">
        <f>IF(COUNT($G$1020:$G$1039)&lt;20,"",STDEV($G$1020:$G$1039)*SQRT(252))</f>
        <v>0</v>
      </c>
      <c r="AU1039">
        <f>IF(COUNT($E$2:$E1039)&lt;9,"",(MAX($C$1031:$C$1039)+MIN($D$1031:$D$1039))/2)</f>
        <v>0</v>
      </c>
      <c r="AV1039">
        <f>IF(COUNT($E$2:$E1039)&lt;26,"",(MAX($C$1014:$C$1039)+MIN($D$1014:$D$1039))/2)</f>
        <v>0</v>
      </c>
      <c r="AW1039">
        <f>IF(OR(AU1039="",AV1039=""),"",(AU1039+AV1039)/2)</f>
        <v>0</v>
      </c>
      <c r="AX1039">
        <f>IF(COUNT($E$2:$E1039)&lt;52,"",(MAX($C$988:$C$1039)+MIN($D$988:$D$1039))/2)</f>
        <v>0</v>
      </c>
      <c r="AY1039">
        <f>IF(COUNT($E$2:$E1039)&lt;20,"",MAX($C$940:$C$1039))</f>
        <v>0</v>
      </c>
      <c r="AZ1039">
        <f>IF(COUNT($E$2:$E1039)&lt;20,"",MIN($D$940:$D$1039))</f>
        <v>0</v>
      </c>
      <c r="BA1039">
        <f>IF(COUNT($E$2:$E1039)&lt;20,"",SLOPE($E$940:$E$1039,$F$940:$F$1039))</f>
        <v>0</v>
      </c>
      <c r="BB1039">
        <f>IF(COUNT($E$2:$E1039)&lt;20,"",INTERCEPT($E$940:$E$1039,$F$940:$F$1039))</f>
        <v>0</v>
      </c>
      <c r="BC1039">
        <f>IF(OR(BA1039="",BB1039=""),"",BB1039+BA1039*F1039)</f>
        <v>0</v>
      </c>
      <c r="BD1039">
        <f>IF(COUNT($E$2:$E1039)&lt;20,"",STEYX($E$940:$E$1039,$F$940:$F$1039))</f>
        <v>0</v>
      </c>
      <c r="BE1039">
        <f>IF($E1039="","",IF(AND(COUNT($E$1040:$E$1043)&gt;=4,$C1039=MAX($C$1035:$C$1043)),$C1039,""))</f>
        <v>0</v>
      </c>
      <c r="BF1039">
        <f>IF($E1039="","",IF(AND(COUNT($E$1040:$E$1043)&gt;=4,$D1039=MIN($D$1035:$D$1043)),$D1039,""))</f>
        <v>0</v>
      </c>
      <c r="BG1039">
        <f>IF($A1039="","",$A1039-WEEKDAY($A1039,2)+1)</f>
        <v>0</v>
      </c>
      <c r="BH1039">
        <f>IF($A1039="","",IF($A1038="",1,IF(BG1039&lt;&gt;BG1038,1,0)))</f>
        <v>0</v>
      </c>
      <c r="BI1039">
        <f>IF($A1039="","",IF($A1040="",1,IF(BG1040&lt;&gt;BG1039,1,0)))</f>
        <v>0</v>
      </c>
      <c r="BJ1039">
        <f>IF($A1039="","",IF(BH1039=1,$B1039,BJ1038))</f>
        <v>0</v>
      </c>
      <c r="BK1039">
        <f>IF($A1039="","",IF(BH1039=1,$C1039,MAX($C1039,BK1038)))</f>
        <v>0</v>
      </c>
      <c r="BL1039">
        <f>IF($A1039="","",IF(BH1039=1,$D1039,MIN($D1039,BL1038)))</f>
        <v>0</v>
      </c>
      <c r="BM1039">
        <f>IF($A1039="","",IF(BI1039=1,F1039,""))</f>
        <v>0</v>
      </c>
      <c r="BN1039">
        <f>IF($A1039="","",DATE(YEAR($A1039),MONTH($A1039),1))</f>
        <v>0</v>
      </c>
      <c r="BO1039">
        <f>IF($A1039="","",IF($A1038="",1,IF(BN1039&lt;&gt;BN1038,1,0)))</f>
        <v>0</v>
      </c>
      <c r="BP1039">
        <f>IF($A1039="","",IF($A1040="",1,IF(BN1040&lt;&gt;BN1039,1,0)))</f>
        <v>0</v>
      </c>
      <c r="BQ1039">
        <f>IF($A1039="","",IF(BO1039=1,$B1039,BQ1038))</f>
        <v>0</v>
      </c>
      <c r="BR1039">
        <f>IF($A1039="","",IF(BO1039=1,$C1039,MAX($C1039,BR1038)))</f>
        <v>0</v>
      </c>
      <c r="BS1039">
        <f>IF($A1039="","",IF(BO1039=1,$D1039,MIN($D1039,BS1038)))</f>
        <v>0</v>
      </c>
      <c r="BT1039">
        <f>IF($A1039="","",IF(BP1039=1,F1039,""))</f>
        <v>0</v>
      </c>
    </row>
    <row r="1040" spans="1:72">
      <c r="A1040" s="27">
        <f>IF(Data!$A1040="","",Data!$A1040)</f>
        <v>0</v>
      </c>
      <c r="B1040">
        <f>IF(Data!$B1040="","",Data!$B1040)</f>
        <v>0</v>
      </c>
      <c r="C1040">
        <f>IF(Data!$C1040="","",Data!$C1040)</f>
        <v>0</v>
      </c>
      <c r="D1040">
        <f>IF(Data!$D1040="","",Data!$D1040)</f>
        <v>0</v>
      </c>
      <c r="E1040">
        <f>IF(Data!$E1040="","",Data!$E1040)</f>
        <v>0</v>
      </c>
      <c r="F1040">
        <f>IF($E1040="","",N(F1039)+1)</f>
        <v>0</v>
      </c>
      <c r="G1040">
        <f>IF(OR($E1040="",$E1039=""),"",LN($E1040/$E1039))</f>
        <v>0</v>
      </c>
      <c r="H1040">
        <f>IF($E1040="","",IF($E1039="",$E1040,$E1040*0.0952380952+H1039*0.9047619048))</f>
        <v>0</v>
      </c>
      <c r="I1040">
        <f>IF($E1040="","",IF($E1039="",$E1040,$E1040*0.0392156863+I1039*0.9607843137))</f>
        <v>0</v>
      </c>
      <c r="J1040">
        <f>IF($E1040="","",IF($E1039="",$E1040,$E1040*0.0198019802+J1039*0.9801980198))</f>
        <v>0</v>
      </c>
      <c r="K1040">
        <f>IF($E1040="","",IF($E1039="",$E1040,$E1040*0.0099502488+K1039*0.9900497512))</f>
        <v>0</v>
      </c>
      <c r="L1040">
        <f>IF(OR($E1040="",$E1039=""),"",MAX($E1040-$E1039,0))</f>
        <v>0</v>
      </c>
      <c r="M1040">
        <f>IF(OR($E1040="",$E1039=""),"",MAX($E1039-$E1040,0))</f>
        <v>0</v>
      </c>
      <c r="N1040">
        <f>IF(COUNT($E$2:$E1040)&lt;15,"",IF(AVERAGE($M$1027:$M$1040)=0,100,100-100/(1+AVERAGE($L$1027:$L$1040)/AVERAGE($M$1027:$M$1040))))</f>
        <v>0</v>
      </c>
      <c r="O1040">
        <f>IF($E1040="","",IF($E1039="",$E1040,$E1040*0.1538461538+O1039*0.8461538462))</f>
        <v>0</v>
      </c>
      <c r="P1040">
        <f>IF($E1040="","",IF($E1039="",$E1040,$E1040*0.0740740741+P1039*0.9259259259))</f>
        <v>0</v>
      </c>
      <c r="Q1040">
        <f>IF(OR(O1040="",P1040=""),"",O1040-P1040)</f>
        <v>0</v>
      </c>
      <c r="R1040">
        <f>IF(Q1040="","",IF(R1039="",Q1040,Q1040*0.2000000000+R1039*0.8000000000))</f>
        <v>0</v>
      </c>
      <c r="S1040">
        <f>IF(OR(Q1040="",R1040=""),"",Q1040-R1040)</f>
        <v>0</v>
      </c>
      <c r="T1040">
        <f>IF(COUNT($E$2:$E1040)&lt;14,"",MAX($C$1027:$C$1040))</f>
        <v>0</v>
      </c>
      <c r="U1040">
        <f>IF(COUNT($E$2:$E1040)&lt;14,"",MIN($D$1027:$D$1040))</f>
        <v>0</v>
      </c>
      <c r="V1040">
        <f>IF(OR(T1040="",U1040="",T1040=U1040),"",100*($E1040-U1040)/(T1040-U1040))</f>
        <v>0</v>
      </c>
      <c r="W1040">
        <f>IF(COUNT($V$1038:$V$1040)&lt;3,"",AVERAGE($V$1038:$V$1040))</f>
        <v>0</v>
      </c>
      <c r="X1040">
        <f>IF(COUNT($N$1027:$N$1040)&lt;14,"",MIN($N$1027:$N$1040))</f>
        <v>0</v>
      </c>
      <c r="Y1040">
        <f>IF(COUNT($N$1027:$N$1040)&lt;14,"",MAX($N$1027:$N$1040))</f>
        <v>0</v>
      </c>
      <c r="Z1040">
        <f>IF(OR(N1040="",X1040="",Y1040="",Y1040=X1040),"",100*(N1040-X1040)/(Y1040-X1040))</f>
        <v>0</v>
      </c>
      <c r="AA1040">
        <f>IF(COUNT($Z$1038:$Z$1040)&lt;3,"",AVERAGE($Z$1038:$Z$1040))</f>
        <v>0</v>
      </c>
      <c r="AB1040">
        <f>IF(COUNT($AA$1038:$AA$1040)&lt;3,"",AVERAGE($AA$1038:$AA$1040))</f>
        <v>0</v>
      </c>
      <c r="AC1040">
        <f>IF($E1040="","",MAX($C1040-$D1040,ABS($C1040-$E1039),ABS($D1040-$E1039)))</f>
        <v>0</v>
      </c>
      <c r="AD1040">
        <f>IF(COUNT($E$2:$E1040)&lt;15,"",AVERAGE($AC$1027:$AC$1040))</f>
        <v>0</v>
      </c>
      <c r="AE1040">
        <f>IF(OR($E1040="",$E1039=""),"",IF(AND(($C1040-$C1039)&gt;($D1039-$D1040),($C1040-$C1039)&gt;0),$C1040-$C1039,0))</f>
        <v>0</v>
      </c>
      <c r="AF1040">
        <f>IF(OR($E1040="",$E1039=""),"",IF(AND(($D1039-$D1040)&gt;($C1040-$C1039),($D1039-$D1040)&gt;0),$D1039-$D1040,0))</f>
        <v>0</v>
      </c>
      <c r="AG1040">
        <f>IF(COUNT($E$2:$E1040)&lt;15,"",IF(SUM($AC$1027:$AC$1040)=0,0,100*SUM($AE$1027:$AE$1040)/SUM($AC$1027:$AC$1040)))</f>
        <v>0</v>
      </c>
      <c r="AH1040">
        <f>IF(COUNT($E$2:$E1040)&lt;15,"",IF(SUM($AC$1027:$AC$1040)=0,0,100*SUM($AF$1027:$AF$1040)/SUM($AC$1027:$AC$1040)))</f>
        <v>0</v>
      </c>
      <c r="AI1040">
        <f>IF(OR(AG1040="",AH1040=""),"",IF((AG1040+AH1040)=0,0,100*ABS(AG1040-AH1040)/(AG1040+AH1040)))</f>
        <v>0</v>
      </c>
      <c r="AJ1040">
        <f>IF(COUNT($AI$1027:$AI$1040)&lt;14,"",AVERAGE($AI$1027:$AI$1040))</f>
        <v>0</v>
      </c>
      <c r="AK1040">
        <f>IF(COUNT($E$2:$E1040)&lt;20,"",AVERAGE($E$1021:$E$1040))</f>
        <v>0</v>
      </c>
      <c r="AL1040">
        <f>IF(COUNT($E$2:$E1040)&lt;20,"",STDEVP($E$1021:$E$1040))</f>
        <v>0</v>
      </c>
      <c r="AM1040">
        <f>IF(AK1040="","",AK1040+2*AL1040)</f>
        <v>0</v>
      </c>
      <c r="AN1040">
        <f>IF(AK1040="","",AK1040-2*AL1040)</f>
        <v>0</v>
      </c>
      <c r="AO1040">
        <f>IF(OR(AM1040="",AN1040="",AM1040=AN1040),"",($E1040-AN1040)/(AM1040-AN1040))</f>
        <v>0</v>
      </c>
      <c r="AP1040">
        <f>IF(OR(AM1040="",AK1040="",AK1040=0),"",(AM1040-AN1040)/AK1040)</f>
        <v>0</v>
      </c>
      <c r="AQ1040">
        <f>IF(COUNT($E$2:$E1040)&lt;20,"",MAX($C$1021:$C$1040))</f>
        <v>0</v>
      </c>
      <c r="AR1040">
        <f>IF(COUNT($E$2:$E1040)&lt;20,"",MIN($D$1021:$D$1040))</f>
        <v>0</v>
      </c>
      <c r="AS1040">
        <f>IF(OR(AQ1040="",AR1040=""),"",(AQ1040+AR1040)/2)</f>
        <v>0</v>
      </c>
      <c r="AT1040">
        <f>IF(COUNT($G$1021:$G$1040)&lt;20,"",STDEV($G$1021:$G$1040)*SQRT(252))</f>
        <v>0</v>
      </c>
      <c r="AU1040">
        <f>IF(COUNT($E$2:$E1040)&lt;9,"",(MAX($C$1032:$C$1040)+MIN($D$1032:$D$1040))/2)</f>
        <v>0</v>
      </c>
      <c r="AV1040">
        <f>IF(COUNT($E$2:$E1040)&lt;26,"",(MAX($C$1015:$C$1040)+MIN($D$1015:$D$1040))/2)</f>
        <v>0</v>
      </c>
      <c r="AW1040">
        <f>IF(OR(AU1040="",AV1040=""),"",(AU1040+AV1040)/2)</f>
        <v>0</v>
      </c>
      <c r="AX1040">
        <f>IF(COUNT($E$2:$E1040)&lt;52,"",(MAX($C$989:$C$1040)+MIN($D$989:$D$1040))/2)</f>
        <v>0</v>
      </c>
      <c r="AY1040">
        <f>IF(COUNT($E$2:$E1040)&lt;20,"",MAX($C$941:$C$1040))</f>
        <v>0</v>
      </c>
      <c r="AZ1040">
        <f>IF(COUNT($E$2:$E1040)&lt;20,"",MIN($D$941:$D$1040))</f>
        <v>0</v>
      </c>
      <c r="BA1040">
        <f>IF(COUNT($E$2:$E1040)&lt;20,"",SLOPE($E$941:$E$1040,$F$941:$F$1040))</f>
        <v>0</v>
      </c>
      <c r="BB1040">
        <f>IF(COUNT($E$2:$E1040)&lt;20,"",INTERCEPT($E$941:$E$1040,$F$941:$F$1040))</f>
        <v>0</v>
      </c>
      <c r="BC1040">
        <f>IF(OR(BA1040="",BB1040=""),"",BB1040+BA1040*F1040)</f>
        <v>0</v>
      </c>
      <c r="BD1040">
        <f>IF(COUNT($E$2:$E1040)&lt;20,"",STEYX($E$941:$E$1040,$F$941:$F$1040))</f>
        <v>0</v>
      </c>
      <c r="BE1040">
        <f>IF($E1040="","",IF(AND(COUNT($E$1041:$E$1044)&gt;=4,$C1040=MAX($C$1036:$C$1044)),$C1040,""))</f>
        <v>0</v>
      </c>
      <c r="BF1040">
        <f>IF($E1040="","",IF(AND(COUNT($E$1041:$E$1044)&gt;=4,$D1040=MIN($D$1036:$D$1044)),$D1040,""))</f>
        <v>0</v>
      </c>
      <c r="BG1040">
        <f>IF($A1040="","",$A1040-WEEKDAY($A1040,2)+1)</f>
        <v>0</v>
      </c>
      <c r="BH1040">
        <f>IF($A1040="","",IF($A1039="",1,IF(BG1040&lt;&gt;BG1039,1,0)))</f>
        <v>0</v>
      </c>
      <c r="BI1040">
        <f>IF($A1040="","",IF($A1041="",1,IF(BG1041&lt;&gt;BG1040,1,0)))</f>
        <v>0</v>
      </c>
      <c r="BJ1040">
        <f>IF($A1040="","",IF(BH1040=1,$B1040,BJ1039))</f>
        <v>0</v>
      </c>
      <c r="BK1040">
        <f>IF($A1040="","",IF(BH1040=1,$C1040,MAX($C1040,BK1039)))</f>
        <v>0</v>
      </c>
      <c r="BL1040">
        <f>IF($A1040="","",IF(BH1040=1,$D1040,MIN($D1040,BL1039)))</f>
        <v>0</v>
      </c>
      <c r="BM1040">
        <f>IF($A1040="","",IF(BI1040=1,F1040,""))</f>
        <v>0</v>
      </c>
      <c r="BN1040">
        <f>IF($A1040="","",DATE(YEAR($A1040),MONTH($A1040),1))</f>
        <v>0</v>
      </c>
      <c r="BO1040">
        <f>IF($A1040="","",IF($A1039="",1,IF(BN1040&lt;&gt;BN1039,1,0)))</f>
        <v>0</v>
      </c>
      <c r="BP1040">
        <f>IF($A1040="","",IF($A1041="",1,IF(BN1041&lt;&gt;BN1040,1,0)))</f>
        <v>0</v>
      </c>
      <c r="BQ1040">
        <f>IF($A1040="","",IF(BO1040=1,$B1040,BQ1039))</f>
        <v>0</v>
      </c>
      <c r="BR1040">
        <f>IF($A1040="","",IF(BO1040=1,$C1040,MAX($C1040,BR1039)))</f>
        <v>0</v>
      </c>
      <c r="BS1040">
        <f>IF($A1040="","",IF(BO1040=1,$D1040,MIN($D1040,BS1039)))</f>
        <v>0</v>
      </c>
      <c r="BT1040">
        <f>IF($A1040="","",IF(BP1040=1,F1040,""))</f>
        <v>0</v>
      </c>
    </row>
    <row r="1041" spans="1:72">
      <c r="A1041" s="27">
        <f>IF(Data!$A1041="","",Data!$A1041)</f>
        <v>0</v>
      </c>
      <c r="B1041">
        <f>IF(Data!$B1041="","",Data!$B1041)</f>
        <v>0</v>
      </c>
      <c r="C1041">
        <f>IF(Data!$C1041="","",Data!$C1041)</f>
        <v>0</v>
      </c>
      <c r="D1041">
        <f>IF(Data!$D1041="","",Data!$D1041)</f>
        <v>0</v>
      </c>
      <c r="E1041">
        <f>IF(Data!$E1041="","",Data!$E1041)</f>
        <v>0</v>
      </c>
      <c r="F1041">
        <f>IF($E1041="","",N(F1040)+1)</f>
        <v>0</v>
      </c>
      <c r="G1041">
        <f>IF(OR($E1041="",$E1040=""),"",LN($E1041/$E1040))</f>
        <v>0</v>
      </c>
      <c r="H1041">
        <f>IF($E1041="","",IF($E1040="",$E1041,$E1041*0.0952380952+H1040*0.9047619048))</f>
        <v>0</v>
      </c>
      <c r="I1041">
        <f>IF($E1041="","",IF($E1040="",$E1041,$E1041*0.0392156863+I1040*0.9607843137))</f>
        <v>0</v>
      </c>
      <c r="J1041">
        <f>IF($E1041="","",IF($E1040="",$E1041,$E1041*0.0198019802+J1040*0.9801980198))</f>
        <v>0</v>
      </c>
      <c r="K1041">
        <f>IF($E1041="","",IF($E1040="",$E1041,$E1041*0.0099502488+K1040*0.9900497512))</f>
        <v>0</v>
      </c>
      <c r="L1041">
        <f>IF(OR($E1041="",$E1040=""),"",MAX($E1041-$E1040,0))</f>
        <v>0</v>
      </c>
      <c r="M1041">
        <f>IF(OR($E1041="",$E1040=""),"",MAX($E1040-$E1041,0))</f>
        <v>0</v>
      </c>
      <c r="N1041">
        <f>IF(COUNT($E$2:$E1041)&lt;15,"",IF(AVERAGE($M$1028:$M$1041)=0,100,100-100/(1+AVERAGE($L$1028:$L$1041)/AVERAGE($M$1028:$M$1041))))</f>
        <v>0</v>
      </c>
      <c r="O1041">
        <f>IF($E1041="","",IF($E1040="",$E1041,$E1041*0.1538461538+O1040*0.8461538462))</f>
        <v>0</v>
      </c>
      <c r="P1041">
        <f>IF($E1041="","",IF($E1040="",$E1041,$E1041*0.0740740741+P1040*0.9259259259))</f>
        <v>0</v>
      </c>
      <c r="Q1041">
        <f>IF(OR(O1041="",P1041=""),"",O1041-P1041)</f>
        <v>0</v>
      </c>
      <c r="R1041">
        <f>IF(Q1041="","",IF(R1040="",Q1041,Q1041*0.2000000000+R1040*0.8000000000))</f>
        <v>0</v>
      </c>
      <c r="S1041">
        <f>IF(OR(Q1041="",R1041=""),"",Q1041-R1041)</f>
        <v>0</v>
      </c>
      <c r="T1041">
        <f>IF(COUNT($E$2:$E1041)&lt;14,"",MAX($C$1028:$C$1041))</f>
        <v>0</v>
      </c>
      <c r="U1041">
        <f>IF(COUNT($E$2:$E1041)&lt;14,"",MIN($D$1028:$D$1041))</f>
        <v>0</v>
      </c>
      <c r="V1041">
        <f>IF(OR(T1041="",U1041="",T1041=U1041),"",100*($E1041-U1041)/(T1041-U1041))</f>
        <v>0</v>
      </c>
      <c r="W1041">
        <f>IF(COUNT($V$1039:$V$1041)&lt;3,"",AVERAGE($V$1039:$V$1041))</f>
        <v>0</v>
      </c>
      <c r="X1041">
        <f>IF(COUNT($N$1028:$N$1041)&lt;14,"",MIN($N$1028:$N$1041))</f>
        <v>0</v>
      </c>
      <c r="Y1041">
        <f>IF(COUNT($N$1028:$N$1041)&lt;14,"",MAX($N$1028:$N$1041))</f>
        <v>0</v>
      </c>
      <c r="Z1041">
        <f>IF(OR(N1041="",X1041="",Y1041="",Y1041=X1041),"",100*(N1041-X1041)/(Y1041-X1041))</f>
        <v>0</v>
      </c>
      <c r="AA1041">
        <f>IF(COUNT($Z$1039:$Z$1041)&lt;3,"",AVERAGE($Z$1039:$Z$1041))</f>
        <v>0</v>
      </c>
      <c r="AB1041">
        <f>IF(COUNT($AA$1039:$AA$1041)&lt;3,"",AVERAGE($AA$1039:$AA$1041))</f>
        <v>0</v>
      </c>
      <c r="AC1041">
        <f>IF($E1041="","",MAX($C1041-$D1041,ABS($C1041-$E1040),ABS($D1041-$E1040)))</f>
        <v>0</v>
      </c>
      <c r="AD1041">
        <f>IF(COUNT($E$2:$E1041)&lt;15,"",AVERAGE($AC$1028:$AC$1041))</f>
        <v>0</v>
      </c>
      <c r="AE1041">
        <f>IF(OR($E1041="",$E1040=""),"",IF(AND(($C1041-$C1040)&gt;($D1040-$D1041),($C1041-$C1040)&gt;0),$C1041-$C1040,0))</f>
        <v>0</v>
      </c>
      <c r="AF1041">
        <f>IF(OR($E1041="",$E1040=""),"",IF(AND(($D1040-$D1041)&gt;($C1041-$C1040),($D1040-$D1041)&gt;0),$D1040-$D1041,0))</f>
        <v>0</v>
      </c>
      <c r="AG1041">
        <f>IF(COUNT($E$2:$E1041)&lt;15,"",IF(SUM($AC$1028:$AC$1041)=0,0,100*SUM($AE$1028:$AE$1041)/SUM($AC$1028:$AC$1041)))</f>
        <v>0</v>
      </c>
      <c r="AH1041">
        <f>IF(COUNT($E$2:$E1041)&lt;15,"",IF(SUM($AC$1028:$AC$1041)=0,0,100*SUM($AF$1028:$AF$1041)/SUM($AC$1028:$AC$1041)))</f>
        <v>0</v>
      </c>
      <c r="AI1041">
        <f>IF(OR(AG1041="",AH1041=""),"",IF((AG1041+AH1041)=0,0,100*ABS(AG1041-AH1041)/(AG1041+AH1041)))</f>
        <v>0</v>
      </c>
      <c r="AJ1041">
        <f>IF(COUNT($AI$1028:$AI$1041)&lt;14,"",AVERAGE($AI$1028:$AI$1041))</f>
        <v>0</v>
      </c>
      <c r="AK1041">
        <f>IF(COUNT($E$2:$E1041)&lt;20,"",AVERAGE($E$1022:$E$1041))</f>
        <v>0</v>
      </c>
      <c r="AL1041">
        <f>IF(COUNT($E$2:$E1041)&lt;20,"",STDEVP($E$1022:$E$1041))</f>
        <v>0</v>
      </c>
      <c r="AM1041">
        <f>IF(AK1041="","",AK1041+2*AL1041)</f>
        <v>0</v>
      </c>
      <c r="AN1041">
        <f>IF(AK1041="","",AK1041-2*AL1041)</f>
        <v>0</v>
      </c>
      <c r="AO1041">
        <f>IF(OR(AM1041="",AN1041="",AM1041=AN1041),"",($E1041-AN1041)/(AM1041-AN1041))</f>
        <v>0</v>
      </c>
      <c r="AP1041">
        <f>IF(OR(AM1041="",AK1041="",AK1041=0),"",(AM1041-AN1041)/AK1041)</f>
        <v>0</v>
      </c>
      <c r="AQ1041">
        <f>IF(COUNT($E$2:$E1041)&lt;20,"",MAX($C$1022:$C$1041))</f>
        <v>0</v>
      </c>
      <c r="AR1041">
        <f>IF(COUNT($E$2:$E1041)&lt;20,"",MIN($D$1022:$D$1041))</f>
        <v>0</v>
      </c>
      <c r="AS1041">
        <f>IF(OR(AQ1041="",AR1041=""),"",(AQ1041+AR1041)/2)</f>
        <v>0</v>
      </c>
      <c r="AT1041">
        <f>IF(COUNT($G$1022:$G$1041)&lt;20,"",STDEV($G$1022:$G$1041)*SQRT(252))</f>
        <v>0</v>
      </c>
      <c r="AU1041">
        <f>IF(COUNT($E$2:$E1041)&lt;9,"",(MAX($C$1033:$C$1041)+MIN($D$1033:$D$1041))/2)</f>
        <v>0</v>
      </c>
      <c r="AV1041">
        <f>IF(COUNT($E$2:$E1041)&lt;26,"",(MAX($C$1016:$C$1041)+MIN($D$1016:$D$1041))/2)</f>
        <v>0</v>
      </c>
      <c r="AW1041">
        <f>IF(OR(AU1041="",AV1041=""),"",(AU1041+AV1041)/2)</f>
        <v>0</v>
      </c>
      <c r="AX1041">
        <f>IF(COUNT($E$2:$E1041)&lt;52,"",(MAX($C$990:$C$1041)+MIN($D$990:$D$1041))/2)</f>
        <v>0</v>
      </c>
      <c r="AY1041">
        <f>IF(COUNT($E$2:$E1041)&lt;20,"",MAX($C$942:$C$1041))</f>
        <v>0</v>
      </c>
      <c r="AZ1041">
        <f>IF(COUNT($E$2:$E1041)&lt;20,"",MIN($D$942:$D$1041))</f>
        <v>0</v>
      </c>
      <c r="BA1041">
        <f>IF(COUNT($E$2:$E1041)&lt;20,"",SLOPE($E$942:$E$1041,$F$942:$F$1041))</f>
        <v>0</v>
      </c>
      <c r="BB1041">
        <f>IF(COUNT($E$2:$E1041)&lt;20,"",INTERCEPT($E$942:$E$1041,$F$942:$F$1041))</f>
        <v>0</v>
      </c>
      <c r="BC1041">
        <f>IF(OR(BA1041="",BB1041=""),"",BB1041+BA1041*F1041)</f>
        <v>0</v>
      </c>
      <c r="BD1041">
        <f>IF(COUNT($E$2:$E1041)&lt;20,"",STEYX($E$942:$E$1041,$F$942:$F$1041))</f>
        <v>0</v>
      </c>
      <c r="BE1041">
        <f>IF($E1041="","",IF(AND(COUNT($E$1042:$E$1045)&gt;=4,$C1041=MAX($C$1037:$C$1045)),$C1041,""))</f>
        <v>0</v>
      </c>
      <c r="BF1041">
        <f>IF($E1041="","",IF(AND(COUNT($E$1042:$E$1045)&gt;=4,$D1041=MIN($D$1037:$D$1045)),$D1041,""))</f>
        <v>0</v>
      </c>
      <c r="BG1041">
        <f>IF($A1041="","",$A1041-WEEKDAY($A1041,2)+1)</f>
        <v>0</v>
      </c>
      <c r="BH1041">
        <f>IF($A1041="","",IF($A1040="",1,IF(BG1041&lt;&gt;BG1040,1,0)))</f>
        <v>0</v>
      </c>
      <c r="BI1041">
        <f>IF($A1041="","",IF($A1042="",1,IF(BG1042&lt;&gt;BG1041,1,0)))</f>
        <v>0</v>
      </c>
      <c r="BJ1041">
        <f>IF($A1041="","",IF(BH1041=1,$B1041,BJ1040))</f>
        <v>0</v>
      </c>
      <c r="BK1041">
        <f>IF($A1041="","",IF(BH1041=1,$C1041,MAX($C1041,BK1040)))</f>
        <v>0</v>
      </c>
      <c r="BL1041">
        <f>IF($A1041="","",IF(BH1041=1,$D1041,MIN($D1041,BL1040)))</f>
        <v>0</v>
      </c>
      <c r="BM1041">
        <f>IF($A1041="","",IF(BI1041=1,F1041,""))</f>
        <v>0</v>
      </c>
      <c r="BN1041">
        <f>IF($A1041="","",DATE(YEAR($A1041),MONTH($A1041),1))</f>
        <v>0</v>
      </c>
      <c r="BO1041">
        <f>IF($A1041="","",IF($A1040="",1,IF(BN1041&lt;&gt;BN1040,1,0)))</f>
        <v>0</v>
      </c>
      <c r="BP1041">
        <f>IF($A1041="","",IF($A1042="",1,IF(BN1042&lt;&gt;BN1041,1,0)))</f>
        <v>0</v>
      </c>
      <c r="BQ1041">
        <f>IF($A1041="","",IF(BO1041=1,$B1041,BQ1040))</f>
        <v>0</v>
      </c>
      <c r="BR1041">
        <f>IF($A1041="","",IF(BO1041=1,$C1041,MAX($C1041,BR1040)))</f>
        <v>0</v>
      </c>
      <c r="BS1041">
        <f>IF($A1041="","",IF(BO1041=1,$D1041,MIN($D1041,BS1040)))</f>
        <v>0</v>
      </c>
      <c r="BT1041">
        <f>IF($A1041="","",IF(BP1041=1,F1041,""))</f>
        <v>0</v>
      </c>
    </row>
    <row r="1042" spans="1:72">
      <c r="A1042" s="27">
        <f>IF(Data!$A1042="","",Data!$A1042)</f>
        <v>0</v>
      </c>
      <c r="B1042">
        <f>IF(Data!$B1042="","",Data!$B1042)</f>
        <v>0</v>
      </c>
      <c r="C1042">
        <f>IF(Data!$C1042="","",Data!$C1042)</f>
        <v>0</v>
      </c>
      <c r="D1042">
        <f>IF(Data!$D1042="","",Data!$D1042)</f>
        <v>0</v>
      </c>
      <c r="E1042">
        <f>IF(Data!$E1042="","",Data!$E1042)</f>
        <v>0</v>
      </c>
      <c r="F1042">
        <f>IF($E1042="","",N(F1041)+1)</f>
        <v>0</v>
      </c>
      <c r="G1042">
        <f>IF(OR($E1042="",$E1041=""),"",LN($E1042/$E1041))</f>
        <v>0</v>
      </c>
      <c r="H1042">
        <f>IF($E1042="","",IF($E1041="",$E1042,$E1042*0.0952380952+H1041*0.9047619048))</f>
        <v>0</v>
      </c>
      <c r="I1042">
        <f>IF($E1042="","",IF($E1041="",$E1042,$E1042*0.0392156863+I1041*0.9607843137))</f>
        <v>0</v>
      </c>
      <c r="J1042">
        <f>IF($E1042="","",IF($E1041="",$E1042,$E1042*0.0198019802+J1041*0.9801980198))</f>
        <v>0</v>
      </c>
      <c r="K1042">
        <f>IF($E1042="","",IF($E1041="",$E1042,$E1042*0.0099502488+K1041*0.9900497512))</f>
        <v>0</v>
      </c>
      <c r="L1042">
        <f>IF(OR($E1042="",$E1041=""),"",MAX($E1042-$E1041,0))</f>
        <v>0</v>
      </c>
      <c r="M1042">
        <f>IF(OR($E1042="",$E1041=""),"",MAX($E1041-$E1042,0))</f>
        <v>0</v>
      </c>
      <c r="N1042">
        <f>IF(COUNT($E$2:$E1042)&lt;15,"",IF(AVERAGE($M$1029:$M$1042)=0,100,100-100/(1+AVERAGE($L$1029:$L$1042)/AVERAGE($M$1029:$M$1042))))</f>
        <v>0</v>
      </c>
      <c r="O1042">
        <f>IF($E1042="","",IF($E1041="",$E1042,$E1042*0.1538461538+O1041*0.8461538462))</f>
        <v>0</v>
      </c>
      <c r="P1042">
        <f>IF($E1042="","",IF($E1041="",$E1042,$E1042*0.0740740741+P1041*0.9259259259))</f>
        <v>0</v>
      </c>
      <c r="Q1042">
        <f>IF(OR(O1042="",P1042=""),"",O1042-P1042)</f>
        <v>0</v>
      </c>
      <c r="R1042">
        <f>IF(Q1042="","",IF(R1041="",Q1042,Q1042*0.2000000000+R1041*0.8000000000))</f>
        <v>0</v>
      </c>
      <c r="S1042">
        <f>IF(OR(Q1042="",R1042=""),"",Q1042-R1042)</f>
        <v>0</v>
      </c>
      <c r="T1042">
        <f>IF(COUNT($E$2:$E1042)&lt;14,"",MAX($C$1029:$C$1042))</f>
        <v>0</v>
      </c>
      <c r="U1042">
        <f>IF(COUNT($E$2:$E1042)&lt;14,"",MIN($D$1029:$D$1042))</f>
        <v>0</v>
      </c>
      <c r="V1042">
        <f>IF(OR(T1042="",U1042="",T1042=U1042),"",100*($E1042-U1042)/(T1042-U1042))</f>
        <v>0</v>
      </c>
      <c r="W1042">
        <f>IF(COUNT($V$1040:$V$1042)&lt;3,"",AVERAGE($V$1040:$V$1042))</f>
        <v>0</v>
      </c>
      <c r="X1042">
        <f>IF(COUNT($N$1029:$N$1042)&lt;14,"",MIN($N$1029:$N$1042))</f>
        <v>0</v>
      </c>
      <c r="Y1042">
        <f>IF(COUNT($N$1029:$N$1042)&lt;14,"",MAX($N$1029:$N$1042))</f>
        <v>0</v>
      </c>
      <c r="Z1042">
        <f>IF(OR(N1042="",X1042="",Y1042="",Y1042=X1042),"",100*(N1042-X1042)/(Y1042-X1042))</f>
        <v>0</v>
      </c>
      <c r="AA1042">
        <f>IF(COUNT($Z$1040:$Z$1042)&lt;3,"",AVERAGE($Z$1040:$Z$1042))</f>
        <v>0</v>
      </c>
      <c r="AB1042">
        <f>IF(COUNT($AA$1040:$AA$1042)&lt;3,"",AVERAGE($AA$1040:$AA$1042))</f>
        <v>0</v>
      </c>
      <c r="AC1042">
        <f>IF($E1042="","",MAX($C1042-$D1042,ABS($C1042-$E1041),ABS($D1042-$E1041)))</f>
        <v>0</v>
      </c>
      <c r="AD1042">
        <f>IF(COUNT($E$2:$E1042)&lt;15,"",AVERAGE($AC$1029:$AC$1042))</f>
        <v>0</v>
      </c>
      <c r="AE1042">
        <f>IF(OR($E1042="",$E1041=""),"",IF(AND(($C1042-$C1041)&gt;($D1041-$D1042),($C1042-$C1041)&gt;0),$C1042-$C1041,0))</f>
        <v>0</v>
      </c>
      <c r="AF1042">
        <f>IF(OR($E1042="",$E1041=""),"",IF(AND(($D1041-$D1042)&gt;($C1042-$C1041),($D1041-$D1042)&gt;0),$D1041-$D1042,0))</f>
        <v>0</v>
      </c>
      <c r="AG1042">
        <f>IF(COUNT($E$2:$E1042)&lt;15,"",IF(SUM($AC$1029:$AC$1042)=0,0,100*SUM($AE$1029:$AE$1042)/SUM($AC$1029:$AC$1042)))</f>
        <v>0</v>
      </c>
      <c r="AH1042">
        <f>IF(COUNT($E$2:$E1042)&lt;15,"",IF(SUM($AC$1029:$AC$1042)=0,0,100*SUM($AF$1029:$AF$1042)/SUM($AC$1029:$AC$1042)))</f>
        <v>0</v>
      </c>
      <c r="AI1042">
        <f>IF(OR(AG1042="",AH1042=""),"",IF((AG1042+AH1042)=0,0,100*ABS(AG1042-AH1042)/(AG1042+AH1042)))</f>
        <v>0</v>
      </c>
      <c r="AJ1042">
        <f>IF(COUNT($AI$1029:$AI$1042)&lt;14,"",AVERAGE($AI$1029:$AI$1042))</f>
        <v>0</v>
      </c>
      <c r="AK1042">
        <f>IF(COUNT($E$2:$E1042)&lt;20,"",AVERAGE($E$1023:$E$1042))</f>
        <v>0</v>
      </c>
      <c r="AL1042">
        <f>IF(COUNT($E$2:$E1042)&lt;20,"",STDEVP($E$1023:$E$1042))</f>
        <v>0</v>
      </c>
      <c r="AM1042">
        <f>IF(AK1042="","",AK1042+2*AL1042)</f>
        <v>0</v>
      </c>
      <c r="AN1042">
        <f>IF(AK1042="","",AK1042-2*AL1042)</f>
        <v>0</v>
      </c>
      <c r="AO1042">
        <f>IF(OR(AM1042="",AN1042="",AM1042=AN1042),"",($E1042-AN1042)/(AM1042-AN1042))</f>
        <v>0</v>
      </c>
      <c r="AP1042">
        <f>IF(OR(AM1042="",AK1042="",AK1042=0),"",(AM1042-AN1042)/AK1042)</f>
        <v>0</v>
      </c>
      <c r="AQ1042">
        <f>IF(COUNT($E$2:$E1042)&lt;20,"",MAX($C$1023:$C$1042))</f>
        <v>0</v>
      </c>
      <c r="AR1042">
        <f>IF(COUNT($E$2:$E1042)&lt;20,"",MIN($D$1023:$D$1042))</f>
        <v>0</v>
      </c>
      <c r="AS1042">
        <f>IF(OR(AQ1042="",AR1042=""),"",(AQ1042+AR1042)/2)</f>
        <v>0</v>
      </c>
      <c r="AT1042">
        <f>IF(COUNT($G$1023:$G$1042)&lt;20,"",STDEV($G$1023:$G$1042)*SQRT(252))</f>
        <v>0</v>
      </c>
      <c r="AU1042">
        <f>IF(COUNT($E$2:$E1042)&lt;9,"",(MAX($C$1034:$C$1042)+MIN($D$1034:$D$1042))/2)</f>
        <v>0</v>
      </c>
      <c r="AV1042">
        <f>IF(COUNT($E$2:$E1042)&lt;26,"",(MAX($C$1017:$C$1042)+MIN($D$1017:$D$1042))/2)</f>
        <v>0</v>
      </c>
      <c r="AW1042">
        <f>IF(OR(AU1042="",AV1042=""),"",(AU1042+AV1042)/2)</f>
        <v>0</v>
      </c>
      <c r="AX1042">
        <f>IF(COUNT($E$2:$E1042)&lt;52,"",(MAX($C$991:$C$1042)+MIN($D$991:$D$1042))/2)</f>
        <v>0</v>
      </c>
      <c r="AY1042">
        <f>IF(COUNT($E$2:$E1042)&lt;20,"",MAX($C$943:$C$1042))</f>
        <v>0</v>
      </c>
      <c r="AZ1042">
        <f>IF(COUNT($E$2:$E1042)&lt;20,"",MIN($D$943:$D$1042))</f>
        <v>0</v>
      </c>
      <c r="BA1042">
        <f>IF(COUNT($E$2:$E1042)&lt;20,"",SLOPE($E$943:$E$1042,$F$943:$F$1042))</f>
        <v>0</v>
      </c>
      <c r="BB1042">
        <f>IF(COUNT($E$2:$E1042)&lt;20,"",INTERCEPT($E$943:$E$1042,$F$943:$F$1042))</f>
        <v>0</v>
      </c>
      <c r="BC1042">
        <f>IF(OR(BA1042="",BB1042=""),"",BB1042+BA1042*F1042)</f>
        <v>0</v>
      </c>
      <c r="BD1042">
        <f>IF(COUNT($E$2:$E1042)&lt;20,"",STEYX($E$943:$E$1042,$F$943:$F$1042))</f>
        <v>0</v>
      </c>
      <c r="BE1042">
        <f>IF($E1042="","",IF(AND(COUNT($E$1043:$E$1046)&gt;=4,$C1042=MAX($C$1038:$C$1046)),$C1042,""))</f>
        <v>0</v>
      </c>
      <c r="BF1042">
        <f>IF($E1042="","",IF(AND(COUNT($E$1043:$E$1046)&gt;=4,$D1042=MIN($D$1038:$D$1046)),$D1042,""))</f>
        <v>0</v>
      </c>
      <c r="BG1042">
        <f>IF($A1042="","",$A1042-WEEKDAY($A1042,2)+1)</f>
        <v>0</v>
      </c>
      <c r="BH1042">
        <f>IF($A1042="","",IF($A1041="",1,IF(BG1042&lt;&gt;BG1041,1,0)))</f>
        <v>0</v>
      </c>
      <c r="BI1042">
        <f>IF($A1042="","",IF($A1043="",1,IF(BG1043&lt;&gt;BG1042,1,0)))</f>
        <v>0</v>
      </c>
      <c r="BJ1042">
        <f>IF($A1042="","",IF(BH1042=1,$B1042,BJ1041))</f>
        <v>0</v>
      </c>
      <c r="BK1042">
        <f>IF($A1042="","",IF(BH1042=1,$C1042,MAX($C1042,BK1041)))</f>
        <v>0</v>
      </c>
      <c r="BL1042">
        <f>IF($A1042="","",IF(BH1042=1,$D1042,MIN($D1042,BL1041)))</f>
        <v>0</v>
      </c>
      <c r="BM1042">
        <f>IF($A1042="","",IF(BI1042=1,F1042,""))</f>
        <v>0</v>
      </c>
      <c r="BN1042">
        <f>IF($A1042="","",DATE(YEAR($A1042),MONTH($A1042),1))</f>
        <v>0</v>
      </c>
      <c r="BO1042">
        <f>IF($A1042="","",IF($A1041="",1,IF(BN1042&lt;&gt;BN1041,1,0)))</f>
        <v>0</v>
      </c>
      <c r="BP1042">
        <f>IF($A1042="","",IF($A1043="",1,IF(BN1043&lt;&gt;BN1042,1,0)))</f>
        <v>0</v>
      </c>
      <c r="BQ1042">
        <f>IF($A1042="","",IF(BO1042=1,$B1042,BQ1041))</f>
        <v>0</v>
      </c>
      <c r="BR1042">
        <f>IF($A1042="","",IF(BO1042=1,$C1042,MAX($C1042,BR1041)))</f>
        <v>0</v>
      </c>
      <c r="BS1042">
        <f>IF($A1042="","",IF(BO1042=1,$D1042,MIN($D1042,BS1041)))</f>
        <v>0</v>
      </c>
      <c r="BT1042">
        <f>IF($A1042="","",IF(BP1042=1,F1042,""))</f>
        <v>0</v>
      </c>
    </row>
    <row r="1043" spans="1:72">
      <c r="A1043" s="27">
        <f>IF(Data!$A1043="","",Data!$A1043)</f>
        <v>0</v>
      </c>
      <c r="B1043">
        <f>IF(Data!$B1043="","",Data!$B1043)</f>
        <v>0</v>
      </c>
      <c r="C1043">
        <f>IF(Data!$C1043="","",Data!$C1043)</f>
        <v>0</v>
      </c>
      <c r="D1043">
        <f>IF(Data!$D1043="","",Data!$D1043)</f>
        <v>0</v>
      </c>
      <c r="E1043">
        <f>IF(Data!$E1043="","",Data!$E1043)</f>
        <v>0</v>
      </c>
      <c r="F1043">
        <f>IF($E1043="","",N(F1042)+1)</f>
        <v>0</v>
      </c>
      <c r="G1043">
        <f>IF(OR($E1043="",$E1042=""),"",LN($E1043/$E1042))</f>
        <v>0</v>
      </c>
      <c r="H1043">
        <f>IF($E1043="","",IF($E1042="",$E1043,$E1043*0.0952380952+H1042*0.9047619048))</f>
        <v>0</v>
      </c>
      <c r="I1043">
        <f>IF($E1043="","",IF($E1042="",$E1043,$E1043*0.0392156863+I1042*0.9607843137))</f>
        <v>0</v>
      </c>
      <c r="J1043">
        <f>IF($E1043="","",IF($E1042="",$E1043,$E1043*0.0198019802+J1042*0.9801980198))</f>
        <v>0</v>
      </c>
      <c r="K1043">
        <f>IF($E1043="","",IF($E1042="",$E1043,$E1043*0.0099502488+K1042*0.9900497512))</f>
        <v>0</v>
      </c>
      <c r="L1043">
        <f>IF(OR($E1043="",$E1042=""),"",MAX($E1043-$E1042,0))</f>
        <v>0</v>
      </c>
      <c r="M1043">
        <f>IF(OR($E1043="",$E1042=""),"",MAX($E1042-$E1043,0))</f>
        <v>0</v>
      </c>
      <c r="N1043">
        <f>IF(COUNT($E$2:$E1043)&lt;15,"",IF(AVERAGE($M$1030:$M$1043)=0,100,100-100/(1+AVERAGE($L$1030:$L$1043)/AVERAGE($M$1030:$M$1043))))</f>
        <v>0</v>
      </c>
      <c r="O1043">
        <f>IF($E1043="","",IF($E1042="",$E1043,$E1043*0.1538461538+O1042*0.8461538462))</f>
        <v>0</v>
      </c>
      <c r="P1043">
        <f>IF($E1043="","",IF($E1042="",$E1043,$E1043*0.0740740741+P1042*0.9259259259))</f>
        <v>0</v>
      </c>
      <c r="Q1043">
        <f>IF(OR(O1043="",P1043=""),"",O1043-P1043)</f>
        <v>0</v>
      </c>
      <c r="R1043">
        <f>IF(Q1043="","",IF(R1042="",Q1043,Q1043*0.2000000000+R1042*0.8000000000))</f>
        <v>0</v>
      </c>
      <c r="S1043">
        <f>IF(OR(Q1043="",R1043=""),"",Q1043-R1043)</f>
        <v>0</v>
      </c>
      <c r="T1043">
        <f>IF(COUNT($E$2:$E1043)&lt;14,"",MAX($C$1030:$C$1043))</f>
        <v>0</v>
      </c>
      <c r="U1043">
        <f>IF(COUNT($E$2:$E1043)&lt;14,"",MIN($D$1030:$D$1043))</f>
        <v>0</v>
      </c>
      <c r="V1043">
        <f>IF(OR(T1043="",U1043="",T1043=U1043),"",100*($E1043-U1043)/(T1043-U1043))</f>
        <v>0</v>
      </c>
      <c r="W1043">
        <f>IF(COUNT($V$1041:$V$1043)&lt;3,"",AVERAGE($V$1041:$V$1043))</f>
        <v>0</v>
      </c>
      <c r="X1043">
        <f>IF(COUNT($N$1030:$N$1043)&lt;14,"",MIN($N$1030:$N$1043))</f>
        <v>0</v>
      </c>
      <c r="Y1043">
        <f>IF(COUNT($N$1030:$N$1043)&lt;14,"",MAX($N$1030:$N$1043))</f>
        <v>0</v>
      </c>
      <c r="Z1043">
        <f>IF(OR(N1043="",X1043="",Y1043="",Y1043=X1043),"",100*(N1043-X1043)/(Y1043-X1043))</f>
        <v>0</v>
      </c>
      <c r="AA1043">
        <f>IF(COUNT($Z$1041:$Z$1043)&lt;3,"",AVERAGE($Z$1041:$Z$1043))</f>
        <v>0</v>
      </c>
      <c r="AB1043">
        <f>IF(COUNT($AA$1041:$AA$1043)&lt;3,"",AVERAGE($AA$1041:$AA$1043))</f>
        <v>0</v>
      </c>
      <c r="AC1043">
        <f>IF($E1043="","",MAX($C1043-$D1043,ABS($C1043-$E1042),ABS($D1043-$E1042)))</f>
        <v>0</v>
      </c>
      <c r="AD1043">
        <f>IF(COUNT($E$2:$E1043)&lt;15,"",AVERAGE($AC$1030:$AC$1043))</f>
        <v>0</v>
      </c>
      <c r="AE1043">
        <f>IF(OR($E1043="",$E1042=""),"",IF(AND(($C1043-$C1042)&gt;($D1042-$D1043),($C1043-$C1042)&gt;0),$C1043-$C1042,0))</f>
        <v>0</v>
      </c>
      <c r="AF1043">
        <f>IF(OR($E1043="",$E1042=""),"",IF(AND(($D1042-$D1043)&gt;($C1043-$C1042),($D1042-$D1043)&gt;0),$D1042-$D1043,0))</f>
        <v>0</v>
      </c>
      <c r="AG1043">
        <f>IF(COUNT($E$2:$E1043)&lt;15,"",IF(SUM($AC$1030:$AC$1043)=0,0,100*SUM($AE$1030:$AE$1043)/SUM($AC$1030:$AC$1043)))</f>
        <v>0</v>
      </c>
      <c r="AH1043">
        <f>IF(COUNT($E$2:$E1043)&lt;15,"",IF(SUM($AC$1030:$AC$1043)=0,0,100*SUM($AF$1030:$AF$1043)/SUM($AC$1030:$AC$1043)))</f>
        <v>0</v>
      </c>
      <c r="AI1043">
        <f>IF(OR(AG1043="",AH1043=""),"",IF((AG1043+AH1043)=0,0,100*ABS(AG1043-AH1043)/(AG1043+AH1043)))</f>
        <v>0</v>
      </c>
      <c r="AJ1043">
        <f>IF(COUNT($AI$1030:$AI$1043)&lt;14,"",AVERAGE($AI$1030:$AI$1043))</f>
        <v>0</v>
      </c>
      <c r="AK1043">
        <f>IF(COUNT($E$2:$E1043)&lt;20,"",AVERAGE($E$1024:$E$1043))</f>
        <v>0</v>
      </c>
      <c r="AL1043">
        <f>IF(COUNT($E$2:$E1043)&lt;20,"",STDEVP($E$1024:$E$1043))</f>
        <v>0</v>
      </c>
      <c r="AM1043">
        <f>IF(AK1043="","",AK1043+2*AL1043)</f>
        <v>0</v>
      </c>
      <c r="AN1043">
        <f>IF(AK1043="","",AK1043-2*AL1043)</f>
        <v>0</v>
      </c>
      <c r="AO1043">
        <f>IF(OR(AM1043="",AN1043="",AM1043=AN1043),"",($E1043-AN1043)/(AM1043-AN1043))</f>
        <v>0</v>
      </c>
      <c r="AP1043">
        <f>IF(OR(AM1043="",AK1043="",AK1043=0),"",(AM1043-AN1043)/AK1043)</f>
        <v>0</v>
      </c>
      <c r="AQ1043">
        <f>IF(COUNT($E$2:$E1043)&lt;20,"",MAX($C$1024:$C$1043))</f>
        <v>0</v>
      </c>
      <c r="AR1043">
        <f>IF(COUNT($E$2:$E1043)&lt;20,"",MIN($D$1024:$D$1043))</f>
        <v>0</v>
      </c>
      <c r="AS1043">
        <f>IF(OR(AQ1043="",AR1043=""),"",(AQ1043+AR1043)/2)</f>
        <v>0</v>
      </c>
      <c r="AT1043">
        <f>IF(COUNT($G$1024:$G$1043)&lt;20,"",STDEV($G$1024:$G$1043)*SQRT(252))</f>
        <v>0</v>
      </c>
      <c r="AU1043">
        <f>IF(COUNT($E$2:$E1043)&lt;9,"",(MAX($C$1035:$C$1043)+MIN($D$1035:$D$1043))/2)</f>
        <v>0</v>
      </c>
      <c r="AV1043">
        <f>IF(COUNT($E$2:$E1043)&lt;26,"",(MAX($C$1018:$C$1043)+MIN($D$1018:$D$1043))/2)</f>
        <v>0</v>
      </c>
      <c r="AW1043">
        <f>IF(OR(AU1043="",AV1043=""),"",(AU1043+AV1043)/2)</f>
        <v>0</v>
      </c>
      <c r="AX1043">
        <f>IF(COUNT($E$2:$E1043)&lt;52,"",(MAX($C$992:$C$1043)+MIN($D$992:$D$1043))/2)</f>
        <v>0</v>
      </c>
      <c r="AY1043">
        <f>IF(COUNT($E$2:$E1043)&lt;20,"",MAX($C$944:$C$1043))</f>
        <v>0</v>
      </c>
      <c r="AZ1043">
        <f>IF(COUNT($E$2:$E1043)&lt;20,"",MIN($D$944:$D$1043))</f>
        <v>0</v>
      </c>
      <c r="BA1043">
        <f>IF(COUNT($E$2:$E1043)&lt;20,"",SLOPE($E$944:$E$1043,$F$944:$F$1043))</f>
        <v>0</v>
      </c>
      <c r="BB1043">
        <f>IF(COUNT($E$2:$E1043)&lt;20,"",INTERCEPT($E$944:$E$1043,$F$944:$F$1043))</f>
        <v>0</v>
      </c>
      <c r="BC1043">
        <f>IF(OR(BA1043="",BB1043=""),"",BB1043+BA1043*F1043)</f>
        <v>0</v>
      </c>
      <c r="BD1043">
        <f>IF(COUNT($E$2:$E1043)&lt;20,"",STEYX($E$944:$E$1043,$F$944:$F$1043))</f>
        <v>0</v>
      </c>
      <c r="BE1043">
        <f>IF($E1043="","",IF(AND(COUNT($E$1044:$E$1047)&gt;=4,$C1043=MAX($C$1039:$C$1047)),$C1043,""))</f>
        <v>0</v>
      </c>
      <c r="BF1043">
        <f>IF($E1043="","",IF(AND(COUNT($E$1044:$E$1047)&gt;=4,$D1043=MIN($D$1039:$D$1047)),$D1043,""))</f>
        <v>0</v>
      </c>
      <c r="BG1043">
        <f>IF($A1043="","",$A1043-WEEKDAY($A1043,2)+1)</f>
        <v>0</v>
      </c>
      <c r="BH1043">
        <f>IF($A1043="","",IF($A1042="",1,IF(BG1043&lt;&gt;BG1042,1,0)))</f>
        <v>0</v>
      </c>
      <c r="BI1043">
        <f>IF($A1043="","",IF($A1044="",1,IF(BG1044&lt;&gt;BG1043,1,0)))</f>
        <v>0</v>
      </c>
      <c r="BJ1043">
        <f>IF($A1043="","",IF(BH1043=1,$B1043,BJ1042))</f>
        <v>0</v>
      </c>
      <c r="BK1043">
        <f>IF($A1043="","",IF(BH1043=1,$C1043,MAX($C1043,BK1042)))</f>
        <v>0</v>
      </c>
      <c r="BL1043">
        <f>IF($A1043="","",IF(BH1043=1,$D1043,MIN($D1043,BL1042)))</f>
        <v>0</v>
      </c>
      <c r="BM1043">
        <f>IF($A1043="","",IF(BI1043=1,F1043,""))</f>
        <v>0</v>
      </c>
      <c r="BN1043">
        <f>IF($A1043="","",DATE(YEAR($A1043),MONTH($A1043),1))</f>
        <v>0</v>
      </c>
      <c r="BO1043">
        <f>IF($A1043="","",IF($A1042="",1,IF(BN1043&lt;&gt;BN1042,1,0)))</f>
        <v>0</v>
      </c>
      <c r="BP1043">
        <f>IF($A1043="","",IF($A1044="",1,IF(BN1044&lt;&gt;BN1043,1,0)))</f>
        <v>0</v>
      </c>
      <c r="BQ1043">
        <f>IF($A1043="","",IF(BO1043=1,$B1043,BQ1042))</f>
        <v>0</v>
      </c>
      <c r="BR1043">
        <f>IF($A1043="","",IF(BO1043=1,$C1043,MAX($C1043,BR1042)))</f>
        <v>0</v>
      </c>
      <c r="BS1043">
        <f>IF($A1043="","",IF(BO1043=1,$D1043,MIN($D1043,BS1042)))</f>
        <v>0</v>
      </c>
      <c r="BT1043">
        <f>IF($A1043="","",IF(BP1043=1,F1043,""))</f>
        <v>0</v>
      </c>
    </row>
    <row r="1044" spans="1:72">
      <c r="A1044" s="27">
        <f>IF(Data!$A1044="","",Data!$A1044)</f>
        <v>0</v>
      </c>
      <c r="B1044">
        <f>IF(Data!$B1044="","",Data!$B1044)</f>
        <v>0</v>
      </c>
      <c r="C1044">
        <f>IF(Data!$C1044="","",Data!$C1044)</f>
        <v>0</v>
      </c>
      <c r="D1044">
        <f>IF(Data!$D1044="","",Data!$D1044)</f>
        <v>0</v>
      </c>
      <c r="E1044">
        <f>IF(Data!$E1044="","",Data!$E1044)</f>
        <v>0</v>
      </c>
      <c r="F1044">
        <f>IF($E1044="","",N(F1043)+1)</f>
        <v>0</v>
      </c>
      <c r="G1044">
        <f>IF(OR($E1044="",$E1043=""),"",LN($E1044/$E1043))</f>
        <v>0</v>
      </c>
      <c r="H1044">
        <f>IF($E1044="","",IF($E1043="",$E1044,$E1044*0.0952380952+H1043*0.9047619048))</f>
        <v>0</v>
      </c>
      <c r="I1044">
        <f>IF($E1044="","",IF($E1043="",$E1044,$E1044*0.0392156863+I1043*0.9607843137))</f>
        <v>0</v>
      </c>
      <c r="J1044">
        <f>IF($E1044="","",IF($E1043="",$E1044,$E1044*0.0198019802+J1043*0.9801980198))</f>
        <v>0</v>
      </c>
      <c r="K1044">
        <f>IF($E1044="","",IF($E1043="",$E1044,$E1044*0.0099502488+K1043*0.9900497512))</f>
        <v>0</v>
      </c>
      <c r="L1044">
        <f>IF(OR($E1044="",$E1043=""),"",MAX($E1044-$E1043,0))</f>
        <v>0</v>
      </c>
      <c r="M1044">
        <f>IF(OR($E1044="",$E1043=""),"",MAX($E1043-$E1044,0))</f>
        <v>0</v>
      </c>
      <c r="N1044">
        <f>IF(COUNT($E$2:$E1044)&lt;15,"",IF(AVERAGE($M$1031:$M$1044)=0,100,100-100/(1+AVERAGE($L$1031:$L$1044)/AVERAGE($M$1031:$M$1044))))</f>
        <v>0</v>
      </c>
      <c r="O1044">
        <f>IF($E1044="","",IF($E1043="",$E1044,$E1044*0.1538461538+O1043*0.8461538462))</f>
        <v>0</v>
      </c>
      <c r="P1044">
        <f>IF($E1044="","",IF($E1043="",$E1044,$E1044*0.0740740741+P1043*0.9259259259))</f>
        <v>0</v>
      </c>
      <c r="Q1044">
        <f>IF(OR(O1044="",P1044=""),"",O1044-P1044)</f>
        <v>0</v>
      </c>
      <c r="R1044">
        <f>IF(Q1044="","",IF(R1043="",Q1044,Q1044*0.2000000000+R1043*0.8000000000))</f>
        <v>0</v>
      </c>
      <c r="S1044">
        <f>IF(OR(Q1044="",R1044=""),"",Q1044-R1044)</f>
        <v>0</v>
      </c>
      <c r="T1044">
        <f>IF(COUNT($E$2:$E1044)&lt;14,"",MAX($C$1031:$C$1044))</f>
        <v>0</v>
      </c>
      <c r="U1044">
        <f>IF(COUNT($E$2:$E1044)&lt;14,"",MIN($D$1031:$D$1044))</f>
        <v>0</v>
      </c>
      <c r="V1044">
        <f>IF(OR(T1044="",U1044="",T1044=U1044),"",100*($E1044-U1044)/(T1044-U1044))</f>
        <v>0</v>
      </c>
      <c r="W1044">
        <f>IF(COUNT($V$1042:$V$1044)&lt;3,"",AVERAGE($V$1042:$V$1044))</f>
        <v>0</v>
      </c>
      <c r="X1044">
        <f>IF(COUNT($N$1031:$N$1044)&lt;14,"",MIN($N$1031:$N$1044))</f>
        <v>0</v>
      </c>
      <c r="Y1044">
        <f>IF(COUNT($N$1031:$N$1044)&lt;14,"",MAX($N$1031:$N$1044))</f>
        <v>0</v>
      </c>
      <c r="Z1044">
        <f>IF(OR(N1044="",X1044="",Y1044="",Y1044=X1044),"",100*(N1044-X1044)/(Y1044-X1044))</f>
        <v>0</v>
      </c>
      <c r="AA1044">
        <f>IF(COUNT($Z$1042:$Z$1044)&lt;3,"",AVERAGE($Z$1042:$Z$1044))</f>
        <v>0</v>
      </c>
      <c r="AB1044">
        <f>IF(COUNT($AA$1042:$AA$1044)&lt;3,"",AVERAGE($AA$1042:$AA$1044))</f>
        <v>0</v>
      </c>
      <c r="AC1044">
        <f>IF($E1044="","",MAX($C1044-$D1044,ABS($C1044-$E1043),ABS($D1044-$E1043)))</f>
        <v>0</v>
      </c>
      <c r="AD1044">
        <f>IF(COUNT($E$2:$E1044)&lt;15,"",AVERAGE($AC$1031:$AC$1044))</f>
        <v>0</v>
      </c>
      <c r="AE1044">
        <f>IF(OR($E1044="",$E1043=""),"",IF(AND(($C1044-$C1043)&gt;($D1043-$D1044),($C1044-$C1043)&gt;0),$C1044-$C1043,0))</f>
        <v>0</v>
      </c>
      <c r="AF1044">
        <f>IF(OR($E1044="",$E1043=""),"",IF(AND(($D1043-$D1044)&gt;($C1044-$C1043),($D1043-$D1044)&gt;0),$D1043-$D1044,0))</f>
        <v>0</v>
      </c>
      <c r="AG1044">
        <f>IF(COUNT($E$2:$E1044)&lt;15,"",IF(SUM($AC$1031:$AC$1044)=0,0,100*SUM($AE$1031:$AE$1044)/SUM($AC$1031:$AC$1044)))</f>
        <v>0</v>
      </c>
      <c r="AH1044">
        <f>IF(COUNT($E$2:$E1044)&lt;15,"",IF(SUM($AC$1031:$AC$1044)=0,0,100*SUM($AF$1031:$AF$1044)/SUM($AC$1031:$AC$1044)))</f>
        <v>0</v>
      </c>
      <c r="AI1044">
        <f>IF(OR(AG1044="",AH1044=""),"",IF((AG1044+AH1044)=0,0,100*ABS(AG1044-AH1044)/(AG1044+AH1044)))</f>
        <v>0</v>
      </c>
      <c r="AJ1044">
        <f>IF(COUNT($AI$1031:$AI$1044)&lt;14,"",AVERAGE($AI$1031:$AI$1044))</f>
        <v>0</v>
      </c>
      <c r="AK1044">
        <f>IF(COUNT($E$2:$E1044)&lt;20,"",AVERAGE($E$1025:$E$1044))</f>
        <v>0</v>
      </c>
      <c r="AL1044">
        <f>IF(COUNT($E$2:$E1044)&lt;20,"",STDEVP($E$1025:$E$1044))</f>
        <v>0</v>
      </c>
      <c r="AM1044">
        <f>IF(AK1044="","",AK1044+2*AL1044)</f>
        <v>0</v>
      </c>
      <c r="AN1044">
        <f>IF(AK1044="","",AK1044-2*AL1044)</f>
        <v>0</v>
      </c>
      <c r="AO1044">
        <f>IF(OR(AM1044="",AN1044="",AM1044=AN1044),"",($E1044-AN1044)/(AM1044-AN1044))</f>
        <v>0</v>
      </c>
      <c r="AP1044">
        <f>IF(OR(AM1044="",AK1044="",AK1044=0),"",(AM1044-AN1044)/AK1044)</f>
        <v>0</v>
      </c>
      <c r="AQ1044">
        <f>IF(COUNT($E$2:$E1044)&lt;20,"",MAX($C$1025:$C$1044))</f>
        <v>0</v>
      </c>
      <c r="AR1044">
        <f>IF(COUNT($E$2:$E1044)&lt;20,"",MIN($D$1025:$D$1044))</f>
        <v>0</v>
      </c>
      <c r="AS1044">
        <f>IF(OR(AQ1044="",AR1044=""),"",(AQ1044+AR1044)/2)</f>
        <v>0</v>
      </c>
      <c r="AT1044">
        <f>IF(COUNT($G$1025:$G$1044)&lt;20,"",STDEV($G$1025:$G$1044)*SQRT(252))</f>
        <v>0</v>
      </c>
      <c r="AU1044">
        <f>IF(COUNT($E$2:$E1044)&lt;9,"",(MAX($C$1036:$C$1044)+MIN($D$1036:$D$1044))/2)</f>
        <v>0</v>
      </c>
      <c r="AV1044">
        <f>IF(COUNT($E$2:$E1044)&lt;26,"",(MAX($C$1019:$C$1044)+MIN($D$1019:$D$1044))/2)</f>
        <v>0</v>
      </c>
      <c r="AW1044">
        <f>IF(OR(AU1044="",AV1044=""),"",(AU1044+AV1044)/2)</f>
        <v>0</v>
      </c>
      <c r="AX1044">
        <f>IF(COUNT($E$2:$E1044)&lt;52,"",(MAX($C$993:$C$1044)+MIN($D$993:$D$1044))/2)</f>
        <v>0</v>
      </c>
      <c r="AY1044">
        <f>IF(COUNT($E$2:$E1044)&lt;20,"",MAX($C$945:$C$1044))</f>
        <v>0</v>
      </c>
      <c r="AZ1044">
        <f>IF(COUNT($E$2:$E1044)&lt;20,"",MIN($D$945:$D$1044))</f>
        <v>0</v>
      </c>
      <c r="BA1044">
        <f>IF(COUNT($E$2:$E1044)&lt;20,"",SLOPE($E$945:$E$1044,$F$945:$F$1044))</f>
        <v>0</v>
      </c>
      <c r="BB1044">
        <f>IF(COUNT($E$2:$E1044)&lt;20,"",INTERCEPT($E$945:$E$1044,$F$945:$F$1044))</f>
        <v>0</v>
      </c>
      <c r="BC1044">
        <f>IF(OR(BA1044="",BB1044=""),"",BB1044+BA1044*F1044)</f>
        <v>0</v>
      </c>
      <c r="BD1044">
        <f>IF(COUNT($E$2:$E1044)&lt;20,"",STEYX($E$945:$E$1044,$F$945:$F$1044))</f>
        <v>0</v>
      </c>
      <c r="BE1044">
        <f>IF($E1044="","",IF(AND(COUNT($E$1045:$E$1048)&gt;=4,$C1044=MAX($C$1040:$C$1048)),$C1044,""))</f>
        <v>0</v>
      </c>
      <c r="BF1044">
        <f>IF($E1044="","",IF(AND(COUNT($E$1045:$E$1048)&gt;=4,$D1044=MIN($D$1040:$D$1048)),$D1044,""))</f>
        <v>0</v>
      </c>
      <c r="BG1044">
        <f>IF($A1044="","",$A1044-WEEKDAY($A1044,2)+1)</f>
        <v>0</v>
      </c>
      <c r="BH1044">
        <f>IF($A1044="","",IF($A1043="",1,IF(BG1044&lt;&gt;BG1043,1,0)))</f>
        <v>0</v>
      </c>
      <c r="BI1044">
        <f>IF($A1044="","",IF($A1045="",1,IF(BG1045&lt;&gt;BG1044,1,0)))</f>
        <v>0</v>
      </c>
      <c r="BJ1044">
        <f>IF($A1044="","",IF(BH1044=1,$B1044,BJ1043))</f>
        <v>0</v>
      </c>
      <c r="BK1044">
        <f>IF($A1044="","",IF(BH1044=1,$C1044,MAX($C1044,BK1043)))</f>
        <v>0</v>
      </c>
      <c r="BL1044">
        <f>IF($A1044="","",IF(BH1044=1,$D1044,MIN($D1044,BL1043)))</f>
        <v>0</v>
      </c>
      <c r="BM1044">
        <f>IF($A1044="","",IF(BI1044=1,F1044,""))</f>
        <v>0</v>
      </c>
      <c r="BN1044">
        <f>IF($A1044="","",DATE(YEAR($A1044),MONTH($A1044),1))</f>
        <v>0</v>
      </c>
      <c r="BO1044">
        <f>IF($A1044="","",IF($A1043="",1,IF(BN1044&lt;&gt;BN1043,1,0)))</f>
        <v>0</v>
      </c>
      <c r="BP1044">
        <f>IF($A1044="","",IF($A1045="",1,IF(BN1045&lt;&gt;BN1044,1,0)))</f>
        <v>0</v>
      </c>
      <c r="BQ1044">
        <f>IF($A1044="","",IF(BO1044=1,$B1044,BQ1043))</f>
        <v>0</v>
      </c>
      <c r="BR1044">
        <f>IF($A1044="","",IF(BO1044=1,$C1044,MAX($C1044,BR1043)))</f>
        <v>0</v>
      </c>
      <c r="BS1044">
        <f>IF($A1044="","",IF(BO1044=1,$D1044,MIN($D1044,BS1043)))</f>
        <v>0</v>
      </c>
      <c r="BT1044">
        <f>IF($A1044="","",IF(BP1044=1,F1044,""))</f>
        <v>0</v>
      </c>
    </row>
    <row r="1045" spans="1:72">
      <c r="A1045" s="27">
        <f>IF(Data!$A1045="","",Data!$A1045)</f>
        <v>0</v>
      </c>
      <c r="B1045">
        <f>IF(Data!$B1045="","",Data!$B1045)</f>
        <v>0</v>
      </c>
      <c r="C1045">
        <f>IF(Data!$C1045="","",Data!$C1045)</f>
        <v>0</v>
      </c>
      <c r="D1045">
        <f>IF(Data!$D1045="","",Data!$D1045)</f>
        <v>0</v>
      </c>
      <c r="E1045">
        <f>IF(Data!$E1045="","",Data!$E1045)</f>
        <v>0</v>
      </c>
      <c r="F1045">
        <f>IF($E1045="","",N(F1044)+1)</f>
        <v>0</v>
      </c>
      <c r="G1045">
        <f>IF(OR($E1045="",$E1044=""),"",LN($E1045/$E1044))</f>
        <v>0</v>
      </c>
      <c r="H1045">
        <f>IF($E1045="","",IF($E1044="",$E1045,$E1045*0.0952380952+H1044*0.9047619048))</f>
        <v>0</v>
      </c>
      <c r="I1045">
        <f>IF($E1045="","",IF($E1044="",$E1045,$E1045*0.0392156863+I1044*0.9607843137))</f>
        <v>0</v>
      </c>
      <c r="J1045">
        <f>IF($E1045="","",IF($E1044="",$E1045,$E1045*0.0198019802+J1044*0.9801980198))</f>
        <v>0</v>
      </c>
      <c r="K1045">
        <f>IF($E1045="","",IF($E1044="",$E1045,$E1045*0.0099502488+K1044*0.9900497512))</f>
        <v>0</v>
      </c>
      <c r="L1045">
        <f>IF(OR($E1045="",$E1044=""),"",MAX($E1045-$E1044,0))</f>
        <v>0</v>
      </c>
      <c r="M1045">
        <f>IF(OR($E1045="",$E1044=""),"",MAX($E1044-$E1045,0))</f>
        <v>0</v>
      </c>
      <c r="N1045">
        <f>IF(COUNT($E$2:$E1045)&lt;15,"",IF(AVERAGE($M$1032:$M$1045)=0,100,100-100/(1+AVERAGE($L$1032:$L$1045)/AVERAGE($M$1032:$M$1045))))</f>
        <v>0</v>
      </c>
      <c r="O1045">
        <f>IF($E1045="","",IF($E1044="",$E1045,$E1045*0.1538461538+O1044*0.8461538462))</f>
        <v>0</v>
      </c>
      <c r="P1045">
        <f>IF($E1045="","",IF($E1044="",$E1045,$E1045*0.0740740741+P1044*0.9259259259))</f>
        <v>0</v>
      </c>
      <c r="Q1045">
        <f>IF(OR(O1045="",P1045=""),"",O1045-P1045)</f>
        <v>0</v>
      </c>
      <c r="R1045">
        <f>IF(Q1045="","",IF(R1044="",Q1045,Q1045*0.2000000000+R1044*0.8000000000))</f>
        <v>0</v>
      </c>
      <c r="S1045">
        <f>IF(OR(Q1045="",R1045=""),"",Q1045-R1045)</f>
        <v>0</v>
      </c>
      <c r="T1045">
        <f>IF(COUNT($E$2:$E1045)&lt;14,"",MAX($C$1032:$C$1045))</f>
        <v>0</v>
      </c>
      <c r="U1045">
        <f>IF(COUNT($E$2:$E1045)&lt;14,"",MIN($D$1032:$D$1045))</f>
        <v>0</v>
      </c>
      <c r="V1045">
        <f>IF(OR(T1045="",U1045="",T1045=U1045),"",100*($E1045-U1045)/(T1045-U1045))</f>
        <v>0</v>
      </c>
      <c r="W1045">
        <f>IF(COUNT($V$1043:$V$1045)&lt;3,"",AVERAGE($V$1043:$V$1045))</f>
        <v>0</v>
      </c>
      <c r="X1045">
        <f>IF(COUNT($N$1032:$N$1045)&lt;14,"",MIN($N$1032:$N$1045))</f>
        <v>0</v>
      </c>
      <c r="Y1045">
        <f>IF(COUNT($N$1032:$N$1045)&lt;14,"",MAX($N$1032:$N$1045))</f>
        <v>0</v>
      </c>
      <c r="Z1045">
        <f>IF(OR(N1045="",X1045="",Y1045="",Y1045=X1045),"",100*(N1045-X1045)/(Y1045-X1045))</f>
        <v>0</v>
      </c>
      <c r="AA1045">
        <f>IF(COUNT($Z$1043:$Z$1045)&lt;3,"",AVERAGE($Z$1043:$Z$1045))</f>
        <v>0</v>
      </c>
      <c r="AB1045">
        <f>IF(COUNT($AA$1043:$AA$1045)&lt;3,"",AVERAGE($AA$1043:$AA$1045))</f>
        <v>0</v>
      </c>
      <c r="AC1045">
        <f>IF($E1045="","",MAX($C1045-$D1045,ABS($C1045-$E1044),ABS($D1045-$E1044)))</f>
        <v>0</v>
      </c>
      <c r="AD1045">
        <f>IF(COUNT($E$2:$E1045)&lt;15,"",AVERAGE($AC$1032:$AC$1045))</f>
        <v>0</v>
      </c>
      <c r="AE1045">
        <f>IF(OR($E1045="",$E1044=""),"",IF(AND(($C1045-$C1044)&gt;($D1044-$D1045),($C1045-$C1044)&gt;0),$C1045-$C1044,0))</f>
        <v>0</v>
      </c>
      <c r="AF1045">
        <f>IF(OR($E1045="",$E1044=""),"",IF(AND(($D1044-$D1045)&gt;($C1045-$C1044),($D1044-$D1045)&gt;0),$D1044-$D1045,0))</f>
        <v>0</v>
      </c>
      <c r="AG1045">
        <f>IF(COUNT($E$2:$E1045)&lt;15,"",IF(SUM($AC$1032:$AC$1045)=0,0,100*SUM($AE$1032:$AE$1045)/SUM($AC$1032:$AC$1045)))</f>
        <v>0</v>
      </c>
      <c r="AH1045">
        <f>IF(COUNT($E$2:$E1045)&lt;15,"",IF(SUM($AC$1032:$AC$1045)=0,0,100*SUM($AF$1032:$AF$1045)/SUM($AC$1032:$AC$1045)))</f>
        <v>0</v>
      </c>
      <c r="AI1045">
        <f>IF(OR(AG1045="",AH1045=""),"",IF((AG1045+AH1045)=0,0,100*ABS(AG1045-AH1045)/(AG1045+AH1045)))</f>
        <v>0</v>
      </c>
      <c r="AJ1045">
        <f>IF(COUNT($AI$1032:$AI$1045)&lt;14,"",AVERAGE($AI$1032:$AI$1045))</f>
        <v>0</v>
      </c>
      <c r="AK1045">
        <f>IF(COUNT($E$2:$E1045)&lt;20,"",AVERAGE($E$1026:$E$1045))</f>
        <v>0</v>
      </c>
      <c r="AL1045">
        <f>IF(COUNT($E$2:$E1045)&lt;20,"",STDEVP($E$1026:$E$1045))</f>
        <v>0</v>
      </c>
      <c r="AM1045">
        <f>IF(AK1045="","",AK1045+2*AL1045)</f>
        <v>0</v>
      </c>
      <c r="AN1045">
        <f>IF(AK1045="","",AK1045-2*AL1045)</f>
        <v>0</v>
      </c>
      <c r="AO1045">
        <f>IF(OR(AM1045="",AN1045="",AM1045=AN1045),"",($E1045-AN1045)/(AM1045-AN1045))</f>
        <v>0</v>
      </c>
      <c r="AP1045">
        <f>IF(OR(AM1045="",AK1045="",AK1045=0),"",(AM1045-AN1045)/AK1045)</f>
        <v>0</v>
      </c>
      <c r="AQ1045">
        <f>IF(COUNT($E$2:$E1045)&lt;20,"",MAX($C$1026:$C$1045))</f>
        <v>0</v>
      </c>
      <c r="AR1045">
        <f>IF(COUNT($E$2:$E1045)&lt;20,"",MIN($D$1026:$D$1045))</f>
        <v>0</v>
      </c>
      <c r="AS1045">
        <f>IF(OR(AQ1045="",AR1045=""),"",(AQ1045+AR1045)/2)</f>
        <v>0</v>
      </c>
      <c r="AT1045">
        <f>IF(COUNT($G$1026:$G$1045)&lt;20,"",STDEV($G$1026:$G$1045)*SQRT(252))</f>
        <v>0</v>
      </c>
      <c r="AU1045">
        <f>IF(COUNT($E$2:$E1045)&lt;9,"",(MAX($C$1037:$C$1045)+MIN($D$1037:$D$1045))/2)</f>
        <v>0</v>
      </c>
      <c r="AV1045">
        <f>IF(COUNT($E$2:$E1045)&lt;26,"",(MAX($C$1020:$C$1045)+MIN($D$1020:$D$1045))/2)</f>
        <v>0</v>
      </c>
      <c r="AW1045">
        <f>IF(OR(AU1045="",AV1045=""),"",(AU1045+AV1045)/2)</f>
        <v>0</v>
      </c>
      <c r="AX1045">
        <f>IF(COUNT($E$2:$E1045)&lt;52,"",(MAX($C$994:$C$1045)+MIN($D$994:$D$1045))/2)</f>
        <v>0</v>
      </c>
      <c r="AY1045">
        <f>IF(COUNT($E$2:$E1045)&lt;20,"",MAX($C$946:$C$1045))</f>
        <v>0</v>
      </c>
      <c r="AZ1045">
        <f>IF(COUNT($E$2:$E1045)&lt;20,"",MIN($D$946:$D$1045))</f>
        <v>0</v>
      </c>
      <c r="BA1045">
        <f>IF(COUNT($E$2:$E1045)&lt;20,"",SLOPE($E$946:$E$1045,$F$946:$F$1045))</f>
        <v>0</v>
      </c>
      <c r="BB1045">
        <f>IF(COUNT($E$2:$E1045)&lt;20,"",INTERCEPT($E$946:$E$1045,$F$946:$F$1045))</f>
        <v>0</v>
      </c>
      <c r="BC1045">
        <f>IF(OR(BA1045="",BB1045=""),"",BB1045+BA1045*F1045)</f>
        <v>0</v>
      </c>
      <c r="BD1045">
        <f>IF(COUNT($E$2:$E1045)&lt;20,"",STEYX($E$946:$E$1045,$F$946:$F$1045))</f>
        <v>0</v>
      </c>
      <c r="BE1045">
        <f>IF($E1045="","",IF(AND(COUNT($E$1046:$E$1049)&gt;=4,$C1045=MAX($C$1041:$C$1049)),$C1045,""))</f>
        <v>0</v>
      </c>
      <c r="BF1045">
        <f>IF($E1045="","",IF(AND(COUNT($E$1046:$E$1049)&gt;=4,$D1045=MIN($D$1041:$D$1049)),$D1045,""))</f>
        <v>0</v>
      </c>
      <c r="BG1045">
        <f>IF($A1045="","",$A1045-WEEKDAY($A1045,2)+1)</f>
        <v>0</v>
      </c>
      <c r="BH1045">
        <f>IF($A1045="","",IF($A1044="",1,IF(BG1045&lt;&gt;BG1044,1,0)))</f>
        <v>0</v>
      </c>
      <c r="BI1045">
        <f>IF($A1045="","",IF($A1046="",1,IF(BG1046&lt;&gt;BG1045,1,0)))</f>
        <v>0</v>
      </c>
      <c r="BJ1045">
        <f>IF($A1045="","",IF(BH1045=1,$B1045,BJ1044))</f>
        <v>0</v>
      </c>
      <c r="BK1045">
        <f>IF($A1045="","",IF(BH1045=1,$C1045,MAX($C1045,BK1044)))</f>
        <v>0</v>
      </c>
      <c r="BL1045">
        <f>IF($A1045="","",IF(BH1045=1,$D1045,MIN($D1045,BL1044)))</f>
        <v>0</v>
      </c>
      <c r="BM1045">
        <f>IF($A1045="","",IF(BI1045=1,F1045,""))</f>
        <v>0</v>
      </c>
      <c r="BN1045">
        <f>IF($A1045="","",DATE(YEAR($A1045),MONTH($A1045),1))</f>
        <v>0</v>
      </c>
      <c r="BO1045">
        <f>IF($A1045="","",IF($A1044="",1,IF(BN1045&lt;&gt;BN1044,1,0)))</f>
        <v>0</v>
      </c>
      <c r="BP1045">
        <f>IF($A1045="","",IF($A1046="",1,IF(BN1046&lt;&gt;BN1045,1,0)))</f>
        <v>0</v>
      </c>
      <c r="BQ1045">
        <f>IF($A1045="","",IF(BO1045=1,$B1045,BQ1044))</f>
        <v>0</v>
      </c>
      <c r="BR1045">
        <f>IF($A1045="","",IF(BO1045=1,$C1045,MAX($C1045,BR1044)))</f>
        <v>0</v>
      </c>
      <c r="BS1045">
        <f>IF($A1045="","",IF(BO1045=1,$D1045,MIN($D1045,BS1044)))</f>
        <v>0</v>
      </c>
      <c r="BT1045">
        <f>IF($A1045="","",IF(BP1045=1,F1045,""))</f>
        <v>0</v>
      </c>
    </row>
    <row r="1046" spans="1:72">
      <c r="A1046" s="27">
        <f>IF(Data!$A1046="","",Data!$A1046)</f>
        <v>0</v>
      </c>
      <c r="B1046">
        <f>IF(Data!$B1046="","",Data!$B1046)</f>
        <v>0</v>
      </c>
      <c r="C1046">
        <f>IF(Data!$C1046="","",Data!$C1046)</f>
        <v>0</v>
      </c>
      <c r="D1046">
        <f>IF(Data!$D1046="","",Data!$D1046)</f>
        <v>0</v>
      </c>
      <c r="E1046">
        <f>IF(Data!$E1046="","",Data!$E1046)</f>
        <v>0</v>
      </c>
      <c r="F1046">
        <f>IF($E1046="","",N(F1045)+1)</f>
        <v>0</v>
      </c>
      <c r="G1046">
        <f>IF(OR($E1046="",$E1045=""),"",LN($E1046/$E1045))</f>
        <v>0</v>
      </c>
      <c r="H1046">
        <f>IF($E1046="","",IF($E1045="",$E1046,$E1046*0.0952380952+H1045*0.9047619048))</f>
        <v>0</v>
      </c>
      <c r="I1046">
        <f>IF($E1046="","",IF($E1045="",$E1046,$E1046*0.0392156863+I1045*0.9607843137))</f>
        <v>0</v>
      </c>
      <c r="J1046">
        <f>IF($E1046="","",IF($E1045="",$E1046,$E1046*0.0198019802+J1045*0.9801980198))</f>
        <v>0</v>
      </c>
      <c r="K1046">
        <f>IF($E1046="","",IF($E1045="",$E1046,$E1046*0.0099502488+K1045*0.9900497512))</f>
        <v>0</v>
      </c>
      <c r="L1046">
        <f>IF(OR($E1046="",$E1045=""),"",MAX($E1046-$E1045,0))</f>
        <v>0</v>
      </c>
      <c r="M1046">
        <f>IF(OR($E1046="",$E1045=""),"",MAX($E1045-$E1046,0))</f>
        <v>0</v>
      </c>
      <c r="N1046">
        <f>IF(COUNT($E$2:$E1046)&lt;15,"",IF(AVERAGE($M$1033:$M$1046)=0,100,100-100/(1+AVERAGE($L$1033:$L$1046)/AVERAGE($M$1033:$M$1046))))</f>
        <v>0</v>
      </c>
      <c r="O1046">
        <f>IF($E1046="","",IF($E1045="",$E1046,$E1046*0.1538461538+O1045*0.8461538462))</f>
        <v>0</v>
      </c>
      <c r="P1046">
        <f>IF($E1046="","",IF($E1045="",$E1046,$E1046*0.0740740741+P1045*0.9259259259))</f>
        <v>0</v>
      </c>
      <c r="Q1046">
        <f>IF(OR(O1046="",P1046=""),"",O1046-P1046)</f>
        <v>0</v>
      </c>
      <c r="R1046">
        <f>IF(Q1046="","",IF(R1045="",Q1046,Q1046*0.2000000000+R1045*0.8000000000))</f>
        <v>0</v>
      </c>
      <c r="S1046">
        <f>IF(OR(Q1046="",R1046=""),"",Q1046-R1046)</f>
        <v>0</v>
      </c>
      <c r="T1046">
        <f>IF(COUNT($E$2:$E1046)&lt;14,"",MAX($C$1033:$C$1046))</f>
        <v>0</v>
      </c>
      <c r="U1046">
        <f>IF(COUNT($E$2:$E1046)&lt;14,"",MIN($D$1033:$D$1046))</f>
        <v>0</v>
      </c>
      <c r="V1046">
        <f>IF(OR(T1046="",U1046="",T1046=U1046),"",100*($E1046-U1046)/(T1046-U1046))</f>
        <v>0</v>
      </c>
      <c r="W1046">
        <f>IF(COUNT($V$1044:$V$1046)&lt;3,"",AVERAGE($V$1044:$V$1046))</f>
        <v>0</v>
      </c>
      <c r="X1046">
        <f>IF(COUNT($N$1033:$N$1046)&lt;14,"",MIN($N$1033:$N$1046))</f>
        <v>0</v>
      </c>
      <c r="Y1046">
        <f>IF(COUNT($N$1033:$N$1046)&lt;14,"",MAX($N$1033:$N$1046))</f>
        <v>0</v>
      </c>
      <c r="Z1046">
        <f>IF(OR(N1046="",X1046="",Y1046="",Y1046=X1046),"",100*(N1046-X1046)/(Y1046-X1046))</f>
        <v>0</v>
      </c>
      <c r="AA1046">
        <f>IF(COUNT($Z$1044:$Z$1046)&lt;3,"",AVERAGE($Z$1044:$Z$1046))</f>
        <v>0</v>
      </c>
      <c r="AB1046">
        <f>IF(COUNT($AA$1044:$AA$1046)&lt;3,"",AVERAGE($AA$1044:$AA$1046))</f>
        <v>0</v>
      </c>
      <c r="AC1046">
        <f>IF($E1046="","",MAX($C1046-$D1046,ABS($C1046-$E1045),ABS($D1046-$E1045)))</f>
        <v>0</v>
      </c>
      <c r="AD1046">
        <f>IF(COUNT($E$2:$E1046)&lt;15,"",AVERAGE($AC$1033:$AC$1046))</f>
        <v>0</v>
      </c>
      <c r="AE1046">
        <f>IF(OR($E1046="",$E1045=""),"",IF(AND(($C1046-$C1045)&gt;($D1045-$D1046),($C1046-$C1045)&gt;0),$C1046-$C1045,0))</f>
        <v>0</v>
      </c>
      <c r="AF1046">
        <f>IF(OR($E1046="",$E1045=""),"",IF(AND(($D1045-$D1046)&gt;($C1046-$C1045),($D1045-$D1046)&gt;0),$D1045-$D1046,0))</f>
        <v>0</v>
      </c>
      <c r="AG1046">
        <f>IF(COUNT($E$2:$E1046)&lt;15,"",IF(SUM($AC$1033:$AC$1046)=0,0,100*SUM($AE$1033:$AE$1046)/SUM($AC$1033:$AC$1046)))</f>
        <v>0</v>
      </c>
      <c r="AH1046">
        <f>IF(COUNT($E$2:$E1046)&lt;15,"",IF(SUM($AC$1033:$AC$1046)=0,0,100*SUM($AF$1033:$AF$1046)/SUM($AC$1033:$AC$1046)))</f>
        <v>0</v>
      </c>
      <c r="AI1046">
        <f>IF(OR(AG1046="",AH1046=""),"",IF((AG1046+AH1046)=0,0,100*ABS(AG1046-AH1046)/(AG1046+AH1046)))</f>
        <v>0</v>
      </c>
      <c r="AJ1046">
        <f>IF(COUNT($AI$1033:$AI$1046)&lt;14,"",AVERAGE($AI$1033:$AI$1046))</f>
        <v>0</v>
      </c>
      <c r="AK1046">
        <f>IF(COUNT($E$2:$E1046)&lt;20,"",AVERAGE($E$1027:$E$1046))</f>
        <v>0</v>
      </c>
      <c r="AL1046">
        <f>IF(COUNT($E$2:$E1046)&lt;20,"",STDEVP($E$1027:$E$1046))</f>
        <v>0</v>
      </c>
      <c r="AM1046">
        <f>IF(AK1046="","",AK1046+2*AL1046)</f>
        <v>0</v>
      </c>
      <c r="AN1046">
        <f>IF(AK1046="","",AK1046-2*AL1046)</f>
        <v>0</v>
      </c>
      <c r="AO1046">
        <f>IF(OR(AM1046="",AN1046="",AM1046=AN1046),"",($E1046-AN1046)/(AM1046-AN1046))</f>
        <v>0</v>
      </c>
      <c r="AP1046">
        <f>IF(OR(AM1046="",AK1046="",AK1046=0),"",(AM1046-AN1046)/AK1046)</f>
        <v>0</v>
      </c>
      <c r="AQ1046">
        <f>IF(COUNT($E$2:$E1046)&lt;20,"",MAX($C$1027:$C$1046))</f>
        <v>0</v>
      </c>
      <c r="AR1046">
        <f>IF(COUNT($E$2:$E1046)&lt;20,"",MIN($D$1027:$D$1046))</f>
        <v>0</v>
      </c>
      <c r="AS1046">
        <f>IF(OR(AQ1046="",AR1046=""),"",(AQ1046+AR1046)/2)</f>
        <v>0</v>
      </c>
      <c r="AT1046">
        <f>IF(COUNT($G$1027:$G$1046)&lt;20,"",STDEV($G$1027:$G$1046)*SQRT(252))</f>
        <v>0</v>
      </c>
      <c r="AU1046">
        <f>IF(COUNT($E$2:$E1046)&lt;9,"",(MAX($C$1038:$C$1046)+MIN($D$1038:$D$1046))/2)</f>
        <v>0</v>
      </c>
      <c r="AV1046">
        <f>IF(COUNT($E$2:$E1046)&lt;26,"",(MAX($C$1021:$C$1046)+MIN($D$1021:$D$1046))/2)</f>
        <v>0</v>
      </c>
      <c r="AW1046">
        <f>IF(OR(AU1046="",AV1046=""),"",(AU1046+AV1046)/2)</f>
        <v>0</v>
      </c>
      <c r="AX1046">
        <f>IF(COUNT($E$2:$E1046)&lt;52,"",(MAX($C$995:$C$1046)+MIN($D$995:$D$1046))/2)</f>
        <v>0</v>
      </c>
      <c r="AY1046">
        <f>IF(COUNT($E$2:$E1046)&lt;20,"",MAX($C$947:$C$1046))</f>
        <v>0</v>
      </c>
      <c r="AZ1046">
        <f>IF(COUNT($E$2:$E1046)&lt;20,"",MIN($D$947:$D$1046))</f>
        <v>0</v>
      </c>
      <c r="BA1046">
        <f>IF(COUNT($E$2:$E1046)&lt;20,"",SLOPE($E$947:$E$1046,$F$947:$F$1046))</f>
        <v>0</v>
      </c>
      <c r="BB1046">
        <f>IF(COUNT($E$2:$E1046)&lt;20,"",INTERCEPT($E$947:$E$1046,$F$947:$F$1046))</f>
        <v>0</v>
      </c>
      <c r="BC1046">
        <f>IF(OR(BA1046="",BB1046=""),"",BB1046+BA1046*F1046)</f>
        <v>0</v>
      </c>
      <c r="BD1046">
        <f>IF(COUNT($E$2:$E1046)&lt;20,"",STEYX($E$947:$E$1046,$F$947:$F$1046))</f>
        <v>0</v>
      </c>
      <c r="BE1046">
        <f>IF($E1046="","",IF(AND(COUNT($E$1047:$E$1050)&gt;=4,$C1046=MAX($C$1042:$C$1050)),$C1046,""))</f>
        <v>0</v>
      </c>
      <c r="BF1046">
        <f>IF($E1046="","",IF(AND(COUNT($E$1047:$E$1050)&gt;=4,$D1046=MIN($D$1042:$D$1050)),$D1046,""))</f>
        <v>0</v>
      </c>
      <c r="BG1046">
        <f>IF($A1046="","",$A1046-WEEKDAY($A1046,2)+1)</f>
        <v>0</v>
      </c>
      <c r="BH1046">
        <f>IF($A1046="","",IF($A1045="",1,IF(BG1046&lt;&gt;BG1045,1,0)))</f>
        <v>0</v>
      </c>
      <c r="BI1046">
        <f>IF($A1046="","",IF($A1047="",1,IF(BG1047&lt;&gt;BG1046,1,0)))</f>
        <v>0</v>
      </c>
      <c r="BJ1046">
        <f>IF($A1046="","",IF(BH1046=1,$B1046,BJ1045))</f>
        <v>0</v>
      </c>
      <c r="BK1046">
        <f>IF($A1046="","",IF(BH1046=1,$C1046,MAX($C1046,BK1045)))</f>
        <v>0</v>
      </c>
      <c r="BL1046">
        <f>IF($A1046="","",IF(BH1046=1,$D1046,MIN($D1046,BL1045)))</f>
        <v>0</v>
      </c>
      <c r="BM1046">
        <f>IF($A1046="","",IF(BI1046=1,F1046,""))</f>
        <v>0</v>
      </c>
      <c r="BN1046">
        <f>IF($A1046="","",DATE(YEAR($A1046),MONTH($A1046),1))</f>
        <v>0</v>
      </c>
      <c r="BO1046">
        <f>IF($A1046="","",IF($A1045="",1,IF(BN1046&lt;&gt;BN1045,1,0)))</f>
        <v>0</v>
      </c>
      <c r="BP1046">
        <f>IF($A1046="","",IF($A1047="",1,IF(BN1047&lt;&gt;BN1046,1,0)))</f>
        <v>0</v>
      </c>
      <c r="BQ1046">
        <f>IF($A1046="","",IF(BO1046=1,$B1046,BQ1045))</f>
        <v>0</v>
      </c>
      <c r="BR1046">
        <f>IF($A1046="","",IF(BO1046=1,$C1046,MAX($C1046,BR1045)))</f>
        <v>0</v>
      </c>
      <c r="BS1046">
        <f>IF($A1046="","",IF(BO1046=1,$D1046,MIN($D1046,BS1045)))</f>
        <v>0</v>
      </c>
      <c r="BT1046">
        <f>IF($A1046="","",IF(BP1046=1,F1046,""))</f>
        <v>0</v>
      </c>
    </row>
    <row r="1047" spans="1:72">
      <c r="A1047" s="27">
        <f>IF(Data!$A1047="","",Data!$A1047)</f>
        <v>0</v>
      </c>
      <c r="B1047">
        <f>IF(Data!$B1047="","",Data!$B1047)</f>
        <v>0</v>
      </c>
      <c r="C1047">
        <f>IF(Data!$C1047="","",Data!$C1047)</f>
        <v>0</v>
      </c>
      <c r="D1047">
        <f>IF(Data!$D1047="","",Data!$D1047)</f>
        <v>0</v>
      </c>
      <c r="E1047">
        <f>IF(Data!$E1047="","",Data!$E1047)</f>
        <v>0</v>
      </c>
      <c r="F1047">
        <f>IF($E1047="","",N(F1046)+1)</f>
        <v>0</v>
      </c>
      <c r="G1047">
        <f>IF(OR($E1047="",$E1046=""),"",LN($E1047/$E1046))</f>
        <v>0</v>
      </c>
      <c r="H1047">
        <f>IF($E1047="","",IF($E1046="",$E1047,$E1047*0.0952380952+H1046*0.9047619048))</f>
        <v>0</v>
      </c>
      <c r="I1047">
        <f>IF($E1047="","",IF($E1046="",$E1047,$E1047*0.0392156863+I1046*0.9607843137))</f>
        <v>0</v>
      </c>
      <c r="J1047">
        <f>IF($E1047="","",IF($E1046="",$E1047,$E1047*0.0198019802+J1046*0.9801980198))</f>
        <v>0</v>
      </c>
      <c r="K1047">
        <f>IF($E1047="","",IF($E1046="",$E1047,$E1047*0.0099502488+K1046*0.9900497512))</f>
        <v>0</v>
      </c>
      <c r="L1047">
        <f>IF(OR($E1047="",$E1046=""),"",MAX($E1047-$E1046,0))</f>
        <v>0</v>
      </c>
      <c r="M1047">
        <f>IF(OR($E1047="",$E1046=""),"",MAX($E1046-$E1047,0))</f>
        <v>0</v>
      </c>
      <c r="N1047">
        <f>IF(COUNT($E$2:$E1047)&lt;15,"",IF(AVERAGE($M$1034:$M$1047)=0,100,100-100/(1+AVERAGE($L$1034:$L$1047)/AVERAGE($M$1034:$M$1047))))</f>
        <v>0</v>
      </c>
      <c r="O1047">
        <f>IF($E1047="","",IF($E1046="",$E1047,$E1047*0.1538461538+O1046*0.8461538462))</f>
        <v>0</v>
      </c>
      <c r="P1047">
        <f>IF($E1047="","",IF($E1046="",$E1047,$E1047*0.0740740741+P1046*0.9259259259))</f>
        <v>0</v>
      </c>
      <c r="Q1047">
        <f>IF(OR(O1047="",P1047=""),"",O1047-P1047)</f>
        <v>0</v>
      </c>
      <c r="R1047">
        <f>IF(Q1047="","",IF(R1046="",Q1047,Q1047*0.2000000000+R1046*0.8000000000))</f>
        <v>0</v>
      </c>
      <c r="S1047">
        <f>IF(OR(Q1047="",R1047=""),"",Q1047-R1047)</f>
        <v>0</v>
      </c>
      <c r="T1047">
        <f>IF(COUNT($E$2:$E1047)&lt;14,"",MAX($C$1034:$C$1047))</f>
        <v>0</v>
      </c>
      <c r="U1047">
        <f>IF(COUNT($E$2:$E1047)&lt;14,"",MIN($D$1034:$D$1047))</f>
        <v>0</v>
      </c>
      <c r="V1047">
        <f>IF(OR(T1047="",U1047="",T1047=U1047),"",100*($E1047-U1047)/(T1047-U1047))</f>
        <v>0</v>
      </c>
      <c r="W1047">
        <f>IF(COUNT($V$1045:$V$1047)&lt;3,"",AVERAGE($V$1045:$V$1047))</f>
        <v>0</v>
      </c>
      <c r="X1047">
        <f>IF(COUNT($N$1034:$N$1047)&lt;14,"",MIN($N$1034:$N$1047))</f>
        <v>0</v>
      </c>
      <c r="Y1047">
        <f>IF(COUNT($N$1034:$N$1047)&lt;14,"",MAX($N$1034:$N$1047))</f>
        <v>0</v>
      </c>
      <c r="Z1047">
        <f>IF(OR(N1047="",X1047="",Y1047="",Y1047=X1047),"",100*(N1047-X1047)/(Y1047-X1047))</f>
        <v>0</v>
      </c>
      <c r="AA1047">
        <f>IF(COUNT($Z$1045:$Z$1047)&lt;3,"",AVERAGE($Z$1045:$Z$1047))</f>
        <v>0</v>
      </c>
      <c r="AB1047">
        <f>IF(COUNT($AA$1045:$AA$1047)&lt;3,"",AVERAGE($AA$1045:$AA$1047))</f>
        <v>0</v>
      </c>
      <c r="AC1047">
        <f>IF($E1047="","",MAX($C1047-$D1047,ABS($C1047-$E1046),ABS($D1047-$E1046)))</f>
        <v>0</v>
      </c>
      <c r="AD1047">
        <f>IF(COUNT($E$2:$E1047)&lt;15,"",AVERAGE($AC$1034:$AC$1047))</f>
        <v>0</v>
      </c>
      <c r="AE1047">
        <f>IF(OR($E1047="",$E1046=""),"",IF(AND(($C1047-$C1046)&gt;($D1046-$D1047),($C1047-$C1046)&gt;0),$C1047-$C1046,0))</f>
        <v>0</v>
      </c>
      <c r="AF1047">
        <f>IF(OR($E1047="",$E1046=""),"",IF(AND(($D1046-$D1047)&gt;($C1047-$C1046),($D1046-$D1047)&gt;0),$D1046-$D1047,0))</f>
        <v>0</v>
      </c>
      <c r="AG1047">
        <f>IF(COUNT($E$2:$E1047)&lt;15,"",IF(SUM($AC$1034:$AC$1047)=0,0,100*SUM($AE$1034:$AE$1047)/SUM($AC$1034:$AC$1047)))</f>
        <v>0</v>
      </c>
      <c r="AH1047">
        <f>IF(COUNT($E$2:$E1047)&lt;15,"",IF(SUM($AC$1034:$AC$1047)=0,0,100*SUM($AF$1034:$AF$1047)/SUM($AC$1034:$AC$1047)))</f>
        <v>0</v>
      </c>
      <c r="AI1047">
        <f>IF(OR(AG1047="",AH1047=""),"",IF((AG1047+AH1047)=0,0,100*ABS(AG1047-AH1047)/(AG1047+AH1047)))</f>
        <v>0</v>
      </c>
      <c r="AJ1047">
        <f>IF(COUNT($AI$1034:$AI$1047)&lt;14,"",AVERAGE($AI$1034:$AI$1047))</f>
        <v>0</v>
      </c>
      <c r="AK1047">
        <f>IF(COUNT($E$2:$E1047)&lt;20,"",AVERAGE($E$1028:$E$1047))</f>
        <v>0</v>
      </c>
      <c r="AL1047">
        <f>IF(COUNT($E$2:$E1047)&lt;20,"",STDEVP($E$1028:$E$1047))</f>
        <v>0</v>
      </c>
      <c r="AM1047">
        <f>IF(AK1047="","",AK1047+2*AL1047)</f>
        <v>0</v>
      </c>
      <c r="AN1047">
        <f>IF(AK1047="","",AK1047-2*AL1047)</f>
        <v>0</v>
      </c>
      <c r="AO1047">
        <f>IF(OR(AM1047="",AN1047="",AM1047=AN1047),"",($E1047-AN1047)/(AM1047-AN1047))</f>
        <v>0</v>
      </c>
      <c r="AP1047">
        <f>IF(OR(AM1047="",AK1047="",AK1047=0),"",(AM1047-AN1047)/AK1047)</f>
        <v>0</v>
      </c>
      <c r="AQ1047">
        <f>IF(COUNT($E$2:$E1047)&lt;20,"",MAX($C$1028:$C$1047))</f>
        <v>0</v>
      </c>
      <c r="AR1047">
        <f>IF(COUNT($E$2:$E1047)&lt;20,"",MIN($D$1028:$D$1047))</f>
        <v>0</v>
      </c>
      <c r="AS1047">
        <f>IF(OR(AQ1047="",AR1047=""),"",(AQ1047+AR1047)/2)</f>
        <v>0</v>
      </c>
      <c r="AT1047">
        <f>IF(COUNT($G$1028:$G$1047)&lt;20,"",STDEV($G$1028:$G$1047)*SQRT(252))</f>
        <v>0</v>
      </c>
      <c r="AU1047">
        <f>IF(COUNT($E$2:$E1047)&lt;9,"",(MAX($C$1039:$C$1047)+MIN($D$1039:$D$1047))/2)</f>
        <v>0</v>
      </c>
      <c r="AV1047">
        <f>IF(COUNT($E$2:$E1047)&lt;26,"",(MAX($C$1022:$C$1047)+MIN($D$1022:$D$1047))/2)</f>
        <v>0</v>
      </c>
      <c r="AW1047">
        <f>IF(OR(AU1047="",AV1047=""),"",(AU1047+AV1047)/2)</f>
        <v>0</v>
      </c>
      <c r="AX1047">
        <f>IF(COUNT($E$2:$E1047)&lt;52,"",(MAX($C$996:$C$1047)+MIN($D$996:$D$1047))/2)</f>
        <v>0</v>
      </c>
      <c r="AY1047">
        <f>IF(COUNT($E$2:$E1047)&lt;20,"",MAX($C$948:$C$1047))</f>
        <v>0</v>
      </c>
      <c r="AZ1047">
        <f>IF(COUNT($E$2:$E1047)&lt;20,"",MIN($D$948:$D$1047))</f>
        <v>0</v>
      </c>
      <c r="BA1047">
        <f>IF(COUNT($E$2:$E1047)&lt;20,"",SLOPE($E$948:$E$1047,$F$948:$F$1047))</f>
        <v>0</v>
      </c>
      <c r="BB1047">
        <f>IF(COUNT($E$2:$E1047)&lt;20,"",INTERCEPT($E$948:$E$1047,$F$948:$F$1047))</f>
        <v>0</v>
      </c>
      <c r="BC1047">
        <f>IF(OR(BA1047="",BB1047=""),"",BB1047+BA1047*F1047)</f>
        <v>0</v>
      </c>
      <c r="BD1047">
        <f>IF(COUNT($E$2:$E1047)&lt;20,"",STEYX($E$948:$E$1047,$F$948:$F$1047))</f>
        <v>0</v>
      </c>
      <c r="BE1047">
        <f>IF($E1047="","",IF(AND(COUNT($E$1048:$E$1051)&gt;=4,$C1047=MAX($C$1043:$C$1051)),$C1047,""))</f>
        <v>0</v>
      </c>
      <c r="BF1047">
        <f>IF($E1047="","",IF(AND(COUNT($E$1048:$E$1051)&gt;=4,$D1047=MIN($D$1043:$D$1051)),$D1047,""))</f>
        <v>0</v>
      </c>
      <c r="BG1047">
        <f>IF($A1047="","",$A1047-WEEKDAY($A1047,2)+1)</f>
        <v>0</v>
      </c>
      <c r="BH1047">
        <f>IF($A1047="","",IF($A1046="",1,IF(BG1047&lt;&gt;BG1046,1,0)))</f>
        <v>0</v>
      </c>
      <c r="BI1047">
        <f>IF($A1047="","",IF($A1048="",1,IF(BG1048&lt;&gt;BG1047,1,0)))</f>
        <v>0</v>
      </c>
      <c r="BJ1047">
        <f>IF($A1047="","",IF(BH1047=1,$B1047,BJ1046))</f>
        <v>0</v>
      </c>
      <c r="BK1047">
        <f>IF($A1047="","",IF(BH1047=1,$C1047,MAX($C1047,BK1046)))</f>
        <v>0</v>
      </c>
      <c r="BL1047">
        <f>IF($A1047="","",IF(BH1047=1,$D1047,MIN($D1047,BL1046)))</f>
        <v>0</v>
      </c>
      <c r="BM1047">
        <f>IF($A1047="","",IF(BI1047=1,F1047,""))</f>
        <v>0</v>
      </c>
      <c r="BN1047">
        <f>IF($A1047="","",DATE(YEAR($A1047),MONTH($A1047),1))</f>
        <v>0</v>
      </c>
      <c r="BO1047">
        <f>IF($A1047="","",IF($A1046="",1,IF(BN1047&lt;&gt;BN1046,1,0)))</f>
        <v>0</v>
      </c>
      <c r="BP1047">
        <f>IF($A1047="","",IF($A1048="",1,IF(BN1048&lt;&gt;BN1047,1,0)))</f>
        <v>0</v>
      </c>
      <c r="BQ1047">
        <f>IF($A1047="","",IF(BO1047=1,$B1047,BQ1046))</f>
        <v>0</v>
      </c>
      <c r="BR1047">
        <f>IF($A1047="","",IF(BO1047=1,$C1047,MAX($C1047,BR1046)))</f>
        <v>0</v>
      </c>
      <c r="BS1047">
        <f>IF($A1047="","",IF(BO1047=1,$D1047,MIN($D1047,BS1046)))</f>
        <v>0</v>
      </c>
      <c r="BT1047">
        <f>IF($A1047="","",IF(BP1047=1,F1047,""))</f>
        <v>0</v>
      </c>
    </row>
    <row r="1048" spans="1:72">
      <c r="A1048" s="27">
        <f>IF(Data!$A1048="","",Data!$A1048)</f>
        <v>0</v>
      </c>
      <c r="B1048">
        <f>IF(Data!$B1048="","",Data!$B1048)</f>
        <v>0</v>
      </c>
      <c r="C1048">
        <f>IF(Data!$C1048="","",Data!$C1048)</f>
        <v>0</v>
      </c>
      <c r="D1048">
        <f>IF(Data!$D1048="","",Data!$D1048)</f>
        <v>0</v>
      </c>
      <c r="E1048">
        <f>IF(Data!$E1048="","",Data!$E1048)</f>
        <v>0</v>
      </c>
      <c r="F1048">
        <f>IF($E1048="","",N(F1047)+1)</f>
        <v>0</v>
      </c>
      <c r="G1048">
        <f>IF(OR($E1048="",$E1047=""),"",LN($E1048/$E1047))</f>
        <v>0</v>
      </c>
      <c r="H1048">
        <f>IF($E1048="","",IF($E1047="",$E1048,$E1048*0.0952380952+H1047*0.9047619048))</f>
        <v>0</v>
      </c>
      <c r="I1048">
        <f>IF($E1048="","",IF($E1047="",$E1048,$E1048*0.0392156863+I1047*0.9607843137))</f>
        <v>0</v>
      </c>
      <c r="J1048">
        <f>IF($E1048="","",IF($E1047="",$E1048,$E1048*0.0198019802+J1047*0.9801980198))</f>
        <v>0</v>
      </c>
      <c r="K1048">
        <f>IF($E1048="","",IF($E1047="",$E1048,$E1048*0.0099502488+K1047*0.9900497512))</f>
        <v>0</v>
      </c>
      <c r="L1048">
        <f>IF(OR($E1048="",$E1047=""),"",MAX($E1048-$E1047,0))</f>
        <v>0</v>
      </c>
      <c r="M1048">
        <f>IF(OR($E1048="",$E1047=""),"",MAX($E1047-$E1048,0))</f>
        <v>0</v>
      </c>
      <c r="N1048">
        <f>IF(COUNT($E$2:$E1048)&lt;15,"",IF(AVERAGE($M$1035:$M$1048)=0,100,100-100/(1+AVERAGE($L$1035:$L$1048)/AVERAGE($M$1035:$M$1048))))</f>
        <v>0</v>
      </c>
      <c r="O1048">
        <f>IF($E1048="","",IF($E1047="",$E1048,$E1048*0.1538461538+O1047*0.8461538462))</f>
        <v>0</v>
      </c>
      <c r="P1048">
        <f>IF($E1048="","",IF($E1047="",$E1048,$E1048*0.0740740741+P1047*0.9259259259))</f>
        <v>0</v>
      </c>
      <c r="Q1048">
        <f>IF(OR(O1048="",P1048=""),"",O1048-P1048)</f>
        <v>0</v>
      </c>
      <c r="R1048">
        <f>IF(Q1048="","",IF(R1047="",Q1048,Q1048*0.2000000000+R1047*0.8000000000))</f>
        <v>0</v>
      </c>
      <c r="S1048">
        <f>IF(OR(Q1048="",R1048=""),"",Q1048-R1048)</f>
        <v>0</v>
      </c>
      <c r="T1048">
        <f>IF(COUNT($E$2:$E1048)&lt;14,"",MAX($C$1035:$C$1048))</f>
        <v>0</v>
      </c>
      <c r="U1048">
        <f>IF(COUNT($E$2:$E1048)&lt;14,"",MIN($D$1035:$D$1048))</f>
        <v>0</v>
      </c>
      <c r="V1048">
        <f>IF(OR(T1048="",U1048="",T1048=U1048),"",100*($E1048-U1048)/(T1048-U1048))</f>
        <v>0</v>
      </c>
      <c r="W1048">
        <f>IF(COUNT($V$1046:$V$1048)&lt;3,"",AVERAGE($V$1046:$V$1048))</f>
        <v>0</v>
      </c>
      <c r="X1048">
        <f>IF(COUNT($N$1035:$N$1048)&lt;14,"",MIN($N$1035:$N$1048))</f>
        <v>0</v>
      </c>
      <c r="Y1048">
        <f>IF(COUNT($N$1035:$N$1048)&lt;14,"",MAX($N$1035:$N$1048))</f>
        <v>0</v>
      </c>
      <c r="Z1048">
        <f>IF(OR(N1048="",X1048="",Y1048="",Y1048=X1048),"",100*(N1048-X1048)/(Y1048-X1048))</f>
        <v>0</v>
      </c>
      <c r="AA1048">
        <f>IF(COUNT($Z$1046:$Z$1048)&lt;3,"",AVERAGE($Z$1046:$Z$1048))</f>
        <v>0</v>
      </c>
      <c r="AB1048">
        <f>IF(COUNT($AA$1046:$AA$1048)&lt;3,"",AVERAGE($AA$1046:$AA$1048))</f>
        <v>0</v>
      </c>
      <c r="AC1048">
        <f>IF($E1048="","",MAX($C1048-$D1048,ABS($C1048-$E1047),ABS($D1048-$E1047)))</f>
        <v>0</v>
      </c>
      <c r="AD1048">
        <f>IF(COUNT($E$2:$E1048)&lt;15,"",AVERAGE($AC$1035:$AC$1048))</f>
        <v>0</v>
      </c>
      <c r="AE1048">
        <f>IF(OR($E1048="",$E1047=""),"",IF(AND(($C1048-$C1047)&gt;($D1047-$D1048),($C1048-$C1047)&gt;0),$C1048-$C1047,0))</f>
        <v>0</v>
      </c>
      <c r="AF1048">
        <f>IF(OR($E1048="",$E1047=""),"",IF(AND(($D1047-$D1048)&gt;($C1048-$C1047),($D1047-$D1048)&gt;0),$D1047-$D1048,0))</f>
        <v>0</v>
      </c>
      <c r="AG1048">
        <f>IF(COUNT($E$2:$E1048)&lt;15,"",IF(SUM($AC$1035:$AC$1048)=0,0,100*SUM($AE$1035:$AE$1048)/SUM($AC$1035:$AC$1048)))</f>
        <v>0</v>
      </c>
      <c r="AH1048">
        <f>IF(COUNT($E$2:$E1048)&lt;15,"",IF(SUM($AC$1035:$AC$1048)=0,0,100*SUM($AF$1035:$AF$1048)/SUM($AC$1035:$AC$1048)))</f>
        <v>0</v>
      </c>
      <c r="AI1048">
        <f>IF(OR(AG1048="",AH1048=""),"",IF((AG1048+AH1048)=0,0,100*ABS(AG1048-AH1048)/(AG1048+AH1048)))</f>
        <v>0</v>
      </c>
      <c r="AJ1048">
        <f>IF(COUNT($AI$1035:$AI$1048)&lt;14,"",AVERAGE($AI$1035:$AI$1048))</f>
        <v>0</v>
      </c>
      <c r="AK1048">
        <f>IF(COUNT($E$2:$E1048)&lt;20,"",AVERAGE($E$1029:$E$1048))</f>
        <v>0</v>
      </c>
      <c r="AL1048">
        <f>IF(COUNT($E$2:$E1048)&lt;20,"",STDEVP($E$1029:$E$1048))</f>
        <v>0</v>
      </c>
      <c r="AM1048">
        <f>IF(AK1048="","",AK1048+2*AL1048)</f>
        <v>0</v>
      </c>
      <c r="AN1048">
        <f>IF(AK1048="","",AK1048-2*AL1048)</f>
        <v>0</v>
      </c>
      <c r="AO1048">
        <f>IF(OR(AM1048="",AN1048="",AM1048=AN1048),"",($E1048-AN1048)/(AM1048-AN1048))</f>
        <v>0</v>
      </c>
      <c r="AP1048">
        <f>IF(OR(AM1048="",AK1048="",AK1048=0),"",(AM1048-AN1048)/AK1048)</f>
        <v>0</v>
      </c>
      <c r="AQ1048">
        <f>IF(COUNT($E$2:$E1048)&lt;20,"",MAX($C$1029:$C$1048))</f>
        <v>0</v>
      </c>
      <c r="AR1048">
        <f>IF(COUNT($E$2:$E1048)&lt;20,"",MIN($D$1029:$D$1048))</f>
        <v>0</v>
      </c>
      <c r="AS1048">
        <f>IF(OR(AQ1048="",AR1048=""),"",(AQ1048+AR1048)/2)</f>
        <v>0</v>
      </c>
      <c r="AT1048">
        <f>IF(COUNT($G$1029:$G$1048)&lt;20,"",STDEV($G$1029:$G$1048)*SQRT(252))</f>
        <v>0</v>
      </c>
      <c r="AU1048">
        <f>IF(COUNT($E$2:$E1048)&lt;9,"",(MAX($C$1040:$C$1048)+MIN($D$1040:$D$1048))/2)</f>
        <v>0</v>
      </c>
      <c r="AV1048">
        <f>IF(COUNT($E$2:$E1048)&lt;26,"",(MAX($C$1023:$C$1048)+MIN($D$1023:$D$1048))/2)</f>
        <v>0</v>
      </c>
      <c r="AW1048">
        <f>IF(OR(AU1048="",AV1048=""),"",(AU1048+AV1048)/2)</f>
        <v>0</v>
      </c>
      <c r="AX1048">
        <f>IF(COUNT($E$2:$E1048)&lt;52,"",(MAX($C$997:$C$1048)+MIN($D$997:$D$1048))/2)</f>
        <v>0</v>
      </c>
      <c r="AY1048">
        <f>IF(COUNT($E$2:$E1048)&lt;20,"",MAX($C$949:$C$1048))</f>
        <v>0</v>
      </c>
      <c r="AZ1048">
        <f>IF(COUNT($E$2:$E1048)&lt;20,"",MIN($D$949:$D$1048))</f>
        <v>0</v>
      </c>
      <c r="BA1048">
        <f>IF(COUNT($E$2:$E1048)&lt;20,"",SLOPE($E$949:$E$1048,$F$949:$F$1048))</f>
        <v>0</v>
      </c>
      <c r="BB1048">
        <f>IF(COUNT($E$2:$E1048)&lt;20,"",INTERCEPT($E$949:$E$1048,$F$949:$F$1048))</f>
        <v>0</v>
      </c>
      <c r="BC1048">
        <f>IF(OR(BA1048="",BB1048=""),"",BB1048+BA1048*F1048)</f>
        <v>0</v>
      </c>
      <c r="BD1048">
        <f>IF(COUNT($E$2:$E1048)&lt;20,"",STEYX($E$949:$E$1048,$F$949:$F$1048))</f>
        <v>0</v>
      </c>
      <c r="BE1048">
        <f>IF($E1048="","",IF(AND(COUNT($E$1049:$E$1052)&gt;=4,$C1048=MAX($C$1044:$C$1052)),$C1048,""))</f>
        <v>0</v>
      </c>
      <c r="BF1048">
        <f>IF($E1048="","",IF(AND(COUNT($E$1049:$E$1052)&gt;=4,$D1048=MIN($D$1044:$D$1052)),$D1048,""))</f>
        <v>0</v>
      </c>
      <c r="BG1048">
        <f>IF($A1048="","",$A1048-WEEKDAY($A1048,2)+1)</f>
        <v>0</v>
      </c>
      <c r="BH1048">
        <f>IF($A1048="","",IF($A1047="",1,IF(BG1048&lt;&gt;BG1047,1,0)))</f>
        <v>0</v>
      </c>
      <c r="BI1048">
        <f>IF($A1048="","",IF($A1049="",1,IF(BG1049&lt;&gt;BG1048,1,0)))</f>
        <v>0</v>
      </c>
      <c r="BJ1048">
        <f>IF($A1048="","",IF(BH1048=1,$B1048,BJ1047))</f>
        <v>0</v>
      </c>
      <c r="BK1048">
        <f>IF($A1048="","",IF(BH1048=1,$C1048,MAX($C1048,BK1047)))</f>
        <v>0</v>
      </c>
      <c r="BL1048">
        <f>IF($A1048="","",IF(BH1048=1,$D1048,MIN($D1048,BL1047)))</f>
        <v>0</v>
      </c>
      <c r="BM1048">
        <f>IF($A1048="","",IF(BI1048=1,F1048,""))</f>
        <v>0</v>
      </c>
      <c r="BN1048">
        <f>IF($A1048="","",DATE(YEAR($A1048),MONTH($A1048),1))</f>
        <v>0</v>
      </c>
      <c r="BO1048">
        <f>IF($A1048="","",IF($A1047="",1,IF(BN1048&lt;&gt;BN1047,1,0)))</f>
        <v>0</v>
      </c>
      <c r="BP1048">
        <f>IF($A1048="","",IF($A1049="",1,IF(BN1049&lt;&gt;BN1048,1,0)))</f>
        <v>0</v>
      </c>
      <c r="BQ1048">
        <f>IF($A1048="","",IF(BO1048=1,$B1048,BQ1047))</f>
        <v>0</v>
      </c>
      <c r="BR1048">
        <f>IF($A1048="","",IF(BO1048=1,$C1048,MAX($C1048,BR1047)))</f>
        <v>0</v>
      </c>
      <c r="BS1048">
        <f>IF($A1048="","",IF(BO1048=1,$D1048,MIN($D1048,BS1047)))</f>
        <v>0</v>
      </c>
      <c r="BT1048">
        <f>IF($A1048="","",IF(BP1048=1,F1048,""))</f>
        <v>0</v>
      </c>
    </row>
    <row r="1049" spans="1:72">
      <c r="A1049" s="27">
        <f>IF(Data!$A1049="","",Data!$A1049)</f>
        <v>0</v>
      </c>
      <c r="B1049">
        <f>IF(Data!$B1049="","",Data!$B1049)</f>
        <v>0</v>
      </c>
      <c r="C1049">
        <f>IF(Data!$C1049="","",Data!$C1049)</f>
        <v>0</v>
      </c>
      <c r="D1049">
        <f>IF(Data!$D1049="","",Data!$D1049)</f>
        <v>0</v>
      </c>
      <c r="E1049">
        <f>IF(Data!$E1049="","",Data!$E1049)</f>
        <v>0</v>
      </c>
      <c r="F1049">
        <f>IF($E1049="","",N(F1048)+1)</f>
        <v>0</v>
      </c>
      <c r="G1049">
        <f>IF(OR($E1049="",$E1048=""),"",LN($E1049/$E1048))</f>
        <v>0</v>
      </c>
      <c r="H1049">
        <f>IF($E1049="","",IF($E1048="",$E1049,$E1049*0.0952380952+H1048*0.9047619048))</f>
        <v>0</v>
      </c>
      <c r="I1049">
        <f>IF($E1049="","",IF($E1048="",$E1049,$E1049*0.0392156863+I1048*0.9607843137))</f>
        <v>0</v>
      </c>
      <c r="J1049">
        <f>IF($E1049="","",IF($E1048="",$E1049,$E1049*0.0198019802+J1048*0.9801980198))</f>
        <v>0</v>
      </c>
      <c r="K1049">
        <f>IF($E1049="","",IF($E1048="",$E1049,$E1049*0.0099502488+K1048*0.9900497512))</f>
        <v>0</v>
      </c>
      <c r="L1049">
        <f>IF(OR($E1049="",$E1048=""),"",MAX($E1049-$E1048,0))</f>
        <v>0</v>
      </c>
      <c r="M1049">
        <f>IF(OR($E1049="",$E1048=""),"",MAX($E1048-$E1049,0))</f>
        <v>0</v>
      </c>
      <c r="N1049">
        <f>IF(COUNT($E$2:$E1049)&lt;15,"",IF(AVERAGE($M$1036:$M$1049)=0,100,100-100/(1+AVERAGE($L$1036:$L$1049)/AVERAGE($M$1036:$M$1049))))</f>
        <v>0</v>
      </c>
      <c r="O1049">
        <f>IF($E1049="","",IF($E1048="",$E1049,$E1049*0.1538461538+O1048*0.8461538462))</f>
        <v>0</v>
      </c>
      <c r="P1049">
        <f>IF($E1049="","",IF($E1048="",$E1049,$E1049*0.0740740741+P1048*0.9259259259))</f>
        <v>0</v>
      </c>
      <c r="Q1049">
        <f>IF(OR(O1049="",P1049=""),"",O1049-P1049)</f>
        <v>0</v>
      </c>
      <c r="R1049">
        <f>IF(Q1049="","",IF(R1048="",Q1049,Q1049*0.2000000000+R1048*0.8000000000))</f>
        <v>0</v>
      </c>
      <c r="S1049">
        <f>IF(OR(Q1049="",R1049=""),"",Q1049-R1049)</f>
        <v>0</v>
      </c>
      <c r="T1049">
        <f>IF(COUNT($E$2:$E1049)&lt;14,"",MAX($C$1036:$C$1049))</f>
        <v>0</v>
      </c>
      <c r="U1049">
        <f>IF(COUNT($E$2:$E1049)&lt;14,"",MIN($D$1036:$D$1049))</f>
        <v>0</v>
      </c>
      <c r="V1049">
        <f>IF(OR(T1049="",U1049="",T1049=U1049),"",100*($E1049-U1049)/(T1049-U1049))</f>
        <v>0</v>
      </c>
      <c r="W1049">
        <f>IF(COUNT($V$1047:$V$1049)&lt;3,"",AVERAGE($V$1047:$V$1049))</f>
        <v>0</v>
      </c>
      <c r="X1049">
        <f>IF(COUNT($N$1036:$N$1049)&lt;14,"",MIN($N$1036:$N$1049))</f>
        <v>0</v>
      </c>
      <c r="Y1049">
        <f>IF(COUNT($N$1036:$N$1049)&lt;14,"",MAX($N$1036:$N$1049))</f>
        <v>0</v>
      </c>
      <c r="Z1049">
        <f>IF(OR(N1049="",X1049="",Y1049="",Y1049=X1049),"",100*(N1049-X1049)/(Y1049-X1049))</f>
        <v>0</v>
      </c>
      <c r="AA1049">
        <f>IF(COUNT($Z$1047:$Z$1049)&lt;3,"",AVERAGE($Z$1047:$Z$1049))</f>
        <v>0</v>
      </c>
      <c r="AB1049">
        <f>IF(COUNT($AA$1047:$AA$1049)&lt;3,"",AVERAGE($AA$1047:$AA$1049))</f>
        <v>0</v>
      </c>
      <c r="AC1049">
        <f>IF($E1049="","",MAX($C1049-$D1049,ABS($C1049-$E1048),ABS($D1049-$E1048)))</f>
        <v>0</v>
      </c>
      <c r="AD1049">
        <f>IF(COUNT($E$2:$E1049)&lt;15,"",AVERAGE($AC$1036:$AC$1049))</f>
        <v>0</v>
      </c>
      <c r="AE1049">
        <f>IF(OR($E1049="",$E1048=""),"",IF(AND(($C1049-$C1048)&gt;($D1048-$D1049),($C1049-$C1048)&gt;0),$C1049-$C1048,0))</f>
        <v>0</v>
      </c>
      <c r="AF1049">
        <f>IF(OR($E1049="",$E1048=""),"",IF(AND(($D1048-$D1049)&gt;($C1049-$C1048),($D1048-$D1049)&gt;0),$D1048-$D1049,0))</f>
        <v>0</v>
      </c>
      <c r="AG1049">
        <f>IF(COUNT($E$2:$E1049)&lt;15,"",IF(SUM($AC$1036:$AC$1049)=0,0,100*SUM($AE$1036:$AE$1049)/SUM($AC$1036:$AC$1049)))</f>
        <v>0</v>
      </c>
      <c r="AH1049">
        <f>IF(COUNT($E$2:$E1049)&lt;15,"",IF(SUM($AC$1036:$AC$1049)=0,0,100*SUM($AF$1036:$AF$1049)/SUM($AC$1036:$AC$1049)))</f>
        <v>0</v>
      </c>
      <c r="AI1049">
        <f>IF(OR(AG1049="",AH1049=""),"",IF((AG1049+AH1049)=0,0,100*ABS(AG1049-AH1049)/(AG1049+AH1049)))</f>
        <v>0</v>
      </c>
      <c r="AJ1049">
        <f>IF(COUNT($AI$1036:$AI$1049)&lt;14,"",AVERAGE($AI$1036:$AI$1049))</f>
        <v>0</v>
      </c>
      <c r="AK1049">
        <f>IF(COUNT($E$2:$E1049)&lt;20,"",AVERAGE($E$1030:$E$1049))</f>
        <v>0</v>
      </c>
      <c r="AL1049">
        <f>IF(COUNT($E$2:$E1049)&lt;20,"",STDEVP($E$1030:$E$1049))</f>
        <v>0</v>
      </c>
      <c r="AM1049">
        <f>IF(AK1049="","",AK1049+2*AL1049)</f>
        <v>0</v>
      </c>
      <c r="AN1049">
        <f>IF(AK1049="","",AK1049-2*AL1049)</f>
        <v>0</v>
      </c>
      <c r="AO1049">
        <f>IF(OR(AM1049="",AN1049="",AM1049=AN1049),"",($E1049-AN1049)/(AM1049-AN1049))</f>
        <v>0</v>
      </c>
      <c r="AP1049">
        <f>IF(OR(AM1049="",AK1049="",AK1049=0),"",(AM1049-AN1049)/AK1049)</f>
        <v>0</v>
      </c>
      <c r="AQ1049">
        <f>IF(COUNT($E$2:$E1049)&lt;20,"",MAX($C$1030:$C$1049))</f>
        <v>0</v>
      </c>
      <c r="AR1049">
        <f>IF(COUNT($E$2:$E1049)&lt;20,"",MIN($D$1030:$D$1049))</f>
        <v>0</v>
      </c>
      <c r="AS1049">
        <f>IF(OR(AQ1049="",AR1049=""),"",(AQ1049+AR1049)/2)</f>
        <v>0</v>
      </c>
      <c r="AT1049">
        <f>IF(COUNT($G$1030:$G$1049)&lt;20,"",STDEV($G$1030:$G$1049)*SQRT(252))</f>
        <v>0</v>
      </c>
      <c r="AU1049">
        <f>IF(COUNT($E$2:$E1049)&lt;9,"",(MAX($C$1041:$C$1049)+MIN($D$1041:$D$1049))/2)</f>
        <v>0</v>
      </c>
      <c r="AV1049">
        <f>IF(COUNT($E$2:$E1049)&lt;26,"",(MAX($C$1024:$C$1049)+MIN($D$1024:$D$1049))/2)</f>
        <v>0</v>
      </c>
      <c r="AW1049">
        <f>IF(OR(AU1049="",AV1049=""),"",(AU1049+AV1049)/2)</f>
        <v>0</v>
      </c>
      <c r="AX1049">
        <f>IF(COUNT($E$2:$E1049)&lt;52,"",(MAX($C$998:$C$1049)+MIN($D$998:$D$1049))/2)</f>
        <v>0</v>
      </c>
      <c r="AY1049">
        <f>IF(COUNT($E$2:$E1049)&lt;20,"",MAX($C$950:$C$1049))</f>
        <v>0</v>
      </c>
      <c r="AZ1049">
        <f>IF(COUNT($E$2:$E1049)&lt;20,"",MIN($D$950:$D$1049))</f>
        <v>0</v>
      </c>
      <c r="BA1049">
        <f>IF(COUNT($E$2:$E1049)&lt;20,"",SLOPE($E$950:$E$1049,$F$950:$F$1049))</f>
        <v>0</v>
      </c>
      <c r="BB1049">
        <f>IF(COUNT($E$2:$E1049)&lt;20,"",INTERCEPT($E$950:$E$1049,$F$950:$F$1049))</f>
        <v>0</v>
      </c>
      <c r="BC1049">
        <f>IF(OR(BA1049="",BB1049=""),"",BB1049+BA1049*F1049)</f>
        <v>0</v>
      </c>
      <c r="BD1049">
        <f>IF(COUNT($E$2:$E1049)&lt;20,"",STEYX($E$950:$E$1049,$F$950:$F$1049))</f>
        <v>0</v>
      </c>
      <c r="BE1049">
        <f>IF($E1049="","",IF(AND(COUNT($E$1050:$E$1053)&gt;=4,$C1049=MAX($C$1045:$C$1053)),$C1049,""))</f>
        <v>0</v>
      </c>
      <c r="BF1049">
        <f>IF($E1049="","",IF(AND(COUNT($E$1050:$E$1053)&gt;=4,$D1049=MIN($D$1045:$D$1053)),$D1049,""))</f>
        <v>0</v>
      </c>
      <c r="BG1049">
        <f>IF($A1049="","",$A1049-WEEKDAY($A1049,2)+1)</f>
        <v>0</v>
      </c>
      <c r="BH1049">
        <f>IF($A1049="","",IF($A1048="",1,IF(BG1049&lt;&gt;BG1048,1,0)))</f>
        <v>0</v>
      </c>
      <c r="BI1049">
        <f>IF($A1049="","",IF($A1050="",1,IF(BG1050&lt;&gt;BG1049,1,0)))</f>
        <v>0</v>
      </c>
      <c r="BJ1049">
        <f>IF($A1049="","",IF(BH1049=1,$B1049,BJ1048))</f>
        <v>0</v>
      </c>
      <c r="BK1049">
        <f>IF($A1049="","",IF(BH1049=1,$C1049,MAX($C1049,BK1048)))</f>
        <v>0</v>
      </c>
      <c r="BL1049">
        <f>IF($A1049="","",IF(BH1049=1,$D1049,MIN($D1049,BL1048)))</f>
        <v>0</v>
      </c>
      <c r="BM1049">
        <f>IF($A1049="","",IF(BI1049=1,F1049,""))</f>
        <v>0</v>
      </c>
      <c r="BN1049">
        <f>IF($A1049="","",DATE(YEAR($A1049),MONTH($A1049),1))</f>
        <v>0</v>
      </c>
      <c r="BO1049">
        <f>IF($A1049="","",IF($A1048="",1,IF(BN1049&lt;&gt;BN1048,1,0)))</f>
        <v>0</v>
      </c>
      <c r="BP1049">
        <f>IF($A1049="","",IF($A1050="",1,IF(BN1050&lt;&gt;BN1049,1,0)))</f>
        <v>0</v>
      </c>
      <c r="BQ1049">
        <f>IF($A1049="","",IF(BO1049=1,$B1049,BQ1048))</f>
        <v>0</v>
      </c>
      <c r="BR1049">
        <f>IF($A1049="","",IF(BO1049=1,$C1049,MAX($C1049,BR1048)))</f>
        <v>0</v>
      </c>
      <c r="BS1049">
        <f>IF($A1049="","",IF(BO1049=1,$D1049,MIN($D1049,BS1048)))</f>
        <v>0</v>
      </c>
      <c r="BT1049">
        <f>IF($A1049="","",IF(BP1049=1,F1049,""))</f>
        <v>0</v>
      </c>
    </row>
    <row r="1050" spans="1:72">
      <c r="A1050" s="27">
        <f>IF(Data!$A1050="","",Data!$A1050)</f>
        <v>0</v>
      </c>
      <c r="B1050">
        <f>IF(Data!$B1050="","",Data!$B1050)</f>
        <v>0</v>
      </c>
      <c r="C1050">
        <f>IF(Data!$C1050="","",Data!$C1050)</f>
        <v>0</v>
      </c>
      <c r="D1050">
        <f>IF(Data!$D1050="","",Data!$D1050)</f>
        <v>0</v>
      </c>
      <c r="E1050">
        <f>IF(Data!$E1050="","",Data!$E1050)</f>
        <v>0</v>
      </c>
      <c r="F1050">
        <f>IF($E1050="","",N(F1049)+1)</f>
        <v>0</v>
      </c>
      <c r="G1050">
        <f>IF(OR($E1050="",$E1049=""),"",LN($E1050/$E1049))</f>
        <v>0</v>
      </c>
      <c r="H1050">
        <f>IF($E1050="","",IF($E1049="",$E1050,$E1050*0.0952380952+H1049*0.9047619048))</f>
        <v>0</v>
      </c>
      <c r="I1050">
        <f>IF($E1050="","",IF($E1049="",$E1050,$E1050*0.0392156863+I1049*0.9607843137))</f>
        <v>0</v>
      </c>
      <c r="J1050">
        <f>IF($E1050="","",IF($E1049="",$E1050,$E1050*0.0198019802+J1049*0.9801980198))</f>
        <v>0</v>
      </c>
      <c r="K1050">
        <f>IF($E1050="","",IF($E1049="",$E1050,$E1050*0.0099502488+K1049*0.9900497512))</f>
        <v>0</v>
      </c>
      <c r="L1050">
        <f>IF(OR($E1050="",$E1049=""),"",MAX($E1050-$E1049,0))</f>
        <v>0</v>
      </c>
      <c r="M1050">
        <f>IF(OR($E1050="",$E1049=""),"",MAX($E1049-$E1050,0))</f>
        <v>0</v>
      </c>
      <c r="N1050">
        <f>IF(COUNT($E$2:$E1050)&lt;15,"",IF(AVERAGE($M$1037:$M$1050)=0,100,100-100/(1+AVERAGE($L$1037:$L$1050)/AVERAGE($M$1037:$M$1050))))</f>
        <v>0</v>
      </c>
      <c r="O1050">
        <f>IF($E1050="","",IF($E1049="",$E1050,$E1050*0.1538461538+O1049*0.8461538462))</f>
        <v>0</v>
      </c>
      <c r="P1050">
        <f>IF($E1050="","",IF($E1049="",$E1050,$E1050*0.0740740741+P1049*0.9259259259))</f>
        <v>0</v>
      </c>
      <c r="Q1050">
        <f>IF(OR(O1050="",P1050=""),"",O1050-P1050)</f>
        <v>0</v>
      </c>
      <c r="R1050">
        <f>IF(Q1050="","",IF(R1049="",Q1050,Q1050*0.2000000000+R1049*0.8000000000))</f>
        <v>0</v>
      </c>
      <c r="S1050">
        <f>IF(OR(Q1050="",R1050=""),"",Q1050-R1050)</f>
        <v>0</v>
      </c>
      <c r="T1050">
        <f>IF(COUNT($E$2:$E1050)&lt;14,"",MAX($C$1037:$C$1050))</f>
        <v>0</v>
      </c>
      <c r="U1050">
        <f>IF(COUNT($E$2:$E1050)&lt;14,"",MIN($D$1037:$D$1050))</f>
        <v>0</v>
      </c>
      <c r="V1050">
        <f>IF(OR(T1050="",U1050="",T1050=U1050),"",100*($E1050-U1050)/(T1050-U1050))</f>
        <v>0</v>
      </c>
      <c r="W1050">
        <f>IF(COUNT($V$1048:$V$1050)&lt;3,"",AVERAGE($V$1048:$V$1050))</f>
        <v>0</v>
      </c>
      <c r="X1050">
        <f>IF(COUNT($N$1037:$N$1050)&lt;14,"",MIN($N$1037:$N$1050))</f>
        <v>0</v>
      </c>
      <c r="Y1050">
        <f>IF(COUNT($N$1037:$N$1050)&lt;14,"",MAX($N$1037:$N$1050))</f>
        <v>0</v>
      </c>
      <c r="Z1050">
        <f>IF(OR(N1050="",X1050="",Y1050="",Y1050=X1050),"",100*(N1050-X1050)/(Y1050-X1050))</f>
        <v>0</v>
      </c>
      <c r="AA1050">
        <f>IF(COUNT($Z$1048:$Z$1050)&lt;3,"",AVERAGE($Z$1048:$Z$1050))</f>
        <v>0</v>
      </c>
      <c r="AB1050">
        <f>IF(COUNT($AA$1048:$AA$1050)&lt;3,"",AVERAGE($AA$1048:$AA$1050))</f>
        <v>0</v>
      </c>
      <c r="AC1050">
        <f>IF($E1050="","",MAX($C1050-$D1050,ABS($C1050-$E1049),ABS($D1050-$E1049)))</f>
        <v>0</v>
      </c>
      <c r="AD1050">
        <f>IF(COUNT($E$2:$E1050)&lt;15,"",AVERAGE($AC$1037:$AC$1050))</f>
        <v>0</v>
      </c>
      <c r="AE1050">
        <f>IF(OR($E1050="",$E1049=""),"",IF(AND(($C1050-$C1049)&gt;($D1049-$D1050),($C1050-$C1049)&gt;0),$C1050-$C1049,0))</f>
        <v>0</v>
      </c>
      <c r="AF1050">
        <f>IF(OR($E1050="",$E1049=""),"",IF(AND(($D1049-$D1050)&gt;($C1050-$C1049),($D1049-$D1050)&gt;0),$D1049-$D1050,0))</f>
        <v>0</v>
      </c>
      <c r="AG1050">
        <f>IF(COUNT($E$2:$E1050)&lt;15,"",IF(SUM($AC$1037:$AC$1050)=0,0,100*SUM($AE$1037:$AE$1050)/SUM($AC$1037:$AC$1050)))</f>
        <v>0</v>
      </c>
      <c r="AH1050">
        <f>IF(COUNT($E$2:$E1050)&lt;15,"",IF(SUM($AC$1037:$AC$1050)=0,0,100*SUM($AF$1037:$AF$1050)/SUM($AC$1037:$AC$1050)))</f>
        <v>0</v>
      </c>
      <c r="AI1050">
        <f>IF(OR(AG1050="",AH1050=""),"",IF((AG1050+AH1050)=0,0,100*ABS(AG1050-AH1050)/(AG1050+AH1050)))</f>
        <v>0</v>
      </c>
      <c r="AJ1050">
        <f>IF(COUNT($AI$1037:$AI$1050)&lt;14,"",AVERAGE($AI$1037:$AI$1050))</f>
        <v>0</v>
      </c>
      <c r="AK1050">
        <f>IF(COUNT($E$2:$E1050)&lt;20,"",AVERAGE($E$1031:$E$1050))</f>
        <v>0</v>
      </c>
      <c r="AL1050">
        <f>IF(COUNT($E$2:$E1050)&lt;20,"",STDEVP($E$1031:$E$1050))</f>
        <v>0</v>
      </c>
      <c r="AM1050">
        <f>IF(AK1050="","",AK1050+2*AL1050)</f>
        <v>0</v>
      </c>
      <c r="AN1050">
        <f>IF(AK1050="","",AK1050-2*AL1050)</f>
        <v>0</v>
      </c>
      <c r="AO1050">
        <f>IF(OR(AM1050="",AN1050="",AM1050=AN1050),"",($E1050-AN1050)/(AM1050-AN1050))</f>
        <v>0</v>
      </c>
      <c r="AP1050">
        <f>IF(OR(AM1050="",AK1050="",AK1050=0),"",(AM1050-AN1050)/AK1050)</f>
        <v>0</v>
      </c>
      <c r="AQ1050">
        <f>IF(COUNT($E$2:$E1050)&lt;20,"",MAX($C$1031:$C$1050))</f>
        <v>0</v>
      </c>
      <c r="AR1050">
        <f>IF(COUNT($E$2:$E1050)&lt;20,"",MIN($D$1031:$D$1050))</f>
        <v>0</v>
      </c>
      <c r="AS1050">
        <f>IF(OR(AQ1050="",AR1050=""),"",(AQ1050+AR1050)/2)</f>
        <v>0</v>
      </c>
      <c r="AT1050">
        <f>IF(COUNT($G$1031:$G$1050)&lt;20,"",STDEV($G$1031:$G$1050)*SQRT(252))</f>
        <v>0</v>
      </c>
      <c r="AU1050">
        <f>IF(COUNT($E$2:$E1050)&lt;9,"",(MAX($C$1042:$C$1050)+MIN($D$1042:$D$1050))/2)</f>
        <v>0</v>
      </c>
      <c r="AV1050">
        <f>IF(COUNT($E$2:$E1050)&lt;26,"",(MAX($C$1025:$C$1050)+MIN($D$1025:$D$1050))/2)</f>
        <v>0</v>
      </c>
      <c r="AW1050">
        <f>IF(OR(AU1050="",AV1050=""),"",(AU1050+AV1050)/2)</f>
        <v>0</v>
      </c>
      <c r="AX1050">
        <f>IF(COUNT($E$2:$E1050)&lt;52,"",(MAX($C$999:$C$1050)+MIN($D$999:$D$1050))/2)</f>
        <v>0</v>
      </c>
      <c r="AY1050">
        <f>IF(COUNT($E$2:$E1050)&lt;20,"",MAX($C$951:$C$1050))</f>
        <v>0</v>
      </c>
      <c r="AZ1050">
        <f>IF(COUNT($E$2:$E1050)&lt;20,"",MIN($D$951:$D$1050))</f>
        <v>0</v>
      </c>
      <c r="BA1050">
        <f>IF(COUNT($E$2:$E1050)&lt;20,"",SLOPE($E$951:$E$1050,$F$951:$F$1050))</f>
        <v>0</v>
      </c>
      <c r="BB1050">
        <f>IF(COUNT($E$2:$E1050)&lt;20,"",INTERCEPT($E$951:$E$1050,$F$951:$F$1050))</f>
        <v>0</v>
      </c>
      <c r="BC1050">
        <f>IF(OR(BA1050="",BB1050=""),"",BB1050+BA1050*F1050)</f>
        <v>0</v>
      </c>
      <c r="BD1050">
        <f>IF(COUNT($E$2:$E1050)&lt;20,"",STEYX($E$951:$E$1050,$F$951:$F$1050))</f>
        <v>0</v>
      </c>
      <c r="BE1050">
        <f>IF($E1050="","",IF(AND(COUNT($E$1051:$E$1054)&gt;=4,$C1050=MAX($C$1046:$C$1054)),$C1050,""))</f>
        <v>0</v>
      </c>
      <c r="BF1050">
        <f>IF($E1050="","",IF(AND(COUNT($E$1051:$E$1054)&gt;=4,$D1050=MIN($D$1046:$D$1054)),$D1050,""))</f>
        <v>0</v>
      </c>
      <c r="BG1050">
        <f>IF($A1050="","",$A1050-WEEKDAY($A1050,2)+1)</f>
        <v>0</v>
      </c>
      <c r="BH1050">
        <f>IF($A1050="","",IF($A1049="",1,IF(BG1050&lt;&gt;BG1049,1,0)))</f>
        <v>0</v>
      </c>
      <c r="BI1050">
        <f>IF($A1050="","",IF($A1051="",1,IF(BG1051&lt;&gt;BG1050,1,0)))</f>
        <v>0</v>
      </c>
      <c r="BJ1050">
        <f>IF($A1050="","",IF(BH1050=1,$B1050,BJ1049))</f>
        <v>0</v>
      </c>
      <c r="BK1050">
        <f>IF($A1050="","",IF(BH1050=1,$C1050,MAX($C1050,BK1049)))</f>
        <v>0</v>
      </c>
      <c r="BL1050">
        <f>IF($A1050="","",IF(BH1050=1,$D1050,MIN($D1050,BL1049)))</f>
        <v>0</v>
      </c>
      <c r="BM1050">
        <f>IF($A1050="","",IF(BI1050=1,F1050,""))</f>
        <v>0</v>
      </c>
      <c r="BN1050">
        <f>IF($A1050="","",DATE(YEAR($A1050),MONTH($A1050),1))</f>
        <v>0</v>
      </c>
      <c r="BO1050">
        <f>IF($A1050="","",IF($A1049="",1,IF(BN1050&lt;&gt;BN1049,1,0)))</f>
        <v>0</v>
      </c>
      <c r="BP1050">
        <f>IF($A1050="","",IF($A1051="",1,IF(BN1051&lt;&gt;BN1050,1,0)))</f>
        <v>0</v>
      </c>
      <c r="BQ1050">
        <f>IF($A1050="","",IF(BO1050=1,$B1050,BQ1049))</f>
        <v>0</v>
      </c>
      <c r="BR1050">
        <f>IF($A1050="","",IF(BO1050=1,$C1050,MAX($C1050,BR1049)))</f>
        <v>0</v>
      </c>
      <c r="BS1050">
        <f>IF($A1050="","",IF(BO1050=1,$D1050,MIN($D1050,BS1049)))</f>
        <v>0</v>
      </c>
      <c r="BT1050">
        <f>IF($A1050="","",IF(BP1050=1,F1050,""))</f>
        <v>0</v>
      </c>
    </row>
    <row r="1051" spans="1:72">
      <c r="A1051" s="27">
        <f>IF(Data!$A1051="","",Data!$A1051)</f>
        <v>0</v>
      </c>
      <c r="B1051">
        <f>IF(Data!$B1051="","",Data!$B1051)</f>
        <v>0</v>
      </c>
      <c r="C1051">
        <f>IF(Data!$C1051="","",Data!$C1051)</f>
        <v>0</v>
      </c>
      <c r="D1051">
        <f>IF(Data!$D1051="","",Data!$D1051)</f>
        <v>0</v>
      </c>
      <c r="E1051">
        <f>IF(Data!$E1051="","",Data!$E1051)</f>
        <v>0</v>
      </c>
      <c r="F1051">
        <f>IF($E1051="","",N(F1050)+1)</f>
        <v>0</v>
      </c>
      <c r="G1051">
        <f>IF(OR($E1051="",$E1050=""),"",LN($E1051/$E1050))</f>
        <v>0</v>
      </c>
      <c r="H1051">
        <f>IF($E1051="","",IF($E1050="",$E1051,$E1051*0.0952380952+H1050*0.9047619048))</f>
        <v>0</v>
      </c>
      <c r="I1051">
        <f>IF($E1051="","",IF($E1050="",$E1051,$E1051*0.0392156863+I1050*0.9607843137))</f>
        <v>0</v>
      </c>
      <c r="J1051">
        <f>IF($E1051="","",IF($E1050="",$E1051,$E1051*0.0198019802+J1050*0.9801980198))</f>
        <v>0</v>
      </c>
      <c r="K1051">
        <f>IF($E1051="","",IF($E1050="",$E1051,$E1051*0.0099502488+K1050*0.9900497512))</f>
        <v>0</v>
      </c>
      <c r="L1051">
        <f>IF(OR($E1051="",$E1050=""),"",MAX($E1051-$E1050,0))</f>
        <v>0</v>
      </c>
      <c r="M1051">
        <f>IF(OR($E1051="",$E1050=""),"",MAX($E1050-$E1051,0))</f>
        <v>0</v>
      </c>
      <c r="N1051">
        <f>IF(COUNT($E$2:$E1051)&lt;15,"",IF(AVERAGE($M$1038:$M$1051)=0,100,100-100/(1+AVERAGE($L$1038:$L$1051)/AVERAGE($M$1038:$M$1051))))</f>
        <v>0</v>
      </c>
      <c r="O1051">
        <f>IF($E1051="","",IF($E1050="",$E1051,$E1051*0.1538461538+O1050*0.8461538462))</f>
        <v>0</v>
      </c>
      <c r="P1051">
        <f>IF($E1051="","",IF($E1050="",$E1051,$E1051*0.0740740741+P1050*0.9259259259))</f>
        <v>0</v>
      </c>
      <c r="Q1051">
        <f>IF(OR(O1051="",P1051=""),"",O1051-P1051)</f>
        <v>0</v>
      </c>
      <c r="R1051">
        <f>IF(Q1051="","",IF(R1050="",Q1051,Q1051*0.2000000000+R1050*0.8000000000))</f>
        <v>0</v>
      </c>
      <c r="S1051">
        <f>IF(OR(Q1051="",R1051=""),"",Q1051-R1051)</f>
        <v>0</v>
      </c>
      <c r="T1051">
        <f>IF(COUNT($E$2:$E1051)&lt;14,"",MAX($C$1038:$C$1051))</f>
        <v>0</v>
      </c>
      <c r="U1051">
        <f>IF(COUNT($E$2:$E1051)&lt;14,"",MIN($D$1038:$D$1051))</f>
        <v>0</v>
      </c>
      <c r="V1051">
        <f>IF(OR(T1051="",U1051="",T1051=U1051),"",100*($E1051-U1051)/(T1051-U1051))</f>
        <v>0</v>
      </c>
      <c r="W1051">
        <f>IF(COUNT($V$1049:$V$1051)&lt;3,"",AVERAGE($V$1049:$V$1051))</f>
        <v>0</v>
      </c>
      <c r="X1051">
        <f>IF(COUNT($N$1038:$N$1051)&lt;14,"",MIN($N$1038:$N$1051))</f>
        <v>0</v>
      </c>
      <c r="Y1051">
        <f>IF(COUNT($N$1038:$N$1051)&lt;14,"",MAX($N$1038:$N$1051))</f>
        <v>0</v>
      </c>
      <c r="Z1051">
        <f>IF(OR(N1051="",X1051="",Y1051="",Y1051=X1051),"",100*(N1051-X1051)/(Y1051-X1051))</f>
        <v>0</v>
      </c>
      <c r="AA1051">
        <f>IF(COUNT($Z$1049:$Z$1051)&lt;3,"",AVERAGE($Z$1049:$Z$1051))</f>
        <v>0</v>
      </c>
      <c r="AB1051">
        <f>IF(COUNT($AA$1049:$AA$1051)&lt;3,"",AVERAGE($AA$1049:$AA$1051))</f>
        <v>0</v>
      </c>
      <c r="AC1051">
        <f>IF($E1051="","",MAX($C1051-$D1051,ABS($C1051-$E1050),ABS($D1051-$E1050)))</f>
        <v>0</v>
      </c>
      <c r="AD1051">
        <f>IF(COUNT($E$2:$E1051)&lt;15,"",AVERAGE($AC$1038:$AC$1051))</f>
        <v>0</v>
      </c>
      <c r="AE1051">
        <f>IF(OR($E1051="",$E1050=""),"",IF(AND(($C1051-$C1050)&gt;($D1050-$D1051),($C1051-$C1050)&gt;0),$C1051-$C1050,0))</f>
        <v>0</v>
      </c>
      <c r="AF1051">
        <f>IF(OR($E1051="",$E1050=""),"",IF(AND(($D1050-$D1051)&gt;($C1051-$C1050),($D1050-$D1051)&gt;0),$D1050-$D1051,0))</f>
        <v>0</v>
      </c>
      <c r="AG1051">
        <f>IF(COUNT($E$2:$E1051)&lt;15,"",IF(SUM($AC$1038:$AC$1051)=0,0,100*SUM($AE$1038:$AE$1051)/SUM($AC$1038:$AC$1051)))</f>
        <v>0</v>
      </c>
      <c r="AH1051">
        <f>IF(COUNT($E$2:$E1051)&lt;15,"",IF(SUM($AC$1038:$AC$1051)=0,0,100*SUM($AF$1038:$AF$1051)/SUM($AC$1038:$AC$1051)))</f>
        <v>0</v>
      </c>
      <c r="AI1051">
        <f>IF(OR(AG1051="",AH1051=""),"",IF((AG1051+AH1051)=0,0,100*ABS(AG1051-AH1051)/(AG1051+AH1051)))</f>
        <v>0</v>
      </c>
      <c r="AJ1051">
        <f>IF(COUNT($AI$1038:$AI$1051)&lt;14,"",AVERAGE($AI$1038:$AI$1051))</f>
        <v>0</v>
      </c>
      <c r="AK1051">
        <f>IF(COUNT($E$2:$E1051)&lt;20,"",AVERAGE($E$1032:$E$1051))</f>
        <v>0</v>
      </c>
      <c r="AL1051">
        <f>IF(COUNT($E$2:$E1051)&lt;20,"",STDEVP($E$1032:$E$1051))</f>
        <v>0</v>
      </c>
      <c r="AM1051">
        <f>IF(AK1051="","",AK1051+2*AL1051)</f>
        <v>0</v>
      </c>
      <c r="AN1051">
        <f>IF(AK1051="","",AK1051-2*AL1051)</f>
        <v>0</v>
      </c>
      <c r="AO1051">
        <f>IF(OR(AM1051="",AN1051="",AM1051=AN1051),"",($E1051-AN1051)/(AM1051-AN1051))</f>
        <v>0</v>
      </c>
      <c r="AP1051">
        <f>IF(OR(AM1051="",AK1051="",AK1051=0),"",(AM1051-AN1051)/AK1051)</f>
        <v>0</v>
      </c>
      <c r="AQ1051">
        <f>IF(COUNT($E$2:$E1051)&lt;20,"",MAX($C$1032:$C$1051))</f>
        <v>0</v>
      </c>
      <c r="AR1051">
        <f>IF(COUNT($E$2:$E1051)&lt;20,"",MIN($D$1032:$D$1051))</f>
        <v>0</v>
      </c>
      <c r="AS1051">
        <f>IF(OR(AQ1051="",AR1051=""),"",(AQ1051+AR1051)/2)</f>
        <v>0</v>
      </c>
      <c r="AT1051">
        <f>IF(COUNT($G$1032:$G$1051)&lt;20,"",STDEV($G$1032:$G$1051)*SQRT(252))</f>
        <v>0</v>
      </c>
      <c r="AU1051">
        <f>IF(COUNT($E$2:$E1051)&lt;9,"",(MAX($C$1043:$C$1051)+MIN($D$1043:$D$1051))/2)</f>
        <v>0</v>
      </c>
      <c r="AV1051">
        <f>IF(COUNT($E$2:$E1051)&lt;26,"",(MAX($C$1026:$C$1051)+MIN($D$1026:$D$1051))/2)</f>
        <v>0</v>
      </c>
      <c r="AW1051">
        <f>IF(OR(AU1051="",AV1051=""),"",(AU1051+AV1051)/2)</f>
        <v>0</v>
      </c>
      <c r="AX1051">
        <f>IF(COUNT($E$2:$E1051)&lt;52,"",(MAX($C$1000:$C$1051)+MIN($D$1000:$D$1051))/2)</f>
        <v>0</v>
      </c>
      <c r="AY1051">
        <f>IF(COUNT($E$2:$E1051)&lt;20,"",MAX($C$952:$C$1051))</f>
        <v>0</v>
      </c>
      <c r="AZ1051">
        <f>IF(COUNT($E$2:$E1051)&lt;20,"",MIN($D$952:$D$1051))</f>
        <v>0</v>
      </c>
      <c r="BA1051">
        <f>IF(COUNT($E$2:$E1051)&lt;20,"",SLOPE($E$952:$E$1051,$F$952:$F$1051))</f>
        <v>0</v>
      </c>
      <c r="BB1051">
        <f>IF(COUNT($E$2:$E1051)&lt;20,"",INTERCEPT($E$952:$E$1051,$F$952:$F$1051))</f>
        <v>0</v>
      </c>
      <c r="BC1051">
        <f>IF(OR(BA1051="",BB1051=""),"",BB1051+BA1051*F1051)</f>
        <v>0</v>
      </c>
      <c r="BD1051">
        <f>IF(COUNT($E$2:$E1051)&lt;20,"",STEYX($E$952:$E$1051,$F$952:$F$1051))</f>
        <v>0</v>
      </c>
      <c r="BE1051">
        <f>IF($E1051="","",IF(AND(COUNT($E$1052:$E$1055)&gt;=4,$C1051=MAX($C$1047:$C$1055)),$C1051,""))</f>
        <v>0</v>
      </c>
      <c r="BF1051">
        <f>IF($E1051="","",IF(AND(COUNT($E$1052:$E$1055)&gt;=4,$D1051=MIN($D$1047:$D$1055)),$D1051,""))</f>
        <v>0</v>
      </c>
      <c r="BG1051">
        <f>IF($A1051="","",$A1051-WEEKDAY($A1051,2)+1)</f>
        <v>0</v>
      </c>
      <c r="BH1051">
        <f>IF($A1051="","",IF($A1050="",1,IF(BG1051&lt;&gt;BG1050,1,0)))</f>
        <v>0</v>
      </c>
      <c r="BI1051">
        <f>IF($A1051="","",IF($A1052="",1,IF(BG1052&lt;&gt;BG1051,1,0)))</f>
        <v>0</v>
      </c>
      <c r="BJ1051">
        <f>IF($A1051="","",IF(BH1051=1,$B1051,BJ1050))</f>
        <v>0</v>
      </c>
      <c r="BK1051">
        <f>IF($A1051="","",IF(BH1051=1,$C1051,MAX($C1051,BK1050)))</f>
        <v>0</v>
      </c>
      <c r="BL1051">
        <f>IF($A1051="","",IF(BH1051=1,$D1051,MIN($D1051,BL1050)))</f>
        <v>0</v>
      </c>
      <c r="BM1051">
        <f>IF($A1051="","",IF(BI1051=1,F1051,""))</f>
        <v>0</v>
      </c>
      <c r="BN1051">
        <f>IF($A1051="","",DATE(YEAR($A1051),MONTH($A1051),1))</f>
        <v>0</v>
      </c>
      <c r="BO1051">
        <f>IF($A1051="","",IF($A1050="",1,IF(BN1051&lt;&gt;BN1050,1,0)))</f>
        <v>0</v>
      </c>
      <c r="BP1051">
        <f>IF($A1051="","",IF($A1052="",1,IF(BN1052&lt;&gt;BN1051,1,0)))</f>
        <v>0</v>
      </c>
      <c r="BQ1051">
        <f>IF($A1051="","",IF(BO1051=1,$B1051,BQ1050))</f>
        <v>0</v>
      </c>
      <c r="BR1051">
        <f>IF($A1051="","",IF(BO1051=1,$C1051,MAX($C1051,BR1050)))</f>
        <v>0</v>
      </c>
      <c r="BS1051">
        <f>IF($A1051="","",IF(BO1051=1,$D1051,MIN($D1051,BS1050)))</f>
        <v>0</v>
      </c>
      <c r="BT1051">
        <f>IF($A1051="","",IF(BP1051=1,F1051,""))</f>
        <v>0</v>
      </c>
    </row>
    <row r="1052" spans="1:72">
      <c r="A1052" s="27">
        <f>IF(Data!$A1052="","",Data!$A1052)</f>
        <v>0</v>
      </c>
      <c r="B1052">
        <f>IF(Data!$B1052="","",Data!$B1052)</f>
        <v>0</v>
      </c>
      <c r="C1052">
        <f>IF(Data!$C1052="","",Data!$C1052)</f>
        <v>0</v>
      </c>
      <c r="D1052">
        <f>IF(Data!$D1052="","",Data!$D1052)</f>
        <v>0</v>
      </c>
      <c r="E1052">
        <f>IF(Data!$E1052="","",Data!$E1052)</f>
        <v>0</v>
      </c>
      <c r="F1052">
        <f>IF($E1052="","",N(F1051)+1)</f>
        <v>0</v>
      </c>
      <c r="G1052">
        <f>IF(OR($E1052="",$E1051=""),"",LN($E1052/$E1051))</f>
        <v>0</v>
      </c>
      <c r="H1052">
        <f>IF($E1052="","",IF($E1051="",$E1052,$E1052*0.0952380952+H1051*0.9047619048))</f>
        <v>0</v>
      </c>
      <c r="I1052">
        <f>IF($E1052="","",IF($E1051="",$E1052,$E1052*0.0392156863+I1051*0.9607843137))</f>
        <v>0</v>
      </c>
      <c r="J1052">
        <f>IF($E1052="","",IF($E1051="",$E1052,$E1052*0.0198019802+J1051*0.9801980198))</f>
        <v>0</v>
      </c>
      <c r="K1052">
        <f>IF($E1052="","",IF($E1051="",$E1052,$E1052*0.0099502488+K1051*0.9900497512))</f>
        <v>0</v>
      </c>
      <c r="L1052">
        <f>IF(OR($E1052="",$E1051=""),"",MAX($E1052-$E1051,0))</f>
        <v>0</v>
      </c>
      <c r="M1052">
        <f>IF(OR($E1052="",$E1051=""),"",MAX($E1051-$E1052,0))</f>
        <v>0</v>
      </c>
      <c r="N1052">
        <f>IF(COUNT($E$2:$E1052)&lt;15,"",IF(AVERAGE($M$1039:$M$1052)=0,100,100-100/(1+AVERAGE($L$1039:$L$1052)/AVERAGE($M$1039:$M$1052))))</f>
        <v>0</v>
      </c>
      <c r="O1052">
        <f>IF($E1052="","",IF($E1051="",$E1052,$E1052*0.1538461538+O1051*0.8461538462))</f>
        <v>0</v>
      </c>
      <c r="P1052">
        <f>IF($E1052="","",IF($E1051="",$E1052,$E1052*0.0740740741+P1051*0.9259259259))</f>
        <v>0</v>
      </c>
      <c r="Q1052">
        <f>IF(OR(O1052="",P1052=""),"",O1052-P1052)</f>
        <v>0</v>
      </c>
      <c r="R1052">
        <f>IF(Q1052="","",IF(R1051="",Q1052,Q1052*0.2000000000+R1051*0.8000000000))</f>
        <v>0</v>
      </c>
      <c r="S1052">
        <f>IF(OR(Q1052="",R1052=""),"",Q1052-R1052)</f>
        <v>0</v>
      </c>
      <c r="T1052">
        <f>IF(COUNT($E$2:$E1052)&lt;14,"",MAX($C$1039:$C$1052))</f>
        <v>0</v>
      </c>
      <c r="U1052">
        <f>IF(COUNT($E$2:$E1052)&lt;14,"",MIN($D$1039:$D$1052))</f>
        <v>0</v>
      </c>
      <c r="V1052">
        <f>IF(OR(T1052="",U1052="",T1052=U1052),"",100*($E1052-U1052)/(T1052-U1052))</f>
        <v>0</v>
      </c>
      <c r="W1052">
        <f>IF(COUNT($V$1050:$V$1052)&lt;3,"",AVERAGE($V$1050:$V$1052))</f>
        <v>0</v>
      </c>
      <c r="X1052">
        <f>IF(COUNT($N$1039:$N$1052)&lt;14,"",MIN($N$1039:$N$1052))</f>
        <v>0</v>
      </c>
      <c r="Y1052">
        <f>IF(COUNT($N$1039:$N$1052)&lt;14,"",MAX($N$1039:$N$1052))</f>
        <v>0</v>
      </c>
      <c r="Z1052">
        <f>IF(OR(N1052="",X1052="",Y1052="",Y1052=X1052),"",100*(N1052-X1052)/(Y1052-X1052))</f>
        <v>0</v>
      </c>
      <c r="AA1052">
        <f>IF(COUNT($Z$1050:$Z$1052)&lt;3,"",AVERAGE($Z$1050:$Z$1052))</f>
        <v>0</v>
      </c>
      <c r="AB1052">
        <f>IF(COUNT($AA$1050:$AA$1052)&lt;3,"",AVERAGE($AA$1050:$AA$1052))</f>
        <v>0</v>
      </c>
      <c r="AC1052">
        <f>IF($E1052="","",MAX($C1052-$D1052,ABS($C1052-$E1051),ABS($D1052-$E1051)))</f>
        <v>0</v>
      </c>
      <c r="AD1052">
        <f>IF(COUNT($E$2:$E1052)&lt;15,"",AVERAGE($AC$1039:$AC$1052))</f>
        <v>0</v>
      </c>
      <c r="AE1052">
        <f>IF(OR($E1052="",$E1051=""),"",IF(AND(($C1052-$C1051)&gt;($D1051-$D1052),($C1052-$C1051)&gt;0),$C1052-$C1051,0))</f>
        <v>0</v>
      </c>
      <c r="AF1052">
        <f>IF(OR($E1052="",$E1051=""),"",IF(AND(($D1051-$D1052)&gt;($C1052-$C1051),($D1051-$D1052)&gt;0),$D1051-$D1052,0))</f>
        <v>0</v>
      </c>
      <c r="AG1052">
        <f>IF(COUNT($E$2:$E1052)&lt;15,"",IF(SUM($AC$1039:$AC$1052)=0,0,100*SUM($AE$1039:$AE$1052)/SUM($AC$1039:$AC$1052)))</f>
        <v>0</v>
      </c>
      <c r="AH1052">
        <f>IF(COUNT($E$2:$E1052)&lt;15,"",IF(SUM($AC$1039:$AC$1052)=0,0,100*SUM($AF$1039:$AF$1052)/SUM($AC$1039:$AC$1052)))</f>
        <v>0</v>
      </c>
      <c r="AI1052">
        <f>IF(OR(AG1052="",AH1052=""),"",IF((AG1052+AH1052)=0,0,100*ABS(AG1052-AH1052)/(AG1052+AH1052)))</f>
        <v>0</v>
      </c>
      <c r="AJ1052">
        <f>IF(COUNT($AI$1039:$AI$1052)&lt;14,"",AVERAGE($AI$1039:$AI$1052))</f>
        <v>0</v>
      </c>
      <c r="AK1052">
        <f>IF(COUNT($E$2:$E1052)&lt;20,"",AVERAGE($E$1033:$E$1052))</f>
        <v>0</v>
      </c>
      <c r="AL1052">
        <f>IF(COUNT($E$2:$E1052)&lt;20,"",STDEVP($E$1033:$E$1052))</f>
        <v>0</v>
      </c>
      <c r="AM1052">
        <f>IF(AK1052="","",AK1052+2*AL1052)</f>
        <v>0</v>
      </c>
      <c r="AN1052">
        <f>IF(AK1052="","",AK1052-2*AL1052)</f>
        <v>0</v>
      </c>
      <c r="AO1052">
        <f>IF(OR(AM1052="",AN1052="",AM1052=AN1052),"",($E1052-AN1052)/(AM1052-AN1052))</f>
        <v>0</v>
      </c>
      <c r="AP1052">
        <f>IF(OR(AM1052="",AK1052="",AK1052=0),"",(AM1052-AN1052)/AK1052)</f>
        <v>0</v>
      </c>
      <c r="AQ1052">
        <f>IF(COUNT($E$2:$E1052)&lt;20,"",MAX($C$1033:$C$1052))</f>
        <v>0</v>
      </c>
      <c r="AR1052">
        <f>IF(COUNT($E$2:$E1052)&lt;20,"",MIN($D$1033:$D$1052))</f>
        <v>0</v>
      </c>
      <c r="AS1052">
        <f>IF(OR(AQ1052="",AR1052=""),"",(AQ1052+AR1052)/2)</f>
        <v>0</v>
      </c>
      <c r="AT1052">
        <f>IF(COUNT($G$1033:$G$1052)&lt;20,"",STDEV($G$1033:$G$1052)*SQRT(252))</f>
        <v>0</v>
      </c>
      <c r="AU1052">
        <f>IF(COUNT($E$2:$E1052)&lt;9,"",(MAX($C$1044:$C$1052)+MIN($D$1044:$D$1052))/2)</f>
        <v>0</v>
      </c>
      <c r="AV1052">
        <f>IF(COUNT($E$2:$E1052)&lt;26,"",(MAX($C$1027:$C$1052)+MIN($D$1027:$D$1052))/2)</f>
        <v>0</v>
      </c>
      <c r="AW1052">
        <f>IF(OR(AU1052="",AV1052=""),"",(AU1052+AV1052)/2)</f>
        <v>0</v>
      </c>
      <c r="AX1052">
        <f>IF(COUNT($E$2:$E1052)&lt;52,"",(MAX($C$1001:$C$1052)+MIN($D$1001:$D$1052))/2)</f>
        <v>0</v>
      </c>
      <c r="AY1052">
        <f>IF(COUNT($E$2:$E1052)&lt;20,"",MAX($C$953:$C$1052))</f>
        <v>0</v>
      </c>
      <c r="AZ1052">
        <f>IF(COUNT($E$2:$E1052)&lt;20,"",MIN($D$953:$D$1052))</f>
        <v>0</v>
      </c>
      <c r="BA1052">
        <f>IF(COUNT($E$2:$E1052)&lt;20,"",SLOPE($E$953:$E$1052,$F$953:$F$1052))</f>
        <v>0</v>
      </c>
      <c r="BB1052">
        <f>IF(COUNT($E$2:$E1052)&lt;20,"",INTERCEPT($E$953:$E$1052,$F$953:$F$1052))</f>
        <v>0</v>
      </c>
      <c r="BC1052">
        <f>IF(OR(BA1052="",BB1052=""),"",BB1052+BA1052*F1052)</f>
        <v>0</v>
      </c>
      <c r="BD1052">
        <f>IF(COUNT($E$2:$E1052)&lt;20,"",STEYX($E$953:$E$1052,$F$953:$F$1052))</f>
        <v>0</v>
      </c>
      <c r="BE1052">
        <f>IF($E1052="","",IF(AND(COUNT($E$1053:$E$1056)&gt;=4,$C1052=MAX($C$1048:$C$1056)),$C1052,""))</f>
        <v>0</v>
      </c>
      <c r="BF1052">
        <f>IF($E1052="","",IF(AND(COUNT($E$1053:$E$1056)&gt;=4,$D1052=MIN($D$1048:$D$1056)),$D1052,""))</f>
        <v>0</v>
      </c>
      <c r="BG1052">
        <f>IF($A1052="","",$A1052-WEEKDAY($A1052,2)+1)</f>
        <v>0</v>
      </c>
      <c r="BH1052">
        <f>IF($A1052="","",IF($A1051="",1,IF(BG1052&lt;&gt;BG1051,1,0)))</f>
        <v>0</v>
      </c>
      <c r="BI1052">
        <f>IF($A1052="","",IF($A1053="",1,IF(BG1053&lt;&gt;BG1052,1,0)))</f>
        <v>0</v>
      </c>
      <c r="BJ1052">
        <f>IF($A1052="","",IF(BH1052=1,$B1052,BJ1051))</f>
        <v>0</v>
      </c>
      <c r="BK1052">
        <f>IF($A1052="","",IF(BH1052=1,$C1052,MAX($C1052,BK1051)))</f>
        <v>0</v>
      </c>
      <c r="BL1052">
        <f>IF($A1052="","",IF(BH1052=1,$D1052,MIN($D1052,BL1051)))</f>
        <v>0</v>
      </c>
      <c r="BM1052">
        <f>IF($A1052="","",IF(BI1052=1,F1052,""))</f>
        <v>0</v>
      </c>
      <c r="BN1052">
        <f>IF($A1052="","",DATE(YEAR($A1052),MONTH($A1052),1))</f>
        <v>0</v>
      </c>
      <c r="BO1052">
        <f>IF($A1052="","",IF($A1051="",1,IF(BN1052&lt;&gt;BN1051,1,0)))</f>
        <v>0</v>
      </c>
      <c r="BP1052">
        <f>IF($A1052="","",IF($A1053="",1,IF(BN1053&lt;&gt;BN1052,1,0)))</f>
        <v>0</v>
      </c>
      <c r="BQ1052">
        <f>IF($A1052="","",IF(BO1052=1,$B1052,BQ1051))</f>
        <v>0</v>
      </c>
      <c r="BR1052">
        <f>IF($A1052="","",IF(BO1052=1,$C1052,MAX($C1052,BR1051)))</f>
        <v>0</v>
      </c>
      <c r="BS1052">
        <f>IF($A1052="","",IF(BO1052=1,$D1052,MIN($D1052,BS1051)))</f>
        <v>0</v>
      </c>
      <c r="BT1052">
        <f>IF($A1052="","",IF(BP1052=1,F1052,""))</f>
        <v>0</v>
      </c>
    </row>
    <row r="1053" spans="1:72">
      <c r="A1053" s="27">
        <f>IF(Data!$A1053="","",Data!$A1053)</f>
        <v>0</v>
      </c>
      <c r="B1053">
        <f>IF(Data!$B1053="","",Data!$B1053)</f>
        <v>0</v>
      </c>
      <c r="C1053">
        <f>IF(Data!$C1053="","",Data!$C1053)</f>
        <v>0</v>
      </c>
      <c r="D1053">
        <f>IF(Data!$D1053="","",Data!$D1053)</f>
        <v>0</v>
      </c>
      <c r="E1053">
        <f>IF(Data!$E1053="","",Data!$E1053)</f>
        <v>0</v>
      </c>
      <c r="F1053">
        <f>IF($E1053="","",N(F1052)+1)</f>
        <v>0</v>
      </c>
      <c r="G1053">
        <f>IF(OR($E1053="",$E1052=""),"",LN($E1053/$E1052))</f>
        <v>0</v>
      </c>
      <c r="H1053">
        <f>IF($E1053="","",IF($E1052="",$E1053,$E1053*0.0952380952+H1052*0.9047619048))</f>
        <v>0</v>
      </c>
      <c r="I1053">
        <f>IF($E1053="","",IF($E1052="",$E1053,$E1053*0.0392156863+I1052*0.9607843137))</f>
        <v>0</v>
      </c>
      <c r="J1053">
        <f>IF($E1053="","",IF($E1052="",$E1053,$E1053*0.0198019802+J1052*0.9801980198))</f>
        <v>0</v>
      </c>
      <c r="K1053">
        <f>IF($E1053="","",IF($E1052="",$E1053,$E1053*0.0099502488+K1052*0.9900497512))</f>
        <v>0</v>
      </c>
      <c r="L1053">
        <f>IF(OR($E1053="",$E1052=""),"",MAX($E1053-$E1052,0))</f>
        <v>0</v>
      </c>
      <c r="M1053">
        <f>IF(OR($E1053="",$E1052=""),"",MAX($E1052-$E1053,0))</f>
        <v>0</v>
      </c>
      <c r="N1053">
        <f>IF(COUNT($E$2:$E1053)&lt;15,"",IF(AVERAGE($M$1040:$M$1053)=0,100,100-100/(1+AVERAGE($L$1040:$L$1053)/AVERAGE($M$1040:$M$1053))))</f>
        <v>0</v>
      </c>
      <c r="O1053">
        <f>IF($E1053="","",IF($E1052="",$E1053,$E1053*0.1538461538+O1052*0.8461538462))</f>
        <v>0</v>
      </c>
      <c r="P1053">
        <f>IF($E1053="","",IF($E1052="",$E1053,$E1053*0.0740740741+P1052*0.9259259259))</f>
        <v>0</v>
      </c>
      <c r="Q1053">
        <f>IF(OR(O1053="",P1053=""),"",O1053-P1053)</f>
        <v>0</v>
      </c>
      <c r="R1053">
        <f>IF(Q1053="","",IF(R1052="",Q1053,Q1053*0.2000000000+R1052*0.8000000000))</f>
        <v>0</v>
      </c>
      <c r="S1053">
        <f>IF(OR(Q1053="",R1053=""),"",Q1053-R1053)</f>
        <v>0</v>
      </c>
      <c r="T1053">
        <f>IF(COUNT($E$2:$E1053)&lt;14,"",MAX($C$1040:$C$1053))</f>
        <v>0</v>
      </c>
      <c r="U1053">
        <f>IF(COUNT($E$2:$E1053)&lt;14,"",MIN($D$1040:$D$1053))</f>
        <v>0</v>
      </c>
      <c r="V1053">
        <f>IF(OR(T1053="",U1053="",T1053=U1053),"",100*($E1053-U1053)/(T1053-U1053))</f>
        <v>0</v>
      </c>
      <c r="W1053">
        <f>IF(COUNT($V$1051:$V$1053)&lt;3,"",AVERAGE($V$1051:$V$1053))</f>
        <v>0</v>
      </c>
      <c r="X1053">
        <f>IF(COUNT($N$1040:$N$1053)&lt;14,"",MIN($N$1040:$N$1053))</f>
        <v>0</v>
      </c>
      <c r="Y1053">
        <f>IF(COUNT($N$1040:$N$1053)&lt;14,"",MAX($N$1040:$N$1053))</f>
        <v>0</v>
      </c>
      <c r="Z1053">
        <f>IF(OR(N1053="",X1053="",Y1053="",Y1053=X1053),"",100*(N1053-X1053)/(Y1053-X1053))</f>
        <v>0</v>
      </c>
      <c r="AA1053">
        <f>IF(COUNT($Z$1051:$Z$1053)&lt;3,"",AVERAGE($Z$1051:$Z$1053))</f>
        <v>0</v>
      </c>
      <c r="AB1053">
        <f>IF(COUNT($AA$1051:$AA$1053)&lt;3,"",AVERAGE($AA$1051:$AA$1053))</f>
        <v>0</v>
      </c>
      <c r="AC1053">
        <f>IF($E1053="","",MAX($C1053-$D1053,ABS($C1053-$E1052),ABS($D1053-$E1052)))</f>
        <v>0</v>
      </c>
      <c r="AD1053">
        <f>IF(COUNT($E$2:$E1053)&lt;15,"",AVERAGE($AC$1040:$AC$1053))</f>
        <v>0</v>
      </c>
      <c r="AE1053">
        <f>IF(OR($E1053="",$E1052=""),"",IF(AND(($C1053-$C1052)&gt;($D1052-$D1053),($C1053-$C1052)&gt;0),$C1053-$C1052,0))</f>
        <v>0</v>
      </c>
      <c r="AF1053">
        <f>IF(OR($E1053="",$E1052=""),"",IF(AND(($D1052-$D1053)&gt;($C1053-$C1052),($D1052-$D1053)&gt;0),$D1052-$D1053,0))</f>
        <v>0</v>
      </c>
      <c r="AG1053">
        <f>IF(COUNT($E$2:$E1053)&lt;15,"",IF(SUM($AC$1040:$AC$1053)=0,0,100*SUM($AE$1040:$AE$1053)/SUM($AC$1040:$AC$1053)))</f>
        <v>0</v>
      </c>
      <c r="AH1053">
        <f>IF(COUNT($E$2:$E1053)&lt;15,"",IF(SUM($AC$1040:$AC$1053)=0,0,100*SUM($AF$1040:$AF$1053)/SUM($AC$1040:$AC$1053)))</f>
        <v>0</v>
      </c>
      <c r="AI1053">
        <f>IF(OR(AG1053="",AH1053=""),"",IF((AG1053+AH1053)=0,0,100*ABS(AG1053-AH1053)/(AG1053+AH1053)))</f>
        <v>0</v>
      </c>
      <c r="AJ1053">
        <f>IF(COUNT($AI$1040:$AI$1053)&lt;14,"",AVERAGE($AI$1040:$AI$1053))</f>
        <v>0</v>
      </c>
      <c r="AK1053">
        <f>IF(COUNT($E$2:$E1053)&lt;20,"",AVERAGE($E$1034:$E$1053))</f>
        <v>0</v>
      </c>
      <c r="AL1053">
        <f>IF(COUNT($E$2:$E1053)&lt;20,"",STDEVP($E$1034:$E$1053))</f>
        <v>0</v>
      </c>
      <c r="AM1053">
        <f>IF(AK1053="","",AK1053+2*AL1053)</f>
        <v>0</v>
      </c>
      <c r="AN1053">
        <f>IF(AK1053="","",AK1053-2*AL1053)</f>
        <v>0</v>
      </c>
      <c r="AO1053">
        <f>IF(OR(AM1053="",AN1053="",AM1053=AN1053),"",($E1053-AN1053)/(AM1053-AN1053))</f>
        <v>0</v>
      </c>
      <c r="AP1053">
        <f>IF(OR(AM1053="",AK1053="",AK1053=0),"",(AM1053-AN1053)/AK1053)</f>
        <v>0</v>
      </c>
      <c r="AQ1053">
        <f>IF(COUNT($E$2:$E1053)&lt;20,"",MAX($C$1034:$C$1053))</f>
        <v>0</v>
      </c>
      <c r="AR1053">
        <f>IF(COUNT($E$2:$E1053)&lt;20,"",MIN($D$1034:$D$1053))</f>
        <v>0</v>
      </c>
      <c r="AS1053">
        <f>IF(OR(AQ1053="",AR1053=""),"",(AQ1053+AR1053)/2)</f>
        <v>0</v>
      </c>
      <c r="AT1053">
        <f>IF(COUNT($G$1034:$G$1053)&lt;20,"",STDEV($G$1034:$G$1053)*SQRT(252))</f>
        <v>0</v>
      </c>
      <c r="AU1053">
        <f>IF(COUNT($E$2:$E1053)&lt;9,"",(MAX($C$1045:$C$1053)+MIN($D$1045:$D$1053))/2)</f>
        <v>0</v>
      </c>
      <c r="AV1053">
        <f>IF(COUNT($E$2:$E1053)&lt;26,"",(MAX($C$1028:$C$1053)+MIN($D$1028:$D$1053))/2)</f>
        <v>0</v>
      </c>
      <c r="AW1053">
        <f>IF(OR(AU1053="",AV1053=""),"",(AU1053+AV1053)/2)</f>
        <v>0</v>
      </c>
      <c r="AX1053">
        <f>IF(COUNT($E$2:$E1053)&lt;52,"",(MAX($C$1002:$C$1053)+MIN($D$1002:$D$1053))/2)</f>
        <v>0</v>
      </c>
      <c r="AY1053">
        <f>IF(COUNT($E$2:$E1053)&lt;20,"",MAX($C$954:$C$1053))</f>
        <v>0</v>
      </c>
      <c r="AZ1053">
        <f>IF(COUNT($E$2:$E1053)&lt;20,"",MIN($D$954:$D$1053))</f>
        <v>0</v>
      </c>
      <c r="BA1053">
        <f>IF(COUNT($E$2:$E1053)&lt;20,"",SLOPE($E$954:$E$1053,$F$954:$F$1053))</f>
        <v>0</v>
      </c>
      <c r="BB1053">
        <f>IF(COUNT($E$2:$E1053)&lt;20,"",INTERCEPT($E$954:$E$1053,$F$954:$F$1053))</f>
        <v>0</v>
      </c>
      <c r="BC1053">
        <f>IF(OR(BA1053="",BB1053=""),"",BB1053+BA1053*F1053)</f>
        <v>0</v>
      </c>
      <c r="BD1053">
        <f>IF(COUNT($E$2:$E1053)&lt;20,"",STEYX($E$954:$E$1053,$F$954:$F$1053))</f>
        <v>0</v>
      </c>
      <c r="BE1053">
        <f>IF($E1053="","",IF(AND(COUNT($E$1054:$E$1057)&gt;=4,$C1053=MAX($C$1049:$C$1057)),$C1053,""))</f>
        <v>0</v>
      </c>
      <c r="BF1053">
        <f>IF($E1053="","",IF(AND(COUNT($E$1054:$E$1057)&gt;=4,$D1053=MIN($D$1049:$D$1057)),$D1053,""))</f>
        <v>0</v>
      </c>
      <c r="BG1053">
        <f>IF($A1053="","",$A1053-WEEKDAY($A1053,2)+1)</f>
        <v>0</v>
      </c>
      <c r="BH1053">
        <f>IF($A1053="","",IF($A1052="",1,IF(BG1053&lt;&gt;BG1052,1,0)))</f>
        <v>0</v>
      </c>
      <c r="BI1053">
        <f>IF($A1053="","",IF($A1054="",1,IF(BG1054&lt;&gt;BG1053,1,0)))</f>
        <v>0</v>
      </c>
      <c r="BJ1053">
        <f>IF($A1053="","",IF(BH1053=1,$B1053,BJ1052))</f>
        <v>0</v>
      </c>
      <c r="BK1053">
        <f>IF($A1053="","",IF(BH1053=1,$C1053,MAX($C1053,BK1052)))</f>
        <v>0</v>
      </c>
      <c r="BL1053">
        <f>IF($A1053="","",IF(BH1053=1,$D1053,MIN($D1053,BL1052)))</f>
        <v>0</v>
      </c>
      <c r="BM1053">
        <f>IF($A1053="","",IF(BI1053=1,F1053,""))</f>
        <v>0</v>
      </c>
      <c r="BN1053">
        <f>IF($A1053="","",DATE(YEAR($A1053),MONTH($A1053),1))</f>
        <v>0</v>
      </c>
      <c r="BO1053">
        <f>IF($A1053="","",IF($A1052="",1,IF(BN1053&lt;&gt;BN1052,1,0)))</f>
        <v>0</v>
      </c>
      <c r="BP1053">
        <f>IF($A1053="","",IF($A1054="",1,IF(BN1054&lt;&gt;BN1053,1,0)))</f>
        <v>0</v>
      </c>
      <c r="BQ1053">
        <f>IF($A1053="","",IF(BO1053=1,$B1053,BQ1052))</f>
        <v>0</v>
      </c>
      <c r="BR1053">
        <f>IF($A1053="","",IF(BO1053=1,$C1053,MAX($C1053,BR1052)))</f>
        <v>0</v>
      </c>
      <c r="BS1053">
        <f>IF($A1053="","",IF(BO1053=1,$D1053,MIN($D1053,BS1052)))</f>
        <v>0</v>
      </c>
      <c r="BT1053">
        <f>IF($A1053="","",IF(BP1053=1,F1053,""))</f>
        <v>0</v>
      </c>
    </row>
    <row r="1054" spans="1:72">
      <c r="A1054" s="27">
        <f>IF(Data!$A1054="","",Data!$A1054)</f>
        <v>0</v>
      </c>
      <c r="B1054">
        <f>IF(Data!$B1054="","",Data!$B1054)</f>
        <v>0</v>
      </c>
      <c r="C1054">
        <f>IF(Data!$C1054="","",Data!$C1054)</f>
        <v>0</v>
      </c>
      <c r="D1054">
        <f>IF(Data!$D1054="","",Data!$D1054)</f>
        <v>0</v>
      </c>
      <c r="E1054">
        <f>IF(Data!$E1054="","",Data!$E1054)</f>
        <v>0</v>
      </c>
      <c r="F1054">
        <f>IF($E1054="","",N(F1053)+1)</f>
        <v>0</v>
      </c>
      <c r="G1054">
        <f>IF(OR($E1054="",$E1053=""),"",LN($E1054/$E1053))</f>
        <v>0</v>
      </c>
      <c r="H1054">
        <f>IF($E1054="","",IF($E1053="",$E1054,$E1054*0.0952380952+H1053*0.9047619048))</f>
        <v>0</v>
      </c>
      <c r="I1054">
        <f>IF($E1054="","",IF($E1053="",$E1054,$E1054*0.0392156863+I1053*0.9607843137))</f>
        <v>0</v>
      </c>
      <c r="J1054">
        <f>IF($E1054="","",IF($E1053="",$E1054,$E1054*0.0198019802+J1053*0.9801980198))</f>
        <v>0</v>
      </c>
      <c r="K1054">
        <f>IF($E1054="","",IF($E1053="",$E1054,$E1054*0.0099502488+K1053*0.9900497512))</f>
        <v>0</v>
      </c>
      <c r="L1054">
        <f>IF(OR($E1054="",$E1053=""),"",MAX($E1054-$E1053,0))</f>
        <v>0</v>
      </c>
      <c r="M1054">
        <f>IF(OR($E1054="",$E1053=""),"",MAX($E1053-$E1054,0))</f>
        <v>0</v>
      </c>
      <c r="N1054">
        <f>IF(COUNT($E$2:$E1054)&lt;15,"",IF(AVERAGE($M$1041:$M$1054)=0,100,100-100/(1+AVERAGE($L$1041:$L$1054)/AVERAGE($M$1041:$M$1054))))</f>
        <v>0</v>
      </c>
      <c r="O1054">
        <f>IF($E1054="","",IF($E1053="",$E1054,$E1054*0.1538461538+O1053*0.8461538462))</f>
        <v>0</v>
      </c>
      <c r="P1054">
        <f>IF($E1054="","",IF($E1053="",$E1054,$E1054*0.0740740741+P1053*0.9259259259))</f>
        <v>0</v>
      </c>
      <c r="Q1054">
        <f>IF(OR(O1054="",P1054=""),"",O1054-P1054)</f>
        <v>0</v>
      </c>
      <c r="R1054">
        <f>IF(Q1054="","",IF(R1053="",Q1054,Q1054*0.2000000000+R1053*0.8000000000))</f>
        <v>0</v>
      </c>
      <c r="S1054">
        <f>IF(OR(Q1054="",R1054=""),"",Q1054-R1054)</f>
        <v>0</v>
      </c>
      <c r="T1054">
        <f>IF(COUNT($E$2:$E1054)&lt;14,"",MAX($C$1041:$C$1054))</f>
        <v>0</v>
      </c>
      <c r="U1054">
        <f>IF(COUNT($E$2:$E1054)&lt;14,"",MIN($D$1041:$D$1054))</f>
        <v>0</v>
      </c>
      <c r="V1054">
        <f>IF(OR(T1054="",U1054="",T1054=U1054),"",100*($E1054-U1054)/(T1054-U1054))</f>
        <v>0</v>
      </c>
      <c r="W1054">
        <f>IF(COUNT($V$1052:$V$1054)&lt;3,"",AVERAGE($V$1052:$V$1054))</f>
        <v>0</v>
      </c>
      <c r="X1054">
        <f>IF(COUNT($N$1041:$N$1054)&lt;14,"",MIN($N$1041:$N$1054))</f>
        <v>0</v>
      </c>
      <c r="Y1054">
        <f>IF(COUNT($N$1041:$N$1054)&lt;14,"",MAX($N$1041:$N$1054))</f>
        <v>0</v>
      </c>
      <c r="Z1054">
        <f>IF(OR(N1054="",X1054="",Y1054="",Y1054=X1054),"",100*(N1054-X1054)/(Y1054-X1054))</f>
        <v>0</v>
      </c>
      <c r="AA1054">
        <f>IF(COUNT($Z$1052:$Z$1054)&lt;3,"",AVERAGE($Z$1052:$Z$1054))</f>
        <v>0</v>
      </c>
      <c r="AB1054">
        <f>IF(COUNT($AA$1052:$AA$1054)&lt;3,"",AVERAGE($AA$1052:$AA$1054))</f>
        <v>0</v>
      </c>
      <c r="AC1054">
        <f>IF($E1054="","",MAX($C1054-$D1054,ABS($C1054-$E1053),ABS($D1054-$E1053)))</f>
        <v>0</v>
      </c>
      <c r="AD1054">
        <f>IF(COUNT($E$2:$E1054)&lt;15,"",AVERAGE($AC$1041:$AC$1054))</f>
        <v>0</v>
      </c>
      <c r="AE1054">
        <f>IF(OR($E1054="",$E1053=""),"",IF(AND(($C1054-$C1053)&gt;($D1053-$D1054),($C1054-$C1053)&gt;0),$C1054-$C1053,0))</f>
        <v>0</v>
      </c>
      <c r="AF1054">
        <f>IF(OR($E1054="",$E1053=""),"",IF(AND(($D1053-$D1054)&gt;($C1054-$C1053),($D1053-$D1054)&gt;0),$D1053-$D1054,0))</f>
        <v>0</v>
      </c>
      <c r="AG1054">
        <f>IF(COUNT($E$2:$E1054)&lt;15,"",IF(SUM($AC$1041:$AC$1054)=0,0,100*SUM($AE$1041:$AE$1054)/SUM($AC$1041:$AC$1054)))</f>
        <v>0</v>
      </c>
      <c r="AH1054">
        <f>IF(COUNT($E$2:$E1054)&lt;15,"",IF(SUM($AC$1041:$AC$1054)=0,0,100*SUM($AF$1041:$AF$1054)/SUM($AC$1041:$AC$1054)))</f>
        <v>0</v>
      </c>
      <c r="AI1054">
        <f>IF(OR(AG1054="",AH1054=""),"",IF((AG1054+AH1054)=0,0,100*ABS(AG1054-AH1054)/(AG1054+AH1054)))</f>
        <v>0</v>
      </c>
      <c r="AJ1054">
        <f>IF(COUNT($AI$1041:$AI$1054)&lt;14,"",AVERAGE($AI$1041:$AI$1054))</f>
        <v>0</v>
      </c>
      <c r="AK1054">
        <f>IF(COUNT($E$2:$E1054)&lt;20,"",AVERAGE($E$1035:$E$1054))</f>
        <v>0</v>
      </c>
      <c r="AL1054">
        <f>IF(COUNT($E$2:$E1054)&lt;20,"",STDEVP($E$1035:$E$1054))</f>
        <v>0</v>
      </c>
      <c r="AM1054">
        <f>IF(AK1054="","",AK1054+2*AL1054)</f>
        <v>0</v>
      </c>
      <c r="AN1054">
        <f>IF(AK1054="","",AK1054-2*AL1054)</f>
        <v>0</v>
      </c>
      <c r="AO1054">
        <f>IF(OR(AM1054="",AN1054="",AM1054=AN1054),"",($E1054-AN1054)/(AM1054-AN1054))</f>
        <v>0</v>
      </c>
      <c r="AP1054">
        <f>IF(OR(AM1054="",AK1054="",AK1054=0),"",(AM1054-AN1054)/AK1054)</f>
        <v>0</v>
      </c>
      <c r="AQ1054">
        <f>IF(COUNT($E$2:$E1054)&lt;20,"",MAX($C$1035:$C$1054))</f>
        <v>0</v>
      </c>
      <c r="AR1054">
        <f>IF(COUNT($E$2:$E1054)&lt;20,"",MIN($D$1035:$D$1054))</f>
        <v>0</v>
      </c>
      <c r="AS1054">
        <f>IF(OR(AQ1054="",AR1054=""),"",(AQ1054+AR1054)/2)</f>
        <v>0</v>
      </c>
      <c r="AT1054">
        <f>IF(COUNT($G$1035:$G$1054)&lt;20,"",STDEV($G$1035:$G$1054)*SQRT(252))</f>
        <v>0</v>
      </c>
      <c r="AU1054">
        <f>IF(COUNT($E$2:$E1054)&lt;9,"",(MAX($C$1046:$C$1054)+MIN($D$1046:$D$1054))/2)</f>
        <v>0</v>
      </c>
      <c r="AV1054">
        <f>IF(COUNT($E$2:$E1054)&lt;26,"",(MAX($C$1029:$C$1054)+MIN($D$1029:$D$1054))/2)</f>
        <v>0</v>
      </c>
      <c r="AW1054">
        <f>IF(OR(AU1054="",AV1054=""),"",(AU1054+AV1054)/2)</f>
        <v>0</v>
      </c>
      <c r="AX1054">
        <f>IF(COUNT($E$2:$E1054)&lt;52,"",(MAX($C$1003:$C$1054)+MIN($D$1003:$D$1054))/2)</f>
        <v>0</v>
      </c>
      <c r="AY1054">
        <f>IF(COUNT($E$2:$E1054)&lt;20,"",MAX($C$955:$C$1054))</f>
        <v>0</v>
      </c>
      <c r="AZ1054">
        <f>IF(COUNT($E$2:$E1054)&lt;20,"",MIN($D$955:$D$1054))</f>
        <v>0</v>
      </c>
      <c r="BA1054">
        <f>IF(COUNT($E$2:$E1054)&lt;20,"",SLOPE($E$955:$E$1054,$F$955:$F$1054))</f>
        <v>0</v>
      </c>
      <c r="BB1054">
        <f>IF(COUNT($E$2:$E1054)&lt;20,"",INTERCEPT($E$955:$E$1054,$F$955:$F$1054))</f>
        <v>0</v>
      </c>
      <c r="BC1054">
        <f>IF(OR(BA1054="",BB1054=""),"",BB1054+BA1054*F1054)</f>
        <v>0</v>
      </c>
      <c r="BD1054">
        <f>IF(COUNT($E$2:$E1054)&lt;20,"",STEYX($E$955:$E$1054,$F$955:$F$1054))</f>
        <v>0</v>
      </c>
      <c r="BE1054">
        <f>IF($E1054="","",IF(AND(COUNT($E$1055:$E$1058)&gt;=4,$C1054=MAX($C$1050:$C$1058)),$C1054,""))</f>
        <v>0</v>
      </c>
      <c r="BF1054">
        <f>IF($E1054="","",IF(AND(COUNT($E$1055:$E$1058)&gt;=4,$D1054=MIN($D$1050:$D$1058)),$D1054,""))</f>
        <v>0</v>
      </c>
      <c r="BG1054">
        <f>IF($A1054="","",$A1054-WEEKDAY($A1054,2)+1)</f>
        <v>0</v>
      </c>
      <c r="BH1054">
        <f>IF($A1054="","",IF($A1053="",1,IF(BG1054&lt;&gt;BG1053,1,0)))</f>
        <v>0</v>
      </c>
      <c r="BI1054">
        <f>IF($A1054="","",IF($A1055="",1,IF(BG1055&lt;&gt;BG1054,1,0)))</f>
        <v>0</v>
      </c>
      <c r="BJ1054">
        <f>IF($A1054="","",IF(BH1054=1,$B1054,BJ1053))</f>
        <v>0</v>
      </c>
      <c r="BK1054">
        <f>IF($A1054="","",IF(BH1054=1,$C1054,MAX($C1054,BK1053)))</f>
        <v>0</v>
      </c>
      <c r="BL1054">
        <f>IF($A1054="","",IF(BH1054=1,$D1054,MIN($D1054,BL1053)))</f>
        <v>0</v>
      </c>
      <c r="BM1054">
        <f>IF($A1054="","",IF(BI1054=1,F1054,""))</f>
        <v>0</v>
      </c>
      <c r="BN1054">
        <f>IF($A1054="","",DATE(YEAR($A1054),MONTH($A1054),1))</f>
        <v>0</v>
      </c>
      <c r="BO1054">
        <f>IF($A1054="","",IF($A1053="",1,IF(BN1054&lt;&gt;BN1053,1,0)))</f>
        <v>0</v>
      </c>
      <c r="BP1054">
        <f>IF($A1054="","",IF($A1055="",1,IF(BN1055&lt;&gt;BN1054,1,0)))</f>
        <v>0</v>
      </c>
      <c r="BQ1054">
        <f>IF($A1054="","",IF(BO1054=1,$B1054,BQ1053))</f>
        <v>0</v>
      </c>
      <c r="BR1054">
        <f>IF($A1054="","",IF(BO1054=1,$C1054,MAX($C1054,BR1053)))</f>
        <v>0</v>
      </c>
      <c r="BS1054">
        <f>IF($A1054="","",IF(BO1054=1,$D1054,MIN($D1054,BS1053)))</f>
        <v>0</v>
      </c>
      <c r="BT1054">
        <f>IF($A1054="","",IF(BP1054=1,F1054,""))</f>
        <v>0</v>
      </c>
    </row>
    <row r="1055" spans="1:72">
      <c r="A1055" s="27">
        <f>IF(Data!$A1055="","",Data!$A1055)</f>
        <v>0</v>
      </c>
      <c r="B1055">
        <f>IF(Data!$B1055="","",Data!$B1055)</f>
        <v>0</v>
      </c>
      <c r="C1055">
        <f>IF(Data!$C1055="","",Data!$C1055)</f>
        <v>0</v>
      </c>
      <c r="D1055">
        <f>IF(Data!$D1055="","",Data!$D1055)</f>
        <v>0</v>
      </c>
      <c r="E1055">
        <f>IF(Data!$E1055="","",Data!$E1055)</f>
        <v>0</v>
      </c>
      <c r="F1055">
        <f>IF($E1055="","",N(F1054)+1)</f>
        <v>0</v>
      </c>
      <c r="G1055">
        <f>IF(OR($E1055="",$E1054=""),"",LN($E1055/$E1054))</f>
        <v>0</v>
      </c>
      <c r="H1055">
        <f>IF($E1055="","",IF($E1054="",$E1055,$E1055*0.0952380952+H1054*0.9047619048))</f>
        <v>0</v>
      </c>
      <c r="I1055">
        <f>IF($E1055="","",IF($E1054="",$E1055,$E1055*0.0392156863+I1054*0.9607843137))</f>
        <v>0</v>
      </c>
      <c r="J1055">
        <f>IF($E1055="","",IF($E1054="",$E1055,$E1055*0.0198019802+J1054*0.9801980198))</f>
        <v>0</v>
      </c>
      <c r="K1055">
        <f>IF($E1055="","",IF($E1054="",$E1055,$E1055*0.0099502488+K1054*0.9900497512))</f>
        <v>0</v>
      </c>
      <c r="L1055">
        <f>IF(OR($E1055="",$E1054=""),"",MAX($E1055-$E1054,0))</f>
        <v>0</v>
      </c>
      <c r="M1055">
        <f>IF(OR($E1055="",$E1054=""),"",MAX($E1054-$E1055,0))</f>
        <v>0</v>
      </c>
      <c r="N1055">
        <f>IF(COUNT($E$2:$E1055)&lt;15,"",IF(AVERAGE($M$1042:$M$1055)=0,100,100-100/(1+AVERAGE($L$1042:$L$1055)/AVERAGE($M$1042:$M$1055))))</f>
        <v>0</v>
      </c>
      <c r="O1055">
        <f>IF($E1055="","",IF($E1054="",$E1055,$E1055*0.1538461538+O1054*0.8461538462))</f>
        <v>0</v>
      </c>
      <c r="P1055">
        <f>IF($E1055="","",IF($E1054="",$E1055,$E1055*0.0740740741+P1054*0.9259259259))</f>
        <v>0</v>
      </c>
      <c r="Q1055">
        <f>IF(OR(O1055="",P1055=""),"",O1055-P1055)</f>
        <v>0</v>
      </c>
      <c r="R1055">
        <f>IF(Q1055="","",IF(R1054="",Q1055,Q1055*0.2000000000+R1054*0.8000000000))</f>
        <v>0</v>
      </c>
      <c r="S1055">
        <f>IF(OR(Q1055="",R1055=""),"",Q1055-R1055)</f>
        <v>0</v>
      </c>
      <c r="T1055">
        <f>IF(COUNT($E$2:$E1055)&lt;14,"",MAX($C$1042:$C$1055))</f>
        <v>0</v>
      </c>
      <c r="U1055">
        <f>IF(COUNT($E$2:$E1055)&lt;14,"",MIN($D$1042:$D$1055))</f>
        <v>0</v>
      </c>
      <c r="V1055">
        <f>IF(OR(T1055="",U1055="",T1055=U1055),"",100*($E1055-U1055)/(T1055-U1055))</f>
        <v>0</v>
      </c>
      <c r="W1055">
        <f>IF(COUNT($V$1053:$V$1055)&lt;3,"",AVERAGE($V$1053:$V$1055))</f>
        <v>0</v>
      </c>
      <c r="X1055">
        <f>IF(COUNT($N$1042:$N$1055)&lt;14,"",MIN($N$1042:$N$1055))</f>
        <v>0</v>
      </c>
      <c r="Y1055">
        <f>IF(COUNT($N$1042:$N$1055)&lt;14,"",MAX($N$1042:$N$1055))</f>
        <v>0</v>
      </c>
      <c r="Z1055">
        <f>IF(OR(N1055="",X1055="",Y1055="",Y1055=X1055),"",100*(N1055-X1055)/(Y1055-X1055))</f>
        <v>0</v>
      </c>
      <c r="AA1055">
        <f>IF(COUNT($Z$1053:$Z$1055)&lt;3,"",AVERAGE($Z$1053:$Z$1055))</f>
        <v>0</v>
      </c>
      <c r="AB1055">
        <f>IF(COUNT($AA$1053:$AA$1055)&lt;3,"",AVERAGE($AA$1053:$AA$1055))</f>
        <v>0</v>
      </c>
      <c r="AC1055">
        <f>IF($E1055="","",MAX($C1055-$D1055,ABS($C1055-$E1054),ABS($D1055-$E1054)))</f>
        <v>0</v>
      </c>
      <c r="AD1055">
        <f>IF(COUNT($E$2:$E1055)&lt;15,"",AVERAGE($AC$1042:$AC$1055))</f>
        <v>0</v>
      </c>
      <c r="AE1055">
        <f>IF(OR($E1055="",$E1054=""),"",IF(AND(($C1055-$C1054)&gt;($D1054-$D1055),($C1055-$C1054)&gt;0),$C1055-$C1054,0))</f>
        <v>0</v>
      </c>
      <c r="AF1055">
        <f>IF(OR($E1055="",$E1054=""),"",IF(AND(($D1054-$D1055)&gt;($C1055-$C1054),($D1054-$D1055)&gt;0),$D1054-$D1055,0))</f>
        <v>0</v>
      </c>
      <c r="AG1055">
        <f>IF(COUNT($E$2:$E1055)&lt;15,"",IF(SUM($AC$1042:$AC$1055)=0,0,100*SUM($AE$1042:$AE$1055)/SUM($AC$1042:$AC$1055)))</f>
        <v>0</v>
      </c>
      <c r="AH1055">
        <f>IF(COUNT($E$2:$E1055)&lt;15,"",IF(SUM($AC$1042:$AC$1055)=0,0,100*SUM($AF$1042:$AF$1055)/SUM($AC$1042:$AC$1055)))</f>
        <v>0</v>
      </c>
      <c r="AI1055">
        <f>IF(OR(AG1055="",AH1055=""),"",IF((AG1055+AH1055)=0,0,100*ABS(AG1055-AH1055)/(AG1055+AH1055)))</f>
        <v>0</v>
      </c>
      <c r="AJ1055">
        <f>IF(COUNT($AI$1042:$AI$1055)&lt;14,"",AVERAGE($AI$1042:$AI$1055))</f>
        <v>0</v>
      </c>
      <c r="AK1055">
        <f>IF(COUNT($E$2:$E1055)&lt;20,"",AVERAGE($E$1036:$E$1055))</f>
        <v>0</v>
      </c>
      <c r="AL1055">
        <f>IF(COUNT($E$2:$E1055)&lt;20,"",STDEVP($E$1036:$E$1055))</f>
        <v>0</v>
      </c>
      <c r="AM1055">
        <f>IF(AK1055="","",AK1055+2*AL1055)</f>
        <v>0</v>
      </c>
      <c r="AN1055">
        <f>IF(AK1055="","",AK1055-2*AL1055)</f>
        <v>0</v>
      </c>
      <c r="AO1055">
        <f>IF(OR(AM1055="",AN1055="",AM1055=AN1055),"",($E1055-AN1055)/(AM1055-AN1055))</f>
        <v>0</v>
      </c>
      <c r="AP1055">
        <f>IF(OR(AM1055="",AK1055="",AK1055=0),"",(AM1055-AN1055)/AK1055)</f>
        <v>0</v>
      </c>
      <c r="AQ1055">
        <f>IF(COUNT($E$2:$E1055)&lt;20,"",MAX($C$1036:$C$1055))</f>
        <v>0</v>
      </c>
      <c r="AR1055">
        <f>IF(COUNT($E$2:$E1055)&lt;20,"",MIN($D$1036:$D$1055))</f>
        <v>0</v>
      </c>
      <c r="AS1055">
        <f>IF(OR(AQ1055="",AR1055=""),"",(AQ1055+AR1055)/2)</f>
        <v>0</v>
      </c>
      <c r="AT1055">
        <f>IF(COUNT($G$1036:$G$1055)&lt;20,"",STDEV($G$1036:$G$1055)*SQRT(252))</f>
        <v>0</v>
      </c>
      <c r="AU1055">
        <f>IF(COUNT($E$2:$E1055)&lt;9,"",(MAX($C$1047:$C$1055)+MIN($D$1047:$D$1055))/2)</f>
        <v>0</v>
      </c>
      <c r="AV1055">
        <f>IF(COUNT($E$2:$E1055)&lt;26,"",(MAX($C$1030:$C$1055)+MIN($D$1030:$D$1055))/2)</f>
        <v>0</v>
      </c>
      <c r="AW1055">
        <f>IF(OR(AU1055="",AV1055=""),"",(AU1055+AV1055)/2)</f>
        <v>0</v>
      </c>
      <c r="AX1055">
        <f>IF(COUNT($E$2:$E1055)&lt;52,"",(MAX($C$1004:$C$1055)+MIN($D$1004:$D$1055))/2)</f>
        <v>0</v>
      </c>
      <c r="AY1055">
        <f>IF(COUNT($E$2:$E1055)&lt;20,"",MAX($C$956:$C$1055))</f>
        <v>0</v>
      </c>
      <c r="AZ1055">
        <f>IF(COUNT($E$2:$E1055)&lt;20,"",MIN($D$956:$D$1055))</f>
        <v>0</v>
      </c>
      <c r="BA1055">
        <f>IF(COUNT($E$2:$E1055)&lt;20,"",SLOPE($E$956:$E$1055,$F$956:$F$1055))</f>
        <v>0</v>
      </c>
      <c r="BB1055">
        <f>IF(COUNT($E$2:$E1055)&lt;20,"",INTERCEPT($E$956:$E$1055,$F$956:$F$1055))</f>
        <v>0</v>
      </c>
      <c r="BC1055">
        <f>IF(OR(BA1055="",BB1055=""),"",BB1055+BA1055*F1055)</f>
        <v>0</v>
      </c>
      <c r="BD1055">
        <f>IF(COUNT($E$2:$E1055)&lt;20,"",STEYX($E$956:$E$1055,$F$956:$F$1055))</f>
        <v>0</v>
      </c>
      <c r="BE1055">
        <f>IF($E1055="","",IF(AND(COUNT($E$1056:$E$1059)&gt;=4,$C1055=MAX($C$1051:$C$1059)),$C1055,""))</f>
        <v>0</v>
      </c>
      <c r="BF1055">
        <f>IF($E1055="","",IF(AND(COUNT($E$1056:$E$1059)&gt;=4,$D1055=MIN($D$1051:$D$1059)),$D1055,""))</f>
        <v>0</v>
      </c>
      <c r="BG1055">
        <f>IF($A1055="","",$A1055-WEEKDAY($A1055,2)+1)</f>
        <v>0</v>
      </c>
      <c r="BH1055">
        <f>IF($A1055="","",IF($A1054="",1,IF(BG1055&lt;&gt;BG1054,1,0)))</f>
        <v>0</v>
      </c>
      <c r="BI1055">
        <f>IF($A1055="","",IF($A1056="",1,IF(BG1056&lt;&gt;BG1055,1,0)))</f>
        <v>0</v>
      </c>
      <c r="BJ1055">
        <f>IF($A1055="","",IF(BH1055=1,$B1055,BJ1054))</f>
        <v>0</v>
      </c>
      <c r="BK1055">
        <f>IF($A1055="","",IF(BH1055=1,$C1055,MAX($C1055,BK1054)))</f>
        <v>0</v>
      </c>
      <c r="BL1055">
        <f>IF($A1055="","",IF(BH1055=1,$D1055,MIN($D1055,BL1054)))</f>
        <v>0</v>
      </c>
      <c r="BM1055">
        <f>IF($A1055="","",IF(BI1055=1,F1055,""))</f>
        <v>0</v>
      </c>
      <c r="BN1055">
        <f>IF($A1055="","",DATE(YEAR($A1055),MONTH($A1055),1))</f>
        <v>0</v>
      </c>
      <c r="BO1055">
        <f>IF($A1055="","",IF($A1054="",1,IF(BN1055&lt;&gt;BN1054,1,0)))</f>
        <v>0</v>
      </c>
      <c r="BP1055">
        <f>IF($A1055="","",IF($A1056="",1,IF(BN1056&lt;&gt;BN1055,1,0)))</f>
        <v>0</v>
      </c>
      <c r="BQ1055">
        <f>IF($A1055="","",IF(BO1055=1,$B1055,BQ1054))</f>
        <v>0</v>
      </c>
      <c r="BR1055">
        <f>IF($A1055="","",IF(BO1055=1,$C1055,MAX($C1055,BR1054)))</f>
        <v>0</v>
      </c>
      <c r="BS1055">
        <f>IF($A1055="","",IF(BO1055=1,$D1055,MIN($D1055,BS1054)))</f>
        <v>0</v>
      </c>
      <c r="BT1055">
        <f>IF($A1055="","",IF(BP1055=1,F1055,""))</f>
        <v>0</v>
      </c>
    </row>
    <row r="1056" spans="1:72">
      <c r="A1056" s="27">
        <f>IF(Data!$A1056="","",Data!$A1056)</f>
        <v>0</v>
      </c>
      <c r="B1056">
        <f>IF(Data!$B1056="","",Data!$B1056)</f>
        <v>0</v>
      </c>
      <c r="C1056">
        <f>IF(Data!$C1056="","",Data!$C1056)</f>
        <v>0</v>
      </c>
      <c r="D1056">
        <f>IF(Data!$D1056="","",Data!$D1056)</f>
        <v>0</v>
      </c>
      <c r="E1056">
        <f>IF(Data!$E1056="","",Data!$E1056)</f>
        <v>0</v>
      </c>
      <c r="F1056">
        <f>IF($E1056="","",N(F1055)+1)</f>
        <v>0</v>
      </c>
      <c r="G1056">
        <f>IF(OR($E1056="",$E1055=""),"",LN($E1056/$E1055))</f>
        <v>0</v>
      </c>
      <c r="H1056">
        <f>IF($E1056="","",IF($E1055="",$E1056,$E1056*0.0952380952+H1055*0.9047619048))</f>
        <v>0</v>
      </c>
      <c r="I1056">
        <f>IF($E1056="","",IF($E1055="",$E1056,$E1056*0.0392156863+I1055*0.9607843137))</f>
        <v>0</v>
      </c>
      <c r="J1056">
        <f>IF($E1056="","",IF($E1055="",$E1056,$E1056*0.0198019802+J1055*0.9801980198))</f>
        <v>0</v>
      </c>
      <c r="K1056">
        <f>IF($E1056="","",IF($E1055="",$E1056,$E1056*0.0099502488+K1055*0.9900497512))</f>
        <v>0</v>
      </c>
      <c r="L1056">
        <f>IF(OR($E1056="",$E1055=""),"",MAX($E1056-$E1055,0))</f>
        <v>0</v>
      </c>
      <c r="M1056">
        <f>IF(OR($E1056="",$E1055=""),"",MAX($E1055-$E1056,0))</f>
        <v>0</v>
      </c>
      <c r="N1056">
        <f>IF(COUNT($E$2:$E1056)&lt;15,"",IF(AVERAGE($M$1043:$M$1056)=0,100,100-100/(1+AVERAGE($L$1043:$L$1056)/AVERAGE($M$1043:$M$1056))))</f>
        <v>0</v>
      </c>
      <c r="O1056">
        <f>IF($E1056="","",IF($E1055="",$E1056,$E1056*0.1538461538+O1055*0.8461538462))</f>
        <v>0</v>
      </c>
      <c r="P1056">
        <f>IF($E1056="","",IF($E1055="",$E1056,$E1056*0.0740740741+P1055*0.9259259259))</f>
        <v>0</v>
      </c>
      <c r="Q1056">
        <f>IF(OR(O1056="",P1056=""),"",O1056-P1056)</f>
        <v>0</v>
      </c>
      <c r="R1056">
        <f>IF(Q1056="","",IF(R1055="",Q1056,Q1056*0.2000000000+R1055*0.8000000000))</f>
        <v>0</v>
      </c>
      <c r="S1056">
        <f>IF(OR(Q1056="",R1056=""),"",Q1056-R1056)</f>
        <v>0</v>
      </c>
      <c r="T1056">
        <f>IF(COUNT($E$2:$E1056)&lt;14,"",MAX($C$1043:$C$1056))</f>
        <v>0</v>
      </c>
      <c r="U1056">
        <f>IF(COUNT($E$2:$E1056)&lt;14,"",MIN($D$1043:$D$1056))</f>
        <v>0</v>
      </c>
      <c r="V1056">
        <f>IF(OR(T1056="",U1056="",T1056=U1056),"",100*($E1056-U1056)/(T1056-U1056))</f>
        <v>0</v>
      </c>
      <c r="W1056">
        <f>IF(COUNT($V$1054:$V$1056)&lt;3,"",AVERAGE($V$1054:$V$1056))</f>
        <v>0</v>
      </c>
      <c r="X1056">
        <f>IF(COUNT($N$1043:$N$1056)&lt;14,"",MIN($N$1043:$N$1056))</f>
        <v>0</v>
      </c>
      <c r="Y1056">
        <f>IF(COUNT($N$1043:$N$1056)&lt;14,"",MAX($N$1043:$N$1056))</f>
        <v>0</v>
      </c>
      <c r="Z1056">
        <f>IF(OR(N1056="",X1056="",Y1056="",Y1056=X1056),"",100*(N1056-X1056)/(Y1056-X1056))</f>
        <v>0</v>
      </c>
      <c r="AA1056">
        <f>IF(COUNT($Z$1054:$Z$1056)&lt;3,"",AVERAGE($Z$1054:$Z$1056))</f>
        <v>0</v>
      </c>
      <c r="AB1056">
        <f>IF(COUNT($AA$1054:$AA$1056)&lt;3,"",AVERAGE($AA$1054:$AA$1056))</f>
        <v>0</v>
      </c>
      <c r="AC1056">
        <f>IF($E1056="","",MAX($C1056-$D1056,ABS($C1056-$E1055),ABS($D1056-$E1055)))</f>
        <v>0</v>
      </c>
      <c r="AD1056">
        <f>IF(COUNT($E$2:$E1056)&lt;15,"",AVERAGE($AC$1043:$AC$1056))</f>
        <v>0</v>
      </c>
      <c r="AE1056">
        <f>IF(OR($E1056="",$E1055=""),"",IF(AND(($C1056-$C1055)&gt;($D1055-$D1056),($C1056-$C1055)&gt;0),$C1056-$C1055,0))</f>
        <v>0</v>
      </c>
      <c r="AF1056">
        <f>IF(OR($E1056="",$E1055=""),"",IF(AND(($D1055-$D1056)&gt;($C1056-$C1055),($D1055-$D1056)&gt;0),$D1055-$D1056,0))</f>
        <v>0</v>
      </c>
      <c r="AG1056">
        <f>IF(COUNT($E$2:$E1056)&lt;15,"",IF(SUM($AC$1043:$AC$1056)=0,0,100*SUM($AE$1043:$AE$1056)/SUM($AC$1043:$AC$1056)))</f>
        <v>0</v>
      </c>
      <c r="AH1056">
        <f>IF(COUNT($E$2:$E1056)&lt;15,"",IF(SUM($AC$1043:$AC$1056)=0,0,100*SUM($AF$1043:$AF$1056)/SUM($AC$1043:$AC$1056)))</f>
        <v>0</v>
      </c>
      <c r="AI1056">
        <f>IF(OR(AG1056="",AH1056=""),"",IF((AG1056+AH1056)=0,0,100*ABS(AG1056-AH1056)/(AG1056+AH1056)))</f>
        <v>0</v>
      </c>
      <c r="AJ1056">
        <f>IF(COUNT($AI$1043:$AI$1056)&lt;14,"",AVERAGE($AI$1043:$AI$1056))</f>
        <v>0</v>
      </c>
      <c r="AK1056">
        <f>IF(COUNT($E$2:$E1056)&lt;20,"",AVERAGE($E$1037:$E$1056))</f>
        <v>0</v>
      </c>
      <c r="AL1056">
        <f>IF(COUNT($E$2:$E1056)&lt;20,"",STDEVP($E$1037:$E$1056))</f>
        <v>0</v>
      </c>
      <c r="AM1056">
        <f>IF(AK1056="","",AK1056+2*AL1056)</f>
        <v>0</v>
      </c>
      <c r="AN1056">
        <f>IF(AK1056="","",AK1056-2*AL1056)</f>
        <v>0</v>
      </c>
      <c r="AO1056">
        <f>IF(OR(AM1056="",AN1056="",AM1056=AN1056),"",($E1056-AN1056)/(AM1056-AN1056))</f>
        <v>0</v>
      </c>
      <c r="AP1056">
        <f>IF(OR(AM1056="",AK1056="",AK1056=0),"",(AM1056-AN1056)/AK1056)</f>
        <v>0</v>
      </c>
      <c r="AQ1056">
        <f>IF(COUNT($E$2:$E1056)&lt;20,"",MAX($C$1037:$C$1056))</f>
        <v>0</v>
      </c>
      <c r="AR1056">
        <f>IF(COUNT($E$2:$E1056)&lt;20,"",MIN($D$1037:$D$1056))</f>
        <v>0</v>
      </c>
      <c r="AS1056">
        <f>IF(OR(AQ1056="",AR1056=""),"",(AQ1056+AR1056)/2)</f>
        <v>0</v>
      </c>
      <c r="AT1056">
        <f>IF(COUNT($G$1037:$G$1056)&lt;20,"",STDEV($G$1037:$G$1056)*SQRT(252))</f>
        <v>0</v>
      </c>
      <c r="AU1056">
        <f>IF(COUNT($E$2:$E1056)&lt;9,"",(MAX($C$1048:$C$1056)+MIN($D$1048:$D$1056))/2)</f>
        <v>0</v>
      </c>
      <c r="AV1056">
        <f>IF(COUNT($E$2:$E1056)&lt;26,"",(MAX($C$1031:$C$1056)+MIN($D$1031:$D$1056))/2)</f>
        <v>0</v>
      </c>
      <c r="AW1056">
        <f>IF(OR(AU1056="",AV1056=""),"",(AU1056+AV1056)/2)</f>
        <v>0</v>
      </c>
      <c r="AX1056">
        <f>IF(COUNT($E$2:$E1056)&lt;52,"",(MAX($C$1005:$C$1056)+MIN($D$1005:$D$1056))/2)</f>
        <v>0</v>
      </c>
      <c r="AY1056">
        <f>IF(COUNT($E$2:$E1056)&lt;20,"",MAX($C$957:$C$1056))</f>
        <v>0</v>
      </c>
      <c r="AZ1056">
        <f>IF(COUNT($E$2:$E1056)&lt;20,"",MIN($D$957:$D$1056))</f>
        <v>0</v>
      </c>
      <c r="BA1056">
        <f>IF(COUNT($E$2:$E1056)&lt;20,"",SLOPE($E$957:$E$1056,$F$957:$F$1056))</f>
        <v>0</v>
      </c>
      <c r="BB1056">
        <f>IF(COUNT($E$2:$E1056)&lt;20,"",INTERCEPT($E$957:$E$1056,$F$957:$F$1056))</f>
        <v>0</v>
      </c>
      <c r="BC1056">
        <f>IF(OR(BA1056="",BB1056=""),"",BB1056+BA1056*F1056)</f>
        <v>0</v>
      </c>
      <c r="BD1056">
        <f>IF(COUNT($E$2:$E1056)&lt;20,"",STEYX($E$957:$E$1056,$F$957:$F$1056))</f>
        <v>0</v>
      </c>
      <c r="BE1056">
        <f>IF($E1056="","",IF(AND(COUNT($E$1057:$E$1060)&gt;=4,$C1056=MAX($C$1052:$C$1060)),$C1056,""))</f>
        <v>0</v>
      </c>
      <c r="BF1056">
        <f>IF($E1056="","",IF(AND(COUNT($E$1057:$E$1060)&gt;=4,$D1056=MIN($D$1052:$D$1060)),$D1056,""))</f>
        <v>0</v>
      </c>
      <c r="BG1056">
        <f>IF($A1056="","",$A1056-WEEKDAY($A1056,2)+1)</f>
        <v>0</v>
      </c>
      <c r="BH1056">
        <f>IF($A1056="","",IF($A1055="",1,IF(BG1056&lt;&gt;BG1055,1,0)))</f>
        <v>0</v>
      </c>
      <c r="BI1056">
        <f>IF($A1056="","",IF($A1057="",1,IF(BG1057&lt;&gt;BG1056,1,0)))</f>
        <v>0</v>
      </c>
      <c r="BJ1056">
        <f>IF($A1056="","",IF(BH1056=1,$B1056,BJ1055))</f>
        <v>0</v>
      </c>
      <c r="BK1056">
        <f>IF($A1056="","",IF(BH1056=1,$C1056,MAX($C1056,BK1055)))</f>
        <v>0</v>
      </c>
      <c r="BL1056">
        <f>IF($A1056="","",IF(BH1056=1,$D1056,MIN($D1056,BL1055)))</f>
        <v>0</v>
      </c>
      <c r="BM1056">
        <f>IF($A1056="","",IF(BI1056=1,F1056,""))</f>
        <v>0</v>
      </c>
      <c r="BN1056">
        <f>IF($A1056="","",DATE(YEAR($A1056),MONTH($A1056),1))</f>
        <v>0</v>
      </c>
      <c r="BO1056">
        <f>IF($A1056="","",IF($A1055="",1,IF(BN1056&lt;&gt;BN1055,1,0)))</f>
        <v>0</v>
      </c>
      <c r="BP1056">
        <f>IF($A1056="","",IF($A1057="",1,IF(BN1057&lt;&gt;BN1056,1,0)))</f>
        <v>0</v>
      </c>
      <c r="BQ1056">
        <f>IF($A1056="","",IF(BO1056=1,$B1056,BQ1055))</f>
        <v>0</v>
      </c>
      <c r="BR1056">
        <f>IF($A1056="","",IF(BO1056=1,$C1056,MAX($C1056,BR1055)))</f>
        <v>0</v>
      </c>
      <c r="BS1056">
        <f>IF($A1056="","",IF(BO1056=1,$D1056,MIN($D1056,BS1055)))</f>
        <v>0</v>
      </c>
      <c r="BT1056">
        <f>IF($A1056="","",IF(BP1056=1,F1056,""))</f>
        <v>0</v>
      </c>
    </row>
    <row r="1057" spans="1:72">
      <c r="A1057" s="27">
        <f>IF(Data!$A1057="","",Data!$A1057)</f>
        <v>0</v>
      </c>
      <c r="B1057">
        <f>IF(Data!$B1057="","",Data!$B1057)</f>
        <v>0</v>
      </c>
      <c r="C1057">
        <f>IF(Data!$C1057="","",Data!$C1057)</f>
        <v>0</v>
      </c>
      <c r="D1057">
        <f>IF(Data!$D1057="","",Data!$D1057)</f>
        <v>0</v>
      </c>
      <c r="E1057">
        <f>IF(Data!$E1057="","",Data!$E1057)</f>
        <v>0</v>
      </c>
      <c r="F1057">
        <f>IF($E1057="","",N(F1056)+1)</f>
        <v>0</v>
      </c>
      <c r="G1057">
        <f>IF(OR($E1057="",$E1056=""),"",LN($E1057/$E1056))</f>
        <v>0</v>
      </c>
      <c r="H1057">
        <f>IF($E1057="","",IF($E1056="",$E1057,$E1057*0.0952380952+H1056*0.9047619048))</f>
        <v>0</v>
      </c>
      <c r="I1057">
        <f>IF($E1057="","",IF($E1056="",$E1057,$E1057*0.0392156863+I1056*0.9607843137))</f>
        <v>0</v>
      </c>
      <c r="J1057">
        <f>IF($E1057="","",IF($E1056="",$E1057,$E1057*0.0198019802+J1056*0.9801980198))</f>
        <v>0</v>
      </c>
      <c r="K1057">
        <f>IF($E1057="","",IF($E1056="",$E1057,$E1057*0.0099502488+K1056*0.9900497512))</f>
        <v>0</v>
      </c>
      <c r="L1057">
        <f>IF(OR($E1057="",$E1056=""),"",MAX($E1057-$E1056,0))</f>
        <v>0</v>
      </c>
      <c r="M1057">
        <f>IF(OR($E1057="",$E1056=""),"",MAX($E1056-$E1057,0))</f>
        <v>0</v>
      </c>
      <c r="N1057">
        <f>IF(COUNT($E$2:$E1057)&lt;15,"",IF(AVERAGE($M$1044:$M$1057)=0,100,100-100/(1+AVERAGE($L$1044:$L$1057)/AVERAGE($M$1044:$M$1057))))</f>
        <v>0</v>
      </c>
      <c r="O1057">
        <f>IF($E1057="","",IF($E1056="",$E1057,$E1057*0.1538461538+O1056*0.8461538462))</f>
        <v>0</v>
      </c>
      <c r="P1057">
        <f>IF($E1057="","",IF($E1056="",$E1057,$E1057*0.0740740741+P1056*0.9259259259))</f>
        <v>0</v>
      </c>
      <c r="Q1057">
        <f>IF(OR(O1057="",P1057=""),"",O1057-P1057)</f>
        <v>0</v>
      </c>
      <c r="R1057">
        <f>IF(Q1057="","",IF(R1056="",Q1057,Q1057*0.2000000000+R1056*0.8000000000))</f>
        <v>0</v>
      </c>
      <c r="S1057">
        <f>IF(OR(Q1057="",R1057=""),"",Q1057-R1057)</f>
        <v>0</v>
      </c>
      <c r="T1057">
        <f>IF(COUNT($E$2:$E1057)&lt;14,"",MAX($C$1044:$C$1057))</f>
        <v>0</v>
      </c>
      <c r="U1057">
        <f>IF(COUNT($E$2:$E1057)&lt;14,"",MIN($D$1044:$D$1057))</f>
        <v>0</v>
      </c>
      <c r="V1057">
        <f>IF(OR(T1057="",U1057="",T1057=U1057),"",100*($E1057-U1057)/(T1057-U1057))</f>
        <v>0</v>
      </c>
      <c r="W1057">
        <f>IF(COUNT($V$1055:$V$1057)&lt;3,"",AVERAGE($V$1055:$V$1057))</f>
        <v>0</v>
      </c>
      <c r="X1057">
        <f>IF(COUNT($N$1044:$N$1057)&lt;14,"",MIN($N$1044:$N$1057))</f>
        <v>0</v>
      </c>
      <c r="Y1057">
        <f>IF(COUNT($N$1044:$N$1057)&lt;14,"",MAX($N$1044:$N$1057))</f>
        <v>0</v>
      </c>
      <c r="Z1057">
        <f>IF(OR(N1057="",X1057="",Y1057="",Y1057=X1057),"",100*(N1057-X1057)/(Y1057-X1057))</f>
        <v>0</v>
      </c>
      <c r="AA1057">
        <f>IF(COUNT($Z$1055:$Z$1057)&lt;3,"",AVERAGE($Z$1055:$Z$1057))</f>
        <v>0</v>
      </c>
      <c r="AB1057">
        <f>IF(COUNT($AA$1055:$AA$1057)&lt;3,"",AVERAGE($AA$1055:$AA$1057))</f>
        <v>0</v>
      </c>
      <c r="AC1057">
        <f>IF($E1057="","",MAX($C1057-$D1057,ABS($C1057-$E1056),ABS($D1057-$E1056)))</f>
        <v>0</v>
      </c>
      <c r="AD1057">
        <f>IF(COUNT($E$2:$E1057)&lt;15,"",AVERAGE($AC$1044:$AC$1057))</f>
        <v>0</v>
      </c>
      <c r="AE1057">
        <f>IF(OR($E1057="",$E1056=""),"",IF(AND(($C1057-$C1056)&gt;($D1056-$D1057),($C1057-$C1056)&gt;0),$C1057-$C1056,0))</f>
        <v>0</v>
      </c>
      <c r="AF1057">
        <f>IF(OR($E1057="",$E1056=""),"",IF(AND(($D1056-$D1057)&gt;($C1057-$C1056),($D1056-$D1057)&gt;0),$D1056-$D1057,0))</f>
        <v>0</v>
      </c>
      <c r="AG1057">
        <f>IF(COUNT($E$2:$E1057)&lt;15,"",IF(SUM($AC$1044:$AC$1057)=0,0,100*SUM($AE$1044:$AE$1057)/SUM($AC$1044:$AC$1057)))</f>
        <v>0</v>
      </c>
      <c r="AH1057">
        <f>IF(COUNT($E$2:$E1057)&lt;15,"",IF(SUM($AC$1044:$AC$1057)=0,0,100*SUM($AF$1044:$AF$1057)/SUM($AC$1044:$AC$1057)))</f>
        <v>0</v>
      </c>
      <c r="AI1057">
        <f>IF(OR(AG1057="",AH1057=""),"",IF((AG1057+AH1057)=0,0,100*ABS(AG1057-AH1057)/(AG1057+AH1057)))</f>
        <v>0</v>
      </c>
      <c r="AJ1057">
        <f>IF(COUNT($AI$1044:$AI$1057)&lt;14,"",AVERAGE($AI$1044:$AI$1057))</f>
        <v>0</v>
      </c>
      <c r="AK1057">
        <f>IF(COUNT($E$2:$E1057)&lt;20,"",AVERAGE($E$1038:$E$1057))</f>
        <v>0</v>
      </c>
      <c r="AL1057">
        <f>IF(COUNT($E$2:$E1057)&lt;20,"",STDEVP($E$1038:$E$1057))</f>
        <v>0</v>
      </c>
      <c r="AM1057">
        <f>IF(AK1057="","",AK1057+2*AL1057)</f>
        <v>0</v>
      </c>
      <c r="AN1057">
        <f>IF(AK1057="","",AK1057-2*AL1057)</f>
        <v>0</v>
      </c>
      <c r="AO1057">
        <f>IF(OR(AM1057="",AN1057="",AM1057=AN1057),"",($E1057-AN1057)/(AM1057-AN1057))</f>
        <v>0</v>
      </c>
      <c r="AP1057">
        <f>IF(OR(AM1057="",AK1057="",AK1057=0),"",(AM1057-AN1057)/AK1057)</f>
        <v>0</v>
      </c>
      <c r="AQ1057">
        <f>IF(COUNT($E$2:$E1057)&lt;20,"",MAX($C$1038:$C$1057))</f>
        <v>0</v>
      </c>
      <c r="AR1057">
        <f>IF(COUNT($E$2:$E1057)&lt;20,"",MIN($D$1038:$D$1057))</f>
        <v>0</v>
      </c>
      <c r="AS1057">
        <f>IF(OR(AQ1057="",AR1057=""),"",(AQ1057+AR1057)/2)</f>
        <v>0</v>
      </c>
      <c r="AT1057">
        <f>IF(COUNT($G$1038:$G$1057)&lt;20,"",STDEV($G$1038:$G$1057)*SQRT(252))</f>
        <v>0</v>
      </c>
      <c r="AU1057">
        <f>IF(COUNT($E$2:$E1057)&lt;9,"",(MAX($C$1049:$C$1057)+MIN($D$1049:$D$1057))/2)</f>
        <v>0</v>
      </c>
      <c r="AV1057">
        <f>IF(COUNT($E$2:$E1057)&lt;26,"",(MAX($C$1032:$C$1057)+MIN($D$1032:$D$1057))/2)</f>
        <v>0</v>
      </c>
      <c r="AW1057">
        <f>IF(OR(AU1057="",AV1057=""),"",(AU1057+AV1057)/2)</f>
        <v>0</v>
      </c>
      <c r="AX1057">
        <f>IF(COUNT($E$2:$E1057)&lt;52,"",(MAX($C$1006:$C$1057)+MIN($D$1006:$D$1057))/2)</f>
        <v>0</v>
      </c>
      <c r="AY1057">
        <f>IF(COUNT($E$2:$E1057)&lt;20,"",MAX($C$958:$C$1057))</f>
        <v>0</v>
      </c>
      <c r="AZ1057">
        <f>IF(COUNT($E$2:$E1057)&lt;20,"",MIN($D$958:$D$1057))</f>
        <v>0</v>
      </c>
      <c r="BA1057">
        <f>IF(COUNT($E$2:$E1057)&lt;20,"",SLOPE($E$958:$E$1057,$F$958:$F$1057))</f>
        <v>0</v>
      </c>
      <c r="BB1057">
        <f>IF(COUNT($E$2:$E1057)&lt;20,"",INTERCEPT($E$958:$E$1057,$F$958:$F$1057))</f>
        <v>0</v>
      </c>
      <c r="BC1057">
        <f>IF(OR(BA1057="",BB1057=""),"",BB1057+BA1057*F1057)</f>
        <v>0</v>
      </c>
      <c r="BD1057">
        <f>IF(COUNT($E$2:$E1057)&lt;20,"",STEYX($E$958:$E$1057,$F$958:$F$1057))</f>
        <v>0</v>
      </c>
      <c r="BE1057">
        <f>IF($E1057="","",IF(AND(COUNT($E$1058:$E$1061)&gt;=4,$C1057=MAX($C$1053:$C$1061)),$C1057,""))</f>
        <v>0</v>
      </c>
      <c r="BF1057">
        <f>IF($E1057="","",IF(AND(COUNT($E$1058:$E$1061)&gt;=4,$D1057=MIN($D$1053:$D$1061)),$D1057,""))</f>
        <v>0</v>
      </c>
      <c r="BG1057">
        <f>IF($A1057="","",$A1057-WEEKDAY($A1057,2)+1)</f>
        <v>0</v>
      </c>
      <c r="BH1057">
        <f>IF($A1057="","",IF($A1056="",1,IF(BG1057&lt;&gt;BG1056,1,0)))</f>
        <v>0</v>
      </c>
      <c r="BI1057">
        <f>IF($A1057="","",IF($A1058="",1,IF(BG1058&lt;&gt;BG1057,1,0)))</f>
        <v>0</v>
      </c>
      <c r="BJ1057">
        <f>IF($A1057="","",IF(BH1057=1,$B1057,BJ1056))</f>
        <v>0</v>
      </c>
      <c r="BK1057">
        <f>IF($A1057="","",IF(BH1057=1,$C1057,MAX($C1057,BK1056)))</f>
        <v>0</v>
      </c>
      <c r="BL1057">
        <f>IF($A1057="","",IF(BH1057=1,$D1057,MIN($D1057,BL1056)))</f>
        <v>0</v>
      </c>
      <c r="BM1057">
        <f>IF($A1057="","",IF(BI1057=1,F1057,""))</f>
        <v>0</v>
      </c>
      <c r="BN1057">
        <f>IF($A1057="","",DATE(YEAR($A1057),MONTH($A1057),1))</f>
        <v>0</v>
      </c>
      <c r="BO1057">
        <f>IF($A1057="","",IF($A1056="",1,IF(BN1057&lt;&gt;BN1056,1,0)))</f>
        <v>0</v>
      </c>
      <c r="BP1057">
        <f>IF($A1057="","",IF($A1058="",1,IF(BN1058&lt;&gt;BN1057,1,0)))</f>
        <v>0</v>
      </c>
      <c r="BQ1057">
        <f>IF($A1057="","",IF(BO1057=1,$B1057,BQ1056))</f>
        <v>0</v>
      </c>
      <c r="BR1057">
        <f>IF($A1057="","",IF(BO1057=1,$C1057,MAX($C1057,BR1056)))</f>
        <v>0</v>
      </c>
      <c r="BS1057">
        <f>IF($A1057="","",IF(BO1057=1,$D1057,MIN($D1057,BS1056)))</f>
        <v>0</v>
      </c>
      <c r="BT1057">
        <f>IF($A1057="","",IF(BP1057=1,F1057,""))</f>
        <v>0</v>
      </c>
    </row>
    <row r="1058" spans="1:72">
      <c r="A1058" s="27">
        <f>IF(Data!$A1058="","",Data!$A1058)</f>
        <v>0</v>
      </c>
      <c r="B1058">
        <f>IF(Data!$B1058="","",Data!$B1058)</f>
        <v>0</v>
      </c>
      <c r="C1058">
        <f>IF(Data!$C1058="","",Data!$C1058)</f>
        <v>0</v>
      </c>
      <c r="D1058">
        <f>IF(Data!$D1058="","",Data!$D1058)</f>
        <v>0</v>
      </c>
      <c r="E1058">
        <f>IF(Data!$E1058="","",Data!$E1058)</f>
        <v>0</v>
      </c>
      <c r="F1058">
        <f>IF($E1058="","",N(F1057)+1)</f>
        <v>0</v>
      </c>
      <c r="G1058">
        <f>IF(OR($E1058="",$E1057=""),"",LN($E1058/$E1057))</f>
        <v>0</v>
      </c>
      <c r="H1058">
        <f>IF($E1058="","",IF($E1057="",$E1058,$E1058*0.0952380952+H1057*0.9047619048))</f>
        <v>0</v>
      </c>
      <c r="I1058">
        <f>IF($E1058="","",IF($E1057="",$E1058,$E1058*0.0392156863+I1057*0.9607843137))</f>
        <v>0</v>
      </c>
      <c r="J1058">
        <f>IF($E1058="","",IF($E1057="",$E1058,$E1058*0.0198019802+J1057*0.9801980198))</f>
        <v>0</v>
      </c>
      <c r="K1058">
        <f>IF($E1058="","",IF($E1057="",$E1058,$E1058*0.0099502488+K1057*0.9900497512))</f>
        <v>0</v>
      </c>
      <c r="L1058">
        <f>IF(OR($E1058="",$E1057=""),"",MAX($E1058-$E1057,0))</f>
        <v>0</v>
      </c>
      <c r="M1058">
        <f>IF(OR($E1058="",$E1057=""),"",MAX($E1057-$E1058,0))</f>
        <v>0</v>
      </c>
      <c r="N1058">
        <f>IF(COUNT($E$2:$E1058)&lt;15,"",IF(AVERAGE($M$1045:$M$1058)=0,100,100-100/(1+AVERAGE($L$1045:$L$1058)/AVERAGE($M$1045:$M$1058))))</f>
        <v>0</v>
      </c>
      <c r="O1058">
        <f>IF($E1058="","",IF($E1057="",$E1058,$E1058*0.1538461538+O1057*0.8461538462))</f>
        <v>0</v>
      </c>
      <c r="P1058">
        <f>IF($E1058="","",IF($E1057="",$E1058,$E1058*0.0740740741+P1057*0.9259259259))</f>
        <v>0</v>
      </c>
      <c r="Q1058">
        <f>IF(OR(O1058="",P1058=""),"",O1058-P1058)</f>
        <v>0</v>
      </c>
      <c r="R1058">
        <f>IF(Q1058="","",IF(R1057="",Q1058,Q1058*0.2000000000+R1057*0.8000000000))</f>
        <v>0</v>
      </c>
      <c r="S1058">
        <f>IF(OR(Q1058="",R1058=""),"",Q1058-R1058)</f>
        <v>0</v>
      </c>
      <c r="T1058">
        <f>IF(COUNT($E$2:$E1058)&lt;14,"",MAX($C$1045:$C$1058))</f>
        <v>0</v>
      </c>
      <c r="U1058">
        <f>IF(COUNT($E$2:$E1058)&lt;14,"",MIN($D$1045:$D$1058))</f>
        <v>0</v>
      </c>
      <c r="V1058">
        <f>IF(OR(T1058="",U1058="",T1058=U1058),"",100*($E1058-U1058)/(T1058-U1058))</f>
        <v>0</v>
      </c>
      <c r="W1058">
        <f>IF(COUNT($V$1056:$V$1058)&lt;3,"",AVERAGE($V$1056:$V$1058))</f>
        <v>0</v>
      </c>
      <c r="X1058">
        <f>IF(COUNT($N$1045:$N$1058)&lt;14,"",MIN($N$1045:$N$1058))</f>
        <v>0</v>
      </c>
      <c r="Y1058">
        <f>IF(COUNT($N$1045:$N$1058)&lt;14,"",MAX($N$1045:$N$1058))</f>
        <v>0</v>
      </c>
      <c r="Z1058">
        <f>IF(OR(N1058="",X1058="",Y1058="",Y1058=X1058),"",100*(N1058-X1058)/(Y1058-X1058))</f>
        <v>0</v>
      </c>
      <c r="AA1058">
        <f>IF(COUNT($Z$1056:$Z$1058)&lt;3,"",AVERAGE($Z$1056:$Z$1058))</f>
        <v>0</v>
      </c>
      <c r="AB1058">
        <f>IF(COUNT($AA$1056:$AA$1058)&lt;3,"",AVERAGE($AA$1056:$AA$1058))</f>
        <v>0</v>
      </c>
      <c r="AC1058">
        <f>IF($E1058="","",MAX($C1058-$D1058,ABS($C1058-$E1057),ABS($D1058-$E1057)))</f>
        <v>0</v>
      </c>
      <c r="AD1058">
        <f>IF(COUNT($E$2:$E1058)&lt;15,"",AVERAGE($AC$1045:$AC$1058))</f>
        <v>0</v>
      </c>
      <c r="AE1058">
        <f>IF(OR($E1058="",$E1057=""),"",IF(AND(($C1058-$C1057)&gt;($D1057-$D1058),($C1058-$C1057)&gt;0),$C1058-$C1057,0))</f>
        <v>0</v>
      </c>
      <c r="AF1058">
        <f>IF(OR($E1058="",$E1057=""),"",IF(AND(($D1057-$D1058)&gt;($C1058-$C1057),($D1057-$D1058)&gt;0),$D1057-$D1058,0))</f>
        <v>0</v>
      </c>
      <c r="AG1058">
        <f>IF(COUNT($E$2:$E1058)&lt;15,"",IF(SUM($AC$1045:$AC$1058)=0,0,100*SUM($AE$1045:$AE$1058)/SUM($AC$1045:$AC$1058)))</f>
        <v>0</v>
      </c>
      <c r="AH1058">
        <f>IF(COUNT($E$2:$E1058)&lt;15,"",IF(SUM($AC$1045:$AC$1058)=0,0,100*SUM($AF$1045:$AF$1058)/SUM($AC$1045:$AC$1058)))</f>
        <v>0</v>
      </c>
      <c r="AI1058">
        <f>IF(OR(AG1058="",AH1058=""),"",IF((AG1058+AH1058)=0,0,100*ABS(AG1058-AH1058)/(AG1058+AH1058)))</f>
        <v>0</v>
      </c>
      <c r="AJ1058">
        <f>IF(COUNT($AI$1045:$AI$1058)&lt;14,"",AVERAGE($AI$1045:$AI$1058))</f>
        <v>0</v>
      </c>
      <c r="AK1058">
        <f>IF(COUNT($E$2:$E1058)&lt;20,"",AVERAGE($E$1039:$E$1058))</f>
        <v>0</v>
      </c>
      <c r="AL1058">
        <f>IF(COUNT($E$2:$E1058)&lt;20,"",STDEVP($E$1039:$E$1058))</f>
        <v>0</v>
      </c>
      <c r="AM1058">
        <f>IF(AK1058="","",AK1058+2*AL1058)</f>
        <v>0</v>
      </c>
      <c r="AN1058">
        <f>IF(AK1058="","",AK1058-2*AL1058)</f>
        <v>0</v>
      </c>
      <c r="AO1058">
        <f>IF(OR(AM1058="",AN1058="",AM1058=AN1058),"",($E1058-AN1058)/(AM1058-AN1058))</f>
        <v>0</v>
      </c>
      <c r="AP1058">
        <f>IF(OR(AM1058="",AK1058="",AK1058=0),"",(AM1058-AN1058)/AK1058)</f>
        <v>0</v>
      </c>
      <c r="AQ1058">
        <f>IF(COUNT($E$2:$E1058)&lt;20,"",MAX($C$1039:$C$1058))</f>
        <v>0</v>
      </c>
      <c r="AR1058">
        <f>IF(COUNT($E$2:$E1058)&lt;20,"",MIN($D$1039:$D$1058))</f>
        <v>0</v>
      </c>
      <c r="AS1058">
        <f>IF(OR(AQ1058="",AR1058=""),"",(AQ1058+AR1058)/2)</f>
        <v>0</v>
      </c>
      <c r="AT1058">
        <f>IF(COUNT($G$1039:$G$1058)&lt;20,"",STDEV($G$1039:$G$1058)*SQRT(252))</f>
        <v>0</v>
      </c>
      <c r="AU1058">
        <f>IF(COUNT($E$2:$E1058)&lt;9,"",(MAX($C$1050:$C$1058)+MIN($D$1050:$D$1058))/2)</f>
        <v>0</v>
      </c>
      <c r="AV1058">
        <f>IF(COUNT($E$2:$E1058)&lt;26,"",(MAX($C$1033:$C$1058)+MIN($D$1033:$D$1058))/2)</f>
        <v>0</v>
      </c>
      <c r="AW1058">
        <f>IF(OR(AU1058="",AV1058=""),"",(AU1058+AV1058)/2)</f>
        <v>0</v>
      </c>
      <c r="AX1058">
        <f>IF(COUNT($E$2:$E1058)&lt;52,"",(MAX($C$1007:$C$1058)+MIN($D$1007:$D$1058))/2)</f>
        <v>0</v>
      </c>
      <c r="AY1058">
        <f>IF(COUNT($E$2:$E1058)&lt;20,"",MAX($C$959:$C$1058))</f>
        <v>0</v>
      </c>
      <c r="AZ1058">
        <f>IF(COUNT($E$2:$E1058)&lt;20,"",MIN($D$959:$D$1058))</f>
        <v>0</v>
      </c>
      <c r="BA1058">
        <f>IF(COUNT($E$2:$E1058)&lt;20,"",SLOPE($E$959:$E$1058,$F$959:$F$1058))</f>
        <v>0</v>
      </c>
      <c r="BB1058">
        <f>IF(COUNT($E$2:$E1058)&lt;20,"",INTERCEPT($E$959:$E$1058,$F$959:$F$1058))</f>
        <v>0</v>
      </c>
      <c r="BC1058">
        <f>IF(OR(BA1058="",BB1058=""),"",BB1058+BA1058*F1058)</f>
        <v>0</v>
      </c>
      <c r="BD1058">
        <f>IF(COUNT($E$2:$E1058)&lt;20,"",STEYX($E$959:$E$1058,$F$959:$F$1058))</f>
        <v>0</v>
      </c>
      <c r="BE1058">
        <f>IF($E1058="","",IF(AND(COUNT($E$1059:$E$1062)&gt;=4,$C1058=MAX($C$1054:$C$1062)),$C1058,""))</f>
        <v>0</v>
      </c>
      <c r="BF1058">
        <f>IF($E1058="","",IF(AND(COUNT($E$1059:$E$1062)&gt;=4,$D1058=MIN($D$1054:$D$1062)),$D1058,""))</f>
        <v>0</v>
      </c>
      <c r="BG1058">
        <f>IF($A1058="","",$A1058-WEEKDAY($A1058,2)+1)</f>
        <v>0</v>
      </c>
      <c r="BH1058">
        <f>IF($A1058="","",IF($A1057="",1,IF(BG1058&lt;&gt;BG1057,1,0)))</f>
        <v>0</v>
      </c>
      <c r="BI1058">
        <f>IF($A1058="","",IF($A1059="",1,IF(BG1059&lt;&gt;BG1058,1,0)))</f>
        <v>0</v>
      </c>
      <c r="BJ1058">
        <f>IF($A1058="","",IF(BH1058=1,$B1058,BJ1057))</f>
        <v>0</v>
      </c>
      <c r="BK1058">
        <f>IF($A1058="","",IF(BH1058=1,$C1058,MAX($C1058,BK1057)))</f>
        <v>0</v>
      </c>
      <c r="BL1058">
        <f>IF($A1058="","",IF(BH1058=1,$D1058,MIN($D1058,BL1057)))</f>
        <v>0</v>
      </c>
      <c r="BM1058">
        <f>IF($A1058="","",IF(BI1058=1,F1058,""))</f>
        <v>0</v>
      </c>
      <c r="BN1058">
        <f>IF($A1058="","",DATE(YEAR($A1058),MONTH($A1058),1))</f>
        <v>0</v>
      </c>
      <c r="BO1058">
        <f>IF($A1058="","",IF($A1057="",1,IF(BN1058&lt;&gt;BN1057,1,0)))</f>
        <v>0</v>
      </c>
      <c r="BP1058">
        <f>IF($A1058="","",IF($A1059="",1,IF(BN1059&lt;&gt;BN1058,1,0)))</f>
        <v>0</v>
      </c>
      <c r="BQ1058">
        <f>IF($A1058="","",IF(BO1058=1,$B1058,BQ1057))</f>
        <v>0</v>
      </c>
      <c r="BR1058">
        <f>IF($A1058="","",IF(BO1058=1,$C1058,MAX($C1058,BR1057)))</f>
        <v>0</v>
      </c>
      <c r="BS1058">
        <f>IF($A1058="","",IF(BO1058=1,$D1058,MIN($D1058,BS1057)))</f>
        <v>0</v>
      </c>
      <c r="BT1058">
        <f>IF($A1058="","",IF(BP1058=1,F1058,""))</f>
        <v>0</v>
      </c>
    </row>
    <row r="1059" spans="1:72">
      <c r="A1059" s="27">
        <f>IF(Data!$A1059="","",Data!$A1059)</f>
        <v>0</v>
      </c>
      <c r="B1059">
        <f>IF(Data!$B1059="","",Data!$B1059)</f>
        <v>0</v>
      </c>
      <c r="C1059">
        <f>IF(Data!$C1059="","",Data!$C1059)</f>
        <v>0</v>
      </c>
      <c r="D1059">
        <f>IF(Data!$D1059="","",Data!$D1059)</f>
        <v>0</v>
      </c>
      <c r="E1059">
        <f>IF(Data!$E1059="","",Data!$E1059)</f>
        <v>0</v>
      </c>
      <c r="F1059">
        <f>IF($E1059="","",N(F1058)+1)</f>
        <v>0</v>
      </c>
      <c r="G1059">
        <f>IF(OR($E1059="",$E1058=""),"",LN($E1059/$E1058))</f>
        <v>0</v>
      </c>
      <c r="H1059">
        <f>IF($E1059="","",IF($E1058="",$E1059,$E1059*0.0952380952+H1058*0.9047619048))</f>
        <v>0</v>
      </c>
      <c r="I1059">
        <f>IF($E1059="","",IF($E1058="",$E1059,$E1059*0.0392156863+I1058*0.9607843137))</f>
        <v>0</v>
      </c>
      <c r="J1059">
        <f>IF($E1059="","",IF($E1058="",$E1059,$E1059*0.0198019802+J1058*0.9801980198))</f>
        <v>0</v>
      </c>
      <c r="K1059">
        <f>IF($E1059="","",IF($E1058="",$E1059,$E1059*0.0099502488+K1058*0.9900497512))</f>
        <v>0</v>
      </c>
      <c r="L1059">
        <f>IF(OR($E1059="",$E1058=""),"",MAX($E1059-$E1058,0))</f>
        <v>0</v>
      </c>
      <c r="M1059">
        <f>IF(OR($E1059="",$E1058=""),"",MAX($E1058-$E1059,0))</f>
        <v>0</v>
      </c>
      <c r="N1059">
        <f>IF(COUNT($E$2:$E1059)&lt;15,"",IF(AVERAGE($M$1046:$M$1059)=0,100,100-100/(1+AVERAGE($L$1046:$L$1059)/AVERAGE($M$1046:$M$1059))))</f>
        <v>0</v>
      </c>
      <c r="O1059">
        <f>IF($E1059="","",IF($E1058="",$E1059,$E1059*0.1538461538+O1058*0.8461538462))</f>
        <v>0</v>
      </c>
      <c r="P1059">
        <f>IF($E1059="","",IF($E1058="",$E1059,$E1059*0.0740740741+P1058*0.9259259259))</f>
        <v>0</v>
      </c>
      <c r="Q1059">
        <f>IF(OR(O1059="",P1059=""),"",O1059-P1059)</f>
        <v>0</v>
      </c>
      <c r="R1059">
        <f>IF(Q1059="","",IF(R1058="",Q1059,Q1059*0.2000000000+R1058*0.8000000000))</f>
        <v>0</v>
      </c>
      <c r="S1059">
        <f>IF(OR(Q1059="",R1059=""),"",Q1059-R1059)</f>
        <v>0</v>
      </c>
      <c r="T1059">
        <f>IF(COUNT($E$2:$E1059)&lt;14,"",MAX($C$1046:$C$1059))</f>
        <v>0</v>
      </c>
      <c r="U1059">
        <f>IF(COUNT($E$2:$E1059)&lt;14,"",MIN($D$1046:$D$1059))</f>
        <v>0</v>
      </c>
      <c r="V1059">
        <f>IF(OR(T1059="",U1059="",T1059=U1059),"",100*($E1059-U1059)/(T1059-U1059))</f>
        <v>0</v>
      </c>
      <c r="W1059">
        <f>IF(COUNT($V$1057:$V$1059)&lt;3,"",AVERAGE($V$1057:$V$1059))</f>
        <v>0</v>
      </c>
      <c r="X1059">
        <f>IF(COUNT($N$1046:$N$1059)&lt;14,"",MIN($N$1046:$N$1059))</f>
        <v>0</v>
      </c>
      <c r="Y1059">
        <f>IF(COUNT($N$1046:$N$1059)&lt;14,"",MAX($N$1046:$N$1059))</f>
        <v>0</v>
      </c>
      <c r="Z1059">
        <f>IF(OR(N1059="",X1059="",Y1059="",Y1059=X1059),"",100*(N1059-X1059)/(Y1059-X1059))</f>
        <v>0</v>
      </c>
      <c r="AA1059">
        <f>IF(COUNT($Z$1057:$Z$1059)&lt;3,"",AVERAGE($Z$1057:$Z$1059))</f>
        <v>0</v>
      </c>
      <c r="AB1059">
        <f>IF(COUNT($AA$1057:$AA$1059)&lt;3,"",AVERAGE($AA$1057:$AA$1059))</f>
        <v>0</v>
      </c>
      <c r="AC1059">
        <f>IF($E1059="","",MAX($C1059-$D1059,ABS($C1059-$E1058),ABS($D1059-$E1058)))</f>
        <v>0</v>
      </c>
      <c r="AD1059">
        <f>IF(COUNT($E$2:$E1059)&lt;15,"",AVERAGE($AC$1046:$AC$1059))</f>
        <v>0</v>
      </c>
      <c r="AE1059">
        <f>IF(OR($E1059="",$E1058=""),"",IF(AND(($C1059-$C1058)&gt;($D1058-$D1059),($C1059-$C1058)&gt;0),$C1059-$C1058,0))</f>
        <v>0</v>
      </c>
      <c r="AF1059">
        <f>IF(OR($E1059="",$E1058=""),"",IF(AND(($D1058-$D1059)&gt;($C1059-$C1058),($D1058-$D1059)&gt;0),$D1058-$D1059,0))</f>
        <v>0</v>
      </c>
      <c r="AG1059">
        <f>IF(COUNT($E$2:$E1059)&lt;15,"",IF(SUM($AC$1046:$AC$1059)=0,0,100*SUM($AE$1046:$AE$1059)/SUM($AC$1046:$AC$1059)))</f>
        <v>0</v>
      </c>
      <c r="AH1059">
        <f>IF(COUNT($E$2:$E1059)&lt;15,"",IF(SUM($AC$1046:$AC$1059)=0,0,100*SUM($AF$1046:$AF$1059)/SUM($AC$1046:$AC$1059)))</f>
        <v>0</v>
      </c>
      <c r="AI1059">
        <f>IF(OR(AG1059="",AH1059=""),"",IF((AG1059+AH1059)=0,0,100*ABS(AG1059-AH1059)/(AG1059+AH1059)))</f>
        <v>0</v>
      </c>
      <c r="AJ1059">
        <f>IF(COUNT($AI$1046:$AI$1059)&lt;14,"",AVERAGE($AI$1046:$AI$1059))</f>
        <v>0</v>
      </c>
      <c r="AK1059">
        <f>IF(COUNT($E$2:$E1059)&lt;20,"",AVERAGE($E$1040:$E$1059))</f>
        <v>0</v>
      </c>
      <c r="AL1059">
        <f>IF(COUNT($E$2:$E1059)&lt;20,"",STDEVP($E$1040:$E$1059))</f>
        <v>0</v>
      </c>
      <c r="AM1059">
        <f>IF(AK1059="","",AK1059+2*AL1059)</f>
        <v>0</v>
      </c>
      <c r="AN1059">
        <f>IF(AK1059="","",AK1059-2*AL1059)</f>
        <v>0</v>
      </c>
      <c r="AO1059">
        <f>IF(OR(AM1059="",AN1059="",AM1059=AN1059),"",($E1059-AN1059)/(AM1059-AN1059))</f>
        <v>0</v>
      </c>
      <c r="AP1059">
        <f>IF(OR(AM1059="",AK1059="",AK1059=0),"",(AM1059-AN1059)/AK1059)</f>
        <v>0</v>
      </c>
      <c r="AQ1059">
        <f>IF(COUNT($E$2:$E1059)&lt;20,"",MAX($C$1040:$C$1059))</f>
        <v>0</v>
      </c>
      <c r="AR1059">
        <f>IF(COUNT($E$2:$E1059)&lt;20,"",MIN($D$1040:$D$1059))</f>
        <v>0</v>
      </c>
      <c r="AS1059">
        <f>IF(OR(AQ1059="",AR1059=""),"",(AQ1059+AR1059)/2)</f>
        <v>0</v>
      </c>
      <c r="AT1059">
        <f>IF(COUNT($G$1040:$G$1059)&lt;20,"",STDEV($G$1040:$G$1059)*SQRT(252))</f>
        <v>0</v>
      </c>
      <c r="AU1059">
        <f>IF(COUNT($E$2:$E1059)&lt;9,"",(MAX($C$1051:$C$1059)+MIN($D$1051:$D$1059))/2)</f>
        <v>0</v>
      </c>
      <c r="AV1059">
        <f>IF(COUNT($E$2:$E1059)&lt;26,"",(MAX($C$1034:$C$1059)+MIN($D$1034:$D$1059))/2)</f>
        <v>0</v>
      </c>
      <c r="AW1059">
        <f>IF(OR(AU1059="",AV1059=""),"",(AU1059+AV1059)/2)</f>
        <v>0</v>
      </c>
      <c r="AX1059">
        <f>IF(COUNT($E$2:$E1059)&lt;52,"",(MAX($C$1008:$C$1059)+MIN($D$1008:$D$1059))/2)</f>
        <v>0</v>
      </c>
      <c r="AY1059">
        <f>IF(COUNT($E$2:$E1059)&lt;20,"",MAX($C$960:$C$1059))</f>
        <v>0</v>
      </c>
      <c r="AZ1059">
        <f>IF(COUNT($E$2:$E1059)&lt;20,"",MIN($D$960:$D$1059))</f>
        <v>0</v>
      </c>
      <c r="BA1059">
        <f>IF(COUNT($E$2:$E1059)&lt;20,"",SLOPE($E$960:$E$1059,$F$960:$F$1059))</f>
        <v>0</v>
      </c>
      <c r="BB1059">
        <f>IF(COUNT($E$2:$E1059)&lt;20,"",INTERCEPT($E$960:$E$1059,$F$960:$F$1059))</f>
        <v>0</v>
      </c>
      <c r="BC1059">
        <f>IF(OR(BA1059="",BB1059=""),"",BB1059+BA1059*F1059)</f>
        <v>0</v>
      </c>
      <c r="BD1059">
        <f>IF(COUNT($E$2:$E1059)&lt;20,"",STEYX($E$960:$E$1059,$F$960:$F$1059))</f>
        <v>0</v>
      </c>
      <c r="BE1059">
        <f>IF($E1059="","",IF(AND(COUNT($E$1060:$E$1063)&gt;=4,$C1059=MAX($C$1055:$C$1063)),$C1059,""))</f>
        <v>0</v>
      </c>
      <c r="BF1059">
        <f>IF($E1059="","",IF(AND(COUNT($E$1060:$E$1063)&gt;=4,$D1059=MIN($D$1055:$D$1063)),$D1059,""))</f>
        <v>0</v>
      </c>
      <c r="BG1059">
        <f>IF($A1059="","",$A1059-WEEKDAY($A1059,2)+1)</f>
        <v>0</v>
      </c>
      <c r="BH1059">
        <f>IF($A1059="","",IF($A1058="",1,IF(BG1059&lt;&gt;BG1058,1,0)))</f>
        <v>0</v>
      </c>
      <c r="BI1059">
        <f>IF($A1059="","",IF($A1060="",1,IF(BG1060&lt;&gt;BG1059,1,0)))</f>
        <v>0</v>
      </c>
      <c r="BJ1059">
        <f>IF($A1059="","",IF(BH1059=1,$B1059,BJ1058))</f>
        <v>0</v>
      </c>
      <c r="BK1059">
        <f>IF($A1059="","",IF(BH1059=1,$C1059,MAX($C1059,BK1058)))</f>
        <v>0</v>
      </c>
      <c r="BL1059">
        <f>IF($A1059="","",IF(BH1059=1,$D1059,MIN($D1059,BL1058)))</f>
        <v>0</v>
      </c>
      <c r="BM1059">
        <f>IF($A1059="","",IF(BI1059=1,F1059,""))</f>
        <v>0</v>
      </c>
      <c r="BN1059">
        <f>IF($A1059="","",DATE(YEAR($A1059),MONTH($A1059),1))</f>
        <v>0</v>
      </c>
      <c r="BO1059">
        <f>IF($A1059="","",IF($A1058="",1,IF(BN1059&lt;&gt;BN1058,1,0)))</f>
        <v>0</v>
      </c>
      <c r="BP1059">
        <f>IF($A1059="","",IF($A1060="",1,IF(BN1060&lt;&gt;BN1059,1,0)))</f>
        <v>0</v>
      </c>
      <c r="BQ1059">
        <f>IF($A1059="","",IF(BO1059=1,$B1059,BQ1058))</f>
        <v>0</v>
      </c>
      <c r="BR1059">
        <f>IF($A1059="","",IF(BO1059=1,$C1059,MAX($C1059,BR1058)))</f>
        <v>0</v>
      </c>
      <c r="BS1059">
        <f>IF($A1059="","",IF(BO1059=1,$D1059,MIN($D1059,BS1058)))</f>
        <v>0</v>
      </c>
      <c r="BT1059">
        <f>IF($A1059="","",IF(BP1059=1,F1059,""))</f>
        <v>0</v>
      </c>
    </row>
    <row r="1060" spans="1:72">
      <c r="A1060" s="27">
        <f>IF(Data!$A1060="","",Data!$A1060)</f>
        <v>0</v>
      </c>
      <c r="B1060">
        <f>IF(Data!$B1060="","",Data!$B1060)</f>
        <v>0</v>
      </c>
      <c r="C1060">
        <f>IF(Data!$C1060="","",Data!$C1060)</f>
        <v>0</v>
      </c>
      <c r="D1060">
        <f>IF(Data!$D1060="","",Data!$D1060)</f>
        <v>0</v>
      </c>
      <c r="E1060">
        <f>IF(Data!$E1060="","",Data!$E1060)</f>
        <v>0</v>
      </c>
      <c r="F1060">
        <f>IF($E1060="","",N(F1059)+1)</f>
        <v>0</v>
      </c>
      <c r="G1060">
        <f>IF(OR($E1060="",$E1059=""),"",LN($E1060/$E1059))</f>
        <v>0</v>
      </c>
      <c r="H1060">
        <f>IF($E1060="","",IF($E1059="",$E1060,$E1060*0.0952380952+H1059*0.9047619048))</f>
        <v>0</v>
      </c>
      <c r="I1060">
        <f>IF($E1060="","",IF($E1059="",$E1060,$E1060*0.0392156863+I1059*0.9607843137))</f>
        <v>0</v>
      </c>
      <c r="J1060">
        <f>IF($E1060="","",IF($E1059="",$E1060,$E1060*0.0198019802+J1059*0.9801980198))</f>
        <v>0</v>
      </c>
      <c r="K1060">
        <f>IF($E1060="","",IF($E1059="",$E1060,$E1060*0.0099502488+K1059*0.9900497512))</f>
        <v>0</v>
      </c>
      <c r="L1060">
        <f>IF(OR($E1060="",$E1059=""),"",MAX($E1060-$E1059,0))</f>
        <v>0</v>
      </c>
      <c r="M1060">
        <f>IF(OR($E1060="",$E1059=""),"",MAX($E1059-$E1060,0))</f>
        <v>0</v>
      </c>
      <c r="N1060">
        <f>IF(COUNT($E$2:$E1060)&lt;15,"",IF(AVERAGE($M$1047:$M$1060)=0,100,100-100/(1+AVERAGE($L$1047:$L$1060)/AVERAGE($M$1047:$M$1060))))</f>
        <v>0</v>
      </c>
      <c r="O1060">
        <f>IF($E1060="","",IF($E1059="",$E1060,$E1060*0.1538461538+O1059*0.8461538462))</f>
        <v>0</v>
      </c>
      <c r="P1060">
        <f>IF($E1060="","",IF($E1059="",$E1060,$E1060*0.0740740741+P1059*0.9259259259))</f>
        <v>0</v>
      </c>
      <c r="Q1060">
        <f>IF(OR(O1060="",P1060=""),"",O1060-P1060)</f>
        <v>0</v>
      </c>
      <c r="R1060">
        <f>IF(Q1060="","",IF(R1059="",Q1060,Q1060*0.2000000000+R1059*0.8000000000))</f>
        <v>0</v>
      </c>
      <c r="S1060">
        <f>IF(OR(Q1060="",R1060=""),"",Q1060-R1060)</f>
        <v>0</v>
      </c>
      <c r="T1060">
        <f>IF(COUNT($E$2:$E1060)&lt;14,"",MAX($C$1047:$C$1060))</f>
        <v>0</v>
      </c>
      <c r="U1060">
        <f>IF(COUNT($E$2:$E1060)&lt;14,"",MIN($D$1047:$D$1060))</f>
        <v>0</v>
      </c>
      <c r="V1060">
        <f>IF(OR(T1060="",U1060="",T1060=U1060),"",100*($E1060-U1060)/(T1060-U1060))</f>
        <v>0</v>
      </c>
      <c r="W1060">
        <f>IF(COUNT($V$1058:$V$1060)&lt;3,"",AVERAGE($V$1058:$V$1060))</f>
        <v>0</v>
      </c>
      <c r="X1060">
        <f>IF(COUNT($N$1047:$N$1060)&lt;14,"",MIN($N$1047:$N$1060))</f>
        <v>0</v>
      </c>
      <c r="Y1060">
        <f>IF(COUNT($N$1047:$N$1060)&lt;14,"",MAX($N$1047:$N$1060))</f>
        <v>0</v>
      </c>
      <c r="Z1060">
        <f>IF(OR(N1060="",X1060="",Y1060="",Y1060=X1060),"",100*(N1060-X1060)/(Y1060-X1060))</f>
        <v>0</v>
      </c>
      <c r="AA1060">
        <f>IF(COUNT($Z$1058:$Z$1060)&lt;3,"",AVERAGE($Z$1058:$Z$1060))</f>
        <v>0</v>
      </c>
      <c r="AB1060">
        <f>IF(COUNT($AA$1058:$AA$1060)&lt;3,"",AVERAGE($AA$1058:$AA$1060))</f>
        <v>0</v>
      </c>
      <c r="AC1060">
        <f>IF($E1060="","",MAX($C1060-$D1060,ABS($C1060-$E1059),ABS($D1060-$E1059)))</f>
        <v>0</v>
      </c>
      <c r="AD1060">
        <f>IF(COUNT($E$2:$E1060)&lt;15,"",AVERAGE($AC$1047:$AC$1060))</f>
        <v>0</v>
      </c>
      <c r="AE1060">
        <f>IF(OR($E1060="",$E1059=""),"",IF(AND(($C1060-$C1059)&gt;($D1059-$D1060),($C1060-$C1059)&gt;0),$C1060-$C1059,0))</f>
        <v>0</v>
      </c>
      <c r="AF1060">
        <f>IF(OR($E1060="",$E1059=""),"",IF(AND(($D1059-$D1060)&gt;($C1060-$C1059),($D1059-$D1060)&gt;0),$D1059-$D1060,0))</f>
        <v>0</v>
      </c>
      <c r="AG1060">
        <f>IF(COUNT($E$2:$E1060)&lt;15,"",IF(SUM($AC$1047:$AC$1060)=0,0,100*SUM($AE$1047:$AE$1060)/SUM($AC$1047:$AC$1060)))</f>
        <v>0</v>
      </c>
      <c r="AH1060">
        <f>IF(COUNT($E$2:$E1060)&lt;15,"",IF(SUM($AC$1047:$AC$1060)=0,0,100*SUM($AF$1047:$AF$1060)/SUM($AC$1047:$AC$1060)))</f>
        <v>0</v>
      </c>
      <c r="AI1060">
        <f>IF(OR(AG1060="",AH1060=""),"",IF((AG1060+AH1060)=0,0,100*ABS(AG1060-AH1060)/(AG1060+AH1060)))</f>
        <v>0</v>
      </c>
      <c r="AJ1060">
        <f>IF(COUNT($AI$1047:$AI$1060)&lt;14,"",AVERAGE($AI$1047:$AI$1060))</f>
        <v>0</v>
      </c>
      <c r="AK1060">
        <f>IF(COUNT($E$2:$E1060)&lt;20,"",AVERAGE($E$1041:$E$1060))</f>
        <v>0</v>
      </c>
      <c r="AL1060">
        <f>IF(COUNT($E$2:$E1060)&lt;20,"",STDEVP($E$1041:$E$1060))</f>
        <v>0</v>
      </c>
      <c r="AM1060">
        <f>IF(AK1060="","",AK1060+2*AL1060)</f>
        <v>0</v>
      </c>
      <c r="AN1060">
        <f>IF(AK1060="","",AK1060-2*AL1060)</f>
        <v>0</v>
      </c>
      <c r="AO1060">
        <f>IF(OR(AM1060="",AN1060="",AM1060=AN1060),"",($E1060-AN1060)/(AM1060-AN1060))</f>
        <v>0</v>
      </c>
      <c r="AP1060">
        <f>IF(OR(AM1060="",AK1060="",AK1060=0),"",(AM1060-AN1060)/AK1060)</f>
        <v>0</v>
      </c>
      <c r="AQ1060">
        <f>IF(COUNT($E$2:$E1060)&lt;20,"",MAX($C$1041:$C$1060))</f>
        <v>0</v>
      </c>
      <c r="AR1060">
        <f>IF(COUNT($E$2:$E1060)&lt;20,"",MIN($D$1041:$D$1060))</f>
        <v>0</v>
      </c>
      <c r="AS1060">
        <f>IF(OR(AQ1060="",AR1060=""),"",(AQ1060+AR1060)/2)</f>
        <v>0</v>
      </c>
      <c r="AT1060">
        <f>IF(COUNT($G$1041:$G$1060)&lt;20,"",STDEV($G$1041:$G$1060)*SQRT(252))</f>
        <v>0</v>
      </c>
      <c r="AU1060">
        <f>IF(COUNT($E$2:$E1060)&lt;9,"",(MAX($C$1052:$C$1060)+MIN($D$1052:$D$1060))/2)</f>
        <v>0</v>
      </c>
      <c r="AV1060">
        <f>IF(COUNT($E$2:$E1060)&lt;26,"",(MAX($C$1035:$C$1060)+MIN($D$1035:$D$1060))/2)</f>
        <v>0</v>
      </c>
      <c r="AW1060">
        <f>IF(OR(AU1060="",AV1060=""),"",(AU1060+AV1060)/2)</f>
        <v>0</v>
      </c>
      <c r="AX1060">
        <f>IF(COUNT($E$2:$E1060)&lt;52,"",(MAX($C$1009:$C$1060)+MIN($D$1009:$D$1060))/2)</f>
        <v>0</v>
      </c>
      <c r="AY1060">
        <f>IF(COUNT($E$2:$E1060)&lt;20,"",MAX($C$961:$C$1060))</f>
        <v>0</v>
      </c>
      <c r="AZ1060">
        <f>IF(COUNT($E$2:$E1060)&lt;20,"",MIN($D$961:$D$1060))</f>
        <v>0</v>
      </c>
      <c r="BA1060">
        <f>IF(COUNT($E$2:$E1060)&lt;20,"",SLOPE($E$961:$E$1060,$F$961:$F$1060))</f>
        <v>0</v>
      </c>
      <c r="BB1060">
        <f>IF(COUNT($E$2:$E1060)&lt;20,"",INTERCEPT($E$961:$E$1060,$F$961:$F$1060))</f>
        <v>0</v>
      </c>
      <c r="BC1060">
        <f>IF(OR(BA1060="",BB1060=""),"",BB1060+BA1060*F1060)</f>
        <v>0</v>
      </c>
      <c r="BD1060">
        <f>IF(COUNT($E$2:$E1060)&lt;20,"",STEYX($E$961:$E$1060,$F$961:$F$1060))</f>
        <v>0</v>
      </c>
      <c r="BE1060">
        <f>IF($E1060="","",IF(AND(COUNT($E$1061:$E$1064)&gt;=4,$C1060=MAX($C$1056:$C$1064)),$C1060,""))</f>
        <v>0</v>
      </c>
      <c r="BF1060">
        <f>IF($E1060="","",IF(AND(COUNT($E$1061:$E$1064)&gt;=4,$D1060=MIN($D$1056:$D$1064)),$D1060,""))</f>
        <v>0</v>
      </c>
      <c r="BG1060">
        <f>IF($A1060="","",$A1060-WEEKDAY($A1060,2)+1)</f>
        <v>0</v>
      </c>
      <c r="BH1060">
        <f>IF($A1060="","",IF($A1059="",1,IF(BG1060&lt;&gt;BG1059,1,0)))</f>
        <v>0</v>
      </c>
      <c r="BI1060">
        <f>IF($A1060="","",IF($A1061="",1,IF(BG1061&lt;&gt;BG1060,1,0)))</f>
        <v>0</v>
      </c>
      <c r="BJ1060">
        <f>IF($A1060="","",IF(BH1060=1,$B1060,BJ1059))</f>
        <v>0</v>
      </c>
      <c r="BK1060">
        <f>IF($A1060="","",IF(BH1060=1,$C1060,MAX($C1060,BK1059)))</f>
        <v>0</v>
      </c>
      <c r="BL1060">
        <f>IF($A1060="","",IF(BH1060=1,$D1060,MIN($D1060,BL1059)))</f>
        <v>0</v>
      </c>
      <c r="BM1060">
        <f>IF($A1060="","",IF(BI1060=1,F1060,""))</f>
        <v>0</v>
      </c>
      <c r="BN1060">
        <f>IF($A1060="","",DATE(YEAR($A1060),MONTH($A1060),1))</f>
        <v>0</v>
      </c>
      <c r="BO1060">
        <f>IF($A1060="","",IF($A1059="",1,IF(BN1060&lt;&gt;BN1059,1,0)))</f>
        <v>0</v>
      </c>
      <c r="BP1060">
        <f>IF($A1060="","",IF($A1061="",1,IF(BN1061&lt;&gt;BN1060,1,0)))</f>
        <v>0</v>
      </c>
      <c r="BQ1060">
        <f>IF($A1060="","",IF(BO1060=1,$B1060,BQ1059))</f>
        <v>0</v>
      </c>
      <c r="BR1060">
        <f>IF($A1060="","",IF(BO1060=1,$C1060,MAX($C1060,BR1059)))</f>
        <v>0</v>
      </c>
      <c r="BS1060">
        <f>IF($A1060="","",IF(BO1060=1,$D1060,MIN($D1060,BS1059)))</f>
        <v>0</v>
      </c>
      <c r="BT1060">
        <f>IF($A1060="","",IF(BP1060=1,F1060,""))</f>
        <v>0</v>
      </c>
    </row>
    <row r="1061" spans="1:72">
      <c r="A1061" s="27">
        <f>IF(Data!$A1061="","",Data!$A1061)</f>
        <v>0</v>
      </c>
      <c r="B1061">
        <f>IF(Data!$B1061="","",Data!$B1061)</f>
        <v>0</v>
      </c>
      <c r="C1061">
        <f>IF(Data!$C1061="","",Data!$C1061)</f>
        <v>0</v>
      </c>
      <c r="D1061">
        <f>IF(Data!$D1061="","",Data!$D1061)</f>
        <v>0</v>
      </c>
      <c r="E1061">
        <f>IF(Data!$E1061="","",Data!$E1061)</f>
        <v>0</v>
      </c>
      <c r="F1061">
        <f>IF($E1061="","",N(F1060)+1)</f>
        <v>0</v>
      </c>
      <c r="G1061">
        <f>IF(OR($E1061="",$E1060=""),"",LN($E1061/$E1060))</f>
        <v>0</v>
      </c>
      <c r="H1061">
        <f>IF($E1061="","",IF($E1060="",$E1061,$E1061*0.0952380952+H1060*0.9047619048))</f>
        <v>0</v>
      </c>
      <c r="I1061">
        <f>IF($E1061="","",IF($E1060="",$E1061,$E1061*0.0392156863+I1060*0.9607843137))</f>
        <v>0</v>
      </c>
      <c r="J1061">
        <f>IF($E1061="","",IF($E1060="",$E1061,$E1061*0.0198019802+J1060*0.9801980198))</f>
        <v>0</v>
      </c>
      <c r="K1061">
        <f>IF($E1061="","",IF($E1060="",$E1061,$E1061*0.0099502488+K1060*0.9900497512))</f>
        <v>0</v>
      </c>
      <c r="L1061">
        <f>IF(OR($E1061="",$E1060=""),"",MAX($E1061-$E1060,0))</f>
        <v>0</v>
      </c>
      <c r="M1061">
        <f>IF(OR($E1061="",$E1060=""),"",MAX($E1060-$E1061,0))</f>
        <v>0</v>
      </c>
      <c r="N1061">
        <f>IF(COUNT($E$2:$E1061)&lt;15,"",IF(AVERAGE($M$1048:$M$1061)=0,100,100-100/(1+AVERAGE($L$1048:$L$1061)/AVERAGE($M$1048:$M$1061))))</f>
        <v>0</v>
      </c>
      <c r="O1061">
        <f>IF($E1061="","",IF($E1060="",$E1061,$E1061*0.1538461538+O1060*0.8461538462))</f>
        <v>0</v>
      </c>
      <c r="P1061">
        <f>IF($E1061="","",IF($E1060="",$E1061,$E1061*0.0740740741+P1060*0.9259259259))</f>
        <v>0</v>
      </c>
      <c r="Q1061">
        <f>IF(OR(O1061="",P1061=""),"",O1061-P1061)</f>
        <v>0</v>
      </c>
      <c r="R1061">
        <f>IF(Q1061="","",IF(R1060="",Q1061,Q1061*0.2000000000+R1060*0.8000000000))</f>
        <v>0</v>
      </c>
      <c r="S1061">
        <f>IF(OR(Q1061="",R1061=""),"",Q1061-R1061)</f>
        <v>0</v>
      </c>
      <c r="T1061">
        <f>IF(COUNT($E$2:$E1061)&lt;14,"",MAX($C$1048:$C$1061))</f>
        <v>0</v>
      </c>
      <c r="U1061">
        <f>IF(COUNT($E$2:$E1061)&lt;14,"",MIN($D$1048:$D$1061))</f>
        <v>0</v>
      </c>
      <c r="V1061">
        <f>IF(OR(T1061="",U1061="",T1061=U1061),"",100*($E1061-U1061)/(T1061-U1061))</f>
        <v>0</v>
      </c>
      <c r="W1061">
        <f>IF(COUNT($V$1059:$V$1061)&lt;3,"",AVERAGE($V$1059:$V$1061))</f>
        <v>0</v>
      </c>
      <c r="X1061">
        <f>IF(COUNT($N$1048:$N$1061)&lt;14,"",MIN($N$1048:$N$1061))</f>
        <v>0</v>
      </c>
      <c r="Y1061">
        <f>IF(COUNT($N$1048:$N$1061)&lt;14,"",MAX($N$1048:$N$1061))</f>
        <v>0</v>
      </c>
      <c r="Z1061">
        <f>IF(OR(N1061="",X1061="",Y1061="",Y1061=X1061),"",100*(N1061-X1061)/(Y1061-X1061))</f>
        <v>0</v>
      </c>
      <c r="AA1061">
        <f>IF(COUNT($Z$1059:$Z$1061)&lt;3,"",AVERAGE($Z$1059:$Z$1061))</f>
        <v>0</v>
      </c>
      <c r="AB1061">
        <f>IF(COUNT($AA$1059:$AA$1061)&lt;3,"",AVERAGE($AA$1059:$AA$1061))</f>
        <v>0</v>
      </c>
      <c r="AC1061">
        <f>IF($E1061="","",MAX($C1061-$D1061,ABS($C1061-$E1060),ABS($D1061-$E1060)))</f>
        <v>0</v>
      </c>
      <c r="AD1061">
        <f>IF(COUNT($E$2:$E1061)&lt;15,"",AVERAGE($AC$1048:$AC$1061))</f>
        <v>0</v>
      </c>
      <c r="AE1061">
        <f>IF(OR($E1061="",$E1060=""),"",IF(AND(($C1061-$C1060)&gt;($D1060-$D1061),($C1061-$C1060)&gt;0),$C1061-$C1060,0))</f>
        <v>0</v>
      </c>
      <c r="AF1061">
        <f>IF(OR($E1061="",$E1060=""),"",IF(AND(($D1060-$D1061)&gt;($C1061-$C1060),($D1060-$D1061)&gt;0),$D1060-$D1061,0))</f>
        <v>0</v>
      </c>
      <c r="AG1061">
        <f>IF(COUNT($E$2:$E1061)&lt;15,"",IF(SUM($AC$1048:$AC$1061)=0,0,100*SUM($AE$1048:$AE$1061)/SUM($AC$1048:$AC$1061)))</f>
        <v>0</v>
      </c>
      <c r="AH1061">
        <f>IF(COUNT($E$2:$E1061)&lt;15,"",IF(SUM($AC$1048:$AC$1061)=0,0,100*SUM($AF$1048:$AF$1061)/SUM($AC$1048:$AC$1061)))</f>
        <v>0</v>
      </c>
      <c r="AI1061">
        <f>IF(OR(AG1061="",AH1061=""),"",IF((AG1061+AH1061)=0,0,100*ABS(AG1061-AH1061)/(AG1061+AH1061)))</f>
        <v>0</v>
      </c>
      <c r="AJ1061">
        <f>IF(COUNT($AI$1048:$AI$1061)&lt;14,"",AVERAGE($AI$1048:$AI$1061))</f>
        <v>0</v>
      </c>
      <c r="AK1061">
        <f>IF(COUNT($E$2:$E1061)&lt;20,"",AVERAGE($E$1042:$E$1061))</f>
        <v>0</v>
      </c>
      <c r="AL1061">
        <f>IF(COUNT($E$2:$E1061)&lt;20,"",STDEVP($E$1042:$E$1061))</f>
        <v>0</v>
      </c>
      <c r="AM1061">
        <f>IF(AK1061="","",AK1061+2*AL1061)</f>
        <v>0</v>
      </c>
      <c r="AN1061">
        <f>IF(AK1061="","",AK1061-2*AL1061)</f>
        <v>0</v>
      </c>
      <c r="AO1061">
        <f>IF(OR(AM1061="",AN1061="",AM1061=AN1061),"",($E1061-AN1061)/(AM1061-AN1061))</f>
        <v>0</v>
      </c>
      <c r="AP1061">
        <f>IF(OR(AM1061="",AK1061="",AK1061=0),"",(AM1061-AN1061)/AK1061)</f>
        <v>0</v>
      </c>
      <c r="AQ1061">
        <f>IF(COUNT($E$2:$E1061)&lt;20,"",MAX($C$1042:$C$1061))</f>
        <v>0</v>
      </c>
      <c r="AR1061">
        <f>IF(COUNT($E$2:$E1061)&lt;20,"",MIN($D$1042:$D$1061))</f>
        <v>0</v>
      </c>
      <c r="AS1061">
        <f>IF(OR(AQ1061="",AR1061=""),"",(AQ1061+AR1061)/2)</f>
        <v>0</v>
      </c>
      <c r="AT1061">
        <f>IF(COUNT($G$1042:$G$1061)&lt;20,"",STDEV($G$1042:$G$1061)*SQRT(252))</f>
        <v>0</v>
      </c>
      <c r="AU1061">
        <f>IF(COUNT($E$2:$E1061)&lt;9,"",(MAX($C$1053:$C$1061)+MIN($D$1053:$D$1061))/2)</f>
        <v>0</v>
      </c>
      <c r="AV1061">
        <f>IF(COUNT($E$2:$E1061)&lt;26,"",(MAX($C$1036:$C$1061)+MIN($D$1036:$D$1061))/2)</f>
        <v>0</v>
      </c>
      <c r="AW1061">
        <f>IF(OR(AU1061="",AV1061=""),"",(AU1061+AV1061)/2)</f>
        <v>0</v>
      </c>
      <c r="AX1061">
        <f>IF(COUNT($E$2:$E1061)&lt;52,"",(MAX($C$1010:$C$1061)+MIN($D$1010:$D$1061))/2)</f>
        <v>0</v>
      </c>
      <c r="AY1061">
        <f>IF(COUNT($E$2:$E1061)&lt;20,"",MAX($C$962:$C$1061))</f>
        <v>0</v>
      </c>
      <c r="AZ1061">
        <f>IF(COUNT($E$2:$E1061)&lt;20,"",MIN($D$962:$D$1061))</f>
        <v>0</v>
      </c>
      <c r="BA1061">
        <f>IF(COUNT($E$2:$E1061)&lt;20,"",SLOPE($E$962:$E$1061,$F$962:$F$1061))</f>
        <v>0</v>
      </c>
      <c r="BB1061">
        <f>IF(COUNT($E$2:$E1061)&lt;20,"",INTERCEPT($E$962:$E$1061,$F$962:$F$1061))</f>
        <v>0</v>
      </c>
      <c r="BC1061">
        <f>IF(OR(BA1061="",BB1061=""),"",BB1061+BA1061*F1061)</f>
        <v>0</v>
      </c>
      <c r="BD1061">
        <f>IF(COUNT($E$2:$E1061)&lt;20,"",STEYX($E$962:$E$1061,$F$962:$F$1061))</f>
        <v>0</v>
      </c>
      <c r="BE1061">
        <f>IF($E1061="","",IF(AND(COUNT($E$1062:$E$1065)&gt;=4,$C1061=MAX($C$1057:$C$1065)),$C1061,""))</f>
        <v>0</v>
      </c>
      <c r="BF1061">
        <f>IF($E1061="","",IF(AND(COUNT($E$1062:$E$1065)&gt;=4,$D1061=MIN($D$1057:$D$1065)),$D1061,""))</f>
        <v>0</v>
      </c>
      <c r="BG1061">
        <f>IF($A1061="","",$A1061-WEEKDAY($A1061,2)+1)</f>
        <v>0</v>
      </c>
      <c r="BH1061">
        <f>IF($A1061="","",IF($A1060="",1,IF(BG1061&lt;&gt;BG1060,1,0)))</f>
        <v>0</v>
      </c>
      <c r="BI1061">
        <f>IF($A1061="","",IF($A1062="",1,IF(BG1062&lt;&gt;BG1061,1,0)))</f>
        <v>0</v>
      </c>
      <c r="BJ1061">
        <f>IF($A1061="","",IF(BH1061=1,$B1061,BJ1060))</f>
        <v>0</v>
      </c>
      <c r="BK1061">
        <f>IF($A1061="","",IF(BH1061=1,$C1061,MAX($C1061,BK1060)))</f>
        <v>0</v>
      </c>
      <c r="BL1061">
        <f>IF($A1061="","",IF(BH1061=1,$D1061,MIN($D1061,BL1060)))</f>
        <v>0</v>
      </c>
      <c r="BM1061">
        <f>IF($A1061="","",IF(BI1061=1,F1061,""))</f>
        <v>0</v>
      </c>
      <c r="BN1061">
        <f>IF($A1061="","",DATE(YEAR($A1061),MONTH($A1061),1))</f>
        <v>0</v>
      </c>
      <c r="BO1061">
        <f>IF($A1061="","",IF($A1060="",1,IF(BN1061&lt;&gt;BN1060,1,0)))</f>
        <v>0</v>
      </c>
      <c r="BP1061">
        <f>IF($A1061="","",IF($A1062="",1,IF(BN1062&lt;&gt;BN1061,1,0)))</f>
        <v>0</v>
      </c>
      <c r="BQ1061">
        <f>IF($A1061="","",IF(BO1061=1,$B1061,BQ1060))</f>
        <v>0</v>
      </c>
      <c r="BR1061">
        <f>IF($A1061="","",IF(BO1061=1,$C1061,MAX($C1061,BR1060)))</f>
        <v>0</v>
      </c>
      <c r="BS1061">
        <f>IF($A1061="","",IF(BO1061=1,$D1061,MIN($D1061,BS1060)))</f>
        <v>0</v>
      </c>
      <c r="BT1061">
        <f>IF($A1061="","",IF(BP1061=1,F1061,""))</f>
        <v>0</v>
      </c>
    </row>
    <row r="1062" spans="1:72">
      <c r="A1062" s="27">
        <f>IF(Data!$A1062="","",Data!$A1062)</f>
        <v>0</v>
      </c>
      <c r="B1062">
        <f>IF(Data!$B1062="","",Data!$B1062)</f>
        <v>0</v>
      </c>
      <c r="C1062">
        <f>IF(Data!$C1062="","",Data!$C1062)</f>
        <v>0</v>
      </c>
      <c r="D1062">
        <f>IF(Data!$D1062="","",Data!$D1062)</f>
        <v>0</v>
      </c>
      <c r="E1062">
        <f>IF(Data!$E1062="","",Data!$E1062)</f>
        <v>0</v>
      </c>
      <c r="F1062">
        <f>IF($E1062="","",N(F1061)+1)</f>
        <v>0</v>
      </c>
      <c r="G1062">
        <f>IF(OR($E1062="",$E1061=""),"",LN($E1062/$E1061))</f>
        <v>0</v>
      </c>
      <c r="H1062">
        <f>IF($E1062="","",IF($E1061="",$E1062,$E1062*0.0952380952+H1061*0.9047619048))</f>
        <v>0</v>
      </c>
      <c r="I1062">
        <f>IF($E1062="","",IF($E1061="",$E1062,$E1062*0.0392156863+I1061*0.9607843137))</f>
        <v>0</v>
      </c>
      <c r="J1062">
        <f>IF($E1062="","",IF($E1061="",$E1062,$E1062*0.0198019802+J1061*0.9801980198))</f>
        <v>0</v>
      </c>
      <c r="K1062">
        <f>IF($E1062="","",IF($E1061="",$E1062,$E1062*0.0099502488+K1061*0.9900497512))</f>
        <v>0</v>
      </c>
      <c r="L1062">
        <f>IF(OR($E1062="",$E1061=""),"",MAX($E1062-$E1061,0))</f>
        <v>0</v>
      </c>
      <c r="M1062">
        <f>IF(OR($E1062="",$E1061=""),"",MAX($E1061-$E1062,0))</f>
        <v>0</v>
      </c>
      <c r="N1062">
        <f>IF(COUNT($E$2:$E1062)&lt;15,"",IF(AVERAGE($M$1049:$M$1062)=0,100,100-100/(1+AVERAGE($L$1049:$L$1062)/AVERAGE($M$1049:$M$1062))))</f>
        <v>0</v>
      </c>
      <c r="O1062">
        <f>IF($E1062="","",IF($E1061="",$E1062,$E1062*0.1538461538+O1061*0.8461538462))</f>
        <v>0</v>
      </c>
      <c r="P1062">
        <f>IF($E1062="","",IF($E1061="",$E1062,$E1062*0.0740740741+P1061*0.9259259259))</f>
        <v>0</v>
      </c>
      <c r="Q1062">
        <f>IF(OR(O1062="",P1062=""),"",O1062-P1062)</f>
        <v>0</v>
      </c>
      <c r="R1062">
        <f>IF(Q1062="","",IF(R1061="",Q1062,Q1062*0.2000000000+R1061*0.8000000000))</f>
        <v>0</v>
      </c>
      <c r="S1062">
        <f>IF(OR(Q1062="",R1062=""),"",Q1062-R1062)</f>
        <v>0</v>
      </c>
      <c r="T1062">
        <f>IF(COUNT($E$2:$E1062)&lt;14,"",MAX($C$1049:$C$1062))</f>
        <v>0</v>
      </c>
      <c r="U1062">
        <f>IF(COUNT($E$2:$E1062)&lt;14,"",MIN($D$1049:$D$1062))</f>
        <v>0</v>
      </c>
      <c r="V1062">
        <f>IF(OR(T1062="",U1062="",T1062=U1062),"",100*($E1062-U1062)/(T1062-U1062))</f>
        <v>0</v>
      </c>
      <c r="W1062">
        <f>IF(COUNT($V$1060:$V$1062)&lt;3,"",AVERAGE($V$1060:$V$1062))</f>
        <v>0</v>
      </c>
      <c r="X1062">
        <f>IF(COUNT($N$1049:$N$1062)&lt;14,"",MIN($N$1049:$N$1062))</f>
        <v>0</v>
      </c>
      <c r="Y1062">
        <f>IF(COUNT($N$1049:$N$1062)&lt;14,"",MAX($N$1049:$N$1062))</f>
        <v>0</v>
      </c>
      <c r="Z1062">
        <f>IF(OR(N1062="",X1062="",Y1062="",Y1062=X1062),"",100*(N1062-X1062)/(Y1062-X1062))</f>
        <v>0</v>
      </c>
      <c r="AA1062">
        <f>IF(COUNT($Z$1060:$Z$1062)&lt;3,"",AVERAGE($Z$1060:$Z$1062))</f>
        <v>0</v>
      </c>
      <c r="AB1062">
        <f>IF(COUNT($AA$1060:$AA$1062)&lt;3,"",AVERAGE($AA$1060:$AA$1062))</f>
        <v>0</v>
      </c>
      <c r="AC1062">
        <f>IF($E1062="","",MAX($C1062-$D1062,ABS($C1062-$E1061),ABS($D1062-$E1061)))</f>
        <v>0</v>
      </c>
      <c r="AD1062">
        <f>IF(COUNT($E$2:$E1062)&lt;15,"",AVERAGE($AC$1049:$AC$1062))</f>
        <v>0</v>
      </c>
      <c r="AE1062">
        <f>IF(OR($E1062="",$E1061=""),"",IF(AND(($C1062-$C1061)&gt;($D1061-$D1062),($C1062-$C1061)&gt;0),$C1062-$C1061,0))</f>
        <v>0</v>
      </c>
      <c r="AF1062">
        <f>IF(OR($E1062="",$E1061=""),"",IF(AND(($D1061-$D1062)&gt;($C1062-$C1061),($D1061-$D1062)&gt;0),$D1061-$D1062,0))</f>
        <v>0</v>
      </c>
      <c r="AG1062">
        <f>IF(COUNT($E$2:$E1062)&lt;15,"",IF(SUM($AC$1049:$AC$1062)=0,0,100*SUM($AE$1049:$AE$1062)/SUM($AC$1049:$AC$1062)))</f>
        <v>0</v>
      </c>
      <c r="AH1062">
        <f>IF(COUNT($E$2:$E1062)&lt;15,"",IF(SUM($AC$1049:$AC$1062)=0,0,100*SUM($AF$1049:$AF$1062)/SUM($AC$1049:$AC$1062)))</f>
        <v>0</v>
      </c>
      <c r="AI1062">
        <f>IF(OR(AG1062="",AH1062=""),"",IF((AG1062+AH1062)=0,0,100*ABS(AG1062-AH1062)/(AG1062+AH1062)))</f>
        <v>0</v>
      </c>
      <c r="AJ1062">
        <f>IF(COUNT($AI$1049:$AI$1062)&lt;14,"",AVERAGE($AI$1049:$AI$1062))</f>
        <v>0</v>
      </c>
      <c r="AK1062">
        <f>IF(COUNT($E$2:$E1062)&lt;20,"",AVERAGE($E$1043:$E$1062))</f>
        <v>0</v>
      </c>
      <c r="AL1062">
        <f>IF(COUNT($E$2:$E1062)&lt;20,"",STDEVP($E$1043:$E$1062))</f>
        <v>0</v>
      </c>
      <c r="AM1062">
        <f>IF(AK1062="","",AK1062+2*AL1062)</f>
        <v>0</v>
      </c>
      <c r="AN1062">
        <f>IF(AK1062="","",AK1062-2*AL1062)</f>
        <v>0</v>
      </c>
      <c r="AO1062">
        <f>IF(OR(AM1062="",AN1062="",AM1062=AN1062),"",($E1062-AN1062)/(AM1062-AN1062))</f>
        <v>0</v>
      </c>
      <c r="AP1062">
        <f>IF(OR(AM1062="",AK1062="",AK1062=0),"",(AM1062-AN1062)/AK1062)</f>
        <v>0</v>
      </c>
      <c r="AQ1062">
        <f>IF(COUNT($E$2:$E1062)&lt;20,"",MAX($C$1043:$C$1062))</f>
        <v>0</v>
      </c>
      <c r="AR1062">
        <f>IF(COUNT($E$2:$E1062)&lt;20,"",MIN($D$1043:$D$1062))</f>
        <v>0</v>
      </c>
      <c r="AS1062">
        <f>IF(OR(AQ1062="",AR1062=""),"",(AQ1062+AR1062)/2)</f>
        <v>0</v>
      </c>
      <c r="AT1062">
        <f>IF(COUNT($G$1043:$G$1062)&lt;20,"",STDEV($G$1043:$G$1062)*SQRT(252))</f>
        <v>0</v>
      </c>
      <c r="AU1062">
        <f>IF(COUNT($E$2:$E1062)&lt;9,"",(MAX($C$1054:$C$1062)+MIN($D$1054:$D$1062))/2)</f>
        <v>0</v>
      </c>
      <c r="AV1062">
        <f>IF(COUNT($E$2:$E1062)&lt;26,"",(MAX($C$1037:$C$1062)+MIN($D$1037:$D$1062))/2)</f>
        <v>0</v>
      </c>
      <c r="AW1062">
        <f>IF(OR(AU1062="",AV1062=""),"",(AU1062+AV1062)/2)</f>
        <v>0</v>
      </c>
      <c r="AX1062">
        <f>IF(COUNT($E$2:$E1062)&lt;52,"",(MAX($C$1011:$C$1062)+MIN($D$1011:$D$1062))/2)</f>
        <v>0</v>
      </c>
      <c r="AY1062">
        <f>IF(COUNT($E$2:$E1062)&lt;20,"",MAX($C$963:$C$1062))</f>
        <v>0</v>
      </c>
      <c r="AZ1062">
        <f>IF(COUNT($E$2:$E1062)&lt;20,"",MIN($D$963:$D$1062))</f>
        <v>0</v>
      </c>
      <c r="BA1062">
        <f>IF(COUNT($E$2:$E1062)&lt;20,"",SLOPE($E$963:$E$1062,$F$963:$F$1062))</f>
        <v>0</v>
      </c>
      <c r="BB1062">
        <f>IF(COUNT($E$2:$E1062)&lt;20,"",INTERCEPT($E$963:$E$1062,$F$963:$F$1062))</f>
        <v>0</v>
      </c>
      <c r="BC1062">
        <f>IF(OR(BA1062="",BB1062=""),"",BB1062+BA1062*F1062)</f>
        <v>0</v>
      </c>
      <c r="BD1062">
        <f>IF(COUNT($E$2:$E1062)&lt;20,"",STEYX($E$963:$E$1062,$F$963:$F$1062))</f>
        <v>0</v>
      </c>
      <c r="BE1062">
        <f>IF($E1062="","",IF(AND(COUNT($E$1063:$E$1066)&gt;=4,$C1062=MAX($C$1058:$C$1066)),$C1062,""))</f>
        <v>0</v>
      </c>
      <c r="BF1062">
        <f>IF($E1062="","",IF(AND(COUNT($E$1063:$E$1066)&gt;=4,$D1062=MIN($D$1058:$D$1066)),$D1062,""))</f>
        <v>0</v>
      </c>
      <c r="BG1062">
        <f>IF($A1062="","",$A1062-WEEKDAY($A1062,2)+1)</f>
        <v>0</v>
      </c>
      <c r="BH1062">
        <f>IF($A1062="","",IF($A1061="",1,IF(BG1062&lt;&gt;BG1061,1,0)))</f>
        <v>0</v>
      </c>
      <c r="BI1062">
        <f>IF($A1062="","",IF($A1063="",1,IF(BG1063&lt;&gt;BG1062,1,0)))</f>
        <v>0</v>
      </c>
      <c r="BJ1062">
        <f>IF($A1062="","",IF(BH1062=1,$B1062,BJ1061))</f>
        <v>0</v>
      </c>
      <c r="BK1062">
        <f>IF($A1062="","",IF(BH1062=1,$C1062,MAX($C1062,BK1061)))</f>
        <v>0</v>
      </c>
      <c r="BL1062">
        <f>IF($A1062="","",IF(BH1062=1,$D1062,MIN($D1062,BL1061)))</f>
        <v>0</v>
      </c>
      <c r="BM1062">
        <f>IF($A1062="","",IF(BI1062=1,F1062,""))</f>
        <v>0</v>
      </c>
      <c r="BN1062">
        <f>IF($A1062="","",DATE(YEAR($A1062),MONTH($A1062),1))</f>
        <v>0</v>
      </c>
      <c r="BO1062">
        <f>IF($A1062="","",IF($A1061="",1,IF(BN1062&lt;&gt;BN1061,1,0)))</f>
        <v>0</v>
      </c>
      <c r="BP1062">
        <f>IF($A1062="","",IF($A1063="",1,IF(BN1063&lt;&gt;BN1062,1,0)))</f>
        <v>0</v>
      </c>
      <c r="BQ1062">
        <f>IF($A1062="","",IF(BO1062=1,$B1062,BQ1061))</f>
        <v>0</v>
      </c>
      <c r="BR1062">
        <f>IF($A1062="","",IF(BO1062=1,$C1062,MAX($C1062,BR1061)))</f>
        <v>0</v>
      </c>
      <c r="BS1062">
        <f>IF($A1062="","",IF(BO1062=1,$D1062,MIN($D1062,BS1061)))</f>
        <v>0</v>
      </c>
      <c r="BT1062">
        <f>IF($A1062="","",IF(BP1062=1,F1062,""))</f>
        <v>0</v>
      </c>
    </row>
    <row r="1063" spans="1:72">
      <c r="A1063" s="27">
        <f>IF(Data!$A1063="","",Data!$A1063)</f>
        <v>0</v>
      </c>
      <c r="B1063">
        <f>IF(Data!$B1063="","",Data!$B1063)</f>
        <v>0</v>
      </c>
      <c r="C1063">
        <f>IF(Data!$C1063="","",Data!$C1063)</f>
        <v>0</v>
      </c>
      <c r="D1063">
        <f>IF(Data!$D1063="","",Data!$D1063)</f>
        <v>0</v>
      </c>
      <c r="E1063">
        <f>IF(Data!$E1063="","",Data!$E1063)</f>
        <v>0</v>
      </c>
      <c r="F1063">
        <f>IF($E1063="","",N(F1062)+1)</f>
        <v>0</v>
      </c>
      <c r="G1063">
        <f>IF(OR($E1063="",$E1062=""),"",LN($E1063/$E1062))</f>
        <v>0</v>
      </c>
      <c r="H1063">
        <f>IF($E1063="","",IF($E1062="",$E1063,$E1063*0.0952380952+H1062*0.9047619048))</f>
        <v>0</v>
      </c>
      <c r="I1063">
        <f>IF($E1063="","",IF($E1062="",$E1063,$E1063*0.0392156863+I1062*0.9607843137))</f>
        <v>0</v>
      </c>
      <c r="J1063">
        <f>IF($E1063="","",IF($E1062="",$E1063,$E1063*0.0198019802+J1062*0.9801980198))</f>
        <v>0</v>
      </c>
      <c r="K1063">
        <f>IF($E1063="","",IF($E1062="",$E1063,$E1063*0.0099502488+K1062*0.9900497512))</f>
        <v>0</v>
      </c>
      <c r="L1063">
        <f>IF(OR($E1063="",$E1062=""),"",MAX($E1063-$E1062,0))</f>
        <v>0</v>
      </c>
      <c r="M1063">
        <f>IF(OR($E1063="",$E1062=""),"",MAX($E1062-$E1063,0))</f>
        <v>0</v>
      </c>
      <c r="N1063">
        <f>IF(COUNT($E$2:$E1063)&lt;15,"",IF(AVERAGE($M$1050:$M$1063)=0,100,100-100/(1+AVERAGE($L$1050:$L$1063)/AVERAGE($M$1050:$M$1063))))</f>
        <v>0</v>
      </c>
      <c r="O1063">
        <f>IF($E1063="","",IF($E1062="",$E1063,$E1063*0.1538461538+O1062*0.8461538462))</f>
        <v>0</v>
      </c>
      <c r="P1063">
        <f>IF($E1063="","",IF($E1062="",$E1063,$E1063*0.0740740741+P1062*0.9259259259))</f>
        <v>0</v>
      </c>
      <c r="Q1063">
        <f>IF(OR(O1063="",P1063=""),"",O1063-P1063)</f>
        <v>0</v>
      </c>
      <c r="R1063">
        <f>IF(Q1063="","",IF(R1062="",Q1063,Q1063*0.2000000000+R1062*0.8000000000))</f>
        <v>0</v>
      </c>
      <c r="S1063">
        <f>IF(OR(Q1063="",R1063=""),"",Q1063-R1063)</f>
        <v>0</v>
      </c>
      <c r="T1063">
        <f>IF(COUNT($E$2:$E1063)&lt;14,"",MAX($C$1050:$C$1063))</f>
        <v>0</v>
      </c>
      <c r="U1063">
        <f>IF(COUNT($E$2:$E1063)&lt;14,"",MIN($D$1050:$D$1063))</f>
        <v>0</v>
      </c>
      <c r="V1063">
        <f>IF(OR(T1063="",U1063="",T1063=U1063),"",100*($E1063-U1063)/(T1063-U1063))</f>
        <v>0</v>
      </c>
      <c r="W1063">
        <f>IF(COUNT($V$1061:$V$1063)&lt;3,"",AVERAGE($V$1061:$V$1063))</f>
        <v>0</v>
      </c>
      <c r="X1063">
        <f>IF(COUNT($N$1050:$N$1063)&lt;14,"",MIN($N$1050:$N$1063))</f>
        <v>0</v>
      </c>
      <c r="Y1063">
        <f>IF(COUNT($N$1050:$N$1063)&lt;14,"",MAX($N$1050:$N$1063))</f>
        <v>0</v>
      </c>
      <c r="Z1063">
        <f>IF(OR(N1063="",X1063="",Y1063="",Y1063=X1063),"",100*(N1063-X1063)/(Y1063-X1063))</f>
        <v>0</v>
      </c>
      <c r="AA1063">
        <f>IF(COUNT($Z$1061:$Z$1063)&lt;3,"",AVERAGE($Z$1061:$Z$1063))</f>
        <v>0</v>
      </c>
      <c r="AB1063">
        <f>IF(COUNT($AA$1061:$AA$1063)&lt;3,"",AVERAGE($AA$1061:$AA$1063))</f>
        <v>0</v>
      </c>
      <c r="AC1063">
        <f>IF($E1063="","",MAX($C1063-$D1063,ABS($C1063-$E1062),ABS($D1063-$E1062)))</f>
        <v>0</v>
      </c>
      <c r="AD1063">
        <f>IF(COUNT($E$2:$E1063)&lt;15,"",AVERAGE($AC$1050:$AC$1063))</f>
        <v>0</v>
      </c>
      <c r="AE1063">
        <f>IF(OR($E1063="",$E1062=""),"",IF(AND(($C1063-$C1062)&gt;($D1062-$D1063),($C1063-$C1062)&gt;0),$C1063-$C1062,0))</f>
        <v>0</v>
      </c>
      <c r="AF1063">
        <f>IF(OR($E1063="",$E1062=""),"",IF(AND(($D1062-$D1063)&gt;($C1063-$C1062),($D1062-$D1063)&gt;0),$D1062-$D1063,0))</f>
        <v>0</v>
      </c>
      <c r="AG1063">
        <f>IF(COUNT($E$2:$E1063)&lt;15,"",IF(SUM($AC$1050:$AC$1063)=0,0,100*SUM($AE$1050:$AE$1063)/SUM($AC$1050:$AC$1063)))</f>
        <v>0</v>
      </c>
      <c r="AH1063">
        <f>IF(COUNT($E$2:$E1063)&lt;15,"",IF(SUM($AC$1050:$AC$1063)=0,0,100*SUM($AF$1050:$AF$1063)/SUM($AC$1050:$AC$1063)))</f>
        <v>0</v>
      </c>
      <c r="AI1063">
        <f>IF(OR(AG1063="",AH1063=""),"",IF((AG1063+AH1063)=0,0,100*ABS(AG1063-AH1063)/(AG1063+AH1063)))</f>
        <v>0</v>
      </c>
      <c r="AJ1063">
        <f>IF(COUNT($AI$1050:$AI$1063)&lt;14,"",AVERAGE($AI$1050:$AI$1063))</f>
        <v>0</v>
      </c>
      <c r="AK1063">
        <f>IF(COUNT($E$2:$E1063)&lt;20,"",AVERAGE($E$1044:$E$1063))</f>
        <v>0</v>
      </c>
      <c r="AL1063">
        <f>IF(COUNT($E$2:$E1063)&lt;20,"",STDEVP($E$1044:$E$1063))</f>
        <v>0</v>
      </c>
      <c r="AM1063">
        <f>IF(AK1063="","",AK1063+2*AL1063)</f>
        <v>0</v>
      </c>
      <c r="AN1063">
        <f>IF(AK1063="","",AK1063-2*AL1063)</f>
        <v>0</v>
      </c>
      <c r="AO1063">
        <f>IF(OR(AM1063="",AN1063="",AM1063=AN1063),"",($E1063-AN1063)/(AM1063-AN1063))</f>
        <v>0</v>
      </c>
      <c r="AP1063">
        <f>IF(OR(AM1063="",AK1063="",AK1063=0),"",(AM1063-AN1063)/AK1063)</f>
        <v>0</v>
      </c>
      <c r="AQ1063">
        <f>IF(COUNT($E$2:$E1063)&lt;20,"",MAX($C$1044:$C$1063))</f>
        <v>0</v>
      </c>
      <c r="AR1063">
        <f>IF(COUNT($E$2:$E1063)&lt;20,"",MIN($D$1044:$D$1063))</f>
        <v>0</v>
      </c>
      <c r="AS1063">
        <f>IF(OR(AQ1063="",AR1063=""),"",(AQ1063+AR1063)/2)</f>
        <v>0</v>
      </c>
      <c r="AT1063">
        <f>IF(COUNT($G$1044:$G$1063)&lt;20,"",STDEV($G$1044:$G$1063)*SQRT(252))</f>
        <v>0</v>
      </c>
      <c r="AU1063">
        <f>IF(COUNT($E$2:$E1063)&lt;9,"",(MAX($C$1055:$C$1063)+MIN($D$1055:$D$1063))/2)</f>
        <v>0</v>
      </c>
      <c r="AV1063">
        <f>IF(COUNT($E$2:$E1063)&lt;26,"",(MAX($C$1038:$C$1063)+MIN($D$1038:$D$1063))/2)</f>
        <v>0</v>
      </c>
      <c r="AW1063">
        <f>IF(OR(AU1063="",AV1063=""),"",(AU1063+AV1063)/2)</f>
        <v>0</v>
      </c>
      <c r="AX1063">
        <f>IF(COUNT($E$2:$E1063)&lt;52,"",(MAX($C$1012:$C$1063)+MIN($D$1012:$D$1063))/2)</f>
        <v>0</v>
      </c>
      <c r="AY1063">
        <f>IF(COUNT($E$2:$E1063)&lt;20,"",MAX($C$964:$C$1063))</f>
        <v>0</v>
      </c>
      <c r="AZ1063">
        <f>IF(COUNT($E$2:$E1063)&lt;20,"",MIN($D$964:$D$1063))</f>
        <v>0</v>
      </c>
      <c r="BA1063">
        <f>IF(COUNT($E$2:$E1063)&lt;20,"",SLOPE($E$964:$E$1063,$F$964:$F$1063))</f>
        <v>0</v>
      </c>
      <c r="BB1063">
        <f>IF(COUNT($E$2:$E1063)&lt;20,"",INTERCEPT($E$964:$E$1063,$F$964:$F$1063))</f>
        <v>0</v>
      </c>
      <c r="BC1063">
        <f>IF(OR(BA1063="",BB1063=""),"",BB1063+BA1063*F1063)</f>
        <v>0</v>
      </c>
      <c r="BD1063">
        <f>IF(COUNT($E$2:$E1063)&lt;20,"",STEYX($E$964:$E$1063,$F$964:$F$1063))</f>
        <v>0</v>
      </c>
      <c r="BE1063">
        <f>IF($E1063="","",IF(AND(COUNT($E$1064:$E$1067)&gt;=4,$C1063=MAX($C$1059:$C$1067)),$C1063,""))</f>
        <v>0</v>
      </c>
      <c r="BF1063">
        <f>IF($E1063="","",IF(AND(COUNT($E$1064:$E$1067)&gt;=4,$D1063=MIN($D$1059:$D$1067)),$D1063,""))</f>
        <v>0</v>
      </c>
      <c r="BG1063">
        <f>IF($A1063="","",$A1063-WEEKDAY($A1063,2)+1)</f>
        <v>0</v>
      </c>
      <c r="BH1063">
        <f>IF($A1063="","",IF($A1062="",1,IF(BG1063&lt;&gt;BG1062,1,0)))</f>
        <v>0</v>
      </c>
      <c r="BI1063">
        <f>IF($A1063="","",IF($A1064="",1,IF(BG1064&lt;&gt;BG1063,1,0)))</f>
        <v>0</v>
      </c>
      <c r="BJ1063">
        <f>IF($A1063="","",IF(BH1063=1,$B1063,BJ1062))</f>
        <v>0</v>
      </c>
      <c r="BK1063">
        <f>IF($A1063="","",IF(BH1063=1,$C1063,MAX($C1063,BK1062)))</f>
        <v>0</v>
      </c>
      <c r="BL1063">
        <f>IF($A1063="","",IF(BH1063=1,$D1063,MIN($D1063,BL1062)))</f>
        <v>0</v>
      </c>
      <c r="BM1063">
        <f>IF($A1063="","",IF(BI1063=1,F1063,""))</f>
        <v>0</v>
      </c>
      <c r="BN1063">
        <f>IF($A1063="","",DATE(YEAR($A1063),MONTH($A1063),1))</f>
        <v>0</v>
      </c>
      <c r="BO1063">
        <f>IF($A1063="","",IF($A1062="",1,IF(BN1063&lt;&gt;BN1062,1,0)))</f>
        <v>0</v>
      </c>
      <c r="BP1063">
        <f>IF($A1063="","",IF($A1064="",1,IF(BN1064&lt;&gt;BN1063,1,0)))</f>
        <v>0</v>
      </c>
      <c r="BQ1063">
        <f>IF($A1063="","",IF(BO1063=1,$B1063,BQ1062))</f>
        <v>0</v>
      </c>
      <c r="BR1063">
        <f>IF($A1063="","",IF(BO1063=1,$C1063,MAX($C1063,BR1062)))</f>
        <v>0</v>
      </c>
      <c r="BS1063">
        <f>IF($A1063="","",IF(BO1063=1,$D1063,MIN($D1063,BS1062)))</f>
        <v>0</v>
      </c>
      <c r="BT1063">
        <f>IF($A1063="","",IF(BP1063=1,F1063,""))</f>
        <v>0</v>
      </c>
    </row>
    <row r="1064" spans="1:72">
      <c r="A1064" s="27">
        <f>IF(Data!$A1064="","",Data!$A1064)</f>
        <v>0</v>
      </c>
      <c r="B1064">
        <f>IF(Data!$B1064="","",Data!$B1064)</f>
        <v>0</v>
      </c>
      <c r="C1064">
        <f>IF(Data!$C1064="","",Data!$C1064)</f>
        <v>0</v>
      </c>
      <c r="D1064">
        <f>IF(Data!$D1064="","",Data!$D1064)</f>
        <v>0</v>
      </c>
      <c r="E1064">
        <f>IF(Data!$E1064="","",Data!$E1064)</f>
        <v>0</v>
      </c>
      <c r="F1064">
        <f>IF($E1064="","",N(F1063)+1)</f>
        <v>0</v>
      </c>
      <c r="G1064">
        <f>IF(OR($E1064="",$E1063=""),"",LN($E1064/$E1063))</f>
        <v>0</v>
      </c>
      <c r="H1064">
        <f>IF($E1064="","",IF($E1063="",$E1064,$E1064*0.0952380952+H1063*0.9047619048))</f>
        <v>0</v>
      </c>
      <c r="I1064">
        <f>IF($E1064="","",IF($E1063="",$E1064,$E1064*0.0392156863+I1063*0.9607843137))</f>
        <v>0</v>
      </c>
      <c r="J1064">
        <f>IF($E1064="","",IF($E1063="",$E1064,$E1064*0.0198019802+J1063*0.9801980198))</f>
        <v>0</v>
      </c>
      <c r="K1064">
        <f>IF($E1064="","",IF($E1063="",$E1064,$E1064*0.0099502488+K1063*0.9900497512))</f>
        <v>0</v>
      </c>
      <c r="L1064">
        <f>IF(OR($E1064="",$E1063=""),"",MAX($E1064-$E1063,0))</f>
        <v>0</v>
      </c>
      <c r="M1064">
        <f>IF(OR($E1064="",$E1063=""),"",MAX($E1063-$E1064,0))</f>
        <v>0</v>
      </c>
      <c r="N1064">
        <f>IF(COUNT($E$2:$E1064)&lt;15,"",IF(AVERAGE($M$1051:$M$1064)=0,100,100-100/(1+AVERAGE($L$1051:$L$1064)/AVERAGE($M$1051:$M$1064))))</f>
        <v>0</v>
      </c>
      <c r="O1064">
        <f>IF($E1064="","",IF($E1063="",$E1064,$E1064*0.1538461538+O1063*0.8461538462))</f>
        <v>0</v>
      </c>
      <c r="P1064">
        <f>IF($E1064="","",IF($E1063="",$E1064,$E1064*0.0740740741+P1063*0.9259259259))</f>
        <v>0</v>
      </c>
      <c r="Q1064">
        <f>IF(OR(O1064="",P1064=""),"",O1064-P1064)</f>
        <v>0</v>
      </c>
      <c r="R1064">
        <f>IF(Q1064="","",IF(R1063="",Q1064,Q1064*0.2000000000+R1063*0.8000000000))</f>
        <v>0</v>
      </c>
      <c r="S1064">
        <f>IF(OR(Q1064="",R1064=""),"",Q1064-R1064)</f>
        <v>0</v>
      </c>
      <c r="T1064">
        <f>IF(COUNT($E$2:$E1064)&lt;14,"",MAX($C$1051:$C$1064))</f>
        <v>0</v>
      </c>
      <c r="U1064">
        <f>IF(COUNT($E$2:$E1064)&lt;14,"",MIN($D$1051:$D$1064))</f>
        <v>0</v>
      </c>
      <c r="V1064">
        <f>IF(OR(T1064="",U1064="",T1064=U1064),"",100*($E1064-U1064)/(T1064-U1064))</f>
        <v>0</v>
      </c>
      <c r="W1064">
        <f>IF(COUNT($V$1062:$V$1064)&lt;3,"",AVERAGE($V$1062:$V$1064))</f>
        <v>0</v>
      </c>
      <c r="X1064">
        <f>IF(COUNT($N$1051:$N$1064)&lt;14,"",MIN($N$1051:$N$1064))</f>
        <v>0</v>
      </c>
      <c r="Y1064">
        <f>IF(COUNT($N$1051:$N$1064)&lt;14,"",MAX($N$1051:$N$1064))</f>
        <v>0</v>
      </c>
      <c r="Z1064">
        <f>IF(OR(N1064="",X1064="",Y1064="",Y1064=X1064),"",100*(N1064-X1064)/(Y1064-X1064))</f>
        <v>0</v>
      </c>
      <c r="AA1064">
        <f>IF(COUNT($Z$1062:$Z$1064)&lt;3,"",AVERAGE($Z$1062:$Z$1064))</f>
        <v>0</v>
      </c>
      <c r="AB1064">
        <f>IF(COUNT($AA$1062:$AA$1064)&lt;3,"",AVERAGE($AA$1062:$AA$1064))</f>
        <v>0</v>
      </c>
      <c r="AC1064">
        <f>IF($E1064="","",MAX($C1064-$D1064,ABS($C1064-$E1063),ABS($D1064-$E1063)))</f>
        <v>0</v>
      </c>
      <c r="AD1064">
        <f>IF(COUNT($E$2:$E1064)&lt;15,"",AVERAGE($AC$1051:$AC$1064))</f>
        <v>0</v>
      </c>
      <c r="AE1064">
        <f>IF(OR($E1064="",$E1063=""),"",IF(AND(($C1064-$C1063)&gt;($D1063-$D1064),($C1064-$C1063)&gt;0),$C1064-$C1063,0))</f>
        <v>0</v>
      </c>
      <c r="AF1064">
        <f>IF(OR($E1064="",$E1063=""),"",IF(AND(($D1063-$D1064)&gt;($C1064-$C1063),($D1063-$D1064)&gt;0),$D1063-$D1064,0))</f>
        <v>0</v>
      </c>
      <c r="AG1064">
        <f>IF(COUNT($E$2:$E1064)&lt;15,"",IF(SUM($AC$1051:$AC$1064)=0,0,100*SUM($AE$1051:$AE$1064)/SUM($AC$1051:$AC$1064)))</f>
        <v>0</v>
      </c>
      <c r="AH1064">
        <f>IF(COUNT($E$2:$E1064)&lt;15,"",IF(SUM($AC$1051:$AC$1064)=0,0,100*SUM($AF$1051:$AF$1064)/SUM($AC$1051:$AC$1064)))</f>
        <v>0</v>
      </c>
      <c r="AI1064">
        <f>IF(OR(AG1064="",AH1064=""),"",IF((AG1064+AH1064)=0,0,100*ABS(AG1064-AH1064)/(AG1064+AH1064)))</f>
        <v>0</v>
      </c>
      <c r="AJ1064">
        <f>IF(COUNT($AI$1051:$AI$1064)&lt;14,"",AVERAGE($AI$1051:$AI$1064))</f>
        <v>0</v>
      </c>
      <c r="AK1064">
        <f>IF(COUNT($E$2:$E1064)&lt;20,"",AVERAGE($E$1045:$E$1064))</f>
        <v>0</v>
      </c>
      <c r="AL1064">
        <f>IF(COUNT($E$2:$E1064)&lt;20,"",STDEVP($E$1045:$E$1064))</f>
        <v>0</v>
      </c>
      <c r="AM1064">
        <f>IF(AK1064="","",AK1064+2*AL1064)</f>
        <v>0</v>
      </c>
      <c r="AN1064">
        <f>IF(AK1064="","",AK1064-2*AL1064)</f>
        <v>0</v>
      </c>
      <c r="AO1064">
        <f>IF(OR(AM1064="",AN1064="",AM1064=AN1064),"",($E1064-AN1064)/(AM1064-AN1064))</f>
        <v>0</v>
      </c>
      <c r="AP1064">
        <f>IF(OR(AM1064="",AK1064="",AK1064=0),"",(AM1064-AN1064)/AK1064)</f>
        <v>0</v>
      </c>
      <c r="AQ1064">
        <f>IF(COUNT($E$2:$E1064)&lt;20,"",MAX($C$1045:$C$1064))</f>
        <v>0</v>
      </c>
      <c r="AR1064">
        <f>IF(COUNT($E$2:$E1064)&lt;20,"",MIN($D$1045:$D$1064))</f>
        <v>0</v>
      </c>
      <c r="AS1064">
        <f>IF(OR(AQ1064="",AR1064=""),"",(AQ1064+AR1064)/2)</f>
        <v>0</v>
      </c>
      <c r="AT1064">
        <f>IF(COUNT($G$1045:$G$1064)&lt;20,"",STDEV($G$1045:$G$1064)*SQRT(252))</f>
        <v>0</v>
      </c>
      <c r="AU1064">
        <f>IF(COUNT($E$2:$E1064)&lt;9,"",(MAX($C$1056:$C$1064)+MIN($D$1056:$D$1064))/2)</f>
        <v>0</v>
      </c>
      <c r="AV1064">
        <f>IF(COUNT($E$2:$E1064)&lt;26,"",(MAX($C$1039:$C$1064)+MIN($D$1039:$D$1064))/2)</f>
        <v>0</v>
      </c>
      <c r="AW1064">
        <f>IF(OR(AU1064="",AV1064=""),"",(AU1064+AV1064)/2)</f>
        <v>0</v>
      </c>
      <c r="AX1064">
        <f>IF(COUNT($E$2:$E1064)&lt;52,"",(MAX($C$1013:$C$1064)+MIN($D$1013:$D$1064))/2)</f>
        <v>0</v>
      </c>
      <c r="AY1064">
        <f>IF(COUNT($E$2:$E1064)&lt;20,"",MAX($C$965:$C$1064))</f>
        <v>0</v>
      </c>
      <c r="AZ1064">
        <f>IF(COUNT($E$2:$E1064)&lt;20,"",MIN($D$965:$D$1064))</f>
        <v>0</v>
      </c>
      <c r="BA1064">
        <f>IF(COUNT($E$2:$E1064)&lt;20,"",SLOPE($E$965:$E$1064,$F$965:$F$1064))</f>
        <v>0</v>
      </c>
      <c r="BB1064">
        <f>IF(COUNT($E$2:$E1064)&lt;20,"",INTERCEPT($E$965:$E$1064,$F$965:$F$1064))</f>
        <v>0</v>
      </c>
      <c r="BC1064">
        <f>IF(OR(BA1064="",BB1064=""),"",BB1064+BA1064*F1064)</f>
        <v>0</v>
      </c>
      <c r="BD1064">
        <f>IF(COUNT($E$2:$E1064)&lt;20,"",STEYX($E$965:$E$1064,$F$965:$F$1064))</f>
        <v>0</v>
      </c>
      <c r="BE1064">
        <f>IF($E1064="","",IF(AND(COUNT($E$1065:$E$1068)&gt;=4,$C1064=MAX($C$1060:$C$1068)),$C1064,""))</f>
        <v>0</v>
      </c>
      <c r="BF1064">
        <f>IF($E1064="","",IF(AND(COUNT($E$1065:$E$1068)&gt;=4,$D1064=MIN($D$1060:$D$1068)),$D1064,""))</f>
        <v>0</v>
      </c>
      <c r="BG1064">
        <f>IF($A1064="","",$A1064-WEEKDAY($A1064,2)+1)</f>
        <v>0</v>
      </c>
      <c r="BH1064">
        <f>IF($A1064="","",IF($A1063="",1,IF(BG1064&lt;&gt;BG1063,1,0)))</f>
        <v>0</v>
      </c>
      <c r="BI1064">
        <f>IF($A1064="","",IF($A1065="",1,IF(BG1065&lt;&gt;BG1064,1,0)))</f>
        <v>0</v>
      </c>
      <c r="BJ1064">
        <f>IF($A1064="","",IF(BH1064=1,$B1064,BJ1063))</f>
        <v>0</v>
      </c>
      <c r="BK1064">
        <f>IF($A1064="","",IF(BH1064=1,$C1064,MAX($C1064,BK1063)))</f>
        <v>0</v>
      </c>
      <c r="BL1064">
        <f>IF($A1064="","",IF(BH1064=1,$D1064,MIN($D1064,BL1063)))</f>
        <v>0</v>
      </c>
      <c r="BM1064">
        <f>IF($A1064="","",IF(BI1064=1,F1064,""))</f>
        <v>0</v>
      </c>
      <c r="BN1064">
        <f>IF($A1064="","",DATE(YEAR($A1064),MONTH($A1064),1))</f>
        <v>0</v>
      </c>
      <c r="BO1064">
        <f>IF($A1064="","",IF($A1063="",1,IF(BN1064&lt;&gt;BN1063,1,0)))</f>
        <v>0</v>
      </c>
      <c r="BP1064">
        <f>IF($A1064="","",IF($A1065="",1,IF(BN1065&lt;&gt;BN1064,1,0)))</f>
        <v>0</v>
      </c>
      <c r="BQ1064">
        <f>IF($A1064="","",IF(BO1064=1,$B1064,BQ1063))</f>
        <v>0</v>
      </c>
      <c r="BR1064">
        <f>IF($A1064="","",IF(BO1064=1,$C1064,MAX($C1064,BR1063)))</f>
        <v>0</v>
      </c>
      <c r="BS1064">
        <f>IF($A1064="","",IF(BO1064=1,$D1064,MIN($D1064,BS1063)))</f>
        <v>0</v>
      </c>
      <c r="BT1064">
        <f>IF($A1064="","",IF(BP1064=1,F1064,""))</f>
        <v>0</v>
      </c>
    </row>
    <row r="1065" spans="1:72">
      <c r="A1065" s="27">
        <f>IF(Data!$A1065="","",Data!$A1065)</f>
        <v>0</v>
      </c>
      <c r="B1065">
        <f>IF(Data!$B1065="","",Data!$B1065)</f>
        <v>0</v>
      </c>
      <c r="C1065">
        <f>IF(Data!$C1065="","",Data!$C1065)</f>
        <v>0</v>
      </c>
      <c r="D1065">
        <f>IF(Data!$D1065="","",Data!$D1065)</f>
        <v>0</v>
      </c>
      <c r="E1065">
        <f>IF(Data!$E1065="","",Data!$E1065)</f>
        <v>0</v>
      </c>
      <c r="F1065">
        <f>IF($E1065="","",N(F1064)+1)</f>
        <v>0</v>
      </c>
      <c r="G1065">
        <f>IF(OR($E1065="",$E1064=""),"",LN($E1065/$E1064))</f>
        <v>0</v>
      </c>
      <c r="H1065">
        <f>IF($E1065="","",IF($E1064="",$E1065,$E1065*0.0952380952+H1064*0.9047619048))</f>
        <v>0</v>
      </c>
      <c r="I1065">
        <f>IF($E1065="","",IF($E1064="",$E1065,$E1065*0.0392156863+I1064*0.9607843137))</f>
        <v>0</v>
      </c>
      <c r="J1065">
        <f>IF($E1065="","",IF($E1064="",$E1065,$E1065*0.0198019802+J1064*0.9801980198))</f>
        <v>0</v>
      </c>
      <c r="K1065">
        <f>IF($E1065="","",IF($E1064="",$E1065,$E1065*0.0099502488+K1064*0.9900497512))</f>
        <v>0</v>
      </c>
      <c r="L1065">
        <f>IF(OR($E1065="",$E1064=""),"",MAX($E1065-$E1064,0))</f>
        <v>0</v>
      </c>
      <c r="M1065">
        <f>IF(OR($E1065="",$E1064=""),"",MAX($E1064-$E1065,0))</f>
        <v>0</v>
      </c>
      <c r="N1065">
        <f>IF(COUNT($E$2:$E1065)&lt;15,"",IF(AVERAGE($M$1052:$M$1065)=0,100,100-100/(1+AVERAGE($L$1052:$L$1065)/AVERAGE($M$1052:$M$1065))))</f>
        <v>0</v>
      </c>
      <c r="O1065">
        <f>IF($E1065="","",IF($E1064="",$E1065,$E1065*0.1538461538+O1064*0.8461538462))</f>
        <v>0</v>
      </c>
      <c r="P1065">
        <f>IF($E1065="","",IF($E1064="",$E1065,$E1065*0.0740740741+P1064*0.9259259259))</f>
        <v>0</v>
      </c>
      <c r="Q1065">
        <f>IF(OR(O1065="",P1065=""),"",O1065-P1065)</f>
        <v>0</v>
      </c>
      <c r="R1065">
        <f>IF(Q1065="","",IF(R1064="",Q1065,Q1065*0.2000000000+R1064*0.8000000000))</f>
        <v>0</v>
      </c>
      <c r="S1065">
        <f>IF(OR(Q1065="",R1065=""),"",Q1065-R1065)</f>
        <v>0</v>
      </c>
      <c r="T1065">
        <f>IF(COUNT($E$2:$E1065)&lt;14,"",MAX($C$1052:$C$1065))</f>
        <v>0</v>
      </c>
      <c r="U1065">
        <f>IF(COUNT($E$2:$E1065)&lt;14,"",MIN($D$1052:$D$1065))</f>
        <v>0</v>
      </c>
      <c r="V1065">
        <f>IF(OR(T1065="",U1065="",T1065=U1065),"",100*($E1065-U1065)/(T1065-U1065))</f>
        <v>0</v>
      </c>
      <c r="W1065">
        <f>IF(COUNT($V$1063:$V$1065)&lt;3,"",AVERAGE($V$1063:$V$1065))</f>
        <v>0</v>
      </c>
      <c r="X1065">
        <f>IF(COUNT($N$1052:$N$1065)&lt;14,"",MIN($N$1052:$N$1065))</f>
        <v>0</v>
      </c>
      <c r="Y1065">
        <f>IF(COUNT($N$1052:$N$1065)&lt;14,"",MAX($N$1052:$N$1065))</f>
        <v>0</v>
      </c>
      <c r="Z1065">
        <f>IF(OR(N1065="",X1065="",Y1065="",Y1065=X1065),"",100*(N1065-X1065)/(Y1065-X1065))</f>
        <v>0</v>
      </c>
      <c r="AA1065">
        <f>IF(COUNT($Z$1063:$Z$1065)&lt;3,"",AVERAGE($Z$1063:$Z$1065))</f>
        <v>0</v>
      </c>
      <c r="AB1065">
        <f>IF(COUNT($AA$1063:$AA$1065)&lt;3,"",AVERAGE($AA$1063:$AA$1065))</f>
        <v>0</v>
      </c>
      <c r="AC1065">
        <f>IF($E1065="","",MAX($C1065-$D1065,ABS($C1065-$E1064),ABS($D1065-$E1064)))</f>
        <v>0</v>
      </c>
      <c r="AD1065">
        <f>IF(COUNT($E$2:$E1065)&lt;15,"",AVERAGE($AC$1052:$AC$1065))</f>
        <v>0</v>
      </c>
      <c r="AE1065">
        <f>IF(OR($E1065="",$E1064=""),"",IF(AND(($C1065-$C1064)&gt;($D1064-$D1065),($C1065-$C1064)&gt;0),$C1065-$C1064,0))</f>
        <v>0</v>
      </c>
      <c r="AF1065">
        <f>IF(OR($E1065="",$E1064=""),"",IF(AND(($D1064-$D1065)&gt;($C1065-$C1064),($D1064-$D1065)&gt;0),$D1064-$D1065,0))</f>
        <v>0</v>
      </c>
      <c r="AG1065">
        <f>IF(COUNT($E$2:$E1065)&lt;15,"",IF(SUM($AC$1052:$AC$1065)=0,0,100*SUM($AE$1052:$AE$1065)/SUM($AC$1052:$AC$1065)))</f>
        <v>0</v>
      </c>
      <c r="AH1065">
        <f>IF(COUNT($E$2:$E1065)&lt;15,"",IF(SUM($AC$1052:$AC$1065)=0,0,100*SUM($AF$1052:$AF$1065)/SUM($AC$1052:$AC$1065)))</f>
        <v>0</v>
      </c>
      <c r="AI1065">
        <f>IF(OR(AG1065="",AH1065=""),"",IF((AG1065+AH1065)=0,0,100*ABS(AG1065-AH1065)/(AG1065+AH1065)))</f>
        <v>0</v>
      </c>
      <c r="AJ1065">
        <f>IF(COUNT($AI$1052:$AI$1065)&lt;14,"",AVERAGE($AI$1052:$AI$1065))</f>
        <v>0</v>
      </c>
      <c r="AK1065">
        <f>IF(COUNT($E$2:$E1065)&lt;20,"",AVERAGE($E$1046:$E$1065))</f>
        <v>0</v>
      </c>
      <c r="AL1065">
        <f>IF(COUNT($E$2:$E1065)&lt;20,"",STDEVP($E$1046:$E$1065))</f>
        <v>0</v>
      </c>
      <c r="AM1065">
        <f>IF(AK1065="","",AK1065+2*AL1065)</f>
        <v>0</v>
      </c>
      <c r="AN1065">
        <f>IF(AK1065="","",AK1065-2*AL1065)</f>
        <v>0</v>
      </c>
      <c r="AO1065">
        <f>IF(OR(AM1065="",AN1065="",AM1065=AN1065),"",($E1065-AN1065)/(AM1065-AN1065))</f>
        <v>0</v>
      </c>
      <c r="AP1065">
        <f>IF(OR(AM1065="",AK1065="",AK1065=0),"",(AM1065-AN1065)/AK1065)</f>
        <v>0</v>
      </c>
      <c r="AQ1065">
        <f>IF(COUNT($E$2:$E1065)&lt;20,"",MAX($C$1046:$C$1065))</f>
        <v>0</v>
      </c>
      <c r="AR1065">
        <f>IF(COUNT($E$2:$E1065)&lt;20,"",MIN($D$1046:$D$1065))</f>
        <v>0</v>
      </c>
      <c r="AS1065">
        <f>IF(OR(AQ1065="",AR1065=""),"",(AQ1065+AR1065)/2)</f>
        <v>0</v>
      </c>
      <c r="AT1065">
        <f>IF(COUNT($G$1046:$G$1065)&lt;20,"",STDEV($G$1046:$G$1065)*SQRT(252))</f>
        <v>0</v>
      </c>
      <c r="AU1065">
        <f>IF(COUNT($E$2:$E1065)&lt;9,"",(MAX($C$1057:$C$1065)+MIN($D$1057:$D$1065))/2)</f>
        <v>0</v>
      </c>
      <c r="AV1065">
        <f>IF(COUNT($E$2:$E1065)&lt;26,"",(MAX($C$1040:$C$1065)+MIN($D$1040:$D$1065))/2)</f>
        <v>0</v>
      </c>
      <c r="AW1065">
        <f>IF(OR(AU1065="",AV1065=""),"",(AU1065+AV1065)/2)</f>
        <v>0</v>
      </c>
      <c r="AX1065">
        <f>IF(COUNT($E$2:$E1065)&lt;52,"",(MAX($C$1014:$C$1065)+MIN($D$1014:$D$1065))/2)</f>
        <v>0</v>
      </c>
      <c r="AY1065">
        <f>IF(COUNT($E$2:$E1065)&lt;20,"",MAX($C$966:$C$1065))</f>
        <v>0</v>
      </c>
      <c r="AZ1065">
        <f>IF(COUNT($E$2:$E1065)&lt;20,"",MIN($D$966:$D$1065))</f>
        <v>0</v>
      </c>
      <c r="BA1065">
        <f>IF(COUNT($E$2:$E1065)&lt;20,"",SLOPE($E$966:$E$1065,$F$966:$F$1065))</f>
        <v>0</v>
      </c>
      <c r="BB1065">
        <f>IF(COUNT($E$2:$E1065)&lt;20,"",INTERCEPT($E$966:$E$1065,$F$966:$F$1065))</f>
        <v>0</v>
      </c>
      <c r="BC1065">
        <f>IF(OR(BA1065="",BB1065=""),"",BB1065+BA1065*F1065)</f>
        <v>0</v>
      </c>
      <c r="BD1065">
        <f>IF(COUNT($E$2:$E1065)&lt;20,"",STEYX($E$966:$E$1065,$F$966:$F$1065))</f>
        <v>0</v>
      </c>
      <c r="BE1065">
        <f>IF($E1065="","",IF(AND(COUNT($E$1066:$E$1069)&gt;=4,$C1065=MAX($C$1061:$C$1069)),$C1065,""))</f>
        <v>0</v>
      </c>
      <c r="BF1065">
        <f>IF($E1065="","",IF(AND(COUNT($E$1066:$E$1069)&gt;=4,$D1065=MIN($D$1061:$D$1069)),$D1065,""))</f>
        <v>0</v>
      </c>
      <c r="BG1065">
        <f>IF($A1065="","",$A1065-WEEKDAY($A1065,2)+1)</f>
        <v>0</v>
      </c>
      <c r="BH1065">
        <f>IF($A1065="","",IF($A1064="",1,IF(BG1065&lt;&gt;BG1064,1,0)))</f>
        <v>0</v>
      </c>
      <c r="BI1065">
        <f>IF($A1065="","",IF($A1066="",1,IF(BG1066&lt;&gt;BG1065,1,0)))</f>
        <v>0</v>
      </c>
      <c r="BJ1065">
        <f>IF($A1065="","",IF(BH1065=1,$B1065,BJ1064))</f>
        <v>0</v>
      </c>
      <c r="BK1065">
        <f>IF($A1065="","",IF(BH1065=1,$C1065,MAX($C1065,BK1064)))</f>
        <v>0</v>
      </c>
      <c r="BL1065">
        <f>IF($A1065="","",IF(BH1065=1,$D1065,MIN($D1065,BL1064)))</f>
        <v>0</v>
      </c>
      <c r="BM1065">
        <f>IF($A1065="","",IF(BI1065=1,F1065,""))</f>
        <v>0</v>
      </c>
      <c r="BN1065">
        <f>IF($A1065="","",DATE(YEAR($A1065),MONTH($A1065),1))</f>
        <v>0</v>
      </c>
      <c r="BO1065">
        <f>IF($A1065="","",IF($A1064="",1,IF(BN1065&lt;&gt;BN1064,1,0)))</f>
        <v>0</v>
      </c>
      <c r="BP1065">
        <f>IF($A1065="","",IF($A1066="",1,IF(BN1066&lt;&gt;BN1065,1,0)))</f>
        <v>0</v>
      </c>
      <c r="BQ1065">
        <f>IF($A1065="","",IF(BO1065=1,$B1065,BQ1064))</f>
        <v>0</v>
      </c>
      <c r="BR1065">
        <f>IF($A1065="","",IF(BO1065=1,$C1065,MAX($C1065,BR1064)))</f>
        <v>0</v>
      </c>
      <c r="BS1065">
        <f>IF($A1065="","",IF(BO1065=1,$D1065,MIN($D1065,BS1064)))</f>
        <v>0</v>
      </c>
      <c r="BT1065">
        <f>IF($A1065="","",IF(BP1065=1,F1065,""))</f>
        <v>0</v>
      </c>
    </row>
    <row r="1066" spans="1:72">
      <c r="A1066" s="27">
        <f>IF(Data!$A1066="","",Data!$A1066)</f>
        <v>0</v>
      </c>
      <c r="B1066">
        <f>IF(Data!$B1066="","",Data!$B1066)</f>
        <v>0</v>
      </c>
      <c r="C1066">
        <f>IF(Data!$C1066="","",Data!$C1066)</f>
        <v>0</v>
      </c>
      <c r="D1066">
        <f>IF(Data!$D1066="","",Data!$D1066)</f>
        <v>0</v>
      </c>
      <c r="E1066">
        <f>IF(Data!$E1066="","",Data!$E1066)</f>
        <v>0</v>
      </c>
      <c r="F1066">
        <f>IF($E1066="","",N(F1065)+1)</f>
        <v>0</v>
      </c>
      <c r="G1066">
        <f>IF(OR($E1066="",$E1065=""),"",LN($E1066/$E1065))</f>
        <v>0</v>
      </c>
      <c r="H1066">
        <f>IF($E1066="","",IF($E1065="",$E1066,$E1066*0.0952380952+H1065*0.9047619048))</f>
        <v>0</v>
      </c>
      <c r="I1066">
        <f>IF($E1066="","",IF($E1065="",$E1066,$E1066*0.0392156863+I1065*0.9607843137))</f>
        <v>0</v>
      </c>
      <c r="J1066">
        <f>IF($E1066="","",IF($E1065="",$E1066,$E1066*0.0198019802+J1065*0.9801980198))</f>
        <v>0</v>
      </c>
      <c r="K1066">
        <f>IF($E1066="","",IF($E1065="",$E1066,$E1066*0.0099502488+K1065*0.9900497512))</f>
        <v>0</v>
      </c>
      <c r="L1066">
        <f>IF(OR($E1066="",$E1065=""),"",MAX($E1066-$E1065,0))</f>
        <v>0</v>
      </c>
      <c r="M1066">
        <f>IF(OR($E1066="",$E1065=""),"",MAX($E1065-$E1066,0))</f>
        <v>0</v>
      </c>
      <c r="N1066">
        <f>IF(COUNT($E$2:$E1066)&lt;15,"",IF(AVERAGE($M$1053:$M$1066)=0,100,100-100/(1+AVERAGE($L$1053:$L$1066)/AVERAGE($M$1053:$M$1066))))</f>
        <v>0</v>
      </c>
      <c r="O1066">
        <f>IF($E1066="","",IF($E1065="",$E1066,$E1066*0.1538461538+O1065*0.8461538462))</f>
        <v>0</v>
      </c>
      <c r="P1066">
        <f>IF($E1066="","",IF($E1065="",$E1066,$E1066*0.0740740741+P1065*0.9259259259))</f>
        <v>0</v>
      </c>
      <c r="Q1066">
        <f>IF(OR(O1066="",P1066=""),"",O1066-P1066)</f>
        <v>0</v>
      </c>
      <c r="R1066">
        <f>IF(Q1066="","",IF(R1065="",Q1066,Q1066*0.2000000000+R1065*0.8000000000))</f>
        <v>0</v>
      </c>
      <c r="S1066">
        <f>IF(OR(Q1066="",R1066=""),"",Q1066-R1066)</f>
        <v>0</v>
      </c>
      <c r="T1066">
        <f>IF(COUNT($E$2:$E1066)&lt;14,"",MAX($C$1053:$C$1066))</f>
        <v>0</v>
      </c>
      <c r="U1066">
        <f>IF(COUNT($E$2:$E1066)&lt;14,"",MIN($D$1053:$D$1066))</f>
        <v>0</v>
      </c>
      <c r="V1066">
        <f>IF(OR(T1066="",U1066="",T1066=U1066),"",100*($E1066-U1066)/(T1066-U1066))</f>
        <v>0</v>
      </c>
      <c r="W1066">
        <f>IF(COUNT($V$1064:$V$1066)&lt;3,"",AVERAGE($V$1064:$V$1066))</f>
        <v>0</v>
      </c>
      <c r="X1066">
        <f>IF(COUNT($N$1053:$N$1066)&lt;14,"",MIN($N$1053:$N$1066))</f>
        <v>0</v>
      </c>
      <c r="Y1066">
        <f>IF(COUNT($N$1053:$N$1066)&lt;14,"",MAX($N$1053:$N$1066))</f>
        <v>0</v>
      </c>
      <c r="Z1066">
        <f>IF(OR(N1066="",X1066="",Y1066="",Y1066=X1066),"",100*(N1066-X1066)/(Y1066-X1066))</f>
        <v>0</v>
      </c>
      <c r="AA1066">
        <f>IF(COUNT($Z$1064:$Z$1066)&lt;3,"",AVERAGE($Z$1064:$Z$1066))</f>
        <v>0</v>
      </c>
      <c r="AB1066">
        <f>IF(COUNT($AA$1064:$AA$1066)&lt;3,"",AVERAGE($AA$1064:$AA$1066))</f>
        <v>0</v>
      </c>
      <c r="AC1066">
        <f>IF($E1066="","",MAX($C1066-$D1066,ABS($C1066-$E1065),ABS($D1066-$E1065)))</f>
        <v>0</v>
      </c>
      <c r="AD1066">
        <f>IF(COUNT($E$2:$E1066)&lt;15,"",AVERAGE($AC$1053:$AC$1066))</f>
        <v>0</v>
      </c>
      <c r="AE1066">
        <f>IF(OR($E1066="",$E1065=""),"",IF(AND(($C1066-$C1065)&gt;($D1065-$D1066),($C1066-$C1065)&gt;0),$C1066-$C1065,0))</f>
        <v>0</v>
      </c>
      <c r="AF1066">
        <f>IF(OR($E1066="",$E1065=""),"",IF(AND(($D1065-$D1066)&gt;($C1066-$C1065),($D1065-$D1066)&gt;0),$D1065-$D1066,0))</f>
        <v>0</v>
      </c>
      <c r="AG1066">
        <f>IF(COUNT($E$2:$E1066)&lt;15,"",IF(SUM($AC$1053:$AC$1066)=0,0,100*SUM($AE$1053:$AE$1066)/SUM($AC$1053:$AC$1066)))</f>
        <v>0</v>
      </c>
      <c r="AH1066">
        <f>IF(COUNT($E$2:$E1066)&lt;15,"",IF(SUM($AC$1053:$AC$1066)=0,0,100*SUM($AF$1053:$AF$1066)/SUM($AC$1053:$AC$1066)))</f>
        <v>0</v>
      </c>
      <c r="AI1066">
        <f>IF(OR(AG1066="",AH1066=""),"",IF((AG1066+AH1066)=0,0,100*ABS(AG1066-AH1066)/(AG1066+AH1066)))</f>
        <v>0</v>
      </c>
      <c r="AJ1066">
        <f>IF(COUNT($AI$1053:$AI$1066)&lt;14,"",AVERAGE($AI$1053:$AI$1066))</f>
        <v>0</v>
      </c>
      <c r="AK1066">
        <f>IF(COUNT($E$2:$E1066)&lt;20,"",AVERAGE($E$1047:$E$1066))</f>
        <v>0</v>
      </c>
      <c r="AL1066">
        <f>IF(COUNT($E$2:$E1066)&lt;20,"",STDEVP($E$1047:$E$1066))</f>
        <v>0</v>
      </c>
      <c r="AM1066">
        <f>IF(AK1066="","",AK1066+2*AL1066)</f>
        <v>0</v>
      </c>
      <c r="AN1066">
        <f>IF(AK1066="","",AK1066-2*AL1066)</f>
        <v>0</v>
      </c>
      <c r="AO1066">
        <f>IF(OR(AM1066="",AN1066="",AM1066=AN1066),"",($E1066-AN1066)/(AM1066-AN1066))</f>
        <v>0</v>
      </c>
      <c r="AP1066">
        <f>IF(OR(AM1066="",AK1066="",AK1066=0),"",(AM1066-AN1066)/AK1066)</f>
        <v>0</v>
      </c>
      <c r="AQ1066">
        <f>IF(COUNT($E$2:$E1066)&lt;20,"",MAX($C$1047:$C$1066))</f>
        <v>0</v>
      </c>
      <c r="AR1066">
        <f>IF(COUNT($E$2:$E1066)&lt;20,"",MIN($D$1047:$D$1066))</f>
        <v>0</v>
      </c>
      <c r="AS1066">
        <f>IF(OR(AQ1066="",AR1066=""),"",(AQ1066+AR1066)/2)</f>
        <v>0</v>
      </c>
      <c r="AT1066">
        <f>IF(COUNT($G$1047:$G$1066)&lt;20,"",STDEV($G$1047:$G$1066)*SQRT(252))</f>
        <v>0</v>
      </c>
      <c r="AU1066">
        <f>IF(COUNT($E$2:$E1066)&lt;9,"",(MAX($C$1058:$C$1066)+MIN($D$1058:$D$1066))/2)</f>
        <v>0</v>
      </c>
      <c r="AV1066">
        <f>IF(COUNT($E$2:$E1066)&lt;26,"",(MAX($C$1041:$C$1066)+MIN($D$1041:$D$1066))/2)</f>
        <v>0</v>
      </c>
      <c r="AW1066">
        <f>IF(OR(AU1066="",AV1066=""),"",(AU1066+AV1066)/2)</f>
        <v>0</v>
      </c>
      <c r="AX1066">
        <f>IF(COUNT($E$2:$E1066)&lt;52,"",(MAX($C$1015:$C$1066)+MIN($D$1015:$D$1066))/2)</f>
        <v>0</v>
      </c>
      <c r="AY1066">
        <f>IF(COUNT($E$2:$E1066)&lt;20,"",MAX($C$967:$C$1066))</f>
        <v>0</v>
      </c>
      <c r="AZ1066">
        <f>IF(COUNT($E$2:$E1066)&lt;20,"",MIN($D$967:$D$1066))</f>
        <v>0</v>
      </c>
      <c r="BA1066">
        <f>IF(COUNT($E$2:$E1066)&lt;20,"",SLOPE($E$967:$E$1066,$F$967:$F$1066))</f>
        <v>0</v>
      </c>
      <c r="BB1066">
        <f>IF(COUNT($E$2:$E1066)&lt;20,"",INTERCEPT($E$967:$E$1066,$F$967:$F$1066))</f>
        <v>0</v>
      </c>
      <c r="BC1066">
        <f>IF(OR(BA1066="",BB1066=""),"",BB1066+BA1066*F1066)</f>
        <v>0</v>
      </c>
      <c r="BD1066">
        <f>IF(COUNT($E$2:$E1066)&lt;20,"",STEYX($E$967:$E$1066,$F$967:$F$1066))</f>
        <v>0</v>
      </c>
      <c r="BE1066">
        <f>IF($E1066="","",IF(AND(COUNT($E$1067:$E$1070)&gt;=4,$C1066=MAX($C$1062:$C$1070)),$C1066,""))</f>
        <v>0</v>
      </c>
      <c r="BF1066">
        <f>IF($E1066="","",IF(AND(COUNT($E$1067:$E$1070)&gt;=4,$D1066=MIN($D$1062:$D$1070)),$D1066,""))</f>
        <v>0</v>
      </c>
      <c r="BG1066">
        <f>IF($A1066="","",$A1066-WEEKDAY($A1066,2)+1)</f>
        <v>0</v>
      </c>
      <c r="BH1066">
        <f>IF($A1066="","",IF($A1065="",1,IF(BG1066&lt;&gt;BG1065,1,0)))</f>
        <v>0</v>
      </c>
      <c r="BI1066">
        <f>IF($A1066="","",IF($A1067="",1,IF(BG1067&lt;&gt;BG1066,1,0)))</f>
        <v>0</v>
      </c>
      <c r="BJ1066">
        <f>IF($A1066="","",IF(BH1066=1,$B1066,BJ1065))</f>
        <v>0</v>
      </c>
      <c r="BK1066">
        <f>IF($A1066="","",IF(BH1066=1,$C1066,MAX($C1066,BK1065)))</f>
        <v>0</v>
      </c>
      <c r="BL1066">
        <f>IF($A1066="","",IF(BH1066=1,$D1066,MIN($D1066,BL1065)))</f>
        <v>0</v>
      </c>
      <c r="BM1066">
        <f>IF($A1066="","",IF(BI1066=1,F1066,""))</f>
        <v>0</v>
      </c>
      <c r="BN1066">
        <f>IF($A1066="","",DATE(YEAR($A1066),MONTH($A1066),1))</f>
        <v>0</v>
      </c>
      <c r="BO1066">
        <f>IF($A1066="","",IF($A1065="",1,IF(BN1066&lt;&gt;BN1065,1,0)))</f>
        <v>0</v>
      </c>
      <c r="BP1066">
        <f>IF($A1066="","",IF($A1067="",1,IF(BN1067&lt;&gt;BN1066,1,0)))</f>
        <v>0</v>
      </c>
      <c r="BQ1066">
        <f>IF($A1066="","",IF(BO1066=1,$B1066,BQ1065))</f>
        <v>0</v>
      </c>
      <c r="BR1066">
        <f>IF($A1066="","",IF(BO1066=1,$C1066,MAX($C1066,BR1065)))</f>
        <v>0</v>
      </c>
      <c r="BS1066">
        <f>IF($A1066="","",IF(BO1066=1,$D1066,MIN($D1066,BS1065)))</f>
        <v>0</v>
      </c>
      <c r="BT1066">
        <f>IF($A1066="","",IF(BP1066=1,F1066,""))</f>
        <v>0</v>
      </c>
    </row>
    <row r="1067" spans="1:72">
      <c r="A1067" s="27">
        <f>IF(Data!$A1067="","",Data!$A1067)</f>
        <v>0</v>
      </c>
      <c r="B1067">
        <f>IF(Data!$B1067="","",Data!$B1067)</f>
        <v>0</v>
      </c>
      <c r="C1067">
        <f>IF(Data!$C1067="","",Data!$C1067)</f>
        <v>0</v>
      </c>
      <c r="D1067">
        <f>IF(Data!$D1067="","",Data!$D1067)</f>
        <v>0</v>
      </c>
      <c r="E1067">
        <f>IF(Data!$E1067="","",Data!$E1067)</f>
        <v>0</v>
      </c>
      <c r="F1067">
        <f>IF($E1067="","",N(F1066)+1)</f>
        <v>0</v>
      </c>
      <c r="G1067">
        <f>IF(OR($E1067="",$E1066=""),"",LN($E1067/$E1066))</f>
        <v>0</v>
      </c>
      <c r="H1067">
        <f>IF($E1067="","",IF($E1066="",$E1067,$E1067*0.0952380952+H1066*0.9047619048))</f>
        <v>0</v>
      </c>
      <c r="I1067">
        <f>IF($E1067="","",IF($E1066="",$E1067,$E1067*0.0392156863+I1066*0.9607843137))</f>
        <v>0</v>
      </c>
      <c r="J1067">
        <f>IF($E1067="","",IF($E1066="",$E1067,$E1067*0.0198019802+J1066*0.9801980198))</f>
        <v>0</v>
      </c>
      <c r="K1067">
        <f>IF($E1067="","",IF($E1066="",$E1067,$E1067*0.0099502488+K1066*0.9900497512))</f>
        <v>0</v>
      </c>
      <c r="L1067">
        <f>IF(OR($E1067="",$E1066=""),"",MAX($E1067-$E1066,0))</f>
        <v>0</v>
      </c>
      <c r="M1067">
        <f>IF(OR($E1067="",$E1066=""),"",MAX($E1066-$E1067,0))</f>
        <v>0</v>
      </c>
      <c r="N1067">
        <f>IF(COUNT($E$2:$E1067)&lt;15,"",IF(AVERAGE($M$1054:$M$1067)=0,100,100-100/(1+AVERAGE($L$1054:$L$1067)/AVERAGE($M$1054:$M$1067))))</f>
        <v>0</v>
      </c>
      <c r="O1067">
        <f>IF($E1067="","",IF($E1066="",$E1067,$E1067*0.1538461538+O1066*0.8461538462))</f>
        <v>0</v>
      </c>
      <c r="P1067">
        <f>IF($E1067="","",IF($E1066="",$E1067,$E1067*0.0740740741+P1066*0.9259259259))</f>
        <v>0</v>
      </c>
      <c r="Q1067">
        <f>IF(OR(O1067="",P1067=""),"",O1067-P1067)</f>
        <v>0</v>
      </c>
      <c r="R1067">
        <f>IF(Q1067="","",IF(R1066="",Q1067,Q1067*0.2000000000+R1066*0.8000000000))</f>
        <v>0</v>
      </c>
      <c r="S1067">
        <f>IF(OR(Q1067="",R1067=""),"",Q1067-R1067)</f>
        <v>0</v>
      </c>
      <c r="T1067">
        <f>IF(COUNT($E$2:$E1067)&lt;14,"",MAX($C$1054:$C$1067))</f>
        <v>0</v>
      </c>
      <c r="U1067">
        <f>IF(COUNT($E$2:$E1067)&lt;14,"",MIN($D$1054:$D$1067))</f>
        <v>0</v>
      </c>
      <c r="V1067">
        <f>IF(OR(T1067="",U1067="",T1067=U1067),"",100*($E1067-U1067)/(T1067-U1067))</f>
        <v>0</v>
      </c>
      <c r="W1067">
        <f>IF(COUNT($V$1065:$V$1067)&lt;3,"",AVERAGE($V$1065:$V$1067))</f>
        <v>0</v>
      </c>
      <c r="X1067">
        <f>IF(COUNT($N$1054:$N$1067)&lt;14,"",MIN($N$1054:$N$1067))</f>
        <v>0</v>
      </c>
      <c r="Y1067">
        <f>IF(COUNT($N$1054:$N$1067)&lt;14,"",MAX($N$1054:$N$1067))</f>
        <v>0</v>
      </c>
      <c r="Z1067">
        <f>IF(OR(N1067="",X1067="",Y1067="",Y1067=X1067),"",100*(N1067-X1067)/(Y1067-X1067))</f>
        <v>0</v>
      </c>
      <c r="AA1067">
        <f>IF(COUNT($Z$1065:$Z$1067)&lt;3,"",AVERAGE($Z$1065:$Z$1067))</f>
        <v>0</v>
      </c>
      <c r="AB1067">
        <f>IF(COUNT($AA$1065:$AA$1067)&lt;3,"",AVERAGE($AA$1065:$AA$1067))</f>
        <v>0</v>
      </c>
      <c r="AC1067">
        <f>IF($E1067="","",MAX($C1067-$D1067,ABS($C1067-$E1066),ABS($D1067-$E1066)))</f>
        <v>0</v>
      </c>
      <c r="AD1067">
        <f>IF(COUNT($E$2:$E1067)&lt;15,"",AVERAGE($AC$1054:$AC$1067))</f>
        <v>0</v>
      </c>
      <c r="AE1067">
        <f>IF(OR($E1067="",$E1066=""),"",IF(AND(($C1067-$C1066)&gt;($D1066-$D1067),($C1067-$C1066)&gt;0),$C1067-$C1066,0))</f>
        <v>0</v>
      </c>
      <c r="AF1067">
        <f>IF(OR($E1067="",$E1066=""),"",IF(AND(($D1066-$D1067)&gt;($C1067-$C1066),($D1066-$D1067)&gt;0),$D1066-$D1067,0))</f>
        <v>0</v>
      </c>
      <c r="AG1067">
        <f>IF(COUNT($E$2:$E1067)&lt;15,"",IF(SUM($AC$1054:$AC$1067)=0,0,100*SUM($AE$1054:$AE$1067)/SUM($AC$1054:$AC$1067)))</f>
        <v>0</v>
      </c>
      <c r="AH1067">
        <f>IF(COUNT($E$2:$E1067)&lt;15,"",IF(SUM($AC$1054:$AC$1067)=0,0,100*SUM($AF$1054:$AF$1067)/SUM($AC$1054:$AC$1067)))</f>
        <v>0</v>
      </c>
      <c r="AI1067">
        <f>IF(OR(AG1067="",AH1067=""),"",IF((AG1067+AH1067)=0,0,100*ABS(AG1067-AH1067)/(AG1067+AH1067)))</f>
        <v>0</v>
      </c>
      <c r="AJ1067">
        <f>IF(COUNT($AI$1054:$AI$1067)&lt;14,"",AVERAGE($AI$1054:$AI$1067))</f>
        <v>0</v>
      </c>
      <c r="AK1067">
        <f>IF(COUNT($E$2:$E1067)&lt;20,"",AVERAGE($E$1048:$E$1067))</f>
        <v>0</v>
      </c>
      <c r="AL1067">
        <f>IF(COUNT($E$2:$E1067)&lt;20,"",STDEVP($E$1048:$E$1067))</f>
        <v>0</v>
      </c>
      <c r="AM1067">
        <f>IF(AK1067="","",AK1067+2*AL1067)</f>
        <v>0</v>
      </c>
      <c r="AN1067">
        <f>IF(AK1067="","",AK1067-2*AL1067)</f>
        <v>0</v>
      </c>
      <c r="AO1067">
        <f>IF(OR(AM1067="",AN1067="",AM1067=AN1067),"",($E1067-AN1067)/(AM1067-AN1067))</f>
        <v>0</v>
      </c>
      <c r="AP1067">
        <f>IF(OR(AM1067="",AK1067="",AK1067=0),"",(AM1067-AN1067)/AK1067)</f>
        <v>0</v>
      </c>
      <c r="AQ1067">
        <f>IF(COUNT($E$2:$E1067)&lt;20,"",MAX($C$1048:$C$1067))</f>
        <v>0</v>
      </c>
      <c r="AR1067">
        <f>IF(COUNT($E$2:$E1067)&lt;20,"",MIN($D$1048:$D$1067))</f>
        <v>0</v>
      </c>
      <c r="AS1067">
        <f>IF(OR(AQ1067="",AR1067=""),"",(AQ1067+AR1067)/2)</f>
        <v>0</v>
      </c>
      <c r="AT1067">
        <f>IF(COUNT($G$1048:$G$1067)&lt;20,"",STDEV($G$1048:$G$1067)*SQRT(252))</f>
        <v>0</v>
      </c>
      <c r="AU1067">
        <f>IF(COUNT($E$2:$E1067)&lt;9,"",(MAX($C$1059:$C$1067)+MIN($D$1059:$D$1067))/2)</f>
        <v>0</v>
      </c>
      <c r="AV1067">
        <f>IF(COUNT($E$2:$E1067)&lt;26,"",(MAX($C$1042:$C$1067)+MIN($D$1042:$D$1067))/2)</f>
        <v>0</v>
      </c>
      <c r="AW1067">
        <f>IF(OR(AU1067="",AV1067=""),"",(AU1067+AV1067)/2)</f>
        <v>0</v>
      </c>
      <c r="AX1067">
        <f>IF(COUNT($E$2:$E1067)&lt;52,"",(MAX($C$1016:$C$1067)+MIN($D$1016:$D$1067))/2)</f>
        <v>0</v>
      </c>
      <c r="AY1067">
        <f>IF(COUNT($E$2:$E1067)&lt;20,"",MAX($C$968:$C$1067))</f>
        <v>0</v>
      </c>
      <c r="AZ1067">
        <f>IF(COUNT($E$2:$E1067)&lt;20,"",MIN($D$968:$D$1067))</f>
        <v>0</v>
      </c>
      <c r="BA1067">
        <f>IF(COUNT($E$2:$E1067)&lt;20,"",SLOPE($E$968:$E$1067,$F$968:$F$1067))</f>
        <v>0</v>
      </c>
      <c r="BB1067">
        <f>IF(COUNT($E$2:$E1067)&lt;20,"",INTERCEPT($E$968:$E$1067,$F$968:$F$1067))</f>
        <v>0</v>
      </c>
      <c r="BC1067">
        <f>IF(OR(BA1067="",BB1067=""),"",BB1067+BA1067*F1067)</f>
        <v>0</v>
      </c>
      <c r="BD1067">
        <f>IF(COUNT($E$2:$E1067)&lt;20,"",STEYX($E$968:$E$1067,$F$968:$F$1067))</f>
        <v>0</v>
      </c>
      <c r="BE1067">
        <f>IF($E1067="","",IF(AND(COUNT($E$1068:$E$1071)&gt;=4,$C1067=MAX($C$1063:$C$1071)),$C1067,""))</f>
        <v>0</v>
      </c>
      <c r="BF1067">
        <f>IF($E1067="","",IF(AND(COUNT($E$1068:$E$1071)&gt;=4,$D1067=MIN($D$1063:$D$1071)),$D1067,""))</f>
        <v>0</v>
      </c>
      <c r="BG1067">
        <f>IF($A1067="","",$A1067-WEEKDAY($A1067,2)+1)</f>
        <v>0</v>
      </c>
      <c r="BH1067">
        <f>IF($A1067="","",IF($A1066="",1,IF(BG1067&lt;&gt;BG1066,1,0)))</f>
        <v>0</v>
      </c>
      <c r="BI1067">
        <f>IF($A1067="","",IF($A1068="",1,IF(BG1068&lt;&gt;BG1067,1,0)))</f>
        <v>0</v>
      </c>
      <c r="BJ1067">
        <f>IF($A1067="","",IF(BH1067=1,$B1067,BJ1066))</f>
        <v>0</v>
      </c>
      <c r="BK1067">
        <f>IF($A1067="","",IF(BH1067=1,$C1067,MAX($C1067,BK1066)))</f>
        <v>0</v>
      </c>
      <c r="BL1067">
        <f>IF($A1067="","",IF(BH1067=1,$D1067,MIN($D1067,BL1066)))</f>
        <v>0</v>
      </c>
      <c r="BM1067">
        <f>IF($A1067="","",IF(BI1067=1,F1067,""))</f>
        <v>0</v>
      </c>
      <c r="BN1067">
        <f>IF($A1067="","",DATE(YEAR($A1067),MONTH($A1067),1))</f>
        <v>0</v>
      </c>
      <c r="BO1067">
        <f>IF($A1067="","",IF($A1066="",1,IF(BN1067&lt;&gt;BN1066,1,0)))</f>
        <v>0</v>
      </c>
      <c r="BP1067">
        <f>IF($A1067="","",IF($A1068="",1,IF(BN1068&lt;&gt;BN1067,1,0)))</f>
        <v>0</v>
      </c>
      <c r="BQ1067">
        <f>IF($A1067="","",IF(BO1067=1,$B1067,BQ1066))</f>
        <v>0</v>
      </c>
      <c r="BR1067">
        <f>IF($A1067="","",IF(BO1067=1,$C1067,MAX($C1067,BR1066)))</f>
        <v>0</v>
      </c>
      <c r="BS1067">
        <f>IF($A1067="","",IF(BO1067=1,$D1067,MIN($D1067,BS1066)))</f>
        <v>0</v>
      </c>
      <c r="BT1067">
        <f>IF($A1067="","",IF(BP1067=1,F1067,""))</f>
        <v>0</v>
      </c>
    </row>
    <row r="1068" spans="1:72">
      <c r="A1068" s="27">
        <f>IF(Data!$A1068="","",Data!$A1068)</f>
        <v>0</v>
      </c>
      <c r="B1068">
        <f>IF(Data!$B1068="","",Data!$B1068)</f>
        <v>0</v>
      </c>
      <c r="C1068">
        <f>IF(Data!$C1068="","",Data!$C1068)</f>
        <v>0</v>
      </c>
      <c r="D1068">
        <f>IF(Data!$D1068="","",Data!$D1068)</f>
        <v>0</v>
      </c>
      <c r="E1068">
        <f>IF(Data!$E1068="","",Data!$E1068)</f>
        <v>0</v>
      </c>
      <c r="F1068">
        <f>IF($E1068="","",N(F1067)+1)</f>
        <v>0</v>
      </c>
      <c r="G1068">
        <f>IF(OR($E1068="",$E1067=""),"",LN($E1068/$E1067))</f>
        <v>0</v>
      </c>
      <c r="H1068">
        <f>IF($E1068="","",IF($E1067="",$E1068,$E1068*0.0952380952+H1067*0.9047619048))</f>
        <v>0</v>
      </c>
      <c r="I1068">
        <f>IF($E1068="","",IF($E1067="",$E1068,$E1068*0.0392156863+I1067*0.9607843137))</f>
        <v>0</v>
      </c>
      <c r="J1068">
        <f>IF($E1068="","",IF($E1067="",$E1068,$E1068*0.0198019802+J1067*0.9801980198))</f>
        <v>0</v>
      </c>
      <c r="K1068">
        <f>IF($E1068="","",IF($E1067="",$E1068,$E1068*0.0099502488+K1067*0.9900497512))</f>
        <v>0</v>
      </c>
      <c r="L1068">
        <f>IF(OR($E1068="",$E1067=""),"",MAX($E1068-$E1067,0))</f>
        <v>0</v>
      </c>
      <c r="M1068">
        <f>IF(OR($E1068="",$E1067=""),"",MAX($E1067-$E1068,0))</f>
        <v>0</v>
      </c>
      <c r="N1068">
        <f>IF(COUNT($E$2:$E1068)&lt;15,"",IF(AVERAGE($M$1055:$M$1068)=0,100,100-100/(1+AVERAGE($L$1055:$L$1068)/AVERAGE($M$1055:$M$1068))))</f>
        <v>0</v>
      </c>
      <c r="O1068">
        <f>IF($E1068="","",IF($E1067="",$E1068,$E1068*0.1538461538+O1067*0.8461538462))</f>
        <v>0</v>
      </c>
      <c r="P1068">
        <f>IF($E1068="","",IF($E1067="",$E1068,$E1068*0.0740740741+P1067*0.9259259259))</f>
        <v>0</v>
      </c>
      <c r="Q1068">
        <f>IF(OR(O1068="",P1068=""),"",O1068-P1068)</f>
        <v>0</v>
      </c>
      <c r="R1068">
        <f>IF(Q1068="","",IF(R1067="",Q1068,Q1068*0.2000000000+R1067*0.8000000000))</f>
        <v>0</v>
      </c>
      <c r="S1068">
        <f>IF(OR(Q1068="",R1068=""),"",Q1068-R1068)</f>
        <v>0</v>
      </c>
      <c r="T1068">
        <f>IF(COUNT($E$2:$E1068)&lt;14,"",MAX($C$1055:$C$1068))</f>
        <v>0</v>
      </c>
      <c r="U1068">
        <f>IF(COUNT($E$2:$E1068)&lt;14,"",MIN($D$1055:$D$1068))</f>
        <v>0</v>
      </c>
      <c r="V1068">
        <f>IF(OR(T1068="",U1068="",T1068=U1068),"",100*($E1068-U1068)/(T1068-U1068))</f>
        <v>0</v>
      </c>
      <c r="W1068">
        <f>IF(COUNT($V$1066:$V$1068)&lt;3,"",AVERAGE($V$1066:$V$1068))</f>
        <v>0</v>
      </c>
      <c r="X1068">
        <f>IF(COUNT($N$1055:$N$1068)&lt;14,"",MIN($N$1055:$N$1068))</f>
        <v>0</v>
      </c>
      <c r="Y1068">
        <f>IF(COUNT($N$1055:$N$1068)&lt;14,"",MAX($N$1055:$N$1068))</f>
        <v>0</v>
      </c>
      <c r="Z1068">
        <f>IF(OR(N1068="",X1068="",Y1068="",Y1068=X1068),"",100*(N1068-X1068)/(Y1068-X1068))</f>
        <v>0</v>
      </c>
      <c r="AA1068">
        <f>IF(COUNT($Z$1066:$Z$1068)&lt;3,"",AVERAGE($Z$1066:$Z$1068))</f>
        <v>0</v>
      </c>
      <c r="AB1068">
        <f>IF(COUNT($AA$1066:$AA$1068)&lt;3,"",AVERAGE($AA$1066:$AA$1068))</f>
        <v>0</v>
      </c>
      <c r="AC1068">
        <f>IF($E1068="","",MAX($C1068-$D1068,ABS($C1068-$E1067),ABS($D1068-$E1067)))</f>
        <v>0</v>
      </c>
      <c r="AD1068">
        <f>IF(COUNT($E$2:$E1068)&lt;15,"",AVERAGE($AC$1055:$AC$1068))</f>
        <v>0</v>
      </c>
      <c r="AE1068">
        <f>IF(OR($E1068="",$E1067=""),"",IF(AND(($C1068-$C1067)&gt;($D1067-$D1068),($C1068-$C1067)&gt;0),$C1068-$C1067,0))</f>
        <v>0</v>
      </c>
      <c r="AF1068">
        <f>IF(OR($E1068="",$E1067=""),"",IF(AND(($D1067-$D1068)&gt;($C1068-$C1067),($D1067-$D1068)&gt;0),$D1067-$D1068,0))</f>
        <v>0</v>
      </c>
      <c r="AG1068">
        <f>IF(COUNT($E$2:$E1068)&lt;15,"",IF(SUM($AC$1055:$AC$1068)=0,0,100*SUM($AE$1055:$AE$1068)/SUM($AC$1055:$AC$1068)))</f>
        <v>0</v>
      </c>
      <c r="AH1068">
        <f>IF(COUNT($E$2:$E1068)&lt;15,"",IF(SUM($AC$1055:$AC$1068)=0,0,100*SUM($AF$1055:$AF$1068)/SUM($AC$1055:$AC$1068)))</f>
        <v>0</v>
      </c>
      <c r="AI1068">
        <f>IF(OR(AG1068="",AH1068=""),"",IF((AG1068+AH1068)=0,0,100*ABS(AG1068-AH1068)/(AG1068+AH1068)))</f>
        <v>0</v>
      </c>
      <c r="AJ1068">
        <f>IF(COUNT($AI$1055:$AI$1068)&lt;14,"",AVERAGE($AI$1055:$AI$1068))</f>
        <v>0</v>
      </c>
      <c r="AK1068">
        <f>IF(COUNT($E$2:$E1068)&lt;20,"",AVERAGE($E$1049:$E$1068))</f>
        <v>0</v>
      </c>
      <c r="AL1068">
        <f>IF(COUNT($E$2:$E1068)&lt;20,"",STDEVP($E$1049:$E$1068))</f>
        <v>0</v>
      </c>
      <c r="AM1068">
        <f>IF(AK1068="","",AK1068+2*AL1068)</f>
        <v>0</v>
      </c>
      <c r="AN1068">
        <f>IF(AK1068="","",AK1068-2*AL1068)</f>
        <v>0</v>
      </c>
      <c r="AO1068">
        <f>IF(OR(AM1068="",AN1068="",AM1068=AN1068),"",($E1068-AN1068)/(AM1068-AN1068))</f>
        <v>0</v>
      </c>
      <c r="AP1068">
        <f>IF(OR(AM1068="",AK1068="",AK1068=0),"",(AM1068-AN1068)/AK1068)</f>
        <v>0</v>
      </c>
      <c r="AQ1068">
        <f>IF(COUNT($E$2:$E1068)&lt;20,"",MAX($C$1049:$C$1068))</f>
        <v>0</v>
      </c>
      <c r="AR1068">
        <f>IF(COUNT($E$2:$E1068)&lt;20,"",MIN($D$1049:$D$1068))</f>
        <v>0</v>
      </c>
      <c r="AS1068">
        <f>IF(OR(AQ1068="",AR1068=""),"",(AQ1068+AR1068)/2)</f>
        <v>0</v>
      </c>
      <c r="AT1068">
        <f>IF(COUNT($G$1049:$G$1068)&lt;20,"",STDEV($G$1049:$G$1068)*SQRT(252))</f>
        <v>0</v>
      </c>
      <c r="AU1068">
        <f>IF(COUNT($E$2:$E1068)&lt;9,"",(MAX($C$1060:$C$1068)+MIN($D$1060:$D$1068))/2)</f>
        <v>0</v>
      </c>
      <c r="AV1068">
        <f>IF(COUNT($E$2:$E1068)&lt;26,"",(MAX($C$1043:$C$1068)+MIN($D$1043:$D$1068))/2)</f>
        <v>0</v>
      </c>
      <c r="AW1068">
        <f>IF(OR(AU1068="",AV1068=""),"",(AU1068+AV1068)/2)</f>
        <v>0</v>
      </c>
      <c r="AX1068">
        <f>IF(COUNT($E$2:$E1068)&lt;52,"",(MAX($C$1017:$C$1068)+MIN($D$1017:$D$1068))/2)</f>
        <v>0</v>
      </c>
      <c r="AY1068">
        <f>IF(COUNT($E$2:$E1068)&lt;20,"",MAX($C$969:$C$1068))</f>
        <v>0</v>
      </c>
      <c r="AZ1068">
        <f>IF(COUNT($E$2:$E1068)&lt;20,"",MIN($D$969:$D$1068))</f>
        <v>0</v>
      </c>
      <c r="BA1068">
        <f>IF(COUNT($E$2:$E1068)&lt;20,"",SLOPE($E$969:$E$1068,$F$969:$F$1068))</f>
        <v>0</v>
      </c>
      <c r="BB1068">
        <f>IF(COUNT($E$2:$E1068)&lt;20,"",INTERCEPT($E$969:$E$1068,$F$969:$F$1068))</f>
        <v>0</v>
      </c>
      <c r="BC1068">
        <f>IF(OR(BA1068="",BB1068=""),"",BB1068+BA1068*F1068)</f>
        <v>0</v>
      </c>
      <c r="BD1068">
        <f>IF(COUNT($E$2:$E1068)&lt;20,"",STEYX($E$969:$E$1068,$F$969:$F$1068))</f>
        <v>0</v>
      </c>
      <c r="BE1068">
        <f>IF($E1068="","",IF(AND(COUNT($E$1069:$E$1072)&gt;=4,$C1068=MAX($C$1064:$C$1072)),$C1068,""))</f>
        <v>0</v>
      </c>
      <c r="BF1068">
        <f>IF($E1068="","",IF(AND(COUNT($E$1069:$E$1072)&gt;=4,$D1068=MIN($D$1064:$D$1072)),$D1068,""))</f>
        <v>0</v>
      </c>
      <c r="BG1068">
        <f>IF($A1068="","",$A1068-WEEKDAY($A1068,2)+1)</f>
        <v>0</v>
      </c>
      <c r="BH1068">
        <f>IF($A1068="","",IF($A1067="",1,IF(BG1068&lt;&gt;BG1067,1,0)))</f>
        <v>0</v>
      </c>
      <c r="BI1068">
        <f>IF($A1068="","",IF($A1069="",1,IF(BG1069&lt;&gt;BG1068,1,0)))</f>
        <v>0</v>
      </c>
      <c r="BJ1068">
        <f>IF($A1068="","",IF(BH1068=1,$B1068,BJ1067))</f>
        <v>0</v>
      </c>
      <c r="BK1068">
        <f>IF($A1068="","",IF(BH1068=1,$C1068,MAX($C1068,BK1067)))</f>
        <v>0</v>
      </c>
      <c r="BL1068">
        <f>IF($A1068="","",IF(BH1068=1,$D1068,MIN($D1068,BL1067)))</f>
        <v>0</v>
      </c>
      <c r="BM1068">
        <f>IF($A1068="","",IF(BI1068=1,F1068,""))</f>
        <v>0</v>
      </c>
      <c r="BN1068">
        <f>IF($A1068="","",DATE(YEAR($A1068),MONTH($A1068),1))</f>
        <v>0</v>
      </c>
      <c r="BO1068">
        <f>IF($A1068="","",IF($A1067="",1,IF(BN1068&lt;&gt;BN1067,1,0)))</f>
        <v>0</v>
      </c>
      <c r="BP1068">
        <f>IF($A1068="","",IF($A1069="",1,IF(BN1069&lt;&gt;BN1068,1,0)))</f>
        <v>0</v>
      </c>
      <c r="BQ1068">
        <f>IF($A1068="","",IF(BO1068=1,$B1068,BQ1067))</f>
        <v>0</v>
      </c>
      <c r="BR1068">
        <f>IF($A1068="","",IF(BO1068=1,$C1068,MAX($C1068,BR1067)))</f>
        <v>0</v>
      </c>
      <c r="BS1068">
        <f>IF($A1068="","",IF(BO1068=1,$D1068,MIN($D1068,BS1067)))</f>
        <v>0</v>
      </c>
      <c r="BT1068">
        <f>IF($A1068="","",IF(BP1068=1,F1068,""))</f>
        <v>0</v>
      </c>
    </row>
    <row r="1069" spans="1:72">
      <c r="A1069" s="27">
        <f>IF(Data!$A1069="","",Data!$A1069)</f>
        <v>0</v>
      </c>
      <c r="B1069">
        <f>IF(Data!$B1069="","",Data!$B1069)</f>
        <v>0</v>
      </c>
      <c r="C1069">
        <f>IF(Data!$C1069="","",Data!$C1069)</f>
        <v>0</v>
      </c>
      <c r="D1069">
        <f>IF(Data!$D1069="","",Data!$D1069)</f>
        <v>0</v>
      </c>
      <c r="E1069">
        <f>IF(Data!$E1069="","",Data!$E1069)</f>
        <v>0</v>
      </c>
      <c r="F1069">
        <f>IF($E1069="","",N(F1068)+1)</f>
        <v>0</v>
      </c>
      <c r="G1069">
        <f>IF(OR($E1069="",$E1068=""),"",LN($E1069/$E1068))</f>
        <v>0</v>
      </c>
      <c r="H1069">
        <f>IF($E1069="","",IF($E1068="",$E1069,$E1069*0.0952380952+H1068*0.9047619048))</f>
        <v>0</v>
      </c>
      <c r="I1069">
        <f>IF($E1069="","",IF($E1068="",$E1069,$E1069*0.0392156863+I1068*0.9607843137))</f>
        <v>0</v>
      </c>
      <c r="J1069">
        <f>IF($E1069="","",IF($E1068="",$E1069,$E1069*0.0198019802+J1068*0.9801980198))</f>
        <v>0</v>
      </c>
      <c r="K1069">
        <f>IF($E1069="","",IF($E1068="",$E1069,$E1069*0.0099502488+K1068*0.9900497512))</f>
        <v>0</v>
      </c>
      <c r="L1069">
        <f>IF(OR($E1069="",$E1068=""),"",MAX($E1069-$E1068,0))</f>
        <v>0</v>
      </c>
      <c r="M1069">
        <f>IF(OR($E1069="",$E1068=""),"",MAX($E1068-$E1069,0))</f>
        <v>0</v>
      </c>
      <c r="N1069">
        <f>IF(COUNT($E$2:$E1069)&lt;15,"",IF(AVERAGE($M$1056:$M$1069)=0,100,100-100/(1+AVERAGE($L$1056:$L$1069)/AVERAGE($M$1056:$M$1069))))</f>
        <v>0</v>
      </c>
      <c r="O1069">
        <f>IF($E1069="","",IF($E1068="",$E1069,$E1069*0.1538461538+O1068*0.8461538462))</f>
        <v>0</v>
      </c>
      <c r="P1069">
        <f>IF($E1069="","",IF($E1068="",$E1069,$E1069*0.0740740741+P1068*0.9259259259))</f>
        <v>0</v>
      </c>
      <c r="Q1069">
        <f>IF(OR(O1069="",P1069=""),"",O1069-P1069)</f>
        <v>0</v>
      </c>
      <c r="R1069">
        <f>IF(Q1069="","",IF(R1068="",Q1069,Q1069*0.2000000000+R1068*0.8000000000))</f>
        <v>0</v>
      </c>
      <c r="S1069">
        <f>IF(OR(Q1069="",R1069=""),"",Q1069-R1069)</f>
        <v>0</v>
      </c>
      <c r="T1069">
        <f>IF(COUNT($E$2:$E1069)&lt;14,"",MAX($C$1056:$C$1069))</f>
        <v>0</v>
      </c>
      <c r="U1069">
        <f>IF(COUNT($E$2:$E1069)&lt;14,"",MIN($D$1056:$D$1069))</f>
        <v>0</v>
      </c>
      <c r="V1069">
        <f>IF(OR(T1069="",U1069="",T1069=U1069),"",100*($E1069-U1069)/(T1069-U1069))</f>
        <v>0</v>
      </c>
      <c r="W1069">
        <f>IF(COUNT($V$1067:$V$1069)&lt;3,"",AVERAGE($V$1067:$V$1069))</f>
        <v>0</v>
      </c>
      <c r="X1069">
        <f>IF(COUNT($N$1056:$N$1069)&lt;14,"",MIN($N$1056:$N$1069))</f>
        <v>0</v>
      </c>
      <c r="Y1069">
        <f>IF(COUNT($N$1056:$N$1069)&lt;14,"",MAX($N$1056:$N$1069))</f>
        <v>0</v>
      </c>
      <c r="Z1069">
        <f>IF(OR(N1069="",X1069="",Y1069="",Y1069=X1069),"",100*(N1069-X1069)/(Y1069-X1069))</f>
        <v>0</v>
      </c>
      <c r="AA1069">
        <f>IF(COUNT($Z$1067:$Z$1069)&lt;3,"",AVERAGE($Z$1067:$Z$1069))</f>
        <v>0</v>
      </c>
      <c r="AB1069">
        <f>IF(COUNT($AA$1067:$AA$1069)&lt;3,"",AVERAGE($AA$1067:$AA$1069))</f>
        <v>0</v>
      </c>
      <c r="AC1069">
        <f>IF($E1069="","",MAX($C1069-$D1069,ABS($C1069-$E1068),ABS($D1069-$E1068)))</f>
        <v>0</v>
      </c>
      <c r="AD1069">
        <f>IF(COUNT($E$2:$E1069)&lt;15,"",AVERAGE($AC$1056:$AC$1069))</f>
        <v>0</v>
      </c>
      <c r="AE1069">
        <f>IF(OR($E1069="",$E1068=""),"",IF(AND(($C1069-$C1068)&gt;($D1068-$D1069),($C1069-$C1068)&gt;0),$C1069-$C1068,0))</f>
        <v>0</v>
      </c>
      <c r="AF1069">
        <f>IF(OR($E1069="",$E1068=""),"",IF(AND(($D1068-$D1069)&gt;($C1069-$C1068),($D1068-$D1069)&gt;0),$D1068-$D1069,0))</f>
        <v>0</v>
      </c>
      <c r="AG1069">
        <f>IF(COUNT($E$2:$E1069)&lt;15,"",IF(SUM($AC$1056:$AC$1069)=0,0,100*SUM($AE$1056:$AE$1069)/SUM($AC$1056:$AC$1069)))</f>
        <v>0</v>
      </c>
      <c r="AH1069">
        <f>IF(COUNT($E$2:$E1069)&lt;15,"",IF(SUM($AC$1056:$AC$1069)=0,0,100*SUM($AF$1056:$AF$1069)/SUM($AC$1056:$AC$1069)))</f>
        <v>0</v>
      </c>
      <c r="AI1069">
        <f>IF(OR(AG1069="",AH1069=""),"",IF((AG1069+AH1069)=0,0,100*ABS(AG1069-AH1069)/(AG1069+AH1069)))</f>
        <v>0</v>
      </c>
      <c r="AJ1069">
        <f>IF(COUNT($AI$1056:$AI$1069)&lt;14,"",AVERAGE($AI$1056:$AI$1069))</f>
        <v>0</v>
      </c>
      <c r="AK1069">
        <f>IF(COUNT($E$2:$E1069)&lt;20,"",AVERAGE($E$1050:$E$1069))</f>
        <v>0</v>
      </c>
      <c r="AL1069">
        <f>IF(COUNT($E$2:$E1069)&lt;20,"",STDEVP($E$1050:$E$1069))</f>
        <v>0</v>
      </c>
      <c r="AM1069">
        <f>IF(AK1069="","",AK1069+2*AL1069)</f>
        <v>0</v>
      </c>
      <c r="AN1069">
        <f>IF(AK1069="","",AK1069-2*AL1069)</f>
        <v>0</v>
      </c>
      <c r="AO1069">
        <f>IF(OR(AM1069="",AN1069="",AM1069=AN1069),"",($E1069-AN1069)/(AM1069-AN1069))</f>
        <v>0</v>
      </c>
      <c r="AP1069">
        <f>IF(OR(AM1069="",AK1069="",AK1069=0),"",(AM1069-AN1069)/AK1069)</f>
        <v>0</v>
      </c>
      <c r="AQ1069">
        <f>IF(COUNT($E$2:$E1069)&lt;20,"",MAX($C$1050:$C$1069))</f>
        <v>0</v>
      </c>
      <c r="AR1069">
        <f>IF(COUNT($E$2:$E1069)&lt;20,"",MIN($D$1050:$D$1069))</f>
        <v>0</v>
      </c>
      <c r="AS1069">
        <f>IF(OR(AQ1069="",AR1069=""),"",(AQ1069+AR1069)/2)</f>
        <v>0</v>
      </c>
      <c r="AT1069">
        <f>IF(COUNT($G$1050:$G$1069)&lt;20,"",STDEV($G$1050:$G$1069)*SQRT(252))</f>
        <v>0</v>
      </c>
      <c r="AU1069">
        <f>IF(COUNT($E$2:$E1069)&lt;9,"",(MAX($C$1061:$C$1069)+MIN($D$1061:$D$1069))/2)</f>
        <v>0</v>
      </c>
      <c r="AV1069">
        <f>IF(COUNT($E$2:$E1069)&lt;26,"",(MAX($C$1044:$C$1069)+MIN($D$1044:$D$1069))/2)</f>
        <v>0</v>
      </c>
      <c r="AW1069">
        <f>IF(OR(AU1069="",AV1069=""),"",(AU1069+AV1069)/2)</f>
        <v>0</v>
      </c>
      <c r="AX1069">
        <f>IF(COUNT($E$2:$E1069)&lt;52,"",(MAX($C$1018:$C$1069)+MIN($D$1018:$D$1069))/2)</f>
        <v>0</v>
      </c>
      <c r="AY1069">
        <f>IF(COUNT($E$2:$E1069)&lt;20,"",MAX($C$970:$C$1069))</f>
        <v>0</v>
      </c>
      <c r="AZ1069">
        <f>IF(COUNT($E$2:$E1069)&lt;20,"",MIN($D$970:$D$1069))</f>
        <v>0</v>
      </c>
      <c r="BA1069">
        <f>IF(COUNT($E$2:$E1069)&lt;20,"",SLOPE($E$970:$E$1069,$F$970:$F$1069))</f>
        <v>0</v>
      </c>
      <c r="BB1069">
        <f>IF(COUNT($E$2:$E1069)&lt;20,"",INTERCEPT($E$970:$E$1069,$F$970:$F$1069))</f>
        <v>0</v>
      </c>
      <c r="BC1069">
        <f>IF(OR(BA1069="",BB1069=""),"",BB1069+BA1069*F1069)</f>
        <v>0</v>
      </c>
      <c r="BD1069">
        <f>IF(COUNT($E$2:$E1069)&lt;20,"",STEYX($E$970:$E$1069,$F$970:$F$1069))</f>
        <v>0</v>
      </c>
      <c r="BE1069">
        <f>IF($E1069="","",IF(AND(COUNT($E$1070:$E$1073)&gt;=4,$C1069=MAX($C$1065:$C$1073)),$C1069,""))</f>
        <v>0</v>
      </c>
      <c r="BF1069">
        <f>IF($E1069="","",IF(AND(COUNT($E$1070:$E$1073)&gt;=4,$D1069=MIN($D$1065:$D$1073)),$D1069,""))</f>
        <v>0</v>
      </c>
      <c r="BG1069">
        <f>IF($A1069="","",$A1069-WEEKDAY($A1069,2)+1)</f>
        <v>0</v>
      </c>
      <c r="BH1069">
        <f>IF($A1069="","",IF($A1068="",1,IF(BG1069&lt;&gt;BG1068,1,0)))</f>
        <v>0</v>
      </c>
      <c r="BI1069">
        <f>IF($A1069="","",IF($A1070="",1,IF(BG1070&lt;&gt;BG1069,1,0)))</f>
        <v>0</v>
      </c>
      <c r="BJ1069">
        <f>IF($A1069="","",IF(BH1069=1,$B1069,BJ1068))</f>
        <v>0</v>
      </c>
      <c r="BK1069">
        <f>IF($A1069="","",IF(BH1069=1,$C1069,MAX($C1069,BK1068)))</f>
        <v>0</v>
      </c>
      <c r="BL1069">
        <f>IF($A1069="","",IF(BH1069=1,$D1069,MIN($D1069,BL1068)))</f>
        <v>0</v>
      </c>
      <c r="BM1069">
        <f>IF($A1069="","",IF(BI1069=1,F1069,""))</f>
        <v>0</v>
      </c>
      <c r="BN1069">
        <f>IF($A1069="","",DATE(YEAR($A1069),MONTH($A1069),1))</f>
        <v>0</v>
      </c>
      <c r="BO1069">
        <f>IF($A1069="","",IF($A1068="",1,IF(BN1069&lt;&gt;BN1068,1,0)))</f>
        <v>0</v>
      </c>
      <c r="BP1069">
        <f>IF($A1069="","",IF($A1070="",1,IF(BN1070&lt;&gt;BN1069,1,0)))</f>
        <v>0</v>
      </c>
      <c r="BQ1069">
        <f>IF($A1069="","",IF(BO1069=1,$B1069,BQ1068))</f>
        <v>0</v>
      </c>
      <c r="BR1069">
        <f>IF($A1069="","",IF(BO1069=1,$C1069,MAX($C1069,BR1068)))</f>
        <v>0</v>
      </c>
      <c r="BS1069">
        <f>IF($A1069="","",IF(BO1069=1,$D1069,MIN($D1069,BS1068)))</f>
        <v>0</v>
      </c>
      <c r="BT1069">
        <f>IF($A1069="","",IF(BP1069=1,F1069,""))</f>
        <v>0</v>
      </c>
    </row>
    <row r="1070" spans="1:72">
      <c r="A1070" s="27">
        <f>IF(Data!$A1070="","",Data!$A1070)</f>
        <v>0</v>
      </c>
      <c r="B1070">
        <f>IF(Data!$B1070="","",Data!$B1070)</f>
        <v>0</v>
      </c>
      <c r="C1070">
        <f>IF(Data!$C1070="","",Data!$C1070)</f>
        <v>0</v>
      </c>
      <c r="D1070">
        <f>IF(Data!$D1070="","",Data!$D1070)</f>
        <v>0</v>
      </c>
      <c r="E1070">
        <f>IF(Data!$E1070="","",Data!$E1070)</f>
        <v>0</v>
      </c>
      <c r="F1070">
        <f>IF($E1070="","",N(F1069)+1)</f>
        <v>0</v>
      </c>
      <c r="G1070">
        <f>IF(OR($E1070="",$E1069=""),"",LN($E1070/$E1069))</f>
        <v>0</v>
      </c>
      <c r="H1070">
        <f>IF($E1070="","",IF($E1069="",$E1070,$E1070*0.0952380952+H1069*0.9047619048))</f>
        <v>0</v>
      </c>
      <c r="I1070">
        <f>IF($E1070="","",IF($E1069="",$E1070,$E1070*0.0392156863+I1069*0.9607843137))</f>
        <v>0</v>
      </c>
      <c r="J1070">
        <f>IF($E1070="","",IF($E1069="",$E1070,$E1070*0.0198019802+J1069*0.9801980198))</f>
        <v>0</v>
      </c>
      <c r="K1070">
        <f>IF($E1070="","",IF($E1069="",$E1070,$E1070*0.0099502488+K1069*0.9900497512))</f>
        <v>0</v>
      </c>
      <c r="L1070">
        <f>IF(OR($E1070="",$E1069=""),"",MAX($E1070-$E1069,0))</f>
        <v>0</v>
      </c>
      <c r="M1070">
        <f>IF(OR($E1070="",$E1069=""),"",MAX($E1069-$E1070,0))</f>
        <v>0</v>
      </c>
      <c r="N1070">
        <f>IF(COUNT($E$2:$E1070)&lt;15,"",IF(AVERAGE($M$1057:$M$1070)=0,100,100-100/(1+AVERAGE($L$1057:$L$1070)/AVERAGE($M$1057:$M$1070))))</f>
        <v>0</v>
      </c>
      <c r="O1070">
        <f>IF($E1070="","",IF($E1069="",$E1070,$E1070*0.1538461538+O1069*0.8461538462))</f>
        <v>0</v>
      </c>
      <c r="P1070">
        <f>IF($E1070="","",IF($E1069="",$E1070,$E1070*0.0740740741+P1069*0.9259259259))</f>
        <v>0</v>
      </c>
      <c r="Q1070">
        <f>IF(OR(O1070="",P1070=""),"",O1070-P1070)</f>
        <v>0</v>
      </c>
      <c r="R1070">
        <f>IF(Q1070="","",IF(R1069="",Q1070,Q1070*0.2000000000+R1069*0.8000000000))</f>
        <v>0</v>
      </c>
      <c r="S1070">
        <f>IF(OR(Q1070="",R1070=""),"",Q1070-R1070)</f>
        <v>0</v>
      </c>
      <c r="T1070">
        <f>IF(COUNT($E$2:$E1070)&lt;14,"",MAX($C$1057:$C$1070))</f>
        <v>0</v>
      </c>
      <c r="U1070">
        <f>IF(COUNT($E$2:$E1070)&lt;14,"",MIN($D$1057:$D$1070))</f>
        <v>0</v>
      </c>
      <c r="V1070">
        <f>IF(OR(T1070="",U1070="",T1070=U1070),"",100*($E1070-U1070)/(T1070-U1070))</f>
        <v>0</v>
      </c>
      <c r="W1070">
        <f>IF(COUNT($V$1068:$V$1070)&lt;3,"",AVERAGE($V$1068:$V$1070))</f>
        <v>0</v>
      </c>
      <c r="X1070">
        <f>IF(COUNT($N$1057:$N$1070)&lt;14,"",MIN($N$1057:$N$1070))</f>
        <v>0</v>
      </c>
      <c r="Y1070">
        <f>IF(COUNT($N$1057:$N$1070)&lt;14,"",MAX($N$1057:$N$1070))</f>
        <v>0</v>
      </c>
      <c r="Z1070">
        <f>IF(OR(N1070="",X1070="",Y1070="",Y1070=X1070),"",100*(N1070-X1070)/(Y1070-X1070))</f>
        <v>0</v>
      </c>
      <c r="AA1070">
        <f>IF(COUNT($Z$1068:$Z$1070)&lt;3,"",AVERAGE($Z$1068:$Z$1070))</f>
        <v>0</v>
      </c>
      <c r="AB1070">
        <f>IF(COUNT($AA$1068:$AA$1070)&lt;3,"",AVERAGE($AA$1068:$AA$1070))</f>
        <v>0</v>
      </c>
      <c r="AC1070">
        <f>IF($E1070="","",MAX($C1070-$D1070,ABS($C1070-$E1069),ABS($D1070-$E1069)))</f>
        <v>0</v>
      </c>
      <c r="AD1070">
        <f>IF(COUNT($E$2:$E1070)&lt;15,"",AVERAGE($AC$1057:$AC$1070))</f>
        <v>0</v>
      </c>
      <c r="AE1070">
        <f>IF(OR($E1070="",$E1069=""),"",IF(AND(($C1070-$C1069)&gt;($D1069-$D1070),($C1070-$C1069)&gt;0),$C1070-$C1069,0))</f>
        <v>0</v>
      </c>
      <c r="AF1070">
        <f>IF(OR($E1070="",$E1069=""),"",IF(AND(($D1069-$D1070)&gt;($C1070-$C1069),($D1069-$D1070)&gt;0),$D1069-$D1070,0))</f>
        <v>0</v>
      </c>
      <c r="AG1070">
        <f>IF(COUNT($E$2:$E1070)&lt;15,"",IF(SUM($AC$1057:$AC$1070)=0,0,100*SUM($AE$1057:$AE$1070)/SUM($AC$1057:$AC$1070)))</f>
        <v>0</v>
      </c>
      <c r="AH1070">
        <f>IF(COUNT($E$2:$E1070)&lt;15,"",IF(SUM($AC$1057:$AC$1070)=0,0,100*SUM($AF$1057:$AF$1070)/SUM($AC$1057:$AC$1070)))</f>
        <v>0</v>
      </c>
      <c r="AI1070">
        <f>IF(OR(AG1070="",AH1070=""),"",IF((AG1070+AH1070)=0,0,100*ABS(AG1070-AH1070)/(AG1070+AH1070)))</f>
        <v>0</v>
      </c>
      <c r="AJ1070">
        <f>IF(COUNT($AI$1057:$AI$1070)&lt;14,"",AVERAGE($AI$1057:$AI$1070))</f>
        <v>0</v>
      </c>
      <c r="AK1070">
        <f>IF(COUNT($E$2:$E1070)&lt;20,"",AVERAGE($E$1051:$E$1070))</f>
        <v>0</v>
      </c>
      <c r="AL1070">
        <f>IF(COUNT($E$2:$E1070)&lt;20,"",STDEVP($E$1051:$E$1070))</f>
        <v>0</v>
      </c>
      <c r="AM1070">
        <f>IF(AK1070="","",AK1070+2*AL1070)</f>
        <v>0</v>
      </c>
      <c r="AN1070">
        <f>IF(AK1070="","",AK1070-2*AL1070)</f>
        <v>0</v>
      </c>
      <c r="AO1070">
        <f>IF(OR(AM1070="",AN1070="",AM1070=AN1070),"",($E1070-AN1070)/(AM1070-AN1070))</f>
        <v>0</v>
      </c>
      <c r="AP1070">
        <f>IF(OR(AM1070="",AK1070="",AK1070=0),"",(AM1070-AN1070)/AK1070)</f>
        <v>0</v>
      </c>
      <c r="AQ1070">
        <f>IF(COUNT($E$2:$E1070)&lt;20,"",MAX($C$1051:$C$1070))</f>
        <v>0</v>
      </c>
      <c r="AR1070">
        <f>IF(COUNT($E$2:$E1070)&lt;20,"",MIN($D$1051:$D$1070))</f>
        <v>0</v>
      </c>
      <c r="AS1070">
        <f>IF(OR(AQ1070="",AR1070=""),"",(AQ1070+AR1070)/2)</f>
        <v>0</v>
      </c>
      <c r="AT1070">
        <f>IF(COUNT($G$1051:$G$1070)&lt;20,"",STDEV($G$1051:$G$1070)*SQRT(252))</f>
        <v>0</v>
      </c>
      <c r="AU1070">
        <f>IF(COUNT($E$2:$E1070)&lt;9,"",(MAX($C$1062:$C$1070)+MIN($D$1062:$D$1070))/2)</f>
        <v>0</v>
      </c>
      <c r="AV1070">
        <f>IF(COUNT($E$2:$E1070)&lt;26,"",(MAX($C$1045:$C$1070)+MIN($D$1045:$D$1070))/2)</f>
        <v>0</v>
      </c>
      <c r="AW1070">
        <f>IF(OR(AU1070="",AV1070=""),"",(AU1070+AV1070)/2)</f>
        <v>0</v>
      </c>
      <c r="AX1070">
        <f>IF(COUNT($E$2:$E1070)&lt;52,"",(MAX($C$1019:$C$1070)+MIN($D$1019:$D$1070))/2)</f>
        <v>0</v>
      </c>
      <c r="AY1070">
        <f>IF(COUNT($E$2:$E1070)&lt;20,"",MAX($C$971:$C$1070))</f>
        <v>0</v>
      </c>
      <c r="AZ1070">
        <f>IF(COUNT($E$2:$E1070)&lt;20,"",MIN($D$971:$D$1070))</f>
        <v>0</v>
      </c>
      <c r="BA1070">
        <f>IF(COUNT($E$2:$E1070)&lt;20,"",SLOPE($E$971:$E$1070,$F$971:$F$1070))</f>
        <v>0</v>
      </c>
      <c r="BB1070">
        <f>IF(COUNT($E$2:$E1070)&lt;20,"",INTERCEPT($E$971:$E$1070,$F$971:$F$1070))</f>
        <v>0</v>
      </c>
      <c r="BC1070">
        <f>IF(OR(BA1070="",BB1070=""),"",BB1070+BA1070*F1070)</f>
        <v>0</v>
      </c>
      <c r="BD1070">
        <f>IF(COUNT($E$2:$E1070)&lt;20,"",STEYX($E$971:$E$1070,$F$971:$F$1070))</f>
        <v>0</v>
      </c>
      <c r="BE1070">
        <f>IF($E1070="","",IF(AND(COUNT($E$1071:$E$1074)&gt;=4,$C1070=MAX($C$1066:$C$1074)),$C1070,""))</f>
        <v>0</v>
      </c>
      <c r="BF1070">
        <f>IF($E1070="","",IF(AND(COUNT($E$1071:$E$1074)&gt;=4,$D1070=MIN($D$1066:$D$1074)),$D1070,""))</f>
        <v>0</v>
      </c>
      <c r="BG1070">
        <f>IF($A1070="","",$A1070-WEEKDAY($A1070,2)+1)</f>
        <v>0</v>
      </c>
      <c r="BH1070">
        <f>IF($A1070="","",IF($A1069="",1,IF(BG1070&lt;&gt;BG1069,1,0)))</f>
        <v>0</v>
      </c>
      <c r="BI1070">
        <f>IF($A1070="","",IF($A1071="",1,IF(BG1071&lt;&gt;BG1070,1,0)))</f>
        <v>0</v>
      </c>
      <c r="BJ1070">
        <f>IF($A1070="","",IF(BH1070=1,$B1070,BJ1069))</f>
        <v>0</v>
      </c>
      <c r="BK1070">
        <f>IF($A1070="","",IF(BH1070=1,$C1070,MAX($C1070,BK1069)))</f>
        <v>0</v>
      </c>
      <c r="BL1070">
        <f>IF($A1070="","",IF(BH1070=1,$D1070,MIN($D1070,BL1069)))</f>
        <v>0</v>
      </c>
      <c r="BM1070">
        <f>IF($A1070="","",IF(BI1070=1,F1070,""))</f>
        <v>0</v>
      </c>
      <c r="BN1070">
        <f>IF($A1070="","",DATE(YEAR($A1070),MONTH($A1070),1))</f>
        <v>0</v>
      </c>
      <c r="BO1070">
        <f>IF($A1070="","",IF($A1069="",1,IF(BN1070&lt;&gt;BN1069,1,0)))</f>
        <v>0</v>
      </c>
      <c r="BP1070">
        <f>IF($A1070="","",IF($A1071="",1,IF(BN1071&lt;&gt;BN1070,1,0)))</f>
        <v>0</v>
      </c>
      <c r="BQ1070">
        <f>IF($A1070="","",IF(BO1070=1,$B1070,BQ1069))</f>
        <v>0</v>
      </c>
      <c r="BR1070">
        <f>IF($A1070="","",IF(BO1070=1,$C1070,MAX($C1070,BR1069)))</f>
        <v>0</v>
      </c>
      <c r="BS1070">
        <f>IF($A1070="","",IF(BO1070=1,$D1070,MIN($D1070,BS1069)))</f>
        <v>0</v>
      </c>
      <c r="BT1070">
        <f>IF($A1070="","",IF(BP1070=1,F1070,""))</f>
        <v>0</v>
      </c>
    </row>
    <row r="1071" spans="1:72">
      <c r="A1071" s="27">
        <f>IF(Data!$A1071="","",Data!$A1071)</f>
        <v>0</v>
      </c>
      <c r="B1071">
        <f>IF(Data!$B1071="","",Data!$B1071)</f>
        <v>0</v>
      </c>
      <c r="C1071">
        <f>IF(Data!$C1071="","",Data!$C1071)</f>
        <v>0</v>
      </c>
      <c r="D1071">
        <f>IF(Data!$D1071="","",Data!$D1071)</f>
        <v>0</v>
      </c>
      <c r="E1071">
        <f>IF(Data!$E1071="","",Data!$E1071)</f>
        <v>0</v>
      </c>
      <c r="F1071">
        <f>IF($E1071="","",N(F1070)+1)</f>
        <v>0</v>
      </c>
      <c r="G1071">
        <f>IF(OR($E1071="",$E1070=""),"",LN($E1071/$E1070))</f>
        <v>0</v>
      </c>
      <c r="H1071">
        <f>IF($E1071="","",IF($E1070="",$E1071,$E1071*0.0952380952+H1070*0.9047619048))</f>
        <v>0</v>
      </c>
      <c r="I1071">
        <f>IF($E1071="","",IF($E1070="",$E1071,$E1071*0.0392156863+I1070*0.9607843137))</f>
        <v>0</v>
      </c>
      <c r="J1071">
        <f>IF($E1071="","",IF($E1070="",$E1071,$E1071*0.0198019802+J1070*0.9801980198))</f>
        <v>0</v>
      </c>
      <c r="K1071">
        <f>IF($E1071="","",IF($E1070="",$E1071,$E1071*0.0099502488+K1070*0.9900497512))</f>
        <v>0</v>
      </c>
      <c r="L1071">
        <f>IF(OR($E1071="",$E1070=""),"",MAX($E1071-$E1070,0))</f>
        <v>0</v>
      </c>
      <c r="M1071">
        <f>IF(OR($E1071="",$E1070=""),"",MAX($E1070-$E1071,0))</f>
        <v>0</v>
      </c>
      <c r="N1071">
        <f>IF(COUNT($E$2:$E1071)&lt;15,"",IF(AVERAGE($M$1058:$M$1071)=0,100,100-100/(1+AVERAGE($L$1058:$L$1071)/AVERAGE($M$1058:$M$1071))))</f>
        <v>0</v>
      </c>
      <c r="O1071">
        <f>IF($E1071="","",IF($E1070="",$E1071,$E1071*0.1538461538+O1070*0.8461538462))</f>
        <v>0</v>
      </c>
      <c r="P1071">
        <f>IF($E1071="","",IF($E1070="",$E1071,$E1071*0.0740740741+P1070*0.9259259259))</f>
        <v>0</v>
      </c>
      <c r="Q1071">
        <f>IF(OR(O1071="",P1071=""),"",O1071-P1071)</f>
        <v>0</v>
      </c>
      <c r="R1071">
        <f>IF(Q1071="","",IF(R1070="",Q1071,Q1071*0.2000000000+R1070*0.8000000000))</f>
        <v>0</v>
      </c>
      <c r="S1071">
        <f>IF(OR(Q1071="",R1071=""),"",Q1071-R1071)</f>
        <v>0</v>
      </c>
      <c r="T1071">
        <f>IF(COUNT($E$2:$E1071)&lt;14,"",MAX($C$1058:$C$1071))</f>
        <v>0</v>
      </c>
      <c r="U1071">
        <f>IF(COUNT($E$2:$E1071)&lt;14,"",MIN($D$1058:$D$1071))</f>
        <v>0</v>
      </c>
      <c r="V1071">
        <f>IF(OR(T1071="",U1071="",T1071=U1071),"",100*($E1071-U1071)/(T1071-U1071))</f>
        <v>0</v>
      </c>
      <c r="W1071">
        <f>IF(COUNT($V$1069:$V$1071)&lt;3,"",AVERAGE($V$1069:$V$1071))</f>
        <v>0</v>
      </c>
      <c r="X1071">
        <f>IF(COUNT($N$1058:$N$1071)&lt;14,"",MIN($N$1058:$N$1071))</f>
        <v>0</v>
      </c>
      <c r="Y1071">
        <f>IF(COUNT($N$1058:$N$1071)&lt;14,"",MAX($N$1058:$N$1071))</f>
        <v>0</v>
      </c>
      <c r="Z1071">
        <f>IF(OR(N1071="",X1071="",Y1071="",Y1071=X1071),"",100*(N1071-X1071)/(Y1071-X1071))</f>
        <v>0</v>
      </c>
      <c r="AA1071">
        <f>IF(COUNT($Z$1069:$Z$1071)&lt;3,"",AVERAGE($Z$1069:$Z$1071))</f>
        <v>0</v>
      </c>
      <c r="AB1071">
        <f>IF(COUNT($AA$1069:$AA$1071)&lt;3,"",AVERAGE($AA$1069:$AA$1071))</f>
        <v>0</v>
      </c>
      <c r="AC1071">
        <f>IF($E1071="","",MAX($C1071-$D1071,ABS($C1071-$E1070),ABS($D1071-$E1070)))</f>
        <v>0</v>
      </c>
      <c r="AD1071">
        <f>IF(COUNT($E$2:$E1071)&lt;15,"",AVERAGE($AC$1058:$AC$1071))</f>
        <v>0</v>
      </c>
      <c r="AE1071">
        <f>IF(OR($E1071="",$E1070=""),"",IF(AND(($C1071-$C1070)&gt;($D1070-$D1071),($C1071-$C1070)&gt;0),$C1071-$C1070,0))</f>
        <v>0</v>
      </c>
      <c r="AF1071">
        <f>IF(OR($E1071="",$E1070=""),"",IF(AND(($D1070-$D1071)&gt;($C1071-$C1070),($D1070-$D1071)&gt;0),$D1070-$D1071,0))</f>
        <v>0</v>
      </c>
      <c r="AG1071">
        <f>IF(COUNT($E$2:$E1071)&lt;15,"",IF(SUM($AC$1058:$AC$1071)=0,0,100*SUM($AE$1058:$AE$1071)/SUM($AC$1058:$AC$1071)))</f>
        <v>0</v>
      </c>
      <c r="AH1071">
        <f>IF(COUNT($E$2:$E1071)&lt;15,"",IF(SUM($AC$1058:$AC$1071)=0,0,100*SUM($AF$1058:$AF$1071)/SUM($AC$1058:$AC$1071)))</f>
        <v>0</v>
      </c>
      <c r="AI1071">
        <f>IF(OR(AG1071="",AH1071=""),"",IF((AG1071+AH1071)=0,0,100*ABS(AG1071-AH1071)/(AG1071+AH1071)))</f>
        <v>0</v>
      </c>
      <c r="AJ1071">
        <f>IF(COUNT($AI$1058:$AI$1071)&lt;14,"",AVERAGE($AI$1058:$AI$1071))</f>
        <v>0</v>
      </c>
      <c r="AK1071">
        <f>IF(COUNT($E$2:$E1071)&lt;20,"",AVERAGE($E$1052:$E$1071))</f>
        <v>0</v>
      </c>
      <c r="AL1071">
        <f>IF(COUNT($E$2:$E1071)&lt;20,"",STDEVP($E$1052:$E$1071))</f>
        <v>0</v>
      </c>
      <c r="AM1071">
        <f>IF(AK1071="","",AK1071+2*AL1071)</f>
        <v>0</v>
      </c>
      <c r="AN1071">
        <f>IF(AK1071="","",AK1071-2*AL1071)</f>
        <v>0</v>
      </c>
      <c r="AO1071">
        <f>IF(OR(AM1071="",AN1071="",AM1071=AN1071),"",($E1071-AN1071)/(AM1071-AN1071))</f>
        <v>0</v>
      </c>
      <c r="AP1071">
        <f>IF(OR(AM1071="",AK1071="",AK1071=0),"",(AM1071-AN1071)/AK1071)</f>
        <v>0</v>
      </c>
      <c r="AQ1071">
        <f>IF(COUNT($E$2:$E1071)&lt;20,"",MAX($C$1052:$C$1071))</f>
        <v>0</v>
      </c>
      <c r="AR1071">
        <f>IF(COUNT($E$2:$E1071)&lt;20,"",MIN($D$1052:$D$1071))</f>
        <v>0</v>
      </c>
      <c r="AS1071">
        <f>IF(OR(AQ1071="",AR1071=""),"",(AQ1071+AR1071)/2)</f>
        <v>0</v>
      </c>
      <c r="AT1071">
        <f>IF(COUNT($G$1052:$G$1071)&lt;20,"",STDEV($G$1052:$G$1071)*SQRT(252))</f>
        <v>0</v>
      </c>
      <c r="AU1071">
        <f>IF(COUNT($E$2:$E1071)&lt;9,"",(MAX($C$1063:$C$1071)+MIN($D$1063:$D$1071))/2)</f>
        <v>0</v>
      </c>
      <c r="AV1071">
        <f>IF(COUNT($E$2:$E1071)&lt;26,"",(MAX($C$1046:$C$1071)+MIN($D$1046:$D$1071))/2)</f>
        <v>0</v>
      </c>
      <c r="AW1071">
        <f>IF(OR(AU1071="",AV1071=""),"",(AU1071+AV1071)/2)</f>
        <v>0</v>
      </c>
      <c r="AX1071">
        <f>IF(COUNT($E$2:$E1071)&lt;52,"",(MAX($C$1020:$C$1071)+MIN($D$1020:$D$1071))/2)</f>
        <v>0</v>
      </c>
      <c r="AY1071">
        <f>IF(COUNT($E$2:$E1071)&lt;20,"",MAX($C$972:$C$1071))</f>
        <v>0</v>
      </c>
      <c r="AZ1071">
        <f>IF(COUNT($E$2:$E1071)&lt;20,"",MIN($D$972:$D$1071))</f>
        <v>0</v>
      </c>
      <c r="BA1071">
        <f>IF(COUNT($E$2:$E1071)&lt;20,"",SLOPE($E$972:$E$1071,$F$972:$F$1071))</f>
        <v>0</v>
      </c>
      <c r="BB1071">
        <f>IF(COUNT($E$2:$E1071)&lt;20,"",INTERCEPT($E$972:$E$1071,$F$972:$F$1071))</f>
        <v>0</v>
      </c>
      <c r="BC1071">
        <f>IF(OR(BA1071="",BB1071=""),"",BB1071+BA1071*F1071)</f>
        <v>0</v>
      </c>
      <c r="BD1071">
        <f>IF(COUNT($E$2:$E1071)&lt;20,"",STEYX($E$972:$E$1071,$F$972:$F$1071))</f>
        <v>0</v>
      </c>
      <c r="BE1071">
        <f>IF($E1071="","",IF(AND(COUNT($E$1072:$E$1075)&gt;=4,$C1071=MAX($C$1067:$C$1075)),$C1071,""))</f>
        <v>0</v>
      </c>
      <c r="BF1071">
        <f>IF($E1071="","",IF(AND(COUNT($E$1072:$E$1075)&gt;=4,$D1071=MIN($D$1067:$D$1075)),$D1071,""))</f>
        <v>0</v>
      </c>
      <c r="BG1071">
        <f>IF($A1071="","",$A1071-WEEKDAY($A1071,2)+1)</f>
        <v>0</v>
      </c>
      <c r="BH1071">
        <f>IF($A1071="","",IF($A1070="",1,IF(BG1071&lt;&gt;BG1070,1,0)))</f>
        <v>0</v>
      </c>
      <c r="BI1071">
        <f>IF($A1071="","",IF($A1072="",1,IF(BG1072&lt;&gt;BG1071,1,0)))</f>
        <v>0</v>
      </c>
      <c r="BJ1071">
        <f>IF($A1071="","",IF(BH1071=1,$B1071,BJ1070))</f>
        <v>0</v>
      </c>
      <c r="BK1071">
        <f>IF($A1071="","",IF(BH1071=1,$C1071,MAX($C1071,BK1070)))</f>
        <v>0</v>
      </c>
      <c r="BL1071">
        <f>IF($A1071="","",IF(BH1071=1,$D1071,MIN($D1071,BL1070)))</f>
        <v>0</v>
      </c>
      <c r="BM1071">
        <f>IF($A1071="","",IF(BI1071=1,F1071,""))</f>
        <v>0</v>
      </c>
      <c r="BN1071">
        <f>IF($A1071="","",DATE(YEAR($A1071),MONTH($A1071),1))</f>
        <v>0</v>
      </c>
      <c r="BO1071">
        <f>IF($A1071="","",IF($A1070="",1,IF(BN1071&lt;&gt;BN1070,1,0)))</f>
        <v>0</v>
      </c>
      <c r="BP1071">
        <f>IF($A1071="","",IF($A1072="",1,IF(BN1072&lt;&gt;BN1071,1,0)))</f>
        <v>0</v>
      </c>
      <c r="BQ1071">
        <f>IF($A1071="","",IF(BO1071=1,$B1071,BQ1070))</f>
        <v>0</v>
      </c>
      <c r="BR1071">
        <f>IF($A1071="","",IF(BO1071=1,$C1071,MAX($C1071,BR1070)))</f>
        <v>0</v>
      </c>
      <c r="BS1071">
        <f>IF($A1071="","",IF(BO1071=1,$D1071,MIN($D1071,BS1070)))</f>
        <v>0</v>
      </c>
      <c r="BT1071">
        <f>IF($A1071="","",IF(BP1071=1,F1071,""))</f>
        <v>0</v>
      </c>
    </row>
    <row r="1072" spans="1:72">
      <c r="A1072" s="27">
        <f>IF(Data!$A1072="","",Data!$A1072)</f>
        <v>0</v>
      </c>
      <c r="B1072">
        <f>IF(Data!$B1072="","",Data!$B1072)</f>
        <v>0</v>
      </c>
      <c r="C1072">
        <f>IF(Data!$C1072="","",Data!$C1072)</f>
        <v>0</v>
      </c>
      <c r="D1072">
        <f>IF(Data!$D1072="","",Data!$D1072)</f>
        <v>0</v>
      </c>
      <c r="E1072">
        <f>IF(Data!$E1072="","",Data!$E1072)</f>
        <v>0</v>
      </c>
      <c r="F1072">
        <f>IF($E1072="","",N(F1071)+1)</f>
        <v>0</v>
      </c>
      <c r="G1072">
        <f>IF(OR($E1072="",$E1071=""),"",LN($E1072/$E1071))</f>
        <v>0</v>
      </c>
      <c r="H1072">
        <f>IF($E1072="","",IF($E1071="",$E1072,$E1072*0.0952380952+H1071*0.9047619048))</f>
        <v>0</v>
      </c>
      <c r="I1072">
        <f>IF($E1072="","",IF($E1071="",$E1072,$E1072*0.0392156863+I1071*0.9607843137))</f>
        <v>0</v>
      </c>
      <c r="J1072">
        <f>IF($E1072="","",IF($E1071="",$E1072,$E1072*0.0198019802+J1071*0.9801980198))</f>
        <v>0</v>
      </c>
      <c r="K1072">
        <f>IF($E1072="","",IF($E1071="",$E1072,$E1072*0.0099502488+K1071*0.9900497512))</f>
        <v>0</v>
      </c>
      <c r="L1072">
        <f>IF(OR($E1072="",$E1071=""),"",MAX($E1072-$E1071,0))</f>
        <v>0</v>
      </c>
      <c r="M1072">
        <f>IF(OR($E1072="",$E1071=""),"",MAX($E1071-$E1072,0))</f>
        <v>0</v>
      </c>
      <c r="N1072">
        <f>IF(COUNT($E$2:$E1072)&lt;15,"",IF(AVERAGE($M$1059:$M$1072)=0,100,100-100/(1+AVERAGE($L$1059:$L$1072)/AVERAGE($M$1059:$M$1072))))</f>
        <v>0</v>
      </c>
      <c r="O1072">
        <f>IF($E1072="","",IF($E1071="",$E1072,$E1072*0.1538461538+O1071*0.8461538462))</f>
        <v>0</v>
      </c>
      <c r="P1072">
        <f>IF($E1072="","",IF($E1071="",$E1072,$E1072*0.0740740741+P1071*0.9259259259))</f>
        <v>0</v>
      </c>
      <c r="Q1072">
        <f>IF(OR(O1072="",P1072=""),"",O1072-P1072)</f>
        <v>0</v>
      </c>
      <c r="R1072">
        <f>IF(Q1072="","",IF(R1071="",Q1072,Q1072*0.2000000000+R1071*0.8000000000))</f>
        <v>0</v>
      </c>
      <c r="S1072">
        <f>IF(OR(Q1072="",R1072=""),"",Q1072-R1072)</f>
        <v>0</v>
      </c>
      <c r="T1072">
        <f>IF(COUNT($E$2:$E1072)&lt;14,"",MAX($C$1059:$C$1072))</f>
        <v>0</v>
      </c>
      <c r="U1072">
        <f>IF(COUNT($E$2:$E1072)&lt;14,"",MIN($D$1059:$D$1072))</f>
        <v>0</v>
      </c>
      <c r="V1072">
        <f>IF(OR(T1072="",U1072="",T1072=U1072),"",100*($E1072-U1072)/(T1072-U1072))</f>
        <v>0</v>
      </c>
      <c r="W1072">
        <f>IF(COUNT($V$1070:$V$1072)&lt;3,"",AVERAGE($V$1070:$V$1072))</f>
        <v>0</v>
      </c>
      <c r="X1072">
        <f>IF(COUNT($N$1059:$N$1072)&lt;14,"",MIN($N$1059:$N$1072))</f>
        <v>0</v>
      </c>
      <c r="Y1072">
        <f>IF(COUNT($N$1059:$N$1072)&lt;14,"",MAX($N$1059:$N$1072))</f>
        <v>0</v>
      </c>
      <c r="Z1072">
        <f>IF(OR(N1072="",X1072="",Y1072="",Y1072=X1072),"",100*(N1072-X1072)/(Y1072-X1072))</f>
        <v>0</v>
      </c>
      <c r="AA1072">
        <f>IF(COUNT($Z$1070:$Z$1072)&lt;3,"",AVERAGE($Z$1070:$Z$1072))</f>
        <v>0</v>
      </c>
      <c r="AB1072">
        <f>IF(COUNT($AA$1070:$AA$1072)&lt;3,"",AVERAGE($AA$1070:$AA$1072))</f>
        <v>0</v>
      </c>
      <c r="AC1072">
        <f>IF($E1072="","",MAX($C1072-$D1072,ABS($C1072-$E1071),ABS($D1072-$E1071)))</f>
        <v>0</v>
      </c>
      <c r="AD1072">
        <f>IF(COUNT($E$2:$E1072)&lt;15,"",AVERAGE($AC$1059:$AC$1072))</f>
        <v>0</v>
      </c>
      <c r="AE1072">
        <f>IF(OR($E1072="",$E1071=""),"",IF(AND(($C1072-$C1071)&gt;($D1071-$D1072),($C1072-$C1071)&gt;0),$C1072-$C1071,0))</f>
        <v>0</v>
      </c>
      <c r="AF1072">
        <f>IF(OR($E1072="",$E1071=""),"",IF(AND(($D1071-$D1072)&gt;($C1072-$C1071),($D1071-$D1072)&gt;0),$D1071-$D1072,0))</f>
        <v>0</v>
      </c>
      <c r="AG1072">
        <f>IF(COUNT($E$2:$E1072)&lt;15,"",IF(SUM($AC$1059:$AC$1072)=0,0,100*SUM($AE$1059:$AE$1072)/SUM($AC$1059:$AC$1072)))</f>
        <v>0</v>
      </c>
      <c r="AH1072">
        <f>IF(COUNT($E$2:$E1072)&lt;15,"",IF(SUM($AC$1059:$AC$1072)=0,0,100*SUM($AF$1059:$AF$1072)/SUM($AC$1059:$AC$1072)))</f>
        <v>0</v>
      </c>
      <c r="AI1072">
        <f>IF(OR(AG1072="",AH1072=""),"",IF((AG1072+AH1072)=0,0,100*ABS(AG1072-AH1072)/(AG1072+AH1072)))</f>
        <v>0</v>
      </c>
      <c r="AJ1072">
        <f>IF(COUNT($AI$1059:$AI$1072)&lt;14,"",AVERAGE($AI$1059:$AI$1072))</f>
        <v>0</v>
      </c>
      <c r="AK1072">
        <f>IF(COUNT($E$2:$E1072)&lt;20,"",AVERAGE($E$1053:$E$1072))</f>
        <v>0</v>
      </c>
      <c r="AL1072">
        <f>IF(COUNT($E$2:$E1072)&lt;20,"",STDEVP($E$1053:$E$1072))</f>
        <v>0</v>
      </c>
      <c r="AM1072">
        <f>IF(AK1072="","",AK1072+2*AL1072)</f>
        <v>0</v>
      </c>
      <c r="AN1072">
        <f>IF(AK1072="","",AK1072-2*AL1072)</f>
        <v>0</v>
      </c>
      <c r="AO1072">
        <f>IF(OR(AM1072="",AN1072="",AM1072=AN1072),"",($E1072-AN1072)/(AM1072-AN1072))</f>
        <v>0</v>
      </c>
      <c r="AP1072">
        <f>IF(OR(AM1072="",AK1072="",AK1072=0),"",(AM1072-AN1072)/AK1072)</f>
        <v>0</v>
      </c>
      <c r="AQ1072">
        <f>IF(COUNT($E$2:$E1072)&lt;20,"",MAX($C$1053:$C$1072))</f>
        <v>0</v>
      </c>
      <c r="AR1072">
        <f>IF(COUNT($E$2:$E1072)&lt;20,"",MIN($D$1053:$D$1072))</f>
        <v>0</v>
      </c>
      <c r="AS1072">
        <f>IF(OR(AQ1072="",AR1072=""),"",(AQ1072+AR1072)/2)</f>
        <v>0</v>
      </c>
      <c r="AT1072">
        <f>IF(COUNT($G$1053:$G$1072)&lt;20,"",STDEV($G$1053:$G$1072)*SQRT(252))</f>
        <v>0</v>
      </c>
      <c r="AU1072">
        <f>IF(COUNT($E$2:$E1072)&lt;9,"",(MAX($C$1064:$C$1072)+MIN($D$1064:$D$1072))/2)</f>
        <v>0</v>
      </c>
      <c r="AV1072">
        <f>IF(COUNT($E$2:$E1072)&lt;26,"",(MAX($C$1047:$C$1072)+MIN($D$1047:$D$1072))/2)</f>
        <v>0</v>
      </c>
      <c r="AW1072">
        <f>IF(OR(AU1072="",AV1072=""),"",(AU1072+AV1072)/2)</f>
        <v>0</v>
      </c>
      <c r="AX1072">
        <f>IF(COUNT($E$2:$E1072)&lt;52,"",(MAX($C$1021:$C$1072)+MIN($D$1021:$D$1072))/2)</f>
        <v>0</v>
      </c>
      <c r="AY1072">
        <f>IF(COUNT($E$2:$E1072)&lt;20,"",MAX($C$973:$C$1072))</f>
        <v>0</v>
      </c>
      <c r="AZ1072">
        <f>IF(COUNT($E$2:$E1072)&lt;20,"",MIN($D$973:$D$1072))</f>
        <v>0</v>
      </c>
      <c r="BA1072">
        <f>IF(COUNT($E$2:$E1072)&lt;20,"",SLOPE($E$973:$E$1072,$F$973:$F$1072))</f>
        <v>0</v>
      </c>
      <c r="BB1072">
        <f>IF(COUNT($E$2:$E1072)&lt;20,"",INTERCEPT($E$973:$E$1072,$F$973:$F$1072))</f>
        <v>0</v>
      </c>
      <c r="BC1072">
        <f>IF(OR(BA1072="",BB1072=""),"",BB1072+BA1072*F1072)</f>
        <v>0</v>
      </c>
      <c r="BD1072">
        <f>IF(COUNT($E$2:$E1072)&lt;20,"",STEYX($E$973:$E$1072,$F$973:$F$1072))</f>
        <v>0</v>
      </c>
      <c r="BE1072">
        <f>IF($E1072="","",IF(AND(COUNT($E$1073:$E$1076)&gt;=4,$C1072=MAX($C$1068:$C$1076)),$C1072,""))</f>
        <v>0</v>
      </c>
      <c r="BF1072">
        <f>IF($E1072="","",IF(AND(COUNT($E$1073:$E$1076)&gt;=4,$D1072=MIN($D$1068:$D$1076)),$D1072,""))</f>
        <v>0</v>
      </c>
      <c r="BG1072">
        <f>IF($A1072="","",$A1072-WEEKDAY($A1072,2)+1)</f>
        <v>0</v>
      </c>
      <c r="BH1072">
        <f>IF($A1072="","",IF($A1071="",1,IF(BG1072&lt;&gt;BG1071,1,0)))</f>
        <v>0</v>
      </c>
      <c r="BI1072">
        <f>IF($A1072="","",IF($A1073="",1,IF(BG1073&lt;&gt;BG1072,1,0)))</f>
        <v>0</v>
      </c>
      <c r="BJ1072">
        <f>IF($A1072="","",IF(BH1072=1,$B1072,BJ1071))</f>
        <v>0</v>
      </c>
      <c r="BK1072">
        <f>IF($A1072="","",IF(BH1072=1,$C1072,MAX($C1072,BK1071)))</f>
        <v>0</v>
      </c>
      <c r="BL1072">
        <f>IF($A1072="","",IF(BH1072=1,$D1072,MIN($D1072,BL1071)))</f>
        <v>0</v>
      </c>
      <c r="BM1072">
        <f>IF($A1072="","",IF(BI1072=1,F1072,""))</f>
        <v>0</v>
      </c>
      <c r="BN1072">
        <f>IF($A1072="","",DATE(YEAR($A1072),MONTH($A1072),1))</f>
        <v>0</v>
      </c>
      <c r="BO1072">
        <f>IF($A1072="","",IF($A1071="",1,IF(BN1072&lt;&gt;BN1071,1,0)))</f>
        <v>0</v>
      </c>
      <c r="BP1072">
        <f>IF($A1072="","",IF($A1073="",1,IF(BN1073&lt;&gt;BN1072,1,0)))</f>
        <v>0</v>
      </c>
      <c r="BQ1072">
        <f>IF($A1072="","",IF(BO1072=1,$B1072,BQ1071))</f>
        <v>0</v>
      </c>
      <c r="BR1072">
        <f>IF($A1072="","",IF(BO1072=1,$C1072,MAX($C1072,BR1071)))</f>
        <v>0</v>
      </c>
      <c r="BS1072">
        <f>IF($A1072="","",IF(BO1072=1,$D1072,MIN($D1072,BS1071)))</f>
        <v>0</v>
      </c>
      <c r="BT1072">
        <f>IF($A1072="","",IF(BP1072=1,F1072,""))</f>
        <v>0</v>
      </c>
    </row>
    <row r="1073" spans="1:72">
      <c r="A1073" s="27">
        <f>IF(Data!$A1073="","",Data!$A1073)</f>
        <v>0</v>
      </c>
      <c r="B1073">
        <f>IF(Data!$B1073="","",Data!$B1073)</f>
        <v>0</v>
      </c>
      <c r="C1073">
        <f>IF(Data!$C1073="","",Data!$C1073)</f>
        <v>0</v>
      </c>
      <c r="D1073">
        <f>IF(Data!$D1073="","",Data!$D1073)</f>
        <v>0</v>
      </c>
      <c r="E1073">
        <f>IF(Data!$E1073="","",Data!$E1073)</f>
        <v>0</v>
      </c>
      <c r="F1073">
        <f>IF($E1073="","",N(F1072)+1)</f>
        <v>0</v>
      </c>
      <c r="G1073">
        <f>IF(OR($E1073="",$E1072=""),"",LN($E1073/$E1072))</f>
        <v>0</v>
      </c>
      <c r="H1073">
        <f>IF($E1073="","",IF($E1072="",$E1073,$E1073*0.0952380952+H1072*0.9047619048))</f>
        <v>0</v>
      </c>
      <c r="I1073">
        <f>IF($E1073="","",IF($E1072="",$E1073,$E1073*0.0392156863+I1072*0.9607843137))</f>
        <v>0</v>
      </c>
      <c r="J1073">
        <f>IF($E1073="","",IF($E1072="",$E1073,$E1073*0.0198019802+J1072*0.9801980198))</f>
        <v>0</v>
      </c>
      <c r="K1073">
        <f>IF($E1073="","",IF($E1072="",$E1073,$E1073*0.0099502488+K1072*0.9900497512))</f>
        <v>0</v>
      </c>
      <c r="L1073">
        <f>IF(OR($E1073="",$E1072=""),"",MAX($E1073-$E1072,0))</f>
        <v>0</v>
      </c>
      <c r="M1073">
        <f>IF(OR($E1073="",$E1072=""),"",MAX($E1072-$E1073,0))</f>
        <v>0</v>
      </c>
      <c r="N1073">
        <f>IF(COUNT($E$2:$E1073)&lt;15,"",IF(AVERAGE($M$1060:$M$1073)=0,100,100-100/(1+AVERAGE($L$1060:$L$1073)/AVERAGE($M$1060:$M$1073))))</f>
        <v>0</v>
      </c>
      <c r="O1073">
        <f>IF($E1073="","",IF($E1072="",$E1073,$E1073*0.1538461538+O1072*0.8461538462))</f>
        <v>0</v>
      </c>
      <c r="P1073">
        <f>IF($E1073="","",IF($E1072="",$E1073,$E1073*0.0740740741+P1072*0.9259259259))</f>
        <v>0</v>
      </c>
      <c r="Q1073">
        <f>IF(OR(O1073="",P1073=""),"",O1073-P1073)</f>
        <v>0</v>
      </c>
      <c r="R1073">
        <f>IF(Q1073="","",IF(R1072="",Q1073,Q1073*0.2000000000+R1072*0.8000000000))</f>
        <v>0</v>
      </c>
      <c r="S1073">
        <f>IF(OR(Q1073="",R1073=""),"",Q1073-R1073)</f>
        <v>0</v>
      </c>
      <c r="T1073">
        <f>IF(COUNT($E$2:$E1073)&lt;14,"",MAX($C$1060:$C$1073))</f>
        <v>0</v>
      </c>
      <c r="U1073">
        <f>IF(COUNT($E$2:$E1073)&lt;14,"",MIN($D$1060:$D$1073))</f>
        <v>0</v>
      </c>
      <c r="V1073">
        <f>IF(OR(T1073="",U1073="",T1073=U1073),"",100*($E1073-U1073)/(T1073-U1073))</f>
        <v>0</v>
      </c>
      <c r="W1073">
        <f>IF(COUNT($V$1071:$V$1073)&lt;3,"",AVERAGE($V$1071:$V$1073))</f>
        <v>0</v>
      </c>
      <c r="X1073">
        <f>IF(COUNT($N$1060:$N$1073)&lt;14,"",MIN($N$1060:$N$1073))</f>
        <v>0</v>
      </c>
      <c r="Y1073">
        <f>IF(COUNT($N$1060:$N$1073)&lt;14,"",MAX($N$1060:$N$1073))</f>
        <v>0</v>
      </c>
      <c r="Z1073">
        <f>IF(OR(N1073="",X1073="",Y1073="",Y1073=X1073),"",100*(N1073-X1073)/(Y1073-X1073))</f>
        <v>0</v>
      </c>
      <c r="AA1073">
        <f>IF(COUNT($Z$1071:$Z$1073)&lt;3,"",AVERAGE($Z$1071:$Z$1073))</f>
        <v>0</v>
      </c>
      <c r="AB1073">
        <f>IF(COUNT($AA$1071:$AA$1073)&lt;3,"",AVERAGE($AA$1071:$AA$1073))</f>
        <v>0</v>
      </c>
      <c r="AC1073">
        <f>IF($E1073="","",MAX($C1073-$D1073,ABS($C1073-$E1072),ABS($D1073-$E1072)))</f>
        <v>0</v>
      </c>
      <c r="AD1073">
        <f>IF(COUNT($E$2:$E1073)&lt;15,"",AVERAGE($AC$1060:$AC$1073))</f>
        <v>0</v>
      </c>
      <c r="AE1073">
        <f>IF(OR($E1073="",$E1072=""),"",IF(AND(($C1073-$C1072)&gt;($D1072-$D1073),($C1073-$C1072)&gt;0),$C1073-$C1072,0))</f>
        <v>0</v>
      </c>
      <c r="AF1073">
        <f>IF(OR($E1073="",$E1072=""),"",IF(AND(($D1072-$D1073)&gt;($C1073-$C1072),($D1072-$D1073)&gt;0),$D1072-$D1073,0))</f>
        <v>0</v>
      </c>
      <c r="AG1073">
        <f>IF(COUNT($E$2:$E1073)&lt;15,"",IF(SUM($AC$1060:$AC$1073)=0,0,100*SUM($AE$1060:$AE$1073)/SUM($AC$1060:$AC$1073)))</f>
        <v>0</v>
      </c>
      <c r="AH1073">
        <f>IF(COUNT($E$2:$E1073)&lt;15,"",IF(SUM($AC$1060:$AC$1073)=0,0,100*SUM($AF$1060:$AF$1073)/SUM($AC$1060:$AC$1073)))</f>
        <v>0</v>
      </c>
      <c r="AI1073">
        <f>IF(OR(AG1073="",AH1073=""),"",IF((AG1073+AH1073)=0,0,100*ABS(AG1073-AH1073)/(AG1073+AH1073)))</f>
        <v>0</v>
      </c>
      <c r="AJ1073">
        <f>IF(COUNT($AI$1060:$AI$1073)&lt;14,"",AVERAGE($AI$1060:$AI$1073))</f>
        <v>0</v>
      </c>
      <c r="AK1073">
        <f>IF(COUNT($E$2:$E1073)&lt;20,"",AVERAGE($E$1054:$E$1073))</f>
        <v>0</v>
      </c>
      <c r="AL1073">
        <f>IF(COUNT($E$2:$E1073)&lt;20,"",STDEVP($E$1054:$E$1073))</f>
        <v>0</v>
      </c>
      <c r="AM1073">
        <f>IF(AK1073="","",AK1073+2*AL1073)</f>
        <v>0</v>
      </c>
      <c r="AN1073">
        <f>IF(AK1073="","",AK1073-2*AL1073)</f>
        <v>0</v>
      </c>
      <c r="AO1073">
        <f>IF(OR(AM1073="",AN1073="",AM1073=AN1073),"",($E1073-AN1073)/(AM1073-AN1073))</f>
        <v>0</v>
      </c>
      <c r="AP1073">
        <f>IF(OR(AM1073="",AK1073="",AK1073=0),"",(AM1073-AN1073)/AK1073)</f>
        <v>0</v>
      </c>
      <c r="AQ1073">
        <f>IF(COUNT($E$2:$E1073)&lt;20,"",MAX($C$1054:$C$1073))</f>
        <v>0</v>
      </c>
      <c r="AR1073">
        <f>IF(COUNT($E$2:$E1073)&lt;20,"",MIN($D$1054:$D$1073))</f>
        <v>0</v>
      </c>
      <c r="AS1073">
        <f>IF(OR(AQ1073="",AR1073=""),"",(AQ1073+AR1073)/2)</f>
        <v>0</v>
      </c>
      <c r="AT1073">
        <f>IF(COUNT($G$1054:$G$1073)&lt;20,"",STDEV($G$1054:$G$1073)*SQRT(252))</f>
        <v>0</v>
      </c>
      <c r="AU1073">
        <f>IF(COUNT($E$2:$E1073)&lt;9,"",(MAX($C$1065:$C$1073)+MIN($D$1065:$D$1073))/2)</f>
        <v>0</v>
      </c>
      <c r="AV1073">
        <f>IF(COUNT($E$2:$E1073)&lt;26,"",(MAX($C$1048:$C$1073)+MIN($D$1048:$D$1073))/2)</f>
        <v>0</v>
      </c>
      <c r="AW1073">
        <f>IF(OR(AU1073="",AV1073=""),"",(AU1073+AV1073)/2)</f>
        <v>0</v>
      </c>
      <c r="AX1073">
        <f>IF(COUNT($E$2:$E1073)&lt;52,"",(MAX($C$1022:$C$1073)+MIN($D$1022:$D$1073))/2)</f>
        <v>0</v>
      </c>
      <c r="AY1073">
        <f>IF(COUNT($E$2:$E1073)&lt;20,"",MAX($C$974:$C$1073))</f>
        <v>0</v>
      </c>
      <c r="AZ1073">
        <f>IF(COUNT($E$2:$E1073)&lt;20,"",MIN($D$974:$D$1073))</f>
        <v>0</v>
      </c>
      <c r="BA1073">
        <f>IF(COUNT($E$2:$E1073)&lt;20,"",SLOPE($E$974:$E$1073,$F$974:$F$1073))</f>
        <v>0</v>
      </c>
      <c r="BB1073">
        <f>IF(COUNT($E$2:$E1073)&lt;20,"",INTERCEPT($E$974:$E$1073,$F$974:$F$1073))</f>
        <v>0</v>
      </c>
      <c r="BC1073">
        <f>IF(OR(BA1073="",BB1073=""),"",BB1073+BA1073*F1073)</f>
        <v>0</v>
      </c>
      <c r="BD1073">
        <f>IF(COUNT($E$2:$E1073)&lt;20,"",STEYX($E$974:$E$1073,$F$974:$F$1073))</f>
        <v>0</v>
      </c>
      <c r="BE1073">
        <f>IF($E1073="","",IF(AND(COUNT($E$1074:$E$1077)&gt;=4,$C1073=MAX($C$1069:$C$1077)),$C1073,""))</f>
        <v>0</v>
      </c>
      <c r="BF1073">
        <f>IF($E1073="","",IF(AND(COUNT($E$1074:$E$1077)&gt;=4,$D1073=MIN($D$1069:$D$1077)),$D1073,""))</f>
        <v>0</v>
      </c>
      <c r="BG1073">
        <f>IF($A1073="","",$A1073-WEEKDAY($A1073,2)+1)</f>
        <v>0</v>
      </c>
      <c r="BH1073">
        <f>IF($A1073="","",IF($A1072="",1,IF(BG1073&lt;&gt;BG1072,1,0)))</f>
        <v>0</v>
      </c>
      <c r="BI1073">
        <f>IF($A1073="","",IF($A1074="",1,IF(BG1074&lt;&gt;BG1073,1,0)))</f>
        <v>0</v>
      </c>
      <c r="BJ1073">
        <f>IF($A1073="","",IF(BH1073=1,$B1073,BJ1072))</f>
        <v>0</v>
      </c>
      <c r="BK1073">
        <f>IF($A1073="","",IF(BH1073=1,$C1073,MAX($C1073,BK1072)))</f>
        <v>0</v>
      </c>
      <c r="BL1073">
        <f>IF($A1073="","",IF(BH1073=1,$D1073,MIN($D1073,BL1072)))</f>
        <v>0</v>
      </c>
      <c r="BM1073">
        <f>IF($A1073="","",IF(BI1073=1,F1073,""))</f>
        <v>0</v>
      </c>
      <c r="BN1073">
        <f>IF($A1073="","",DATE(YEAR($A1073),MONTH($A1073),1))</f>
        <v>0</v>
      </c>
      <c r="BO1073">
        <f>IF($A1073="","",IF($A1072="",1,IF(BN1073&lt;&gt;BN1072,1,0)))</f>
        <v>0</v>
      </c>
      <c r="BP1073">
        <f>IF($A1073="","",IF($A1074="",1,IF(BN1074&lt;&gt;BN1073,1,0)))</f>
        <v>0</v>
      </c>
      <c r="BQ1073">
        <f>IF($A1073="","",IF(BO1073=1,$B1073,BQ1072))</f>
        <v>0</v>
      </c>
      <c r="BR1073">
        <f>IF($A1073="","",IF(BO1073=1,$C1073,MAX($C1073,BR1072)))</f>
        <v>0</v>
      </c>
      <c r="BS1073">
        <f>IF($A1073="","",IF(BO1073=1,$D1073,MIN($D1073,BS1072)))</f>
        <v>0</v>
      </c>
      <c r="BT1073">
        <f>IF($A1073="","",IF(BP1073=1,F1073,""))</f>
        <v>0</v>
      </c>
    </row>
    <row r="1074" spans="1:72">
      <c r="A1074" s="27">
        <f>IF(Data!$A1074="","",Data!$A1074)</f>
        <v>0</v>
      </c>
      <c r="B1074">
        <f>IF(Data!$B1074="","",Data!$B1074)</f>
        <v>0</v>
      </c>
      <c r="C1074">
        <f>IF(Data!$C1074="","",Data!$C1074)</f>
        <v>0</v>
      </c>
      <c r="D1074">
        <f>IF(Data!$D1074="","",Data!$D1074)</f>
        <v>0</v>
      </c>
      <c r="E1074">
        <f>IF(Data!$E1074="","",Data!$E1074)</f>
        <v>0</v>
      </c>
      <c r="F1074">
        <f>IF($E1074="","",N(F1073)+1)</f>
        <v>0</v>
      </c>
      <c r="G1074">
        <f>IF(OR($E1074="",$E1073=""),"",LN($E1074/$E1073))</f>
        <v>0</v>
      </c>
      <c r="H1074">
        <f>IF($E1074="","",IF($E1073="",$E1074,$E1074*0.0952380952+H1073*0.9047619048))</f>
        <v>0</v>
      </c>
      <c r="I1074">
        <f>IF($E1074="","",IF($E1073="",$E1074,$E1074*0.0392156863+I1073*0.9607843137))</f>
        <v>0</v>
      </c>
      <c r="J1074">
        <f>IF($E1074="","",IF($E1073="",$E1074,$E1074*0.0198019802+J1073*0.9801980198))</f>
        <v>0</v>
      </c>
      <c r="K1074">
        <f>IF($E1074="","",IF($E1073="",$E1074,$E1074*0.0099502488+K1073*0.9900497512))</f>
        <v>0</v>
      </c>
      <c r="L1074">
        <f>IF(OR($E1074="",$E1073=""),"",MAX($E1074-$E1073,0))</f>
        <v>0</v>
      </c>
      <c r="M1074">
        <f>IF(OR($E1074="",$E1073=""),"",MAX($E1073-$E1074,0))</f>
        <v>0</v>
      </c>
      <c r="N1074">
        <f>IF(COUNT($E$2:$E1074)&lt;15,"",IF(AVERAGE($M$1061:$M$1074)=0,100,100-100/(1+AVERAGE($L$1061:$L$1074)/AVERAGE($M$1061:$M$1074))))</f>
        <v>0</v>
      </c>
      <c r="O1074">
        <f>IF($E1074="","",IF($E1073="",$E1074,$E1074*0.1538461538+O1073*0.8461538462))</f>
        <v>0</v>
      </c>
      <c r="P1074">
        <f>IF($E1074="","",IF($E1073="",$E1074,$E1074*0.0740740741+P1073*0.9259259259))</f>
        <v>0</v>
      </c>
      <c r="Q1074">
        <f>IF(OR(O1074="",P1074=""),"",O1074-P1074)</f>
        <v>0</v>
      </c>
      <c r="R1074">
        <f>IF(Q1074="","",IF(R1073="",Q1074,Q1074*0.2000000000+R1073*0.8000000000))</f>
        <v>0</v>
      </c>
      <c r="S1074">
        <f>IF(OR(Q1074="",R1074=""),"",Q1074-R1074)</f>
        <v>0</v>
      </c>
      <c r="T1074">
        <f>IF(COUNT($E$2:$E1074)&lt;14,"",MAX($C$1061:$C$1074))</f>
        <v>0</v>
      </c>
      <c r="U1074">
        <f>IF(COUNT($E$2:$E1074)&lt;14,"",MIN($D$1061:$D$1074))</f>
        <v>0</v>
      </c>
      <c r="V1074">
        <f>IF(OR(T1074="",U1074="",T1074=U1074),"",100*($E1074-U1074)/(T1074-U1074))</f>
        <v>0</v>
      </c>
      <c r="W1074">
        <f>IF(COUNT($V$1072:$V$1074)&lt;3,"",AVERAGE($V$1072:$V$1074))</f>
        <v>0</v>
      </c>
      <c r="X1074">
        <f>IF(COUNT($N$1061:$N$1074)&lt;14,"",MIN($N$1061:$N$1074))</f>
        <v>0</v>
      </c>
      <c r="Y1074">
        <f>IF(COUNT($N$1061:$N$1074)&lt;14,"",MAX($N$1061:$N$1074))</f>
        <v>0</v>
      </c>
      <c r="Z1074">
        <f>IF(OR(N1074="",X1074="",Y1074="",Y1074=X1074),"",100*(N1074-X1074)/(Y1074-X1074))</f>
        <v>0</v>
      </c>
      <c r="AA1074">
        <f>IF(COUNT($Z$1072:$Z$1074)&lt;3,"",AVERAGE($Z$1072:$Z$1074))</f>
        <v>0</v>
      </c>
      <c r="AB1074">
        <f>IF(COUNT($AA$1072:$AA$1074)&lt;3,"",AVERAGE($AA$1072:$AA$1074))</f>
        <v>0</v>
      </c>
      <c r="AC1074">
        <f>IF($E1074="","",MAX($C1074-$D1074,ABS($C1074-$E1073),ABS($D1074-$E1073)))</f>
        <v>0</v>
      </c>
      <c r="AD1074">
        <f>IF(COUNT($E$2:$E1074)&lt;15,"",AVERAGE($AC$1061:$AC$1074))</f>
        <v>0</v>
      </c>
      <c r="AE1074">
        <f>IF(OR($E1074="",$E1073=""),"",IF(AND(($C1074-$C1073)&gt;($D1073-$D1074),($C1074-$C1073)&gt;0),$C1074-$C1073,0))</f>
        <v>0</v>
      </c>
      <c r="AF1074">
        <f>IF(OR($E1074="",$E1073=""),"",IF(AND(($D1073-$D1074)&gt;($C1074-$C1073),($D1073-$D1074)&gt;0),$D1073-$D1074,0))</f>
        <v>0</v>
      </c>
      <c r="AG1074">
        <f>IF(COUNT($E$2:$E1074)&lt;15,"",IF(SUM($AC$1061:$AC$1074)=0,0,100*SUM($AE$1061:$AE$1074)/SUM($AC$1061:$AC$1074)))</f>
        <v>0</v>
      </c>
      <c r="AH1074">
        <f>IF(COUNT($E$2:$E1074)&lt;15,"",IF(SUM($AC$1061:$AC$1074)=0,0,100*SUM($AF$1061:$AF$1074)/SUM($AC$1061:$AC$1074)))</f>
        <v>0</v>
      </c>
      <c r="AI1074">
        <f>IF(OR(AG1074="",AH1074=""),"",IF((AG1074+AH1074)=0,0,100*ABS(AG1074-AH1074)/(AG1074+AH1074)))</f>
        <v>0</v>
      </c>
      <c r="AJ1074">
        <f>IF(COUNT($AI$1061:$AI$1074)&lt;14,"",AVERAGE($AI$1061:$AI$1074))</f>
        <v>0</v>
      </c>
      <c r="AK1074">
        <f>IF(COUNT($E$2:$E1074)&lt;20,"",AVERAGE($E$1055:$E$1074))</f>
        <v>0</v>
      </c>
      <c r="AL1074">
        <f>IF(COUNT($E$2:$E1074)&lt;20,"",STDEVP($E$1055:$E$1074))</f>
        <v>0</v>
      </c>
      <c r="AM1074">
        <f>IF(AK1074="","",AK1074+2*AL1074)</f>
        <v>0</v>
      </c>
      <c r="AN1074">
        <f>IF(AK1074="","",AK1074-2*AL1074)</f>
        <v>0</v>
      </c>
      <c r="AO1074">
        <f>IF(OR(AM1074="",AN1074="",AM1074=AN1074),"",($E1074-AN1074)/(AM1074-AN1074))</f>
        <v>0</v>
      </c>
      <c r="AP1074">
        <f>IF(OR(AM1074="",AK1074="",AK1074=0),"",(AM1074-AN1074)/AK1074)</f>
        <v>0</v>
      </c>
      <c r="AQ1074">
        <f>IF(COUNT($E$2:$E1074)&lt;20,"",MAX($C$1055:$C$1074))</f>
        <v>0</v>
      </c>
      <c r="AR1074">
        <f>IF(COUNT($E$2:$E1074)&lt;20,"",MIN($D$1055:$D$1074))</f>
        <v>0</v>
      </c>
      <c r="AS1074">
        <f>IF(OR(AQ1074="",AR1074=""),"",(AQ1074+AR1074)/2)</f>
        <v>0</v>
      </c>
      <c r="AT1074">
        <f>IF(COUNT($G$1055:$G$1074)&lt;20,"",STDEV($G$1055:$G$1074)*SQRT(252))</f>
        <v>0</v>
      </c>
      <c r="AU1074">
        <f>IF(COUNT($E$2:$E1074)&lt;9,"",(MAX($C$1066:$C$1074)+MIN($D$1066:$D$1074))/2)</f>
        <v>0</v>
      </c>
      <c r="AV1074">
        <f>IF(COUNT($E$2:$E1074)&lt;26,"",(MAX($C$1049:$C$1074)+MIN($D$1049:$D$1074))/2)</f>
        <v>0</v>
      </c>
      <c r="AW1074">
        <f>IF(OR(AU1074="",AV1074=""),"",(AU1074+AV1074)/2)</f>
        <v>0</v>
      </c>
      <c r="AX1074">
        <f>IF(COUNT($E$2:$E1074)&lt;52,"",(MAX($C$1023:$C$1074)+MIN($D$1023:$D$1074))/2)</f>
        <v>0</v>
      </c>
      <c r="AY1074">
        <f>IF(COUNT($E$2:$E1074)&lt;20,"",MAX($C$975:$C$1074))</f>
        <v>0</v>
      </c>
      <c r="AZ1074">
        <f>IF(COUNT($E$2:$E1074)&lt;20,"",MIN($D$975:$D$1074))</f>
        <v>0</v>
      </c>
      <c r="BA1074">
        <f>IF(COUNT($E$2:$E1074)&lt;20,"",SLOPE($E$975:$E$1074,$F$975:$F$1074))</f>
        <v>0</v>
      </c>
      <c r="BB1074">
        <f>IF(COUNT($E$2:$E1074)&lt;20,"",INTERCEPT($E$975:$E$1074,$F$975:$F$1074))</f>
        <v>0</v>
      </c>
      <c r="BC1074">
        <f>IF(OR(BA1074="",BB1074=""),"",BB1074+BA1074*F1074)</f>
        <v>0</v>
      </c>
      <c r="BD1074">
        <f>IF(COUNT($E$2:$E1074)&lt;20,"",STEYX($E$975:$E$1074,$F$975:$F$1074))</f>
        <v>0</v>
      </c>
      <c r="BE1074">
        <f>IF($E1074="","",IF(AND(COUNT($E$1075:$E$1078)&gt;=4,$C1074=MAX($C$1070:$C$1078)),$C1074,""))</f>
        <v>0</v>
      </c>
      <c r="BF1074">
        <f>IF($E1074="","",IF(AND(COUNT($E$1075:$E$1078)&gt;=4,$D1074=MIN($D$1070:$D$1078)),$D1074,""))</f>
        <v>0</v>
      </c>
      <c r="BG1074">
        <f>IF($A1074="","",$A1074-WEEKDAY($A1074,2)+1)</f>
        <v>0</v>
      </c>
      <c r="BH1074">
        <f>IF($A1074="","",IF($A1073="",1,IF(BG1074&lt;&gt;BG1073,1,0)))</f>
        <v>0</v>
      </c>
      <c r="BI1074">
        <f>IF($A1074="","",IF($A1075="",1,IF(BG1075&lt;&gt;BG1074,1,0)))</f>
        <v>0</v>
      </c>
      <c r="BJ1074">
        <f>IF($A1074="","",IF(BH1074=1,$B1074,BJ1073))</f>
        <v>0</v>
      </c>
      <c r="BK1074">
        <f>IF($A1074="","",IF(BH1074=1,$C1074,MAX($C1074,BK1073)))</f>
        <v>0</v>
      </c>
      <c r="BL1074">
        <f>IF($A1074="","",IF(BH1074=1,$D1074,MIN($D1074,BL1073)))</f>
        <v>0</v>
      </c>
      <c r="BM1074">
        <f>IF($A1074="","",IF(BI1074=1,F1074,""))</f>
        <v>0</v>
      </c>
      <c r="BN1074">
        <f>IF($A1074="","",DATE(YEAR($A1074),MONTH($A1074),1))</f>
        <v>0</v>
      </c>
      <c r="BO1074">
        <f>IF($A1074="","",IF($A1073="",1,IF(BN1074&lt;&gt;BN1073,1,0)))</f>
        <v>0</v>
      </c>
      <c r="BP1074">
        <f>IF($A1074="","",IF($A1075="",1,IF(BN1075&lt;&gt;BN1074,1,0)))</f>
        <v>0</v>
      </c>
      <c r="BQ1074">
        <f>IF($A1074="","",IF(BO1074=1,$B1074,BQ1073))</f>
        <v>0</v>
      </c>
      <c r="BR1074">
        <f>IF($A1074="","",IF(BO1074=1,$C1074,MAX($C1074,BR1073)))</f>
        <v>0</v>
      </c>
      <c r="BS1074">
        <f>IF($A1074="","",IF(BO1074=1,$D1074,MIN($D1074,BS1073)))</f>
        <v>0</v>
      </c>
      <c r="BT1074">
        <f>IF($A1074="","",IF(BP1074=1,F1074,""))</f>
        <v>0</v>
      </c>
    </row>
    <row r="1075" spans="1:72">
      <c r="A1075" s="27">
        <f>IF(Data!$A1075="","",Data!$A1075)</f>
        <v>0</v>
      </c>
      <c r="B1075">
        <f>IF(Data!$B1075="","",Data!$B1075)</f>
        <v>0</v>
      </c>
      <c r="C1075">
        <f>IF(Data!$C1075="","",Data!$C1075)</f>
        <v>0</v>
      </c>
      <c r="D1075">
        <f>IF(Data!$D1075="","",Data!$D1075)</f>
        <v>0</v>
      </c>
      <c r="E1075">
        <f>IF(Data!$E1075="","",Data!$E1075)</f>
        <v>0</v>
      </c>
      <c r="F1075">
        <f>IF($E1075="","",N(F1074)+1)</f>
        <v>0</v>
      </c>
      <c r="G1075">
        <f>IF(OR($E1075="",$E1074=""),"",LN($E1075/$E1074))</f>
        <v>0</v>
      </c>
      <c r="H1075">
        <f>IF($E1075="","",IF($E1074="",$E1075,$E1075*0.0952380952+H1074*0.9047619048))</f>
        <v>0</v>
      </c>
      <c r="I1075">
        <f>IF($E1075="","",IF($E1074="",$E1075,$E1075*0.0392156863+I1074*0.9607843137))</f>
        <v>0</v>
      </c>
      <c r="J1075">
        <f>IF($E1075="","",IF($E1074="",$E1075,$E1075*0.0198019802+J1074*0.9801980198))</f>
        <v>0</v>
      </c>
      <c r="K1075">
        <f>IF($E1075="","",IF($E1074="",$E1075,$E1075*0.0099502488+K1074*0.9900497512))</f>
        <v>0</v>
      </c>
      <c r="L1075">
        <f>IF(OR($E1075="",$E1074=""),"",MAX($E1075-$E1074,0))</f>
        <v>0</v>
      </c>
      <c r="M1075">
        <f>IF(OR($E1075="",$E1074=""),"",MAX($E1074-$E1075,0))</f>
        <v>0</v>
      </c>
      <c r="N1075">
        <f>IF(COUNT($E$2:$E1075)&lt;15,"",IF(AVERAGE($M$1062:$M$1075)=0,100,100-100/(1+AVERAGE($L$1062:$L$1075)/AVERAGE($M$1062:$M$1075))))</f>
        <v>0</v>
      </c>
      <c r="O1075">
        <f>IF($E1075="","",IF($E1074="",$E1075,$E1075*0.1538461538+O1074*0.8461538462))</f>
        <v>0</v>
      </c>
      <c r="P1075">
        <f>IF($E1075="","",IF($E1074="",$E1075,$E1075*0.0740740741+P1074*0.9259259259))</f>
        <v>0</v>
      </c>
      <c r="Q1075">
        <f>IF(OR(O1075="",P1075=""),"",O1075-P1075)</f>
        <v>0</v>
      </c>
      <c r="R1075">
        <f>IF(Q1075="","",IF(R1074="",Q1075,Q1075*0.2000000000+R1074*0.8000000000))</f>
        <v>0</v>
      </c>
      <c r="S1075">
        <f>IF(OR(Q1075="",R1075=""),"",Q1075-R1075)</f>
        <v>0</v>
      </c>
      <c r="T1075">
        <f>IF(COUNT($E$2:$E1075)&lt;14,"",MAX($C$1062:$C$1075))</f>
        <v>0</v>
      </c>
      <c r="U1075">
        <f>IF(COUNT($E$2:$E1075)&lt;14,"",MIN($D$1062:$D$1075))</f>
        <v>0</v>
      </c>
      <c r="V1075">
        <f>IF(OR(T1075="",U1075="",T1075=U1075),"",100*($E1075-U1075)/(T1075-U1075))</f>
        <v>0</v>
      </c>
      <c r="W1075">
        <f>IF(COUNT($V$1073:$V$1075)&lt;3,"",AVERAGE($V$1073:$V$1075))</f>
        <v>0</v>
      </c>
      <c r="X1075">
        <f>IF(COUNT($N$1062:$N$1075)&lt;14,"",MIN($N$1062:$N$1075))</f>
        <v>0</v>
      </c>
      <c r="Y1075">
        <f>IF(COUNT($N$1062:$N$1075)&lt;14,"",MAX($N$1062:$N$1075))</f>
        <v>0</v>
      </c>
      <c r="Z1075">
        <f>IF(OR(N1075="",X1075="",Y1075="",Y1075=X1075),"",100*(N1075-X1075)/(Y1075-X1075))</f>
        <v>0</v>
      </c>
      <c r="AA1075">
        <f>IF(COUNT($Z$1073:$Z$1075)&lt;3,"",AVERAGE($Z$1073:$Z$1075))</f>
        <v>0</v>
      </c>
      <c r="AB1075">
        <f>IF(COUNT($AA$1073:$AA$1075)&lt;3,"",AVERAGE($AA$1073:$AA$1075))</f>
        <v>0</v>
      </c>
      <c r="AC1075">
        <f>IF($E1075="","",MAX($C1075-$D1075,ABS($C1075-$E1074),ABS($D1075-$E1074)))</f>
        <v>0</v>
      </c>
      <c r="AD1075">
        <f>IF(COUNT($E$2:$E1075)&lt;15,"",AVERAGE($AC$1062:$AC$1075))</f>
        <v>0</v>
      </c>
      <c r="AE1075">
        <f>IF(OR($E1075="",$E1074=""),"",IF(AND(($C1075-$C1074)&gt;($D1074-$D1075),($C1075-$C1074)&gt;0),$C1075-$C1074,0))</f>
        <v>0</v>
      </c>
      <c r="AF1075">
        <f>IF(OR($E1075="",$E1074=""),"",IF(AND(($D1074-$D1075)&gt;($C1075-$C1074),($D1074-$D1075)&gt;0),$D1074-$D1075,0))</f>
        <v>0</v>
      </c>
      <c r="AG1075">
        <f>IF(COUNT($E$2:$E1075)&lt;15,"",IF(SUM($AC$1062:$AC$1075)=0,0,100*SUM($AE$1062:$AE$1075)/SUM($AC$1062:$AC$1075)))</f>
        <v>0</v>
      </c>
      <c r="AH1075">
        <f>IF(COUNT($E$2:$E1075)&lt;15,"",IF(SUM($AC$1062:$AC$1075)=0,0,100*SUM($AF$1062:$AF$1075)/SUM($AC$1062:$AC$1075)))</f>
        <v>0</v>
      </c>
      <c r="AI1075">
        <f>IF(OR(AG1075="",AH1075=""),"",IF((AG1075+AH1075)=0,0,100*ABS(AG1075-AH1075)/(AG1075+AH1075)))</f>
        <v>0</v>
      </c>
      <c r="AJ1075">
        <f>IF(COUNT($AI$1062:$AI$1075)&lt;14,"",AVERAGE($AI$1062:$AI$1075))</f>
        <v>0</v>
      </c>
      <c r="AK1075">
        <f>IF(COUNT($E$2:$E1075)&lt;20,"",AVERAGE($E$1056:$E$1075))</f>
        <v>0</v>
      </c>
      <c r="AL1075">
        <f>IF(COUNT($E$2:$E1075)&lt;20,"",STDEVP($E$1056:$E$1075))</f>
        <v>0</v>
      </c>
      <c r="AM1075">
        <f>IF(AK1075="","",AK1075+2*AL1075)</f>
        <v>0</v>
      </c>
      <c r="AN1075">
        <f>IF(AK1075="","",AK1075-2*AL1075)</f>
        <v>0</v>
      </c>
      <c r="AO1075">
        <f>IF(OR(AM1075="",AN1075="",AM1075=AN1075),"",($E1075-AN1075)/(AM1075-AN1075))</f>
        <v>0</v>
      </c>
      <c r="AP1075">
        <f>IF(OR(AM1075="",AK1075="",AK1075=0),"",(AM1075-AN1075)/AK1075)</f>
        <v>0</v>
      </c>
      <c r="AQ1075">
        <f>IF(COUNT($E$2:$E1075)&lt;20,"",MAX($C$1056:$C$1075))</f>
        <v>0</v>
      </c>
      <c r="AR1075">
        <f>IF(COUNT($E$2:$E1075)&lt;20,"",MIN($D$1056:$D$1075))</f>
        <v>0</v>
      </c>
      <c r="AS1075">
        <f>IF(OR(AQ1075="",AR1075=""),"",(AQ1075+AR1075)/2)</f>
        <v>0</v>
      </c>
      <c r="AT1075">
        <f>IF(COUNT($G$1056:$G$1075)&lt;20,"",STDEV($G$1056:$G$1075)*SQRT(252))</f>
        <v>0</v>
      </c>
      <c r="AU1075">
        <f>IF(COUNT($E$2:$E1075)&lt;9,"",(MAX($C$1067:$C$1075)+MIN($D$1067:$D$1075))/2)</f>
        <v>0</v>
      </c>
      <c r="AV1075">
        <f>IF(COUNT($E$2:$E1075)&lt;26,"",(MAX($C$1050:$C$1075)+MIN($D$1050:$D$1075))/2)</f>
        <v>0</v>
      </c>
      <c r="AW1075">
        <f>IF(OR(AU1075="",AV1075=""),"",(AU1075+AV1075)/2)</f>
        <v>0</v>
      </c>
      <c r="AX1075">
        <f>IF(COUNT($E$2:$E1075)&lt;52,"",(MAX($C$1024:$C$1075)+MIN($D$1024:$D$1075))/2)</f>
        <v>0</v>
      </c>
      <c r="AY1075">
        <f>IF(COUNT($E$2:$E1075)&lt;20,"",MAX($C$976:$C$1075))</f>
        <v>0</v>
      </c>
      <c r="AZ1075">
        <f>IF(COUNT($E$2:$E1075)&lt;20,"",MIN($D$976:$D$1075))</f>
        <v>0</v>
      </c>
      <c r="BA1075">
        <f>IF(COUNT($E$2:$E1075)&lt;20,"",SLOPE($E$976:$E$1075,$F$976:$F$1075))</f>
        <v>0</v>
      </c>
      <c r="BB1075">
        <f>IF(COUNT($E$2:$E1075)&lt;20,"",INTERCEPT($E$976:$E$1075,$F$976:$F$1075))</f>
        <v>0</v>
      </c>
      <c r="BC1075">
        <f>IF(OR(BA1075="",BB1075=""),"",BB1075+BA1075*F1075)</f>
        <v>0</v>
      </c>
      <c r="BD1075">
        <f>IF(COUNT($E$2:$E1075)&lt;20,"",STEYX($E$976:$E$1075,$F$976:$F$1075))</f>
        <v>0</v>
      </c>
      <c r="BE1075">
        <f>IF($E1075="","",IF(AND(COUNT($E$1076:$E$1079)&gt;=4,$C1075=MAX($C$1071:$C$1079)),$C1075,""))</f>
        <v>0</v>
      </c>
      <c r="BF1075">
        <f>IF($E1075="","",IF(AND(COUNT($E$1076:$E$1079)&gt;=4,$D1075=MIN($D$1071:$D$1079)),$D1075,""))</f>
        <v>0</v>
      </c>
      <c r="BG1075">
        <f>IF($A1075="","",$A1075-WEEKDAY($A1075,2)+1)</f>
        <v>0</v>
      </c>
      <c r="BH1075">
        <f>IF($A1075="","",IF($A1074="",1,IF(BG1075&lt;&gt;BG1074,1,0)))</f>
        <v>0</v>
      </c>
      <c r="BI1075">
        <f>IF($A1075="","",IF($A1076="",1,IF(BG1076&lt;&gt;BG1075,1,0)))</f>
        <v>0</v>
      </c>
      <c r="BJ1075">
        <f>IF($A1075="","",IF(BH1075=1,$B1075,BJ1074))</f>
        <v>0</v>
      </c>
      <c r="BK1075">
        <f>IF($A1075="","",IF(BH1075=1,$C1075,MAX($C1075,BK1074)))</f>
        <v>0</v>
      </c>
      <c r="BL1075">
        <f>IF($A1075="","",IF(BH1075=1,$D1075,MIN($D1075,BL1074)))</f>
        <v>0</v>
      </c>
      <c r="BM1075">
        <f>IF($A1075="","",IF(BI1075=1,F1075,""))</f>
        <v>0</v>
      </c>
      <c r="BN1075">
        <f>IF($A1075="","",DATE(YEAR($A1075),MONTH($A1075),1))</f>
        <v>0</v>
      </c>
      <c r="BO1075">
        <f>IF($A1075="","",IF($A1074="",1,IF(BN1075&lt;&gt;BN1074,1,0)))</f>
        <v>0</v>
      </c>
      <c r="BP1075">
        <f>IF($A1075="","",IF($A1076="",1,IF(BN1076&lt;&gt;BN1075,1,0)))</f>
        <v>0</v>
      </c>
      <c r="BQ1075">
        <f>IF($A1075="","",IF(BO1075=1,$B1075,BQ1074))</f>
        <v>0</v>
      </c>
      <c r="BR1075">
        <f>IF($A1075="","",IF(BO1075=1,$C1075,MAX($C1075,BR1074)))</f>
        <v>0</v>
      </c>
      <c r="BS1075">
        <f>IF($A1075="","",IF(BO1075=1,$D1075,MIN($D1075,BS1074)))</f>
        <v>0</v>
      </c>
      <c r="BT1075">
        <f>IF($A1075="","",IF(BP1075=1,F1075,""))</f>
        <v>0</v>
      </c>
    </row>
    <row r="1076" spans="1:72">
      <c r="A1076" s="27">
        <f>IF(Data!$A1076="","",Data!$A1076)</f>
        <v>0</v>
      </c>
      <c r="B1076">
        <f>IF(Data!$B1076="","",Data!$B1076)</f>
        <v>0</v>
      </c>
      <c r="C1076">
        <f>IF(Data!$C1076="","",Data!$C1076)</f>
        <v>0</v>
      </c>
      <c r="D1076">
        <f>IF(Data!$D1076="","",Data!$D1076)</f>
        <v>0</v>
      </c>
      <c r="E1076">
        <f>IF(Data!$E1076="","",Data!$E1076)</f>
        <v>0</v>
      </c>
      <c r="F1076">
        <f>IF($E1076="","",N(F1075)+1)</f>
        <v>0</v>
      </c>
      <c r="G1076">
        <f>IF(OR($E1076="",$E1075=""),"",LN($E1076/$E1075))</f>
        <v>0</v>
      </c>
      <c r="H1076">
        <f>IF($E1076="","",IF($E1075="",$E1076,$E1076*0.0952380952+H1075*0.9047619048))</f>
        <v>0</v>
      </c>
      <c r="I1076">
        <f>IF($E1076="","",IF($E1075="",$E1076,$E1076*0.0392156863+I1075*0.9607843137))</f>
        <v>0</v>
      </c>
      <c r="J1076">
        <f>IF($E1076="","",IF($E1075="",$E1076,$E1076*0.0198019802+J1075*0.9801980198))</f>
        <v>0</v>
      </c>
      <c r="K1076">
        <f>IF($E1076="","",IF($E1075="",$E1076,$E1076*0.0099502488+K1075*0.9900497512))</f>
        <v>0</v>
      </c>
      <c r="L1076">
        <f>IF(OR($E1076="",$E1075=""),"",MAX($E1076-$E1075,0))</f>
        <v>0</v>
      </c>
      <c r="M1076">
        <f>IF(OR($E1076="",$E1075=""),"",MAX($E1075-$E1076,0))</f>
        <v>0</v>
      </c>
      <c r="N1076">
        <f>IF(COUNT($E$2:$E1076)&lt;15,"",IF(AVERAGE($M$1063:$M$1076)=0,100,100-100/(1+AVERAGE($L$1063:$L$1076)/AVERAGE($M$1063:$M$1076))))</f>
        <v>0</v>
      </c>
      <c r="O1076">
        <f>IF($E1076="","",IF($E1075="",$E1076,$E1076*0.1538461538+O1075*0.8461538462))</f>
        <v>0</v>
      </c>
      <c r="P1076">
        <f>IF($E1076="","",IF($E1075="",$E1076,$E1076*0.0740740741+P1075*0.9259259259))</f>
        <v>0</v>
      </c>
      <c r="Q1076">
        <f>IF(OR(O1076="",P1076=""),"",O1076-P1076)</f>
        <v>0</v>
      </c>
      <c r="R1076">
        <f>IF(Q1076="","",IF(R1075="",Q1076,Q1076*0.2000000000+R1075*0.8000000000))</f>
        <v>0</v>
      </c>
      <c r="S1076">
        <f>IF(OR(Q1076="",R1076=""),"",Q1076-R1076)</f>
        <v>0</v>
      </c>
      <c r="T1076">
        <f>IF(COUNT($E$2:$E1076)&lt;14,"",MAX($C$1063:$C$1076))</f>
        <v>0</v>
      </c>
      <c r="U1076">
        <f>IF(COUNT($E$2:$E1076)&lt;14,"",MIN($D$1063:$D$1076))</f>
        <v>0</v>
      </c>
      <c r="V1076">
        <f>IF(OR(T1076="",U1076="",T1076=U1076),"",100*($E1076-U1076)/(T1076-U1076))</f>
        <v>0</v>
      </c>
      <c r="W1076">
        <f>IF(COUNT($V$1074:$V$1076)&lt;3,"",AVERAGE($V$1074:$V$1076))</f>
        <v>0</v>
      </c>
      <c r="X1076">
        <f>IF(COUNT($N$1063:$N$1076)&lt;14,"",MIN($N$1063:$N$1076))</f>
        <v>0</v>
      </c>
      <c r="Y1076">
        <f>IF(COUNT($N$1063:$N$1076)&lt;14,"",MAX($N$1063:$N$1076))</f>
        <v>0</v>
      </c>
      <c r="Z1076">
        <f>IF(OR(N1076="",X1076="",Y1076="",Y1076=X1076),"",100*(N1076-X1076)/(Y1076-X1076))</f>
        <v>0</v>
      </c>
      <c r="AA1076">
        <f>IF(COUNT($Z$1074:$Z$1076)&lt;3,"",AVERAGE($Z$1074:$Z$1076))</f>
        <v>0</v>
      </c>
      <c r="AB1076">
        <f>IF(COUNT($AA$1074:$AA$1076)&lt;3,"",AVERAGE($AA$1074:$AA$1076))</f>
        <v>0</v>
      </c>
      <c r="AC1076">
        <f>IF($E1076="","",MAX($C1076-$D1076,ABS($C1076-$E1075),ABS($D1076-$E1075)))</f>
        <v>0</v>
      </c>
      <c r="AD1076">
        <f>IF(COUNT($E$2:$E1076)&lt;15,"",AVERAGE($AC$1063:$AC$1076))</f>
        <v>0</v>
      </c>
      <c r="AE1076">
        <f>IF(OR($E1076="",$E1075=""),"",IF(AND(($C1076-$C1075)&gt;($D1075-$D1076),($C1076-$C1075)&gt;0),$C1076-$C1075,0))</f>
        <v>0</v>
      </c>
      <c r="AF1076">
        <f>IF(OR($E1076="",$E1075=""),"",IF(AND(($D1075-$D1076)&gt;($C1076-$C1075),($D1075-$D1076)&gt;0),$D1075-$D1076,0))</f>
        <v>0</v>
      </c>
      <c r="AG1076">
        <f>IF(COUNT($E$2:$E1076)&lt;15,"",IF(SUM($AC$1063:$AC$1076)=0,0,100*SUM($AE$1063:$AE$1076)/SUM($AC$1063:$AC$1076)))</f>
        <v>0</v>
      </c>
      <c r="AH1076">
        <f>IF(COUNT($E$2:$E1076)&lt;15,"",IF(SUM($AC$1063:$AC$1076)=0,0,100*SUM($AF$1063:$AF$1076)/SUM($AC$1063:$AC$1076)))</f>
        <v>0</v>
      </c>
      <c r="AI1076">
        <f>IF(OR(AG1076="",AH1076=""),"",IF((AG1076+AH1076)=0,0,100*ABS(AG1076-AH1076)/(AG1076+AH1076)))</f>
        <v>0</v>
      </c>
      <c r="AJ1076">
        <f>IF(COUNT($AI$1063:$AI$1076)&lt;14,"",AVERAGE($AI$1063:$AI$1076))</f>
        <v>0</v>
      </c>
      <c r="AK1076">
        <f>IF(COUNT($E$2:$E1076)&lt;20,"",AVERAGE($E$1057:$E$1076))</f>
        <v>0</v>
      </c>
      <c r="AL1076">
        <f>IF(COUNT($E$2:$E1076)&lt;20,"",STDEVP($E$1057:$E$1076))</f>
        <v>0</v>
      </c>
      <c r="AM1076">
        <f>IF(AK1076="","",AK1076+2*AL1076)</f>
        <v>0</v>
      </c>
      <c r="AN1076">
        <f>IF(AK1076="","",AK1076-2*AL1076)</f>
        <v>0</v>
      </c>
      <c r="AO1076">
        <f>IF(OR(AM1076="",AN1076="",AM1076=AN1076),"",($E1076-AN1076)/(AM1076-AN1076))</f>
        <v>0</v>
      </c>
      <c r="AP1076">
        <f>IF(OR(AM1076="",AK1076="",AK1076=0),"",(AM1076-AN1076)/AK1076)</f>
        <v>0</v>
      </c>
      <c r="AQ1076">
        <f>IF(COUNT($E$2:$E1076)&lt;20,"",MAX($C$1057:$C$1076))</f>
        <v>0</v>
      </c>
      <c r="AR1076">
        <f>IF(COUNT($E$2:$E1076)&lt;20,"",MIN($D$1057:$D$1076))</f>
        <v>0</v>
      </c>
      <c r="AS1076">
        <f>IF(OR(AQ1076="",AR1076=""),"",(AQ1076+AR1076)/2)</f>
        <v>0</v>
      </c>
      <c r="AT1076">
        <f>IF(COUNT($G$1057:$G$1076)&lt;20,"",STDEV($G$1057:$G$1076)*SQRT(252))</f>
        <v>0</v>
      </c>
      <c r="AU1076">
        <f>IF(COUNT($E$2:$E1076)&lt;9,"",(MAX($C$1068:$C$1076)+MIN($D$1068:$D$1076))/2)</f>
        <v>0</v>
      </c>
      <c r="AV1076">
        <f>IF(COUNT($E$2:$E1076)&lt;26,"",(MAX($C$1051:$C$1076)+MIN($D$1051:$D$1076))/2)</f>
        <v>0</v>
      </c>
      <c r="AW1076">
        <f>IF(OR(AU1076="",AV1076=""),"",(AU1076+AV1076)/2)</f>
        <v>0</v>
      </c>
      <c r="AX1076">
        <f>IF(COUNT($E$2:$E1076)&lt;52,"",(MAX($C$1025:$C$1076)+MIN($D$1025:$D$1076))/2)</f>
        <v>0</v>
      </c>
      <c r="AY1076">
        <f>IF(COUNT($E$2:$E1076)&lt;20,"",MAX($C$977:$C$1076))</f>
        <v>0</v>
      </c>
      <c r="AZ1076">
        <f>IF(COUNT($E$2:$E1076)&lt;20,"",MIN($D$977:$D$1076))</f>
        <v>0</v>
      </c>
      <c r="BA1076">
        <f>IF(COUNT($E$2:$E1076)&lt;20,"",SLOPE($E$977:$E$1076,$F$977:$F$1076))</f>
        <v>0</v>
      </c>
      <c r="BB1076">
        <f>IF(COUNT($E$2:$E1076)&lt;20,"",INTERCEPT($E$977:$E$1076,$F$977:$F$1076))</f>
        <v>0</v>
      </c>
      <c r="BC1076">
        <f>IF(OR(BA1076="",BB1076=""),"",BB1076+BA1076*F1076)</f>
        <v>0</v>
      </c>
      <c r="BD1076">
        <f>IF(COUNT($E$2:$E1076)&lt;20,"",STEYX($E$977:$E$1076,$F$977:$F$1076))</f>
        <v>0</v>
      </c>
      <c r="BE1076">
        <f>IF($E1076="","",IF(AND(COUNT($E$1077:$E$1080)&gt;=4,$C1076=MAX($C$1072:$C$1080)),$C1076,""))</f>
        <v>0</v>
      </c>
      <c r="BF1076">
        <f>IF($E1076="","",IF(AND(COUNT($E$1077:$E$1080)&gt;=4,$D1076=MIN($D$1072:$D$1080)),$D1076,""))</f>
        <v>0</v>
      </c>
      <c r="BG1076">
        <f>IF($A1076="","",$A1076-WEEKDAY($A1076,2)+1)</f>
        <v>0</v>
      </c>
      <c r="BH1076">
        <f>IF($A1076="","",IF($A1075="",1,IF(BG1076&lt;&gt;BG1075,1,0)))</f>
        <v>0</v>
      </c>
      <c r="BI1076">
        <f>IF($A1076="","",IF($A1077="",1,IF(BG1077&lt;&gt;BG1076,1,0)))</f>
        <v>0</v>
      </c>
      <c r="BJ1076">
        <f>IF($A1076="","",IF(BH1076=1,$B1076,BJ1075))</f>
        <v>0</v>
      </c>
      <c r="BK1076">
        <f>IF($A1076="","",IF(BH1076=1,$C1076,MAX($C1076,BK1075)))</f>
        <v>0</v>
      </c>
      <c r="BL1076">
        <f>IF($A1076="","",IF(BH1076=1,$D1076,MIN($D1076,BL1075)))</f>
        <v>0</v>
      </c>
      <c r="BM1076">
        <f>IF($A1076="","",IF(BI1076=1,F1076,""))</f>
        <v>0</v>
      </c>
      <c r="BN1076">
        <f>IF($A1076="","",DATE(YEAR($A1076),MONTH($A1076),1))</f>
        <v>0</v>
      </c>
      <c r="BO1076">
        <f>IF($A1076="","",IF($A1075="",1,IF(BN1076&lt;&gt;BN1075,1,0)))</f>
        <v>0</v>
      </c>
      <c r="BP1076">
        <f>IF($A1076="","",IF($A1077="",1,IF(BN1077&lt;&gt;BN1076,1,0)))</f>
        <v>0</v>
      </c>
      <c r="BQ1076">
        <f>IF($A1076="","",IF(BO1076=1,$B1076,BQ1075))</f>
        <v>0</v>
      </c>
      <c r="BR1076">
        <f>IF($A1076="","",IF(BO1076=1,$C1076,MAX($C1076,BR1075)))</f>
        <v>0</v>
      </c>
      <c r="BS1076">
        <f>IF($A1076="","",IF(BO1076=1,$D1076,MIN($D1076,BS1075)))</f>
        <v>0</v>
      </c>
      <c r="BT1076">
        <f>IF($A1076="","",IF(BP1076=1,F1076,""))</f>
        <v>0</v>
      </c>
    </row>
    <row r="1077" spans="1:72">
      <c r="A1077" s="27">
        <f>IF(Data!$A1077="","",Data!$A1077)</f>
        <v>0</v>
      </c>
      <c r="B1077">
        <f>IF(Data!$B1077="","",Data!$B1077)</f>
        <v>0</v>
      </c>
      <c r="C1077">
        <f>IF(Data!$C1077="","",Data!$C1077)</f>
        <v>0</v>
      </c>
      <c r="D1077">
        <f>IF(Data!$D1077="","",Data!$D1077)</f>
        <v>0</v>
      </c>
      <c r="E1077">
        <f>IF(Data!$E1077="","",Data!$E1077)</f>
        <v>0</v>
      </c>
      <c r="F1077">
        <f>IF($E1077="","",N(F1076)+1)</f>
        <v>0</v>
      </c>
      <c r="G1077">
        <f>IF(OR($E1077="",$E1076=""),"",LN($E1077/$E1076))</f>
        <v>0</v>
      </c>
      <c r="H1077">
        <f>IF($E1077="","",IF($E1076="",$E1077,$E1077*0.0952380952+H1076*0.9047619048))</f>
        <v>0</v>
      </c>
      <c r="I1077">
        <f>IF($E1077="","",IF($E1076="",$E1077,$E1077*0.0392156863+I1076*0.9607843137))</f>
        <v>0</v>
      </c>
      <c r="J1077">
        <f>IF($E1077="","",IF($E1076="",$E1077,$E1077*0.0198019802+J1076*0.9801980198))</f>
        <v>0</v>
      </c>
      <c r="K1077">
        <f>IF($E1077="","",IF($E1076="",$E1077,$E1077*0.0099502488+K1076*0.9900497512))</f>
        <v>0</v>
      </c>
      <c r="L1077">
        <f>IF(OR($E1077="",$E1076=""),"",MAX($E1077-$E1076,0))</f>
        <v>0</v>
      </c>
      <c r="M1077">
        <f>IF(OR($E1077="",$E1076=""),"",MAX($E1076-$E1077,0))</f>
        <v>0</v>
      </c>
      <c r="N1077">
        <f>IF(COUNT($E$2:$E1077)&lt;15,"",IF(AVERAGE($M$1064:$M$1077)=0,100,100-100/(1+AVERAGE($L$1064:$L$1077)/AVERAGE($M$1064:$M$1077))))</f>
        <v>0</v>
      </c>
      <c r="O1077">
        <f>IF($E1077="","",IF($E1076="",$E1077,$E1077*0.1538461538+O1076*0.8461538462))</f>
        <v>0</v>
      </c>
      <c r="P1077">
        <f>IF($E1077="","",IF($E1076="",$E1077,$E1077*0.0740740741+P1076*0.9259259259))</f>
        <v>0</v>
      </c>
      <c r="Q1077">
        <f>IF(OR(O1077="",P1077=""),"",O1077-P1077)</f>
        <v>0</v>
      </c>
      <c r="R1077">
        <f>IF(Q1077="","",IF(R1076="",Q1077,Q1077*0.2000000000+R1076*0.8000000000))</f>
        <v>0</v>
      </c>
      <c r="S1077">
        <f>IF(OR(Q1077="",R1077=""),"",Q1077-R1077)</f>
        <v>0</v>
      </c>
      <c r="T1077">
        <f>IF(COUNT($E$2:$E1077)&lt;14,"",MAX($C$1064:$C$1077))</f>
        <v>0</v>
      </c>
      <c r="U1077">
        <f>IF(COUNT($E$2:$E1077)&lt;14,"",MIN($D$1064:$D$1077))</f>
        <v>0</v>
      </c>
      <c r="V1077">
        <f>IF(OR(T1077="",U1077="",T1077=U1077),"",100*($E1077-U1077)/(T1077-U1077))</f>
        <v>0</v>
      </c>
      <c r="W1077">
        <f>IF(COUNT($V$1075:$V$1077)&lt;3,"",AVERAGE($V$1075:$V$1077))</f>
        <v>0</v>
      </c>
      <c r="X1077">
        <f>IF(COUNT($N$1064:$N$1077)&lt;14,"",MIN($N$1064:$N$1077))</f>
        <v>0</v>
      </c>
      <c r="Y1077">
        <f>IF(COUNT($N$1064:$N$1077)&lt;14,"",MAX($N$1064:$N$1077))</f>
        <v>0</v>
      </c>
      <c r="Z1077">
        <f>IF(OR(N1077="",X1077="",Y1077="",Y1077=X1077),"",100*(N1077-X1077)/(Y1077-X1077))</f>
        <v>0</v>
      </c>
      <c r="AA1077">
        <f>IF(COUNT($Z$1075:$Z$1077)&lt;3,"",AVERAGE($Z$1075:$Z$1077))</f>
        <v>0</v>
      </c>
      <c r="AB1077">
        <f>IF(COUNT($AA$1075:$AA$1077)&lt;3,"",AVERAGE($AA$1075:$AA$1077))</f>
        <v>0</v>
      </c>
      <c r="AC1077">
        <f>IF($E1077="","",MAX($C1077-$D1077,ABS($C1077-$E1076),ABS($D1077-$E1076)))</f>
        <v>0</v>
      </c>
      <c r="AD1077">
        <f>IF(COUNT($E$2:$E1077)&lt;15,"",AVERAGE($AC$1064:$AC$1077))</f>
        <v>0</v>
      </c>
      <c r="AE1077">
        <f>IF(OR($E1077="",$E1076=""),"",IF(AND(($C1077-$C1076)&gt;($D1076-$D1077),($C1077-$C1076)&gt;0),$C1077-$C1076,0))</f>
        <v>0</v>
      </c>
      <c r="AF1077">
        <f>IF(OR($E1077="",$E1076=""),"",IF(AND(($D1076-$D1077)&gt;($C1077-$C1076),($D1076-$D1077)&gt;0),$D1076-$D1077,0))</f>
        <v>0</v>
      </c>
      <c r="AG1077">
        <f>IF(COUNT($E$2:$E1077)&lt;15,"",IF(SUM($AC$1064:$AC$1077)=0,0,100*SUM($AE$1064:$AE$1077)/SUM($AC$1064:$AC$1077)))</f>
        <v>0</v>
      </c>
      <c r="AH1077">
        <f>IF(COUNT($E$2:$E1077)&lt;15,"",IF(SUM($AC$1064:$AC$1077)=0,0,100*SUM($AF$1064:$AF$1077)/SUM($AC$1064:$AC$1077)))</f>
        <v>0</v>
      </c>
      <c r="AI1077">
        <f>IF(OR(AG1077="",AH1077=""),"",IF((AG1077+AH1077)=0,0,100*ABS(AG1077-AH1077)/(AG1077+AH1077)))</f>
        <v>0</v>
      </c>
      <c r="AJ1077">
        <f>IF(COUNT($AI$1064:$AI$1077)&lt;14,"",AVERAGE($AI$1064:$AI$1077))</f>
        <v>0</v>
      </c>
      <c r="AK1077">
        <f>IF(COUNT($E$2:$E1077)&lt;20,"",AVERAGE($E$1058:$E$1077))</f>
        <v>0</v>
      </c>
      <c r="AL1077">
        <f>IF(COUNT($E$2:$E1077)&lt;20,"",STDEVP($E$1058:$E$1077))</f>
        <v>0</v>
      </c>
      <c r="AM1077">
        <f>IF(AK1077="","",AK1077+2*AL1077)</f>
        <v>0</v>
      </c>
      <c r="AN1077">
        <f>IF(AK1077="","",AK1077-2*AL1077)</f>
        <v>0</v>
      </c>
      <c r="AO1077">
        <f>IF(OR(AM1077="",AN1077="",AM1077=AN1077),"",($E1077-AN1077)/(AM1077-AN1077))</f>
        <v>0</v>
      </c>
      <c r="AP1077">
        <f>IF(OR(AM1077="",AK1077="",AK1077=0),"",(AM1077-AN1077)/AK1077)</f>
        <v>0</v>
      </c>
      <c r="AQ1077">
        <f>IF(COUNT($E$2:$E1077)&lt;20,"",MAX($C$1058:$C$1077))</f>
        <v>0</v>
      </c>
      <c r="AR1077">
        <f>IF(COUNT($E$2:$E1077)&lt;20,"",MIN($D$1058:$D$1077))</f>
        <v>0</v>
      </c>
      <c r="AS1077">
        <f>IF(OR(AQ1077="",AR1077=""),"",(AQ1077+AR1077)/2)</f>
        <v>0</v>
      </c>
      <c r="AT1077">
        <f>IF(COUNT($G$1058:$G$1077)&lt;20,"",STDEV($G$1058:$G$1077)*SQRT(252))</f>
        <v>0</v>
      </c>
      <c r="AU1077">
        <f>IF(COUNT($E$2:$E1077)&lt;9,"",(MAX($C$1069:$C$1077)+MIN($D$1069:$D$1077))/2)</f>
        <v>0</v>
      </c>
      <c r="AV1077">
        <f>IF(COUNT($E$2:$E1077)&lt;26,"",(MAX($C$1052:$C$1077)+MIN($D$1052:$D$1077))/2)</f>
        <v>0</v>
      </c>
      <c r="AW1077">
        <f>IF(OR(AU1077="",AV1077=""),"",(AU1077+AV1077)/2)</f>
        <v>0</v>
      </c>
      <c r="AX1077">
        <f>IF(COUNT($E$2:$E1077)&lt;52,"",(MAX($C$1026:$C$1077)+MIN($D$1026:$D$1077))/2)</f>
        <v>0</v>
      </c>
      <c r="AY1077">
        <f>IF(COUNT($E$2:$E1077)&lt;20,"",MAX($C$978:$C$1077))</f>
        <v>0</v>
      </c>
      <c r="AZ1077">
        <f>IF(COUNT($E$2:$E1077)&lt;20,"",MIN($D$978:$D$1077))</f>
        <v>0</v>
      </c>
      <c r="BA1077">
        <f>IF(COUNT($E$2:$E1077)&lt;20,"",SLOPE($E$978:$E$1077,$F$978:$F$1077))</f>
        <v>0</v>
      </c>
      <c r="BB1077">
        <f>IF(COUNT($E$2:$E1077)&lt;20,"",INTERCEPT($E$978:$E$1077,$F$978:$F$1077))</f>
        <v>0</v>
      </c>
      <c r="BC1077">
        <f>IF(OR(BA1077="",BB1077=""),"",BB1077+BA1077*F1077)</f>
        <v>0</v>
      </c>
      <c r="BD1077">
        <f>IF(COUNT($E$2:$E1077)&lt;20,"",STEYX($E$978:$E$1077,$F$978:$F$1077))</f>
        <v>0</v>
      </c>
      <c r="BE1077">
        <f>IF($E1077="","",IF(AND(COUNT($E$1078:$E$1081)&gt;=4,$C1077=MAX($C$1073:$C$1081)),$C1077,""))</f>
        <v>0</v>
      </c>
      <c r="BF1077">
        <f>IF($E1077="","",IF(AND(COUNT($E$1078:$E$1081)&gt;=4,$D1077=MIN($D$1073:$D$1081)),$D1077,""))</f>
        <v>0</v>
      </c>
      <c r="BG1077">
        <f>IF($A1077="","",$A1077-WEEKDAY($A1077,2)+1)</f>
        <v>0</v>
      </c>
      <c r="BH1077">
        <f>IF($A1077="","",IF($A1076="",1,IF(BG1077&lt;&gt;BG1076,1,0)))</f>
        <v>0</v>
      </c>
      <c r="BI1077">
        <f>IF($A1077="","",IF($A1078="",1,IF(BG1078&lt;&gt;BG1077,1,0)))</f>
        <v>0</v>
      </c>
      <c r="BJ1077">
        <f>IF($A1077="","",IF(BH1077=1,$B1077,BJ1076))</f>
        <v>0</v>
      </c>
      <c r="BK1077">
        <f>IF($A1077="","",IF(BH1077=1,$C1077,MAX($C1077,BK1076)))</f>
        <v>0</v>
      </c>
      <c r="BL1077">
        <f>IF($A1077="","",IF(BH1077=1,$D1077,MIN($D1077,BL1076)))</f>
        <v>0</v>
      </c>
      <c r="BM1077">
        <f>IF($A1077="","",IF(BI1077=1,F1077,""))</f>
        <v>0</v>
      </c>
      <c r="BN1077">
        <f>IF($A1077="","",DATE(YEAR($A1077),MONTH($A1077),1))</f>
        <v>0</v>
      </c>
      <c r="BO1077">
        <f>IF($A1077="","",IF($A1076="",1,IF(BN1077&lt;&gt;BN1076,1,0)))</f>
        <v>0</v>
      </c>
      <c r="BP1077">
        <f>IF($A1077="","",IF($A1078="",1,IF(BN1078&lt;&gt;BN1077,1,0)))</f>
        <v>0</v>
      </c>
      <c r="BQ1077">
        <f>IF($A1077="","",IF(BO1077=1,$B1077,BQ1076))</f>
        <v>0</v>
      </c>
      <c r="BR1077">
        <f>IF($A1077="","",IF(BO1077=1,$C1077,MAX($C1077,BR1076)))</f>
        <v>0</v>
      </c>
      <c r="BS1077">
        <f>IF($A1077="","",IF(BO1077=1,$D1077,MIN($D1077,BS1076)))</f>
        <v>0</v>
      </c>
      <c r="BT1077">
        <f>IF($A1077="","",IF(BP1077=1,F1077,""))</f>
        <v>0</v>
      </c>
    </row>
    <row r="1078" spans="1:72">
      <c r="A1078" s="27">
        <f>IF(Data!$A1078="","",Data!$A1078)</f>
        <v>0</v>
      </c>
      <c r="B1078">
        <f>IF(Data!$B1078="","",Data!$B1078)</f>
        <v>0</v>
      </c>
      <c r="C1078">
        <f>IF(Data!$C1078="","",Data!$C1078)</f>
        <v>0</v>
      </c>
      <c r="D1078">
        <f>IF(Data!$D1078="","",Data!$D1078)</f>
        <v>0</v>
      </c>
      <c r="E1078">
        <f>IF(Data!$E1078="","",Data!$E1078)</f>
        <v>0</v>
      </c>
      <c r="F1078">
        <f>IF($E1078="","",N(F1077)+1)</f>
        <v>0</v>
      </c>
      <c r="G1078">
        <f>IF(OR($E1078="",$E1077=""),"",LN($E1078/$E1077))</f>
        <v>0</v>
      </c>
      <c r="H1078">
        <f>IF($E1078="","",IF($E1077="",$E1078,$E1078*0.0952380952+H1077*0.9047619048))</f>
        <v>0</v>
      </c>
      <c r="I1078">
        <f>IF($E1078="","",IF($E1077="",$E1078,$E1078*0.0392156863+I1077*0.9607843137))</f>
        <v>0</v>
      </c>
      <c r="J1078">
        <f>IF($E1078="","",IF($E1077="",$E1078,$E1078*0.0198019802+J1077*0.9801980198))</f>
        <v>0</v>
      </c>
      <c r="K1078">
        <f>IF($E1078="","",IF($E1077="",$E1078,$E1078*0.0099502488+K1077*0.9900497512))</f>
        <v>0</v>
      </c>
      <c r="L1078">
        <f>IF(OR($E1078="",$E1077=""),"",MAX($E1078-$E1077,0))</f>
        <v>0</v>
      </c>
      <c r="M1078">
        <f>IF(OR($E1078="",$E1077=""),"",MAX($E1077-$E1078,0))</f>
        <v>0</v>
      </c>
      <c r="N1078">
        <f>IF(COUNT($E$2:$E1078)&lt;15,"",IF(AVERAGE($M$1065:$M$1078)=0,100,100-100/(1+AVERAGE($L$1065:$L$1078)/AVERAGE($M$1065:$M$1078))))</f>
        <v>0</v>
      </c>
      <c r="O1078">
        <f>IF($E1078="","",IF($E1077="",$E1078,$E1078*0.1538461538+O1077*0.8461538462))</f>
        <v>0</v>
      </c>
      <c r="P1078">
        <f>IF($E1078="","",IF($E1077="",$E1078,$E1078*0.0740740741+P1077*0.9259259259))</f>
        <v>0</v>
      </c>
      <c r="Q1078">
        <f>IF(OR(O1078="",P1078=""),"",O1078-P1078)</f>
        <v>0</v>
      </c>
      <c r="R1078">
        <f>IF(Q1078="","",IF(R1077="",Q1078,Q1078*0.2000000000+R1077*0.8000000000))</f>
        <v>0</v>
      </c>
      <c r="S1078">
        <f>IF(OR(Q1078="",R1078=""),"",Q1078-R1078)</f>
        <v>0</v>
      </c>
      <c r="T1078">
        <f>IF(COUNT($E$2:$E1078)&lt;14,"",MAX($C$1065:$C$1078))</f>
        <v>0</v>
      </c>
      <c r="U1078">
        <f>IF(COUNT($E$2:$E1078)&lt;14,"",MIN($D$1065:$D$1078))</f>
        <v>0</v>
      </c>
      <c r="V1078">
        <f>IF(OR(T1078="",U1078="",T1078=U1078),"",100*($E1078-U1078)/(T1078-U1078))</f>
        <v>0</v>
      </c>
      <c r="W1078">
        <f>IF(COUNT($V$1076:$V$1078)&lt;3,"",AVERAGE($V$1076:$V$1078))</f>
        <v>0</v>
      </c>
      <c r="X1078">
        <f>IF(COUNT($N$1065:$N$1078)&lt;14,"",MIN($N$1065:$N$1078))</f>
        <v>0</v>
      </c>
      <c r="Y1078">
        <f>IF(COUNT($N$1065:$N$1078)&lt;14,"",MAX($N$1065:$N$1078))</f>
        <v>0</v>
      </c>
      <c r="Z1078">
        <f>IF(OR(N1078="",X1078="",Y1078="",Y1078=X1078),"",100*(N1078-X1078)/(Y1078-X1078))</f>
        <v>0</v>
      </c>
      <c r="AA1078">
        <f>IF(COUNT($Z$1076:$Z$1078)&lt;3,"",AVERAGE($Z$1076:$Z$1078))</f>
        <v>0</v>
      </c>
      <c r="AB1078">
        <f>IF(COUNT($AA$1076:$AA$1078)&lt;3,"",AVERAGE($AA$1076:$AA$1078))</f>
        <v>0</v>
      </c>
      <c r="AC1078">
        <f>IF($E1078="","",MAX($C1078-$D1078,ABS($C1078-$E1077),ABS($D1078-$E1077)))</f>
        <v>0</v>
      </c>
      <c r="AD1078">
        <f>IF(COUNT($E$2:$E1078)&lt;15,"",AVERAGE($AC$1065:$AC$1078))</f>
        <v>0</v>
      </c>
      <c r="AE1078">
        <f>IF(OR($E1078="",$E1077=""),"",IF(AND(($C1078-$C1077)&gt;($D1077-$D1078),($C1078-$C1077)&gt;0),$C1078-$C1077,0))</f>
        <v>0</v>
      </c>
      <c r="AF1078">
        <f>IF(OR($E1078="",$E1077=""),"",IF(AND(($D1077-$D1078)&gt;($C1078-$C1077),($D1077-$D1078)&gt;0),$D1077-$D1078,0))</f>
        <v>0</v>
      </c>
      <c r="AG1078">
        <f>IF(COUNT($E$2:$E1078)&lt;15,"",IF(SUM($AC$1065:$AC$1078)=0,0,100*SUM($AE$1065:$AE$1078)/SUM($AC$1065:$AC$1078)))</f>
        <v>0</v>
      </c>
      <c r="AH1078">
        <f>IF(COUNT($E$2:$E1078)&lt;15,"",IF(SUM($AC$1065:$AC$1078)=0,0,100*SUM($AF$1065:$AF$1078)/SUM($AC$1065:$AC$1078)))</f>
        <v>0</v>
      </c>
      <c r="AI1078">
        <f>IF(OR(AG1078="",AH1078=""),"",IF((AG1078+AH1078)=0,0,100*ABS(AG1078-AH1078)/(AG1078+AH1078)))</f>
        <v>0</v>
      </c>
      <c r="AJ1078">
        <f>IF(COUNT($AI$1065:$AI$1078)&lt;14,"",AVERAGE($AI$1065:$AI$1078))</f>
        <v>0</v>
      </c>
      <c r="AK1078">
        <f>IF(COUNT($E$2:$E1078)&lt;20,"",AVERAGE($E$1059:$E$1078))</f>
        <v>0</v>
      </c>
      <c r="AL1078">
        <f>IF(COUNT($E$2:$E1078)&lt;20,"",STDEVP($E$1059:$E$1078))</f>
        <v>0</v>
      </c>
      <c r="AM1078">
        <f>IF(AK1078="","",AK1078+2*AL1078)</f>
        <v>0</v>
      </c>
      <c r="AN1078">
        <f>IF(AK1078="","",AK1078-2*AL1078)</f>
        <v>0</v>
      </c>
      <c r="AO1078">
        <f>IF(OR(AM1078="",AN1078="",AM1078=AN1078),"",($E1078-AN1078)/(AM1078-AN1078))</f>
        <v>0</v>
      </c>
      <c r="AP1078">
        <f>IF(OR(AM1078="",AK1078="",AK1078=0),"",(AM1078-AN1078)/AK1078)</f>
        <v>0</v>
      </c>
      <c r="AQ1078">
        <f>IF(COUNT($E$2:$E1078)&lt;20,"",MAX($C$1059:$C$1078))</f>
        <v>0</v>
      </c>
      <c r="AR1078">
        <f>IF(COUNT($E$2:$E1078)&lt;20,"",MIN($D$1059:$D$1078))</f>
        <v>0</v>
      </c>
      <c r="AS1078">
        <f>IF(OR(AQ1078="",AR1078=""),"",(AQ1078+AR1078)/2)</f>
        <v>0</v>
      </c>
      <c r="AT1078">
        <f>IF(COUNT($G$1059:$G$1078)&lt;20,"",STDEV($G$1059:$G$1078)*SQRT(252))</f>
        <v>0</v>
      </c>
      <c r="AU1078">
        <f>IF(COUNT($E$2:$E1078)&lt;9,"",(MAX($C$1070:$C$1078)+MIN($D$1070:$D$1078))/2)</f>
        <v>0</v>
      </c>
      <c r="AV1078">
        <f>IF(COUNT($E$2:$E1078)&lt;26,"",(MAX($C$1053:$C$1078)+MIN($D$1053:$D$1078))/2)</f>
        <v>0</v>
      </c>
      <c r="AW1078">
        <f>IF(OR(AU1078="",AV1078=""),"",(AU1078+AV1078)/2)</f>
        <v>0</v>
      </c>
      <c r="AX1078">
        <f>IF(COUNT($E$2:$E1078)&lt;52,"",(MAX($C$1027:$C$1078)+MIN($D$1027:$D$1078))/2)</f>
        <v>0</v>
      </c>
      <c r="AY1078">
        <f>IF(COUNT($E$2:$E1078)&lt;20,"",MAX($C$979:$C$1078))</f>
        <v>0</v>
      </c>
      <c r="AZ1078">
        <f>IF(COUNT($E$2:$E1078)&lt;20,"",MIN($D$979:$D$1078))</f>
        <v>0</v>
      </c>
      <c r="BA1078">
        <f>IF(COUNT($E$2:$E1078)&lt;20,"",SLOPE($E$979:$E$1078,$F$979:$F$1078))</f>
        <v>0</v>
      </c>
      <c r="BB1078">
        <f>IF(COUNT($E$2:$E1078)&lt;20,"",INTERCEPT($E$979:$E$1078,$F$979:$F$1078))</f>
        <v>0</v>
      </c>
      <c r="BC1078">
        <f>IF(OR(BA1078="",BB1078=""),"",BB1078+BA1078*F1078)</f>
        <v>0</v>
      </c>
      <c r="BD1078">
        <f>IF(COUNT($E$2:$E1078)&lt;20,"",STEYX($E$979:$E$1078,$F$979:$F$1078))</f>
        <v>0</v>
      </c>
      <c r="BE1078">
        <f>IF($E1078="","",IF(AND(COUNT($E$1079:$E$1082)&gt;=4,$C1078=MAX($C$1074:$C$1082)),$C1078,""))</f>
        <v>0</v>
      </c>
      <c r="BF1078">
        <f>IF($E1078="","",IF(AND(COUNT($E$1079:$E$1082)&gt;=4,$D1078=MIN($D$1074:$D$1082)),$D1078,""))</f>
        <v>0</v>
      </c>
      <c r="BG1078">
        <f>IF($A1078="","",$A1078-WEEKDAY($A1078,2)+1)</f>
        <v>0</v>
      </c>
      <c r="BH1078">
        <f>IF($A1078="","",IF($A1077="",1,IF(BG1078&lt;&gt;BG1077,1,0)))</f>
        <v>0</v>
      </c>
      <c r="BI1078">
        <f>IF($A1078="","",IF($A1079="",1,IF(BG1079&lt;&gt;BG1078,1,0)))</f>
        <v>0</v>
      </c>
      <c r="BJ1078">
        <f>IF($A1078="","",IF(BH1078=1,$B1078,BJ1077))</f>
        <v>0</v>
      </c>
      <c r="BK1078">
        <f>IF($A1078="","",IF(BH1078=1,$C1078,MAX($C1078,BK1077)))</f>
        <v>0</v>
      </c>
      <c r="BL1078">
        <f>IF($A1078="","",IF(BH1078=1,$D1078,MIN($D1078,BL1077)))</f>
        <v>0</v>
      </c>
      <c r="BM1078">
        <f>IF($A1078="","",IF(BI1078=1,F1078,""))</f>
        <v>0</v>
      </c>
      <c r="BN1078">
        <f>IF($A1078="","",DATE(YEAR($A1078),MONTH($A1078),1))</f>
        <v>0</v>
      </c>
      <c r="BO1078">
        <f>IF($A1078="","",IF($A1077="",1,IF(BN1078&lt;&gt;BN1077,1,0)))</f>
        <v>0</v>
      </c>
      <c r="BP1078">
        <f>IF($A1078="","",IF($A1079="",1,IF(BN1079&lt;&gt;BN1078,1,0)))</f>
        <v>0</v>
      </c>
      <c r="BQ1078">
        <f>IF($A1078="","",IF(BO1078=1,$B1078,BQ1077))</f>
        <v>0</v>
      </c>
      <c r="BR1078">
        <f>IF($A1078="","",IF(BO1078=1,$C1078,MAX($C1078,BR1077)))</f>
        <v>0</v>
      </c>
      <c r="BS1078">
        <f>IF($A1078="","",IF(BO1078=1,$D1078,MIN($D1078,BS1077)))</f>
        <v>0</v>
      </c>
      <c r="BT1078">
        <f>IF($A1078="","",IF(BP1078=1,F1078,""))</f>
        <v>0</v>
      </c>
    </row>
    <row r="1079" spans="1:72">
      <c r="A1079" s="27">
        <f>IF(Data!$A1079="","",Data!$A1079)</f>
        <v>0</v>
      </c>
      <c r="B1079">
        <f>IF(Data!$B1079="","",Data!$B1079)</f>
        <v>0</v>
      </c>
      <c r="C1079">
        <f>IF(Data!$C1079="","",Data!$C1079)</f>
        <v>0</v>
      </c>
      <c r="D1079">
        <f>IF(Data!$D1079="","",Data!$D1079)</f>
        <v>0</v>
      </c>
      <c r="E1079">
        <f>IF(Data!$E1079="","",Data!$E1079)</f>
        <v>0</v>
      </c>
      <c r="F1079">
        <f>IF($E1079="","",N(F1078)+1)</f>
        <v>0</v>
      </c>
      <c r="G1079">
        <f>IF(OR($E1079="",$E1078=""),"",LN($E1079/$E1078))</f>
        <v>0</v>
      </c>
      <c r="H1079">
        <f>IF($E1079="","",IF($E1078="",$E1079,$E1079*0.0952380952+H1078*0.9047619048))</f>
        <v>0</v>
      </c>
      <c r="I1079">
        <f>IF($E1079="","",IF($E1078="",$E1079,$E1079*0.0392156863+I1078*0.9607843137))</f>
        <v>0</v>
      </c>
      <c r="J1079">
        <f>IF($E1079="","",IF($E1078="",$E1079,$E1079*0.0198019802+J1078*0.9801980198))</f>
        <v>0</v>
      </c>
      <c r="K1079">
        <f>IF($E1079="","",IF($E1078="",$E1079,$E1079*0.0099502488+K1078*0.9900497512))</f>
        <v>0</v>
      </c>
      <c r="L1079">
        <f>IF(OR($E1079="",$E1078=""),"",MAX($E1079-$E1078,0))</f>
        <v>0</v>
      </c>
      <c r="M1079">
        <f>IF(OR($E1079="",$E1078=""),"",MAX($E1078-$E1079,0))</f>
        <v>0</v>
      </c>
      <c r="N1079">
        <f>IF(COUNT($E$2:$E1079)&lt;15,"",IF(AVERAGE($M$1066:$M$1079)=0,100,100-100/(1+AVERAGE($L$1066:$L$1079)/AVERAGE($M$1066:$M$1079))))</f>
        <v>0</v>
      </c>
      <c r="O1079">
        <f>IF($E1079="","",IF($E1078="",$E1079,$E1079*0.1538461538+O1078*0.8461538462))</f>
        <v>0</v>
      </c>
      <c r="P1079">
        <f>IF($E1079="","",IF($E1078="",$E1079,$E1079*0.0740740741+P1078*0.9259259259))</f>
        <v>0</v>
      </c>
      <c r="Q1079">
        <f>IF(OR(O1079="",P1079=""),"",O1079-P1079)</f>
        <v>0</v>
      </c>
      <c r="R1079">
        <f>IF(Q1079="","",IF(R1078="",Q1079,Q1079*0.2000000000+R1078*0.8000000000))</f>
        <v>0</v>
      </c>
      <c r="S1079">
        <f>IF(OR(Q1079="",R1079=""),"",Q1079-R1079)</f>
        <v>0</v>
      </c>
      <c r="T1079">
        <f>IF(COUNT($E$2:$E1079)&lt;14,"",MAX($C$1066:$C$1079))</f>
        <v>0</v>
      </c>
      <c r="U1079">
        <f>IF(COUNT($E$2:$E1079)&lt;14,"",MIN($D$1066:$D$1079))</f>
        <v>0</v>
      </c>
      <c r="V1079">
        <f>IF(OR(T1079="",U1079="",T1079=U1079),"",100*($E1079-U1079)/(T1079-U1079))</f>
        <v>0</v>
      </c>
      <c r="W1079">
        <f>IF(COUNT($V$1077:$V$1079)&lt;3,"",AVERAGE($V$1077:$V$1079))</f>
        <v>0</v>
      </c>
      <c r="X1079">
        <f>IF(COUNT($N$1066:$N$1079)&lt;14,"",MIN($N$1066:$N$1079))</f>
        <v>0</v>
      </c>
      <c r="Y1079">
        <f>IF(COUNT($N$1066:$N$1079)&lt;14,"",MAX($N$1066:$N$1079))</f>
        <v>0</v>
      </c>
      <c r="Z1079">
        <f>IF(OR(N1079="",X1079="",Y1079="",Y1079=X1079),"",100*(N1079-X1079)/(Y1079-X1079))</f>
        <v>0</v>
      </c>
      <c r="AA1079">
        <f>IF(COUNT($Z$1077:$Z$1079)&lt;3,"",AVERAGE($Z$1077:$Z$1079))</f>
        <v>0</v>
      </c>
      <c r="AB1079">
        <f>IF(COUNT($AA$1077:$AA$1079)&lt;3,"",AVERAGE($AA$1077:$AA$1079))</f>
        <v>0</v>
      </c>
      <c r="AC1079">
        <f>IF($E1079="","",MAX($C1079-$D1079,ABS($C1079-$E1078),ABS($D1079-$E1078)))</f>
        <v>0</v>
      </c>
      <c r="AD1079">
        <f>IF(COUNT($E$2:$E1079)&lt;15,"",AVERAGE($AC$1066:$AC$1079))</f>
        <v>0</v>
      </c>
      <c r="AE1079">
        <f>IF(OR($E1079="",$E1078=""),"",IF(AND(($C1079-$C1078)&gt;($D1078-$D1079),($C1079-$C1078)&gt;0),$C1079-$C1078,0))</f>
        <v>0</v>
      </c>
      <c r="AF1079">
        <f>IF(OR($E1079="",$E1078=""),"",IF(AND(($D1078-$D1079)&gt;($C1079-$C1078),($D1078-$D1079)&gt;0),$D1078-$D1079,0))</f>
        <v>0</v>
      </c>
      <c r="AG1079">
        <f>IF(COUNT($E$2:$E1079)&lt;15,"",IF(SUM($AC$1066:$AC$1079)=0,0,100*SUM($AE$1066:$AE$1079)/SUM($AC$1066:$AC$1079)))</f>
        <v>0</v>
      </c>
      <c r="AH1079">
        <f>IF(COUNT($E$2:$E1079)&lt;15,"",IF(SUM($AC$1066:$AC$1079)=0,0,100*SUM($AF$1066:$AF$1079)/SUM($AC$1066:$AC$1079)))</f>
        <v>0</v>
      </c>
      <c r="AI1079">
        <f>IF(OR(AG1079="",AH1079=""),"",IF((AG1079+AH1079)=0,0,100*ABS(AG1079-AH1079)/(AG1079+AH1079)))</f>
        <v>0</v>
      </c>
      <c r="AJ1079">
        <f>IF(COUNT($AI$1066:$AI$1079)&lt;14,"",AVERAGE($AI$1066:$AI$1079))</f>
        <v>0</v>
      </c>
      <c r="AK1079">
        <f>IF(COUNT($E$2:$E1079)&lt;20,"",AVERAGE($E$1060:$E$1079))</f>
        <v>0</v>
      </c>
      <c r="AL1079">
        <f>IF(COUNT($E$2:$E1079)&lt;20,"",STDEVP($E$1060:$E$1079))</f>
        <v>0</v>
      </c>
      <c r="AM1079">
        <f>IF(AK1079="","",AK1079+2*AL1079)</f>
        <v>0</v>
      </c>
      <c r="AN1079">
        <f>IF(AK1079="","",AK1079-2*AL1079)</f>
        <v>0</v>
      </c>
      <c r="AO1079">
        <f>IF(OR(AM1079="",AN1079="",AM1079=AN1079),"",($E1079-AN1079)/(AM1079-AN1079))</f>
        <v>0</v>
      </c>
      <c r="AP1079">
        <f>IF(OR(AM1079="",AK1079="",AK1079=0),"",(AM1079-AN1079)/AK1079)</f>
        <v>0</v>
      </c>
      <c r="AQ1079">
        <f>IF(COUNT($E$2:$E1079)&lt;20,"",MAX($C$1060:$C$1079))</f>
        <v>0</v>
      </c>
      <c r="AR1079">
        <f>IF(COUNT($E$2:$E1079)&lt;20,"",MIN($D$1060:$D$1079))</f>
        <v>0</v>
      </c>
      <c r="AS1079">
        <f>IF(OR(AQ1079="",AR1079=""),"",(AQ1079+AR1079)/2)</f>
        <v>0</v>
      </c>
      <c r="AT1079">
        <f>IF(COUNT($G$1060:$G$1079)&lt;20,"",STDEV($G$1060:$G$1079)*SQRT(252))</f>
        <v>0</v>
      </c>
      <c r="AU1079">
        <f>IF(COUNT($E$2:$E1079)&lt;9,"",(MAX($C$1071:$C$1079)+MIN($D$1071:$D$1079))/2)</f>
        <v>0</v>
      </c>
      <c r="AV1079">
        <f>IF(COUNT($E$2:$E1079)&lt;26,"",(MAX($C$1054:$C$1079)+MIN($D$1054:$D$1079))/2)</f>
        <v>0</v>
      </c>
      <c r="AW1079">
        <f>IF(OR(AU1079="",AV1079=""),"",(AU1079+AV1079)/2)</f>
        <v>0</v>
      </c>
      <c r="AX1079">
        <f>IF(COUNT($E$2:$E1079)&lt;52,"",(MAX($C$1028:$C$1079)+MIN($D$1028:$D$1079))/2)</f>
        <v>0</v>
      </c>
      <c r="AY1079">
        <f>IF(COUNT($E$2:$E1079)&lt;20,"",MAX($C$980:$C$1079))</f>
        <v>0</v>
      </c>
      <c r="AZ1079">
        <f>IF(COUNT($E$2:$E1079)&lt;20,"",MIN($D$980:$D$1079))</f>
        <v>0</v>
      </c>
      <c r="BA1079">
        <f>IF(COUNT($E$2:$E1079)&lt;20,"",SLOPE($E$980:$E$1079,$F$980:$F$1079))</f>
        <v>0</v>
      </c>
      <c r="BB1079">
        <f>IF(COUNT($E$2:$E1079)&lt;20,"",INTERCEPT($E$980:$E$1079,$F$980:$F$1079))</f>
        <v>0</v>
      </c>
      <c r="BC1079">
        <f>IF(OR(BA1079="",BB1079=""),"",BB1079+BA1079*F1079)</f>
        <v>0</v>
      </c>
      <c r="BD1079">
        <f>IF(COUNT($E$2:$E1079)&lt;20,"",STEYX($E$980:$E$1079,$F$980:$F$1079))</f>
        <v>0</v>
      </c>
      <c r="BE1079">
        <f>IF($E1079="","",IF(AND(COUNT($E$1080:$E$1083)&gt;=4,$C1079=MAX($C$1075:$C$1083)),$C1079,""))</f>
        <v>0</v>
      </c>
      <c r="BF1079">
        <f>IF($E1079="","",IF(AND(COUNT($E$1080:$E$1083)&gt;=4,$D1079=MIN($D$1075:$D$1083)),$D1079,""))</f>
        <v>0</v>
      </c>
      <c r="BG1079">
        <f>IF($A1079="","",$A1079-WEEKDAY($A1079,2)+1)</f>
        <v>0</v>
      </c>
      <c r="BH1079">
        <f>IF($A1079="","",IF($A1078="",1,IF(BG1079&lt;&gt;BG1078,1,0)))</f>
        <v>0</v>
      </c>
      <c r="BI1079">
        <f>IF($A1079="","",IF($A1080="",1,IF(BG1080&lt;&gt;BG1079,1,0)))</f>
        <v>0</v>
      </c>
      <c r="BJ1079">
        <f>IF($A1079="","",IF(BH1079=1,$B1079,BJ1078))</f>
        <v>0</v>
      </c>
      <c r="BK1079">
        <f>IF($A1079="","",IF(BH1079=1,$C1079,MAX($C1079,BK1078)))</f>
        <v>0</v>
      </c>
      <c r="BL1079">
        <f>IF($A1079="","",IF(BH1079=1,$D1079,MIN($D1079,BL1078)))</f>
        <v>0</v>
      </c>
      <c r="BM1079">
        <f>IF($A1079="","",IF(BI1079=1,F1079,""))</f>
        <v>0</v>
      </c>
      <c r="BN1079">
        <f>IF($A1079="","",DATE(YEAR($A1079),MONTH($A1079),1))</f>
        <v>0</v>
      </c>
      <c r="BO1079">
        <f>IF($A1079="","",IF($A1078="",1,IF(BN1079&lt;&gt;BN1078,1,0)))</f>
        <v>0</v>
      </c>
      <c r="BP1079">
        <f>IF($A1079="","",IF($A1080="",1,IF(BN1080&lt;&gt;BN1079,1,0)))</f>
        <v>0</v>
      </c>
      <c r="BQ1079">
        <f>IF($A1079="","",IF(BO1079=1,$B1079,BQ1078))</f>
        <v>0</v>
      </c>
      <c r="BR1079">
        <f>IF($A1079="","",IF(BO1079=1,$C1079,MAX($C1079,BR1078)))</f>
        <v>0</v>
      </c>
      <c r="BS1079">
        <f>IF($A1079="","",IF(BO1079=1,$D1079,MIN($D1079,BS1078)))</f>
        <v>0</v>
      </c>
      <c r="BT1079">
        <f>IF($A1079="","",IF(BP1079=1,F1079,""))</f>
        <v>0</v>
      </c>
    </row>
    <row r="1080" spans="1:72">
      <c r="A1080" s="27">
        <f>IF(Data!$A1080="","",Data!$A1080)</f>
        <v>0</v>
      </c>
      <c r="B1080">
        <f>IF(Data!$B1080="","",Data!$B1080)</f>
        <v>0</v>
      </c>
      <c r="C1080">
        <f>IF(Data!$C1080="","",Data!$C1080)</f>
        <v>0</v>
      </c>
      <c r="D1080">
        <f>IF(Data!$D1080="","",Data!$D1080)</f>
        <v>0</v>
      </c>
      <c r="E1080">
        <f>IF(Data!$E1080="","",Data!$E1080)</f>
        <v>0</v>
      </c>
      <c r="F1080">
        <f>IF($E1080="","",N(F1079)+1)</f>
        <v>0</v>
      </c>
      <c r="G1080">
        <f>IF(OR($E1080="",$E1079=""),"",LN($E1080/$E1079))</f>
        <v>0</v>
      </c>
      <c r="H1080">
        <f>IF($E1080="","",IF($E1079="",$E1080,$E1080*0.0952380952+H1079*0.9047619048))</f>
        <v>0</v>
      </c>
      <c r="I1080">
        <f>IF($E1080="","",IF($E1079="",$E1080,$E1080*0.0392156863+I1079*0.9607843137))</f>
        <v>0</v>
      </c>
      <c r="J1080">
        <f>IF($E1080="","",IF($E1079="",$E1080,$E1080*0.0198019802+J1079*0.9801980198))</f>
        <v>0</v>
      </c>
      <c r="K1080">
        <f>IF($E1080="","",IF($E1079="",$E1080,$E1080*0.0099502488+K1079*0.9900497512))</f>
        <v>0</v>
      </c>
      <c r="L1080">
        <f>IF(OR($E1080="",$E1079=""),"",MAX($E1080-$E1079,0))</f>
        <v>0</v>
      </c>
      <c r="M1080">
        <f>IF(OR($E1080="",$E1079=""),"",MAX($E1079-$E1080,0))</f>
        <v>0</v>
      </c>
      <c r="N1080">
        <f>IF(COUNT($E$2:$E1080)&lt;15,"",IF(AVERAGE($M$1067:$M$1080)=0,100,100-100/(1+AVERAGE($L$1067:$L$1080)/AVERAGE($M$1067:$M$1080))))</f>
        <v>0</v>
      </c>
      <c r="O1080">
        <f>IF($E1080="","",IF($E1079="",$E1080,$E1080*0.1538461538+O1079*0.8461538462))</f>
        <v>0</v>
      </c>
      <c r="P1080">
        <f>IF($E1080="","",IF($E1079="",$E1080,$E1080*0.0740740741+P1079*0.9259259259))</f>
        <v>0</v>
      </c>
      <c r="Q1080">
        <f>IF(OR(O1080="",P1080=""),"",O1080-P1080)</f>
        <v>0</v>
      </c>
      <c r="R1080">
        <f>IF(Q1080="","",IF(R1079="",Q1080,Q1080*0.2000000000+R1079*0.8000000000))</f>
        <v>0</v>
      </c>
      <c r="S1080">
        <f>IF(OR(Q1080="",R1080=""),"",Q1080-R1080)</f>
        <v>0</v>
      </c>
      <c r="T1080">
        <f>IF(COUNT($E$2:$E1080)&lt;14,"",MAX($C$1067:$C$1080))</f>
        <v>0</v>
      </c>
      <c r="U1080">
        <f>IF(COUNT($E$2:$E1080)&lt;14,"",MIN($D$1067:$D$1080))</f>
        <v>0</v>
      </c>
      <c r="V1080">
        <f>IF(OR(T1080="",U1080="",T1080=U1080),"",100*($E1080-U1080)/(T1080-U1080))</f>
        <v>0</v>
      </c>
      <c r="W1080">
        <f>IF(COUNT($V$1078:$V$1080)&lt;3,"",AVERAGE($V$1078:$V$1080))</f>
        <v>0</v>
      </c>
      <c r="X1080">
        <f>IF(COUNT($N$1067:$N$1080)&lt;14,"",MIN($N$1067:$N$1080))</f>
        <v>0</v>
      </c>
      <c r="Y1080">
        <f>IF(COUNT($N$1067:$N$1080)&lt;14,"",MAX($N$1067:$N$1080))</f>
        <v>0</v>
      </c>
      <c r="Z1080">
        <f>IF(OR(N1080="",X1080="",Y1080="",Y1080=X1080),"",100*(N1080-X1080)/(Y1080-X1080))</f>
        <v>0</v>
      </c>
      <c r="AA1080">
        <f>IF(COUNT($Z$1078:$Z$1080)&lt;3,"",AVERAGE($Z$1078:$Z$1080))</f>
        <v>0</v>
      </c>
      <c r="AB1080">
        <f>IF(COUNT($AA$1078:$AA$1080)&lt;3,"",AVERAGE($AA$1078:$AA$1080))</f>
        <v>0</v>
      </c>
      <c r="AC1080">
        <f>IF($E1080="","",MAX($C1080-$D1080,ABS($C1080-$E1079),ABS($D1080-$E1079)))</f>
        <v>0</v>
      </c>
      <c r="AD1080">
        <f>IF(COUNT($E$2:$E1080)&lt;15,"",AVERAGE($AC$1067:$AC$1080))</f>
        <v>0</v>
      </c>
      <c r="AE1080">
        <f>IF(OR($E1080="",$E1079=""),"",IF(AND(($C1080-$C1079)&gt;($D1079-$D1080),($C1080-$C1079)&gt;0),$C1080-$C1079,0))</f>
        <v>0</v>
      </c>
      <c r="AF1080">
        <f>IF(OR($E1080="",$E1079=""),"",IF(AND(($D1079-$D1080)&gt;($C1080-$C1079),($D1079-$D1080)&gt;0),$D1079-$D1080,0))</f>
        <v>0</v>
      </c>
      <c r="AG1080">
        <f>IF(COUNT($E$2:$E1080)&lt;15,"",IF(SUM($AC$1067:$AC$1080)=0,0,100*SUM($AE$1067:$AE$1080)/SUM($AC$1067:$AC$1080)))</f>
        <v>0</v>
      </c>
      <c r="AH1080">
        <f>IF(COUNT($E$2:$E1080)&lt;15,"",IF(SUM($AC$1067:$AC$1080)=0,0,100*SUM($AF$1067:$AF$1080)/SUM($AC$1067:$AC$1080)))</f>
        <v>0</v>
      </c>
      <c r="AI1080">
        <f>IF(OR(AG1080="",AH1080=""),"",IF((AG1080+AH1080)=0,0,100*ABS(AG1080-AH1080)/(AG1080+AH1080)))</f>
        <v>0</v>
      </c>
      <c r="AJ1080">
        <f>IF(COUNT($AI$1067:$AI$1080)&lt;14,"",AVERAGE($AI$1067:$AI$1080))</f>
        <v>0</v>
      </c>
      <c r="AK1080">
        <f>IF(COUNT($E$2:$E1080)&lt;20,"",AVERAGE($E$1061:$E$1080))</f>
        <v>0</v>
      </c>
      <c r="AL1080">
        <f>IF(COUNT($E$2:$E1080)&lt;20,"",STDEVP($E$1061:$E$1080))</f>
        <v>0</v>
      </c>
      <c r="AM1080">
        <f>IF(AK1080="","",AK1080+2*AL1080)</f>
        <v>0</v>
      </c>
      <c r="AN1080">
        <f>IF(AK1080="","",AK1080-2*AL1080)</f>
        <v>0</v>
      </c>
      <c r="AO1080">
        <f>IF(OR(AM1080="",AN1080="",AM1080=AN1080),"",($E1080-AN1080)/(AM1080-AN1080))</f>
        <v>0</v>
      </c>
      <c r="AP1080">
        <f>IF(OR(AM1080="",AK1080="",AK1080=0),"",(AM1080-AN1080)/AK1080)</f>
        <v>0</v>
      </c>
      <c r="AQ1080">
        <f>IF(COUNT($E$2:$E1080)&lt;20,"",MAX($C$1061:$C$1080))</f>
        <v>0</v>
      </c>
      <c r="AR1080">
        <f>IF(COUNT($E$2:$E1080)&lt;20,"",MIN($D$1061:$D$1080))</f>
        <v>0</v>
      </c>
      <c r="AS1080">
        <f>IF(OR(AQ1080="",AR1080=""),"",(AQ1080+AR1080)/2)</f>
        <v>0</v>
      </c>
      <c r="AT1080">
        <f>IF(COUNT($G$1061:$G$1080)&lt;20,"",STDEV($G$1061:$G$1080)*SQRT(252))</f>
        <v>0</v>
      </c>
      <c r="AU1080">
        <f>IF(COUNT($E$2:$E1080)&lt;9,"",(MAX($C$1072:$C$1080)+MIN($D$1072:$D$1080))/2)</f>
        <v>0</v>
      </c>
      <c r="AV1080">
        <f>IF(COUNT($E$2:$E1080)&lt;26,"",(MAX($C$1055:$C$1080)+MIN($D$1055:$D$1080))/2)</f>
        <v>0</v>
      </c>
      <c r="AW1080">
        <f>IF(OR(AU1080="",AV1080=""),"",(AU1080+AV1080)/2)</f>
        <v>0</v>
      </c>
      <c r="AX1080">
        <f>IF(COUNT($E$2:$E1080)&lt;52,"",(MAX($C$1029:$C$1080)+MIN($D$1029:$D$1080))/2)</f>
        <v>0</v>
      </c>
      <c r="AY1080">
        <f>IF(COUNT($E$2:$E1080)&lt;20,"",MAX($C$981:$C$1080))</f>
        <v>0</v>
      </c>
      <c r="AZ1080">
        <f>IF(COUNT($E$2:$E1080)&lt;20,"",MIN($D$981:$D$1080))</f>
        <v>0</v>
      </c>
      <c r="BA1080">
        <f>IF(COUNT($E$2:$E1080)&lt;20,"",SLOPE($E$981:$E$1080,$F$981:$F$1080))</f>
        <v>0</v>
      </c>
      <c r="BB1080">
        <f>IF(COUNT($E$2:$E1080)&lt;20,"",INTERCEPT($E$981:$E$1080,$F$981:$F$1080))</f>
        <v>0</v>
      </c>
      <c r="BC1080">
        <f>IF(OR(BA1080="",BB1080=""),"",BB1080+BA1080*F1080)</f>
        <v>0</v>
      </c>
      <c r="BD1080">
        <f>IF(COUNT($E$2:$E1080)&lt;20,"",STEYX($E$981:$E$1080,$F$981:$F$1080))</f>
        <v>0</v>
      </c>
      <c r="BE1080">
        <f>IF($E1080="","",IF(AND(COUNT($E$1081:$E$1084)&gt;=4,$C1080=MAX($C$1076:$C$1084)),$C1080,""))</f>
        <v>0</v>
      </c>
      <c r="BF1080">
        <f>IF($E1080="","",IF(AND(COUNT($E$1081:$E$1084)&gt;=4,$D1080=MIN($D$1076:$D$1084)),$D1080,""))</f>
        <v>0</v>
      </c>
      <c r="BG1080">
        <f>IF($A1080="","",$A1080-WEEKDAY($A1080,2)+1)</f>
        <v>0</v>
      </c>
      <c r="BH1080">
        <f>IF($A1080="","",IF($A1079="",1,IF(BG1080&lt;&gt;BG1079,1,0)))</f>
        <v>0</v>
      </c>
      <c r="BI1080">
        <f>IF($A1080="","",IF($A1081="",1,IF(BG1081&lt;&gt;BG1080,1,0)))</f>
        <v>0</v>
      </c>
      <c r="BJ1080">
        <f>IF($A1080="","",IF(BH1080=1,$B1080,BJ1079))</f>
        <v>0</v>
      </c>
      <c r="BK1080">
        <f>IF($A1080="","",IF(BH1080=1,$C1080,MAX($C1080,BK1079)))</f>
        <v>0</v>
      </c>
      <c r="BL1080">
        <f>IF($A1080="","",IF(BH1080=1,$D1080,MIN($D1080,BL1079)))</f>
        <v>0</v>
      </c>
      <c r="BM1080">
        <f>IF($A1080="","",IF(BI1080=1,F1080,""))</f>
        <v>0</v>
      </c>
      <c r="BN1080">
        <f>IF($A1080="","",DATE(YEAR($A1080),MONTH($A1080),1))</f>
        <v>0</v>
      </c>
      <c r="BO1080">
        <f>IF($A1080="","",IF($A1079="",1,IF(BN1080&lt;&gt;BN1079,1,0)))</f>
        <v>0</v>
      </c>
      <c r="BP1080">
        <f>IF($A1080="","",IF($A1081="",1,IF(BN1081&lt;&gt;BN1080,1,0)))</f>
        <v>0</v>
      </c>
      <c r="BQ1080">
        <f>IF($A1080="","",IF(BO1080=1,$B1080,BQ1079))</f>
        <v>0</v>
      </c>
      <c r="BR1080">
        <f>IF($A1080="","",IF(BO1080=1,$C1080,MAX($C1080,BR1079)))</f>
        <v>0</v>
      </c>
      <c r="BS1080">
        <f>IF($A1080="","",IF(BO1080=1,$D1080,MIN($D1080,BS1079)))</f>
        <v>0</v>
      </c>
      <c r="BT1080">
        <f>IF($A1080="","",IF(BP1080=1,F1080,""))</f>
        <v>0</v>
      </c>
    </row>
    <row r="1081" spans="1:72">
      <c r="A1081" s="27">
        <f>IF(Data!$A1081="","",Data!$A1081)</f>
        <v>0</v>
      </c>
      <c r="B1081">
        <f>IF(Data!$B1081="","",Data!$B1081)</f>
        <v>0</v>
      </c>
      <c r="C1081">
        <f>IF(Data!$C1081="","",Data!$C1081)</f>
        <v>0</v>
      </c>
      <c r="D1081">
        <f>IF(Data!$D1081="","",Data!$D1081)</f>
        <v>0</v>
      </c>
      <c r="E1081">
        <f>IF(Data!$E1081="","",Data!$E1081)</f>
        <v>0</v>
      </c>
      <c r="F1081">
        <f>IF($E1081="","",N(F1080)+1)</f>
        <v>0</v>
      </c>
      <c r="G1081">
        <f>IF(OR($E1081="",$E1080=""),"",LN($E1081/$E1080))</f>
        <v>0</v>
      </c>
      <c r="H1081">
        <f>IF($E1081="","",IF($E1080="",$E1081,$E1081*0.0952380952+H1080*0.9047619048))</f>
        <v>0</v>
      </c>
      <c r="I1081">
        <f>IF($E1081="","",IF($E1080="",$E1081,$E1081*0.0392156863+I1080*0.9607843137))</f>
        <v>0</v>
      </c>
      <c r="J1081">
        <f>IF($E1081="","",IF($E1080="",$E1081,$E1081*0.0198019802+J1080*0.9801980198))</f>
        <v>0</v>
      </c>
      <c r="K1081">
        <f>IF($E1081="","",IF($E1080="",$E1081,$E1081*0.0099502488+K1080*0.9900497512))</f>
        <v>0</v>
      </c>
      <c r="L1081">
        <f>IF(OR($E1081="",$E1080=""),"",MAX($E1081-$E1080,0))</f>
        <v>0</v>
      </c>
      <c r="M1081">
        <f>IF(OR($E1081="",$E1080=""),"",MAX($E1080-$E1081,0))</f>
        <v>0</v>
      </c>
      <c r="N1081">
        <f>IF(COUNT($E$2:$E1081)&lt;15,"",IF(AVERAGE($M$1068:$M$1081)=0,100,100-100/(1+AVERAGE($L$1068:$L$1081)/AVERAGE($M$1068:$M$1081))))</f>
        <v>0</v>
      </c>
      <c r="O1081">
        <f>IF($E1081="","",IF($E1080="",$E1081,$E1081*0.1538461538+O1080*0.8461538462))</f>
        <v>0</v>
      </c>
      <c r="P1081">
        <f>IF($E1081="","",IF($E1080="",$E1081,$E1081*0.0740740741+P1080*0.9259259259))</f>
        <v>0</v>
      </c>
      <c r="Q1081">
        <f>IF(OR(O1081="",P1081=""),"",O1081-P1081)</f>
        <v>0</v>
      </c>
      <c r="R1081">
        <f>IF(Q1081="","",IF(R1080="",Q1081,Q1081*0.2000000000+R1080*0.8000000000))</f>
        <v>0</v>
      </c>
      <c r="S1081">
        <f>IF(OR(Q1081="",R1081=""),"",Q1081-R1081)</f>
        <v>0</v>
      </c>
      <c r="T1081">
        <f>IF(COUNT($E$2:$E1081)&lt;14,"",MAX($C$1068:$C$1081))</f>
        <v>0</v>
      </c>
      <c r="U1081">
        <f>IF(COUNT($E$2:$E1081)&lt;14,"",MIN($D$1068:$D$1081))</f>
        <v>0</v>
      </c>
      <c r="V1081">
        <f>IF(OR(T1081="",U1081="",T1081=U1081),"",100*($E1081-U1081)/(T1081-U1081))</f>
        <v>0</v>
      </c>
      <c r="W1081">
        <f>IF(COUNT($V$1079:$V$1081)&lt;3,"",AVERAGE($V$1079:$V$1081))</f>
        <v>0</v>
      </c>
      <c r="X1081">
        <f>IF(COUNT($N$1068:$N$1081)&lt;14,"",MIN($N$1068:$N$1081))</f>
        <v>0</v>
      </c>
      <c r="Y1081">
        <f>IF(COUNT($N$1068:$N$1081)&lt;14,"",MAX($N$1068:$N$1081))</f>
        <v>0</v>
      </c>
      <c r="Z1081">
        <f>IF(OR(N1081="",X1081="",Y1081="",Y1081=X1081),"",100*(N1081-X1081)/(Y1081-X1081))</f>
        <v>0</v>
      </c>
      <c r="AA1081">
        <f>IF(COUNT($Z$1079:$Z$1081)&lt;3,"",AVERAGE($Z$1079:$Z$1081))</f>
        <v>0</v>
      </c>
      <c r="AB1081">
        <f>IF(COUNT($AA$1079:$AA$1081)&lt;3,"",AVERAGE($AA$1079:$AA$1081))</f>
        <v>0</v>
      </c>
      <c r="AC1081">
        <f>IF($E1081="","",MAX($C1081-$D1081,ABS($C1081-$E1080),ABS($D1081-$E1080)))</f>
        <v>0</v>
      </c>
      <c r="AD1081">
        <f>IF(COUNT($E$2:$E1081)&lt;15,"",AVERAGE($AC$1068:$AC$1081))</f>
        <v>0</v>
      </c>
      <c r="AE1081">
        <f>IF(OR($E1081="",$E1080=""),"",IF(AND(($C1081-$C1080)&gt;($D1080-$D1081),($C1081-$C1080)&gt;0),$C1081-$C1080,0))</f>
        <v>0</v>
      </c>
      <c r="AF1081">
        <f>IF(OR($E1081="",$E1080=""),"",IF(AND(($D1080-$D1081)&gt;($C1081-$C1080),($D1080-$D1081)&gt;0),$D1080-$D1081,0))</f>
        <v>0</v>
      </c>
      <c r="AG1081">
        <f>IF(COUNT($E$2:$E1081)&lt;15,"",IF(SUM($AC$1068:$AC$1081)=0,0,100*SUM($AE$1068:$AE$1081)/SUM($AC$1068:$AC$1081)))</f>
        <v>0</v>
      </c>
      <c r="AH1081">
        <f>IF(COUNT($E$2:$E1081)&lt;15,"",IF(SUM($AC$1068:$AC$1081)=0,0,100*SUM($AF$1068:$AF$1081)/SUM($AC$1068:$AC$1081)))</f>
        <v>0</v>
      </c>
      <c r="AI1081">
        <f>IF(OR(AG1081="",AH1081=""),"",IF((AG1081+AH1081)=0,0,100*ABS(AG1081-AH1081)/(AG1081+AH1081)))</f>
        <v>0</v>
      </c>
      <c r="AJ1081">
        <f>IF(COUNT($AI$1068:$AI$1081)&lt;14,"",AVERAGE($AI$1068:$AI$1081))</f>
        <v>0</v>
      </c>
      <c r="AK1081">
        <f>IF(COUNT($E$2:$E1081)&lt;20,"",AVERAGE($E$1062:$E$1081))</f>
        <v>0</v>
      </c>
      <c r="AL1081">
        <f>IF(COUNT($E$2:$E1081)&lt;20,"",STDEVP($E$1062:$E$1081))</f>
        <v>0</v>
      </c>
      <c r="AM1081">
        <f>IF(AK1081="","",AK1081+2*AL1081)</f>
        <v>0</v>
      </c>
      <c r="AN1081">
        <f>IF(AK1081="","",AK1081-2*AL1081)</f>
        <v>0</v>
      </c>
      <c r="AO1081">
        <f>IF(OR(AM1081="",AN1081="",AM1081=AN1081),"",($E1081-AN1081)/(AM1081-AN1081))</f>
        <v>0</v>
      </c>
      <c r="AP1081">
        <f>IF(OR(AM1081="",AK1081="",AK1081=0),"",(AM1081-AN1081)/AK1081)</f>
        <v>0</v>
      </c>
      <c r="AQ1081">
        <f>IF(COUNT($E$2:$E1081)&lt;20,"",MAX($C$1062:$C$1081))</f>
        <v>0</v>
      </c>
      <c r="AR1081">
        <f>IF(COUNT($E$2:$E1081)&lt;20,"",MIN($D$1062:$D$1081))</f>
        <v>0</v>
      </c>
      <c r="AS1081">
        <f>IF(OR(AQ1081="",AR1081=""),"",(AQ1081+AR1081)/2)</f>
        <v>0</v>
      </c>
      <c r="AT1081">
        <f>IF(COUNT($G$1062:$G$1081)&lt;20,"",STDEV($G$1062:$G$1081)*SQRT(252))</f>
        <v>0</v>
      </c>
      <c r="AU1081">
        <f>IF(COUNT($E$2:$E1081)&lt;9,"",(MAX($C$1073:$C$1081)+MIN($D$1073:$D$1081))/2)</f>
        <v>0</v>
      </c>
      <c r="AV1081">
        <f>IF(COUNT($E$2:$E1081)&lt;26,"",(MAX($C$1056:$C$1081)+MIN($D$1056:$D$1081))/2)</f>
        <v>0</v>
      </c>
      <c r="AW1081">
        <f>IF(OR(AU1081="",AV1081=""),"",(AU1081+AV1081)/2)</f>
        <v>0</v>
      </c>
      <c r="AX1081">
        <f>IF(COUNT($E$2:$E1081)&lt;52,"",(MAX($C$1030:$C$1081)+MIN($D$1030:$D$1081))/2)</f>
        <v>0</v>
      </c>
      <c r="AY1081">
        <f>IF(COUNT($E$2:$E1081)&lt;20,"",MAX($C$982:$C$1081))</f>
        <v>0</v>
      </c>
      <c r="AZ1081">
        <f>IF(COUNT($E$2:$E1081)&lt;20,"",MIN($D$982:$D$1081))</f>
        <v>0</v>
      </c>
      <c r="BA1081">
        <f>IF(COUNT($E$2:$E1081)&lt;20,"",SLOPE($E$982:$E$1081,$F$982:$F$1081))</f>
        <v>0</v>
      </c>
      <c r="BB1081">
        <f>IF(COUNT($E$2:$E1081)&lt;20,"",INTERCEPT($E$982:$E$1081,$F$982:$F$1081))</f>
        <v>0</v>
      </c>
      <c r="BC1081">
        <f>IF(OR(BA1081="",BB1081=""),"",BB1081+BA1081*F1081)</f>
        <v>0</v>
      </c>
      <c r="BD1081">
        <f>IF(COUNT($E$2:$E1081)&lt;20,"",STEYX($E$982:$E$1081,$F$982:$F$1081))</f>
        <v>0</v>
      </c>
      <c r="BE1081">
        <f>IF($E1081="","",IF(AND(COUNT($E$1082:$E$1085)&gt;=4,$C1081=MAX($C$1077:$C$1085)),$C1081,""))</f>
        <v>0</v>
      </c>
      <c r="BF1081">
        <f>IF($E1081="","",IF(AND(COUNT($E$1082:$E$1085)&gt;=4,$D1081=MIN($D$1077:$D$1085)),$D1081,""))</f>
        <v>0</v>
      </c>
      <c r="BG1081">
        <f>IF($A1081="","",$A1081-WEEKDAY($A1081,2)+1)</f>
        <v>0</v>
      </c>
      <c r="BH1081">
        <f>IF($A1081="","",IF($A1080="",1,IF(BG1081&lt;&gt;BG1080,1,0)))</f>
        <v>0</v>
      </c>
      <c r="BI1081">
        <f>IF($A1081="","",IF($A1082="",1,IF(BG1082&lt;&gt;BG1081,1,0)))</f>
        <v>0</v>
      </c>
      <c r="BJ1081">
        <f>IF($A1081="","",IF(BH1081=1,$B1081,BJ1080))</f>
        <v>0</v>
      </c>
      <c r="BK1081">
        <f>IF($A1081="","",IF(BH1081=1,$C1081,MAX($C1081,BK1080)))</f>
        <v>0</v>
      </c>
      <c r="BL1081">
        <f>IF($A1081="","",IF(BH1081=1,$D1081,MIN($D1081,BL1080)))</f>
        <v>0</v>
      </c>
      <c r="BM1081">
        <f>IF($A1081="","",IF(BI1081=1,F1081,""))</f>
        <v>0</v>
      </c>
      <c r="BN1081">
        <f>IF($A1081="","",DATE(YEAR($A1081),MONTH($A1081),1))</f>
        <v>0</v>
      </c>
      <c r="BO1081">
        <f>IF($A1081="","",IF($A1080="",1,IF(BN1081&lt;&gt;BN1080,1,0)))</f>
        <v>0</v>
      </c>
      <c r="BP1081">
        <f>IF($A1081="","",IF($A1082="",1,IF(BN1082&lt;&gt;BN1081,1,0)))</f>
        <v>0</v>
      </c>
      <c r="BQ1081">
        <f>IF($A1081="","",IF(BO1081=1,$B1081,BQ1080))</f>
        <v>0</v>
      </c>
      <c r="BR1081">
        <f>IF($A1081="","",IF(BO1081=1,$C1081,MAX($C1081,BR1080)))</f>
        <v>0</v>
      </c>
      <c r="BS1081">
        <f>IF($A1081="","",IF(BO1081=1,$D1081,MIN($D1081,BS1080)))</f>
        <v>0</v>
      </c>
      <c r="BT1081">
        <f>IF($A1081="","",IF(BP1081=1,F1081,""))</f>
        <v>0</v>
      </c>
    </row>
    <row r="1082" spans="1:72">
      <c r="A1082" s="27">
        <f>IF(Data!$A1082="","",Data!$A1082)</f>
        <v>0</v>
      </c>
      <c r="B1082">
        <f>IF(Data!$B1082="","",Data!$B1082)</f>
        <v>0</v>
      </c>
      <c r="C1082">
        <f>IF(Data!$C1082="","",Data!$C1082)</f>
        <v>0</v>
      </c>
      <c r="D1082">
        <f>IF(Data!$D1082="","",Data!$D1082)</f>
        <v>0</v>
      </c>
      <c r="E1082">
        <f>IF(Data!$E1082="","",Data!$E1082)</f>
        <v>0</v>
      </c>
      <c r="F1082">
        <f>IF($E1082="","",N(F1081)+1)</f>
        <v>0</v>
      </c>
      <c r="G1082">
        <f>IF(OR($E1082="",$E1081=""),"",LN($E1082/$E1081))</f>
        <v>0</v>
      </c>
      <c r="H1082">
        <f>IF($E1082="","",IF($E1081="",$E1082,$E1082*0.0952380952+H1081*0.9047619048))</f>
        <v>0</v>
      </c>
      <c r="I1082">
        <f>IF($E1082="","",IF($E1081="",$E1082,$E1082*0.0392156863+I1081*0.9607843137))</f>
        <v>0</v>
      </c>
      <c r="J1082">
        <f>IF($E1082="","",IF($E1081="",$E1082,$E1082*0.0198019802+J1081*0.9801980198))</f>
        <v>0</v>
      </c>
      <c r="K1082">
        <f>IF($E1082="","",IF($E1081="",$E1082,$E1082*0.0099502488+K1081*0.9900497512))</f>
        <v>0</v>
      </c>
      <c r="L1082">
        <f>IF(OR($E1082="",$E1081=""),"",MAX($E1082-$E1081,0))</f>
        <v>0</v>
      </c>
      <c r="M1082">
        <f>IF(OR($E1082="",$E1081=""),"",MAX($E1081-$E1082,0))</f>
        <v>0</v>
      </c>
      <c r="N1082">
        <f>IF(COUNT($E$2:$E1082)&lt;15,"",IF(AVERAGE($M$1069:$M$1082)=0,100,100-100/(1+AVERAGE($L$1069:$L$1082)/AVERAGE($M$1069:$M$1082))))</f>
        <v>0</v>
      </c>
      <c r="O1082">
        <f>IF($E1082="","",IF($E1081="",$E1082,$E1082*0.1538461538+O1081*0.8461538462))</f>
        <v>0</v>
      </c>
      <c r="P1082">
        <f>IF($E1082="","",IF($E1081="",$E1082,$E1082*0.0740740741+P1081*0.9259259259))</f>
        <v>0</v>
      </c>
      <c r="Q1082">
        <f>IF(OR(O1082="",P1082=""),"",O1082-P1082)</f>
        <v>0</v>
      </c>
      <c r="R1082">
        <f>IF(Q1082="","",IF(R1081="",Q1082,Q1082*0.2000000000+R1081*0.8000000000))</f>
        <v>0</v>
      </c>
      <c r="S1082">
        <f>IF(OR(Q1082="",R1082=""),"",Q1082-R1082)</f>
        <v>0</v>
      </c>
      <c r="T1082">
        <f>IF(COUNT($E$2:$E1082)&lt;14,"",MAX($C$1069:$C$1082))</f>
        <v>0</v>
      </c>
      <c r="U1082">
        <f>IF(COUNT($E$2:$E1082)&lt;14,"",MIN($D$1069:$D$1082))</f>
        <v>0</v>
      </c>
      <c r="V1082">
        <f>IF(OR(T1082="",U1082="",T1082=U1082),"",100*($E1082-U1082)/(T1082-U1082))</f>
        <v>0</v>
      </c>
      <c r="W1082">
        <f>IF(COUNT($V$1080:$V$1082)&lt;3,"",AVERAGE($V$1080:$V$1082))</f>
        <v>0</v>
      </c>
      <c r="X1082">
        <f>IF(COUNT($N$1069:$N$1082)&lt;14,"",MIN($N$1069:$N$1082))</f>
        <v>0</v>
      </c>
      <c r="Y1082">
        <f>IF(COUNT($N$1069:$N$1082)&lt;14,"",MAX($N$1069:$N$1082))</f>
        <v>0</v>
      </c>
      <c r="Z1082">
        <f>IF(OR(N1082="",X1082="",Y1082="",Y1082=X1082),"",100*(N1082-X1082)/(Y1082-X1082))</f>
        <v>0</v>
      </c>
      <c r="AA1082">
        <f>IF(COUNT($Z$1080:$Z$1082)&lt;3,"",AVERAGE($Z$1080:$Z$1082))</f>
        <v>0</v>
      </c>
      <c r="AB1082">
        <f>IF(COUNT($AA$1080:$AA$1082)&lt;3,"",AVERAGE($AA$1080:$AA$1082))</f>
        <v>0</v>
      </c>
      <c r="AC1082">
        <f>IF($E1082="","",MAX($C1082-$D1082,ABS($C1082-$E1081),ABS($D1082-$E1081)))</f>
        <v>0</v>
      </c>
      <c r="AD1082">
        <f>IF(COUNT($E$2:$E1082)&lt;15,"",AVERAGE($AC$1069:$AC$1082))</f>
        <v>0</v>
      </c>
      <c r="AE1082">
        <f>IF(OR($E1082="",$E1081=""),"",IF(AND(($C1082-$C1081)&gt;($D1081-$D1082),($C1082-$C1081)&gt;0),$C1082-$C1081,0))</f>
        <v>0</v>
      </c>
      <c r="AF1082">
        <f>IF(OR($E1082="",$E1081=""),"",IF(AND(($D1081-$D1082)&gt;($C1082-$C1081),($D1081-$D1082)&gt;0),$D1081-$D1082,0))</f>
        <v>0</v>
      </c>
      <c r="AG1082">
        <f>IF(COUNT($E$2:$E1082)&lt;15,"",IF(SUM($AC$1069:$AC$1082)=0,0,100*SUM($AE$1069:$AE$1082)/SUM($AC$1069:$AC$1082)))</f>
        <v>0</v>
      </c>
      <c r="AH1082">
        <f>IF(COUNT($E$2:$E1082)&lt;15,"",IF(SUM($AC$1069:$AC$1082)=0,0,100*SUM($AF$1069:$AF$1082)/SUM($AC$1069:$AC$1082)))</f>
        <v>0</v>
      </c>
      <c r="AI1082">
        <f>IF(OR(AG1082="",AH1082=""),"",IF((AG1082+AH1082)=0,0,100*ABS(AG1082-AH1082)/(AG1082+AH1082)))</f>
        <v>0</v>
      </c>
      <c r="AJ1082">
        <f>IF(COUNT($AI$1069:$AI$1082)&lt;14,"",AVERAGE($AI$1069:$AI$1082))</f>
        <v>0</v>
      </c>
      <c r="AK1082">
        <f>IF(COUNT($E$2:$E1082)&lt;20,"",AVERAGE($E$1063:$E$1082))</f>
        <v>0</v>
      </c>
      <c r="AL1082">
        <f>IF(COUNT($E$2:$E1082)&lt;20,"",STDEVP($E$1063:$E$1082))</f>
        <v>0</v>
      </c>
      <c r="AM1082">
        <f>IF(AK1082="","",AK1082+2*AL1082)</f>
        <v>0</v>
      </c>
      <c r="AN1082">
        <f>IF(AK1082="","",AK1082-2*AL1082)</f>
        <v>0</v>
      </c>
      <c r="AO1082">
        <f>IF(OR(AM1082="",AN1082="",AM1082=AN1082),"",($E1082-AN1082)/(AM1082-AN1082))</f>
        <v>0</v>
      </c>
      <c r="AP1082">
        <f>IF(OR(AM1082="",AK1082="",AK1082=0),"",(AM1082-AN1082)/AK1082)</f>
        <v>0</v>
      </c>
      <c r="AQ1082">
        <f>IF(COUNT($E$2:$E1082)&lt;20,"",MAX($C$1063:$C$1082))</f>
        <v>0</v>
      </c>
      <c r="AR1082">
        <f>IF(COUNT($E$2:$E1082)&lt;20,"",MIN($D$1063:$D$1082))</f>
        <v>0</v>
      </c>
      <c r="AS1082">
        <f>IF(OR(AQ1082="",AR1082=""),"",(AQ1082+AR1082)/2)</f>
        <v>0</v>
      </c>
      <c r="AT1082">
        <f>IF(COUNT($G$1063:$G$1082)&lt;20,"",STDEV($G$1063:$G$1082)*SQRT(252))</f>
        <v>0</v>
      </c>
      <c r="AU1082">
        <f>IF(COUNT($E$2:$E1082)&lt;9,"",(MAX($C$1074:$C$1082)+MIN($D$1074:$D$1082))/2)</f>
        <v>0</v>
      </c>
      <c r="AV1082">
        <f>IF(COUNT($E$2:$E1082)&lt;26,"",(MAX($C$1057:$C$1082)+MIN($D$1057:$D$1082))/2)</f>
        <v>0</v>
      </c>
      <c r="AW1082">
        <f>IF(OR(AU1082="",AV1082=""),"",(AU1082+AV1082)/2)</f>
        <v>0</v>
      </c>
      <c r="AX1082">
        <f>IF(COUNT($E$2:$E1082)&lt;52,"",(MAX($C$1031:$C$1082)+MIN($D$1031:$D$1082))/2)</f>
        <v>0</v>
      </c>
      <c r="AY1082">
        <f>IF(COUNT($E$2:$E1082)&lt;20,"",MAX($C$983:$C$1082))</f>
        <v>0</v>
      </c>
      <c r="AZ1082">
        <f>IF(COUNT($E$2:$E1082)&lt;20,"",MIN($D$983:$D$1082))</f>
        <v>0</v>
      </c>
      <c r="BA1082">
        <f>IF(COUNT($E$2:$E1082)&lt;20,"",SLOPE($E$983:$E$1082,$F$983:$F$1082))</f>
        <v>0</v>
      </c>
      <c r="BB1082">
        <f>IF(COUNT($E$2:$E1082)&lt;20,"",INTERCEPT($E$983:$E$1082,$F$983:$F$1082))</f>
        <v>0</v>
      </c>
      <c r="BC1082">
        <f>IF(OR(BA1082="",BB1082=""),"",BB1082+BA1082*F1082)</f>
        <v>0</v>
      </c>
      <c r="BD1082">
        <f>IF(COUNT($E$2:$E1082)&lt;20,"",STEYX($E$983:$E$1082,$F$983:$F$1082))</f>
        <v>0</v>
      </c>
      <c r="BE1082">
        <f>IF($E1082="","",IF(AND(COUNT($E$1083:$E$1086)&gt;=4,$C1082=MAX($C$1078:$C$1086)),$C1082,""))</f>
        <v>0</v>
      </c>
      <c r="BF1082">
        <f>IF($E1082="","",IF(AND(COUNT($E$1083:$E$1086)&gt;=4,$D1082=MIN($D$1078:$D$1086)),$D1082,""))</f>
        <v>0</v>
      </c>
      <c r="BG1082">
        <f>IF($A1082="","",$A1082-WEEKDAY($A1082,2)+1)</f>
        <v>0</v>
      </c>
      <c r="BH1082">
        <f>IF($A1082="","",IF($A1081="",1,IF(BG1082&lt;&gt;BG1081,1,0)))</f>
        <v>0</v>
      </c>
      <c r="BI1082">
        <f>IF($A1082="","",IF($A1083="",1,IF(BG1083&lt;&gt;BG1082,1,0)))</f>
        <v>0</v>
      </c>
      <c r="BJ1082">
        <f>IF($A1082="","",IF(BH1082=1,$B1082,BJ1081))</f>
        <v>0</v>
      </c>
      <c r="BK1082">
        <f>IF($A1082="","",IF(BH1082=1,$C1082,MAX($C1082,BK1081)))</f>
        <v>0</v>
      </c>
      <c r="BL1082">
        <f>IF($A1082="","",IF(BH1082=1,$D1082,MIN($D1082,BL1081)))</f>
        <v>0</v>
      </c>
      <c r="BM1082">
        <f>IF($A1082="","",IF(BI1082=1,F1082,""))</f>
        <v>0</v>
      </c>
      <c r="BN1082">
        <f>IF($A1082="","",DATE(YEAR($A1082),MONTH($A1082),1))</f>
        <v>0</v>
      </c>
      <c r="BO1082">
        <f>IF($A1082="","",IF($A1081="",1,IF(BN1082&lt;&gt;BN1081,1,0)))</f>
        <v>0</v>
      </c>
      <c r="BP1082">
        <f>IF($A1082="","",IF($A1083="",1,IF(BN1083&lt;&gt;BN1082,1,0)))</f>
        <v>0</v>
      </c>
      <c r="BQ1082">
        <f>IF($A1082="","",IF(BO1082=1,$B1082,BQ1081))</f>
        <v>0</v>
      </c>
      <c r="BR1082">
        <f>IF($A1082="","",IF(BO1082=1,$C1082,MAX($C1082,BR1081)))</f>
        <v>0</v>
      </c>
      <c r="BS1082">
        <f>IF($A1082="","",IF(BO1082=1,$D1082,MIN($D1082,BS1081)))</f>
        <v>0</v>
      </c>
      <c r="BT1082">
        <f>IF($A1082="","",IF(BP1082=1,F1082,""))</f>
        <v>0</v>
      </c>
    </row>
    <row r="1083" spans="1:72">
      <c r="A1083" s="27">
        <f>IF(Data!$A1083="","",Data!$A1083)</f>
        <v>0</v>
      </c>
      <c r="B1083">
        <f>IF(Data!$B1083="","",Data!$B1083)</f>
        <v>0</v>
      </c>
      <c r="C1083">
        <f>IF(Data!$C1083="","",Data!$C1083)</f>
        <v>0</v>
      </c>
      <c r="D1083">
        <f>IF(Data!$D1083="","",Data!$D1083)</f>
        <v>0</v>
      </c>
      <c r="E1083">
        <f>IF(Data!$E1083="","",Data!$E1083)</f>
        <v>0</v>
      </c>
      <c r="F1083">
        <f>IF($E1083="","",N(F1082)+1)</f>
        <v>0</v>
      </c>
      <c r="G1083">
        <f>IF(OR($E1083="",$E1082=""),"",LN($E1083/$E1082))</f>
        <v>0</v>
      </c>
      <c r="H1083">
        <f>IF($E1083="","",IF($E1082="",$E1083,$E1083*0.0952380952+H1082*0.9047619048))</f>
        <v>0</v>
      </c>
      <c r="I1083">
        <f>IF($E1083="","",IF($E1082="",$E1083,$E1083*0.0392156863+I1082*0.9607843137))</f>
        <v>0</v>
      </c>
      <c r="J1083">
        <f>IF($E1083="","",IF($E1082="",$E1083,$E1083*0.0198019802+J1082*0.9801980198))</f>
        <v>0</v>
      </c>
      <c r="K1083">
        <f>IF($E1083="","",IF($E1082="",$E1083,$E1083*0.0099502488+K1082*0.9900497512))</f>
        <v>0</v>
      </c>
      <c r="L1083">
        <f>IF(OR($E1083="",$E1082=""),"",MAX($E1083-$E1082,0))</f>
        <v>0</v>
      </c>
      <c r="M1083">
        <f>IF(OR($E1083="",$E1082=""),"",MAX($E1082-$E1083,0))</f>
        <v>0</v>
      </c>
      <c r="N1083">
        <f>IF(COUNT($E$2:$E1083)&lt;15,"",IF(AVERAGE($M$1070:$M$1083)=0,100,100-100/(1+AVERAGE($L$1070:$L$1083)/AVERAGE($M$1070:$M$1083))))</f>
        <v>0</v>
      </c>
      <c r="O1083">
        <f>IF($E1083="","",IF($E1082="",$E1083,$E1083*0.1538461538+O1082*0.8461538462))</f>
        <v>0</v>
      </c>
      <c r="P1083">
        <f>IF($E1083="","",IF($E1082="",$E1083,$E1083*0.0740740741+P1082*0.9259259259))</f>
        <v>0</v>
      </c>
      <c r="Q1083">
        <f>IF(OR(O1083="",P1083=""),"",O1083-P1083)</f>
        <v>0</v>
      </c>
      <c r="R1083">
        <f>IF(Q1083="","",IF(R1082="",Q1083,Q1083*0.2000000000+R1082*0.8000000000))</f>
        <v>0</v>
      </c>
      <c r="S1083">
        <f>IF(OR(Q1083="",R1083=""),"",Q1083-R1083)</f>
        <v>0</v>
      </c>
      <c r="T1083">
        <f>IF(COUNT($E$2:$E1083)&lt;14,"",MAX($C$1070:$C$1083))</f>
        <v>0</v>
      </c>
      <c r="U1083">
        <f>IF(COUNT($E$2:$E1083)&lt;14,"",MIN($D$1070:$D$1083))</f>
        <v>0</v>
      </c>
      <c r="V1083">
        <f>IF(OR(T1083="",U1083="",T1083=U1083),"",100*($E1083-U1083)/(T1083-U1083))</f>
        <v>0</v>
      </c>
      <c r="W1083">
        <f>IF(COUNT($V$1081:$V$1083)&lt;3,"",AVERAGE($V$1081:$V$1083))</f>
        <v>0</v>
      </c>
      <c r="X1083">
        <f>IF(COUNT($N$1070:$N$1083)&lt;14,"",MIN($N$1070:$N$1083))</f>
        <v>0</v>
      </c>
      <c r="Y1083">
        <f>IF(COUNT($N$1070:$N$1083)&lt;14,"",MAX($N$1070:$N$1083))</f>
        <v>0</v>
      </c>
      <c r="Z1083">
        <f>IF(OR(N1083="",X1083="",Y1083="",Y1083=X1083),"",100*(N1083-X1083)/(Y1083-X1083))</f>
        <v>0</v>
      </c>
      <c r="AA1083">
        <f>IF(COUNT($Z$1081:$Z$1083)&lt;3,"",AVERAGE($Z$1081:$Z$1083))</f>
        <v>0</v>
      </c>
      <c r="AB1083">
        <f>IF(COUNT($AA$1081:$AA$1083)&lt;3,"",AVERAGE($AA$1081:$AA$1083))</f>
        <v>0</v>
      </c>
      <c r="AC1083">
        <f>IF($E1083="","",MAX($C1083-$D1083,ABS($C1083-$E1082),ABS($D1083-$E1082)))</f>
        <v>0</v>
      </c>
      <c r="AD1083">
        <f>IF(COUNT($E$2:$E1083)&lt;15,"",AVERAGE($AC$1070:$AC$1083))</f>
        <v>0</v>
      </c>
      <c r="AE1083">
        <f>IF(OR($E1083="",$E1082=""),"",IF(AND(($C1083-$C1082)&gt;($D1082-$D1083),($C1083-$C1082)&gt;0),$C1083-$C1082,0))</f>
        <v>0</v>
      </c>
      <c r="AF1083">
        <f>IF(OR($E1083="",$E1082=""),"",IF(AND(($D1082-$D1083)&gt;($C1083-$C1082),($D1082-$D1083)&gt;0),$D1082-$D1083,0))</f>
        <v>0</v>
      </c>
      <c r="AG1083">
        <f>IF(COUNT($E$2:$E1083)&lt;15,"",IF(SUM($AC$1070:$AC$1083)=0,0,100*SUM($AE$1070:$AE$1083)/SUM($AC$1070:$AC$1083)))</f>
        <v>0</v>
      </c>
      <c r="AH1083">
        <f>IF(COUNT($E$2:$E1083)&lt;15,"",IF(SUM($AC$1070:$AC$1083)=0,0,100*SUM($AF$1070:$AF$1083)/SUM($AC$1070:$AC$1083)))</f>
        <v>0</v>
      </c>
      <c r="AI1083">
        <f>IF(OR(AG1083="",AH1083=""),"",IF((AG1083+AH1083)=0,0,100*ABS(AG1083-AH1083)/(AG1083+AH1083)))</f>
        <v>0</v>
      </c>
      <c r="AJ1083">
        <f>IF(COUNT($AI$1070:$AI$1083)&lt;14,"",AVERAGE($AI$1070:$AI$1083))</f>
        <v>0</v>
      </c>
      <c r="AK1083">
        <f>IF(COUNT($E$2:$E1083)&lt;20,"",AVERAGE($E$1064:$E$1083))</f>
        <v>0</v>
      </c>
      <c r="AL1083">
        <f>IF(COUNT($E$2:$E1083)&lt;20,"",STDEVP($E$1064:$E$1083))</f>
        <v>0</v>
      </c>
      <c r="AM1083">
        <f>IF(AK1083="","",AK1083+2*AL1083)</f>
        <v>0</v>
      </c>
      <c r="AN1083">
        <f>IF(AK1083="","",AK1083-2*AL1083)</f>
        <v>0</v>
      </c>
      <c r="AO1083">
        <f>IF(OR(AM1083="",AN1083="",AM1083=AN1083),"",($E1083-AN1083)/(AM1083-AN1083))</f>
        <v>0</v>
      </c>
      <c r="AP1083">
        <f>IF(OR(AM1083="",AK1083="",AK1083=0),"",(AM1083-AN1083)/AK1083)</f>
        <v>0</v>
      </c>
      <c r="AQ1083">
        <f>IF(COUNT($E$2:$E1083)&lt;20,"",MAX($C$1064:$C$1083))</f>
        <v>0</v>
      </c>
      <c r="AR1083">
        <f>IF(COUNT($E$2:$E1083)&lt;20,"",MIN($D$1064:$D$1083))</f>
        <v>0</v>
      </c>
      <c r="AS1083">
        <f>IF(OR(AQ1083="",AR1083=""),"",(AQ1083+AR1083)/2)</f>
        <v>0</v>
      </c>
      <c r="AT1083">
        <f>IF(COUNT($G$1064:$G$1083)&lt;20,"",STDEV($G$1064:$G$1083)*SQRT(252))</f>
        <v>0</v>
      </c>
      <c r="AU1083">
        <f>IF(COUNT($E$2:$E1083)&lt;9,"",(MAX($C$1075:$C$1083)+MIN($D$1075:$D$1083))/2)</f>
        <v>0</v>
      </c>
      <c r="AV1083">
        <f>IF(COUNT($E$2:$E1083)&lt;26,"",(MAX($C$1058:$C$1083)+MIN($D$1058:$D$1083))/2)</f>
        <v>0</v>
      </c>
      <c r="AW1083">
        <f>IF(OR(AU1083="",AV1083=""),"",(AU1083+AV1083)/2)</f>
        <v>0</v>
      </c>
      <c r="AX1083">
        <f>IF(COUNT($E$2:$E1083)&lt;52,"",(MAX($C$1032:$C$1083)+MIN($D$1032:$D$1083))/2)</f>
        <v>0</v>
      </c>
      <c r="AY1083">
        <f>IF(COUNT($E$2:$E1083)&lt;20,"",MAX($C$984:$C$1083))</f>
        <v>0</v>
      </c>
      <c r="AZ1083">
        <f>IF(COUNT($E$2:$E1083)&lt;20,"",MIN($D$984:$D$1083))</f>
        <v>0</v>
      </c>
      <c r="BA1083">
        <f>IF(COUNT($E$2:$E1083)&lt;20,"",SLOPE($E$984:$E$1083,$F$984:$F$1083))</f>
        <v>0</v>
      </c>
      <c r="BB1083">
        <f>IF(COUNT($E$2:$E1083)&lt;20,"",INTERCEPT($E$984:$E$1083,$F$984:$F$1083))</f>
        <v>0</v>
      </c>
      <c r="BC1083">
        <f>IF(OR(BA1083="",BB1083=""),"",BB1083+BA1083*F1083)</f>
        <v>0</v>
      </c>
      <c r="BD1083">
        <f>IF(COUNT($E$2:$E1083)&lt;20,"",STEYX($E$984:$E$1083,$F$984:$F$1083))</f>
        <v>0</v>
      </c>
      <c r="BE1083">
        <f>IF($E1083="","",IF(AND(COUNT($E$1084:$E$1087)&gt;=4,$C1083=MAX($C$1079:$C$1087)),$C1083,""))</f>
        <v>0</v>
      </c>
      <c r="BF1083">
        <f>IF($E1083="","",IF(AND(COUNT($E$1084:$E$1087)&gt;=4,$D1083=MIN($D$1079:$D$1087)),$D1083,""))</f>
        <v>0</v>
      </c>
      <c r="BG1083">
        <f>IF($A1083="","",$A1083-WEEKDAY($A1083,2)+1)</f>
        <v>0</v>
      </c>
      <c r="BH1083">
        <f>IF($A1083="","",IF($A1082="",1,IF(BG1083&lt;&gt;BG1082,1,0)))</f>
        <v>0</v>
      </c>
      <c r="BI1083">
        <f>IF($A1083="","",IF($A1084="",1,IF(BG1084&lt;&gt;BG1083,1,0)))</f>
        <v>0</v>
      </c>
      <c r="BJ1083">
        <f>IF($A1083="","",IF(BH1083=1,$B1083,BJ1082))</f>
        <v>0</v>
      </c>
      <c r="BK1083">
        <f>IF($A1083="","",IF(BH1083=1,$C1083,MAX($C1083,BK1082)))</f>
        <v>0</v>
      </c>
      <c r="BL1083">
        <f>IF($A1083="","",IF(BH1083=1,$D1083,MIN($D1083,BL1082)))</f>
        <v>0</v>
      </c>
      <c r="BM1083">
        <f>IF($A1083="","",IF(BI1083=1,F1083,""))</f>
        <v>0</v>
      </c>
      <c r="BN1083">
        <f>IF($A1083="","",DATE(YEAR($A1083),MONTH($A1083),1))</f>
        <v>0</v>
      </c>
      <c r="BO1083">
        <f>IF($A1083="","",IF($A1082="",1,IF(BN1083&lt;&gt;BN1082,1,0)))</f>
        <v>0</v>
      </c>
      <c r="BP1083">
        <f>IF($A1083="","",IF($A1084="",1,IF(BN1084&lt;&gt;BN1083,1,0)))</f>
        <v>0</v>
      </c>
      <c r="BQ1083">
        <f>IF($A1083="","",IF(BO1083=1,$B1083,BQ1082))</f>
        <v>0</v>
      </c>
      <c r="BR1083">
        <f>IF($A1083="","",IF(BO1083=1,$C1083,MAX($C1083,BR1082)))</f>
        <v>0</v>
      </c>
      <c r="BS1083">
        <f>IF($A1083="","",IF(BO1083=1,$D1083,MIN($D1083,BS1082)))</f>
        <v>0</v>
      </c>
      <c r="BT1083">
        <f>IF($A1083="","",IF(BP1083=1,F1083,""))</f>
        <v>0</v>
      </c>
    </row>
    <row r="1084" spans="1:72">
      <c r="A1084" s="27">
        <f>IF(Data!$A1084="","",Data!$A1084)</f>
        <v>0</v>
      </c>
      <c r="B1084">
        <f>IF(Data!$B1084="","",Data!$B1084)</f>
        <v>0</v>
      </c>
      <c r="C1084">
        <f>IF(Data!$C1084="","",Data!$C1084)</f>
        <v>0</v>
      </c>
      <c r="D1084">
        <f>IF(Data!$D1084="","",Data!$D1084)</f>
        <v>0</v>
      </c>
      <c r="E1084">
        <f>IF(Data!$E1084="","",Data!$E1084)</f>
        <v>0</v>
      </c>
      <c r="F1084">
        <f>IF($E1084="","",N(F1083)+1)</f>
        <v>0</v>
      </c>
      <c r="G1084">
        <f>IF(OR($E1084="",$E1083=""),"",LN($E1084/$E1083))</f>
        <v>0</v>
      </c>
      <c r="H1084">
        <f>IF($E1084="","",IF($E1083="",$E1084,$E1084*0.0952380952+H1083*0.9047619048))</f>
        <v>0</v>
      </c>
      <c r="I1084">
        <f>IF($E1084="","",IF($E1083="",$E1084,$E1084*0.0392156863+I1083*0.9607843137))</f>
        <v>0</v>
      </c>
      <c r="J1084">
        <f>IF($E1084="","",IF($E1083="",$E1084,$E1084*0.0198019802+J1083*0.9801980198))</f>
        <v>0</v>
      </c>
      <c r="K1084">
        <f>IF($E1084="","",IF($E1083="",$E1084,$E1084*0.0099502488+K1083*0.9900497512))</f>
        <v>0</v>
      </c>
      <c r="L1084">
        <f>IF(OR($E1084="",$E1083=""),"",MAX($E1084-$E1083,0))</f>
        <v>0</v>
      </c>
      <c r="M1084">
        <f>IF(OR($E1084="",$E1083=""),"",MAX($E1083-$E1084,0))</f>
        <v>0</v>
      </c>
      <c r="N1084">
        <f>IF(COUNT($E$2:$E1084)&lt;15,"",IF(AVERAGE($M$1071:$M$1084)=0,100,100-100/(1+AVERAGE($L$1071:$L$1084)/AVERAGE($M$1071:$M$1084))))</f>
        <v>0</v>
      </c>
      <c r="O1084">
        <f>IF($E1084="","",IF($E1083="",$E1084,$E1084*0.1538461538+O1083*0.8461538462))</f>
        <v>0</v>
      </c>
      <c r="P1084">
        <f>IF($E1084="","",IF($E1083="",$E1084,$E1084*0.0740740741+P1083*0.9259259259))</f>
        <v>0</v>
      </c>
      <c r="Q1084">
        <f>IF(OR(O1084="",P1084=""),"",O1084-P1084)</f>
        <v>0</v>
      </c>
      <c r="R1084">
        <f>IF(Q1084="","",IF(R1083="",Q1084,Q1084*0.2000000000+R1083*0.8000000000))</f>
        <v>0</v>
      </c>
      <c r="S1084">
        <f>IF(OR(Q1084="",R1084=""),"",Q1084-R1084)</f>
        <v>0</v>
      </c>
      <c r="T1084">
        <f>IF(COUNT($E$2:$E1084)&lt;14,"",MAX($C$1071:$C$1084))</f>
        <v>0</v>
      </c>
      <c r="U1084">
        <f>IF(COUNT($E$2:$E1084)&lt;14,"",MIN($D$1071:$D$1084))</f>
        <v>0</v>
      </c>
      <c r="V1084">
        <f>IF(OR(T1084="",U1084="",T1084=U1084),"",100*($E1084-U1084)/(T1084-U1084))</f>
        <v>0</v>
      </c>
      <c r="W1084">
        <f>IF(COUNT($V$1082:$V$1084)&lt;3,"",AVERAGE($V$1082:$V$1084))</f>
        <v>0</v>
      </c>
      <c r="X1084">
        <f>IF(COUNT($N$1071:$N$1084)&lt;14,"",MIN($N$1071:$N$1084))</f>
        <v>0</v>
      </c>
      <c r="Y1084">
        <f>IF(COUNT($N$1071:$N$1084)&lt;14,"",MAX($N$1071:$N$1084))</f>
        <v>0</v>
      </c>
      <c r="Z1084">
        <f>IF(OR(N1084="",X1084="",Y1084="",Y1084=X1084),"",100*(N1084-X1084)/(Y1084-X1084))</f>
        <v>0</v>
      </c>
      <c r="AA1084">
        <f>IF(COUNT($Z$1082:$Z$1084)&lt;3,"",AVERAGE($Z$1082:$Z$1084))</f>
        <v>0</v>
      </c>
      <c r="AB1084">
        <f>IF(COUNT($AA$1082:$AA$1084)&lt;3,"",AVERAGE($AA$1082:$AA$1084))</f>
        <v>0</v>
      </c>
      <c r="AC1084">
        <f>IF($E1084="","",MAX($C1084-$D1084,ABS($C1084-$E1083),ABS($D1084-$E1083)))</f>
        <v>0</v>
      </c>
      <c r="AD1084">
        <f>IF(COUNT($E$2:$E1084)&lt;15,"",AVERAGE($AC$1071:$AC$1084))</f>
        <v>0</v>
      </c>
      <c r="AE1084">
        <f>IF(OR($E1084="",$E1083=""),"",IF(AND(($C1084-$C1083)&gt;($D1083-$D1084),($C1084-$C1083)&gt;0),$C1084-$C1083,0))</f>
        <v>0</v>
      </c>
      <c r="AF1084">
        <f>IF(OR($E1084="",$E1083=""),"",IF(AND(($D1083-$D1084)&gt;($C1084-$C1083),($D1083-$D1084)&gt;0),$D1083-$D1084,0))</f>
        <v>0</v>
      </c>
      <c r="AG1084">
        <f>IF(COUNT($E$2:$E1084)&lt;15,"",IF(SUM($AC$1071:$AC$1084)=0,0,100*SUM($AE$1071:$AE$1084)/SUM($AC$1071:$AC$1084)))</f>
        <v>0</v>
      </c>
      <c r="AH1084">
        <f>IF(COUNT($E$2:$E1084)&lt;15,"",IF(SUM($AC$1071:$AC$1084)=0,0,100*SUM($AF$1071:$AF$1084)/SUM($AC$1071:$AC$1084)))</f>
        <v>0</v>
      </c>
      <c r="AI1084">
        <f>IF(OR(AG1084="",AH1084=""),"",IF((AG1084+AH1084)=0,0,100*ABS(AG1084-AH1084)/(AG1084+AH1084)))</f>
        <v>0</v>
      </c>
      <c r="AJ1084">
        <f>IF(COUNT($AI$1071:$AI$1084)&lt;14,"",AVERAGE($AI$1071:$AI$1084))</f>
        <v>0</v>
      </c>
      <c r="AK1084">
        <f>IF(COUNT($E$2:$E1084)&lt;20,"",AVERAGE($E$1065:$E$1084))</f>
        <v>0</v>
      </c>
      <c r="AL1084">
        <f>IF(COUNT($E$2:$E1084)&lt;20,"",STDEVP($E$1065:$E$1084))</f>
        <v>0</v>
      </c>
      <c r="AM1084">
        <f>IF(AK1084="","",AK1084+2*AL1084)</f>
        <v>0</v>
      </c>
      <c r="AN1084">
        <f>IF(AK1084="","",AK1084-2*AL1084)</f>
        <v>0</v>
      </c>
      <c r="AO1084">
        <f>IF(OR(AM1084="",AN1084="",AM1084=AN1084),"",($E1084-AN1084)/(AM1084-AN1084))</f>
        <v>0</v>
      </c>
      <c r="AP1084">
        <f>IF(OR(AM1084="",AK1084="",AK1084=0),"",(AM1084-AN1084)/AK1084)</f>
        <v>0</v>
      </c>
      <c r="AQ1084">
        <f>IF(COUNT($E$2:$E1084)&lt;20,"",MAX($C$1065:$C$1084))</f>
        <v>0</v>
      </c>
      <c r="AR1084">
        <f>IF(COUNT($E$2:$E1084)&lt;20,"",MIN($D$1065:$D$1084))</f>
        <v>0</v>
      </c>
      <c r="AS1084">
        <f>IF(OR(AQ1084="",AR1084=""),"",(AQ1084+AR1084)/2)</f>
        <v>0</v>
      </c>
      <c r="AT1084">
        <f>IF(COUNT($G$1065:$G$1084)&lt;20,"",STDEV($G$1065:$G$1084)*SQRT(252))</f>
        <v>0</v>
      </c>
      <c r="AU1084">
        <f>IF(COUNT($E$2:$E1084)&lt;9,"",(MAX($C$1076:$C$1084)+MIN($D$1076:$D$1084))/2)</f>
        <v>0</v>
      </c>
      <c r="AV1084">
        <f>IF(COUNT($E$2:$E1084)&lt;26,"",(MAX($C$1059:$C$1084)+MIN($D$1059:$D$1084))/2)</f>
        <v>0</v>
      </c>
      <c r="AW1084">
        <f>IF(OR(AU1084="",AV1084=""),"",(AU1084+AV1084)/2)</f>
        <v>0</v>
      </c>
      <c r="AX1084">
        <f>IF(COUNT($E$2:$E1084)&lt;52,"",(MAX($C$1033:$C$1084)+MIN($D$1033:$D$1084))/2)</f>
        <v>0</v>
      </c>
      <c r="AY1084">
        <f>IF(COUNT($E$2:$E1084)&lt;20,"",MAX($C$985:$C$1084))</f>
        <v>0</v>
      </c>
      <c r="AZ1084">
        <f>IF(COUNT($E$2:$E1084)&lt;20,"",MIN($D$985:$D$1084))</f>
        <v>0</v>
      </c>
      <c r="BA1084">
        <f>IF(COUNT($E$2:$E1084)&lt;20,"",SLOPE($E$985:$E$1084,$F$985:$F$1084))</f>
        <v>0</v>
      </c>
      <c r="BB1084">
        <f>IF(COUNT($E$2:$E1084)&lt;20,"",INTERCEPT($E$985:$E$1084,$F$985:$F$1084))</f>
        <v>0</v>
      </c>
      <c r="BC1084">
        <f>IF(OR(BA1084="",BB1084=""),"",BB1084+BA1084*F1084)</f>
        <v>0</v>
      </c>
      <c r="BD1084">
        <f>IF(COUNT($E$2:$E1084)&lt;20,"",STEYX($E$985:$E$1084,$F$985:$F$1084))</f>
        <v>0</v>
      </c>
      <c r="BE1084">
        <f>IF($E1084="","",IF(AND(COUNT($E$1085:$E$1088)&gt;=4,$C1084=MAX($C$1080:$C$1088)),$C1084,""))</f>
        <v>0</v>
      </c>
      <c r="BF1084">
        <f>IF($E1084="","",IF(AND(COUNT($E$1085:$E$1088)&gt;=4,$D1084=MIN($D$1080:$D$1088)),$D1084,""))</f>
        <v>0</v>
      </c>
      <c r="BG1084">
        <f>IF($A1084="","",$A1084-WEEKDAY($A1084,2)+1)</f>
        <v>0</v>
      </c>
      <c r="BH1084">
        <f>IF($A1084="","",IF($A1083="",1,IF(BG1084&lt;&gt;BG1083,1,0)))</f>
        <v>0</v>
      </c>
      <c r="BI1084">
        <f>IF($A1084="","",IF($A1085="",1,IF(BG1085&lt;&gt;BG1084,1,0)))</f>
        <v>0</v>
      </c>
      <c r="BJ1084">
        <f>IF($A1084="","",IF(BH1084=1,$B1084,BJ1083))</f>
        <v>0</v>
      </c>
      <c r="BK1084">
        <f>IF($A1084="","",IF(BH1084=1,$C1084,MAX($C1084,BK1083)))</f>
        <v>0</v>
      </c>
      <c r="BL1084">
        <f>IF($A1084="","",IF(BH1084=1,$D1084,MIN($D1084,BL1083)))</f>
        <v>0</v>
      </c>
      <c r="BM1084">
        <f>IF($A1084="","",IF(BI1084=1,F1084,""))</f>
        <v>0</v>
      </c>
      <c r="BN1084">
        <f>IF($A1084="","",DATE(YEAR($A1084),MONTH($A1084),1))</f>
        <v>0</v>
      </c>
      <c r="BO1084">
        <f>IF($A1084="","",IF($A1083="",1,IF(BN1084&lt;&gt;BN1083,1,0)))</f>
        <v>0</v>
      </c>
      <c r="BP1084">
        <f>IF($A1084="","",IF($A1085="",1,IF(BN1085&lt;&gt;BN1084,1,0)))</f>
        <v>0</v>
      </c>
      <c r="BQ1084">
        <f>IF($A1084="","",IF(BO1084=1,$B1084,BQ1083))</f>
        <v>0</v>
      </c>
      <c r="BR1084">
        <f>IF($A1084="","",IF(BO1084=1,$C1084,MAX($C1084,BR1083)))</f>
        <v>0</v>
      </c>
      <c r="BS1084">
        <f>IF($A1084="","",IF(BO1084=1,$D1084,MIN($D1084,BS1083)))</f>
        <v>0</v>
      </c>
      <c r="BT1084">
        <f>IF($A1084="","",IF(BP1084=1,F1084,""))</f>
        <v>0</v>
      </c>
    </row>
    <row r="1085" spans="1:72">
      <c r="A1085" s="27">
        <f>IF(Data!$A1085="","",Data!$A1085)</f>
        <v>0</v>
      </c>
      <c r="B1085">
        <f>IF(Data!$B1085="","",Data!$B1085)</f>
        <v>0</v>
      </c>
      <c r="C1085">
        <f>IF(Data!$C1085="","",Data!$C1085)</f>
        <v>0</v>
      </c>
      <c r="D1085">
        <f>IF(Data!$D1085="","",Data!$D1085)</f>
        <v>0</v>
      </c>
      <c r="E1085">
        <f>IF(Data!$E1085="","",Data!$E1085)</f>
        <v>0</v>
      </c>
      <c r="F1085">
        <f>IF($E1085="","",N(F1084)+1)</f>
        <v>0</v>
      </c>
      <c r="G1085">
        <f>IF(OR($E1085="",$E1084=""),"",LN($E1085/$E1084))</f>
        <v>0</v>
      </c>
      <c r="H1085">
        <f>IF($E1085="","",IF($E1084="",$E1085,$E1085*0.0952380952+H1084*0.9047619048))</f>
        <v>0</v>
      </c>
      <c r="I1085">
        <f>IF($E1085="","",IF($E1084="",$E1085,$E1085*0.0392156863+I1084*0.9607843137))</f>
        <v>0</v>
      </c>
      <c r="J1085">
        <f>IF($E1085="","",IF($E1084="",$E1085,$E1085*0.0198019802+J1084*0.9801980198))</f>
        <v>0</v>
      </c>
      <c r="K1085">
        <f>IF($E1085="","",IF($E1084="",$E1085,$E1085*0.0099502488+K1084*0.9900497512))</f>
        <v>0</v>
      </c>
      <c r="L1085">
        <f>IF(OR($E1085="",$E1084=""),"",MAX($E1085-$E1084,0))</f>
        <v>0</v>
      </c>
      <c r="M1085">
        <f>IF(OR($E1085="",$E1084=""),"",MAX($E1084-$E1085,0))</f>
        <v>0</v>
      </c>
      <c r="N1085">
        <f>IF(COUNT($E$2:$E1085)&lt;15,"",IF(AVERAGE($M$1072:$M$1085)=0,100,100-100/(1+AVERAGE($L$1072:$L$1085)/AVERAGE($M$1072:$M$1085))))</f>
        <v>0</v>
      </c>
      <c r="O1085">
        <f>IF($E1085="","",IF($E1084="",$E1085,$E1085*0.1538461538+O1084*0.8461538462))</f>
        <v>0</v>
      </c>
      <c r="P1085">
        <f>IF($E1085="","",IF($E1084="",$E1085,$E1085*0.0740740741+P1084*0.9259259259))</f>
        <v>0</v>
      </c>
      <c r="Q1085">
        <f>IF(OR(O1085="",P1085=""),"",O1085-P1085)</f>
        <v>0</v>
      </c>
      <c r="R1085">
        <f>IF(Q1085="","",IF(R1084="",Q1085,Q1085*0.2000000000+R1084*0.8000000000))</f>
        <v>0</v>
      </c>
      <c r="S1085">
        <f>IF(OR(Q1085="",R1085=""),"",Q1085-R1085)</f>
        <v>0</v>
      </c>
      <c r="T1085">
        <f>IF(COUNT($E$2:$E1085)&lt;14,"",MAX($C$1072:$C$1085))</f>
        <v>0</v>
      </c>
      <c r="U1085">
        <f>IF(COUNT($E$2:$E1085)&lt;14,"",MIN($D$1072:$D$1085))</f>
        <v>0</v>
      </c>
      <c r="V1085">
        <f>IF(OR(T1085="",U1085="",T1085=U1085),"",100*($E1085-U1085)/(T1085-U1085))</f>
        <v>0</v>
      </c>
      <c r="W1085">
        <f>IF(COUNT($V$1083:$V$1085)&lt;3,"",AVERAGE($V$1083:$V$1085))</f>
        <v>0</v>
      </c>
      <c r="X1085">
        <f>IF(COUNT($N$1072:$N$1085)&lt;14,"",MIN($N$1072:$N$1085))</f>
        <v>0</v>
      </c>
      <c r="Y1085">
        <f>IF(COUNT($N$1072:$N$1085)&lt;14,"",MAX($N$1072:$N$1085))</f>
        <v>0</v>
      </c>
      <c r="Z1085">
        <f>IF(OR(N1085="",X1085="",Y1085="",Y1085=X1085),"",100*(N1085-X1085)/(Y1085-X1085))</f>
        <v>0</v>
      </c>
      <c r="AA1085">
        <f>IF(COUNT($Z$1083:$Z$1085)&lt;3,"",AVERAGE($Z$1083:$Z$1085))</f>
        <v>0</v>
      </c>
      <c r="AB1085">
        <f>IF(COUNT($AA$1083:$AA$1085)&lt;3,"",AVERAGE($AA$1083:$AA$1085))</f>
        <v>0</v>
      </c>
      <c r="AC1085">
        <f>IF($E1085="","",MAX($C1085-$D1085,ABS($C1085-$E1084),ABS($D1085-$E1084)))</f>
        <v>0</v>
      </c>
      <c r="AD1085">
        <f>IF(COUNT($E$2:$E1085)&lt;15,"",AVERAGE($AC$1072:$AC$1085))</f>
        <v>0</v>
      </c>
      <c r="AE1085">
        <f>IF(OR($E1085="",$E1084=""),"",IF(AND(($C1085-$C1084)&gt;($D1084-$D1085),($C1085-$C1084)&gt;0),$C1085-$C1084,0))</f>
        <v>0</v>
      </c>
      <c r="AF1085">
        <f>IF(OR($E1085="",$E1084=""),"",IF(AND(($D1084-$D1085)&gt;($C1085-$C1084),($D1084-$D1085)&gt;0),$D1084-$D1085,0))</f>
        <v>0</v>
      </c>
      <c r="AG1085">
        <f>IF(COUNT($E$2:$E1085)&lt;15,"",IF(SUM($AC$1072:$AC$1085)=0,0,100*SUM($AE$1072:$AE$1085)/SUM($AC$1072:$AC$1085)))</f>
        <v>0</v>
      </c>
      <c r="AH1085">
        <f>IF(COUNT($E$2:$E1085)&lt;15,"",IF(SUM($AC$1072:$AC$1085)=0,0,100*SUM($AF$1072:$AF$1085)/SUM($AC$1072:$AC$1085)))</f>
        <v>0</v>
      </c>
      <c r="AI1085">
        <f>IF(OR(AG1085="",AH1085=""),"",IF((AG1085+AH1085)=0,0,100*ABS(AG1085-AH1085)/(AG1085+AH1085)))</f>
        <v>0</v>
      </c>
      <c r="AJ1085">
        <f>IF(COUNT($AI$1072:$AI$1085)&lt;14,"",AVERAGE($AI$1072:$AI$1085))</f>
        <v>0</v>
      </c>
      <c r="AK1085">
        <f>IF(COUNT($E$2:$E1085)&lt;20,"",AVERAGE($E$1066:$E$1085))</f>
        <v>0</v>
      </c>
      <c r="AL1085">
        <f>IF(COUNT($E$2:$E1085)&lt;20,"",STDEVP($E$1066:$E$1085))</f>
        <v>0</v>
      </c>
      <c r="AM1085">
        <f>IF(AK1085="","",AK1085+2*AL1085)</f>
        <v>0</v>
      </c>
      <c r="AN1085">
        <f>IF(AK1085="","",AK1085-2*AL1085)</f>
        <v>0</v>
      </c>
      <c r="AO1085">
        <f>IF(OR(AM1085="",AN1085="",AM1085=AN1085),"",($E1085-AN1085)/(AM1085-AN1085))</f>
        <v>0</v>
      </c>
      <c r="AP1085">
        <f>IF(OR(AM1085="",AK1085="",AK1085=0),"",(AM1085-AN1085)/AK1085)</f>
        <v>0</v>
      </c>
      <c r="AQ1085">
        <f>IF(COUNT($E$2:$E1085)&lt;20,"",MAX($C$1066:$C$1085))</f>
        <v>0</v>
      </c>
      <c r="AR1085">
        <f>IF(COUNT($E$2:$E1085)&lt;20,"",MIN($D$1066:$D$1085))</f>
        <v>0</v>
      </c>
      <c r="AS1085">
        <f>IF(OR(AQ1085="",AR1085=""),"",(AQ1085+AR1085)/2)</f>
        <v>0</v>
      </c>
      <c r="AT1085">
        <f>IF(COUNT($G$1066:$G$1085)&lt;20,"",STDEV($G$1066:$G$1085)*SQRT(252))</f>
        <v>0</v>
      </c>
      <c r="AU1085">
        <f>IF(COUNT($E$2:$E1085)&lt;9,"",(MAX($C$1077:$C$1085)+MIN($D$1077:$D$1085))/2)</f>
        <v>0</v>
      </c>
      <c r="AV1085">
        <f>IF(COUNT($E$2:$E1085)&lt;26,"",(MAX($C$1060:$C$1085)+MIN($D$1060:$D$1085))/2)</f>
        <v>0</v>
      </c>
      <c r="AW1085">
        <f>IF(OR(AU1085="",AV1085=""),"",(AU1085+AV1085)/2)</f>
        <v>0</v>
      </c>
      <c r="AX1085">
        <f>IF(COUNT($E$2:$E1085)&lt;52,"",(MAX($C$1034:$C$1085)+MIN($D$1034:$D$1085))/2)</f>
        <v>0</v>
      </c>
      <c r="AY1085">
        <f>IF(COUNT($E$2:$E1085)&lt;20,"",MAX($C$986:$C$1085))</f>
        <v>0</v>
      </c>
      <c r="AZ1085">
        <f>IF(COUNT($E$2:$E1085)&lt;20,"",MIN($D$986:$D$1085))</f>
        <v>0</v>
      </c>
      <c r="BA1085">
        <f>IF(COUNT($E$2:$E1085)&lt;20,"",SLOPE($E$986:$E$1085,$F$986:$F$1085))</f>
        <v>0</v>
      </c>
      <c r="BB1085">
        <f>IF(COUNT($E$2:$E1085)&lt;20,"",INTERCEPT($E$986:$E$1085,$F$986:$F$1085))</f>
        <v>0</v>
      </c>
      <c r="BC1085">
        <f>IF(OR(BA1085="",BB1085=""),"",BB1085+BA1085*F1085)</f>
        <v>0</v>
      </c>
      <c r="BD1085">
        <f>IF(COUNT($E$2:$E1085)&lt;20,"",STEYX($E$986:$E$1085,$F$986:$F$1085))</f>
        <v>0</v>
      </c>
      <c r="BE1085">
        <f>IF($E1085="","",IF(AND(COUNT($E$1086:$E$1089)&gt;=4,$C1085=MAX($C$1081:$C$1089)),$C1085,""))</f>
        <v>0</v>
      </c>
      <c r="BF1085">
        <f>IF($E1085="","",IF(AND(COUNT($E$1086:$E$1089)&gt;=4,$D1085=MIN($D$1081:$D$1089)),$D1085,""))</f>
        <v>0</v>
      </c>
      <c r="BG1085">
        <f>IF($A1085="","",$A1085-WEEKDAY($A1085,2)+1)</f>
        <v>0</v>
      </c>
      <c r="BH1085">
        <f>IF($A1085="","",IF($A1084="",1,IF(BG1085&lt;&gt;BG1084,1,0)))</f>
        <v>0</v>
      </c>
      <c r="BI1085">
        <f>IF($A1085="","",IF($A1086="",1,IF(BG1086&lt;&gt;BG1085,1,0)))</f>
        <v>0</v>
      </c>
      <c r="BJ1085">
        <f>IF($A1085="","",IF(BH1085=1,$B1085,BJ1084))</f>
        <v>0</v>
      </c>
      <c r="BK1085">
        <f>IF($A1085="","",IF(BH1085=1,$C1085,MAX($C1085,BK1084)))</f>
        <v>0</v>
      </c>
      <c r="BL1085">
        <f>IF($A1085="","",IF(BH1085=1,$D1085,MIN($D1085,BL1084)))</f>
        <v>0</v>
      </c>
      <c r="BM1085">
        <f>IF($A1085="","",IF(BI1085=1,F1085,""))</f>
        <v>0</v>
      </c>
      <c r="BN1085">
        <f>IF($A1085="","",DATE(YEAR($A1085),MONTH($A1085),1))</f>
        <v>0</v>
      </c>
      <c r="BO1085">
        <f>IF($A1085="","",IF($A1084="",1,IF(BN1085&lt;&gt;BN1084,1,0)))</f>
        <v>0</v>
      </c>
      <c r="BP1085">
        <f>IF($A1085="","",IF($A1086="",1,IF(BN1086&lt;&gt;BN1085,1,0)))</f>
        <v>0</v>
      </c>
      <c r="BQ1085">
        <f>IF($A1085="","",IF(BO1085=1,$B1085,BQ1084))</f>
        <v>0</v>
      </c>
      <c r="BR1085">
        <f>IF($A1085="","",IF(BO1085=1,$C1085,MAX($C1085,BR1084)))</f>
        <v>0</v>
      </c>
      <c r="BS1085">
        <f>IF($A1085="","",IF(BO1085=1,$D1085,MIN($D1085,BS1084)))</f>
        <v>0</v>
      </c>
      <c r="BT1085">
        <f>IF($A1085="","",IF(BP1085=1,F1085,""))</f>
        <v>0</v>
      </c>
    </row>
    <row r="1086" spans="1:72">
      <c r="A1086" s="27">
        <f>IF(Data!$A1086="","",Data!$A1086)</f>
        <v>0</v>
      </c>
      <c r="B1086">
        <f>IF(Data!$B1086="","",Data!$B1086)</f>
        <v>0</v>
      </c>
      <c r="C1086">
        <f>IF(Data!$C1086="","",Data!$C1086)</f>
        <v>0</v>
      </c>
      <c r="D1086">
        <f>IF(Data!$D1086="","",Data!$D1086)</f>
        <v>0</v>
      </c>
      <c r="E1086">
        <f>IF(Data!$E1086="","",Data!$E1086)</f>
        <v>0</v>
      </c>
      <c r="F1086">
        <f>IF($E1086="","",N(F1085)+1)</f>
        <v>0</v>
      </c>
      <c r="G1086">
        <f>IF(OR($E1086="",$E1085=""),"",LN($E1086/$E1085))</f>
        <v>0</v>
      </c>
      <c r="H1086">
        <f>IF($E1086="","",IF($E1085="",$E1086,$E1086*0.0952380952+H1085*0.9047619048))</f>
        <v>0</v>
      </c>
      <c r="I1086">
        <f>IF($E1086="","",IF($E1085="",$E1086,$E1086*0.0392156863+I1085*0.9607843137))</f>
        <v>0</v>
      </c>
      <c r="J1086">
        <f>IF($E1086="","",IF($E1085="",$E1086,$E1086*0.0198019802+J1085*0.9801980198))</f>
        <v>0</v>
      </c>
      <c r="K1086">
        <f>IF($E1086="","",IF($E1085="",$E1086,$E1086*0.0099502488+K1085*0.9900497512))</f>
        <v>0</v>
      </c>
      <c r="L1086">
        <f>IF(OR($E1086="",$E1085=""),"",MAX($E1086-$E1085,0))</f>
        <v>0</v>
      </c>
      <c r="M1086">
        <f>IF(OR($E1086="",$E1085=""),"",MAX($E1085-$E1086,0))</f>
        <v>0</v>
      </c>
      <c r="N1086">
        <f>IF(COUNT($E$2:$E1086)&lt;15,"",IF(AVERAGE($M$1073:$M$1086)=0,100,100-100/(1+AVERAGE($L$1073:$L$1086)/AVERAGE($M$1073:$M$1086))))</f>
        <v>0</v>
      </c>
      <c r="O1086">
        <f>IF($E1086="","",IF($E1085="",$E1086,$E1086*0.1538461538+O1085*0.8461538462))</f>
        <v>0</v>
      </c>
      <c r="P1086">
        <f>IF($E1086="","",IF($E1085="",$E1086,$E1086*0.0740740741+P1085*0.9259259259))</f>
        <v>0</v>
      </c>
      <c r="Q1086">
        <f>IF(OR(O1086="",P1086=""),"",O1086-P1086)</f>
        <v>0</v>
      </c>
      <c r="R1086">
        <f>IF(Q1086="","",IF(R1085="",Q1086,Q1086*0.2000000000+R1085*0.8000000000))</f>
        <v>0</v>
      </c>
      <c r="S1086">
        <f>IF(OR(Q1086="",R1086=""),"",Q1086-R1086)</f>
        <v>0</v>
      </c>
      <c r="T1086">
        <f>IF(COUNT($E$2:$E1086)&lt;14,"",MAX($C$1073:$C$1086))</f>
        <v>0</v>
      </c>
      <c r="U1086">
        <f>IF(COUNT($E$2:$E1086)&lt;14,"",MIN($D$1073:$D$1086))</f>
        <v>0</v>
      </c>
      <c r="V1086">
        <f>IF(OR(T1086="",U1086="",T1086=U1086),"",100*($E1086-U1086)/(T1086-U1086))</f>
        <v>0</v>
      </c>
      <c r="W1086">
        <f>IF(COUNT($V$1084:$V$1086)&lt;3,"",AVERAGE($V$1084:$V$1086))</f>
        <v>0</v>
      </c>
      <c r="X1086">
        <f>IF(COUNT($N$1073:$N$1086)&lt;14,"",MIN($N$1073:$N$1086))</f>
        <v>0</v>
      </c>
      <c r="Y1086">
        <f>IF(COUNT($N$1073:$N$1086)&lt;14,"",MAX($N$1073:$N$1086))</f>
        <v>0</v>
      </c>
      <c r="Z1086">
        <f>IF(OR(N1086="",X1086="",Y1086="",Y1086=X1086),"",100*(N1086-X1086)/(Y1086-X1086))</f>
        <v>0</v>
      </c>
      <c r="AA1086">
        <f>IF(COUNT($Z$1084:$Z$1086)&lt;3,"",AVERAGE($Z$1084:$Z$1086))</f>
        <v>0</v>
      </c>
      <c r="AB1086">
        <f>IF(COUNT($AA$1084:$AA$1086)&lt;3,"",AVERAGE($AA$1084:$AA$1086))</f>
        <v>0</v>
      </c>
      <c r="AC1086">
        <f>IF($E1086="","",MAX($C1086-$D1086,ABS($C1086-$E1085),ABS($D1086-$E1085)))</f>
        <v>0</v>
      </c>
      <c r="AD1086">
        <f>IF(COUNT($E$2:$E1086)&lt;15,"",AVERAGE($AC$1073:$AC$1086))</f>
        <v>0</v>
      </c>
      <c r="AE1086">
        <f>IF(OR($E1086="",$E1085=""),"",IF(AND(($C1086-$C1085)&gt;($D1085-$D1086),($C1086-$C1085)&gt;0),$C1086-$C1085,0))</f>
        <v>0</v>
      </c>
      <c r="AF1086">
        <f>IF(OR($E1086="",$E1085=""),"",IF(AND(($D1085-$D1086)&gt;($C1086-$C1085),($D1085-$D1086)&gt;0),$D1085-$D1086,0))</f>
        <v>0</v>
      </c>
      <c r="AG1086">
        <f>IF(COUNT($E$2:$E1086)&lt;15,"",IF(SUM($AC$1073:$AC$1086)=0,0,100*SUM($AE$1073:$AE$1086)/SUM($AC$1073:$AC$1086)))</f>
        <v>0</v>
      </c>
      <c r="AH1086">
        <f>IF(COUNT($E$2:$E1086)&lt;15,"",IF(SUM($AC$1073:$AC$1086)=0,0,100*SUM($AF$1073:$AF$1086)/SUM($AC$1073:$AC$1086)))</f>
        <v>0</v>
      </c>
      <c r="AI1086">
        <f>IF(OR(AG1086="",AH1086=""),"",IF((AG1086+AH1086)=0,0,100*ABS(AG1086-AH1086)/(AG1086+AH1086)))</f>
        <v>0</v>
      </c>
      <c r="AJ1086">
        <f>IF(COUNT($AI$1073:$AI$1086)&lt;14,"",AVERAGE($AI$1073:$AI$1086))</f>
        <v>0</v>
      </c>
      <c r="AK1086">
        <f>IF(COUNT($E$2:$E1086)&lt;20,"",AVERAGE($E$1067:$E$1086))</f>
        <v>0</v>
      </c>
      <c r="AL1086">
        <f>IF(COUNT($E$2:$E1086)&lt;20,"",STDEVP($E$1067:$E$1086))</f>
        <v>0</v>
      </c>
      <c r="AM1086">
        <f>IF(AK1086="","",AK1086+2*AL1086)</f>
        <v>0</v>
      </c>
      <c r="AN1086">
        <f>IF(AK1086="","",AK1086-2*AL1086)</f>
        <v>0</v>
      </c>
      <c r="AO1086">
        <f>IF(OR(AM1086="",AN1086="",AM1086=AN1086),"",($E1086-AN1086)/(AM1086-AN1086))</f>
        <v>0</v>
      </c>
      <c r="AP1086">
        <f>IF(OR(AM1086="",AK1086="",AK1086=0),"",(AM1086-AN1086)/AK1086)</f>
        <v>0</v>
      </c>
      <c r="AQ1086">
        <f>IF(COUNT($E$2:$E1086)&lt;20,"",MAX($C$1067:$C$1086))</f>
        <v>0</v>
      </c>
      <c r="AR1086">
        <f>IF(COUNT($E$2:$E1086)&lt;20,"",MIN($D$1067:$D$1086))</f>
        <v>0</v>
      </c>
      <c r="AS1086">
        <f>IF(OR(AQ1086="",AR1086=""),"",(AQ1086+AR1086)/2)</f>
        <v>0</v>
      </c>
      <c r="AT1086">
        <f>IF(COUNT($G$1067:$G$1086)&lt;20,"",STDEV($G$1067:$G$1086)*SQRT(252))</f>
        <v>0</v>
      </c>
      <c r="AU1086">
        <f>IF(COUNT($E$2:$E1086)&lt;9,"",(MAX($C$1078:$C$1086)+MIN($D$1078:$D$1086))/2)</f>
        <v>0</v>
      </c>
      <c r="AV1086">
        <f>IF(COUNT($E$2:$E1086)&lt;26,"",(MAX($C$1061:$C$1086)+MIN($D$1061:$D$1086))/2)</f>
        <v>0</v>
      </c>
      <c r="AW1086">
        <f>IF(OR(AU1086="",AV1086=""),"",(AU1086+AV1086)/2)</f>
        <v>0</v>
      </c>
      <c r="AX1086">
        <f>IF(COUNT($E$2:$E1086)&lt;52,"",(MAX($C$1035:$C$1086)+MIN($D$1035:$D$1086))/2)</f>
        <v>0</v>
      </c>
      <c r="AY1086">
        <f>IF(COUNT($E$2:$E1086)&lt;20,"",MAX($C$987:$C$1086))</f>
        <v>0</v>
      </c>
      <c r="AZ1086">
        <f>IF(COUNT($E$2:$E1086)&lt;20,"",MIN($D$987:$D$1086))</f>
        <v>0</v>
      </c>
      <c r="BA1086">
        <f>IF(COUNT($E$2:$E1086)&lt;20,"",SLOPE($E$987:$E$1086,$F$987:$F$1086))</f>
        <v>0</v>
      </c>
      <c r="BB1086">
        <f>IF(COUNT($E$2:$E1086)&lt;20,"",INTERCEPT($E$987:$E$1086,$F$987:$F$1086))</f>
        <v>0</v>
      </c>
      <c r="BC1086">
        <f>IF(OR(BA1086="",BB1086=""),"",BB1086+BA1086*F1086)</f>
        <v>0</v>
      </c>
      <c r="BD1086">
        <f>IF(COUNT($E$2:$E1086)&lt;20,"",STEYX($E$987:$E$1086,$F$987:$F$1086))</f>
        <v>0</v>
      </c>
      <c r="BE1086">
        <f>IF($E1086="","",IF(AND(COUNT($E$1087:$E$1090)&gt;=4,$C1086=MAX($C$1082:$C$1090)),$C1086,""))</f>
        <v>0</v>
      </c>
      <c r="BF1086">
        <f>IF($E1086="","",IF(AND(COUNT($E$1087:$E$1090)&gt;=4,$D1086=MIN($D$1082:$D$1090)),$D1086,""))</f>
        <v>0</v>
      </c>
      <c r="BG1086">
        <f>IF($A1086="","",$A1086-WEEKDAY($A1086,2)+1)</f>
        <v>0</v>
      </c>
      <c r="BH1086">
        <f>IF($A1086="","",IF($A1085="",1,IF(BG1086&lt;&gt;BG1085,1,0)))</f>
        <v>0</v>
      </c>
      <c r="BI1086">
        <f>IF($A1086="","",IF($A1087="",1,IF(BG1087&lt;&gt;BG1086,1,0)))</f>
        <v>0</v>
      </c>
      <c r="BJ1086">
        <f>IF($A1086="","",IF(BH1086=1,$B1086,BJ1085))</f>
        <v>0</v>
      </c>
      <c r="BK1086">
        <f>IF($A1086="","",IF(BH1086=1,$C1086,MAX($C1086,BK1085)))</f>
        <v>0</v>
      </c>
      <c r="BL1086">
        <f>IF($A1086="","",IF(BH1086=1,$D1086,MIN($D1086,BL1085)))</f>
        <v>0</v>
      </c>
      <c r="BM1086">
        <f>IF($A1086="","",IF(BI1086=1,F1086,""))</f>
        <v>0</v>
      </c>
      <c r="BN1086">
        <f>IF($A1086="","",DATE(YEAR($A1086),MONTH($A1086),1))</f>
        <v>0</v>
      </c>
      <c r="BO1086">
        <f>IF($A1086="","",IF($A1085="",1,IF(BN1086&lt;&gt;BN1085,1,0)))</f>
        <v>0</v>
      </c>
      <c r="BP1086">
        <f>IF($A1086="","",IF($A1087="",1,IF(BN1087&lt;&gt;BN1086,1,0)))</f>
        <v>0</v>
      </c>
      <c r="BQ1086">
        <f>IF($A1086="","",IF(BO1086=1,$B1086,BQ1085))</f>
        <v>0</v>
      </c>
      <c r="BR1086">
        <f>IF($A1086="","",IF(BO1086=1,$C1086,MAX($C1086,BR1085)))</f>
        <v>0</v>
      </c>
      <c r="BS1086">
        <f>IF($A1086="","",IF(BO1086=1,$D1086,MIN($D1086,BS1085)))</f>
        <v>0</v>
      </c>
      <c r="BT1086">
        <f>IF($A1086="","",IF(BP1086=1,F1086,""))</f>
        <v>0</v>
      </c>
    </row>
    <row r="1087" spans="1:72">
      <c r="A1087" s="27">
        <f>IF(Data!$A1087="","",Data!$A1087)</f>
        <v>0</v>
      </c>
      <c r="B1087">
        <f>IF(Data!$B1087="","",Data!$B1087)</f>
        <v>0</v>
      </c>
      <c r="C1087">
        <f>IF(Data!$C1087="","",Data!$C1087)</f>
        <v>0</v>
      </c>
      <c r="D1087">
        <f>IF(Data!$D1087="","",Data!$D1087)</f>
        <v>0</v>
      </c>
      <c r="E1087">
        <f>IF(Data!$E1087="","",Data!$E1087)</f>
        <v>0</v>
      </c>
      <c r="F1087">
        <f>IF($E1087="","",N(F1086)+1)</f>
        <v>0</v>
      </c>
      <c r="G1087">
        <f>IF(OR($E1087="",$E1086=""),"",LN($E1087/$E1086))</f>
        <v>0</v>
      </c>
      <c r="H1087">
        <f>IF($E1087="","",IF($E1086="",$E1087,$E1087*0.0952380952+H1086*0.9047619048))</f>
        <v>0</v>
      </c>
      <c r="I1087">
        <f>IF($E1087="","",IF($E1086="",$E1087,$E1087*0.0392156863+I1086*0.9607843137))</f>
        <v>0</v>
      </c>
      <c r="J1087">
        <f>IF($E1087="","",IF($E1086="",$E1087,$E1087*0.0198019802+J1086*0.9801980198))</f>
        <v>0</v>
      </c>
      <c r="K1087">
        <f>IF($E1087="","",IF($E1086="",$E1087,$E1087*0.0099502488+K1086*0.9900497512))</f>
        <v>0</v>
      </c>
      <c r="L1087">
        <f>IF(OR($E1087="",$E1086=""),"",MAX($E1087-$E1086,0))</f>
        <v>0</v>
      </c>
      <c r="M1087">
        <f>IF(OR($E1087="",$E1086=""),"",MAX($E1086-$E1087,0))</f>
        <v>0</v>
      </c>
      <c r="N1087">
        <f>IF(COUNT($E$2:$E1087)&lt;15,"",IF(AVERAGE($M$1074:$M$1087)=0,100,100-100/(1+AVERAGE($L$1074:$L$1087)/AVERAGE($M$1074:$M$1087))))</f>
        <v>0</v>
      </c>
      <c r="O1087">
        <f>IF($E1087="","",IF($E1086="",$E1087,$E1087*0.1538461538+O1086*0.8461538462))</f>
        <v>0</v>
      </c>
      <c r="P1087">
        <f>IF($E1087="","",IF($E1086="",$E1087,$E1087*0.0740740741+P1086*0.9259259259))</f>
        <v>0</v>
      </c>
      <c r="Q1087">
        <f>IF(OR(O1087="",P1087=""),"",O1087-P1087)</f>
        <v>0</v>
      </c>
      <c r="R1087">
        <f>IF(Q1087="","",IF(R1086="",Q1087,Q1087*0.2000000000+R1086*0.8000000000))</f>
        <v>0</v>
      </c>
      <c r="S1087">
        <f>IF(OR(Q1087="",R1087=""),"",Q1087-R1087)</f>
        <v>0</v>
      </c>
      <c r="T1087">
        <f>IF(COUNT($E$2:$E1087)&lt;14,"",MAX($C$1074:$C$1087))</f>
        <v>0</v>
      </c>
      <c r="U1087">
        <f>IF(COUNT($E$2:$E1087)&lt;14,"",MIN($D$1074:$D$1087))</f>
        <v>0</v>
      </c>
      <c r="V1087">
        <f>IF(OR(T1087="",U1087="",T1087=U1087),"",100*($E1087-U1087)/(T1087-U1087))</f>
        <v>0</v>
      </c>
      <c r="W1087">
        <f>IF(COUNT($V$1085:$V$1087)&lt;3,"",AVERAGE($V$1085:$V$1087))</f>
        <v>0</v>
      </c>
      <c r="X1087">
        <f>IF(COUNT($N$1074:$N$1087)&lt;14,"",MIN($N$1074:$N$1087))</f>
        <v>0</v>
      </c>
      <c r="Y1087">
        <f>IF(COUNT($N$1074:$N$1087)&lt;14,"",MAX($N$1074:$N$1087))</f>
        <v>0</v>
      </c>
      <c r="Z1087">
        <f>IF(OR(N1087="",X1087="",Y1087="",Y1087=X1087),"",100*(N1087-X1087)/(Y1087-X1087))</f>
        <v>0</v>
      </c>
      <c r="AA1087">
        <f>IF(COUNT($Z$1085:$Z$1087)&lt;3,"",AVERAGE($Z$1085:$Z$1087))</f>
        <v>0</v>
      </c>
      <c r="AB1087">
        <f>IF(COUNT($AA$1085:$AA$1087)&lt;3,"",AVERAGE($AA$1085:$AA$1087))</f>
        <v>0</v>
      </c>
      <c r="AC1087">
        <f>IF($E1087="","",MAX($C1087-$D1087,ABS($C1087-$E1086),ABS($D1087-$E1086)))</f>
        <v>0</v>
      </c>
      <c r="AD1087">
        <f>IF(COUNT($E$2:$E1087)&lt;15,"",AVERAGE($AC$1074:$AC$1087))</f>
        <v>0</v>
      </c>
      <c r="AE1087">
        <f>IF(OR($E1087="",$E1086=""),"",IF(AND(($C1087-$C1086)&gt;($D1086-$D1087),($C1087-$C1086)&gt;0),$C1087-$C1086,0))</f>
        <v>0</v>
      </c>
      <c r="AF1087">
        <f>IF(OR($E1087="",$E1086=""),"",IF(AND(($D1086-$D1087)&gt;($C1087-$C1086),($D1086-$D1087)&gt;0),$D1086-$D1087,0))</f>
        <v>0</v>
      </c>
      <c r="AG1087">
        <f>IF(COUNT($E$2:$E1087)&lt;15,"",IF(SUM($AC$1074:$AC$1087)=0,0,100*SUM($AE$1074:$AE$1087)/SUM($AC$1074:$AC$1087)))</f>
        <v>0</v>
      </c>
      <c r="AH1087">
        <f>IF(COUNT($E$2:$E1087)&lt;15,"",IF(SUM($AC$1074:$AC$1087)=0,0,100*SUM($AF$1074:$AF$1087)/SUM($AC$1074:$AC$1087)))</f>
        <v>0</v>
      </c>
      <c r="AI1087">
        <f>IF(OR(AG1087="",AH1087=""),"",IF((AG1087+AH1087)=0,0,100*ABS(AG1087-AH1087)/(AG1087+AH1087)))</f>
        <v>0</v>
      </c>
      <c r="AJ1087">
        <f>IF(COUNT($AI$1074:$AI$1087)&lt;14,"",AVERAGE($AI$1074:$AI$1087))</f>
        <v>0</v>
      </c>
      <c r="AK1087">
        <f>IF(COUNT($E$2:$E1087)&lt;20,"",AVERAGE($E$1068:$E$1087))</f>
        <v>0</v>
      </c>
      <c r="AL1087">
        <f>IF(COUNT($E$2:$E1087)&lt;20,"",STDEVP($E$1068:$E$1087))</f>
        <v>0</v>
      </c>
      <c r="AM1087">
        <f>IF(AK1087="","",AK1087+2*AL1087)</f>
        <v>0</v>
      </c>
      <c r="AN1087">
        <f>IF(AK1087="","",AK1087-2*AL1087)</f>
        <v>0</v>
      </c>
      <c r="AO1087">
        <f>IF(OR(AM1087="",AN1087="",AM1087=AN1087),"",($E1087-AN1087)/(AM1087-AN1087))</f>
        <v>0</v>
      </c>
      <c r="AP1087">
        <f>IF(OR(AM1087="",AK1087="",AK1087=0),"",(AM1087-AN1087)/AK1087)</f>
        <v>0</v>
      </c>
      <c r="AQ1087">
        <f>IF(COUNT($E$2:$E1087)&lt;20,"",MAX($C$1068:$C$1087))</f>
        <v>0</v>
      </c>
      <c r="AR1087">
        <f>IF(COUNT($E$2:$E1087)&lt;20,"",MIN($D$1068:$D$1087))</f>
        <v>0</v>
      </c>
      <c r="AS1087">
        <f>IF(OR(AQ1087="",AR1087=""),"",(AQ1087+AR1087)/2)</f>
        <v>0</v>
      </c>
      <c r="AT1087">
        <f>IF(COUNT($G$1068:$G$1087)&lt;20,"",STDEV($G$1068:$G$1087)*SQRT(252))</f>
        <v>0</v>
      </c>
      <c r="AU1087">
        <f>IF(COUNT($E$2:$E1087)&lt;9,"",(MAX($C$1079:$C$1087)+MIN($D$1079:$D$1087))/2)</f>
        <v>0</v>
      </c>
      <c r="AV1087">
        <f>IF(COUNT($E$2:$E1087)&lt;26,"",(MAX($C$1062:$C$1087)+MIN($D$1062:$D$1087))/2)</f>
        <v>0</v>
      </c>
      <c r="AW1087">
        <f>IF(OR(AU1087="",AV1087=""),"",(AU1087+AV1087)/2)</f>
        <v>0</v>
      </c>
      <c r="AX1087">
        <f>IF(COUNT($E$2:$E1087)&lt;52,"",(MAX($C$1036:$C$1087)+MIN($D$1036:$D$1087))/2)</f>
        <v>0</v>
      </c>
      <c r="AY1087">
        <f>IF(COUNT($E$2:$E1087)&lt;20,"",MAX($C$988:$C$1087))</f>
        <v>0</v>
      </c>
      <c r="AZ1087">
        <f>IF(COUNT($E$2:$E1087)&lt;20,"",MIN($D$988:$D$1087))</f>
        <v>0</v>
      </c>
      <c r="BA1087">
        <f>IF(COUNT($E$2:$E1087)&lt;20,"",SLOPE($E$988:$E$1087,$F$988:$F$1087))</f>
        <v>0</v>
      </c>
      <c r="BB1087">
        <f>IF(COUNT($E$2:$E1087)&lt;20,"",INTERCEPT($E$988:$E$1087,$F$988:$F$1087))</f>
        <v>0</v>
      </c>
      <c r="BC1087">
        <f>IF(OR(BA1087="",BB1087=""),"",BB1087+BA1087*F1087)</f>
        <v>0</v>
      </c>
      <c r="BD1087">
        <f>IF(COUNT($E$2:$E1087)&lt;20,"",STEYX($E$988:$E$1087,$F$988:$F$1087))</f>
        <v>0</v>
      </c>
      <c r="BE1087">
        <f>IF($E1087="","",IF(AND(COUNT($E$1088:$E$1091)&gt;=4,$C1087=MAX($C$1083:$C$1091)),$C1087,""))</f>
        <v>0</v>
      </c>
      <c r="BF1087">
        <f>IF($E1087="","",IF(AND(COUNT($E$1088:$E$1091)&gt;=4,$D1087=MIN($D$1083:$D$1091)),$D1087,""))</f>
        <v>0</v>
      </c>
      <c r="BG1087">
        <f>IF($A1087="","",$A1087-WEEKDAY($A1087,2)+1)</f>
        <v>0</v>
      </c>
      <c r="BH1087">
        <f>IF($A1087="","",IF($A1086="",1,IF(BG1087&lt;&gt;BG1086,1,0)))</f>
        <v>0</v>
      </c>
      <c r="BI1087">
        <f>IF($A1087="","",IF($A1088="",1,IF(BG1088&lt;&gt;BG1087,1,0)))</f>
        <v>0</v>
      </c>
      <c r="BJ1087">
        <f>IF($A1087="","",IF(BH1087=1,$B1087,BJ1086))</f>
        <v>0</v>
      </c>
      <c r="BK1087">
        <f>IF($A1087="","",IF(BH1087=1,$C1087,MAX($C1087,BK1086)))</f>
        <v>0</v>
      </c>
      <c r="BL1087">
        <f>IF($A1087="","",IF(BH1087=1,$D1087,MIN($D1087,BL1086)))</f>
        <v>0</v>
      </c>
      <c r="BM1087">
        <f>IF($A1087="","",IF(BI1087=1,F1087,""))</f>
        <v>0</v>
      </c>
      <c r="BN1087">
        <f>IF($A1087="","",DATE(YEAR($A1087),MONTH($A1087),1))</f>
        <v>0</v>
      </c>
      <c r="BO1087">
        <f>IF($A1087="","",IF($A1086="",1,IF(BN1087&lt;&gt;BN1086,1,0)))</f>
        <v>0</v>
      </c>
      <c r="BP1087">
        <f>IF($A1087="","",IF($A1088="",1,IF(BN1088&lt;&gt;BN1087,1,0)))</f>
        <v>0</v>
      </c>
      <c r="BQ1087">
        <f>IF($A1087="","",IF(BO1087=1,$B1087,BQ1086))</f>
        <v>0</v>
      </c>
      <c r="BR1087">
        <f>IF($A1087="","",IF(BO1087=1,$C1087,MAX($C1087,BR1086)))</f>
        <v>0</v>
      </c>
      <c r="BS1087">
        <f>IF($A1087="","",IF(BO1087=1,$D1087,MIN($D1087,BS1086)))</f>
        <v>0</v>
      </c>
      <c r="BT1087">
        <f>IF($A1087="","",IF(BP1087=1,F1087,""))</f>
        <v>0</v>
      </c>
    </row>
    <row r="1088" spans="1:72">
      <c r="A1088" s="27">
        <f>IF(Data!$A1088="","",Data!$A1088)</f>
        <v>0</v>
      </c>
      <c r="B1088">
        <f>IF(Data!$B1088="","",Data!$B1088)</f>
        <v>0</v>
      </c>
      <c r="C1088">
        <f>IF(Data!$C1088="","",Data!$C1088)</f>
        <v>0</v>
      </c>
      <c r="D1088">
        <f>IF(Data!$D1088="","",Data!$D1088)</f>
        <v>0</v>
      </c>
      <c r="E1088">
        <f>IF(Data!$E1088="","",Data!$E1088)</f>
        <v>0</v>
      </c>
      <c r="F1088">
        <f>IF($E1088="","",N(F1087)+1)</f>
        <v>0</v>
      </c>
      <c r="G1088">
        <f>IF(OR($E1088="",$E1087=""),"",LN($E1088/$E1087))</f>
        <v>0</v>
      </c>
      <c r="H1088">
        <f>IF($E1088="","",IF($E1087="",$E1088,$E1088*0.0952380952+H1087*0.9047619048))</f>
        <v>0</v>
      </c>
      <c r="I1088">
        <f>IF($E1088="","",IF($E1087="",$E1088,$E1088*0.0392156863+I1087*0.9607843137))</f>
        <v>0</v>
      </c>
      <c r="J1088">
        <f>IF($E1088="","",IF($E1087="",$E1088,$E1088*0.0198019802+J1087*0.9801980198))</f>
        <v>0</v>
      </c>
      <c r="K1088">
        <f>IF($E1088="","",IF($E1087="",$E1088,$E1088*0.0099502488+K1087*0.9900497512))</f>
        <v>0</v>
      </c>
      <c r="L1088">
        <f>IF(OR($E1088="",$E1087=""),"",MAX($E1088-$E1087,0))</f>
        <v>0</v>
      </c>
      <c r="M1088">
        <f>IF(OR($E1088="",$E1087=""),"",MAX($E1087-$E1088,0))</f>
        <v>0</v>
      </c>
      <c r="N1088">
        <f>IF(COUNT($E$2:$E1088)&lt;15,"",IF(AVERAGE($M$1075:$M$1088)=0,100,100-100/(1+AVERAGE($L$1075:$L$1088)/AVERAGE($M$1075:$M$1088))))</f>
        <v>0</v>
      </c>
      <c r="O1088">
        <f>IF($E1088="","",IF($E1087="",$E1088,$E1088*0.1538461538+O1087*0.8461538462))</f>
        <v>0</v>
      </c>
      <c r="P1088">
        <f>IF($E1088="","",IF($E1087="",$E1088,$E1088*0.0740740741+P1087*0.9259259259))</f>
        <v>0</v>
      </c>
      <c r="Q1088">
        <f>IF(OR(O1088="",P1088=""),"",O1088-P1088)</f>
        <v>0</v>
      </c>
      <c r="R1088">
        <f>IF(Q1088="","",IF(R1087="",Q1088,Q1088*0.2000000000+R1087*0.8000000000))</f>
        <v>0</v>
      </c>
      <c r="S1088">
        <f>IF(OR(Q1088="",R1088=""),"",Q1088-R1088)</f>
        <v>0</v>
      </c>
      <c r="T1088">
        <f>IF(COUNT($E$2:$E1088)&lt;14,"",MAX($C$1075:$C$1088))</f>
        <v>0</v>
      </c>
      <c r="U1088">
        <f>IF(COUNT($E$2:$E1088)&lt;14,"",MIN($D$1075:$D$1088))</f>
        <v>0</v>
      </c>
      <c r="V1088">
        <f>IF(OR(T1088="",U1088="",T1088=U1088),"",100*($E1088-U1088)/(T1088-U1088))</f>
        <v>0</v>
      </c>
      <c r="W1088">
        <f>IF(COUNT($V$1086:$V$1088)&lt;3,"",AVERAGE($V$1086:$V$1088))</f>
        <v>0</v>
      </c>
      <c r="X1088">
        <f>IF(COUNT($N$1075:$N$1088)&lt;14,"",MIN($N$1075:$N$1088))</f>
        <v>0</v>
      </c>
      <c r="Y1088">
        <f>IF(COUNT($N$1075:$N$1088)&lt;14,"",MAX($N$1075:$N$1088))</f>
        <v>0</v>
      </c>
      <c r="Z1088">
        <f>IF(OR(N1088="",X1088="",Y1088="",Y1088=X1088),"",100*(N1088-X1088)/(Y1088-X1088))</f>
        <v>0</v>
      </c>
      <c r="AA1088">
        <f>IF(COUNT($Z$1086:$Z$1088)&lt;3,"",AVERAGE($Z$1086:$Z$1088))</f>
        <v>0</v>
      </c>
      <c r="AB1088">
        <f>IF(COUNT($AA$1086:$AA$1088)&lt;3,"",AVERAGE($AA$1086:$AA$1088))</f>
        <v>0</v>
      </c>
      <c r="AC1088">
        <f>IF($E1088="","",MAX($C1088-$D1088,ABS($C1088-$E1087),ABS($D1088-$E1087)))</f>
        <v>0</v>
      </c>
      <c r="AD1088">
        <f>IF(COUNT($E$2:$E1088)&lt;15,"",AVERAGE($AC$1075:$AC$1088))</f>
        <v>0</v>
      </c>
      <c r="AE1088">
        <f>IF(OR($E1088="",$E1087=""),"",IF(AND(($C1088-$C1087)&gt;($D1087-$D1088),($C1088-$C1087)&gt;0),$C1088-$C1087,0))</f>
        <v>0</v>
      </c>
      <c r="AF1088">
        <f>IF(OR($E1088="",$E1087=""),"",IF(AND(($D1087-$D1088)&gt;($C1088-$C1087),($D1087-$D1088)&gt;0),$D1087-$D1088,0))</f>
        <v>0</v>
      </c>
      <c r="AG1088">
        <f>IF(COUNT($E$2:$E1088)&lt;15,"",IF(SUM($AC$1075:$AC$1088)=0,0,100*SUM($AE$1075:$AE$1088)/SUM($AC$1075:$AC$1088)))</f>
        <v>0</v>
      </c>
      <c r="AH1088">
        <f>IF(COUNT($E$2:$E1088)&lt;15,"",IF(SUM($AC$1075:$AC$1088)=0,0,100*SUM($AF$1075:$AF$1088)/SUM($AC$1075:$AC$1088)))</f>
        <v>0</v>
      </c>
      <c r="AI1088">
        <f>IF(OR(AG1088="",AH1088=""),"",IF((AG1088+AH1088)=0,0,100*ABS(AG1088-AH1088)/(AG1088+AH1088)))</f>
        <v>0</v>
      </c>
      <c r="AJ1088">
        <f>IF(COUNT($AI$1075:$AI$1088)&lt;14,"",AVERAGE($AI$1075:$AI$1088))</f>
        <v>0</v>
      </c>
      <c r="AK1088">
        <f>IF(COUNT($E$2:$E1088)&lt;20,"",AVERAGE($E$1069:$E$1088))</f>
        <v>0</v>
      </c>
      <c r="AL1088">
        <f>IF(COUNT($E$2:$E1088)&lt;20,"",STDEVP($E$1069:$E$1088))</f>
        <v>0</v>
      </c>
      <c r="AM1088">
        <f>IF(AK1088="","",AK1088+2*AL1088)</f>
        <v>0</v>
      </c>
      <c r="AN1088">
        <f>IF(AK1088="","",AK1088-2*AL1088)</f>
        <v>0</v>
      </c>
      <c r="AO1088">
        <f>IF(OR(AM1088="",AN1088="",AM1088=AN1088),"",($E1088-AN1088)/(AM1088-AN1088))</f>
        <v>0</v>
      </c>
      <c r="AP1088">
        <f>IF(OR(AM1088="",AK1088="",AK1088=0),"",(AM1088-AN1088)/AK1088)</f>
        <v>0</v>
      </c>
      <c r="AQ1088">
        <f>IF(COUNT($E$2:$E1088)&lt;20,"",MAX($C$1069:$C$1088))</f>
        <v>0</v>
      </c>
      <c r="AR1088">
        <f>IF(COUNT($E$2:$E1088)&lt;20,"",MIN($D$1069:$D$1088))</f>
        <v>0</v>
      </c>
      <c r="AS1088">
        <f>IF(OR(AQ1088="",AR1088=""),"",(AQ1088+AR1088)/2)</f>
        <v>0</v>
      </c>
      <c r="AT1088">
        <f>IF(COUNT($G$1069:$G$1088)&lt;20,"",STDEV($G$1069:$G$1088)*SQRT(252))</f>
        <v>0</v>
      </c>
      <c r="AU1088">
        <f>IF(COUNT($E$2:$E1088)&lt;9,"",(MAX($C$1080:$C$1088)+MIN($D$1080:$D$1088))/2)</f>
        <v>0</v>
      </c>
      <c r="AV1088">
        <f>IF(COUNT($E$2:$E1088)&lt;26,"",(MAX($C$1063:$C$1088)+MIN($D$1063:$D$1088))/2)</f>
        <v>0</v>
      </c>
      <c r="AW1088">
        <f>IF(OR(AU1088="",AV1088=""),"",(AU1088+AV1088)/2)</f>
        <v>0</v>
      </c>
      <c r="AX1088">
        <f>IF(COUNT($E$2:$E1088)&lt;52,"",(MAX($C$1037:$C$1088)+MIN($D$1037:$D$1088))/2)</f>
        <v>0</v>
      </c>
      <c r="AY1088">
        <f>IF(COUNT($E$2:$E1088)&lt;20,"",MAX($C$989:$C$1088))</f>
        <v>0</v>
      </c>
      <c r="AZ1088">
        <f>IF(COUNT($E$2:$E1088)&lt;20,"",MIN($D$989:$D$1088))</f>
        <v>0</v>
      </c>
      <c r="BA1088">
        <f>IF(COUNT($E$2:$E1088)&lt;20,"",SLOPE($E$989:$E$1088,$F$989:$F$1088))</f>
        <v>0</v>
      </c>
      <c r="BB1088">
        <f>IF(COUNT($E$2:$E1088)&lt;20,"",INTERCEPT($E$989:$E$1088,$F$989:$F$1088))</f>
        <v>0</v>
      </c>
      <c r="BC1088">
        <f>IF(OR(BA1088="",BB1088=""),"",BB1088+BA1088*F1088)</f>
        <v>0</v>
      </c>
      <c r="BD1088">
        <f>IF(COUNT($E$2:$E1088)&lt;20,"",STEYX($E$989:$E$1088,$F$989:$F$1088))</f>
        <v>0</v>
      </c>
      <c r="BE1088">
        <f>IF($E1088="","",IF(AND(COUNT($E$1089:$E$1092)&gt;=4,$C1088=MAX($C$1084:$C$1092)),$C1088,""))</f>
        <v>0</v>
      </c>
      <c r="BF1088">
        <f>IF($E1088="","",IF(AND(COUNT($E$1089:$E$1092)&gt;=4,$D1088=MIN($D$1084:$D$1092)),$D1088,""))</f>
        <v>0</v>
      </c>
      <c r="BG1088">
        <f>IF($A1088="","",$A1088-WEEKDAY($A1088,2)+1)</f>
        <v>0</v>
      </c>
      <c r="BH1088">
        <f>IF($A1088="","",IF($A1087="",1,IF(BG1088&lt;&gt;BG1087,1,0)))</f>
        <v>0</v>
      </c>
      <c r="BI1088">
        <f>IF($A1088="","",IF($A1089="",1,IF(BG1089&lt;&gt;BG1088,1,0)))</f>
        <v>0</v>
      </c>
      <c r="BJ1088">
        <f>IF($A1088="","",IF(BH1088=1,$B1088,BJ1087))</f>
        <v>0</v>
      </c>
      <c r="BK1088">
        <f>IF($A1088="","",IF(BH1088=1,$C1088,MAX($C1088,BK1087)))</f>
        <v>0</v>
      </c>
      <c r="BL1088">
        <f>IF($A1088="","",IF(BH1088=1,$D1088,MIN($D1088,BL1087)))</f>
        <v>0</v>
      </c>
      <c r="BM1088">
        <f>IF($A1088="","",IF(BI1088=1,F1088,""))</f>
        <v>0</v>
      </c>
      <c r="BN1088">
        <f>IF($A1088="","",DATE(YEAR($A1088),MONTH($A1088),1))</f>
        <v>0</v>
      </c>
      <c r="BO1088">
        <f>IF($A1088="","",IF($A1087="",1,IF(BN1088&lt;&gt;BN1087,1,0)))</f>
        <v>0</v>
      </c>
      <c r="BP1088">
        <f>IF($A1088="","",IF($A1089="",1,IF(BN1089&lt;&gt;BN1088,1,0)))</f>
        <v>0</v>
      </c>
      <c r="BQ1088">
        <f>IF($A1088="","",IF(BO1088=1,$B1088,BQ1087))</f>
        <v>0</v>
      </c>
      <c r="BR1088">
        <f>IF($A1088="","",IF(BO1088=1,$C1088,MAX($C1088,BR1087)))</f>
        <v>0</v>
      </c>
      <c r="BS1088">
        <f>IF($A1088="","",IF(BO1088=1,$D1088,MIN($D1088,BS1087)))</f>
        <v>0</v>
      </c>
      <c r="BT1088">
        <f>IF($A1088="","",IF(BP1088=1,F1088,""))</f>
        <v>0</v>
      </c>
    </row>
    <row r="1089" spans="1:72">
      <c r="A1089" s="27">
        <f>IF(Data!$A1089="","",Data!$A1089)</f>
        <v>0</v>
      </c>
      <c r="B1089">
        <f>IF(Data!$B1089="","",Data!$B1089)</f>
        <v>0</v>
      </c>
      <c r="C1089">
        <f>IF(Data!$C1089="","",Data!$C1089)</f>
        <v>0</v>
      </c>
      <c r="D1089">
        <f>IF(Data!$D1089="","",Data!$D1089)</f>
        <v>0</v>
      </c>
      <c r="E1089">
        <f>IF(Data!$E1089="","",Data!$E1089)</f>
        <v>0</v>
      </c>
      <c r="F1089">
        <f>IF($E1089="","",N(F1088)+1)</f>
        <v>0</v>
      </c>
      <c r="G1089">
        <f>IF(OR($E1089="",$E1088=""),"",LN($E1089/$E1088))</f>
        <v>0</v>
      </c>
      <c r="H1089">
        <f>IF($E1089="","",IF($E1088="",$E1089,$E1089*0.0952380952+H1088*0.9047619048))</f>
        <v>0</v>
      </c>
      <c r="I1089">
        <f>IF($E1089="","",IF($E1088="",$E1089,$E1089*0.0392156863+I1088*0.9607843137))</f>
        <v>0</v>
      </c>
      <c r="J1089">
        <f>IF($E1089="","",IF($E1088="",$E1089,$E1089*0.0198019802+J1088*0.9801980198))</f>
        <v>0</v>
      </c>
      <c r="K1089">
        <f>IF($E1089="","",IF($E1088="",$E1089,$E1089*0.0099502488+K1088*0.9900497512))</f>
        <v>0</v>
      </c>
      <c r="L1089">
        <f>IF(OR($E1089="",$E1088=""),"",MAX($E1089-$E1088,0))</f>
        <v>0</v>
      </c>
      <c r="M1089">
        <f>IF(OR($E1089="",$E1088=""),"",MAX($E1088-$E1089,0))</f>
        <v>0</v>
      </c>
      <c r="N1089">
        <f>IF(COUNT($E$2:$E1089)&lt;15,"",IF(AVERAGE($M$1076:$M$1089)=0,100,100-100/(1+AVERAGE($L$1076:$L$1089)/AVERAGE($M$1076:$M$1089))))</f>
        <v>0</v>
      </c>
      <c r="O1089">
        <f>IF($E1089="","",IF($E1088="",$E1089,$E1089*0.1538461538+O1088*0.8461538462))</f>
        <v>0</v>
      </c>
      <c r="P1089">
        <f>IF($E1089="","",IF($E1088="",$E1089,$E1089*0.0740740741+P1088*0.9259259259))</f>
        <v>0</v>
      </c>
      <c r="Q1089">
        <f>IF(OR(O1089="",P1089=""),"",O1089-P1089)</f>
        <v>0</v>
      </c>
      <c r="R1089">
        <f>IF(Q1089="","",IF(R1088="",Q1089,Q1089*0.2000000000+R1088*0.8000000000))</f>
        <v>0</v>
      </c>
      <c r="S1089">
        <f>IF(OR(Q1089="",R1089=""),"",Q1089-R1089)</f>
        <v>0</v>
      </c>
      <c r="T1089">
        <f>IF(COUNT($E$2:$E1089)&lt;14,"",MAX($C$1076:$C$1089))</f>
        <v>0</v>
      </c>
      <c r="U1089">
        <f>IF(COUNT($E$2:$E1089)&lt;14,"",MIN($D$1076:$D$1089))</f>
        <v>0</v>
      </c>
      <c r="V1089">
        <f>IF(OR(T1089="",U1089="",T1089=U1089),"",100*($E1089-U1089)/(T1089-U1089))</f>
        <v>0</v>
      </c>
      <c r="W1089">
        <f>IF(COUNT($V$1087:$V$1089)&lt;3,"",AVERAGE($V$1087:$V$1089))</f>
        <v>0</v>
      </c>
      <c r="X1089">
        <f>IF(COUNT($N$1076:$N$1089)&lt;14,"",MIN($N$1076:$N$1089))</f>
        <v>0</v>
      </c>
      <c r="Y1089">
        <f>IF(COUNT($N$1076:$N$1089)&lt;14,"",MAX($N$1076:$N$1089))</f>
        <v>0</v>
      </c>
      <c r="Z1089">
        <f>IF(OR(N1089="",X1089="",Y1089="",Y1089=X1089),"",100*(N1089-X1089)/(Y1089-X1089))</f>
        <v>0</v>
      </c>
      <c r="AA1089">
        <f>IF(COUNT($Z$1087:$Z$1089)&lt;3,"",AVERAGE($Z$1087:$Z$1089))</f>
        <v>0</v>
      </c>
      <c r="AB1089">
        <f>IF(COUNT($AA$1087:$AA$1089)&lt;3,"",AVERAGE($AA$1087:$AA$1089))</f>
        <v>0</v>
      </c>
      <c r="AC1089">
        <f>IF($E1089="","",MAX($C1089-$D1089,ABS($C1089-$E1088),ABS($D1089-$E1088)))</f>
        <v>0</v>
      </c>
      <c r="AD1089">
        <f>IF(COUNT($E$2:$E1089)&lt;15,"",AVERAGE($AC$1076:$AC$1089))</f>
        <v>0</v>
      </c>
      <c r="AE1089">
        <f>IF(OR($E1089="",$E1088=""),"",IF(AND(($C1089-$C1088)&gt;($D1088-$D1089),($C1089-$C1088)&gt;0),$C1089-$C1088,0))</f>
        <v>0</v>
      </c>
      <c r="AF1089">
        <f>IF(OR($E1089="",$E1088=""),"",IF(AND(($D1088-$D1089)&gt;($C1089-$C1088),($D1088-$D1089)&gt;0),$D1088-$D1089,0))</f>
        <v>0</v>
      </c>
      <c r="AG1089">
        <f>IF(COUNT($E$2:$E1089)&lt;15,"",IF(SUM($AC$1076:$AC$1089)=0,0,100*SUM($AE$1076:$AE$1089)/SUM($AC$1076:$AC$1089)))</f>
        <v>0</v>
      </c>
      <c r="AH1089">
        <f>IF(COUNT($E$2:$E1089)&lt;15,"",IF(SUM($AC$1076:$AC$1089)=0,0,100*SUM($AF$1076:$AF$1089)/SUM($AC$1076:$AC$1089)))</f>
        <v>0</v>
      </c>
      <c r="AI1089">
        <f>IF(OR(AG1089="",AH1089=""),"",IF((AG1089+AH1089)=0,0,100*ABS(AG1089-AH1089)/(AG1089+AH1089)))</f>
        <v>0</v>
      </c>
      <c r="AJ1089">
        <f>IF(COUNT($AI$1076:$AI$1089)&lt;14,"",AVERAGE($AI$1076:$AI$1089))</f>
        <v>0</v>
      </c>
      <c r="AK1089">
        <f>IF(COUNT($E$2:$E1089)&lt;20,"",AVERAGE($E$1070:$E$1089))</f>
        <v>0</v>
      </c>
      <c r="AL1089">
        <f>IF(COUNT($E$2:$E1089)&lt;20,"",STDEVP($E$1070:$E$1089))</f>
        <v>0</v>
      </c>
      <c r="AM1089">
        <f>IF(AK1089="","",AK1089+2*AL1089)</f>
        <v>0</v>
      </c>
      <c r="AN1089">
        <f>IF(AK1089="","",AK1089-2*AL1089)</f>
        <v>0</v>
      </c>
      <c r="AO1089">
        <f>IF(OR(AM1089="",AN1089="",AM1089=AN1089),"",($E1089-AN1089)/(AM1089-AN1089))</f>
        <v>0</v>
      </c>
      <c r="AP1089">
        <f>IF(OR(AM1089="",AK1089="",AK1089=0),"",(AM1089-AN1089)/AK1089)</f>
        <v>0</v>
      </c>
      <c r="AQ1089">
        <f>IF(COUNT($E$2:$E1089)&lt;20,"",MAX($C$1070:$C$1089))</f>
        <v>0</v>
      </c>
      <c r="AR1089">
        <f>IF(COUNT($E$2:$E1089)&lt;20,"",MIN($D$1070:$D$1089))</f>
        <v>0</v>
      </c>
      <c r="AS1089">
        <f>IF(OR(AQ1089="",AR1089=""),"",(AQ1089+AR1089)/2)</f>
        <v>0</v>
      </c>
      <c r="AT1089">
        <f>IF(COUNT($G$1070:$G$1089)&lt;20,"",STDEV($G$1070:$G$1089)*SQRT(252))</f>
        <v>0</v>
      </c>
      <c r="AU1089">
        <f>IF(COUNT($E$2:$E1089)&lt;9,"",(MAX($C$1081:$C$1089)+MIN($D$1081:$D$1089))/2)</f>
        <v>0</v>
      </c>
      <c r="AV1089">
        <f>IF(COUNT($E$2:$E1089)&lt;26,"",(MAX($C$1064:$C$1089)+MIN($D$1064:$D$1089))/2)</f>
        <v>0</v>
      </c>
      <c r="AW1089">
        <f>IF(OR(AU1089="",AV1089=""),"",(AU1089+AV1089)/2)</f>
        <v>0</v>
      </c>
      <c r="AX1089">
        <f>IF(COUNT($E$2:$E1089)&lt;52,"",(MAX($C$1038:$C$1089)+MIN($D$1038:$D$1089))/2)</f>
        <v>0</v>
      </c>
      <c r="AY1089">
        <f>IF(COUNT($E$2:$E1089)&lt;20,"",MAX($C$990:$C$1089))</f>
        <v>0</v>
      </c>
      <c r="AZ1089">
        <f>IF(COUNT($E$2:$E1089)&lt;20,"",MIN($D$990:$D$1089))</f>
        <v>0</v>
      </c>
      <c r="BA1089">
        <f>IF(COUNT($E$2:$E1089)&lt;20,"",SLOPE($E$990:$E$1089,$F$990:$F$1089))</f>
        <v>0</v>
      </c>
      <c r="BB1089">
        <f>IF(COUNT($E$2:$E1089)&lt;20,"",INTERCEPT($E$990:$E$1089,$F$990:$F$1089))</f>
        <v>0</v>
      </c>
      <c r="BC1089">
        <f>IF(OR(BA1089="",BB1089=""),"",BB1089+BA1089*F1089)</f>
        <v>0</v>
      </c>
      <c r="BD1089">
        <f>IF(COUNT($E$2:$E1089)&lt;20,"",STEYX($E$990:$E$1089,$F$990:$F$1089))</f>
        <v>0</v>
      </c>
      <c r="BE1089">
        <f>IF($E1089="","",IF(AND(COUNT($E$1090:$E$1093)&gt;=4,$C1089=MAX($C$1085:$C$1093)),$C1089,""))</f>
        <v>0</v>
      </c>
      <c r="BF1089">
        <f>IF($E1089="","",IF(AND(COUNT($E$1090:$E$1093)&gt;=4,$D1089=MIN($D$1085:$D$1093)),$D1089,""))</f>
        <v>0</v>
      </c>
      <c r="BG1089">
        <f>IF($A1089="","",$A1089-WEEKDAY($A1089,2)+1)</f>
        <v>0</v>
      </c>
      <c r="BH1089">
        <f>IF($A1089="","",IF($A1088="",1,IF(BG1089&lt;&gt;BG1088,1,0)))</f>
        <v>0</v>
      </c>
      <c r="BI1089">
        <f>IF($A1089="","",IF($A1090="",1,IF(BG1090&lt;&gt;BG1089,1,0)))</f>
        <v>0</v>
      </c>
      <c r="BJ1089">
        <f>IF($A1089="","",IF(BH1089=1,$B1089,BJ1088))</f>
        <v>0</v>
      </c>
      <c r="BK1089">
        <f>IF($A1089="","",IF(BH1089=1,$C1089,MAX($C1089,BK1088)))</f>
        <v>0</v>
      </c>
      <c r="BL1089">
        <f>IF($A1089="","",IF(BH1089=1,$D1089,MIN($D1089,BL1088)))</f>
        <v>0</v>
      </c>
      <c r="BM1089">
        <f>IF($A1089="","",IF(BI1089=1,F1089,""))</f>
        <v>0</v>
      </c>
      <c r="BN1089">
        <f>IF($A1089="","",DATE(YEAR($A1089),MONTH($A1089),1))</f>
        <v>0</v>
      </c>
      <c r="BO1089">
        <f>IF($A1089="","",IF($A1088="",1,IF(BN1089&lt;&gt;BN1088,1,0)))</f>
        <v>0</v>
      </c>
      <c r="BP1089">
        <f>IF($A1089="","",IF($A1090="",1,IF(BN1090&lt;&gt;BN1089,1,0)))</f>
        <v>0</v>
      </c>
      <c r="BQ1089">
        <f>IF($A1089="","",IF(BO1089=1,$B1089,BQ1088))</f>
        <v>0</v>
      </c>
      <c r="BR1089">
        <f>IF($A1089="","",IF(BO1089=1,$C1089,MAX($C1089,BR1088)))</f>
        <v>0</v>
      </c>
      <c r="BS1089">
        <f>IF($A1089="","",IF(BO1089=1,$D1089,MIN($D1089,BS1088)))</f>
        <v>0</v>
      </c>
      <c r="BT1089">
        <f>IF($A1089="","",IF(BP1089=1,F1089,""))</f>
        <v>0</v>
      </c>
    </row>
    <row r="1090" spans="1:72">
      <c r="A1090" s="27">
        <f>IF(Data!$A1090="","",Data!$A1090)</f>
        <v>0</v>
      </c>
      <c r="B1090">
        <f>IF(Data!$B1090="","",Data!$B1090)</f>
        <v>0</v>
      </c>
      <c r="C1090">
        <f>IF(Data!$C1090="","",Data!$C1090)</f>
        <v>0</v>
      </c>
      <c r="D1090">
        <f>IF(Data!$D1090="","",Data!$D1090)</f>
        <v>0</v>
      </c>
      <c r="E1090">
        <f>IF(Data!$E1090="","",Data!$E1090)</f>
        <v>0</v>
      </c>
      <c r="F1090">
        <f>IF($E1090="","",N(F1089)+1)</f>
        <v>0</v>
      </c>
      <c r="G1090">
        <f>IF(OR($E1090="",$E1089=""),"",LN($E1090/$E1089))</f>
        <v>0</v>
      </c>
      <c r="H1090">
        <f>IF($E1090="","",IF($E1089="",$E1090,$E1090*0.0952380952+H1089*0.9047619048))</f>
        <v>0</v>
      </c>
      <c r="I1090">
        <f>IF($E1090="","",IF($E1089="",$E1090,$E1090*0.0392156863+I1089*0.9607843137))</f>
        <v>0</v>
      </c>
      <c r="J1090">
        <f>IF($E1090="","",IF($E1089="",$E1090,$E1090*0.0198019802+J1089*0.9801980198))</f>
        <v>0</v>
      </c>
      <c r="K1090">
        <f>IF($E1090="","",IF($E1089="",$E1090,$E1090*0.0099502488+K1089*0.9900497512))</f>
        <v>0</v>
      </c>
      <c r="L1090">
        <f>IF(OR($E1090="",$E1089=""),"",MAX($E1090-$E1089,0))</f>
        <v>0</v>
      </c>
      <c r="M1090">
        <f>IF(OR($E1090="",$E1089=""),"",MAX($E1089-$E1090,0))</f>
        <v>0</v>
      </c>
      <c r="N1090">
        <f>IF(COUNT($E$2:$E1090)&lt;15,"",IF(AVERAGE($M$1077:$M$1090)=0,100,100-100/(1+AVERAGE($L$1077:$L$1090)/AVERAGE($M$1077:$M$1090))))</f>
        <v>0</v>
      </c>
      <c r="O1090">
        <f>IF($E1090="","",IF($E1089="",$E1090,$E1090*0.1538461538+O1089*0.8461538462))</f>
        <v>0</v>
      </c>
      <c r="P1090">
        <f>IF($E1090="","",IF($E1089="",$E1090,$E1090*0.0740740741+P1089*0.9259259259))</f>
        <v>0</v>
      </c>
      <c r="Q1090">
        <f>IF(OR(O1090="",P1090=""),"",O1090-P1090)</f>
        <v>0</v>
      </c>
      <c r="R1090">
        <f>IF(Q1090="","",IF(R1089="",Q1090,Q1090*0.2000000000+R1089*0.8000000000))</f>
        <v>0</v>
      </c>
      <c r="S1090">
        <f>IF(OR(Q1090="",R1090=""),"",Q1090-R1090)</f>
        <v>0</v>
      </c>
      <c r="T1090">
        <f>IF(COUNT($E$2:$E1090)&lt;14,"",MAX($C$1077:$C$1090))</f>
        <v>0</v>
      </c>
      <c r="U1090">
        <f>IF(COUNT($E$2:$E1090)&lt;14,"",MIN($D$1077:$D$1090))</f>
        <v>0</v>
      </c>
      <c r="V1090">
        <f>IF(OR(T1090="",U1090="",T1090=U1090),"",100*($E1090-U1090)/(T1090-U1090))</f>
        <v>0</v>
      </c>
      <c r="W1090">
        <f>IF(COUNT($V$1088:$V$1090)&lt;3,"",AVERAGE($V$1088:$V$1090))</f>
        <v>0</v>
      </c>
      <c r="X1090">
        <f>IF(COUNT($N$1077:$N$1090)&lt;14,"",MIN($N$1077:$N$1090))</f>
        <v>0</v>
      </c>
      <c r="Y1090">
        <f>IF(COUNT($N$1077:$N$1090)&lt;14,"",MAX($N$1077:$N$1090))</f>
        <v>0</v>
      </c>
      <c r="Z1090">
        <f>IF(OR(N1090="",X1090="",Y1090="",Y1090=X1090),"",100*(N1090-X1090)/(Y1090-X1090))</f>
        <v>0</v>
      </c>
      <c r="AA1090">
        <f>IF(COUNT($Z$1088:$Z$1090)&lt;3,"",AVERAGE($Z$1088:$Z$1090))</f>
        <v>0</v>
      </c>
      <c r="AB1090">
        <f>IF(COUNT($AA$1088:$AA$1090)&lt;3,"",AVERAGE($AA$1088:$AA$1090))</f>
        <v>0</v>
      </c>
      <c r="AC1090">
        <f>IF($E1090="","",MAX($C1090-$D1090,ABS($C1090-$E1089),ABS($D1090-$E1089)))</f>
        <v>0</v>
      </c>
      <c r="AD1090">
        <f>IF(COUNT($E$2:$E1090)&lt;15,"",AVERAGE($AC$1077:$AC$1090))</f>
        <v>0</v>
      </c>
      <c r="AE1090">
        <f>IF(OR($E1090="",$E1089=""),"",IF(AND(($C1090-$C1089)&gt;($D1089-$D1090),($C1090-$C1089)&gt;0),$C1090-$C1089,0))</f>
        <v>0</v>
      </c>
      <c r="AF1090">
        <f>IF(OR($E1090="",$E1089=""),"",IF(AND(($D1089-$D1090)&gt;($C1090-$C1089),($D1089-$D1090)&gt;0),$D1089-$D1090,0))</f>
        <v>0</v>
      </c>
      <c r="AG1090">
        <f>IF(COUNT($E$2:$E1090)&lt;15,"",IF(SUM($AC$1077:$AC$1090)=0,0,100*SUM($AE$1077:$AE$1090)/SUM($AC$1077:$AC$1090)))</f>
        <v>0</v>
      </c>
      <c r="AH1090">
        <f>IF(COUNT($E$2:$E1090)&lt;15,"",IF(SUM($AC$1077:$AC$1090)=0,0,100*SUM($AF$1077:$AF$1090)/SUM($AC$1077:$AC$1090)))</f>
        <v>0</v>
      </c>
      <c r="AI1090">
        <f>IF(OR(AG1090="",AH1090=""),"",IF((AG1090+AH1090)=0,0,100*ABS(AG1090-AH1090)/(AG1090+AH1090)))</f>
        <v>0</v>
      </c>
      <c r="AJ1090">
        <f>IF(COUNT($AI$1077:$AI$1090)&lt;14,"",AVERAGE($AI$1077:$AI$1090))</f>
        <v>0</v>
      </c>
      <c r="AK1090">
        <f>IF(COUNT($E$2:$E1090)&lt;20,"",AVERAGE($E$1071:$E$1090))</f>
        <v>0</v>
      </c>
      <c r="AL1090">
        <f>IF(COUNT($E$2:$E1090)&lt;20,"",STDEVP($E$1071:$E$1090))</f>
        <v>0</v>
      </c>
      <c r="AM1090">
        <f>IF(AK1090="","",AK1090+2*AL1090)</f>
        <v>0</v>
      </c>
      <c r="AN1090">
        <f>IF(AK1090="","",AK1090-2*AL1090)</f>
        <v>0</v>
      </c>
      <c r="AO1090">
        <f>IF(OR(AM1090="",AN1090="",AM1090=AN1090),"",($E1090-AN1090)/(AM1090-AN1090))</f>
        <v>0</v>
      </c>
      <c r="AP1090">
        <f>IF(OR(AM1090="",AK1090="",AK1090=0),"",(AM1090-AN1090)/AK1090)</f>
        <v>0</v>
      </c>
      <c r="AQ1090">
        <f>IF(COUNT($E$2:$E1090)&lt;20,"",MAX($C$1071:$C$1090))</f>
        <v>0</v>
      </c>
      <c r="AR1090">
        <f>IF(COUNT($E$2:$E1090)&lt;20,"",MIN($D$1071:$D$1090))</f>
        <v>0</v>
      </c>
      <c r="AS1090">
        <f>IF(OR(AQ1090="",AR1090=""),"",(AQ1090+AR1090)/2)</f>
        <v>0</v>
      </c>
      <c r="AT1090">
        <f>IF(COUNT($G$1071:$G$1090)&lt;20,"",STDEV($G$1071:$G$1090)*SQRT(252))</f>
        <v>0</v>
      </c>
      <c r="AU1090">
        <f>IF(COUNT($E$2:$E1090)&lt;9,"",(MAX($C$1082:$C$1090)+MIN($D$1082:$D$1090))/2)</f>
        <v>0</v>
      </c>
      <c r="AV1090">
        <f>IF(COUNT($E$2:$E1090)&lt;26,"",(MAX($C$1065:$C$1090)+MIN($D$1065:$D$1090))/2)</f>
        <v>0</v>
      </c>
      <c r="AW1090">
        <f>IF(OR(AU1090="",AV1090=""),"",(AU1090+AV1090)/2)</f>
        <v>0</v>
      </c>
      <c r="AX1090">
        <f>IF(COUNT($E$2:$E1090)&lt;52,"",(MAX($C$1039:$C$1090)+MIN($D$1039:$D$1090))/2)</f>
        <v>0</v>
      </c>
      <c r="AY1090">
        <f>IF(COUNT($E$2:$E1090)&lt;20,"",MAX($C$991:$C$1090))</f>
        <v>0</v>
      </c>
      <c r="AZ1090">
        <f>IF(COUNT($E$2:$E1090)&lt;20,"",MIN($D$991:$D$1090))</f>
        <v>0</v>
      </c>
      <c r="BA1090">
        <f>IF(COUNT($E$2:$E1090)&lt;20,"",SLOPE($E$991:$E$1090,$F$991:$F$1090))</f>
        <v>0</v>
      </c>
      <c r="BB1090">
        <f>IF(COUNT($E$2:$E1090)&lt;20,"",INTERCEPT($E$991:$E$1090,$F$991:$F$1090))</f>
        <v>0</v>
      </c>
      <c r="BC1090">
        <f>IF(OR(BA1090="",BB1090=""),"",BB1090+BA1090*F1090)</f>
        <v>0</v>
      </c>
      <c r="BD1090">
        <f>IF(COUNT($E$2:$E1090)&lt;20,"",STEYX($E$991:$E$1090,$F$991:$F$1090))</f>
        <v>0</v>
      </c>
      <c r="BE1090">
        <f>IF($E1090="","",IF(AND(COUNT($E$1091:$E$1094)&gt;=4,$C1090=MAX($C$1086:$C$1094)),$C1090,""))</f>
        <v>0</v>
      </c>
      <c r="BF1090">
        <f>IF($E1090="","",IF(AND(COUNT($E$1091:$E$1094)&gt;=4,$D1090=MIN($D$1086:$D$1094)),$D1090,""))</f>
        <v>0</v>
      </c>
      <c r="BG1090">
        <f>IF($A1090="","",$A1090-WEEKDAY($A1090,2)+1)</f>
        <v>0</v>
      </c>
      <c r="BH1090">
        <f>IF($A1090="","",IF($A1089="",1,IF(BG1090&lt;&gt;BG1089,1,0)))</f>
        <v>0</v>
      </c>
      <c r="BI1090">
        <f>IF($A1090="","",IF($A1091="",1,IF(BG1091&lt;&gt;BG1090,1,0)))</f>
        <v>0</v>
      </c>
      <c r="BJ1090">
        <f>IF($A1090="","",IF(BH1090=1,$B1090,BJ1089))</f>
        <v>0</v>
      </c>
      <c r="BK1090">
        <f>IF($A1090="","",IF(BH1090=1,$C1090,MAX($C1090,BK1089)))</f>
        <v>0</v>
      </c>
      <c r="BL1090">
        <f>IF($A1090="","",IF(BH1090=1,$D1090,MIN($D1090,BL1089)))</f>
        <v>0</v>
      </c>
      <c r="BM1090">
        <f>IF($A1090="","",IF(BI1090=1,F1090,""))</f>
        <v>0</v>
      </c>
      <c r="BN1090">
        <f>IF($A1090="","",DATE(YEAR($A1090),MONTH($A1090),1))</f>
        <v>0</v>
      </c>
      <c r="BO1090">
        <f>IF($A1090="","",IF($A1089="",1,IF(BN1090&lt;&gt;BN1089,1,0)))</f>
        <v>0</v>
      </c>
      <c r="BP1090">
        <f>IF($A1090="","",IF($A1091="",1,IF(BN1091&lt;&gt;BN1090,1,0)))</f>
        <v>0</v>
      </c>
      <c r="BQ1090">
        <f>IF($A1090="","",IF(BO1090=1,$B1090,BQ1089))</f>
        <v>0</v>
      </c>
      <c r="BR1090">
        <f>IF($A1090="","",IF(BO1090=1,$C1090,MAX($C1090,BR1089)))</f>
        <v>0</v>
      </c>
      <c r="BS1090">
        <f>IF($A1090="","",IF(BO1090=1,$D1090,MIN($D1090,BS1089)))</f>
        <v>0</v>
      </c>
      <c r="BT1090">
        <f>IF($A1090="","",IF(BP1090=1,F1090,""))</f>
        <v>0</v>
      </c>
    </row>
    <row r="1091" spans="1:72">
      <c r="A1091" s="27">
        <f>IF(Data!$A1091="","",Data!$A1091)</f>
        <v>0</v>
      </c>
      <c r="B1091">
        <f>IF(Data!$B1091="","",Data!$B1091)</f>
        <v>0</v>
      </c>
      <c r="C1091">
        <f>IF(Data!$C1091="","",Data!$C1091)</f>
        <v>0</v>
      </c>
      <c r="D1091">
        <f>IF(Data!$D1091="","",Data!$D1091)</f>
        <v>0</v>
      </c>
      <c r="E1091">
        <f>IF(Data!$E1091="","",Data!$E1091)</f>
        <v>0</v>
      </c>
      <c r="F1091">
        <f>IF($E1091="","",N(F1090)+1)</f>
        <v>0</v>
      </c>
      <c r="G1091">
        <f>IF(OR($E1091="",$E1090=""),"",LN($E1091/$E1090))</f>
        <v>0</v>
      </c>
      <c r="H1091">
        <f>IF($E1091="","",IF($E1090="",$E1091,$E1091*0.0952380952+H1090*0.9047619048))</f>
        <v>0</v>
      </c>
      <c r="I1091">
        <f>IF($E1091="","",IF($E1090="",$E1091,$E1091*0.0392156863+I1090*0.9607843137))</f>
        <v>0</v>
      </c>
      <c r="J1091">
        <f>IF($E1091="","",IF($E1090="",$E1091,$E1091*0.0198019802+J1090*0.9801980198))</f>
        <v>0</v>
      </c>
      <c r="K1091">
        <f>IF($E1091="","",IF($E1090="",$E1091,$E1091*0.0099502488+K1090*0.9900497512))</f>
        <v>0</v>
      </c>
      <c r="L1091">
        <f>IF(OR($E1091="",$E1090=""),"",MAX($E1091-$E1090,0))</f>
        <v>0</v>
      </c>
      <c r="M1091">
        <f>IF(OR($E1091="",$E1090=""),"",MAX($E1090-$E1091,0))</f>
        <v>0</v>
      </c>
      <c r="N1091">
        <f>IF(COUNT($E$2:$E1091)&lt;15,"",IF(AVERAGE($M$1078:$M$1091)=0,100,100-100/(1+AVERAGE($L$1078:$L$1091)/AVERAGE($M$1078:$M$1091))))</f>
        <v>0</v>
      </c>
      <c r="O1091">
        <f>IF($E1091="","",IF($E1090="",$E1091,$E1091*0.1538461538+O1090*0.8461538462))</f>
        <v>0</v>
      </c>
      <c r="P1091">
        <f>IF($E1091="","",IF($E1090="",$E1091,$E1091*0.0740740741+P1090*0.9259259259))</f>
        <v>0</v>
      </c>
      <c r="Q1091">
        <f>IF(OR(O1091="",P1091=""),"",O1091-P1091)</f>
        <v>0</v>
      </c>
      <c r="R1091">
        <f>IF(Q1091="","",IF(R1090="",Q1091,Q1091*0.2000000000+R1090*0.8000000000))</f>
        <v>0</v>
      </c>
      <c r="S1091">
        <f>IF(OR(Q1091="",R1091=""),"",Q1091-R1091)</f>
        <v>0</v>
      </c>
      <c r="T1091">
        <f>IF(COUNT($E$2:$E1091)&lt;14,"",MAX($C$1078:$C$1091))</f>
        <v>0</v>
      </c>
      <c r="U1091">
        <f>IF(COUNT($E$2:$E1091)&lt;14,"",MIN($D$1078:$D$1091))</f>
        <v>0</v>
      </c>
      <c r="V1091">
        <f>IF(OR(T1091="",U1091="",T1091=U1091),"",100*($E1091-U1091)/(T1091-U1091))</f>
        <v>0</v>
      </c>
      <c r="W1091">
        <f>IF(COUNT($V$1089:$V$1091)&lt;3,"",AVERAGE($V$1089:$V$1091))</f>
        <v>0</v>
      </c>
      <c r="X1091">
        <f>IF(COUNT($N$1078:$N$1091)&lt;14,"",MIN($N$1078:$N$1091))</f>
        <v>0</v>
      </c>
      <c r="Y1091">
        <f>IF(COUNT($N$1078:$N$1091)&lt;14,"",MAX($N$1078:$N$1091))</f>
        <v>0</v>
      </c>
      <c r="Z1091">
        <f>IF(OR(N1091="",X1091="",Y1091="",Y1091=X1091),"",100*(N1091-X1091)/(Y1091-X1091))</f>
        <v>0</v>
      </c>
      <c r="AA1091">
        <f>IF(COUNT($Z$1089:$Z$1091)&lt;3,"",AVERAGE($Z$1089:$Z$1091))</f>
        <v>0</v>
      </c>
      <c r="AB1091">
        <f>IF(COUNT($AA$1089:$AA$1091)&lt;3,"",AVERAGE($AA$1089:$AA$1091))</f>
        <v>0</v>
      </c>
      <c r="AC1091">
        <f>IF($E1091="","",MAX($C1091-$D1091,ABS($C1091-$E1090),ABS($D1091-$E1090)))</f>
        <v>0</v>
      </c>
      <c r="AD1091">
        <f>IF(COUNT($E$2:$E1091)&lt;15,"",AVERAGE($AC$1078:$AC$1091))</f>
        <v>0</v>
      </c>
      <c r="AE1091">
        <f>IF(OR($E1091="",$E1090=""),"",IF(AND(($C1091-$C1090)&gt;($D1090-$D1091),($C1091-$C1090)&gt;0),$C1091-$C1090,0))</f>
        <v>0</v>
      </c>
      <c r="AF1091">
        <f>IF(OR($E1091="",$E1090=""),"",IF(AND(($D1090-$D1091)&gt;($C1091-$C1090),($D1090-$D1091)&gt;0),$D1090-$D1091,0))</f>
        <v>0</v>
      </c>
      <c r="AG1091">
        <f>IF(COUNT($E$2:$E1091)&lt;15,"",IF(SUM($AC$1078:$AC$1091)=0,0,100*SUM($AE$1078:$AE$1091)/SUM($AC$1078:$AC$1091)))</f>
        <v>0</v>
      </c>
      <c r="AH1091">
        <f>IF(COUNT($E$2:$E1091)&lt;15,"",IF(SUM($AC$1078:$AC$1091)=0,0,100*SUM($AF$1078:$AF$1091)/SUM($AC$1078:$AC$1091)))</f>
        <v>0</v>
      </c>
      <c r="AI1091">
        <f>IF(OR(AG1091="",AH1091=""),"",IF((AG1091+AH1091)=0,0,100*ABS(AG1091-AH1091)/(AG1091+AH1091)))</f>
        <v>0</v>
      </c>
      <c r="AJ1091">
        <f>IF(COUNT($AI$1078:$AI$1091)&lt;14,"",AVERAGE($AI$1078:$AI$1091))</f>
        <v>0</v>
      </c>
      <c r="AK1091">
        <f>IF(COUNT($E$2:$E1091)&lt;20,"",AVERAGE($E$1072:$E$1091))</f>
        <v>0</v>
      </c>
      <c r="AL1091">
        <f>IF(COUNT($E$2:$E1091)&lt;20,"",STDEVP($E$1072:$E$1091))</f>
        <v>0</v>
      </c>
      <c r="AM1091">
        <f>IF(AK1091="","",AK1091+2*AL1091)</f>
        <v>0</v>
      </c>
      <c r="AN1091">
        <f>IF(AK1091="","",AK1091-2*AL1091)</f>
        <v>0</v>
      </c>
      <c r="AO1091">
        <f>IF(OR(AM1091="",AN1091="",AM1091=AN1091),"",($E1091-AN1091)/(AM1091-AN1091))</f>
        <v>0</v>
      </c>
      <c r="AP1091">
        <f>IF(OR(AM1091="",AK1091="",AK1091=0),"",(AM1091-AN1091)/AK1091)</f>
        <v>0</v>
      </c>
      <c r="AQ1091">
        <f>IF(COUNT($E$2:$E1091)&lt;20,"",MAX($C$1072:$C$1091))</f>
        <v>0</v>
      </c>
      <c r="AR1091">
        <f>IF(COUNT($E$2:$E1091)&lt;20,"",MIN($D$1072:$D$1091))</f>
        <v>0</v>
      </c>
      <c r="AS1091">
        <f>IF(OR(AQ1091="",AR1091=""),"",(AQ1091+AR1091)/2)</f>
        <v>0</v>
      </c>
      <c r="AT1091">
        <f>IF(COUNT($G$1072:$G$1091)&lt;20,"",STDEV($G$1072:$G$1091)*SQRT(252))</f>
        <v>0</v>
      </c>
      <c r="AU1091">
        <f>IF(COUNT($E$2:$E1091)&lt;9,"",(MAX($C$1083:$C$1091)+MIN($D$1083:$D$1091))/2)</f>
        <v>0</v>
      </c>
      <c r="AV1091">
        <f>IF(COUNT($E$2:$E1091)&lt;26,"",(MAX($C$1066:$C$1091)+MIN($D$1066:$D$1091))/2)</f>
        <v>0</v>
      </c>
      <c r="AW1091">
        <f>IF(OR(AU1091="",AV1091=""),"",(AU1091+AV1091)/2)</f>
        <v>0</v>
      </c>
      <c r="AX1091">
        <f>IF(COUNT($E$2:$E1091)&lt;52,"",(MAX($C$1040:$C$1091)+MIN($D$1040:$D$1091))/2)</f>
        <v>0</v>
      </c>
      <c r="AY1091">
        <f>IF(COUNT($E$2:$E1091)&lt;20,"",MAX($C$992:$C$1091))</f>
        <v>0</v>
      </c>
      <c r="AZ1091">
        <f>IF(COUNT($E$2:$E1091)&lt;20,"",MIN($D$992:$D$1091))</f>
        <v>0</v>
      </c>
      <c r="BA1091">
        <f>IF(COUNT($E$2:$E1091)&lt;20,"",SLOPE($E$992:$E$1091,$F$992:$F$1091))</f>
        <v>0</v>
      </c>
      <c r="BB1091">
        <f>IF(COUNT($E$2:$E1091)&lt;20,"",INTERCEPT($E$992:$E$1091,$F$992:$F$1091))</f>
        <v>0</v>
      </c>
      <c r="BC1091">
        <f>IF(OR(BA1091="",BB1091=""),"",BB1091+BA1091*F1091)</f>
        <v>0</v>
      </c>
      <c r="BD1091">
        <f>IF(COUNT($E$2:$E1091)&lt;20,"",STEYX($E$992:$E$1091,$F$992:$F$1091))</f>
        <v>0</v>
      </c>
      <c r="BE1091">
        <f>IF($E1091="","",IF(AND(COUNT($E$1092:$E$1095)&gt;=4,$C1091=MAX($C$1087:$C$1095)),$C1091,""))</f>
        <v>0</v>
      </c>
      <c r="BF1091">
        <f>IF($E1091="","",IF(AND(COUNT($E$1092:$E$1095)&gt;=4,$D1091=MIN($D$1087:$D$1095)),$D1091,""))</f>
        <v>0</v>
      </c>
      <c r="BG1091">
        <f>IF($A1091="","",$A1091-WEEKDAY($A1091,2)+1)</f>
        <v>0</v>
      </c>
      <c r="BH1091">
        <f>IF($A1091="","",IF($A1090="",1,IF(BG1091&lt;&gt;BG1090,1,0)))</f>
        <v>0</v>
      </c>
      <c r="BI1091">
        <f>IF($A1091="","",IF($A1092="",1,IF(BG1092&lt;&gt;BG1091,1,0)))</f>
        <v>0</v>
      </c>
      <c r="BJ1091">
        <f>IF($A1091="","",IF(BH1091=1,$B1091,BJ1090))</f>
        <v>0</v>
      </c>
      <c r="BK1091">
        <f>IF($A1091="","",IF(BH1091=1,$C1091,MAX($C1091,BK1090)))</f>
        <v>0</v>
      </c>
      <c r="BL1091">
        <f>IF($A1091="","",IF(BH1091=1,$D1091,MIN($D1091,BL1090)))</f>
        <v>0</v>
      </c>
      <c r="BM1091">
        <f>IF($A1091="","",IF(BI1091=1,F1091,""))</f>
        <v>0</v>
      </c>
      <c r="BN1091">
        <f>IF($A1091="","",DATE(YEAR($A1091),MONTH($A1091),1))</f>
        <v>0</v>
      </c>
      <c r="BO1091">
        <f>IF($A1091="","",IF($A1090="",1,IF(BN1091&lt;&gt;BN1090,1,0)))</f>
        <v>0</v>
      </c>
      <c r="BP1091">
        <f>IF($A1091="","",IF($A1092="",1,IF(BN1092&lt;&gt;BN1091,1,0)))</f>
        <v>0</v>
      </c>
      <c r="BQ1091">
        <f>IF($A1091="","",IF(BO1091=1,$B1091,BQ1090))</f>
        <v>0</v>
      </c>
      <c r="BR1091">
        <f>IF($A1091="","",IF(BO1091=1,$C1091,MAX($C1091,BR1090)))</f>
        <v>0</v>
      </c>
      <c r="BS1091">
        <f>IF($A1091="","",IF(BO1091=1,$D1091,MIN($D1091,BS1090)))</f>
        <v>0</v>
      </c>
      <c r="BT1091">
        <f>IF($A1091="","",IF(BP1091=1,F1091,""))</f>
        <v>0</v>
      </c>
    </row>
    <row r="1092" spans="1:72">
      <c r="A1092" s="27">
        <f>IF(Data!$A1092="","",Data!$A1092)</f>
        <v>0</v>
      </c>
      <c r="B1092">
        <f>IF(Data!$B1092="","",Data!$B1092)</f>
        <v>0</v>
      </c>
      <c r="C1092">
        <f>IF(Data!$C1092="","",Data!$C1092)</f>
        <v>0</v>
      </c>
      <c r="D1092">
        <f>IF(Data!$D1092="","",Data!$D1092)</f>
        <v>0</v>
      </c>
      <c r="E1092">
        <f>IF(Data!$E1092="","",Data!$E1092)</f>
        <v>0</v>
      </c>
      <c r="F1092">
        <f>IF($E1092="","",N(F1091)+1)</f>
        <v>0</v>
      </c>
      <c r="G1092">
        <f>IF(OR($E1092="",$E1091=""),"",LN($E1092/$E1091))</f>
        <v>0</v>
      </c>
      <c r="H1092">
        <f>IF($E1092="","",IF($E1091="",$E1092,$E1092*0.0952380952+H1091*0.9047619048))</f>
        <v>0</v>
      </c>
      <c r="I1092">
        <f>IF($E1092="","",IF($E1091="",$E1092,$E1092*0.0392156863+I1091*0.9607843137))</f>
        <v>0</v>
      </c>
      <c r="J1092">
        <f>IF($E1092="","",IF($E1091="",$E1092,$E1092*0.0198019802+J1091*0.9801980198))</f>
        <v>0</v>
      </c>
      <c r="K1092">
        <f>IF($E1092="","",IF($E1091="",$E1092,$E1092*0.0099502488+K1091*0.9900497512))</f>
        <v>0</v>
      </c>
      <c r="L1092">
        <f>IF(OR($E1092="",$E1091=""),"",MAX($E1092-$E1091,0))</f>
        <v>0</v>
      </c>
      <c r="M1092">
        <f>IF(OR($E1092="",$E1091=""),"",MAX($E1091-$E1092,0))</f>
        <v>0</v>
      </c>
      <c r="N1092">
        <f>IF(COUNT($E$2:$E1092)&lt;15,"",IF(AVERAGE($M$1079:$M$1092)=0,100,100-100/(1+AVERAGE($L$1079:$L$1092)/AVERAGE($M$1079:$M$1092))))</f>
        <v>0</v>
      </c>
      <c r="O1092">
        <f>IF($E1092="","",IF($E1091="",$E1092,$E1092*0.1538461538+O1091*0.8461538462))</f>
        <v>0</v>
      </c>
      <c r="P1092">
        <f>IF($E1092="","",IF($E1091="",$E1092,$E1092*0.0740740741+P1091*0.9259259259))</f>
        <v>0</v>
      </c>
      <c r="Q1092">
        <f>IF(OR(O1092="",P1092=""),"",O1092-P1092)</f>
        <v>0</v>
      </c>
      <c r="R1092">
        <f>IF(Q1092="","",IF(R1091="",Q1092,Q1092*0.2000000000+R1091*0.8000000000))</f>
        <v>0</v>
      </c>
      <c r="S1092">
        <f>IF(OR(Q1092="",R1092=""),"",Q1092-R1092)</f>
        <v>0</v>
      </c>
      <c r="T1092">
        <f>IF(COUNT($E$2:$E1092)&lt;14,"",MAX($C$1079:$C$1092))</f>
        <v>0</v>
      </c>
      <c r="U1092">
        <f>IF(COUNT($E$2:$E1092)&lt;14,"",MIN($D$1079:$D$1092))</f>
        <v>0</v>
      </c>
      <c r="V1092">
        <f>IF(OR(T1092="",U1092="",T1092=U1092),"",100*($E1092-U1092)/(T1092-U1092))</f>
        <v>0</v>
      </c>
      <c r="W1092">
        <f>IF(COUNT($V$1090:$V$1092)&lt;3,"",AVERAGE($V$1090:$V$1092))</f>
        <v>0</v>
      </c>
      <c r="X1092">
        <f>IF(COUNT($N$1079:$N$1092)&lt;14,"",MIN($N$1079:$N$1092))</f>
        <v>0</v>
      </c>
      <c r="Y1092">
        <f>IF(COUNT($N$1079:$N$1092)&lt;14,"",MAX($N$1079:$N$1092))</f>
        <v>0</v>
      </c>
      <c r="Z1092">
        <f>IF(OR(N1092="",X1092="",Y1092="",Y1092=X1092),"",100*(N1092-X1092)/(Y1092-X1092))</f>
        <v>0</v>
      </c>
      <c r="AA1092">
        <f>IF(COUNT($Z$1090:$Z$1092)&lt;3,"",AVERAGE($Z$1090:$Z$1092))</f>
        <v>0</v>
      </c>
      <c r="AB1092">
        <f>IF(COUNT($AA$1090:$AA$1092)&lt;3,"",AVERAGE($AA$1090:$AA$1092))</f>
        <v>0</v>
      </c>
      <c r="AC1092">
        <f>IF($E1092="","",MAX($C1092-$D1092,ABS($C1092-$E1091),ABS($D1092-$E1091)))</f>
        <v>0</v>
      </c>
      <c r="AD1092">
        <f>IF(COUNT($E$2:$E1092)&lt;15,"",AVERAGE($AC$1079:$AC$1092))</f>
        <v>0</v>
      </c>
      <c r="AE1092">
        <f>IF(OR($E1092="",$E1091=""),"",IF(AND(($C1092-$C1091)&gt;($D1091-$D1092),($C1092-$C1091)&gt;0),$C1092-$C1091,0))</f>
        <v>0</v>
      </c>
      <c r="AF1092">
        <f>IF(OR($E1092="",$E1091=""),"",IF(AND(($D1091-$D1092)&gt;($C1092-$C1091),($D1091-$D1092)&gt;0),$D1091-$D1092,0))</f>
        <v>0</v>
      </c>
      <c r="AG1092">
        <f>IF(COUNT($E$2:$E1092)&lt;15,"",IF(SUM($AC$1079:$AC$1092)=0,0,100*SUM($AE$1079:$AE$1092)/SUM($AC$1079:$AC$1092)))</f>
        <v>0</v>
      </c>
      <c r="AH1092">
        <f>IF(COUNT($E$2:$E1092)&lt;15,"",IF(SUM($AC$1079:$AC$1092)=0,0,100*SUM($AF$1079:$AF$1092)/SUM($AC$1079:$AC$1092)))</f>
        <v>0</v>
      </c>
      <c r="AI1092">
        <f>IF(OR(AG1092="",AH1092=""),"",IF((AG1092+AH1092)=0,0,100*ABS(AG1092-AH1092)/(AG1092+AH1092)))</f>
        <v>0</v>
      </c>
      <c r="AJ1092">
        <f>IF(COUNT($AI$1079:$AI$1092)&lt;14,"",AVERAGE($AI$1079:$AI$1092))</f>
        <v>0</v>
      </c>
      <c r="AK1092">
        <f>IF(COUNT($E$2:$E1092)&lt;20,"",AVERAGE($E$1073:$E$1092))</f>
        <v>0</v>
      </c>
      <c r="AL1092">
        <f>IF(COUNT($E$2:$E1092)&lt;20,"",STDEVP($E$1073:$E$1092))</f>
        <v>0</v>
      </c>
      <c r="AM1092">
        <f>IF(AK1092="","",AK1092+2*AL1092)</f>
        <v>0</v>
      </c>
      <c r="AN1092">
        <f>IF(AK1092="","",AK1092-2*AL1092)</f>
        <v>0</v>
      </c>
      <c r="AO1092">
        <f>IF(OR(AM1092="",AN1092="",AM1092=AN1092),"",($E1092-AN1092)/(AM1092-AN1092))</f>
        <v>0</v>
      </c>
      <c r="AP1092">
        <f>IF(OR(AM1092="",AK1092="",AK1092=0),"",(AM1092-AN1092)/AK1092)</f>
        <v>0</v>
      </c>
      <c r="AQ1092">
        <f>IF(COUNT($E$2:$E1092)&lt;20,"",MAX($C$1073:$C$1092))</f>
        <v>0</v>
      </c>
      <c r="AR1092">
        <f>IF(COUNT($E$2:$E1092)&lt;20,"",MIN($D$1073:$D$1092))</f>
        <v>0</v>
      </c>
      <c r="AS1092">
        <f>IF(OR(AQ1092="",AR1092=""),"",(AQ1092+AR1092)/2)</f>
        <v>0</v>
      </c>
      <c r="AT1092">
        <f>IF(COUNT($G$1073:$G$1092)&lt;20,"",STDEV($G$1073:$G$1092)*SQRT(252))</f>
        <v>0</v>
      </c>
      <c r="AU1092">
        <f>IF(COUNT($E$2:$E1092)&lt;9,"",(MAX($C$1084:$C$1092)+MIN($D$1084:$D$1092))/2)</f>
        <v>0</v>
      </c>
      <c r="AV1092">
        <f>IF(COUNT($E$2:$E1092)&lt;26,"",(MAX($C$1067:$C$1092)+MIN($D$1067:$D$1092))/2)</f>
        <v>0</v>
      </c>
      <c r="AW1092">
        <f>IF(OR(AU1092="",AV1092=""),"",(AU1092+AV1092)/2)</f>
        <v>0</v>
      </c>
      <c r="AX1092">
        <f>IF(COUNT($E$2:$E1092)&lt;52,"",(MAX($C$1041:$C$1092)+MIN($D$1041:$D$1092))/2)</f>
        <v>0</v>
      </c>
      <c r="AY1092">
        <f>IF(COUNT($E$2:$E1092)&lt;20,"",MAX($C$993:$C$1092))</f>
        <v>0</v>
      </c>
      <c r="AZ1092">
        <f>IF(COUNT($E$2:$E1092)&lt;20,"",MIN($D$993:$D$1092))</f>
        <v>0</v>
      </c>
      <c r="BA1092">
        <f>IF(COUNT($E$2:$E1092)&lt;20,"",SLOPE($E$993:$E$1092,$F$993:$F$1092))</f>
        <v>0</v>
      </c>
      <c r="BB1092">
        <f>IF(COUNT($E$2:$E1092)&lt;20,"",INTERCEPT($E$993:$E$1092,$F$993:$F$1092))</f>
        <v>0</v>
      </c>
      <c r="BC1092">
        <f>IF(OR(BA1092="",BB1092=""),"",BB1092+BA1092*F1092)</f>
        <v>0</v>
      </c>
      <c r="BD1092">
        <f>IF(COUNT($E$2:$E1092)&lt;20,"",STEYX($E$993:$E$1092,$F$993:$F$1092))</f>
        <v>0</v>
      </c>
      <c r="BE1092">
        <f>IF($E1092="","",IF(AND(COUNT($E$1093:$E$1096)&gt;=4,$C1092=MAX($C$1088:$C$1096)),$C1092,""))</f>
        <v>0</v>
      </c>
      <c r="BF1092">
        <f>IF($E1092="","",IF(AND(COUNT($E$1093:$E$1096)&gt;=4,$D1092=MIN($D$1088:$D$1096)),$D1092,""))</f>
        <v>0</v>
      </c>
      <c r="BG1092">
        <f>IF($A1092="","",$A1092-WEEKDAY($A1092,2)+1)</f>
        <v>0</v>
      </c>
      <c r="BH1092">
        <f>IF($A1092="","",IF($A1091="",1,IF(BG1092&lt;&gt;BG1091,1,0)))</f>
        <v>0</v>
      </c>
      <c r="BI1092">
        <f>IF($A1092="","",IF($A1093="",1,IF(BG1093&lt;&gt;BG1092,1,0)))</f>
        <v>0</v>
      </c>
      <c r="BJ1092">
        <f>IF($A1092="","",IF(BH1092=1,$B1092,BJ1091))</f>
        <v>0</v>
      </c>
      <c r="BK1092">
        <f>IF($A1092="","",IF(BH1092=1,$C1092,MAX($C1092,BK1091)))</f>
        <v>0</v>
      </c>
      <c r="BL1092">
        <f>IF($A1092="","",IF(BH1092=1,$D1092,MIN($D1092,BL1091)))</f>
        <v>0</v>
      </c>
      <c r="BM1092">
        <f>IF($A1092="","",IF(BI1092=1,F1092,""))</f>
        <v>0</v>
      </c>
      <c r="BN1092">
        <f>IF($A1092="","",DATE(YEAR($A1092),MONTH($A1092),1))</f>
        <v>0</v>
      </c>
      <c r="BO1092">
        <f>IF($A1092="","",IF($A1091="",1,IF(BN1092&lt;&gt;BN1091,1,0)))</f>
        <v>0</v>
      </c>
      <c r="BP1092">
        <f>IF($A1092="","",IF($A1093="",1,IF(BN1093&lt;&gt;BN1092,1,0)))</f>
        <v>0</v>
      </c>
      <c r="BQ1092">
        <f>IF($A1092="","",IF(BO1092=1,$B1092,BQ1091))</f>
        <v>0</v>
      </c>
      <c r="BR1092">
        <f>IF($A1092="","",IF(BO1092=1,$C1092,MAX($C1092,BR1091)))</f>
        <v>0</v>
      </c>
      <c r="BS1092">
        <f>IF($A1092="","",IF(BO1092=1,$D1092,MIN($D1092,BS1091)))</f>
        <v>0</v>
      </c>
      <c r="BT1092">
        <f>IF($A1092="","",IF(BP1092=1,F1092,""))</f>
        <v>0</v>
      </c>
    </row>
    <row r="1093" spans="1:72">
      <c r="A1093" s="27">
        <f>IF(Data!$A1093="","",Data!$A1093)</f>
        <v>0</v>
      </c>
      <c r="B1093">
        <f>IF(Data!$B1093="","",Data!$B1093)</f>
        <v>0</v>
      </c>
      <c r="C1093">
        <f>IF(Data!$C1093="","",Data!$C1093)</f>
        <v>0</v>
      </c>
      <c r="D1093">
        <f>IF(Data!$D1093="","",Data!$D1093)</f>
        <v>0</v>
      </c>
      <c r="E1093">
        <f>IF(Data!$E1093="","",Data!$E1093)</f>
        <v>0</v>
      </c>
      <c r="F1093">
        <f>IF($E1093="","",N(F1092)+1)</f>
        <v>0</v>
      </c>
      <c r="G1093">
        <f>IF(OR($E1093="",$E1092=""),"",LN($E1093/$E1092))</f>
        <v>0</v>
      </c>
      <c r="H1093">
        <f>IF($E1093="","",IF($E1092="",$E1093,$E1093*0.0952380952+H1092*0.9047619048))</f>
        <v>0</v>
      </c>
      <c r="I1093">
        <f>IF($E1093="","",IF($E1092="",$E1093,$E1093*0.0392156863+I1092*0.9607843137))</f>
        <v>0</v>
      </c>
      <c r="J1093">
        <f>IF($E1093="","",IF($E1092="",$E1093,$E1093*0.0198019802+J1092*0.9801980198))</f>
        <v>0</v>
      </c>
      <c r="K1093">
        <f>IF($E1093="","",IF($E1092="",$E1093,$E1093*0.0099502488+K1092*0.9900497512))</f>
        <v>0</v>
      </c>
      <c r="L1093">
        <f>IF(OR($E1093="",$E1092=""),"",MAX($E1093-$E1092,0))</f>
        <v>0</v>
      </c>
      <c r="M1093">
        <f>IF(OR($E1093="",$E1092=""),"",MAX($E1092-$E1093,0))</f>
        <v>0</v>
      </c>
      <c r="N1093">
        <f>IF(COUNT($E$2:$E1093)&lt;15,"",IF(AVERAGE($M$1080:$M$1093)=0,100,100-100/(1+AVERAGE($L$1080:$L$1093)/AVERAGE($M$1080:$M$1093))))</f>
        <v>0</v>
      </c>
      <c r="O1093">
        <f>IF($E1093="","",IF($E1092="",$E1093,$E1093*0.1538461538+O1092*0.8461538462))</f>
        <v>0</v>
      </c>
      <c r="P1093">
        <f>IF($E1093="","",IF($E1092="",$E1093,$E1093*0.0740740741+P1092*0.9259259259))</f>
        <v>0</v>
      </c>
      <c r="Q1093">
        <f>IF(OR(O1093="",P1093=""),"",O1093-P1093)</f>
        <v>0</v>
      </c>
      <c r="R1093">
        <f>IF(Q1093="","",IF(R1092="",Q1093,Q1093*0.2000000000+R1092*0.8000000000))</f>
        <v>0</v>
      </c>
      <c r="S1093">
        <f>IF(OR(Q1093="",R1093=""),"",Q1093-R1093)</f>
        <v>0</v>
      </c>
      <c r="T1093">
        <f>IF(COUNT($E$2:$E1093)&lt;14,"",MAX($C$1080:$C$1093))</f>
        <v>0</v>
      </c>
      <c r="U1093">
        <f>IF(COUNT($E$2:$E1093)&lt;14,"",MIN($D$1080:$D$1093))</f>
        <v>0</v>
      </c>
      <c r="V1093">
        <f>IF(OR(T1093="",U1093="",T1093=U1093),"",100*($E1093-U1093)/(T1093-U1093))</f>
        <v>0</v>
      </c>
      <c r="W1093">
        <f>IF(COUNT($V$1091:$V$1093)&lt;3,"",AVERAGE($V$1091:$V$1093))</f>
        <v>0</v>
      </c>
      <c r="X1093">
        <f>IF(COUNT($N$1080:$N$1093)&lt;14,"",MIN($N$1080:$N$1093))</f>
        <v>0</v>
      </c>
      <c r="Y1093">
        <f>IF(COUNT($N$1080:$N$1093)&lt;14,"",MAX($N$1080:$N$1093))</f>
        <v>0</v>
      </c>
      <c r="Z1093">
        <f>IF(OR(N1093="",X1093="",Y1093="",Y1093=X1093),"",100*(N1093-X1093)/(Y1093-X1093))</f>
        <v>0</v>
      </c>
      <c r="AA1093">
        <f>IF(COUNT($Z$1091:$Z$1093)&lt;3,"",AVERAGE($Z$1091:$Z$1093))</f>
        <v>0</v>
      </c>
      <c r="AB1093">
        <f>IF(COUNT($AA$1091:$AA$1093)&lt;3,"",AVERAGE($AA$1091:$AA$1093))</f>
        <v>0</v>
      </c>
      <c r="AC1093">
        <f>IF($E1093="","",MAX($C1093-$D1093,ABS($C1093-$E1092),ABS($D1093-$E1092)))</f>
        <v>0</v>
      </c>
      <c r="AD1093">
        <f>IF(COUNT($E$2:$E1093)&lt;15,"",AVERAGE($AC$1080:$AC$1093))</f>
        <v>0</v>
      </c>
      <c r="AE1093">
        <f>IF(OR($E1093="",$E1092=""),"",IF(AND(($C1093-$C1092)&gt;($D1092-$D1093),($C1093-$C1092)&gt;0),$C1093-$C1092,0))</f>
        <v>0</v>
      </c>
      <c r="AF1093">
        <f>IF(OR($E1093="",$E1092=""),"",IF(AND(($D1092-$D1093)&gt;($C1093-$C1092),($D1092-$D1093)&gt;0),$D1092-$D1093,0))</f>
        <v>0</v>
      </c>
      <c r="AG1093">
        <f>IF(COUNT($E$2:$E1093)&lt;15,"",IF(SUM($AC$1080:$AC$1093)=0,0,100*SUM($AE$1080:$AE$1093)/SUM($AC$1080:$AC$1093)))</f>
        <v>0</v>
      </c>
      <c r="AH1093">
        <f>IF(COUNT($E$2:$E1093)&lt;15,"",IF(SUM($AC$1080:$AC$1093)=0,0,100*SUM($AF$1080:$AF$1093)/SUM($AC$1080:$AC$1093)))</f>
        <v>0</v>
      </c>
      <c r="AI1093">
        <f>IF(OR(AG1093="",AH1093=""),"",IF((AG1093+AH1093)=0,0,100*ABS(AG1093-AH1093)/(AG1093+AH1093)))</f>
        <v>0</v>
      </c>
      <c r="AJ1093">
        <f>IF(COUNT($AI$1080:$AI$1093)&lt;14,"",AVERAGE($AI$1080:$AI$1093))</f>
        <v>0</v>
      </c>
      <c r="AK1093">
        <f>IF(COUNT($E$2:$E1093)&lt;20,"",AVERAGE($E$1074:$E$1093))</f>
        <v>0</v>
      </c>
      <c r="AL1093">
        <f>IF(COUNT($E$2:$E1093)&lt;20,"",STDEVP($E$1074:$E$1093))</f>
        <v>0</v>
      </c>
      <c r="AM1093">
        <f>IF(AK1093="","",AK1093+2*AL1093)</f>
        <v>0</v>
      </c>
      <c r="AN1093">
        <f>IF(AK1093="","",AK1093-2*AL1093)</f>
        <v>0</v>
      </c>
      <c r="AO1093">
        <f>IF(OR(AM1093="",AN1093="",AM1093=AN1093),"",($E1093-AN1093)/(AM1093-AN1093))</f>
        <v>0</v>
      </c>
      <c r="AP1093">
        <f>IF(OR(AM1093="",AK1093="",AK1093=0),"",(AM1093-AN1093)/AK1093)</f>
        <v>0</v>
      </c>
      <c r="AQ1093">
        <f>IF(COUNT($E$2:$E1093)&lt;20,"",MAX($C$1074:$C$1093))</f>
        <v>0</v>
      </c>
      <c r="AR1093">
        <f>IF(COUNT($E$2:$E1093)&lt;20,"",MIN($D$1074:$D$1093))</f>
        <v>0</v>
      </c>
      <c r="AS1093">
        <f>IF(OR(AQ1093="",AR1093=""),"",(AQ1093+AR1093)/2)</f>
        <v>0</v>
      </c>
      <c r="AT1093">
        <f>IF(COUNT($G$1074:$G$1093)&lt;20,"",STDEV($G$1074:$G$1093)*SQRT(252))</f>
        <v>0</v>
      </c>
      <c r="AU1093">
        <f>IF(COUNT($E$2:$E1093)&lt;9,"",(MAX($C$1085:$C$1093)+MIN($D$1085:$D$1093))/2)</f>
        <v>0</v>
      </c>
      <c r="AV1093">
        <f>IF(COUNT($E$2:$E1093)&lt;26,"",(MAX($C$1068:$C$1093)+MIN($D$1068:$D$1093))/2)</f>
        <v>0</v>
      </c>
      <c r="AW1093">
        <f>IF(OR(AU1093="",AV1093=""),"",(AU1093+AV1093)/2)</f>
        <v>0</v>
      </c>
      <c r="AX1093">
        <f>IF(COUNT($E$2:$E1093)&lt;52,"",(MAX($C$1042:$C$1093)+MIN($D$1042:$D$1093))/2)</f>
        <v>0</v>
      </c>
      <c r="AY1093">
        <f>IF(COUNT($E$2:$E1093)&lt;20,"",MAX($C$994:$C$1093))</f>
        <v>0</v>
      </c>
      <c r="AZ1093">
        <f>IF(COUNT($E$2:$E1093)&lt;20,"",MIN($D$994:$D$1093))</f>
        <v>0</v>
      </c>
      <c r="BA1093">
        <f>IF(COUNT($E$2:$E1093)&lt;20,"",SLOPE($E$994:$E$1093,$F$994:$F$1093))</f>
        <v>0</v>
      </c>
      <c r="BB1093">
        <f>IF(COUNT($E$2:$E1093)&lt;20,"",INTERCEPT($E$994:$E$1093,$F$994:$F$1093))</f>
        <v>0</v>
      </c>
      <c r="BC1093">
        <f>IF(OR(BA1093="",BB1093=""),"",BB1093+BA1093*F1093)</f>
        <v>0</v>
      </c>
      <c r="BD1093">
        <f>IF(COUNT($E$2:$E1093)&lt;20,"",STEYX($E$994:$E$1093,$F$994:$F$1093))</f>
        <v>0</v>
      </c>
      <c r="BE1093">
        <f>IF($E1093="","",IF(AND(COUNT($E$1094:$E$1097)&gt;=4,$C1093=MAX($C$1089:$C$1097)),$C1093,""))</f>
        <v>0</v>
      </c>
      <c r="BF1093">
        <f>IF($E1093="","",IF(AND(COUNT($E$1094:$E$1097)&gt;=4,$D1093=MIN($D$1089:$D$1097)),$D1093,""))</f>
        <v>0</v>
      </c>
      <c r="BG1093">
        <f>IF($A1093="","",$A1093-WEEKDAY($A1093,2)+1)</f>
        <v>0</v>
      </c>
      <c r="BH1093">
        <f>IF($A1093="","",IF($A1092="",1,IF(BG1093&lt;&gt;BG1092,1,0)))</f>
        <v>0</v>
      </c>
      <c r="BI1093">
        <f>IF($A1093="","",IF($A1094="",1,IF(BG1094&lt;&gt;BG1093,1,0)))</f>
        <v>0</v>
      </c>
      <c r="BJ1093">
        <f>IF($A1093="","",IF(BH1093=1,$B1093,BJ1092))</f>
        <v>0</v>
      </c>
      <c r="BK1093">
        <f>IF($A1093="","",IF(BH1093=1,$C1093,MAX($C1093,BK1092)))</f>
        <v>0</v>
      </c>
      <c r="BL1093">
        <f>IF($A1093="","",IF(BH1093=1,$D1093,MIN($D1093,BL1092)))</f>
        <v>0</v>
      </c>
      <c r="BM1093">
        <f>IF($A1093="","",IF(BI1093=1,F1093,""))</f>
        <v>0</v>
      </c>
      <c r="BN1093">
        <f>IF($A1093="","",DATE(YEAR($A1093),MONTH($A1093),1))</f>
        <v>0</v>
      </c>
      <c r="BO1093">
        <f>IF($A1093="","",IF($A1092="",1,IF(BN1093&lt;&gt;BN1092,1,0)))</f>
        <v>0</v>
      </c>
      <c r="BP1093">
        <f>IF($A1093="","",IF($A1094="",1,IF(BN1094&lt;&gt;BN1093,1,0)))</f>
        <v>0</v>
      </c>
      <c r="BQ1093">
        <f>IF($A1093="","",IF(BO1093=1,$B1093,BQ1092))</f>
        <v>0</v>
      </c>
      <c r="BR1093">
        <f>IF($A1093="","",IF(BO1093=1,$C1093,MAX($C1093,BR1092)))</f>
        <v>0</v>
      </c>
      <c r="BS1093">
        <f>IF($A1093="","",IF(BO1093=1,$D1093,MIN($D1093,BS1092)))</f>
        <v>0</v>
      </c>
      <c r="BT1093">
        <f>IF($A1093="","",IF(BP1093=1,F1093,""))</f>
        <v>0</v>
      </c>
    </row>
    <row r="1094" spans="1:72">
      <c r="A1094" s="27">
        <f>IF(Data!$A1094="","",Data!$A1094)</f>
        <v>0</v>
      </c>
      <c r="B1094">
        <f>IF(Data!$B1094="","",Data!$B1094)</f>
        <v>0</v>
      </c>
      <c r="C1094">
        <f>IF(Data!$C1094="","",Data!$C1094)</f>
        <v>0</v>
      </c>
      <c r="D1094">
        <f>IF(Data!$D1094="","",Data!$D1094)</f>
        <v>0</v>
      </c>
      <c r="E1094">
        <f>IF(Data!$E1094="","",Data!$E1094)</f>
        <v>0</v>
      </c>
      <c r="F1094">
        <f>IF($E1094="","",N(F1093)+1)</f>
        <v>0</v>
      </c>
      <c r="G1094">
        <f>IF(OR($E1094="",$E1093=""),"",LN($E1094/$E1093))</f>
        <v>0</v>
      </c>
      <c r="H1094">
        <f>IF($E1094="","",IF($E1093="",$E1094,$E1094*0.0952380952+H1093*0.9047619048))</f>
        <v>0</v>
      </c>
      <c r="I1094">
        <f>IF($E1094="","",IF($E1093="",$E1094,$E1094*0.0392156863+I1093*0.9607843137))</f>
        <v>0</v>
      </c>
      <c r="J1094">
        <f>IF($E1094="","",IF($E1093="",$E1094,$E1094*0.0198019802+J1093*0.9801980198))</f>
        <v>0</v>
      </c>
      <c r="K1094">
        <f>IF($E1094="","",IF($E1093="",$E1094,$E1094*0.0099502488+K1093*0.9900497512))</f>
        <v>0</v>
      </c>
      <c r="L1094">
        <f>IF(OR($E1094="",$E1093=""),"",MAX($E1094-$E1093,0))</f>
        <v>0</v>
      </c>
      <c r="M1094">
        <f>IF(OR($E1094="",$E1093=""),"",MAX($E1093-$E1094,0))</f>
        <v>0</v>
      </c>
      <c r="N1094">
        <f>IF(COUNT($E$2:$E1094)&lt;15,"",IF(AVERAGE($M$1081:$M$1094)=0,100,100-100/(1+AVERAGE($L$1081:$L$1094)/AVERAGE($M$1081:$M$1094))))</f>
        <v>0</v>
      </c>
      <c r="O1094">
        <f>IF($E1094="","",IF($E1093="",$E1094,$E1094*0.1538461538+O1093*0.8461538462))</f>
        <v>0</v>
      </c>
      <c r="P1094">
        <f>IF($E1094="","",IF($E1093="",$E1094,$E1094*0.0740740741+P1093*0.9259259259))</f>
        <v>0</v>
      </c>
      <c r="Q1094">
        <f>IF(OR(O1094="",P1094=""),"",O1094-P1094)</f>
        <v>0</v>
      </c>
      <c r="R1094">
        <f>IF(Q1094="","",IF(R1093="",Q1094,Q1094*0.2000000000+R1093*0.8000000000))</f>
        <v>0</v>
      </c>
      <c r="S1094">
        <f>IF(OR(Q1094="",R1094=""),"",Q1094-R1094)</f>
        <v>0</v>
      </c>
      <c r="T1094">
        <f>IF(COUNT($E$2:$E1094)&lt;14,"",MAX($C$1081:$C$1094))</f>
        <v>0</v>
      </c>
      <c r="U1094">
        <f>IF(COUNT($E$2:$E1094)&lt;14,"",MIN($D$1081:$D$1094))</f>
        <v>0</v>
      </c>
      <c r="V1094">
        <f>IF(OR(T1094="",U1094="",T1094=U1094),"",100*($E1094-U1094)/(T1094-U1094))</f>
        <v>0</v>
      </c>
      <c r="W1094">
        <f>IF(COUNT($V$1092:$V$1094)&lt;3,"",AVERAGE($V$1092:$V$1094))</f>
        <v>0</v>
      </c>
      <c r="X1094">
        <f>IF(COUNT($N$1081:$N$1094)&lt;14,"",MIN($N$1081:$N$1094))</f>
        <v>0</v>
      </c>
      <c r="Y1094">
        <f>IF(COUNT($N$1081:$N$1094)&lt;14,"",MAX($N$1081:$N$1094))</f>
        <v>0</v>
      </c>
      <c r="Z1094">
        <f>IF(OR(N1094="",X1094="",Y1094="",Y1094=X1094),"",100*(N1094-X1094)/(Y1094-X1094))</f>
        <v>0</v>
      </c>
      <c r="AA1094">
        <f>IF(COUNT($Z$1092:$Z$1094)&lt;3,"",AVERAGE($Z$1092:$Z$1094))</f>
        <v>0</v>
      </c>
      <c r="AB1094">
        <f>IF(COUNT($AA$1092:$AA$1094)&lt;3,"",AVERAGE($AA$1092:$AA$1094))</f>
        <v>0</v>
      </c>
      <c r="AC1094">
        <f>IF($E1094="","",MAX($C1094-$D1094,ABS($C1094-$E1093),ABS($D1094-$E1093)))</f>
        <v>0</v>
      </c>
      <c r="AD1094">
        <f>IF(COUNT($E$2:$E1094)&lt;15,"",AVERAGE($AC$1081:$AC$1094))</f>
        <v>0</v>
      </c>
      <c r="AE1094">
        <f>IF(OR($E1094="",$E1093=""),"",IF(AND(($C1094-$C1093)&gt;($D1093-$D1094),($C1094-$C1093)&gt;0),$C1094-$C1093,0))</f>
        <v>0</v>
      </c>
      <c r="AF1094">
        <f>IF(OR($E1094="",$E1093=""),"",IF(AND(($D1093-$D1094)&gt;($C1094-$C1093),($D1093-$D1094)&gt;0),$D1093-$D1094,0))</f>
        <v>0</v>
      </c>
      <c r="AG1094">
        <f>IF(COUNT($E$2:$E1094)&lt;15,"",IF(SUM($AC$1081:$AC$1094)=0,0,100*SUM($AE$1081:$AE$1094)/SUM($AC$1081:$AC$1094)))</f>
        <v>0</v>
      </c>
      <c r="AH1094">
        <f>IF(COUNT($E$2:$E1094)&lt;15,"",IF(SUM($AC$1081:$AC$1094)=0,0,100*SUM($AF$1081:$AF$1094)/SUM($AC$1081:$AC$1094)))</f>
        <v>0</v>
      </c>
      <c r="AI1094">
        <f>IF(OR(AG1094="",AH1094=""),"",IF((AG1094+AH1094)=0,0,100*ABS(AG1094-AH1094)/(AG1094+AH1094)))</f>
        <v>0</v>
      </c>
      <c r="AJ1094">
        <f>IF(COUNT($AI$1081:$AI$1094)&lt;14,"",AVERAGE($AI$1081:$AI$1094))</f>
        <v>0</v>
      </c>
      <c r="AK1094">
        <f>IF(COUNT($E$2:$E1094)&lt;20,"",AVERAGE($E$1075:$E$1094))</f>
        <v>0</v>
      </c>
      <c r="AL1094">
        <f>IF(COUNT($E$2:$E1094)&lt;20,"",STDEVP($E$1075:$E$1094))</f>
        <v>0</v>
      </c>
      <c r="AM1094">
        <f>IF(AK1094="","",AK1094+2*AL1094)</f>
        <v>0</v>
      </c>
      <c r="AN1094">
        <f>IF(AK1094="","",AK1094-2*AL1094)</f>
        <v>0</v>
      </c>
      <c r="AO1094">
        <f>IF(OR(AM1094="",AN1094="",AM1094=AN1094),"",($E1094-AN1094)/(AM1094-AN1094))</f>
        <v>0</v>
      </c>
      <c r="AP1094">
        <f>IF(OR(AM1094="",AK1094="",AK1094=0),"",(AM1094-AN1094)/AK1094)</f>
        <v>0</v>
      </c>
      <c r="AQ1094">
        <f>IF(COUNT($E$2:$E1094)&lt;20,"",MAX($C$1075:$C$1094))</f>
        <v>0</v>
      </c>
      <c r="AR1094">
        <f>IF(COUNT($E$2:$E1094)&lt;20,"",MIN($D$1075:$D$1094))</f>
        <v>0</v>
      </c>
      <c r="AS1094">
        <f>IF(OR(AQ1094="",AR1094=""),"",(AQ1094+AR1094)/2)</f>
        <v>0</v>
      </c>
      <c r="AT1094">
        <f>IF(COUNT($G$1075:$G$1094)&lt;20,"",STDEV($G$1075:$G$1094)*SQRT(252))</f>
        <v>0</v>
      </c>
      <c r="AU1094">
        <f>IF(COUNT($E$2:$E1094)&lt;9,"",(MAX($C$1086:$C$1094)+MIN($D$1086:$D$1094))/2)</f>
        <v>0</v>
      </c>
      <c r="AV1094">
        <f>IF(COUNT($E$2:$E1094)&lt;26,"",(MAX($C$1069:$C$1094)+MIN($D$1069:$D$1094))/2)</f>
        <v>0</v>
      </c>
      <c r="AW1094">
        <f>IF(OR(AU1094="",AV1094=""),"",(AU1094+AV1094)/2)</f>
        <v>0</v>
      </c>
      <c r="AX1094">
        <f>IF(COUNT($E$2:$E1094)&lt;52,"",(MAX($C$1043:$C$1094)+MIN($D$1043:$D$1094))/2)</f>
        <v>0</v>
      </c>
      <c r="AY1094">
        <f>IF(COUNT($E$2:$E1094)&lt;20,"",MAX($C$995:$C$1094))</f>
        <v>0</v>
      </c>
      <c r="AZ1094">
        <f>IF(COUNT($E$2:$E1094)&lt;20,"",MIN($D$995:$D$1094))</f>
        <v>0</v>
      </c>
      <c r="BA1094">
        <f>IF(COUNT($E$2:$E1094)&lt;20,"",SLOPE($E$995:$E$1094,$F$995:$F$1094))</f>
        <v>0</v>
      </c>
      <c r="BB1094">
        <f>IF(COUNT($E$2:$E1094)&lt;20,"",INTERCEPT($E$995:$E$1094,$F$995:$F$1094))</f>
        <v>0</v>
      </c>
      <c r="BC1094">
        <f>IF(OR(BA1094="",BB1094=""),"",BB1094+BA1094*F1094)</f>
        <v>0</v>
      </c>
      <c r="BD1094">
        <f>IF(COUNT($E$2:$E1094)&lt;20,"",STEYX($E$995:$E$1094,$F$995:$F$1094))</f>
        <v>0</v>
      </c>
      <c r="BE1094">
        <f>IF($E1094="","",IF(AND(COUNT($E$1095:$E$1098)&gt;=4,$C1094=MAX($C$1090:$C$1098)),$C1094,""))</f>
        <v>0</v>
      </c>
      <c r="BF1094">
        <f>IF($E1094="","",IF(AND(COUNT($E$1095:$E$1098)&gt;=4,$D1094=MIN($D$1090:$D$1098)),$D1094,""))</f>
        <v>0</v>
      </c>
      <c r="BG1094">
        <f>IF($A1094="","",$A1094-WEEKDAY($A1094,2)+1)</f>
        <v>0</v>
      </c>
      <c r="BH1094">
        <f>IF($A1094="","",IF($A1093="",1,IF(BG1094&lt;&gt;BG1093,1,0)))</f>
        <v>0</v>
      </c>
      <c r="BI1094">
        <f>IF($A1094="","",IF($A1095="",1,IF(BG1095&lt;&gt;BG1094,1,0)))</f>
        <v>0</v>
      </c>
      <c r="BJ1094">
        <f>IF($A1094="","",IF(BH1094=1,$B1094,BJ1093))</f>
        <v>0</v>
      </c>
      <c r="BK1094">
        <f>IF($A1094="","",IF(BH1094=1,$C1094,MAX($C1094,BK1093)))</f>
        <v>0</v>
      </c>
      <c r="BL1094">
        <f>IF($A1094="","",IF(BH1094=1,$D1094,MIN($D1094,BL1093)))</f>
        <v>0</v>
      </c>
      <c r="BM1094">
        <f>IF($A1094="","",IF(BI1094=1,F1094,""))</f>
        <v>0</v>
      </c>
      <c r="BN1094">
        <f>IF($A1094="","",DATE(YEAR($A1094),MONTH($A1094),1))</f>
        <v>0</v>
      </c>
      <c r="BO1094">
        <f>IF($A1094="","",IF($A1093="",1,IF(BN1094&lt;&gt;BN1093,1,0)))</f>
        <v>0</v>
      </c>
      <c r="BP1094">
        <f>IF($A1094="","",IF($A1095="",1,IF(BN1095&lt;&gt;BN1094,1,0)))</f>
        <v>0</v>
      </c>
      <c r="BQ1094">
        <f>IF($A1094="","",IF(BO1094=1,$B1094,BQ1093))</f>
        <v>0</v>
      </c>
      <c r="BR1094">
        <f>IF($A1094="","",IF(BO1094=1,$C1094,MAX($C1094,BR1093)))</f>
        <v>0</v>
      </c>
      <c r="BS1094">
        <f>IF($A1094="","",IF(BO1094=1,$D1094,MIN($D1094,BS1093)))</f>
        <v>0</v>
      </c>
      <c r="BT1094">
        <f>IF($A1094="","",IF(BP1094=1,F1094,""))</f>
        <v>0</v>
      </c>
    </row>
    <row r="1095" spans="1:72">
      <c r="A1095" s="27">
        <f>IF(Data!$A1095="","",Data!$A1095)</f>
        <v>0</v>
      </c>
      <c r="B1095">
        <f>IF(Data!$B1095="","",Data!$B1095)</f>
        <v>0</v>
      </c>
      <c r="C1095">
        <f>IF(Data!$C1095="","",Data!$C1095)</f>
        <v>0</v>
      </c>
      <c r="D1095">
        <f>IF(Data!$D1095="","",Data!$D1095)</f>
        <v>0</v>
      </c>
      <c r="E1095">
        <f>IF(Data!$E1095="","",Data!$E1095)</f>
        <v>0</v>
      </c>
      <c r="F1095">
        <f>IF($E1095="","",N(F1094)+1)</f>
        <v>0</v>
      </c>
      <c r="G1095">
        <f>IF(OR($E1095="",$E1094=""),"",LN($E1095/$E1094))</f>
        <v>0</v>
      </c>
      <c r="H1095">
        <f>IF($E1095="","",IF($E1094="",$E1095,$E1095*0.0952380952+H1094*0.9047619048))</f>
        <v>0</v>
      </c>
      <c r="I1095">
        <f>IF($E1095="","",IF($E1094="",$E1095,$E1095*0.0392156863+I1094*0.9607843137))</f>
        <v>0</v>
      </c>
      <c r="J1095">
        <f>IF($E1095="","",IF($E1094="",$E1095,$E1095*0.0198019802+J1094*0.9801980198))</f>
        <v>0</v>
      </c>
      <c r="K1095">
        <f>IF($E1095="","",IF($E1094="",$E1095,$E1095*0.0099502488+K1094*0.9900497512))</f>
        <v>0</v>
      </c>
      <c r="L1095">
        <f>IF(OR($E1095="",$E1094=""),"",MAX($E1095-$E1094,0))</f>
        <v>0</v>
      </c>
      <c r="M1095">
        <f>IF(OR($E1095="",$E1094=""),"",MAX($E1094-$E1095,0))</f>
        <v>0</v>
      </c>
      <c r="N1095">
        <f>IF(COUNT($E$2:$E1095)&lt;15,"",IF(AVERAGE($M$1082:$M$1095)=0,100,100-100/(1+AVERAGE($L$1082:$L$1095)/AVERAGE($M$1082:$M$1095))))</f>
        <v>0</v>
      </c>
      <c r="O1095">
        <f>IF($E1095="","",IF($E1094="",$E1095,$E1095*0.1538461538+O1094*0.8461538462))</f>
        <v>0</v>
      </c>
      <c r="P1095">
        <f>IF($E1095="","",IF($E1094="",$E1095,$E1095*0.0740740741+P1094*0.9259259259))</f>
        <v>0</v>
      </c>
      <c r="Q1095">
        <f>IF(OR(O1095="",P1095=""),"",O1095-P1095)</f>
        <v>0</v>
      </c>
      <c r="R1095">
        <f>IF(Q1095="","",IF(R1094="",Q1095,Q1095*0.2000000000+R1094*0.8000000000))</f>
        <v>0</v>
      </c>
      <c r="S1095">
        <f>IF(OR(Q1095="",R1095=""),"",Q1095-R1095)</f>
        <v>0</v>
      </c>
      <c r="T1095">
        <f>IF(COUNT($E$2:$E1095)&lt;14,"",MAX($C$1082:$C$1095))</f>
        <v>0</v>
      </c>
      <c r="U1095">
        <f>IF(COUNT($E$2:$E1095)&lt;14,"",MIN($D$1082:$D$1095))</f>
        <v>0</v>
      </c>
      <c r="V1095">
        <f>IF(OR(T1095="",U1095="",T1095=U1095),"",100*($E1095-U1095)/(T1095-U1095))</f>
        <v>0</v>
      </c>
      <c r="W1095">
        <f>IF(COUNT($V$1093:$V$1095)&lt;3,"",AVERAGE($V$1093:$V$1095))</f>
        <v>0</v>
      </c>
      <c r="X1095">
        <f>IF(COUNT($N$1082:$N$1095)&lt;14,"",MIN($N$1082:$N$1095))</f>
        <v>0</v>
      </c>
      <c r="Y1095">
        <f>IF(COUNT($N$1082:$N$1095)&lt;14,"",MAX($N$1082:$N$1095))</f>
        <v>0</v>
      </c>
      <c r="Z1095">
        <f>IF(OR(N1095="",X1095="",Y1095="",Y1095=X1095),"",100*(N1095-X1095)/(Y1095-X1095))</f>
        <v>0</v>
      </c>
      <c r="AA1095">
        <f>IF(COUNT($Z$1093:$Z$1095)&lt;3,"",AVERAGE($Z$1093:$Z$1095))</f>
        <v>0</v>
      </c>
      <c r="AB1095">
        <f>IF(COUNT($AA$1093:$AA$1095)&lt;3,"",AVERAGE($AA$1093:$AA$1095))</f>
        <v>0</v>
      </c>
      <c r="AC1095">
        <f>IF($E1095="","",MAX($C1095-$D1095,ABS($C1095-$E1094),ABS($D1095-$E1094)))</f>
        <v>0</v>
      </c>
      <c r="AD1095">
        <f>IF(COUNT($E$2:$E1095)&lt;15,"",AVERAGE($AC$1082:$AC$1095))</f>
        <v>0</v>
      </c>
      <c r="AE1095">
        <f>IF(OR($E1095="",$E1094=""),"",IF(AND(($C1095-$C1094)&gt;($D1094-$D1095),($C1095-$C1094)&gt;0),$C1095-$C1094,0))</f>
        <v>0</v>
      </c>
      <c r="AF1095">
        <f>IF(OR($E1095="",$E1094=""),"",IF(AND(($D1094-$D1095)&gt;($C1095-$C1094),($D1094-$D1095)&gt;0),$D1094-$D1095,0))</f>
        <v>0</v>
      </c>
      <c r="AG1095">
        <f>IF(COUNT($E$2:$E1095)&lt;15,"",IF(SUM($AC$1082:$AC$1095)=0,0,100*SUM($AE$1082:$AE$1095)/SUM($AC$1082:$AC$1095)))</f>
        <v>0</v>
      </c>
      <c r="AH1095">
        <f>IF(COUNT($E$2:$E1095)&lt;15,"",IF(SUM($AC$1082:$AC$1095)=0,0,100*SUM($AF$1082:$AF$1095)/SUM($AC$1082:$AC$1095)))</f>
        <v>0</v>
      </c>
      <c r="AI1095">
        <f>IF(OR(AG1095="",AH1095=""),"",IF((AG1095+AH1095)=0,0,100*ABS(AG1095-AH1095)/(AG1095+AH1095)))</f>
        <v>0</v>
      </c>
      <c r="AJ1095">
        <f>IF(COUNT($AI$1082:$AI$1095)&lt;14,"",AVERAGE($AI$1082:$AI$1095))</f>
        <v>0</v>
      </c>
      <c r="AK1095">
        <f>IF(COUNT($E$2:$E1095)&lt;20,"",AVERAGE($E$1076:$E$1095))</f>
        <v>0</v>
      </c>
      <c r="AL1095">
        <f>IF(COUNT($E$2:$E1095)&lt;20,"",STDEVP($E$1076:$E$1095))</f>
        <v>0</v>
      </c>
      <c r="AM1095">
        <f>IF(AK1095="","",AK1095+2*AL1095)</f>
        <v>0</v>
      </c>
      <c r="AN1095">
        <f>IF(AK1095="","",AK1095-2*AL1095)</f>
        <v>0</v>
      </c>
      <c r="AO1095">
        <f>IF(OR(AM1095="",AN1095="",AM1095=AN1095),"",($E1095-AN1095)/(AM1095-AN1095))</f>
        <v>0</v>
      </c>
      <c r="AP1095">
        <f>IF(OR(AM1095="",AK1095="",AK1095=0),"",(AM1095-AN1095)/AK1095)</f>
        <v>0</v>
      </c>
      <c r="AQ1095">
        <f>IF(COUNT($E$2:$E1095)&lt;20,"",MAX($C$1076:$C$1095))</f>
        <v>0</v>
      </c>
      <c r="AR1095">
        <f>IF(COUNT($E$2:$E1095)&lt;20,"",MIN($D$1076:$D$1095))</f>
        <v>0</v>
      </c>
      <c r="AS1095">
        <f>IF(OR(AQ1095="",AR1095=""),"",(AQ1095+AR1095)/2)</f>
        <v>0</v>
      </c>
      <c r="AT1095">
        <f>IF(COUNT($G$1076:$G$1095)&lt;20,"",STDEV($G$1076:$G$1095)*SQRT(252))</f>
        <v>0</v>
      </c>
      <c r="AU1095">
        <f>IF(COUNT($E$2:$E1095)&lt;9,"",(MAX($C$1087:$C$1095)+MIN($D$1087:$D$1095))/2)</f>
        <v>0</v>
      </c>
      <c r="AV1095">
        <f>IF(COUNT($E$2:$E1095)&lt;26,"",(MAX($C$1070:$C$1095)+MIN($D$1070:$D$1095))/2)</f>
        <v>0</v>
      </c>
      <c r="AW1095">
        <f>IF(OR(AU1095="",AV1095=""),"",(AU1095+AV1095)/2)</f>
        <v>0</v>
      </c>
      <c r="AX1095">
        <f>IF(COUNT($E$2:$E1095)&lt;52,"",(MAX($C$1044:$C$1095)+MIN($D$1044:$D$1095))/2)</f>
        <v>0</v>
      </c>
      <c r="AY1095">
        <f>IF(COUNT($E$2:$E1095)&lt;20,"",MAX($C$996:$C$1095))</f>
        <v>0</v>
      </c>
      <c r="AZ1095">
        <f>IF(COUNT($E$2:$E1095)&lt;20,"",MIN($D$996:$D$1095))</f>
        <v>0</v>
      </c>
      <c r="BA1095">
        <f>IF(COUNT($E$2:$E1095)&lt;20,"",SLOPE($E$996:$E$1095,$F$996:$F$1095))</f>
        <v>0</v>
      </c>
      <c r="BB1095">
        <f>IF(COUNT($E$2:$E1095)&lt;20,"",INTERCEPT($E$996:$E$1095,$F$996:$F$1095))</f>
        <v>0</v>
      </c>
      <c r="BC1095">
        <f>IF(OR(BA1095="",BB1095=""),"",BB1095+BA1095*F1095)</f>
        <v>0</v>
      </c>
      <c r="BD1095">
        <f>IF(COUNT($E$2:$E1095)&lt;20,"",STEYX($E$996:$E$1095,$F$996:$F$1095))</f>
        <v>0</v>
      </c>
      <c r="BE1095">
        <f>IF($E1095="","",IF(AND(COUNT($E$1096:$E$1099)&gt;=4,$C1095=MAX($C$1091:$C$1099)),$C1095,""))</f>
        <v>0</v>
      </c>
      <c r="BF1095">
        <f>IF($E1095="","",IF(AND(COUNT($E$1096:$E$1099)&gt;=4,$D1095=MIN($D$1091:$D$1099)),$D1095,""))</f>
        <v>0</v>
      </c>
      <c r="BG1095">
        <f>IF($A1095="","",$A1095-WEEKDAY($A1095,2)+1)</f>
        <v>0</v>
      </c>
      <c r="BH1095">
        <f>IF($A1095="","",IF($A1094="",1,IF(BG1095&lt;&gt;BG1094,1,0)))</f>
        <v>0</v>
      </c>
      <c r="BI1095">
        <f>IF($A1095="","",IF($A1096="",1,IF(BG1096&lt;&gt;BG1095,1,0)))</f>
        <v>0</v>
      </c>
      <c r="BJ1095">
        <f>IF($A1095="","",IF(BH1095=1,$B1095,BJ1094))</f>
        <v>0</v>
      </c>
      <c r="BK1095">
        <f>IF($A1095="","",IF(BH1095=1,$C1095,MAX($C1095,BK1094)))</f>
        <v>0</v>
      </c>
      <c r="BL1095">
        <f>IF($A1095="","",IF(BH1095=1,$D1095,MIN($D1095,BL1094)))</f>
        <v>0</v>
      </c>
      <c r="BM1095">
        <f>IF($A1095="","",IF(BI1095=1,F1095,""))</f>
        <v>0</v>
      </c>
      <c r="BN1095">
        <f>IF($A1095="","",DATE(YEAR($A1095),MONTH($A1095),1))</f>
        <v>0</v>
      </c>
      <c r="BO1095">
        <f>IF($A1095="","",IF($A1094="",1,IF(BN1095&lt;&gt;BN1094,1,0)))</f>
        <v>0</v>
      </c>
      <c r="BP1095">
        <f>IF($A1095="","",IF($A1096="",1,IF(BN1096&lt;&gt;BN1095,1,0)))</f>
        <v>0</v>
      </c>
      <c r="BQ1095">
        <f>IF($A1095="","",IF(BO1095=1,$B1095,BQ1094))</f>
        <v>0</v>
      </c>
      <c r="BR1095">
        <f>IF($A1095="","",IF(BO1095=1,$C1095,MAX($C1095,BR1094)))</f>
        <v>0</v>
      </c>
      <c r="BS1095">
        <f>IF($A1095="","",IF(BO1095=1,$D1095,MIN($D1095,BS1094)))</f>
        <v>0</v>
      </c>
      <c r="BT1095">
        <f>IF($A1095="","",IF(BP1095=1,F1095,""))</f>
        <v>0</v>
      </c>
    </row>
    <row r="1096" spans="1:72">
      <c r="A1096" s="27">
        <f>IF(Data!$A1096="","",Data!$A1096)</f>
        <v>0</v>
      </c>
      <c r="B1096">
        <f>IF(Data!$B1096="","",Data!$B1096)</f>
        <v>0</v>
      </c>
      <c r="C1096">
        <f>IF(Data!$C1096="","",Data!$C1096)</f>
        <v>0</v>
      </c>
      <c r="D1096">
        <f>IF(Data!$D1096="","",Data!$D1096)</f>
        <v>0</v>
      </c>
      <c r="E1096">
        <f>IF(Data!$E1096="","",Data!$E1096)</f>
        <v>0</v>
      </c>
      <c r="F1096">
        <f>IF($E1096="","",N(F1095)+1)</f>
        <v>0</v>
      </c>
      <c r="G1096">
        <f>IF(OR($E1096="",$E1095=""),"",LN($E1096/$E1095))</f>
        <v>0</v>
      </c>
      <c r="H1096">
        <f>IF($E1096="","",IF($E1095="",$E1096,$E1096*0.0952380952+H1095*0.9047619048))</f>
        <v>0</v>
      </c>
      <c r="I1096">
        <f>IF($E1096="","",IF($E1095="",$E1096,$E1096*0.0392156863+I1095*0.9607843137))</f>
        <v>0</v>
      </c>
      <c r="J1096">
        <f>IF($E1096="","",IF($E1095="",$E1096,$E1096*0.0198019802+J1095*0.9801980198))</f>
        <v>0</v>
      </c>
      <c r="K1096">
        <f>IF($E1096="","",IF($E1095="",$E1096,$E1096*0.0099502488+K1095*0.9900497512))</f>
        <v>0</v>
      </c>
      <c r="L1096">
        <f>IF(OR($E1096="",$E1095=""),"",MAX($E1096-$E1095,0))</f>
        <v>0</v>
      </c>
      <c r="M1096">
        <f>IF(OR($E1096="",$E1095=""),"",MAX($E1095-$E1096,0))</f>
        <v>0</v>
      </c>
      <c r="N1096">
        <f>IF(COUNT($E$2:$E1096)&lt;15,"",IF(AVERAGE($M$1083:$M$1096)=0,100,100-100/(1+AVERAGE($L$1083:$L$1096)/AVERAGE($M$1083:$M$1096))))</f>
        <v>0</v>
      </c>
      <c r="O1096">
        <f>IF($E1096="","",IF($E1095="",$E1096,$E1096*0.1538461538+O1095*0.8461538462))</f>
        <v>0</v>
      </c>
      <c r="P1096">
        <f>IF($E1096="","",IF($E1095="",$E1096,$E1096*0.0740740741+P1095*0.9259259259))</f>
        <v>0</v>
      </c>
      <c r="Q1096">
        <f>IF(OR(O1096="",P1096=""),"",O1096-P1096)</f>
        <v>0</v>
      </c>
      <c r="R1096">
        <f>IF(Q1096="","",IF(R1095="",Q1096,Q1096*0.2000000000+R1095*0.8000000000))</f>
        <v>0</v>
      </c>
      <c r="S1096">
        <f>IF(OR(Q1096="",R1096=""),"",Q1096-R1096)</f>
        <v>0</v>
      </c>
      <c r="T1096">
        <f>IF(COUNT($E$2:$E1096)&lt;14,"",MAX($C$1083:$C$1096))</f>
        <v>0</v>
      </c>
      <c r="U1096">
        <f>IF(COUNT($E$2:$E1096)&lt;14,"",MIN($D$1083:$D$1096))</f>
        <v>0</v>
      </c>
      <c r="V1096">
        <f>IF(OR(T1096="",U1096="",T1096=U1096),"",100*($E1096-U1096)/(T1096-U1096))</f>
        <v>0</v>
      </c>
      <c r="W1096">
        <f>IF(COUNT($V$1094:$V$1096)&lt;3,"",AVERAGE($V$1094:$V$1096))</f>
        <v>0</v>
      </c>
      <c r="X1096">
        <f>IF(COUNT($N$1083:$N$1096)&lt;14,"",MIN($N$1083:$N$1096))</f>
        <v>0</v>
      </c>
      <c r="Y1096">
        <f>IF(COUNT($N$1083:$N$1096)&lt;14,"",MAX($N$1083:$N$1096))</f>
        <v>0</v>
      </c>
      <c r="Z1096">
        <f>IF(OR(N1096="",X1096="",Y1096="",Y1096=X1096),"",100*(N1096-X1096)/(Y1096-X1096))</f>
        <v>0</v>
      </c>
      <c r="AA1096">
        <f>IF(COUNT($Z$1094:$Z$1096)&lt;3,"",AVERAGE($Z$1094:$Z$1096))</f>
        <v>0</v>
      </c>
      <c r="AB1096">
        <f>IF(COUNT($AA$1094:$AA$1096)&lt;3,"",AVERAGE($AA$1094:$AA$1096))</f>
        <v>0</v>
      </c>
      <c r="AC1096">
        <f>IF($E1096="","",MAX($C1096-$D1096,ABS($C1096-$E1095),ABS($D1096-$E1095)))</f>
        <v>0</v>
      </c>
      <c r="AD1096">
        <f>IF(COUNT($E$2:$E1096)&lt;15,"",AVERAGE($AC$1083:$AC$1096))</f>
        <v>0</v>
      </c>
      <c r="AE1096">
        <f>IF(OR($E1096="",$E1095=""),"",IF(AND(($C1096-$C1095)&gt;($D1095-$D1096),($C1096-$C1095)&gt;0),$C1096-$C1095,0))</f>
        <v>0</v>
      </c>
      <c r="AF1096">
        <f>IF(OR($E1096="",$E1095=""),"",IF(AND(($D1095-$D1096)&gt;($C1096-$C1095),($D1095-$D1096)&gt;0),$D1095-$D1096,0))</f>
        <v>0</v>
      </c>
      <c r="AG1096">
        <f>IF(COUNT($E$2:$E1096)&lt;15,"",IF(SUM($AC$1083:$AC$1096)=0,0,100*SUM($AE$1083:$AE$1096)/SUM($AC$1083:$AC$1096)))</f>
        <v>0</v>
      </c>
      <c r="AH1096">
        <f>IF(COUNT($E$2:$E1096)&lt;15,"",IF(SUM($AC$1083:$AC$1096)=0,0,100*SUM($AF$1083:$AF$1096)/SUM($AC$1083:$AC$1096)))</f>
        <v>0</v>
      </c>
      <c r="AI1096">
        <f>IF(OR(AG1096="",AH1096=""),"",IF((AG1096+AH1096)=0,0,100*ABS(AG1096-AH1096)/(AG1096+AH1096)))</f>
        <v>0</v>
      </c>
      <c r="AJ1096">
        <f>IF(COUNT($AI$1083:$AI$1096)&lt;14,"",AVERAGE($AI$1083:$AI$1096))</f>
        <v>0</v>
      </c>
      <c r="AK1096">
        <f>IF(COUNT($E$2:$E1096)&lt;20,"",AVERAGE($E$1077:$E$1096))</f>
        <v>0</v>
      </c>
      <c r="AL1096">
        <f>IF(COUNT($E$2:$E1096)&lt;20,"",STDEVP($E$1077:$E$1096))</f>
        <v>0</v>
      </c>
      <c r="AM1096">
        <f>IF(AK1096="","",AK1096+2*AL1096)</f>
        <v>0</v>
      </c>
      <c r="AN1096">
        <f>IF(AK1096="","",AK1096-2*AL1096)</f>
        <v>0</v>
      </c>
      <c r="AO1096">
        <f>IF(OR(AM1096="",AN1096="",AM1096=AN1096),"",($E1096-AN1096)/(AM1096-AN1096))</f>
        <v>0</v>
      </c>
      <c r="AP1096">
        <f>IF(OR(AM1096="",AK1096="",AK1096=0),"",(AM1096-AN1096)/AK1096)</f>
        <v>0</v>
      </c>
      <c r="AQ1096">
        <f>IF(COUNT($E$2:$E1096)&lt;20,"",MAX($C$1077:$C$1096))</f>
        <v>0</v>
      </c>
      <c r="AR1096">
        <f>IF(COUNT($E$2:$E1096)&lt;20,"",MIN($D$1077:$D$1096))</f>
        <v>0</v>
      </c>
      <c r="AS1096">
        <f>IF(OR(AQ1096="",AR1096=""),"",(AQ1096+AR1096)/2)</f>
        <v>0</v>
      </c>
      <c r="AT1096">
        <f>IF(COUNT($G$1077:$G$1096)&lt;20,"",STDEV($G$1077:$G$1096)*SQRT(252))</f>
        <v>0</v>
      </c>
      <c r="AU1096">
        <f>IF(COUNT($E$2:$E1096)&lt;9,"",(MAX($C$1088:$C$1096)+MIN($D$1088:$D$1096))/2)</f>
        <v>0</v>
      </c>
      <c r="AV1096">
        <f>IF(COUNT($E$2:$E1096)&lt;26,"",(MAX($C$1071:$C$1096)+MIN($D$1071:$D$1096))/2)</f>
        <v>0</v>
      </c>
      <c r="AW1096">
        <f>IF(OR(AU1096="",AV1096=""),"",(AU1096+AV1096)/2)</f>
        <v>0</v>
      </c>
      <c r="AX1096">
        <f>IF(COUNT($E$2:$E1096)&lt;52,"",(MAX($C$1045:$C$1096)+MIN($D$1045:$D$1096))/2)</f>
        <v>0</v>
      </c>
      <c r="AY1096">
        <f>IF(COUNT($E$2:$E1096)&lt;20,"",MAX($C$997:$C$1096))</f>
        <v>0</v>
      </c>
      <c r="AZ1096">
        <f>IF(COUNT($E$2:$E1096)&lt;20,"",MIN($D$997:$D$1096))</f>
        <v>0</v>
      </c>
      <c r="BA1096">
        <f>IF(COUNT($E$2:$E1096)&lt;20,"",SLOPE($E$997:$E$1096,$F$997:$F$1096))</f>
        <v>0</v>
      </c>
      <c r="BB1096">
        <f>IF(COUNT($E$2:$E1096)&lt;20,"",INTERCEPT($E$997:$E$1096,$F$997:$F$1096))</f>
        <v>0</v>
      </c>
      <c r="BC1096">
        <f>IF(OR(BA1096="",BB1096=""),"",BB1096+BA1096*F1096)</f>
        <v>0</v>
      </c>
      <c r="BD1096">
        <f>IF(COUNT($E$2:$E1096)&lt;20,"",STEYX($E$997:$E$1096,$F$997:$F$1096))</f>
        <v>0</v>
      </c>
      <c r="BE1096">
        <f>IF($E1096="","",IF(AND(COUNT($E$1097:$E$1100)&gt;=4,$C1096=MAX($C$1092:$C$1100)),$C1096,""))</f>
        <v>0</v>
      </c>
      <c r="BF1096">
        <f>IF($E1096="","",IF(AND(COUNT($E$1097:$E$1100)&gt;=4,$D1096=MIN($D$1092:$D$1100)),$D1096,""))</f>
        <v>0</v>
      </c>
      <c r="BG1096">
        <f>IF($A1096="","",$A1096-WEEKDAY($A1096,2)+1)</f>
        <v>0</v>
      </c>
      <c r="BH1096">
        <f>IF($A1096="","",IF($A1095="",1,IF(BG1096&lt;&gt;BG1095,1,0)))</f>
        <v>0</v>
      </c>
      <c r="BI1096">
        <f>IF($A1096="","",IF($A1097="",1,IF(BG1097&lt;&gt;BG1096,1,0)))</f>
        <v>0</v>
      </c>
      <c r="BJ1096">
        <f>IF($A1096="","",IF(BH1096=1,$B1096,BJ1095))</f>
        <v>0</v>
      </c>
      <c r="BK1096">
        <f>IF($A1096="","",IF(BH1096=1,$C1096,MAX($C1096,BK1095)))</f>
        <v>0</v>
      </c>
      <c r="BL1096">
        <f>IF($A1096="","",IF(BH1096=1,$D1096,MIN($D1096,BL1095)))</f>
        <v>0</v>
      </c>
      <c r="BM1096">
        <f>IF($A1096="","",IF(BI1096=1,F1096,""))</f>
        <v>0</v>
      </c>
      <c r="BN1096">
        <f>IF($A1096="","",DATE(YEAR($A1096),MONTH($A1096),1))</f>
        <v>0</v>
      </c>
      <c r="BO1096">
        <f>IF($A1096="","",IF($A1095="",1,IF(BN1096&lt;&gt;BN1095,1,0)))</f>
        <v>0</v>
      </c>
      <c r="BP1096">
        <f>IF($A1096="","",IF($A1097="",1,IF(BN1097&lt;&gt;BN1096,1,0)))</f>
        <v>0</v>
      </c>
      <c r="BQ1096">
        <f>IF($A1096="","",IF(BO1096=1,$B1096,BQ1095))</f>
        <v>0</v>
      </c>
      <c r="BR1096">
        <f>IF($A1096="","",IF(BO1096=1,$C1096,MAX($C1096,BR1095)))</f>
        <v>0</v>
      </c>
      <c r="BS1096">
        <f>IF($A1096="","",IF(BO1096=1,$D1096,MIN($D1096,BS1095)))</f>
        <v>0</v>
      </c>
      <c r="BT1096">
        <f>IF($A1096="","",IF(BP1096=1,F1096,""))</f>
        <v>0</v>
      </c>
    </row>
    <row r="1097" spans="1:72">
      <c r="A1097" s="27">
        <f>IF(Data!$A1097="","",Data!$A1097)</f>
        <v>0</v>
      </c>
      <c r="B1097">
        <f>IF(Data!$B1097="","",Data!$B1097)</f>
        <v>0</v>
      </c>
      <c r="C1097">
        <f>IF(Data!$C1097="","",Data!$C1097)</f>
        <v>0</v>
      </c>
      <c r="D1097">
        <f>IF(Data!$D1097="","",Data!$D1097)</f>
        <v>0</v>
      </c>
      <c r="E1097">
        <f>IF(Data!$E1097="","",Data!$E1097)</f>
        <v>0</v>
      </c>
      <c r="F1097">
        <f>IF($E1097="","",N(F1096)+1)</f>
        <v>0</v>
      </c>
      <c r="G1097">
        <f>IF(OR($E1097="",$E1096=""),"",LN($E1097/$E1096))</f>
        <v>0</v>
      </c>
      <c r="H1097">
        <f>IF($E1097="","",IF($E1096="",$E1097,$E1097*0.0952380952+H1096*0.9047619048))</f>
        <v>0</v>
      </c>
      <c r="I1097">
        <f>IF($E1097="","",IF($E1096="",$E1097,$E1097*0.0392156863+I1096*0.9607843137))</f>
        <v>0</v>
      </c>
      <c r="J1097">
        <f>IF($E1097="","",IF($E1096="",$E1097,$E1097*0.0198019802+J1096*0.9801980198))</f>
        <v>0</v>
      </c>
      <c r="K1097">
        <f>IF($E1097="","",IF($E1096="",$E1097,$E1097*0.0099502488+K1096*0.9900497512))</f>
        <v>0</v>
      </c>
      <c r="L1097">
        <f>IF(OR($E1097="",$E1096=""),"",MAX($E1097-$E1096,0))</f>
        <v>0</v>
      </c>
      <c r="M1097">
        <f>IF(OR($E1097="",$E1096=""),"",MAX($E1096-$E1097,0))</f>
        <v>0</v>
      </c>
      <c r="N1097">
        <f>IF(COUNT($E$2:$E1097)&lt;15,"",IF(AVERAGE($M$1084:$M$1097)=0,100,100-100/(1+AVERAGE($L$1084:$L$1097)/AVERAGE($M$1084:$M$1097))))</f>
        <v>0</v>
      </c>
      <c r="O1097">
        <f>IF($E1097="","",IF($E1096="",$E1097,$E1097*0.1538461538+O1096*0.8461538462))</f>
        <v>0</v>
      </c>
      <c r="P1097">
        <f>IF($E1097="","",IF($E1096="",$E1097,$E1097*0.0740740741+P1096*0.9259259259))</f>
        <v>0</v>
      </c>
      <c r="Q1097">
        <f>IF(OR(O1097="",P1097=""),"",O1097-P1097)</f>
        <v>0</v>
      </c>
      <c r="R1097">
        <f>IF(Q1097="","",IF(R1096="",Q1097,Q1097*0.2000000000+R1096*0.8000000000))</f>
        <v>0</v>
      </c>
      <c r="S1097">
        <f>IF(OR(Q1097="",R1097=""),"",Q1097-R1097)</f>
        <v>0</v>
      </c>
      <c r="T1097">
        <f>IF(COUNT($E$2:$E1097)&lt;14,"",MAX($C$1084:$C$1097))</f>
        <v>0</v>
      </c>
      <c r="U1097">
        <f>IF(COUNT($E$2:$E1097)&lt;14,"",MIN($D$1084:$D$1097))</f>
        <v>0</v>
      </c>
      <c r="V1097">
        <f>IF(OR(T1097="",U1097="",T1097=U1097),"",100*($E1097-U1097)/(T1097-U1097))</f>
        <v>0</v>
      </c>
      <c r="W1097">
        <f>IF(COUNT($V$1095:$V$1097)&lt;3,"",AVERAGE($V$1095:$V$1097))</f>
        <v>0</v>
      </c>
      <c r="X1097">
        <f>IF(COUNT($N$1084:$N$1097)&lt;14,"",MIN($N$1084:$N$1097))</f>
        <v>0</v>
      </c>
      <c r="Y1097">
        <f>IF(COUNT($N$1084:$N$1097)&lt;14,"",MAX($N$1084:$N$1097))</f>
        <v>0</v>
      </c>
      <c r="Z1097">
        <f>IF(OR(N1097="",X1097="",Y1097="",Y1097=X1097),"",100*(N1097-X1097)/(Y1097-X1097))</f>
        <v>0</v>
      </c>
      <c r="AA1097">
        <f>IF(COUNT($Z$1095:$Z$1097)&lt;3,"",AVERAGE($Z$1095:$Z$1097))</f>
        <v>0</v>
      </c>
      <c r="AB1097">
        <f>IF(COUNT($AA$1095:$AA$1097)&lt;3,"",AVERAGE($AA$1095:$AA$1097))</f>
        <v>0</v>
      </c>
      <c r="AC1097">
        <f>IF($E1097="","",MAX($C1097-$D1097,ABS($C1097-$E1096),ABS($D1097-$E1096)))</f>
        <v>0</v>
      </c>
      <c r="AD1097">
        <f>IF(COUNT($E$2:$E1097)&lt;15,"",AVERAGE($AC$1084:$AC$1097))</f>
        <v>0</v>
      </c>
      <c r="AE1097">
        <f>IF(OR($E1097="",$E1096=""),"",IF(AND(($C1097-$C1096)&gt;($D1096-$D1097),($C1097-$C1096)&gt;0),$C1097-$C1096,0))</f>
        <v>0</v>
      </c>
      <c r="AF1097">
        <f>IF(OR($E1097="",$E1096=""),"",IF(AND(($D1096-$D1097)&gt;($C1097-$C1096),($D1096-$D1097)&gt;0),$D1096-$D1097,0))</f>
        <v>0</v>
      </c>
      <c r="AG1097">
        <f>IF(COUNT($E$2:$E1097)&lt;15,"",IF(SUM($AC$1084:$AC$1097)=0,0,100*SUM($AE$1084:$AE$1097)/SUM($AC$1084:$AC$1097)))</f>
        <v>0</v>
      </c>
      <c r="AH1097">
        <f>IF(COUNT($E$2:$E1097)&lt;15,"",IF(SUM($AC$1084:$AC$1097)=0,0,100*SUM($AF$1084:$AF$1097)/SUM($AC$1084:$AC$1097)))</f>
        <v>0</v>
      </c>
      <c r="AI1097">
        <f>IF(OR(AG1097="",AH1097=""),"",IF((AG1097+AH1097)=0,0,100*ABS(AG1097-AH1097)/(AG1097+AH1097)))</f>
        <v>0</v>
      </c>
      <c r="AJ1097">
        <f>IF(COUNT($AI$1084:$AI$1097)&lt;14,"",AVERAGE($AI$1084:$AI$1097))</f>
        <v>0</v>
      </c>
      <c r="AK1097">
        <f>IF(COUNT($E$2:$E1097)&lt;20,"",AVERAGE($E$1078:$E$1097))</f>
        <v>0</v>
      </c>
      <c r="AL1097">
        <f>IF(COUNT($E$2:$E1097)&lt;20,"",STDEVP($E$1078:$E$1097))</f>
        <v>0</v>
      </c>
      <c r="AM1097">
        <f>IF(AK1097="","",AK1097+2*AL1097)</f>
        <v>0</v>
      </c>
      <c r="AN1097">
        <f>IF(AK1097="","",AK1097-2*AL1097)</f>
        <v>0</v>
      </c>
      <c r="AO1097">
        <f>IF(OR(AM1097="",AN1097="",AM1097=AN1097),"",($E1097-AN1097)/(AM1097-AN1097))</f>
        <v>0</v>
      </c>
      <c r="AP1097">
        <f>IF(OR(AM1097="",AK1097="",AK1097=0),"",(AM1097-AN1097)/AK1097)</f>
        <v>0</v>
      </c>
      <c r="AQ1097">
        <f>IF(COUNT($E$2:$E1097)&lt;20,"",MAX($C$1078:$C$1097))</f>
        <v>0</v>
      </c>
      <c r="AR1097">
        <f>IF(COUNT($E$2:$E1097)&lt;20,"",MIN($D$1078:$D$1097))</f>
        <v>0</v>
      </c>
      <c r="AS1097">
        <f>IF(OR(AQ1097="",AR1097=""),"",(AQ1097+AR1097)/2)</f>
        <v>0</v>
      </c>
      <c r="AT1097">
        <f>IF(COUNT($G$1078:$G$1097)&lt;20,"",STDEV($G$1078:$G$1097)*SQRT(252))</f>
        <v>0</v>
      </c>
      <c r="AU1097">
        <f>IF(COUNT($E$2:$E1097)&lt;9,"",(MAX($C$1089:$C$1097)+MIN($D$1089:$D$1097))/2)</f>
        <v>0</v>
      </c>
      <c r="AV1097">
        <f>IF(COUNT($E$2:$E1097)&lt;26,"",(MAX($C$1072:$C$1097)+MIN($D$1072:$D$1097))/2)</f>
        <v>0</v>
      </c>
      <c r="AW1097">
        <f>IF(OR(AU1097="",AV1097=""),"",(AU1097+AV1097)/2)</f>
        <v>0</v>
      </c>
      <c r="AX1097">
        <f>IF(COUNT($E$2:$E1097)&lt;52,"",(MAX($C$1046:$C$1097)+MIN($D$1046:$D$1097))/2)</f>
        <v>0</v>
      </c>
      <c r="AY1097">
        <f>IF(COUNT($E$2:$E1097)&lt;20,"",MAX($C$998:$C$1097))</f>
        <v>0</v>
      </c>
      <c r="AZ1097">
        <f>IF(COUNT($E$2:$E1097)&lt;20,"",MIN($D$998:$D$1097))</f>
        <v>0</v>
      </c>
      <c r="BA1097">
        <f>IF(COUNT($E$2:$E1097)&lt;20,"",SLOPE($E$998:$E$1097,$F$998:$F$1097))</f>
        <v>0</v>
      </c>
      <c r="BB1097">
        <f>IF(COUNT($E$2:$E1097)&lt;20,"",INTERCEPT($E$998:$E$1097,$F$998:$F$1097))</f>
        <v>0</v>
      </c>
      <c r="BC1097">
        <f>IF(OR(BA1097="",BB1097=""),"",BB1097+BA1097*F1097)</f>
        <v>0</v>
      </c>
      <c r="BD1097">
        <f>IF(COUNT($E$2:$E1097)&lt;20,"",STEYX($E$998:$E$1097,$F$998:$F$1097))</f>
        <v>0</v>
      </c>
      <c r="BE1097">
        <f>IF($E1097="","",IF(AND(COUNT($E$1098:$E$1101)&gt;=4,$C1097=MAX($C$1093:$C$1101)),$C1097,""))</f>
        <v>0</v>
      </c>
      <c r="BF1097">
        <f>IF($E1097="","",IF(AND(COUNT($E$1098:$E$1101)&gt;=4,$D1097=MIN($D$1093:$D$1101)),$D1097,""))</f>
        <v>0</v>
      </c>
      <c r="BG1097">
        <f>IF($A1097="","",$A1097-WEEKDAY($A1097,2)+1)</f>
        <v>0</v>
      </c>
      <c r="BH1097">
        <f>IF($A1097="","",IF($A1096="",1,IF(BG1097&lt;&gt;BG1096,1,0)))</f>
        <v>0</v>
      </c>
      <c r="BI1097">
        <f>IF($A1097="","",IF($A1098="",1,IF(BG1098&lt;&gt;BG1097,1,0)))</f>
        <v>0</v>
      </c>
      <c r="BJ1097">
        <f>IF($A1097="","",IF(BH1097=1,$B1097,BJ1096))</f>
        <v>0</v>
      </c>
      <c r="BK1097">
        <f>IF($A1097="","",IF(BH1097=1,$C1097,MAX($C1097,BK1096)))</f>
        <v>0</v>
      </c>
      <c r="BL1097">
        <f>IF($A1097="","",IF(BH1097=1,$D1097,MIN($D1097,BL1096)))</f>
        <v>0</v>
      </c>
      <c r="BM1097">
        <f>IF($A1097="","",IF(BI1097=1,F1097,""))</f>
        <v>0</v>
      </c>
      <c r="BN1097">
        <f>IF($A1097="","",DATE(YEAR($A1097),MONTH($A1097),1))</f>
        <v>0</v>
      </c>
      <c r="BO1097">
        <f>IF($A1097="","",IF($A1096="",1,IF(BN1097&lt;&gt;BN1096,1,0)))</f>
        <v>0</v>
      </c>
      <c r="BP1097">
        <f>IF($A1097="","",IF($A1098="",1,IF(BN1098&lt;&gt;BN1097,1,0)))</f>
        <v>0</v>
      </c>
      <c r="BQ1097">
        <f>IF($A1097="","",IF(BO1097=1,$B1097,BQ1096))</f>
        <v>0</v>
      </c>
      <c r="BR1097">
        <f>IF($A1097="","",IF(BO1097=1,$C1097,MAX($C1097,BR1096)))</f>
        <v>0</v>
      </c>
      <c r="BS1097">
        <f>IF($A1097="","",IF(BO1097=1,$D1097,MIN($D1097,BS1096)))</f>
        <v>0</v>
      </c>
      <c r="BT1097">
        <f>IF($A1097="","",IF(BP1097=1,F1097,""))</f>
        <v>0</v>
      </c>
    </row>
    <row r="1098" spans="1:72">
      <c r="A1098" s="27">
        <f>IF(Data!$A1098="","",Data!$A1098)</f>
        <v>0</v>
      </c>
      <c r="B1098">
        <f>IF(Data!$B1098="","",Data!$B1098)</f>
        <v>0</v>
      </c>
      <c r="C1098">
        <f>IF(Data!$C1098="","",Data!$C1098)</f>
        <v>0</v>
      </c>
      <c r="D1098">
        <f>IF(Data!$D1098="","",Data!$D1098)</f>
        <v>0</v>
      </c>
      <c r="E1098">
        <f>IF(Data!$E1098="","",Data!$E1098)</f>
        <v>0</v>
      </c>
      <c r="F1098">
        <f>IF($E1098="","",N(F1097)+1)</f>
        <v>0</v>
      </c>
      <c r="G1098">
        <f>IF(OR($E1098="",$E1097=""),"",LN($E1098/$E1097))</f>
        <v>0</v>
      </c>
      <c r="H1098">
        <f>IF($E1098="","",IF($E1097="",$E1098,$E1098*0.0952380952+H1097*0.9047619048))</f>
        <v>0</v>
      </c>
      <c r="I1098">
        <f>IF($E1098="","",IF($E1097="",$E1098,$E1098*0.0392156863+I1097*0.9607843137))</f>
        <v>0</v>
      </c>
      <c r="J1098">
        <f>IF($E1098="","",IF($E1097="",$E1098,$E1098*0.0198019802+J1097*0.9801980198))</f>
        <v>0</v>
      </c>
      <c r="K1098">
        <f>IF($E1098="","",IF($E1097="",$E1098,$E1098*0.0099502488+K1097*0.9900497512))</f>
        <v>0</v>
      </c>
      <c r="L1098">
        <f>IF(OR($E1098="",$E1097=""),"",MAX($E1098-$E1097,0))</f>
        <v>0</v>
      </c>
      <c r="M1098">
        <f>IF(OR($E1098="",$E1097=""),"",MAX($E1097-$E1098,0))</f>
        <v>0</v>
      </c>
      <c r="N1098">
        <f>IF(COUNT($E$2:$E1098)&lt;15,"",IF(AVERAGE($M$1085:$M$1098)=0,100,100-100/(1+AVERAGE($L$1085:$L$1098)/AVERAGE($M$1085:$M$1098))))</f>
        <v>0</v>
      </c>
      <c r="O1098">
        <f>IF($E1098="","",IF($E1097="",$E1098,$E1098*0.1538461538+O1097*0.8461538462))</f>
        <v>0</v>
      </c>
      <c r="P1098">
        <f>IF($E1098="","",IF($E1097="",$E1098,$E1098*0.0740740741+P1097*0.9259259259))</f>
        <v>0</v>
      </c>
      <c r="Q1098">
        <f>IF(OR(O1098="",P1098=""),"",O1098-P1098)</f>
        <v>0</v>
      </c>
      <c r="R1098">
        <f>IF(Q1098="","",IF(R1097="",Q1098,Q1098*0.2000000000+R1097*0.8000000000))</f>
        <v>0</v>
      </c>
      <c r="S1098">
        <f>IF(OR(Q1098="",R1098=""),"",Q1098-R1098)</f>
        <v>0</v>
      </c>
      <c r="T1098">
        <f>IF(COUNT($E$2:$E1098)&lt;14,"",MAX($C$1085:$C$1098))</f>
        <v>0</v>
      </c>
      <c r="U1098">
        <f>IF(COUNT($E$2:$E1098)&lt;14,"",MIN($D$1085:$D$1098))</f>
        <v>0</v>
      </c>
      <c r="V1098">
        <f>IF(OR(T1098="",U1098="",T1098=U1098),"",100*($E1098-U1098)/(T1098-U1098))</f>
        <v>0</v>
      </c>
      <c r="W1098">
        <f>IF(COUNT($V$1096:$V$1098)&lt;3,"",AVERAGE($V$1096:$V$1098))</f>
        <v>0</v>
      </c>
      <c r="X1098">
        <f>IF(COUNT($N$1085:$N$1098)&lt;14,"",MIN($N$1085:$N$1098))</f>
        <v>0</v>
      </c>
      <c r="Y1098">
        <f>IF(COUNT($N$1085:$N$1098)&lt;14,"",MAX($N$1085:$N$1098))</f>
        <v>0</v>
      </c>
      <c r="Z1098">
        <f>IF(OR(N1098="",X1098="",Y1098="",Y1098=X1098),"",100*(N1098-X1098)/(Y1098-X1098))</f>
        <v>0</v>
      </c>
      <c r="AA1098">
        <f>IF(COUNT($Z$1096:$Z$1098)&lt;3,"",AVERAGE($Z$1096:$Z$1098))</f>
        <v>0</v>
      </c>
      <c r="AB1098">
        <f>IF(COUNT($AA$1096:$AA$1098)&lt;3,"",AVERAGE($AA$1096:$AA$1098))</f>
        <v>0</v>
      </c>
      <c r="AC1098">
        <f>IF($E1098="","",MAX($C1098-$D1098,ABS($C1098-$E1097),ABS($D1098-$E1097)))</f>
        <v>0</v>
      </c>
      <c r="AD1098">
        <f>IF(COUNT($E$2:$E1098)&lt;15,"",AVERAGE($AC$1085:$AC$1098))</f>
        <v>0</v>
      </c>
      <c r="AE1098">
        <f>IF(OR($E1098="",$E1097=""),"",IF(AND(($C1098-$C1097)&gt;($D1097-$D1098),($C1098-$C1097)&gt;0),$C1098-$C1097,0))</f>
        <v>0</v>
      </c>
      <c r="AF1098">
        <f>IF(OR($E1098="",$E1097=""),"",IF(AND(($D1097-$D1098)&gt;($C1098-$C1097),($D1097-$D1098)&gt;0),$D1097-$D1098,0))</f>
        <v>0</v>
      </c>
      <c r="AG1098">
        <f>IF(COUNT($E$2:$E1098)&lt;15,"",IF(SUM($AC$1085:$AC$1098)=0,0,100*SUM($AE$1085:$AE$1098)/SUM($AC$1085:$AC$1098)))</f>
        <v>0</v>
      </c>
      <c r="AH1098">
        <f>IF(COUNT($E$2:$E1098)&lt;15,"",IF(SUM($AC$1085:$AC$1098)=0,0,100*SUM($AF$1085:$AF$1098)/SUM($AC$1085:$AC$1098)))</f>
        <v>0</v>
      </c>
      <c r="AI1098">
        <f>IF(OR(AG1098="",AH1098=""),"",IF((AG1098+AH1098)=0,0,100*ABS(AG1098-AH1098)/(AG1098+AH1098)))</f>
        <v>0</v>
      </c>
      <c r="AJ1098">
        <f>IF(COUNT($AI$1085:$AI$1098)&lt;14,"",AVERAGE($AI$1085:$AI$1098))</f>
        <v>0</v>
      </c>
      <c r="AK1098">
        <f>IF(COUNT($E$2:$E1098)&lt;20,"",AVERAGE($E$1079:$E$1098))</f>
        <v>0</v>
      </c>
      <c r="AL1098">
        <f>IF(COUNT($E$2:$E1098)&lt;20,"",STDEVP($E$1079:$E$1098))</f>
        <v>0</v>
      </c>
      <c r="AM1098">
        <f>IF(AK1098="","",AK1098+2*AL1098)</f>
        <v>0</v>
      </c>
      <c r="AN1098">
        <f>IF(AK1098="","",AK1098-2*AL1098)</f>
        <v>0</v>
      </c>
      <c r="AO1098">
        <f>IF(OR(AM1098="",AN1098="",AM1098=AN1098),"",($E1098-AN1098)/(AM1098-AN1098))</f>
        <v>0</v>
      </c>
      <c r="AP1098">
        <f>IF(OR(AM1098="",AK1098="",AK1098=0),"",(AM1098-AN1098)/AK1098)</f>
        <v>0</v>
      </c>
      <c r="AQ1098">
        <f>IF(COUNT($E$2:$E1098)&lt;20,"",MAX($C$1079:$C$1098))</f>
        <v>0</v>
      </c>
      <c r="AR1098">
        <f>IF(COUNT($E$2:$E1098)&lt;20,"",MIN($D$1079:$D$1098))</f>
        <v>0</v>
      </c>
      <c r="AS1098">
        <f>IF(OR(AQ1098="",AR1098=""),"",(AQ1098+AR1098)/2)</f>
        <v>0</v>
      </c>
      <c r="AT1098">
        <f>IF(COUNT($G$1079:$G$1098)&lt;20,"",STDEV($G$1079:$G$1098)*SQRT(252))</f>
        <v>0</v>
      </c>
      <c r="AU1098">
        <f>IF(COUNT($E$2:$E1098)&lt;9,"",(MAX($C$1090:$C$1098)+MIN($D$1090:$D$1098))/2)</f>
        <v>0</v>
      </c>
      <c r="AV1098">
        <f>IF(COUNT($E$2:$E1098)&lt;26,"",(MAX($C$1073:$C$1098)+MIN($D$1073:$D$1098))/2)</f>
        <v>0</v>
      </c>
      <c r="AW1098">
        <f>IF(OR(AU1098="",AV1098=""),"",(AU1098+AV1098)/2)</f>
        <v>0</v>
      </c>
      <c r="AX1098">
        <f>IF(COUNT($E$2:$E1098)&lt;52,"",(MAX($C$1047:$C$1098)+MIN($D$1047:$D$1098))/2)</f>
        <v>0</v>
      </c>
      <c r="AY1098">
        <f>IF(COUNT($E$2:$E1098)&lt;20,"",MAX($C$999:$C$1098))</f>
        <v>0</v>
      </c>
      <c r="AZ1098">
        <f>IF(COUNT($E$2:$E1098)&lt;20,"",MIN($D$999:$D$1098))</f>
        <v>0</v>
      </c>
      <c r="BA1098">
        <f>IF(COUNT($E$2:$E1098)&lt;20,"",SLOPE($E$999:$E$1098,$F$999:$F$1098))</f>
        <v>0</v>
      </c>
      <c r="BB1098">
        <f>IF(COUNT($E$2:$E1098)&lt;20,"",INTERCEPT($E$999:$E$1098,$F$999:$F$1098))</f>
        <v>0</v>
      </c>
      <c r="BC1098">
        <f>IF(OR(BA1098="",BB1098=""),"",BB1098+BA1098*F1098)</f>
        <v>0</v>
      </c>
      <c r="BD1098">
        <f>IF(COUNT($E$2:$E1098)&lt;20,"",STEYX($E$999:$E$1098,$F$999:$F$1098))</f>
        <v>0</v>
      </c>
      <c r="BE1098">
        <f>IF($E1098="","",IF(AND(COUNT($E$1099:$E$1102)&gt;=4,$C1098=MAX($C$1094:$C$1102)),$C1098,""))</f>
        <v>0</v>
      </c>
      <c r="BF1098">
        <f>IF($E1098="","",IF(AND(COUNT($E$1099:$E$1102)&gt;=4,$D1098=MIN($D$1094:$D$1102)),$D1098,""))</f>
        <v>0</v>
      </c>
      <c r="BG1098">
        <f>IF($A1098="","",$A1098-WEEKDAY($A1098,2)+1)</f>
        <v>0</v>
      </c>
      <c r="BH1098">
        <f>IF($A1098="","",IF($A1097="",1,IF(BG1098&lt;&gt;BG1097,1,0)))</f>
        <v>0</v>
      </c>
      <c r="BI1098">
        <f>IF($A1098="","",IF($A1099="",1,IF(BG1099&lt;&gt;BG1098,1,0)))</f>
        <v>0</v>
      </c>
      <c r="BJ1098">
        <f>IF($A1098="","",IF(BH1098=1,$B1098,BJ1097))</f>
        <v>0</v>
      </c>
      <c r="BK1098">
        <f>IF($A1098="","",IF(BH1098=1,$C1098,MAX($C1098,BK1097)))</f>
        <v>0</v>
      </c>
      <c r="BL1098">
        <f>IF($A1098="","",IF(BH1098=1,$D1098,MIN($D1098,BL1097)))</f>
        <v>0</v>
      </c>
      <c r="BM1098">
        <f>IF($A1098="","",IF(BI1098=1,F1098,""))</f>
        <v>0</v>
      </c>
      <c r="BN1098">
        <f>IF($A1098="","",DATE(YEAR($A1098),MONTH($A1098),1))</f>
        <v>0</v>
      </c>
      <c r="BO1098">
        <f>IF($A1098="","",IF($A1097="",1,IF(BN1098&lt;&gt;BN1097,1,0)))</f>
        <v>0</v>
      </c>
      <c r="BP1098">
        <f>IF($A1098="","",IF($A1099="",1,IF(BN1099&lt;&gt;BN1098,1,0)))</f>
        <v>0</v>
      </c>
      <c r="BQ1098">
        <f>IF($A1098="","",IF(BO1098=1,$B1098,BQ1097))</f>
        <v>0</v>
      </c>
      <c r="BR1098">
        <f>IF($A1098="","",IF(BO1098=1,$C1098,MAX($C1098,BR1097)))</f>
        <v>0</v>
      </c>
      <c r="BS1098">
        <f>IF($A1098="","",IF(BO1098=1,$D1098,MIN($D1098,BS1097)))</f>
        <v>0</v>
      </c>
      <c r="BT1098">
        <f>IF($A1098="","",IF(BP1098=1,F1098,""))</f>
        <v>0</v>
      </c>
    </row>
    <row r="1099" spans="1:72">
      <c r="A1099" s="27">
        <f>IF(Data!$A1099="","",Data!$A1099)</f>
        <v>0</v>
      </c>
      <c r="B1099">
        <f>IF(Data!$B1099="","",Data!$B1099)</f>
        <v>0</v>
      </c>
      <c r="C1099">
        <f>IF(Data!$C1099="","",Data!$C1099)</f>
        <v>0</v>
      </c>
      <c r="D1099">
        <f>IF(Data!$D1099="","",Data!$D1099)</f>
        <v>0</v>
      </c>
      <c r="E1099">
        <f>IF(Data!$E1099="","",Data!$E1099)</f>
        <v>0</v>
      </c>
      <c r="F1099">
        <f>IF($E1099="","",N(F1098)+1)</f>
        <v>0</v>
      </c>
      <c r="G1099">
        <f>IF(OR($E1099="",$E1098=""),"",LN($E1099/$E1098))</f>
        <v>0</v>
      </c>
      <c r="H1099">
        <f>IF($E1099="","",IF($E1098="",$E1099,$E1099*0.0952380952+H1098*0.9047619048))</f>
        <v>0</v>
      </c>
      <c r="I1099">
        <f>IF($E1099="","",IF($E1098="",$E1099,$E1099*0.0392156863+I1098*0.9607843137))</f>
        <v>0</v>
      </c>
      <c r="J1099">
        <f>IF($E1099="","",IF($E1098="",$E1099,$E1099*0.0198019802+J1098*0.9801980198))</f>
        <v>0</v>
      </c>
      <c r="K1099">
        <f>IF($E1099="","",IF($E1098="",$E1099,$E1099*0.0099502488+K1098*0.9900497512))</f>
        <v>0</v>
      </c>
      <c r="L1099">
        <f>IF(OR($E1099="",$E1098=""),"",MAX($E1099-$E1098,0))</f>
        <v>0</v>
      </c>
      <c r="M1099">
        <f>IF(OR($E1099="",$E1098=""),"",MAX($E1098-$E1099,0))</f>
        <v>0</v>
      </c>
      <c r="N1099">
        <f>IF(COUNT($E$2:$E1099)&lt;15,"",IF(AVERAGE($M$1086:$M$1099)=0,100,100-100/(1+AVERAGE($L$1086:$L$1099)/AVERAGE($M$1086:$M$1099))))</f>
        <v>0</v>
      </c>
      <c r="O1099">
        <f>IF($E1099="","",IF($E1098="",$E1099,$E1099*0.1538461538+O1098*0.8461538462))</f>
        <v>0</v>
      </c>
      <c r="P1099">
        <f>IF($E1099="","",IF($E1098="",$E1099,$E1099*0.0740740741+P1098*0.9259259259))</f>
        <v>0</v>
      </c>
      <c r="Q1099">
        <f>IF(OR(O1099="",P1099=""),"",O1099-P1099)</f>
        <v>0</v>
      </c>
      <c r="R1099">
        <f>IF(Q1099="","",IF(R1098="",Q1099,Q1099*0.2000000000+R1098*0.8000000000))</f>
        <v>0</v>
      </c>
      <c r="S1099">
        <f>IF(OR(Q1099="",R1099=""),"",Q1099-R1099)</f>
        <v>0</v>
      </c>
      <c r="T1099">
        <f>IF(COUNT($E$2:$E1099)&lt;14,"",MAX($C$1086:$C$1099))</f>
        <v>0</v>
      </c>
      <c r="U1099">
        <f>IF(COUNT($E$2:$E1099)&lt;14,"",MIN($D$1086:$D$1099))</f>
        <v>0</v>
      </c>
      <c r="V1099">
        <f>IF(OR(T1099="",U1099="",T1099=U1099),"",100*($E1099-U1099)/(T1099-U1099))</f>
        <v>0</v>
      </c>
      <c r="W1099">
        <f>IF(COUNT($V$1097:$V$1099)&lt;3,"",AVERAGE($V$1097:$V$1099))</f>
        <v>0</v>
      </c>
      <c r="X1099">
        <f>IF(COUNT($N$1086:$N$1099)&lt;14,"",MIN($N$1086:$N$1099))</f>
        <v>0</v>
      </c>
      <c r="Y1099">
        <f>IF(COUNT($N$1086:$N$1099)&lt;14,"",MAX($N$1086:$N$1099))</f>
        <v>0</v>
      </c>
      <c r="Z1099">
        <f>IF(OR(N1099="",X1099="",Y1099="",Y1099=X1099),"",100*(N1099-X1099)/(Y1099-X1099))</f>
        <v>0</v>
      </c>
      <c r="AA1099">
        <f>IF(COUNT($Z$1097:$Z$1099)&lt;3,"",AVERAGE($Z$1097:$Z$1099))</f>
        <v>0</v>
      </c>
      <c r="AB1099">
        <f>IF(COUNT($AA$1097:$AA$1099)&lt;3,"",AVERAGE($AA$1097:$AA$1099))</f>
        <v>0</v>
      </c>
      <c r="AC1099">
        <f>IF($E1099="","",MAX($C1099-$D1099,ABS($C1099-$E1098),ABS($D1099-$E1098)))</f>
        <v>0</v>
      </c>
      <c r="AD1099">
        <f>IF(COUNT($E$2:$E1099)&lt;15,"",AVERAGE($AC$1086:$AC$1099))</f>
        <v>0</v>
      </c>
      <c r="AE1099">
        <f>IF(OR($E1099="",$E1098=""),"",IF(AND(($C1099-$C1098)&gt;($D1098-$D1099),($C1099-$C1098)&gt;0),$C1099-$C1098,0))</f>
        <v>0</v>
      </c>
      <c r="AF1099">
        <f>IF(OR($E1099="",$E1098=""),"",IF(AND(($D1098-$D1099)&gt;($C1099-$C1098),($D1098-$D1099)&gt;0),$D1098-$D1099,0))</f>
        <v>0</v>
      </c>
      <c r="AG1099">
        <f>IF(COUNT($E$2:$E1099)&lt;15,"",IF(SUM($AC$1086:$AC$1099)=0,0,100*SUM($AE$1086:$AE$1099)/SUM($AC$1086:$AC$1099)))</f>
        <v>0</v>
      </c>
      <c r="AH1099">
        <f>IF(COUNT($E$2:$E1099)&lt;15,"",IF(SUM($AC$1086:$AC$1099)=0,0,100*SUM($AF$1086:$AF$1099)/SUM($AC$1086:$AC$1099)))</f>
        <v>0</v>
      </c>
      <c r="AI1099">
        <f>IF(OR(AG1099="",AH1099=""),"",IF((AG1099+AH1099)=0,0,100*ABS(AG1099-AH1099)/(AG1099+AH1099)))</f>
        <v>0</v>
      </c>
      <c r="AJ1099">
        <f>IF(COUNT($AI$1086:$AI$1099)&lt;14,"",AVERAGE($AI$1086:$AI$1099))</f>
        <v>0</v>
      </c>
      <c r="AK1099">
        <f>IF(COUNT($E$2:$E1099)&lt;20,"",AVERAGE($E$1080:$E$1099))</f>
        <v>0</v>
      </c>
      <c r="AL1099">
        <f>IF(COUNT($E$2:$E1099)&lt;20,"",STDEVP($E$1080:$E$1099))</f>
        <v>0</v>
      </c>
      <c r="AM1099">
        <f>IF(AK1099="","",AK1099+2*AL1099)</f>
        <v>0</v>
      </c>
      <c r="AN1099">
        <f>IF(AK1099="","",AK1099-2*AL1099)</f>
        <v>0</v>
      </c>
      <c r="AO1099">
        <f>IF(OR(AM1099="",AN1099="",AM1099=AN1099),"",($E1099-AN1099)/(AM1099-AN1099))</f>
        <v>0</v>
      </c>
      <c r="AP1099">
        <f>IF(OR(AM1099="",AK1099="",AK1099=0),"",(AM1099-AN1099)/AK1099)</f>
        <v>0</v>
      </c>
      <c r="AQ1099">
        <f>IF(COUNT($E$2:$E1099)&lt;20,"",MAX($C$1080:$C$1099))</f>
        <v>0</v>
      </c>
      <c r="AR1099">
        <f>IF(COUNT($E$2:$E1099)&lt;20,"",MIN($D$1080:$D$1099))</f>
        <v>0</v>
      </c>
      <c r="AS1099">
        <f>IF(OR(AQ1099="",AR1099=""),"",(AQ1099+AR1099)/2)</f>
        <v>0</v>
      </c>
      <c r="AT1099">
        <f>IF(COUNT($G$1080:$G$1099)&lt;20,"",STDEV($G$1080:$G$1099)*SQRT(252))</f>
        <v>0</v>
      </c>
      <c r="AU1099">
        <f>IF(COUNT($E$2:$E1099)&lt;9,"",(MAX($C$1091:$C$1099)+MIN($D$1091:$D$1099))/2)</f>
        <v>0</v>
      </c>
      <c r="AV1099">
        <f>IF(COUNT($E$2:$E1099)&lt;26,"",(MAX($C$1074:$C$1099)+MIN($D$1074:$D$1099))/2)</f>
        <v>0</v>
      </c>
      <c r="AW1099">
        <f>IF(OR(AU1099="",AV1099=""),"",(AU1099+AV1099)/2)</f>
        <v>0</v>
      </c>
      <c r="AX1099">
        <f>IF(COUNT($E$2:$E1099)&lt;52,"",(MAX($C$1048:$C$1099)+MIN($D$1048:$D$1099))/2)</f>
        <v>0</v>
      </c>
      <c r="AY1099">
        <f>IF(COUNT($E$2:$E1099)&lt;20,"",MAX($C$1000:$C$1099))</f>
        <v>0</v>
      </c>
      <c r="AZ1099">
        <f>IF(COUNT($E$2:$E1099)&lt;20,"",MIN($D$1000:$D$1099))</f>
        <v>0</v>
      </c>
      <c r="BA1099">
        <f>IF(COUNT($E$2:$E1099)&lt;20,"",SLOPE($E$1000:$E$1099,$F$1000:$F$1099))</f>
        <v>0</v>
      </c>
      <c r="BB1099">
        <f>IF(COUNT($E$2:$E1099)&lt;20,"",INTERCEPT($E$1000:$E$1099,$F$1000:$F$1099))</f>
        <v>0</v>
      </c>
      <c r="BC1099">
        <f>IF(OR(BA1099="",BB1099=""),"",BB1099+BA1099*F1099)</f>
        <v>0</v>
      </c>
      <c r="BD1099">
        <f>IF(COUNT($E$2:$E1099)&lt;20,"",STEYX($E$1000:$E$1099,$F$1000:$F$1099))</f>
        <v>0</v>
      </c>
      <c r="BE1099">
        <f>IF($E1099="","",IF(AND(COUNT($E$1100:$E$1103)&gt;=4,$C1099=MAX($C$1095:$C$1103)),$C1099,""))</f>
        <v>0</v>
      </c>
      <c r="BF1099">
        <f>IF($E1099="","",IF(AND(COUNT($E$1100:$E$1103)&gt;=4,$D1099=MIN($D$1095:$D$1103)),$D1099,""))</f>
        <v>0</v>
      </c>
      <c r="BG1099">
        <f>IF($A1099="","",$A1099-WEEKDAY($A1099,2)+1)</f>
        <v>0</v>
      </c>
      <c r="BH1099">
        <f>IF($A1099="","",IF($A1098="",1,IF(BG1099&lt;&gt;BG1098,1,0)))</f>
        <v>0</v>
      </c>
      <c r="BI1099">
        <f>IF($A1099="","",IF($A1100="",1,IF(BG1100&lt;&gt;BG1099,1,0)))</f>
        <v>0</v>
      </c>
      <c r="BJ1099">
        <f>IF($A1099="","",IF(BH1099=1,$B1099,BJ1098))</f>
        <v>0</v>
      </c>
      <c r="BK1099">
        <f>IF($A1099="","",IF(BH1099=1,$C1099,MAX($C1099,BK1098)))</f>
        <v>0</v>
      </c>
      <c r="BL1099">
        <f>IF($A1099="","",IF(BH1099=1,$D1099,MIN($D1099,BL1098)))</f>
        <v>0</v>
      </c>
      <c r="BM1099">
        <f>IF($A1099="","",IF(BI1099=1,F1099,""))</f>
        <v>0</v>
      </c>
      <c r="BN1099">
        <f>IF($A1099="","",DATE(YEAR($A1099),MONTH($A1099),1))</f>
        <v>0</v>
      </c>
      <c r="BO1099">
        <f>IF($A1099="","",IF($A1098="",1,IF(BN1099&lt;&gt;BN1098,1,0)))</f>
        <v>0</v>
      </c>
      <c r="BP1099">
        <f>IF($A1099="","",IF($A1100="",1,IF(BN1100&lt;&gt;BN1099,1,0)))</f>
        <v>0</v>
      </c>
      <c r="BQ1099">
        <f>IF($A1099="","",IF(BO1099=1,$B1099,BQ1098))</f>
        <v>0</v>
      </c>
      <c r="BR1099">
        <f>IF($A1099="","",IF(BO1099=1,$C1099,MAX($C1099,BR1098)))</f>
        <v>0</v>
      </c>
      <c r="BS1099">
        <f>IF($A1099="","",IF(BO1099=1,$D1099,MIN($D1099,BS1098)))</f>
        <v>0</v>
      </c>
      <c r="BT1099">
        <f>IF($A1099="","",IF(BP1099=1,F1099,""))</f>
        <v>0</v>
      </c>
    </row>
    <row r="1100" spans="1:72">
      <c r="A1100" s="27">
        <f>IF(Data!$A1100="","",Data!$A1100)</f>
        <v>0</v>
      </c>
      <c r="B1100">
        <f>IF(Data!$B1100="","",Data!$B1100)</f>
        <v>0</v>
      </c>
      <c r="C1100">
        <f>IF(Data!$C1100="","",Data!$C1100)</f>
        <v>0</v>
      </c>
      <c r="D1100">
        <f>IF(Data!$D1100="","",Data!$D1100)</f>
        <v>0</v>
      </c>
      <c r="E1100">
        <f>IF(Data!$E1100="","",Data!$E1100)</f>
        <v>0</v>
      </c>
      <c r="F1100">
        <f>IF($E1100="","",N(F1099)+1)</f>
        <v>0</v>
      </c>
      <c r="G1100">
        <f>IF(OR($E1100="",$E1099=""),"",LN($E1100/$E1099))</f>
        <v>0</v>
      </c>
      <c r="H1100">
        <f>IF($E1100="","",IF($E1099="",$E1100,$E1100*0.0952380952+H1099*0.9047619048))</f>
        <v>0</v>
      </c>
      <c r="I1100">
        <f>IF($E1100="","",IF($E1099="",$E1100,$E1100*0.0392156863+I1099*0.9607843137))</f>
        <v>0</v>
      </c>
      <c r="J1100">
        <f>IF($E1100="","",IF($E1099="",$E1100,$E1100*0.0198019802+J1099*0.9801980198))</f>
        <v>0</v>
      </c>
      <c r="K1100">
        <f>IF($E1100="","",IF($E1099="",$E1100,$E1100*0.0099502488+K1099*0.9900497512))</f>
        <v>0</v>
      </c>
      <c r="L1100">
        <f>IF(OR($E1100="",$E1099=""),"",MAX($E1100-$E1099,0))</f>
        <v>0</v>
      </c>
      <c r="M1100">
        <f>IF(OR($E1100="",$E1099=""),"",MAX($E1099-$E1100,0))</f>
        <v>0</v>
      </c>
      <c r="N1100">
        <f>IF(COUNT($E$2:$E1100)&lt;15,"",IF(AVERAGE($M$1087:$M$1100)=0,100,100-100/(1+AVERAGE($L$1087:$L$1100)/AVERAGE($M$1087:$M$1100))))</f>
        <v>0</v>
      </c>
      <c r="O1100">
        <f>IF($E1100="","",IF($E1099="",$E1100,$E1100*0.1538461538+O1099*0.8461538462))</f>
        <v>0</v>
      </c>
      <c r="P1100">
        <f>IF($E1100="","",IF($E1099="",$E1100,$E1100*0.0740740741+P1099*0.9259259259))</f>
        <v>0</v>
      </c>
      <c r="Q1100">
        <f>IF(OR(O1100="",P1100=""),"",O1100-P1100)</f>
        <v>0</v>
      </c>
      <c r="R1100">
        <f>IF(Q1100="","",IF(R1099="",Q1100,Q1100*0.2000000000+R1099*0.8000000000))</f>
        <v>0</v>
      </c>
      <c r="S1100">
        <f>IF(OR(Q1100="",R1100=""),"",Q1100-R1100)</f>
        <v>0</v>
      </c>
      <c r="T1100">
        <f>IF(COUNT($E$2:$E1100)&lt;14,"",MAX($C$1087:$C$1100))</f>
        <v>0</v>
      </c>
      <c r="U1100">
        <f>IF(COUNT($E$2:$E1100)&lt;14,"",MIN($D$1087:$D$1100))</f>
        <v>0</v>
      </c>
      <c r="V1100">
        <f>IF(OR(T1100="",U1100="",T1100=U1100),"",100*($E1100-U1100)/(T1100-U1100))</f>
        <v>0</v>
      </c>
      <c r="W1100">
        <f>IF(COUNT($V$1098:$V$1100)&lt;3,"",AVERAGE($V$1098:$V$1100))</f>
        <v>0</v>
      </c>
      <c r="X1100">
        <f>IF(COUNT($N$1087:$N$1100)&lt;14,"",MIN($N$1087:$N$1100))</f>
        <v>0</v>
      </c>
      <c r="Y1100">
        <f>IF(COUNT($N$1087:$N$1100)&lt;14,"",MAX($N$1087:$N$1100))</f>
        <v>0</v>
      </c>
      <c r="Z1100">
        <f>IF(OR(N1100="",X1100="",Y1100="",Y1100=X1100),"",100*(N1100-X1100)/(Y1100-X1100))</f>
        <v>0</v>
      </c>
      <c r="AA1100">
        <f>IF(COUNT($Z$1098:$Z$1100)&lt;3,"",AVERAGE($Z$1098:$Z$1100))</f>
        <v>0</v>
      </c>
      <c r="AB1100">
        <f>IF(COUNT($AA$1098:$AA$1100)&lt;3,"",AVERAGE($AA$1098:$AA$1100))</f>
        <v>0</v>
      </c>
      <c r="AC1100">
        <f>IF($E1100="","",MAX($C1100-$D1100,ABS($C1100-$E1099),ABS($D1100-$E1099)))</f>
        <v>0</v>
      </c>
      <c r="AD1100">
        <f>IF(COUNT($E$2:$E1100)&lt;15,"",AVERAGE($AC$1087:$AC$1100))</f>
        <v>0</v>
      </c>
      <c r="AE1100">
        <f>IF(OR($E1100="",$E1099=""),"",IF(AND(($C1100-$C1099)&gt;($D1099-$D1100),($C1100-$C1099)&gt;0),$C1100-$C1099,0))</f>
        <v>0</v>
      </c>
      <c r="AF1100">
        <f>IF(OR($E1100="",$E1099=""),"",IF(AND(($D1099-$D1100)&gt;($C1100-$C1099),($D1099-$D1100)&gt;0),$D1099-$D1100,0))</f>
        <v>0</v>
      </c>
      <c r="AG1100">
        <f>IF(COUNT($E$2:$E1100)&lt;15,"",IF(SUM($AC$1087:$AC$1100)=0,0,100*SUM($AE$1087:$AE$1100)/SUM($AC$1087:$AC$1100)))</f>
        <v>0</v>
      </c>
      <c r="AH1100">
        <f>IF(COUNT($E$2:$E1100)&lt;15,"",IF(SUM($AC$1087:$AC$1100)=0,0,100*SUM($AF$1087:$AF$1100)/SUM($AC$1087:$AC$1100)))</f>
        <v>0</v>
      </c>
      <c r="AI1100">
        <f>IF(OR(AG1100="",AH1100=""),"",IF((AG1100+AH1100)=0,0,100*ABS(AG1100-AH1100)/(AG1100+AH1100)))</f>
        <v>0</v>
      </c>
      <c r="AJ1100">
        <f>IF(COUNT($AI$1087:$AI$1100)&lt;14,"",AVERAGE($AI$1087:$AI$1100))</f>
        <v>0</v>
      </c>
      <c r="AK1100">
        <f>IF(COUNT($E$2:$E1100)&lt;20,"",AVERAGE($E$1081:$E$1100))</f>
        <v>0</v>
      </c>
      <c r="AL1100">
        <f>IF(COUNT($E$2:$E1100)&lt;20,"",STDEVP($E$1081:$E$1100))</f>
        <v>0</v>
      </c>
      <c r="AM1100">
        <f>IF(AK1100="","",AK1100+2*AL1100)</f>
        <v>0</v>
      </c>
      <c r="AN1100">
        <f>IF(AK1100="","",AK1100-2*AL1100)</f>
        <v>0</v>
      </c>
      <c r="AO1100">
        <f>IF(OR(AM1100="",AN1100="",AM1100=AN1100),"",($E1100-AN1100)/(AM1100-AN1100))</f>
        <v>0</v>
      </c>
      <c r="AP1100">
        <f>IF(OR(AM1100="",AK1100="",AK1100=0),"",(AM1100-AN1100)/AK1100)</f>
        <v>0</v>
      </c>
      <c r="AQ1100">
        <f>IF(COUNT($E$2:$E1100)&lt;20,"",MAX($C$1081:$C$1100))</f>
        <v>0</v>
      </c>
      <c r="AR1100">
        <f>IF(COUNT($E$2:$E1100)&lt;20,"",MIN($D$1081:$D$1100))</f>
        <v>0</v>
      </c>
      <c r="AS1100">
        <f>IF(OR(AQ1100="",AR1100=""),"",(AQ1100+AR1100)/2)</f>
        <v>0</v>
      </c>
      <c r="AT1100">
        <f>IF(COUNT($G$1081:$G$1100)&lt;20,"",STDEV($G$1081:$G$1100)*SQRT(252))</f>
        <v>0</v>
      </c>
      <c r="AU1100">
        <f>IF(COUNT($E$2:$E1100)&lt;9,"",(MAX($C$1092:$C$1100)+MIN($D$1092:$D$1100))/2)</f>
        <v>0</v>
      </c>
      <c r="AV1100">
        <f>IF(COUNT($E$2:$E1100)&lt;26,"",(MAX($C$1075:$C$1100)+MIN($D$1075:$D$1100))/2)</f>
        <v>0</v>
      </c>
      <c r="AW1100">
        <f>IF(OR(AU1100="",AV1100=""),"",(AU1100+AV1100)/2)</f>
        <v>0</v>
      </c>
      <c r="AX1100">
        <f>IF(COUNT($E$2:$E1100)&lt;52,"",(MAX($C$1049:$C$1100)+MIN($D$1049:$D$1100))/2)</f>
        <v>0</v>
      </c>
      <c r="AY1100">
        <f>IF(COUNT($E$2:$E1100)&lt;20,"",MAX($C$1001:$C$1100))</f>
        <v>0</v>
      </c>
      <c r="AZ1100">
        <f>IF(COUNT($E$2:$E1100)&lt;20,"",MIN($D$1001:$D$1100))</f>
        <v>0</v>
      </c>
      <c r="BA1100">
        <f>IF(COUNT($E$2:$E1100)&lt;20,"",SLOPE($E$1001:$E$1100,$F$1001:$F$1100))</f>
        <v>0</v>
      </c>
      <c r="BB1100">
        <f>IF(COUNT($E$2:$E1100)&lt;20,"",INTERCEPT($E$1001:$E$1100,$F$1001:$F$1100))</f>
        <v>0</v>
      </c>
      <c r="BC1100">
        <f>IF(OR(BA1100="",BB1100=""),"",BB1100+BA1100*F1100)</f>
        <v>0</v>
      </c>
      <c r="BD1100">
        <f>IF(COUNT($E$2:$E1100)&lt;20,"",STEYX($E$1001:$E$1100,$F$1001:$F$1100))</f>
        <v>0</v>
      </c>
      <c r="BE1100">
        <f>IF($E1100="","",IF(AND(COUNT($E$1101:$E$1104)&gt;=4,$C1100=MAX($C$1096:$C$1104)),$C1100,""))</f>
        <v>0</v>
      </c>
      <c r="BF1100">
        <f>IF($E1100="","",IF(AND(COUNT($E$1101:$E$1104)&gt;=4,$D1100=MIN($D$1096:$D$1104)),$D1100,""))</f>
        <v>0</v>
      </c>
      <c r="BG1100">
        <f>IF($A1100="","",$A1100-WEEKDAY($A1100,2)+1)</f>
        <v>0</v>
      </c>
      <c r="BH1100">
        <f>IF($A1100="","",IF($A1099="",1,IF(BG1100&lt;&gt;BG1099,1,0)))</f>
        <v>0</v>
      </c>
      <c r="BI1100">
        <f>IF($A1100="","",IF($A1101="",1,IF(BG1101&lt;&gt;BG1100,1,0)))</f>
        <v>0</v>
      </c>
      <c r="BJ1100">
        <f>IF($A1100="","",IF(BH1100=1,$B1100,BJ1099))</f>
        <v>0</v>
      </c>
      <c r="BK1100">
        <f>IF($A1100="","",IF(BH1100=1,$C1100,MAX($C1100,BK1099)))</f>
        <v>0</v>
      </c>
      <c r="BL1100">
        <f>IF($A1100="","",IF(BH1100=1,$D1100,MIN($D1100,BL1099)))</f>
        <v>0</v>
      </c>
      <c r="BM1100">
        <f>IF($A1100="","",IF(BI1100=1,F1100,""))</f>
        <v>0</v>
      </c>
      <c r="BN1100">
        <f>IF($A1100="","",DATE(YEAR($A1100),MONTH($A1100),1))</f>
        <v>0</v>
      </c>
      <c r="BO1100">
        <f>IF($A1100="","",IF($A1099="",1,IF(BN1100&lt;&gt;BN1099,1,0)))</f>
        <v>0</v>
      </c>
      <c r="BP1100">
        <f>IF($A1100="","",IF($A1101="",1,IF(BN1101&lt;&gt;BN1100,1,0)))</f>
        <v>0</v>
      </c>
      <c r="BQ1100">
        <f>IF($A1100="","",IF(BO1100=1,$B1100,BQ1099))</f>
        <v>0</v>
      </c>
      <c r="BR1100">
        <f>IF($A1100="","",IF(BO1100=1,$C1100,MAX($C1100,BR1099)))</f>
        <v>0</v>
      </c>
      <c r="BS1100">
        <f>IF($A1100="","",IF(BO1100=1,$D1100,MIN($D1100,BS1099)))</f>
        <v>0</v>
      </c>
      <c r="BT1100">
        <f>IF($A1100="","",IF(BP1100=1,F1100,""))</f>
        <v>0</v>
      </c>
    </row>
    <row r="1101" spans="1:72">
      <c r="A1101" s="27">
        <f>IF(Data!$A1101="","",Data!$A1101)</f>
        <v>0</v>
      </c>
      <c r="B1101">
        <f>IF(Data!$B1101="","",Data!$B1101)</f>
        <v>0</v>
      </c>
      <c r="C1101">
        <f>IF(Data!$C1101="","",Data!$C1101)</f>
        <v>0</v>
      </c>
      <c r="D1101">
        <f>IF(Data!$D1101="","",Data!$D1101)</f>
        <v>0</v>
      </c>
      <c r="E1101">
        <f>IF(Data!$E1101="","",Data!$E1101)</f>
        <v>0</v>
      </c>
      <c r="F1101">
        <f>IF($E1101="","",N(F1100)+1)</f>
        <v>0</v>
      </c>
      <c r="G1101">
        <f>IF(OR($E1101="",$E1100=""),"",LN($E1101/$E1100))</f>
        <v>0</v>
      </c>
      <c r="H1101">
        <f>IF($E1101="","",IF($E1100="",$E1101,$E1101*0.0952380952+H1100*0.9047619048))</f>
        <v>0</v>
      </c>
      <c r="I1101">
        <f>IF($E1101="","",IF($E1100="",$E1101,$E1101*0.0392156863+I1100*0.9607843137))</f>
        <v>0</v>
      </c>
      <c r="J1101">
        <f>IF($E1101="","",IF($E1100="",$E1101,$E1101*0.0198019802+J1100*0.9801980198))</f>
        <v>0</v>
      </c>
      <c r="K1101">
        <f>IF($E1101="","",IF($E1100="",$E1101,$E1101*0.0099502488+K1100*0.9900497512))</f>
        <v>0</v>
      </c>
      <c r="L1101">
        <f>IF(OR($E1101="",$E1100=""),"",MAX($E1101-$E1100,0))</f>
        <v>0</v>
      </c>
      <c r="M1101">
        <f>IF(OR($E1101="",$E1100=""),"",MAX($E1100-$E1101,0))</f>
        <v>0</v>
      </c>
      <c r="N1101">
        <f>IF(COUNT($E$2:$E1101)&lt;15,"",IF(AVERAGE($M$1088:$M$1101)=0,100,100-100/(1+AVERAGE($L$1088:$L$1101)/AVERAGE($M$1088:$M$1101))))</f>
        <v>0</v>
      </c>
      <c r="O1101">
        <f>IF($E1101="","",IF($E1100="",$E1101,$E1101*0.1538461538+O1100*0.8461538462))</f>
        <v>0</v>
      </c>
      <c r="P1101">
        <f>IF($E1101="","",IF($E1100="",$E1101,$E1101*0.0740740741+P1100*0.9259259259))</f>
        <v>0</v>
      </c>
      <c r="Q1101">
        <f>IF(OR(O1101="",P1101=""),"",O1101-P1101)</f>
        <v>0</v>
      </c>
      <c r="R1101">
        <f>IF(Q1101="","",IF(R1100="",Q1101,Q1101*0.2000000000+R1100*0.8000000000))</f>
        <v>0</v>
      </c>
      <c r="S1101">
        <f>IF(OR(Q1101="",R1101=""),"",Q1101-R1101)</f>
        <v>0</v>
      </c>
      <c r="T1101">
        <f>IF(COUNT($E$2:$E1101)&lt;14,"",MAX($C$1088:$C$1101))</f>
        <v>0</v>
      </c>
      <c r="U1101">
        <f>IF(COUNT($E$2:$E1101)&lt;14,"",MIN($D$1088:$D$1101))</f>
        <v>0</v>
      </c>
      <c r="V1101">
        <f>IF(OR(T1101="",U1101="",T1101=U1101),"",100*($E1101-U1101)/(T1101-U1101))</f>
        <v>0</v>
      </c>
      <c r="W1101">
        <f>IF(COUNT($V$1099:$V$1101)&lt;3,"",AVERAGE($V$1099:$V$1101))</f>
        <v>0</v>
      </c>
      <c r="X1101">
        <f>IF(COUNT($N$1088:$N$1101)&lt;14,"",MIN($N$1088:$N$1101))</f>
        <v>0</v>
      </c>
      <c r="Y1101">
        <f>IF(COUNT($N$1088:$N$1101)&lt;14,"",MAX($N$1088:$N$1101))</f>
        <v>0</v>
      </c>
      <c r="Z1101">
        <f>IF(OR(N1101="",X1101="",Y1101="",Y1101=X1101),"",100*(N1101-X1101)/(Y1101-X1101))</f>
        <v>0</v>
      </c>
      <c r="AA1101">
        <f>IF(COUNT($Z$1099:$Z$1101)&lt;3,"",AVERAGE($Z$1099:$Z$1101))</f>
        <v>0</v>
      </c>
      <c r="AB1101">
        <f>IF(COUNT($AA$1099:$AA$1101)&lt;3,"",AVERAGE($AA$1099:$AA$1101))</f>
        <v>0</v>
      </c>
      <c r="AC1101">
        <f>IF($E1101="","",MAX($C1101-$D1101,ABS($C1101-$E1100),ABS($D1101-$E1100)))</f>
        <v>0</v>
      </c>
      <c r="AD1101">
        <f>IF(COUNT($E$2:$E1101)&lt;15,"",AVERAGE($AC$1088:$AC$1101))</f>
        <v>0</v>
      </c>
      <c r="AE1101">
        <f>IF(OR($E1101="",$E1100=""),"",IF(AND(($C1101-$C1100)&gt;($D1100-$D1101),($C1101-$C1100)&gt;0),$C1101-$C1100,0))</f>
        <v>0</v>
      </c>
      <c r="AF1101">
        <f>IF(OR($E1101="",$E1100=""),"",IF(AND(($D1100-$D1101)&gt;($C1101-$C1100),($D1100-$D1101)&gt;0),$D1100-$D1101,0))</f>
        <v>0</v>
      </c>
      <c r="AG1101">
        <f>IF(COUNT($E$2:$E1101)&lt;15,"",IF(SUM($AC$1088:$AC$1101)=0,0,100*SUM($AE$1088:$AE$1101)/SUM($AC$1088:$AC$1101)))</f>
        <v>0</v>
      </c>
      <c r="AH1101">
        <f>IF(COUNT($E$2:$E1101)&lt;15,"",IF(SUM($AC$1088:$AC$1101)=0,0,100*SUM($AF$1088:$AF$1101)/SUM($AC$1088:$AC$1101)))</f>
        <v>0</v>
      </c>
      <c r="AI1101">
        <f>IF(OR(AG1101="",AH1101=""),"",IF((AG1101+AH1101)=0,0,100*ABS(AG1101-AH1101)/(AG1101+AH1101)))</f>
        <v>0</v>
      </c>
      <c r="AJ1101">
        <f>IF(COUNT($AI$1088:$AI$1101)&lt;14,"",AVERAGE($AI$1088:$AI$1101))</f>
        <v>0</v>
      </c>
      <c r="AK1101">
        <f>IF(COUNT($E$2:$E1101)&lt;20,"",AVERAGE($E$1082:$E$1101))</f>
        <v>0</v>
      </c>
      <c r="AL1101">
        <f>IF(COUNT($E$2:$E1101)&lt;20,"",STDEVP($E$1082:$E$1101))</f>
        <v>0</v>
      </c>
      <c r="AM1101">
        <f>IF(AK1101="","",AK1101+2*AL1101)</f>
        <v>0</v>
      </c>
      <c r="AN1101">
        <f>IF(AK1101="","",AK1101-2*AL1101)</f>
        <v>0</v>
      </c>
      <c r="AO1101">
        <f>IF(OR(AM1101="",AN1101="",AM1101=AN1101),"",($E1101-AN1101)/(AM1101-AN1101))</f>
        <v>0</v>
      </c>
      <c r="AP1101">
        <f>IF(OR(AM1101="",AK1101="",AK1101=0),"",(AM1101-AN1101)/AK1101)</f>
        <v>0</v>
      </c>
      <c r="AQ1101">
        <f>IF(COUNT($E$2:$E1101)&lt;20,"",MAX($C$1082:$C$1101))</f>
        <v>0</v>
      </c>
      <c r="AR1101">
        <f>IF(COUNT($E$2:$E1101)&lt;20,"",MIN($D$1082:$D$1101))</f>
        <v>0</v>
      </c>
      <c r="AS1101">
        <f>IF(OR(AQ1101="",AR1101=""),"",(AQ1101+AR1101)/2)</f>
        <v>0</v>
      </c>
      <c r="AT1101">
        <f>IF(COUNT($G$1082:$G$1101)&lt;20,"",STDEV($G$1082:$G$1101)*SQRT(252))</f>
        <v>0</v>
      </c>
      <c r="AU1101">
        <f>IF(COUNT($E$2:$E1101)&lt;9,"",(MAX($C$1093:$C$1101)+MIN($D$1093:$D$1101))/2)</f>
        <v>0</v>
      </c>
      <c r="AV1101">
        <f>IF(COUNT($E$2:$E1101)&lt;26,"",(MAX($C$1076:$C$1101)+MIN($D$1076:$D$1101))/2)</f>
        <v>0</v>
      </c>
      <c r="AW1101">
        <f>IF(OR(AU1101="",AV1101=""),"",(AU1101+AV1101)/2)</f>
        <v>0</v>
      </c>
      <c r="AX1101">
        <f>IF(COUNT($E$2:$E1101)&lt;52,"",(MAX($C$1050:$C$1101)+MIN($D$1050:$D$1101))/2)</f>
        <v>0</v>
      </c>
      <c r="AY1101">
        <f>IF(COUNT($E$2:$E1101)&lt;20,"",MAX($C$1002:$C$1101))</f>
        <v>0</v>
      </c>
      <c r="AZ1101">
        <f>IF(COUNT($E$2:$E1101)&lt;20,"",MIN($D$1002:$D$1101))</f>
        <v>0</v>
      </c>
      <c r="BA1101">
        <f>IF(COUNT($E$2:$E1101)&lt;20,"",SLOPE($E$1002:$E$1101,$F$1002:$F$1101))</f>
        <v>0</v>
      </c>
      <c r="BB1101">
        <f>IF(COUNT($E$2:$E1101)&lt;20,"",INTERCEPT($E$1002:$E$1101,$F$1002:$F$1101))</f>
        <v>0</v>
      </c>
      <c r="BC1101">
        <f>IF(OR(BA1101="",BB1101=""),"",BB1101+BA1101*F1101)</f>
        <v>0</v>
      </c>
      <c r="BD1101">
        <f>IF(COUNT($E$2:$E1101)&lt;20,"",STEYX($E$1002:$E$1101,$F$1002:$F$1101))</f>
        <v>0</v>
      </c>
      <c r="BE1101">
        <f>IF($E1101="","",IF(AND(COUNT($E$1102:$E$1105)&gt;=4,$C1101=MAX($C$1097:$C$1105)),$C1101,""))</f>
        <v>0</v>
      </c>
      <c r="BF1101">
        <f>IF($E1101="","",IF(AND(COUNT($E$1102:$E$1105)&gt;=4,$D1101=MIN($D$1097:$D$1105)),$D1101,""))</f>
        <v>0</v>
      </c>
      <c r="BG1101">
        <f>IF($A1101="","",$A1101-WEEKDAY($A1101,2)+1)</f>
        <v>0</v>
      </c>
      <c r="BH1101">
        <f>IF($A1101="","",IF($A1100="",1,IF(BG1101&lt;&gt;BG1100,1,0)))</f>
        <v>0</v>
      </c>
      <c r="BI1101">
        <f>IF($A1101="","",IF($A1102="",1,IF(BG1102&lt;&gt;BG1101,1,0)))</f>
        <v>0</v>
      </c>
      <c r="BJ1101">
        <f>IF($A1101="","",IF(BH1101=1,$B1101,BJ1100))</f>
        <v>0</v>
      </c>
      <c r="BK1101">
        <f>IF($A1101="","",IF(BH1101=1,$C1101,MAX($C1101,BK1100)))</f>
        <v>0</v>
      </c>
      <c r="BL1101">
        <f>IF($A1101="","",IF(BH1101=1,$D1101,MIN($D1101,BL1100)))</f>
        <v>0</v>
      </c>
      <c r="BM1101">
        <f>IF($A1101="","",IF(BI1101=1,F1101,""))</f>
        <v>0</v>
      </c>
      <c r="BN1101">
        <f>IF($A1101="","",DATE(YEAR($A1101),MONTH($A1101),1))</f>
        <v>0</v>
      </c>
      <c r="BO1101">
        <f>IF($A1101="","",IF($A1100="",1,IF(BN1101&lt;&gt;BN1100,1,0)))</f>
        <v>0</v>
      </c>
      <c r="BP1101">
        <f>IF($A1101="","",IF($A1102="",1,IF(BN1102&lt;&gt;BN1101,1,0)))</f>
        <v>0</v>
      </c>
      <c r="BQ1101">
        <f>IF($A1101="","",IF(BO1101=1,$B1101,BQ1100))</f>
        <v>0</v>
      </c>
      <c r="BR1101">
        <f>IF($A1101="","",IF(BO1101=1,$C1101,MAX($C1101,BR1100)))</f>
        <v>0</v>
      </c>
      <c r="BS1101">
        <f>IF($A1101="","",IF(BO1101=1,$D1101,MIN($D1101,BS1100)))</f>
        <v>0</v>
      </c>
      <c r="BT1101">
        <f>IF($A1101="","",IF(BP1101=1,F1101,""))</f>
        <v>0</v>
      </c>
    </row>
    <row r="1102" spans="1:72">
      <c r="A1102" s="27">
        <f>IF(Data!$A1102="","",Data!$A1102)</f>
        <v>0</v>
      </c>
      <c r="B1102">
        <f>IF(Data!$B1102="","",Data!$B1102)</f>
        <v>0</v>
      </c>
      <c r="C1102">
        <f>IF(Data!$C1102="","",Data!$C1102)</f>
        <v>0</v>
      </c>
      <c r="D1102">
        <f>IF(Data!$D1102="","",Data!$D1102)</f>
        <v>0</v>
      </c>
      <c r="E1102">
        <f>IF(Data!$E1102="","",Data!$E1102)</f>
        <v>0</v>
      </c>
      <c r="F1102">
        <f>IF($E1102="","",N(F1101)+1)</f>
        <v>0</v>
      </c>
      <c r="G1102">
        <f>IF(OR($E1102="",$E1101=""),"",LN($E1102/$E1101))</f>
        <v>0</v>
      </c>
      <c r="H1102">
        <f>IF($E1102="","",IF($E1101="",$E1102,$E1102*0.0952380952+H1101*0.9047619048))</f>
        <v>0</v>
      </c>
      <c r="I1102">
        <f>IF($E1102="","",IF($E1101="",$E1102,$E1102*0.0392156863+I1101*0.9607843137))</f>
        <v>0</v>
      </c>
      <c r="J1102">
        <f>IF($E1102="","",IF($E1101="",$E1102,$E1102*0.0198019802+J1101*0.9801980198))</f>
        <v>0</v>
      </c>
      <c r="K1102">
        <f>IF($E1102="","",IF($E1101="",$E1102,$E1102*0.0099502488+K1101*0.9900497512))</f>
        <v>0</v>
      </c>
      <c r="L1102">
        <f>IF(OR($E1102="",$E1101=""),"",MAX($E1102-$E1101,0))</f>
        <v>0</v>
      </c>
      <c r="M1102">
        <f>IF(OR($E1102="",$E1101=""),"",MAX($E1101-$E1102,0))</f>
        <v>0</v>
      </c>
      <c r="N1102">
        <f>IF(COUNT($E$2:$E1102)&lt;15,"",IF(AVERAGE($M$1089:$M$1102)=0,100,100-100/(1+AVERAGE($L$1089:$L$1102)/AVERAGE($M$1089:$M$1102))))</f>
        <v>0</v>
      </c>
      <c r="O1102">
        <f>IF($E1102="","",IF($E1101="",$E1102,$E1102*0.1538461538+O1101*0.8461538462))</f>
        <v>0</v>
      </c>
      <c r="P1102">
        <f>IF($E1102="","",IF($E1101="",$E1102,$E1102*0.0740740741+P1101*0.9259259259))</f>
        <v>0</v>
      </c>
      <c r="Q1102">
        <f>IF(OR(O1102="",P1102=""),"",O1102-P1102)</f>
        <v>0</v>
      </c>
      <c r="R1102">
        <f>IF(Q1102="","",IF(R1101="",Q1102,Q1102*0.2000000000+R1101*0.8000000000))</f>
        <v>0</v>
      </c>
      <c r="S1102">
        <f>IF(OR(Q1102="",R1102=""),"",Q1102-R1102)</f>
        <v>0</v>
      </c>
      <c r="T1102">
        <f>IF(COUNT($E$2:$E1102)&lt;14,"",MAX($C$1089:$C$1102))</f>
        <v>0</v>
      </c>
      <c r="U1102">
        <f>IF(COUNT($E$2:$E1102)&lt;14,"",MIN($D$1089:$D$1102))</f>
        <v>0</v>
      </c>
      <c r="V1102">
        <f>IF(OR(T1102="",U1102="",T1102=U1102),"",100*($E1102-U1102)/(T1102-U1102))</f>
        <v>0</v>
      </c>
      <c r="W1102">
        <f>IF(COUNT($V$1100:$V$1102)&lt;3,"",AVERAGE($V$1100:$V$1102))</f>
        <v>0</v>
      </c>
      <c r="X1102">
        <f>IF(COUNT($N$1089:$N$1102)&lt;14,"",MIN($N$1089:$N$1102))</f>
        <v>0</v>
      </c>
      <c r="Y1102">
        <f>IF(COUNT($N$1089:$N$1102)&lt;14,"",MAX($N$1089:$N$1102))</f>
        <v>0</v>
      </c>
      <c r="Z1102">
        <f>IF(OR(N1102="",X1102="",Y1102="",Y1102=X1102),"",100*(N1102-X1102)/(Y1102-X1102))</f>
        <v>0</v>
      </c>
      <c r="AA1102">
        <f>IF(COUNT($Z$1100:$Z$1102)&lt;3,"",AVERAGE($Z$1100:$Z$1102))</f>
        <v>0</v>
      </c>
      <c r="AB1102">
        <f>IF(COUNT($AA$1100:$AA$1102)&lt;3,"",AVERAGE($AA$1100:$AA$1102))</f>
        <v>0</v>
      </c>
      <c r="AC1102">
        <f>IF($E1102="","",MAX($C1102-$D1102,ABS($C1102-$E1101),ABS($D1102-$E1101)))</f>
        <v>0</v>
      </c>
      <c r="AD1102">
        <f>IF(COUNT($E$2:$E1102)&lt;15,"",AVERAGE($AC$1089:$AC$1102))</f>
        <v>0</v>
      </c>
      <c r="AE1102">
        <f>IF(OR($E1102="",$E1101=""),"",IF(AND(($C1102-$C1101)&gt;($D1101-$D1102),($C1102-$C1101)&gt;0),$C1102-$C1101,0))</f>
        <v>0</v>
      </c>
      <c r="AF1102">
        <f>IF(OR($E1102="",$E1101=""),"",IF(AND(($D1101-$D1102)&gt;($C1102-$C1101),($D1101-$D1102)&gt;0),$D1101-$D1102,0))</f>
        <v>0</v>
      </c>
      <c r="AG1102">
        <f>IF(COUNT($E$2:$E1102)&lt;15,"",IF(SUM($AC$1089:$AC$1102)=0,0,100*SUM($AE$1089:$AE$1102)/SUM($AC$1089:$AC$1102)))</f>
        <v>0</v>
      </c>
      <c r="AH1102">
        <f>IF(COUNT($E$2:$E1102)&lt;15,"",IF(SUM($AC$1089:$AC$1102)=0,0,100*SUM($AF$1089:$AF$1102)/SUM($AC$1089:$AC$1102)))</f>
        <v>0</v>
      </c>
      <c r="AI1102">
        <f>IF(OR(AG1102="",AH1102=""),"",IF((AG1102+AH1102)=0,0,100*ABS(AG1102-AH1102)/(AG1102+AH1102)))</f>
        <v>0</v>
      </c>
      <c r="AJ1102">
        <f>IF(COUNT($AI$1089:$AI$1102)&lt;14,"",AVERAGE($AI$1089:$AI$1102))</f>
        <v>0</v>
      </c>
      <c r="AK1102">
        <f>IF(COUNT($E$2:$E1102)&lt;20,"",AVERAGE($E$1083:$E$1102))</f>
        <v>0</v>
      </c>
      <c r="AL1102">
        <f>IF(COUNT($E$2:$E1102)&lt;20,"",STDEVP($E$1083:$E$1102))</f>
        <v>0</v>
      </c>
      <c r="AM1102">
        <f>IF(AK1102="","",AK1102+2*AL1102)</f>
        <v>0</v>
      </c>
      <c r="AN1102">
        <f>IF(AK1102="","",AK1102-2*AL1102)</f>
        <v>0</v>
      </c>
      <c r="AO1102">
        <f>IF(OR(AM1102="",AN1102="",AM1102=AN1102),"",($E1102-AN1102)/(AM1102-AN1102))</f>
        <v>0</v>
      </c>
      <c r="AP1102">
        <f>IF(OR(AM1102="",AK1102="",AK1102=0),"",(AM1102-AN1102)/AK1102)</f>
        <v>0</v>
      </c>
      <c r="AQ1102">
        <f>IF(COUNT($E$2:$E1102)&lt;20,"",MAX($C$1083:$C$1102))</f>
        <v>0</v>
      </c>
      <c r="AR1102">
        <f>IF(COUNT($E$2:$E1102)&lt;20,"",MIN($D$1083:$D$1102))</f>
        <v>0</v>
      </c>
      <c r="AS1102">
        <f>IF(OR(AQ1102="",AR1102=""),"",(AQ1102+AR1102)/2)</f>
        <v>0</v>
      </c>
      <c r="AT1102">
        <f>IF(COUNT($G$1083:$G$1102)&lt;20,"",STDEV($G$1083:$G$1102)*SQRT(252))</f>
        <v>0</v>
      </c>
      <c r="AU1102">
        <f>IF(COUNT($E$2:$E1102)&lt;9,"",(MAX($C$1094:$C$1102)+MIN($D$1094:$D$1102))/2)</f>
        <v>0</v>
      </c>
      <c r="AV1102">
        <f>IF(COUNT($E$2:$E1102)&lt;26,"",(MAX($C$1077:$C$1102)+MIN($D$1077:$D$1102))/2)</f>
        <v>0</v>
      </c>
      <c r="AW1102">
        <f>IF(OR(AU1102="",AV1102=""),"",(AU1102+AV1102)/2)</f>
        <v>0</v>
      </c>
      <c r="AX1102">
        <f>IF(COUNT($E$2:$E1102)&lt;52,"",(MAX($C$1051:$C$1102)+MIN($D$1051:$D$1102))/2)</f>
        <v>0</v>
      </c>
      <c r="AY1102">
        <f>IF(COUNT($E$2:$E1102)&lt;20,"",MAX($C$1003:$C$1102))</f>
        <v>0</v>
      </c>
      <c r="AZ1102">
        <f>IF(COUNT($E$2:$E1102)&lt;20,"",MIN($D$1003:$D$1102))</f>
        <v>0</v>
      </c>
      <c r="BA1102">
        <f>IF(COUNT($E$2:$E1102)&lt;20,"",SLOPE($E$1003:$E$1102,$F$1003:$F$1102))</f>
        <v>0</v>
      </c>
      <c r="BB1102">
        <f>IF(COUNT($E$2:$E1102)&lt;20,"",INTERCEPT($E$1003:$E$1102,$F$1003:$F$1102))</f>
        <v>0</v>
      </c>
      <c r="BC1102">
        <f>IF(OR(BA1102="",BB1102=""),"",BB1102+BA1102*F1102)</f>
        <v>0</v>
      </c>
      <c r="BD1102">
        <f>IF(COUNT($E$2:$E1102)&lt;20,"",STEYX($E$1003:$E$1102,$F$1003:$F$1102))</f>
        <v>0</v>
      </c>
      <c r="BE1102">
        <f>IF($E1102="","",IF(AND(COUNT($E$1103:$E$1106)&gt;=4,$C1102=MAX($C$1098:$C$1106)),$C1102,""))</f>
        <v>0</v>
      </c>
      <c r="BF1102">
        <f>IF($E1102="","",IF(AND(COUNT($E$1103:$E$1106)&gt;=4,$D1102=MIN($D$1098:$D$1106)),$D1102,""))</f>
        <v>0</v>
      </c>
      <c r="BG1102">
        <f>IF($A1102="","",$A1102-WEEKDAY($A1102,2)+1)</f>
        <v>0</v>
      </c>
      <c r="BH1102">
        <f>IF($A1102="","",IF($A1101="",1,IF(BG1102&lt;&gt;BG1101,1,0)))</f>
        <v>0</v>
      </c>
      <c r="BI1102">
        <f>IF($A1102="","",IF($A1103="",1,IF(BG1103&lt;&gt;BG1102,1,0)))</f>
        <v>0</v>
      </c>
      <c r="BJ1102">
        <f>IF($A1102="","",IF(BH1102=1,$B1102,BJ1101))</f>
        <v>0</v>
      </c>
      <c r="BK1102">
        <f>IF($A1102="","",IF(BH1102=1,$C1102,MAX($C1102,BK1101)))</f>
        <v>0</v>
      </c>
      <c r="BL1102">
        <f>IF($A1102="","",IF(BH1102=1,$D1102,MIN($D1102,BL1101)))</f>
        <v>0</v>
      </c>
      <c r="BM1102">
        <f>IF($A1102="","",IF(BI1102=1,F1102,""))</f>
        <v>0</v>
      </c>
      <c r="BN1102">
        <f>IF($A1102="","",DATE(YEAR($A1102),MONTH($A1102),1))</f>
        <v>0</v>
      </c>
      <c r="BO1102">
        <f>IF($A1102="","",IF($A1101="",1,IF(BN1102&lt;&gt;BN1101,1,0)))</f>
        <v>0</v>
      </c>
      <c r="BP1102">
        <f>IF($A1102="","",IF($A1103="",1,IF(BN1103&lt;&gt;BN1102,1,0)))</f>
        <v>0</v>
      </c>
      <c r="BQ1102">
        <f>IF($A1102="","",IF(BO1102=1,$B1102,BQ1101))</f>
        <v>0</v>
      </c>
      <c r="BR1102">
        <f>IF($A1102="","",IF(BO1102=1,$C1102,MAX($C1102,BR1101)))</f>
        <v>0</v>
      </c>
      <c r="BS1102">
        <f>IF($A1102="","",IF(BO1102=1,$D1102,MIN($D1102,BS1101)))</f>
        <v>0</v>
      </c>
      <c r="BT1102">
        <f>IF($A1102="","",IF(BP1102=1,F1102,""))</f>
        <v>0</v>
      </c>
    </row>
    <row r="1103" spans="1:72">
      <c r="A1103" s="27">
        <f>IF(Data!$A1103="","",Data!$A1103)</f>
        <v>0</v>
      </c>
      <c r="B1103">
        <f>IF(Data!$B1103="","",Data!$B1103)</f>
        <v>0</v>
      </c>
      <c r="C1103">
        <f>IF(Data!$C1103="","",Data!$C1103)</f>
        <v>0</v>
      </c>
      <c r="D1103">
        <f>IF(Data!$D1103="","",Data!$D1103)</f>
        <v>0</v>
      </c>
      <c r="E1103">
        <f>IF(Data!$E1103="","",Data!$E1103)</f>
        <v>0</v>
      </c>
      <c r="F1103">
        <f>IF($E1103="","",N(F1102)+1)</f>
        <v>0</v>
      </c>
      <c r="G1103">
        <f>IF(OR($E1103="",$E1102=""),"",LN($E1103/$E1102))</f>
        <v>0</v>
      </c>
      <c r="H1103">
        <f>IF($E1103="","",IF($E1102="",$E1103,$E1103*0.0952380952+H1102*0.9047619048))</f>
        <v>0</v>
      </c>
      <c r="I1103">
        <f>IF($E1103="","",IF($E1102="",$E1103,$E1103*0.0392156863+I1102*0.9607843137))</f>
        <v>0</v>
      </c>
      <c r="J1103">
        <f>IF($E1103="","",IF($E1102="",$E1103,$E1103*0.0198019802+J1102*0.9801980198))</f>
        <v>0</v>
      </c>
      <c r="K1103">
        <f>IF($E1103="","",IF($E1102="",$E1103,$E1103*0.0099502488+K1102*0.9900497512))</f>
        <v>0</v>
      </c>
      <c r="L1103">
        <f>IF(OR($E1103="",$E1102=""),"",MAX($E1103-$E1102,0))</f>
        <v>0</v>
      </c>
      <c r="M1103">
        <f>IF(OR($E1103="",$E1102=""),"",MAX($E1102-$E1103,0))</f>
        <v>0</v>
      </c>
      <c r="N1103">
        <f>IF(COUNT($E$2:$E1103)&lt;15,"",IF(AVERAGE($M$1090:$M$1103)=0,100,100-100/(1+AVERAGE($L$1090:$L$1103)/AVERAGE($M$1090:$M$1103))))</f>
        <v>0</v>
      </c>
      <c r="O1103">
        <f>IF($E1103="","",IF($E1102="",$E1103,$E1103*0.1538461538+O1102*0.8461538462))</f>
        <v>0</v>
      </c>
      <c r="P1103">
        <f>IF($E1103="","",IF($E1102="",$E1103,$E1103*0.0740740741+P1102*0.9259259259))</f>
        <v>0</v>
      </c>
      <c r="Q1103">
        <f>IF(OR(O1103="",P1103=""),"",O1103-P1103)</f>
        <v>0</v>
      </c>
      <c r="R1103">
        <f>IF(Q1103="","",IF(R1102="",Q1103,Q1103*0.2000000000+R1102*0.8000000000))</f>
        <v>0</v>
      </c>
      <c r="S1103">
        <f>IF(OR(Q1103="",R1103=""),"",Q1103-R1103)</f>
        <v>0</v>
      </c>
      <c r="T1103">
        <f>IF(COUNT($E$2:$E1103)&lt;14,"",MAX($C$1090:$C$1103))</f>
        <v>0</v>
      </c>
      <c r="U1103">
        <f>IF(COUNT($E$2:$E1103)&lt;14,"",MIN($D$1090:$D$1103))</f>
        <v>0</v>
      </c>
      <c r="V1103">
        <f>IF(OR(T1103="",U1103="",T1103=U1103),"",100*($E1103-U1103)/(T1103-U1103))</f>
        <v>0</v>
      </c>
      <c r="W1103">
        <f>IF(COUNT($V$1101:$V$1103)&lt;3,"",AVERAGE($V$1101:$V$1103))</f>
        <v>0</v>
      </c>
      <c r="X1103">
        <f>IF(COUNT($N$1090:$N$1103)&lt;14,"",MIN($N$1090:$N$1103))</f>
        <v>0</v>
      </c>
      <c r="Y1103">
        <f>IF(COUNT($N$1090:$N$1103)&lt;14,"",MAX($N$1090:$N$1103))</f>
        <v>0</v>
      </c>
      <c r="Z1103">
        <f>IF(OR(N1103="",X1103="",Y1103="",Y1103=X1103),"",100*(N1103-X1103)/(Y1103-X1103))</f>
        <v>0</v>
      </c>
      <c r="AA1103">
        <f>IF(COUNT($Z$1101:$Z$1103)&lt;3,"",AVERAGE($Z$1101:$Z$1103))</f>
        <v>0</v>
      </c>
      <c r="AB1103">
        <f>IF(COUNT($AA$1101:$AA$1103)&lt;3,"",AVERAGE($AA$1101:$AA$1103))</f>
        <v>0</v>
      </c>
      <c r="AC1103">
        <f>IF($E1103="","",MAX($C1103-$D1103,ABS($C1103-$E1102),ABS($D1103-$E1102)))</f>
        <v>0</v>
      </c>
      <c r="AD1103">
        <f>IF(COUNT($E$2:$E1103)&lt;15,"",AVERAGE($AC$1090:$AC$1103))</f>
        <v>0</v>
      </c>
      <c r="AE1103">
        <f>IF(OR($E1103="",$E1102=""),"",IF(AND(($C1103-$C1102)&gt;($D1102-$D1103),($C1103-$C1102)&gt;0),$C1103-$C1102,0))</f>
        <v>0</v>
      </c>
      <c r="AF1103">
        <f>IF(OR($E1103="",$E1102=""),"",IF(AND(($D1102-$D1103)&gt;($C1103-$C1102),($D1102-$D1103)&gt;0),$D1102-$D1103,0))</f>
        <v>0</v>
      </c>
      <c r="AG1103">
        <f>IF(COUNT($E$2:$E1103)&lt;15,"",IF(SUM($AC$1090:$AC$1103)=0,0,100*SUM($AE$1090:$AE$1103)/SUM($AC$1090:$AC$1103)))</f>
        <v>0</v>
      </c>
      <c r="AH1103">
        <f>IF(COUNT($E$2:$E1103)&lt;15,"",IF(SUM($AC$1090:$AC$1103)=0,0,100*SUM($AF$1090:$AF$1103)/SUM($AC$1090:$AC$1103)))</f>
        <v>0</v>
      </c>
      <c r="AI1103">
        <f>IF(OR(AG1103="",AH1103=""),"",IF((AG1103+AH1103)=0,0,100*ABS(AG1103-AH1103)/(AG1103+AH1103)))</f>
        <v>0</v>
      </c>
      <c r="AJ1103">
        <f>IF(COUNT($AI$1090:$AI$1103)&lt;14,"",AVERAGE($AI$1090:$AI$1103))</f>
        <v>0</v>
      </c>
      <c r="AK1103">
        <f>IF(COUNT($E$2:$E1103)&lt;20,"",AVERAGE($E$1084:$E$1103))</f>
        <v>0</v>
      </c>
      <c r="AL1103">
        <f>IF(COUNT($E$2:$E1103)&lt;20,"",STDEVP($E$1084:$E$1103))</f>
        <v>0</v>
      </c>
      <c r="AM1103">
        <f>IF(AK1103="","",AK1103+2*AL1103)</f>
        <v>0</v>
      </c>
      <c r="AN1103">
        <f>IF(AK1103="","",AK1103-2*AL1103)</f>
        <v>0</v>
      </c>
      <c r="AO1103">
        <f>IF(OR(AM1103="",AN1103="",AM1103=AN1103),"",($E1103-AN1103)/(AM1103-AN1103))</f>
        <v>0</v>
      </c>
      <c r="AP1103">
        <f>IF(OR(AM1103="",AK1103="",AK1103=0),"",(AM1103-AN1103)/AK1103)</f>
        <v>0</v>
      </c>
      <c r="AQ1103">
        <f>IF(COUNT($E$2:$E1103)&lt;20,"",MAX($C$1084:$C$1103))</f>
        <v>0</v>
      </c>
      <c r="AR1103">
        <f>IF(COUNT($E$2:$E1103)&lt;20,"",MIN($D$1084:$D$1103))</f>
        <v>0</v>
      </c>
      <c r="AS1103">
        <f>IF(OR(AQ1103="",AR1103=""),"",(AQ1103+AR1103)/2)</f>
        <v>0</v>
      </c>
      <c r="AT1103">
        <f>IF(COUNT($G$1084:$G$1103)&lt;20,"",STDEV($G$1084:$G$1103)*SQRT(252))</f>
        <v>0</v>
      </c>
      <c r="AU1103">
        <f>IF(COUNT($E$2:$E1103)&lt;9,"",(MAX($C$1095:$C$1103)+MIN($D$1095:$D$1103))/2)</f>
        <v>0</v>
      </c>
      <c r="AV1103">
        <f>IF(COUNT($E$2:$E1103)&lt;26,"",(MAX($C$1078:$C$1103)+MIN($D$1078:$D$1103))/2)</f>
        <v>0</v>
      </c>
      <c r="AW1103">
        <f>IF(OR(AU1103="",AV1103=""),"",(AU1103+AV1103)/2)</f>
        <v>0</v>
      </c>
      <c r="AX1103">
        <f>IF(COUNT($E$2:$E1103)&lt;52,"",(MAX($C$1052:$C$1103)+MIN($D$1052:$D$1103))/2)</f>
        <v>0</v>
      </c>
      <c r="AY1103">
        <f>IF(COUNT($E$2:$E1103)&lt;20,"",MAX($C$1004:$C$1103))</f>
        <v>0</v>
      </c>
      <c r="AZ1103">
        <f>IF(COUNT($E$2:$E1103)&lt;20,"",MIN($D$1004:$D$1103))</f>
        <v>0</v>
      </c>
      <c r="BA1103">
        <f>IF(COUNT($E$2:$E1103)&lt;20,"",SLOPE($E$1004:$E$1103,$F$1004:$F$1103))</f>
        <v>0</v>
      </c>
      <c r="BB1103">
        <f>IF(COUNT($E$2:$E1103)&lt;20,"",INTERCEPT($E$1004:$E$1103,$F$1004:$F$1103))</f>
        <v>0</v>
      </c>
      <c r="BC1103">
        <f>IF(OR(BA1103="",BB1103=""),"",BB1103+BA1103*F1103)</f>
        <v>0</v>
      </c>
      <c r="BD1103">
        <f>IF(COUNT($E$2:$E1103)&lt;20,"",STEYX($E$1004:$E$1103,$F$1004:$F$1103))</f>
        <v>0</v>
      </c>
      <c r="BE1103">
        <f>IF($E1103="","",IF(AND(COUNT($E$1104:$E$1107)&gt;=4,$C1103=MAX($C$1099:$C$1107)),$C1103,""))</f>
        <v>0</v>
      </c>
      <c r="BF1103">
        <f>IF($E1103="","",IF(AND(COUNT($E$1104:$E$1107)&gt;=4,$D1103=MIN($D$1099:$D$1107)),$D1103,""))</f>
        <v>0</v>
      </c>
      <c r="BG1103">
        <f>IF($A1103="","",$A1103-WEEKDAY($A1103,2)+1)</f>
        <v>0</v>
      </c>
      <c r="BH1103">
        <f>IF($A1103="","",IF($A1102="",1,IF(BG1103&lt;&gt;BG1102,1,0)))</f>
        <v>0</v>
      </c>
      <c r="BI1103">
        <f>IF($A1103="","",IF($A1104="",1,IF(BG1104&lt;&gt;BG1103,1,0)))</f>
        <v>0</v>
      </c>
      <c r="BJ1103">
        <f>IF($A1103="","",IF(BH1103=1,$B1103,BJ1102))</f>
        <v>0</v>
      </c>
      <c r="BK1103">
        <f>IF($A1103="","",IF(BH1103=1,$C1103,MAX($C1103,BK1102)))</f>
        <v>0</v>
      </c>
      <c r="BL1103">
        <f>IF($A1103="","",IF(BH1103=1,$D1103,MIN($D1103,BL1102)))</f>
        <v>0</v>
      </c>
      <c r="BM1103">
        <f>IF($A1103="","",IF(BI1103=1,F1103,""))</f>
        <v>0</v>
      </c>
      <c r="BN1103">
        <f>IF($A1103="","",DATE(YEAR($A1103),MONTH($A1103),1))</f>
        <v>0</v>
      </c>
      <c r="BO1103">
        <f>IF($A1103="","",IF($A1102="",1,IF(BN1103&lt;&gt;BN1102,1,0)))</f>
        <v>0</v>
      </c>
      <c r="BP1103">
        <f>IF($A1103="","",IF($A1104="",1,IF(BN1104&lt;&gt;BN1103,1,0)))</f>
        <v>0</v>
      </c>
      <c r="BQ1103">
        <f>IF($A1103="","",IF(BO1103=1,$B1103,BQ1102))</f>
        <v>0</v>
      </c>
      <c r="BR1103">
        <f>IF($A1103="","",IF(BO1103=1,$C1103,MAX($C1103,BR1102)))</f>
        <v>0</v>
      </c>
      <c r="BS1103">
        <f>IF($A1103="","",IF(BO1103=1,$D1103,MIN($D1103,BS1102)))</f>
        <v>0</v>
      </c>
      <c r="BT1103">
        <f>IF($A1103="","",IF(BP1103=1,F1103,""))</f>
        <v>0</v>
      </c>
    </row>
    <row r="1104" spans="1:72">
      <c r="A1104" s="27">
        <f>IF(Data!$A1104="","",Data!$A1104)</f>
        <v>0</v>
      </c>
      <c r="B1104">
        <f>IF(Data!$B1104="","",Data!$B1104)</f>
        <v>0</v>
      </c>
      <c r="C1104">
        <f>IF(Data!$C1104="","",Data!$C1104)</f>
        <v>0</v>
      </c>
      <c r="D1104">
        <f>IF(Data!$D1104="","",Data!$D1104)</f>
        <v>0</v>
      </c>
      <c r="E1104">
        <f>IF(Data!$E1104="","",Data!$E1104)</f>
        <v>0</v>
      </c>
      <c r="F1104">
        <f>IF($E1104="","",N(F1103)+1)</f>
        <v>0</v>
      </c>
      <c r="G1104">
        <f>IF(OR($E1104="",$E1103=""),"",LN($E1104/$E1103))</f>
        <v>0</v>
      </c>
      <c r="H1104">
        <f>IF($E1104="","",IF($E1103="",$E1104,$E1104*0.0952380952+H1103*0.9047619048))</f>
        <v>0</v>
      </c>
      <c r="I1104">
        <f>IF($E1104="","",IF($E1103="",$E1104,$E1104*0.0392156863+I1103*0.9607843137))</f>
        <v>0</v>
      </c>
      <c r="J1104">
        <f>IF($E1104="","",IF($E1103="",$E1104,$E1104*0.0198019802+J1103*0.9801980198))</f>
        <v>0</v>
      </c>
      <c r="K1104">
        <f>IF($E1104="","",IF($E1103="",$E1104,$E1104*0.0099502488+K1103*0.9900497512))</f>
        <v>0</v>
      </c>
      <c r="L1104">
        <f>IF(OR($E1104="",$E1103=""),"",MAX($E1104-$E1103,0))</f>
        <v>0</v>
      </c>
      <c r="M1104">
        <f>IF(OR($E1104="",$E1103=""),"",MAX($E1103-$E1104,0))</f>
        <v>0</v>
      </c>
      <c r="N1104">
        <f>IF(COUNT($E$2:$E1104)&lt;15,"",IF(AVERAGE($M$1091:$M$1104)=0,100,100-100/(1+AVERAGE($L$1091:$L$1104)/AVERAGE($M$1091:$M$1104))))</f>
        <v>0</v>
      </c>
      <c r="O1104">
        <f>IF($E1104="","",IF($E1103="",$E1104,$E1104*0.1538461538+O1103*0.8461538462))</f>
        <v>0</v>
      </c>
      <c r="P1104">
        <f>IF($E1104="","",IF($E1103="",$E1104,$E1104*0.0740740741+P1103*0.9259259259))</f>
        <v>0</v>
      </c>
      <c r="Q1104">
        <f>IF(OR(O1104="",P1104=""),"",O1104-P1104)</f>
        <v>0</v>
      </c>
      <c r="R1104">
        <f>IF(Q1104="","",IF(R1103="",Q1104,Q1104*0.2000000000+R1103*0.8000000000))</f>
        <v>0</v>
      </c>
      <c r="S1104">
        <f>IF(OR(Q1104="",R1104=""),"",Q1104-R1104)</f>
        <v>0</v>
      </c>
      <c r="T1104">
        <f>IF(COUNT($E$2:$E1104)&lt;14,"",MAX($C$1091:$C$1104))</f>
        <v>0</v>
      </c>
      <c r="U1104">
        <f>IF(COUNT($E$2:$E1104)&lt;14,"",MIN($D$1091:$D$1104))</f>
        <v>0</v>
      </c>
      <c r="V1104">
        <f>IF(OR(T1104="",U1104="",T1104=U1104),"",100*($E1104-U1104)/(T1104-U1104))</f>
        <v>0</v>
      </c>
      <c r="W1104">
        <f>IF(COUNT($V$1102:$V$1104)&lt;3,"",AVERAGE($V$1102:$V$1104))</f>
        <v>0</v>
      </c>
      <c r="X1104">
        <f>IF(COUNT($N$1091:$N$1104)&lt;14,"",MIN($N$1091:$N$1104))</f>
        <v>0</v>
      </c>
      <c r="Y1104">
        <f>IF(COUNT($N$1091:$N$1104)&lt;14,"",MAX($N$1091:$N$1104))</f>
        <v>0</v>
      </c>
      <c r="Z1104">
        <f>IF(OR(N1104="",X1104="",Y1104="",Y1104=X1104),"",100*(N1104-X1104)/(Y1104-X1104))</f>
        <v>0</v>
      </c>
      <c r="AA1104">
        <f>IF(COUNT($Z$1102:$Z$1104)&lt;3,"",AVERAGE($Z$1102:$Z$1104))</f>
        <v>0</v>
      </c>
      <c r="AB1104">
        <f>IF(COUNT($AA$1102:$AA$1104)&lt;3,"",AVERAGE($AA$1102:$AA$1104))</f>
        <v>0</v>
      </c>
      <c r="AC1104">
        <f>IF($E1104="","",MAX($C1104-$D1104,ABS($C1104-$E1103),ABS($D1104-$E1103)))</f>
        <v>0</v>
      </c>
      <c r="AD1104">
        <f>IF(COUNT($E$2:$E1104)&lt;15,"",AVERAGE($AC$1091:$AC$1104))</f>
        <v>0</v>
      </c>
      <c r="AE1104">
        <f>IF(OR($E1104="",$E1103=""),"",IF(AND(($C1104-$C1103)&gt;($D1103-$D1104),($C1104-$C1103)&gt;0),$C1104-$C1103,0))</f>
        <v>0</v>
      </c>
      <c r="AF1104">
        <f>IF(OR($E1104="",$E1103=""),"",IF(AND(($D1103-$D1104)&gt;($C1104-$C1103),($D1103-$D1104)&gt;0),$D1103-$D1104,0))</f>
        <v>0</v>
      </c>
      <c r="AG1104">
        <f>IF(COUNT($E$2:$E1104)&lt;15,"",IF(SUM($AC$1091:$AC$1104)=0,0,100*SUM($AE$1091:$AE$1104)/SUM($AC$1091:$AC$1104)))</f>
        <v>0</v>
      </c>
      <c r="AH1104">
        <f>IF(COUNT($E$2:$E1104)&lt;15,"",IF(SUM($AC$1091:$AC$1104)=0,0,100*SUM($AF$1091:$AF$1104)/SUM($AC$1091:$AC$1104)))</f>
        <v>0</v>
      </c>
      <c r="AI1104">
        <f>IF(OR(AG1104="",AH1104=""),"",IF((AG1104+AH1104)=0,0,100*ABS(AG1104-AH1104)/(AG1104+AH1104)))</f>
        <v>0</v>
      </c>
      <c r="AJ1104">
        <f>IF(COUNT($AI$1091:$AI$1104)&lt;14,"",AVERAGE($AI$1091:$AI$1104))</f>
        <v>0</v>
      </c>
      <c r="AK1104">
        <f>IF(COUNT($E$2:$E1104)&lt;20,"",AVERAGE($E$1085:$E$1104))</f>
        <v>0</v>
      </c>
      <c r="AL1104">
        <f>IF(COUNT($E$2:$E1104)&lt;20,"",STDEVP($E$1085:$E$1104))</f>
        <v>0</v>
      </c>
      <c r="AM1104">
        <f>IF(AK1104="","",AK1104+2*AL1104)</f>
        <v>0</v>
      </c>
      <c r="AN1104">
        <f>IF(AK1104="","",AK1104-2*AL1104)</f>
        <v>0</v>
      </c>
      <c r="AO1104">
        <f>IF(OR(AM1104="",AN1104="",AM1104=AN1104),"",($E1104-AN1104)/(AM1104-AN1104))</f>
        <v>0</v>
      </c>
      <c r="AP1104">
        <f>IF(OR(AM1104="",AK1104="",AK1104=0),"",(AM1104-AN1104)/AK1104)</f>
        <v>0</v>
      </c>
      <c r="AQ1104">
        <f>IF(COUNT($E$2:$E1104)&lt;20,"",MAX($C$1085:$C$1104))</f>
        <v>0</v>
      </c>
      <c r="AR1104">
        <f>IF(COUNT($E$2:$E1104)&lt;20,"",MIN($D$1085:$D$1104))</f>
        <v>0</v>
      </c>
      <c r="AS1104">
        <f>IF(OR(AQ1104="",AR1104=""),"",(AQ1104+AR1104)/2)</f>
        <v>0</v>
      </c>
      <c r="AT1104">
        <f>IF(COUNT($G$1085:$G$1104)&lt;20,"",STDEV($G$1085:$G$1104)*SQRT(252))</f>
        <v>0</v>
      </c>
      <c r="AU1104">
        <f>IF(COUNT($E$2:$E1104)&lt;9,"",(MAX($C$1096:$C$1104)+MIN($D$1096:$D$1104))/2)</f>
        <v>0</v>
      </c>
      <c r="AV1104">
        <f>IF(COUNT($E$2:$E1104)&lt;26,"",(MAX($C$1079:$C$1104)+MIN($D$1079:$D$1104))/2)</f>
        <v>0</v>
      </c>
      <c r="AW1104">
        <f>IF(OR(AU1104="",AV1104=""),"",(AU1104+AV1104)/2)</f>
        <v>0</v>
      </c>
      <c r="AX1104">
        <f>IF(COUNT($E$2:$E1104)&lt;52,"",(MAX($C$1053:$C$1104)+MIN($D$1053:$D$1104))/2)</f>
        <v>0</v>
      </c>
      <c r="AY1104">
        <f>IF(COUNT($E$2:$E1104)&lt;20,"",MAX($C$1005:$C$1104))</f>
        <v>0</v>
      </c>
      <c r="AZ1104">
        <f>IF(COUNT($E$2:$E1104)&lt;20,"",MIN($D$1005:$D$1104))</f>
        <v>0</v>
      </c>
      <c r="BA1104">
        <f>IF(COUNT($E$2:$E1104)&lt;20,"",SLOPE($E$1005:$E$1104,$F$1005:$F$1104))</f>
        <v>0</v>
      </c>
      <c r="BB1104">
        <f>IF(COUNT($E$2:$E1104)&lt;20,"",INTERCEPT($E$1005:$E$1104,$F$1005:$F$1104))</f>
        <v>0</v>
      </c>
      <c r="BC1104">
        <f>IF(OR(BA1104="",BB1104=""),"",BB1104+BA1104*F1104)</f>
        <v>0</v>
      </c>
      <c r="BD1104">
        <f>IF(COUNT($E$2:$E1104)&lt;20,"",STEYX($E$1005:$E$1104,$F$1005:$F$1104))</f>
        <v>0</v>
      </c>
      <c r="BE1104">
        <f>IF($E1104="","",IF(AND(COUNT($E$1105:$E$1108)&gt;=4,$C1104=MAX($C$1100:$C$1108)),$C1104,""))</f>
        <v>0</v>
      </c>
      <c r="BF1104">
        <f>IF($E1104="","",IF(AND(COUNT($E$1105:$E$1108)&gt;=4,$D1104=MIN($D$1100:$D$1108)),$D1104,""))</f>
        <v>0</v>
      </c>
      <c r="BG1104">
        <f>IF($A1104="","",$A1104-WEEKDAY($A1104,2)+1)</f>
        <v>0</v>
      </c>
      <c r="BH1104">
        <f>IF($A1104="","",IF($A1103="",1,IF(BG1104&lt;&gt;BG1103,1,0)))</f>
        <v>0</v>
      </c>
      <c r="BI1104">
        <f>IF($A1104="","",IF($A1105="",1,IF(BG1105&lt;&gt;BG1104,1,0)))</f>
        <v>0</v>
      </c>
      <c r="BJ1104">
        <f>IF($A1104="","",IF(BH1104=1,$B1104,BJ1103))</f>
        <v>0</v>
      </c>
      <c r="BK1104">
        <f>IF($A1104="","",IF(BH1104=1,$C1104,MAX($C1104,BK1103)))</f>
        <v>0</v>
      </c>
      <c r="BL1104">
        <f>IF($A1104="","",IF(BH1104=1,$D1104,MIN($D1104,BL1103)))</f>
        <v>0</v>
      </c>
      <c r="BM1104">
        <f>IF($A1104="","",IF(BI1104=1,F1104,""))</f>
        <v>0</v>
      </c>
      <c r="BN1104">
        <f>IF($A1104="","",DATE(YEAR($A1104),MONTH($A1104),1))</f>
        <v>0</v>
      </c>
      <c r="BO1104">
        <f>IF($A1104="","",IF($A1103="",1,IF(BN1104&lt;&gt;BN1103,1,0)))</f>
        <v>0</v>
      </c>
      <c r="BP1104">
        <f>IF($A1104="","",IF($A1105="",1,IF(BN1105&lt;&gt;BN1104,1,0)))</f>
        <v>0</v>
      </c>
      <c r="BQ1104">
        <f>IF($A1104="","",IF(BO1104=1,$B1104,BQ1103))</f>
        <v>0</v>
      </c>
      <c r="BR1104">
        <f>IF($A1104="","",IF(BO1104=1,$C1104,MAX($C1104,BR1103)))</f>
        <v>0</v>
      </c>
      <c r="BS1104">
        <f>IF($A1104="","",IF(BO1104=1,$D1104,MIN($D1104,BS1103)))</f>
        <v>0</v>
      </c>
      <c r="BT1104">
        <f>IF($A1104="","",IF(BP1104=1,F1104,""))</f>
        <v>0</v>
      </c>
    </row>
    <row r="1105" spans="1:72">
      <c r="A1105" s="27">
        <f>IF(Data!$A1105="","",Data!$A1105)</f>
        <v>0</v>
      </c>
      <c r="B1105">
        <f>IF(Data!$B1105="","",Data!$B1105)</f>
        <v>0</v>
      </c>
      <c r="C1105">
        <f>IF(Data!$C1105="","",Data!$C1105)</f>
        <v>0</v>
      </c>
      <c r="D1105">
        <f>IF(Data!$D1105="","",Data!$D1105)</f>
        <v>0</v>
      </c>
      <c r="E1105">
        <f>IF(Data!$E1105="","",Data!$E1105)</f>
        <v>0</v>
      </c>
      <c r="F1105">
        <f>IF($E1105="","",N(F1104)+1)</f>
        <v>0</v>
      </c>
      <c r="G1105">
        <f>IF(OR($E1105="",$E1104=""),"",LN($E1105/$E1104))</f>
        <v>0</v>
      </c>
      <c r="H1105">
        <f>IF($E1105="","",IF($E1104="",$E1105,$E1105*0.0952380952+H1104*0.9047619048))</f>
        <v>0</v>
      </c>
      <c r="I1105">
        <f>IF($E1105="","",IF($E1104="",$E1105,$E1105*0.0392156863+I1104*0.9607843137))</f>
        <v>0</v>
      </c>
      <c r="J1105">
        <f>IF($E1105="","",IF($E1104="",$E1105,$E1105*0.0198019802+J1104*0.9801980198))</f>
        <v>0</v>
      </c>
      <c r="K1105">
        <f>IF($E1105="","",IF($E1104="",$E1105,$E1105*0.0099502488+K1104*0.9900497512))</f>
        <v>0</v>
      </c>
      <c r="L1105">
        <f>IF(OR($E1105="",$E1104=""),"",MAX($E1105-$E1104,0))</f>
        <v>0</v>
      </c>
      <c r="M1105">
        <f>IF(OR($E1105="",$E1104=""),"",MAX($E1104-$E1105,0))</f>
        <v>0</v>
      </c>
      <c r="N1105">
        <f>IF(COUNT($E$2:$E1105)&lt;15,"",IF(AVERAGE($M$1092:$M$1105)=0,100,100-100/(1+AVERAGE($L$1092:$L$1105)/AVERAGE($M$1092:$M$1105))))</f>
        <v>0</v>
      </c>
      <c r="O1105">
        <f>IF($E1105="","",IF($E1104="",$E1105,$E1105*0.1538461538+O1104*0.8461538462))</f>
        <v>0</v>
      </c>
      <c r="P1105">
        <f>IF($E1105="","",IF($E1104="",$E1105,$E1105*0.0740740741+P1104*0.9259259259))</f>
        <v>0</v>
      </c>
      <c r="Q1105">
        <f>IF(OR(O1105="",P1105=""),"",O1105-P1105)</f>
        <v>0</v>
      </c>
      <c r="R1105">
        <f>IF(Q1105="","",IF(R1104="",Q1105,Q1105*0.2000000000+R1104*0.8000000000))</f>
        <v>0</v>
      </c>
      <c r="S1105">
        <f>IF(OR(Q1105="",R1105=""),"",Q1105-R1105)</f>
        <v>0</v>
      </c>
      <c r="T1105">
        <f>IF(COUNT($E$2:$E1105)&lt;14,"",MAX($C$1092:$C$1105))</f>
        <v>0</v>
      </c>
      <c r="U1105">
        <f>IF(COUNT($E$2:$E1105)&lt;14,"",MIN($D$1092:$D$1105))</f>
        <v>0</v>
      </c>
      <c r="V1105">
        <f>IF(OR(T1105="",U1105="",T1105=U1105),"",100*($E1105-U1105)/(T1105-U1105))</f>
        <v>0</v>
      </c>
      <c r="W1105">
        <f>IF(COUNT($V$1103:$V$1105)&lt;3,"",AVERAGE($V$1103:$V$1105))</f>
        <v>0</v>
      </c>
      <c r="X1105">
        <f>IF(COUNT($N$1092:$N$1105)&lt;14,"",MIN($N$1092:$N$1105))</f>
        <v>0</v>
      </c>
      <c r="Y1105">
        <f>IF(COUNT($N$1092:$N$1105)&lt;14,"",MAX($N$1092:$N$1105))</f>
        <v>0</v>
      </c>
      <c r="Z1105">
        <f>IF(OR(N1105="",X1105="",Y1105="",Y1105=X1105),"",100*(N1105-X1105)/(Y1105-X1105))</f>
        <v>0</v>
      </c>
      <c r="AA1105">
        <f>IF(COUNT($Z$1103:$Z$1105)&lt;3,"",AVERAGE($Z$1103:$Z$1105))</f>
        <v>0</v>
      </c>
      <c r="AB1105">
        <f>IF(COUNT($AA$1103:$AA$1105)&lt;3,"",AVERAGE($AA$1103:$AA$1105))</f>
        <v>0</v>
      </c>
      <c r="AC1105">
        <f>IF($E1105="","",MAX($C1105-$D1105,ABS($C1105-$E1104),ABS($D1105-$E1104)))</f>
        <v>0</v>
      </c>
      <c r="AD1105">
        <f>IF(COUNT($E$2:$E1105)&lt;15,"",AVERAGE($AC$1092:$AC$1105))</f>
        <v>0</v>
      </c>
      <c r="AE1105">
        <f>IF(OR($E1105="",$E1104=""),"",IF(AND(($C1105-$C1104)&gt;($D1104-$D1105),($C1105-$C1104)&gt;0),$C1105-$C1104,0))</f>
        <v>0</v>
      </c>
      <c r="AF1105">
        <f>IF(OR($E1105="",$E1104=""),"",IF(AND(($D1104-$D1105)&gt;($C1105-$C1104),($D1104-$D1105)&gt;0),$D1104-$D1105,0))</f>
        <v>0</v>
      </c>
      <c r="AG1105">
        <f>IF(COUNT($E$2:$E1105)&lt;15,"",IF(SUM($AC$1092:$AC$1105)=0,0,100*SUM($AE$1092:$AE$1105)/SUM($AC$1092:$AC$1105)))</f>
        <v>0</v>
      </c>
      <c r="AH1105">
        <f>IF(COUNT($E$2:$E1105)&lt;15,"",IF(SUM($AC$1092:$AC$1105)=0,0,100*SUM($AF$1092:$AF$1105)/SUM($AC$1092:$AC$1105)))</f>
        <v>0</v>
      </c>
      <c r="AI1105">
        <f>IF(OR(AG1105="",AH1105=""),"",IF((AG1105+AH1105)=0,0,100*ABS(AG1105-AH1105)/(AG1105+AH1105)))</f>
        <v>0</v>
      </c>
      <c r="AJ1105">
        <f>IF(COUNT($AI$1092:$AI$1105)&lt;14,"",AVERAGE($AI$1092:$AI$1105))</f>
        <v>0</v>
      </c>
      <c r="AK1105">
        <f>IF(COUNT($E$2:$E1105)&lt;20,"",AVERAGE($E$1086:$E$1105))</f>
        <v>0</v>
      </c>
      <c r="AL1105">
        <f>IF(COUNT($E$2:$E1105)&lt;20,"",STDEVP($E$1086:$E$1105))</f>
        <v>0</v>
      </c>
      <c r="AM1105">
        <f>IF(AK1105="","",AK1105+2*AL1105)</f>
        <v>0</v>
      </c>
      <c r="AN1105">
        <f>IF(AK1105="","",AK1105-2*AL1105)</f>
        <v>0</v>
      </c>
      <c r="AO1105">
        <f>IF(OR(AM1105="",AN1105="",AM1105=AN1105),"",($E1105-AN1105)/(AM1105-AN1105))</f>
        <v>0</v>
      </c>
      <c r="AP1105">
        <f>IF(OR(AM1105="",AK1105="",AK1105=0),"",(AM1105-AN1105)/AK1105)</f>
        <v>0</v>
      </c>
      <c r="AQ1105">
        <f>IF(COUNT($E$2:$E1105)&lt;20,"",MAX($C$1086:$C$1105))</f>
        <v>0</v>
      </c>
      <c r="AR1105">
        <f>IF(COUNT($E$2:$E1105)&lt;20,"",MIN($D$1086:$D$1105))</f>
        <v>0</v>
      </c>
      <c r="AS1105">
        <f>IF(OR(AQ1105="",AR1105=""),"",(AQ1105+AR1105)/2)</f>
        <v>0</v>
      </c>
      <c r="AT1105">
        <f>IF(COUNT($G$1086:$G$1105)&lt;20,"",STDEV($G$1086:$G$1105)*SQRT(252))</f>
        <v>0</v>
      </c>
      <c r="AU1105">
        <f>IF(COUNT($E$2:$E1105)&lt;9,"",(MAX($C$1097:$C$1105)+MIN($D$1097:$D$1105))/2)</f>
        <v>0</v>
      </c>
      <c r="AV1105">
        <f>IF(COUNT($E$2:$E1105)&lt;26,"",(MAX($C$1080:$C$1105)+MIN($D$1080:$D$1105))/2)</f>
        <v>0</v>
      </c>
      <c r="AW1105">
        <f>IF(OR(AU1105="",AV1105=""),"",(AU1105+AV1105)/2)</f>
        <v>0</v>
      </c>
      <c r="AX1105">
        <f>IF(COUNT($E$2:$E1105)&lt;52,"",(MAX($C$1054:$C$1105)+MIN($D$1054:$D$1105))/2)</f>
        <v>0</v>
      </c>
      <c r="AY1105">
        <f>IF(COUNT($E$2:$E1105)&lt;20,"",MAX($C$1006:$C$1105))</f>
        <v>0</v>
      </c>
      <c r="AZ1105">
        <f>IF(COUNT($E$2:$E1105)&lt;20,"",MIN($D$1006:$D$1105))</f>
        <v>0</v>
      </c>
      <c r="BA1105">
        <f>IF(COUNT($E$2:$E1105)&lt;20,"",SLOPE($E$1006:$E$1105,$F$1006:$F$1105))</f>
        <v>0</v>
      </c>
      <c r="BB1105">
        <f>IF(COUNT($E$2:$E1105)&lt;20,"",INTERCEPT($E$1006:$E$1105,$F$1006:$F$1105))</f>
        <v>0</v>
      </c>
      <c r="BC1105">
        <f>IF(OR(BA1105="",BB1105=""),"",BB1105+BA1105*F1105)</f>
        <v>0</v>
      </c>
      <c r="BD1105">
        <f>IF(COUNT($E$2:$E1105)&lt;20,"",STEYX($E$1006:$E$1105,$F$1006:$F$1105))</f>
        <v>0</v>
      </c>
      <c r="BE1105">
        <f>IF($E1105="","",IF(AND(COUNT($E$1106:$E$1109)&gt;=4,$C1105=MAX($C$1101:$C$1109)),$C1105,""))</f>
        <v>0</v>
      </c>
      <c r="BF1105">
        <f>IF($E1105="","",IF(AND(COUNT($E$1106:$E$1109)&gt;=4,$D1105=MIN($D$1101:$D$1109)),$D1105,""))</f>
        <v>0</v>
      </c>
      <c r="BG1105">
        <f>IF($A1105="","",$A1105-WEEKDAY($A1105,2)+1)</f>
        <v>0</v>
      </c>
      <c r="BH1105">
        <f>IF($A1105="","",IF($A1104="",1,IF(BG1105&lt;&gt;BG1104,1,0)))</f>
        <v>0</v>
      </c>
      <c r="BI1105">
        <f>IF($A1105="","",IF($A1106="",1,IF(BG1106&lt;&gt;BG1105,1,0)))</f>
        <v>0</v>
      </c>
      <c r="BJ1105">
        <f>IF($A1105="","",IF(BH1105=1,$B1105,BJ1104))</f>
        <v>0</v>
      </c>
      <c r="BK1105">
        <f>IF($A1105="","",IF(BH1105=1,$C1105,MAX($C1105,BK1104)))</f>
        <v>0</v>
      </c>
      <c r="BL1105">
        <f>IF($A1105="","",IF(BH1105=1,$D1105,MIN($D1105,BL1104)))</f>
        <v>0</v>
      </c>
      <c r="BM1105">
        <f>IF($A1105="","",IF(BI1105=1,F1105,""))</f>
        <v>0</v>
      </c>
      <c r="BN1105">
        <f>IF($A1105="","",DATE(YEAR($A1105),MONTH($A1105),1))</f>
        <v>0</v>
      </c>
      <c r="BO1105">
        <f>IF($A1105="","",IF($A1104="",1,IF(BN1105&lt;&gt;BN1104,1,0)))</f>
        <v>0</v>
      </c>
      <c r="BP1105">
        <f>IF($A1105="","",IF($A1106="",1,IF(BN1106&lt;&gt;BN1105,1,0)))</f>
        <v>0</v>
      </c>
      <c r="BQ1105">
        <f>IF($A1105="","",IF(BO1105=1,$B1105,BQ1104))</f>
        <v>0</v>
      </c>
      <c r="BR1105">
        <f>IF($A1105="","",IF(BO1105=1,$C1105,MAX($C1105,BR1104)))</f>
        <v>0</v>
      </c>
      <c r="BS1105">
        <f>IF($A1105="","",IF(BO1105=1,$D1105,MIN($D1105,BS1104)))</f>
        <v>0</v>
      </c>
      <c r="BT1105">
        <f>IF($A1105="","",IF(BP1105=1,F1105,""))</f>
        <v>0</v>
      </c>
    </row>
    <row r="1106" spans="1:72">
      <c r="A1106" s="27">
        <f>IF(Data!$A1106="","",Data!$A1106)</f>
        <v>0</v>
      </c>
      <c r="B1106">
        <f>IF(Data!$B1106="","",Data!$B1106)</f>
        <v>0</v>
      </c>
      <c r="C1106">
        <f>IF(Data!$C1106="","",Data!$C1106)</f>
        <v>0</v>
      </c>
      <c r="D1106">
        <f>IF(Data!$D1106="","",Data!$D1106)</f>
        <v>0</v>
      </c>
      <c r="E1106">
        <f>IF(Data!$E1106="","",Data!$E1106)</f>
        <v>0</v>
      </c>
      <c r="F1106">
        <f>IF($E1106="","",N(F1105)+1)</f>
        <v>0</v>
      </c>
      <c r="G1106">
        <f>IF(OR($E1106="",$E1105=""),"",LN($E1106/$E1105))</f>
        <v>0</v>
      </c>
      <c r="H1106">
        <f>IF($E1106="","",IF($E1105="",$E1106,$E1106*0.0952380952+H1105*0.9047619048))</f>
        <v>0</v>
      </c>
      <c r="I1106">
        <f>IF($E1106="","",IF($E1105="",$E1106,$E1106*0.0392156863+I1105*0.9607843137))</f>
        <v>0</v>
      </c>
      <c r="J1106">
        <f>IF($E1106="","",IF($E1105="",$E1106,$E1106*0.0198019802+J1105*0.9801980198))</f>
        <v>0</v>
      </c>
      <c r="K1106">
        <f>IF($E1106="","",IF($E1105="",$E1106,$E1106*0.0099502488+K1105*0.9900497512))</f>
        <v>0</v>
      </c>
      <c r="L1106">
        <f>IF(OR($E1106="",$E1105=""),"",MAX($E1106-$E1105,0))</f>
        <v>0</v>
      </c>
      <c r="M1106">
        <f>IF(OR($E1106="",$E1105=""),"",MAX($E1105-$E1106,0))</f>
        <v>0</v>
      </c>
      <c r="N1106">
        <f>IF(COUNT($E$2:$E1106)&lt;15,"",IF(AVERAGE($M$1093:$M$1106)=0,100,100-100/(1+AVERAGE($L$1093:$L$1106)/AVERAGE($M$1093:$M$1106))))</f>
        <v>0</v>
      </c>
      <c r="O1106">
        <f>IF($E1106="","",IF($E1105="",$E1106,$E1106*0.1538461538+O1105*0.8461538462))</f>
        <v>0</v>
      </c>
      <c r="P1106">
        <f>IF($E1106="","",IF($E1105="",$E1106,$E1106*0.0740740741+P1105*0.9259259259))</f>
        <v>0</v>
      </c>
      <c r="Q1106">
        <f>IF(OR(O1106="",P1106=""),"",O1106-P1106)</f>
        <v>0</v>
      </c>
      <c r="R1106">
        <f>IF(Q1106="","",IF(R1105="",Q1106,Q1106*0.2000000000+R1105*0.8000000000))</f>
        <v>0</v>
      </c>
      <c r="S1106">
        <f>IF(OR(Q1106="",R1106=""),"",Q1106-R1106)</f>
        <v>0</v>
      </c>
      <c r="T1106">
        <f>IF(COUNT($E$2:$E1106)&lt;14,"",MAX($C$1093:$C$1106))</f>
        <v>0</v>
      </c>
      <c r="U1106">
        <f>IF(COUNT($E$2:$E1106)&lt;14,"",MIN($D$1093:$D$1106))</f>
        <v>0</v>
      </c>
      <c r="V1106">
        <f>IF(OR(T1106="",U1106="",T1106=U1106),"",100*($E1106-U1106)/(T1106-U1106))</f>
        <v>0</v>
      </c>
      <c r="W1106">
        <f>IF(COUNT($V$1104:$V$1106)&lt;3,"",AVERAGE($V$1104:$V$1106))</f>
        <v>0</v>
      </c>
      <c r="X1106">
        <f>IF(COUNT($N$1093:$N$1106)&lt;14,"",MIN($N$1093:$N$1106))</f>
        <v>0</v>
      </c>
      <c r="Y1106">
        <f>IF(COUNT($N$1093:$N$1106)&lt;14,"",MAX($N$1093:$N$1106))</f>
        <v>0</v>
      </c>
      <c r="Z1106">
        <f>IF(OR(N1106="",X1106="",Y1106="",Y1106=X1106),"",100*(N1106-X1106)/(Y1106-X1106))</f>
        <v>0</v>
      </c>
      <c r="AA1106">
        <f>IF(COUNT($Z$1104:$Z$1106)&lt;3,"",AVERAGE($Z$1104:$Z$1106))</f>
        <v>0</v>
      </c>
      <c r="AB1106">
        <f>IF(COUNT($AA$1104:$AA$1106)&lt;3,"",AVERAGE($AA$1104:$AA$1106))</f>
        <v>0</v>
      </c>
      <c r="AC1106">
        <f>IF($E1106="","",MAX($C1106-$D1106,ABS($C1106-$E1105),ABS($D1106-$E1105)))</f>
        <v>0</v>
      </c>
      <c r="AD1106">
        <f>IF(COUNT($E$2:$E1106)&lt;15,"",AVERAGE($AC$1093:$AC$1106))</f>
        <v>0</v>
      </c>
      <c r="AE1106">
        <f>IF(OR($E1106="",$E1105=""),"",IF(AND(($C1106-$C1105)&gt;($D1105-$D1106),($C1106-$C1105)&gt;0),$C1106-$C1105,0))</f>
        <v>0</v>
      </c>
      <c r="AF1106">
        <f>IF(OR($E1106="",$E1105=""),"",IF(AND(($D1105-$D1106)&gt;($C1106-$C1105),($D1105-$D1106)&gt;0),$D1105-$D1106,0))</f>
        <v>0</v>
      </c>
      <c r="AG1106">
        <f>IF(COUNT($E$2:$E1106)&lt;15,"",IF(SUM($AC$1093:$AC$1106)=0,0,100*SUM($AE$1093:$AE$1106)/SUM($AC$1093:$AC$1106)))</f>
        <v>0</v>
      </c>
      <c r="AH1106">
        <f>IF(COUNT($E$2:$E1106)&lt;15,"",IF(SUM($AC$1093:$AC$1106)=0,0,100*SUM($AF$1093:$AF$1106)/SUM($AC$1093:$AC$1106)))</f>
        <v>0</v>
      </c>
      <c r="AI1106">
        <f>IF(OR(AG1106="",AH1106=""),"",IF((AG1106+AH1106)=0,0,100*ABS(AG1106-AH1106)/(AG1106+AH1106)))</f>
        <v>0</v>
      </c>
      <c r="AJ1106">
        <f>IF(COUNT($AI$1093:$AI$1106)&lt;14,"",AVERAGE($AI$1093:$AI$1106))</f>
        <v>0</v>
      </c>
      <c r="AK1106">
        <f>IF(COUNT($E$2:$E1106)&lt;20,"",AVERAGE($E$1087:$E$1106))</f>
        <v>0</v>
      </c>
      <c r="AL1106">
        <f>IF(COUNT($E$2:$E1106)&lt;20,"",STDEVP($E$1087:$E$1106))</f>
        <v>0</v>
      </c>
      <c r="AM1106">
        <f>IF(AK1106="","",AK1106+2*AL1106)</f>
        <v>0</v>
      </c>
      <c r="AN1106">
        <f>IF(AK1106="","",AK1106-2*AL1106)</f>
        <v>0</v>
      </c>
      <c r="AO1106">
        <f>IF(OR(AM1106="",AN1106="",AM1106=AN1106),"",($E1106-AN1106)/(AM1106-AN1106))</f>
        <v>0</v>
      </c>
      <c r="AP1106">
        <f>IF(OR(AM1106="",AK1106="",AK1106=0),"",(AM1106-AN1106)/AK1106)</f>
        <v>0</v>
      </c>
      <c r="AQ1106">
        <f>IF(COUNT($E$2:$E1106)&lt;20,"",MAX($C$1087:$C$1106))</f>
        <v>0</v>
      </c>
      <c r="AR1106">
        <f>IF(COUNT($E$2:$E1106)&lt;20,"",MIN($D$1087:$D$1106))</f>
        <v>0</v>
      </c>
      <c r="AS1106">
        <f>IF(OR(AQ1106="",AR1106=""),"",(AQ1106+AR1106)/2)</f>
        <v>0</v>
      </c>
      <c r="AT1106">
        <f>IF(COUNT($G$1087:$G$1106)&lt;20,"",STDEV($G$1087:$G$1106)*SQRT(252))</f>
        <v>0</v>
      </c>
      <c r="AU1106">
        <f>IF(COUNT($E$2:$E1106)&lt;9,"",(MAX($C$1098:$C$1106)+MIN($D$1098:$D$1106))/2)</f>
        <v>0</v>
      </c>
      <c r="AV1106">
        <f>IF(COUNT($E$2:$E1106)&lt;26,"",(MAX($C$1081:$C$1106)+MIN($D$1081:$D$1106))/2)</f>
        <v>0</v>
      </c>
      <c r="AW1106">
        <f>IF(OR(AU1106="",AV1106=""),"",(AU1106+AV1106)/2)</f>
        <v>0</v>
      </c>
      <c r="AX1106">
        <f>IF(COUNT($E$2:$E1106)&lt;52,"",(MAX($C$1055:$C$1106)+MIN($D$1055:$D$1106))/2)</f>
        <v>0</v>
      </c>
      <c r="AY1106">
        <f>IF(COUNT($E$2:$E1106)&lt;20,"",MAX($C$1007:$C$1106))</f>
        <v>0</v>
      </c>
      <c r="AZ1106">
        <f>IF(COUNT($E$2:$E1106)&lt;20,"",MIN($D$1007:$D$1106))</f>
        <v>0</v>
      </c>
      <c r="BA1106">
        <f>IF(COUNT($E$2:$E1106)&lt;20,"",SLOPE($E$1007:$E$1106,$F$1007:$F$1106))</f>
        <v>0</v>
      </c>
      <c r="BB1106">
        <f>IF(COUNT($E$2:$E1106)&lt;20,"",INTERCEPT($E$1007:$E$1106,$F$1007:$F$1106))</f>
        <v>0</v>
      </c>
      <c r="BC1106">
        <f>IF(OR(BA1106="",BB1106=""),"",BB1106+BA1106*F1106)</f>
        <v>0</v>
      </c>
      <c r="BD1106">
        <f>IF(COUNT($E$2:$E1106)&lt;20,"",STEYX($E$1007:$E$1106,$F$1007:$F$1106))</f>
        <v>0</v>
      </c>
      <c r="BE1106">
        <f>IF($E1106="","",IF(AND(COUNT($E$1107:$E$1110)&gt;=4,$C1106=MAX($C$1102:$C$1110)),$C1106,""))</f>
        <v>0</v>
      </c>
      <c r="BF1106">
        <f>IF($E1106="","",IF(AND(COUNT($E$1107:$E$1110)&gt;=4,$D1106=MIN($D$1102:$D$1110)),$D1106,""))</f>
        <v>0</v>
      </c>
      <c r="BG1106">
        <f>IF($A1106="","",$A1106-WEEKDAY($A1106,2)+1)</f>
        <v>0</v>
      </c>
      <c r="BH1106">
        <f>IF($A1106="","",IF($A1105="",1,IF(BG1106&lt;&gt;BG1105,1,0)))</f>
        <v>0</v>
      </c>
      <c r="BI1106">
        <f>IF($A1106="","",IF($A1107="",1,IF(BG1107&lt;&gt;BG1106,1,0)))</f>
        <v>0</v>
      </c>
      <c r="BJ1106">
        <f>IF($A1106="","",IF(BH1106=1,$B1106,BJ1105))</f>
        <v>0</v>
      </c>
      <c r="BK1106">
        <f>IF($A1106="","",IF(BH1106=1,$C1106,MAX($C1106,BK1105)))</f>
        <v>0</v>
      </c>
      <c r="BL1106">
        <f>IF($A1106="","",IF(BH1106=1,$D1106,MIN($D1106,BL1105)))</f>
        <v>0</v>
      </c>
      <c r="BM1106">
        <f>IF($A1106="","",IF(BI1106=1,F1106,""))</f>
        <v>0</v>
      </c>
      <c r="BN1106">
        <f>IF($A1106="","",DATE(YEAR($A1106),MONTH($A1106),1))</f>
        <v>0</v>
      </c>
      <c r="BO1106">
        <f>IF($A1106="","",IF($A1105="",1,IF(BN1106&lt;&gt;BN1105,1,0)))</f>
        <v>0</v>
      </c>
      <c r="BP1106">
        <f>IF($A1106="","",IF($A1107="",1,IF(BN1107&lt;&gt;BN1106,1,0)))</f>
        <v>0</v>
      </c>
      <c r="BQ1106">
        <f>IF($A1106="","",IF(BO1106=1,$B1106,BQ1105))</f>
        <v>0</v>
      </c>
      <c r="BR1106">
        <f>IF($A1106="","",IF(BO1106=1,$C1106,MAX($C1106,BR1105)))</f>
        <v>0</v>
      </c>
      <c r="BS1106">
        <f>IF($A1106="","",IF(BO1106=1,$D1106,MIN($D1106,BS1105)))</f>
        <v>0</v>
      </c>
      <c r="BT1106">
        <f>IF($A1106="","",IF(BP1106=1,F1106,""))</f>
        <v>0</v>
      </c>
    </row>
    <row r="1107" spans="1:72">
      <c r="A1107" s="27">
        <f>IF(Data!$A1107="","",Data!$A1107)</f>
        <v>0</v>
      </c>
      <c r="B1107">
        <f>IF(Data!$B1107="","",Data!$B1107)</f>
        <v>0</v>
      </c>
      <c r="C1107">
        <f>IF(Data!$C1107="","",Data!$C1107)</f>
        <v>0</v>
      </c>
      <c r="D1107">
        <f>IF(Data!$D1107="","",Data!$D1107)</f>
        <v>0</v>
      </c>
      <c r="E1107">
        <f>IF(Data!$E1107="","",Data!$E1107)</f>
        <v>0</v>
      </c>
      <c r="F1107">
        <f>IF($E1107="","",N(F1106)+1)</f>
        <v>0</v>
      </c>
      <c r="G1107">
        <f>IF(OR($E1107="",$E1106=""),"",LN($E1107/$E1106))</f>
        <v>0</v>
      </c>
      <c r="H1107">
        <f>IF($E1107="","",IF($E1106="",$E1107,$E1107*0.0952380952+H1106*0.9047619048))</f>
        <v>0</v>
      </c>
      <c r="I1107">
        <f>IF($E1107="","",IF($E1106="",$E1107,$E1107*0.0392156863+I1106*0.9607843137))</f>
        <v>0</v>
      </c>
      <c r="J1107">
        <f>IF($E1107="","",IF($E1106="",$E1107,$E1107*0.0198019802+J1106*0.9801980198))</f>
        <v>0</v>
      </c>
      <c r="K1107">
        <f>IF($E1107="","",IF($E1106="",$E1107,$E1107*0.0099502488+K1106*0.9900497512))</f>
        <v>0</v>
      </c>
      <c r="L1107">
        <f>IF(OR($E1107="",$E1106=""),"",MAX($E1107-$E1106,0))</f>
        <v>0</v>
      </c>
      <c r="M1107">
        <f>IF(OR($E1107="",$E1106=""),"",MAX($E1106-$E1107,0))</f>
        <v>0</v>
      </c>
      <c r="N1107">
        <f>IF(COUNT($E$2:$E1107)&lt;15,"",IF(AVERAGE($M$1094:$M$1107)=0,100,100-100/(1+AVERAGE($L$1094:$L$1107)/AVERAGE($M$1094:$M$1107))))</f>
        <v>0</v>
      </c>
      <c r="O1107">
        <f>IF($E1107="","",IF($E1106="",$E1107,$E1107*0.1538461538+O1106*0.8461538462))</f>
        <v>0</v>
      </c>
      <c r="P1107">
        <f>IF($E1107="","",IF($E1106="",$E1107,$E1107*0.0740740741+P1106*0.9259259259))</f>
        <v>0</v>
      </c>
      <c r="Q1107">
        <f>IF(OR(O1107="",P1107=""),"",O1107-P1107)</f>
        <v>0</v>
      </c>
      <c r="R1107">
        <f>IF(Q1107="","",IF(R1106="",Q1107,Q1107*0.2000000000+R1106*0.8000000000))</f>
        <v>0</v>
      </c>
      <c r="S1107">
        <f>IF(OR(Q1107="",R1107=""),"",Q1107-R1107)</f>
        <v>0</v>
      </c>
      <c r="T1107">
        <f>IF(COUNT($E$2:$E1107)&lt;14,"",MAX($C$1094:$C$1107))</f>
        <v>0</v>
      </c>
      <c r="U1107">
        <f>IF(COUNT($E$2:$E1107)&lt;14,"",MIN($D$1094:$D$1107))</f>
        <v>0</v>
      </c>
      <c r="V1107">
        <f>IF(OR(T1107="",U1107="",T1107=U1107),"",100*($E1107-U1107)/(T1107-U1107))</f>
        <v>0</v>
      </c>
      <c r="W1107">
        <f>IF(COUNT($V$1105:$V$1107)&lt;3,"",AVERAGE($V$1105:$V$1107))</f>
        <v>0</v>
      </c>
      <c r="X1107">
        <f>IF(COUNT($N$1094:$N$1107)&lt;14,"",MIN($N$1094:$N$1107))</f>
        <v>0</v>
      </c>
      <c r="Y1107">
        <f>IF(COUNT($N$1094:$N$1107)&lt;14,"",MAX($N$1094:$N$1107))</f>
        <v>0</v>
      </c>
      <c r="Z1107">
        <f>IF(OR(N1107="",X1107="",Y1107="",Y1107=X1107),"",100*(N1107-X1107)/(Y1107-X1107))</f>
        <v>0</v>
      </c>
      <c r="AA1107">
        <f>IF(COUNT($Z$1105:$Z$1107)&lt;3,"",AVERAGE($Z$1105:$Z$1107))</f>
        <v>0</v>
      </c>
      <c r="AB1107">
        <f>IF(COUNT($AA$1105:$AA$1107)&lt;3,"",AVERAGE($AA$1105:$AA$1107))</f>
        <v>0</v>
      </c>
      <c r="AC1107">
        <f>IF($E1107="","",MAX($C1107-$D1107,ABS($C1107-$E1106),ABS($D1107-$E1106)))</f>
        <v>0</v>
      </c>
      <c r="AD1107">
        <f>IF(COUNT($E$2:$E1107)&lt;15,"",AVERAGE($AC$1094:$AC$1107))</f>
        <v>0</v>
      </c>
      <c r="AE1107">
        <f>IF(OR($E1107="",$E1106=""),"",IF(AND(($C1107-$C1106)&gt;($D1106-$D1107),($C1107-$C1106)&gt;0),$C1107-$C1106,0))</f>
        <v>0</v>
      </c>
      <c r="AF1107">
        <f>IF(OR($E1107="",$E1106=""),"",IF(AND(($D1106-$D1107)&gt;($C1107-$C1106),($D1106-$D1107)&gt;0),$D1106-$D1107,0))</f>
        <v>0</v>
      </c>
      <c r="AG1107">
        <f>IF(COUNT($E$2:$E1107)&lt;15,"",IF(SUM($AC$1094:$AC$1107)=0,0,100*SUM($AE$1094:$AE$1107)/SUM($AC$1094:$AC$1107)))</f>
        <v>0</v>
      </c>
      <c r="AH1107">
        <f>IF(COUNT($E$2:$E1107)&lt;15,"",IF(SUM($AC$1094:$AC$1107)=0,0,100*SUM($AF$1094:$AF$1107)/SUM($AC$1094:$AC$1107)))</f>
        <v>0</v>
      </c>
      <c r="AI1107">
        <f>IF(OR(AG1107="",AH1107=""),"",IF((AG1107+AH1107)=0,0,100*ABS(AG1107-AH1107)/(AG1107+AH1107)))</f>
        <v>0</v>
      </c>
      <c r="AJ1107">
        <f>IF(COUNT($AI$1094:$AI$1107)&lt;14,"",AVERAGE($AI$1094:$AI$1107))</f>
        <v>0</v>
      </c>
      <c r="AK1107">
        <f>IF(COUNT($E$2:$E1107)&lt;20,"",AVERAGE($E$1088:$E$1107))</f>
        <v>0</v>
      </c>
      <c r="AL1107">
        <f>IF(COUNT($E$2:$E1107)&lt;20,"",STDEVP($E$1088:$E$1107))</f>
        <v>0</v>
      </c>
      <c r="AM1107">
        <f>IF(AK1107="","",AK1107+2*AL1107)</f>
        <v>0</v>
      </c>
      <c r="AN1107">
        <f>IF(AK1107="","",AK1107-2*AL1107)</f>
        <v>0</v>
      </c>
      <c r="AO1107">
        <f>IF(OR(AM1107="",AN1107="",AM1107=AN1107),"",($E1107-AN1107)/(AM1107-AN1107))</f>
        <v>0</v>
      </c>
      <c r="AP1107">
        <f>IF(OR(AM1107="",AK1107="",AK1107=0),"",(AM1107-AN1107)/AK1107)</f>
        <v>0</v>
      </c>
      <c r="AQ1107">
        <f>IF(COUNT($E$2:$E1107)&lt;20,"",MAX($C$1088:$C$1107))</f>
        <v>0</v>
      </c>
      <c r="AR1107">
        <f>IF(COUNT($E$2:$E1107)&lt;20,"",MIN($D$1088:$D$1107))</f>
        <v>0</v>
      </c>
      <c r="AS1107">
        <f>IF(OR(AQ1107="",AR1107=""),"",(AQ1107+AR1107)/2)</f>
        <v>0</v>
      </c>
      <c r="AT1107">
        <f>IF(COUNT($G$1088:$G$1107)&lt;20,"",STDEV($G$1088:$G$1107)*SQRT(252))</f>
        <v>0</v>
      </c>
      <c r="AU1107">
        <f>IF(COUNT($E$2:$E1107)&lt;9,"",(MAX($C$1099:$C$1107)+MIN($D$1099:$D$1107))/2)</f>
        <v>0</v>
      </c>
      <c r="AV1107">
        <f>IF(COUNT($E$2:$E1107)&lt;26,"",(MAX($C$1082:$C$1107)+MIN($D$1082:$D$1107))/2)</f>
        <v>0</v>
      </c>
      <c r="AW1107">
        <f>IF(OR(AU1107="",AV1107=""),"",(AU1107+AV1107)/2)</f>
        <v>0</v>
      </c>
      <c r="AX1107">
        <f>IF(COUNT($E$2:$E1107)&lt;52,"",(MAX($C$1056:$C$1107)+MIN($D$1056:$D$1107))/2)</f>
        <v>0</v>
      </c>
      <c r="AY1107">
        <f>IF(COUNT($E$2:$E1107)&lt;20,"",MAX($C$1008:$C$1107))</f>
        <v>0</v>
      </c>
      <c r="AZ1107">
        <f>IF(COUNT($E$2:$E1107)&lt;20,"",MIN($D$1008:$D$1107))</f>
        <v>0</v>
      </c>
      <c r="BA1107">
        <f>IF(COUNT($E$2:$E1107)&lt;20,"",SLOPE($E$1008:$E$1107,$F$1008:$F$1107))</f>
        <v>0</v>
      </c>
      <c r="BB1107">
        <f>IF(COUNT($E$2:$E1107)&lt;20,"",INTERCEPT($E$1008:$E$1107,$F$1008:$F$1107))</f>
        <v>0</v>
      </c>
      <c r="BC1107">
        <f>IF(OR(BA1107="",BB1107=""),"",BB1107+BA1107*F1107)</f>
        <v>0</v>
      </c>
      <c r="BD1107">
        <f>IF(COUNT($E$2:$E1107)&lt;20,"",STEYX($E$1008:$E$1107,$F$1008:$F$1107))</f>
        <v>0</v>
      </c>
      <c r="BE1107">
        <f>IF($E1107="","",IF(AND(COUNT($E$1108:$E$1111)&gt;=4,$C1107=MAX($C$1103:$C$1111)),$C1107,""))</f>
        <v>0</v>
      </c>
      <c r="BF1107">
        <f>IF($E1107="","",IF(AND(COUNT($E$1108:$E$1111)&gt;=4,$D1107=MIN($D$1103:$D$1111)),$D1107,""))</f>
        <v>0</v>
      </c>
      <c r="BG1107">
        <f>IF($A1107="","",$A1107-WEEKDAY($A1107,2)+1)</f>
        <v>0</v>
      </c>
      <c r="BH1107">
        <f>IF($A1107="","",IF($A1106="",1,IF(BG1107&lt;&gt;BG1106,1,0)))</f>
        <v>0</v>
      </c>
      <c r="BI1107">
        <f>IF($A1107="","",IF($A1108="",1,IF(BG1108&lt;&gt;BG1107,1,0)))</f>
        <v>0</v>
      </c>
      <c r="BJ1107">
        <f>IF($A1107="","",IF(BH1107=1,$B1107,BJ1106))</f>
        <v>0</v>
      </c>
      <c r="BK1107">
        <f>IF($A1107="","",IF(BH1107=1,$C1107,MAX($C1107,BK1106)))</f>
        <v>0</v>
      </c>
      <c r="BL1107">
        <f>IF($A1107="","",IF(BH1107=1,$D1107,MIN($D1107,BL1106)))</f>
        <v>0</v>
      </c>
      <c r="BM1107">
        <f>IF($A1107="","",IF(BI1107=1,F1107,""))</f>
        <v>0</v>
      </c>
      <c r="BN1107">
        <f>IF($A1107="","",DATE(YEAR($A1107),MONTH($A1107),1))</f>
        <v>0</v>
      </c>
      <c r="BO1107">
        <f>IF($A1107="","",IF($A1106="",1,IF(BN1107&lt;&gt;BN1106,1,0)))</f>
        <v>0</v>
      </c>
      <c r="BP1107">
        <f>IF($A1107="","",IF($A1108="",1,IF(BN1108&lt;&gt;BN1107,1,0)))</f>
        <v>0</v>
      </c>
      <c r="BQ1107">
        <f>IF($A1107="","",IF(BO1107=1,$B1107,BQ1106))</f>
        <v>0</v>
      </c>
      <c r="BR1107">
        <f>IF($A1107="","",IF(BO1107=1,$C1107,MAX($C1107,BR1106)))</f>
        <v>0</v>
      </c>
      <c r="BS1107">
        <f>IF($A1107="","",IF(BO1107=1,$D1107,MIN($D1107,BS1106)))</f>
        <v>0</v>
      </c>
      <c r="BT1107">
        <f>IF($A1107="","",IF(BP1107=1,F1107,""))</f>
        <v>0</v>
      </c>
    </row>
    <row r="1108" spans="1:72">
      <c r="A1108" s="27">
        <f>IF(Data!$A1108="","",Data!$A1108)</f>
        <v>0</v>
      </c>
      <c r="B1108">
        <f>IF(Data!$B1108="","",Data!$B1108)</f>
        <v>0</v>
      </c>
      <c r="C1108">
        <f>IF(Data!$C1108="","",Data!$C1108)</f>
        <v>0</v>
      </c>
      <c r="D1108">
        <f>IF(Data!$D1108="","",Data!$D1108)</f>
        <v>0</v>
      </c>
      <c r="E1108">
        <f>IF(Data!$E1108="","",Data!$E1108)</f>
        <v>0</v>
      </c>
      <c r="F1108">
        <f>IF($E1108="","",N(F1107)+1)</f>
        <v>0</v>
      </c>
      <c r="G1108">
        <f>IF(OR($E1108="",$E1107=""),"",LN($E1108/$E1107))</f>
        <v>0</v>
      </c>
      <c r="H1108">
        <f>IF($E1108="","",IF($E1107="",$E1108,$E1108*0.0952380952+H1107*0.9047619048))</f>
        <v>0</v>
      </c>
      <c r="I1108">
        <f>IF($E1108="","",IF($E1107="",$E1108,$E1108*0.0392156863+I1107*0.9607843137))</f>
        <v>0</v>
      </c>
      <c r="J1108">
        <f>IF($E1108="","",IF($E1107="",$E1108,$E1108*0.0198019802+J1107*0.9801980198))</f>
        <v>0</v>
      </c>
      <c r="K1108">
        <f>IF($E1108="","",IF($E1107="",$E1108,$E1108*0.0099502488+K1107*0.9900497512))</f>
        <v>0</v>
      </c>
      <c r="L1108">
        <f>IF(OR($E1108="",$E1107=""),"",MAX($E1108-$E1107,0))</f>
        <v>0</v>
      </c>
      <c r="M1108">
        <f>IF(OR($E1108="",$E1107=""),"",MAX($E1107-$E1108,0))</f>
        <v>0</v>
      </c>
      <c r="N1108">
        <f>IF(COUNT($E$2:$E1108)&lt;15,"",IF(AVERAGE($M$1095:$M$1108)=0,100,100-100/(1+AVERAGE($L$1095:$L$1108)/AVERAGE($M$1095:$M$1108))))</f>
        <v>0</v>
      </c>
      <c r="O1108">
        <f>IF($E1108="","",IF($E1107="",$E1108,$E1108*0.1538461538+O1107*0.8461538462))</f>
        <v>0</v>
      </c>
      <c r="P1108">
        <f>IF($E1108="","",IF($E1107="",$E1108,$E1108*0.0740740741+P1107*0.9259259259))</f>
        <v>0</v>
      </c>
      <c r="Q1108">
        <f>IF(OR(O1108="",P1108=""),"",O1108-P1108)</f>
        <v>0</v>
      </c>
      <c r="R1108">
        <f>IF(Q1108="","",IF(R1107="",Q1108,Q1108*0.2000000000+R1107*0.8000000000))</f>
        <v>0</v>
      </c>
      <c r="S1108">
        <f>IF(OR(Q1108="",R1108=""),"",Q1108-R1108)</f>
        <v>0</v>
      </c>
      <c r="T1108">
        <f>IF(COUNT($E$2:$E1108)&lt;14,"",MAX($C$1095:$C$1108))</f>
        <v>0</v>
      </c>
      <c r="U1108">
        <f>IF(COUNT($E$2:$E1108)&lt;14,"",MIN($D$1095:$D$1108))</f>
        <v>0</v>
      </c>
      <c r="V1108">
        <f>IF(OR(T1108="",U1108="",T1108=U1108),"",100*($E1108-U1108)/(T1108-U1108))</f>
        <v>0</v>
      </c>
      <c r="W1108">
        <f>IF(COUNT($V$1106:$V$1108)&lt;3,"",AVERAGE($V$1106:$V$1108))</f>
        <v>0</v>
      </c>
      <c r="X1108">
        <f>IF(COUNT($N$1095:$N$1108)&lt;14,"",MIN($N$1095:$N$1108))</f>
        <v>0</v>
      </c>
      <c r="Y1108">
        <f>IF(COUNT($N$1095:$N$1108)&lt;14,"",MAX($N$1095:$N$1108))</f>
        <v>0</v>
      </c>
      <c r="Z1108">
        <f>IF(OR(N1108="",X1108="",Y1108="",Y1108=X1108),"",100*(N1108-X1108)/(Y1108-X1108))</f>
        <v>0</v>
      </c>
      <c r="AA1108">
        <f>IF(COUNT($Z$1106:$Z$1108)&lt;3,"",AVERAGE($Z$1106:$Z$1108))</f>
        <v>0</v>
      </c>
      <c r="AB1108">
        <f>IF(COUNT($AA$1106:$AA$1108)&lt;3,"",AVERAGE($AA$1106:$AA$1108))</f>
        <v>0</v>
      </c>
      <c r="AC1108">
        <f>IF($E1108="","",MAX($C1108-$D1108,ABS($C1108-$E1107),ABS($D1108-$E1107)))</f>
        <v>0</v>
      </c>
      <c r="AD1108">
        <f>IF(COUNT($E$2:$E1108)&lt;15,"",AVERAGE($AC$1095:$AC$1108))</f>
        <v>0</v>
      </c>
      <c r="AE1108">
        <f>IF(OR($E1108="",$E1107=""),"",IF(AND(($C1108-$C1107)&gt;($D1107-$D1108),($C1108-$C1107)&gt;0),$C1108-$C1107,0))</f>
        <v>0</v>
      </c>
      <c r="AF1108">
        <f>IF(OR($E1108="",$E1107=""),"",IF(AND(($D1107-$D1108)&gt;($C1108-$C1107),($D1107-$D1108)&gt;0),$D1107-$D1108,0))</f>
        <v>0</v>
      </c>
      <c r="AG1108">
        <f>IF(COUNT($E$2:$E1108)&lt;15,"",IF(SUM($AC$1095:$AC$1108)=0,0,100*SUM($AE$1095:$AE$1108)/SUM($AC$1095:$AC$1108)))</f>
        <v>0</v>
      </c>
      <c r="AH1108">
        <f>IF(COUNT($E$2:$E1108)&lt;15,"",IF(SUM($AC$1095:$AC$1108)=0,0,100*SUM($AF$1095:$AF$1108)/SUM($AC$1095:$AC$1108)))</f>
        <v>0</v>
      </c>
      <c r="AI1108">
        <f>IF(OR(AG1108="",AH1108=""),"",IF((AG1108+AH1108)=0,0,100*ABS(AG1108-AH1108)/(AG1108+AH1108)))</f>
        <v>0</v>
      </c>
      <c r="AJ1108">
        <f>IF(COUNT($AI$1095:$AI$1108)&lt;14,"",AVERAGE($AI$1095:$AI$1108))</f>
        <v>0</v>
      </c>
      <c r="AK1108">
        <f>IF(COUNT($E$2:$E1108)&lt;20,"",AVERAGE($E$1089:$E$1108))</f>
        <v>0</v>
      </c>
      <c r="AL1108">
        <f>IF(COUNT($E$2:$E1108)&lt;20,"",STDEVP($E$1089:$E$1108))</f>
        <v>0</v>
      </c>
      <c r="AM1108">
        <f>IF(AK1108="","",AK1108+2*AL1108)</f>
        <v>0</v>
      </c>
      <c r="AN1108">
        <f>IF(AK1108="","",AK1108-2*AL1108)</f>
        <v>0</v>
      </c>
      <c r="AO1108">
        <f>IF(OR(AM1108="",AN1108="",AM1108=AN1108),"",($E1108-AN1108)/(AM1108-AN1108))</f>
        <v>0</v>
      </c>
      <c r="AP1108">
        <f>IF(OR(AM1108="",AK1108="",AK1108=0),"",(AM1108-AN1108)/AK1108)</f>
        <v>0</v>
      </c>
      <c r="AQ1108">
        <f>IF(COUNT($E$2:$E1108)&lt;20,"",MAX($C$1089:$C$1108))</f>
        <v>0</v>
      </c>
      <c r="AR1108">
        <f>IF(COUNT($E$2:$E1108)&lt;20,"",MIN($D$1089:$D$1108))</f>
        <v>0</v>
      </c>
      <c r="AS1108">
        <f>IF(OR(AQ1108="",AR1108=""),"",(AQ1108+AR1108)/2)</f>
        <v>0</v>
      </c>
      <c r="AT1108">
        <f>IF(COUNT($G$1089:$G$1108)&lt;20,"",STDEV($G$1089:$G$1108)*SQRT(252))</f>
        <v>0</v>
      </c>
      <c r="AU1108">
        <f>IF(COUNT($E$2:$E1108)&lt;9,"",(MAX($C$1100:$C$1108)+MIN($D$1100:$D$1108))/2)</f>
        <v>0</v>
      </c>
      <c r="AV1108">
        <f>IF(COUNT($E$2:$E1108)&lt;26,"",(MAX($C$1083:$C$1108)+MIN($D$1083:$D$1108))/2)</f>
        <v>0</v>
      </c>
      <c r="AW1108">
        <f>IF(OR(AU1108="",AV1108=""),"",(AU1108+AV1108)/2)</f>
        <v>0</v>
      </c>
      <c r="AX1108">
        <f>IF(COUNT($E$2:$E1108)&lt;52,"",(MAX($C$1057:$C$1108)+MIN($D$1057:$D$1108))/2)</f>
        <v>0</v>
      </c>
      <c r="AY1108">
        <f>IF(COUNT($E$2:$E1108)&lt;20,"",MAX($C$1009:$C$1108))</f>
        <v>0</v>
      </c>
      <c r="AZ1108">
        <f>IF(COUNT($E$2:$E1108)&lt;20,"",MIN($D$1009:$D$1108))</f>
        <v>0</v>
      </c>
      <c r="BA1108">
        <f>IF(COUNT($E$2:$E1108)&lt;20,"",SLOPE($E$1009:$E$1108,$F$1009:$F$1108))</f>
        <v>0</v>
      </c>
      <c r="BB1108">
        <f>IF(COUNT($E$2:$E1108)&lt;20,"",INTERCEPT($E$1009:$E$1108,$F$1009:$F$1108))</f>
        <v>0</v>
      </c>
      <c r="BC1108">
        <f>IF(OR(BA1108="",BB1108=""),"",BB1108+BA1108*F1108)</f>
        <v>0</v>
      </c>
      <c r="BD1108">
        <f>IF(COUNT($E$2:$E1108)&lt;20,"",STEYX($E$1009:$E$1108,$F$1009:$F$1108))</f>
        <v>0</v>
      </c>
      <c r="BE1108">
        <f>IF($E1108="","",IF(AND(COUNT($E$1109:$E$1112)&gt;=4,$C1108=MAX($C$1104:$C$1112)),$C1108,""))</f>
        <v>0</v>
      </c>
      <c r="BF1108">
        <f>IF($E1108="","",IF(AND(COUNT($E$1109:$E$1112)&gt;=4,$D1108=MIN($D$1104:$D$1112)),$D1108,""))</f>
        <v>0</v>
      </c>
      <c r="BG1108">
        <f>IF($A1108="","",$A1108-WEEKDAY($A1108,2)+1)</f>
        <v>0</v>
      </c>
      <c r="BH1108">
        <f>IF($A1108="","",IF($A1107="",1,IF(BG1108&lt;&gt;BG1107,1,0)))</f>
        <v>0</v>
      </c>
      <c r="BI1108">
        <f>IF($A1108="","",IF($A1109="",1,IF(BG1109&lt;&gt;BG1108,1,0)))</f>
        <v>0</v>
      </c>
      <c r="BJ1108">
        <f>IF($A1108="","",IF(BH1108=1,$B1108,BJ1107))</f>
        <v>0</v>
      </c>
      <c r="BK1108">
        <f>IF($A1108="","",IF(BH1108=1,$C1108,MAX($C1108,BK1107)))</f>
        <v>0</v>
      </c>
      <c r="BL1108">
        <f>IF($A1108="","",IF(BH1108=1,$D1108,MIN($D1108,BL1107)))</f>
        <v>0</v>
      </c>
      <c r="BM1108">
        <f>IF($A1108="","",IF(BI1108=1,F1108,""))</f>
        <v>0</v>
      </c>
      <c r="BN1108">
        <f>IF($A1108="","",DATE(YEAR($A1108),MONTH($A1108),1))</f>
        <v>0</v>
      </c>
      <c r="BO1108">
        <f>IF($A1108="","",IF($A1107="",1,IF(BN1108&lt;&gt;BN1107,1,0)))</f>
        <v>0</v>
      </c>
      <c r="BP1108">
        <f>IF($A1108="","",IF($A1109="",1,IF(BN1109&lt;&gt;BN1108,1,0)))</f>
        <v>0</v>
      </c>
      <c r="BQ1108">
        <f>IF($A1108="","",IF(BO1108=1,$B1108,BQ1107))</f>
        <v>0</v>
      </c>
      <c r="BR1108">
        <f>IF($A1108="","",IF(BO1108=1,$C1108,MAX($C1108,BR1107)))</f>
        <v>0</v>
      </c>
      <c r="BS1108">
        <f>IF($A1108="","",IF(BO1108=1,$D1108,MIN($D1108,BS1107)))</f>
        <v>0</v>
      </c>
      <c r="BT1108">
        <f>IF($A1108="","",IF(BP1108=1,F1108,""))</f>
        <v>0</v>
      </c>
    </row>
    <row r="1109" spans="1:72">
      <c r="A1109" s="27">
        <f>IF(Data!$A1109="","",Data!$A1109)</f>
        <v>0</v>
      </c>
      <c r="B1109">
        <f>IF(Data!$B1109="","",Data!$B1109)</f>
        <v>0</v>
      </c>
      <c r="C1109">
        <f>IF(Data!$C1109="","",Data!$C1109)</f>
        <v>0</v>
      </c>
      <c r="D1109">
        <f>IF(Data!$D1109="","",Data!$D1109)</f>
        <v>0</v>
      </c>
      <c r="E1109">
        <f>IF(Data!$E1109="","",Data!$E1109)</f>
        <v>0</v>
      </c>
      <c r="F1109">
        <f>IF($E1109="","",N(F1108)+1)</f>
        <v>0</v>
      </c>
      <c r="G1109">
        <f>IF(OR($E1109="",$E1108=""),"",LN($E1109/$E1108))</f>
        <v>0</v>
      </c>
      <c r="H1109">
        <f>IF($E1109="","",IF($E1108="",$E1109,$E1109*0.0952380952+H1108*0.9047619048))</f>
        <v>0</v>
      </c>
      <c r="I1109">
        <f>IF($E1109="","",IF($E1108="",$E1109,$E1109*0.0392156863+I1108*0.9607843137))</f>
        <v>0</v>
      </c>
      <c r="J1109">
        <f>IF($E1109="","",IF($E1108="",$E1109,$E1109*0.0198019802+J1108*0.9801980198))</f>
        <v>0</v>
      </c>
      <c r="K1109">
        <f>IF($E1109="","",IF($E1108="",$E1109,$E1109*0.0099502488+K1108*0.9900497512))</f>
        <v>0</v>
      </c>
      <c r="L1109">
        <f>IF(OR($E1109="",$E1108=""),"",MAX($E1109-$E1108,0))</f>
        <v>0</v>
      </c>
      <c r="M1109">
        <f>IF(OR($E1109="",$E1108=""),"",MAX($E1108-$E1109,0))</f>
        <v>0</v>
      </c>
      <c r="N1109">
        <f>IF(COUNT($E$2:$E1109)&lt;15,"",IF(AVERAGE($M$1096:$M$1109)=0,100,100-100/(1+AVERAGE($L$1096:$L$1109)/AVERAGE($M$1096:$M$1109))))</f>
        <v>0</v>
      </c>
      <c r="O1109">
        <f>IF($E1109="","",IF($E1108="",$E1109,$E1109*0.1538461538+O1108*0.8461538462))</f>
        <v>0</v>
      </c>
      <c r="P1109">
        <f>IF($E1109="","",IF($E1108="",$E1109,$E1109*0.0740740741+P1108*0.9259259259))</f>
        <v>0</v>
      </c>
      <c r="Q1109">
        <f>IF(OR(O1109="",P1109=""),"",O1109-P1109)</f>
        <v>0</v>
      </c>
      <c r="R1109">
        <f>IF(Q1109="","",IF(R1108="",Q1109,Q1109*0.2000000000+R1108*0.8000000000))</f>
        <v>0</v>
      </c>
      <c r="S1109">
        <f>IF(OR(Q1109="",R1109=""),"",Q1109-R1109)</f>
        <v>0</v>
      </c>
      <c r="T1109">
        <f>IF(COUNT($E$2:$E1109)&lt;14,"",MAX($C$1096:$C$1109))</f>
        <v>0</v>
      </c>
      <c r="U1109">
        <f>IF(COUNT($E$2:$E1109)&lt;14,"",MIN($D$1096:$D$1109))</f>
        <v>0</v>
      </c>
      <c r="V1109">
        <f>IF(OR(T1109="",U1109="",T1109=U1109),"",100*($E1109-U1109)/(T1109-U1109))</f>
        <v>0</v>
      </c>
      <c r="W1109">
        <f>IF(COUNT($V$1107:$V$1109)&lt;3,"",AVERAGE($V$1107:$V$1109))</f>
        <v>0</v>
      </c>
      <c r="X1109">
        <f>IF(COUNT($N$1096:$N$1109)&lt;14,"",MIN($N$1096:$N$1109))</f>
        <v>0</v>
      </c>
      <c r="Y1109">
        <f>IF(COUNT($N$1096:$N$1109)&lt;14,"",MAX($N$1096:$N$1109))</f>
        <v>0</v>
      </c>
      <c r="Z1109">
        <f>IF(OR(N1109="",X1109="",Y1109="",Y1109=X1109),"",100*(N1109-X1109)/(Y1109-X1109))</f>
        <v>0</v>
      </c>
      <c r="AA1109">
        <f>IF(COUNT($Z$1107:$Z$1109)&lt;3,"",AVERAGE($Z$1107:$Z$1109))</f>
        <v>0</v>
      </c>
      <c r="AB1109">
        <f>IF(COUNT($AA$1107:$AA$1109)&lt;3,"",AVERAGE($AA$1107:$AA$1109))</f>
        <v>0</v>
      </c>
      <c r="AC1109">
        <f>IF($E1109="","",MAX($C1109-$D1109,ABS($C1109-$E1108),ABS($D1109-$E1108)))</f>
        <v>0</v>
      </c>
      <c r="AD1109">
        <f>IF(COUNT($E$2:$E1109)&lt;15,"",AVERAGE($AC$1096:$AC$1109))</f>
        <v>0</v>
      </c>
      <c r="AE1109">
        <f>IF(OR($E1109="",$E1108=""),"",IF(AND(($C1109-$C1108)&gt;($D1108-$D1109),($C1109-$C1108)&gt;0),$C1109-$C1108,0))</f>
        <v>0</v>
      </c>
      <c r="AF1109">
        <f>IF(OR($E1109="",$E1108=""),"",IF(AND(($D1108-$D1109)&gt;($C1109-$C1108),($D1108-$D1109)&gt;0),$D1108-$D1109,0))</f>
        <v>0</v>
      </c>
      <c r="AG1109">
        <f>IF(COUNT($E$2:$E1109)&lt;15,"",IF(SUM($AC$1096:$AC$1109)=0,0,100*SUM($AE$1096:$AE$1109)/SUM($AC$1096:$AC$1109)))</f>
        <v>0</v>
      </c>
      <c r="AH1109">
        <f>IF(COUNT($E$2:$E1109)&lt;15,"",IF(SUM($AC$1096:$AC$1109)=0,0,100*SUM($AF$1096:$AF$1109)/SUM($AC$1096:$AC$1109)))</f>
        <v>0</v>
      </c>
      <c r="AI1109">
        <f>IF(OR(AG1109="",AH1109=""),"",IF((AG1109+AH1109)=0,0,100*ABS(AG1109-AH1109)/(AG1109+AH1109)))</f>
        <v>0</v>
      </c>
      <c r="AJ1109">
        <f>IF(COUNT($AI$1096:$AI$1109)&lt;14,"",AVERAGE($AI$1096:$AI$1109))</f>
        <v>0</v>
      </c>
      <c r="AK1109">
        <f>IF(COUNT($E$2:$E1109)&lt;20,"",AVERAGE($E$1090:$E$1109))</f>
        <v>0</v>
      </c>
      <c r="AL1109">
        <f>IF(COUNT($E$2:$E1109)&lt;20,"",STDEVP($E$1090:$E$1109))</f>
        <v>0</v>
      </c>
      <c r="AM1109">
        <f>IF(AK1109="","",AK1109+2*AL1109)</f>
        <v>0</v>
      </c>
      <c r="AN1109">
        <f>IF(AK1109="","",AK1109-2*AL1109)</f>
        <v>0</v>
      </c>
      <c r="AO1109">
        <f>IF(OR(AM1109="",AN1109="",AM1109=AN1109),"",($E1109-AN1109)/(AM1109-AN1109))</f>
        <v>0</v>
      </c>
      <c r="AP1109">
        <f>IF(OR(AM1109="",AK1109="",AK1109=0),"",(AM1109-AN1109)/AK1109)</f>
        <v>0</v>
      </c>
      <c r="AQ1109">
        <f>IF(COUNT($E$2:$E1109)&lt;20,"",MAX($C$1090:$C$1109))</f>
        <v>0</v>
      </c>
      <c r="AR1109">
        <f>IF(COUNT($E$2:$E1109)&lt;20,"",MIN($D$1090:$D$1109))</f>
        <v>0</v>
      </c>
      <c r="AS1109">
        <f>IF(OR(AQ1109="",AR1109=""),"",(AQ1109+AR1109)/2)</f>
        <v>0</v>
      </c>
      <c r="AT1109">
        <f>IF(COUNT($G$1090:$G$1109)&lt;20,"",STDEV($G$1090:$G$1109)*SQRT(252))</f>
        <v>0</v>
      </c>
      <c r="AU1109">
        <f>IF(COUNT($E$2:$E1109)&lt;9,"",(MAX($C$1101:$C$1109)+MIN($D$1101:$D$1109))/2)</f>
        <v>0</v>
      </c>
      <c r="AV1109">
        <f>IF(COUNT($E$2:$E1109)&lt;26,"",(MAX($C$1084:$C$1109)+MIN($D$1084:$D$1109))/2)</f>
        <v>0</v>
      </c>
      <c r="AW1109">
        <f>IF(OR(AU1109="",AV1109=""),"",(AU1109+AV1109)/2)</f>
        <v>0</v>
      </c>
      <c r="AX1109">
        <f>IF(COUNT($E$2:$E1109)&lt;52,"",(MAX($C$1058:$C$1109)+MIN($D$1058:$D$1109))/2)</f>
        <v>0</v>
      </c>
      <c r="AY1109">
        <f>IF(COUNT($E$2:$E1109)&lt;20,"",MAX($C$1010:$C$1109))</f>
        <v>0</v>
      </c>
      <c r="AZ1109">
        <f>IF(COUNT($E$2:$E1109)&lt;20,"",MIN($D$1010:$D$1109))</f>
        <v>0</v>
      </c>
      <c r="BA1109">
        <f>IF(COUNT($E$2:$E1109)&lt;20,"",SLOPE($E$1010:$E$1109,$F$1010:$F$1109))</f>
        <v>0</v>
      </c>
      <c r="BB1109">
        <f>IF(COUNT($E$2:$E1109)&lt;20,"",INTERCEPT($E$1010:$E$1109,$F$1010:$F$1109))</f>
        <v>0</v>
      </c>
      <c r="BC1109">
        <f>IF(OR(BA1109="",BB1109=""),"",BB1109+BA1109*F1109)</f>
        <v>0</v>
      </c>
      <c r="BD1109">
        <f>IF(COUNT($E$2:$E1109)&lt;20,"",STEYX($E$1010:$E$1109,$F$1010:$F$1109))</f>
        <v>0</v>
      </c>
      <c r="BE1109">
        <f>IF($E1109="","",IF(AND(COUNT($E$1110:$E$1113)&gt;=4,$C1109=MAX($C$1105:$C$1113)),$C1109,""))</f>
        <v>0</v>
      </c>
      <c r="BF1109">
        <f>IF($E1109="","",IF(AND(COUNT($E$1110:$E$1113)&gt;=4,$D1109=MIN($D$1105:$D$1113)),$D1109,""))</f>
        <v>0</v>
      </c>
      <c r="BG1109">
        <f>IF($A1109="","",$A1109-WEEKDAY($A1109,2)+1)</f>
        <v>0</v>
      </c>
      <c r="BH1109">
        <f>IF($A1109="","",IF($A1108="",1,IF(BG1109&lt;&gt;BG1108,1,0)))</f>
        <v>0</v>
      </c>
      <c r="BI1109">
        <f>IF($A1109="","",IF($A1110="",1,IF(BG1110&lt;&gt;BG1109,1,0)))</f>
        <v>0</v>
      </c>
      <c r="BJ1109">
        <f>IF($A1109="","",IF(BH1109=1,$B1109,BJ1108))</f>
        <v>0</v>
      </c>
      <c r="BK1109">
        <f>IF($A1109="","",IF(BH1109=1,$C1109,MAX($C1109,BK1108)))</f>
        <v>0</v>
      </c>
      <c r="BL1109">
        <f>IF($A1109="","",IF(BH1109=1,$D1109,MIN($D1109,BL1108)))</f>
        <v>0</v>
      </c>
      <c r="BM1109">
        <f>IF($A1109="","",IF(BI1109=1,F1109,""))</f>
        <v>0</v>
      </c>
      <c r="BN1109">
        <f>IF($A1109="","",DATE(YEAR($A1109),MONTH($A1109),1))</f>
        <v>0</v>
      </c>
      <c r="BO1109">
        <f>IF($A1109="","",IF($A1108="",1,IF(BN1109&lt;&gt;BN1108,1,0)))</f>
        <v>0</v>
      </c>
      <c r="BP1109">
        <f>IF($A1109="","",IF($A1110="",1,IF(BN1110&lt;&gt;BN1109,1,0)))</f>
        <v>0</v>
      </c>
      <c r="BQ1109">
        <f>IF($A1109="","",IF(BO1109=1,$B1109,BQ1108))</f>
        <v>0</v>
      </c>
      <c r="BR1109">
        <f>IF($A1109="","",IF(BO1109=1,$C1109,MAX($C1109,BR1108)))</f>
        <v>0</v>
      </c>
      <c r="BS1109">
        <f>IF($A1109="","",IF(BO1109=1,$D1109,MIN($D1109,BS1108)))</f>
        <v>0</v>
      </c>
      <c r="BT1109">
        <f>IF($A1109="","",IF(BP1109=1,F1109,""))</f>
        <v>0</v>
      </c>
    </row>
    <row r="1110" spans="1:72">
      <c r="A1110" s="27">
        <f>IF(Data!$A1110="","",Data!$A1110)</f>
        <v>0</v>
      </c>
      <c r="B1110">
        <f>IF(Data!$B1110="","",Data!$B1110)</f>
        <v>0</v>
      </c>
      <c r="C1110">
        <f>IF(Data!$C1110="","",Data!$C1110)</f>
        <v>0</v>
      </c>
      <c r="D1110">
        <f>IF(Data!$D1110="","",Data!$D1110)</f>
        <v>0</v>
      </c>
      <c r="E1110">
        <f>IF(Data!$E1110="","",Data!$E1110)</f>
        <v>0</v>
      </c>
      <c r="F1110">
        <f>IF($E1110="","",N(F1109)+1)</f>
        <v>0</v>
      </c>
      <c r="G1110">
        <f>IF(OR($E1110="",$E1109=""),"",LN($E1110/$E1109))</f>
        <v>0</v>
      </c>
      <c r="H1110">
        <f>IF($E1110="","",IF($E1109="",$E1110,$E1110*0.0952380952+H1109*0.9047619048))</f>
        <v>0</v>
      </c>
      <c r="I1110">
        <f>IF($E1110="","",IF($E1109="",$E1110,$E1110*0.0392156863+I1109*0.9607843137))</f>
        <v>0</v>
      </c>
      <c r="J1110">
        <f>IF($E1110="","",IF($E1109="",$E1110,$E1110*0.0198019802+J1109*0.9801980198))</f>
        <v>0</v>
      </c>
      <c r="K1110">
        <f>IF($E1110="","",IF($E1109="",$E1110,$E1110*0.0099502488+K1109*0.9900497512))</f>
        <v>0</v>
      </c>
      <c r="L1110">
        <f>IF(OR($E1110="",$E1109=""),"",MAX($E1110-$E1109,0))</f>
        <v>0</v>
      </c>
      <c r="M1110">
        <f>IF(OR($E1110="",$E1109=""),"",MAX($E1109-$E1110,0))</f>
        <v>0</v>
      </c>
      <c r="N1110">
        <f>IF(COUNT($E$2:$E1110)&lt;15,"",IF(AVERAGE($M$1097:$M$1110)=0,100,100-100/(1+AVERAGE($L$1097:$L$1110)/AVERAGE($M$1097:$M$1110))))</f>
        <v>0</v>
      </c>
      <c r="O1110">
        <f>IF($E1110="","",IF($E1109="",$E1110,$E1110*0.1538461538+O1109*0.8461538462))</f>
        <v>0</v>
      </c>
      <c r="P1110">
        <f>IF($E1110="","",IF($E1109="",$E1110,$E1110*0.0740740741+P1109*0.9259259259))</f>
        <v>0</v>
      </c>
      <c r="Q1110">
        <f>IF(OR(O1110="",P1110=""),"",O1110-P1110)</f>
        <v>0</v>
      </c>
      <c r="R1110">
        <f>IF(Q1110="","",IF(R1109="",Q1110,Q1110*0.2000000000+R1109*0.8000000000))</f>
        <v>0</v>
      </c>
      <c r="S1110">
        <f>IF(OR(Q1110="",R1110=""),"",Q1110-R1110)</f>
        <v>0</v>
      </c>
      <c r="T1110">
        <f>IF(COUNT($E$2:$E1110)&lt;14,"",MAX($C$1097:$C$1110))</f>
        <v>0</v>
      </c>
      <c r="U1110">
        <f>IF(COUNT($E$2:$E1110)&lt;14,"",MIN($D$1097:$D$1110))</f>
        <v>0</v>
      </c>
      <c r="V1110">
        <f>IF(OR(T1110="",U1110="",T1110=U1110),"",100*($E1110-U1110)/(T1110-U1110))</f>
        <v>0</v>
      </c>
      <c r="W1110">
        <f>IF(COUNT($V$1108:$V$1110)&lt;3,"",AVERAGE($V$1108:$V$1110))</f>
        <v>0</v>
      </c>
      <c r="X1110">
        <f>IF(COUNT($N$1097:$N$1110)&lt;14,"",MIN($N$1097:$N$1110))</f>
        <v>0</v>
      </c>
      <c r="Y1110">
        <f>IF(COUNT($N$1097:$N$1110)&lt;14,"",MAX($N$1097:$N$1110))</f>
        <v>0</v>
      </c>
      <c r="Z1110">
        <f>IF(OR(N1110="",X1110="",Y1110="",Y1110=X1110),"",100*(N1110-X1110)/(Y1110-X1110))</f>
        <v>0</v>
      </c>
      <c r="AA1110">
        <f>IF(COUNT($Z$1108:$Z$1110)&lt;3,"",AVERAGE($Z$1108:$Z$1110))</f>
        <v>0</v>
      </c>
      <c r="AB1110">
        <f>IF(COUNT($AA$1108:$AA$1110)&lt;3,"",AVERAGE($AA$1108:$AA$1110))</f>
        <v>0</v>
      </c>
      <c r="AC1110">
        <f>IF($E1110="","",MAX($C1110-$D1110,ABS($C1110-$E1109),ABS($D1110-$E1109)))</f>
        <v>0</v>
      </c>
      <c r="AD1110">
        <f>IF(COUNT($E$2:$E1110)&lt;15,"",AVERAGE($AC$1097:$AC$1110))</f>
        <v>0</v>
      </c>
      <c r="AE1110">
        <f>IF(OR($E1110="",$E1109=""),"",IF(AND(($C1110-$C1109)&gt;($D1109-$D1110),($C1110-$C1109)&gt;0),$C1110-$C1109,0))</f>
        <v>0</v>
      </c>
      <c r="AF1110">
        <f>IF(OR($E1110="",$E1109=""),"",IF(AND(($D1109-$D1110)&gt;($C1110-$C1109),($D1109-$D1110)&gt;0),$D1109-$D1110,0))</f>
        <v>0</v>
      </c>
      <c r="AG1110">
        <f>IF(COUNT($E$2:$E1110)&lt;15,"",IF(SUM($AC$1097:$AC$1110)=0,0,100*SUM($AE$1097:$AE$1110)/SUM($AC$1097:$AC$1110)))</f>
        <v>0</v>
      </c>
      <c r="AH1110">
        <f>IF(COUNT($E$2:$E1110)&lt;15,"",IF(SUM($AC$1097:$AC$1110)=0,0,100*SUM($AF$1097:$AF$1110)/SUM($AC$1097:$AC$1110)))</f>
        <v>0</v>
      </c>
      <c r="AI1110">
        <f>IF(OR(AG1110="",AH1110=""),"",IF((AG1110+AH1110)=0,0,100*ABS(AG1110-AH1110)/(AG1110+AH1110)))</f>
        <v>0</v>
      </c>
      <c r="AJ1110">
        <f>IF(COUNT($AI$1097:$AI$1110)&lt;14,"",AVERAGE($AI$1097:$AI$1110))</f>
        <v>0</v>
      </c>
      <c r="AK1110">
        <f>IF(COUNT($E$2:$E1110)&lt;20,"",AVERAGE($E$1091:$E$1110))</f>
        <v>0</v>
      </c>
      <c r="AL1110">
        <f>IF(COUNT($E$2:$E1110)&lt;20,"",STDEVP($E$1091:$E$1110))</f>
        <v>0</v>
      </c>
      <c r="AM1110">
        <f>IF(AK1110="","",AK1110+2*AL1110)</f>
        <v>0</v>
      </c>
      <c r="AN1110">
        <f>IF(AK1110="","",AK1110-2*AL1110)</f>
        <v>0</v>
      </c>
      <c r="AO1110">
        <f>IF(OR(AM1110="",AN1110="",AM1110=AN1110),"",($E1110-AN1110)/(AM1110-AN1110))</f>
        <v>0</v>
      </c>
      <c r="AP1110">
        <f>IF(OR(AM1110="",AK1110="",AK1110=0),"",(AM1110-AN1110)/AK1110)</f>
        <v>0</v>
      </c>
      <c r="AQ1110">
        <f>IF(COUNT($E$2:$E1110)&lt;20,"",MAX($C$1091:$C$1110))</f>
        <v>0</v>
      </c>
      <c r="AR1110">
        <f>IF(COUNT($E$2:$E1110)&lt;20,"",MIN($D$1091:$D$1110))</f>
        <v>0</v>
      </c>
      <c r="AS1110">
        <f>IF(OR(AQ1110="",AR1110=""),"",(AQ1110+AR1110)/2)</f>
        <v>0</v>
      </c>
      <c r="AT1110">
        <f>IF(COUNT($G$1091:$G$1110)&lt;20,"",STDEV($G$1091:$G$1110)*SQRT(252))</f>
        <v>0</v>
      </c>
      <c r="AU1110">
        <f>IF(COUNT($E$2:$E1110)&lt;9,"",(MAX($C$1102:$C$1110)+MIN($D$1102:$D$1110))/2)</f>
        <v>0</v>
      </c>
      <c r="AV1110">
        <f>IF(COUNT($E$2:$E1110)&lt;26,"",(MAX($C$1085:$C$1110)+MIN($D$1085:$D$1110))/2)</f>
        <v>0</v>
      </c>
      <c r="AW1110">
        <f>IF(OR(AU1110="",AV1110=""),"",(AU1110+AV1110)/2)</f>
        <v>0</v>
      </c>
      <c r="AX1110">
        <f>IF(COUNT($E$2:$E1110)&lt;52,"",(MAX($C$1059:$C$1110)+MIN($D$1059:$D$1110))/2)</f>
        <v>0</v>
      </c>
      <c r="AY1110">
        <f>IF(COUNT($E$2:$E1110)&lt;20,"",MAX($C$1011:$C$1110))</f>
        <v>0</v>
      </c>
      <c r="AZ1110">
        <f>IF(COUNT($E$2:$E1110)&lt;20,"",MIN($D$1011:$D$1110))</f>
        <v>0</v>
      </c>
      <c r="BA1110">
        <f>IF(COUNT($E$2:$E1110)&lt;20,"",SLOPE($E$1011:$E$1110,$F$1011:$F$1110))</f>
        <v>0</v>
      </c>
      <c r="BB1110">
        <f>IF(COUNT($E$2:$E1110)&lt;20,"",INTERCEPT($E$1011:$E$1110,$F$1011:$F$1110))</f>
        <v>0</v>
      </c>
      <c r="BC1110">
        <f>IF(OR(BA1110="",BB1110=""),"",BB1110+BA1110*F1110)</f>
        <v>0</v>
      </c>
      <c r="BD1110">
        <f>IF(COUNT($E$2:$E1110)&lt;20,"",STEYX($E$1011:$E$1110,$F$1011:$F$1110))</f>
        <v>0</v>
      </c>
      <c r="BE1110">
        <f>IF($E1110="","",IF(AND(COUNT($E$1111:$E$1114)&gt;=4,$C1110=MAX($C$1106:$C$1114)),$C1110,""))</f>
        <v>0</v>
      </c>
      <c r="BF1110">
        <f>IF($E1110="","",IF(AND(COUNT($E$1111:$E$1114)&gt;=4,$D1110=MIN($D$1106:$D$1114)),$D1110,""))</f>
        <v>0</v>
      </c>
      <c r="BG1110">
        <f>IF($A1110="","",$A1110-WEEKDAY($A1110,2)+1)</f>
        <v>0</v>
      </c>
      <c r="BH1110">
        <f>IF($A1110="","",IF($A1109="",1,IF(BG1110&lt;&gt;BG1109,1,0)))</f>
        <v>0</v>
      </c>
      <c r="BI1110">
        <f>IF($A1110="","",IF($A1111="",1,IF(BG1111&lt;&gt;BG1110,1,0)))</f>
        <v>0</v>
      </c>
      <c r="BJ1110">
        <f>IF($A1110="","",IF(BH1110=1,$B1110,BJ1109))</f>
        <v>0</v>
      </c>
      <c r="BK1110">
        <f>IF($A1110="","",IF(BH1110=1,$C1110,MAX($C1110,BK1109)))</f>
        <v>0</v>
      </c>
      <c r="BL1110">
        <f>IF($A1110="","",IF(BH1110=1,$D1110,MIN($D1110,BL1109)))</f>
        <v>0</v>
      </c>
      <c r="BM1110">
        <f>IF($A1110="","",IF(BI1110=1,F1110,""))</f>
        <v>0</v>
      </c>
      <c r="BN1110">
        <f>IF($A1110="","",DATE(YEAR($A1110),MONTH($A1110),1))</f>
        <v>0</v>
      </c>
      <c r="BO1110">
        <f>IF($A1110="","",IF($A1109="",1,IF(BN1110&lt;&gt;BN1109,1,0)))</f>
        <v>0</v>
      </c>
      <c r="BP1110">
        <f>IF($A1110="","",IF($A1111="",1,IF(BN1111&lt;&gt;BN1110,1,0)))</f>
        <v>0</v>
      </c>
      <c r="BQ1110">
        <f>IF($A1110="","",IF(BO1110=1,$B1110,BQ1109))</f>
        <v>0</v>
      </c>
      <c r="BR1110">
        <f>IF($A1110="","",IF(BO1110=1,$C1110,MAX($C1110,BR1109)))</f>
        <v>0</v>
      </c>
      <c r="BS1110">
        <f>IF($A1110="","",IF(BO1110=1,$D1110,MIN($D1110,BS1109)))</f>
        <v>0</v>
      </c>
      <c r="BT1110">
        <f>IF($A1110="","",IF(BP1110=1,F1110,""))</f>
        <v>0</v>
      </c>
    </row>
    <row r="1111" spans="1:72">
      <c r="A1111" s="27">
        <f>IF(Data!$A1111="","",Data!$A1111)</f>
        <v>0</v>
      </c>
      <c r="B1111">
        <f>IF(Data!$B1111="","",Data!$B1111)</f>
        <v>0</v>
      </c>
      <c r="C1111">
        <f>IF(Data!$C1111="","",Data!$C1111)</f>
        <v>0</v>
      </c>
      <c r="D1111">
        <f>IF(Data!$D1111="","",Data!$D1111)</f>
        <v>0</v>
      </c>
      <c r="E1111">
        <f>IF(Data!$E1111="","",Data!$E1111)</f>
        <v>0</v>
      </c>
      <c r="F1111">
        <f>IF($E1111="","",N(F1110)+1)</f>
        <v>0</v>
      </c>
      <c r="G1111">
        <f>IF(OR($E1111="",$E1110=""),"",LN($E1111/$E1110))</f>
        <v>0</v>
      </c>
      <c r="H1111">
        <f>IF($E1111="","",IF($E1110="",$E1111,$E1111*0.0952380952+H1110*0.9047619048))</f>
        <v>0</v>
      </c>
      <c r="I1111">
        <f>IF($E1111="","",IF($E1110="",$E1111,$E1111*0.0392156863+I1110*0.9607843137))</f>
        <v>0</v>
      </c>
      <c r="J1111">
        <f>IF($E1111="","",IF($E1110="",$E1111,$E1111*0.0198019802+J1110*0.9801980198))</f>
        <v>0</v>
      </c>
      <c r="K1111">
        <f>IF($E1111="","",IF($E1110="",$E1111,$E1111*0.0099502488+K1110*0.9900497512))</f>
        <v>0</v>
      </c>
      <c r="L1111">
        <f>IF(OR($E1111="",$E1110=""),"",MAX($E1111-$E1110,0))</f>
        <v>0</v>
      </c>
      <c r="M1111">
        <f>IF(OR($E1111="",$E1110=""),"",MAX($E1110-$E1111,0))</f>
        <v>0</v>
      </c>
      <c r="N1111">
        <f>IF(COUNT($E$2:$E1111)&lt;15,"",IF(AVERAGE($M$1098:$M$1111)=0,100,100-100/(1+AVERAGE($L$1098:$L$1111)/AVERAGE($M$1098:$M$1111))))</f>
        <v>0</v>
      </c>
      <c r="O1111">
        <f>IF($E1111="","",IF($E1110="",$E1111,$E1111*0.1538461538+O1110*0.8461538462))</f>
        <v>0</v>
      </c>
      <c r="P1111">
        <f>IF($E1111="","",IF($E1110="",$E1111,$E1111*0.0740740741+P1110*0.9259259259))</f>
        <v>0</v>
      </c>
      <c r="Q1111">
        <f>IF(OR(O1111="",P1111=""),"",O1111-P1111)</f>
        <v>0</v>
      </c>
      <c r="R1111">
        <f>IF(Q1111="","",IF(R1110="",Q1111,Q1111*0.2000000000+R1110*0.8000000000))</f>
        <v>0</v>
      </c>
      <c r="S1111">
        <f>IF(OR(Q1111="",R1111=""),"",Q1111-R1111)</f>
        <v>0</v>
      </c>
      <c r="T1111">
        <f>IF(COUNT($E$2:$E1111)&lt;14,"",MAX($C$1098:$C$1111))</f>
        <v>0</v>
      </c>
      <c r="U1111">
        <f>IF(COUNT($E$2:$E1111)&lt;14,"",MIN($D$1098:$D$1111))</f>
        <v>0</v>
      </c>
      <c r="V1111">
        <f>IF(OR(T1111="",U1111="",T1111=U1111),"",100*($E1111-U1111)/(T1111-U1111))</f>
        <v>0</v>
      </c>
      <c r="W1111">
        <f>IF(COUNT($V$1109:$V$1111)&lt;3,"",AVERAGE($V$1109:$V$1111))</f>
        <v>0</v>
      </c>
      <c r="X1111">
        <f>IF(COUNT($N$1098:$N$1111)&lt;14,"",MIN($N$1098:$N$1111))</f>
        <v>0</v>
      </c>
      <c r="Y1111">
        <f>IF(COUNT($N$1098:$N$1111)&lt;14,"",MAX($N$1098:$N$1111))</f>
        <v>0</v>
      </c>
      <c r="Z1111">
        <f>IF(OR(N1111="",X1111="",Y1111="",Y1111=X1111),"",100*(N1111-X1111)/(Y1111-X1111))</f>
        <v>0</v>
      </c>
      <c r="AA1111">
        <f>IF(COUNT($Z$1109:$Z$1111)&lt;3,"",AVERAGE($Z$1109:$Z$1111))</f>
        <v>0</v>
      </c>
      <c r="AB1111">
        <f>IF(COUNT($AA$1109:$AA$1111)&lt;3,"",AVERAGE($AA$1109:$AA$1111))</f>
        <v>0</v>
      </c>
      <c r="AC1111">
        <f>IF($E1111="","",MAX($C1111-$D1111,ABS($C1111-$E1110),ABS($D1111-$E1110)))</f>
        <v>0</v>
      </c>
      <c r="AD1111">
        <f>IF(COUNT($E$2:$E1111)&lt;15,"",AVERAGE($AC$1098:$AC$1111))</f>
        <v>0</v>
      </c>
      <c r="AE1111">
        <f>IF(OR($E1111="",$E1110=""),"",IF(AND(($C1111-$C1110)&gt;($D1110-$D1111),($C1111-$C1110)&gt;0),$C1111-$C1110,0))</f>
        <v>0</v>
      </c>
      <c r="AF1111">
        <f>IF(OR($E1111="",$E1110=""),"",IF(AND(($D1110-$D1111)&gt;($C1111-$C1110),($D1110-$D1111)&gt;0),$D1110-$D1111,0))</f>
        <v>0</v>
      </c>
      <c r="AG1111">
        <f>IF(COUNT($E$2:$E1111)&lt;15,"",IF(SUM($AC$1098:$AC$1111)=0,0,100*SUM($AE$1098:$AE$1111)/SUM($AC$1098:$AC$1111)))</f>
        <v>0</v>
      </c>
      <c r="AH1111">
        <f>IF(COUNT($E$2:$E1111)&lt;15,"",IF(SUM($AC$1098:$AC$1111)=0,0,100*SUM($AF$1098:$AF$1111)/SUM($AC$1098:$AC$1111)))</f>
        <v>0</v>
      </c>
      <c r="AI1111">
        <f>IF(OR(AG1111="",AH1111=""),"",IF((AG1111+AH1111)=0,0,100*ABS(AG1111-AH1111)/(AG1111+AH1111)))</f>
        <v>0</v>
      </c>
      <c r="AJ1111">
        <f>IF(COUNT($AI$1098:$AI$1111)&lt;14,"",AVERAGE($AI$1098:$AI$1111))</f>
        <v>0</v>
      </c>
      <c r="AK1111">
        <f>IF(COUNT($E$2:$E1111)&lt;20,"",AVERAGE($E$1092:$E$1111))</f>
        <v>0</v>
      </c>
      <c r="AL1111">
        <f>IF(COUNT($E$2:$E1111)&lt;20,"",STDEVP($E$1092:$E$1111))</f>
        <v>0</v>
      </c>
      <c r="AM1111">
        <f>IF(AK1111="","",AK1111+2*AL1111)</f>
        <v>0</v>
      </c>
      <c r="AN1111">
        <f>IF(AK1111="","",AK1111-2*AL1111)</f>
        <v>0</v>
      </c>
      <c r="AO1111">
        <f>IF(OR(AM1111="",AN1111="",AM1111=AN1111),"",($E1111-AN1111)/(AM1111-AN1111))</f>
        <v>0</v>
      </c>
      <c r="AP1111">
        <f>IF(OR(AM1111="",AK1111="",AK1111=0),"",(AM1111-AN1111)/AK1111)</f>
        <v>0</v>
      </c>
      <c r="AQ1111">
        <f>IF(COUNT($E$2:$E1111)&lt;20,"",MAX($C$1092:$C$1111))</f>
        <v>0</v>
      </c>
      <c r="AR1111">
        <f>IF(COUNT($E$2:$E1111)&lt;20,"",MIN($D$1092:$D$1111))</f>
        <v>0</v>
      </c>
      <c r="AS1111">
        <f>IF(OR(AQ1111="",AR1111=""),"",(AQ1111+AR1111)/2)</f>
        <v>0</v>
      </c>
      <c r="AT1111">
        <f>IF(COUNT($G$1092:$G$1111)&lt;20,"",STDEV($G$1092:$G$1111)*SQRT(252))</f>
        <v>0</v>
      </c>
      <c r="AU1111">
        <f>IF(COUNT($E$2:$E1111)&lt;9,"",(MAX($C$1103:$C$1111)+MIN($D$1103:$D$1111))/2)</f>
        <v>0</v>
      </c>
      <c r="AV1111">
        <f>IF(COUNT($E$2:$E1111)&lt;26,"",(MAX($C$1086:$C$1111)+MIN($D$1086:$D$1111))/2)</f>
        <v>0</v>
      </c>
      <c r="AW1111">
        <f>IF(OR(AU1111="",AV1111=""),"",(AU1111+AV1111)/2)</f>
        <v>0</v>
      </c>
      <c r="AX1111">
        <f>IF(COUNT($E$2:$E1111)&lt;52,"",(MAX($C$1060:$C$1111)+MIN($D$1060:$D$1111))/2)</f>
        <v>0</v>
      </c>
      <c r="AY1111">
        <f>IF(COUNT($E$2:$E1111)&lt;20,"",MAX($C$1012:$C$1111))</f>
        <v>0</v>
      </c>
      <c r="AZ1111">
        <f>IF(COUNT($E$2:$E1111)&lt;20,"",MIN($D$1012:$D$1111))</f>
        <v>0</v>
      </c>
      <c r="BA1111">
        <f>IF(COUNT($E$2:$E1111)&lt;20,"",SLOPE($E$1012:$E$1111,$F$1012:$F$1111))</f>
        <v>0</v>
      </c>
      <c r="BB1111">
        <f>IF(COUNT($E$2:$E1111)&lt;20,"",INTERCEPT($E$1012:$E$1111,$F$1012:$F$1111))</f>
        <v>0</v>
      </c>
      <c r="BC1111">
        <f>IF(OR(BA1111="",BB1111=""),"",BB1111+BA1111*F1111)</f>
        <v>0</v>
      </c>
      <c r="BD1111">
        <f>IF(COUNT($E$2:$E1111)&lt;20,"",STEYX($E$1012:$E$1111,$F$1012:$F$1111))</f>
        <v>0</v>
      </c>
      <c r="BE1111">
        <f>IF($E1111="","",IF(AND(COUNT($E$1112:$E$1115)&gt;=4,$C1111=MAX($C$1107:$C$1115)),$C1111,""))</f>
        <v>0</v>
      </c>
      <c r="BF1111">
        <f>IF($E1111="","",IF(AND(COUNT($E$1112:$E$1115)&gt;=4,$D1111=MIN($D$1107:$D$1115)),$D1111,""))</f>
        <v>0</v>
      </c>
      <c r="BG1111">
        <f>IF($A1111="","",$A1111-WEEKDAY($A1111,2)+1)</f>
        <v>0</v>
      </c>
      <c r="BH1111">
        <f>IF($A1111="","",IF($A1110="",1,IF(BG1111&lt;&gt;BG1110,1,0)))</f>
        <v>0</v>
      </c>
      <c r="BI1111">
        <f>IF($A1111="","",IF($A1112="",1,IF(BG1112&lt;&gt;BG1111,1,0)))</f>
        <v>0</v>
      </c>
      <c r="BJ1111">
        <f>IF($A1111="","",IF(BH1111=1,$B1111,BJ1110))</f>
        <v>0</v>
      </c>
      <c r="BK1111">
        <f>IF($A1111="","",IF(BH1111=1,$C1111,MAX($C1111,BK1110)))</f>
        <v>0</v>
      </c>
      <c r="BL1111">
        <f>IF($A1111="","",IF(BH1111=1,$D1111,MIN($D1111,BL1110)))</f>
        <v>0</v>
      </c>
      <c r="BM1111">
        <f>IF($A1111="","",IF(BI1111=1,F1111,""))</f>
        <v>0</v>
      </c>
      <c r="BN1111">
        <f>IF($A1111="","",DATE(YEAR($A1111),MONTH($A1111),1))</f>
        <v>0</v>
      </c>
      <c r="BO1111">
        <f>IF($A1111="","",IF($A1110="",1,IF(BN1111&lt;&gt;BN1110,1,0)))</f>
        <v>0</v>
      </c>
      <c r="BP1111">
        <f>IF($A1111="","",IF($A1112="",1,IF(BN1112&lt;&gt;BN1111,1,0)))</f>
        <v>0</v>
      </c>
      <c r="BQ1111">
        <f>IF($A1111="","",IF(BO1111=1,$B1111,BQ1110))</f>
        <v>0</v>
      </c>
      <c r="BR1111">
        <f>IF($A1111="","",IF(BO1111=1,$C1111,MAX($C1111,BR1110)))</f>
        <v>0</v>
      </c>
      <c r="BS1111">
        <f>IF($A1111="","",IF(BO1111=1,$D1111,MIN($D1111,BS1110)))</f>
        <v>0</v>
      </c>
      <c r="BT1111">
        <f>IF($A1111="","",IF(BP1111=1,F1111,""))</f>
        <v>0</v>
      </c>
    </row>
    <row r="1112" spans="1:72">
      <c r="A1112" s="27">
        <f>IF(Data!$A1112="","",Data!$A1112)</f>
        <v>0</v>
      </c>
      <c r="B1112">
        <f>IF(Data!$B1112="","",Data!$B1112)</f>
        <v>0</v>
      </c>
      <c r="C1112">
        <f>IF(Data!$C1112="","",Data!$C1112)</f>
        <v>0</v>
      </c>
      <c r="D1112">
        <f>IF(Data!$D1112="","",Data!$D1112)</f>
        <v>0</v>
      </c>
      <c r="E1112">
        <f>IF(Data!$E1112="","",Data!$E1112)</f>
        <v>0</v>
      </c>
      <c r="F1112">
        <f>IF($E1112="","",N(F1111)+1)</f>
        <v>0</v>
      </c>
      <c r="G1112">
        <f>IF(OR($E1112="",$E1111=""),"",LN($E1112/$E1111))</f>
        <v>0</v>
      </c>
      <c r="H1112">
        <f>IF($E1112="","",IF($E1111="",$E1112,$E1112*0.0952380952+H1111*0.9047619048))</f>
        <v>0</v>
      </c>
      <c r="I1112">
        <f>IF($E1112="","",IF($E1111="",$E1112,$E1112*0.0392156863+I1111*0.9607843137))</f>
        <v>0</v>
      </c>
      <c r="J1112">
        <f>IF($E1112="","",IF($E1111="",$E1112,$E1112*0.0198019802+J1111*0.9801980198))</f>
        <v>0</v>
      </c>
      <c r="K1112">
        <f>IF($E1112="","",IF($E1111="",$E1112,$E1112*0.0099502488+K1111*0.9900497512))</f>
        <v>0</v>
      </c>
      <c r="L1112">
        <f>IF(OR($E1112="",$E1111=""),"",MAX($E1112-$E1111,0))</f>
        <v>0</v>
      </c>
      <c r="M1112">
        <f>IF(OR($E1112="",$E1111=""),"",MAX($E1111-$E1112,0))</f>
        <v>0</v>
      </c>
      <c r="N1112">
        <f>IF(COUNT($E$2:$E1112)&lt;15,"",IF(AVERAGE($M$1099:$M$1112)=0,100,100-100/(1+AVERAGE($L$1099:$L$1112)/AVERAGE($M$1099:$M$1112))))</f>
        <v>0</v>
      </c>
      <c r="O1112">
        <f>IF($E1112="","",IF($E1111="",$E1112,$E1112*0.1538461538+O1111*0.8461538462))</f>
        <v>0</v>
      </c>
      <c r="P1112">
        <f>IF($E1112="","",IF($E1111="",$E1112,$E1112*0.0740740741+P1111*0.9259259259))</f>
        <v>0</v>
      </c>
      <c r="Q1112">
        <f>IF(OR(O1112="",P1112=""),"",O1112-P1112)</f>
        <v>0</v>
      </c>
      <c r="R1112">
        <f>IF(Q1112="","",IF(R1111="",Q1112,Q1112*0.2000000000+R1111*0.8000000000))</f>
        <v>0</v>
      </c>
      <c r="S1112">
        <f>IF(OR(Q1112="",R1112=""),"",Q1112-R1112)</f>
        <v>0</v>
      </c>
      <c r="T1112">
        <f>IF(COUNT($E$2:$E1112)&lt;14,"",MAX($C$1099:$C$1112))</f>
        <v>0</v>
      </c>
      <c r="U1112">
        <f>IF(COUNT($E$2:$E1112)&lt;14,"",MIN($D$1099:$D$1112))</f>
        <v>0</v>
      </c>
      <c r="V1112">
        <f>IF(OR(T1112="",U1112="",T1112=U1112),"",100*($E1112-U1112)/(T1112-U1112))</f>
        <v>0</v>
      </c>
      <c r="W1112">
        <f>IF(COUNT($V$1110:$V$1112)&lt;3,"",AVERAGE($V$1110:$V$1112))</f>
        <v>0</v>
      </c>
      <c r="X1112">
        <f>IF(COUNT($N$1099:$N$1112)&lt;14,"",MIN($N$1099:$N$1112))</f>
        <v>0</v>
      </c>
      <c r="Y1112">
        <f>IF(COUNT($N$1099:$N$1112)&lt;14,"",MAX($N$1099:$N$1112))</f>
        <v>0</v>
      </c>
      <c r="Z1112">
        <f>IF(OR(N1112="",X1112="",Y1112="",Y1112=X1112),"",100*(N1112-X1112)/(Y1112-X1112))</f>
        <v>0</v>
      </c>
      <c r="AA1112">
        <f>IF(COUNT($Z$1110:$Z$1112)&lt;3,"",AVERAGE($Z$1110:$Z$1112))</f>
        <v>0</v>
      </c>
      <c r="AB1112">
        <f>IF(COUNT($AA$1110:$AA$1112)&lt;3,"",AVERAGE($AA$1110:$AA$1112))</f>
        <v>0</v>
      </c>
      <c r="AC1112">
        <f>IF($E1112="","",MAX($C1112-$D1112,ABS($C1112-$E1111),ABS($D1112-$E1111)))</f>
        <v>0</v>
      </c>
      <c r="AD1112">
        <f>IF(COUNT($E$2:$E1112)&lt;15,"",AVERAGE($AC$1099:$AC$1112))</f>
        <v>0</v>
      </c>
      <c r="AE1112">
        <f>IF(OR($E1112="",$E1111=""),"",IF(AND(($C1112-$C1111)&gt;($D1111-$D1112),($C1112-$C1111)&gt;0),$C1112-$C1111,0))</f>
        <v>0</v>
      </c>
      <c r="AF1112">
        <f>IF(OR($E1112="",$E1111=""),"",IF(AND(($D1111-$D1112)&gt;($C1112-$C1111),($D1111-$D1112)&gt;0),$D1111-$D1112,0))</f>
        <v>0</v>
      </c>
      <c r="AG1112">
        <f>IF(COUNT($E$2:$E1112)&lt;15,"",IF(SUM($AC$1099:$AC$1112)=0,0,100*SUM($AE$1099:$AE$1112)/SUM($AC$1099:$AC$1112)))</f>
        <v>0</v>
      </c>
      <c r="AH1112">
        <f>IF(COUNT($E$2:$E1112)&lt;15,"",IF(SUM($AC$1099:$AC$1112)=0,0,100*SUM($AF$1099:$AF$1112)/SUM($AC$1099:$AC$1112)))</f>
        <v>0</v>
      </c>
      <c r="AI1112">
        <f>IF(OR(AG1112="",AH1112=""),"",IF((AG1112+AH1112)=0,0,100*ABS(AG1112-AH1112)/(AG1112+AH1112)))</f>
        <v>0</v>
      </c>
      <c r="AJ1112">
        <f>IF(COUNT($AI$1099:$AI$1112)&lt;14,"",AVERAGE($AI$1099:$AI$1112))</f>
        <v>0</v>
      </c>
      <c r="AK1112">
        <f>IF(COUNT($E$2:$E1112)&lt;20,"",AVERAGE($E$1093:$E$1112))</f>
        <v>0</v>
      </c>
      <c r="AL1112">
        <f>IF(COUNT($E$2:$E1112)&lt;20,"",STDEVP($E$1093:$E$1112))</f>
        <v>0</v>
      </c>
      <c r="AM1112">
        <f>IF(AK1112="","",AK1112+2*AL1112)</f>
        <v>0</v>
      </c>
      <c r="AN1112">
        <f>IF(AK1112="","",AK1112-2*AL1112)</f>
        <v>0</v>
      </c>
      <c r="AO1112">
        <f>IF(OR(AM1112="",AN1112="",AM1112=AN1112),"",($E1112-AN1112)/(AM1112-AN1112))</f>
        <v>0</v>
      </c>
      <c r="AP1112">
        <f>IF(OR(AM1112="",AK1112="",AK1112=0),"",(AM1112-AN1112)/AK1112)</f>
        <v>0</v>
      </c>
      <c r="AQ1112">
        <f>IF(COUNT($E$2:$E1112)&lt;20,"",MAX($C$1093:$C$1112))</f>
        <v>0</v>
      </c>
      <c r="AR1112">
        <f>IF(COUNT($E$2:$E1112)&lt;20,"",MIN($D$1093:$D$1112))</f>
        <v>0</v>
      </c>
      <c r="AS1112">
        <f>IF(OR(AQ1112="",AR1112=""),"",(AQ1112+AR1112)/2)</f>
        <v>0</v>
      </c>
      <c r="AT1112">
        <f>IF(COUNT($G$1093:$G$1112)&lt;20,"",STDEV($G$1093:$G$1112)*SQRT(252))</f>
        <v>0</v>
      </c>
      <c r="AU1112">
        <f>IF(COUNT($E$2:$E1112)&lt;9,"",(MAX($C$1104:$C$1112)+MIN($D$1104:$D$1112))/2)</f>
        <v>0</v>
      </c>
      <c r="AV1112">
        <f>IF(COUNT($E$2:$E1112)&lt;26,"",(MAX($C$1087:$C$1112)+MIN($D$1087:$D$1112))/2)</f>
        <v>0</v>
      </c>
      <c r="AW1112">
        <f>IF(OR(AU1112="",AV1112=""),"",(AU1112+AV1112)/2)</f>
        <v>0</v>
      </c>
      <c r="AX1112">
        <f>IF(COUNT($E$2:$E1112)&lt;52,"",(MAX($C$1061:$C$1112)+MIN($D$1061:$D$1112))/2)</f>
        <v>0</v>
      </c>
      <c r="AY1112">
        <f>IF(COUNT($E$2:$E1112)&lt;20,"",MAX($C$1013:$C$1112))</f>
        <v>0</v>
      </c>
      <c r="AZ1112">
        <f>IF(COUNT($E$2:$E1112)&lt;20,"",MIN($D$1013:$D$1112))</f>
        <v>0</v>
      </c>
      <c r="BA1112">
        <f>IF(COUNT($E$2:$E1112)&lt;20,"",SLOPE($E$1013:$E$1112,$F$1013:$F$1112))</f>
        <v>0</v>
      </c>
      <c r="BB1112">
        <f>IF(COUNT($E$2:$E1112)&lt;20,"",INTERCEPT($E$1013:$E$1112,$F$1013:$F$1112))</f>
        <v>0</v>
      </c>
      <c r="BC1112">
        <f>IF(OR(BA1112="",BB1112=""),"",BB1112+BA1112*F1112)</f>
        <v>0</v>
      </c>
      <c r="BD1112">
        <f>IF(COUNT($E$2:$E1112)&lt;20,"",STEYX($E$1013:$E$1112,$F$1013:$F$1112))</f>
        <v>0</v>
      </c>
      <c r="BE1112">
        <f>IF($E1112="","",IF(AND(COUNT($E$1113:$E$1116)&gt;=4,$C1112=MAX($C$1108:$C$1116)),$C1112,""))</f>
        <v>0</v>
      </c>
      <c r="BF1112">
        <f>IF($E1112="","",IF(AND(COUNT($E$1113:$E$1116)&gt;=4,$D1112=MIN($D$1108:$D$1116)),$D1112,""))</f>
        <v>0</v>
      </c>
      <c r="BG1112">
        <f>IF($A1112="","",$A1112-WEEKDAY($A1112,2)+1)</f>
        <v>0</v>
      </c>
      <c r="BH1112">
        <f>IF($A1112="","",IF($A1111="",1,IF(BG1112&lt;&gt;BG1111,1,0)))</f>
        <v>0</v>
      </c>
      <c r="BI1112">
        <f>IF($A1112="","",IF($A1113="",1,IF(BG1113&lt;&gt;BG1112,1,0)))</f>
        <v>0</v>
      </c>
      <c r="BJ1112">
        <f>IF($A1112="","",IF(BH1112=1,$B1112,BJ1111))</f>
        <v>0</v>
      </c>
      <c r="BK1112">
        <f>IF($A1112="","",IF(BH1112=1,$C1112,MAX($C1112,BK1111)))</f>
        <v>0</v>
      </c>
      <c r="BL1112">
        <f>IF($A1112="","",IF(BH1112=1,$D1112,MIN($D1112,BL1111)))</f>
        <v>0</v>
      </c>
      <c r="BM1112">
        <f>IF($A1112="","",IF(BI1112=1,F1112,""))</f>
        <v>0</v>
      </c>
      <c r="BN1112">
        <f>IF($A1112="","",DATE(YEAR($A1112),MONTH($A1112),1))</f>
        <v>0</v>
      </c>
      <c r="BO1112">
        <f>IF($A1112="","",IF($A1111="",1,IF(BN1112&lt;&gt;BN1111,1,0)))</f>
        <v>0</v>
      </c>
      <c r="BP1112">
        <f>IF($A1112="","",IF($A1113="",1,IF(BN1113&lt;&gt;BN1112,1,0)))</f>
        <v>0</v>
      </c>
      <c r="BQ1112">
        <f>IF($A1112="","",IF(BO1112=1,$B1112,BQ1111))</f>
        <v>0</v>
      </c>
      <c r="BR1112">
        <f>IF($A1112="","",IF(BO1112=1,$C1112,MAX($C1112,BR1111)))</f>
        <v>0</v>
      </c>
      <c r="BS1112">
        <f>IF($A1112="","",IF(BO1112=1,$D1112,MIN($D1112,BS1111)))</f>
        <v>0</v>
      </c>
      <c r="BT1112">
        <f>IF($A1112="","",IF(BP1112=1,F1112,""))</f>
        <v>0</v>
      </c>
    </row>
    <row r="1113" spans="1:72">
      <c r="A1113" s="27">
        <f>IF(Data!$A1113="","",Data!$A1113)</f>
        <v>0</v>
      </c>
      <c r="B1113">
        <f>IF(Data!$B1113="","",Data!$B1113)</f>
        <v>0</v>
      </c>
      <c r="C1113">
        <f>IF(Data!$C1113="","",Data!$C1113)</f>
        <v>0</v>
      </c>
      <c r="D1113">
        <f>IF(Data!$D1113="","",Data!$D1113)</f>
        <v>0</v>
      </c>
      <c r="E1113">
        <f>IF(Data!$E1113="","",Data!$E1113)</f>
        <v>0</v>
      </c>
      <c r="F1113">
        <f>IF($E1113="","",N(F1112)+1)</f>
        <v>0</v>
      </c>
      <c r="G1113">
        <f>IF(OR($E1113="",$E1112=""),"",LN($E1113/$E1112))</f>
        <v>0</v>
      </c>
      <c r="H1113">
        <f>IF($E1113="","",IF($E1112="",$E1113,$E1113*0.0952380952+H1112*0.9047619048))</f>
        <v>0</v>
      </c>
      <c r="I1113">
        <f>IF($E1113="","",IF($E1112="",$E1113,$E1113*0.0392156863+I1112*0.9607843137))</f>
        <v>0</v>
      </c>
      <c r="J1113">
        <f>IF($E1113="","",IF($E1112="",$E1113,$E1113*0.0198019802+J1112*0.9801980198))</f>
        <v>0</v>
      </c>
      <c r="K1113">
        <f>IF($E1113="","",IF($E1112="",$E1113,$E1113*0.0099502488+K1112*0.9900497512))</f>
        <v>0</v>
      </c>
      <c r="L1113">
        <f>IF(OR($E1113="",$E1112=""),"",MAX($E1113-$E1112,0))</f>
        <v>0</v>
      </c>
      <c r="M1113">
        <f>IF(OR($E1113="",$E1112=""),"",MAX($E1112-$E1113,0))</f>
        <v>0</v>
      </c>
      <c r="N1113">
        <f>IF(COUNT($E$2:$E1113)&lt;15,"",IF(AVERAGE($M$1100:$M$1113)=0,100,100-100/(1+AVERAGE($L$1100:$L$1113)/AVERAGE($M$1100:$M$1113))))</f>
        <v>0</v>
      </c>
      <c r="O1113">
        <f>IF($E1113="","",IF($E1112="",$E1113,$E1113*0.1538461538+O1112*0.8461538462))</f>
        <v>0</v>
      </c>
      <c r="P1113">
        <f>IF($E1113="","",IF($E1112="",$E1113,$E1113*0.0740740741+P1112*0.9259259259))</f>
        <v>0</v>
      </c>
      <c r="Q1113">
        <f>IF(OR(O1113="",P1113=""),"",O1113-P1113)</f>
        <v>0</v>
      </c>
      <c r="R1113">
        <f>IF(Q1113="","",IF(R1112="",Q1113,Q1113*0.2000000000+R1112*0.8000000000))</f>
        <v>0</v>
      </c>
      <c r="S1113">
        <f>IF(OR(Q1113="",R1113=""),"",Q1113-R1113)</f>
        <v>0</v>
      </c>
      <c r="T1113">
        <f>IF(COUNT($E$2:$E1113)&lt;14,"",MAX($C$1100:$C$1113))</f>
        <v>0</v>
      </c>
      <c r="U1113">
        <f>IF(COUNT($E$2:$E1113)&lt;14,"",MIN($D$1100:$D$1113))</f>
        <v>0</v>
      </c>
      <c r="V1113">
        <f>IF(OR(T1113="",U1113="",T1113=U1113),"",100*($E1113-U1113)/(T1113-U1113))</f>
        <v>0</v>
      </c>
      <c r="W1113">
        <f>IF(COUNT($V$1111:$V$1113)&lt;3,"",AVERAGE($V$1111:$V$1113))</f>
        <v>0</v>
      </c>
      <c r="X1113">
        <f>IF(COUNT($N$1100:$N$1113)&lt;14,"",MIN($N$1100:$N$1113))</f>
        <v>0</v>
      </c>
      <c r="Y1113">
        <f>IF(COUNT($N$1100:$N$1113)&lt;14,"",MAX($N$1100:$N$1113))</f>
        <v>0</v>
      </c>
      <c r="Z1113">
        <f>IF(OR(N1113="",X1113="",Y1113="",Y1113=X1113),"",100*(N1113-X1113)/(Y1113-X1113))</f>
        <v>0</v>
      </c>
      <c r="AA1113">
        <f>IF(COUNT($Z$1111:$Z$1113)&lt;3,"",AVERAGE($Z$1111:$Z$1113))</f>
        <v>0</v>
      </c>
      <c r="AB1113">
        <f>IF(COUNT($AA$1111:$AA$1113)&lt;3,"",AVERAGE($AA$1111:$AA$1113))</f>
        <v>0</v>
      </c>
      <c r="AC1113">
        <f>IF($E1113="","",MAX($C1113-$D1113,ABS($C1113-$E1112),ABS($D1113-$E1112)))</f>
        <v>0</v>
      </c>
      <c r="AD1113">
        <f>IF(COUNT($E$2:$E1113)&lt;15,"",AVERAGE($AC$1100:$AC$1113))</f>
        <v>0</v>
      </c>
      <c r="AE1113">
        <f>IF(OR($E1113="",$E1112=""),"",IF(AND(($C1113-$C1112)&gt;($D1112-$D1113),($C1113-$C1112)&gt;0),$C1113-$C1112,0))</f>
        <v>0</v>
      </c>
      <c r="AF1113">
        <f>IF(OR($E1113="",$E1112=""),"",IF(AND(($D1112-$D1113)&gt;($C1113-$C1112),($D1112-$D1113)&gt;0),$D1112-$D1113,0))</f>
        <v>0</v>
      </c>
      <c r="AG1113">
        <f>IF(COUNT($E$2:$E1113)&lt;15,"",IF(SUM($AC$1100:$AC$1113)=0,0,100*SUM($AE$1100:$AE$1113)/SUM($AC$1100:$AC$1113)))</f>
        <v>0</v>
      </c>
      <c r="AH1113">
        <f>IF(COUNT($E$2:$E1113)&lt;15,"",IF(SUM($AC$1100:$AC$1113)=0,0,100*SUM($AF$1100:$AF$1113)/SUM($AC$1100:$AC$1113)))</f>
        <v>0</v>
      </c>
      <c r="AI1113">
        <f>IF(OR(AG1113="",AH1113=""),"",IF((AG1113+AH1113)=0,0,100*ABS(AG1113-AH1113)/(AG1113+AH1113)))</f>
        <v>0</v>
      </c>
      <c r="AJ1113">
        <f>IF(COUNT($AI$1100:$AI$1113)&lt;14,"",AVERAGE($AI$1100:$AI$1113))</f>
        <v>0</v>
      </c>
      <c r="AK1113">
        <f>IF(COUNT($E$2:$E1113)&lt;20,"",AVERAGE($E$1094:$E$1113))</f>
        <v>0</v>
      </c>
      <c r="AL1113">
        <f>IF(COUNT($E$2:$E1113)&lt;20,"",STDEVP($E$1094:$E$1113))</f>
        <v>0</v>
      </c>
      <c r="AM1113">
        <f>IF(AK1113="","",AK1113+2*AL1113)</f>
        <v>0</v>
      </c>
      <c r="AN1113">
        <f>IF(AK1113="","",AK1113-2*AL1113)</f>
        <v>0</v>
      </c>
      <c r="AO1113">
        <f>IF(OR(AM1113="",AN1113="",AM1113=AN1113),"",($E1113-AN1113)/(AM1113-AN1113))</f>
        <v>0</v>
      </c>
      <c r="AP1113">
        <f>IF(OR(AM1113="",AK1113="",AK1113=0),"",(AM1113-AN1113)/AK1113)</f>
        <v>0</v>
      </c>
      <c r="AQ1113">
        <f>IF(COUNT($E$2:$E1113)&lt;20,"",MAX($C$1094:$C$1113))</f>
        <v>0</v>
      </c>
      <c r="AR1113">
        <f>IF(COUNT($E$2:$E1113)&lt;20,"",MIN($D$1094:$D$1113))</f>
        <v>0</v>
      </c>
      <c r="AS1113">
        <f>IF(OR(AQ1113="",AR1113=""),"",(AQ1113+AR1113)/2)</f>
        <v>0</v>
      </c>
      <c r="AT1113">
        <f>IF(COUNT($G$1094:$G$1113)&lt;20,"",STDEV($G$1094:$G$1113)*SQRT(252))</f>
        <v>0</v>
      </c>
      <c r="AU1113">
        <f>IF(COUNT($E$2:$E1113)&lt;9,"",(MAX($C$1105:$C$1113)+MIN($D$1105:$D$1113))/2)</f>
        <v>0</v>
      </c>
      <c r="AV1113">
        <f>IF(COUNT($E$2:$E1113)&lt;26,"",(MAX($C$1088:$C$1113)+MIN($D$1088:$D$1113))/2)</f>
        <v>0</v>
      </c>
      <c r="AW1113">
        <f>IF(OR(AU1113="",AV1113=""),"",(AU1113+AV1113)/2)</f>
        <v>0</v>
      </c>
      <c r="AX1113">
        <f>IF(COUNT($E$2:$E1113)&lt;52,"",(MAX($C$1062:$C$1113)+MIN($D$1062:$D$1113))/2)</f>
        <v>0</v>
      </c>
      <c r="AY1113">
        <f>IF(COUNT($E$2:$E1113)&lt;20,"",MAX($C$1014:$C$1113))</f>
        <v>0</v>
      </c>
      <c r="AZ1113">
        <f>IF(COUNT($E$2:$E1113)&lt;20,"",MIN($D$1014:$D$1113))</f>
        <v>0</v>
      </c>
      <c r="BA1113">
        <f>IF(COUNT($E$2:$E1113)&lt;20,"",SLOPE($E$1014:$E$1113,$F$1014:$F$1113))</f>
        <v>0</v>
      </c>
      <c r="BB1113">
        <f>IF(COUNT($E$2:$E1113)&lt;20,"",INTERCEPT($E$1014:$E$1113,$F$1014:$F$1113))</f>
        <v>0</v>
      </c>
      <c r="BC1113">
        <f>IF(OR(BA1113="",BB1113=""),"",BB1113+BA1113*F1113)</f>
        <v>0</v>
      </c>
      <c r="BD1113">
        <f>IF(COUNT($E$2:$E1113)&lt;20,"",STEYX($E$1014:$E$1113,$F$1014:$F$1113))</f>
        <v>0</v>
      </c>
      <c r="BE1113">
        <f>IF($E1113="","",IF(AND(COUNT($E$1114:$E$1117)&gt;=4,$C1113=MAX($C$1109:$C$1117)),$C1113,""))</f>
        <v>0</v>
      </c>
      <c r="BF1113">
        <f>IF($E1113="","",IF(AND(COUNT($E$1114:$E$1117)&gt;=4,$D1113=MIN($D$1109:$D$1117)),$D1113,""))</f>
        <v>0</v>
      </c>
      <c r="BG1113">
        <f>IF($A1113="","",$A1113-WEEKDAY($A1113,2)+1)</f>
        <v>0</v>
      </c>
      <c r="BH1113">
        <f>IF($A1113="","",IF($A1112="",1,IF(BG1113&lt;&gt;BG1112,1,0)))</f>
        <v>0</v>
      </c>
      <c r="BI1113">
        <f>IF($A1113="","",IF($A1114="",1,IF(BG1114&lt;&gt;BG1113,1,0)))</f>
        <v>0</v>
      </c>
      <c r="BJ1113">
        <f>IF($A1113="","",IF(BH1113=1,$B1113,BJ1112))</f>
        <v>0</v>
      </c>
      <c r="BK1113">
        <f>IF($A1113="","",IF(BH1113=1,$C1113,MAX($C1113,BK1112)))</f>
        <v>0</v>
      </c>
      <c r="BL1113">
        <f>IF($A1113="","",IF(BH1113=1,$D1113,MIN($D1113,BL1112)))</f>
        <v>0</v>
      </c>
      <c r="BM1113">
        <f>IF($A1113="","",IF(BI1113=1,F1113,""))</f>
        <v>0</v>
      </c>
      <c r="BN1113">
        <f>IF($A1113="","",DATE(YEAR($A1113),MONTH($A1113),1))</f>
        <v>0</v>
      </c>
      <c r="BO1113">
        <f>IF($A1113="","",IF($A1112="",1,IF(BN1113&lt;&gt;BN1112,1,0)))</f>
        <v>0</v>
      </c>
      <c r="BP1113">
        <f>IF($A1113="","",IF($A1114="",1,IF(BN1114&lt;&gt;BN1113,1,0)))</f>
        <v>0</v>
      </c>
      <c r="BQ1113">
        <f>IF($A1113="","",IF(BO1113=1,$B1113,BQ1112))</f>
        <v>0</v>
      </c>
      <c r="BR1113">
        <f>IF($A1113="","",IF(BO1113=1,$C1113,MAX($C1113,BR1112)))</f>
        <v>0</v>
      </c>
      <c r="BS1113">
        <f>IF($A1113="","",IF(BO1113=1,$D1113,MIN($D1113,BS1112)))</f>
        <v>0</v>
      </c>
      <c r="BT1113">
        <f>IF($A1113="","",IF(BP1113=1,F1113,""))</f>
        <v>0</v>
      </c>
    </row>
    <row r="1114" spans="1:72">
      <c r="A1114" s="27">
        <f>IF(Data!$A1114="","",Data!$A1114)</f>
        <v>0</v>
      </c>
      <c r="B1114">
        <f>IF(Data!$B1114="","",Data!$B1114)</f>
        <v>0</v>
      </c>
      <c r="C1114">
        <f>IF(Data!$C1114="","",Data!$C1114)</f>
        <v>0</v>
      </c>
      <c r="D1114">
        <f>IF(Data!$D1114="","",Data!$D1114)</f>
        <v>0</v>
      </c>
      <c r="E1114">
        <f>IF(Data!$E1114="","",Data!$E1114)</f>
        <v>0</v>
      </c>
      <c r="F1114">
        <f>IF($E1114="","",N(F1113)+1)</f>
        <v>0</v>
      </c>
      <c r="G1114">
        <f>IF(OR($E1114="",$E1113=""),"",LN($E1114/$E1113))</f>
        <v>0</v>
      </c>
      <c r="H1114">
        <f>IF($E1114="","",IF($E1113="",$E1114,$E1114*0.0952380952+H1113*0.9047619048))</f>
        <v>0</v>
      </c>
      <c r="I1114">
        <f>IF($E1114="","",IF($E1113="",$E1114,$E1114*0.0392156863+I1113*0.9607843137))</f>
        <v>0</v>
      </c>
      <c r="J1114">
        <f>IF($E1114="","",IF($E1113="",$E1114,$E1114*0.0198019802+J1113*0.9801980198))</f>
        <v>0</v>
      </c>
      <c r="K1114">
        <f>IF($E1114="","",IF($E1113="",$E1114,$E1114*0.0099502488+K1113*0.9900497512))</f>
        <v>0</v>
      </c>
      <c r="L1114">
        <f>IF(OR($E1114="",$E1113=""),"",MAX($E1114-$E1113,0))</f>
        <v>0</v>
      </c>
      <c r="M1114">
        <f>IF(OR($E1114="",$E1113=""),"",MAX($E1113-$E1114,0))</f>
        <v>0</v>
      </c>
      <c r="N1114">
        <f>IF(COUNT($E$2:$E1114)&lt;15,"",IF(AVERAGE($M$1101:$M$1114)=0,100,100-100/(1+AVERAGE($L$1101:$L$1114)/AVERAGE($M$1101:$M$1114))))</f>
        <v>0</v>
      </c>
      <c r="O1114">
        <f>IF($E1114="","",IF($E1113="",$E1114,$E1114*0.1538461538+O1113*0.8461538462))</f>
        <v>0</v>
      </c>
      <c r="P1114">
        <f>IF($E1114="","",IF($E1113="",$E1114,$E1114*0.0740740741+P1113*0.9259259259))</f>
        <v>0</v>
      </c>
      <c r="Q1114">
        <f>IF(OR(O1114="",P1114=""),"",O1114-P1114)</f>
        <v>0</v>
      </c>
      <c r="R1114">
        <f>IF(Q1114="","",IF(R1113="",Q1114,Q1114*0.2000000000+R1113*0.8000000000))</f>
        <v>0</v>
      </c>
      <c r="S1114">
        <f>IF(OR(Q1114="",R1114=""),"",Q1114-R1114)</f>
        <v>0</v>
      </c>
      <c r="T1114">
        <f>IF(COUNT($E$2:$E1114)&lt;14,"",MAX($C$1101:$C$1114))</f>
        <v>0</v>
      </c>
      <c r="U1114">
        <f>IF(COUNT($E$2:$E1114)&lt;14,"",MIN($D$1101:$D$1114))</f>
        <v>0</v>
      </c>
      <c r="V1114">
        <f>IF(OR(T1114="",U1114="",T1114=U1114),"",100*($E1114-U1114)/(T1114-U1114))</f>
        <v>0</v>
      </c>
      <c r="W1114">
        <f>IF(COUNT($V$1112:$V$1114)&lt;3,"",AVERAGE($V$1112:$V$1114))</f>
        <v>0</v>
      </c>
      <c r="X1114">
        <f>IF(COUNT($N$1101:$N$1114)&lt;14,"",MIN($N$1101:$N$1114))</f>
        <v>0</v>
      </c>
      <c r="Y1114">
        <f>IF(COUNT($N$1101:$N$1114)&lt;14,"",MAX($N$1101:$N$1114))</f>
        <v>0</v>
      </c>
      <c r="Z1114">
        <f>IF(OR(N1114="",X1114="",Y1114="",Y1114=X1114),"",100*(N1114-X1114)/(Y1114-X1114))</f>
        <v>0</v>
      </c>
      <c r="AA1114">
        <f>IF(COUNT($Z$1112:$Z$1114)&lt;3,"",AVERAGE($Z$1112:$Z$1114))</f>
        <v>0</v>
      </c>
      <c r="AB1114">
        <f>IF(COUNT($AA$1112:$AA$1114)&lt;3,"",AVERAGE($AA$1112:$AA$1114))</f>
        <v>0</v>
      </c>
      <c r="AC1114">
        <f>IF($E1114="","",MAX($C1114-$D1114,ABS($C1114-$E1113),ABS($D1114-$E1113)))</f>
        <v>0</v>
      </c>
      <c r="AD1114">
        <f>IF(COUNT($E$2:$E1114)&lt;15,"",AVERAGE($AC$1101:$AC$1114))</f>
        <v>0</v>
      </c>
      <c r="AE1114">
        <f>IF(OR($E1114="",$E1113=""),"",IF(AND(($C1114-$C1113)&gt;($D1113-$D1114),($C1114-$C1113)&gt;0),$C1114-$C1113,0))</f>
        <v>0</v>
      </c>
      <c r="AF1114">
        <f>IF(OR($E1114="",$E1113=""),"",IF(AND(($D1113-$D1114)&gt;($C1114-$C1113),($D1113-$D1114)&gt;0),$D1113-$D1114,0))</f>
        <v>0</v>
      </c>
      <c r="AG1114">
        <f>IF(COUNT($E$2:$E1114)&lt;15,"",IF(SUM($AC$1101:$AC$1114)=0,0,100*SUM($AE$1101:$AE$1114)/SUM($AC$1101:$AC$1114)))</f>
        <v>0</v>
      </c>
      <c r="AH1114">
        <f>IF(COUNT($E$2:$E1114)&lt;15,"",IF(SUM($AC$1101:$AC$1114)=0,0,100*SUM($AF$1101:$AF$1114)/SUM($AC$1101:$AC$1114)))</f>
        <v>0</v>
      </c>
      <c r="AI1114">
        <f>IF(OR(AG1114="",AH1114=""),"",IF((AG1114+AH1114)=0,0,100*ABS(AG1114-AH1114)/(AG1114+AH1114)))</f>
        <v>0</v>
      </c>
      <c r="AJ1114">
        <f>IF(COUNT($AI$1101:$AI$1114)&lt;14,"",AVERAGE($AI$1101:$AI$1114))</f>
        <v>0</v>
      </c>
      <c r="AK1114">
        <f>IF(COUNT($E$2:$E1114)&lt;20,"",AVERAGE($E$1095:$E$1114))</f>
        <v>0</v>
      </c>
      <c r="AL1114">
        <f>IF(COUNT($E$2:$E1114)&lt;20,"",STDEVP($E$1095:$E$1114))</f>
        <v>0</v>
      </c>
      <c r="AM1114">
        <f>IF(AK1114="","",AK1114+2*AL1114)</f>
        <v>0</v>
      </c>
      <c r="AN1114">
        <f>IF(AK1114="","",AK1114-2*AL1114)</f>
        <v>0</v>
      </c>
      <c r="AO1114">
        <f>IF(OR(AM1114="",AN1114="",AM1114=AN1114),"",($E1114-AN1114)/(AM1114-AN1114))</f>
        <v>0</v>
      </c>
      <c r="AP1114">
        <f>IF(OR(AM1114="",AK1114="",AK1114=0),"",(AM1114-AN1114)/AK1114)</f>
        <v>0</v>
      </c>
      <c r="AQ1114">
        <f>IF(COUNT($E$2:$E1114)&lt;20,"",MAX($C$1095:$C$1114))</f>
        <v>0</v>
      </c>
      <c r="AR1114">
        <f>IF(COUNT($E$2:$E1114)&lt;20,"",MIN($D$1095:$D$1114))</f>
        <v>0</v>
      </c>
      <c r="AS1114">
        <f>IF(OR(AQ1114="",AR1114=""),"",(AQ1114+AR1114)/2)</f>
        <v>0</v>
      </c>
      <c r="AT1114">
        <f>IF(COUNT($G$1095:$G$1114)&lt;20,"",STDEV($G$1095:$G$1114)*SQRT(252))</f>
        <v>0</v>
      </c>
      <c r="AU1114">
        <f>IF(COUNT($E$2:$E1114)&lt;9,"",(MAX($C$1106:$C$1114)+MIN($D$1106:$D$1114))/2)</f>
        <v>0</v>
      </c>
      <c r="AV1114">
        <f>IF(COUNT($E$2:$E1114)&lt;26,"",(MAX($C$1089:$C$1114)+MIN($D$1089:$D$1114))/2)</f>
        <v>0</v>
      </c>
      <c r="AW1114">
        <f>IF(OR(AU1114="",AV1114=""),"",(AU1114+AV1114)/2)</f>
        <v>0</v>
      </c>
      <c r="AX1114">
        <f>IF(COUNT($E$2:$E1114)&lt;52,"",(MAX($C$1063:$C$1114)+MIN($D$1063:$D$1114))/2)</f>
        <v>0</v>
      </c>
      <c r="AY1114">
        <f>IF(COUNT($E$2:$E1114)&lt;20,"",MAX($C$1015:$C$1114))</f>
        <v>0</v>
      </c>
      <c r="AZ1114">
        <f>IF(COUNT($E$2:$E1114)&lt;20,"",MIN($D$1015:$D$1114))</f>
        <v>0</v>
      </c>
      <c r="BA1114">
        <f>IF(COUNT($E$2:$E1114)&lt;20,"",SLOPE($E$1015:$E$1114,$F$1015:$F$1114))</f>
        <v>0</v>
      </c>
      <c r="BB1114">
        <f>IF(COUNT($E$2:$E1114)&lt;20,"",INTERCEPT($E$1015:$E$1114,$F$1015:$F$1114))</f>
        <v>0</v>
      </c>
      <c r="BC1114">
        <f>IF(OR(BA1114="",BB1114=""),"",BB1114+BA1114*F1114)</f>
        <v>0</v>
      </c>
      <c r="BD1114">
        <f>IF(COUNT($E$2:$E1114)&lt;20,"",STEYX($E$1015:$E$1114,$F$1015:$F$1114))</f>
        <v>0</v>
      </c>
      <c r="BE1114">
        <f>IF($E1114="","",IF(AND(COUNT($E$1115:$E$1118)&gt;=4,$C1114=MAX($C$1110:$C$1118)),$C1114,""))</f>
        <v>0</v>
      </c>
      <c r="BF1114">
        <f>IF($E1114="","",IF(AND(COUNT($E$1115:$E$1118)&gt;=4,$D1114=MIN($D$1110:$D$1118)),$D1114,""))</f>
        <v>0</v>
      </c>
      <c r="BG1114">
        <f>IF($A1114="","",$A1114-WEEKDAY($A1114,2)+1)</f>
        <v>0</v>
      </c>
      <c r="BH1114">
        <f>IF($A1114="","",IF($A1113="",1,IF(BG1114&lt;&gt;BG1113,1,0)))</f>
        <v>0</v>
      </c>
      <c r="BI1114">
        <f>IF($A1114="","",IF($A1115="",1,IF(BG1115&lt;&gt;BG1114,1,0)))</f>
        <v>0</v>
      </c>
      <c r="BJ1114">
        <f>IF($A1114="","",IF(BH1114=1,$B1114,BJ1113))</f>
        <v>0</v>
      </c>
      <c r="BK1114">
        <f>IF($A1114="","",IF(BH1114=1,$C1114,MAX($C1114,BK1113)))</f>
        <v>0</v>
      </c>
      <c r="BL1114">
        <f>IF($A1114="","",IF(BH1114=1,$D1114,MIN($D1114,BL1113)))</f>
        <v>0</v>
      </c>
      <c r="BM1114">
        <f>IF($A1114="","",IF(BI1114=1,F1114,""))</f>
        <v>0</v>
      </c>
      <c r="BN1114">
        <f>IF($A1114="","",DATE(YEAR($A1114),MONTH($A1114),1))</f>
        <v>0</v>
      </c>
      <c r="BO1114">
        <f>IF($A1114="","",IF($A1113="",1,IF(BN1114&lt;&gt;BN1113,1,0)))</f>
        <v>0</v>
      </c>
      <c r="BP1114">
        <f>IF($A1114="","",IF($A1115="",1,IF(BN1115&lt;&gt;BN1114,1,0)))</f>
        <v>0</v>
      </c>
      <c r="BQ1114">
        <f>IF($A1114="","",IF(BO1114=1,$B1114,BQ1113))</f>
        <v>0</v>
      </c>
      <c r="BR1114">
        <f>IF($A1114="","",IF(BO1114=1,$C1114,MAX($C1114,BR1113)))</f>
        <v>0</v>
      </c>
      <c r="BS1114">
        <f>IF($A1114="","",IF(BO1114=1,$D1114,MIN($D1114,BS1113)))</f>
        <v>0</v>
      </c>
      <c r="BT1114">
        <f>IF($A1114="","",IF(BP1114=1,F1114,""))</f>
        <v>0</v>
      </c>
    </row>
    <row r="1115" spans="1:72">
      <c r="A1115" s="27">
        <f>IF(Data!$A1115="","",Data!$A1115)</f>
        <v>0</v>
      </c>
      <c r="B1115">
        <f>IF(Data!$B1115="","",Data!$B1115)</f>
        <v>0</v>
      </c>
      <c r="C1115">
        <f>IF(Data!$C1115="","",Data!$C1115)</f>
        <v>0</v>
      </c>
      <c r="D1115">
        <f>IF(Data!$D1115="","",Data!$D1115)</f>
        <v>0</v>
      </c>
      <c r="E1115">
        <f>IF(Data!$E1115="","",Data!$E1115)</f>
        <v>0</v>
      </c>
      <c r="F1115">
        <f>IF($E1115="","",N(F1114)+1)</f>
        <v>0</v>
      </c>
      <c r="G1115">
        <f>IF(OR($E1115="",$E1114=""),"",LN($E1115/$E1114))</f>
        <v>0</v>
      </c>
      <c r="H1115">
        <f>IF($E1115="","",IF($E1114="",$E1115,$E1115*0.0952380952+H1114*0.9047619048))</f>
        <v>0</v>
      </c>
      <c r="I1115">
        <f>IF($E1115="","",IF($E1114="",$E1115,$E1115*0.0392156863+I1114*0.9607843137))</f>
        <v>0</v>
      </c>
      <c r="J1115">
        <f>IF($E1115="","",IF($E1114="",$E1115,$E1115*0.0198019802+J1114*0.9801980198))</f>
        <v>0</v>
      </c>
      <c r="K1115">
        <f>IF($E1115="","",IF($E1114="",$E1115,$E1115*0.0099502488+K1114*0.9900497512))</f>
        <v>0</v>
      </c>
      <c r="L1115">
        <f>IF(OR($E1115="",$E1114=""),"",MAX($E1115-$E1114,0))</f>
        <v>0</v>
      </c>
      <c r="M1115">
        <f>IF(OR($E1115="",$E1114=""),"",MAX($E1114-$E1115,0))</f>
        <v>0</v>
      </c>
      <c r="N1115">
        <f>IF(COUNT($E$2:$E1115)&lt;15,"",IF(AVERAGE($M$1102:$M$1115)=0,100,100-100/(1+AVERAGE($L$1102:$L$1115)/AVERAGE($M$1102:$M$1115))))</f>
        <v>0</v>
      </c>
      <c r="O1115">
        <f>IF($E1115="","",IF($E1114="",$E1115,$E1115*0.1538461538+O1114*0.8461538462))</f>
        <v>0</v>
      </c>
      <c r="P1115">
        <f>IF($E1115="","",IF($E1114="",$E1115,$E1115*0.0740740741+P1114*0.9259259259))</f>
        <v>0</v>
      </c>
      <c r="Q1115">
        <f>IF(OR(O1115="",P1115=""),"",O1115-P1115)</f>
        <v>0</v>
      </c>
      <c r="R1115">
        <f>IF(Q1115="","",IF(R1114="",Q1115,Q1115*0.2000000000+R1114*0.8000000000))</f>
        <v>0</v>
      </c>
      <c r="S1115">
        <f>IF(OR(Q1115="",R1115=""),"",Q1115-R1115)</f>
        <v>0</v>
      </c>
      <c r="T1115">
        <f>IF(COUNT($E$2:$E1115)&lt;14,"",MAX($C$1102:$C$1115))</f>
        <v>0</v>
      </c>
      <c r="U1115">
        <f>IF(COUNT($E$2:$E1115)&lt;14,"",MIN($D$1102:$D$1115))</f>
        <v>0</v>
      </c>
      <c r="V1115">
        <f>IF(OR(T1115="",U1115="",T1115=U1115),"",100*($E1115-U1115)/(T1115-U1115))</f>
        <v>0</v>
      </c>
      <c r="W1115">
        <f>IF(COUNT($V$1113:$V$1115)&lt;3,"",AVERAGE($V$1113:$V$1115))</f>
        <v>0</v>
      </c>
      <c r="X1115">
        <f>IF(COUNT($N$1102:$N$1115)&lt;14,"",MIN($N$1102:$N$1115))</f>
        <v>0</v>
      </c>
      <c r="Y1115">
        <f>IF(COUNT($N$1102:$N$1115)&lt;14,"",MAX($N$1102:$N$1115))</f>
        <v>0</v>
      </c>
      <c r="Z1115">
        <f>IF(OR(N1115="",X1115="",Y1115="",Y1115=X1115),"",100*(N1115-X1115)/(Y1115-X1115))</f>
        <v>0</v>
      </c>
      <c r="AA1115">
        <f>IF(COUNT($Z$1113:$Z$1115)&lt;3,"",AVERAGE($Z$1113:$Z$1115))</f>
        <v>0</v>
      </c>
      <c r="AB1115">
        <f>IF(COUNT($AA$1113:$AA$1115)&lt;3,"",AVERAGE($AA$1113:$AA$1115))</f>
        <v>0</v>
      </c>
      <c r="AC1115">
        <f>IF($E1115="","",MAX($C1115-$D1115,ABS($C1115-$E1114),ABS($D1115-$E1114)))</f>
        <v>0</v>
      </c>
      <c r="AD1115">
        <f>IF(COUNT($E$2:$E1115)&lt;15,"",AVERAGE($AC$1102:$AC$1115))</f>
        <v>0</v>
      </c>
      <c r="AE1115">
        <f>IF(OR($E1115="",$E1114=""),"",IF(AND(($C1115-$C1114)&gt;($D1114-$D1115),($C1115-$C1114)&gt;0),$C1115-$C1114,0))</f>
        <v>0</v>
      </c>
      <c r="AF1115">
        <f>IF(OR($E1115="",$E1114=""),"",IF(AND(($D1114-$D1115)&gt;($C1115-$C1114),($D1114-$D1115)&gt;0),$D1114-$D1115,0))</f>
        <v>0</v>
      </c>
      <c r="AG1115">
        <f>IF(COUNT($E$2:$E1115)&lt;15,"",IF(SUM($AC$1102:$AC$1115)=0,0,100*SUM($AE$1102:$AE$1115)/SUM($AC$1102:$AC$1115)))</f>
        <v>0</v>
      </c>
      <c r="AH1115">
        <f>IF(COUNT($E$2:$E1115)&lt;15,"",IF(SUM($AC$1102:$AC$1115)=0,0,100*SUM($AF$1102:$AF$1115)/SUM($AC$1102:$AC$1115)))</f>
        <v>0</v>
      </c>
      <c r="AI1115">
        <f>IF(OR(AG1115="",AH1115=""),"",IF((AG1115+AH1115)=0,0,100*ABS(AG1115-AH1115)/(AG1115+AH1115)))</f>
        <v>0</v>
      </c>
      <c r="AJ1115">
        <f>IF(COUNT($AI$1102:$AI$1115)&lt;14,"",AVERAGE($AI$1102:$AI$1115))</f>
        <v>0</v>
      </c>
      <c r="AK1115">
        <f>IF(COUNT($E$2:$E1115)&lt;20,"",AVERAGE($E$1096:$E$1115))</f>
        <v>0</v>
      </c>
      <c r="AL1115">
        <f>IF(COUNT($E$2:$E1115)&lt;20,"",STDEVP($E$1096:$E$1115))</f>
        <v>0</v>
      </c>
      <c r="AM1115">
        <f>IF(AK1115="","",AK1115+2*AL1115)</f>
        <v>0</v>
      </c>
      <c r="AN1115">
        <f>IF(AK1115="","",AK1115-2*AL1115)</f>
        <v>0</v>
      </c>
      <c r="AO1115">
        <f>IF(OR(AM1115="",AN1115="",AM1115=AN1115),"",($E1115-AN1115)/(AM1115-AN1115))</f>
        <v>0</v>
      </c>
      <c r="AP1115">
        <f>IF(OR(AM1115="",AK1115="",AK1115=0),"",(AM1115-AN1115)/AK1115)</f>
        <v>0</v>
      </c>
      <c r="AQ1115">
        <f>IF(COUNT($E$2:$E1115)&lt;20,"",MAX($C$1096:$C$1115))</f>
        <v>0</v>
      </c>
      <c r="AR1115">
        <f>IF(COUNT($E$2:$E1115)&lt;20,"",MIN($D$1096:$D$1115))</f>
        <v>0</v>
      </c>
      <c r="AS1115">
        <f>IF(OR(AQ1115="",AR1115=""),"",(AQ1115+AR1115)/2)</f>
        <v>0</v>
      </c>
      <c r="AT1115">
        <f>IF(COUNT($G$1096:$G$1115)&lt;20,"",STDEV($G$1096:$G$1115)*SQRT(252))</f>
        <v>0</v>
      </c>
      <c r="AU1115">
        <f>IF(COUNT($E$2:$E1115)&lt;9,"",(MAX($C$1107:$C$1115)+MIN($D$1107:$D$1115))/2)</f>
        <v>0</v>
      </c>
      <c r="AV1115">
        <f>IF(COUNT($E$2:$E1115)&lt;26,"",(MAX($C$1090:$C$1115)+MIN($D$1090:$D$1115))/2)</f>
        <v>0</v>
      </c>
      <c r="AW1115">
        <f>IF(OR(AU1115="",AV1115=""),"",(AU1115+AV1115)/2)</f>
        <v>0</v>
      </c>
      <c r="AX1115">
        <f>IF(COUNT($E$2:$E1115)&lt;52,"",(MAX($C$1064:$C$1115)+MIN($D$1064:$D$1115))/2)</f>
        <v>0</v>
      </c>
      <c r="AY1115">
        <f>IF(COUNT($E$2:$E1115)&lt;20,"",MAX($C$1016:$C$1115))</f>
        <v>0</v>
      </c>
      <c r="AZ1115">
        <f>IF(COUNT($E$2:$E1115)&lt;20,"",MIN($D$1016:$D$1115))</f>
        <v>0</v>
      </c>
      <c r="BA1115">
        <f>IF(COUNT($E$2:$E1115)&lt;20,"",SLOPE($E$1016:$E$1115,$F$1016:$F$1115))</f>
        <v>0</v>
      </c>
      <c r="BB1115">
        <f>IF(COUNT($E$2:$E1115)&lt;20,"",INTERCEPT($E$1016:$E$1115,$F$1016:$F$1115))</f>
        <v>0</v>
      </c>
      <c r="BC1115">
        <f>IF(OR(BA1115="",BB1115=""),"",BB1115+BA1115*F1115)</f>
        <v>0</v>
      </c>
      <c r="BD1115">
        <f>IF(COUNT($E$2:$E1115)&lt;20,"",STEYX($E$1016:$E$1115,$F$1016:$F$1115))</f>
        <v>0</v>
      </c>
      <c r="BE1115">
        <f>IF($E1115="","",IF(AND(COUNT($E$1116:$E$1119)&gt;=4,$C1115=MAX($C$1111:$C$1119)),$C1115,""))</f>
        <v>0</v>
      </c>
      <c r="BF1115">
        <f>IF($E1115="","",IF(AND(COUNT($E$1116:$E$1119)&gt;=4,$D1115=MIN($D$1111:$D$1119)),$D1115,""))</f>
        <v>0</v>
      </c>
      <c r="BG1115">
        <f>IF($A1115="","",$A1115-WEEKDAY($A1115,2)+1)</f>
        <v>0</v>
      </c>
      <c r="BH1115">
        <f>IF($A1115="","",IF($A1114="",1,IF(BG1115&lt;&gt;BG1114,1,0)))</f>
        <v>0</v>
      </c>
      <c r="BI1115">
        <f>IF($A1115="","",IF($A1116="",1,IF(BG1116&lt;&gt;BG1115,1,0)))</f>
        <v>0</v>
      </c>
      <c r="BJ1115">
        <f>IF($A1115="","",IF(BH1115=1,$B1115,BJ1114))</f>
        <v>0</v>
      </c>
      <c r="BK1115">
        <f>IF($A1115="","",IF(BH1115=1,$C1115,MAX($C1115,BK1114)))</f>
        <v>0</v>
      </c>
      <c r="BL1115">
        <f>IF($A1115="","",IF(BH1115=1,$D1115,MIN($D1115,BL1114)))</f>
        <v>0</v>
      </c>
      <c r="BM1115">
        <f>IF($A1115="","",IF(BI1115=1,F1115,""))</f>
        <v>0</v>
      </c>
      <c r="BN1115">
        <f>IF($A1115="","",DATE(YEAR($A1115),MONTH($A1115),1))</f>
        <v>0</v>
      </c>
      <c r="BO1115">
        <f>IF($A1115="","",IF($A1114="",1,IF(BN1115&lt;&gt;BN1114,1,0)))</f>
        <v>0</v>
      </c>
      <c r="BP1115">
        <f>IF($A1115="","",IF($A1116="",1,IF(BN1116&lt;&gt;BN1115,1,0)))</f>
        <v>0</v>
      </c>
      <c r="BQ1115">
        <f>IF($A1115="","",IF(BO1115=1,$B1115,BQ1114))</f>
        <v>0</v>
      </c>
      <c r="BR1115">
        <f>IF($A1115="","",IF(BO1115=1,$C1115,MAX($C1115,BR1114)))</f>
        <v>0</v>
      </c>
      <c r="BS1115">
        <f>IF($A1115="","",IF(BO1115=1,$D1115,MIN($D1115,BS1114)))</f>
        <v>0</v>
      </c>
      <c r="BT1115">
        <f>IF($A1115="","",IF(BP1115=1,F1115,""))</f>
        <v>0</v>
      </c>
    </row>
    <row r="1116" spans="1:72">
      <c r="A1116" s="27">
        <f>IF(Data!$A1116="","",Data!$A1116)</f>
        <v>0</v>
      </c>
      <c r="B1116">
        <f>IF(Data!$B1116="","",Data!$B1116)</f>
        <v>0</v>
      </c>
      <c r="C1116">
        <f>IF(Data!$C1116="","",Data!$C1116)</f>
        <v>0</v>
      </c>
      <c r="D1116">
        <f>IF(Data!$D1116="","",Data!$D1116)</f>
        <v>0</v>
      </c>
      <c r="E1116">
        <f>IF(Data!$E1116="","",Data!$E1116)</f>
        <v>0</v>
      </c>
      <c r="F1116">
        <f>IF($E1116="","",N(F1115)+1)</f>
        <v>0</v>
      </c>
      <c r="G1116">
        <f>IF(OR($E1116="",$E1115=""),"",LN($E1116/$E1115))</f>
        <v>0</v>
      </c>
      <c r="H1116">
        <f>IF($E1116="","",IF($E1115="",$E1116,$E1116*0.0952380952+H1115*0.9047619048))</f>
        <v>0</v>
      </c>
      <c r="I1116">
        <f>IF($E1116="","",IF($E1115="",$E1116,$E1116*0.0392156863+I1115*0.9607843137))</f>
        <v>0</v>
      </c>
      <c r="J1116">
        <f>IF($E1116="","",IF($E1115="",$E1116,$E1116*0.0198019802+J1115*0.9801980198))</f>
        <v>0</v>
      </c>
      <c r="K1116">
        <f>IF($E1116="","",IF($E1115="",$E1116,$E1116*0.0099502488+K1115*0.9900497512))</f>
        <v>0</v>
      </c>
      <c r="L1116">
        <f>IF(OR($E1116="",$E1115=""),"",MAX($E1116-$E1115,0))</f>
        <v>0</v>
      </c>
      <c r="M1116">
        <f>IF(OR($E1116="",$E1115=""),"",MAX($E1115-$E1116,0))</f>
        <v>0</v>
      </c>
      <c r="N1116">
        <f>IF(COUNT($E$2:$E1116)&lt;15,"",IF(AVERAGE($M$1103:$M$1116)=0,100,100-100/(1+AVERAGE($L$1103:$L$1116)/AVERAGE($M$1103:$M$1116))))</f>
        <v>0</v>
      </c>
      <c r="O1116">
        <f>IF($E1116="","",IF($E1115="",$E1116,$E1116*0.1538461538+O1115*0.8461538462))</f>
        <v>0</v>
      </c>
      <c r="P1116">
        <f>IF($E1116="","",IF($E1115="",$E1116,$E1116*0.0740740741+P1115*0.9259259259))</f>
        <v>0</v>
      </c>
      <c r="Q1116">
        <f>IF(OR(O1116="",P1116=""),"",O1116-P1116)</f>
        <v>0</v>
      </c>
      <c r="R1116">
        <f>IF(Q1116="","",IF(R1115="",Q1116,Q1116*0.2000000000+R1115*0.8000000000))</f>
        <v>0</v>
      </c>
      <c r="S1116">
        <f>IF(OR(Q1116="",R1116=""),"",Q1116-R1116)</f>
        <v>0</v>
      </c>
      <c r="T1116">
        <f>IF(COUNT($E$2:$E1116)&lt;14,"",MAX($C$1103:$C$1116))</f>
        <v>0</v>
      </c>
      <c r="U1116">
        <f>IF(COUNT($E$2:$E1116)&lt;14,"",MIN($D$1103:$D$1116))</f>
        <v>0</v>
      </c>
      <c r="V1116">
        <f>IF(OR(T1116="",U1116="",T1116=U1116),"",100*($E1116-U1116)/(T1116-U1116))</f>
        <v>0</v>
      </c>
      <c r="W1116">
        <f>IF(COUNT($V$1114:$V$1116)&lt;3,"",AVERAGE($V$1114:$V$1116))</f>
        <v>0</v>
      </c>
      <c r="X1116">
        <f>IF(COUNT($N$1103:$N$1116)&lt;14,"",MIN($N$1103:$N$1116))</f>
        <v>0</v>
      </c>
      <c r="Y1116">
        <f>IF(COUNT($N$1103:$N$1116)&lt;14,"",MAX($N$1103:$N$1116))</f>
        <v>0</v>
      </c>
      <c r="Z1116">
        <f>IF(OR(N1116="",X1116="",Y1116="",Y1116=X1116),"",100*(N1116-X1116)/(Y1116-X1116))</f>
        <v>0</v>
      </c>
      <c r="AA1116">
        <f>IF(COUNT($Z$1114:$Z$1116)&lt;3,"",AVERAGE($Z$1114:$Z$1116))</f>
        <v>0</v>
      </c>
      <c r="AB1116">
        <f>IF(COUNT($AA$1114:$AA$1116)&lt;3,"",AVERAGE($AA$1114:$AA$1116))</f>
        <v>0</v>
      </c>
      <c r="AC1116">
        <f>IF($E1116="","",MAX($C1116-$D1116,ABS($C1116-$E1115),ABS($D1116-$E1115)))</f>
        <v>0</v>
      </c>
      <c r="AD1116">
        <f>IF(COUNT($E$2:$E1116)&lt;15,"",AVERAGE($AC$1103:$AC$1116))</f>
        <v>0</v>
      </c>
      <c r="AE1116">
        <f>IF(OR($E1116="",$E1115=""),"",IF(AND(($C1116-$C1115)&gt;($D1115-$D1116),($C1116-$C1115)&gt;0),$C1116-$C1115,0))</f>
        <v>0</v>
      </c>
      <c r="AF1116">
        <f>IF(OR($E1116="",$E1115=""),"",IF(AND(($D1115-$D1116)&gt;($C1116-$C1115),($D1115-$D1116)&gt;0),$D1115-$D1116,0))</f>
        <v>0</v>
      </c>
      <c r="AG1116">
        <f>IF(COUNT($E$2:$E1116)&lt;15,"",IF(SUM($AC$1103:$AC$1116)=0,0,100*SUM($AE$1103:$AE$1116)/SUM($AC$1103:$AC$1116)))</f>
        <v>0</v>
      </c>
      <c r="AH1116">
        <f>IF(COUNT($E$2:$E1116)&lt;15,"",IF(SUM($AC$1103:$AC$1116)=0,0,100*SUM($AF$1103:$AF$1116)/SUM($AC$1103:$AC$1116)))</f>
        <v>0</v>
      </c>
      <c r="AI1116">
        <f>IF(OR(AG1116="",AH1116=""),"",IF((AG1116+AH1116)=0,0,100*ABS(AG1116-AH1116)/(AG1116+AH1116)))</f>
        <v>0</v>
      </c>
      <c r="AJ1116">
        <f>IF(COUNT($AI$1103:$AI$1116)&lt;14,"",AVERAGE($AI$1103:$AI$1116))</f>
        <v>0</v>
      </c>
      <c r="AK1116">
        <f>IF(COUNT($E$2:$E1116)&lt;20,"",AVERAGE($E$1097:$E$1116))</f>
        <v>0</v>
      </c>
      <c r="AL1116">
        <f>IF(COUNT($E$2:$E1116)&lt;20,"",STDEVP($E$1097:$E$1116))</f>
        <v>0</v>
      </c>
      <c r="AM1116">
        <f>IF(AK1116="","",AK1116+2*AL1116)</f>
        <v>0</v>
      </c>
      <c r="AN1116">
        <f>IF(AK1116="","",AK1116-2*AL1116)</f>
        <v>0</v>
      </c>
      <c r="AO1116">
        <f>IF(OR(AM1116="",AN1116="",AM1116=AN1116),"",($E1116-AN1116)/(AM1116-AN1116))</f>
        <v>0</v>
      </c>
      <c r="AP1116">
        <f>IF(OR(AM1116="",AK1116="",AK1116=0),"",(AM1116-AN1116)/AK1116)</f>
        <v>0</v>
      </c>
      <c r="AQ1116">
        <f>IF(COUNT($E$2:$E1116)&lt;20,"",MAX($C$1097:$C$1116))</f>
        <v>0</v>
      </c>
      <c r="AR1116">
        <f>IF(COUNT($E$2:$E1116)&lt;20,"",MIN($D$1097:$D$1116))</f>
        <v>0</v>
      </c>
      <c r="AS1116">
        <f>IF(OR(AQ1116="",AR1116=""),"",(AQ1116+AR1116)/2)</f>
        <v>0</v>
      </c>
      <c r="AT1116">
        <f>IF(COUNT($G$1097:$G$1116)&lt;20,"",STDEV($G$1097:$G$1116)*SQRT(252))</f>
        <v>0</v>
      </c>
      <c r="AU1116">
        <f>IF(COUNT($E$2:$E1116)&lt;9,"",(MAX($C$1108:$C$1116)+MIN($D$1108:$D$1116))/2)</f>
        <v>0</v>
      </c>
      <c r="AV1116">
        <f>IF(COUNT($E$2:$E1116)&lt;26,"",(MAX($C$1091:$C$1116)+MIN($D$1091:$D$1116))/2)</f>
        <v>0</v>
      </c>
      <c r="AW1116">
        <f>IF(OR(AU1116="",AV1116=""),"",(AU1116+AV1116)/2)</f>
        <v>0</v>
      </c>
      <c r="AX1116">
        <f>IF(COUNT($E$2:$E1116)&lt;52,"",(MAX($C$1065:$C$1116)+MIN($D$1065:$D$1116))/2)</f>
        <v>0</v>
      </c>
      <c r="AY1116">
        <f>IF(COUNT($E$2:$E1116)&lt;20,"",MAX($C$1017:$C$1116))</f>
        <v>0</v>
      </c>
      <c r="AZ1116">
        <f>IF(COUNT($E$2:$E1116)&lt;20,"",MIN($D$1017:$D$1116))</f>
        <v>0</v>
      </c>
      <c r="BA1116">
        <f>IF(COUNT($E$2:$E1116)&lt;20,"",SLOPE($E$1017:$E$1116,$F$1017:$F$1116))</f>
        <v>0</v>
      </c>
      <c r="BB1116">
        <f>IF(COUNT($E$2:$E1116)&lt;20,"",INTERCEPT($E$1017:$E$1116,$F$1017:$F$1116))</f>
        <v>0</v>
      </c>
      <c r="BC1116">
        <f>IF(OR(BA1116="",BB1116=""),"",BB1116+BA1116*F1116)</f>
        <v>0</v>
      </c>
      <c r="BD1116">
        <f>IF(COUNT($E$2:$E1116)&lt;20,"",STEYX($E$1017:$E$1116,$F$1017:$F$1116))</f>
        <v>0</v>
      </c>
      <c r="BE1116">
        <f>IF($E1116="","",IF(AND(COUNT($E$1117:$E$1120)&gt;=4,$C1116=MAX($C$1112:$C$1120)),$C1116,""))</f>
        <v>0</v>
      </c>
      <c r="BF1116">
        <f>IF($E1116="","",IF(AND(COUNT($E$1117:$E$1120)&gt;=4,$D1116=MIN($D$1112:$D$1120)),$D1116,""))</f>
        <v>0</v>
      </c>
      <c r="BG1116">
        <f>IF($A1116="","",$A1116-WEEKDAY($A1116,2)+1)</f>
        <v>0</v>
      </c>
      <c r="BH1116">
        <f>IF($A1116="","",IF($A1115="",1,IF(BG1116&lt;&gt;BG1115,1,0)))</f>
        <v>0</v>
      </c>
      <c r="BI1116">
        <f>IF($A1116="","",IF($A1117="",1,IF(BG1117&lt;&gt;BG1116,1,0)))</f>
        <v>0</v>
      </c>
      <c r="BJ1116">
        <f>IF($A1116="","",IF(BH1116=1,$B1116,BJ1115))</f>
        <v>0</v>
      </c>
      <c r="BK1116">
        <f>IF($A1116="","",IF(BH1116=1,$C1116,MAX($C1116,BK1115)))</f>
        <v>0</v>
      </c>
      <c r="BL1116">
        <f>IF($A1116="","",IF(BH1116=1,$D1116,MIN($D1116,BL1115)))</f>
        <v>0</v>
      </c>
      <c r="BM1116">
        <f>IF($A1116="","",IF(BI1116=1,F1116,""))</f>
        <v>0</v>
      </c>
      <c r="BN1116">
        <f>IF($A1116="","",DATE(YEAR($A1116),MONTH($A1116),1))</f>
        <v>0</v>
      </c>
      <c r="BO1116">
        <f>IF($A1116="","",IF($A1115="",1,IF(BN1116&lt;&gt;BN1115,1,0)))</f>
        <v>0</v>
      </c>
      <c r="BP1116">
        <f>IF($A1116="","",IF($A1117="",1,IF(BN1117&lt;&gt;BN1116,1,0)))</f>
        <v>0</v>
      </c>
      <c r="BQ1116">
        <f>IF($A1116="","",IF(BO1116=1,$B1116,BQ1115))</f>
        <v>0</v>
      </c>
      <c r="BR1116">
        <f>IF($A1116="","",IF(BO1116=1,$C1116,MAX($C1116,BR1115)))</f>
        <v>0</v>
      </c>
      <c r="BS1116">
        <f>IF($A1116="","",IF(BO1116=1,$D1116,MIN($D1116,BS1115)))</f>
        <v>0</v>
      </c>
      <c r="BT1116">
        <f>IF($A1116="","",IF(BP1116=1,F1116,""))</f>
        <v>0</v>
      </c>
    </row>
    <row r="1117" spans="1:72">
      <c r="A1117" s="27">
        <f>IF(Data!$A1117="","",Data!$A1117)</f>
        <v>0</v>
      </c>
      <c r="B1117">
        <f>IF(Data!$B1117="","",Data!$B1117)</f>
        <v>0</v>
      </c>
      <c r="C1117">
        <f>IF(Data!$C1117="","",Data!$C1117)</f>
        <v>0</v>
      </c>
      <c r="D1117">
        <f>IF(Data!$D1117="","",Data!$D1117)</f>
        <v>0</v>
      </c>
      <c r="E1117">
        <f>IF(Data!$E1117="","",Data!$E1117)</f>
        <v>0</v>
      </c>
      <c r="F1117">
        <f>IF($E1117="","",N(F1116)+1)</f>
        <v>0</v>
      </c>
      <c r="G1117">
        <f>IF(OR($E1117="",$E1116=""),"",LN($E1117/$E1116))</f>
        <v>0</v>
      </c>
      <c r="H1117">
        <f>IF($E1117="","",IF($E1116="",$E1117,$E1117*0.0952380952+H1116*0.9047619048))</f>
        <v>0</v>
      </c>
      <c r="I1117">
        <f>IF($E1117="","",IF($E1116="",$E1117,$E1117*0.0392156863+I1116*0.9607843137))</f>
        <v>0</v>
      </c>
      <c r="J1117">
        <f>IF($E1117="","",IF($E1116="",$E1117,$E1117*0.0198019802+J1116*0.9801980198))</f>
        <v>0</v>
      </c>
      <c r="K1117">
        <f>IF($E1117="","",IF($E1116="",$E1117,$E1117*0.0099502488+K1116*0.9900497512))</f>
        <v>0</v>
      </c>
      <c r="L1117">
        <f>IF(OR($E1117="",$E1116=""),"",MAX($E1117-$E1116,0))</f>
        <v>0</v>
      </c>
      <c r="M1117">
        <f>IF(OR($E1117="",$E1116=""),"",MAX($E1116-$E1117,0))</f>
        <v>0</v>
      </c>
      <c r="N1117">
        <f>IF(COUNT($E$2:$E1117)&lt;15,"",IF(AVERAGE($M$1104:$M$1117)=0,100,100-100/(1+AVERAGE($L$1104:$L$1117)/AVERAGE($M$1104:$M$1117))))</f>
        <v>0</v>
      </c>
      <c r="O1117">
        <f>IF($E1117="","",IF($E1116="",$E1117,$E1117*0.1538461538+O1116*0.8461538462))</f>
        <v>0</v>
      </c>
      <c r="P1117">
        <f>IF($E1117="","",IF($E1116="",$E1117,$E1117*0.0740740741+P1116*0.9259259259))</f>
        <v>0</v>
      </c>
      <c r="Q1117">
        <f>IF(OR(O1117="",P1117=""),"",O1117-P1117)</f>
        <v>0</v>
      </c>
      <c r="R1117">
        <f>IF(Q1117="","",IF(R1116="",Q1117,Q1117*0.2000000000+R1116*0.8000000000))</f>
        <v>0</v>
      </c>
      <c r="S1117">
        <f>IF(OR(Q1117="",R1117=""),"",Q1117-R1117)</f>
        <v>0</v>
      </c>
      <c r="T1117">
        <f>IF(COUNT($E$2:$E1117)&lt;14,"",MAX($C$1104:$C$1117))</f>
        <v>0</v>
      </c>
      <c r="U1117">
        <f>IF(COUNT($E$2:$E1117)&lt;14,"",MIN($D$1104:$D$1117))</f>
        <v>0</v>
      </c>
      <c r="V1117">
        <f>IF(OR(T1117="",U1117="",T1117=U1117),"",100*($E1117-U1117)/(T1117-U1117))</f>
        <v>0</v>
      </c>
      <c r="W1117">
        <f>IF(COUNT($V$1115:$V$1117)&lt;3,"",AVERAGE($V$1115:$V$1117))</f>
        <v>0</v>
      </c>
      <c r="X1117">
        <f>IF(COUNT($N$1104:$N$1117)&lt;14,"",MIN($N$1104:$N$1117))</f>
        <v>0</v>
      </c>
      <c r="Y1117">
        <f>IF(COUNT($N$1104:$N$1117)&lt;14,"",MAX($N$1104:$N$1117))</f>
        <v>0</v>
      </c>
      <c r="Z1117">
        <f>IF(OR(N1117="",X1117="",Y1117="",Y1117=X1117),"",100*(N1117-X1117)/(Y1117-X1117))</f>
        <v>0</v>
      </c>
      <c r="AA1117">
        <f>IF(COUNT($Z$1115:$Z$1117)&lt;3,"",AVERAGE($Z$1115:$Z$1117))</f>
        <v>0</v>
      </c>
      <c r="AB1117">
        <f>IF(COUNT($AA$1115:$AA$1117)&lt;3,"",AVERAGE($AA$1115:$AA$1117))</f>
        <v>0</v>
      </c>
      <c r="AC1117">
        <f>IF($E1117="","",MAX($C1117-$D1117,ABS($C1117-$E1116),ABS($D1117-$E1116)))</f>
        <v>0</v>
      </c>
      <c r="AD1117">
        <f>IF(COUNT($E$2:$E1117)&lt;15,"",AVERAGE($AC$1104:$AC$1117))</f>
        <v>0</v>
      </c>
      <c r="AE1117">
        <f>IF(OR($E1117="",$E1116=""),"",IF(AND(($C1117-$C1116)&gt;($D1116-$D1117),($C1117-$C1116)&gt;0),$C1117-$C1116,0))</f>
        <v>0</v>
      </c>
      <c r="AF1117">
        <f>IF(OR($E1117="",$E1116=""),"",IF(AND(($D1116-$D1117)&gt;($C1117-$C1116),($D1116-$D1117)&gt;0),$D1116-$D1117,0))</f>
        <v>0</v>
      </c>
      <c r="AG1117">
        <f>IF(COUNT($E$2:$E1117)&lt;15,"",IF(SUM($AC$1104:$AC$1117)=0,0,100*SUM($AE$1104:$AE$1117)/SUM($AC$1104:$AC$1117)))</f>
        <v>0</v>
      </c>
      <c r="AH1117">
        <f>IF(COUNT($E$2:$E1117)&lt;15,"",IF(SUM($AC$1104:$AC$1117)=0,0,100*SUM($AF$1104:$AF$1117)/SUM($AC$1104:$AC$1117)))</f>
        <v>0</v>
      </c>
      <c r="AI1117">
        <f>IF(OR(AG1117="",AH1117=""),"",IF((AG1117+AH1117)=0,0,100*ABS(AG1117-AH1117)/(AG1117+AH1117)))</f>
        <v>0</v>
      </c>
      <c r="AJ1117">
        <f>IF(COUNT($AI$1104:$AI$1117)&lt;14,"",AVERAGE($AI$1104:$AI$1117))</f>
        <v>0</v>
      </c>
      <c r="AK1117">
        <f>IF(COUNT($E$2:$E1117)&lt;20,"",AVERAGE($E$1098:$E$1117))</f>
        <v>0</v>
      </c>
      <c r="AL1117">
        <f>IF(COUNT($E$2:$E1117)&lt;20,"",STDEVP($E$1098:$E$1117))</f>
        <v>0</v>
      </c>
      <c r="AM1117">
        <f>IF(AK1117="","",AK1117+2*AL1117)</f>
        <v>0</v>
      </c>
      <c r="AN1117">
        <f>IF(AK1117="","",AK1117-2*AL1117)</f>
        <v>0</v>
      </c>
      <c r="AO1117">
        <f>IF(OR(AM1117="",AN1117="",AM1117=AN1117),"",($E1117-AN1117)/(AM1117-AN1117))</f>
        <v>0</v>
      </c>
      <c r="AP1117">
        <f>IF(OR(AM1117="",AK1117="",AK1117=0),"",(AM1117-AN1117)/AK1117)</f>
        <v>0</v>
      </c>
      <c r="AQ1117">
        <f>IF(COUNT($E$2:$E1117)&lt;20,"",MAX($C$1098:$C$1117))</f>
        <v>0</v>
      </c>
      <c r="AR1117">
        <f>IF(COUNT($E$2:$E1117)&lt;20,"",MIN($D$1098:$D$1117))</f>
        <v>0</v>
      </c>
      <c r="AS1117">
        <f>IF(OR(AQ1117="",AR1117=""),"",(AQ1117+AR1117)/2)</f>
        <v>0</v>
      </c>
      <c r="AT1117">
        <f>IF(COUNT($G$1098:$G$1117)&lt;20,"",STDEV($G$1098:$G$1117)*SQRT(252))</f>
        <v>0</v>
      </c>
      <c r="AU1117">
        <f>IF(COUNT($E$2:$E1117)&lt;9,"",(MAX($C$1109:$C$1117)+MIN($D$1109:$D$1117))/2)</f>
        <v>0</v>
      </c>
      <c r="AV1117">
        <f>IF(COUNT($E$2:$E1117)&lt;26,"",(MAX($C$1092:$C$1117)+MIN($D$1092:$D$1117))/2)</f>
        <v>0</v>
      </c>
      <c r="AW1117">
        <f>IF(OR(AU1117="",AV1117=""),"",(AU1117+AV1117)/2)</f>
        <v>0</v>
      </c>
      <c r="AX1117">
        <f>IF(COUNT($E$2:$E1117)&lt;52,"",(MAX($C$1066:$C$1117)+MIN($D$1066:$D$1117))/2)</f>
        <v>0</v>
      </c>
      <c r="AY1117">
        <f>IF(COUNT($E$2:$E1117)&lt;20,"",MAX($C$1018:$C$1117))</f>
        <v>0</v>
      </c>
      <c r="AZ1117">
        <f>IF(COUNT($E$2:$E1117)&lt;20,"",MIN($D$1018:$D$1117))</f>
        <v>0</v>
      </c>
      <c r="BA1117">
        <f>IF(COUNT($E$2:$E1117)&lt;20,"",SLOPE($E$1018:$E$1117,$F$1018:$F$1117))</f>
        <v>0</v>
      </c>
      <c r="BB1117">
        <f>IF(COUNT($E$2:$E1117)&lt;20,"",INTERCEPT($E$1018:$E$1117,$F$1018:$F$1117))</f>
        <v>0</v>
      </c>
      <c r="BC1117">
        <f>IF(OR(BA1117="",BB1117=""),"",BB1117+BA1117*F1117)</f>
        <v>0</v>
      </c>
      <c r="BD1117">
        <f>IF(COUNT($E$2:$E1117)&lt;20,"",STEYX($E$1018:$E$1117,$F$1018:$F$1117))</f>
        <v>0</v>
      </c>
      <c r="BE1117">
        <f>IF($E1117="","",IF(AND(COUNT($E$1118:$E$1121)&gt;=4,$C1117=MAX($C$1113:$C$1121)),$C1117,""))</f>
        <v>0</v>
      </c>
      <c r="BF1117">
        <f>IF($E1117="","",IF(AND(COUNT($E$1118:$E$1121)&gt;=4,$D1117=MIN($D$1113:$D$1121)),$D1117,""))</f>
        <v>0</v>
      </c>
      <c r="BG1117">
        <f>IF($A1117="","",$A1117-WEEKDAY($A1117,2)+1)</f>
        <v>0</v>
      </c>
      <c r="BH1117">
        <f>IF($A1117="","",IF($A1116="",1,IF(BG1117&lt;&gt;BG1116,1,0)))</f>
        <v>0</v>
      </c>
      <c r="BI1117">
        <f>IF($A1117="","",IF($A1118="",1,IF(BG1118&lt;&gt;BG1117,1,0)))</f>
        <v>0</v>
      </c>
      <c r="BJ1117">
        <f>IF($A1117="","",IF(BH1117=1,$B1117,BJ1116))</f>
        <v>0</v>
      </c>
      <c r="BK1117">
        <f>IF($A1117="","",IF(BH1117=1,$C1117,MAX($C1117,BK1116)))</f>
        <v>0</v>
      </c>
      <c r="BL1117">
        <f>IF($A1117="","",IF(BH1117=1,$D1117,MIN($D1117,BL1116)))</f>
        <v>0</v>
      </c>
      <c r="BM1117">
        <f>IF($A1117="","",IF(BI1117=1,F1117,""))</f>
        <v>0</v>
      </c>
      <c r="BN1117">
        <f>IF($A1117="","",DATE(YEAR($A1117),MONTH($A1117),1))</f>
        <v>0</v>
      </c>
      <c r="BO1117">
        <f>IF($A1117="","",IF($A1116="",1,IF(BN1117&lt;&gt;BN1116,1,0)))</f>
        <v>0</v>
      </c>
      <c r="BP1117">
        <f>IF($A1117="","",IF($A1118="",1,IF(BN1118&lt;&gt;BN1117,1,0)))</f>
        <v>0</v>
      </c>
      <c r="BQ1117">
        <f>IF($A1117="","",IF(BO1117=1,$B1117,BQ1116))</f>
        <v>0</v>
      </c>
      <c r="BR1117">
        <f>IF($A1117="","",IF(BO1117=1,$C1117,MAX($C1117,BR1116)))</f>
        <v>0</v>
      </c>
      <c r="BS1117">
        <f>IF($A1117="","",IF(BO1117=1,$D1117,MIN($D1117,BS1116)))</f>
        <v>0</v>
      </c>
      <c r="BT1117">
        <f>IF($A1117="","",IF(BP1117=1,F1117,""))</f>
        <v>0</v>
      </c>
    </row>
    <row r="1118" spans="1:72">
      <c r="A1118" s="27">
        <f>IF(Data!$A1118="","",Data!$A1118)</f>
        <v>0</v>
      </c>
      <c r="B1118">
        <f>IF(Data!$B1118="","",Data!$B1118)</f>
        <v>0</v>
      </c>
      <c r="C1118">
        <f>IF(Data!$C1118="","",Data!$C1118)</f>
        <v>0</v>
      </c>
      <c r="D1118">
        <f>IF(Data!$D1118="","",Data!$D1118)</f>
        <v>0</v>
      </c>
      <c r="E1118">
        <f>IF(Data!$E1118="","",Data!$E1118)</f>
        <v>0</v>
      </c>
      <c r="F1118">
        <f>IF($E1118="","",N(F1117)+1)</f>
        <v>0</v>
      </c>
      <c r="G1118">
        <f>IF(OR($E1118="",$E1117=""),"",LN($E1118/$E1117))</f>
        <v>0</v>
      </c>
      <c r="H1118">
        <f>IF($E1118="","",IF($E1117="",$E1118,$E1118*0.0952380952+H1117*0.9047619048))</f>
        <v>0</v>
      </c>
      <c r="I1118">
        <f>IF($E1118="","",IF($E1117="",$E1118,$E1118*0.0392156863+I1117*0.9607843137))</f>
        <v>0</v>
      </c>
      <c r="J1118">
        <f>IF($E1118="","",IF($E1117="",$E1118,$E1118*0.0198019802+J1117*0.9801980198))</f>
        <v>0</v>
      </c>
      <c r="K1118">
        <f>IF($E1118="","",IF($E1117="",$E1118,$E1118*0.0099502488+K1117*0.9900497512))</f>
        <v>0</v>
      </c>
      <c r="L1118">
        <f>IF(OR($E1118="",$E1117=""),"",MAX($E1118-$E1117,0))</f>
        <v>0</v>
      </c>
      <c r="M1118">
        <f>IF(OR($E1118="",$E1117=""),"",MAX($E1117-$E1118,0))</f>
        <v>0</v>
      </c>
      <c r="N1118">
        <f>IF(COUNT($E$2:$E1118)&lt;15,"",IF(AVERAGE($M$1105:$M$1118)=0,100,100-100/(1+AVERAGE($L$1105:$L$1118)/AVERAGE($M$1105:$M$1118))))</f>
        <v>0</v>
      </c>
      <c r="O1118">
        <f>IF($E1118="","",IF($E1117="",$E1118,$E1118*0.1538461538+O1117*0.8461538462))</f>
        <v>0</v>
      </c>
      <c r="P1118">
        <f>IF($E1118="","",IF($E1117="",$E1118,$E1118*0.0740740741+P1117*0.9259259259))</f>
        <v>0</v>
      </c>
      <c r="Q1118">
        <f>IF(OR(O1118="",P1118=""),"",O1118-P1118)</f>
        <v>0</v>
      </c>
      <c r="R1118">
        <f>IF(Q1118="","",IF(R1117="",Q1118,Q1118*0.2000000000+R1117*0.8000000000))</f>
        <v>0</v>
      </c>
      <c r="S1118">
        <f>IF(OR(Q1118="",R1118=""),"",Q1118-R1118)</f>
        <v>0</v>
      </c>
      <c r="T1118">
        <f>IF(COUNT($E$2:$E1118)&lt;14,"",MAX($C$1105:$C$1118))</f>
        <v>0</v>
      </c>
      <c r="U1118">
        <f>IF(COUNT($E$2:$E1118)&lt;14,"",MIN($D$1105:$D$1118))</f>
        <v>0</v>
      </c>
      <c r="V1118">
        <f>IF(OR(T1118="",U1118="",T1118=U1118),"",100*($E1118-U1118)/(T1118-U1118))</f>
        <v>0</v>
      </c>
      <c r="W1118">
        <f>IF(COUNT($V$1116:$V$1118)&lt;3,"",AVERAGE($V$1116:$V$1118))</f>
        <v>0</v>
      </c>
      <c r="X1118">
        <f>IF(COUNT($N$1105:$N$1118)&lt;14,"",MIN($N$1105:$N$1118))</f>
        <v>0</v>
      </c>
      <c r="Y1118">
        <f>IF(COUNT($N$1105:$N$1118)&lt;14,"",MAX($N$1105:$N$1118))</f>
        <v>0</v>
      </c>
      <c r="Z1118">
        <f>IF(OR(N1118="",X1118="",Y1118="",Y1118=X1118),"",100*(N1118-X1118)/(Y1118-X1118))</f>
        <v>0</v>
      </c>
      <c r="AA1118">
        <f>IF(COUNT($Z$1116:$Z$1118)&lt;3,"",AVERAGE($Z$1116:$Z$1118))</f>
        <v>0</v>
      </c>
      <c r="AB1118">
        <f>IF(COUNT($AA$1116:$AA$1118)&lt;3,"",AVERAGE($AA$1116:$AA$1118))</f>
        <v>0</v>
      </c>
      <c r="AC1118">
        <f>IF($E1118="","",MAX($C1118-$D1118,ABS($C1118-$E1117),ABS($D1118-$E1117)))</f>
        <v>0</v>
      </c>
      <c r="AD1118">
        <f>IF(COUNT($E$2:$E1118)&lt;15,"",AVERAGE($AC$1105:$AC$1118))</f>
        <v>0</v>
      </c>
      <c r="AE1118">
        <f>IF(OR($E1118="",$E1117=""),"",IF(AND(($C1118-$C1117)&gt;($D1117-$D1118),($C1118-$C1117)&gt;0),$C1118-$C1117,0))</f>
        <v>0</v>
      </c>
      <c r="AF1118">
        <f>IF(OR($E1118="",$E1117=""),"",IF(AND(($D1117-$D1118)&gt;($C1118-$C1117),($D1117-$D1118)&gt;0),$D1117-$D1118,0))</f>
        <v>0</v>
      </c>
      <c r="AG1118">
        <f>IF(COUNT($E$2:$E1118)&lt;15,"",IF(SUM($AC$1105:$AC$1118)=0,0,100*SUM($AE$1105:$AE$1118)/SUM($AC$1105:$AC$1118)))</f>
        <v>0</v>
      </c>
      <c r="AH1118">
        <f>IF(COUNT($E$2:$E1118)&lt;15,"",IF(SUM($AC$1105:$AC$1118)=0,0,100*SUM($AF$1105:$AF$1118)/SUM($AC$1105:$AC$1118)))</f>
        <v>0</v>
      </c>
      <c r="AI1118">
        <f>IF(OR(AG1118="",AH1118=""),"",IF((AG1118+AH1118)=0,0,100*ABS(AG1118-AH1118)/(AG1118+AH1118)))</f>
        <v>0</v>
      </c>
      <c r="AJ1118">
        <f>IF(COUNT($AI$1105:$AI$1118)&lt;14,"",AVERAGE($AI$1105:$AI$1118))</f>
        <v>0</v>
      </c>
      <c r="AK1118">
        <f>IF(COUNT($E$2:$E1118)&lt;20,"",AVERAGE($E$1099:$E$1118))</f>
        <v>0</v>
      </c>
      <c r="AL1118">
        <f>IF(COUNT($E$2:$E1118)&lt;20,"",STDEVP($E$1099:$E$1118))</f>
        <v>0</v>
      </c>
      <c r="AM1118">
        <f>IF(AK1118="","",AK1118+2*AL1118)</f>
        <v>0</v>
      </c>
      <c r="AN1118">
        <f>IF(AK1118="","",AK1118-2*AL1118)</f>
        <v>0</v>
      </c>
      <c r="AO1118">
        <f>IF(OR(AM1118="",AN1118="",AM1118=AN1118),"",($E1118-AN1118)/(AM1118-AN1118))</f>
        <v>0</v>
      </c>
      <c r="AP1118">
        <f>IF(OR(AM1118="",AK1118="",AK1118=0),"",(AM1118-AN1118)/AK1118)</f>
        <v>0</v>
      </c>
      <c r="AQ1118">
        <f>IF(COUNT($E$2:$E1118)&lt;20,"",MAX($C$1099:$C$1118))</f>
        <v>0</v>
      </c>
      <c r="AR1118">
        <f>IF(COUNT($E$2:$E1118)&lt;20,"",MIN($D$1099:$D$1118))</f>
        <v>0</v>
      </c>
      <c r="AS1118">
        <f>IF(OR(AQ1118="",AR1118=""),"",(AQ1118+AR1118)/2)</f>
        <v>0</v>
      </c>
      <c r="AT1118">
        <f>IF(COUNT($G$1099:$G$1118)&lt;20,"",STDEV($G$1099:$G$1118)*SQRT(252))</f>
        <v>0</v>
      </c>
      <c r="AU1118">
        <f>IF(COUNT($E$2:$E1118)&lt;9,"",(MAX($C$1110:$C$1118)+MIN($D$1110:$D$1118))/2)</f>
        <v>0</v>
      </c>
      <c r="AV1118">
        <f>IF(COUNT($E$2:$E1118)&lt;26,"",(MAX($C$1093:$C$1118)+MIN($D$1093:$D$1118))/2)</f>
        <v>0</v>
      </c>
      <c r="AW1118">
        <f>IF(OR(AU1118="",AV1118=""),"",(AU1118+AV1118)/2)</f>
        <v>0</v>
      </c>
      <c r="AX1118">
        <f>IF(COUNT($E$2:$E1118)&lt;52,"",(MAX($C$1067:$C$1118)+MIN($D$1067:$D$1118))/2)</f>
        <v>0</v>
      </c>
      <c r="AY1118">
        <f>IF(COUNT($E$2:$E1118)&lt;20,"",MAX($C$1019:$C$1118))</f>
        <v>0</v>
      </c>
      <c r="AZ1118">
        <f>IF(COUNT($E$2:$E1118)&lt;20,"",MIN($D$1019:$D$1118))</f>
        <v>0</v>
      </c>
      <c r="BA1118">
        <f>IF(COUNT($E$2:$E1118)&lt;20,"",SLOPE($E$1019:$E$1118,$F$1019:$F$1118))</f>
        <v>0</v>
      </c>
      <c r="BB1118">
        <f>IF(COUNT($E$2:$E1118)&lt;20,"",INTERCEPT($E$1019:$E$1118,$F$1019:$F$1118))</f>
        <v>0</v>
      </c>
      <c r="BC1118">
        <f>IF(OR(BA1118="",BB1118=""),"",BB1118+BA1118*F1118)</f>
        <v>0</v>
      </c>
      <c r="BD1118">
        <f>IF(COUNT($E$2:$E1118)&lt;20,"",STEYX($E$1019:$E$1118,$F$1019:$F$1118))</f>
        <v>0</v>
      </c>
      <c r="BE1118">
        <f>IF($E1118="","",IF(AND(COUNT($E$1119:$E$1122)&gt;=4,$C1118=MAX($C$1114:$C$1122)),$C1118,""))</f>
        <v>0</v>
      </c>
      <c r="BF1118">
        <f>IF($E1118="","",IF(AND(COUNT($E$1119:$E$1122)&gt;=4,$D1118=MIN($D$1114:$D$1122)),$D1118,""))</f>
        <v>0</v>
      </c>
      <c r="BG1118">
        <f>IF($A1118="","",$A1118-WEEKDAY($A1118,2)+1)</f>
        <v>0</v>
      </c>
      <c r="BH1118">
        <f>IF($A1118="","",IF($A1117="",1,IF(BG1118&lt;&gt;BG1117,1,0)))</f>
        <v>0</v>
      </c>
      <c r="BI1118">
        <f>IF($A1118="","",IF($A1119="",1,IF(BG1119&lt;&gt;BG1118,1,0)))</f>
        <v>0</v>
      </c>
      <c r="BJ1118">
        <f>IF($A1118="","",IF(BH1118=1,$B1118,BJ1117))</f>
        <v>0</v>
      </c>
      <c r="BK1118">
        <f>IF($A1118="","",IF(BH1118=1,$C1118,MAX($C1118,BK1117)))</f>
        <v>0</v>
      </c>
      <c r="BL1118">
        <f>IF($A1118="","",IF(BH1118=1,$D1118,MIN($D1118,BL1117)))</f>
        <v>0</v>
      </c>
      <c r="BM1118">
        <f>IF($A1118="","",IF(BI1118=1,F1118,""))</f>
        <v>0</v>
      </c>
      <c r="BN1118">
        <f>IF($A1118="","",DATE(YEAR($A1118),MONTH($A1118),1))</f>
        <v>0</v>
      </c>
      <c r="BO1118">
        <f>IF($A1118="","",IF($A1117="",1,IF(BN1118&lt;&gt;BN1117,1,0)))</f>
        <v>0</v>
      </c>
      <c r="BP1118">
        <f>IF($A1118="","",IF($A1119="",1,IF(BN1119&lt;&gt;BN1118,1,0)))</f>
        <v>0</v>
      </c>
      <c r="BQ1118">
        <f>IF($A1118="","",IF(BO1118=1,$B1118,BQ1117))</f>
        <v>0</v>
      </c>
      <c r="BR1118">
        <f>IF($A1118="","",IF(BO1118=1,$C1118,MAX($C1118,BR1117)))</f>
        <v>0</v>
      </c>
      <c r="BS1118">
        <f>IF($A1118="","",IF(BO1118=1,$D1118,MIN($D1118,BS1117)))</f>
        <v>0</v>
      </c>
      <c r="BT1118">
        <f>IF($A1118="","",IF(BP1118=1,F1118,""))</f>
        <v>0</v>
      </c>
    </row>
    <row r="1119" spans="1:72">
      <c r="A1119" s="27">
        <f>IF(Data!$A1119="","",Data!$A1119)</f>
        <v>0</v>
      </c>
      <c r="B1119">
        <f>IF(Data!$B1119="","",Data!$B1119)</f>
        <v>0</v>
      </c>
      <c r="C1119">
        <f>IF(Data!$C1119="","",Data!$C1119)</f>
        <v>0</v>
      </c>
      <c r="D1119">
        <f>IF(Data!$D1119="","",Data!$D1119)</f>
        <v>0</v>
      </c>
      <c r="E1119">
        <f>IF(Data!$E1119="","",Data!$E1119)</f>
        <v>0</v>
      </c>
      <c r="F1119">
        <f>IF($E1119="","",N(F1118)+1)</f>
        <v>0</v>
      </c>
      <c r="G1119">
        <f>IF(OR($E1119="",$E1118=""),"",LN($E1119/$E1118))</f>
        <v>0</v>
      </c>
      <c r="H1119">
        <f>IF($E1119="","",IF($E1118="",$E1119,$E1119*0.0952380952+H1118*0.9047619048))</f>
        <v>0</v>
      </c>
      <c r="I1119">
        <f>IF($E1119="","",IF($E1118="",$E1119,$E1119*0.0392156863+I1118*0.9607843137))</f>
        <v>0</v>
      </c>
      <c r="J1119">
        <f>IF($E1119="","",IF($E1118="",$E1119,$E1119*0.0198019802+J1118*0.9801980198))</f>
        <v>0</v>
      </c>
      <c r="K1119">
        <f>IF($E1119="","",IF($E1118="",$E1119,$E1119*0.0099502488+K1118*0.9900497512))</f>
        <v>0</v>
      </c>
      <c r="L1119">
        <f>IF(OR($E1119="",$E1118=""),"",MAX($E1119-$E1118,0))</f>
        <v>0</v>
      </c>
      <c r="M1119">
        <f>IF(OR($E1119="",$E1118=""),"",MAX($E1118-$E1119,0))</f>
        <v>0</v>
      </c>
      <c r="N1119">
        <f>IF(COUNT($E$2:$E1119)&lt;15,"",IF(AVERAGE($M$1106:$M$1119)=0,100,100-100/(1+AVERAGE($L$1106:$L$1119)/AVERAGE($M$1106:$M$1119))))</f>
        <v>0</v>
      </c>
      <c r="O1119">
        <f>IF($E1119="","",IF($E1118="",$E1119,$E1119*0.1538461538+O1118*0.8461538462))</f>
        <v>0</v>
      </c>
      <c r="P1119">
        <f>IF($E1119="","",IF($E1118="",$E1119,$E1119*0.0740740741+P1118*0.9259259259))</f>
        <v>0</v>
      </c>
      <c r="Q1119">
        <f>IF(OR(O1119="",P1119=""),"",O1119-P1119)</f>
        <v>0</v>
      </c>
      <c r="R1119">
        <f>IF(Q1119="","",IF(R1118="",Q1119,Q1119*0.2000000000+R1118*0.8000000000))</f>
        <v>0</v>
      </c>
      <c r="S1119">
        <f>IF(OR(Q1119="",R1119=""),"",Q1119-R1119)</f>
        <v>0</v>
      </c>
      <c r="T1119">
        <f>IF(COUNT($E$2:$E1119)&lt;14,"",MAX($C$1106:$C$1119))</f>
        <v>0</v>
      </c>
      <c r="U1119">
        <f>IF(COUNT($E$2:$E1119)&lt;14,"",MIN($D$1106:$D$1119))</f>
        <v>0</v>
      </c>
      <c r="V1119">
        <f>IF(OR(T1119="",U1119="",T1119=U1119),"",100*($E1119-U1119)/(T1119-U1119))</f>
        <v>0</v>
      </c>
      <c r="W1119">
        <f>IF(COUNT($V$1117:$V$1119)&lt;3,"",AVERAGE($V$1117:$V$1119))</f>
        <v>0</v>
      </c>
      <c r="X1119">
        <f>IF(COUNT($N$1106:$N$1119)&lt;14,"",MIN($N$1106:$N$1119))</f>
        <v>0</v>
      </c>
      <c r="Y1119">
        <f>IF(COUNT($N$1106:$N$1119)&lt;14,"",MAX($N$1106:$N$1119))</f>
        <v>0</v>
      </c>
      <c r="Z1119">
        <f>IF(OR(N1119="",X1119="",Y1119="",Y1119=X1119),"",100*(N1119-X1119)/(Y1119-X1119))</f>
        <v>0</v>
      </c>
      <c r="AA1119">
        <f>IF(COUNT($Z$1117:$Z$1119)&lt;3,"",AVERAGE($Z$1117:$Z$1119))</f>
        <v>0</v>
      </c>
      <c r="AB1119">
        <f>IF(COUNT($AA$1117:$AA$1119)&lt;3,"",AVERAGE($AA$1117:$AA$1119))</f>
        <v>0</v>
      </c>
      <c r="AC1119">
        <f>IF($E1119="","",MAX($C1119-$D1119,ABS($C1119-$E1118),ABS($D1119-$E1118)))</f>
        <v>0</v>
      </c>
      <c r="AD1119">
        <f>IF(COUNT($E$2:$E1119)&lt;15,"",AVERAGE($AC$1106:$AC$1119))</f>
        <v>0</v>
      </c>
      <c r="AE1119">
        <f>IF(OR($E1119="",$E1118=""),"",IF(AND(($C1119-$C1118)&gt;($D1118-$D1119),($C1119-$C1118)&gt;0),$C1119-$C1118,0))</f>
        <v>0</v>
      </c>
      <c r="AF1119">
        <f>IF(OR($E1119="",$E1118=""),"",IF(AND(($D1118-$D1119)&gt;($C1119-$C1118),($D1118-$D1119)&gt;0),$D1118-$D1119,0))</f>
        <v>0</v>
      </c>
      <c r="AG1119">
        <f>IF(COUNT($E$2:$E1119)&lt;15,"",IF(SUM($AC$1106:$AC$1119)=0,0,100*SUM($AE$1106:$AE$1119)/SUM($AC$1106:$AC$1119)))</f>
        <v>0</v>
      </c>
      <c r="AH1119">
        <f>IF(COUNT($E$2:$E1119)&lt;15,"",IF(SUM($AC$1106:$AC$1119)=0,0,100*SUM($AF$1106:$AF$1119)/SUM($AC$1106:$AC$1119)))</f>
        <v>0</v>
      </c>
      <c r="AI1119">
        <f>IF(OR(AG1119="",AH1119=""),"",IF((AG1119+AH1119)=0,0,100*ABS(AG1119-AH1119)/(AG1119+AH1119)))</f>
        <v>0</v>
      </c>
      <c r="AJ1119">
        <f>IF(COUNT($AI$1106:$AI$1119)&lt;14,"",AVERAGE($AI$1106:$AI$1119))</f>
        <v>0</v>
      </c>
      <c r="AK1119">
        <f>IF(COUNT($E$2:$E1119)&lt;20,"",AVERAGE($E$1100:$E$1119))</f>
        <v>0</v>
      </c>
      <c r="AL1119">
        <f>IF(COUNT($E$2:$E1119)&lt;20,"",STDEVP($E$1100:$E$1119))</f>
        <v>0</v>
      </c>
      <c r="AM1119">
        <f>IF(AK1119="","",AK1119+2*AL1119)</f>
        <v>0</v>
      </c>
      <c r="AN1119">
        <f>IF(AK1119="","",AK1119-2*AL1119)</f>
        <v>0</v>
      </c>
      <c r="AO1119">
        <f>IF(OR(AM1119="",AN1119="",AM1119=AN1119),"",($E1119-AN1119)/(AM1119-AN1119))</f>
        <v>0</v>
      </c>
      <c r="AP1119">
        <f>IF(OR(AM1119="",AK1119="",AK1119=0),"",(AM1119-AN1119)/AK1119)</f>
        <v>0</v>
      </c>
      <c r="AQ1119">
        <f>IF(COUNT($E$2:$E1119)&lt;20,"",MAX($C$1100:$C$1119))</f>
        <v>0</v>
      </c>
      <c r="AR1119">
        <f>IF(COUNT($E$2:$E1119)&lt;20,"",MIN($D$1100:$D$1119))</f>
        <v>0</v>
      </c>
      <c r="AS1119">
        <f>IF(OR(AQ1119="",AR1119=""),"",(AQ1119+AR1119)/2)</f>
        <v>0</v>
      </c>
      <c r="AT1119">
        <f>IF(COUNT($G$1100:$G$1119)&lt;20,"",STDEV($G$1100:$G$1119)*SQRT(252))</f>
        <v>0</v>
      </c>
      <c r="AU1119">
        <f>IF(COUNT($E$2:$E1119)&lt;9,"",(MAX($C$1111:$C$1119)+MIN($D$1111:$D$1119))/2)</f>
        <v>0</v>
      </c>
      <c r="AV1119">
        <f>IF(COUNT($E$2:$E1119)&lt;26,"",(MAX($C$1094:$C$1119)+MIN($D$1094:$D$1119))/2)</f>
        <v>0</v>
      </c>
      <c r="AW1119">
        <f>IF(OR(AU1119="",AV1119=""),"",(AU1119+AV1119)/2)</f>
        <v>0</v>
      </c>
      <c r="AX1119">
        <f>IF(COUNT($E$2:$E1119)&lt;52,"",(MAX($C$1068:$C$1119)+MIN($D$1068:$D$1119))/2)</f>
        <v>0</v>
      </c>
      <c r="AY1119">
        <f>IF(COUNT($E$2:$E1119)&lt;20,"",MAX($C$1020:$C$1119))</f>
        <v>0</v>
      </c>
      <c r="AZ1119">
        <f>IF(COUNT($E$2:$E1119)&lt;20,"",MIN($D$1020:$D$1119))</f>
        <v>0</v>
      </c>
      <c r="BA1119">
        <f>IF(COUNT($E$2:$E1119)&lt;20,"",SLOPE($E$1020:$E$1119,$F$1020:$F$1119))</f>
        <v>0</v>
      </c>
      <c r="BB1119">
        <f>IF(COUNT($E$2:$E1119)&lt;20,"",INTERCEPT($E$1020:$E$1119,$F$1020:$F$1119))</f>
        <v>0</v>
      </c>
      <c r="BC1119">
        <f>IF(OR(BA1119="",BB1119=""),"",BB1119+BA1119*F1119)</f>
        <v>0</v>
      </c>
      <c r="BD1119">
        <f>IF(COUNT($E$2:$E1119)&lt;20,"",STEYX($E$1020:$E$1119,$F$1020:$F$1119))</f>
        <v>0</v>
      </c>
      <c r="BE1119">
        <f>IF($E1119="","",IF(AND(COUNT($E$1120:$E$1123)&gt;=4,$C1119=MAX($C$1115:$C$1123)),$C1119,""))</f>
        <v>0</v>
      </c>
      <c r="BF1119">
        <f>IF($E1119="","",IF(AND(COUNT($E$1120:$E$1123)&gt;=4,$D1119=MIN($D$1115:$D$1123)),$D1119,""))</f>
        <v>0</v>
      </c>
      <c r="BG1119">
        <f>IF($A1119="","",$A1119-WEEKDAY($A1119,2)+1)</f>
        <v>0</v>
      </c>
      <c r="BH1119">
        <f>IF($A1119="","",IF($A1118="",1,IF(BG1119&lt;&gt;BG1118,1,0)))</f>
        <v>0</v>
      </c>
      <c r="BI1119">
        <f>IF($A1119="","",IF($A1120="",1,IF(BG1120&lt;&gt;BG1119,1,0)))</f>
        <v>0</v>
      </c>
      <c r="BJ1119">
        <f>IF($A1119="","",IF(BH1119=1,$B1119,BJ1118))</f>
        <v>0</v>
      </c>
      <c r="BK1119">
        <f>IF($A1119="","",IF(BH1119=1,$C1119,MAX($C1119,BK1118)))</f>
        <v>0</v>
      </c>
      <c r="BL1119">
        <f>IF($A1119="","",IF(BH1119=1,$D1119,MIN($D1119,BL1118)))</f>
        <v>0</v>
      </c>
      <c r="BM1119">
        <f>IF($A1119="","",IF(BI1119=1,F1119,""))</f>
        <v>0</v>
      </c>
      <c r="BN1119">
        <f>IF($A1119="","",DATE(YEAR($A1119),MONTH($A1119),1))</f>
        <v>0</v>
      </c>
      <c r="BO1119">
        <f>IF($A1119="","",IF($A1118="",1,IF(BN1119&lt;&gt;BN1118,1,0)))</f>
        <v>0</v>
      </c>
      <c r="BP1119">
        <f>IF($A1119="","",IF($A1120="",1,IF(BN1120&lt;&gt;BN1119,1,0)))</f>
        <v>0</v>
      </c>
      <c r="BQ1119">
        <f>IF($A1119="","",IF(BO1119=1,$B1119,BQ1118))</f>
        <v>0</v>
      </c>
      <c r="BR1119">
        <f>IF($A1119="","",IF(BO1119=1,$C1119,MAX($C1119,BR1118)))</f>
        <v>0</v>
      </c>
      <c r="BS1119">
        <f>IF($A1119="","",IF(BO1119=1,$D1119,MIN($D1119,BS1118)))</f>
        <v>0</v>
      </c>
      <c r="BT1119">
        <f>IF($A1119="","",IF(BP1119=1,F1119,""))</f>
        <v>0</v>
      </c>
    </row>
    <row r="1120" spans="1:72">
      <c r="A1120" s="27">
        <f>IF(Data!$A1120="","",Data!$A1120)</f>
        <v>0</v>
      </c>
      <c r="B1120">
        <f>IF(Data!$B1120="","",Data!$B1120)</f>
        <v>0</v>
      </c>
      <c r="C1120">
        <f>IF(Data!$C1120="","",Data!$C1120)</f>
        <v>0</v>
      </c>
      <c r="D1120">
        <f>IF(Data!$D1120="","",Data!$D1120)</f>
        <v>0</v>
      </c>
      <c r="E1120">
        <f>IF(Data!$E1120="","",Data!$E1120)</f>
        <v>0</v>
      </c>
      <c r="F1120">
        <f>IF($E1120="","",N(F1119)+1)</f>
        <v>0</v>
      </c>
      <c r="G1120">
        <f>IF(OR($E1120="",$E1119=""),"",LN($E1120/$E1119))</f>
        <v>0</v>
      </c>
      <c r="H1120">
        <f>IF($E1120="","",IF($E1119="",$E1120,$E1120*0.0952380952+H1119*0.9047619048))</f>
        <v>0</v>
      </c>
      <c r="I1120">
        <f>IF($E1120="","",IF($E1119="",$E1120,$E1120*0.0392156863+I1119*0.9607843137))</f>
        <v>0</v>
      </c>
      <c r="J1120">
        <f>IF($E1120="","",IF($E1119="",$E1120,$E1120*0.0198019802+J1119*0.9801980198))</f>
        <v>0</v>
      </c>
      <c r="K1120">
        <f>IF($E1120="","",IF($E1119="",$E1120,$E1120*0.0099502488+K1119*0.9900497512))</f>
        <v>0</v>
      </c>
      <c r="L1120">
        <f>IF(OR($E1120="",$E1119=""),"",MAX($E1120-$E1119,0))</f>
        <v>0</v>
      </c>
      <c r="M1120">
        <f>IF(OR($E1120="",$E1119=""),"",MAX($E1119-$E1120,0))</f>
        <v>0</v>
      </c>
      <c r="N1120">
        <f>IF(COUNT($E$2:$E1120)&lt;15,"",IF(AVERAGE($M$1107:$M$1120)=0,100,100-100/(1+AVERAGE($L$1107:$L$1120)/AVERAGE($M$1107:$M$1120))))</f>
        <v>0</v>
      </c>
      <c r="O1120">
        <f>IF($E1120="","",IF($E1119="",$E1120,$E1120*0.1538461538+O1119*0.8461538462))</f>
        <v>0</v>
      </c>
      <c r="P1120">
        <f>IF($E1120="","",IF($E1119="",$E1120,$E1120*0.0740740741+P1119*0.9259259259))</f>
        <v>0</v>
      </c>
      <c r="Q1120">
        <f>IF(OR(O1120="",P1120=""),"",O1120-P1120)</f>
        <v>0</v>
      </c>
      <c r="R1120">
        <f>IF(Q1120="","",IF(R1119="",Q1120,Q1120*0.2000000000+R1119*0.8000000000))</f>
        <v>0</v>
      </c>
      <c r="S1120">
        <f>IF(OR(Q1120="",R1120=""),"",Q1120-R1120)</f>
        <v>0</v>
      </c>
      <c r="T1120">
        <f>IF(COUNT($E$2:$E1120)&lt;14,"",MAX($C$1107:$C$1120))</f>
        <v>0</v>
      </c>
      <c r="U1120">
        <f>IF(COUNT($E$2:$E1120)&lt;14,"",MIN($D$1107:$D$1120))</f>
        <v>0</v>
      </c>
      <c r="V1120">
        <f>IF(OR(T1120="",U1120="",T1120=U1120),"",100*($E1120-U1120)/(T1120-U1120))</f>
        <v>0</v>
      </c>
      <c r="W1120">
        <f>IF(COUNT($V$1118:$V$1120)&lt;3,"",AVERAGE($V$1118:$V$1120))</f>
        <v>0</v>
      </c>
      <c r="X1120">
        <f>IF(COUNT($N$1107:$N$1120)&lt;14,"",MIN($N$1107:$N$1120))</f>
        <v>0</v>
      </c>
      <c r="Y1120">
        <f>IF(COUNT($N$1107:$N$1120)&lt;14,"",MAX($N$1107:$N$1120))</f>
        <v>0</v>
      </c>
      <c r="Z1120">
        <f>IF(OR(N1120="",X1120="",Y1120="",Y1120=X1120),"",100*(N1120-X1120)/(Y1120-X1120))</f>
        <v>0</v>
      </c>
      <c r="AA1120">
        <f>IF(COUNT($Z$1118:$Z$1120)&lt;3,"",AVERAGE($Z$1118:$Z$1120))</f>
        <v>0</v>
      </c>
      <c r="AB1120">
        <f>IF(COUNT($AA$1118:$AA$1120)&lt;3,"",AVERAGE($AA$1118:$AA$1120))</f>
        <v>0</v>
      </c>
      <c r="AC1120">
        <f>IF($E1120="","",MAX($C1120-$D1120,ABS($C1120-$E1119),ABS($D1120-$E1119)))</f>
        <v>0</v>
      </c>
      <c r="AD1120">
        <f>IF(COUNT($E$2:$E1120)&lt;15,"",AVERAGE($AC$1107:$AC$1120))</f>
        <v>0</v>
      </c>
      <c r="AE1120">
        <f>IF(OR($E1120="",$E1119=""),"",IF(AND(($C1120-$C1119)&gt;($D1119-$D1120),($C1120-$C1119)&gt;0),$C1120-$C1119,0))</f>
        <v>0</v>
      </c>
      <c r="AF1120">
        <f>IF(OR($E1120="",$E1119=""),"",IF(AND(($D1119-$D1120)&gt;($C1120-$C1119),($D1119-$D1120)&gt;0),$D1119-$D1120,0))</f>
        <v>0</v>
      </c>
      <c r="AG1120">
        <f>IF(COUNT($E$2:$E1120)&lt;15,"",IF(SUM($AC$1107:$AC$1120)=0,0,100*SUM($AE$1107:$AE$1120)/SUM($AC$1107:$AC$1120)))</f>
        <v>0</v>
      </c>
      <c r="AH1120">
        <f>IF(COUNT($E$2:$E1120)&lt;15,"",IF(SUM($AC$1107:$AC$1120)=0,0,100*SUM($AF$1107:$AF$1120)/SUM($AC$1107:$AC$1120)))</f>
        <v>0</v>
      </c>
      <c r="AI1120">
        <f>IF(OR(AG1120="",AH1120=""),"",IF((AG1120+AH1120)=0,0,100*ABS(AG1120-AH1120)/(AG1120+AH1120)))</f>
        <v>0</v>
      </c>
      <c r="AJ1120">
        <f>IF(COUNT($AI$1107:$AI$1120)&lt;14,"",AVERAGE($AI$1107:$AI$1120))</f>
        <v>0</v>
      </c>
      <c r="AK1120">
        <f>IF(COUNT($E$2:$E1120)&lt;20,"",AVERAGE($E$1101:$E$1120))</f>
        <v>0</v>
      </c>
      <c r="AL1120">
        <f>IF(COUNT($E$2:$E1120)&lt;20,"",STDEVP($E$1101:$E$1120))</f>
        <v>0</v>
      </c>
      <c r="AM1120">
        <f>IF(AK1120="","",AK1120+2*AL1120)</f>
        <v>0</v>
      </c>
      <c r="AN1120">
        <f>IF(AK1120="","",AK1120-2*AL1120)</f>
        <v>0</v>
      </c>
      <c r="AO1120">
        <f>IF(OR(AM1120="",AN1120="",AM1120=AN1120),"",($E1120-AN1120)/(AM1120-AN1120))</f>
        <v>0</v>
      </c>
      <c r="AP1120">
        <f>IF(OR(AM1120="",AK1120="",AK1120=0),"",(AM1120-AN1120)/AK1120)</f>
        <v>0</v>
      </c>
      <c r="AQ1120">
        <f>IF(COUNT($E$2:$E1120)&lt;20,"",MAX($C$1101:$C$1120))</f>
        <v>0</v>
      </c>
      <c r="AR1120">
        <f>IF(COUNT($E$2:$E1120)&lt;20,"",MIN($D$1101:$D$1120))</f>
        <v>0</v>
      </c>
      <c r="AS1120">
        <f>IF(OR(AQ1120="",AR1120=""),"",(AQ1120+AR1120)/2)</f>
        <v>0</v>
      </c>
      <c r="AT1120">
        <f>IF(COUNT($G$1101:$G$1120)&lt;20,"",STDEV($G$1101:$G$1120)*SQRT(252))</f>
        <v>0</v>
      </c>
      <c r="AU1120">
        <f>IF(COUNT($E$2:$E1120)&lt;9,"",(MAX($C$1112:$C$1120)+MIN($D$1112:$D$1120))/2)</f>
        <v>0</v>
      </c>
      <c r="AV1120">
        <f>IF(COUNT($E$2:$E1120)&lt;26,"",(MAX($C$1095:$C$1120)+MIN($D$1095:$D$1120))/2)</f>
        <v>0</v>
      </c>
      <c r="AW1120">
        <f>IF(OR(AU1120="",AV1120=""),"",(AU1120+AV1120)/2)</f>
        <v>0</v>
      </c>
      <c r="AX1120">
        <f>IF(COUNT($E$2:$E1120)&lt;52,"",(MAX($C$1069:$C$1120)+MIN($D$1069:$D$1120))/2)</f>
        <v>0</v>
      </c>
      <c r="AY1120">
        <f>IF(COUNT($E$2:$E1120)&lt;20,"",MAX($C$1021:$C$1120))</f>
        <v>0</v>
      </c>
      <c r="AZ1120">
        <f>IF(COUNT($E$2:$E1120)&lt;20,"",MIN($D$1021:$D$1120))</f>
        <v>0</v>
      </c>
      <c r="BA1120">
        <f>IF(COUNT($E$2:$E1120)&lt;20,"",SLOPE($E$1021:$E$1120,$F$1021:$F$1120))</f>
        <v>0</v>
      </c>
      <c r="BB1120">
        <f>IF(COUNT($E$2:$E1120)&lt;20,"",INTERCEPT($E$1021:$E$1120,$F$1021:$F$1120))</f>
        <v>0</v>
      </c>
      <c r="BC1120">
        <f>IF(OR(BA1120="",BB1120=""),"",BB1120+BA1120*F1120)</f>
        <v>0</v>
      </c>
      <c r="BD1120">
        <f>IF(COUNT($E$2:$E1120)&lt;20,"",STEYX($E$1021:$E$1120,$F$1021:$F$1120))</f>
        <v>0</v>
      </c>
      <c r="BE1120">
        <f>IF($E1120="","",IF(AND(COUNT($E$1121:$E$1124)&gt;=4,$C1120=MAX($C$1116:$C$1124)),$C1120,""))</f>
        <v>0</v>
      </c>
      <c r="BF1120">
        <f>IF($E1120="","",IF(AND(COUNT($E$1121:$E$1124)&gt;=4,$D1120=MIN($D$1116:$D$1124)),$D1120,""))</f>
        <v>0</v>
      </c>
      <c r="BG1120">
        <f>IF($A1120="","",$A1120-WEEKDAY($A1120,2)+1)</f>
        <v>0</v>
      </c>
      <c r="BH1120">
        <f>IF($A1120="","",IF($A1119="",1,IF(BG1120&lt;&gt;BG1119,1,0)))</f>
        <v>0</v>
      </c>
      <c r="BI1120">
        <f>IF($A1120="","",IF($A1121="",1,IF(BG1121&lt;&gt;BG1120,1,0)))</f>
        <v>0</v>
      </c>
      <c r="BJ1120">
        <f>IF($A1120="","",IF(BH1120=1,$B1120,BJ1119))</f>
        <v>0</v>
      </c>
      <c r="BK1120">
        <f>IF($A1120="","",IF(BH1120=1,$C1120,MAX($C1120,BK1119)))</f>
        <v>0</v>
      </c>
      <c r="BL1120">
        <f>IF($A1120="","",IF(BH1120=1,$D1120,MIN($D1120,BL1119)))</f>
        <v>0</v>
      </c>
      <c r="BM1120">
        <f>IF($A1120="","",IF(BI1120=1,F1120,""))</f>
        <v>0</v>
      </c>
      <c r="BN1120">
        <f>IF($A1120="","",DATE(YEAR($A1120),MONTH($A1120),1))</f>
        <v>0</v>
      </c>
      <c r="BO1120">
        <f>IF($A1120="","",IF($A1119="",1,IF(BN1120&lt;&gt;BN1119,1,0)))</f>
        <v>0</v>
      </c>
      <c r="BP1120">
        <f>IF($A1120="","",IF($A1121="",1,IF(BN1121&lt;&gt;BN1120,1,0)))</f>
        <v>0</v>
      </c>
      <c r="BQ1120">
        <f>IF($A1120="","",IF(BO1120=1,$B1120,BQ1119))</f>
        <v>0</v>
      </c>
      <c r="BR1120">
        <f>IF($A1120="","",IF(BO1120=1,$C1120,MAX($C1120,BR1119)))</f>
        <v>0</v>
      </c>
      <c r="BS1120">
        <f>IF($A1120="","",IF(BO1120=1,$D1120,MIN($D1120,BS1119)))</f>
        <v>0</v>
      </c>
      <c r="BT1120">
        <f>IF($A1120="","",IF(BP1120=1,F1120,""))</f>
        <v>0</v>
      </c>
    </row>
    <row r="1121" spans="1:72">
      <c r="A1121" s="27">
        <f>IF(Data!$A1121="","",Data!$A1121)</f>
        <v>0</v>
      </c>
      <c r="B1121">
        <f>IF(Data!$B1121="","",Data!$B1121)</f>
        <v>0</v>
      </c>
      <c r="C1121">
        <f>IF(Data!$C1121="","",Data!$C1121)</f>
        <v>0</v>
      </c>
      <c r="D1121">
        <f>IF(Data!$D1121="","",Data!$D1121)</f>
        <v>0</v>
      </c>
      <c r="E1121">
        <f>IF(Data!$E1121="","",Data!$E1121)</f>
        <v>0</v>
      </c>
      <c r="F1121">
        <f>IF($E1121="","",N(F1120)+1)</f>
        <v>0</v>
      </c>
      <c r="G1121">
        <f>IF(OR($E1121="",$E1120=""),"",LN($E1121/$E1120))</f>
        <v>0</v>
      </c>
      <c r="H1121">
        <f>IF($E1121="","",IF($E1120="",$E1121,$E1121*0.0952380952+H1120*0.9047619048))</f>
        <v>0</v>
      </c>
      <c r="I1121">
        <f>IF($E1121="","",IF($E1120="",$E1121,$E1121*0.0392156863+I1120*0.9607843137))</f>
        <v>0</v>
      </c>
      <c r="J1121">
        <f>IF($E1121="","",IF($E1120="",$E1121,$E1121*0.0198019802+J1120*0.9801980198))</f>
        <v>0</v>
      </c>
      <c r="K1121">
        <f>IF($E1121="","",IF($E1120="",$E1121,$E1121*0.0099502488+K1120*0.9900497512))</f>
        <v>0</v>
      </c>
      <c r="L1121">
        <f>IF(OR($E1121="",$E1120=""),"",MAX($E1121-$E1120,0))</f>
        <v>0</v>
      </c>
      <c r="M1121">
        <f>IF(OR($E1121="",$E1120=""),"",MAX($E1120-$E1121,0))</f>
        <v>0</v>
      </c>
      <c r="N1121">
        <f>IF(COUNT($E$2:$E1121)&lt;15,"",IF(AVERAGE($M$1108:$M$1121)=0,100,100-100/(1+AVERAGE($L$1108:$L$1121)/AVERAGE($M$1108:$M$1121))))</f>
        <v>0</v>
      </c>
      <c r="O1121">
        <f>IF($E1121="","",IF($E1120="",$E1121,$E1121*0.1538461538+O1120*0.8461538462))</f>
        <v>0</v>
      </c>
      <c r="P1121">
        <f>IF($E1121="","",IF($E1120="",$E1121,$E1121*0.0740740741+P1120*0.9259259259))</f>
        <v>0</v>
      </c>
      <c r="Q1121">
        <f>IF(OR(O1121="",P1121=""),"",O1121-P1121)</f>
        <v>0</v>
      </c>
      <c r="R1121">
        <f>IF(Q1121="","",IF(R1120="",Q1121,Q1121*0.2000000000+R1120*0.8000000000))</f>
        <v>0</v>
      </c>
      <c r="S1121">
        <f>IF(OR(Q1121="",R1121=""),"",Q1121-R1121)</f>
        <v>0</v>
      </c>
      <c r="T1121">
        <f>IF(COUNT($E$2:$E1121)&lt;14,"",MAX($C$1108:$C$1121))</f>
        <v>0</v>
      </c>
      <c r="U1121">
        <f>IF(COUNT($E$2:$E1121)&lt;14,"",MIN($D$1108:$D$1121))</f>
        <v>0</v>
      </c>
      <c r="V1121">
        <f>IF(OR(T1121="",U1121="",T1121=U1121),"",100*($E1121-U1121)/(T1121-U1121))</f>
        <v>0</v>
      </c>
      <c r="W1121">
        <f>IF(COUNT($V$1119:$V$1121)&lt;3,"",AVERAGE($V$1119:$V$1121))</f>
        <v>0</v>
      </c>
      <c r="X1121">
        <f>IF(COUNT($N$1108:$N$1121)&lt;14,"",MIN($N$1108:$N$1121))</f>
        <v>0</v>
      </c>
      <c r="Y1121">
        <f>IF(COUNT($N$1108:$N$1121)&lt;14,"",MAX($N$1108:$N$1121))</f>
        <v>0</v>
      </c>
      <c r="Z1121">
        <f>IF(OR(N1121="",X1121="",Y1121="",Y1121=X1121),"",100*(N1121-X1121)/(Y1121-X1121))</f>
        <v>0</v>
      </c>
      <c r="AA1121">
        <f>IF(COUNT($Z$1119:$Z$1121)&lt;3,"",AVERAGE($Z$1119:$Z$1121))</f>
        <v>0</v>
      </c>
      <c r="AB1121">
        <f>IF(COUNT($AA$1119:$AA$1121)&lt;3,"",AVERAGE($AA$1119:$AA$1121))</f>
        <v>0</v>
      </c>
      <c r="AC1121">
        <f>IF($E1121="","",MAX($C1121-$D1121,ABS($C1121-$E1120),ABS($D1121-$E1120)))</f>
        <v>0</v>
      </c>
      <c r="AD1121">
        <f>IF(COUNT($E$2:$E1121)&lt;15,"",AVERAGE($AC$1108:$AC$1121))</f>
        <v>0</v>
      </c>
      <c r="AE1121">
        <f>IF(OR($E1121="",$E1120=""),"",IF(AND(($C1121-$C1120)&gt;($D1120-$D1121),($C1121-$C1120)&gt;0),$C1121-$C1120,0))</f>
        <v>0</v>
      </c>
      <c r="AF1121">
        <f>IF(OR($E1121="",$E1120=""),"",IF(AND(($D1120-$D1121)&gt;($C1121-$C1120),($D1120-$D1121)&gt;0),$D1120-$D1121,0))</f>
        <v>0</v>
      </c>
      <c r="AG1121">
        <f>IF(COUNT($E$2:$E1121)&lt;15,"",IF(SUM($AC$1108:$AC$1121)=0,0,100*SUM($AE$1108:$AE$1121)/SUM($AC$1108:$AC$1121)))</f>
        <v>0</v>
      </c>
      <c r="AH1121">
        <f>IF(COUNT($E$2:$E1121)&lt;15,"",IF(SUM($AC$1108:$AC$1121)=0,0,100*SUM($AF$1108:$AF$1121)/SUM($AC$1108:$AC$1121)))</f>
        <v>0</v>
      </c>
      <c r="AI1121">
        <f>IF(OR(AG1121="",AH1121=""),"",IF((AG1121+AH1121)=0,0,100*ABS(AG1121-AH1121)/(AG1121+AH1121)))</f>
        <v>0</v>
      </c>
      <c r="AJ1121">
        <f>IF(COUNT($AI$1108:$AI$1121)&lt;14,"",AVERAGE($AI$1108:$AI$1121))</f>
        <v>0</v>
      </c>
      <c r="AK1121">
        <f>IF(COUNT($E$2:$E1121)&lt;20,"",AVERAGE($E$1102:$E$1121))</f>
        <v>0</v>
      </c>
      <c r="AL1121">
        <f>IF(COUNT($E$2:$E1121)&lt;20,"",STDEVP($E$1102:$E$1121))</f>
        <v>0</v>
      </c>
      <c r="AM1121">
        <f>IF(AK1121="","",AK1121+2*AL1121)</f>
        <v>0</v>
      </c>
      <c r="AN1121">
        <f>IF(AK1121="","",AK1121-2*AL1121)</f>
        <v>0</v>
      </c>
      <c r="AO1121">
        <f>IF(OR(AM1121="",AN1121="",AM1121=AN1121),"",($E1121-AN1121)/(AM1121-AN1121))</f>
        <v>0</v>
      </c>
      <c r="AP1121">
        <f>IF(OR(AM1121="",AK1121="",AK1121=0),"",(AM1121-AN1121)/AK1121)</f>
        <v>0</v>
      </c>
      <c r="AQ1121">
        <f>IF(COUNT($E$2:$E1121)&lt;20,"",MAX($C$1102:$C$1121))</f>
        <v>0</v>
      </c>
      <c r="AR1121">
        <f>IF(COUNT($E$2:$E1121)&lt;20,"",MIN($D$1102:$D$1121))</f>
        <v>0</v>
      </c>
      <c r="AS1121">
        <f>IF(OR(AQ1121="",AR1121=""),"",(AQ1121+AR1121)/2)</f>
        <v>0</v>
      </c>
      <c r="AT1121">
        <f>IF(COUNT($G$1102:$G$1121)&lt;20,"",STDEV($G$1102:$G$1121)*SQRT(252))</f>
        <v>0</v>
      </c>
      <c r="AU1121">
        <f>IF(COUNT($E$2:$E1121)&lt;9,"",(MAX($C$1113:$C$1121)+MIN($D$1113:$D$1121))/2)</f>
        <v>0</v>
      </c>
      <c r="AV1121">
        <f>IF(COUNT($E$2:$E1121)&lt;26,"",(MAX($C$1096:$C$1121)+MIN($D$1096:$D$1121))/2)</f>
        <v>0</v>
      </c>
      <c r="AW1121">
        <f>IF(OR(AU1121="",AV1121=""),"",(AU1121+AV1121)/2)</f>
        <v>0</v>
      </c>
      <c r="AX1121">
        <f>IF(COUNT($E$2:$E1121)&lt;52,"",(MAX($C$1070:$C$1121)+MIN($D$1070:$D$1121))/2)</f>
        <v>0</v>
      </c>
      <c r="AY1121">
        <f>IF(COUNT($E$2:$E1121)&lt;20,"",MAX($C$1022:$C$1121))</f>
        <v>0</v>
      </c>
      <c r="AZ1121">
        <f>IF(COUNT($E$2:$E1121)&lt;20,"",MIN($D$1022:$D$1121))</f>
        <v>0</v>
      </c>
      <c r="BA1121">
        <f>IF(COUNT($E$2:$E1121)&lt;20,"",SLOPE($E$1022:$E$1121,$F$1022:$F$1121))</f>
        <v>0</v>
      </c>
      <c r="BB1121">
        <f>IF(COUNT($E$2:$E1121)&lt;20,"",INTERCEPT($E$1022:$E$1121,$F$1022:$F$1121))</f>
        <v>0</v>
      </c>
      <c r="BC1121">
        <f>IF(OR(BA1121="",BB1121=""),"",BB1121+BA1121*F1121)</f>
        <v>0</v>
      </c>
      <c r="BD1121">
        <f>IF(COUNT($E$2:$E1121)&lt;20,"",STEYX($E$1022:$E$1121,$F$1022:$F$1121))</f>
        <v>0</v>
      </c>
      <c r="BE1121">
        <f>IF($E1121="","",IF(AND(COUNT($E$1122:$E$1125)&gt;=4,$C1121=MAX($C$1117:$C$1125)),$C1121,""))</f>
        <v>0</v>
      </c>
      <c r="BF1121">
        <f>IF($E1121="","",IF(AND(COUNT($E$1122:$E$1125)&gt;=4,$D1121=MIN($D$1117:$D$1125)),$D1121,""))</f>
        <v>0</v>
      </c>
      <c r="BG1121">
        <f>IF($A1121="","",$A1121-WEEKDAY($A1121,2)+1)</f>
        <v>0</v>
      </c>
      <c r="BH1121">
        <f>IF($A1121="","",IF($A1120="",1,IF(BG1121&lt;&gt;BG1120,1,0)))</f>
        <v>0</v>
      </c>
      <c r="BI1121">
        <f>IF($A1121="","",IF($A1122="",1,IF(BG1122&lt;&gt;BG1121,1,0)))</f>
        <v>0</v>
      </c>
      <c r="BJ1121">
        <f>IF($A1121="","",IF(BH1121=1,$B1121,BJ1120))</f>
        <v>0</v>
      </c>
      <c r="BK1121">
        <f>IF($A1121="","",IF(BH1121=1,$C1121,MAX($C1121,BK1120)))</f>
        <v>0</v>
      </c>
      <c r="BL1121">
        <f>IF($A1121="","",IF(BH1121=1,$D1121,MIN($D1121,BL1120)))</f>
        <v>0</v>
      </c>
      <c r="BM1121">
        <f>IF($A1121="","",IF(BI1121=1,F1121,""))</f>
        <v>0</v>
      </c>
      <c r="BN1121">
        <f>IF($A1121="","",DATE(YEAR($A1121),MONTH($A1121),1))</f>
        <v>0</v>
      </c>
      <c r="BO1121">
        <f>IF($A1121="","",IF($A1120="",1,IF(BN1121&lt;&gt;BN1120,1,0)))</f>
        <v>0</v>
      </c>
      <c r="BP1121">
        <f>IF($A1121="","",IF($A1122="",1,IF(BN1122&lt;&gt;BN1121,1,0)))</f>
        <v>0</v>
      </c>
      <c r="BQ1121">
        <f>IF($A1121="","",IF(BO1121=1,$B1121,BQ1120))</f>
        <v>0</v>
      </c>
      <c r="BR1121">
        <f>IF($A1121="","",IF(BO1121=1,$C1121,MAX($C1121,BR1120)))</f>
        <v>0</v>
      </c>
      <c r="BS1121">
        <f>IF($A1121="","",IF(BO1121=1,$D1121,MIN($D1121,BS1120)))</f>
        <v>0</v>
      </c>
      <c r="BT1121">
        <f>IF($A1121="","",IF(BP1121=1,F1121,""))</f>
        <v>0</v>
      </c>
    </row>
    <row r="1122" spans="1:72">
      <c r="A1122" s="27">
        <f>IF(Data!$A1122="","",Data!$A1122)</f>
        <v>0</v>
      </c>
      <c r="B1122">
        <f>IF(Data!$B1122="","",Data!$B1122)</f>
        <v>0</v>
      </c>
      <c r="C1122">
        <f>IF(Data!$C1122="","",Data!$C1122)</f>
        <v>0</v>
      </c>
      <c r="D1122">
        <f>IF(Data!$D1122="","",Data!$D1122)</f>
        <v>0</v>
      </c>
      <c r="E1122">
        <f>IF(Data!$E1122="","",Data!$E1122)</f>
        <v>0</v>
      </c>
      <c r="F1122">
        <f>IF($E1122="","",N(F1121)+1)</f>
        <v>0</v>
      </c>
      <c r="G1122">
        <f>IF(OR($E1122="",$E1121=""),"",LN($E1122/$E1121))</f>
        <v>0</v>
      </c>
      <c r="H1122">
        <f>IF($E1122="","",IF($E1121="",$E1122,$E1122*0.0952380952+H1121*0.9047619048))</f>
        <v>0</v>
      </c>
      <c r="I1122">
        <f>IF($E1122="","",IF($E1121="",$E1122,$E1122*0.0392156863+I1121*0.9607843137))</f>
        <v>0</v>
      </c>
      <c r="J1122">
        <f>IF($E1122="","",IF($E1121="",$E1122,$E1122*0.0198019802+J1121*0.9801980198))</f>
        <v>0</v>
      </c>
      <c r="K1122">
        <f>IF($E1122="","",IF($E1121="",$E1122,$E1122*0.0099502488+K1121*0.9900497512))</f>
        <v>0</v>
      </c>
      <c r="L1122">
        <f>IF(OR($E1122="",$E1121=""),"",MAX($E1122-$E1121,0))</f>
        <v>0</v>
      </c>
      <c r="M1122">
        <f>IF(OR($E1122="",$E1121=""),"",MAX($E1121-$E1122,0))</f>
        <v>0</v>
      </c>
      <c r="N1122">
        <f>IF(COUNT($E$2:$E1122)&lt;15,"",IF(AVERAGE($M$1109:$M$1122)=0,100,100-100/(1+AVERAGE($L$1109:$L$1122)/AVERAGE($M$1109:$M$1122))))</f>
        <v>0</v>
      </c>
      <c r="O1122">
        <f>IF($E1122="","",IF($E1121="",$E1122,$E1122*0.1538461538+O1121*0.8461538462))</f>
        <v>0</v>
      </c>
      <c r="P1122">
        <f>IF($E1122="","",IF($E1121="",$E1122,$E1122*0.0740740741+P1121*0.9259259259))</f>
        <v>0</v>
      </c>
      <c r="Q1122">
        <f>IF(OR(O1122="",P1122=""),"",O1122-P1122)</f>
        <v>0</v>
      </c>
      <c r="R1122">
        <f>IF(Q1122="","",IF(R1121="",Q1122,Q1122*0.2000000000+R1121*0.8000000000))</f>
        <v>0</v>
      </c>
      <c r="S1122">
        <f>IF(OR(Q1122="",R1122=""),"",Q1122-R1122)</f>
        <v>0</v>
      </c>
      <c r="T1122">
        <f>IF(COUNT($E$2:$E1122)&lt;14,"",MAX($C$1109:$C$1122))</f>
        <v>0</v>
      </c>
      <c r="U1122">
        <f>IF(COUNT($E$2:$E1122)&lt;14,"",MIN($D$1109:$D$1122))</f>
        <v>0</v>
      </c>
      <c r="V1122">
        <f>IF(OR(T1122="",U1122="",T1122=U1122),"",100*($E1122-U1122)/(T1122-U1122))</f>
        <v>0</v>
      </c>
      <c r="W1122">
        <f>IF(COUNT($V$1120:$V$1122)&lt;3,"",AVERAGE($V$1120:$V$1122))</f>
        <v>0</v>
      </c>
      <c r="X1122">
        <f>IF(COUNT($N$1109:$N$1122)&lt;14,"",MIN($N$1109:$N$1122))</f>
        <v>0</v>
      </c>
      <c r="Y1122">
        <f>IF(COUNT($N$1109:$N$1122)&lt;14,"",MAX($N$1109:$N$1122))</f>
        <v>0</v>
      </c>
      <c r="Z1122">
        <f>IF(OR(N1122="",X1122="",Y1122="",Y1122=X1122),"",100*(N1122-X1122)/(Y1122-X1122))</f>
        <v>0</v>
      </c>
      <c r="AA1122">
        <f>IF(COUNT($Z$1120:$Z$1122)&lt;3,"",AVERAGE($Z$1120:$Z$1122))</f>
        <v>0</v>
      </c>
      <c r="AB1122">
        <f>IF(COUNT($AA$1120:$AA$1122)&lt;3,"",AVERAGE($AA$1120:$AA$1122))</f>
        <v>0</v>
      </c>
      <c r="AC1122">
        <f>IF($E1122="","",MAX($C1122-$D1122,ABS($C1122-$E1121),ABS($D1122-$E1121)))</f>
        <v>0</v>
      </c>
      <c r="AD1122">
        <f>IF(COUNT($E$2:$E1122)&lt;15,"",AVERAGE($AC$1109:$AC$1122))</f>
        <v>0</v>
      </c>
      <c r="AE1122">
        <f>IF(OR($E1122="",$E1121=""),"",IF(AND(($C1122-$C1121)&gt;($D1121-$D1122),($C1122-$C1121)&gt;0),$C1122-$C1121,0))</f>
        <v>0</v>
      </c>
      <c r="AF1122">
        <f>IF(OR($E1122="",$E1121=""),"",IF(AND(($D1121-$D1122)&gt;($C1122-$C1121),($D1121-$D1122)&gt;0),$D1121-$D1122,0))</f>
        <v>0</v>
      </c>
      <c r="AG1122">
        <f>IF(COUNT($E$2:$E1122)&lt;15,"",IF(SUM($AC$1109:$AC$1122)=0,0,100*SUM($AE$1109:$AE$1122)/SUM($AC$1109:$AC$1122)))</f>
        <v>0</v>
      </c>
      <c r="AH1122">
        <f>IF(COUNT($E$2:$E1122)&lt;15,"",IF(SUM($AC$1109:$AC$1122)=0,0,100*SUM($AF$1109:$AF$1122)/SUM($AC$1109:$AC$1122)))</f>
        <v>0</v>
      </c>
      <c r="AI1122">
        <f>IF(OR(AG1122="",AH1122=""),"",IF((AG1122+AH1122)=0,0,100*ABS(AG1122-AH1122)/(AG1122+AH1122)))</f>
        <v>0</v>
      </c>
      <c r="AJ1122">
        <f>IF(COUNT($AI$1109:$AI$1122)&lt;14,"",AVERAGE($AI$1109:$AI$1122))</f>
        <v>0</v>
      </c>
      <c r="AK1122">
        <f>IF(COUNT($E$2:$E1122)&lt;20,"",AVERAGE($E$1103:$E$1122))</f>
        <v>0</v>
      </c>
      <c r="AL1122">
        <f>IF(COUNT($E$2:$E1122)&lt;20,"",STDEVP($E$1103:$E$1122))</f>
        <v>0</v>
      </c>
      <c r="AM1122">
        <f>IF(AK1122="","",AK1122+2*AL1122)</f>
        <v>0</v>
      </c>
      <c r="AN1122">
        <f>IF(AK1122="","",AK1122-2*AL1122)</f>
        <v>0</v>
      </c>
      <c r="AO1122">
        <f>IF(OR(AM1122="",AN1122="",AM1122=AN1122),"",($E1122-AN1122)/(AM1122-AN1122))</f>
        <v>0</v>
      </c>
      <c r="AP1122">
        <f>IF(OR(AM1122="",AK1122="",AK1122=0),"",(AM1122-AN1122)/AK1122)</f>
        <v>0</v>
      </c>
      <c r="AQ1122">
        <f>IF(COUNT($E$2:$E1122)&lt;20,"",MAX($C$1103:$C$1122))</f>
        <v>0</v>
      </c>
      <c r="AR1122">
        <f>IF(COUNT($E$2:$E1122)&lt;20,"",MIN($D$1103:$D$1122))</f>
        <v>0</v>
      </c>
      <c r="AS1122">
        <f>IF(OR(AQ1122="",AR1122=""),"",(AQ1122+AR1122)/2)</f>
        <v>0</v>
      </c>
      <c r="AT1122">
        <f>IF(COUNT($G$1103:$G$1122)&lt;20,"",STDEV($G$1103:$G$1122)*SQRT(252))</f>
        <v>0</v>
      </c>
      <c r="AU1122">
        <f>IF(COUNT($E$2:$E1122)&lt;9,"",(MAX($C$1114:$C$1122)+MIN($D$1114:$D$1122))/2)</f>
        <v>0</v>
      </c>
      <c r="AV1122">
        <f>IF(COUNT($E$2:$E1122)&lt;26,"",(MAX($C$1097:$C$1122)+MIN($D$1097:$D$1122))/2)</f>
        <v>0</v>
      </c>
      <c r="AW1122">
        <f>IF(OR(AU1122="",AV1122=""),"",(AU1122+AV1122)/2)</f>
        <v>0</v>
      </c>
      <c r="AX1122">
        <f>IF(COUNT($E$2:$E1122)&lt;52,"",(MAX($C$1071:$C$1122)+MIN($D$1071:$D$1122))/2)</f>
        <v>0</v>
      </c>
      <c r="AY1122">
        <f>IF(COUNT($E$2:$E1122)&lt;20,"",MAX($C$1023:$C$1122))</f>
        <v>0</v>
      </c>
      <c r="AZ1122">
        <f>IF(COUNT($E$2:$E1122)&lt;20,"",MIN($D$1023:$D$1122))</f>
        <v>0</v>
      </c>
      <c r="BA1122">
        <f>IF(COUNT($E$2:$E1122)&lt;20,"",SLOPE($E$1023:$E$1122,$F$1023:$F$1122))</f>
        <v>0</v>
      </c>
      <c r="BB1122">
        <f>IF(COUNT($E$2:$E1122)&lt;20,"",INTERCEPT($E$1023:$E$1122,$F$1023:$F$1122))</f>
        <v>0</v>
      </c>
      <c r="BC1122">
        <f>IF(OR(BA1122="",BB1122=""),"",BB1122+BA1122*F1122)</f>
        <v>0</v>
      </c>
      <c r="BD1122">
        <f>IF(COUNT($E$2:$E1122)&lt;20,"",STEYX($E$1023:$E$1122,$F$1023:$F$1122))</f>
        <v>0</v>
      </c>
      <c r="BE1122">
        <f>IF($E1122="","",IF(AND(COUNT($E$1123:$E$1126)&gt;=4,$C1122=MAX($C$1118:$C$1126)),$C1122,""))</f>
        <v>0</v>
      </c>
      <c r="BF1122">
        <f>IF($E1122="","",IF(AND(COUNT($E$1123:$E$1126)&gt;=4,$D1122=MIN($D$1118:$D$1126)),$D1122,""))</f>
        <v>0</v>
      </c>
      <c r="BG1122">
        <f>IF($A1122="","",$A1122-WEEKDAY($A1122,2)+1)</f>
        <v>0</v>
      </c>
      <c r="BH1122">
        <f>IF($A1122="","",IF($A1121="",1,IF(BG1122&lt;&gt;BG1121,1,0)))</f>
        <v>0</v>
      </c>
      <c r="BI1122">
        <f>IF($A1122="","",IF($A1123="",1,IF(BG1123&lt;&gt;BG1122,1,0)))</f>
        <v>0</v>
      </c>
      <c r="BJ1122">
        <f>IF($A1122="","",IF(BH1122=1,$B1122,BJ1121))</f>
        <v>0</v>
      </c>
      <c r="BK1122">
        <f>IF($A1122="","",IF(BH1122=1,$C1122,MAX($C1122,BK1121)))</f>
        <v>0</v>
      </c>
      <c r="BL1122">
        <f>IF($A1122="","",IF(BH1122=1,$D1122,MIN($D1122,BL1121)))</f>
        <v>0</v>
      </c>
      <c r="BM1122">
        <f>IF($A1122="","",IF(BI1122=1,F1122,""))</f>
        <v>0</v>
      </c>
      <c r="BN1122">
        <f>IF($A1122="","",DATE(YEAR($A1122),MONTH($A1122),1))</f>
        <v>0</v>
      </c>
      <c r="BO1122">
        <f>IF($A1122="","",IF($A1121="",1,IF(BN1122&lt;&gt;BN1121,1,0)))</f>
        <v>0</v>
      </c>
      <c r="BP1122">
        <f>IF($A1122="","",IF($A1123="",1,IF(BN1123&lt;&gt;BN1122,1,0)))</f>
        <v>0</v>
      </c>
      <c r="BQ1122">
        <f>IF($A1122="","",IF(BO1122=1,$B1122,BQ1121))</f>
        <v>0</v>
      </c>
      <c r="BR1122">
        <f>IF($A1122="","",IF(BO1122=1,$C1122,MAX($C1122,BR1121)))</f>
        <v>0</v>
      </c>
      <c r="BS1122">
        <f>IF($A1122="","",IF(BO1122=1,$D1122,MIN($D1122,BS1121)))</f>
        <v>0</v>
      </c>
      <c r="BT1122">
        <f>IF($A1122="","",IF(BP1122=1,F1122,""))</f>
        <v>0</v>
      </c>
    </row>
    <row r="1123" spans="1:72">
      <c r="A1123" s="27">
        <f>IF(Data!$A1123="","",Data!$A1123)</f>
        <v>0</v>
      </c>
      <c r="B1123">
        <f>IF(Data!$B1123="","",Data!$B1123)</f>
        <v>0</v>
      </c>
      <c r="C1123">
        <f>IF(Data!$C1123="","",Data!$C1123)</f>
        <v>0</v>
      </c>
      <c r="D1123">
        <f>IF(Data!$D1123="","",Data!$D1123)</f>
        <v>0</v>
      </c>
      <c r="E1123">
        <f>IF(Data!$E1123="","",Data!$E1123)</f>
        <v>0</v>
      </c>
      <c r="F1123">
        <f>IF($E1123="","",N(F1122)+1)</f>
        <v>0</v>
      </c>
      <c r="G1123">
        <f>IF(OR($E1123="",$E1122=""),"",LN($E1123/$E1122))</f>
        <v>0</v>
      </c>
      <c r="H1123">
        <f>IF($E1123="","",IF($E1122="",$E1123,$E1123*0.0952380952+H1122*0.9047619048))</f>
        <v>0</v>
      </c>
      <c r="I1123">
        <f>IF($E1123="","",IF($E1122="",$E1123,$E1123*0.0392156863+I1122*0.9607843137))</f>
        <v>0</v>
      </c>
      <c r="J1123">
        <f>IF($E1123="","",IF($E1122="",$E1123,$E1123*0.0198019802+J1122*0.9801980198))</f>
        <v>0</v>
      </c>
      <c r="K1123">
        <f>IF($E1123="","",IF($E1122="",$E1123,$E1123*0.0099502488+K1122*0.9900497512))</f>
        <v>0</v>
      </c>
      <c r="L1123">
        <f>IF(OR($E1123="",$E1122=""),"",MAX($E1123-$E1122,0))</f>
        <v>0</v>
      </c>
      <c r="M1123">
        <f>IF(OR($E1123="",$E1122=""),"",MAX($E1122-$E1123,0))</f>
        <v>0</v>
      </c>
      <c r="N1123">
        <f>IF(COUNT($E$2:$E1123)&lt;15,"",IF(AVERAGE($M$1110:$M$1123)=0,100,100-100/(1+AVERAGE($L$1110:$L$1123)/AVERAGE($M$1110:$M$1123))))</f>
        <v>0</v>
      </c>
      <c r="O1123">
        <f>IF($E1123="","",IF($E1122="",$E1123,$E1123*0.1538461538+O1122*0.8461538462))</f>
        <v>0</v>
      </c>
      <c r="P1123">
        <f>IF($E1123="","",IF($E1122="",$E1123,$E1123*0.0740740741+P1122*0.9259259259))</f>
        <v>0</v>
      </c>
      <c r="Q1123">
        <f>IF(OR(O1123="",P1123=""),"",O1123-P1123)</f>
        <v>0</v>
      </c>
      <c r="R1123">
        <f>IF(Q1123="","",IF(R1122="",Q1123,Q1123*0.2000000000+R1122*0.8000000000))</f>
        <v>0</v>
      </c>
      <c r="S1123">
        <f>IF(OR(Q1123="",R1123=""),"",Q1123-R1123)</f>
        <v>0</v>
      </c>
      <c r="T1123">
        <f>IF(COUNT($E$2:$E1123)&lt;14,"",MAX($C$1110:$C$1123))</f>
        <v>0</v>
      </c>
      <c r="U1123">
        <f>IF(COUNT($E$2:$E1123)&lt;14,"",MIN($D$1110:$D$1123))</f>
        <v>0</v>
      </c>
      <c r="V1123">
        <f>IF(OR(T1123="",U1123="",T1123=U1123),"",100*($E1123-U1123)/(T1123-U1123))</f>
        <v>0</v>
      </c>
      <c r="W1123">
        <f>IF(COUNT($V$1121:$V$1123)&lt;3,"",AVERAGE($V$1121:$V$1123))</f>
        <v>0</v>
      </c>
      <c r="X1123">
        <f>IF(COUNT($N$1110:$N$1123)&lt;14,"",MIN($N$1110:$N$1123))</f>
        <v>0</v>
      </c>
      <c r="Y1123">
        <f>IF(COUNT($N$1110:$N$1123)&lt;14,"",MAX($N$1110:$N$1123))</f>
        <v>0</v>
      </c>
      <c r="Z1123">
        <f>IF(OR(N1123="",X1123="",Y1123="",Y1123=X1123),"",100*(N1123-X1123)/(Y1123-X1123))</f>
        <v>0</v>
      </c>
      <c r="AA1123">
        <f>IF(COUNT($Z$1121:$Z$1123)&lt;3,"",AVERAGE($Z$1121:$Z$1123))</f>
        <v>0</v>
      </c>
      <c r="AB1123">
        <f>IF(COUNT($AA$1121:$AA$1123)&lt;3,"",AVERAGE($AA$1121:$AA$1123))</f>
        <v>0</v>
      </c>
      <c r="AC1123">
        <f>IF($E1123="","",MAX($C1123-$D1123,ABS($C1123-$E1122),ABS($D1123-$E1122)))</f>
        <v>0</v>
      </c>
      <c r="AD1123">
        <f>IF(COUNT($E$2:$E1123)&lt;15,"",AVERAGE($AC$1110:$AC$1123))</f>
        <v>0</v>
      </c>
      <c r="AE1123">
        <f>IF(OR($E1123="",$E1122=""),"",IF(AND(($C1123-$C1122)&gt;($D1122-$D1123),($C1123-$C1122)&gt;0),$C1123-$C1122,0))</f>
        <v>0</v>
      </c>
      <c r="AF1123">
        <f>IF(OR($E1123="",$E1122=""),"",IF(AND(($D1122-$D1123)&gt;($C1123-$C1122),($D1122-$D1123)&gt;0),$D1122-$D1123,0))</f>
        <v>0</v>
      </c>
      <c r="AG1123">
        <f>IF(COUNT($E$2:$E1123)&lt;15,"",IF(SUM($AC$1110:$AC$1123)=0,0,100*SUM($AE$1110:$AE$1123)/SUM($AC$1110:$AC$1123)))</f>
        <v>0</v>
      </c>
      <c r="AH1123">
        <f>IF(COUNT($E$2:$E1123)&lt;15,"",IF(SUM($AC$1110:$AC$1123)=0,0,100*SUM($AF$1110:$AF$1123)/SUM($AC$1110:$AC$1123)))</f>
        <v>0</v>
      </c>
      <c r="AI1123">
        <f>IF(OR(AG1123="",AH1123=""),"",IF((AG1123+AH1123)=0,0,100*ABS(AG1123-AH1123)/(AG1123+AH1123)))</f>
        <v>0</v>
      </c>
      <c r="AJ1123">
        <f>IF(COUNT($AI$1110:$AI$1123)&lt;14,"",AVERAGE($AI$1110:$AI$1123))</f>
        <v>0</v>
      </c>
      <c r="AK1123">
        <f>IF(COUNT($E$2:$E1123)&lt;20,"",AVERAGE($E$1104:$E$1123))</f>
        <v>0</v>
      </c>
      <c r="AL1123">
        <f>IF(COUNT($E$2:$E1123)&lt;20,"",STDEVP($E$1104:$E$1123))</f>
        <v>0</v>
      </c>
      <c r="AM1123">
        <f>IF(AK1123="","",AK1123+2*AL1123)</f>
        <v>0</v>
      </c>
      <c r="AN1123">
        <f>IF(AK1123="","",AK1123-2*AL1123)</f>
        <v>0</v>
      </c>
      <c r="AO1123">
        <f>IF(OR(AM1123="",AN1123="",AM1123=AN1123),"",($E1123-AN1123)/(AM1123-AN1123))</f>
        <v>0</v>
      </c>
      <c r="AP1123">
        <f>IF(OR(AM1123="",AK1123="",AK1123=0),"",(AM1123-AN1123)/AK1123)</f>
        <v>0</v>
      </c>
      <c r="AQ1123">
        <f>IF(COUNT($E$2:$E1123)&lt;20,"",MAX($C$1104:$C$1123))</f>
        <v>0</v>
      </c>
      <c r="AR1123">
        <f>IF(COUNT($E$2:$E1123)&lt;20,"",MIN($D$1104:$D$1123))</f>
        <v>0</v>
      </c>
      <c r="AS1123">
        <f>IF(OR(AQ1123="",AR1123=""),"",(AQ1123+AR1123)/2)</f>
        <v>0</v>
      </c>
      <c r="AT1123">
        <f>IF(COUNT($G$1104:$G$1123)&lt;20,"",STDEV($G$1104:$G$1123)*SQRT(252))</f>
        <v>0</v>
      </c>
      <c r="AU1123">
        <f>IF(COUNT($E$2:$E1123)&lt;9,"",(MAX($C$1115:$C$1123)+MIN($D$1115:$D$1123))/2)</f>
        <v>0</v>
      </c>
      <c r="AV1123">
        <f>IF(COUNT($E$2:$E1123)&lt;26,"",(MAX($C$1098:$C$1123)+MIN($D$1098:$D$1123))/2)</f>
        <v>0</v>
      </c>
      <c r="AW1123">
        <f>IF(OR(AU1123="",AV1123=""),"",(AU1123+AV1123)/2)</f>
        <v>0</v>
      </c>
      <c r="AX1123">
        <f>IF(COUNT($E$2:$E1123)&lt;52,"",(MAX($C$1072:$C$1123)+MIN($D$1072:$D$1123))/2)</f>
        <v>0</v>
      </c>
      <c r="AY1123">
        <f>IF(COUNT($E$2:$E1123)&lt;20,"",MAX($C$1024:$C$1123))</f>
        <v>0</v>
      </c>
      <c r="AZ1123">
        <f>IF(COUNT($E$2:$E1123)&lt;20,"",MIN($D$1024:$D$1123))</f>
        <v>0</v>
      </c>
      <c r="BA1123">
        <f>IF(COUNT($E$2:$E1123)&lt;20,"",SLOPE($E$1024:$E$1123,$F$1024:$F$1123))</f>
        <v>0</v>
      </c>
      <c r="BB1123">
        <f>IF(COUNT($E$2:$E1123)&lt;20,"",INTERCEPT($E$1024:$E$1123,$F$1024:$F$1123))</f>
        <v>0</v>
      </c>
      <c r="BC1123">
        <f>IF(OR(BA1123="",BB1123=""),"",BB1123+BA1123*F1123)</f>
        <v>0</v>
      </c>
      <c r="BD1123">
        <f>IF(COUNT($E$2:$E1123)&lt;20,"",STEYX($E$1024:$E$1123,$F$1024:$F$1123))</f>
        <v>0</v>
      </c>
      <c r="BE1123">
        <f>IF($E1123="","",IF(AND(COUNT($E$1124:$E$1127)&gt;=4,$C1123=MAX($C$1119:$C$1127)),$C1123,""))</f>
        <v>0</v>
      </c>
      <c r="BF1123">
        <f>IF($E1123="","",IF(AND(COUNT($E$1124:$E$1127)&gt;=4,$D1123=MIN($D$1119:$D$1127)),$D1123,""))</f>
        <v>0</v>
      </c>
      <c r="BG1123">
        <f>IF($A1123="","",$A1123-WEEKDAY($A1123,2)+1)</f>
        <v>0</v>
      </c>
      <c r="BH1123">
        <f>IF($A1123="","",IF($A1122="",1,IF(BG1123&lt;&gt;BG1122,1,0)))</f>
        <v>0</v>
      </c>
      <c r="BI1123">
        <f>IF($A1123="","",IF($A1124="",1,IF(BG1124&lt;&gt;BG1123,1,0)))</f>
        <v>0</v>
      </c>
      <c r="BJ1123">
        <f>IF($A1123="","",IF(BH1123=1,$B1123,BJ1122))</f>
        <v>0</v>
      </c>
      <c r="BK1123">
        <f>IF($A1123="","",IF(BH1123=1,$C1123,MAX($C1123,BK1122)))</f>
        <v>0</v>
      </c>
      <c r="BL1123">
        <f>IF($A1123="","",IF(BH1123=1,$D1123,MIN($D1123,BL1122)))</f>
        <v>0</v>
      </c>
      <c r="BM1123">
        <f>IF($A1123="","",IF(BI1123=1,F1123,""))</f>
        <v>0</v>
      </c>
      <c r="BN1123">
        <f>IF($A1123="","",DATE(YEAR($A1123),MONTH($A1123),1))</f>
        <v>0</v>
      </c>
      <c r="BO1123">
        <f>IF($A1123="","",IF($A1122="",1,IF(BN1123&lt;&gt;BN1122,1,0)))</f>
        <v>0</v>
      </c>
      <c r="BP1123">
        <f>IF($A1123="","",IF($A1124="",1,IF(BN1124&lt;&gt;BN1123,1,0)))</f>
        <v>0</v>
      </c>
      <c r="BQ1123">
        <f>IF($A1123="","",IF(BO1123=1,$B1123,BQ1122))</f>
        <v>0</v>
      </c>
      <c r="BR1123">
        <f>IF($A1123="","",IF(BO1123=1,$C1123,MAX($C1123,BR1122)))</f>
        <v>0</v>
      </c>
      <c r="BS1123">
        <f>IF($A1123="","",IF(BO1123=1,$D1123,MIN($D1123,BS1122)))</f>
        <v>0</v>
      </c>
      <c r="BT1123">
        <f>IF($A1123="","",IF(BP1123=1,F1123,""))</f>
        <v>0</v>
      </c>
    </row>
    <row r="1124" spans="1:72">
      <c r="A1124" s="27">
        <f>IF(Data!$A1124="","",Data!$A1124)</f>
        <v>0</v>
      </c>
      <c r="B1124">
        <f>IF(Data!$B1124="","",Data!$B1124)</f>
        <v>0</v>
      </c>
      <c r="C1124">
        <f>IF(Data!$C1124="","",Data!$C1124)</f>
        <v>0</v>
      </c>
      <c r="D1124">
        <f>IF(Data!$D1124="","",Data!$D1124)</f>
        <v>0</v>
      </c>
      <c r="E1124">
        <f>IF(Data!$E1124="","",Data!$E1124)</f>
        <v>0</v>
      </c>
      <c r="F1124">
        <f>IF($E1124="","",N(F1123)+1)</f>
        <v>0</v>
      </c>
      <c r="G1124">
        <f>IF(OR($E1124="",$E1123=""),"",LN($E1124/$E1123))</f>
        <v>0</v>
      </c>
      <c r="H1124">
        <f>IF($E1124="","",IF($E1123="",$E1124,$E1124*0.0952380952+H1123*0.9047619048))</f>
        <v>0</v>
      </c>
      <c r="I1124">
        <f>IF($E1124="","",IF($E1123="",$E1124,$E1124*0.0392156863+I1123*0.9607843137))</f>
        <v>0</v>
      </c>
      <c r="J1124">
        <f>IF($E1124="","",IF($E1123="",$E1124,$E1124*0.0198019802+J1123*0.9801980198))</f>
        <v>0</v>
      </c>
      <c r="K1124">
        <f>IF($E1124="","",IF($E1123="",$E1124,$E1124*0.0099502488+K1123*0.9900497512))</f>
        <v>0</v>
      </c>
      <c r="L1124">
        <f>IF(OR($E1124="",$E1123=""),"",MAX($E1124-$E1123,0))</f>
        <v>0</v>
      </c>
      <c r="M1124">
        <f>IF(OR($E1124="",$E1123=""),"",MAX($E1123-$E1124,0))</f>
        <v>0</v>
      </c>
      <c r="N1124">
        <f>IF(COUNT($E$2:$E1124)&lt;15,"",IF(AVERAGE($M$1111:$M$1124)=0,100,100-100/(1+AVERAGE($L$1111:$L$1124)/AVERAGE($M$1111:$M$1124))))</f>
        <v>0</v>
      </c>
      <c r="O1124">
        <f>IF($E1124="","",IF($E1123="",$E1124,$E1124*0.1538461538+O1123*0.8461538462))</f>
        <v>0</v>
      </c>
      <c r="P1124">
        <f>IF($E1124="","",IF($E1123="",$E1124,$E1124*0.0740740741+P1123*0.9259259259))</f>
        <v>0</v>
      </c>
      <c r="Q1124">
        <f>IF(OR(O1124="",P1124=""),"",O1124-P1124)</f>
        <v>0</v>
      </c>
      <c r="R1124">
        <f>IF(Q1124="","",IF(R1123="",Q1124,Q1124*0.2000000000+R1123*0.8000000000))</f>
        <v>0</v>
      </c>
      <c r="S1124">
        <f>IF(OR(Q1124="",R1124=""),"",Q1124-R1124)</f>
        <v>0</v>
      </c>
      <c r="T1124">
        <f>IF(COUNT($E$2:$E1124)&lt;14,"",MAX($C$1111:$C$1124))</f>
        <v>0</v>
      </c>
      <c r="U1124">
        <f>IF(COUNT($E$2:$E1124)&lt;14,"",MIN($D$1111:$D$1124))</f>
        <v>0</v>
      </c>
      <c r="V1124">
        <f>IF(OR(T1124="",U1124="",T1124=U1124),"",100*($E1124-U1124)/(T1124-U1124))</f>
        <v>0</v>
      </c>
      <c r="W1124">
        <f>IF(COUNT($V$1122:$V$1124)&lt;3,"",AVERAGE($V$1122:$V$1124))</f>
        <v>0</v>
      </c>
      <c r="X1124">
        <f>IF(COUNT($N$1111:$N$1124)&lt;14,"",MIN($N$1111:$N$1124))</f>
        <v>0</v>
      </c>
      <c r="Y1124">
        <f>IF(COUNT($N$1111:$N$1124)&lt;14,"",MAX($N$1111:$N$1124))</f>
        <v>0</v>
      </c>
      <c r="Z1124">
        <f>IF(OR(N1124="",X1124="",Y1124="",Y1124=X1124),"",100*(N1124-X1124)/(Y1124-X1124))</f>
        <v>0</v>
      </c>
      <c r="AA1124">
        <f>IF(COUNT($Z$1122:$Z$1124)&lt;3,"",AVERAGE($Z$1122:$Z$1124))</f>
        <v>0</v>
      </c>
      <c r="AB1124">
        <f>IF(COUNT($AA$1122:$AA$1124)&lt;3,"",AVERAGE($AA$1122:$AA$1124))</f>
        <v>0</v>
      </c>
      <c r="AC1124">
        <f>IF($E1124="","",MAX($C1124-$D1124,ABS($C1124-$E1123),ABS($D1124-$E1123)))</f>
        <v>0</v>
      </c>
      <c r="AD1124">
        <f>IF(COUNT($E$2:$E1124)&lt;15,"",AVERAGE($AC$1111:$AC$1124))</f>
        <v>0</v>
      </c>
      <c r="AE1124">
        <f>IF(OR($E1124="",$E1123=""),"",IF(AND(($C1124-$C1123)&gt;($D1123-$D1124),($C1124-$C1123)&gt;0),$C1124-$C1123,0))</f>
        <v>0</v>
      </c>
      <c r="AF1124">
        <f>IF(OR($E1124="",$E1123=""),"",IF(AND(($D1123-$D1124)&gt;($C1124-$C1123),($D1123-$D1124)&gt;0),$D1123-$D1124,0))</f>
        <v>0</v>
      </c>
      <c r="AG1124">
        <f>IF(COUNT($E$2:$E1124)&lt;15,"",IF(SUM($AC$1111:$AC$1124)=0,0,100*SUM($AE$1111:$AE$1124)/SUM($AC$1111:$AC$1124)))</f>
        <v>0</v>
      </c>
      <c r="AH1124">
        <f>IF(COUNT($E$2:$E1124)&lt;15,"",IF(SUM($AC$1111:$AC$1124)=0,0,100*SUM($AF$1111:$AF$1124)/SUM($AC$1111:$AC$1124)))</f>
        <v>0</v>
      </c>
      <c r="AI1124">
        <f>IF(OR(AG1124="",AH1124=""),"",IF((AG1124+AH1124)=0,0,100*ABS(AG1124-AH1124)/(AG1124+AH1124)))</f>
        <v>0</v>
      </c>
      <c r="AJ1124">
        <f>IF(COUNT($AI$1111:$AI$1124)&lt;14,"",AVERAGE($AI$1111:$AI$1124))</f>
        <v>0</v>
      </c>
      <c r="AK1124">
        <f>IF(COUNT($E$2:$E1124)&lt;20,"",AVERAGE($E$1105:$E$1124))</f>
        <v>0</v>
      </c>
      <c r="AL1124">
        <f>IF(COUNT($E$2:$E1124)&lt;20,"",STDEVP($E$1105:$E$1124))</f>
        <v>0</v>
      </c>
      <c r="AM1124">
        <f>IF(AK1124="","",AK1124+2*AL1124)</f>
        <v>0</v>
      </c>
      <c r="AN1124">
        <f>IF(AK1124="","",AK1124-2*AL1124)</f>
        <v>0</v>
      </c>
      <c r="AO1124">
        <f>IF(OR(AM1124="",AN1124="",AM1124=AN1124),"",($E1124-AN1124)/(AM1124-AN1124))</f>
        <v>0</v>
      </c>
      <c r="AP1124">
        <f>IF(OR(AM1124="",AK1124="",AK1124=0),"",(AM1124-AN1124)/AK1124)</f>
        <v>0</v>
      </c>
      <c r="AQ1124">
        <f>IF(COUNT($E$2:$E1124)&lt;20,"",MAX($C$1105:$C$1124))</f>
        <v>0</v>
      </c>
      <c r="AR1124">
        <f>IF(COUNT($E$2:$E1124)&lt;20,"",MIN($D$1105:$D$1124))</f>
        <v>0</v>
      </c>
      <c r="AS1124">
        <f>IF(OR(AQ1124="",AR1124=""),"",(AQ1124+AR1124)/2)</f>
        <v>0</v>
      </c>
      <c r="AT1124">
        <f>IF(COUNT($G$1105:$G$1124)&lt;20,"",STDEV($G$1105:$G$1124)*SQRT(252))</f>
        <v>0</v>
      </c>
      <c r="AU1124">
        <f>IF(COUNT($E$2:$E1124)&lt;9,"",(MAX($C$1116:$C$1124)+MIN($D$1116:$D$1124))/2)</f>
        <v>0</v>
      </c>
      <c r="AV1124">
        <f>IF(COUNT($E$2:$E1124)&lt;26,"",(MAX($C$1099:$C$1124)+MIN($D$1099:$D$1124))/2)</f>
        <v>0</v>
      </c>
      <c r="AW1124">
        <f>IF(OR(AU1124="",AV1124=""),"",(AU1124+AV1124)/2)</f>
        <v>0</v>
      </c>
      <c r="AX1124">
        <f>IF(COUNT($E$2:$E1124)&lt;52,"",(MAX($C$1073:$C$1124)+MIN($D$1073:$D$1124))/2)</f>
        <v>0</v>
      </c>
      <c r="AY1124">
        <f>IF(COUNT($E$2:$E1124)&lt;20,"",MAX($C$1025:$C$1124))</f>
        <v>0</v>
      </c>
      <c r="AZ1124">
        <f>IF(COUNT($E$2:$E1124)&lt;20,"",MIN($D$1025:$D$1124))</f>
        <v>0</v>
      </c>
      <c r="BA1124">
        <f>IF(COUNT($E$2:$E1124)&lt;20,"",SLOPE($E$1025:$E$1124,$F$1025:$F$1124))</f>
        <v>0</v>
      </c>
      <c r="BB1124">
        <f>IF(COUNT($E$2:$E1124)&lt;20,"",INTERCEPT($E$1025:$E$1124,$F$1025:$F$1124))</f>
        <v>0</v>
      </c>
      <c r="BC1124">
        <f>IF(OR(BA1124="",BB1124=""),"",BB1124+BA1124*F1124)</f>
        <v>0</v>
      </c>
      <c r="BD1124">
        <f>IF(COUNT($E$2:$E1124)&lt;20,"",STEYX($E$1025:$E$1124,$F$1025:$F$1124))</f>
        <v>0</v>
      </c>
      <c r="BE1124">
        <f>IF($E1124="","",IF(AND(COUNT($E$1125:$E$1128)&gt;=4,$C1124=MAX($C$1120:$C$1128)),$C1124,""))</f>
        <v>0</v>
      </c>
      <c r="BF1124">
        <f>IF($E1124="","",IF(AND(COUNT($E$1125:$E$1128)&gt;=4,$D1124=MIN($D$1120:$D$1128)),$D1124,""))</f>
        <v>0</v>
      </c>
      <c r="BG1124">
        <f>IF($A1124="","",$A1124-WEEKDAY($A1124,2)+1)</f>
        <v>0</v>
      </c>
      <c r="BH1124">
        <f>IF($A1124="","",IF($A1123="",1,IF(BG1124&lt;&gt;BG1123,1,0)))</f>
        <v>0</v>
      </c>
      <c r="BI1124">
        <f>IF($A1124="","",IF($A1125="",1,IF(BG1125&lt;&gt;BG1124,1,0)))</f>
        <v>0</v>
      </c>
      <c r="BJ1124">
        <f>IF($A1124="","",IF(BH1124=1,$B1124,BJ1123))</f>
        <v>0</v>
      </c>
      <c r="BK1124">
        <f>IF($A1124="","",IF(BH1124=1,$C1124,MAX($C1124,BK1123)))</f>
        <v>0</v>
      </c>
      <c r="BL1124">
        <f>IF($A1124="","",IF(BH1124=1,$D1124,MIN($D1124,BL1123)))</f>
        <v>0</v>
      </c>
      <c r="BM1124">
        <f>IF($A1124="","",IF(BI1124=1,F1124,""))</f>
        <v>0</v>
      </c>
      <c r="BN1124">
        <f>IF($A1124="","",DATE(YEAR($A1124),MONTH($A1124),1))</f>
        <v>0</v>
      </c>
      <c r="BO1124">
        <f>IF($A1124="","",IF($A1123="",1,IF(BN1124&lt;&gt;BN1123,1,0)))</f>
        <v>0</v>
      </c>
      <c r="BP1124">
        <f>IF($A1124="","",IF($A1125="",1,IF(BN1125&lt;&gt;BN1124,1,0)))</f>
        <v>0</v>
      </c>
      <c r="BQ1124">
        <f>IF($A1124="","",IF(BO1124=1,$B1124,BQ1123))</f>
        <v>0</v>
      </c>
      <c r="BR1124">
        <f>IF($A1124="","",IF(BO1124=1,$C1124,MAX($C1124,BR1123)))</f>
        <v>0</v>
      </c>
      <c r="BS1124">
        <f>IF($A1124="","",IF(BO1124=1,$D1124,MIN($D1124,BS1123)))</f>
        <v>0</v>
      </c>
      <c r="BT1124">
        <f>IF($A1124="","",IF(BP1124=1,F1124,""))</f>
        <v>0</v>
      </c>
    </row>
    <row r="1125" spans="1:72">
      <c r="A1125" s="27">
        <f>IF(Data!$A1125="","",Data!$A1125)</f>
        <v>0</v>
      </c>
      <c r="B1125">
        <f>IF(Data!$B1125="","",Data!$B1125)</f>
        <v>0</v>
      </c>
      <c r="C1125">
        <f>IF(Data!$C1125="","",Data!$C1125)</f>
        <v>0</v>
      </c>
      <c r="D1125">
        <f>IF(Data!$D1125="","",Data!$D1125)</f>
        <v>0</v>
      </c>
      <c r="E1125">
        <f>IF(Data!$E1125="","",Data!$E1125)</f>
        <v>0</v>
      </c>
      <c r="F1125">
        <f>IF($E1125="","",N(F1124)+1)</f>
        <v>0</v>
      </c>
      <c r="G1125">
        <f>IF(OR($E1125="",$E1124=""),"",LN($E1125/$E1124))</f>
        <v>0</v>
      </c>
      <c r="H1125">
        <f>IF($E1125="","",IF($E1124="",$E1125,$E1125*0.0952380952+H1124*0.9047619048))</f>
        <v>0</v>
      </c>
      <c r="I1125">
        <f>IF($E1125="","",IF($E1124="",$E1125,$E1125*0.0392156863+I1124*0.9607843137))</f>
        <v>0</v>
      </c>
      <c r="J1125">
        <f>IF($E1125="","",IF($E1124="",$E1125,$E1125*0.0198019802+J1124*0.9801980198))</f>
        <v>0</v>
      </c>
      <c r="K1125">
        <f>IF($E1125="","",IF($E1124="",$E1125,$E1125*0.0099502488+K1124*0.9900497512))</f>
        <v>0</v>
      </c>
      <c r="L1125">
        <f>IF(OR($E1125="",$E1124=""),"",MAX($E1125-$E1124,0))</f>
        <v>0</v>
      </c>
      <c r="M1125">
        <f>IF(OR($E1125="",$E1124=""),"",MAX($E1124-$E1125,0))</f>
        <v>0</v>
      </c>
      <c r="N1125">
        <f>IF(COUNT($E$2:$E1125)&lt;15,"",IF(AVERAGE($M$1112:$M$1125)=0,100,100-100/(1+AVERAGE($L$1112:$L$1125)/AVERAGE($M$1112:$M$1125))))</f>
        <v>0</v>
      </c>
      <c r="O1125">
        <f>IF($E1125="","",IF($E1124="",$E1125,$E1125*0.1538461538+O1124*0.8461538462))</f>
        <v>0</v>
      </c>
      <c r="P1125">
        <f>IF($E1125="","",IF($E1124="",$E1125,$E1125*0.0740740741+P1124*0.9259259259))</f>
        <v>0</v>
      </c>
      <c r="Q1125">
        <f>IF(OR(O1125="",P1125=""),"",O1125-P1125)</f>
        <v>0</v>
      </c>
      <c r="R1125">
        <f>IF(Q1125="","",IF(R1124="",Q1125,Q1125*0.2000000000+R1124*0.8000000000))</f>
        <v>0</v>
      </c>
      <c r="S1125">
        <f>IF(OR(Q1125="",R1125=""),"",Q1125-R1125)</f>
        <v>0</v>
      </c>
      <c r="T1125">
        <f>IF(COUNT($E$2:$E1125)&lt;14,"",MAX($C$1112:$C$1125))</f>
        <v>0</v>
      </c>
      <c r="U1125">
        <f>IF(COUNT($E$2:$E1125)&lt;14,"",MIN($D$1112:$D$1125))</f>
        <v>0</v>
      </c>
      <c r="V1125">
        <f>IF(OR(T1125="",U1125="",T1125=U1125),"",100*($E1125-U1125)/(T1125-U1125))</f>
        <v>0</v>
      </c>
      <c r="W1125">
        <f>IF(COUNT($V$1123:$V$1125)&lt;3,"",AVERAGE($V$1123:$V$1125))</f>
        <v>0</v>
      </c>
      <c r="X1125">
        <f>IF(COUNT($N$1112:$N$1125)&lt;14,"",MIN($N$1112:$N$1125))</f>
        <v>0</v>
      </c>
      <c r="Y1125">
        <f>IF(COUNT($N$1112:$N$1125)&lt;14,"",MAX($N$1112:$N$1125))</f>
        <v>0</v>
      </c>
      <c r="Z1125">
        <f>IF(OR(N1125="",X1125="",Y1125="",Y1125=X1125),"",100*(N1125-X1125)/(Y1125-X1125))</f>
        <v>0</v>
      </c>
      <c r="AA1125">
        <f>IF(COUNT($Z$1123:$Z$1125)&lt;3,"",AVERAGE($Z$1123:$Z$1125))</f>
        <v>0</v>
      </c>
      <c r="AB1125">
        <f>IF(COUNT($AA$1123:$AA$1125)&lt;3,"",AVERAGE($AA$1123:$AA$1125))</f>
        <v>0</v>
      </c>
      <c r="AC1125">
        <f>IF($E1125="","",MAX($C1125-$D1125,ABS($C1125-$E1124),ABS($D1125-$E1124)))</f>
        <v>0</v>
      </c>
      <c r="AD1125">
        <f>IF(COUNT($E$2:$E1125)&lt;15,"",AVERAGE($AC$1112:$AC$1125))</f>
        <v>0</v>
      </c>
      <c r="AE1125">
        <f>IF(OR($E1125="",$E1124=""),"",IF(AND(($C1125-$C1124)&gt;($D1124-$D1125),($C1125-$C1124)&gt;0),$C1125-$C1124,0))</f>
        <v>0</v>
      </c>
      <c r="AF1125">
        <f>IF(OR($E1125="",$E1124=""),"",IF(AND(($D1124-$D1125)&gt;($C1125-$C1124),($D1124-$D1125)&gt;0),$D1124-$D1125,0))</f>
        <v>0</v>
      </c>
      <c r="AG1125">
        <f>IF(COUNT($E$2:$E1125)&lt;15,"",IF(SUM($AC$1112:$AC$1125)=0,0,100*SUM($AE$1112:$AE$1125)/SUM($AC$1112:$AC$1125)))</f>
        <v>0</v>
      </c>
      <c r="AH1125">
        <f>IF(COUNT($E$2:$E1125)&lt;15,"",IF(SUM($AC$1112:$AC$1125)=0,0,100*SUM($AF$1112:$AF$1125)/SUM($AC$1112:$AC$1125)))</f>
        <v>0</v>
      </c>
      <c r="AI1125">
        <f>IF(OR(AG1125="",AH1125=""),"",IF((AG1125+AH1125)=0,0,100*ABS(AG1125-AH1125)/(AG1125+AH1125)))</f>
        <v>0</v>
      </c>
      <c r="AJ1125">
        <f>IF(COUNT($AI$1112:$AI$1125)&lt;14,"",AVERAGE($AI$1112:$AI$1125))</f>
        <v>0</v>
      </c>
      <c r="AK1125">
        <f>IF(COUNT($E$2:$E1125)&lt;20,"",AVERAGE($E$1106:$E$1125))</f>
        <v>0</v>
      </c>
      <c r="AL1125">
        <f>IF(COUNT($E$2:$E1125)&lt;20,"",STDEVP($E$1106:$E$1125))</f>
        <v>0</v>
      </c>
      <c r="AM1125">
        <f>IF(AK1125="","",AK1125+2*AL1125)</f>
        <v>0</v>
      </c>
      <c r="AN1125">
        <f>IF(AK1125="","",AK1125-2*AL1125)</f>
        <v>0</v>
      </c>
      <c r="AO1125">
        <f>IF(OR(AM1125="",AN1125="",AM1125=AN1125),"",($E1125-AN1125)/(AM1125-AN1125))</f>
        <v>0</v>
      </c>
      <c r="AP1125">
        <f>IF(OR(AM1125="",AK1125="",AK1125=0),"",(AM1125-AN1125)/AK1125)</f>
        <v>0</v>
      </c>
      <c r="AQ1125">
        <f>IF(COUNT($E$2:$E1125)&lt;20,"",MAX($C$1106:$C$1125))</f>
        <v>0</v>
      </c>
      <c r="AR1125">
        <f>IF(COUNT($E$2:$E1125)&lt;20,"",MIN($D$1106:$D$1125))</f>
        <v>0</v>
      </c>
      <c r="AS1125">
        <f>IF(OR(AQ1125="",AR1125=""),"",(AQ1125+AR1125)/2)</f>
        <v>0</v>
      </c>
      <c r="AT1125">
        <f>IF(COUNT($G$1106:$G$1125)&lt;20,"",STDEV($G$1106:$G$1125)*SQRT(252))</f>
        <v>0</v>
      </c>
      <c r="AU1125">
        <f>IF(COUNT($E$2:$E1125)&lt;9,"",(MAX($C$1117:$C$1125)+MIN($D$1117:$D$1125))/2)</f>
        <v>0</v>
      </c>
      <c r="AV1125">
        <f>IF(COUNT($E$2:$E1125)&lt;26,"",(MAX($C$1100:$C$1125)+MIN($D$1100:$D$1125))/2)</f>
        <v>0</v>
      </c>
      <c r="AW1125">
        <f>IF(OR(AU1125="",AV1125=""),"",(AU1125+AV1125)/2)</f>
        <v>0</v>
      </c>
      <c r="AX1125">
        <f>IF(COUNT($E$2:$E1125)&lt;52,"",(MAX($C$1074:$C$1125)+MIN($D$1074:$D$1125))/2)</f>
        <v>0</v>
      </c>
      <c r="AY1125">
        <f>IF(COUNT($E$2:$E1125)&lt;20,"",MAX($C$1026:$C$1125))</f>
        <v>0</v>
      </c>
      <c r="AZ1125">
        <f>IF(COUNT($E$2:$E1125)&lt;20,"",MIN($D$1026:$D$1125))</f>
        <v>0</v>
      </c>
      <c r="BA1125">
        <f>IF(COUNT($E$2:$E1125)&lt;20,"",SLOPE($E$1026:$E$1125,$F$1026:$F$1125))</f>
        <v>0</v>
      </c>
      <c r="BB1125">
        <f>IF(COUNT($E$2:$E1125)&lt;20,"",INTERCEPT($E$1026:$E$1125,$F$1026:$F$1125))</f>
        <v>0</v>
      </c>
      <c r="BC1125">
        <f>IF(OR(BA1125="",BB1125=""),"",BB1125+BA1125*F1125)</f>
        <v>0</v>
      </c>
      <c r="BD1125">
        <f>IF(COUNT($E$2:$E1125)&lt;20,"",STEYX($E$1026:$E$1125,$F$1026:$F$1125))</f>
        <v>0</v>
      </c>
      <c r="BE1125">
        <f>IF($E1125="","",IF(AND(COUNT($E$1126:$E$1129)&gt;=4,$C1125=MAX($C$1121:$C$1129)),$C1125,""))</f>
        <v>0</v>
      </c>
      <c r="BF1125">
        <f>IF($E1125="","",IF(AND(COUNT($E$1126:$E$1129)&gt;=4,$D1125=MIN($D$1121:$D$1129)),$D1125,""))</f>
        <v>0</v>
      </c>
      <c r="BG1125">
        <f>IF($A1125="","",$A1125-WEEKDAY($A1125,2)+1)</f>
        <v>0</v>
      </c>
      <c r="BH1125">
        <f>IF($A1125="","",IF($A1124="",1,IF(BG1125&lt;&gt;BG1124,1,0)))</f>
        <v>0</v>
      </c>
      <c r="BI1125">
        <f>IF($A1125="","",IF($A1126="",1,IF(BG1126&lt;&gt;BG1125,1,0)))</f>
        <v>0</v>
      </c>
      <c r="BJ1125">
        <f>IF($A1125="","",IF(BH1125=1,$B1125,BJ1124))</f>
        <v>0</v>
      </c>
      <c r="BK1125">
        <f>IF($A1125="","",IF(BH1125=1,$C1125,MAX($C1125,BK1124)))</f>
        <v>0</v>
      </c>
      <c r="BL1125">
        <f>IF($A1125="","",IF(BH1125=1,$D1125,MIN($D1125,BL1124)))</f>
        <v>0</v>
      </c>
      <c r="BM1125">
        <f>IF($A1125="","",IF(BI1125=1,F1125,""))</f>
        <v>0</v>
      </c>
      <c r="BN1125">
        <f>IF($A1125="","",DATE(YEAR($A1125),MONTH($A1125),1))</f>
        <v>0</v>
      </c>
      <c r="BO1125">
        <f>IF($A1125="","",IF($A1124="",1,IF(BN1125&lt;&gt;BN1124,1,0)))</f>
        <v>0</v>
      </c>
      <c r="BP1125">
        <f>IF($A1125="","",IF($A1126="",1,IF(BN1126&lt;&gt;BN1125,1,0)))</f>
        <v>0</v>
      </c>
      <c r="BQ1125">
        <f>IF($A1125="","",IF(BO1125=1,$B1125,BQ1124))</f>
        <v>0</v>
      </c>
      <c r="BR1125">
        <f>IF($A1125="","",IF(BO1125=1,$C1125,MAX($C1125,BR1124)))</f>
        <v>0</v>
      </c>
      <c r="BS1125">
        <f>IF($A1125="","",IF(BO1125=1,$D1125,MIN($D1125,BS1124)))</f>
        <v>0</v>
      </c>
      <c r="BT1125">
        <f>IF($A1125="","",IF(BP1125=1,F1125,""))</f>
        <v>0</v>
      </c>
    </row>
    <row r="1126" spans="1:72">
      <c r="A1126" s="27">
        <f>IF(Data!$A1126="","",Data!$A1126)</f>
        <v>0</v>
      </c>
      <c r="B1126">
        <f>IF(Data!$B1126="","",Data!$B1126)</f>
        <v>0</v>
      </c>
      <c r="C1126">
        <f>IF(Data!$C1126="","",Data!$C1126)</f>
        <v>0</v>
      </c>
      <c r="D1126">
        <f>IF(Data!$D1126="","",Data!$D1126)</f>
        <v>0</v>
      </c>
      <c r="E1126">
        <f>IF(Data!$E1126="","",Data!$E1126)</f>
        <v>0</v>
      </c>
      <c r="F1126">
        <f>IF($E1126="","",N(F1125)+1)</f>
        <v>0</v>
      </c>
      <c r="G1126">
        <f>IF(OR($E1126="",$E1125=""),"",LN($E1126/$E1125))</f>
        <v>0</v>
      </c>
      <c r="H1126">
        <f>IF($E1126="","",IF($E1125="",$E1126,$E1126*0.0952380952+H1125*0.9047619048))</f>
        <v>0</v>
      </c>
      <c r="I1126">
        <f>IF($E1126="","",IF($E1125="",$E1126,$E1126*0.0392156863+I1125*0.9607843137))</f>
        <v>0</v>
      </c>
      <c r="J1126">
        <f>IF($E1126="","",IF($E1125="",$E1126,$E1126*0.0198019802+J1125*0.9801980198))</f>
        <v>0</v>
      </c>
      <c r="K1126">
        <f>IF($E1126="","",IF($E1125="",$E1126,$E1126*0.0099502488+K1125*0.9900497512))</f>
        <v>0</v>
      </c>
      <c r="L1126">
        <f>IF(OR($E1126="",$E1125=""),"",MAX($E1126-$E1125,0))</f>
        <v>0</v>
      </c>
      <c r="M1126">
        <f>IF(OR($E1126="",$E1125=""),"",MAX($E1125-$E1126,0))</f>
        <v>0</v>
      </c>
      <c r="N1126">
        <f>IF(COUNT($E$2:$E1126)&lt;15,"",IF(AVERAGE($M$1113:$M$1126)=0,100,100-100/(1+AVERAGE($L$1113:$L$1126)/AVERAGE($M$1113:$M$1126))))</f>
        <v>0</v>
      </c>
      <c r="O1126">
        <f>IF($E1126="","",IF($E1125="",$E1126,$E1126*0.1538461538+O1125*0.8461538462))</f>
        <v>0</v>
      </c>
      <c r="P1126">
        <f>IF($E1126="","",IF($E1125="",$E1126,$E1126*0.0740740741+P1125*0.9259259259))</f>
        <v>0</v>
      </c>
      <c r="Q1126">
        <f>IF(OR(O1126="",P1126=""),"",O1126-P1126)</f>
        <v>0</v>
      </c>
      <c r="R1126">
        <f>IF(Q1126="","",IF(R1125="",Q1126,Q1126*0.2000000000+R1125*0.8000000000))</f>
        <v>0</v>
      </c>
      <c r="S1126">
        <f>IF(OR(Q1126="",R1126=""),"",Q1126-R1126)</f>
        <v>0</v>
      </c>
      <c r="T1126">
        <f>IF(COUNT($E$2:$E1126)&lt;14,"",MAX($C$1113:$C$1126))</f>
        <v>0</v>
      </c>
      <c r="U1126">
        <f>IF(COUNT($E$2:$E1126)&lt;14,"",MIN($D$1113:$D$1126))</f>
        <v>0</v>
      </c>
      <c r="V1126">
        <f>IF(OR(T1126="",U1126="",T1126=U1126),"",100*($E1126-U1126)/(T1126-U1126))</f>
        <v>0</v>
      </c>
      <c r="W1126">
        <f>IF(COUNT($V$1124:$V$1126)&lt;3,"",AVERAGE($V$1124:$V$1126))</f>
        <v>0</v>
      </c>
      <c r="X1126">
        <f>IF(COUNT($N$1113:$N$1126)&lt;14,"",MIN($N$1113:$N$1126))</f>
        <v>0</v>
      </c>
      <c r="Y1126">
        <f>IF(COUNT($N$1113:$N$1126)&lt;14,"",MAX($N$1113:$N$1126))</f>
        <v>0</v>
      </c>
      <c r="Z1126">
        <f>IF(OR(N1126="",X1126="",Y1126="",Y1126=X1126),"",100*(N1126-X1126)/(Y1126-X1126))</f>
        <v>0</v>
      </c>
      <c r="AA1126">
        <f>IF(COUNT($Z$1124:$Z$1126)&lt;3,"",AVERAGE($Z$1124:$Z$1126))</f>
        <v>0</v>
      </c>
      <c r="AB1126">
        <f>IF(COUNT($AA$1124:$AA$1126)&lt;3,"",AVERAGE($AA$1124:$AA$1126))</f>
        <v>0</v>
      </c>
      <c r="AC1126">
        <f>IF($E1126="","",MAX($C1126-$D1126,ABS($C1126-$E1125),ABS($D1126-$E1125)))</f>
        <v>0</v>
      </c>
      <c r="AD1126">
        <f>IF(COUNT($E$2:$E1126)&lt;15,"",AVERAGE($AC$1113:$AC$1126))</f>
        <v>0</v>
      </c>
      <c r="AE1126">
        <f>IF(OR($E1126="",$E1125=""),"",IF(AND(($C1126-$C1125)&gt;($D1125-$D1126),($C1126-$C1125)&gt;0),$C1126-$C1125,0))</f>
        <v>0</v>
      </c>
      <c r="AF1126">
        <f>IF(OR($E1126="",$E1125=""),"",IF(AND(($D1125-$D1126)&gt;($C1126-$C1125),($D1125-$D1126)&gt;0),$D1125-$D1126,0))</f>
        <v>0</v>
      </c>
      <c r="AG1126">
        <f>IF(COUNT($E$2:$E1126)&lt;15,"",IF(SUM($AC$1113:$AC$1126)=0,0,100*SUM($AE$1113:$AE$1126)/SUM($AC$1113:$AC$1126)))</f>
        <v>0</v>
      </c>
      <c r="AH1126">
        <f>IF(COUNT($E$2:$E1126)&lt;15,"",IF(SUM($AC$1113:$AC$1126)=0,0,100*SUM($AF$1113:$AF$1126)/SUM($AC$1113:$AC$1126)))</f>
        <v>0</v>
      </c>
      <c r="AI1126">
        <f>IF(OR(AG1126="",AH1126=""),"",IF((AG1126+AH1126)=0,0,100*ABS(AG1126-AH1126)/(AG1126+AH1126)))</f>
        <v>0</v>
      </c>
      <c r="AJ1126">
        <f>IF(COUNT($AI$1113:$AI$1126)&lt;14,"",AVERAGE($AI$1113:$AI$1126))</f>
        <v>0</v>
      </c>
      <c r="AK1126">
        <f>IF(COUNT($E$2:$E1126)&lt;20,"",AVERAGE($E$1107:$E$1126))</f>
        <v>0</v>
      </c>
      <c r="AL1126">
        <f>IF(COUNT($E$2:$E1126)&lt;20,"",STDEVP($E$1107:$E$1126))</f>
        <v>0</v>
      </c>
      <c r="AM1126">
        <f>IF(AK1126="","",AK1126+2*AL1126)</f>
        <v>0</v>
      </c>
      <c r="AN1126">
        <f>IF(AK1126="","",AK1126-2*AL1126)</f>
        <v>0</v>
      </c>
      <c r="AO1126">
        <f>IF(OR(AM1126="",AN1126="",AM1126=AN1126),"",($E1126-AN1126)/(AM1126-AN1126))</f>
        <v>0</v>
      </c>
      <c r="AP1126">
        <f>IF(OR(AM1126="",AK1126="",AK1126=0),"",(AM1126-AN1126)/AK1126)</f>
        <v>0</v>
      </c>
      <c r="AQ1126">
        <f>IF(COUNT($E$2:$E1126)&lt;20,"",MAX($C$1107:$C$1126))</f>
        <v>0</v>
      </c>
      <c r="AR1126">
        <f>IF(COUNT($E$2:$E1126)&lt;20,"",MIN($D$1107:$D$1126))</f>
        <v>0</v>
      </c>
      <c r="AS1126">
        <f>IF(OR(AQ1126="",AR1126=""),"",(AQ1126+AR1126)/2)</f>
        <v>0</v>
      </c>
      <c r="AT1126">
        <f>IF(COUNT($G$1107:$G$1126)&lt;20,"",STDEV($G$1107:$G$1126)*SQRT(252))</f>
        <v>0</v>
      </c>
      <c r="AU1126">
        <f>IF(COUNT($E$2:$E1126)&lt;9,"",(MAX($C$1118:$C$1126)+MIN($D$1118:$D$1126))/2)</f>
        <v>0</v>
      </c>
      <c r="AV1126">
        <f>IF(COUNT($E$2:$E1126)&lt;26,"",(MAX($C$1101:$C$1126)+MIN($D$1101:$D$1126))/2)</f>
        <v>0</v>
      </c>
      <c r="AW1126">
        <f>IF(OR(AU1126="",AV1126=""),"",(AU1126+AV1126)/2)</f>
        <v>0</v>
      </c>
      <c r="AX1126">
        <f>IF(COUNT($E$2:$E1126)&lt;52,"",(MAX($C$1075:$C$1126)+MIN($D$1075:$D$1126))/2)</f>
        <v>0</v>
      </c>
      <c r="AY1126">
        <f>IF(COUNT($E$2:$E1126)&lt;20,"",MAX($C$1027:$C$1126))</f>
        <v>0</v>
      </c>
      <c r="AZ1126">
        <f>IF(COUNT($E$2:$E1126)&lt;20,"",MIN($D$1027:$D$1126))</f>
        <v>0</v>
      </c>
      <c r="BA1126">
        <f>IF(COUNT($E$2:$E1126)&lt;20,"",SLOPE($E$1027:$E$1126,$F$1027:$F$1126))</f>
        <v>0</v>
      </c>
      <c r="BB1126">
        <f>IF(COUNT($E$2:$E1126)&lt;20,"",INTERCEPT($E$1027:$E$1126,$F$1027:$F$1126))</f>
        <v>0</v>
      </c>
      <c r="BC1126">
        <f>IF(OR(BA1126="",BB1126=""),"",BB1126+BA1126*F1126)</f>
        <v>0</v>
      </c>
      <c r="BD1126">
        <f>IF(COUNT($E$2:$E1126)&lt;20,"",STEYX($E$1027:$E$1126,$F$1027:$F$1126))</f>
        <v>0</v>
      </c>
      <c r="BE1126">
        <f>IF($E1126="","",IF(AND(COUNT($E$1127:$E$1130)&gt;=4,$C1126=MAX($C$1122:$C$1130)),$C1126,""))</f>
        <v>0</v>
      </c>
      <c r="BF1126">
        <f>IF($E1126="","",IF(AND(COUNT($E$1127:$E$1130)&gt;=4,$D1126=MIN($D$1122:$D$1130)),$D1126,""))</f>
        <v>0</v>
      </c>
      <c r="BG1126">
        <f>IF($A1126="","",$A1126-WEEKDAY($A1126,2)+1)</f>
        <v>0</v>
      </c>
      <c r="BH1126">
        <f>IF($A1126="","",IF($A1125="",1,IF(BG1126&lt;&gt;BG1125,1,0)))</f>
        <v>0</v>
      </c>
      <c r="BI1126">
        <f>IF($A1126="","",IF($A1127="",1,IF(BG1127&lt;&gt;BG1126,1,0)))</f>
        <v>0</v>
      </c>
      <c r="BJ1126">
        <f>IF($A1126="","",IF(BH1126=1,$B1126,BJ1125))</f>
        <v>0</v>
      </c>
      <c r="BK1126">
        <f>IF($A1126="","",IF(BH1126=1,$C1126,MAX($C1126,BK1125)))</f>
        <v>0</v>
      </c>
      <c r="BL1126">
        <f>IF($A1126="","",IF(BH1126=1,$D1126,MIN($D1126,BL1125)))</f>
        <v>0</v>
      </c>
      <c r="BM1126">
        <f>IF($A1126="","",IF(BI1126=1,F1126,""))</f>
        <v>0</v>
      </c>
      <c r="BN1126">
        <f>IF($A1126="","",DATE(YEAR($A1126),MONTH($A1126),1))</f>
        <v>0</v>
      </c>
      <c r="BO1126">
        <f>IF($A1126="","",IF($A1125="",1,IF(BN1126&lt;&gt;BN1125,1,0)))</f>
        <v>0</v>
      </c>
      <c r="BP1126">
        <f>IF($A1126="","",IF($A1127="",1,IF(BN1127&lt;&gt;BN1126,1,0)))</f>
        <v>0</v>
      </c>
      <c r="BQ1126">
        <f>IF($A1126="","",IF(BO1126=1,$B1126,BQ1125))</f>
        <v>0</v>
      </c>
      <c r="BR1126">
        <f>IF($A1126="","",IF(BO1126=1,$C1126,MAX($C1126,BR1125)))</f>
        <v>0</v>
      </c>
      <c r="BS1126">
        <f>IF($A1126="","",IF(BO1126=1,$D1126,MIN($D1126,BS1125)))</f>
        <v>0</v>
      </c>
      <c r="BT1126">
        <f>IF($A1126="","",IF(BP1126=1,F1126,""))</f>
        <v>0</v>
      </c>
    </row>
    <row r="1127" spans="1:72">
      <c r="A1127" s="27">
        <f>IF(Data!$A1127="","",Data!$A1127)</f>
        <v>0</v>
      </c>
      <c r="B1127">
        <f>IF(Data!$B1127="","",Data!$B1127)</f>
        <v>0</v>
      </c>
      <c r="C1127">
        <f>IF(Data!$C1127="","",Data!$C1127)</f>
        <v>0</v>
      </c>
      <c r="D1127">
        <f>IF(Data!$D1127="","",Data!$D1127)</f>
        <v>0</v>
      </c>
      <c r="E1127">
        <f>IF(Data!$E1127="","",Data!$E1127)</f>
        <v>0</v>
      </c>
      <c r="F1127">
        <f>IF($E1127="","",N(F1126)+1)</f>
        <v>0</v>
      </c>
      <c r="G1127">
        <f>IF(OR($E1127="",$E1126=""),"",LN($E1127/$E1126))</f>
        <v>0</v>
      </c>
      <c r="H1127">
        <f>IF($E1127="","",IF($E1126="",$E1127,$E1127*0.0952380952+H1126*0.9047619048))</f>
        <v>0</v>
      </c>
      <c r="I1127">
        <f>IF($E1127="","",IF($E1126="",$E1127,$E1127*0.0392156863+I1126*0.9607843137))</f>
        <v>0</v>
      </c>
      <c r="J1127">
        <f>IF($E1127="","",IF($E1126="",$E1127,$E1127*0.0198019802+J1126*0.9801980198))</f>
        <v>0</v>
      </c>
      <c r="K1127">
        <f>IF($E1127="","",IF($E1126="",$E1127,$E1127*0.0099502488+K1126*0.9900497512))</f>
        <v>0</v>
      </c>
      <c r="L1127">
        <f>IF(OR($E1127="",$E1126=""),"",MAX($E1127-$E1126,0))</f>
        <v>0</v>
      </c>
      <c r="M1127">
        <f>IF(OR($E1127="",$E1126=""),"",MAX($E1126-$E1127,0))</f>
        <v>0</v>
      </c>
      <c r="N1127">
        <f>IF(COUNT($E$2:$E1127)&lt;15,"",IF(AVERAGE($M$1114:$M$1127)=0,100,100-100/(1+AVERAGE($L$1114:$L$1127)/AVERAGE($M$1114:$M$1127))))</f>
        <v>0</v>
      </c>
      <c r="O1127">
        <f>IF($E1127="","",IF($E1126="",$E1127,$E1127*0.1538461538+O1126*0.8461538462))</f>
        <v>0</v>
      </c>
      <c r="P1127">
        <f>IF($E1127="","",IF($E1126="",$E1127,$E1127*0.0740740741+P1126*0.9259259259))</f>
        <v>0</v>
      </c>
      <c r="Q1127">
        <f>IF(OR(O1127="",P1127=""),"",O1127-P1127)</f>
        <v>0</v>
      </c>
      <c r="R1127">
        <f>IF(Q1127="","",IF(R1126="",Q1127,Q1127*0.2000000000+R1126*0.8000000000))</f>
        <v>0</v>
      </c>
      <c r="S1127">
        <f>IF(OR(Q1127="",R1127=""),"",Q1127-R1127)</f>
        <v>0</v>
      </c>
      <c r="T1127">
        <f>IF(COUNT($E$2:$E1127)&lt;14,"",MAX($C$1114:$C$1127))</f>
        <v>0</v>
      </c>
      <c r="U1127">
        <f>IF(COUNT($E$2:$E1127)&lt;14,"",MIN($D$1114:$D$1127))</f>
        <v>0</v>
      </c>
      <c r="V1127">
        <f>IF(OR(T1127="",U1127="",T1127=U1127),"",100*($E1127-U1127)/(T1127-U1127))</f>
        <v>0</v>
      </c>
      <c r="W1127">
        <f>IF(COUNT($V$1125:$V$1127)&lt;3,"",AVERAGE($V$1125:$V$1127))</f>
        <v>0</v>
      </c>
      <c r="X1127">
        <f>IF(COUNT($N$1114:$N$1127)&lt;14,"",MIN($N$1114:$N$1127))</f>
        <v>0</v>
      </c>
      <c r="Y1127">
        <f>IF(COUNT($N$1114:$N$1127)&lt;14,"",MAX($N$1114:$N$1127))</f>
        <v>0</v>
      </c>
      <c r="Z1127">
        <f>IF(OR(N1127="",X1127="",Y1127="",Y1127=X1127),"",100*(N1127-X1127)/(Y1127-X1127))</f>
        <v>0</v>
      </c>
      <c r="AA1127">
        <f>IF(COUNT($Z$1125:$Z$1127)&lt;3,"",AVERAGE($Z$1125:$Z$1127))</f>
        <v>0</v>
      </c>
      <c r="AB1127">
        <f>IF(COUNT($AA$1125:$AA$1127)&lt;3,"",AVERAGE($AA$1125:$AA$1127))</f>
        <v>0</v>
      </c>
      <c r="AC1127">
        <f>IF($E1127="","",MAX($C1127-$D1127,ABS($C1127-$E1126),ABS($D1127-$E1126)))</f>
        <v>0</v>
      </c>
      <c r="AD1127">
        <f>IF(COUNT($E$2:$E1127)&lt;15,"",AVERAGE($AC$1114:$AC$1127))</f>
        <v>0</v>
      </c>
      <c r="AE1127">
        <f>IF(OR($E1127="",$E1126=""),"",IF(AND(($C1127-$C1126)&gt;($D1126-$D1127),($C1127-$C1126)&gt;0),$C1127-$C1126,0))</f>
        <v>0</v>
      </c>
      <c r="AF1127">
        <f>IF(OR($E1127="",$E1126=""),"",IF(AND(($D1126-$D1127)&gt;($C1127-$C1126),($D1126-$D1127)&gt;0),$D1126-$D1127,0))</f>
        <v>0</v>
      </c>
      <c r="AG1127">
        <f>IF(COUNT($E$2:$E1127)&lt;15,"",IF(SUM($AC$1114:$AC$1127)=0,0,100*SUM($AE$1114:$AE$1127)/SUM($AC$1114:$AC$1127)))</f>
        <v>0</v>
      </c>
      <c r="AH1127">
        <f>IF(COUNT($E$2:$E1127)&lt;15,"",IF(SUM($AC$1114:$AC$1127)=0,0,100*SUM($AF$1114:$AF$1127)/SUM($AC$1114:$AC$1127)))</f>
        <v>0</v>
      </c>
      <c r="AI1127">
        <f>IF(OR(AG1127="",AH1127=""),"",IF((AG1127+AH1127)=0,0,100*ABS(AG1127-AH1127)/(AG1127+AH1127)))</f>
        <v>0</v>
      </c>
      <c r="AJ1127">
        <f>IF(COUNT($AI$1114:$AI$1127)&lt;14,"",AVERAGE($AI$1114:$AI$1127))</f>
        <v>0</v>
      </c>
      <c r="AK1127">
        <f>IF(COUNT($E$2:$E1127)&lt;20,"",AVERAGE($E$1108:$E$1127))</f>
        <v>0</v>
      </c>
      <c r="AL1127">
        <f>IF(COUNT($E$2:$E1127)&lt;20,"",STDEVP($E$1108:$E$1127))</f>
        <v>0</v>
      </c>
      <c r="AM1127">
        <f>IF(AK1127="","",AK1127+2*AL1127)</f>
        <v>0</v>
      </c>
      <c r="AN1127">
        <f>IF(AK1127="","",AK1127-2*AL1127)</f>
        <v>0</v>
      </c>
      <c r="AO1127">
        <f>IF(OR(AM1127="",AN1127="",AM1127=AN1127),"",($E1127-AN1127)/(AM1127-AN1127))</f>
        <v>0</v>
      </c>
      <c r="AP1127">
        <f>IF(OR(AM1127="",AK1127="",AK1127=0),"",(AM1127-AN1127)/AK1127)</f>
        <v>0</v>
      </c>
      <c r="AQ1127">
        <f>IF(COUNT($E$2:$E1127)&lt;20,"",MAX($C$1108:$C$1127))</f>
        <v>0</v>
      </c>
      <c r="AR1127">
        <f>IF(COUNT($E$2:$E1127)&lt;20,"",MIN($D$1108:$D$1127))</f>
        <v>0</v>
      </c>
      <c r="AS1127">
        <f>IF(OR(AQ1127="",AR1127=""),"",(AQ1127+AR1127)/2)</f>
        <v>0</v>
      </c>
      <c r="AT1127">
        <f>IF(COUNT($G$1108:$G$1127)&lt;20,"",STDEV($G$1108:$G$1127)*SQRT(252))</f>
        <v>0</v>
      </c>
      <c r="AU1127">
        <f>IF(COUNT($E$2:$E1127)&lt;9,"",(MAX($C$1119:$C$1127)+MIN($D$1119:$D$1127))/2)</f>
        <v>0</v>
      </c>
      <c r="AV1127">
        <f>IF(COUNT($E$2:$E1127)&lt;26,"",(MAX($C$1102:$C$1127)+MIN($D$1102:$D$1127))/2)</f>
        <v>0</v>
      </c>
      <c r="AW1127">
        <f>IF(OR(AU1127="",AV1127=""),"",(AU1127+AV1127)/2)</f>
        <v>0</v>
      </c>
      <c r="AX1127">
        <f>IF(COUNT($E$2:$E1127)&lt;52,"",(MAX($C$1076:$C$1127)+MIN($D$1076:$D$1127))/2)</f>
        <v>0</v>
      </c>
      <c r="AY1127">
        <f>IF(COUNT($E$2:$E1127)&lt;20,"",MAX($C$1028:$C$1127))</f>
        <v>0</v>
      </c>
      <c r="AZ1127">
        <f>IF(COUNT($E$2:$E1127)&lt;20,"",MIN($D$1028:$D$1127))</f>
        <v>0</v>
      </c>
      <c r="BA1127">
        <f>IF(COUNT($E$2:$E1127)&lt;20,"",SLOPE($E$1028:$E$1127,$F$1028:$F$1127))</f>
        <v>0</v>
      </c>
      <c r="BB1127">
        <f>IF(COUNT($E$2:$E1127)&lt;20,"",INTERCEPT($E$1028:$E$1127,$F$1028:$F$1127))</f>
        <v>0</v>
      </c>
      <c r="BC1127">
        <f>IF(OR(BA1127="",BB1127=""),"",BB1127+BA1127*F1127)</f>
        <v>0</v>
      </c>
      <c r="BD1127">
        <f>IF(COUNT($E$2:$E1127)&lt;20,"",STEYX($E$1028:$E$1127,$F$1028:$F$1127))</f>
        <v>0</v>
      </c>
      <c r="BE1127">
        <f>IF($E1127="","",IF(AND(COUNT($E$1128:$E$1131)&gt;=4,$C1127=MAX($C$1123:$C$1131)),$C1127,""))</f>
        <v>0</v>
      </c>
      <c r="BF1127">
        <f>IF($E1127="","",IF(AND(COUNT($E$1128:$E$1131)&gt;=4,$D1127=MIN($D$1123:$D$1131)),$D1127,""))</f>
        <v>0</v>
      </c>
      <c r="BG1127">
        <f>IF($A1127="","",$A1127-WEEKDAY($A1127,2)+1)</f>
        <v>0</v>
      </c>
      <c r="BH1127">
        <f>IF($A1127="","",IF($A1126="",1,IF(BG1127&lt;&gt;BG1126,1,0)))</f>
        <v>0</v>
      </c>
      <c r="BI1127">
        <f>IF($A1127="","",IF($A1128="",1,IF(BG1128&lt;&gt;BG1127,1,0)))</f>
        <v>0</v>
      </c>
      <c r="BJ1127">
        <f>IF($A1127="","",IF(BH1127=1,$B1127,BJ1126))</f>
        <v>0</v>
      </c>
      <c r="BK1127">
        <f>IF($A1127="","",IF(BH1127=1,$C1127,MAX($C1127,BK1126)))</f>
        <v>0</v>
      </c>
      <c r="BL1127">
        <f>IF($A1127="","",IF(BH1127=1,$D1127,MIN($D1127,BL1126)))</f>
        <v>0</v>
      </c>
      <c r="BM1127">
        <f>IF($A1127="","",IF(BI1127=1,F1127,""))</f>
        <v>0</v>
      </c>
      <c r="BN1127">
        <f>IF($A1127="","",DATE(YEAR($A1127),MONTH($A1127),1))</f>
        <v>0</v>
      </c>
      <c r="BO1127">
        <f>IF($A1127="","",IF($A1126="",1,IF(BN1127&lt;&gt;BN1126,1,0)))</f>
        <v>0</v>
      </c>
      <c r="BP1127">
        <f>IF($A1127="","",IF($A1128="",1,IF(BN1128&lt;&gt;BN1127,1,0)))</f>
        <v>0</v>
      </c>
      <c r="BQ1127">
        <f>IF($A1127="","",IF(BO1127=1,$B1127,BQ1126))</f>
        <v>0</v>
      </c>
      <c r="BR1127">
        <f>IF($A1127="","",IF(BO1127=1,$C1127,MAX($C1127,BR1126)))</f>
        <v>0</v>
      </c>
      <c r="BS1127">
        <f>IF($A1127="","",IF(BO1127=1,$D1127,MIN($D1127,BS1126)))</f>
        <v>0</v>
      </c>
      <c r="BT1127">
        <f>IF($A1127="","",IF(BP1127=1,F1127,""))</f>
        <v>0</v>
      </c>
    </row>
    <row r="1128" spans="1:72">
      <c r="A1128" s="27">
        <f>IF(Data!$A1128="","",Data!$A1128)</f>
        <v>0</v>
      </c>
      <c r="B1128">
        <f>IF(Data!$B1128="","",Data!$B1128)</f>
        <v>0</v>
      </c>
      <c r="C1128">
        <f>IF(Data!$C1128="","",Data!$C1128)</f>
        <v>0</v>
      </c>
      <c r="D1128">
        <f>IF(Data!$D1128="","",Data!$D1128)</f>
        <v>0</v>
      </c>
      <c r="E1128">
        <f>IF(Data!$E1128="","",Data!$E1128)</f>
        <v>0</v>
      </c>
      <c r="F1128">
        <f>IF($E1128="","",N(F1127)+1)</f>
        <v>0</v>
      </c>
      <c r="G1128">
        <f>IF(OR($E1128="",$E1127=""),"",LN($E1128/$E1127))</f>
        <v>0</v>
      </c>
      <c r="H1128">
        <f>IF($E1128="","",IF($E1127="",$E1128,$E1128*0.0952380952+H1127*0.9047619048))</f>
        <v>0</v>
      </c>
      <c r="I1128">
        <f>IF($E1128="","",IF($E1127="",$E1128,$E1128*0.0392156863+I1127*0.9607843137))</f>
        <v>0</v>
      </c>
      <c r="J1128">
        <f>IF($E1128="","",IF($E1127="",$E1128,$E1128*0.0198019802+J1127*0.9801980198))</f>
        <v>0</v>
      </c>
      <c r="K1128">
        <f>IF($E1128="","",IF($E1127="",$E1128,$E1128*0.0099502488+K1127*0.9900497512))</f>
        <v>0</v>
      </c>
      <c r="L1128">
        <f>IF(OR($E1128="",$E1127=""),"",MAX($E1128-$E1127,0))</f>
        <v>0</v>
      </c>
      <c r="M1128">
        <f>IF(OR($E1128="",$E1127=""),"",MAX($E1127-$E1128,0))</f>
        <v>0</v>
      </c>
      <c r="N1128">
        <f>IF(COUNT($E$2:$E1128)&lt;15,"",IF(AVERAGE($M$1115:$M$1128)=0,100,100-100/(1+AVERAGE($L$1115:$L$1128)/AVERAGE($M$1115:$M$1128))))</f>
        <v>0</v>
      </c>
      <c r="O1128">
        <f>IF($E1128="","",IF($E1127="",$E1128,$E1128*0.1538461538+O1127*0.8461538462))</f>
        <v>0</v>
      </c>
      <c r="P1128">
        <f>IF($E1128="","",IF($E1127="",$E1128,$E1128*0.0740740741+P1127*0.9259259259))</f>
        <v>0</v>
      </c>
      <c r="Q1128">
        <f>IF(OR(O1128="",P1128=""),"",O1128-P1128)</f>
        <v>0</v>
      </c>
      <c r="R1128">
        <f>IF(Q1128="","",IF(R1127="",Q1128,Q1128*0.2000000000+R1127*0.8000000000))</f>
        <v>0</v>
      </c>
      <c r="S1128">
        <f>IF(OR(Q1128="",R1128=""),"",Q1128-R1128)</f>
        <v>0</v>
      </c>
      <c r="T1128">
        <f>IF(COUNT($E$2:$E1128)&lt;14,"",MAX($C$1115:$C$1128))</f>
        <v>0</v>
      </c>
      <c r="U1128">
        <f>IF(COUNT($E$2:$E1128)&lt;14,"",MIN($D$1115:$D$1128))</f>
        <v>0</v>
      </c>
      <c r="V1128">
        <f>IF(OR(T1128="",U1128="",T1128=U1128),"",100*($E1128-U1128)/(T1128-U1128))</f>
        <v>0</v>
      </c>
      <c r="W1128">
        <f>IF(COUNT($V$1126:$V$1128)&lt;3,"",AVERAGE($V$1126:$V$1128))</f>
        <v>0</v>
      </c>
      <c r="X1128">
        <f>IF(COUNT($N$1115:$N$1128)&lt;14,"",MIN($N$1115:$N$1128))</f>
        <v>0</v>
      </c>
      <c r="Y1128">
        <f>IF(COUNT($N$1115:$N$1128)&lt;14,"",MAX($N$1115:$N$1128))</f>
        <v>0</v>
      </c>
      <c r="Z1128">
        <f>IF(OR(N1128="",X1128="",Y1128="",Y1128=X1128),"",100*(N1128-X1128)/(Y1128-X1128))</f>
        <v>0</v>
      </c>
      <c r="AA1128">
        <f>IF(COUNT($Z$1126:$Z$1128)&lt;3,"",AVERAGE($Z$1126:$Z$1128))</f>
        <v>0</v>
      </c>
      <c r="AB1128">
        <f>IF(COUNT($AA$1126:$AA$1128)&lt;3,"",AVERAGE($AA$1126:$AA$1128))</f>
        <v>0</v>
      </c>
      <c r="AC1128">
        <f>IF($E1128="","",MAX($C1128-$D1128,ABS($C1128-$E1127),ABS($D1128-$E1127)))</f>
        <v>0</v>
      </c>
      <c r="AD1128">
        <f>IF(COUNT($E$2:$E1128)&lt;15,"",AVERAGE($AC$1115:$AC$1128))</f>
        <v>0</v>
      </c>
      <c r="AE1128">
        <f>IF(OR($E1128="",$E1127=""),"",IF(AND(($C1128-$C1127)&gt;($D1127-$D1128),($C1128-$C1127)&gt;0),$C1128-$C1127,0))</f>
        <v>0</v>
      </c>
      <c r="AF1128">
        <f>IF(OR($E1128="",$E1127=""),"",IF(AND(($D1127-$D1128)&gt;($C1128-$C1127),($D1127-$D1128)&gt;0),$D1127-$D1128,0))</f>
        <v>0</v>
      </c>
      <c r="AG1128">
        <f>IF(COUNT($E$2:$E1128)&lt;15,"",IF(SUM($AC$1115:$AC$1128)=0,0,100*SUM($AE$1115:$AE$1128)/SUM($AC$1115:$AC$1128)))</f>
        <v>0</v>
      </c>
      <c r="AH1128">
        <f>IF(COUNT($E$2:$E1128)&lt;15,"",IF(SUM($AC$1115:$AC$1128)=0,0,100*SUM($AF$1115:$AF$1128)/SUM($AC$1115:$AC$1128)))</f>
        <v>0</v>
      </c>
      <c r="AI1128">
        <f>IF(OR(AG1128="",AH1128=""),"",IF((AG1128+AH1128)=0,0,100*ABS(AG1128-AH1128)/(AG1128+AH1128)))</f>
        <v>0</v>
      </c>
      <c r="AJ1128">
        <f>IF(COUNT($AI$1115:$AI$1128)&lt;14,"",AVERAGE($AI$1115:$AI$1128))</f>
        <v>0</v>
      </c>
      <c r="AK1128">
        <f>IF(COUNT($E$2:$E1128)&lt;20,"",AVERAGE($E$1109:$E$1128))</f>
        <v>0</v>
      </c>
      <c r="AL1128">
        <f>IF(COUNT($E$2:$E1128)&lt;20,"",STDEVP($E$1109:$E$1128))</f>
        <v>0</v>
      </c>
      <c r="AM1128">
        <f>IF(AK1128="","",AK1128+2*AL1128)</f>
        <v>0</v>
      </c>
      <c r="AN1128">
        <f>IF(AK1128="","",AK1128-2*AL1128)</f>
        <v>0</v>
      </c>
      <c r="AO1128">
        <f>IF(OR(AM1128="",AN1128="",AM1128=AN1128),"",($E1128-AN1128)/(AM1128-AN1128))</f>
        <v>0</v>
      </c>
      <c r="AP1128">
        <f>IF(OR(AM1128="",AK1128="",AK1128=0),"",(AM1128-AN1128)/AK1128)</f>
        <v>0</v>
      </c>
      <c r="AQ1128">
        <f>IF(COUNT($E$2:$E1128)&lt;20,"",MAX($C$1109:$C$1128))</f>
        <v>0</v>
      </c>
      <c r="AR1128">
        <f>IF(COUNT($E$2:$E1128)&lt;20,"",MIN($D$1109:$D$1128))</f>
        <v>0</v>
      </c>
      <c r="AS1128">
        <f>IF(OR(AQ1128="",AR1128=""),"",(AQ1128+AR1128)/2)</f>
        <v>0</v>
      </c>
      <c r="AT1128">
        <f>IF(COUNT($G$1109:$G$1128)&lt;20,"",STDEV($G$1109:$G$1128)*SQRT(252))</f>
        <v>0</v>
      </c>
      <c r="AU1128">
        <f>IF(COUNT($E$2:$E1128)&lt;9,"",(MAX($C$1120:$C$1128)+MIN($D$1120:$D$1128))/2)</f>
        <v>0</v>
      </c>
      <c r="AV1128">
        <f>IF(COUNT($E$2:$E1128)&lt;26,"",(MAX($C$1103:$C$1128)+MIN($D$1103:$D$1128))/2)</f>
        <v>0</v>
      </c>
      <c r="AW1128">
        <f>IF(OR(AU1128="",AV1128=""),"",(AU1128+AV1128)/2)</f>
        <v>0</v>
      </c>
      <c r="AX1128">
        <f>IF(COUNT($E$2:$E1128)&lt;52,"",(MAX($C$1077:$C$1128)+MIN($D$1077:$D$1128))/2)</f>
        <v>0</v>
      </c>
      <c r="AY1128">
        <f>IF(COUNT($E$2:$E1128)&lt;20,"",MAX($C$1029:$C$1128))</f>
        <v>0</v>
      </c>
      <c r="AZ1128">
        <f>IF(COUNT($E$2:$E1128)&lt;20,"",MIN($D$1029:$D$1128))</f>
        <v>0</v>
      </c>
      <c r="BA1128">
        <f>IF(COUNT($E$2:$E1128)&lt;20,"",SLOPE($E$1029:$E$1128,$F$1029:$F$1128))</f>
        <v>0</v>
      </c>
      <c r="BB1128">
        <f>IF(COUNT($E$2:$E1128)&lt;20,"",INTERCEPT($E$1029:$E$1128,$F$1029:$F$1128))</f>
        <v>0</v>
      </c>
      <c r="BC1128">
        <f>IF(OR(BA1128="",BB1128=""),"",BB1128+BA1128*F1128)</f>
        <v>0</v>
      </c>
      <c r="BD1128">
        <f>IF(COUNT($E$2:$E1128)&lt;20,"",STEYX($E$1029:$E$1128,$F$1029:$F$1128))</f>
        <v>0</v>
      </c>
      <c r="BE1128">
        <f>IF($E1128="","",IF(AND(COUNT($E$1129:$E$1132)&gt;=4,$C1128=MAX($C$1124:$C$1132)),$C1128,""))</f>
        <v>0</v>
      </c>
      <c r="BF1128">
        <f>IF($E1128="","",IF(AND(COUNT($E$1129:$E$1132)&gt;=4,$D1128=MIN($D$1124:$D$1132)),$D1128,""))</f>
        <v>0</v>
      </c>
      <c r="BG1128">
        <f>IF($A1128="","",$A1128-WEEKDAY($A1128,2)+1)</f>
        <v>0</v>
      </c>
      <c r="BH1128">
        <f>IF($A1128="","",IF($A1127="",1,IF(BG1128&lt;&gt;BG1127,1,0)))</f>
        <v>0</v>
      </c>
      <c r="BI1128">
        <f>IF($A1128="","",IF($A1129="",1,IF(BG1129&lt;&gt;BG1128,1,0)))</f>
        <v>0</v>
      </c>
      <c r="BJ1128">
        <f>IF($A1128="","",IF(BH1128=1,$B1128,BJ1127))</f>
        <v>0</v>
      </c>
      <c r="BK1128">
        <f>IF($A1128="","",IF(BH1128=1,$C1128,MAX($C1128,BK1127)))</f>
        <v>0</v>
      </c>
      <c r="BL1128">
        <f>IF($A1128="","",IF(BH1128=1,$D1128,MIN($D1128,BL1127)))</f>
        <v>0</v>
      </c>
      <c r="BM1128">
        <f>IF($A1128="","",IF(BI1128=1,F1128,""))</f>
        <v>0</v>
      </c>
      <c r="BN1128">
        <f>IF($A1128="","",DATE(YEAR($A1128),MONTH($A1128),1))</f>
        <v>0</v>
      </c>
      <c r="BO1128">
        <f>IF($A1128="","",IF($A1127="",1,IF(BN1128&lt;&gt;BN1127,1,0)))</f>
        <v>0</v>
      </c>
      <c r="BP1128">
        <f>IF($A1128="","",IF($A1129="",1,IF(BN1129&lt;&gt;BN1128,1,0)))</f>
        <v>0</v>
      </c>
      <c r="BQ1128">
        <f>IF($A1128="","",IF(BO1128=1,$B1128,BQ1127))</f>
        <v>0</v>
      </c>
      <c r="BR1128">
        <f>IF($A1128="","",IF(BO1128=1,$C1128,MAX($C1128,BR1127)))</f>
        <v>0</v>
      </c>
      <c r="BS1128">
        <f>IF($A1128="","",IF(BO1128=1,$D1128,MIN($D1128,BS1127)))</f>
        <v>0</v>
      </c>
      <c r="BT1128">
        <f>IF($A1128="","",IF(BP1128=1,F1128,""))</f>
        <v>0</v>
      </c>
    </row>
    <row r="1129" spans="1:72">
      <c r="A1129" s="27">
        <f>IF(Data!$A1129="","",Data!$A1129)</f>
        <v>0</v>
      </c>
      <c r="B1129">
        <f>IF(Data!$B1129="","",Data!$B1129)</f>
        <v>0</v>
      </c>
      <c r="C1129">
        <f>IF(Data!$C1129="","",Data!$C1129)</f>
        <v>0</v>
      </c>
      <c r="D1129">
        <f>IF(Data!$D1129="","",Data!$D1129)</f>
        <v>0</v>
      </c>
      <c r="E1129">
        <f>IF(Data!$E1129="","",Data!$E1129)</f>
        <v>0</v>
      </c>
      <c r="F1129">
        <f>IF($E1129="","",N(F1128)+1)</f>
        <v>0</v>
      </c>
      <c r="G1129">
        <f>IF(OR($E1129="",$E1128=""),"",LN($E1129/$E1128))</f>
        <v>0</v>
      </c>
      <c r="H1129">
        <f>IF($E1129="","",IF($E1128="",$E1129,$E1129*0.0952380952+H1128*0.9047619048))</f>
        <v>0</v>
      </c>
      <c r="I1129">
        <f>IF($E1129="","",IF($E1128="",$E1129,$E1129*0.0392156863+I1128*0.9607843137))</f>
        <v>0</v>
      </c>
      <c r="J1129">
        <f>IF($E1129="","",IF($E1128="",$E1129,$E1129*0.0198019802+J1128*0.9801980198))</f>
        <v>0</v>
      </c>
      <c r="K1129">
        <f>IF($E1129="","",IF($E1128="",$E1129,$E1129*0.0099502488+K1128*0.9900497512))</f>
        <v>0</v>
      </c>
      <c r="L1129">
        <f>IF(OR($E1129="",$E1128=""),"",MAX($E1129-$E1128,0))</f>
        <v>0</v>
      </c>
      <c r="M1129">
        <f>IF(OR($E1129="",$E1128=""),"",MAX($E1128-$E1129,0))</f>
        <v>0</v>
      </c>
      <c r="N1129">
        <f>IF(COUNT($E$2:$E1129)&lt;15,"",IF(AVERAGE($M$1116:$M$1129)=0,100,100-100/(1+AVERAGE($L$1116:$L$1129)/AVERAGE($M$1116:$M$1129))))</f>
        <v>0</v>
      </c>
      <c r="O1129">
        <f>IF($E1129="","",IF($E1128="",$E1129,$E1129*0.1538461538+O1128*0.8461538462))</f>
        <v>0</v>
      </c>
      <c r="P1129">
        <f>IF($E1129="","",IF($E1128="",$E1129,$E1129*0.0740740741+P1128*0.9259259259))</f>
        <v>0</v>
      </c>
      <c r="Q1129">
        <f>IF(OR(O1129="",P1129=""),"",O1129-P1129)</f>
        <v>0</v>
      </c>
      <c r="R1129">
        <f>IF(Q1129="","",IF(R1128="",Q1129,Q1129*0.2000000000+R1128*0.8000000000))</f>
        <v>0</v>
      </c>
      <c r="S1129">
        <f>IF(OR(Q1129="",R1129=""),"",Q1129-R1129)</f>
        <v>0</v>
      </c>
      <c r="T1129">
        <f>IF(COUNT($E$2:$E1129)&lt;14,"",MAX($C$1116:$C$1129))</f>
        <v>0</v>
      </c>
      <c r="U1129">
        <f>IF(COUNT($E$2:$E1129)&lt;14,"",MIN($D$1116:$D$1129))</f>
        <v>0</v>
      </c>
      <c r="V1129">
        <f>IF(OR(T1129="",U1129="",T1129=U1129),"",100*($E1129-U1129)/(T1129-U1129))</f>
        <v>0</v>
      </c>
      <c r="W1129">
        <f>IF(COUNT($V$1127:$V$1129)&lt;3,"",AVERAGE($V$1127:$V$1129))</f>
        <v>0</v>
      </c>
      <c r="X1129">
        <f>IF(COUNT($N$1116:$N$1129)&lt;14,"",MIN($N$1116:$N$1129))</f>
        <v>0</v>
      </c>
      <c r="Y1129">
        <f>IF(COUNT($N$1116:$N$1129)&lt;14,"",MAX($N$1116:$N$1129))</f>
        <v>0</v>
      </c>
      <c r="Z1129">
        <f>IF(OR(N1129="",X1129="",Y1129="",Y1129=X1129),"",100*(N1129-X1129)/(Y1129-X1129))</f>
        <v>0</v>
      </c>
      <c r="AA1129">
        <f>IF(COUNT($Z$1127:$Z$1129)&lt;3,"",AVERAGE($Z$1127:$Z$1129))</f>
        <v>0</v>
      </c>
      <c r="AB1129">
        <f>IF(COUNT($AA$1127:$AA$1129)&lt;3,"",AVERAGE($AA$1127:$AA$1129))</f>
        <v>0</v>
      </c>
      <c r="AC1129">
        <f>IF($E1129="","",MAX($C1129-$D1129,ABS($C1129-$E1128),ABS($D1129-$E1128)))</f>
        <v>0</v>
      </c>
      <c r="AD1129">
        <f>IF(COUNT($E$2:$E1129)&lt;15,"",AVERAGE($AC$1116:$AC$1129))</f>
        <v>0</v>
      </c>
      <c r="AE1129">
        <f>IF(OR($E1129="",$E1128=""),"",IF(AND(($C1129-$C1128)&gt;($D1128-$D1129),($C1129-$C1128)&gt;0),$C1129-$C1128,0))</f>
        <v>0</v>
      </c>
      <c r="AF1129">
        <f>IF(OR($E1129="",$E1128=""),"",IF(AND(($D1128-$D1129)&gt;($C1129-$C1128),($D1128-$D1129)&gt;0),$D1128-$D1129,0))</f>
        <v>0</v>
      </c>
      <c r="AG1129">
        <f>IF(COUNT($E$2:$E1129)&lt;15,"",IF(SUM($AC$1116:$AC$1129)=0,0,100*SUM($AE$1116:$AE$1129)/SUM($AC$1116:$AC$1129)))</f>
        <v>0</v>
      </c>
      <c r="AH1129">
        <f>IF(COUNT($E$2:$E1129)&lt;15,"",IF(SUM($AC$1116:$AC$1129)=0,0,100*SUM($AF$1116:$AF$1129)/SUM($AC$1116:$AC$1129)))</f>
        <v>0</v>
      </c>
      <c r="AI1129">
        <f>IF(OR(AG1129="",AH1129=""),"",IF((AG1129+AH1129)=0,0,100*ABS(AG1129-AH1129)/(AG1129+AH1129)))</f>
        <v>0</v>
      </c>
      <c r="AJ1129">
        <f>IF(COUNT($AI$1116:$AI$1129)&lt;14,"",AVERAGE($AI$1116:$AI$1129))</f>
        <v>0</v>
      </c>
      <c r="AK1129">
        <f>IF(COUNT($E$2:$E1129)&lt;20,"",AVERAGE($E$1110:$E$1129))</f>
        <v>0</v>
      </c>
      <c r="AL1129">
        <f>IF(COUNT($E$2:$E1129)&lt;20,"",STDEVP($E$1110:$E$1129))</f>
        <v>0</v>
      </c>
      <c r="AM1129">
        <f>IF(AK1129="","",AK1129+2*AL1129)</f>
        <v>0</v>
      </c>
      <c r="AN1129">
        <f>IF(AK1129="","",AK1129-2*AL1129)</f>
        <v>0</v>
      </c>
      <c r="AO1129">
        <f>IF(OR(AM1129="",AN1129="",AM1129=AN1129),"",($E1129-AN1129)/(AM1129-AN1129))</f>
        <v>0</v>
      </c>
      <c r="AP1129">
        <f>IF(OR(AM1129="",AK1129="",AK1129=0),"",(AM1129-AN1129)/AK1129)</f>
        <v>0</v>
      </c>
      <c r="AQ1129">
        <f>IF(COUNT($E$2:$E1129)&lt;20,"",MAX($C$1110:$C$1129))</f>
        <v>0</v>
      </c>
      <c r="AR1129">
        <f>IF(COUNT($E$2:$E1129)&lt;20,"",MIN($D$1110:$D$1129))</f>
        <v>0</v>
      </c>
      <c r="AS1129">
        <f>IF(OR(AQ1129="",AR1129=""),"",(AQ1129+AR1129)/2)</f>
        <v>0</v>
      </c>
      <c r="AT1129">
        <f>IF(COUNT($G$1110:$G$1129)&lt;20,"",STDEV($G$1110:$G$1129)*SQRT(252))</f>
        <v>0</v>
      </c>
      <c r="AU1129">
        <f>IF(COUNT($E$2:$E1129)&lt;9,"",(MAX($C$1121:$C$1129)+MIN($D$1121:$D$1129))/2)</f>
        <v>0</v>
      </c>
      <c r="AV1129">
        <f>IF(COUNT($E$2:$E1129)&lt;26,"",(MAX($C$1104:$C$1129)+MIN($D$1104:$D$1129))/2)</f>
        <v>0</v>
      </c>
      <c r="AW1129">
        <f>IF(OR(AU1129="",AV1129=""),"",(AU1129+AV1129)/2)</f>
        <v>0</v>
      </c>
      <c r="AX1129">
        <f>IF(COUNT($E$2:$E1129)&lt;52,"",(MAX($C$1078:$C$1129)+MIN($D$1078:$D$1129))/2)</f>
        <v>0</v>
      </c>
      <c r="AY1129">
        <f>IF(COUNT($E$2:$E1129)&lt;20,"",MAX($C$1030:$C$1129))</f>
        <v>0</v>
      </c>
      <c r="AZ1129">
        <f>IF(COUNT($E$2:$E1129)&lt;20,"",MIN($D$1030:$D$1129))</f>
        <v>0</v>
      </c>
      <c r="BA1129">
        <f>IF(COUNT($E$2:$E1129)&lt;20,"",SLOPE($E$1030:$E$1129,$F$1030:$F$1129))</f>
        <v>0</v>
      </c>
      <c r="BB1129">
        <f>IF(COUNT($E$2:$E1129)&lt;20,"",INTERCEPT($E$1030:$E$1129,$F$1030:$F$1129))</f>
        <v>0</v>
      </c>
      <c r="BC1129">
        <f>IF(OR(BA1129="",BB1129=""),"",BB1129+BA1129*F1129)</f>
        <v>0</v>
      </c>
      <c r="BD1129">
        <f>IF(COUNT($E$2:$E1129)&lt;20,"",STEYX($E$1030:$E$1129,$F$1030:$F$1129))</f>
        <v>0</v>
      </c>
      <c r="BE1129">
        <f>IF($E1129="","",IF(AND(COUNT($E$1130:$E$1133)&gt;=4,$C1129=MAX($C$1125:$C$1133)),$C1129,""))</f>
        <v>0</v>
      </c>
      <c r="BF1129">
        <f>IF($E1129="","",IF(AND(COUNT($E$1130:$E$1133)&gt;=4,$D1129=MIN($D$1125:$D$1133)),$D1129,""))</f>
        <v>0</v>
      </c>
      <c r="BG1129">
        <f>IF($A1129="","",$A1129-WEEKDAY($A1129,2)+1)</f>
        <v>0</v>
      </c>
      <c r="BH1129">
        <f>IF($A1129="","",IF($A1128="",1,IF(BG1129&lt;&gt;BG1128,1,0)))</f>
        <v>0</v>
      </c>
      <c r="BI1129">
        <f>IF($A1129="","",IF($A1130="",1,IF(BG1130&lt;&gt;BG1129,1,0)))</f>
        <v>0</v>
      </c>
      <c r="BJ1129">
        <f>IF($A1129="","",IF(BH1129=1,$B1129,BJ1128))</f>
        <v>0</v>
      </c>
      <c r="BK1129">
        <f>IF($A1129="","",IF(BH1129=1,$C1129,MAX($C1129,BK1128)))</f>
        <v>0</v>
      </c>
      <c r="BL1129">
        <f>IF($A1129="","",IF(BH1129=1,$D1129,MIN($D1129,BL1128)))</f>
        <v>0</v>
      </c>
      <c r="BM1129">
        <f>IF($A1129="","",IF(BI1129=1,F1129,""))</f>
        <v>0</v>
      </c>
      <c r="BN1129">
        <f>IF($A1129="","",DATE(YEAR($A1129),MONTH($A1129),1))</f>
        <v>0</v>
      </c>
      <c r="BO1129">
        <f>IF($A1129="","",IF($A1128="",1,IF(BN1129&lt;&gt;BN1128,1,0)))</f>
        <v>0</v>
      </c>
      <c r="BP1129">
        <f>IF($A1129="","",IF($A1130="",1,IF(BN1130&lt;&gt;BN1129,1,0)))</f>
        <v>0</v>
      </c>
      <c r="BQ1129">
        <f>IF($A1129="","",IF(BO1129=1,$B1129,BQ1128))</f>
        <v>0</v>
      </c>
      <c r="BR1129">
        <f>IF($A1129="","",IF(BO1129=1,$C1129,MAX($C1129,BR1128)))</f>
        <v>0</v>
      </c>
      <c r="BS1129">
        <f>IF($A1129="","",IF(BO1129=1,$D1129,MIN($D1129,BS1128)))</f>
        <v>0</v>
      </c>
      <c r="BT1129">
        <f>IF($A1129="","",IF(BP1129=1,F1129,""))</f>
        <v>0</v>
      </c>
    </row>
    <row r="1130" spans="1:72">
      <c r="A1130" s="27">
        <f>IF(Data!$A1130="","",Data!$A1130)</f>
        <v>0</v>
      </c>
      <c r="B1130">
        <f>IF(Data!$B1130="","",Data!$B1130)</f>
        <v>0</v>
      </c>
      <c r="C1130">
        <f>IF(Data!$C1130="","",Data!$C1130)</f>
        <v>0</v>
      </c>
      <c r="D1130">
        <f>IF(Data!$D1130="","",Data!$D1130)</f>
        <v>0</v>
      </c>
      <c r="E1130">
        <f>IF(Data!$E1130="","",Data!$E1130)</f>
        <v>0</v>
      </c>
      <c r="F1130">
        <f>IF($E1130="","",N(F1129)+1)</f>
        <v>0</v>
      </c>
      <c r="G1130">
        <f>IF(OR($E1130="",$E1129=""),"",LN($E1130/$E1129))</f>
        <v>0</v>
      </c>
      <c r="H1130">
        <f>IF($E1130="","",IF($E1129="",$E1130,$E1130*0.0952380952+H1129*0.9047619048))</f>
        <v>0</v>
      </c>
      <c r="I1130">
        <f>IF($E1130="","",IF($E1129="",$E1130,$E1130*0.0392156863+I1129*0.9607843137))</f>
        <v>0</v>
      </c>
      <c r="J1130">
        <f>IF($E1130="","",IF($E1129="",$E1130,$E1130*0.0198019802+J1129*0.9801980198))</f>
        <v>0</v>
      </c>
      <c r="K1130">
        <f>IF($E1130="","",IF($E1129="",$E1130,$E1130*0.0099502488+K1129*0.9900497512))</f>
        <v>0</v>
      </c>
      <c r="L1130">
        <f>IF(OR($E1130="",$E1129=""),"",MAX($E1130-$E1129,0))</f>
        <v>0</v>
      </c>
      <c r="M1130">
        <f>IF(OR($E1130="",$E1129=""),"",MAX($E1129-$E1130,0))</f>
        <v>0</v>
      </c>
      <c r="N1130">
        <f>IF(COUNT($E$2:$E1130)&lt;15,"",IF(AVERAGE($M$1117:$M$1130)=0,100,100-100/(1+AVERAGE($L$1117:$L$1130)/AVERAGE($M$1117:$M$1130))))</f>
        <v>0</v>
      </c>
      <c r="O1130">
        <f>IF($E1130="","",IF($E1129="",$E1130,$E1130*0.1538461538+O1129*0.8461538462))</f>
        <v>0</v>
      </c>
      <c r="P1130">
        <f>IF($E1130="","",IF($E1129="",$E1130,$E1130*0.0740740741+P1129*0.9259259259))</f>
        <v>0</v>
      </c>
      <c r="Q1130">
        <f>IF(OR(O1130="",P1130=""),"",O1130-P1130)</f>
        <v>0</v>
      </c>
      <c r="R1130">
        <f>IF(Q1130="","",IF(R1129="",Q1130,Q1130*0.2000000000+R1129*0.8000000000))</f>
        <v>0</v>
      </c>
      <c r="S1130">
        <f>IF(OR(Q1130="",R1130=""),"",Q1130-R1130)</f>
        <v>0</v>
      </c>
      <c r="T1130">
        <f>IF(COUNT($E$2:$E1130)&lt;14,"",MAX($C$1117:$C$1130))</f>
        <v>0</v>
      </c>
      <c r="U1130">
        <f>IF(COUNT($E$2:$E1130)&lt;14,"",MIN($D$1117:$D$1130))</f>
        <v>0</v>
      </c>
      <c r="V1130">
        <f>IF(OR(T1130="",U1130="",T1130=U1130),"",100*($E1130-U1130)/(T1130-U1130))</f>
        <v>0</v>
      </c>
      <c r="W1130">
        <f>IF(COUNT($V$1128:$V$1130)&lt;3,"",AVERAGE($V$1128:$V$1130))</f>
        <v>0</v>
      </c>
      <c r="X1130">
        <f>IF(COUNT($N$1117:$N$1130)&lt;14,"",MIN($N$1117:$N$1130))</f>
        <v>0</v>
      </c>
      <c r="Y1130">
        <f>IF(COUNT($N$1117:$N$1130)&lt;14,"",MAX($N$1117:$N$1130))</f>
        <v>0</v>
      </c>
      <c r="Z1130">
        <f>IF(OR(N1130="",X1130="",Y1130="",Y1130=X1130),"",100*(N1130-X1130)/(Y1130-X1130))</f>
        <v>0</v>
      </c>
      <c r="AA1130">
        <f>IF(COUNT($Z$1128:$Z$1130)&lt;3,"",AVERAGE($Z$1128:$Z$1130))</f>
        <v>0</v>
      </c>
      <c r="AB1130">
        <f>IF(COUNT($AA$1128:$AA$1130)&lt;3,"",AVERAGE($AA$1128:$AA$1130))</f>
        <v>0</v>
      </c>
      <c r="AC1130">
        <f>IF($E1130="","",MAX($C1130-$D1130,ABS($C1130-$E1129),ABS($D1130-$E1129)))</f>
        <v>0</v>
      </c>
      <c r="AD1130">
        <f>IF(COUNT($E$2:$E1130)&lt;15,"",AVERAGE($AC$1117:$AC$1130))</f>
        <v>0</v>
      </c>
      <c r="AE1130">
        <f>IF(OR($E1130="",$E1129=""),"",IF(AND(($C1130-$C1129)&gt;($D1129-$D1130),($C1130-$C1129)&gt;0),$C1130-$C1129,0))</f>
        <v>0</v>
      </c>
      <c r="AF1130">
        <f>IF(OR($E1130="",$E1129=""),"",IF(AND(($D1129-$D1130)&gt;($C1130-$C1129),($D1129-$D1130)&gt;0),$D1129-$D1130,0))</f>
        <v>0</v>
      </c>
      <c r="AG1130">
        <f>IF(COUNT($E$2:$E1130)&lt;15,"",IF(SUM($AC$1117:$AC$1130)=0,0,100*SUM($AE$1117:$AE$1130)/SUM($AC$1117:$AC$1130)))</f>
        <v>0</v>
      </c>
      <c r="AH1130">
        <f>IF(COUNT($E$2:$E1130)&lt;15,"",IF(SUM($AC$1117:$AC$1130)=0,0,100*SUM($AF$1117:$AF$1130)/SUM($AC$1117:$AC$1130)))</f>
        <v>0</v>
      </c>
      <c r="AI1130">
        <f>IF(OR(AG1130="",AH1130=""),"",IF((AG1130+AH1130)=0,0,100*ABS(AG1130-AH1130)/(AG1130+AH1130)))</f>
        <v>0</v>
      </c>
      <c r="AJ1130">
        <f>IF(COUNT($AI$1117:$AI$1130)&lt;14,"",AVERAGE($AI$1117:$AI$1130))</f>
        <v>0</v>
      </c>
      <c r="AK1130">
        <f>IF(COUNT($E$2:$E1130)&lt;20,"",AVERAGE($E$1111:$E$1130))</f>
        <v>0</v>
      </c>
      <c r="AL1130">
        <f>IF(COUNT($E$2:$E1130)&lt;20,"",STDEVP($E$1111:$E$1130))</f>
        <v>0</v>
      </c>
      <c r="AM1130">
        <f>IF(AK1130="","",AK1130+2*AL1130)</f>
        <v>0</v>
      </c>
      <c r="AN1130">
        <f>IF(AK1130="","",AK1130-2*AL1130)</f>
        <v>0</v>
      </c>
      <c r="AO1130">
        <f>IF(OR(AM1130="",AN1130="",AM1130=AN1130),"",($E1130-AN1130)/(AM1130-AN1130))</f>
        <v>0</v>
      </c>
      <c r="AP1130">
        <f>IF(OR(AM1130="",AK1130="",AK1130=0),"",(AM1130-AN1130)/AK1130)</f>
        <v>0</v>
      </c>
      <c r="AQ1130">
        <f>IF(COUNT($E$2:$E1130)&lt;20,"",MAX($C$1111:$C$1130))</f>
        <v>0</v>
      </c>
      <c r="AR1130">
        <f>IF(COUNT($E$2:$E1130)&lt;20,"",MIN($D$1111:$D$1130))</f>
        <v>0</v>
      </c>
      <c r="AS1130">
        <f>IF(OR(AQ1130="",AR1130=""),"",(AQ1130+AR1130)/2)</f>
        <v>0</v>
      </c>
      <c r="AT1130">
        <f>IF(COUNT($G$1111:$G$1130)&lt;20,"",STDEV($G$1111:$G$1130)*SQRT(252))</f>
        <v>0</v>
      </c>
      <c r="AU1130">
        <f>IF(COUNT($E$2:$E1130)&lt;9,"",(MAX($C$1122:$C$1130)+MIN($D$1122:$D$1130))/2)</f>
        <v>0</v>
      </c>
      <c r="AV1130">
        <f>IF(COUNT($E$2:$E1130)&lt;26,"",(MAX($C$1105:$C$1130)+MIN($D$1105:$D$1130))/2)</f>
        <v>0</v>
      </c>
      <c r="AW1130">
        <f>IF(OR(AU1130="",AV1130=""),"",(AU1130+AV1130)/2)</f>
        <v>0</v>
      </c>
      <c r="AX1130">
        <f>IF(COUNT($E$2:$E1130)&lt;52,"",(MAX($C$1079:$C$1130)+MIN($D$1079:$D$1130))/2)</f>
        <v>0</v>
      </c>
      <c r="AY1130">
        <f>IF(COUNT($E$2:$E1130)&lt;20,"",MAX($C$1031:$C$1130))</f>
        <v>0</v>
      </c>
      <c r="AZ1130">
        <f>IF(COUNT($E$2:$E1130)&lt;20,"",MIN($D$1031:$D$1130))</f>
        <v>0</v>
      </c>
      <c r="BA1130">
        <f>IF(COUNT($E$2:$E1130)&lt;20,"",SLOPE($E$1031:$E$1130,$F$1031:$F$1130))</f>
        <v>0</v>
      </c>
      <c r="BB1130">
        <f>IF(COUNT($E$2:$E1130)&lt;20,"",INTERCEPT($E$1031:$E$1130,$F$1031:$F$1130))</f>
        <v>0</v>
      </c>
      <c r="BC1130">
        <f>IF(OR(BA1130="",BB1130=""),"",BB1130+BA1130*F1130)</f>
        <v>0</v>
      </c>
      <c r="BD1130">
        <f>IF(COUNT($E$2:$E1130)&lt;20,"",STEYX($E$1031:$E$1130,$F$1031:$F$1130))</f>
        <v>0</v>
      </c>
      <c r="BE1130">
        <f>IF($E1130="","",IF(AND(COUNT($E$1131:$E$1134)&gt;=4,$C1130=MAX($C$1126:$C$1134)),$C1130,""))</f>
        <v>0</v>
      </c>
      <c r="BF1130">
        <f>IF($E1130="","",IF(AND(COUNT($E$1131:$E$1134)&gt;=4,$D1130=MIN($D$1126:$D$1134)),$D1130,""))</f>
        <v>0</v>
      </c>
      <c r="BG1130">
        <f>IF($A1130="","",$A1130-WEEKDAY($A1130,2)+1)</f>
        <v>0</v>
      </c>
      <c r="BH1130">
        <f>IF($A1130="","",IF($A1129="",1,IF(BG1130&lt;&gt;BG1129,1,0)))</f>
        <v>0</v>
      </c>
      <c r="BI1130">
        <f>IF($A1130="","",IF($A1131="",1,IF(BG1131&lt;&gt;BG1130,1,0)))</f>
        <v>0</v>
      </c>
      <c r="BJ1130">
        <f>IF($A1130="","",IF(BH1130=1,$B1130,BJ1129))</f>
        <v>0</v>
      </c>
      <c r="BK1130">
        <f>IF($A1130="","",IF(BH1130=1,$C1130,MAX($C1130,BK1129)))</f>
        <v>0</v>
      </c>
      <c r="BL1130">
        <f>IF($A1130="","",IF(BH1130=1,$D1130,MIN($D1130,BL1129)))</f>
        <v>0</v>
      </c>
      <c r="BM1130">
        <f>IF($A1130="","",IF(BI1130=1,F1130,""))</f>
        <v>0</v>
      </c>
      <c r="BN1130">
        <f>IF($A1130="","",DATE(YEAR($A1130),MONTH($A1130),1))</f>
        <v>0</v>
      </c>
      <c r="BO1130">
        <f>IF($A1130="","",IF($A1129="",1,IF(BN1130&lt;&gt;BN1129,1,0)))</f>
        <v>0</v>
      </c>
      <c r="BP1130">
        <f>IF($A1130="","",IF($A1131="",1,IF(BN1131&lt;&gt;BN1130,1,0)))</f>
        <v>0</v>
      </c>
      <c r="BQ1130">
        <f>IF($A1130="","",IF(BO1130=1,$B1130,BQ1129))</f>
        <v>0</v>
      </c>
      <c r="BR1130">
        <f>IF($A1130="","",IF(BO1130=1,$C1130,MAX($C1130,BR1129)))</f>
        <v>0</v>
      </c>
      <c r="BS1130">
        <f>IF($A1130="","",IF(BO1130=1,$D1130,MIN($D1130,BS1129)))</f>
        <v>0</v>
      </c>
      <c r="BT1130">
        <f>IF($A1130="","",IF(BP1130=1,F1130,""))</f>
        <v>0</v>
      </c>
    </row>
    <row r="1131" spans="1:72">
      <c r="A1131" s="27">
        <f>IF(Data!$A1131="","",Data!$A1131)</f>
        <v>0</v>
      </c>
      <c r="B1131">
        <f>IF(Data!$B1131="","",Data!$B1131)</f>
        <v>0</v>
      </c>
      <c r="C1131">
        <f>IF(Data!$C1131="","",Data!$C1131)</f>
        <v>0</v>
      </c>
      <c r="D1131">
        <f>IF(Data!$D1131="","",Data!$D1131)</f>
        <v>0</v>
      </c>
      <c r="E1131">
        <f>IF(Data!$E1131="","",Data!$E1131)</f>
        <v>0</v>
      </c>
      <c r="F1131">
        <f>IF($E1131="","",N(F1130)+1)</f>
        <v>0</v>
      </c>
      <c r="G1131">
        <f>IF(OR($E1131="",$E1130=""),"",LN($E1131/$E1130))</f>
        <v>0</v>
      </c>
      <c r="H1131">
        <f>IF($E1131="","",IF($E1130="",$E1131,$E1131*0.0952380952+H1130*0.9047619048))</f>
        <v>0</v>
      </c>
      <c r="I1131">
        <f>IF($E1131="","",IF($E1130="",$E1131,$E1131*0.0392156863+I1130*0.9607843137))</f>
        <v>0</v>
      </c>
      <c r="J1131">
        <f>IF($E1131="","",IF($E1130="",$E1131,$E1131*0.0198019802+J1130*0.9801980198))</f>
        <v>0</v>
      </c>
      <c r="K1131">
        <f>IF($E1131="","",IF($E1130="",$E1131,$E1131*0.0099502488+K1130*0.9900497512))</f>
        <v>0</v>
      </c>
      <c r="L1131">
        <f>IF(OR($E1131="",$E1130=""),"",MAX($E1131-$E1130,0))</f>
        <v>0</v>
      </c>
      <c r="M1131">
        <f>IF(OR($E1131="",$E1130=""),"",MAX($E1130-$E1131,0))</f>
        <v>0</v>
      </c>
      <c r="N1131">
        <f>IF(COUNT($E$2:$E1131)&lt;15,"",IF(AVERAGE($M$1118:$M$1131)=0,100,100-100/(1+AVERAGE($L$1118:$L$1131)/AVERAGE($M$1118:$M$1131))))</f>
        <v>0</v>
      </c>
      <c r="O1131">
        <f>IF($E1131="","",IF($E1130="",$E1131,$E1131*0.1538461538+O1130*0.8461538462))</f>
        <v>0</v>
      </c>
      <c r="P1131">
        <f>IF($E1131="","",IF($E1130="",$E1131,$E1131*0.0740740741+P1130*0.9259259259))</f>
        <v>0</v>
      </c>
      <c r="Q1131">
        <f>IF(OR(O1131="",P1131=""),"",O1131-P1131)</f>
        <v>0</v>
      </c>
      <c r="R1131">
        <f>IF(Q1131="","",IF(R1130="",Q1131,Q1131*0.2000000000+R1130*0.8000000000))</f>
        <v>0</v>
      </c>
      <c r="S1131">
        <f>IF(OR(Q1131="",R1131=""),"",Q1131-R1131)</f>
        <v>0</v>
      </c>
      <c r="T1131">
        <f>IF(COUNT($E$2:$E1131)&lt;14,"",MAX($C$1118:$C$1131))</f>
        <v>0</v>
      </c>
      <c r="U1131">
        <f>IF(COUNT($E$2:$E1131)&lt;14,"",MIN($D$1118:$D$1131))</f>
        <v>0</v>
      </c>
      <c r="V1131">
        <f>IF(OR(T1131="",U1131="",T1131=U1131),"",100*($E1131-U1131)/(T1131-U1131))</f>
        <v>0</v>
      </c>
      <c r="W1131">
        <f>IF(COUNT($V$1129:$V$1131)&lt;3,"",AVERAGE($V$1129:$V$1131))</f>
        <v>0</v>
      </c>
      <c r="X1131">
        <f>IF(COUNT($N$1118:$N$1131)&lt;14,"",MIN($N$1118:$N$1131))</f>
        <v>0</v>
      </c>
      <c r="Y1131">
        <f>IF(COUNT($N$1118:$N$1131)&lt;14,"",MAX($N$1118:$N$1131))</f>
        <v>0</v>
      </c>
      <c r="Z1131">
        <f>IF(OR(N1131="",X1131="",Y1131="",Y1131=X1131),"",100*(N1131-X1131)/(Y1131-X1131))</f>
        <v>0</v>
      </c>
      <c r="AA1131">
        <f>IF(COUNT($Z$1129:$Z$1131)&lt;3,"",AVERAGE($Z$1129:$Z$1131))</f>
        <v>0</v>
      </c>
      <c r="AB1131">
        <f>IF(COUNT($AA$1129:$AA$1131)&lt;3,"",AVERAGE($AA$1129:$AA$1131))</f>
        <v>0</v>
      </c>
      <c r="AC1131">
        <f>IF($E1131="","",MAX($C1131-$D1131,ABS($C1131-$E1130),ABS($D1131-$E1130)))</f>
        <v>0</v>
      </c>
      <c r="AD1131">
        <f>IF(COUNT($E$2:$E1131)&lt;15,"",AVERAGE($AC$1118:$AC$1131))</f>
        <v>0</v>
      </c>
      <c r="AE1131">
        <f>IF(OR($E1131="",$E1130=""),"",IF(AND(($C1131-$C1130)&gt;($D1130-$D1131),($C1131-$C1130)&gt;0),$C1131-$C1130,0))</f>
        <v>0</v>
      </c>
      <c r="AF1131">
        <f>IF(OR($E1131="",$E1130=""),"",IF(AND(($D1130-$D1131)&gt;($C1131-$C1130),($D1130-$D1131)&gt;0),$D1130-$D1131,0))</f>
        <v>0</v>
      </c>
      <c r="AG1131">
        <f>IF(COUNT($E$2:$E1131)&lt;15,"",IF(SUM($AC$1118:$AC$1131)=0,0,100*SUM($AE$1118:$AE$1131)/SUM($AC$1118:$AC$1131)))</f>
        <v>0</v>
      </c>
      <c r="AH1131">
        <f>IF(COUNT($E$2:$E1131)&lt;15,"",IF(SUM($AC$1118:$AC$1131)=0,0,100*SUM($AF$1118:$AF$1131)/SUM($AC$1118:$AC$1131)))</f>
        <v>0</v>
      </c>
      <c r="AI1131">
        <f>IF(OR(AG1131="",AH1131=""),"",IF((AG1131+AH1131)=0,0,100*ABS(AG1131-AH1131)/(AG1131+AH1131)))</f>
        <v>0</v>
      </c>
      <c r="AJ1131">
        <f>IF(COUNT($AI$1118:$AI$1131)&lt;14,"",AVERAGE($AI$1118:$AI$1131))</f>
        <v>0</v>
      </c>
      <c r="AK1131">
        <f>IF(COUNT($E$2:$E1131)&lt;20,"",AVERAGE($E$1112:$E$1131))</f>
        <v>0</v>
      </c>
      <c r="AL1131">
        <f>IF(COUNT($E$2:$E1131)&lt;20,"",STDEVP($E$1112:$E$1131))</f>
        <v>0</v>
      </c>
      <c r="AM1131">
        <f>IF(AK1131="","",AK1131+2*AL1131)</f>
        <v>0</v>
      </c>
      <c r="AN1131">
        <f>IF(AK1131="","",AK1131-2*AL1131)</f>
        <v>0</v>
      </c>
      <c r="AO1131">
        <f>IF(OR(AM1131="",AN1131="",AM1131=AN1131),"",($E1131-AN1131)/(AM1131-AN1131))</f>
        <v>0</v>
      </c>
      <c r="AP1131">
        <f>IF(OR(AM1131="",AK1131="",AK1131=0),"",(AM1131-AN1131)/AK1131)</f>
        <v>0</v>
      </c>
      <c r="AQ1131">
        <f>IF(COUNT($E$2:$E1131)&lt;20,"",MAX($C$1112:$C$1131))</f>
        <v>0</v>
      </c>
      <c r="AR1131">
        <f>IF(COUNT($E$2:$E1131)&lt;20,"",MIN($D$1112:$D$1131))</f>
        <v>0</v>
      </c>
      <c r="AS1131">
        <f>IF(OR(AQ1131="",AR1131=""),"",(AQ1131+AR1131)/2)</f>
        <v>0</v>
      </c>
      <c r="AT1131">
        <f>IF(COUNT($G$1112:$G$1131)&lt;20,"",STDEV($G$1112:$G$1131)*SQRT(252))</f>
        <v>0</v>
      </c>
      <c r="AU1131">
        <f>IF(COUNT($E$2:$E1131)&lt;9,"",(MAX($C$1123:$C$1131)+MIN($D$1123:$D$1131))/2)</f>
        <v>0</v>
      </c>
      <c r="AV1131">
        <f>IF(COUNT($E$2:$E1131)&lt;26,"",(MAX($C$1106:$C$1131)+MIN($D$1106:$D$1131))/2)</f>
        <v>0</v>
      </c>
      <c r="AW1131">
        <f>IF(OR(AU1131="",AV1131=""),"",(AU1131+AV1131)/2)</f>
        <v>0</v>
      </c>
      <c r="AX1131">
        <f>IF(COUNT($E$2:$E1131)&lt;52,"",(MAX($C$1080:$C$1131)+MIN($D$1080:$D$1131))/2)</f>
        <v>0</v>
      </c>
      <c r="AY1131">
        <f>IF(COUNT($E$2:$E1131)&lt;20,"",MAX($C$1032:$C$1131))</f>
        <v>0</v>
      </c>
      <c r="AZ1131">
        <f>IF(COUNT($E$2:$E1131)&lt;20,"",MIN($D$1032:$D$1131))</f>
        <v>0</v>
      </c>
      <c r="BA1131">
        <f>IF(COUNT($E$2:$E1131)&lt;20,"",SLOPE($E$1032:$E$1131,$F$1032:$F$1131))</f>
        <v>0</v>
      </c>
      <c r="BB1131">
        <f>IF(COUNT($E$2:$E1131)&lt;20,"",INTERCEPT($E$1032:$E$1131,$F$1032:$F$1131))</f>
        <v>0</v>
      </c>
      <c r="BC1131">
        <f>IF(OR(BA1131="",BB1131=""),"",BB1131+BA1131*F1131)</f>
        <v>0</v>
      </c>
      <c r="BD1131">
        <f>IF(COUNT($E$2:$E1131)&lt;20,"",STEYX($E$1032:$E$1131,$F$1032:$F$1131))</f>
        <v>0</v>
      </c>
      <c r="BE1131">
        <f>IF($E1131="","",IF(AND(COUNT($E$1132:$E$1135)&gt;=4,$C1131=MAX($C$1127:$C$1135)),$C1131,""))</f>
        <v>0</v>
      </c>
      <c r="BF1131">
        <f>IF($E1131="","",IF(AND(COUNT($E$1132:$E$1135)&gt;=4,$D1131=MIN($D$1127:$D$1135)),$D1131,""))</f>
        <v>0</v>
      </c>
      <c r="BG1131">
        <f>IF($A1131="","",$A1131-WEEKDAY($A1131,2)+1)</f>
        <v>0</v>
      </c>
      <c r="BH1131">
        <f>IF($A1131="","",IF($A1130="",1,IF(BG1131&lt;&gt;BG1130,1,0)))</f>
        <v>0</v>
      </c>
      <c r="BI1131">
        <f>IF($A1131="","",IF($A1132="",1,IF(BG1132&lt;&gt;BG1131,1,0)))</f>
        <v>0</v>
      </c>
      <c r="BJ1131">
        <f>IF($A1131="","",IF(BH1131=1,$B1131,BJ1130))</f>
        <v>0</v>
      </c>
      <c r="BK1131">
        <f>IF($A1131="","",IF(BH1131=1,$C1131,MAX($C1131,BK1130)))</f>
        <v>0</v>
      </c>
      <c r="BL1131">
        <f>IF($A1131="","",IF(BH1131=1,$D1131,MIN($D1131,BL1130)))</f>
        <v>0</v>
      </c>
      <c r="BM1131">
        <f>IF($A1131="","",IF(BI1131=1,F1131,""))</f>
        <v>0</v>
      </c>
      <c r="BN1131">
        <f>IF($A1131="","",DATE(YEAR($A1131),MONTH($A1131),1))</f>
        <v>0</v>
      </c>
      <c r="BO1131">
        <f>IF($A1131="","",IF($A1130="",1,IF(BN1131&lt;&gt;BN1130,1,0)))</f>
        <v>0</v>
      </c>
      <c r="BP1131">
        <f>IF($A1131="","",IF($A1132="",1,IF(BN1132&lt;&gt;BN1131,1,0)))</f>
        <v>0</v>
      </c>
      <c r="BQ1131">
        <f>IF($A1131="","",IF(BO1131=1,$B1131,BQ1130))</f>
        <v>0</v>
      </c>
      <c r="BR1131">
        <f>IF($A1131="","",IF(BO1131=1,$C1131,MAX($C1131,BR1130)))</f>
        <v>0</v>
      </c>
      <c r="BS1131">
        <f>IF($A1131="","",IF(BO1131=1,$D1131,MIN($D1131,BS1130)))</f>
        <v>0</v>
      </c>
      <c r="BT1131">
        <f>IF($A1131="","",IF(BP1131=1,F1131,""))</f>
        <v>0</v>
      </c>
    </row>
    <row r="1132" spans="1:72">
      <c r="A1132" s="27">
        <f>IF(Data!$A1132="","",Data!$A1132)</f>
        <v>0</v>
      </c>
      <c r="B1132">
        <f>IF(Data!$B1132="","",Data!$B1132)</f>
        <v>0</v>
      </c>
      <c r="C1132">
        <f>IF(Data!$C1132="","",Data!$C1132)</f>
        <v>0</v>
      </c>
      <c r="D1132">
        <f>IF(Data!$D1132="","",Data!$D1132)</f>
        <v>0</v>
      </c>
      <c r="E1132">
        <f>IF(Data!$E1132="","",Data!$E1132)</f>
        <v>0</v>
      </c>
      <c r="F1132">
        <f>IF($E1132="","",N(F1131)+1)</f>
        <v>0</v>
      </c>
      <c r="G1132">
        <f>IF(OR($E1132="",$E1131=""),"",LN($E1132/$E1131))</f>
        <v>0</v>
      </c>
      <c r="H1132">
        <f>IF($E1132="","",IF($E1131="",$E1132,$E1132*0.0952380952+H1131*0.9047619048))</f>
        <v>0</v>
      </c>
      <c r="I1132">
        <f>IF($E1132="","",IF($E1131="",$E1132,$E1132*0.0392156863+I1131*0.9607843137))</f>
        <v>0</v>
      </c>
      <c r="J1132">
        <f>IF($E1132="","",IF($E1131="",$E1132,$E1132*0.0198019802+J1131*0.9801980198))</f>
        <v>0</v>
      </c>
      <c r="K1132">
        <f>IF($E1132="","",IF($E1131="",$E1132,$E1132*0.0099502488+K1131*0.9900497512))</f>
        <v>0</v>
      </c>
      <c r="L1132">
        <f>IF(OR($E1132="",$E1131=""),"",MAX($E1132-$E1131,0))</f>
        <v>0</v>
      </c>
      <c r="M1132">
        <f>IF(OR($E1132="",$E1131=""),"",MAX($E1131-$E1132,0))</f>
        <v>0</v>
      </c>
      <c r="N1132">
        <f>IF(COUNT($E$2:$E1132)&lt;15,"",IF(AVERAGE($M$1119:$M$1132)=0,100,100-100/(1+AVERAGE($L$1119:$L$1132)/AVERAGE($M$1119:$M$1132))))</f>
        <v>0</v>
      </c>
      <c r="O1132">
        <f>IF($E1132="","",IF($E1131="",$E1132,$E1132*0.1538461538+O1131*0.8461538462))</f>
        <v>0</v>
      </c>
      <c r="P1132">
        <f>IF($E1132="","",IF($E1131="",$E1132,$E1132*0.0740740741+P1131*0.9259259259))</f>
        <v>0</v>
      </c>
      <c r="Q1132">
        <f>IF(OR(O1132="",P1132=""),"",O1132-P1132)</f>
        <v>0</v>
      </c>
      <c r="R1132">
        <f>IF(Q1132="","",IF(R1131="",Q1132,Q1132*0.2000000000+R1131*0.8000000000))</f>
        <v>0</v>
      </c>
      <c r="S1132">
        <f>IF(OR(Q1132="",R1132=""),"",Q1132-R1132)</f>
        <v>0</v>
      </c>
      <c r="T1132">
        <f>IF(COUNT($E$2:$E1132)&lt;14,"",MAX($C$1119:$C$1132))</f>
        <v>0</v>
      </c>
      <c r="U1132">
        <f>IF(COUNT($E$2:$E1132)&lt;14,"",MIN($D$1119:$D$1132))</f>
        <v>0</v>
      </c>
      <c r="V1132">
        <f>IF(OR(T1132="",U1132="",T1132=U1132),"",100*($E1132-U1132)/(T1132-U1132))</f>
        <v>0</v>
      </c>
      <c r="W1132">
        <f>IF(COUNT($V$1130:$V$1132)&lt;3,"",AVERAGE($V$1130:$V$1132))</f>
        <v>0</v>
      </c>
      <c r="X1132">
        <f>IF(COUNT($N$1119:$N$1132)&lt;14,"",MIN($N$1119:$N$1132))</f>
        <v>0</v>
      </c>
      <c r="Y1132">
        <f>IF(COUNT($N$1119:$N$1132)&lt;14,"",MAX($N$1119:$N$1132))</f>
        <v>0</v>
      </c>
      <c r="Z1132">
        <f>IF(OR(N1132="",X1132="",Y1132="",Y1132=X1132),"",100*(N1132-X1132)/(Y1132-X1132))</f>
        <v>0</v>
      </c>
      <c r="AA1132">
        <f>IF(COUNT($Z$1130:$Z$1132)&lt;3,"",AVERAGE($Z$1130:$Z$1132))</f>
        <v>0</v>
      </c>
      <c r="AB1132">
        <f>IF(COUNT($AA$1130:$AA$1132)&lt;3,"",AVERAGE($AA$1130:$AA$1132))</f>
        <v>0</v>
      </c>
      <c r="AC1132">
        <f>IF($E1132="","",MAX($C1132-$D1132,ABS($C1132-$E1131),ABS($D1132-$E1131)))</f>
        <v>0</v>
      </c>
      <c r="AD1132">
        <f>IF(COUNT($E$2:$E1132)&lt;15,"",AVERAGE($AC$1119:$AC$1132))</f>
        <v>0</v>
      </c>
      <c r="AE1132">
        <f>IF(OR($E1132="",$E1131=""),"",IF(AND(($C1132-$C1131)&gt;($D1131-$D1132),($C1132-$C1131)&gt;0),$C1132-$C1131,0))</f>
        <v>0</v>
      </c>
      <c r="AF1132">
        <f>IF(OR($E1132="",$E1131=""),"",IF(AND(($D1131-$D1132)&gt;($C1132-$C1131),($D1131-$D1132)&gt;0),$D1131-$D1132,0))</f>
        <v>0</v>
      </c>
      <c r="AG1132">
        <f>IF(COUNT($E$2:$E1132)&lt;15,"",IF(SUM($AC$1119:$AC$1132)=0,0,100*SUM($AE$1119:$AE$1132)/SUM($AC$1119:$AC$1132)))</f>
        <v>0</v>
      </c>
      <c r="AH1132">
        <f>IF(COUNT($E$2:$E1132)&lt;15,"",IF(SUM($AC$1119:$AC$1132)=0,0,100*SUM($AF$1119:$AF$1132)/SUM($AC$1119:$AC$1132)))</f>
        <v>0</v>
      </c>
      <c r="AI1132">
        <f>IF(OR(AG1132="",AH1132=""),"",IF((AG1132+AH1132)=0,0,100*ABS(AG1132-AH1132)/(AG1132+AH1132)))</f>
        <v>0</v>
      </c>
      <c r="AJ1132">
        <f>IF(COUNT($AI$1119:$AI$1132)&lt;14,"",AVERAGE($AI$1119:$AI$1132))</f>
        <v>0</v>
      </c>
      <c r="AK1132">
        <f>IF(COUNT($E$2:$E1132)&lt;20,"",AVERAGE($E$1113:$E$1132))</f>
        <v>0</v>
      </c>
      <c r="AL1132">
        <f>IF(COUNT($E$2:$E1132)&lt;20,"",STDEVP($E$1113:$E$1132))</f>
        <v>0</v>
      </c>
      <c r="AM1132">
        <f>IF(AK1132="","",AK1132+2*AL1132)</f>
        <v>0</v>
      </c>
      <c r="AN1132">
        <f>IF(AK1132="","",AK1132-2*AL1132)</f>
        <v>0</v>
      </c>
      <c r="AO1132">
        <f>IF(OR(AM1132="",AN1132="",AM1132=AN1132),"",($E1132-AN1132)/(AM1132-AN1132))</f>
        <v>0</v>
      </c>
      <c r="AP1132">
        <f>IF(OR(AM1132="",AK1132="",AK1132=0),"",(AM1132-AN1132)/AK1132)</f>
        <v>0</v>
      </c>
      <c r="AQ1132">
        <f>IF(COUNT($E$2:$E1132)&lt;20,"",MAX($C$1113:$C$1132))</f>
        <v>0</v>
      </c>
      <c r="AR1132">
        <f>IF(COUNT($E$2:$E1132)&lt;20,"",MIN($D$1113:$D$1132))</f>
        <v>0</v>
      </c>
      <c r="AS1132">
        <f>IF(OR(AQ1132="",AR1132=""),"",(AQ1132+AR1132)/2)</f>
        <v>0</v>
      </c>
      <c r="AT1132">
        <f>IF(COUNT($G$1113:$G$1132)&lt;20,"",STDEV($G$1113:$G$1132)*SQRT(252))</f>
        <v>0</v>
      </c>
      <c r="AU1132">
        <f>IF(COUNT($E$2:$E1132)&lt;9,"",(MAX($C$1124:$C$1132)+MIN($D$1124:$D$1132))/2)</f>
        <v>0</v>
      </c>
      <c r="AV1132">
        <f>IF(COUNT($E$2:$E1132)&lt;26,"",(MAX($C$1107:$C$1132)+MIN($D$1107:$D$1132))/2)</f>
        <v>0</v>
      </c>
      <c r="AW1132">
        <f>IF(OR(AU1132="",AV1132=""),"",(AU1132+AV1132)/2)</f>
        <v>0</v>
      </c>
      <c r="AX1132">
        <f>IF(COUNT($E$2:$E1132)&lt;52,"",(MAX($C$1081:$C$1132)+MIN($D$1081:$D$1132))/2)</f>
        <v>0</v>
      </c>
      <c r="AY1132">
        <f>IF(COUNT($E$2:$E1132)&lt;20,"",MAX($C$1033:$C$1132))</f>
        <v>0</v>
      </c>
      <c r="AZ1132">
        <f>IF(COUNT($E$2:$E1132)&lt;20,"",MIN($D$1033:$D$1132))</f>
        <v>0</v>
      </c>
      <c r="BA1132">
        <f>IF(COUNT($E$2:$E1132)&lt;20,"",SLOPE($E$1033:$E$1132,$F$1033:$F$1132))</f>
        <v>0</v>
      </c>
      <c r="BB1132">
        <f>IF(COUNT($E$2:$E1132)&lt;20,"",INTERCEPT($E$1033:$E$1132,$F$1033:$F$1132))</f>
        <v>0</v>
      </c>
      <c r="BC1132">
        <f>IF(OR(BA1132="",BB1132=""),"",BB1132+BA1132*F1132)</f>
        <v>0</v>
      </c>
      <c r="BD1132">
        <f>IF(COUNT($E$2:$E1132)&lt;20,"",STEYX($E$1033:$E$1132,$F$1033:$F$1132))</f>
        <v>0</v>
      </c>
      <c r="BE1132">
        <f>IF($E1132="","",IF(AND(COUNT($E$1133:$E$1136)&gt;=4,$C1132=MAX($C$1128:$C$1136)),$C1132,""))</f>
        <v>0</v>
      </c>
      <c r="BF1132">
        <f>IF($E1132="","",IF(AND(COUNT($E$1133:$E$1136)&gt;=4,$D1132=MIN($D$1128:$D$1136)),$D1132,""))</f>
        <v>0</v>
      </c>
      <c r="BG1132">
        <f>IF($A1132="","",$A1132-WEEKDAY($A1132,2)+1)</f>
        <v>0</v>
      </c>
      <c r="BH1132">
        <f>IF($A1132="","",IF($A1131="",1,IF(BG1132&lt;&gt;BG1131,1,0)))</f>
        <v>0</v>
      </c>
      <c r="BI1132">
        <f>IF($A1132="","",IF($A1133="",1,IF(BG1133&lt;&gt;BG1132,1,0)))</f>
        <v>0</v>
      </c>
      <c r="BJ1132">
        <f>IF($A1132="","",IF(BH1132=1,$B1132,BJ1131))</f>
        <v>0</v>
      </c>
      <c r="BK1132">
        <f>IF($A1132="","",IF(BH1132=1,$C1132,MAX($C1132,BK1131)))</f>
        <v>0</v>
      </c>
      <c r="BL1132">
        <f>IF($A1132="","",IF(BH1132=1,$D1132,MIN($D1132,BL1131)))</f>
        <v>0</v>
      </c>
      <c r="BM1132">
        <f>IF($A1132="","",IF(BI1132=1,F1132,""))</f>
        <v>0</v>
      </c>
      <c r="BN1132">
        <f>IF($A1132="","",DATE(YEAR($A1132),MONTH($A1132),1))</f>
        <v>0</v>
      </c>
      <c r="BO1132">
        <f>IF($A1132="","",IF($A1131="",1,IF(BN1132&lt;&gt;BN1131,1,0)))</f>
        <v>0</v>
      </c>
      <c r="BP1132">
        <f>IF($A1132="","",IF($A1133="",1,IF(BN1133&lt;&gt;BN1132,1,0)))</f>
        <v>0</v>
      </c>
      <c r="BQ1132">
        <f>IF($A1132="","",IF(BO1132=1,$B1132,BQ1131))</f>
        <v>0</v>
      </c>
      <c r="BR1132">
        <f>IF($A1132="","",IF(BO1132=1,$C1132,MAX($C1132,BR1131)))</f>
        <v>0</v>
      </c>
      <c r="BS1132">
        <f>IF($A1132="","",IF(BO1132=1,$D1132,MIN($D1132,BS1131)))</f>
        <v>0</v>
      </c>
      <c r="BT1132">
        <f>IF($A1132="","",IF(BP1132=1,F1132,""))</f>
        <v>0</v>
      </c>
    </row>
    <row r="1133" spans="1:72">
      <c r="A1133" s="27">
        <f>IF(Data!$A1133="","",Data!$A1133)</f>
        <v>0</v>
      </c>
      <c r="B1133">
        <f>IF(Data!$B1133="","",Data!$B1133)</f>
        <v>0</v>
      </c>
      <c r="C1133">
        <f>IF(Data!$C1133="","",Data!$C1133)</f>
        <v>0</v>
      </c>
      <c r="D1133">
        <f>IF(Data!$D1133="","",Data!$D1133)</f>
        <v>0</v>
      </c>
      <c r="E1133">
        <f>IF(Data!$E1133="","",Data!$E1133)</f>
        <v>0</v>
      </c>
      <c r="F1133">
        <f>IF($E1133="","",N(F1132)+1)</f>
        <v>0</v>
      </c>
      <c r="G1133">
        <f>IF(OR($E1133="",$E1132=""),"",LN($E1133/$E1132))</f>
        <v>0</v>
      </c>
      <c r="H1133">
        <f>IF($E1133="","",IF($E1132="",$E1133,$E1133*0.0952380952+H1132*0.9047619048))</f>
        <v>0</v>
      </c>
      <c r="I1133">
        <f>IF($E1133="","",IF($E1132="",$E1133,$E1133*0.0392156863+I1132*0.9607843137))</f>
        <v>0</v>
      </c>
      <c r="J1133">
        <f>IF($E1133="","",IF($E1132="",$E1133,$E1133*0.0198019802+J1132*0.9801980198))</f>
        <v>0</v>
      </c>
      <c r="K1133">
        <f>IF($E1133="","",IF($E1132="",$E1133,$E1133*0.0099502488+K1132*0.9900497512))</f>
        <v>0</v>
      </c>
      <c r="L1133">
        <f>IF(OR($E1133="",$E1132=""),"",MAX($E1133-$E1132,0))</f>
        <v>0</v>
      </c>
      <c r="M1133">
        <f>IF(OR($E1133="",$E1132=""),"",MAX($E1132-$E1133,0))</f>
        <v>0</v>
      </c>
      <c r="N1133">
        <f>IF(COUNT($E$2:$E1133)&lt;15,"",IF(AVERAGE($M$1120:$M$1133)=0,100,100-100/(1+AVERAGE($L$1120:$L$1133)/AVERAGE($M$1120:$M$1133))))</f>
        <v>0</v>
      </c>
      <c r="O1133">
        <f>IF($E1133="","",IF($E1132="",$E1133,$E1133*0.1538461538+O1132*0.8461538462))</f>
        <v>0</v>
      </c>
      <c r="P1133">
        <f>IF($E1133="","",IF($E1132="",$E1133,$E1133*0.0740740741+P1132*0.9259259259))</f>
        <v>0</v>
      </c>
      <c r="Q1133">
        <f>IF(OR(O1133="",P1133=""),"",O1133-P1133)</f>
        <v>0</v>
      </c>
      <c r="R1133">
        <f>IF(Q1133="","",IF(R1132="",Q1133,Q1133*0.2000000000+R1132*0.8000000000))</f>
        <v>0</v>
      </c>
      <c r="S1133">
        <f>IF(OR(Q1133="",R1133=""),"",Q1133-R1133)</f>
        <v>0</v>
      </c>
      <c r="T1133">
        <f>IF(COUNT($E$2:$E1133)&lt;14,"",MAX($C$1120:$C$1133))</f>
        <v>0</v>
      </c>
      <c r="U1133">
        <f>IF(COUNT($E$2:$E1133)&lt;14,"",MIN($D$1120:$D$1133))</f>
        <v>0</v>
      </c>
      <c r="V1133">
        <f>IF(OR(T1133="",U1133="",T1133=U1133),"",100*($E1133-U1133)/(T1133-U1133))</f>
        <v>0</v>
      </c>
      <c r="W1133">
        <f>IF(COUNT($V$1131:$V$1133)&lt;3,"",AVERAGE($V$1131:$V$1133))</f>
        <v>0</v>
      </c>
      <c r="X1133">
        <f>IF(COUNT($N$1120:$N$1133)&lt;14,"",MIN($N$1120:$N$1133))</f>
        <v>0</v>
      </c>
      <c r="Y1133">
        <f>IF(COUNT($N$1120:$N$1133)&lt;14,"",MAX($N$1120:$N$1133))</f>
        <v>0</v>
      </c>
      <c r="Z1133">
        <f>IF(OR(N1133="",X1133="",Y1133="",Y1133=X1133),"",100*(N1133-X1133)/(Y1133-X1133))</f>
        <v>0</v>
      </c>
      <c r="AA1133">
        <f>IF(COUNT($Z$1131:$Z$1133)&lt;3,"",AVERAGE($Z$1131:$Z$1133))</f>
        <v>0</v>
      </c>
      <c r="AB1133">
        <f>IF(COUNT($AA$1131:$AA$1133)&lt;3,"",AVERAGE($AA$1131:$AA$1133))</f>
        <v>0</v>
      </c>
      <c r="AC1133">
        <f>IF($E1133="","",MAX($C1133-$D1133,ABS($C1133-$E1132),ABS($D1133-$E1132)))</f>
        <v>0</v>
      </c>
      <c r="AD1133">
        <f>IF(COUNT($E$2:$E1133)&lt;15,"",AVERAGE($AC$1120:$AC$1133))</f>
        <v>0</v>
      </c>
      <c r="AE1133">
        <f>IF(OR($E1133="",$E1132=""),"",IF(AND(($C1133-$C1132)&gt;($D1132-$D1133),($C1133-$C1132)&gt;0),$C1133-$C1132,0))</f>
        <v>0</v>
      </c>
      <c r="AF1133">
        <f>IF(OR($E1133="",$E1132=""),"",IF(AND(($D1132-$D1133)&gt;($C1133-$C1132),($D1132-$D1133)&gt;0),$D1132-$D1133,0))</f>
        <v>0</v>
      </c>
      <c r="AG1133">
        <f>IF(COUNT($E$2:$E1133)&lt;15,"",IF(SUM($AC$1120:$AC$1133)=0,0,100*SUM($AE$1120:$AE$1133)/SUM($AC$1120:$AC$1133)))</f>
        <v>0</v>
      </c>
      <c r="AH1133">
        <f>IF(COUNT($E$2:$E1133)&lt;15,"",IF(SUM($AC$1120:$AC$1133)=0,0,100*SUM($AF$1120:$AF$1133)/SUM($AC$1120:$AC$1133)))</f>
        <v>0</v>
      </c>
      <c r="AI1133">
        <f>IF(OR(AG1133="",AH1133=""),"",IF((AG1133+AH1133)=0,0,100*ABS(AG1133-AH1133)/(AG1133+AH1133)))</f>
        <v>0</v>
      </c>
      <c r="AJ1133">
        <f>IF(COUNT($AI$1120:$AI$1133)&lt;14,"",AVERAGE($AI$1120:$AI$1133))</f>
        <v>0</v>
      </c>
      <c r="AK1133">
        <f>IF(COUNT($E$2:$E1133)&lt;20,"",AVERAGE($E$1114:$E$1133))</f>
        <v>0</v>
      </c>
      <c r="AL1133">
        <f>IF(COUNT($E$2:$E1133)&lt;20,"",STDEVP($E$1114:$E$1133))</f>
        <v>0</v>
      </c>
      <c r="AM1133">
        <f>IF(AK1133="","",AK1133+2*AL1133)</f>
        <v>0</v>
      </c>
      <c r="AN1133">
        <f>IF(AK1133="","",AK1133-2*AL1133)</f>
        <v>0</v>
      </c>
      <c r="AO1133">
        <f>IF(OR(AM1133="",AN1133="",AM1133=AN1133),"",($E1133-AN1133)/(AM1133-AN1133))</f>
        <v>0</v>
      </c>
      <c r="AP1133">
        <f>IF(OR(AM1133="",AK1133="",AK1133=0),"",(AM1133-AN1133)/AK1133)</f>
        <v>0</v>
      </c>
      <c r="AQ1133">
        <f>IF(COUNT($E$2:$E1133)&lt;20,"",MAX($C$1114:$C$1133))</f>
        <v>0</v>
      </c>
      <c r="AR1133">
        <f>IF(COUNT($E$2:$E1133)&lt;20,"",MIN($D$1114:$D$1133))</f>
        <v>0</v>
      </c>
      <c r="AS1133">
        <f>IF(OR(AQ1133="",AR1133=""),"",(AQ1133+AR1133)/2)</f>
        <v>0</v>
      </c>
      <c r="AT1133">
        <f>IF(COUNT($G$1114:$G$1133)&lt;20,"",STDEV($G$1114:$G$1133)*SQRT(252))</f>
        <v>0</v>
      </c>
      <c r="AU1133">
        <f>IF(COUNT($E$2:$E1133)&lt;9,"",(MAX($C$1125:$C$1133)+MIN($D$1125:$D$1133))/2)</f>
        <v>0</v>
      </c>
      <c r="AV1133">
        <f>IF(COUNT($E$2:$E1133)&lt;26,"",(MAX($C$1108:$C$1133)+MIN($D$1108:$D$1133))/2)</f>
        <v>0</v>
      </c>
      <c r="AW1133">
        <f>IF(OR(AU1133="",AV1133=""),"",(AU1133+AV1133)/2)</f>
        <v>0</v>
      </c>
      <c r="AX1133">
        <f>IF(COUNT($E$2:$E1133)&lt;52,"",(MAX($C$1082:$C$1133)+MIN($D$1082:$D$1133))/2)</f>
        <v>0</v>
      </c>
      <c r="AY1133">
        <f>IF(COUNT($E$2:$E1133)&lt;20,"",MAX($C$1034:$C$1133))</f>
        <v>0</v>
      </c>
      <c r="AZ1133">
        <f>IF(COUNT($E$2:$E1133)&lt;20,"",MIN($D$1034:$D$1133))</f>
        <v>0</v>
      </c>
      <c r="BA1133">
        <f>IF(COUNT($E$2:$E1133)&lt;20,"",SLOPE($E$1034:$E$1133,$F$1034:$F$1133))</f>
        <v>0</v>
      </c>
      <c r="BB1133">
        <f>IF(COUNT($E$2:$E1133)&lt;20,"",INTERCEPT($E$1034:$E$1133,$F$1034:$F$1133))</f>
        <v>0</v>
      </c>
      <c r="BC1133">
        <f>IF(OR(BA1133="",BB1133=""),"",BB1133+BA1133*F1133)</f>
        <v>0</v>
      </c>
      <c r="BD1133">
        <f>IF(COUNT($E$2:$E1133)&lt;20,"",STEYX($E$1034:$E$1133,$F$1034:$F$1133))</f>
        <v>0</v>
      </c>
      <c r="BE1133">
        <f>IF($E1133="","",IF(AND(COUNT($E$1134:$E$1137)&gt;=4,$C1133=MAX($C$1129:$C$1137)),$C1133,""))</f>
        <v>0</v>
      </c>
      <c r="BF1133">
        <f>IF($E1133="","",IF(AND(COUNT($E$1134:$E$1137)&gt;=4,$D1133=MIN($D$1129:$D$1137)),$D1133,""))</f>
        <v>0</v>
      </c>
      <c r="BG1133">
        <f>IF($A1133="","",$A1133-WEEKDAY($A1133,2)+1)</f>
        <v>0</v>
      </c>
      <c r="BH1133">
        <f>IF($A1133="","",IF($A1132="",1,IF(BG1133&lt;&gt;BG1132,1,0)))</f>
        <v>0</v>
      </c>
      <c r="BI1133">
        <f>IF($A1133="","",IF($A1134="",1,IF(BG1134&lt;&gt;BG1133,1,0)))</f>
        <v>0</v>
      </c>
      <c r="BJ1133">
        <f>IF($A1133="","",IF(BH1133=1,$B1133,BJ1132))</f>
        <v>0</v>
      </c>
      <c r="BK1133">
        <f>IF($A1133="","",IF(BH1133=1,$C1133,MAX($C1133,BK1132)))</f>
        <v>0</v>
      </c>
      <c r="BL1133">
        <f>IF($A1133="","",IF(BH1133=1,$D1133,MIN($D1133,BL1132)))</f>
        <v>0</v>
      </c>
      <c r="BM1133">
        <f>IF($A1133="","",IF(BI1133=1,F1133,""))</f>
        <v>0</v>
      </c>
      <c r="BN1133">
        <f>IF($A1133="","",DATE(YEAR($A1133),MONTH($A1133),1))</f>
        <v>0</v>
      </c>
      <c r="BO1133">
        <f>IF($A1133="","",IF($A1132="",1,IF(BN1133&lt;&gt;BN1132,1,0)))</f>
        <v>0</v>
      </c>
      <c r="BP1133">
        <f>IF($A1133="","",IF($A1134="",1,IF(BN1134&lt;&gt;BN1133,1,0)))</f>
        <v>0</v>
      </c>
      <c r="BQ1133">
        <f>IF($A1133="","",IF(BO1133=1,$B1133,BQ1132))</f>
        <v>0</v>
      </c>
      <c r="BR1133">
        <f>IF($A1133="","",IF(BO1133=1,$C1133,MAX($C1133,BR1132)))</f>
        <v>0</v>
      </c>
      <c r="BS1133">
        <f>IF($A1133="","",IF(BO1133=1,$D1133,MIN($D1133,BS1132)))</f>
        <v>0</v>
      </c>
      <c r="BT1133">
        <f>IF($A1133="","",IF(BP1133=1,F1133,""))</f>
        <v>0</v>
      </c>
    </row>
    <row r="1134" spans="1:72">
      <c r="A1134" s="27">
        <f>IF(Data!$A1134="","",Data!$A1134)</f>
        <v>0</v>
      </c>
      <c r="B1134">
        <f>IF(Data!$B1134="","",Data!$B1134)</f>
        <v>0</v>
      </c>
      <c r="C1134">
        <f>IF(Data!$C1134="","",Data!$C1134)</f>
        <v>0</v>
      </c>
      <c r="D1134">
        <f>IF(Data!$D1134="","",Data!$D1134)</f>
        <v>0</v>
      </c>
      <c r="E1134">
        <f>IF(Data!$E1134="","",Data!$E1134)</f>
        <v>0</v>
      </c>
      <c r="F1134">
        <f>IF($E1134="","",N(F1133)+1)</f>
        <v>0</v>
      </c>
      <c r="G1134">
        <f>IF(OR($E1134="",$E1133=""),"",LN($E1134/$E1133))</f>
        <v>0</v>
      </c>
      <c r="H1134">
        <f>IF($E1134="","",IF($E1133="",$E1134,$E1134*0.0952380952+H1133*0.9047619048))</f>
        <v>0</v>
      </c>
      <c r="I1134">
        <f>IF($E1134="","",IF($E1133="",$E1134,$E1134*0.0392156863+I1133*0.9607843137))</f>
        <v>0</v>
      </c>
      <c r="J1134">
        <f>IF($E1134="","",IF($E1133="",$E1134,$E1134*0.0198019802+J1133*0.9801980198))</f>
        <v>0</v>
      </c>
      <c r="K1134">
        <f>IF($E1134="","",IF($E1133="",$E1134,$E1134*0.0099502488+K1133*0.9900497512))</f>
        <v>0</v>
      </c>
      <c r="L1134">
        <f>IF(OR($E1134="",$E1133=""),"",MAX($E1134-$E1133,0))</f>
        <v>0</v>
      </c>
      <c r="M1134">
        <f>IF(OR($E1134="",$E1133=""),"",MAX($E1133-$E1134,0))</f>
        <v>0</v>
      </c>
      <c r="N1134">
        <f>IF(COUNT($E$2:$E1134)&lt;15,"",IF(AVERAGE($M$1121:$M$1134)=0,100,100-100/(1+AVERAGE($L$1121:$L$1134)/AVERAGE($M$1121:$M$1134))))</f>
        <v>0</v>
      </c>
      <c r="O1134">
        <f>IF($E1134="","",IF($E1133="",$E1134,$E1134*0.1538461538+O1133*0.8461538462))</f>
        <v>0</v>
      </c>
      <c r="P1134">
        <f>IF($E1134="","",IF($E1133="",$E1134,$E1134*0.0740740741+P1133*0.9259259259))</f>
        <v>0</v>
      </c>
      <c r="Q1134">
        <f>IF(OR(O1134="",P1134=""),"",O1134-P1134)</f>
        <v>0</v>
      </c>
      <c r="R1134">
        <f>IF(Q1134="","",IF(R1133="",Q1134,Q1134*0.2000000000+R1133*0.8000000000))</f>
        <v>0</v>
      </c>
      <c r="S1134">
        <f>IF(OR(Q1134="",R1134=""),"",Q1134-R1134)</f>
        <v>0</v>
      </c>
      <c r="T1134">
        <f>IF(COUNT($E$2:$E1134)&lt;14,"",MAX($C$1121:$C$1134))</f>
        <v>0</v>
      </c>
      <c r="U1134">
        <f>IF(COUNT($E$2:$E1134)&lt;14,"",MIN($D$1121:$D$1134))</f>
        <v>0</v>
      </c>
      <c r="V1134">
        <f>IF(OR(T1134="",U1134="",T1134=U1134),"",100*($E1134-U1134)/(T1134-U1134))</f>
        <v>0</v>
      </c>
      <c r="W1134">
        <f>IF(COUNT($V$1132:$V$1134)&lt;3,"",AVERAGE($V$1132:$V$1134))</f>
        <v>0</v>
      </c>
      <c r="X1134">
        <f>IF(COUNT($N$1121:$N$1134)&lt;14,"",MIN($N$1121:$N$1134))</f>
        <v>0</v>
      </c>
      <c r="Y1134">
        <f>IF(COUNT($N$1121:$N$1134)&lt;14,"",MAX($N$1121:$N$1134))</f>
        <v>0</v>
      </c>
      <c r="Z1134">
        <f>IF(OR(N1134="",X1134="",Y1134="",Y1134=X1134),"",100*(N1134-X1134)/(Y1134-X1134))</f>
        <v>0</v>
      </c>
      <c r="AA1134">
        <f>IF(COUNT($Z$1132:$Z$1134)&lt;3,"",AVERAGE($Z$1132:$Z$1134))</f>
        <v>0</v>
      </c>
      <c r="AB1134">
        <f>IF(COUNT($AA$1132:$AA$1134)&lt;3,"",AVERAGE($AA$1132:$AA$1134))</f>
        <v>0</v>
      </c>
      <c r="AC1134">
        <f>IF($E1134="","",MAX($C1134-$D1134,ABS($C1134-$E1133),ABS($D1134-$E1133)))</f>
        <v>0</v>
      </c>
      <c r="AD1134">
        <f>IF(COUNT($E$2:$E1134)&lt;15,"",AVERAGE($AC$1121:$AC$1134))</f>
        <v>0</v>
      </c>
      <c r="AE1134">
        <f>IF(OR($E1134="",$E1133=""),"",IF(AND(($C1134-$C1133)&gt;($D1133-$D1134),($C1134-$C1133)&gt;0),$C1134-$C1133,0))</f>
        <v>0</v>
      </c>
      <c r="AF1134">
        <f>IF(OR($E1134="",$E1133=""),"",IF(AND(($D1133-$D1134)&gt;($C1134-$C1133),($D1133-$D1134)&gt;0),$D1133-$D1134,0))</f>
        <v>0</v>
      </c>
      <c r="AG1134">
        <f>IF(COUNT($E$2:$E1134)&lt;15,"",IF(SUM($AC$1121:$AC$1134)=0,0,100*SUM($AE$1121:$AE$1134)/SUM($AC$1121:$AC$1134)))</f>
        <v>0</v>
      </c>
      <c r="AH1134">
        <f>IF(COUNT($E$2:$E1134)&lt;15,"",IF(SUM($AC$1121:$AC$1134)=0,0,100*SUM($AF$1121:$AF$1134)/SUM($AC$1121:$AC$1134)))</f>
        <v>0</v>
      </c>
      <c r="AI1134">
        <f>IF(OR(AG1134="",AH1134=""),"",IF((AG1134+AH1134)=0,0,100*ABS(AG1134-AH1134)/(AG1134+AH1134)))</f>
        <v>0</v>
      </c>
      <c r="AJ1134">
        <f>IF(COUNT($AI$1121:$AI$1134)&lt;14,"",AVERAGE($AI$1121:$AI$1134))</f>
        <v>0</v>
      </c>
      <c r="AK1134">
        <f>IF(COUNT($E$2:$E1134)&lt;20,"",AVERAGE($E$1115:$E$1134))</f>
        <v>0</v>
      </c>
      <c r="AL1134">
        <f>IF(COUNT($E$2:$E1134)&lt;20,"",STDEVP($E$1115:$E$1134))</f>
        <v>0</v>
      </c>
      <c r="AM1134">
        <f>IF(AK1134="","",AK1134+2*AL1134)</f>
        <v>0</v>
      </c>
      <c r="AN1134">
        <f>IF(AK1134="","",AK1134-2*AL1134)</f>
        <v>0</v>
      </c>
      <c r="AO1134">
        <f>IF(OR(AM1134="",AN1134="",AM1134=AN1134),"",($E1134-AN1134)/(AM1134-AN1134))</f>
        <v>0</v>
      </c>
      <c r="AP1134">
        <f>IF(OR(AM1134="",AK1134="",AK1134=0),"",(AM1134-AN1134)/AK1134)</f>
        <v>0</v>
      </c>
      <c r="AQ1134">
        <f>IF(COUNT($E$2:$E1134)&lt;20,"",MAX($C$1115:$C$1134))</f>
        <v>0</v>
      </c>
      <c r="AR1134">
        <f>IF(COUNT($E$2:$E1134)&lt;20,"",MIN($D$1115:$D$1134))</f>
        <v>0</v>
      </c>
      <c r="AS1134">
        <f>IF(OR(AQ1134="",AR1134=""),"",(AQ1134+AR1134)/2)</f>
        <v>0</v>
      </c>
      <c r="AT1134">
        <f>IF(COUNT($G$1115:$G$1134)&lt;20,"",STDEV($G$1115:$G$1134)*SQRT(252))</f>
        <v>0</v>
      </c>
      <c r="AU1134">
        <f>IF(COUNT($E$2:$E1134)&lt;9,"",(MAX($C$1126:$C$1134)+MIN($D$1126:$D$1134))/2)</f>
        <v>0</v>
      </c>
      <c r="AV1134">
        <f>IF(COUNT($E$2:$E1134)&lt;26,"",(MAX($C$1109:$C$1134)+MIN($D$1109:$D$1134))/2)</f>
        <v>0</v>
      </c>
      <c r="AW1134">
        <f>IF(OR(AU1134="",AV1134=""),"",(AU1134+AV1134)/2)</f>
        <v>0</v>
      </c>
      <c r="AX1134">
        <f>IF(COUNT($E$2:$E1134)&lt;52,"",(MAX($C$1083:$C$1134)+MIN($D$1083:$D$1134))/2)</f>
        <v>0</v>
      </c>
      <c r="AY1134">
        <f>IF(COUNT($E$2:$E1134)&lt;20,"",MAX($C$1035:$C$1134))</f>
        <v>0</v>
      </c>
      <c r="AZ1134">
        <f>IF(COUNT($E$2:$E1134)&lt;20,"",MIN($D$1035:$D$1134))</f>
        <v>0</v>
      </c>
      <c r="BA1134">
        <f>IF(COUNT($E$2:$E1134)&lt;20,"",SLOPE($E$1035:$E$1134,$F$1035:$F$1134))</f>
        <v>0</v>
      </c>
      <c r="BB1134">
        <f>IF(COUNT($E$2:$E1134)&lt;20,"",INTERCEPT($E$1035:$E$1134,$F$1035:$F$1134))</f>
        <v>0</v>
      </c>
      <c r="BC1134">
        <f>IF(OR(BA1134="",BB1134=""),"",BB1134+BA1134*F1134)</f>
        <v>0</v>
      </c>
      <c r="BD1134">
        <f>IF(COUNT($E$2:$E1134)&lt;20,"",STEYX($E$1035:$E$1134,$F$1035:$F$1134))</f>
        <v>0</v>
      </c>
      <c r="BE1134">
        <f>IF($E1134="","",IF(AND(COUNT($E$1135:$E$1138)&gt;=4,$C1134=MAX($C$1130:$C$1138)),$C1134,""))</f>
        <v>0</v>
      </c>
      <c r="BF1134">
        <f>IF($E1134="","",IF(AND(COUNT($E$1135:$E$1138)&gt;=4,$D1134=MIN($D$1130:$D$1138)),$D1134,""))</f>
        <v>0</v>
      </c>
      <c r="BG1134">
        <f>IF($A1134="","",$A1134-WEEKDAY($A1134,2)+1)</f>
        <v>0</v>
      </c>
      <c r="BH1134">
        <f>IF($A1134="","",IF($A1133="",1,IF(BG1134&lt;&gt;BG1133,1,0)))</f>
        <v>0</v>
      </c>
      <c r="BI1134">
        <f>IF($A1134="","",IF($A1135="",1,IF(BG1135&lt;&gt;BG1134,1,0)))</f>
        <v>0</v>
      </c>
      <c r="BJ1134">
        <f>IF($A1134="","",IF(BH1134=1,$B1134,BJ1133))</f>
        <v>0</v>
      </c>
      <c r="BK1134">
        <f>IF($A1134="","",IF(BH1134=1,$C1134,MAX($C1134,BK1133)))</f>
        <v>0</v>
      </c>
      <c r="BL1134">
        <f>IF($A1134="","",IF(BH1134=1,$D1134,MIN($D1134,BL1133)))</f>
        <v>0</v>
      </c>
      <c r="BM1134">
        <f>IF($A1134="","",IF(BI1134=1,F1134,""))</f>
        <v>0</v>
      </c>
      <c r="BN1134">
        <f>IF($A1134="","",DATE(YEAR($A1134),MONTH($A1134),1))</f>
        <v>0</v>
      </c>
      <c r="BO1134">
        <f>IF($A1134="","",IF($A1133="",1,IF(BN1134&lt;&gt;BN1133,1,0)))</f>
        <v>0</v>
      </c>
      <c r="BP1134">
        <f>IF($A1134="","",IF($A1135="",1,IF(BN1135&lt;&gt;BN1134,1,0)))</f>
        <v>0</v>
      </c>
      <c r="BQ1134">
        <f>IF($A1134="","",IF(BO1134=1,$B1134,BQ1133))</f>
        <v>0</v>
      </c>
      <c r="BR1134">
        <f>IF($A1134="","",IF(BO1134=1,$C1134,MAX($C1134,BR1133)))</f>
        <v>0</v>
      </c>
      <c r="BS1134">
        <f>IF($A1134="","",IF(BO1134=1,$D1134,MIN($D1134,BS1133)))</f>
        <v>0</v>
      </c>
      <c r="BT1134">
        <f>IF($A1134="","",IF(BP1134=1,F1134,""))</f>
        <v>0</v>
      </c>
    </row>
    <row r="1135" spans="1:72">
      <c r="A1135" s="27">
        <f>IF(Data!$A1135="","",Data!$A1135)</f>
        <v>0</v>
      </c>
      <c r="B1135">
        <f>IF(Data!$B1135="","",Data!$B1135)</f>
        <v>0</v>
      </c>
      <c r="C1135">
        <f>IF(Data!$C1135="","",Data!$C1135)</f>
        <v>0</v>
      </c>
      <c r="D1135">
        <f>IF(Data!$D1135="","",Data!$D1135)</f>
        <v>0</v>
      </c>
      <c r="E1135">
        <f>IF(Data!$E1135="","",Data!$E1135)</f>
        <v>0</v>
      </c>
      <c r="F1135">
        <f>IF($E1135="","",N(F1134)+1)</f>
        <v>0</v>
      </c>
      <c r="G1135">
        <f>IF(OR($E1135="",$E1134=""),"",LN($E1135/$E1134))</f>
        <v>0</v>
      </c>
      <c r="H1135">
        <f>IF($E1135="","",IF($E1134="",$E1135,$E1135*0.0952380952+H1134*0.9047619048))</f>
        <v>0</v>
      </c>
      <c r="I1135">
        <f>IF($E1135="","",IF($E1134="",$E1135,$E1135*0.0392156863+I1134*0.9607843137))</f>
        <v>0</v>
      </c>
      <c r="J1135">
        <f>IF($E1135="","",IF($E1134="",$E1135,$E1135*0.0198019802+J1134*0.9801980198))</f>
        <v>0</v>
      </c>
      <c r="K1135">
        <f>IF($E1135="","",IF($E1134="",$E1135,$E1135*0.0099502488+K1134*0.9900497512))</f>
        <v>0</v>
      </c>
      <c r="L1135">
        <f>IF(OR($E1135="",$E1134=""),"",MAX($E1135-$E1134,0))</f>
        <v>0</v>
      </c>
      <c r="M1135">
        <f>IF(OR($E1135="",$E1134=""),"",MAX($E1134-$E1135,0))</f>
        <v>0</v>
      </c>
      <c r="N1135">
        <f>IF(COUNT($E$2:$E1135)&lt;15,"",IF(AVERAGE($M$1122:$M$1135)=0,100,100-100/(1+AVERAGE($L$1122:$L$1135)/AVERAGE($M$1122:$M$1135))))</f>
        <v>0</v>
      </c>
      <c r="O1135">
        <f>IF($E1135="","",IF($E1134="",$E1135,$E1135*0.1538461538+O1134*0.8461538462))</f>
        <v>0</v>
      </c>
      <c r="P1135">
        <f>IF($E1135="","",IF($E1134="",$E1135,$E1135*0.0740740741+P1134*0.9259259259))</f>
        <v>0</v>
      </c>
      <c r="Q1135">
        <f>IF(OR(O1135="",P1135=""),"",O1135-P1135)</f>
        <v>0</v>
      </c>
      <c r="R1135">
        <f>IF(Q1135="","",IF(R1134="",Q1135,Q1135*0.2000000000+R1134*0.8000000000))</f>
        <v>0</v>
      </c>
      <c r="S1135">
        <f>IF(OR(Q1135="",R1135=""),"",Q1135-R1135)</f>
        <v>0</v>
      </c>
      <c r="T1135">
        <f>IF(COUNT($E$2:$E1135)&lt;14,"",MAX($C$1122:$C$1135))</f>
        <v>0</v>
      </c>
      <c r="U1135">
        <f>IF(COUNT($E$2:$E1135)&lt;14,"",MIN($D$1122:$D$1135))</f>
        <v>0</v>
      </c>
      <c r="V1135">
        <f>IF(OR(T1135="",U1135="",T1135=U1135),"",100*($E1135-U1135)/(T1135-U1135))</f>
        <v>0</v>
      </c>
      <c r="W1135">
        <f>IF(COUNT($V$1133:$V$1135)&lt;3,"",AVERAGE($V$1133:$V$1135))</f>
        <v>0</v>
      </c>
      <c r="X1135">
        <f>IF(COUNT($N$1122:$N$1135)&lt;14,"",MIN($N$1122:$N$1135))</f>
        <v>0</v>
      </c>
      <c r="Y1135">
        <f>IF(COUNT($N$1122:$N$1135)&lt;14,"",MAX($N$1122:$N$1135))</f>
        <v>0</v>
      </c>
      <c r="Z1135">
        <f>IF(OR(N1135="",X1135="",Y1135="",Y1135=X1135),"",100*(N1135-X1135)/(Y1135-X1135))</f>
        <v>0</v>
      </c>
      <c r="AA1135">
        <f>IF(COUNT($Z$1133:$Z$1135)&lt;3,"",AVERAGE($Z$1133:$Z$1135))</f>
        <v>0</v>
      </c>
      <c r="AB1135">
        <f>IF(COUNT($AA$1133:$AA$1135)&lt;3,"",AVERAGE($AA$1133:$AA$1135))</f>
        <v>0</v>
      </c>
      <c r="AC1135">
        <f>IF($E1135="","",MAX($C1135-$D1135,ABS($C1135-$E1134),ABS($D1135-$E1134)))</f>
        <v>0</v>
      </c>
      <c r="AD1135">
        <f>IF(COUNT($E$2:$E1135)&lt;15,"",AVERAGE($AC$1122:$AC$1135))</f>
        <v>0</v>
      </c>
      <c r="AE1135">
        <f>IF(OR($E1135="",$E1134=""),"",IF(AND(($C1135-$C1134)&gt;($D1134-$D1135),($C1135-$C1134)&gt;0),$C1135-$C1134,0))</f>
        <v>0</v>
      </c>
      <c r="AF1135">
        <f>IF(OR($E1135="",$E1134=""),"",IF(AND(($D1134-$D1135)&gt;($C1135-$C1134),($D1134-$D1135)&gt;0),$D1134-$D1135,0))</f>
        <v>0</v>
      </c>
      <c r="AG1135">
        <f>IF(COUNT($E$2:$E1135)&lt;15,"",IF(SUM($AC$1122:$AC$1135)=0,0,100*SUM($AE$1122:$AE$1135)/SUM($AC$1122:$AC$1135)))</f>
        <v>0</v>
      </c>
      <c r="AH1135">
        <f>IF(COUNT($E$2:$E1135)&lt;15,"",IF(SUM($AC$1122:$AC$1135)=0,0,100*SUM($AF$1122:$AF$1135)/SUM($AC$1122:$AC$1135)))</f>
        <v>0</v>
      </c>
      <c r="AI1135">
        <f>IF(OR(AG1135="",AH1135=""),"",IF((AG1135+AH1135)=0,0,100*ABS(AG1135-AH1135)/(AG1135+AH1135)))</f>
        <v>0</v>
      </c>
      <c r="AJ1135">
        <f>IF(COUNT($AI$1122:$AI$1135)&lt;14,"",AVERAGE($AI$1122:$AI$1135))</f>
        <v>0</v>
      </c>
      <c r="AK1135">
        <f>IF(COUNT($E$2:$E1135)&lt;20,"",AVERAGE($E$1116:$E$1135))</f>
        <v>0</v>
      </c>
      <c r="AL1135">
        <f>IF(COUNT($E$2:$E1135)&lt;20,"",STDEVP($E$1116:$E$1135))</f>
        <v>0</v>
      </c>
      <c r="AM1135">
        <f>IF(AK1135="","",AK1135+2*AL1135)</f>
        <v>0</v>
      </c>
      <c r="AN1135">
        <f>IF(AK1135="","",AK1135-2*AL1135)</f>
        <v>0</v>
      </c>
      <c r="AO1135">
        <f>IF(OR(AM1135="",AN1135="",AM1135=AN1135),"",($E1135-AN1135)/(AM1135-AN1135))</f>
        <v>0</v>
      </c>
      <c r="AP1135">
        <f>IF(OR(AM1135="",AK1135="",AK1135=0),"",(AM1135-AN1135)/AK1135)</f>
        <v>0</v>
      </c>
      <c r="AQ1135">
        <f>IF(COUNT($E$2:$E1135)&lt;20,"",MAX($C$1116:$C$1135))</f>
        <v>0</v>
      </c>
      <c r="AR1135">
        <f>IF(COUNT($E$2:$E1135)&lt;20,"",MIN($D$1116:$D$1135))</f>
        <v>0</v>
      </c>
      <c r="AS1135">
        <f>IF(OR(AQ1135="",AR1135=""),"",(AQ1135+AR1135)/2)</f>
        <v>0</v>
      </c>
      <c r="AT1135">
        <f>IF(COUNT($G$1116:$G$1135)&lt;20,"",STDEV($G$1116:$G$1135)*SQRT(252))</f>
        <v>0</v>
      </c>
      <c r="AU1135">
        <f>IF(COUNT($E$2:$E1135)&lt;9,"",(MAX($C$1127:$C$1135)+MIN($D$1127:$D$1135))/2)</f>
        <v>0</v>
      </c>
      <c r="AV1135">
        <f>IF(COUNT($E$2:$E1135)&lt;26,"",(MAX($C$1110:$C$1135)+MIN($D$1110:$D$1135))/2)</f>
        <v>0</v>
      </c>
      <c r="AW1135">
        <f>IF(OR(AU1135="",AV1135=""),"",(AU1135+AV1135)/2)</f>
        <v>0</v>
      </c>
      <c r="AX1135">
        <f>IF(COUNT($E$2:$E1135)&lt;52,"",(MAX($C$1084:$C$1135)+MIN($D$1084:$D$1135))/2)</f>
        <v>0</v>
      </c>
      <c r="AY1135">
        <f>IF(COUNT($E$2:$E1135)&lt;20,"",MAX($C$1036:$C$1135))</f>
        <v>0</v>
      </c>
      <c r="AZ1135">
        <f>IF(COUNT($E$2:$E1135)&lt;20,"",MIN($D$1036:$D$1135))</f>
        <v>0</v>
      </c>
      <c r="BA1135">
        <f>IF(COUNT($E$2:$E1135)&lt;20,"",SLOPE($E$1036:$E$1135,$F$1036:$F$1135))</f>
        <v>0</v>
      </c>
      <c r="BB1135">
        <f>IF(COUNT($E$2:$E1135)&lt;20,"",INTERCEPT($E$1036:$E$1135,$F$1036:$F$1135))</f>
        <v>0</v>
      </c>
      <c r="BC1135">
        <f>IF(OR(BA1135="",BB1135=""),"",BB1135+BA1135*F1135)</f>
        <v>0</v>
      </c>
      <c r="BD1135">
        <f>IF(COUNT($E$2:$E1135)&lt;20,"",STEYX($E$1036:$E$1135,$F$1036:$F$1135))</f>
        <v>0</v>
      </c>
      <c r="BE1135">
        <f>IF($E1135="","",IF(AND(COUNT($E$1136:$E$1139)&gt;=4,$C1135=MAX($C$1131:$C$1139)),$C1135,""))</f>
        <v>0</v>
      </c>
      <c r="BF1135">
        <f>IF($E1135="","",IF(AND(COUNT($E$1136:$E$1139)&gt;=4,$D1135=MIN($D$1131:$D$1139)),$D1135,""))</f>
        <v>0</v>
      </c>
      <c r="BG1135">
        <f>IF($A1135="","",$A1135-WEEKDAY($A1135,2)+1)</f>
        <v>0</v>
      </c>
      <c r="BH1135">
        <f>IF($A1135="","",IF($A1134="",1,IF(BG1135&lt;&gt;BG1134,1,0)))</f>
        <v>0</v>
      </c>
      <c r="BI1135">
        <f>IF($A1135="","",IF($A1136="",1,IF(BG1136&lt;&gt;BG1135,1,0)))</f>
        <v>0</v>
      </c>
      <c r="BJ1135">
        <f>IF($A1135="","",IF(BH1135=1,$B1135,BJ1134))</f>
        <v>0</v>
      </c>
      <c r="BK1135">
        <f>IF($A1135="","",IF(BH1135=1,$C1135,MAX($C1135,BK1134)))</f>
        <v>0</v>
      </c>
      <c r="BL1135">
        <f>IF($A1135="","",IF(BH1135=1,$D1135,MIN($D1135,BL1134)))</f>
        <v>0</v>
      </c>
      <c r="BM1135">
        <f>IF($A1135="","",IF(BI1135=1,F1135,""))</f>
        <v>0</v>
      </c>
      <c r="BN1135">
        <f>IF($A1135="","",DATE(YEAR($A1135),MONTH($A1135),1))</f>
        <v>0</v>
      </c>
      <c r="BO1135">
        <f>IF($A1135="","",IF($A1134="",1,IF(BN1135&lt;&gt;BN1134,1,0)))</f>
        <v>0</v>
      </c>
      <c r="BP1135">
        <f>IF($A1135="","",IF($A1136="",1,IF(BN1136&lt;&gt;BN1135,1,0)))</f>
        <v>0</v>
      </c>
      <c r="BQ1135">
        <f>IF($A1135="","",IF(BO1135=1,$B1135,BQ1134))</f>
        <v>0</v>
      </c>
      <c r="BR1135">
        <f>IF($A1135="","",IF(BO1135=1,$C1135,MAX($C1135,BR1134)))</f>
        <v>0</v>
      </c>
      <c r="BS1135">
        <f>IF($A1135="","",IF(BO1135=1,$D1135,MIN($D1135,BS1134)))</f>
        <v>0</v>
      </c>
      <c r="BT1135">
        <f>IF($A1135="","",IF(BP1135=1,F1135,""))</f>
        <v>0</v>
      </c>
    </row>
    <row r="1136" spans="1:72">
      <c r="A1136" s="27">
        <f>IF(Data!$A1136="","",Data!$A1136)</f>
        <v>0</v>
      </c>
      <c r="B1136">
        <f>IF(Data!$B1136="","",Data!$B1136)</f>
        <v>0</v>
      </c>
      <c r="C1136">
        <f>IF(Data!$C1136="","",Data!$C1136)</f>
        <v>0</v>
      </c>
      <c r="D1136">
        <f>IF(Data!$D1136="","",Data!$D1136)</f>
        <v>0</v>
      </c>
      <c r="E1136">
        <f>IF(Data!$E1136="","",Data!$E1136)</f>
        <v>0</v>
      </c>
      <c r="F1136">
        <f>IF($E1136="","",N(F1135)+1)</f>
        <v>0</v>
      </c>
      <c r="G1136">
        <f>IF(OR($E1136="",$E1135=""),"",LN($E1136/$E1135))</f>
        <v>0</v>
      </c>
      <c r="H1136">
        <f>IF($E1136="","",IF($E1135="",$E1136,$E1136*0.0952380952+H1135*0.9047619048))</f>
        <v>0</v>
      </c>
      <c r="I1136">
        <f>IF($E1136="","",IF($E1135="",$E1136,$E1136*0.0392156863+I1135*0.9607843137))</f>
        <v>0</v>
      </c>
      <c r="J1136">
        <f>IF($E1136="","",IF($E1135="",$E1136,$E1136*0.0198019802+J1135*0.9801980198))</f>
        <v>0</v>
      </c>
      <c r="K1136">
        <f>IF($E1136="","",IF($E1135="",$E1136,$E1136*0.0099502488+K1135*0.9900497512))</f>
        <v>0</v>
      </c>
      <c r="L1136">
        <f>IF(OR($E1136="",$E1135=""),"",MAX($E1136-$E1135,0))</f>
        <v>0</v>
      </c>
      <c r="M1136">
        <f>IF(OR($E1136="",$E1135=""),"",MAX($E1135-$E1136,0))</f>
        <v>0</v>
      </c>
      <c r="N1136">
        <f>IF(COUNT($E$2:$E1136)&lt;15,"",IF(AVERAGE($M$1123:$M$1136)=0,100,100-100/(1+AVERAGE($L$1123:$L$1136)/AVERAGE($M$1123:$M$1136))))</f>
        <v>0</v>
      </c>
      <c r="O1136">
        <f>IF($E1136="","",IF($E1135="",$E1136,$E1136*0.1538461538+O1135*0.8461538462))</f>
        <v>0</v>
      </c>
      <c r="P1136">
        <f>IF($E1136="","",IF($E1135="",$E1136,$E1136*0.0740740741+P1135*0.9259259259))</f>
        <v>0</v>
      </c>
      <c r="Q1136">
        <f>IF(OR(O1136="",P1136=""),"",O1136-P1136)</f>
        <v>0</v>
      </c>
      <c r="R1136">
        <f>IF(Q1136="","",IF(R1135="",Q1136,Q1136*0.2000000000+R1135*0.8000000000))</f>
        <v>0</v>
      </c>
      <c r="S1136">
        <f>IF(OR(Q1136="",R1136=""),"",Q1136-R1136)</f>
        <v>0</v>
      </c>
      <c r="T1136">
        <f>IF(COUNT($E$2:$E1136)&lt;14,"",MAX($C$1123:$C$1136))</f>
        <v>0</v>
      </c>
      <c r="U1136">
        <f>IF(COUNT($E$2:$E1136)&lt;14,"",MIN($D$1123:$D$1136))</f>
        <v>0</v>
      </c>
      <c r="V1136">
        <f>IF(OR(T1136="",U1136="",T1136=U1136),"",100*($E1136-U1136)/(T1136-U1136))</f>
        <v>0</v>
      </c>
      <c r="W1136">
        <f>IF(COUNT($V$1134:$V$1136)&lt;3,"",AVERAGE($V$1134:$V$1136))</f>
        <v>0</v>
      </c>
      <c r="X1136">
        <f>IF(COUNT($N$1123:$N$1136)&lt;14,"",MIN($N$1123:$N$1136))</f>
        <v>0</v>
      </c>
      <c r="Y1136">
        <f>IF(COUNT($N$1123:$N$1136)&lt;14,"",MAX($N$1123:$N$1136))</f>
        <v>0</v>
      </c>
      <c r="Z1136">
        <f>IF(OR(N1136="",X1136="",Y1136="",Y1136=X1136),"",100*(N1136-X1136)/(Y1136-X1136))</f>
        <v>0</v>
      </c>
      <c r="AA1136">
        <f>IF(COUNT($Z$1134:$Z$1136)&lt;3,"",AVERAGE($Z$1134:$Z$1136))</f>
        <v>0</v>
      </c>
      <c r="AB1136">
        <f>IF(COUNT($AA$1134:$AA$1136)&lt;3,"",AVERAGE($AA$1134:$AA$1136))</f>
        <v>0</v>
      </c>
      <c r="AC1136">
        <f>IF($E1136="","",MAX($C1136-$D1136,ABS($C1136-$E1135),ABS($D1136-$E1135)))</f>
        <v>0</v>
      </c>
      <c r="AD1136">
        <f>IF(COUNT($E$2:$E1136)&lt;15,"",AVERAGE($AC$1123:$AC$1136))</f>
        <v>0</v>
      </c>
      <c r="AE1136">
        <f>IF(OR($E1136="",$E1135=""),"",IF(AND(($C1136-$C1135)&gt;($D1135-$D1136),($C1136-$C1135)&gt;0),$C1136-$C1135,0))</f>
        <v>0</v>
      </c>
      <c r="AF1136">
        <f>IF(OR($E1136="",$E1135=""),"",IF(AND(($D1135-$D1136)&gt;($C1136-$C1135),($D1135-$D1136)&gt;0),$D1135-$D1136,0))</f>
        <v>0</v>
      </c>
      <c r="AG1136">
        <f>IF(COUNT($E$2:$E1136)&lt;15,"",IF(SUM($AC$1123:$AC$1136)=0,0,100*SUM($AE$1123:$AE$1136)/SUM($AC$1123:$AC$1136)))</f>
        <v>0</v>
      </c>
      <c r="AH1136">
        <f>IF(COUNT($E$2:$E1136)&lt;15,"",IF(SUM($AC$1123:$AC$1136)=0,0,100*SUM($AF$1123:$AF$1136)/SUM($AC$1123:$AC$1136)))</f>
        <v>0</v>
      </c>
      <c r="AI1136">
        <f>IF(OR(AG1136="",AH1136=""),"",IF((AG1136+AH1136)=0,0,100*ABS(AG1136-AH1136)/(AG1136+AH1136)))</f>
        <v>0</v>
      </c>
      <c r="AJ1136">
        <f>IF(COUNT($AI$1123:$AI$1136)&lt;14,"",AVERAGE($AI$1123:$AI$1136))</f>
        <v>0</v>
      </c>
      <c r="AK1136">
        <f>IF(COUNT($E$2:$E1136)&lt;20,"",AVERAGE($E$1117:$E$1136))</f>
        <v>0</v>
      </c>
      <c r="AL1136">
        <f>IF(COUNT($E$2:$E1136)&lt;20,"",STDEVP($E$1117:$E$1136))</f>
        <v>0</v>
      </c>
      <c r="AM1136">
        <f>IF(AK1136="","",AK1136+2*AL1136)</f>
        <v>0</v>
      </c>
      <c r="AN1136">
        <f>IF(AK1136="","",AK1136-2*AL1136)</f>
        <v>0</v>
      </c>
      <c r="AO1136">
        <f>IF(OR(AM1136="",AN1136="",AM1136=AN1136),"",($E1136-AN1136)/(AM1136-AN1136))</f>
        <v>0</v>
      </c>
      <c r="AP1136">
        <f>IF(OR(AM1136="",AK1136="",AK1136=0),"",(AM1136-AN1136)/AK1136)</f>
        <v>0</v>
      </c>
      <c r="AQ1136">
        <f>IF(COUNT($E$2:$E1136)&lt;20,"",MAX($C$1117:$C$1136))</f>
        <v>0</v>
      </c>
      <c r="AR1136">
        <f>IF(COUNT($E$2:$E1136)&lt;20,"",MIN($D$1117:$D$1136))</f>
        <v>0</v>
      </c>
      <c r="AS1136">
        <f>IF(OR(AQ1136="",AR1136=""),"",(AQ1136+AR1136)/2)</f>
        <v>0</v>
      </c>
      <c r="AT1136">
        <f>IF(COUNT($G$1117:$G$1136)&lt;20,"",STDEV($G$1117:$G$1136)*SQRT(252))</f>
        <v>0</v>
      </c>
      <c r="AU1136">
        <f>IF(COUNT($E$2:$E1136)&lt;9,"",(MAX($C$1128:$C$1136)+MIN($D$1128:$D$1136))/2)</f>
        <v>0</v>
      </c>
      <c r="AV1136">
        <f>IF(COUNT($E$2:$E1136)&lt;26,"",(MAX($C$1111:$C$1136)+MIN($D$1111:$D$1136))/2)</f>
        <v>0</v>
      </c>
      <c r="AW1136">
        <f>IF(OR(AU1136="",AV1136=""),"",(AU1136+AV1136)/2)</f>
        <v>0</v>
      </c>
      <c r="AX1136">
        <f>IF(COUNT($E$2:$E1136)&lt;52,"",(MAX($C$1085:$C$1136)+MIN($D$1085:$D$1136))/2)</f>
        <v>0</v>
      </c>
      <c r="AY1136">
        <f>IF(COUNT($E$2:$E1136)&lt;20,"",MAX($C$1037:$C$1136))</f>
        <v>0</v>
      </c>
      <c r="AZ1136">
        <f>IF(COUNT($E$2:$E1136)&lt;20,"",MIN($D$1037:$D$1136))</f>
        <v>0</v>
      </c>
      <c r="BA1136">
        <f>IF(COUNT($E$2:$E1136)&lt;20,"",SLOPE($E$1037:$E$1136,$F$1037:$F$1136))</f>
        <v>0</v>
      </c>
      <c r="BB1136">
        <f>IF(COUNT($E$2:$E1136)&lt;20,"",INTERCEPT($E$1037:$E$1136,$F$1037:$F$1136))</f>
        <v>0</v>
      </c>
      <c r="BC1136">
        <f>IF(OR(BA1136="",BB1136=""),"",BB1136+BA1136*F1136)</f>
        <v>0</v>
      </c>
      <c r="BD1136">
        <f>IF(COUNT($E$2:$E1136)&lt;20,"",STEYX($E$1037:$E$1136,$F$1037:$F$1136))</f>
        <v>0</v>
      </c>
      <c r="BE1136">
        <f>IF($E1136="","",IF(AND(COUNT($E$1137:$E$1140)&gt;=4,$C1136=MAX($C$1132:$C$1140)),$C1136,""))</f>
        <v>0</v>
      </c>
      <c r="BF1136">
        <f>IF($E1136="","",IF(AND(COUNT($E$1137:$E$1140)&gt;=4,$D1136=MIN($D$1132:$D$1140)),$D1136,""))</f>
        <v>0</v>
      </c>
      <c r="BG1136">
        <f>IF($A1136="","",$A1136-WEEKDAY($A1136,2)+1)</f>
        <v>0</v>
      </c>
      <c r="BH1136">
        <f>IF($A1136="","",IF($A1135="",1,IF(BG1136&lt;&gt;BG1135,1,0)))</f>
        <v>0</v>
      </c>
      <c r="BI1136">
        <f>IF($A1136="","",IF($A1137="",1,IF(BG1137&lt;&gt;BG1136,1,0)))</f>
        <v>0</v>
      </c>
      <c r="BJ1136">
        <f>IF($A1136="","",IF(BH1136=1,$B1136,BJ1135))</f>
        <v>0</v>
      </c>
      <c r="BK1136">
        <f>IF($A1136="","",IF(BH1136=1,$C1136,MAX($C1136,BK1135)))</f>
        <v>0</v>
      </c>
      <c r="BL1136">
        <f>IF($A1136="","",IF(BH1136=1,$D1136,MIN($D1136,BL1135)))</f>
        <v>0</v>
      </c>
      <c r="BM1136">
        <f>IF($A1136="","",IF(BI1136=1,F1136,""))</f>
        <v>0</v>
      </c>
      <c r="BN1136">
        <f>IF($A1136="","",DATE(YEAR($A1136),MONTH($A1136),1))</f>
        <v>0</v>
      </c>
      <c r="BO1136">
        <f>IF($A1136="","",IF($A1135="",1,IF(BN1136&lt;&gt;BN1135,1,0)))</f>
        <v>0</v>
      </c>
      <c r="BP1136">
        <f>IF($A1136="","",IF($A1137="",1,IF(BN1137&lt;&gt;BN1136,1,0)))</f>
        <v>0</v>
      </c>
      <c r="BQ1136">
        <f>IF($A1136="","",IF(BO1136=1,$B1136,BQ1135))</f>
        <v>0</v>
      </c>
      <c r="BR1136">
        <f>IF($A1136="","",IF(BO1136=1,$C1136,MAX($C1136,BR1135)))</f>
        <v>0</v>
      </c>
      <c r="BS1136">
        <f>IF($A1136="","",IF(BO1136=1,$D1136,MIN($D1136,BS1135)))</f>
        <v>0</v>
      </c>
      <c r="BT1136">
        <f>IF($A1136="","",IF(BP1136=1,F1136,""))</f>
        <v>0</v>
      </c>
    </row>
    <row r="1137" spans="1:72">
      <c r="A1137" s="27">
        <f>IF(Data!$A1137="","",Data!$A1137)</f>
        <v>0</v>
      </c>
      <c r="B1137">
        <f>IF(Data!$B1137="","",Data!$B1137)</f>
        <v>0</v>
      </c>
      <c r="C1137">
        <f>IF(Data!$C1137="","",Data!$C1137)</f>
        <v>0</v>
      </c>
      <c r="D1137">
        <f>IF(Data!$D1137="","",Data!$D1137)</f>
        <v>0</v>
      </c>
      <c r="E1137">
        <f>IF(Data!$E1137="","",Data!$E1137)</f>
        <v>0</v>
      </c>
      <c r="F1137">
        <f>IF($E1137="","",N(F1136)+1)</f>
        <v>0</v>
      </c>
      <c r="G1137">
        <f>IF(OR($E1137="",$E1136=""),"",LN($E1137/$E1136))</f>
        <v>0</v>
      </c>
      <c r="H1137">
        <f>IF($E1137="","",IF($E1136="",$E1137,$E1137*0.0952380952+H1136*0.9047619048))</f>
        <v>0</v>
      </c>
      <c r="I1137">
        <f>IF($E1137="","",IF($E1136="",$E1137,$E1137*0.0392156863+I1136*0.9607843137))</f>
        <v>0</v>
      </c>
      <c r="J1137">
        <f>IF($E1137="","",IF($E1136="",$E1137,$E1137*0.0198019802+J1136*0.9801980198))</f>
        <v>0</v>
      </c>
      <c r="K1137">
        <f>IF($E1137="","",IF($E1136="",$E1137,$E1137*0.0099502488+K1136*0.9900497512))</f>
        <v>0</v>
      </c>
      <c r="L1137">
        <f>IF(OR($E1137="",$E1136=""),"",MAX($E1137-$E1136,0))</f>
        <v>0</v>
      </c>
      <c r="M1137">
        <f>IF(OR($E1137="",$E1136=""),"",MAX($E1136-$E1137,0))</f>
        <v>0</v>
      </c>
      <c r="N1137">
        <f>IF(COUNT($E$2:$E1137)&lt;15,"",IF(AVERAGE($M$1124:$M$1137)=0,100,100-100/(1+AVERAGE($L$1124:$L$1137)/AVERAGE($M$1124:$M$1137))))</f>
        <v>0</v>
      </c>
      <c r="O1137">
        <f>IF($E1137="","",IF($E1136="",$E1137,$E1137*0.1538461538+O1136*0.8461538462))</f>
        <v>0</v>
      </c>
      <c r="P1137">
        <f>IF($E1137="","",IF($E1136="",$E1137,$E1137*0.0740740741+P1136*0.9259259259))</f>
        <v>0</v>
      </c>
      <c r="Q1137">
        <f>IF(OR(O1137="",P1137=""),"",O1137-P1137)</f>
        <v>0</v>
      </c>
      <c r="R1137">
        <f>IF(Q1137="","",IF(R1136="",Q1137,Q1137*0.2000000000+R1136*0.8000000000))</f>
        <v>0</v>
      </c>
      <c r="S1137">
        <f>IF(OR(Q1137="",R1137=""),"",Q1137-R1137)</f>
        <v>0</v>
      </c>
      <c r="T1137">
        <f>IF(COUNT($E$2:$E1137)&lt;14,"",MAX($C$1124:$C$1137))</f>
        <v>0</v>
      </c>
      <c r="U1137">
        <f>IF(COUNT($E$2:$E1137)&lt;14,"",MIN($D$1124:$D$1137))</f>
        <v>0</v>
      </c>
      <c r="V1137">
        <f>IF(OR(T1137="",U1137="",T1137=U1137),"",100*($E1137-U1137)/(T1137-U1137))</f>
        <v>0</v>
      </c>
      <c r="W1137">
        <f>IF(COUNT($V$1135:$V$1137)&lt;3,"",AVERAGE($V$1135:$V$1137))</f>
        <v>0</v>
      </c>
      <c r="X1137">
        <f>IF(COUNT($N$1124:$N$1137)&lt;14,"",MIN($N$1124:$N$1137))</f>
        <v>0</v>
      </c>
      <c r="Y1137">
        <f>IF(COUNT($N$1124:$N$1137)&lt;14,"",MAX($N$1124:$N$1137))</f>
        <v>0</v>
      </c>
      <c r="Z1137">
        <f>IF(OR(N1137="",X1137="",Y1137="",Y1137=X1137),"",100*(N1137-X1137)/(Y1137-X1137))</f>
        <v>0</v>
      </c>
      <c r="AA1137">
        <f>IF(COUNT($Z$1135:$Z$1137)&lt;3,"",AVERAGE($Z$1135:$Z$1137))</f>
        <v>0</v>
      </c>
      <c r="AB1137">
        <f>IF(COUNT($AA$1135:$AA$1137)&lt;3,"",AVERAGE($AA$1135:$AA$1137))</f>
        <v>0</v>
      </c>
      <c r="AC1137">
        <f>IF($E1137="","",MAX($C1137-$D1137,ABS($C1137-$E1136),ABS($D1137-$E1136)))</f>
        <v>0</v>
      </c>
      <c r="AD1137">
        <f>IF(COUNT($E$2:$E1137)&lt;15,"",AVERAGE($AC$1124:$AC$1137))</f>
        <v>0</v>
      </c>
      <c r="AE1137">
        <f>IF(OR($E1137="",$E1136=""),"",IF(AND(($C1137-$C1136)&gt;($D1136-$D1137),($C1137-$C1136)&gt;0),$C1137-$C1136,0))</f>
        <v>0</v>
      </c>
      <c r="AF1137">
        <f>IF(OR($E1137="",$E1136=""),"",IF(AND(($D1136-$D1137)&gt;($C1137-$C1136),($D1136-$D1137)&gt;0),$D1136-$D1137,0))</f>
        <v>0</v>
      </c>
      <c r="AG1137">
        <f>IF(COUNT($E$2:$E1137)&lt;15,"",IF(SUM($AC$1124:$AC$1137)=0,0,100*SUM($AE$1124:$AE$1137)/SUM($AC$1124:$AC$1137)))</f>
        <v>0</v>
      </c>
      <c r="AH1137">
        <f>IF(COUNT($E$2:$E1137)&lt;15,"",IF(SUM($AC$1124:$AC$1137)=0,0,100*SUM($AF$1124:$AF$1137)/SUM($AC$1124:$AC$1137)))</f>
        <v>0</v>
      </c>
      <c r="AI1137">
        <f>IF(OR(AG1137="",AH1137=""),"",IF((AG1137+AH1137)=0,0,100*ABS(AG1137-AH1137)/(AG1137+AH1137)))</f>
        <v>0</v>
      </c>
      <c r="AJ1137">
        <f>IF(COUNT($AI$1124:$AI$1137)&lt;14,"",AVERAGE($AI$1124:$AI$1137))</f>
        <v>0</v>
      </c>
      <c r="AK1137">
        <f>IF(COUNT($E$2:$E1137)&lt;20,"",AVERAGE($E$1118:$E$1137))</f>
        <v>0</v>
      </c>
      <c r="AL1137">
        <f>IF(COUNT($E$2:$E1137)&lt;20,"",STDEVP($E$1118:$E$1137))</f>
        <v>0</v>
      </c>
      <c r="AM1137">
        <f>IF(AK1137="","",AK1137+2*AL1137)</f>
        <v>0</v>
      </c>
      <c r="AN1137">
        <f>IF(AK1137="","",AK1137-2*AL1137)</f>
        <v>0</v>
      </c>
      <c r="AO1137">
        <f>IF(OR(AM1137="",AN1137="",AM1137=AN1137),"",($E1137-AN1137)/(AM1137-AN1137))</f>
        <v>0</v>
      </c>
      <c r="AP1137">
        <f>IF(OR(AM1137="",AK1137="",AK1137=0),"",(AM1137-AN1137)/AK1137)</f>
        <v>0</v>
      </c>
      <c r="AQ1137">
        <f>IF(COUNT($E$2:$E1137)&lt;20,"",MAX($C$1118:$C$1137))</f>
        <v>0</v>
      </c>
      <c r="AR1137">
        <f>IF(COUNT($E$2:$E1137)&lt;20,"",MIN($D$1118:$D$1137))</f>
        <v>0</v>
      </c>
      <c r="AS1137">
        <f>IF(OR(AQ1137="",AR1137=""),"",(AQ1137+AR1137)/2)</f>
        <v>0</v>
      </c>
      <c r="AT1137">
        <f>IF(COUNT($G$1118:$G$1137)&lt;20,"",STDEV($G$1118:$G$1137)*SQRT(252))</f>
        <v>0</v>
      </c>
      <c r="AU1137">
        <f>IF(COUNT($E$2:$E1137)&lt;9,"",(MAX($C$1129:$C$1137)+MIN($D$1129:$D$1137))/2)</f>
        <v>0</v>
      </c>
      <c r="AV1137">
        <f>IF(COUNT($E$2:$E1137)&lt;26,"",(MAX($C$1112:$C$1137)+MIN($D$1112:$D$1137))/2)</f>
        <v>0</v>
      </c>
      <c r="AW1137">
        <f>IF(OR(AU1137="",AV1137=""),"",(AU1137+AV1137)/2)</f>
        <v>0</v>
      </c>
      <c r="AX1137">
        <f>IF(COUNT($E$2:$E1137)&lt;52,"",(MAX($C$1086:$C$1137)+MIN($D$1086:$D$1137))/2)</f>
        <v>0</v>
      </c>
      <c r="AY1137">
        <f>IF(COUNT($E$2:$E1137)&lt;20,"",MAX($C$1038:$C$1137))</f>
        <v>0</v>
      </c>
      <c r="AZ1137">
        <f>IF(COUNT($E$2:$E1137)&lt;20,"",MIN($D$1038:$D$1137))</f>
        <v>0</v>
      </c>
      <c r="BA1137">
        <f>IF(COUNT($E$2:$E1137)&lt;20,"",SLOPE($E$1038:$E$1137,$F$1038:$F$1137))</f>
        <v>0</v>
      </c>
      <c r="BB1137">
        <f>IF(COUNT($E$2:$E1137)&lt;20,"",INTERCEPT($E$1038:$E$1137,$F$1038:$F$1137))</f>
        <v>0</v>
      </c>
      <c r="BC1137">
        <f>IF(OR(BA1137="",BB1137=""),"",BB1137+BA1137*F1137)</f>
        <v>0</v>
      </c>
      <c r="BD1137">
        <f>IF(COUNT($E$2:$E1137)&lt;20,"",STEYX($E$1038:$E$1137,$F$1038:$F$1137))</f>
        <v>0</v>
      </c>
      <c r="BE1137">
        <f>IF($E1137="","",IF(AND(COUNT($E$1138:$E$1141)&gt;=4,$C1137=MAX($C$1133:$C$1141)),$C1137,""))</f>
        <v>0</v>
      </c>
      <c r="BF1137">
        <f>IF($E1137="","",IF(AND(COUNT($E$1138:$E$1141)&gt;=4,$D1137=MIN($D$1133:$D$1141)),$D1137,""))</f>
        <v>0</v>
      </c>
      <c r="BG1137">
        <f>IF($A1137="","",$A1137-WEEKDAY($A1137,2)+1)</f>
        <v>0</v>
      </c>
      <c r="BH1137">
        <f>IF($A1137="","",IF($A1136="",1,IF(BG1137&lt;&gt;BG1136,1,0)))</f>
        <v>0</v>
      </c>
      <c r="BI1137">
        <f>IF($A1137="","",IF($A1138="",1,IF(BG1138&lt;&gt;BG1137,1,0)))</f>
        <v>0</v>
      </c>
      <c r="BJ1137">
        <f>IF($A1137="","",IF(BH1137=1,$B1137,BJ1136))</f>
        <v>0</v>
      </c>
      <c r="BK1137">
        <f>IF($A1137="","",IF(BH1137=1,$C1137,MAX($C1137,BK1136)))</f>
        <v>0</v>
      </c>
      <c r="BL1137">
        <f>IF($A1137="","",IF(BH1137=1,$D1137,MIN($D1137,BL1136)))</f>
        <v>0</v>
      </c>
      <c r="BM1137">
        <f>IF($A1137="","",IF(BI1137=1,F1137,""))</f>
        <v>0</v>
      </c>
      <c r="BN1137">
        <f>IF($A1137="","",DATE(YEAR($A1137),MONTH($A1137),1))</f>
        <v>0</v>
      </c>
      <c r="BO1137">
        <f>IF($A1137="","",IF($A1136="",1,IF(BN1137&lt;&gt;BN1136,1,0)))</f>
        <v>0</v>
      </c>
      <c r="BP1137">
        <f>IF($A1137="","",IF($A1138="",1,IF(BN1138&lt;&gt;BN1137,1,0)))</f>
        <v>0</v>
      </c>
      <c r="BQ1137">
        <f>IF($A1137="","",IF(BO1137=1,$B1137,BQ1136))</f>
        <v>0</v>
      </c>
      <c r="BR1137">
        <f>IF($A1137="","",IF(BO1137=1,$C1137,MAX($C1137,BR1136)))</f>
        <v>0</v>
      </c>
      <c r="BS1137">
        <f>IF($A1137="","",IF(BO1137=1,$D1137,MIN($D1137,BS1136)))</f>
        <v>0</v>
      </c>
      <c r="BT1137">
        <f>IF($A1137="","",IF(BP1137=1,F1137,""))</f>
        <v>0</v>
      </c>
    </row>
    <row r="1138" spans="1:72">
      <c r="A1138" s="27">
        <f>IF(Data!$A1138="","",Data!$A1138)</f>
        <v>0</v>
      </c>
      <c r="B1138">
        <f>IF(Data!$B1138="","",Data!$B1138)</f>
        <v>0</v>
      </c>
      <c r="C1138">
        <f>IF(Data!$C1138="","",Data!$C1138)</f>
        <v>0</v>
      </c>
      <c r="D1138">
        <f>IF(Data!$D1138="","",Data!$D1138)</f>
        <v>0</v>
      </c>
      <c r="E1138">
        <f>IF(Data!$E1138="","",Data!$E1138)</f>
        <v>0</v>
      </c>
      <c r="F1138">
        <f>IF($E1138="","",N(F1137)+1)</f>
        <v>0</v>
      </c>
      <c r="G1138">
        <f>IF(OR($E1138="",$E1137=""),"",LN($E1138/$E1137))</f>
        <v>0</v>
      </c>
      <c r="H1138">
        <f>IF($E1138="","",IF($E1137="",$E1138,$E1138*0.0952380952+H1137*0.9047619048))</f>
        <v>0</v>
      </c>
      <c r="I1138">
        <f>IF($E1138="","",IF($E1137="",$E1138,$E1138*0.0392156863+I1137*0.9607843137))</f>
        <v>0</v>
      </c>
      <c r="J1138">
        <f>IF($E1138="","",IF($E1137="",$E1138,$E1138*0.0198019802+J1137*0.9801980198))</f>
        <v>0</v>
      </c>
      <c r="K1138">
        <f>IF($E1138="","",IF($E1137="",$E1138,$E1138*0.0099502488+K1137*0.9900497512))</f>
        <v>0</v>
      </c>
      <c r="L1138">
        <f>IF(OR($E1138="",$E1137=""),"",MAX($E1138-$E1137,0))</f>
        <v>0</v>
      </c>
      <c r="M1138">
        <f>IF(OR($E1138="",$E1137=""),"",MAX($E1137-$E1138,0))</f>
        <v>0</v>
      </c>
      <c r="N1138">
        <f>IF(COUNT($E$2:$E1138)&lt;15,"",IF(AVERAGE($M$1125:$M$1138)=0,100,100-100/(1+AVERAGE($L$1125:$L$1138)/AVERAGE($M$1125:$M$1138))))</f>
        <v>0</v>
      </c>
      <c r="O1138">
        <f>IF($E1138="","",IF($E1137="",$E1138,$E1138*0.1538461538+O1137*0.8461538462))</f>
        <v>0</v>
      </c>
      <c r="P1138">
        <f>IF($E1138="","",IF($E1137="",$E1138,$E1138*0.0740740741+P1137*0.9259259259))</f>
        <v>0</v>
      </c>
      <c r="Q1138">
        <f>IF(OR(O1138="",P1138=""),"",O1138-P1138)</f>
        <v>0</v>
      </c>
      <c r="R1138">
        <f>IF(Q1138="","",IF(R1137="",Q1138,Q1138*0.2000000000+R1137*0.8000000000))</f>
        <v>0</v>
      </c>
      <c r="S1138">
        <f>IF(OR(Q1138="",R1138=""),"",Q1138-R1138)</f>
        <v>0</v>
      </c>
      <c r="T1138">
        <f>IF(COUNT($E$2:$E1138)&lt;14,"",MAX($C$1125:$C$1138))</f>
        <v>0</v>
      </c>
      <c r="U1138">
        <f>IF(COUNT($E$2:$E1138)&lt;14,"",MIN($D$1125:$D$1138))</f>
        <v>0</v>
      </c>
      <c r="V1138">
        <f>IF(OR(T1138="",U1138="",T1138=U1138),"",100*($E1138-U1138)/(T1138-U1138))</f>
        <v>0</v>
      </c>
      <c r="W1138">
        <f>IF(COUNT($V$1136:$V$1138)&lt;3,"",AVERAGE($V$1136:$V$1138))</f>
        <v>0</v>
      </c>
      <c r="X1138">
        <f>IF(COUNT($N$1125:$N$1138)&lt;14,"",MIN($N$1125:$N$1138))</f>
        <v>0</v>
      </c>
      <c r="Y1138">
        <f>IF(COUNT($N$1125:$N$1138)&lt;14,"",MAX($N$1125:$N$1138))</f>
        <v>0</v>
      </c>
      <c r="Z1138">
        <f>IF(OR(N1138="",X1138="",Y1138="",Y1138=X1138),"",100*(N1138-X1138)/(Y1138-X1138))</f>
        <v>0</v>
      </c>
      <c r="AA1138">
        <f>IF(COUNT($Z$1136:$Z$1138)&lt;3,"",AVERAGE($Z$1136:$Z$1138))</f>
        <v>0</v>
      </c>
      <c r="AB1138">
        <f>IF(COUNT($AA$1136:$AA$1138)&lt;3,"",AVERAGE($AA$1136:$AA$1138))</f>
        <v>0</v>
      </c>
      <c r="AC1138">
        <f>IF($E1138="","",MAX($C1138-$D1138,ABS($C1138-$E1137),ABS($D1138-$E1137)))</f>
        <v>0</v>
      </c>
      <c r="AD1138">
        <f>IF(COUNT($E$2:$E1138)&lt;15,"",AVERAGE($AC$1125:$AC$1138))</f>
        <v>0</v>
      </c>
      <c r="AE1138">
        <f>IF(OR($E1138="",$E1137=""),"",IF(AND(($C1138-$C1137)&gt;($D1137-$D1138),($C1138-$C1137)&gt;0),$C1138-$C1137,0))</f>
        <v>0</v>
      </c>
      <c r="AF1138">
        <f>IF(OR($E1138="",$E1137=""),"",IF(AND(($D1137-$D1138)&gt;($C1138-$C1137),($D1137-$D1138)&gt;0),$D1137-$D1138,0))</f>
        <v>0</v>
      </c>
      <c r="AG1138">
        <f>IF(COUNT($E$2:$E1138)&lt;15,"",IF(SUM($AC$1125:$AC$1138)=0,0,100*SUM($AE$1125:$AE$1138)/SUM($AC$1125:$AC$1138)))</f>
        <v>0</v>
      </c>
      <c r="AH1138">
        <f>IF(COUNT($E$2:$E1138)&lt;15,"",IF(SUM($AC$1125:$AC$1138)=0,0,100*SUM($AF$1125:$AF$1138)/SUM($AC$1125:$AC$1138)))</f>
        <v>0</v>
      </c>
      <c r="AI1138">
        <f>IF(OR(AG1138="",AH1138=""),"",IF((AG1138+AH1138)=0,0,100*ABS(AG1138-AH1138)/(AG1138+AH1138)))</f>
        <v>0</v>
      </c>
      <c r="AJ1138">
        <f>IF(COUNT($AI$1125:$AI$1138)&lt;14,"",AVERAGE($AI$1125:$AI$1138))</f>
        <v>0</v>
      </c>
      <c r="AK1138">
        <f>IF(COUNT($E$2:$E1138)&lt;20,"",AVERAGE($E$1119:$E$1138))</f>
        <v>0</v>
      </c>
      <c r="AL1138">
        <f>IF(COUNT($E$2:$E1138)&lt;20,"",STDEVP($E$1119:$E$1138))</f>
        <v>0</v>
      </c>
      <c r="AM1138">
        <f>IF(AK1138="","",AK1138+2*AL1138)</f>
        <v>0</v>
      </c>
      <c r="AN1138">
        <f>IF(AK1138="","",AK1138-2*AL1138)</f>
        <v>0</v>
      </c>
      <c r="AO1138">
        <f>IF(OR(AM1138="",AN1138="",AM1138=AN1138),"",($E1138-AN1138)/(AM1138-AN1138))</f>
        <v>0</v>
      </c>
      <c r="AP1138">
        <f>IF(OR(AM1138="",AK1138="",AK1138=0),"",(AM1138-AN1138)/AK1138)</f>
        <v>0</v>
      </c>
      <c r="AQ1138">
        <f>IF(COUNT($E$2:$E1138)&lt;20,"",MAX($C$1119:$C$1138))</f>
        <v>0</v>
      </c>
      <c r="AR1138">
        <f>IF(COUNT($E$2:$E1138)&lt;20,"",MIN($D$1119:$D$1138))</f>
        <v>0</v>
      </c>
      <c r="AS1138">
        <f>IF(OR(AQ1138="",AR1138=""),"",(AQ1138+AR1138)/2)</f>
        <v>0</v>
      </c>
      <c r="AT1138">
        <f>IF(COUNT($G$1119:$G$1138)&lt;20,"",STDEV($G$1119:$G$1138)*SQRT(252))</f>
        <v>0</v>
      </c>
      <c r="AU1138">
        <f>IF(COUNT($E$2:$E1138)&lt;9,"",(MAX($C$1130:$C$1138)+MIN($D$1130:$D$1138))/2)</f>
        <v>0</v>
      </c>
      <c r="AV1138">
        <f>IF(COUNT($E$2:$E1138)&lt;26,"",(MAX($C$1113:$C$1138)+MIN($D$1113:$D$1138))/2)</f>
        <v>0</v>
      </c>
      <c r="AW1138">
        <f>IF(OR(AU1138="",AV1138=""),"",(AU1138+AV1138)/2)</f>
        <v>0</v>
      </c>
      <c r="AX1138">
        <f>IF(COUNT($E$2:$E1138)&lt;52,"",(MAX($C$1087:$C$1138)+MIN($D$1087:$D$1138))/2)</f>
        <v>0</v>
      </c>
      <c r="AY1138">
        <f>IF(COUNT($E$2:$E1138)&lt;20,"",MAX($C$1039:$C$1138))</f>
        <v>0</v>
      </c>
      <c r="AZ1138">
        <f>IF(COUNT($E$2:$E1138)&lt;20,"",MIN($D$1039:$D$1138))</f>
        <v>0</v>
      </c>
      <c r="BA1138">
        <f>IF(COUNT($E$2:$E1138)&lt;20,"",SLOPE($E$1039:$E$1138,$F$1039:$F$1138))</f>
        <v>0</v>
      </c>
      <c r="BB1138">
        <f>IF(COUNT($E$2:$E1138)&lt;20,"",INTERCEPT($E$1039:$E$1138,$F$1039:$F$1138))</f>
        <v>0</v>
      </c>
      <c r="BC1138">
        <f>IF(OR(BA1138="",BB1138=""),"",BB1138+BA1138*F1138)</f>
        <v>0</v>
      </c>
      <c r="BD1138">
        <f>IF(COUNT($E$2:$E1138)&lt;20,"",STEYX($E$1039:$E$1138,$F$1039:$F$1138))</f>
        <v>0</v>
      </c>
      <c r="BE1138">
        <f>IF($E1138="","",IF(AND(COUNT($E$1139:$E$1142)&gt;=4,$C1138=MAX($C$1134:$C$1142)),$C1138,""))</f>
        <v>0</v>
      </c>
      <c r="BF1138">
        <f>IF($E1138="","",IF(AND(COUNT($E$1139:$E$1142)&gt;=4,$D1138=MIN($D$1134:$D$1142)),$D1138,""))</f>
        <v>0</v>
      </c>
      <c r="BG1138">
        <f>IF($A1138="","",$A1138-WEEKDAY($A1138,2)+1)</f>
        <v>0</v>
      </c>
      <c r="BH1138">
        <f>IF($A1138="","",IF($A1137="",1,IF(BG1138&lt;&gt;BG1137,1,0)))</f>
        <v>0</v>
      </c>
      <c r="BI1138">
        <f>IF($A1138="","",IF($A1139="",1,IF(BG1139&lt;&gt;BG1138,1,0)))</f>
        <v>0</v>
      </c>
      <c r="BJ1138">
        <f>IF($A1138="","",IF(BH1138=1,$B1138,BJ1137))</f>
        <v>0</v>
      </c>
      <c r="BK1138">
        <f>IF($A1138="","",IF(BH1138=1,$C1138,MAX($C1138,BK1137)))</f>
        <v>0</v>
      </c>
      <c r="BL1138">
        <f>IF($A1138="","",IF(BH1138=1,$D1138,MIN($D1138,BL1137)))</f>
        <v>0</v>
      </c>
      <c r="BM1138">
        <f>IF($A1138="","",IF(BI1138=1,F1138,""))</f>
        <v>0</v>
      </c>
      <c r="BN1138">
        <f>IF($A1138="","",DATE(YEAR($A1138),MONTH($A1138),1))</f>
        <v>0</v>
      </c>
      <c r="BO1138">
        <f>IF($A1138="","",IF($A1137="",1,IF(BN1138&lt;&gt;BN1137,1,0)))</f>
        <v>0</v>
      </c>
      <c r="BP1138">
        <f>IF($A1138="","",IF($A1139="",1,IF(BN1139&lt;&gt;BN1138,1,0)))</f>
        <v>0</v>
      </c>
      <c r="BQ1138">
        <f>IF($A1138="","",IF(BO1138=1,$B1138,BQ1137))</f>
        <v>0</v>
      </c>
      <c r="BR1138">
        <f>IF($A1138="","",IF(BO1138=1,$C1138,MAX($C1138,BR1137)))</f>
        <v>0</v>
      </c>
      <c r="BS1138">
        <f>IF($A1138="","",IF(BO1138=1,$D1138,MIN($D1138,BS1137)))</f>
        <v>0</v>
      </c>
      <c r="BT1138">
        <f>IF($A1138="","",IF(BP1138=1,F1138,""))</f>
        <v>0</v>
      </c>
    </row>
    <row r="1139" spans="1:72">
      <c r="A1139" s="27">
        <f>IF(Data!$A1139="","",Data!$A1139)</f>
        <v>0</v>
      </c>
      <c r="B1139">
        <f>IF(Data!$B1139="","",Data!$B1139)</f>
        <v>0</v>
      </c>
      <c r="C1139">
        <f>IF(Data!$C1139="","",Data!$C1139)</f>
        <v>0</v>
      </c>
      <c r="D1139">
        <f>IF(Data!$D1139="","",Data!$D1139)</f>
        <v>0</v>
      </c>
      <c r="E1139">
        <f>IF(Data!$E1139="","",Data!$E1139)</f>
        <v>0</v>
      </c>
      <c r="F1139">
        <f>IF($E1139="","",N(F1138)+1)</f>
        <v>0</v>
      </c>
      <c r="G1139">
        <f>IF(OR($E1139="",$E1138=""),"",LN($E1139/$E1138))</f>
        <v>0</v>
      </c>
      <c r="H1139">
        <f>IF($E1139="","",IF($E1138="",$E1139,$E1139*0.0952380952+H1138*0.9047619048))</f>
        <v>0</v>
      </c>
      <c r="I1139">
        <f>IF($E1139="","",IF($E1138="",$E1139,$E1139*0.0392156863+I1138*0.9607843137))</f>
        <v>0</v>
      </c>
      <c r="J1139">
        <f>IF($E1139="","",IF($E1138="",$E1139,$E1139*0.0198019802+J1138*0.9801980198))</f>
        <v>0</v>
      </c>
      <c r="K1139">
        <f>IF($E1139="","",IF($E1138="",$E1139,$E1139*0.0099502488+K1138*0.9900497512))</f>
        <v>0</v>
      </c>
      <c r="L1139">
        <f>IF(OR($E1139="",$E1138=""),"",MAX($E1139-$E1138,0))</f>
        <v>0</v>
      </c>
      <c r="M1139">
        <f>IF(OR($E1139="",$E1138=""),"",MAX($E1138-$E1139,0))</f>
        <v>0</v>
      </c>
      <c r="N1139">
        <f>IF(COUNT($E$2:$E1139)&lt;15,"",IF(AVERAGE($M$1126:$M$1139)=0,100,100-100/(1+AVERAGE($L$1126:$L$1139)/AVERAGE($M$1126:$M$1139))))</f>
        <v>0</v>
      </c>
      <c r="O1139">
        <f>IF($E1139="","",IF($E1138="",$E1139,$E1139*0.1538461538+O1138*0.8461538462))</f>
        <v>0</v>
      </c>
      <c r="P1139">
        <f>IF($E1139="","",IF($E1138="",$E1139,$E1139*0.0740740741+P1138*0.9259259259))</f>
        <v>0</v>
      </c>
      <c r="Q1139">
        <f>IF(OR(O1139="",P1139=""),"",O1139-P1139)</f>
        <v>0</v>
      </c>
      <c r="R1139">
        <f>IF(Q1139="","",IF(R1138="",Q1139,Q1139*0.2000000000+R1138*0.8000000000))</f>
        <v>0</v>
      </c>
      <c r="S1139">
        <f>IF(OR(Q1139="",R1139=""),"",Q1139-R1139)</f>
        <v>0</v>
      </c>
      <c r="T1139">
        <f>IF(COUNT($E$2:$E1139)&lt;14,"",MAX($C$1126:$C$1139))</f>
        <v>0</v>
      </c>
      <c r="U1139">
        <f>IF(COUNT($E$2:$E1139)&lt;14,"",MIN($D$1126:$D$1139))</f>
        <v>0</v>
      </c>
      <c r="V1139">
        <f>IF(OR(T1139="",U1139="",T1139=U1139),"",100*($E1139-U1139)/(T1139-U1139))</f>
        <v>0</v>
      </c>
      <c r="W1139">
        <f>IF(COUNT($V$1137:$V$1139)&lt;3,"",AVERAGE($V$1137:$V$1139))</f>
        <v>0</v>
      </c>
      <c r="X1139">
        <f>IF(COUNT($N$1126:$N$1139)&lt;14,"",MIN($N$1126:$N$1139))</f>
        <v>0</v>
      </c>
      <c r="Y1139">
        <f>IF(COUNT($N$1126:$N$1139)&lt;14,"",MAX($N$1126:$N$1139))</f>
        <v>0</v>
      </c>
      <c r="Z1139">
        <f>IF(OR(N1139="",X1139="",Y1139="",Y1139=X1139),"",100*(N1139-X1139)/(Y1139-X1139))</f>
        <v>0</v>
      </c>
      <c r="AA1139">
        <f>IF(COUNT($Z$1137:$Z$1139)&lt;3,"",AVERAGE($Z$1137:$Z$1139))</f>
        <v>0</v>
      </c>
      <c r="AB1139">
        <f>IF(COUNT($AA$1137:$AA$1139)&lt;3,"",AVERAGE($AA$1137:$AA$1139))</f>
        <v>0</v>
      </c>
      <c r="AC1139">
        <f>IF($E1139="","",MAX($C1139-$D1139,ABS($C1139-$E1138),ABS($D1139-$E1138)))</f>
        <v>0</v>
      </c>
      <c r="AD1139">
        <f>IF(COUNT($E$2:$E1139)&lt;15,"",AVERAGE($AC$1126:$AC$1139))</f>
        <v>0</v>
      </c>
      <c r="AE1139">
        <f>IF(OR($E1139="",$E1138=""),"",IF(AND(($C1139-$C1138)&gt;($D1138-$D1139),($C1139-$C1138)&gt;0),$C1139-$C1138,0))</f>
        <v>0</v>
      </c>
      <c r="AF1139">
        <f>IF(OR($E1139="",$E1138=""),"",IF(AND(($D1138-$D1139)&gt;($C1139-$C1138),($D1138-$D1139)&gt;0),$D1138-$D1139,0))</f>
        <v>0</v>
      </c>
      <c r="AG1139">
        <f>IF(COUNT($E$2:$E1139)&lt;15,"",IF(SUM($AC$1126:$AC$1139)=0,0,100*SUM($AE$1126:$AE$1139)/SUM($AC$1126:$AC$1139)))</f>
        <v>0</v>
      </c>
      <c r="AH1139">
        <f>IF(COUNT($E$2:$E1139)&lt;15,"",IF(SUM($AC$1126:$AC$1139)=0,0,100*SUM($AF$1126:$AF$1139)/SUM($AC$1126:$AC$1139)))</f>
        <v>0</v>
      </c>
      <c r="AI1139">
        <f>IF(OR(AG1139="",AH1139=""),"",IF((AG1139+AH1139)=0,0,100*ABS(AG1139-AH1139)/(AG1139+AH1139)))</f>
        <v>0</v>
      </c>
      <c r="AJ1139">
        <f>IF(COUNT($AI$1126:$AI$1139)&lt;14,"",AVERAGE($AI$1126:$AI$1139))</f>
        <v>0</v>
      </c>
      <c r="AK1139">
        <f>IF(COUNT($E$2:$E1139)&lt;20,"",AVERAGE($E$1120:$E$1139))</f>
        <v>0</v>
      </c>
      <c r="AL1139">
        <f>IF(COUNT($E$2:$E1139)&lt;20,"",STDEVP($E$1120:$E$1139))</f>
        <v>0</v>
      </c>
      <c r="AM1139">
        <f>IF(AK1139="","",AK1139+2*AL1139)</f>
        <v>0</v>
      </c>
      <c r="AN1139">
        <f>IF(AK1139="","",AK1139-2*AL1139)</f>
        <v>0</v>
      </c>
      <c r="AO1139">
        <f>IF(OR(AM1139="",AN1139="",AM1139=AN1139),"",($E1139-AN1139)/(AM1139-AN1139))</f>
        <v>0</v>
      </c>
      <c r="AP1139">
        <f>IF(OR(AM1139="",AK1139="",AK1139=0),"",(AM1139-AN1139)/AK1139)</f>
        <v>0</v>
      </c>
      <c r="AQ1139">
        <f>IF(COUNT($E$2:$E1139)&lt;20,"",MAX($C$1120:$C$1139))</f>
        <v>0</v>
      </c>
      <c r="AR1139">
        <f>IF(COUNT($E$2:$E1139)&lt;20,"",MIN($D$1120:$D$1139))</f>
        <v>0</v>
      </c>
      <c r="AS1139">
        <f>IF(OR(AQ1139="",AR1139=""),"",(AQ1139+AR1139)/2)</f>
        <v>0</v>
      </c>
      <c r="AT1139">
        <f>IF(COUNT($G$1120:$G$1139)&lt;20,"",STDEV($G$1120:$G$1139)*SQRT(252))</f>
        <v>0</v>
      </c>
      <c r="AU1139">
        <f>IF(COUNT($E$2:$E1139)&lt;9,"",(MAX($C$1131:$C$1139)+MIN($D$1131:$D$1139))/2)</f>
        <v>0</v>
      </c>
      <c r="AV1139">
        <f>IF(COUNT($E$2:$E1139)&lt;26,"",(MAX($C$1114:$C$1139)+MIN($D$1114:$D$1139))/2)</f>
        <v>0</v>
      </c>
      <c r="AW1139">
        <f>IF(OR(AU1139="",AV1139=""),"",(AU1139+AV1139)/2)</f>
        <v>0</v>
      </c>
      <c r="AX1139">
        <f>IF(COUNT($E$2:$E1139)&lt;52,"",(MAX($C$1088:$C$1139)+MIN($D$1088:$D$1139))/2)</f>
        <v>0</v>
      </c>
      <c r="AY1139">
        <f>IF(COUNT($E$2:$E1139)&lt;20,"",MAX($C$1040:$C$1139))</f>
        <v>0</v>
      </c>
      <c r="AZ1139">
        <f>IF(COUNT($E$2:$E1139)&lt;20,"",MIN($D$1040:$D$1139))</f>
        <v>0</v>
      </c>
      <c r="BA1139">
        <f>IF(COUNT($E$2:$E1139)&lt;20,"",SLOPE($E$1040:$E$1139,$F$1040:$F$1139))</f>
        <v>0</v>
      </c>
      <c r="BB1139">
        <f>IF(COUNT($E$2:$E1139)&lt;20,"",INTERCEPT($E$1040:$E$1139,$F$1040:$F$1139))</f>
        <v>0</v>
      </c>
      <c r="BC1139">
        <f>IF(OR(BA1139="",BB1139=""),"",BB1139+BA1139*F1139)</f>
        <v>0</v>
      </c>
      <c r="BD1139">
        <f>IF(COUNT($E$2:$E1139)&lt;20,"",STEYX($E$1040:$E$1139,$F$1040:$F$1139))</f>
        <v>0</v>
      </c>
      <c r="BE1139">
        <f>IF($E1139="","",IF(AND(COUNT($E$1140:$E$1143)&gt;=4,$C1139=MAX($C$1135:$C$1143)),$C1139,""))</f>
        <v>0</v>
      </c>
      <c r="BF1139">
        <f>IF($E1139="","",IF(AND(COUNT($E$1140:$E$1143)&gt;=4,$D1139=MIN($D$1135:$D$1143)),$D1139,""))</f>
        <v>0</v>
      </c>
      <c r="BG1139">
        <f>IF($A1139="","",$A1139-WEEKDAY($A1139,2)+1)</f>
        <v>0</v>
      </c>
      <c r="BH1139">
        <f>IF($A1139="","",IF($A1138="",1,IF(BG1139&lt;&gt;BG1138,1,0)))</f>
        <v>0</v>
      </c>
      <c r="BI1139">
        <f>IF($A1139="","",IF($A1140="",1,IF(BG1140&lt;&gt;BG1139,1,0)))</f>
        <v>0</v>
      </c>
      <c r="BJ1139">
        <f>IF($A1139="","",IF(BH1139=1,$B1139,BJ1138))</f>
        <v>0</v>
      </c>
      <c r="BK1139">
        <f>IF($A1139="","",IF(BH1139=1,$C1139,MAX($C1139,BK1138)))</f>
        <v>0</v>
      </c>
      <c r="BL1139">
        <f>IF($A1139="","",IF(BH1139=1,$D1139,MIN($D1139,BL1138)))</f>
        <v>0</v>
      </c>
      <c r="BM1139">
        <f>IF($A1139="","",IF(BI1139=1,F1139,""))</f>
        <v>0</v>
      </c>
      <c r="BN1139">
        <f>IF($A1139="","",DATE(YEAR($A1139),MONTH($A1139),1))</f>
        <v>0</v>
      </c>
      <c r="BO1139">
        <f>IF($A1139="","",IF($A1138="",1,IF(BN1139&lt;&gt;BN1138,1,0)))</f>
        <v>0</v>
      </c>
      <c r="BP1139">
        <f>IF($A1139="","",IF($A1140="",1,IF(BN1140&lt;&gt;BN1139,1,0)))</f>
        <v>0</v>
      </c>
      <c r="BQ1139">
        <f>IF($A1139="","",IF(BO1139=1,$B1139,BQ1138))</f>
        <v>0</v>
      </c>
      <c r="BR1139">
        <f>IF($A1139="","",IF(BO1139=1,$C1139,MAX($C1139,BR1138)))</f>
        <v>0</v>
      </c>
      <c r="BS1139">
        <f>IF($A1139="","",IF(BO1139=1,$D1139,MIN($D1139,BS1138)))</f>
        <v>0</v>
      </c>
      <c r="BT1139">
        <f>IF($A1139="","",IF(BP1139=1,F1139,""))</f>
        <v>0</v>
      </c>
    </row>
    <row r="1140" spans="1:72">
      <c r="A1140" s="27">
        <f>IF(Data!$A1140="","",Data!$A1140)</f>
        <v>0</v>
      </c>
      <c r="B1140">
        <f>IF(Data!$B1140="","",Data!$B1140)</f>
        <v>0</v>
      </c>
      <c r="C1140">
        <f>IF(Data!$C1140="","",Data!$C1140)</f>
        <v>0</v>
      </c>
      <c r="D1140">
        <f>IF(Data!$D1140="","",Data!$D1140)</f>
        <v>0</v>
      </c>
      <c r="E1140">
        <f>IF(Data!$E1140="","",Data!$E1140)</f>
        <v>0</v>
      </c>
      <c r="F1140">
        <f>IF($E1140="","",N(F1139)+1)</f>
        <v>0</v>
      </c>
      <c r="G1140">
        <f>IF(OR($E1140="",$E1139=""),"",LN($E1140/$E1139))</f>
        <v>0</v>
      </c>
      <c r="H1140">
        <f>IF($E1140="","",IF($E1139="",$E1140,$E1140*0.0952380952+H1139*0.9047619048))</f>
        <v>0</v>
      </c>
      <c r="I1140">
        <f>IF($E1140="","",IF($E1139="",$E1140,$E1140*0.0392156863+I1139*0.9607843137))</f>
        <v>0</v>
      </c>
      <c r="J1140">
        <f>IF($E1140="","",IF($E1139="",$E1140,$E1140*0.0198019802+J1139*0.9801980198))</f>
        <v>0</v>
      </c>
      <c r="K1140">
        <f>IF($E1140="","",IF($E1139="",$E1140,$E1140*0.0099502488+K1139*0.9900497512))</f>
        <v>0</v>
      </c>
      <c r="L1140">
        <f>IF(OR($E1140="",$E1139=""),"",MAX($E1140-$E1139,0))</f>
        <v>0</v>
      </c>
      <c r="M1140">
        <f>IF(OR($E1140="",$E1139=""),"",MAX($E1139-$E1140,0))</f>
        <v>0</v>
      </c>
      <c r="N1140">
        <f>IF(COUNT($E$2:$E1140)&lt;15,"",IF(AVERAGE($M$1127:$M$1140)=0,100,100-100/(1+AVERAGE($L$1127:$L$1140)/AVERAGE($M$1127:$M$1140))))</f>
        <v>0</v>
      </c>
      <c r="O1140">
        <f>IF($E1140="","",IF($E1139="",$E1140,$E1140*0.1538461538+O1139*0.8461538462))</f>
        <v>0</v>
      </c>
      <c r="P1140">
        <f>IF($E1140="","",IF($E1139="",$E1140,$E1140*0.0740740741+P1139*0.9259259259))</f>
        <v>0</v>
      </c>
      <c r="Q1140">
        <f>IF(OR(O1140="",P1140=""),"",O1140-P1140)</f>
        <v>0</v>
      </c>
      <c r="R1140">
        <f>IF(Q1140="","",IF(R1139="",Q1140,Q1140*0.2000000000+R1139*0.8000000000))</f>
        <v>0</v>
      </c>
      <c r="S1140">
        <f>IF(OR(Q1140="",R1140=""),"",Q1140-R1140)</f>
        <v>0</v>
      </c>
      <c r="T1140">
        <f>IF(COUNT($E$2:$E1140)&lt;14,"",MAX($C$1127:$C$1140))</f>
        <v>0</v>
      </c>
      <c r="U1140">
        <f>IF(COUNT($E$2:$E1140)&lt;14,"",MIN($D$1127:$D$1140))</f>
        <v>0</v>
      </c>
      <c r="V1140">
        <f>IF(OR(T1140="",U1140="",T1140=U1140),"",100*($E1140-U1140)/(T1140-U1140))</f>
        <v>0</v>
      </c>
      <c r="W1140">
        <f>IF(COUNT($V$1138:$V$1140)&lt;3,"",AVERAGE($V$1138:$V$1140))</f>
        <v>0</v>
      </c>
      <c r="X1140">
        <f>IF(COUNT($N$1127:$N$1140)&lt;14,"",MIN($N$1127:$N$1140))</f>
        <v>0</v>
      </c>
      <c r="Y1140">
        <f>IF(COUNT($N$1127:$N$1140)&lt;14,"",MAX($N$1127:$N$1140))</f>
        <v>0</v>
      </c>
      <c r="Z1140">
        <f>IF(OR(N1140="",X1140="",Y1140="",Y1140=X1140),"",100*(N1140-X1140)/(Y1140-X1140))</f>
        <v>0</v>
      </c>
      <c r="AA1140">
        <f>IF(COUNT($Z$1138:$Z$1140)&lt;3,"",AVERAGE($Z$1138:$Z$1140))</f>
        <v>0</v>
      </c>
      <c r="AB1140">
        <f>IF(COUNT($AA$1138:$AA$1140)&lt;3,"",AVERAGE($AA$1138:$AA$1140))</f>
        <v>0</v>
      </c>
      <c r="AC1140">
        <f>IF($E1140="","",MAX($C1140-$D1140,ABS($C1140-$E1139),ABS($D1140-$E1139)))</f>
        <v>0</v>
      </c>
      <c r="AD1140">
        <f>IF(COUNT($E$2:$E1140)&lt;15,"",AVERAGE($AC$1127:$AC$1140))</f>
        <v>0</v>
      </c>
      <c r="AE1140">
        <f>IF(OR($E1140="",$E1139=""),"",IF(AND(($C1140-$C1139)&gt;($D1139-$D1140),($C1140-$C1139)&gt;0),$C1140-$C1139,0))</f>
        <v>0</v>
      </c>
      <c r="AF1140">
        <f>IF(OR($E1140="",$E1139=""),"",IF(AND(($D1139-$D1140)&gt;($C1140-$C1139),($D1139-$D1140)&gt;0),$D1139-$D1140,0))</f>
        <v>0</v>
      </c>
      <c r="AG1140">
        <f>IF(COUNT($E$2:$E1140)&lt;15,"",IF(SUM($AC$1127:$AC$1140)=0,0,100*SUM($AE$1127:$AE$1140)/SUM($AC$1127:$AC$1140)))</f>
        <v>0</v>
      </c>
      <c r="AH1140">
        <f>IF(COUNT($E$2:$E1140)&lt;15,"",IF(SUM($AC$1127:$AC$1140)=0,0,100*SUM($AF$1127:$AF$1140)/SUM($AC$1127:$AC$1140)))</f>
        <v>0</v>
      </c>
      <c r="AI1140">
        <f>IF(OR(AG1140="",AH1140=""),"",IF((AG1140+AH1140)=0,0,100*ABS(AG1140-AH1140)/(AG1140+AH1140)))</f>
        <v>0</v>
      </c>
      <c r="AJ1140">
        <f>IF(COUNT($AI$1127:$AI$1140)&lt;14,"",AVERAGE($AI$1127:$AI$1140))</f>
        <v>0</v>
      </c>
      <c r="AK1140">
        <f>IF(COUNT($E$2:$E1140)&lt;20,"",AVERAGE($E$1121:$E$1140))</f>
        <v>0</v>
      </c>
      <c r="AL1140">
        <f>IF(COUNT($E$2:$E1140)&lt;20,"",STDEVP($E$1121:$E$1140))</f>
        <v>0</v>
      </c>
      <c r="AM1140">
        <f>IF(AK1140="","",AK1140+2*AL1140)</f>
        <v>0</v>
      </c>
      <c r="AN1140">
        <f>IF(AK1140="","",AK1140-2*AL1140)</f>
        <v>0</v>
      </c>
      <c r="AO1140">
        <f>IF(OR(AM1140="",AN1140="",AM1140=AN1140),"",($E1140-AN1140)/(AM1140-AN1140))</f>
        <v>0</v>
      </c>
      <c r="AP1140">
        <f>IF(OR(AM1140="",AK1140="",AK1140=0),"",(AM1140-AN1140)/AK1140)</f>
        <v>0</v>
      </c>
      <c r="AQ1140">
        <f>IF(COUNT($E$2:$E1140)&lt;20,"",MAX($C$1121:$C$1140))</f>
        <v>0</v>
      </c>
      <c r="AR1140">
        <f>IF(COUNT($E$2:$E1140)&lt;20,"",MIN($D$1121:$D$1140))</f>
        <v>0</v>
      </c>
      <c r="AS1140">
        <f>IF(OR(AQ1140="",AR1140=""),"",(AQ1140+AR1140)/2)</f>
        <v>0</v>
      </c>
      <c r="AT1140">
        <f>IF(COUNT($G$1121:$G$1140)&lt;20,"",STDEV($G$1121:$G$1140)*SQRT(252))</f>
        <v>0</v>
      </c>
      <c r="AU1140">
        <f>IF(COUNT($E$2:$E1140)&lt;9,"",(MAX($C$1132:$C$1140)+MIN($D$1132:$D$1140))/2)</f>
        <v>0</v>
      </c>
      <c r="AV1140">
        <f>IF(COUNT($E$2:$E1140)&lt;26,"",(MAX($C$1115:$C$1140)+MIN($D$1115:$D$1140))/2)</f>
        <v>0</v>
      </c>
      <c r="AW1140">
        <f>IF(OR(AU1140="",AV1140=""),"",(AU1140+AV1140)/2)</f>
        <v>0</v>
      </c>
      <c r="AX1140">
        <f>IF(COUNT($E$2:$E1140)&lt;52,"",(MAX($C$1089:$C$1140)+MIN($D$1089:$D$1140))/2)</f>
        <v>0</v>
      </c>
      <c r="AY1140">
        <f>IF(COUNT($E$2:$E1140)&lt;20,"",MAX($C$1041:$C$1140))</f>
        <v>0</v>
      </c>
      <c r="AZ1140">
        <f>IF(COUNT($E$2:$E1140)&lt;20,"",MIN($D$1041:$D$1140))</f>
        <v>0</v>
      </c>
      <c r="BA1140">
        <f>IF(COUNT($E$2:$E1140)&lt;20,"",SLOPE($E$1041:$E$1140,$F$1041:$F$1140))</f>
        <v>0</v>
      </c>
      <c r="BB1140">
        <f>IF(COUNT($E$2:$E1140)&lt;20,"",INTERCEPT($E$1041:$E$1140,$F$1041:$F$1140))</f>
        <v>0</v>
      </c>
      <c r="BC1140">
        <f>IF(OR(BA1140="",BB1140=""),"",BB1140+BA1140*F1140)</f>
        <v>0</v>
      </c>
      <c r="BD1140">
        <f>IF(COUNT($E$2:$E1140)&lt;20,"",STEYX($E$1041:$E$1140,$F$1041:$F$1140))</f>
        <v>0</v>
      </c>
      <c r="BE1140">
        <f>IF($E1140="","",IF(AND(COUNT($E$1141:$E$1144)&gt;=4,$C1140=MAX($C$1136:$C$1144)),$C1140,""))</f>
        <v>0</v>
      </c>
      <c r="BF1140">
        <f>IF($E1140="","",IF(AND(COUNT($E$1141:$E$1144)&gt;=4,$D1140=MIN($D$1136:$D$1144)),$D1140,""))</f>
        <v>0</v>
      </c>
      <c r="BG1140">
        <f>IF($A1140="","",$A1140-WEEKDAY($A1140,2)+1)</f>
        <v>0</v>
      </c>
      <c r="BH1140">
        <f>IF($A1140="","",IF($A1139="",1,IF(BG1140&lt;&gt;BG1139,1,0)))</f>
        <v>0</v>
      </c>
      <c r="BI1140">
        <f>IF($A1140="","",IF($A1141="",1,IF(BG1141&lt;&gt;BG1140,1,0)))</f>
        <v>0</v>
      </c>
      <c r="BJ1140">
        <f>IF($A1140="","",IF(BH1140=1,$B1140,BJ1139))</f>
        <v>0</v>
      </c>
      <c r="BK1140">
        <f>IF($A1140="","",IF(BH1140=1,$C1140,MAX($C1140,BK1139)))</f>
        <v>0</v>
      </c>
      <c r="BL1140">
        <f>IF($A1140="","",IF(BH1140=1,$D1140,MIN($D1140,BL1139)))</f>
        <v>0</v>
      </c>
      <c r="BM1140">
        <f>IF($A1140="","",IF(BI1140=1,F1140,""))</f>
        <v>0</v>
      </c>
      <c r="BN1140">
        <f>IF($A1140="","",DATE(YEAR($A1140),MONTH($A1140),1))</f>
        <v>0</v>
      </c>
      <c r="BO1140">
        <f>IF($A1140="","",IF($A1139="",1,IF(BN1140&lt;&gt;BN1139,1,0)))</f>
        <v>0</v>
      </c>
      <c r="BP1140">
        <f>IF($A1140="","",IF($A1141="",1,IF(BN1141&lt;&gt;BN1140,1,0)))</f>
        <v>0</v>
      </c>
      <c r="BQ1140">
        <f>IF($A1140="","",IF(BO1140=1,$B1140,BQ1139))</f>
        <v>0</v>
      </c>
      <c r="BR1140">
        <f>IF($A1140="","",IF(BO1140=1,$C1140,MAX($C1140,BR1139)))</f>
        <v>0</v>
      </c>
      <c r="BS1140">
        <f>IF($A1140="","",IF(BO1140=1,$D1140,MIN($D1140,BS1139)))</f>
        <v>0</v>
      </c>
      <c r="BT1140">
        <f>IF($A1140="","",IF(BP1140=1,F1140,""))</f>
        <v>0</v>
      </c>
    </row>
    <row r="1141" spans="1:72">
      <c r="A1141" s="27">
        <f>IF(Data!$A1141="","",Data!$A1141)</f>
        <v>0</v>
      </c>
      <c r="B1141">
        <f>IF(Data!$B1141="","",Data!$B1141)</f>
        <v>0</v>
      </c>
      <c r="C1141">
        <f>IF(Data!$C1141="","",Data!$C1141)</f>
        <v>0</v>
      </c>
      <c r="D1141">
        <f>IF(Data!$D1141="","",Data!$D1141)</f>
        <v>0</v>
      </c>
      <c r="E1141">
        <f>IF(Data!$E1141="","",Data!$E1141)</f>
        <v>0</v>
      </c>
      <c r="F1141">
        <f>IF($E1141="","",N(F1140)+1)</f>
        <v>0</v>
      </c>
      <c r="G1141">
        <f>IF(OR($E1141="",$E1140=""),"",LN($E1141/$E1140))</f>
        <v>0</v>
      </c>
      <c r="H1141">
        <f>IF($E1141="","",IF($E1140="",$E1141,$E1141*0.0952380952+H1140*0.9047619048))</f>
        <v>0</v>
      </c>
      <c r="I1141">
        <f>IF($E1141="","",IF($E1140="",$E1141,$E1141*0.0392156863+I1140*0.9607843137))</f>
        <v>0</v>
      </c>
      <c r="J1141">
        <f>IF($E1141="","",IF($E1140="",$E1141,$E1141*0.0198019802+J1140*0.9801980198))</f>
        <v>0</v>
      </c>
      <c r="K1141">
        <f>IF($E1141="","",IF($E1140="",$E1141,$E1141*0.0099502488+K1140*0.9900497512))</f>
        <v>0</v>
      </c>
      <c r="L1141">
        <f>IF(OR($E1141="",$E1140=""),"",MAX($E1141-$E1140,0))</f>
        <v>0</v>
      </c>
      <c r="M1141">
        <f>IF(OR($E1141="",$E1140=""),"",MAX($E1140-$E1141,0))</f>
        <v>0</v>
      </c>
      <c r="N1141">
        <f>IF(COUNT($E$2:$E1141)&lt;15,"",IF(AVERAGE($M$1128:$M$1141)=0,100,100-100/(1+AVERAGE($L$1128:$L$1141)/AVERAGE($M$1128:$M$1141))))</f>
        <v>0</v>
      </c>
      <c r="O1141">
        <f>IF($E1141="","",IF($E1140="",$E1141,$E1141*0.1538461538+O1140*0.8461538462))</f>
        <v>0</v>
      </c>
      <c r="P1141">
        <f>IF($E1141="","",IF($E1140="",$E1141,$E1141*0.0740740741+P1140*0.9259259259))</f>
        <v>0</v>
      </c>
      <c r="Q1141">
        <f>IF(OR(O1141="",P1141=""),"",O1141-P1141)</f>
        <v>0</v>
      </c>
      <c r="R1141">
        <f>IF(Q1141="","",IF(R1140="",Q1141,Q1141*0.2000000000+R1140*0.8000000000))</f>
        <v>0</v>
      </c>
      <c r="S1141">
        <f>IF(OR(Q1141="",R1141=""),"",Q1141-R1141)</f>
        <v>0</v>
      </c>
      <c r="T1141">
        <f>IF(COUNT($E$2:$E1141)&lt;14,"",MAX($C$1128:$C$1141))</f>
        <v>0</v>
      </c>
      <c r="U1141">
        <f>IF(COUNT($E$2:$E1141)&lt;14,"",MIN($D$1128:$D$1141))</f>
        <v>0</v>
      </c>
      <c r="V1141">
        <f>IF(OR(T1141="",U1141="",T1141=U1141),"",100*($E1141-U1141)/(T1141-U1141))</f>
        <v>0</v>
      </c>
      <c r="W1141">
        <f>IF(COUNT($V$1139:$V$1141)&lt;3,"",AVERAGE($V$1139:$V$1141))</f>
        <v>0</v>
      </c>
      <c r="X1141">
        <f>IF(COUNT($N$1128:$N$1141)&lt;14,"",MIN($N$1128:$N$1141))</f>
        <v>0</v>
      </c>
      <c r="Y1141">
        <f>IF(COUNT($N$1128:$N$1141)&lt;14,"",MAX($N$1128:$N$1141))</f>
        <v>0</v>
      </c>
      <c r="Z1141">
        <f>IF(OR(N1141="",X1141="",Y1141="",Y1141=X1141),"",100*(N1141-X1141)/(Y1141-X1141))</f>
        <v>0</v>
      </c>
      <c r="AA1141">
        <f>IF(COUNT($Z$1139:$Z$1141)&lt;3,"",AVERAGE($Z$1139:$Z$1141))</f>
        <v>0</v>
      </c>
      <c r="AB1141">
        <f>IF(COUNT($AA$1139:$AA$1141)&lt;3,"",AVERAGE($AA$1139:$AA$1141))</f>
        <v>0</v>
      </c>
      <c r="AC1141">
        <f>IF($E1141="","",MAX($C1141-$D1141,ABS($C1141-$E1140),ABS($D1141-$E1140)))</f>
        <v>0</v>
      </c>
      <c r="AD1141">
        <f>IF(COUNT($E$2:$E1141)&lt;15,"",AVERAGE($AC$1128:$AC$1141))</f>
        <v>0</v>
      </c>
      <c r="AE1141">
        <f>IF(OR($E1141="",$E1140=""),"",IF(AND(($C1141-$C1140)&gt;($D1140-$D1141),($C1141-$C1140)&gt;0),$C1141-$C1140,0))</f>
        <v>0</v>
      </c>
      <c r="AF1141">
        <f>IF(OR($E1141="",$E1140=""),"",IF(AND(($D1140-$D1141)&gt;($C1141-$C1140),($D1140-$D1141)&gt;0),$D1140-$D1141,0))</f>
        <v>0</v>
      </c>
      <c r="AG1141">
        <f>IF(COUNT($E$2:$E1141)&lt;15,"",IF(SUM($AC$1128:$AC$1141)=0,0,100*SUM($AE$1128:$AE$1141)/SUM($AC$1128:$AC$1141)))</f>
        <v>0</v>
      </c>
      <c r="AH1141">
        <f>IF(COUNT($E$2:$E1141)&lt;15,"",IF(SUM($AC$1128:$AC$1141)=0,0,100*SUM($AF$1128:$AF$1141)/SUM($AC$1128:$AC$1141)))</f>
        <v>0</v>
      </c>
      <c r="AI1141">
        <f>IF(OR(AG1141="",AH1141=""),"",IF((AG1141+AH1141)=0,0,100*ABS(AG1141-AH1141)/(AG1141+AH1141)))</f>
        <v>0</v>
      </c>
      <c r="AJ1141">
        <f>IF(COUNT($AI$1128:$AI$1141)&lt;14,"",AVERAGE($AI$1128:$AI$1141))</f>
        <v>0</v>
      </c>
      <c r="AK1141">
        <f>IF(COUNT($E$2:$E1141)&lt;20,"",AVERAGE($E$1122:$E$1141))</f>
        <v>0</v>
      </c>
      <c r="AL1141">
        <f>IF(COUNT($E$2:$E1141)&lt;20,"",STDEVP($E$1122:$E$1141))</f>
        <v>0</v>
      </c>
      <c r="AM1141">
        <f>IF(AK1141="","",AK1141+2*AL1141)</f>
        <v>0</v>
      </c>
      <c r="AN1141">
        <f>IF(AK1141="","",AK1141-2*AL1141)</f>
        <v>0</v>
      </c>
      <c r="AO1141">
        <f>IF(OR(AM1141="",AN1141="",AM1141=AN1141),"",($E1141-AN1141)/(AM1141-AN1141))</f>
        <v>0</v>
      </c>
      <c r="AP1141">
        <f>IF(OR(AM1141="",AK1141="",AK1141=0),"",(AM1141-AN1141)/AK1141)</f>
        <v>0</v>
      </c>
      <c r="AQ1141">
        <f>IF(COUNT($E$2:$E1141)&lt;20,"",MAX($C$1122:$C$1141))</f>
        <v>0</v>
      </c>
      <c r="AR1141">
        <f>IF(COUNT($E$2:$E1141)&lt;20,"",MIN($D$1122:$D$1141))</f>
        <v>0</v>
      </c>
      <c r="AS1141">
        <f>IF(OR(AQ1141="",AR1141=""),"",(AQ1141+AR1141)/2)</f>
        <v>0</v>
      </c>
      <c r="AT1141">
        <f>IF(COUNT($G$1122:$G$1141)&lt;20,"",STDEV($G$1122:$G$1141)*SQRT(252))</f>
        <v>0</v>
      </c>
      <c r="AU1141">
        <f>IF(COUNT($E$2:$E1141)&lt;9,"",(MAX($C$1133:$C$1141)+MIN($D$1133:$D$1141))/2)</f>
        <v>0</v>
      </c>
      <c r="AV1141">
        <f>IF(COUNT($E$2:$E1141)&lt;26,"",(MAX($C$1116:$C$1141)+MIN($D$1116:$D$1141))/2)</f>
        <v>0</v>
      </c>
      <c r="AW1141">
        <f>IF(OR(AU1141="",AV1141=""),"",(AU1141+AV1141)/2)</f>
        <v>0</v>
      </c>
      <c r="AX1141">
        <f>IF(COUNT($E$2:$E1141)&lt;52,"",(MAX($C$1090:$C$1141)+MIN($D$1090:$D$1141))/2)</f>
        <v>0</v>
      </c>
      <c r="AY1141">
        <f>IF(COUNT($E$2:$E1141)&lt;20,"",MAX($C$1042:$C$1141))</f>
        <v>0</v>
      </c>
      <c r="AZ1141">
        <f>IF(COUNT($E$2:$E1141)&lt;20,"",MIN($D$1042:$D$1141))</f>
        <v>0</v>
      </c>
      <c r="BA1141">
        <f>IF(COUNT($E$2:$E1141)&lt;20,"",SLOPE($E$1042:$E$1141,$F$1042:$F$1141))</f>
        <v>0</v>
      </c>
      <c r="BB1141">
        <f>IF(COUNT($E$2:$E1141)&lt;20,"",INTERCEPT($E$1042:$E$1141,$F$1042:$F$1141))</f>
        <v>0</v>
      </c>
      <c r="BC1141">
        <f>IF(OR(BA1141="",BB1141=""),"",BB1141+BA1141*F1141)</f>
        <v>0</v>
      </c>
      <c r="BD1141">
        <f>IF(COUNT($E$2:$E1141)&lt;20,"",STEYX($E$1042:$E$1141,$F$1042:$F$1141))</f>
        <v>0</v>
      </c>
      <c r="BE1141">
        <f>IF($E1141="","",IF(AND(COUNT($E$1142:$E$1145)&gt;=4,$C1141=MAX($C$1137:$C$1145)),$C1141,""))</f>
        <v>0</v>
      </c>
      <c r="BF1141">
        <f>IF($E1141="","",IF(AND(COUNT($E$1142:$E$1145)&gt;=4,$D1141=MIN($D$1137:$D$1145)),$D1141,""))</f>
        <v>0</v>
      </c>
      <c r="BG1141">
        <f>IF($A1141="","",$A1141-WEEKDAY($A1141,2)+1)</f>
        <v>0</v>
      </c>
      <c r="BH1141">
        <f>IF($A1141="","",IF($A1140="",1,IF(BG1141&lt;&gt;BG1140,1,0)))</f>
        <v>0</v>
      </c>
      <c r="BI1141">
        <f>IF($A1141="","",IF($A1142="",1,IF(BG1142&lt;&gt;BG1141,1,0)))</f>
        <v>0</v>
      </c>
      <c r="BJ1141">
        <f>IF($A1141="","",IF(BH1141=1,$B1141,BJ1140))</f>
        <v>0</v>
      </c>
      <c r="BK1141">
        <f>IF($A1141="","",IF(BH1141=1,$C1141,MAX($C1141,BK1140)))</f>
        <v>0</v>
      </c>
      <c r="BL1141">
        <f>IF($A1141="","",IF(BH1141=1,$D1141,MIN($D1141,BL1140)))</f>
        <v>0</v>
      </c>
      <c r="BM1141">
        <f>IF($A1141="","",IF(BI1141=1,F1141,""))</f>
        <v>0</v>
      </c>
      <c r="BN1141">
        <f>IF($A1141="","",DATE(YEAR($A1141),MONTH($A1141),1))</f>
        <v>0</v>
      </c>
      <c r="BO1141">
        <f>IF($A1141="","",IF($A1140="",1,IF(BN1141&lt;&gt;BN1140,1,0)))</f>
        <v>0</v>
      </c>
      <c r="BP1141">
        <f>IF($A1141="","",IF($A1142="",1,IF(BN1142&lt;&gt;BN1141,1,0)))</f>
        <v>0</v>
      </c>
      <c r="BQ1141">
        <f>IF($A1141="","",IF(BO1141=1,$B1141,BQ1140))</f>
        <v>0</v>
      </c>
      <c r="BR1141">
        <f>IF($A1141="","",IF(BO1141=1,$C1141,MAX($C1141,BR1140)))</f>
        <v>0</v>
      </c>
      <c r="BS1141">
        <f>IF($A1141="","",IF(BO1141=1,$D1141,MIN($D1141,BS1140)))</f>
        <v>0</v>
      </c>
      <c r="BT1141">
        <f>IF($A1141="","",IF(BP1141=1,F1141,""))</f>
        <v>0</v>
      </c>
    </row>
    <row r="1142" spans="1:72">
      <c r="A1142" s="27">
        <f>IF(Data!$A1142="","",Data!$A1142)</f>
        <v>0</v>
      </c>
      <c r="B1142">
        <f>IF(Data!$B1142="","",Data!$B1142)</f>
        <v>0</v>
      </c>
      <c r="C1142">
        <f>IF(Data!$C1142="","",Data!$C1142)</f>
        <v>0</v>
      </c>
      <c r="D1142">
        <f>IF(Data!$D1142="","",Data!$D1142)</f>
        <v>0</v>
      </c>
      <c r="E1142">
        <f>IF(Data!$E1142="","",Data!$E1142)</f>
        <v>0</v>
      </c>
      <c r="F1142">
        <f>IF($E1142="","",N(F1141)+1)</f>
        <v>0</v>
      </c>
      <c r="G1142">
        <f>IF(OR($E1142="",$E1141=""),"",LN($E1142/$E1141))</f>
        <v>0</v>
      </c>
      <c r="H1142">
        <f>IF($E1142="","",IF($E1141="",$E1142,$E1142*0.0952380952+H1141*0.9047619048))</f>
        <v>0</v>
      </c>
      <c r="I1142">
        <f>IF($E1142="","",IF($E1141="",$E1142,$E1142*0.0392156863+I1141*0.9607843137))</f>
        <v>0</v>
      </c>
      <c r="J1142">
        <f>IF($E1142="","",IF($E1141="",$E1142,$E1142*0.0198019802+J1141*0.9801980198))</f>
        <v>0</v>
      </c>
      <c r="K1142">
        <f>IF($E1142="","",IF($E1141="",$E1142,$E1142*0.0099502488+K1141*0.9900497512))</f>
        <v>0</v>
      </c>
      <c r="L1142">
        <f>IF(OR($E1142="",$E1141=""),"",MAX($E1142-$E1141,0))</f>
        <v>0</v>
      </c>
      <c r="M1142">
        <f>IF(OR($E1142="",$E1141=""),"",MAX($E1141-$E1142,0))</f>
        <v>0</v>
      </c>
      <c r="N1142">
        <f>IF(COUNT($E$2:$E1142)&lt;15,"",IF(AVERAGE($M$1129:$M$1142)=0,100,100-100/(1+AVERAGE($L$1129:$L$1142)/AVERAGE($M$1129:$M$1142))))</f>
        <v>0</v>
      </c>
      <c r="O1142">
        <f>IF($E1142="","",IF($E1141="",$E1142,$E1142*0.1538461538+O1141*0.8461538462))</f>
        <v>0</v>
      </c>
      <c r="P1142">
        <f>IF($E1142="","",IF($E1141="",$E1142,$E1142*0.0740740741+P1141*0.9259259259))</f>
        <v>0</v>
      </c>
      <c r="Q1142">
        <f>IF(OR(O1142="",P1142=""),"",O1142-P1142)</f>
        <v>0</v>
      </c>
      <c r="R1142">
        <f>IF(Q1142="","",IF(R1141="",Q1142,Q1142*0.2000000000+R1141*0.8000000000))</f>
        <v>0</v>
      </c>
      <c r="S1142">
        <f>IF(OR(Q1142="",R1142=""),"",Q1142-R1142)</f>
        <v>0</v>
      </c>
      <c r="T1142">
        <f>IF(COUNT($E$2:$E1142)&lt;14,"",MAX($C$1129:$C$1142))</f>
        <v>0</v>
      </c>
      <c r="U1142">
        <f>IF(COUNT($E$2:$E1142)&lt;14,"",MIN($D$1129:$D$1142))</f>
        <v>0</v>
      </c>
      <c r="V1142">
        <f>IF(OR(T1142="",U1142="",T1142=U1142),"",100*($E1142-U1142)/(T1142-U1142))</f>
        <v>0</v>
      </c>
      <c r="W1142">
        <f>IF(COUNT($V$1140:$V$1142)&lt;3,"",AVERAGE($V$1140:$V$1142))</f>
        <v>0</v>
      </c>
      <c r="X1142">
        <f>IF(COUNT($N$1129:$N$1142)&lt;14,"",MIN($N$1129:$N$1142))</f>
        <v>0</v>
      </c>
      <c r="Y1142">
        <f>IF(COUNT($N$1129:$N$1142)&lt;14,"",MAX($N$1129:$N$1142))</f>
        <v>0</v>
      </c>
      <c r="Z1142">
        <f>IF(OR(N1142="",X1142="",Y1142="",Y1142=X1142),"",100*(N1142-X1142)/(Y1142-X1142))</f>
        <v>0</v>
      </c>
      <c r="AA1142">
        <f>IF(COUNT($Z$1140:$Z$1142)&lt;3,"",AVERAGE($Z$1140:$Z$1142))</f>
        <v>0</v>
      </c>
      <c r="AB1142">
        <f>IF(COUNT($AA$1140:$AA$1142)&lt;3,"",AVERAGE($AA$1140:$AA$1142))</f>
        <v>0</v>
      </c>
      <c r="AC1142">
        <f>IF($E1142="","",MAX($C1142-$D1142,ABS($C1142-$E1141),ABS($D1142-$E1141)))</f>
        <v>0</v>
      </c>
      <c r="AD1142">
        <f>IF(COUNT($E$2:$E1142)&lt;15,"",AVERAGE($AC$1129:$AC$1142))</f>
        <v>0</v>
      </c>
      <c r="AE1142">
        <f>IF(OR($E1142="",$E1141=""),"",IF(AND(($C1142-$C1141)&gt;($D1141-$D1142),($C1142-$C1141)&gt;0),$C1142-$C1141,0))</f>
        <v>0</v>
      </c>
      <c r="AF1142">
        <f>IF(OR($E1142="",$E1141=""),"",IF(AND(($D1141-$D1142)&gt;($C1142-$C1141),($D1141-$D1142)&gt;0),$D1141-$D1142,0))</f>
        <v>0</v>
      </c>
      <c r="AG1142">
        <f>IF(COUNT($E$2:$E1142)&lt;15,"",IF(SUM($AC$1129:$AC$1142)=0,0,100*SUM($AE$1129:$AE$1142)/SUM($AC$1129:$AC$1142)))</f>
        <v>0</v>
      </c>
      <c r="AH1142">
        <f>IF(COUNT($E$2:$E1142)&lt;15,"",IF(SUM($AC$1129:$AC$1142)=0,0,100*SUM($AF$1129:$AF$1142)/SUM($AC$1129:$AC$1142)))</f>
        <v>0</v>
      </c>
      <c r="AI1142">
        <f>IF(OR(AG1142="",AH1142=""),"",IF((AG1142+AH1142)=0,0,100*ABS(AG1142-AH1142)/(AG1142+AH1142)))</f>
        <v>0</v>
      </c>
      <c r="AJ1142">
        <f>IF(COUNT($AI$1129:$AI$1142)&lt;14,"",AVERAGE($AI$1129:$AI$1142))</f>
        <v>0</v>
      </c>
      <c r="AK1142">
        <f>IF(COUNT($E$2:$E1142)&lt;20,"",AVERAGE($E$1123:$E$1142))</f>
        <v>0</v>
      </c>
      <c r="AL1142">
        <f>IF(COUNT($E$2:$E1142)&lt;20,"",STDEVP($E$1123:$E$1142))</f>
        <v>0</v>
      </c>
      <c r="AM1142">
        <f>IF(AK1142="","",AK1142+2*AL1142)</f>
        <v>0</v>
      </c>
      <c r="AN1142">
        <f>IF(AK1142="","",AK1142-2*AL1142)</f>
        <v>0</v>
      </c>
      <c r="AO1142">
        <f>IF(OR(AM1142="",AN1142="",AM1142=AN1142),"",($E1142-AN1142)/(AM1142-AN1142))</f>
        <v>0</v>
      </c>
      <c r="AP1142">
        <f>IF(OR(AM1142="",AK1142="",AK1142=0),"",(AM1142-AN1142)/AK1142)</f>
        <v>0</v>
      </c>
      <c r="AQ1142">
        <f>IF(COUNT($E$2:$E1142)&lt;20,"",MAX($C$1123:$C$1142))</f>
        <v>0</v>
      </c>
      <c r="AR1142">
        <f>IF(COUNT($E$2:$E1142)&lt;20,"",MIN($D$1123:$D$1142))</f>
        <v>0</v>
      </c>
      <c r="AS1142">
        <f>IF(OR(AQ1142="",AR1142=""),"",(AQ1142+AR1142)/2)</f>
        <v>0</v>
      </c>
      <c r="AT1142">
        <f>IF(COUNT($G$1123:$G$1142)&lt;20,"",STDEV($G$1123:$G$1142)*SQRT(252))</f>
        <v>0</v>
      </c>
      <c r="AU1142">
        <f>IF(COUNT($E$2:$E1142)&lt;9,"",(MAX($C$1134:$C$1142)+MIN($D$1134:$D$1142))/2)</f>
        <v>0</v>
      </c>
      <c r="AV1142">
        <f>IF(COUNT($E$2:$E1142)&lt;26,"",(MAX($C$1117:$C$1142)+MIN($D$1117:$D$1142))/2)</f>
        <v>0</v>
      </c>
      <c r="AW1142">
        <f>IF(OR(AU1142="",AV1142=""),"",(AU1142+AV1142)/2)</f>
        <v>0</v>
      </c>
      <c r="AX1142">
        <f>IF(COUNT($E$2:$E1142)&lt;52,"",(MAX($C$1091:$C$1142)+MIN($D$1091:$D$1142))/2)</f>
        <v>0</v>
      </c>
      <c r="AY1142">
        <f>IF(COUNT($E$2:$E1142)&lt;20,"",MAX($C$1043:$C$1142))</f>
        <v>0</v>
      </c>
      <c r="AZ1142">
        <f>IF(COUNT($E$2:$E1142)&lt;20,"",MIN($D$1043:$D$1142))</f>
        <v>0</v>
      </c>
      <c r="BA1142">
        <f>IF(COUNT($E$2:$E1142)&lt;20,"",SLOPE($E$1043:$E$1142,$F$1043:$F$1142))</f>
        <v>0</v>
      </c>
      <c r="BB1142">
        <f>IF(COUNT($E$2:$E1142)&lt;20,"",INTERCEPT($E$1043:$E$1142,$F$1043:$F$1142))</f>
        <v>0</v>
      </c>
      <c r="BC1142">
        <f>IF(OR(BA1142="",BB1142=""),"",BB1142+BA1142*F1142)</f>
        <v>0</v>
      </c>
      <c r="BD1142">
        <f>IF(COUNT($E$2:$E1142)&lt;20,"",STEYX($E$1043:$E$1142,$F$1043:$F$1142))</f>
        <v>0</v>
      </c>
      <c r="BE1142">
        <f>IF($E1142="","",IF(AND(COUNT($E$1143:$E$1146)&gt;=4,$C1142=MAX($C$1138:$C$1146)),$C1142,""))</f>
        <v>0</v>
      </c>
      <c r="BF1142">
        <f>IF($E1142="","",IF(AND(COUNT($E$1143:$E$1146)&gt;=4,$D1142=MIN($D$1138:$D$1146)),$D1142,""))</f>
        <v>0</v>
      </c>
      <c r="BG1142">
        <f>IF($A1142="","",$A1142-WEEKDAY($A1142,2)+1)</f>
        <v>0</v>
      </c>
      <c r="BH1142">
        <f>IF($A1142="","",IF($A1141="",1,IF(BG1142&lt;&gt;BG1141,1,0)))</f>
        <v>0</v>
      </c>
      <c r="BI1142">
        <f>IF($A1142="","",IF($A1143="",1,IF(BG1143&lt;&gt;BG1142,1,0)))</f>
        <v>0</v>
      </c>
      <c r="BJ1142">
        <f>IF($A1142="","",IF(BH1142=1,$B1142,BJ1141))</f>
        <v>0</v>
      </c>
      <c r="BK1142">
        <f>IF($A1142="","",IF(BH1142=1,$C1142,MAX($C1142,BK1141)))</f>
        <v>0</v>
      </c>
      <c r="BL1142">
        <f>IF($A1142="","",IF(BH1142=1,$D1142,MIN($D1142,BL1141)))</f>
        <v>0</v>
      </c>
      <c r="BM1142">
        <f>IF($A1142="","",IF(BI1142=1,F1142,""))</f>
        <v>0</v>
      </c>
      <c r="BN1142">
        <f>IF($A1142="","",DATE(YEAR($A1142),MONTH($A1142),1))</f>
        <v>0</v>
      </c>
      <c r="BO1142">
        <f>IF($A1142="","",IF($A1141="",1,IF(BN1142&lt;&gt;BN1141,1,0)))</f>
        <v>0</v>
      </c>
      <c r="BP1142">
        <f>IF($A1142="","",IF($A1143="",1,IF(BN1143&lt;&gt;BN1142,1,0)))</f>
        <v>0</v>
      </c>
      <c r="BQ1142">
        <f>IF($A1142="","",IF(BO1142=1,$B1142,BQ1141))</f>
        <v>0</v>
      </c>
      <c r="BR1142">
        <f>IF($A1142="","",IF(BO1142=1,$C1142,MAX($C1142,BR1141)))</f>
        <v>0</v>
      </c>
      <c r="BS1142">
        <f>IF($A1142="","",IF(BO1142=1,$D1142,MIN($D1142,BS1141)))</f>
        <v>0</v>
      </c>
      <c r="BT1142">
        <f>IF($A1142="","",IF(BP1142=1,F1142,""))</f>
        <v>0</v>
      </c>
    </row>
    <row r="1143" spans="1:72">
      <c r="A1143" s="27">
        <f>IF(Data!$A1143="","",Data!$A1143)</f>
        <v>0</v>
      </c>
      <c r="B1143">
        <f>IF(Data!$B1143="","",Data!$B1143)</f>
        <v>0</v>
      </c>
      <c r="C1143">
        <f>IF(Data!$C1143="","",Data!$C1143)</f>
        <v>0</v>
      </c>
      <c r="D1143">
        <f>IF(Data!$D1143="","",Data!$D1143)</f>
        <v>0</v>
      </c>
      <c r="E1143">
        <f>IF(Data!$E1143="","",Data!$E1143)</f>
        <v>0</v>
      </c>
      <c r="F1143">
        <f>IF($E1143="","",N(F1142)+1)</f>
        <v>0</v>
      </c>
      <c r="G1143">
        <f>IF(OR($E1143="",$E1142=""),"",LN($E1143/$E1142))</f>
        <v>0</v>
      </c>
      <c r="H1143">
        <f>IF($E1143="","",IF($E1142="",$E1143,$E1143*0.0952380952+H1142*0.9047619048))</f>
        <v>0</v>
      </c>
      <c r="I1143">
        <f>IF($E1143="","",IF($E1142="",$E1143,$E1143*0.0392156863+I1142*0.9607843137))</f>
        <v>0</v>
      </c>
      <c r="J1143">
        <f>IF($E1143="","",IF($E1142="",$E1143,$E1143*0.0198019802+J1142*0.9801980198))</f>
        <v>0</v>
      </c>
      <c r="K1143">
        <f>IF($E1143="","",IF($E1142="",$E1143,$E1143*0.0099502488+K1142*0.9900497512))</f>
        <v>0</v>
      </c>
      <c r="L1143">
        <f>IF(OR($E1143="",$E1142=""),"",MAX($E1143-$E1142,0))</f>
        <v>0</v>
      </c>
      <c r="M1143">
        <f>IF(OR($E1143="",$E1142=""),"",MAX($E1142-$E1143,0))</f>
        <v>0</v>
      </c>
      <c r="N1143">
        <f>IF(COUNT($E$2:$E1143)&lt;15,"",IF(AVERAGE($M$1130:$M$1143)=0,100,100-100/(1+AVERAGE($L$1130:$L$1143)/AVERAGE($M$1130:$M$1143))))</f>
        <v>0</v>
      </c>
      <c r="O1143">
        <f>IF($E1143="","",IF($E1142="",$E1143,$E1143*0.1538461538+O1142*0.8461538462))</f>
        <v>0</v>
      </c>
      <c r="P1143">
        <f>IF($E1143="","",IF($E1142="",$E1143,$E1143*0.0740740741+P1142*0.9259259259))</f>
        <v>0</v>
      </c>
      <c r="Q1143">
        <f>IF(OR(O1143="",P1143=""),"",O1143-P1143)</f>
        <v>0</v>
      </c>
      <c r="R1143">
        <f>IF(Q1143="","",IF(R1142="",Q1143,Q1143*0.2000000000+R1142*0.8000000000))</f>
        <v>0</v>
      </c>
      <c r="S1143">
        <f>IF(OR(Q1143="",R1143=""),"",Q1143-R1143)</f>
        <v>0</v>
      </c>
      <c r="T1143">
        <f>IF(COUNT($E$2:$E1143)&lt;14,"",MAX($C$1130:$C$1143))</f>
        <v>0</v>
      </c>
      <c r="U1143">
        <f>IF(COUNT($E$2:$E1143)&lt;14,"",MIN($D$1130:$D$1143))</f>
        <v>0</v>
      </c>
      <c r="V1143">
        <f>IF(OR(T1143="",U1143="",T1143=U1143),"",100*($E1143-U1143)/(T1143-U1143))</f>
        <v>0</v>
      </c>
      <c r="W1143">
        <f>IF(COUNT($V$1141:$V$1143)&lt;3,"",AVERAGE($V$1141:$V$1143))</f>
        <v>0</v>
      </c>
      <c r="X1143">
        <f>IF(COUNT($N$1130:$N$1143)&lt;14,"",MIN($N$1130:$N$1143))</f>
        <v>0</v>
      </c>
      <c r="Y1143">
        <f>IF(COUNT($N$1130:$N$1143)&lt;14,"",MAX($N$1130:$N$1143))</f>
        <v>0</v>
      </c>
      <c r="Z1143">
        <f>IF(OR(N1143="",X1143="",Y1143="",Y1143=X1143),"",100*(N1143-X1143)/(Y1143-X1143))</f>
        <v>0</v>
      </c>
      <c r="AA1143">
        <f>IF(COUNT($Z$1141:$Z$1143)&lt;3,"",AVERAGE($Z$1141:$Z$1143))</f>
        <v>0</v>
      </c>
      <c r="AB1143">
        <f>IF(COUNT($AA$1141:$AA$1143)&lt;3,"",AVERAGE($AA$1141:$AA$1143))</f>
        <v>0</v>
      </c>
      <c r="AC1143">
        <f>IF($E1143="","",MAX($C1143-$D1143,ABS($C1143-$E1142),ABS($D1143-$E1142)))</f>
        <v>0</v>
      </c>
      <c r="AD1143">
        <f>IF(COUNT($E$2:$E1143)&lt;15,"",AVERAGE($AC$1130:$AC$1143))</f>
        <v>0</v>
      </c>
      <c r="AE1143">
        <f>IF(OR($E1143="",$E1142=""),"",IF(AND(($C1143-$C1142)&gt;($D1142-$D1143),($C1143-$C1142)&gt;0),$C1143-$C1142,0))</f>
        <v>0</v>
      </c>
      <c r="AF1143">
        <f>IF(OR($E1143="",$E1142=""),"",IF(AND(($D1142-$D1143)&gt;($C1143-$C1142),($D1142-$D1143)&gt;0),$D1142-$D1143,0))</f>
        <v>0</v>
      </c>
      <c r="AG1143">
        <f>IF(COUNT($E$2:$E1143)&lt;15,"",IF(SUM($AC$1130:$AC$1143)=0,0,100*SUM($AE$1130:$AE$1143)/SUM($AC$1130:$AC$1143)))</f>
        <v>0</v>
      </c>
      <c r="AH1143">
        <f>IF(COUNT($E$2:$E1143)&lt;15,"",IF(SUM($AC$1130:$AC$1143)=0,0,100*SUM($AF$1130:$AF$1143)/SUM($AC$1130:$AC$1143)))</f>
        <v>0</v>
      </c>
      <c r="AI1143">
        <f>IF(OR(AG1143="",AH1143=""),"",IF((AG1143+AH1143)=0,0,100*ABS(AG1143-AH1143)/(AG1143+AH1143)))</f>
        <v>0</v>
      </c>
      <c r="AJ1143">
        <f>IF(COUNT($AI$1130:$AI$1143)&lt;14,"",AVERAGE($AI$1130:$AI$1143))</f>
        <v>0</v>
      </c>
      <c r="AK1143">
        <f>IF(COUNT($E$2:$E1143)&lt;20,"",AVERAGE($E$1124:$E$1143))</f>
        <v>0</v>
      </c>
      <c r="AL1143">
        <f>IF(COUNT($E$2:$E1143)&lt;20,"",STDEVP($E$1124:$E$1143))</f>
        <v>0</v>
      </c>
      <c r="AM1143">
        <f>IF(AK1143="","",AK1143+2*AL1143)</f>
        <v>0</v>
      </c>
      <c r="AN1143">
        <f>IF(AK1143="","",AK1143-2*AL1143)</f>
        <v>0</v>
      </c>
      <c r="AO1143">
        <f>IF(OR(AM1143="",AN1143="",AM1143=AN1143),"",($E1143-AN1143)/(AM1143-AN1143))</f>
        <v>0</v>
      </c>
      <c r="AP1143">
        <f>IF(OR(AM1143="",AK1143="",AK1143=0),"",(AM1143-AN1143)/AK1143)</f>
        <v>0</v>
      </c>
      <c r="AQ1143">
        <f>IF(COUNT($E$2:$E1143)&lt;20,"",MAX($C$1124:$C$1143))</f>
        <v>0</v>
      </c>
      <c r="AR1143">
        <f>IF(COUNT($E$2:$E1143)&lt;20,"",MIN($D$1124:$D$1143))</f>
        <v>0</v>
      </c>
      <c r="AS1143">
        <f>IF(OR(AQ1143="",AR1143=""),"",(AQ1143+AR1143)/2)</f>
        <v>0</v>
      </c>
      <c r="AT1143">
        <f>IF(COUNT($G$1124:$G$1143)&lt;20,"",STDEV($G$1124:$G$1143)*SQRT(252))</f>
        <v>0</v>
      </c>
      <c r="AU1143">
        <f>IF(COUNT($E$2:$E1143)&lt;9,"",(MAX($C$1135:$C$1143)+MIN($D$1135:$D$1143))/2)</f>
        <v>0</v>
      </c>
      <c r="AV1143">
        <f>IF(COUNT($E$2:$E1143)&lt;26,"",(MAX($C$1118:$C$1143)+MIN($D$1118:$D$1143))/2)</f>
        <v>0</v>
      </c>
      <c r="AW1143">
        <f>IF(OR(AU1143="",AV1143=""),"",(AU1143+AV1143)/2)</f>
        <v>0</v>
      </c>
      <c r="AX1143">
        <f>IF(COUNT($E$2:$E1143)&lt;52,"",(MAX($C$1092:$C$1143)+MIN($D$1092:$D$1143))/2)</f>
        <v>0</v>
      </c>
      <c r="AY1143">
        <f>IF(COUNT($E$2:$E1143)&lt;20,"",MAX($C$1044:$C$1143))</f>
        <v>0</v>
      </c>
      <c r="AZ1143">
        <f>IF(COUNT($E$2:$E1143)&lt;20,"",MIN($D$1044:$D$1143))</f>
        <v>0</v>
      </c>
      <c r="BA1143">
        <f>IF(COUNT($E$2:$E1143)&lt;20,"",SLOPE($E$1044:$E$1143,$F$1044:$F$1143))</f>
        <v>0</v>
      </c>
      <c r="BB1143">
        <f>IF(COUNT($E$2:$E1143)&lt;20,"",INTERCEPT($E$1044:$E$1143,$F$1044:$F$1143))</f>
        <v>0</v>
      </c>
      <c r="BC1143">
        <f>IF(OR(BA1143="",BB1143=""),"",BB1143+BA1143*F1143)</f>
        <v>0</v>
      </c>
      <c r="BD1143">
        <f>IF(COUNT($E$2:$E1143)&lt;20,"",STEYX($E$1044:$E$1143,$F$1044:$F$1143))</f>
        <v>0</v>
      </c>
      <c r="BE1143">
        <f>IF($E1143="","",IF(AND(COUNT($E$1144:$E$1147)&gt;=4,$C1143=MAX($C$1139:$C$1147)),$C1143,""))</f>
        <v>0</v>
      </c>
      <c r="BF1143">
        <f>IF($E1143="","",IF(AND(COUNT($E$1144:$E$1147)&gt;=4,$D1143=MIN($D$1139:$D$1147)),$D1143,""))</f>
        <v>0</v>
      </c>
      <c r="BG1143">
        <f>IF($A1143="","",$A1143-WEEKDAY($A1143,2)+1)</f>
        <v>0</v>
      </c>
      <c r="BH1143">
        <f>IF($A1143="","",IF($A1142="",1,IF(BG1143&lt;&gt;BG1142,1,0)))</f>
        <v>0</v>
      </c>
      <c r="BI1143">
        <f>IF($A1143="","",IF($A1144="",1,IF(BG1144&lt;&gt;BG1143,1,0)))</f>
        <v>0</v>
      </c>
      <c r="BJ1143">
        <f>IF($A1143="","",IF(BH1143=1,$B1143,BJ1142))</f>
        <v>0</v>
      </c>
      <c r="BK1143">
        <f>IF($A1143="","",IF(BH1143=1,$C1143,MAX($C1143,BK1142)))</f>
        <v>0</v>
      </c>
      <c r="BL1143">
        <f>IF($A1143="","",IF(BH1143=1,$D1143,MIN($D1143,BL1142)))</f>
        <v>0</v>
      </c>
      <c r="BM1143">
        <f>IF($A1143="","",IF(BI1143=1,F1143,""))</f>
        <v>0</v>
      </c>
      <c r="BN1143">
        <f>IF($A1143="","",DATE(YEAR($A1143),MONTH($A1143),1))</f>
        <v>0</v>
      </c>
      <c r="BO1143">
        <f>IF($A1143="","",IF($A1142="",1,IF(BN1143&lt;&gt;BN1142,1,0)))</f>
        <v>0</v>
      </c>
      <c r="BP1143">
        <f>IF($A1143="","",IF($A1144="",1,IF(BN1144&lt;&gt;BN1143,1,0)))</f>
        <v>0</v>
      </c>
      <c r="BQ1143">
        <f>IF($A1143="","",IF(BO1143=1,$B1143,BQ1142))</f>
        <v>0</v>
      </c>
      <c r="BR1143">
        <f>IF($A1143="","",IF(BO1143=1,$C1143,MAX($C1143,BR1142)))</f>
        <v>0</v>
      </c>
      <c r="BS1143">
        <f>IF($A1143="","",IF(BO1143=1,$D1143,MIN($D1143,BS1142)))</f>
        <v>0</v>
      </c>
      <c r="BT1143">
        <f>IF($A1143="","",IF(BP1143=1,F1143,""))</f>
        <v>0</v>
      </c>
    </row>
    <row r="1144" spans="1:72">
      <c r="A1144" s="27">
        <f>IF(Data!$A1144="","",Data!$A1144)</f>
        <v>0</v>
      </c>
      <c r="B1144">
        <f>IF(Data!$B1144="","",Data!$B1144)</f>
        <v>0</v>
      </c>
      <c r="C1144">
        <f>IF(Data!$C1144="","",Data!$C1144)</f>
        <v>0</v>
      </c>
      <c r="D1144">
        <f>IF(Data!$D1144="","",Data!$D1144)</f>
        <v>0</v>
      </c>
      <c r="E1144">
        <f>IF(Data!$E1144="","",Data!$E1144)</f>
        <v>0</v>
      </c>
      <c r="F1144">
        <f>IF($E1144="","",N(F1143)+1)</f>
        <v>0</v>
      </c>
      <c r="G1144">
        <f>IF(OR($E1144="",$E1143=""),"",LN($E1144/$E1143))</f>
        <v>0</v>
      </c>
      <c r="H1144">
        <f>IF($E1144="","",IF($E1143="",$E1144,$E1144*0.0952380952+H1143*0.9047619048))</f>
        <v>0</v>
      </c>
      <c r="I1144">
        <f>IF($E1144="","",IF($E1143="",$E1144,$E1144*0.0392156863+I1143*0.9607843137))</f>
        <v>0</v>
      </c>
      <c r="J1144">
        <f>IF($E1144="","",IF($E1143="",$E1144,$E1144*0.0198019802+J1143*0.9801980198))</f>
        <v>0</v>
      </c>
      <c r="K1144">
        <f>IF($E1144="","",IF($E1143="",$E1144,$E1144*0.0099502488+K1143*0.9900497512))</f>
        <v>0</v>
      </c>
      <c r="L1144">
        <f>IF(OR($E1144="",$E1143=""),"",MAX($E1144-$E1143,0))</f>
        <v>0</v>
      </c>
      <c r="M1144">
        <f>IF(OR($E1144="",$E1143=""),"",MAX($E1143-$E1144,0))</f>
        <v>0</v>
      </c>
      <c r="N1144">
        <f>IF(COUNT($E$2:$E1144)&lt;15,"",IF(AVERAGE($M$1131:$M$1144)=0,100,100-100/(1+AVERAGE($L$1131:$L$1144)/AVERAGE($M$1131:$M$1144))))</f>
        <v>0</v>
      </c>
      <c r="O1144">
        <f>IF($E1144="","",IF($E1143="",$E1144,$E1144*0.1538461538+O1143*0.8461538462))</f>
        <v>0</v>
      </c>
      <c r="P1144">
        <f>IF($E1144="","",IF($E1143="",$E1144,$E1144*0.0740740741+P1143*0.9259259259))</f>
        <v>0</v>
      </c>
      <c r="Q1144">
        <f>IF(OR(O1144="",P1144=""),"",O1144-P1144)</f>
        <v>0</v>
      </c>
      <c r="R1144">
        <f>IF(Q1144="","",IF(R1143="",Q1144,Q1144*0.2000000000+R1143*0.8000000000))</f>
        <v>0</v>
      </c>
      <c r="S1144">
        <f>IF(OR(Q1144="",R1144=""),"",Q1144-R1144)</f>
        <v>0</v>
      </c>
      <c r="T1144">
        <f>IF(COUNT($E$2:$E1144)&lt;14,"",MAX($C$1131:$C$1144))</f>
        <v>0</v>
      </c>
      <c r="U1144">
        <f>IF(COUNT($E$2:$E1144)&lt;14,"",MIN($D$1131:$D$1144))</f>
        <v>0</v>
      </c>
      <c r="V1144">
        <f>IF(OR(T1144="",U1144="",T1144=U1144),"",100*($E1144-U1144)/(T1144-U1144))</f>
        <v>0</v>
      </c>
      <c r="W1144">
        <f>IF(COUNT($V$1142:$V$1144)&lt;3,"",AVERAGE($V$1142:$V$1144))</f>
        <v>0</v>
      </c>
      <c r="X1144">
        <f>IF(COUNT($N$1131:$N$1144)&lt;14,"",MIN($N$1131:$N$1144))</f>
        <v>0</v>
      </c>
      <c r="Y1144">
        <f>IF(COUNT($N$1131:$N$1144)&lt;14,"",MAX($N$1131:$N$1144))</f>
        <v>0</v>
      </c>
      <c r="Z1144">
        <f>IF(OR(N1144="",X1144="",Y1144="",Y1144=X1144),"",100*(N1144-X1144)/(Y1144-X1144))</f>
        <v>0</v>
      </c>
      <c r="AA1144">
        <f>IF(COUNT($Z$1142:$Z$1144)&lt;3,"",AVERAGE($Z$1142:$Z$1144))</f>
        <v>0</v>
      </c>
      <c r="AB1144">
        <f>IF(COUNT($AA$1142:$AA$1144)&lt;3,"",AVERAGE($AA$1142:$AA$1144))</f>
        <v>0</v>
      </c>
      <c r="AC1144">
        <f>IF($E1144="","",MAX($C1144-$D1144,ABS($C1144-$E1143),ABS($D1144-$E1143)))</f>
        <v>0</v>
      </c>
      <c r="AD1144">
        <f>IF(COUNT($E$2:$E1144)&lt;15,"",AVERAGE($AC$1131:$AC$1144))</f>
        <v>0</v>
      </c>
      <c r="AE1144">
        <f>IF(OR($E1144="",$E1143=""),"",IF(AND(($C1144-$C1143)&gt;($D1143-$D1144),($C1144-$C1143)&gt;0),$C1144-$C1143,0))</f>
        <v>0</v>
      </c>
      <c r="AF1144">
        <f>IF(OR($E1144="",$E1143=""),"",IF(AND(($D1143-$D1144)&gt;($C1144-$C1143),($D1143-$D1144)&gt;0),$D1143-$D1144,0))</f>
        <v>0</v>
      </c>
      <c r="AG1144">
        <f>IF(COUNT($E$2:$E1144)&lt;15,"",IF(SUM($AC$1131:$AC$1144)=0,0,100*SUM($AE$1131:$AE$1144)/SUM($AC$1131:$AC$1144)))</f>
        <v>0</v>
      </c>
      <c r="AH1144">
        <f>IF(COUNT($E$2:$E1144)&lt;15,"",IF(SUM($AC$1131:$AC$1144)=0,0,100*SUM($AF$1131:$AF$1144)/SUM($AC$1131:$AC$1144)))</f>
        <v>0</v>
      </c>
      <c r="AI1144">
        <f>IF(OR(AG1144="",AH1144=""),"",IF((AG1144+AH1144)=0,0,100*ABS(AG1144-AH1144)/(AG1144+AH1144)))</f>
        <v>0</v>
      </c>
      <c r="AJ1144">
        <f>IF(COUNT($AI$1131:$AI$1144)&lt;14,"",AVERAGE($AI$1131:$AI$1144))</f>
        <v>0</v>
      </c>
      <c r="AK1144">
        <f>IF(COUNT($E$2:$E1144)&lt;20,"",AVERAGE($E$1125:$E$1144))</f>
        <v>0</v>
      </c>
      <c r="AL1144">
        <f>IF(COUNT($E$2:$E1144)&lt;20,"",STDEVP($E$1125:$E$1144))</f>
        <v>0</v>
      </c>
      <c r="AM1144">
        <f>IF(AK1144="","",AK1144+2*AL1144)</f>
        <v>0</v>
      </c>
      <c r="AN1144">
        <f>IF(AK1144="","",AK1144-2*AL1144)</f>
        <v>0</v>
      </c>
      <c r="AO1144">
        <f>IF(OR(AM1144="",AN1144="",AM1144=AN1144),"",($E1144-AN1144)/(AM1144-AN1144))</f>
        <v>0</v>
      </c>
      <c r="AP1144">
        <f>IF(OR(AM1144="",AK1144="",AK1144=0),"",(AM1144-AN1144)/AK1144)</f>
        <v>0</v>
      </c>
      <c r="AQ1144">
        <f>IF(COUNT($E$2:$E1144)&lt;20,"",MAX($C$1125:$C$1144))</f>
        <v>0</v>
      </c>
      <c r="AR1144">
        <f>IF(COUNT($E$2:$E1144)&lt;20,"",MIN($D$1125:$D$1144))</f>
        <v>0</v>
      </c>
      <c r="AS1144">
        <f>IF(OR(AQ1144="",AR1144=""),"",(AQ1144+AR1144)/2)</f>
        <v>0</v>
      </c>
      <c r="AT1144">
        <f>IF(COUNT($G$1125:$G$1144)&lt;20,"",STDEV($G$1125:$G$1144)*SQRT(252))</f>
        <v>0</v>
      </c>
      <c r="AU1144">
        <f>IF(COUNT($E$2:$E1144)&lt;9,"",(MAX($C$1136:$C$1144)+MIN($D$1136:$D$1144))/2)</f>
        <v>0</v>
      </c>
      <c r="AV1144">
        <f>IF(COUNT($E$2:$E1144)&lt;26,"",(MAX($C$1119:$C$1144)+MIN($D$1119:$D$1144))/2)</f>
        <v>0</v>
      </c>
      <c r="AW1144">
        <f>IF(OR(AU1144="",AV1144=""),"",(AU1144+AV1144)/2)</f>
        <v>0</v>
      </c>
      <c r="AX1144">
        <f>IF(COUNT($E$2:$E1144)&lt;52,"",(MAX($C$1093:$C$1144)+MIN($D$1093:$D$1144))/2)</f>
        <v>0</v>
      </c>
      <c r="AY1144">
        <f>IF(COUNT($E$2:$E1144)&lt;20,"",MAX($C$1045:$C$1144))</f>
        <v>0</v>
      </c>
      <c r="AZ1144">
        <f>IF(COUNT($E$2:$E1144)&lt;20,"",MIN($D$1045:$D$1144))</f>
        <v>0</v>
      </c>
      <c r="BA1144">
        <f>IF(COUNT($E$2:$E1144)&lt;20,"",SLOPE($E$1045:$E$1144,$F$1045:$F$1144))</f>
        <v>0</v>
      </c>
      <c r="BB1144">
        <f>IF(COUNT($E$2:$E1144)&lt;20,"",INTERCEPT($E$1045:$E$1144,$F$1045:$F$1144))</f>
        <v>0</v>
      </c>
      <c r="BC1144">
        <f>IF(OR(BA1144="",BB1144=""),"",BB1144+BA1144*F1144)</f>
        <v>0</v>
      </c>
      <c r="BD1144">
        <f>IF(COUNT($E$2:$E1144)&lt;20,"",STEYX($E$1045:$E$1144,$F$1045:$F$1144))</f>
        <v>0</v>
      </c>
      <c r="BE1144">
        <f>IF($E1144="","",IF(AND(COUNT($E$1145:$E$1148)&gt;=4,$C1144=MAX($C$1140:$C$1148)),$C1144,""))</f>
        <v>0</v>
      </c>
      <c r="BF1144">
        <f>IF($E1144="","",IF(AND(COUNT($E$1145:$E$1148)&gt;=4,$D1144=MIN($D$1140:$D$1148)),$D1144,""))</f>
        <v>0</v>
      </c>
      <c r="BG1144">
        <f>IF($A1144="","",$A1144-WEEKDAY($A1144,2)+1)</f>
        <v>0</v>
      </c>
      <c r="BH1144">
        <f>IF($A1144="","",IF($A1143="",1,IF(BG1144&lt;&gt;BG1143,1,0)))</f>
        <v>0</v>
      </c>
      <c r="BI1144">
        <f>IF($A1144="","",IF($A1145="",1,IF(BG1145&lt;&gt;BG1144,1,0)))</f>
        <v>0</v>
      </c>
      <c r="BJ1144">
        <f>IF($A1144="","",IF(BH1144=1,$B1144,BJ1143))</f>
        <v>0</v>
      </c>
      <c r="BK1144">
        <f>IF($A1144="","",IF(BH1144=1,$C1144,MAX($C1144,BK1143)))</f>
        <v>0</v>
      </c>
      <c r="BL1144">
        <f>IF($A1144="","",IF(BH1144=1,$D1144,MIN($D1144,BL1143)))</f>
        <v>0</v>
      </c>
      <c r="BM1144">
        <f>IF($A1144="","",IF(BI1144=1,F1144,""))</f>
        <v>0</v>
      </c>
      <c r="BN1144">
        <f>IF($A1144="","",DATE(YEAR($A1144),MONTH($A1144),1))</f>
        <v>0</v>
      </c>
      <c r="BO1144">
        <f>IF($A1144="","",IF($A1143="",1,IF(BN1144&lt;&gt;BN1143,1,0)))</f>
        <v>0</v>
      </c>
      <c r="BP1144">
        <f>IF($A1144="","",IF($A1145="",1,IF(BN1145&lt;&gt;BN1144,1,0)))</f>
        <v>0</v>
      </c>
      <c r="BQ1144">
        <f>IF($A1144="","",IF(BO1144=1,$B1144,BQ1143))</f>
        <v>0</v>
      </c>
      <c r="BR1144">
        <f>IF($A1144="","",IF(BO1144=1,$C1144,MAX($C1144,BR1143)))</f>
        <v>0</v>
      </c>
      <c r="BS1144">
        <f>IF($A1144="","",IF(BO1144=1,$D1144,MIN($D1144,BS1143)))</f>
        <v>0</v>
      </c>
      <c r="BT1144">
        <f>IF($A1144="","",IF(BP1144=1,F1144,""))</f>
        <v>0</v>
      </c>
    </row>
    <row r="1145" spans="1:72">
      <c r="A1145" s="27">
        <f>IF(Data!$A1145="","",Data!$A1145)</f>
        <v>0</v>
      </c>
      <c r="B1145">
        <f>IF(Data!$B1145="","",Data!$B1145)</f>
        <v>0</v>
      </c>
      <c r="C1145">
        <f>IF(Data!$C1145="","",Data!$C1145)</f>
        <v>0</v>
      </c>
      <c r="D1145">
        <f>IF(Data!$D1145="","",Data!$D1145)</f>
        <v>0</v>
      </c>
      <c r="E1145">
        <f>IF(Data!$E1145="","",Data!$E1145)</f>
        <v>0</v>
      </c>
      <c r="F1145">
        <f>IF($E1145="","",N(F1144)+1)</f>
        <v>0</v>
      </c>
      <c r="G1145">
        <f>IF(OR($E1145="",$E1144=""),"",LN($E1145/$E1144))</f>
        <v>0</v>
      </c>
      <c r="H1145">
        <f>IF($E1145="","",IF($E1144="",$E1145,$E1145*0.0952380952+H1144*0.9047619048))</f>
        <v>0</v>
      </c>
      <c r="I1145">
        <f>IF($E1145="","",IF($E1144="",$E1145,$E1145*0.0392156863+I1144*0.9607843137))</f>
        <v>0</v>
      </c>
      <c r="J1145">
        <f>IF($E1145="","",IF($E1144="",$E1145,$E1145*0.0198019802+J1144*0.9801980198))</f>
        <v>0</v>
      </c>
      <c r="K1145">
        <f>IF($E1145="","",IF($E1144="",$E1145,$E1145*0.0099502488+K1144*0.9900497512))</f>
        <v>0</v>
      </c>
      <c r="L1145">
        <f>IF(OR($E1145="",$E1144=""),"",MAX($E1145-$E1144,0))</f>
        <v>0</v>
      </c>
      <c r="M1145">
        <f>IF(OR($E1145="",$E1144=""),"",MAX($E1144-$E1145,0))</f>
        <v>0</v>
      </c>
      <c r="N1145">
        <f>IF(COUNT($E$2:$E1145)&lt;15,"",IF(AVERAGE($M$1132:$M$1145)=0,100,100-100/(1+AVERAGE($L$1132:$L$1145)/AVERAGE($M$1132:$M$1145))))</f>
        <v>0</v>
      </c>
      <c r="O1145">
        <f>IF($E1145="","",IF($E1144="",$E1145,$E1145*0.1538461538+O1144*0.8461538462))</f>
        <v>0</v>
      </c>
      <c r="P1145">
        <f>IF($E1145="","",IF($E1144="",$E1145,$E1145*0.0740740741+P1144*0.9259259259))</f>
        <v>0</v>
      </c>
      <c r="Q1145">
        <f>IF(OR(O1145="",P1145=""),"",O1145-P1145)</f>
        <v>0</v>
      </c>
      <c r="R1145">
        <f>IF(Q1145="","",IF(R1144="",Q1145,Q1145*0.2000000000+R1144*0.8000000000))</f>
        <v>0</v>
      </c>
      <c r="S1145">
        <f>IF(OR(Q1145="",R1145=""),"",Q1145-R1145)</f>
        <v>0</v>
      </c>
      <c r="T1145">
        <f>IF(COUNT($E$2:$E1145)&lt;14,"",MAX($C$1132:$C$1145))</f>
        <v>0</v>
      </c>
      <c r="U1145">
        <f>IF(COUNT($E$2:$E1145)&lt;14,"",MIN($D$1132:$D$1145))</f>
        <v>0</v>
      </c>
      <c r="V1145">
        <f>IF(OR(T1145="",U1145="",T1145=U1145),"",100*($E1145-U1145)/(T1145-U1145))</f>
        <v>0</v>
      </c>
      <c r="W1145">
        <f>IF(COUNT($V$1143:$V$1145)&lt;3,"",AVERAGE($V$1143:$V$1145))</f>
        <v>0</v>
      </c>
      <c r="X1145">
        <f>IF(COUNT($N$1132:$N$1145)&lt;14,"",MIN($N$1132:$N$1145))</f>
        <v>0</v>
      </c>
      <c r="Y1145">
        <f>IF(COUNT($N$1132:$N$1145)&lt;14,"",MAX($N$1132:$N$1145))</f>
        <v>0</v>
      </c>
      <c r="Z1145">
        <f>IF(OR(N1145="",X1145="",Y1145="",Y1145=X1145),"",100*(N1145-X1145)/(Y1145-X1145))</f>
        <v>0</v>
      </c>
      <c r="AA1145">
        <f>IF(COUNT($Z$1143:$Z$1145)&lt;3,"",AVERAGE($Z$1143:$Z$1145))</f>
        <v>0</v>
      </c>
      <c r="AB1145">
        <f>IF(COUNT($AA$1143:$AA$1145)&lt;3,"",AVERAGE($AA$1143:$AA$1145))</f>
        <v>0</v>
      </c>
      <c r="AC1145">
        <f>IF($E1145="","",MAX($C1145-$D1145,ABS($C1145-$E1144),ABS($D1145-$E1144)))</f>
        <v>0</v>
      </c>
      <c r="AD1145">
        <f>IF(COUNT($E$2:$E1145)&lt;15,"",AVERAGE($AC$1132:$AC$1145))</f>
        <v>0</v>
      </c>
      <c r="AE1145">
        <f>IF(OR($E1145="",$E1144=""),"",IF(AND(($C1145-$C1144)&gt;($D1144-$D1145),($C1145-$C1144)&gt;0),$C1145-$C1144,0))</f>
        <v>0</v>
      </c>
      <c r="AF1145">
        <f>IF(OR($E1145="",$E1144=""),"",IF(AND(($D1144-$D1145)&gt;($C1145-$C1144),($D1144-$D1145)&gt;0),$D1144-$D1145,0))</f>
        <v>0</v>
      </c>
      <c r="AG1145">
        <f>IF(COUNT($E$2:$E1145)&lt;15,"",IF(SUM($AC$1132:$AC$1145)=0,0,100*SUM($AE$1132:$AE$1145)/SUM($AC$1132:$AC$1145)))</f>
        <v>0</v>
      </c>
      <c r="AH1145">
        <f>IF(COUNT($E$2:$E1145)&lt;15,"",IF(SUM($AC$1132:$AC$1145)=0,0,100*SUM($AF$1132:$AF$1145)/SUM($AC$1132:$AC$1145)))</f>
        <v>0</v>
      </c>
      <c r="AI1145">
        <f>IF(OR(AG1145="",AH1145=""),"",IF((AG1145+AH1145)=0,0,100*ABS(AG1145-AH1145)/(AG1145+AH1145)))</f>
        <v>0</v>
      </c>
      <c r="AJ1145">
        <f>IF(COUNT($AI$1132:$AI$1145)&lt;14,"",AVERAGE($AI$1132:$AI$1145))</f>
        <v>0</v>
      </c>
      <c r="AK1145">
        <f>IF(COUNT($E$2:$E1145)&lt;20,"",AVERAGE($E$1126:$E$1145))</f>
        <v>0</v>
      </c>
      <c r="AL1145">
        <f>IF(COUNT($E$2:$E1145)&lt;20,"",STDEVP($E$1126:$E$1145))</f>
        <v>0</v>
      </c>
      <c r="AM1145">
        <f>IF(AK1145="","",AK1145+2*AL1145)</f>
        <v>0</v>
      </c>
      <c r="AN1145">
        <f>IF(AK1145="","",AK1145-2*AL1145)</f>
        <v>0</v>
      </c>
      <c r="AO1145">
        <f>IF(OR(AM1145="",AN1145="",AM1145=AN1145),"",($E1145-AN1145)/(AM1145-AN1145))</f>
        <v>0</v>
      </c>
      <c r="AP1145">
        <f>IF(OR(AM1145="",AK1145="",AK1145=0),"",(AM1145-AN1145)/AK1145)</f>
        <v>0</v>
      </c>
      <c r="AQ1145">
        <f>IF(COUNT($E$2:$E1145)&lt;20,"",MAX($C$1126:$C$1145))</f>
        <v>0</v>
      </c>
      <c r="AR1145">
        <f>IF(COUNT($E$2:$E1145)&lt;20,"",MIN($D$1126:$D$1145))</f>
        <v>0</v>
      </c>
      <c r="AS1145">
        <f>IF(OR(AQ1145="",AR1145=""),"",(AQ1145+AR1145)/2)</f>
        <v>0</v>
      </c>
      <c r="AT1145">
        <f>IF(COUNT($G$1126:$G$1145)&lt;20,"",STDEV($G$1126:$G$1145)*SQRT(252))</f>
        <v>0</v>
      </c>
      <c r="AU1145">
        <f>IF(COUNT($E$2:$E1145)&lt;9,"",(MAX($C$1137:$C$1145)+MIN($D$1137:$D$1145))/2)</f>
        <v>0</v>
      </c>
      <c r="AV1145">
        <f>IF(COUNT($E$2:$E1145)&lt;26,"",(MAX($C$1120:$C$1145)+MIN($D$1120:$D$1145))/2)</f>
        <v>0</v>
      </c>
      <c r="AW1145">
        <f>IF(OR(AU1145="",AV1145=""),"",(AU1145+AV1145)/2)</f>
        <v>0</v>
      </c>
      <c r="AX1145">
        <f>IF(COUNT($E$2:$E1145)&lt;52,"",(MAX($C$1094:$C$1145)+MIN($D$1094:$D$1145))/2)</f>
        <v>0</v>
      </c>
      <c r="AY1145">
        <f>IF(COUNT($E$2:$E1145)&lt;20,"",MAX($C$1046:$C$1145))</f>
        <v>0</v>
      </c>
      <c r="AZ1145">
        <f>IF(COUNT($E$2:$E1145)&lt;20,"",MIN($D$1046:$D$1145))</f>
        <v>0</v>
      </c>
      <c r="BA1145">
        <f>IF(COUNT($E$2:$E1145)&lt;20,"",SLOPE($E$1046:$E$1145,$F$1046:$F$1145))</f>
        <v>0</v>
      </c>
      <c r="BB1145">
        <f>IF(COUNT($E$2:$E1145)&lt;20,"",INTERCEPT($E$1046:$E$1145,$F$1046:$F$1145))</f>
        <v>0</v>
      </c>
      <c r="BC1145">
        <f>IF(OR(BA1145="",BB1145=""),"",BB1145+BA1145*F1145)</f>
        <v>0</v>
      </c>
      <c r="BD1145">
        <f>IF(COUNT($E$2:$E1145)&lt;20,"",STEYX($E$1046:$E$1145,$F$1046:$F$1145))</f>
        <v>0</v>
      </c>
      <c r="BE1145">
        <f>IF($E1145="","",IF(AND(COUNT($E$1146:$E$1149)&gt;=4,$C1145=MAX($C$1141:$C$1149)),$C1145,""))</f>
        <v>0</v>
      </c>
      <c r="BF1145">
        <f>IF($E1145="","",IF(AND(COUNT($E$1146:$E$1149)&gt;=4,$D1145=MIN($D$1141:$D$1149)),$D1145,""))</f>
        <v>0</v>
      </c>
      <c r="BG1145">
        <f>IF($A1145="","",$A1145-WEEKDAY($A1145,2)+1)</f>
        <v>0</v>
      </c>
      <c r="BH1145">
        <f>IF($A1145="","",IF($A1144="",1,IF(BG1145&lt;&gt;BG1144,1,0)))</f>
        <v>0</v>
      </c>
      <c r="BI1145">
        <f>IF($A1145="","",IF($A1146="",1,IF(BG1146&lt;&gt;BG1145,1,0)))</f>
        <v>0</v>
      </c>
      <c r="BJ1145">
        <f>IF($A1145="","",IF(BH1145=1,$B1145,BJ1144))</f>
        <v>0</v>
      </c>
      <c r="BK1145">
        <f>IF($A1145="","",IF(BH1145=1,$C1145,MAX($C1145,BK1144)))</f>
        <v>0</v>
      </c>
      <c r="BL1145">
        <f>IF($A1145="","",IF(BH1145=1,$D1145,MIN($D1145,BL1144)))</f>
        <v>0</v>
      </c>
      <c r="BM1145">
        <f>IF($A1145="","",IF(BI1145=1,F1145,""))</f>
        <v>0</v>
      </c>
      <c r="BN1145">
        <f>IF($A1145="","",DATE(YEAR($A1145),MONTH($A1145),1))</f>
        <v>0</v>
      </c>
      <c r="BO1145">
        <f>IF($A1145="","",IF($A1144="",1,IF(BN1145&lt;&gt;BN1144,1,0)))</f>
        <v>0</v>
      </c>
      <c r="BP1145">
        <f>IF($A1145="","",IF($A1146="",1,IF(BN1146&lt;&gt;BN1145,1,0)))</f>
        <v>0</v>
      </c>
      <c r="BQ1145">
        <f>IF($A1145="","",IF(BO1145=1,$B1145,BQ1144))</f>
        <v>0</v>
      </c>
      <c r="BR1145">
        <f>IF($A1145="","",IF(BO1145=1,$C1145,MAX($C1145,BR1144)))</f>
        <v>0</v>
      </c>
      <c r="BS1145">
        <f>IF($A1145="","",IF(BO1145=1,$D1145,MIN($D1145,BS1144)))</f>
        <v>0</v>
      </c>
      <c r="BT1145">
        <f>IF($A1145="","",IF(BP1145=1,F1145,""))</f>
        <v>0</v>
      </c>
    </row>
    <row r="1146" spans="1:72">
      <c r="A1146" s="27">
        <f>IF(Data!$A1146="","",Data!$A1146)</f>
        <v>0</v>
      </c>
      <c r="B1146">
        <f>IF(Data!$B1146="","",Data!$B1146)</f>
        <v>0</v>
      </c>
      <c r="C1146">
        <f>IF(Data!$C1146="","",Data!$C1146)</f>
        <v>0</v>
      </c>
      <c r="D1146">
        <f>IF(Data!$D1146="","",Data!$D1146)</f>
        <v>0</v>
      </c>
      <c r="E1146">
        <f>IF(Data!$E1146="","",Data!$E1146)</f>
        <v>0</v>
      </c>
      <c r="F1146">
        <f>IF($E1146="","",N(F1145)+1)</f>
        <v>0</v>
      </c>
      <c r="G1146">
        <f>IF(OR($E1146="",$E1145=""),"",LN($E1146/$E1145))</f>
        <v>0</v>
      </c>
      <c r="H1146">
        <f>IF($E1146="","",IF($E1145="",$E1146,$E1146*0.0952380952+H1145*0.9047619048))</f>
        <v>0</v>
      </c>
      <c r="I1146">
        <f>IF($E1146="","",IF($E1145="",$E1146,$E1146*0.0392156863+I1145*0.9607843137))</f>
        <v>0</v>
      </c>
      <c r="J1146">
        <f>IF($E1146="","",IF($E1145="",$E1146,$E1146*0.0198019802+J1145*0.9801980198))</f>
        <v>0</v>
      </c>
      <c r="K1146">
        <f>IF($E1146="","",IF($E1145="",$E1146,$E1146*0.0099502488+K1145*0.9900497512))</f>
        <v>0</v>
      </c>
      <c r="L1146">
        <f>IF(OR($E1146="",$E1145=""),"",MAX($E1146-$E1145,0))</f>
        <v>0</v>
      </c>
      <c r="M1146">
        <f>IF(OR($E1146="",$E1145=""),"",MAX($E1145-$E1146,0))</f>
        <v>0</v>
      </c>
      <c r="N1146">
        <f>IF(COUNT($E$2:$E1146)&lt;15,"",IF(AVERAGE($M$1133:$M$1146)=0,100,100-100/(1+AVERAGE($L$1133:$L$1146)/AVERAGE($M$1133:$M$1146))))</f>
        <v>0</v>
      </c>
      <c r="O1146">
        <f>IF($E1146="","",IF($E1145="",$E1146,$E1146*0.1538461538+O1145*0.8461538462))</f>
        <v>0</v>
      </c>
      <c r="P1146">
        <f>IF($E1146="","",IF($E1145="",$E1146,$E1146*0.0740740741+P1145*0.9259259259))</f>
        <v>0</v>
      </c>
      <c r="Q1146">
        <f>IF(OR(O1146="",P1146=""),"",O1146-P1146)</f>
        <v>0</v>
      </c>
      <c r="R1146">
        <f>IF(Q1146="","",IF(R1145="",Q1146,Q1146*0.2000000000+R1145*0.8000000000))</f>
        <v>0</v>
      </c>
      <c r="S1146">
        <f>IF(OR(Q1146="",R1146=""),"",Q1146-R1146)</f>
        <v>0</v>
      </c>
      <c r="T1146">
        <f>IF(COUNT($E$2:$E1146)&lt;14,"",MAX($C$1133:$C$1146))</f>
        <v>0</v>
      </c>
      <c r="U1146">
        <f>IF(COUNT($E$2:$E1146)&lt;14,"",MIN($D$1133:$D$1146))</f>
        <v>0</v>
      </c>
      <c r="V1146">
        <f>IF(OR(T1146="",U1146="",T1146=U1146),"",100*($E1146-U1146)/(T1146-U1146))</f>
        <v>0</v>
      </c>
      <c r="W1146">
        <f>IF(COUNT($V$1144:$V$1146)&lt;3,"",AVERAGE($V$1144:$V$1146))</f>
        <v>0</v>
      </c>
      <c r="X1146">
        <f>IF(COUNT($N$1133:$N$1146)&lt;14,"",MIN($N$1133:$N$1146))</f>
        <v>0</v>
      </c>
      <c r="Y1146">
        <f>IF(COUNT($N$1133:$N$1146)&lt;14,"",MAX($N$1133:$N$1146))</f>
        <v>0</v>
      </c>
      <c r="Z1146">
        <f>IF(OR(N1146="",X1146="",Y1146="",Y1146=X1146),"",100*(N1146-X1146)/(Y1146-X1146))</f>
        <v>0</v>
      </c>
      <c r="AA1146">
        <f>IF(COUNT($Z$1144:$Z$1146)&lt;3,"",AVERAGE($Z$1144:$Z$1146))</f>
        <v>0</v>
      </c>
      <c r="AB1146">
        <f>IF(COUNT($AA$1144:$AA$1146)&lt;3,"",AVERAGE($AA$1144:$AA$1146))</f>
        <v>0</v>
      </c>
      <c r="AC1146">
        <f>IF($E1146="","",MAX($C1146-$D1146,ABS($C1146-$E1145),ABS($D1146-$E1145)))</f>
        <v>0</v>
      </c>
      <c r="AD1146">
        <f>IF(COUNT($E$2:$E1146)&lt;15,"",AVERAGE($AC$1133:$AC$1146))</f>
        <v>0</v>
      </c>
      <c r="AE1146">
        <f>IF(OR($E1146="",$E1145=""),"",IF(AND(($C1146-$C1145)&gt;($D1145-$D1146),($C1146-$C1145)&gt;0),$C1146-$C1145,0))</f>
        <v>0</v>
      </c>
      <c r="AF1146">
        <f>IF(OR($E1146="",$E1145=""),"",IF(AND(($D1145-$D1146)&gt;($C1146-$C1145),($D1145-$D1146)&gt;0),$D1145-$D1146,0))</f>
        <v>0</v>
      </c>
      <c r="AG1146">
        <f>IF(COUNT($E$2:$E1146)&lt;15,"",IF(SUM($AC$1133:$AC$1146)=0,0,100*SUM($AE$1133:$AE$1146)/SUM($AC$1133:$AC$1146)))</f>
        <v>0</v>
      </c>
      <c r="AH1146">
        <f>IF(COUNT($E$2:$E1146)&lt;15,"",IF(SUM($AC$1133:$AC$1146)=0,0,100*SUM($AF$1133:$AF$1146)/SUM($AC$1133:$AC$1146)))</f>
        <v>0</v>
      </c>
      <c r="AI1146">
        <f>IF(OR(AG1146="",AH1146=""),"",IF((AG1146+AH1146)=0,0,100*ABS(AG1146-AH1146)/(AG1146+AH1146)))</f>
        <v>0</v>
      </c>
      <c r="AJ1146">
        <f>IF(COUNT($AI$1133:$AI$1146)&lt;14,"",AVERAGE($AI$1133:$AI$1146))</f>
        <v>0</v>
      </c>
      <c r="AK1146">
        <f>IF(COUNT($E$2:$E1146)&lt;20,"",AVERAGE($E$1127:$E$1146))</f>
        <v>0</v>
      </c>
      <c r="AL1146">
        <f>IF(COUNT($E$2:$E1146)&lt;20,"",STDEVP($E$1127:$E$1146))</f>
        <v>0</v>
      </c>
      <c r="AM1146">
        <f>IF(AK1146="","",AK1146+2*AL1146)</f>
        <v>0</v>
      </c>
      <c r="AN1146">
        <f>IF(AK1146="","",AK1146-2*AL1146)</f>
        <v>0</v>
      </c>
      <c r="AO1146">
        <f>IF(OR(AM1146="",AN1146="",AM1146=AN1146),"",($E1146-AN1146)/(AM1146-AN1146))</f>
        <v>0</v>
      </c>
      <c r="AP1146">
        <f>IF(OR(AM1146="",AK1146="",AK1146=0),"",(AM1146-AN1146)/AK1146)</f>
        <v>0</v>
      </c>
      <c r="AQ1146">
        <f>IF(COUNT($E$2:$E1146)&lt;20,"",MAX($C$1127:$C$1146))</f>
        <v>0</v>
      </c>
      <c r="AR1146">
        <f>IF(COUNT($E$2:$E1146)&lt;20,"",MIN($D$1127:$D$1146))</f>
        <v>0</v>
      </c>
      <c r="AS1146">
        <f>IF(OR(AQ1146="",AR1146=""),"",(AQ1146+AR1146)/2)</f>
        <v>0</v>
      </c>
      <c r="AT1146">
        <f>IF(COUNT($G$1127:$G$1146)&lt;20,"",STDEV($G$1127:$G$1146)*SQRT(252))</f>
        <v>0</v>
      </c>
      <c r="AU1146">
        <f>IF(COUNT($E$2:$E1146)&lt;9,"",(MAX($C$1138:$C$1146)+MIN($D$1138:$D$1146))/2)</f>
        <v>0</v>
      </c>
      <c r="AV1146">
        <f>IF(COUNT($E$2:$E1146)&lt;26,"",(MAX($C$1121:$C$1146)+MIN($D$1121:$D$1146))/2)</f>
        <v>0</v>
      </c>
      <c r="AW1146">
        <f>IF(OR(AU1146="",AV1146=""),"",(AU1146+AV1146)/2)</f>
        <v>0</v>
      </c>
      <c r="AX1146">
        <f>IF(COUNT($E$2:$E1146)&lt;52,"",(MAX($C$1095:$C$1146)+MIN($D$1095:$D$1146))/2)</f>
        <v>0</v>
      </c>
      <c r="AY1146">
        <f>IF(COUNT($E$2:$E1146)&lt;20,"",MAX($C$1047:$C$1146))</f>
        <v>0</v>
      </c>
      <c r="AZ1146">
        <f>IF(COUNT($E$2:$E1146)&lt;20,"",MIN($D$1047:$D$1146))</f>
        <v>0</v>
      </c>
      <c r="BA1146">
        <f>IF(COUNT($E$2:$E1146)&lt;20,"",SLOPE($E$1047:$E$1146,$F$1047:$F$1146))</f>
        <v>0</v>
      </c>
      <c r="BB1146">
        <f>IF(COUNT($E$2:$E1146)&lt;20,"",INTERCEPT($E$1047:$E$1146,$F$1047:$F$1146))</f>
        <v>0</v>
      </c>
      <c r="BC1146">
        <f>IF(OR(BA1146="",BB1146=""),"",BB1146+BA1146*F1146)</f>
        <v>0</v>
      </c>
      <c r="BD1146">
        <f>IF(COUNT($E$2:$E1146)&lt;20,"",STEYX($E$1047:$E$1146,$F$1047:$F$1146))</f>
        <v>0</v>
      </c>
      <c r="BE1146">
        <f>IF($E1146="","",IF(AND(COUNT($E$1147:$E$1150)&gt;=4,$C1146=MAX($C$1142:$C$1150)),$C1146,""))</f>
        <v>0</v>
      </c>
      <c r="BF1146">
        <f>IF($E1146="","",IF(AND(COUNT($E$1147:$E$1150)&gt;=4,$D1146=MIN($D$1142:$D$1150)),$D1146,""))</f>
        <v>0</v>
      </c>
      <c r="BG1146">
        <f>IF($A1146="","",$A1146-WEEKDAY($A1146,2)+1)</f>
        <v>0</v>
      </c>
      <c r="BH1146">
        <f>IF($A1146="","",IF($A1145="",1,IF(BG1146&lt;&gt;BG1145,1,0)))</f>
        <v>0</v>
      </c>
      <c r="BI1146">
        <f>IF($A1146="","",IF($A1147="",1,IF(BG1147&lt;&gt;BG1146,1,0)))</f>
        <v>0</v>
      </c>
      <c r="BJ1146">
        <f>IF($A1146="","",IF(BH1146=1,$B1146,BJ1145))</f>
        <v>0</v>
      </c>
      <c r="BK1146">
        <f>IF($A1146="","",IF(BH1146=1,$C1146,MAX($C1146,BK1145)))</f>
        <v>0</v>
      </c>
      <c r="BL1146">
        <f>IF($A1146="","",IF(BH1146=1,$D1146,MIN($D1146,BL1145)))</f>
        <v>0</v>
      </c>
      <c r="BM1146">
        <f>IF($A1146="","",IF(BI1146=1,F1146,""))</f>
        <v>0</v>
      </c>
      <c r="BN1146">
        <f>IF($A1146="","",DATE(YEAR($A1146),MONTH($A1146),1))</f>
        <v>0</v>
      </c>
      <c r="BO1146">
        <f>IF($A1146="","",IF($A1145="",1,IF(BN1146&lt;&gt;BN1145,1,0)))</f>
        <v>0</v>
      </c>
      <c r="BP1146">
        <f>IF($A1146="","",IF($A1147="",1,IF(BN1147&lt;&gt;BN1146,1,0)))</f>
        <v>0</v>
      </c>
      <c r="BQ1146">
        <f>IF($A1146="","",IF(BO1146=1,$B1146,BQ1145))</f>
        <v>0</v>
      </c>
      <c r="BR1146">
        <f>IF($A1146="","",IF(BO1146=1,$C1146,MAX($C1146,BR1145)))</f>
        <v>0</v>
      </c>
      <c r="BS1146">
        <f>IF($A1146="","",IF(BO1146=1,$D1146,MIN($D1146,BS1145)))</f>
        <v>0</v>
      </c>
      <c r="BT1146">
        <f>IF($A1146="","",IF(BP1146=1,F1146,""))</f>
        <v>0</v>
      </c>
    </row>
    <row r="1147" spans="1:72">
      <c r="A1147" s="27">
        <f>IF(Data!$A1147="","",Data!$A1147)</f>
        <v>0</v>
      </c>
      <c r="B1147">
        <f>IF(Data!$B1147="","",Data!$B1147)</f>
        <v>0</v>
      </c>
      <c r="C1147">
        <f>IF(Data!$C1147="","",Data!$C1147)</f>
        <v>0</v>
      </c>
      <c r="D1147">
        <f>IF(Data!$D1147="","",Data!$D1147)</f>
        <v>0</v>
      </c>
      <c r="E1147">
        <f>IF(Data!$E1147="","",Data!$E1147)</f>
        <v>0</v>
      </c>
      <c r="F1147">
        <f>IF($E1147="","",N(F1146)+1)</f>
        <v>0</v>
      </c>
      <c r="G1147">
        <f>IF(OR($E1147="",$E1146=""),"",LN($E1147/$E1146))</f>
        <v>0</v>
      </c>
      <c r="H1147">
        <f>IF($E1147="","",IF($E1146="",$E1147,$E1147*0.0952380952+H1146*0.9047619048))</f>
        <v>0</v>
      </c>
      <c r="I1147">
        <f>IF($E1147="","",IF($E1146="",$E1147,$E1147*0.0392156863+I1146*0.9607843137))</f>
        <v>0</v>
      </c>
      <c r="J1147">
        <f>IF($E1147="","",IF($E1146="",$E1147,$E1147*0.0198019802+J1146*0.9801980198))</f>
        <v>0</v>
      </c>
      <c r="K1147">
        <f>IF($E1147="","",IF($E1146="",$E1147,$E1147*0.0099502488+K1146*0.9900497512))</f>
        <v>0</v>
      </c>
      <c r="L1147">
        <f>IF(OR($E1147="",$E1146=""),"",MAX($E1147-$E1146,0))</f>
        <v>0</v>
      </c>
      <c r="M1147">
        <f>IF(OR($E1147="",$E1146=""),"",MAX($E1146-$E1147,0))</f>
        <v>0</v>
      </c>
      <c r="N1147">
        <f>IF(COUNT($E$2:$E1147)&lt;15,"",IF(AVERAGE($M$1134:$M$1147)=0,100,100-100/(1+AVERAGE($L$1134:$L$1147)/AVERAGE($M$1134:$M$1147))))</f>
        <v>0</v>
      </c>
      <c r="O1147">
        <f>IF($E1147="","",IF($E1146="",$E1147,$E1147*0.1538461538+O1146*0.8461538462))</f>
        <v>0</v>
      </c>
      <c r="P1147">
        <f>IF($E1147="","",IF($E1146="",$E1147,$E1147*0.0740740741+P1146*0.9259259259))</f>
        <v>0</v>
      </c>
      <c r="Q1147">
        <f>IF(OR(O1147="",P1147=""),"",O1147-P1147)</f>
        <v>0</v>
      </c>
      <c r="R1147">
        <f>IF(Q1147="","",IF(R1146="",Q1147,Q1147*0.2000000000+R1146*0.8000000000))</f>
        <v>0</v>
      </c>
      <c r="S1147">
        <f>IF(OR(Q1147="",R1147=""),"",Q1147-R1147)</f>
        <v>0</v>
      </c>
      <c r="T1147">
        <f>IF(COUNT($E$2:$E1147)&lt;14,"",MAX($C$1134:$C$1147))</f>
        <v>0</v>
      </c>
      <c r="U1147">
        <f>IF(COUNT($E$2:$E1147)&lt;14,"",MIN($D$1134:$D$1147))</f>
        <v>0</v>
      </c>
      <c r="V1147">
        <f>IF(OR(T1147="",U1147="",T1147=U1147),"",100*($E1147-U1147)/(T1147-U1147))</f>
        <v>0</v>
      </c>
      <c r="W1147">
        <f>IF(COUNT($V$1145:$V$1147)&lt;3,"",AVERAGE($V$1145:$V$1147))</f>
        <v>0</v>
      </c>
      <c r="X1147">
        <f>IF(COUNT($N$1134:$N$1147)&lt;14,"",MIN($N$1134:$N$1147))</f>
        <v>0</v>
      </c>
      <c r="Y1147">
        <f>IF(COUNT($N$1134:$N$1147)&lt;14,"",MAX($N$1134:$N$1147))</f>
        <v>0</v>
      </c>
      <c r="Z1147">
        <f>IF(OR(N1147="",X1147="",Y1147="",Y1147=X1147),"",100*(N1147-X1147)/(Y1147-X1147))</f>
        <v>0</v>
      </c>
      <c r="AA1147">
        <f>IF(COUNT($Z$1145:$Z$1147)&lt;3,"",AVERAGE($Z$1145:$Z$1147))</f>
        <v>0</v>
      </c>
      <c r="AB1147">
        <f>IF(COUNT($AA$1145:$AA$1147)&lt;3,"",AVERAGE($AA$1145:$AA$1147))</f>
        <v>0</v>
      </c>
      <c r="AC1147">
        <f>IF($E1147="","",MAX($C1147-$D1147,ABS($C1147-$E1146),ABS($D1147-$E1146)))</f>
        <v>0</v>
      </c>
      <c r="AD1147">
        <f>IF(COUNT($E$2:$E1147)&lt;15,"",AVERAGE($AC$1134:$AC$1147))</f>
        <v>0</v>
      </c>
      <c r="AE1147">
        <f>IF(OR($E1147="",$E1146=""),"",IF(AND(($C1147-$C1146)&gt;($D1146-$D1147),($C1147-$C1146)&gt;0),$C1147-$C1146,0))</f>
        <v>0</v>
      </c>
      <c r="AF1147">
        <f>IF(OR($E1147="",$E1146=""),"",IF(AND(($D1146-$D1147)&gt;($C1147-$C1146),($D1146-$D1147)&gt;0),$D1146-$D1147,0))</f>
        <v>0</v>
      </c>
      <c r="AG1147">
        <f>IF(COUNT($E$2:$E1147)&lt;15,"",IF(SUM($AC$1134:$AC$1147)=0,0,100*SUM($AE$1134:$AE$1147)/SUM($AC$1134:$AC$1147)))</f>
        <v>0</v>
      </c>
      <c r="AH1147">
        <f>IF(COUNT($E$2:$E1147)&lt;15,"",IF(SUM($AC$1134:$AC$1147)=0,0,100*SUM($AF$1134:$AF$1147)/SUM($AC$1134:$AC$1147)))</f>
        <v>0</v>
      </c>
      <c r="AI1147">
        <f>IF(OR(AG1147="",AH1147=""),"",IF((AG1147+AH1147)=0,0,100*ABS(AG1147-AH1147)/(AG1147+AH1147)))</f>
        <v>0</v>
      </c>
      <c r="AJ1147">
        <f>IF(COUNT($AI$1134:$AI$1147)&lt;14,"",AVERAGE($AI$1134:$AI$1147))</f>
        <v>0</v>
      </c>
      <c r="AK1147">
        <f>IF(COUNT($E$2:$E1147)&lt;20,"",AVERAGE($E$1128:$E$1147))</f>
        <v>0</v>
      </c>
      <c r="AL1147">
        <f>IF(COUNT($E$2:$E1147)&lt;20,"",STDEVP($E$1128:$E$1147))</f>
        <v>0</v>
      </c>
      <c r="AM1147">
        <f>IF(AK1147="","",AK1147+2*AL1147)</f>
        <v>0</v>
      </c>
      <c r="AN1147">
        <f>IF(AK1147="","",AK1147-2*AL1147)</f>
        <v>0</v>
      </c>
      <c r="AO1147">
        <f>IF(OR(AM1147="",AN1147="",AM1147=AN1147),"",($E1147-AN1147)/(AM1147-AN1147))</f>
        <v>0</v>
      </c>
      <c r="AP1147">
        <f>IF(OR(AM1147="",AK1147="",AK1147=0),"",(AM1147-AN1147)/AK1147)</f>
        <v>0</v>
      </c>
      <c r="AQ1147">
        <f>IF(COUNT($E$2:$E1147)&lt;20,"",MAX($C$1128:$C$1147))</f>
        <v>0</v>
      </c>
      <c r="AR1147">
        <f>IF(COUNT($E$2:$E1147)&lt;20,"",MIN($D$1128:$D$1147))</f>
        <v>0</v>
      </c>
      <c r="AS1147">
        <f>IF(OR(AQ1147="",AR1147=""),"",(AQ1147+AR1147)/2)</f>
        <v>0</v>
      </c>
      <c r="AT1147">
        <f>IF(COUNT($G$1128:$G$1147)&lt;20,"",STDEV($G$1128:$G$1147)*SQRT(252))</f>
        <v>0</v>
      </c>
      <c r="AU1147">
        <f>IF(COUNT($E$2:$E1147)&lt;9,"",(MAX($C$1139:$C$1147)+MIN($D$1139:$D$1147))/2)</f>
        <v>0</v>
      </c>
      <c r="AV1147">
        <f>IF(COUNT($E$2:$E1147)&lt;26,"",(MAX($C$1122:$C$1147)+MIN($D$1122:$D$1147))/2)</f>
        <v>0</v>
      </c>
      <c r="AW1147">
        <f>IF(OR(AU1147="",AV1147=""),"",(AU1147+AV1147)/2)</f>
        <v>0</v>
      </c>
      <c r="AX1147">
        <f>IF(COUNT($E$2:$E1147)&lt;52,"",(MAX($C$1096:$C$1147)+MIN($D$1096:$D$1147))/2)</f>
        <v>0</v>
      </c>
      <c r="AY1147">
        <f>IF(COUNT($E$2:$E1147)&lt;20,"",MAX($C$1048:$C$1147))</f>
        <v>0</v>
      </c>
      <c r="AZ1147">
        <f>IF(COUNT($E$2:$E1147)&lt;20,"",MIN($D$1048:$D$1147))</f>
        <v>0</v>
      </c>
      <c r="BA1147">
        <f>IF(COUNT($E$2:$E1147)&lt;20,"",SLOPE($E$1048:$E$1147,$F$1048:$F$1147))</f>
        <v>0</v>
      </c>
      <c r="BB1147">
        <f>IF(COUNT($E$2:$E1147)&lt;20,"",INTERCEPT($E$1048:$E$1147,$F$1048:$F$1147))</f>
        <v>0</v>
      </c>
      <c r="BC1147">
        <f>IF(OR(BA1147="",BB1147=""),"",BB1147+BA1147*F1147)</f>
        <v>0</v>
      </c>
      <c r="BD1147">
        <f>IF(COUNT($E$2:$E1147)&lt;20,"",STEYX($E$1048:$E$1147,$F$1048:$F$1147))</f>
        <v>0</v>
      </c>
      <c r="BE1147">
        <f>IF($E1147="","",IF(AND(COUNT($E$1148:$E$1151)&gt;=4,$C1147=MAX($C$1143:$C$1151)),$C1147,""))</f>
        <v>0</v>
      </c>
      <c r="BF1147">
        <f>IF($E1147="","",IF(AND(COUNT($E$1148:$E$1151)&gt;=4,$D1147=MIN($D$1143:$D$1151)),$D1147,""))</f>
        <v>0</v>
      </c>
      <c r="BG1147">
        <f>IF($A1147="","",$A1147-WEEKDAY($A1147,2)+1)</f>
        <v>0</v>
      </c>
      <c r="BH1147">
        <f>IF($A1147="","",IF($A1146="",1,IF(BG1147&lt;&gt;BG1146,1,0)))</f>
        <v>0</v>
      </c>
      <c r="BI1147">
        <f>IF($A1147="","",IF($A1148="",1,IF(BG1148&lt;&gt;BG1147,1,0)))</f>
        <v>0</v>
      </c>
      <c r="BJ1147">
        <f>IF($A1147="","",IF(BH1147=1,$B1147,BJ1146))</f>
        <v>0</v>
      </c>
      <c r="BK1147">
        <f>IF($A1147="","",IF(BH1147=1,$C1147,MAX($C1147,BK1146)))</f>
        <v>0</v>
      </c>
      <c r="BL1147">
        <f>IF($A1147="","",IF(BH1147=1,$D1147,MIN($D1147,BL1146)))</f>
        <v>0</v>
      </c>
      <c r="BM1147">
        <f>IF($A1147="","",IF(BI1147=1,F1147,""))</f>
        <v>0</v>
      </c>
      <c r="BN1147">
        <f>IF($A1147="","",DATE(YEAR($A1147),MONTH($A1147),1))</f>
        <v>0</v>
      </c>
      <c r="BO1147">
        <f>IF($A1147="","",IF($A1146="",1,IF(BN1147&lt;&gt;BN1146,1,0)))</f>
        <v>0</v>
      </c>
      <c r="BP1147">
        <f>IF($A1147="","",IF($A1148="",1,IF(BN1148&lt;&gt;BN1147,1,0)))</f>
        <v>0</v>
      </c>
      <c r="BQ1147">
        <f>IF($A1147="","",IF(BO1147=1,$B1147,BQ1146))</f>
        <v>0</v>
      </c>
      <c r="BR1147">
        <f>IF($A1147="","",IF(BO1147=1,$C1147,MAX($C1147,BR1146)))</f>
        <v>0</v>
      </c>
      <c r="BS1147">
        <f>IF($A1147="","",IF(BO1147=1,$D1147,MIN($D1147,BS1146)))</f>
        <v>0</v>
      </c>
      <c r="BT1147">
        <f>IF($A1147="","",IF(BP1147=1,F1147,""))</f>
        <v>0</v>
      </c>
    </row>
    <row r="1148" spans="1:72">
      <c r="A1148" s="27">
        <f>IF(Data!$A1148="","",Data!$A1148)</f>
        <v>0</v>
      </c>
      <c r="B1148">
        <f>IF(Data!$B1148="","",Data!$B1148)</f>
        <v>0</v>
      </c>
      <c r="C1148">
        <f>IF(Data!$C1148="","",Data!$C1148)</f>
        <v>0</v>
      </c>
      <c r="D1148">
        <f>IF(Data!$D1148="","",Data!$D1148)</f>
        <v>0</v>
      </c>
      <c r="E1148">
        <f>IF(Data!$E1148="","",Data!$E1148)</f>
        <v>0</v>
      </c>
      <c r="F1148">
        <f>IF($E1148="","",N(F1147)+1)</f>
        <v>0</v>
      </c>
      <c r="G1148">
        <f>IF(OR($E1148="",$E1147=""),"",LN($E1148/$E1147))</f>
        <v>0</v>
      </c>
      <c r="H1148">
        <f>IF($E1148="","",IF($E1147="",$E1148,$E1148*0.0952380952+H1147*0.9047619048))</f>
        <v>0</v>
      </c>
      <c r="I1148">
        <f>IF($E1148="","",IF($E1147="",$E1148,$E1148*0.0392156863+I1147*0.9607843137))</f>
        <v>0</v>
      </c>
      <c r="J1148">
        <f>IF($E1148="","",IF($E1147="",$E1148,$E1148*0.0198019802+J1147*0.9801980198))</f>
        <v>0</v>
      </c>
      <c r="K1148">
        <f>IF($E1148="","",IF($E1147="",$E1148,$E1148*0.0099502488+K1147*0.9900497512))</f>
        <v>0</v>
      </c>
      <c r="L1148">
        <f>IF(OR($E1148="",$E1147=""),"",MAX($E1148-$E1147,0))</f>
        <v>0</v>
      </c>
      <c r="M1148">
        <f>IF(OR($E1148="",$E1147=""),"",MAX($E1147-$E1148,0))</f>
        <v>0</v>
      </c>
      <c r="N1148">
        <f>IF(COUNT($E$2:$E1148)&lt;15,"",IF(AVERAGE($M$1135:$M$1148)=0,100,100-100/(1+AVERAGE($L$1135:$L$1148)/AVERAGE($M$1135:$M$1148))))</f>
        <v>0</v>
      </c>
      <c r="O1148">
        <f>IF($E1148="","",IF($E1147="",$E1148,$E1148*0.1538461538+O1147*0.8461538462))</f>
        <v>0</v>
      </c>
      <c r="P1148">
        <f>IF($E1148="","",IF($E1147="",$E1148,$E1148*0.0740740741+P1147*0.9259259259))</f>
        <v>0</v>
      </c>
      <c r="Q1148">
        <f>IF(OR(O1148="",P1148=""),"",O1148-P1148)</f>
        <v>0</v>
      </c>
      <c r="R1148">
        <f>IF(Q1148="","",IF(R1147="",Q1148,Q1148*0.2000000000+R1147*0.8000000000))</f>
        <v>0</v>
      </c>
      <c r="S1148">
        <f>IF(OR(Q1148="",R1148=""),"",Q1148-R1148)</f>
        <v>0</v>
      </c>
      <c r="T1148">
        <f>IF(COUNT($E$2:$E1148)&lt;14,"",MAX($C$1135:$C$1148))</f>
        <v>0</v>
      </c>
      <c r="U1148">
        <f>IF(COUNT($E$2:$E1148)&lt;14,"",MIN($D$1135:$D$1148))</f>
        <v>0</v>
      </c>
      <c r="V1148">
        <f>IF(OR(T1148="",U1148="",T1148=U1148),"",100*($E1148-U1148)/(T1148-U1148))</f>
        <v>0</v>
      </c>
      <c r="W1148">
        <f>IF(COUNT($V$1146:$V$1148)&lt;3,"",AVERAGE($V$1146:$V$1148))</f>
        <v>0</v>
      </c>
      <c r="X1148">
        <f>IF(COUNT($N$1135:$N$1148)&lt;14,"",MIN($N$1135:$N$1148))</f>
        <v>0</v>
      </c>
      <c r="Y1148">
        <f>IF(COUNT($N$1135:$N$1148)&lt;14,"",MAX($N$1135:$N$1148))</f>
        <v>0</v>
      </c>
      <c r="Z1148">
        <f>IF(OR(N1148="",X1148="",Y1148="",Y1148=X1148),"",100*(N1148-X1148)/(Y1148-X1148))</f>
        <v>0</v>
      </c>
      <c r="AA1148">
        <f>IF(COUNT($Z$1146:$Z$1148)&lt;3,"",AVERAGE($Z$1146:$Z$1148))</f>
        <v>0</v>
      </c>
      <c r="AB1148">
        <f>IF(COUNT($AA$1146:$AA$1148)&lt;3,"",AVERAGE($AA$1146:$AA$1148))</f>
        <v>0</v>
      </c>
      <c r="AC1148">
        <f>IF($E1148="","",MAX($C1148-$D1148,ABS($C1148-$E1147),ABS($D1148-$E1147)))</f>
        <v>0</v>
      </c>
      <c r="AD1148">
        <f>IF(COUNT($E$2:$E1148)&lt;15,"",AVERAGE($AC$1135:$AC$1148))</f>
        <v>0</v>
      </c>
      <c r="AE1148">
        <f>IF(OR($E1148="",$E1147=""),"",IF(AND(($C1148-$C1147)&gt;($D1147-$D1148),($C1148-$C1147)&gt;0),$C1148-$C1147,0))</f>
        <v>0</v>
      </c>
      <c r="AF1148">
        <f>IF(OR($E1148="",$E1147=""),"",IF(AND(($D1147-$D1148)&gt;($C1148-$C1147),($D1147-$D1148)&gt;0),$D1147-$D1148,0))</f>
        <v>0</v>
      </c>
      <c r="AG1148">
        <f>IF(COUNT($E$2:$E1148)&lt;15,"",IF(SUM($AC$1135:$AC$1148)=0,0,100*SUM($AE$1135:$AE$1148)/SUM($AC$1135:$AC$1148)))</f>
        <v>0</v>
      </c>
      <c r="AH1148">
        <f>IF(COUNT($E$2:$E1148)&lt;15,"",IF(SUM($AC$1135:$AC$1148)=0,0,100*SUM($AF$1135:$AF$1148)/SUM($AC$1135:$AC$1148)))</f>
        <v>0</v>
      </c>
      <c r="AI1148">
        <f>IF(OR(AG1148="",AH1148=""),"",IF((AG1148+AH1148)=0,0,100*ABS(AG1148-AH1148)/(AG1148+AH1148)))</f>
        <v>0</v>
      </c>
      <c r="AJ1148">
        <f>IF(COUNT($AI$1135:$AI$1148)&lt;14,"",AVERAGE($AI$1135:$AI$1148))</f>
        <v>0</v>
      </c>
      <c r="AK1148">
        <f>IF(COUNT($E$2:$E1148)&lt;20,"",AVERAGE($E$1129:$E$1148))</f>
        <v>0</v>
      </c>
      <c r="AL1148">
        <f>IF(COUNT($E$2:$E1148)&lt;20,"",STDEVP($E$1129:$E$1148))</f>
        <v>0</v>
      </c>
      <c r="AM1148">
        <f>IF(AK1148="","",AK1148+2*AL1148)</f>
        <v>0</v>
      </c>
      <c r="AN1148">
        <f>IF(AK1148="","",AK1148-2*AL1148)</f>
        <v>0</v>
      </c>
      <c r="AO1148">
        <f>IF(OR(AM1148="",AN1148="",AM1148=AN1148),"",($E1148-AN1148)/(AM1148-AN1148))</f>
        <v>0</v>
      </c>
      <c r="AP1148">
        <f>IF(OR(AM1148="",AK1148="",AK1148=0),"",(AM1148-AN1148)/AK1148)</f>
        <v>0</v>
      </c>
      <c r="AQ1148">
        <f>IF(COUNT($E$2:$E1148)&lt;20,"",MAX($C$1129:$C$1148))</f>
        <v>0</v>
      </c>
      <c r="AR1148">
        <f>IF(COUNT($E$2:$E1148)&lt;20,"",MIN($D$1129:$D$1148))</f>
        <v>0</v>
      </c>
      <c r="AS1148">
        <f>IF(OR(AQ1148="",AR1148=""),"",(AQ1148+AR1148)/2)</f>
        <v>0</v>
      </c>
      <c r="AT1148">
        <f>IF(COUNT($G$1129:$G$1148)&lt;20,"",STDEV($G$1129:$G$1148)*SQRT(252))</f>
        <v>0</v>
      </c>
      <c r="AU1148">
        <f>IF(COUNT($E$2:$E1148)&lt;9,"",(MAX($C$1140:$C$1148)+MIN($D$1140:$D$1148))/2)</f>
        <v>0</v>
      </c>
      <c r="AV1148">
        <f>IF(COUNT($E$2:$E1148)&lt;26,"",(MAX($C$1123:$C$1148)+MIN($D$1123:$D$1148))/2)</f>
        <v>0</v>
      </c>
      <c r="AW1148">
        <f>IF(OR(AU1148="",AV1148=""),"",(AU1148+AV1148)/2)</f>
        <v>0</v>
      </c>
      <c r="AX1148">
        <f>IF(COUNT($E$2:$E1148)&lt;52,"",(MAX($C$1097:$C$1148)+MIN($D$1097:$D$1148))/2)</f>
        <v>0</v>
      </c>
      <c r="AY1148">
        <f>IF(COUNT($E$2:$E1148)&lt;20,"",MAX($C$1049:$C$1148))</f>
        <v>0</v>
      </c>
      <c r="AZ1148">
        <f>IF(COUNT($E$2:$E1148)&lt;20,"",MIN($D$1049:$D$1148))</f>
        <v>0</v>
      </c>
      <c r="BA1148">
        <f>IF(COUNT($E$2:$E1148)&lt;20,"",SLOPE($E$1049:$E$1148,$F$1049:$F$1148))</f>
        <v>0</v>
      </c>
      <c r="BB1148">
        <f>IF(COUNT($E$2:$E1148)&lt;20,"",INTERCEPT($E$1049:$E$1148,$F$1049:$F$1148))</f>
        <v>0</v>
      </c>
      <c r="BC1148">
        <f>IF(OR(BA1148="",BB1148=""),"",BB1148+BA1148*F1148)</f>
        <v>0</v>
      </c>
      <c r="BD1148">
        <f>IF(COUNT($E$2:$E1148)&lt;20,"",STEYX($E$1049:$E$1148,$F$1049:$F$1148))</f>
        <v>0</v>
      </c>
      <c r="BE1148">
        <f>IF($E1148="","",IF(AND(COUNT($E$1149:$E$1152)&gt;=4,$C1148=MAX($C$1144:$C$1152)),$C1148,""))</f>
        <v>0</v>
      </c>
      <c r="BF1148">
        <f>IF($E1148="","",IF(AND(COUNT($E$1149:$E$1152)&gt;=4,$D1148=MIN($D$1144:$D$1152)),$D1148,""))</f>
        <v>0</v>
      </c>
      <c r="BG1148">
        <f>IF($A1148="","",$A1148-WEEKDAY($A1148,2)+1)</f>
        <v>0</v>
      </c>
      <c r="BH1148">
        <f>IF($A1148="","",IF($A1147="",1,IF(BG1148&lt;&gt;BG1147,1,0)))</f>
        <v>0</v>
      </c>
      <c r="BI1148">
        <f>IF($A1148="","",IF($A1149="",1,IF(BG1149&lt;&gt;BG1148,1,0)))</f>
        <v>0</v>
      </c>
      <c r="BJ1148">
        <f>IF($A1148="","",IF(BH1148=1,$B1148,BJ1147))</f>
        <v>0</v>
      </c>
      <c r="BK1148">
        <f>IF($A1148="","",IF(BH1148=1,$C1148,MAX($C1148,BK1147)))</f>
        <v>0</v>
      </c>
      <c r="BL1148">
        <f>IF($A1148="","",IF(BH1148=1,$D1148,MIN($D1148,BL1147)))</f>
        <v>0</v>
      </c>
      <c r="BM1148">
        <f>IF($A1148="","",IF(BI1148=1,F1148,""))</f>
        <v>0</v>
      </c>
      <c r="BN1148">
        <f>IF($A1148="","",DATE(YEAR($A1148),MONTH($A1148),1))</f>
        <v>0</v>
      </c>
      <c r="BO1148">
        <f>IF($A1148="","",IF($A1147="",1,IF(BN1148&lt;&gt;BN1147,1,0)))</f>
        <v>0</v>
      </c>
      <c r="BP1148">
        <f>IF($A1148="","",IF($A1149="",1,IF(BN1149&lt;&gt;BN1148,1,0)))</f>
        <v>0</v>
      </c>
      <c r="BQ1148">
        <f>IF($A1148="","",IF(BO1148=1,$B1148,BQ1147))</f>
        <v>0</v>
      </c>
      <c r="BR1148">
        <f>IF($A1148="","",IF(BO1148=1,$C1148,MAX($C1148,BR1147)))</f>
        <v>0</v>
      </c>
      <c r="BS1148">
        <f>IF($A1148="","",IF(BO1148=1,$D1148,MIN($D1148,BS1147)))</f>
        <v>0</v>
      </c>
      <c r="BT1148">
        <f>IF($A1148="","",IF(BP1148=1,F1148,""))</f>
        <v>0</v>
      </c>
    </row>
    <row r="1149" spans="1:72">
      <c r="A1149" s="27">
        <f>IF(Data!$A1149="","",Data!$A1149)</f>
        <v>0</v>
      </c>
      <c r="B1149">
        <f>IF(Data!$B1149="","",Data!$B1149)</f>
        <v>0</v>
      </c>
      <c r="C1149">
        <f>IF(Data!$C1149="","",Data!$C1149)</f>
        <v>0</v>
      </c>
      <c r="D1149">
        <f>IF(Data!$D1149="","",Data!$D1149)</f>
        <v>0</v>
      </c>
      <c r="E1149">
        <f>IF(Data!$E1149="","",Data!$E1149)</f>
        <v>0</v>
      </c>
      <c r="F1149">
        <f>IF($E1149="","",N(F1148)+1)</f>
        <v>0</v>
      </c>
      <c r="G1149">
        <f>IF(OR($E1149="",$E1148=""),"",LN($E1149/$E1148))</f>
        <v>0</v>
      </c>
      <c r="H1149">
        <f>IF($E1149="","",IF($E1148="",$E1149,$E1149*0.0952380952+H1148*0.9047619048))</f>
        <v>0</v>
      </c>
      <c r="I1149">
        <f>IF($E1149="","",IF($E1148="",$E1149,$E1149*0.0392156863+I1148*0.9607843137))</f>
        <v>0</v>
      </c>
      <c r="J1149">
        <f>IF($E1149="","",IF($E1148="",$E1149,$E1149*0.0198019802+J1148*0.9801980198))</f>
        <v>0</v>
      </c>
      <c r="K1149">
        <f>IF($E1149="","",IF($E1148="",$E1149,$E1149*0.0099502488+K1148*0.9900497512))</f>
        <v>0</v>
      </c>
      <c r="L1149">
        <f>IF(OR($E1149="",$E1148=""),"",MAX($E1149-$E1148,0))</f>
        <v>0</v>
      </c>
      <c r="M1149">
        <f>IF(OR($E1149="",$E1148=""),"",MAX($E1148-$E1149,0))</f>
        <v>0</v>
      </c>
      <c r="N1149">
        <f>IF(COUNT($E$2:$E1149)&lt;15,"",IF(AVERAGE($M$1136:$M$1149)=0,100,100-100/(1+AVERAGE($L$1136:$L$1149)/AVERAGE($M$1136:$M$1149))))</f>
        <v>0</v>
      </c>
      <c r="O1149">
        <f>IF($E1149="","",IF($E1148="",$E1149,$E1149*0.1538461538+O1148*0.8461538462))</f>
        <v>0</v>
      </c>
      <c r="P1149">
        <f>IF($E1149="","",IF($E1148="",$E1149,$E1149*0.0740740741+P1148*0.9259259259))</f>
        <v>0</v>
      </c>
      <c r="Q1149">
        <f>IF(OR(O1149="",P1149=""),"",O1149-P1149)</f>
        <v>0</v>
      </c>
      <c r="R1149">
        <f>IF(Q1149="","",IF(R1148="",Q1149,Q1149*0.2000000000+R1148*0.8000000000))</f>
        <v>0</v>
      </c>
      <c r="S1149">
        <f>IF(OR(Q1149="",R1149=""),"",Q1149-R1149)</f>
        <v>0</v>
      </c>
      <c r="T1149">
        <f>IF(COUNT($E$2:$E1149)&lt;14,"",MAX($C$1136:$C$1149))</f>
        <v>0</v>
      </c>
      <c r="U1149">
        <f>IF(COUNT($E$2:$E1149)&lt;14,"",MIN($D$1136:$D$1149))</f>
        <v>0</v>
      </c>
      <c r="V1149">
        <f>IF(OR(T1149="",U1149="",T1149=U1149),"",100*($E1149-U1149)/(T1149-U1149))</f>
        <v>0</v>
      </c>
      <c r="W1149">
        <f>IF(COUNT($V$1147:$V$1149)&lt;3,"",AVERAGE($V$1147:$V$1149))</f>
        <v>0</v>
      </c>
      <c r="X1149">
        <f>IF(COUNT($N$1136:$N$1149)&lt;14,"",MIN($N$1136:$N$1149))</f>
        <v>0</v>
      </c>
      <c r="Y1149">
        <f>IF(COUNT($N$1136:$N$1149)&lt;14,"",MAX($N$1136:$N$1149))</f>
        <v>0</v>
      </c>
      <c r="Z1149">
        <f>IF(OR(N1149="",X1149="",Y1149="",Y1149=X1149),"",100*(N1149-X1149)/(Y1149-X1149))</f>
        <v>0</v>
      </c>
      <c r="AA1149">
        <f>IF(COUNT($Z$1147:$Z$1149)&lt;3,"",AVERAGE($Z$1147:$Z$1149))</f>
        <v>0</v>
      </c>
      <c r="AB1149">
        <f>IF(COUNT($AA$1147:$AA$1149)&lt;3,"",AVERAGE($AA$1147:$AA$1149))</f>
        <v>0</v>
      </c>
      <c r="AC1149">
        <f>IF($E1149="","",MAX($C1149-$D1149,ABS($C1149-$E1148),ABS($D1149-$E1148)))</f>
        <v>0</v>
      </c>
      <c r="AD1149">
        <f>IF(COUNT($E$2:$E1149)&lt;15,"",AVERAGE($AC$1136:$AC$1149))</f>
        <v>0</v>
      </c>
      <c r="AE1149">
        <f>IF(OR($E1149="",$E1148=""),"",IF(AND(($C1149-$C1148)&gt;($D1148-$D1149),($C1149-$C1148)&gt;0),$C1149-$C1148,0))</f>
        <v>0</v>
      </c>
      <c r="AF1149">
        <f>IF(OR($E1149="",$E1148=""),"",IF(AND(($D1148-$D1149)&gt;($C1149-$C1148),($D1148-$D1149)&gt;0),$D1148-$D1149,0))</f>
        <v>0</v>
      </c>
      <c r="AG1149">
        <f>IF(COUNT($E$2:$E1149)&lt;15,"",IF(SUM($AC$1136:$AC$1149)=0,0,100*SUM($AE$1136:$AE$1149)/SUM($AC$1136:$AC$1149)))</f>
        <v>0</v>
      </c>
      <c r="AH1149">
        <f>IF(COUNT($E$2:$E1149)&lt;15,"",IF(SUM($AC$1136:$AC$1149)=0,0,100*SUM($AF$1136:$AF$1149)/SUM($AC$1136:$AC$1149)))</f>
        <v>0</v>
      </c>
      <c r="AI1149">
        <f>IF(OR(AG1149="",AH1149=""),"",IF((AG1149+AH1149)=0,0,100*ABS(AG1149-AH1149)/(AG1149+AH1149)))</f>
        <v>0</v>
      </c>
      <c r="AJ1149">
        <f>IF(COUNT($AI$1136:$AI$1149)&lt;14,"",AVERAGE($AI$1136:$AI$1149))</f>
        <v>0</v>
      </c>
      <c r="AK1149">
        <f>IF(COUNT($E$2:$E1149)&lt;20,"",AVERAGE($E$1130:$E$1149))</f>
        <v>0</v>
      </c>
      <c r="AL1149">
        <f>IF(COUNT($E$2:$E1149)&lt;20,"",STDEVP($E$1130:$E$1149))</f>
        <v>0</v>
      </c>
      <c r="AM1149">
        <f>IF(AK1149="","",AK1149+2*AL1149)</f>
        <v>0</v>
      </c>
      <c r="AN1149">
        <f>IF(AK1149="","",AK1149-2*AL1149)</f>
        <v>0</v>
      </c>
      <c r="AO1149">
        <f>IF(OR(AM1149="",AN1149="",AM1149=AN1149),"",($E1149-AN1149)/(AM1149-AN1149))</f>
        <v>0</v>
      </c>
      <c r="AP1149">
        <f>IF(OR(AM1149="",AK1149="",AK1149=0),"",(AM1149-AN1149)/AK1149)</f>
        <v>0</v>
      </c>
      <c r="AQ1149">
        <f>IF(COUNT($E$2:$E1149)&lt;20,"",MAX($C$1130:$C$1149))</f>
        <v>0</v>
      </c>
      <c r="AR1149">
        <f>IF(COUNT($E$2:$E1149)&lt;20,"",MIN($D$1130:$D$1149))</f>
        <v>0</v>
      </c>
      <c r="AS1149">
        <f>IF(OR(AQ1149="",AR1149=""),"",(AQ1149+AR1149)/2)</f>
        <v>0</v>
      </c>
      <c r="AT1149">
        <f>IF(COUNT($G$1130:$G$1149)&lt;20,"",STDEV($G$1130:$G$1149)*SQRT(252))</f>
        <v>0</v>
      </c>
      <c r="AU1149">
        <f>IF(COUNT($E$2:$E1149)&lt;9,"",(MAX($C$1141:$C$1149)+MIN($D$1141:$D$1149))/2)</f>
        <v>0</v>
      </c>
      <c r="AV1149">
        <f>IF(COUNT($E$2:$E1149)&lt;26,"",(MAX($C$1124:$C$1149)+MIN($D$1124:$D$1149))/2)</f>
        <v>0</v>
      </c>
      <c r="AW1149">
        <f>IF(OR(AU1149="",AV1149=""),"",(AU1149+AV1149)/2)</f>
        <v>0</v>
      </c>
      <c r="AX1149">
        <f>IF(COUNT($E$2:$E1149)&lt;52,"",(MAX($C$1098:$C$1149)+MIN($D$1098:$D$1149))/2)</f>
        <v>0</v>
      </c>
      <c r="AY1149">
        <f>IF(COUNT($E$2:$E1149)&lt;20,"",MAX($C$1050:$C$1149))</f>
        <v>0</v>
      </c>
      <c r="AZ1149">
        <f>IF(COUNT($E$2:$E1149)&lt;20,"",MIN($D$1050:$D$1149))</f>
        <v>0</v>
      </c>
      <c r="BA1149">
        <f>IF(COUNT($E$2:$E1149)&lt;20,"",SLOPE($E$1050:$E$1149,$F$1050:$F$1149))</f>
        <v>0</v>
      </c>
      <c r="BB1149">
        <f>IF(COUNT($E$2:$E1149)&lt;20,"",INTERCEPT($E$1050:$E$1149,$F$1050:$F$1149))</f>
        <v>0</v>
      </c>
      <c r="BC1149">
        <f>IF(OR(BA1149="",BB1149=""),"",BB1149+BA1149*F1149)</f>
        <v>0</v>
      </c>
      <c r="BD1149">
        <f>IF(COUNT($E$2:$E1149)&lt;20,"",STEYX($E$1050:$E$1149,$F$1050:$F$1149))</f>
        <v>0</v>
      </c>
      <c r="BE1149">
        <f>IF($E1149="","",IF(AND(COUNT($E$1150:$E$1153)&gt;=4,$C1149=MAX($C$1145:$C$1153)),$C1149,""))</f>
        <v>0</v>
      </c>
      <c r="BF1149">
        <f>IF($E1149="","",IF(AND(COUNT($E$1150:$E$1153)&gt;=4,$D1149=MIN($D$1145:$D$1153)),$D1149,""))</f>
        <v>0</v>
      </c>
      <c r="BG1149">
        <f>IF($A1149="","",$A1149-WEEKDAY($A1149,2)+1)</f>
        <v>0</v>
      </c>
      <c r="BH1149">
        <f>IF($A1149="","",IF($A1148="",1,IF(BG1149&lt;&gt;BG1148,1,0)))</f>
        <v>0</v>
      </c>
      <c r="BI1149">
        <f>IF($A1149="","",IF($A1150="",1,IF(BG1150&lt;&gt;BG1149,1,0)))</f>
        <v>0</v>
      </c>
      <c r="BJ1149">
        <f>IF($A1149="","",IF(BH1149=1,$B1149,BJ1148))</f>
        <v>0</v>
      </c>
      <c r="BK1149">
        <f>IF($A1149="","",IF(BH1149=1,$C1149,MAX($C1149,BK1148)))</f>
        <v>0</v>
      </c>
      <c r="BL1149">
        <f>IF($A1149="","",IF(BH1149=1,$D1149,MIN($D1149,BL1148)))</f>
        <v>0</v>
      </c>
      <c r="BM1149">
        <f>IF($A1149="","",IF(BI1149=1,F1149,""))</f>
        <v>0</v>
      </c>
      <c r="BN1149">
        <f>IF($A1149="","",DATE(YEAR($A1149),MONTH($A1149),1))</f>
        <v>0</v>
      </c>
      <c r="BO1149">
        <f>IF($A1149="","",IF($A1148="",1,IF(BN1149&lt;&gt;BN1148,1,0)))</f>
        <v>0</v>
      </c>
      <c r="BP1149">
        <f>IF($A1149="","",IF($A1150="",1,IF(BN1150&lt;&gt;BN1149,1,0)))</f>
        <v>0</v>
      </c>
      <c r="BQ1149">
        <f>IF($A1149="","",IF(BO1149=1,$B1149,BQ1148))</f>
        <v>0</v>
      </c>
      <c r="BR1149">
        <f>IF($A1149="","",IF(BO1149=1,$C1149,MAX($C1149,BR1148)))</f>
        <v>0</v>
      </c>
      <c r="BS1149">
        <f>IF($A1149="","",IF(BO1149=1,$D1149,MIN($D1149,BS1148)))</f>
        <v>0</v>
      </c>
      <c r="BT1149">
        <f>IF($A1149="","",IF(BP1149=1,F1149,""))</f>
        <v>0</v>
      </c>
    </row>
    <row r="1150" spans="1:72">
      <c r="A1150" s="27">
        <f>IF(Data!$A1150="","",Data!$A1150)</f>
        <v>0</v>
      </c>
      <c r="B1150">
        <f>IF(Data!$B1150="","",Data!$B1150)</f>
        <v>0</v>
      </c>
      <c r="C1150">
        <f>IF(Data!$C1150="","",Data!$C1150)</f>
        <v>0</v>
      </c>
      <c r="D1150">
        <f>IF(Data!$D1150="","",Data!$D1150)</f>
        <v>0</v>
      </c>
      <c r="E1150">
        <f>IF(Data!$E1150="","",Data!$E1150)</f>
        <v>0</v>
      </c>
      <c r="F1150">
        <f>IF($E1150="","",N(F1149)+1)</f>
        <v>0</v>
      </c>
      <c r="G1150">
        <f>IF(OR($E1150="",$E1149=""),"",LN($E1150/$E1149))</f>
        <v>0</v>
      </c>
      <c r="H1150">
        <f>IF($E1150="","",IF($E1149="",$E1150,$E1150*0.0952380952+H1149*0.9047619048))</f>
        <v>0</v>
      </c>
      <c r="I1150">
        <f>IF($E1150="","",IF($E1149="",$E1150,$E1150*0.0392156863+I1149*0.9607843137))</f>
        <v>0</v>
      </c>
      <c r="J1150">
        <f>IF($E1150="","",IF($E1149="",$E1150,$E1150*0.0198019802+J1149*0.9801980198))</f>
        <v>0</v>
      </c>
      <c r="K1150">
        <f>IF($E1150="","",IF($E1149="",$E1150,$E1150*0.0099502488+K1149*0.9900497512))</f>
        <v>0</v>
      </c>
      <c r="L1150">
        <f>IF(OR($E1150="",$E1149=""),"",MAX($E1150-$E1149,0))</f>
        <v>0</v>
      </c>
      <c r="M1150">
        <f>IF(OR($E1150="",$E1149=""),"",MAX($E1149-$E1150,0))</f>
        <v>0</v>
      </c>
      <c r="N1150">
        <f>IF(COUNT($E$2:$E1150)&lt;15,"",IF(AVERAGE($M$1137:$M$1150)=0,100,100-100/(1+AVERAGE($L$1137:$L$1150)/AVERAGE($M$1137:$M$1150))))</f>
        <v>0</v>
      </c>
      <c r="O1150">
        <f>IF($E1150="","",IF($E1149="",$E1150,$E1150*0.1538461538+O1149*0.8461538462))</f>
        <v>0</v>
      </c>
      <c r="P1150">
        <f>IF($E1150="","",IF($E1149="",$E1150,$E1150*0.0740740741+P1149*0.9259259259))</f>
        <v>0</v>
      </c>
      <c r="Q1150">
        <f>IF(OR(O1150="",P1150=""),"",O1150-P1150)</f>
        <v>0</v>
      </c>
      <c r="R1150">
        <f>IF(Q1150="","",IF(R1149="",Q1150,Q1150*0.2000000000+R1149*0.8000000000))</f>
        <v>0</v>
      </c>
      <c r="S1150">
        <f>IF(OR(Q1150="",R1150=""),"",Q1150-R1150)</f>
        <v>0</v>
      </c>
      <c r="T1150">
        <f>IF(COUNT($E$2:$E1150)&lt;14,"",MAX($C$1137:$C$1150))</f>
        <v>0</v>
      </c>
      <c r="U1150">
        <f>IF(COUNT($E$2:$E1150)&lt;14,"",MIN($D$1137:$D$1150))</f>
        <v>0</v>
      </c>
      <c r="V1150">
        <f>IF(OR(T1150="",U1150="",T1150=U1150),"",100*($E1150-U1150)/(T1150-U1150))</f>
        <v>0</v>
      </c>
      <c r="W1150">
        <f>IF(COUNT($V$1148:$V$1150)&lt;3,"",AVERAGE($V$1148:$V$1150))</f>
        <v>0</v>
      </c>
      <c r="X1150">
        <f>IF(COUNT($N$1137:$N$1150)&lt;14,"",MIN($N$1137:$N$1150))</f>
        <v>0</v>
      </c>
      <c r="Y1150">
        <f>IF(COUNT($N$1137:$N$1150)&lt;14,"",MAX($N$1137:$N$1150))</f>
        <v>0</v>
      </c>
      <c r="Z1150">
        <f>IF(OR(N1150="",X1150="",Y1150="",Y1150=X1150),"",100*(N1150-X1150)/(Y1150-X1150))</f>
        <v>0</v>
      </c>
      <c r="AA1150">
        <f>IF(COUNT($Z$1148:$Z$1150)&lt;3,"",AVERAGE($Z$1148:$Z$1150))</f>
        <v>0</v>
      </c>
      <c r="AB1150">
        <f>IF(COUNT($AA$1148:$AA$1150)&lt;3,"",AVERAGE($AA$1148:$AA$1150))</f>
        <v>0</v>
      </c>
      <c r="AC1150">
        <f>IF($E1150="","",MAX($C1150-$D1150,ABS($C1150-$E1149),ABS($D1150-$E1149)))</f>
        <v>0</v>
      </c>
      <c r="AD1150">
        <f>IF(COUNT($E$2:$E1150)&lt;15,"",AVERAGE($AC$1137:$AC$1150))</f>
        <v>0</v>
      </c>
      <c r="AE1150">
        <f>IF(OR($E1150="",$E1149=""),"",IF(AND(($C1150-$C1149)&gt;($D1149-$D1150),($C1150-$C1149)&gt;0),$C1150-$C1149,0))</f>
        <v>0</v>
      </c>
      <c r="AF1150">
        <f>IF(OR($E1150="",$E1149=""),"",IF(AND(($D1149-$D1150)&gt;($C1150-$C1149),($D1149-$D1150)&gt;0),$D1149-$D1150,0))</f>
        <v>0</v>
      </c>
      <c r="AG1150">
        <f>IF(COUNT($E$2:$E1150)&lt;15,"",IF(SUM($AC$1137:$AC$1150)=0,0,100*SUM($AE$1137:$AE$1150)/SUM($AC$1137:$AC$1150)))</f>
        <v>0</v>
      </c>
      <c r="AH1150">
        <f>IF(COUNT($E$2:$E1150)&lt;15,"",IF(SUM($AC$1137:$AC$1150)=0,0,100*SUM($AF$1137:$AF$1150)/SUM($AC$1137:$AC$1150)))</f>
        <v>0</v>
      </c>
      <c r="AI1150">
        <f>IF(OR(AG1150="",AH1150=""),"",IF((AG1150+AH1150)=0,0,100*ABS(AG1150-AH1150)/(AG1150+AH1150)))</f>
        <v>0</v>
      </c>
      <c r="AJ1150">
        <f>IF(COUNT($AI$1137:$AI$1150)&lt;14,"",AVERAGE($AI$1137:$AI$1150))</f>
        <v>0</v>
      </c>
      <c r="AK1150">
        <f>IF(COUNT($E$2:$E1150)&lt;20,"",AVERAGE($E$1131:$E$1150))</f>
        <v>0</v>
      </c>
      <c r="AL1150">
        <f>IF(COUNT($E$2:$E1150)&lt;20,"",STDEVP($E$1131:$E$1150))</f>
        <v>0</v>
      </c>
      <c r="AM1150">
        <f>IF(AK1150="","",AK1150+2*AL1150)</f>
        <v>0</v>
      </c>
      <c r="AN1150">
        <f>IF(AK1150="","",AK1150-2*AL1150)</f>
        <v>0</v>
      </c>
      <c r="AO1150">
        <f>IF(OR(AM1150="",AN1150="",AM1150=AN1150),"",($E1150-AN1150)/(AM1150-AN1150))</f>
        <v>0</v>
      </c>
      <c r="AP1150">
        <f>IF(OR(AM1150="",AK1150="",AK1150=0),"",(AM1150-AN1150)/AK1150)</f>
        <v>0</v>
      </c>
      <c r="AQ1150">
        <f>IF(COUNT($E$2:$E1150)&lt;20,"",MAX($C$1131:$C$1150))</f>
        <v>0</v>
      </c>
      <c r="AR1150">
        <f>IF(COUNT($E$2:$E1150)&lt;20,"",MIN($D$1131:$D$1150))</f>
        <v>0</v>
      </c>
      <c r="AS1150">
        <f>IF(OR(AQ1150="",AR1150=""),"",(AQ1150+AR1150)/2)</f>
        <v>0</v>
      </c>
      <c r="AT1150">
        <f>IF(COUNT($G$1131:$G$1150)&lt;20,"",STDEV($G$1131:$G$1150)*SQRT(252))</f>
        <v>0</v>
      </c>
      <c r="AU1150">
        <f>IF(COUNT($E$2:$E1150)&lt;9,"",(MAX($C$1142:$C$1150)+MIN($D$1142:$D$1150))/2)</f>
        <v>0</v>
      </c>
      <c r="AV1150">
        <f>IF(COUNT($E$2:$E1150)&lt;26,"",(MAX($C$1125:$C$1150)+MIN($D$1125:$D$1150))/2)</f>
        <v>0</v>
      </c>
      <c r="AW1150">
        <f>IF(OR(AU1150="",AV1150=""),"",(AU1150+AV1150)/2)</f>
        <v>0</v>
      </c>
      <c r="AX1150">
        <f>IF(COUNT($E$2:$E1150)&lt;52,"",(MAX($C$1099:$C$1150)+MIN($D$1099:$D$1150))/2)</f>
        <v>0</v>
      </c>
      <c r="AY1150">
        <f>IF(COUNT($E$2:$E1150)&lt;20,"",MAX($C$1051:$C$1150))</f>
        <v>0</v>
      </c>
      <c r="AZ1150">
        <f>IF(COUNT($E$2:$E1150)&lt;20,"",MIN($D$1051:$D$1150))</f>
        <v>0</v>
      </c>
      <c r="BA1150">
        <f>IF(COUNT($E$2:$E1150)&lt;20,"",SLOPE($E$1051:$E$1150,$F$1051:$F$1150))</f>
        <v>0</v>
      </c>
      <c r="BB1150">
        <f>IF(COUNT($E$2:$E1150)&lt;20,"",INTERCEPT($E$1051:$E$1150,$F$1051:$F$1150))</f>
        <v>0</v>
      </c>
      <c r="BC1150">
        <f>IF(OR(BA1150="",BB1150=""),"",BB1150+BA1150*F1150)</f>
        <v>0</v>
      </c>
      <c r="BD1150">
        <f>IF(COUNT($E$2:$E1150)&lt;20,"",STEYX($E$1051:$E$1150,$F$1051:$F$1150))</f>
        <v>0</v>
      </c>
      <c r="BE1150">
        <f>IF($E1150="","",IF(AND(COUNT($E$1151:$E$1154)&gt;=4,$C1150=MAX($C$1146:$C$1154)),$C1150,""))</f>
        <v>0</v>
      </c>
      <c r="BF1150">
        <f>IF($E1150="","",IF(AND(COUNT($E$1151:$E$1154)&gt;=4,$D1150=MIN($D$1146:$D$1154)),$D1150,""))</f>
        <v>0</v>
      </c>
      <c r="BG1150">
        <f>IF($A1150="","",$A1150-WEEKDAY($A1150,2)+1)</f>
        <v>0</v>
      </c>
      <c r="BH1150">
        <f>IF($A1150="","",IF($A1149="",1,IF(BG1150&lt;&gt;BG1149,1,0)))</f>
        <v>0</v>
      </c>
      <c r="BI1150">
        <f>IF($A1150="","",IF($A1151="",1,IF(BG1151&lt;&gt;BG1150,1,0)))</f>
        <v>0</v>
      </c>
      <c r="BJ1150">
        <f>IF($A1150="","",IF(BH1150=1,$B1150,BJ1149))</f>
        <v>0</v>
      </c>
      <c r="BK1150">
        <f>IF($A1150="","",IF(BH1150=1,$C1150,MAX($C1150,BK1149)))</f>
        <v>0</v>
      </c>
      <c r="BL1150">
        <f>IF($A1150="","",IF(BH1150=1,$D1150,MIN($D1150,BL1149)))</f>
        <v>0</v>
      </c>
      <c r="BM1150">
        <f>IF($A1150="","",IF(BI1150=1,F1150,""))</f>
        <v>0</v>
      </c>
      <c r="BN1150">
        <f>IF($A1150="","",DATE(YEAR($A1150),MONTH($A1150),1))</f>
        <v>0</v>
      </c>
      <c r="BO1150">
        <f>IF($A1150="","",IF($A1149="",1,IF(BN1150&lt;&gt;BN1149,1,0)))</f>
        <v>0</v>
      </c>
      <c r="BP1150">
        <f>IF($A1150="","",IF($A1151="",1,IF(BN1151&lt;&gt;BN1150,1,0)))</f>
        <v>0</v>
      </c>
      <c r="BQ1150">
        <f>IF($A1150="","",IF(BO1150=1,$B1150,BQ1149))</f>
        <v>0</v>
      </c>
      <c r="BR1150">
        <f>IF($A1150="","",IF(BO1150=1,$C1150,MAX($C1150,BR1149)))</f>
        <v>0</v>
      </c>
      <c r="BS1150">
        <f>IF($A1150="","",IF(BO1150=1,$D1150,MIN($D1150,BS1149)))</f>
        <v>0</v>
      </c>
      <c r="BT1150">
        <f>IF($A1150="","",IF(BP1150=1,F1150,""))</f>
        <v>0</v>
      </c>
    </row>
    <row r="1151" spans="1:72">
      <c r="A1151" s="27">
        <f>IF(Data!$A1151="","",Data!$A1151)</f>
        <v>0</v>
      </c>
      <c r="B1151">
        <f>IF(Data!$B1151="","",Data!$B1151)</f>
        <v>0</v>
      </c>
      <c r="C1151">
        <f>IF(Data!$C1151="","",Data!$C1151)</f>
        <v>0</v>
      </c>
      <c r="D1151">
        <f>IF(Data!$D1151="","",Data!$D1151)</f>
        <v>0</v>
      </c>
      <c r="E1151">
        <f>IF(Data!$E1151="","",Data!$E1151)</f>
        <v>0</v>
      </c>
      <c r="F1151">
        <f>IF($E1151="","",N(F1150)+1)</f>
        <v>0</v>
      </c>
      <c r="G1151">
        <f>IF(OR($E1151="",$E1150=""),"",LN($E1151/$E1150))</f>
        <v>0</v>
      </c>
      <c r="H1151">
        <f>IF($E1151="","",IF($E1150="",$E1151,$E1151*0.0952380952+H1150*0.9047619048))</f>
        <v>0</v>
      </c>
      <c r="I1151">
        <f>IF($E1151="","",IF($E1150="",$E1151,$E1151*0.0392156863+I1150*0.9607843137))</f>
        <v>0</v>
      </c>
      <c r="J1151">
        <f>IF($E1151="","",IF($E1150="",$E1151,$E1151*0.0198019802+J1150*0.9801980198))</f>
        <v>0</v>
      </c>
      <c r="K1151">
        <f>IF($E1151="","",IF($E1150="",$E1151,$E1151*0.0099502488+K1150*0.9900497512))</f>
        <v>0</v>
      </c>
      <c r="L1151">
        <f>IF(OR($E1151="",$E1150=""),"",MAX($E1151-$E1150,0))</f>
        <v>0</v>
      </c>
      <c r="M1151">
        <f>IF(OR($E1151="",$E1150=""),"",MAX($E1150-$E1151,0))</f>
        <v>0</v>
      </c>
      <c r="N1151">
        <f>IF(COUNT($E$2:$E1151)&lt;15,"",IF(AVERAGE($M$1138:$M$1151)=0,100,100-100/(1+AVERAGE($L$1138:$L$1151)/AVERAGE($M$1138:$M$1151))))</f>
        <v>0</v>
      </c>
      <c r="O1151">
        <f>IF($E1151="","",IF($E1150="",$E1151,$E1151*0.1538461538+O1150*0.8461538462))</f>
        <v>0</v>
      </c>
      <c r="P1151">
        <f>IF($E1151="","",IF($E1150="",$E1151,$E1151*0.0740740741+P1150*0.9259259259))</f>
        <v>0</v>
      </c>
      <c r="Q1151">
        <f>IF(OR(O1151="",P1151=""),"",O1151-P1151)</f>
        <v>0</v>
      </c>
      <c r="R1151">
        <f>IF(Q1151="","",IF(R1150="",Q1151,Q1151*0.2000000000+R1150*0.8000000000))</f>
        <v>0</v>
      </c>
      <c r="S1151">
        <f>IF(OR(Q1151="",R1151=""),"",Q1151-R1151)</f>
        <v>0</v>
      </c>
      <c r="T1151">
        <f>IF(COUNT($E$2:$E1151)&lt;14,"",MAX($C$1138:$C$1151))</f>
        <v>0</v>
      </c>
      <c r="U1151">
        <f>IF(COUNT($E$2:$E1151)&lt;14,"",MIN($D$1138:$D$1151))</f>
        <v>0</v>
      </c>
      <c r="V1151">
        <f>IF(OR(T1151="",U1151="",T1151=U1151),"",100*($E1151-U1151)/(T1151-U1151))</f>
        <v>0</v>
      </c>
      <c r="W1151">
        <f>IF(COUNT($V$1149:$V$1151)&lt;3,"",AVERAGE($V$1149:$V$1151))</f>
        <v>0</v>
      </c>
      <c r="X1151">
        <f>IF(COUNT($N$1138:$N$1151)&lt;14,"",MIN($N$1138:$N$1151))</f>
        <v>0</v>
      </c>
      <c r="Y1151">
        <f>IF(COUNT($N$1138:$N$1151)&lt;14,"",MAX($N$1138:$N$1151))</f>
        <v>0</v>
      </c>
      <c r="Z1151">
        <f>IF(OR(N1151="",X1151="",Y1151="",Y1151=X1151),"",100*(N1151-X1151)/(Y1151-X1151))</f>
        <v>0</v>
      </c>
      <c r="AA1151">
        <f>IF(COUNT($Z$1149:$Z$1151)&lt;3,"",AVERAGE($Z$1149:$Z$1151))</f>
        <v>0</v>
      </c>
      <c r="AB1151">
        <f>IF(COUNT($AA$1149:$AA$1151)&lt;3,"",AVERAGE($AA$1149:$AA$1151))</f>
        <v>0</v>
      </c>
      <c r="AC1151">
        <f>IF($E1151="","",MAX($C1151-$D1151,ABS($C1151-$E1150),ABS($D1151-$E1150)))</f>
        <v>0</v>
      </c>
      <c r="AD1151">
        <f>IF(COUNT($E$2:$E1151)&lt;15,"",AVERAGE($AC$1138:$AC$1151))</f>
        <v>0</v>
      </c>
      <c r="AE1151">
        <f>IF(OR($E1151="",$E1150=""),"",IF(AND(($C1151-$C1150)&gt;($D1150-$D1151),($C1151-$C1150)&gt;0),$C1151-$C1150,0))</f>
        <v>0</v>
      </c>
      <c r="AF1151">
        <f>IF(OR($E1151="",$E1150=""),"",IF(AND(($D1150-$D1151)&gt;($C1151-$C1150),($D1150-$D1151)&gt;0),$D1150-$D1151,0))</f>
        <v>0</v>
      </c>
      <c r="AG1151">
        <f>IF(COUNT($E$2:$E1151)&lt;15,"",IF(SUM($AC$1138:$AC$1151)=0,0,100*SUM($AE$1138:$AE$1151)/SUM($AC$1138:$AC$1151)))</f>
        <v>0</v>
      </c>
      <c r="AH1151">
        <f>IF(COUNT($E$2:$E1151)&lt;15,"",IF(SUM($AC$1138:$AC$1151)=0,0,100*SUM($AF$1138:$AF$1151)/SUM($AC$1138:$AC$1151)))</f>
        <v>0</v>
      </c>
      <c r="AI1151">
        <f>IF(OR(AG1151="",AH1151=""),"",IF((AG1151+AH1151)=0,0,100*ABS(AG1151-AH1151)/(AG1151+AH1151)))</f>
        <v>0</v>
      </c>
      <c r="AJ1151">
        <f>IF(COUNT($AI$1138:$AI$1151)&lt;14,"",AVERAGE($AI$1138:$AI$1151))</f>
        <v>0</v>
      </c>
      <c r="AK1151">
        <f>IF(COUNT($E$2:$E1151)&lt;20,"",AVERAGE($E$1132:$E$1151))</f>
        <v>0</v>
      </c>
      <c r="AL1151">
        <f>IF(COUNT($E$2:$E1151)&lt;20,"",STDEVP($E$1132:$E$1151))</f>
        <v>0</v>
      </c>
      <c r="AM1151">
        <f>IF(AK1151="","",AK1151+2*AL1151)</f>
        <v>0</v>
      </c>
      <c r="AN1151">
        <f>IF(AK1151="","",AK1151-2*AL1151)</f>
        <v>0</v>
      </c>
      <c r="AO1151">
        <f>IF(OR(AM1151="",AN1151="",AM1151=AN1151),"",($E1151-AN1151)/(AM1151-AN1151))</f>
        <v>0</v>
      </c>
      <c r="AP1151">
        <f>IF(OR(AM1151="",AK1151="",AK1151=0),"",(AM1151-AN1151)/AK1151)</f>
        <v>0</v>
      </c>
      <c r="AQ1151">
        <f>IF(COUNT($E$2:$E1151)&lt;20,"",MAX($C$1132:$C$1151))</f>
        <v>0</v>
      </c>
      <c r="AR1151">
        <f>IF(COUNT($E$2:$E1151)&lt;20,"",MIN($D$1132:$D$1151))</f>
        <v>0</v>
      </c>
      <c r="AS1151">
        <f>IF(OR(AQ1151="",AR1151=""),"",(AQ1151+AR1151)/2)</f>
        <v>0</v>
      </c>
      <c r="AT1151">
        <f>IF(COUNT($G$1132:$G$1151)&lt;20,"",STDEV($G$1132:$G$1151)*SQRT(252))</f>
        <v>0</v>
      </c>
      <c r="AU1151">
        <f>IF(COUNT($E$2:$E1151)&lt;9,"",(MAX($C$1143:$C$1151)+MIN($D$1143:$D$1151))/2)</f>
        <v>0</v>
      </c>
      <c r="AV1151">
        <f>IF(COUNT($E$2:$E1151)&lt;26,"",(MAX($C$1126:$C$1151)+MIN($D$1126:$D$1151))/2)</f>
        <v>0</v>
      </c>
      <c r="AW1151">
        <f>IF(OR(AU1151="",AV1151=""),"",(AU1151+AV1151)/2)</f>
        <v>0</v>
      </c>
      <c r="AX1151">
        <f>IF(COUNT($E$2:$E1151)&lt;52,"",(MAX($C$1100:$C$1151)+MIN($D$1100:$D$1151))/2)</f>
        <v>0</v>
      </c>
      <c r="AY1151">
        <f>IF(COUNT($E$2:$E1151)&lt;20,"",MAX($C$1052:$C$1151))</f>
        <v>0</v>
      </c>
      <c r="AZ1151">
        <f>IF(COUNT($E$2:$E1151)&lt;20,"",MIN($D$1052:$D$1151))</f>
        <v>0</v>
      </c>
      <c r="BA1151">
        <f>IF(COUNT($E$2:$E1151)&lt;20,"",SLOPE($E$1052:$E$1151,$F$1052:$F$1151))</f>
        <v>0</v>
      </c>
      <c r="BB1151">
        <f>IF(COUNT($E$2:$E1151)&lt;20,"",INTERCEPT($E$1052:$E$1151,$F$1052:$F$1151))</f>
        <v>0</v>
      </c>
      <c r="BC1151">
        <f>IF(OR(BA1151="",BB1151=""),"",BB1151+BA1151*F1151)</f>
        <v>0</v>
      </c>
      <c r="BD1151">
        <f>IF(COUNT($E$2:$E1151)&lt;20,"",STEYX($E$1052:$E$1151,$F$1052:$F$1151))</f>
        <v>0</v>
      </c>
      <c r="BE1151">
        <f>IF($E1151="","",IF(AND(COUNT($E$1152:$E$1155)&gt;=4,$C1151=MAX($C$1147:$C$1155)),$C1151,""))</f>
        <v>0</v>
      </c>
      <c r="BF1151">
        <f>IF($E1151="","",IF(AND(COUNT($E$1152:$E$1155)&gt;=4,$D1151=MIN($D$1147:$D$1155)),$D1151,""))</f>
        <v>0</v>
      </c>
      <c r="BG1151">
        <f>IF($A1151="","",$A1151-WEEKDAY($A1151,2)+1)</f>
        <v>0</v>
      </c>
      <c r="BH1151">
        <f>IF($A1151="","",IF($A1150="",1,IF(BG1151&lt;&gt;BG1150,1,0)))</f>
        <v>0</v>
      </c>
      <c r="BI1151">
        <f>IF($A1151="","",IF($A1152="",1,IF(BG1152&lt;&gt;BG1151,1,0)))</f>
        <v>0</v>
      </c>
      <c r="BJ1151">
        <f>IF($A1151="","",IF(BH1151=1,$B1151,BJ1150))</f>
        <v>0</v>
      </c>
      <c r="BK1151">
        <f>IF($A1151="","",IF(BH1151=1,$C1151,MAX($C1151,BK1150)))</f>
        <v>0</v>
      </c>
      <c r="BL1151">
        <f>IF($A1151="","",IF(BH1151=1,$D1151,MIN($D1151,BL1150)))</f>
        <v>0</v>
      </c>
      <c r="BM1151">
        <f>IF($A1151="","",IF(BI1151=1,F1151,""))</f>
        <v>0</v>
      </c>
      <c r="BN1151">
        <f>IF($A1151="","",DATE(YEAR($A1151),MONTH($A1151),1))</f>
        <v>0</v>
      </c>
      <c r="BO1151">
        <f>IF($A1151="","",IF($A1150="",1,IF(BN1151&lt;&gt;BN1150,1,0)))</f>
        <v>0</v>
      </c>
      <c r="BP1151">
        <f>IF($A1151="","",IF($A1152="",1,IF(BN1152&lt;&gt;BN1151,1,0)))</f>
        <v>0</v>
      </c>
      <c r="BQ1151">
        <f>IF($A1151="","",IF(BO1151=1,$B1151,BQ1150))</f>
        <v>0</v>
      </c>
      <c r="BR1151">
        <f>IF($A1151="","",IF(BO1151=1,$C1151,MAX($C1151,BR1150)))</f>
        <v>0</v>
      </c>
      <c r="BS1151">
        <f>IF($A1151="","",IF(BO1151=1,$D1151,MIN($D1151,BS1150)))</f>
        <v>0</v>
      </c>
      <c r="BT1151">
        <f>IF($A1151="","",IF(BP1151=1,F1151,""))</f>
        <v>0</v>
      </c>
    </row>
    <row r="1152" spans="1:72">
      <c r="A1152" s="27">
        <f>IF(Data!$A1152="","",Data!$A1152)</f>
        <v>0</v>
      </c>
      <c r="B1152">
        <f>IF(Data!$B1152="","",Data!$B1152)</f>
        <v>0</v>
      </c>
      <c r="C1152">
        <f>IF(Data!$C1152="","",Data!$C1152)</f>
        <v>0</v>
      </c>
      <c r="D1152">
        <f>IF(Data!$D1152="","",Data!$D1152)</f>
        <v>0</v>
      </c>
      <c r="E1152">
        <f>IF(Data!$E1152="","",Data!$E1152)</f>
        <v>0</v>
      </c>
      <c r="F1152">
        <f>IF($E1152="","",N(F1151)+1)</f>
        <v>0</v>
      </c>
      <c r="G1152">
        <f>IF(OR($E1152="",$E1151=""),"",LN($E1152/$E1151))</f>
        <v>0</v>
      </c>
      <c r="H1152">
        <f>IF($E1152="","",IF($E1151="",$E1152,$E1152*0.0952380952+H1151*0.9047619048))</f>
        <v>0</v>
      </c>
      <c r="I1152">
        <f>IF($E1152="","",IF($E1151="",$E1152,$E1152*0.0392156863+I1151*0.9607843137))</f>
        <v>0</v>
      </c>
      <c r="J1152">
        <f>IF($E1152="","",IF($E1151="",$E1152,$E1152*0.0198019802+J1151*0.9801980198))</f>
        <v>0</v>
      </c>
      <c r="K1152">
        <f>IF($E1152="","",IF($E1151="",$E1152,$E1152*0.0099502488+K1151*0.9900497512))</f>
        <v>0</v>
      </c>
      <c r="L1152">
        <f>IF(OR($E1152="",$E1151=""),"",MAX($E1152-$E1151,0))</f>
        <v>0</v>
      </c>
      <c r="M1152">
        <f>IF(OR($E1152="",$E1151=""),"",MAX($E1151-$E1152,0))</f>
        <v>0</v>
      </c>
      <c r="N1152">
        <f>IF(COUNT($E$2:$E1152)&lt;15,"",IF(AVERAGE($M$1139:$M$1152)=0,100,100-100/(1+AVERAGE($L$1139:$L$1152)/AVERAGE($M$1139:$M$1152))))</f>
        <v>0</v>
      </c>
      <c r="O1152">
        <f>IF($E1152="","",IF($E1151="",$E1152,$E1152*0.1538461538+O1151*0.8461538462))</f>
        <v>0</v>
      </c>
      <c r="P1152">
        <f>IF($E1152="","",IF($E1151="",$E1152,$E1152*0.0740740741+P1151*0.9259259259))</f>
        <v>0</v>
      </c>
      <c r="Q1152">
        <f>IF(OR(O1152="",P1152=""),"",O1152-P1152)</f>
        <v>0</v>
      </c>
      <c r="R1152">
        <f>IF(Q1152="","",IF(R1151="",Q1152,Q1152*0.2000000000+R1151*0.8000000000))</f>
        <v>0</v>
      </c>
      <c r="S1152">
        <f>IF(OR(Q1152="",R1152=""),"",Q1152-R1152)</f>
        <v>0</v>
      </c>
      <c r="T1152">
        <f>IF(COUNT($E$2:$E1152)&lt;14,"",MAX($C$1139:$C$1152))</f>
        <v>0</v>
      </c>
      <c r="U1152">
        <f>IF(COUNT($E$2:$E1152)&lt;14,"",MIN($D$1139:$D$1152))</f>
        <v>0</v>
      </c>
      <c r="V1152">
        <f>IF(OR(T1152="",U1152="",T1152=U1152),"",100*($E1152-U1152)/(T1152-U1152))</f>
        <v>0</v>
      </c>
      <c r="W1152">
        <f>IF(COUNT($V$1150:$V$1152)&lt;3,"",AVERAGE($V$1150:$V$1152))</f>
        <v>0</v>
      </c>
      <c r="X1152">
        <f>IF(COUNT($N$1139:$N$1152)&lt;14,"",MIN($N$1139:$N$1152))</f>
        <v>0</v>
      </c>
      <c r="Y1152">
        <f>IF(COUNT($N$1139:$N$1152)&lt;14,"",MAX($N$1139:$N$1152))</f>
        <v>0</v>
      </c>
      <c r="Z1152">
        <f>IF(OR(N1152="",X1152="",Y1152="",Y1152=X1152),"",100*(N1152-X1152)/(Y1152-X1152))</f>
        <v>0</v>
      </c>
      <c r="AA1152">
        <f>IF(COUNT($Z$1150:$Z$1152)&lt;3,"",AVERAGE($Z$1150:$Z$1152))</f>
        <v>0</v>
      </c>
      <c r="AB1152">
        <f>IF(COUNT($AA$1150:$AA$1152)&lt;3,"",AVERAGE($AA$1150:$AA$1152))</f>
        <v>0</v>
      </c>
      <c r="AC1152">
        <f>IF($E1152="","",MAX($C1152-$D1152,ABS($C1152-$E1151),ABS($D1152-$E1151)))</f>
        <v>0</v>
      </c>
      <c r="AD1152">
        <f>IF(COUNT($E$2:$E1152)&lt;15,"",AVERAGE($AC$1139:$AC$1152))</f>
        <v>0</v>
      </c>
      <c r="AE1152">
        <f>IF(OR($E1152="",$E1151=""),"",IF(AND(($C1152-$C1151)&gt;($D1151-$D1152),($C1152-$C1151)&gt;0),$C1152-$C1151,0))</f>
        <v>0</v>
      </c>
      <c r="AF1152">
        <f>IF(OR($E1152="",$E1151=""),"",IF(AND(($D1151-$D1152)&gt;($C1152-$C1151),($D1151-$D1152)&gt;0),$D1151-$D1152,0))</f>
        <v>0</v>
      </c>
      <c r="AG1152">
        <f>IF(COUNT($E$2:$E1152)&lt;15,"",IF(SUM($AC$1139:$AC$1152)=0,0,100*SUM($AE$1139:$AE$1152)/SUM($AC$1139:$AC$1152)))</f>
        <v>0</v>
      </c>
      <c r="AH1152">
        <f>IF(COUNT($E$2:$E1152)&lt;15,"",IF(SUM($AC$1139:$AC$1152)=0,0,100*SUM($AF$1139:$AF$1152)/SUM($AC$1139:$AC$1152)))</f>
        <v>0</v>
      </c>
      <c r="AI1152">
        <f>IF(OR(AG1152="",AH1152=""),"",IF((AG1152+AH1152)=0,0,100*ABS(AG1152-AH1152)/(AG1152+AH1152)))</f>
        <v>0</v>
      </c>
      <c r="AJ1152">
        <f>IF(COUNT($AI$1139:$AI$1152)&lt;14,"",AVERAGE($AI$1139:$AI$1152))</f>
        <v>0</v>
      </c>
      <c r="AK1152">
        <f>IF(COUNT($E$2:$E1152)&lt;20,"",AVERAGE($E$1133:$E$1152))</f>
        <v>0</v>
      </c>
      <c r="AL1152">
        <f>IF(COUNT($E$2:$E1152)&lt;20,"",STDEVP($E$1133:$E$1152))</f>
        <v>0</v>
      </c>
      <c r="AM1152">
        <f>IF(AK1152="","",AK1152+2*AL1152)</f>
        <v>0</v>
      </c>
      <c r="AN1152">
        <f>IF(AK1152="","",AK1152-2*AL1152)</f>
        <v>0</v>
      </c>
      <c r="AO1152">
        <f>IF(OR(AM1152="",AN1152="",AM1152=AN1152),"",($E1152-AN1152)/(AM1152-AN1152))</f>
        <v>0</v>
      </c>
      <c r="AP1152">
        <f>IF(OR(AM1152="",AK1152="",AK1152=0),"",(AM1152-AN1152)/AK1152)</f>
        <v>0</v>
      </c>
      <c r="AQ1152">
        <f>IF(COUNT($E$2:$E1152)&lt;20,"",MAX($C$1133:$C$1152))</f>
        <v>0</v>
      </c>
      <c r="AR1152">
        <f>IF(COUNT($E$2:$E1152)&lt;20,"",MIN($D$1133:$D$1152))</f>
        <v>0</v>
      </c>
      <c r="AS1152">
        <f>IF(OR(AQ1152="",AR1152=""),"",(AQ1152+AR1152)/2)</f>
        <v>0</v>
      </c>
      <c r="AT1152">
        <f>IF(COUNT($G$1133:$G$1152)&lt;20,"",STDEV($G$1133:$G$1152)*SQRT(252))</f>
        <v>0</v>
      </c>
      <c r="AU1152">
        <f>IF(COUNT($E$2:$E1152)&lt;9,"",(MAX($C$1144:$C$1152)+MIN($D$1144:$D$1152))/2)</f>
        <v>0</v>
      </c>
      <c r="AV1152">
        <f>IF(COUNT($E$2:$E1152)&lt;26,"",(MAX($C$1127:$C$1152)+MIN($D$1127:$D$1152))/2)</f>
        <v>0</v>
      </c>
      <c r="AW1152">
        <f>IF(OR(AU1152="",AV1152=""),"",(AU1152+AV1152)/2)</f>
        <v>0</v>
      </c>
      <c r="AX1152">
        <f>IF(COUNT($E$2:$E1152)&lt;52,"",(MAX($C$1101:$C$1152)+MIN($D$1101:$D$1152))/2)</f>
        <v>0</v>
      </c>
      <c r="AY1152">
        <f>IF(COUNT($E$2:$E1152)&lt;20,"",MAX($C$1053:$C$1152))</f>
        <v>0</v>
      </c>
      <c r="AZ1152">
        <f>IF(COUNT($E$2:$E1152)&lt;20,"",MIN($D$1053:$D$1152))</f>
        <v>0</v>
      </c>
      <c r="BA1152">
        <f>IF(COUNT($E$2:$E1152)&lt;20,"",SLOPE($E$1053:$E$1152,$F$1053:$F$1152))</f>
        <v>0</v>
      </c>
      <c r="BB1152">
        <f>IF(COUNT($E$2:$E1152)&lt;20,"",INTERCEPT($E$1053:$E$1152,$F$1053:$F$1152))</f>
        <v>0</v>
      </c>
      <c r="BC1152">
        <f>IF(OR(BA1152="",BB1152=""),"",BB1152+BA1152*F1152)</f>
        <v>0</v>
      </c>
      <c r="BD1152">
        <f>IF(COUNT($E$2:$E1152)&lt;20,"",STEYX($E$1053:$E$1152,$F$1053:$F$1152))</f>
        <v>0</v>
      </c>
      <c r="BE1152">
        <f>IF($E1152="","",IF(AND(COUNT($E$1153:$E$1156)&gt;=4,$C1152=MAX($C$1148:$C$1156)),$C1152,""))</f>
        <v>0</v>
      </c>
      <c r="BF1152">
        <f>IF($E1152="","",IF(AND(COUNT($E$1153:$E$1156)&gt;=4,$D1152=MIN($D$1148:$D$1156)),$D1152,""))</f>
        <v>0</v>
      </c>
      <c r="BG1152">
        <f>IF($A1152="","",$A1152-WEEKDAY($A1152,2)+1)</f>
        <v>0</v>
      </c>
      <c r="BH1152">
        <f>IF($A1152="","",IF($A1151="",1,IF(BG1152&lt;&gt;BG1151,1,0)))</f>
        <v>0</v>
      </c>
      <c r="BI1152">
        <f>IF($A1152="","",IF($A1153="",1,IF(BG1153&lt;&gt;BG1152,1,0)))</f>
        <v>0</v>
      </c>
      <c r="BJ1152">
        <f>IF($A1152="","",IF(BH1152=1,$B1152,BJ1151))</f>
        <v>0</v>
      </c>
      <c r="BK1152">
        <f>IF($A1152="","",IF(BH1152=1,$C1152,MAX($C1152,BK1151)))</f>
        <v>0</v>
      </c>
      <c r="BL1152">
        <f>IF($A1152="","",IF(BH1152=1,$D1152,MIN($D1152,BL1151)))</f>
        <v>0</v>
      </c>
      <c r="BM1152">
        <f>IF($A1152="","",IF(BI1152=1,F1152,""))</f>
        <v>0</v>
      </c>
      <c r="BN1152">
        <f>IF($A1152="","",DATE(YEAR($A1152),MONTH($A1152),1))</f>
        <v>0</v>
      </c>
      <c r="BO1152">
        <f>IF($A1152="","",IF($A1151="",1,IF(BN1152&lt;&gt;BN1151,1,0)))</f>
        <v>0</v>
      </c>
      <c r="BP1152">
        <f>IF($A1152="","",IF($A1153="",1,IF(BN1153&lt;&gt;BN1152,1,0)))</f>
        <v>0</v>
      </c>
      <c r="BQ1152">
        <f>IF($A1152="","",IF(BO1152=1,$B1152,BQ1151))</f>
        <v>0</v>
      </c>
      <c r="BR1152">
        <f>IF($A1152="","",IF(BO1152=1,$C1152,MAX($C1152,BR1151)))</f>
        <v>0</v>
      </c>
      <c r="BS1152">
        <f>IF($A1152="","",IF(BO1152=1,$D1152,MIN($D1152,BS1151)))</f>
        <v>0</v>
      </c>
      <c r="BT1152">
        <f>IF($A1152="","",IF(BP1152=1,F1152,""))</f>
        <v>0</v>
      </c>
    </row>
    <row r="1153" spans="1:72">
      <c r="A1153" s="27">
        <f>IF(Data!$A1153="","",Data!$A1153)</f>
        <v>0</v>
      </c>
      <c r="B1153">
        <f>IF(Data!$B1153="","",Data!$B1153)</f>
        <v>0</v>
      </c>
      <c r="C1153">
        <f>IF(Data!$C1153="","",Data!$C1153)</f>
        <v>0</v>
      </c>
      <c r="D1153">
        <f>IF(Data!$D1153="","",Data!$D1153)</f>
        <v>0</v>
      </c>
      <c r="E1153">
        <f>IF(Data!$E1153="","",Data!$E1153)</f>
        <v>0</v>
      </c>
      <c r="F1153">
        <f>IF($E1153="","",N(F1152)+1)</f>
        <v>0</v>
      </c>
      <c r="G1153">
        <f>IF(OR($E1153="",$E1152=""),"",LN($E1153/$E1152))</f>
        <v>0</v>
      </c>
      <c r="H1153">
        <f>IF($E1153="","",IF($E1152="",$E1153,$E1153*0.0952380952+H1152*0.9047619048))</f>
        <v>0</v>
      </c>
      <c r="I1153">
        <f>IF($E1153="","",IF($E1152="",$E1153,$E1153*0.0392156863+I1152*0.9607843137))</f>
        <v>0</v>
      </c>
      <c r="J1153">
        <f>IF($E1153="","",IF($E1152="",$E1153,$E1153*0.0198019802+J1152*0.9801980198))</f>
        <v>0</v>
      </c>
      <c r="K1153">
        <f>IF($E1153="","",IF($E1152="",$E1153,$E1153*0.0099502488+K1152*0.9900497512))</f>
        <v>0</v>
      </c>
      <c r="L1153">
        <f>IF(OR($E1153="",$E1152=""),"",MAX($E1153-$E1152,0))</f>
        <v>0</v>
      </c>
      <c r="M1153">
        <f>IF(OR($E1153="",$E1152=""),"",MAX($E1152-$E1153,0))</f>
        <v>0</v>
      </c>
      <c r="N1153">
        <f>IF(COUNT($E$2:$E1153)&lt;15,"",IF(AVERAGE($M$1140:$M$1153)=0,100,100-100/(1+AVERAGE($L$1140:$L$1153)/AVERAGE($M$1140:$M$1153))))</f>
        <v>0</v>
      </c>
      <c r="O1153">
        <f>IF($E1153="","",IF($E1152="",$E1153,$E1153*0.1538461538+O1152*0.8461538462))</f>
        <v>0</v>
      </c>
      <c r="P1153">
        <f>IF($E1153="","",IF($E1152="",$E1153,$E1153*0.0740740741+P1152*0.9259259259))</f>
        <v>0</v>
      </c>
      <c r="Q1153">
        <f>IF(OR(O1153="",P1153=""),"",O1153-P1153)</f>
        <v>0</v>
      </c>
      <c r="R1153">
        <f>IF(Q1153="","",IF(R1152="",Q1153,Q1153*0.2000000000+R1152*0.8000000000))</f>
        <v>0</v>
      </c>
      <c r="S1153">
        <f>IF(OR(Q1153="",R1153=""),"",Q1153-R1153)</f>
        <v>0</v>
      </c>
      <c r="T1153">
        <f>IF(COUNT($E$2:$E1153)&lt;14,"",MAX($C$1140:$C$1153))</f>
        <v>0</v>
      </c>
      <c r="U1153">
        <f>IF(COUNT($E$2:$E1153)&lt;14,"",MIN($D$1140:$D$1153))</f>
        <v>0</v>
      </c>
      <c r="V1153">
        <f>IF(OR(T1153="",U1153="",T1153=U1153),"",100*($E1153-U1153)/(T1153-U1153))</f>
        <v>0</v>
      </c>
      <c r="W1153">
        <f>IF(COUNT($V$1151:$V$1153)&lt;3,"",AVERAGE($V$1151:$V$1153))</f>
        <v>0</v>
      </c>
      <c r="X1153">
        <f>IF(COUNT($N$1140:$N$1153)&lt;14,"",MIN($N$1140:$N$1153))</f>
        <v>0</v>
      </c>
      <c r="Y1153">
        <f>IF(COUNT($N$1140:$N$1153)&lt;14,"",MAX($N$1140:$N$1153))</f>
        <v>0</v>
      </c>
      <c r="Z1153">
        <f>IF(OR(N1153="",X1153="",Y1153="",Y1153=X1153),"",100*(N1153-X1153)/(Y1153-X1153))</f>
        <v>0</v>
      </c>
      <c r="AA1153">
        <f>IF(COUNT($Z$1151:$Z$1153)&lt;3,"",AVERAGE($Z$1151:$Z$1153))</f>
        <v>0</v>
      </c>
      <c r="AB1153">
        <f>IF(COUNT($AA$1151:$AA$1153)&lt;3,"",AVERAGE($AA$1151:$AA$1153))</f>
        <v>0</v>
      </c>
      <c r="AC1153">
        <f>IF($E1153="","",MAX($C1153-$D1153,ABS($C1153-$E1152),ABS($D1153-$E1152)))</f>
        <v>0</v>
      </c>
      <c r="AD1153">
        <f>IF(COUNT($E$2:$E1153)&lt;15,"",AVERAGE($AC$1140:$AC$1153))</f>
        <v>0</v>
      </c>
      <c r="AE1153">
        <f>IF(OR($E1153="",$E1152=""),"",IF(AND(($C1153-$C1152)&gt;($D1152-$D1153),($C1153-$C1152)&gt;0),$C1153-$C1152,0))</f>
        <v>0</v>
      </c>
      <c r="AF1153">
        <f>IF(OR($E1153="",$E1152=""),"",IF(AND(($D1152-$D1153)&gt;($C1153-$C1152),($D1152-$D1153)&gt;0),$D1152-$D1153,0))</f>
        <v>0</v>
      </c>
      <c r="AG1153">
        <f>IF(COUNT($E$2:$E1153)&lt;15,"",IF(SUM($AC$1140:$AC$1153)=0,0,100*SUM($AE$1140:$AE$1153)/SUM($AC$1140:$AC$1153)))</f>
        <v>0</v>
      </c>
      <c r="AH1153">
        <f>IF(COUNT($E$2:$E1153)&lt;15,"",IF(SUM($AC$1140:$AC$1153)=0,0,100*SUM($AF$1140:$AF$1153)/SUM($AC$1140:$AC$1153)))</f>
        <v>0</v>
      </c>
      <c r="AI1153">
        <f>IF(OR(AG1153="",AH1153=""),"",IF((AG1153+AH1153)=0,0,100*ABS(AG1153-AH1153)/(AG1153+AH1153)))</f>
        <v>0</v>
      </c>
      <c r="AJ1153">
        <f>IF(COUNT($AI$1140:$AI$1153)&lt;14,"",AVERAGE($AI$1140:$AI$1153))</f>
        <v>0</v>
      </c>
      <c r="AK1153">
        <f>IF(COUNT($E$2:$E1153)&lt;20,"",AVERAGE($E$1134:$E$1153))</f>
        <v>0</v>
      </c>
      <c r="AL1153">
        <f>IF(COUNT($E$2:$E1153)&lt;20,"",STDEVP($E$1134:$E$1153))</f>
        <v>0</v>
      </c>
      <c r="AM1153">
        <f>IF(AK1153="","",AK1153+2*AL1153)</f>
        <v>0</v>
      </c>
      <c r="AN1153">
        <f>IF(AK1153="","",AK1153-2*AL1153)</f>
        <v>0</v>
      </c>
      <c r="AO1153">
        <f>IF(OR(AM1153="",AN1153="",AM1153=AN1153),"",($E1153-AN1153)/(AM1153-AN1153))</f>
        <v>0</v>
      </c>
      <c r="AP1153">
        <f>IF(OR(AM1153="",AK1153="",AK1153=0),"",(AM1153-AN1153)/AK1153)</f>
        <v>0</v>
      </c>
      <c r="AQ1153">
        <f>IF(COUNT($E$2:$E1153)&lt;20,"",MAX($C$1134:$C$1153))</f>
        <v>0</v>
      </c>
      <c r="AR1153">
        <f>IF(COUNT($E$2:$E1153)&lt;20,"",MIN($D$1134:$D$1153))</f>
        <v>0</v>
      </c>
      <c r="AS1153">
        <f>IF(OR(AQ1153="",AR1153=""),"",(AQ1153+AR1153)/2)</f>
        <v>0</v>
      </c>
      <c r="AT1153">
        <f>IF(COUNT($G$1134:$G$1153)&lt;20,"",STDEV($G$1134:$G$1153)*SQRT(252))</f>
        <v>0</v>
      </c>
      <c r="AU1153">
        <f>IF(COUNT($E$2:$E1153)&lt;9,"",(MAX($C$1145:$C$1153)+MIN($D$1145:$D$1153))/2)</f>
        <v>0</v>
      </c>
      <c r="AV1153">
        <f>IF(COUNT($E$2:$E1153)&lt;26,"",(MAX($C$1128:$C$1153)+MIN($D$1128:$D$1153))/2)</f>
        <v>0</v>
      </c>
      <c r="AW1153">
        <f>IF(OR(AU1153="",AV1153=""),"",(AU1153+AV1153)/2)</f>
        <v>0</v>
      </c>
      <c r="AX1153">
        <f>IF(COUNT($E$2:$E1153)&lt;52,"",(MAX($C$1102:$C$1153)+MIN($D$1102:$D$1153))/2)</f>
        <v>0</v>
      </c>
      <c r="AY1153">
        <f>IF(COUNT($E$2:$E1153)&lt;20,"",MAX($C$1054:$C$1153))</f>
        <v>0</v>
      </c>
      <c r="AZ1153">
        <f>IF(COUNT($E$2:$E1153)&lt;20,"",MIN($D$1054:$D$1153))</f>
        <v>0</v>
      </c>
      <c r="BA1153">
        <f>IF(COUNT($E$2:$E1153)&lt;20,"",SLOPE($E$1054:$E$1153,$F$1054:$F$1153))</f>
        <v>0</v>
      </c>
      <c r="BB1153">
        <f>IF(COUNT($E$2:$E1153)&lt;20,"",INTERCEPT($E$1054:$E$1153,$F$1054:$F$1153))</f>
        <v>0</v>
      </c>
      <c r="BC1153">
        <f>IF(OR(BA1153="",BB1153=""),"",BB1153+BA1153*F1153)</f>
        <v>0</v>
      </c>
      <c r="BD1153">
        <f>IF(COUNT($E$2:$E1153)&lt;20,"",STEYX($E$1054:$E$1153,$F$1054:$F$1153))</f>
        <v>0</v>
      </c>
      <c r="BE1153">
        <f>IF($E1153="","",IF(AND(COUNT($E$1154:$E$1157)&gt;=4,$C1153=MAX($C$1149:$C$1157)),$C1153,""))</f>
        <v>0</v>
      </c>
      <c r="BF1153">
        <f>IF($E1153="","",IF(AND(COUNT($E$1154:$E$1157)&gt;=4,$D1153=MIN($D$1149:$D$1157)),$D1153,""))</f>
        <v>0</v>
      </c>
      <c r="BG1153">
        <f>IF($A1153="","",$A1153-WEEKDAY($A1153,2)+1)</f>
        <v>0</v>
      </c>
      <c r="BH1153">
        <f>IF($A1153="","",IF($A1152="",1,IF(BG1153&lt;&gt;BG1152,1,0)))</f>
        <v>0</v>
      </c>
      <c r="BI1153">
        <f>IF($A1153="","",IF($A1154="",1,IF(BG1154&lt;&gt;BG1153,1,0)))</f>
        <v>0</v>
      </c>
      <c r="BJ1153">
        <f>IF($A1153="","",IF(BH1153=1,$B1153,BJ1152))</f>
        <v>0</v>
      </c>
      <c r="BK1153">
        <f>IF($A1153="","",IF(BH1153=1,$C1153,MAX($C1153,BK1152)))</f>
        <v>0</v>
      </c>
      <c r="BL1153">
        <f>IF($A1153="","",IF(BH1153=1,$D1153,MIN($D1153,BL1152)))</f>
        <v>0</v>
      </c>
      <c r="BM1153">
        <f>IF($A1153="","",IF(BI1153=1,F1153,""))</f>
        <v>0</v>
      </c>
      <c r="BN1153">
        <f>IF($A1153="","",DATE(YEAR($A1153),MONTH($A1153),1))</f>
        <v>0</v>
      </c>
      <c r="BO1153">
        <f>IF($A1153="","",IF($A1152="",1,IF(BN1153&lt;&gt;BN1152,1,0)))</f>
        <v>0</v>
      </c>
      <c r="BP1153">
        <f>IF($A1153="","",IF($A1154="",1,IF(BN1154&lt;&gt;BN1153,1,0)))</f>
        <v>0</v>
      </c>
      <c r="BQ1153">
        <f>IF($A1153="","",IF(BO1153=1,$B1153,BQ1152))</f>
        <v>0</v>
      </c>
      <c r="BR1153">
        <f>IF($A1153="","",IF(BO1153=1,$C1153,MAX($C1153,BR1152)))</f>
        <v>0</v>
      </c>
      <c r="BS1153">
        <f>IF($A1153="","",IF(BO1153=1,$D1153,MIN($D1153,BS1152)))</f>
        <v>0</v>
      </c>
      <c r="BT1153">
        <f>IF($A1153="","",IF(BP1153=1,F1153,""))</f>
        <v>0</v>
      </c>
    </row>
    <row r="1154" spans="1:72">
      <c r="A1154" s="27">
        <f>IF(Data!$A1154="","",Data!$A1154)</f>
        <v>0</v>
      </c>
      <c r="B1154">
        <f>IF(Data!$B1154="","",Data!$B1154)</f>
        <v>0</v>
      </c>
      <c r="C1154">
        <f>IF(Data!$C1154="","",Data!$C1154)</f>
        <v>0</v>
      </c>
      <c r="D1154">
        <f>IF(Data!$D1154="","",Data!$D1154)</f>
        <v>0</v>
      </c>
      <c r="E1154">
        <f>IF(Data!$E1154="","",Data!$E1154)</f>
        <v>0</v>
      </c>
      <c r="F1154">
        <f>IF($E1154="","",N(F1153)+1)</f>
        <v>0</v>
      </c>
      <c r="G1154">
        <f>IF(OR($E1154="",$E1153=""),"",LN($E1154/$E1153))</f>
        <v>0</v>
      </c>
      <c r="H1154">
        <f>IF($E1154="","",IF($E1153="",$E1154,$E1154*0.0952380952+H1153*0.9047619048))</f>
        <v>0</v>
      </c>
      <c r="I1154">
        <f>IF($E1154="","",IF($E1153="",$E1154,$E1154*0.0392156863+I1153*0.9607843137))</f>
        <v>0</v>
      </c>
      <c r="J1154">
        <f>IF($E1154="","",IF($E1153="",$E1154,$E1154*0.0198019802+J1153*0.9801980198))</f>
        <v>0</v>
      </c>
      <c r="K1154">
        <f>IF($E1154="","",IF($E1153="",$E1154,$E1154*0.0099502488+K1153*0.9900497512))</f>
        <v>0</v>
      </c>
      <c r="L1154">
        <f>IF(OR($E1154="",$E1153=""),"",MAX($E1154-$E1153,0))</f>
        <v>0</v>
      </c>
      <c r="M1154">
        <f>IF(OR($E1154="",$E1153=""),"",MAX($E1153-$E1154,0))</f>
        <v>0</v>
      </c>
      <c r="N1154">
        <f>IF(COUNT($E$2:$E1154)&lt;15,"",IF(AVERAGE($M$1141:$M$1154)=0,100,100-100/(1+AVERAGE($L$1141:$L$1154)/AVERAGE($M$1141:$M$1154))))</f>
        <v>0</v>
      </c>
      <c r="O1154">
        <f>IF($E1154="","",IF($E1153="",$E1154,$E1154*0.1538461538+O1153*0.8461538462))</f>
        <v>0</v>
      </c>
      <c r="P1154">
        <f>IF($E1154="","",IF($E1153="",$E1154,$E1154*0.0740740741+P1153*0.9259259259))</f>
        <v>0</v>
      </c>
      <c r="Q1154">
        <f>IF(OR(O1154="",P1154=""),"",O1154-P1154)</f>
        <v>0</v>
      </c>
      <c r="R1154">
        <f>IF(Q1154="","",IF(R1153="",Q1154,Q1154*0.2000000000+R1153*0.8000000000))</f>
        <v>0</v>
      </c>
      <c r="S1154">
        <f>IF(OR(Q1154="",R1154=""),"",Q1154-R1154)</f>
        <v>0</v>
      </c>
      <c r="T1154">
        <f>IF(COUNT($E$2:$E1154)&lt;14,"",MAX($C$1141:$C$1154))</f>
        <v>0</v>
      </c>
      <c r="U1154">
        <f>IF(COUNT($E$2:$E1154)&lt;14,"",MIN($D$1141:$D$1154))</f>
        <v>0</v>
      </c>
      <c r="V1154">
        <f>IF(OR(T1154="",U1154="",T1154=U1154),"",100*($E1154-U1154)/(T1154-U1154))</f>
        <v>0</v>
      </c>
      <c r="W1154">
        <f>IF(COUNT($V$1152:$V$1154)&lt;3,"",AVERAGE($V$1152:$V$1154))</f>
        <v>0</v>
      </c>
      <c r="X1154">
        <f>IF(COUNT($N$1141:$N$1154)&lt;14,"",MIN($N$1141:$N$1154))</f>
        <v>0</v>
      </c>
      <c r="Y1154">
        <f>IF(COUNT($N$1141:$N$1154)&lt;14,"",MAX($N$1141:$N$1154))</f>
        <v>0</v>
      </c>
      <c r="Z1154">
        <f>IF(OR(N1154="",X1154="",Y1154="",Y1154=X1154),"",100*(N1154-X1154)/(Y1154-X1154))</f>
        <v>0</v>
      </c>
      <c r="AA1154">
        <f>IF(COUNT($Z$1152:$Z$1154)&lt;3,"",AVERAGE($Z$1152:$Z$1154))</f>
        <v>0</v>
      </c>
      <c r="AB1154">
        <f>IF(COUNT($AA$1152:$AA$1154)&lt;3,"",AVERAGE($AA$1152:$AA$1154))</f>
        <v>0</v>
      </c>
      <c r="AC1154">
        <f>IF($E1154="","",MAX($C1154-$D1154,ABS($C1154-$E1153),ABS($D1154-$E1153)))</f>
        <v>0</v>
      </c>
      <c r="AD1154">
        <f>IF(COUNT($E$2:$E1154)&lt;15,"",AVERAGE($AC$1141:$AC$1154))</f>
        <v>0</v>
      </c>
      <c r="AE1154">
        <f>IF(OR($E1154="",$E1153=""),"",IF(AND(($C1154-$C1153)&gt;($D1153-$D1154),($C1154-$C1153)&gt;0),$C1154-$C1153,0))</f>
        <v>0</v>
      </c>
      <c r="AF1154">
        <f>IF(OR($E1154="",$E1153=""),"",IF(AND(($D1153-$D1154)&gt;($C1154-$C1153),($D1153-$D1154)&gt;0),$D1153-$D1154,0))</f>
        <v>0</v>
      </c>
      <c r="AG1154">
        <f>IF(COUNT($E$2:$E1154)&lt;15,"",IF(SUM($AC$1141:$AC$1154)=0,0,100*SUM($AE$1141:$AE$1154)/SUM($AC$1141:$AC$1154)))</f>
        <v>0</v>
      </c>
      <c r="AH1154">
        <f>IF(COUNT($E$2:$E1154)&lt;15,"",IF(SUM($AC$1141:$AC$1154)=0,0,100*SUM($AF$1141:$AF$1154)/SUM($AC$1141:$AC$1154)))</f>
        <v>0</v>
      </c>
      <c r="AI1154">
        <f>IF(OR(AG1154="",AH1154=""),"",IF((AG1154+AH1154)=0,0,100*ABS(AG1154-AH1154)/(AG1154+AH1154)))</f>
        <v>0</v>
      </c>
      <c r="AJ1154">
        <f>IF(COUNT($AI$1141:$AI$1154)&lt;14,"",AVERAGE($AI$1141:$AI$1154))</f>
        <v>0</v>
      </c>
      <c r="AK1154">
        <f>IF(COUNT($E$2:$E1154)&lt;20,"",AVERAGE($E$1135:$E$1154))</f>
        <v>0</v>
      </c>
      <c r="AL1154">
        <f>IF(COUNT($E$2:$E1154)&lt;20,"",STDEVP($E$1135:$E$1154))</f>
        <v>0</v>
      </c>
      <c r="AM1154">
        <f>IF(AK1154="","",AK1154+2*AL1154)</f>
        <v>0</v>
      </c>
      <c r="AN1154">
        <f>IF(AK1154="","",AK1154-2*AL1154)</f>
        <v>0</v>
      </c>
      <c r="AO1154">
        <f>IF(OR(AM1154="",AN1154="",AM1154=AN1154),"",($E1154-AN1154)/(AM1154-AN1154))</f>
        <v>0</v>
      </c>
      <c r="AP1154">
        <f>IF(OR(AM1154="",AK1154="",AK1154=0),"",(AM1154-AN1154)/AK1154)</f>
        <v>0</v>
      </c>
      <c r="AQ1154">
        <f>IF(COUNT($E$2:$E1154)&lt;20,"",MAX($C$1135:$C$1154))</f>
        <v>0</v>
      </c>
      <c r="AR1154">
        <f>IF(COUNT($E$2:$E1154)&lt;20,"",MIN($D$1135:$D$1154))</f>
        <v>0</v>
      </c>
      <c r="AS1154">
        <f>IF(OR(AQ1154="",AR1154=""),"",(AQ1154+AR1154)/2)</f>
        <v>0</v>
      </c>
      <c r="AT1154">
        <f>IF(COUNT($G$1135:$G$1154)&lt;20,"",STDEV($G$1135:$G$1154)*SQRT(252))</f>
        <v>0</v>
      </c>
      <c r="AU1154">
        <f>IF(COUNT($E$2:$E1154)&lt;9,"",(MAX($C$1146:$C$1154)+MIN($D$1146:$D$1154))/2)</f>
        <v>0</v>
      </c>
      <c r="AV1154">
        <f>IF(COUNT($E$2:$E1154)&lt;26,"",(MAX($C$1129:$C$1154)+MIN($D$1129:$D$1154))/2)</f>
        <v>0</v>
      </c>
      <c r="AW1154">
        <f>IF(OR(AU1154="",AV1154=""),"",(AU1154+AV1154)/2)</f>
        <v>0</v>
      </c>
      <c r="AX1154">
        <f>IF(COUNT($E$2:$E1154)&lt;52,"",(MAX($C$1103:$C$1154)+MIN($D$1103:$D$1154))/2)</f>
        <v>0</v>
      </c>
      <c r="AY1154">
        <f>IF(COUNT($E$2:$E1154)&lt;20,"",MAX($C$1055:$C$1154))</f>
        <v>0</v>
      </c>
      <c r="AZ1154">
        <f>IF(COUNT($E$2:$E1154)&lt;20,"",MIN($D$1055:$D$1154))</f>
        <v>0</v>
      </c>
      <c r="BA1154">
        <f>IF(COUNT($E$2:$E1154)&lt;20,"",SLOPE($E$1055:$E$1154,$F$1055:$F$1154))</f>
        <v>0</v>
      </c>
      <c r="BB1154">
        <f>IF(COUNT($E$2:$E1154)&lt;20,"",INTERCEPT($E$1055:$E$1154,$F$1055:$F$1154))</f>
        <v>0</v>
      </c>
      <c r="BC1154">
        <f>IF(OR(BA1154="",BB1154=""),"",BB1154+BA1154*F1154)</f>
        <v>0</v>
      </c>
      <c r="BD1154">
        <f>IF(COUNT($E$2:$E1154)&lt;20,"",STEYX($E$1055:$E$1154,$F$1055:$F$1154))</f>
        <v>0</v>
      </c>
      <c r="BE1154">
        <f>IF($E1154="","",IF(AND(COUNT($E$1155:$E$1158)&gt;=4,$C1154=MAX($C$1150:$C$1158)),$C1154,""))</f>
        <v>0</v>
      </c>
      <c r="BF1154">
        <f>IF($E1154="","",IF(AND(COUNT($E$1155:$E$1158)&gt;=4,$D1154=MIN($D$1150:$D$1158)),$D1154,""))</f>
        <v>0</v>
      </c>
      <c r="BG1154">
        <f>IF($A1154="","",$A1154-WEEKDAY($A1154,2)+1)</f>
        <v>0</v>
      </c>
      <c r="BH1154">
        <f>IF($A1154="","",IF($A1153="",1,IF(BG1154&lt;&gt;BG1153,1,0)))</f>
        <v>0</v>
      </c>
      <c r="BI1154">
        <f>IF($A1154="","",IF($A1155="",1,IF(BG1155&lt;&gt;BG1154,1,0)))</f>
        <v>0</v>
      </c>
      <c r="BJ1154">
        <f>IF($A1154="","",IF(BH1154=1,$B1154,BJ1153))</f>
        <v>0</v>
      </c>
      <c r="BK1154">
        <f>IF($A1154="","",IF(BH1154=1,$C1154,MAX($C1154,BK1153)))</f>
        <v>0</v>
      </c>
      <c r="BL1154">
        <f>IF($A1154="","",IF(BH1154=1,$D1154,MIN($D1154,BL1153)))</f>
        <v>0</v>
      </c>
      <c r="BM1154">
        <f>IF($A1154="","",IF(BI1154=1,F1154,""))</f>
        <v>0</v>
      </c>
      <c r="BN1154">
        <f>IF($A1154="","",DATE(YEAR($A1154),MONTH($A1154),1))</f>
        <v>0</v>
      </c>
      <c r="BO1154">
        <f>IF($A1154="","",IF($A1153="",1,IF(BN1154&lt;&gt;BN1153,1,0)))</f>
        <v>0</v>
      </c>
      <c r="BP1154">
        <f>IF($A1154="","",IF($A1155="",1,IF(BN1155&lt;&gt;BN1154,1,0)))</f>
        <v>0</v>
      </c>
      <c r="BQ1154">
        <f>IF($A1154="","",IF(BO1154=1,$B1154,BQ1153))</f>
        <v>0</v>
      </c>
      <c r="BR1154">
        <f>IF($A1154="","",IF(BO1154=1,$C1154,MAX($C1154,BR1153)))</f>
        <v>0</v>
      </c>
      <c r="BS1154">
        <f>IF($A1154="","",IF(BO1154=1,$D1154,MIN($D1154,BS1153)))</f>
        <v>0</v>
      </c>
      <c r="BT1154">
        <f>IF($A1154="","",IF(BP1154=1,F1154,""))</f>
        <v>0</v>
      </c>
    </row>
    <row r="1155" spans="1:72">
      <c r="A1155" s="27">
        <f>IF(Data!$A1155="","",Data!$A1155)</f>
        <v>0</v>
      </c>
      <c r="B1155">
        <f>IF(Data!$B1155="","",Data!$B1155)</f>
        <v>0</v>
      </c>
      <c r="C1155">
        <f>IF(Data!$C1155="","",Data!$C1155)</f>
        <v>0</v>
      </c>
      <c r="D1155">
        <f>IF(Data!$D1155="","",Data!$D1155)</f>
        <v>0</v>
      </c>
      <c r="E1155">
        <f>IF(Data!$E1155="","",Data!$E1155)</f>
        <v>0</v>
      </c>
      <c r="F1155">
        <f>IF($E1155="","",N(F1154)+1)</f>
        <v>0</v>
      </c>
      <c r="G1155">
        <f>IF(OR($E1155="",$E1154=""),"",LN($E1155/$E1154))</f>
        <v>0</v>
      </c>
      <c r="H1155">
        <f>IF($E1155="","",IF($E1154="",$E1155,$E1155*0.0952380952+H1154*0.9047619048))</f>
        <v>0</v>
      </c>
      <c r="I1155">
        <f>IF($E1155="","",IF($E1154="",$E1155,$E1155*0.0392156863+I1154*0.9607843137))</f>
        <v>0</v>
      </c>
      <c r="J1155">
        <f>IF($E1155="","",IF($E1154="",$E1155,$E1155*0.0198019802+J1154*0.9801980198))</f>
        <v>0</v>
      </c>
      <c r="K1155">
        <f>IF($E1155="","",IF($E1154="",$E1155,$E1155*0.0099502488+K1154*0.9900497512))</f>
        <v>0</v>
      </c>
      <c r="L1155">
        <f>IF(OR($E1155="",$E1154=""),"",MAX($E1155-$E1154,0))</f>
        <v>0</v>
      </c>
      <c r="M1155">
        <f>IF(OR($E1155="",$E1154=""),"",MAX($E1154-$E1155,0))</f>
        <v>0</v>
      </c>
      <c r="N1155">
        <f>IF(COUNT($E$2:$E1155)&lt;15,"",IF(AVERAGE($M$1142:$M$1155)=0,100,100-100/(1+AVERAGE($L$1142:$L$1155)/AVERAGE($M$1142:$M$1155))))</f>
        <v>0</v>
      </c>
      <c r="O1155">
        <f>IF($E1155="","",IF($E1154="",$E1155,$E1155*0.1538461538+O1154*0.8461538462))</f>
        <v>0</v>
      </c>
      <c r="P1155">
        <f>IF($E1155="","",IF($E1154="",$E1155,$E1155*0.0740740741+P1154*0.9259259259))</f>
        <v>0</v>
      </c>
      <c r="Q1155">
        <f>IF(OR(O1155="",P1155=""),"",O1155-P1155)</f>
        <v>0</v>
      </c>
      <c r="R1155">
        <f>IF(Q1155="","",IF(R1154="",Q1155,Q1155*0.2000000000+R1154*0.8000000000))</f>
        <v>0</v>
      </c>
      <c r="S1155">
        <f>IF(OR(Q1155="",R1155=""),"",Q1155-R1155)</f>
        <v>0</v>
      </c>
      <c r="T1155">
        <f>IF(COUNT($E$2:$E1155)&lt;14,"",MAX($C$1142:$C$1155))</f>
        <v>0</v>
      </c>
      <c r="U1155">
        <f>IF(COUNT($E$2:$E1155)&lt;14,"",MIN($D$1142:$D$1155))</f>
        <v>0</v>
      </c>
      <c r="V1155">
        <f>IF(OR(T1155="",U1155="",T1155=U1155),"",100*($E1155-U1155)/(T1155-U1155))</f>
        <v>0</v>
      </c>
      <c r="W1155">
        <f>IF(COUNT($V$1153:$V$1155)&lt;3,"",AVERAGE($V$1153:$V$1155))</f>
        <v>0</v>
      </c>
      <c r="X1155">
        <f>IF(COUNT($N$1142:$N$1155)&lt;14,"",MIN($N$1142:$N$1155))</f>
        <v>0</v>
      </c>
      <c r="Y1155">
        <f>IF(COUNT($N$1142:$N$1155)&lt;14,"",MAX($N$1142:$N$1155))</f>
        <v>0</v>
      </c>
      <c r="Z1155">
        <f>IF(OR(N1155="",X1155="",Y1155="",Y1155=X1155),"",100*(N1155-X1155)/(Y1155-X1155))</f>
        <v>0</v>
      </c>
      <c r="AA1155">
        <f>IF(COUNT($Z$1153:$Z$1155)&lt;3,"",AVERAGE($Z$1153:$Z$1155))</f>
        <v>0</v>
      </c>
      <c r="AB1155">
        <f>IF(COUNT($AA$1153:$AA$1155)&lt;3,"",AVERAGE($AA$1153:$AA$1155))</f>
        <v>0</v>
      </c>
      <c r="AC1155">
        <f>IF($E1155="","",MAX($C1155-$D1155,ABS($C1155-$E1154),ABS($D1155-$E1154)))</f>
        <v>0</v>
      </c>
      <c r="AD1155">
        <f>IF(COUNT($E$2:$E1155)&lt;15,"",AVERAGE($AC$1142:$AC$1155))</f>
        <v>0</v>
      </c>
      <c r="AE1155">
        <f>IF(OR($E1155="",$E1154=""),"",IF(AND(($C1155-$C1154)&gt;($D1154-$D1155),($C1155-$C1154)&gt;0),$C1155-$C1154,0))</f>
        <v>0</v>
      </c>
      <c r="AF1155">
        <f>IF(OR($E1155="",$E1154=""),"",IF(AND(($D1154-$D1155)&gt;($C1155-$C1154),($D1154-$D1155)&gt;0),$D1154-$D1155,0))</f>
        <v>0</v>
      </c>
      <c r="AG1155">
        <f>IF(COUNT($E$2:$E1155)&lt;15,"",IF(SUM($AC$1142:$AC$1155)=0,0,100*SUM($AE$1142:$AE$1155)/SUM($AC$1142:$AC$1155)))</f>
        <v>0</v>
      </c>
      <c r="AH1155">
        <f>IF(COUNT($E$2:$E1155)&lt;15,"",IF(SUM($AC$1142:$AC$1155)=0,0,100*SUM($AF$1142:$AF$1155)/SUM($AC$1142:$AC$1155)))</f>
        <v>0</v>
      </c>
      <c r="AI1155">
        <f>IF(OR(AG1155="",AH1155=""),"",IF((AG1155+AH1155)=0,0,100*ABS(AG1155-AH1155)/(AG1155+AH1155)))</f>
        <v>0</v>
      </c>
      <c r="AJ1155">
        <f>IF(COUNT($AI$1142:$AI$1155)&lt;14,"",AVERAGE($AI$1142:$AI$1155))</f>
        <v>0</v>
      </c>
      <c r="AK1155">
        <f>IF(COUNT($E$2:$E1155)&lt;20,"",AVERAGE($E$1136:$E$1155))</f>
        <v>0</v>
      </c>
      <c r="AL1155">
        <f>IF(COUNT($E$2:$E1155)&lt;20,"",STDEVP($E$1136:$E$1155))</f>
        <v>0</v>
      </c>
      <c r="AM1155">
        <f>IF(AK1155="","",AK1155+2*AL1155)</f>
        <v>0</v>
      </c>
      <c r="AN1155">
        <f>IF(AK1155="","",AK1155-2*AL1155)</f>
        <v>0</v>
      </c>
      <c r="AO1155">
        <f>IF(OR(AM1155="",AN1155="",AM1155=AN1155),"",($E1155-AN1155)/(AM1155-AN1155))</f>
        <v>0</v>
      </c>
      <c r="AP1155">
        <f>IF(OR(AM1155="",AK1155="",AK1155=0),"",(AM1155-AN1155)/AK1155)</f>
        <v>0</v>
      </c>
      <c r="AQ1155">
        <f>IF(COUNT($E$2:$E1155)&lt;20,"",MAX($C$1136:$C$1155))</f>
        <v>0</v>
      </c>
      <c r="AR1155">
        <f>IF(COUNT($E$2:$E1155)&lt;20,"",MIN($D$1136:$D$1155))</f>
        <v>0</v>
      </c>
      <c r="AS1155">
        <f>IF(OR(AQ1155="",AR1155=""),"",(AQ1155+AR1155)/2)</f>
        <v>0</v>
      </c>
      <c r="AT1155">
        <f>IF(COUNT($G$1136:$G$1155)&lt;20,"",STDEV($G$1136:$G$1155)*SQRT(252))</f>
        <v>0</v>
      </c>
      <c r="AU1155">
        <f>IF(COUNT($E$2:$E1155)&lt;9,"",(MAX($C$1147:$C$1155)+MIN($D$1147:$D$1155))/2)</f>
        <v>0</v>
      </c>
      <c r="AV1155">
        <f>IF(COUNT($E$2:$E1155)&lt;26,"",(MAX($C$1130:$C$1155)+MIN($D$1130:$D$1155))/2)</f>
        <v>0</v>
      </c>
      <c r="AW1155">
        <f>IF(OR(AU1155="",AV1155=""),"",(AU1155+AV1155)/2)</f>
        <v>0</v>
      </c>
      <c r="AX1155">
        <f>IF(COUNT($E$2:$E1155)&lt;52,"",(MAX($C$1104:$C$1155)+MIN($D$1104:$D$1155))/2)</f>
        <v>0</v>
      </c>
      <c r="AY1155">
        <f>IF(COUNT($E$2:$E1155)&lt;20,"",MAX($C$1056:$C$1155))</f>
        <v>0</v>
      </c>
      <c r="AZ1155">
        <f>IF(COUNT($E$2:$E1155)&lt;20,"",MIN($D$1056:$D$1155))</f>
        <v>0</v>
      </c>
      <c r="BA1155">
        <f>IF(COUNT($E$2:$E1155)&lt;20,"",SLOPE($E$1056:$E$1155,$F$1056:$F$1155))</f>
        <v>0</v>
      </c>
      <c r="BB1155">
        <f>IF(COUNT($E$2:$E1155)&lt;20,"",INTERCEPT($E$1056:$E$1155,$F$1056:$F$1155))</f>
        <v>0</v>
      </c>
      <c r="BC1155">
        <f>IF(OR(BA1155="",BB1155=""),"",BB1155+BA1155*F1155)</f>
        <v>0</v>
      </c>
      <c r="BD1155">
        <f>IF(COUNT($E$2:$E1155)&lt;20,"",STEYX($E$1056:$E$1155,$F$1056:$F$1155))</f>
        <v>0</v>
      </c>
      <c r="BE1155">
        <f>IF($E1155="","",IF(AND(COUNT($E$1156:$E$1159)&gt;=4,$C1155=MAX($C$1151:$C$1159)),$C1155,""))</f>
        <v>0</v>
      </c>
      <c r="BF1155">
        <f>IF($E1155="","",IF(AND(COUNT($E$1156:$E$1159)&gt;=4,$D1155=MIN($D$1151:$D$1159)),$D1155,""))</f>
        <v>0</v>
      </c>
      <c r="BG1155">
        <f>IF($A1155="","",$A1155-WEEKDAY($A1155,2)+1)</f>
        <v>0</v>
      </c>
      <c r="BH1155">
        <f>IF($A1155="","",IF($A1154="",1,IF(BG1155&lt;&gt;BG1154,1,0)))</f>
        <v>0</v>
      </c>
      <c r="BI1155">
        <f>IF($A1155="","",IF($A1156="",1,IF(BG1156&lt;&gt;BG1155,1,0)))</f>
        <v>0</v>
      </c>
      <c r="BJ1155">
        <f>IF($A1155="","",IF(BH1155=1,$B1155,BJ1154))</f>
        <v>0</v>
      </c>
      <c r="BK1155">
        <f>IF($A1155="","",IF(BH1155=1,$C1155,MAX($C1155,BK1154)))</f>
        <v>0</v>
      </c>
      <c r="BL1155">
        <f>IF($A1155="","",IF(BH1155=1,$D1155,MIN($D1155,BL1154)))</f>
        <v>0</v>
      </c>
      <c r="BM1155">
        <f>IF($A1155="","",IF(BI1155=1,F1155,""))</f>
        <v>0</v>
      </c>
      <c r="BN1155">
        <f>IF($A1155="","",DATE(YEAR($A1155),MONTH($A1155),1))</f>
        <v>0</v>
      </c>
      <c r="BO1155">
        <f>IF($A1155="","",IF($A1154="",1,IF(BN1155&lt;&gt;BN1154,1,0)))</f>
        <v>0</v>
      </c>
      <c r="BP1155">
        <f>IF($A1155="","",IF($A1156="",1,IF(BN1156&lt;&gt;BN1155,1,0)))</f>
        <v>0</v>
      </c>
      <c r="BQ1155">
        <f>IF($A1155="","",IF(BO1155=1,$B1155,BQ1154))</f>
        <v>0</v>
      </c>
      <c r="BR1155">
        <f>IF($A1155="","",IF(BO1155=1,$C1155,MAX($C1155,BR1154)))</f>
        <v>0</v>
      </c>
      <c r="BS1155">
        <f>IF($A1155="","",IF(BO1155=1,$D1155,MIN($D1155,BS1154)))</f>
        <v>0</v>
      </c>
      <c r="BT1155">
        <f>IF($A1155="","",IF(BP1155=1,F1155,""))</f>
        <v>0</v>
      </c>
    </row>
    <row r="1156" spans="1:72">
      <c r="A1156" s="27">
        <f>IF(Data!$A1156="","",Data!$A1156)</f>
        <v>0</v>
      </c>
      <c r="B1156">
        <f>IF(Data!$B1156="","",Data!$B1156)</f>
        <v>0</v>
      </c>
      <c r="C1156">
        <f>IF(Data!$C1156="","",Data!$C1156)</f>
        <v>0</v>
      </c>
      <c r="D1156">
        <f>IF(Data!$D1156="","",Data!$D1156)</f>
        <v>0</v>
      </c>
      <c r="E1156">
        <f>IF(Data!$E1156="","",Data!$E1156)</f>
        <v>0</v>
      </c>
      <c r="F1156">
        <f>IF($E1156="","",N(F1155)+1)</f>
        <v>0</v>
      </c>
      <c r="G1156">
        <f>IF(OR($E1156="",$E1155=""),"",LN($E1156/$E1155))</f>
        <v>0</v>
      </c>
      <c r="H1156">
        <f>IF($E1156="","",IF($E1155="",$E1156,$E1156*0.0952380952+H1155*0.9047619048))</f>
        <v>0</v>
      </c>
      <c r="I1156">
        <f>IF($E1156="","",IF($E1155="",$E1156,$E1156*0.0392156863+I1155*0.9607843137))</f>
        <v>0</v>
      </c>
      <c r="J1156">
        <f>IF($E1156="","",IF($E1155="",$E1156,$E1156*0.0198019802+J1155*0.9801980198))</f>
        <v>0</v>
      </c>
      <c r="K1156">
        <f>IF($E1156="","",IF($E1155="",$E1156,$E1156*0.0099502488+K1155*0.9900497512))</f>
        <v>0</v>
      </c>
      <c r="L1156">
        <f>IF(OR($E1156="",$E1155=""),"",MAX($E1156-$E1155,0))</f>
        <v>0</v>
      </c>
      <c r="M1156">
        <f>IF(OR($E1156="",$E1155=""),"",MAX($E1155-$E1156,0))</f>
        <v>0</v>
      </c>
      <c r="N1156">
        <f>IF(COUNT($E$2:$E1156)&lt;15,"",IF(AVERAGE($M$1143:$M$1156)=0,100,100-100/(1+AVERAGE($L$1143:$L$1156)/AVERAGE($M$1143:$M$1156))))</f>
        <v>0</v>
      </c>
      <c r="O1156">
        <f>IF($E1156="","",IF($E1155="",$E1156,$E1156*0.1538461538+O1155*0.8461538462))</f>
        <v>0</v>
      </c>
      <c r="P1156">
        <f>IF($E1156="","",IF($E1155="",$E1156,$E1156*0.0740740741+P1155*0.9259259259))</f>
        <v>0</v>
      </c>
      <c r="Q1156">
        <f>IF(OR(O1156="",P1156=""),"",O1156-P1156)</f>
        <v>0</v>
      </c>
      <c r="R1156">
        <f>IF(Q1156="","",IF(R1155="",Q1156,Q1156*0.2000000000+R1155*0.8000000000))</f>
        <v>0</v>
      </c>
      <c r="S1156">
        <f>IF(OR(Q1156="",R1156=""),"",Q1156-R1156)</f>
        <v>0</v>
      </c>
      <c r="T1156">
        <f>IF(COUNT($E$2:$E1156)&lt;14,"",MAX($C$1143:$C$1156))</f>
        <v>0</v>
      </c>
      <c r="U1156">
        <f>IF(COUNT($E$2:$E1156)&lt;14,"",MIN($D$1143:$D$1156))</f>
        <v>0</v>
      </c>
      <c r="V1156">
        <f>IF(OR(T1156="",U1156="",T1156=U1156),"",100*($E1156-U1156)/(T1156-U1156))</f>
        <v>0</v>
      </c>
      <c r="W1156">
        <f>IF(COUNT($V$1154:$V$1156)&lt;3,"",AVERAGE($V$1154:$V$1156))</f>
        <v>0</v>
      </c>
      <c r="X1156">
        <f>IF(COUNT($N$1143:$N$1156)&lt;14,"",MIN($N$1143:$N$1156))</f>
        <v>0</v>
      </c>
      <c r="Y1156">
        <f>IF(COUNT($N$1143:$N$1156)&lt;14,"",MAX($N$1143:$N$1156))</f>
        <v>0</v>
      </c>
      <c r="Z1156">
        <f>IF(OR(N1156="",X1156="",Y1156="",Y1156=X1156),"",100*(N1156-X1156)/(Y1156-X1156))</f>
        <v>0</v>
      </c>
      <c r="AA1156">
        <f>IF(COUNT($Z$1154:$Z$1156)&lt;3,"",AVERAGE($Z$1154:$Z$1156))</f>
        <v>0</v>
      </c>
      <c r="AB1156">
        <f>IF(COUNT($AA$1154:$AA$1156)&lt;3,"",AVERAGE($AA$1154:$AA$1156))</f>
        <v>0</v>
      </c>
      <c r="AC1156">
        <f>IF($E1156="","",MAX($C1156-$D1156,ABS($C1156-$E1155),ABS($D1156-$E1155)))</f>
        <v>0</v>
      </c>
      <c r="AD1156">
        <f>IF(COUNT($E$2:$E1156)&lt;15,"",AVERAGE($AC$1143:$AC$1156))</f>
        <v>0</v>
      </c>
      <c r="AE1156">
        <f>IF(OR($E1156="",$E1155=""),"",IF(AND(($C1156-$C1155)&gt;($D1155-$D1156),($C1156-$C1155)&gt;0),$C1156-$C1155,0))</f>
        <v>0</v>
      </c>
      <c r="AF1156">
        <f>IF(OR($E1156="",$E1155=""),"",IF(AND(($D1155-$D1156)&gt;($C1156-$C1155),($D1155-$D1156)&gt;0),$D1155-$D1156,0))</f>
        <v>0</v>
      </c>
      <c r="AG1156">
        <f>IF(COUNT($E$2:$E1156)&lt;15,"",IF(SUM($AC$1143:$AC$1156)=0,0,100*SUM($AE$1143:$AE$1156)/SUM($AC$1143:$AC$1156)))</f>
        <v>0</v>
      </c>
      <c r="AH1156">
        <f>IF(COUNT($E$2:$E1156)&lt;15,"",IF(SUM($AC$1143:$AC$1156)=0,0,100*SUM($AF$1143:$AF$1156)/SUM($AC$1143:$AC$1156)))</f>
        <v>0</v>
      </c>
      <c r="AI1156">
        <f>IF(OR(AG1156="",AH1156=""),"",IF((AG1156+AH1156)=0,0,100*ABS(AG1156-AH1156)/(AG1156+AH1156)))</f>
        <v>0</v>
      </c>
      <c r="AJ1156">
        <f>IF(COUNT($AI$1143:$AI$1156)&lt;14,"",AVERAGE($AI$1143:$AI$1156))</f>
        <v>0</v>
      </c>
      <c r="AK1156">
        <f>IF(COUNT($E$2:$E1156)&lt;20,"",AVERAGE($E$1137:$E$1156))</f>
        <v>0</v>
      </c>
      <c r="AL1156">
        <f>IF(COUNT($E$2:$E1156)&lt;20,"",STDEVP($E$1137:$E$1156))</f>
        <v>0</v>
      </c>
      <c r="AM1156">
        <f>IF(AK1156="","",AK1156+2*AL1156)</f>
        <v>0</v>
      </c>
      <c r="AN1156">
        <f>IF(AK1156="","",AK1156-2*AL1156)</f>
        <v>0</v>
      </c>
      <c r="AO1156">
        <f>IF(OR(AM1156="",AN1156="",AM1156=AN1156),"",($E1156-AN1156)/(AM1156-AN1156))</f>
        <v>0</v>
      </c>
      <c r="AP1156">
        <f>IF(OR(AM1156="",AK1156="",AK1156=0),"",(AM1156-AN1156)/AK1156)</f>
        <v>0</v>
      </c>
      <c r="AQ1156">
        <f>IF(COUNT($E$2:$E1156)&lt;20,"",MAX($C$1137:$C$1156))</f>
        <v>0</v>
      </c>
      <c r="AR1156">
        <f>IF(COUNT($E$2:$E1156)&lt;20,"",MIN($D$1137:$D$1156))</f>
        <v>0</v>
      </c>
      <c r="AS1156">
        <f>IF(OR(AQ1156="",AR1156=""),"",(AQ1156+AR1156)/2)</f>
        <v>0</v>
      </c>
      <c r="AT1156">
        <f>IF(COUNT($G$1137:$G$1156)&lt;20,"",STDEV($G$1137:$G$1156)*SQRT(252))</f>
        <v>0</v>
      </c>
      <c r="AU1156">
        <f>IF(COUNT($E$2:$E1156)&lt;9,"",(MAX($C$1148:$C$1156)+MIN($D$1148:$D$1156))/2)</f>
        <v>0</v>
      </c>
      <c r="AV1156">
        <f>IF(COUNT($E$2:$E1156)&lt;26,"",(MAX($C$1131:$C$1156)+MIN($D$1131:$D$1156))/2)</f>
        <v>0</v>
      </c>
      <c r="AW1156">
        <f>IF(OR(AU1156="",AV1156=""),"",(AU1156+AV1156)/2)</f>
        <v>0</v>
      </c>
      <c r="AX1156">
        <f>IF(COUNT($E$2:$E1156)&lt;52,"",(MAX($C$1105:$C$1156)+MIN($D$1105:$D$1156))/2)</f>
        <v>0</v>
      </c>
      <c r="AY1156">
        <f>IF(COUNT($E$2:$E1156)&lt;20,"",MAX($C$1057:$C$1156))</f>
        <v>0</v>
      </c>
      <c r="AZ1156">
        <f>IF(COUNT($E$2:$E1156)&lt;20,"",MIN($D$1057:$D$1156))</f>
        <v>0</v>
      </c>
      <c r="BA1156">
        <f>IF(COUNT($E$2:$E1156)&lt;20,"",SLOPE($E$1057:$E$1156,$F$1057:$F$1156))</f>
        <v>0</v>
      </c>
      <c r="BB1156">
        <f>IF(COUNT($E$2:$E1156)&lt;20,"",INTERCEPT($E$1057:$E$1156,$F$1057:$F$1156))</f>
        <v>0</v>
      </c>
      <c r="BC1156">
        <f>IF(OR(BA1156="",BB1156=""),"",BB1156+BA1156*F1156)</f>
        <v>0</v>
      </c>
      <c r="BD1156">
        <f>IF(COUNT($E$2:$E1156)&lt;20,"",STEYX($E$1057:$E$1156,$F$1057:$F$1156))</f>
        <v>0</v>
      </c>
      <c r="BE1156">
        <f>IF($E1156="","",IF(AND(COUNT($E$1157:$E$1160)&gt;=4,$C1156=MAX($C$1152:$C$1160)),$C1156,""))</f>
        <v>0</v>
      </c>
      <c r="BF1156">
        <f>IF($E1156="","",IF(AND(COUNT($E$1157:$E$1160)&gt;=4,$D1156=MIN($D$1152:$D$1160)),$D1156,""))</f>
        <v>0</v>
      </c>
      <c r="BG1156">
        <f>IF($A1156="","",$A1156-WEEKDAY($A1156,2)+1)</f>
        <v>0</v>
      </c>
      <c r="BH1156">
        <f>IF($A1156="","",IF($A1155="",1,IF(BG1156&lt;&gt;BG1155,1,0)))</f>
        <v>0</v>
      </c>
      <c r="BI1156">
        <f>IF($A1156="","",IF($A1157="",1,IF(BG1157&lt;&gt;BG1156,1,0)))</f>
        <v>0</v>
      </c>
      <c r="BJ1156">
        <f>IF($A1156="","",IF(BH1156=1,$B1156,BJ1155))</f>
        <v>0</v>
      </c>
      <c r="BK1156">
        <f>IF($A1156="","",IF(BH1156=1,$C1156,MAX($C1156,BK1155)))</f>
        <v>0</v>
      </c>
      <c r="BL1156">
        <f>IF($A1156="","",IF(BH1156=1,$D1156,MIN($D1156,BL1155)))</f>
        <v>0</v>
      </c>
      <c r="BM1156">
        <f>IF($A1156="","",IF(BI1156=1,F1156,""))</f>
        <v>0</v>
      </c>
      <c r="BN1156">
        <f>IF($A1156="","",DATE(YEAR($A1156),MONTH($A1156),1))</f>
        <v>0</v>
      </c>
      <c r="BO1156">
        <f>IF($A1156="","",IF($A1155="",1,IF(BN1156&lt;&gt;BN1155,1,0)))</f>
        <v>0</v>
      </c>
      <c r="BP1156">
        <f>IF($A1156="","",IF($A1157="",1,IF(BN1157&lt;&gt;BN1156,1,0)))</f>
        <v>0</v>
      </c>
      <c r="BQ1156">
        <f>IF($A1156="","",IF(BO1156=1,$B1156,BQ1155))</f>
        <v>0</v>
      </c>
      <c r="BR1156">
        <f>IF($A1156="","",IF(BO1156=1,$C1156,MAX($C1156,BR1155)))</f>
        <v>0</v>
      </c>
      <c r="BS1156">
        <f>IF($A1156="","",IF(BO1156=1,$D1156,MIN($D1156,BS1155)))</f>
        <v>0</v>
      </c>
      <c r="BT1156">
        <f>IF($A1156="","",IF(BP1156=1,F1156,""))</f>
        <v>0</v>
      </c>
    </row>
    <row r="1157" spans="1:72">
      <c r="A1157" s="27">
        <f>IF(Data!$A1157="","",Data!$A1157)</f>
        <v>0</v>
      </c>
      <c r="B1157">
        <f>IF(Data!$B1157="","",Data!$B1157)</f>
        <v>0</v>
      </c>
      <c r="C1157">
        <f>IF(Data!$C1157="","",Data!$C1157)</f>
        <v>0</v>
      </c>
      <c r="D1157">
        <f>IF(Data!$D1157="","",Data!$D1157)</f>
        <v>0</v>
      </c>
      <c r="E1157">
        <f>IF(Data!$E1157="","",Data!$E1157)</f>
        <v>0</v>
      </c>
      <c r="F1157">
        <f>IF($E1157="","",N(F1156)+1)</f>
        <v>0</v>
      </c>
      <c r="G1157">
        <f>IF(OR($E1157="",$E1156=""),"",LN($E1157/$E1156))</f>
        <v>0</v>
      </c>
      <c r="H1157">
        <f>IF($E1157="","",IF($E1156="",$E1157,$E1157*0.0952380952+H1156*0.9047619048))</f>
        <v>0</v>
      </c>
      <c r="I1157">
        <f>IF($E1157="","",IF($E1156="",$E1157,$E1157*0.0392156863+I1156*0.9607843137))</f>
        <v>0</v>
      </c>
      <c r="J1157">
        <f>IF($E1157="","",IF($E1156="",$E1157,$E1157*0.0198019802+J1156*0.9801980198))</f>
        <v>0</v>
      </c>
      <c r="K1157">
        <f>IF($E1157="","",IF($E1156="",$E1157,$E1157*0.0099502488+K1156*0.9900497512))</f>
        <v>0</v>
      </c>
      <c r="L1157">
        <f>IF(OR($E1157="",$E1156=""),"",MAX($E1157-$E1156,0))</f>
        <v>0</v>
      </c>
      <c r="M1157">
        <f>IF(OR($E1157="",$E1156=""),"",MAX($E1156-$E1157,0))</f>
        <v>0</v>
      </c>
      <c r="N1157">
        <f>IF(COUNT($E$2:$E1157)&lt;15,"",IF(AVERAGE($M$1144:$M$1157)=0,100,100-100/(1+AVERAGE($L$1144:$L$1157)/AVERAGE($M$1144:$M$1157))))</f>
        <v>0</v>
      </c>
      <c r="O1157">
        <f>IF($E1157="","",IF($E1156="",$E1157,$E1157*0.1538461538+O1156*0.8461538462))</f>
        <v>0</v>
      </c>
      <c r="P1157">
        <f>IF($E1157="","",IF($E1156="",$E1157,$E1157*0.0740740741+P1156*0.9259259259))</f>
        <v>0</v>
      </c>
      <c r="Q1157">
        <f>IF(OR(O1157="",P1157=""),"",O1157-P1157)</f>
        <v>0</v>
      </c>
      <c r="R1157">
        <f>IF(Q1157="","",IF(R1156="",Q1157,Q1157*0.2000000000+R1156*0.8000000000))</f>
        <v>0</v>
      </c>
      <c r="S1157">
        <f>IF(OR(Q1157="",R1157=""),"",Q1157-R1157)</f>
        <v>0</v>
      </c>
      <c r="T1157">
        <f>IF(COUNT($E$2:$E1157)&lt;14,"",MAX($C$1144:$C$1157))</f>
        <v>0</v>
      </c>
      <c r="U1157">
        <f>IF(COUNT($E$2:$E1157)&lt;14,"",MIN($D$1144:$D$1157))</f>
        <v>0</v>
      </c>
      <c r="V1157">
        <f>IF(OR(T1157="",U1157="",T1157=U1157),"",100*($E1157-U1157)/(T1157-U1157))</f>
        <v>0</v>
      </c>
      <c r="W1157">
        <f>IF(COUNT($V$1155:$V$1157)&lt;3,"",AVERAGE($V$1155:$V$1157))</f>
        <v>0</v>
      </c>
      <c r="X1157">
        <f>IF(COUNT($N$1144:$N$1157)&lt;14,"",MIN($N$1144:$N$1157))</f>
        <v>0</v>
      </c>
      <c r="Y1157">
        <f>IF(COUNT($N$1144:$N$1157)&lt;14,"",MAX($N$1144:$N$1157))</f>
        <v>0</v>
      </c>
      <c r="Z1157">
        <f>IF(OR(N1157="",X1157="",Y1157="",Y1157=X1157),"",100*(N1157-X1157)/(Y1157-X1157))</f>
        <v>0</v>
      </c>
      <c r="AA1157">
        <f>IF(COUNT($Z$1155:$Z$1157)&lt;3,"",AVERAGE($Z$1155:$Z$1157))</f>
        <v>0</v>
      </c>
      <c r="AB1157">
        <f>IF(COUNT($AA$1155:$AA$1157)&lt;3,"",AVERAGE($AA$1155:$AA$1157))</f>
        <v>0</v>
      </c>
      <c r="AC1157">
        <f>IF($E1157="","",MAX($C1157-$D1157,ABS($C1157-$E1156),ABS($D1157-$E1156)))</f>
        <v>0</v>
      </c>
      <c r="AD1157">
        <f>IF(COUNT($E$2:$E1157)&lt;15,"",AVERAGE($AC$1144:$AC$1157))</f>
        <v>0</v>
      </c>
      <c r="AE1157">
        <f>IF(OR($E1157="",$E1156=""),"",IF(AND(($C1157-$C1156)&gt;($D1156-$D1157),($C1157-$C1156)&gt;0),$C1157-$C1156,0))</f>
        <v>0</v>
      </c>
      <c r="AF1157">
        <f>IF(OR($E1157="",$E1156=""),"",IF(AND(($D1156-$D1157)&gt;($C1157-$C1156),($D1156-$D1157)&gt;0),$D1156-$D1157,0))</f>
        <v>0</v>
      </c>
      <c r="AG1157">
        <f>IF(COUNT($E$2:$E1157)&lt;15,"",IF(SUM($AC$1144:$AC$1157)=0,0,100*SUM($AE$1144:$AE$1157)/SUM($AC$1144:$AC$1157)))</f>
        <v>0</v>
      </c>
      <c r="AH1157">
        <f>IF(COUNT($E$2:$E1157)&lt;15,"",IF(SUM($AC$1144:$AC$1157)=0,0,100*SUM($AF$1144:$AF$1157)/SUM($AC$1144:$AC$1157)))</f>
        <v>0</v>
      </c>
      <c r="AI1157">
        <f>IF(OR(AG1157="",AH1157=""),"",IF((AG1157+AH1157)=0,0,100*ABS(AG1157-AH1157)/(AG1157+AH1157)))</f>
        <v>0</v>
      </c>
      <c r="AJ1157">
        <f>IF(COUNT($AI$1144:$AI$1157)&lt;14,"",AVERAGE($AI$1144:$AI$1157))</f>
        <v>0</v>
      </c>
      <c r="AK1157">
        <f>IF(COUNT($E$2:$E1157)&lt;20,"",AVERAGE($E$1138:$E$1157))</f>
        <v>0</v>
      </c>
      <c r="AL1157">
        <f>IF(COUNT($E$2:$E1157)&lt;20,"",STDEVP($E$1138:$E$1157))</f>
        <v>0</v>
      </c>
      <c r="AM1157">
        <f>IF(AK1157="","",AK1157+2*AL1157)</f>
        <v>0</v>
      </c>
      <c r="AN1157">
        <f>IF(AK1157="","",AK1157-2*AL1157)</f>
        <v>0</v>
      </c>
      <c r="AO1157">
        <f>IF(OR(AM1157="",AN1157="",AM1157=AN1157),"",($E1157-AN1157)/(AM1157-AN1157))</f>
        <v>0</v>
      </c>
      <c r="AP1157">
        <f>IF(OR(AM1157="",AK1157="",AK1157=0),"",(AM1157-AN1157)/AK1157)</f>
        <v>0</v>
      </c>
      <c r="AQ1157">
        <f>IF(COUNT($E$2:$E1157)&lt;20,"",MAX($C$1138:$C$1157))</f>
        <v>0</v>
      </c>
      <c r="AR1157">
        <f>IF(COUNT($E$2:$E1157)&lt;20,"",MIN($D$1138:$D$1157))</f>
        <v>0</v>
      </c>
      <c r="AS1157">
        <f>IF(OR(AQ1157="",AR1157=""),"",(AQ1157+AR1157)/2)</f>
        <v>0</v>
      </c>
      <c r="AT1157">
        <f>IF(COUNT($G$1138:$G$1157)&lt;20,"",STDEV($G$1138:$G$1157)*SQRT(252))</f>
        <v>0</v>
      </c>
      <c r="AU1157">
        <f>IF(COUNT($E$2:$E1157)&lt;9,"",(MAX($C$1149:$C$1157)+MIN($D$1149:$D$1157))/2)</f>
        <v>0</v>
      </c>
      <c r="AV1157">
        <f>IF(COUNT($E$2:$E1157)&lt;26,"",(MAX($C$1132:$C$1157)+MIN($D$1132:$D$1157))/2)</f>
        <v>0</v>
      </c>
      <c r="AW1157">
        <f>IF(OR(AU1157="",AV1157=""),"",(AU1157+AV1157)/2)</f>
        <v>0</v>
      </c>
      <c r="AX1157">
        <f>IF(COUNT($E$2:$E1157)&lt;52,"",(MAX($C$1106:$C$1157)+MIN($D$1106:$D$1157))/2)</f>
        <v>0</v>
      </c>
      <c r="AY1157">
        <f>IF(COUNT($E$2:$E1157)&lt;20,"",MAX($C$1058:$C$1157))</f>
        <v>0</v>
      </c>
      <c r="AZ1157">
        <f>IF(COUNT($E$2:$E1157)&lt;20,"",MIN($D$1058:$D$1157))</f>
        <v>0</v>
      </c>
      <c r="BA1157">
        <f>IF(COUNT($E$2:$E1157)&lt;20,"",SLOPE($E$1058:$E$1157,$F$1058:$F$1157))</f>
        <v>0</v>
      </c>
      <c r="BB1157">
        <f>IF(COUNT($E$2:$E1157)&lt;20,"",INTERCEPT($E$1058:$E$1157,$F$1058:$F$1157))</f>
        <v>0</v>
      </c>
      <c r="BC1157">
        <f>IF(OR(BA1157="",BB1157=""),"",BB1157+BA1157*F1157)</f>
        <v>0</v>
      </c>
      <c r="BD1157">
        <f>IF(COUNT($E$2:$E1157)&lt;20,"",STEYX($E$1058:$E$1157,$F$1058:$F$1157))</f>
        <v>0</v>
      </c>
      <c r="BE1157">
        <f>IF($E1157="","",IF(AND(COUNT($E$1158:$E$1161)&gt;=4,$C1157=MAX($C$1153:$C$1161)),$C1157,""))</f>
        <v>0</v>
      </c>
      <c r="BF1157">
        <f>IF($E1157="","",IF(AND(COUNT($E$1158:$E$1161)&gt;=4,$D1157=MIN($D$1153:$D$1161)),$D1157,""))</f>
        <v>0</v>
      </c>
      <c r="BG1157">
        <f>IF($A1157="","",$A1157-WEEKDAY($A1157,2)+1)</f>
        <v>0</v>
      </c>
      <c r="BH1157">
        <f>IF($A1157="","",IF($A1156="",1,IF(BG1157&lt;&gt;BG1156,1,0)))</f>
        <v>0</v>
      </c>
      <c r="BI1157">
        <f>IF($A1157="","",IF($A1158="",1,IF(BG1158&lt;&gt;BG1157,1,0)))</f>
        <v>0</v>
      </c>
      <c r="BJ1157">
        <f>IF($A1157="","",IF(BH1157=1,$B1157,BJ1156))</f>
        <v>0</v>
      </c>
      <c r="BK1157">
        <f>IF($A1157="","",IF(BH1157=1,$C1157,MAX($C1157,BK1156)))</f>
        <v>0</v>
      </c>
      <c r="BL1157">
        <f>IF($A1157="","",IF(BH1157=1,$D1157,MIN($D1157,BL1156)))</f>
        <v>0</v>
      </c>
      <c r="BM1157">
        <f>IF($A1157="","",IF(BI1157=1,F1157,""))</f>
        <v>0</v>
      </c>
      <c r="BN1157">
        <f>IF($A1157="","",DATE(YEAR($A1157),MONTH($A1157),1))</f>
        <v>0</v>
      </c>
      <c r="BO1157">
        <f>IF($A1157="","",IF($A1156="",1,IF(BN1157&lt;&gt;BN1156,1,0)))</f>
        <v>0</v>
      </c>
      <c r="BP1157">
        <f>IF($A1157="","",IF($A1158="",1,IF(BN1158&lt;&gt;BN1157,1,0)))</f>
        <v>0</v>
      </c>
      <c r="BQ1157">
        <f>IF($A1157="","",IF(BO1157=1,$B1157,BQ1156))</f>
        <v>0</v>
      </c>
      <c r="BR1157">
        <f>IF($A1157="","",IF(BO1157=1,$C1157,MAX($C1157,BR1156)))</f>
        <v>0</v>
      </c>
      <c r="BS1157">
        <f>IF($A1157="","",IF(BO1157=1,$D1157,MIN($D1157,BS1156)))</f>
        <v>0</v>
      </c>
      <c r="BT1157">
        <f>IF($A1157="","",IF(BP1157=1,F1157,""))</f>
        <v>0</v>
      </c>
    </row>
    <row r="1158" spans="1:72">
      <c r="A1158" s="27">
        <f>IF(Data!$A1158="","",Data!$A1158)</f>
        <v>0</v>
      </c>
      <c r="B1158">
        <f>IF(Data!$B1158="","",Data!$B1158)</f>
        <v>0</v>
      </c>
      <c r="C1158">
        <f>IF(Data!$C1158="","",Data!$C1158)</f>
        <v>0</v>
      </c>
      <c r="D1158">
        <f>IF(Data!$D1158="","",Data!$D1158)</f>
        <v>0</v>
      </c>
      <c r="E1158">
        <f>IF(Data!$E1158="","",Data!$E1158)</f>
        <v>0</v>
      </c>
      <c r="F1158">
        <f>IF($E1158="","",N(F1157)+1)</f>
        <v>0</v>
      </c>
      <c r="G1158">
        <f>IF(OR($E1158="",$E1157=""),"",LN($E1158/$E1157))</f>
        <v>0</v>
      </c>
      <c r="H1158">
        <f>IF($E1158="","",IF($E1157="",$E1158,$E1158*0.0952380952+H1157*0.9047619048))</f>
        <v>0</v>
      </c>
      <c r="I1158">
        <f>IF($E1158="","",IF($E1157="",$E1158,$E1158*0.0392156863+I1157*0.9607843137))</f>
        <v>0</v>
      </c>
      <c r="J1158">
        <f>IF($E1158="","",IF($E1157="",$E1158,$E1158*0.0198019802+J1157*0.9801980198))</f>
        <v>0</v>
      </c>
      <c r="K1158">
        <f>IF($E1158="","",IF($E1157="",$E1158,$E1158*0.0099502488+K1157*0.9900497512))</f>
        <v>0</v>
      </c>
      <c r="L1158">
        <f>IF(OR($E1158="",$E1157=""),"",MAX($E1158-$E1157,0))</f>
        <v>0</v>
      </c>
      <c r="M1158">
        <f>IF(OR($E1158="",$E1157=""),"",MAX($E1157-$E1158,0))</f>
        <v>0</v>
      </c>
      <c r="N1158">
        <f>IF(COUNT($E$2:$E1158)&lt;15,"",IF(AVERAGE($M$1145:$M$1158)=0,100,100-100/(1+AVERAGE($L$1145:$L$1158)/AVERAGE($M$1145:$M$1158))))</f>
        <v>0</v>
      </c>
      <c r="O1158">
        <f>IF($E1158="","",IF($E1157="",$E1158,$E1158*0.1538461538+O1157*0.8461538462))</f>
        <v>0</v>
      </c>
      <c r="P1158">
        <f>IF($E1158="","",IF($E1157="",$E1158,$E1158*0.0740740741+P1157*0.9259259259))</f>
        <v>0</v>
      </c>
      <c r="Q1158">
        <f>IF(OR(O1158="",P1158=""),"",O1158-P1158)</f>
        <v>0</v>
      </c>
      <c r="R1158">
        <f>IF(Q1158="","",IF(R1157="",Q1158,Q1158*0.2000000000+R1157*0.8000000000))</f>
        <v>0</v>
      </c>
      <c r="S1158">
        <f>IF(OR(Q1158="",R1158=""),"",Q1158-R1158)</f>
        <v>0</v>
      </c>
      <c r="T1158">
        <f>IF(COUNT($E$2:$E1158)&lt;14,"",MAX($C$1145:$C$1158))</f>
        <v>0</v>
      </c>
      <c r="U1158">
        <f>IF(COUNT($E$2:$E1158)&lt;14,"",MIN($D$1145:$D$1158))</f>
        <v>0</v>
      </c>
      <c r="V1158">
        <f>IF(OR(T1158="",U1158="",T1158=U1158),"",100*($E1158-U1158)/(T1158-U1158))</f>
        <v>0</v>
      </c>
      <c r="W1158">
        <f>IF(COUNT($V$1156:$V$1158)&lt;3,"",AVERAGE($V$1156:$V$1158))</f>
        <v>0</v>
      </c>
      <c r="X1158">
        <f>IF(COUNT($N$1145:$N$1158)&lt;14,"",MIN($N$1145:$N$1158))</f>
        <v>0</v>
      </c>
      <c r="Y1158">
        <f>IF(COUNT($N$1145:$N$1158)&lt;14,"",MAX($N$1145:$N$1158))</f>
        <v>0</v>
      </c>
      <c r="Z1158">
        <f>IF(OR(N1158="",X1158="",Y1158="",Y1158=X1158),"",100*(N1158-X1158)/(Y1158-X1158))</f>
        <v>0</v>
      </c>
      <c r="AA1158">
        <f>IF(COUNT($Z$1156:$Z$1158)&lt;3,"",AVERAGE($Z$1156:$Z$1158))</f>
        <v>0</v>
      </c>
      <c r="AB1158">
        <f>IF(COUNT($AA$1156:$AA$1158)&lt;3,"",AVERAGE($AA$1156:$AA$1158))</f>
        <v>0</v>
      </c>
      <c r="AC1158">
        <f>IF($E1158="","",MAX($C1158-$D1158,ABS($C1158-$E1157),ABS($D1158-$E1157)))</f>
        <v>0</v>
      </c>
      <c r="AD1158">
        <f>IF(COUNT($E$2:$E1158)&lt;15,"",AVERAGE($AC$1145:$AC$1158))</f>
        <v>0</v>
      </c>
      <c r="AE1158">
        <f>IF(OR($E1158="",$E1157=""),"",IF(AND(($C1158-$C1157)&gt;($D1157-$D1158),($C1158-$C1157)&gt;0),$C1158-$C1157,0))</f>
        <v>0</v>
      </c>
      <c r="AF1158">
        <f>IF(OR($E1158="",$E1157=""),"",IF(AND(($D1157-$D1158)&gt;($C1158-$C1157),($D1157-$D1158)&gt;0),$D1157-$D1158,0))</f>
        <v>0</v>
      </c>
      <c r="AG1158">
        <f>IF(COUNT($E$2:$E1158)&lt;15,"",IF(SUM($AC$1145:$AC$1158)=0,0,100*SUM($AE$1145:$AE$1158)/SUM($AC$1145:$AC$1158)))</f>
        <v>0</v>
      </c>
      <c r="AH1158">
        <f>IF(COUNT($E$2:$E1158)&lt;15,"",IF(SUM($AC$1145:$AC$1158)=0,0,100*SUM($AF$1145:$AF$1158)/SUM($AC$1145:$AC$1158)))</f>
        <v>0</v>
      </c>
      <c r="AI1158">
        <f>IF(OR(AG1158="",AH1158=""),"",IF((AG1158+AH1158)=0,0,100*ABS(AG1158-AH1158)/(AG1158+AH1158)))</f>
        <v>0</v>
      </c>
      <c r="AJ1158">
        <f>IF(COUNT($AI$1145:$AI$1158)&lt;14,"",AVERAGE($AI$1145:$AI$1158))</f>
        <v>0</v>
      </c>
      <c r="AK1158">
        <f>IF(COUNT($E$2:$E1158)&lt;20,"",AVERAGE($E$1139:$E$1158))</f>
        <v>0</v>
      </c>
      <c r="AL1158">
        <f>IF(COUNT($E$2:$E1158)&lt;20,"",STDEVP($E$1139:$E$1158))</f>
        <v>0</v>
      </c>
      <c r="AM1158">
        <f>IF(AK1158="","",AK1158+2*AL1158)</f>
        <v>0</v>
      </c>
      <c r="AN1158">
        <f>IF(AK1158="","",AK1158-2*AL1158)</f>
        <v>0</v>
      </c>
      <c r="AO1158">
        <f>IF(OR(AM1158="",AN1158="",AM1158=AN1158),"",($E1158-AN1158)/(AM1158-AN1158))</f>
        <v>0</v>
      </c>
      <c r="AP1158">
        <f>IF(OR(AM1158="",AK1158="",AK1158=0),"",(AM1158-AN1158)/AK1158)</f>
        <v>0</v>
      </c>
      <c r="AQ1158">
        <f>IF(COUNT($E$2:$E1158)&lt;20,"",MAX($C$1139:$C$1158))</f>
        <v>0</v>
      </c>
      <c r="AR1158">
        <f>IF(COUNT($E$2:$E1158)&lt;20,"",MIN($D$1139:$D$1158))</f>
        <v>0</v>
      </c>
      <c r="AS1158">
        <f>IF(OR(AQ1158="",AR1158=""),"",(AQ1158+AR1158)/2)</f>
        <v>0</v>
      </c>
      <c r="AT1158">
        <f>IF(COUNT($G$1139:$G$1158)&lt;20,"",STDEV($G$1139:$G$1158)*SQRT(252))</f>
        <v>0</v>
      </c>
      <c r="AU1158">
        <f>IF(COUNT($E$2:$E1158)&lt;9,"",(MAX($C$1150:$C$1158)+MIN($D$1150:$D$1158))/2)</f>
        <v>0</v>
      </c>
      <c r="AV1158">
        <f>IF(COUNT($E$2:$E1158)&lt;26,"",(MAX($C$1133:$C$1158)+MIN($D$1133:$D$1158))/2)</f>
        <v>0</v>
      </c>
      <c r="AW1158">
        <f>IF(OR(AU1158="",AV1158=""),"",(AU1158+AV1158)/2)</f>
        <v>0</v>
      </c>
      <c r="AX1158">
        <f>IF(COUNT($E$2:$E1158)&lt;52,"",(MAX($C$1107:$C$1158)+MIN($D$1107:$D$1158))/2)</f>
        <v>0</v>
      </c>
      <c r="AY1158">
        <f>IF(COUNT($E$2:$E1158)&lt;20,"",MAX($C$1059:$C$1158))</f>
        <v>0</v>
      </c>
      <c r="AZ1158">
        <f>IF(COUNT($E$2:$E1158)&lt;20,"",MIN($D$1059:$D$1158))</f>
        <v>0</v>
      </c>
      <c r="BA1158">
        <f>IF(COUNT($E$2:$E1158)&lt;20,"",SLOPE($E$1059:$E$1158,$F$1059:$F$1158))</f>
        <v>0</v>
      </c>
      <c r="BB1158">
        <f>IF(COUNT($E$2:$E1158)&lt;20,"",INTERCEPT($E$1059:$E$1158,$F$1059:$F$1158))</f>
        <v>0</v>
      </c>
      <c r="BC1158">
        <f>IF(OR(BA1158="",BB1158=""),"",BB1158+BA1158*F1158)</f>
        <v>0</v>
      </c>
      <c r="BD1158">
        <f>IF(COUNT($E$2:$E1158)&lt;20,"",STEYX($E$1059:$E$1158,$F$1059:$F$1158))</f>
        <v>0</v>
      </c>
      <c r="BE1158">
        <f>IF($E1158="","",IF(AND(COUNT($E$1159:$E$1162)&gt;=4,$C1158=MAX($C$1154:$C$1162)),$C1158,""))</f>
        <v>0</v>
      </c>
      <c r="BF1158">
        <f>IF($E1158="","",IF(AND(COUNT($E$1159:$E$1162)&gt;=4,$D1158=MIN($D$1154:$D$1162)),$D1158,""))</f>
        <v>0</v>
      </c>
      <c r="BG1158">
        <f>IF($A1158="","",$A1158-WEEKDAY($A1158,2)+1)</f>
        <v>0</v>
      </c>
      <c r="BH1158">
        <f>IF($A1158="","",IF($A1157="",1,IF(BG1158&lt;&gt;BG1157,1,0)))</f>
        <v>0</v>
      </c>
      <c r="BI1158">
        <f>IF($A1158="","",IF($A1159="",1,IF(BG1159&lt;&gt;BG1158,1,0)))</f>
        <v>0</v>
      </c>
      <c r="BJ1158">
        <f>IF($A1158="","",IF(BH1158=1,$B1158,BJ1157))</f>
        <v>0</v>
      </c>
      <c r="BK1158">
        <f>IF($A1158="","",IF(BH1158=1,$C1158,MAX($C1158,BK1157)))</f>
        <v>0</v>
      </c>
      <c r="BL1158">
        <f>IF($A1158="","",IF(BH1158=1,$D1158,MIN($D1158,BL1157)))</f>
        <v>0</v>
      </c>
      <c r="BM1158">
        <f>IF($A1158="","",IF(BI1158=1,F1158,""))</f>
        <v>0</v>
      </c>
      <c r="BN1158">
        <f>IF($A1158="","",DATE(YEAR($A1158),MONTH($A1158),1))</f>
        <v>0</v>
      </c>
      <c r="BO1158">
        <f>IF($A1158="","",IF($A1157="",1,IF(BN1158&lt;&gt;BN1157,1,0)))</f>
        <v>0</v>
      </c>
      <c r="BP1158">
        <f>IF($A1158="","",IF($A1159="",1,IF(BN1159&lt;&gt;BN1158,1,0)))</f>
        <v>0</v>
      </c>
      <c r="BQ1158">
        <f>IF($A1158="","",IF(BO1158=1,$B1158,BQ1157))</f>
        <v>0</v>
      </c>
      <c r="BR1158">
        <f>IF($A1158="","",IF(BO1158=1,$C1158,MAX($C1158,BR1157)))</f>
        <v>0</v>
      </c>
      <c r="BS1158">
        <f>IF($A1158="","",IF(BO1158=1,$D1158,MIN($D1158,BS1157)))</f>
        <v>0</v>
      </c>
      <c r="BT1158">
        <f>IF($A1158="","",IF(BP1158=1,F1158,""))</f>
        <v>0</v>
      </c>
    </row>
    <row r="1159" spans="1:72">
      <c r="A1159" s="27">
        <f>IF(Data!$A1159="","",Data!$A1159)</f>
        <v>0</v>
      </c>
      <c r="B1159">
        <f>IF(Data!$B1159="","",Data!$B1159)</f>
        <v>0</v>
      </c>
      <c r="C1159">
        <f>IF(Data!$C1159="","",Data!$C1159)</f>
        <v>0</v>
      </c>
      <c r="D1159">
        <f>IF(Data!$D1159="","",Data!$D1159)</f>
        <v>0</v>
      </c>
      <c r="E1159">
        <f>IF(Data!$E1159="","",Data!$E1159)</f>
        <v>0</v>
      </c>
      <c r="F1159">
        <f>IF($E1159="","",N(F1158)+1)</f>
        <v>0</v>
      </c>
      <c r="G1159">
        <f>IF(OR($E1159="",$E1158=""),"",LN($E1159/$E1158))</f>
        <v>0</v>
      </c>
      <c r="H1159">
        <f>IF($E1159="","",IF($E1158="",$E1159,$E1159*0.0952380952+H1158*0.9047619048))</f>
        <v>0</v>
      </c>
      <c r="I1159">
        <f>IF($E1159="","",IF($E1158="",$E1159,$E1159*0.0392156863+I1158*0.9607843137))</f>
        <v>0</v>
      </c>
      <c r="J1159">
        <f>IF($E1159="","",IF($E1158="",$E1159,$E1159*0.0198019802+J1158*0.9801980198))</f>
        <v>0</v>
      </c>
      <c r="K1159">
        <f>IF($E1159="","",IF($E1158="",$E1159,$E1159*0.0099502488+K1158*0.9900497512))</f>
        <v>0</v>
      </c>
      <c r="L1159">
        <f>IF(OR($E1159="",$E1158=""),"",MAX($E1159-$E1158,0))</f>
        <v>0</v>
      </c>
      <c r="M1159">
        <f>IF(OR($E1159="",$E1158=""),"",MAX($E1158-$E1159,0))</f>
        <v>0</v>
      </c>
      <c r="N1159">
        <f>IF(COUNT($E$2:$E1159)&lt;15,"",IF(AVERAGE($M$1146:$M$1159)=0,100,100-100/(1+AVERAGE($L$1146:$L$1159)/AVERAGE($M$1146:$M$1159))))</f>
        <v>0</v>
      </c>
      <c r="O1159">
        <f>IF($E1159="","",IF($E1158="",$E1159,$E1159*0.1538461538+O1158*0.8461538462))</f>
        <v>0</v>
      </c>
      <c r="P1159">
        <f>IF($E1159="","",IF($E1158="",$E1159,$E1159*0.0740740741+P1158*0.9259259259))</f>
        <v>0</v>
      </c>
      <c r="Q1159">
        <f>IF(OR(O1159="",P1159=""),"",O1159-P1159)</f>
        <v>0</v>
      </c>
      <c r="R1159">
        <f>IF(Q1159="","",IF(R1158="",Q1159,Q1159*0.2000000000+R1158*0.8000000000))</f>
        <v>0</v>
      </c>
      <c r="S1159">
        <f>IF(OR(Q1159="",R1159=""),"",Q1159-R1159)</f>
        <v>0</v>
      </c>
      <c r="T1159">
        <f>IF(COUNT($E$2:$E1159)&lt;14,"",MAX($C$1146:$C$1159))</f>
        <v>0</v>
      </c>
      <c r="U1159">
        <f>IF(COUNT($E$2:$E1159)&lt;14,"",MIN($D$1146:$D$1159))</f>
        <v>0</v>
      </c>
      <c r="V1159">
        <f>IF(OR(T1159="",U1159="",T1159=U1159),"",100*($E1159-U1159)/(T1159-U1159))</f>
        <v>0</v>
      </c>
      <c r="W1159">
        <f>IF(COUNT($V$1157:$V$1159)&lt;3,"",AVERAGE($V$1157:$V$1159))</f>
        <v>0</v>
      </c>
      <c r="X1159">
        <f>IF(COUNT($N$1146:$N$1159)&lt;14,"",MIN($N$1146:$N$1159))</f>
        <v>0</v>
      </c>
      <c r="Y1159">
        <f>IF(COUNT($N$1146:$N$1159)&lt;14,"",MAX($N$1146:$N$1159))</f>
        <v>0</v>
      </c>
      <c r="Z1159">
        <f>IF(OR(N1159="",X1159="",Y1159="",Y1159=X1159),"",100*(N1159-X1159)/(Y1159-X1159))</f>
        <v>0</v>
      </c>
      <c r="AA1159">
        <f>IF(COUNT($Z$1157:$Z$1159)&lt;3,"",AVERAGE($Z$1157:$Z$1159))</f>
        <v>0</v>
      </c>
      <c r="AB1159">
        <f>IF(COUNT($AA$1157:$AA$1159)&lt;3,"",AVERAGE($AA$1157:$AA$1159))</f>
        <v>0</v>
      </c>
      <c r="AC1159">
        <f>IF($E1159="","",MAX($C1159-$D1159,ABS($C1159-$E1158),ABS($D1159-$E1158)))</f>
        <v>0</v>
      </c>
      <c r="AD1159">
        <f>IF(COUNT($E$2:$E1159)&lt;15,"",AVERAGE($AC$1146:$AC$1159))</f>
        <v>0</v>
      </c>
      <c r="AE1159">
        <f>IF(OR($E1159="",$E1158=""),"",IF(AND(($C1159-$C1158)&gt;($D1158-$D1159),($C1159-$C1158)&gt;0),$C1159-$C1158,0))</f>
        <v>0</v>
      </c>
      <c r="AF1159">
        <f>IF(OR($E1159="",$E1158=""),"",IF(AND(($D1158-$D1159)&gt;($C1159-$C1158),($D1158-$D1159)&gt;0),$D1158-$D1159,0))</f>
        <v>0</v>
      </c>
      <c r="AG1159">
        <f>IF(COUNT($E$2:$E1159)&lt;15,"",IF(SUM($AC$1146:$AC$1159)=0,0,100*SUM($AE$1146:$AE$1159)/SUM($AC$1146:$AC$1159)))</f>
        <v>0</v>
      </c>
      <c r="AH1159">
        <f>IF(COUNT($E$2:$E1159)&lt;15,"",IF(SUM($AC$1146:$AC$1159)=0,0,100*SUM($AF$1146:$AF$1159)/SUM($AC$1146:$AC$1159)))</f>
        <v>0</v>
      </c>
      <c r="AI1159">
        <f>IF(OR(AG1159="",AH1159=""),"",IF((AG1159+AH1159)=0,0,100*ABS(AG1159-AH1159)/(AG1159+AH1159)))</f>
        <v>0</v>
      </c>
      <c r="AJ1159">
        <f>IF(COUNT($AI$1146:$AI$1159)&lt;14,"",AVERAGE($AI$1146:$AI$1159))</f>
        <v>0</v>
      </c>
      <c r="AK1159">
        <f>IF(COUNT($E$2:$E1159)&lt;20,"",AVERAGE($E$1140:$E$1159))</f>
        <v>0</v>
      </c>
      <c r="AL1159">
        <f>IF(COUNT($E$2:$E1159)&lt;20,"",STDEVP($E$1140:$E$1159))</f>
        <v>0</v>
      </c>
      <c r="AM1159">
        <f>IF(AK1159="","",AK1159+2*AL1159)</f>
        <v>0</v>
      </c>
      <c r="AN1159">
        <f>IF(AK1159="","",AK1159-2*AL1159)</f>
        <v>0</v>
      </c>
      <c r="AO1159">
        <f>IF(OR(AM1159="",AN1159="",AM1159=AN1159),"",($E1159-AN1159)/(AM1159-AN1159))</f>
        <v>0</v>
      </c>
      <c r="AP1159">
        <f>IF(OR(AM1159="",AK1159="",AK1159=0),"",(AM1159-AN1159)/AK1159)</f>
        <v>0</v>
      </c>
      <c r="AQ1159">
        <f>IF(COUNT($E$2:$E1159)&lt;20,"",MAX($C$1140:$C$1159))</f>
        <v>0</v>
      </c>
      <c r="AR1159">
        <f>IF(COUNT($E$2:$E1159)&lt;20,"",MIN($D$1140:$D$1159))</f>
        <v>0</v>
      </c>
      <c r="AS1159">
        <f>IF(OR(AQ1159="",AR1159=""),"",(AQ1159+AR1159)/2)</f>
        <v>0</v>
      </c>
      <c r="AT1159">
        <f>IF(COUNT($G$1140:$G$1159)&lt;20,"",STDEV($G$1140:$G$1159)*SQRT(252))</f>
        <v>0</v>
      </c>
      <c r="AU1159">
        <f>IF(COUNT($E$2:$E1159)&lt;9,"",(MAX($C$1151:$C$1159)+MIN($D$1151:$D$1159))/2)</f>
        <v>0</v>
      </c>
      <c r="AV1159">
        <f>IF(COUNT($E$2:$E1159)&lt;26,"",(MAX($C$1134:$C$1159)+MIN($D$1134:$D$1159))/2)</f>
        <v>0</v>
      </c>
      <c r="AW1159">
        <f>IF(OR(AU1159="",AV1159=""),"",(AU1159+AV1159)/2)</f>
        <v>0</v>
      </c>
      <c r="AX1159">
        <f>IF(COUNT($E$2:$E1159)&lt;52,"",(MAX($C$1108:$C$1159)+MIN($D$1108:$D$1159))/2)</f>
        <v>0</v>
      </c>
      <c r="AY1159">
        <f>IF(COUNT($E$2:$E1159)&lt;20,"",MAX($C$1060:$C$1159))</f>
        <v>0</v>
      </c>
      <c r="AZ1159">
        <f>IF(COUNT($E$2:$E1159)&lt;20,"",MIN($D$1060:$D$1159))</f>
        <v>0</v>
      </c>
      <c r="BA1159">
        <f>IF(COUNT($E$2:$E1159)&lt;20,"",SLOPE($E$1060:$E$1159,$F$1060:$F$1159))</f>
        <v>0</v>
      </c>
      <c r="BB1159">
        <f>IF(COUNT($E$2:$E1159)&lt;20,"",INTERCEPT($E$1060:$E$1159,$F$1060:$F$1159))</f>
        <v>0</v>
      </c>
      <c r="BC1159">
        <f>IF(OR(BA1159="",BB1159=""),"",BB1159+BA1159*F1159)</f>
        <v>0</v>
      </c>
      <c r="BD1159">
        <f>IF(COUNT($E$2:$E1159)&lt;20,"",STEYX($E$1060:$E$1159,$F$1060:$F$1159))</f>
        <v>0</v>
      </c>
      <c r="BE1159">
        <f>IF($E1159="","",IF(AND(COUNT($E$1160:$E$1163)&gt;=4,$C1159=MAX($C$1155:$C$1163)),$C1159,""))</f>
        <v>0</v>
      </c>
      <c r="BF1159">
        <f>IF($E1159="","",IF(AND(COUNT($E$1160:$E$1163)&gt;=4,$D1159=MIN($D$1155:$D$1163)),$D1159,""))</f>
        <v>0</v>
      </c>
      <c r="BG1159">
        <f>IF($A1159="","",$A1159-WEEKDAY($A1159,2)+1)</f>
        <v>0</v>
      </c>
      <c r="BH1159">
        <f>IF($A1159="","",IF($A1158="",1,IF(BG1159&lt;&gt;BG1158,1,0)))</f>
        <v>0</v>
      </c>
      <c r="BI1159">
        <f>IF($A1159="","",IF($A1160="",1,IF(BG1160&lt;&gt;BG1159,1,0)))</f>
        <v>0</v>
      </c>
      <c r="BJ1159">
        <f>IF($A1159="","",IF(BH1159=1,$B1159,BJ1158))</f>
        <v>0</v>
      </c>
      <c r="BK1159">
        <f>IF($A1159="","",IF(BH1159=1,$C1159,MAX($C1159,BK1158)))</f>
        <v>0</v>
      </c>
      <c r="BL1159">
        <f>IF($A1159="","",IF(BH1159=1,$D1159,MIN($D1159,BL1158)))</f>
        <v>0</v>
      </c>
      <c r="BM1159">
        <f>IF($A1159="","",IF(BI1159=1,F1159,""))</f>
        <v>0</v>
      </c>
      <c r="BN1159">
        <f>IF($A1159="","",DATE(YEAR($A1159),MONTH($A1159),1))</f>
        <v>0</v>
      </c>
      <c r="BO1159">
        <f>IF($A1159="","",IF($A1158="",1,IF(BN1159&lt;&gt;BN1158,1,0)))</f>
        <v>0</v>
      </c>
      <c r="BP1159">
        <f>IF($A1159="","",IF($A1160="",1,IF(BN1160&lt;&gt;BN1159,1,0)))</f>
        <v>0</v>
      </c>
      <c r="BQ1159">
        <f>IF($A1159="","",IF(BO1159=1,$B1159,BQ1158))</f>
        <v>0</v>
      </c>
      <c r="BR1159">
        <f>IF($A1159="","",IF(BO1159=1,$C1159,MAX($C1159,BR1158)))</f>
        <v>0</v>
      </c>
      <c r="BS1159">
        <f>IF($A1159="","",IF(BO1159=1,$D1159,MIN($D1159,BS1158)))</f>
        <v>0</v>
      </c>
      <c r="BT1159">
        <f>IF($A1159="","",IF(BP1159=1,F1159,""))</f>
        <v>0</v>
      </c>
    </row>
    <row r="1160" spans="1:72">
      <c r="A1160" s="27">
        <f>IF(Data!$A1160="","",Data!$A1160)</f>
        <v>0</v>
      </c>
      <c r="B1160">
        <f>IF(Data!$B1160="","",Data!$B1160)</f>
        <v>0</v>
      </c>
      <c r="C1160">
        <f>IF(Data!$C1160="","",Data!$C1160)</f>
        <v>0</v>
      </c>
      <c r="D1160">
        <f>IF(Data!$D1160="","",Data!$D1160)</f>
        <v>0</v>
      </c>
      <c r="E1160">
        <f>IF(Data!$E1160="","",Data!$E1160)</f>
        <v>0</v>
      </c>
      <c r="F1160">
        <f>IF($E1160="","",N(F1159)+1)</f>
        <v>0</v>
      </c>
      <c r="G1160">
        <f>IF(OR($E1160="",$E1159=""),"",LN($E1160/$E1159))</f>
        <v>0</v>
      </c>
      <c r="H1160">
        <f>IF($E1160="","",IF($E1159="",$E1160,$E1160*0.0952380952+H1159*0.9047619048))</f>
        <v>0</v>
      </c>
      <c r="I1160">
        <f>IF($E1160="","",IF($E1159="",$E1160,$E1160*0.0392156863+I1159*0.9607843137))</f>
        <v>0</v>
      </c>
      <c r="J1160">
        <f>IF($E1160="","",IF($E1159="",$E1160,$E1160*0.0198019802+J1159*0.9801980198))</f>
        <v>0</v>
      </c>
      <c r="K1160">
        <f>IF($E1160="","",IF($E1159="",$E1160,$E1160*0.0099502488+K1159*0.9900497512))</f>
        <v>0</v>
      </c>
      <c r="L1160">
        <f>IF(OR($E1160="",$E1159=""),"",MAX($E1160-$E1159,0))</f>
        <v>0</v>
      </c>
      <c r="M1160">
        <f>IF(OR($E1160="",$E1159=""),"",MAX($E1159-$E1160,0))</f>
        <v>0</v>
      </c>
      <c r="N1160">
        <f>IF(COUNT($E$2:$E1160)&lt;15,"",IF(AVERAGE($M$1147:$M$1160)=0,100,100-100/(1+AVERAGE($L$1147:$L$1160)/AVERAGE($M$1147:$M$1160))))</f>
        <v>0</v>
      </c>
      <c r="O1160">
        <f>IF($E1160="","",IF($E1159="",$E1160,$E1160*0.1538461538+O1159*0.8461538462))</f>
        <v>0</v>
      </c>
      <c r="P1160">
        <f>IF($E1160="","",IF($E1159="",$E1160,$E1160*0.0740740741+P1159*0.9259259259))</f>
        <v>0</v>
      </c>
      <c r="Q1160">
        <f>IF(OR(O1160="",P1160=""),"",O1160-P1160)</f>
        <v>0</v>
      </c>
      <c r="R1160">
        <f>IF(Q1160="","",IF(R1159="",Q1160,Q1160*0.2000000000+R1159*0.8000000000))</f>
        <v>0</v>
      </c>
      <c r="S1160">
        <f>IF(OR(Q1160="",R1160=""),"",Q1160-R1160)</f>
        <v>0</v>
      </c>
      <c r="T1160">
        <f>IF(COUNT($E$2:$E1160)&lt;14,"",MAX($C$1147:$C$1160))</f>
        <v>0</v>
      </c>
      <c r="U1160">
        <f>IF(COUNT($E$2:$E1160)&lt;14,"",MIN($D$1147:$D$1160))</f>
        <v>0</v>
      </c>
      <c r="V1160">
        <f>IF(OR(T1160="",U1160="",T1160=U1160),"",100*($E1160-U1160)/(T1160-U1160))</f>
        <v>0</v>
      </c>
      <c r="W1160">
        <f>IF(COUNT($V$1158:$V$1160)&lt;3,"",AVERAGE($V$1158:$V$1160))</f>
        <v>0</v>
      </c>
      <c r="X1160">
        <f>IF(COUNT($N$1147:$N$1160)&lt;14,"",MIN($N$1147:$N$1160))</f>
        <v>0</v>
      </c>
      <c r="Y1160">
        <f>IF(COUNT($N$1147:$N$1160)&lt;14,"",MAX($N$1147:$N$1160))</f>
        <v>0</v>
      </c>
      <c r="Z1160">
        <f>IF(OR(N1160="",X1160="",Y1160="",Y1160=X1160),"",100*(N1160-X1160)/(Y1160-X1160))</f>
        <v>0</v>
      </c>
      <c r="AA1160">
        <f>IF(COUNT($Z$1158:$Z$1160)&lt;3,"",AVERAGE($Z$1158:$Z$1160))</f>
        <v>0</v>
      </c>
      <c r="AB1160">
        <f>IF(COUNT($AA$1158:$AA$1160)&lt;3,"",AVERAGE($AA$1158:$AA$1160))</f>
        <v>0</v>
      </c>
      <c r="AC1160">
        <f>IF($E1160="","",MAX($C1160-$D1160,ABS($C1160-$E1159),ABS($D1160-$E1159)))</f>
        <v>0</v>
      </c>
      <c r="AD1160">
        <f>IF(COUNT($E$2:$E1160)&lt;15,"",AVERAGE($AC$1147:$AC$1160))</f>
        <v>0</v>
      </c>
      <c r="AE1160">
        <f>IF(OR($E1160="",$E1159=""),"",IF(AND(($C1160-$C1159)&gt;($D1159-$D1160),($C1160-$C1159)&gt;0),$C1160-$C1159,0))</f>
        <v>0</v>
      </c>
      <c r="AF1160">
        <f>IF(OR($E1160="",$E1159=""),"",IF(AND(($D1159-$D1160)&gt;($C1160-$C1159),($D1159-$D1160)&gt;0),$D1159-$D1160,0))</f>
        <v>0</v>
      </c>
      <c r="AG1160">
        <f>IF(COUNT($E$2:$E1160)&lt;15,"",IF(SUM($AC$1147:$AC$1160)=0,0,100*SUM($AE$1147:$AE$1160)/SUM($AC$1147:$AC$1160)))</f>
        <v>0</v>
      </c>
      <c r="AH1160">
        <f>IF(COUNT($E$2:$E1160)&lt;15,"",IF(SUM($AC$1147:$AC$1160)=0,0,100*SUM($AF$1147:$AF$1160)/SUM($AC$1147:$AC$1160)))</f>
        <v>0</v>
      </c>
      <c r="AI1160">
        <f>IF(OR(AG1160="",AH1160=""),"",IF((AG1160+AH1160)=0,0,100*ABS(AG1160-AH1160)/(AG1160+AH1160)))</f>
        <v>0</v>
      </c>
      <c r="AJ1160">
        <f>IF(COUNT($AI$1147:$AI$1160)&lt;14,"",AVERAGE($AI$1147:$AI$1160))</f>
        <v>0</v>
      </c>
      <c r="AK1160">
        <f>IF(COUNT($E$2:$E1160)&lt;20,"",AVERAGE($E$1141:$E$1160))</f>
        <v>0</v>
      </c>
      <c r="AL1160">
        <f>IF(COUNT($E$2:$E1160)&lt;20,"",STDEVP($E$1141:$E$1160))</f>
        <v>0</v>
      </c>
      <c r="AM1160">
        <f>IF(AK1160="","",AK1160+2*AL1160)</f>
        <v>0</v>
      </c>
      <c r="AN1160">
        <f>IF(AK1160="","",AK1160-2*AL1160)</f>
        <v>0</v>
      </c>
      <c r="AO1160">
        <f>IF(OR(AM1160="",AN1160="",AM1160=AN1160),"",($E1160-AN1160)/(AM1160-AN1160))</f>
        <v>0</v>
      </c>
      <c r="AP1160">
        <f>IF(OR(AM1160="",AK1160="",AK1160=0),"",(AM1160-AN1160)/AK1160)</f>
        <v>0</v>
      </c>
      <c r="AQ1160">
        <f>IF(COUNT($E$2:$E1160)&lt;20,"",MAX($C$1141:$C$1160))</f>
        <v>0</v>
      </c>
      <c r="AR1160">
        <f>IF(COUNT($E$2:$E1160)&lt;20,"",MIN($D$1141:$D$1160))</f>
        <v>0</v>
      </c>
      <c r="AS1160">
        <f>IF(OR(AQ1160="",AR1160=""),"",(AQ1160+AR1160)/2)</f>
        <v>0</v>
      </c>
      <c r="AT1160">
        <f>IF(COUNT($G$1141:$G$1160)&lt;20,"",STDEV($G$1141:$G$1160)*SQRT(252))</f>
        <v>0</v>
      </c>
      <c r="AU1160">
        <f>IF(COUNT($E$2:$E1160)&lt;9,"",(MAX($C$1152:$C$1160)+MIN($D$1152:$D$1160))/2)</f>
        <v>0</v>
      </c>
      <c r="AV1160">
        <f>IF(COUNT($E$2:$E1160)&lt;26,"",(MAX($C$1135:$C$1160)+MIN($D$1135:$D$1160))/2)</f>
        <v>0</v>
      </c>
      <c r="AW1160">
        <f>IF(OR(AU1160="",AV1160=""),"",(AU1160+AV1160)/2)</f>
        <v>0</v>
      </c>
      <c r="AX1160">
        <f>IF(COUNT($E$2:$E1160)&lt;52,"",(MAX($C$1109:$C$1160)+MIN($D$1109:$D$1160))/2)</f>
        <v>0</v>
      </c>
      <c r="AY1160">
        <f>IF(COUNT($E$2:$E1160)&lt;20,"",MAX($C$1061:$C$1160))</f>
        <v>0</v>
      </c>
      <c r="AZ1160">
        <f>IF(COUNT($E$2:$E1160)&lt;20,"",MIN($D$1061:$D$1160))</f>
        <v>0</v>
      </c>
      <c r="BA1160">
        <f>IF(COUNT($E$2:$E1160)&lt;20,"",SLOPE($E$1061:$E$1160,$F$1061:$F$1160))</f>
        <v>0</v>
      </c>
      <c r="BB1160">
        <f>IF(COUNT($E$2:$E1160)&lt;20,"",INTERCEPT($E$1061:$E$1160,$F$1061:$F$1160))</f>
        <v>0</v>
      </c>
      <c r="BC1160">
        <f>IF(OR(BA1160="",BB1160=""),"",BB1160+BA1160*F1160)</f>
        <v>0</v>
      </c>
      <c r="BD1160">
        <f>IF(COUNT($E$2:$E1160)&lt;20,"",STEYX($E$1061:$E$1160,$F$1061:$F$1160))</f>
        <v>0</v>
      </c>
      <c r="BE1160">
        <f>IF($E1160="","",IF(AND(COUNT($E$1161:$E$1164)&gt;=4,$C1160=MAX($C$1156:$C$1164)),$C1160,""))</f>
        <v>0</v>
      </c>
      <c r="BF1160">
        <f>IF($E1160="","",IF(AND(COUNT($E$1161:$E$1164)&gt;=4,$D1160=MIN($D$1156:$D$1164)),$D1160,""))</f>
        <v>0</v>
      </c>
      <c r="BG1160">
        <f>IF($A1160="","",$A1160-WEEKDAY($A1160,2)+1)</f>
        <v>0</v>
      </c>
      <c r="BH1160">
        <f>IF($A1160="","",IF($A1159="",1,IF(BG1160&lt;&gt;BG1159,1,0)))</f>
        <v>0</v>
      </c>
      <c r="BI1160">
        <f>IF($A1160="","",IF($A1161="",1,IF(BG1161&lt;&gt;BG1160,1,0)))</f>
        <v>0</v>
      </c>
      <c r="BJ1160">
        <f>IF($A1160="","",IF(BH1160=1,$B1160,BJ1159))</f>
        <v>0</v>
      </c>
      <c r="BK1160">
        <f>IF($A1160="","",IF(BH1160=1,$C1160,MAX($C1160,BK1159)))</f>
        <v>0</v>
      </c>
      <c r="BL1160">
        <f>IF($A1160="","",IF(BH1160=1,$D1160,MIN($D1160,BL1159)))</f>
        <v>0</v>
      </c>
      <c r="BM1160">
        <f>IF($A1160="","",IF(BI1160=1,F1160,""))</f>
        <v>0</v>
      </c>
      <c r="BN1160">
        <f>IF($A1160="","",DATE(YEAR($A1160),MONTH($A1160),1))</f>
        <v>0</v>
      </c>
      <c r="BO1160">
        <f>IF($A1160="","",IF($A1159="",1,IF(BN1160&lt;&gt;BN1159,1,0)))</f>
        <v>0</v>
      </c>
      <c r="BP1160">
        <f>IF($A1160="","",IF($A1161="",1,IF(BN1161&lt;&gt;BN1160,1,0)))</f>
        <v>0</v>
      </c>
      <c r="BQ1160">
        <f>IF($A1160="","",IF(BO1160=1,$B1160,BQ1159))</f>
        <v>0</v>
      </c>
      <c r="BR1160">
        <f>IF($A1160="","",IF(BO1160=1,$C1160,MAX($C1160,BR1159)))</f>
        <v>0</v>
      </c>
      <c r="BS1160">
        <f>IF($A1160="","",IF(BO1160=1,$D1160,MIN($D1160,BS1159)))</f>
        <v>0</v>
      </c>
      <c r="BT1160">
        <f>IF($A1160="","",IF(BP1160=1,F1160,""))</f>
        <v>0</v>
      </c>
    </row>
    <row r="1161" spans="1:72">
      <c r="A1161" s="27">
        <f>IF(Data!$A1161="","",Data!$A1161)</f>
        <v>0</v>
      </c>
      <c r="B1161">
        <f>IF(Data!$B1161="","",Data!$B1161)</f>
        <v>0</v>
      </c>
      <c r="C1161">
        <f>IF(Data!$C1161="","",Data!$C1161)</f>
        <v>0</v>
      </c>
      <c r="D1161">
        <f>IF(Data!$D1161="","",Data!$D1161)</f>
        <v>0</v>
      </c>
      <c r="E1161">
        <f>IF(Data!$E1161="","",Data!$E1161)</f>
        <v>0</v>
      </c>
      <c r="F1161">
        <f>IF($E1161="","",N(F1160)+1)</f>
        <v>0</v>
      </c>
      <c r="G1161">
        <f>IF(OR($E1161="",$E1160=""),"",LN($E1161/$E1160))</f>
        <v>0</v>
      </c>
      <c r="H1161">
        <f>IF($E1161="","",IF($E1160="",$E1161,$E1161*0.0952380952+H1160*0.9047619048))</f>
        <v>0</v>
      </c>
      <c r="I1161">
        <f>IF($E1161="","",IF($E1160="",$E1161,$E1161*0.0392156863+I1160*0.9607843137))</f>
        <v>0</v>
      </c>
      <c r="J1161">
        <f>IF($E1161="","",IF($E1160="",$E1161,$E1161*0.0198019802+J1160*0.9801980198))</f>
        <v>0</v>
      </c>
      <c r="K1161">
        <f>IF($E1161="","",IF($E1160="",$E1161,$E1161*0.0099502488+K1160*0.9900497512))</f>
        <v>0</v>
      </c>
      <c r="L1161">
        <f>IF(OR($E1161="",$E1160=""),"",MAX($E1161-$E1160,0))</f>
        <v>0</v>
      </c>
      <c r="M1161">
        <f>IF(OR($E1161="",$E1160=""),"",MAX($E1160-$E1161,0))</f>
        <v>0</v>
      </c>
      <c r="N1161">
        <f>IF(COUNT($E$2:$E1161)&lt;15,"",IF(AVERAGE($M$1148:$M$1161)=0,100,100-100/(1+AVERAGE($L$1148:$L$1161)/AVERAGE($M$1148:$M$1161))))</f>
        <v>0</v>
      </c>
      <c r="O1161">
        <f>IF($E1161="","",IF($E1160="",$E1161,$E1161*0.1538461538+O1160*0.8461538462))</f>
        <v>0</v>
      </c>
      <c r="P1161">
        <f>IF($E1161="","",IF($E1160="",$E1161,$E1161*0.0740740741+P1160*0.9259259259))</f>
        <v>0</v>
      </c>
      <c r="Q1161">
        <f>IF(OR(O1161="",P1161=""),"",O1161-P1161)</f>
        <v>0</v>
      </c>
      <c r="R1161">
        <f>IF(Q1161="","",IF(R1160="",Q1161,Q1161*0.2000000000+R1160*0.8000000000))</f>
        <v>0</v>
      </c>
      <c r="S1161">
        <f>IF(OR(Q1161="",R1161=""),"",Q1161-R1161)</f>
        <v>0</v>
      </c>
      <c r="T1161">
        <f>IF(COUNT($E$2:$E1161)&lt;14,"",MAX($C$1148:$C$1161))</f>
        <v>0</v>
      </c>
      <c r="U1161">
        <f>IF(COUNT($E$2:$E1161)&lt;14,"",MIN($D$1148:$D$1161))</f>
        <v>0</v>
      </c>
      <c r="V1161">
        <f>IF(OR(T1161="",U1161="",T1161=U1161),"",100*($E1161-U1161)/(T1161-U1161))</f>
        <v>0</v>
      </c>
      <c r="W1161">
        <f>IF(COUNT($V$1159:$V$1161)&lt;3,"",AVERAGE($V$1159:$V$1161))</f>
        <v>0</v>
      </c>
      <c r="X1161">
        <f>IF(COUNT($N$1148:$N$1161)&lt;14,"",MIN($N$1148:$N$1161))</f>
        <v>0</v>
      </c>
      <c r="Y1161">
        <f>IF(COUNT($N$1148:$N$1161)&lt;14,"",MAX($N$1148:$N$1161))</f>
        <v>0</v>
      </c>
      <c r="Z1161">
        <f>IF(OR(N1161="",X1161="",Y1161="",Y1161=X1161),"",100*(N1161-X1161)/(Y1161-X1161))</f>
        <v>0</v>
      </c>
      <c r="AA1161">
        <f>IF(COUNT($Z$1159:$Z$1161)&lt;3,"",AVERAGE($Z$1159:$Z$1161))</f>
        <v>0</v>
      </c>
      <c r="AB1161">
        <f>IF(COUNT($AA$1159:$AA$1161)&lt;3,"",AVERAGE($AA$1159:$AA$1161))</f>
        <v>0</v>
      </c>
      <c r="AC1161">
        <f>IF($E1161="","",MAX($C1161-$D1161,ABS($C1161-$E1160),ABS($D1161-$E1160)))</f>
        <v>0</v>
      </c>
      <c r="AD1161">
        <f>IF(COUNT($E$2:$E1161)&lt;15,"",AVERAGE($AC$1148:$AC$1161))</f>
        <v>0</v>
      </c>
      <c r="AE1161">
        <f>IF(OR($E1161="",$E1160=""),"",IF(AND(($C1161-$C1160)&gt;($D1160-$D1161),($C1161-$C1160)&gt;0),$C1161-$C1160,0))</f>
        <v>0</v>
      </c>
      <c r="AF1161">
        <f>IF(OR($E1161="",$E1160=""),"",IF(AND(($D1160-$D1161)&gt;($C1161-$C1160),($D1160-$D1161)&gt;0),$D1160-$D1161,0))</f>
        <v>0</v>
      </c>
      <c r="AG1161">
        <f>IF(COUNT($E$2:$E1161)&lt;15,"",IF(SUM($AC$1148:$AC$1161)=0,0,100*SUM($AE$1148:$AE$1161)/SUM($AC$1148:$AC$1161)))</f>
        <v>0</v>
      </c>
      <c r="AH1161">
        <f>IF(COUNT($E$2:$E1161)&lt;15,"",IF(SUM($AC$1148:$AC$1161)=0,0,100*SUM($AF$1148:$AF$1161)/SUM($AC$1148:$AC$1161)))</f>
        <v>0</v>
      </c>
      <c r="AI1161">
        <f>IF(OR(AG1161="",AH1161=""),"",IF((AG1161+AH1161)=0,0,100*ABS(AG1161-AH1161)/(AG1161+AH1161)))</f>
        <v>0</v>
      </c>
      <c r="AJ1161">
        <f>IF(COUNT($AI$1148:$AI$1161)&lt;14,"",AVERAGE($AI$1148:$AI$1161))</f>
        <v>0</v>
      </c>
      <c r="AK1161">
        <f>IF(COUNT($E$2:$E1161)&lt;20,"",AVERAGE($E$1142:$E$1161))</f>
        <v>0</v>
      </c>
      <c r="AL1161">
        <f>IF(COUNT($E$2:$E1161)&lt;20,"",STDEVP($E$1142:$E$1161))</f>
        <v>0</v>
      </c>
      <c r="AM1161">
        <f>IF(AK1161="","",AK1161+2*AL1161)</f>
        <v>0</v>
      </c>
      <c r="AN1161">
        <f>IF(AK1161="","",AK1161-2*AL1161)</f>
        <v>0</v>
      </c>
      <c r="AO1161">
        <f>IF(OR(AM1161="",AN1161="",AM1161=AN1161),"",($E1161-AN1161)/(AM1161-AN1161))</f>
        <v>0</v>
      </c>
      <c r="AP1161">
        <f>IF(OR(AM1161="",AK1161="",AK1161=0),"",(AM1161-AN1161)/AK1161)</f>
        <v>0</v>
      </c>
      <c r="AQ1161">
        <f>IF(COUNT($E$2:$E1161)&lt;20,"",MAX($C$1142:$C$1161))</f>
        <v>0</v>
      </c>
      <c r="AR1161">
        <f>IF(COUNT($E$2:$E1161)&lt;20,"",MIN($D$1142:$D$1161))</f>
        <v>0</v>
      </c>
      <c r="AS1161">
        <f>IF(OR(AQ1161="",AR1161=""),"",(AQ1161+AR1161)/2)</f>
        <v>0</v>
      </c>
      <c r="AT1161">
        <f>IF(COUNT($G$1142:$G$1161)&lt;20,"",STDEV($G$1142:$G$1161)*SQRT(252))</f>
        <v>0</v>
      </c>
      <c r="AU1161">
        <f>IF(COUNT($E$2:$E1161)&lt;9,"",(MAX($C$1153:$C$1161)+MIN($D$1153:$D$1161))/2)</f>
        <v>0</v>
      </c>
      <c r="AV1161">
        <f>IF(COUNT($E$2:$E1161)&lt;26,"",(MAX($C$1136:$C$1161)+MIN($D$1136:$D$1161))/2)</f>
        <v>0</v>
      </c>
      <c r="AW1161">
        <f>IF(OR(AU1161="",AV1161=""),"",(AU1161+AV1161)/2)</f>
        <v>0</v>
      </c>
      <c r="AX1161">
        <f>IF(COUNT($E$2:$E1161)&lt;52,"",(MAX($C$1110:$C$1161)+MIN($D$1110:$D$1161))/2)</f>
        <v>0</v>
      </c>
      <c r="AY1161">
        <f>IF(COUNT($E$2:$E1161)&lt;20,"",MAX($C$1062:$C$1161))</f>
        <v>0</v>
      </c>
      <c r="AZ1161">
        <f>IF(COUNT($E$2:$E1161)&lt;20,"",MIN($D$1062:$D$1161))</f>
        <v>0</v>
      </c>
      <c r="BA1161">
        <f>IF(COUNT($E$2:$E1161)&lt;20,"",SLOPE($E$1062:$E$1161,$F$1062:$F$1161))</f>
        <v>0</v>
      </c>
      <c r="BB1161">
        <f>IF(COUNT($E$2:$E1161)&lt;20,"",INTERCEPT($E$1062:$E$1161,$F$1062:$F$1161))</f>
        <v>0</v>
      </c>
      <c r="BC1161">
        <f>IF(OR(BA1161="",BB1161=""),"",BB1161+BA1161*F1161)</f>
        <v>0</v>
      </c>
      <c r="BD1161">
        <f>IF(COUNT($E$2:$E1161)&lt;20,"",STEYX($E$1062:$E$1161,$F$1062:$F$1161))</f>
        <v>0</v>
      </c>
      <c r="BE1161">
        <f>IF($E1161="","",IF(AND(COUNT($E$1162:$E$1165)&gt;=4,$C1161=MAX($C$1157:$C$1165)),$C1161,""))</f>
        <v>0</v>
      </c>
      <c r="BF1161">
        <f>IF($E1161="","",IF(AND(COUNT($E$1162:$E$1165)&gt;=4,$D1161=MIN($D$1157:$D$1165)),$D1161,""))</f>
        <v>0</v>
      </c>
      <c r="BG1161">
        <f>IF($A1161="","",$A1161-WEEKDAY($A1161,2)+1)</f>
        <v>0</v>
      </c>
      <c r="BH1161">
        <f>IF($A1161="","",IF($A1160="",1,IF(BG1161&lt;&gt;BG1160,1,0)))</f>
        <v>0</v>
      </c>
      <c r="BI1161">
        <f>IF($A1161="","",IF($A1162="",1,IF(BG1162&lt;&gt;BG1161,1,0)))</f>
        <v>0</v>
      </c>
      <c r="BJ1161">
        <f>IF($A1161="","",IF(BH1161=1,$B1161,BJ1160))</f>
        <v>0</v>
      </c>
      <c r="BK1161">
        <f>IF($A1161="","",IF(BH1161=1,$C1161,MAX($C1161,BK1160)))</f>
        <v>0</v>
      </c>
      <c r="BL1161">
        <f>IF($A1161="","",IF(BH1161=1,$D1161,MIN($D1161,BL1160)))</f>
        <v>0</v>
      </c>
      <c r="BM1161">
        <f>IF($A1161="","",IF(BI1161=1,F1161,""))</f>
        <v>0</v>
      </c>
      <c r="BN1161">
        <f>IF($A1161="","",DATE(YEAR($A1161),MONTH($A1161),1))</f>
        <v>0</v>
      </c>
      <c r="BO1161">
        <f>IF($A1161="","",IF($A1160="",1,IF(BN1161&lt;&gt;BN1160,1,0)))</f>
        <v>0</v>
      </c>
      <c r="BP1161">
        <f>IF($A1161="","",IF($A1162="",1,IF(BN1162&lt;&gt;BN1161,1,0)))</f>
        <v>0</v>
      </c>
      <c r="BQ1161">
        <f>IF($A1161="","",IF(BO1161=1,$B1161,BQ1160))</f>
        <v>0</v>
      </c>
      <c r="BR1161">
        <f>IF($A1161="","",IF(BO1161=1,$C1161,MAX($C1161,BR1160)))</f>
        <v>0</v>
      </c>
      <c r="BS1161">
        <f>IF($A1161="","",IF(BO1161=1,$D1161,MIN($D1161,BS1160)))</f>
        <v>0</v>
      </c>
      <c r="BT1161">
        <f>IF($A1161="","",IF(BP1161=1,F1161,""))</f>
        <v>0</v>
      </c>
    </row>
    <row r="1162" spans="1:72">
      <c r="A1162" s="27">
        <f>IF(Data!$A1162="","",Data!$A1162)</f>
        <v>0</v>
      </c>
      <c r="B1162">
        <f>IF(Data!$B1162="","",Data!$B1162)</f>
        <v>0</v>
      </c>
      <c r="C1162">
        <f>IF(Data!$C1162="","",Data!$C1162)</f>
        <v>0</v>
      </c>
      <c r="D1162">
        <f>IF(Data!$D1162="","",Data!$D1162)</f>
        <v>0</v>
      </c>
      <c r="E1162">
        <f>IF(Data!$E1162="","",Data!$E1162)</f>
        <v>0</v>
      </c>
      <c r="F1162">
        <f>IF($E1162="","",N(F1161)+1)</f>
        <v>0</v>
      </c>
      <c r="G1162">
        <f>IF(OR($E1162="",$E1161=""),"",LN($E1162/$E1161))</f>
        <v>0</v>
      </c>
      <c r="H1162">
        <f>IF($E1162="","",IF($E1161="",$E1162,$E1162*0.0952380952+H1161*0.9047619048))</f>
        <v>0</v>
      </c>
      <c r="I1162">
        <f>IF($E1162="","",IF($E1161="",$E1162,$E1162*0.0392156863+I1161*0.9607843137))</f>
        <v>0</v>
      </c>
      <c r="J1162">
        <f>IF($E1162="","",IF($E1161="",$E1162,$E1162*0.0198019802+J1161*0.9801980198))</f>
        <v>0</v>
      </c>
      <c r="K1162">
        <f>IF($E1162="","",IF($E1161="",$E1162,$E1162*0.0099502488+K1161*0.9900497512))</f>
        <v>0</v>
      </c>
      <c r="L1162">
        <f>IF(OR($E1162="",$E1161=""),"",MAX($E1162-$E1161,0))</f>
        <v>0</v>
      </c>
      <c r="M1162">
        <f>IF(OR($E1162="",$E1161=""),"",MAX($E1161-$E1162,0))</f>
        <v>0</v>
      </c>
      <c r="N1162">
        <f>IF(COUNT($E$2:$E1162)&lt;15,"",IF(AVERAGE($M$1149:$M$1162)=0,100,100-100/(1+AVERAGE($L$1149:$L$1162)/AVERAGE($M$1149:$M$1162))))</f>
        <v>0</v>
      </c>
      <c r="O1162">
        <f>IF($E1162="","",IF($E1161="",$E1162,$E1162*0.1538461538+O1161*0.8461538462))</f>
        <v>0</v>
      </c>
      <c r="P1162">
        <f>IF($E1162="","",IF($E1161="",$E1162,$E1162*0.0740740741+P1161*0.9259259259))</f>
        <v>0</v>
      </c>
      <c r="Q1162">
        <f>IF(OR(O1162="",P1162=""),"",O1162-P1162)</f>
        <v>0</v>
      </c>
      <c r="R1162">
        <f>IF(Q1162="","",IF(R1161="",Q1162,Q1162*0.2000000000+R1161*0.8000000000))</f>
        <v>0</v>
      </c>
      <c r="S1162">
        <f>IF(OR(Q1162="",R1162=""),"",Q1162-R1162)</f>
        <v>0</v>
      </c>
      <c r="T1162">
        <f>IF(COUNT($E$2:$E1162)&lt;14,"",MAX($C$1149:$C$1162))</f>
        <v>0</v>
      </c>
      <c r="U1162">
        <f>IF(COUNT($E$2:$E1162)&lt;14,"",MIN($D$1149:$D$1162))</f>
        <v>0</v>
      </c>
      <c r="V1162">
        <f>IF(OR(T1162="",U1162="",T1162=U1162),"",100*($E1162-U1162)/(T1162-U1162))</f>
        <v>0</v>
      </c>
      <c r="W1162">
        <f>IF(COUNT($V$1160:$V$1162)&lt;3,"",AVERAGE($V$1160:$V$1162))</f>
        <v>0</v>
      </c>
      <c r="X1162">
        <f>IF(COUNT($N$1149:$N$1162)&lt;14,"",MIN($N$1149:$N$1162))</f>
        <v>0</v>
      </c>
      <c r="Y1162">
        <f>IF(COUNT($N$1149:$N$1162)&lt;14,"",MAX($N$1149:$N$1162))</f>
        <v>0</v>
      </c>
      <c r="Z1162">
        <f>IF(OR(N1162="",X1162="",Y1162="",Y1162=X1162),"",100*(N1162-X1162)/(Y1162-X1162))</f>
        <v>0</v>
      </c>
      <c r="AA1162">
        <f>IF(COUNT($Z$1160:$Z$1162)&lt;3,"",AVERAGE($Z$1160:$Z$1162))</f>
        <v>0</v>
      </c>
      <c r="AB1162">
        <f>IF(COUNT($AA$1160:$AA$1162)&lt;3,"",AVERAGE($AA$1160:$AA$1162))</f>
        <v>0</v>
      </c>
      <c r="AC1162">
        <f>IF($E1162="","",MAX($C1162-$D1162,ABS($C1162-$E1161),ABS($D1162-$E1161)))</f>
        <v>0</v>
      </c>
      <c r="AD1162">
        <f>IF(COUNT($E$2:$E1162)&lt;15,"",AVERAGE($AC$1149:$AC$1162))</f>
        <v>0</v>
      </c>
      <c r="AE1162">
        <f>IF(OR($E1162="",$E1161=""),"",IF(AND(($C1162-$C1161)&gt;($D1161-$D1162),($C1162-$C1161)&gt;0),$C1162-$C1161,0))</f>
        <v>0</v>
      </c>
      <c r="AF1162">
        <f>IF(OR($E1162="",$E1161=""),"",IF(AND(($D1161-$D1162)&gt;($C1162-$C1161),($D1161-$D1162)&gt;0),$D1161-$D1162,0))</f>
        <v>0</v>
      </c>
      <c r="AG1162">
        <f>IF(COUNT($E$2:$E1162)&lt;15,"",IF(SUM($AC$1149:$AC$1162)=0,0,100*SUM($AE$1149:$AE$1162)/SUM($AC$1149:$AC$1162)))</f>
        <v>0</v>
      </c>
      <c r="AH1162">
        <f>IF(COUNT($E$2:$E1162)&lt;15,"",IF(SUM($AC$1149:$AC$1162)=0,0,100*SUM($AF$1149:$AF$1162)/SUM($AC$1149:$AC$1162)))</f>
        <v>0</v>
      </c>
      <c r="AI1162">
        <f>IF(OR(AG1162="",AH1162=""),"",IF((AG1162+AH1162)=0,0,100*ABS(AG1162-AH1162)/(AG1162+AH1162)))</f>
        <v>0</v>
      </c>
      <c r="AJ1162">
        <f>IF(COUNT($AI$1149:$AI$1162)&lt;14,"",AVERAGE($AI$1149:$AI$1162))</f>
        <v>0</v>
      </c>
      <c r="AK1162">
        <f>IF(COUNT($E$2:$E1162)&lt;20,"",AVERAGE($E$1143:$E$1162))</f>
        <v>0</v>
      </c>
      <c r="AL1162">
        <f>IF(COUNT($E$2:$E1162)&lt;20,"",STDEVP($E$1143:$E$1162))</f>
        <v>0</v>
      </c>
      <c r="AM1162">
        <f>IF(AK1162="","",AK1162+2*AL1162)</f>
        <v>0</v>
      </c>
      <c r="AN1162">
        <f>IF(AK1162="","",AK1162-2*AL1162)</f>
        <v>0</v>
      </c>
      <c r="AO1162">
        <f>IF(OR(AM1162="",AN1162="",AM1162=AN1162),"",($E1162-AN1162)/(AM1162-AN1162))</f>
        <v>0</v>
      </c>
      <c r="AP1162">
        <f>IF(OR(AM1162="",AK1162="",AK1162=0),"",(AM1162-AN1162)/AK1162)</f>
        <v>0</v>
      </c>
      <c r="AQ1162">
        <f>IF(COUNT($E$2:$E1162)&lt;20,"",MAX($C$1143:$C$1162))</f>
        <v>0</v>
      </c>
      <c r="AR1162">
        <f>IF(COUNT($E$2:$E1162)&lt;20,"",MIN($D$1143:$D$1162))</f>
        <v>0</v>
      </c>
      <c r="AS1162">
        <f>IF(OR(AQ1162="",AR1162=""),"",(AQ1162+AR1162)/2)</f>
        <v>0</v>
      </c>
      <c r="AT1162">
        <f>IF(COUNT($G$1143:$G$1162)&lt;20,"",STDEV($G$1143:$G$1162)*SQRT(252))</f>
        <v>0</v>
      </c>
      <c r="AU1162">
        <f>IF(COUNT($E$2:$E1162)&lt;9,"",(MAX($C$1154:$C$1162)+MIN($D$1154:$D$1162))/2)</f>
        <v>0</v>
      </c>
      <c r="AV1162">
        <f>IF(COUNT($E$2:$E1162)&lt;26,"",(MAX($C$1137:$C$1162)+MIN($D$1137:$D$1162))/2)</f>
        <v>0</v>
      </c>
      <c r="AW1162">
        <f>IF(OR(AU1162="",AV1162=""),"",(AU1162+AV1162)/2)</f>
        <v>0</v>
      </c>
      <c r="AX1162">
        <f>IF(COUNT($E$2:$E1162)&lt;52,"",(MAX($C$1111:$C$1162)+MIN($D$1111:$D$1162))/2)</f>
        <v>0</v>
      </c>
      <c r="AY1162">
        <f>IF(COUNT($E$2:$E1162)&lt;20,"",MAX($C$1063:$C$1162))</f>
        <v>0</v>
      </c>
      <c r="AZ1162">
        <f>IF(COUNT($E$2:$E1162)&lt;20,"",MIN($D$1063:$D$1162))</f>
        <v>0</v>
      </c>
      <c r="BA1162">
        <f>IF(COUNT($E$2:$E1162)&lt;20,"",SLOPE($E$1063:$E$1162,$F$1063:$F$1162))</f>
        <v>0</v>
      </c>
      <c r="BB1162">
        <f>IF(COUNT($E$2:$E1162)&lt;20,"",INTERCEPT($E$1063:$E$1162,$F$1063:$F$1162))</f>
        <v>0</v>
      </c>
      <c r="BC1162">
        <f>IF(OR(BA1162="",BB1162=""),"",BB1162+BA1162*F1162)</f>
        <v>0</v>
      </c>
      <c r="BD1162">
        <f>IF(COUNT($E$2:$E1162)&lt;20,"",STEYX($E$1063:$E$1162,$F$1063:$F$1162))</f>
        <v>0</v>
      </c>
      <c r="BE1162">
        <f>IF($E1162="","",IF(AND(COUNT($E$1163:$E$1166)&gt;=4,$C1162=MAX($C$1158:$C$1166)),$C1162,""))</f>
        <v>0</v>
      </c>
      <c r="BF1162">
        <f>IF($E1162="","",IF(AND(COUNT($E$1163:$E$1166)&gt;=4,$D1162=MIN($D$1158:$D$1166)),$D1162,""))</f>
        <v>0</v>
      </c>
      <c r="BG1162">
        <f>IF($A1162="","",$A1162-WEEKDAY($A1162,2)+1)</f>
        <v>0</v>
      </c>
      <c r="BH1162">
        <f>IF($A1162="","",IF($A1161="",1,IF(BG1162&lt;&gt;BG1161,1,0)))</f>
        <v>0</v>
      </c>
      <c r="BI1162">
        <f>IF($A1162="","",IF($A1163="",1,IF(BG1163&lt;&gt;BG1162,1,0)))</f>
        <v>0</v>
      </c>
      <c r="BJ1162">
        <f>IF($A1162="","",IF(BH1162=1,$B1162,BJ1161))</f>
        <v>0</v>
      </c>
      <c r="BK1162">
        <f>IF($A1162="","",IF(BH1162=1,$C1162,MAX($C1162,BK1161)))</f>
        <v>0</v>
      </c>
      <c r="BL1162">
        <f>IF($A1162="","",IF(BH1162=1,$D1162,MIN($D1162,BL1161)))</f>
        <v>0</v>
      </c>
      <c r="BM1162">
        <f>IF($A1162="","",IF(BI1162=1,F1162,""))</f>
        <v>0</v>
      </c>
      <c r="BN1162">
        <f>IF($A1162="","",DATE(YEAR($A1162),MONTH($A1162),1))</f>
        <v>0</v>
      </c>
      <c r="BO1162">
        <f>IF($A1162="","",IF($A1161="",1,IF(BN1162&lt;&gt;BN1161,1,0)))</f>
        <v>0</v>
      </c>
      <c r="BP1162">
        <f>IF($A1162="","",IF($A1163="",1,IF(BN1163&lt;&gt;BN1162,1,0)))</f>
        <v>0</v>
      </c>
      <c r="BQ1162">
        <f>IF($A1162="","",IF(BO1162=1,$B1162,BQ1161))</f>
        <v>0</v>
      </c>
      <c r="BR1162">
        <f>IF($A1162="","",IF(BO1162=1,$C1162,MAX($C1162,BR1161)))</f>
        <v>0</v>
      </c>
      <c r="BS1162">
        <f>IF($A1162="","",IF(BO1162=1,$D1162,MIN($D1162,BS1161)))</f>
        <v>0</v>
      </c>
      <c r="BT1162">
        <f>IF($A1162="","",IF(BP1162=1,F1162,""))</f>
        <v>0</v>
      </c>
    </row>
    <row r="1163" spans="1:72">
      <c r="A1163" s="27">
        <f>IF(Data!$A1163="","",Data!$A1163)</f>
        <v>0</v>
      </c>
      <c r="B1163">
        <f>IF(Data!$B1163="","",Data!$B1163)</f>
        <v>0</v>
      </c>
      <c r="C1163">
        <f>IF(Data!$C1163="","",Data!$C1163)</f>
        <v>0</v>
      </c>
      <c r="D1163">
        <f>IF(Data!$D1163="","",Data!$D1163)</f>
        <v>0</v>
      </c>
      <c r="E1163">
        <f>IF(Data!$E1163="","",Data!$E1163)</f>
        <v>0</v>
      </c>
      <c r="F1163">
        <f>IF($E1163="","",N(F1162)+1)</f>
        <v>0</v>
      </c>
      <c r="G1163">
        <f>IF(OR($E1163="",$E1162=""),"",LN($E1163/$E1162))</f>
        <v>0</v>
      </c>
      <c r="H1163">
        <f>IF($E1163="","",IF($E1162="",$E1163,$E1163*0.0952380952+H1162*0.9047619048))</f>
        <v>0</v>
      </c>
      <c r="I1163">
        <f>IF($E1163="","",IF($E1162="",$E1163,$E1163*0.0392156863+I1162*0.9607843137))</f>
        <v>0</v>
      </c>
      <c r="J1163">
        <f>IF($E1163="","",IF($E1162="",$E1163,$E1163*0.0198019802+J1162*0.9801980198))</f>
        <v>0</v>
      </c>
      <c r="K1163">
        <f>IF($E1163="","",IF($E1162="",$E1163,$E1163*0.0099502488+K1162*0.9900497512))</f>
        <v>0</v>
      </c>
      <c r="L1163">
        <f>IF(OR($E1163="",$E1162=""),"",MAX($E1163-$E1162,0))</f>
        <v>0</v>
      </c>
      <c r="M1163">
        <f>IF(OR($E1163="",$E1162=""),"",MAX($E1162-$E1163,0))</f>
        <v>0</v>
      </c>
      <c r="N1163">
        <f>IF(COUNT($E$2:$E1163)&lt;15,"",IF(AVERAGE($M$1150:$M$1163)=0,100,100-100/(1+AVERAGE($L$1150:$L$1163)/AVERAGE($M$1150:$M$1163))))</f>
        <v>0</v>
      </c>
      <c r="O1163">
        <f>IF($E1163="","",IF($E1162="",$E1163,$E1163*0.1538461538+O1162*0.8461538462))</f>
        <v>0</v>
      </c>
      <c r="P1163">
        <f>IF($E1163="","",IF($E1162="",$E1163,$E1163*0.0740740741+P1162*0.9259259259))</f>
        <v>0</v>
      </c>
      <c r="Q1163">
        <f>IF(OR(O1163="",P1163=""),"",O1163-P1163)</f>
        <v>0</v>
      </c>
      <c r="R1163">
        <f>IF(Q1163="","",IF(R1162="",Q1163,Q1163*0.2000000000+R1162*0.8000000000))</f>
        <v>0</v>
      </c>
      <c r="S1163">
        <f>IF(OR(Q1163="",R1163=""),"",Q1163-R1163)</f>
        <v>0</v>
      </c>
      <c r="T1163">
        <f>IF(COUNT($E$2:$E1163)&lt;14,"",MAX($C$1150:$C$1163))</f>
        <v>0</v>
      </c>
      <c r="U1163">
        <f>IF(COUNT($E$2:$E1163)&lt;14,"",MIN($D$1150:$D$1163))</f>
        <v>0</v>
      </c>
      <c r="V1163">
        <f>IF(OR(T1163="",U1163="",T1163=U1163),"",100*($E1163-U1163)/(T1163-U1163))</f>
        <v>0</v>
      </c>
      <c r="W1163">
        <f>IF(COUNT($V$1161:$V$1163)&lt;3,"",AVERAGE($V$1161:$V$1163))</f>
        <v>0</v>
      </c>
      <c r="X1163">
        <f>IF(COUNT($N$1150:$N$1163)&lt;14,"",MIN($N$1150:$N$1163))</f>
        <v>0</v>
      </c>
      <c r="Y1163">
        <f>IF(COUNT($N$1150:$N$1163)&lt;14,"",MAX($N$1150:$N$1163))</f>
        <v>0</v>
      </c>
      <c r="Z1163">
        <f>IF(OR(N1163="",X1163="",Y1163="",Y1163=X1163),"",100*(N1163-X1163)/(Y1163-X1163))</f>
        <v>0</v>
      </c>
      <c r="AA1163">
        <f>IF(COUNT($Z$1161:$Z$1163)&lt;3,"",AVERAGE($Z$1161:$Z$1163))</f>
        <v>0</v>
      </c>
      <c r="AB1163">
        <f>IF(COUNT($AA$1161:$AA$1163)&lt;3,"",AVERAGE($AA$1161:$AA$1163))</f>
        <v>0</v>
      </c>
      <c r="AC1163">
        <f>IF($E1163="","",MAX($C1163-$D1163,ABS($C1163-$E1162),ABS($D1163-$E1162)))</f>
        <v>0</v>
      </c>
      <c r="AD1163">
        <f>IF(COUNT($E$2:$E1163)&lt;15,"",AVERAGE($AC$1150:$AC$1163))</f>
        <v>0</v>
      </c>
      <c r="AE1163">
        <f>IF(OR($E1163="",$E1162=""),"",IF(AND(($C1163-$C1162)&gt;($D1162-$D1163),($C1163-$C1162)&gt;0),$C1163-$C1162,0))</f>
        <v>0</v>
      </c>
      <c r="AF1163">
        <f>IF(OR($E1163="",$E1162=""),"",IF(AND(($D1162-$D1163)&gt;($C1163-$C1162),($D1162-$D1163)&gt;0),$D1162-$D1163,0))</f>
        <v>0</v>
      </c>
      <c r="AG1163">
        <f>IF(COUNT($E$2:$E1163)&lt;15,"",IF(SUM($AC$1150:$AC$1163)=0,0,100*SUM($AE$1150:$AE$1163)/SUM($AC$1150:$AC$1163)))</f>
        <v>0</v>
      </c>
      <c r="AH1163">
        <f>IF(COUNT($E$2:$E1163)&lt;15,"",IF(SUM($AC$1150:$AC$1163)=0,0,100*SUM($AF$1150:$AF$1163)/SUM($AC$1150:$AC$1163)))</f>
        <v>0</v>
      </c>
      <c r="AI1163">
        <f>IF(OR(AG1163="",AH1163=""),"",IF((AG1163+AH1163)=0,0,100*ABS(AG1163-AH1163)/(AG1163+AH1163)))</f>
        <v>0</v>
      </c>
      <c r="AJ1163">
        <f>IF(COUNT($AI$1150:$AI$1163)&lt;14,"",AVERAGE($AI$1150:$AI$1163))</f>
        <v>0</v>
      </c>
      <c r="AK1163">
        <f>IF(COUNT($E$2:$E1163)&lt;20,"",AVERAGE($E$1144:$E$1163))</f>
        <v>0</v>
      </c>
      <c r="AL1163">
        <f>IF(COUNT($E$2:$E1163)&lt;20,"",STDEVP($E$1144:$E$1163))</f>
        <v>0</v>
      </c>
      <c r="AM1163">
        <f>IF(AK1163="","",AK1163+2*AL1163)</f>
        <v>0</v>
      </c>
      <c r="AN1163">
        <f>IF(AK1163="","",AK1163-2*AL1163)</f>
        <v>0</v>
      </c>
      <c r="AO1163">
        <f>IF(OR(AM1163="",AN1163="",AM1163=AN1163),"",($E1163-AN1163)/(AM1163-AN1163))</f>
        <v>0</v>
      </c>
      <c r="AP1163">
        <f>IF(OR(AM1163="",AK1163="",AK1163=0),"",(AM1163-AN1163)/AK1163)</f>
        <v>0</v>
      </c>
      <c r="AQ1163">
        <f>IF(COUNT($E$2:$E1163)&lt;20,"",MAX($C$1144:$C$1163))</f>
        <v>0</v>
      </c>
      <c r="AR1163">
        <f>IF(COUNT($E$2:$E1163)&lt;20,"",MIN($D$1144:$D$1163))</f>
        <v>0</v>
      </c>
      <c r="AS1163">
        <f>IF(OR(AQ1163="",AR1163=""),"",(AQ1163+AR1163)/2)</f>
        <v>0</v>
      </c>
      <c r="AT1163">
        <f>IF(COUNT($G$1144:$G$1163)&lt;20,"",STDEV($G$1144:$G$1163)*SQRT(252))</f>
        <v>0</v>
      </c>
      <c r="AU1163">
        <f>IF(COUNT($E$2:$E1163)&lt;9,"",(MAX($C$1155:$C$1163)+MIN($D$1155:$D$1163))/2)</f>
        <v>0</v>
      </c>
      <c r="AV1163">
        <f>IF(COUNT($E$2:$E1163)&lt;26,"",(MAX($C$1138:$C$1163)+MIN($D$1138:$D$1163))/2)</f>
        <v>0</v>
      </c>
      <c r="AW1163">
        <f>IF(OR(AU1163="",AV1163=""),"",(AU1163+AV1163)/2)</f>
        <v>0</v>
      </c>
      <c r="AX1163">
        <f>IF(COUNT($E$2:$E1163)&lt;52,"",(MAX($C$1112:$C$1163)+MIN($D$1112:$D$1163))/2)</f>
        <v>0</v>
      </c>
      <c r="AY1163">
        <f>IF(COUNT($E$2:$E1163)&lt;20,"",MAX($C$1064:$C$1163))</f>
        <v>0</v>
      </c>
      <c r="AZ1163">
        <f>IF(COUNT($E$2:$E1163)&lt;20,"",MIN($D$1064:$D$1163))</f>
        <v>0</v>
      </c>
      <c r="BA1163">
        <f>IF(COUNT($E$2:$E1163)&lt;20,"",SLOPE($E$1064:$E$1163,$F$1064:$F$1163))</f>
        <v>0</v>
      </c>
      <c r="BB1163">
        <f>IF(COUNT($E$2:$E1163)&lt;20,"",INTERCEPT($E$1064:$E$1163,$F$1064:$F$1163))</f>
        <v>0</v>
      </c>
      <c r="BC1163">
        <f>IF(OR(BA1163="",BB1163=""),"",BB1163+BA1163*F1163)</f>
        <v>0</v>
      </c>
      <c r="BD1163">
        <f>IF(COUNT($E$2:$E1163)&lt;20,"",STEYX($E$1064:$E$1163,$F$1064:$F$1163))</f>
        <v>0</v>
      </c>
      <c r="BE1163">
        <f>IF($E1163="","",IF(AND(COUNT($E$1164:$E$1167)&gt;=4,$C1163=MAX($C$1159:$C$1167)),$C1163,""))</f>
        <v>0</v>
      </c>
      <c r="BF1163">
        <f>IF($E1163="","",IF(AND(COUNT($E$1164:$E$1167)&gt;=4,$D1163=MIN($D$1159:$D$1167)),$D1163,""))</f>
        <v>0</v>
      </c>
      <c r="BG1163">
        <f>IF($A1163="","",$A1163-WEEKDAY($A1163,2)+1)</f>
        <v>0</v>
      </c>
      <c r="BH1163">
        <f>IF($A1163="","",IF($A1162="",1,IF(BG1163&lt;&gt;BG1162,1,0)))</f>
        <v>0</v>
      </c>
      <c r="BI1163">
        <f>IF($A1163="","",IF($A1164="",1,IF(BG1164&lt;&gt;BG1163,1,0)))</f>
        <v>0</v>
      </c>
      <c r="BJ1163">
        <f>IF($A1163="","",IF(BH1163=1,$B1163,BJ1162))</f>
        <v>0</v>
      </c>
      <c r="BK1163">
        <f>IF($A1163="","",IF(BH1163=1,$C1163,MAX($C1163,BK1162)))</f>
        <v>0</v>
      </c>
      <c r="BL1163">
        <f>IF($A1163="","",IF(BH1163=1,$D1163,MIN($D1163,BL1162)))</f>
        <v>0</v>
      </c>
      <c r="BM1163">
        <f>IF($A1163="","",IF(BI1163=1,F1163,""))</f>
        <v>0</v>
      </c>
      <c r="BN1163">
        <f>IF($A1163="","",DATE(YEAR($A1163),MONTH($A1163),1))</f>
        <v>0</v>
      </c>
      <c r="BO1163">
        <f>IF($A1163="","",IF($A1162="",1,IF(BN1163&lt;&gt;BN1162,1,0)))</f>
        <v>0</v>
      </c>
      <c r="BP1163">
        <f>IF($A1163="","",IF($A1164="",1,IF(BN1164&lt;&gt;BN1163,1,0)))</f>
        <v>0</v>
      </c>
      <c r="BQ1163">
        <f>IF($A1163="","",IF(BO1163=1,$B1163,BQ1162))</f>
        <v>0</v>
      </c>
      <c r="BR1163">
        <f>IF($A1163="","",IF(BO1163=1,$C1163,MAX($C1163,BR1162)))</f>
        <v>0</v>
      </c>
      <c r="BS1163">
        <f>IF($A1163="","",IF(BO1163=1,$D1163,MIN($D1163,BS1162)))</f>
        <v>0</v>
      </c>
      <c r="BT1163">
        <f>IF($A1163="","",IF(BP1163=1,F1163,""))</f>
        <v>0</v>
      </c>
    </row>
    <row r="1164" spans="1:72">
      <c r="A1164" s="27">
        <f>IF(Data!$A1164="","",Data!$A1164)</f>
        <v>0</v>
      </c>
      <c r="B1164">
        <f>IF(Data!$B1164="","",Data!$B1164)</f>
        <v>0</v>
      </c>
      <c r="C1164">
        <f>IF(Data!$C1164="","",Data!$C1164)</f>
        <v>0</v>
      </c>
      <c r="D1164">
        <f>IF(Data!$D1164="","",Data!$D1164)</f>
        <v>0</v>
      </c>
      <c r="E1164">
        <f>IF(Data!$E1164="","",Data!$E1164)</f>
        <v>0</v>
      </c>
      <c r="F1164">
        <f>IF($E1164="","",N(F1163)+1)</f>
        <v>0</v>
      </c>
      <c r="G1164">
        <f>IF(OR($E1164="",$E1163=""),"",LN($E1164/$E1163))</f>
        <v>0</v>
      </c>
      <c r="H1164">
        <f>IF($E1164="","",IF($E1163="",$E1164,$E1164*0.0952380952+H1163*0.9047619048))</f>
        <v>0</v>
      </c>
      <c r="I1164">
        <f>IF($E1164="","",IF($E1163="",$E1164,$E1164*0.0392156863+I1163*0.9607843137))</f>
        <v>0</v>
      </c>
      <c r="J1164">
        <f>IF($E1164="","",IF($E1163="",$E1164,$E1164*0.0198019802+J1163*0.9801980198))</f>
        <v>0</v>
      </c>
      <c r="K1164">
        <f>IF($E1164="","",IF($E1163="",$E1164,$E1164*0.0099502488+K1163*0.9900497512))</f>
        <v>0</v>
      </c>
      <c r="L1164">
        <f>IF(OR($E1164="",$E1163=""),"",MAX($E1164-$E1163,0))</f>
        <v>0</v>
      </c>
      <c r="M1164">
        <f>IF(OR($E1164="",$E1163=""),"",MAX($E1163-$E1164,0))</f>
        <v>0</v>
      </c>
      <c r="N1164">
        <f>IF(COUNT($E$2:$E1164)&lt;15,"",IF(AVERAGE($M$1151:$M$1164)=0,100,100-100/(1+AVERAGE($L$1151:$L$1164)/AVERAGE($M$1151:$M$1164))))</f>
        <v>0</v>
      </c>
      <c r="O1164">
        <f>IF($E1164="","",IF($E1163="",$E1164,$E1164*0.1538461538+O1163*0.8461538462))</f>
        <v>0</v>
      </c>
      <c r="P1164">
        <f>IF($E1164="","",IF($E1163="",$E1164,$E1164*0.0740740741+P1163*0.9259259259))</f>
        <v>0</v>
      </c>
      <c r="Q1164">
        <f>IF(OR(O1164="",P1164=""),"",O1164-P1164)</f>
        <v>0</v>
      </c>
      <c r="R1164">
        <f>IF(Q1164="","",IF(R1163="",Q1164,Q1164*0.2000000000+R1163*0.8000000000))</f>
        <v>0</v>
      </c>
      <c r="S1164">
        <f>IF(OR(Q1164="",R1164=""),"",Q1164-R1164)</f>
        <v>0</v>
      </c>
      <c r="T1164">
        <f>IF(COUNT($E$2:$E1164)&lt;14,"",MAX($C$1151:$C$1164))</f>
        <v>0</v>
      </c>
      <c r="U1164">
        <f>IF(COUNT($E$2:$E1164)&lt;14,"",MIN($D$1151:$D$1164))</f>
        <v>0</v>
      </c>
      <c r="V1164">
        <f>IF(OR(T1164="",U1164="",T1164=U1164),"",100*($E1164-U1164)/(T1164-U1164))</f>
        <v>0</v>
      </c>
      <c r="W1164">
        <f>IF(COUNT($V$1162:$V$1164)&lt;3,"",AVERAGE($V$1162:$V$1164))</f>
        <v>0</v>
      </c>
      <c r="X1164">
        <f>IF(COUNT($N$1151:$N$1164)&lt;14,"",MIN($N$1151:$N$1164))</f>
        <v>0</v>
      </c>
      <c r="Y1164">
        <f>IF(COUNT($N$1151:$N$1164)&lt;14,"",MAX($N$1151:$N$1164))</f>
        <v>0</v>
      </c>
      <c r="Z1164">
        <f>IF(OR(N1164="",X1164="",Y1164="",Y1164=X1164),"",100*(N1164-X1164)/(Y1164-X1164))</f>
        <v>0</v>
      </c>
      <c r="AA1164">
        <f>IF(COUNT($Z$1162:$Z$1164)&lt;3,"",AVERAGE($Z$1162:$Z$1164))</f>
        <v>0</v>
      </c>
      <c r="AB1164">
        <f>IF(COUNT($AA$1162:$AA$1164)&lt;3,"",AVERAGE($AA$1162:$AA$1164))</f>
        <v>0</v>
      </c>
      <c r="AC1164">
        <f>IF($E1164="","",MAX($C1164-$D1164,ABS($C1164-$E1163),ABS($D1164-$E1163)))</f>
        <v>0</v>
      </c>
      <c r="AD1164">
        <f>IF(COUNT($E$2:$E1164)&lt;15,"",AVERAGE($AC$1151:$AC$1164))</f>
        <v>0</v>
      </c>
      <c r="AE1164">
        <f>IF(OR($E1164="",$E1163=""),"",IF(AND(($C1164-$C1163)&gt;($D1163-$D1164),($C1164-$C1163)&gt;0),$C1164-$C1163,0))</f>
        <v>0</v>
      </c>
      <c r="AF1164">
        <f>IF(OR($E1164="",$E1163=""),"",IF(AND(($D1163-$D1164)&gt;($C1164-$C1163),($D1163-$D1164)&gt;0),$D1163-$D1164,0))</f>
        <v>0</v>
      </c>
      <c r="AG1164">
        <f>IF(COUNT($E$2:$E1164)&lt;15,"",IF(SUM($AC$1151:$AC$1164)=0,0,100*SUM($AE$1151:$AE$1164)/SUM($AC$1151:$AC$1164)))</f>
        <v>0</v>
      </c>
      <c r="AH1164">
        <f>IF(COUNT($E$2:$E1164)&lt;15,"",IF(SUM($AC$1151:$AC$1164)=0,0,100*SUM($AF$1151:$AF$1164)/SUM($AC$1151:$AC$1164)))</f>
        <v>0</v>
      </c>
      <c r="AI1164">
        <f>IF(OR(AG1164="",AH1164=""),"",IF((AG1164+AH1164)=0,0,100*ABS(AG1164-AH1164)/(AG1164+AH1164)))</f>
        <v>0</v>
      </c>
      <c r="AJ1164">
        <f>IF(COUNT($AI$1151:$AI$1164)&lt;14,"",AVERAGE($AI$1151:$AI$1164))</f>
        <v>0</v>
      </c>
      <c r="AK1164">
        <f>IF(COUNT($E$2:$E1164)&lt;20,"",AVERAGE($E$1145:$E$1164))</f>
        <v>0</v>
      </c>
      <c r="AL1164">
        <f>IF(COUNT($E$2:$E1164)&lt;20,"",STDEVP($E$1145:$E$1164))</f>
        <v>0</v>
      </c>
      <c r="AM1164">
        <f>IF(AK1164="","",AK1164+2*AL1164)</f>
        <v>0</v>
      </c>
      <c r="AN1164">
        <f>IF(AK1164="","",AK1164-2*AL1164)</f>
        <v>0</v>
      </c>
      <c r="AO1164">
        <f>IF(OR(AM1164="",AN1164="",AM1164=AN1164),"",($E1164-AN1164)/(AM1164-AN1164))</f>
        <v>0</v>
      </c>
      <c r="AP1164">
        <f>IF(OR(AM1164="",AK1164="",AK1164=0),"",(AM1164-AN1164)/AK1164)</f>
        <v>0</v>
      </c>
      <c r="AQ1164">
        <f>IF(COUNT($E$2:$E1164)&lt;20,"",MAX($C$1145:$C$1164))</f>
        <v>0</v>
      </c>
      <c r="AR1164">
        <f>IF(COUNT($E$2:$E1164)&lt;20,"",MIN($D$1145:$D$1164))</f>
        <v>0</v>
      </c>
      <c r="AS1164">
        <f>IF(OR(AQ1164="",AR1164=""),"",(AQ1164+AR1164)/2)</f>
        <v>0</v>
      </c>
      <c r="AT1164">
        <f>IF(COUNT($G$1145:$G$1164)&lt;20,"",STDEV($G$1145:$G$1164)*SQRT(252))</f>
        <v>0</v>
      </c>
      <c r="AU1164">
        <f>IF(COUNT($E$2:$E1164)&lt;9,"",(MAX($C$1156:$C$1164)+MIN($D$1156:$D$1164))/2)</f>
        <v>0</v>
      </c>
      <c r="AV1164">
        <f>IF(COUNT($E$2:$E1164)&lt;26,"",(MAX($C$1139:$C$1164)+MIN($D$1139:$D$1164))/2)</f>
        <v>0</v>
      </c>
      <c r="AW1164">
        <f>IF(OR(AU1164="",AV1164=""),"",(AU1164+AV1164)/2)</f>
        <v>0</v>
      </c>
      <c r="AX1164">
        <f>IF(COUNT($E$2:$E1164)&lt;52,"",(MAX($C$1113:$C$1164)+MIN($D$1113:$D$1164))/2)</f>
        <v>0</v>
      </c>
      <c r="AY1164">
        <f>IF(COUNT($E$2:$E1164)&lt;20,"",MAX($C$1065:$C$1164))</f>
        <v>0</v>
      </c>
      <c r="AZ1164">
        <f>IF(COUNT($E$2:$E1164)&lt;20,"",MIN($D$1065:$D$1164))</f>
        <v>0</v>
      </c>
      <c r="BA1164">
        <f>IF(COUNT($E$2:$E1164)&lt;20,"",SLOPE($E$1065:$E$1164,$F$1065:$F$1164))</f>
        <v>0</v>
      </c>
      <c r="BB1164">
        <f>IF(COUNT($E$2:$E1164)&lt;20,"",INTERCEPT($E$1065:$E$1164,$F$1065:$F$1164))</f>
        <v>0</v>
      </c>
      <c r="BC1164">
        <f>IF(OR(BA1164="",BB1164=""),"",BB1164+BA1164*F1164)</f>
        <v>0</v>
      </c>
      <c r="BD1164">
        <f>IF(COUNT($E$2:$E1164)&lt;20,"",STEYX($E$1065:$E$1164,$F$1065:$F$1164))</f>
        <v>0</v>
      </c>
      <c r="BE1164">
        <f>IF($E1164="","",IF(AND(COUNT($E$1165:$E$1168)&gt;=4,$C1164=MAX($C$1160:$C$1168)),$C1164,""))</f>
        <v>0</v>
      </c>
      <c r="BF1164">
        <f>IF($E1164="","",IF(AND(COUNT($E$1165:$E$1168)&gt;=4,$D1164=MIN($D$1160:$D$1168)),$D1164,""))</f>
        <v>0</v>
      </c>
      <c r="BG1164">
        <f>IF($A1164="","",$A1164-WEEKDAY($A1164,2)+1)</f>
        <v>0</v>
      </c>
      <c r="BH1164">
        <f>IF($A1164="","",IF($A1163="",1,IF(BG1164&lt;&gt;BG1163,1,0)))</f>
        <v>0</v>
      </c>
      <c r="BI1164">
        <f>IF($A1164="","",IF($A1165="",1,IF(BG1165&lt;&gt;BG1164,1,0)))</f>
        <v>0</v>
      </c>
      <c r="BJ1164">
        <f>IF($A1164="","",IF(BH1164=1,$B1164,BJ1163))</f>
        <v>0</v>
      </c>
      <c r="BK1164">
        <f>IF($A1164="","",IF(BH1164=1,$C1164,MAX($C1164,BK1163)))</f>
        <v>0</v>
      </c>
      <c r="BL1164">
        <f>IF($A1164="","",IF(BH1164=1,$D1164,MIN($D1164,BL1163)))</f>
        <v>0</v>
      </c>
      <c r="BM1164">
        <f>IF($A1164="","",IF(BI1164=1,F1164,""))</f>
        <v>0</v>
      </c>
      <c r="BN1164">
        <f>IF($A1164="","",DATE(YEAR($A1164),MONTH($A1164),1))</f>
        <v>0</v>
      </c>
      <c r="BO1164">
        <f>IF($A1164="","",IF($A1163="",1,IF(BN1164&lt;&gt;BN1163,1,0)))</f>
        <v>0</v>
      </c>
      <c r="BP1164">
        <f>IF($A1164="","",IF($A1165="",1,IF(BN1165&lt;&gt;BN1164,1,0)))</f>
        <v>0</v>
      </c>
      <c r="BQ1164">
        <f>IF($A1164="","",IF(BO1164=1,$B1164,BQ1163))</f>
        <v>0</v>
      </c>
      <c r="BR1164">
        <f>IF($A1164="","",IF(BO1164=1,$C1164,MAX($C1164,BR1163)))</f>
        <v>0</v>
      </c>
      <c r="BS1164">
        <f>IF($A1164="","",IF(BO1164=1,$D1164,MIN($D1164,BS1163)))</f>
        <v>0</v>
      </c>
      <c r="BT1164">
        <f>IF($A1164="","",IF(BP1164=1,F1164,""))</f>
        <v>0</v>
      </c>
    </row>
    <row r="1165" spans="1:72">
      <c r="A1165" s="27">
        <f>IF(Data!$A1165="","",Data!$A1165)</f>
        <v>0</v>
      </c>
      <c r="B1165">
        <f>IF(Data!$B1165="","",Data!$B1165)</f>
        <v>0</v>
      </c>
      <c r="C1165">
        <f>IF(Data!$C1165="","",Data!$C1165)</f>
        <v>0</v>
      </c>
      <c r="D1165">
        <f>IF(Data!$D1165="","",Data!$D1165)</f>
        <v>0</v>
      </c>
      <c r="E1165">
        <f>IF(Data!$E1165="","",Data!$E1165)</f>
        <v>0</v>
      </c>
      <c r="F1165">
        <f>IF($E1165="","",N(F1164)+1)</f>
        <v>0</v>
      </c>
      <c r="G1165">
        <f>IF(OR($E1165="",$E1164=""),"",LN($E1165/$E1164))</f>
        <v>0</v>
      </c>
      <c r="H1165">
        <f>IF($E1165="","",IF($E1164="",$E1165,$E1165*0.0952380952+H1164*0.9047619048))</f>
        <v>0</v>
      </c>
      <c r="I1165">
        <f>IF($E1165="","",IF($E1164="",$E1165,$E1165*0.0392156863+I1164*0.9607843137))</f>
        <v>0</v>
      </c>
      <c r="J1165">
        <f>IF($E1165="","",IF($E1164="",$E1165,$E1165*0.0198019802+J1164*0.9801980198))</f>
        <v>0</v>
      </c>
      <c r="K1165">
        <f>IF($E1165="","",IF($E1164="",$E1165,$E1165*0.0099502488+K1164*0.9900497512))</f>
        <v>0</v>
      </c>
      <c r="L1165">
        <f>IF(OR($E1165="",$E1164=""),"",MAX($E1165-$E1164,0))</f>
        <v>0</v>
      </c>
      <c r="M1165">
        <f>IF(OR($E1165="",$E1164=""),"",MAX($E1164-$E1165,0))</f>
        <v>0</v>
      </c>
      <c r="N1165">
        <f>IF(COUNT($E$2:$E1165)&lt;15,"",IF(AVERAGE($M$1152:$M$1165)=0,100,100-100/(1+AVERAGE($L$1152:$L$1165)/AVERAGE($M$1152:$M$1165))))</f>
        <v>0</v>
      </c>
      <c r="O1165">
        <f>IF($E1165="","",IF($E1164="",$E1165,$E1165*0.1538461538+O1164*0.8461538462))</f>
        <v>0</v>
      </c>
      <c r="P1165">
        <f>IF($E1165="","",IF($E1164="",$E1165,$E1165*0.0740740741+P1164*0.9259259259))</f>
        <v>0</v>
      </c>
      <c r="Q1165">
        <f>IF(OR(O1165="",P1165=""),"",O1165-P1165)</f>
        <v>0</v>
      </c>
      <c r="R1165">
        <f>IF(Q1165="","",IF(R1164="",Q1165,Q1165*0.2000000000+R1164*0.8000000000))</f>
        <v>0</v>
      </c>
      <c r="S1165">
        <f>IF(OR(Q1165="",R1165=""),"",Q1165-R1165)</f>
        <v>0</v>
      </c>
      <c r="T1165">
        <f>IF(COUNT($E$2:$E1165)&lt;14,"",MAX($C$1152:$C$1165))</f>
        <v>0</v>
      </c>
      <c r="U1165">
        <f>IF(COUNT($E$2:$E1165)&lt;14,"",MIN($D$1152:$D$1165))</f>
        <v>0</v>
      </c>
      <c r="V1165">
        <f>IF(OR(T1165="",U1165="",T1165=U1165),"",100*($E1165-U1165)/(T1165-U1165))</f>
        <v>0</v>
      </c>
      <c r="W1165">
        <f>IF(COUNT($V$1163:$V$1165)&lt;3,"",AVERAGE($V$1163:$V$1165))</f>
        <v>0</v>
      </c>
      <c r="X1165">
        <f>IF(COUNT($N$1152:$N$1165)&lt;14,"",MIN($N$1152:$N$1165))</f>
        <v>0</v>
      </c>
      <c r="Y1165">
        <f>IF(COUNT($N$1152:$N$1165)&lt;14,"",MAX($N$1152:$N$1165))</f>
        <v>0</v>
      </c>
      <c r="Z1165">
        <f>IF(OR(N1165="",X1165="",Y1165="",Y1165=X1165),"",100*(N1165-X1165)/(Y1165-X1165))</f>
        <v>0</v>
      </c>
      <c r="AA1165">
        <f>IF(COUNT($Z$1163:$Z$1165)&lt;3,"",AVERAGE($Z$1163:$Z$1165))</f>
        <v>0</v>
      </c>
      <c r="AB1165">
        <f>IF(COUNT($AA$1163:$AA$1165)&lt;3,"",AVERAGE($AA$1163:$AA$1165))</f>
        <v>0</v>
      </c>
      <c r="AC1165">
        <f>IF($E1165="","",MAX($C1165-$D1165,ABS($C1165-$E1164),ABS($D1165-$E1164)))</f>
        <v>0</v>
      </c>
      <c r="AD1165">
        <f>IF(COUNT($E$2:$E1165)&lt;15,"",AVERAGE($AC$1152:$AC$1165))</f>
        <v>0</v>
      </c>
      <c r="AE1165">
        <f>IF(OR($E1165="",$E1164=""),"",IF(AND(($C1165-$C1164)&gt;($D1164-$D1165),($C1165-$C1164)&gt;0),$C1165-$C1164,0))</f>
        <v>0</v>
      </c>
      <c r="AF1165">
        <f>IF(OR($E1165="",$E1164=""),"",IF(AND(($D1164-$D1165)&gt;($C1165-$C1164),($D1164-$D1165)&gt;0),$D1164-$D1165,0))</f>
        <v>0</v>
      </c>
      <c r="AG1165">
        <f>IF(COUNT($E$2:$E1165)&lt;15,"",IF(SUM($AC$1152:$AC$1165)=0,0,100*SUM($AE$1152:$AE$1165)/SUM($AC$1152:$AC$1165)))</f>
        <v>0</v>
      </c>
      <c r="AH1165">
        <f>IF(COUNT($E$2:$E1165)&lt;15,"",IF(SUM($AC$1152:$AC$1165)=0,0,100*SUM($AF$1152:$AF$1165)/SUM($AC$1152:$AC$1165)))</f>
        <v>0</v>
      </c>
      <c r="AI1165">
        <f>IF(OR(AG1165="",AH1165=""),"",IF((AG1165+AH1165)=0,0,100*ABS(AG1165-AH1165)/(AG1165+AH1165)))</f>
        <v>0</v>
      </c>
      <c r="AJ1165">
        <f>IF(COUNT($AI$1152:$AI$1165)&lt;14,"",AVERAGE($AI$1152:$AI$1165))</f>
        <v>0</v>
      </c>
      <c r="AK1165">
        <f>IF(COUNT($E$2:$E1165)&lt;20,"",AVERAGE($E$1146:$E$1165))</f>
        <v>0</v>
      </c>
      <c r="AL1165">
        <f>IF(COUNT($E$2:$E1165)&lt;20,"",STDEVP($E$1146:$E$1165))</f>
        <v>0</v>
      </c>
      <c r="AM1165">
        <f>IF(AK1165="","",AK1165+2*AL1165)</f>
        <v>0</v>
      </c>
      <c r="AN1165">
        <f>IF(AK1165="","",AK1165-2*AL1165)</f>
        <v>0</v>
      </c>
      <c r="AO1165">
        <f>IF(OR(AM1165="",AN1165="",AM1165=AN1165),"",($E1165-AN1165)/(AM1165-AN1165))</f>
        <v>0</v>
      </c>
      <c r="AP1165">
        <f>IF(OR(AM1165="",AK1165="",AK1165=0),"",(AM1165-AN1165)/AK1165)</f>
        <v>0</v>
      </c>
      <c r="AQ1165">
        <f>IF(COUNT($E$2:$E1165)&lt;20,"",MAX($C$1146:$C$1165))</f>
        <v>0</v>
      </c>
      <c r="AR1165">
        <f>IF(COUNT($E$2:$E1165)&lt;20,"",MIN($D$1146:$D$1165))</f>
        <v>0</v>
      </c>
      <c r="AS1165">
        <f>IF(OR(AQ1165="",AR1165=""),"",(AQ1165+AR1165)/2)</f>
        <v>0</v>
      </c>
      <c r="AT1165">
        <f>IF(COUNT($G$1146:$G$1165)&lt;20,"",STDEV($G$1146:$G$1165)*SQRT(252))</f>
        <v>0</v>
      </c>
      <c r="AU1165">
        <f>IF(COUNT($E$2:$E1165)&lt;9,"",(MAX($C$1157:$C$1165)+MIN($D$1157:$D$1165))/2)</f>
        <v>0</v>
      </c>
      <c r="AV1165">
        <f>IF(COUNT($E$2:$E1165)&lt;26,"",(MAX($C$1140:$C$1165)+MIN($D$1140:$D$1165))/2)</f>
        <v>0</v>
      </c>
      <c r="AW1165">
        <f>IF(OR(AU1165="",AV1165=""),"",(AU1165+AV1165)/2)</f>
        <v>0</v>
      </c>
      <c r="AX1165">
        <f>IF(COUNT($E$2:$E1165)&lt;52,"",(MAX($C$1114:$C$1165)+MIN($D$1114:$D$1165))/2)</f>
        <v>0</v>
      </c>
      <c r="AY1165">
        <f>IF(COUNT($E$2:$E1165)&lt;20,"",MAX($C$1066:$C$1165))</f>
        <v>0</v>
      </c>
      <c r="AZ1165">
        <f>IF(COUNT($E$2:$E1165)&lt;20,"",MIN($D$1066:$D$1165))</f>
        <v>0</v>
      </c>
      <c r="BA1165">
        <f>IF(COUNT($E$2:$E1165)&lt;20,"",SLOPE($E$1066:$E$1165,$F$1066:$F$1165))</f>
        <v>0</v>
      </c>
      <c r="BB1165">
        <f>IF(COUNT($E$2:$E1165)&lt;20,"",INTERCEPT($E$1066:$E$1165,$F$1066:$F$1165))</f>
        <v>0</v>
      </c>
      <c r="BC1165">
        <f>IF(OR(BA1165="",BB1165=""),"",BB1165+BA1165*F1165)</f>
        <v>0</v>
      </c>
      <c r="BD1165">
        <f>IF(COUNT($E$2:$E1165)&lt;20,"",STEYX($E$1066:$E$1165,$F$1066:$F$1165))</f>
        <v>0</v>
      </c>
      <c r="BE1165">
        <f>IF($E1165="","",IF(AND(COUNT($E$1166:$E$1169)&gt;=4,$C1165=MAX($C$1161:$C$1169)),$C1165,""))</f>
        <v>0</v>
      </c>
      <c r="BF1165">
        <f>IF($E1165="","",IF(AND(COUNT($E$1166:$E$1169)&gt;=4,$D1165=MIN($D$1161:$D$1169)),$D1165,""))</f>
        <v>0</v>
      </c>
      <c r="BG1165">
        <f>IF($A1165="","",$A1165-WEEKDAY($A1165,2)+1)</f>
        <v>0</v>
      </c>
      <c r="BH1165">
        <f>IF($A1165="","",IF($A1164="",1,IF(BG1165&lt;&gt;BG1164,1,0)))</f>
        <v>0</v>
      </c>
      <c r="BI1165">
        <f>IF($A1165="","",IF($A1166="",1,IF(BG1166&lt;&gt;BG1165,1,0)))</f>
        <v>0</v>
      </c>
      <c r="BJ1165">
        <f>IF($A1165="","",IF(BH1165=1,$B1165,BJ1164))</f>
        <v>0</v>
      </c>
      <c r="BK1165">
        <f>IF($A1165="","",IF(BH1165=1,$C1165,MAX($C1165,BK1164)))</f>
        <v>0</v>
      </c>
      <c r="BL1165">
        <f>IF($A1165="","",IF(BH1165=1,$D1165,MIN($D1165,BL1164)))</f>
        <v>0</v>
      </c>
      <c r="BM1165">
        <f>IF($A1165="","",IF(BI1165=1,F1165,""))</f>
        <v>0</v>
      </c>
      <c r="BN1165">
        <f>IF($A1165="","",DATE(YEAR($A1165),MONTH($A1165),1))</f>
        <v>0</v>
      </c>
      <c r="BO1165">
        <f>IF($A1165="","",IF($A1164="",1,IF(BN1165&lt;&gt;BN1164,1,0)))</f>
        <v>0</v>
      </c>
      <c r="BP1165">
        <f>IF($A1165="","",IF($A1166="",1,IF(BN1166&lt;&gt;BN1165,1,0)))</f>
        <v>0</v>
      </c>
      <c r="BQ1165">
        <f>IF($A1165="","",IF(BO1165=1,$B1165,BQ1164))</f>
        <v>0</v>
      </c>
      <c r="BR1165">
        <f>IF($A1165="","",IF(BO1165=1,$C1165,MAX($C1165,BR1164)))</f>
        <v>0</v>
      </c>
      <c r="BS1165">
        <f>IF($A1165="","",IF(BO1165=1,$D1165,MIN($D1165,BS1164)))</f>
        <v>0</v>
      </c>
      <c r="BT1165">
        <f>IF($A1165="","",IF(BP1165=1,F1165,""))</f>
        <v>0</v>
      </c>
    </row>
    <row r="1166" spans="1:72">
      <c r="A1166" s="27">
        <f>IF(Data!$A1166="","",Data!$A1166)</f>
        <v>0</v>
      </c>
      <c r="B1166">
        <f>IF(Data!$B1166="","",Data!$B1166)</f>
        <v>0</v>
      </c>
      <c r="C1166">
        <f>IF(Data!$C1166="","",Data!$C1166)</f>
        <v>0</v>
      </c>
      <c r="D1166">
        <f>IF(Data!$D1166="","",Data!$D1166)</f>
        <v>0</v>
      </c>
      <c r="E1166">
        <f>IF(Data!$E1166="","",Data!$E1166)</f>
        <v>0</v>
      </c>
      <c r="F1166">
        <f>IF($E1166="","",N(F1165)+1)</f>
        <v>0</v>
      </c>
      <c r="G1166">
        <f>IF(OR($E1166="",$E1165=""),"",LN($E1166/$E1165))</f>
        <v>0</v>
      </c>
      <c r="H1166">
        <f>IF($E1166="","",IF($E1165="",$E1166,$E1166*0.0952380952+H1165*0.9047619048))</f>
        <v>0</v>
      </c>
      <c r="I1166">
        <f>IF($E1166="","",IF($E1165="",$E1166,$E1166*0.0392156863+I1165*0.9607843137))</f>
        <v>0</v>
      </c>
      <c r="J1166">
        <f>IF($E1166="","",IF($E1165="",$E1166,$E1166*0.0198019802+J1165*0.9801980198))</f>
        <v>0</v>
      </c>
      <c r="K1166">
        <f>IF($E1166="","",IF($E1165="",$E1166,$E1166*0.0099502488+K1165*0.9900497512))</f>
        <v>0</v>
      </c>
      <c r="L1166">
        <f>IF(OR($E1166="",$E1165=""),"",MAX($E1166-$E1165,0))</f>
        <v>0</v>
      </c>
      <c r="M1166">
        <f>IF(OR($E1166="",$E1165=""),"",MAX($E1165-$E1166,0))</f>
        <v>0</v>
      </c>
      <c r="N1166">
        <f>IF(COUNT($E$2:$E1166)&lt;15,"",IF(AVERAGE($M$1153:$M$1166)=0,100,100-100/(1+AVERAGE($L$1153:$L$1166)/AVERAGE($M$1153:$M$1166))))</f>
        <v>0</v>
      </c>
      <c r="O1166">
        <f>IF($E1166="","",IF($E1165="",$E1166,$E1166*0.1538461538+O1165*0.8461538462))</f>
        <v>0</v>
      </c>
      <c r="P1166">
        <f>IF($E1166="","",IF($E1165="",$E1166,$E1166*0.0740740741+P1165*0.9259259259))</f>
        <v>0</v>
      </c>
      <c r="Q1166">
        <f>IF(OR(O1166="",P1166=""),"",O1166-P1166)</f>
        <v>0</v>
      </c>
      <c r="R1166">
        <f>IF(Q1166="","",IF(R1165="",Q1166,Q1166*0.2000000000+R1165*0.8000000000))</f>
        <v>0</v>
      </c>
      <c r="S1166">
        <f>IF(OR(Q1166="",R1166=""),"",Q1166-R1166)</f>
        <v>0</v>
      </c>
      <c r="T1166">
        <f>IF(COUNT($E$2:$E1166)&lt;14,"",MAX($C$1153:$C$1166))</f>
        <v>0</v>
      </c>
      <c r="U1166">
        <f>IF(COUNT($E$2:$E1166)&lt;14,"",MIN($D$1153:$D$1166))</f>
        <v>0</v>
      </c>
      <c r="V1166">
        <f>IF(OR(T1166="",U1166="",T1166=U1166),"",100*($E1166-U1166)/(T1166-U1166))</f>
        <v>0</v>
      </c>
      <c r="W1166">
        <f>IF(COUNT($V$1164:$V$1166)&lt;3,"",AVERAGE($V$1164:$V$1166))</f>
        <v>0</v>
      </c>
      <c r="X1166">
        <f>IF(COUNT($N$1153:$N$1166)&lt;14,"",MIN($N$1153:$N$1166))</f>
        <v>0</v>
      </c>
      <c r="Y1166">
        <f>IF(COUNT($N$1153:$N$1166)&lt;14,"",MAX($N$1153:$N$1166))</f>
        <v>0</v>
      </c>
      <c r="Z1166">
        <f>IF(OR(N1166="",X1166="",Y1166="",Y1166=X1166),"",100*(N1166-X1166)/(Y1166-X1166))</f>
        <v>0</v>
      </c>
      <c r="AA1166">
        <f>IF(COUNT($Z$1164:$Z$1166)&lt;3,"",AVERAGE($Z$1164:$Z$1166))</f>
        <v>0</v>
      </c>
      <c r="AB1166">
        <f>IF(COUNT($AA$1164:$AA$1166)&lt;3,"",AVERAGE($AA$1164:$AA$1166))</f>
        <v>0</v>
      </c>
      <c r="AC1166">
        <f>IF($E1166="","",MAX($C1166-$D1166,ABS($C1166-$E1165),ABS($D1166-$E1165)))</f>
        <v>0</v>
      </c>
      <c r="AD1166">
        <f>IF(COUNT($E$2:$E1166)&lt;15,"",AVERAGE($AC$1153:$AC$1166))</f>
        <v>0</v>
      </c>
      <c r="AE1166">
        <f>IF(OR($E1166="",$E1165=""),"",IF(AND(($C1166-$C1165)&gt;($D1165-$D1166),($C1166-$C1165)&gt;0),$C1166-$C1165,0))</f>
        <v>0</v>
      </c>
      <c r="AF1166">
        <f>IF(OR($E1166="",$E1165=""),"",IF(AND(($D1165-$D1166)&gt;($C1166-$C1165),($D1165-$D1166)&gt;0),$D1165-$D1166,0))</f>
        <v>0</v>
      </c>
      <c r="AG1166">
        <f>IF(COUNT($E$2:$E1166)&lt;15,"",IF(SUM($AC$1153:$AC$1166)=0,0,100*SUM($AE$1153:$AE$1166)/SUM($AC$1153:$AC$1166)))</f>
        <v>0</v>
      </c>
      <c r="AH1166">
        <f>IF(COUNT($E$2:$E1166)&lt;15,"",IF(SUM($AC$1153:$AC$1166)=0,0,100*SUM($AF$1153:$AF$1166)/SUM($AC$1153:$AC$1166)))</f>
        <v>0</v>
      </c>
      <c r="AI1166">
        <f>IF(OR(AG1166="",AH1166=""),"",IF((AG1166+AH1166)=0,0,100*ABS(AG1166-AH1166)/(AG1166+AH1166)))</f>
        <v>0</v>
      </c>
      <c r="AJ1166">
        <f>IF(COUNT($AI$1153:$AI$1166)&lt;14,"",AVERAGE($AI$1153:$AI$1166))</f>
        <v>0</v>
      </c>
      <c r="AK1166">
        <f>IF(COUNT($E$2:$E1166)&lt;20,"",AVERAGE($E$1147:$E$1166))</f>
        <v>0</v>
      </c>
      <c r="AL1166">
        <f>IF(COUNT($E$2:$E1166)&lt;20,"",STDEVP($E$1147:$E$1166))</f>
        <v>0</v>
      </c>
      <c r="AM1166">
        <f>IF(AK1166="","",AK1166+2*AL1166)</f>
        <v>0</v>
      </c>
      <c r="AN1166">
        <f>IF(AK1166="","",AK1166-2*AL1166)</f>
        <v>0</v>
      </c>
      <c r="AO1166">
        <f>IF(OR(AM1166="",AN1166="",AM1166=AN1166),"",($E1166-AN1166)/(AM1166-AN1166))</f>
        <v>0</v>
      </c>
      <c r="AP1166">
        <f>IF(OR(AM1166="",AK1166="",AK1166=0),"",(AM1166-AN1166)/AK1166)</f>
        <v>0</v>
      </c>
      <c r="AQ1166">
        <f>IF(COUNT($E$2:$E1166)&lt;20,"",MAX($C$1147:$C$1166))</f>
        <v>0</v>
      </c>
      <c r="AR1166">
        <f>IF(COUNT($E$2:$E1166)&lt;20,"",MIN($D$1147:$D$1166))</f>
        <v>0</v>
      </c>
      <c r="AS1166">
        <f>IF(OR(AQ1166="",AR1166=""),"",(AQ1166+AR1166)/2)</f>
        <v>0</v>
      </c>
      <c r="AT1166">
        <f>IF(COUNT($G$1147:$G$1166)&lt;20,"",STDEV($G$1147:$G$1166)*SQRT(252))</f>
        <v>0</v>
      </c>
      <c r="AU1166">
        <f>IF(COUNT($E$2:$E1166)&lt;9,"",(MAX($C$1158:$C$1166)+MIN($D$1158:$D$1166))/2)</f>
        <v>0</v>
      </c>
      <c r="AV1166">
        <f>IF(COUNT($E$2:$E1166)&lt;26,"",(MAX($C$1141:$C$1166)+MIN($D$1141:$D$1166))/2)</f>
        <v>0</v>
      </c>
      <c r="AW1166">
        <f>IF(OR(AU1166="",AV1166=""),"",(AU1166+AV1166)/2)</f>
        <v>0</v>
      </c>
      <c r="AX1166">
        <f>IF(COUNT($E$2:$E1166)&lt;52,"",(MAX($C$1115:$C$1166)+MIN($D$1115:$D$1166))/2)</f>
        <v>0</v>
      </c>
      <c r="AY1166">
        <f>IF(COUNT($E$2:$E1166)&lt;20,"",MAX($C$1067:$C$1166))</f>
        <v>0</v>
      </c>
      <c r="AZ1166">
        <f>IF(COUNT($E$2:$E1166)&lt;20,"",MIN($D$1067:$D$1166))</f>
        <v>0</v>
      </c>
      <c r="BA1166">
        <f>IF(COUNT($E$2:$E1166)&lt;20,"",SLOPE($E$1067:$E$1166,$F$1067:$F$1166))</f>
        <v>0</v>
      </c>
      <c r="BB1166">
        <f>IF(COUNT($E$2:$E1166)&lt;20,"",INTERCEPT($E$1067:$E$1166,$F$1067:$F$1166))</f>
        <v>0</v>
      </c>
      <c r="BC1166">
        <f>IF(OR(BA1166="",BB1166=""),"",BB1166+BA1166*F1166)</f>
        <v>0</v>
      </c>
      <c r="BD1166">
        <f>IF(COUNT($E$2:$E1166)&lt;20,"",STEYX($E$1067:$E$1166,$F$1067:$F$1166))</f>
        <v>0</v>
      </c>
      <c r="BE1166">
        <f>IF($E1166="","",IF(AND(COUNT($E$1167:$E$1170)&gt;=4,$C1166=MAX($C$1162:$C$1170)),$C1166,""))</f>
        <v>0</v>
      </c>
      <c r="BF1166">
        <f>IF($E1166="","",IF(AND(COUNT($E$1167:$E$1170)&gt;=4,$D1166=MIN($D$1162:$D$1170)),$D1166,""))</f>
        <v>0</v>
      </c>
      <c r="BG1166">
        <f>IF($A1166="","",$A1166-WEEKDAY($A1166,2)+1)</f>
        <v>0</v>
      </c>
      <c r="BH1166">
        <f>IF($A1166="","",IF($A1165="",1,IF(BG1166&lt;&gt;BG1165,1,0)))</f>
        <v>0</v>
      </c>
      <c r="BI1166">
        <f>IF($A1166="","",IF($A1167="",1,IF(BG1167&lt;&gt;BG1166,1,0)))</f>
        <v>0</v>
      </c>
      <c r="BJ1166">
        <f>IF($A1166="","",IF(BH1166=1,$B1166,BJ1165))</f>
        <v>0</v>
      </c>
      <c r="BK1166">
        <f>IF($A1166="","",IF(BH1166=1,$C1166,MAX($C1166,BK1165)))</f>
        <v>0</v>
      </c>
      <c r="BL1166">
        <f>IF($A1166="","",IF(BH1166=1,$D1166,MIN($D1166,BL1165)))</f>
        <v>0</v>
      </c>
      <c r="BM1166">
        <f>IF($A1166="","",IF(BI1166=1,F1166,""))</f>
        <v>0</v>
      </c>
      <c r="BN1166">
        <f>IF($A1166="","",DATE(YEAR($A1166),MONTH($A1166),1))</f>
        <v>0</v>
      </c>
      <c r="BO1166">
        <f>IF($A1166="","",IF($A1165="",1,IF(BN1166&lt;&gt;BN1165,1,0)))</f>
        <v>0</v>
      </c>
      <c r="BP1166">
        <f>IF($A1166="","",IF($A1167="",1,IF(BN1167&lt;&gt;BN1166,1,0)))</f>
        <v>0</v>
      </c>
      <c r="BQ1166">
        <f>IF($A1166="","",IF(BO1166=1,$B1166,BQ1165))</f>
        <v>0</v>
      </c>
      <c r="BR1166">
        <f>IF($A1166="","",IF(BO1166=1,$C1166,MAX($C1166,BR1165)))</f>
        <v>0</v>
      </c>
      <c r="BS1166">
        <f>IF($A1166="","",IF(BO1166=1,$D1166,MIN($D1166,BS1165)))</f>
        <v>0</v>
      </c>
      <c r="BT1166">
        <f>IF($A1166="","",IF(BP1166=1,F1166,""))</f>
        <v>0</v>
      </c>
    </row>
    <row r="1167" spans="1:72">
      <c r="A1167" s="27">
        <f>IF(Data!$A1167="","",Data!$A1167)</f>
        <v>0</v>
      </c>
      <c r="B1167">
        <f>IF(Data!$B1167="","",Data!$B1167)</f>
        <v>0</v>
      </c>
      <c r="C1167">
        <f>IF(Data!$C1167="","",Data!$C1167)</f>
        <v>0</v>
      </c>
      <c r="D1167">
        <f>IF(Data!$D1167="","",Data!$D1167)</f>
        <v>0</v>
      </c>
      <c r="E1167">
        <f>IF(Data!$E1167="","",Data!$E1167)</f>
        <v>0</v>
      </c>
      <c r="F1167">
        <f>IF($E1167="","",N(F1166)+1)</f>
        <v>0</v>
      </c>
      <c r="G1167">
        <f>IF(OR($E1167="",$E1166=""),"",LN($E1167/$E1166))</f>
        <v>0</v>
      </c>
      <c r="H1167">
        <f>IF($E1167="","",IF($E1166="",$E1167,$E1167*0.0952380952+H1166*0.9047619048))</f>
        <v>0</v>
      </c>
      <c r="I1167">
        <f>IF($E1167="","",IF($E1166="",$E1167,$E1167*0.0392156863+I1166*0.9607843137))</f>
        <v>0</v>
      </c>
      <c r="J1167">
        <f>IF($E1167="","",IF($E1166="",$E1167,$E1167*0.0198019802+J1166*0.9801980198))</f>
        <v>0</v>
      </c>
      <c r="K1167">
        <f>IF($E1167="","",IF($E1166="",$E1167,$E1167*0.0099502488+K1166*0.9900497512))</f>
        <v>0</v>
      </c>
      <c r="L1167">
        <f>IF(OR($E1167="",$E1166=""),"",MAX($E1167-$E1166,0))</f>
        <v>0</v>
      </c>
      <c r="M1167">
        <f>IF(OR($E1167="",$E1166=""),"",MAX($E1166-$E1167,0))</f>
        <v>0</v>
      </c>
      <c r="N1167">
        <f>IF(COUNT($E$2:$E1167)&lt;15,"",IF(AVERAGE($M$1154:$M$1167)=0,100,100-100/(1+AVERAGE($L$1154:$L$1167)/AVERAGE($M$1154:$M$1167))))</f>
        <v>0</v>
      </c>
      <c r="O1167">
        <f>IF($E1167="","",IF($E1166="",$E1167,$E1167*0.1538461538+O1166*0.8461538462))</f>
        <v>0</v>
      </c>
      <c r="P1167">
        <f>IF($E1167="","",IF($E1166="",$E1167,$E1167*0.0740740741+P1166*0.9259259259))</f>
        <v>0</v>
      </c>
      <c r="Q1167">
        <f>IF(OR(O1167="",P1167=""),"",O1167-P1167)</f>
        <v>0</v>
      </c>
      <c r="R1167">
        <f>IF(Q1167="","",IF(R1166="",Q1167,Q1167*0.2000000000+R1166*0.8000000000))</f>
        <v>0</v>
      </c>
      <c r="S1167">
        <f>IF(OR(Q1167="",R1167=""),"",Q1167-R1167)</f>
        <v>0</v>
      </c>
      <c r="T1167">
        <f>IF(COUNT($E$2:$E1167)&lt;14,"",MAX($C$1154:$C$1167))</f>
        <v>0</v>
      </c>
      <c r="U1167">
        <f>IF(COUNT($E$2:$E1167)&lt;14,"",MIN($D$1154:$D$1167))</f>
        <v>0</v>
      </c>
      <c r="V1167">
        <f>IF(OR(T1167="",U1167="",T1167=U1167),"",100*($E1167-U1167)/(T1167-U1167))</f>
        <v>0</v>
      </c>
      <c r="W1167">
        <f>IF(COUNT($V$1165:$V$1167)&lt;3,"",AVERAGE($V$1165:$V$1167))</f>
        <v>0</v>
      </c>
      <c r="X1167">
        <f>IF(COUNT($N$1154:$N$1167)&lt;14,"",MIN($N$1154:$N$1167))</f>
        <v>0</v>
      </c>
      <c r="Y1167">
        <f>IF(COUNT($N$1154:$N$1167)&lt;14,"",MAX($N$1154:$N$1167))</f>
        <v>0</v>
      </c>
      <c r="Z1167">
        <f>IF(OR(N1167="",X1167="",Y1167="",Y1167=X1167),"",100*(N1167-X1167)/(Y1167-X1167))</f>
        <v>0</v>
      </c>
      <c r="AA1167">
        <f>IF(COUNT($Z$1165:$Z$1167)&lt;3,"",AVERAGE($Z$1165:$Z$1167))</f>
        <v>0</v>
      </c>
      <c r="AB1167">
        <f>IF(COUNT($AA$1165:$AA$1167)&lt;3,"",AVERAGE($AA$1165:$AA$1167))</f>
        <v>0</v>
      </c>
      <c r="AC1167">
        <f>IF($E1167="","",MAX($C1167-$D1167,ABS($C1167-$E1166),ABS($D1167-$E1166)))</f>
        <v>0</v>
      </c>
      <c r="AD1167">
        <f>IF(COUNT($E$2:$E1167)&lt;15,"",AVERAGE($AC$1154:$AC$1167))</f>
        <v>0</v>
      </c>
      <c r="AE1167">
        <f>IF(OR($E1167="",$E1166=""),"",IF(AND(($C1167-$C1166)&gt;($D1166-$D1167),($C1167-$C1166)&gt;0),$C1167-$C1166,0))</f>
        <v>0</v>
      </c>
      <c r="AF1167">
        <f>IF(OR($E1167="",$E1166=""),"",IF(AND(($D1166-$D1167)&gt;($C1167-$C1166),($D1166-$D1167)&gt;0),$D1166-$D1167,0))</f>
        <v>0</v>
      </c>
      <c r="AG1167">
        <f>IF(COUNT($E$2:$E1167)&lt;15,"",IF(SUM($AC$1154:$AC$1167)=0,0,100*SUM($AE$1154:$AE$1167)/SUM($AC$1154:$AC$1167)))</f>
        <v>0</v>
      </c>
      <c r="AH1167">
        <f>IF(COUNT($E$2:$E1167)&lt;15,"",IF(SUM($AC$1154:$AC$1167)=0,0,100*SUM($AF$1154:$AF$1167)/SUM($AC$1154:$AC$1167)))</f>
        <v>0</v>
      </c>
      <c r="AI1167">
        <f>IF(OR(AG1167="",AH1167=""),"",IF((AG1167+AH1167)=0,0,100*ABS(AG1167-AH1167)/(AG1167+AH1167)))</f>
        <v>0</v>
      </c>
      <c r="AJ1167">
        <f>IF(COUNT($AI$1154:$AI$1167)&lt;14,"",AVERAGE($AI$1154:$AI$1167))</f>
        <v>0</v>
      </c>
      <c r="AK1167">
        <f>IF(COUNT($E$2:$E1167)&lt;20,"",AVERAGE($E$1148:$E$1167))</f>
        <v>0</v>
      </c>
      <c r="AL1167">
        <f>IF(COUNT($E$2:$E1167)&lt;20,"",STDEVP($E$1148:$E$1167))</f>
        <v>0</v>
      </c>
      <c r="AM1167">
        <f>IF(AK1167="","",AK1167+2*AL1167)</f>
        <v>0</v>
      </c>
      <c r="AN1167">
        <f>IF(AK1167="","",AK1167-2*AL1167)</f>
        <v>0</v>
      </c>
      <c r="AO1167">
        <f>IF(OR(AM1167="",AN1167="",AM1167=AN1167),"",($E1167-AN1167)/(AM1167-AN1167))</f>
        <v>0</v>
      </c>
      <c r="AP1167">
        <f>IF(OR(AM1167="",AK1167="",AK1167=0),"",(AM1167-AN1167)/AK1167)</f>
        <v>0</v>
      </c>
      <c r="AQ1167">
        <f>IF(COUNT($E$2:$E1167)&lt;20,"",MAX($C$1148:$C$1167))</f>
        <v>0</v>
      </c>
      <c r="AR1167">
        <f>IF(COUNT($E$2:$E1167)&lt;20,"",MIN($D$1148:$D$1167))</f>
        <v>0</v>
      </c>
      <c r="AS1167">
        <f>IF(OR(AQ1167="",AR1167=""),"",(AQ1167+AR1167)/2)</f>
        <v>0</v>
      </c>
      <c r="AT1167">
        <f>IF(COUNT($G$1148:$G$1167)&lt;20,"",STDEV($G$1148:$G$1167)*SQRT(252))</f>
        <v>0</v>
      </c>
      <c r="AU1167">
        <f>IF(COUNT($E$2:$E1167)&lt;9,"",(MAX($C$1159:$C$1167)+MIN($D$1159:$D$1167))/2)</f>
        <v>0</v>
      </c>
      <c r="AV1167">
        <f>IF(COUNT($E$2:$E1167)&lt;26,"",(MAX($C$1142:$C$1167)+MIN($D$1142:$D$1167))/2)</f>
        <v>0</v>
      </c>
      <c r="AW1167">
        <f>IF(OR(AU1167="",AV1167=""),"",(AU1167+AV1167)/2)</f>
        <v>0</v>
      </c>
      <c r="AX1167">
        <f>IF(COUNT($E$2:$E1167)&lt;52,"",(MAX($C$1116:$C$1167)+MIN($D$1116:$D$1167))/2)</f>
        <v>0</v>
      </c>
      <c r="AY1167">
        <f>IF(COUNT($E$2:$E1167)&lt;20,"",MAX($C$1068:$C$1167))</f>
        <v>0</v>
      </c>
      <c r="AZ1167">
        <f>IF(COUNT($E$2:$E1167)&lt;20,"",MIN($D$1068:$D$1167))</f>
        <v>0</v>
      </c>
      <c r="BA1167">
        <f>IF(COUNT($E$2:$E1167)&lt;20,"",SLOPE($E$1068:$E$1167,$F$1068:$F$1167))</f>
        <v>0</v>
      </c>
      <c r="BB1167">
        <f>IF(COUNT($E$2:$E1167)&lt;20,"",INTERCEPT($E$1068:$E$1167,$F$1068:$F$1167))</f>
        <v>0</v>
      </c>
      <c r="BC1167">
        <f>IF(OR(BA1167="",BB1167=""),"",BB1167+BA1167*F1167)</f>
        <v>0</v>
      </c>
      <c r="BD1167">
        <f>IF(COUNT($E$2:$E1167)&lt;20,"",STEYX($E$1068:$E$1167,$F$1068:$F$1167))</f>
        <v>0</v>
      </c>
      <c r="BE1167">
        <f>IF($E1167="","",IF(AND(COUNT($E$1168:$E$1171)&gt;=4,$C1167=MAX($C$1163:$C$1171)),$C1167,""))</f>
        <v>0</v>
      </c>
      <c r="BF1167">
        <f>IF($E1167="","",IF(AND(COUNT($E$1168:$E$1171)&gt;=4,$D1167=MIN($D$1163:$D$1171)),$D1167,""))</f>
        <v>0</v>
      </c>
      <c r="BG1167">
        <f>IF($A1167="","",$A1167-WEEKDAY($A1167,2)+1)</f>
        <v>0</v>
      </c>
      <c r="BH1167">
        <f>IF($A1167="","",IF($A1166="",1,IF(BG1167&lt;&gt;BG1166,1,0)))</f>
        <v>0</v>
      </c>
      <c r="BI1167">
        <f>IF($A1167="","",IF($A1168="",1,IF(BG1168&lt;&gt;BG1167,1,0)))</f>
        <v>0</v>
      </c>
      <c r="BJ1167">
        <f>IF($A1167="","",IF(BH1167=1,$B1167,BJ1166))</f>
        <v>0</v>
      </c>
      <c r="BK1167">
        <f>IF($A1167="","",IF(BH1167=1,$C1167,MAX($C1167,BK1166)))</f>
        <v>0</v>
      </c>
      <c r="BL1167">
        <f>IF($A1167="","",IF(BH1167=1,$D1167,MIN($D1167,BL1166)))</f>
        <v>0</v>
      </c>
      <c r="BM1167">
        <f>IF($A1167="","",IF(BI1167=1,F1167,""))</f>
        <v>0</v>
      </c>
      <c r="BN1167">
        <f>IF($A1167="","",DATE(YEAR($A1167),MONTH($A1167),1))</f>
        <v>0</v>
      </c>
      <c r="BO1167">
        <f>IF($A1167="","",IF($A1166="",1,IF(BN1167&lt;&gt;BN1166,1,0)))</f>
        <v>0</v>
      </c>
      <c r="BP1167">
        <f>IF($A1167="","",IF($A1168="",1,IF(BN1168&lt;&gt;BN1167,1,0)))</f>
        <v>0</v>
      </c>
      <c r="BQ1167">
        <f>IF($A1167="","",IF(BO1167=1,$B1167,BQ1166))</f>
        <v>0</v>
      </c>
      <c r="BR1167">
        <f>IF($A1167="","",IF(BO1167=1,$C1167,MAX($C1167,BR1166)))</f>
        <v>0</v>
      </c>
      <c r="BS1167">
        <f>IF($A1167="","",IF(BO1167=1,$D1167,MIN($D1167,BS1166)))</f>
        <v>0</v>
      </c>
      <c r="BT1167">
        <f>IF($A1167="","",IF(BP1167=1,F1167,""))</f>
        <v>0</v>
      </c>
    </row>
    <row r="1168" spans="1:72">
      <c r="A1168" s="27">
        <f>IF(Data!$A1168="","",Data!$A1168)</f>
        <v>0</v>
      </c>
      <c r="B1168">
        <f>IF(Data!$B1168="","",Data!$B1168)</f>
        <v>0</v>
      </c>
      <c r="C1168">
        <f>IF(Data!$C1168="","",Data!$C1168)</f>
        <v>0</v>
      </c>
      <c r="D1168">
        <f>IF(Data!$D1168="","",Data!$D1168)</f>
        <v>0</v>
      </c>
      <c r="E1168">
        <f>IF(Data!$E1168="","",Data!$E1168)</f>
        <v>0</v>
      </c>
      <c r="F1168">
        <f>IF($E1168="","",N(F1167)+1)</f>
        <v>0</v>
      </c>
      <c r="G1168">
        <f>IF(OR($E1168="",$E1167=""),"",LN($E1168/$E1167))</f>
        <v>0</v>
      </c>
      <c r="H1168">
        <f>IF($E1168="","",IF($E1167="",$E1168,$E1168*0.0952380952+H1167*0.9047619048))</f>
        <v>0</v>
      </c>
      <c r="I1168">
        <f>IF($E1168="","",IF($E1167="",$E1168,$E1168*0.0392156863+I1167*0.9607843137))</f>
        <v>0</v>
      </c>
      <c r="J1168">
        <f>IF($E1168="","",IF($E1167="",$E1168,$E1168*0.0198019802+J1167*0.9801980198))</f>
        <v>0</v>
      </c>
      <c r="K1168">
        <f>IF($E1168="","",IF($E1167="",$E1168,$E1168*0.0099502488+K1167*0.9900497512))</f>
        <v>0</v>
      </c>
      <c r="L1168">
        <f>IF(OR($E1168="",$E1167=""),"",MAX($E1168-$E1167,0))</f>
        <v>0</v>
      </c>
      <c r="M1168">
        <f>IF(OR($E1168="",$E1167=""),"",MAX($E1167-$E1168,0))</f>
        <v>0</v>
      </c>
      <c r="N1168">
        <f>IF(COUNT($E$2:$E1168)&lt;15,"",IF(AVERAGE($M$1155:$M$1168)=0,100,100-100/(1+AVERAGE($L$1155:$L$1168)/AVERAGE($M$1155:$M$1168))))</f>
        <v>0</v>
      </c>
      <c r="O1168">
        <f>IF($E1168="","",IF($E1167="",$E1168,$E1168*0.1538461538+O1167*0.8461538462))</f>
        <v>0</v>
      </c>
      <c r="P1168">
        <f>IF($E1168="","",IF($E1167="",$E1168,$E1168*0.0740740741+P1167*0.9259259259))</f>
        <v>0</v>
      </c>
      <c r="Q1168">
        <f>IF(OR(O1168="",P1168=""),"",O1168-P1168)</f>
        <v>0</v>
      </c>
      <c r="R1168">
        <f>IF(Q1168="","",IF(R1167="",Q1168,Q1168*0.2000000000+R1167*0.8000000000))</f>
        <v>0</v>
      </c>
      <c r="S1168">
        <f>IF(OR(Q1168="",R1168=""),"",Q1168-R1168)</f>
        <v>0</v>
      </c>
      <c r="T1168">
        <f>IF(COUNT($E$2:$E1168)&lt;14,"",MAX($C$1155:$C$1168))</f>
        <v>0</v>
      </c>
      <c r="U1168">
        <f>IF(COUNT($E$2:$E1168)&lt;14,"",MIN($D$1155:$D$1168))</f>
        <v>0</v>
      </c>
      <c r="V1168">
        <f>IF(OR(T1168="",U1168="",T1168=U1168),"",100*($E1168-U1168)/(T1168-U1168))</f>
        <v>0</v>
      </c>
      <c r="W1168">
        <f>IF(COUNT($V$1166:$V$1168)&lt;3,"",AVERAGE($V$1166:$V$1168))</f>
        <v>0</v>
      </c>
      <c r="X1168">
        <f>IF(COUNT($N$1155:$N$1168)&lt;14,"",MIN($N$1155:$N$1168))</f>
        <v>0</v>
      </c>
      <c r="Y1168">
        <f>IF(COUNT($N$1155:$N$1168)&lt;14,"",MAX($N$1155:$N$1168))</f>
        <v>0</v>
      </c>
      <c r="Z1168">
        <f>IF(OR(N1168="",X1168="",Y1168="",Y1168=X1168),"",100*(N1168-X1168)/(Y1168-X1168))</f>
        <v>0</v>
      </c>
      <c r="AA1168">
        <f>IF(COUNT($Z$1166:$Z$1168)&lt;3,"",AVERAGE($Z$1166:$Z$1168))</f>
        <v>0</v>
      </c>
      <c r="AB1168">
        <f>IF(COUNT($AA$1166:$AA$1168)&lt;3,"",AVERAGE($AA$1166:$AA$1168))</f>
        <v>0</v>
      </c>
      <c r="AC1168">
        <f>IF($E1168="","",MAX($C1168-$D1168,ABS($C1168-$E1167),ABS($D1168-$E1167)))</f>
        <v>0</v>
      </c>
      <c r="AD1168">
        <f>IF(COUNT($E$2:$E1168)&lt;15,"",AVERAGE($AC$1155:$AC$1168))</f>
        <v>0</v>
      </c>
      <c r="AE1168">
        <f>IF(OR($E1168="",$E1167=""),"",IF(AND(($C1168-$C1167)&gt;($D1167-$D1168),($C1168-$C1167)&gt;0),$C1168-$C1167,0))</f>
        <v>0</v>
      </c>
      <c r="AF1168">
        <f>IF(OR($E1168="",$E1167=""),"",IF(AND(($D1167-$D1168)&gt;($C1168-$C1167),($D1167-$D1168)&gt;0),$D1167-$D1168,0))</f>
        <v>0</v>
      </c>
      <c r="AG1168">
        <f>IF(COUNT($E$2:$E1168)&lt;15,"",IF(SUM($AC$1155:$AC$1168)=0,0,100*SUM($AE$1155:$AE$1168)/SUM($AC$1155:$AC$1168)))</f>
        <v>0</v>
      </c>
      <c r="AH1168">
        <f>IF(COUNT($E$2:$E1168)&lt;15,"",IF(SUM($AC$1155:$AC$1168)=0,0,100*SUM($AF$1155:$AF$1168)/SUM($AC$1155:$AC$1168)))</f>
        <v>0</v>
      </c>
      <c r="AI1168">
        <f>IF(OR(AG1168="",AH1168=""),"",IF((AG1168+AH1168)=0,0,100*ABS(AG1168-AH1168)/(AG1168+AH1168)))</f>
        <v>0</v>
      </c>
      <c r="AJ1168">
        <f>IF(COUNT($AI$1155:$AI$1168)&lt;14,"",AVERAGE($AI$1155:$AI$1168))</f>
        <v>0</v>
      </c>
      <c r="AK1168">
        <f>IF(COUNT($E$2:$E1168)&lt;20,"",AVERAGE($E$1149:$E$1168))</f>
        <v>0</v>
      </c>
      <c r="AL1168">
        <f>IF(COUNT($E$2:$E1168)&lt;20,"",STDEVP($E$1149:$E$1168))</f>
        <v>0</v>
      </c>
      <c r="AM1168">
        <f>IF(AK1168="","",AK1168+2*AL1168)</f>
        <v>0</v>
      </c>
      <c r="AN1168">
        <f>IF(AK1168="","",AK1168-2*AL1168)</f>
        <v>0</v>
      </c>
      <c r="AO1168">
        <f>IF(OR(AM1168="",AN1168="",AM1168=AN1168),"",($E1168-AN1168)/(AM1168-AN1168))</f>
        <v>0</v>
      </c>
      <c r="AP1168">
        <f>IF(OR(AM1168="",AK1168="",AK1168=0),"",(AM1168-AN1168)/AK1168)</f>
        <v>0</v>
      </c>
      <c r="AQ1168">
        <f>IF(COUNT($E$2:$E1168)&lt;20,"",MAX($C$1149:$C$1168))</f>
        <v>0</v>
      </c>
      <c r="AR1168">
        <f>IF(COUNT($E$2:$E1168)&lt;20,"",MIN($D$1149:$D$1168))</f>
        <v>0</v>
      </c>
      <c r="AS1168">
        <f>IF(OR(AQ1168="",AR1168=""),"",(AQ1168+AR1168)/2)</f>
        <v>0</v>
      </c>
      <c r="AT1168">
        <f>IF(COUNT($G$1149:$G$1168)&lt;20,"",STDEV($G$1149:$G$1168)*SQRT(252))</f>
        <v>0</v>
      </c>
      <c r="AU1168">
        <f>IF(COUNT($E$2:$E1168)&lt;9,"",(MAX($C$1160:$C$1168)+MIN($D$1160:$D$1168))/2)</f>
        <v>0</v>
      </c>
      <c r="AV1168">
        <f>IF(COUNT($E$2:$E1168)&lt;26,"",(MAX($C$1143:$C$1168)+MIN($D$1143:$D$1168))/2)</f>
        <v>0</v>
      </c>
      <c r="AW1168">
        <f>IF(OR(AU1168="",AV1168=""),"",(AU1168+AV1168)/2)</f>
        <v>0</v>
      </c>
      <c r="AX1168">
        <f>IF(COUNT($E$2:$E1168)&lt;52,"",(MAX($C$1117:$C$1168)+MIN($D$1117:$D$1168))/2)</f>
        <v>0</v>
      </c>
      <c r="AY1168">
        <f>IF(COUNT($E$2:$E1168)&lt;20,"",MAX($C$1069:$C$1168))</f>
        <v>0</v>
      </c>
      <c r="AZ1168">
        <f>IF(COUNT($E$2:$E1168)&lt;20,"",MIN($D$1069:$D$1168))</f>
        <v>0</v>
      </c>
      <c r="BA1168">
        <f>IF(COUNT($E$2:$E1168)&lt;20,"",SLOPE($E$1069:$E$1168,$F$1069:$F$1168))</f>
        <v>0</v>
      </c>
      <c r="BB1168">
        <f>IF(COUNT($E$2:$E1168)&lt;20,"",INTERCEPT($E$1069:$E$1168,$F$1069:$F$1168))</f>
        <v>0</v>
      </c>
      <c r="BC1168">
        <f>IF(OR(BA1168="",BB1168=""),"",BB1168+BA1168*F1168)</f>
        <v>0</v>
      </c>
      <c r="BD1168">
        <f>IF(COUNT($E$2:$E1168)&lt;20,"",STEYX($E$1069:$E$1168,$F$1069:$F$1168))</f>
        <v>0</v>
      </c>
      <c r="BE1168">
        <f>IF($E1168="","",IF(AND(COUNT($E$1169:$E$1172)&gt;=4,$C1168=MAX($C$1164:$C$1172)),$C1168,""))</f>
        <v>0</v>
      </c>
      <c r="BF1168">
        <f>IF($E1168="","",IF(AND(COUNT($E$1169:$E$1172)&gt;=4,$D1168=MIN($D$1164:$D$1172)),$D1168,""))</f>
        <v>0</v>
      </c>
      <c r="BG1168">
        <f>IF($A1168="","",$A1168-WEEKDAY($A1168,2)+1)</f>
        <v>0</v>
      </c>
      <c r="BH1168">
        <f>IF($A1168="","",IF($A1167="",1,IF(BG1168&lt;&gt;BG1167,1,0)))</f>
        <v>0</v>
      </c>
      <c r="BI1168">
        <f>IF($A1168="","",IF($A1169="",1,IF(BG1169&lt;&gt;BG1168,1,0)))</f>
        <v>0</v>
      </c>
      <c r="BJ1168">
        <f>IF($A1168="","",IF(BH1168=1,$B1168,BJ1167))</f>
        <v>0</v>
      </c>
      <c r="BK1168">
        <f>IF($A1168="","",IF(BH1168=1,$C1168,MAX($C1168,BK1167)))</f>
        <v>0</v>
      </c>
      <c r="BL1168">
        <f>IF($A1168="","",IF(BH1168=1,$D1168,MIN($D1168,BL1167)))</f>
        <v>0</v>
      </c>
      <c r="BM1168">
        <f>IF($A1168="","",IF(BI1168=1,F1168,""))</f>
        <v>0</v>
      </c>
      <c r="BN1168">
        <f>IF($A1168="","",DATE(YEAR($A1168),MONTH($A1168),1))</f>
        <v>0</v>
      </c>
      <c r="BO1168">
        <f>IF($A1168="","",IF($A1167="",1,IF(BN1168&lt;&gt;BN1167,1,0)))</f>
        <v>0</v>
      </c>
      <c r="BP1168">
        <f>IF($A1168="","",IF($A1169="",1,IF(BN1169&lt;&gt;BN1168,1,0)))</f>
        <v>0</v>
      </c>
      <c r="BQ1168">
        <f>IF($A1168="","",IF(BO1168=1,$B1168,BQ1167))</f>
        <v>0</v>
      </c>
      <c r="BR1168">
        <f>IF($A1168="","",IF(BO1168=1,$C1168,MAX($C1168,BR1167)))</f>
        <v>0</v>
      </c>
      <c r="BS1168">
        <f>IF($A1168="","",IF(BO1168=1,$D1168,MIN($D1168,BS1167)))</f>
        <v>0</v>
      </c>
      <c r="BT1168">
        <f>IF($A1168="","",IF(BP1168=1,F1168,""))</f>
        <v>0</v>
      </c>
    </row>
    <row r="1169" spans="1:72">
      <c r="A1169" s="27">
        <f>IF(Data!$A1169="","",Data!$A1169)</f>
        <v>0</v>
      </c>
      <c r="B1169">
        <f>IF(Data!$B1169="","",Data!$B1169)</f>
        <v>0</v>
      </c>
      <c r="C1169">
        <f>IF(Data!$C1169="","",Data!$C1169)</f>
        <v>0</v>
      </c>
      <c r="D1169">
        <f>IF(Data!$D1169="","",Data!$D1169)</f>
        <v>0</v>
      </c>
      <c r="E1169">
        <f>IF(Data!$E1169="","",Data!$E1169)</f>
        <v>0</v>
      </c>
      <c r="F1169">
        <f>IF($E1169="","",N(F1168)+1)</f>
        <v>0</v>
      </c>
      <c r="G1169">
        <f>IF(OR($E1169="",$E1168=""),"",LN($E1169/$E1168))</f>
        <v>0</v>
      </c>
      <c r="H1169">
        <f>IF($E1169="","",IF($E1168="",$E1169,$E1169*0.0952380952+H1168*0.9047619048))</f>
        <v>0</v>
      </c>
      <c r="I1169">
        <f>IF($E1169="","",IF($E1168="",$E1169,$E1169*0.0392156863+I1168*0.9607843137))</f>
        <v>0</v>
      </c>
      <c r="J1169">
        <f>IF($E1169="","",IF($E1168="",$E1169,$E1169*0.0198019802+J1168*0.9801980198))</f>
        <v>0</v>
      </c>
      <c r="K1169">
        <f>IF($E1169="","",IF($E1168="",$E1169,$E1169*0.0099502488+K1168*0.9900497512))</f>
        <v>0</v>
      </c>
      <c r="L1169">
        <f>IF(OR($E1169="",$E1168=""),"",MAX($E1169-$E1168,0))</f>
        <v>0</v>
      </c>
      <c r="M1169">
        <f>IF(OR($E1169="",$E1168=""),"",MAX($E1168-$E1169,0))</f>
        <v>0</v>
      </c>
      <c r="N1169">
        <f>IF(COUNT($E$2:$E1169)&lt;15,"",IF(AVERAGE($M$1156:$M$1169)=0,100,100-100/(1+AVERAGE($L$1156:$L$1169)/AVERAGE($M$1156:$M$1169))))</f>
        <v>0</v>
      </c>
      <c r="O1169">
        <f>IF($E1169="","",IF($E1168="",$E1169,$E1169*0.1538461538+O1168*0.8461538462))</f>
        <v>0</v>
      </c>
      <c r="P1169">
        <f>IF($E1169="","",IF($E1168="",$E1169,$E1169*0.0740740741+P1168*0.9259259259))</f>
        <v>0</v>
      </c>
      <c r="Q1169">
        <f>IF(OR(O1169="",P1169=""),"",O1169-P1169)</f>
        <v>0</v>
      </c>
      <c r="R1169">
        <f>IF(Q1169="","",IF(R1168="",Q1169,Q1169*0.2000000000+R1168*0.8000000000))</f>
        <v>0</v>
      </c>
      <c r="S1169">
        <f>IF(OR(Q1169="",R1169=""),"",Q1169-R1169)</f>
        <v>0</v>
      </c>
      <c r="T1169">
        <f>IF(COUNT($E$2:$E1169)&lt;14,"",MAX($C$1156:$C$1169))</f>
        <v>0</v>
      </c>
      <c r="U1169">
        <f>IF(COUNT($E$2:$E1169)&lt;14,"",MIN($D$1156:$D$1169))</f>
        <v>0</v>
      </c>
      <c r="V1169">
        <f>IF(OR(T1169="",U1169="",T1169=U1169),"",100*($E1169-U1169)/(T1169-U1169))</f>
        <v>0</v>
      </c>
      <c r="W1169">
        <f>IF(COUNT($V$1167:$V$1169)&lt;3,"",AVERAGE($V$1167:$V$1169))</f>
        <v>0</v>
      </c>
      <c r="X1169">
        <f>IF(COUNT($N$1156:$N$1169)&lt;14,"",MIN($N$1156:$N$1169))</f>
        <v>0</v>
      </c>
      <c r="Y1169">
        <f>IF(COUNT($N$1156:$N$1169)&lt;14,"",MAX($N$1156:$N$1169))</f>
        <v>0</v>
      </c>
      <c r="Z1169">
        <f>IF(OR(N1169="",X1169="",Y1169="",Y1169=X1169),"",100*(N1169-X1169)/(Y1169-X1169))</f>
        <v>0</v>
      </c>
      <c r="AA1169">
        <f>IF(COUNT($Z$1167:$Z$1169)&lt;3,"",AVERAGE($Z$1167:$Z$1169))</f>
        <v>0</v>
      </c>
      <c r="AB1169">
        <f>IF(COUNT($AA$1167:$AA$1169)&lt;3,"",AVERAGE($AA$1167:$AA$1169))</f>
        <v>0</v>
      </c>
      <c r="AC1169">
        <f>IF($E1169="","",MAX($C1169-$D1169,ABS($C1169-$E1168),ABS($D1169-$E1168)))</f>
        <v>0</v>
      </c>
      <c r="AD1169">
        <f>IF(COUNT($E$2:$E1169)&lt;15,"",AVERAGE($AC$1156:$AC$1169))</f>
        <v>0</v>
      </c>
      <c r="AE1169">
        <f>IF(OR($E1169="",$E1168=""),"",IF(AND(($C1169-$C1168)&gt;($D1168-$D1169),($C1169-$C1168)&gt;0),$C1169-$C1168,0))</f>
        <v>0</v>
      </c>
      <c r="AF1169">
        <f>IF(OR($E1169="",$E1168=""),"",IF(AND(($D1168-$D1169)&gt;($C1169-$C1168),($D1168-$D1169)&gt;0),$D1168-$D1169,0))</f>
        <v>0</v>
      </c>
      <c r="AG1169">
        <f>IF(COUNT($E$2:$E1169)&lt;15,"",IF(SUM($AC$1156:$AC$1169)=0,0,100*SUM($AE$1156:$AE$1169)/SUM($AC$1156:$AC$1169)))</f>
        <v>0</v>
      </c>
      <c r="AH1169">
        <f>IF(COUNT($E$2:$E1169)&lt;15,"",IF(SUM($AC$1156:$AC$1169)=0,0,100*SUM($AF$1156:$AF$1169)/SUM($AC$1156:$AC$1169)))</f>
        <v>0</v>
      </c>
      <c r="AI1169">
        <f>IF(OR(AG1169="",AH1169=""),"",IF((AG1169+AH1169)=0,0,100*ABS(AG1169-AH1169)/(AG1169+AH1169)))</f>
        <v>0</v>
      </c>
      <c r="AJ1169">
        <f>IF(COUNT($AI$1156:$AI$1169)&lt;14,"",AVERAGE($AI$1156:$AI$1169))</f>
        <v>0</v>
      </c>
      <c r="AK1169">
        <f>IF(COUNT($E$2:$E1169)&lt;20,"",AVERAGE($E$1150:$E$1169))</f>
        <v>0</v>
      </c>
      <c r="AL1169">
        <f>IF(COUNT($E$2:$E1169)&lt;20,"",STDEVP($E$1150:$E$1169))</f>
        <v>0</v>
      </c>
      <c r="AM1169">
        <f>IF(AK1169="","",AK1169+2*AL1169)</f>
        <v>0</v>
      </c>
      <c r="AN1169">
        <f>IF(AK1169="","",AK1169-2*AL1169)</f>
        <v>0</v>
      </c>
      <c r="AO1169">
        <f>IF(OR(AM1169="",AN1169="",AM1169=AN1169),"",($E1169-AN1169)/(AM1169-AN1169))</f>
        <v>0</v>
      </c>
      <c r="AP1169">
        <f>IF(OR(AM1169="",AK1169="",AK1169=0),"",(AM1169-AN1169)/AK1169)</f>
        <v>0</v>
      </c>
      <c r="AQ1169">
        <f>IF(COUNT($E$2:$E1169)&lt;20,"",MAX($C$1150:$C$1169))</f>
        <v>0</v>
      </c>
      <c r="AR1169">
        <f>IF(COUNT($E$2:$E1169)&lt;20,"",MIN($D$1150:$D$1169))</f>
        <v>0</v>
      </c>
      <c r="AS1169">
        <f>IF(OR(AQ1169="",AR1169=""),"",(AQ1169+AR1169)/2)</f>
        <v>0</v>
      </c>
      <c r="AT1169">
        <f>IF(COUNT($G$1150:$G$1169)&lt;20,"",STDEV($G$1150:$G$1169)*SQRT(252))</f>
        <v>0</v>
      </c>
      <c r="AU1169">
        <f>IF(COUNT($E$2:$E1169)&lt;9,"",(MAX($C$1161:$C$1169)+MIN($D$1161:$D$1169))/2)</f>
        <v>0</v>
      </c>
      <c r="AV1169">
        <f>IF(COUNT($E$2:$E1169)&lt;26,"",(MAX($C$1144:$C$1169)+MIN($D$1144:$D$1169))/2)</f>
        <v>0</v>
      </c>
      <c r="AW1169">
        <f>IF(OR(AU1169="",AV1169=""),"",(AU1169+AV1169)/2)</f>
        <v>0</v>
      </c>
      <c r="AX1169">
        <f>IF(COUNT($E$2:$E1169)&lt;52,"",(MAX($C$1118:$C$1169)+MIN($D$1118:$D$1169))/2)</f>
        <v>0</v>
      </c>
      <c r="AY1169">
        <f>IF(COUNT($E$2:$E1169)&lt;20,"",MAX($C$1070:$C$1169))</f>
        <v>0</v>
      </c>
      <c r="AZ1169">
        <f>IF(COUNT($E$2:$E1169)&lt;20,"",MIN($D$1070:$D$1169))</f>
        <v>0</v>
      </c>
      <c r="BA1169">
        <f>IF(COUNT($E$2:$E1169)&lt;20,"",SLOPE($E$1070:$E$1169,$F$1070:$F$1169))</f>
        <v>0</v>
      </c>
      <c r="BB1169">
        <f>IF(COUNT($E$2:$E1169)&lt;20,"",INTERCEPT($E$1070:$E$1169,$F$1070:$F$1169))</f>
        <v>0</v>
      </c>
      <c r="BC1169">
        <f>IF(OR(BA1169="",BB1169=""),"",BB1169+BA1169*F1169)</f>
        <v>0</v>
      </c>
      <c r="BD1169">
        <f>IF(COUNT($E$2:$E1169)&lt;20,"",STEYX($E$1070:$E$1169,$F$1070:$F$1169))</f>
        <v>0</v>
      </c>
      <c r="BE1169">
        <f>IF($E1169="","",IF(AND(COUNT($E$1170:$E$1173)&gt;=4,$C1169=MAX($C$1165:$C$1173)),$C1169,""))</f>
        <v>0</v>
      </c>
      <c r="BF1169">
        <f>IF($E1169="","",IF(AND(COUNT($E$1170:$E$1173)&gt;=4,$D1169=MIN($D$1165:$D$1173)),$D1169,""))</f>
        <v>0</v>
      </c>
      <c r="BG1169">
        <f>IF($A1169="","",$A1169-WEEKDAY($A1169,2)+1)</f>
        <v>0</v>
      </c>
      <c r="BH1169">
        <f>IF($A1169="","",IF($A1168="",1,IF(BG1169&lt;&gt;BG1168,1,0)))</f>
        <v>0</v>
      </c>
      <c r="BI1169">
        <f>IF($A1169="","",IF($A1170="",1,IF(BG1170&lt;&gt;BG1169,1,0)))</f>
        <v>0</v>
      </c>
      <c r="BJ1169">
        <f>IF($A1169="","",IF(BH1169=1,$B1169,BJ1168))</f>
        <v>0</v>
      </c>
      <c r="BK1169">
        <f>IF($A1169="","",IF(BH1169=1,$C1169,MAX($C1169,BK1168)))</f>
        <v>0</v>
      </c>
      <c r="BL1169">
        <f>IF($A1169="","",IF(BH1169=1,$D1169,MIN($D1169,BL1168)))</f>
        <v>0</v>
      </c>
      <c r="BM1169">
        <f>IF($A1169="","",IF(BI1169=1,F1169,""))</f>
        <v>0</v>
      </c>
      <c r="BN1169">
        <f>IF($A1169="","",DATE(YEAR($A1169),MONTH($A1169),1))</f>
        <v>0</v>
      </c>
      <c r="BO1169">
        <f>IF($A1169="","",IF($A1168="",1,IF(BN1169&lt;&gt;BN1168,1,0)))</f>
        <v>0</v>
      </c>
      <c r="BP1169">
        <f>IF($A1169="","",IF($A1170="",1,IF(BN1170&lt;&gt;BN1169,1,0)))</f>
        <v>0</v>
      </c>
      <c r="BQ1169">
        <f>IF($A1169="","",IF(BO1169=1,$B1169,BQ1168))</f>
        <v>0</v>
      </c>
      <c r="BR1169">
        <f>IF($A1169="","",IF(BO1169=1,$C1169,MAX($C1169,BR1168)))</f>
        <v>0</v>
      </c>
      <c r="BS1169">
        <f>IF($A1169="","",IF(BO1169=1,$D1169,MIN($D1169,BS1168)))</f>
        <v>0</v>
      </c>
      <c r="BT1169">
        <f>IF($A1169="","",IF(BP1169=1,F1169,""))</f>
        <v>0</v>
      </c>
    </row>
    <row r="1170" spans="1:72">
      <c r="A1170" s="27">
        <f>IF(Data!$A1170="","",Data!$A1170)</f>
        <v>0</v>
      </c>
      <c r="B1170">
        <f>IF(Data!$B1170="","",Data!$B1170)</f>
        <v>0</v>
      </c>
      <c r="C1170">
        <f>IF(Data!$C1170="","",Data!$C1170)</f>
        <v>0</v>
      </c>
      <c r="D1170">
        <f>IF(Data!$D1170="","",Data!$D1170)</f>
        <v>0</v>
      </c>
      <c r="E1170">
        <f>IF(Data!$E1170="","",Data!$E1170)</f>
        <v>0</v>
      </c>
      <c r="F1170">
        <f>IF($E1170="","",N(F1169)+1)</f>
        <v>0</v>
      </c>
      <c r="G1170">
        <f>IF(OR($E1170="",$E1169=""),"",LN($E1170/$E1169))</f>
        <v>0</v>
      </c>
      <c r="H1170">
        <f>IF($E1170="","",IF($E1169="",$E1170,$E1170*0.0952380952+H1169*0.9047619048))</f>
        <v>0</v>
      </c>
      <c r="I1170">
        <f>IF($E1170="","",IF($E1169="",$E1170,$E1170*0.0392156863+I1169*0.9607843137))</f>
        <v>0</v>
      </c>
      <c r="J1170">
        <f>IF($E1170="","",IF($E1169="",$E1170,$E1170*0.0198019802+J1169*0.9801980198))</f>
        <v>0</v>
      </c>
      <c r="K1170">
        <f>IF($E1170="","",IF($E1169="",$E1170,$E1170*0.0099502488+K1169*0.9900497512))</f>
        <v>0</v>
      </c>
      <c r="L1170">
        <f>IF(OR($E1170="",$E1169=""),"",MAX($E1170-$E1169,0))</f>
        <v>0</v>
      </c>
      <c r="M1170">
        <f>IF(OR($E1170="",$E1169=""),"",MAX($E1169-$E1170,0))</f>
        <v>0</v>
      </c>
      <c r="N1170">
        <f>IF(COUNT($E$2:$E1170)&lt;15,"",IF(AVERAGE($M$1157:$M$1170)=0,100,100-100/(1+AVERAGE($L$1157:$L$1170)/AVERAGE($M$1157:$M$1170))))</f>
        <v>0</v>
      </c>
      <c r="O1170">
        <f>IF($E1170="","",IF($E1169="",$E1170,$E1170*0.1538461538+O1169*0.8461538462))</f>
        <v>0</v>
      </c>
      <c r="P1170">
        <f>IF($E1170="","",IF($E1169="",$E1170,$E1170*0.0740740741+P1169*0.9259259259))</f>
        <v>0</v>
      </c>
      <c r="Q1170">
        <f>IF(OR(O1170="",P1170=""),"",O1170-P1170)</f>
        <v>0</v>
      </c>
      <c r="R1170">
        <f>IF(Q1170="","",IF(R1169="",Q1170,Q1170*0.2000000000+R1169*0.8000000000))</f>
        <v>0</v>
      </c>
      <c r="S1170">
        <f>IF(OR(Q1170="",R1170=""),"",Q1170-R1170)</f>
        <v>0</v>
      </c>
      <c r="T1170">
        <f>IF(COUNT($E$2:$E1170)&lt;14,"",MAX($C$1157:$C$1170))</f>
        <v>0</v>
      </c>
      <c r="U1170">
        <f>IF(COUNT($E$2:$E1170)&lt;14,"",MIN($D$1157:$D$1170))</f>
        <v>0</v>
      </c>
      <c r="V1170">
        <f>IF(OR(T1170="",U1170="",T1170=U1170),"",100*($E1170-U1170)/(T1170-U1170))</f>
        <v>0</v>
      </c>
      <c r="W1170">
        <f>IF(COUNT($V$1168:$V$1170)&lt;3,"",AVERAGE($V$1168:$V$1170))</f>
        <v>0</v>
      </c>
      <c r="X1170">
        <f>IF(COUNT($N$1157:$N$1170)&lt;14,"",MIN($N$1157:$N$1170))</f>
        <v>0</v>
      </c>
      <c r="Y1170">
        <f>IF(COUNT($N$1157:$N$1170)&lt;14,"",MAX($N$1157:$N$1170))</f>
        <v>0</v>
      </c>
      <c r="Z1170">
        <f>IF(OR(N1170="",X1170="",Y1170="",Y1170=X1170),"",100*(N1170-X1170)/(Y1170-X1170))</f>
        <v>0</v>
      </c>
      <c r="AA1170">
        <f>IF(COUNT($Z$1168:$Z$1170)&lt;3,"",AVERAGE($Z$1168:$Z$1170))</f>
        <v>0</v>
      </c>
      <c r="AB1170">
        <f>IF(COUNT($AA$1168:$AA$1170)&lt;3,"",AVERAGE($AA$1168:$AA$1170))</f>
        <v>0</v>
      </c>
      <c r="AC1170">
        <f>IF($E1170="","",MAX($C1170-$D1170,ABS($C1170-$E1169),ABS($D1170-$E1169)))</f>
        <v>0</v>
      </c>
      <c r="AD1170">
        <f>IF(COUNT($E$2:$E1170)&lt;15,"",AVERAGE($AC$1157:$AC$1170))</f>
        <v>0</v>
      </c>
      <c r="AE1170">
        <f>IF(OR($E1170="",$E1169=""),"",IF(AND(($C1170-$C1169)&gt;($D1169-$D1170),($C1170-$C1169)&gt;0),$C1170-$C1169,0))</f>
        <v>0</v>
      </c>
      <c r="AF1170">
        <f>IF(OR($E1170="",$E1169=""),"",IF(AND(($D1169-$D1170)&gt;($C1170-$C1169),($D1169-$D1170)&gt;0),$D1169-$D1170,0))</f>
        <v>0</v>
      </c>
      <c r="AG1170">
        <f>IF(COUNT($E$2:$E1170)&lt;15,"",IF(SUM($AC$1157:$AC$1170)=0,0,100*SUM($AE$1157:$AE$1170)/SUM($AC$1157:$AC$1170)))</f>
        <v>0</v>
      </c>
      <c r="AH1170">
        <f>IF(COUNT($E$2:$E1170)&lt;15,"",IF(SUM($AC$1157:$AC$1170)=0,0,100*SUM($AF$1157:$AF$1170)/SUM($AC$1157:$AC$1170)))</f>
        <v>0</v>
      </c>
      <c r="AI1170">
        <f>IF(OR(AG1170="",AH1170=""),"",IF((AG1170+AH1170)=0,0,100*ABS(AG1170-AH1170)/(AG1170+AH1170)))</f>
        <v>0</v>
      </c>
      <c r="AJ1170">
        <f>IF(COUNT($AI$1157:$AI$1170)&lt;14,"",AVERAGE($AI$1157:$AI$1170))</f>
        <v>0</v>
      </c>
      <c r="AK1170">
        <f>IF(COUNT($E$2:$E1170)&lt;20,"",AVERAGE($E$1151:$E$1170))</f>
        <v>0</v>
      </c>
      <c r="AL1170">
        <f>IF(COUNT($E$2:$E1170)&lt;20,"",STDEVP($E$1151:$E$1170))</f>
        <v>0</v>
      </c>
      <c r="AM1170">
        <f>IF(AK1170="","",AK1170+2*AL1170)</f>
        <v>0</v>
      </c>
      <c r="AN1170">
        <f>IF(AK1170="","",AK1170-2*AL1170)</f>
        <v>0</v>
      </c>
      <c r="AO1170">
        <f>IF(OR(AM1170="",AN1170="",AM1170=AN1170),"",($E1170-AN1170)/(AM1170-AN1170))</f>
        <v>0</v>
      </c>
      <c r="AP1170">
        <f>IF(OR(AM1170="",AK1170="",AK1170=0),"",(AM1170-AN1170)/AK1170)</f>
        <v>0</v>
      </c>
      <c r="AQ1170">
        <f>IF(COUNT($E$2:$E1170)&lt;20,"",MAX($C$1151:$C$1170))</f>
        <v>0</v>
      </c>
      <c r="AR1170">
        <f>IF(COUNT($E$2:$E1170)&lt;20,"",MIN($D$1151:$D$1170))</f>
        <v>0</v>
      </c>
      <c r="AS1170">
        <f>IF(OR(AQ1170="",AR1170=""),"",(AQ1170+AR1170)/2)</f>
        <v>0</v>
      </c>
      <c r="AT1170">
        <f>IF(COUNT($G$1151:$G$1170)&lt;20,"",STDEV($G$1151:$G$1170)*SQRT(252))</f>
        <v>0</v>
      </c>
      <c r="AU1170">
        <f>IF(COUNT($E$2:$E1170)&lt;9,"",(MAX($C$1162:$C$1170)+MIN($D$1162:$D$1170))/2)</f>
        <v>0</v>
      </c>
      <c r="AV1170">
        <f>IF(COUNT($E$2:$E1170)&lt;26,"",(MAX($C$1145:$C$1170)+MIN($D$1145:$D$1170))/2)</f>
        <v>0</v>
      </c>
      <c r="AW1170">
        <f>IF(OR(AU1170="",AV1170=""),"",(AU1170+AV1170)/2)</f>
        <v>0</v>
      </c>
      <c r="AX1170">
        <f>IF(COUNT($E$2:$E1170)&lt;52,"",(MAX($C$1119:$C$1170)+MIN($D$1119:$D$1170))/2)</f>
        <v>0</v>
      </c>
      <c r="AY1170">
        <f>IF(COUNT($E$2:$E1170)&lt;20,"",MAX($C$1071:$C$1170))</f>
        <v>0</v>
      </c>
      <c r="AZ1170">
        <f>IF(COUNT($E$2:$E1170)&lt;20,"",MIN($D$1071:$D$1170))</f>
        <v>0</v>
      </c>
      <c r="BA1170">
        <f>IF(COUNT($E$2:$E1170)&lt;20,"",SLOPE($E$1071:$E$1170,$F$1071:$F$1170))</f>
        <v>0</v>
      </c>
      <c r="BB1170">
        <f>IF(COUNT($E$2:$E1170)&lt;20,"",INTERCEPT($E$1071:$E$1170,$F$1071:$F$1170))</f>
        <v>0</v>
      </c>
      <c r="BC1170">
        <f>IF(OR(BA1170="",BB1170=""),"",BB1170+BA1170*F1170)</f>
        <v>0</v>
      </c>
      <c r="BD1170">
        <f>IF(COUNT($E$2:$E1170)&lt;20,"",STEYX($E$1071:$E$1170,$F$1071:$F$1170))</f>
        <v>0</v>
      </c>
      <c r="BE1170">
        <f>IF($E1170="","",IF(AND(COUNT($E$1171:$E$1174)&gt;=4,$C1170=MAX($C$1166:$C$1174)),$C1170,""))</f>
        <v>0</v>
      </c>
      <c r="BF1170">
        <f>IF($E1170="","",IF(AND(COUNT($E$1171:$E$1174)&gt;=4,$D1170=MIN($D$1166:$D$1174)),$D1170,""))</f>
        <v>0</v>
      </c>
      <c r="BG1170">
        <f>IF($A1170="","",$A1170-WEEKDAY($A1170,2)+1)</f>
        <v>0</v>
      </c>
      <c r="BH1170">
        <f>IF($A1170="","",IF($A1169="",1,IF(BG1170&lt;&gt;BG1169,1,0)))</f>
        <v>0</v>
      </c>
      <c r="BI1170">
        <f>IF($A1170="","",IF($A1171="",1,IF(BG1171&lt;&gt;BG1170,1,0)))</f>
        <v>0</v>
      </c>
      <c r="BJ1170">
        <f>IF($A1170="","",IF(BH1170=1,$B1170,BJ1169))</f>
        <v>0</v>
      </c>
      <c r="BK1170">
        <f>IF($A1170="","",IF(BH1170=1,$C1170,MAX($C1170,BK1169)))</f>
        <v>0</v>
      </c>
      <c r="BL1170">
        <f>IF($A1170="","",IF(BH1170=1,$D1170,MIN($D1170,BL1169)))</f>
        <v>0</v>
      </c>
      <c r="BM1170">
        <f>IF($A1170="","",IF(BI1170=1,F1170,""))</f>
        <v>0</v>
      </c>
      <c r="BN1170">
        <f>IF($A1170="","",DATE(YEAR($A1170),MONTH($A1170),1))</f>
        <v>0</v>
      </c>
      <c r="BO1170">
        <f>IF($A1170="","",IF($A1169="",1,IF(BN1170&lt;&gt;BN1169,1,0)))</f>
        <v>0</v>
      </c>
      <c r="BP1170">
        <f>IF($A1170="","",IF($A1171="",1,IF(BN1171&lt;&gt;BN1170,1,0)))</f>
        <v>0</v>
      </c>
      <c r="BQ1170">
        <f>IF($A1170="","",IF(BO1170=1,$B1170,BQ1169))</f>
        <v>0</v>
      </c>
      <c r="BR1170">
        <f>IF($A1170="","",IF(BO1170=1,$C1170,MAX($C1170,BR1169)))</f>
        <v>0</v>
      </c>
      <c r="BS1170">
        <f>IF($A1170="","",IF(BO1170=1,$D1170,MIN($D1170,BS1169)))</f>
        <v>0</v>
      </c>
      <c r="BT1170">
        <f>IF($A1170="","",IF(BP1170=1,F1170,""))</f>
        <v>0</v>
      </c>
    </row>
    <row r="1171" spans="1:72">
      <c r="A1171" s="27">
        <f>IF(Data!$A1171="","",Data!$A1171)</f>
        <v>0</v>
      </c>
      <c r="B1171">
        <f>IF(Data!$B1171="","",Data!$B1171)</f>
        <v>0</v>
      </c>
      <c r="C1171">
        <f>IF(Data!$C1171="","",Data!$C1171)</f>
        <v>0</v>
      </c>
      <c r="D1171">
        <f>IF(Data!$D1171="","",Data!$D1171)</f>
        <v>0</v>
      </c>
      <c r="E1171">
        <f>IF(Data!$E1171="","",Data!$E1171)</f>
        <v>0</v>
      </c>
      <c r="F1171">
        <f>IF($E1171="","",N(F1170)+1)</f>
        <v>0</v>
      </c>
      <c r="G1171">
        <f>IF(OR($E1171="",$E1170=""),"",LN($E1171/$E1170))</f>
        <v>0</v>
      </c>
      <c r="H1171">
        <f>IF($E1171="","",IF($E1170="",$E1171,$E1171*0.0952380952+H1170*0.9047619048))</f>
        <v>0</v>
      </c>
      <c r="I1171">
        <f>IF($E1171="","",IF($E1170="",$E1171,$E1171*0.0392156863+I1170*0.9607843137))</f>
        <v>0</v>
      </c>
      <c r="J1171">
        <f>IF($E1171="","",IF($E1170="",$E1171,$E1171*0.0198019802+J1170*0.9801980198))</f>
        <v>0</v>
      </c>
      <c r="K1171">
        <f>IF($E1171="","",IF($E1170="",$E1171,$E1171*0.0099502488+K1170*0.9900497512))</f>
        <v>0</v>
      </c>
      <c r="L1171">
        <f>IF(OR($E1171="",$E1170=""),"",MAX($E1171-$E1170,0))</f>
        <v>0</v>
      </c>
      <c r="M1171">
        <f>IF(OR($E1171="",$E1170=""),"",MAX($E1170-$E1171,0))</f>
        <v>0</v>
      </c>
      <c r="N1171">
        <f>IF(COUNT($E$2:$E1171)&lt;15,"",IF(AVERAGE($M$1158:$M$1171)=0,100,100-100/(1+AVERAGE($L$1158:$L$1171)/AVERAGE($M$1158:$M$1171))))</f>
        <v>0</v>
      </c>
      <c r="O1171">
        <f>IF($E1171="","",IF($E1170="",$E1171,$E1171*0.1538461538+O1170*0.8461538462))</f>
        <v>0</v>
      </c>
      <c r="P1171">
        <f>IF($E1171="","",IF($E1170="",$E1171,$E1171*0.0740740741+P1170*0.9259259259))</f>
        <v>0</v>
      </c>
      <c r="Q1171">
        <f>IF(OR(O1171="",P1171=""),"",O1171-P1171)</f>
        <v>0</v>
      </c>
      <c r="R1171">
        <f>IF(Q1171="","",IF(R1170="",Q1171,Q1171*0.2000000000+R1170*0.8000000000))</f>
        <v>0</v>
      </c>
      <c r="S1171">
        <f>IF(OR(Q1171="",R1171=""),"",Q1171-R1171)</f>
        <v>0</v>
      </c>
      <c r="T1171">
        <f>IF(COUNT($E$2:$E1171)&lt;14,"",MAX($C$1158:$C$1171))</f>
        <v>0</v>
      </c>
      <c r="U1171">
        <f>IF(COUNT($E$2:$E1171)&lt;14,"",MIN($D$1158:$D$1171))</f>
        <v>0</v>
      </c>
      <c r="V1171">
        <f>IF(OR(T1171="",U1171="",T1171=U1171),"",100*($E1171-U1171)/(T1171-U1171))</f>
        <v>0</v>
      </c>
      <c r="W1171">
        <f>IF(COUNT($V$1169:$V$1171)&lt;3,"",AVERAGE($V$1169:$V$1171))</f>
        <v>0</v>
      </c>
      <c r="X1171">
        <f>IF(COUNT($N$1158:$N$1171)&lt;14,"",MIN($N$1158:$N$1171))</f>
        <v>0</v>
      </c>
      <c r="Y1171">
        <f>IF(COUNT($N$1158:$N$1171)&lt;14,"",MAX($N$1158:$N$1171))</f>
        <v>0</v>
      </c>
      <c r="Z1171">
        <f>IF(OR(N1171="",X1171="",Y1171="",Y1171=X1171),"",100*(N1171-X1171)/(Y1171-X1171))</f>
        <v>0</v>
      </c>
      <c r="AA1171">
        <f>IF(COUNT($Z$1169:$Z$1171)&lt;3,"",AVERAGE($Z$1169:$Z$1171))</f>
        <v>0</v>
      </c>
      <c r="AB1171">
        <f>IF(COUNT($AA$1169:$AA$1171)&lt;3,"",AVERAGE($AA$1169:$AA$1171))</f>
        <v>0</v>
      </c>
      <c r="AC1171">
        <f>IF($E1171="","",MAX($C1171-$D1171,ABS($C1171-$E1170),ABS($D1171-$E1170)))</f>
        <v>0</v>
      </c>
      <c r="AD1171">
        <f>IF(COUNT($E$2:$E1171)&lt;15,"",AVERAGE($AC$1158:$AC$1171))</f>
        <v>0</v>
      </c>
      <c r="AE1171">
        <f>IF(OR($E1171="",$E1170=""),"",IF(AND(($C1171-$C1170)&gt;($D1170-$D1171),($C1171-$C1170)&gt;0),$C1171-$C1170,0))</f>
        <v>0</v>
      </c>
      <c r="AF1171">
        <f>IF(OR($E1171="",$E1170=""),"",IF(AND(($D1170-$D1171)&gt;($C1171-$C1170),($D1170-$D1171)&gt;0),$D1170-$D1171,0))</f>
        <v>0</v>
      </c>
      <c r="AG1171">
        <f>IF(COUNT($E$2:$E1171)&lt;15,"",IF(SUM($AC$1158:$AC$1171)=0,0,100*SUM($AE$1158:$AE$1171)/SUM($AC$1158:$AC$1171)))</f>
        <v>0</v>
      </c>
      <c r="AH1171">
        <f>IF(COUNT($E$2:$E1171)&lt;15,"",IF(SUM($AC$1158:$AC$1171)=0,0,100*SUM($AF$1158:$AF$1171)/SUM($AC$1158:$AC$1171)))</f>
        <v>0</v>
      </c>
      <c r="AI1171">
        <f>IF(OR(AG1171="",AH1171=""),"",IF((AG1171+AH1171)=0,0,100*ABS(AG1171-AH1171)/(AG1171+AH1171)))</f>
        <v>0</v>
      </c>
      <c r="AJ1171">
        <f>IF(COUNT($AI$1158:$AI$1171)&lt;14,"",AVERAGE($AI$1158:$AI$1171))</f>
        <v>0</v>
      </c>
      <c r="AK1171">
        <f>IF(COUNT($E$2:$E1171)&lt;20,"",AVERAGE($E$1152:$E$1171))</f>
        <v>0</v>
      </c>
      <c r="AL1171">
        <f>IF(COUNT($E$2:$E1171)&lt;20,"",STDEVP($E$1152:$E$1171))</f>
        <v>0</v>
      </c>
      <c r="AM1171">
        <f>IF(AK1171="","",AK1171+2*AL1171)</f>
        <v>0</v>
      </c>
      <c r="AN1171">
        <f>IF(AK1171="","",AK1171-2*AL1171)</f>
        <v>0</v>
      </c>
      <c r="AO1171">
        <f>IF(OR(AM1171="",AN1171="",AM1171=AN1171),"",($E1171-AN1171)/(AM1171-AN1171))</f>
        <v>0</v>
      </c>
      <c r="AP1171">
        <f>IF(OR(AM1171="",AK1171="",AK1171=0),"",(AM1171-AN1171)/AK1171)</f>
        <v>0</v>
      </c>
      <c r="AQ1171">
        <f>IF(COUNT($E$2:$E1171)&lt;20,"",MAX($C$1152:$C$1171))</f>
        <v>0</v>
      </c>
      <c r="AR1171">
        <f>IF(COUNT($E$2:$E1171)&lt;20,"",MIN($D$1152:$D$1171))</f>
        <v>0</v>
      </c>
      <c r="AS1171">
        <f>IF(OR(AQ1171="",AR1171=""),"",(AQ1171+AR1171)/2)</f>
        <v>0</v>
      </c>
      <c r="AT1171">
        <f>IF(COUNT($G$1152:$G$1171)&lt;20,"",STDEV($G$1152:$G$1171)*SQRT(252))</f>
        <v>0</v>
      </c>
      <c r="AU1171">
        <f>IF(COUNT($E$2:$E1171)&lt;9,"",(MAX($C$1163:$C$1171)+MIN($D$1163:$D$1171))/2)</f>
        <v>0</v>
      </c>
      <c r="AV1171">
        <f>IF(COUNT($E$2:$E1171)&lt;26,"",(MAX($C$1146:$C$1171)+MIN($D$1146:$D$1171))/2)</f>
        <v>0</v>
      </c>
      <c r="AW1171">
        <f>IF(OR(AU1171="",AV1171=""),"",(AU1171+AV1171)/2)</f>
        <v>0</v>
      </c>
      <c r="AX1171">
        <f>IF(COUNT($E$2:$E1171)&lt;52,"",(MAX($C$1120:$C$1171)+MIN($D$1120:$D$1171))/2)</f>
        <v>0</v>
      </c>
      <c r="AY1171">
        <f>IF(COUNT($E$2:$E1171)&lt;20,"",MAX($C$1072:$C$1171))</f>
        <v>0</v>
      </c>
      <c r="AZ1171">
        <f>IF(COUNT($E$2:$E1171)&lt;20,"",MIN($D$1072:$D$1171))</f>
        <v>0</v>
      </c>
      <c r="BA1171">
        <f>IF(COUNT($E$2:$E1171)&lt;20,"",SLOPE($E$1072:$E$1171,$F$1072:$F$1171))</f>
        <v>0</v>
      </c>
      <c r="BB1171">
        <f>IF(COUNT($E$2:$E1171)&lt;20,"",INTERCEPT($E$1072:$E$1171,$F$1072:$F$1171))</f>
        <v>0</v>
      </c>
      <c r="BC1171">
        <f>IF(OR(BA1171="",BB1171=""),"",BB1171+BA1171*F1171)</f>
        <v>0</v>
      </c>
      <c r="BD1171">
        <f>IF(COUNT($E$2:$E1171)&lt;20,"",STEYX($E$1072:$E$1171,$F$1072:$F$1171))</f>
        <v>0</v>
      </c>
      <c r="BE1171">
        <f>IF($E1171="","",IF(AND(COUNT($E$1172:$E$1175)&gt;=4,$C1171=MAX($C$1167:$C$1175)),$C1171,""))</f>
        <v>0</v>
      </c>
      <c r="BF1171">
        <f>IF($E1171="","",IF(AND(COUNT($E$1172:$E$1175)&gt;=4,$D1171=MIN($D$1167:$D$1175)),$D1171,""))</f>
        <v>0</v>
      </c>
      <c r="BG1171">
        <f>IF($A1171="","",$A1171-WEEKDAY($A1171,2)+1)</f>
        <v>0</v>
      </c>
      <c r="BH1171">
        <f>IF($A1171="","",IF($A1170="",1,IF(BG1171&lt;&gt;BG1170,1,0)))</f>
        <v>0</v>
      </c>
      <c r="BI1171">
        <f>IF($A1171="","",IF($A1172="",1,IF(BG1172&lt;&gt;BG1171,1,0)))</f>
        <v>0</v>
      </c>
      <c r="BJ1171">
        <f>IF($A1171="","",IF(BH1171=1,$B1171,BJ1170))</f>
        <v>0</v>
      </c>
      <c r="BK1171">
        <f>IF($A1171="","",IF(BH1171=1,$C1171,MAX($C1171,BK1170)))</f>
        <v>0</v>
      </c>
      <c r="BL1171">
        <f>IF($A1171="","",IF(BH1171=1,$D1171,MIN($D1171,BL1170)))</f>
        <v>0</v>
      </c>
      <c r="BM1171">
        <f>IF($A1171="","",IF(BI1171=1,F1171,""))</f>
        <v>0</v>
      </c>
      <c r="BN1171">
        <f>IF($A1171="","",DATE(YEAR($A1171),MONTH($A1171),1))</f>
        <v>0</v>
      </c>
      <c r="BO1171">
        <f>IF($A1171="","",IF($A1170="",1,IF(BN1171&lt;&gt;BN1170,1,0)))</f>
        <v>0</v>
      </c>
      <c r="BP1171">
        <f>IF($A1171="","",IF($A1172="",1,IF(BN1172&lt;&gt;BN1171,1,0)))</f>
        <v>0</v>
      </c>
      <c r="BQ1171">
        <f>IF($A1171="","",IF(BO1171=1,$B1171,BQ1170))</f>
        <v>0</v>
      </c>
      <c r="BR1171">
        <f>IF($A1171="","",IF(BO1171=1,$C1171,MAX($C1171,BR1170)))</f>
        <v>0</v>
      </c>
      <c r="BS1171">
        <f>IF($A1171="","",IF(BO1171=1,$D1171,MIN($D1171,BS1170)))</f>
        <v>0</v>
      </c>
      <c r="BT1171">
        <f>IF($A1171="","",IF(BP1171=1,F1171,""))</f>
        <v>0</v>
      </c>
    </row>
    <row r="1172" spans="1:72">
      <c r="A1172" s="27">
        <f>IF(Data!$A1172="","",Data!$A1172)</f>
        <v>0</v>
      </c>
      <c r="B1172">
        <f>IF(Data!$B1172="","",Data!$B1172)</f>
        <v>0</v>
      </c>
      <c r="C1172">
        <f>IF(Data!$C1172="","",Data!$C1172)</f>
        <v>0</v>
      </c>
      <c r="D1172">
        <f>IF(Data!$D1172="","",Data!$D1172)</f>
        <v>0</v>
      </c>
      <c r="E1172">
        <f>IF(Data!$E1172="","",Data!$E1172)</f>
        <v>0</v>
      </c>
      <c r="F1172">
        <f>IF($E1172="","",N(F1171)+1)</f>
        <v>0</v>
      </c>
      <c r="G1172">
        <f>IF(OR($E1172="",$E1171=""),"",LN($E1172/$E1171))</f>
        <v>0</v>
      </c>
      <c r="H1172">
        <f>IF($E1172="","",IF($E1171="",$E1172,$E1172*0.0952380952+H1171*0.9047619048))</f>
        <v>0</v>
      </c>
      <c r="I1172">
        <f>IF($E1172="","",IF($E1171="",$E1172,$E1172*0.0392156863+I1171*0.9607843137))</f>
        <v>0</v>
      </c>
      <c r="J1172">
        <f>IF($E1172="","",IF($E1171="",$E1172,$E1172*0.0198019802+J1171*0.9801980198))</f>
        <v>0</v>
      </c>
      <c r="K1172">
        <f>IF($E1172="","",IF($E1171="",$E1172,$E1172*0.0099502488+K1171*0.9900497512))</f>
        <v>0</v>
      </c>
      <c r="L1172">
        <f>IF(OR($E1172="",$E1171=""),"",MAX($E1172-$E1171,0))</f>
        <v>0</v>
      </c>
      <c r="M1172">
        <f>IF(OR($E1172="",$E1171=""),"",MAX($E1171-$E1172,0))</f>
        <v>0</v>
      </c>
      <c r="N1172">
        <f>IF(COUNT($E$2:$E1172)&lt;15,"",IF(AVERAGE($M$1159:$M$1172)=0,100,100-100/(1+AVERAGE($L$1159:$L$1172)/AVERAGE($M$1159:$M$1172))))</f>
        <v>0</v>
      </c>
      <c r="O1172">
        <f>IF($E1172="","",IF($E1171="",$E1172,$E1172*0.1538461538+O1171*0.8461538462))</f>
        <v>0</v>
      </c>
      <c r="P1172">
        <f>IF($E1172="","",IF($E1171="",$E1172,$E1172*0.0740740741+P1171*0.9259259259))</f>
        <v>0</v>
      </c>
      <c r="Q1172">
        <f>IF(OR(O1172="",P1172=""),"",O1172-P1172)</f>
        <v>0</v>
      </c>
      <c r="R1172">
        <f>IF(Q1172="","",IF(R1171="",Q1172,Q1172*0.2000000000+R1171*0.8000000000))</f>
        <v>0</v>
      </c>
      <c r="S1172">
        <f>IF(OR(Q1172="",R1172=""),"",Q1172-R1172)</f>
        <v>0</v>
      </c>
      <c r="T1172">
        <f>IF(COUNT($E$2:$E1172)&lt;14,"",MAX($C$1159:$C$1172))</f>
        <v>0</v>
      </c>
      <c r="U1172">
        <f>IF(COUNT($E$2:$E1172)&lt;14,"",MIN($D$1159:$D$1172))</f>
        <v>0</v>
      </c>
      <c r="V1172">
        <f>IF(OR(T1172="",U1172="",T1172=U1172),"",100*($E1172-U1172)/(T1172-U1172))</f>
        <v>0</v>
      </c>
      <c r="W1172">
        <f>IF(COUNT($V$1170:$V$1172)&lt;3,"",AVERAGE($V$1170:$V$1172))</f>
        <v>0</v>
      </c>
      <c r="X1172">
        <f>IF(COUNT($N$1159:$N$1172)&lt;14,"",MIN($N$1159:$N$1172))</f>
        <v>0</v>
      </c>
      <c r="Y1172">
        <f>IF(COUNT($N$1159:$N$1172)&lt;14,"",MAX($N$1159:$N$1172))</f>
        <v>0</v>
      </c>
      <c r="Z1172">
        <f>IF(OR(N1172="",X1172="",Y1172="",Y1172=X1172),"",100*(N1172-X1172)/(Y1172-X1172))</f>
        <v>0</v>
      </c>
      <c r="AA1172">
        <f>IF(COUNT($Z$1170:$Z$1172)&lt;3,"",AVERAGE($Z$1170:$Z$1172))</f>
        <v>0</v>
      </c>
      <c r="AB1172">
        <f>IF(COUNT($AA$1170:$AA$1172)&lt;3,"",AVERAGE($AA$1170:$AA$1172))</f>
        <v>0</v>
      </c>
      <c r="AC1172">
        <f>IF($E1172="","",MAX($C1172-$D1172,ABS($C1172-$E1171),ABS($D1172-$E1171)))</f>
        <v>0</v>
      </c>
      <c r="AD1172">
        <f>IF(COUNT($E$2:$E1172)&lt;15,"",AVERAGE($AC$1159:$AC$1172))</f>
        <v>0</v>
      </c>
      <c r="AE1172">
        <f>IF(OR($E1172="",$E1171=""),"",IF(AND(($C1172-$C1171)&gt;($D1171-$D1172),($C1172-$C1171)&gt;0),$C1172-$C1171,0))</f>
        <v>0</v>
      </c>
      <c r="AF1172">
        <f>IF(OR($E1172="",$E1171=""),"",IF(AND(($D1171-$D1172)&gt;($C1172-$C1171),($D1171-$D1172)&gt;0),$D1171-$D1172,0))</f>
        <v>0</v>
      </c>
      <c r="AG1172">
        <f>IF(COUNT($E$2:$E1172)&lt;15,"",IF(SUM($AC$1159:$AC$1172)=0,0,100*SUM($AE$1159:$AE$1172)/SUM($AC$1159:$AC$1172)))</f>
        <v>0</v>
      </c>
      <c r="AH1172">
        <f>IF(COUNT($E$2:$E1172)&lt;15,"",IF(SUM($AC$1159:$AC$1172)=0,0,100*SUM($AF$1159:$AF$1172)/SUM($AC$1159:$AC$1172)))</f>
        <v>0</v>
      </c>
      <c r="AI1172">
        <f>IF(OR(AG1172="",AH1172=""),"",IF((AG1172+AH1172)=0,0,100*ABS(AG1172-AH1172)/(AG1172+AH1172)))</f>
        <v>0</v>
      </c>
      <c r="AJ1172">
        <f>IF(COUNT($AI$1159:$AI$1172)&lt;14,"",AVERAGE($AI$1159:$AI$1172))</f>
        <v>0</v>
      </c>
      <c r="AK1172">
        <f>IF(COUNT($E$2:$E1172)&lt;20,"",AVERAGE($E$1153:$E$1172))</f>
        <v>0</v>
      </c>
      <c r="AL1172">
        <f>IF(COUNT($E$2:$E1172)&lt;20,"",STDEVP($E$1153:$E$1172))</f>
        <v>0</v>
      </c>
      <c r="AM1172">
        <f>IF(AK1172="","",AK1172+2*AL1172)</f>
        <v>0</v>
      </c>
      <c r="AN1172">
        <f>IF(AK1172="","",AK1172-2*AL1172)</f>
        <v>0</v>
      </c>
      <c r="AO1172">
        <f>IF(OR(AM1172="",AN1172="",AM1172=AN1172),"",($E1172-AN1172)/(AM1172-AN1172))</f>
        <v>0</v>
      </c>
      <c r="AP1172">
        <f>IF(OR(AM1172="",AK1172="",AK1172=0),"",(AM1172-AN1172)/AK1172)</f>
        <v>0</v>
      </c>
      <c r="AQ1172">
        <f>IF(COUNT($E$2:$E1172)&lt;20,"",MAX($C$1153:$C$1172))</f>
        <v>0</v>
      </c>
      <c r="AR1172">
        <f>IF(COUNT($E$2:$E1172)&lt;20,"",MIN($D$1153:$D$1172))</f>
        <v>0</v>
      </c>
      <c r="AS1172">
        <f>IF(OR(AQ1172="",AR1172=""),"",(AQ1172+AR1172)/2)</f>
        <v>0</v>
      </c>
      <c r="AT1172">
        <f>IF(COUNT($G$1153:$G$1172)&lt;20,"",STDEV($G$1153:$G$1172)*SQRT(252))</f>
        <v>0</v>
      </c>
      <c r="AU1172">
        <f>IF(COUNT($E$2:$E1172)&lt;9,"",(MAX($C$1164:$C$1172)+MIN($D$1164:$D$1172))/2)</f>
        <v>0</v>
      </c>
      <c r="AV1172">
        <f>IF(COUNT($E$2:$E1172)&lt;26,"",(MAX($C$1147:$C$1172)+MIN($D$1147:$D$1172))/2)</f>
        <v>0</v>
      </c>
      <c r="AW1172">
        <f>IF(OR(AU1172="",AV1172=""),"",(AU1172+AV1172)/2)</f>
        <v>0</v>
      </c>
      <c r="AX1172">
        <f>IF(COUNT($E$2:$E1172)&lt;52,"",(MAX($C$1121:$C$1172)+MIN($D$1121:$D$1172))/2)</f>
        <v>0</v>
      </c>
      <c r="AY1172">
        <f>IF(COUNT($E$2:$E1172)&lt;20,"",MAX($C$1073:$C$1172))</f>
        <v>0</v>
      </c>
      <c r="AZ1172">
        <f>IF(COUNT($E$2:$E1172)&lt;20,"",MIN($D$1073:$D$1172))</f>
        <v>0</v>
      </c>
      <c r="BA1172">
        <f>IF(COUNT($E$2:$E1172)&lt;20,"",SLOPE($E$1073:$E$1172,$F$1073:$F$1172))</f>
        <v>0</v>
      </c>
      <c r="BB1172">
        <f>IF(COUNT($E$2:$E1172)&lt;20,"",INTERCEPT($E$1073:$E$1172,$F$1073:$F$1172))</f>
        <v>0</v>
      </c>
      <c r="BC1172">
        <f>IF(OR(BA1172="",BB1172=""),"",BB1172+BA1172*F1172)</f>
        <v>0</v>
      </c>
      <c r="BD1172">
        <f>IF(COUNT($E$2:$E1172)&lt;20,"",STEYX($E$1073:$E$1172,$F$1073:$F$1172))</f>
        <v>0</v>
      </c>
      <c r="BE1172">
        <f>IF($E1172="","",IF(AND(COUNT($E$1173:$E$1176)&gt;=4,$C1172=MAX($C$1168:$C$1176)),$C1172,""))</f>
        <v>0</v>
      </c>
      <c r="BF1172">
        <f>IF($E1172="","",IF(AND(COUNT($E$1173:$E$1176)&gt;=4,$D1172=MIN($D$1168:$D$1176)),$D1172,""))</f>
        <v>0</v>
      </c>
      <c r="BG1172">
        <f>IF($A1172="","",$A1172-WEEKDAY($A1172,2)+1)</f>
        <v>0</v>
      </c>
      <c r="BH1172">
        <f>IF($A1172="","",IF($A1171="",1,IF(BG1172&lt;&gt;BG1171,1,0)))</f>
        <v>0</v>
      </c>
      <c r="BI1172">
        <f>IF($A1172="","",IF($A1173="",1,IF(BG1173&lt;&gt;BG1172,1,0)))</f>
        <v>0</v>
      </c>
      <c r="BJ1172">
        <f>IF($A1172="","",IF(BH1172=1,$B1172,BJ1171))</f>
        <v>0</v>
      </c>
      <c r="BK1172">
        <f>IF($A1172="","",IF(BH1172=1,$C1172,MAX($C1172,BK1171)))</f>
        <v>0</v>
      </c>
      <c r="BL1172">
        <f>IF($A1172="","",IF(BH1172=1,$D1172,MIN($D1172,BL1171)))</f>
        <v>0</v>
      </c>
      <c r="BM1172">
        <f>IF($A1172="","",IF(BI1172=1,F1172,""))</f>
        <v>0</v>
      </c>
      <c r="BN1172">
        <f>IF($A1172="","",DATE(YEAR($A1172),MONTH($A1172),1))</f>
        <v>0</v>
      </c>
      <c r="BO1172">
        <f>IF($A1172="","",IF($A1171="",1,IF(BN1172&lt;&gt;BN1171,1,0)))</f>
        <v>0</v>
      </c>
      <c r="BP1172">
        <f>IF($A1172="","",IF($A1173="",1,IF(BN1173&lt;&gt;BN1172,1,0)))</f>
        <v>0</v>
      </c>
      <c r="BQ1172">
        <f>IF($A1172="","",IF(BO1172=1,$B1172,BQ1171))</f>
        <v>0</v>
      </c>
      <c r="BR1172">
        <f>IF($A1172="","",IF(BO1172=1,$C1172,MAX($C1172,BR1171)))</f>
        <v>0</v>
      </c>
      <c r="BS1172">
        <f>IF($A1172="","",IF(BO1172=1,$D1172,MIN($D1172,BS1171)))</f>
        <v>0</v>
      </c>
      <c r="BT1172">
        <f>IF($A1172="","",IF(BP1172=1,F1172,""))</f>
        <v>0</v>
      </c>
    </row>
    <row r="1173" spans="1:72">
      <c r="A1173" s="27">
        <f>IF(Data!$A1173="","",Data!$A1173)</f>
        <v>0</v>
      </c>
      <c r="B1173">
        <f>IF(Data!$B1173="","",Data!$B1173)</f>
        <v>0</v>
      </c>
      <c r="C1173">
        <f>IF(Data!$C1173="","",Data!$C1173)</f>
        <v>0</v>
      </c>
      <c r="D1173">
        <f>IF(Data!$D1173="","",Data!$D1173)</f>
        <v>0</v>
      </c>
      <c r="E1173">
        <f>IF(Data!$E1173="","",Data!$E1173)</f>
        <v>0</v>
      </c>
      <c r="F1173">
        <f>IF($E1173="","",N(F1172)+1)</f>
        <v>0</v>
      </c>
      <c r="G1173">
        <f>IF(OR($E1173="",$E1172=""),"",LN($E1173/$E1172))</f>
        <v>0</v>
      </c>
      <c r="H1173">
        <f>IF($E1173="","",IF($E1172="",$E1173,$E1173*0.0952380952+H1172*0.9047619048))</f>
        <v>0</v>
      </c>
      <c r="I1173">
        <f>IF($E1173="","",IF($E1172="",$E1173,$E1173*0.0392156863+I1172*0.9607843137))</f>
        <v>0</v>
      </c>
      <c r="J1173">
        <f>IF($E1173="","",IF($E1172="",$E1173,$E1173*0.0198019802+J1172*0.9801980198))</f>
        <v>0</v>
      </c>
      <c r="K1173">
        <f>IF($E1173="","",IF($E1172="",$E1173,$E1173*0.0099502488+K1172*0.9900497512))</f>
        <v>0</v>
      </c>
      <c r="L1173">
        <f>IF(OR($E1173="",$E1172=""),"",MAX($E1173-$E1172,0))</f>
        <v>0</v>
      </c>
      <c r="M1173">
        <f>IF(OR($E1173="",$E1172=""),"",MAX($E1172-$E1173,0))</f>
        <v>0</v>
      </c>
      <c r="N1173">
        <f>IF(COUNT($E$2:$E1173)&lt;15,"",IF(AVERAGE($M$1160:$M$1173)=0,100,100-100/(1+AVERAGE($L$1160:$L$1173)/AVERAGE($M$1160:$M$1173))))</f>
        <v>0</v>
      </c>
      <c r="O1173">
        <f>IF($E1173="","",IF($E1172="",$E1173,$E1173*0.1538461538+O1172*0.8461538462))</f>
        <v>0</v>
      </c>
      <c r="P1173">
        <f>IF($E1173="","",IF($E1172="",$E1173,$E1173*0.0740740741+P1172*0.9259259259))</f>
        <v>0</v>
      </c>
      <c r="Q1173">
        <f>IF(OR(O1173="",P1173=""),"",O1173-P1173)</f>
        <v>0</v>
      </c>
      <c r="R1173">
        <f>IF(Q1173="","",IF(R1172="",Q1173,Q1173*0.2000000000+R1172*0.8000000000))</f>
        <v>0</v>
      </c>
      <c r="S1173">
        <f>IF(OR(Q1173="",R1173=""),"",Q1173-R1173)</f>
        <v>0</v>
      </c>
      <c r="T1173">
        <f>IF(COUNT($E$2:$E1173)&lt;14,"",MAX($C$1160:$C$1173))</f>
        <v>0</v>
      </c>
      <c r="U1173">
        <f>IF(COUNT($E$2:$E1173)&lt;14,"",MIN($D$1160:$D$1173))</f>
        <v>0</v>
      </c>
      <c r="V1173">
        <f>IF(OR(T1173="",U1173="",T1173=U1173),"",100*($E1173-U1173)/(T1173-U1173))</f>
        <v>0</v>
      </c>
      <c r="W1173">
        <f>IF(COUNT($V$1171:$V$1173)&lt;3,"",AVERAGE($V$1171:$V$1173))</f>
        <v>0</v>
      </c>
      <c r="X1173">
        <f>IF(COUNT($N$1160:$N$1173)&lt;14,"",MIN($N$1160:$N$1173))</f>
        <v>0</v>
      </c>
      <c r="Y1173">
        <f>IF(COUNT($N$1160:$N$1173)&lt;14,"",MAX($N$1160:$N$1173))</f>
        <v>0</v>
      </c>
      <c r="Z1173">
        <f>IF(OR(N1173="",X1173="",Y1173="",Y1173=X1173),"",100*(N1173-X1173)/(Y1173-X1173))</f>
        <v>0</v>
      </c>
      <c r="AA1173">
        <f>IF(COUNT($Z$1171:$Z$1173)&lt;3,"",AVERAGE($Z$1171:$Z$1173))</f>
        <v>0</v>
      </c>
      <c r="AB1173">
        <f>IF(COUNT($AA$1171:$AA$1173)&lt;3,"",AVERAGE($AA$1171:$AA$1173))</f>
        <v>0</v>
      </c>
      <c r="AC1173">
        <f>IF($E1173="","",MAX($C1173-$D1173,ABS($C1173-$E1172),ABS($D1173-$E1172)))</f>
        <v>0</v>
      </c>
      <c r="AD1173">
        <f>IF(COUNT($E$2:$E1173)&lt;15,"",AVERAGE($AC$1160:$AC$1173))</f>
        <v>0</v>
      </c>
      <c r="AE1173">
        <f>IF(OR($E1173="",$E1172=""),"",IF(AND(($C1173-$C1172)&gt;($D1172-$D1173),($C1173-$C1172)&gt;0),$C1173-$C1172,0))</f>
        <v>0</v>
      </c>
      <c r="AF1173">
        <f>IF(OR($E1173="",$E1172=""),"",IF(AND(($D1172-$D1173)&gt;($C1173-$C1172),($D1172-$D1173)&gt;0),$D1172-$D1173,0))</f>
        <v>0</v>
      </c>
      <c r="AG1173">
        <f>IF(COUNT($E$2:$E1173)&lt;15,"",IF(SUM($AC$1160:$AC$1173)=0,0,100*SUM($AE$1160:$AE$1173)/SUM($AC$1160:$AC$1173)))</f>
        <v>0</v>
      </c>
      <c r="AH1173">
        <f>IF(COUNT($E$2:$E1173)&lt;15,"",IF(SUM($AC$1160:$AC$1173)=0,0,100*SUM($AF$1160:$AF$1173)/SUM($AC$1160:$AC$1173)))</f>
        <v>0</v>
      </c>
      <c r="AI1173">
        <f>IF(OR(AG1173="",AH1173=""),"",IF((AG1173+AH1173)=0,0,100*ABS(AG1173-AH1173)/(AG1173+AH1173)))</f>
        <v>0</v>
      </c>
      <c r="AJ1173">
        <f>IF(COUNT($AI$1160:$AI$1173)&lt;14,"",AVERAGE($AI$1160:$AI$1173))</f>
        <v>0</v>
      </c>
      <c r="AK1173">
        <f>IF(COUNT($E$2:$E1173)&lt;20,"",AVERAGE($E$1154:$E$1173))</f>
        <v>0</v>
      </c>
      <c r="AL1173">
        <f>IF(COUNT($E$2:$E1173)&lt;20,"",STDEVP($E$1154:$E$1173))</f>
        <v>0</v>
      </c>
      <c r="AM1173">
        <f>IF(AK1173="","",AK1173+2*AL1173)</f>
        <v>0</v>
      </c>
      <c r="AN1173">
        <f>IF(AK1173="","",AK1173-2*AL1173)</f>
        <v>0</v>
      </c>
      <c r="AO1173">
        <f>IF(OR(AM1173="",AN1173="",AM1173=AN1173),"",($E1173-AN1173)/(AM1173-AN1173))</f>
        <v>0</v>
      </c>
      <c r="AP1173">
        <f>IF(OR(AM1173="",AK1173="",AK1173=0),"",(AM1173-AN1173)/AK1173)</f>
        <v>0</v>
      </c>
      <c r="AQ1173">
        <f>IF(COUNT($E$2:$E1173)&lt;20,"",MAX($C$1154:$C$1173))</f>
        <v>0</v>
      </c>
      <c r="AR1173">
        <f>IF(COUNT($E$2:$E1173)&lt;20,"",MIN($D$1154:$D$1173))</f>
        <v>0</v>
      </c>
      <c r="AS1173">
        <f>IF(OR(AQ1173="",AR1173=""),"",(AQ1173+AR1173)/2)</f>
        <v>0</v>
      </c>
      <c r="AT1173">
        <f>IF(COUNT($G$1154:$G$1173)&lt;20,"",STDEV($G$1154:$G$1173)*SQRT(252))</f>
        <v>0</v>
      </c>
      <c r="AU1173">
        <f>IF(COUNT($E$2:$E1173)&lt;9,"",(MAX($C$1165:$C$1173)+MIN($D$1165:$D$1173))/2)</f>
        <v>0</v>
      </c>
      <c r="AV1173">
        <f>IF(COUNT($E$2:$E1173)&lt;26,"",(MAX($C$1148:$C$1173)+MIN($D$1148:$D$1173))/2)</f>
        <v>0</v>
      </c>
      <c r="AW1173">
        <f>IF(OR(AU1173="",AV1173=""),"",(AU1173+AV1173)/2)</f>
        <v>0</v>
      </c>
      <c r="AX1173">
        <f>IF(COUNT($E$2:$E1173)&lt;52,"",(MAX($C$1122:$C$1173)+MIN($D$1122:$D$1173))/2)</f>
        <v>0</v>
      </c>
      <c r="AY1173">
        <f>IF(COUNT($E$2:$E1173)&lt;20,"",MAX($C$1074:$C$1173))</f>
        <v>0</v>
      </c>
      <c r="AZ1173">
        <f>IF(COUNT($E$2:$E1173)&lt;20,"",MIN($D$1074:$D$1173))</f>
        <v>0</v>
      </c>
      <c r="BA1173">
        <f>IF(COUNT($E$2:$E1173)&lt;20,"",SLOPE($E$1074:$E$1173,$F$1074:$F$1173))</f>
        <v>0</v>
      </c>
      <c r="BB1173">
        <f>IF(COUNT($E$2:$E1173)&lt;20,"",INTERCEPT($E$1074:$E$1173,$F$1074:$F$1173))</f>
        <v>0</v>
      </c>
      <c r="BC1173">
        <f>IF(OR(BA1173="",BB1173=""),"",BB1173+BA1173*F1173)</f>
        <v>0</v>
      </c>
      <c r="BD1173">
        <f>IF(COUNT($E$2:$E1173)&lt;20,"",STEYX($E$1074:$E$1173,$F$1074:$F$1173))</f>
        <v>0</v>
      </c>
      <c r="BE1173">
        <f>IF($E1173="","",IF(AND(COUNT($E$1174:$E$1177)&gt;=4,$C1173=MAX($C$1169:$C$1177)),$C1173,""))</f>
        <v>0</v>
      </c>
      <c r="BF1173">
        <f>IF($E1173="","",IF(AND(COUNT($E$1174:$E$1177)&gt;=4,$D1173=MIN($D$1169:$D$1177)),$D1173,""))</f>
        <v>0</v>
      </c>
      <c r="BG1173">
        <f>IF($A1173="","",$A1173-WEEKDAY($A1173,2)+1)</f>
        <v>0</v>
      </c>
      <c r="BH1173">
        <f>IF($A1173="","",IF($A1172="",1,IF(BG1173&lt;&gt;BG1172,1,0)))</f>
        <v>0</v>
      </c>
      <c r="BI1173">
        <f>IF($A1173="","",IF($A1174="",1,IF(BG1174&lt;&gt;BG1173,1,0)))</f>
        <v>0</v>
      </c>
      <c r="BJ1173">
        <f>IF($A1173="","",IF(BH1173=1,$B1173,BJ1172))</f>
        <v>0</v>
      </c>
      <c r="BK1173">
        <f>IF($A1173="","",IF(BH1173=1,$C1173,MAX($C1173,BK1172)))</f>
        <v>0</v>
      </c>
      <c r="BL1173">
        <f>IF($A1173="","",IF(BH1173=1,$D1173,MIN($D1173,BL1172)))</f>
        <v>0</v>
      </c>
      <c r="BM1173">
        <f>IF($A1173="","",IF(BI1173=1,F1173,""))</f>
        <v>0</v>
      </c>
      <c r="BN1173">
        <f>IF($A1173="","",DATE(YEAR($A1173),MONTH($A1173),1))</f>
        <v>0</v>
      </c>
      <c r="BO1173">
        <f>IF($A1173="","",IF($A1172="",1,IF(BN1173&lt;&gt;BN1172,1,0)))</f>
        <v>0</v>
      </c>
      <c r="BP1173">
        <f>IF($A1173="","",IF($A1174="",1,IF(BN1174&lt;&gt;BN1173,1,0)))</f>
        <v>0</v>
      </c>
      <c r="BQ1173">
        <f>IF($A1173="","",IF(BO1173=1,$B1173,BQ1172))</f>
        <v>0</v>
      </c>
      <c r="BR1173">
        <f>IF($A1173="","",IF(BO1173=1,$C1173,MAX($C1173,BR1172)))</f>
        <v>0</v>
      </c>
      <c r="BS1173">
        <f>IF($A1173="","",IF(BO1173=1,$D1173,MIN($D1173,BS1172)))</f>
        <v>0</v>
      </c>
      <c r="BT1173">
        <f>IF($A1173="","",IF(BP1173=1,F1173,""))</f>
        <v>0</v>
      </c>
    </row>
    <row r="1174" spans="1:72">
      <c r="A1174" s="27">
        <f>IF(Data!$A1174="","",Data!$A1174)</f>
        <v>0</v>
      </c>
      <c r="B1174">
        <f>IF(Data!$B1174="","",Data!$B1174)</f>
        <v>0</v>
      </c>
      <c r="C1174">
        <f>IF(Data!$C1174="","",Data!$C1174)</f>
        <v>0</v>
      </c>
      <c r="D1174">
        <f>IF(Data!$D1174="","",Data!$D1174)</f>
        <v>0</v>
      </c>
      <c r="E1174">
        <f>IF(Data!$E1174="","",Data!$E1174)</f>
        <v>0</v>
      </c>
      <c r="F1174">
        <f>IF($E1174="","",N(F1173)+1)</f>
        <v>0</v>
      </c>
      <c r="G1174">
        <f>IF(OR($E1174="",$E1173=""),"",LN($E1174/$E1173))</f>
        <v>0</v>
      </c>
      <c r="H1174">
        <f>IF($E1174="","",IF($E1173="",$E1174,$E1174*0.0952380952+H1173*0.9047619048))</f>
        <v>0</v>
      </c>
      <c r="I1174">
        <f>IF($E1174="","",IF($E1173="",$E1174,$E1174*0.0392156863+I1173*0.9607843137))</f>
        <v>0</v>
      </c>
      <c r="J1174">
        <f>IF($E1174="","",IF($E1173="",$E1174,$E1174*0.0198019802+J1173*0.9801980198))</f>
        <v>0</v>
      </c>
      <c r="K1174">
        <f>IF($E1174="","",IF($E1173="",$E1174,$E1174*0.0099502488+K1173*0.9900497512))</f>
        <v>0</v>
      </c>
      <c r="L1174">
        <f>IF(OR($E1174="",$E1173=""),"",MAX($E1174-$E1173,0))</f>
        <v>0</v>
      </c>
      <c r="M1174">
        <f>IF(OR($E1174="",$E1173=""),"",MAX($E1173-$E1174,0))</f>
        <v>0</v>
      </c>
      <c r="N1174">
        <f>IF(COUNT($E$2:$E1174)&lt;15,"",IF(AVERAGE($M$1161:$M$1174)=0,100,100-100/(1+AVERAGE($L$1161:$L$1174)/AVERAGE($M$1161:$M$1174))))</f>
        <v>0</v>
      </c>
      <c r="O1174">
        <f>IF($E1174="","",IF($E1173="",$E1174,$E1174*0.1538461538+O1173*0.8461538462))</f>
        <v>0</v>
      </c>
      <c r="P1174">
        <f>IF($E1174="","",IF($E1173="",$E1174,$E1174*0.0740740741+P1173*0.9259259259))</f>
        <v>0</v>
      </c>
      <c r="Q1174">
        <f>IF(OR(O1174="",P1174=""),"",O1174-P1174)</f>
        <v>0</v>
      </c>
      <c r="R1174">
        <f>IF(Q1174="","",IF(R1173="",Q1174,Q1174*0.2000000000+R1173*0.8000000000))</f>
        <v>0</v>
      </c>
      <c r="S1174">
        <f>IF(OR(Q1174="",R1174=""),"",Q1174-R1174)</f>
        <v>0</v>
      </c>
      <c r="T1174">
        <f>IF(COUNT($E$2:$E1174)&lt;14,"",MAX($C$1161:$C$1174))</f>
        <v>0</v>
      </c>
      <c r="U1174">
        <f>IF(COUNT($E$2:$E1174)&lt;14,"",MIN($D$1161:$D$1174))</f>
        <v>0</v>
      </c>
      <c r="V1174">
        <f>IF(OR(T1174="",U1174="",T1174=U1174),"",100*($E1174-U1174)/(T1174-U1174))</f>
        <v>0</v>
      </c>
      <c r="W1174">
        <f>IF(COUNT($V$1172:$V$1174)&lt;3,"",AVERAGE($V$1172:$V$1174))</f>
        <v>0</v>
      </c>
      <c r="X1174">
        <f>IF(COUNT($N$1161:$N$1174)&lt;14,"",MIN($N$1161:$N$1174))</f>
        <v>0</v>
      </c>
      <c r="Y1174">
        <f>IF(COUNT($N$1161:$N$1174)&lt;14,"",MAX($N$1161:$N$1174))</f>
        <v>0</v>
      </c>
      <c r="Z1174">
        <f>IF(OR(N1174="",X1174="",Y1174="",Y1174=X1174),"",100*(N1174-X1174)/(Y1174-X1174))</f>
        <v>0</v>
      </c>
      <c r="AA1174">
        <f>IF(COUNT($Z$1172:$Z$1174)&lt;3,"",AVERAGE($Z$1172:$Z$1174))</f>
        <v>0</v>
      </c>
      <c r="AB1174">
        <f>IF(COUNT($AA$1172:$AA$1174)&lt;3,"",AVERAGE($AA$1172:$AA$1174))</f>
        <v>0</v>
      </c>
      <c r="AC1174">
        <f>IF($E1174="","",MAX($C1174-$D1174,ABS($C1174-$E1173),ABS($D1174-$E1173)))</f>
        <v>0</v>
      </c>
      <c r="AD1174">
        <f>IF(COUNT($E$2:$E1174)&lt;15,"",AVERAGE($AC$1161:$AC$1174))</f>
        <v>0</v>
      </c>
      <c r="AE1174">
        <f>IF(OR($E1174="",$E1173=""),"",IF(AND(($C1174-$C1173)&gt;($D1173-$D1174),($C1174-$C1173)&gt;0),$C1174-$C1173,0))</f>
        <v>0</v>
      </c>
      <c r="AF1174">
        <f>IF(OR($E1174="",$E1173=""),"",IF(AND(($D1173-$D1174)&gt;($C1174-$C1173),($D1173-$D1174)&gt;0),$D1173-$D1174,0))</f>
        <v>0</v>
      </c>
      <c r="AG1174">
        <f>IF(COUNT($E$2:$E1174)&lt;15,"",IF(SUM($AC$1161:$AC$1174)=0,0,100*SUM($AE$1161:$AE$1174)/SUM($AC$1161:$AC$1174)))</f>
        <v>0</v>
      </c>
      <c r="AH1174">
        <f>IF(COUNT($E$2:$E1174)&lt;15,"",IF(SUM($AC$1161:$AC$1174)=0,0,100*SUM($AF$1161:$AF$1174)/SUM($AC$1161:$AC$1174)))</f>
        <v>0</v>
      </c>
      <c r="AI1174">
        <f>IF(OR(AG1174="",AH1174=""),"",IF((AG1174+AH1174)=0,0,100*ABS(AG1174-AH1174)/(AG1174+AH1174)))</f>
        <v>0</v>
      </c>
      <c r="AJ1174">
        <f>IF(COUNT($AI$1161:$AI$1174)&lt;14,"",AVERAGE($AI$1161:$AI$1174))</f>
        <v>0</v>
      </c>
      <c r="AK1174">
        <f>IF(COUNT($E$2:$E1174)&lt;20,"",AVERAGE($E$1155:$E$1174))</f>
        <v>0</v>
      </c>
      <c r="AL1174">
        <f>IF(COUNT($E$2:$E1174)&lt;20,"",STDEVP($E$1155:$E$1174))</f>
        <v>0</v>
      </c>
      <c r="AM1174">
        <f>IF(AK1174="","",AK1174+2*AL1174)</f>
        <v>0</v>
      </c>
      <c r="AN1174">
        <f>IF(AK1174="","",AK1174-2*AL1174)</f>
        <v>0</v>
      </c>
      <c r="AO1174">
        <f>IF(OR(AM1174="",AN1174="",AM1174=AN1174),"",($E1174-AN1174)/(AM1174-AN1174))</f>
        <v>0</v>
      </c>
      <c r="AP1174">
        <f>IF(OR(AM1174="",AK1174="",AK1174=0),"",(AM1174-AN1174)/AK1174)</f>
        <v>0</v>
      </c>
      <c r="AQ1174">
        <f>IF(COUNT($E$2:$E1174)&lt;20,"",MAX($C$1155:$C$1174))</f>
        <v>0</v>
      </c>
      <c r="AR1174">
        <f>IF(COUNT($E$2:$E1174)&lt;20,"",MIN($D$1155:$D$1174))</f>
        <v>0</v>
      </c>
      <c r="AS1174">
        <f>IF(OR(AQ1174="",AR1174=""),"",(AQ1174+AR1174)/2)</f>
        <v>0</v>
      </c>
      <c r="AT1174">
        <f>IF(COUNT($G$1155:$G$1174)&lt;20,"",STDEV($G$1155:$G$1174)*SQRT(252))</f>
        <v>0</v>
      </c>
      <c r="AU1174">
        <f>IF(COUNT($E$2:$E1174)&lt;9,"",(MAX($C$1166:$C$1174)+MIN($D$1166:$D$1174))/2)</f>
        <v>0</v>
      </c>
      <c r="AV1174">
        <f>IF(COUNT($E$2:$E1174)&lt;26,"",(MAX($C$1149:$C$1174)+MIN($D$1149:$D$1174))/2)</f>
        <v>0</v>
      </c>
      <c r="AW1174">
        <f>IF(OR(AU1174="",AV1174=""),"",(AU1174+AV1174)/2)</f>
        <v>0</v>
      </c>
      <c r="AX1174">
        <f>IF(COUNT($E$2:$E1174)&lt;52,"",(MAX($C$1123:$C$1174)+MIN($D$1123:$D$1174))/2)</f>
        <v>0</v>
      </c>
      <c r="AY1174">
        <f>IF(COUNT($E$2:$E1174)&lt;20,"",MAX($C$1075:$C$1174))</f>
        <v>0</v>
      </c>
      <c r="AZ1174">
        <f>IF(COUNT($E$2:$E1174)&lt;20,"",MIN($D$1075:$D$1174))</f>
        <v>0</v>
      </c>
      <c r="BA1174">
        <f>IF(COUNT($E$2:$E1174)&lt;20,"",SLOPE($E$1075:$E$1174,$F$1075:$F$1174))</f>
        <v>0</v>
      </c>
      <c r="BB1174">
        <f>IF(COUNT($E$2:$E1174)&lt;20,"",INTERCEPT($E$1075:$E$1174,$F$1075:$F$1174))</f>
        <v>0</v>
      </c>
      <c r="BC1174">
        <f>IF(OR(BA1174="",BB1174=""),"",BB1174+BA1174*F1174)</f>
        <v>0</v>
      </c>
      <c r="BD1174">
        <f>IF(COUNT($E$2:$E1174)&lt;20,"",STEYX($E$1075:$E$1174,$F$1075:$F$1174))</f>
        <v>0</v>
      </c>
      <c r="BE1174">
        <f>IF($E1174="","",IF(AND(COUNT($E$1175:$E$1178)&gt;=4,$C1174=MAX($C$1170:$C$1178)),$C1174,""))</f>
        <v>0</v>
      </c>
      <c r="BF1174">
        <f>IF($E1174="","",IF(AND(COUNT($E$1175:$E$1178)&gt;=4,$D1174=MIN($D$1170:$D$1178)),$D1174,""))</f>
        <v>0</v>
      </c>
      <c r="BG1174">
        <f>IF($A1174="","",$A1174-WEEKDAY($A1174,2)+1)</f>
        <v>0</v>
      </c>
      <c r="BH1174">
        <f>IF($A1174="","",IF($A1173="",1,IF(BG1174&lt;&gt;BG1173,1,0)))</f>
        <v>0</v>
      </c>
      <c r="BI1174">
        <f>IF($A1174="","",IF($A1175="",1,IF(BG1175&lt;&gt;BG1174,1,0)))</f>
        <v>0</v>
      </c>
      <c r="BJ1174">
        <f>IF($A1174="","",IF(BH1174=1,$B1174,BJ1173))</f>
        <v>0</v>
      </c>
      <c r="BK1174">
        <f>IF($A1174="","",IF(BH1174=1,$C1174,MAX($C1174,BK1173)))</f>
        <v>0</v>
      </c>
      <c r="BL1174">
        <f>IF($A1174="","",IF(BH1174=1,$D1174,MIN($D1174,BL1173)))</f>
        <v>0</v>
      </c>
      <c r="BM1174">
        <f>IF($A1174="","",IF(BI1174=1,F1174,""))</f>
        <v>0</v>
      </c>
      <c r="BN1174">
        <f>IF($A1174="","",DATE(YEAR($A1174),MONTH($A1174),1))</f>
        <v>0</v>
      </c>
      <c r="BO1174">
        <f>IF($A1174="","",IF($A1173="",1,IF(BN1174&lt;&gt;BN1173,1,0)))</f>
        <v>0</v>
      </c>
      <c r="BP1174">
        <f>IF($A1174="","",IF($A1175="",1,IF(BN1175&lt;&gt;BN1174,1,0)))</f>
        <v>0</v>
      </c>
      <c r="BQ1174">
        <f>IF($A1174="","",IF(BO1174=1,$B1174,BQ1173))</f>
        <v>0</v>
      </c>
      <c r="BR1174">
        <f>IF($A1174="","",IF(BO1174=1,$C1174,MAX($C1174,BR1173)))</f>
        <v>0</v>
      </c>
      <c r="BS1174">
        <f>IF($A1174="","",IF(BO1174=1,$D1174,MIN($D1174,BS1173)))</f>
        <v>0</v>
      </c>
      <c r="BT1174">
        <f>IF($A1174="","",IF(BP1174=1,F1174,""))</f>
        <v>0</v>
      </c>
    </row>
    <row r="1175" spans="1:72">
      <c r="A1175" s="27">
        <f>IF(Data!$A1175="","",Data!$A1175)</f>
        <v>0</v>
      </c>
      <c r="B1175">
        <f>IF(Data!$B1175="","",Data!$B1175)</f>
        <v>0</v>
      </c>
      <c r="C1175">
        <f>IF(Data!$C1175="","",Data!$C1175)</f>
        <v>0</v>
      </c>
      <c r="D1175">
        <f>IF(Data!$D1175="","",Data!$D1175)</f>
        <v>0</v>
      </c>
      <c r="E1175">
        <f>IF(Data!$E1175="","",Data!$E1175)</f>
        <v>0</v>
      </c>
      <c r="F1175">
        <f>IF($E1175="","",N(F1174)+1)</f>
        <v>0</v>
      </c>
      <c r="G1175">
        <f>IF(OR($E1175="",$E1174=""),"",LN($E1175/$E1174))</f>
        <v>0</v>
      </c>
      <c r="H1175">
        <f>IF($E1175="","",IF($E1174="",$E1175,$E1175*0.0952380952+H1174*0.9047619048))</f>
        <v>0</v>
      </c>
      <c r="I1175">
        <f>IF($E1175="","",IF($E1174="",$E1175,$E1175*0.0392156863+I1174*0.9607843137))</f>
        <v>0</v>
      </c>
      <c r="J1175">
        <f>IF($E1175="","",IF($E1174="",$E1175,$E1175*0.0198019802+J1174*0.9801980198))</f>
        <v>0</v>
      </c>
      <c r="K1175">
        <f>IF($E1175="","",IF($E1174="",$E1175,$E1175*0.0099502488+K1174*0.9900497512))</f>
        <v>0</v>
      </c>
      <c r="L1175">
        <f>IF(OR($E1175="",$E1174=""),"",MAX($E1175-$E1174,0))</f>
        <v>0</v>
      </c>
      <c r="M1175">
        <f>IF(OR($E1175="",$E1174=""),"",MAX($E1174-$E1175,0))</f>
        <v>0</v>
      </c>
      <c r="N1175">
        <f>IF(COUNT($E$2:$E1175)&lt;15,"",IF(AVERAGE($M$1162:$M$1175)=0,100,100-100/(1+AVERAGE($L$1162:$L$1175)/AVERAGE($M$1162:$M$1175))))</f>
        <v>0</v>
      </c>
      <c r="O1175">
        <f>IF($E1175="","",IF($E1174="",$E1175,$E1175*0.1538461538+O1174*0.8461538462))</f>
        <v>0</v>
      </c>
      <c r="P1175">
        <f>IF($E1175="","",IF($E1174="",$E1175,$E1175*0.0740740741+P1174*0.9259259259))</f>
        <v>0</v>
      </c>
      <c r="Q1175">
        <f>IF(OR(O1175="",P1175=""),"",O1175-P1175)</f>
        <v>0</v>
      </c>
      <c r="R1175">
        <f>IF(Q1175="","",IF(R1174="",Q1175,Q1175*0.2000000000+R1174*0.8000000000))</f>
        <v>0</v>
      </c>
      <c r="S1175">
        <f>IF(OR(Q1175="",R1175=""),"",Q1175-R1175)</f>
        <v>0</v>
      </c>
      <c r="T1175">
        <f>IF(COUNT($E$2:$E1175)&lt;14,"",MAX($C$1162:$C$1175))</f>
        <v>0</v>
      </c>
      <c r="U1175">
        <f>IF(COUNT($E$2:$E1175)&lt;14,"",MIN($D$1162:$D$1175))</f>
        <v>0</v>
      </c>
      <c r="V1175">
        <f>IF(OR(T1175="",U1175="",T1175=U1175),"",100*($E1175-U1175)/(T1175-U1175))</f>
        <v>0</v>
      </c>
      <c r="W1175">
        <f>IF(COUNT($V$1173:$V$1175)&lt;3,"",AVERAGE($V$1173:$V$1175))</f>
        <v>0</v>
      </c>
      <c r="X1175">
        <f>IF(COUNT($N$1162:$N$1175)&lt;14,"",MIN($N$1162:$N$1175))</f>
        <v>0</v>
      </c>
      <c r="Y1175">
        <f>IF(COUNT($N$1162:$N$1175)&lt;14,"",MAX($N$1162:$N$1175))</f>
        <v>0</v>
      </c>
      <c r="Z1175">
        <f>IF(OR(N1175="",X1175="",Y1175="",Y1175=X1175),"",100*(N1175-X1175)/(Y1175-X1175))</f>
        <v>0</v>
      </c>
      <c r="AA1175">
        <f>IF(COUNT($Z$1173:$Z$1175)&lt;3,"",AVERAGE($Z$1173:$Z$1175))</f>
        <v>0</v>
      </c>
      <c r="AB1175">
        <f>IF(COUNT($AA$1173:$AA$1175)&lt;3,"",AVERAGE($AA$1173:$AA$1175))</f>
        <v>0</v>
      </c>
      <c r="AC1175">
        <f>IF($E1175="","",MAX($C1175-$D1175,ABS($C1175-$E1174),ABS($D1175-$E1174)))</f>
        <v>0</v>
      </c>
      <c r="AD1175">
        <f>IF(COUNT($E$2:$E1175)&lt;15,"",AVERAGE($AC$1162:$AC$1175))</f>
        <v>0</v>
      </c>
      <c r="AE1175">
        <f>IF(OR($E1175="",$E1174=""),"",IF(AND(($C1175-$C1174)&gt;($D1174-$D1175),($C1175-$C1174)&gt;0),$C1175-$C1174,0))</f>
        <v>0</v>
      </c>
      <c r="AF1175">
        <f>IF(OR($E1175="",$E1174=""),"",IF(AND(($D1174-$D1175)&gt;($C1175-$C1174),($D1174-$D1175)&gt;0),$D1174-$D1175,0))</f>
        <v>0</v>
      </c>
      <c r="AG1175">
        <f>IF(COUNT($E$2:$E1175)&lt;15,"",IF(SUM($AC$1162:$AC$1175)=0,0,100*SUM($AE$1162:$AE$1175)/SUM($AC$1162:$AC$1175)))</f>
        <v>0</v>
      </c>
      <c r="AH1175">
        <f>IF(COUNT($E$2:$E1175)&lt;15,"",IF(SUM($AC$1162:$AC$1175)=0,0,100*SUM($AF$1162:$AF$1175)/SUM($AC$1162:$AC$1175)))</f>
        <v>0</v>
      </c>
      <c r="AI1175">
        <f>IF(OR(AG1175="",AH1175=""),"",IF((AG1175+AH1175)=0,0,100*ABS(AG1175-AH1175)/(AG1175+AH1175)))</f>
        <v>0</v>
      </c>
      <c r="AJ1175">
        <f>IF(COUNT($AI$1162:$AI$1175)&lt;14,"",AVERAGE($AI$1162:$AI$1175))</f>
        <v>0</v>
      </c>
      <c r="AK1175">
        <f>IF(COUNT($E$2:$E1175)&lt;20,"",AVERAGE($E$1156:$E$1175))</f>
        <v>0</v>
      </c>
      <c r="AL1175">
        <f>IF(COUNT($E$2:$E1175)&lt;20,"",STDEVP($E$1156:$E$1175))</f>
        <v>0</v>
      </c>
      <c r="AM1175">
        <f>IF(AK1175="","",AK1175+2*AL1175)</f>
        <v>0</v>
      </c>
      <c r="AN1175">
        <f>IF(AK1175="","",AK1175-2*AL1175)</f>
        <v>0</v>
      </c>
      <c r="AO1175">
        <f>IF(OR(AM1175="",AN1175="",AM1175=AN1175),"",($E1175-AN1175)/(AM1175-AN1175))</f>
        <v>0</v>
      </c>
      <c r="AP1175">
        <f>IF(OR(AM1175="",AK1175="",AK1175=0),"",(AM1175-AN1175)/AK1175)</f>
        <v>0</v>
      </c>
      <c r="AQ1175">
        <f>IF(COUNT($E$2:$E1175)&lt;20,"",MAX($C$1156:$C$1175))</f>
        <v>0</v>
      </c>
      <c r="AR1175">
        <f>IF(COUNT($E$2:$E1175)&lt;20,"",MIN($D$1156:$D$1175))</f>
        <v>0</v>
      </c>
      <c r="AS1175">
        <f>IF(OR(AQ1175="",AR1175=""),"",(AQ1175+AR1175)/2)</f>
        <v>0</v>
      </c>
      <c r="AT1175">
        <f>IF(COUNT($G$1156:$G$1175)&lt;20,"",STDEV($G$1156:$G$1175)*SQRT(252))</f>
        <v>0</v>
      </c>
      <c r="AU1175">
        <f>IF(COUNT($E$2:$E1175)&lt;9,"",(MAX($C$1167:$C$1175)+MIN($D$1167:$D$1175))/2)</f>
        <v>0</v>
      </c>
      <c r="AV1175">
        <f>IF(COUNT($E$2:$E1175)&lt;26,"",(MAX($C$1150:$C$1175)+MIN($D$1150:$D$1175))/2)</f>
        <v>0</v>
      </c>
      <c r="AW1175">
        <f>IF(OR(AU1175="",AV1175=""),"",(AU1175+AV1175)/2)</f>
        <v>0</v>
      </c>
      <c r="AX1175">
        <f>IF(COUNT($E$2:$E1175)&lt;52,"",(MAX($C$1124:$C$1175)+MIN($D$1124:$D$1175))/2)</f>
        <v>0</v>
      </c>
      <c r="AY1175">
        <f>IF(COUNT($E$2:$E1175)&lt;20,"",MAX($C$1076:$C$1175))</f>
        <v>0</v>
      </c>
      <c r="AZ1175">
        <f>IF(COUNT($E$2:$E1175)&lt;20,"",MIN($D$1076:$D$1175))</f>
        <v>0</v>
      </c>
      <c r="BA1175">
        <f>IF(COUNT($E$2:$E1175)&lt;20,"",SLOPE($E$1076:$E$1175,$F$1076:$F$1175))</f>
        <v>0</v>
      </c>
      <c r="BB1175">
        <f>IF(COUNT($E$2:$E1175)&lt;20,"",INTERCEPT($E$1076:$E$1175,$F$1076:$F$1175))</f>
        <v>0</v>
      </c>
      <c r="BC1175">
        <f>IF(OR(BA1175="",BB1175=""),"",BB1175+BA1175*F1175)</f>
        <v>0</v>
      </c>
      <c r="BD1175">
        <f>IF(COUNT($E$2:$E1175)&lt;20,"",STEYX($E$1076:$E$1175,$F$1076:$F$1175))</f>
        <v>0</v>
      </c>
      <c r="BE1175">
        <f>IF($E1175="","",IF(AND(COUNT($E$1176:$E$1179)&gt;=4,$C1175=MAX($C$1171:$C$1179)),$C1175,""))</f>
        <v>0</v>
      </c>
      <c r="BF1175">
        <f>IF($E1175="","",IF(AND(COUNT($E$1176:$E$1179)&gt;=4,$D1175=MIN($D$1171:$D$1179)),$D1175,""))</f>
        <v>0</v>
      </c>
      <c r="BG1175">
        <f>IF($A1175="","",$A1175-WEEKDAY($A1175,2)+1)</f>
        <v>0</v>
      </c>
      <c r="BH1175">
        <f>IF($A1175="","",IF($A1174="",1,IF(BG1175&lt;&gt;BG1174,1,0)))</f>
        <v>0</v>
      </c>
      <c r="BI1175">
        <f>IF($A1175="","",IF($A1176="",1,IF(BG1176&lt;&gt;BG1175,1,0)))</f>
        <v>0</v>
      </c>
      <c r="BJ1175">
        <f>IF($A1175="","",IF(BH1175=1,$B1175,BJ1174))</f>
        <v>0</v>
      </c>
      <c r="BK1175">
        <f>IF($A1175="","",IF(BH1175=1,$C1175,MAX($C1175,BK1174)))</f>
        <v>0</v>
      </c>
      <c r="BL1175">
        <f>IF($A1175="","",IF(BH1175=1,$D1175,MIN($D1175,BL1174)))</f>
        <v>0</v>
      </c>
      <c r="BM1175">
        <f>IF($A1175="","",IF(BI1175=1,F1175,""))</f>
        <v>0</v>
      </c>
      <c r="BN1175">
        <f>IF($A1175="","",DATE(YEAR($A1175),MONTH($A1175),1))</f>
        <v>0</v>
      </c>
      <c r="BO1175">
        <f>IF($A1175="","",IF($A1174="",1,IF(BN1175&lt;&gt;BN1174,1,0)))</f>
        <v>0</v>
      </c>
      <c r="BP1175">
        <f>IF($A1175="","",IF($A1176="",1,IF(BN1176&lt;&gt;BN1175,1,0)))</f>
        <v>0</v>
      </c>
      <c r="BQ1175">
        <f>IF($A1175="","",IF(BO1175=1,$B1175,BQ1174))</f>
        <v>0</v>
      </c>
      <c r="BR1175">
        <f>IF($A1175="","",IF(BO1175=1,$C1175,MAX($C1175,BR1174)))</f>
        <v>0</v>
      </c>
      <c r="BS1175">
        <f>IF($A1175="","",IF(BO1175=1,$D1175,MIN($D1175,BS1174)))</f>
        <v>0</v>
      </c>
      <c r="BT1175">
        <f>IF($A1175="","",IF(BP1175=1,F1175,""))</f>
        <v>0</v>
      </c>
    </row>
    <row r="1176" spans="1:72">
      <c r="A1176" s="27">
        <f>IF(Data!$A1176="","",Data!$A1176)</f>
        <v>0</v>
      </c>
      <c r="B1176">
        <f>IF(Data!$B1176="","",Data!$B1176)</f>
        <v>0</v>
      </c>
      <c r="C1176">
        <f>IF(Data!$C1176="","",Data!$C1176)</f>
        <v>0</v>
      </c>
      <c r="D1176">
        <f>IF(Data!$D1176="","",Data!$D1176)</f>
        <v>0</v>
      </c>
      <c r="E1176">
        <f>IF(Data!$E1176="","",Data!$E1176)</f>
        <v>0</v>
      </c>
      <c r="F1176">
        <f>IF($E1176="","",N(F1175)+1)</f>
        <v>0</v>
      </c>
      <c r="G1176">
        <f>IF(OR($E1176="",$E1175=""),"",LN($E1176/$E1175))</f>
        <v>0</v>
      </c>
      <c r="H1176">
        <f>IF($E1176="","",IF($E1175="",$E1176,$E1176*0.0952380952+H1175*0.9047619048))</f>
        <v>0</v>
      </c>
      <c r="I1176">
        <f>IF($E1176="","",IF($E1175="",$E1176,$E1176*0.0392156863+I1175*0.9607843137))</f>
        <v>0</v>
      </c>
      <c r="J1176">
        <f>IF($E1176="","",IF($E1175="",$E1176,$E1176*0.0198019802+J1175*0.9801980198))</f>
        <v>0</v>
      </c>
      <c r="K1176">
        <f>IF($E1176="","",IF($E1175="",$E1176,$E1176*0.0099502488+K1175*0.9900497512))</f>
        <v>0</v>
      </c>
      <c r="L1176">
        <f>IF(OR($E1176="",$E1175=""),"",MAX($E1176-$E1175,0))</f>
        <v>0</v>
      </c>
      <c r="M1176">
        <f>IF(OR($E1176="",$E1175=""),"",MAX($E1175-$E1176,0))</f>
        <v>0</v>
      </c>
      <c r="N1176">
        <f>IF(COUNT($E$2:$E1176)&lt;15,"",IF(AVERAGE($M$1163:$M$1176)=0,100,100-100/(1+AVERAGE($L$1163:$L$1176)/AVERAGE($M$1163:$M$1176))))</f>
        <v>0</v>
      </c>
      <c r="O1176">
        <f>IF($E1176="","",IF($E1175="",$E1176,$E1176*0.1538461538+O1175*0.8461538462))</f>
        <v>0</v>
      </c>
      <c r="P1176">
        <f>IF($E1176="","",IF($E1175="",$E1176,$E1176*0.0740740741+P1175*0.9259259259))</f>
        <v>0</v>
      </c>
      <c r="Q1176">
        <f>IF(OR(O1176="",P1176=""),"",O1176-P1176)</f>
        <v>0</v>
      </c>
      <c r="R1176">
        <f>IF(Q1176="","",IF(R1175="",Q1176,Q1176*0.2000000000+R1175*0.8000000000))</f>
        <v>0</v>
      </c>
      <c r="S1176">
        <f>IF(OR(Q1176="",R1176=""),"",Q1176-R1176)</f>
        <v>0</v>
      </c>
      <c r="T1176">
        <f>IF(COUNT($E$2:$E1176)&lt;14,"",MAX($C$1163:$C$1176))</f>
        <v>0</v>
      </c>
      <c r="U1176">
        <f>IF(COUNT($E$2:$E1176)&lt;14,"",MIN($D$1163:$D$1176))</f>
        <v>0</v>
      </c>
      <c r="V1176">
        <f>IF(OR(T1176="",U1176="",T1176=U1176),"",100*($E1176-U1176)/(T1176-U1176))</f>
        <v>0</v>
      </c>
      <c r="W1176">
        <f>IF(COUNT($V$1174:$V$1176)&lt;3,"",AVERAGE($V$1174:$V$1176))</f>
        <v>0</v>
      </c>
      <c r="X1176">
        <f>IF(COUNT($N$1163:$N$1176)&lt;14,"",MIN($N$1163:$N$1176))</f>
        <v>0</v>
      </c>
      <c r="Y1176">
        <f>IF(COUNT($N$1163:$N$1176)&lt;14,"",MAX($N$1163:$N$1176))</f>
        <v>0</v>
      </c>
      <c r="Z1176">
        <f>IF(OR(N1176="",X1176="",Y1176="",Y1176=X1176),"",100*(N1176-X1176)/(Y1176-X1176))</f>
        <v>0</v>
      </c>
      <c r="AA1176">
        <f>IF(COUNT($Z$1174:$Z$1176)&lt;3,"",AVERAGE($Z$1174:$Z$1176))</f>
        <v>0</v>
      </c>
      <c r="AB1176">
        <f>IF(COUNT($AA$1174:$AA$1176)&lt;3,"",AVERAGE($AA$1174:$AA$1176))</f>
        <v>0</v>
      </c>
      <c r="AC1176">
        <f>IF($E1176="","",MAX($C1176-$D1176,ABS($C1176-$E1175),ABS($D1176-$E1175)))</f>
        <v>0</v>
      </c>
      <c r="AD1176">
        <f>IF(COUNT($E$2:$E1176)&lt;15,"",AVERAGE($AC$1163:$AC$1176))</f>
        <v>0</v>
      </c>
      <c r="AE1176">
        <f>IF(OR($E1176="",$E1175=""),"",IF(AND(($C1176-$C1175)&gt;($D1175-$D1176),($C1176-$C1175)&gt;0),$C1176-$C1175,0))</f>
        <v>0</v>
      </c>
      <c r="AF1176">
        <f>IF(OR($E1176="",$E1175=""),"",IF(AND(($D1175-$D1176)&gt;($C1176-$C1175),($D1175-$D1176)&gt;0),$D1175-$D1176,0))</f>
        <v>0</v>
      </c>
      <c r="AG1176">
        <f>IF(COUNT($E$2:$E1176)&lt;15,"",IF(SUM($AC$1163:$AC$1176)=0,0,100*SUM($AE$1163:$AE$1176)/SUM($AC$1163:$AC$1176)))</f>
        <v>0</v>
      </c>
      <c r="AH1176">
        <f>IF(COUNT($E$2:$E1176)&lt;15,"",IF(SUM($AC$1163:$AC$1176)=0,0,100*SUM($AF$1163:$AF$1176)/SUM($AC$1163:$AC$1176)))</f>
        <v>0</v>
      </c>
      <c r="AI1176">
        <f>IF(OR(AG1176="",AH1176=""),"",IF((AG1176+AH1176)=0,0,100*ABS(AG1176-AH1176)/(AG1176+AH1176)))</f>
        <v>0</v>
      </c>
      <c r="AJ1176">
        <f>IF(COUNT($AI$1163:$AI$1176)&lt;14,"",AVERAGE($AI$1163:$AI$1176))</f>
        <v>0</v>
      </c>
      <c r="AK1176">
        <f>IF(COUNT($E$2:$E1176)&lt;20,"",AVERAGE($E$1157:$E$1176))</f>
        <v>0</v>
      </c>
      <c r="AL1176">
        <f>IF(COUNT($E$2:$E1176)&lt;20,"",STDEVP($E$1157:$E$1176))</f>
        <v>0</v>
      </c>
      <c r="AM1176">
        <f>IF(AK1176="","",AK1176+2*AL1176)</f>
        <v>0</v>
      </c>
      <c r="AN1176">
        <f>IF(AK1176="","",AK1176-2*AL1176)</f>
        <v>0</v>
      </c>
      <c r="AO1176">
        <f>IF(OR(AM1176="",AN1176="",AM1176=AN1176),"",($E1176-AN1176)/(AM1176-AN1176))</f>
        <v>0</v>
      </c>
      <c r="AP1176">
        <f>IF(OR(AM1176="",AK1176="",AK1176=0),"",(AM1176-AN1176)/AK1176)</f>
        <v>0</v>
      </c>
      <c r="AQ1176">
        <f>IF(COUNT($E$2:$E1176)&lt;20,"",MAX($C$1157:$C$1176))</f>
        <v>0</v>
      </c>
      <c r="AR1176">
        <f>IF(COUNT($E$2:$E1176)&lt;20,"",MIN($D$1157:$D$1176))</f>
        <v>0</v>
      </c>
      <c r="AS1176">
        <f>IF(OR(AQ1176="",AR1176=""),"",(AQ1176+AR1176)/2)</f>
        <v>0</v>
      </c>
      <c r="AT1176">
        <f>IF(COUNT($G$1157:$G$1176)&lt;20,"",STDEV($G$1157:$G$1176)*SQRT(252))</f>
        <v>0</v>
      </c>
      <c r="AU1176">
        <f>IF(COUNT($E$2:$E1176)&lt;9,"",(MAX($C$1168:$C$1176)+MIN($D$1168:$D$1176))/2)</f>
        <v>0</v>
      </c>
      <c r="AV1176">
        <f>IF(COUNT($E$2:$E1176)&lt;26,"",(MAX($C$1151:$C$1176)+MIN($D$1151:$D$1176))/2)</f>
        <v>0</v>
      </c>
      <c r="AW1176">
        <f>IF(OR(AU1176="",AV1176=""),"",(AU1176+AV1176)/2)</f>
        <v>0</v>
      </c>
      <c r="AX1176">
        <f>IF(COUNT($E$2:$E1176)&lt;52,"",(MAX($C$1125:$C$1176)+MIN($D$1125:$D$1176))/2)</f>
        <v>0</v>
      </c>
      <c r="AY1176">
        <f>IF(COUNT($E$2:$E1176)&lt;20,"",MAX($C$1077:$C$1176))</f>
        <v>0</v>
      </c>
      <c r="AZ1176">
        <f>IF(COUNT($E$2:$E1176)&lt;20,"",MIN($D$1077:$D$1176))</f>
        <v>0</v>
      </c>
      <c r="BA1176">
        <f>IF(COUNT($E$2:$E1176)&lt;20,"",SLOPE($E$1077:$E$1176,$F$1077:$F$1176))</f>
        <v>0</v>
      </c>
      <c r="BB1176">
        <f>IF(COUNT($E$2:$E1176)&lt;20,"",INTERCEPT($E$1077:$E$1176,$F$1077:$F$1176))</f>
        <v>0</v>
      </c>
      <c r="BC1176">
        <f>IF(OR(BA1176="",BB1176=""),"",BB1176+BA1176*F1176)</f>
        <v>0</v>
      </c>
      <c r="BD1176">
        <f>IF(COUNT($E$2:$E1176)&lt;20,"",STEYX($E$1077:$E$1176,$F$1077:$F$1176))</f>
        <v>0</v>
      </c>
      <c r="BE1176">
        <f>IF($E1176="","",IF(AND(COUNT($E$1177:$E$1180)&gt;=4,$C1176=MAX($C$1172:$C$1180)),$C1176,""))</f>
        <v>0</v>
      </c>
      <c r="BF1176">
        <f>IF($E1176="","",IF(AND(COUNT($E$1177:$E$1180)&gt;=4,$D1176=MIN($D$1172:$D$1180)),$D1176,""))</f>
        <v>0</v>
      </c>
      <c r="BG1176">
        <f>IF($A1176="","",$A1176-WEEKDAY($A1176,2)+1)</f>
        <v>0</v>
      </c>
      <c r="BH1176">
        <f>IF($A1176="","",IF($A1175="",1,IF(BG1176&lt;&gt;BG1175,1,0)))</f>
        <v>0</v>
      </c>
      <c r="BI1176">
        <f>IF($A1176="","",IF($A1177="",1,IF(BG1177&lt;&gt;BG1176,1,0)))</f>
        <v>0</v>
      </c>
      <c r="BJ1176">
        <f>IF($A1176="","",IF(BH1176=1,$B1176,BJ1175))</f>
        <v>0</v>
      </c>
      <c r="BK1176">
        <f>IF($A1176="","",IF(BH1176=1,$C1176,MAX($C1176,BK1175)))</f>
        <v>0</v>
      </c>
      <c r="BL1176">
        <f>IF($A1176="","",IF(BH1176=1,$D1176,MIN($D1176,BL1175)))</f>
        <v>0</v>
      </c>
      <c r="BM1176">
        <f>IF($A1176="","",IF(BI1176=1,F1176,""))</f>
        <v>0</v>
      </c>
      <c r="BN1176">
        <f>IF($A1176="","",DATE(YEAR($A1176),MONTH($A1176),1))</f>
        <v>0</v>
      </c>
      <c r="BO1176">
        <f>IF($A1176="","",IF($A1175="",1,IF(BN1176&lt;&gt;BN1175,1,0)))</f>
        <v>0</v>
      </c>
      <c r="BP1176">
        <f>IF($A1176="","",IF($A1177="",1,IF(BN1177&lt;&gt;BN1176,1,0)))</f>
        <v>0</v>
      </c>
      <c r="BQ1176">
        <f>IF($A1176="","",IF(BO1176=1,$B1176,BQ1175))</f>
        <v>0</v>
      </c>
      <c r="BR1176">
        <f>IF($A1176="","",IF(BO1176=1,$C1176,MAX($C1176,BR1175)))</f>
        <v>0</v>
      </c>
      <c r="BS1176">
        <f>IF($A1176="","",IF(BO1176=1,$D1176,MIN($D1176,BS1175)))</f>
        <v>0</v>
      </c>
      <c r="BT1176">
        <f>IF($A1176="","",IF(BP1176=1,F1176,""))</f>
        <v>0</v>
      </c>
    </row>
    <row r="1177" spans="1:72">
      <c r="A1177" s="27">
        <f>IF(Data!$A1177="","",Data!$A1177)</f>
        <v>0</v>
      </c>
      <c r="B1177">
        <f>IF(Data!$B1177="","",Data!$B1177)</f>
        <v>0</v>
      </c>
      <c r="C1177">
        <f>IF(Data!$C1177="","",Data!$C1177)</f>
        <v>0</v>
      </c>
      <c r="D1177">
        <f>IF(Data!$D1177="","",Data!$D1177)</f>
        <v>0</v>
      </c>
      <c r="E1177">
        <f>IF(Data!$E1177="","",Data!$E1177)</f>
        <v>0</v>
      </c>
      <c r="F1177">
        <f>IF($E1177="","",N(F1176)+1)</f>
        <v>0</v>
      </c>
      <c r="G1177">
        <f>IF(OR($E1177="",$E1176=""),"",LN($E1177/$E1176))</f>
        <v>0</v>
      </c>
      <c r="H1177">
        <f>IF($E1177="","",IF($E1176="",$E1177,$E1177*0.0952380952+H1176*0.9047619048))</f>
        <v>0</v>
      </c>
      <c r="I1177">
        <f>IF($E1177="","",IF($E1176="",$E1177,$E1177*0.0392156863+I1176*0.9607843137))</f>
        <v>0</v>
      </c>
      <c r="J1177">
        <f>IF($E1177="","",IF($E1176="",$E1177,$E1177*0.0198019802+J1176*0.9801980198))</f>
        <v>0</v>
      </c>
      <c r="K1177">
        <f>IF($E1177="","",IF($E1176="",$E1177,$E1177*0.0099502488+K1176*0.9900497512))</f>
        <v>0</v>
      </c>
      <c r="L1177">
        <f>IF(OR($E1177="",$E1176=""),"",MAX($E1177-$E1176,0))</f>
        <v>0</v>
      </c>
      <c r="M1177">
        <f>IF(OR($E1177="",$E1176=""),"",MAX($E1176-$E1177,0))</f>
        <v>0</v>
      </c>
      <c r="N1177">
        <f>IF(COUNT($E$2:$E1177)&lt;15,"",IF(AVERAGE($M$1164:$M$1177)=0,100,100-100/(1+AVERAGE($L$1164:$L$1177)/AVERAGE($M$1164:$M$1177))))</f>
        <v>0</v>
      </c>
      <c r="O1177">
        <f>IF($E1177="","",IF($E1176="",$E1177,$E1177*0.1538461538+O1176*0.8461538462))</f>
        <v>0</v>
      </c>
      <c r="P1177">
        <f>IF($E1177="","",IF($E1176="",$E1177,$E1177*0.0740740741+P1176*0.9259259259))</f>
        <v>0</v>
      </c>
      <c r="Q1177">
        <f>IF(OR(O1177="",P1177=""),"",O1177-P1177)</f>
        <v>0</v>
      </c>
      <c r="R1177">
        <f>IF(Q1177="","",IF(R1176="",Q1177,Q1177*0.2000000000+R1176*0.8000000000))</f>
        <v>0</v>
      </c>
      <c r="S1177">
        <f>IF(OR(Q1177="",R1177=""),"",Q1177-R1177)</f>
        <v>0</v>
      </c>
      <c r="T1177">
        <f>IF(COUNT($E$2:$E1177)&lt;14,"",MAX($C$1164:$C$1177))</f>
        <v>0</v>
      </c>
      <c r="U1177">
        <f>IF(COUNT($E$2:$E1177)&lt;14,"",MIN($D$1164:$D$1177))</f>
        <v>0</v>
      </c>
      <c r="V1177">
        <f>IF(OR(T1177="",U1177="",T1177=U1177),"",100*($E1177-U1177)/(T1177-U1177))</f>
        <v>0</v>
      </c>
      <c r="W1177">
        <f>IF(COUNT($V$1175:$V$1177)&lt;3,"",AVERAGE($V$1175:$V$1177))</f>
        <v>0</v>
      </c>
      <c r="X1177">
        <f>IF(COUNT($N$1164:$N$1177)&lt;14,"",MIN($N$1164:$N$1177))</f>
        <v>0</v>
      </c>
      <c r="Y1177">
        <f>IF(COUNT($N$1164:$N$1177)&lt;14,"",MAX($N$1164:$N$1177))</f>
        <v>0</v>
      </c>
      <c r="Z1177">
        <f>IF(OR(N1177="",X1177="",Y1177="",Y1177=X1177),"",100*(N1177-X1177)/(Y1177-X1177))</f>
        <v>0</v>
      </c>
      <c r="AA1177">
        <f>IF(COUNT($Z$1175:$Z$1177)&lt;3,"",AVERAGE($Z$1175:$Z$1177))</f>
        <v>0</v>
      </c>
      <c r="AB1177">
        <f>IF(COUNT($AA$1175:$AA$1177)&lt;3,"",AVERAGE($AA$1175:$AA$1177))</f>
        <v>0</v>
      </c>
      <c r="AC1177">
        <f>IF($E1177="","",MAX($C1177-$D1177,ABS($C1177-$E1176),ABS($D1177-$E1176)))</f>
        <v>0</v>
      </c>
      <c r="AD1177">
        <f>IF(COUNT($E$2:$E1177)&lt;15,"",AVERAGE($AC$1164:$AC$1177))</f>
        <v>0</v>
      </c>
      <c r="AE1177">
        <f>IF(OR($E1177="",$E1176=""),"",IF(AND(($C1177-$C1176)&gt;($D1176-$D1177),($C1177-$C1176)&gt;0),$C1177-$C1176,0))</f>
        <v>0</v>
      </c>
      <c r="AF1177">
        <f>IF(OR($E1177="",$E1176=""),"",IF(AND(($D1176-$D1177)&gt;($C1177-$C1176),($D1176-$D1177)&gt;0),$D1176-$D1177,0))</f>
        <v>0</v>
      </c>
      <c r="AG1177">
        <f>IF(COUNT($E$2:$E1177)&lt;15,"",IF(SUM($AC$1164:$AC$1177)=0,0,100*SUM($AE$1164:$AE$1177)/SUM($AC$1164:$AC$1177)))</f>
        <v>0</v>
      </c>
      <c r="AH1177">
        <f>IF(COUNT($E$2:$E1177)&lt;15,"",IF(SUM($AC$1164:$AC$1177)=0,0,100*SUM($AF$1164:$AF$1177)/SUM($AC$1164:$AC$1177)))</f>
        <v>0</v>
      </c>
      <c r="AI1177">
        <f>IF(OR(AG1177="",AH1177=""),"",IF((AG1177+AH1177)=0,0,100*ABS(AG1177-AH1177)/(AG1177+AH1177)))</f>
        <v>0</v>
      </c>
      <c r="AJ1177">
        <f>IF(COUNT($AI$1164:$AI$1177)&lt;14,"",AVERAGE($AI$1164:$AI$1177))</f>
        <v>0</v>
      </c>
      <c r="AK1177">
        <f>IF(COUNT($E$2:$E1177)&lt;20,"",AVERAGE($E$1158:$E$1177))</f>
        <v>0</v>
      </c>
      <c r="AL1177">
        <f>IF(COUNT($E$2:$E1177)&lt;20,"",STDEVP($E$1158:$E$1177))</f>
        <v>0</v>
      </c>
      <c r="AM1177">
        <f>IF(AK1177="","",AK1177+2*AL1177)</f>
        <v>0</v>
      </c>
      <c r="AN1177">
        <f>IF(AK1177="","",AK1177-2*AL1177)</f>
        <v>0</v>
      </c>
      <c r="AO1177">
        <f>IF(OR(AM1177="",AN1177="",AM1177=AN1177),"",($E1177-AN1177)/(AM1177-AN1177))</f>
        <v>0</v>
      </c>
      <c r="AP1177">
        <f>IF(OR(AM1177="",AK1177="",AK1177=0),"",(AM1177-AN1177)/AK1177)</f>
        <v>0</v>
      </c>
      <c r="AQ1177">
        <f>IF(COUNT($E$2:$E1177)&lt;20,"",MAX($C$1158:$C$1177))</f>
        <v>0</v>
      </c>
      <c r="AR1177">
        <f>IF(COUNT($E$2:$E1177)&lt;20,"",MIN($D$1158:$D$1177))</f>
        <v>0</v>
      </c>
      <c r="AS1177">
        <f>IF(OR(AQ1177="",AR1177=""),"",(AQ1177+AR1177)/2)</f>
        <v>0</v>
      </c>
      <c r="AT1177">
        <f>IF(COUNT($G$1158:$G$1177)&lt;20,"",STDEV($G$1158:$G$1177)*SQRT(252))</f>
        <v>0</v>
      </c>
      <c r="AU1177">
        <f>IF(COUNT($E$2:$E1177)&lt;9,"",(MAX($C$1169:$C$1177)+MIN($D$1169:$D$1177))/2)</f>
        <v>0</v>
      </c>
      <c r="AV1177">
        <f>IF(COUNT($E$2:$E1177)&lt;26,"",(MAX($C$1152:$C$1177)+MIN($D$1152:$D$1177))/2)</f>
        <v>0</v>
      </c>
      <c r="AW1177">
        <f>IF(OR(AU1177="",AV1177=""),"",(AU1177+AV1177)/2)</f>
        <v>0</v>
      </c>
      <c r="AX1177">
        <f>IF(COUNT($E$2:$E1177)&lt;52,"",(MAX($C$1126:$C$1177)+MIN($D$1126:$D$1177))/2)</f>
        <v>0</v>
      </c>
      <c r="AY1177">
        <f>IF(COUNT($E$2:$E1177)&lt;20,"",MAX($C$1078:$C$1177))</f>
        <v>0</v>
      </c>
      <c r="AZ1177">
        <f>IF(COUNT($E$2:$E1177)&lt;20,"",MIN($D$1078:$D$1177))</f>
        <v>0</v>
      </c>
      <c r="BA1177">
        <f>IF(COUNT($E$2:$E1177)&lt;20,"",SLOPE($E$1078:$E$1177,$F$1078:$F$1177))</f>
        <v>0</v>
      </c>
      <c r="BB1177">
        <f>IF(COUNT($E$2:$E1177)&lt;20,"",INTERCEPT($E$1078:$E$1177,$F$1078:$F$1177))</f>
        <v>0</v>
      </c>
      <c r="BC1177">
        <f>IF(OR(BA1177="",BB1177=""),"",BB1177+BA1177*F1177)</f>
        <v>0</v>
      </c>
      <c r="BD1177">
        <f>IF(COUNT($E$2:$E1177)&lt;20,"",STEYX($E$1078:$E$1177,$F$1078:$F$1177))</f>
        <v>0</v>
      </c>
      <c r="BE1177">
        <f>IF($E1177="","",IF(AND(COUNT($E$1178:$E$1181)&gt;=4,$C1177=MAX($C$1173:$C$1181)),$C1177,""))</f>
        <v>0</v>
      </c>
      <c r="BF1177">
        <f>IF($E1177="","",IF(AND(COUNT($E$1178:$E$1181)&gt;=4,$D1177=MIN($D$1173:$D$1181)),$D1177,""))</f>
        <v>0</v>
      </c>
      <c r="BG1177">
        <f>IF($A1177="","",$A1177-WEEKDAY($A1177,2)+1)</f>
        <v>0</v>
      </c>
      <c r="BH1177">
        <f>IF($A1177="","",IF($A1176="",1,IF(BG1177&lt;&gt;BG1176,1,0)))</f>
        <v>0</v>
      </c>
      <c r="BI1177">
        <f>IF($A1177="","",IF($A1178="",1,IF(BG1178&lt;&gt;BG1177,1,0)))</f>
        <v>0</v>
      </c>
      <c r="BJ1177">
        <f>IF($A1177="","",IF(BH1177=1,$B1177,BJ1176))</f>
        <v>0</v>
      </c>
      <c r="BK1177">
        <f>IF($A1177="","",IF(BH1177=1,$C1177,MAX($C1177,BK1176)))</f>
        <v>0</v>
      </c>
      <c r="BL1177">
        <f>IF($A1177="","",IF(BH1177=1,$D1177,MIN($D1177,BL1176)))</f>
        <v>0</v>
      </c>
      <c r="BM1177">
        <f>IF($A1177="","",IF(BI1177=1,F1177,""))</f>
        <v>0</v>
      </c>
      <c r="BN1177">
        <f>IF($A1177="","",DATE(YEAR($A1177),MONTH($A1177),1))</f>
        <v>0</v>
      </c>
      <c r="BO1177">
        <f>IF($A1177="","",IF($A1176="",1,IF(BN1177&lt;&gt;BN1176,1,0)))</f>
        <v>0</v>
      </c>
      <c r="BP1177">
        <f>IF($A1177="","",IF($A1178="",1,IF(BN1178&lt;&gt;BN1177,1,0)))</f>
        <v>0</v>
      </c>
      <c r="BQ1177">
        <f>IF($A1177="","",IF(BO1177=1,$B1177,BQ1176))</f>
        <v>0</v>
      </c>
      <c r="BR1177">
        <f>IF($A1177="","",IF(BO1177=1,$C1177,MAX($C1177,BR1176)))</f>
        <v>0</v>
      </c>
      <c r="BS1177">
        <f>IF($A1177="","",IF(BO1177=1,$D1177,MIN($D1177,BS1176)))</f>
        <v>0</v>
      </c>
      <c r="BT1177">
        <f>IF($A1177="","",IF(BP1177=1,F1177,""))</f>
        <v>0</v>
      </c>
    </row>
    <row r="1178" spans="1:72">
      <c r="A1178" s="27">
        <f>IF(Data!$A1178="","",Data!$A1178)</f>
        <v>0</v>
      </c>
      <c r="B1178">
        <f>IF(Data!$B1178="","",Data!$B1178)</f>
        <v>0</v>
      </c>
      <c r="C1178">
        <f>IF(Data!$C1178="","",Data!$C1178)</f>
        <v>0</v>
      </c>
      <c r="D1178">
        <f>IF(Data!$D1178="","",Data!$D1178)</f>
        <v>0</v>
      </c>
      <c r="E1178">
        <f>IF(Data!$E1178="","",Data!$E1178)</f>
        <v>0</v>
      </c>
      <c r="F1178">
        <f>IF($E1178="","",N(F1177)+1)</f>
        <v>0</v>
      </c>
      <c r="G1178">
        <f>IF(OR($E1178="",$E1177=""),"",LN($E1178/$E1177))</f>
        <v>0</v>
      </c>
      <c r="H1178">
        <f>IF($E1178="","",IF($E1177="",$E1178,$E1178*0.0952380952+H1177*0.9047619048))</f>
        <v>0</v>
      </c>
      <c r="I1178">
        <f>IF($E1178="","",IF($E1177="",$E1178,$E1178*0.0392156863+I1177*0.9607843137))</f>
        <v>0</v>
      </c>
      <c r="J1178">
        <f>IF($E1178="","",IF($E1177="",$E1178,$E1178*0.0198019802+J1177*0.9801980198))</f>
        <v>0</v>
      </c>
      <c r="K1178">
        <f>IF($E1178="","",IF($E1177="",$E1178,$E1178*0.0099502488+K1177*0.9900497512))</f>
        <v>0</v>
      </c>
      <c r="L1178">
        <f>IF(OR($E1178="",$E1177=""),"",MAX($E1178-$E1177,0))</f>
        <v>0</v>
      </c>
      <c r="M1178">
        <f>IF(OR($E1178="",$E1177=""),"",MAX($E1177-$E1178,0))</f>
        <v>0</v>
      </c>
      <c r="N1178">
        <f>IF(COUNT($E$2:$E1178)&lt;15,"",IF(AVERAGE($M$1165:$M$1178)=0,100,100-100/(1+AVERAGE($L$1165:$L$1178)/AVERAGE($M$1165:$M$1178))))</f>
        <v>0</v>
      </c>
      <c r="O1178">
        <f>IF($E1178="","",IF($E1177="",$E1178,$E1178*0.1538461538+O1177*0.8461538462))</f>
        <v>0</v>
      </c>
      <c r="P1178">
        <f>IF($E1178="","",IF($E1177="",$E1178,$E1178*0.0740740741+P1177*0.9259259259))</f>
        <v>0</v>
      </c>
      <c r="Q1178">
        <f>IF(OR(O1178="",P1178=""),"",O1178-P1178)</f>
        <v>0</v>
      </c>
      <c r="R1178">
        <f>IF(Q1178="","",IF(R1177="",Q1178,Q1178*0.2000000000+R1177*0.8000000000))</f>
        <v>0</v>
      </c>
      <c r="S1178">
        <f>IF(OR(Q1178="",R1178=""),"",Q1178-R1178)</f>
        <v>0</v>
      </c>
      <c r="T1178">
        <f>IF(COUNT($E$2:$E1178)&lt;14,"",MAX($C$1165:$C$1178))</f>
        <v>0</v>
      </c>
      <c r="U1178">
        <f>IF(COUNT($E$2:$E1178)&lt;14,"",MIN($D$1165:$D$1178))</f>
        <v>0</v>
      </c>
      <c r="V1178">
        <f>IF(OR(T1178="",U1178="",T1178=U1178),"",100*($E1178-U1178)/(T1178-U1178))</f>
        <v>0</v>
      </c>
      <c r="W1178">
        <f>IF(COUNT($V$1176:$V$1178)&lt;3,"",AVERAGE($V$1176:$V$1178))</f>
        <v>0</v>
      </c>
      <c r="X1178">
        <f>IF(COUNT($N$1165:$N$1178)&lt;14,"",MIN($N$1165:$N$1178))</f>
        <v>0</v>
      </c>
      <c r="Y1178">
        <f>IF(COUNT($N$1165:$N$1178)&lt;14,"",MAX($N$1165:$N$1178))</f>
        <v>0</v>
      </c>
      <c r="Z1178">
        <f>IF(OR(N1178="",X1178="",Y1178="",Y1178=X1178),"",100*(N1178-X1178)/(Y1178-X1178))</f>
        <v>0</v>
      </c>
      <c r="AA1178">
        <f>IF(COUNT($Z$1176:$Z$1178)&lt;3,"",AVERAGE($Z$1176:$Z$1178))</f>
        <v>0</v>
      </c>
      <c r="AB1178">
        <f>IF(COUNT($AA$1176:$AA$1178)&lt;3,"",AVERAGE($AA$1176:$AA$1178))</f>
        <v>0</v>
      </c>
      <c r="AC1178">
        <f>IF($E1178="","",MAX($C1178-$D1178,ABS($C1178-$E1177),ABS($D1178-$E1177)))</f>
        <v>0</v>
      </c>
      <c r="AD1178">
        <f>IF(COUNT($E$2:$E1178)&lt;15,"",AVERAGE($AC$1165:$AC$1178))</f>
        <v>0</v>
      </c>
      <c r="AE1178">
        <f>IF(OR($E1178="",$E1177=""),"",IF(AND(($C1178-$C1177)&gt;($D1177-$D1178),($C1178-$C1177)&gt;0),$C1178-$C1177,0))</f>
        <v>0</v>
      </c>
      <c r="AF1178">
        <f>IF(OR($E1178="",$E1177=""),"",IF(AND(($D1177-$D1178)&gt;($C1178-$C1177),($D1177-$D1178)&gt;0),$D1177-$D1178,0))</f>
        <v>0</v>
      </c>
      <c r="AG1178">
        <f>IF(COUNT($E$2:$E1178)&lt;15,"",IF(SUM($AC$1165:$AC$1178)=0,0,100*SUM($AE$1165:$AE$1178)/SUM($AC$1165:$AC$1178)))</f>
        <v>0</v>
      </c>
      <c r="AH1178">
        <f>IF(COUNT($E$2:$E1178)&lt;15,"",IF(SUM($AC$1165:$AC$1178)=0,0,100*SUM($AF$1165:$AF$1178)/SUM($AC$1165:$AC$1178)))</f>
        <v>0</v>
      </c>
      <c r="AI1178">
        <f>IF(OR(AG1178="",AH1178=""),"",IF((AG1178+AH1178)=0,0,100*ABS(AG1178-AH1178)/(AG1178+AH1178)))</f>
        <v>0</v>
      </c>
      <c r="AJ1178">
        <f>IF(COUNT($AI$1165:$AI$1178)&lt;14,"",AVERAGE($AI$1165:$AI$1178))</f>
        <v>0</v>
      </c>
      <c r="AK1178">
        <f>IF(COUNT($E$2:$E1178)&lt;20,"",AVERAGE($E$1159:$E$1178))</f>
        <v>0</v>
      </c>
      <c r="AL1178">
        <f>IF(COUNT($E$2:$E1178)&lt;20,"",STDEVP($E$1159:$E$1178))</f>
        <v>0</v>
      </c>
      <c r="AM1178">
        <f>IF(AK1178="","",AK1178+2*AL1178)</f>
        <v>0</v>
      </c>
      <c r="AN1178">
        <f>IF(AK1178="","",AK1178-2*AL1178)</f>
        <v>0</v>
      </c>
      <c r="AO1178">
        <f>IF(OR(AM1178="",AN1178="",AM1178=AN1178),"",($E1178-AN1178)/(AM1178-AN1178))</f>
        <v>0</v>
      </c>
      <c r="AP1178">
        <f>IF(OR(AM1178="",AK1178="",AK1178=0),"",(AM1178-AN1178)/AK1178)</f>
        <v>0</v>
      </c>
      <c r="AQ1178">
        <f>IF(COUNT($E$2:$E1178)&lt;20,"",MAX($C$1159:$C$1178))</f>
        <v>0</v>
      </c>
      <c r="AR1178">
        <f>IF(COUNT($E$2:$E1178)&lt;20,"",MIN($D$1159:$D$1178))</f>
        <v>0</v>
      </c>
      <c r="AS1178">
        <f>IF(OR(AQ1178="",AR1178=""),"",(AQ1178+AR1178)/2)</f>
        <v>0</v>
      </c>
      <c r="AT1178">
        <f>IF(COUNT($G$1159:$G$1178)&lt;20,"",STDEV($G$1159:$G$1178)*SQRT(252))</f>
        <v>0</v>
      </c>
      <c r="AU1178">
        <f>IF(COUNT($E$2:$E1178)&lt;9,"",(MAX($C$1170:$C$1178)+MIN($D$1170:$D$1178))/2)</f>
        <v>0</v>
      </c>
      <c r="AV1178">
        <f>IF(COUNT($E$2:$E1178)&lt;26,"",(MAX($C$1153:$C$1178)+MIN($D$1153:$D$1178))/2)</f>
        <v>0</v>
      </c>
      <c r="AW1178">
        <f>IF(OR(AU1178="",AV1178=""),"",(AU1178+AV1178)/2)</f>
        <v>0</v>
      </c>
      <c r="AX1178">
        <f>IF(COUNT($E$2:$E1178)&lt;52,"",(MAX($C$1127:$C$1178)+MIN($D$1127:$D$1178))/2)</f>
        <v>0</v>
      </c>
      <c r="AY1178">
        <f>IF(COUNT($E$2:$E1178)&lt;20,"",MAX($C$1079:$C$1178))</f>
        <v>0</v>
      </c>
      <c r="AZ1178">
        <f>IF(COUNT($E$2:$E1178)&lt;20,"",MIN($D$1079:$D$1178))</f>
        <v>0</v>
      </c>
      <c r="BA1178">
        <f>IF(COUNT($E$2:$E1178)&lt;20,"",SLOPE($E$1079:$E$1178,$F$1079:$F$1178))</f>
        <v>0</v>
      </c>
      <c r="BB1178">
        <f>IF(COUNT($E$2:$E1178)&lt;20,"",INTERCEPT($E$1079:$E$1178,$F$1079:$F$1178))</f>
        <v>0</v>
      </c>
      <c r="BC1178">
        <f>IF(OR(BA1178="",BB1178=""),"",BB1178+BA1178*F1178)</f>
        <v>0</v>
      </c>
      <c r="BD1178">
        <f>IF(COUNT($E$2:$E1178)&lt;20,"",STEYX($E$1079:$E$1178,$F$1079:$F$1178))</f>
        <v>0</v>
      </c>
      <c r="BE1178">
        <f>IF($E1178="","",IF(AND(COUNT($E$1179:$E$1182)&gt;=4,$C1178=MAX($C$1174:$C$1182)),$C1178,""))</f>
        <v>0</v>
      </c>
      <c r="BF1178">
        <f>IF($E1178="","",IF(AND(COUNT($E$1179:$E$1182)&gt;=4,$D1178=MIN($D$1174:$D$1182)),$D1178,""))</f>
        <v>0</v>
      </c>
      <c r="BG1178">
        <f>IF($A1178="","",$A1178-WEEKDAY($A1178,2)+1)</f>
        <v>0</v>
      </c>
      <c r="BH1178">
        <f>IF($A1178="","",IF($A1177="",1,IF(BG1178&lt;&gt;BG1177,1,0)))</f>
        <v>0</v>
      </c>
      <c r="BI1178">
        <f>IF($A1178="","",IF($A1179="",1,IF(BG1179&lt;&gt;BG1178,1,0)))</f>
        <v>0</v>
      </c>
      <c r="BJ1178">
        <f>IF($A1178="","",IF(BH1178=1,$B1178,BJ1177))</f>
        <v>0</v>
      </c>
      <c r="BK1178">
        <f>IF($A1178="","",IF(BH1178=1,$C1178,MAX($C1178,BK1177)))</f>
        <v>0</v>
      </c>
      <c r="BL1178">
        <f>IF($A1178="","",IF(BH1178=1,$D1178,MIN($D1178,BL1177)))</f>
        <v>0</v>
      </c>
      <c r="BM1178">
        <f>IF($A1178="","",IF(BI1178=1,F1178,""))</f>
        <v>0</v>
      </c>
      <c r="BN1178">
        <f>IF($A1178="","",DATE(YEAR($A1178),MONTH($A1178),1))</f>
        <v>0</v>
      </c>
      <c r="BO1178">
        <f>IF($A1178="","",IF($A1177="",1,IF(BN1178&lt;&gt;BN1177,1,0)))</f>
        <v>0</v>
      </c>
      <c r="BP1178">
        <f>IF($A1178="","",IF($A1179="",1,IF(BN1179&lt;&gt;BN1178,1,0)))</f>
        <v>0</v>
      </c>
      <c r="BQ1178">
        <f>IF($A1178="","",IF(BO1178=1,$B1178,BQ1177))</f>
        <v>0</v>
      </c>
      <c r="BR1178">
        <f>IF($A1178="","",IF(BO1178=1,$C1178,MAX($C1178,BR1177)))</f>
        <v>0</v>
      </c>
      <c r="BS1178">
        <f>IF($A1178="","",IF(BO1178=1,$D1178,MIN($D1178,BS1177)))</f>
        <v>0</v>
      </c>
      <c r="BT1178">
        <f>IF($A1178="","",IF(BP1178=1,F1178,""))</f>
        <v>0</v>
      </c>
    </row>
    <row r="1179" spans="1:72">
      <c r="A1179" s="27">
        <f>IF(Data!$A1179="","",Data!$A1179)</f>
        <v>0</v>
      </c>
      <c r="B1179">
        <f>IF(Data!$B1179="","",Data!$B1179)</f>
        <v>0</v>
      </c>
      <c r="C1179">
        <f>IF(Data!$C1179="","",Data!$C1179)</f>
        <v>0</v>
      </c>
      <c r="D1179">
        <f>IF(Data!$D1179="","",Data!$D1179)</f>
        <v>0</v>
      </c>
      <c r="E1179">
        <f>IF(Data!$E1179="","",Data!$E1179)</f>
        <v>0</v>
      </c>
      <c r="F1179">
        <f>IF($E1179="","",N(F1178)+1)</f>
        <v>0</v>
      </c>
      <c r="G1179">
        <f>IF(OR($E1179="",$E1178=""),"",LN($E1179/$E1178))</f>
        <v>0</v>
      </c>
      <c r="H1179">
        <f>IF($E1179="","",IF($E1178="",$E1179,$E1179*0.0952380952+H1178*0.9047619048))</f>
        <v>0</v>
      </c>
      <c r="I1179">
        <f>IF($E1179="","",IF($E1178="",$E1179,$E1179*0.0392156863+I1178*0.9607843137))</f>
        <v>0</v>
      </c>
      <c r="J1179">
        <f>IF($E1179="","",IF($E1178="",$E1179,$E1179*0.0198019802+J1178*0.9801980198))</f>
        <v>0</v>
      </c>
      <c r="K1179">
        <f>IF($E1179="","",IF($E1178="",$E1179,$E1179*0.0099502488+K1178*0.9900497512))</f>
        <v>0</v>
      </c>
      <c r="L1179">
        <f>IF(OR($E1179="",$E1178=""),"",MAX($E1179-$E1178,0))</f>
        <v>0</v>
      </c>
      <c r="M1179">
        <f>IF(OR($E1179="",$E1178=""),"",MAX($E1178-$E1179,0))</f>
        <v>0</v>
      </c>
      <c r="N1179">
        <f>IF(COUNT($E$2:$E1179)&lt;15,"",IF(AVERAGE($M$1166:$M$1179)=0,100,100-100/(1+AVERAGE($L$1166:$L$1179)/AVERAGE($M$1166:$M$1179))))</f>
        <v>0</v>
      </c>
      <c r="O1179">
        <f>IF($E1179="","",IF($E1178="",$E1179,$E1179*0.1538461538+O1178*0.8461538462))</f>
        <v>0</v>
      </c>
      <c r="P1179">
        <f>IF($E1179="","",IF($E1178="",$E1179,$E1179*0.0740740741+P1178*0.9259259259))</f>
        <v>0</v>
      </c>
      <c r="Q1179">
        <f>IF(OR(O1179="",P1179=""),"",O1179-P1179)</f>
        <v>0</v>
      </c>
      <c r="R1179">
        <f>IF(Q1179="","",IF(R1178="",Q1179,Q1179*0.2000000000+R1178*0.8000000000))</f>
        <v>0</v>
      </c>
      <c r="S1179">
        <f>IF(OR(Q1179="",R1179=""),"",Q1179-R1179)</f>
        <v>0</v>
      </c>
      <c r="T1179">
        <f>IF(COUNT($E$2:$E1179)&lt;14,"",MAX($C$1166:$C$1179))</f>
        <v>0</v>
      </c>
      <c r="U1179">
        <f>IF(COUNT($E$2:$E1179)&lt;14,"",MIN($D$1166:$D$1179))</f>
        <v>0</v>
      </c>
      <c r="V1179">
        <f>IF(OR(T1179="",U1179="",T1179=U1179),"",100*($E1179-U1179)/(T1179-U1179))</f>
        <v>0</v>
      </c>
      <c r="W1179">
        <f>IF(COUNT($V$1177:$V$1179)&lt;3,"",AVERAGE($V$1177:$V$1179))</f>
        <v>0</v>
      </c>
      <c r="X1179">
        <f>IF(COUNT($N$1166:$N$1179)&lt;14,"",MIN($N$1166:$N$1179))</f>
        <v>0</v>
      </c>
      <c r="Y1179">
        <f>IF(COUNT($N$1166:$N$1179)&lt;14,"",MAX($N$1166:$N$1179))</f>
        <v>0</v>
      </c>
      <c r="Z1179">
        <f>IF(OR(N1179="",X1179="",Y1179="",Y1179=X1179),"",100*(N1179-X1179)/(Y1179-X1179))</f>
        <v>0</v>
      </c>
      <c r="AA1179">
        <f>IF(COUNT($Z$1177:$Z$1179)&lt;3,"",AVERAGE($Z$1177:$Z$1179))</f>
        <v>0</v>
      </c>
      <c r="AB1179">
        <f>IF(COUNT($AA$1177:$AA$1179)&lt;3,"",AVERAGE($AA$1177:$AA$1179))</f>
        <v>0</v>
      </c>
      <c r="AC1179">
        <f>IF($E1179="","",MAX($C1179-$D1179,ABS($C1179-$E1178),ABS($D1179-$E1178)))</f>
        <v>0</v>
      </c>
      <c r="AD1179">
        <f>IF(COUNT($E$2:$E1179)&lt;15,"",AVERAGE($AC$1166:$AC$1179))</f>
        <v>0</v>
      </c>
      <c r="AE1179">
        <f>IF(OR($E1179="",$E1178=""),"",IF(AND(($C1179-$C1178)&gt;($D1178-$D1179),($C1179-$C1178)&gt;0),$C1179-$C1178,0))</f>
        <v>0</v>
      </c>
      <c r="AF1179">
        <f>IF(OR($E1179="",$E1178=""),"",IF(AND(($D1178-$D1179)&gt;($C1179-$C1178),($D1178-$D1179)&gt;0),$D1178-$D1179,0))</f>
        <v>0</v>
      </c>
      <c r="AG1179">
        <f>IF(COUNT($E$2:$E1179)&lt;15,"",IF(SUM($AC$1166:$AC$1179)=0,0,100*SUM($AE$1166:$AE$1179)/SUM($AC$1166:$AC$1179)))</f>
        <v>0</v>
      </c>
      <c r="AH1179">
        <f>IF(COUNT($E$2:$E1179)&lt;15,"",IF(SUM($AC$1166:$AC$1179)=0,0,100*SUM($AF$1166:$AF$1179)/SUM($AC$1166:$AC$1179)))</f>
        <v>0</v>
      </c>
      <c r="AI1179">
        <f>IF(OR(AG1179="",AH1179=""),"",IF((AG1179+AH1179)=0,0,100*ABS(AG1179-AH1179)/(AG1179+AH1179)))</f>
        <v>0</v>
      </c>
      <c r="AJ1179">
        <f>IF(COUNT($AI$1166:$AI$1179)&lt;14,"",AVERAGE($AI$1166:$AI$1179))</f>
        <v>0</v>
      </c>
      <c r="AK1179">
        <f>IF(COUNT($E$2:$E1179)&lt;20,"",AVERAGE($E$1160:$E$1179))</f>
        <v>0</v>
      </c>
      <c r="AL1179">
        <f>IF(COUNT($E$2:$E1179)&lt;20,"",STDEVP($E$1160:$E$1179))</f>
        <v>0</v>
      </c>
      <c r="AM1179">
        <f>IF(AK1179="","",AK1179+2*AL1179)</f>
        <v>0</v>
      </c>
      <c r="AN1179">
        <f>IF(AK1179="","",AK1179-2*AL1179)</f>
        <v>0</v>
      </c>
      <c r="AO1179">
        <f>IF(OR(AM1179="",AN1179="",AM1179=AN1179),"",($E1179-AN1179)/(AM1179-AN1179))</f>
        <v>0</v>
      </c>
      <c r="AP1179">
        <f>IF(OR(AM1179="",AK1179="",AK1179=0),"",(AM1179-AN1179)/AK1179)</f>
        <v>0</v>
      </c>
      <c r="AQ1179">
        <f>IF(COUNT($E$2:$E1179)&lt;20,"",MAX($C$1160:$C$1179))</f>
        <v>0</v>
      </c>
      <c r="AR1179">
        <f>IF(COUNT($E$2:$E1179)&lt;20,"",MIN($D$1160:$D$1179))</f>
        <v>0</v>
      </c>
      <c r="AS1179">
        <f>IF(OR(AQ1179="",AR1179=""),"",(AQ1179+AR1179)/2)</f>
        <v>0</v>
      </c>
      <c r="AT1179">
        <f>IF(COUNT($G$1160:$G$1179)&lt;20,"",STDEV($G$1160:$G$1179)*SQRT(252))</f>
        <v>0</v>
      </c>
      <c r="AU1179">
        <f>IF(COUNT($E$2:$E1179)&lt;9,"",(MAX($C$1171:$C$1179)+MIN($D$1171:$D$1179))/2)</f>
        <v>0</v>
      </c>
      <c r="AV1179">
        <f>IF(COUNT($E$2:$E1179)&lt;26,"",(MAX($C$1154:$C$1179)+MIN($D$1154:$D$1179))/2)</f>
        <v>0</v>
      </c>
      <c r="AW1179">
        <f>IF(OR(AU1179="",AV1179=""),"",(AU1179+AV1179)/2)</f>
        <v>0</v>
      </c>
      <c r="AX1179">
        <f>IF(COUNT($E$2:$E1179)&lt;52,"",(MAX($C$1128:$C$1179)+MIN($D$1128:$D$1179))/2)</f>
        <v>0</v>
      </c>
      <c r="AY1179">
        <f>IF(COUNT($E$2:$E1179)&lt;20,"",MAX($C$1080:$C$1179))</f>
        <v>0</v>
      </c>
      <c r="AZ1179">
        <f>IF(COUNT($E$2:$E1179)&lt;20,"",MIN($D$1080:$D$1179))</f>
        <v>0</v>
      </c>
      <c r="BA1179">
        <f>IF(COUNT($E$2:$E1179)&lt;20,"",SLOPE($E$1080:$E$1179,$F$1080:$F$1179))</f>
        <v>0</v>
      </c>
      <c r="BB1179">
        <f>IF(COUNT($E$2:$E1179)&lt;20,"",INTERCEPT($E$1080:$E$1179,$F$1080:$F$1179))</f>
        <v>0</v>
      </c>
      <c r="BC1179">
        <f>IF(OR(BA1179="",BB1179=""),"",BB1179+BA1179*F1179)</f>
        <v>0</v>
      </c>
      <c r="BD1179">
        <f>IF(COUNT($E$2:$E1179)&lt;20,"",STEYX($E$1080:$E$1179,$F$1080:$F$1179))</f>
        <v>0</v>
      </c>
      <c r="BE1179">
        <f>IF($E1179="","",IF(AND(COUNT($E$1180:$E$1183)&gt;=4,$C1179=MAX($C$1175:$C$1183)),$C1179,""))</f>
        <v>0</v>
      </c>
      <c r="BF1179">
        <f>IF($E1179="","",IF(AND(COUNT($E$1180:$E$1183)&gt;=4,$D1179=MIN($D$1175:$D$1183)),$D1179,""))</f>
        <v>0</v>
      </c>
      <c r="BG1179">
        <f>IF($A1179="","",$A1179-WEEKDAY($A1179,2)+1)</f>
        <v>0</v>
      </c>
      <c r="BH1179">
        <f>IF($A1179="","",IF($A1178="",1,IF(BG1179&lt;&gt;BG1178,1,0)))</f>
        <v>0</v>
      </c>
      <c r="BI1179">
        <f>IF($A1179="","",IF($A1180="",1,IF(BG1180&lt;&gt;BG1179,1,0)))</f>
        <v>0</v>
      </c>
      <c r="BJ1179">
        <f>IF($A1179="","",IF(BH1179=1,$B1179,BJ1178))</f>
        <v>0</v>
      </c>
      <c r="BK1179">
        <f>IF($A1179="","",IF(BH1179=1,$C1179,MAX($C1179,BK1178)))</f>
        <v>0</v>
      </c>
      <c r="BL1179">
        <f>IF($A1179="","",IF(BH1179=1,$D1179,MIN($D1179,BL1178)))</f>
        <v>0</v>
      </c>
      <c r="BM1179">
        <f>IF($A1179="","",IF(BI1179=1,F1179,""))</f>
        <v>0</v>
      </c>
      <c r="BN1179">
        <f>IF($A1179="","",DATE(YEAR($A1179),MONTH($A1179),1))</f>
        <v>0</v>
      </c>
      <c r="BO1179">
        <f>IF($A1179="","",IF($A1178="",1,IF(BN1179&lt;&gt;BN1178,1,0)))</f>
        <v>0</v>
      </c>
      <c r="BP1179">
        <f>IF($A1179="","",IF($A1180="",1,IF(BN1180&lt;&gt;BN1179,1,0)))</f>
        <v>0</v>
      </c>
      <c r="BQ1179">
        <f>IF($A1179="","",IF(BO1179=1,$B1179,BQ1178))</f>
        <v>0</v>
      </c>
      <c r="BR1179">
        <f>IF($A1179="","",IF(BO1179=1,$C1179,MAX($C1179,BR1178)))</f>
        <v>0</v>
      </c>
      <c r="BS1179">
        <f>IF($A1179="","",IF(BO1179=1,$D1179,MIN($D1179,BS1178)))</f>
        <v>0</v>
      </c>
      <c r="BT1179">
        <f>IF($A1179="","",IF(BP1179=1,F1179,""))</f>
        <v>0</v>
      </c>
    </row>
    <row r="1180" spans="1:72">
      <c r="A1180" s="27">
        <f>IF(Data!$A1180="","",Data!$A1180)</f>
        <v>0</v>
      </c>
      <c r="B1180">
        <f>IF(Data!$B1180="","",Data!$B1180)</f>
        <v>0</v>
      </c>
      <c r="C1180">
        <f>IF(Data!$C1180="","",Data!$C1180)</f>
        <v>0</v>
      </c>
      <c r="D1180">
        <f>IF(Data!$D1180="","",Data!$D1180)</f>
        <v>0</v>
      </c>
      <c r="E1180">
        <f>IF(Data!$E1180="","",Data!$E1180)</f>
        <v>0</v>
      </c>
      <c r="F1180">
        <f>IF($E1180="","",N(F1179)+1)</f>
        <v>0</v>
      </c>
      <c r="G1180">
        <f>IF(OR($E1180="",$E1179=""),"",LN($E1180/$E1179))</f>
        <v>0</v>
      </c>
      <c r="H1180">
        <f>IF($E1180="","",IF($E1179="",$E1180,$E1180*0.0952380952+H1179*0.9047619048))</f>
        <v>0</v>
      </c>
      <c r="I1180">
        <f>IF($E1180="","",IF($E1179="",$E1180,$E1180*0.0392156863+I1179*0.9607843137))</f>
        <v>0</v>
      </c>
      <c r="J1180">
        <f>IF($E1180="","",IF($E1179="",$E1180,$E1180*0.0198019802+J1179*0.9801980198))</f>
        <v>0</v>
      </c>
      <c r="K1180">
        <f>IF($E1180="","",IF($E1179="",$E1180,$E1180*0.0099502488+K1179*0.9900497512))</f>
        <v>0</v>
      </c>
      <c r="L1180">
        <f>IF(OR($E1180="",$E1179=""),"",MAX($E1180-$E1179,0))</f>
        <v>0</v>
      </c>
      <c r="M1180">
        <f>IF(OR($E1180="",$E1179=""),"",MAX($E1179-$E1180,0))</f>
        <v>0</v>
      </c>
      <c r="N1180">
        <f>IF(COUNT($E$2:$E1180)&lt;15,"",IF(AVERAGE($M$1167:$M$1180)=0,100,100-100/(1+AVERAGE($L$1167:$L$1180)/AVERAGE($M$1167:$M$1180))))</f>
        <v>0</v>
      </c>
      <c r="O1180">
        <f>IF($E1180="","",IF($E1179="",$E1180,$E1180*0.1538461538+O1179*0.8461538462))</f>
        <v>0</v>
      </c>
      <c r="P1180">
        <f>IF($E1180="","",IF($E1179="",$E1180,$E1180*0.0740740741+P1179*0.9259259259))</f>
        <v>0</v>
      </c>
      <c r="Q1180">
        <f>IF(OR(O1180="",P1180=""),"",O1180-P1180)</f>
        <v>0</v>
      </c>
      <c r="R1180">
        <f>IF(Q1180="","",IF(R1179="",Q1180,Q1180*0.2000000000+R1179*0.8000000000))</f>
        <v>0</v>
      </c>
      <c r="S1180">
        <f>IF(OR(Q1180="",R1180=""),"",Q1180-R1180)</f>
        <v>0</v>
      </c>
      <c r="T1180">
        <f>IF(COUNT($E$2:$E1180)&lt;14,"",MAX($C$1167:$C$1180))</f>
        <v>0</v>
      </c>
      <c r="U1180">
        <f>IF(COUNT($E$2:$E1180)&lt;14,"",MIN($D$1167:$D$1180))</f>
        <v>0</v>
      </c>
      <c r="V1180">
        <f>IF(OR(T1180="",U1180="",T1180=U1180),"",100*($E1180-U1180)/(T1180-U1180))</f>
        <v>0</v>
      </c>
      <c r="W1180">
        <f>IF(COUNT($V$1178:$V$1180)&lt;3,"",AVERAGE($V$1178:$V$1180))</f>
        <v>0</v>
      </c>
      <c r="X1180">
        <f>IF(COUNT($N$1167:$N$1180)&lt;14,"",MIN($N$1167:$N$1180))</f>
        <v>0</v>
      </c>
      <c r="Y1180">
        <f>IF(COUNT($N$1167:$N$1180)&lt;14,"",MAX($N$1167:$N$1180))</f>
        <v>0</v>
      </c>
      <c r="Z1180">
        <f>IF(OR(N1180="",X1180="",Y1180="",Y1180=X1180),"",100*(N1180-X1180)/(Y1180-X1180))</f>
        <v>0</v>
      </c>
      <c r="AA1180">
        <f>IF(COUNT($Z$1178:$Z$1180)&lt;3,"",AVERAGE($Z$1178:$Z$1180))</f>
        <v>0</v>
      </c>
      <c r="AB1180">
        <f>IF(COUNT($AA$1178:$AA$1180)&lt;3,"",AVERAGE($AA$1178:$AA$1180))</f>
        <v>0</v>
      </c>
      <c r="AC1180">
        <f>IF($E1180="","",MAX($C1180-$D1180,ABS($C1180-$E1179),ABS($D1180-$E1179)))</f>
        <v>0</v>
      </c>
      <c r="AD1180">
        <f>IF(COUNT($E$2:$E1180)&lt;15,"",AVERAGE($AC$1167:$AC$1180))</f>
        <v>0</v>
      </c>
      <c r="AE1180">
        <f>IF(OR($E1180="",$E1179=""),"",IF(AND(($C1180-$C1179)&gt;($D1179-$D1180),($C1180-$C1179)&gt;0),$C1180-$C1179,0))</f>
        <v>0</v>
      </c>
      <c r="AF1180">
        <f>IF(OR($E1180="",$E1179=""),"",IF(AND(($D1179-$D1180)&gt;($C1180-$C1179),($D1179-$D1180)&gt;0),$D1179-$D1180,0))</f>
        <v>0</v>
      </c>
      <c r="AG1180">
        <f>IF(COUNT($E$2:$E1180)&lt;15,"",IF(SUM($AC$1167:$AC$1180)=0,0,100*SUM($AE$1167:$AE$1180)/SUM($AC$1167:$AC$1180)))</f>
        <v>0</v>
      </c>
      <c r="AH1180">
        <f>IF(COUNT($E$2:$E1180)&lt;15,"",IF(SUM($AC$1167:$AC$1180)=0,0,100*SUM($AF$1167:$AF$1180)/SUM($AC$1167:$AC$1180)))</f>
        <v>0</v>
      </c>
      <c r="AI1180">
        <f>IF(OR(AG1180="",AH1180=""),"",IF((AG1180+AH1180)=0,0,100*ABS(AG1180-AH1180)/(AG1180+AH1180)))</f>
        <v>0</v>
      </c>
      <c r="AJ1180">
        <f>IF(COUNT($AI$1167:$AI$1180)&lt;14,"",AVERAGE($AI$1167:$AI$1180))</f>
        <v>0</v>
      </c>
      <c r="AK1180">
        <f>IF(COUNT($E$2:$E1180)&lt;20,"",AVERAGE($E$1161:$E$1180))</f>
        <v>0</v>
      </c>
      <c r="AL1180">
        <f>IF(COUNT($E$2:$E1180)&lt;20,"",STDEVP($E$1161:$E$1180))</f>
        <v>0</v>
      </c>
      <c r="AM1180">
        <f>IF(AK1180="","",AK1180+2*AL1180)</f>
        <v>0</v>
      </c>
      <c r="AN1180">
        <f>IF(AK1180="","",AK1180-2*AL1180)</f>
        <v>0</v>
      </c>
      <c r="AO1180">
        <f>IF(OR(AM1180="",AN1180="",AM1180=AN1180),"",($E1180-AN1180)/(AM1180-AN1180))</f>
        <v>0</v>
      </c>
      <c r="AP1180">
        <f>IF(OR(AM1180="",AK1180="",AK1180=0),"",(AM1180-AN1180)/AK1180)</f>
        <v>0</v>
      </c>
      <c r="AQ1180">
        <f>IF(COUNT($E$2:$E1180)&lt;20,"",MAX($C$1161:$C$1180))</f>
        <v>0</v>
      </c>
      <c r="AR1180">
        <f>IF(COUNT($E$2:$E1180)&lt;20,"",MIN($D$1161:$D$1180))</f>
        <v>0</v>
      </c>
      <c r="AS1180">
        <f>IF(OR(AQ1180="",AR1180=""),"",(AQ1180+AR1180)/2)</f>
        <v>0</v>
      </c>
      <c r="AT1180">
        <f>IF(COUNT($G$1161:$G$1180)&lt;20,"",STDEV($G$1161:$G$1180)*SQRT(252))</f>
        <v>0</v>
      </c>
      <c r="AU1180">
        <f>IF(COUNT($E$2:$E1180)&lt;9,"",(MAX($C$1172:$C$1180)+MIN($D$1172:$D$1180))/2)</f>
        <v>0</v>
      </c>
      <c r="AV1180">
        <f>IF(COUNT($E$2:$E1180)&lt;26,"",(MAX($C$1155:$C$1180)+MIN($D$1155:$D$1180))/2)</f>
        <v>0</v>
      </c>
      <c r="AW1180">
        <f>IF(OR(AU1180="",AV1180=""),"",(AU1180+AV1180)/2)</f>
        <v>0</v>
      </c>
      <c r="AX1180">
        <f>IF(COUNT($E$2:$E1180)&lt;52,"",(MAX($C$1129:$C$1180)+MIN($D$1129:$D$1180))/2)</f>
        <v>0</v>
      </c>
      <c r="AY1180">
        <f>IF(COUNT($E$2:$E1180)&lt;20,"",MAX($C$1081:$C$1180))</f>
        <v>0</v>
      </c>
      <c r="AZ1180">
        <f>IF(COUNT($E$2:$E1180)&lt;20,"",MIN($D$1081:$D$1180))</f>
        <v>0</v>
      </c>
      <c r="BA1180">
        <f>IF(COUNT($E$2:$E1180)&lt;20,"",SLOPE($E$1081:$E$1180,$F$1081:$F$1180))</f>
        <v>0</v>
      </c>
      <c r="BB1180">
        <f>IF(COUNT($E$2:$E1180)&lt;20,"",INTERCEPT($E$1081:$E$1180,$F$1081:$F$1180))</f>
        <v>0</v>
      </c>
      <c r="BC1180">
        <f>IF(OR(BA1180="",BB1180=""),"",BB1180+BA1180*F1180)</f>
        <v>0</v>
      </c>
      <c r="BD1180">
        <f>IF(COUNT($E$2:$E1180)&lt;20,"",STEYX($E$1081:$E$1180,$F$1081:$F$1180))</f>
        <v>0</v>
      </c>
      <c r="BE1180">
        <f>IF($E1180="","",IF(AND(COUNT($E$1181:$E$1184)&gt;=4,$C1180=MAX($C$1176:$C$1184)),$C1180,""))</f>
        <v>0</v>
      </c>
      <c r="BF1180">
        <f>IF($E1180="","",IF(AND(COUNT($E$1181:$E$1184)&gt;=4,$D1180=MIN($D$1176:$D$1184)),$D1180,""))</f>
        <v>0</v>
      </c>
      <c r="BG1180">
        <f>IF($A1180="","",$A1180-WEEKDAY($A1180,2)+1)</f>
        <v>0</v>
      </c>
      <c r="BH1180">
        <f>IF($A1180="","",IF($A1179="",1,IF(BG1180&lt;&gt;BG1179,1,0)))</f>
        <v>0</v>
      </c>
      <c r="BI1180">
        <f>IF($A1180="","",IF($A1181="",1,IF(BG1181&lt;&gt;BG1180,1,0)))</f>
        <v>0</v>
      </c>
      <c r="BJ1180">
        <f>IF($A1180="","",IF(BH1180=1,$B1180,BJ1179))</f>
        <v>0</v>
      </c>
      <c r="BK1180">
        <f>IF($A1180="","",IF(BH1180=1,$C1180,MAX($C1180,BK1179)))</f>
        <v>0</v>
      </c>
      <c r="BL1180">
        <f>IF($A1180="","",IF(BH1180=1,$D1180,MIN($D1180,BL1179)))</f>
        <v>0</v>
      </c>
      <c r="BM1180">
        <f>IF($A1180="","",IF(BI1180=1,F1180,""))</f>
        <v>0</v>
      </c>
      <c r="BN1180">
        <f>IF($A1180="","",DATE(YEAR($A1180),MONTH($A1180),1))</f>
        <v>0</v>
      </c>
      <c r="BO1180">
        <f>IF($A1180="","",IF($A1179="",1,IF(BN1180&lt;&gt;BN1179,1,0)))</f>
        <v>0</v>
      </c>
      <c r="BP1180">
        <f>IF($A1180="","",IF($A1181="",1,IF(BN1181&lt;&gt;BN1180,1,0)))</f>
        <v>0</v>
      </c>
      <c r="BQ1180">
        <f>IF($A1180="","",IF(BO1180=1,$B1180,BQ1179))</f>
        <v>0</v>
      </c>
      <c r="BR1180">
        <f>IF($A1180="","",IF(BO1180=1,$C1180,MAX($C1180,BR1179)))</f>
        <v>0</v>
      </c>
      <c r="BS1180">
        <f>IF($A1180="","",IF(BO1180=1,$D1180,MIN($D1180,BS1179)))</f>
        <v>0</v>
      </c>
      <c r="BT1180">
        <f>IF($A1180="","",IF(BP1180=1,F1180,""))</f>
        <v>0</v>
      </c>
    </row>
    <row r="1181" spans="1:72">
      <c r="A1181" s="27">
        <f>IF(Data!$A1181="","",Data!$A1181)</f>
        <v>0</v>
      </c>
      <c r="B1181">
        <f>IF(Data!$B1181="","",Data!$B1181)</f>
        <v>0</v>
      </c>
      <c r="C1181">
        <f>IF(Data!$C1181="","",Data!$C1181)</f>
        <v>0</v>
      </c>
      <c r="D1181">
        <f>IF(Data!$D1181="","",Data!$D1181)</f>
        <v>0</v>
      </c>
      <c r="E1181">
        <f>IF(Data!$E1181="","",Data!$E1181)</f>
        <v>0</v>
      </c>
      <c r="F1181">
        <f>IF($E1181="","",N(F1180)+1)</f>
        <v>0</v>
      </c>
      <c r="G1181">
        <f>IF(OR($E1181="",$E1180=""),"",LN($E1181/$E1180))</f>
        <v>0</v>
      </c>
      <c r="H1181">
        <f>IF($E1181="","",IF($E1180="",$E1181,$E1181*0.0952380952+H1180*0.9047619048))</f>
        <v>0</v>
      </c>
      <c r="I1181">
        <f>IF($E1181="","",IF($E1180="",$E1181,$E1181*0.0392156863+I1180*0.9607843137))</f>
        <v>0</v>
      </c>
      <c r="J1181">
        <f>IF($E1181="","",IF($E1180="",$E1181,$E1181*0.0198019802+J1180*0.9801980198))</f>
        <v>0</v>
      </c>
      <c r="K1181">
        <f>IF($E1181="","",IF($E1180="",$E1181,$E1181*0.0099502488+K1180*0.9900497512))</f>
        <v>0</v>
      </c>
      <c r="L1181">
        <f>IF(OR($E1181="",$E1180=""),"",MAX($E1181-$E1180,0))</f>
        <v>0</v>
      </c>
      <c r="M1181">
        <f>IF(OR($E1181="",$E1180=""),"",MAX($E1180-$E1181,0))</f>
        <v>0</v>
      </c>
      <c r="N1181">
        <f>IF(COUNT($E$2:$E1181)&lt;15,"",IF(AVERAGE($M$1168:$M$1181)=0,100,100-100/(1+AVERAGE($L$1168:$L$1181)/AVERAGE($M$1168:$M$1181))))</f>
        <v>0</v>
      </c>
      <c r="O1181">
        <f>IF($E1181="","",IF($E1180="",$E1181,$E1181*0.1538461538+O1180*0.8461538462))</f>
        <v>0</v>
      </c>
      <c r="P1181">
        <f>IF($E1181="","",IF($E1180="",$E1181,$E1181*0.0740740741+P1180*0.9259259259))</f>
        <v>0</v>
      </c>
      <c r="Q1181">
        <f>IF(OR(O1181="",P1181=""),"",O1181-P1181)</f>
        <v>0</v>
      </c>
      <c r="R1181">
        <f>IF(Q1181="","",IF(R1180="",Q1181,Q1181*0.2000000000+R1180*0.8000000000))</f>
        <v>0</v>
      </c>
      <c r="S1181">
        <f>IF(OR(Q1181="",R1181=""),"",Q1181-R1181)</f>
        <v>0</v>
      </c>
      <c r="T1181">
        <f>IF(COUNT($E$2:$E1181)&lt;14,"",MAX($C$1168:$C$1181))</f>
        <v>0</v>
      </c>
      <c r="U1181">
        <f>IF(COUNT($E$2:$E1181)&lt;14,"",MIN($D$1168:$D$1181))</f>
        <v>0</v>
      </c>
      <c r="V1181">
        <f>IF(OR(T1181="",U1181="",T1181=U1181),"",100*($E1181-U1181)/(T1181-U1181))</f>
        <v>0</v>
      </c>
      <c r="W1181">
        <f>IF(COUNT($V$1179:$V$1181)&lt;3,"",AVERAGE($V$1179:$V$1181))</f>
        <v>0</v>
      </c>
      <c r="X1181">
        <f>IF(COUNT($N$1168:$N$1181)&lt;14,"",MIN($N$1168:$N$1181))</f>
        <v>0</v>
      </c>
      <c r="Y1181">
        <f>IF(COUNT($N$1168:$N$1181)&lt;14,"",MAX($N$1168:$N$1181))</f>
        <v>0</v>
      </c>
      <c r="Z1181">
        <f>IF(OR(N1181="",X1181="",Y1181="",Y1181=X1181),"",100*(N1181-X1181)/(Y1181-X1181))</f>
        <v>0</v>
      </c>
      <c r="AA1181">
        <f>IF(COUNT($Z$1179:$Z$1181)&lt;3,"",AVERAGE($Z$1179:$Z$1181))</f>
        <v>0</v>
      </c>
      <c r="AB1181">
        <f>IF(COUNT($AA$1179:$AA$1181)&lt;3,"",AVERAGE($AA$1179:$AA$1181))</f>
        <v>0</v>
      </c>
      <c r="AC1181">
        <f>IF($E1181="","",MAX($C1181-$D1181,ABS($C1181-$E1180),ABS($D1181-$E1180)))</f>
        <v>0</v>
      </c>
      <c r="AD1181">
        <f>IF(COUNT($E$2:$E1181)&lt;15,"",AVERAGE($AC$1168:$AC$1181))</f>
        <v>0</v>
      </c>
      <c r="AE1181">
        <f>IF(OR($E1181="",$E1180=""),"",IF(AND(($C1181-$C1180)&gt;($D1180-$D1181),($C1181-$C1180)&gt;0),$C1181-$C1180,0))</f>
        <v>0</v>
      </c>
      <c r="AF1181">
        <f>IF(OR($E1181="",$E1180=""),"",IF(AND(($D1180-$D1181)&gt;($C1181-$C1180),($D1180-$D1181)&gt;0),$D1180-$D1181,0))</f>
        <v>0</v>
      </c>
      <c r="AG1181">
        <f>IF(COUNT($E$2:$E1181)&lt;15,"",IF(SUM($AC$1168:$AC$1181)=0,0,100*SUM($AE$1168:$AE$1181)/SUM($AC$1168:$AC$1181)))</f>
        <v>0</v>
      </c>
      <c r="AH1181">
        <f>IF(COUNT($E$2:$E1181)&lt;15,"",IF(SUM($AC$1168:$AC$1181)=0,0,100*SUM($AF$1168:$AF$1181)/SUM($AC$1168:$AC$1181)))</f>
        <v>0</v>
      </c>
      <c r="AI1181">
        <f>IF(OR(AG1181="",AH1181=""),"",IF((AG1181+AH1181)=0,0,100*ABS(AG1181-AH1181)/(AG1181+AH1181)))</f>
        <v>0</v>
      </c>
      <c r="AJ1181">
        <f>IF(COUNT($AI$1168:$AI$1181)&lt;14,"",AVERAGE($AI$1168:$AI$1181))</f>
        <v>0</v>
      </c>
      <c r="AK1181">
        <f>IF(COUNT($E$2:$E1181)&lt;20,"",AVERAGE($E$1162:$E$1181))</f>
        <v>0</v>
      </c>
      <c r="AL1181">
        <f>IF(COUNT($E$2:$E1181)&lt;20,"",STDEVP($E$1162:$E$1181))</f>
        <v>0</v>
      </c>
      <c r="AM1181">
        <f>IF(AK1181="","",AK1181+2*AL1181)</f>
        <v>0</v>
      </c>
      <c r="AN1181">
        <f>IF(AK1181="","",AK1181-2*AL1181)</f>
        <v>0</v>
      </c>
      <c r="AO1181">
        <f>IF(OR(AM1181="",AN1181="",AM1181=AN1181),"",($E1181-AN1181)/(AM1181-AN1181))</f>
        <v>0</v>
      </c>
      <c r="AP1181">
        <f>IF(OR(AM1181="",AK1181="",AK1181=0),"",(AM1181-AN1181)/AK1181)</f>
        <v>0</v>
      </c>
      <c r="AQ1181">
        <f>IF(COUNT($E$2:$E1181)&lt;20,"",MAX($C$1162:$C$1181))</f>
        <v>0</v>
      </c>
      <c r="AR1181">
        <f>IF(COUNT($E$2:$E1181)&lt;20,"",MIN($D$1162:$D$1181))</f>
        <v>0</v>
      </c>
      <c r="AS1181">
        <f>IF(OR(AQ1181="",AR1181=""),"",(AQ1181+AR1181)/2)</f>
        <v>0</v>
      </c>
      <c r="AT1181">
        <f>IF(COUNT($G$1162:$G$1181)&lt;20,"",STDEV($G$1162:$G$1181)*SQRT(252))</f>
        <v>0</v>
      </c>
      <c r="AU1181">
        <f>IF(COUNT($E$2:$E1181)&lt;9,"",(MAX($C$1173:$C$1181)+MIN($D$1173:$D$1181))/2)</f>
        <v>0</v>
      </c>
      <c r="AV1181">
        <f>IF(COUNT($E$2:$E1181)&lt;26,"",(MAX($C$1156:$C$1181)+MIN($D$1156:$D$1181))/2)</f>
        <v>0</v>
      </c>
      <c r="AW1181">
        <f>IF(OR(AU1181="",AV1181=""),"",(AU1181+AV1181)/2)</f>
        <v>0</v>
      </c>
      <c r="AX1181">
        <f>IF(COUNT($E$2:$E1181)&lt;52,"",(MAX($C$1130:$C$1181)+MIN($D$1130:$D$1181))/2)</f>
        <v>0</v>
      </c>
      <c r="AY1181">
        <f>IF(COUNT($E$2:$E1181)&lt;20,"",MAX($C$1082:$C$1181))</f>
        <v>0</v>
      </c>
      <c r="AZ1181">
        <f>IF(COUNT($E$2:$E1181)&lt;20,"",MIN($D$1082:$D$1181))</f>
        <v>0</v>
      </c>
      <c r="BA1181">
        <f>IF(COUNT($E$2:$E1181)&lt;20,"",SLOPE($E$1082:$E$1181,$F$1082:$F$1181))</f>
        <v>0</v>
      </c>
      <c r="BB1181">
        <f>IF(COUNT($E$2:$E1181)&lt;20,"",INTERCEPT($E$1082:$E$1181,$F$1082:$F$1181))</f>
        <v>0</v>
      </c>
      <c r="BC1181">
        <f>IF(OR(BA1181="",BB1181=""),"",BB1181+BA1181*F1181)</f>
        <v>0</v>
      </c>
      <c r="BD1181">
        <f>IF(COUNT($E$2:$E1181)&lt;20,"",STEYX($E$1082:$E$1181,$F$1082:$F$1181))</f>
        <v>0</v>
      </c>
      <c r="BE1181">
        <f>IF($E1181="","",IF(AND(COUNT($E$1182:$E$1185)&gt;=4,$C1181=MAX($C$1177:$C$1185)),$C1181,""))</f>
        <v>0</v>
      </c>
      <c r="BF1181">
        <f>IF($E1181="","",IF(AND(COUNT($E$1182:$E$1185)&gt;=4,$D1181=MIN($D$1177:$D$1185)),$D1181,""))</f>
        <v>0</v>
      </c>
      <c r="BG1181">
        <f>IF($A1181="","",$A1181-WEEKDAY($A1181,2)+1)</f>
        <v>0</v>
      </c>
      <c r="BH1181">
        <f>IF($A1181="","",IF($A1180="",1,IF(BG1181&lt;&gt;BG1180,1,0)))</f>
        <v>0</v>
      </c>
      <c r="BI1181">
        <f>IF($A1181="","",IF($A1182="",1,IF(BG1182&lt;&gt;BG1181,1,0)))</f>
        <v>0</v>
      </c>
      <c r="BJ1181">
        <f>IF($A1181="","",IF(BH1181=1,$B1181,BJ1180))</f>
        <v>0</v>
      </c>
      <c r="BK1181">
        <f>IF($A1181="","",IF(BH1181=1,$C1181,MAX($C1181,BK1180)))</f>
        <v>0</v>
      </c>
      <c r="BL1181">
        <f>IF($A1181="","",IF(BH1181=1,$D1181,MIN($D1181,BL1180)))</f>
        <v>0</v>
      </c>
      <c r="BM1181">
        <f>IF($A1181="","",IF(BI1181=1,F1181,""))</f>
        <v>0</v>
      </c>
      <c r="BN1181">
        <f>IF($A1181="","",DATE(YEAR($A1181),MONTH($A1181),1))</f>
        <v>0</v>
      </c>
      <c r="BO1181">
        <f>IF($A1181="","",IF($A1180="",1,IF(BN1181&lt;&gt;BN1180,1,0)))</f>
        <v>0</v>
      </c>
      <c r="BP1181">
        <f>IF($A1181="","",IF($A1182="",1,IF(BN1182&lt;&gt;BN1181,1,0)))</f>
        <v>0</v>
      </c>
      <c r="BQ1181">
        <f>IF($A1181="","",IF(BO1181=1,$B1181,BQ1180))</f>
        <v>0</v>
      </c>
      <c r="BR1181">
        <f>IF($A1181="","",IF(BO1181=1,$C1181,MAX($C1181,BR1180)))</f>
        <v>0</v>
      </c>
      <c r="BS1181">
        <f>IF($A1181="","",IF(BO1181=1,$D1181,MIN($D1181,BS1180)))</f>
        <v>0</v>
      </c>
      <c r="BT1181">
        <f>IF($A1181="","",IF(BP1181=1,F1181,""))</f>
        <v>0</v>
      </c>
    </row>
    <row r="1182" spans="1:72">
      <c r="A1182" s="27">
        <f>IF(Data!$A1182="","",Data!$A1182)</f>
        <v>0</v>
      </c>
      <c r="B1182">
        <f>IF(Data!$B1182="","",Data!$B1182)</f>
        <v>0</v>
      </c>
      <c r="C1182">
        <f>IF(Data!$C1182="","",Data!$C1182)</f>
        <v>0</v>
      </c>
      <c r="D1182">
        <f>IF(Data!$D1182="","",Data!$D1182)</f>
        <v>0</v>
      </c>
      <c r="E1182">
        <f>IF(Data!$E1182="","",Data!$E1182)</f>
        <v>0</v>
      </c>
      <c r="F1182">
        <f>IF($E1182="","",N(F1181)+1)</f>
        <v>0</v>
      </c>
      <c r="G1182">
        <f>IF(OR($E1182="",$E1181=""),"",LN($E1182/$E1181))</f>
        <v>0</v>
      </c>
      <c r="H1182">
        <f>IF($E1182="","",IF($E1181="",$E1182,$E1182*0.0952380952+H1181*0.9047619048))</f>
        <v>0</v>
      </c>
      <c r="I1182">
        <f>IF($E1182="","",IF($E1181="",$E1182,$E1182*0.0392156863+I1181*0.9607843137))</f>
        <v>0</v>
      </c>
      <c r="J1182">
        <f>IF($E1182="","",IF($E1181="",$E1182,$E1182*0.0198019802+J1181*0.9801980198))</f>
        <v>0</v>
      </c>
      <c r="K1182">
        <f>IF($E1182="","",IF($E1181="",$E1182,$E1182*0.0099502488+K1181*0.9900497512))</f>
        <v>0</v>
      </c>
      <c r="L1182">
        <f>IF(OR($E1182="",$E1181=""),"",MAX($E1182-$E1181,0))</f>
        <v>0</v>
      </c>
      <c r="M1182">
        <f>IF(OR($E1182="",$E1181=""),"",MAX($E1181-$E1182,0))</f>
        <v>0</v>
      </c>
      <c r="N1182">
        <f>IF(COUNT($E$2:$E1182)&lt;15,"",IF(AVERAGE($M$1169:$M$1182)=0,100,100-100/(1+AVERAGE($L$1169:$L$1182)/AVERAGE($M$1169:$M$1182))))</f>
        <v>0</v>
      </c>
      <c r="O1182">
        <f>IF($E1182="","",IF($E1181="",$E1182,$E1182*0.1538461538+O1181*0.8461538462))</f>
        <v>0</v>
      </c>
      <c r="P1182">
        <f>IF($E1182="","",IF($E1181="",$E1182,$E1182*0.0740740741+P1181*0.9259259259))</f>
        <v>0</v>
      </c>
      <c r="Q1182">
        <f>IF(OR(O1182="",P1182=""),"",O1182-P1182)</f>
        <v>0</v>
      </c>
      <c r="R1182">
        <f>IF(Q1182="","",IF(R1181="",Q1182,Q1182*0.2000000000+R1181*0.8000000000))</f>
        <v>0</v>
      </c>
      <c r="S1182">
        <f>IF(OR(Q1182="",R1182=""),"",Q1182-R1182)</f>
        <v>0</v>
      </c>
      <c r="T1182">
        <f>IF(COUNT($E$2:$E1182)&lt;14,"",MAX($C$1169:$C$1182))</f>
        <v>0</v>
      </c>
      <c r="U1182">
        <f>IF(COUNT($E$2:$E1182)&lt;14,"",MIN($D$1169:$D$1182))</f>
        <v>0</v>
      </c>
      <c r="V1182">
        <f>IF(OR(T1182="",U1182="",T1182=U1182),"",100*($E1182-U1182)/(T1182-U1182))</f>
        <v>0</v>
      </c>
      <c r="W1182">
        <f>IF(COUNT($V$1180:$V$1182)&lt;3,"",AVERAGE($V$1180:$V$1182))</f>
        <v>0</v>
      </c>
      <c r="X1182">
        <f>IF(COUNT($N$1169:$N$1182)&lt;14,"",MIN($N$1169:$N$1182))</f>
        <v>0</v>
      </c>
      <c r="Y1182">
        <f>IF(COUNT($N$1169:$N$1182)&lt;14,"",MAX($N$1169:$N$1182))</f>
        <v>0</v>
      </c>
      <c r="Z1182">
        <f>IF(OR(N1182="",X1182="",Y1182="",Y1182=X1182),"",100*(N1182-X1182)/(Y1182-X1182))</f>
        <v>0</v>
      </c>
      <c r="AA1182">
        <f>IF(COUNT($Z$1180:$Z$1182)&lt;3,"",AVERAGE($Z$1180:$Z$1182))</f>
        <v>0</v>
      </c>
      <c r="AB1182">
        <f>IF(COUNT($AA$1180:$AA$1182)&lt;3,"",AVERAGE($AA$1180:$AA$1182))</f>
        <v>0</v>
      </c>
      <c r="AC1182">
        <f>IF($E1182="","",MAX($C1182-$D1182,ABS($C1182-$E1181),ABS($D1182-$E1181)))</f>
        <v>0</v>
      </c>
      <c r="AD1182">
        <f>IF(COUNT($E$2:$E1182)&lt;15,"",AVERAGE($AC$1169:$AC$1182))</f>
        <v>0</v>
      </c>
      <c r="AE1182">
        <f>IF(OR($E1182="",$E1181=""),"",IF(AND(($C1182-$C1181)&gt;($D1181-$D1182),($C1182-$C1181)&gt;0),$C1182-$C1181,0))</f>
        <v>0</v>
      </c>
      <c r="AF1182">
        <f>IF(OR($E1182="",$E1181=""),"",IF(AND(($D1181-$D1182)&gt;($C1182-$C1181),($D1181-$D1182)&gt;0),$D1181-$D1182,0))</f>
        <v>0</v>
      </c>
      <c r="AG1182">
        <f>IF(COUNT($E$2:$E1182)&lt;15,"",IF(SUM($AC$1169:$AC$1182)=0,0,100*SUM($AE$1169:$AE$1182)/SUM($AC$1169:$AC$1182)))</f>
        <v>0</v>
      </c>
      <c r="AH1182">
        <f>IF(COUNT($E$2:$E1182)&lt;15,"",IF(SUM($AC$1169:$AC$1182)=0,0,100*SUM($AF$1169:$AF$1182)/SUM($AC$1169:$AC$1182)))</f>
        <v>0</v>
      </c>
      <c r="AI1182">
        <f>IF(OR(AG1182="",AH1182=""),"",IF((AG1182+AH1182)=0,0,100*ABS(AG1182-AH1182)/(AG1182+AH1182)))</f>
        <v>0</v>
      </c>
      <c r="AJ1182">
        <f>IF(COUNT($AI$1169:$AI$1182)&lt;14,"",AVERAGE($AI$1169:$AI$1182))</f>
        <v>0</v>
      </c>
      <c r="AK1182">
        <f>IF(COUNT($E$2:$E1182)&lt;20,"",AVERAGE($E$1163:$E$1182))</f>
        <v>0</v>
      </c>
      <c r="AL1182">
        <f>IF(COUNT($E$2:$E1182)&lt;20,"",STDEVP($E$1163:$E$1182))</f>
        <v>0</v>
      </c>
      <c r="AM1182">
        <f>IF(AK1182="","",AK1182+2*AL1182)</f>
        <v>0</v>
      </c>
      <c r="AN1182">
        <f>IF(AK1182="","",AK1182-2*AL1182)</f>
        <v>0</v>
      </c>
      <c r="AO1182">
        <f>IF(OR(AM1182="",AN1182="",AM1182=AN1182),"",($E1182-AN1182)/(AM1182-AN1182))</f>
        <v>0</v>
      </c>
      <c r="AP1182">
        <f>IF(OR(AM1182="",AK1182="",AK1182=0),"",(AM1182-AN1182)/AK1182)</f>
        <v>0</v>
      </c>
      <c r="AQ1182">
        <f>IF(COUNT($E$2:$E1182)&lt;20,"",MAX($C$1163:$C$1182))</f>
        <v>0</v>
      </c>
      <c r="AR1182">
        <f>IF(COUNT($E$2:$E1182)&lt;20,"",MIN($D$1163:$D$1182))</f>
        <v>0</v>
      </c>
      <c r="AS1182">
        <f>IF(OR(AQ1182="",AR1182=""),"",(AQ1182+AR1182)/2)</f>
        <v>0</v>
      </c>
      <c r="AT1182">
        <f>IF(COUNT($G$1163:$G$1182)&lt;20,"",STDEV($G$1163:$G$1182)*SQRT(252))</f>
        <v>0</v>
      </c>
      <c r="AU1182">
        <f>IF(COUNT($E$2:$E1182)&lt;9,"",(MAX($C$1174:$C$1182)+MIN($D$1174:$D$1182))/2)</f>
        <v>0</v>
      </c>
      <c r="AV1182">
        <f>IF(COUNT($E$2:$E1182)&lt;26,"",(MAX($C$1157:$C$1182)+MIN($D$1157:$D$1182))/2)</f>
        <v>0</v>
      </c>
      <c r="AW1182">
        <f>IF(OR(AU1182="",AV1182=""),"",(AU1182+AV1182)/2)</f>
        <v>0</v>
      </c>
      <c r="AX1182">
        <f>IF(COUNT($E$2:$E1182)&lt;52,"",(MAX($C$1131:$C$1182)+MIN($D$1131:$D$1182))/2)</f>
        <v>0</v>
      </c>
      <c r="AY1182">
        <f>IF(COUNT($E$2:$E1182)&lt;20,"",MAX($C$1083:$C$1182))</f>
        <v>0</v>
      </c>
      <c r="AZ1182">
        <f>IF(COUNT($E$2:$E1182)&lt;20,"",MIN($D$1083:$D$1182))</f>
        <v>0</v>
      </c>
      <c r="BA1182">
        <f>IF(COUNT($E$2:$E1182)&lt;20,"",SLOPE($E$1083:$E$1182,$F$1083:$F$1182))</f>
        <v>0</v>
      </c>
      <c r="BB1182">
        <f>IF(COUNT($E$2:$E1182)&lt;20,"",INTERCEPT($E$1083:$E$1182,$F$1083:$F$1182))</f>
        <v>0</v>
      </c>
      <c r="BC1182">
        <f>IF(OR(BA1182="",BB1182=""),"",BB1182+BA1182*F1182)</f>
        <v>0</v>
      </c>
      <c r="BD1182">
        <f>IF(COUNT($E$2:$E1182)&lt;20,"",STEYX($E$1083:$E$1182,$F$1083:$F$1182))</f>
        <v>0</v>
      </c>
      <c r="BE1182">
        <f>IF($E1182="","",IF(AND(COUNT($E$1183:$E$1186)&gt;=4,$C1182=MAX($C$1178:$C$1186)),$C1182,""))</f>
        <v>0</v>
      </c>
      <c r="BF1182">
        <f>IF($E1182="","",IF(AND(COUNT($E$1183:$E$1186)&gt;=4,$D1182=MIN($D$1178:$D$1186)),$D1182,""))</f>
        <v>0</v>
      </c>
      <c r="BG1182">
        <f>IF($A1182="","",$A1182-WEEKDAY($A1182,2)+1)</f>
        <v>0</v>
      </c>
      <c r="BH1182">
        <f>IF($A1182="","",IF($A1181="",1,IF(BG1182&lt;&gt;BG1181,1,0)))</f>
        <v>0</v>
      </c>
      <c r="BI1182">
        <f>IF($A1182="","",IF($A1183="",1,IF(BG1183&lt;&gt;BG1182,1,0)))</f>
        <v>0</v>
      </c>
      <c r="BJ1182">
        <f>IF($A1182="","",IF(BH1182=1,$B1182,BJ1181))</f>
        <v>0</v>
      </c>
      <c r="BK1182">
        <f>IF($A1182="","",IF(BH1182=1,$C1182,MAX($C1182,BK1181)))</f>
        <v>0</v>
      </c>
      <c r="BL1182">
        <f>IF($A1182="","",IF(BH1182=1,$D1182,MIN($D1182,BL1181)))</f>
        <v>0</v>
      </c>
      <c r="BM1182">
        <f>IF($A1182="","",IF(BI1182=1,F1182,""))</f>
        <v>0</v>
      </c>
      <c r="BN1182">
        <f>IF($A1182="","",DATE(YEAR($A1182),MONTH($A1182),1))</f>
        <v>0</v>
      </c>
      <c r="BO1182">
        <f>IF($A1182="","",IF($A1181="",1,IF(BN1182&lt;&gt;BN1181,1,0)))</f>
        <v>0</v>
      </c>
      <c r="BP1182">
        <f>IF($A1182="","",IF($A1183="",1,IF(BN1183&lt;&gt;BN1182,1,0)))</f>
        <v>0</v>
      </c>
      <c r="BQ1182">
        <f>IF($A1182="","",IF(BO1182=1,$B1182,BQ1181))</f>
        <v>0</v>
      </c>
      <c r="BR1182">
        <f>IF($A1182="","",IF(BO1182=1,$C1182,MAX($C1182,BR1181)))</f>
        <v>0</v>
      </c>
      <c r="BS1182">
        <f>IF($A1182="","",IF(BO1182=1,$D1182,MIN($D1182,BS1181)))</f>
        <v>0</v>
      </c>
      <c r="BT1182">
        <f>IF($A1182="","",IF(BP1182=1,F1182,""))</f>
        <v>0</v>
      </c>
    </row>
    <row r="1183" spans="1:72">
      <c r="A1183" s="27">
        <f>IF(Data!$A1183="","",Data!$A1183)</f>
        <v>0</v>
      </c>
      <c r="B1183">
        <f>IF(Data!$B1183="","",Data!$B1183)</f>
        <v>0</v>
      </c>
      <c r="C1183">
        <f>IF(Data!$C1183="","",Data!$C1183)</f>
        <v>0</v>
      </c>
      <c r="D1183">
        <f>IF(Data!$D1183="","",Data!$D1183)</f>
        <v>0</v>
      </c>
      <c r="E1183">
        <f>IF(Data!$E1183="","",Data!$E1183)</f>
        <v>0</v>
      </c>
      <c r="F1183">
        <f>IF($E1183="","",N(F1182)+1)</f>
        <v>0</v>
      </c>
      <c r="G1183">
        <f>IF(OR($E1183="",$E1182=""),"",LN($E1183/$E1182))</f>
        <v>0</v>
      </c>
      <c r="H1183">
        <f>IF($E1183="","",IF($E1182="",$E1183,$E1183*0.0952380952+H1182*0.9047619048))</f>
        <v>0</v>
      </c>
      <c r="I1183">
        <f>IF($E1183="","",IF($E1182="",$E1183,$E1183*0.0392156863+I1182*0.9607843137))</f>
        <v>0</v>
      </c>
      <c r="J1183">
        <f>IF($E1183="","",IF($E1182="",$E1183,$E1183*0.0198019802+J1182*0.9801980198))</f>
        <v>0</v>
      </c>
      <c r="K1183">
        <f>IF($E1183="","",IF($E1182="",$E1183,$E1183*0.0099502488+K1182*0.9900497512))</f>
        <v>0</v>
      </c>
      <c r="L1183">
        <f>IF(OR($E1183="",$E1182=""),"",MAX($E1183-$E1182,0))</f>
        <v>0</v>
      </c>
      <c r="M1183">
        <f>IF(OR($E1183="",$E1182=""),"",MAX($E1182-$E1183,0))</f>
        <v>0</v>
      </c>
      <c r="N1183">
        <f>IF(COUNT($E$2:$E1183)&lt;15,"",IF(AVERAGE($M$1170:$M$1183)=0,100,100-100/(1+AVERAGE($L$1170:$L$1183)/AVERAGE($M$1170:$M$1183))))</f>
        <v>0</v>
      </c>
      <c r="O1183">
        <f>IF($E1183="","",IF($E1182="",$E1183,$E1183*0.1538461538+O1182*0.8461538462))</f>
        <v>0</v>
      </c>
      <c r="P1183">
        <f>IF($E1183="","",IF($E1182="",$E1183,$E1183*0.0740740741+P1182*0.9259259259))</f>
        <v>0</v>
      </c>
      <c r="Q1183">
        <f>IF(OR(O1183="",P1183=""),"",O1183-P1183)</f>
        <v>0</v>
      </c>
      <c r="R1183">
        <f>IF(Q1183="","",IF(R1182="",Q1183,Q1183*0.2000000000+R1182*0.8000000000))</f>
        <v>0</v>
      </c>
      <c r="S1183">
        <f>IF(OR(Q1183="",R1183=""),"",Q1183-R1183)</f>
        <v>0</v>
      </c>
      <c r="T1183">
        <f>IF(COUNT($E$2:$E1183)&lt;14,"",MAX($C$1170:$C$1183))</f>
        <v>0</v>
      </c>
      <c r="U1183">
        <f>IF(COUNT($E$2:$E1183)&lt;14,"",MIN($D$1170:$D$1183))</f>
        <v>0</v>
      </c>
      <c r="V1183">
        <f>IF(OR(T1183="",U1183="",T1183=U1183),"",100*($E1183-U1183)/(T1183-U1183))</f>
        <v>0</v>
      </c>
      <c r="W1183">
        <f>IF(COUNT($V$1181:$V$1183)&lt;3,"",AVERAGE($V$1181:$V$1183))</f>
        <v>0</v>
      </c>
      <c r="X1183">
        <f>IF(COUNT($N$1170:$N$1183)&lt;14,"",MIN($N$1170:$N$1183))</f>
        <v>0</v>
      </c>
      <c r="Y1183">
        <f>IF(COUNT($N$1170:$N$1183)&lt;14,"",MAX($N$1170:$N$1183))</f>
        <v>0</v>
      </c>
      <c r="Z1183">
        <f>IF(OR(N1183="",X1183="",Y1183="",Y1183=X1183),"",100*(N1183-X1183)/(Y1183-X1183))</f>
        <v>0</v>
      </c>
      <c r="AA1183">
        <f>IF(COUNT($Z$1181:$Z$1183)&lt;3,"",AVERAGE($Z$1181:$Z$1183))</f>
        <v>0</v>
      </c>
      <c r="AB1183">
        <f>IF(COUNT($AA$1181:$AA$1183)&lt;3,"",AVERAGE($AA$1181:$AA$1183))</f>
        <v>0</v>
      </c>
      <c r="AC1183">
        <f>IF($E1183="","",MAX($C1183-$D1183,ABS($C1183-$E1182),ABS($D1183-$E1182)))</f>
        <v>0</v>
      </c>
      <c r="AD1183">
        <f>IF(COUNT($E$2:$E1183)&lt;15,"",AVERAGE($AC$1170:$AC$1183))</f>
        <v>0</v>
      </c>
      <c r="AE1183">
        <f>IF(OR($E1183="",$E1182=""),"",IF(AND(($C1183-$C1182)&gt;($D1182-$D1183),($C1183-$C1182)&gt;0),$C1183-$C1182,0))</f>
        <v>0</v>
      </c>
      <c r="AF1183">
        <f>IF(OR($E1183="",$E1182=""),"",IF(AND(($D1182-$D1183)&gt;($C1183-$C1182),($D1182-$D1183)&gt;0),$D1182-$D1183,0))</f>
        <v>0</v>
      </c>
      <c r="AG1183">
        <f>IF(COUNT($E$2:$E1183)&lt;15,"",IF(SUM($AC$1170:$AC$1183)=0,0,100*SUM($AE$1170:$AE$1183)/SUM($AC$1170:$AC$1183)))</f>
        <v>0</v>
      </c>
      <c r="AH1183">
        <f>IF(COUNT($E$2:$E1183)&lt;15,"",IF(SUM($AC$1170:$AC$1183)=0,0,100*SUM($AF$1170:$AF$1183)/SUM($AC$1170:$AC$1183)))</f>
        <v>0</v>
      </c>
      <c r="AI1183">
        <f>IF(OR(AG1183="",AH1183=""),"",IF((AG1183+AH1183)=0,0,100*ABS(AG1183-AH1183)/(AG1183+AH1183)))</f>
        <v>0</v>
      </c>
      <c r="AJ1183">
        <f>IF(COUNT($AI$1170:$AI$1183)&lt;14,"",AVERAGE($AI$1170:$AI$1183))</f>
        <v>0</v>
      </c>
      <c r="AK1183">
        <f>IF(COUNT($E$2:$E1183)&lt;20,"",AVERAGE($E$1164:$E$1183))</f>
        <v>0</v>
      </c>
      <c r="AL1183">
        <f>IF(COUNT($E$2:$E1183)&lt;20,"",STDEVP($E$1164:$E$1183))</f>
        <v>0</v>
      </c>
      <c r="AM1183">
        <f>IF(AK1183="","",AK1183+2*AL1183)</f>
        <v>0</v>
      </c>
      <c r="AN1183">
        <f>IF(AK1183="","",AK1183-2*AL1183)</f>
        <v>0</v>
      </c>
      <c r="AO1183">
        <f>IF(OR(AM1183="",AN1183="",AM1183=AN1183),"",($E1183-AN1183)/(AM1183-AN1183))</f>
        <v>0</v>
      </c>
      <c r="AP1183">
        <f>IF(OR(AM1183="",AK1183="",AK1183=0),"",(AM1183-AN1183)/AK1183)</f>
        <v>0</v>
      </c>
      <c r="AQ1183">
        <f>IF(COUNT($E$2:$E1183)&lt;20,"",MAX($C$1164:$C$1183))</f>
        <v>0</v>
      </c>
      <c r="AR1183">
        <f>IF(COUNT($E$2:$E1183)&lt;20,"",MIN($D$1164:$D$1183))</f>
        <v>0</v>
      </c>
      <c r="AS1183">
        <f>IF(OR(AQ1183="",AR1183=""),"",(AQ1183+AR1183)/2)</f>
        <v>0</v>
      </c>
      <c r="AT1183">
        <f>IF(COUNT($G$1164:$G$1183)&lt;20,"",STDEV($G$1164:$G$1183)*SQRT(252))</f>
        <v>0</v>
      </c>
      <c r="AU1183">
        <f>IF(COUNT($E$2:$E1183)&lt;9,"",(MAX($C$1175:$C$1183)+MIN($D$1175:$D$1183))/2)</f>
        <v>0</v>
      </c>
      <c r="AV1183">
        <f>IF(COUNT($E$2:$E1183)&lt;26,"",(MAX($C$1158:$C$1183)+MIN($D$1158:$D$1183))/2)</f>
        <v>0</v>
      </c>
      <c r="AW1183">
        <f>IF(OR(AU1183="",AV1183=""),"",(AU1183+AV1183)/2)</f>
        <v>0</v>
      </c>
      <c r="AX1183">
        <f>IF(COUNT($E$2:$E1183)&lt;52,"",(MAX($C$1132:$C$1183)+MIN($D$1132:$D$1183))/2)</f>
        <v>0</v>
      </c>
      <c r="AY1183">
        <f>IF(COUNT($E$2:$E1183)&lt;20,"",MAX($C$1084:$C$1183))</f>
        <v>0</v>
      </c>
      <c r="AZ1183">
        <f>IF(COUNT($E$2:$E1183)&lt;20,"",MIN($D$1084:$D$1183))</f>
        <v>0</v>
      </c>
      <c r="BA1183">
        <f>IF(COUNT($E$2:$E1183)&lt;20,"",SLOPE($E$1084:$E$1183,$F$1084:$F$1183))</f>
        <v>0</v>
      </c>
      <c r="BB1183">
        <f>IF(COUNT($E$2:$E1183)&lt;20,"",INTERCEPT($E$1084:$E$1183,$F$1084:$F$1183))</f>
        <v>0</v>
      </c>
      <c r="BC1183">
        <f>IF(OR(BA1183="",BB1183=""),"",BB1183+BA1183*F1183)</f>
        <v>0</v>
      </c>
      <c r="BD1183">
        <f>IF(COUNT($E$2:$E1183)&lt;20,"",STEYX($E$1084:$E$1183,$F$1084:$F$1183))</f>
        <v>0</v>
      </c>
      <c r="BE1183">
        <f>IF($E1183="","",IF(AND(COUNT($E$1184:$E$1187)&gt;=4,$C1183=MAX($C$1179:$C$1187)),$C1183,""))</f>
        <v>0</v>
      </c>
      <c r="BF1183">
        <f>IF($E1183="","",IF(AND(COUNT($E$1184:$E$1187)&gt;=4,$D1183=MIN($D$1179:$D$1187)),$D1183,""))</f>
        <v>0</v>
      </c>
      <c r="BG1183">
        <f>IF($A1183="","",$A1183-WEEKDAY($A1183,2)+1)</f>
        <v>0</v>
      </c>
      <c r="BH1183">
        <f>IF($A1183="","",IF($A1182="",1,IF(BG1183&lt;&gt;BG1182,1,0)))</f>
        <v>0</v>
      </c>
      <c r="BI1183">
        <f>IF($A1183="","",IF($A1184="",1,IF(BG1184&lt;&gt;BG1183,1,0)))</f>
        <v>0</v>
      </c>
      <c r="BJ1183">
        <f>IF($A1183="","",IF(BH1183=1,$B1183,BJ1182))</f>
        <v>0</v>
      </c>
      <c r="BK1183">
        <f>IF($A1183="","",IF(BH1183=1,$C1183,MAX($C1183,BK1182)))</f>
        <v>0</v>
      </c>
      <c r="BL1183">
        <f>IF($A1183="","",IF(BH1183=1,$D1183,MIN($D1183,BL1182)))</f>
        <v>0</v>
      </c>
      <c r="BM1183">
        <f>IF($A1183="","",IF(BI1183=1,F1183,""))</f>
        <v>0</v>
      </c>
      <c r="BN1183">
        <f>IF($A1183="","",DATE(YEAR($A1183),MONTH($A1183),1))</f>
        <v>0</v>
      </c>
      <c r="BO1183">
        <f>IF($A1183="","",IF($A1182="",1,IF(BN1183&lt;&gt;BN1182,1,0)))</f>
        <v>0</v>
      </c>
      <c r="BP1183">
        <f>IF($A1183="","",IF($A1184="",1,IF(BN1184&lt;&gt;BN1183,1,0)))</f>
        <v>0</v>
      </c>
      <c r="BQ1183">
        <f>IF($A1183="","",IF(BO1183=1,$B1183,BQ1182))</f>
        <v>0</v>
      </c>
      <c r="BR1183">
        <f>IF($A1183="","",IF(BO1183=1,$C1183,MAX($C1183,BR1182)))</f>
        <v>0</v>
      </c>
      <c r="BS1183">
        <f>IF($A1183="","",IF(BO1183=1,$D1183,MIN($D1183,BS1182)))</f>
        <v>0</v>
      </c>
      <c r="BT1183">
        <f>IF($A1183="","",IF(BP1183=1,F1183,""))</f>
        <v>0</v>
      </c>
    </row>
    <row r="1184" spans="1:72">
      <c r="A1184" s="27">
        <f>IF(Data!$A1184="","",Data!$A1184)</f>
        <v>0</v>
      </c>
      <c r="B1184">
        <f>IF(Data!$B1184="","",Data!$B1184)</f>
        <v>0</v>
      </c>
      <c r="C1184">
        <f>IF(Data!$C1184="","",Data!$C1184)</f>
        <v>0</v>
      </c>
      <c r="D1184">
        <f>IF(Data!$D1184="","",Data!$D1184)</f>
        <v>0</v>
      </c>
      <c r="E1184">
        <f>IF(Data!$E1184="","",Data!$E1184)</f>
        <v>0</v>
      </c>
      <c r="F1184">
        <f>IF($E1184="","",N(F1183)+1)</f>
        <v>0</v>
      </c>
      <c r="G1184">
        <f>IF(OR($E1184="",$E1183=""),"",LN($E1184/$E1183))</f>
        <v>0</v>
      </c>
      <c r="H1184">
        <f>IF($E1184="","",IF($E1183="",$E1184,$E1184*0.0952380952+H1183*0.9047619048))</f>
        <v>0</v>
      </c>
      <c r="I1184">
        <f>IF($E1184="","",IF($E1183="",$E1184,$E1184*0.0392156863+I1183*0.9607843137))</f>
        <v>0</v>
      </c>
      <c r="J1184">
        <f>IF($E1184="","",IF($E1183="",$E1184,$E1184*0.0198019802+J1183*0.9801980198))</f>
        <v>0</v>
      </c>
      <c r="K1184">
        <f>IF($E1184="","",IF($E1183="",$E1184,$E1184*0.0099502488+K1183*0.9900497512))</f>
        <v>0</v>
      </c>
      <c r="L1184">
        <f>IF(OR($E1184="",$E1183=""),"",MAX($E1184-$E1183,0))</f>
        <v>0</v>
      </c>
      <c r="M1184">
        <f>IF(OR($E1184="",$E1183=""),"",MAX($E1183-$E1184,0))</f>
        <v>0</v>
      </c>
      <c r="N1184">
        <f>IF(COUNT($E$2:$E1184)&lt;15,"",IF(AVERAGE($M$1171:$M$1184)=0,100,100-100/(1+AVERAGE($L$1171:$L$1184)/AVERAGE($M$1171:$M$1184))))</f>
        <v>0</v>
      </c>
      <c r="O1184">
        <f>IF($E1184="","",IF($E1183="",$E1184,$E1184*0.1538461538+O1183*0.8461538462))</f>
        <v>0</v>
      </c>
      <c r="P1184">
        <f>IF($E1184="","",IF($E1183="",$E1184,$E1184*0.0740740741+P1183*0.9259259259))</f>
        <v>0</v>
      </c>
      <c r="Q1184">
        <f>IF(OR(O1184="",P1184=""),"",O1184-P1184)</f>
        <v>0</v>
      </c>
      <c r="R1184">
        <f>IF(Q1184="","",IF(R1183="",Q1184,Q1184*0.2000000000+R1183*0.8000000000))</f>
        <v>0</v>
      </c>
      <c r="S1184">
        <f>IF(OR(Q1184="",R1184=""),"",Q1184-R1184)</f>
        <v>0</v>
      </c>
      <c r="T1184">
        <f>IF(COUNT($E$2:$E1184)&lt;14,"",MAX($C$1171:$C$1184))</f>
        <v>0</v>
      </c>
      <c r="U1184">
        <f>IF(COUNT($E$2:$E1184)&lt;14,"",MIN($D$1171:$D$1184))</f>
        <v>0</v>
      </c>
      <c r="V1184">
        <f>IF(OR(T1184="",U1184="",T1184=U1184),"",100*($E1184-U1184)/(T1184-U1184))</f>
        <v>0</v>
      </c>
      <c r="W1184">
        <f>IF(COUNT($V$1182:$V$1184)&lt;3,"",AVERAGE($V$1182:$V$1184))</f>
        <v>0</v>
      </c>
      <c r="X1184">
        <f>IF(COUNT($N$1171:$N$1184)&lt;14,"",MIN($N$1171:$N$1184))</f>
        <v>0</v>
      </c>
      <c r="Y1184">
        <f>IF(COUNT($N$1171:$N$1184)&lt;14,"",MAX($N$1171:$N$1184))</f>
        <v>0</v>
      </c>
      <c r="Z1184">
        <f>IF(OR(N1184="",X1184="",Y1184="",Y1184=X1184),"",100*(N1184-X1184)/(Y1184-X1184))</f>
        <v>0</v>
      </c>
      <c r="AA1184">
        <f>IF(COUNT($Z$1182:$Z$1184)&lt;3,"",AVERAGE($Z$1182:$Z$1184))</f>
        <v>0</v>
      </c>
      <c r="AB1184">
        <f>IF(COUNT($AA$1182:$AA$1184)&lt;3,"",AVERAGE($AA$1182:$AA$1184))</f>
        <v>0</v>
      </c>
      <c r="AC1184">
        <f>IF($E1184="","",MAX($C1184-$D1184,ABS($C1184-$E1183),ABS($D1184-$E1183)))</f>
        <v>0</v>
      </c>
      <c r="AD1184">
        <f>IF(COUNT($E$2:$E1184)&lt;15,"",AVERAGE($AC$1171:$AC$1184))</f>
        <v>0</v>
      </c>
      <c r="AE1184">
        <f>IF(OR($E1184="",$E1183=""),"",IF(AND(($C1184-$C1183)&gt;($D1183-$D1184),($C1184-$C1183)&gt;0),$C1184-$C1183,0))</f>
        <v>0</v>
      </c>
      <c r="AF1184">
        <f>IF(OR($E1184="",$E1183=""),"",IF(AND(($D1183-$D1184)&gt;($C1184-$C1183),($D1183-$D1184)&gt;0),$D1183-$D1184,0))</f>
        <v>0</v>
      </c>
      <c r="AG1184">
        <f>IF(COUNT($E$2:$E1184)&lt;15,"",IF(SUM($AC$1171:$AC$1184)=0,0,100*SUM($AE$1171:$AE$1184)/SUM($AC$1171:$AC$1184)))</f>
        <v>0</v>
      </c>
      <c r="AH1184">
        <f>IF(COUNT($E$2:$E1184)&lt;15,"",IF(SUM($AC$1171:$AC$1184)=0,0,100*SUM($AF$1171:$AF$1184)/SUM($AC$1171:$AC$1184)))</f>
        <v>0</v>
      </c>
      <c r="AI1184">
        <f>IF(OR(AG1184="",AH1184=""),"",IF((AG1184+AH1184)=0,0,100*ABS(AG1184-AH1184)/(AG1184+AH1184)))</f>
        <v>0</v>
      </c>
      <c r="AJ1184">
        <f>IF(COUNT($AI$1171:$AI$1184)&lt;14,"",AVERAGE($AI$1171:$AI$1184))</f>
        <v>0</v>
      </c>
      <c r="AK1184">
        <f>IF(COUNT($E$2:$E1184)&lt;20,"",AVERAGE($E$1165:$E$1184))</f>
        <v>0</v>
      </c>
      <c r="AL1184">
        <f>IF(COUNT($E$2:$E1184)&lt;20,"",STDEVP($E$1165:$E$1184))</f>
        <v>0</v>
      </c>
      <c r="AM1184">
        <f>IF(AK1184="","",AK1184+2*AL1184)</f>
        <v>0</v>
      </c>
      <c r="AN1184">
        <f>IF(AK1184="","",AK1184-2*AL1184)</f>
        <v>0</v>
      </c>
      <c r="AO1184">
        <f>IF(OR(AM1184="",AN1184="",AM1184=AN1184),"",($E1184-AN1184)/(AM1184-AN1184))</f>
        <v>0</v>
      </c>
      <c r="AP1184">
        <f>IF(OR(AM1184="",AK1184="",AK1184=0),"",(AM1184-AN1184)/AK1184)</f>
        <v>0</v>
      </c>
      <c r="AQ1184">
        <f>IF(COUNT($E$2:$E1184)&lt;20,"",MAX($C$1165:$C$1184))</f>
        <v>0</v>
      </c>
      <c r="AR1184">
        <f>IF(COUNT($E$2:$E1184)&lt;20,"",MIN($D$1165:$D$1184))</f>
        <v>0</v>
      </c>
      <c r="AS1184">
        <f>IF(OR(AQ1184="",AR1184=""),"",(AQ1184+AR1184)/2)</f>
        <v>0</v>
      </c>
      <c r="AT1184">
        <f>IF(COUNT($G$1165:$G$1184)&lt;20,"",STDEV($G$1165:$G$1184)*SQRT(252))</f>
        <v>0</v>
      </c>
      <c r="AU1184">
        <f>IF(COUNT($E$2:$E1184)&lt;9,"",(MAX($C$1176:$C$1184)+MIN($D$1176:$D$1184))/2)</f>
        <v>0</v>
      </c>
      <c r="AV1184">
        <f>IF(COUNT($E$2:$E1184)&lt;26,"",(MAX($C$1159:$C$1184)+MIN($D$1159:$D$1184))/2)</f>
        <v>0</v>
      </c>
      <c r="AW1184">
        <f>IF(OR(AU1184="",AV1184=""),"",(AU1184+AV1184)/2)</f>
        <v>0</v>
      </c>
      <c r="AX1184">
        <f>IF(COUNT($E$2:$E1184)&lt;52,"",(MAX($C$1133:$C$1184)+MIN($D$1133:$D$1184))/2)</f>
        <v>0</v>
      </c>
      <c r="AY1184">
        <f>IF(COUNT($E$2:$E1184)&lt;20,"",MAX($C$1085:$C$1184))</f>
        <v>0</v>
      </c>
      <c r="AZ1184">
        <f>IF(COUNT($E$2:$E1184)&lt;20,"",MIN($D$1085:$D$1184))</f>
        <v>0</v>
      </c>
      <c r="BA1184">
        <f>IF(COUNT($E$2:$E1184)&lt;20,"",SLOPE($E$1085:$E$1184,$F$1085:$F$1184))</f>
        <v>0</v>
      </c>
      <c r="BB1184">
        <f>IF(COUNT($E$2:$E1184)&lt;20,"",INTERCEPT($E$1085:$E$1184,$F$1085:$F$1184))</f>
        <v>0</v>
      </c>
      <c r="BC1184">
        <f>IF(OR(BA1184="",BB1184=""),"",BB1184+BA1184*F1184)</f>
        <v>0</v>
      </c>
      <c r="BD1184">
        <f>IF(COUNT($E$2:$E1184)&lt;20,"",STEYX($E$1085:$E$1184,$F$1085:$F$1184))</f>
        <v>0</v>
      </c>
      <c r="BE1184">
        <f>IF($E1184="","",IF(AND(COUNT($E$1185:$E$1188)&gt;=4,$C1184=MAX($C$1180:$C$1188)),$C1184,""))</f>
        <v>0</v>
      </c>
      <c r="BF1184">
        <f>IF($E1184="","",IF(AND(COUNT($E$1185:$E$1188)&gt;=4,$D1184=MIN($D$1180:$D$1188)),$D1184,""))</f>
        <v>0</v>
      </c>
      <c r="BG1184">
        <f>IF($A1184="","",$A1184-WEEKDAY($A1184,2)+1)</f>
        <v>0</v>
      </c>
      <c r="BH1184">
        <f>IF($A1184="","",IF($A1183="",1,IF(BG1184&lt;&gt;BG1183,1,0)))</f>
        <v>0</v>
      </c>
      <c r="BI1184">
        <f>IF($A1184="","",IF($A1185="",1,IF(BG1185&lt;&gt;BG1184,1,0)))</f>
        <v>0</v>
      </c>
      <c r="BJ1184">
        <f>IF($A1184="","",IF(BH1184=1,$B1184,BJ1183))</f>
        <v>0</v>
      </c>
      <c r="BK1184">
        <f>IF($A1184="","",IF(BH1184=1,$C1184,MAX($C1184,BK1183)))</f>
        <v>0</v>
      </c>
      <c r="BL1184">
        <f>IF($A1184="","",IF(BH1184=1,$D1184,MIN($D1184,BL1183)))</f>
        <v>0</v>
      </c>
      <c r="BM1184">
        <f>IF($A1184="","",IF(BI1184=1,F1184,""))</f>
        <v>0</v>
      </c>
      <c r="BN1184">
        <f>IF($A1184="","",DATE(YEAR($A1184),MONTH($A1184),1))</f>
        <v>0</v>
      </c>
      <c r="BO1184">
        <f>IF($A1184="","",IF($A1183="",1,IF(BN1184&lt;&gt;BN1183,1,0)))</f>
        <v>0</v>
      </c>
      <c r="BP1184">
        <f>IF($A1184="","",IF($A1185="",1,IF(BN1185&lt;&gt;BN1184,1,0)))</f>
        <v>0</v>
      </c>
      <c r="BQ1184">
        <f>IF($A1184="","",IF(BO1184=1,$B1184,BQ1183))</f>
        <v>0</v>
      </c>
      <c r="BR1184">
        <f>IF($A1184="","",IF(BO1184=1,$C1184,MAX($C1184,BR1183)))</f>
        <v>0</v>
      </c>
      <c r="BS1184">
        <f>IF($A1184="","",IF(BO1184=1,$D1184,MIN($D1184,BS1183)))</f>
        <v>0</v>
      </c>
      <c r="BT1184">
        <f>IF($A1184="","",IF(BP1184=1,F1184,""))</f>
        <v>0</v>
      </c>
    </row>
    <row r="1185" spans="1:72">
      <c r="A1185" s="27">
        <f>IF(Data!$A1185="","",Data!$A1185)</f>
        <v>0</v>
      </c>
      <c r="B1185">
        <f>IF(Data!$B1185="","",Data!$B1185)</f>
        <v>0</v>
      </c>
      <c r="C1185">
        <f>IF(Data!$C1185="","",Data!$C1185)</f>
        <v>0</v>
      </c>
      <c r="D1185">
        <f>IF(Data!$D1185="","",Data!$D1185)</f>
        <v>0</v>
      </c>
      <c r="E1185">
        <f>IF(Data!$E1185="","",Data!$E1185)</f>
        <v>0</v>
      </c>
      <c r="F1185">
        <f>IF($E1185="","",N(F1184)+1)</f>
        <v>0</v>
      </c>
      <c r="G1185">
        <f>IF(OR($E1185="",$E1184=""),"",LN($E1185/$E1184))</f>
        <v>0</v>
      </c>
      <c r="H1185">
        <f>IF($E1185="","",IF($E1184="",$E1185,$E1185*0.0952380952+H1184*0.9047619048))</f>
        <v>0</v>
      </c>
      <c r="I1185">
        <f>IF($E1185="","",IF($E1184="",$E1185,$E1185*0.0392156863+I1184*0.9607843137))</f>
        <v>0</v>
      </c>
      <c r="J1185">
        <f>IF($E1185="","",IF($E1184="",$E1185,$E1185*0.0198019802+J1184*0.9801980198))</f>
        <v>0</v>
      </c>
      <c r="K1185">
        <f>IF($E1185="","",IF($E1184="",$E1185,$E1185*0.0099502488+K1184*0.9900497512))</f>
        <v>0</v>
      </c>
      <c r="L1185">
        <f>IF(OR($E1185="",$E1184=""),"",MAX($E1185-$E1184,0))</f>
        <v>0</v>
      </c>
      <c r="M1185">
        <f>IF(OR($E1185="",$E1184=""),"",MAX($E1184-$E1185,0))</f>
        <v>0</v>
      </c>
      <c r="N1185">
        <f>IF(COUNT($E$2:$E1185)&lt;15,"",IF(AVERAGE($M$1172:$M$1185)=0,100,100-100/(1+AVERAGE($L$1172:$L$1185)/AVERAGE($M$1172:$M$1185))))</f>
        <v>0</v>
      </c>
      <c r="O1185">
        <f>IF($E1185="","",IF($E1184="",$E1185,$E1185*0.1538461538+O1184*0.8461538462))</f>
        <v>0</v>
      </c>
      <c r="P1185">
        <f>IF($E1185="","",IF($E1184="",$E1185,$E1185*0.0740740741+P1184*0.9259259259))</f>
        <v>0</v>
      </c>
      <c r="Q1185">
        <f>IF(OR(O1185="",P1185=""),"",O1185-P1185)</f>
        <v>0</v>
      </c>
      <c r="R1185">
        <f>IF(Q1185="","",IF(R1184="",Q1185,Q1185*0.2000000000+R1184*0.8000000000))</f>
        <v>0</v>
      </c>
      <c r="S1185">
        <f>IF(OR(Q1185="",R1185=""),"",Q1185-R1185)</f>
        <v>0</v>
      </c>
      <c r="T1185">
        <f>IF(COUNT($E$2:$E1185)&lt;14,"",MAX($C$1172:$C$1185))</f>
        <v>0</v>
      </c>
      <c r="U1185">
        <f>IF(COUNT($E$2:$E1185)&lt;14,"",MIN($D$1172:$D$1185))</f>
        <v>0</v>
      </c>
      <c r="V1185">
        <f>IF(OR(T1185="",U1185="",T1185=U1185),"",100*($E1185-U1185)/(T1185-U1185))</f>
        <v>0</v>
      </c>
      <c r="W1185">
        <f>IF(COUNT($V$1183:$V$1185)&lt;3,"",AVERAGE($V$1183:$V$1185))</f>
        <v>0</v>
      </c>
      <c r="X1185">
        <f>IF(COUNT($N$1172:$N$1185)&lt;14,"",MIN($N$1172:$N$1185))</f>
        <v>0</v>
      </c>
      <c r="Y1185">
        <f>IF(COUNT($N$1172:$N$1185)&lt;14,"",MAX($N$1172:$N$1185))</f>
        <v>0</v>
      </c>
      <c r="Z1185">
        <f>IF(OR(N1185="",X1185="",Y1185="",Y1185=X1185),"",100*(N1185-X1185)/(Y1185-X1185))</f>
        <v>0</v>
      </c>
      <c r="AA1185">
        <f>IF(COUNT($Z$1183:$Z$1185)&lt;3,"",AVERAGE($Z$1183:$Z$1185))</f>
        <v>0</v>
      </c>
      <c r="AB1185">
        <f>IF(COUNT($AA$1183:$AA$1185)&lt;3,"",AVERAGE($AA$1183:$AA$1185))</f>
        <v>0</v>
      </c>
      <c r="AC1185">
        <f>IF($E1185="","",MAX($C1185-$D1185,ABS($C1185-$E1184),ABS($D1185-$E1184)))</f>
        <v>0</v>
      </c>
      <c r="AD1185">
        <f>IF(COUNT($E$2:$E1185)&lt;15,"",AVERAGE($AC$1172:$AC$1185))</f>
        <v>0</v>
      </c>
      <c r="AE1185">
        <f>IF(OR($E1185="",$E1184=""),"",IF(AND(($C1185-$C1184)&gt;($D1184-$D1185),($C1185-$C1184)&gt;0),$C1185-$C1184,0))</f>
        <v>0</v>
      </c>
      <c r="AF1185">
        <f>IF(OR($E1185="",$E1184=""),"",IF(AND(($D1184-$D1185)&gt;($C1185-$C1184),($D1184-$D1185)&gt;0),$D1184-$D1185,0))</f>
        <v>0</v>
      </c>
      <c r="AG1185">
        <f>IF(COUNT($E$2:$E1185)&lt;15,"",IF(SUM($AC$1172:$AC$1185)=0,0,100*SUM($AE$1172:$AE$1185)/SUM($AC$1172:$AC$1185)))</f>
        <v>0</v>
      </c>
      <c r="AH1185">
        <f>IF(COUNT($E$2:$E1185)&lt;15,"",IF(SUM($AC$1172:$AC$1185)=0,0,100*SUM($AF$1172:$AF$1185)/SUM($AC$1172:$AC$1185)))</f>
        <v>0</v>
      </c>
      <c r="AI1185">
        <f>IF(OR(AG1185="",AH1185=""),"",IF((AG1185+AH1185)=0,0,100*ABS(AG1185-AH1185)/(AG1185+AH1185)))</f>
        <v>0</v>
      </c>
      <c r="AJ1185">
        <f>IF(COUNT($AI$1172:$AI$1185)&lt;14,"",AVERAGE($AI$1172:$AI$1185))</f>
        <v>0</v>
      </c>
      <c r="AK1185">
        <f>IF(COUNT($E$2:$E1185)&lt;20,"",AVERAGE($E$1166:$E$1185))</f>
        <v>0</v>
      </c>
      <c r="AL1185">
        <f>IF(COUNT($E$2:$E1185)&lt;20,"",STDEVP($E$1166:$E$1185))</f>
        <v>0</v>
      </c>
      <c r="AM1185">
        <f>IF(AK1185="","",AK1185+2*AL1185)</f>
        <v>0</v>
      </c>
      <c r="AN1185">
        <f>IF(AK1185="","",AK1185-2*AL1185)</f>
        <v>0</v>
      </c>
      <c r="AO1185">
        <f>IF(OR(AM1185="",AN1185="",AM1185=AN1185),"",($E1185-AN1185)/(AM1185-AN1185))</f>
        <v>0</v>
      </c>
      <c r="AP1185">
        <f>IF(OR(AM1185="",AK1185="",AK1185=0),"",(AM1185-AN1185)/AK1185)</f>
        <v>0</v>
      </c>
      <c r="AQ1185">
        <f>IF(COUNT($E$2:$E1185)&lt;20,"",MAX($C$1166:$C$1185))</f>
        <v>0</v>
      </c>
      <c r="AR1185">
        <f>IF(COUNT($E$2:$E1185)&lt;20,"",MIN($D$1166:$D$1185))</f>
        <v>0</v>
      </c>
      <c r="AS1185">
        <f>IF(OR(AQ1185="",AR1185=""),"",(AQ1185+AR1185)/2)</f>
        <v>0</v>
      </c>
      <c r="AT1185">
        <f>IF(COUNT($G$1166:$G$1185)&lt;20,"",STDEV($G$1166:$G$1185)*SQRT(252))</f>
        <v>0</v>
      </c>
      <c r="AU1185">
        <f>IF(COUNT($E$2:$E1185)&lt;9,"",(MAX($C$1177:$C$1185)+MIN($D$1177:$D$1185))/2)</f>
        <v>0</v>
      </c>
      <c r="AV1185">
        <f>IF(COUNT($E$2:$E1185)&lt;26,"",(MAX($C$1160:$C$1185)+MIN($D$1160:$D$1185))/2)</f>
        <v>0</v>
      </c>
      <c r="AW1185">
        <f>IF(OR(AU1185="",AV1185=""),"",(AU1185+AV1185)/2)</f>
        <v>0</v>
      </c>
      <c r="AX1185">
        <f>IF(COUNT($E$2:$E1185)&lt;52,"",(MAX($C$1134:$C$1185)+MIN($D$1134:$D$1185))/2)</f>
        <v>0</v>
      </c>
      <c r="AY1185">
        <f>IF(COUNT($E$2:$E1185)&lt;20,"",MAX($C$1086:$C$1185))</f>
        <v>0</v>
      </c>
      <c r="AZ1185">
        <f>IF(COUNT($E$2:$E1185)&lt;20,"",MIN($D$1086:$D$1185))</f>
        <v>0</v>
      </c>
      <c r="BA1185">
        <f>IF(COUNT($E$2:$E1185)&lt;20,"",SLOPE($E$1086:$E$1185,$F$1086:$F$1185))</f>
        <v>0</v>
      </c>
      <c r="BB1185">
        <f>IF(COUNT($E$2:$E1185)&lt;20,"",INTERCEPT($E$1086:$E$1185,$F$1086:$F$1185))</f>
        <v>0</v>
      </c>
      <c r="BC1185">
        <f>IF(OR(BA1185="",BB1185=""),"",BB1185+BA1185*F1185)</f>
        <v>0</v>
      </c>
      <c r="BD1185">
        <f>IF(COUNT($E$2:$E1185)&lt;20,"",STEYX($E$1086:$E$1185,$F$1086:$F$1185))</f>
        <v>0</v>
      </c>
      <c r="BE1185">
        <f>IF($E1185="","",IF(AND(COUNT($E$1186:$E$1189)&gt;=4,$C1185=MAX($C$1181:$C$1189)),$C1185,""))</f>
        <v>0</v>
      </c>
      <c r="BF1185">
        <f>IF($E1185="","",IF(AND(COUNT($E$1186:$E$1189)&gt;=4,$D1185=MIN($D$1181:$D$1189)),$D1185,""))</f>
        <v>0</v>
      </c>
      <c r="BG1185">
        <f>IF($A1185="","",$A1185-WEEKDAY($A1185,2)+1)</f>
        <v>0</v>
      </c>
      <c r="BH1185">
        <f>IF($A1185="","",IF($A1184="",1,IF(BG1185&lt;&gt;BG1184,1,0)))</f>
        <v>0</v>
      </c>
      <c r="BI1185">
        <f>IF($A1185="","",IF($A1186="",1,IF(BG1186&lt;&gt;BG1185,1,0)))</f>
        <v>0</v>
      </c>
      <c r="BJ1185">
        <f>IF($A1185="","",IF(BH1185=1,$B1185,BJ1184))</f>
        <v>0</v>
      </c>
      <c r="BK1185">
        <f>IF($A1185="","",IF(BH1185=1,$C1185,MAX($C1185,BK1184)))</f>
        <v>0</v>
      </c>
      <c r="BL1185">
        <f>IF($A1185="","",IF(BH1185=1,$D1185,MIN($D1185,BL1184)))</f>
        <v>0</v>
      </c>
      <c r="BM1185">
        <f>IF($A1185="","",IF(BI1185=1,F1185,""))</f>
        <v>0</v>
      </c>
      <c r="BN1185">
        <f>IF($A1185="","",DATE(YEAR($A1185),MONTH($A1185),1))</f>
        <v>0</v>
      </c>
      <c r="BO1185">
        <f>IF($A1185="","",IF($A1184="",1,IF(BN1185&lt;&gt;BN1184,1,0)))</f>
        <v>0</v>
      </c>
      <c r="BP1185">
        <f>IF($A1185="","",IF($A1186="",1,IF(BN1186&lt;&gt;BN1185,1,0)))</f>
        <v>0</v>
      </c>
      <c r="BQ1185">
        <f>IF($A1185="","",IF(BO1185=1,$B1185,BQ1184))</f>
        <v>0</v>
      </c>
      <c r="BR1185">
        <f>IF($A1185="","",IF(BO1185=1,$C1185,MAX($C1185,BR1184)))</f>
        <v>0</v>
      </c>
      <c r="BS1185">
        <f>IF($A1185="","",IF(BO1185=1,$D1185,MIN($D1185,BS1184)))</f>
        <v>0</v>
      </c>
      <c r="BT1185">
        <f>IF($A1185="","",IF(BP1185=1,F1185,""))</f>
        <v>0</v>
      </c>
    </row>
    <row r="1186" spans="1:72">
      <c r="A1186" s="27">
        <f>IF(Data!$A1186="","",Data!$A1186)</f>
        <v>0</v>
      </c>
      <c r="B1186">
        <f>IF(Data!$B1186="","",Data!$B1186)</f>
        <v>0</v>
      </c>
      <c r="C1186">
        <f>IF(Data!$C1186="","",Data!$C1186)</f>
        <v>0</v>
      </c>
      <c r="D1186">
        <f>IF(Data!$D1186="","",Data!$D1186)</f>
        <v>0</v>
      </c>
      <c r="E1186">
        <f>IF(Data!$E1186="","",Data!$E1186)</f>
        <v>0</v>
      </c>
      <c r="F1186">
        <f>IF($E1186="","",N(F1185)+1)</f>
        <v>0</v>
      </c>
      <c r="G1186">
        <f>IF(OR($E1186="",$E1185=""),"",LN($E1186/$E1185))</f>
        <v>0</v>
      </c>
      <c r="H1186">
        <f>IF($E1186="","",IF($E1185="",$E1186,$E1186*0.0952380952+H1185*0.9047619048))</f>
        <v>0</v>
      </c>
      <c r="I1186">
        <f>IF($E1186="","",IF($E1185="",$E1186,$E1186*0.0392156863+I1185*0.9607843137))</f>
        <v>0</v>
      </c>
      <c r="J1186">
        <f>IF($E1186="","",IF($E1185="",$E1186,$E1186*0.0198019802+J1185*0.9801980198))</f>
        <v>0</v>
      </c>
      <c r="K1186">
        <f>IF($E1186="","",IF($E1185="",$E1186,$E1186*0.0099502488+K1185*0.9900497512))</f>
        <v>0</v>
      </c>
      <c r="L1186">
        <f>IF(OR($E1186="",$E1185=""),"",MAX($E1186-$E1185,0))</f>
        <v>0</v>
      </c>
      <c r="M1186">
        <f>IF(OR($E1186="",$E1185=""),"",MAX($E1185-$E1186,0))</f>
        <v>0</v>
      </c>
      <c r="N1186">
        <f>IF(COUNT($E$2:$E1186)&lt;15,"",IF(AVERAGE($M$1173:$M$1186)=0,100,100-100/(1+AVERAGE($L$1173:$L$1186)/AVERAGE($M$1173:$M$1186))))</f>
        <v>0</v>
      </c>
      <c r="O1186">
        <f>IF($E1186="","",IF($E1185="",$E1186,$E1186*0.1538461538+O1185*0.8461538462))</f>
        <v>0</v>
      </c>
      <c r="P1186">
        <f>IF($E1186="","",IF($E1185="",$E1186,$E1186*0.0740740741+P1185*0.9259259259))</f>
        <v>0</v>
      </c>
      <c r="Q1186">
        <f>IF(OR(O1186="",P1186=""),"",O1186-P1186)</f>
        <v>0</v>
      </c>
      <c r="R1186">
        <f>IF(Q1186="","",IF(R1185="",Q1186,Q1186*0.2000000000+R1185*0.8000000000))</f>
        <v>0</v>
      </c>
      <c r="S1186">
        <f>IF(OR(Q1186="",R1186=""),"",Q1186-R1186)</f>
        <v>0</v>
      </c>
      <c r="T1186">
        <f>IF(COUNT($E$2:$E1186)&lt;14,"",MAX($C$1173:$C$1186))</f>
        <v>0</v>
      </c>
      <c r="U1186">
        <f>IF(COUNT($E$2:$E1186)&lt;14,"",MIN($D$1173:$D$1186))</f>
        <v>0</v>
      </c>
      <c r="V1186">
        <f>IF(OR(T1186="",U1186="",T1186=U1186),"",100*($E1186-U1186)/(T1186-U1186))</f>
        <v>0</v>
      </c>
      <c r="W1186">
        <f>IF(COUNT($V$1184:$V$1186)&lt;3,"",AVERAGE($V$1184:$V$1186))</f>
        <v>0</v>
      </c>
      <c r="X1186">
        <f>IF(COUNT($N$1173:$N$1186)&lt;14,"",MIN($N$1173:$N$1186))</f>
        <v>0</v>
      </c>
      <c r="Y1186">
        <f>IF(COUNT($N$1173:$N$1186)&lt;14,"",MAX($N$1173:$N$1186))</f>
        <v>0</v>
      </c>
      <c r="Z1186">
        <f>IF(OR(N1186="",X1186="",Y1186="",Y1186=X1186),"",100*(N1186-X1186)/(Y1186-X1186))</f>
        <v>0</v>
      </c>
      <c r="AA1186">
        <f>IF(COUNT($Z$1184:$Z$1186)&lt;3,"",AVERAGE($Z$1184:$Z$1186))</f>
        <v>0</v>
      </c>
      <c r="AB1186">
        <f>IF(COUNT($AA$1184:$AA$1186)&lt;3,"",AVERAGE($AA$1184:$AA$1186))</f>
        <v>0</v>
      </c>
      <c r="AC1186">
        <f>IF($E1186="","",MAX($C1186-$D1186,ABS($C1186-$E1185),ABS($D1186-$E1185)))</f>
        <v>0</v>
      </c>
      <c r="AD1186">
        <f>IF(COUNT($E$2:$E1186)&lt;15,"",AVERAGE($AC$1173:$AC$1186))</f>
        <v>0</v>
      </c>
      <c r="AE1186">
        <f>IF(OR($E1186="",$E1185=""),"",IF(AND(($C1186-$C1185)&gt;($D1185-$D1186),($C1186-$C1185)&gt;0),$C1186-$C1185,0))</f>
        <v>0</v>
      </c>
      <c r="AF1186">
        <f>IF(OR($E1186="",$E1185=""),"",IF(AND(($D1185-$D1186)&gt;($C1186-$C1185),($D1185-$D1186)&gt;0),$D1185-$D1186,0))</f>
        <v>0</v>
      </c>
      <c r="AG1186">
        <f>IF(COUNT($E$2:$E1186)&lt;15,"",IF(SUM($AC$1173:$AC$1186)=0,0,100*SUM($AE$1173:$AE$1186)/SUM($AC$1173:$AC$1186)))</f>
        <v>0</v>
      </c>
      <c r="AH1186">
        <f>IF(COUNT($E$2:$E1186)&lt;15,"",IF(SUM($AC$1173:$AC$1186)=0,0,100*SUM($AF$1173:$AF$1186)/SUM($AC$1173:$AC$1186)))</f>
        <v>0</v>
      </c>
      <c r="AI1186">
        <f>IF(OR(AG1186="",AH1186=""),"",IF((AG1186+AH1186)=0,0,100*ABS(AG1186-AH1186)/(AG1186+AH1186)))</f>
        <v>0</v>
      </c>
      <c r="AJ1186">
        <f>IF(COUNT($AI$1173:$AI$1186)&lt;14,"",AVERAGE($AI$1173:$AI$1186))</f>
        <v>0</v>
      </c>
      <c r="AK1186">
        <f>IF(COUNT($E$2:$E1186)&lt;20,"",AVERAGE($E$1167:$E$1186))</f>
        <v>0</v>
      </c>
      <c r="AL1186">
        <f>IF(COUNT($E$2:$E1186)&lt;20,"",STDEVP($E$1167:$E$1186))</f>
        <v>0</v>
      </c>
      <c r="AM1186">
        <f>IF(AK1186="","",AK1186+2*AL1186)</f>
        <v>0</v>
      </c>
      <c r="AN1186">
        <f>IF(AK1186="","",AK1186-2*AL1186)</f>
        <v>0</v>
      </c>
      <c r="AO1186">
        <f>IF(OR(AM1186="",AN1186="",AM1186=AN1186),"",($E1186-AN1186)/(AM1186-AN1186))</f>
        <v>0</v>
      </c>
      <c r="AP1186">
        <f>IF(OR(AM1186="",AK1186="",AK1186=0),"",(AM1186-AN1186)/AK1186)</f>
        <v>0</v>
      </c>
      <c r="AQ1186">
        <f>IF(COUNT($E$2:$E1186)&lt;20,"",MAX($C$1167:$C$1186))</f>
        <v>0</v>
      </c>
      <c r="AR1186">
        <f>IF(COUNT($E$2:$E1186)&lt;20,"",MIN($D$1167:$D$1186))</f>
        <v>0</v>
      </c>
      <c r="AS1186">
        <f>IF(OR(AQ1186="",AR1186=""),"",(AQ1186+AR1186)/2)</f>
        <v>0</v>
      </c>
      <c r="AT1186">
        <f>IF(COUNT($G$1167:$G$1186)&lt;20,"",STDEV($G$1167:$G$1186)*SQRT(252))</f>
        <v>0</v>
      </c>
      <c r="AU1186">
        <f>IF(COUNT($E$2:$E1186)&lt;9,"",(MAX($C$1178:$C$1186)+MIN($D$1178:$D$1186))/2)</f>
        <v>0</v>
      </c>
      <c r="AV1186">
        <f>IF(COUNT($E$2:$E1186)&lt;26,"",(MAX($C$1161:$C$1186)+MIN($D$1161:$D$1186))/2)</f>
        <v>0</v>
      </c>
      <c r="AW1186">
        <f>IF(OR(AU1186="",AV1186=""),"",(AU1186+AV1186)/2)</f>
        <v>0</v>
      </c>
      <c r="AX1186">
        <f>IF(COUNT($E$2:$E1186)&lt;52,"",(MAX($C$1135:$C$1186)+MIN($D$1135:$D$1186))/2)</f>
        <v>0</v>
      </c>
      <c r="AY1186">
        <f>IF(COUNT($E$2:$E1186)&lt;20,"",MAX($C$1087:$C$1186))</f>
        <v>0</v>
      </c>
      <c r="AZ1186">
        <f>IF(COUNT($E$2:$E1186)&lt;20,"",MIN($D$1087:$D$1186))</f>
        <v>0</v>
      </c>
      <c r="BA1186">
        <f>IF(COUNT($E$2:$E1186)&lt;20,"",SLOPE($E$1087:$E$1186,$F$1087:$F$1186))</f>
        <v>0</v>
      </c>
      <c r="BB1186">
        <f>IF(COUNT($E$2:$E1186)&lt;20,"",INTERCEPT($E$1087:$E$1186,$F$1087:$F$1186))</f>
        <v>0</v>
      </c>
      <c r="BC1186">
        <f>IF(OR(BA1186="",BB1186=""),"",BB1186+BA1186*F1186)</f>
        <v>0</v>
      </c>
      <c r="BD1186">
        <f>IF(COUNT($E$2:$E1186)&lt;20,"",STEYX($E$1087:$E$1186,$F$1087:$F$1186))</f>
        <v>0</v>
      </c>
      <c r="BE1186">
        <f>IF($E1186="","",IF(AND(COUNT($E$1187:$E$1190)&gt;=4,$C1186=MAX($C$1182:$C$1190)),$C1186,""))</f>
        <v>0</v>
      </c>
      <c r="BF1186">
        <f>IF($E1186="","",IF(AND(COUNT($E$1187:$E$1190)&gt;=4,$D1186=MIN($D$1182:$D$1190)),$D1186,""))</f>
        <v>0</v>
      </c>
      <c r="BG1186">
        <f>IF($A1186="","",$A1186-WEEKDAY($A1186,2)+1)</f>
        <v>0</v>
      </c>
      <c r="BH1186">
        <f>IF($A1186="","",IF($A1185="",1,IF(BG1186&lt;&gt;BG1185,1,0)))</f>
        <v>0</v>
      </c>
      <c r="BI1186">
        <f>IF($A1186="","",IF($A1187="",1,IF(BG1187&lt;&gt;BG1186,1,0)))</f>
        <v>0</v>
      </c>
      <c r="BJ1186">
        <f>IF($A1186="","",IF(BH1186=1,$B1186,BJ1185))</f>
        <v>0</v>
      </c>
      <c r="BK1186">
        <f>IF($A1186="","",IF(BH1186=1,$C1186,MAX($C1186,BK1185)))</f>
        <v>0</v>
      </c>
      <c r="BL1186">
        <f>IF($A1186="","",IF(BH1186=1,$D1186,MIN($D1186,BL1185)))</f>
        <v>0</v>
      </c>
      <c r="BM1186">
        <f>IF($A1186="","",IF(BI1186=1,F1186,""))</f>
        <v>0</v>
      </c>
      <c r="BN1186">
        <f>IF($A1186="","",DATE(YEAR($A1186),MONTH($A1186),1))</f>
        <v>0</v>
      </c>
      <c r="BO1186">
        <f>IF($A1186="","",IF($A1185="",1,IF(BN1186&lt;&gt;BN1185,1,0)))</f>
        <v>0</v>
      </c>
      <c r="BP1186">
        <f>IF($A1186="","",IF($A1187="",1,IF(BN1187&lt;&gt;BN1186,1,0)))</f>
        <v>0</v>
      </c>
      <c r="BQ1186">
        <f>IF($A1186="","",IF(BO1186=1,$B1186,BQ1185))</f>
        <v>0</v>
      </c>
      <c r="BR1186">
        <f>IF($A1186="","",IF(BO1186=1,$C1186,MAX($C1186,BR1185)))</f>
        <v>0</v>
      </c>
      <c r="BS1186">
        <f>IF($A1186="","",IF(BO1186=1,$D1186,MIN($D1186,BS1185)))</f>
        <v>0</v>
      </c>
      <c r="BT1186">
        <f>IF($A1186="","",IF(BP1186=1,F1186,""))</f>
        <v>0</v>
      </c>
    </row>
    <row r="1187" spans="1:72">
      <c r="A1187" s="27">
        <f>IF(Data!$A1187="","",Data!$A1187)</f>
        <v>0</v>
      </c>
      <c r="B1187">
        <f>IF(Data!$B1187="","",Data!$B1187)</f>
        <v>0</v>
      </c>
      <c r="C1187">
        <f>IF(Data!$C1187="","",Data!$C1187)</f>
        <v>0</v>
      </c>
      <c r="D1187">
        <f>IF(Data!$D1187="","",Data!$D1187)</f>
        <v>0</v>
      </c>
      <c r="E1187">
        <f>IF(Data!$E1187="","",Data!$E1187)</f>
        <v>0</v>
      </c>
      <c r="F1187">
        <f>IF($E1187="","",N(F1186)+1)</f>
        <v>0</v>
      </c>
      <c r="G1187">
        <f>IF(OR($E1187="",$E1186=""),"",LN($E1187/$E1186))</f>
        <v>0</v>
      </c>
      <c r="H1187">
        <f>IF($E1187="","",IF($E1186="",$E1187,$E1187*0.0952380952+H1186*0.9047619048))</f>
        <v>0</v>
      </c>
      <c r="I1187">
        <f>IF($E1187="","",IF($E1186="",$E1187,$E1187*0.0392156863+I1186*0.9607843137))</f>
        <v>0</v>
      </c>
      <c r="J1187">
        <f>IF($E1187="","",IF($E1186="",$E1187,$E1187*0.0198019802+J1186*0.9801980198))</f>
        <v>0</v>
      </c>
      <c r="K1187">
        <f>IF($E1187="","",IF($E1186="",$E1187,$E1187*0.0099502488+K1186*0.9900497512))</f>
        <v>0</v>
      </c>
      <c r="L1187">
        <f>IF(OR($E1187="",$E1186=""),"",MAX($E1187-$E1186,0))</f>
        <v>0</v>
      </c>
      <c r="M1187">
        <f>IF(OR($E1187="",$E1186=""),"",MAX($E1186-$E1187,0))</f>
        <v>0</v>
      </c>
      <c r="N1187">
        <f>IF(COUNT($E$2:$E1187)&lt;15,"",IF(AVERAGE($M$1174:$M$1187)=0,100,100-100/(1+AVERAGE($L$1174:$L$1187)/AVERAGE($M$1174:$M$1187))))</f>
        <v>0</v>
      </c>
      <c r="O1187">
        <f>IF($E1187="","",IF($E1186="",$E1187,$E1187*0.1538461538+O1186*0.8461538462))</f>
        <v>0</v>
      </c>
      <c r="P1187">
        <f>IF($E1187="","",IF($E1186="",$E1187,$E1187*0.0740740741+P1186*0.9259259259))</f>
        <v>0</v>
      </c>
      <c r="Q1187">
        <f>IF(OR(O1187="",P1187=""),"",O1187-P1187)</f>
        <v>0</v>
      </c>
      <c r="R1187">
        <f>IF(Q1187="","",IF(R1186="",Q1187,Q1187*0.2000000000+R1186*0.8000000000))</f>
        <v>0</v>
      </c>
      <c r="S1187">
        <f>IF(OR(Q1187="",R1187=""),"",Q1187-R1187)</f>
        <v>0</v>
      </c>
      <c r="T1187">
        <f>IF(COUNT($E$2:$E1187)&lt;14,"",MAX($C$1174:$C$1187))</f>
        <v>0</v>
      </c>
      <c r="U1187">
        <f>IF(COUNT($E$2:$E1187)&lt;14,"",MIN($D$1174:$D$1187))</f>
        <v>0</v>
      </c>
      <c r="V1187">
        <f>IF(OR(T1187="",U1187="",T1187=U1187),"",100*($E1187-U1187)/(T1187-U1187))</f>
        <v>0</v>
      </c>
      <c r="W1187">
        <f>IF(COUNT($V$1185:$V$1187)&lt;3,"",AVERAGE($V$1185:$V$1187))</f>
        <v>0</v>
      </c>
      <c r="X1187">
        <f>IF(COUNT($N$1174:$N$1187)&lt;14,"",MIN($N$1174:$N$1187))</f>
        <v>0</v>
      </c>
      <c r="Y1187">
        <f>IF(COUNT($N$1174:$N$1187)&lt;14,"",MAX($N$1174:$N$1187))</f>
        <v>0</v>
      </c>
      <c r="Z1187">
        <f>IF(OR(N1187="",X1187="",Y1187="",Y1187=X1187),"",100*(N1187-X1187)/(Y1187-X1187))</f>
        <v>0</v>
      </c>
      <c r="AA1187">
        <f>IF(COUNT($Z$1185:$Z$1187)&lt;3,"",AVERAGE($Z$1185:$Z$1187))</f>
        <v>0</v>
      </c>
      <c r="AB1187">
        <f>IF(COUNT($AA$1185:$AA$1187)&lt;3,"",AVERAGE($AA$1185:$AA$1187))</f>
        <v>0</v>
      </c>
      <c r="AC1187">
        <f>IF($E1187="","",MAX($C1187-$D1187,ABS($C1187-$E1186),ABS($D1187-$E1186)))</f>
        <v>0</v>
      </c>
      <c r="AD1187">
        <f>IF(COUNT($E$2:$E1187)&lt;15,"",AVERAGE($AC$1174:$AC$1187))</f>
        <v>0</v>
      </c>
      <c r="AE1187">
        <f>IF(OR($E1187="",$E1186=""),"",IF(AND(($C1187-$C1186)&gt;($D1186-$D1187),($C1187-$C1186)&gt;0),$C1187-$C1186,0))</f>
        <v>0</v>
      </c>
      <c r="AF1187">
        <f>IF(OR($E1187="",$E1186=""),"",IF(AND(($D1186-$D1187)&gt;($C1187-$C1186),($D1186-$D1187)&gt;0),$D1186-$D1187,0))</f>
        <v>0</v>
      </c>
      <c r="AG1187">
        <f>IF(COUNT($E$2:$E1187)&lt;15,"",IF(SUM($AC$1174:$AC$1187)=0,0,100*SUM($AE$1174:$AE$1187)/SUM($AC$1174:$AC$1187)))</f>
        <v>0</v>
      </c>
      <c r="AH1187">
        <f>IF(COUNT($E$2:$E1187)&lt;15,"",IF(SUM($AC$1174:$AC$1187)=0,0,100*SUM($AF$1174:$AF$1187)/SUM($AC$1174:$AC$1187)))</f>
        <v>0</v>
      </c>
      <c r="AI1187">
        <f>IF(OR(AG1187="",AH1187=""),"",IF((AG1187+AH1187)=0,0,100*ABS(AG1187-AH1187)/(AG1187+AH1187)))</f>
        <v>0</v>
      </c>
      <c r="AJ1187">
        <f>IF(COUNT($AI$1174:$AI$1187)&lt;14,"",AVERAGE($AI$1174:$AI$1187))</f>
        <v>0</v>
      </c>
      <c r="AK1187">
        <f>IF(COUNT($E$2:$E1187)&lt;20,"",AVERAGE($E$1168:$E$1187))</f>
        <v>0</v>
      </c>
      <c r="AL1187">
        <f>IF(COUNT($E$2:$E1187)&lt;20,"",STDEVP($E$1168:$E$1187))</f>
        <v>0</v>
      </c>
      <c r="AM1187">
        <f>IF(AK1187="","",AK1187+2*AL1187)</f>
        <v>0</v>
      </c>
      <c r="AN1187">
        <f>IF(AK1187="","",AK1187-2*AL1187)</f>
        <v>0</v>
      </c>
      <c r="AO1187">
        <f>IF(OR(AM1187="",AN1187="",AM1187=AN1187),"",($E1187-AN1187)/(AM1187-AN1187))</f>
        <v>0</v>
      </c>
      <c r="AP1187">
        <f>IF(OR(AM1187="",AK1187="",AK1187=0),"",(AM1187-AN1187)/AK1187)</f>
        <v>0</v>
      </c>
      <c r="AQ1187">
        <f>IF(COUNT($E$2:$E1187)&lt;20,"",MAX($C$1168:$C$1187))</f>
        <v>0</v>
      </c>
      <c r="AR1187">
        <f>IF(COUNT($E$2:$E1187)&lt;20,"",MIN($D$1168:$D$1187))</f>
        <v>0</v>
      </c>
      <c r="AS1187">
        <f>IF(OR(AQ1187="",AR1187=""),"",(AQ1187+AR1187)/2)</f>
        <v>0</v>
      </c>
      <c r="AT1187">
        <f>IF(COUNT($G$1168:$G$1187)&lt;20,"",STDEV($G$1168:$G$1187)*SQRT(252))</f>
        <v>0</v>
      </c>
      <c r="AU1187">
        <f>IF(COUNT($E$2:$E1187)&lt;9,"",(MAX($C$1179:$C$1187)+MIN($D$1179:$D$1187))/2)</f>
        <v>0</v>
      </c>
      <c r="AV1187">
        <f>IF(COUNT($E$2:$E1187)&lt;26,"",(MAX($C$1162:$C$1187)+MIN($D$1162:$D$1187))/2)</f>
        <v>0</v>
      </c>
      <c r="AW1187">
        <f>IF(OR(AU1187="",AV1187=""),"",(AU1187+AV1187)/2)</f>
        <v>0</v>
      </c>
      <c r="AX1187">
        <f>IF(COUNT($E$2:$E1187)&lt;52,"",(MAX($C$1136:$C$1187)+MIN($D$1136:$D$1187))/2)</f>
        <v>0</v>
      </c>
      <c r="AY1187">
        <f>IF(COUNT($E$2:$E1187)&lt;20,"",MAX($C$1088:$C$1187))</f>
        <v>0</v>
      </c>
      <c r="AZ1187">
        <f>IF(COUNT($E$2:$E1187)&lt;20,"",MIN($D$1088:$D$1187))</f>
        <v>0</v>
      </c>
      <c r="BA1187">
        <f>IF(COUNT($E$2:$E1187)&lt;20,"",SLOPE($E$1088:$E$1187,$F$1088:$F$1187))</f>
        <v>0</v>
      </c>
      <c r="BB1187">
        <f>IF(COUNT($E$2:$E1187)&lt;20,"",INTERCEPT($E$1088:$E$1187,$F$1088:$F$1187))</f>
        <v>0</v>
      </c>
      <c r="BC1187">
        <f>IF(OR(BA1187="",BB1187=""),"",BB1187+BA1187*F1187)</f>
        <v>0</v>
      </c>
      <c r="BD1187">
        <f>IF(COUNT($E$2:$E1187)&lt;20,"",STEYX($E$1088:$E$1187,$F$1088:$F$1187))</f>
        <v>0</v>
      </c>
      <c r="BE1187">
        <f>IF($E1187="","",IF(AND(COUNT($E$1188:$E$1191)&gt;=4,$C1187=MAX($C$1183:$C$1191)),$C1187,""))</f>
        <v>0</v>
      </c>
      <c r="BF1187">
        <f>IF($E1187="","",IF(AND(COUNT($E$1188:$E$1191)&gt;=4,$D1187=MIN($D$1183:$D$1191)),$D1187,""))</f>
        <v>0</v>
      </c>
      <c r="BG1187">
        <f>IF($A1187="","",$A1187-WEEKDAY($A1187,2)+1)</f>
        <v>0</v>
      </c>
      <c r="BH1187">
        <f>IF($A1187="","",IF($A1186="",1,IF(BG1187&lt;&gt;BG1186,1,0)))</f>
        <v>0</v>
      </c>
      <c r="BI1187">
        <f>IF($A1187="","",IF($A1188="",1,IF(BG1188&lt;&gt;BG1187,1,0)))</f>
        <v>0</v>
      </c>
      <c r="BJ1187">
        <f>IF($A1187="","",IF(BH1187=1,$B1187,BJ1186))</f>
        <v>0</v>
      </c>
      <c r="BK1187">
        <f>IF($A1187="","",IF(BH1187=1,$C1187,MAX($C1187,BK1186)))</f>
        <v>0</v>
      </c>
      <c r="BL1187">
        <f>IF($A1187="","",IF(BH1187=1,$D1187,MIN($D1187,BL1186)))</f>
        <v>0</v>
      </c>
      <c r="BM1187">
        <f>IF($A1187="","",IF(BI1187=1,F1187,""))</f>
        <v>0</v>
      </c>
      <c r="BN1187">
        <f>IF($A1187="","",DATE(YEAR($A1187),MONTH($A1187),1))</f>
        <v>0</v>
      </c>
      <c r="BO1187">
        <f>IF($A1187="","",IF($A1186="",1,IF(BN1187&lt;&gt;BN1186,1,0)))</f>
        <v>0</v>
      </c>
      <c r="BP1187">
        <f>IF($A1187="","",IF($A1188="",1,IF(BN1188&lt;&gt;BN1187,1,0)))</f>
        <v>0</v>
      </c>
      <c r="BQ1187">
        <f>IF($A1187="","",IF(BO1187=1,$B1187,BQ1186))</f>
        <v>0</v>
      </c>
      <c r="BR1187">
        <f>IF($A1187="","",IF(BO1187=1,$C1187,MAX($C1187,BR1186)))</f>
        <v>0</v>
      </c>
      <c r="BS1187">
        <f>IF($A1187="","",IF(BO1187=1,$D1187,MIN($D1187,BS1186)))</f>
        <v>0</v>
      </c>
      <c r="BT1187">
        <f>IF($A1187="","",IF(BP1187=1,F1187,""))</f>
        <v>0</v>
      </c>
    </row>
    <row r="1188" spans="1:72">
      <c r="A1188" s="27">
        <f>IF(Data!$A1188="","",Data!$A1188)</f>
        <v>0</v>
      </c>
      <c r="B1188">
        <f>IF(Data!$B1188="","",Data!$B1188)</f>
        <v>0</v>
      </c>
      <c r="C1188">
        <f>IF(Data!$C1188="","",Data!$C1188)</f>
        <v>0</v>
      </c>
      <c r="D1188">
        <f>IF(Data!$D1188="","",Data!$D1188)</f>
        <v>0</v>
      </c>
      <c r="E1188">
        <f>IF(Data!$E1188="","",Data!$E1188)</f>
        <v>0</v>
      </c>
      <c r="F1188">
        <f>IF($E1188="","",N(F1187)+1)</f>
        <v>0</v>
      </c>
      <c r="G1188">
        <f>IF(OR($E1188="",$E1187=""),"",LN($E1188/$E1187))</f>
        <v>0</v>
      </c>
      <c r="H1188">
        <f>IF($E1188="","",IF($E1187="",$E1188,$E1188*0.0952380952+H1187*0.9047619048))</f>
        <v>0</v>
      </c>
      <c r="I1188">
        <f>IF($E1188="","",IF($E1187="",$E1188,$E1188*0.0392156863+I1187*0.9607843137))</f>
        <v>0</v>
      </c>
      <c r="J1188">
        <f>IF($E1188="","",IF($E1187="",$E1188,$E1188*0.0198019802+J1187*0.9801980198))</f>
        <v>0</v>
      </c>
      <c r="K1188">
        <f>IF($E1188="","",IF($E1187="",$E1188,$E1188*0.0099502488+K1187*0.9900497512))</f>
        <v>0</v>
      </c>
      <c r="L1188">
        <f>IF(OR($E1188="",$E1187=""),"",MAX($E1188-$E1187,0))</f>
        <v>0</v>
      </c>
      <c r="M1188">
        <f>IF(OR($E1188="",$E1187=""),"",MAX($E1187-$E1188,0))</f>
        <v>0</v>
      </c>
      <c r="N1188">
        <f>IF(COUNT($E$2:$E1188)&lt;15,"",IF(AVERAGE($M$1175:$M$1188)=0,100,100-100/(1+AVERAGE($L$1175:$L$1188)/AVERAGE($M$1175:$M$1188))))</f>
        <v>0</v>
      </c>
      <c r="O1188">
        <f>IF($E1188="","",IF($E1187="",$E1188,$E1188*0.1538461538+O1187*0.8461538462))</f>
        <v>0</v>
      </c>
      <c r="P1188">
        <f>IF($E1188="","",IF($E1187="",$E1188,$E1188*0.0740740741+P1187*0.9259259259))</f>
        <v>0</v>
      </c>
      <c r="Q1188">
        <f>IF(OR(O1188="",P1188=""),"",O1188-P1188)</f>
        <v>0</v>
      </c>
      <c r="R1188">
        <f>IF(Q1188="","",IF(R1187="",Q1188,Q1188*0.2000000000+R1187*0.8000000000))</f>
        <v>0</v>
      </c>
      <c r="S1188">
        <f>IF(OR(Q1188="",R1188=""),"",Q1188-R1188)</f>
        <v>0</v>
      </c>
      <c r="T1188">
        <f>IF(COUNT($E$2:$E1188)&lt;14,"",MAX($C$1175:$C$1188))</f>
        <v>0</v>
      </c>
      <c r="U1188">
        <f>IF(COUNT($E$2:$E1188)&lt;14,"",MIN($D$1175:$D$1188))</f>
        <v>0</v>
      </c>
      <c r="V1188">
        <f>IF(OR(T1188="",U1188="",T1188=U1188),"",100*($E1188-U1188)/(T1188-U1188))</f>
        <v>0</v>
      </c>
      <c r="W1188">
        <f>IF(COUNT($V$1186:$V$1188)&lt;3,"",AVERAGE($V$1186:$V$1188))</f>
        <v>0</v>
      </c>
      <c r="X1188">
        <f>IF(COUNT($N$1175:$N$1188)&lt;14,"",MIN($N$1175:$N$1188))</f>
        <v>0</v>
      </c>
      <c r="Y1188">
        <f>IF(COUNT($N$1175:$N$1188)&lt;14,"",MAX($N$1175:$N$1188))</f>
        <v>0</v>
      </c>
      <c r="Z1188">
        <f>IF(OR(N1188="",X1188="",Y1188="",Y1188=X1188),"",100*(N1188-X1188)/(Y1188-X1188))</f>
        <v>0</v>
      </c>
      <c r="AA1188">
        <f>IF(COUNT($Z$1186:$Z$1188)&lt;3,"",AVERAGE($Z$1186:$Z$1188))</f>
        <v>0</v>
      </c>
      <c r="AB1188">
        <f>IF(COUNT($AA$1186:$AA$1188)&lt;3,"",AVERAGE($AA$1186:$AA$1188))</f>
        <v>0</v>
      </c>
      <c r="AC1188">
        <f>IF($E1188="","",MAX($C1188-$D1188,ABS($C1188-$E1187),ABS($D1188-$E1187)))</f>
        <v>0</v>
      </c>
      <c r="AD1188">
        <f>IF(COUNT($E$2:$E1188)&lt;15,"",AVERAGE($AC$1175:$AC$1188))</f>
        <v>0</v>
      </c>
      <c r="AE1188">
        <f>IF(OR($E1188="",$E1187=""),"",IF(AND(($C1188-$C1187)&gt;($D1187-$D1188),($C1188-$C1187)&gt;0),$C1188-$C1187,0))</f>
        <v>0</v>
      </c>
      <c r="AF1188">
        <f>IF(OR($E1188="",$E1187=""),"",IF(AND(($D1187-$D1188)&gt;($C1188-$C1187),($D1187-$D1188)&gt;0),$D1187-$D1188,0))</f>
        <v>0</v>
      </c>
      <c r="AG1188">
        <f>IF(COUNT($E$2:$E1188)&lt;15,"",IF(SUM($AC$1175:$AC$1188)=0,0,100*SUM($AE$1175:$AE$1188)/SUM($AC$1175:$AC$1188)))</f>
        <v>0</v>
      </c>
      <c r="AH1188">
        <f>IF(COUNT($E$2:$E1188)&lt;15,"",IF(SUM($AC$1175:$AC$1188)=0,0,100*SUM($AF$1175:$AF$1188)/SUM($AC$1175:$AC$1188)))</f>
        <v>0</v>
      </c>
      <c r="AI1188">
        <f>IF(OR(AG1188="",AH1188=""),"",IF((AG1188+AH1188)=0,0,100*ABS(AG1188-AH1188)/(AG1188+AH1188)))</f>
        <v>0</v>
      </c>
      <c r="AJ1188">
        <f>IF(COUNT($AI$1175:$AI$1188)&lt;14,"",AVERAGE($AI$1175:$AI$1188))</f>
        <v>0</v>
      </c>
      <c r="AK1188">
        <f>IF(COUNT($E$2:$E1188)&lt;20,"",AVERAGE($E$1169:$E$1188))</f>
        <v>0</v>
      </c>
      <c r="AL1188">
        <f>IF(COUNT($E$2:$E1188)&lt;20,"",STDEVP($E$1169:$E$1188))</f>
        <v>0</v>
      </c>
      <c r="AM1188">
        <f>IF(AK1188="","",AK1188+2*AL1188)</f>
        <v>0</v>
      </c>
      <c r="AN1188">
        <f>IF(AK1188="","",AK1188-2*AL1188)</f>
        <v>0</v>
      </c>
      <c r="AO1188">
        <f>IF(OR(AM1188="",AN1188="",AM1188=AN1188),"",($E1188-AN1188)/(AM1188-AN1188))</f>
        <v>0</v>
      </c>
      <c r="AP1188">
        <f>IF(OR(AM1188="",AK1188="",AK1188=0),"",(AM1188-AN1188)/AK1188)</f>
        <v>0</v>
      </c>
      <c r="AQ1188">
        <f>IF(COUNT($E$2:$E1188)&lt;20,"",MAX($C$1169:$C$1188))</f>
        <v>0</v>
      </c>
      <c r="AR1188">
        <f>IF(COUNT($E$2:$E1188)&lt;20,"",MIN($D$1169:$D$1188))</f>
        <v>0</v>
      </c>
      <c r="AS1188">
        <f>IF(OR(AQ1188="",AR1188=""),"",(AQ1188+AR1188)/2)</f>
        <v>0</v>
      </c>
      <c r="AT1188">
        <f>IF(COUNT($G$1169:$G$1188)&lt;20,"",STDEV($G$1169:$G$1188)*SQRT(252))</f>
        <v>0</v>
      </c>
      <c r="AU1188">
        <f>IF(COUNT($E$2:$E1188)&lt;9,"",(MAX($C$1180:$C$1188)+MIN($D$1180:$D$1188))/2)</f>
        <v>0</v>
      </c>
      <c r="AV1188">
        <f>IF(COUNT($E$2:$E1188)&lt;26,"",(MAX($C$1163:$C$1188)+MIN($D$1163:$D$1188))/2)</f>
        <v>0</v>
      </c>
      <c r="AW1188">
        <f>IF(OR(AU1188="",AV1188=""),"",(AU1188+AV1188)/2)</f>
        <v>0</v>
      </c>
      <c r="AX1188">
        <f>IF(COUNT($E$2:$E1188)&lt;52,"",(MAX($C$1137:$C$1188)+MIN($D$1137:$D$1188))/2)</f>
        <v>0</v>
      </c>
      <c r="AY1188">
        <f>IF(COUNT($E$2:$E1188)&lt;20,"",MAX($C$1089:$C$1188))</f>
        <v>0</v>
      </c>
      <c r="AZ1188">
        <f>IF(COUNT($E$2:$E1188)&lt;20,"",MIN($D$1089:$D$1188))</f>
        <v>0</v>
      </c>
      <c r="BA1188">
        <f>IF(COUNT($E$2:$E1188)&lt;20,"",SLOPE($E$1089:$E$1188,$F$1089:$F$1188))</f>
        <v>0</v>
      </c>
      <c r="BB1188">
        <f>IF(COUNT($E$2:$E1188)&lt;20,"",INTERCEPT($E$1089:$E$1188,$F$1089:$F$1188))</f>
        <v>0</v>
      </c>
      <c r="BC1188">
        <f>IF(OR(BA1188="",BB1188=""),"",BB1188+BA1188*F1188)</f>
        <v>0</v>
      </c>
      <c r="BD1188">
        <f>IF(COUNT($E$2:$E1188)&lt;20,"",STEYX($E$1089:$E$1188,$F$1089:$F$1188))</f>
        <v>0</v>
      </c>
      <c r="BE1188">
        <f>IF($E1188="","",IF(AND(COUNT($E$1189:$E$1192)&gt;=4,$C1188=MAX($C$1184:$C$1192)),$C1188,""))</f>
        <v>0</v>
      </c>
      <c r="BF1188">
        <f>IF($E1188="","",IF(AND(COUNT($E$1189:$E$1192)&gt;=4,$D1188=MIN($D$1184:$D$1192)),$D1188,""))</f>
        <v>0</v>
      </c>
      <c r="BG1188">
        <f>IF($A1188="","",$A1188-WEEKDAY($A1188,2)+1)</f>
        <v>0</v>
      </c>
      <c r="BH1188">
        <f>IF($A1188="","",IF($A1187="",1,IF(BG1188&lt;&gt;BG1187,1,0)))</f>
        <v>0</v>
      </c>
      <c r="BI1188">
        <f>IF($A1188="","",IF($A1189="",1,IF(BG1189&lt;&gt;BG1188,1,0)))</f>
        <v>0</v>
      </c>
      <c r="BJ1188">
        <f>IF($A1188="","",IF(BH1188=1,$B1188,BJ1187))</f>
        <v>0</v>
      </c>
      <c r="BK1188">
        <f>IF($A1188="","",IF(BH1188=1,$C1188,MAX($C1188,BK1187)))</f>
        <v>0</v>
      </c>
      <c r="BL1188">
        <f>IF($A1188="","",IF(BH1188=1,$D1188,MIN($D1188,BL1187)))</f>
        <v>0</v>
      </c>
      <c r="BM1188">
        <f>IF($A1188="","",IF(BI1188=1,F1188,""))</f>
        <v>0</v>
      </c>
      <c r="BN1188">
        <f>IF($A1188="","",DATE(YEAR($A1188),MONTH($A1188),1))</f>
        <v>0</v>
      </c>
      <c r="BO1188">
        <f>IF($A1188="","",IF($A1187="",1,IF(BN1188&lt;&gt;BN1187,1,0)))</f>
        <v>0</v>
      </c>
      <c r="BP1188">
        <f>IF($A1188="","",IF($A1189="",1,IF(BN1189&lt;&gt;BN1188,1,0)))</f>
        <v>0</v>
      </c>
      <c r="BQ1188">
        <f>IF($A1188="","",IF(BO1188=1,$B1188,BQ1187))</f>
        <v>0</v>
      </c>
      <c r="BR1188">
        <f>IF($A1188="","",IF(BO1188=1,$C1188,MAX($C1188,BR1187)))</f>
        <v>0</v>
      </c>
      <c r="BS1188">
        <f>IF($A1188="","",IF(BO1188=1,$D1188,MIN($D1188,BS1187)))</f>
        <v>0</v>
      </c>
      <c r="BT1188">
        <f>IF($A1188="","",IF(BP1188=1,F1188,""))</f>
        <v>0</v>
      </c>
    </row>
    <row r="1189" spans="1:72">
      <c r="A1189" s="27">
        <f>IF(Data!$A1189="","",Data!$A1189)</f>
        <v>0</v>
      </c>
      <c r="B1189">
        <f>IF(Data!$B1189="","",Data!$B1189)</f>
        <v>0</v>
      </c>
      <c r="C1189">
        <f>IF(Data!$C1189="","",Data!$C1189)</f>
        <v>0</v>
      </c>
      <c r="D1189">
        <f>IF(Data!$D1189="","",Data!$D1189)</f>
        <v>0</v>
      </c>
      <c r="E1189">
        <f>IF(Data!$E1189="","",Data!$E1189)</f>
        <v>0</v>
      </c>
      <c r="F1189">
        <f>IF($E1189="","",N(F1188)+1)</f>
        <v>0</v>
      </c>
      <c r="G1189">
        <f>IF(OR($E1189="",$E1188=""),"",LN($E1189/$E1188))</f>
        <v>0</v>
      </c>
      <c r="H1189">
        <f>IF($E1189="","",IF($E1188="",$E1189,$E1189*0.0952380952+H1188*0.9047619048))</f>
        <v>0</v>
      </c>
      <c r="I1189">
        <f>IF($E1189="","",IF($E1188="",$E1189,$E1189*0.0392156863+I1188*0.9607843137))</f>
        <v>0</v>
      </c>
      <c r="J1189">
        <f>IF($E1189="","",IF($E1188="",$E1189,$E1189*0.0198019802+J1188*0.9801980198))</f>
        <v>0</v>
      </c>
      <c r="K1189">
        <f>IF($E1189="","",IF($E1188="",$E1189,$E1189*0.0099502488+K1188*0.9900497512))</f>
        <v>0</v>
      </c>
      <c r="L1189">
        <f>IF(OR($E1189="",$E1188=""),"",MAX($E1189-$E1188,0))</f>
        <v>0</v>
      </c>
      <c r="M1189">
        <f>IF(OR($E1189="",$E1188=""),"",MAX($E1188-$E1189,0))</f>
        <v>0</v>
      </c>
      <c r="N1189">
        <f>IF(COUNT($E$2:$E1189)&lt;15,"",IF(AVERAGE($M$1176:$M$1189)=0,100,100-100/(1+AVERAGE($L$1176:$L$1189)/AVERAGE($M$1176:$M$1189))))</f>
        <v>0</v>
      </c>
      <c r="O1189">
        <f>IF($E1189="","",IF($E1188="",$E1189,$E1189*0.1538461538+O1188*0.8461538462))</f>
        <v>0</v>
      </c>
      <c r="P1189">
        <f>IF($E1189="","",IF($E1188="",$E1189,$E1189*0.0740740741+P1188*0.9259259259))</f>
        <v>0</v>
      </c>
      <c r="Q1189">
        <f>IF(OR(O1189="",P1189=""),"",O1189-P1189)</f>
        <v>0</v>
      </c>
      <c r="R1189">
        <f>IF(Q1189="","",IF(R1188="",Q1189,Q1189*0.2000000000+R1188*0.8000000000))</f>
        <v>0</v>
      </c>
      <c r="S1189">
        <f>IF(OR(Q1189="",R1189=""),"",Q1189-R1189)</f>
        <v>0</v>
      </c>
      <c r="T1189">
        <f>IF(COUNT($E$2:$E1189)&lt;14,"",MAX($C$1176:$C$1189))</f>
        <v>0</v>
      </c>
      <c r="U1189">
        <f>IF(COUNT($E$2:$E1189)&lt;14,"",MIN($D$1176:$D$1189))</f>
        <v>0</v>
      </c>
      <c r="V1189">
        <f>IF(OR(T1189="",U1189="",T1189=U1189),"",100*($E1189-U1189)/(T1189-U1189))</f>
        <v>0</v>
      </c>
      <c r="W1189">
        <f>IF(COUNT($V$1187:$V$1189)&lt;3,"",AVERAGE($V$1187:$V$1189))</f>
        <v>0</v>
      </c>
      <c r="X1189">
        <f>IF(COUNT($N$1176:$N$1189)&lt;14,"",MIN($N$1176:$N$1189))</f>
        <v>0</v>
      </c>
      <c r="Y1189">
        <f>IF(COUNT($N$1176:$N$1189)&lt;14,"",MAX($N$1176:$N$1189))</f>
        <v>0</v>
      </c>
      <c r="Z1189">
        <f>IF(OR(N1189="",X1189="",Y1189="",Y1189=X1189),"",100*(N1189-X1189)/(Y1189-X1189))</f>
        <v>0</v>
      </c>
      <c r="AA1189">
        <f>IF(COUNT($Z$1187:$Z$1189)&lt;3,"",AVERAGE($Z$1187:$Z$1189))</f>
        <v>0</v>
      </c>
      <c r="AB1189">
        <f>IF(COUNT($AA$1187:$AA$1189)&lt;3,"",AVERAGE($AA$1187:$AA$1189))</f>
        <v>0</v>
      </c>
      <c r="AC1189">
        <f>IF($E1189="","",MAX($C1189-$D1189,ABS($C1189-$E1188),ABS($D1189-$E1188)))</f>
        <v>0</v>
      </c>
      <c r="AD1189">
        <f>IF(COUNT($E$2:$E1189)&lt;15,"",AVERAGE($AC$1176:$AC$1189))</f>
        <v>0</v>
      </c>
      <c r="AE1189">
        <f>IF(OR($E1189="",$E1188=""),"",IF(AND(($C1189-$C1188)&gt;($D1188-$D1189),($C1189-$C1188)&gt;0),$C1189-$C1188,0))</f>
        <v>0</v>
      </c>
      <c r="AF1189">
        <f>IF(OR($E1189="",$E1188=""),"",IF(AND(($D1188-$D1189)&gt;($C1189-$C1188),($D1188-$D1189)&gt;0),$D1188-$D1189,0))</f>
        <v>0</v>
      </c>
      <c r="AG1189">
        <f>IF(COUNT($E$2:$E1189)&lt;15,"",IF(SUM($AC$1176:$AC$1189)=0,0,100*SUM($AE$1176:$AE$1189)/SUM($AC$1176:$AC$1189)))</f>
        <v>0</v>
      </c>
      <c r="AH1189">
        <f>IF(COUNT($E$2:$E1189)&lt;15,"",IF(SUM($AC$1176:$AC$1189)=0,0,100*SUM($AF$1176:$AF$1189)/SUM($AC$1176:$AC$1189)))</f>
        <v>0</v>
      </c>
      <c r="AI1189">
        <f>IF(OR(AG1189="",AH1189=""),"",IF((AG1189+AH1189)=0,0,100*ABS(AG1189-AH1189)/(AG1189+AH1189)))</f>
        <v>0</v>
      </c>
      <c r="AJ1189">
        <f>IF(COUNT($AI$1176:$AI$1189)&lt;14,"",AVERAGE($AI$1176:$AI$1189))</f>
        <v>0</v>
      </c>
      <c r="AK1189">
        <f>IF(COUNT($E$2:$E1189)&lt;20,"",AVERAGE($E$1170:$E$1189))</f>
        <v>0</v>
      </c>
      <c r="AL1189">
        <f>IF(COUNT($E$2:$E1189)&lt;20,"",STDEVP($E$1170:$E$1189))</f>
        <v>0</v>
      </c>
      <c r="AM1189">
        <f>IF(AK1189="","",AK1189+2*AL1189)</f>
        <v>0</v>
      </c>
      <c r="AN1189">
        <f>IF(AK1189="","",AK1189-2*AL1189)</f>
        <v>0</v>
      </c>
      <c r="AO1189">
        <f>IF(OR(AM1189="",AN1189="",AM1189=AN1189),"",($E1189-AN1189)/(AM1189-AN1189))</f>
        <v>0</v>
      </c>
      <c r="AP1189">
        <f>IF(OR(AM1189="",AK1189="",AK1189=0),"",(AM1189-AN1189)/AK1189)</f>
        <v>0</v>
      </c>
      <c r="AQ1189">
        <f>IF(COUNT($E$2:$E1189)&lt;20,"",MAX($C$1170:$C$1189))</f>
        <v>0</v>
      </c>
      <c r="AR1189">
        <f>IF(COUNT($E$2:$E1189)&lt;20,"",MIN($D$1170:$D$1189))</f>
        <v>0</v>
      </c>
      <c r="AS1189">
        <f>IF(OR(AQ1189="",AR1189=""),"",(AQ1189+AR1189)/2)</f>
        <v>0</v>
      </c>
      <c r="AT1189">
        <f>IF(COUNT($G$1170:$G$1189)&lt;20,"",STDEV($G$1170:$G$1189)*SQRT(252))</f>
        <v>0</v>
      </c>
      <c r="AU1189">
        <f>IF(COUNT($E$2:$E1189)&lt;9,"",(MAX($C$1181:$C$1189)+MIN($D$1181:$D$1189))/2)</f>
        <v>0</v>
      </c>
      <c r="AV1189">
        <f>IF(COUNT($E$2:$E1189)&lt;26,"",(MAX($C$1164:$C$1189)+MIN($D$1164:$D$1189))/2)</f>
        <v>0</v>
      </c>
      <c r="AW1189">
        <f>IF(OR(AU1189="",AV1189=""),"",(AU1189+AV1189)/2)</f>
        <v>0</v>
      </c>
      <c r="AX1189">
        <f>IF(COUNT($E$2:$E1189)&lt;52,"",(MAX($C$1138:$C$1189)+MIN($D$1138:$D$1189))/2)</f>
        <v>0</v>
      </c>
      <c r="AY1189">
        <f>IF(COUNT($E$2:$E1189)&lt;20,"",MAX($C$1090:$C$1189))</f>
        <v>0</v>
      </c>
      <c r="AZ1189">
        <f>IF(COUNT($E$2:$E1189)&lt;20,"",MIN($D$1090:$D$1189))</f>
        <v>0</v>
      </c>
      <c r="BA1189">
        <f>IF(COUNT($E$2:$E1189)&lt;20,"",SLOPE($E$1090:$E$1189,$F$1090:$F$1189))</f>
        <v>0</v>
      </c>
      <c r="BB1189">
        <f>IF(COUNT($E$2:$E1189)&lt;20,"",INTERCEPT($E$1090:$E$1189,$F$1090:$F$1189))</f>
        <v>0</v>
      </c>
      <c r="BC1189">
        <f>IF(OR(BA1189="",BB1189=""),"",BB1189+BA1189*F1189)</f>
        <v>0</v>
      </c>
      <c r="BD1189">
        <f>IF(COUNT($E$2:$E1189)&lt;20,"",STEYX($E$1090:$E$1189,$F$1090:$F$1189))</f>
        <v>0</v>
      </c>
      <c r="BE1189">
        <f>IF($E1189="","",IF(AND(COUNT($E$1190:$E$1193)&gt;=4,$C1189=MAX($C$1185:$C$1193)),$C1189,""))</f>
        <v>0</v>
      </c>
      <c r="BF1189">
        <f>IF($E1189="","",IF(AND(COUNT($E$1190:$E$1193)&gt;=4,$D1189=MIN($D$1185:$D$1193)),$D1189,""))</f>
        <v>0</v>
      </c>
      <c r="BG1189">
        <f>IF($A1189="","",$A1189-WEEKDAY($A1189,2)+1)</f>
        <v>0</v>
      </c>
      <c r="BH1189">
        <f>IF($A1189="","",IF($A1188="",1,IF(BG1189&lt;&gt;BG1188,1,0)))</f>
        <v>0</v>
      </c>
      <c r="BI1189">
        <f>IF($A1189="","",IF($A1190="",1,IF(BG1190&lt;&gt;BG1189,1,0)))</f>
        <v>0</v>
      </c>
      <c r="BJ1189">
        <f>IF($A1189="","",IF(BH1189=1,$B1189,BJ1188))</f>
        <v>0</v>
      </c>
      <c r="BK1189">
        <f>IF($A1189="","",IF(BH1189=1,$C1189,MAX($C1189,BK1188)))</f>
        <v>0</v>
      </c>
      <c r="BL1189">
        <f>IF($A1189="","",IF(BH1189=1,$D1189,MIN($D1189,BL1188)))</f>
        <v>0</v>
      </c>
      <c r="BM1189">
        <f>IF($A1189="","",IF(BI1189=1,F1189,""))</f>
        <v>0</v>
      </c>
      <c r="BN1189">
        <f>IF($A1189="","",DATE(YEAR($A1189),MONTH($A1189),1))</f>
        <v>0</v>
      </c>
      <c r="BO1189">
        <f>IF($A1189="","",IF($A1188="",1,IF(BN1189&lt;&gt;BN1188,1,0)))</f>
        <v>0</v>
      </c>
      <c r="BP1189">
        <f>IF($A1189="","",IF($A1190="",1,IF(BN1190&lt;&gt;BN1189,1,0)))</f>
        <v>0</v>
      </c>
      <c r="BQ1189">
        <f>IF($A1189="","",IF(BO1189=1,$B1189,BQ1188))</f>
        <v>0</v>
      </c>
      <c r="BR1189">
        <f>IF($A1189="","",IF(BO1189=1,$C1189,MAX($C1189,BR1188)))</f>
        <v>0</v>
      </c>
      <c r="BS1189">
        <f>IF($A1189="","",IF(BO1189=1,$D1189,MIN($D1189,BS1188)))</f>
        <v>0</v>
      </c>
      <c r="BT1189">
        <f>IF($A1189="","",IF(BP1189=1,F1189,""))</f>
        <v>0</v>
      </c>
    </row>
    <row r="1190" spans="1:72">
      <c r="A1190" s="27">
        <f>IF(Data!$A1190="","",Data!$A1190)</f>
        <v>0</v>
      </c>
      <c r="B1190">
        <f>IF(Data!$B1190="","",Data!$B1190)</f>
        <v>0</v>
      </c>
      <c r="C1190">
        <f>IF(Data!$C1190="","",Data!$C1190)</f>
        <v>0</v>
      </c>
      <c r="D1190">
        <f>IF(Data!$D1190="","",Data!$D1190)</f>
        <v>0</v>
      </c>
      <c r="E1190">
        <f>IF(Data!$E1190="","",Data!$E1190)</f>
        <v>0</v>
      </c>
      <c r="F1190">
        <f>IF($E1190="","",N(F1189)+1)</f>
        <v>0</v>
      </c>
      <c r="G1190">
        <f>IF(OR($E1190="",$E1189=""),"",LN($E1190/$E1189))</f>
        <v>0</v>
      </c>
      <c r="H1190">
        <f>IF($E1190="","",IF($E1189="",$E1190,$E1190*0.0952380952+H1189*0.9047619048))</f>
        <v>0</v>
      </c>
      <c r="I1190">
        <f>IF($E1190="","",IF($E1189="",$E1190,$E1190*0.0392156863+I1189*0.9607843137))</f>
        <v>0</v>
      </c>
      <c r="J1190">
        <f>IF($E1190="","",IF($E1189="",$E1190,$E1190*0.0198019802+J1189*0.9801980198))</f>
        <v>0</v>
      </c>
      <c r="K1190">
        <f>IF($E1190="","",IF($E1189="",$E1190,$E1190*0.0099502488+K1189*0.9900497512))</f>
        <v>0</v>
      </c>
      <c r="L1190">
        <f>IF(OR($E1190="",$E1189=""),"",MAX($E1190-$E1189,0))</f>
        <v>0</v>
      </c>
      <c r="M1190">
        <f>IF(OR($E1190="",$E1189=""),"",MAX($E1189-$E1190,0))</f>
        <v>0</v>
      </c>
      <c r="N1190">
        <f>IF(COUNT($E$2:$E1190)&lt;15,"",IF(AVERAGE($M$1177:$M$1190)=0,100,100-100/(1+AVERAGE($L$1177:$L$1190)/AVERAGE($M$1177:$M$1190))))</f>
        <v>0</v>
      </c>
      <c r="O1190">
        <f>IF($E1190="","",IF($E1189="",$E1190,$E1190*0.1538461538+O1189*0.8461538462))</f>
        <v>0</v>
      </c>
      <c r="P1190">
        <f>IF($E1190="","",IF($E1189="",$E1190,$E1190*0.0740740741+P1189*0.9259259259))</f>
        <v>0</v>
      </c>
      <c r="Q1190">
        <f>IF(OR(O1190="",P1190=""),"",O1190-P1190)</f>
        <v>0</v>
      </c>
      <c r="R1190">
        <f>IF(Q1190="","",IF(R1189="",Q1190,Q1190*0.2000000000+R1189*0.8000000000))</f>
        <v>0</v>
      </c>
      <c r="S1190">
        <f>IF(OR(Q1190="",R1190=""),"",Q1190-R1190)</f>
        <v>0</v>
      </c>
      <c r="T1190">
        <f>IF(COUNT($E$2:$E1190)&lt;14,"",MAX($C$1177:$C$1190))</f>
        <v>0</v>
      </c>
      <c r="U1190">
        <f>IF(COUNT($E$2:$E1190)&lt;14,"",MIN($D$1177:$D$1190))</f>
        <v>0</v>
      </c>
      <c r="V1190">
        <f>IF(OR(T1190="",U1190="",T1190=U1190),"",100*($E1190-U1190)/(T1190-U1190))</f>
        <v>0</v>
      </c>
      <c r="W1190">
        <f>IF(COUNT($V$1188:$V$1190)&lt;3,"",AVERAGE($V$1188:$V$1190))</f>
        <v>0</v>
      </c>
      <c r="X1190">
        <f>IF(COUNT($N$1177:$N$1190)&lt;14,"",MIN($N$1177:$N$1190))</f>
        <v>0</v>
      </c>
      <c r="Y1190">
        <f>IF(COUNT($N$1177:$N$1190)&lt;14,"",MAX($N$1177:$N$1190))</f>
        <v>0</v>
      </c>
      <c r="Z1190">
        <f>IF(OR(N1190="",X1190="",Y1190="",Y1190=X1190),"",100*(N1190-X1190)/(Y1190-X1190))</f>
        <v>0</v>
      </c>
      <c r="AA1190">
        <f>IF(COUNT($Z$1188:$Z$1190)&lt;3,"",AVERAGE($Z$1188:$Z$1190))</f>
        <v>0</v>
      </c>
      <c r="AB1190">
        <f>IF(COUNT($AA$1188:$AA$1190)&lt;3,"",AVERAGE($AA$1188:$AA$1190))</f>
        <v>0</v>
      </c>
      <c r="AC1190">
        <f>IF($E1190="","",MAX($C1190-$D1190,ABS($C1190-$E1189),ABS($D1190-$E1189)))</f>
        <v>0</v>
      </c>
      <c r="AD1190">
        <f>IF(COUNT($E$2:$E1190)&lt;15,"",AVERAGE($AC$1177:$AC$1190))</f>
        <v>0</v>
      </c>
      <c r="AE1190">
        <f>IF(OR($E1190="",$E1189=""),"",IF(AND(($C1190-$C1189)&gt;($D1189-$D1190),($C1190-$C1189)&gt;0),$C1190-$C1189,0))</f>
        <v>0</v>
      </c>
      <c r="AF1190">
        <f>IF(OR($E1190="",$E1189=""),"",IF(AND(($D1189-$D1190)&gt;($C1190-$C1189),($D1189-$D1190)&gt;0),$D1189-$D1190,0))</f>
        <v>0</v>
      </c>
      <c r="AG1190">
        <f>IF(COUNT($E$2:$E1190)&lt;15,"",IF(SUM($AC$1177:$AC$1190)=0,0,100*SUM($AE$1177:$AE$1190)/SUM($AC$1177:$AC$1190)))</f>
        <v>0</v>
      </c>
      <c r="AH1190">
        <f>IF(COUNT($E$2:$E1190)&lt;15,"",IF(SUM($AC$1177:$AC$1190)=0,0,100*SUM($AF$1177:$AF$1190)/SUM($AC$1177:$AC$1190)))</f>
        <v>0</v>
      </c>
      <c r="AI1190">
        <f>IF(OR(AG1190="",AH1190=""),"",IF((AG1190+AH1190)=0,0,100*ABS(AG1190-AH1190)/(AG1190+AH1190)))</f>
        <v>0</v>
      </c>
      <c r="AJ1190">
        <f>IF(COUNT($AI$1177:$AI$1190)&lt;14,"",AVERAGE($AI$1177:$AI$1190))</f>
        <v>0</v>
      </c>
      <c r="AK1190">
        <f>IF(COUNT($E$2:$E1190)&lt;20,"",AVERAGE($E$1171:$E$1190))</f>
        <v>0</v>
      </c>
      <c r="AL1190">
        <f>IF(COUNT($E$2:$E1190)&lt;20,"",STDEVP($E$1171:$E$1190))</f>
        <v>0</v>
      </c>
      <c r="AM1190">
        <f>IF(AK1190="","",AK1190+2*AL1190)</f>
        <v>0</v>
      </c>
      <c r="AN1190">
        <f>IF(AK1190="","",AK1190-2*AL1190)</f>
        <v>0</v>
      </c>
      <c r="AO1190">
        <f>IF(OR(AM1190="",AN1190="",AM1190=AN1190),"",($E1190-AN1190)/(AM1190-AN1190))</f>
        <v>0</v>
      </c>
      <c r="AP1190">
        <f>IF(OR(AM1190="",AK1190="",AK1190=0),"",(AM1190-AN1190)/AK1190)</f>
        <v>0</v>
      </c>
      <c r="AQ1190">
        <f>IF(COUNT($E$2:$E1190)&lt;20,"",MAX($C$1171:$C$1190))</f>
        <v>0</v>
      </c>
      <c r="AR1190">
        <f>IF(COUNT($E$2:$E1190)&lt;20,"",MIN($D$1171:$D$1190))</f>
        <v>0</v>
      </c>
      <c r="AS1190">
        <f>IF(OR(AQ1190="",AR1190=""),"",(AQ1190+AR1190)/2)</f>
        <v>0</v>
      </c>
      <c r="AT1190">
        <f>IF(COUNT($G$1171:$G$1190)&lt;20,"",STDEV($G$1171:$G$1190)*SQRT(252))</f>
        <v>0</v>
      </c>
      <c r="AU1190">
        <f>IF(COUNT($E$2:$E1190)&lt;9,"",(MAX($C$1182:$C$1190)+MIN($D$1182:$D$1190))/2)</f>
        <v>0</v>
      </c>
      <c r="AV1190">
        <f>IF(COUNT($E$2:$E1190)&lt;26,"",(MAX($C$1165:$C$1190)+MIN($D$1165:$D$1190))/2)</f>
        <v>0</v>
      </c>
      <c r="AW1190">
        <f>IF(OR(AU1190="",AV1190=""),"",(AU1190+AV1190)/2)</f>
        <v>0</v>
      </c>
      <c r="AX1190">
        <f>IF(COUNT($E$2:$E1190)&lt;52,"",(MAX($C$1139:$C$1190)+MIN($D$1139:$D$1190))/2)</f>
        <v>0</v>
      </c>
      <c r="AY1190">
        <f>IF(COUNT($E$2:$E1190)&lt;20,"",MAX($C$1091:$C$1190))</f>
        <v>0</v>
      </c>
      <c r="AZ1190">
        <f>IF(COUNT($E$2:$E1190)&lt;20,"",MIN($D$1091:$D$1190))</f>
        <v>0</v>
      </c>
      <c r="BA1190">
        <f>IF(COUNT($E$2:$E1190)&lt;20,"",SLOPE($E$1091:$E$1190,$F$1091:$F$1190))</f>
        <v>0</v>
      </c>
      <c r="BB1190">
        <f>IF(COUNT($E$2:$E1190)&lt;20,"",INTERCEPT($E$1091:$E$1190,$F$1091:$F$1190))</f>
        <v>0</v>
      </c>
      <c r="BC1190">
        <f>IF(OR(BA1190="",BB1190=""),"",BB1190+BA1190*F1190)</f>
        <v>0</v>
      </c>
      <c r="BD1190">
        <f>IF(COUNT($E$2:$E1190)&lt;20,"",STEYX($E$1091:$E$1190,$F$1091:$F$1190))</f>
        <v>0</v>
      </c>
      <c r="BE1190">
        <f>IF($E1190="","",IF(AND(COUNT($E$1191:$E$1194)&gt;=4,$C1190=MAX($C$1186:$C$1194)),$C1190,""))</f>
        <v>0</v>
      </c>
      <c r="BF1190">
        <f>IF($E1190="","",IF(AND(COUNT($E$1191:$E$1194)&gt;=4,$D1190=MIN($D$1186:$D$1194)),$D1190,""))</f>
        <v>0</v>
      </c>
      <c r="BG1190">
        <f>IF($A1190="","",$A1190-WEEKDAY($A1190,2)+1)</f>
        <v>0</v>
      </c>
      <c r="BH1190">
        <f>IF($A1190="","",IF($A1189="",1,IF(BG1190&lt;&gt;BG1189,1,0)))</f>
        <v>0</v>
      </c>
      <c r="BI1190">
        <f>IF($A1190="","",IF($A1191="",1,IF(BG1191&lt;&gt;BG1190,1,0)))</f>
        <v>0</v>
      </c>
      <c r="BJ1190">
        <f>IF($A1190="","",IF(BH1190=1,$B1190,BJ1189))</f>
        <v>0</v>
      </c>
      <c r="BK1190">
        <f>IF($A1190="","",IF(BH1190=1,$C1190,MAX($C1190,BK1189)))</f>
        <v>0</v>
      </c>
      <c r="BL1190">
        <f>IF($A1190="","",IF(BH1190=1,$D1190,MIN($D1190,BL1189)))</f>
        <v>0</v>
      </c>
      <c r="BM1190">
        <f>IF($A1190="","",IF(BI1190=1,F1190,""))</f>
        <v>0</v>
      </c>
      <c r="BN1190">
        <f>IF($A1190="","",DATE(YEAR($A1190),MONTH($A1190),1))</f>
        <v>0</v>
      </c>
      <c r="BO1190">
        <f>IF($A1190="","",IF($A1189="",1,IF(BN1190&lt;&gt;BN1189,1,0)))</f>
        <v>0</v>
      </c>
      <c r="BP1190">
        <f>IF($A1190="","",IF($A1191="",1,IF(BN1191&lt;&gt;BN1190,1,0)))</f>
        <v>0</v>
      </c>
      <c r="BQ1190">
        <f>IF($A1190="","",IF(BO1190=1,$B1190,BQ1189))</f>
        <v>0</v>
      </c>
      <c r="BR1190">
        <f>IF($A1190="","",IF(BO1190=1,$C1190,MAX($C1190,BR1189)))</f>
        <v>0</v>
      </c>
      <c r="BS1190">
        <f>IF($A1190="","",IF(BO1190=1,$D1190,MIN($D1190,BS1189)))</f>
        <v>0</v>
      </c>
      <c r="BT1190">
        <f>IF($A1190="","",IF(BP1190=1,F1190,""))</f>
        <v>0</v>
      </c>
    </row>
    <row r="1191" spans="1:72">
      <c r="A1191" s="27">
        <f>IF(Data!$A1191="","",Data!$A1191)</f>
        <v>0</v>
      </c>
      <c r="B1191">
        <f>IF(Data!$B1191="","",Data!$B1191)</f>
        <v>0</v>
      </c>
      <c r="C1191">
        <f>IF(Data!$C1191="","",Data!$C1191)</f>
        <v>0</v>
      </c>
      <c r="D1191">
        <f>IF(Data!$D1191="","",Data!$D1191)</f>
        <v>0</v>
      </c>
      <c r="E1191">
        <f>IF(Data!$E1191="","",Data!$E1191)</f>
        <v>0</v>
      </c>
      <c r="F1191">
        <f>IF($E1191="","",N(F1190)+1)</f>
        <v>0</v>
      </c>
      <c r="G1191">
        <f>IF(OR($E1191="",$E1190=""),"",LN($E1191/$E1190))</f>
        <v>0</v>
      </c>
      <c r="H1191">
        <f>IF($E1191="","",IF($E1190="",$E1191,$E1191*0.0952380952+H1190*0.9047619048))</f>
        <v>0</v>
      </c>
      <c r="I1191">
        <f>IF($E1191="","",IF($E1190="",$E1191,$E1191*0.0392156863+I1190*0.9607843137))</f>
        <v>0</v>
      </c>
      <c r="J1191">
        <f>IF($E1191="","",IF($E1190="",$E1191,$E1191*0.0198019802+J1190*0.9801980198))</f>
        <v>0</v>
      </c>
      <c r="K1191">
        <f>IF($E1191="","",IF($E1190="",$E1191,$E1191*0.0099502488+K1190*0.9900497512))</f>
        <v>0</v>
      </c>
      <c r="L1191">
        <f>IF(OR($E1191="",$E1190=""),"",MAX($E1191-$E1190,0))</f>
        <v>0</v>
      </c>
      <c r="M1191">
        <f>IF(OR($E1191="",$E1190=""),"",MAX($E1190-$E1191,0))</f>
        <v>0</v>
      </c>
      <c r="N1191">
        <f>IF(COUNT($E$2:$E1191)&lt;15,"",IF(AVERAGE($M$1178:$M$1191)=0,100,100-100/(1+AVERAGE($L$1178:$L$1191)/AVERAGE($M$1178:$M$1191))))</f>
        <v>0</v>
      </c>
      <c r="O1191">
        <f>IF($E1191="","",IF($E1190="",$E1191,$E1191*0.1538461538+O1190*0.8461538462))</f>
        <v>0</v>
      </c>
      <c r="P1191">
        <f>IF($E1191="","",IF($E1190="",$E1191,$E1191*0.0740740741+P1190*0.9259259259))</f>
        <v>0</v>
      </c>
      <c r="Q1191">
        <f>IF(OR(O1191="",P1191=""),"",O1191-P1191)</f>
        <v>0</v>
      </c>
      <c r="R1191">
        <f>IF(Q1191="","",IF(R1190="",Q1191,Q1191*0.2000000000+R1190*0.8000000000))</f>
        <v>0</v>
      </c>
      <c r="S1191">
        <f>IF(OR(Q1191="",R1191=""),"",Q1191-R1191)</f>
        <v>0</v>
      </c>
      <c r="T1191">
        <f>IF(COUNT($E$2:$E1191)&lt;14,"",MAX($C$1178:$C$1191))</f>
        <v>0</v>
      </c>
      <c r="U1191">
        <f>IF(COUNT($E$2:$E1191)&lt;14,"",MIN($D$1178:$D$1191))</f>
        <v>0</v>
      </c>
      <c r="V1191">
        <f>IF(OR(T1191="",U1191="",T1191=U1191),"",100*($E1191-U1191)/(T1191-U1191))</f>
        <v>0</v>
      </c>
      <c r="W1191">
        <f>IF(COUNT($V$1189:$V$1191)&lt;3,"",AVERAGE($V$1189:$V$1191))</f>
        <v>0</v>
      </c>
      <c r="X1191">
        <f>IF(COUNT($N$1178:$N$1191)&lt;14,"",MIN($N$1178:$N$1191))</f>
        <v>0</v>
      </c>
      <c r="Y1191">
        <f>IF(COUNT($N$1178:$N$1191)&lt;14,"",MAX($N$1178:$N$1191))</f>
        <v>0</v>
      </c>
      <c r="Z1191">
        <f>IF(OR(N1191="",X1191="",Y1191="",Y1191=X1191),"",100*(N1191-X1191)/(Y1191-X1191))</f>
        <v>0</v>
      </c>
      <c r="AA1191">
        <f>IF(COUNT($Z$1189:$Z$1191)&lt;3,"",AVERAGE($Z$1189:$Z$1191))</f>
        <v>0</v>
      </c>
      <c r="AB1191">
        <f>IF(COUNT($AA$1189:$AA$1191)&lt;3,"",AVERAGE($AA$1189:$AA$1191))</f>
        <v>0</v>
      </c>
      <c r="AC1191">
        <f>IF($E1191="","",MAX($C1191-$D1191,ABS($C1191-$E1190),ABS($D1191-$E1190)))</f>
        <v>0</v>
      </c>
      <c r="AD1191">
        <f>IF(COUNT($E$2:$E1191)&lt;15,"",AVERAGE($AC$1178:$AC$1191))</f>
        <v>0</v>
      </c>
      <c r="AE1191">
        <f>IF(OR($E1191="",$E1190=""),"",IF(AND(($C1191-$C1190)&gt;($D1190-$D1191),($C1191-$C1190)&gt;0),$C1191-$C1190,0))</f>
        <v>0</v>
      </c>
      <c r="AF1191">
        <f>IF(OR($E1191="",$E1190=""),"",IF(AND(($D1190-$D1191)&gt;($C1191-$C1190),($D1190-$D1191)&gt;0),$D1190-$D1191,0))</f>
        <v>0</v>
      </c>
      <c r="AG1191">
        <f>IF(COUNT($E$2:$E1191)&lt;15,"",IF(SUM($AC$1178:$AC$1191)=0,0,100*SUM($AE$1178:$AE$1191)/SUM($AC$1178:$AC$1191)))</f>
        <v>0</v>
      </c>
      <c r="AH1191">
        <f>IF(COUNT($E$2:$E1191)&lt;15,"",IF(SUM($AC$1178:$AC$1191)=0,0,100*SUM($AF$1178:$AF$1191)/SUM($AC$1178:$AC$1191)))</f>
        <v>0</v>
      </c>
      <c r="AI1191">
        <f>IF(OR(AG1191="",AH1191=""),"",IF((AG1191+AH1191)=0,0,100*ABS(AG1191-AH1191)/(AG1191+AH1191)))</f>
        <v>0</v>
      </c>
      <c r="AJ1191">
        <f>IF(COUNT($AI$1178:$AI$1191)&lt;14,"",AVERAGE($AI$1178:$AI$1191))</f>
        <v>0</v>
      </c>
      <c r="AK1191">
        <f>IF(COUNT($E$2:$E1191)&lt;20,"",AVERAGE($E$1172:$E$1191))</f>
        <v>0</v>
      </c>
      <c r="AL1191">
        <f>IF(COUNT($E$2:$E1191)&lt;20,"",STDEVP($E$1172:$E$1191))</f>
        <v>0</v>
      </c>
      <c r="AM1191">
        <f>IF(AK1191="","",AK1191+2*AL1191)</f>
        <v>0</v>
      </c>
      <c r="AN1191">
        <f>IF(AK1191="","",AK1191-2*AL1191)</f>
        <v>0</v>
      </c>
      <c r="AO1191">
        <f>IF(OR(AM1191="",AN1191="",AM1191=AN1191),"",($E1191-AN1191)/(AM1191-AN1191))</f>
        <v>0</v>
      </c>
      <c r="AP1191">
        <f>IF(OR(AM1191="",AK1191="",AK1191=0),"",(AM1191-AN1191)/AK1191)</f>
        <v>0</v>
      </c>
      <c r="AQ1191">
        <f>IF(COUNT($E$2:$E1191)&lt;20,"",MAX($C$1172:$C$1191))</f>
        <v>0</v>
      </c>
      <c r="AR1191">
        <f>IF(COUNT($E$2:$E1191)&lt;20,"",MIN($D$1172:$D$1191))</f>
        <v>0</v>
      </c>
      <c r="AS1191">
        <f>IF(OR(AQ1191="",AR1191=""),"",(AQ1191+AR1191)/2)</f>
        <v>0</v>
      </c>
      <c r="AT1191">
        <f>IF(COUNT($G$1172:$G$1191)&lt;20,"",STDEV($G$1172:$G$1191)*SQRT(252))</f>
        <v>0</v>
      </c>
      <c r="AU1191">
        <f>IF(COUNT($E$2:$E1191)&lt;9,"",(MAX($C$1183:$C$1191)+MIN($D$1183:$D$1191))/2)</f>
        <v>0</v>
      </c>
      <c r="AV1191">
        <f>IF(COUNT($E$2:$E1191)&lt;26,"",(MAX($C$1166:$C$1191)+MIN($D$1166:$D$1191))/2)</f>
        <v>0</v>
      </c>
      <c r="AW1191">
        <f>IF(OR(AU1191="",AV1191=""),"",(AU1191+AV1191)/2)</f>
        <v>0</v>
      </c>
      <c r="AX1191">
        <f>IF(COUNT($E$2:$E1191)&lt;52,"",(MAX($C$1140:$C$1191)+MIN($D$1140:$D$1191))/2)</f>
        <v>0</v>
      </c>
      <c r="AY1191">
        <f>IF(COUNT($E$2:$E1191)&lt;20,"",MAX($C$1092:$C$1191))</f>
        <v>0</v>
      </c>
      <c r="AZ1191">
        <f>IF(COUNT($E$2:$E1191)&lt;20,"",MIN($D$1092:$D$1191))</f>
        <v>0</v>
      </c>
      <c r="BA1191">
        <f>IF(COUNT($E$2:$E1191)&lt;20,"",SLOPE($E$1092:$E$1191,$F$1092:$F$1191))</f>
        <v>0</v>
      </c>
      <c r="BB1191">
        <f>IF(COUNT($E$2:$E1191)&lt;20,"",INTERCEPT($E$1092:$E$1191,$F$1092:$F$1191))</f>
        <v>0</v>
      </c>
      <c r="BC1191">
        <f>IF(OR(BA1191="",BB1191=""),"",BB1191+BA1191*F1191)</f>
        <v>0</v>
      </c>
      <c r="BD1191">
        <f>IF(COUNT($E$2:$E1191)&lt;20,"",STEYX($E$1092:$E$1191,$F$1092:$F$1191))</f>
        <v>0</v>
      </c>
      <c r="BE1191">
        <f>IF($E1191="","",IF(AND(COUNT($E$1192:$E$1195)&gt;=4,$C1191=MAX($C$1187:$C$1195)),$C1191,""))</f>
        <v>0</v>
      </c>
      <c r="BF1191">
        <f>IF($E1191="","",IF(AND(COUNT($E$1192:$E$1195)&gt;=4,$D1191=MIN($D$1187:$D$1195)),$D1191,""))</f>
        <v>0</v>
      </c>
      <c r="BG1191">
        <f>IF($A1191="","",$A1191-WEEKDAY($A1191,2)+1)</f>
        <v>0</v>
      </c>
      <c r="BH1191">
        <f>IF($A1191="","",IF($A1190="",1,IF(BG1191&lt;&gt;BG1190,1,0)))</f>
        <v>0</v>
      </c>
      <c r="BI1191">
        <f>IF($A1191="","",IF($A1192="",1,IF(BG1192&lt;&gt;BG1191,1,0)))</f>
        <v>0</v>
      </c>
      <c r="BJ1191">
        <f>IF($A1191="","",IF(BH1191=1,$B1191,BJ1190))</f>
        <v>0</v>
      </c>
      <c r="BK1191">
        <f>IF($A1191="","",IF(BH1191=1,$C1191,MAX($C1191,BK1190)))</f>
        <v>0</v>
      </c>
      <c r="BL1191">
        <f>IF($A1191="","",IF(BH1191=1,$D1191,MIN($D1191,BL1190)))</f>
        <v>0</v>
      </c>
      <c r="BM1191">
        <f>IF($A1191="","",IF(BI1191=1,F1191,""))</f>
        <v>0</v>
      </c>
      <c r="BN1191">
        <f>IF($A1191="","",DATE(YEAR($A1191),MONTH($A1191),1))</f>
        <v>0</v>
      </c>
      <c r="BO1191">
        <f>IF($A1191="","",IF($A1190="",1,IF(BN1191&lt;&gt;BN1190,1,0)))</f>
        <v>0</v>
      </c>
      <c r="BP1191">
        <f>IF($A1191="","",IF($A1192="",1,IF(BN1192&lt;&gt;BN1191,1,0)))</f>
        <v>0</v>
      </c>
      <c r="BQ1191">
        <f>IF($A1191="","",IF(BO1191=1,$B1191,BQ1190))</f>
        <v>0</v>
      </c>
      <c r="BR1191">
        <f>IF($A1191="","",IF(BO1191=1,$C1191,MAX($C1191,BR1190)))</f>
        <v>0</v>
      </c>
      <c r="BS1191">
        <f>IF($A1191="","",IF(BO1191=1,$D1191,MIN($D1191,BS1190)))</f>
        <v>0</v>
      </c>
      <c r="BT1191">
        <f>IF($A1191="","",IF(BP1191=1,F1191,""))</f>
        <v>0</v>
      </c>
    </row>
    <row r="1192" spans="1:72">
      <c r="A1192" s="27">
        <f>IF(Data!$A1192="","",Data!$A1192)</f>
        <v>0</v>
      </c>
      <c r="B1192">
        <f>IF(Data!$B1192="","",Data!$B1192)</f>
        <v>0</v>
      </c>
      <c r="C1192">
        <f>IF(Data!$C1192="","",Data!$C1192)</f>
        <v>0</v>
      </c>
      <c r="D1192">
        <f>IF(Data!$D1192="","",Data!$D1192)</f>
        <v>0</v>
      </c>
      <c r="E1192">
        <f>IF(Data!$E1192="","",Data!$E1192)</f>
        <v>0</v>
      </c>
      <c r="F1192">
        <f>IF($E1192="","",N(F1191)+1)</f>
        <v>0</v>
      </c>
      <c r="G1192">
        <f>IF(OR($E1192="",$E1191=""),"",LN($E1192/$E1191))</f>
        <v>0</v>
      </c>
      <c r="H1192">
        <f>IF($E1192="","",IF($E1191="",$E1192,$E1192*0.0952380952+H1191*0.9047619048))</f>
        <v>0</v>
      </c>
      <c r="I1192">
        <f>IF($E1192="","",IF($E1191="",$E1192,$E1192*0.0392156863+I1191*0.9607843137))</f>
        <v>0</v>
      </c>
      <c r="J1192">
        <f>IF($E1192="","",IF($E1191="",$E1192,$E1192*0.0198019802+J1191*0.9801980198))</f>
        <v>0</v>
      </c>
      <c r="K1192">
        <f>IF($E1192="","",IF($E1191="",$E1192,$E1192*0.0099502488+K1191*0.9900497512))</f>
        <v>0</v>
      </c>
      <c r="L1192">
        <f>IF(OR($E1192="",$E1191=""),"",MAX($E1192-$E1191,0))</f>
        <v>0</v>
      </c>
      <c r="M1192">
        <f>IF(OR($E1192="",$E1191=""),"",MAX($E1191-$E1192,0))</f>
        <v>0</v>
      </c>
      <c r="N1192">
        <f>IF(COUNT($E$2:$E1192)&lt;15,"",IF(AVERAGE($M$1179:$M$1192)=0,100,100-100/(1+AVERAGE($L$1179:$L$1192)/AVERAGE($M$1179:$M$1192))))</f>
        <v>0</v>
      </c>
      <c r="O1192">
        <f>IF($E1192="","",IF($E1191="",$E1192,$E1192*0.1538461538+O1191*0.8461538462))</f>
        <v>0</v>
      </c>
      <c r="P1192">
        <f>IF($E1192="","",IF($E1191="",$E1192,$E1192*0.0740740741+P1191*0.9259259259))</f>
        <v>0</v>
      </c>
      <c r="Q1192">
        <f>IF(OR(O1192="",P1192=""),"",O1192-P1192)</f>
        <v>0</v>
      </c>
      <c r="R1192">
        <f>IF(Q1192="","",IF(R1191="",Q1192,Q1192*0.2000000000+R1191*0.8000000000))</f>
        <v>0</v>
      </c>
      <c r="S1192">
        <f>IF(OR(Q1192="",R1192=""),"",Q1192-R1192)</f>
        <v>0</v>
      </c>
      <c r="T1192">
        <f>IF(COUNT($E$2:$E1192)&lt;14,"",MAX($C$1179:$C$1192))</f>
        <v>0</v>
      </c>
      <c r="U1192">
        <f>IF(COUNT($E$2:$E1192)&lt;14,"",MIN($D$1179:$D$1192))</f>
        <v>0</v>
      </c>
      <c r="V1192">
        <f>IF(OR(T1192="",U1192="",T1192=U1192),"",100*($E1192-U1192)/(T1192-U1192))</f>
        <v>0</v>
      </c>
      <c r="W1192">
        <f>IF(COUNT($V$1190:$V$1192)&lt;3,"",AVERAGE($V$1190:$V$1192))</f>
        <v>0</v>
      </c>
      <c r="X1192">
        <f>IF(COUNT($N$1179:$N$1192)&lt;14,"",MIN($N$1179:$N$1192))</f>
        <v>0</v>
      </c>
      <c r="Y1192">
        <f>IF(COUNT($N$1179:$N$1192)&lt;14,"",MAX($N$1179:$N$1192))</f>
        <v>0</v>
      </c>
      <c r="Z1192">
        <f>IF(OR(N1192="",X1192="",Y1192="",Y1192=X1192),"",100*(N1192-X1192)/(Y1192-X1192))</f>
        <v>0</v>
      </c>
      <c r="AA1192">
        <f>IF(COUNT($Z$1190:$Z$1192)&lt;3,"",AVERAGE($Z$1190:$Z$1192))</f>
        <v>0</v>
      </c>
      <c r="AB1192">
        <f>IF(COUNT($AA$1190:$AA$1192)&lt;3,"",AVERAGE($AA$1190:$AA$1192))</f>
        <v>0</v>
      </c>
      <c r="AC1192">
        <f>IF($E1192="","",MAX($C1192-$D1192,ABS($C1192-$E1191),ABS($D1192-$E1191)))</f>
        <v>0</v>
      </c>
      <c r="AD1192">
        <f>IF(COUNT($E$2:$E1192)&lt;15,"",AVERAGE($AC$1179:$AC$1192))</f>
        <v>0</v>
      </c>
      <c r="AE1192">
        <f>IF(OR($E1192="",$E1191=""),"",IF(AND(($C1192-$C1191)&gt;($D1191-$D1192),($C1192-$C1191)&gt;0),$C1192-$C1191,0))</f>
        <v>0</v>
      </c>
      <c r="AF1192">
        <f>IF(OR($E1192="",$E1191=""),"",IF(AND(($D1191-$D1192)&gt;($C1192-$C1191),($D1191-$D1192)&gt;0),$D1191-$D1192,0))</f>
        <v>0</v>
      </c>
      <c r="AG1192">
        <f>IF(COUNT($E$2:$E1192)&lt;15,"",IF(SUM($AC$1179:$AC$1192)=0,0,100*SUM($AE$1179:$AE$1192)/SUM($AC$1179:$AC$1192)))</f>
        <v>0</v>
      </c>
      <c r="AH1192">
        <f>IF(COUNT($E$2:$E1192)&lt;15,"",IF(SUM($AC$1179:$AC$1192)=0,0,100*SUM($AF$1179:$AF$1192)/SUM($AC$1179:$AC$1192)))</f>
        <v>0</v>
      </c>
      <c r="AI1192">
        <f>IF(OR(AG1192="",AH1192=""),"",IF((AG1192+AH1192)=0,0,100*ABS(AG1192-AH1192)/(AG1192+AH1192)))</f>
        <v>0</v>
      </c>
      <c r="AJ1192">
        <f>IF(COUNT($AI$1179:$AI$1192)&lt;14,"",AVERAGE($AI$1179:$AI$1192))</f>
        <v>0</v>
      </c>
      <c r="AK1192">
        <f>IF(COUNT($E$2:$E1192)&lt;20,"",AVERAGE($E$1173:$E$1192))</f>
        <v>0</v>
      </c>
      <c r="AL1192">
        <f>IF(COUNT($E$2:$E1192)&lt;20,"",STDEVP($E$1173:$E$1192))</f>
        <v>0</v>
      </c>
      <c r="AM1192">
        <f>IF(AK1192="","",AK1192+2*AL1192)</f>
        <v>0</v>
      </c>
      <c r="AN1192">
        <f>IF(AK1192="","",AK1192-2*AL1192)</f>
        <v>0</v>
      </c>
      <c r="AO1192">
        <f>IF(OR(AM1192="",AN1192="",AM1192=AN1192),"",($E1192-AN1192)/(AM1192-AN1192))</f>
        <v>0</v>
      </c>
      <c r="AP1192">
        <f>IF(OR(AM1192="",AK1192="",AK1192=0),"",(AM1192-AN1192)/AK1192)</f>
        <v>0</v>
      </c>
      <c r="AQ1192">
        <f>IF(COUNT($E$2:$E1192)&lt;20,"",MAX($C$1173:$C$1192))</f>
        <v>0</v>
      </c>
      <c r="AR1192">
        <f>IF(COUNT($E$2:$E1192)&lt;20,"",MIN($D$1173:$D$1192))</f>
        <v>0</v>
      </c>
      <c r="AS1192">
        <f>IF(OR(AQ1192="",AR1192=""),"",(AQ1192+AR1192)/2)</f>
        <v>0</v>
      </c>
      <c r="AT1192">
        <f>IF(COUNT($G$1173:$G$1192)&lt;20,"",STDEV($G$1173:$G$1192)*SQRT(252))</f>
        <v>0</v>
      </c>
      <c r="AU1192">
        <f>IF(COUNT($E$2:$E1192)&lt;9,"",(MAX($C$1184:$C$1192)+MIN($D$1184:$D$1192))/2)</f>
        <v>0</v>
      </c>
      <c r="AV1192">
        <f>IF(COUNT($E$2:$E1192)&lt;26,"",(MAX($C$1167:$C$1192)+MIN($D$1167:$D$1192))/2)</f>
        <v>0</v>
      </c>
      <c r="AW1192">
        <f>IF(OR(AU1192="",AV1192=""),"",(AU1192+AV1192)/2)</f>
        <v>0</v>
      </c>
      <c r="AX1192">
        <f>IF(COUNT($E$2:$E1192)&lt;52,"",(MAX($C$1141:$C$1192)+MIN($D$1141:$D$1192))/2)</f>
        <v>0</v>
      </c>
      <c r="AY1192">
        <f>IF(COUNT($E$2:$E1192)&lt;20,"",MAX($C$1093:$C$1192))</f>
        <v>0</v>
      </c>
      <c r="AZ1192">
        <f>IF(COUNT($E$2:$E1192)&lt;20,"",MIN($D$1093:$D$1192))</f>
        <v>0</v>
      </c>
      <c r="BA1192">
        <f>IF(COUNT($E$2:$E1192)&lt;20,"",SLOPE($E$1093:$E$1192,$F$1093:$F$1192))</f>
        <v>0</v>
      </c>
      <c r="BB1192">
        <f>IF(COUNT($E$2:$E1192)&lt;20,"",INTERCEPT($E$1093:$E$1192,$F$1093:$F$1192))</f>
        <v>0</v>
      </c>
      <c r="BC1192">
        <f>IF(OR(BA1192="",BB1192=""),"",BB1192+BA1192*F1192)</f>
        <v>0</v>
      </c>
      <c r="BD1192">
        <f>IF(COUNT($E$2:$E1192)&lt;20,"",STEYX($E$1093:$E$1192,$F$1093:$F$1192))</f>
        <v>0</v>
      </c>
      <c r="BE1192">
        <f>IF($E1192="","",IF(AND(COUNT($E$1193:$E$1196)&gt;=4,$C1192=MAX($C$1188:$C$1196)),$C1192,""))</f>
        <v>0</v>
      </c>
      <c r="BF1192">
        <f>IF($E1192="","",IF(AND(COUNT($E$1193:$E$1196)&gt;=4,$D1192=MIN($D$1188:$D$1196)),$D1192,""))</f>
        <v>0</v>
      </c>
      <c r="BG1192">
        <f>IF($A1192="","",$A1192-WEEKDAY($A1192,2)+1)</f>
        <v>0</v>
      </c>
      <c r="BH1192">
        <f>IF($A1192="","",IF($A1191="",1,IF(BG1192&lt;&gt;BG1191,1,0)))</f>
        <v>0</v>
      </c>
      <c r="BI1192">
        <f>IF($A1192="","",IF($A1193="",1,IF(BG1193&lt;&gt;BG1192,1,0)))</f>
        <v>0</v>
      </c>
      <c r="BJ1192">
        <f>IF($A1192="","",IF(BH1192=1,$B1192,BJ1191))</f>
        <v>0</v>
      </c>
      <c r="BK1192">
        <f>IF($A1192="","",IF(BH1192=1,$C1192,MAX($C1192,BK1191)))</f>
        <v>0</v>
      </c>
      <c r="BL1192">
        <f>IF($A1192="","",IF(BH1192=1,$D1192,MIN($D1192,BL1191)))</f>
        <v>0</v>
      </c>
      <c r="BM1192">
        <f>IF($A1192="","",IF(BI1192=1,F1192,""))</f>
        <v>0</v>
      </c>
      <c r="BN1192">
        <f>IF($A1192="","",DATE(YEAR($A1192),MONTH($A1192),1))</f>
        <v>0</v>
      </c>
      <c r="BO1192">
        <f>IF($A1192="","",IF($A1191="",1,IF(BN1192&lt;&gt;BN1191,1,0)))</f>
        <v>0</v>
      </c>
      <c r="BP1192">
        <f>IF($A1192="","",IF($A1193="",1,IF(BN1193&lt;&gt;BN1192,1,0)))</f>
        <v>0</v>
      </c>
      <c r="BQ1192">
        <f>IF($A1192="","",IF(BO1192=1,$B1192,BQ1191))</f>
        <v>0</v>
      </c>
      <c r="BR1192">
        <f>IF($A1192="","",IF(BO1192=1,$C1192,MAX($C1192,BR1191)))</f>
        <v>0</v>
      </c>
      <c r="BS1192">
        <f>IF($A1192="","",IF(BO1192=1,$D1192,MIN($D1192,BS1191)))</f>
        <v>0</v>
      </c>
      <c r="BT1192">
        <f>IF($A1192="","",IF(BP1192=1,F1192,""))</f>
        <v>0</v>
      </c>
    </row>
    <row r="1193" spans="1:72">
      <c r="A1193" s="27">
        <f>IF(Data!$A1193="","",Data!$A1193)</f>
        <v>0</v>
      </c>
      <c r="B1193">
        <f>IF(Data!$B1193="","",Data!$B1193)</f>
        <v>0</v>
      </c>
      <c r="C1193">
        <f>IF(Data!$C1193="","",Data!$C1193)</f>
        <v>0</v>
      </c>
      <c r="D1193">
        <f>IF(Data!$D1193="","",Data!$D1193)</f>
        <v>0</v>
      </c>
      <c r="E1193">
        <f>IF(Data!$E1193="","",Data!$E1193)</f>
        <v>0</v>
      </c>
      <c r="F1193">
        <f>IF($E1193="","",N(F1192)+1)</f>
        <v>0</v>
      </c>
      <c r="G1193">
        <f>IF(OR($E1193="",$E1192=""),"",LN($E1193/$E1192))</f>
        <v>0</v>
      </c>
      <c r="H1193">
        <f>IF($E1193="","",IF($E1192="",$E1193,$E1193*0.0952380952+H1192*0.9047619048))</f>
        <v>0</v>
      </c>
      <c r="I1193">
        <f>IF($E1193="","",IF($E1192="",$E1193,$E1193*0.0392156863+I1192*0.9607843137))</f>
        <v>0</v>
      </c>
      <c r="J1193">
        <f>IF($E1193="","",IF($E1192="",$E1193,$E1193*0.0198019802+J1192*0.9801980198))</f>
        <v>0</v>
      </c>
      <c r="K1193">
        <f>IF($E1193="","",IF($E1192="",$E1193,$E1193*0.0099502488+K1192*0.9900497512))</f>
        <v>0</v>
      </c>
      <c r="L1193">
        <f>IF(OR($E1193="",$E1192=""),"",MAX($E1193-$E1192,0))</f>
        <v>0</v>
      </c>
      <c r="M1193">
        <f>IF(OR($E1193="",$E1192=""),"",MAX($E1192-$E1193,0))</f>
        <v>0</v>
      </c>
      <c r="N1193">
        <f>IF(COUNT($E$2:$E1193)&lt;15,"",IF(AVERAGE($M$1180:$M$1193)=0,100,100-100/(1+AVERAGE($L$1180:$L$1193)/AVERAGE($M$1180:$M$1193))))</f>
        <v>0</v>
      </c>
      <c r="O1193">
        <f>IF($E1193="","",IF($E1192="",$E1193,$E1193*0.1538461538+O1192*0.8461538462))</f>
        <v>0</v>
      </c>
      <c r="P1193">
        <f>IF($E1193="","",IF($E1192="",$E1193,$E1193*0.0740740741+P1192*0.9259259259))</f>
        <v>0</v>
      </c>
      <c r="Q1193">
        <f>IF(OR(O1193="",P1193=""),"",O1193-P1193)</f>
        <v>0</v>
      </c>
      <c r="R1193">
        <f>IF(Q1193="","",IF(R1192="",Q1193,Q1193*0.2000000000+R1192*0.8000000000))</f>
        <v>0</v>
      </c>
      <c r="S1193">
        <f>IF(OR(Q1193="",R1193=""),"",Q1193-R1193)</f>
        <v>0</v>
      </c>
      <c r="T1193">
        <f>IF(COUNT($E$2:$E1193)&lt;14,"",MAX($C$1180:$C$1193))</f>
        <v>0</v>
      </c>
      <c r="U1193">
        <f>IF(COUNT($E$2:$E1193)&lt;14,"",MIN($D$1180:$D$1193))</f>
        <v>0</v>
      </c>
      <c r="V1193">
        <f>IF(OR(T1193="",U1193="",T1193=U1193),"",100*($E1193-U1193)/(T1193-U1193))</f>
        <v>0</v>
      </c>
      <c r="W1193">
        <f>IF(COUNT($V$1191:$V$1193)&lt;3,"",AVERAGE($V$1191:$V$1193))</f>
        <v>0</v>
      </c>
      <c r="X1193">
        <f>IF(COUNT($N$1180:$N$1193)&lt;14,"",MIN($N$1180:$N$1193))</f>
        <v>0</v>
      </c>
      <c r="Y1193">
        <f>IF(COUNT($N$1180:$N$1193)&lt;14,"",MAX($N$1180:$N$1193))</f>
        <v>0</v>
      </c>
      <c r="Z1193">
        <f>IF(OR(N1193="",X1193="",Y1193="",Y1193=X1193),"",100*(N1193-X1193)/(Y1193-X1193))</f>
        <v>0</v>
      </c>
      <c r="AA1193">
        <f>IF(COUNT($Z$1191:$Z$1193)&lt;3,"",AVERAGE($Z$1191:$Z$1193))</f>
        <v>0</v>
      </c>
      <c r="AB1193">
        <f>IF(COUNT($AA$1191:$AA$1193)&lt;3,"",AVERAGE($AA$1191:$AA$1193))</f>
        <v>0</v>
      </c>
      <c r="AC1193">
        <f>IF($E1193="","",MAX($C1193-$D1193,ABS($C1193-$E1192),ABS($D1193-$E1192)))</f>
        <v>0</v>
      </c>
      <c r="AD1193">
        <f>IF(COUNT($E$2:$E1193)&lt;15,"",AVERAGE($AC$1180:$AC$1193))</f>
        <v>0</v>
      </c>
      <c r="AE1193">
        <f>IF(OR($E1193="",$E1192=""),"",IF(AND(($C1193-$C1192)&gt;($D1192-$D1193),($C1193-$C1192)&gt;0),$C1193-$C1192,0))</f>
        <v>0</v>
      </c>
      <c r="AF1193">
        <f>IF(OR($E1193="",$E1192=""),"",IF(AND(($D1192-$D1193)&gt;($C1193-$C1192),($D1192-$D1193)&gt;0),$D1192-$D1193,0))</f>
        <v>0</v>
      </c>
      <c r="AG1193">
        <f>IF(COUNT($E$2:$E1193)&lt;15,"",IF(SUM($AC$1180:$AC$1193)=0,0,100*SUM($AE$1180:$AE$1193)/SUM($AC$1180:$AC$1193)))</f>
        <v>0</v>
      </c>
      <c r="AH1193">
        <f>IF(COUNT($E$2:$E1193)&lt;15,"",IF(SUM($AC$1180:$AC$1193)=0,0,100*SUM($AF$1180:$AF$1193)/SUM($AC$1180:$AC$1193)))</f>
        <v>0</v>
      </c>
      <c r="AI1193">
        <f>IF(OR(AG1193="",AH1193=""),"",IF((AG1193+AH1193)=0,0,100*ABS(AG1193-AH1193)/(AG1193+AH1193)))</f>
        <v>0</v>
      </c>
      <c r="AJ1193">
        <f>IF(COUNT($AI$1180:$AI$1193)&lt;14,"",AVERAGE($AI$1180:$AI$1193))</f>
        <v>0</v>
      </c>
      <c r="AK1193">
        <f>IF(COUNT($E$2:$E1193)&lt;20,"",AVERAGE($E$1174:$E$1193))</f>
        <v>0</v>
      </c>
      <c r="AL1193">
        <f>IF(COUNT($E$2:$E1193)&lt;20,"",STDEVP($E$1174:$E$1193))</f>
        <v>0</v>
      </c>
      <c r="AM1193">
        <f>IF(AK1193="","",AK1193+2*AL1193)</f>
        <v>0</v>
      </c>
      <c r="AN1193">
        <f>IF(AK1193="","",AK1193-2*AL1193)</f>
        <v>0</v>
      </c>
      <c r="AO1193">
        <f>IF(OR(AM1193="",AN1193="",AM1193=AN1193),"",($E1193-AN1193)/(AM1193-AN1193))</f>
        <v>0</v>
      </c>
      <c r="AP1193">
        <f>IF(OR(AM1193="",AK1193="",AK1193=0),"",(AM1193-AN1193)/AK1193)</f>
        <v>0</v>
      </c>
      <c r="AQ1193">
        <f>IF(COUNT($E$2:$E1193)&lt;20,"",MAX($C$1174:$C$1193))</f>
        <v>0</v>
      </c>
      <c r="AR1193">
        <f>IF(COUNT($E$2:$E1193)&lt;20,"",MIN($D$1174:$D$1193))</f>
        <v>0</v>
      </c>
      <c r="AS1193">
        <f>IF(OR(AQ1193="",AR1193=""),"",(AQ1193+AR1193)/2)</f>
        <v>0</v>
      </c>
      <c r="AT1193">
        <f>IF(COUNT($G$1174:$G$1193)&lt;20,"",STDEV($G$1174:$G$1193)*SQRT(252))</f>
        <v>0</v>
      </c>
      <c r="AU1193">
        <f>IF(COUNT($E$2:$E1193)&lt;9,"",(MAX($C$1185:$C$1193)+MIN($D$1185:$D$1193))/2)</f>
        <v>0</v>
      </c>
      <c r="AV1193">
        <f>IF(COUNT($E$2:$E1193)&lt;26,"",(MAX($C$1168:$C$1193)+MIN($D$1168:$D$1193))/2)</f>
        <v>0</v>
      </c>
      <c r="AW1193">
        <f>IF(OR(AU1193="",AV1193=""),"",(AU1193+AV1193)/2)</f>
        <v>0</v>
      </c>
      <c r="AX1193">
        <f>IF(COUNT($E$2:$E1193)&lt;52,"",(MAX($C$1142:$C$1193)+MIN($D$1142:$D$1193))/2)</f>
        <v>0</v>
      </c>
      <c r="AY1193">
        <f>IF(COUNT($E$2:$E1193)&lt;20,"",MAX($C$1094:$C$1193))</f>
        <v>0</v>
      </c>
      <c r="AZ1193">
        <f>IF(COUNT($E$2:$E1193)&lt;20,"",MIN($D$1094:$D$1193))</f>
        <v>0</v>
      </c>
      <c r="BA1193">
        <f>IF(COUNT($E$2:$E1193)&lt;20,"",SLOPE($E$1094:$E$1193,$F$1094:$F$1193))</f>
        <v>0</v>
      </c>
      <c r="BB1193">
        <f>IF(COUNT($E$2:$E1193)&lt;20,"",INTERCEPT($E$1094:$E$1193,$F$1094:$F$1193))</f>
        <v>0</v>
      </c>
      <c r="BC1193">
        <f>IF(OR(BA1193="",BB1193=""),"",BB1193+BA1193*F1193)</f>
        <v>0</v>
      </c>
      <c r="BD1193">
        <f>IF(COUNT($E$2:$E1193)&lt;20,"",STEYX($E$1094:$E$1193,$F$1094:$F$1193))</f>
        <v>0</v>
      </c>
      <c r="BE1193">
        <f>IF($E1193="","",IF(AND(COUNT($E$1194:$E$1197)&gt;=4,$C1193=MAX($C$1189:$C$1197)),$C1193,""))</f>
        <v>0</v>
      </c>
      <c r="BF1193">
        <f>IF($E1193="","",IF(AND(COUNT($E$1194:$E$1197)&gt;=4,$D1193=MIN($D$1189:$D$1197)),$D1193,""))</f>
        <v>0</v>
      </c>
      <c r="BG1193">
        <f>IF($A1193="","",$A1193-WEEKDAY($A1193,2)+1)</f>
        <v>0</v>
      </c>
      <c r="BH1193">
        <f>IF($A1193="","",IF($A1192="",1,IF(BG1193&lt;&gt;BG1192,1,0)))</f>
        <v>0</v>
      </c>
      <c r="BI1193">
        <f>IF($A1193="","",IF($A1194="",1,IF(BG1194&lt;&gt;BG1193,1,0)))</f>
        <v>0</v>
      </c>
      <c r="BJ1193">
        <f>IF($A1193="","",IF(BH1193=1,$B1193,BJ1192))</f>
        <v>0</v>
      </c>
      <c r="BK1193">
        <f>IF($A1193="","",IF(BH1193=1,$C1193,MAX($C1193,BK1192)))</f>
        <v>0</v>
      </c>
      <c r="BL1193">
        <f>IF($A1193="","",IF(BH1193=1,$D1193,MIN($D1193,BL1192)))</f>
        <v>0</v>
      </c>
      <c r="BM1193">
        <f>IF($A1193="","",IF(BI1193=1,F1193,""))</f>
        <v>0</v>
      </c>
      <c r="BN1193">
        <f>IF($A1193="","",DATE(YEAR($A1193),MONTH($A1193),1))</f>
        <v>0</v>
      </c>
      <c r="BO1193">
        <f>IF($A1193="","",IF($A1192="",1,IF(BN1193&lt;&gt;BN1192,1,0)))</f>
        <v>0</v>
      </c>
      <c r="BP1193">
        <f>IF($A1193="","",IF($A1194="",1,IF(BN1194&lt;&gt;BN1193,1,0)))</f>
        <v>0</v>
      </c>
      <c r="BQ1193">
        <f>IF($A1193="","",IF(BO1193=1,$B1193,BQ1192))</f>
        <v>0</v>
      </c>
      <c r="BR1193">
        <f>IF($A1193="","",IF(BO1193=1,$C1193,MAX($C1193,BR1192)))</f>
        <v>0</v>
      </c>
      <c r="BS1193">
        <f>IF($A1193="","",IF(BO1193=1,$D1193,MIN($D1193,BS1192)))</f>
        <v>0</v>
      </c>
      <c r="BT1193">
        <f>IF($A1193="","",IF(BP1193=1,F1193,""))</f>
        <v>0</v>
      </c>
    </row>
    <row r="1194" spans="1:72">
      <c r="A1194" s="27">
        <f>IF(Data!$A1194="","",Data!$A1194)</f>
        <v>0</v>
      </c>
      <c r="B1194">
        <f>IF(Data!$B1194="","",Data!$B1194)</f>
        <v>0</v>
      </c>
      <c r="C1194">
        <f>IF(Data!$C1194="","",Data!$C1194)</f>
        <v>0</v>
      </c>
      <c r="D1194">
        <f>IF(Data!$D1194="","",Data!$D1194)</f>
        <v>0</v>
      </c>
      <c r="E1194">
        <f>IF(Data!$E1194="","",Data!$E1194)</f>
        <v>0</v>
      </c>
      <c r="F1194">
        <f>IF($E1194="","",N(F1193)+1)</f>
        <v>0</v>
      </c>
      <c r="G1194">
        <f>IF(OR($E1194="",$E1193=""),"",LN($E1194/$E1193))</f>
        <v>0</v>
      </c>
      <c r="H1194">
        <f>IF($E1194="","",IF($E1193="",$E1194,$E1194*0.0952380952+H1193*0.9047619048))</f>
        <v>0</v>
      </c>
      <c r="I1194">
        <f>IF($E1194="","",IF($E1193="",$E1194,$E1194*0.0392156863+I1193*0.9607843137))</f>
        <v>0</v>
      </c>
      <c r="J1194">
        <f>IF($E1194="","",IF($E1193="",$E1194,$E1194*0.0198019802+J1193*0.9801980198))</f>
        <v>0</v>
      </c>
      <c r="K1194">
        <f>IF($E1194="","",IF($E1193="",$E1194,$E1194*0.0099502488+K1193*0.9900497512))</f>
        <v>0</v>
      </c>
      <c r="L1194">
        <f>IF(OR($E1194="",$E1193=""),"",MAX($E1194-$E1193,0))</f>
        <v>0</v>
      </c>
      <c r="M1194">
        <f>IF(OR($E1194="",$E1193=""),"",MAX($E1193-$E1194,0))</f>
        <v>0</v>
      </c>
      <c r="N1194">
        <f>IF(COUNT($E$2:$E1194)&lt;15,"",IF(AVERAGE($M$1181:$M$1194)=0,100,100-100/(1+AVERAGE($L$1181:$L$1194)/AVERAGE($M$1181:$M$1194))))</f>
        <v>0</v>
      </c>
      <c r="O1194">
        <f>IF($E1194="","",IF($E1193="",$E1194,$E1194*0.1538461538+O1193*0.8461538462))</f>
        <v>0</v>
      </c>
      <c r="P1194">
        <f>IF($E1194="","",IF($E1193="",$E1194,$E1194*0.0740740741+P1193*0.9259259259))</f>
        <v>0</v>
      </c>
      <c r="Q1194">
        <f>IF(OR(O1194="",P1194=""),"",O1194-P1194)</f>
        <v>0</v>
      </c>
      <c r="R1194">
        <f>IF(Q1194="","",IF(R1193="",Q1194,Q1194*0.2000000000+R1193*0.8000000000))</f>
        <v>0</v>
      </c>
      <c r="S1194">
        <f>IF(OR(Q1194="",R1194=""),"",Q1194-R1194)</f>
        <v>0</v>
      </c>
      <c r="T1194">
        <f>IF(COUNT($E$2:$E1194)&lt;14,"",MAX($C$1181:$C$1194))</f>
        <v>0</v>
      </c>
      <c r="U1194">
        <f>IF(COUNT($E$2:$E1194)&lt;14,"",MIN($D$1181:$D$1194))</f>
        <v>0</v>
      </c>
      <c r="V1194">
        <f>IF(OR(T1194="",U1194="",T1194=U1194),"",100*($E1194-U1194)/(T1194-U1194))</f>
        <v>0</v>
      </c>
      <c r="W1194">
        <f>IF(COUNT($V$1192:$V$1194)&lt;3,"",AVERAGE($V$1192:$V$1194))</f>
        <v>0</v>
      </c>
      <c r="X1194">
        <f>IF(COUNT($N$1181:$N$1194)&lt;14,"",MIN($N$1181:$N$1194))</f>
        <v>0</v>
      </c>
      <c r="Y1194">
        <f>IF(COUNT($N$1181:$N$1194)&lt;14,"",MAX($N$1181:$N$1194))</f>
        <v>0</v>
      </c>
      <c r="Z1194">
        <f>IF(OR(N1194="",X1194="",Y1194="",Y1194=X1194),"",100*(N1194-X1194)/(Y1194-X1194))</f>
        <v>0</v>
      </c>
      <c r="AA1194">
        <f>IF(COUNT($Z$1192:$Z$1194)&lt;3,"",AVERAGE($Z$1192:$Z$1194))</f>
        <v>0</v>
      </c>
      <c r="AB1194">
        <f>IF(COUNT($AA$1192:$AA$1194)&lt;3,"",AVERAGE($AA$1192:$AA$1194))</f>
        <v>0</v>
      </c>
      <c r="AC1194">
        <f>IF($E1194="","",MAX($C1194-$D1194,ABS($C1194-$E1193),ABS($D1194-$E1193)))</f>
        <v>0</v>
      </c>
      <c r="AD1194">
        <f>IF(COUNT($E$2:$E1194)&lt;15,"",AVERAGE($AC$1181:$AC$1194))</f>
        <v>0</v>
      </c>
      <c r="AE1194">
        <f>IF(OR($E1194="",$E1193=""),"",IF(AND(($C1194-$C1193)&gt;($D1193-$D1194),($C1194-$C1193)&gt;0),$C1194-$C1193,0))</f>
        <v>0</v>
      </c>
      <c r="AF1194">
        <f>IF(OR($E1194="",$E1193=""),"",IF(AND(($D1193-$D1194)&gt;($C1194-$C1193),($D1193-$D1194)&gt;0),$D1193-$D1194,0))</f>
        <v>0</v>
      </c>
      <c r="AG1194">
        <f>IF(COUNT($E$2:$E1194)&lt;15,"",IF(SUM($AC$1181:$AC$1194)=0,0,100*SUM($AE$1181:$AE$1194)/SUM($AC$1181:$AC$1194)))</f>
        <v>0</v>
      </c>
      <c r="AH1194">
        <f>IF(COUNT($E$2:$E1194)&lt;15,"",IF(SUM($AC$1181:$AC$1194)=0,0,100*SUM($AF$1181:$AF$1194)/SUM($AC$1181:$AC$1194)))</f>
        <v>0</v>
      </c>
      <c r="AI1194">
        <f>IF(OR(AG1194="",AH1194=""),"",IF((AG1194+AH1194)=0,0,100*ABS(AG1194-AH1194)/(AG1194+AH1194)))</f>
        <v>0</v>
      </c>
      <c r="AJ1194">
        <f>IF(COUNT($AI$1181:$AI$1194)&lt;14,"",AVERAGE($AI$1181:$AI$1194))</f>
        <v>0</v>
      </c>
      <c r="AK1194">
        <f>IF(COUNT($E$2:$E1194)&lt;20,"",AVERAGE($E$1175:$E$1194))</f>
        <v>0</v>
      </c>
      <c r="AL1194">
        <f>IF(COUNT($E$2:$E1194)&lt;20,"",STDEVP($E$1175:$E$1194))</f>
        <v>0</v>
      </c>
      <c r="AM1194">
        <f>IF(AK1194="","",AK1194+2*AL1194)</f>
        <v>0</v>
      </c>
      <c r="AN1194">
        <f>IF(AK1194="","",AK1194-2*AL1194)</f>
        <v>0</v>
      </c>
      <c r="AO1194">
        <f>IF(OR(AM1194="",AN1194="",AM1194=AN1194),"",($E1194-AN1194)/(AM1194-AN1194))</f>
        <v>0</v>
      </c>
      <c r="AP1194">
        <f>IF(OR(AM1194="",AK1194="",AK1194=0),"",(AM1194-AN1194)/AK1194)</f>
        <v>0</v>
      </c>
      <c r="AQ1194">
        <f>IF(COUNT($E$2:$E1194)&lt;20,"",MAX($C$1175:$C$1194))</f>
        <v>0</v>
      </c>
      <c r="AR1194">
        <f>IF(COUNT($E$2:$E1194)&lt;20,"",MIN($D$1175:$D$1194))</f>
        <v>0</v>
      </c>
      <c r="AS1194">
        <f>IF(OR(AQ1194="",AR1194=""),"",(AQ1194+AR1194)/2)</f>
        <v>0</v>
      </c>
      <c r="AT1194">
        <f>IF(COUNT($G$1175:$G$1194)&lt;20,"",STDEV($G$1175:$G$1194)*SQRT(252))</f>
        <v>0</v>
      </c>
      <c r="AU1194">
        <f>IF(COUNT($E$2:$E1194)&lt;9,"",(MAX($C$1186:$C$1194)+MIN($D$1186:$D$1194))/2)</f>
        <v>0</v>
      </c>
      <c r="AV1194">
        <f>IF(COUNT($E$2:$E1194)&lt;26,"",(MAX($C$1169:$C$1194)+MIN($D$1169:$D$1194))/2)</f>
        <v>0</v>
      </c>
      <c r="AW1194">
        <f>IF(OR(AU1194="",AV1194=""),"",(AU1194+AV1194)/2)</f>
        <v>0</v>
      </c>
      <c r="AX1194">
        <f>IF(COUNT($E$2:$E1194)&lt;52,"",(MAX($C$1143:$C$1194)+MIN($D$1143:$D$1194))/2)</f>
        <v>0</v>
      </c>
      <c r="AY1194">
        <f>IF(COUNT($E$2:$E1194)&lt;20,"",MAX($C$1095:$C$1194))</f>
        <v>0</v>
      </c>
      <c r="AZ1194">
        <f>IF(COUNT($E$2:$E1194)&lt;20,"",MIN($D$1095:$D$1194))</f>
        <v>0</v>
      </c>
      <c r="BA1194">
        <f>IF(COUNT($E$2:$E1194)&lt;20,"",SLOPE($E$1095:$E$1194,$F$1095:$F$1194))</f>
        <v>0</v>
      </c>
      <c r="BB1194">
        <f>IF(COUNT($E$2:$E1194)&lt;20,"",INTERCEPT($E$1095:$E$1194,$F$1095:$F$1194))</f>
        <v>0</v>
      </c>
      <c r="BC1194">
        <f>IF(OR(BA1194="",BB1194=""),"",BB1194+BA1194*F1194)</f>
        <v>0</v>
      </c>
      <c r="BD1194">
        <f>IF(COUNT($E$2:$E1194)&lt;20,"",STEYX($E$1095:$E$1194,$F$1095:$F$1194))</f>
        <v>0</v>
      </c>
      <c r="BE1194">
        <f>IF($E1194="","",IF(AND(COUNT($E$1195:$E$1198)&gt;=4,$C1194=MAX($C$1190:$C$1198)),$C1194,""))</f>
        <v>0</v>
      </c>
      <c r="BF1194">
        <f>IF($E1194="","",IF(AND(COUNT($E$1195:$E$1198)&gt;=4,$D1194=MIN($D$1190:$D$1198)),$D1194,""))</f>
        <v>0</v>
      </c>
      <c r="BG1194">
        <f>IF($A1194="","",$A1194-WEEKDAY($A1194,2)+1)</f>
        <v>0</v>
      </c>
      <c r="BH1194">
        <f>IF($A1194="","",IF($A1193="",1,IF(BG1194&lt;&gt;BG1193,1,0)))</f>
        <v>0</v>
      </c>
      <c r="BI1194">
        <f>IF($A1194="","",IF($A1195="",1,IF(BG1195&lt;&gt;BG1194,1,0)))</f>
        <v>0</v>
      </c>
      <c r="BJ1194">
        <f>IF($A1194="","",IF(BH1194=1,$B1194,BJ1193))</f>
        <v>0</v>
      </c>
      <c r="BK1194">
        <f>IF($A1194="","",IF(BH1194=1,$C1194,MAX($C1194,BK1193)))</f>
        <v>0</v>
      </c>
      <c r="BL1194">
        <f>IF($A1194="","",IF(BH1194=1,$D1194,MIN($D1194,BL1193)))</f>
        <v>0</v>
      </c>
      <c r="BM1194">
        <f>IF($A1194="","",IF(BI1194=1,F1194,""))</f>
        <v>0</v>
      </c>
      <c r="BN1194">
        <f>IF($A1194="","",DATE(YEAR($A1194),MONTH($A1194),1))</f>
        <v>0</v>
      </c>
      <c r="BO1194">
        <f>IF($A1194="","",IF($A1193="",1,IF(BN1194&lt;&gt;BN1193,1,0)))</f>
        <v>0</v>
      </c>
      <c r="BP1194">
        <f>IF($A1194="","",IF($A1195="",1,IF(BN1195&lt;&gt;BN1194,1,0)))</f>
        <v>0</v>
      </c>
      <c r="BQ1194">
        <f>IF($A1194="","",IF(BO1194=1,$B1194,BQ1193))</f>
        <v>0</v>
      </c>
      <c r="BR1194">
        <f>IF($A1194="","",IF(BO1194=1,$C1194,MAX($C1194,BR1193)))</f>
        <v>0</v>
      </c>
      <c r="BS1194">
        <f>IF($A1194="","",IF(BO1194=1,$D1194,MIN($D1194,BS1193)))</f>
        <v>0</v>
      </c>
      <c r="BT1194">
        <f>IF($A1194="","",IF(BP1194=1,F1194,""))</f>
        <v>0</v>
      </c>
    </row>
    <row r="1195" spans="1:72">
      <c r="A1195" s="27">
        <f>IF(Data!$A1195="","",Data!$A1195)</f>
        <v>0</v>
      </c>
      <c r="B1195">
        <f>IF(Data!$B1195="","",Data!$B1195)</f>
        <v>0</v>
      </c>
      <c r="C1195">
        <f>IF(Data!$C1195="","",Data!$C1195)</f>
        <v>0</v>
      </c>
      <c r="D1195">
        <f>IF(Data!$D1195="","",Data!$D1195)</f>
        <v>0</v>
      </c>
      <c r="E1195">
        <f>IF(Data!$E1195="","",Data!$E1195)</f>
        <v>0</v>
      </c>
      <c r="F1195">
        <f>IF($E1195="","",N(F1194)+1)</f>
        <v>0</v>
      </c>
      <c r="G1195">
        <f>IF(OR($E1195="",$E1194=""),"",LN($E1195/$E1194))</f>
        <v>0</v>
      </c>
      <c r="H1195">
        <f>IF($E1195="","",IF($E1194="",$E1195,$E1195*0.0952380952+H1194*0.9047619048))</f>
        <v>0</v>
      </c>
      <c r="I1195">
        <f>IF($E1195="","",IF($E1194="",$E1195,$E1195*0.0392156863+I1194*0.9607843137))</f>
        <v>0</v>
      </c>
      <c r="J1195">
        <f>IF($E1195="","",IF($E1194="",$E1195,$E1195*0.0198019802+J1194*0.9801980198))</f>
        <v>0</v>
      </c>
      <c r="K1195">
        <f>IF($E1195="","",IF($E1194="",$E1195,$E1195*0.0099502488+K1194*0.9900497512))</f>
        <v>0</v>
      </c>
      <c r="L1195">
        <f>IF(OR($E1195="",$E1194=""),"",MAX($E1195-$E1194,0))</f>
        <v>0</v>
      </c>
      <c r="M1195">
        <f>IF(OR($E1195="",$E1194=""),"",MAX($E1194-$E1195,0))</f>
        <v>0</v>
      </c>
      <c r="N1195">
        <f>IF(COUNT($E$2:$E1195)&lt;15,"",IF(AVERAGE($M$1182:$M$1195)=0,100,100-100/(1+AVERAGE($L$1182:$L$1195)/AVERAGE($M$1182:$M$1195))))</f>
        <v>0</v>
      </c>
      <c r="O1195">
        <f>IF($E1195="","",IF($E1194="",$E1195,$E1195*0.1538461538+O1194*0.8461538462))</f>
        <v>0</v>
      </c>
      <c r="P1195">
        <f>IF($E1195="","",IF($E1194="",$E1195,$E1195*0.0740740741+P1194*0.9259259259))</f>
        <v>0</v>
      </c>
      <c r="Q1195">
        <f>IF(OR(O1195="",P1195=""),"",O1195-P1195)</f>
        <v>0</v>
      </c>
      <c r="R1195">
        <f>IF(Q1195="","",IF(R1194="",Q1195,Q1195*0.2000000000+R1194*0.8000000000))</f>
        <v>0</v>
      </c>
      <c r="S1195">
        <f>IF(OR(Q1195="",R1195=""),"",Q1195-R1195)</f>
        <v>0</v>
      </c>
      <c r="T1195">
        <f>IF(COUNT($E$2:$E1195)&lt;14,"",MAX($C$1182:$C$1195))</f>
        <v>0</v>
      </c>
      <c r="U1195">
        <f>IF(COUNT($E$2:$E1195)&lt;14,"",MIN($D$1182:$D$1195))</f>
        <v>0</v>
      </c>
      <c r="V1195">
        <f>IF(OR(T1195="",U1195="",T1195=U1195),"",100*($E1195-U1195)/(T1195-U1195))</f>
        <v>0</v>
      </c>
      <c r="W1195">
        <f>IF(COUNT($V$1193:$V$1195)&lt;3,"",AVERAGE($V$1193:$V$1195))</f>
        <v>0</v>
      </c>
      <c r="X1195">
        <f>IF(COUNT($N$1182:$N$1195)&lt;14,"",MIN($N$1182:$N$1195))</f>
        <v>0</v>
      </c>
      <c r="Y1195">
        <f>IF(COUNT($N$1182:$N$1195)&lt;14,"",MAX($N$1182:$N$1195))</f>
        <v>0</v>
      </c>
      <c r="Z1195">
        <f>IF(OR(N1195="",X1195="",Y1195="",Y1195=X1195),"",100*(N1195-X1195)/(Y1195-X1195))</f>
        <v>0</v>
      </c>
      <c r="AA1195">
        <f>IF(COUNT($Z$1193:$Z$1195)&lt;3,"",AVERAGE($Z$1193:$Z$1195))</f>
        <v>0</v>
      </c>
      <c r="AB1195">
        <f>IF(COUNT($AA$1193:$AA$1195)&lt;3,"",AVERAGE($AA$1193:$AA$1195))</f>
        <v>0</v>
      </c>
      <c r="AC1195">
        <f>IF($E1195="","",MAX($C1195-$D1195,ABS($C1195-$E1194),ABS($D1195-$E1194)))</f>
        <v>0</v>
      </c>
      <c r="AD1195">
        <f>IF(COUNT($E$2:$E1195)&lt;15,"",AVERAGE($AC$1182:$AC$1195))</f>
        <v>0</v>
      </c>
      <c r="AE1195">
        <f>IF(OR($E1195="",$E1194=""),"",IF(AND(($C1195-$C1194)&gt;($D1194-$D1195),($C1195-$C1194)&gt;0),$C1195-$C1194,0))</f>
        <v>0</v>
      </c>
      <c r="AF1195">
        <f>IF(OR($E1195="",$E1194=""),"",IF(AND(($D1194-$D1195)&gt;($C1195-$C1194),($D1194-$D1195)&gt;0),$D1194-$D1195,0))</f>
        <v>0</v>
      </c>
      <c r="AG1195">
        <f>IF(COUNT($E$2:$E1195)&lt;15,"",IF(SUM($AC$1182:$AC$1195)=0,0,100*SUM($AE$1182:$AE$1195)/SUM($AC$1182:$AC$1195)))</f>
        <v>0</v>
      </c>
      <c r="AH1195">
        <f>IF(COUNT($E$2:$E1195)&lt;15,"",IF(SUM($AC$1182:$AC$1195)=0,0,100*SUM($AF$1182:$AF$1195)/SUM($AC$1182:$AC$1195)))</f>
        <v>0</v>
      </c>
      <c r="AI1195">
        <f>IF(OR(AG1195="",AH1195=""),"",IF((AG1195+AH1195)=0,0,100*ABS(AG1195-AH1195)/(AG1195+AH1195)))</f>
        <v>0</v>
      </c>
      <c r="AJ1195">
        <f>IF(COUNT($AI$1182:$AI$1195)&lt;14,"",AVERAGE($AI$1182:$AI$1195))</f>
        <v>0</v>
      </c>
      <c r="AK1195">
        <f>IF(COUNT($E$2:$E1195)&lt;20,"",AVERAGE($E$1176:$E$1195))</f>
        <v>0</v>
      </c>
      <c r="AL1195">
        <f>IF(COUNT($E$2:$E1195)&lt;20,"",STDEVP($E$1176:$E$1195))</f>
        <v>0</v>
      </c>
      <c r="AM1195">
        <f>IF(AK1195="","",AK1195+2*AL1195)</f>
        <v>0</v>
      </c>
      <c r="AN1195">
        <f>IF(AK1195="","",AK1195-2*AL1195)</f>
        <v>0</v>
      </c>
      <c r="AO1195">
        <f>IF(OR(AM1195="",AN1195="",AM1195=AN1195),"",($E1195-AN1195)/(AM1195-AN1195))</f>
        <v>0</v>
      </c>
      <c r="AP1195">
        <f>IF(OR(AM1195="",AK1195="",AK1195=0),"",(AM1195-AN1195)/AK1195)</f>
        <v>0</v>
      </c>
      <c r="AQ1195">
        <f>IF(COUNT($E$2:$E1195)&lt;20,"",MAX($C$1176:$C$1195))</f>
        <v>0</v>
      </c>
      <c r="AR1195">
        <f>IF(COUNT($E$2:$E1195)&lt;20,"",MIN($D$1176:$D$1195))</f>
        <v>0</v>
      </c>
      <c r="AS1195">
        <f>IF(OR(AQ1195="",AR1195=""),"",(AQ1195+AR1195)/2)</f>
        <v>0</v>
      </c>
      <c r="AT1195">
        <f>IF(COUNT($G$1176:$G$1195)&lt;20,"",STDEV($G$1176:$G$1195)*SQRT(252))</f>
        <v>0</v>
      </c>
      <c r="AU1195">
        <f>IF(COUNT($E$2:$E1195)&lt;9,"",(MAX($C$1187:$C$1195)+MIN($D$1187:$D$1195))/2)</f>
        <v>0</v>
      </c>
      <c r="AV1195">
        <f>IF(COUNT($E$2:$E1195)&lt;26,"",(MAX($C$1170:$C$1195)+MIN($D$1170:$D$1195))/2)</f>
        <v>0</v>
      </c>
      <c r="AW1195">
        <f>IF(OR(AU1195="",AV1195=""),"",(AU1195+AV1195)/2)</f>
        <v>0</v>
      </c>
      <c r="AX1195">
        <f>IF(COUNT($E$2:$E1195)&lt;52,"",(MAX($C$1144:$C$1195)+MIN($D$1144:$D$1195))/2)</f>
        <v>0</v>
      </c>
      <c r="AY1195">
        <f>IF(COUNT($E$2:$E1195)&lt;20,"",MAX($C$1096:$C$1195))</f>
        <v>0</v>
      </c>
      <c r="AZ1195">
        <f>IF(COUNT($E$2:$E1195)&lt;20,"",MIN($D$1096:$D$1195))</f>
        <v>0</v>
      </c>
      <c r="BA1195">
        <f>IF(COUNT($E$2:$E1195)&lt;20,"",SLOPE($E$1096:$E$1195,$F$1096:$F$1195))</f>
        <v>0</v>
      </c>
      <c r="BB1195">
        <f>IF(COUNT($E$2:$E1195)&lt;20,"",INTERCEPT($E$1096:$E$1195,$F$1096:$F$1195))</f>
        <v>0</v>
      </c>
      <c r="BC1195">
        <f>IF(OR(BA1195="",BB1195=""),"",BB1195+BA1195*F1195)</f>
        <v>0</v>
      </c>
      <c r="BD1195">
        <f>IF(COUNT($E$2:$E1195)&lt;20,"",STEYX($E$1096:$E$1195,$F$1096:$F$1195))</f>
        <v>0</v>
      </c>
      <c r="BE1195">
        <f>IF($E1195="","",IF(AND(COUNT($E$1196:$E$1199)&gt;=4,$C1195=MAX($C$1191:$C$1199)),$C1195,""))</f>
        <v>0</v>
      </c>
      <c r="BF1195">
        <f>IF($E1195="","",IF(AND(COUNT($E$1196:$E$1199)&gt;=4,$D1195=MIN($D$1191:$D$1199)),$D1195,""))</f>
        <v>0</v>
      </c>
      <c r="BG1195">
        <f>IF($A1195="","",$A1195-WEEKDAY($A1195,2)+1)</f>
        <v>0</v>
      </c>
      <c r="BH1195">
        <f>IF($A1195="","",IF($A1194="",1,IF(BG1195&lt;&gt;BG1194,1,0)))</f>
        <v>0</v>
      </c>
      <c r="BI1195">
        <f>IF($A1195="","",IF($A1196="",1,IF(BG1196&lt;&gt;BG1195,1,0)))</f>
        <v>0</v>
      </c>
      <c r="BJ1195">
        <f>IF($A1195="","",IF(BH1195=1,$B1195,BJ1194))</f>
        <v>0</v>
      </c>
      <c r="BK1195">
        <f>IF($A1195="","",IF(BH1195=1,$C1195,MAX($C1195,BK1194)))</f>
        <v>0</v>
      </c>
      <c r="BL1195">
        <f>IF($A1195="","",IF(BH1195=1,$D1195,MIN($D1195,BL1194)))</f>
        <v>0</v>
      </c>
      <c r="BM1195">
        <f>IF($A1195="","",IF(BI1195=1,F1195,""))</f>
        <v>0</v>
      </c>
      <c r="BN1195">
        <f>IF($A1195="","",DATE(YEAR($A1195),MONTH($A1195),1))</f>
        <v>0</v>
      </c>
      <c r="BO1195">
        <f>IF($A1195="","",IF($A1194="",1,IF(BN1195&lt;&gt;BN1194,1,0)))</f>
        <v>0</v>
      </c>
      <c r="BP1195">
        <f>IF($A1195="","",IF($A1196="",1,IF(BN1196&lt;&gt;BN1195,1,0)))</f>
        <v>0</v>
      </c>
      <c r="BQ1195">
        <f>IF($A1195="","",IF(BO1195=1,$B1195,BQ1194))</f>
        <v>0</v>
      </c>
      <c r="BR1195">
        <f>IF($A1195="","",IF(BO1195=1,$C1195,MAX($C1195,BR1194)))</f>
        <v>0</v>
      </c>
      <c r="BS1195">
        <f>IF($A1195="","",IF(BO1195=1,$D1195,MIN($D1195,BS1194)))</f>
        <v>0</v>
      </c>
      <c r="BT1195">
        <f>IF($A1195="","",IF(BP1195=1,F1195,""))</f>
        <v>0</v>
      </c>
    </row>
    <row r="1196" spans="1:72">
      <c r="A1196" s="27">
        <f>IF(Data!$A1196="","",Data!$A1196)</f>
        <v>0</v>
      </c>
      <c r="B1196">
        <f>IF(Data!$B1196="","",Data!$B1196)</f>
        <v>0</v>
      </c>
      <c r="C1196">
        <f>IF(Data!$C1196="","",Data!$C1196)</f>
        <v>0</v>
      </c>
      <c r="D1196">
        <f>IF(Data!$D1196="","",Data!$D1196)</f>
        <v>0</v>
      </c>
      <c r="E1196">
        <f>IF(Data!$E1196="","",Data!$E1196)</f>
        <v>0</v>
      </c>
      <c r="F1196">
        <f>IF($E1196="","",N(F1195)+1)</f>
        <v>0</v>
      </c>
      <c r="G1196">
        <f>IF(OR($E1196="",$E1195=""),"",LN($E1196/$E1195))</f>
        <v>0</v>
      </c>
      <c r="H1196">
        <f>IF($E1196="","",IF($E1195="",$E1196,$E1196*0.0952380952+H1195*0.9047619048))</f>
        <v>0</v>
      </c>
      <c r="I1196">
        <f>IF($E1196="","",IF($E1195="",$E1196,$E1196*0.0392156863+I1195*0.9607843137))</f>
        <v>0</v>
      </c>
      <c r="J1196">
        <f>IF($E1196="","",IF($E1195="",$E1196,$E1196*0.0198019802+J1195*0.9801980198))</f>
        <v>0</v>
      </c>
      <c r="K1196">
        <f>IF($E1196="","",IF($E1195="",$E1196,$E1196*0.0099502488+K1195*0.9900497512))</f>
        <v>0</v>
      </c>
      <c r="L1196">
        <f>IF(OR($E1196="",$E1195=""),"",MAX($E1196-$E1195,0))</f>
        <v>0</v>
      </c>
      <c r="M1196">
        <f>IF(OR($E1196="",$E1195=""),"",MAX($E1195-$E1196,0))</f>
        <v>0</v>
      </c>
      <c r="N1196">
        <f>IF(COUNT($E$2:$E1196)&lt;15,"",IF(AVERAGE($M$1183:$M$1196)=0,100,100-100/(1+AVERAGE($L$1183:$L$1196)/AVERAGE($M$1183:$M$1196))))</f>
        <v>0</v>
      </c>
      <c r="O1196">
        <f>IF($E1196="","",IF($E1195="",$E1196,$E1196*0.1538461538+O1195*0.8461538462))</f>
        <v>0</v>
      </c>
      <c r="P1196">
        <f>IF($E1196="","",IF($E1195="",$E1196,$E1196*0.0740740741+P1195*0.9259259259))</f>
        <v>0</v>
      </c>
      <c r="Q1196">
        <f>IF(OR(O1196="",P1196=""),"",O1196-P1196)</f>
        <v>0</v>
      </c>
      <c r="R1196">
        <f>IF(Q1196="","",IF(R1195="",Q1196,Q1196*0.2000000000+R1195*0.8000000000))</f>
        <v>0</v>
      </c>
      <c r="S1196">
        <f>IF(OR(Q1196="",R1196=""),"",Q1196-R1196)</f>
        <v>0</v>
      </c>
      <c r="T1196">
        <f>IF(COUNT($E$2:$E1196)&lt;14,"",MAX($C$1183:$C$1196))</f>
        <v>0</v>
      </c>
      <c r="U1196">
        <f>IF(COUNT($E$2:$E1196)&lt;14,"",MIN($D$1183:$D$1196))</f>
        <v>0</v>
      </c>
      <c r="V1196">
        <f>IF(OR(T1196="",U1196="",T1196=U1196),"",100*($E1196-U1196)/(T1196-U1196))</f>
        <v>0</v>
      </c>
      <c r="W1196">
        <f>IF(COUNT($V$1194:$V$1196)&lt;3,"",AVERAGE($V$1194:$V$1196))</f>
        <v>0</v>
      </c>
      <c r="X1196">
        <f>IF(COUNT($N$1183:$N$1196)&lt;14,"",MIN($N$1183:$N$1196))</f>
        <v>0</v>
      </c>
      <c r="Y1196">
        <f>IF(COUNT($N$1183:$N$1196)&lt;14,"",MAX($N$1183:$N$1196))</f>
        <v>0</v>
      </c>
      <c r="Z1196">
        <f>IF(OR(N1196="",X1196="",Y1196="",Y1196=X1196),"",100*(N1196-X1196)/(Y1196-X1196))</f>
        <v>0</v>
      </c>
      <c r="AA1196">
        <f>IF(COUNT($Z$1194:$Z$1196)&lt;3,"",AVERAGE($Z$1194:$Z$1196))</f>
        <v>0</v>
      </c>
      <c r="AB1196">
        <f>IF(COUNT($AA$1194:$AA$1196)&lt;3,"",AVERAGE($AA$1194:$AA$1196))</f>
        <v>0</v>
      </c>
      <c r="AC1196">
        <f>IF($E1196="","",MAX($C1196-$D1196,ABS($C1196-$E1195),ABS($D1196-$E1195)))</f>
        <v>0</v>
      </c>
      <c r="AD1196">
        <f>IF(COUNT($E$2:$E1196)&lt;15,"",AVERAGE($AC$1183:$AC$1196))</f>
        <v>0</v>
      </c>
      <c r="AE1196">
        <f>IF(OR($E1196="",$E1195=""),"",IF(AND(($C1196-$C1195)&gt;($D1195-$D1196),($C1196-$C1195)&gt;0),$C1196-$C1195,0))</f>
        <v>0</v>
      </c>
      <c r="AF1196">
        <f>IF(OR($E1196="",$E1195=""),"",IF(AND(($D1195-$D1196)&gt;($C1196-$C1195),($D1195-$D1196)&gt;0),$D1195-$D1196,0))</f>
        <v>0</v>
      </c>
      <c r="AG1196">
        <f>IF(COUNT($E$2:$E1196)&lt;15,"",IF(SUM($AC$1183:$AC$1196)=0,0,100*SUM($AE$1183:$AE$1196)/SUM($AC$1183:$AC$1196)))</f>
        <v>0</v>
      </c>
      <c r="AH1196">
        <f>IF(COUNT($E$2:$E1196)&lt;15,"",IF(SUM($AC$1183:$AC$1196)=0,0,100*SUM($AF$1183:$AF$1196)/SUM($AC$1183:$AC$1196)))</f>
        <v>0</v>
      </c>
      <c r="AI1196">
        <f>IF(OR(AG1196="",AH1196=""),"",IF((AG1196+AH1196)=0,0,100*ABS(AG1196-AH1196)/(AG1196+AH1196)))</f>
        <v>0</v>
      </c>
      <c r="AJ1196">
        <f>IF(COUNT($AI$1183:$AI$1196)&lt;14,"",AVERAGE($AI$1183:$AI$1196))</f>
        <v>0</v>
      </c>
      <c r="AK1196">
        <f>IF(COUNT($E$2:$E1196)&lt;20,"",AVERAGE($E$1177:$E$1196))</f>
        <v>0</v>
      </c>
      <c r="AL1196">
        <f>IF(COUNT($E$2:$E1196)&lt;20,"",STDEVP($E$1177:$E$1196))</f>
        <v>0</v>
      </c>
      <c r="AM1196">
        <f>IF(AK1196="","",AK1196+2*AL1196)</f>
        <v>0</v>
      </c>
      <c r="AN1196">
        <f>IF(AK1196="","",AK1196-2*AL1196)</f>
        <v>0</v>
      </c>
      <c r="AO1196">
        <f>IF(OR(AM1196="",AN1196="",AM1196=AN1196),"",($E1196-AN1196)/(AM1196-AN1196))</f>
        <v>0</v>
      </c>
      <c r="AP1196">
        <f>IF(OR(AM1196="",AK1196="",AK1196=0),"",(AM1196-AN1196)/AK1196)</f>
        <v>0</v>
      </c>
      <c r="AQ1196">
        <f>IF(COUNT($E$2:$E1196)&lt;20,"",MAX($C$1177:$C$1196))</f>
        <v>0</v>
      </c>
      <c r="AR1196">
        <f>IF(COUNT($E$2:$E1196)&lt;20,"",MIN($D$1177:$D$1196))</f>
        <v>0</v>
      </c>
      <c r="AS1196">
        <f>IF(OR(AQ1196="",AR1196=""),"",(AQ1196+AR1196)/2)</f>
        <v>0</v>
      </c>
      <c r="AT1196">
        <f>IF(COUNT($G$1177:$G$1196)&lt;20,"",STDEV($G$1177:$G$1196)*SQRT(252))</f>
        <v>0</v>
      </c>
      <c r="AU1196">
        <f>IF(COUNT($E$2:$E1196)&lt;9,"",(MAX($C$1188:$C$1196)+MIN($D$1188:$D$1196))/2)</f>
        <v>0</v>
      </c>
      <c r="AV1196">
        <f>IF(COUNT($E$2:$E1196)&lt;26,"",(MAX($C$1171:$C$1196)+MIN($D$1171:$D$1196))/2)</f>
        <v>0</v>
      </c>
      <c r="AW1196">
        <f>IF(OR(AU1196="",AV1196=""),"",(AU1196+AV1196)/2)</f>
        <v>0</v>
      </c>
      <c r="AX1196">
        <f>IF(COUNT($E$2:$E1196)&lt;52,"",(MAX($C$1145:$C$1196)+MIN($D$1145:$D$1196))/2)</f>
        <v>0</v>
      </c>
      <c r="AY1196">
        <f>IF(COUNT($E$2:$E1196)&lt;20,"",MAX($C$1097:$C$1196))</f>
        <v>0</v>
      </c>
      <c r="AZ1196">
        <f>IF(COUNT($E$2:$E1196)&lt;20,"",MIN($D$1097:$D$1196))</f>
        <v>0</v>
      </c>
      <c r="BA1196">
        <f>IF(COUNT($E$2:$E1196)&lt;20,"",SLOPE($E$1097:$E$1196,$F$1097:$F$1196))</f>
        <v>0</v>
      </c>
      <c r="BB1196">
        <f>IF(COUNT($E$2:$E1196)&lt;20,"",INTERCEPT($E$1097:$E$1196,$F$1097:$F$1196))</f>
        <v>0</v>
      </c>
      <c r="BC1196">
        <f>IF(OR(BA1196="",BB1196=""),"",BB1196+BA1196*F1196)</f>
        <v>0</v>
      </c>
      <c r="BD1196">
        <f>IF(COUNT($E$2:$E1196)&lt;20,"",STEYX($E$1097:$E$1196,$F$1097:$F$1196))</f>
        <v>0</v>
      </c>
      <c r="BE1196">
        <f>IF($E1196="","",IF(AND(COUNT($E$1197:$E$1200)&gt;=4,$C1196=MAX($C$1192:$C$1200)),$C1196,""))</f>
        <v>0</v>
      </c>
      <c r="BF1196">
        <f>IF($E1196="","",IF(AND(COUNT($E$1197:$E$1200)&gt;=4,$D1196=MIN($D$1192:$D$1200)),$D1196,""))</f>
        <v>0</v>
      </c>
      <c r="BG1196">
        <f>IF($A1196="","",$A1196-WEEKDAY($A1196,2)+1)</f>
        <v>0</v>
      </c>
      <c r="BH1196">
        <f>IF($A1196="","",IF($A1195="",1,IF(BG1196&lt;&gt;BG1195,1,0)))</f>
        <v>0</v>
      </c>
      <c r="BI1196">
        <f>IF($A1196="","",IF($A1197="",1,IF(BG1197&lt;&gt;BG1196,1,0)))</f>
        <v>0</v>
      </c>
      <c r="BJ1196">
        <f>IF($A1196="","",IF(BH1196=1,$B1196,BJ1195))</f>
        <v>0</v>
      </c>
      <c r="BK1196">
        <f>IF($A1196="","",IF(BH1196=1,$C1196,MAX($C1196,BK1195)))</f>
        <v>0</v>
      </c>
      <c r="BL1196">
        <f>IF($A1196="","",IF(BH1196=1,$D1196,MIN($D1196,BL1195)))</f>
        <v>0</v>
      </c>
      <c r="BM1196">
        <f>IF($A1196="","",IF(BI1196=1,F1196,""))</f>
        <v>0</v>
      </c>
      <c r="BN1196">
        <f>IF($A1196="","",DATE(YEAR($A1196),MONTH($A1196),1))</f>
        <v>0</v>
      </c>
      <c r="BO1196">
        <f>IF($A1196="","",IF($A1195="",1,IF(BN1196&lt;&gt;BN1195,1,0)))</f>
        <v>0</v>
      </c>
      <c r="BP1196">
        <f>IF($A1196="","",IF($A1197="",1,IF(BN1197&lt;&gt;BN1196,1,0)))</f>
        <v>0</v>
      </c>
      <c r="BQ1196">
        <f>IF($A1196="","",IF(BO1196=1,$B1196,BQ1195))</f>
        <v>0</v>
      </c>
      <c r="BR1196">
        <f>IF($A1196="","",IF(BO1196=1,$C1196,MAX($C1196,BR1195)))</f>
        <v>0</v>
      </c>
      <c r="BS1196">
        <f>IF($A1196="","",IF(BO1196=1,$D1196,MIN($D1196,BS1195)))</f>
        <v>0</v>
      </c>
      <c r="BT1196">
        <f>IF($A1196="","",IF(BP1196=1,F1196,""))</f>
        <v>0</v>
      </c>
    </row>
    <row r="1197" spans="1:72">
      <c r="A1197" s="27">
        <f>IF(Data!$A1197="","",Data!$A1197)</f>
        <v>0</v>
      </c>
      <c r="B1197">
        <f>IF(Data!$B1197="","",Data!$B1197)</f>
        <v>0</v>
      </c>
      <c r="C1197">
        <f>IF(Data!$C1197="","",Data!$C1197)</f>
        <v>0</v>
      </c>
      <c r="D1197">
        <f>IF(Data!$D1197="","",Data!$D1197)</f>
        <v>0</v>
      </c>
      <c r="E1197">
        <f>IF(Data!$E1197="","",Data!$E1197)</f>
        <v>0</v>
      </c>
      <c r="F1197">
        <f>IF($E1197="","",N(F1196)+1)</f>
        <v>0</v>
      </c>
      <c r="G1197">
        <f>IF(OR($E1197="",$E1196=""),"",LN($E1197/$E1196))</f>
        <v>0</v>
      </c>
      <c r="H1197">
        <f>IF($E1197="","",IF($E1196="",$E1197,$E1197*0.0952380952+H1196*0.9047619048))</f>
        <v>0</v>
      </c>
      <c r="I1197">
        <f>IF($E1197="","",IF($E1196="",$E1197,$E1197*0.0392156863+I1196*0.9607843137))</f>
        <v>0</v>
      </c>
      <c r="J1197">
        <f>IF($E1197="","",IF($E1196="",$E1197,$E1197*0.0198019802+J1196*0.9801980198))</f>
        <v>0</v>
      </c>
      <c r="K1197">
        <f>IF($E1197="","",IF($E1196="",$E1197,$E1197*0.0099502488+K1196*0.9900497512))</f>
        <v>0</v>
      </c>
      <c r="L1197">
        <f>IF(OR($E1197="",$E1196=""),"",MAX($E1197-$E1196,0))</f>
        <v>0</v>
      </c>
      <c r="M1197">
        <f>IF(OR($E1197="",$E1196=""),"",MAX($E1196-$E1197,0))</f>
        <v>0</v>
      </c>
      <c r="N1197">
        <f>IF(COUNT($E$2:$E1197)&lt;15,"",IF(AVERAGE($M$1184:$M$1197)=0,100,100-100/(1+AVERAGE($L$1184:$L$1197)/AVERAGE($M$1184:$M$1197))))</f>
        <v>0</v>
      </c>
      <c r="O1197">
        <f>IF($E1197="","",IF($E1196="",$E1197,$E1197*0.1538461538+O1196*0.8461538462))</f>
        <v>0</v>
      </c>
      <c r="P1197">
        <f>IF($E1197="","",IF($E1196="",$E1197,$E1197*0.0740740741+P1196*0.9259259259))</f>
        <v>0</v>
      </c>
      <c r="Q1197">
        <f>IF(OR(O1197="",P1197=""),"",O1197-P1197)</f>
        <v>0</v>
      </c>
      <c r="R1197">
        <f>IF(Q1197="","",IF(R1196="",Q1197,Q1197*0.2000000000+R1196*0.8000000000))</f>
        <v>0</v>
      </c>
      <c r="S1197">
        <f>IF(OR(Q1197="",R1197=""),"",Q1197-R1197)</f>
        <v>0</v>
      </c>
      <c r="T1197">
        <f>IF(COUNT($E$2:$E1197)&lt;14,"",MAX($C$1184:$C$1197))</f>
        <v>0</v>
      </c>
      <c r="U1197">
        <f>IF(COUNT($E$2:$E1197)&lt;14,"",MIN($D$1184:$D$1197))</f>
        <v>0</v>
      </c>
      <c r="V1197">
        <f>IF(OR(T1197="",U1197="",T1197=U1197),"",100*($E1197-U1197)/(T1197-U1197))</f>
        <v>0</v>
      </c>
      <c r="W1197">
        <f>IF(COUNT($V$1195:$V$1197)&lt;3,"",AVERAGE($V$1195:$V$1197))</f>
        <v>0</v>
      </c>
      <c r="X1197">
        <f>IF(COUNT($N$1184:$N$1197)&lt;14,"",MIN($N$1184:$N$1197))</f>
        <v>0</v>
      </c>
      <c r="Y1197">
        <f>IF(COUNT($N$1184:$N$1197)&lt;14,"",MAX($N$1184:$N$1197))</f>
        <v>0</v>
      </c>
      <c r="Z1197">
        <f>IF(OR(N1197="",X1197="",Y1197="",Y1197=X1197),"",100*(N1197-X1197)/(Y1197-X1197))</f>
        <v>0</v>
      </c>
      <c r="AA1197">
        <f>IF(COUNT($Z$1195:$Z$1197)&lt;3,"",AVERAGE($Z$1195:$Z$1197))</f>
        <v>0</v>
      </c>
      <c r="AB1197">
        <f>IF(COUNT($AA$1195:$AA$1197)&lt;3,"",AVERAGE($AA$1195:$AA$1197))</f>
        <v>0</v>
      </c>
      <c r="AC1197">
        <f>IF($E1197="","",MAX($C1197-$D1197,ABS($C1197-$E1196),ABS($D1197-$E1196)))</f>
        <v>0</v>
      </c>
      <c r="AD1197">
        <f>IF(COUNT($E$2:$E1197)&lt;15,"",AVERAGE($AC$1184:$AC$1197))</f>
        <v>0</v>
      </c>
      <c r="AE1197">
        <f>IF(OR($E1197="",$E1196=""),"",IF(AND(($C1197-$C1196)&gt;($D1196-$D1197),($C1197-$C1196)&gt;0),$C1197-$C1196,0))</f>
        <v>0</v>
      </c>
      <c r="AF1197">
        <f>IF(OR($E1197="",$E1196=""),"",IF(AND(($D1196-$D1197)&gt;($C1197-$C1196),($D1196-$D1197)&gt;0),$D1196-$D1197,0))</f>
        <v>0</v>
      </c>
      <c r="AG1197">
        <f>IF(COUNT($E$2:$E1197)&lt;15,"",IF(SUM($AC$1184:$AC$1197)=0,0,100*SUM($AE$1184:$AE$1197)/SUM($AC$1184:$AC$1197)))</f>
        <v>0</v>
      </c>
      <c r="AH1197">
        <f>IF(COUNT($E$2:$E1197)&lt;15,"",IF(SUM($AC$1184:$AC$1197)=0,0,100*SUM($AF$1184:$AF$1197)/SUM($AC$1184:$AC$1197)))</f>
        <v>0</v>
      </c>
      <c r="AI1197">
        <f>IF(OR(AG1197="",AH1197=""),"",IF((AG1197+AH1197)=0,0,100*ABS(AG1197-AH1197)/(AG1197+AH1197)))</f>
        <v>0</v>
      </c>
      <c r="AJ1197">
        <f>IF(COUNT($AI$1184:$AI$1197)&lt;14,"",AVERAGE($AI$1184:$AI$1197))</f>
        <v>0</v>
      </c>
      <c r="AK1197">
        <f>IF(COUNT($E$2:$E1197)&lt;20,"",AVERAGE($E$1178:$E$1197))</f>
        <v>0</v>
      </c>
      <c r="AL1197">
        <f>IF(COUNT($E$2:$E1197)&lt;20,"",STDEVP($E$1178:$E$1197))</f>
        <v>0</v>
      </c>
      <c r="AM1197">
        <f>IF(AK1197="","",AK1197+2*AL1197)</f>
        <v>0</v>
      </c>
      <c r="AN1197">
        <f>IF(AK1197="","",AK1197-2*AL1197)</f>
        <v>0</v>
      </c>
      <c r="AO1197">
        <f>IF(OR(AM1197="",AN1197="",AM1197=AN1197),"",($E1197-AN1197)/(AM1197-AN1197))</f>
        <v>0</v>
      </c>
      <c r="AP1197">
        <f>IF(OR(AM1197="",AK1197="",AK1197=0),"",(AM1197-AN1197)/AK1197)</f>
        <v>0</v>
      </c>
      <c r="AQ1197">
        <f>IF(COUNT($E$2:$E1197)&lt;20,"",MAX($C$1178:$C$1197))</f>
        <v>0</v>
      </c>
      <c r="AR1197">
        <f>IF(COUNT($E$2:$E1197)&lt;20,"",MIN($D$1178:$D$1197))</f>
        <v>0</v>
      </c>
      <c r="AS1197">
        <f>IF(OR(AQ1197="",AR1197=""),"",(AQ1197+AR1197)/2)</f>
        <v>0</v>
      </c>
      <c r="AT1197">
        <f>IF(COUNT($G$1178:$G$1197)&lt;20,"",STDEV($G$1178:$G$1197)*SQRT(252))</f>
        <v>0</v>
      </c>
      <c r="AU1197">
        <f>IF(COUNT($E$2:$E1197)&lt;9,"",(MAX($C$1189:$C$1197)+MIN($D$1189:$D$1197))/2)</f>
        <v>0</v>
      </c>
      <c r="AV1197">
        <f>IF(COUNT($E$2:$E1197)&lt;26,"",(MAX($C$1172:$C$1197)+MIN($D$1172:$D$1197))/2)</f>
        <v>0</v>
      </c>
      <c r="AW1197">
        <f>IF(OR(AU1197="",AV1197=""),"",(AU1197+AV1197)/2)</f>
        <v>0</v>
      </c>
      <c r="AX1197">
        <f>IF(COUNT($E$2:$E1197)&lt;52,"",(MAX($C$1146:$C$1197)+MIN($D$1146:$D$1197))/2)</f>
        <v>0</v>
      </c>
      <c r="AY1197">
        <f>IF(COUNT($E$2:$E1197)&lt;20,"",MAX($C$1098:$C$1197))</f>
        <v>0</v>
      </c>
      <c r="AZ1197">
        <f>IF(COUNT($E$2:$E1197)&lt;20,"",MIN($D$1098:$D$1197))</f>
        <v>0</v>
      </c>
      <c r="BA1197">
        <f>IF(COUNT($E$2:$E1197)&lt;20,"",SLOPE($E$1098:$E$1197,$F$1098:$F$1197))</f>
        <v>0</v>
      </c>
      <c r="BB1197">
        <f>IF(COUNT($E$2:$E1197)&lt;20,"",INTERCEPT($E$1098:$E$1197,$F$1098:$F$1197))</f>
        <v>0</v>
      </c>
      <c r="BC1197">
        <f>IF(OR(BA1197="",BB1197=""),"",BB1197+BA1197*F1197)</f>
        <v>0</v>
      </c>
      <c r="BD1197">
        <f>IF(COUNT($E$2:$E1197)&lt;20,"",STEYX($E$1098:$E$1197,$F$1098:$F$1197))</f>
        <v>0</v>
      </c>
      <c r="BE1197">
        <f>IF($E1197="","",IF(AND(COUNT($E$1198:$E$1201)&gt;=4,$C1197=MAX($C$1193:$C$1201)),$C1197,""))</f>
        <v>0</v>
      </c>
      <c r="BF1197">
        <f>IF($E1197="","",IF(AND(COUNT($E$1198:$E$1201)&gt;=4,$D1197=MIN($D$1193:$D$1201)),$D1197,""))</f>
        <v>0</v>
      </c>
      <c r="BG1197">
        <f>IF($A1197="","",$A1197-WEEKDAY($A1197,2)+1)</f>
        <v>0</v>
      </c>
      <c r="BH1197">
        <f>IF($A1197="","",IF($A1196="",1,IF(BG1197&lt;&gt;BG1196,1,0)))</f>
        <v>0</v>
      </c>
      <c r="BI1197">
        <f>IF($A1197="","",IF($A1198="",1,IF(BG1198&lt;&gt;BG1197,1,0)))</f>
        <v>0</v>
      </c>
      <c r="BJ1197">
        <f>IF($A1197="","",IF(BH1197=1,$B1197,BJ1196))</f>
        <v>0</v>
      </c>
      <c r="BK1197">
        <f>IF($A1197="","",IF(BH1197=1,$C1197,MAX($C1197,BK1196)))</f>
        <v>0</v>
      </c>
      <c r="BL1197">
        <f>IF($A1197="","",IF(BH1197=1,$D1197,MIN($D1197,BL1196)))</f>
        <v>0</v>
      </c>
      <c r="BM1197">
        <f>IF($A1197="","",IF(BI1197=1,F1197,""))</f>
        <v>0</v>
      </c>
      <c r="BN1197">
        <f>IF($A1197="","",DATE(YEAR($A1197),MONTH($A1197),1))</f>
        <v>0</v>
      </c>
      <c r="BO1197">
        <f>IF($A1197="","",IF($A1196="",1,IF(BN1197&lt;&gt;BN1196,1,0)))</f>
        <v>0</v>
      </c>
      <c r="BP1197">
        <f>IF($A1197="","",IF($A1198="",1,IF(BN1198&lt;&gt;BN1197,1,0)))</f>
        <v>0</v>
      </c>
      <c r="BQ1197">
        <f>IF($A1197="","",IF(BO1197=1,$B1197,BQ1196))</f>
        <v>0</v>
      </c>
      <c r="BR1197">
        <f>IF($A1197="","",IF(BO1197=1,$C1197,MAX($C1197,BR1196)))</f>
        <v>0</v>
      </c>
      <c r="BS1197">
        <f>IF($A1197="","",IF(BO1197=1,$D1197,MIN($D1197,BS1196)))</f>
        <v>0</v>
      </c>
      <c r="BT1197">
        <f>IF($A1197="","",IF(BP1197=1,F1197,""))</f>
        <v>0</v>
      </c>
    </row>
    <row r="1198" spans="1:72">
      <c r="A1198" s="27">
        <f>IF(Data!$A1198="","",Data!$A1198)</f>
        <v>0</v>
      </c>
      <c r="B1198">
        <f>IF(Data!$B1198="","",Data!$B1198)</f>
        <v>0</v>
      </c>
      <c r="C1198">
        <f>IF(Data!$C1198="","",Data!$C1198)</f>
        <v>0</v>
      </c>
      <c r="D1198">
        <f>IF(Data!$D1198="","",Data!$D1198)</f>
        <v>0</v>
      </c>
      <c r="E1198">
        <f>IF(Data!$E1198="","",Data!$E1198)</f>
        <v>0</v>
      </c>
      <c r="F1198">
        <f>IF($E1198="","",N(F1197)+1)</f>
        <v>0</v>
      </c>
      <c r="G1198">
        <f>IF(OR($E1198="",$E1197=""),"",LN($E1198/$E1197))</f>
        <v>0</v>
      </c>
      <c r="H1198">
        <f>IF($E1198="","",IF($E1197="",$E1198,$E1198*0.0952380952+H1197*0.9047619048))</f>
        <v>0</v>
      </c>
      <c r="I1198">
        <f>IF($E1198="","",IF($E1197="",$E1198,$E1198*0.0392156863+I1197*0.9607843137))</f>
        <v>0</v>
      </c>
      <c r="J1198">
        <f>IF($E1198="","",IF($E1197="",$E1198,$E1198*0.0198019802+J1197*0.9801980198))</f>
        <v>0</v>
      </c>
      <c r="K1198">
        <f>IF($E1198="","",IF($E1197="",$E1198,$E1198*0.0099502488+K1197*0.9900497512))</f>
        <v>0</v>
      </c>
      <c r="L1198">
        <f>IF(OR($E1198="",$E1197=""),"",MAX($E1198-$E1197,0))</f>
        <v>0</v>
      </c>
      <c r="M1198">
        <f>IF(OR($E1198="",$E1197=""),"",MAX($E1197-$E1198,0))</f>
        <v>0</v>
      </c>
      <c r="N1198">
        <f>IF(COUNT($E$2:$E1198)&lt;15,"",IF(AVERAGE($M$1185:$M$1198)=0,100,100-100/(1+AVERAGE($L$1185:$L$1198)/AVERAGE($M$1185:$M$1198))))</f>
        <v>0</v>
      </c>
      <c r="O1198">
        <f>IF($E1198="","",IF($E1197="",$E1198,$E1198*0.1538461538+O1197*0.8461538462))</f>
        <v>0</v>
      </c>
      <c r="P1198">
        <f>IF($E1198="","",IF($E1197="",$E1198,$E1198*0.0740740741+P1197*0.9259259259))</f>
        <v>0</v>
      </c>
      <c r="Q1198">
        <f>IF(OR(O1198="",P1198=""),"",O1198-P1198)</f>
        <v>0</v>
      </c>
      <c r="R1198">
        <f>IF(Q1198="","",IF(R1197="",Q1198,Q1198*0.2000000000+R1197*0.8000000000))</f>
        <v>0</v>
      </c>
      <c r="S1198">
        <f>IF(OR(Q1198="",R1198=""),"",Q1198-R1198)</f>
        <v>0</v>
      </c>
      <c r="T1198">
        <f>IF(COUNT($E$2:$E1198)&lt;14,"",MAX($C$1185:$C$1198))</f>
        <v>0</v>
      </c>
      <c r="U1198">
        <f>IF(COUNT($E$2:$E1198)&lt;14,"",MIN($D$1185:$D$1198))</f>
        <v>0</v>
      </c>
      <c r="V1198">
        <f>IF(OR(T1198="",U1198="",T1198=U1198),"",100*($E1198-U1198)/(T1198-U1198))</f>
        <v>0</v>
      </c>
      <c r="W1198">
        <f>IF(COUNT($V$1196:$V$1198)&lt;3,"",AVERAGE($V$1196:$V$1198))</f>
        <v>0</v>
      </c>
      <c r="X1198">
        <f>IF(COUNT($N$1185:$N$1198)&lt;14,"",MIN($N$1185:$N$1198))</f>
        <v>0</v>
      </c>
      <c r="Y1198">
        <f>IF(COUNT($N$1185:$N$1198)&lt;14,"",MAX($N$1185:$N$1198))</f>
        <v>0</v>
      </c>
      <c r="Z1198">
        <f>IF(OR(N1198="",X1198="",Y1198="",Y1198=X1198),"",100*(N1198-X1198)/(Y1198-X1198))</f>
        <v>0</v>
      </c>
      <c r="AA1198">
        <f>IF(COUNT($Z$1196:$Z$1198)&lt;3,"",AVERAGE($Z$1196:$Z$1198))</f>
        <v>0</v>
      </c>
      <c r="AB1198">
        <f>IF(COUNT($AA$1196:$AA$1198)&lt;3,"",AVERAGE($AA$1196:$AA$1198))</f>
        <v>0</v>
      </c>
      <c r="AC1198">
        <f>IF($E1198="","",MAX($C1198-$D1198,ABS($C1198-$E1197),ABS($D1198-$E1197)))</f>
        <v>0</v>
      </c>
      <c r="AD1198">
        <f>IF(COUNT($E$2:$E1198)&lt;15,"",AVERAGE($AC$1185:$AC$1198))</f>
        <v>0</v>
      </c>
      <c r="AE1198">
        <f>IF(OR($E1198="",$E1197=""),"",IF(AND(($C1198-$C1197)&gt;($D1197-$D1198),($C1198-$C1197)&gt;0),$C1198-$C1197,0))</f>
        <v>0</v>
      </c>
      <c r="AF1198">
        <f>IF(OR($E1198="",$E1197=""),"",IF(AND(($D1197-$D1198)&gt;($C1198-$C1197),($D1197-$D1198)&gt;0),$D1197-$D1198,0))</f>
        <v>0</v>
      </c>
      <c r="AG1198">
        <f>IF(COUNT($E$2:$E1198)&lt;15,"",IF(SUM($AC$1185:$AC$1198)=0,0,100*SUM($AE$1185:$AE$1198)/SUM($AC$1185:$AC$1198)))</f>
        <v>0</v>
      </c>
      <c r="AH1198">
        <f>IF(COUNT($E$2:$E1198)&lt;15,"",IF(SUM($AC$1185:$AC$1198)=0,0,100*SUM($AF$1185:$AF$1198)/SUM($AC$1185:$AC$1198)))</f>
        <v>0</v>
      </c>
      <c r="AI1198">
        <f>IF(OR(AG1198="",AH1198=""),"",IF((AG1198+AH1198)=0,0,100*ABS(AG1198-AH1198)/(AG1198+AH1198)))</f>
        <v>0</v>
      </c>
      <c r="AJ1198">
        <f>IF(COUNT($AI$1185:$AI$1198)&lt;14,"",AVERAGE($AI$1185:$AI$1198))</f>
        <v>0</v>
      </c>
      <c r="AK1198">
        <f>IF(COUNT($E$2:$E1198)&lt;20,"",AVERAGE($E$1179:$E$1198))</f>
        <v>0</v>
      </c>
      <c r="AL1198">
        <f>IF(COUNT($E$2:$E1198)&lt;20,"",STDEVP($E$1179:$E$1198))</f>
        <v>0</v>
      </c>
      <c r="AM1198">
        <f>IF(AK1198="","",AK1198+2*AL1198)</f>
        <v>0</v>
      </c>
      <c r="AN1198">
        <f>IF(AK1198="","",AK1198-2*AL1198)</f>
        <v>0</v>
      </c>
      <c r="AO1198">
        <f>IF(OR(AM1198="",AN1198="",AM1198=AN1198),"",($E1198-AN1198)/(AM1198-AN1198))</f>
        <v>0</v>
      </c>
      <c r="AP1198">
        <f>IF(OR(AM1198="",AK1198="",AK1198=0),"",(AM1198-AN1198)/AK1198)</f>
        <v>0</v>
      </c>
      <c r="AQ1198">
        <f>IF(COUNT($E$2:$E1198)&lt;20,"",MAX($C$1179:$C$1198))</f>
        <v>0</v>
      </c>
      <c r="AR1198">
        <f>IF(COUNT($E$2:$E1198)&lt;20,"",MIN($D$1179:$D$1198))</f>
        <v>0</v>
      </c>
      <c r="AS1198">
        <f>IF(OR(AQ1198="",AR1198=""),"",(AQ1198+AR1198)/2)</f>
        <v>0</v>
      </c>
      <c r="AT1198">
        <f>IF(COUNT($G$1179:$G$1198)&lt;20,"",STDEV($G$1179:$G$1198)*SQRT(252))</f>
        <v>0</v>
      </c>
      <c r="AU1198">
        <f>IF(COUNT($E$2:$E1198)&lt;9,"",(MAX($C$1190:$C$1198)+MIN($D$1190:$D$1198))/2)</f>
        <v>0</v>
      </c>
      <c r="AV1198">
        <f>IF(COUNT($E$2:$E1198)&lt;26,"",(MAX($C$1173:$C$1198)+MIN($D$1173:$D$1198))/2)</f>
        <v>0</v>
      </c>
      <c r="AW1198">
        <f>IF(OR(AU1198="",AV1198=""),"",(AU1198+AV1198)/2)</f>
        <v>0</v>
      </c>
      <c r="AX1198">
        <f>IF(COUNT($E$2:$E1198)&lt;52,"",(MAX($C$1147:$C$1198)+MIN($D$1147:$D$1198))/2)</f>
        <v>0</v>
      </c>
      <c r="AY1198">
        <f>IF(COUNT($E$2:$E1198)&lt;20,"",MAX($C$1099:$C$1198))</f>
        <v>0</v>
      </c>
      <c r="AZ1198">
        <f>IF(COUNT($E$2:$E1198)&lt;20,"",MIN($D$1099:$D$1198))</f>
        <v>0</v>
      </c>
      <c r="BA1198">
        <f>IF(COUNT($E$2:$E1198)&lt;20,"",SLOPE($E$1099:$E$1198,$F$1099:$F$1198))</f>
        <v>0</v>
      </c>
      <c r="BB1198">
        <f>IF(COUNT($E$2:$E1198)&lt;20,"",INTERCEPT($E$1099:$E$1198,$F$1099:$F$1198))</f>
        <v>0</v>
      </c>
      <c r="BC1198">
        <f>IF(OR(BA1198="",BB1198=""),"",BB1198+BA1198*F1198)</f>
        <v>0</v>
      </c>
      <c r="BD1198">
        <f>IF(COUNT($E$2:$E1198)&lt;20,"",STEYX($E$1099:$E$1198,$F$1099:$F$1198))</f>
        <v>0</v>
      </c>
      <c r="BE1198">
        <f>IF($E1198="","",IF(AND(COUNT($E$1199:$E$1202)&gt;=4,$C1198=MAX($C$1194:$C$1202)),$C1198,""))</f>
        <v>0</v>
      </c>
      <c r="BF1198">
        <f>IF($E1198="","",IF(AND(COUNT($E$1199:$E$1202)&gt;=4,$D1198=MIN($D$1194:$D$1202)),$D1198,""))</f>
        <v>0</v>
      </c>
      <c r="BG1198">
        <f>IF($A1198="","",$A1198-WEEKDAY($A1198,2)+1)</f>
        <v>0</v>
      </c>
      <c r="BH1198">
        <f>IF($A1198="","",IF($A1197="",1,IF(BG1198&lt;&gt;BG1197,1,0)))</f>
        <v>0</v>
      </c>
      <c r="BI1198">
        <f>IF($A1198="","",IF($A1199="",1,IF(BG1199&lt;&gt;BG1198,1,0)))</f>
        <v>0</v>
      </c>
      <c r="BJ1198">
        <f>IF($A1198="","",IF(BH1198=1,$B1198,BJ1197))</f>
        <v>0</v>
      </c>
      <c r="BK1198">
        <f>IF($A1198="","",IF(BH1198=1,$C1198,MAX($C1198,BK1197)))</f>
        <v>0</v>
      </c>
      <c r="BL1198">
        <f>IF($A1198="","",IF(BH1198=1,$D1198,MIN($D1198,BL1197)))</f>
        <v>0</v>
      </c>
      <c r="BM1198">
        <f>IF($A1198="","",IF(BI1198=1,F1198,""))</f>
        <v>0</v>
      </c>
      <c r="BN1198">
        <f>IF($A1198="","",DATE(YEAR($A1198),MONTH($A1198),1))</f>
        <v>0</v>
      </c>
      <c r="BO1198">
        <f>IF($A1198="","",IF($A1197="",1,IF(BN1198&lt;&gt;BN1197,1,0)))</f>
        <v>0</v>
      </c>
      <c r="BP1198">
        <f>IF($A1198="","",IF($A1199="",1,IF(BN1199&lt;&gt;BN1198,1,0)))</f>
        <v>0</v>
      </c>
      <c r="BQ1198">
        <f>IF($A1198="","",IF(BO1198=1,$B1198,BQ1197))</f>
        <v>0</v>
      </c>
      <c r="BR1198">
        <f>IF($A1198="","",IF(BO1198=1,$C1198,MAX($C1198,BR1197)))</f>
        <v>0</v>
      </c>
      <c r="BS1198">
        <f>IF($A1198="","",IF(BO1198=1,$D1198,MIN($D1198,BS1197)))</f>
        <v>0</v>
      </c>
      <c r="BT1198">
        <f>IF($A1198="","",IF(BP1198=1,F1198,""))</f>
        <v>0</v>
      </c>
    </row>
    <row r="1199" spans="1:72">
      <c r="A1199" s="27">
        <f>IF(Data!$A1199="","",Data!$A1199)</f>
        <v>0</v>
      </c>
      <c r="B1199">
        <f>IF(Data!$B1199="","",Data!$B1199)</f>
        <v>0</v>
      </c>
      <c r="C1199">
        <f>IF(Data!$C1199="","",Data!$C1199)</f>
        <v>0</v>
      </c>
      <c r="D1199">
        <f>IF(Data!$D1199="","",Data!$D1199)</f>
        <v>0</v>
      </c>
      <c r="E1199">
        <f>IF(Data!$E1199="","",Data!$E1199)</f>
        <v>0</v>
      </c>
      <c r="F1199">
        <f>IF($E1199="","",N(F1198)+1)</f>
        <v>0</v>
      </c>
      <c r="G1199">
        <f>IF(OR($E1199="",$E1198=""),"",LN($E1199/$E1198))</f>
        <v>0</v>
      </c>
      <c r="H1199">
        <f>IF($E1199="","",IF($E1198="",$E1199,$E1199*0.0952380952+H1198*0.9047619048))</f>
        <v>0</v>
      </c>
      <c r="I1199">
        <f>IF($E1199="","",IF($E1198="",$E1199,$E1199*0.0392156863+I1198*0.9607843137))</f>
        <v>0</v>
      </c>
      <c r="J1199">
        <f>IF($E1199="","",IF($E1198="",$E1199,$E1199*0.0198019802+J1198*0.9801980198))</f>
        <v>0</v>
      </c>
      <c r="K1199">
        <f>IF($E1199="","",IF($E1198="",$E1199,$E1199*0.0099502488+K1198*0.9900497512))</f>
        <v>0</v>
      </c>
      <c r="L1199">
        <f>IF(OR($E1199="",$E1198=""),"",MAX($E1199-$E1198,0))</f>
        <v>0</v>
      </c>
      <c r="M1199">
        <f>IF(OR($E1199="",$E1198=""),"",MAX($E1198-$E1199,0))</f>
        <v>0</v>
      </c>
      <c r="N1199">
        <f>IF(COUNT($E$2:$E1199)&lt;15,"",IF(AVERAGE($M$1186:$M$1199)=0,100,100-100/(1+AVERAGE($L$1186:$L$1199)/AVERAGE($M$1186:$M$1199))))</f>
        <v>0</v>
      </c>
      <c r="O1199">
        <f>IF($E1199="","",IF($E1198="",$E1199,$E1199*0.1538461538+O1198*0.8461538462))</f>
        <v>0</v>
      </c>
      <c r="P1199">
        <f>IF($E1199="","",IF($E1198="",$E1199,$E1199*0.0740740741+P1198*0.9259259259))</f>
        <v>0</v>
      </c>
      <c r="Q1199">
        <f>IF(OR(O1199="",P1199=""),"",O1199-P1199)</f>
        <v>0</v>
      </c>
      <c r="R1199">
        <f>IF(Q1199="","",IF(R1198="",Q1199,Q1199*0.2000000000+R1198*0.8000000000))</f>
        <v>0</v>
      </c>
      <c r="S1199">
        <f>IF(OR(Q1199="",R1199=""),"",Q1199-R1199)</f>
        <v>0</v>
      </c>
      <c r="T1199">
        <f>IF(COUNT($E$2:$E1199)&lt;14,"",MAX($C$1186:$C$1199))</f>
        <v>0</v>
      </c>
      <c r="U1199">
        <f>IF(COUNT($E$2:$E1199)&lt;14,"",MIN($D$1186:$D$1199))</f>
        <v>0</v>
      </c>
      <c r="V1199">
        <f>IF(OR(T1199="",U1199="",T1199=U1199),"",100*($E1199-U1199)/(T1199-U1199))</f>
        <v>0</v>
      </c>
      <c r="W1199">
        <f>IF(COUNT($V$1197:$V$1199)&lt;3,"",AVERAGE($V$1197:$V$1199))</f>
        <v>0</v>
      </c>
      <c r="X1199">
        <f>IF(COUNT($N$1186:$N$1199)&lt;14,"",MIN($N$1186:$N$1199))</f>
        <v>0</v>
      </c>
      <c r="Y1199">
        <f>IF(COUNT($N$1186:$N$1199)&lt;14,"",MAX($N$1186:$N$1199))</f>
        <v>0</v>
      </c>
      <c r="Z1199">
        <f>IF(OR(N1199="",X1199="",Y1199="",Y1199=X1199),"",100*(N1199-X1199)/(Y1199-X1199))</f>
        <v>0</v>
      </c>
      <c r="AA1199">
        <f>IF(COUNT($Z$1197:$Z$1199)&lt;3,"",AVERAGE($Z$1197:$Z$1199))</f>
        <v>0</v>
      </c>
      <c r="AB1199">
        <f>IF(COUNT($AA$1197:$AA$1199)&lt;3,"",AVERAGE($AA$1197:$AA$1199))</f>
        <v>0</v>
      </c>
      <c r="AC1199">
        <f>IF($E1199="","",MAX($C1199-$D1199,ABS($C1199-$E1198),ABS($D1199-$E1198)))</f>
        <v>0</v>
      </c>
      <c r="AD1199">
        <f>IF(COUNT($E$2:$E1199)&lt;15,"",AVERAGE($AC$1186:$AC$1199))</f>
        <v>0</v>
      </c>
      <c r="AE1199">
        <f>IF(OR($E1199="",$E1198=""),"",IF(AND(($C1199-$C1198)&gt;($D1198-$D1199),($C1199-$C1198)&gt;0),$C1199-$C1198,0))</f>
        <v>0</v>
      </c>
      <c r="AF1199">
        <f>IF(OR($E1199="",$E1198=""),"",IF(AND(($D1198-$D1199)&gt;($C1199-$C1198),($D1198-$D1199)&gt;0),$D1198-$D1199,0))</f>
        <v>0</v>
      </c>
      <c r="AG1199">
        <f>IF(COUNT($E$2:$E1199)&lt;15,"",IF(SUM($AC$1186:$AC$1199)=0,0,100*SUM($AE$1186:$AE$1199)/SUM($AC$1186:$AC$1199)))</f>
        <v>0</v>
      </c>
      <c r="AH1199">
        <f>IF(COUNT($E$2:$E1199)&lt;15,"",IF(SUM($AC$1186:$AC$1199)=0,0,100*SUM($AF$1186:$AF$1199)/SUM($AC$1186:$AC$1199)))</f>
        <v>0</v>
      </c>
      <c r="AI1199">
        <f>IF(OR(AG1199="",AH1199=""),"",IF((AG1199+AH1199)=0,0,100*ABS(AG1199-AH1199)/(AG1199+AH1199)))</f>
        <v>0</v>
      </c>
      <c r="AJ1199">
        <f>IF(COUNT($AI$1186:$AI$1199)&lt;14,"",AVERAGE($AI$1186:$AI$1199))</f>
        <v>0</v>
      </c>
      <c r="AK1199">
        <f>IF(COUNT($E$2:$E1199)&lt;20,"",AVERAGE($E$1180:$E$1199))</f>
        <v>0</v>
      </c>
      <c r="AL1199">
        <f>IF(COUNT($E$2:$E1199)&lt;20,"",STDEVP($E$1180:$E$1199))</f>
        <v>0</v>
      </c>
      <c r="AM1199">
        <f>IF(AK1199="","",AK1199+2*AL1199)</f>
        <v>0</v>
      </c>
      <c r="AN1199">
        <f>IF(AK1199="","",AK1199-2*AL1199)</f>
        <v>0</v>
      </c>
      <c r="AO1199">
        <f>IF(OR(AM1199="",AN1199="",AM1199=AN1199),"",($E1199-AN1199)/(AM1199-AN1199))</f>
        <v>0</v>
      </c>
      <c r="AP1199">
        <f>IF(OR(AM1199="",AK1199="",AK1199=0),"",(AM1199-AN1199)/AK1199)</f>
        <v>0</v>
      </c>
      <c r="AQ1199">
        <f>IF(COUNT($E$2:$E1199)&lt;20,"",MAX($C$1180:$C$1199))</f>
        <v>0</v>
      </c>
      <c r="AR1199">
        <f>IF(COUNT($E$2:$E1199)&lt;20,"",MIN($D$1180:$D$1199))</f>
        <v>0</v>
      </c>
      <c r="AS1199">
        <f>IF(OR(AQ1199="",AR1199=""),"",(AQ1199+AR1199)/2)</f>
        <v>0</v>
      </c>
      <c r="AT1199">
        <f>IF(COUNT($G$1180:$G$1199)&lt;20,"",STDEV($G$1180:$G$1199)*SQRT(252))</f>
        <v>0</v>
      </c>
      <c r="AU1199">
        <f>IF(COUNT($E$2:$E1199)&lt;9,"",(MAX($C$1191:$C$1199)+MIN($D$1191:$D$1199))/2)</f>
        <v>0</v>
      </c>
      <c r="AV1199">
        <f>IF(COUNT($E$2:$E1199)&lt;26,"",(MAX($C$1174:$C$1199)+MIN($D$1174:$D$1199))/2)</f>
        <v>0</v>
      </c>
      <c r="AW1199">
        <f>IF(OR(AU1199="",AV1199=""),"",(AU1199+AV1199)/2)</f>
        <v>0</v>
      </c>
      <c r="AX1199">
        <f>IF(COUNT($E$2:$E1199)&lt;52,"",(MAX($C$1148:$C$1199)+MIN($D$1148:$D$1199))/2)</f>
        <v>0</v>
      </c>
      <c r="AY1199">
        <f>IF(COUNT($E$2:$E1199)&lt;20,"",MAX($C$1100:$C$1199))</f>
        <v>0</v>
      </c>
      <c r="AZ1199">
        <f>IF(COUNT($E$2:$E1199)&lt;20,"",MIN($D$1100:$D$1199))</f>
        <v>0</v>
      </c>
      <c r="BA1199">
        <f>IF(COUNT($E$2:$E1199)&lt;20,"",SLOPE($E$1100:$E$1199,$F$1100:$F$1199))</f>
        <v>0</v>
      </c>
      <c r="BB1199">
        <f>IF(COUNT($E$2:$E1199)&lt;20,"",INTERCEPT($E$1100:$E$1199,$F$1100:$F$1199))</f>
        <v>0</v>
      </c>
      <c r="BC1199">
        <f>IF(OR(BA1199="",BB1199=""),"",BB1199+BA1199*F1199)</f>
        <v>0</v>
      </c>
      <c r="BD1199">
        <f>IF(COUNT($E$2:$E1199)&lt;20,"",STEYX($E$1100:$E$1199,$F$1100:$F$1199))</f>
        <v>0</v>
      </c>
      <c r="BE1199">
        <f>IF($E1199="","",IF(AND(COUNT($E$1200:$E$1203)&gt;=4,$C1199=MAX($C$1195:$C$1203)),$C1199,""))</f>
        <v>0</v>
      </c>
      <c r="BF1199">
        <f>IF($E1199="","",IF(AND(COUNT($E$1200:$E$1203)&gt;=4,$D1199=MIN($D$1195:$D$1203)),$D1199,""))</f>
        <v>0</v>
      </c>
      <c r="BG1199">
        <f>IF($A1199="","",$A1199-WEEKDAY($A1199,2)+1)</f>
        <v>0</v>
      </c>
      <c r="BH1199">
        <f>IF($A1199="","",IF($A1198="",1,IF(BG1199&lt;&gt;BG1198,1,0)))</f>
        <v>0</v>
      </c>
      <c r="BI1199">
        <f>IF($A1199="","",IF($A1200="",1,IF(BG1200&lt;&gt;BG1199,1,0)))</f>
        <v>0</v>
      </c>
      <c r="BJ1199">
        <f>IF($A1199="","",IF(BH1199=1,$B1199,BJ1198))</f>
        <v>0</v>
      </c>
      <c r="BK1199">
        <f>IF($A1199="","",IF(BH1199=1,$C1199,MAX($C1199,BK1198)))</f>
        <v>0</v>
      </c>
      <c r="BL1199">
        <f>IF($A1199="","",IF(BH1199=1,$D1199,MIN($D1199,BL1198)))</f>
        <v>0</v>
      </c>
      <c r="BM1199">
        <f>IF($A1199="","",IF(BI1199=1,F1199,""))</f>
        <v>0</v>
      </c>
      <c r="BN1199">
        <f>IF($A1199="","",DATE(YEAR($A1199),MONTH($A1199),1))</f>
        <v>0</v>
      </c>
      <c r="BO1199">
        <f>IF($A1199="","",IF($A1198="",1,IF(BN1199&lt;&gt;BN1198,1,0)))</f>
        <v>0</v>
      </c>
      <c r="BP1199">
        <f>IF($A1199="","",IF($A1200="",1,IF(BN1200&lt;&gt;BN1199,1,0)))</f>
        <v>0</v>
      </c>
      <c r="BQ1199">
        <f>IF($A1199="","",IF(BO1199=1,$B1199,BQ1198))</f>
        <v>0</v>
      </c>
      <c r="BR1199">
        <f>IF($A1199="","",IF(BO1199=1,$C1199,MAX($C1199,BR1198)))</f>
        <v>0</v>
      </c>
      <c r="BS1199">
        <f>IF($A1199="","",IF(BO1199=1,$D1199,MIN($D1199,BS1198)))</f>
        <v>0</v>
      </c>
      <c r="BT1199">
        <f>IF($A1199="","",IF(BP1199=1,F1199,""))</f>
        <v>0</v>
      </c>
    </row>
    <row r="1200" spans="1:72">
      <c r="A1200" s="27">
        <f>IF(Data!$A1200="","",Data!$A1200)</f>
        <v>0</v>
      </c>
      <c r="B1200">
        <f>IF(Data!$B1200="","",Data!$B1200)</f>
        <v>0</v>
      </c>
      <c r="C1200">
        <f>IF(Data!$C1200="","",Data!$C1200)</f>
        <v>0</v>
      </c>
      <c r="D1200">
        <f>IF(Data!$D1200="","",Data!$D1200)</f>
        <v>0</v>
      </c>
      <c r="E1200">
        <f>IF(Data!$E1200="","",Data!$E1200)</f>
        <v>0</v>
      </c>
      <c r="F1200">
        <f>IF($E1200="","",N(F1199)+1)</f>
        <v>0</v>
      </c>
      <c r="G1200">
        <f>IF(OR($E1200="",$E1199=""),"",LN($E1200/$E1199))</f>
        <v>0</v>
      </c>
      <c r="H1200">
        <f>IF($E1200="","",IF($E1199="",$E1200,$E1200*0.0952380952+H1199*0.9047619048))</f>
        <v>0</v>
      </c>
      <c r="I1200">
        <f>IF($E1200="","",IF($E1199="",$E1200,$E1200*0.0392156863+I1199*0.9607843137))</f>
        <v>0</v>
      </c>
      <c r="J1200">
        <f>IF($E1200="","",IF($E1199="",$E1200,$E1200*0.0198019802+J1199*0.9801980198))</f>
        <v>0</v>
      </c>
      <c r="K1200">
        <f>IF($E1200="","",IF($E1199="",$E1200,$E1200*0.0099502488+K1199*0.9900497512))</f>
        <v>0</v>
      </c>
      <c r="L1200">
        <f>IF(OR($E1200="",$E1199=""),"",MAX($E1200-$E1199,0))</f>
        <v>0</v>
      </c>
      <c r="M1200">
        <f>IF(OR($E1200="",$E1199=""),"",MAX($E1199-$E1200,0))</f>
        <v>0</v>
      </c>
      <c r="N1200">
        <f>IF(COUNT($E$2:$E1200)&lt;15,"",IF(AVERAGE($M$1187:$M$1200)=0,100,100-100/(1+AVERAGE($L$1187:$L$1200)/AVERAGE($M$1187:$M$1200))))</f>
        <v>0</v>
      </c>
      <c r="O1200">
        <f>IF($E1200="","",IF($E1199="",$E1200,$E1200*0.1538461538+O1199*0.8461538462))</f>
        <v>0</v>
      </c>
      <c r="P1200">
        <f>IF($E1200="","",IF($E1199="",$E1200,$E1200*0.0740740741+P1199*0.9259259259))</f>
        <v>0</v>
      </c>
      <c r="Q1200">
        <f>IF(OR(O1200="",P1200=""),"",O1200-P1200)</f>
        <v>0</v>
      </c>
      <c r="R1200">
        <f>IF(Q1200="","",IF(R1199="",Q1200,Q1200*0.2000000000+R1199*0.8000000000))</f>
        <v>0</v>
      </c>
      <c r="S1200">
        <f>IF(OR(Q1200="",R1200=""),"",Q1200-R1200)</f>
        <v>0</v>
      </c>
      <c r="T1200">
        <f>IF(COUNT($E$2:$E1200)&lt;14,"",MAX($C$1187:$C$1200))</f>
        <v>0</v>
      </c>
      <c r="U1200">
        <f>IF(COUNT($E$2:$E1200)&lt;14,"",MIN($D$1187:$D$1200))</f>
        <v>0</v>
      </c>
      <c r="V1200">
        <f>IF(OR(T1200="",U1200="",T1200=U1200),"",100*($E1200-U1200)/(T1200-U1200))</f>
        <v>0</v>
      </c>
      <c r="W1200">
        <f>IF(COUNT($V$1198:$V$1200)&lt;3,"",AVERAGE($V$1198:$V$1200))</f>
        <v>0</v>
      </c>
      <c r="X1200">
        <f>IF(COUNT($N$1187:$N$1200)&lt;14,"",MIN($N$1187:$N$1200))</f>
        <v>0</v>
      </c>
      <c r="Y1200">
        <f>IF(COUNT($N$1187:$N$1200)&lt;14,"",MAX($N$1187:$N$1200))</f>
        <v>0</v>
      </c>
      <c r="Z1200">
        <f>IF(OR(N1200="",X1200="",Y1200="",Y1200=X1200),"",100*(N1200-X1200)/(Y1200-X1200))</f>
        <v>0</v>
      </c>
      <c r="AA1200">
        <f>IF(COUNT($Z$1198:$Z$1200)&lt;3,"",AVERAGE($Z$1198:$Z$1200))</f>
        <v>0</v>
      </c>
      <c r="AB1200">
        <f>IF(COUNT($AA$1198:$AA$1200)&lt;3,"",AVERAGE($AA$1198:$AA$1200))</f>
        <v>0</v>
      </c>
      <c r="AC1200">
        <f>IF($E1200="","",MAX($C1200-$D1200,ABS($C1200-$E1199),ABS($D1200-$E1199)))</f>
        <v>0</v>
      </c>
      <c r="AD1200">
        <f>IF(COUNT($E$2:$E1200)&lt;15,"",AVERAGE($AC$1187:$AC$1200))</f>
        <v>0</v>
      </c>
      <c r="AE1200">
        <f>IF(OR($E1200="",$E1199=""),"",IF(AND(($C1200-$C1199)&gt;($D1199-$D1200),($C1200-$C1199)&gt;0),$C1200-$C1199,0))</f>
        <v>0</v>
      </c>
      <c r="AF1200">
        <f>IF(OR($E1200="",$E1199=""),"",IF(AND(($D1199-$D1200)&gt;($C1200-$C1199),($D1199-$D1200)&gt;0),$D1199-$D1200,0))</f>
        <v>0</v>
      </c>
      <c r="AG1200">
        <f>IF(COUNT($E$2:$E1200)&lt;15,"",IF(SUM($AC$1187:$AC$1200)=0,0,100*SUM($AE$1187:$AE$1200)/SUM($AC$1187:$AC$1200)))</f>
        <v>0</v>
      </c>
      <c r="AH1200">
        <f>IF(COUNT($E$2:$E1200)&lt;15,"",IF(SUM($AC$1187:$AC$1200)=0,0,100*SUM($AF$1187:$AF$1200)/SUM($AC$1187:$AC$1200)))</f>
        <v>0</v>
      </c>
      <c r="AI1200">
        <f>IF(OR(AG1200="",AH1200=""),"",IF((AG1200+AH1200)=0,0,100*ABS(AG1200-AH1200)/(AG1200+AH1200)))</f>
        <v>0</v>
      </c>
      <c r="AJ1200">
        <f>IF(COUNT($AI$1187:$AI$1200)&lt;14,"",AVERAGE($AI$1187:$AI$1200))</f>
        <v>0</v>
      </c>
      <c r="AK1200">
        <f>IF(COUNT($E$2:$E1200)&lt;20,"",AVERAGE($E$1181:$E$1200))</f>
        <v>0</v>
      </c>
      <c r="AL1200">
        <f>IF(COUNT($E$2:$E1200)&lt;20,"",STDEVP($E$1181:$E$1200))</f>
        <v>0</v>
      </c>
      <c r="AM1200">
        <f>IF(AK1200="","",AK1200+2*AL1200)</f>
        <v>0</v>
      </c>
      <c r="AN1200">
        <f>IF(AK1200="","",AK1200-2*AL1200)</f>
        <v>0</v>
      </c>
      <c r="AO1200">
        <f>IF(OR(AM1200="",AN1200="",AM1200=AN1200),"",($E1200-AN1200)/(AM1200-AN1200))</f>
        <v>0</v>
      </c>
      <c r="AP1200">
        <f>IF(OR(AM1200="",AK1200="",AK1200=0),"",(AM1200-AN1200)/AK1200)</f>
        <v>0</v>
      </c>
      <c r="AQ1200">
        <f>IF(COUNT($E$2:$E1200)&lt;20,"",MAX($C$1181:$C$1200))</f>
        <v>0</v>
      </c>
      <c r="AR1200">
        <f>IF(COUNT($E$2:$E1200)&lt;20,"",MIN($D$1181:$D$1200))</f>
        <v>0</v>
      </c>
      <c r="AS1200">
        <f>IF(OR(AQ1200="",AR1200=""),"",(AQ1200+AR1200)/2)</f>
        <v>0</v>
      </c>
      <c r="AT1200">
        <f>IF(COUNT($G$1181:$G$1200)&lt;20,"",STDEV($G$1181:$G$1200)*SQRT(252))</f>
        <v>0</v>
      </c>
      <c r="AU1200">
        <f>IF(COUNT($E$2:$E1200)&lt;9,"",(MAX($C$1192:$C$1200)+MIN($D$1192:$D$1200))/2)</f>
        <v>0</v>
      </c>
      <c r="AV1200">
        <f>IF(COUNT($E$2:$E1200)&lt;26,"",(MAX($C$1175:$C$1200)+MIN($D$1175:$D$1200))/2)</f>
        <v>0</v>
      </c>
      <c r="AW1200">
        <f>IF(OR(AU1200="",AV1200=""),"",(AU1200+AV1200)/2)</f>
        <v>0</v>
      </c>
      <c r="AX1200">
        <f>IF(COUNT($E$2:$E1200)&lt;52,"",(MAX($C$1149:$C$1200)+MIN($D$1149:$D$1200))/2)</f>
        <v>0</v>
      </c>
      <c r="AY1200">
        <f>IF(COUNT($E$2:$E1200)&lt;20,"",MAX($C$1101:$C$1200))</f>
        <v>0</v>
      </c>
      <c r="AZ1200">
        <f>IF(COUNT($E$2:$E1200)&lt;20,"",MIN($D$1101:$D$1200))</f>
        <v>0</v>
      </c>
      <c r="BA1200">
        <f>IF(COUNT($E$2:$E1200)&lt;20,"",SLOPE($E$1101:$E$1200,$F$1101:$F$1200))</f>
        <v>0</v>
      </c>
      <c r="BB1200">
        <f>IF(COUNT($E$2:$E1200)&lt;20,"",INTERCEPT($E$1101:$E$1200,$F$1101:$F$1200))</f>
        <v>0</v>
      </c>
      <c r="BC1200">
        <f>IF(OR(BA1200="",BB1200=""),"",BB1200+BA1200*F1200)</f>
        <v>0</v>
      </c>
      <c r="BD1200">
        <f>IF(COUNT($E$2:$E1200)&lt;20,"",STEYX($E$1101:$E$1200,$F$1101:$F$1200))</f>
        <v>0</v>
      </c>
      <c r="BE1200">
        <f>IF($E1200="","",IF(AND(COUNT($E$1201:$E$1204)&gt;=4,$C1200=MAX($C$1196:$C$1204)),$C1200,""))</f>
        <v>0</v>
      </c>
      <c r="BF1200">
        <f>IF($E1200="","",IF(AND(COUNT($E$1201:$E$1204)&gt;=4,$D1200=MIN($D$1196:$D$1204)),$D1200,""))</f>
        <v>0</v>
      </c>
      <c r="BG1200">
        <f>IF($A1200="","",$A1200-WEEKDAY($A1200,2)+1)</f>
        <v>0</v>
      </c>
      <c r="BH1200">
        <f>IF($A1200="","",IF($A1199="",1,IF(BG1200&lt;&gt;BG1199,1,0)))</f>
        <v>0</v>
      </c>
      <c r="BI1200">
        <f>IF($A1200="","",IF($A1201="",1,IF(BG1201&lt;&gt;BG1200,1,0)))</f>
        <v>0</v>
      </c>
      <c r="BJ1200">
        <f>IF($A1200="","",IF(BH1200=1,$B1200,BJ1199))</f>
        <v>0</v>
      </c>
      <c r="BK1200">
        <f>IF($A1200="","",IF(BH1200=1,$C1200,MAX($C1200,BK1199)))</f>
        <v>0</v>
      </c>
      <c r="BL1200">
        <f>IF($A1200="","",IF(BH1200=1,$D1200,MIN($D1200,BL1199)))</f>
        <v>0</v>
      </c>
      <c r="BM1200">
        <f>IF($A1200="","",IF(BI1200=1,F1200,""))</f>
        <v>0</v>
      </c>
      <c r="BN1200">
        <f>IF($A1200="","",DATE(YEAR($A1200),MONTH($A1200),1))</f>
        <v>0</v>
      </c>
      <c r="BO1200">
        <f>IF($A1200="","",IF($A1199="",1,IF(BN1200&lt;&gt;BN1199,1,0)))</f>
        <v>0</v>
      </c>
      <c r="BP1200">
        <f>IF($A1200="","",IF($A1201="",1,IF(BN1201&lt;&gt;BN1200,1,0)))</f>
        <v>0</v>
      </c>
      <c r="BQ1200">
        <f>IF($A1200="","",IF(BO1200=1,$B1200,BQ1199))</f>
        <v>0</v>
      </c>
      <c r="BR1200">
        <f>IF($A1200="","",IF(BO1200=1,$C1200,MAX($C1200,BR1199)))</f>
        <v>0</v>
      </c>
      <c r="BS1200">
        <f>IF($A1200="","",IF(BO1200=1,$D1200,MIN($D1200,BS1199)))</f>
        <v>0</v>
      </c>
      <c r="BT1200">
        <f>IF($A1200="","",IF(BP1200=1,F1200,""))</f>
        <v>0</v>
      </c>
    </row>
    <row r="1201" spans="1:72">
      <c r="A1201" s="27">
        <f>IF(Data!$A1201="","",Data!$A1201)</f>
        <v>0</v>
      </c>
      <c r="B1201">
        <f>IF(Data!$B1201="","",Data!$B1201)</f>
        <v>0</v>
      </c>
      <c r="C1201">
        <f>IF(Data!$C1201="","",Data!$C1201)</f>
        <v>0</v>
      </c>
      <c r="D1201">
        <f>IF(Data!$D1201="","",Data!$D1201)</f>
        <v>0</v>
      </c>
      <c r="E1201">
        <f>IF(Data!$E1201="","",Data!$E1201)</f>
        <v>0</v>
      </c>
      <c r="F1201">
        <f>IF($E1201="","",N(F1200)+1)</f>
        <v>0</v>
      </c>
      <c r="G1201">
        <f>IF(OR($E1201="",$E1200=""),"",LN($E1201/$E1200))</f>
        <v>0</v>
      </c>
      <c r="H1201">
        <f>IF($E1201="","",IF($E1200="",$E1201,$E1201*0.0952380952+H1200*0.9047619048))</f>
        <v>0</v>
      </c>
      <c r="I1201">
        <f>IF($E1201="","",IF($E1200="",$E1201,$E1201*0.0392156863+I1200*0.9607843137))</f>
        <v>0</v>
      </c>
      <c r="J1201">
        <f>IF($E1201="","",IF($E1200="",$E1201,$E1201*0.0198019802+J1200*0.9801980198))</f>
        <v>0</v>
      </c>
      <c r="K1201">
        <f>IF($E1201="","",IF($E1200="",$E1201,$E1201*0.0099502488+K1200*0.9900497512))</f>
        <v>0</v>
      </c>
      <c r="L1201">
        <f>IF(OR($E1201="",$E1200=""),"",MAX($E1201-$E1200,0))</f>
        <v>0</v>
      </c>
      <c r="M1201">
        <f>IF(OR($E1201="",$E1200=""),"",MAX($E1200-$E1201,0))</f>
        <v>0</v>
      </c>
      <c r="N1201">
        <f>IF(COUNT($E$2:$E1201)&lt;15,"",IF(AVERAGE($M$1188:$M$1201)=0,100,100-100/(1+AVERAGE($L$1188:$L$1201)/AVERAGE($M$1188:$M$1201))))</f>
        <v>0</v>
      </c>
      <c r="O1201">
        <f>IF($E1201="","",IF($E1200="",$E1201,$E1201*0.1538461538+O1200*0.8461538462))</f>
        <v>0</v>
      </c>
      <c r="P1201">
        <f>IF($E1201="","",IF($E1200="",$E1201,$E1201*0.0740740741+P1200*0.9259259259))</f>
        <v>0</v>
      </c>
      <c r="Q1201">
        <f>IF(OR(O1201="",P1201=""),"",O1201-P1201)</f>
        <v>0</v>
      </c>
      <c r="R1201">
        <f>IF(Q1201="","",IF(R1200="",Q1201,Q1201*0.2000000000+R1200*0.8000000000))</f>
        <v>0</v>
      </c>
      <c r="S1201">
        <f>IF(OR(Q1201="",R1201=""),"",Q1201-R1201)</f>
        <v>0</v>
      </c>
      <c r="T1201">
        <f>IF(COUNT($E$2:$E1201)&lt;14,"",MAX($C$1188:$C$1201))</f>
        <v>0</v>
      </c>
      <c r="U1201">
        <f>IF(COUNT($E$2:$E1201)&lt;14,"",MIN($D$1188:$D$1201))</f>
        <v>0</v>
      </c>
      <c r="V1201">
        <f>IF(OR(T1201="",U1201="",T1201=U1201),"",100*($E1201-U1201)/(T1201-U1201))</f>
        <v>0</v>
      </c>
      <c r="W1201">
        <f>IF(COUNT($V$1199:$V$1201)&lt;3,"",AVERAGE($V$1199:$V$1201))</f>
        <v>0</v>
      </c>
      <c r="X1201">
        <f>IF(COUNT($N$1188:$N$1201)&lt;14,"",MIN($N$1188:$N$1201))</f>
        <v>0</v>
      </c>
      <c r="Y1201">
        <f>IF(COUNT($N$1188:$N$1201)&lt;14,"",MAX($N$1188:$N$1201))</f>
        <v>0</v>
      </c>
      <c r="Z1201">
        <f>IF(OR(N1201="",X1201="",Y1201="",Y1201=X1201),"",100*(N1201-X1201)/(Y1201-X1201))</f>
        <v>0</v>
      </c>
      <c r="AA1201">
        <f>IF(COUNT($Z$1199:$Z$1201)&lt;3,"",AVERAGE($Z$1199:$Z$1201))</f>
        <v>0</v>
      </c>
      <c r="AB1201">
        <f>IF(COUNT($AA$1199:$AA$1201)&lt;3,"",AVERAGE($AA$1199:$AA$1201))</f>
        <v>0</v>
      </c>
      <c r="AC1201">
        <f>IF($E1201="","",MAX($C1201-$D1201,ABS($C1201-$E1200),ABS($D1201-$E1200)))</f>
        <v>0</v>
      </c>
      <c r="AD1201">
        <f>IF(COUNT($E$2:$E1201)&lt;15,"",AVERAGE($AC$1188:$AC$1201))</f>
        <v>0</v>
      </c>
      <c r="AE1201">
        <f>IF(OR($E1201="",$E1200=""),"",IF(AND(($C1201-$C1200)&gt;($D1200-$D1201),($C1201-$C1200)&gt;0),$C1201-$C1200,0))</f>
        <v>0</v>
      </c>
      <c r="AF1201">
        <f>IF(OR($E1201="",$E1200=""),"",IF(AND(($D1200-$D1201)&gt;($C1201-$C1200),($D1200-$D1201)&gt;0),$D1200-$D1201,0))</f>
        <v>0</v>
      </c>
      <c r="AG1201">
        <f>IF(COUNT($E$2:$E1201)&lt;15,"",IF(SUM($AC$1188:$AC$1201)=0,0,100*SUM($AE$1188:$AE$1201)/SUM($AC$1188:$AC$1201)))</f>
        <v>0</v>
      </c>
      <c r="AH1201">
        <f>IF(COUNT($E$2:$E1201)&lt;15,"",IF(SUM($AC$1188:$AC$1201)=0,0,100*SUM($AF$1188:$AF$1201)/SUM($AC$1188:$AC$1201)))</f>
        <v>0</v>
      </c>
      <c r="AI1201">
        <f>IF(OR(AG1201="",AH1201=""),"",IF((AG1201+AH1201)=0,0,100*ABS(AG1201-AH1201)/(AG1201+AH1201)))</f>
        <v>0</v>
      </c>
      <c r="AJ1201">
        <f>IF(COUNT($AI$1188:$AI$1201)&lt;14,"",AVERAGE($AI$1188:$AI$1201))</f>
        <v>0</v>
      </c>
      <c r="AK1201">
        <f>IF(COUNT($E$2:$E1201)&lt;20,"",AVERAGE($E$1182:$E$1201))</f>
        <v>0</v>
      </c>
      <c r="AL1201">
        <f>IF(COUNT($E$2:$E1201)&lt;20,"",STDEVP($E$1182:$E$1201))</f>
        <v>0</v>
      </c>
      <c r="AM1201">
        <f>IF(AK1201="","",AK1201+2*AL1201)</f>
        <v>0</v>
      </c>
      <c r="AN1201">
        <f>IF(AK1201="","",AK1201-2*AL1201)</f>
        <v>0</v>
      </c>
      <c r="AO1201">
        <f>IF(OR(AM1201="",AN1201="",AM1201=AN1201),"",($E1201-AN1201)/(AM1201-AN1201))</f>
        <v>0</v>
      </c>
      <c r="AP1201">
        <f>IF(OR(AM1201="",AK1201="",AK1201=0),"",(AM1201-AN1201)/AK1201)</f>
        <v>0</v>
      </c>
      <c r="AQ1201">
        <f>IF(COUNT($E$2:$E1201)&lt;20,"",MAX($C$1182:$C$1201))</f>
        <v>0</v>
      </c>
      <c r="AR1201">
        <f>IF(COUNT($E$2:$E1201)&lt;20,"",MIN($D$1182:$D$1201))</f>
        <v>0</v>
      </c>
      <c r="AS1201">
        <f>IF(OR(AQ1201="",AR1201=""),"",(AQ1201+AR1201)/2)</f>
        <v>0</v>
      </c>
      <c r="AT1201">
        <f>IF(COUNT($G$1182:$G$1201)&lt;20,"",STDEV($G$1182:$G$1201)*SQRT(252))</f>
        <v>0</v>
      </c>
      <c r="AU1201">
        <f>IF(COUNT($E$2:$E1201)&lt;9,"",(MAX($C$1193:$C$1201)+MIN($D$1193:$D$1201))/2)</f>
        <v>0</v>
      </c>
      <c r="AV1201">
        <f>IF(COUNT($E$2:$E1201)&lt;26,"",(MAX($C$1176:$C$1201)+MIN($D$1176:$D$1201))/2)</f>
        <v>0</v>
      </c>
      <c r="AW1201">
        <f>IF(OR(AU1201="",AV1201=""),"",(AU1201+AV1201)/2)</f>
        <v>0</v>
      </c>
      <c r="AX1201">
        <f>IF(COUNT($E$2:$E1201)&lt;52,"",(MAX($C$1150:$C$1201)+MIN($D$1150:$D$1201))/2)</f>
        <v>0</v>
      </c>
      <c r="AY1201">
        <f>IF(COUNT($E$2:$E1201)&lt;20,"",MAX($C$1102:$C$1201))</f>
        <v>0</v>
      </c>
      <c r="AZ1201">
        <f>IF(COUNT($E$2:$E1201)&lt;20,"",MIN($D$1102:$D$1201))</f>
        <v>0</v>
      </c>
      <c r="BA1201">
        <f>IF(COUNT($E$2:$E1201)&lt;20,"",SLOPE($E$1102:$E$1201,$F$1102:$F$1201))</f>
        <v>0</v>
      </c>
      <c r="BB1201">
        <f>IF(COUNT($E$2:$E1201)&lt;20,"",INTERCEPT($E$1102:$E$1201,$F$1102:$F$1201))</f>
        <v>0</v>
      </c>
      <c r="BC1201">
        <f>IF(OR(BA1201="",BB1201=""),"",BB1201+BA1201*F1201)</f>
        <v>0</v>
      </c>
      <c r="BD1201">
        <f>IF(COUNT($E$2:$E1201)&lt;20,"",STEYX($E$1102:$E$1201,$F$1102:$F$1201))</f>
        <v>0</v>
      </c>
      <c r="BE1201">
        <f>IF($E1201="","",IF(AND(COUNT($E$1202:$E$1205)&gt;=4,$C1201=MAX($C$1197:$C$1205)),$C1201,""))</f>
        <v>0</v>
      </c>
      <c r="BF1201">
        <f>IF($E1201="","",IF(AND(COUNT($E$1202:$E$1205)&gt;=4,$D1201=MIN($D$1197:$D$1205)),$D1201,""))</f>
        <v>0</v>
      </c>
      <c r="BG1201">
        <f>IF($A1201="","",$A1201-WEEKDAY($A1201,2)+1)</f>
        <v>0</v>
      </c>
      <c r="BH1201">
        <f>IF($A1201="","",IF($A1200="",1,IF(BG1201&lt;&gt;BG1200,1,0)))</f>
        <v>0</v>
      </c>
      <c r="BI1201">
        <f>IF($A1201="","",IF($A1202="",1,IF(BG1202&lt;&gt;BG1201,1,0)))</f>
        <v>0</v>
      </c>
      <c r="BJ1201">
        <f>IF($A1201="","",IF(BH1201=1,$B1201,BJ1200))</f>
        <v>0</v>
      </c>
      <c r="BK1201">
        <f>IF($A1201="","",IF(BH1201=1,$C1201,MAX($C1201,BK1200)))</f>
        <v>0</v>
      </c>
      <c r="BL1201">
        <f>IF($A1201="","",IF(BH1201=1,$D1201,MIN($D1201,BL1200)))</f>
        <v>0</v>
      </c>
      <c r="BM1201">
        <f>IF($A1201="","",IF(BI1201=1,F1201,""))</f>
        <v>0</v>
      </c>
      <c r="BN1201">
        <f>IF($A1201="","",DATE(YEAR($A1201),MONTH($A1201),1))</f>
        <v>0</v>
      </c>
      <c r="BO1201">
        <f>IF($A1201="","",IF($A1200="",1,IF(BN1201&lt;&gt;BN1200,1,0)))</f>
        <v>0</v>
      </c>
      <c r="BP1201">
        <f>IF($A1201="","",IF($A1202="",1,IF(BN1202&lt;&gt;BN1201,1,0)))</f>
        <v>0</v>
      </c>
      <c r="BQ1201">
        <f>IF($A1201="","",IF(BO1201=1,$B1201,BQ1200))</f>
        <v>0</v>
      </c>
      <c r="BR1201">
        <f>IF($A1201="","",IF(BO1201=1,$C1201,MAX($C1201,BR1200)))</f>
        <v>0</v>
      </c>
      <c r="BS1201">
        <f>IF($A1201="","",IF(BO1201=1,$D1201,MIN($D1201,BS1200)))</f>
        <v>0</v>
      </c>
      <c r="BT1201">
        <f>IF($A1201="","",IF(BP1201=1,F1201,""))</f>
        <v>0</v>
      </c>
    </row>
    <row r="1202" spans="1:72">
      <c r="A1202" s="27">
        <f>IF(Data!$A1202="","",Data!$A1202)</f>
        <v>0</v>
      </c>
      <c r="B1202">
        <f>IF(Data!$B1202="","",Data!$B1202)</f>
        <v>0</v>
      </c>
      <c r="C1202">
        <f>IF(Data!$C1202="","",Data!$C1202)</f>
        <v>0</v>
      </c>
      <c r="D1202">
        <f>IF(Data!$D1202="","",Data!$D1202)</f>
        <v>0</v>
      </c>
      <c r="E1202">
        <f>IF(Data!$E1202="","",Data!$E1202)</f>
        <v>0</v>
      </c>
      <c r="F1202">
        <f>IF($E1202="","",N(F1201)+1)</f>
        <v>0</v>
      </c>
      <c r="G1202">
        <f>IF(OR($E1202="",$E1201=""),"",LN($E1202/$E1201))</f>
        <v>0</v>
      </c>
      <c r="H1202">
        <f>IF($E1202="","",IF($E1201="",$E1202,$E1202*0.0952380952+H1201*0.9047619048))</f>
        <v>0</v>
      </c>
      <c r="I1202">
        <f>IF($E1202="","",IF($E1201="",$E1202,$E1202*0.0392156863+I1201*0.9607843137))</f>
        <v>0</v>
      </c>
      <c r="J1202">
        <f>IF($E1202="","",IF($E1201="",$E1202,$E1202*0.0198019802+J1201*0.9801980198))</f>
        <v>0</v>
      </c>
      <c r="K1202">
        <f>IF($E1202="","",IF($E1201="",$E1202,$E1202*0.0099502488+K1201*0.9900497512))</f>
        <v>0</v>
      </c>
      <c r="L1202">
        <f>IF(OR($E1202="",$E1201=""),"",MAX($E1202-$E1201,0))</f>
        <v>0</v>
      </c>
      <c r="M1202">
        <f>IF(OR($E1202="",$E1201=""),"",MAX($E1201-$E1202,0))</f>
        <v>0</v>
      </c>
      <c r="N1202">
        <f>IF(COUNT($E$2:$E1202)&lt;15,"",IF(AVERAGE($M$1189:$M$1202)=0,100,100-100/(1+AVERAGE($L$1189:$L$1202)/AVERAGE($M$1189:$M$1202))))</f>
        <v>0</v>
      </c>
      <c r="O1202">
        <f>IF($E1202="","",IF($E1201="",$E1202,$E1202*0.1538461538+O1201*0.8461538462))</f>
        <v>0</v>
      </c>
      <c r="P1202">
        <f>IF($E1202="","",IF($E1201="",$E1202,$E1202*0.0740740741+P1201*0.9259259259))</f>
        <v>0</v>
      </c>
      <c r="Q1202">
        <f>IF(OR(O1202="",P1202=""),"",O1202-P1202)</f>
        <v>0</v>
      </c>
      <c r="R1202">
        <f>IF(Q1202="","",IF(R1201="",Q1202,Q1202*0.2000000000+R1201*0.8000000000))</f>
        <v>0</v>
      </c>
      <c r="S1202">
        <f>IF(OR(Q1202="",R1202=""),"",Q1202-R1202)</f>
        <v>0</v>
      </c>
      <c r="T1202">
        <f>IF(COUNT($E$2:$E1202)&lt;14,"",MAX($C$1189:$C$1202))</f>
        <v>0</v>
      </c>
      <c r="U1202">
        <f>IF(COUNT($E$2:$E1202)&lt;14,"",MIN($D$1189:$D$1202))</f>
        <v>0</v>
      </c>
      <c r="V1202">
        <f>IF(OR(T1202="",U1202="",T1202=U1202),"",100*($E1202-U1202)/(T1202-U1202))</f>
        <v>0</v>
      </c>
      <c r="W1202">
        <f>IF(COUNT($V$1200:$V$1202)&lt;3,"",AVERAGE($V$1200:$V$1202))</f>
        <v>0</v>
      </c>
      <c r="X1202">
        <f>IF(COUNT($N$1189:$N$1202)&lt;14,"",MIN($N$1189:$N$1202))</f>
        <v>0</v>
      </c>
      <c r="Y1202">
        <f>IF(COUNT($N$1189:$N$1202)&lt;14,"",MAX($N$1189:$N$1202))</f>
        <v>0</v>
      </c>
      <c r="Z1202">
        <f>IF(OR(N1202="",X1202="",Y1202="",Y1202=X1202),"",100*(N1202-X1202)/(Y1202-X1202))</f>
        <v>0</v>
      </c>
      <c r="AA1202">
        <f>IF(COUNT($Z$1200:$Z$1202)&lt;3,"",AVERAGE($Z$1200:$Z$1202))</f>
        <v>0</v>
      </c>
      <c r="AB1202">
        <f>IF(COUNT($AA$1200:$AA$1202)&lt;3,"",AVERAGE($AA$1200:$AA$1202))</f>
        <v>0</v>
      </c>
      <c r="AC1202">
        <f>IF($E1202="","",MAX($C1202-$D1202,ABS($C1202-$E1201),ABS($D1202-$E1201)))</f>
        <v>0</v>
      </c>
      <c r="AD1202">
        <f>IF(COUNT($E$2:$E1202)&lt;15,"",AVERAGE($AC$1189:$AC$1202))</f>
        <v>0</v>
      </c>
      <c r="AE1202">
        <f>IF(OR($E1202="",$E1201=""),"",IF(AND(($C1202-$C1201)&gt;($D1201-$D1202),($C1202-$C1201)&gt;0),$C1202-$C1201,0))</f>
        <v>0</v>
      </c>
      <c r="AF1202">
        <f>IF(OR($E1202="",$E1201=""),"",IF(AND(($D1201-$D1202)&gt;($C1202-$C1201),($D1201-$D1202)&gt;0),$D1201-$D1202,0))</f>
        <v>0</v>
      </c>
      <c r="AG1202">
        <f>IF(COUNT($E$2:$E1202)&lt;15,"",IF(SUM($AC$1189:$AC$1202)=0,0,100*SUM($AE$1189:$AE$1202)/SUM($AC$1189:$AC$1202)))</f>
        <v>0</v>
      </c>
      <c r="AH1202">
        <f>IF(COUNT($E$2:$E1202)&lt;15,"",IF(SUM($AC$1189:$AC$1202)=0,0,100*SUM($AF$1189:$AF$1202)/SUM($AC$1189:$AC$1202)))</f>
        <v>0</v>
      </c>
      <c r="AI1202">
        <f>IF(OR(AG1202="",AH1202=""),"",IF((AG1202+AH1202)=0,0,100*ABS(AG1202-AH1202)/(AG1202+AH1202)))</f>
        <v>0</v>
      </c>
      <c r="AJ1202">
        <f>IF(COUNT($AI$1189:$AI$1202)&lt;14,"",AVERAGE($AI$1189:$AI$1202))</f>
        <v>0</v>
      </c>
      <c r="AK1202">
        <f>IF(COUNT($E$2:$E1202)&lt;20,"",AVERAGE($E$1183:$E$1202))</f>
        <v>0</v>
      </c>
      <c r="AL1202">
        <f>IF(COUNT($E$2:$E1202)&lt;20,"",STDEVP($E$1183:$E$1202))</f>
        <v>0</v>
      </c>
      <c r="AM1202">
        <f>IF(AK1202="","",AK1202+2*AL1202)</f>
        <v>0</v>
      </c>
      <c r="AN1202">
        <f>IF(AK1202="","",AK1202-2*AL1202)</f>
        <v>0</v>
      </c>
      <c r="AO1202">
        <f>IF(OR(AM1202="",AN1202="",AM1202=AN1202),"",($E1202-AN1202)/(AM1202-AN1202))</f>
        <v>0</v>
      </c>
      <c r="AP1202">
        <f>IF(OR(AM1202="",AK1202="",AK1202=0),"",(AM1202-AN1202)/AK1202)</f>
        <v>0</v>
      </c>
      <c r="AQ1202">
        <f>IF(COUNT($E$2:$E1202)&lt;20,"",MAX($C$1183:$C$1202))</f>
        <v>0</v>
      </c>
      <c r="AR1202">
        <f>IF(COUNT($E$2:$E1202)&lt;20,"",MIN($D$1183:$D$1202))</f>
        <v>0</v>
      </c>
      <c r="AS1202">
        <f>IF(OR(AQ1202="",AR1202=""),"",(AQ1202+AR1202)/2)</f>
        <v>0</v>
      </c>
      <c r="AT1202">
        <f>IF(COUNT($G$1183:$G$1202)&lt;20,"",STDEV($G$1183:$G$1202)*SQRT(252))</f>
        <v>0</v>
      </c>
      <c r="AU1202">
        <f>IF(COUNT($E$2:$E1202)&lt;9,"",(MAX($C$1194:$C$1202)+MIN($D$1194:$D$1202))/2)</f>
        <v>0</v>
      </c>
      <c r="AV1202">
        <f>IF(COUNT($E$2:$E1202)&lt;26,"",(MAX($C$1177:$C$1202)+MIN($D$1177:$D$1202))/2)</f>
        <v>0</v>
      </c>
      <c r="AW1202">
        <f>IF(OR(AU1202="",AV1202=""),"",(AU1202+AV1202)/2)</f>
        <v>0</v>
      </c>
      <c r="AX1202">
        <f>IF(COUNT($E$2:$E1202)&lt;52,"",(MAX($C$1151:$C$1202)+MIN($D$1151:$D$1202))/2)</f>
        <v>0</v>
      </c>
      <c r="AY1202">
        <f>IF(COUNT($E$2:$E1202)&lt;20,"",MAX($C$1103:$C$1202))</f>
        <v>0</v>
      </c>
      <c r="AZ1202">
        <f>IF(COUNT($E$2:$E1202)&lt;20,"",MIN($D$1103:$D$1202))</f>
        <v>0</v>
      </c>
      <c r="BA1202">
        <f>IF(COUNT($E$2:$E1202)&lt;20,"",SLOPE($E$1103:$E$1202,$F$1103:$F$1202))</f>
        <v>0</v>
      </c>
      <c r="BB1202">
        <f>IF(COUNT($E$2:$E1202)&lt;20,"",INTERCEPT($E$1103:$E$1202,$F$1103:$F$1202))</f>
        <v>0</v>
      </c>
      <c r="BC1202">
        <f>IF(OR(BA1202="",BB1202=""),"",BB1202+BA1202*F1202)</f>
        <v>0</v>
      </c>
      <c r="BD1202">
        <f>IF(COUNT($E$2:$E1202)&lt;20,"",STEYX($E$1103:$E$1202,$F$1103:$F$1202))</f>
        <v>0</v>
      </c>
      <c r="BE1202">
        <f>IF($E1202="","",IF(AND(COUNT($E$1203:$E$1206)&gt;=4,$C1202=MAX($C$1198:$C$1206)),$C1202,""))</f>
        <v>0</v>
      </c>
      <c r="BF1202">
        <f>IF($E1202="","",IF(AND(COUNT($E$1203:$E$1206)&gt;=4,$D1202=MIN($D$1198:$D$1206)),$D1202,""))</f>
        <v>0</v>
      </c>
      <c r="BG1202">
        <f>IF($A1202="","",$A1202-WEEKDAY($A1202,2)+1)</f>
        <v>0</v>
      </c>
      <c r="BH1202">
        <f>IF($A1202="","",IF($A1201="",1,IF(BG1202&lt;&gt;BG1201,1,0)))</f>
        <v>0</v>
      </c>
      <c r="BI1202">
        <f>IF($A1202="","",IF($A1203="",1,IF(BG1203&lt;&gt;BG1202,1,0)))</f>
        <v>0</v>
      </c>
      <c r="BJ1202">
        <f>IF($A1202="","",IF(BH1202=1,$B1202,BJ1201))</f>
        <v>0</v>
      </c>
      <c r="BK1202">
        <f>IF($A1202="","",IF(BH1202=1,$C1202,MAX($C1202,BK1201)))</f>
        <v>0</v>
      </c>
      <c r="BL1202">
        <f>IF($A1202="","",IF(BH1202=1,$D1202,MIN($D1202,BL1201)))</f>
        <v>0</v>
      </c>
      <c r="BM1202">
        <f>IF($A1202="","",IF(BI1202=1,F1202,""))</f>
        <v>0</v>
      </c>
      <c r="BN1202">
        <f>IF($A1202="","",DATE(YEAR($A1202),MONTH($A1202),1))</f>
        <v>0</v>
      </c>
      <c r="BO1202">
        <f>IF($A1202="","",IF($A1201="",1,IF(BN1202&lt;&gt;BN1201,1,0)))</f>
        <v>0</v>
      </c>
      <c r="BP1202">
        <f>IF($A1202="","",IF($A1203="",1,IF(BN1203&lt;&gt;BN1202,1,0)))</f>
        <v>0</v>
      </c>
      <c r="BQ1202">
        <f>IF($A1202="","",IF(BO1202=1,$B1202,BQ1201))</f>
        <v>0</v>
      </c>
      <c r="BR1202">
        <f>IF($A1202="","",IF(BO1202=1,$C1202,MAX($C1202,BR1201)))</f>
        <v>0</v>
      </c>
      <c r="BS1202">
        <f>IF($A1202="","",IF(BO1202=1,$D1202,MIN($D1202,BS1201)))</f>
        <v>0</v>
      </c>
      <c r="BT1202">
        <f>IF($A1202="","",IF(BP1202=1,F1202,""))</f>
        <v>0</v>
      </c>
    </row>
    <row r="1203" spans="1:72">
      <c r="A1203" s="27">
        <f>IF(Data!$A1203="","",Data!$A1203)</f>
        <v>0</v>
      </c>
      <c r="B1203">
        <f>IF(Data!$B1203="","",Data!$B1203)</f>
        <v>0</v>
      </c>
      <c r="C1203">
        <f>IF(Data!$C1203="","",Data!$C1203)</f>
        <v>0</v>
      </c>
      <c r="D1203">
        <f>IF(Data!$D1203="","",Data!$D1203)</f>
        <v>0</v>
      </c>
      <c r="E1203">
        <f>IF(Data!$E1203="","",Data!$E1203)</f>
        <v>0</v>
      </c>
      <c r="F1203">
        <f>IF($E1203="","",N(F1202)+1)</f>
        <v>0</v>
      </c>
      <c r="G1203">
        <f>IF(OR($E1203="",$E1202=""),"",LN($E1203/$E1202))</f>
        <v>0</v>
      </c>
      <c r="H1203">
        <f>IF($E1203="","",IF($E1202="",$E1203,$E1203*0.0952380952+H1202*0.9047619048))</f>
        <v>0</v>
      </c>
      <c r="I1203">
        <f>IF($E1203="","",IF($E1202="",$E1203,$E1203*0.0392156863+I1202*0.9607843137))</f>
        <v>0</v>
      </c>
      <c r="J1203">
        <f>IF($E1203="","",IF($E1202="",$E1203,$E1203*0.0198019802+J1202*0.9801980198))</f>
        <v>0</v>
      </c>
      <c r="K1203">
        <f>IF($E1203="","",IF($E1202="",$E1203,$E1203*0.0099502488+K1202*0.9900497512))</f>
        <v>0</v>
      </c>
      <c r="L1203">
        <f>IF(OR($E1203="",$E1202=""),"",MAX($E1203-$E1202,0))</f>
        <v>0</v>
      </c>
      <c r="M1203">
        <f>IF(OR($E1203="",$E1202=""),"",MAX($E1202-$E1203,0))</f>
        <v>0</v>
      </c>
      <c r="N1203">
        <f>IF(COUNT($E$2:$E1203)&lt;15,"",IF(AVERAGE($M$1190:$M$1203)=0,100,100-100/(1+AVERAGE($L$1190:$L$1203)/AVERAGE($M$1190:$M$1203))))</f>
        <v>0</v>
      </c>
      <c r="O1203">
        <f>IF($E1203="","",IF($E1202="",$E1203,$E1203*0.1538461538+O1202*0.8461538462))</f>
        <v>0</v>
      </c>
      <c r="P1203">
        <f>IF($E1203="","",IF($E1202="",$E1203,$E1203*0.0740740741+P1202*0.9259259259))</f>
        <v>0</v>
      </c>
      <c r="Q1203">
        <f>IF(OR(O1203="",P1203=""),"",O1203-P1203)</f>
        <v>0</v>
      </c>
      <c r="R1203">
        <f>IF(Q1203="","",IF(R1202="",Q1203,Q1203*0.2000000000+R1202*0.8000000000))</f>
        <v>0</v>
      </c>
      <c r="S1203">
        <f>IF(OR(Q1203="",R1203=""),"",Q1203-R1203)</f>
        <v>0</v>
      </c>
      <c r="T1203">
        <f>IF(COUNT($E$2:$E1203)&lt;14,"",MAX($C$1190:$C$1203))</f>
        <v>0</v>
      </c>
      <c r="U1203">
        <f>IF(COUNT($E$2:$E1203)&lt;14,"",MIN($D$1190:$D$1203))</f>
        <v>0</v>
      </c>
      <c r="V1203">
        <f>IF(OR(T1203="",U1203="",T1203=U1203),"",100*($E1203-U1203)/(T1203-U1203))</f>
        <v>0</v>
      </c>
      <c r="W1203">
        <f>IF(COUNT($V$1201:$V$1203)&lt;3,"",AVERAGE($V$1201:$V$1203))</f>
        <v>0</v>
      </c>
      <c r="X1203">
        <f>IF(COUNT($N$1190:$N$1203)&lt;14,"",MIN($N$1190:$N$1203))</f>
        <v>0</v>
      </c>
      <c r="Y1203">
        <f>IF(COUNT($N$1190:$N$1203)&lt;14,"",MAX($N$1190:$N$1203))</f>
        <v>0</v>
      </c>
      <c r="Z1203">
        <f>IF(OR(N1203="",X1203="",Y1203="",Y1203=X1203),"",100*(N1203-X1203)/(Y1203-X1203))</f>
        <v>0</v>
      </c>
      <c r="AA1203">
        <f>IF(COUNT($Z$1201:$Z$1203)&lt;3,"",AVERAGE($Z$1201:$Z$1203))</f>
        <v>0</v>
      </c>
      <c r="AB1203">
        <f>IF(COUNT($AA$1201:$AA$1203)&lt;3,"",AVERAGE($AA$1201:$AA$1203))</f>
        <v>0</v>
      </c>
      <c r="AC1203">
        <f>IF($E1203="","",MAX($C1203-$D1203,ABS($C1203-$E1202),ABS($D1203-$E1202)))</f>
        <v>0</v>
      </c>
      <c r="AD1203">
        <f>IF(COUNT($E$2:$E1203)&lt;15,"",AVERAGE($AC$1190:$AC$1203))</f>
        <v>0</v>
      </c>
      <c r="AE1203">
        <f>IF(OR($E1203="",$E1202=""),"",IF(AND(($C1203-$C1202)&gt;($D1202-$D1203),($C1203-$C1202)&gt;0),$C1203-$C1202,0))</f>
        <v>0</v>
      </c>
      <c r="AF1203">
        <f>IF(OR($E1203="",$E1202=""),"",IF(AND(($D1202-$D1203)&gt;($C1203-$C1202),($D1202-$D1203)&gt;0),$D1202-$D1203,0))</f>
        <v>0</v>
      </c>
      <c r="AG1203">
        <f>IF(COUNT($E$2:$E1203)&lt;15,"",IF(SUM($AC$1190:$AC$1203)=0,0,100*SUM($AE$1190:$AE$1203)/SUM($AC$1190:$AC$1203)))</f>
        <v>0</v>
      </c>
      <c r="AH1203">
        <f>IF(COUNT($E$2:$E1203)&lt;15,"",IF(SUM($AC$1190:$AC$1203)=0,0,100*SUM($AF$1190:$AF$1203)/SUM($AC$1190:$AC$1203)))</f>
        <v>0</v>
      </c>
      <c r="AI1203">
        <f>IF(OR(AG1203="",AH1203=""),"",IF((AG1203+AH1203)=0,0,100*ABS(AG1203-AH1203)/(AG1203+AH1203)))</f>
        <v>0</v>
      </c>
      <c r="AJ1203">
        <f>IF(COUNT($AI$1190:$AI$1203)&lt;14,"",AVERAGE($AI$1190:$AI$1203))</f>
        <v>0</v>
      </c>
      <c r="AK1203">
        <f>IF(COUNT($E$2:$E1203)&lt;20,"",AVERAGE($E$1184:$E$1203))</f>
        <v>0</v>
      </c>
      <c r="AL1203">
        <f>IF(COUNT($E$2:$E1203)&lt;20,"",STDEVP($E$1184:$E$1203))</f>
        <v>0</v>
      </c>
      <c r="AM1203">
        <f>IF(AK1203="","",AK1203+2*AL1203)</f>
        <v>0</v>
      </c>
      <c r="AN1203">
        <f>IF(AK1203="","",AK1203-2*AL1203)</f>
        <v>0</v>
      </c>
      <c r="AO1203">
        <f>IF(OR(AM1203="",AN1203="",AM1203=AN1203),"",($E1203-AN1203)/(AM1203-AN1203))</f>
        <v>0</v>
      </c>
      <c r="AP1203">
        <f>IF(OR(AM1203="",AK1203="",AK1203=0),"",(AM1203-AN1203)/AK1203)</f>
        <v>0</v>
      </c>
      <c r="AQ1203">
        <f>IF(COUNT($E$2:$E1203)&lt;20,"",MAX($C$1184:$C$1203))</f>
        <v>0</v>
      </c>
      <c r="AR1203">
        <f>IF(COUNT($E$2:$E1203)&lt;20,"",MIN($D$1184:$D$1203))</f>
        <v>0</v>
      </c>
      <c r="AS1203">
        <f>IF(OR(AQ1203="",AR1203=""),"",(AQ1203+AR1203)/2)</f>
        <v>0</v>
      </c>
      <c r="AT1203">
        <f>IF(COUNT($G$1184:$G$1203)&lt;20,"",STDEV($G$1184:$G$1203)*SQRT(252))</f>
        <v>0</v>
      </c>
      <c r="AU1203">
        <f>IF(COUNT($E$2:$E1203)&lt;9,"",(MAX($C$1195:$C$1203)+MIN($D$1195:$D$1203))/2)</f>
        <v>0</v>
      </c>
      <c r="AV1203">
        <f>IF(COUNT($E$2:$E1203)&lt;26,"",(MAX($C$1178:$C$1203)+MIN($D$1178:$D$1203))/2)</f>
        <v>0</v>
      </c>
      <c r="AW1203">
        <f>IF(OR(AU1203="",AV1203=""),"",(AU1203+AV1203)/2)</f>
        <v>0</v>
      </c>
      <c r="AX1203">
        <f>IF(COUNT($E$2:$E1203)&lt;52,"",(MAX($C$1152:$C$1203)+MIN($D$1152:$D$1203))/2)</f>
        <v>0</v>
      </c>
      <c r="AY1203">
        <f>IF(COUNT($E$2:$E1203)&lt;20,"",MAX($C$1104:$C$1203))</f>
        <v>0</v>
      </c>
      <c r="AZ1203">
        <f>IF(COUNT($E$2:$E1203)&lt;20,"",MIN($D$1104:$D$1203))</f>
        <v>0</v>
      </c>
      <c r="BA1203">
        <f>IF(COUNT($E$2:$E1203)&lt;20,"",SLOPE($E$1104:$E$1203,$F$1104:$F$1203))</f>
        <v>0</v>
      </c>
      <c r="BB1203">
        <f>IF(COUNT($E$2:$E1203)&lt;20,"",INTERCEPT($E$1104:$E$1203,$F$1104:$F$1203))</f>
        <v>0</v>
      </c>
      <c r="BC1203">
        <f>IF(OR(BA1203="",BB1203=""),"",BB1203+BA1203*F1203)</f>
        <v>0</v>
      </c>
      <c r="BD1203">
        <f>IF(COUNT($E$2:$E1203)&lt;20,"",STEYX($E$1104:$E$1203,$F$1104:$F$1203))</f>
        <v>0</v>
      </c>
      <c r="BE1203">
        <f>IF($E1203="","",IF(AND(COUNT($E$1204:$E$1207)&gt;=4,$C1203=MAX($C$1199:$C$1207)),$C1203,""))</f>
        <v>0</v>
      </c>
      <c r="BF1203">
        <f>IF($E1203="","",IF(AND(COUNT($E$1204:$E$1207)&gt;=4,$D1203=MIN($D$1199:$D$1207)),$D1203,""))</f>
        <v>0</v>
      </c>
      <c r="BG1203">
        <f>IF($A1203="","",$A1203-WEEKDAY($A1203,2)+1)</f>
        <v>0</v>
      </c>
      <c r="BH1203">
        <f>IF($A1203="","",IF($A1202="",1,IF(BG1203&lt;&gt;BG1202,1,0)))</f>
        <v>0</v>
      </c>
      <c r="BI1203">
        <f>IF($A1203="","",IF($A1204="",1,IF(BG1204&lt;&gt;BG1203,1,0)))</f>
        <v>0</v>
      </c>
      <c r="BJ1203">
        <f>IF($A1203="","",IF(BH1203=1,$B1203,BJ1202))</f>
        <v>0</v>
      </c>
      <c r="BK1203">
        <f>IF($A1203="","",IF(BH1203=1,$C1203,MAX($C1203,BK1202)))</f>
        <v>0</v>
      </c>
      <c r="BL1203">
        <f>IF($A1203="","",IF(BH1203=1,$D1203,MIN($D1203,BL1202)))</f>
        <v>0</v>
      </c>
      <c r="BM1203">
        <f>IF($A1203="","",IF(BI1203=1,F1203,""))</f>
        <v>0</v>
      </c>
      <c r="BN1203">
        <f>IF($A1203="","",DATE(YEAR($A1203),MONTH($A1203),1))</f>
        <v>0</v>
      </c>
      <c r="BO1203">
        <f>IF($A1203="","",IF($A1202="",1,IF(BN1203&lt;&gt;BN1202,1,0)))</f>
        <v>0</v>
      </c>
      <c r="BP1203">
        <f>IF($A1203="","",IF($A1204="",1,IF(BN1204&lt;&gt;BN1203,1,0)))</f>
        <v>0</v>
      </c>
      <c r="BQ1203">
        <f>IF($A1203="","",IF(BO1203=1,$B1203,BQ1202))</f>
        <v>0</v>
      </c>
      <c r="BR1203">
        <f>IF($A1203="","",IF(BO1203=1,$C1203,MAX($C1203,BR1202)))</f>
        <v>0</v>
      </c>
      <c r="BS1203">
        <f>IF($A1203="","",IF(BO1203=1,$D1203,MIN($D1203,BS1202)))</f>
        <v>0</v>
      </c>
      <c r="BT1203">
        <f>IF($A1203="","",IF(BP1203=1,F1203,""))</f>
        <v>0</v>
      </c>
    </row>
    <row r="1204" spans="1:72">
      <c r="A1204" s="27">
        <f>IF(Data!$A1204="","",Data!$A1204)</f>
        <v>0</v>
      </c>
      <c r="B1204">
        <f>IF(Data!$B1204="","",Data!$B1204)</f>
        <v>0</v>
      </c>
      <c r="C1204">
        <f>IF(Data!$C1204="","",Data!$C1204)</f>
        <v>0</v>
      </c>
      <c r="D1204">
        <f>IF(Data!$D1204="","",Data!$D1204)</f>
        <v>0</v>
      </c>
      <c r="E1204">
        <f>IF(Data!$E1204="","",Data!$E1204)</f>
        <v>0</v>
      </c>
      <c r="F1204">
        <f>IF($E1204="","",N(F1203)+1)</f>
        <v>0</v>
      </c>
      <c r="G1204">
        <f>IF(OR($E1204="",$E1203=""),"",LN($E1204/$E1203))</f>
        <v>0</v>
      </c>
      <c r="H1204">
        <f>IF($E1204="","",IF($E1203="",$E1204,$E1204*0.0952380952+H1203*0.9047619048))</f>
        <v>0</v>
      </c>
      <c r="I1204">
        <f>IF($E1204="","",IF($E1203="",$E1204,$E1204*0.0392156863+I1203*0.9607843137))</f>
        <v>0</v>
      </c>
      <c r="J1204">
        <f>IF($E1204="","",IF($E1203="",$E1204,$E1204*0.0198019802+J1203*0.9801980198))</f>
        <v>0</v>
      </c>
      <c r="K1204">
        <f>IF($E1204="","",IF($E1203="",$E1204,$E1204*0.0099502488+K1203*0.9900497512))</f>
        <v>0</v>
      </c>
      <c r="L1204">
        <f>IF(OR($E1204="",$E1203=""),"",MAX($E1204-$E1203,0))</f>
        <v>0</v>
      </c>
      <c r="M1204">
        <f>IF(OR($E1204="",$E1203=""),"",MAX($E1203-$E1204,0))</f>
        <v>0</v>
      </c>
      <c r="N1204">
        <f>IF(COUNT($E$2:$E1204)&lt;15,"",IF(AVERAGE($M$1191:$M$1204)=0,100,100-100/(1+AVERAGE($L$1191:$L$1204)/AVERAGE($M$1191:$M$1204))))</f>
        <v>0</v>
      </c>
      <c r="O1204">
        <f>IF($E1204="","",IF($E1203="",$E1204,$E1204*0.1538461538+O1203*0.8461538462))</f>
        <v>0</v>
      </c>
      <c r="P1204">
        <f>IF($E1204="","",IF($E1203="",$E1204,$E1204*0.0740740741+P1203*0.9259259259))</f>
        <v>0</v>
      </c>
      <c r="Q1204">
        <f>IF(OR(O1204="",P1204=""),"",O1204-P1204)</f>
        <v>0</v>
      </c>
      <c r="R1204">
        <f>IF(Q1204="","",IF(R1203="",Q1204,Q1204*0.2000000000+R1203*0.8000000000))</f>
        <v>0</v>
      </c>
      <c r="S1204">
        <f>IF(OR(Q1204="",R1204=""),"",Q1204-R1204)</f>
        <v>0</v>
      </c>
      <c r="T1204">
        <f>IF(COUNT($E$2:$E1204)&lt;14,"",MAX($C$1191:$C$1204))</f>
        <v>0</v>
      </c>
      <c r="U1204">
        <f>IF(COUNT($E$2:$E1204)&lt;14,"",MIN($D$1191:$D$1204))</f>
        <v>0</v>
      </c>
      <c r="V1204">
        <f>IF(OR(T1204="",U1204="",T1204=U1204),"",100*($E1204-U1204)/(T1204-U1204))</f>
        <v>0</v>
      </c>
      <c r="W1204">
        <f>IF(COUNT($V$1202:$V$1204)&lt;3,"",AVERAGE($V$1202:$V$1204))</f>
        <v>0</v>
      </c>
      <c r="X1204">
        <f>IF(COUNT($N$1191:$N$1204)&lt;14,"",MIN($N$1191:$N$1204))</f>
        <v>0</v>
      </c>
      <c r="Y1204">
        <f>IF(COUNT($N$1191:$N$1204)&lt;14,"",MAX($N$1191:$N$1204))</f>
        <v>0</v>
      </c>
      <c r="Z1204">
        <f>IF(OR(N1204="",X1204="",Y1204="",Y1204=X1204),"",100*(N1204-X1204)/(Y1204-X1204))</f>
        <v>0</v>
      </c>
      <c r="AA1204">
        <f>IF(COUNT($Z$1202:$Z$1204)&lt;3,"",AVERAGE($Z$1202:$Z$1204))</f>
        <v>0</v>
      </c>
      <c r="AB1204">
        <f>IF(COUNT($AA$1202:$AA$1204)&lt;3,"",AVERAGE($AA$1202:$AA$1204))</f>
        <v>0</v>
      </c>
      <c r="AC1204">
        <f>IF($E1204="","",MAX($C1204-$D1204,ABS($C1204-$E1203),ABS($D1204-$E1203)))</f>
        <v>0</v>
      </c>
      <c r="AD1204">
        <f>IF(COUNT($E$2:$E1204)&lt;15,"",AVERAGE($AC$1191:$AC$1204))</f>
        <v>0</v>
      </c>
      <c r="AE1204">
        <f>IF(OR($E1204="",$E1203=""),"",IF(AND(($C1204-$C1203)&gt;($D1203-$D1204),($C1204-$C1203)&gt;0),$C1204-$C1203,0))</f>
        <v>0</v>
      </c>
      <c r="AF1204">
        <f>IF(OR($E1204="",$E1203=""),"",IF(AND(($D1203-$D1204)&gt;($C1204-$C1203),($D1203-$D1204)&gt;0),$D1203-$D1204,0))</f>
        <v>0</v>
      </c>
      <c r="AG1204">
        <f>IF(COUNT($E$2:$E1204)&lt;15,"",IF(SUM($AC$1191:$AC$1204)=0,0,100*SUM($AE$1191:$AE$1204)/SUM($AC$1191:$AC$1204)))</f>
        <v>0</v>
      </c>
      <c r="AH1204">
        <f>IF(COUNT($E$2:$E1204)&lt;15,"",IF(SUM($AC$1191:$AC$1204)=0,0,100*SUM($AF$1191:$AF$1204)/SUM($AC$1191:$AC$1204)))</f>
        <v>0</v>
      </c>
      <c r="AI1204">
        <f>IF(OR(AG1204="",AH1204=""),"",IF((AG1204+AH1204)=0,0,100*ABS(AG1204-AH1204)/(AG1204+AH1204)))</f>
        <v>0</v>
      </c>
      <c r="AJ1204">
        <f>IF(COUNT($AI$1191:$AI$1204)&lt;14,"",AVERAGE($AI$1191:$AI$1204))</f>
        <v>0</v>
      </c>
      <c r="AK1204">
        <f>IF(COUNT($E$2:$E1204)&lt;20,"",AVERAGE($E$1185:$E$1204))</f>
        <v>0</v>
      </c>
      <c r="AL1204">
        <f>IF(COUNT($E$2:$E1204)&lt;20,"",STDEVP($E$1185:$E$1204))</f>
        <v>0</v>
      </c>
      <c r="AM1204">
        <f>IF(AK1204="","",AK1204+2*AL1204)</f>
        <v>0</v>
      </c>
      <c r="AN1204">
        <f>IF(AK1204="","",AK1204-2*AL1204)</f>
        <v>0</v>
      </c>
      <c r="AO1204">
        <f>IF(OR(AM1204="",AN1204="",AM1204=AN1204),"",($E1204-AN1204)/(AM1204-AN1204))</f>
        <v>0</v>
      </c>
      <c r="AP1204">
        <f>IF(OR(AM1204="",AK1204="",AK1204=0),"",(AM1204-AN1204)/AK1204)</f>
        <v>0</v>
      </c>
      <c r="AQ1204">
        <f>IF(COUNT($E$2:$E1204)&lt;20,"",MAX($C$1185:$C$1204))</f>
        <v>0</v>
      </c>
      <c r="AR1204">
        <f>IF(COUNT($E$2:$E1204)&lt;20,"",MIN($D$1185:$D$1204))</f>
        <v>0</v>
      </c>
      <c r="AS1204">
        <f>IF(OR(AQ1204="",AR1204=""),"",(AQ1204+AR1204)/2)</f>
        <v>0</v>
      </c>
      <c r="AT1204">
        <f>IF(COUNT($G$1185:$G$1204)&lt;20,"",STDEV($G$1185:$G$1204)*SQRT(252))</f>
        <v>0</v>
      </c>
      <c r="AU1204">
        <f>IF(COUNT($E$2:$E1204)&lt;9,"",(MAX($C$1196:$C$1204)+MIN($D$1196:$D$1204))/2)</f>
        <v>0</v>
      </c>
      <c r="AV1204">
        <f>IF(COUNT($E$2:$E1204)&lt;26,"",(MAX($C$1179:$C$1204)+MIN($D$1179:$D$1204))/2)</f>
        <v>0</v>
      </c>
      <c r="AW1204">
        <f>IF(OR(AU1204="",AV1204=""),"",(AU1204+AV1204)/2)</f>
        <v>0</v>
      </c>
      <c r="AX1204">
        <f>IF(COUNT($E$2:$E1204)&lt;52,"",(MAX($C$1153:$C$1204)+MIN($D$1153:$D$1204))/2)</f>
        <v>0</v>
      </c>
      <c r="AY1204">
        <f>IF(COUNT($E$2:$E1204)&lt;20,"",MAX($C$1105:$C$1204))</f>
        <v>0</v>
      </c>
      <c r="AZ1204">
        <f>IF(COUNT($E$2:$E1204)&lt;20,"",MIN($D$1105:$D$1204))</f>
        <v>0</v>
      </c>
      <c r="BA1204">
        <f>IF(COUNT($E$2:$E1204)&lt;20,"",SLOPE($E$1105:$E$1204,$F$1105:$F$1204))</f>
        <v>0</v>
      </c>
      <c r="BB1204">
        <f>IF(COUNT($E$2:$E1204)&lt;20,"",INTERCEPT($E$1105:$E$1204,$F$1105:$F$1204))</f>
        <v>0</v>
      </c>
      <c r="BC1204">
        <f>IF(OR(BA1204="",BB1204=""),"",BB1204+BA1204*F1204)</f>
        <v>0</v>
      </c>
      <c r="BD1204">
        <f>IF(COUNT($E$2:$E1204)&lt;20,"",STEYX($E$1105:$E$1204,$F$1105:$F$1204))</f>
        <v>0</v>
      </c>
      <c r="BE1204">
        <f>IF($E1204="","",IF(AND(COUNT($E$1205:$E$1208)&gt;=4,$C1204=MAX($C$1200:$C$1208)),$C1204,""))</f>
        <v>0</v>
      </c>
      <c r="BF1204">
        <f>IF($E1204="","",IF(AND(COUNT($E$1205:$E$1208)&gt;=4,$D1204=MIN($D$1200:$D$1208)),$D1204,""))</f>
        <v>0</v>
      </c>
      <c r="BG1204">
        <f>IF($A1204="","",$A1204-WEEKDAY($A1204,2)+1)</f>
        <v>0</v>
      </c>
      <c r="BH1204">
        <f>IF($A1204="","",IF($A1203="",1,IF(BG1204&lt;&gt;BG1203,1,0)))</f>
        <v>0</v>
      </c>
      <c r="BI1204">
        <f>IF($A1204="","",IF($A1205="",1,IF(BG1205&lt;&gt;BG1204,1,0)))</f>
        <v>0</v>
      </c>
      <c r="BJ1204">
        <f>IF($A1204="","",IF(BH1204=1,$B1204,BJ1203))</f>
        <v>0</v>
      </c>
      <c r="BK1204">
        <f>IF($A1204="","",IF(BH1204=1,$C1204,MAX($C1204,BK1203)))</f>
        <v>0</v>
      </c>
      <c r="BL1204">
        <f>IF($A1204="","",IF(BH1204=1,$D1204,MIN($D1204,BL1203)))</f>
        <v>0</v>
      </c>
      <c r="BM1204">
        <f>IF($A1204="","",IF(BI1204=1,F1204,""))</f>
        <v>0</v>
      </c>
      <c r="BN1204">
        <f>IF($A1204="","",DATE(YEAR($A1204),MONTH($A1204),1))</f>
        <v>0</v>
      </c>
      <c r="BO1204">
        <f>IF($A1204="","",IF($A1203="",1,IF(BN1204&lt;&gt;BN1203,1,0)))</f>
        <v>0</v>
      </c>
      <c r="BP1204">
        <f>IF($A1204="","",IF($A1205="",1,IF(BN1205&lt;&gt;BN1204,1,0)))</f>
        <v>0</v>
      </c>
      <c r="BQ1204">
        <f>IF($A1204="","",IF(BO1204=1,$B1204,BQ1203))</f>
        <v>0</v>
      </c>
      <c r="BR1204">
        <f>IF($A1204="","",IF(BO1204=1,$C1204,MAX($C1204,BR1203)))</f>
        <v>0</v>
      </c>
      <c r="BS1204">
        <f>IF($A1204="","",IF(BO1204=1,$D1204,MIN($D1204,BS1203)))</f>
        <v>0</v>
      </c>
      <c r="BT1204">
        <f>IF($A1204="","",IF(BP1204=1,F1204,""))</f>
        <v>0</v>
      </c>
    </row>
    <row r="1205" spans="1:72">
      <c r="A1205" s="27">
        <f>IF(Data!$A1205="","",Data!$A1205)</f>
        <v>0</v>
      </c>
      <c r="B1205">
        <f>IF(Data!$B1205="","",Data!$B1205)</f>
        <v>0</v>
      </c>
      <c r="C1205">
        <f>IF(Data!$C1205="","",Data!$C1205)</f>
        <v>0</v>
      </c>
      <c r="D1205">
        <f>IF(Data!$D1205="","",Data!$D1205)</f>
        <v>0</v>
      </c>
      <c r="E1205">
        <f>IF(Data!$E1205="","",Data!$E1205)</f>
        <v>0</v>
      </c>
      <c r="F1205">
        <f>IF($E1205="","",N(F1204)+1)</f>
        <v>0</v>
      </c>
      <c r="G1205">
        <f>IF(OR($E1205="",$E1204=""),"",LN($E1205/$E1204))</f>
        <v>0</v>
      </c>
      <c r="H1205">
        <f>IF($E1205="","",IF($E1204="",$E1205,$E1205*0.0952380952+H1204*0.9047619048))</f>
        <v>0</v>
      </c>
      <c r="I1205">
        <f>IF($E1205="","",IF($E1204="",$E1205,$E1205*0.0392156863+I1204*0.9607843137))</f>
        <v>0</v>
      </c>
      <c r="J1205">
        <f>IF($E1205="","",IF($E1204="",$E1205,$E1205*0.0198019802+J1204*0.9801980198))</f>
        <v>0</v>
      </c>
      <c r="K1205">
        <f>IF($E1205="","",IF($E1204="",$E1205,$E1205*0.0099502488+K1204*0.9900497512))</f>
        <v>0</v>
      </c>
      <c r="L1205">
        <f>IF(OR($E1205="",$E1204=""),"",MAX($E1205-$E1204,0))</f>
        <v>0</v>
      </c>
      <c r="M1205">
        <f>IF(OR($E1205="",$E1204=""),"",MAX($E1204-$E1205,0))</f>
        <v>0</v>
      </c>
      <c r="N1205">
        <f>IF(COUNT($E$2:$E1205)&lt;15,"",IF(AVERAGE($M$1192:$M$1205)=0,100,100-100/(1+AVERAGE($L$1192:$L$1205)/AVERAGE($M$1192:$M$1205))))</f>
        <v>0</v>
      </c>
      <c r="O1205">
        <f>IF($E1205="","",IF($E1204="",$E1205,$E1205*0.1538461538+O1204*0.8461538462))</f>
        <v>0</v>
      </c>
      <c r="P1205">
        <f>IF($E1205="","",IF($E1204="",$E1205,$E1205*0.0740740741+P1204*0.9259259259))</f>
        <v>0</v>
      </c>
      <c r="Q1205">
        <f>IF(OR(O1205="",P1205=""),"",O1205-P1205)</f>
        <v>0</v>
      </c>
      <c r="R1205">
        <f>IF(Q1205="","",IF(R1204="",Q1205,Q1205*0.2000000000+R1204*0.8000000000))</f>
        <v>0</v>
      </c>
      <c r="S1205">
        <f>IF(OR(Q1205="",R1205=""),"",Q1205-R1205)</f>
        <v>0</v>
      </c>
      <c r="T1205">
        <f>IF(COUNT($E$2:$E1205)&lt;14,"",MAX($C$1192:$C$1205))</f>
        <v>0</v>
      </c>
      <c r="U1205">
        <f>IF(COUNT($E$2:$E1205)&lt;14,"",MIN($D$1192:$D$1205))</f>
        <v>0</v>
      </c>
      <c r="V1205">
        <f>IF(OR(T1205="",U1205="",T1205=U1205),"",100*($E1205-U1205)/(T1205-U1205))</f>
        <v>0</v>
      </c>
      <c r="W1205">
        <f>IF(COUNT($V$1203:$V$1205)&lt;3,"",AVERAGE($V$1203:$V$1205))</f>
        <v>0</v>
      </c>
      <c r="X1205">
        <f>IF(COUNT($N$1192:$N$1205)&lt;14,"",MIN($N$1192:$N$1205))</f>
        <v>0</v>
      </c>
      <c r="Y1205">
        <f>IF(COUNT($N$1192:$N$1205)&lt;14,"",MAX($N$1192:$N$1205))</f>
        <v>0</v>
      </c>
      <c r="Z1205">
        <f>IF(OR(N1205="",X1205="",Y1205="",Y1205=X1205),"",100*(N1205-X1205)/(Y1205-X1205))</f>
        <v>0</v>
      </c>
      <c r="AA1205">
        <f>IF(COUNT($Z$1203:$Z$1205)&lt;3,"",AVERAGE($Z$1203:$Z$1205))</f>
        <v>0</v>
      </c>
      <c r="AB1205">
        <f>IF(COUNT($AA$1203:$AA$1205)&lt;3,"",AVERAGE($AA$1203:$AA$1205))</f>
        <v>0</v>
      </c>
      <c r="AC1205">
        <f>IF($E1205="","",MAX($C1205-$D1205,ABS($C1205-$E1204),ABS($D1205-$E1204)))</f>
        <v>0</v>
      </c>
      <c r="AD1205">
        <f>IF(COUNT($E$2:$E1205)&lt;15,"",AVERAGE($AC$1192:$AC$1205))</f>
        <v>0</v>
      </c>
      <c r="AE1205">
        <f>IF(OR($E1205="",$E1204=""),"",IF(AND(($C1205-$C1204)&gt;($D1204-$D1205),($C1205-$C1204)&gt;0),$C1205-$C1204,0))</f>
        <v>0</v>
      </c>
      <c r="AF1205">
        <f>IF(OR($E1205="",$E1204=""),"",IF(AND(($D1204-$D1205)&gt;($C1205-$C1204),($D1204-$D1205)&gt;0),$D1204-$D1205,0))</f>
        <v>0</v>
      </c>
      <c r="AG1205">
        <f>IF(COUNT($E$2:$E1205)&lt;15,"",IF(SUM($AC$1192:$AC$1205)=0,0,100*SUM($AE$1192:$AE$1205)/SUM($AC$1192:$AC$1205)))</f>
        <v>0</v>
      </c>
      <c r="AH1205">
        <f>IF(COUNT($E$2:$E1205)&lt;15,"",IF(SUM($AC$1192:$AC$1205)=0,0,100*SUM($AF$1192:$AF$1205)/SUM($AC$1192:$AC$1205)))</f>
        <v>0</v>
      </c>
      <c r="AI1205">
        <f>IF(OR(AG1205="",AH1205=""),"",IF((AG1205+AH1205)=0,0,100*ABS(AG1205-AH1205)/(AG1205+AH1205)))</f>
        <v>0</v>
      </c>
      <c r="AJ1205">
        <f>IF(COUNT($AI$1192:$AI$1205)&lt;14,"",AVERAGE($AI$1192:$AI$1205))</f>
        <v>0</v>
      </c>
      <c r="AK1205">
        <f>IF(COUNT($E$2:$E1205)&lt;20,"",AVERAGE($E$1186:$E$1205))</f>
        <v>0</v>
      </c>
      <c r="AL1205">
        <f>IF(COUNT($E$2:$E1205)&lt;20,"",STDEVP($E$1186:$E$1205))</f>
        <v>0</v>
      </c>
      <c r="AM1205">
        <f>IF(AK1205="","",AK1205+2*AL1205)</f>
        <v>0</v>
      </c>
      <c r="AN1205">
        <f>IF(AK1205="","",AK1205-2*AL1205)</f>
        <v>0</v>
      </c>
      <c r="AO1205">
        <f>IF(OR(AM1205="",AN1205="",AM1205=AN1205),"",($E1205-AN1205)/(AM1205-AN1205))</f>
        <v>0</v>
      </c>
      <c r="AP1205">
        <f>IF(OR(AM1205="",AK1205="",AK1205=0),"",(AM1205-AN1205)/AK1205)</f>
        <v>0</v>
      </c>
      <c r="AQ1205">
        <f>IF(COUNT($E$2:$E1205)&lt;20,"",MAX($C$1186:$C$1205))</f>
        <v>0</v>
      </c>
      <c r="AR1205">
        <f>IF(COUNT($E$2:$E1205)&lt;20,"",MIN($D$1186:$D$1205))</f>
        <v>0</v>
      </c>
      <c r="AS1205">
        <f>IF(OR(AQ1205="",AR1205=""),"",(AQ1205+AR1205)/2)</f>
        <v>0</v>
      </c>
      <c r="AT1205">
        <f>IF(COUNT($G$1186:$G$1205)&lt;20,"",STDEV($G$1186:$G$1205)*SQRT(252))</f>
        <v>0</v>
      </c>
      <c r="AU1205">
        <f>IF(COUNT($E$2:$E1205)&lt;9,"",(MAX($C$1197:$C$1205)+MIN($D$1197:$D$1205))/2)</f>
        <v>0</v>
      </c>
      <c r="AV1205">
        <f>IF(COUNT($E$2:$E1205)&lt;26,"",(MAX($C$1180:$C$1205)+MIN($D$1180:$D$1205))/2)</f>
        <v>0</v>
      </c>
      <c r="AW1205">
        <f>IF(OR(AU1205="",AV1205=""),"",(AU1205+AV1205)/2)</f>
        <v>0</v>
      </c>
      <c r="AX1205">
        <f>IF(COUNT($E$2:$E1205)&lt;52,"",(MAX($C$1154:$C$1205)+MIN($D$1154:$D$1205))/2)</f>
        <v>0</v>
      </c>
      <c r="AY1205">
        <f>IF(COUNT($E$2:$E1205)&lt;20,"",MAX($C$1106:$C$1205))</f>
        <v>0</v>
      </c>
      <c r="AZ1205">
        <f>IF(COUNT($E$2:$E1205)&lt;20,"",MIN($D$1106:$D$1205))</f>
        <v>0</v>
      </c>
      <c r="BA1205">
        <f>IF(COUNT($E$2:$E1205)&lt;20,"",SLOPE($E$1106:$E$1205,$F$1106:$F$1205))</f>
        <v>0</v>
      </c>
      <c r="BB1205">
        <f>IF(COUNT($E$2:$E1205)&lt;20,"",INTERCEPT($E$1106:$E$1205,$F$1106:$F$1205))</f>
        <v>0</v>
      </c>
      <c r="BC1205">
        <f>IF(OR(BA1205="",BB1205=""),"",BB1205+BA1205*F1205)</f>
        <v>0</v>
      </c>
      <c r="BD1205">
        <f>IF(COUNT($E$2:$E1205)&lt;20,"",STEYX($E$1106:$E$1205,$F$1106:$F$1205))</f>
        <v>0</v>
      </c>
      <c r="BE1205">
        <f>IF($E1205="","",IF(AND(COUNT($E$1206:$E$1209)&gt;=4,$C1205=MAX($C$1201:$C$1209)),$C1205,""))</f>
        <v>0</v>
      </c>
      <c r="BF1205">
        <f>IF($E1205="","",IF(AND(COUNT($E$1206:$E$1209)&gt;=4,$D1205=MIN($D$1201:$D$1209)),$D1205,""))</f>
        <v>0</v>
      </c>
      <c r="BG1205">
        <f>IF($A1205="","",$A1205-WEEKDAY($A1205,2)+1)</f>
        <v>0</v>
      </c>
      <c r="BH1205">
        <f>IF($A1205="","",IF($A1204="",1,IF(BG1205&lt;&gt;BG1204,1,0)))</f>
        <v>0</v>
      </c>
      <c r="BI1205">
        <f>IF($A1205="","",IF($A1206="",1,IF(BG1206&lt;&gt;BG1205,1,0)))</f>
        <v>0</v>
      </c>
      <c r="BJ1205">
        <f>IF($A1205="","",IF(BH1205=1,$B1205,BJ1204))</f>
        <v>0</v>
      </c>
      <c r="BK1205">
        <f>IF($A1205="","",IF(BH1205=1,$C1205,MAX($C1205,BK1204)))</f>
        <v>0</v>
      </c>
      <c r="BL1205">
        <f>IF($A1205="","",IF(BH1205=1,$D1205,MIN($D1205,BL1204)))</f>
        <v>0</v>
      </c>
      <c r="BM1205">
        <f>IF($A1205="","",IF(BI1205=1,F1205,""))</f>
        <v>0</v>
      </c>
      <c r="BN1205">
        <f>IF($A1205="","",DATE(YEAR($A1205),MONTH($A1205),1))</f>
        <v>0</v>
      </c>
      <c r="BO1205">
        <f>IF($A1205="","",IF($A1204="",1,IF(BN1205&lt;&gt;BN1204,1,0)))</f>
        <v>0</v>
      </c>
      <c r="BP1205">
        <f>IF($A1205="","",IF($A1206="",1,IF(BN1206&lt;&gt;BN1205,1,0)))</f>
        <v>0</v>
      </c>
      <c r="BQ1205">
        <f>IF($A1205="","",IF(BO1205=1,$B1205,BQ1204))</f>
        <v>0</v>
      </c>
      <c r="BR1205">
        <f>IF($A1205="","",IF(BO1205=1,$C1205,MAX($C1205,BR1204)))</f>
        <v>0</v>
      </c>
      <c r="BS1205">
        <f>IF($A1205="","",IF(BO1205=1,$D1205,MIN($D1205,BS1204)))</f>
        <v>0</v>
      </c>
      <c r="BT1205">
        <f>IF($A1205="","",IF(BP1205=1,F1205,""))</f>
        <v>0</v>
      </c>
    </row>
    <row r="1206" spans="1:72">
      <c r="A1206" s="27">
        <f>IF(Data!$A1206="","",Data!$A1206)</f>
        <v>0</v>
      </c>
      <c r="B1206">
        <f>IF(Data!$B1206="","",Data!$B1206)</f>
        <v>0</v>
      </c>
      <c r="C1206">
        <f>IF(Data!$C1206="","",Data!$C1206)</f>
        <v>0</v>
      </c>
      <c r="D1206">
        <f>IF(Data!$D1206="","",Data!$D1206)</f>
        <v>0</v>
      </c>
      <c r="E1206">
        <f>IF(Data!$E1206="","",Data!$E1206)</f>
        <v>0</v>
      </c>
      <c r="F1206">
        <f>IF($E1206="","",N(F1205)+1)</f>
        <v>0</v>
      </c>
      <c r="G1206">
        <f>IF(OR($E1206="",$E1205=""),"",LN($E1206/$E1205))</f>
        <v>0</v>
      </c>
      <c r="H1206">
        <f>IF($E1206="","",IF($E1205="",$E1206,$E1206*0.0952380952+H1205*0.9047619048))</f>
        <v>0</v>
      </c>
      <c r="I1206">
        <f>IF($E1206="","",IF($E1205="",$E1206,$E1206*0.0392156863+I1205*0.9607843137))</f>
        <v>0</v>
      </c>
      <c r="J1206">
        <f>IF($E1206="","",IF($E1205="",$E1206,$E1206*0.0198019802+J1205*0.9801980198))</f>
        <v>0</v>
      </c>
      <c r="K1206">
        <f>IF($E1206="","",IF($E1205="",$E1206,$E1206*0.0099502488+K1205*0.9900497512))</f>
        <v>0</v>
      </c>
      <c r="L1206">
        <f>IF(OR($E1206="",$E1205=""),"",MAX($E1206-$E1205,0))</f>
        <v>0</v>
      </c>
      <c r="M1206">
        <f>IF(OR($E1206="",$E1205=""),"",MAX($E1205-$E1206,0))</f>
        <v>0</v>
      </c>
      <c r="N1206">
        <f>IF(COUNT($E$2:$E1206)&lt;15,"",IF(AVERAGE($M$1193:$M$1206)=0,100,100-100/(1+AVERAGE($L$1193:$L$1206)/AVERAGE($M$1193:$M$1206))))</f>
        <v>0</v>
      </c>
      <c r="O1206">
        <f>IF($E1206="","",IF($E1205="",$E1206,$E1206*0.1538461538+O1205*0.8461538462))</f>
        <v>0</v>
      </c>
      <c r="P1206">
        <f>IF($E1206="","",IF($E1205="",$E1206,$E1206*0.0740740741+P1205*0.9259259259))</f>
        <v>0</v>
      </c>
      <c r="Q1206">
        <f>IF(OR(O1206="",P1206=""),"",O1206-P1206)</f>
        <v>0</v>
      </c>
      <c r="R1206">
        <f>IF(Q1206="","",IF(R1205="",Q1206,Q1206*0.2000000000+R1205*0.8000000000))</f>
        <v>0</v>
      </c>
      <c r="S1206">
        <f>IF(OR(Q1206="",R1206=""),"",Q1206-R1206)</f>
        <v>0</v>
      </c>
      <c r="T1206">
        <f>IF(COUNT($E$2:$E1206)&lt;14,"",MAX($C$1193:$C$1206))</f>
        <v>0</v>
      </c>
      <c r="U1206">
        <f>IF(COUNT($E$2:$E1206)&lt;14,"",MIN($D$1193:$D$1206))</f>
        <v>0</v>
      </c>
      <c r="V1206">
        <f>IF(OR(T1206="",U1206="",T1206=U1206),"",100*($E1206-U1206)/(T1206-U1206))</f>
        <v>0</v>
      </c>
      <c r="W1206">
        <f>IF(COUNT($V$1204:$V$1206)&lt;3,"",AVERAGE($V$1204:$V$1206))</f>
        <v>0</v>
      </c>
      <c r="X1206">
        <f>IF(COUNT($N$1193:$N$1206)&lt;14,"",MIN($N$1193:$N$1206))</f>
        <v>0</v>
      </c>
      <c r="Y1206">
        <f>IF(COUNT($N$1193:$N$1206)&lt;14,"",MAX($N$1193:$N$1206))</f>
        <v>0</v>
      </c>
      <c r="Z1206">
        <f>IF(OR(N1206="",X1206="",Y1206="",Y1206=X1206),"",100*(N1206-X1206)/(Y1206-X1206))</f>
        <v>0</v>
      </c>
      <c r="AA1206">
        <f>IF(COUNT($Z$1204:$Z$1206)&lt;3,"",AVERAGE($Z$1204:$Z$1206))</f>
        <v>0</v>
      </c>
      <c r="AB1206">
        <f>IF(COUNT($AA$1204:$AA$1206)&lt;3,"",AVERAGE($AA$1204:$AA$1206))</f>
        <v>0</v>
      </c>
      <c r="AC1206">
        <f>IF($E1206="","",MAX($C1206-$D1206,ABS($C1206-$E1205),ABS($D1206-$E1205)))</f>
        <v>0</v>
      </c>
      <c r="AD1206">
        <f>IF(COUNT($E$2:$E1206)&lt;15,"",AVERAGE($AC$1193:$AC$1206))</f>
        <v>0</v>
      </c>
      <c r="AE1206">
        <f>IF(OR($E1206="",$E1205=""),"",IF(AND(($C1206-$C1205)&gt;($D1205-$D1206),($C1206-$C1205)&gt;0),$C1206-$C1205,0))</f>
        <v>0</v>
      </c>
      <c r="AF1206">
        <f>IF(OR($E1206="",$E1205=""),"",IF(AND(($D1205-$D1206)&gt;($C1206-$C1205),($D1205-$D1206)&gt;0),$D1205-$D1206,0))</f>
        <v>0</v>
      </c>
      <c r="AG1206">
        <f>IF(COUNT($E$2:$E1206)&lt;15,"",IF(SUM($AC$1193:$AC$1206)=0,0,100*SUM($AE$1193:$AE$1206)/SUM($AC$1193:$AC$1206)))</f>
        <v>0</v>
      </c>
      <c r="AH1206">
        <f>IF(COUNT($E$2:$E1206)&lt;15,"",IF(SUM($AC$1193:$AC$1206)=0,0,100*SUM($AF$1193:$AF$1206)/SUM($AC$1193:$AC$1206)))</f>
        <v>0</v>
      </c>
      <c r="AI1206">
        <f>IF(OR(AG1206="",AH1206=""),"",IF((AG1206+AH1206)=0,0,100*ABS(AG1206-AH1206)/(AG1206+AH1206)))</f>
        <v>0</v>
      </c>
      <c r="AJ1206">
        <f>IF(COUNT($AI$1193:$AI$1206)&lt;14,"",AVERAGE($AI$1193:$AI$1206))</f>
        <v>0</v>
      </c>
      <c r="AK1206">
        <f>IF(COUNT($E$2:$E1206)&lt;20,"",AVERAGE($E$1187:$E$1206))</f>
        <v>0</v>
      </c>
      <c r="AL1206">
        <f>IF(COUNT($E$2:$E1206)&lt;20,"",STDEVP($E$1187:$E$1206))</f>
        <v>0</v>
      </c>
      <c r="AM1206">
        <f>IF(AK1206="","",AK1206+2*AL1206)</f>
        <v>0</v>
      </c>
      <c r="AN1206">
        <f>IF(AK1206="","",AK1206-2*AL1206)</f>
        <v>0</v>
      </c>
      <c r="AO1206">
        <f>IF(OR(AM1206="",AN1206="",AM1206=AN1206),"",($E1206-AN1206)/(AM1206-AN1206))</f>
        <v>0</v>
      </c>
      <c r="AP1206">
        <f>IF(OR(AM1206="",AK1206="",AK1206=0),"",(AM1206-AN1206)/AK1206)</f>
        <v>0</v>
      </c>
      <c r="AQ1206">
        <f>IF(COUNT($E$2:$E1206)&lt;20,"",MAX($C$1187:$C$1206))</f>
        <v>0</v>
      </c>
      <c r="AR1206">
        <f>IF(COUNT($E$2:$E1206)&lt;20,"",MIN($D$1187:$D$1206))</f>
        <v>0</v>
      </c>
      <c r="AS1206">
        <f>IF(OR(AQ1206="",AR1206=""),"",(AQ1206+AR1206)/2)</f>
        <v>0</v>
      </c>
      <c r="AT1206">
        <f>IF(COUNT($G$1187:$G$1206)&lt;20,"",STDEV($G$1187:$G$1206)*SQRT(252))</f>
        <v>0</v>
      </c>
      <c r="AU1206">
        <f>IF(COUNT($E$2:$E1206)&lt;9,"",(MAX($C$1198:$C$1206)+MIN($D$1198:$D$1206))/2)</f>
        <v>0</v>
      </c>
      <c r="AV1206">
        <f>IF(COUNT($E$2:$E1206)&lt;26,"",(MAX($C$1181:$C$1206)+MIN($D$1181:$D$1206))/2)</f>
        <v>0</v>
      </c>
      <c r="AW1206">
        <f>IF(OR(AU1206="",AV1206=""),"",(AU1206+AV1206)/2)</f>
        <v>0</v>
      </c>
      <c r="AX1206">
        <f>IF(COUNT($E$2:$E1206)&lt;52,"",(MAX($C$1155:$C$1206)+MIN($D$1155:$D$1206))/2)</f>
        <v>0</v>
      </c>
      <c r="AY1206">
        <f>IF(COUNT($E$2:$E1206)&lt;20,"",MAX($C$1107:$C$1206))</f>
        <v>0</v>
      </c>
      <c r="AZ1206">
        <f>IF(COUNT($E$2:$E1206)&lt;20,"",MIN($D$1107:$D$1206))</f>
        <v>0</v>
      </c>
      <c r="BA1206">
        <f>IF(COUNT($E$2:$E1206)&lt;20,"",SLOPE($E$1107:$E$1206,$F$1107:$F$1206))</f>
        <v>0</v>
      </c>
      <c r="BB1206">
        <f>IF(COUNT($E$2:$E1206)&lt;20,"",INTERCEPT($E$1107:$E$1206,$F$1107:$F$1206))</f>
        <v>0</v>
      </c>
      <c r="BC1206">
        <f>IF(OR(BA1206="",BB1206=""),"",BB1206+BA1206*F1206)</f>
        <v>0</v>
      </c>
      <c r="BD1206">
        <f>IF(COUNT($E$2:$E1206)&lt;20,"",STEYX($E$1107:$E$1206,$F$1107:$F$1206))</f>
        <v>0</v>
      </c>
      <c r="BE1206">
        <f>IF($E1206="","",IF(AND(COUNT($E$1207:$E$1210)&gt;=4,$C1206=MAX($C$1202:$C$1210)),$C1206,""))</f>
        <v>0</v>
      </c>
      <c r="BF1206">
        <f>IF($E1206="","",IF(AND(COUNT($E$1207:$E$1210)&gt;=4,$D1206=MIN($D$1202:$D$1210)),$D1206,""))</f>
        <v>0</v>
      </c>
      <c r="BG1206">
        <f>IF($A1206="","",$A1206-WEEKDAY($A1206,2)+1)</f>
        <v>0</v>
      </c>
      <c r="BH1206">
        <f>IF($A1206="","",IF($A1205="",1,IF(BG1206&lt;&gt;BG1205,1,0)))</f>
        <v>0</v>
      </c>
      <c r="BI1206">
        <f>IF($A1206="","",IF($A1207="",1,IF(BG1207&lt;&gt;BG1206,1,0)))</f>
        <v>0</v>
      </c>
      <c r="BJ1206">
        <f>IF($A1206="","",IF(BH1206=1,$B1206,BJ1205))</f>
        <v>0</v>
      </c>
      <c r="BK1206">
        <f>IF($A1206="","",IF(BH1206=1,$C1206,MAX($C1206,BK1205)))</f>
        <v>0</v>
      </c>
      <c r="BL1206">
        <f>IF($A1206="","",IF(BH1206=1,$D1206,MIN($D1206,BL1205)))</f>
        <v>0</v>
      </c>
      <c r="BM1206">
        <f>IF($A1206="","",IF(BI1206=1,F1206,""))</f>
        <v>0</v>
      </c>
      <c r="BN1206">
        <f>IF($A1206="","",DATE(YEAR($A1206),MONTH($A1206),1))</f>
        <v>0</v>
      </c>
      <c r="BO1206">
        <f>IF($A1206="","",IF($A1205="",1,IF(BN1206&lt;&gt;BN1205,1,0)))</f>
        <v>0</v>
      </c>
      <c r="BP1206">
        <f>IF($A1206="","",IF($A1207="",1,IF(BN1207&lt;&gt;BN1206,1,0)))</f>
        <v>0</v>
      </c>
      <c r="BQ1206">
        <f>IF($A1206="","",IF(BO1206=1,$B1206,BQ1205))</f>
        <v>0</v>
      </c>
      <c r="BR1206">
        <f>IF($A1206="","",IF(BO1206=1,$C1206,MAX($C1206,BR1205)))</f>
        <v>0</v>
      </c>
      <c r="BS1206">
        <f>IF($A1206="","",IF(BO1206=1,$D1206,MIN($D1206,BS1205)))</f>
        <v>0</v>
      </c>
      <c r="BT1206">
        <f>IF($A1206="","",IF(BP1206=1,F1206,""))</f>
        <v>0</v>
      </c>
    </row>
    <row r="1207" spans="1:72">
      <c r="A1207" s="27">
        <f>IF(Data!$A1207="","",Data!$A1207)</f>
        <v>0</v>
      </c>
      <c r="B1207">
        <f>IF(Data!$B1207="","",Data!$B1207)</f>
        <v>0</v>
      </c>
      <c r="C1207">
        <f>IF(Data!$C1207="","",Data!$C1207)</f>
        <v>0</v>
      </c>
      <c r="D1207">
        <f>IF(Data!$D1207="","",Data!$D1207)</f>
        <v>0</v>
      </c>
      <c r="E1207">
        <f>IF(Data!$E1207="","",Data!$E1207)</f>
        <v>0</v>
      </c>
      <c r="F1207">
        <f>IF($E1207="","",N(F1206)+1)</f>
        <v>0</v>
      </c>
      <c r="G1207">
        <f>IF(OR($E1207="",$E1206=""),"",LN($E1207/$E1206))</f>
        <v>0</v>
      </c>
      <c r="H1207">
        <f>IF($E1207="","",IF($E1206="",$E1207,$E1207*0.0952380952+H1206*0.9047619048))</f>
        <v>0</v>
      </c>
      <c r="I1207">
        <f>IF($E1207="","",IF($E1206="",$E1207,$E1207*0.0392156863+I1206*0.9607843137))</f>
        <v>0</v>
      </c>
      <c r="J1207">
        <f>IF($E1207="","",IF($E1206="",$E1207,$E1207*0.0198019802+J1206*0.9801980198))</f>
        <v>0</v>
      </c>
      <c r="K1207">
        <f>IF($E1207="","",IF($E1206="",$E1207,$E1207*0.0099502488+K1206*0.9900497512))</f>
        <v>0</v>
      </c>
      <c r="L1207">
        <f>IF(OR($E1207="",$E1206=""),"",MAX($E1207-$E1206,0))</f>
        <v>0</v>
      </c>
      <c r="M1207">
        <f>IF(OR($E1207="",$E1206=""),"",MAX($E1206-$E1207,0))</f>
        <v>0</v>
      </c>
      <c r="N1207">
        <f>IF(COUNT($E$2:$E1207)&lt;15,"",IF(AVERAGE($M$1194:$M$1207)=0,100,100-100/(1+AVERAGE($L$1194:$L$1207)/AVERAGE($M$1194:$M$1207))))</f>
        <v>0</v>
      </c>
      <c r="O1207">
        <f>IF($E1207="","",IF($E1206="",$E1207,$E1207*0.1538461538+O1206*0.8461538462))</f>
        <v>0</v>
      </c>
      <c r="P1207">
        <f>IF($E1207="","",IF($E1206="",$E1207,$E1207*0.0740740741+P1206*0.9259259259))</f>
        <v>0</v>
      </c>
      <c r="Q1207">
        <f>IF(OR(O1207="",P1207=""),"",O1207-P1207)</f>
        <v>0</v>
      </c>
      <c r="R1207">
        <f>IF(Q1207="","",IF(R1206="",Q1207,Q1207*0.2000000000+R1206*0.8000000000))</f>
        <v>0</v>
      </c>
      <c r="S1207">
        <f>IF(OR(Q1207="",R1207=""),"",Q1207-R1207)</f>
        <v>0</v>
      </c>
      <c r="T1207">
        <f>IF(COUNT($E$2:$E1207)&lt;14,"",MAX($C$1194:$C$1207))</f>
        <v>0</v>
      </c>
      <c r="U1207">
        <f>IF(COUNT($E$2:$E1207)&lt;14,"",MIN($D$1194:$D$1207))</f>
        <v>0</v>
      </c>
      <c r="V1207">
        <f>IF(OR(T1207="",U1207="",T1207=U1207),"",100*($E1207-U1207)/(T1207-U1207))</f>
        <v>0</v>
      </c>
      <c r="W1207">
        <f>IF(COUNT($V$1205:$V$1207)&lt;3,"",AVERAGE($V$1205:$V$1207))</f>
        <v>0</v>
      </c>
      <c r="X1207">
        <f>IF(COUNT($N$1194:$N$1207)&lt;14,"",MIN($N$1194:$N$1207))</f>
        <v>0</v>
      </c>
      <c r="Y1207">
        <f>IF(COUNT($N$1194:$N$1207)&lt;14,"",MAX($N$1194:$N$1207))</f>
        <v>0</v>
      </c>
      <c r="Z1207">
        <f>IF(OR(N1207="",X1207="",Y1207="",Y1207=X1207),"",100*(N1207-X1207)/(Y1207-X1207))</f>
        <v>0</v>
      </c>
      <c r="AA1207">
        <f>IF(COUNT($Z$1205:$Z$1207)&lt;3,"",AVERAGE($Z$1205:$Z$1207))</f>
        <v>0</v>
      </c>
      <c r="AB1207">
        <f>IF(COUNT($AA$1205:$AA$1207)&lt;3,"",AVERAGE($AA$1205:$AA$1207))</f>
        <v>0</v>
      </c>
      <c r="AC1207">
        <f>IF($E1207="","",MAX($C1207-$D1207,ABS($C1207-$E1206),ABS($D1207-$E1206)))</f>
        <v>0</v>
      </c>
      <c r="AD1207">
        <f>IF(COUNT($E$2:$E1207)&lt;15,"",AVERAGE($AC$1194:$AC$1207))</f>
        <v>0</v>
      </c>
      <c r="AE1207">
        <f>IF(OR($E1207="",$E1206=""),"",IF(AND(($C1207-$C1206)&gt;($D1206-$D1207),($C1207-$C1206)&gt;0),$C1207-$C1206,0))</f>
        <v>0</v>
      </c>
      <c r="AF1207">
        <f>IF(OR($E1207="",$E1206=""),"",IF(AND(($D1206-$D1207)&gt;($C1207-$C1206),($D1206-$D1207)&gt;0),$D1206-$D1207,0))</f>
        <v>0</v>
      </c>
      <c r="AG1207">
        <f>IF(COUNT($E$2:$E1207)&lt;15,"",IF(SUM($AC$1194:$AC$1207)=0,0,100*SUM($AE$1194:$AE$1207)/SUM($AC$1194:$AC$1207)))</f>
        <v>0</v>
      </c>
      <c r="AH1207">
        <f>IF(COUNT($E$2:$E1207)&lt;15,"",IF(SUM($AC$1194:$AC$1207)=0,0,100*SUM($AF$1194:$AF$1207)/SUM($AC$1194:$AC$1207)))</f>
        <v>0</v>
      </c>
      <c r="AI1207">
        <f>IF(OR(AG1207="",AH1207=""),"",IF((AG1207+AH1207)=0,0,100*ABS(AG1207-AH1207)/(AG1207+AH1207)))</f>
        <v>0</v>
      </c>
      <c r="AJ1207">
        <f>IF(COUNT($AI$1194:$AI$1207)&lt;14,"",AVERAGE($AI$1194:$AI$1207))</f>
        <v>0</v>
      </c>
      <c r="AK1207">
        <f>IF(COUNT($E$2:$E1207)&lt;20,"",AVERAGE($E$1188:$E$1207))</f>
        <v>0</v>
      </c>
      <c r="AL1207">
        <f>IF(COUNT($E$2:$E1207)&lt;20,"",STDEVP($E$1188:$E$1207))</f>
        <v>0</v>
      </c>
      <c r="AM1207">
        <f>IF(AK1207="","",AK1207+2*AL1207)</f>
        <v>0</v>
      </c>
      <c r="AN1207">
        <f>IF(AK1207="","",AK1207-2*AL1207)</f>
        <v>0</v>
      </c>
      <c r="AO1207">
        <f>IF(OR(AM1207="",AN1207="",AM1207=AN1207),"",($E1207-AN1207)/(AM1207-AN1207))</f>
        <v>0</v>
      </c>
      <c r="AP1207">
        <f>IF(OR(AM1207="",AK1207="",AK1207=0),"",(AM1207-AN1207)/AK1207)</f>
        <v>0</v>
      </c>
      <c r="AQ1207">
        <f>IF(COUNT($E$2:$E1207)&lt;20,"",MAX($C$1188:$C$1207))</f>
        <v>0</v>
      </c>
      <c r="AR1207">
        <f>IF(COUNT($E$2:$E1207)&lt;20,"",MIN($D$1188:$D$1207))</f>
        <v>0</v>
      </c>
      <c r="AS1207">
        <f>IF(OR(AQ1207="",AR1207=""),"",(AQ1207+AR1207)/2)</f>
        <v>0</v>
      </c>
      <c r="AT1207">
        <f>IF(COUNT($G$1188:$G$1207)&lt;20,"",STDEV($G$1188:$G$1207)*SQRT(252))</f>
        <v>0</v>
      </c>
      <c r="AU1207">
        <f>IF(COUNT($E$2:$E1207)&lt;9,"",(MAX($C$1199:$C$1207)+MIN($D$1199:$D$1207))/2)</f>
        <v>0</v>
      </c>
      <c r="AV1207">
        <f>IF(COUNT($E$2:$E1207)&lt;26,"",(MAX($C$1182:$C$1207)+MIN($D$1182:$D$1207))/2)</f>
        <v>0</v>
      </c>
      <c r="AW1207">
        <f>IF(OR(AU1207="",AV1207=""),"",(AU1207+AV1207)/2)</f>
        <v>0</v>
      </c>
      <c r="AX1207">
        <f>IF(COUNT($E$2:$E1207)&lt;52,"",(MAX($C$1156:$C$1207)+MIN($D$1156:$D$1207))/2)</f>
        <v>0</v>
      </c>
      <c r="AY1207">
        <f>IF(COUNT($E$2:$E1207)&lt;20,"",MAX($C$1108:$C$1207))</f>
        <v>0</v>
      </c>
      <c r="AZ1207">
        <f>IF(COUNT($E$2:$E1207)&lt;20,"",MIN($D$1108:$D$1207))</f>
        <v>0</v>
      </c>
      <c r="BA1207">
        <f>IF(COUNT($E$2:$E1207)&lt;20,"",SLOPE($E$1108:$E$1207,$F$1108:$F$1207))</f>
        <v>0</v>
      </c>
      <c r="BB1207">
        <f>IF(COUNT($E$2:$E1207)&lt;20,"",INTERCEPT($E$1108:$E$1207,$F$1108:$F$1207))</f>
        <v>0</v>
      </c>
      <c r="BC1207">
        <f>IF(OR(BA1207="",BB1207=""),"",BB1207+BA1207*F1207)</f>
        <v>0</v>
      </c>
      <c r="BD1207">
        <f>IF(COUNT($E$2:$E1207)&lt;20,"",STEYX($E$1108:$E$1207,$F$1108:$F$1207))</f>
        <v>0</v>
      </c>
      <c r="BE1207">
        <f>IF($E1207="","",IF(AND(COUNT($E$1208:$E$1211)&gt;=4,$C1207=MAX($C$1203:$C$1211)),$C1207,""))</f>
        <v>0</v>
      </c>
      <c r="BF1207">
        <f>IF($E1207="","",IF(AND(COUNT($E$1208:$E$1211)&gt;=4,$D1207=MIN($D$1203:$D$1211)),$D1207,""))</f>
        <v>0</v>
      </c>
      <c r="BG1207">
        <f>IF($A1207="","",$A1207-WEEKDAY($A1207,2)+1)</f>
        <v>0</v>
      </c>
      <c r="BH1207">
        <f>IF($A1207="","",IF($A1206="",1,IF(BG1207&lt;&gt;BG1206,1,0)))</f>
        <v>0</v>
      </c>
      <c r="BI1207">
        <f>IF($A1207="","",IF($A1208="",1,IF(BG1208&lt;&gt;BG1207,1,0)))</f>
        <v>0</v>
      </c>
      <c r="BJ1207">
        <f>IF($A1207="","",IF(BH1207=1,$B1207,BJ1206))</f>
        <v>0</v>
      </c>
      <c r="BK1207">
        <f>IF($A1207="","",IF(BH1207=1,$C1207,MAX($C1207,BK1206)))</f>
        <v>0</v>
      </c>
      <c r="BL1207">
        <f>IF($A1207="","",IF(BH1207=1,$D1207,MIN($D1207,BL1206)))</f>
        <v>0</v>
      </c>
      <c r="BM1207">
        <f>IF($A1207="","",IF(BI1207=1,F1207,""))</f>
        <v>0</v>
      </c>
      <c r="BN1207">
        <f>IF($A1207="","",DATE(YEAR($A1207),MONTH($A1207),1))</f>
        <v>0</v>
      </c>
      <c r="BO1207">
        <f>IF($A1207="","",IF($A1206="",1,IF(BN1207&lt;&gt;BN1206,1,0)))</f>
        <v>0</v>
      </c>
      <c r="BP1207">
        <f>IF($A1207="","",IF($A1208="",1,IF(BN1208&lt;&gt;BN1207,1,0)))</f>
        <v>0</v>
      </c>
      <c r="BQ1207">
        <f>IF($A1207="","",IF(BO1207=1,$B1207,BQ1206))</f>
        <v>0</v>
      </c>
      <c r="BR1207">
        <f>IF($A1207="","",IF(BO1207=1,$C1207,MAX($C1207,BR1206)))</f>
        <v>0</v>
      </c>
      <c r="BS1207">
        <f>IF($A1207="","",IF(BO1207=1,$D1207,MIN($D1207,BS1206)))</f>
        <v>0</v>
      </c>
      <c r="BT1207">
        <f>IF($A1207="","",IF(BP1207=1,F1207,""))</f>
        <v>0</v>
      </c>
    </row>
    <row r="1208" spans="1:72">
      <c r="A1208" s="27">
        <f>IF(Data!$A1208="","",Data!$A1208)</f>
        <v>0</v>
      </c>
      <c r="B1208">
        <f>IF(Data!$B1208="","",Data!$B1208)</f>
        <v>0</v>
      </c>
      <c r="C1208">
        <f>IF(Data!$C1208="","",Data!$C1208)</f>
        <v>0</v>
      </c>
      <c r="D1208">
        <f>IF(Data!$D1208="","",Data!$D1208)</f>
        <v>0</v>
      </c>
      <c r="E1208">
        <f>IF(Data!$E1208="","",Data!$E1208)</f>
        <v>0</v>
      </c>
      <c r="F1208">
        <f>IF($E1208="","",N(F1207)+1)</f>
        <v>0</v>
      </c>
      <c r="G1208">
        <f>IF(OR($E1208="",$E1207=""),"",LN($E1208/$E1207))</f>
        <v>0</v>
      </c>
      <c r="H1208">
        <f>IF($E1208="","",IF($E1207="",$E1208,$E1208*0.0952380952+H1207*0.9047619048))</f>
        <v>0</v>
      </c>
      <c r="I1208">
        <f>IF($E1208="","",IF($E1207="",$E1208,$E1208*0.0392156863+I1207*0.9607843137))</f>
        <v>0</v>
      </c>
      <c r="J1208">
        <f>IF($E1208="","",IF($E1207="",$E1208,$E1208*0.0198019802+J1207*0.9801980198))</f>
        <v>0</v>
      </c>
      <c r="K1208">
        <f>IF($E1208="","",IF($E1207="",$E1208,$E1208*0.0099502488+K1207*0.9900497512))</f>
        <v>0</v>
      </c>
      <c r="L1208">
        <f>IF(OR($E1208="",$E1207=""),"",MAX($E1208-$E1207,0))</f>
        <v>0</v>
      </c>
      <c r="M1208">
        <f>IF(OR($E1208="",$E1207=""),"",MAX($E1207-$E1208,0))</f>
        <v>0</v>
      </c>
      <c r="N1208">
        <f>IF(COUNT($E$2:$E1208)&lt;15,"",IF(AVERAGE($M$1195:$M$1208)=0,100,100-100/(1+AVERAGE($L$1195:$L$1208)/AVERAGE($M$1195:$M$1208))))</f>
        <v>0</v>
      </c>
      <c r="O1208">
        <f>IF($E1208="","",IF($E1207="",$E1208,$E1208*0.1538461538+O1207*0.8461538462))</f>
        <v>0</v>
      </c>
      <c r="P1208">
        <f>IF($E1208="","",IF($E1207="",$E1208,$E1208*0.0740740741+P1207*0.9259259259))</f>
        <v>0</v>
      </c>
      <c r="Q1208">
        <f>IF(OR(O1208="",P1208=""),"",O1208-P1208)</f>
        <v>0</v>
      </c>
      <c r="R1208">
        <f>IF(Q1208="","",IF(R1207="",Q1208,Q1208*0.2000000000+R1207*0.8000000000))</f>
        <v>0</v>
      </c>
      <c r="S1208">
        <f>IF(OR(Q1208="",R1208=""),"",Q1208-R1208)</f>
        <v>0</v>
      </c>
      <c r="T1208">
        <f>IF(COUNT($E$2:$E1208)&lt;14,"",MAX($C$1195:$C$1208))</f>
        <v>0</v>
      </c>
      <c r="U1208">
        <f>IF(COUNT($E$2:$E1208)&lt;14,"",MIN($D$1195:$D$1208))</f>
        <v>0</v>
      </c>
      <c r="V1208">
        <f>IF(OR(T1208="",U1208="",T1208=U1208),"",100*($E1208-U1208)/(T1208-U1208))</f>
        <v>0</v>
      </c>
      <c r="W1208">
        <f>IF(COUNT($V$1206:$V$1208)&lt;3,"",AVERAGE($V$1206:$V$1208))</f>
        <v>0</v>
      </c>
      <c r="X1208">
        <f>IF(COUNT($N$1195:$N$1208)&lt;14,"",MIN($N$1195:$N$1208))</f>
        <v>0</v>
      </c>
      <c r="Y1208">
        <f>IF(COUNT($N$1195:$N$1208)&lt;14,"",MAX($N$1195:$N$1208))</f>
        <v>0</v>
      </c>
      <c r="Z1208">
        <f>IF(OR(N1208="",X1208="",Y1208="",Y1208=X1208),"",100*(N1208-X1208)/(Y1208-X1208))</f>
        <v>0</v>
      </c>
      <c r="AA1208">
        <f>IF(COUNT($Z$1206:$Z$1208)&lt;3,"",AVERAGE($Z$1206:$Z$1208))</f>
        <v>0</v>
      </c>
      <c r="AB1208">
        <f>IF(COUNT($AA$1206:$AA$1208)&lt;3,"",AVERAGE($AA$1206:$AA$1208))</f>
        <v>0</v>
      </c>
      <c r="AC1208">
        <f>IF($E1208="","",MAX($C1208-$D1208,ABS($C1208-$E1207),ABS($D1208-$E1207)))</f>
        <v>0</v>
      </c>
      <c r="AD1208">
        <f>IF(COUNT($E$2:$E1208)&lt;15,"",AVERAGE($AC$1195:$AC$1208))</f>
        <v>0</v>
      </c>
      <c r="AE1208">
        <f>IF(OR($E1208="",$E1207=""),"",IF(AND(($C1208-$C1207)&gt;($D1207-$D1208),($C1208-$C1207)&gt;0),$C1208-$C1207,0))</f>
        <v>0</v>
      </c>
      <c r="AF1208">
        <f>IF(OR($E1208="",$E1207=""),"",IF(AND(($D1207-$D1208)&gt;($C1208-$C1207),($D1207-$D1208)&gt;0),$D1207-$D1208,0))</f>
        <v>0</v>
      </c>
      <c r="AG1208">
        <f>IF(COUNT($E$2:$E1208)&lt;15,"",IF(SUM($AC$1195:$AC$1208)=0,0,100*SUM($AE$1195:$AE$1208)/SUM($AC$1195:$AC$1208)))</f>
        <v>0</v>
      </c>
      <c r="AH1208">
        <f>IF(COUNT($E$2:$E1208)&lt;15,"",IF(SUM($AC$1195:$AC$1208)=0,0,100*SUM($AF$1195:$AF$1208)/SUM($AC$1195:$AC$1208)))</f>
        <v>0</v>
      </c>
      <c r="AI1208">
        <f>IF(OR(AG1208="",AH1208=""),"",IF((AG1208+AH1208)=0,0,100*ABS(AG1208-AH1208)/(AG1208+AH1208)))</f>
        <v>0</v>
      </c>
      <c r="AJ1208">
        <f>IF(COUNT($AI$1195:$AI$1208)&lt;14,"",AVERAGE($AI$1195:$AI$1208))</f>
        <v>0</v>
      </c>
      <c r="AK1208">
        <f>IF(COUNT($E$2:$E1208)&lt;20,"",AVERAGE($E$1189:$E$1208))</f>
        <v>0</v>
      </c>
      <c r="AL1208">
        <f>IF(COUNT($E$2:$E1208)&lt;20,"",STDEVP($E$1189:$E$1208))</f>
        <v>0</v>
      </c>
      <c r="AM1208">
        <f>IF(AK1208="","",AK1208+2*AL1208)</f>
        <v>0</v>
      </c>
      <c r="AN1208">
        <f>IF(AK1208="","",AK1208-2*AL1208)</f>
        <v>0</v>
      </c>
      <c r="AO1208">
        <f>IF(OR(AM1208="",AN1208="",AM1208=AN1208),"",($E1208-AN1208)/(AM1208-AN1208))</f>
        <v>0</v>
      </c>
      <c r="AP1208">
        <f>IF(OR(AM1208="",AK1208="",AK1208=0),"",(AM1208-AN1208)/AK1208)</f>
        <v>0</v>
      </c>
      <c r="AQ1208">
        <f>IF(COUNT($E$2:$E1208)&lt;20,"",MAX($C$1189:$C$1208))</f>
        <v>0</v>
      </c>
      <c r="AR1208">
        <f>IF(COUNT($E$2:$E1208)&lt;20,"",MIN($D$1189:$D$1208))</f>
        <v>0</v>
      </c>
      <c r="AS1208">
        <f>IF(OR(AQ1208="",AR1208=""),"",(AQ1208+AR1208)/2)</f>
        <v>0</v>
      </c>
      <c r="AT1208">
        <f>IF(COUNT($G$1189:$G$1208)&lt;20,"",STDEV($G$1189:$G$1208)*SQRT(252))</f>
        <v>0</v>
      </c>
      <c r="AU1208">
        <f>IF(COUNT($E$2:$E1208)&lt;9,"",(MAX($C$1200:$C$1208)+MIN($D$1200:$D$1208))/2)</f>
        <v>0</v>
      </c>
      <c r="AV1208">
        <f>IF(COUNT($E$2:$E1208)&lt;26,"",(MAX($C$1183:$C$1208)+MIN($D$1183:$D$1208))/2)</f>
        <v>0</v>
      </c>
      <c r="AW1208">
        <f>IF(OR(AU1208="",AV1208=""),"",(AU1208+AV1208)/2)</f>
        <v>0</v>
      </c>
      <c r="AX1208">
        <f>IF(COUNT($E$2:$E1208)&lt;52,"",(MAX($C$1157:$C$1208)+MIN($D$1157:$D$1208))/2)</f>
        <v>0</v>
      </c>
      <c r="AY1208">
        <f>IF(COUNT($E$2:$E1208)&lt;20,"",MAX($C$1109:$C$1208))</f>
        <v>0</v>
      </c>
      <c r="AZ1208">
        <f>IF(COUNT($E$2:$E1208)&lt;20,"",MIN($D$1109:$D$1208))</f>
        <v>0</v>
      </c>
      <c r="BA1208">
        <f>IF(COUNT($E$2:$E1208)&lt;20,"",SLOPE($E$1109:$E$1208,$F$1109:$F$1208))</f>
        <v>0</v>
      </c>
      <c r="BB1208">
        <f>IF(COUNT($E$2:$E1208)&lt;20,"",INTERCEPT($E$1109:$E$1208,$F$1109:$F$1208))</f>
        <v>0</v>
      </c>
      <c r="BC1208">
        <f>IF(OR(BA1208="",BB1208=""),"",BB1208+BA1208*F1208)</f>
        <v>0</v>
      </c>
      <c r="BD1208">
        <f>IF(COUNT($E$2:$E1208)&lt;20,"",STEYX($E$1109:$E$1208,$F$1109:$F$1208))</f>
        <v>0</v>
      </c>
      <c r="BE1208">
        <f>IF($E1208="","",IF(AND(COUNT($E$1209:$E$1212)&gt;=4,$C1208=MAX($C$1204:$C$1212)),$C1208,""))</f>
        <v>0</v>
      </c>
      <c r="BF1208">
        <f>IF($E1208="","",IF(AND(COUNT($E$1209:$E$1212)&gt;=4,$D1208=MIN($D$1204:$D$1212)),$D1208,""))</f>
        <v>0</v>
      </c>
      <c r="BG1208">
        <f>IF($A1208="","",$A1208-WEEKDAY($A1208,2)+1)</f>
        <v>0</v>
      </c>
      <c r="BH1208">
        <f>IF($A1208="","",IF($A1207="",1,IF(BG1208&lt;&gt;BG1207,1,0)))</f>
        <v>0</v>
      </c>
      <c r="BI1208">
        <f>IF($A1208="","",IF($A1209="",1,IF(BG1209&lt;&gt;BG1208,1,0)))</f>
        <v>0</v>
      </c>
      <c r="BJ1208">
        <f>IF($A1208="","",IF(BH1208=1,$B1208,BJ1207))</f>
        <v>0</v>
      </c>
      <c r="BK1208">
        <f>IF($A1208="","",IF(BH1208=1,$C1208,MAX($C1208,BK1207)))</f>
        <v>0</v>
      </c>
      <c r="BL1208">
        <f>IF($A1208="","",IF(BH1208=1,$D1208,MIN($D1208,BL1207)))</f>
        <v>0</v>
      </c>
      <c r="BM1208">
        <f>IF($A1208="","",IF(BI1208=1,F1208,""))</f>
        <v>0</v>
      </c>
      <c r="BN1208">
        <f>IF($A1208="","",DATE(YEAR($A1208),MONTH($A1208),1))</f>
        <v>0</v>
      </c>
      <c r="BO1208">
        <f>IF($A1208="","",IF($A1207="",1,IF(BN1208&lt;&gt;BN1207,1,0)))</f>
        <v>0</v>
      </c>
      <c r="BP1208">
        <f>IF($A1208="","",IF($A1209="",1,IF(BN1209&lt;&gt;BN1208,1,0)))</f>
        <v>0</v>
      </c>
      <c r="BQ1208">
        <f>IF($A1208="","",IF(BO1208=1,$B1208,BQ1207))</f>
        <v>0</v>
      </c>
      <c r="BR1208">
        <f>IF($A1208="","",IF(BO1208=1,$C1208,MAX($C1208,BR1207)))</f>
        <v>0</v>
      </c>
      <c r="BS1208">
        <f>IF($A1208="","",IF(BO1208=1,$D1208,MIN($D1208,BS1207)))</f>
        <v>0</v>
      </c>
      <c r="BT1208">
        <f>IF($A1208="","",IF(BP1208=1,F1208,""))</f>
        <v>0</v>
      </c>
    </row>
    <row r="1209" spans="1:72">
      <c r="A1209" s="27">
        <f>IF(Data!$A1209="","",Data!$A1209)</f>
        <v>0</v>
      </c>
      <c r="B1209">
        <f>IF(Data!$B1209="","",Data!$B1209)</f>
        <v>0</v>
      </c>
      <c r="C1209">
        <f>IF(Data!$C1209="","",Data!$C1209)</f>
        <v>0</v>
      </c>
      <c r="D1209">
        <f>IF(Data!$D1209="","",Data!$D1209)</f>
        <v>0</v>
      </c>
      <c r="E1209">
        <f>IF(Data!$E1209="","",Data!$E1209)</f>
        <v>0</v>
      </c>
      <c r="F1209">
        <f>IF($E1209="","",N(F1208)+1)</f>
        <v>0</v>
      </c>
      <c r="G1209">
        <f>IF(OR($E1209="",$E1208=""),"",LN($E1209/$E1208))</f>
        <v>0</v>
      </c>
      <c r="H1209">
        <f>IF($E1209="","",IF($E1208="",$E1209,$E1209*0.0952380952+H1208*0.9047619048))</f>
        <v>0</v>
      </c>
      <c r="I1209">
        <f>IF($E1209="","",IF($E1208="",$E1209,$E1209*0.0392156863+I1208*0.9607843137))</f>
        <v>0</v>
      </c>
      <c r="J1209">
        <f>IF($E1209="","",IF($E1208="",$E1209,$E1209*0.0198019802+J1208*0.9801980198))</f>
        <v>0</v>
      </c>
      <c r="K1209">
        <f>IF($E1209="","",IF($E1208="",$E1209,$E1209*0.0099502488+K1208*0.9900497512))</f>
        <v>0</v>
      </c>
      <c r="L1209">
        <f>IF(OR($E1209="",$E1208=""),"",MAX($E1209-$E1208,0))</f>
        <v>0</v>
      </c>
      <c r="M1209">
        <f>IF(OR($E1209="",$E1208=""),"",MAX($E1208-$E1209,0))</f>
        <v>0</v>
      </c>
      <c r="N1209">
        <f>IF(COUNT($E$2:$E1209)&lt;15,"",IF(AVERAGE($M$1196:$M$1209)=0,100,100-100/(1+AVERAGE($L$1196:$L$1209)/AVERAGE($M$1196:$M$1209))))</f>
        <v>0</v>
      </c>
      <c r="O1209">
        <f>IF($E1209="","",IF($E1208="",$E1209,$E1209*0.1538461538+O1208*0.8461538462))</f>
        <v>0</v>
      </c>
      <c r="P1209">
        <f>IF($E1209="","",IF($E1208="",$E1209,$E1209*0.0740740741+P1208*0.9259259259))</f>
        <v>0</v>
      </c>
      <c r="Q1209">
        <f>IF(OR(O1209="",P1209=""),"",O1209-P1209)</f>
        <v>0</v>
      </c>
      <c r="R1209">
        <f>IF(Q1209="","",IF(R1208="",Q1209,Q1209*0.2000000000+R1208*0.8000000000))</f>
        <v>0</v>
      </c>
      <c r="S1209">
        <f>IF(OR(Q1209="",R1209=""),"",Q1209-R1209)</f>
        <v>0</v>
      </c>
      <c r="T1209">
        <f>IF(COUNT($E$2:$E1209)&lt;14,"",MAX($C$1196:$C$1209))</f>
        <v>0</v>
      </c>
      <c r="U1209">
        <f>IF(COUNT($E$2:$E1209)&lt;14,"",MIN($D$1196:$D$1209))</f>
        <v>0</v>
      </c>
      <c r="V1209">
        <f>IF(OR(T1209="",U1209="",T1209=U1209),"",100*($E1209-U1209)/(T1209-U1209))</f>
        <v>0</v>
      </c>
      <c r="W1209">
        <f>IF(COUNT($V$1207:$V$1209)&lt;3,"",AVERAGE($V$1207:$V$1209))</f>
        <v>0</v>
      </c>
      <c r="X1209">
        <f>IF(COUNT($N$1196:$N$1209)&lt;14,"",MIN($N$1196:$N$1209))</f>
        <v>0</v>
      </c>
      <c r="Y1209">
        <f>IF(COUNT($N$1196:$N$1209)&lt;14,"",MAX($N$1196:$N$1209))</f>
        <v>0</v>
      </c>
      <c r="Z1209">
        <f>IF(OR(N1209="",X1209="",Y1209="",Y1209=X1209),"",100*(N1209-X1209)/(Y1209-X1209))</f>
        <v>0</v>
      </c>
      <c r="AA1209">
        <f>IF(COUNT($Z$1207:$Z$1209)&lt;3,"",AVERAGE($Z$1207:$Z$1209))</f>
        <v>0</v>
      </c>
      <c r="AB1209">
        <f>IF(COUNT($AA$1207:$AA$1209)&lt;3,"",AVERAGE($AA$1207:$AA$1209))</f>
        <v>0</v>
      </c>
      <c r="AC1209">
        <f>IF($E1209="","",MAX($C1209-$D1209,ABS($C1209-$E1208),ABS($D1209-$E1208)))</f>
        <v>0</v>
      </c>
      <c r="AD1209">
        <f>IF(COUNT($E$2:$E1209)&lt;15,"",AVERAGE($AC$1196:$AC$1209))</f>
        <v>0</v>
      </c>
      <c r="AE1209">
        <f>IF(OR($E1209="",$E1208=""),"",IF(AND(($C1209-$C1208)&gt;($D1208-$D1209),($C1209-$C1208)&gt;0),$C1209-$C1208,0))</f>
        <v>0</v>
      </c>
      <c r="AF1209">
        <f>IF(OR($E1209="",$E1208=""),"",IF(AND(($D1208-$D1209)&gt;($C1209-$C1208),($D1208-$D1209)&gt;0),$D1208-$D1209,0))</f>
        <v>0</v>
      </c>
      <c r="AG1209">
        <f>IF(COUNT($E$2:$E1209)&lt;15,"",IF(SUM($AC$1196:$AC$1209)=0,0,100*SUM($AE$1196:$AE$1209)/SUM($AC$1196:$AC$1209)))</f>
        <v>0</v>
      </c>
      <c r="AH1209">
        <f>IF(COUNT($E$2:$E1209)&lt;15,"",IF(SUM($AC$1196:$AC$1209)=0,0,100*SUM($AF$1196:$AF$1209)/SUM($AC$1196:$AC$1209)))</f>
        <v>0</v>
      </c>
      <c r="AI1209">
        <f>IF(OR(AG1209="",AH1209=""),"",IF((AG1209+AH1209)=0,0,100*ABS(AG1209-AH1209)/(AG1209+AH1209)))</f>
        <v>0</v>
      </c>
      <c r="AJ1209">
        <f>IF(COUNT($AI$1196:$AI$1209)&lt;14,"",AVERAGE($AI$1196:$AI$1209))</f>
        <v>0</v>
      </c>
      <c r="AK1209">
        <f>IF(COUNT($E$2:$E1209)&lt;20,"",AVERAGE($E$1190:$E$1209))</f>
        <v>0</v>
      </c>
      <c r="AL1209">
        <f>IF(COUNT($E$2:$E1209)&lt;20,"",STDEVP($E$1190:$E$1209))</f>
        <v>0</v>
      </c>
      <c r="AM1209">
        <f>IF(AK1209="","",AK1209+2*AL1209)</f>
        <v>0</v>
      </c>
      <c r="AN1209">
        <f>IF(AK1209="","",AK1209-2*AL1209)</f>
        <v>0</v>
      </c>
      <c r="AO1209">
        <f>IF(OR(AM1209="",AN1209="",AM1209=AN1209),"",($E1209-AN1209)/(AM1209-AN1209))</f>
        <v>0</v>
      </c>
      <c r="AP1209">
        <f>IF(OR(AM1209="",AK1209="",AK1209=0),"",(AM1209-AN1209)/AK1209)</f>
        <v>0</v>
      </c>
      <c r="AQ1209">
        <f>IF(COUNT($E$2:$E1209)&lt;20,"",MAX($C$1190:$C$1209))</f>
        <v>0</v>
      </c>
      <c r="AR1209">
        <f>IF(COUNT($E$2:$E1209)&lt;20,"",MIN($D$1190:$D$1209))</f>
        <v>0</v>
      </c>
      <c r="AS1209">
        <f>IF(OR(AQ1209="",AR1209=""),"",(AQ1209+AR1209)/2)</f>
        <v>0</v>
      </c>
      <c r="AT1209">
        <f>IF(COUNT($G$1190:$G$1209)&lt;20,"",STDEV($G$1190:$G$1209)*SQRT(252))</f>
        <v>0</v>
      </c>
      <c r="AU1209">
        <f>IF(COUNT($E$2:$E1209)&lt;9,"",(MAX($C$1201:$C$1209)+MIN($D$1201:$D$1209))/2)</f>
        <v>0</v>
      </c>
      <c r="AV1209">
        <f>IF(COUNT($E$2:$E1209)&lt;26,"",(MAX($C$1184:$C$1209)+MIN($D$1184:$D$1209))/2)</f>
        <v>0</v>
      </c>
      <c r="AW1209">
        <f>IF(OR(AU1209="",AV1209=""),"",(AU1209+AV1209)/2)</f>
        <v>0</v>
      </c>
      <c r="AX1209">
        <f>IF(COUNT($E$2:$E1209)&lt;52,"",(MAX($C$1158:$C$1209)+MIN($D$1158:$D$1209))/2)</f>
        <v>0</v>
      </c>
      <c r="AY1209">
        <f>IF(COUNT($E$2:$E1209)&lt;20,"",MAX($C$1110:$C$1209))</f>
        <v>0</v>
      </c>
      <c r="AZ1209">
        <f>IF(COUNT($E$2:$E1209)&lt;20,"",MIN($D$1110:$D$1209))</f>
        <v>0</v>
      </c>
      <c r="BA1209">
        <f>IF(COUNT($E$2:$E1209)&lt;20,"",SLOPE($E$1110:$E$1209,$F$1110:$F$1209))</f>
        <v>0</v>
      </c>
      <c r="BB1209">
        <f>IF(COUNT($E$2:$E1209)&lt;20,"",INTERCEPT($E$1110:$E$1209,$F$1110:$F$1209))</f>
        <v>0</v>
      </c>
      <c r="BC1209">
        <f>IF(OR(BA1209="",BB1209=""),"",BB1209+BA1209*F1209)</f>
        <v>0</v>
      </c>
      <c r="BD1209">
        <f>IF(COUNT($E$2:$E1209)&lt;20,"",STEYX($E$1110:$E$1209,$F$1110:$F$1209))</f>
        <v>0</v>
      </c>
      <c r="BE1209">
        <f>IF($E1209="","",IF(AND(COUNT($E$1210:$E$1213)&gt;=4,$C1209=MAX($C$1205:$C$1213)),$C1209,""))</f>
        <v>0</v>
      </c>
      <c r="BF1209">
        <f>IF($E1209="","",IF(AND(COUNT($E$1210:$E$1213)&gt;=4,$D1209=MIN($D$1205:$D$1213)),$D1209,""))</f>
        <v>0</v>
      </c>
      <c r="BG1209">
        <f>IF($A1209="","",$A1209-WEEKDAY($A1209,2)+1)</f>
        <v>0</v>
      </c>
      <c r="BH1209">
        <f>IF($A1209="","",IF($A1208="",1,IF(BG1209&lt;&gt;BG1208,1,0)))</f>
        <v>0</v>
      </c>
      <c r="BI1209">
        <f>IF($A1209="","",IF($A1210="",1,IF(BG1210&lt;&gt;BG1209,1,0)))</f>
        <v>0</v>
      </c>
      <c r="BJ1209">
        <f>IF($A1209="","",IF(BH1209=1,$B1209,BJ1208))</f>
        <v>0</v>
      </c>
      <c r="BK1209">
        <f>IF($A1209="","",IF(BH1209=1,$C1209,MAX($C1209,BK1208)))</f>
        <v>0</v>
      </c>
      <c r="BL1209">
        <f>IF($A1209="","",IF(BH1209=1,$D1209,MIN($D1209,BL1208)))</f>
        <v>0</v>
      </c>
      <c r="BM1209">
        <f>IF($A1209="","",IF(BI1209=1,F1209,""))</f>
        <v>0</v>
      </c>
      <c r="BN1209">
        <f>IF($A1209="","",DATE(YEAR($A1209),MONTH($A1209),1))</f>
        <v>0</v>
      </c>
      <c r="BO1209">
        <f>IF($A1209="","",IF($A1208="",1,IF(BN1209&lt;&gt;BN1208,1,0)))</f>
        <v>0</v>
      </c>
      <c r="BP1209">
        <f>IF($A1209="","",IF($A1210="",1,IF(BN1210&lt;&gt;BN1209,1,0)))</f>
        <v>0</v>
      </c>
      <c r="BQ1209">
        <f>IF($A1209="","",IF(BO1209=1,$B1209,BQ1208))</f>
        <v>0</v>
      </c>
      <c r="BR1209">
        <f>IF($A1209="","",IF(BO1209=1,$C1209,MAX($C1209,BR1208)))</f>
        <v>0</v>
      </c>
      <c r="BS1209">
        <f>IF($A1209="","",IF(BO1209=1,$D1209,MIN($D1209,BS1208)))</f>
        <v>0</v>
      </c>
      <c r="BT1209">
        <f>IF($A1209="","",IF(BP1209=1,F1209,""))</f>
        <v>0</v>
      </c>
    </row>
    <row r="1210" spans="1:72">
      <c r="A1210" s="27">
        <f>IF(Data!$A1210="","",Data!$A1210)</f>
        <v>0</v>
      </c>
      <c r="B1210">
        <f>IF(Data!$B1210="","",Data!$B1210)</f>
        <v>0</v>
      </c>
      <c r="C1210">
        <f>IF(Data!$C1210="","",Data!$C1210)</f>
        <v>0</v>
      </c>
      <c r="D1210">
        <f>IF(Data!$D1210="","",Data!$D1210)</f>
        <v>0</v>
      </c>
      <c r="E1210">
        <f>IF(Data!$E1210="","",Data!$E1210)</f>
        <v>0</v>
      </c>
      <c r="F1210">
        <f>IF($E1210="","",N(F1209)+1)</f>
        <v>0</v>
      </c>
      <c r="G1210">
        <f>IF(OR($E1210="",$E1209=""),"",LN($E1210/$E1209))</f>
        <v>0</v>
      </c>
      <c r="H1210">
        <f>IF($E1210="","",IF($E1209="",$E1210,$E1210*0.0952380952+H1209*0.9047619048))</f>
        <v>0</v>
      </c>
      <c r="I1210">
        <f>IF($E1210="","",IF($E1209="",$E1210,$E1210*0.0392156863+I1209*0.9607843137))</f>
        <v>0</v>
      </c>
      <c r="J1210">
        <f>IF($E1210="","",IF($E1209="",$E1210,$E1210*0.0198019802+J1209*0.9801980198))</f>
        <v>0</v>
      </c>
      <c r="K1210">
        <f>IF($E1210="","",IF($E1209="",$E1210,$E1210*0.0099502488+K1209*0.9900497512))</f>
        <v>0</v>
      </c>
      <c r="L1210">
        <f>IF(OR($E1210="",$E1209=""),"",MAX($E1210-$E1209,0))</f>
        <v>0</v>
      </c>
      <c r="M1210">
        <f>IF(OR($E1210="",$E1209=""),"",MAX($E1209-$E1210,0))</f>
        <v>0</v>
      </c>
      <c r="N1210">
        <f>IF(COUNT($E$2:$E1210)&lt;15,"",IF(AVERAGE($M$1197:$M$1210)=0,100,100-100/(1+AVERAGE($L$1197:$L$1210)/AVERAGE($M$1197:$M$1210))))</f>
        <v>0</v>
      </c>
      <c r="O1210">
        <f>IF($E1210="","",IF($E1209="",$E1210,$E1210*0.1538461538+O1209*0.8461538462))</f>
        <v>0</v>
      </c>
      <c r="P1210">
        <f>IF($E1210="","",IF($E1209="",$E1210,$E1210*0.0740740741+P1209*0.9259259259))</f>
        <v>0</v>
      </c>
      <c r="Q1210">
        <f>IF(OR(O1210="",P1210=""),"",O1210-P1210)</f>
        <v>0</v>
      </c>
      <c r="R1210">
        <f>IF(Q1210="","",IF(R1209="",Q1210,Q1210*0.2000000000+R1209*0.8000000000))</f>
        <v>0</v>
      </c>
      <c r="S1210">
        <f>IF(OR(Q1210="",R1210=""),"",Q1210-R1210)</f>
        <v>0</v>
      </c>
      <c r="T1210">
        <f>IF(COUNT($E$2:$E1210)&lt;14,"",MAX($C$1197:$C$1210))</f>
        <v>0</v>
      </c>
      <c r="U1210">
        <f>IF(COUNT($E$2:$E1210)&lt;14,"",MIN($D$1197:$D$1210))</f>
        <v>0</v>
      </c>
      <c r="V1210">
        <f>IF(OR(T1210="",U1210="",T1210=U1210),"",100*($E1210-U1210)/(T1210-U1210))</f>
        <v>0</v>
      </c>
      <c r="W1210">
        <f>IF(COUNT($V$1208:$V$1210)&lt;3,"",AVERAGE($V$1208:$V$1210))</f>
        <v>0</v>
      </c>
      <c r="X1210">
        <f>IF(COUNT($N$1197:$N$1210)&lt;14,"",MIN($N$1197:$N$1210))</f>
        <v>0</v>
      </c>
      <c r="Y1210">
        <f>IF(COUNT($N$1197:$N$1210)&lt;14,"",MAX($N$1197:$N$1210))</f>
        <v>0</v>
      </c>
      <c r="Z1210">
        <f>IF(OR(N1210="",X1210="",Y1210="",Y1210=X1210),"",100*(N1210-X1210)/(Y1210-X1210))</f>
        <v>0</v>
      </c>
      <c r="AA1210">
        <f>IF(COUNT($Z$1208:$Z$1210)&lt;3,"",AVERAGE($Z$1208:$Z$1210))</f>
        <v>0</v>
      </c>
      <c r="AB1210">
        <f>IF(COUNT($AA$1208:$AA$1210)&lt;3,"",AVERAGE($AA$1208:$AA$1210))</f>
        <v>0</v>
      </c>
      <c r="AC1210">
        <f>IF($E1210="","",MAX($C1210-$D1210,ABS($C1210-$E1209),ABS($D1210-$E1209)))</f>
        <v>0</v>
      </c>
      <c r="AD1210">
        <f>IF(COUNT($E$2:$E1210)&lt;15,"",AVERAGE($AC$1197:$AC$1210))</f>
        <v>0</v>
      </c>
      <c r="AE1210">
        <f>IF(OR($E1210="",$E1209=""),"",IF(AND(($C1210-$C1209)&gt;($D1209-$D1210),($C1210-$C1209)&gt;0),$C1210-$C1209,0))</f>
        <v>0</v>
      </c>
      <c r="AF1210">
        <f>IF(OR($E1210="",$E1209=""),"",IF(AND(($D1209-$D1210)&gt;($C1210-$C1209),($D1209-$D1210)&gt;0),$D1209-$D1210,0))</f>
        <v>0</v>
      </c>
      <c r="AG1210">
        <f>IF(COUNT($E$2:$E1210)&lt;15,"",IF(SUM($AC$1197:$AC$1210)=0,0,100*SUM($AE$1197:$AE$1210)/SUM($AC$1197:$AC$1210)))</f>
        <v>0</v>
      </c>
      <c r="AH1210">
        <f>IF(COUNT($E$2:$E1210)&lt;15,"",IF(SUM($AC$1197:$AC$1210)=0,0,100*SUM($AF$1197:$AF$1210)/SUM($AC$1197:$AC$1210)))</f>
        <v>0</v>
      </c>
      <c r="AI1210">
        <f>IF(OR(AG1210="",AH1210=""),"",IF((AG1210+AH1210)=0,0,100*ABS(AG1210-AH1210)/(AG1210+AH1210)))</f>
        <v>0</v>
      </c>
      <c r="AJ1210">
        <f>IF(COUNT($AI$1197:$AI$1210)&lt;14,"",AVERAGE($AI$1197:$AI$1210))</f>
        <v>0</v>
      </c>
      <c r="AK1210">
        <f>IF(COUNT($E$2:$E1210)&lt;20,"",AVERAGE($E$1191:$E$1210))</f>
        <v>0</v>
      </c>
      <c r="AL1210">
        <f>IF(COUNT($E$2:$E1210)&lt;20,"",STDEVP($E$1191:$E$1210))</f>
        <v>0</v>
      </c>
      <c r="AM1210">
        <f>IF(AK1210="","",AK1210+2*AL1210)</f>
        <v>0</v>
      </c>
      <c r="AN1210">
        <f>IF(AK1210="","",AK1210-2*AL1210)</f>
        <v>0</v>
      </c>
      <c r="AO1210">
        <f>IF(OR(AM1210="",AN1210="",AM1210=AN1210),"",($E1210-AN1210)/(AM1210-AN1210))</f>
        <v>0</v>
      </c>
      <c r="AP1210">
        <f>IF(OR(AM1210="",AK1210="",AK1210=0),"",(AM1210-AN1210)/AK1210)</f>
        <v>0</v>
      </c>
      <c r="AQ1210">
        <f>IF(COUNT($E$2:$E1210)&lt;20,"",MAX($C$1191:$C$1210))</f>
        <v>0</v>
      </c>
      <c r="AR1210">
        <f>IF(COUNT($E$2:$E1210)&lt;20,"",MIN($D$1191:$D$1210))</f>
        <v>0</v>
      </c>
      <c r="AS1210">
        <f>IF(OR(AQ1210="",AR1210=""),"",(AQ1210+AR1210)/2)</f>
        <v>0</v>
      </c>
      <c r="AT1210">
        <f>IF(COUNT($G$1191:$G$1210)&lt;20,"",STDEV($G$1191:$G$1210)*SQRT(252))</f>
        <v>0</v>
      </c>
      <c r="AU1210">
        <f>IF(COUNT($E$2:$E1210)&lt;9,"",(MAX($C$1202:$C$1210)+MIN($D$1202:$D$1210))/2)</f>
        <v>0</v>
      </c>
      <c r="AV1210">
        <f>IF(COUNT($E$2:$E1210)&lt;26,"",(MAX($C$1185:$C$1210)+MIN($D$1185:$D$1210))/2)</f>
        <v>0</v>
      </c>
      <c r="AW1210">
        <f>IF(OR(AU1210="",AV1210=""),"",(AU1210+AV1210)/2)</f>
        <v>0</v>
      </c>
      <c r="AX1210">
        <f>IF(COUNT($E$2:$E1210)&lt;52,"",(MAX($C$1159:$C$1210)+MIN($D$1159:$D$1210))/2)</f>
        <v>0</v>
      </c>
      <c r="AY1210">
        <f>IF(COUNT($E$2:$E1210)&lt;20,"",MAX($C$1111:$C$1210))</f>
        <v>0</v>
      </c>
      <c r="AZ1210">
        <f>IF(COUNT($E$2:$E1210)&lt;20,"",MIN($D$1111:$D$1210))</f>
        <v>0</v>
      </c>
      <c r="BA1210">
        <f>IF(COUNT($E$2:$E1210)&lt;20,"",SLOPE($E$1111:$E$1210,$F$1111:$F$1210))</f>
        <v>0</v>
      </c>
      <c r="BB1210">
        <f>IF(COUNT($E$2:$E1210)&lt;20,"",INTERCEPT($E$1111:$E$1210,$F$1111:$F$1210))</f>
        <v>0</v>
      </c>
      <c r="BC1210">
        <f>IF(OR(BA1210="",BB1210=""),"",BB1210+BA1210*F1210)</f>
        <v>0</v>
      </c>
      <c r="BD1210">
        <f>IF(COUNT($E$2:$E1210)&lt;20,"",STEYX($E$1111:$E$1210,$F$1111:$F$1210))</f>
        <v>0</v>
      </c>
      <c r="BE1210">
        <f>IF($E1210="","",IF(AND(COUNT($E$1211:$E$1214)&gt;=4,$C1210=MAX($C$1206:$C$1214)),$C1210,""))</f>
        <v>0</v>
      </c>
      <c r="BF1210">
        <f>IF($E1210="","",IF(AND(COUNT($E$1211:$E$1214)&gt;=4,$D1210=MIN($D$1206:$D$1214)),$D1210,""))</f>
        <v>0</v>
      </c>
      <c r="BG1210">
        <f>IF($A1210="","",$A1210-WEEKDAY($A1210,2)+1)</f>
        <v>0</v>
      </c>
      <c r="BH1210">
        <f>IF($A1210="","",IF($A1209="",1,IF(BG1210&lt;&gt;BG1209,1,0)))</f>
        <v>0</v>
      </c>
      <c r="BI1210">
        <f>IF($A1210="","",IF($A1211="",1,IF(BG1211&lt;&gt;BG1210,1,0)))</f>
        <v>0</v>
      </c>
      <c r="BJ1210">
        <f>IF($A1210="","",IF(BH1210=1,$B1210,BJ1209))</f>
        <v>0</v>
      </c>
      <c r="BK1210">
        <f>IF($A1210="","",IF(BH1210=1,$C1210,MAX($C1210,BK1209)))</f>
        <v>0</v>
      </c>
      <c r="BL1210">
        <f>IF($A1210="","",IF(BH1210=1,$D1210,MIN($D1210,BL1209)))</f>
        <v>0</v>
      </c>
      <c r="BM1210">
        <f>IF($A1210="","",IF(BI1210=1,F1210,""))</f>
        <v>0</v>
      </c>
      <c r="BN1210">
        <f>IF($A1210="","",DATE(YEAR($A1210),MONTH($A1210),1))</f>
        <v>0</v>
      </c>
      <c r="BO1210">
        <f>IF($A1210="","",IF($A1209="",1,IF(BN1210&lt;&gt;BN1209,1,0)))</f>
        <v>0</v>
      </c>
      <c r="BP1210">
        <f>IF($A1210="","",IF($A1211="",1,IF(BN1211&lt;&gt;BN1210,1,0)))</f>
        <v>0</v>
      </c>
      <c r="BQ1210">
        <f>IF($A1210="","",IF(BO1210=1,$B1210,BQ1209))</f>
        <v>0</v>
      </c>
      <c r="BR1210">
        <f>IF($A1210="","",IF(BO1210=1,$C1210,MAX($C1210,BR1209)))</f>
        <v>0</v>
      </c>
      <c r="BS1210">
        <f>IF($A1210="","",IF(BO1210=1,$D1210,MIN($D1210,BS1209)))</f>
        <v>0</v>
      </c>
      <c r="BT1210">
        <f>IF($A1210="","",IF(BP1210=1,F1210,""))</f>
        <v>0</v>
      </c>
    </row>
    <row r="1211" spans="1:72">
      <c r="A1211" s="27">
        <f>IF(Data!$A1211="","",Data!$A1211)</f>
        <v>0</v>
      </c>
      <c r="B1211">
        <f>IF(Data!$B1211="","",Data!$B1211)</f>
        <v>0</v>
      </c>
      <c r="C1211">
        <f>IF(Data!$C1211="","",Data!$C1211)</f>
        <v>0</v>
      </c>
      <c r="D1211">
        <f>IF(Data!$D1211="","",Data!$D1211)</f>
        <v>0</v>
      </c>
      <c r="E1211">
        <f>IF(Data!$E1211="","",Data!$E1211)</f>
        <v>0</v>
      </c>
      <c r="F1211">
        <f>IF($E1211="","",N(F1210)+1)</f>
        <v>0</v>
      </c>
      <c r="G1211">
        <f>IF(OR($E1211="",$E1210=""),"",LN($E1211/$E1210))</f>
        <v>0</v>
      </c>
      <c r="H1211">
        <f>IF($E1211="","",IF($E1210="",$E1211,$E1211*0.0952380952+H1210*0.9047619048))</f>
        <v>0</v>
      </c>
      <c r="I1211">
        <f>IF($E1211="","",IF($E1210="",$E1211,$E1211*0.0392156863+I1210*0.9607843137))</f>
        <v>0</v>
      </c>
      <c r="J1211">
        <f>IF($E1211="","",IF($E1210="",$E1211,$E1211*0.0198019802+J1210*0.9801980198))</f>
        <v>0</v>
      </c>
      <c r="K1211">
        <f>IF($E1211="","",IF($E1210="",$E1211,$E1211*0.0099502488+K1210*0.9900497512))</f>
        <v>0</v>
      </c>
      <c r="L1211">
        <f>IF(OR($E1211="",$E1210=""),"",MAX($E1211-$E1210,0))</f>
        <v>0</v>
      </c>
      <c r="M1211">
        <f>IF(OR($E1211="",$E1210=""),"",MAX($E1210-$E1211,0))</f>
        <v>0</v>
      </c>
      <c r="N1211">
        <f>IF(COUNT($E$2:$E1211)&lt;15,"",IF(AVERAGE($M$1198:$M$1211)=0,100,100-100/(1+AVERAGE($L$1198:$L$1211)/AVERAGE($M$1198:$M$1211))))</f>
        <v>0</v>
      </c>
      <c r="O1211">
        <f>IF($E1211="","",IF($E1210="",$E1211,$E1211*0.1538461538+O1210*0.8461538462))</f>
        <v>0</v>
      </c>
      <c r="P1211">
        <f>IF($E1211="","",IF($E1210="",$E1211,$E1211*0.0740740741+P1210*0.9259259259))</f>
        <v>0</v>
      </c>
      <c r="Q1211">
        <f>IF(OR(O1211="",P1211=""),"",O1211-P1211)</f>
        <v>0</v>
      </c>
      <c r="R1211">
        <f>IF(Q1211="","",IF(R1210="",Q1211,Q1211*0.2000000000+R1210*0.8000000000))</f>
        <v>0</v>
      </c>
      <c r="S1211">
        <f>IF(OR(Q1211="",R1211=""),"",Q1211-R1211)</f>
        <v>0</v>
      </c>
      <c r="T1211">
        <f>IF(COUNT($E$2:$E1211)&lt;14,"",MAX($C$1198:$C$1211))</f>
        <v>0</v>
      </c>
      <c r="U1211">
        <f>IF(COUNT($E$2:$E1211)&lt;14,"",MIN($D$1198:$D$1211))</f>
        <v>0</v>
      </c>
      <c r="V1211">
        <f>IF(OR(T1211="",U1211="",T1211=U1211),"",100*($E1211-U1211)/(T1211-U1211))</f>
        <v>0</v>
      </c>
      <c r="W1211">
        <f>IF(COUNT($V$1209:$V$1211)&lt;3,"",AVERAGE($V$1209:$V$1211))</f>
        <v>0</v>
      </c>
      <c r="X1211">
        <f>IF(COUNT($N$1198:$N$1211)&lt;14,"",MIN($N$1198:$N$1211))</f>
        <v>0</v>
      </c>
      <c r="Y1211">
        <f>IF(COUNT($N$1198:$N$1211)&lt;14,"",MAX($N$1198:$N$1211))</f>
        <v>0</v>
      </c>
      <c r="Z1211">
        <f>IF(OR(N1211="",X1211="",Y1211="",Y1211=X1211),"",100*(N1211-X1211)/(Y1211-X1211))</f>
        <v>0</v>
      </c>
      <c r="AA1211">
        <f>IF(COUNT($Z$1209:$Z$1211)&lt;3,"",AVERAGE($Z$1209:$Z$1211))</f>
        <v>0</v>
      </c>
      <c r="AB1211">
        <f>IF(COUNT($AA$1209:$AA$1211)&lt;3,"",AVERAGE($AA$1209:$AA$1211))</f>
        <v>0</v>
      </c>
      <c r="AC1211">
        <f>IF($E1211="","",MAX($C1211-$D1211,ABS($C1211-$E1210),ABS($D1211-$E1210)))</f>
        <v>0</v>
      </c>
      <c r="AD1211">
        <f>IF(COUNT($E$2:$E1211)&lt;15,"",AVERAGE($AC$1198:$AC$1211))</f>
        <v>0</v>
      </c>
      <c r="AE1211">
        <f>IF(OR($E1211="",$E1210=""),"",IF(AND(($C1211-$C1210)&gt;($D1210-$D1211),($C1211-$C1210)&gt;0),$C1211-$C1210,0))</f>
        <v>0</v>
      </c>
      <c r="AF1211">
        <f>IF(OR($E1211="",$E1210=""),"",IF(AND(($D1210-$D1211)&gt;($C1211-$C1210),($D1210-$D1211)&gt;0),$D1210-$D1211,0))</f>
        <v>0</v>
      </c>
      <c r="AG1211">
        <f>IF(COUNT($E$2:$E1211)&lt;15,"",IF(SUM($AC$1198:$AC$1211)=0,0,100*SUM($AE$1198:$AE$1211)/SUM($AC$1198:$AC$1211)))</f>
        <v>0</v>
      </c>
      <c r="AH1211">
        <f>IF(COUNT($E$2:$E1211)&lt;15,"",IF(SUM($AC$1198:$AC$1211)=0,0,100*SUM($AF$1198:$AF$1211)/SUM($AC$1198:$AC$1211)))</f>
        <v>0</v>
      </c>
      <c r="AI1211">
        <f>IF(OR(AG1211="",AH1211=""),"",IF((AG1211+AH1211)=0,0,100*ABS(AG1211-AH1211)/(AG1211+AH1211)))</f>
        <v>0</v>
      </c>
      <c r="AJ1211">
        <f>IF(COUNT($AI$1198:$AI$1211)&lt;14,"",AVERAGE($AI$1198:$AI$1211))</f>
        <v>0</v>
      </c>
      <c r="AK1211">
        <f>IF(COUNT($E$2:$E1211)&lt;20,"",AVERAGE($E$1192:$E$1211))</f>
        <v>0</v>
      </c>
      <c r="AL1211">
        <f>IF(COUNT($E$2:$E1211)&lt;20,"",STDEVP($E$1192:$E$1211))</f>
        <v>0</v>
      </c>
      <c r="AM1211">
        <f>IF(AK1211="","",AK1211+2*AL1211)</f>
        <v>0</v>
      </c>
      <c r="AN1211">
        <f>IF(AK1211="","",AK1211-2*AL1211)</f>
        <v>0</v>
      </c>
      <c r="AO1211">
        <f>IF(OR(AM1211="",AN1211="",AM1211=AN1211),"",($E1211-AN1211)/(AM1211-AN1211))</f>
        <v>0</v>
      </c>
      <c r="AP1211">
        <f>IF(OR(AM1211="",AK1211="",AK1211=0),"",(AM1211-AN1211)/AK1211)</f>
        <v>0</v>
      </c>
      <c r="AQ1211">
        <f>IF(COUNT($E$2:$E1211)&lt;20,"",MAX($C$1192:$C$1211))</f>
        <v>0</v>
      </c>
      <c r="AR1211">
        <f>IF(COUNT($E$2:$E1211)&lt;20,"",MIN($D$1192:$D$1211))</f>
        <v>0</v>
      </c>
      <c r="AS1211">
        <f>IF(OR(AQ1211="",AR1211=""),"",(AQ1211+AR1211)/2)</f>
        <v>0</v>
      </c>
      <c r="AT1211">
        <f>IF(COUNT($G$1192:$G$1211)&lt;20,"",STDEV($G$1192:$G$1211)*SQRT(252))</f>
        <v>0</v>
      </c>
      <c r="AU1211">
        <f>IF(COUNT($E$2:$E1211)&lt;9,"",(MAX($C$1203:$C$1211)+MIN($D$1203:$D$1211))/2)</f>
        <v>0</v>
      </c>
      <c r="AV1211">
        <f>IF(COUNT($E$2:$E1211)&lt;26,"",(MAX($C$1186:$C$1211)+MIN($D$1186:$D$1211))/2)</f>
        <v>0</v>
      </c>
      <c r="AW1211">
        <f>IF(OR(AU1211="",AV1211=""),"",(AU1211+AV1211)/2)</f>
        <v>0</v>
      </c>
      <c r="AX1211">
        <f>IF(COUNT($E$2:$E1211)&lt;52,"",(MAX($C$1160:$C$1211)+MIN($D$1160:$D$1211))/2)</f>
        <v>0</v>
      </c>
      <c r="AY1211">
        <f>IF(COUNT($E$2:$E1211)&lt;20,"",MAX($C$1112:$C$1211))</f>
        <v>0</v>
      </c>
      <c r="AZ1211">
        <f>IF(COUNT($E$2:$E1211)&lt;20,"",MIN($D$1112:$D$1211))</f>
        <v>0</v>
      </c>
      <c r="BA1211">
        <f>IF(COUNT($E$2:$E1211)&lt;20,"",SLOPE($E$1112:$E$1211,$F$1112:$F$1211))</f>
        <v>0</v>
      </c>
      <c r="BB1211">
        <f>IF(COUNT($E$2:$E1211)&lt;20,"",INTERCEPT($E$1112:$E$1211,$F$1112:$F$1211))</f>
        <v>0</v>
      </c>
      <c r="BC1211">
        <f>IF(OR(BA1211="",BB1211=""),"",BB1211+BA1211*F1211)</f>
        <v>0</v>
      </c>
      <c r="BD1211">
        <f>IF(COUNT($E$2:$E1211)&lt;20,"",STEYX($E$1112:$E$1211,$F$1112:$F$1211))</f>
        <v>0</v>
      </c>
      <c r="BE1211">
        <f>IF($E1211="","",IF(AND(COUNT($E$1212:$E$1215)&gt;=4,$C1211=MAX($C$1207:$C$1215)),$C1211,""))</f>
        <v>0</v>
      </c>
      <c r="BF1211">
        <f>IF($E1211="","",IF(AND(COUNT($E$1212:$E$1215)&gt;=4,$D1211=MIN($D$1207:$D$1215)),$D1211,""))</f>
        <v>0</v>
      </c>
      <c r="BG1211">
        <f>IF($A1211="","",$A1211-WEEKDAY($A1211,2)+1)</f>
        <v>0</v>
      </c>
      <c r="BH1211">
        <f>IF($A1211="","",IF($A1210="",1,IF(BG1211&lt;&gt;BG1210,1,0)))</f>
        <v>0</v>
      </c>
      <c r="BI1211">
        <f>IF($A1211="","",IF($A1212="",1,IF(BG1212&lt;&gt;BG1211,1,0)))</f>
        <v>0</v>
      </c>
      <c r="BJ1211">
        <f>IF($A1211="","",IF(BH1211=1,$B1211,BJ1210))</f>
        <v>0</v>
      </c>
      <c r="BK1211">
        <f>IF($A1211="","",IF(BH1211=1,$C1211,MAX($C1211,BK1210)))</f>
        <v>0</v>
      </c>
      <c r="BL1211">
        <f>IF($A1211="","",IF(BH1211=1,$D1211,MIN($D1211,BL1210)))</f>
        <v>0</v>
      </c>
      <c r="BM1211">
        <f>IF($A1211="","",IF(BI1211=1,F1211,""))</f>
        <v>0</v>
      </c>
      <c r="BN1211">
        <f>IF($A1211="","",DATE(YEAR($A1211),MONTH($A1211),1))</f>
        <v>0</v>
      </c>
      <c r="BO1211">
        <f>IF($A1211="","",IF($A1210="",1,IF(BN1211&lt;&gt;BN1210,1,0)))</f>
        <v>0</v>
      </c>
      <c r="BP1211">
        <f>IF($A1211="","",IF($A1212="",1,IF(BN1212&lt;&gt;BN1211,1,0)))</f>
        <v>0</v>
      </c>
      <c r="BQ1211">
        <f>IF($A1211="","",IF(BO1211=1,$B1211,BQ1210))</f>
        <v>0</v>
      </c>
      <c r="BR1211">
        <f>IF($A1211="","",IF(BO1211=1,$C1211,MAX($C1211,BR1210)))</f>
        <v>0</v>
      </c>
      <c r="BS1211">
        <f>IF($A1211="","",IF(BO1211=1,$D1211,MIN($D1211,BS1210)))</f>
        <v>0</v>
      </c>
      <c r="BT1211">
        <f>IF($A1211="","",IF(BP1211=1,F1211,""))</f>
        <v>0</v>
      </c>
    </row>
    <row r="1212" spans="1:72">
      <c r="A1212" s="27">
        <f>IF(Data!$A1212="","",Data!$A1212)</f>
        <v>0</v>
      </c>
      <c r="B1212">
        <f>IF(Data!$B1212="","",Data!$B1212)</f>
        <v>0</v>
      </c>
      <c r="C1212">
        <f>IF(Data!$C1212="","",Data!$C1212)</f>
        <v>0</v>
      </c>
      <c r="D1212">
        <f>IF(Data!$D1212="","",Data!$D1212)</f>
        <v>0</v>
      </c>
      <c r="E1212">
        <f>IF(Data!$E1212="","",Data!$E1212)</f>
        <v>0</v>
      </c>
      <c r="F1212">
        <f>IF($E1212="","",N(F1211)+1)</f>
        <v>0</v>
      </c>
      <c r="G1212">
        <f>IF(OR($E1212="",$E1211=""),"",LN($E1212/$E1211))</f>
        <v>0</v>
      </c>
      <c r="H1212">
        <f>IF($E1212="","",IF($E1211="",$E1212,$E1212*0.0952380952+H1211*0.9047619048))</f>
        <v>0</v>
      </c>
      <c r="I1212">
        <f>IF($E1212="","",IF($E1211="",$E1212,$E1212*0.0392156863+I1211*0.9607843137))</f>
        <v>0</v>
      </c>
      <c r="J1212">
        <f>IF($E1212="","",IF($E1211="",$E1212,$E1212*0.0198019802+J1211*0.9801980198))</f>
        <v>0</v>
      </c>
      <c r="K1212">
        <f>IF($E1212="","",IF($E1211="",$E1212,$E1212*0.0099502488+K1211*0.9900497512))</f>
        <v>0</v>
      </c>
      <c r="L1212">
        <f>IF(OR($E1212="",$E1211=""),"",MAX($E1212-$E1211,0))</f>
        <v>0</v>
      </c>
      <c r="M1212">
        <f>IF(OR($E1212="",$E1211=""),"",MAX($E1211-$E1212,0))</f>
        <v>0</v>
      </c>
      <c r="N1212">
        <f>IF(COUNT($E$2:$E1212)&lt;15,"",IF(AVERAGE($M$1199:$M$1212)=0,100,100-100/(1+AVERAGE($L$1199:$L$1212)/AVERAGE($M$1199:$M$1212))))</f>
        <v>0</v>
      </c>
      <c r="O1212">
        <f>IF($E1212="","",IF($E1211="",$E1212,$E1212*0.1538461538+O1211*0.8461538462))</f>
        <v>0</v>
      </c>
      <c r="P1212">
        <f>IF($E1212="","",IF($E1211="",$E1212,$E1212*0.0740740741+P1211*0.9259259259))</f>
        <v>0</v>
      </c>
      <c r="Q1212">
        <f>IF(OR(O1212="",P1212=""),"",O1212-P1212)</f>
        <v>0</v>
      </c>
      <c r="R1212">
        <f>IF(Q1212="","",IF(R1211="",Q1212,Q1212*0.2000000000+R1211*0.8000000000))</f>
        <v>0</v>
      </c>
      <c r="S1212">
        <f>IF(OR(Q1212="",R1212=""),"",Q1212-R1212)</f>
        <v>0</v>
      </c>
      <c r="T1212">
        <f>IF(COUNT($E$2:$E1212)&lt;14,"",MAX($C$1199:$C$1212))</f>
        <v>0</v>
      </c>
      <c r="U1212">
        <f>IF(COUNT($E$2:$E1212)&lt;14,"",MIN($D$1199:$D$1212))</f>
        <v>0</v>
      </c>
      <c r="V1212">
        <f>IF(OR(T1212="",U1212="",T1212=U1212),"",100*($E1212-U1212)/(T1212-U1212))</f>
        <v>0</v>
      </c>
      <c r="W1212">
        <f>IF(COUNT($V$1210:$V$1212)&lt;3,"",AVERAGE($V$1210:$V$1212))</f>
        <v>0</v>
      </c>
      <c r="X1212">
        <f>IF(COUNT($N$1199:$N$1212)&lt;14,"",MIN($N$1199:$N$1212))</f>
        <v>0</v>
      </c>
      <c r="Y1212">
        <f>IF(COUNT($N$1199:$N$1212)&lt;14,"",MAX($N$1199:$N$1212))</f>
        <v>0</v>
      </c>
      <c r="Z1212">
        <f>IF(OR(N1212="",X1212="",Y1212="",Y1212=X1212),"",100*(N1212-X1212)/(Y1212-X1212))</f>
        <v>0</v>
      </c>
      <c r="AA1212">
        <f>IF(COUNT($Z$1210:$Z$1212)&lt;3,"",AVERAGE($Z$1210:$Z$1212))</f>
        <v>0</v>
      </c>
      <c r="AB1212">
        <f>IF(COUNT($AA$1210:$AA$1212)&lt;3,"",AVERAGE($AA$1210:$AA$1212))</f>
        <v>0</v>
      </c>
      <c r="AC1212">
        <f>IF($E1212="","",MAX($C1212-$D1212,ABS($C1212-$E1211),ABS($D1212-$E1211)))</f>
        <v>0</v>
      </c>
      <c r="AD1212">
        <f>IF(COUNT($E$2:$E1212)&lt;15,"",AVERAGE($AC$1199:$AC$1212))</f>
        <v>0</v>
      </c>
      <c r="AE1212">
        <f>IF(OR($E1212="",$E1211=""),"",IF(AND(($C1212-$C1211)&gt;($D1211-$D1212),($C1212-$C1211)&gt;0),$C1212-$C1211,0))</f>
        <v>0</v>
      </c>
      <c r="AF1212">
        <f>IF(OR($E1212="",$E1211=""),"",IF(AND(($D1211-$D1212)&gt;($C1212-$C1211),($D1211-$D1212)&gt;0),$D1211-$D1212,0))</f>
        <v>0</v>
      </c>
      <c r="AG1212">
        <f>IF(COUNT($E$2:$E1212)&lt;15,"",IF(SUM($AC$1199:$AC$1212)=0,0,100*SUM($AE$1199:$AE$1212)/SUM($AC$1199:$AC$1212)))</f>
        <v>0</v>
      </c>
      <c r="AH1212">
        <f>IF(COUNT($E$2:$E1212)&lt;15,"",IF(SUM($AC$1199:$AC$1212)=0,0,100*SUM($AF$1199:$AF$1212)/SUM($AC$1199:$AC$1212)))</f>
        <v>0</v>
      </c>
      <c r="AI1212">
        <f>IF(OR(AG1212="",AH1212=""),"",IF((AG1212+AH1212)=0,0,100*ABS(AG1212-AH1212)/(AG1212+AH1212)))</f>
        <v>0</v>
      </c>
      <c r="AJ1212">
        <f>IF(COUNT($AI$1199:$AI$1212)&lt;14,"",AVERAGE($AI$1199:$AI$1212))</f>
        <v>0</v>
      </c>
      <c r="AK1212">
        <f>IF(COUNT($E$2:$E1212)&lt;20,"",AVERAGE($E$1193:$E$1212))</f>
        <v>0</v>
      </c>
      <c r="AL1212">
        <f>IF(COUNT($E$2:$E1212)&lt;20,"",STDEVP($E$1193:$E$1212))</f>
        <v>0</v>
      </c>
      <c r="AM1212">
        <f>IF(AK1212="","",AK1212+2*AL1212)</f>
        <v>0</v>
      </c>
      <c r="AN1212">
        <f>IF(AK1212="","",AK1212-2*AL1212)</f>
        <v>0</v>
      </c>
      <c r="AO1212">
        <f>IF(OR(AM1212="",AN1212="",AM1212=AN1212),"",($E1212-AN1212)/(AM1212-AN1212))</f>
        <v>0</v>
      </c>
      <c r="AP1212">
        <f>IF(OR(AM1212="",AK1212="",AK1212=0),"",(AM1212-AN1212)/AK1212)</f>
        <v>0</v>
      </c>
      <c r="AQ1212">
        <f>IF(COUNT($E$2:$E1212)&lt;20,"",MAX($C$1193:$C$1212))</f>
        <v>0</v>
      </c>
      <c r="AR1212">
        <f>IF(COUNT($E$2:$E1212)&lt;20,"",MIN($D$1193:$D$1212))</f>
        <v>0</v>
      </c>
      <c r="AS1212">
        <f>IF(OR(AQ1212="",AR1212=""),"",(AQ1212+AR1212)/2)</f>
        <v>0</v>
      </c>
      <c r="AT1212">
        <f>IF(COUNT($G$1193:$G$1212)&lt;20,"",STDEV($G$1193:$G$1212)*SQRT(252))</f>
        <v>0</v>
      </c>
      <c r="AU1212">
        <f>IF(COUNT($E$2:$E1212)&lt;9,"",(MAX($C$1204:$C$1212)+MIN($D$1204:$D$1212))/2)</f>
        <v>0</v>
      </c>
      <c r="AV1212">
        <f>IF(COUNT($E$2:$E1212)&lt;26,"",(MAX($C$1187:$C$1212)+MIN($D$1187:$D$1212))/2)</f>
        <v>0</v>
      </c>
      <c r="AW1212">
        <f>IF(OR(AU1212="",AV1212=""),"",(AU1212+AV1212)/2)</f>
        <v>0</v>
      </c>
      <c r="AX1212">
        <f>IF(COUNT($E$2:$E1212)&lt;52,"",(MAX($C$1161:$C$1212)+MIN($D$1161:$D$1212))/2)</f>
        <v>0</v>
      </c>
      <c r="AY1212">
        <f>IF(COUNT($E$2:$E1212)&lt;20,"",MAX($C$1113:$C$1212))</f>
        <v>0</v>
      </c>
      <c r="AZ1212">
        <f>IF(COUNT($E$2:$E1212)&lt;20,"",MIN($D$1113:$D$1212))</f>
        <v>0</v>
      </c>
      <c r="BA1212">
        <f>IF(COUNT($E$2:$E1212)&lt;20,"",SLOPE($E$1113:$E$1212,$F$1113:$F$1212))</f>
        <v>0</v>
      </c>
      <c r="BB1212">
        <f>IF(COUNT($E$2:$E1212)&lt;20,"",INTERCEPT($E$1113:$E$1212,$F$1113:$F$1212))</f>
        <v>0</v>
      </c>
      <c r="BC1212">
        <f>IF(OR(BA1212="",BB1212=""),"",BB1212+BA1212*F1212)</f>
        <v>0</v>
      </c>
      <c r="BD1212">
        <f>IF(COUNT($E$2:$E1212)&lt;20,"",STEYX($E$1113:$E$1212,$F$1113:$F$1212))</f>
        <v>0</v>
      </c>
      <c r="BE1212">
        <f>IF($E1212="","",IF(AND(COUNT($E$1213:$E$1216)&gt;=4,$C1212=MAX($C$1208:$C$1216)),$C1212,""))</f>
        <v>0</v>
      </c>
      <c r="BF1212">
        <f>IF($E1212="","",IF(AND(COUNT($E$1213:$E$1216)&gt;=4,$D1212=MIN($D$1208:$D$1216)),$D1212,""))</f>
        <v>0</v>
      </c>
      <c r="BG1212">
        <f>IF($A1212="","",$A1212-WEEKDAY($A1212,2)+1)</f>
        <v>0</v>
      </c>
      <c r="BH1212">
        <f>IF($A1212="","",IF($A1211="",1,IF(BG1212&lt;&gt;BG1211,1,0)))</f>
        <v>0</v>
      </c>
      <c r="BI1212">
        <f>IF($A1212="","",IF($A1213="",1,IF(BG1213&lt;&gt;BG1212,1,0)))</f>
        <v>0</v>
      </c>
      <c r="BJ1212">
        <f>IF($A1212="","",IF(BH1212=1,$B1212,BJ1211))</f>
        <v>0</v>
      </c>
      <c r="BK1212">
        <f>IF($A1212="","",IF(BH1212=1,$C1212,MAX($C1212,BK1211)))</f>
        <v>0</v>
      </c>
      <c r="BL1212">
        <f>IF($A1212="","",IF(BH1212=1,$D1212,MIN($D1212,BL1211)))</f>
        <v>0</v>
      </c>
      <c r="BM1212">
        <f>IF($A1212="","",IF(BI1212=1,F1212,""))</f>
        <v>0</v>
      </c>
      <c r="BN1212">
        <f>IF($A1212="","",DATE(YEAR($A1212),MONTH($A1212),1))</f>
        <v>0</v>
      </c>
      <c r="BO1212">
        <f>IF($A1212="","",IF($A1211="",1,IF(BN1212&lt;&gt;BN1211,1,0)))</f>
        <v>0</v>
      </c>
      <c r="BP1212">
        <f>IF($A1212="","",IF($A1213="",1,IF(BN1213&lt;&gt;BN1212,1,0)))</f>
        <v>0</v>
      </c>
      <c r="BQ1212">
        <f>IF($A1212="","",IF(BO1212=1,$B1212,BQ1211))</f>
        <v>0</v>
      </c>
      <c r="BR1212">
        <f>IF($A1212="","",IF(BO1212=1,$C1212,MAX($C1212,BR1211)))</f>
        <v>0</v>
      </c>
      <c r="BS1212">
        <f>IF($A1212="","",IF(BO1212=1,$D1212,MIN($D1212,BS1211)))</f>
        <v>0</v>
      </c>
      <c r="BT1212">
        <f>IF($A1212="","",IF(BP1212=1,F1212,""))</f>
        <v>0</v>
      </c>
    </row>
    <row r="1213" spans="1:72">
      <c r="A1213" s="27">
        <f>IF(Data!$A1213="","",Data!$A1213)</f>
        <v>0</v>
      </c>
      <c r="B1213">
        <f>IF(Data!$B1213="","",Data!$B1213)</f>
        <v>0</v>
      </c>
      <c r="C1213">
        <f>IF(Data!$C1213="","",Data!$C1213)</f>
        <v>0</v>
      </c>
      <c r="D1213">
        <f>IF(Data!$D1213="","",Data!$D1213)</f>
        <v>0</v>
      </c>
      <c r="E1213">
        <f>IF(Data!$E1213="","",Data!$E1213)</f>
        <v>0</v>
      </c>
      <c r="F1213">
        <f>IF($E1213="","",N(F1212)+1)</f>
        <v>0</v>
      </c>
      <c r="G1213">
        <f>IF(OR($E1213="",$E1212=""),"",LN($E1213/$E1212))</f>
        <v>0</v>
      </c>
      <c r="H1213">
        <f>IF($E1213="","",IF($E1212="",$E1213,$E1213*0.0952380952+H1212*0.9047619048))</f>
        <v>0</v>
      </c>
      <c r="I1213">
        <f>IF($E1213="","",IF($E1212="",$E1213,$E1213*0.0392156863+I1212*0.9607843137))</f>
        <v>0</v>
      </c>
      <c r="J1213">
        <f>IF($E1213="","",IF($E1212="",$E1213,$E1213*0.0198019802+J1212*0.9801980198))</f>
        <v>0</v>
      </c>
      <c r="K1213">
        <f>IF($E1213="","",IF($E1212="",$E1213,$E1213*0.0099502488+K1212*0.9900497512))</f>
        <v>0</v>
      </c>
      <c r="L1213">
        <f>IF(OR($E1213="",$E1212=""),"",MAX($E1213-$E1212,0))</f>
        <v>0</v>
      </c>
      <c r="M1213">
        <f>IF(OR($E1213="",$E1212=""),"",MAX($E1212-$E1213,0))</f>
        <v>0</v>
      </c>
      <c r="N1213">
        <f>IF(COUNT($E$2:$E1213)&lt;15,"",IF(AVERAGE($M$1200:$M$1213)=0,100,100-100/(1+AVERAGE($L$1200:$L$1213)/AVERAGE($M$1200:$M$1213))))</f>
        <v>0</v>
      </c>
      <c r="O1213">
        <f>IF($E1213="","",IF($E1212="",$E1213,$E1213*0.1538461538+O1212*0.8461538462))</f>
        <v>0</v>
      </c>
      <c r="P1213">
        <f>IF($E1213="","",IF($E1212="",$E1213,$E1213*0.0740740741+P1212*0.9259259259))</f>
        <v>0</v>
      </c>
      <c r="Q1213">
        <f>IF(OR(O1213="",P1213=""),"",O1213-P1213)</f>
        <v>0</v>
      </c>
      <c r="R1213">
        <f>IF(Q1213="","",IF(R1212="",Q1213,Q1213*0.2000000000+R1212*0.8000000000))</f>
        <v>0</v>
      </c>
      <c r="S1213">
        <f>IF(OR(Q1213="",R1213=""),"",Q1213-R1213)</f>
        <v>0</v>
      </c>
      <c r="T1213">
        <f>IF(COUNT($E$2:$E1213)&lt;14,"",MAX($C$1200:$C$1213))</f>
        <v>0</v>
      </c>
      <c r="U1213">
        <f>IF(COUNT($E$2:$E1213)&lt;14,"",MIN($D$1200:$D$1213))</f>
        <v>0</v>
      </c>
      <c r="V1213">
        <f>IF(OR(T1213="",U1213="",T1213=U1213),"",100*($E1213-U1213)/(T1213-U1213))</f>
        <v>0</v>
      </c>
      <c r="W1213">
        <f>IF(COUNT($V$1211:$V$1213)&lt;3,"",AVERAGE($V$1211:$V$1213))</f>
        <v>0</v>
      </c>
      <c r="X1213">
        <f>IF(COUNT($N$1200:$N$1213)&lt;14,"",MIN($N$1200:$N$1213))</f>
        <v>0</v>
      </c>
      <c r="Y1213">
        <f>IF(COUNT($N$1200:$N$1213)&lt;14,"",MAX($N$1200:$N$1213))</f>
        <v>0</v>
      </c>
      <c r="Z1213">
        <f>IF(OR(N1213="",X1213="",Y1213="",Y1213=X1213),"",100*(N1213-X1213)/(Y1213-X1213))</f>
        <v>0</v>
      </c>
      <c r="AA1213">
        <f>IF(COUNT($Z$1211:$Z$1213)&lt;3,"",AVERAGE($Z$1211:$Z$1213))</f>
        <v>0</v>
      </c>
      <c r="AB1213">
        <f>IF(COUNT($AA$1211:$AA$1213)&lt;3,"",AVERAGE($AA$1211:$AA$1213))</f>
        <v>0</v>
      </c>
      <c r="AC1213">
        <f>IF($E1213="","",MAX($C1213-$D1213,ABS($C1213-$E1212),ABS($D1213-$E1212)))</f>
        <v>0</v>
      </c>
      <c r="AD1213">
        <f>IF(COUNT($E$2:$E1213)&lt;15,"",AVERAGE($AC$1200:$AC$1213))</f>
        <v>0</v>
      </c>
      <c r="AE1213">
        <f>IF(OR($E1213="",$E1212=""),"",IF(AND(($C1213-$C1212)&gt;($D1212-$D1213),($C1213-$C1212)&gt;0),$C1213-$C1212,0))</f>
        <v>0</v>
      </c>
      <c r="AF1213">
        <f>IF(OR($E1213="",$E1212=""),"",IF(AND(($D1212-$D1213)&gt;($C1213-$C1212),($D1212-$D1213)&gt;0),$D1212-$D1213,0))</f>
        <v>0</v>
      </c>
      <c r="AG1213">
        <f>IF(COUNT($E$2:$E1213)&lt;15,"",IF(SUM($AC$1200:$AC$1213)=0,0,100*SUM($AE$1200:$AE$1213)/SUM($AC$1200:$AC$1213)))</f>
        <v>0</v>
      </c>
      <c r="AH1213">
        <f>IF(COUNT($E$2:$E1213)&lt;15,"",IF(SUM($AC$1200:$AC$1213)=0,0,100*SUM($AF$1200:$AF$1213)/SUM($AC$1200:$AC$1213)))</f>
        <v>0</v>
      </c>
      <c r="AI1213">
        <f>IF(OR(AG1213="",AH1213=""),"",IF((AG1213+AH1213)=0,0,100*ABS(AG1213-AH1213)/(AG1213+AH1213)))</f>
        <v>0</v>
      </c>
      <c r="AJ1213">
        <f>IF(COUNT($AI$1200:$AI$1213)&lt;14,"",AVERAGE($AI$1200:$AI$1213))</f>
        <v>0</v>
      </c>
      <c r="AK1213">
        <f>IF(COUNT($E$2:$E1213)&lt;20,"",AVERAGE($E$1194:$E$1213))</f>
        <v>0</v>
      </c>
      <c r="AL1213">
        <f>IF(COUNT($E$2:$E1213)&lt;20,"",STDEVP($E$1194:$E$1213))</f>
        <v>0</v>
      </c>
      <c r="AM1213">
        <f>IF(AK1213="","",AK1213+2*AL1213)</f>
        <v>0</v>
      </c>
      <c r="AN1213">
        <f>IF(AK1213="","",AK1213-2*AL1213)</f>
        <v>0</v>
      </c>
      <c r="AO1213">
        <f>IF(OR(AM1213="",AN1213="",AM1213=AN1213),"",($E1213-AN1213)/(AM1213-AN1213))</f>
        <v>0</v>
      </c>
      <c r="AP1213">
        <f>IF(OR(AM1213="",AK1213="",AK1213=0),"",(AM1213-AN1213)/AK1213)</f>
        <v>0</v>
      </c>
      <c r="AQ1213">
        <f>IF(COUNT($E$2:$E1213)&lt;20,"",MAX($C$1194:$C$1213))</f>
        <v>0</v>
      </c>
      <c r="AR1213">
        <f>IF(COUNT($E$2:$E1213)&lt;20,"",MIN($D$1194:$D$1213))</f>
        <v>0</v>
      </c>
      <c r="AS1213">
        <f>IF(OR(AQ1213="",AR1213=""),"",(AQ1213+AR1213)/2)</f>
        <v>0</v>
      </c>
      <c r="AT1213">
        <f>IF(COUNT($G$1194:$G$1213)&lt;20,"",STDEV($G$1194:$G$1213)*SQRT(252))</f>
        <v>0</v>
      </c>
      <c r="AU1213">
        <f>IF(COUNT($E$2:$E1213)&lt;9,"",(MAX($C$1205:$C$1213)+MIN($D$1205:$D$1213))/2)</f>
        <v>0</v>
      </c>
      <c r="AV1213">
        <f>IF(COUNT($E$2:$E1213)&lt;26,"",(MAX($C$1188:$C$1213)+MIN($D$1188:$D$1213))/2)</f>
        <v>0</v>
      </c>
      <c r="AW1213">
        <f>IF(OR(AU1213="",AV1213=""),"",(AU1213+AV1213)/2)</f>
        <v>0</v>
      </c>
      <c r="AX1213">
        <f>IF(COUNT($E$2:$E1213)&lt;52,"",(MAX($C$1162:$C$1213)+MIN($D$1162:$D$1213))/2)</f>
        <v>0</v>
      </c>
      <c r="AY1213">
        <f>IF(COUNT($E$2:$E1213)&lt;20,"",MAX($C$1114:$C$1213))</f>
        <v>0</v>
      </c>
      <c r="AZ1213">
        <f>IF(COUNT($E$2:$E1213)&lt;20,"",MIN($D$1114:$D$1213))</f>
        <v>0</v>
      </c>
      <c r="BA1213">
        <f>IF(COUNT($E$2:$E1213)&lt;20,"",SLOPE($E$1114:$E$1213,$F$1114:$F$1213))</f>
        <v>0</v>
      </c>
      <c r="BB1213">
        <f>IF(COUNT($E$2:$E1213)&lt;20,"",INTERCEPT($E$1114:$E$1213,$F$1114:$F$1213))</f>
        <v>0</v>
      </c>
      <c r="BC1213">
        <f>IF(OR(BA1213="",BB1213=""),"",BB1213+BA1213*F1213)</f>
        <v>0</v>
      </c>
      <c r="BD1213">
        <f>IF(COUNT($E$2:$E1213)&lt;20,"",STEYX($E$1114:$E$1213,$F$1114:$F$1213))</f>
        <v>0</v>
      </c>
      <c r="BE1213">
        <f>IF($E1213="","",IF(AND(COUNT($E$1214:$E$1217)&gt;=4,$C1213=MAX($C$1209:$C$1217)),$C1213,""))</f>
        <v>0</v>
      </c>
      <c r="BF1213">
        <f>IF($E1213="","",IF(AND(COUNT($E$1214:$E$1217)&gt;=4,$D1213=MIN($D$1209:$D$1217)),$D1213,""))</f>
        <v>0</v>
      </c>
      <c r="BG1213">
        <f>IF($A1213="","",$A1213-WEEKDAY($A1213,2)+1)</f>
        <v>0</v>
      </c>
      <c r="BH1213">
        <f>IF($A1213="","",IF($A1212="",1,IF(BG1213&lt;&gt;BG1212,1,0)))</f>
        <v>0</v>
      </c>
      <c r="BI1213">
        <f>IF($A1213="","",IF($A1214="",1,IF(BG1214&lt;&gt;BG1213,1,0)))</f>
        <v>0</v>
      </c>
      <c r="BJ1213">
        <f>IF($A1213="","",IF(BH1213=1,$B1213,BJ1212))</f>
        <v>0</v>
      </c>
      <c r="BK1213">
        <f>IF($A1213="","",IF(BH1213=1,$C1213,MAX($C1213,BK1212)))</f>
        <v>0</v>
      </c>
      <c r="BL1213">
        <f>IF($A1213="","",IF(BH1213=1,$D1213,MIN($D1213,BL1212)))</f>
        <v>0</v>
      </c>
      <c r="BM1213">
        <f>IF($A1213="","",IF(BI1213=1,F1213,""))</f>
        <v>0</v>
      </c>
      <c r="BN1213">
        <f>IF($A1213="","",DATE(YEAR($A1213),MONTH($A1213),1))</f>
        <v>0</v>
      </c>
      <c r="BO1213">
        <f>IF($A1213="","",IF($A1212="",1,IF(BN1213&lt;&gt;BN1212,1,0)))</f>
        <v>0</v>
      </c>
      <c r="BP1213">
        <f>IF($A1213="","",IF($A1214="",1,IF(BN1214&lt;&gt;BN1213,1,0)))</f>
        <v>0</v>
      </c>
      <c r="BQ1213">
        <f>IF($A1213="","",IF(BO1213=1,$B1213,BQ1212))</f>
        <v>0</v>
      </c>
      <c r="BR1213">
        <f>IF($A1213="","",IF(BO1213=1,$C1213,MAX($C1213,BR1212)))</f>
        <v>0</v>
      </c>
      <c r="BS1213">
        <f>IF($A1213="","",IF(BO1213=1,$D1213,MIN($D1213,BS1212)))</f>
        <v>0</v>
      </c>
      <c r="BT1213">
        <f>IF($A1213="","",IF(BP1213=1,F1213,""))</f>
        <v>0</v>
      </c>
    </row>
    <row r="1214" spans="1:72">
      <c r="A1214" s="27">
        <f>IF(Data!$A1214="","",Data!$A1214)</f>
        <v>0</v>
      </c>
      <c r="B1214">
        <f>IF(Data!$B1214="","",Data!$B1214)</f>
        <v>0</v>
      </c>
      <c r="C1214">
        <f>IF(Data!$C1214="","",Data!$C1214)</f>
        <v>0</v>
      </c>
      <c r="D1214">
        <f>IF(Data!$D1214="","",Data!$D1214)</f>
        <v>0</v>
      </c>
      <c r="E1214">
        <f>IF(Data!$E1214="","",Data!$E1214)</f>
        <v>0</v>
      </c>
      <c r="F1214">
        <f>IF($E1214="","",N(F1213)+1)</f>
        <v>0</v>
      </c>
      <c r="G1214">
        <f>IF(OR($E1214="",$E1213=""),"",LN($E1214/$E1213))</f>
        <v>0</v>
      </c>
      <c r="H1214">
        <f>IF($E1214="","",IF($E1213="",$E1214,$E1214*0.0952380952+H1213*0.9047619048))</f>
        <v>0</v>
      </c>
      <c r="I1214">
        <f>IF($E1214="","",IF($E1213="",$E1214,$E1214*0.0392156863+I1213*0.9607843137))</f>
        <v>0</v>
      </c>
      <c r="J1214">
        <f>IF($E1214="","",IF($E1213="",$E1214,$E1214*0.0198019802+J1213*0.9801980198))</f>
        <v>0</v>
      </c>
      <c r="K1214">
        <f>IF($E1214="","",IF($E1213="",$E1214,$E1214*0.0099502488+K1213*0.9900497512))</f>
        <v>0</v>
      </c>
      <c r="L1214">
        <f>IF(OR($E1214="",$E1213=""),"",MAX($E1214-$E1213,0))</f>
        <v>0</v>
      </c>
      <c r="M1214">
        <f>IF(OR($E1214="",$E1213=""),"",MAX($E1213-$E1214,0))</f>
        <v>0</v>
      </c>
      <c r="N1214">
        <f>IF(COUNT($E$2:$E1214)&lt;15,"",IF(AVERAGE($M$1201:$M$1214)=0,100,100-100/(1+AVERAGE($L$1201:$L$1214)/AVERAGE($M$1201:$M$1214))))</f>
        <v>0</v>
      </c>
      <c r="O1214">
        <f>IF($E1214="","",IF($E1213="",$E1214,$E1214*0.1538461538+O1213*0.8461538462))</f>
        <v>0</v>
      </c>
      <c r="P1214">
        <f>IF($E1214="","",IF($E1213="",$E1214,$E1214*0.0740740741+P1213*0.9259259259))</f>
        <v>0</v>
      </c>
      <c r="Q1214">
        <f>IF(OR(O1214="",P1214=""),"",O1214-P1214)</f>
        <v>0</v>
      </c>
      <c r="R1214">
        <f>IF(Q1214="","",IF(R1213="",Q1214,Q1214*0.2000000000+R1213*0.8000000000))</f>
        <v>0</v>
      </c>
      <c r="S1214">
        <f>IF(OR(Q1214="",R1214=""),"",Q1214-R1214)</f>
        <v>0</v>
      </c>
      <c r="T1214">
        <f>IF(COUNT($E$2:$E1214)&lt;14,"",MAX($C$1201:$C$1214))</f>
        <v>0</v>
      </c>
      <c r="U1214">
        <f>IF(COUNT($E$2:$E1214)&lt;14,"",MIN($D$1201:$D$1214))</f>
        <v>0</v>
      </c>
      <c r="V1214">
        <f>IF(OR(T1214="",U1214="",T1214=U1214),"",100*($E1214-U1214)/(T1214-U1214))</f>
        <v>0</v>
      </c>
      <c r="W1214">
        <f>IF(COUNT($V$1212:$V$1214)&lt;3,"",AVERAGE($V$1212:$V$1214))</f>
        <v>0</v>
      </c>
      <c r="X1214">
        <f>IF(COUNT($N$1201:$N$1214)&lt;14,"",MIN($N$1201:$N$1214))</f>
        <v>0</v>
      </c>
      <c r="Y1214">
        <f>IF(COUNT($N$1201:$N$1214)&lt;14,"",MAX($N$1201:$N$1214))</f>
        <v>0</v>
      </c>
      <c r="Z1214">
        <f>IF(OR(N1214="",X1214="",Y1214="",Y1214=X1214),"",100*(N1214-X1214)/(Y1214-X1214))</f>
        <v>0</v>
      </c>
      <c r="AA1214">
        <f>IF(COUNT($Z$1212:$Z$1214)&lt;3,"",AVERAGE($Z$1212:$Z$1214))</f>
        <v>0</v>
      </c>
      <c r="AB1214">
        <f>IF(COUNT($AA$1212:$AA$1214)&lt;3,"",AVERAGE($AA$1212:$AA$1214))</f>
        <v>0</v>
      </c>
      <c r="AC1214">
        <f>IF($E1214="","",MAX($C1214-$D1214,ABS($C1214-$E1213),ABS($D1214-$E1213)))</f>
        <v>0</v>
      </c>
      <c r="AD1214">
        <f>IF(COUNT($E$2:$E1214)&lt;15,"",AVERAGE($AC$1201:$AC$1214))</f>
        <v>0</v>
      </c>
      <c r="AE1214">
        <f>IF(OR($E1214="",$E1213=""),"",IF(AND(($C1214-$C1213)&gt;($D1213-$D1214),($C1214-$C1213)&gt;0),$C1214-$C1213,0))</f>
        <v>0</v>
      </c>
      <c r="AF1214">
        <f>IF(OR($E1214="",$E1213=""),"",IF(AND(($D1213-$D1214)&gt;($C1214-$C1213),($D1213-$D1214)&gt;0),$D1213-$D1214,0))</f>
        <v>0</v>
      </c>
      <c r="AG1214">
        <f>IF(COUNT($E$2:$E1214)&lt;15,"",IF(SUM($AC$1201:$AC$1214)=0,0,100*SUM($AE$1201:$AE$1214)/SUM($AC$1201:$AC$1214)))</f>
        <v>0</v>
      </c>
      <c r="AH1214">
        <f>IF(COUNT($E$2:$E1214)&lt;15,"",IF(SUM($AC$1201:$AC$1214)=0,0,100*SUM($AF$1201:$AF$1214)/SUM($AC$1201:$AC$1214)))</f>
        <v>0</v>
      </c>
      <c r="AI1214">
        <f>IF(OR(AG1214="",AH1214=""),"",IF((AG1214+AH1214)=0,0,100*ABS(AG1214-AH1214)/(AG1214+AH1214)))</f>
        <v>0</v>
      </c>
      <c r="AJ1214">
        <f>IF(COUNT($AI$1201:$AI$1214)&lt;14,"",AVERAGE($AI$1201:$AI$1214))</f>
        <v>0</v>
      </c>
      <c r="AK1214">
        <f>IF(COUNT($E$2:$E1214)&lt;20,"",AVERAGE($E$1195:$E$1214))</f>
        <v>0</v>
      </c>
      <c r="AL1214">
        <f>IF(COUNT($E$2:$E1214)&lt;20,"",STDEVP($E$1195:$E$1214))</f>
        <v>0</v>
      </c>
      <c r="AM1214">
        <f>IF(AK1214="","",AK1214+2*AL1214)</f>
        <v>0</v>
      </c>
      <c r="AN1214">
        <f>IF(AK1214="","",AK1214-2*AL1214)</f>
        <v>0</v>
      </c>
      <c r="AO1214">
        <f>IF(OR(AM1214="",AN1214="",AM1214=AN1214),"",($E1214-AN1214)/(AM1214-AN1214))</f>
        <v>0</v>
      </c>
      <c r="AP1214">
        <f>IF(OR(AM1214="",AK1214="",AK1214=0),"",(AM1214-AN1214)/AK1214)</f>
        <v>0</v>
      </c>
      <c r="AQ1214">
        <f>IF(COUNT($E$2:$E1214)&lt;20,"",MAX($C$1195:$C$1214))</f>
        <v>0</v>
      </c>
      <c r="AR1214">
        <f>IF(COUNT($E$2:$E1214)&lt;20,"",MIN($D$1195:$D$1214))</f>
        <v>0</v>
      </c>
      <c r="AS1214">
        <f>IF(OR(AQ1214="",AR1214=""),"",(AQ1214+AR1214)/2)</f>
        <v>0</v>
      </c>
      <c r="AT1214">
        <f>IF(COUNT($G$1195:$G$1214)&lt;20,"",STDEV($G$1195:$G$1214)*SQRT(252))</f>
        <v>0</v>
      </c>
      <c r="AU1214">
        <f>IF(COUNT($E$2:$E1214)&lt;9,"",(MAX($C$1206:$C$1214)+MIN($D$1206:$D$1214))/2)</f>
        <v>0</v>
      </c>
      <c r="AV1214">
        <f>IF(COUNT($E$2:$E1214)&lt;26,"",(MAX($C$1189:$C$1214)+MIN($D$1189:$D$1214))/2)</f>
        <v>0</v>
      </c>
      <c r="AW1214">
        <f>IF(OR(AU1214="",AV1214=""),"",(AU1214+AV1214)/2)</f>
        <v>0</v>
      </c>
      <c r="AX1214">
        <f>IF(COUNT($E$2:$E1214)&lt;52,"",(MAX($C$1163:$C$1214)+MIN($D$1163:$D$1214))/2)</f>
        <v>0</v>
      </c>
      <c r="AY1214">
        <f>IF(COUNT($E$2:$E1214)&lt;20,"",MAX($C$1115:$C$1214))</f>
        <v>0</v>
      </c>
      <c r="AZ1214">
        <f>IF(COUNT($E$2:$E1214)&lt;20,"",MIN($D$1115:$D$1214))</f>
        <v>0</v>
      </c>
      <c r="BA1214">
        <f>IF(COUNT($E$2:$E1214)&lt;20,"",SLOPE($E$1115:$E$1214,$F$1115:$F$1214))</f>
        <v>0</v>
      </c>
      <c r="BB1214">
        <f>IF(COUNT($E$2:$E1214)&lt;20,"",INTERCEPT($E$1115:$E$1214,$F$1115:$F$1214))</f>
        <v>0</v>
      </c>
      <c r="BC1214">
        <f>IF(OR(BA1214="",BB1214=""),"",BB1214+BA1214*F1214)</f>
        <v>0</v>
      </c>
      <c r="BD1214">
        <f>IF(COUNT($E$2:$E1214)&lt;20,"",STEYX($E$1115:$E$1214,$F$1115:$F$1214))</f>
        <v>0</v>
      </c>
      <c r="BE1214">
        <f>IF($E1214="","",IF(AND(COUNT($E$1215:$E$1218)&gt;=4,$C1214=MAX($C$1210:$C$1218)),$C1214,""))</f>
        <v>0</v>
      </c>
      <c r="BF1214">
        <f>IF($E1214="","",IF(AND(COUNT($E$1215:$E$1218)&gt;=4,$D1214=MIN($D$1210:$D$1218)),$D1214,""))</f>
        <v>0</v>
      </c>
      <c r="BG1214">
        <f>IF($A1214="","",$A1214-WEEKDAY($A1214,2)+1)</f>
        <v>0</v>
      </c>
      <c r="BH1214">
        <f>IF($A1214="","",IF($A1213="",1,IF(BG1214&lt;&gt;BG1213,1,0)))</f>
        <v>0</v>
      </c>
      <c r="BI1214">
        <f>IF($A1214="","",IF($A1215="",1,IF(BG1215&lt;&gt;BG1214,1,0)))</f>
        <v>0</v>
      </c>
      <c r="BJ1214">
        <f>IF($A1214="","",IF(BH1214=1,$B1214,BJ1213))</f>
        <v>0</v>
      </c>
      <c r="BK1214">
        <f>IF($A1214="","",IF(BH1214=1,$C1214,MAX($C1214,BK1213)))</f>
        <v>0</v>
      </c>
      <c r="BL1214">
        <f>IF($A1214="","",IF(BH1214=1,$D1214,MIN($D1214,BL1213)))</f>
        <v>0</v>
      </c>
      <c r="BM1214">
        <f>IF($A1214="","",IF(BI1214=1,F1214,""))</f>
        <v>0</v>
      </c>
      <c r="BN1214">
        <f>IF($A1214="","",DATE(YEAR($A1214),MONTH($A1214),1))</f>
        <v>0</v>
      </c>
      <c r="BO1214">
        <f>IF($A1214="","",IF($A1213="",1,IF(BN1214&lt;&gt;BN1213,1,0)))</f>
        <v>0</v>
      </c>
      <c r="BP1214">
        <f>IF($A1214="","",IF($A1215="",1,IF(BN1215&lt;&gt;BN1214,1,0)))</f>
        <v>0</v>
      </c>
      <c r="BQ1214">
        <f>IF($A1214="","",IF(BO1214=1,$B1214,BQ1213))</f>
        <v>0</v>
      </c>
      <c r="BR1214">
        <f>IF($A1214="","",IF(BO1214=1,$C1214,MAX($C1214,BR1213)))</f>
        <v>0</v>
      </c>
      <c r="BS1214">
        <f>IF($A1214="","",IF(BO1214=1,$D1214,MIN($D1214,BS1213)))</f>
        <v>0</v>
      </c>
      <c r="BT1214">
        <f>IF($A1214="","",IF(BP1214=1,F1214,""))</f>
        <v>0</v>
      </c>
    </row>
    <row r="1215" spans="1:72">
      <c r="A1215" s="27">
        <f>IF(Data!$A1215="","",Data!$A1215)</f>
        <v>0</v>
      </c>
      <c r="B1215">
        <f>IF(Data!$B1215="","",Data!$B1215)</f>
        <v>0</v>
      </c>
      <c r="C1215">
        <f>IF(Data!$C1215="","",Data!$C1215)</f>
        <v>0</v>
      </c>
      <c r="D1215">
        <f>IF(Data!$D1215="","",Data!$D1215)</f>
        <v>0</v>
      </c>
      <c r="E1215">
        <f>IF(Data!$E1215="","",Data!$E1215)</f>
        <v>0</v>
      </c>
      <c r="F1215">
        <f>IF($E1215="","",N(F1214)+1)</f>
        <v>0</v>
      </c>
      <c r="G1215">
        <f>IF(OR($E1215="",$E1214=""),"",LN($E1215/$E1214))</f>
        <v>0</v>
      </c>
      <c r="H1215">
        <f>IF($E1215="","",IF($E1214="",$E1215,$E1215*0.0952380952+H1214*0.9047619048))</f>
        <v>0</v>
      </c>
      <c r="I1215">
        <f>IF($E1215="","",IF($E1214="",$E1215,$E1215*0.0392156863+I1214*0.9607843137))</f>
        <v>0</v>
      </c>
      <c r="J1215">
        <f>IF($E1215="","",IF($E1214="",$E1215,$E1215*0.0198019802+J1214*0.9801980198))</f>
        <v>0</v>
      </c>
      <c r="K1215">
        <f>IF($E1215="","",IF($E1214="",$E1215,$E1215*0.0099502488+K1214*0.9900497512))</f>
        <v>0</v>
      </c>
      <c r="L1215">
        <f>IF(OR($E1215="",$E1214=""),"",MAX($E1215-$E1214,0))</f>
        <v>0</v>
      </c>
      <c r="M1215">
        <f>IF(OR($E1215="",$E1214=""),"",MAX($E1214-$E1215,0))</f>
        <v>0</v>
      </c>
      <c r="N1215">
        <f>IF(COUNT($E$2:$E1215)&lt;15,"",IF(AVERAGE($M$1202:$M$1215)=0,100,100-100/(1+AVERAGE($L$1202:$L$1215)/AVERAGE($M$1202:$M$1215))))</f>
        <v>0</v>
      </c>
      <c r="O1215">
        <f>IF($E1215="","",IF($E1214="",$E1215,$E1215*0.1538461538+O1214*0.8461538462))</f>
        <v>0</v>
      </c>
      <c r="P1215">
        <f>IF($E1215="","",IF($E1214="",$E1215,$E1215*0.0740740741+P1214*0.9259259259))</f>
        <v>0</v>
      </c>
      <c r="Q1215">
        <f>IF(OR(O1215="",P1215=""),"",O1215-P1215)</f>
        <v>0</v>
      </c>
      <c r="R1215">
        <f>IF(Q1215="","",IF(R1214="",Q1215,Q1215*0.2000000000+R1214*0.8000000000))</f>
        <v>0</v>
      </c>
      <c r="S1215">
        <f>IF(OR(Q1215="",R1215=""),"",Q1215-R1215)</f>
        <v>0</v>
      </c>
      <c r="T1215">
        <f>IF(COUNT($E$2:$E1215)&lt;14,"",MAX($C$1202:$C$1215))</f>
        <v>0</v>
      </c>
      <c r="U1215">
        <f>IF(COUNT($E$2:$E1215)&lt;14,"",MIN($D$1202:$D$1215))</f>
        <v>0</v>
      </c>
      <c r="V1215">
        <f>IF(OR(T1215="",U1215="",T1215=U1215),"",100*($E1215-U1215)/(T1215-U1215))</f>
        <v>0</v>
      </c>
      <c r="W1215">
        <f>IF(COUNT($V$1213:$V$1215)&lt;3,"",AVERAGE($V$1213:$V$1215))</f>
        <v>0</v>
      </c>
      <c r="X1215">
        <f>IF(COUNT($N$1202:$N$1215)&lt;14,"",MIN($N$1202:$N$1215))</f>
        <v>0</v>
      </c>
      <c r="Y1215">
        <f>IF(COUNT($N$1202:$N$1215)&lt;14,"",MAX($N$1202:$N$1215))</f>
        <v>0</v>
      </c>
      <c r="Z1215">
        <f>IF(OR(N1215="",X1215="",Y1215="",Y1215=X1215),"",100*(N1215-X1215)/(Y1215-X1215))</f>
        <v>0</v>
      </c>
      <c r="AA1215">
        <f>IF(COUNT($Z$1213:$Z$1215)&lt;3,"",AVERAGE($Z$1213:$Z$1215))</f>
        <v>0</v>
      </c>
      <c r="AB1215">
        <f>IF(COUNT($AA$1213:$AA$1215)&lt;3,"",AVERAGE($AA$1213:$AA$1215))</f>
        <v>0</v>
      </c>
      <c r="AC1215">
        <f>IF($E1215="","",MAX($C1215-$D1215,ABS($C1215-$E1214),ABS($D1215-$E1214)))</f>
        <v>0</v>
      </c>
      <c r="AD1215">
        <f>IF(COUNT($E$2:$E1215)&lt;15,"",AVERAGE($AC$1202:$AC$1215))</f>
        <v>0</v>
      </c>
      <c r="AE1215">
        <f>IF(OR($E1215="",$E1214=""),"",IF(AND(($C1215-$C1214)&gt;($D1214-$D1215),($C1215-$C1214)&gt;0),$C1215-$C1214,0))</f>
        <v>0</v>
      </c>
      <c r="AF1215">
        <f>IF(OR($E1215="",$E1214=""),"",IF(AND(($D1214-$D1215)&gt;($C1215-$C1214),($D1214-$D1215)&gt;0),$D1214-$D1215,0))</f>
        <v>0</v>
      </c>
      <c r="AG1215">
        <f>IF(COUNT($E$2:$E1215)&lt;15,"",IF(SUM($AC$1202:$AC$1215)=0,0,100*SUM($AE$1202:$AE$1215)/SUM($AC$1202:$AC$1215)))</f>
        <v>0</v>
      </c>
      <c r="AH1215">
        <f>IF(COUNT($E$2:$E1215)&lt;15,"",IF(SUM($AC$1202:$AC$1215)=0,0,100*SUM($AF$1202:$AF$1215)/SUM($AC$1202:$AC$1215)))</f>
        <v>0</v>
      </c>
      <c r="AI1215">
        <f>IF(OR(AG1215="",AH1215=""),"",IF((AG1215+AH1215)=0,0,100*ABS(AG1215-AH1215)/(AG1215+AH1215)))</f>
        <v>0</v>
      </c>
      <c r="AJ1215">
        <f>IF(COUNT($AI$1202:$AI$1215)&lt;14,"",AVERAGE($AI$1202:$AI$1215))</f>
        <v>0</v>
      </c>
      <c r="AK1215">
        <f>IF(COUNT($E$2:$E1215)&lt;20,"",AVERAGE($E$1196:$E$1215))</f>
        <v>0</v>
      </c>
      <c r="AL1215">
        <f>IF(COUNT($E$2:$E1215)&lt;20,"",STDEVP($E$1196:$E$1215))</f>
        <v>0</v>
      </c>
      <c r="AM1215">
        <f>IF(AK1215="","",AK1215+2*AL1215)</f>
        <v>0</v>
      </c>
      <c r="AN1215">
        <f>IF(AK1215="","",AK1215-2*AL1215)</f>
        <v>0</v>
      </c>
      <c r="AO1215">
        <f>IF(OR(AM1215="",AN1215="",AM1215=AN1215),"",($E1215-AN1215)/(AM1215-AN1215))</f>
        <v>0</v>
      </c>
      <c r="AP1215">
        <f>IF(OR(AM1215="",AK1215="",AK1215=0),"",(AM1215-AN1215)/AK1215)</f>
        <v>0</v>
      </c>
      <c r="AQ1215">
        <f>IF(COUNT($E$2:$E1215)&lt;20,"",MAX($C$1196:$C$1215))</f>
        <v>0</v>
      </c>
      <c r="AR1215">
        <f>IF(COUNT($E$2:$E1215)&lt;20,"",MIN($D$1196:$D$1215))</f>
        <v>0</v>
      </c>
      <c r="AS1215">
        <f>IF(OR(AQ1215="",AR1215=""),"",(AQ1215+AR1215)/2)</f>
        <v>0</v>
      </c>
      <c r="AT1215">
        <f>IF(COUNT($G$1196:$G$1215)&lt;20,"",STDEV($G$1196:$G$1215)*SQRT(252))</f>
        <v>0</v>
      </c>
      <c r="AU1215">
        <f>IF(COUNT($E$2:$E1215)&lt;9,"",(MAX($C$1207:$C$1215)+MIN($D$1207:$D$1215))/2)</f>
        <v>0</v>
      </c>
      <c r="AV1215">
        <f>IF(COUNT($E$2:$E1215)&lt;26,"",(MAX($C$1190:$C$1215)+MIN($D$1190:$D$1215))/2)</f>
        <v>0</v>
      </c>
      <c r="AW1215">
        <f>IF(OR(AU1215="",AV1215=""),"",(AU1215+AV1215)/2)</f>
        <v>0</v>
      </c>
      <c r="AX1215">
        <f>IF(COUNT($E$2:$E1215)&lt;52,"",(MAX($C$1164:$C$1215)+MIN($D$1164:$D$1215))/2)</f>
        <v>0</v>
      </c>
      <c r="AY1215">
        <f>IF(COUNT($E$2:$E1215)&lt;20,"",MAX($C$1116:$C$1215))</f>
        <v>0</v>
      </c>
      <c r="AZ1215">
        <f>IF(COUNT($E$2:$E1215)&lt;20,"",MIN($D$1116:$D$1215))</f>
        <v>0</v>
      </c>
      <c r="BA1215">
        <f>IF(COUNT($E$2:$E1215)&lt;20,"",SLOPE($E$1116:$E$1215,$F$1116:$F$1215))</f>
        <v>0</v>
      </c>
      <c r="BB1215">
        <f>IF(COUNT($E$2:$E1215)&lt;20,"",INTERCEPT($E$1116:$E$1215,$F$1116:$F$1215))</f>
        <v>0</v>
      </c>
      <c r="BC1215">
        <f>IF(OR(BA1215="",BB1215=""),"",BB1215+BA1215*F1215)</f>
        <v>0</v>
      </c>
      <c r="BD1215">
        <f>IF(COUNT($E$2:$E1215)&lt;20,"",STEYX($E$1116:$E$1215,$F$1116:$F$1215))</f>
        <v>0</v>
      </c>
      <c r="BE1215">
        <f>IF($E1215="","",IF(AND(COUNT($E$1216:$E$1219)&gt;=4,$C1215=MAX($C$1211:$C$1219)),$C1215,""))</f>
        <v>0</v>
      </c>
      <c r="BF1215">
        <f>IF($E1215="","",IF(AND(COUNT($E$1216:$E$1219)&gt;=4,$D1215=MIN($D$1211:$D$1219)),$D1215,""))</f>
        <v>0</v>
      </c>
      <c r="BG1215">
        <f>IF($A1215="","",$A1215-WEEKDAY($A1215,2)+1)</f>
        <v>0</v>
      </c>
      <c r="BH1215">
        <f>IF($A1215="","",IF($A1214="",1,IF(BG1215&lt;&gt;BG1214,1,0)))</f>
        <v>0</v>
      </c>
      <c r="BI1215">
        <f>IF($A1215="","",IF($A1216="",1,IF(BG1216&lt;&gt;BG1215,1,0)))</f>
        <v>0</v>
      </c>
      <c r="BJ1215">
        <f>IF($A1215="","",IF(BH1215=1,$B1215,BJ1214))</f>
        <v>0</v>
      </c>
      <c r="BK1215">
        <f>IF($A1215="","",IF(BH1215=1,$C1215,MAX($C1215,BK1214)))</f>
        <v>0</v>
      </c>
      <c r="BL1215">
        <f>IF($A1215="","",IF(BH1215=1,$D1215,MIN($D1215,BL1214)))</f>
        <v>0</v>
      </c>
      <c r="BM1215">
        <f>IF($A1215="","",IF(BI1215=1,F1215,""))</f>
        <v>0</v>
      </c>
      <c r="BN1215">
        <f>IF($A1215="","",DATE(YEAR($A1215),MONTH($A1215),1))</f>
        <v>0</v>
      </c>
      <c r="BO1215">
        <f>IF($A1215="","",IF($A1214="",1,IF(BN1215&lt;&gt;BN1214,1,0)))</f>
        <v>0</v>
      </c>
      <c r="BP1215">
        <f>IF($A1215="","",IF($A1216="",1,IF(BN1216&lt;&gt;BN1215,1,0)))</f>
        <v>0</v>
      </c>
      <c r="BQ1215">
        <f>IF($A1215="","",IF(BO1215=1,$B1215,BQ1214))</f>
        <v>0</v>
      </c>
      <c r="BR1215">
        <f>IF($A1215="","",IF(BO1215=1,$C1215,MAX($C1215,BR1214)))</f>
        <v>0</v>
      </c>
      <c r="BS1215">
        <f>IF($A1215="","",IF(BO1215=1,$D1215,MIN($D1215,BS1214)))</f>
        <v>0</v>
      </c>
      <c r="BT1215">
        <f>IF($A1215="","",IF(BP1215=1,F1215,""))</f>
        <v>0</v>
      </c>
    </row>
    <row r="1216" spans="1:72">
      <c r="A1216" s="27">
        <f>IF(Data!$A1216="","",Data!$A1216)</f>
        <v>0</v>
      </c>
      <c r="B1216">
        <f>IF(Data!$B1216="","",Data!$B1216)</f>
        <v>0</v>
      </c>
      <c r="C1216">
        <f>IF(Data!$C1216="","",Data!$C1216)</f>
        <v>0</v>
      </c>
      <c r="D1216">
        <f>IF(Data!$D1216="","",Data!$D1216)</f>
        <v>0</v>
      </c>
      <c r="E1216">
        <f>IF(Data!$E1216="","",Data!$E1216)</f>
        <v>0</v>
      </c>
      <c r="F1216">
        <f>IF($E1216="","",N(F1215)+1)</f>
        <v>0</v>
      </c>
      <c r="G1216">
        <f>IF(OR($E1216="",$E1215=""),"",LN($E1216/$E1215))</f>
        <v>0</v>
      </c>
      <c r="H1216">
        <f>IF($E1216="","",IF($E1215="",$E1216,$E1216*0.0952380952+H1215*0.9047619048))</f>
        <v>0</v>
      </c>
      <c r="I1216">
        <f>IF($E1216="","",IF($E1215="",$E1216,$E1216*0.0392156863+I1215*0.9607843137))</f>
        <v>0</v>
      </c>
      <c r="J1216">
        <f>IF($E1216="","",IF($E1215="",$E1216,$E1216*0.0198019802+J1215*0.9801980198))</f>
        <v>0</v>
      </c>
      <c r="K1216">
        <f>IF($E1216="","",IF($E1215="",$E1216,$E1216*0.0099502488+K1215*0.9900497512))</f>
        <v>0</v>
      </c>
      <c r="L1216">
        <f>IF(OR($E1216="",$E1215=""),"",MAX($E1216-$E1215,0))</f>
        <v>0</v>
      </c>
      <c r="M1216">
        <f>IF(OR($E1216="",$E1215=""),"",MAX($E1215-$E1216,0))</f>
        <v>0</v>
      </c>
      <c r="N1216">
        <f>IF(COUNT($E$2:$E1216)&lt;15,"",IF(AVERAGE($M$1203:$M$1216)=0,100,100-100/(1+AVERAGE($L$1203:$L$1216)/AVERAGE($M$1203:$M$1216))))</f>
        <v>0</v>
      </c>
      <c r="O1216">
        <f>IF($E1216="","",IF($E1215="",$E1216,$E1216*0.1538461538+O1215*0.8461538462))</f>
        <v>0</v>
      </c>
      <c r="P1216">
        <f>IF($E1216="","",IF($E1215="",$E1216,$E1216*0.0740740741+P1215*0.9259259259))</f>
        <v>0</v>
      </c>
      <c r="Q1216">
        <f>IF(OR(O1216="",P1216=""),"",O1216-P1216)</f>
        <v>0</v>
      </c>
      <c r="R1216">
        <f>IF(Q1216="","",IF(R1215="",Q1216,Q1216*0.2000000000+R1215*0.8000000000))</f>
        <v>0</v>
      </c>
      <c r="S1216">
        <f>IF(OR(Q1216="",R1216=""),"",Q1216-R1216)</f>
        <v>0</v>
      </c>
      <c r="T1216">
        <f>IF(COUNT($E$2:$E1216)&lt;14,"",MAX($C$1203:$C$1216))</f>
        <v>0</v>
      </c>
      <c r="U1216">
        <f>IF(COUNT($E$2:$E1216)&lt;14,"",MIN($D$1203:$D$1216))</f>
        <v>0</v>
      </c>
      <c r="V1216">
        <f>IF(OR(T1216="",U1216="",T1216=U1216),"",100*($E1216-U1216)/(T1216-U1216))</f>
        <v>0</v>
      </c>
      <c r="W1216">
        <f>IF(COUNT($V$1214:$V$1216)&lt;3,"",AVERAGE($V$1214:$V$1216))</f>
        <v>0</v>
      </c>
      <c r="X1216">
        <f>IF(COUNT($N$1203:$N$1216)&lt;14,"",MIN($N$1203:$N$1216))</f>
        <v>0</v>
      </c>
      <c r="Y1216">
        <f>IF(COUNT($N$1203:$N$1216)&lt;14,"",MAX($N$1203:$N$1216))</f>
        <v>0</v>
      </c>
      <c r="Z1216">
        <f>IF(OR(N1216="",X1216="",Y1216="",Y1216=X1216),"",100*(N1216-X1216)/(Y1216-X1216))</f>
        <v>0</v>
      </c>
      <c r="AA1216">
        <f>IF(COUNT($Z$1214:$Z$1216)&lt;3,"",AVERAGE($Z$1214:$Z$1216))</f>
        <v>0</v>
      </c>
      <c r="AB1216">
        <f>IF(COUNT($AA$1214:$AA$1216)&lt;3,"",AVERAGE($AA$1214:$AA$1216))</f>
        <v>0</v>
      </c>
      <c r="AC1216">
        <f>IF($E1216="","",MAX($C1216-$D1216,ABS($C1216-$E1215),ABS($D1216-$E1215)))</f>
        <v>0</v>
      </c>
      <c r="AD1216">
        <f>IF(COUNT($E$2:$E1216)&lt;15,"",AVERAGE($AC$1203:$AC$1216))</f>
        <v>0</v>
      </c>
      <c r="AE1216">
        <f>IF(OR($E1216="",$E1215=""),"",IF(AND(($C1216-$C1215)&gt;($D1215-$D1216),($C1216-$C1215)&gt;0),$C1216-$C1215,0))</f>
        <v>0</v>
      </c>
      <c r="AF1216">
        <f>IF(OR($E1216="",$E1215=""),"",IF(AND(($D1215-$D1216)&gt;($C1216-$C1215),($D1215-$D1216)&gt;0),$D1215-$D1216,0))</f>
        <v>0</v>
      </c>
      <c r="AG1216">
        <f>IF(COUNT($E$2:$E1216)&lt;15,"",IF(SUM($AC$1203:$AC$1216)=0,0,100*SUM($AE$1203:$AE$1216)/SUM($AC$1203:$AC$1216)))</f>
        <v>0</v>
      </c>
      <c r="AH1216">
        <f>IF(COUNT($E$2:$E1216)&lt;15,"",IF(SUM($AC$1203:$AC$1216)=0,0,100*SUM($AF$1203:$AF$1216)/SUM($AC$1203:$AC$1216)))</f>
        <v>0</v>
      </c>
      <c r="AI1216">
        <f>IF(OR(AG1216="",AH1216=""),"",IF((AG1216+AH1216)=0,0,100*ABS(AG1216-AH1216)/(AG1216+AH1216)))</f>
        <v>0</v>
      </c>
      <c r="AJ1216">
        <f>IF(COUNT($AI$1203:$AI$1216)&lt;14,"",AVERAGE($AI$1203:$AI$1216))</f>
        <v>0</v>
      </c>
      <c r="AK1216">
        <f>IF(COUNT($E$2:$E1216)&lt;20,"",AVERAGE($E$1197:$E$1216))</f>
        <v>0</v>
      </c>
      <c r="AL1216">
        <f>IF(COUNT($E$2:$E1216)&lt;20,"",STDEVP($E$1197:$E$1216))</f>
        <v>0</v>
      </c>
      <c r="AM1216">
        <f>IF(AK1216="","",AK1216+2*AL1216)</f>
        <v>0</v>
      </c>
      <c r="AN1216">
        <f>IF(AK1216="","",AK1216-2*AL1216)</f>
        <v>0</v>
      </c>
      <c r="AO1216">
        <f>IF(OR(AM1216="",AN1216="",AM1216=AN1216),"",($E1216-AN1216)/(AM1216-AN1216))</f>
        <v>0</v>
      </c>
      <c r="AP1216">
        <f>IF(OR(AM1216="",AK1216="",AK1216=0),"",(AM1216-AN1216)/AK1216)</f>
        <v>0</v>
      </c>
      <c r="AQ1216">
        <f>IF(COUNT($E$2:$E1216)&lt;20,"",MAX($C$1197:$C$1216))</f>
        <v>0</v>
      </c>
      <c r="AR1216">
        <f>IF(COUNT($E$2:$E1216)&lt;20,"",MIN($D$1197:$D$1216))</f>
        <v>0</v>
      </c>
      <c r="AS1216">
        <f>IF(OR(AQ1216="",AR1216=""),"",(AQ1216+AR1216)/2)</f>
        <v>0</v>
      </c>
      <c r="AT1216">
        <f>IF(COUNT($G$1197:$G$1216)&lt;20,"",STDEV($G$1197:$G$1216)*SQRT(252))</f>
        <v>0</v>
      </c>
      <c r="AU1216">
        <f>IF(COUNT($E$2:$E1216)&lt;9,"",(MAX($C$1208:$C$1216)+MIN($D$1208:$D$1216))/2)</f>
        <v>0</v>
      </c>
      <c r="AV1216">
        <f>IF(COUNT($E$2:$E1216)&lt;26,"",(MAX($C$1191:$C$1216)+MIN($D$1191:$D$1216))/2)</f>
        <v>0</v>
      </c>
      <c r="AW1216">
        <f>IF(OR(AU1216="",AV1216=""),"",(AU1216+AV1216)/2)</f>
        <v>0</v>
      </c>
      <c r="AX1216">
        <f>IF(COUNT($E$2:$E1216)&lt;52,"",(MAX($C$1165:$C$1216)+MIN($D$1165:$D$1216))/2)</f>
        <v>0</v>
      </c>
      <c r="AY1216">
        <f>IF(COUNT($E$2:$E1216)&lt;20,"",MAX($C$1117:$C$1216))</f>
        <v>0</v>
      </c>
      <c r="AZ1216">
        <f>IF(COUNT($E$2:$E1216)&lt;20,"",MIN($D$1117:$D$1216))</f>
        <v>0</v>
      </c>
      <c r="BA1216">
        <f>IF(COUNT($E$2:$E1216)&lt;20,"",SLOPE($E$1117:$E$1216,$F$1117:$F$1216))</f>
        <v>0</v>
      </c>
      <c r="BB1216">
        <f>IF(COUNT($E$2:$E1216)&lt;20,"",INTERCEPT($E$1117:$E$1216,$F$1117:$F$1216))</f>
        <v>0</v>
      </c>
      <c r="BC1216">
        <f>IF(OR(BA1216="",BB1216=""),"",BB1216+BA1216*F1216)</f>
        <v>0</v>
      </c>
      <c r="BD1216">
        <f>IF(COUNT($E$2:$E1216)&lt;20,"",STEYX($E$1117:$E$1216,$F$1117:$F$1216))</f>
        <v>0</v>
      </c>
      <c r="BE1216">
        <f>IF($E1216="","",IF(AND(COUNT($E$1217:$E$1220)&gt;=4,$C1216=MAX($C$1212:$C$1220)),$C1216,""))</f>
        <v>0</v>
      </c>
      <c r="BF1216">
        <f>IF($E1216="","",IF(AND(COUNT($E$1217:$E$1220)&gt;=4,$D1216=MIN($D$1212:$D$1220)),$D1216,""))</f>
        <v>0</v>
      </c>
      <c r="BG1216">
        <f>IF($A1216="","",$A1216-WEEKDAY($A1216,2)+1)</f>
        <v>0</v>
      </c>
      <c r="BH1216">
        <f>IF($A1216="","",IF($A1215="",1,IF(BG1216&lt;&gt;BG1215,1,0)))</f>
        <v>0</v>
      </c>
      <c r="BI1216">
        <f>IF($A1216="","",IF($A1217="",1,IF(BG1217&lt;&gt;BG1216,1,0)))</f>
        <v>0</v>
      </c>
      <c r="BJ1216">
        <f>IF($A1216="","",IF(BH1216=1,$B1216,BJ1215))</f>
        <v>0</v>
      </c>
      <c r="BK1216">
        <f>IF($A1216="","",IF(BH1216=1,$C1216,MAX($C1216,BK1215)))</f>
        <v>0</v>
      </c>
      <c r="BL1216">
        <f>IF($A1216="","",IF(BH1216=1,$D1216,MIN($D1216,BL1215)))</f>
        <v>0</v>
      </c>
      <c r="BM1216">
        <f>IF($A1216="","",IF(BI1216=1,F1216,""))</f>
        <v>0</v>
      </c>
      <c r="BN1216">
        <f>IF($A1216="","",DATE(YEAR($A1216),MONTH($A1216),1))</f>
        <v>0</v>
      </c>
      <c r="BO1216">
        <f>IF($A1216="","",IF($A1215="",1,IF(BN1216&lt;&gt;BN1215,1,0)))</f>
        <v>0</v>
      </c>
      <c r="BP1216">
        <f>IF($A1216="","",IF($A1217="",1,IF(BN1217&lt;&gt;BN1216,1,0)))</f>
        <v>0</v>
      </c>
      <c r="BQ1216">
        <f>IF($A1216="","",IF(BO1216=1,$B1216,BQ1215))</f>
        <v>0</v>
      </c>
      <c r="BR1216">
        <f>IF($A1216="","",IF(BO1216=1,$C1216,MAX($C1216,BR1215)))</f>
        <v>0</v>
      </c>
      <c r="BS1216">
        <f>IF($A1216="","",IF(BO1216=1,$D1216,MIN($D1216,BS1215)))</f>
        <v>0</v>
      </c>
      <c r="BT1216">
        <f>IF($A1216="","",IF(BP1216=1,F1216,""))</f>
        <v>0</v>
      </c>
    </row>
    <row r="1217" spans="1:72">
      <c r="A1217" s="27">
        <f>IF(Data!$A1217="","",Data!$A1217)</f>
        <v>0</v>
      </c>
      <c r="B1217">
        <f>IF(Data!$B1217="","",Data!$B1217)</f>
        <v>0</v>
      </c>
      <c r="C1217">
        <f>IF(Data!$C1217="","",Data!$C1217)</f>
        <v>0</v>
      </c>
      <c r="D1217">
        <f>IF(Data!$D1217="","",Data!$D1217)</f>
        <v>0</v>
      </c>
      <c r="E1217">
        <f>IF(Data!$E1217="","",Data!$E1217)</f>
        <v>0</v>
      </c>
      <c r="F1217">
        <f>IF($E1217="","",N(F1216)+1)</f>
        <v>0</v>
      </c>
      <c r="G1217">
        <f>IF(OR($E1217="",$E1216=""),"",LN($E1217/$E1216))</f>
        <v>0</v>
      </c>
      <c r="H1217">
        <f>IF($E1217="","",IF($E1216="",$E1217,$E1217*0.0952380952+H1216*0.9047619048))</f>
        <v>0</v>
      </c>
      <c r="I1217">
        <f>IF($E1217="","",IF($E1216="",$E1217,$E1217*0.0392156863+I1216*0.9607843137))</f>
        <v>0</v>
      </c>
      <c r="J1217">
        <f>IF($E1217="","",IF($E1216="",$E1217,$E1217*0.0198019802+J1216*0.9801980198))</f>
        <v>0</v>
      </c>
      <c r="K1217">
        <f>IF($E1217="","",IF($E1216="",$E1217,$E1217*0.0099502488+K1216*0.9900497512))</f>
        <v>0</v>
      </c>
      <c r="L1217">
        <f>IF(OR($E1217="",$E1216=""),"",MAX($E1217-$E1216,0))</f>
        <v>0</v>
      </c>
      <c r="M1217">
        <f>IF(OR($E1217="",$E1216=""),"",MAX($E1216-$E1217,0))</f>
        <v>0</v>
      </c>
      <c r="N1217">
        <f>IF(COUNT($E$2:$E1217)&lt;15,"",IF(AVERAGE($M$1204:$M$1217)=0,100,100-100/(1+AVERAGE($L$1204:$L$1217)/AVERAGE($M$1204:$M$1217))))</f>
        <v>0</v>
      </c>
      <c r="O1217">
        <f>IF($E1217="","",IF($E1216="",$E1217,$E1217*0.1538461538+O1216*0.8461538462))</f>
        <v>0</v>
      </c>
      <c r="P1217">
        <f>IF($E1217="","",IF($E1216="",$E1217,$E1217*0.0740740741+P1216*0.9259259259))</f>
        <v>0</v>
      </c>
      <c r="Q1217">
        <f>IF(OR(O1217="",P1217=""),"",O1217-P1217)</f>
        <v>0</v>
      </c>
      <c r="R1217">
        <f>IF(Q1217="","",IF(R1216="",Q1217,Q1217*0.2000000000+R1216*0.8000000000))</f>
        <v>0</v>
      </c>
      <c r="S1217">
        <f>IF(OR(Q1217="",R1217=""),"",Q1217-R1217)</f>
        <v>0</v>
      </c>
      <c r="T1217">
        <f>IF(COUNT($E$2:$E1217)&lt;14,"",MAX($C$1204:$C$1217))</f>
        <v>0</v>
      </c>
      <c r="U1217">
        <f>IF(COUNT($E$2:$E1217)&lt;14,"",MIN($D$1204:$D$1217))</f>
        <v>0</v>
      </c>
      <c r="V1217">
        <f>IF(OR(T1217="",U1217="",T1217=U1217),"",100*($E1217-U1217)/(T1217-U1217))</f>
        <v>0</v>
      </c>
      <c r="W1217">
        <f>IF(COUNT($V$1215:$V$1217)&lt;3,"",AVERAGE($V$1215:$V$1217))</f>
        <v>0</v>
      </c>
      <c r="X1217">
        <f>IF(COUNT($N$1204:$N$1217)&lt;14,"",MIN($N$1204:$N$1217))</f>
        <v>0</v>
      </c>
      <c r="Y1217">
        <f>IF(COUNT($N$1204:$N$1217)&lt;14,"",MAX($N$1204:$N$1217))</f>
        <v>0</v>
      </c>
      <c r="Z1217">
        <f>IF(OR(N1217="",X1217="",Y1217="",Y1217=X1217),"",100*(N1217-X1217)/(Y1217-X1217))</f>
        <v>0</v>
      </c>
      <c r="AA1217">
        <f>IF(COUNT($Z$1215:$Z$1217)&lt;3,"",AVERAGE($Z$1215:$Z$1217))</f>
        <v>0</v>
      </c>
      <c r="AB1217">
        <f>IF(COUNT($AA$1215:$AA$1217)&lt;3,"",AVERAGE($AA$1215:$AA$1217))</f>
        <v>0</v>
      </c>
      <c r="AC1217">
        <f>IF($E1217="","",MAX($C1217-$D1217,ABS($C1217-$E1216),ABS($D1217-$E1216)))</f>
        <v>0</v>
      </c>
      <c r="AD1217">
        <f>IF(COUNT($E$2:$E1217)&lt;15,"",AVERAGE($AC$1204:$AC$1217))</f>
        <v>0</v>
      </c>
      <c r="AE1217">
        <f>IF(OR($E1217="",$E1216=""),"",IF(AND(($C1217-$C1216)&gt;($D1216-$D1217),($C1217-$C1216)&gt;0),$C1217-$C1216,0))</f>
        <v>0</v>
      </c>
      <c r="AF1217">
        <f>IF(OR($E1217="",$E1216=""),"",IF(AND(($D1216-$D1217)&gt;($C1217-$C1216),($D1216-$D1217)&gt;0),$D1216-$D1217,0))</f>
        <v>0</v>
      </c>
      <c r="AG1217">
        <f>IF(COUNT($E$2:$E1217)&lt;15,"",IF(SUM($AC$1204:$AC$1217)=0,0,100*SUM($AE$1204:$AE$1217)/SUM($AC$1204:$AC$1217)))</f>
        <v>0</v>
      </c>
      <c r="AH1217">
        <f>IF(COUNT($E$2:$E1217)&lt;15,"",IF(SUM($AC$1204:$AC$1217)=0,0,100*SUM($AF$1204:$AF$1217)/SUM($AC$1204:$AC$1217)))</f>
        <v>0</v>
      </c>
      <c r="AI1217">
        <f>IF(OR(AG1217="",AH1217=""),"",IF((AG1217+AH1217)=0,0,100*ABS(AG1217-AH1217)/(AG1217+AH1217)))</f>
        <v>0</v>
      </c>
      <c r="AJ1217">
        <f>IF(COUNT($AI$1204:$AI$1217)&lt;14,"",AVERAGE($AI$1204:$AI$1217))</f>
        <v>0</v>
      </c>
      <c r="AK1217">
        <f>IF(COUNT($E$2:$E1217)&lt;20,"",AVERAGE($E$1198:$E$1217))</f>
        <v>0</v>
      </c>
      <c r="AL1217">
        <f>IF(COUNT($E$2:$E1217)&lt;20,"",STDEVP($E$1198:$E$1217))</f>
        <v>0</v>
      </c>
      <c r="AM1217">
        <f>IF(AK1217="","",AK1217+2*AL1217)</f>
        <v>0</v>
      </c>
      <c r="AN1217">
        <f>IF(AK1217="","",AK1217-2*AL1217)</f>
        <v>0</v>
      </c>
      <c r="AO1217">
        <f>IF(OR(AM1217="",AN1217="",AM1217=AN1217),"",($E1217-AN1217)/(AM1217-AN1217))</f>
        <v>0</v>
      </c>
      <c r="AP1217">
        <f>IF(OR(AM1217="",AK1217="",AK1217=0),"",(AM1217-AN1217)/AK1217)</f>
        <v>0</v>
      </c>
      <c r="AQ1217">
        <f>IF(COUNT($E$2:$E1217)&lt;20,"",MAX($C$1198:$C$1217))</f>
        <v>0</v>
      </c>
      <c r="AR1217">
        <f>IF(COUNT($E$2:$E1217)&lt;20,"",MIN($D$1198:$D$1217))</f>
        <v>0</v>
      </c>
      <c r="AS1217">
        <f>IF(OR(AQ1217="",AR1217=""),"",(AQ1217+AR1217)/2)</f>
        <v>0</v>
      </c>
      <c r="AT1217">
        <f>IF(COUNT($G$1198:$G$1217)&lt;20,"",STDEV($G$1198:$G$1217)*SQRT(252))</f>
        <v>0</v>
      </c>
      <c r="AU1217">
        <f>IF(COUNT($E$2:$E1217)&lt;9,"",(MAX($C$1209:$C$1217)+MIN($D$1209:$D$1217))/2)</f>
        <v>0</v>
      </c>
      <c r="AV1217">
        <f>IF(COUNT($E$2:$E1217)&lt;26,"",(MAX($C$1192:$C$1217)+MIN($D$1192:$D$1217))/2)</f>
        <v>0</v>
      </c>
      <c r="AW1217">
        <f>IF(OR(AU1217="",AV1217=""),"",(AU1217+AV1217)/2)</f>
        <v>0</v>
      </c>
      <c r="AX1217">
        <f>IF(COUNT($E$2:$E1217)&lt;52,"",(MAX($C$1166:$C$1217)+MIN($D$1166:$D$1217))/2)</f>
        <v>0</v>
      </c>
      <c r="AY1217">
        <f>IF(COUNT($E$2:$E1217)&lt;20,"",MAX($C$1118:$C$1217))</f>
        <v>0</v>
      </c>
      <c r="AZ1217">
        <f>IF(COUNT($E$2:$E1217)&lt;20,"",MIN($D$1118:$D$1217))</f>
        <v>0</v>
      </c>
      <c r="BA1217">
        <f>IF(COUNT($E$2:$E1217)&lt;20,"",SLOPE($E$1118:$E$1217,$F$1118:$F$1217))</f>
        <v>0</v>
      </c>
      <c r="BB1217">
        <f>IF(COUNT($E$2:$E1217)&lt;20,"",INTERCEPT($E$1118:$E$1217,$F$1118:$F$1217))</f>
        <v>0</v>
      </c>
      <c r="BC1217">
        <f>IF(OR(BA1217="",BB1217=""),"",BB1217+BA1217*F1217)</f>
        <v>0</v>
      </c>
      <c r="BD1217">
        <f>IF(COUNT($E$2:$E1217)&lt;20,"",STEYX($E$1118:$E$1217,$F$1118:$F$1217))</f>
        <v>0</v>
      </c>
      <c r="BE1217">
        <f>IF($E1217="","",IF(AND(COUNT($E$1218:$E$1221)&gt;=4,$C1217=MAX($C$1213:$C$1221)),$C1217,""))</f>
        <v>0</v>
      </c>
      <c r="BF1217">
        <f>IF($E1217="","",IF(AND(COUNT($E$1218:$E$1221)&gt;=4,$D1217=MIN($D$1213:$D$1221)),$D1217,""))</f>
        <v>0</v>
      </c>
      <c r="BG1217">
        <f>IF($A1217="","",$A1217-WEEKDAY($A1217,2)+1)</f>
        <v>0</v>
      </c>
      <c r="BH1217">
        <f>IF($A1217="","",IF($A1216="",1,IF(BG1217&lt;&gt;BG1216,1,0)))</f>
        <v>0</v>
      </c>
      <c r="BI1217">
        <f>IF($A1217="","",IF($A1218="",1,IF(BG1218&lt;&gt;BG1217,1,0)))</f>
        <v>0</v>
      </c>
      <c r="BJ1217">
        <f>IF($A1217="","",IF(BH1217=1,$B1217,BJ1216))</f>
        <v>0</v>
      </c>
      <c r="BK1217">
        <f>IF($A1217="","",IF(BH1217=1,$C1217,MAX($C1217,BK1216)))</f>
        <v>0</v>
      </c>
      <c r="BL1217">
        <f>IF($A1217="","",IF(BH1217=1,$D1217,MIN($D1217,BL1216)))</f>
        <v>0</v>
      </c>
      <c r="BM1217">
        <f>IF($A1217="","",IF(BI1217=1,F1217,""))</f>
        <v>0</v>
      </c>
      <c r="BN1217">
        <f>IF($A1217="","",DATE(YEAR($A1217),MONTH($A1217),1))</f>
        <v>0</v>
      </c>
      <c r="BO1217">
        <f>IF($A1217="","",IF($A1216="",1,IF(BN1217&lt;&gt;BN1216,1,0)))</f>
        <v>0</v>
      </c>
      <c r="BP1217">
        <f>IF($A1217="","",IF($A1218="",1,IF(BN1218&lt;&gt;BN1217,1,0)))</f>
        <v>0</v>
      </c>
      <c r="BQ1217">
        <f>IF($A1217="","",IF(BO1217=1,$B1217,BQ1216))</f>
        <v>0</v>
      </c>
      <c r="BR1217">
        <f>IF($A1217="","",IF(BO1217=1,$C1217,MAX($C1217,BR1216)))</f>
        <v>0</v>
      </c>
      <c r="BS1217">
        <f>IF($A1217="","",IF(BO1217=1,$D1217,MIN($D1217,BS1216)))</f>
        <v>0</v>
      </c>
      <c r="BT1217">
        <f>IF($A1217="","",IF(BP1217=1,F1217,""))</f>
        <v>0</v>
      </c>
    </row>
    <row r="1218" spans="1:72">
      <c r="A1218" s="27">
        <f>IF(Data!$A1218="","",Data!$A1218)</f>
        <v>0</v>
      </c>
      <c r="B1218">
        <f>IF(Data!$B1218="","",Data!$B1218)</f>
        <v>0</v>
      </c>
      <c r="C1218">
        <f>IF(Data!$C1218="","",Data!$C1218)</f>
        <v>0</v>
      </c>
      <c r="D1218">
        <f>IF(Data!$D1218="","",Data!$D1218)</f>
        <v>0</v>
      </c>
      <c r="E1218">
        <f>IF(Data!$E1218="","",Data!$E1218)</f>
        <v>0</v>
      </c>
      <c r="F1218">
        <f>IF($E1218="","",N(F1217)+1)</f>
        <v>0</v>
      </c>
      <c r="G1218">
        <f>IF(OR($E1218="",$E1217=""),"",LN($E1218/$E1217))</f>
        <v>0</v>
      </c>
      <c r="H1218">
        <f>IF($E1218="","",IF($E1217="",$E1218,$E1218*0.0952380952+H1217*0.9047619048))</f>
        <v>0</v>
      </c>
      <c r="I1218">
        <f>IF($E1218="","",IF($E1217="",$E1218,$E1218*0.0392156863+I1217*0.9607843137))</f>
        <v>0</v>
      </c>
      <c r="J1218">
        <f>IF($E1218="","",IF($E1217="",$E1218,$E1218*0.0198019802+J1217*0.9801980198))</f>
        <v>0</v>
      </c>
      <c r="K1218">
        <f>IF($E1218="","",IF($E1217="",$E1218,$E1218*0.0099502488+K1217*0.9900497512))</f>
        <v>0</v>
      </c>
      <c r="L1218">
        <f>IF(OR($E1218="",$E1217=""),"",MAX($E1218-$E1217,0))</f>
        <v>0</v>
      </c>
      <c r="M1218">
        <f>IF(OR($E1218="",$E1217=""),"",MAX($E1217-$E1218,0))</f>
        <v>0</v>
      </c>
      <c r="N1218">
        <f>IF(COUNT($E$2:$E1218)&lt;15,"",IF(AVERAGE($M$1205:$M$1218)=0,100,100-100/(1+AVERAGE($L$1205:$L$1218)/AVERAGE($M$1205:$M$1218))))</f>
        <v>0</v>
      </c>
      <c r="O1218">
        <f>IF($E1218="","",IF($E1217="",$E1218,$E1218*0.1538461538+O1217*0.8461538462))</f>
        <v>0</v>
      </c>
      <c r="P1218">
        <f>IF($E1218="","",IF($E1217="",$E1218,$E1218*0.0740740741+P1217*0.9259259259))</f>
        <v>0</v>
      </c>
      <c r="Q1218">
        <f>IF(OR(O1218="",P1218=""),"",O1218-P1218)</f>
        <v>0</v>
      </c>
      <c r="R1218">
        <f>IF(Q1218="","",IF(R1217="",Q1218,Q1218*0.2000000000+R1217*0.8000000000))</f>
        <v>0</v>
      </c>
      <c r="S1218">
        <f>IF(OR(Q1218="",R1218=""),"",Q1218-R1218)</f>
        <v>0</v>
      </c>
      <c r="T1218">
        <f>IF(COUNT($E$2:$E1218)&lt;14,"",MAX($C$1205:$C$1218))</f>
        <v>0</v>
      </c>
      <c r="U1218">
        <f>IF(COUNT($E$2:$E1218)&lt;14,"",MIN($D$1205:$D$1218))</f>
        <v>0</v>
      </c>
      <c r="V1218">
        <f>IF(OR(T1218="",U1218="",T1218=U1218),"",100*($E1218-U1218)/(T1218-U1218))</f>
        <v>0</v>
      </c>
      <c r="W1218">
        <f>IF(COUNT($V$1216:$V$1218)&lt;3,"",AVERAGE($V$1216:$V$1218))</f>
        <v>0</v>
      </c>
      <c r="X1218">
        <f>IF(COUNT($N$1205:$N$1218)&lt;14,"",MIN($N$1205:$N$1218))</f>
        <v>0</v>
      </c>
      <c r="Y1218">
        <f>IF(COUNT($N$1205:$N$1218)&lt;14,"",MAX($N$1205:$N$1218))</f>
        <v>0</v>
      </c>
      <c r="Z1218">
        <f>IF(OR(N1218="",X1218="",Y1218="",Y1218=X1218),"",100*(N1218-X1218)/(Y1218-X1218))</f>
        <v>0</v>
      </c>
      <c r="AA1218">
        <f>IF(COUNT($Z$1216:$Z$1218)&lt;3,"",AVERAGE($Z$1216:$Z$1218))</f>
        <v>0</v>
      </c>
      <c r="AB1218">
        <f>IF(COUNT($AA$1216:$AA$1218)&lt;3,"",AVERAGE($AA$1216:$AA$1218))</f>
        <v>0</v>
      </c>
      <c r="AC1218">
        <f>IF($E1218="","",MAX($C1218-$D1218,ABS($C1218-$E1217),ABS($D1218-$E1217)))</f>
        <v>0</v>
      </c>
      <c r="AD1218">
        <f>IF(COUNT($E$2:$E1218)&lt;15,"",AVERAGE($AC$1205:$AC$1218))</f>
        <v>0</v>
      </c>
      <c r="AE1218">
        <f>IF(OR($E1218="",$E1217=""),"",IF(AND(($C1218-$C1217)&gt;($D1217-$D1218),($C1218-$C1217)&gt;0),$C1218-$C1217,0))</f>
        <v>0</v>
      </c>
      <c r="AF1218">
        <f>IF(OR($E1218="",$E1217=""),"",IF(AND(($D1217-$D1218)&gt;($C1218-$C1217),($D1217-$D1218)&gt;0),$D1217-$D1218,0))</f>
        <v>0</v>
      </c>
      <c r="AG1218">
        <f>IF(COUNT($E$2:$E1218)&lt;15,"",IF(SUM($AC$1205:$AC$1218)=0,0,100*SUM($AE$1205:$AE$1218)/SUM($AC$1205:$AC$1218)))</f>
        <v>0</v>
      </c>
      <c r="AH1218">
        <f>IF(COUNT($E$2:$E1218)&lt;15,"",IF(SUM($AC$1205:$AC$1218)=0,0,100*SUM($AF$1205:$AF$1218)/SUM($AC$1205:$AC$1218)))</f>
        <v>0</v>
      </c>
      <c r="AI1218">
        <f>IF(OR(AG1218="",AH1218=""),"",IF((AG1218+AH1218)=0,0,100*ABS(AG1218-AH1218)/(AG1218+AH1218)))</f>
        <v>0</v>
      </c>
      <c r="AJ1218">
        <f>IF(COUNT($AI$1205:$AI$1218)&lt;14,"",AVERAGE($AI$1205:$AI$1218))</f>
        <v>0</v>
      </c>
      <c r="AK1218">
        <f>IF(COUNT($E$2:$E1218)&lt;20,"",AVERAGE($E$1199:$E$1218))</f>
        <v>0</v>
      </c>
      <c r="AL1218">
        <f>IF(COUNT($E$2:$E1218)&lt;20,"",STDEVP($E$1199:$E$1218))</f>
        <v>0</v>
      </c>
      <c r="AM1218">
        <f>IF(AK1218="","",AK1218+2*AL1218)</f>
        <v>0</v>
      </c>
      <c r="AN1218">
        <f>IF(AK1218="","",AK1218-2*AL1218)</f>
        <v>0</v>
      </c>
      <c r="AO1218">
        <f>IF(OR(AM1218="",AN1218="",AM1218=AN1218),"",($E1218-AN1218)/(AM1218-AN1218))</f>
        <v>0</v>
      </c>
      <c r="AP1218">
        <f>IF(OR(AM1218="",AK1218="",AK1218=0),"",(AM1218-AN1218)/AK1218)</f>
        <v>0</v>
      </c>
      <c r="AQ1218">
        <f>IF(COUNT($E$2:$E1218)&lt;20,"",MAX($C$1199:$C$1218))</f>
        <v>0</v>
      </c>
      <c r="AR1218">
        <f>IF(COUNT($E$2:$E1218)&lt;20,"",MIN($D$1199:$D$1218))</f>
        <v>0</v>
      </c>
      <c r="AS1218">
        <f>IF(OR(AQ1218="",AR1218=""),"",(AQ1218+AR1218)/2)</f>
        <v>0</v>
      </c>
      <c r="AT1218">
        <f>IF(COUNT($G$1199:$G$1218)&lt;20,"",STDEV($G$1199:$G$1218)*SQRT(252))</f>
        <v>0</v>
      </c>
      <c r="AU1218">
        <f>IF(COUNT($E$2:$E1218)&lt;9,"",(MAX($C$1210:$C$1218)+MIN($D$1210:$D$1218))/2)</f>
        <v>0</v>
      </c>
      <c r="AV1218">
        <f>IF(COUNT($E$2:$E1218)&lt;26,"",(MAX($C$1193:$C$1218)+MIN($D$1193:$D$1218))/2)</f>
        <v>0</v>
      </c>
      <c r="AW1218">
        <f>IF(OR(AU1218="",AV1218=""),"",(AU1218+AV1218)/2)</f>
        <v>0</v>
      </c>
      <c r="AX1218">
        <f>IF(COUNT($E$2:$E1218)&lt;52,"",(MAX($C$1167:$C$1218)+MIN($D$1167:$D$1218))/2)</f>
        <v>0</v>
      </c>
      <c r="AY1218">
        <f>IF(COUNT($E$2:$E1218)&lt;20,"",MAX($C$1119:$C$1218))</f>
        <v>0</v>
      </c>
      <c r="AZ1218">
        <f>IF(COUNT($E$2:$E1218)&lt;20,"",MIN($D$1119:$D$1218))</f>
        <v>0</v>
      </c>
      <c r="BA1218">
        <f>IF(COUNT($E$2:$E1218)&lt;20,"",SLOPE($E$1119:$E$1218,$F$1119:$F$1218))</f>
        <v>0</v>
      </c>
      <c r="BB1218">
        <f>IF(COUNT($E$2:$E1218)&lt;20,"",INTERCEPT($E$1119:$E$1218,$F$1119:$F$1218))</f>
        <v>0</v>
      </c>
      <c r="BC1218">
        <f>IF(OR(BA1218="",BB1218=""),"",BB1218+BA1218*F1218)</f>
        <v>0</v>
      </c>
      <c r="BD1218">
        <f>IF(COUNT($E$2:$E1218)&lt;20,"",STEYX($E$1119:$E$1218,$F$1119:$F$1218))</f>
        <v>0</v>
      </c>
      <c r="BE1218">
        <f>IF($E1218="","",IF(AND(COUNT($E$1219:$E$1222)&gt;=4,$C1218=MAX($C$1214:$C$1222)),$C1218,""))</f>
        <v>0</v>
      </c>
      <c r="BF1218">
        <f>IF($E1218="","",IF(AND(COUNT($E$1219:$E$1222)&gt;=4,$D1218=MIN($D$1214:$D$1222)),$D1218,""))</f>
        <v>0</v>
      </c>
      <c r="BG1218">
        <f>IF($A1218="","",$A1218-WEEKDAY($A1218,2)+1)</f>
        <v>0</v>
      </c>
      <c r="BH1218">
        <f>IF($A1218="","",IF($A1217="",1,IF(BG1218&lt;&gt;BG1217,1,0)))</f>
        <v>0</v>
      </c>
      <c r="BI1218">
        <f>IF($A1218="","",IF($A1219="",1,IF(BG1219&lt;&gt;BG1218,1,0)))</f>
        <v>0</v>
      </c>
      <c r="BJ1218">
        <f>IF($A1218="","",IF(BH1218=1,$B1218,BJ1217))</f>
        <v>0</v>
      </c>
      <c r="BK1218">
        <f>IF($A1218="","",IF(BH1218=1,$C1218,MAX($C1218,BK1217)))</f>
        <v>0</v>
      </c>
      <c r="BL1218">
        <f>IF($A1218="","",IF(BH1218=1,$D1218,MIN($D1218,BL1217)))</f>
        <v>0</v>
      </c>
      <c r="BM1218">
        <f>IF($A1218="","",IF(BI1218=1,F1218,""))</f>
        <v>0</v>
      </c>
      <c r="BN1218">
        <f>IF($A1218="","",DATE(YEAR($A1218),MONTH($A1218),1))</f>
        <v>0</v>
      </c>
      <c r="BO1218">
        <f>IF($A1218="","",IF($A1217="",1,IF(BN1218&lt;&gt;BN1217,1,0)))</f>
        <v>0</v>
      </c>
      <c r="BP1218">
        <f>IF($A1218="","",IF($A1219="",1,IF(BN1219&lt;&gt;BN1218,1,0)))</f>
        <v>0</v>
      </c>
      <c r="BQ1218">
        <f>IF($A1218="","",IF(BO1218=1,$B1218,BQ1217))</f>
        <v>0</v>
      </c>
      <c r="BR1218">
        <f>IF($A1218="","",IF(BO1218=1,$C1218,MAX($C1218,BR1217)))</f>
        <v>0</v>
      </c>
      <c r="BS1218">
        <f>IF($A1218="","",IF(BO1218=1,$D1218,MIN($D1218,BS1217)))</f>
        <v>0</v>
      </c>
      <c r="BT1218">
        <f>IF($A1218="","",IF(BP1218=1,F1218,""))</f>
        <v>0</v>
      </c>
    </row>
    <row r="1219" spans="1:72">
      <c r="A1219" s="27">
        <f>IF(Data!$A1219="","",Data!$A1219)</f>
        <v>0</v>
      </c>
      <c r="B1219">
        <f>IF(Data!$B1219="","",Data!$B1219)</f>
        <v>0</v>
      </c>
      <c r="C1219">
        <f>IF(Data!$C1219="","",Data!$C1219)</f>
        <v>0</v>
      </c>
      <c r="D1219">
        <f>IF(Data!$D1219="","",Data!$D1219)</f>
        <v>0</v>
      </c>
      <c r="E1219">
        <f>IF(Data!$E1219="","",Data!$E1219)</f>
        <v>0</v>
      </c>
      <c r="F1219">
        <f>IF($E1219="","",N(F1218)+1)</f>
        <v>0</v>
      </c>
      <c r="G1219">
        <f>IF(OR($E1219="",$E1218=""),"",LN($E1219/$E1218))</f>
        <v>0</v>
      </c>
      <c r="H1219">
        <f>IF($E1219="","",IF($E1218="",$E1219,$E1219*0.0952380952+H1218*0.9047619048))</f>
        <v>0</v>
      </c>
      <c r="I1219">
        <f>IF($E1219="","",IF($E1218="",$E1219,$E1219*0.0392156863+I1218*0.9607843137))</f>
        <v>0</v>
      </c>
      <c r="J1219">
        <f>IF($E1219="","",IF($E1218="",$E1219,$E1219*0.0198019802+J1218*0.9801980198))</f>
        <v>0</v>
      </c>
      <c r="K1219">
        <f>IF($E1219="","",IF($E1218="",$E1219,$E1219*0.0099502488+K1218*0.9900497512))</f>
        <v>0</v>
      </c>
      <c r="L1219">
        <f>IF(OR($E1219="",$E1218=""),"",MAX($E1219-$E1218,0))</f>
        <v>0</v>
      </c>
      <c r="M1219">
        <f>IF(OR($E1219="",$E1218=""),"",MAX($E1218-$E1219,0))</f>
        <v>0</v>
      </c>
      <c r="N1219">
        <f>IF(COUNT($E$2:$E1219)&lt;15,"",IF(AVERAGE($M$1206:$M$1219)=0,100,100-100/(1+AVERAGE($L$1206:$L$1219)/AVERAGE($M$1206:$M$1219))))</f>
        <v>0</v>
      </c>
      <c r="O1219">
        <f>IF($E1219="","",IF($E1218="",$E1219,$E1219*0.1538461538+O1218*0.8461538462))</f>
        <v>0</v>
      </c>
      <c r="P1219">
        <f>IF($E1219="","",IF($E1218="",$E1219,$E1219*0.0740740741+P1218*0.9259259259))</f>
        <v>0</v>
      </c>
      <c r="Q1219">
        <f>IF(OR(O1219="",P1219=""),"",O1219-P1219)</f>
        <v>0</v>
      </c>
      <c r="R1219">
        <f>IF(Q1219="","",IF(R1218="",Q1219,Q1219*0.2000000000+R1218*0.8000000000))</f>
        <v>0</v>
      </c>
      <c r="S1219">
        <f>IF(OR(Q1219="",R1219=""),"",Q1219-R1219)</f>
        <v>0</v>
      </c>
      <c r="T1219">
        <f>IF(COUNT($E$2:$E1219)&lt;14,"",MAX($C$1206:$C$1219))</f>
        <v>0</v>
      </c>
      <c r="U1219">
        <f>IF(COUNT($E$2:$E1219)&lt;14,"",MIN($D$1206:$D$1219))</f>
        <v>0</v>
      </c>
      <c r="V1219">
        <f>IF(OR(T1219="",U1219="",T1219=U1219),"",100*($E1219-U1219)/(T1219-U1219))</f>
        <v>0</v>
      </c>
      <c r="W1219">
        <f>IF(COUNT($V$1217:$V$1219)&lt;3,"",AVERAGE($V$1217:$V$1219))</f>
        <v>0</v>
      </c>
      <c r="X1219">
        <f>IF(COUNT($N$1206:$N$1219)&lt;14,"",MIN($N$1206:$N$1219))</f>
        <v>0</v>
      </c>
      <c r="Y1219">
        <f>IF(COUNT($N$1206:$N$1219)&lt;14,"",MAX($N$1206:$N$1219))</f>
        <v>0</v>
      </c>
      <c r="Z1219">
        <f>IF(OR(N1219="",X1219="",Y1219="",Y1219=X1219),"",100*(N1219-X1219)/(Y1219-X1219))</f>
        <v>0</v>
      </c>
      <c r="AA1219">
        <f>IF(COUNT($Z$1217:$Z$1219)&lt;3,"",AVERAGE($Z$1217:$Z$1219))</f>
        <v>0</v>
      </c>
      <c r="AB1219">
        <f>IF(COUNT($AA$1217:$AA$1219)&lt;3,"",AVERAGE($AA$1217:$AA$1219))</f>
        <v>0</v>
      </c>
      <c r="AC1219">
        <f>IF($E1219="","",MAX($C1219-$D1219,ABS($C1219-$E1218),ABS($D1219-$E1218)))</f>
        <v>0</v>
      </c>
      <c r="AD1219">
        <f>IF(COUNT($E$2:$E1219)&lt;15,"",AVERAGE($AC$1206:$AC$1219))</f>
        <v>0</v>
      </c>
      <c r="AE1219">
        <f>IF(OR($E1219="",$E1218=""),"",IF(AND(($C1219-$C1218)&gt;($D1218-$D1219),($C1219-$C1218)&gt;0),$C1219-$C1218,0))</f>
        <v>0</v>
      </c>
      <c r="AF1219">
        <f>IF(OR($E1219="",$E1218=""),"",IF(AND(($D1218-$D1219)&gt;($C1219-$C1218),($D1218-$D1219)&gt;0),$D1218-$D1219,0))</f>
        <v>0</v>
      </c>
      <c r="AG1219">
        <f>IF(COUNT($E$2:$E1219)&lt;15,"",IF(SUM($AC$1206:$AC$1219)=0,0,100*SUM($AE$1206:$AE$1219)/SUM($AC$1206:$AC$1219)))</f>
        <v>0</v>
      </c>
      <c r="AH1219">
        <f>IF(COUNT($E$2:$E1219)&lt;15,"",IF(SUM($AC$1206:$AC$1219)=0,0,100*SUM($AF$1206:$AF$1219)/SUM($AC$1206:$AC$1219)))</f>
        <v>0</v>
      </c>
      <c r="AI1219">
        <f>IF(OR(AG1219="",AH1219=""),"",IF((AG1219+AH1219)=0,0,100*ABS(AG1219-AH1219)/(AG1219+AH1219)))</f>
        <v>0</v>
      </c>
      <c r="AJ1219">
        <f>IF(COUNT($AI$1206:$AI$1219)&lt;14,"",AVERAGE($AI$1206:$AI$1219))</f>
        <v>0</v>
      </c>
      <c r="AK1219">
        <f>IF(COUNT($E$2:$E1219)&lt;20,"",AVERAGE($E$1200:$E$1219))</f>
        <v>0</v>
      </c>
      <c r="AL1219">
        <f>IF(COUNT($E$2:$E1219)&lt;20,"",STDEVP($E$1200:$E$1219))</f>
        <v>0</v>
      </c>
      <c r="AM1219">
        <f>IF(AK1219="","",AK1219+2*AL1219)</f>
        <v>0</v>
      </c>
      <c r="AN1219">
        <f>IF(AK1219="","",AK1219-2*AL1219)</f>
        <v>0</v>
      </c>
      <c r="AO1219">
        <f>IF(OR(AM1219="",AN1219="",AM1219=AN1219),"",($E1219-AN1219)/(AM1219-AN1219))</f>
        <v>0</v>
      </c>
      <c r="AP1219">
        <f>IF(OR(AM1219="",AK1219="",AK1219=0),"",(AM1219-AN1219)/AK1219)</f>
        <v>0</v>
      </c>
      <c r="AQ1219">
        <f>IF(COUNT($E$2:$E1219)&lt;20,"",MAX($C$1200:$C$1219))</f>
        <v>0</v>
      </c>
      <c r="AR1219">
        <f>IF(COUNT($E$2:$E1219)&lt;20,"",MIN($D$1200:$D$1219))</f>
        <v>0</v>
      </c>
      <c r="AS1219">
        <f>IF(OR(AQ1219="",AR1219=""),"",(AQ1219+AR1219)/2)</f>
        <v>0</v>
      </c>
      <c r="AT1219">
        <f>IF(COUNT($G$1200:$G$1219)&lt;20,"",STDEV($G$1200:$G$1219)*SQRT(252))</f>
        <v>0</v>
      </c>
      <c r="AU1219">
        <f>IF(COUNT($E$2:$E1219)&lt;9,"",(MAX($C$1211:$C$1219)+MIN($D$1211:$D$1219))/2)</f>
        <v>0</v>
      </c>
      <c r="AV1219">
        <f>IF(COUNT($E$2:$E1219)&lt;26,"",(MAX($C$1194:$C$1219)+MIN($D$1194:$D$1219))/2)</f>
        <v>0</v>
      </c>
      <c r="AW1219">
        <f>IF(OR(AU1219="",AV1219=""),"",(AU1219+AV1219)/2)</f>
        <v>0</v>
      </c>
      <c r="AX1219">
        <f>IF(COUNT($E$2:$E1219)&lt;52,"",(MAX($C$1168:$C$1219)+MIN($D$1168:$D$1219))/2)</f>
        <v>0</v>
      </c>
      <c r="AY1219">
        <f>IF(COUNT($E$2:$E1219)&lt;20,"",MAX($C$1120:$C$1219))</f>
        <v>0</v>
      </c>
      <c r="AZ1219">
        <f>IF(COUNT($E$2:$E1219)&lt;20,"",MIN($D$1120:$D$1219))</f>
        <v>0</v>
      </c>
      <c r="BA1219">
        <f>IF(COUNT($E$2:$E1219)&lt;20,"",SLOPE($E$1120:$E$1219,$F$1120:$F$1219))</f>
        <v>0</v>
      </c>
      <c r="BB1219">
        <f>IF(COUNT($E$2:$E1219)&lt;20,"",INTERCEPT($E$1120:$E$1219,$F$1120:$F$1219))</f>
        <v>0</v>
      </c>
      <c r="BC1219">
        <f>IF(OR(BA1219="",BB1219=""),"",BB1219+BA1219*F1219)</f>
        <v>0</v>
      </c>
      <c r="BD1219">
        <f>IF(COUNT($E$2:$E1219)&lt;20,"",STEYX($E$1120:$E$1219,$F$1120:$F$1219))</f>
        <v>0</v>
      </c>
      <c r="BE1219">
        <f>IF($E1219="","",IF(AND(COUNT($E$1220:$E$1223)&gt;=4,$C1219=MAX($C$1215:$C$1223)),$C1219,""))</f>
        <v>0</v>
      </c>
      <c r="BF1219">
        <f>IF($E1219="","",IF(AND(COUNT($E$1220:$E$1223)&gt;=4,$D1219=MIN($D$1215:$D$1223)),$D1219,""))</f>
        <v>0</v>
      </c>
      <c r="BG1219">
        <f>IF($A1219="","",$A1219-WEEKDAY($A1219,2)+1)</f>
        <v>0</v>
      </c>
      <c r="BH1219">
        <f>IF($A1219="","",IF($A1218="",1,IF(BG1219&lt;&gt;BG1218,1,0)))</f>
        <v>0</v>
      </c>
      <c r="BI1219">
        <f>IF($A1219="","",IF($A1220="",1,IF(BG1220&lt;&gt;BG1219,1,0)))</f>
        <v>0</v>
      </c>
      <c r="BJ1219">
        <f>IF($A1219="","",IF(BH1219=1,$B1219,BJ1218))</f>
        <v>0</v>
      </c>
      <c r="BK1219">
        <f>IF($A1219="","",IF(BH1219=1,$C1219,MAX($C1219,BK1218)))</f>
        <v>0</v>
      </c>
      <c r="BL1219">
        <f>IF($A1219="","",IF(BH1219=1,$D1219,MIN($D1219,BL1218)))</f>
        <v>0</v>
      </c>
      <c r="BM1219">
        <f>IF($A1219="","",IF(BI1219=1,F1219,""))</f>
        <v>0</v>
      </c>
      <c r="BN1219">
        <f>IF($A1219="","",DATE(YEAR($A1219),MONTH($A1219),1))</f>
        <v>0</v>
      </c>
      <c r="BO1219">
        <f>IF($A1219="","",IF($A1218="",1,IF(BN1219&lt;&gt;BN1218,1,0)))</f>
        <v>0</v>
      </c>
      <c r="BP1219">
        <f>IF($A1219="","",IF($A1220="",1,IF(BN1220&lt;&gt;BN1219,1,0)))</f>
        <v>0</v>
      </c>
      <c r="BQ1219">
        <f>IF($A1219="","",IF(BO1219=1,$B1219,BQ1218))</f>
        <v>0</v>
      </c>
      <c r="BR1219">
        <f>IF($A1219="","",IF(BO1219=1,$C1219,MAX($C1219,BR1218)))</f>
        <v>0</v>
      </c>
      <c r="BS1219">
        <f>IF($A1219="","",IF(BO1219=1,$D1219,MIN($D1219,BS1218)))</f>
        <v>0</v>
      </c>
      <c r="BT1219">
        <f>IF($A1219="","",IF(BP1219=1,F1219,""))</f>
        <v>0</v>
      </c>
    </row>
    <row r="1220" spans="1:72">
      <c r="A1220" s="27">
        <f>IF(Data!$A1220="","",Data!$A1220)</f>
        <v>0</v>
      </c>
      <c r="B1220">
        <f>IF(Data!$B1220="","",Data!$B1220)</f>
        <v>0</v>
      </c>
      <c r="C1220">
        <f>IF(Data!$C1220="","",Data!$C1220)</f>
        <v>0</v>
      </c>
      <c r="D1220">
        <f>IF(Data!$D1220="","",Data!$D1220)</f>
        <v>0</v>
      </c>
      <c r="E1220">
        <f>IF(Data!$E1220="","",Data!$E1220)</f>
        <v>0</v>
      </c>
      <c r="F1220">
        <f>IF($E1220="","",N(F1219)+1)</f>
        <v>0</v>
      </c>
      <c r="G1220">
        <f>IF(OR($E1220="",$E1219=""),"",LN($E1220/$E1219))</f>
        <v>0</v>
      </c>
      <c r="H1220">
        <f>IF($E1220="","",IF($E1219="",$E1220,$E1220*0.0952380952+H1219*0.9047619048))</f>
        <v>0</v>
      </c>
      <c r="I1220">
        <f>IF($E1220="","",IF($E1219="",$E1220,$E1220*0.0392156863+I1219*0.9607843137))</f>
        <v>0</v>
      </c>
      <c r="J1220">
        <f>IF($E1220="","",IF($E1219="",$E1220,$E1220*0.0198019802+J1219*0.9801980198))</f>
        <v>0</v>
      </c>
      <c r="K1220">
        <f>IF($E1220="","",IF($E1219="",$E1220,$E1220*0.0099502488+K1219*0.9900497512))</f>
        <v>0</v>
      </c>
      <c r="L1220">
        <f>IF(OR($E1220="",$E1219=""),"",MAX($E1220-$E1219,0))</f>
        <v>0</v>
      </c>
      <c r="M1220">
        <f>IF(OR($E1220="",$E1219=""),"",MAX($E1219-$E1220,0))</f>
        <v>0</v>
      </c>
      <c r="N1220">
        <f>IF(COUNT($E$2:$E1220)&lt;15,"",IF(AVERAGE($M$1207:$M$1220)=0,100,100-100/(1+AVERAGE($L$1207:$L$1220)/AVERAGE($M$1207:$M$1220))))</f>
        <v>0</v>
      </c>
      <c r="O1220">
        <f>IF($E1220="","",IF($E1219="",$E1220,$E1220*0.1538461538+O1219*0.8461538462))</f>
        <v>0</v>
      </c>
      <c r="P1220">
        <f>IF($E1220="","",IF($E1219="",$E1220,$E1220*0.0740740741+P1219*0.9259259259))</f>
        <v>0</v>
      </c>
      <c r="Q1220">
        <f>IF(OR(O1220="",P1220=""),"",O1220-P1220)</f>
        <v>0</v>
      </c>
      <c r="R1220">
        <f>IF(Q1220="","",IF(R1219="",Q1220,Q1220*0.2000000000+R1219*0.8000000000))</f>
        <v>0</v>
      </c>
      <c r="S1220">
        <f>IF(OR(Q1220="",R1220=""),"",Q1220-R1220)</f>
        <v>0</v>
      </c>
      <c r="T1220">
        <f>IF(COUNT($E$2:$E1220)&lt;14,"",MAX($C$1207:$C$1220))</f>
        <v>0</v>
      </c>
      <c r="U1220">
        <f>IF(COUNT($E$2:$E1220)&lt;14,"",MIN($D$1207:$D$1220))</f>
        <v>0</v>
      </c>
      <c r="V1220">
        <f>IF(OR(T1220="",U1220="",T1220=U1220),"",100*($E1220-U1220)/(T1220-U1220))</f>
        <v>0</v>
      </c>
      <c r="W1220">
        <f>IF(COUNT($V$1218:$V$1220)&lt;3,"",AVERAGE($V$1218:$V$1220))</f>
        <v>0</v>
      </c>
      <c r="X1220">
        <f>IF(COUNT($N$1207:$N$1220)&lt;14,"",MIN($N$1207:$N$1220))</f>
        <v>0</v>
      </c>
      <c r="Y1220">
        <f>IF(COUNT($N$1207:$N$1220)&lt;14,"",MAX($N$1207:$N$1220))</f>
        <v>0</v>
      </c>
      <c r="Z1220">
        <f>IF(OR(N1220="",X1220="",Y1220="",Y1220=X1220),"",100*(N1220-X1220)/(Y1220-X1220))</f>
        <v>0</v>
      </c>
      <c r="AA1220">
        <f>IF(COUNT($Z$1218:$Z$1220)&lt;3,"",AVERAGE($Z$1218:$Z$1220))</f>
        <v>0</v>
      </c>
      <c r="AB1220">
        <f>IF(COUNT($AA$1218:$AA$1220)&lt;3,"",AVERAGE($AA$1218:$AA$1220))</f>
        <v>0</v>
      </c>
      <c r="AC1220">
        <f>IF($E1220="","",MAX($C1220-$D1220,ABS($C1220-$E1219),ABS($D1220-$E1219)))</f>
        <v>0</v>
      </c>
      <c r="AD1220">
        <f>IF(COUNT($E$2:$E1220)&lt;15,"",AVERAGE($AC$1207:$AC$1220))</f>
        <v>0</v>
      </c>
      <c r="AE1220">
        <f>IF(OR($E1220="",$E1219=""),"",IF(AND(($C1220-$C1219)&gt;($D1219-$D1220),($C1220-$C1219)&gt;0),$C1220-$C1219,0))</f>
        <v>0</v>
      </c>
      <c r="AF1220">
        <f>IF(OR($E1220="",$E1219=""),"",IF(AND(($D1219-$D1220)&gt;($C1220-$C1219),($D1219-$D1220)&gt;0),$D1219-$D1220,0))</f>
        <v>0</v>
      </c>
      <c r="AG1220">
        <f>IF(COUNT($E$2:$E1220)&lt;15,"",IF(SUM($AC$1207:$AC$1220)=0,0,100*SUM($AE$1207:$AE$1220)/SUM($AC$1207:$AC$1220)))</f>
        <v>0</v>
      </c>
      <c r="AH1220">
        <f>IF(COUNT($E$2:$E1220)&lt;15,"",IF(SUM($AC$1207:$AC$1220)=0,0,100*SUM($AF$1207:$AF$1220)/SUM($AC$1207:$AC$1220)))</f>
        <v>0</v>
      </c>
      <c r="AI1220">
        <f>IF(OR(AG1220="",AH1220=""),"",IF((AG1220+AH1220)=0,0,100*ABS(AG1220-AH1220)/(AG1220+AH1220)))</f>
        <v>0</v>
      </c>
      <c r="AJ1220">
        <f>IF(COUNT($AI$1207:$AI$1220)&lt;14,"",AVERAGE($AI$1207:$AI$1220))</f>
        <v>0</v>
      </c>
      <c r="AK1220">
        <f>IF(COUNT($E$2:$E1220)&lt;20,"",AVERAGE($E$1201:$E$1220))</f>
        <v>0</v>
      </c>
      <c r="AL1220">
        <f>IF(COUNT($E$2:$E1220)&lt;20,"",STDEVP($E$1201:$E$1220))</f>
        <v>0</v>
      </c>
      <c r="AM1220">
        <f>IF(AK1220="","",AK1220+2*AL1220)</f>
        <v>0</v>
      </c>
      <c r="AN1220">
        <f>IF(AK1220="","",AK1220-2*AL1220)</f>
        <v>0</v>
      </c>
      <c r="AO1220">
        <f>IF(OR(AM1220="",AN1220="",AM1220=AN1220),"",($E1220-AN1220)/(AM1220-AN1220))</f>
        <v>0</v>
      </c>
      <c r="AP1220">
        <f>IF(OR(AM1220="",AK1220="",AK1220=0),"",(AM1220-AN1220)/AK1220)</f>
        <v>0</v>
      </c>
      <c r="AQ1220">
        <f>IF(COUNT($E$2:$E1220)&lt;20,"",MAX($C$1201:$C$1220))</f>
        <v>0</v>
      </c>
      <c r="AR1220">
        <f>IF(COUNT($E$2:$E1220)&lt;20,"",MIN($D$1201:$D$1220))</f>
        <v>0</v>
      </c>
      <c r="AS1220">
        <f>IF(OR(AQ1220="",AR1220=""),"",(AQ1220+AR1220)/2)</f>
        <v>0</v>
      </c>
      <c r="AT1220">
        <f>IF(COUNT($G$1201:$G$1220)&lt;20,"",STDEV($G$1201:$G$1220)*SQRT(252))</f>
        <v>0</v>
      </c>
      <c r="AU1220">
        <f>IF(COUNT($E$2:$E1220)&lt;9,"",(MAX($C$1212:$C$1220)+MIN($D$1212:$D$1220))/2)</f>
        <v>0</v>
      </c>
      <c r="AV1220">
        <f>IF(COUNT($E$2:$E1220)&lt;26,"",(MAX($C$1195:$C$1220)+MIN($D$1195:$D$1220))/2)</f>
        <v>0</v>
      </c>
      <c r="AW1220">
        <f>IF(OR(AU1220="",AV1220=""),"",(AU1220+AV1220)/2)</f>
        <v>0</v>
      </c>
      <c r="AX1220">
        <f>IF(COUNT($E$2:$E1220)&lt;52,"",(MAX($C$1169:$C$1220)+MIN($D$1169:$D$1220))/2)</f>
        <v>0</v>
      </c>
      <c r="AY1220">
        <f>IF(COUNT($E$2:$E1220)&lt;20,"",MAX($C$1121:$C$1220))</f>
        <v>0</v>
      </c>
      <c r="AZ1220">
        <f>IF(COUNT($E$2:$E1220)&lt;20,"",MIN($D$1121:$D$1220))</f>
        <v>0</v>
      </c>
      <c r="BA1220">
        <f>IF(COUNT($E$2:$E1220)&lt;20,"",SLOPE($E$1121:$E$1220,$F$1121:$F$1220))</f>
        <v>0</v>
      </c>
      <c r="BB1220">
        <f>IF(COUNT($E$2:$E1220)&lt;20,"",INTERCEPT($E$1121:$E$1220,$F$1121:$F$1220))</f>
        <v>0</v>
      </c>
      <c r="BC1220">
        <f>IF(OR(BA1220="",BB1220=""),"",BB1220+BA1220*F1220)</f>
        <v>0</v>
      </c>
      <c r="BD1220">
        <f>IF(COUNT($E$2:$E1220)&lt;20,"",STEYX($E$1121:$E$1220,$F$1121:$F$1220))</f>
        <v>0</v>
      </c>
      <c r="BE1220">
        <f>IF($E1220="","",IF(AND(COUNT($E$1221:$E$1224)&gt;=4,$C1220=MAX($C$1216:$C$1224)),$C1220,""))</f>
        <v>0</v>
      </c>
      <c r="BF1220">
        <f>IF($E1220="","",IF(AND(COUNT($E$1221:$E$1224)&gt;=4,$D1220=MIN($D$1216:$D$1224)),$D1220,""))</f>
        <v>0</v>
      </c>
      <c r="BG1220">
        <f>IF($A1220="","",$A1220-WEEKDAY($A1220,2)+1)</f>
        <v>0</v>
      </c>
      <c r="BH1220">
        <f>IF($A1220="","",IF($A1219="",1,IF(BG1220&lt;&gt;BG1219,1,0)))</f>
        <v>0</v>
      </c>
      <c r="BI1220">
        <f>IF($A1220="","",IF($A1221="",1,IF(BG1221&lt;&gt;BG1220,1,0)))</f>
        <v>0</v>
      </c>
      <c r="BJ1220">
        <f>IF($A1220="","",IF(BH1220=1,$B1220,BJ1219))</f>
        <v>0</v>
      </c>
      <c r="BK1220">
        <f>IF($A1220="","",IF(BH1220=1,$C1220,MAX($C1220,BK1219)))</f>
        <v>0</v>
      </c>
      <c r="BL1220">
        <f>IF($A1220="","",IF(BH1220=1,$D1220,MIN($D1220,BL1219)))</f>
        <v>0</v>
      </c>
      <c r="BM1220">
        <f>IF($A1220="","",IF(BI1220=1,F1220,""))</f>
        <v>0</v>
      </c>
      <c r="BN1220">
        <f>IF($A1220="","",DATE(YEAR($A1220),MONTH($A1220),1))</f>
        <v>0</v>
      </c>
      <c r="BO1220">
        <f>IF($A1220="","",IF($A1219="",1,IF(BN1220&lt;&gt;BN1219,1,0)))</f>
        <v>0</v>
      </c>
      <c r="BP1220">
        <f>IF($A1220="","",IF($A1221="",1,IF(BN1221&lt;&gt;BN1220,1,0)))</f>
        <v>0</v>
      </c>
      <c r="BQ1220">
        <f>IF($A1220="","",IF(BO1220=1,$B1220,BQ1219))</f>
        <v>0</v>
      </c>
      <c r="BR1220">
        <f>IF($A1220="","",IF(BO1220=1,$C1220,MAX($C1220,BR1219)))</f>
        <v>0</v>
      </c>
      <c r="BS1220">
        <f>IF($A1220="","",IF(BO1220=1,$D1220,MIN($D1220,BS1219)))</f>
        <v>0</v>
      </c>
      <c r="BT1220">
        <f>IF($A1220="","",IF(BP1220=1,F1220,""))</f>
        <v>0</v>
      </c>
    </row>
    <row r="1221" spans="1:72">
      <c r="A1221" s="27">
        <f>IF(Data!$A1221="","",Data!$A1221)</f>
        <v>0</v>
      </c>
      <c r="B1221">
        <f>IF(Data!$B1221="","",Data!$B1221)</f>
        <v>0</v>
      </c>
      <c r="C1221">
        <f>IF(Data!$C1221="","",Data!$C1221)</f>
        <v>0</v>
      </c>
      <c r="D1221">
        <f>IF(Data!$D1221="","",Data!$D1221)</f>
        <v>0</v>
      </c>
      <c r="E1221">
        <f>IF(Data!$E1221="","",Data!$E1221)</f>
        <v>0</v>
      </c>
      <c r="F1221">
        <f>IF($E1221="","",N(F1220)+1)</f>
        <v>0</v>
      </c>
      <c r="G1221">
        <f>IF(OR($E1221="",$E1220=""),"",LN($E1221/$E1220))</f>
        <v>0</v>
      </c>
      <c r="H1221">
        <f>IF($E1221="","",IF($E1220="",$E1221,$E1221*0.0952380952+H1220*0.9047619048))</f>
        <v>0</v>
      </c>
      <c r="I1221">
        <f>IF($E1221="","",IF($E1220="",$E1221,$E1221*0.0392156863+I1220*0.9607843137))</f>
        <v>0</v>
      </c>
      <c r="J1221">
        <f>IF($E1221="","",IF($E1220="",$E1221,$E1221*0.0198019802+J1220*0.9801980198))</f>
        <v>0</v>
      </c>
      <c r="K1221">
        <f>IF($E1221="","",IF($E1220="",$E1221,$E1221*0.0099502488+K1220*0.9900497512))</f>
        <v>0</v>
      </c>
      <c r="L1221">
        <f>IF(OR($E1221="",$E1220=""),"",MAX($E1221-$E1220,0))</f>
        <v>0</v>
      </c>
      <c r="M1221">
        <f>IF(OR($E1221="",$E1220=""),"",MAX($E1220-$E1221,0))</f>
        <v>0</v>
      </c>
      <c r="N1221">
        <f>IF(COUNT($E$2:$E1221)&lt;15,"",IF(AVERAGE($M$1208:$M$1221)=0,100,100-100/(1+AVERAGE($L$1208:$L$1221)/AVERAGE($M$1208:$M$1221))))</f>
        <v>0</v>
      </c>
      <c r="O1221">
        <f>IF($E1221="","",IF($E1220="",$E1221,$E1221*0.1538461538+O1220*0.8461538462))</f>
        <v>0</v>
      </c>
      <c r="P1221">
        <f>IF($E1221="","",IF($E1220="",$E1221,$E1221*0.0740740741+P1220*0.9259259259))</f>
        <v>0</v>
      </c>
      <c r="Q1221">
        <f>IF(OR(O1221="",P1221=""),"",O1221-P1221)</f>
        <v>0</v>
      </c>
      <c r="R1221">
        <f>IF(Q1221="","",IF(R1220="",Q1221,Q1221*0.2000000000+R1220*0.8000000000))</f>
        <v>0</v>
      </c>
      <c r="S1221">
        <f>IF(OR(Q1221="",R1221=""),"",Q1221-R1221)</f>
        <v>0</v>
      </c>
      <c r="T1221">
        <f>IF(COUNT($E$2:$E1221)&lt;14,"",MAX($C$1208:$C$1221))</f>
        <v>0</v>
      </c>
      <c r="U1221">
        <f>IF(COUNT($E$2:$E1221)&lt;14,"",MIN($D$1208:$D$1221))</f>
        <v>0</v>
      </c>
      <c r="V1221">
        <f>IF(OR(T1221="",U1221="",T1221=U1221),"",100*($E1221-U1221)/(T1221-U1221))</f>
        <v>0</v>
      </c>
      <c r="W1221">
        <f>IF(COUNT($V$1219:$V$1221)&lt;3,"",AVERAGE($V$1219:$V$1221))</f>
        <v>0</v>
      </c>
      <c r="X1221">
        <f>IF(COUNT($N$1208:$N$1221)&lt;14,"",MIN($N$1208:$N$1221))</f>
        <v>0</v>
      </c>
      <c r="Y1221">
        <f>IF(COUNT($N$1208:$N$1221)&lt;14,"",MAX($N$1208:$N$1221))</f>
        <v>0</v>
      </c>
      <c r="Z1221">
        <f>IF(OR(N1221="",X1221="",Y1221="",Y1221=X1221),"",100*(N1221-X1221)/(Y1221-X1221))</f>
        <v>0</v>
      </c>
      <c r="AA1221">
        <f>IF(COUNT($Z$1219:$Z$1221)&lt;3,"",AVERAGE($Z$1219:$Z$1221))</f>
        <v>0</v>
      </c>
      <c r="AB1221">
        <f>IF(COUNT($AA$1219:$AA$1221)&lt;3,"",AVERAGE($AA$1219:$AA$1221))</f>
        <v>0</v>
      </c>
      <c r="AC1221">
        <f>IF($E1221="","",MAX($C1221-$D1221,ABS($C1221-$E1220),ABS($D1221-$E1220)))</f>
        <v>0</v>
      </c>
      <c r="AD1221">
        <f>IF(COUNT($E$2:$E1221)&lt;15,"",AVERAGE($AC$1208:$AC$1221))</f>
        <v>0</v>
      </c>
      <c r="AE1221">
        <f>IF(OR($E1221="",$E1220=""),"",IF(AND(($C1221-$C1220)&gt;($D1220-$D1221),($C1221-$C1220)&gt;0),$C1221-$C1220,0))</f>
        <v>0</v>
      </c>
      <c r="AF1221">
        <f>IF(OR($E1221="",$E1220=""),"",IF(AND(($D1220-$D1221)&gt;($C1221-$C1220),($D1220-$D1221)&gt;0),$D1220-$D1221,0))</f>
        <v>0</v>
      </c>
      <c r="AG1221">
        <f>IF(COUNT($E$2:$E1221)&lt;15,"",IF(SUM($AC$1208:$AC$1221)=0,0,100*SUM($AE$1208:$AE$1221)/SUM($AC$1208:$AC$1221)))</f>
        <v>0</v>
      </c>
      <c r="AH1221">
        <f>IF(COUNT($E$2:$E1221)&lt;15,"",IF(SUM($AC$1208:$AC$1221)=0,0,100*SUM($AF$1208:$AF$1221)/SUM($AC$1208:$AC$1221)))</f>
        <v>0</v>
      </c>
      <c r="AI1221">
        <f>IF(OR(AG1221="",AH1221=""),"",IF((AG1221+AH1221)=0,0,100*ABS(AG1221-AH1221)/(AG1221+AH1221)))</f>
        <v>0</v>
      </c>
      <c r="AJ1221">
        <f>IF(COUNT($AI$1208:$AI$1221)&lt;14,"",AVERAGE($AI$1208:$AI$1221))</f>
        <v>0</v>
      </c>
      <c r="AK1221">
        <f>IF(COUNT($E$2:$E1221)&lt;20,"",AVERAGE($E$1202:$E$1221))</f>
        <v>0</v>
      </c>
      <c r="AL1221">
        <f>IF(COUNT($E$2:$E1221)&lt;20,"",STDEVP($E$1202:$E$1221))</f>
        <v>0</v>
      </c>
      <c r="AM1221">
        <f>IF(AK1221="","",AK1221+2*AL1221)</f>
        <v>0</v>
      </c>
      <c r="AN1221">
        <f>IF(AK1221="","",AK1221-2*AL1221)</f>
        <v>0</v>
      </c>
      <c r="AO1221">
        <f>IF(OR(AM1221="",AN1221="",AM1221=AN1221),"",($E1221-AN1221)/(AM1221-AN1221))</f>
        <v>0</v>
      </c>
      <c r="AP1221">
        <f>IF(OR(AM1221="",AK1221="",AK1221=0),"",(AM1221-AN1221)/AK1221)</f>
        <v>0</v>
      </c>
      <c r="AQ1221">
        <f>IF(COUNT($E$2:$E1221)&lt;20,"",MAX($C$1202:$C$1221))</f>
        <v>0</v>
      </c>
      <c r="AR1221">
        <f>IF(COUNT($E$2:$E1221)&lt;20,"",MIN($D$1202:$D$1221))</f>
        <v>0</v>
      </c>
      <c r="AS1221">
        <f>IF(OR(AQ1221="",AR1221=""),"",(AQ1221+AR1221)/2)</f>
        <v>0</v>
      </c>
      <c r="AT1221">
        <f>IF(COUNT($G$1202:$G$1221)&lt;20,"",STDEV($G$1202:$G$1221)*SQRT(252))</f>
        <v>0</v>
      </c>
      <c r="AU1221">
        <f>IF(COUNT($E$2:$E1221)&lt;9,"",(MAX($C$1213:$C$1221)+MIN($D$1213:$D$1221))/2)</f>
        <v>0</v>
      </c>
      <c r="AV1221">
        <f>IF(COUNT($E$2:$E1221)&lt;26,"",(MAX($C$1196:$C$1221)+MIN($D$1196:$D$1221))/2)</f>
        <v>0</v>
      </c>
      <c r="AW1221">
        <f>IF(OR(AU1221="",AV1221=""),"",(AU1221+AV1221)/2)</f>
        <v>0</v>
      </c>
      <c r="AX1221">
        <f>IF(COUNT($E$2:$E1221)&lt;52,"",(MAX($C$1170:$C$1221)+MIN($D$1170:$D$1221))/2)</f>
        <v>0</v>
      </c>
      <c r="AY1221">
        <f>IF(COUNT($E$2:$E1221)&lt;20,"",MAX($C$1122:$C$1221))</f>
        <v>0</v>
      </c>
      <c r="AZ1221">
        <f>IF(COUNT($E$2:$E1221)&lt;20,"",MIN($D$1122:$D$1221))</f>
        <v>0</v>
      </c>
      <c r="BA1221">
        <f>IF(COUNT($E$2:$E1221)&lt;20,"",SLOPE($E$1122:$E$1221,$F$1122:$F$1221))</f>
        <v>0</v>
      </c>
      <c r="BB1221">
        <f>IF(COUNT($E$2:$E1221)&lt;20,"",INTERCEPT($E$1122:$E$1221,$F$1122:$F$1221))</f>
        <v>0</v>
      </c>
      <c r="BC1221">
        <f>IF(OR(BA1221="",BB1221=""),"",BB1221+BA1221*F1221)</f>
        <v>0</v>
      </c>
      <c r="BD1221">
        <f>IF(COUNT($E$2:$E1221)&lt;20,"",STEYX($E$1122:$E$1221,$F$1122:$F$1221))</f>
        <v>0</v>
      </c>
      <c r="BE1221">
        <f>IF($E1221="","",IF(AND(COUNT($E$1222:$E$1225)&gt;=4,$C1221=MAX($C$1217:$C$1225)),$C1221,""))</f>
        <v>0</v>
      </c>
      <c r="BF1221">
        <f>IF($E1221="","",IF(AND(COUNT($E$1222:$E$1225)&gt;=4,$D1221=MIN($D$1217:$D$1225)),$D1221,""))</f>
        <v>0</v>
      </c>
      <c r="BG1221">
        <f>IF($A1221="","",$A1221-WEEKDAY($A1221,2)+1)</f>
        <v>0</v>
      </c>
      <c r="BH1221">
        <f>IF($A1221="","",IF($A1220="",1,IF(BG1221&lt;&gt;BG1220,1,0)))</f>
        <v>0</v>
      </c>
      <c r="BI1221">
        <f>IF($A1221="","",IF($A1222="",1,IF(BG1222&lt;&gt;BG1221,1,0)))</f>
        <v>0</v>
      </c>
      <c r="BJ1221">
        <f>IF($A1221="","",IF(BH1221=1,$B1221,BJ1220))</f>
        <v>0</v>
      </c>
      <c r="BK1221">
        <f>IF($A1221="","",IF(BH1221=1,$C1221,MAX($C1221,BK1220)))</f>
        <v>0</v>
      </c>
      <c r="BL1221">
        <f>IF($A1221="","",IF(BH1221=1,$D1221,MIN($D1221,BL1220)))</f>
        <v>0</v>
      </c>
      <c r="BM1221">
        <f>IF($A1221="","",IF(BI1221=1,F1221,""))</f>
        <v>0</v>
      </c>
      <c r="BN1221">
        <f>IF($A1221="","",DATE(YEAR($A1221),MONTH($A1221),1))</f>
        <v>0</v>
      </c>
      <c r="BO1221">
        <f>IF($A1221="","",IF($A1220="",1,IF(BN1221&lt;&gt;BN1220,1,0)))</f>
        <v>0</v>
      </c>
      <c r="BP1221">
        <f>IF($A1221="","",IF($A1222="",1,IF(BN1222&lt;&gt;BN1221,1,0)))</f>
        <v>0</v>
      </c>
      <c r="BQ1221">
        <f>IF($A1221="","",IF(BO1221=1,$B1221,BQ1220))</f>
        <v>0</v>
      </c>
      <c r="BR1221">
        <f>IF($A1221="","",IF(BO1221=1,$C1221,MAX($C1221,BR1220)))</f>
        <v>0</v>
      </c>
      <c r="BS1221">
        <f>IF($A1221="","",IF(BO1221=1,$D1221,MIN($D1221,BS1220)))</f>
        <v>0</v>
      </c>
      <c r="BT1221">
        <f>IF($A1221="","",IF(BP1221=1,F1221,""))</f>
        <v>0</v>
      </c>
    </row>
    <row r="1222" spans="1:72">
      <c r="A1222" s="27">
        <f>IF(Data!$A1222="","",Data!$A1222)</f>
        <v>0</v>
      </c>
      <c r="B1222">
        <f>IF(Data!$B1222="","",Data!$B1222)</f>
        <v>0</v>
      </c>
      <c r="C1222">
        <f>IF(Data!$C1222="","",Data!$C1222)</f>
        <v>0</v>
      </c>
      <c r="D1222">
        <f>IF(Data!$D1222="","",Data!$D1222)</f>
        <v>0</v>
      </c>
      <c r="E1222">
        <f>IF(Data!$E1222="","",Data!$E1222)</f>
        <v>0</v>
      </c>
      <c r="F1222">
        <f>IF($E1222="","",N(F1221)+1)</f>
        <v>0</v>
      </c>
      <c r="G1222">
        <f>IF(OR($E1222="",$E1221=""),"",LN($E1222/$E1221))</f>
        <v>0</v>
      </c>
      <c r="H1222">
        <f>IF($E1222="","",IF($E1221="",$E1222,$E1222*0.0952380952+H1221*0.9047619048))</f>
        <v>0</v>
      </c>
      <c r="I1222">
        <f>IF($E1222="","",IF($E1221="",$E1222,$E1222*0.0392156863+I1221*0.9607843137))</f>
        <v>0</v>
      </c>
      <c r="J1222">
        <f>IF($E1222="","",IF($E1221="",$E1222,$E1222*0.0198019802+J1221*0.9801980198))</f>
        <v>0</v>
      </c>
      <c r="K1222">
        <f>IF($E1222="","",IF($E1221="",$E1222,$E1222*0.0099502488+K1221*0.9900497512))</f>
        <v>0</v>
      </c>
      <c r="L1222">
        <f>IF(OR($E1222="",$E1221=""),"",MAX($E1222-$E1221,0))</f>
        <v>0</v>
      </c>
      <c r="M1222">
        <f>IF(OR($E1222="",$E1221=""),"",MAX($E1221-$E1222,0))</f>
        <v>0</v>
      </c>
      <c r="N1222">
        <f>IF(COUNT($E$2:$E1222)&lt;15,"",IF(AVERAGE($M$1209:$M$1222)=0,100,100-100/(1+AVERAGE($L$1209:$L$1222)/AVERAGE($M$1209:$M$1222))))</f>
        <v>0</v>
      </c>
      <c r="O1222">
        <f>IF($E1222="","",IF($E1221="",$E1222,$E1222*0.1538461538+O1221*0.8461538462))</f>
        <v>0</v>
      </c>
      <c r="P1222">
        <f>IF($E1222="","",IF($E1221="",$E1222,$E1222*0.0740740741+P1221*0.9259259259))</f>
        <v>0</v>
      </c>
      <c r="Q1222">
        <f>IF(OR(O1222="",P1222=""),"",O1222-P1222)</f>
        <v>0</v>
      </c>
      <c r="R1222">
        <f>IF(Q1222="","",IF(R1221="",Q1222,Q1222*0.2000000000+R1221*0.8000000000))</f>
        <v>0</v>
      </c>
      <c r="S1222">
        <f>IF(OR(Q1222="",R1222=""),"",Q1222-R1222)</f>
        <v>0</v>
      </c>
      <c r="T1222">
        <f>IF(COUNT($E$2:$E1222)&lt;14,"",MAX($C$1209:$C$1222))</f>
        <v>0</v>
      </c>
      <c r="U1222">
        <f>IF(COUNT($E$2:$E1222)&lt;14,"",MIN($D$1209:$D$1222))</f>
        <v>0</v>
      </c>
      <c r="V1222">
        <f>IF(OR(T1222="",U1222="",T1222=U1222),"",100*($E1222-U1222)/(T1222-U1222))</f>
        <v>0</v>
      </c>
      <c r="W1222">
        <f>IF(COUNT($V$1220:$V$1222)&lt;3,"",AVERAGE($V$1220:$V$1222))</f>
        <v>0</v>
      </c>
      <c r="X1222">
        <f>IF(COUNT($N$1209:$N$1222)&lt;14,"",MIN($N$1209:$N$1222))</f>
        <v>0</v>
      </c>
      <c r="Y1222">
        <f>IF(COUNT($N$1209:$N$1222)&lt;14,"",MAX($N$1209:$N$1222))</f>
        <v>0</v>
      </c>
      <c r="Z1222">
        <f>IF(OR(N1222="",X1222="",Y1222="",Y1222=X1222),"",100*(N1222-X1222)/(Y1222-X1222))</f>
        <v>0</v>
      </c>
      <c r="AA1222">
        <f>IF(COUNT($Z$1220:$Z$1222)&lt;3,"",AVERAGE($Z$1220:$Z$1222))</f>
        <v>0</v>
      </c>
      <c r="AB1222">
        <f>IF(COUNT($AA$1220:$AA$1222)&lt;3,"",AVERAGE($AA$1220:$AA$1222))</f>
        <v>0</v>
      </c>
      <c r="AC1222">
        <f>IF($E1222="","",MAX($C1222-$D1222,ABS($C1222-$E1221),ABS($D1222-$E1221)))</f>
        <v>0</v>
      </c>
      <c r="AD1222">
        <f>IF(COUNT($E$2:$E1222)&lt;15,"",AVERAGE($AC$1209:$AC$1222))</f>
        <v>0</v>
      </c>
      <c r="AE1222">
        <f>IF(OR($E1222="",$E1221=""),"",IF(AND(($C1222-$C1221)&gt;($D1221-$D1222),($C1222-$C1221)&gt;0),$C1222-$C1221,0))</f>
        <v>0</v>
      </c>
      <c r="AF1222">
        <f>IF(OR($E1222="",$E1221=""),"",IF(AND(($D1221-$D1222)&gt;($C1222-$C1221),($D1221-$D1222)&gt;0),$D1221-$D1222,0))</f>
        <v>0</v>
      </c>
      <c r="AG1222">
        <f>IF(COUNT($E$2:$E1222)&lt;15,"",IF(SUM($AC$1209:$AC$1222)=0,0,100*SUM($AE$1209:$AE$1222)/SUM($AC$1209:$AC$1222)))</f>
        <v>0</v>
      </c>
      <c r="AH1222">
        <f>IF(COUNT($E$2:$E1222)&lt;15,"",IF(SUM($AC$1209:$AC$1222)=0,0,100*SUM($AF$1209:$AF$1222)/SUM($AC$1209:$AC$1222)))</f>
        <v>0</v>
      </c>
      <c r="AI1222">
        <f>IF(OR(AG1222="",AH1222=""),"",IF((AG1222+AH1222)=0,0,100*ABS(AG1222-AH1222)/(AG1222+AH1222)))</f>
        <v>0</v>
      </c>
      <c r="AJ1222">
        <f>IF(COUNT($AI$1209:$AI$1222)&lt;14,"",AVERAGE($AI$1209:$AI$1222))</f>
        <v>0</v>
      </c>
      <c r="AK1222">
        <f>IF(COUNT($E$2:$E1222)&lt;20,"",AVERAGE($E$1203:$E$1222))</f>
        <v>0</v>
      </c>
      <c r="AL1222">
        <f>IF(COUNT($E$2:$E1222)&lt;20,"",STDEVP($E$1203:$E$1222))</f>
        <v>0</v>
      </c>
      <c r="AM1222">
        <f>IF(AK1222="","",AK1222+2*AL1222)</f>
        <v>0</v>
      </c>
      <c r="AN1222">
        <f>IF(AK1222="","",AK1222-2*AL1222)</f>
        <v>0</v>
      </c>
      <c r="AO1222">
        <f>IF(OR(AM1222="",AN1222="",AM1222=AN1222),"",($E1222-AN1222)/(AM1222-AN1222))</f>
        <v>0</v>
      </c>
      <c r="AP1222">
        <f>IF(OR(AM1222="",AK1222="",AK1222=0),"",(AM1222-AN1222)/AK1222)</f>
        <v>0</v>
      </c>
      <c r="AQ1222">
        <f>IF(COUNT($E$2:$E1222)&lt;20,"",MAX($C$1203:$C$1222))</f>
        <v>0</v>
      </c>
      <c r="AR1222">
        <f>IF(COUNT($E$2:$E1222)&lt;20,"",MIN($D$1203:$D$1222))</f>
        <v>0</v>
      </c>
      <c r="AS1222">
        <f>IF(OR(AQ1222="",AR1222=""),"",(AQ1222+AR1222)/2)</f>
        <v>0</v>
      </c>
      <c r="AT1222">
        <f>IF(COUNT($G$1203:$G$1222)&lt;20,"",STDEV($G$1203:$G$1222)*SQRT(252))</f>
        <v>0</v>
      </c>
      <c r="AU1222">
        <f>IF(COUNT($E$2:$E1222)&lt;9,"",(MAX($C$1214:$C$1222)+MIN($D$1214:$D$1222))/2)</f>
        <v>0</v>
      </c>
      <c r="AV1222">
        <f>IF(COUNT($E$2:$E1222)&lt;26,"",(MAX($C$1197:$C$1222)+MIN($D$1197:$D$1222))/2)</f>
        <v>0</v>
      </c>
      <c r="AW1222">
        <f>IF(OR(AU1222="",AV1222=""),"",(AU1222+AV1222)/2)</f>
        <v>0</v>
      </c>
      <c r="AX1222">
        <f>IF(COUNT($E$2:$E1222)&lt;52,"",(MAX($C$1171:$C$1222)+MIN($D$1171:$D$1222))/2)</f>
        <v>0</v>
      </c>
      <c r="AY1222">
        <f>IF(COUNT($E$2:$E1222)&lt;20,"",MAX($C$1123:$C$1222))</f>
        <v>0</v>
      </c>
      <c r="AZ1222">
        <f>IF(COUNT($E$2:$E1222)&lt;20,"",MIN($D$1123:$D$1222))</f>
        <v>0</v>
      </c>
      <c r="BA1222">
        <f>IF(COUNT($E$2:$E1222)&lt;20,"",SLOPE($E$1123:$E$1222,$F$1123:$F$1222))</f>
        <v>0</v>
      </c>
      <c r="BB1222">
        <f>IF(COUNT($E$2:$E1222)&lt;20,"",INTERCEPT($E$1123:$E$1222,$F$1123:$F$1222))</f>
        <v>0</v>
      </c>
      <c r="BC1222">
        <f>IF(OR(BA1222="",BB1222=""),"",BB1222+BA1222*F1222)</f>
        <v>0</v>
      </c>
      <c r="BD1222">
        <f>IF(COUNT($E$2:$E1222)&lt;20,"",STEYX($E$1123:$E$1222,$F$1123:$F$1222))</f>
        <v>0</v>
      </c>
      <c r="BE1222">
        <f>IF($E1222="","",IF(AND(COUNT($E$1223:$E$1226)&gt;=4,$C1222=MAX($C$1218:$C$1226)),$C1222,""))</f>
        <v>0</v>
      </c>
      <c r="BF1222">
        <f>IF($E1222="","",IF(AND(COUNT($E$1223:$E$1226)&gt;=4,$D1222=MIN($D$1218:$D$1226)),$D1222,""))</f>
        <v>0</v>
      </c>
      <c r="BG1222">
        <f>IF($A1222="","",$A1222-WEEKDAY($A1222,2)+1)</f>
        <v>0</v>
      </c>
      <c r="BH1222">
        <f>IF($A1222="","",IF($A1221="",1,IF(BG1222&lt;&gt;BG1221,1,0)))</f>
        <v>0</v>
      </c>
      <c r="BI1222">
        <f>IF($A1222="","",IF($A1223="",1,IF(BG1223&lt;&gt;BG1222,1,0)))</f>
        <v>0</v>
      </c>
      <c r="BJ1222">
        <f>IF($A1222="","",IF(BH1222=1,$B1222,BJ1221))</f>
        <v>0</v>
      </c>
      <c r="BK1222">
        <f>IF($A1222="","",IF(BH1222=1,$C1222,MAX($C1222,BK1221)))</f>
        <v>0</v>
      </c>
      <c r="BL1222">
        <f>IF($A1222="","",IF(BH1222=1,$D1222,MIN($D1222,BL1221)))</f>
        <v>0</v>
      </c>
      <c r="BM1222">
        <f>IF($A1222="","",IF(BI1222=1,F1222,""))</f>
        <v>0</v>
      </c>
      <c r="BN1222">
        <f>IF($A1222="","",DATE(YEAR($A1222),MONTH($A1222),1))</f>
        <v>0</v>
      </c>
      <c r="BO1222">
        <f>IF($A1222="","",IF($A1221="",1,IF(BN1222&lt;&gt;BN1221,1,0)))</f>
        <v>0</v>
      </c>
      <c r="BP1222">
        <f>IF($A1222="","",IF($A1223="",1,IF(BN1223&lt;&gt;BN1222,1,0)))</f>
        <v>0</v>
      </c>
      <c r="BQ1222">
        <f>IF($A1222="","",IF(BO1222=1,$B1222,BQ1221))</f>
        <v>0</v>
      </c>
      <c r="BR1222">
        <f>IF($A1222="","",IF(BO1222=1,$C1222,MAX($C1222,BR1221)))</f>
        <v>0</v>
      </c>
      <c r="BS1222">
        <f>IF($A1222="","",IF(BO1222=1,$D1222,MIN($D1222,BS1221)))</f>
        <v>0</v>
      </c>
      <c r="BT1222">
        <f>IF($A1222="","",IF(BP1222=1,F1222,""))</f>
        <v>0</v>
      </c>
    </row>
    <row r="1223" spans="1:72">
      <c r="A1223" s="27">
        <f>IF(Data!$A1223="","",Data!$A1223)</f>
        <v>0</v>
      </c>
      <c r="B1223">
        <f>IF(Data!$B1223="","",Data!$B1223)</f>
        <v>0</v>
      </c>
      <c r="C1223">
        <f>IF(Data!$C1223="","",Data!$C1223)</f>
        <v>0</v>
      </c>
      <c r="D1223">
        <f>IF(Data!$D1223="","",Data!$D1223)</f>
        <v>0</v>
      </c>
      <c r="E1223">
        <f>IF(Data!$E1223="","",Data!$E1223)</f>
        <v>0</v>
      </c>
      <c r="F1223">
        <f>IF($E1223="","",N(F1222)+1)</f>
        <v>0</v>
      </c>
      <c r="G1223">
        <f>IF(OR($E1223="",$E1222=""),"",LN($E1223/$E1222))</f>
        <v>0</v>
      </c>
      <c r="H1223">
        <f>IF($E1223="","",IF($E1222="",$E1223,$E1223*0.0952380952+H1222*0.9047619048))</f>
        <v>0</v>
      </c>
      <c r="I1223">
        <f>IF($E1223="","",IF($E1222="",$E1223,$E1223*0.0392156863+I1222*0.9607843137))</f>
        <v>0</v>
      </c>
      <c r="J1223">
        <f>IF($E1223="","",IF($E1222="",$E1223,$E1223*0.0198019802+J1222*0.9801980198))</f>
        <v>0</v>
      </c>
      <c r="K1223">
        <f>IF($E1223="","",IF($E1222="",$E1223,$E1223*0.0099502488+K1222*0.9900497512))</f>
        <v>0</v>
      </c>
      <c r="L1223">
        <f>IF(OR($E1223="",$E1222=""),"",MAX($E1223-$E1222,0))</f>
        <v>0</v>
      </c>
      <c r="M1223">
        <f>IF(OR($E1223="",$E1222=""),"",MAX($E1222-$E1223,0))</f>
        <v>0</v>
      </c>
      <c r="N1223">
        <f>IF(COUNT($E$2:$E1223)&lt;15,"",IF(AVERAGE($M$1210:$M$1223)=0,100,100-100/(1+AVERAGE($L$1210:$L$1223)/AVERAGE($M$1210:$M$1223))))</f>
        <v>0</v>
      </c>
      <c r="O1223">
        <f>IF($E1223="","",IF($E1222="",$E1223,$E1223*0.1538461538+O1222*0.8461538462))</f>
        <v>0</v>
      </c>
      <c r="P1223">
        <f>IF($E1223="","",IF($E1222="",$E1223,$E1223*0.0740740741+P1222*0.9259259259))</f>
        <v>0</v>
      </c>
      <c r="Q1223">
        <f>IF(OR(O1223="",P1223=""),"",O1223-P1223)</f>
        <v>0</v>
      </c>
      <c r="R1223">
        <f>IF(Q1223="","",IF(R1222="",Q1223,Q1223*0.2000000000+R1222*0.8000000000))</f>
        <v>0</v>
      </c>
      <c r="S1223">
        <f>IF(OR(Q1223="",R1223=""),"",Q1223-R1223)</f>
        <v>0</v>
      </c>
      <c r="T1223">
        <f>IF(COUNT($E$2:$E1223)&lt;14,"",MAX($C$1210:$C$1223))</f>
        <v>0</v>
      </c>
      <c r="U1223">
        <f>IF(COUNT($E$2:$E1223)&lt;14,"",MIN($D$1210:$D$1223))</f>
        <v>0</v>
      </c>
      <c r="V1223">
        <f>IF(OR(T1223="",U1223="",T1223=U1223),"",100*($E1223-U1223)/(T1223-U1223))</f>
        <v>0</v>
      </c>
      <c r="W1223">
        <f>IF(COUNT($V$1221:$V$1223)&lt;3,"",AVERAGE($V$1221:$V$1223))</f>
        <v>0</v>
      </c>
      <c r="X1223">
        <f>IF(COUNT($N$1210:$N$1223)&lt;14,"",MIN($N$1210:$N$1223))</f>
        <v>0</v>
      </c>
      <c r="Y1223">
        <f>IF(COUNT($N$1210:$N$1223)&lt;14,"",MAX($N$1210:$N$1223))</f>
        <v>0</v>
      </c>
      <c r="Z1223">
        <f>IF(OR(N1223="",X1223="",Y1223="",Y1223=X1223),"",100*(N1223-X1223)/(Y1223-X1223))</f>
        <v>0</v>
      </c>
      <c r="AA1223">
        <f>IF(COUNT($Z$1221:$Z$1223)&lt;3,"",AVERAGE($Z$1221:$Z$1223))</f>
        <v>0</v>
      </c>
      <c r="AB1223">
        <f>IF(COUNT($AA$1221:$AA$1223)&lt;3,"",AVERAGE($AA$1221:$AA$1223))</f>
        <v>0</v>
      </c>
      <c r="AC1223">
        <f>IF($E1223="","",MAX($C1223-$D1223,ABS($C1223-$E1222),ABS($D1223-$E1222)))</f>
        <v>0</v>
      </c>
      <c r="AD1223">
        <f>IF(COUNT($E$2:$E1223)&lt;15,"",AVERAGE($AC$1210:$AC$1223))</f>
        <v>0</v>
      </c>
      <c r="AE1223">
        <f>IF(OR($E1223="",$E1222=""),"",IF(AND(($C1223-$C1222)&gt;($D1222-$D1223),($C1223-$C1222)&gt;0),$C1223-$C1222,0))</f>
        <v>0</v>
      </c>
      <c r="AF1223">
        <f>IF(OR($E1223="",$E1222=""),"",IF(AND(($D1222-$D1223)&gt;($C1223-$C1222),($D1222-$D1223)&gt;0),$D1222-$D1223,0))</f>
        <v>0</v>
      </c>
      <c r="AG1223">
        <f>IF(COUNT($E$2:$E1223)&lt;15,"",IF(SUM($AC$1210:$AC$1223)=0,0,100*SUM($AE$1210:$AE$1223)/SUM($AC$1210:$AC$1223)))</f>
        <v>0</v>
      </c>
      <c r="AH1223">
        <f>IF(COUNT($E$2:$E1223)&lt;15,"",IF(SUM($AC$1210:$AC$1223)=0,0,100*SUM($AF$1210:$AF$1223)/SUM($AC$1210:$AC$1223)))</f>
        <v>0</v>
      </c>
      <c r="AI1223">
        <f>IF(OR(AG1223="",AH1223=""),"",IF((AG1223+AH1223)=0,0,100*ABS(AG1223-AH1223)/(AG1223+AH1223)))</f>
        <v>0</v>
      </c>
      <c r="AJ1223">
        <f>IF(COUNT($AI$1210:$AI$1223)&lt;14,"",AVERAGE($AI$1210:$AI$1223))</f>
        <v>0</v>
      </c>
      <c r="AK1223">
        <f>IF(COUNT($E$2:$E1223)&lt;20,"",AVERAGE($E$1204:$E$1223))</f>
        <v>0</v>
      </c>
      <c r="AL1223">
        <f>IF(COUNT($E$2:$E1223)&lt;20,"",STDEVP($E$1204:$E$1223))</f>
        <v>0</v>
      </c>
      <c r="AM1223">
        <f>IF(AK1223="","",AK1223+2*AL1223)</f>
        <v>0</v>
      </c>
      <c r="AN1223">
        <f>IF(AK1223="","",AK1223-2*AL1223)</f>
        <v>0</v>
      </c>
      <c r="AO1223">
        <f>IF(OR(AM1223="",AN1223="",AM1223=AN1223),"",($E1223-AN1223)/(AM1223-AN1223))</f>
        <v>0</v>
      </c>
      <c r="AP1223">
        <f>IF(OR(AM1223="",AK1223="",AK1223=0),"",(AM1223-AN1223)/AK1223)</f>
        <v>0</v>
      </c>
      <c r="AQ1223">
        <f>IF(COUNT($E$2:$E1223)&lt;20,"",MAX($C$1204:$C$1223))</f>
        <v>0</v>
      </c>
      <c r="AR1223">
        <f>IF(COUNT($E$2:$E1223)&lt;20,"",MIN($D$1204:$D$1223))</f>
        <v>0</v>
      </c>
      <c r="AS1223">
        <f>IF(OR(AQ1223="",AR1223=""),"",(AQ1223+AR1223)/2)</f>
        <v>0</v>
      </c>
      <c r="AT1223">
        <f>IF(COUNT($G$1204:$G$1223)&lt;20,"",STDEV($G$1204:$G$1223)*SQRT(252))</f>
        <v>0</v>
      </c>
      <c r="AU1223">
        <f>IF(COUNT($E$2:$E1223)&lt;9,"",(MAX($C$1215:$C$1223)+MIN($D$1215:$D$1223))/2)</f>
        <v>0</v>
      </c>
      <c r="AV1223">
        <f>IF(COUNT($E$2:$E1223)&lt;26,"",(MAX($C$1198:$C$1223)+MIN($D$1198:$D$1223))/2)</f>
        <v>0</v>
      </c>
      <c r="AW1223">
        <f>IF(OR(AU1223="",AV1223=""),"",(AU1223+AV1223)/2)</f>
        <v>0</v>
      </c>
      <c r="AX1223">
        <f>IF(COUNT($E$2:$E1223)&lt;52,"",(MAX($C$1172:$C$1223)+MIN($D$1172:$D$1223))/2)</f>
        <v>0</v>
      </c>
      <c r="AY1223">
        <f>IF(COUNT($E$2:$E1223)&lt;20,"",MAX($C$1124:$C$1223))</f>
        <v>0</v>
      </c>
      <c r="AZ1223">
        <f>IF(COUNT($E$2:$E1223)&lt;20,"",MIN($D$1124:$D$1223))</f>
        <v>0</v>
      </c>
      <c r="BA1223">
        <f>IF(COUNT($E$2:$E1223)&lt;20,"",SLOPE($E$1124:$E$1223,$F$1124:$F$1223))</f>
        <v>0</v>
      </c>
      <c r="BB1223">
        <f>IF(COUNT($E$2:$E1223)&lt;20,"",INTERCEPT($E$1124:$E$1223,$F$1124:$F$1223))</f>
        <v>0</v>
      </c>
      <c r="BC1223">
        <f>IF(OR(BA1223="",BB1223=""),"",BB1223+BA1223*F1223)</f>
        <v>0</v>
      </c>
      <c r="BD1223">
        <f>IF(COUNT($E$2:$E1223)&lt;20,"",STEYX($E$1124:$E$1223,$F$1124:$F$1223))</f>
        <v>0</v>
      </c>
      <c r="BE1223">
        <f>IF($E1223="","",IF(AND(COUNT($E$1224:$E$1227)&gt;=4,$C1223=MAX($C$1219:$C$1227)),$C1223,""))</f>
        <v>0</v>
      </c>
      <c r="BF1223">
        <f>IF($E1223="","",IF(AND(COUNT($E$1224:$E$1227)&gt;=4,$D1223=MIN($D$1219:$D$1227)),$D1223,""))</f>
        <v>0</v>
      </c>
      <c r="BG1223">
        <f>IF($A1223="","",$A1223-WEEKDAY($A1223,2)+1)</f>
        <v>0</v>
      </c>
      <c r="BH1223">
        <f>IF($A1223="","",IF($A1222="",1,IF(BG1223&lt;&gt;BG1222,1,0)))</f>
        <v>0</v>
      </c>
      <c r="BI1223">
        <f>IF($A1223="","",IF($A1224="",1,IF(BG1224&lt;&gt;BG1223,1,0)))</f>
        <v>0</v>
      </c>
      <c r="BJ1223">
        <f>IF($A1223="","",IF(BH1223=1,$B1223,BJ1222))</f>
        <v>0</v>
      </c>
      <c r="BK1223">
        <f>IF($A1223="","",IF(BH1223=1,$C1223,MAX($C1223,BK1222)))</f>
        <v>0</v>
      </c>
      <c r="BL1223">
        <f>IF($A1223="","",IF(BH1223=1,$D1223,MIN($D1223,BL1222)))</f>
        <v>0</v>
      </c>
      <c r="BM1223">
        <f>IF($A1223="","",IF(BI1223=1,F1223,""))</f>
        <v>0</v>
      </c>
      <c r="BN1223">
        <f>IF($A1223="","",DATE(YEAR($A1223),MONTH($A1223),1))</f>
        <v>0</v>
      </c>
      <c r="BO1223">
        <f>IF($A1223="","",IF($A1222="",1,IF(BN1223&lt;&gt;BN1222,1,0)))</f>
        <v>0</v>
      </c>
      <c r="BP1223">
        <f>IF($A1223="","",IF($A1224="",1,IF(BN1224&lt;&gt;BN1223,1,0)))</f>
        <v>0</v>
      </c>
      <c r="BQ1223">
        <f>IF($A1223="","",IF(BO1223=1,$B1223,BQ1222))</f>
        <v>0</v>
      </c>
      <c r="BR1223">
        <f>IF($A1223="","",IF(BO1223=1,$C1223,MAX($C1223,BR1222)))</f>
        <v>0</v>
      </c>
      <c r="BS1223">
        <f>IF($A1223="","",IF(BO1223=1,$D1223,MIN($D1223,BS1222)))</f>
        <v>0</v>
      </c>
      <c r="BT1223">
        <f>IF($A1223="","",IF(BP1223=1,F1223,""))</f>
        <v>0</v>
      </c>
    </row>
    <row r="1224" spans="1:72">
      <c r="A1224" s="27">
        <f>IF(Data!$A1224="","",Data!$A1224)</f>
        <v>0</v>
      </c>
      <c r="B1224">
        <f>IF(Data!$B1224="","",Data!$B1224)</f>
        <v>0</v>
      </c>
      <c r="C1224">
        <f>IF(Data!$C1224="","",Data!$C1224)</f>
        <v>0</v>
      </c>
      <c r="D1224">
        <f>IF(Data!$D1224="","",Data!$D1224)</f>
        <v>0</v>
      </c>
      <c r="E1224">
        <f>IF(Data!$E1224="","",Data!$E1224)</f>
        <v>0</v>
      </c>
      <c r="F1224">
        <f>IF($E1224="","",N(F1223)+1)</f>
        <v>0</v>
      </c>
      <c r="G1224">
        <f>IF(OR($E1224="",$E1223=""),"",LN($E1224/$E1223))</f>
        <v>0</v>
      </c>
      <c r="H1224">
        <f>IF($E1224="","",IF($E1223="",$E1224,$E1224*0.0952380952+H1223*0.9047619048))</f>
        <v>0</v>
      </c>
      <c r="I1224">
        <f>IF($E1224="","",IF($E1223="",$E1224,$E1224*0.0392156863+I1223*0.9607843137))</f>
        <v>0</v>
      </c>
      <c r="J1224">
        <f>IF($E1224="","",IF($E1223="",$E1224,$E1224*0.0198019802+J1223*0.9801980198))</f>
        <v>0</v>
      </c>
      <c r="K1224">
        <f>IF($E1224="","",IF($E1223="",$E1224,$E1224*0.0099502488+K1223*0.9900497512))</f>
        <v>0</v>
      </c>
      <c r="L1224">
        <f>IF(OR($E1224="",$E1223=""),"",MAX($E1224-$E1223,0))</f>
        <v>0</v>
      </c>
      <c r="M1224">
        <f>IF(OR($E1224="",$E1223=""),"",MAX($E1223-$E1224,0))</f>
        <v>0</v>
      </c>
      <c r="N1224">
        <f>IF(COUNT($E$2:$E1224)&lt;15,"",IF(AVERAGE($M$1211:$M$1224)=0,100,100-100/(1+AVERAGE($L$1211:$L$1224)/AVERAGE($M$1211:$M$1224))))</f>
        <v>0</v>
      </c>
      <c r="O1224">
        <f>IF($E1224="","",IF($E1223="",$E1224,$E1224*0.1538461538+O1223*0.8461538462))</f>
        <v>0</v>
      </c>
      <c r="P1224">
        <f>IF($E1224="","",IF($E1223="",$E1224,$E1224*0.0740740741+P1223*0.9259259259))</f>
        <v>0</v>
      </c>
      <c r="Q1224">
        <f>IF(OR(O1224="",P1224=""),"",O1224-P1224)</f>
        <v>0</v>
      </c>
      <c r="R1224">
        <f>IF(Q1224="","",IF(R1223="",Q1224,Q1224*0.2000000000+R1223*0.8000000000))</f>
        <v>0</v>
      </c>
      <c r="S1224">
        <f>IF(OR(Q1224="",R1224=""),"",Q1224-R1224)</f>
        <v>0</v>
      </c>
      <c r="T1224">
        <f>IF(COUNT($E$2:$E1224)&lt;14,"",MAX($C$1211:$C$1224))</f>
        <v>0</v>
      </c>
      <c r="U1224">
        <f>IF(COUNT($E$2:$E1224)&lt;14,"",MIN($D$1211:$D$1224))</f>
        <v>0</v>
      </c>
      <c r="V1224">
        <f>IF(OR(T1224="",U1224="",T1224=U1224),"",100*($E1224-U1224)/(T1224-U1224))</f>
        <v>0</v>
      </c>
      <c r="W1224">
        <f>IF(COUNT($V$1222:$V$1224)&lt;3,"",AVERAGE($V$1222:$V$1224))</f>
        <v>0</v>
      </c>
      <c r="X1224">
        <f>IF(COUNT($N$1211:$N$1224)&lt;14,"",MIN($N$1211:$N$1224))</f>
        <v>0</v>
      </c>
      <c r="Y1224">
        <f>IF(COUNT($N$1211:$N$1224)&lt;14,"",MAX($N$1211:$N$1224))</f>
        <v>0</v>
      </c>
      <c r="Z1224">
        <f>IF(OR(N1224="",X1224="",Y1224="",Y1224=X1224),"",100*(N1224-X1224)/(Y1224-X1224))</f>
        <v>0</v>
      </c>
      <c r="AA1224">
        <f>IF(COUNT($Z$1222:$Z$1224)&lt;3,"",AVERAGE($Z$1222:$Z$1224))</f>
        <v>0</v>
      </c>
      <c r="AB1224">
        <f>IF(COUNT($AA$1222:$AA$1224)&lt;3,"",AVERAGE($AA$1222:$AA$1224))</f>
        <v>0</v>
      </c>
      <c r="AC1224">
        <f>IF($E1224="","",MAX($C1224-$D1224,ABS($C1224-$E1223),ABS($D1224-$E1223)))</f>
        <v>0</v>
      </c>
      <c r="AD1224">
        <f>IF(COUNT($E$2:$E1224)&lt;15,"",AVERAGE($AC$1211:$AC$1224))</f>
        <v>0</v>
      </c>
      <c r="AE1224">
        <f>IF(OR($E1224="",$E1223=""),"",IF(AND(($C1224-$C1223)&gt;($D1223-$D1224),($C1224-$C1223)&gt;0),$C1224-$C1223,0))</f>
        <v>0</v>
      </c>
      <c r="AF1224">
        <f>IF(OR($E1224="",$E1223=""),"",IF(AND(($D1223-$D1224)&gt;($C1224-$C1223),($D1223-$D1224)&gt;0),$D1223-$D1224,0))</f>
        <v>0</v>
      </c>
      <c r="AG1224">
        <f>IF(COUNT($E$2:$E1224)&lt;15,"",IF(SUM($AC$1211:$AC$1224)=0,0,100*SUM($AE$1211:$AE$1224)/SUM($AC$1211:$AC$1224)))</f>
        <v>0</v>
      </c>
      <c r="AH1224">
        <f>IF(COUNT($E$2:$E1224)&lt;15,"",IF(SUM($AC$1211:$AC$1224)=0,0,100*SUM($AF$1211:$AF$1224)/SUM($AC$1211:$AC$1224)))</f>
        <v>0</v>
      </c>
      <c r="AI1224">
        <f>IF(OR(AG1224="",AH1224=""),"",IF((AG1224+AH1224)=0,0,100*ABS(AG1224-AH1224)/(AG1224+AH1224)))</f>
        <v>0</v>
      </c>
      <c r="AJ1224">
        <f>IF(COUNT($AI$1211:$AI$1224)&lt;14,"",AVERAGE($AI$1211:$AI$1224))</f>
        <v>0</v>
      </c>
      <c r="AK1224">
        <f>IF(COUNT($E$2:$E1224)&lt;20,"",AVERAGE($E$1205:$E$1224))</f>
        <v>0</v>
      </c>
      <c r="AL1224">
        <f>IF(COUNT($E$2:$E1224)&lt;20,"",STDEVP($E$1205:$E$1224))</f>
        <v>0</v>
      </c>
      <c r="AM1224">
        <f>IF(AK1224="","",AK1224+2*AL1224)</f>
        <v>0</v>
      </c>
      <c r="AN1224">
        <f>IF(AK1224="","",AK1224-2*AL1224)</f>
        <v>0</v>
      </c>
      <c r="AO1224">
        <f>IF(OR(AM1224="",AN1224="",AM1224=AN1224),"",($E1224-AN1224)/(AM1224-AN1224))</f>
        <v>0</v>
      </c>
      <c r="AP1224">
        <f>IF(OR(AM1224="",AK1224="",AK1224=0),"",(AM1224-AN1224)/AK1224)</f>
        <v>0</v>
      </c>
      <c r="AQ1224">
        <f>IF(COUNT($E$2:$E1224)&lt;20,"",MAX($C$1205:$C$1224))</f>
        <v>0</v>
      </c>
      <c r="AR1224">
        <f>IF(COUNT($E$2:$E1224)&lt;20,"",MIN($D$1205:$D$1224))</f>
        <v>0</v>
      </c>
      <c r="AS1224">
        <f>IF(OR(AQ1224="",AR1224=""),"",(AQ1224+AR1224)/2)</f>
        <v>0</v>
      </c>
      <c r="AT1224">
        <f>IF(COUNT($G$1205:$G$1224)&lt;20,"",STDEV($G$1205:$G$1224)*SQRT(252))</f>
        <v>0</v>
      </c>
      <c r="AU1224">
        <f>IF(COUNT($E$2:$E1224)&lt;9,"",(MAX($C$1216:$C$1224)+MIN($D$1216:$D$1224))/2)</f>
        <v>0</v>
      </c>
      <c r="AV1224">
        <f>IF(COUNT($E$2:$E1224)&lt;26,"",(MAX($C$1199:$C$1224)+MIN($D$1199:$D$1224))/2)</f>
        <v>0</v>
      </c>
      <c r="AW1224">
        <f>IF(OR(AU1224="",AV1224=""),"",(AU1224+AV1224)/2)</f>
        <v>0</v>
      </c>
      <c r="AX1224">
        <f>IF(COUNT($E$2:$E1224)&lt;52,"",(MAX($C$1173:$C$1224)+MIN($D$1173:$D$1224))/2)</f>
        <v>0</v>
      </c>
      <c r="AY1224">
        <f>IF(COUNT($E$2:$E1224)&lt;20,"",MAX($C$1125:$C$1224))</f>
        <v>0</v>
      </c>
      <c r="AZ1224">
        <f>IF(COUNT($E$2:$E1224)&lt;20,"",MIN($D$1125:$D$1224))</f>
        <v>0</v>
      </c>
      <c r="BA1224">
        <f>IF(COUNT($E$2:$E1224)&lt;20,"",SLOPE($E$1125:$E$1224,$F$1125:$F$1224))</f>
        <v>0</v>
      </c>
      <c r="BB1224">
        <f>IF(COUNT($E$2:$E1224)&lt;20,"",INTERCEPT($E$1125:$E$1224,$F$1125:$F$1224))</f>
        <v>0</v>
      </c>
      <c r="BC1224">
        <f>IF(OR(BA1224="",BB1224=""),"",BB1224+BA1224*F1224)</f>
        <v>0</v>
      </c>
      <c r="BD1224">
        <f>IF(COUNT($E$2:$E1224)&lt;20,"",STEYX($E$1125:$E$1224,$F$1125:$F$1224))</f>
        <v>0</v>
      </c>
      <c r="BE1224">
        <f>IF($E1224="","",IF(AND(COUNT($E$1225:$E$1228)&gt;=4,$C1224=MAX($C$1220:$C$1228)),$C1224,""))</f>
        <v>0</v>
      </c>
      <c r="BF1224">
        <f>IF($E1224="","",IF(AND(COUNT($E$1225:$E$1228)&gt;=4,$D1224=MIN($D$1220:$D$1228)),$D1224,""))</f>
        <v>0</v>
      </c>
      <c r="BG1224">
        <f>IF($A1224="","",$A1224-WEEKDAY($A1224,2)+1)</f>
        <v>0</v>
      </c>
      <c r="BH1224">
        <f>IF($A1224="","",IF($A1223="",1,IF(BG1224&lt;&gt;BG1223,1,0)))</f>
        <v>0</v>
      </c>
      <c r="BI1224">
        <f>IF($A1224="","",IF($A1225="",1,IF(BG1225&lt;&gt;BG1224,1,0)))</f>
        <v>0</v>
      </c>
      <c r="BJ1224">
        <f>IF($A1224="","",IF(BH1224=1,$B1224,BJ1223))</f>
        <v>0</v>
      </c>
      <c r="BK1224">
        <f>IF($A1224="","",IF(BH1224=1,$C1224,MAX($C1224,BK1223)))</f>
        <v>0</v>
      </c>
      <c r="BL1224">
        <f>IF($A1224="","",IF(BH1224=1,$D1224,MIN($D1224,BL1223)))</f>
        <v>0</v>
      </c>
      <c r="BM1224">
        <f>IF($A1224="","",IF(BI1224=1,F1224,""))</f>
        <v>0</v>
      </c>
      <c r="BN1224">
        <f>IF($A1224="","",DATE(YEAR($A1224),MONTH($A1224),1))</f>
        <v>0</v>
      </c>
      <c r="BO1224">
        <f>IF($A1224="","",IF($A1223="",1,IF(BN1224&lt;&gt;BN1223,1,0)))</f>
        <v>0</v>
      </c>
      <c r="BP1224">
        <f>IF($A1224="","",IF($A1225="",1,IF(BN1225&lt;&gt;BN1224,1,0)))</f>
        <v>0</v>
      </c>
      <c r="BQ1224">
        <f>IF($A1224="","",IF(BO1224=1,$B1224,BQ1223))</f>
        <v>0</v>
      </c>
      <c r="BR1224">
        <f>IF($A1224="","",IF(BO1224=1,$C1224,MAX($C1224,BR1223)))</f>
        <v>0</v>
      </c>
      <c r="BS1224">
        <f>IF($A1224="","",IF(BO1224=1,$D1224,MIN($D1224,BS1223)))</f>
        <v>0</v>
      </c>
      <c r="BT1224">
        <f>IF($A1224="","",IF(BP1224=1,F1224,""))</f>
        <v>0</v>
      </c>
    </row>
    <row r="1225" spans="1:72">
      <c r="A1225" s="27">
        <f>IF(Data!$A1225="","",Data!$A1225)</f>
        <v>0</v>
      </c>
      <c r="B1225">
        <f>IF(Data!$B1225="","",Data!$B1225)</f>
        <v>0</v>
      </c>
      <c r="C1225">
        <f>IF(Data!$C1225="","",Data!$C1225)</f>
        <v>0</v>
      </c>
      <c r="D1225">
        <f>IF(Data!$D1225="","",Data!$D1225)</f>
        <v>0</v>
      </c>
      <c r="E1225">
        <f>IF(Data!$E1225="","",Data!$E1225)</f>
        <v>0</v>
      </c>
      <c r="F1225">
        <f>IF($E1225="","",N(F1224)+1)</f>
        <v>0</v>
      </c>
      <c r="G1225">
        <f>IF(OR($E1225="",$E1224=""),"",LN($E1225/$E1224))</f>
        <v>0</v>
      </c>
      <c r="H1225">
        <f>IF($E1225="","",IF($E1224="",$E1225,$E1225*0.0952380952+H1224*0.9047619048))</f>
        <v>0</v>
      </c>
      <c r="I1225">
        <f>IF($E1225="","",IF($E1224="",$E1225,$E1225*0.0392156863+I1224*0.9607843137))</f>
        <v>0</v>
      </c>
      <c r="J1225">
        <f>IF($E1225="","",IF($E1224="",$E1225,$E1225*0.0198019802+J1224*0.9801980198))</f>
        <v>0</v>
      </c>
      <c r="K1225">
        <f>IF($E1225="","",IF($E1224="",$E1225,$E1225*0.0099502488+K1224*0.9900497512))</f>
        <v>0</v>
      </c>
      <c r="L1225">
        <f>IF(OR($E1225="",$E1224=""),"",MAX($E1225-$E1224,0))</f>
        <v>0</v>
      </c>
      <c r="M1225">
        <f>IF(OR($E1225="",$E1224=""),"",MAX($E1224-$E1225,0))</f>
        <v>0</v>
      </c>
      <c r="N1225">
        <f>IF(COUNT($E$2:$E1225)&lt;15,"",IF(AVERAGE($M$1212:$M$1225)=0,100,100-100/(1+AVERAGE($L$1212:$L$1225)/AVERAGE($M$1212:$M$1225))))</f>
        <v>0</v>
      </c>
      <c r="O1225">
        <f>IF($E1225="","",IF($E1224="",$E1225,$E1225*0.1538461538+O1224*0.8461538462))</f>
        <v>0</v>
      </c>
      <c r="P1225">
        <f>IF($E1225="","",IF($E1224="",$E1225,$E1225*0.0740740741+P1224*0.9259259259))</f>
        <v>0</v>
      </c>
      <c r="Q1225">
        <f>IF(OR(O1225="",P1225=""),"",O1225-P1225)</f>
        <v>0</v>
      </c>
      <c r="R1225">
        <f>IF(Q1225="","",IF(R1224="",Q1225,Q1225*0.2000000000+R1224*0.8000000000))</f>
        <v>0</v>
      </c>
      <c r="S1225">
        <f>IF(OR(Q1225="",R1225=""),"",Q1225-R1225)</f>
        <v>0</v>
      </c>
      <c r="T1225">
        <f>IF(COUNT($E$2:$E1225)&lt;14,"",MAX($C$1212:$C$1225))</f>
        <v>0</v>
      </c>
      <c r="U1225">
        <f>IF(COUNT($E$2:$E1225)&lt;14,"",MIN($D$1212:$D$1225))</f>
        <v>0</v>
      </c>
      <c r="V1225">
        <f>IF(OR(T1225="",U1225="",T1225=U1225),"",100*($E1225-U1225)/(T1225-U1225))</f>
        <v>0</v>
      </c>
      <c r="W1225">
        <f>IF(COUNT($V$1223:$V$1225)&lt;3,"",AVERAGE($V$1223:$V$1225))</f>
        <v>0</v>
      </c>
      <c r="X1225">
        <f>IF(COUNT($N$1212:$N$1225)&lt;14,"",MIN($N$1212:$N$1225))</f>
        <v>0</v>
      </c>
      <c r="Y1225">
        <f>IF(COUNT($N$1212:$N$1225)&lt;14,"",MAX($N$1212:$N$1225))</f>
        <v>0</v>
      </c>
      <c r="Z1225">
        <f>IF(OR(N1225="",X1225="",Y1225="",Y1225=X1225),"",100*(N1225-X1225)/(Y1225-X1225))</f>
        <v>0</v>
      </c>
      <c r="AA1225">
        <f>IF(COUNT($Z$1223:$Z$1225)&lt;3,"",AVERAGE($Z$1223:$Z$1225))</f>
        <v>0</v>
      </c>
      <c r="AB1225">
        <f>IF(COUNT($AA$1223:$AA$1225)&lt;3,"",AVERAGE($AA$1223:$AA$1225))</f>
        <v>0</v>
      </c>
      <c r="AC1225">
        <f>IF($E1225="","",MAX($C1225-$D1225,ABS($C1225-$E1224),ABS($D1225-$E1224)))</f>
        <v>0</v>
      </c>
      <c r="AD1225">
        <f>IF(COUNT($E$2:$E1225)&lt;15,"",AVERAGE($AC$1212:$AC$1225))</f>
        <v>0</v>
      </c>
      <c r="AE1225">
        <f>IF(OR($E1225="",$E1224=""),"",IF(AND(($C1225-$C1224)&gt;($D1224-$D1225),($C1225-$C1224)&gt;0),$C1225-$C1224,0))</f>
        <v>0</v>
      </c>
      <c r="AF1225">
        <f>IF(OR($E1225="",$E1224=""),"",IF(AND(($D1224-$D1225)&gt;($C1225-$C1224),($D1224-$D1225)&gt;0),$D1224-$D1225,0))</f>
        <v>0</v>
      </c>
      <c r="AG1225">
        <f>IF(COUNT($E$2:$E1225)&lt;15,"",IF(SUM($AC$1212:$AC$1225)=0,0,100*SUM($AE$1212:$AE$1225)/SUM($AC$1212:$AC$1225)))</f>
        <v>0</v>
      </c>
      <c r="AH1225">
        <f>IF(COUNT($E$2:$E1225)&lt;15,"",IF(SUM($AC$1212:$AC$1225)=0,0,100*SUM($AF$1212:$AF$1225)/SUM($AC$1212:$AC$1225)))</f>
        <v>0</v>
      </c>
      <c r="AI1225">
        <f>IF(OR(AG1225="",AH1225=""),"",IF((AG1225+AH1225)=0,0,100*ABS(AG1225-AH1225)/(AG1225+AH1225)))</f>
        <v>0</v>
      </c>
      <c r="AJ1225">
        <f>IF(COUNT($AI$1212:$AI$1225)&lt;14,"",AVERAGE($AI$1212:$AI$1225))</f>
        <v>0</v>
      </c>
      <c r="AK1225">
        <f>IF(COUNT($E$2:$E1225)&lt;20,"",AVERAGE($E$1206:$E$1225))</f>
        <v>0</v>
      </c>
      <c r="AL1225">
        <f>IF(COUNT($E$2:$E1225)&lt;20,"",STDEVP($E$1206:$E$1225))</f>
        <v>0</v>
      </c>
      <c r="AM1225">
        <f>IF(AK1225="","",AK1225+2*AL1225)</f>
        <v>0</v>
      </c>
      <c r="AN1225">
        <f>IF(AK1225="","",AK1225-2*AL1225)</f>
        <v>0</v>
      </c>
      <c r="AO1225">
        <f>IF(OR(AM1225="",AN1225="",AM1225=AN1225),"",($E1225-AN1225)/(AM1225-AN1225))</f>
        <v>0</v>
      </c>
      <c r="AP1225">
        <f>IF(OR(AM1225="",AK1225="",AK1225=0),"",(AM1225-AN1225)/AK1225)</f>
        <v>0</v>
      </c>
      <c r="AQ1225">
        <f>IF(COUNT($E$2:$E1225)&lt;20,"",MAX($C$1206:$C$1225))</f>
        <v>0</v>
      </c>
      <c r="AR1225">
        <f>IF(COUNT($E$2:$E1225)&lt;20,"",MIN($D$1206:$D$1225))</f>
        <v>0</v>
      </c>
      <c r="AS1225">
        <f>IF(OR(AQ1225="",AR1225=""),"",(AQ1225+AR1225)/2)</f>
        <v>0</v>
      </c>
      <c r="AT1225">
        <f>IF(COUNT($G$1206:$G$1225)&lt;20,"",STDEV($G$1206:$G$1225)*SQRT(252))</f>
        <v>0</v>
      </c>
      <c r="AU1225">
        <f>IF(COUNT($E$2:$E1225)&lt;9,"",(MAX($C$1217:$C$1225)+MIN($D$1217:$D$1225))/2)</f>
        <v>0</v>
      </c>
      <c r="AV1225">
        <f>IF(COUNT($E$2:$E1225)&lt;26,"",(MAX($C$1200:$C$1225)+MIN($D$1200:$D$1225))/2)</f>
        <v>0</v>
      </c>
      <c r="AW1225">
        <f>IF(OR(AU1225="",AV1225=""),"",(AU1225+AV1225)/2)</f>
        <v>0</v>
      </c>
      <c r="AX1225">
        <f>IF(COUNT($E$2:$E1225)&lt;52,"",(MAX($C$1174:$C$1225)+MIN($D$1174:$D$1225))/2)</f>
        <v>0</v>
      </c>
      <c r="AY1225">
        <f>IF(COUNT($E$2:$E1225)&lt;20,"",MAX($C$1126:$C$1225))</f>
        <v>0</v>
      </c>
      <c r="AZ1225">
        <f>IF(COUNT($E$2:$E1225)&lt;20,"",MIN($D$1126:$D$1225))</f>
        <v>0</v>
      </c>
      <c r="BA1225">
        <f>IF(COUNT($E$2:$E1225)&lt;20,"",SLOPE($E$1126:$E$1225,$F$1126:$F$1225))</f>
        <v>0</v>
      </c>
      <c r="BB1225">
        <f>IF(COUNT($E$2:$E1225)&lt;20,"",INTERCEPT($E$1126:$E$1225,$F$1126:$F$1225))</f>
        <v>0</v>
      </c>
      <c r="BC1225">
        <f>IF(OR(BA1225="",BB1225=""),"",BB1225+BA1225*F1225)</f>
        <v>0</v>
      </c>
      <c r="BD1225">
        <f>IF(COUNT($E$2:$E1225)&lt;20,"",STEYX($E$1126:$E$1225,$F$1126:$F$1225))</f>
        <v>0</v>
      </c>
      <c r="BE1225">
        <f>IF($E1225="","",IF(AND(COUNT($E$1226:$E$1229)&gt;=4,$C1225=MAX($C$1221:$C$1229)),$C1225,""))</f>
        <v>0</v>
      </c>
      <c r="BF1225">
        <f>IF($E1225="","",IF(AND(COUNT($E$1226:$E$1229)&gt;=4,$D1225=MIN($D$1221:$D$1229)),$D1225,""))</f>
        <v>0</v>
      </c>
      <c r="BG1225">
        <f>IF($A1225="","",$A1225-WEEKDAY($A1225,2)+1)</f>
        <v>0</v>
      </c>
      <c r="BH1225">
        <f>IF($A1225="","",IF($A1224="",1,IF(BG1225&lt;&gt;BG1224,1,0)))</f>
        <v>0</v>
      </c>
      <c r="BI1225">
        <f>IF($A1225="","",IF($A1226="",1,IF(BG1226&lt;&gt;BG1225,1,0)))</f>
        <v>0</v>
      </c>
      <c r="BJ1225">
        <f>IF($A1225="","",IF(BH1225=1,$B1225,BJ1224))</f>
        <v>0</v>
      </c>
      <c r="BK1225">
        <f>IF($A1225="","",IF(BH1225=1,$C1225,MAX($C1225,BK1224)))</f>
        <v>0</v>
      </c>
      <c r="BL1225">
        <f>IF($A1225="","",IF(BH1225=1,$D1225,MIN($D1225,BL1224)))</f>
        <v>0</v>
      </c>
      <c r="BM1225">
        <f>IF($A1225="","",IF(BI1225=1,F1225,""))</f>
        <v>0</v>
      </c>
      <c r="BN1225">
        <f>IF($A1225="","",DATE(YEAR($A1225),MONTH($A1225),1))</f>
        <v>0</v>
      </c>
      <c r="BO1225">
        <f>IF($A1225="","",IF($A1224="",1,IF(BN1225&lt;&gt;BN1224,1,0)))</f>
        <v>0</v>
      </c>
      <c r="BP1225">
        <f>IF($A1225="","",IF($A1226="",1,IF(BN1226&lt;&gt;BN1225,1,0)))</f>
        <v>0</v>
      </c>
      <c r="BQ1225">
        <f>IF($A1225="","",IF(BO1225=1,$B1225,BQ1224))</f>
        <v>0</v>
      </c>
      <c r="BR1225">
        <f>IF($A1225="","",IF(BO1225=1,$C1225,MAX($C1225,BR1224)))</f>
        <v>0</v>
      </c>
      <c r="BS1225">
        <f>IF($A1225="","",IF(BO1225=1,$D1225,MIN($D1225,BS1224)))</f>
        <v>0</v>
      </c>
      <c r="BT1225">
        <f>IF($A1225="","",IF(BP1225=1,F1225,""))</f>
        <v>0</v>
      </c>
    </row>
    <row r="1226" spans="1:72">
      <c r="A1226" s="27">
        <f>IF(Data!$A1226="","",Data!$A1226)</f>
        <v>0</v>
      </c>
      <c r="B1226">
        <f>IF(Data!$B1226="","",Data!$B1226)</f>
        <v>0</v>
      </c>
      <c r="C1226">
        <f>IF(Data!$C1226="","",Data!$C1226)</f>
        <v>0</v>
      </c>
      <c r="D1226">
        <f>IF(Data!$D1226="","",Data!$D1226)</f>
        <v>0</v>
      </c>
      <c r="E1226">
        <f>IF(Data!$E1226="","",Data!$E1226)</f>
        <v>0</v>
      </c>
      <c r="F1226">
        <f>IF($E1226="","",N(F1225)+1)</f>
        <v>0</v>
      </c>
      <c r="G1226">
        <f>IF(OR($E1226="",$E1225=""),"",LN($E1226/$E1225))</f>
        <v>0</v>
      </c>
      <c r="H1226">
        <f>IF($E1226="","",IF($E1225="",$E1226,$E1226*0.0952380952+H1225*0.9047619048))</f>
        <v>0</v>
      </c>
      <c r="I1226">
        <f>IF($E1226="","",IF($E1225="",$E1226,$E1226*0.0392156863+I1225*0.9607843137))</f>
        <v>0</v>
      </c>
      <c r="J1226">
        <f>IF($E1226="","",IF($E1225="",$E1226,$E1226*0.0198019802+J1225*0.9801980198))</f>
        <v>0</v>
      </c>
      <c r="K1226">
        <f>IF($E1226="","",IF($E1225="",$E1226,$E1226*0.0099502488+K1225*0.9900497512))</f>
        <v>0</v>
      </c>
      <c r="L1226">
        <f>IF(OR($E1226="",$E1225=""),"",MAX($E1226-$E1225,0))</f>
        <v>0</v>
      </c>
      <c r="M1226">
        <f>IF(OR($E1226="",$E1225=""),"",MAX($E1225-$E1226,0))</f>
        <v>0</v>
      </c>
      <c r="N1226">
        <f>IF(COUNT($E$2:$E1226)&lt;15,"",IF(AVERAGE($M$1213:$M$1226)=0,100,100-100/(1+AVERAGE($L$1213:$L$1226)/AVERAGE($M$1213:$M$1226))))</f>
        <v>0</v>
      </c>
      <c r="O1226">
        <f>IF($E1226="","",IF($E1225="",$E1226,$E1226*0.1538461538+O1225*0.8461538462))</f>
        <v>0</v>
      </c>
      <c r="P1226">
        <f>IF($E1226="","",IF($E1225="",$E1226,$E1226*0.0740740741+P1225*0.9259259259))</f>
        <v>0</v>
      </c>
      <c r="Q1226">
        <f>IF(OR(O1226="",P1226=""),"",O1226-P1226)</f>
        <v>0</v>
      </c>
      <c r="R1226">
        <f>IF(Q1226="","",IF(R1225="",Q1226,Q1226*0.2000000000+R1225*0.8000000000))</f>
        <v>0</v>
      </c>
      <c r="S1226">
        <f>IF(OR(Q1226="",R1226=""),"",Q1226-R1226)</f>
        <v>0</v>
      </c>
      <c r="T1226">
        <f>IF(COUNT($E$2:$E1226)&lt;14,"",MAX($C$1213:$C$1226))</f>
        <v>0</v>
      </c>
      <c r="U1226">
        <f>IF(COUNT($E$2:$E1226)&lt;14,"",MIN($D$1213:$D$1226))</f>
        <v>0</v>
      </c>
      <c r="V1226">
        <f>IF(OR(T1226="",U1226="",T1226=U1226),"",100*($E1226-U1226)/(T1226-U1226))</f>
        <v>0</v>
      </c>
      <c r="W1226">
        <f>IF(COUNT($V$1224:$V$1226)&lt;3,"",AVERAGE($V$1224:$V$1226))</f>
        <v>0</v>
      </c>
      <c r="X1226">
        <f>IF(COUNT($N$1213:$N$1226)&lt;14,"",MIN($N$1213:$N$1226))</f>
        <v>0</v>
      </c>
      <c r="Y1226">
        <f>IF(COUNT($N$1213:$N$1226)&lt;14,"",MAX($N$1213:$N$1226))</f>
        <v>0</v>
      </c>
      <c r="Z1226">
        <f>IF(OR(N1226="",X1226="",Y1226="",Y1226=X1226),"",100*(N1226-X1226)/(Y1226-X1226))</f>
        <v>0</v>
      </c>
      <c r="AA1226">
        <f>IF(COUNT($Z$1224:$Z$1226)&lt;3,"",AVERAGE($Z$1224:$Z$1226))</f>
        <v>0</v>
      </c>
      <c r="AB1226">
        <f>IF(COUNT($AA$1224:$AA$1226)&lt;3,"",AVERAGE($AA$1224:$AA$1226))</f>
        <v>0</v>
      </c>
      <c r="AC1226">
        <f>IF($E1226="","",MAX($C1226-$D1226,ABS($C1226-$E1225),ABS($D1226-$E1225)))</f>
        <v>0</v>
      </c>
      <c r="AD1226">
        <f>IF(COUNT($E$2:$E1226)&lt;15,"",AVERAGE($AC$1213:$AC$1226))</f>
        <v>0</v>
      </c>
      <c r="AE1226">
        <f>IF(OR($E1226="",$E1225=""),"",IF(AND(($C1226-$C1225)&gt;($D1225-$D1226),($C1226-$C1225)&gt;0),$C1226-$C1225,0))</f>
        <v>0</v>
      </c>
      <c r="AF1226">
        <f>IF(OR($E1226="",$E1225=""),"",IF(AND(($D1225-$D1226)&gt;($C1226-$C1225),($D1225-$D1226)&gt;0),$D1225-$D1226,0))</f>
        <v>0</v>
      </c>
      <c r="AG1226">
        <f>IF(COUNT($E$2:$E1226)&lt;15,"",IF(SUM($AC$1213:$AC$1226)=0,0,100*SUM($AE$1213:$AE$1226)/SUM($AC$1213:$AC$1226)))</f>
        <v>0</v>
      </c>
      <c r="AH1226">
        <f>IF(COUNT($E$2:$E1226)&lt;15,"",IF(SUM($AC$1213:$AC$1226)=0,0,100*SUM($AF$1213:$AF$1226)/SUM($AC$1213:$AC$1226)))</f>
        <v>0</v>
      </c>
      <c r="AI1226">
        <f>IF(OR(AG1226="",AH1226=""),"",IF((AG1226+AH1226)=0,0,100*ABS(AG1226-AH1226)/(AG1226+AH1226)))</f>
        <v>0</v>
      </c>
      <c r="AJ1226">
        <f>IF(COUNT($AI$1213:$AI$1226)&lt;14,"",AVERAGE($AI$1213:$AI$1226))</f>
        <v>0</v>
      </c>
      <c r="AK1226">
        <f>IF(COUNT($E$2:$E1226)&lt;20,"",AVERAGE($E$1207:$E$1226))</f>
        <v>0</v>
      </c>
      <c r="AL1226">
        <f>IF(COUNT($E$2:$E1226)&lt;20,"",STDEVP($E$1207:$E$1226))</f>
        <v>0</v>
      </c>
      <c r="AM1226">
        <f>IF(AK1226="","",AK1226+2*AL1226)</f>
        <v>0</v>
      </c>
      <c r="AN1226">
        <f>IF(AK1226="","",AK1226-2*AL1226)</f>
        <v>0</v>
      </c>
      <c r="AO1226">
        <f>IF(OR(AM1226="",AN1226="",AM1226=AN1226),"",($E1226-AN1226)/(AM1226-AN1226))</f>
        <v>0</v>
      </c>
      <c r="AP1226">
        <f>IF(OR(AM1226="",AK1226="",AK1226=0),"",(AM1226-AN1226)/AK1226)</f>
        <v>0</v>
      </c>
      <c r="AQ1226">
        <f>IF(COUNT($E$2:$E1226)&lt;20,"",MAX($C$1207:$C$1226))</f>
        <v>0</v>
      </c>
      <c r="AR1226">
        <f>IF(COUNT($E$2:$E1226)&lt;20,"",MIN($D$1207:$D$1226))</f>
        <v>0</v>
      </c>
      <c r="AS1226">
        <f>IF(OR(AQ1226="",AR1226=""),"",(AQ1226+AR1226)/2)</f>
        <v>0</v>
      </c>
      <c r="AT1226">
        <f>IF(COUNT($G$1207:$G$1226)&lt;20,"",STDEV($G$1207:$G$1226)*SQRT(252))</f>
        <v>0</v>
      </c>
      <c r="AU1226">
        <f>IF(COUNT($E$2:$E1226)&lt;9,"",(MAX($C$1218:$C$1226)+MIN($D$1218:$D$1226))/2)</f>
        <v>0</v>
      </c>
      <c r="AV1226">
        <f>IF(COUNT($E$2:$E1226)&lt;26,"",(MAX($C$1201:$C$1226)+MIN($D$1201:$D$1226))/2)</f>
        <v>0</v>
      </c>
      <c r="AW1226">
        <f>IF(OR(AU1226="",AV1226=""),"",(AU1226+AV1226)/2)</f>
        <v>0</v>
      </c>
      <c r="AX1226">
        <f>IF(COUNT($E$2:$E1226)&lt;52,"",(MAX($C$1175:$C$1226)+MIN($D$1175:$D$1226))/2)</f>
        <v>0</v>
      </c>
      <c r="AY1226">
        <f>IF(COUNT($E$2:$E1226)&lt;20,"",MAX($C$1127:$C$1226))</f>
        <v>0</v>
      </c>
      <c r="AZ1226">
        <f>IF(COUNT($E$2:$E1226)&lt;20,"",MIN($D$1127:$D$1226))</f>
        <v>0</v>
      </c>
      <c r="BA1226">
        <f>IF(COUNT($E$2:$E1226)&lt;20,"",SLOPE($E$1127:$E$1226,$F$1127:$F$1226))</f>
        <v>0</v>
      </c>
      <c r="BB1226">
        <f>IF(COUNT($E$2:$E1226)&lt;20,"",INTERCEPT($E$1127:$E$1226,$F$1127:$F$1226))</f>
        <v>0</v>
      </c>
      <c r="BC1226">
        <f>IF(OR(BA1226="",BB1226=""),"",BB1226+BA1226*F1226)</f>
        <v>0</v>
      </c>
      <c r="BD1226">
        <f>IF(COUNT($E$2:$E1226)&lt;20,"",STEYX($E$1127:$E$1226,$F$1127:$F$1226))</f>
        <v>0</v>
      </c>
      <c r="BE1226">
        <f>IF($E1226="","",IF(AND(COUNT($E$1227:$E$1230)&gt;=4,$C1226=MAX($C$1222:$C$1230)),$C1226,""))</f>
        <v>0</v>
      </c>
      <c r="BF1226">
        <f>IF($E1226="","",IF(AND(COUNT($E$1227:$E$1230)&gt;=4,$D1226=MIN($D$1222:$D$1230)),$D1226,""))</f>
        <v>0</v>
      </c>
      <c r="BG1226">
        <f>IF($A1226="","",$A1226-WEEKDAY($A1226,2)+1)</f>
        <v>0</v>
      </c>
      <c r="BH1226">
        <f>IF($A1226="","",IF($A1225="",1,IF(BG1226&lt;&gt;BG1225,1,0)))</f>
        <v>0</v>
      </c>
      <c r="BI1226">
        <f>IF($A1226="","",IF($A1227="",1,IF(BG1227&lt;&gt;BG1226,1,0)))</f>
        <v>0</v>
      </c>
      <c r="BJ1226">
        <f>IF($A1226="","",IF(BH1226=1,$B1226,BJ1225))</f>
        <v>0</v>
      </c>
      <c r="BK1226">
        <f>IF($A1226="","",IF(BH1226=1,$C1226,MAX($C1226,BK1225)))</f>
        <v>0</v>
      </c>
      <c r="BL1226">
        <f>IF($A1226="","",IF(BH1226=1,$D1226,MIN($D1226,BL1225)))</f>
        <v>0</v>
      </c>
      <c r="BM1226">
        <f>IF($A1226="","",IF(BI1226=1,F1226,""))</f>
        <v>0</v>
      </c>
      <c r="BN1226">
        <f>IF($A1226="","",DATE(YEAR($A1226),MONTH($A1226),1))</f>
        <v>0</v>
      </c>
      <c r="BO1226">
        <f>IF($A1226="","",IF($A1225="",1,IF(BN1226&lt;&gt;BN1225,1,0)))</f>
        <v>0</v>
      </c>
      <c r="BP1226">
        <f>IF($A1226="","",IF($A1227="",1,IF(BN1227&lt;&gt;BN1226,1,0)))</f>
        <v>0</v>
      </c>
      <c r="BQ1226">
        <f>IF($A1226="","",IF(BO1226=1,$B1226,BQ1225))</f>
        <v>0</v>
      </c>
      <c r="BR1226">
        <f>IF($A1226="","",IF(BO1226=1,$C1226,MAX($C1226,BR1225)))</f>
        <v>0</v>
      </c>
      <c r="BS1226">
        <f>IF($A1226="","",IF(BO1226=1,$D1226,MIN($D1226,BS1225)))</f>
        <v>0</v>
      </c>
      <c r="BT1226">
        <f>IF($A1226="","",IF(BP1226=1,F1226,""))</f>
        <v>0</v>
      </c>
    </row>
    <row r="1227" spans="1:72">
      <c r="A1227" s="27">
        <f>IF(Data!$A1227="","",Data!$A1227)</f>
        <v>0</v>
      </c>
      <c r="B1227">
        <f>IF(Data!$B1227="","",Data!$B1227)</f>
        <v>0</v>
      </c>
      <c r="C1227">
        <f>IF(Data!$C1227="","",Data!$C1227)</f>
        <v>0</v>
      </c>
      <c r="D1227">
        <f>IF(Data!$D1227="","",Data!$D1227)</f>
        <v>0</v>
      </c>
      <c r="E1227">
        <f>IF(Data!$E1227="","",Data!$E1227)</f>
        <v>0</v>
      </c>
      <c r="F1227">
        <f>IF($E1227="","",N(F1226)+1)</f>
        <v>0</v>
      </c>
      <c r="G1227">
        <f>IF(OR($E1227="",$E1226=""),"",LN($E1227/$E1226))</f>
        <v>0</v>
      </c>
      <c r="H1227">
        <f>IF($E1227="","",IF($E1226="",$E1227,$E1227*0.0952380952+H1226*0.9047619048))</f>
        <v>0</v>
      </c>
      <c r="I1227">
        <f>IF($E1227="","",IF($E1226="",$E1227,$E1227*0.0392156863+I1226*0.9607843137))</f>
        <v>0</v>
      </c>
      <c r="J1227">
        <f>IF($E1227="","",IF($E1226="",$E1227,$E1227*0.0198019802+J1226*0.9801980198))</f>
        <v>0</v>
      </c>
      <c r="K1227">
        <f>IF($E1227="","",IF($E1226="",$E1227,$E1227*0.0099502488+K1226*0.9900497512))</f>
        <v>0</v>
      </c>
      <c r="L1227">
        <f>IF(OR($E1227="",$E1226=""),"",MAX($E1227-$E1226,0))</f>
        <v>0</v>
      </c>
      <c r="M1227">
        <f>IF(OR($E1227="",$E1226=""),"",MAX($E1226-$E1227,0))</f>
        <v>0</v>
      </c>
      <c r="N1227">
        <f>IF(COUNT($E$2:$E1227)&lt;15,"",IF(AVERAGE($M$1214:$M$1227)=0,100,100-100/(1+AVERAGE($L$1214:$L$1227)/AVERAGE($M$1214:$M$1227))))</f>
        <v>0</v>
      </c>
      <c r="O1227">
        <f>IF($E1227="","",IF($E1226="",$E1227,$E1227*0.1538461538+O1226*0.8461538462))</f>
        <v>0</v>
      </c>
      <c r="P1227">
        <f>IF($E1227="","",IF($E1226="",$E1227,$E1227*0.0740740741+P1226*0.9259259259))</f>
        <v>0</v>
      </c>
      <c r="Q1227">
        <f>IF(OR(O1227="",P1227=""),"",O1227-P1227)</f>
        <v>0</v>
      </c>
      <c r="R1227">
        <f>IF(Q1227="","",IF(R1226="",Q1227,Q1227*0.2000000000+R1226*0.8000000000))</f>
        <v>0</v>
      </c>
      <c r="S1227">
        <f>IF(OR(Q1227="",R1227=""),"",Q1227-R1227)</f>
        <v>0</v>
      </c>
      <c r="T1227">
        <f>IF(COUNT($E$2:$E1227)&lt;14,"",MAX($C$1214:$C$1227))</f>
        <v>0</v>
      </c>
      <c r="U1227">
        <f>IF(COUNT($E$2:$E1227)&lt;14,"",MIN($D$1214:$D$1227))</f>
        <v>0</v>
      </c>
      <c r="V1227">
        <f>IF(OR(T1227="",U1227="",T1227=U1227),"",100*($E1227-U1227)/(T1227-U1227))</f>
        <v>0</v>
      </c>
      <c r="W1227">
        <f>IF(COUNT($V$1225:$V$1227)&lt;3,"",AVERAGE($V$1225:$V$1227))</f>
        <v>0</v>
      </c>
      <c r="X1227">
        <f>IF(COUNT($N$1214:$N$1227)&lt;14,"",MIN($N$1214:$N$1227))</f>
        <v>0</v>
      </c>
      <c r="Y1227">
        <f>IF(COUNT($N$1214:$N$1227)&lt;14,"",MAX($N$1214:$N$1227))</f>
        <v>0</v>
      </c>
      <c r="Z1227">
        <f>IF(OR(N1227="",X1227="",Y1227="",Y1227=X1227),"",100*(N1227-X1227)/(Y1227-X1227))</f>
        <v>0</v>
      </c>
      <c r="AA1227">
        <f>IF(COUNT($Z$1225:$Z$1227)&lt;3,"",AVERAGE($Z$1225:$Z$1227))</f>
        <v>0</v>
      </c>
      <c r="AB1227">
        <f>IF(COUNT($AA$1225:$AA$1227)&lt;3,"",AVERAGE($AA$1225:$AA$1227))</f>
        <v>0</v>
      </c>
      <c r="AC1227">
        <f>IF($E1227="","",MAX($C1227-$D1227,ABS($C1227-$E1226),ABS($D1227-$E1226)))</f>
        <v>0</v>
      </c>
      <c r="AD1227">
        <f>IF(COUNT($E$2:$E1227)&lt;15,"",AVERAGE($AC$1214:$AC$1227))</f>
        <v>0</v>
      </c>
      <c r="AE1227">
        <f>IF(OR($E1227="",$E1226=""),"",IF(AND(($C1227-$C1226)&gt;($D1226-$D1227),($C1227-$C1226)&gt;0),$C1227-$C1226,0))</f>
        <v>0</v>
      </c>
      <c r="AF1227">
        <f>IF(OR($E1227="",$E1226=""),"",IF(AND(($D1226-$D1227)&gt;($C1227-$C1226),($D1226-$D1227)&gt;0),$D1226-$D1227,0))</f>
        <v>0</v>
      </c>
      <c r="AG1227">
        <f>IF(COUNT($E$2:$E1227)&lt;15,"",IF(SUM($AC$1214:$AC$1227)=0,0,100*SUM($AE$1214:$AE$1227)/SUM($AC$1214:$AC$1227)))</f>
        <v>0</v>
      </c>
      <c r="AH1227">
        <f>IF(COUNT($E$2:$E1227)&lt;15,"",IF(SUM($AC$1214:$AC$1227)=0,0,100*SUM($AF$1214:$AF$1227)/SUM($AC$1214:$AC$1227)))</f>
        <v>0</v>
      </c>
      <c r="AI1227">
        <f>IF(OR(AG1227="",AH1227=""),"",IF((AG1227+AH1227)=0,0,100*ABS(AG1227-AH1227)/(AG1227+AH1227)))</f>
        <v>0</v>
      </c>
      <c r="AJ1227">
        <f>IF(COUNT($AI$1214:$AI$1227)&lt;14,"",AVERAGE($AI$1214:$AI$1227))</f>
        <v>0</v>
      </c>
      <c r="AK1227">
        <f>IF(COUNT($E$2:$E1227)&lt;20,"",AVERAGE($E$1208:$E$1227))</f>
        <v>0</v>
      </c>
      <c r="AL1227">
        <f>IF(COUNT($E$2:$E1227)&lt;20,"",STDEVP($E$1208:$E$1227))</f>
        <v>0</v>
      </c>
      <c r="AM1227">
        <f>IF(AK1227="","",AK1227+2*AL1227)</f>
        <v>0</v>
      </c>
      <c r="AN1227">
        <f>IF(AK1227="","",AK1227-2*AL1227)</f>
        <v>0</v>
      </c>
      <c r="AO1227">
        <f>IF(OR(AM1227="",AN1227="",AM1227=AN1227),"",($E1227-AN1227)/(AM1227-AN1227))</f>
        <v>0</v>
      </c>
      <c r="AP1227">
        <f>IF(OR(AM1227="",AK1227="",AK1227=0),"",(AM1227-AN1227)/AK1227)</f>
        <v>0</v>
      </c>
      <c r="AQ1227">
        <f>IF(COUNT($E$2:$E1227)&lt;20,"",MAX($C$1208:$C$1227))</f>
        <v>0</v>
      </c>
      <c r="AR1227">
        <f>IF(COUNT($E$2:$E1227)&lt;20,"",MIN($D$1208:$D$1227))</f>
        <v>0</v>
      </c>
      <c r="AS1227">
        <f>IF(OR(AQ1227="",AR1227=""),"",(AQ1227+AR1227)/2)</f>
        <v>0</v>
      </c>
      <c r="AT1227">
        <f>IF(COUNT($G$1208:$G$1227)&lt;20,"",STDEV($G$1208:$G$1227)*SQRT(252))</f>
        <v>0</v>
      </c>
      <c r="AU1227">
        <f>IF(COUNT($E$2:$E1227)&lt;9,"",(MAX($C$1219:$C$1227)+MIN($D$1219:$D$1227))/2)</f>
        <v>0</v>
      </c>
      <c r="AV1227">
        <f>IF(COUNT($E$2:$E1227)&lt;26,"",(MAX($C$1202:$C$1227)+MIN($D$1202:$D$1227))/2)</f>
        <v>0</v>
      </c>
      <c r="AW1227">
        <f>IF(OR(AU1227="",AV1227=""),"",(AU1227+AV1227)/2)</f>
        <v>0</v>
      </c>
      <c r="AX1227">
        <f>IF(COUNT($E$2:$E1227)&lt;52,"",(MAX($C$1176:$C$1227)+MIN($D$1176:$D$1227))/2)</f>
        <v>0</v>
      </c>
      <c r="AY1227">
        <f>IF(COUNT($E$2:$E1227)&lt;20,"",MAX($C$1128:$C$1227))</f>
        <v>0</v>
      </c>
      <c r="AZ1227">
        <f>IF(COUNT($E$2:$E1227)&lt;20,"",MIN($D$1128:$D$1227))</f>
        <v>0</v>
      </c>
      <c r="BA1227">
        <f>IF(COUNT($E$2:$E1227)&lt;20,"",SLOPE($E$1128:$E$1227,$F$1128:$F$1227))</f>
        <v>0</v>
      </c>
      <c r="BB1227">
        <f>IF(COUNT($E$2:$E1227)&lt;20,"",INTERCEPT($E$1128:$E$1227,$F$1128:$F$1227))</f>
        <v>0</v>
      </c>
      <c r="BC1227">
        <f>IF(OR(BA1227="",BB1227=""),"",BB1227+BA1227*F1227)</f>
        <v>0</v>
      </c>
      <c r="BD1227">
        <f>IF(COUNT($E$2:$E1227)&lt;20,"",STEYX($E$1128:$E$1227,$F$1128:$F$1227))</f>
        <v>0</v>
      </c>
      <c r="BE1227">
        <f>IF($E1227="","",IF(AND(COUNT($E$1228:$E$1231)&gt;=4,$C1227=MAX($C$1223:$C$1231)),$C1227,""))</f>
        <v>0</v>
      </c>
      <c r="BF1227">
        <f>IF($E1227="","",IF(AND(COUNT($E$1228:$E$1231)&gt;=4,$D1227=MIN($D$1223:$D$1231)),$D1227,""))</f>
        <v>0</v>
      </c>
      <c r="BG1227">
        <f>IF($A1227="","",$A1227-WEEKDAY($A1227,2)+1)</f>
        <v>0</v>
      </c>
      <c r="BH1227">
        <f>IF($A1227="","",IF($A1226="",1,IF(BG1227&lt;&gt;BG1226,1,0)))</f>
        <v>0</v>
      </c>
      <c r="BI1227">
        <f>IF($A1227="","",IF($A1228="",1,IF(BG1228&lt;&gt;BG1227,1,0)))</f>
        <v>0</v>
      </c>
      <c r="BJ1227">
        <f>IF($A1227="","",IF(BH1227=1,$B1227,BJ1226))</f>
        <v>0</v>
      </c>
      <c r="BK1227">
        <f>IF($A1227="","",IF(BH1227=1,$C1227,MAX($C1227,BK1226)))</f>
        <v>0</v>
      </c>
      <c r="BL1227">
        <f>IF($A1227="","",IF(BH1227=1,$D1227,MIN($D1227,BL1226)))</f>
        <v>0</v>
      </c>
      <c r="BM1227">
        <f>IF($A1227="","",IF(BI1227=1,F1227,""))</f>
        <v>0</v>
      </c>
      <c r="BN1227">
        <f>IF($A1227="","",DATE(YEAR($A1227),MONTH($A1227),1))</f>
        <v>0</v>
      </c>
      <c r="BO1227">
        <f>IF($A1227="","",IF($A1226="",1,IF(BN1227&lt;&gt;BN1226,1,0)))</f>
        <v>0</v>
      </c>
      <c r="BP1227">
        <f>IF($A1227="","",IF($A1228="",1,IF(BN1228&lt;&gt;BN1227,1,0)))</f>
        <v>0</v>
      </c>
      <c r="BQ1227">
        <f>IF($A1227="","",IF(BO1227=1,$B1227,BQ1226))</f>
        <v>0</v>
      </c>
      <c r="BR1227">
        <f>IF($A1227="","",IF(BO1227=1,$C1227,MAX($C1227,BR1226)))</f>
        <v>0</v>
      </c>
      <c r="BS1227">
        <f>IF($A1227="","",IF(BO1227=1,$D1227,MIN($D1227,BS1226)))</f>
        <v>0</v>
      </c>
      <c r="BT1227">
        <f>IF($A1227="","",IF(BP1227=1,F1227,""))</f>
        <v>0</v>
      </c>
    </row>
    <row r="1228" spans="1:72">
      <c r="A1228" s="27">
        <f>IF(Data!$A1228="","",Data!$A1228)</f>
        <v>0</v>
      </c>
      <c r="B1228">
        <f>IF(Data!$B1228="","",Data!$B1228)</f>
        <v>0</v>
      </c>
      <c r="C1228">
        <f>IF(Data!$C1228="","",Data!$C1228)</f>
        <v>0</v>
      </c>
      <c r="D1228">
        <f>IF(Data!$D1228="","",Data!$D1228)</f>
        <v>0</v>
      </c>
      <c r="E1228">
        <f>IF(Data!$E1228="","",Data!$E1228)</f>
        <v>0</v>
      </c>
      <c r="F1228">
        <f>IF($E1228="","",N(F1227)+1)</f>
        <v>0</v>
      </c>
      <c r="G1228">
        <f>IF(OR($E1228="",$E1227=""),"",LN($E1228/$E1227))</f>
        <v>0</v>
      </c>
      <c r="H1228">
        <f>IF($E1228="","",IF($E1227="",$E1228,$E1228*0.0952380952+H1227*0.9047619048))</f>
        <v>0</v>
      </c>
      <c r="I1228">
        <f>IF($E1228="","",IF($E1227="",$E1228,$E1228*0.0392156863+I1227*0.9607843137))</f>
        <v>0</v>
      </c>
      <c r="J1228">
        <f>IF($E1228="","",IF($E1227="",$E1228,$E1228*0.0198019802+J1227*0.9801980198))</f>
        <v>0</v>
      </c>
      <c r="K1228">
        <f>IF($E1228="","",IF($E1227="",$E1228,$E1228*0.0099502488+K1227*0.9900497512))</f>
        <v>0</v>
      </c>
      <c r="L1228">
        <f>IF(OR($E1228="",$E1227=""),"",MAX($E1228-$E1227,0))</f>
        <v>0</v>
      </c>
      <c r="M1228">
        <f>IF(OR($E1228="",$E1227=""),"",MAX($E1227-$E1228,0))</f>
        <v>0</v>
      </c>
      <c r="N1228">
        <f>IF(COUNT($E$2:$E1228)&lt;15,"",IF(AVERAGE($M$1215:$M$1228)=0,100,100-100/(1+AVERAGE($L$1215:$L$1228)/AVERAGE($M$1215:$M$1228))))</f>
        <v>0</v>
      </c>
      <c r="O1228">
        <f>IF($E1228="","",IF($E1227="",$E1228,$E1228*0.1538461538+O1227*0.8461538462))</f>
        <v>0</v>
      </c>
      <c r="P1228">
        <f>IF($E1228="","",IF($E1227="",$E1228,$E1228*0.0740740741+P1227*0.9259259259))</f>
        <v>0</v>
      </c>
      <c r="Q1228">
        <f>IF(OR(O1228="",P1228=""),"",O1228-P1228)</f>
        <v>0</v>
      </c>
      <c r="R1228">
        <f>IF(Q1228="","",IF(R1227="",Q1228,Q1228*0.2000000000+R1227*0.8000000000))</f>
        <v>0</v>
      </c>
      <c r="S1228">
        <f>IF(OR(Q1228="",R1228=""),"",Q1228-R1228)</f>
        <v>0</v>
      </c>
      <c r="T1228">
        <f>IF(COUNT($E$2:$E1228)&lt;14,"",MAX($C$1215:$C$1228))</f>
        <v>0</v>
      </c>
      <c r="U1228">
        <f>IF(COUNT($E$2:$E1228)&lt;14,"",MIN($D$1215:$D$1228))</f>
        <v>0</v>
      </c>
      <c r="V1228">
        <f>IF(OR(T1228="",U1228="",T1228=U1228),"",100*($E1228-U1228)/(T1228-U1228))</f>
        <v>0</v>
      </c>
      <c r="W1228">
        <f>IF(COUNT($V$1226:$V$1228)&lt;3,"",AVERAGE($V$1226:$V$1228))</f>
        <v>0</v>
      </c>
      <c r="X1228">
        <f>IF(COUNT($N$1215:$N$1228)&lt;14,"",MIN($N$1215:$N$1228))</f>
        <v>0</v>
      </c>
      <c r="Y1228">
        <f>IF(COUNT($N$1215:$N$1228)&lt;14,"",MAX($N$1215:$N$1228))</f>
        <v>0</v>
      </c>
      <c r="Z1228">
        <f>IF(OR(N1228="",X1228="",Y1228="",Y1228=X1228),"",100*(N1228-X1228)/(Y1228-X1228))</f>
        <v>0</v>
      </c>
      <c r="AA1228">
        <f>IF(COUNT($Z$1226:$Z$1228)&lt;3,"",AVERAGE($Z$1226:$Z$1228))</f>
        <v>0</v>
      </c>
      <c r="AB1228">
        <f>IF(COUNT($AA$1226:$AA$1228)&lt;3,"",AVERAGE($AA$1226:$AA$1228))</f>
        <v>0</v>
      </c>
      <c r="AC1228">
        <f>IF($E1228="","",MAX($C1228-$D1228,ABS($C1228-$E1227),ABS($D1228-$E1227)))</f>
        <v>0</v>
      </c>
      <c r="AD1228">
        <f>IF(COUNT($E$2:$E1228)&lt;15,"",AVERAGE($AC$1215:$AC$1228))</f>
        <v>0</v>
      </c>
      <c r="AE1228">
        <f>IF(OR($E1228="",$E1227=""),"",IF(AND(($C1228-$C1227)&gt;($D1227-$D1228),($C1228-$C1227)&gt;0),$C1228-$C1227,0))</f>
        <v>0</v>
      </c>
      <c r="AF1228">
        <f>IF(OR($E1228="",$E1227=""),"",IF(AND(($D1227-$D1228)&gt;($C1228-$C1227),($D1227-$D1228)&gt;0),$D1227-$D1228,0))</f>
        <v>0</v>
      </c>
      <c r="AG1228">
        <f>IF(COUNT($E$2:$E1228)&lt;15,"",IF(SUM($AC$1215:$AC$1228)=0,0,100*SUM($AE$1215:$AE$1228)/SUM($AC$1215:$AC$1228)))</f>
        <v>0</v>
      </c>
      <c r="AH1228">
        <f>IF(COUNT($E$2:$E1228)&lt;15,"",IF(SUM($AC$1215:$AC$1228)=0,0,100*SUM($AF$1215:$AF$1228)/SUM($AC$1215:$AC$1228)))</f>
        <v>0</v>
      </c>
      <c r="AI1228">
        <f>IF(OR(AG1228="",AH1228=""),"",IF((AG1228+AH1228)=0,0,100*ABS(AG1228-AH1228)/(AG1228+AH1228)))</f>
        <v>0</v>
      </c>
      <c r="AJ1228">
        <f>IF(COUNT($AI$1215:$AI$1228)&lt;14,"",AVERAGE($AI$1215:$AI$1228))</f>
        <v>0</v>
      </c>
      <c r="AK1228">
        <f>IF(COUNT($E$2:$E1228)&lt;20,"",AVERAGE($E$1209:$E$1228))</f>
        <v>0</v>
      </c>
      <c r="AL1228">
        <f>IF(COUNT($E$2:$E1228)&lt;20,"",STDEVP($E$1209:$E$1228))</f>
        <v>0</v>
      </c>
      <c r="AM1228">
        <f>IF(AK1228="","",AK1228+2*AL1228)</f>
        <v>0</v>
      </c>
      <c r="AN1228">
        <f>IF(AK1228="","",AK1228-2*AL1228)</f>
        <v>0</v>
      </c>
      <c r="AO1228">
        <f>IF(OR(AM1228="",AN1228="",AM1228=AN1228),"",($E1228-AN1228)/(AM1228-AN1228))</f>
        <v>0</v>
      </c>
      <c r="AP1228">
        <f>IF(OR(AM1228="",AK1228="",AK1228=0),"",(AM1228-AN1228)/AK1228)</f>
        <v>0</v>
      </c>
      <c r="AQ1228">
        <f>IF(COUNT($E$2:$E1228)&lt;20,"",MAX($C$1209:$C$1228))</f>
        <v>0</v>
      </c>
      <c r="AR1228">
        <f>IF(COUNT($E$2:$E1228)&lt;20,"",MIN($D$1209:$D$1228))</f>
        <v>0</v>
      </c>
      <c r="AS1228">
        <f>IF(OR(AQ1228="",AR1228=""),"",(AQ1228+AR1228)/2)</f>
        <v>0</v>
      </c>
      <c r="AT1228">
        <f>IF(COUNT($G$1209:$G$1228)&lt;20,"",STDEV($G$1209:$G$1228)*SQRT(252))</f>
        <v>0</v>
      </c>
      <c r="AU1228">
        <f>IF(COUNT($E$2:$E1228)&lt;9,"",(MAX($C$1220:$C$1228)+MIN($D$1220:$D$1228))/2)</f>
        <v>0</v>
      </c>
      <c r="AV1228">
        <f>IF(COUNT($E$2:$E1228)&lt;26,"",(MAX($C$1203:$C$1228)+MIN($D$1203:$D$1228))/2)</f>
        <v>0</v>
      </c>
      <c r="AW1228">
        <f>IF(OR(AU1228="",AV1228=""),"",(AU1228+AV1228)/2)</f>
        <v>0</v>
      </c>
      <c r="AX1228">
        <f>IF(COUNT($E$2:$E1228)&lt;52,"",(MAX($C$1177:$C$1228)+MIN($D$1177:$D$1228))/2)</f>
        <v>0</v>
      </c>
      <c r="AY1228">
        <f>IF(COUNT($E$2:$E1228)&lt;20,"",MAX($C$1129:$C$1228))</f>
        <v>0</v>
      </c>
      <c r="AZ1228">
        <f>IF(COUNT($E$2:$E1228)&lt;20,"",MIN($D$1129:$D$1228))</f>
        <v>0</v>
      </c>
      <c r="BA1228">
        <f>IF(COUNT($E$2:$E1228)&lt;20,"",SLOPE($E$1129:$E$1228,$F$1129:$F$1228))</f>
        <v>0</v>
      </c>
      <c r="BB1228">
        <f>IF(COUNT($E$2:$E1228)&lt;20,"",INTERCEPT($E$1129:$E$1228,$F$1129:$F$1228))</f>
        <v>0</v>
      </c>
      <c r="BC1228">
        <f>IF(OR(BA1228="",BB1228=""),"",BB1228+BA1228*F1228)</f>
        <v>0</v>
      </c>
      <c r="BD1228">
        <f>IF(COUNT($E$2:$E1228)&lt;20,"",STEYX($E$1129:$E$1228,$F$1129:$F$1228))</f>
        <v>0</v>
      </c>
      <c r="BE1228">
        <f>IF($E1228="","",IF(AND(COUNT($E$1229:$E$1232)&gt;=4,$C1228=MAX($C$1224:$C$1232)),$C1228,""))</f>
        <v>0</v>
      </c>
      <c r="BF1228">
        <f>IF($E1228="","",IF(AND(COUNT($E$1229:$E$1232)&gt;=4,$D1228=MIN($D$1224:$D$1232)),$D1228,""))</f>
        <v>0</v>
      </c>
      <c r="BG1228">
        <f>IF($A1228="","",$A1228-WEEKDAY($A1228,2)+1)</f>
        <v>0</v>
      </c>
      <c r="BH1228">
        <f>IF($A1228="","",IF($A1227="",1,IF(BG1228&lt;&gt;BG1227,1,0)))</f>
        <v>0</v>
      </c>
      <c r="BI1228">
        <f>IF($A1228="","",IF($A1229="",1,IF(BG1229&lt;&gt;BG1228,1,0)))</f>
        <v>0</v>
      </c>
      <c r="BJ1228">
        <f>IF($A1228="","",IF(BH1228=1,$B1228,BJ1227))</f>
        <v>0</v>
      </c>
      <c r="BK1228">
        <f>IF($A1228="","",IF(BH1228=1,$C1228,MAX($C1228,BK1227)))</f>
        <v>0</v>
      </c>
      <c r="BL1228">
        <f>IF($A1228="","",IF(BH1228=1,$D1228,MIN($D1228,BL1227)))</f>
        <v>0</v>
      </c>
      <c r="BM1228">
        <f>IF($A1228="","",IF(BI1228=1,F1228,""))</f>
        <v>0</v>
      </c>
      <c r="BN1228">
        <f>IF($A1228="","",DATE(YEAR($A1228),MONTH($A1228),1))</f>
        <v>0</v>
      </c>
      <c r="BO1228">
        <f>IF($A1228="","",IF($A1227="",1,IF(BN1228&lt;&gt;BN1227,1,0)))</f>
        <v>0</v>
      </c>
      <c r="BP1228">
        <f>IF($A1228="","",IF($A1229="",1,IF(BN1229&lt;&gt;BN1228,1,0)))</f>
        <v>0</v>
      </c>
      <c r="BQ1228">
        <f>IF($A1228="","",IF(BO1228=1,$B1228,BQ1227))</f>
        <v>0</v>
      </c>
      <c r="BR1228">
        <f>IF($A1228="","",IF(BO1228=1,$C1228,MAX($C1228,BR1227)))</f>
        <v>0</v>
      </c>
      <c r="BS1228">
        <f>IF($A1228="","",IF(BO1228=1,$D1228,MIN($D1228,BS1227)))</f>
        <v>0</v>
      </c>
      <c r="BT1228">
        <f>IF($A1228="","",IF(BP1228=1,F1228,""))</f>
        <v>0</v>
      </c>
    </row>
    <row r="1229" spans="1:72">
      <c r="A1229" s="27">
        <f>IF(Data!$A1229="","",Data!$A1229)</f>
        <v>0</v>
      </c>
      <c r="B1229">
        <f>IF(Data!$B1229="","",Data!$B1229)</f>
        <v>0</v>
      </c>
      <c r="C1229">
        <f>IF(Data!$C1229="","",Data!$C1229)</f>
        <v>0</v>
      </c>
      <c r="D1229">
        <f>IF(Data!$D1229="","",Data!$D1229)</f>
        <v>0</v>
      </c>
      <c r="E1229">
        <f>IF(Data!$E1229="","",Data!$E1229)</f>
        <v>0</v>
      </c>
      <c r="F1229">
        <f>IF($E1229="","",N(F1228)+1)</f>
        <v>0</v>
      </c>
      <c r="G1229">
        <f>IF(OR($E1229="",$E1228=""),"",LN($E1229/$E1228))</f>
        <v>0</v>
      </c>
      <c r="H1229">
        <f>IF($E1229="","",IF($E1228="",$E1229,$E1229*0.0952380952+H1228*0.9047619048))</f>
        <v>0</v>
      </c>
      <c r="I1229">
        <f>IF($E1229="","",IF($E1228="",$E1229,$E1229*0.0392156863+I1228*0.9607843137))</f>
        <v>0</v>
      </c>
      <c r="J1229">
        <f>IF($E1229="","",IF($E1228="",$E1229,$E1229*0.0198019802+J1228*0.9801980198))</f>
        <v>0</v>
      </c>
      <c r="K1229">
        <f>IF($E1229="","",IF($E1228="",$E1229,$E1229*0.0099502488+K1228*0.9900497512))</f>
        <v>0</v>
      </c>
      <c r="L1229">
        <f>IF(OR($E1229="",$E1228=""),"",MAX($E1229-$E1228,0))</f>
        <v>0</v>
      </c>
      <c r="M1229">
        <f>IF(OR($E1229="",$E1228=""),"",MAX($E1228-$E1229,0))</f>
        <v>0</v>
      </c>
      <c r="N1229">
        <f>IF(COUNT($E$2:$E1229)&lt;15,"",IF(AVERAGE($M$1216:$M$1229)=0,100,100-100/(1+AVERAGE($L$1216:$L$1229)/AVERAGE($M$1216:$M$1229))))</f>
        <v>0</v>
      </c>
      <c r="O1229">
        <f>IF($E1229="","",IF($E1228="",$E1229,$E1229*0.1538461538+O1228*0.8461538462))</f>
        <v>0</v>
      </c>
      <c r="P1229">
        <f>IF($E1229="","",IF($E1228="",$E1229,$E1229*0.0740740741+P1228*0.9259259259))</f>
        <v>0</v>
      </c>
      <c r="Q1229">
        <f>IF(OR(O1229="",P1229=""),"",O1229-P1229)</f>
        <v>0</v>
      </c>
      <c r="R1229">
        <f>IF(Q1229="","",IF(R1228="",Q1229,Q1229*0.2000000000+R1228*0.8000000000))</f>
        <v>0</v>
      </c>
      <c r="S1229">
        <f>IF(OR(Q1229="",R1229=""),"",Q1229-R1229)</f>
        <v>0</v>
      </c>
      <c r="T1229">
        <f>IF(COUNT($E$2:$E1229)&lt;14,"",MAX($C$1216:$C$1229))</f>
        <v>0</v>
      </c>
      <c r="U1229">
        <f>IF(COUNT($E$2:$E1229)&lt;14,"",MIN($D$1216:$D$1229))</f>
        <v>0</v>
      </c>
      <c r="V1229">
        <f>IF(OR(T1229="",U1229="",T1229=U1229),"",100*($E1229-U1229)/(T1229-U1229))</f>
        <v>0</v>
      </c>
      <c r="W1229">
        <f>IF(COUNT($V$1227:$V$1229)&lt;3,"",AVERAGE($V$1227:$V$1229))</f>
        <v>0</v>
      </c>
      <c r="X1229">
        <f>IF(COUNT($N$1216:$N$1229)&lt;14,"",MIN($N$1216:$N$1229))</f>
        <v>0</v>
      </c>
      <c r="Y1229">
        <f>IF(COUNT($N$1216:$N$1229)&lt;14,"",MAX($N$1216:$N$1229))</f>
        <v>0</v>
      </c>
      <c r="Z1229">
        <f>IF(OR(N1229="",X1229="",Y1229="",Y1229=X1229),"",100*(N1229-X1229)/(Y1229-X1229))</f>
        <v>0</v>
      </c>
      <c r="AA1229">
        <f>IF(COUNT($Z$1227:$Z$1229)&lt;3,"",AVERAGE($Z$1227:$Z$1229))</f>
        <v>0</v>
      </c>
      <c r="AB1229">
        <f>IF(COUNT($AA$1227:$AA$1229)&lt;3,"",AVERAGE($AA$1227:$AA$1229))</f>
        <v>0</v>
      </c>
      <c r="AC1229">
        <f>IF($E1229="","",MAX($C1229-$D1229,ABS($C1229-$E1228),ABS($D1229-$E1228)))</f>
        <v>0</v>
      </c>
      <c r="AD1229">
        <f>IF(COUNT($E$2:$E1229)&lt;15,"",AVERAGE($AC$1216:$AC$1229))</f>
        <v>0</v>
      </c>
      <c r="AE1229">
        <f>IF(OR($E1229="",$E1228=""),"",IF(AND(($C1229-$C1228)&gt;($D1228-$D1229),($C1229-$C1228)&gt;0),$C1229-$C1228,0))</f>
        <v>0</v>
      </c>
      <c r="AF1229">
        <f>IF(OR($E1229="",$E1228=""),"",IF(AND(($D1228-$D1229)&gt;($C1229-$C1228),($D1228-$D1229)&gt;0),$D1228-$D1229,0))</f>
        <v>0</v>
      </c>
      <c r="AG1229">
        <f>IF(COUNT($E$2:$E1229)&lt;15,"",IF(SUM($AC$1216:$AC$1229)=0,0,100*SUM($AE$1216:$AE$1229)/SUM($AC$1216:$AC$1229)))</f>
        <v>0</v>
      </c>
      <c r="AH1229">
        <f>IF(COUNT($E$2:$E1229)&lt;15,"",IF(SUM($AC$1216:$AC$1229)=0,0,100*SUM($AF$1216:$AF$1229)/SUM($AC$1216:$AC$1229)))</f>
        <v>0</v>
      </c>
      <c r="AI1229">
        <f>IF(OR(AG1229="",AH1229=""),"",IF((AG1229+AH1229)=0,0,100*ABS(AG1229-AH1229)/(AG1229+AH1229)))</f>
        <v>0</v>
      </c>
      <c r="AJ1229">
        <f>IF(COUNT($AI$1216:$AI$1229)&lt;14,"",AVERAGE($AI$1216:$AI$1229))</f>
        <v>0</v>
      </c>
      <c r="AK1229">
        <f>IF(COUNT($E$2:$E1229)&lt;20,"",AVERAGE($E$1210:$E$1229))</f>
        <v>0</v>
      </c>
      <c r="AL1229">
        <f>IF(COUNT($E$2:$E1229)&lt;20,"",STDEVP($E$1210:$E$1229))</f>
        <v>0</v>
      </c>
      <c r="AM1229">
        <f>IF(AK1229="","",AK1229+2*AL1229)</f>
        <v>0</v>
      </c>
      <c r="AN1229">
        <f>IF(AK1229="","",AK1229-2*AL1229)</f>
        <v>0</v>
      </c>
      <c r="AO1229">
        <f>IF(OR(AM1229="",AN1229="",AM1229=AN1229),"",($E1229-AN1229)/(AM1229-AN1229))</f>
        <v>0</v>
      </c>
      <c r="AP1229">
        <f>IF(OR(AM1229="",AK1229="",AK1229=0),"",(AM1229-AN1229)/AK1229)</f>
        <v>0</v>
      </c>
      <c r="AQ1229">
        <f>IF(COUNT($E$2:$E1229)&lt;20,"",MAX($C$1210:$C$1229))</f>
        <v>0</v>
      </c>
      <c r="AR1229">
        <f>IF(COUNT($E$2:$E1229)&lt;20,"",MIN($D$1210:$D$1229))</f>
        <v>0</v>
      </c>
      <c r="AS1229">
        <f>IF(OR(AQ1229="",AR1229=""),"",(AQ1229+AR1229)/2)</f>
        <v>0</v>
      </c>
      <c r="AT1229">
        <f>IF(COUNT($G$1210:$G$1229)&lt;20,"",STDEV($G$1210:$G$1229)*SQRT(252))</f>
        <v>0</v>
      </c>
      <c r="AU1229">
        <f>IF(COUNT($E$2:$E1229)&lt;9,"",(MAX($C$1221:$C$1229)+MIN($D$1221:$D$1229))/2)</f>
        <v>0</v>
      </c>
      <c r="AV1229">
        <f>IF(COUNT($E$2:$E1229)&lt;26,"",(MAX($C$1204:$C$1229)+MIN($D$1204:$D$1229))/2)</f>
        <v>0</v>
      </c>
      <c r="AW1229">
        <f>IF(OR(AU1229="",AV1229=""),"",(AU1229+AV1229)/2)</f>
        <v>0</v>
      </c>
      <c r="AX1229">
        <f>IF(COUNT($E$2:$E1229)&lt;52,"",(MAX($C$1178:$C$1229)+MIN($D$1178:$D$1229))/2)</f>
        <v>0</v>
      </c>
      <c r="AY1229">
        <f>IF(COUNT($E$2:$E1229)&lt;20,"",MAX($C$1130:$C$1229))</f>
        <v>0</v>
      </c>
      <c r="AZ1229">
        <f>IF(COUNT($E$2:$E1229)&lt;20,"",MIN($D$1130:$D$1229))</f>
        <v>0</v>
      </c>
      <c r="BA1229">
        <f>IF(COUNT($E$2:$E1229)&lt;20,"",SLOPE($E$1130:$E$1229,$F$1130:$F$1229))</f>
        <v>0</v>
      </c>
      <c r="BB1229">
        <f>IF(COUNT($E$2:$E1229)&lt;20,"",INTERCEPT($E$1130:$E$1229,$F$1130:$F$1229))</f>
        <v>0</v>
      </c>
      <c r="BC1229">
        <f>IF(OR(BA1229="",BB1229=""),"",BB1229+BA1229*F1229)</f>
        <v>0</v>
      </c>
      <c r="BD1229">
        <f>IF(COUNT($E$2:$E1229)&lt;20,"",STEYX($E$1130:$E$1229,$F$1130:$F$1229))</f>
        <v>0</v>
      </c>
      <c r="BE1229">
        <f>IF($E1229="","",IF(AND(COUNT($E$1230:$E$1233)&gt;=4,$C1229=MAX($C$1225:$C$1233)),$C1229,""))</f>
        <v>0</v>
      </c>
      <c r="BF1229">
        <f>IF($E1229="","",IF(AND(COUNT($E$1230:$E$1233)&gt;=4,$D1229=MIN($D$1225:$D$1233)),$D1229,""))</f>
        <v>0</v>
      </c>
      <c r="BG1229">
        <f>IF($A1229="","",$A1229-WEEKDAY($A1229,2)+1)</f>
        <v>0</v>
      </c>
      <c r="BH1229">
        <f>IF($A1229="","",IF($A1228="",1,IF(BG1229&lt;&gt;BG1228,1,0)))</f>
        <v>0</v>
      </c>
      <c r="BI1229">
        <f>IF($A1229="","",IF($A1230="",1,IF(BG1230&lt;&gt;BG1229,1,0)))</f>
        <v>0</v>
      </c>
      <c r="BJ1229">
        <f>IF($A1229="","",IF(BH1229=1,$B1229,BJ1228))</f>
        <v>0</v>
      </c>
      <c r="BK1229">
        <f>IF($A1229="","",IF(BH1229=1,$C1229,MAX($C1229,BK1228)))</f>
        <v>0</v>
      </c>
      <c r="BL1229">
        <f>IF($A1229="","",IF(BH1229=1,$D1229,MIN($D1229,BL1228)))</f>
        <v>0</v>
      </c>
      <c r="BM1229">
        <f>IF($A1229="","",IF(BI1229=1,F1229,""))</f>
        <v>0</v>
      </c>
      <c r="BN1229">
        <f>IF($A1229="","",DATE(YEAR($A1229),MONTH($A1229),1))</f>
        <v>0</v>
      </c>
      <c r="BO1229">
        <f>IF($A1229="","",IF($A1228="",1,IF(BN1229&lt;&gt;BN1228,1,0)))</f>
        <v>0</v>
      </c>
      <c r="BP1229">
        <f>IF($A1229="","",IF($A1230="",1,IF(BN1230&lt;&gt;BN1229,1,0)))</f>
        <v>0</v>
      </c>
      <c r="BQ1229">
        <f>IF($A1229="","",IF(BO1229=1,$B1229,BQ1228))</f>
        <v>0</v>
      </c>
      <c r="BR1229">
        <f>IF($A1229="","",IF(BO1229=1,$C1229,MAX($C1229,BR1228)))</f>
        <v>0</v>
      </c>
      <c r="BS1229">
        <f>IF($A1229="","",IF(BO1229=1,$D1229,MIN($D1229,BS1228)))</f>
        <v>0</v>
      </c>
      <c r="BT1229">
        <f>IF($A1229="","",IF(BP1229=1,F1229,""))</f>
        <v>0</v>
      </c>
    </row>
    <row r="1230" spans="1:72">
      <c r="A1230" s="27">
        <f>IF(Data!$A1230="","",Data!$A1230)</f>
        <v>0</v>
      </c>
      <c r="B1230">
        <f>IF(Data!$B1230="","",Data!$B1230)</f>
        <v>0</v>
      </c>
      <c r="C1230">
        <f>IF(Data!$C1230="","",Data!$C1230)</f>
        <v>0</v>
      </c>
      <c r="D1230">
        <f>IF(Data!$D1230="","",Data!$D1230)</f>
        <v>0</v>
      </c>
      <c r="E1230">
        <f>IF(Data!$E1230="","",Data!$E1230)</f>
        <v>0</v>
      </c>
      <c r="F1230">
        <f>IF($E1230="","",N(F1229)+1)</f>
        <v>0</v>
      </c>
      <c r="G1230">
        <f>IF(OR($E1230="",$E1229=""),"",LN($E1230/$E1229))</f>
        <v>0</v>
      </c>
      <c r="H1230">
        <f>IF($E1230="","",IF($E1229="",$E1230,$E1230*0.0952380952+H1229*0.9047619048))</f>
        <v>0</v>
      </c>
      <c r="I1230">
        <f>IF($E1230="","",IF($E1229="",$E1230,$E1230*0.0392156863+I1229*0.9607843137))</f>
        <v>0</v>
      </c>
      <c r="J1230">
        <f>IF($E1230="","",IF($E1229="",$E1230,$E1230*0.0198019802+J1229*0.9801980198))</f>
        <v>0</v>
      </c>
      <c r="K1230">
        <f>IF($E1230="","",IF($E1229="",$E1230,$E1230*0.0099502488+K1229*0.9900497512))</f>
        <v>0</v>
      </c>
      <c r="L1230">
        <f>IF(OR($E1230="",$E1229=""),"",MAX($E1230-$E1229,0))</f>
        <v>0</v>
      </c>
      <c r="M1230">
        <f>IF(OR($E1230="",$E1229=""),"",MAX($E1229-$E1230,0))</f>
        <v>0</v>
      </c>
      <c r="N1230">
        <f>IF(COUNT($E$2:$E1230)&lt;15,"",IF(AVERAGE($M$1217:$M$1230)=0,100,100-100/(1+AVERAGE($L$1217:$L$1230)/AVERAGE($M$1217:$M$1230))))</f>
        <v>0</v>
      </c>
      <c r="O1230">
        <f>IF($E1230="","",IF($E1229="",$E1230,$E1230*0.1538461538+O1229*0.8461538462))</f>
        <v>0</v>
      </c>
      <c r="P1230">
        <f>IF($E1230="","",IF($E1229="",$E1230,$E1230*0.0740740741+P1229*0.9259259259))</f>
        <v>0</v>
      </c>
      <c r="Q1230">
        <f>IF(OR(O1230="",P1230=""),"",O1230-P1230)</f>
        <v>0</v>
      </c>
      <c r="R1230">
        <f>IF(Q1230="","",IF(R1229="",Q1230,Q1230*0.2000000000+R1229*0.8000000000))</f>
        <v>0</v>
      </c>
      <c r="S1230">
        <f>IF(OR(Q1230="",R1230=""),"",Q1230-R1230)</f>
        <v>0</v>
      </c>
      <c r="T1230">
        <f>IF(COUNT($E$2:$E1230)&lt;14,"",MAX($C$1217:$C$1230))</f>
        <v>0</v>
      </c>
      <c r="U1230">
        <f>IF(COUNT($E$2:$E1230)&lt;14,"",MIN($D$1217:$D$1230))</f>
        <v>0</v>
      </c>
      <c r="V1230">
        <f>IF(OR(T1230="",U1230="",T1230=U1230),"",100*($E1230-U1230)/(T1230-U1230))</f>
        <v>0</v>
      </c>
      <c r="W1230">
        <f>IF(COUNT($V$1228:$V$1230)&lt;3,"",AVERAGE($V$1228:$V$1230))</f>
        <v>0</v>
      </c>
      <c r="X1230">
        <f>IF(COUNT($N$1217:$N$1230)&lt;14,"",MIN($N$1217:$N$1230))</f>
        <v>0</v>
      </c>
      <c r="Y1230">
        <f>IF(COUNT($N$1217:$N$1230)&lt;14,"",MAX($N$1217:$N$1230))</f>
        <v>0</v>
      </c>
      <c r="Z1230">
        <f>IF(OR(N1230="",X1230="",Y1230="",Y1230=X1230),"",100*(N1230-X1230)/(Y1230-X1230))</f>
        <v>0</v>
      </c>
      <c r="AA1230">
        <f>IF(COUNT($Z$1228:$Z$1230)&lt;3,"",AVERAGE($Z$1228:$Z$1230))</f>
        <v>0</v>
      </c>
      <c r="AB1230">
        <f>IF(COUNT($AA$1228:$AA$1230)&lt;3,"",AVERAGE($AA$1228:$AA$1230))</f>
        <v>0</v>
      </c>
      <c r="AC1230">
        <f>IF($E1230="","",MAX($C1230-$D1230,ABS($C1230-$E1229),ABS($D1230-$E1229)))</f>
        <v>0</v>
      </c>
      <c r="AD1230">
        <f>IF(COUNT($E$2:$E1230)&lt;15,"",AVERAGE($AC$1217:$AC$1230))</f>
        <v>0</v>
      </c>
      <c r="AE1230">
        <f>IF(OR($E1230="",$E1229=""),"",IF(AND(($C1230-$C1229)&gt;($D1229-$D1230),($C1230-$C1229)&gt;0),$C1230-$C1229,0))</f>
        <v>0</v>
      </c>
      <c r="AF1230">
        <f>IF(OR($E1230="",$E1229=""),"",IF(AND(($D1229-$D1230)&gt;($C1230-$C1229),($D1229-$D1230)&gt;0),$D1229-$D1230,0))</f>
        <v>0</v>
      </c>
      <c r="AG1230">
        <f>IF(COUNT($E$2:$E1230)&lt;15,"",IF(SUM($AC$1217:$AC$1230)=0,0,100*SUM($AE$1217:$AE$1230)/SUM($AC$1217:$AC$1230)))</f>
        <v>0</v>
      </c>
      <c r="AH1230">
        <f>IF(COUNT($E$2:$E1230)&lt;15,"",IF(SUM($AC$1217:$AC$1230)=0,0,100*SUM($AF$1217:$AF$1230)/SUM($AC$1217:$AC$1230)))</f>
        <v>0</v>
      </c>
      <c r="AI1230">
        <f>IF(OR(AG1230="",AH1230=""),"",IF((AG1230+AH1230)=0,0,100*ABS(AG1230-AH1230)/(AG1230+AH1230)))</f>
        <v>0</v>
      </c>
      <c r="AJ1230">
        <f>IF(COUNT($AI$1217:$AI$1230)&lt;14,"",AVERAGE($AI$1217:$AI$1230))</f>
        <v>0</v>
      </c>
      <c r="AK1230">
        <f>IF(COUNT($E$2:$E1230)&lt;20,"",AVERAGE($E$1211:$E$1230))</f>
        <v>0</v>
      </c>
      <c r="AL1230">
        <f>IF(COUNT($E$2:$E1230)&lt;20,"",STDEVP($E$1211:$E$1230))</f>
        <v>0</v>
      </c>
      <c r="AM1230">
        <f>IF(AK1230="","",AK1230+2*AL1230)</f>
        <v>0</v>
      </c>
      <c r="AN1230">
        <f>IF(AK1230="","",AK1230-2*AL1230)</f>
        <v>0</v>
      </c>
      <c r="AO1230">
        <f>IF(OR(AM1230="",AN1230="",AM1230=AN1230),"",($E1230-AN1230)/(AM1230-AN1230))</f>
        <v>0</v>
      </c>
      <c r="AP1230">
        <f>IF(OR(AM1230="",AK1230="",AK1230=0),"",(AM1230-AN1230)/AK1230)</f>
        <v>0</v>
      </c>
      <c r="AQ1230">
        <f>IF(COUNT($E$2:$E1230)&lt;20,"",MAX($C$1211:$C$1230))</f>
        <v>0</v>
      </c>
      <c r="AR1230">
        <f>IF(COUNT($E$2:$E1230)&lt;20,"",MIN($D$1211:$D$1230))</f>
        <v>0</v>
      </c>
      <c r="AS1230">
        <f>IF(OR(AQ1230="",AR1230=""),"",(AQ1230+AR1230)/2)</f>
        <v>0</v>
      </c>
      <c r="AT1230">
        <f>IF(COUNT($G$1211:$G$1230)&lt;20,"",STDEV($G$1211:$G$1230)*SQRT(252))</f>
        <v>0</v>
      </c>
      <c r="AU1230">
        <f>IF(COUNT($E$2:$E1230)&lt;9,"",(MAX($C$1222:$C$1230)+MIN($D$1222:$D$1230))/2)</f>
        <v>0</v>
      </c>
      <c r="AV1230">
        <f>IF(COUNT($E$2:$E1230)&lt;26,"",(MAX($C$1205:$C$1230)+MIN($D$1205:$D$1230))/2)</f>
        <v>0</v>
      </c>
      <c r="AW1230">
        <f>IF(OR(AU1230="",AV1230=""),"",(AU1230+AV1230)/2)</f>
        <v>0</v>
      </c>
      <c r="AX1230">
        <f>IF(COUNT($E$2:$E1230)&lt;52,"",(MAX($C$1179:$C$1230)+MIN($D$1179:$D$1230))/2)</f>
        <v>0</v>
      </c>
      <c r="AY1230">
        <f>IF(COUNT($E$2:$E1230)&lt;20,"",MAX($C$1131:$C$1230))</f>
        <v>0</v>
      </c>
      <c r="AZ1230">
        <f>IF(COUNT($E$2:$E1230)&lt;20,"",MIN($D$1131:$D$1230))</f>
        <v>0</v>
      </c>
      <c r="BA1230">
        <f>IF(COUNT($E$2:$E1230)&lt;20,"",SLOPE($E$1131:$E$1230,$F$1131:$F$1230))</f>
        <v>0</v>
      </c>
      <c r="BB1230">
        <f>IF(COUNT($E$2:$E1230)&lt;20,"",INTERCEPT($E$1131:$E$1230,$F$1131:$F$1230))</f>
        <v>0</v>
      </c>
      <c r="BC1230">
        <f>IF(OR(BA1230="",BB1230=""),"",BB1230+BA1230*F1230)</f>
        <v>0</v>
      </c>
      <c r="BD1230">
        <f>IF(COUNT($E$2:$E1230)&lt;20,"",STEYX($E$1131:$E$1230,$F$1131:$F$1230))</f>
        <v>0</v>
      </c>
      <c r="BE1230">
        <f>IF($E1230="","",IF(AND(COUNT($E$1231:$E$1234)&gt;=4,$C1230=MAX($C$1226:$C$1234)),$C1230,""))</f>
        <v>0</v>
      </c>
      <c r="BF1230">
        <f>IF($E1230="","",IF(AND(COUNT($E$1231:$E$1234)&gt;=4,$D1230=MIN($D$1226:$D$1234)),$D1230,""))</f>
        <v>0</v>
      </c>
      <c r="BG1230">
        <f>IF($A1230="","",$A1230-WEEKDAY($A1230,2)+1)</f>
        <v>0</v>
      </c>
      <c r="BH1230">
        <f>IF($A1230="","",IF($A1229="",1,IF(BG1230&lt;&gt;BG1229,1,0)))</f>
        <v>0</v>
      </c>
      <c r="BI1230">
        <f>IF($A1230="","",IF($A1231="",1,IF(BG1231&lt;&gt;BG1230,1,0)))</f>
        <v>0</v>
      </c>
      <c r="BJ1230">
        <f>IF($A1230="","",IF(BH1230=1,$B1230,BJ1229))</f>
        <v>0</v>
      </c>
      <c r="BK1230">
        <f>IF($A1230="","",IF(BH1230=1,$C1230,MAX($C1230,BK1229)))</f>
        <v>0</v>
      </c>
      <c r="BL1230">
        <f>IF($A1230="","",IF(BH1230=1,$D1230,MIN($D1230,BL1229)))</f>
        <v>0</v>
      </c>
      <c r="BM1230">
        <f>IF($A1230="","",IF(BI1230=1,F1230,""))</f>
        <v>0</v>
      </c>
      <c r="BN1230">
        <f>IF($A1230="","",DATE(YEAR($A1230),MONTH($A1230),1))</f>
        <v>0</v>
      </c>
      <c r="BO1230">
        <f>IF($A1230="","",IF($A1229="",1,IF(BN1230&lt;&gt;BN1229,1,0)))</f>
        <v>0</v>
      </c>
      <c r="BP1230">
        <f>IF($A1230="","",IF($A1231="",1,IF(BN1231&lt;&gt;BN1230,1,0)))</f>
        <v>0</v>
      </c>
      <c r="BQ1230">
        <f>IF($A1230="","",IF(BO1230=1,$B1230,BQ1229))</f>
        <v>0</v>
      </c>
      <c r="BR1230">
        <f>IF($A1230="","",IF(BO1230=1,$C1230,MAX($C1230,BR1229)))</f>
        <v>0</v>
      </c>
      <c r="BS1230">
        <f>IF($A1230="","",IF(BO1230=1,$D1230,MIN($D1230,BS1229)))</f>
        <v>0</v>
      </c>
      <c r="BT1230">
        <f>IF($A1230="","",IF(BP1230=1,F1230,""))</f>
        <v>0</v>
      </c>
    </row>
    <row r="1231" spans="1:72">
      <c r="A1231" s="27">
        <f>IF(Data!$A1231="","",Data!$A1231)</f>
        <v>0</v>
      </c>
      <c r="B1231">
        <f>IF(Data!$B1231="","",Data!$B1231)</f>
        <v>0</v>
      </c>
      <c r="C1231">
        <f>IF(Data!$C1231="","",Data!$C1231)</f>
        <v>0</v>
      </c>
      <c r="D1231">
        <f>IF(Data!$D1231="","",Data!$D1231)</f>
        <v>0</v>
      </c>
      <c r="E1231">
        <f>IF(Data!$E1231="","",Data!$E1231)</f>
        <v>0</v>
      </c>
      <c r="F1231">
        <f>IF($E1231="","",N(F1230)+1)</f>
        <v>0</v>
      </c>
      <c r="G1231">
        <f>IF(OR($E1231="",$E1230=""),"",LN($E1231/$E1230))</f>
        <v>0</v>
      </c>
      <c r="H1231">
        <f>IF($E1231="","",IF($E1230="",$E1231,$E1231*0.0952380952+H1230*0.9047619048))</f>
        <v>0</v>
      </c>
      <c r="I1231">
        <f>IF($E1231="","",IF($E1230="",$E1231,$E1231*0.0392156863+I1230*0.9607843137))</f>
        <v>0</v>
      </c>
      <c r="J1231">
        <f>IF($E1231="","",IF($E1230="",$E1231,$E1231*0.0198019802+J1230*0.9801980198))</f>
        <v>0</v>
      </c>
      <c r="K1231">
        <f>IF($E1231="","",IF($E1230="",$E1231,$E1231*0.0099502488+K1230*0.9900497512))</f>
        <v>0</v>
      </c>
      <c r="L1231">
        <f>IF(OR($E1231="",$E1230=""),"",MAX($E1231-$E1230,0))</f>
        <v>0</v>
      </c>
      <c r="M1231">
        <f>IF(OR($E1231="",$E1230=""),"",MAX($E1230-$E1231,0))</f>
        <v>0</v>
      </c>
      <c r="N1231">
        <f>IF(COUNT($E$2:$E1231)&lt;15,"",IF(AVERAGE($M$1218:$M$1231)=0,100,100-100/(1+AVERAGE($L$1218:$L$1231)/AVERAGE($M$1218:$M$1231))))</f>
        <v>0</v>
      </c>
      <c r="O1231">
        <f>IF($E1231="","",IF($E1230="",$E1231,$E1231*0.1538461538+O1230*0.8461538462))</f>
        <v>0</v>
      </c>
      <c r="P1231">
        <f>IF($E1231="","",IF($E1230="",$E1231,$E1231*0.0740740741+P1230*0.9259259259))</f>
        <v>0</v>
      </c>
      <c r="Q1231">
        <f>IF(OR(O1231="",P1231=""),"",O1231-P1231)</f>
        <v>0</v>
      </c>
      <c r="R1231">
        <f>IF(Q1231="","",IF(R1230="",Q1231,Q1231*0.2000000000+R1230*0.8000000000))</f>
        <v>0</v>
      </c>
      <c r="S1231">
        <f>IF(OR(Q1231="",R1231=""),"",Q1231-R1231)</f>
        <v>0</v>
      </c>
      <c r="T1231">
        <f>IF(COUNT($E$2:$E1231)&lt;14,"",MAX($C$1218:$C$1231))</f>
        <v>0</v>
      </c>
      <c r="U1231">
        <f>IF(COUNT($E$2:$E1231)&lt;14,"",MIN($D$1218:$D$1231))</f>
        <v>0</v>
      </c>
      <c r="V1231">
        <f>IF(OR(T1231="",U1231="",T1231=U1231),"",100*($E1231-U1231)/(T1231-U1231))</f>
        <v>0</v>
      </c>
      <c r="W1231">
        <f>IF(COUNT($V$1229:$V$1231)&lt;3,"",AVERAGE($V$1229:$V$1231))</f>
        <v>0</v>
      </c>
      <c r="X1231">
        <f>IF(COUNT($N$1218:$N$1231)&lt;14,"",MIN($N$1218:$N$1231))</f>
        <v>0</v>
      </c>
      <c r="Y1231">
        <f>IF(COUNT($N$1218:$N$1231)&lt;14,"",MAX($N$1218:$N$1231))</f>
        <v>0</v>
      </c>
      <c r="Z1231">
        <f>IF(OR(N1231="",X1231="",Y1231="",Y1231=X1231),"",100*(N1231-X1231)/(Y1231-X1231))</f>
        <v>0</v>
      </c>
      <c r="AA1231">
        <f>IF(COUNT($Z$1229:$Z$1231)&lt;3,"",AVERAGE($Z$1229:$Z$1231))</f>
        <v>0</v>
      </c>
      <c r="AB1231">
        <f>IF(COUNT($AA$1229:$AA$1231)&lt;3,"",AVERAGE($AA$1229:$AA$1231))</f>
        <v>0</v>
      </c>
      <c r="AC1231">
        <f>IF($E1231="","",MAX($C1231-$D1231,ABS($C1231-$E1230),ABS($D1231-$E1230)))</f>
        <v>0</v>
      </c>
      <c r="AD1231">
        <f>IF(COUNT($E$2:$E1231)&lt;15,"",AVERAGE($AC$1218:$AC$1231))</f>
        <v>0</v>
      </c>
      <c r="AE1231">
        <f>IF(OR($E1231="",$E1230=""),"",IF(AND(($C1231-$C1230)&gt;($D1230-$D1231),($C1231-$C1230)&gt;0),$C1231-$C1230,0))</f>
        <v>0</v>
      </c>
      <c r="AF1231">
        <f>IF(OR($E1231="",$E1230=""),"",IF(AND(($D1230-$D1231)&gt;($C1231-$C1230),($D1230-$D1231)&gt;0),$D1230-$D1231,0))</f>
        <v>0</v>
      </c>
      <c r="AG1231">
        <f>IF(COUNT($E$2:$E1231)&lt;15,"",IF(SUM($AC$1218:$AC$1231)=0,0,100*SUM($AE$1218:$AE$1231)/SUM($AC$1218:$AC$1231)))</f>
        <v>0</v>
      </c>
      <c r="AH1231">
        <f>IF(COUNT($E$2:$E1231)&lt;15,"",IF(SUM($AC$1218:$AC$1231)=0,0,100*SUM($AF$1218:$AF$1231)/SUM($AC$1218:$AC$1231)))</f>
        <v>0</v>
      </c>
      <c r="AI1231">
        <f>IF(OR(AG1231="",AH1231=""),"",IF((AG1231+AH1231)=0,0,100*ABS(AG1231-AH1231)/(AG1231+AH1231)))</f>
        <v>0</v>
      </c>
      <c r="AJ1231">
        <f>IF(COUNT($AI$1218:$AI$1231)&lt;14,"",AVERAGE($AI$1218:$AI$1231))</f>
        <v>0</v>
      </c>
      <c r="AK1231">
        <f>IF(COUNT($E$2:$E1231)&lt;20,"",AVERAGE($E$1212:$E$1231))</f>
        <v>0</v>
      </c>
      <c r="AL1231">
        <f>IF(COUNT($E$2:$E1231)&lt;20,"",STDEVP($E$1212:$E$1231))</f>
        <v>0</v>
      </c>
      <c r="AM1231">
        <f>IF(AK1231="","",AK1231+2*AL1231)</f>
        <v>0</v>
      </c>
      <c r="AN1231">
        <f>IF(AK1231="","",AK1231-2*AL1231)</f>
        <v>0</v>
      </c>
      <c r="AO1231">
        <f>IF(OR(AM1231="",AN1231="",AM1231=AN1231),"",($E1231-AN1231)/(AM1231-AN1231))</f>
        <v>0</v>
      </c>
      <c r="AP1231">
        <f>IF(OR(AM1231="",AK1231="",AK1231=0),"",(AM1231-AN1231)/AK1231)</f>
        <v>0</v>
      </c>
      <c r="AQ1231">
        <f>IF(COUNT($E$2:$E1231)&lt;20,"",MAX($C$1212:$C$1231))</f>
        <v>0</v>
      </c>
      <c r="AR1231">
        <f>IF(COUNT($E$2:$E1231)&lt;20,"",MIN($D$1212:$D$1231))</f>
        <v>0</v>
      </c>
      <c r="AS1231">
        <f>IF(OR(AQ1231="",AR1231=""),"",(AQ1231+AR1231)/2)</f>
        <v>0</v>
      </c>
      <c r="AT1231">
        <f>IF(COUNT($G$1212:$G$1231)&lt;20,"",STDEV($G$1212:$G$1231)*SQRT(252))</f>
        <v>0</v>
      </c>
      <c r="AU1231">
        <f>IF(COUNT($E$2:$E1231)&lt;9,"",(MAX($C$1223:$C$1231)+MIN($D$1223:$D$1231))/2)</f>
        <v>0</v>
      </c>
      <c r="AV1231">
        <f>IF(COUNT($E$2:$E1231)&lt;26,"",(MAX($C$1206:$C$1231)+MIN($D$1206:$D$1231))/2)</f>
        <v>0</v>
      </c>
      <c r="AW1231">
        <f>IF(OR(AU1231="",AV1231=""),"",(AU1231+AV1231)/2)</f>
        <v>0</v>
      </c>
      <c r="AX1231">
        <f>IF(COUNT($E$2:$E1231)&lt;52,"",(MAX($C$1180:$C$1231)+MIN($D$1180:$D$1231))/2)</f>
        <v>0</v>
      </c>
      <c r="AY1231">
        <f>IF(COUNT($E$2:$E1231)&lt;20,"",MAX($C$1132:$C$1231))</f>
        <v>0</v>
      </c>
      <c r="AZ1231">
        <f>IF(COUNT($E$2:$E1231)&lt;20,"",MIN($D$1132:$D$1231))</f>
        <v>0</v>
      </c>
      <c r="BA1231">
        <f>IF(COUNT($E$2:$E1231)&lt;20,"",SLOPE($E$1132:$E$1231,$F$1132:$F$1231))</f>
        <v>0</v>
      </c>
      <c r="BB1231">
        <f>IF(COUNT($E$2:$E1231)&lt;20,"",INTERCEPT($E$1132:$E$1231,$F$1132:$F$1231))</f>
        <v>0</v>
      </c>
      <c r="BC1231">
        <f>IF(OR(BA1231="",BB1231=""),"",BB1231+BA1231*F1231)</f>
        <v>0</v>
      </c>
      <c r="BD1231">
        <f>IF(COUNT($E$2:$E1231)&lt;20,"",STEYX($E$1132:$E$1231,$F$1132:$F$1231))</f>
        <v>0</v>
      </c>
      <c r="BE1231">
        <f>IF($E1231="","",IF(AND(COUNT($E$1232:$E$1235)&gt;=4,$C1231=MAX($C$1227:$C$1235)),$C1231,""))</f>
        <v>0</v>
      </c>
      <c r="BF1231">
        <f>IF($E1231="","",IF(AND(COUNT($E$1232:$E$1235)&gt;=4,$D1231=MIN($D$1227:$D$1235)),$D1231,""))</f>
        <v>0</v>
      </c>
      <c r="BG1231">
        <f>IF($A1231="","",$A1231-WEEKDAY($A1231,2)+1)</f>
        <v>0</v>
      </c>
      <c r="BH1231">
        <f>IF($A1231="","",IF($A1230="",1,IF(BG1231&lt;&gt;BG1230,1,0)))</f>
        <v>0</v>
      </c>
      <c r="BI1231">
        <f>IF($A1231="","",IF($A1232="",1,IF(BG1232&lt;&gt;BG1231,1,0)))</f>
        <v>0</v>
      </c>
      <c r="BJ1231">
        <f>IF($A1231="","",IF(BH1231=1,$B1231,BJ1230))</f>
        <v>0</v>
      </c>
      <c r="BK1231">
        <f>IF($A1231="","",IF(BH1231=1,$C1231,MAX($C1231,BK1230)))</f>
        <v>0</v>
      </c>
      <c r="BL1231">
        <f>IF($A1231="","",IF(BH1231=1,$D1231,MIN($D1231,BL1230)))</f>
        <v>0</v>
      </c>
      <c r="BM1231">
        <f>IF($A1231="","",IF(BI1231=1,F1231,""))</f>
        <v>0</v>
      </c>
      <c r="BN1231">
        <f>IF($A1231="","",DATE(YEAR($A1231),MONTH($A1231),1))</f>
        <v>0</v>
      </c>
      <c r="BO1231">
        <f>IF($A1231="","",IF($A1230="",1,IF(BN1231&lt;&gt;BN1230,1,0)))</f>
        <v>0</v>
      </c>
      <c r="BP1231">
        <f>IF($A1231="","",IF($A1232="",1,IF(BN1232&lt;&gt;BN1231,1,0)))</f>
        <v>0</v>
      </c>
      <c r="BQ1231">
        <f>IF($A1231="","",IF(BO1231=1,$B1231,BQ1230))</f>
        <v>0</v>
      </c>
      <c r="BR1231">
        <f>IF($A1231="","",IF(BO1231=1,$C1231,MAX($C1231,BR1230)))</f>
        <v>0</v>
      </c>
      <c r="BS1231">
        <f>IF($A1231="","",IF(BO1231=1,$D1231,MIN($D1231,BS1230)))</f>
        <v>0</v>
      </c>
      <c r="BT1231">
        <f>IF($A1231="","",IF(BP1231=1,F1231,""))</f>
        <v>0</v>
      </c>
    </row>
    <row r="1232" spans="1:72">
      <c r="A1232" s="27">
        <f>IF(Data!$A1232="","",Data!$A1232)</f>
        <v>0</v>
      </c>
      <c r="B1232">
        <f>IF(Data!$B1232="","",Data!$B1232)</f>
        <v>0</v>
      </c>
      <c r="C1232">
        <f>IF(Data!$C1232="","",Data!$C1232)</f>
        <v>0</v>
      </c>
      <c r="D1232">
        <f>IF(Data!$D1232="","",Data!$D1232)</f>
        <v>0</v>
      </c>
      <c r="E1232">
        <f>IF(Data!$E1232="","",Data!$E1232)</f>
        <v>0</v>
      </c>
      <c r="F1232">
        <f>IF($E1232="","",N(F1231)+1)</f>
        <v>0</v>
      </c>
      <c r="G1232">
        <f>IF(OR($E1232="",$E1231=""),"",LN($E1232/$E1231))</f>
        <v>0</v>
      </c>
      <c r="H1232">
        <f>IF($E1232="","",IF($E1231="",$E1232,$E1232*0.0952380952+H1231*0.9047619048))</f>
        <v>0</v>
      </c>
      <c r="I1232">
        <f>IF($E1232="","",IF($E1231="",$E1232,$E1232*0.0392156863+I1231*0.9607843137))</f>
        <v>0</v>
      </c>
      <c r="J1232">
        <f>IF($E1232="","",IF($E1231="",$E1232,$E1232*0.0198019802+J1231*0.9801980198))</f>
        <v>0</v>
      </c>
      <c r="K1232">
        <f>IF($E1232="","",IF($E1231="",$E1232,$E1232*0.0099502488+K1231*0.9900497512))</f>
        <v>0</v>
      </c>
      <c r="L1232">
        <f>IF(OR($E1232="",$E1231=""),"",MAX($E1232-$E1231,0))</f>
        <v>0</v>
      </c>
      <c r="M1232">
        <f>IF(OR($E1232="",$E1231=""),"",MAX($E1231-$E1232,0))</f>
        <v>0</v>
      </c>
      <c r="N1232">
        <f>IF(COUNT($E$2:$E1232)&lt;15,"",IF(AVERAGE($M$1219:$M$1232)=0,100,100-100/(1+AVERAGE($L$1219:$L$1232)/AVERAGE($M$1219:$M$1232))))</f>
        <v>0</v>
      </c>
      <c r="O1232">
        <f>IF($E1232="","",IF($E1231="",$E1232,$E1232*0.1538461538+O1231*0.8461538462))</f>
        <v>0</v>
      </c>
      <c r="P1232">
        <f>IF($E1232="","",IF($E1231="",$E1232,$E1232*0.0740740741+P1231*0.9259259259))</f>
        <v>0</v>
      </c>
      <c r="Q1232">
        <f>IF(OR(O1232="",P1232=""),"",O1232-P1232)</f>
        <v>0</v>
      </c>
      <c r="R1232">
        <f>IF(Q1232="","",IF(R1231="",Q1232,Q1232*0.2000000000+R1231*0.8000000000))</f>
        <v>0</v>
      </c>
      <c r="S1232">
        <f>IF(OR(Q1232="",R1232=""),"",Q1232-R1232)</f>
        <v>0</v>
      </c>
      <c r="T1232">
        <f>IF(COUNT($E$2:$E1232)&lt;14,"",MAX($C$1219:$C$1232))</f>
        <v>0</v>
      </c>
      <c r="U1232">
        <f>IF(COUNT($E$2:$E1232)&lt;14,"",MIN($D$1219:$D$1232))</f>
        <v>0</v>
      </c>
      <c r="V1232">
        <f>IF(OR(T1232="",U1232="",T1232=U1232),"",100*($E1232-U1232)/(T1232-U1232))</f>
        <v>0</v>
      </c>
      <c r="W1232">
        <f>IF(COUNT($V$1230:$V$1232)&lt;3,"",AVERAGE($V$1230:$V$1232))</f>
        <v>0</v>
      </c>
      <c r="X1232">
        <f>IF(COUNT($N$1219:$N$1232)&lt;14,"",MIN($N$1219:$N$1232))</f>
        <v>0</v>
      </c>
      <c r="Y1232">
        <f>IF(COUNT($N$1219:$N$1232)&lt;14,"",MAX($N$1219:$N$1232))</f>
        <v>0</v>
      </c>
      <c r="Z1232">
        <f>IF(OR(N1232="",X1232="",Y1232="",Y1232=X1232),"",100*(N1232-X1232)/(Y1232-X1232))</f>
        <v>0</v>
      </c>
      <c r="AA1232">
        <f>IF(COUNT($Z$1230:$Z$1232)&lt;3,"",AVERAGE($Z$1230:$Z$1232))</f>
        <v>0</v>
      </c>
      <c r="AB1232">
        <f>IF(COUNT($AA$1230:$AA$1232)&lt;3,"",AVERAGE($AA$1230:$AA$1232))</f>
        <v>0</v>
      </c>
      <c r="AC1232">
        <f>IF($E1232="","",MAX($C1232-$D1232,ABS($C1232-$E1231),ABS($D1232-$E1231)))</f>
        <v>0</v>
      </c>
      <c r="AD1232">
        <f>IF(COUNT($E$2:$E1232)&lt;15,"",AVERAGE($AC$1219:$AC$1232))</f>
        <v>0</v>
      </c>
      <c r="AE1232">
        <f>IF(OR($E1232="",$E1231=""),"",IF(AND(($C1232-$C1231)&gt;($D1231-$D1232),($C1232-$C1231)&gt;0),$C1232-$C1231,0))</f>
        <v>0</v>
      </c>
      <c r="AF1232">
        <f>IF(OR($E1232="",$E1231=""),"",IF(AND(($D1231-$D1232)&gt;($C1232-$C1231),($D1231-$D1232)&gt;0),$D1231-$D1232,0))</f>
        <v>0</v>
      </c>
      <c r="AG1232">
        <f>IF(COUNT($E$2:$E1232)&lt;15,"",IF(SUM($AC$1219:$AC$1232)=0,0,100*SUM($AE$1219:$AE$1232)/SUM($AC$1219:$AC$1232)))</f>
        <v>0</v>
      </c>
      <c r="AH1232">
        <f>IF(COUNT($E$2:$E1232)&lt;15,"",IF(SUM($AC$1219:$AC$1232)=0,0,100*SUM($AF$1219:$AF$1232)/SUM($AC$1219:$AC$1232)))</f>
        <v>0</v>
      </c>
      <c r="AI1232">
        <f>IF(OR(AG1232="",AH1232=""),"",IF((AG1232+AH1232)=0,0,100*ABS(AG1232-AH1232)/(AG1232+AH1232)))</f>
        <v>0</v>
      </c>
      <c r="AJ1232">
        <f>IF(COUNT($AI$1219:$AI$1232)&lt;14,"",AVERAGE($AI$1219:$AI$1232))</f>
        <v>0</v>
      </c>
      <c r="AK1232">
        <f>IF(COUNT($E$2:$E1232)&lt;20,"",AVERAGE($E$1213:$E$1232))</f>
        <v>0</v>
      </c>
      <c r="AL1232">
        <f>IF(COUNT($E$2:$E1232)&lt;20,"",STDEVP($E$1213:$E$1232))</f>
        <v>0</v>
      </c>
      <c r="AM1232">
        <f>IF(AK1232="","",AK1232+2*AL1232)</f>
        <v>0</v>
      </c>
      <c r="AN1232">
        <f>IF(AK1232="","",AK1232-2*AL1232)</f>
        <v>0</v>
      </c>
      <c r="AO1232">
        <f>IF(OR(AM1232="",AN1232="",AM1232=AN1232),"",($E1232-AN1232)/(AM1232-AN1232))</f>
        <v>0</v>
      </c>
      <c r="AP1232">
        <f>IF(OR(AM1232="",AK1232="",AK1232=0),"",(AM1232-AN1232)/AK1232)</f>
        <v>0</v>
      </c>
      <c r="AQ1232">
        <f>IF(COUNT($E$2:$E1232)&lt;20,"",MAX($C$1213:$C$1232))</f>
        <v>0</v>
      </c>
      <c r="AR1232">
        <f>IF(COUNT($E$2:$E1232)&lt;20,"",MIN($D$1213:$D$1232))</f>
        <v>0</v>
      </c>
      <c r="AS1232">
        <f>IF(OR(AQ1232="",AR1232=""),"",(AQ1232+AR1232)/2)</f>
        <v>0</v>
      </c>
      <c r="AT1232">
        <f>IF(COUNT($G$1213:$G$1232)&lt;20,"",STDEV($G$1213:$G$1232)*SQRT(252))</f>
        <v>0</v>
      </c>
      <c r="AU1232">
        <f>IF(COUNT($E$2:$E1232)&lt;9,"",(MAX($C$1224:$C$1232)+MIN($D$1224:$D$1232))/2)</f>
        <v>0</v>
      </c>
      <c r="AV1232">
        <f>IF(COUNT($E$2:$E1232)&lt;26,"",(MAX($C$1207:$C$1232)+MIN($D$1207:$D$1232))/2)</f>
        <v>0</v>
      </c>
      <c r="AW1232">
        <f>IF(OR(AU1232="",AV1232=""),"",(AU1232+AV1232)/2)</f>
        <v>0</v>
      </c>
      <c r="AX1232">
        <f>IF(COUNT($E$2:$E1232)&lt;52,"",(MAX($C$1181:$C$1232)+MIN($D$1181:$D$1232))/2)</f>
        <v>0</v>
      </c>
      <c r="AY1232">
        <f>IF(COUNT($E$2:$E1232)&lt;20,"",MAX($C$1133:$C$1232))</f>
        <v>0</v>
      </c>
      <c r="AZ1232">
        <f>IF(COUNT($E$2:$E1232)&lt;20,"",MIN($D$1133:$D$1232))</f>
        <v>0</v>
      </c>
      <c r="BA1232">
        <f>IF(COUNT($E$2:$E1232)&lt;20,"",SLOPE($E$1133:$E$1232,$F$1133:$F$1232))</f>
        <v>0</v>
      </c>
      <c r="BB1232">
        <f>IF(COUNT($E$2:$E1232)&lt;20,"",INTERCEPT($E$1133:$E$1232,$F$1133:$F$1232))</f>
        <v>0</v>
      </c>
      <c r="BC1232">
        <f>IF(OR(BA1232="",BB1232=""),"",BB1232+BA1232*F1232)</f>
        <v>0</v>
      </c>
      <c r="BD1232">
        <f>IF(COUNT($E$2:$E1232)&lt;20,"",STEYX($E$1133:$E$1232,$F$1133:$F$1232))</f>
        <v>0</v>
      </c>
      <c r="BE1232">
        <f>IF($E1232="","",IF(AND(COUNT($E$1233:$E$1236)&gt;=4,$C1232=MAX($C$1228:$C$1236)),$C1232,""))</f>
        <v>0</v>
      </c>
      <c r="BF1232">
        <f>IF($E1232="","",IF(AND(COUNT($E$1233:$E$1236)&gt;=4,$D1232=MIN($D$1228:$D$1236)),$D1232,""))</f>
        <v>0</v>
      </c>
      <c r="BG1232">
        <f>IF($A1232="","",$A1232-WEEKDAY($A1232,2)+1)</f>
        <v>0</v>
      </c>
      <c r="BH1232">
        <f>IF($A1232="","",IF($A1231="",1,IF(BG1232&lt;&gt;BG1231,1,0)))</f>
        <v>0</v>
      </c>
      <c r="BI1232">
        <f>IF($A1232="","",IF($A1233="",1,IF(BG1233&lt;&gt;BG1232,1,0)))</f>
        <v>0</v>
      </c>
      <c r="BJ1232">
        <f>IF($A1232="","",IF(BH1232=1,$B1232,BJ1231))</f>
        <v>0</v>
      </c>
      <c r="BK1232">
        <f>IF($A1232="","",IF(BH1232=1,$C1232,MAX($C1232,BK1231)))</f>
        <v>0</v>
      </c>
      <c r="BL1232">
        <f>IF($A1232="","",IF(BH1232=1,$D1232,MIN($D1232,BL1231)))</f>
        <v>0</v>
      </c>
      <c r="BM1232">
        <f>IF($A1232="","",IF(BI1232=1,F1232,""))</f>
        <v>0</v>
      </c>
      <c r="BN1232">
        <f>IF($A1232="","",DATE(YEAR($A1232),MONTH($A1232),1))</f>
        <v>0</v>
      </c>
      <c r="BO1232">
        <f>IF($A1232="","",IF($A1231="",1,IF(BN1232&lt;&gt;BN1231,1,0)))</f>
        <v>0</v>
      </c>
      <c r="BP1232">
        <f>IF($A1232="","",IF($A1233="",1,IF(BN1233&lt;&gt;BN1232,1,0)))</f>
        <v>0</v>
      </c>
      <c r="BQ1232">
        <f>IF($A1232="","",IF(BO1232=1,$B1232,BQ1231))</f>
        <v>0</v>
      </c>
      <c r="BR1232">
        <f>IF($A1232="","",IF(BO1232=1,$C1232,MAX($C1232,BR1231)))</f>
        <v>0</v>
      </c>
      <c r="BS1232">
        <f>IF($A1232="","",IF(BO1232=1,$D1232,MIN($D1232,BS1231)))</f>
        <v>0</v>
      </c>
      <c r="BT1232">
        <f>IF($A1232="","",IF(BP1232=1,F1232,""))</f>
        <v>0</v>
      </c>
    </row>
    <row r="1233" spans="1:72">
      <c r="A1233" s="27">
        <f>IF(Data!$A1233="","",Data!$A1233)</f>
        <v>0</v>
      </c>
      <c r="B1233">
        <f>IF(Data!$B1233="","",Data!$B1233)</f>
        <v>0</v>
      </c>
      <c r="C1233">
        <f>IF(Data!$C1233="","",Data!$C1233)</f>
        <v>0</v>
      </c>
      <c r="D1233">
        <f>IF(Data!$D1233="","",Data!$D1233)</f>
        <v>0</v>
      </c>
      <c r="E1233">
        <f>IF(Data!$E1233="","",Data!$E1233)</f>
        <v>0</v>
      </c>
      <c r="F1233">
        <f>IF($E1233="","",N(F1232)+1)</f>
        <v>0</v>
      </c>
      <c r="G1233">
        <f>IF(OR($E1233="",$E1232=""),"",LN($E1233/$E1232))</f>
        <v>0</v>
      </c>
      <c r="H1233">
        <f>IF($E1233="","",IF($E1232="",$E1233,$E1233*0.0952380952+H1232*0.9047619048))</f>
        <v>0</v>
      </c>
      <c r="I1233">
        <f>IF($E1233="","",IF($E1232="",$E1233,$E1233*0.0392156863+I1232*0.9607843137))</f>
        <v>0</v>
      </c>
      <c r="J1233">
        <f>IF($E1233="","",IF($E1232="",$E1233,$E1233*0.0198019802+J1232*0.9801980198))</f>
        <v>0</v>
      </c>
      <c r="K1233">
        <f>IF($E1233="","",IF($E1232="",$E1233,$E1233*0.0099502488+K1232*0.9900497512))</f>
        <v>0</v>
      </c>
      <c r="L1233">
        <f>IF(OR($E1233="",$E1232=""),"",MAX($E1233-$E1232,0))</f>
        <v>0</v>
      </c>
      <c r="M1233">
        <f>IF(OR($E1233="",$E1232=""),"",MAX($E1232-$E1233,0))</f>
        <v>0</v>
      </c>
      <c r="N1233">
        <f>IF(COUNT($E$2:$E1233)&lt;15,"",IF(AVERAGE($M$1220:$M$1233)=0,100,100-100/(1+AVERAGE($L$1220:$L$1233)/AVERAGE($M$1220:$M$1233))))</f>
        <v>0</v>
      </c>
      <c r="O1233">
        <f>IF($E1233="","",IF($E1232="",$E1233,$E1233*0.1538461538+O1232*0.8461538462))</f>
        <v>0</v>
      </c>
      <c r="P1233">
        <f>IF($E1233="","",IF($E1232="",$E1233,$E1233*0.0740740741+P1232*0.9259259259))</f>
        <v>0</v>
      </c>
      <c r="Q1233">
        <f>IF(OR(O1233="",P1233=""),"",O1233-P1233)</f>
        <v>0</v>
      </c>
      <c r="R1233">
        <f>IF(Q1233="","",IF(R1232="",Q1233,Q1233*0.2000000000+R1232*0.8000000000))</f>
        <v>0</v>
      </c>
      <c r="S1233">
        <f>IF(OR(Q1233="",R1233=""),"",Q1233-R1233)</f>
        <v>0</v>
      </c>
      <c r="T1233">
        <f>IF(COUNT($E$2:$E1233)&lt;14,"",MAX($C$1220:$C$1233))</f>
        <v>0</v>
      </c>
      <c r="U1233">
        <f>IF(COUNT($E$2:$E1233)&lt;14,"",MIN($D$1220:$D$1233))</f>
        <v>0</v>
      </c>
      <c r="V1233">
        <f>IF(OR(T1233="",U1233="",T1233=U1233),"",100*($E1233-U1233)/(T1233-U1233))</f>
        <v>0</v>
      </c>
      <c r="W1233">
        <f>IF(COUNT($V$1231:$V$1233)&lt;3,"",AVERAGE($V$1231:$V$1233))</f>
        <v>0</v>
      </c>
      <c r="X1233">
        <f>IF(COUNT($N$1220:$N$1233)&lt;14,"",MIN($N$1220:$N$1233))</f>
        <v>0</v>
      </c>
      <c r="Y1233">
        <f>IF(COUNT($N$1220:$N$1233)&lt;14,"",MAX($N$1220:$N$1233))</f>
        <v>0</v>
      </c>
      <c r="Z1233">
        <f>IF(OR(N1233="",X1233="",Y1233="",Y1233=X1233),"",100*(N1233-X1233)/(Y1233-X1233))</f>
        <v>0</v>
      </c>
      <c r="AA1233">
        <f>IF(COUNT($Z$1231:$Z$1233)&lt;3,"",AVERAGE($Z$1231:$Z$1233))</f>
        <v>0</v>
      </c>
      <c r="AB1233">
        <f>IF(COUNT($AA$1231:$AA$1233)&lt;3,"",AVERAGE($AA$1231:$AA$1233))</f>
        <v>0</v>
      </c>
      <c r="AC1233">
        <f>IF($E1233="","",MAX($C1233-$D1233,ABS($C1233-$E1232),ABS($D1233-$E1232)))</f>
        <v>0</v>
      </c>
      <c r="AD1233">
        <f>IF(COUNT($E$2:$E1233)&lt;15,"",AVERAGE($AC$1220:$AC$1233))</f>
        <v>0</v>
      </c>
      <c r="AE1233">
        <f>IF(OR($E1233="",$E1232=""),"",IF(AND(($C1233-$C1232)&gt;($D1232-$D1233),($C1233-$C1232)&gt;0),$C1233-$C1232,0))</f>
        <v>0</v>
      </c>
      <c r="AF1233">
        <f>IF(OR($E1233="",$E1232=""),"",IF(AND(($D1232-$D1233)&gt;($C1233-$C1232),($D1232-$D1233)&gt;0),$D1232-$D1233,0))</f>
        <v>0</v>
      </c>
      <c r="AG1233">
        <f>IF(COUNT($E$2:$E1233)&lt;15,"",IF(SUM($AC$1220:$AC$1233)=0,0,100*SUM($AE$1220:$AE$1233)/SUM($AC$1220:$AC$1233)))</f>
        <v>0</v>
      </c>
      <c r="AH1233">
        <f>IF(COUNT($E$2:$E1233)&lt;15,"",IF(SUM($AC$1220:$AC$1233)=0,0,100*SUM($AF$1220:$AF$1233)/SUM($AC$1220:$AC$1233)))</f>
        <v>0</v>
      </c>
      <c r="AI1233">
        <f>IF(OR(AG1233="",AH1233=""),"",IF((AG1233+AH1233)=0,0,100*ABS(AG1233-AH1233)/(AG1233+AH1233)))</f>
        <v>0</v>
      </c>
      <c r="AJ1233">
        <f>IF(COUNT($AI$1220:$AI$1233)&lt;14,"",AVERAGE($AI$1220:$AI$1233))</f>
        <v>0</v>
      </c>
      <c r="AK1233">
        <f>IF(COUNT($E$2:$E1233)&lt;20,"",AVERAGE($E$1214:$E$1233))</f>
        <v>0</v>
      </c>
      <c r="AL1233">
        <f>IF(COUNT($E$2:$E1233)&lt;20,"",STDEVP($E$1214:$E$1233))</f>
        <v>0</v>
      </c>
      <c r="AM1233">
        <f>IF(AK1233="","",AK1233+2*AL1233)</f>
        <v>0</v>
      </c>
      <c r="AN1233">
        <f>IF(AK1233="","",AK1233-2*AL1233)</f>
        <v>0</v>
      </c>
      <c r="AO1233">
        <f>IF(OR(AM1233="",AN1233="",AM1233=AN1233),"",($E1233-AN1233)/(AM1233-AN1233))</f>
        <v>0</v>
      </c>
      <c r="AP1233">
        <f>IF(OR(AM1233="",AK1233="",AK1233=0),"",(AM1233-AN1233)/AK1233)</f>
        <v>0</v>
      </c>
      <c r="AQ1233">
        <f>IF(COUNT($E$2:$E1233)&lt;20,"",MAX($C$1214:$C$1233))</f>
        <v>0</v>
      </c>
      <c r="AR1233">
        <f>IF(COUNT($E$2:$E1233)&lt;20,"",MIN($D$1214:$D$1233))</f>
        <v>0</v>
      </c>
      <c r="AS1233">
        <f>IF(OR(AQ1233="",AR1233=""),"",(AQ1233+AR1233)/2)</f>
        <v>0</v>
      </c>
      <c r="AT1233">
        <f>IF(COUNT($G$1214:$G$1233)&lt;20,"",STDEV($G$1214:$G$1233)*SQRT(252))</f>
        <v>0</v>
      </c>
      <c r="AU1233">
        <f>IF(COUNT($E$2:$E1233)&lt;9,"",(MAX($C$1225:$C$1233)+MIN($D$1225:$D$1233))/2)</f>
        <v>0</v>
      </c>
      <c r="AV1233">
        <f>IF(COUNT($E$2:$E1233)&lt;26,"",(MAX($C$1208:$C$1233)+MIN($D$1208:$D$1233))/2)</f>
        <v>0</v>
      </c>
      <c r="AW1233">
        <f>IF(OR(AU1233="",AV1233=""),"",(AU1233+AV1233)/2)</f>
        <v>0</v>
      </c>
      <c r="AX1233">
        <f>IF(COUNT($E$2:$E1233)&lt;52,"",(MAX($C$1182:$C$1233)+MIN($D$1182:$D$1233))/2)</f>
        <v>0</v>
      </c>
      <c r="AY1233">
        <f>IF(COUNT($E$2:$E1233)&lt;20,"",MAX($C$1134:$C$1233))</f>
        <v>0</v>
      </c>
      <c r="AZ1233">
        <f>IF(COUNT($E$2:$E1233)&lt;20,"",MIN($D$1134:$D$1233))</f>
        <v>0</v>
      </c>
      <c r="BA1233">
        <f>IF(COUNT($E$2:$E1233)&lt;20,"",SLOPE($E$1134:$E$1233,$F$1134:$F$1233))</f>
        <v>0</v>
      </c>
      <c r="BB1233">
        <f>IF(COUNT($E$2:$E1233)&lt;20,"",INTERCEPT($E$1134:$E$1233,$F$1134:$F$1233))</f>
        <v>0</v>
      </c>
      <c r="BC1233">
        <f>IF(OR(BA1233="",BB1233=""),"",BB1233+BA1233*F1233)</f>
        <v>0</v>
      </c>
      <c r="BD1233">
        <f>IF(COUNT($E$2:$E1233)&lt;20,"",STEYX($E$1134:$E$1233,$F$1134:$F$1233))</f>
        <v>0</v>
      </c>
      <c r="BE1233">
        <f>IF($E1233="","",IF(AND(COUNT($E$1234:$E$1237)&gt;=4,$C1233=MAX($C$1229:$C$1237)),$C1233,""))</f>
        <v>0</v>
      </c>
      <c r="BF1233">
        <f>IF($E1233="","",IF(AND(COUNT($E$1234:$E$1237)&gt;=4,$D1233=MIN($D$1229:$D$1237)),$D1233,""))</f>
        <v>0</v>
      </c>
      <c r="BG1233">
        <f>IF($A1233="","",$A1233-WEEKDAY($A1233,2)+1)</f>
        <v>0</v>
      </c>
      <c r="BH1233">
        <f>IF($A1233="","",IF($A1232="",1,IF(BG1233&lt;&gt;BG1232,1,0)))</f>
        <v>0</v>
      </c>
      <c r="BI1233">
        <f>IF($A1233="","",IF($A1234="",1,IF(BG1234&lt;&gt;BG1233,1,0)))</f>
        <v>0</v>
      </c>
      <c r="BJ1233">
        <f>IF($A1233="","",IF(BH1233=1,$B1233,BJ1232))</f>
        <v>0</v>
      </c>
      <c r="BK1233">
        <f>IF($A1233="","",IF(BH1233=1,$C1233,MAX($C1233,BK1232)))</f>
        <v>0</v>
      </c>
      <c r="BL1233">
        <f>IF($A1233="","",IF(BH1233=1,$D1233,MIN($D1233,BL1232)))</f>
        <v>0</v>
      </c>
      <c r="BM1233">
        <f>IF($A1233="","",IF(BI1233=1,F1233,""))</f>
        <v>0</v>
      </c>
      <c r="BN1233">
        <f>IF($A1233="","",DATE(YEAR($A1233),MONTH($A1233),1))</f>
        <v>0</v>
      </c>
      <c r="BO1233">
        <f>IF($A1233="","",IF($A1232="",1,IF(BN1233&lt;&gt;BN1232,1,0)))</f>
        <v>0</v>
      </c>
      <c r="BP1233">
        <f>IF($A1233="","",IF($A1234="",1,IF(BN1234&lt;&gt;BN1233,1,0)))</f>
        <v>0</v>
      </c>
      <c r="BQ1233">
        <f>IF($A1233="","",IF(BO1233=1,$B1233,BQ1232))</f>
        <v>0</v>
      </c>
      <c r="BR1233">
        <f>IF($A1233="","",IF(BO1233=1,$C1233,MAX($C1233,BR1232)))</f>
        <v>0</v>
      </c>
      <c r="BS1233">
        <f>IF($A1233="","",IF(BO1233=1,$D1233,MIN($D1233,BS1232)))</f>
        <v>0</v>
      </c>
      <c r="BT1233">
        <f>IF($A1233="","",IF(BP1233=1,F1233,""))</f>
        <v>0</v>
      </c>
    </row>
    <row r="1234" spans="1:72">
      <c r="A1234" s="27">
        <f>IF(Data!$A1234="","",Data!$A1234)</f>
        <v>0</v>
      </c>
      <c r="B1234">
        <f>IF(Data!$B1234="","",Data!$B1234)</f>
        <v>0</v>
      </c>
      <c r="C1234">
        <f>IF(Data!$C1234="","",Data!$C1234)</f>
        <v>0</v>
      </c>
      <c r="D1234">
        <f>IF(Data!$D1234="","",Data!$D1234)</f>
        <v>0</v>
      </c>
      <c r="E1234">
        <f>IF(Data!$E1234="","",Data!$E1234)</f>
        <v>0</v>
      </c>
      <c r="F1234">
        <f>IF($E1234="","",N(F1233)+1)</f>
        <v>0</v>
      </c>
      <c r="G1234">
        <f>IF(OR($E1234="",$E1233=""),"",LN($E1234/$E1233))</f>
        <v>0</v>
      </c>
      <c r="H1234">
        <f>IF($E1234="","",IF($E1233="",$E1234,$E1234*0.0952380952+H1233*0.9047619048))</f>
        <v>0</v>
      </c>
      <c r="I1234">
        <f>IF($E1234="","",IF($E1233="",$E1234,$E1234*0.0392156863+I1233*0.9607843137))</f>
        <v>0</v>
      </c>
      <c r="J1234">
        <f>IF($E1234="","",IF($E1233="",$E1234,$E1234*0.0198019802+J1233*0.9801980198))</f>
        <v>0</v>
      </c>
      <c r="K1234">
        <f>IF($E1234="","",IF($E1233="",$E1234,$E1234*0.0099502488+K1233*0.9900497512))</f>
        <v>0</v>
      </c>
      <c r="L1234">
        <f>IF(OR($E1234="",$E1233=""),"",MAX($E1234-$E1233,0))</f>
        <v>0</v>
      </c>
      <c r="M1234">
        <f>IF(OR($E1234="",$E1233=""),"",MAX($E1233-$E1234,0))</f>
        <v>0</v>
      </c>
      <c r="N1234">
        <f>IF(COUNT($E$2:$E1234)&lt;15,"",IF(AVERAGE($M$1221:$M$1234)=0,100,100-100/(1+AVERAGE($L$1221:$L$1234)/AVERAGE($M$1221:$M$1234))))</f>
        <v>0</v>
      </c>
      <c r="O1234">
        <f>IF($E1234="","",IF($E1233="",$E1234,$E1234*0.1538461538+O1233*0.8461538462))</f>
        <v>0</v>
      </c>
      <c r="P1234">
        <f>IF($E1234="","",IF($E1233="",$E1234,$E1234*0.0740740741+P1233*0.9259259259))</f>
        <v>0</v>
      </c>
      <c r="Q1234">
        <f>IF(OR(O1234="",P1234=""),"",O1234-P1234)</f>
        <v>0</v>
      </c>
      <c r="R1234">
        <f>IF(Q1234="","",IF(R1233="",Q1234,Q1234*0.2000000000+R1233*0.8000000000))</f>
        <v>0</v>
      </c>
      <c r="S1234">
        <f>IF(OR(Q1234="",R1234=""),"",Q1234-R1234)</f>
        <v>0</v>
      </c>
      <c r="T1234">
        <f>IF(COUNT($E$2:$E1234)&lt;14,"",MAX($C$1221:$C$1234))</f>
        <v>0</v>
      </c>
      <c r="U1234">
        <f>IF(COUNT($E$2:$E1234)&lt;14,"",MIN($D$1221:$D$1234))</f>
        <v>0</v>
      </c>
      <c r="V1234">
        <f>IF(OR(T1234="",U1234="",T1234=U1234),"",100*($E1234-U1234)/(T1234-U1234))</f>
        <v>0</v>
      </c>
      <c r="W1234">
        <f>IF(COUNT($V$1232:$V$1234)&lt;3,"",AVERAGE($V$1232:$V$1234))</f>
        <v>0</v>
      </c>
      <c r="X1234">
        <f>IF(COUNT($N$1221:$N$1234)&lt;14,"",MIN($N$1221:$N$1234))</f>
        <v>0</v>
      </c>
      <c r="Y1234">
        <f>IF(COUNT($N$1221:$N$1234)&lt;14,"",MAX($N$1221:$N$1234))</f>
        <v>0</v>
      </c>
      <c r="Z1234">
        <f>IF(OR(N1234="",X1234="",Y1234="",Y1234=X1234),"",100*(N1234-X1234)/(Y1234-X1234))</f>
        <v>0</v>
      </c>
      <c r="AA1234">
        <f>IF(COUNT($Z$1232:$Z$1234)&lt;3,"",AVERAGE($Z$1232:$Z$1234))</f>
        <v>0</v>
      </c>
      <c r="AB1234">
        <f>IF(COUNT($AA$1232:$AA$1234)&lt;3,"",AVERAGE($AA$1232:$AA$1234))</f>
        <v>0</v>
      </c>
      <c r="AC1234">
        <f>IF($E1234="","",MAX($C1234-$D1234,ABS($C1234-$E1233),ABS($D1234-$E1233)))</f>
        <v>0</v>
      </c>
      <c r="AD1234">
        <f>IF(COUNT($E$2:$E1234)&lt;15,"",AVERAGE($AC$1221:$AC$1234))</f>
        <v>0</v>
      </c>
      <c r="AE1234">
        <f>IF(OR($E1234="",$E1233=""),"",IF(AND(($C1234-$C1233)&gt;($D1233-$D1234),($C1234-$C1233)&gt;0),$C1234-$C1233,0))</f>
        <v>0</v>
      </c>
      <c r="AF1234">
        <f>IF(OR($E1234="",$E1233=""),"",IF(AND(($D1233-$D1234)&gt;($C1234-$C1233),($D1233-$D1234)&gt;0),$D1233-$D1234,0))</f>
        <v>0</v>
      </c>
      <c r="AG1234">
        <f>IF(COUNT($E$2:$E1234)&lt;15,"",IF(SUM($AC$1221:$AC$1234)=0,0,100*SUM($AE$1221:$AE$1234)/SUM($AC$1221:$AC$1234)))</f>
        <v>0</v>
      </c>
      <c r="AH1234">
        <f>IF(COUNT($E$2:$E1234)&lt;15,"",IF(SUM($AC$1221:$AC$1234)=0,0,100*SUM($AF$1221:$AF$1234)/SUM($AC$1221:$AC$1234)))</f>
        <v>0</v>
      </c>
      <c r="AI1234">
        <f>IF(OR(AG1234="",AH1234=""),"",IF((AG1234+AH1234)=0,0,100*ABS(AG1234-AH1234)/(AG1234+AH1234)))</f>
        <v>0</v>
      </c>
      <c r="AJ1234">
        <f>IF(COUNT($AI$1221:$AI$1234)&lt;14,"",AVERAGE($AI$1221:$AI$1234))</f>
        <v>0</v>
      </c>
      <c r="AK1234">
        <f>IF(COUNT($E$2:$E1234)&lt;20,"",AVERAGE($E$1215:$E$1234))</f>
        <v>0</v>
      </c>
      <c r="AL1234">
        <f>IF(COUNT($E$2:$E1234)&lt;20,"",STDEVP($E$1215:$E$1234))</f>
        <v>0</v>
      </c>
      <c r="AM1234">
        <f>IF(AK1234="","",AK1234+2*AL1234)</f>
        <v>0</v>
      </c>
      <c r="AN1234">
        <f>IF(AK1234="","",AK1234-2*AL1234)</f>
        <v>0</v>
      </c>
      <c r="AO1234">
        <f>IF(OR(AM1234="",AN1234="",AM1234=AN1234),"",($E1234-AN1234)/(AM1234-AN1234))</f>
        <v>0</v>
      </c>
      <c r="AP1234">
        <f>IF(OR(AM1234="",AK1234="",AK1234=0),"",(AM1234-AN1234)/AK1234)</f>
        <v>0</v>
      </c>
      <c r="AQ1234">
        <f>IF(COUNT($E$2:$E1234)&lt;20,"",MAX($C$1215:$C$1234))</f>
        <v>0</v>
      </c>
      <c r="AR1234">
        <f>IF(COUNT($E$2:$E1234)&lt;20,"",MIN($D$1215:$D$1234))</f>
        <v>0</v>
      </c>
      <c r="AS1234">
        <f>IF(OR(AQ1234="",AR1234=""),"",(AQ1234+AR1234)/2)</f>
        <v>0</v>
      </c>
      <c r="AT1234">
        <f>IF(COUNT($G$1215:$G$1234)&lt;20,"",STDEV($G$1215:$G$1234)*SQRT(252))</f>
        <v>0</v>
      </c>
      <c r="AU1234">
        <f>IF(COUNT($E$2:$E1234)&lt;9,"",(MAX($C$1226:$C$1234)+MIN($D$1226:$D$1234))/2)</f>
        <v>0</v>
      </c>
      <c r="AV1234">
        <f>IF(COUNT($E$2:$E1234)&lt;26,"",(MAX($C$1209:$C$1234)+MIN($D$1209:$D$1234))/2)</f>
        <v>0</v>
      </c>
      <c r="AW1234">
        <f>IF(OR(AU1234="",AV1234=""),"",(AU1234+AV1234)/2)</f>
        <v>0</v>
      </c>
      <c r="AX1234">
        <f>IF(COUNT($E$2:$E1234)&lt;52,"",(MAX($C$1183:$C$1234)+MIN($D$1183:$D$1234))/2)</f>
        <v>0</v>
      </c>
      <c r="AY1234">
        <f>IF(COUNT($E$2:$E1234)&lt;20,"",MAX($C$1135:$C$1234))</f>
        <v>0</v>
      </c>
      <c r="AZ1234">
        <f>IF(COUNT($E$2:$E1234)&lt;20,"",MIN($D$1135:$D$1234))</f>
        <v>0</v>
      </c>
      <c r="BA1234">
        <f>IF(COUNT($E$2:$E1234)&lt;20,"",SLOPE($E$1135:$E$1234,$F$1135:$F$1234))</f>
        <v>0</v>
      </c>
      <c r="BB1234">
        <f>IF(COUNT($E$2:$E1234)&lt;20,"",INTERCEPT($E$1135:$E$1234,$F$1135:$F$1234))</f>
        <v>0</v>
      </c>
      <c r="BC1234">
        <f>IF(OR(BA1234="",BB1234=""),"",BB1234+BA1234*F1234)</f>
        <v>0</v>
      </c>
      <c r="BD1234">
        <f>IF(COUNT($E$2:$E1234)&lt;20,"",STEYX($E$1135:$E$1234,$F$1135:$F$1234))</f>
        <v>0</v>
      </c>
      <c r="BE1234">
        <f>IF($E1234="","",IF(AND(COUNT($E$1235:$E$1238)&gt;=4,$C1234=MAX($C$1230:$C$1238)),$C1234,""))</f>
        <v>0</v>
      </c>
      <c r="BF1234">
        <f>IF($E1234="","",IF(AND(COUNT($E$1235:$E$1238)&gt;=4,$D1234=MIN($D$1230:$D$1238)),$D1234,""))</f>
        <v>0</v>
      </c>
      <c r="BG1234">
        <f>IF($A1234="","",$A1234-WEEKDAY($A1234,2)+1)</f>
        <v>0</v>
      </c>
      <c r="BH1234">
        <f>IF($A1234="","",IF($A1233="",1,IF(BG1234&lt;&gt;BG1233,1,0)))</f>
        <v>0</v>
      </c>
      <c r="BI1234">
        <f>IF($A1234="","",IF($A1235="",1,IF(BG1235&lt;&gt;BG1234,1,0)))</f>
        <v>0</v>
      </c>
      <c r="BJ1234">
        <f>IF($A1234="","",IF(BH1234=1,$B1234,BJ1233))</f>
        <v>0</v>
      </c>
      <c r="BK1234">
        <f>IF($A1234="","",IF(BH1234=1,$C1234,MAX($C1234,BK1233)))</f>
        <v>0</v>
      </c>
      <c r="BL1234">
        <f>IF($A1234="","",IF(BH1234=1,$D1234,MIN($D1234,BL1233)))</f>
        <v>0</v>
      </c>
      <c r="BM1234">
        <f>IF($A1234="","",IF(BI1234=1,F1234,""))</f>
        <v>0</v>
      </c>
      <c r="BN1234">
        <f>IF($A1234="","",DATE(YEAR($A1234),MONTH($A1234),1))</f>
        <v>0</v>
      </c>
      <c r="BO1234">
        <f>IF($A1234="","",IF($A1233="",1,IF(BN1234&lt;&gt;BN1233,1,0)))</f>
        <v>0</v>
      </c>
      <c r="BP1234">
        <f>IF($A1234="","",IF($A1235="",1,IF(BN1235&lt;&gt;BN1234,1,0)))</f>
        <v>0</v>
      </c>
      <c r="BQ1234">
        <f>IF($A1234="","",IF(BO1234=1,$B1234,BQ1233))</f>
        <v>0</v>
      </c>
      <c r="BR1234">
        <f>IF($A1234="","",IF(BO1234=1,$C1234,MAX($C1234,BR1233)))</f>
        <v>0</v>
      </c>
      <c r="BS1234">
        <f>IF($A1234="","",IF(BO1234=1,$D1234,MIN($D1234,BS1233)))</f>
        <v>0</v>
      </c>
      <c r="BT1234">
        <f>IF($A1234="","",IF(BP1234=1,F1234,""))</f>
        <v>0</v>
      </c>
    </row>
    <row r="1235" spans="1:72">
      <c r="A1235" s="27">
        <f>IF(Data!$A1235="","",Data!$A1235)</f>
        <v>0</v>
      </c>
      <c r="B1235">
        <f>IF(Data!$B1235="","",Data!$B1235)</f>
        <v>0</v>
      </c>
      <c r="C1235">
        <f>IF(Data!$C1235="","",Data!$C1235)</f>
        <v>0</v>
      </c>
      <c r="D1235">
        <f>IF(Data!$D1235="","",Data!$D1235)</f>
        <v>0</v>
      </c>
      <c r="E1235">
        <f>IF(Data!$E1235="","",Data!$E1235)</f>
        <v>0</v>
      </c>
      <c r="F1235">
        <f>IF($E1235="","",N(F1234)+1)</f>
        <v>0</v>
      </c>
      <c r="G1235">
        <f>IF(OR($E1235="",$E1234=""),"",LN($E1235/$E1234))</f>
        <v>0</v>
      </c>
      <c r="H1235">
        <f>IF($E1235="","",IF($E1234="",$E1235,$E1235*0.0952380952+H1234*0.9047619048))</f>
        <v>0</v>
      </c>
      <c r="I1235">
        <f>IF($E1235="","",IF($E1234="",$E1235,$E1235*0.0392156863+I1234*0.9607843137))</f>
        <v>0</v>
      </c>
      <c r="J1235">
        <f>IF($E1235="","",IF($E1234="",$E1235,$E1235*0.0198019802+J1234*0.9801980198))</f>
        <v>0</v>
      </c>
      <c r="K1235">
        <f>IF($E1235="","",IF($E1234="",$E1235,$E1235*0.0099502488+K1234*0.9900497512))</f>
        <v>0</v>
      </c>
      <c r="L1235">
        <f>IF(OR($E1235="",$E1234=""),"",MAX($E1235-$E1234,0))</f>
        <v>0</v>
      </c>
      <c r="M1235">
        <f>IF(OR($E1235="",$E1234=""),"",MAX($E1234-$E1235,0))</f>
        <v>0</v>
      </c>
      <c r="N1235">
        <f>IF(COUNT($E$2:$E1235)&lt;15,"",IF(AVERAGE($M$1222:$M$1235)=0,100,100-100/(1+AVERAGE($L$1222:$L$1235)/AVERAGE($M$1222:$M$1235))))</f>
        <v>0</v>
      </c>
      <c r="O1235">
        <f>IF($E1235="","",IF($E1234="",$E1235,$E1235*0.1538461538+O1234*0.8461538462))</f>
        <v>0</v>
      </c>
      <c r="P1235">
        <f>IF($E1235="","",IF($E1234="",$E1235,$E1235*0.0740740741+P1234*0.9259259259))</f>
        <v>0</v>
      </c>
      <c r="Q1235">
        <f>IF(OR(O1235="",P1235=""),"",O1235-P1235)</f>
        <v>0</v>
      </c>
      <c r="R1235">
        <f>IF(Q1235="","",IF(R1234="",Q1235,Q1235*0.2000000000+R1234*0.8000000000))</f>
        <v>0</v>
      </c>
      <c r="S1235">
        <f>IF(OR(Q1235="",R1235=""),"",Q1235-R1235)</f>
        <v>0</v>
      </c>
      <c r="T1235">
        <f>IF(COUNT($E$2:$E1235)&lt;14,"",MAX($C$1222:$C$1235))</f>
        <v>0</v>
      </c>
      <c r="U1235">
        <f>IF(COUNT($E$2:$E1235)&lt;14,"",MIN($D$1222:$D$1235))</f>
        <v>0</v>
      </c>
      <c r="V1235">
        <f>IF(OR(T1235="",U1235="",T1235=U1235),"",100*($E1235-U1235)/(T1235-U1235))</f>
        <v>0</v>
      </c>
      <c r="W1235">
        <f>IF(COUNT($V$1233:$V$1235)&lt;3,"",AVERAGE($V$1233:$V$1235))</f>
        <v>0</v>
      </c>
      <c r="X1235">
        <f>IF(COUNT($N$1222:$N$1235)&lt;14,"",MIN($N$1222:$N$1235))</f>
        <v>0</v>
      </c>
      <c r="Y1235">
        <f>IF(COUNT($N$1222:$N$1235)&lt;14,"",MAX($N$1222:$N$1235))</f>
        <v>0</v>
      </c>
      <c r="Z1235">
        <f>IF(OR(N1235="",X1235="",Y1235="",Y1235=X1235),"",100*(N1235-X1235)/(Y1235-X1235))</f>
        <v>0</v>
      </c>
      <c r="AA1235">
        <f>IF(COUNT($Z$1233:$Z$1235)&lt;3,"",AVERAGE($Z$1233:$Z$1235))</f>
        <v>0</v>
      </c>
      <c r="AB1235">
        <f>IF(COUNT($AA$1233:$AA$1235)&lt;3,"",AVERAGE($AA$1233:$AA$1235))</f>
        <v>0</v>
      </c>
      <c r="AC1235">
        <f>IF($E1235="","",MAX($C1235-$D1235,ABS($C1235-$E1234),ABS($D1235-$E1234)))</f>
        <v>0</v>
      </c>
      <c r="AD1235">
        <f>IF(COUNT($E$2:$E1235)&lt;15,"",AVERAGE($AC$1222:$AC$1235))</f>
        <v>0</v>
      </c>
      <c r="AE1235">
        <f>IF(OR($E1235="",$E1234=""),"",IF(AND(($C1235-$C1234)&gt;($D1234-$D1235),($C1235-$C1234)&gt;0),$C1235-$C1234,0))</f>
        <v>0</v>
      </c>
      <c r="AF1235">
        <f>IF(OR($E1235="",$E1234=""),"",IF(AND(($D1234-$D1235)&gt;($C1235-$C1234),($D1234-$D1235)&gt;0),$D1234-$D1235,0))</f>
        <v>0</v>
      </c>
      <c r="AG1235">
        <f>IF(COUNT($E$2:$E1235)&lt;15,"",IF(SUM($AC$1222:$AC$1235)=0,0,100*SUM($AE$1222:$AE$1235)/SUM($AC$1222:$AC$1235)))</f>
        <v>0</v>
      </c>
      <c r="AH1235">
        <f>IF(COUNT($E$2:$E1235)&lt;15,"",IF(SUM($AC$1222:$AC$1235)=0,0,100*SUM($AF$1222:$AF$1235)/SUM($AC$1222:$AC$1235)))</f>
        <v>0</v>
      </c>
      <c r="AI1235">
        <f>IF(OR(AG1235="",AH1235=""),"",IF((AG1235+AH1235)=0,0,100*ABS(AG1235-AH1235)/(AG1235+AH1235)))</f>
        <v>0</v>
      </c>
      <c r="AJ1235">
        <f>IF(COUNT($AI$1222:$AI$1235)&lt;14,"",AVERAGE($AI$1222:$AI$1235))</f>
        <v>0</v>
      </c>
      <c r="AK1235">
        <f>IF(COUNT($E$2:$E1235)&lt;20,"",AVERAGE($E$1216:$E$1235))</f>
        <v>0</v>
      </c>
      <c r="AL1235">
        <f>IF(COUNT($E$2:$E1235)&lt;20,"",STDEVP($E$1216:$E$1235))</f>
        <v>0</v>
      </c>
      <c r="AM1235">
        <f>IF(AK1235="","",AK1235+2*AL1235)</f>
        <v>0</v>
      </c>
      <c r="AN1235">
        <f>IF(AK1235="","",AK1235-2*AL1235)</f>
        <v>0</v>
      </c>
      <c r="AO1235">
        <f>IF(OR(AM1235="",AN1235="",AM1235=AN1235),"",($E1235-AN1235)/(AM1235-AN1235))</f>
        <v>0</v>
      </c>
      <c r="AP1235">
        <f>IF(OR(AM1235="",AK1235="",AK1235=0),"",(AM1235-AN1235)/AK1235)</f>
        <v>0</v>
      </c>
      <c r="AQ1235">
        <f>IF(COUNT($E$2:$E1235)&lt;20,"",MAX($C$1216:$C$1235))</f>
        <v>0</v>
      </c>
      <c r="AR1235">
        <f>IF(COUNT($E$2:$E1235)&lt;20,"",MIN($D$1216:$D$1235))</f>
        <v>0</v>
      </c>
      <c r="AS1235">
        <f>IF(OR(AQ1235="",AR1235=""),"",(AQ1235+AR1235)/2)</f>
        <v>0</v>
      </c>
      <c r="AT1235">
        <f>IF(COUNT($G$1216:$G$1235)&lt;20,"",STDEV($G$1216:$G$1235)*SQRT(252))</f>
        <v>0</v>
      </c>
      <c r="AU1235">
        <f>IF(COUNT($E$2:$E1235)&lt;9,"",(MAX($C$1227:$C$1235)+MIN($D$1227:$D$1235))/2)</f>
        <v>0</v>
      </c>
      <c r="AV1235">
        <f>IF(COUNT($E$2:$E1235)&lt;26,"",(MAX($C$1210:$C$1235)+MIN($D$1210:$D$1235))/2)</f>
        <v>0</v>
      </c>
      <c r="AW1235">
        <f>IF(OR(AU1235="",AV1235=""),"",(AU1235+AV1235)/2)</f>
        <v>0</v>
      </c>
      <c r="AX1235">
        <f>IF(COUNT($E$2:$E1235)&lt;52,"",(MAX($C$1184:$C$1235)+MIN($D$1184:$D$1235))/2)</f>
        <v>0</v>
      </c>
      <c r="AY1235">
        <f>IF(COUNT($E$2:$E1235)&lt;20,"",MAX($C$1136:$C$1235))</f>
        <v>0</v>
      </c>
      <c r="AZ1235">
        <f>IF(COUNT($E$2:$E1235)&lt;20,"",MIN($D$1136:$D$1235))</f>
        <v>0</v>
      </c>
      <c r="BA1235">
        <f>IF(COUNT($E$2:$E1235)&lt;20,"",SLOPE($E$1136:$E$1235,$F$1136:$F$1235))</f>
        <v>0</v>
      </c>
      <c r="BB1235">
        <f>IF(COUNT($E$2:$E1235)&lt;20,"",INTERCEPT($E$1136:$E$1235,$F$1136:$F$1235))</f>
        <v>0</v>
      </c>
      <c r="BC1235">
        <f>IF(OR(BA1235="",BB1235=""),"",BB1235+BA1235*F1235)</f>
        <v>0</v>
      </c>
      <c r="BD1235">
        <f>IF(COUNT($E$2:$E1235)&lt;20,"",STEYX($E$1136:$E$1235,$F$1136:$F$1235))</f>
        <v>0</v>
      </c>
      <c r="BE1235">
        <f>IF($E1235="","",IF(AND(COUNT($E$1236:$E$1239)&gt;=4,$C1235=MAX($C$1231:$C$1239)),$C1235,""))</f>
        <v>0</v>
      </c>
      <c r="BF1235">
        <f>IF($E1235="","",IF(AND(COUNT($E$1236:$E$1239)&gt;=4,$D1235=MIN($D$1231:$D$1239)),$D1235,""))</f>
        <v>0</v>
      </c>
      <c r="BG1235">
        <f>IF($A1235="","",$A1235-WEEKDAY($A1235,2)+1)</f>
        <v>0</v>
      </c>
      <c r="BH1235">
        <f>IF($A1235="","",IF($A1234="",1,IF(BG1235&lt;&gt;BG1234,1,0)))</f>
        <v>0</v>
      </c>
      <c r="BI1235">
        <f>IF($A1235="","",IF($A1236="",1,IF(BG1236&lt;&gt;BG1235,1,0)))</f>
        <v>0</v>
      </c>
      <c r="BJ1235">
        <f>IF($A1235="","",IF(BH1235=1,$B1235,BJ1234))</f>
        <v>0</v>
      </c>
      <c r="BK1235">
        <f>IF($A1235="","",IF(BH1235=1,$C1235,MAX($C1235,BK1234)))</f>
        <v>0</v>
      </c>
      <c r="BL1235">
        <f>IF($A1235="","",IF(BH1235=1,$D1235,MIN($D1235,BL1234)))</f>
        <v>0</v>
      </c>
      <c r="BM1235">
        <f>IF($A1235="","",IF(BI1235=1,F1235,""))</f>
        <v>0</v>
      </c>
      <c r="BN1235">
        <f>IF($A1235="","",DATE(YEAR($A1235),MONTH($A1235),1))</f>
        <v>0</v>
      </c>
      <c r="BO1235">
        <f>IF($A1235="","",IF($A1234="",1,IF(BN1235&lt;&gt;BN1234,1,0)))</f>
        <v>0</v>
      </c>
      <c r="BP1235">
        <f>IF($A1235="","",IF($A1236="",1,IF(BN1236&lt;&gt;BN1235,1,0)))</f>
        <v>0</v>
      </c>
      <c r="BQ1235">
        <f>IF($A1235="","",IF(BO1235=1,$B1235,BQ1234))</f>
        <v>0</v>
      </c>
      <c r="BR1235">
        <f>IF($A1235="","",IF(BO1235=1,$C1235,MAX($C1235,BR1234)))</f>
        <v>0</v>
      </c>
      <c r="BS1235">
        <f>IF($A1235="","",IF(BO1235=1,$D1235,MIN($D1235,BS1234)))</f>
        <v>0</v>
      </c>
      <c r="BT1235">
        <f>IF($A1235="","",IF(BP1235=1,F1235,""))</f>
        <v>0</v>
      </c>
    </row>
    <row r="1236" spans="1:72">
      <c r="A1236" s="27">
        <f>IF(Data!$A1236="","",Data!$A1236)</f>
        <v>0</v>
      </c>
      <c r="B1236">
        <f>IF(Data!$B1236="","",Data!$B1236)</f>
        <v>0</v>
      </c>
      <c r="C1236">
        <f>IF(Data!$C1236="","",Data!$C1236)</f>
        <v>0</v>
      </c>
      <c r="D1236">
        <f>IF(Data!$D1236="","",Data!$D1236)</f>
        <v>0</v>
      </c>
      <c r="E1236">
        <f>IF(Data!$E1236="","",Data!$E1236)</f>
        <v>0</v>
      </c>
      <c r="F1236">
        <f>IF($E1236="","",N(F1235)+1)</f>
        <v>0</v>
      </c>
      <c r="G1236">
        <f>IF(OR($E1236="",$E1235=""),"",LN($E1236/$E1235))</f>
        <v>0</v>
      </c>
      <c r="H1236">
        <f>IF($E1236="","",IF($E1235="",$E1236,$E1236*0.0952380952+H1235*0.9047619048))</f>
        <v>0</v>
      </c>
      <c r="I1236">
        <f>IF($E1236="","",IF($E1235="",$E1236,$E1236*0.0392156863+I1235*0.9607843137))</f>
        <v>0</v>
      </c>
      <c r="J1236">
        <f>IF($E1236="","",IF($E1235="",$E1236,$E1236*0.0198019802+J1235*0.9801980198))</f>
        <v>0</v>
      </c>
      <c r="K1236">
        <f>IF($E1236="","",IF($E1235="",$E1236,$E1236*0.0099502488+K1235*0.9900497512))</f>
        <v>0</v>
      </c>
      <c r="L1236">
        <f>IF(OR($E1236="",$E1235=""),"",MAX($E1236-$E1235,0))</f>
        <v>0</v>
      </c>
      <c r="M1236">
        <f>IF(OR($E1236="",$E1235=""),"",MAX($E1235-$E1236,0))</f>
        <v>0</v>
      </c>
      <c r="N1236">
        <f>IF(COUNT($E$2:$E1236)&lt;15,"",IF(AVERAGE($M$1223:$M$1236)=0,100,100-100/(1+AVERAGE($L$1223:$L$1236)/AVERAGE($M$1223:$M$1236))))</f>
        <v>0</v>
      </c>
      <c r="O1236">
        <f>IF($E1236="","",IF($E1235="",$E1236,$E1236*0.1538461538+O1235*0.8461538462))</f>
        <v>0</v>
      </c>
      <c r="P1236">
        <f>IF($E1236="","",IF($E1235="",$E1236,$E1236*0.0740740741+P1235*0.9259259259))</f>
        <v>0</v>
      </c>
      <c r="Q1236">
        <f>IF(OR(O1236="",P1236=""),"",O1236-P1236)</f>
        <v>0</v>
      </c>
      <c r="R1236">
        <f>IF(Q1236="","",IF(R1235="",Q1236,Q1236*0.2000000000+R1235*0.8000000000))</f>
        <v>0</v>
      </c>
      <c r="S1236">
        <f>IF(OR(Q1236="",R1236=""),"",Q1236-R1236)</f>
        <v>0</v>
      </c>
      <c r="T1236">
        <f>IF(COUNT($E$2:$E1236)&lt;14,"",MAX($C$1223:$C$1236))</f>
        <v>0</v>
      </c>
      <c r="U1236">
        <f>IF(COUNT($E$2:$E1236)&lt;14,"",MIN($D$1223:$D$1236))</f>
        <v>0</v>
      </c>
      <c r="V1236">
        <f>IF(OR(T1236="",U1236="",T1236=U1236),"",100*($E1236-U1236)/(T1236-U1236))</f>
        <v>0</v>
      </c>
      <c r="W1236">
        <f>IF(COUNT($V$1234:$V$1236)&lt;3,"",AVERAGE($V$1234:$V$1236))</f>
        <v>0</v>
      </c>
      <c r="X1236">
        <f>IF(COUNT($N$1223:$N$1236)&lt;14,"",MIN($N$1223:$N$1236))</f>
        <v>0</v>
      </c>
      <c r="Y1236">
        <f>IF(COUNT($N$1223:$N$1236)&lt;14,"",MAX($N$1223:$N$1236))</f>
        <v>0</v>
      </c>
      <c r="Z1236">
        <f>IF(OR(N1236="",X1236="",Y1236="",Y1236=X1236),"",100*(N1236-X1236)/(Y1236-X1236))</f>
        <v>0</v>
      </c>
      <c r="AA1236">
        <f>IF(COUNT($Z$1234:$Z$1236)&lt;3,"",AVERAGE($Z$1234:$Z$1236))</f>
        <v>0</v>
      </c>
      <c r="AB1236">
        <f>IF(COUNT($AA$1234:$AA$1236)&lt;3,"",AVERAGE($AA$1234:$AA$1236))</f>
        <v>0</v>
      </c>
      <c r="AC1236">
        <f>IF($E1236="","",MAX($C1236-$D1236,ABS($C1236-$E1235),ABS($D1236-$E1235)))</f>
        <v>0</v>
      </c>
      <c r="AD1236">
        <f>IF(COUNT($E$2:$E1236)&lt;15,"",AVERAGE($AC$1223:$AC$1236))</f>
        <v>0</v>
      </c>
      <c r="AE1236">
        <f>IF(OR($E1236="",$E1235=""),"",IF(AND(($C1236-$C1235)&gt;($D1235-$D1236),($C1236-$C1235)&gt;0),$C1236-$C1235,0))</f>
        <v>0</v>
      </c>
      <c r="AF1236">
        <f>IF(OR($E1236="",$E1235=""),"",IF(AND(($D1235-$D1236)&gt;($C1236-$C1235),($D1235-$D1236)&gt;0),$D1235-$D1236,0))</f>
        <v>0</v>
      </c>
      <c r="AG1236">
        <f>IF(COUNT($E$2:$E1236)&lt;15,"",IF(SUM($AC$1223:$AC$1236)=0,0,100*SUM($AE$1223:$AE$1236)/SUM($AC$1223:$AC$1236)))</f>
        <v>0</v>
      </c>
      <c r="AH1236">
        <f>IF(COUNT($E$2:$E1236)&lt;15,"",IF(SUM($AC$1223:$AC$1236)=0,0,100*SUM($AF$1223:$AF$1236)/SUM($AC$1223:$AC$1236)))</f>
        <v>0</v>
      </c>
      <c r="AI1236">
        <f>IF(OR(AG1236="",AH1236=""),"",IF((AG1236+AH1236)=0,0,100*ABS(AG1236-AH1236)/(AG1236+AH1236)))</f>
        <v>0</v>
      </c>
      <c r="AJ1236">
        <f>IF(COUNT($AI$1223:$AI$1236)&lt;14,"",AVERAGE($AI$1223:$AI$1236))</f>
        <v>0</v>
      </c>
      <c r="AK1236">
        <f>IF(COUNT($E$2:$E1236)&lt;20,"",AVERAGE($E$1217:$E$1236))</f>
        <v>0</v>
      </c>
      <c r="AL1236">
        <f>IF(COUNT($E$2:$E1236)&lt;20,"",STDEVP($E$1217:$E$1236))</f>
        <v>0</v>
      </c>
      <c r="AM1236">
        <f>IF(AK1236="","",AK1236+2*AL1236)</f>
        <v>0</v>
      </c>
      <c r="AN1236">
        <f>IF(AK1236="","",AK1236-2*AL1236)</f>
        <v>0</v>
      </c>
      <c r="AO1236">
        <f>IF(OR(AM1236="",AN1236="",AM1236=AN1236),"",($E1236-AN1236)/(AM1236-AN1236))</f>
        <v>0</v>
      </c>
      <c r="AP1236">
        <f>IF(OR(AM1236="",AK1236="",AK1236=0),"",(AM1236-AN1236)/AK1236)</f>
        <v>0</v>
      </c>
      <c r="AQ1236">
        <f>IF(COUNT($E$2:$E1236)&lt;20,"",MAX($C$1217:$C$1236))</f>
        <v>0</v>
      </c>
      <c r="AR1236">
        <f>IF(COUNT($E$2:$E1236)&lt;20,"",MIN($D$1217:$D$1236))</f>
        <v>0</v>
      </c>
      <c r="AS1236">
        <f>IF(OR(AQ1236="",AR1236=""),"",(AQ1236+AR1236)/2)</f>
        <v>0</v>
      </c>
      <c r="AT1236">
        <f>IF(COUNT($G$1217:$G$1236)&lt;20,"",STDEV($G$1217:$G$1236)*SQRT(252))</f>
        <v>0</v>
      </c>
      <c r="AU1236">
        <f>IF(COUNT($E$2:$E1236)&lt;9,"",(MAX($C$1228:$C$1236)+MIN($D$1228:$D$1236))/2)</f>
        <v>0</v>
      </c>
      <c r="AV1236">
        <f>IF(COUNT($E$2:$E1236)&lt;26,"",(MAX($C$1211:$C$1236)+MIN($D$1211:$D$1236))/2)</f>
        <v>0</v>
      </c>
      <c r="AW1236">
        <f>IF(OR(AU1236="",AV1236=""),"",(AU1236+AV1236)/2)</f>
        <v>0</v>
      </c>
      <c r="AX1236">
        <f>IF(COUNT($E$2:$E1236)&lt;52,"",(MAX($C$1185:$C$1236)+MIN($D$1185:$D$1236))/2)</f>
        <v>0</v>
      </c>
      <c r="AY1236">
        <f>IF(COUNT($E$2:$E1236)&lt;20,"",MAX($C$1137:$C$1236))</f>
        <v>0</v>
      </c>
      <c r="AZ1236">
        <f>IF(COUNT($E$2:$E1236)&lt;20,"",MIN($D$1137:$D$1236))</f>
        <v>0</v>
      </c>
      <c r="BA1236">
        <f>IF(COUNT($E$2:$E1236)&lt;20,"",SLOPE($E$1137:$E$1236,$F$1137:$F$1236))</f>
        <v>0</v>
      </c>
      <c r="BB1236">
        <f>IF(COUNT($E$2:$E1236)&lt;20,"",INTERCEPT($E$1137:$E$1236,$F$1137:$F$1236))</f>
        <v>0</v>
      </c>
      <c r="BC1236">
        <f>IF(OR(BA1236="",BB1236=""),"",BB1236+BA1236*F1236)</f>
        <v>0</v>
      </c>
      <c r="BD1236">
        <f>IF(COUNT($E$2:$E1236)&lt;20,"",STEYX($E$1137:$E$1236,$F$1137:$F$1236))</f>
        <v>0</v>
      </c>
      <c r="BE1236">
        <f>IF($E1236="","",IF(AND(COUNT($E$1237:$E$1240)&gt;=4,$C1236=MAX($C$1232:$C$1240)),$C1236,""))</f>
        <v>0</v>
      </c>
      <c r="BF1236">
        <f>IF($E1236="","",IF(AND(COUNT($E$1237:$E$1240)&gt;=4,$D1236=MIN($D$1232:$D$1240)),$D1236,""))</f>
        <v>0</v>
      </c>
      <c r="BG1236">
        <f>IF($A1236="","",$A1236-WEEKDAY($A1236,2)+1)</f>
        <v>0</v>
      </c>
      <c r="BH1236">
        <f>IF($A1236="","",IF($A1235="",1,IF(BG1236&lt;&gt;BG1235,1,0)))</f>
        <v>0</v>
      </c>
      <c r="BI1236">
        <f>IF($A1236="","",IF($A1237="",1,IF(BG1237&lt;&gt;BG1236,1,0)))</f>
        <v>0</v>
      </c>
      <c r="BJ1236">
        <f>IF($A1236="","",IF(BH1236=1,$B1236,BJ1235))</f>
        <v>0</v>
      </c>
      <c r="BK1236">
        <f>IF($A1236="","",IF(BH1236=1,$C1236,MAX($C1236,BK1235)))</f>
        <v>0</v>
      </c>
      <c r="BL1236">
        <f>IF($A1236="","",IF(BH1236=1,$D1236,MIN($D1236,BL1235)))</f>
        <v>0</v>
      </c>
      <c r="BM1236">
        <f>IF($A1236="","",IF(BI1236=1,F1236,""))</f>
        <v>0</v>
      </c>
      <c r="BN1236">
        <f>IF($A1236="","",DATE(YEAR($A1236),MONTH($A1236),1))</f>
        <v>0</v>
      </c>
      <c r="BO1236">
        <f>IF($A1236="","",IF($A1235="",1,IF(BN1236&lt;&gt;BN1235,1,0)))</f>
        <v>0</v>
      </c>
      <c r="BP1236">
        <f>IF($A1236="","",IF($A1237="",1,IF(BN1237&lt;&gt;BN1236,1,0)))</f>
        <v>0</v>
      </c>
      <c r="BQ1236">
        <f>IF($A1236="","",IF(BO1236=1,$B1236,BQ1235))</f>
        <v>0</v>
      </c>
      <c r="BR1236">
        <f>IF($A1236="","",IF(BO1236=1,$C1236,MAX($C1236,BR1235)))</f>
        <v>0</v>
      </c>
      <c r="BS1236">
        <f>IF($A1236="","",IF(BO1236=1,$D1236,MIN($D1236,BS1235)))</f>
        <v>0</v>
      </c>
      <c r="BT1236">
        <f>IF($A1236="","",IF(BP1236=1,F1236,""))</f>
        <v>0</v>
      </c>
    </row>
    <row r="1237" spans="1:72">
      <c r="A1237" s="27">
        <f>IF(Data!$A1237="","",Data!$A1237)</f>
        <v>0</v>
      </c>
      <c r="B1237">
        <f>IF(Data!$B1237="","",Data!$B1237)</f>
        <v>0</v>
      </c>
      <c r="C1237">
        <f>IF(Data!$C1237="","",Data!$C1237)</f>
        <v>0</v>
      </c>
      <c r="D1237">
        <f>IF(Data!$D1237="","",Data!$D1237)</f>
        <v>0</v>
      </c>
      <c r="E1237">
        <f>IF(Data!$E1237="","",Data!$E1237)</f>
        <v>0</v>
      </c>
      <c r="F1237">
        <f>IF($E1237="","",N(F1236)+1)</f>
        <v>0</v>
      </c>
      <c r="G1237">
        <f>IF(OR($E1237="",$E1236=""),"",LN($E1237/$E1236))</f>
        <v>0</v>
      </c>
      <c r="H1237">
        <f>IF($E1237="","",IF($E1236="",$E1237,$E1237*0.0952380952+H1236*0.9047619048))</f>
        <v>0</v>
      </c>
      <c r="I1237">
        <f>IF($E1237="","",IF($E1236="",$E1237,$E1237*0.0392156863+I1236*0.9607843137))</f>
        <v>0</v>
      </c>
      <c r="J1237">
        <f>IF($E1237="","",IF($E1236="",$E1237,$E1237*0.0198019802+J1236*0.9801980198))</f>
        <v>0</v>
      </c>
      <c r="K1237">
        <f>IF($E1237="","",IF($E1236="",$E1237,$E1237*0.0099502488+K1236*0.9900497512))</f>
        <v>0</v>
      </c>
      <c r="L1237">
        <f>IF(OR($E1237="",$E1236=""),"",MAX($E1237-$E1236,0))</f>
        <v>0</v>
      </c>
      <c r="M1237">
        <f>IF(OR($E1237="",$E1236=""),"",MAX($E1236-$E1237,0))</f>
        <v>0</v>
      </c>
      <c r="N1237">
        <f>IF(COUNT($E$2:$E1237)&lt;15,"",IF(AVERAGE($M$1224:$M$1237)=0,100,100-100/(1+AVERAGE($L$1224:$L$1237)/AVERAGE($M$1224:$M$1237))))</f>
        <v>0</v>
      </c>
      <c r="O1237">
        <f>IF($E1237="","",IF($E1236="",$E1237,$E1237*0.1538461538+O1236*0.8461538462))</f>
        <v>0</v>
      </c>
      <c r="P1237">
        <f>IF($E1237="","",IF($E1236="",$E1237,$E1237*0.0740740741+P1236*0.9259259259))</f>
        <v>0</v>
      </c>
      <c r="Q1237">
        <f>IF(OR(O1237="",P1237=""),"",O1237-P1237)</f>
        <v>0</v>
      </c>
      <c r="R1237">
        <f>IF(Q1237="","",IF(R1236="",Q1237,Q1237*0.2000000000+R1236*0.8000000000))</f>
        <v>0</v>
      </c>
      <c r="S1237">
        <f>IF(OR(Q1237="",R1237=""),"",Q1237-R1237)</f>
        <v>0</v>
      </c>
      <c r="T1237">
        <f>IF(COUNT($E$2:$E1237)&lt;14,"",MAX($C$1224:$C$1237))</f>
        <v>0</v>
      </c>
      <c r="U1237">
        <f>IF(COUNT($E$2:$E1237)&lt;14,"",MIN($D$1224:$D$1237))</f>
        <v>0</v>
      </c>
      <c r="V1237">
        <f>IF(OR(T1237="",U1237="",T1237=U1237),"",100*($E1237-U1237)/(T1237-U1237))</f>
        <v>0</v>
      </c>
      <c r="W1237">
        <f>IF(COUNT($V$1235:$V$1237)&lt;3,"",AVERAGE($V$1235:$V$1237))</f>
        <v>0</v>
      </c>
      <c r="X1237">
        <f>IF(COUNT($N$1224:$N$1237)&lt;14,"",MIN($N$1224:$N$1237))</f>
        <v>0</v>
      </c>
      <c r="Y1237">
        <f>IF(COUNT($N$1224:$N$1237)&lt;14,"",MAX($N$1224:$N$1237))</f>
        <v>0</v>
      </c>
      <c r="Z1237">
        <f>IF(OR(N1237="",X1237="",Y1237="",Y1237=X1237),"",100*(N1237-X1237)/(Y1237-X1237))</f>
        <v>0</v>
      </c>
      <c r="AA1237">
        <f>IF(COUNT($Z$1235:$Z$1237)&lt;3,"",AVERAGE($Z$1235:$Z$1237))</f>
        <v>0</v>
      </c>
      <c r="AB1237">
        <f>IF(COUNT($AA$1235:$AA$1237)&lt;3,"",AVERAGE($AA$1235:$AA$1237))</f>
        <v>0</v>
      </c>
      <c r="AC1237">
        <f>IF($E1237="","",MAX($C1237-$D1237,ABS($C1237-$E1236),ABS($D1237-$E1236)))</f>
        <v>0</v>
      </c>
      <c r="AD1237">
        <f>IF(COUNT($E$2:$E1237)&lt;15,"",AVERAGE($AC$1224:$AC$1237))</f>
        <v>0</v>
      </c>
      <c r="AE1237">
        <f>IF(OR($E1237="",$E1236=""),"",IF(AND(($C1237-$C1236)&gt;($D1236-$D1237),($C1237-$C1236)&gt;0),$C1237-$C1236,0))</f>
        <v>0</v>
      </c>
      <c r="AF1237">
        <f>IF(OR($E1237="",$E1236=""),"",IF(AND(($D1236-$D1237)&gt;($C1237-$C1236),($D1236-$D1237)&gt;0),$D1236-$D1237,0))</f>
        <v>0</v>
      </c>
      <c r="AG1237">
        <f>IF(COUNT($E$2:$E1237)&lt;15,"",IF(SUM($AC$1224:$AC$1237)=0,0,100*SUM($AE$1224:$AE$1237)/SUM($AC$1224:$AC$1237)))</f>
        <v>0</v>
      </c>
      <c r="AH1237">
        <f>IF(COUNT($E$2:$E1237)&lt;15,"",IF(SUM($AC$1224:$AC$1237)=0,0,100*SUM($AF$1224:$AF$1237)/SUM($AC$1224:$AC$1237)))</f>
        <v>0</v>
      </c>
      <c r="AI1237">
        <f>IF(OR(AG1237="",AH1237=""),"",IF((AG1237+AH1237)=0,0,100*ABS(AG1237-AH1237)/(AG1237+AH1237)))</f>
        <v>0</v>
      </c>
      <c r="AJ1237">
        <f>IF(COUNT($AI$1224:$AI$1237)&lt;14,"",AVERAGE($AI$1224:$AI$1237))</f>
        <v>0</v>
      </c>
      <c r="AK1237">
        <f>IF(COUNT($E$2:$E1237)&lt;20,"",AVERAGE($E$1218:$E$1237))</f>
        <v>0</v>
      </c>
      <c r="AL1237">
        <f>IF(COUNT($E$2:$E1237)&lt;20,"",STDEVP($E$1218:$E$1237))</f>
        <v>0</v>
      </c>
      <c r="AM1237">
        <f>IF(AK1237="","",AK1237+2*AL1237)</f>
        <v>0</v>
      </c>
      <c r="AN1237">
        <f>IF(AK1237="","",AK1237-2*AL1237)</f>
        <v>0</v>
      </c>
      <c r="AO1237">
        <f>IF(OR(AM1237="",AN1237="",AM1237=AN1237),"",($E1237-AN1237)/(AM1237-AN1237))</f>
        <v>0</v>
      </c>
      <c r="AP1237">
        <f>IF(OR(AM1237="",AK1237="",AK1237=0),"",(AM1237-AN1237)/AK1237)</f>
        <v>0</v>
      </c>
      <c r="AQ1237">
        <f>IF(COUNT($E$2:$E1237)&lt;20,"",MAX($C$1218:$C$1237))</f>
        <v>0</v>
      </c>
      <c r="AR1237">
        <f>IF(COUNT($E$2:$E1237)&lt;20,"",MIN($D$1218:$D$1237))</f>
        <v>0</v>
      </c>
      <c r="AS1237">
        <f>IF(OR(AQ1237="",AR1237=""),"",(AQ1237+AR1237)/2)</f>
        <v>0</v>
      </c>
      <c r="AT1237">
        <f>IF(COUNT($G$1218:$G$1237)&lt;20,"",STDEV($G$1218:$G$1237)*SQRT(252))</f>
        <v>0</v>
      </c>
      <c r="AU1237">
        <f>IF(COUNT($E$2:$E1237)&lt;9,"",(MAX($C$1229:$C$1237)+MIN($D$1229:$D$1237))/2)</f>
        <v>0</v>
      </c>
      <c r="AV1237">
        <f>IF(COUNT($E$2:$E1237)&lt;26,"",(MAX($C$1212:$C$1237)+MIN($D$1212:$D$1237))/2)</f>
        <v>0</v>
      </c>
      <c r="AW1237">
        <f>IF(OR(AU1237="",AV1237=""),"",(AU1237+AV1237)/2)</f>
        <v>0</v>
      </c>
      <c r="AX1237">
        <f>IF(COUNT($E$2:$E1237)&lt;52,"",(MAX($C$1186:$C$1237)+MIN($D$1186:$D$1237))/2)</f>
        <v>0</v>
      </c>
      <c r="AY1237">
        <f>IF(COUNT($E$2:$E1237)&lt;20,"",MAX($C$1138:$C$1237))</f>
        <v>0</v>
      </c>
      <c r="AZ1237">
        <f>IF(COUNT($E$2:$E1237)&lt;20,"",MIN($D$1138:$D$1237))</f>
        <v>0</v>
      </c>
      <c r="BA1237">
        <f>IF(COUNT($E$2:$E1237)&lt;20,"",SLOPE($E$1138:$E$1237,$F$1138:$F$1237))</f>
        <v>0</v>
      </c>
      <c r="BB1237">
        <f>IF(COUNT($E$2:$E1237)&lt;20,"",INTERCEPT($E$1138:$E$1237,$F$1138:$F$1237))</f>
        <v>0</v>
      </c>
      <c r="BC1237">
        <f>IF(OR(BA1237="",BB1237=""),"",BB1237+BA1237*F1237)</f>
        <v>0</v>
      </c>
      <c r="BD1237">
        <f>IF(COUNT($E$2:$E1237)&lt;20,"",STEYX($E$1138:$E$1237,$F$1138:$F$1237))</f>
        <v>0</v>
      </c>
      <c r="BE1237">
        <f>IF($E1237="","",IF(AND(COUNT($E$1238:$E$1241)&gt;=4,$C1237=MAX($C$1233:$C$1241)),$C1237,""))</f>
        <v>0</v>
      </c>
      <c r="BF1237">
        <f>IF($E1237="","",IF(AND(COUNT($E$1238:$E$1241)&gt;=4,$D1237=MIN($D$1233:$D$1241)),$D1237,""))</f>
        <v>0</v>
      </c>
      <c r="BG1237">
        <f>IF($A1237="","",$A1237-WEEKDAY($A1237,2)+1)</f>
        <v>0</v>
      </c>
      <c r="BH1237">
        <f>IF($A1237="","",IF($A1236="",1,IF(BG1237&lt;&gt;BG1236,1,0)))</f>
        <v>0</v>
      </c>
      <c r="BI1237">
        <f>IF($A1237="","",IF($A1238="",1,IF(BG1238&lt;&gt;BG1237,1,0)))</f>
        <v>0</v>
      </c>
      <c r="BJ1237">
        <f>IF($A1237="","",IF(BH1237=1,$B1237,BJ1236))</f>
        <v>0</v>
      </c>
      <c r="BK1237">
        <f>IF($A1237="","",IF(BH1237=1,$C1237,MAX($C1237,BK1236)))</f>
        <v>0</v>
      </c>
      <c r="BL1237">
        <f>IF($A1237="","",IF(BH1237=1,$D1237,MIN($D1237,BL1236)))</f>
        <v>0</v>
      </c>
      <c r="BM1237">
        <f>IF($A1237="","",IF(BI1237=1,F1237,""))</f>
        <v>0</v>
      </c>
      <c r="BN1237">
        <f>IF($A1237="","",DATE(YEAR($A1237),MONTH($A1237),1))</f>
        <v>0</v>
      </c>
      <c r="BO1237">
        <f>IF($A1237="","",IF($A1236="",1,IF(BN1237&lt;&gt;BN1236,1,0)))</f>
        <v>0</v>
      </c>
      <c r="BP1237">
        <f>IF($A1237="","",IF($A1238="",1,IF(BN1238&lt;&gt;BN1237,1,0)))</f>
        <v>0</v>
      </c>
      <c r="BQ1237">
        <f>IF($A1237="","",IF(BO1237=1,$B1237,BQ1236))</f>
        <v>0</v>
      </c>
      <c r="BR1237">
        <f>IF($A1237="","",IF(BO1237=1,$C1237,MAX($C1237,BR1236)))</f>
        <v>0</v>
      </c>
      <c r="BS1237">
        <f>IF($A1237="","",IF(BO1237=1,$D1237,MIN($D1237,BS1236)))</f>
        <v>0</v>
      </c>
      <c r="BT1237">
        <f>IF($A1237="","",IF(BP1237=1,F1237,""))</f>
        <v>0</v>
      </c>
    </row>
    <row r="1238" spans="1:72">
      <c r="A1238" s="27">
        <f>IF(Data!$A1238="","",Data!$A1238)</f>
        <v>0</v>
      </c>
      <c r="B1238">
        <f>IF(Data!$B1238="","",Data!$B1238)</f>
        <v>0</v>
      </c>
      <c r="C1238">
        <f>IF(Data!$C1238="","",Data!$C1238)</f>
        <v>0</v>
      </c>
      <c r="D1238">
        <f>IF(Data!$D1238="","",Data!$D1238)</f>
        <v>0</v>
      </c>
      <c r="E1238">
        <f>IF(Data!$E1238="","",Data!$E1238)</f>
        <v>0</v>
      </c>
      <c r="F1238">
        <f>IF($E1238="","",N(F1237)+1)</f>
        <v>0</v>
      </c>
      <c r="G1238">
        <f>IF(OR($E1238="",$E1237=""),"",LN($E1238/$E1237))</f>
        <v>0</v>
      </c>
      <c r="H1238">
        <f>IF($E1238="","",IF($E1237="",$E1238,$E1238*0.0952380952+H1237*0.9047619048))</f>
        <v>0</v>
      </c>
      <c r="I1238">
        <f>IF($E1238="","",IF($E1237="",$E1238,$E1238*0.0392156863+I1237*0.9607843137))</f>
        <v>0</v>
      </c>
      <c r="J1238">
        <f>IF($E1238="","",IF($E1237="",$E1238,$E1238*0.0198019802+J1237*0.9801980198))</f>
        <v>0</v>
      </c>
      <c r="K1238">
        <f>IF($E1238="","",IF($E1237="",$E1238,$E1238*0.0099502488+K1237*0.9900497512))</f>
        <v>0</v>
      </c>
      <c r="L1238">
        <f>IF(OR($E1238="",$E1237=""),"",MAX($E1238-$E1237,0))</f>
        <v>0</v>
      </c>
      <c r="M1238">
        <f>IF(OR($E1238="",$E1237=""),"",MAX($E1237-$E1238,0))</f>
        <v>0</v>
      </c>
      <c r="N1238">
        <f>IF(COUNT($E$2:$E1238)&lt;15,"",IF(AVERAGE($M$1225:$M$1238)=0,100,100-100/(1+AVERAGE($L$1225:$L$1238)/AVERAGE($M$1225:$M$1238))))</f>
        <v>0</v>
      </c>
      <c r="O1238">
        <f>IF($E1238="","",IF($E1237="",$E1238,$E1238*0.1538461538+O1237*0.8461538462))</f>
        <v>0</v>
      </c>
      <c r="P1238">
        <f>IF($E1238="","",IF($E1237="",$E1238,$E1238*0.0740740741+P1237*0.9259259259))</f>
        <v>0</v>
      </c>
      <c r="Q1238">
        <f>IF(OR(O1238="",P1238=""),"",O1238-P1238)</f>
        <v>0</v>
      </c>
      <c r="R1238">
        <f>IF(Q1238="","",IF(R1237="",Q1238,Q1238*0.2000000000+R1237*0.8000000000))</f>
        <v>0</v>
      </c>
      <c r="S1238">
        <f>IF(OR(Q1238="",R1238=""),"",Q1238-R1238)</f>
        <v>0</v>
      </c>
      <c r="T1238">
        <f>IF(COUNT($E$2:$E1238)&lt;14,"",MAX($C$1225:$C$1238))</f>
        <v>0</v>
      </c>
      <c r="U1238">
        <f>IF(COUNT($E$2:$E1238)&lt;14,"",MIN($D$1225:$D$1238))</f>
        <v>0</v>
      </c>
      <c r="V1238">
        <f>IF(OR(T1238="",U1238="",T1238=U1238),"",100*($E1238-U1238)/(T1238-U1238))</f>
        <v>0</v>
      </c>
      <c r="W1238">
        <f>IF(COUNT($V$1236:$V$1238)&lt;3,"",AVERAGE($V$1236:$V$1238))</f>
        <v>0</v>
      </c>
      <c r="X1238">
        <f>IF(COUNT($N$1225:$N$1238)&lt;14,"",MIN($N$1225:$N$1238))</f>
        <v>0</v>
      </c>
      <c r="Y1238">
        <f>IF(COUNT($N$1225:$N$1238)&lt;14,"",MAX($N$1225:$N$1238))</f>
        <v>0</v>
      </c>
      <c r="Z1238">
        <f>IF(OR(N1238="",X1238="",Y1238="",Y1238=X1238),"",100*(N1238-X1238)/(Y1238-X1238))</f>
        <v>0</v>
      </c>
      <c r="AA1238">
        <f>IF(COUNT($Z$1236:$Z$1238)&lt;3,"",AVERAGE($Z$1236:$Z$1238))</f>
        <v>0</v>
      </c>
      <c r="AB1238">
        <f>IF(COUNT($AA$1236:$AA$1238)&lt;3,"",AVERAGE($AA$1236:$AA$1238))</f>
        <v>0</v>
      </c>
      <c r="AC1238">
        <f>IF($E1238="","",MAX($C1238-$D1238,ABS($C1238-$E1237),ABS($D1238-$E1237)))</f>
        <v>0</v>
      </c>
      <c r="AD1238">
        <f>IF(COUNT($E$2:$E1238)&lt;15,"",AVERAGE($AC$1225:$AC$1238))</f>
        <v>0</v>
      </c>
      <c r="AE1238">
        <f>IF(OR($E1238="",$E1237=""),"",IF(AND(($C1238-$C1237)&gt;($D1237-$D1238),($C1238-$C1237)&gt;0),$C1238-$C1237,0))</f>
        <v>0</v>
      </c>
      <c r="AF1238">
        <f>IF(OR($E1238="",$E1237=""),"",IF(AND(($D1237-$D1238)&gt;($C1238-$C1237),($D1237-$D1238)&gt;0),$D1237-$D1238,0))</f>
        <v>0</v>
      </c>
      <c r="AG1238">
        <f>IF(COUNT($E$2:$E1238)&lt;15,"",IF(SUM($AC$1225:$AC$1238)=0,0,100*SUM($AE$1225:$AE$1238)/SUM($AC$1225:$AC$1238)))</f>
        <v>0</v>
      </c>
      <c r="AH1238">
        <f>IF(COUNT($E$2:$E1238)&lt;15,"",IF(SUM($AC$1225:$AC$1238)=0,0,100*SUM($AF$1225:$AF$1238)/SUM($AC$1225:$AC$1238)))</f>
        <v>0</v>
      </c>
      <c r="AI1238">
        <f>IF(OR(AG1238="",AH1238=""),"",IF((AG1238+AH1238)=0,0,100*ABS(AG1238-AH1238)/(AG1238+AH1238)))</f>
        <v>0</v>
      </c>
      <c r="AJ1238">
        <f>IF(COUNT($AI$1225:$AI$1238)&lt;14,"",AVERAGE($AI$1225:$AI$1238))</f>
        <v>0</v>
      </c>
      <c r="AK1238">
        <f>IF(COUNT($E$2:$E1238)&lt;20,"",AVERAGE($E$1219:$E$1238))</f>
        <v>0</v>
      </c>
      <c r="AL1238">
        <f>IF(COUNT($E$2:$E1238)&lt;20,"",STDEVP($E$1219:$E$1238))</f>
        <v>0</v>
      </c>
      <c r="AM1238">
        <f>IF(AK1238="","",AK1238+2*AL1238)</f>
        <v>0</v>
      </c>
      <c r="AN1238">
        <f>IF(AK1238="","",AK1238-2*AL1238)</f>
        <v>0</v>
      </c>
      <c r="AO1238">
        <f>IF(OR(AM1238="",AN1238="",AM1238=AN1238),"",($E1238-AN1238)/(AM1238-AN1238))</f>
        <v>0</v>
      </c>
      <c r="AP1238">
        <f>IF(OR(AM1238="",AK1238="",AK1238=0),"",(AM1238-AN1238)/AK1238)</f>
        <v>0</v>
      </c>
      <c r="AQ1238">
        <f>IF(COUNT($E$2:$E1238)&lt;20,"",MAX($C$1219:$C$1238))</f>
        <v>0</v>
      </c>
      <c r="AR1238">
        <f>IF(COUNT($E$2:$E1238)&lt;20,"",MIN($D$1219:$D$1238))</f>
        <v>0</v>
      </c>
      <c r="AS1238">
        <f>IF(OR(AQ1238="",AR1238=""),"",(AQ1238+AR1238)/2)</f>
        <v>0</v>
      </c>
      <c r="AT1238">
        <f>IF(COUNT($G$1219:$G$1238)&lt;20,"",STDEV($G$1219:$G$1238)*SQRT(252))</f>
        <v>0</v>
      </c>
      <c r="AU1238">
        <f>IF(COUNT($E$2:$E1238)&lt;9,"",(MAX($C$1230:$C$1238)+MIN($D$1230:$D$1238))/2)</f>
        <v>0</v>
      </c>
      <c r="AV1238">
        <f>IF(COUNT($E$2:$E1238)&lt;26,"",(MAX($C$1213:$C$1238)+MIN($D$1213:$D$1238))/2)</f>
        <v>0</v>
      </c>
      <c r="AW1238">
        <f>IF(OR(AU1238="",AV1238=""),"",(AU1238+AV1238)/2)</f>
        <v>0</v>
      </c>
      <c r="AX1238">
        <f>IF(COUNT($E$2:$E1238)&lt;52,"",(MAX($C$1187:$C$1238)+MIN($D$1187:$D$1238))/2)</f>
        <v>0</v>
      </c>
      <c r="AY1238">
        <f>IF(COUNT($E$2:$E1238)&lt;20,"",MAX($C$1139:$C$1238))</f>
        <v>0</v>
      </c>
      <c r="AZ1238">
        <f>IF(COUNT($E$2:$E1238)&lt;20,"",MIN($D$1139:$D$1238))</f>
        <v>0</v>
      </c>
      <c r="BA1238">
        <f>IF(COUNT($E$2:$E1238)&lt;20,"",SLOPE($E$1139:$E$1238,$F$1139:$F$1238))</f>
        <v>0</v>
      </c>
      <c r="BB1238">
        <f>IF(COUNT($E$2:$E1238)&lt;20,"",INTERCEPT($E$1139:$E$1238,$F$1139:$F$1238))</f>
        <v>0</v>
      </c>
      <c r="BC1238">
        <f>IF(OR(BA1238="",BB1238=""),"",BB1238+BA1238*F1238)</f>
        <v>0</v>
      </c>
      <c r="BD1238">
        <f>IF(COUNT($E$2:$E1238)&lt;20,"",STEYX($E$1139:$E$1238,$F$1139:$F$1238))</f>
        <v>0</v>
      </c>
      <c r="BE1238">
        <f>IF($E1238="","",IF(AND(COUNT($E$1239:$E$1242)&gt;=4,$C1238=MAX($C$1234:$C$1242)),$C1238,""))</f>
        <v>0</v>
      </c>
      <c r="BF1238">
        <f>IF($E1238="","",IF(AND(COUNT($E$1239:$E$1242)&gt;=4,$D1238=MIN($D$1234:$D$1242)),$D1238,""))</f>
        <v>0</v>
      </c>
      <c r="BG1238">
        <f>IF($A1238="","",$A1238-WEEKDAY($A1238,2)+1)</f>
        <v>0</v>
      </c>
      <c r="BH1238">
        <f>IF($A1238="","",IF($A1237="",1,IF(BG1238&lt;&gt;BG1237,1,0)))</f>
        <v>0</v>
      </c>
      <c r="BI1238">
        <f>IF($A1238="","",IF($A1239="",1,IF(BG1239&lt;&gt;BG1238,1,0)))</f>
        <v>0</v>
      </c>
      <c r="BJ1238">
        <f>IF($A1238="","",IF(BH1238=1,$B1238,BJ1237))</f>
        <v>0</v>
      </c>
      <c r="BK1238">
        <f>IF($A1238="","",IF(BH1238=1,$C1238,MAX($C1238,BK1237)))</f>
        <v>0</v>
      </c>
      <c r="BL1238">
        <f>IF($A1238="","",IF(BH1238=1,$D1238,MIN($D1238,BL1237)))</f>
        <v>0</v>
      </c>
      <c r="BM1238">
        <f>IF($A1238="","",IF(BI1238=1,F1238,""))</f>
        <v>0</v>
      </c>
      <c r="BN1238">
        <f>IF($A1238="","",DATE(YEAR($A1238),MONTH($A1238),1))</f>
        <v>0</v>
      </c>
      <c r="BO1238">
        <f>IF($A1238="","",IF($A1237="",1,IF(BN1238&lt;&gt;BN1237,1,0)))</f>
        <v>0</v>
      </c>
      <c r="BP1238">
        <f>IF($A1238="","",IF($A1239="",1,IF(BN1239&lt;&gt;BN1238,1,0)))</f>
        <v>0</v>
      </c>
      <c r="BQ1238">
        <f>IF($A1238="","",IF(BO1238=1,$B1238,BQ1237))</f>
        <v>0</v>
      </c>
      <c r="BR1238">
        <f>IF($A1238="","",IF(BO1238=1,$C1238,MAX($C1238,BR1237)))</f>
        <v>0</v>
      </c>
      <c r="BS1238">
        <f>IF($A1238="","",IF(BO1238=1,$D1238,MIN($D1238,BS1237)))</f>
        <v>0</v>
      </c>
      <c r="BT1238">
        <f>IF($A1238="","",IF(BP1238=1,F1238,""))</f>
        <v>0</v>
      </c>
    </row>
    <row r="1239" spans="1:72">
      <c r="A1239" s="27">
        <f>IF(Data!$A1239="","",Data!$A1239)</f>
        <v>0</v>
      </c>
      <c r="B1239">
        <f>IF(Data!$B1239="","",Data!$B1239)</f>
        <v>0</v>
      </c>
      <c r="C1239">
        <f>IF(Data!$C1239="","",Data!$C1239)</f>
        <v>0</v>
      </c>
      <c r="D1239">
        <f>IF(Data!$D1239="","",Data!$D1239)</f>
        <v>0</v>
      </c>
      <c r="E1239">
        <f>IF(Data!$E1239="","",Data!$E1239)</f>
        <v>0</v>
      </c>
      <c r="F1239">
        <f>IF($E1239="","",N(F1238)+1)</f>
        <v>0</v>
      </c>
      <c r="G1239">
        <f>IF(OR($E1239="",$E1238=""),"",LN($E1239/$E1238))</f>
        <v>0</v>
      </c>
      <c r="H1239">
        <f>IF($E1239="","",IF($E1238="",$E1239,$E1239*0.0952380952+H1238*0.9047619048))</f>
        <v>0</v>
      </c>
      <c r="I1239">
        <f>IF($E1239="","",IF($E1238="",$E1239,$E1239*0.0392156863+I1238*0.9607843137))</f>
        <v>0</v>
      </c>
      <c r="J1239">
        <f>IF($E1239="","",IF($E1238="",$E1239,$E1239*0.0198019802+J1238*0.9801980198))</f>
        <v>0</v>
      </c>
      <c r="K1239">
        <f>IF($E1239="","",IF($E1238="",$E1239,$E1239*0.0099502488+K1238*0.9900497512))</f>
        <v>0</v>
      </c>
      <c r="L1239">
        <f>IF(OR($E1239="",$E1238=""),"",MAX($E1239-$E1238,0))</f>
        <v>0</v>
      </c>
      <c r="M1239">
        <f>IF(OR($E1239="",$E1238=""),"",MAX($E1238-$E1239,0))</f>
        <v>0</v>
      </c>
      <c r="N1239">
        <f>IF(COUNT($E$2:$E1239)&lt;15,"",IF(AVERAGE($M$1226:$M$1239)=0,100,100-100/(1+AVERAGE($L$1226:$L$1239)/AVERAGE($M$1226:$M$1239))))</f>
        <v>0</v>
      </c>
      <c r="O1239">
        <f>IF($E1239="","",IF($E1238="",$E1239,$E1239*0.1538461538+O1238*0.8461538462))</f>
        <v>0</v>
      </c>
      <c r="P1239">
        <f>IF($E1239="","",IF($E1238="",$E1239,$E1239*0.0740740741+P1238*0.9259259259))</f>
        <v>0</v>
      </c>
      <c r="Q1239">
        <f>IF(OR(O1239="",P1239=""),"",O1239-P1239)</f>
        <v>0</v>
      </c>
      <c r="R1239">
        <f>IF(Q1239="","",IF(R1238="",Q1239,Q1239*0.2000000000+R1238*0.8000000000))</f>
        <v>0</v>
      </c>
      <c r="S1239">
        <f>IF(OR(Q1239="",R1239=""),"",Q1239-R1239)</f>
        <v>0</v>
      </c>
      <c r="T1239">
        <f>IF(COUNT($E$2:$E1239)&lt;14,"",MAX($C$1226:$C$1239))</f>
        <v>0</v>
      </c>
      <c r="U1239">
        <f>IF(COUNT($E$2:$E1239)&lt;14,"",MIN($D$1226:$D$1239))</f>
        <v>0</v>
      </c>
      <c r="V1239">
        <f>IF(OR(T1239="",U1239="",T1239=U1239),"",100*($E1239-U1239)/(T1239-U1239))</f>
        <v>0</v>
      </c>
      <c r="W1239">
        <f>IF(COUNT($V$1237:$V$1239)&lt;3,"",AVERAGE($V$1237:$V$1239))</f>
        <v>0</v>
      </c>
      <c r="X1239">
        <f>IF(COUNT($N$1226:$N$1239)&lt;14,"",MIN($N$1226:$N$1239))</f>
        <v>0</v>
      </c>
      <c r="Y1239">
        <f>IF(COUNT($N$1226:$N$1239)&lt;14,"",MAX($N$1226:$N$1239))</f>
        <v>0</v>
      </c>
      <c r="Z1239">
        <f>IF(OR(N1239="",X1239="",Y1239="",Y1239=X1239),"",100*(N1239-X1239)/(Y1239-X1239))</f>
        <v>0</v>
      </c>
      <c r="AA1239">
        <f>IF(COUNT($Z$1237:$Z$1239)&lt;3,"",AVERAGE($Z$1237:$Z$1239))</f>
        <v>0</v>
      </c>
      <c r="AB1239">
        <f>IF(COUNT($AA$1237:$AA$1239)&lt;3,"",AVERAGE($AA$1237:$AA$1239))</f>
        <v>0</v>
      </c>
      <c r="AC1239">
        <f>IF($E1239="","",MAX($C1239-$D1239,ABS($C1239-$E1238),ABS($D1239-$E1238)))</f>
        <v>0</v>
      </c>
      <c r="AD1239">
        <f>IF(COUNT($E$2:$E1239)&lt;15,"",AVERAGE($AC$1226:$AC$1239))</f>
        <v>0</v>
      </c>
      <c r="AE1239">
        <f>IF(OR($E1239="",$E1238=""),"",IF(AND(($C1239-$C1238)&gt;($D1238-$D1239),($C1239-$C1238)&gt;0),$C1239-$C1238,0))</f>
        <v>0</v>
      </c>
      <c r="AF1239">
        <f>IF(OR($E1239="",$E1238=""),"",IF(AND(($D1238-$D1239)&gt;($C1239-$C1238),($D1238-$D1239)&gt;0),$D1238-$D1239,0))</f>
        <v>0</v>
      </c>
      <c r="AG1239">
        <f>IF(COUNT($E$2:$E1239)&lt;15,"",IF(SUM($AC$1226:$AC$1239)=0,0,100*SUM($AE$1226:$AE$1239)/SUM($AC$1226:$AC$1239)))</f>
        <v>0</v>
      </c>
      <c r="AH1239">
        <f>IF(COUNT($E$2:$E1239)&lt;15,"",IF(SUM($AC$1226:$AC$1239)=0,0,100*SUM($AF$1226:$AF$1239)/SUM($AC$1226:$AC$1239)))</f>
        <v>0</v>
      </c>
      <c r="AI1239">
        <f>IF(OR(AG1239="",AH1239=""),"",IF((AG1239+AH1239)=0,0,100*ABS(AG1239-AH1239)/(AG1239+AH1239)))</f>
        <v>0</v>
      </c>
      <c r="AJ1239">
        <f>IF(COUNT($AI$1226:$AI$1239)&lt;14,"",AVERAGE($AI$1226:$AI$1239))</f>
        <v>0</v>
      </c>
      <c r="AK1239">
        <f>IF(COUNT($E$2:$E1239)&lt;20,"",AVERAGE($E$1220:$E$1239))</f>
        <v>0</v>
      </c>
      <c r="AL1239">
        <f>IF(COUNT($E$2:$E1239)&lt;20,"",STDEVP($E$1220:$E$1239))</f>
        <v>0</v>
      </c>
      <c r="AM1239">
        <f>IF(AK1239="","",AK1239+2*AL1239)</f>
        <v>0</v>
      </c>
      <c r="AN1239">
        <f>IF(AK1239="","",AK1239-2*AL1239)</f>
        <v>0</v>
      </c>
      <c r="AO1239">
        <f>IF(OR(AM1239="",AN1239="",AM1239=AN1239),"",($E1239-AN1239)/(AM1239-AN1239))</f>
        <v>0</v>
      </c>
      <c r="AP1239">
        <f>IF(OR(AM1239="",AK1239="",AK1239=0),"",(AM1239-AN1239)/AK1239)</f>
        <v>0</v>
      </c>
      <c r="AQ1239">
        <f>IF(COUNT($E$2:$E1239)&lt;20,"",MAX($C$1220:$C$1239))</f>
        <v>0</v>
      </c>
      <c r="AR1239">
        <f>IF(COUNT($E$2:$E1239)&lt;20,"",MIN($D$1220:$D$1239))</f>
        <v>0</v>
      </c>
      <c r="AS1239">
        <f>IF(OR(AQ1239="",AR1239=""),"",(AQ1239+AR1239)/2)</f>
        <v>0</v>
      </c>
      <c r="AT1239">
        <f>IF(COUNT($G$1220:$G$1239)&lt;20,"",STDEV($G$1220:$G$1239)*SQRT(252))</f>
        <v>0</v>
      </c>
      <c r="AU1239">
        <f>IF(COUNT($E$2:$E1239)&lt;9,"",(MAX($C$1231:$C$1239)+MIN($D$1231:$D$1239))/2)</f>
        <v>0</v>
      </c>
      <c r="AV1239">
        <f>IF(COUNT($E$2:$E1239)&lt;26,"",(MAX($C$1214:$C$1239)+MIN($D$1214:$D$1239))/2)</f>
        <v>0</v>
      </c>
      <c r="AW1239">
        <f>IF(OR(AU1239="",AV1239=""),"",(AU1239+AV1239)/2)</f>
        <v>0</v>
      </c>
      <c r="AX1239">
        <f>IF(COUNT($E$2:$E1239)&lt;52,"",(MAX($C$1188:$C$1239)+MIN($D$1188:$D$1239))/2)</f>
        <v>0</v>
      </c>
      <c r="AY1239">
        <f>IF(COUNT($E$2:$E1239)&lt;20,"",MAX($C$1140:$C$1239))</f>
        <v>0</v>
      </c>
      <c r="AZ1239">
        <f>IF(COUNT($E$2:$E1239)&lt;20,"",MIN($D$1140:$D$1239))</f>
        <v>0</v>
      </c>
      <c r="BA1239">
        <f>IF(COUNT($E$2:$E1239)&lt;20,"",SLOPE($E$1140:$E$1239,$F$1140:$F$1239))</f>
        <v>0</v>
      </c>
      <c r="BB1239">
        <f>IF(COUNT($E$2:$E1239)&lt;20,"",INTERCEPT($E$1140:$E$1239,$F$1140:$F$1239))</f>
        <v>0</v>
      </c>
      <c r="BC1239">
        <f>IF(OR(BA1239="",BB1239=""),"",BB1239+BA1239*F1239)</f>
        <v>0</v>
      </c>
      <c r="BD1239">
        <f>IF(COUNT($E$2:$E1239)&lt;20,"",STEYX($E$1140:$E$1239,$F$1140:$F$1239))</f>
        <v>0</v>
      </c>
      <c r="BE1239">
        <f>IF($E1239="","",IF(AND(COUNT($E$1240:$E$1243)&gt;=4,$C1239=MAX($C$1235:$C$1243)),$C1239,""))</f>
        <v>0</v>
      </c>
      <c r="BF1239">
        <f>IF($E1239="","",IF(AND(COUNT($E$1240:$E$1243)&gt;=4,$D1239=MIN($D$1235:$D$1243)),$D1239,""))</f>
        <v>0</v>
      </c>
      <c r="BG1239">
        <f>IF($A1239="","",$A1239-WEEKDAY($A1239,2)+1)</f>
        <v>0</v>
      </c>
      <c r="BH1239">
        <f>IF($A1239="","",IF($A1238="",1,IF(BG1239&lt;&gt;BG1238,1,0)))</f>
        <v>0</v>
      </c>
      <c r="BI1239">
        <f>IF($A1239="","",IF($A1240="",1,IF(BG1240&lt;&gt;BG1239,1,0)))</f>
        <v>0</v>
      </c>
      <c r="BJ1239">
        <f>IF($A1239="","",IF(BH1239=1,$B1239,BJ1238))</f>
        <v>0</v>
      </c>
      <c r="BK1239">
        <f>IF($A1239="","",IF(BH1239=1,$C1239,MAX($C1239,BK1238)))</f>
        <v>0</v>
      </c>
      <c r="BL1239">
        <f>IF($A1239="","",IF(BH1239=1,$D1239,MIN($D1239,BL1238)))</f>
        <v>0</v>
      </c>
      <c r="BM1239">
        <f>IF($A1239="","",IF(BI1239=1,F1239,""))</f>
        <v>0</v>
      </c>
      <c r="BN1239">
        <f>IF($A1239="","",DATE(YEAR($A1239),MONTH($A1239),1))</f>
        <v>0</v>
      </c>
      <c r="BO1239">
        <f>IF($A1239="","",IF($A1238="",1,IF(BN1239&lt;&gt;BN1238,1,0)))</f>
        <v>0</v>
      </c>
      <c r="BP1239">
        <f>IF($A1239="","",IF($A1240="",1,IF(BN1240&lt;&gt;BN1239,1,0)))</f>
        <v>0</v>
      </c>
      <c r="BQ1239">
        <f>IF($A1239="","",IF(BO1239=1,$B1239,BQ1238))</f>
        <v>0</v>
      </c>
      <c r="BR1239">
        <f>IF($A1239="","",IF(BO1239=1,$C1239,MAX($C1239,BR1238)))</f>
        <v>0</v>
      </c>
      <c r="BS1239">
        <f>IF($A1239="","",IF(BO1239=1,$D1239,MIN($D1239,BS1238)))</f>
        <v>0</v>
      </c>
      <c r="BT1239">
        <f>IF($A1239="","",IF(BP1239=1,F1239,""))</f>
        <v>0</v>
      </c>
    </row>
    <row r="1240" spans="1:72">
      <c r="A1240" s="27">
        <f>IF(Data!$A1240="","",Data!$A1240)</f>
        <v>0</v>
      </c>
      <c r="B1240">
        <f>IF(Data!$B1240="","",Data!$B1240)</f>
        <v>0</v>
      </c>
      <c r="C1240">
        <f>IF(Data!$C1240="","",Data!$C1240)</f>
        <v>0</v>
      </c>
      <c r="D1240">
        <f>IF(Data!$D1240="","",Data!$D1240)</f>
        <v>0</v>
      </c>
      <c r="E1240">
        <f>IF(Data!$E1240="","",Data!$E1240)</f>
        <v>0</v>
      </c>
      <c r="F1240">
        <f>IF($E1240="","",N(F1239)+1)</f>
        <v>0</v>
      </c>
      <c r="G1240">
        <f>IF(OR($E1240="",$E1239=""),"",LN($E1240/$E1239))</f>
        <v>0</v>
      </c>
      <c r="H1240">
        <f>IF($E1240="","",IF($E1239="",$E1240,$E1240*0.0952380952+H1239*0.9047619048))</f>
        <v>0</v>
      </c>
      <c r="I1240">
        <f>IF($E1240="","",IF($E1239="",$E1240,$E1240*0.0392156863+I1239*0.9607843137))</f>
        <v>0</v>
      </c>
      <c r="J1240">
        <f>IF($E1240="","",IF($E1239="",$E1240,$E1240*0.0198019802+J1239*0.9801980198))</f>
        <v>0</v>
      </c>
      <c r="K1240">
        <f>IF($E1240="","",IF($E1239="",$E1240,$E1240*0.0099502488+K1239*0.9900497512))</f>
        <v>0</v>
      </c>
      <c r="L1240">
        <f>IF(OR($E1240="",$E1239=""),"",MAX($E1240-$E1239,0))</f>
        <v>0</v>
      </c>
      <c r="M1240">
        <f>IF(OR($E1240="",$E1239=""),"",MAX($E1239-$E1240,0))</f>
        <v>0</v>
      </c>
      <c r="N1240">
        <f>IF(COUNT($E$2:$E1240)&lt;15,"",IF(AVERAGE($M$1227:$M$1240)=0,100,100-100/(1+AVERAGE($L$1227:$L$1240)/AVERAGE($M$1227:$M$1240))))</f>
        <v>0</v>
      </c>
      <c r="O1240">
        <f>IF($E1240="","",IF($E1239="",$E1240,$E1240*0.1538461538+O1239*0.8461538462))</f>
        <v>0</v>
      </c>
      <c r="P1240">
        <f>IF($E1240="","",IF($E1239="",$E1240,$E1240*0.0740740741+P1239*0.9259259259))</f>
        <v>0</v>
      </c>
      <c r="Q1240">
        <f>IF(OR(O1240="",P1240=""),"",O1240-P1240)</f>
        <v>0</v>
      </c>
      <c r="R1240">
        <f>IF(Q1240="","",IF(R1239="",Q1240,Q1240*0.2000000000+R1239*0.8000000000))</f>
        <v>0</v>
      </c>
      <c r="S1240">
        <f>IF(OR(Q1240="",R1240=""),"",Q1240-R1240)</f>
        <v>0</v>
      </c>
      <c r="T1240">
        <f>IF(COUNT($E$2:$E1240)&lt;14,"",MAX($C$1227:$C$1240))</f>
        <v>0</v>
      </c>
      <c r="U1240">
        <f>IF(COUNT($E$2:$E1240)&lt;14,"",MIN($D$1227:$D$1240))</f>
        <v>0</v>
      </c>
      <c r="V1240">
        <f>IF(OR(T1240="",U1240="",T1240=U1240),"",100*($E1240-U1240)/(T1240-U1240))</f>
        <v>0</v>
      </c>
      <c r="W1240">
        <f>IF(COUNT($V$1238:$V$1240)&lt;3,"",AVERAGE($V$1238:$V$1240))</f>
        <v>0</v>
      </c>
      <c r="X1240">
        <f>IF(COUNT($N$1227:$N$1240)&lt;14,"",MIN($N$1227:$N$1240))</f>
        <v>0</v>
      </c>
      <c r="Y1240">
        <f>IF(COUNT($N$1227:$N$1240)&lt;14,"",MAX($N$1227:$N$1240))</f>
        <v>0</v>
      </c>
      <c r="Z1240">
        <f>IF(OR(N1240="",X1240="",Y1240="",Y1240=X1240),"",100*(N1240-X1240)/(Y1240-X1240))</f>
        <v>0</v>
      </c>
      <c r="AA1240">
        <f>IF(COUNT($Z$1238:$Z$1240)&lt;3,"",AVERAGE($Z$1238:$Z$1240))</f>
        <v>0</v>
      </c>
      <c r="AB1240">
        <f>IF(COUNT($AA$1238:$AA$1240)&lt;3,"",AVERAGE($AA$1238:$AA$1240))</f>
        <v>0</v>
      </c>
      <c r="AC1240">
        <f>IF($E1240="","",MAX($C1240-$D1240,ABS($C1240-$E1239),ABS($D1240-$E1239)))</f>
        <v>0</v>
      </c>
      <c r="AD1240">
        <f>IF(COUNT($E$2:$E1240)&lt;15,"",AVERAGE($AC$1227:$AC$1240))</f>
        <v>0</v>
      </c>
      <c r="AE1240">
        <f>IF(OR($E1240="",$E1239=""),"",IF(AND(($C1240-$C1239)&gt;($D1239-$D1240),($C1240-$C1239)&gt;0),$C1240-$C1239,0))</f>
        <v>0</v>
      </c>
      <c r="AF1240">
        <f>IF(OR($E1240="",$E1239=""),"",IF(AND(($D1239-$D1240)&gt;($C1240-$C1239),($D1239-$D1240)&gt;0),$D1239-$D1240,0))</f>
        <v>0</v>
      </c>
      <c r="AG1240">
        <f>IF(COUNT($E$2:$E1240)&lt;15,"",IF(SUM($AC$1227:$AC$1240)=0,0,100*SUM($AE$1227:$AE$1240)/SUM($AC$1227:$AC$1240)))</f>
        <v>0</v>
      </c>
      <c r="AH1240">
        <f>IF(COUNT($E$2:$E1240)&lt;15,"",IF(SUM($AC$1227:$AC$1240)=0,0,100*SUM($AF$1227:$AF$1240)/SUM($AC$1227:$AC$1240)))</f>
        <v>0</v>
      </c>
      <c r="AI1240">
        <f>IF(OR(AG1240="",AH1240=""),"",IF((AG1240+AH1240)=0,0,100*ABS(AG1240-AH1240)/(AG1240+AH1240)))</f>
        <v>0</v>
      </c>
      <c r="AJ1240">
        <f>IF(COUNT($AI$1227:$AI$1240)&lt;14,"",AVERAGE($AI$1227:$AI$1240))</f>
        <v>0</v>
      </c>
      <c r="AK1240">
        <f>IF(COUNT($E$2:$E1240)&lt;20,"",AVERAGE($E$1221:$E$1240))</f>
        <v>0</v>
      </c>
      <c r="AL1240">
        <f>IF(COUNT($E$2:$E1240)&lt;20,"",STDEVP($E$1221:$E$1240))</f>
        <v>0</v>
      </c>
      <c r="AM1240">
        <f>IF(AK1240="","",AK1240+2*AL1240)</f>
        <v>0</v>
      </c>
      <c r="AN1240">
        <f>IF(AK1240="","",AK1240-2*AL1240)</f>
        <v>0</v>
      </c>
      <c r="AO1240">
        <f>IF(OR(AM1240="",AN1240="",AM1240=AN1240),"",($E1240-AN1240)/(AM1240-AN1240))</f>
        <v>0</v>
      </c>
      <c r="AP1240">
        <f>IF(OR(AM1240="",AK1240="",AK1240=0),"",(AM1240-AN1240)/AK1240)</f>
        <v>0</v>
      </c>
      <c r="AQ1240">
        <f>IF(COUNT($E$2:$E1240)&lt;20,"",MAX($C$1221:$C$1240))</f>
        <v>0</v>
      </c>
      <c r="AR1240">
        <f>IF(COUNT($E$2:$E1240)&lt;20,"",MIN($D$1221:$D$1240))</f>
        <v>0</v>
      </c>
      <c r="AS1240">
        <f>IF(OR(AQ1240="",AR1240=""),"",(AQ1240+AR1240)/2)</f>
        <v>0</v>
      </c>
      <c r="AT1240">
        <f>IF(COUNT($G$1221:$G$1240)&lt;20,"",STDEV($G$1221:$G$1240)*SQRT(252))</f>
        <v>0</v>
      </c>
      <c r="AU1240">
        <f>IF(COUNT($E$2:$E1240)&lt;9,"",(MAX($C$1232:$C$1240)+MIN($D$1232:$D$1240))/2)</f>
        <v>0</v>
      </c>
      <c r="AV1240">
        <f>IF(COUNT($E$2:$E1240)&lt;26,"",(MAX($C$1215:$C$1240)+MIN($D$1215:$D$1240))/2)</f>
        <v>0</v>
      </c>
      <c r="AW1240">
        <f>IF(OR(AU1240="",AV1240=""),"",(AU1240+AV1240)/2)</f>
        <v>0</v>
      </c>
      <c r="AX1240">
        <f>IF(COUNT($E$2:$E1240)&lt;52,"",(MAX($C$1189:$C$1240)+MIN($D$1189:$D$1240))/2)</f>
        <v>0</v>
      </c>
      <c r="AY1240">
        <f>IF(COUNT($E$2:$E1240)&lt;20,"",MAX($C$1141:$C$1240))</f>
        <v>0</v>
      </c>
      <c r="AZ1240">
        <f>IF(COUNT($E$2:$E1240)&lt;20,"",MIN($D$1141:$D$1240))</f>
        <v>0</v>
      </c>
      <c r="BA1240">
        <f>IF(COUNT($E$2:$E1240)&lt;20,"",SLOPE($E$1141:$E$1240,$F$1141:$F$1240))</f>
        <v>0</v>
      </c>
      <c r="BB1240">
        <f>IF(COUNT($E$2:$E1240)&lt;20,"",INTERCEPT($E$1141:$E$1240,$F$1141:$F$1240))</f>
        <v>0</v>
      </c>
      <c r="BC1240">
        <f>IF(OR(BA1240="",BB1240=""),"",BB1240+BA1240*F1240)</f>
        <v>0</v>
      </c>
      <c r="BD1240">
        <f>IF(COUNT($E$2:$E1240)&lt;20,"",STEYX($E$1141:$E$1240,$F$1141:$F$1240))</f>
        <v>0</v>
      </c>
      <c r="BE1240">
        <f>IF($E1240="","",IF(AND(COUNT($E$1241:$E$1244)&gt;=4,$C1240=MAX($C$1236:$C$1244)),$C1240,""))</f>
        <v>0</v>
      </c>
      <c r="BF1240">
        <f>IF($E1240="","",IF(AND(COUNT($E$1241:$E$1244)&gt;=4,$D1240=MIN($D$1236:$D$1244)),$D1240,""))</f>
        <v>0</v>
      </c>
      <c r="BG1240">
        <f>IF($A1240="","",$A1240-WEEKDAY($A1240,2)+1)</f>
        <v>0</v>
      </c>
      <c r="BH1240">
        <f>IF($A1240="","",IF($A1239="",1,IF(BG1240&lt;&gt;BG1239,1,0)))</f>
        <v>0</v>
      </c>
      <c r="BI1240">
        <f>IF($A1240="","",IF($A1241="",1,IF(BG1241&lt;&gt;BG1240,1,0)))</f>
        <v>0</v>
      </c>
      <c r="BJ1240">
        <f>IF($A1240="","",IF(BH1240=1,$B1240,BJ1239))</f>
        <v>0</v>
      </c>
      <c r="BK1240">
        <f>IF($A1240="","",IF(BH1240=1,$C1240,MAX($C1240,BK1239)))</f>
        <v>0</v>
      </c>
      <c r="BL1240">
        <f>IF($A1240="","",IF(BH1240=1,$D1240,MIN($D1240,BL1239)))</f>
        <v>0</v>
      </c>
      <c r="BM1240">
        <f>IF($A1240="","",IF(BI1240=1,F1240,""))</f>
        <v>0</v>
      </c>
      <c r="BN1240">
        <f>IF($A1240="","",DATE(YEAR($A1240),MONTH($A1240),1))</f>
        <v>0</v>
      </c>
      <c r="BO1240">
        <f>IF($A1240="","",IF($A1239="",1,IF(BN1240&lt;&gt;BN1239,1,0)))</f>
        <v>0</v>
      </c>
      <c r="BP1240">
        <f>IF($A1240="","",IF($A1241="",1,IF(BN1241&lt;&gt;BN1240,1,0)))</f>
        <v>0</v>
      </c>
      <c r="BQ1240">
        <f>IF($A1240="","",IF(BO1240=1,$B1240,BQ1239))</f>
        <v>0</v>
      </c>
      <c r="BR1240">
        <f>IF($A1240="","",IF(BO1240=1,$C1240,MAX($C1240,BR1239)))</f>
        <v>0</v>
      </c>
      <c r="BS1240">
        <f>IF($A1240="","",IF(BO1240=1,$D1240,MIN($D1240,BS1239)))</f>
        <v>0</v>
      </c>
      <c r="BT1240">
        <f>IF($A1240="","",IF(BP1240=1,F1240,""))</f>
        <v>0</v>
      </c>
    </row>
    <row r="1241" spans="1:72">
      <c r="A1241" s="27">
        <f>IF(Data!$A1241="","",Data!$A1241)</f>
        <v>0</v>
      </c>
      <c r="B1241">
        <f>IF(Data!$B1241="","",Data!$B1241)</f>
        <v>0</v>
      </c>
      <c r="C1241">
        <f>IF(Data!$C1241="","",Data!$C1241)</f>
        <v>0</v>
      </c>
      <c r="D1241">
        <f>IF(Data!$D1241="","",Data!$D1241)</f>
        <v>0</v>
      </c>
      <c r="E1241">
        <f>IF(Data!$E1241="","",Data!$E1241)</f>
        <v>0</v>
      </c>
      <c r="F1241">
        <f>IF($E1241="","",N(F1240)+1)</f>
        <v>0</v>
      </c>
      <c r="G1241">
        <f>IF(OR($E1241="",$E1240=""),"",LN($E1241/$E1240))</f>
        <v>0</v>
      </c>
      <c r="H1241">
        <f>IF($E1241="","",IF($E1240="",$E1241,$E1241*0.0952380952+H1240*0.9047619048))</f>
        <v>0</v>
      </c>
      <c r="I1241">
        <f>IF($E1241="","",IF($E1240="",$E1241,$E1241*0.0392156863+I1240*0.9607843137))</f>
        <v>0</v>
      </c>
      <c r="J1241">
        <f>IF($E1241="","",IF($E1240="",$E1241,$E1241*0.0198019802+J1240*0.9801980198))</f>
        <v>0</v>
      </c>
      <c r="K1241">
        <f>IF($E1241="","",IF($E1240="",$E1241,$E1241*0.0099502488+K1240*0.9900497512))</f>
        <v>0</v>
      </c>
      <c r="L1241">
        <f>IF(OR($E1241="",$E1240=""),"",MAX($E1241-$E1240,0))</f>
        <v>0</v>
      </c>
      <c r="M1241">
        <f>IF(OR($E1241="",$E1240=""),"",MAX($E1240-$E1241,0))</f>
        <v>0</v>
      </c>
      <c r="N1241">
        <f>IF(COUNT($E$2:$E1241)&lt;15,"",IF(AVERAGE($M$1228:$M$1241)=0,100,100-100/(1+AVERAGE($L$1228:$L$1241)/AVERAGE($M$1228:$M$1241))))</f>
        <v>0</v>
      </c>
      <c r="O1241">
        <f>IF($E1241="","",IF($E1240="",$E1241,$E1241*0.1538461538+O1240*0.8461538462))</f>
        <v>0</v>
      </c>
      <c r="P1241">
        <f>IF($E1241="","",IF($E1240="",$E1241,$E1241*0.0740740741+P1240*0.9259259259))</f>
        <v>0</v>
      </c>
      <c r="Q1241">
        <f>IF(OR(O1241="",P1241=""),"",O1241-P1241)</f>
        <v>0</v>
      </c>
      <c r="R1241">
        <f>IF(Q1241="","",IF(R1240="",Q1241,Q1241*0.2000000000+R1240*0.8000000000))</f>
        <v>0</v>
      </c>
      <c r="S1241">
        <f>IF(OR(Q1241="",R1241=""),"",Q1241-R1241)</f>
        <v>0</v>
      </c>
      <c r="T1241">
        <f>IF(COUNT($E$2:$E1241)&lt;14,"",MAX($C$1228:$C$1241))</f>
        <v>0</v>
      </c>
      <c r="U1241">
        <f>IF(COUNT($E$2:$E1241)&lt;14,"",MIN($D$1228:$D$1241))</f>
        <v>0</v>
      </c>
      <c r="V1241">
        <f>IF(OR(T1241="",U1241="",T1241=U1241),"",100*($E1241-U1241)/(T1241-U1241))</f>
        <v>0</v>
      </c>
      <c r="W1241">
        <f>IF(COUNT($V$1239:$V$1241)&lt;3,"",AVERAGE($V$1239:$V$1241))</f>
        <v>0</v>
      </c>
      <c r="X1241">
        <f>IF(COUNT($N$1228:$N$1241)&lt;14,"",MIN($N$1228:$N$1241))</f>
        <v>0</v>
      </c>
      <c r="Y1241">
        <f>IF(COUNT($N$1228:$N$1241)&lt;14,"",MAX($N$1228:$N$1241))</f>
        <v>0</v>
      </c>
      <c r="Z1241">
        <f>IF(OR(N1241="",X1241="",Y1241="",Y1241=X1241),"",100*(N1241-X1241)/(Y1241-X1241))</f>
        <v>0</v>
      </c>
      <c r="AA1241">
        <f>IF(COUNT($Z$1239:$Z$1241)&lt;3,"",AVERAGE($Z$1239:$Z$1241))</f>
        <v>0</v>
      </c>
      <c r="AB1241">
        <f>IF(COUNT($AA$1239:$AA$1241)&lt;3,"",AVERAGE($AA$1239:$AA$1241))</f>
        <v>0</v>
      </c>
      <c r="AC1241">
        <f>IF($E1241="","",MAX($C1241-$D1241,ABS($C1241-$E1240),ABS($D1241-$E1240)))</f>
        <v>0</v>
      </c>
      <c r="AD1241">
        <f>IF(COUNT($E$2:$E1241)&lt;15,"",AVERAGE($AC$1228:$AC$1241))</f>
        <v>0</v>
      </c>
      <c r="AE1241">
        <f>IF(OR($E1241="",$E1240=""),"",IF(AND(($C1241-$C1240)&gt;($D1240-$D1241),($C1241-$C1240)&gt;0),$C1241-$C1240,0))</f>
        <v>0</v>
      </c>
      <c r="AF1241">
        <f>IF(OR($E1241="",$E1240=""),"",IF(AND(($D1240-$D1241)&gt;($C1241-$C1240),($D1240-$D1241)&gt;0),$D1240-$D1241,0))</f>
        <v>0</v>
      </c>
      <c r="AG1241">
        <f>IF(COUNT($E$2:$E1241)&lt;15,"",IF(SUM($AC$1228:$AC$1241)=0,0,100*SUM($AE$1228:$AE$1241)/SUM($AC$1228:$AC$1241)))</f>
        <v>0</v>
      </c>
      <c r="AH1241">
        <f>IF(COUNT($E$2:$E1241)&lt;15,"",IF(SUM($AC$1228:$AC$1241)=0,0,100*SUM($AF$1228:$AF$1241)/SUM($AC$1228:$AC$1241)))</f>
        <v>0</v>
      </c>
      <c r="AI1241">
        <f>IF(OR(AG1241="",AH1241=""),"",IF((AG1241+AH1241)=0,0,100*ABS(AG1241-AH1241)/(AG1241+AH1241)))</f>
        <v>0</v>
      </c>
      <c r="AJ1241">
        <f>IF(COUNT($AI$1228:$AI$1241)&lt;14,"",AVERAGE($AI$1228:$AI$1241))</f>
        <v>0</v>
      </c>
      <c r="AK1241">
        <f>IF(COUNT($E$2:$E1241)&lt;20,"",AVERAGE($E$1222:$E$1241))</f>
        <v>0</v>
      </c>
      <c r="AL1241">
        <f>IF(COUNT($E$2:$E1241)&lt;20,"",STDEVP($E$1222:$E$1241))</f>
        <v>0</v>
      </c>
      <c r="AM1241">
        <f>IF(AK1241="","",AK1241+2*AL1241)</f>
        <v>0</v>
      </c>
      <c r="AN1241">
        <f>IF(AK1241="","",AK1241-2*AL1241)</f>
        <v>0</v>
      </c>
      <c r="AO1241">
        <f>IF(OR(AM1241="",AN1241="",AM1241=AN1241),"",($E1241-AN1241)/(AM1241-AN1241))</f>
        <v>0</v>
      </c>
      <c r="AP1241">
        <f>IF(OR(AM1241="",AK1241="",AK1241=0),"",(AM1241-AN1241)/AK1241)</f>
        <v>0</v>
      </c>
      <c r="AQ1241">
        <f>IF(COUNT($E$2:$E1241)&lt;20,"",MAX($C$1222:$C$1241))</f>
        <v>0</v>
      </c>
      <c r="AR1241">
        <f>IF(COUNT($E$2:$E1241)&lt;20,"",MIN($D$1222:$D$1241))</f>
        <v>0</v>
      </c>
      <c r="AS1241">
        <f>IF(OR(AQ1241="",AR1241=""),"",(AQ1241+AR1241)/2)</f>
        <v>0</v>
      </c>
      <c r="AT1241">
        <f>IF(COUNT($G$1222:$G$1241)&lt;20,"",STDEV($G$1222:$G$1241)*SQRT(252))</f>
        <v>0</v>
      </c>
      <c r="AU1241">
        <f>IF(COUNT($E$2:$E1241)&lt;9,"",(MAX($C$1233:$C$1241)+MIN($D$1233:$D$1241))/2)</f>
        <v>0</v>
      </c>
      <c r="AV1241">
        <f>IF(COUNT($E$2:$E1241)&lt;26,"",(MAX($C$1216:$C$1241)+MIN($D$1216:$D$1241))/2)</f>
        <v>0</v>
      </c>
      <c r="AW1241">
        <f>IF(OR(AU1241="",AV1241=""),"",(AU1241+AV1241)/2)</f>
        <v>0</v>
      </c>
      <c r="AX1241">
        <f>IF(COUNT($E$2:$E1241)&lt;52,"",(MAX($C$1190:$C$1241)+MIN($D$1190:$D$1241))/2)</f>
        <v>0</v>
      </c>
      <c r="AY1241">
        <f>IF(COUNT($E$2:$E1241)&lt;20,"",MAX($C$1142:$C$1241))</f>
        <v>0</v>
      </c>
      <c r="AZ1241">
        <f>IF(COUNT($E$2:$E1241)&lt;20,"",MIN($D$1142:$D$1241))</f>
        <v>0</v>
      </c>
      <c r="BA1241">
        <f>IF(COUNT($E$2:$E1241)&lt;20,"",SLOPE($E$1142:$E$1241,$F$1142:$F$1241))</f>
        <v>0</v>
      </c>
      <c r="BB1241">
        <f>IF(COUNT($E$2:$E1241)&lt;20,"",INTERCEPT($E$1142:$E$1241,$F$1142:$F$1241))</f>
        <v>0</v>
      </c>
      <c r="BC1241">
        <f>IF(OR(BA1241="",BB1241=""),"",BB1241+BA1241*F1241)</f>
        <v>0</v>
      </c>
      <c r="BD1241">
        <f>IF(COUNT($E$2:$E1241)&lt;20,"",STEYX($E$1142:$E$1241,$F$1142:$F$1241))</f>
        <v>0</v>
      </c>
      <c r="BE1241">
        <f>IF($E1241="","",IF(AND(COUNT($E$1242:$E$1245)&gt;=4,$C1241=MAX($C$1237:$C$1245)),$C1241,""))</f>
        <v>0</v>
      </c>
      <c r="BF1241">
        <f>IF($E1241="","",IF(AND(COUNT($E$1242:$E$1245)&gt;=4,$D1241=MIN($D$1237:$D$1245)),$D1241,""))</f>
        <v>0</v>
      </c>
      <c r="BG1241">
        <f>IF($A1241="","",$A1241-WEEKDAY($A1241,2)+1)</f>
        <v>0</v>
      </c>
      <c r="BH1241">
        <f>IF($A1241="","",IF($A1240="",1,IF(BG1241&lt;&gt;BG1240,1,0)))</f>
        <v>0</v>
      </c>
      <c r="BI1241">
        <f>IF($A1241="","",IF($A1242="",1,IF(BG1242&lt;&gt;BG1241,1,0)))</f>
        <v>0</v>
      </c>
      <c r="BJ1241">
        <f>IF($A1241="","",IF(BH1241=1,$B1241,BJ1240))</f>
        <v>0</v>
      </c>
      <c r="BK1241">
        <f>IF($A1241="","",IF(BH1241=1,$C1241,MAX($C1241,BK1240)))</f>
        <v>0</v>
      </c>
      <c r="BL1241">
        <f>IF($A1241="","",IF(BH1241=1,$D1241,MIN($D1241,BL1240)))</f>
        <v>0</v>
      </c>
      <c r="BM1241">
        <f>IF($A1241="","",IF(BI1241=1,F1241,""))</f>
        <v>0</v>
      </c>
      <c r="BN1241">
        <f>IF($A1241="","",DATE(YEAR($A1241),MONTH($A1241),1))</f>
        <v>0</v>
      </c>
      <c r="BO1241">
        <f>IF($A1241="","",IF($A1240="",1,IF(BN1241&lt;&gt;BN1240,1,0)))</f>
        <v>0</v>
      </c>
      <c r="BP1241">
        <f>IF($A1241="","",IF($A1242="",1,IF(BN1242&lt;&gt;BN1241,1,0)))</f>
        <v>0</v>
      </c>
      <c r="BQ1241">
        <f>IF($A1241="","",IF(BO1241=1,$B1241,BQ1240))</f>
        <v>0</v>
      </c>
      <c r="BR1241">
        <f>IF($A1241="","",IF(BO1241=1,$C1241,MAX($C1241,BR1240)))</f>
        <v>0</v>
      </c>
      <c r="BS1241">
        <f>IF($A1241="","",IF(BO1241=1,$D1241,MIN($D1241,BS1240)))</f>
        <v>0</v>
      </c>
      <c r="BT1241">
        <f>IF($A1241="","",IF(BP1241=1,F1241,""))</f>
        <v>0</v>
      </c>
    </row>
    <row r="1242" spans="1:72">
      <c r="A1242" s="27">
        <f>IF(Data!$A1242="","",Data!$A1242)</f>
        <v>0</v>
      </c>
      <c r="B1242">
        <f>IF(Data!$B1242="","",Data!$B1242)</f>
        <v>0</v>
      </c>
      <c r="C1242">
        <f>IF(Data!$C1242="","",Data!$C1242)</f>
        <v>0</v>
      </c>
      <c r="D1242">
        <f>IF(Data!$D1242="","",Data!$D1242)</f>
        <v>0</v>
      </c>
      <c r="E1242">
        <f>IF(Data!$E1242="","",Data!$E1242)</f>
        <v>0</v>
      </c>
      <c r="F1242">
        <f>IF($E1242="","",N(F1241)+1)</f>
        <v>0</v>
      </c>
      <c r="G1242">
        <f>IF(OR($E1242="",$E1241=""),"",LN($E1242/$E1241))</f>
        <v>0</v>
      </c>
      <c r="H1242">
        <f>IF($E1242="","",IF($E1241="",$E1242,$E1242*0.0952380952+H1241*0.9047619048))</f>
        <v>0</v>
      </c>
      <c r="I1242">
        <f>IF($E1242="","",IF($E1241="",$E1242,$E1242*0.0392156863+I1241*0.9607843137))</f>
        <v>0</v>
      </c>
      <c r="J1242">
        <f>IF($E1242="","",IF($E1241="",$E1242,$E1242*0.0198019802+J1241*0.9801980198))</f>
        <v>0</v>
      </c>
      <c r="K1242">
        <f>IF($E1242="","",IF($E1241="",$E1242,$E1242*0.0099502488+K1241*0.9900497512))</f>
        <v>0</v>
      </c>
      <c r="L1242">
        <f>IF(OR($E1242="",$E1241=""),"",MAX($E1242-$E1241,0))</f>
        <v>0</v>
      </c>
      <c r="M1242">
        <f>IF(OR($E1242="",$E1241=""),"",MAX($E1241-$E1242,0))</f>
        <v>0</v>
      </c>
      <c r="N1242">
        <f>IF(COUNT($E$2:$E1242)&lt;15,"",IF(AVERAGE($M$1229:$M$1242)=0,100,100-100/(1+AVERAGE($L$1229:$L$1242)/AVERAGE($M$1229:$M$1242))))</f>
        <v>0</v>
      </c>
      <c r="O1242">
        <f>IF($E1242="","",IF($E1241="",$E1242,$E1242*0.1538461538+O1241*0.8461538462))</f>
        <v>0</v>
      </c>
      <c r="P1242">
        <f>IF($E1242="","",IF($E1241="",$E1242,$E1242*0.0740740741+P1241*0.9259259259))</f>
        <v>0</v>
      </c>
      <c r="Q1242">
        <f>IF(OR(O1242="",P1242=""),"",O1242-P1242)</f>
        <v>0</v>
      </c>
      <c r="R1242">
        <f>IF(Q1242="","",IF(R1241="",Q1242,Q1242*0.2000000000+R1241*0.8000000000))</f>
        <v>0</v>
      </c>
      <c r="S1242">
        <f>IF(OR(Q1242="",R1242=""),"",Q1242-R1242)</f>
        <v>0</v>
      </c>
      <c r="T1242">
        <f>IF(COUNT($E$2:$E1242)&lt;14,"",MAX($C$1229:$C$1242))</f>
        <v>0</v>
      </c>
      <c r="U1242">
        <f>IF(COUNT($E$2:$E1242)&lt;14,"",MIN($D$1229:$D$1242))</f>
        <v>0</v>
      </c>
      <c r="V1242">
        <f>IF(OR(T1242="",U1242="",T1242=U1242),"",100*($E1242-U1242)/(T1242-U1242))</f>
        <v>0</v>
      </c>
      <c r="W1242">
        <f>IF(COUNT($V$1240:$V$1242)&lt;3,"",AVERAGE($V$1240:$V$1242))</f>
        <v>0</v>
      </c>
      <c r="X1242">
        <f>IF(COUNT($N$1229:$N$1242)&lt;14,"",MIN($N$1229:$N$1242))</f>
        <v>0</v>
      </c>
      <c r="Y1242">
        <f>IF(COUNT($N$1229:$N$1242)&lt;14,"",MAX($N$1229:$N$1242))</f>
        <v>0</v>
      </c>
      <c r="Z1242">
        <f>IF(OR(N1242="",X1242="",Y1242="",Y1242=X1242),"",100*(N1242-X1242)/(Y1242-X1242))</f>
        <v>0</v>
      </c>
      <c r="AA1242">
        <f>IF(COUNT($Z$1240:$Z$1242)&lt;3,"",AVERAGE($Z$1240:$Z$1242))</f>
        <v>0</v>
      </c>
      <c r="AB1242">
        <f>IF(COUNT($AA$1240:$AA$1242)&lt;3,"",AVERAGE($AA$1240:$AA$1242))</f>
        <v>0</v>
      </c>
      <c r="AC1242">
        <f>IF($E1242="","",MAX($C1242-$D1242,ABS($C1242-$E1241),ABS($D1242-$E1241)))</f>
        <v>0</v>
      </c>
      <c r="AD1242">
        <f>IF(COUNT($E$2:$E1242)&lt;15,"",AVERAGE($AC$1229:$AC$1242))</f>
        <v>0</v>
      </c>
      <c r="AE1242">
        <f>IF(OR($E1242="",$E1241=""),"",IF(AND(($C1242-$C1241)&gt;($D1241-$D1242),($C1242-$C1241)&gt;0),$C1242-$C1241,0))</f>
        <v>0</v>
      </c>
      <c r="AF1242">
        <f>IF(OR($E1242="",$E1241=""),"",IF(AND(($D1241-$D1242)&gt;($C1242-$C1241),($D1241-$D1242)&gt;0),$D1241-$D1242,0))</f>
        <v>0</v>
      </c>
      <c r="AG1242">
        <f>IF(COUNT($E$2:$E1242)&lt;15,"",IF(SUM($AC$1229:$AC$1242)=0,0,100*SUM($AE$1229:$AE$1242)/SUM($AC$1229:$AC$1242)))</f>
        <v>0</v>
      </c>
      <c r="AH1242">
        <f>IF(COUNT($E$2:$E1242)&lt;15,"",IF(SUM($AC$1229:$AC$1242)=0,0,100*SUM($AF$1229:$AF$1242)/SUM($AC$1229:$AC$1242)))</f>
        <v>0</v>
      </c>
      <c r="AI1242">
        <f>IF(OR(AG1242="",AH1242=""),"",IF((AG1242+AH1242)=0,0,100*ABS(AG1242-AH1242)/(AG1242+AH1242)))</f>
        <v>0</v>
      </c>
      <c r="AJ1242">
        <f>IF(COUNT($AI$1229:$AI$1242)&lt;14,"",AVERAGE($AI$1229:$AI$1242))</f>
        <v>0</v>
      </c>
      <c r="AK1242">
        <f>IF(COUNT($E$2:$E1242)&lt;20,"",AVERAGE($E$1223:$E$1242))</f>
        <v>0</v>
      </c>
      <c r="AL1242">
        <f>IF(COUNT($E$2:$E1242)&lt;20,"",STDEVP($E$1223:$E$1242))</f>
        <v>0</v>
      </c>
      <c r="AM1242">
        <f>IF(AK1242="","",AK1242+2*AL1242)</f>
        <v>0</v>
      </c>
      <c r="AN1242">
        <f>IF(AK1242="","",AK1242-2*AL1242)</f>
        <v>0</v>
      </c>
      <c r="AO1242">
        <f>IF(OR(AM1242="",AN1242="",AM1242=AN1242),"",($E1242-AN1242)/(AM1242-AN1242))</f>
        <v>0</v>
      </c>
      <c r="AP1242">
        <f>IF(OR(AM1242="",AK1242="",AK1242=0),"",(AM1242-AN1242)/AK1242)</f>
        <v>0</v>
      </c>
      <c r="AQ1242">
        <f>IF(COUNT($E$2:$E1242)&lt;20,"",MAX($C$1223:$C$1242))</f>
        <v>0</v>
      </c>
      <c r="AR1242">
        <f>IF(COUNT($E$2:$E1242)&lt;20,"",MIN($D$1223:$D$1242))</f>
        <v>0</v>
      </c>
      <c r="AS1242">
        <f>IF(OR(AQ1242="",AR1242=""),"",(AQ1242+AR1242)/2)</f>
        <v>0</v>
      </c>
      <c r="AT1242">
        <f>IF(COUNT($G$1223:$G$1242)&lt;20,"",STDEV($G$1223:$G$1242)*SQRT(252))</f>
        <v>0</v>
      </c>
      <c r="AU1242">
        <f>IF(COUNT($E$2:$E1242)&lt;9,"",(MAX($C$1234:$C$1242)+MIN($D$1234:$D$1242))/2)</f>
        <v>0</v>
      </c>
      <c r="AV1242">
        <f>IF(COUNT($E$2:$E1242)&lt;26,"",(MAX($C$1217:$C$1242)+MIN($D$1217:$D$1242))/2)</f>
        <v>0</v>
      </c>
      <c r="AW1242">
        <f>IF(OR(AU1242="",AV1242=""),"",(AU1242+AV1242)/2)</f>
        <v>0</v>
      </c>
      <c r="AX1242">
        <f>IF(COUNT($E$2:$E1242)&lt;52,"",(MAX($C$1191:$C$1242)+MIN($D$1191:$D$1242))/2)</f>
        <v>0</v>
      </c>
      <c r="AY1242">
        <f>IF(COUNT($E$2:$E1242)&lt;20,"",MAX($C$1143:$C$1242))</f>
        <v>0</v>
      </c>
      <c r="AZ1242">
        <f>IF(COUNT($E$2:$E1242)&lt;20,"",MIN($D$1143:$D$1242))</f>
        <v>0</v>
      </c>
      <c r="BA1242">
        <f>IF(COUNT($E$2:$E1242)&lt;20,"",SLOPE($E$1143:$E$1242,$F$1143:$F$1242))</f>
        <v>0</v>
      </c>
      <c r="BB1242">
        <f>IF(COUNT($E$2:$E1242)&lt;20,"",INTERCEPT($E$1143:$E$1242,$F$1143:$F$1242))</f>
        <v>0</v>
      </c>
      <c r="BC1242">
        <f>IF(OR(BA1242="",BB1242=""),"",BB1242+BA1242*F1242)</f>
        <v>0</v>
      </c>
      <c r="BD1242">
        <f>IF(COUNT($E$2:$E1242)&lt;20,"",STEYX($E$1143:$E$1242,$F$1143:$F$1242))</f>
        <v>0</v>
      </c>
      <c r="BE1242">
        <f>IF($E1242="","",IF(AND(COUNT($E$1243:$E$1246)&gt;=4,$C1242=MAX($C$1238:$C$1246)),$C1242,""))</f>
        <v>0</v>
      </c>
      <c r="BF1242">
        <f>IF($E1242="","",IF(AND(COUNT($E$1243:$E$1246)&gt;=4,$D1242=MIN($D$1238:$D$1246)),$D1242,""))</f>
        <v>0</v>
      </c>
      <c r="BG1242">
        <f>IF($A1242="","",$A1242-WEEKDAY($A1242,2)+1)</f>
        <v>0</v>
      </c>
      <c r="BH1242">
        <f>IF($A1242="","",IF($A1241="",1,IF(BG1242&lt;&gt;BG1241,1,0)))</f>
        <v>0</v>
      </c>
      <c r="BI1242">
        <f>IF($A1242="","",IF($A1243="",1,IF(BG1243&lt;&gt;BG1242,1,0)))</f>
        <v>0</v>
      </c>
      <c r="BJ1242">
        <f>IF($A1242="","",IF(BH1242=1,$B1242,BJ1241))</f>
        <v>0</v>
      </c>
      <c r="BK1242">
        <f>IF($A1242="","",IF(BH1242=1,$C1242,MAX($C1242,BK1241)))</f>
        <v>0</v>
      </c>
      <c r="BL1242">
        <f>IF($A1242="","",IF(BH1242=1,$D1242,MIN($D1242,BL1241)))</f>
        <v>0</v>
      </c>
      <c r="BM1242">
        <f>IF($A1242="","",IF(BI1242=1,F1242,""))</f>
        <v>0</v>
      </c>
      <c r="BN1242">
        <f>IF($A1242="","",DATE(YEAR($A1242),MONTH($A1242),1))</f>
        <v>0</v>
      </c>
      <c r="BO1242">
        <f>IF($A1242="","",IF($A1241="",1,IF(BN1242&lt;&gt;BN1241,1,0)))</f>
        <v>0</v>
      </c>
      <c r="BP1242">
        <f>IF($A1242="","",IF($A1243="",1,IF(BN1243&lt;&gt;BN1242,1,0)))</f>
        <v>0</v>
      </c>
      <c r="BQ1242">
        <f>IF($A1242="","",IF(BO1242=1,$B1242,BQ1241))</f>
        <v>0</v>
      </c>
      <c r="BR1242">
        <f>IF($A1242="","",IF(BO1242=1,$C1242,MAX($C1242,BR1241)))</f>
        <v>0</v>
      </c>
      <c r="BS1242">
        <f>IF($A1242="","",IF(BO1242=1,$D1242,MIN($D1242,BS1241)))</f>
        <v>0</v>
      </c>
      <c r="BT1242">
        <f>IF($A1242="","",IF(BP1242=1,F1242,""))</f>
        <v>0</v>
      </c>
    </row>
    <row r="1243" spans="1:72">
      <c r="A1243" s="27">
        <f>IF(Data!$A1243="","",Data!$A1243)</f>
        <v>0</v>
      </c>
      <c r="B1243">
        <f>IF(Data!$B1243="","",Data!$B1243)</f>
        <v>0</v>
      </c>
      <c r="C1243">
        <f>IF(Data!$C1243="","",Data!$C1243)</f>
        <v>0</v>
      </c>
      <c r="D1243">
        <f>IF(Data!$D1243="","",Data!$D1243)</f>
        <v>0</v>
      </c>
      <c r="E1243">
        <f>IF(Data!$E1243="","",Data!$E1243)</f>
        <v>0</v>
      </c>
      <c r="F1243">
        <f>IF($E1243="","",N(F1242)+1)</f>
        <v>0</v>
      </c>
      <c r="G1243">
        <f>IF(OR($E1243="",$E1242=""),"",LN($E1243/$E1242))</f>
        <v>0</v>
      </c>
      <c r="H1243">
        <f>IF($E1243="","",IF($E1242="",$E1243,$E1243*0.0952380952+H1242*0.9047619048))</f>
        <v>0</v>
      </c>
      <c r="I1243">
        <f>IF($E1243="","",IF($E1242="",$E1243,$E1243*0.0392156863+I1242*0.9607843137))</f>
        <v>0</v>
      </c>
      <c r="J1243">
        <f>IF($E1243="","",IF($E1242="",$E1243,$E1243*0.0198019802+J1242*0.9801980198))</f>
        <v>0</v>
      </c>
      <c r="K1243">
        <f>IF($E1243="","",IF($E1242="",$E1243,$E1243*0.0099502488+K1242*0.9900497512))</f>
        <v>0</v>
      </c>
      <c r="L1243">
        <f>IF(OR($E1243="",$E1242=""),"",MAX($E1243-$E1242,0))</f>
        <v>0</v>
      </c>
      <c r="M1243">
        <f>IF(OR($E1243="",$E1242=""),"",MAX($E1242-$E1243,0))</f>
        <v>0</v>
      </c>
      <c r="N1243">
        <f>IF(COUNT($E$2:$E1243)&lt;15,"",IF(AVERAGE($M$1230:$M$1243)=0,100,100-100/(1+AVERAGE($L$1230:$L$1243)/AVERAGE($M$1230:$M$1243))))</f>
        <v>0</v>
      </c>
      <c r="O1243">
        <f>IF($E1243="","",IF($E1242="",$E1243,$E1243*0.1538461538+O1242*0.8461538462))</f>
        <v>0</v>
      </c>
      <c r="P1243">
        <f>IF($E1243="","",IF($E1242="",$E1243,$E1243*0.0740740741+P1242*0.9259259259))</f>
        <v>0</v>
      </c>
      <c r="Q1243">
        <f>IF(OR(O1243="",P1243=""),"",O1243-P1243)</f>
        <v>0</v>
      </c>
      <c r="R1243">
        <f>IF(Q1243="","",IF(R1242="",Q1243,Q1243*0.2000000000+R1242*0.8000000000))</f>
        <v>0</v>
      </c>
      <c r="S1243">
        <f>IF(OR(Q1243="",R1243=""),"",Q1243-R1243)</f>
        <v>0</v>
      </c>
      <c r="T1243">
        <f>IF(COUNT($E$2:$E1243)&lt;14,"",MAX($C$1230:$C$1243))</f>
        <v>0</v>
      </c>
      <c r="U1243">
        <f>IF(COUNT($E$2:$E1243)&lt;14,"",MIN($D$1230:$D$1243))</f>
        <v>0</v>
      </c>
      <c r="V1243">
        <f>IF(OR(T1243="",U1243="",T1243=U1243),"",100*($E1243-U1243)/(T1243-U1243))</f>
        <v>0</v>
      </c>
      <c r="W1243">
        <f>IF(COUNT($V$1241:$V$1243)&lt;3,"",AVERAGE($V$1241:$V$1243))</f>
        <v>0</v>
      </c>
      <c r="X1243">
        <f>IF(COUNT($N$1230:$N$1243)&lt;14,"",MIN($N$1230:$N$1243))</f>
        <v>0</v>
      </c>
      <c r="Y1243">
        <f>IF(COUNT($N$1230:$N$1243)&lt;14,"",MAX($N$1230:$N$1243))</f>
        <v>0</v>
      </c>
      <c r="Z1243">
        <f>IF(OR(N1243="",X1243="",Y1243="",Y1243=X1243),"",100*(N1243-X1243)/(Y1243-X1243))</f>
        <v>0</v>
      </c>
      <c r="AA1243">
        <f>IF(COUNT($Z$1241:$Z$1243)&lt;3,"",AVERAGE($Z$1241:$Z$1243))</f>
        <v>0</v>
      </c>
      <c r="AB1243">
        <f>IF(COUNT($AA$1241:$AA$1243)&lt;3,"",AVERAGE($AA$1241:$AA$1243))</f>
        <v>0</v>
      </c>
      <c r="AC1243">
        <f>IF($E1243="","",MAX($C1243-$D1243,ABS($C1243-$E1242),ABS($D1243-$E1242)))</f>
        <v>0</v>
      </c>
      <c r="AD1243">
        <f>IF(COUNT($E$2:$E1243)&lt;15,"",AVERAGE($AC$1230:$AC$1243))</f>
        <v>0</v>
      </c>
      <c r="AE1243">
        <f>IF(OR($E1243="",$E1242=""),"",IF(AND(($C1243-$C1242)&gt;($D1242-$D1243),($C1243-$C1242)&gt;0),$C1243-$C1242,0))</f>
        <v>0</v>
      </c>
      <c r="AF1243">
        <f>IF(OR($E1243="",$E1242=""),"",IF(AND(($D1242-$D1243)&gt;($C1243-$C1242),($D1242-$D1243)&gt;0),$D1242-$D1243,0))</f>
        <v>0</v>
      </c>
      <c r="AG1243">
        <f>IF(COUNT($E$2:$E1243)&lt;15,"",IF(SUM($AC$1230:$AC$1243)=0,0,100*SUM($AE$1230:$AE$1243)/SUM($AC$1230:$AC$1243)))</f>
        <v>0</v>
      </c>
      <c r="AH1243">
        <f>IF(COUNT($E$2:$E1243)&lt;15,"",IF(SUM($AC$1230:$AC$1243)=0,0,100*SUM($AF$1230:$AF$1243)/SUM($AC$1230:$AC$1243)))</f>
        <v>0</v>
      </c>
      <c r="AI1243">
        <f>IF(OR(AG1243="",AH1243=""),"",IF((AG1243+AH1243)=0,0,100*ABS(AG1243-AH1243)/(AG1243+AH1243)))</f>
        <v>0</v>
      </c>
      <c r="AJ1243">
        <f>IF(COUNT($AI$1230:$AI$1243)&lt;14,"",AVERAGE($AI$1230:$AI$1243))</f>
        <v>0</v>
      </c>
      <c r="AK1243">
        <f>IF(COUNT($E$2:$E1243)&lt;20,"",AVERAGE($E$1224:$E$1243))</f>
        <v>0</v>
      </c>
      <c r="AL1243">
        <f>IF(COUNT($E$2:$E1243)&lt;20,"",STDEVP($E$1224:$E$1243))</f>
        <v>0</v>
      </c>
      <c r="AM1243">
        <f>IF(AK1243="","",AK1243+2*AL1243)</f>
        <v>0</v>
      </c>
      <c r="AN1243">
        <f>IF(AK1243="","",AK1243-2*AL1243)</f>
        <v>0</v>
      </c>
      <c r="AO1243">
        <f>IF(OR(AM1243="",AN1243="",AM1243=AN1243),"",($E1243-AN1243)/(AM1243-AN1243))</f>
        <v>0</v>
      </c>
      <c r="AP1243">
        <f>IF(OR(AM1243="",AK1243="",AK1243=0),"",(AM1243-AN1243)/AK1243)</f>
        <v>0</v>
      </c>
      <c r="AQ1243">
        <f>IF(COUNT($E$2:$E1243)&lt;20,"",MAX($C$1224:$C$1243))</f>
        <v>0</v>
      </c>
      <c r="AR1243">
        <f>IF(COUNT($E$2:$E1243)&lt;20,"",MIN($D$1224:$D$1243))</f>
        <v>0</v>
      </c>
      <c r="AS1243">
        <f>IF(OR(AQ1243="",AR1243=""),"",(AQ1243+AR1243)/2)</f>
        <v>0</v>
      </c>
      <c r="AT1243">
        <f>IF(COUNT($G$1224:$G$1243)&lt;20,"",STDEV($G$1224:$G$1243)*SQRT(252))</f>
        <v>0</v>
      </c>
      <c r="AU1243">
        <f>IF(COUNT($E$2:$E1243)&lt;9,"",(MAX($C$1235:$C$1243)+MIN($D$1235:$D$1243))/2)</f>
        <v>0</v>
      </c>
      <c r="AV1243">
        <f>IF(COUNT($E$2:$E1243)&lt;26,"",(MAX($C$1218:$C$1243)+MIN($D$1218:$D$1243))/2)</f>
        <v>0</v>
      </c>
      <c r="AW1243">
        <f>IF(OR(AU1243="",AV1243=""),"",(AU1243+AV1243)/2)</f>
        <v>0</v>
      </c>
      <c r="AX1243">
        <f>IF(COUNT($E$2:$E1243)&lt;52,"",(MAX($C$1192:$C$1243)+MIN($D$1192:$D$1243))/2)</f>
        <v>0</v>
      </c>
      <c r="AY1243">
        <f>IF(COUNT($E$2:$E1243)&lt;20,"",MAX($C$1144:$C$1243))</f>
        <v>0</v>
      </c>
      <c r="AZ1243">
        <f>IF(COUNT($E$2:$E1243)&lt;20,"",MIN($D$1144:$D$1243))</f>
        <v>0</v>
      </c>
      <c r="BA1243">
        <f>IF(COUNT($E$2:$E1243)&lt;20,"",SLOPE($E$1144:$E$1243,$F$1144:$F$1243))</f>
        <v>0</v>
      </c>
      <c r="BB1243">
        <f>IF(COUNT($E$2:$E1243)&lt;20,"",INTERCEPT($E$1144:$E$1243,$F$1144:$F$1243))</f>
        <v>0</v>
      </c>
      <c r="BC1243">
        <f>IF(OR(BA1243="",BB1243=""),"",BB1243+BA1243*F1243)</f>
        <v>0</v>
      </c>
      <c r="BD1243">
        <f>IF(COUNT($E$2:$E1243)&lt;20,"",STEYX($E$1144:$E$1243,$F$1144:$F$1243))</f>
        <v>0</v>
      </c>
      <c r="BE1243">
        <f>IF($E1243="","",IF(AND(COUNT($E$1244:$E$1247)&gt;=4,$C1243=MAX($C$1239:$C$1247)),$C1243,""))</f>
        <v>0</v>
      </c>
      <c r="BF1243">
        <f>IF($E1243="","",IF(AND(COUNT($E$1244:$E$1247)&gt;=4,$D1243=MIN($D$1239:$D$1247)),$D1243,""))</f>
        <v>0</v>
      </c>
      <c r="BG1243">
        <f>IF($A1243="","",$A1243-WEEKDAY($A1243,2)+1)</f>
        <v>0</v>
      </c>
      <c r="BH1243">
        <f>IF($A1243="","",IF($A1242="",1,IF(BG1243&lt;&gt;BG1242,1,0)))</f>
        <v>0</v>
      </c>
      <c r="BI1243">
        <f>IF($A1243="","",IF($A1244="",1,IF(BG1244&lt;&gt;BG1243,1,0)))</f>
        <v>0</v>
      </c>
      <c r="BJ1243">
        <f>IF($A1243="","",IF(BH1243=1,$B1243,BJ1242))</f>
        <v>0</v>
      </c>
      <c r="BK1243">
        <f>IF($A1243="","",IF(BH1243=1,$C1243,MAX($C1243,BK1242)))</f>
        <v>0</v>
      </c>
      <c r="BL1243">
        <f>IF($A1243="","",IF(BH1243=1,$D1243,MIN($D1243,BL1242)))</f>
        <v>0</v>
      </c>
      <c r="BM1243">
        <f>IF($A1243="","",IF(BI1243=1,F1243,""))</f>
        <v>0</v>
      </c>
      <c r="BN1243">
        <f>IF($A1243="","",DATE(YEAR($A1243),MONTH($A1243),1))</f>
        <v>0</v>
      </c>
      <c r="BO1243">
        <f>IF($A1243="","",IF($A1242="",1,IF(BN1243&lt;&gt;BN1242,1,0)))</f>
        <v>0</v>
      </c>
      <c r="BP1243">
        <f>IF($A1243="","",IF($A1244="",1,IF(BN1244&lt;&gt;BN1243,1,0)))</f>
        <v>0</v>
      </c>
      <c r="BQ1243">
        <f>IF($A1243="","",IF(BO1243=1,$B1243,BQ1242))</f>
        <v>0</v>
      </c>
      <c r="BR1243">
        <f>IF($A1243="","",IF(BO1243=1,$C1243,MAX($C1243,BR1242)))</f>
        <v>0</v>
      </c>
      <c r="BS1243">
        <f>IF($A1243="","",IF(BO1243=1,$D1243,MIN($D1243,BS1242)))</f>
        <v>0</v>
      </c>
      <c r="BT1243">
        <f>IF($A1243="","",IF(BP1243=1,F1243,""))</f>
        <v>0</v>
      </c>
    </row>
    <row r="1244" spans="1:72">
      <c r="A1244" s="27">
        <f>IF(Data!$A1244="","",Data!$A1244)</f>
        <v>0</v>
      </c>
      <c r="B1244">
        <f>IF(Data!$B1244="","",Data!$B1244)</f>
        <v>0</v>
      </c>
      <c r="C1244">
        <f>IF(Data!$C1244="","",Data!$C1244)</f>
        <v>0</v>
      </c>
      <c r="D1244">
        <f>IF(Data!$D1244="","",Data!$D1244)</f>
        <v>0</v>
      </c>
      <c r="E1244">
        <f>IF(Data!$E1244="","",Data!$E1244)</f>
        <v>0</v>
      </c>
      <c r="F1244">
        <f>IF($E1244="","",N(F1243)+1)</f>
        <v>0</v>
      </c>
      <c r="G1244">
        <f>IF(OR($E1244="",$E1243=""),"",LN($E1244/$E1243))</f>
        <v>0</v>
      </c>
      <c r="H1244">
        <f>IF($E1244="","",IF($E1243="",$E1244,$E1244*0.0952380952+H1243*0.9047619048))</f>
        <v>0</v>
      </c>
      <c r="I1244">
        <f>IF($E1244="","",IF($E1243="",$E1244,$E1244*0.0392156863+I1243*0.9607843137))</f>
        <v>0</v>
      </c>
      <c r="J1244">
        <f>IF($E1244="","",IF($E1243="",$E1244,$E1244*0.0198019802+J1243*0.9801980198))</f>
        <v>0</v>
      </c>
      <c r="K1244">
        <f>IF($E1244="","",IF($E1243="",$E1244,$E1244*0.0099502488+K1243*0.9900497512))</f>
        <v>0</v>
      </c>
      <c r="L1244">
        <f>IF(OR($E1244="",$E1243=""),"",MAX($E1244-$E1243,0))</f>
        <v>0</v>
      </c>
      <c r="M1244">
        <f>IF(OR($E1244="",$E1243=""),"",MAX($E1243-$E1244,0))</f>
        <v>0</v>
      </c>
      <c r="N1244">
        <f>IF(COUNT($E$2:$E1244)&lt;15,"",IF(AVERAGE($M$1231:$M$1244)=0,100,100-100/(1+AVERAGE($L$1231:$L$1244)/AVERAGE($M$1231:$M$1244))))</f>
        <v>0</v>
      </c>
      <c r="O1244">
        <f>IF($E1244="","",IF($E1243="",$E1244,$E1244*0.1538461538+O1243*0.8461538462))</f>
        <v>0</v>
      </c>
      <c r="P1244">
        <f>IF($E1244="","",IF($E1243="",$E1244,$E1244*0.0740740741+P1243*0.9259259259))</f>
        <v>0</v>
      </c>
      <c r="Q1244">
        <f>IF(OR(O1244="",P1244=""),"",O1244-P1244)</f>
        <v>0</v>
      </c>
      <c r="R1244">
        <f>IF(Q1244="","",IF(R1243="",Q1244,Q1244*0.2000000000+R1243*0.8000000000))</f>
        <v>0</v>
      </c>
      <c r="S1244">
        <f>IF(OR(Q1244="",R1244=""),"",Q1244-R1244)</f>
        <v>0</v>
      </c>
      <c r="T1244">
        <f>IF(COUNT($E$2:$E1244)&lt;14,"",MAX($C$1231:$C$1244))</f>
        <v>0</v>
      </c>
      <c r="U1244">
        <f>IF(COUNT($E$2:$E1244)&lt;14,"",MIN($D$1231:$D$1244))</f>
        <v>0</v>
      </c>
      <c r="V1244">
        <f>IF(OR(T1244="",U1244="",T1244=U1244),"",100*($E1244-U1244)/(T1244-U1244))</f>
        <v>0</v>
      </c>
      <c r="W1244">
        <f>IF(COUNT($V$1242:$V$1244)&lt;3,"",AVERAGE($V$1242:$V$1244))</f>
        <v>0</v>
      </c>
      <c r="X1244">
        <f>IF(COUNT($N$1231:$N$1244)&lt;14,"",MIN($N$1231:$N$1244))</f>
        <v>0</v>
      </c>
      <c r="Y1244">
        <f>IF(COUNT($N$1231:$N$1244)&lt;14,"",MAX($N$1231:$N$1244))</f>
        <v>0</v>
      </c>
      <c r="Z1244">
        <f>IF(OR(N1244="",X1244="",Y1244="",Y1244=X1244),"",100*(N1244-X1244)/(Y1244-X1244))</f>
        <v>0</v>
      </c>
      <c r="AA1244">
        <f>IF(COUNT($Z$1242:$Z$1244)&lt;3,"",AVERAGE($Z$1242:$Z$1244))</f>
        <v>0</v>
      </c>
      <c r="AB1244">
        <f>IF(COUNT($AA$1242:$AA$1244)&lt;3,"",AVERAGE($AA$1242:$AA$1244))</f>
        <v>0</v>
      </c>
      <c r="AC1244">
        <f>IF($E1244="","",MAX($C1244-$D1244,ABS($C1244-$E1243),ABS($D1244-$E1243)))</f>
        <v>0</v>
      </c>
      <c r="AD1244">
        <f>IF(COUNT($E$2:$E1244)&lt;15,"",AVERAGE($AC$1231:$AC$1244))</f>
        <v>0</v>
      </c>
      <c r="AE1244">
        <f>IF(OR($E1244="",$E1243=""),"",IF(AND(($C1244-$C1243)&gt;($D1243-$D1244),($C1244-$C1243)&gt;0),$C1244-$C1243,0))</f>
        <v>0</v>
      </c>
      <c r="AF1244">
        <f>IF(OR($E1244="",$E1243=""),"",IF(AND(($D1243-$D1244)&gt;($C1244-$C1243),($D1243-$D1244)&gt;0),$D1243-$D1244,0))</f>
        <v>0</v>
      </c>
      <c r="AG1244">
        <f>IF(COUNT($E$2:$E1244)&lt;15,"",IF(SUM($AC$1231:$AC$1244)=0,0,100*SUM($AE$1231:$AE$1244)/SUM($AC$1231:$AC$1244)))</f>
        <v>0</v>
      </c>
      <c r="AH1244">
        <f>IF(COUNT($E$2:$E1244)&lt;15,"",IF(SUM($AC$1231:$AC$1244)=0,0,100*SUM($AF$1231:$AF$1244)/SUM($AC$1231:$AC$1244)))</f>
        <v>0</v>
      </c>
      <c r="AI1244">
        <f>IF(OR(AG1244="",AH1244=""),"",IF((AG1244+AH1244)=0,0,100*ABS(AG1244-AH1244)/(AG1244+AH1244)))</f>
        <v>0</v>
      </c>
      <c r="AJ1244">
        <f>IF(COUNT($AI$1231:$AI$1244)&lt;14,"",AVERAGE($AI$1231:$AI$1244))</f>
        <v>0</v>
      </c>
      <c r="AK1244">
        <f>IF(COUNT($E$2:$E1244)&lt;20,"",AVERAGE($E$1225:$E$1244))</f>
        <v>0</v>
      </c>
      <c r="AL1244">
        <f>IF(COUNT($E$2:$E1244)&lt;20,"",STDEVP($E$1225:$E$1244))</f>
        <v>0</v>
      </c>
      <c r="AM1244">
        <f>IF(AK1244="","",AK1244+2*AL1244)</f>
        <v>0</v>
      </c>
      <c r="AN1244">
        <f>IF(AK1244="","",AK1244-2*AL1244)</f>
        <v>0</v>
      </c>
      <c r="AO1244">
        <f>IF(OR(AM1244="",AN1244="",AM1244=AN1244),"",($E1244-AN1244)/(AM1244-AN1244))</f>
        <v>0</v>
      </c>
      <c r="AP1244">
        <f>IF(OR(AM1244="",AK1244="",AK1244=0),"",(AM1244-AN1244)/AK1244)</f>
        <v>0</v>
      </c>
      <c r="AQ1244">
        <f>IF(COUNT($E$2:$E1244)&lt;20,"",MAX($C$1225:$C$1244))</f>
        <v>0</v>
      </c>
      <c r="AR1244">
        <f>IF(COUNT($E$2:$E1244)&lt;20,"",MIN($D$1225:$D$1244))</f>
        <v>0</v>
      </c>
      <c r="AS1244">
        <f>IF(OR(AQ1244="",AR1244=""),"",(AQ1244+AR1244)/2)</f>
        <v>0</v>
      </c>
      <c r="AT1244">
        <f>IF(COUNT($G$1225:$G$1244)&lt;20,"",STDEV($G$1225:$G$1244)*SQRT(252))</f>
        <v>0</v>
      </c>
      <c r="AU1244">
        <f>IF(COUNT($E$2:$E1244)&lt;9,"",(MAX($C$1236:$C$1244)+MIN($D$1236:$D$1244))/2)</f>
        <v>0</v>
      </c>
      <c r="AV1244">
        <f>IF(COUNT($E$2:$E1244)&lt;26,"",(MAX($C$1219:$C$1244)+MIN($D$1219:$D$1244))/2)</f>
        <v>0</v>
      </c>
      <c r="AW1244">
        <f>IF(OR(AU1244="",AV1244=""),"",(AU1244+AV1244)/2)</f>
        <v>0</v>
      </c>
      <c r="AX1244">
        <f>IF(COUNT($E$2:$E1244)&lt;52,"",(MAX($C$1193:$C$1244)+MIN($D$1193:$D$1244))/2)</f>
        <v>0</v>
      </c>
      <c r="AY1244">
        <f>IF(COUNT($E$2:$E1244)&lt;20,"",MAX($C$1145:$C$1244))</f>
        <v>0</v>
      </c>
      <c r="AZ1244">
        <f>IF(COUNT($E$2:$E1244)&lt;20,"",MIN($D$1145:$D$1244))</f>
        <v>0</v>
      </c>
      <c r="BA1244">
        <f>IF(COUNT($E$2:$E1244)&lt;20,"",SLOPE($E$1145:$E$1244,$F$1145:$F$1244))</f>
        <v>0</v>
      </c>
      <c r="BB1244">
        <f>IF(COUNT($E$2:$E1244)&lt;20,"",INTERCEPT($E$1145:$E$1244,$F$1145:$F$1244))</f>
        <v>0</v>
      </c>
      <c r="BC1244">
        <f>IF(OR(BA1244="",BB1244=""),"",BB1244+BA1244*F1244)</f>
        <v>0</v>
      </c>
      <c r="BD1244">
        <f>IF(COUNT($E$2:$E1244)&lt;20,"",STEYX($E$1145:$E$1244,$F$1145:$F$1244))</f>
        <v>0</v>
      </c>
      <c r="BE1244">
        <f>IF($E1244="","",IF(AND(COUNT($E$1245:$E$1248)&gt;=4,$C1244=MAX($C$1240:$C$1248)),$C1244,""))</f>
        <v>0</v>
      </c>
      <c r="BF1244">
        <f>IF($E1244="","",IF(AND(COUNT($E$1245:$E$1248)&gt;=4,$D1244=MIN($D$1240:$D$1248)),$D1244,""))</f>
        <v>0</v>
      </c>
      <c r="BG1244">
        <f>IF($A1244="","",$A1244-WEEKDAY($A1244,2)+1)</f>
        <v>0</v>
      </c>
      <c r="BH1244">
        <f>IF($A1244="","",IF($A1243="",1,IF(BG1244&lt;&gt;BG1243,1,0)))</f>
        <v>0</v>
      </c>
      <c r="BI1244">
        <f>IF($A1244="","",IF($A1245="",1,IF(BG1245&lt;&gt;BG1244,1,0)))</f>
        <v>0</v>
      </c>
      <c r="BJ1244">
        <f>IF($A1244="","",IF(BH1244=1,$B1244,BJ1243))</f>
        <v>0</v>
      </c>
      <c r="BK1244">
        <f>IF($A1244="","",IF(BH1244=1,$C1244,MAX($C1244,BK1243)))</f>
        <v>0</v>
      </c>
      <c r="BL1244">
        <f>IF($A1244="","",IF(BH1244=1,$D1244,MIN($D1244,BL1243)))</f>
        <v>0</v>
      </c>
      <c r="BM1244">
        <f>IF($A1244="","",IF(BI1244=1,F1244,""))</f>
        <v>0</v>
      </c>
      <c r="BN1244">
        <f>IF($A1244="","",DATE(YEAR($A1244),MONTH($A1244),1))</f>
        <v>0</v>
      </c>
      <c r="BO1244">
        <f>IF($A1244="","",IF($A1243="",1,IF(BN1244&lt;&gt;BN1243,1,0)))</f>
        <v>0</v>
      </c>
      <c r="BP1244">
        <f>IF($A1244="","",IF($A1245="",1,IF(BN1245&lt;&gt;BN1244,1,0)))</f>
        <v>0</v>
      </c>
      <c r="BQ1244">
        <f>IF($A1244="","",IF(BO1244=1,$B1244,BQ1243))</f>
        <v>0</v>
      </c>
      <c r="BR1244">
        <f>IF($A1244="","",IF(BO1244=1,$C1244,MAX($C1244,BR1243)))</f>
        <v>0</v>
      </c>
      <c r="BS1244">
        <f>IF($A1244="","",IF(BO1244=1,$D1244,MIN($D1244,BS1243)))</f>
        <v>0</v>
      </c>
      <c r="BT1244">
        <f>IF($A1244="","",IF(BP1244=1,F1244,""))</f>
        <v>0</v>
      </c>
    </row>
    <row r="1245" spans="1:72">
      <c r="A1245" s="27">
        <f>IF(Data!$A1245="","",Data!$A1245)</f>
        <v>0</v>
      </c>
      <c r="B1245">
        <f>IF(Data!$B1245="","",Data!$B1245)</f>
        <v>0</v>
      </c>
      <c r="C1245">
        <f>IF(Data!$C1245="","",Data!$C1245)</f>
        <v>0</v>
      </c>
      <c r="D1245">
        <f>IF(Data!$D1245="","",Data!$D1245)</f>
        <v>0</v>
      </c>
      <c r="E1245">
        <f>IF(Data!$E1245="","",Data!$E1245)</f>
        <v>0</v>
      </c>
      <c r="F1245">
        <f>IF($E1245="","",N(F1244)+1)</f>
        <v>0</v>
      </c>
      <c r="G1245">
        <f>IF(OR($E1245="",$E1244=""),"",LN($E1245/$E1244))</f>
        <v>0</v>
      </c>
      <c r="H1245">
        <f>IF($E1245="","",IF($E1244="",$E1245,$E1245*0.0952380952+H1244*0.9047619048))</f>
        <v>0</v>
      </c>
      <c r="I1245">
        <f>IF($E1245="","",IF($E1244="",$E1245,$E1245*0.0392156863+I1244*0.9607843137))</f>
        <v>0</v>
      </c>
      <c r="J1245">
        <f>IF($E1245="","",IF($E1244="",$E1245,$E1245*0.0198019802+J1244*0.9801980198))</f>
        <v>0</v>
      </c>
      <c r="K1245">
        <f>IF($E1245="","",IF($E1244="",$E1245,$E1245*0.0099502488+K1244*0.9900497512))</f>
        <v>0</v>
      </c>
      <c r="L1245">
        <f>IF(OR($E1245="",$E1244=""),"",MAX($E1245-$E1244,0))</f>
        <v>0</v>
      </c>
      <c r="M1245">
        <f>IF(OR($E1245="",$E1244=""),"",MAX($E1244-$E1245,0))</f>
        <v>0</v>
      </c>
      <c r="N1245">
        <f>IF(COUNT($E$2:$E1245)&lt;15,"",IF(AVERAGE($M$1232:$M$1245)=0,100,100-100/(1+AVERAGE($L$1232:$L$1245)/AVERAGE($M$1232:$M$1245))))</f>
        <v>0</v>
      </c>
      <c r="O1245">
        <f>IF($E1245="","",IF($E1244="",$E1245,$E1245*0.1538461538+O1244*0.8461538462))</f>
        <v>0</v>
      </c>
      <c r="P1245">
        <f>IF($E1245="","",IF($E1244="",$E1245,$E1245*0.0740740741+P1244*0.9259259259))</f>
        <v>0</v>
      </c>
      <c r="Q1245">
        <f>IF(OR(O1245="",P1245=""),"",O1245-P1245)</f>
        <v>0</v>
      </c>
      <c r="R1245">
        <f>IF(Q1245="","",IF(R1244="",Q1245,Q1245*0.2000000000+R1244*0.8000000000))</f>
        <v>0</v>
      </c>
      <c r="S1245">
        <f>IF(OR(Q1245="",R1245=""),"",Q1245-R1245)</f>
        <v>0</v>
      </c>
      <c r="T1245">
        <f>IF(COUNT($E$2:$E1245)&lt;14,"",MAX($C$1232:$C$1245))</f>
        <v>0</v>
      </c>
      <c r="U1245">
        <f>IF(COUNT($E$2:$E1245)&lt;14,"",MIN($D$1232:$D$1245))</f>
        <v>0</v>
      </c>
      <c r="V1245">
        <f>IF(OR(T1245="",U1245="",T1245=U1245),"",100*($E1245-U1245)/(T1245-U1245))</f>
        <v>0</v>
      </c>
      <c r="W1245">
        <f>IF(COUNT($V$1243:$V$1245)&lt;3,"",AVERAGE($V$1243:$V$1245))</f>
        <v>0</v>
      </c>
      <c r="X1245">
        <f>IF(COUNT($N$1232:$N$1245)&lt;14,"",MIN($N$1232:$N$1245))</f>
        <v>0</v>
      </c>
      <c r="Y1245">
        <f>IF(COUNT($N$1232:$N$1245)&lt;14,"",MAX($N$1232:$N$1245))</f>
        <v>0</v>
      </c>
      <c r="Z1245">
        <f>IF(OR(N1245="",X1245="",Y1245="",Y1245=X1245),"",100*(N1245-X1245)/(Y1245-X1245))</f>
        <v>0</v>
      </c>
      <c r="AA1245">
        <f>IF(COUNT($Z$1243:$Z$1245)&lt;3,"",AVERAGE($Z$1243:$Z$1245))</f>
        <v>0</v>
      </c>
      <c r="AB1245">
        <f>IF(COUNT($AA$1243:$AA$1245)&lt;3,"",AVERAGE($AA$1243:$AA$1245))</f>
        <v>0</v>
      </c>
      <c r="AC1245">
        <f>IF($E1245="","",MAX($C1245-$D1245,ABS($C1245-$E1244),ABS($D1245-$E1244)))</f>
        <v>0</v>
      </c>
      <c r="AD1245">
        <f>IF(COUNT($E$2:$E1245)&lt;15,"",AVERAGE($AC$1232:$AC$1245))</f>
        <v>0</v>
      </c>
      <c r="AE1245">
        <f>IF(OR($E1245="",$E1244=""),"",IF(AND(($C1245-$C1244)&gt;($D1244-$D1245),($C1245-$C1244)&gt;0),$C1245-$C1244,0))</f>
        <v>0</v>
      </c>
      <c r="AF1245">
        <f>IF(OR($E1245="",$E1244=""),"",IF(AND(($D1244-$D1245)&gt;($C1245-$C1244),($D1244-$D1245)&gt;0),$D1244-$D1245,0))</f>
        <v>0</v>
      </c>
      <c r="AG1245">
        <f>IF(COUNT($E$2:$E1245)&lt;15,"",IF(SUM($AC$1232:$AC$1245)=0,0,100*SUM($AE$1232:$AE$1245)/SUM($AC$1232:$AC$1245)))</f>
        <v>0</v>
      </c>
      <c r="AH1245">
        <f>IF(COUNT($E$2:$E1245)&lt;15,"",IF(SUM($AC$1232:$AC$1245)=0,0,100*SUM($AF$1232:$AF$1245)/SUM($AC$1232:$AC$1245)))</f>
        <v>0</v>
      </c>
      <c r="AI1245">
        <f>IF(OR(AG1245="",AH1245=""),"",IF((AG1245+AH1245)=0,0,100*ABS(AG1245-AH1245)/(AG1245+AH1245)))</f>
        <v>0</v>
      </c>
      <c r="AJ1245">
        <f>IF(COUNT($AI$1232:$AI$1245)&lt;14,"",AVERAGE($AI$1232:$AI$1245))</f>
        <v>0</v>
      </c>
      <c r="AK1245">
        <f>IF(COUNT($E$2:$E1245)&lt;20,"",AVERAGE($E$1226:$E$1245))</f>
        <v>0</v>
      </c>
      <c r="AL1245">
        <f>IF(COUNT($E$2:$E1245)&lt;20,"",STDEVP($E$1226:$E$1245))</f>
        <v>0</v>
      </c>
      <c r="AM1245">
        <f>IF(AK1245="","",AK1245+2*AL1245)</f>
        <v>0</v>
      </c>
      <c r="AN1245">
        <f>IF(AK1245="","",AK1245-2*AL1245)</f>
        <v>0</v>
      </c>
      <c r="AO1245">
        <f>IF(OR(AM1245="",AN1245="",AM1245=AN1245),"",($E1245-AN1245)/(AM1245-AN1245))</f>
        <v>0</v>
      </c>
      <c r="AP1245">
        <f>IF(OR(AM1245="",AK1245="",AK1245=0),"",(AM1245-AN1245)/AK1245)</f>
        <v>0</v>
      </c>
      <c r="AQ1245">
        <f>IF(COUNT($E$2:$E1245)&lt;20,"",MAX($C$1226:$C$1245))</f>
        <v>0</v>
      </c>
      <c r="AR1245">
        <f>IF(COUNT($E$2:$E1245)&lt;20,"",MIN($D$1226:$D$1245))</f>
        <v>0</v>
      </c>
      <c r="AS1245">
        <f>IF(OR(AQ1245="",AR1245=""),"",(AQ1245+AR1245)/2)</f>
        <v>0</v>
      </c>
      <c r="AT1245">
        <f>IF(COUNT($G$1226:$G$1245)&lt;20,"",STDEV($G$1226:$G$1245)*SQRT(252))</f>
        <v>0</v>
      </c>
      <c r="AU1245">
        <f>IF(COUNT($E$2:$E1245)&lt;9,"",(MAX($C$1237:$C$1245)+MIN($D$1237:$D$1245))/2)</f>
        <v>0</v>
      </c>
      <c r="AV1245">
        <f>IF(COUNT($E$2:$E1245)&lt;26,"",(MAX($C$1220:$C$1245)+MIN($D$1220:$D$1245))/2)</f>
        <v>0</v>
      </c>
      <c r="AW1245">
        <f>IF(OR(AU1245="",AV1245=""),"",(AU1245+AV1245)/2)</f>
        <v>0</v>
      </c>
      <c r="AX1245">
        <f>IF(COUNT($E$2:$E1245)&lt;52,"",(MAX($C$1194:$C$1245)+MIN($D$1194:$D$1245))/2)</f>
        <v>0</v>
      </c>
      <c r="AY1245">
        <f>IF(COUNT($E$2:$E1245)&lt;20,"",MAX($C$1146:$C$1245))</f>
        <v>0</v>
      </c>
      <c r="AZ1245">
        <f>IF(COUNT($E$2:$E1245)&lt;20,"",MIN($D$1146:$D$1245))</f>
        <v>0</v>
      </c>
      <c r="BA1245">
        <f>IF(COUNT($E$2:$E1245)&lt;20,"",SLOPE($E$1146:$E$1245,$F$1146:$F$1245))</f>
        <v>0</v>
      </c>
      <c r="BB1245">
        <f>IF(COUNT($E$2:$E1245)&lt;20,"",INTERCEPT($E$1146:$E$1245,$F$1146:$F$1245))</f>
        <v>0</v>
      </c>
      <c r="BC1245">
        <f>IF(OR(BA1245="",BB1245=""),"",BB1245+BA1245*F1245)</f>
        <v>0</v>
      </c>
      <c r="BD1245">
        <f>IF(COUNT($E$2:$E1245)&lt;20,"",STEYX($E$1146:$E$1245,$F$1146:$F$1245))</f>
        <v>0</v>
      </c>
      <c r="BE1245">
        <f>IF($E1245="","",IF(AND(COUNT($E$1246:$E$1249)&gt;=4,$C1245=MAX($C$1241:$C$1249)),$C1245,""))</f>
        <v>0</v>
      </c>
      <c r="BF1245">
        <f>IF($E1245="","",IF(AND(COUNT($E$1246:$E$1249)&gt;=4,$D1245=MIN($D$1241:$D$1249)),$D1245,""))</f>
        <v>0</v>
      </c>
      <c r="BG1245">
        <f>IF($A1245="","",$A1245-WEEKDAY($A1245,2)+1)</f>
        <v>0</v>
      </c>
      <c r="BH1245">
        <f>IF($A1245="","",IF($A1244="",1,IF(BG1245&lt;&gt;BG1244,1,0)))</f>
        <v>0</v>
      </c>
      <c r="BI1245">
        <f>IF($A1245="","",IF($A1246="",1,IF(BG1246&lt;&gt;BG1245,1,0)))</f>
        <v>0</v>
      </c>
      <c r="BJ1245">
        <f>IF($A1245="","",IF(BH1245=1,$B1245,BJ1244))</f>
        <v>0</v>
      </c>
      <c r="BK1245">
        <f>IF($A1245="","",IF(BH1245=1,$C1245,MAX($C1245,BK1244)))</f>
        <v>0</v>
      </c>
      <c r="BL1245">
        <f>IF($A1245="","",IF(BH1245=1,$D1245,MIN($D1245,BL1244)))</f>
        <v>0</v>
      </c>
      <c r="BM1245">
        <f>IF($A1245="","",IF(BI1245=1,F1245,""))</f>
        <v>0</v>
      </c>
      <c r="BN1245">
        <f>IF($A1245="","",DATE(YEAR($A1245),MONTH($A1245),1))</f>
        <v>0</v>
      </c>
      <c r="BO1245">
        <f>IF($A1245="","",IF($A1244="",1,IF(BN1245&lt;&gt;BN1244,1,0)))</f>
        <v>0</v>
      </c>
      <c r="BP1245">
        <f>IF($A1245="","",IF($A1246="",1,IF(BN1246&lt;&gt;BN1245,1,0)))</f>
        <v>0</v>
      </c>
      <c r="BQ1245">
        <f>IF($A1245="","",IF(BO1245=1,$B1245,BQ1244))</f>
        <v>0</v>
      </c>
      <c r="BR1245">
        <f>IF($A1245="","",IF(BO1245=1,$C1245,MAX($C1245,BR1244)))</f>
        <v>0</v>
      </c>
      <c r="BS1245">
        <f>IF($A1245="","",IF(BO1245=1,$D1245,MIN($D1245,BS1244)))</f>
        <v>0</v>
      </c>
      <c r="BT1245">
        <f>IF($A1245="","",IF(BP1245=1,F1245,""))</f>
        <v>0</v>
      </c>
    </row>
    <row r="1246" spans="1:72">
      <c r="A1246" s="27">
        <f>IF(Data!$A1246="","",Data!$A1246)</f>
        <v>0</v>
      </c>
      <c r="B1246">
        <f>IF(Data!$B1246="","",Data!$B1246)</f>
        <v>0</v>
      </c>
      <c r="C1246">
        <f>IF(Data!$C1246="","",Data!$C1246)</f>
        <v>0</v>
      </c>
      <c r="D1246">
        <f>IF(Data!$D1246="","",Data!$D1246)</f>
        <v>0</v>
      </c>
      <c r="E1246">
        <f>IF(Data!$E1246="","",Data!$E1246)</f>
        <v>0</v>
      </c>
      <c r="F1246">
        <f>IF($E1246="","",N(F1245)+1)</f>
        <v>0</v>
      </c>
      <c r="G1246">
        <f>IF(OR($E1246="",$E1245=""),"",LN($E1246/$E1245))</f>
        <v>0</v>
      </c>
      <c r="H1246">
        <f>IF($E1246="","",IF($E1245="",$E1246,$E1246*0.0952380952+H1245*0.9047619048))</f>
        <v>0</v>
      </c>
      <c r="I1246">
        <f>IF($E1246="","",IF($E1245="",$E1246,$E1246*0.0392156863+I1245*0.9607843137))</f>
        <v>0</v>
      </c>
      <c r="J1246">
        <f>IF($E1246="","",IF($E1245="",$E1246,$E1246*0.0198019802+J1245*0.9801980198))</f>
        <v>0</v>
      </c>
      <c r="K1246">
        <f>IF($E1246="","",IF($E1245="",$E1246,$E1246*0.0099502488+K1245*0.9900497512))</f>
        <v>0</v>
      </c>
      <c r="L1246">
        <f>IF(OR($E1246="",$E1245=""),"",MAX($E1246-$E1245,0))</f>
        <v>0</v>
      </c>
      <c r="M1246">
        <f>IF(OR($E1246="",$E1245=""),"",MAX($E1245-$E1246,0))</f>
        <v>0</v>
      </c>
      <c r="N1246">
        <f>IF(COUNT($E$2:$E1246)&lt;15,"",IF(AVERAGE($M$1233:$M$1246)=0,100,100-100/(1+AVERAGE($L$1233:$L$1246)/AVERAGE($M$1233:$M$1246))))</f>
        <v>0</v>
      </c>
      <c r="O1246">
        <f>IF($E1246="","",IF($E1245="",$E1246,$E1246*0.1538461538+O1245*0.8461538462))</f>
        <v>0</v>
      </c>
      <c r="P1246">
        <f>IF($E1246="","",IF($E1245="",$E1246,$E1246*0.0740740741+P1245*0.9259259259))</f>
        <v>0</v>
      </c>
      <c r="Q1246">
        <f>IF(OR(O1246="",P1246=""),"",O1246-P1246)</f>
        <v>0</v>
      </c>
      <c r="R1246">
        <f>IF(Q1246="","",IF(R1245="",Q1246,Q1246*0.2000000000+R1245*0.8000000000))</f>
        <v>0</v>
      </c>
      <c r="S1246">
        <f>IF(OR(Q1246="",R1246=""),"",Q1246-R1246)</f>
        <v>0</v>
      </c>
      <c r="T1246">
        <f>IF(COUNT($E$2:$E1246)&lt;14,"",MAX($C$1233:$C$1246))</f>
        <v>0</v>
      </c>
      <c r="U1246">
        <f>IF(COUNT($E$2:$E1246)&lt;14,"",MIN($D$1233:$D$1246))</f>
        <v>0</v>
      </c>
      <c r="V1246">
        <f>IF(OR(T1246="",U1246="",T1246=U1246),"",100*($E1246-U1246)/(T1246-U1246))</f>
        <v>0</v>
      </c>
      <c r="W1246">
        <f>IF(COUNT($V$1244:$V$1246)&lt;3,"",AVERAGE($V$1244:$V$1246))</f>
        <v>0</v>
      </c>
      <c r="X1246">
        <f>IF(COUNT($N$1233:$N$1246)&lt;14,"",MIN($N$1233:$N$1246))</f>
        <v>0</v>
      </c>
      <c r="Y1246">
        <f>IF(COUNT($N$1233:$N$1246)&lt;14,"",MAX($N$1233:$N$1246))</f>
        <v>0</v>
      </c>
      <c r="Z1246">
        <f>IF(OR(N1246="",X1246="",Y1246="",Y1246=X1246),"",100*(N1246-X1246)/(Y1246-X1246))</f>
        <v>0</v>
      </c>
      <c r="AA1246">
        <f>IF(COUNT($Z$1244:$Z$1246)&lt;3,"",AVERAGE($Z$1244:$Z$1246))</f>
        <v>0</v>
      </c>
      <c r="AB1246">
        <f>IF(COUNT($AA$1244:$AA$1246)&lt;3,"",AVERAGE($AA$1244:$AA$1246))</f>
        <v>0</v>
      </c>
      <c r="AC1246">
        <f>IF($E1246="","",MAX($C1246-$D1246,ABS($C1246-$E1245),ABS($D1246-$E1245)))</f>
        <v>0</v>
      </c>
      <c r="AD1246">
        <f>IF(COUNT($E$2:$E1246)&lt;15,"",AVERAGE($AC$1233:$AC$1246))</f>
        <v>0</v>
      </c>
      <c r="AE1246">
        <f>IF(OR($E1246="",$E1245=""),"",IF(AND(($C1246-$C1245)&gt;($D1245-$D1246),($C1246-$C1245)&gt;0),$C1246-$C1245,0))</f>
        <v>0</v>
      </c>
      <c r="AF1246">
        <f>IF(OR($E1246="",$E1245=""),"",IF(AND(($D1245-$D1246)&gt;($C1246-$C1245),($D1245-$D1246)&gt;0),$D1245-$D1246,0))</f>
        <v>0</v>
      </c>
      <c r="AG1246">
        <f>IF(COUNT($E$2:$E1246)&lt;15,"",IF(SUM($AC$1233:$AC$1246)=0,0,100*SUM($AE$1233:$AE$1246)/SUM($AC$1233:$AC$1246)))</f>
        <v>0</v>
      </c>
      <c r="AH1246">
        <f>IF(COUNT($E$2:$E1246)&lt;15,"",IF(SUM($AC$1233:$AC$1246)=0,0,100*SUM($AF$1233:$AF$1246)/SUM($AC$1233:$AC$1246)))</f>
        <v>0</v>
      </c>
      <c r="AI1246">
        <f>IF(OR(AG1246="",AH1246=""),"",IF((AG1246+AH1246)=0,0,100*ABS(AG1246-AH1246)/(AG1246+AH1246)))</f>
        <v>0</v>
      </c>
      <c r="AJ1246">
        <f>IF(COUNT($AI$1233:$AI$1246)&lt;14,"",AVERAGE($AI$1233:$AI$1246))</f>
        <v>0</v>
      </c>
      <c r="AK1246">
        <f>IF(COUNT($E$2:$E1246)&lt;20,"",AVERAGE($E$1227:$E$1246))</f>
        <v>0</v>
      </c>
      <c r="AL1246">
        <f>IF(COUNT($E$2:$E1246)&lt;20,"",STDEVP($E$1227:$E$1246))</f>
        <v>0</v>
      </c>
      <c r="AM1246">
        <f>IF(AK1246="","",AK1246+2*AL1246)</f>
        <v>0</v>
      </c>
      <c r="AN1246">
        <f>IF(AK1246="","",AK1246-2*AL1246)</f>
        <v>0</v>
      </c>
      <c r="AO1246">
        <f>IF(OR(AM1246="",AN1246="",AM1246=AN1246),"",($E1246-AN1246)/(AM1246-AN1246))</f>
        <v>0</v>
      </c>
      <c r="AP1246">
        <f>IF(OR(AM1246="",AK1246="",AK1246=0),"",(AM1246-AN1246)/AK1246)</f>
        <v>0</v>
      </c>
      <c r="AQ1246">
        <f>IF(COUNT($E$2:$E1246)&lt;20,"",MAX($C$1227:$C$1246))</f>
        <v>0</v>
      </c>
      <c r="AR1246">
        <f>IF(COUNT($E$2:$E1246)&lt;20,"",MIN($D$1227:$D$1246))</f>
        <v>0</v>
      </c>
      <c r="AS1246">
        <f>IF(OR(AQ1246="",AR1246=""),"",(AQ1246+AR1246)/2)</f>
        <v>0</v>
      </c>
      <c r="AT1246">
        <f>IF(COUNT($G$1227:$G$1246)&lt;20,"",STDEV($G$1227:$G$1246)*SQRT(252))</f>
        <v>0</v>
      </c>
      <c r="AU1246">
        <f>IF(COUNT($E$2:$E1246)&lt;9,"",(MAX($C$1238:$C$1246)+MIN($D$1238:$D$1246))/2)</f>
        <v>0</v>
      </c>
      <c r="AV1246">
        <f>IF(COUNT($E$2:$E1246)&lt;26,"",(MAX($C$1221:$C$1246)+MIN($D$1221:$D$1246))/2)</f>
        <v>0</v>
      </c>
      <c r="AW1246">
        <f>IF(OR(AU1246="",AV1246=""),"",(AU1246+AV1246)/2)</f>
        <v>0</v>
      </c>
      <c r="AX1246">
        <f>IF(COUNT($E$2:$E1246)&lt;52,"",(MAX($C$1195:$C$1246)+MIN($D$1195:$D$1246))/2)</f>
        <v>0</v>
      </c>
      <c r="AY1246">
        <f>IF(COUNT($E$2:$E1246)&lt;20,"",MAX($C$1147:$C$1246))</f>
        <v>0</v>
      </c>
      <c r="AZ1246">
        <f>IF(COUNT($E$2:$E1246)&lt;20,"",MIN($D$1147:$D$1246))</f>
        <v>0</v>
      </c>
      <c r="BA1246">
        <f>IF(COUNT($E$2:$E1246)&lt;20,"",SLOPE($E$1147:$E$1246,$F$1147:$F$1246))</f>
        <v>0</v>
      </c>
      <c r="BB1246">
        <f>IF(COUNT($E$2:$E1246)&lt;20,"",INTERCEPT($E$1147:$E$1246,$F$1147:$F$1246))</f>
        <v>0</v>
      </c>
      <c r="BC1246">
        <f>IF(OR(BA1246="",BB1246=""),"",BB1246+BA1246*F1246)</f>
        <v>0</v>
      </c>
      <c r="BD1246">
        <f>IF(COUNT($E$2:$E1246)&lt;20,"",STEYX($E$1147:$E$1246,$F$1147:$F$1246))</f>
        <v>0</v>
      </c>
      <c r="BE1246">
        <f>IF($E1246="","",IF(AND(COUNT($E$1247:$E$1250)&gt;=4,$C1246=MAX($C$1242:$C$1250)),$C1246,""))</f>
        <v>0</v>
      </c>
      <c r="BF1246">
        <f>IF($E1246="","",IF(AND(COUNT($E$1247:$E$1250)&gt;=4,$D1246=MIN($D$1242:$D$1250)),$D1246,""))</f>
        <v>0</v>
      </c>
      <c r="BG1246">
        <f>IF($A1246="","",$A1246-WEEKDAY($A1246,2)+1)</f>
        <v>0</v>
      </c>
      <c r="BH1246">
        <f>IF($A1246="","",IF($A1245="",1,IF(BG1246&lt;&gt;BG1245,1,0)))</f>
        <v>0</v>
      </c>
      <c r="BI1246">
        <f>IF($A1246="","",IF($A1247="",1,IF(BG1247&lt;&gt;BG1246,1,0)))</f>
        <v>0</v>
      </c>
      <c r="BJ1246">
        <f>IF($A1246="","",IF(BH1246=1,$B1246,BJ1245))</f>
        <v>0</v>
      </c>
      <c r="BK1246">
        <f>IF($A1246="","",IF(BH1246=1,$C1246,MAX($C1246,BK1245)))</f>
        <v>0</v>
      </c>
      <c r="BL1246">
        <f>IF($A1246="","",IF(BH1246=1,$D1246,MIN($D1246,BL1245)))</f>
        <v>0</v>
      </c>
      <c r="BM1246">
        <f>IF($A1246="","",IF(BI1246=1,F1246,""))</f>
        <v>0</v>
      </c>
      <c r="BN1246">
        <f>IF($A1246="","",DATE(YEAR($A1246),MONTH($A1246),1))</f>
        <v>0</v>
      </c>
      <c r="BO1246">
        <f>IF($A1246="","",IF($A1245="",1,IF(BN1246&lt;&gt;BN1245,1,0)))</f>
        <v>0</v>
      </c>
      <c r="BP1246">
        <f>IF($A1246="","",IF($A1247="",1,IF(BN1247&lt;&gt;BN1246,1,0)))</f>
        <v>0</v>
      </c>
      <c r="BQ1246">
        <f>IF($A1246="","",IF(BO1246=1,$B1246,BQ1245))</f>
        <v>0</v>
      </c>
      <c r="BR1246">
        <f>IF($A1246="","",IF(BO1246=1,$C1246,MAX($C1246,BR1245)))</f>
        <v>0</v>
      </c>
      <c r="BS1246">
        <f>IF($A1246="","",IF(BO1246=1,$D1246,MIN($D1246,BS1245)))</f>
        <v>0</v>
      </c>
      <c r="BT1246">
        <f>IF($A1246="","",IF(BP1246=1,F1246,""))</f>
        <v>0</v>
      </c>
    </row>
    <row r="1247" spans="1:72">
      <c r="A1247" s="27">
        <f>IF(Data!$A1247="","",Data!$A1247)</f>
        <v>0</v>
      </c>
      <c r="B1247">
        <f>IF(Data!$B1247="","",Data!$B1247)</f>
        <v>0</v>
      </c>
      <c r="C1247">
        <f>IF(Data!$C1247="","",Data!$C1247)</f>
        <v>0</v>
      </c>
      <c r="D1247">
        <f>IF(Data!$D1247="","",Data!$D1247)</f>
        <v>0</v>
      </c>
      <c r="E1247">
        <f>IF(Data!$E1247="","",Data!$E1247)</f>
        <v>0</v>
      </c>
      <c r="F1247">
        <f>IF($E1247="","",N(F1246)+1)</f>
        <v>0</v>
      </c>
      <c r="G1247">
        <f>IF(OR($E1247="",$E1246=""),"",LN($E1247/$E1246))</f>
        <v>0</v>
      </c>
      <c r="H1247">
        <f>IF($E1247="","",IF($E1246="",$E1247,$E1247*0.0952380952+H1246*0.9047619048))</f>
        <v>0</v>
      </c>
      <c r="I1247">
        <f>IF($E1247="","",IF($E1246="",$E1247,$E1247*0.0392156863+I1246*0.9607843137))</f>
        <v>0</v>
      </c>
      <c r="J1247">
        <f>IF($E1247="","",IF($E1246="",$E1247,$E1247*0.0198019802+J1246*0.9801980198))</f>
        <v>0</v>
      </c>
      <c r="K1247">
        <f>IF($E1247="","",IF($E1246="",$E1247,$E1247*0.0099502488+K1246*0.9900497512))</f>
        <v>0</v>
      </c>
      <c r="L1247">
        <f>IF(OR($E1247="",$E1246=""),"",MAX($E1247-$E1246,0))</f>
        <v>0</v>
      </c>
      <c r="M1247">
        <f>IF(OR($E1247="",$E1246=""),"",MAX($E1246-$E1247,0))</f>
        <v>0</v>
      </c>
      <c r="N1247">
        <f>IF(COUNT($E$2:$E1247)&lt;15,"",IF(AVERAGE($M$1234:$M$1247)=0,100,100-100/(1+AVERAGE($L$1234:$L$1247)/AVERAGE($M$1234:$M$1247))))</f>
        <v>0</v>
      </c>
      <c r="O1247">
        <f>IF($E1247="","",IF($E1246="",$E1247,$E1247*0.1538461538+O1246*0.8461538462))</f>
        <v>0</v>
      </c>
      <c r="P1247">
        <f>IF($E1247="","",IF($E1246="",$E1247,$E1247*0.0740740741+P1246*0.9259259259))</f>
        <v>0</v>
      </c>
      <c r="Q1247">
        <f>IF(OR(O1247="",P1247=""),"",O1247-P1247)</f>
        <v>0</v>
      </c>
      <c r="R1247">
        <f>IF(Q1247="","",IF(R1246="",Q1247,Q1247*0.2000000000+R1246*0.8000000000))</f>
        <v>0</v>
      </c>
      <c r="S1247">
        <f>IF(OR(Q1247="",R1247=""),"",Q1247-R1247)</f>
        <v>0</v>
      </c>
      <c r="T1247">
        <f>IF(COUNT($E$2:$E1247)&lt;14,"",MAX($C$1234:$C$1247))</f>
        <v>0</v>
      </c>
      <c r="U1247">
        <f>IF(COUNT($E$2:$E1247)&lt;14,"",MIN($D$1234:$D$1247))</f>
        <v>0</v>
      </c>
      <c r="V1247">
        <f>IF(OR(T1247="",U1247="",T1247=U1247),"",100*($E1247-U1247)/(T1247-U1247))</f>
        <v>0</v>
      </c>
      <c r="W1247">
        <f>IF(COUNT($V$1245:$V$1247)&lt;3,"",AVERAGE($V$1245:$V$1247))</f>
        <v>0</v>
      </c>
      <c r="X1247">
        <f>IF(COUNT($N$1234:$N$1247)&lt;14,"",MIN($N$1234:$N$1247))</f>
        <v>0</v>
      </c>
      <c r="Y1247">
        <f>IF(COUNT($N$1234:$N$1247)&lt;14,"",MAX($N$1234:$N$1247))</f>
        <v>0</v>
      </c>
      <c r="Z1247">
        <f>IF(OR(N1247="",X1247="",Y1247="",Y1247=X1247),"",100*(N1247-X1247)/(Y1247-X1247))</f>
        <v>0</v>
      </c>
      <c r="AA1247">
        <f>IF(COUNT($Z$1245:$Z$1247)&lt;3,"",AVERAGE($Z$1245:$Z$1247))</f>
        <v>0</v>
      </c>
      <c r="AB1247">
        <f>IF(COUNT($AA$1245:$AA$1247)&lt;3,"",AVERAGE($AA$1245:$AA$1247))</f>
        <v>0</v>
      </c>
      <c r="AC1247">
        <f>IF($E1247="","",MAX($C1247-$D1247,ABS($C1247-$E1246),ABS($D1247-$E1246)))</f>
        <v>0</v>
      </c>
      <c r="AD1247">
        <f>IF(COUNT($E$2:$E1247)&lt;15,"",AVERAGE($AC$1234:$AC$1247))</f>
        <v>0</v>
      </c>
      <c r="AE1247">
        <f>IF(OR($E1247="",$E1246=""),"",IF(AND(($C1247-$C1246)&gt;($D1246-$D1247),($C1247-$C1246)&gt;0),$C1247-$C1246,0))</f>
        <v>0</v>
      </c>
      <c r="AF1247">
        <f>IF(OR($E1247="",$E1246=""),"",IF(AND(($D1246-$D1247)&gt;($C1247-$C1246),($D1246-$D1247)&gt;0),$D1246-$D1247,0))</f>
        <v>0</v>
      </c>
      <c r="AG1247">
        <f>IF(COUNT($E$2:$E1247)&lt;15,"",IF(SUM($AC$1234:$AC$1247)=0,0,100*SUM($AE$1234:$AE$1247)/SUM($AC$1234:$AC$1247)))</f>
        <v>0</v>
      </c>
      <c r="AH1247">
        <f>IF(COUNT($E$2:$E1247)&lt;15,"",IF(SUM($AC$1234:$AC$1247)=0,0,100*SUM($AF$1234:$AF$1247)/SUM($AC$1234:$AC$1247)))</f>
        <v>0</v>
      </c>
      <c r="AI1247">
        <f>IF(OR(AG1247="",AH1247=""),"",IF((AG1247+AH1247)=0,0,100*ABS(AG1247-AH1247)/(AG1247+AH1247)))</f>
        <v>0</v>
      </c>
      <c r="AJ1247">
        <f>IF(COUNT($AI$1234:$AI$1247)&lt;14,"",AVERAGE($AI$1234:$AI$1247))</f>
        <v>0</v>
      </c>
      <c r="AK1247">
        <f>IF(COUNT($E$2:$E1247)&lt;20,"",AVERAGE($E$1228:$E$1247))</f>
        <v>0</v>
      </c>
      <c r="AL1247">
        <f>IF(COUNT($E$2:$E1247)&lt;20,"",STDEVP($E$1228:$E$1247))</f>
        <v>0</v>
      </c>
      <c r="AM1247">
        <f>IF(AK1247="","",AK1247+2*AL1247)</f>
        <v>0</v>
      </c>
      <c r="AN1247">
        <f>IF(AK1247="","",AK1247-2*AL1247)</f>
        <v>0</v>
      </c>
      <c r="AO1247">
        <f>IF(OR(AM1247="",AN1247="",AM1247=AN1247),"",($E1247-AN1247)/(AM1247-AN1247))</f>
        <v>0</v>
      </c>
      <c r="AP1247">
        <f>IF(OR(AM1247="",AK1247="",AK1247=0),"",(AM1247-AN1247)/AK1247)</f>
        <v>0</v>
      </c>
      <c r="AQ1247">
        <f>IF(COUNT($E$2:$E1247)&lt;20,"",MAX($C$1228:$C$1247))</f>
        <v>0</v>
      </c>
      <c r="AR1247">
        <f>IF(COUNT($E$2:$E1247)&lt;20,"",MIN($D$1228:$D$1247))</f>
        <v>0</v>
      </c>
      <c r="AS1247">
        <f>IF(OR(AQ1247="",AR1247=""),"",(AQ1247+AR1247)/2)</f>
        <v>0</v>
      </c>
      <c r="AT1247">
        <f>IF(COUNT($G$1228:$G$1247)&lt;20,"",STDEV($G$1228:$G$1247)*SQRT(252))</f>
        <v>0</v>
      </c>
      <c r="AU1247">
        <f>IF(COUNT($E$2:$E1247)&lt;9,"",(MAX($C$1239:$C$1247)+MIN($D$1239:$D$1247))/2)</f>
        <v>0</v>
      </c>
      <c r="AV1247">
        <f>IF(COUNT($E$2:$E1247)&lt;26,"",(MAX($C$1222:$C$1247)+MIN($D$1222:$D$1247))/2)</f>
        <v>0</v>
      </c>
      <c r="AW1247">
        <f>IF(OR(AU1247="",AV1247=""),"",(AU1247+AV1247)/2)</f>
        <v>0</v>
      </c>
      <c r="AX1247">
        <f>IF(COUNT($E$2:$E1247)&lt;52,"",(MAX($C$1196:$C$1247)+MIN($D$1196:$D$1247))/2)</f>
        <v>0</v>
      </c>
      <c r="AY1247">
        <f>IF(COUNT($E$2:$E1247)&lt;20,"",MAX($C$1148:$C$1247))</f>
        <v>0</v>
      </c>
      <c r="AZ1247">
        <f>IF(COUNT($E$2:$E1247)&lt;20,"",MIN($D$1148:$D$1247))</f>
        <v>0</v>
      </c>
      <c r="BA1247">
        <f>IF(COUNT($E$2:$E1247)&lt;20,"",SLOPE($E$1148:$E$1247,$F$1148:$F$1247))</f>
        <v>0</v>
      </c>
      <c r="BB1247">
        <f>IF(COUNT($E$2:$E1247)&lt;20,"",INTERCEPT($E$1148:$E$1247,$F$1148:$F$1247))</f>
        <v>0</v>
      </c>
      <c r="BC1247">
        <f>IF(OR(BA1247="",BB1247=""),"",BB1247+BA1247*F1247)</f>
        <v>0</v>
      </c>
      <c r="BD1247">
        <f>IF(COUNT($E$2:$E1247)&lt;20,"",STEYX($E$1148:$E$1247,$F$1148:$F$1247))</f>
        <v>0</v>
      </c>
      <c r="BE1247">
        <f>IF($E1247="","",IF(AND(COUNT($E$1248:$E$1251)&gt;=4,$C1247=MAX($C$1243:$C$1251)),$C1247,""))</f>
        <v>0</v>
      </c>
      <c r="BF1247">
        <f>IF($E1247="","",IF(AND(COUNT($E$1248:$E$1251)&gt;=4,$D1247=MIN($D$1243:$D$1251)),$D1247,""))</f>
        <v>0</v>
      </c>
      <c r="BG1247">
        <f>IF($A1247="","",$A1247-WEEKDAY($A1247,2)+1)</f>
        <v>0</v>
      </c>
      <c r="BH1247">
        <f>IF($A1247="","",IF($A1246="",1,IF(BG1247&lt;&gt;BG1246,1,0)))</f>
        <v>0</v>
      </c>
      <c r="BI1247">
        <f>IF($A1247="","",IF($A1248="",1,IF(BG1248&lt;&gt;BG1247,1,0)))</f>
        <v>0</v>
      </c>
      <c r="BJ1247">
        <f>IF($A1247="","",IF(BH1247=1,$B1247,BJ1246))</f>
        <v>0</v>
      </c>
      <c r="BK1247">
        <f>IF($A1247="","",IF(BH1247=1,$C1247,MAX($C1247,BK1246)))</f>
        <v>0</v>
      </c>
      <c r="BL1247">
        <f>IF($A1247="","",IF(BH1247=1,$D1247,MIN($D1247,BL1246)))</f>
        <v>0</v>
      </c>
      <c r="BM1247">
        <f>IF($A1247="","",IF(BI1247=1,F1247,""))</f>
        <v>0</v>
      </c>
      <c r="BN1247">
        <f>IF($A1247="","",DATE(YEAR($A1247),MONTH($A1247),1))</f>
        <v>0</v>
      </c>
      <c r="BO1247">
        <f>IF($A1247="","",IF($A1246="",1,IF(BN1247&lt;&gt;BN1246,1,0)))</f>
        <v>0</v>
      </c>
      <c r="BP1247">
        <f>IF($A1247="","",IF($A1248="",1,IF(BN1248&lt;&gt;BN1247,1,0)))</f>
        <v>0</v>
      </c>
      <c r="BQ1247">
        <f>IF($A1247="","",IF(BO1247=1,$B1247,BQ1246))</f>
        <v>0</v>
      </c>
      <c r="BR1247">
        <f>IF($A1247="","",IF(BO1247=1,$C1247,MAX($C1247,BR1246)))</f>
        <v>0</v>
      </c>
      <c r="BS1247">
        <f>IF($A1247="","",IF(BO1247=1,$D1247,MIN($D1247,BS1246)))</f>
        <v>0</v>
      </c>
      <c r="BT1247">
        <f>IF($A1247="","",IF(BP1247=1,F1247,""))</f>
        <v>0</v>
      </c>
    </row>
    <row r="1248" spans="1:72">
      <c r="A1248" s="27">
        <f>IF(Data!$A1248="","",Data!$A1248)</f>
        <v>0</v>
      </c>
      <c r="B1248">
        <f>IF(Data!$B1248="","",Data!$B1248)</f>
        <v>0</v>
      </c>
      <c r="C1248">
        <f>IF(Data!$C1248="","",Data!$C1248)</f>
        <v>0</v>
      </c>
      <c r="D1248">
        <f>IF(Data!$D1248="","",Data!$D1248)</f>
        <v>0</v>
      </c>
      <c r="E1248">
        <f>IF(Data!$E1248="","",Data!$E1248)</f>
        <v>0</v>
      </c>
      <c r="F1248">
        <f>IF($E1248="","",N(F1247)+1)</f>
        <v>0</v>
      </c>
      <c r="G1248">
        <f>IF(OR($E1248="",$E1247=""),"",LN($E1248/$E1247))</f>
        <v>0</v>
      </c>
      <c r="H1248">
        <f>IF($E1248="","",IF($E1247="",$E1248,$E1248*0.0952380952+H1247*0.9047619048))</f>
        <v>0</v>
      </c>
      <c r="I1248">
        <f>IF($E1248="","",IF($E1247="",$E1248,$E1248*0.0392156863+I1247*0.9607843137))</f>
        <v>0</v>
      </c>
      <c r="J1248">
        <f>IF($E1248="","",IF($E1247="",$E1248,$E1248*0.0198019802+J1247*0.9801980198))</f>
        <v>0</v>
      </c>
      <c r="K1248">
        <f>IF($E1248="","",IF($E1247="",$E1248,$E1248*0.0099502488+K1247*0.9900497512))</f>
        <v>0</v>
      </c>
      <c r="L1248">
        <f>IF(OR($E1248="",$E1247=""),"",MAX($E1248-$E1247,0))</f>
        <v>0</v>
      </c>
      <c r="M1248">
        <f>IF(OR($E1248="",$E1247=""),"",MAX($E1247-$E1248,0))</f>
        <v>0</v>
      </c>
      <c r="N1248">
        <f>IF(COUNT($E$2:$E1248)&lt;15,"",IF(AVERAGE($M$1235:$M$1248)=0,100,100-100/(1+AVERAGE($L$1235:$L$1248)/AVERAGE($M$1235:$M$1248))))</f>
        <v>0</v>
      </c>
      <c r="O1248">
        <f>IF($E1248="","",IF($E1247="",$E1248,$E1248*0.1538461538+O1247*0.8461538462))</f>
        <v>0</v>
      </c>
      <c r="P1248">
        <f>IF($E1248="","",IF($E1247="",$E1248,$E1248*0.0740740741+P1247*0.9259259259))</f>
        <v>0</v>
      </c>
      <c r="Q1248">
        <f>IF(OR(O1248="",P1248=""),"",O1248-P1248)</f>
        <v>0</v>
      </c>
      <c r="R1248">
        <f>IF(Q1248="","",IF(R1247="",Q1248,Q1248*0.2000000000+R1247*0.8000000000))</f>
        <v>0</v>
      </c>
      <c r="S1248">
        <f>IF(OR(Q1248="",R1248=""),"",Q1248-R1248)</f>
        <v>0</v>
      </c>
      <c r="T1248">
        <f>IF(COUNT($E$2:$E1248)&lt;14,"",MAX($C$1235:$C$1248))</f>
        <v>0</v>
      </c>
      <c r="U1248">
        <f>IF(COUNT($E$2:$E1248)&lt;14,"",MIN($D$1235:$D$1248))</f>
        <v>0</v>
      </c>
      <c r="V1248">
        <f>IF(OR(T1248="",U1248="",T1248=U1248),"",100*($E1248-U1248)/(T1248-U1248))</f>
        <v>0</v>
      </c>
      <c r="W1248">
        <f>IF(COUNT($V$1246:$V$1248)&lt;3,"",AVERAGE($V$1246:$V$1248))</f>
        <v>0</v>
      </c>
      <c r="X1248">
        <f>IF(COUNT($N$1235:$N$1248)&lt;14,"",MIN($N$1235:$N$1248))</f>
        <v>0</v>
      </c>
      <c r="Y1248">
        <f>IF(COUNT($N$1235:$N$1248)&lt;14,"",MAX($N$1235:$N$1248))</f>
        <v>0</v>
      </c>
      <c r="Z1248">
        <f>IF(OR(N1248="",X1248="",Y1248="",Y1248=X1248),"",100*(N1248-X1248)/(Y1248-X1248))</f>
        <v>0</v>
      </c>
      <c r="AA1248">
        <f>IF(COUNT($Z$1246:$Z$1248)&lt;3,"",AVERAGE($Z$1246:$Z$1248))</f>
        <v>0</v>
      </c>
      <c r="AB1248">
        <f>IF(COUNT($AA$1246:$AA$1248)&lt;3,"",AVERAGE($AA$1246:$AA$1248))</f>
        <v>0</v>
      </c>
      <c r="AC1248">
        <f>IF($E1248="","",MAX($C1248-$D1248,ABS($C1248-$E1247),ABS($D1248-$E1247)))</f>
        <v>0</v>
      </c>
      <c r="AD1248">
        <f>IF(COUNT($E$2:$E1248)&lt;15,"",AVERAGE($AC$1235:$AC$1248))</f>
        <v>0</v>
      </c>
      <c r="AE1248">
        <f>IF(OR($E1248="",$E1247=""),"",IF(AND(($C1248-$C1247)&gt;($D1247-$D1248),($C1248-$C1247)&gt;0),$C1248-$C1247,0))</f>
        <v>0</v>
      </c>
      <c r="AF1248">
        <f>IF(OR($E1248="",$E1247=""),"",IF(AND(($D1247-$D1248)&gt;($C1248-$C1247),($D1247-$D1248)&gt;0),$D1247-$D1248,0))</f>
        <v>0</v>
      </c>
      <c r="AG1248">
        <f>IF(COUNT($E$2:$E1248)&lt;15,"",IF(SUM($AC$1235:$AC$1248)=0,0,100*SUM($AE$1235:$AE$1248)/SUM($AC$1235:$AC$1248)))</f>
        <v>0</v>
      </c>
      <c r="AH1248">
        <f>IF(COUNT($E$2:$E1248)&lt;15,"",IF(SUM($AC$1235:$AC$1248)=0,0,100*SUM($AF$1235:$AF$1248)/SUM($AC$1235:$AC$1248)))</f>
        <v>0</v>
      </c>
      <c r="AI1248">
        <f>IF(OR(AG1248="",AH1248=""),"",IF((AG1248+AH1248)=0,0,100*ABS(AG1248-AH1248)/(AG1248+AH1248)))</f>
        <v>0</v>
      </c>
      <c r="AJ1248">
        <f>IF(COUNT($AI$1235:$AI$1248)&lt;14,"",AVERAGE($AI$1235:$AI$1248))</f>
        <v>0</v>
      </c>
      <c r="AK1248">
        <f>IF(COUNT($E$2:$E1248)&lt;20,"",AVERAGE($E$1229:$E$1248))</f>
        <v>0</v>
      </c>
      <c r="AL1248">
        <f>IF(COUNT($E$2:$E1248)&lt;20,"",STDEVP($E$1229:$E$1248))</f>
        <v>0</v>
      </c>
      <c r="AM1248">
        <f>IF(AK1248="","",AK1248+2*AL1248)</f>
        <v>0</v>
      </c>
      <c r="AN1248">
        <f>IF(AK1248="","",AK1248-2*AL1248)</f>
        <v>0</v>
      </c>
      <c r="AO1248">
        <f>IF(OR(AM1248="",AN1248="",AM1248=AN1248),"",($E1248-AN1248)/(AM1248-AN1248))</f>
        <v>0</v>
      </c>
      <c r="AP1248">
        <f>IF(OR(AM1248="",AK1248="",AK1248=0),"",(AM1248-AN1248)/AK1248)</f>
        <v>0</v>
      </c>
      <c r="AQ1248">
        <f>IF(COUNT($E$2:$E1248)&lt;20,"",MAX($C$1229:$C$1248))</f>
        <v>0</v>
      </c>
      <c r="AR1248">
        <f>IF(COUNT($E$2:$E1248)&lt;20,"",MIN($D$1229:$D$1248))</f>
        <v>0</v>
      </c>
      <c r="AS1248">
        <f>IF(OR(AQ1248="",AR1248=""),"",(AQ1248+AR1248)/2)</f>
        <v>0</v>
      </c>
      <c r="AT1248">
        <f>IF(COUNT($G$1229:$G$1248)&lt;20,"",STDEV($G$1229:$G$1248)*SQRT(252))</f>
        <v>0</v>
      </c>
      <c r="AU1248">
        <f>IF(COUNT($E$2:$E1248)&lt;9,"",(MAX($C$1240:$C$1248)+MIN($D$1240:$D$1248))/2)</f>
        <v>0</v>
      </c>
      <c r="AV1248">
        <f>IF(COUNT($E$2:$E1248)&lt;26,"",(MAX($C$1223:$C$1248)+MIN($D$1223:$D$1248))/2)</f>
        <v>0</v>
      </c>
      <c r="AW1248">
        <f>IF(OR(AU1248="",AV1248=""),"",(AU1248+AV1248)/2)</f>
        <v>0</v>
      </c>
      <c r="AX1248">
        <f>IF(COUNT($E$2:$E1248)&lt;52,"",(MAX($C$1197:$C$1248)+MIN($D$1197:$D$1248))/2)</f>
        <v>0</v>
      </c>
      <c r="AY1248">
        <f>IF(COUNT($E$2:$E1248)&lt;20,"",MAX($C$1149:$C$1248))</f>
        <v>0</v>
      </c>
      <c r="AZ1248">
        <f>IF(COUNT($E$2:$E1248)&lt;20,"",MIN($D$1149:$D$1248))</f>
        <v>0</v>
      </c>
      <c r="BA1248">
        <f>IF(COUNT($E$2:$E1248)&lt;20,"",SLOPE($E$1149:$E$1248,$F$1149:$F$1248))</f>
        <v>0</v>
      </c>
      <c r="BB1248">
        <f>IF(COUNT($E$2:$E1248)&lt;20,"",INTERCEPT($E$1149:$E$1248,$F$1149:$F$1248))</f>
        <v>0</v>
      </c>
      <c r="BC1248">
        <f>IF(OR(BA1248="",BB1248=""),"",BB1248+BA1248*F1248)</f>
        <v>0</v>
      </c>
      <c r="BD1248">
        <f>IF(COUNT($E$2:$E1248)&lt;20,"",STEYX($E$1149:$E$1248,$F$1149:$F$1248))</f>
        <v>0</v>
      </c>
      <c r="BE1248">
        <f>IF($E1248="","",IF(AND(COUNT($E$1249:$E$1252)&gt;=4,$C1248=MAX($C$1244:$C$1252)),$C1248,""))</f>
        <v>0</v>
      </c>
      <c r="BF1248">
        <f>IF($E1248="","",IF(AND(COUNT($E$1249:$E$1252)&gt;=4,$D1248=MIN($D$1244:$D$1252)),$D1248,""))</f>
        <v>0</v>
      </c>
      <c r="BG1248">
        <f>IF($A1248="","",$A1248-WEEKDAY($A1248,2)+1)</f>
        <v>0</v>
      </c>
      <c r="BH1248">
        <f>IF($A1248="","",IF($A1247="",1,IF(BG1248&lt;&gt;BG1247,1,0)))</f>
        <v>0</v>
      </c>
      <c r="BI1248">
        <f>IF($A1248="","",IF($A1249="",1,IF(BG1249&lt;&gt;BG1248,1,0)))</f>
        <v>0</v>
      </c>
      <c r="BJ1248">
        <f>IF($A1248="","",IF(BH1248=1,$B1248,BJ1247))</f>
        <v>0</v>
      </c>
      <c r="BK1248">
        <f>IF($A1248="","",IF(BH1248=1,$C1248,MAX($C1248,BK1247)))</f>
        <v>0</v>
      </c>
      <c r="BL1248">
        <f>IF($A1248="","",IF(BH1248=1,$D1248,MIN($D1248,BL1247)))</f>
        <v>0</v>
      </c>
      <c r="BM1248">
        <f>IF($A1248="","",IF(BI1248=1,F1248,""))</f>
        <v>0</v>
      </c>
      <c r="BN1248">
        <f>IF($A1248="","",DATE(YEAR($A1248),MONTH($A1248),1))</f>
        <v>0</v>
      </c>
      <c r="BO1248">
        <f>IF($A1248="","",IF($A1247="",1,IF(BN1248&lt;&gt;BN1247,1,0)))</f>
        <v>0</v>
      </c>
      <c r="BP1248">
        <f>IF($A1248="","",IF($A1249="",1,IF(BN1249&lt;&gt;BN1248,1,0)))</f>
        <v>0</v>
      </c>
      <c r="BQ1248">
        <f>IF($A1248="","",IF(BO1248=1,$B1248,BQ1247))</f>
        <v>0</v>
      </c>
      <c r="BR1248">
        <f>IF($A1248="","",IF(BO1248=1,$C1248,MAX($C1248,BR1247)))</f>
        <v>0</v>
      </c>
      <c r="BS1248">
        <f>IF($A1248="","",IF(BO1248=1,$D1248,MIN($D1248,BS1247)))</f>
        <v>0</v>
      </c>
      <c r="BT1248">
        <f>IF($A1248="","",IF(BP1248=1,F1248,""))</f>
        <v>0</v>
      </c>
    </row>
    <row r="1249" spans="1:72">
      <c r="A1249" s="27">
        <f>IF(Data!$A1249="","",Data!$A1249)</f>
        <v>0</v>
      </c>
      <c r="B1249">
        <f>IF(Data!$B1249="","",Data!$B1249)</f>
        <v>0</v>
      </c>
      <c r="C1249">
        <f>IF(Data!$C1249="","",Data!$C1249)</f>
        <v>0</v>
      </c>
      <c r="D1249">
        <f>IF(Data!$D1249="","",Data!$D1249)</f>
        <v>0</v>
      </c>
      <c r="E1249">
        <f>IF(Data!$E1249="","",Data!$E1249)</f>
        <v>0</v>
      </c>
      <c r="F1249">
        <f>IF($E1249="","",N(F1248)+1)</f>
        <v>0</v>
      </c>
      <c r="G1249">
        <f>IF(OR($E1249="",$E1248=""),"",LN($E1249/$E1248))</f>
        <v>0</v>
      </c>
      <c r="H1249">
        <f>IF($E1249="","",IF($E1248="",$E1249,$E1249*0.0952380952+H1248*0.9047619048))</f>
        <v>0</v>
      </c>
      <c r="I1249">
        <f>IF($E1249="","",IF($E1248="",$E1249,$E1249*0.0392156863+I1248*0.9607843137))</f>
        <v>0</v>
      </c>
      <c r="J1249">
        <f>IF($E1249="","",IF($E1248="",$E1249,$E1249*0.0198019802+J1248*0.9801980198))</f>
        <v>0</v>
      </c>
      <c r="K1249">
        <f>IF($E1249="","",IF($E1248="",$E1249,$E1249*0.0099502488+K1248*0.9900497512))</f>
        <v>0</v>
      </c>
      <c r="L1249">
        <f>IF(OR($E1249="",$E1248=""),"",MAX($E1249-$E1248,0))</f>
        <v>0</v>
      </c>
      <c r="M1249">
        <f>IF(OR($E1249="",$E1248=""),"",MAX($E1248-$E1249,0))</f>
        <v>0</v>
      </c>
      <c r="N1249">
        <f>IF(COUNT($E$2:$E1249)&lt;15,"",IF(AVERAGE($M$1236:$M$1249)=0,100,100-100/(1+AVERAGE($L$1236:$L$1249)/AVERAGE($M$1236:$M$1249))))</f>
        <v>0</v>
      </c>
      <c r="O1249">
        <f>IF($E1249="","",IF($E1248="",$E1249,$E1249*0.1538461538+O1248*0.8461538462))</f>
        <v>0</v>
      </c>
      <c r="P1249">
        <f>IF($E1249="","",IF($E1248="",$E1249,$E1249*0.0740740741+P1248*0.9259259259))</f>
        <v>0</v>
      </c>
      <c r="Q1249">
        <f>IF(OR(O1249="",P1249=""),"",O1249-P1249)</f>
        <v>0</v>
      </c>
      <c r="R1249">
        <f>IF(Q1249="","",IF(R1248="",Q1249,Q1249*0.2000000000+R1248*0.8000000000))</f>
        <v>0</v>
      </c>
      <c r="S1249">
        <f>IF(OR(Q1249="",R1249=""),"",Q1249-R1249)</f>
        <v>0</v>
      </c>
      <c r="T1249">
        <f>IF(COUNT($E$2:$E1249)&lt;14,"",MAX($C$1236:$C$1249))</f>
        <v>0</v>
      </c>
      <c r="U1249">
        <f>IF(COUNT($E$2:$E1249)&lt;14,"",MIN($D$1236:$D$1249))</f>
        <v>0</v>
      </c>
      <c r="V1249">
        <f>IF(OR(T1249="",U1249="",T1249=U1249),"",100*($E1249-U1249)/(T1249-U1249))</f>
        <v>0</v>
      </c>
      <c r="W1249">
        <f>IF(COUNT($V$1247:$V$1249)&lt;3,"",AVERAGE($V$1247:$V$1249))</f>
        <v>0</v>
      </c>
      <c r="X1249">
        <f>IF(COUNT($N$1236:$N$1249)&lt;14,"",MIN($N$1236:$N$1249))</f>
        <v>0</v>
      </c>
      <c r="Y1249">
        <f>IF(COUNT($N$1236:$N$1249)&lt;14,"",MAX($N$1236:$N$1249))</f>
        <v>0</v>
      </c>
      <c r="Z1249">
        <f>IF(OR(N1249="",X1249="",Y1249="",Y1249=X1249),"",100*(N1249-X1249)/(Y1249-X1249))</f>
        <v>0</v>
      </c>
      <c r="AA1249">
        <f>IF(COUNT($Z$1247:$Z$1249)&lt;3,"",AVERAGE($Z$1247:$Z$1249))</f>
        <v>0</v>
      </c>
      <c r="AB1249">
        <f>IF(COUNT($AA$1247:$AA$1249)&lt;3,"",AVERAGE($AA$1247:$AA$1249))</f>
        <v>0</v>
      </c>
      <c r="AC1249">
        <f>IF($E1249="","",MAX($C1249-$D1249,ABS($C1249-$E1248),ABS($D1249-$E1248)))</f>
        <v>0</v>
      </c>
      <c r="AD1249">
        <f>IF(COUNT($E$2:$E1249)&lt;15,"",AVERAGE($AC$1236:$AC$1249))</f>
        <v>0</v>
      </c>
      <c r="AE1249">
        <f>IF(OR($E1249="",$E1248=""),"",IF(AND(($C1249-$C1248)&gt;($D1248-$D1249),($C1249-$C1248)&gt;0),$C1249-$C1248,0))</f>
        <v>0</v>
      </c>
      <c r="AF1249">
        <f>IF(OR($E1249="",$E1248=""),"",IF(AND(($D1248-$D1249)&gt;($C1249-$C1248),($D1248-$D1249)&gt;0),$D1248-$D1249,0))</f>
        <v>0</v>
      </c>
      <c r="AG1249">
        <f>IF(COUNT($E$2:$E1249)&lt;15,"",IF(SUM($AC$1236:$AC$1249)=0,0,100*SUM($AE$1236:$AE$1249)/SUM($AC$1236:$AC$1249)))</f>
        <v>0</v>
      </c>
      <c r="AH1249">
        <f>IF(COUNT($E$2:$E1249)&lt;15,"",IF(SUM($AC$1236:$AC$1249)=0,0,100*SUM($AF$1236:$AF$1249)/SUM($AC$1236:$AC$1249)))</f>
        <v>0</v>
      </c>
      <c r="AI1249">
        <f>IF(OR(AG1249="",AH1249=""),"",IF((AG1249+AH1249)=0,0,100*ABS(AG1249-AH1249)/(AG1249+AH1249)))</f>
        <v>0</v>
      </c>
      <c r="AJ1249">
        <f>IF(COUNT($AI$1236:$AI$1249)&lt;14,"",AVERAGE($AI$1236:$AI$1249))</f>
        <v>0</v>
      </c>
      <c r="AK1249">
        <f>IF(COUNT($E$2:$E1249)&lt;20,"",AVERAGE($E$1230:$E$1249))</f>
        <v>0</v>
      </c>
      <c r="AL1249">
        <f>IF(COUNT($E$2:$E1249)&lt;20,"",STDEVP($E$1230:$E$1249))</f>
        <v>0</v>
      </c>
      <c r="AM1249">
        <f>IF(AK1249="","",AK1249+2*AL1249)</f>
        <v>0</v>
      </c>
      <c r="AN1249">
        <f>IF(AK1249="","",AK1249-2*AL1249)</f>
        <v>0</v>
      </c>
      <c r="AO1249">
        <f>IF(OR(AM1249="",AN1249="",AM1249=AN1249),"",($E1249-AN1249)/(AM1249-AN1249))</f>
        <v>0</v>
      </c>
      <c r="AP1249">
        <f>IF(OR(AM1249="",AK1249="",AK1249=0),"",(AM1249-AN1249)/AK1249)</f>
        <v>0</v>
      </c>
      <c r="AQ1249">
        <f>IF(COUNT($E$2:$E1249)&lt;20,"",MAX($C$1230:$C$1249))</f>
        <v>0</v>
      </c>
      <c r="AR1249">
        <f>IF(COUNT($E$2:$E1249)&lt;20,"",MIN($D$1230:$D$1249))</f>
        <v>0</v>
      </c>
      <c r="AS1249">
        <f>IF(OR(AQ1249="",AR1249=""),"",(AQ1249+AR1249)/2)</f>
        <v>0</v>
      </c>
      <c r="AT1249">
        <f>IF(COUNT($G$1230:$G$1249)&lt;20,"",STDEV($G$1230:$G$1249)*SQRT(252))</f>
        <v>0</v>
      </c>
      <c r="AU1249">
        <f>IF(COUNT($E$2:$E1249)&lt;9,"",(MAX($C$1241:$C$1249)+MIN($D$1241:$D$1249))/2)</f>
        <v>0</v>
      </c>
      <c r="AV1249">
        <f>IF(COUNT($E$2:$E1249)&lt;26,"",(MAX($C$1224:$C$1249)+MIN($D$1224:$D$1249))/2)</f>
        <v>0</v>
      </c>
      <c r="AW1249">
        <f>IF(OR(AU1249="",AV1249=""),"",(AU1249+AV1249)/2)</f>
        <v>0</v>
      </c>
      <c r="AX1249">
        <f>IF(COUNT($E$2:$E1249)&lt;52,"",(MAX($C$1198:$C$1249)+MIN($D$1198:$D$1249))/2)</f>
        <v>0</v>
      </c>
      <c r="AY1249">
        <f>IF(COUNT($E$2:$E1249)&lt;20,"",MAX($C$1150:$C$1249))</f>
        <v>0</v>
      </c>
      <c r="AZ1249">
        <f>IF(COUNT($E$2:$E1249)&lt;20,"",MIN($D$1150:$D$1249))</f>
        <v>0</v>
      </c>
      <c r="BA1249">
        <f>IF(COUNT($E$2:$E1249)&lt;20,"",SLOPE($E$1150:$E$1249,$F$1150:$F$1249))</f>
        <v>0</v>
      </c>
      <c r="BB1249">
        <f>IF(COUNT($E$2:$E1249)&lt;20,"",INTERCEPT($E$1150:$E$1249,$F$1150:$F$1249))</f>
        <v>0</v>
      </c>
      <c r="BC1249">
        <f>IF(OR(BA1249="",BB1249=""),"",BB1249+BA1249*F1249)</f>
        <v>0</v>
      </c>
      <c r="BD1249">
        <f>IF(COUNT($E$2:$E1249)&lt;20,"",STEYX($E$1150:$E$1249,$F$1150:$F$1249))</f>
        <v>0</v>
      </c>
      <c r="BE1249">
        <f>IF($E1249="","",IF(AND(COUNT($E$1250:$E$1253)&gt;=4,$C1249=MAX($C$1245:$C$1253)),$C1249,""))</f>
        <v>0</v>
      </c>
      <c r="BF1249">
        <f>IF($E1249="","",IF(AND(COUNT($E$1250:$E$1253)&gt;=4,$D1249=MIN($D$1245:$D$1253)),$D1249,""))</f>
        <v>0</v>
      </c>
      <c r="BG1249">
        <f>IF($A1249="","",$A1249-WEEKDAY($A1249,2)+1)</f>
        <v>0</v>
      </c>
      <c r="BH1249">
        <f>IF($A1249="","",IF($A1248="",1,IF(BG1249&lt;&gt;BG1248,1,0)))</f>
        <v>0</v>
      </c>
      <c r="BI1249">
        <f>IF($A1249="","",IF($A1250="",1,IF(BG1250&lt;&gt;BG1249,1,0)))</f>
        <v>0</v>
      </c>
      <c r="BJ1249">
        <f>IF($A1249="","",IF(BH1249=1,$B1249,BJ1248))</f>
        <v>0</v>
      </c>
      <c r="BK1249">
        <f>IF($A1249="","",IF(BH1249=1,$C1249,MAX($C1249,BK1248)))</f>
        <v>0</v>
      </c>
      <c r="BL1249">
        <f>IF($A1249="","",IF(BH1249=1,$D1249,MIN($D1249,BL1248)))</f>
        <v>0</v>
      </c>
      <c r="BM1249">
        <f>IF($A1249="","",IF(BI1249=1,F1249,""))</f>
        <v>0</v>
      </c>
      <c r="BN1249">
        <f>IF($A1249="","",DATE(YEAR($A1249),MONTH($A1249),1))</f>
        <v>0</v>
      </c>
      <c r="BO1249">
        <f>IF($A1249="","",IF($A1248="",1,IF(BN1249&lt;&gt;BN1248,1,0)))</f>
        <v>0</v>
      </c>
      <c r="BP1249">
        <f>IF($A1249="","",IF($A1250="",1,IF(BN1250&lt;&gt;BN1249,1,0)))</f>
        <v>0</v>
      </c>
      <c r="BQ1249">
        <f>IF($A1249="","",IF(BO1249=1,$B1249,BQ1248))</f>
        <v>0</v>
      </c>
      <c r="BR1249">
        <f>IF($A1249="","",IF(BO1249=1,$C1249,MAX($C1249,BR1248)))</f>
        <v>0</v>
      </c>
      <c r="BS1249">
        <f>IF($A1249="","",IF(BO1249=1,$D1249,MIN($D1249,BS1248)))</f>
        <v>0</v>
      </c>
      <c r="BT1249">
        <f>IF($A1249="","",IF(BP1249=1,F1249,""))</f>
        <v>0</v>
      </c>
    </row>
    <row r="1250" spans="1:72">
      <c r="A1250" s="27">
        <f>IF(Data!$A1250="","",Data!$A1250)</f>
        <v>0</v>
      </c>
      <c r="B1250">
        <f>IF(Data!$B1250="","",Data!$B1250)</f>
        <v>0</v>
      </c>
      <c r="C1250">
        <f>IF(Data!$C1250="","",Data!$C1250)</f>
        <v>0</v>
      </c>
      <c r="D1250">
        <f>IF(Data!$D1250="","",Data!$D1250)</f>
        <v>0</v>
      </c>
      <c r="E1250">
        <f>IF(Data!$E1250="","",Data!$E1250)</f>
        <v>0</v>
      </c>
      <c r="F1250">
        <f>IF($E1250="","",N(F1249)+1)</f>
        <v>0</v>
      </c>
      <c r="G1250">
        <f>IF(OR($E1250="",$E1249=""),"",LN($E1250/$E1249))</f>
        <v>0</v>
      </c>
      <c r="H1250">
        <f>IF($E1250="","",IF($E1249="",$E1250,$E1250*0.0952380952+H1249*0.9047619048))</f>
        <v>0</v>
      </c>
      <c r="I1250">
        <f>IF($E1250="","",IF($E1249="",$E1250,$E1250*0.0392156863+I1249*0.9607843137))</f>
        <v>0</v>
      </c>
      <c r="J1250">
        <f>IF($E1250="","",IF($E1249="",$E1250,$E1250*0.0198019802+J1249*0.9801980198))</f>
        <v>0</v>
      </c>
      <c r="K1250">
        <f>IF($E1250="","",IF($E1249="",$E1250,$E1250*0.0099502488+K1249*0.9900497512))</f>
        <v>0</v>
      </c>
      <c r="L1250">
        <f>IF(OR($E1250="",$E1249=""),"",MAX($E1250-$E1249,0))</f>
        <v>0</v>
      </c>
      <c r="M1250">
        <f>IF(OR($E1250="",$E1249=""),"",MAX($E1249-$E1250,0))</f>
        <v>0</v>
      </c>
      <c r="N1250">
        <f>IF(COUNT($E$2:$E1250)&lt;15,"",IF(AVERAGE($M$1237:$M$1250)=0,100,100-100/(1+AVERAGE($L$1237:$L$1250)/AVERAGE($M$1237:$M$1250))))</f>
        <v>0</v>
      </c>
      <c r="O1250">
        <f>IF($E1250="","",IF($E1249="",$E1250,$E1250*0.1538461538+O1249*0.8461538462))</f>
        <v>0</v>
      </c>
      <c r="P1250">
        <f>IF($E1250="","",IF($E1249="",$E1250,$E1250*0.0740740741+P1249*0.9259259259))</f>
        <v>0</v>
      </c>
      <c r="Q1250">
        <f>IF(OR(O1250="",P1250=""),"",O1250-P1250)</f>
        <v>0</v>
      </c>
      <c r="R1250">
        <f>IF(Q1250="","",IF(R1249="",Q1250,Q1250*0.2000000000+R1249*0.8000000000))</f>
        <v>0</v>
      </c>
      <c r="S1250">
        <f>IF(OR(Q1250="",R1250=""),"",Q1250-R1250)</f>
        <v>0</v>
      </c>
      <c r="T1250">
        <f>IF(COUNT($E$2:$E1250)&lt;14,"",MAX($C$1237:$C$1250))</f>
        <v>0</v>
      </c>
      <c r="U1250">
        <f>IF(COUNT($E$2:$E1250)&lt;14,"",MIN($D$1237:$D$1250))</f>
        <v>0</v>
      </c>
      <c r="V1250">
        <f>IF(OR(T1250="",U1250="",T1250=U1250),"",100*($E1250-U1250)/(T1250-U1250))</f>
        <v>0</v>
      </c>
      <c r="W1250">
        <f>IF(COUNT($V$1248:$V$1250)&lt;3,"",AVERAGE($V$1248:$V$1250))</f>
        <v>0</v>
      </c>
      <c r="X1250">
        <f>IF(COUNT($N$1237:$N$1250)&lt;14,"",MIN($N$1237:$N$1250))</f>
        <v>0</v>
      </c>
      <c r="Y1250">
        <f>IF(COUNT($N$1237:$N$1250)&lt;14,"",MAX($N$1237:$N$1250))</f>
        <v>0</v>
      </c>
      <c r="Z1250">
        <f>IF(OR(N1250="",X1250="",Y1250="",Y1250=X1250),"",100*(N1250-X1250)/(Y1250-X1250))</f>
        <v>0</v>
      </c>
      <c r="AA1250">
        <f>IF(COUNT($Z$1248:$Z$1250)&lt;3,"",AVERAGE($Z$1248:$Z$1250))</f>
        <v>0</v>
      </c>
      <c r="AB1250">
        <f>IF(COUNT($AA$1248:$AA$1250)&lt;3,"",AVERAGE($AA$1248:$AA$1250))</f>
        <v>0</v>
      </c>
      <c r="AC1250">
        <f>IF($E1250="","",MAX($C1250-$D1250,ABS($C1250-$E1249),ABS($D1250-$E1249)))</f>
        <v>0</v>
      </c>
      <c r="AD1250">
        <f>IF(COUNT($E$2:$E1250)&lt;15,"",AVERAGE($AC$1237:$AC$1250))</f>
        <v>0</v>
      </c>
      <c r="AE1250">
        <f>IF(OR($E1250="",$E1249=""),"",IF(AND(($C1250-$C1249)&gt;($D1249-$D1250),($C1250-$C1249)&gt;0),$C1250-$C1249,0))</f>
        <v>0</v>
      </c>
      <c r="AF1250">
        <f>IF(OR($E1250="",$E1249=""),"",IF(AND(($D1249-$D1250)&gt;($C1250-$C1249),($D1249-$D1250)&gt;0),$D1249-$D1250,0))</f>
        <v>0</v>
      </c>
      <c r="AG1250">
        <f>IF(COUNT($E$2:$E1250)&lt;15,"",IF(SUM($AC$1237:$AC$1250)=0,0,100*SUM($AE$1237:$AE$1250)/SUM($AC$1237:$AC$1250)))</f>
        <v>0</v>
      </c>
      <c r="AH1250">
        <f>IF(COUNT($E$2:$E1250)&lt;15,"",IF(SUM($AC$1237:$AC$1250)=0,0,100*SUM($AF$1237:$AF$1250)/SUM($AC$1237:$AC$1250)))</f>
        <v>0</v>
      </c>
      <c r="AI1250">
        <f>IF(OR(AG1250="",AH1250=""),"",IF((AG1250+AH1250)=0,0,100*ABS(AG1250-AH1250)/(AG1250+AH1250)))</f>
        <v>0</v>
      </c>
      <c r="AJ1250">
        <f>IF(COUNT($AI$1237:$AI$1250)&lt;14,"",AVERAGE($AI$1237:$AI$1250))</f>
        <v>0</v>
      </c>
      <c r="AK1250">
        <f>IF(COUNT($E$2:$E1250)&lt;20,"",AVERAGE($E$1231:$E$1250))</f>
        <v>0</v>
      </c>
      <c r="AL1250">
        <f>IF(COUNT($E$2:$E1250)&lt;20,"",STDEVP($E$1231:$E$1250))</f>
        <v>0</v>
      </c>
      <c r="AM1250">
        <f>IF(AK1250="","",AK1250+2*AL1250)</f>
        <v>0</v>
      </c>
      <c r="AN1250">
        <f>IF(AK1250="","",AK1250-2*AL1250)</f>
        <v>0</v>
      </c>
      <c r="AO1250">
        <f>IF(OR(AM1250="",AN1250="",AM1250=AN1250),"",($E1250-AN1250)/(AM1250-AN1250))</f>
        <v>0</v>
      </c>
      <c r="AP1250">
        <f>IF(OR(AM1250="",AK1250="",AK1250=0),"",(AM1250-AN1250)/AK1250)</f>
        <v>0</v>
      </c>
      <c r="AQ1250">
        <f>IF(COUNT($E$2:$E1250)&lt;20,"",MAX($C$1231:$C$1250))</f>
        <v>0</v>
      </c>
      <c r="AR1250">
        <f>IF(COUNT($E$2:$E1250)&lt;20,"",MIN($D$1231:$D$1250))</f>
        <v>0</v>
      </c>
      <c r="AS1250">
        <f>IF(OR(AQ1250="",AR1250=""),"",(AQ1250+AR1250)/2)</f>
        <v>0</v>
      </c>
      <c r="AT1250">
        <f>IF(COUNT($G$1231:$G$1250)&lt;20,"",STDEV($G$1231:$G$1250)*SQRT(252))</f>
        <v>0</v>
      </c>
      <c r="AU1250">
        <f>IF(COUNT($E$2:$E1250)&lt;9,"",(MAX($C$1242:$C$1250)+MIN($D$1242:$D$1250))/2)</f>
        <v>0</v>
      </c>
      <c r="AV1250">
        <f>IF(COUNT($E$2:$E1250)&lt;26,"",(MAX($C$1225:$C$1250)+MIN($D$1225:$D$1250))/2)</f>
        <v>0</v>
      </c>
      <c r="AW1250">
        <f>IF(OR(AU1250="",AV1250=""),"",(AU1250+AV1250)/2)</f>
        <v>0</v>
      </c>
      <c r="AX1250">
        <f>IF(COUNT($E$2:$E1250)&lt;52,"",(MAX($C$1199:$C$1250)+MIN($D$1199:$D$1250))/2)</f>
        <v>0</v>
      </c>
      <c r="AY1250">
        <f>IF(COUNT($E$2:$E1250)&lt;20,"",MAX($C$1151:$C$1250))</f>
        <v>0</v>
      </c>
      <c r="AZ1250">
        <f>IF(COUNT($E$2:$E1250)&lt;20,"",MIN($D$1151:$D$1250))</f>
        <v>0</v>
      </c>
      <c r="BA1250">
        <f>IF(COUNT($E$2:$E1250)&lt;20,"",SLOPE($E$1151:$E$1250,$F$1151:$F$1250))</f>
        <v>0</v>
      </c>
      <c r="BB1250">
        <f>IF(COUNT($E$2:$E1250)&lt;20,"",INTERCEPT($E$1151:$E$1250,$F$1151:$F$1250))</f>
        <v>0</v>
      </c>
      <c r="BC1250">
        <f>IF(OR(BA1250="",BB1250=""),"",BB1250+BA1250*F1250)</f>
        <v>0</v>
      </c>
      <c r="BD1250">
        <f>IF(COUNT($E$2:$E1250)&lt;20,"",STEYX($E$1151:$E$1250,$F$1151:$F$1250))</f>
        <v>0</v>
      </c>
      <c r="BE1250">
        <f>IF($E1250="","",IF(AND(COUNT($E$1251:$E$1254)&gt;=4,$C1250=MAX($C$1246:$C$1254)),$C1250,""))</f>
        <v>0</v>
      </c>
      <c r="BF1250">
        <f>IF($E1250="","",IF(AND(COUNT($E$1251:$E$1254)&gt;=4,$D1250=MIN($D$1246:$D$1254)),$D1250,""))</f>
        <v>0</v>
      </c>
      <c r="BG1250">
        <f>IF($A1250="","",$A1250-WEEKDAY($A1250,2)+1)</f>
        <v>0</v>
      </c>
      <c r="BH1250">
        <f>IF($A1250="","",IF($A1249="",1,IF(BG1250&lt;&gt;BG1249,1,0)))</f>
        <v>0</v>
      </c>
      <c r="BI1250">
        <f>IF($A1250="","",IF($A1251="",1,IF(BG1251&lt;&gt;BG1250,1,0)))</f>
        <v>0</v>
      </c>
      <c r="BJ1250">
        <f>IF($A1250="","",IF(BH1250=1,$B1250,BJ1249))</f>
        <v>0</v>
      </c>
      <c r="BK1250">
        <f>IF($A1250="","",IF(BH1250=1,$C1250,MAX($C1250,BK1249)))</f>
        <v>0</v>
      </c>
      <c r="BL1250">
        <f>IF($A1250="","",IF(BH1250=1,$D1250,MIN($D1250,BL1249)))</f>
        <v>0</v>
      </c>
      <c r="BM1250">
        <f>IF($A1250="","",IF(BI1250=1,F1250,""))</f>
        <v>0</v>
      </c>
      <c r="BN1250">
        <f>IF($A1250="","",DATE(YEAR($A1250),MONTH($A1250),1))</f>
        <v>0</v>
      </c>
      <c r="BO1250">
        <f>IF($A1250="","",IF($A1249="",1,IF(BN1250&lt;&gt;BN1249,1,0)))</f>
        <v>0</v>
      </c>
      <c r="BP1250">
        <f>IF($A1250="","",IF($A1251="",1,IF(BN1251&lt;&gt;BN1250,1,0)))</f>
        <v>0</v>
      </c>
      <c r="BQ1250">
        <f>IF($A1250="","",IF(BO1250=1,$B1250,BQ1249))</f>
        <v>0</v>
      </c>
      <c r="BR1250">
        <f>IF($A1250="","",IF(BO1250=1,$C1250,MAX($C1250,BR1249)))</f>
        <v>0</v>
      </c>
      <c r="BS1250">
        <f>IF($A1250="","",IF(BO1250=1,$D1250,MIN($D1250,BS1249)))</f>
        <v>0</v>
      </c>
      <c r="BT1250">
        <f>IF($A1250="","",IF(BP1250=1,F1250,""))</f>
        <v>0</v>
      </c>
    </row>
    <row r="1251" spans="1:72">
      <c r="A1251" s="27">
        <f>IF(Data!$A1251="","",Data!$A1251)</f>
        <v>0</v>
      </c>
      <c r="B1251">
        <f>IF(Data!$B1251="","",Data!$B1251)</f>
        <v>0</v>
      </c>
      <c r="C1251">
        <f>IF(Data!$C1251="","",Data!$C1251)</f>
        <v>0</v>
      </c>
      <c r="D1251">
        <f>IF(Data!$D1251="","",Data!$D1251)</f>
        <v>0</v>
      </c>
      <c r="E1251">
        <f>IF(Data!$E1251="","",Data!$E1251)</f>
        <v>0</v>
      </c>
      <c r="F1251">
        <f>IF($E1251="","",N(F1250)+1)</f>
        <v>0</v>
      </c>
      <c r="G1251">
        <f>IF(OR($E1251="",$E1250=""),"",LN($E1251/$E1250))</f>
        <v>0</v>
      </c>
      <c r="H1251">
        <f>IF($E1251="","",IF($E1250="",$E1251,$E1251*0.0952380952+H1250*0.9047619048))</f>
        <v>0</v>
      </c>
      <c r="I1251">
        <f>IF($E1251="","",IF($E1250="",$E1251,$E1251*0.0392156863+I1250*0.9607843137))</f>
        <v>0</v>
      </c>
      <c r="J1251">
        <f>IF($E1251="","",IF($E1250="",$E1251,$E1251*0.0198019802+J1250*0.9801980198))</f>
        <v>0</v>
      </c>
      <c r="K1251">
        <f>IF($E1251="","",IF($E1250="",$E1251,$E1251*0.0099502488+K1250*0.9900497512))</f>
        <v>0</v>
      </c>
      <c r="L1251">
        <f>IF(OR($E1251="",$E1250=""),"",MAX($E1251-$E1250,0))</f>
        <v>0</v>
      </c>
      <c r="M1251">
        <f>IF(OR($E1251="",$E1250=""),"",MAX($E1250-$E1251,0))</f>
        <v>0</v>
      </c>
      <c r="N1251">
        <f>IF(COUNT($E$2:$E1251)&lt;15,"",IF(AVERAGE($M$1238:$M$1251)=0,100,100-100/(1+AVERAGE($L$1238:$L$1251)/AVERAGE($M$1238:$M$1251))))</f>
        <v>0</v>
      </c>
      <c r="O1251">
        <f>IF($E1251="","",IF($E1250="",$E1251,$E1251*0.1538461538+O1250*0.8461538462))</f>
        <v>0</v>
      </c>
      <c r="P1251">
        <f>IF($E1251="","",IF($E1250="",$E1251,$E1251*0.0740740741+P1250*0.9259259259))</f>
        <v>0</v>
      </c>
      <c r="Q1251">
        <f>IF(OR(O1251="",P1251=""),"",O1251-P1251)</f>
        <v>0</v>
      </c>
      <c r="R1251">
        <f>IF(Q1251="","",IF(R1250="",Q1251,Q1251*0.2000000000+R1250*0.8000000000))</f>
        <v>0</v>
      </c>
      <c r="S1251">
        <f>IF(OR(Q1251="",R1251=""),"",Q1251-R1251)</f>
        <v>0</v>
      </c>
      <c r="T1251">
        <f>IF(COUNT($E$2:$E1251)&lt;14,"",MAX($C$1238:$C$1251))</f>
        <v>0</v>
      </c>
      <c r="U1251">
        <f>IF(COUNT($E$2:$E1251)&lt;14,"",MIN($D$1238:$D$1251))</f>
        <v>0</v>
      </c>
      <c r="V1251">
        <f>IF(OR(T1251="",U1251="",T1251=U1251),"",100*($E1251-U1251)/(T1251-U1251))</f>
        <v>0</v>
      </c>
      <c r="W1251">
        <f>IF(COUNT($V$1249:$V$1251)&lt;3,"",AVERAGE($V$1249:$V$1251))</f>
        <v>0</v>
      </c>
      <c r="X1251">
        <f>IF(COUNT($N$1238:$N$1251)&lt;14,"",MIN($N$1238:$N$1251))</f>
        <v>0</v>
      </c>
      <c r="Y1251">
        <f>IF(COUNT($N$1238:$N$1251)&lt;14,"",MAX($N$1238:$N$1251))</f>
        <v>0</v>
      </c>
      <c r="Z1251">
        <f>IF(OR(N1251="",X1251="",Y1251="",Y1251=X1251),"",100*(N1251-X1251)/(Y1251-X1251))</f>
        <v>0</v>
      </c>
      <c r="AA1251">
        <f>IF(COUNT($Z$1249:$Z$1251)&lt;3,"",AVERAGE($Z$1249:$Z$1251))</f>
        <v>0</v>
      </c>
      <c r="AB1251">
        <f>IF(COUNT($AA$1249:$AA$1251)&lt;3,"",AVERAGE($AA$1249:$AA$1251))</f>
        <v>0</v>
      </c>
      <c r="AC1251">
        <f>IF($E1251="","",MAX($C1251-$D1251,ABS($C1251-$E1250),ABS($D1251-$E1250)))</f>
        <v>0</v>
      </c>
      <c r="AD1251">
        <f>IF(COUNT($E$2:$E1251)&lt;15,"",AVERAGE($AC$1238:$AC$1251))</f>
        <v>0</v>
      </c>
      <c r="AE1251">
        <f>IF(OR($E1251="",$E1250=""),"",IF(AND(($C1251-$C1250)&gt;($D1250-$D1251),($C1251-$C1250)&gt;0),$C1251-$C1250,0))</f>
        <v>0</v>
      </c>
      <c r="AF1251">
        <f>IF(OR($E1251="",$E1250=""),"",IF(AND(($D1250-$D1251)&gt;($C1251-$C1250),($D1250-$D1251)&gt;0),$D1250-$D1251,0))</f>
        <v>0</v>
      </c>
      <c r="AG1251">
        <f>IF(COUNT($E$2:$E1251)&lt;15,"",IF(SUM($AC$1238:$AC$1251)=0,0,100*SUM($AE$1238:$AE$1251)/SUM($AC$1238:$AC$1251)))</f>
        <v>0</v>
      </c>
      <c r="AH1251">
        <f>IF(COUNT($E$2:$E1251)&lt;15,"",IF(SUM($AC$1238:$AC$1251)=0,0,100*SUM($AF$1238:$AF$1251)/SUM($AC$1238:$AC$1251)))</f>
        <v>0</v>
      </c>
      <c r="AI1251">
        <f>IF(OR(AG1251="",AH1251=""),"",IF((AG1251+AH1251)=0,0,100*ABS(AG1251-AH1251)/(AG1251+AH1251)))</f>
        <v>0</v>
      </c>
      <c r="AJ1251">
        <f>IF(COUNT($AI$1238:$AI$1251)&lt;14,"",AVERAGE($AI$1238:$AI$1251))</f>
        <v>0</v>
      </c>
      <c r="AK1251">
        <f>IF(COUNT($E$2:$E1251)&lt;20,"",AVERAGE($E$1232:$E$1251))</f>
        <v>0</v>
      </c>
      <c r="AL1251">
        <f>IF(COUNT($E$2:$E1251)&lt;20,"",STDEVP($E$1232:$E$1251))</f>
        <v>0</v>
      </c>
      <c r="AM1251">
        <f>IF(AK1251="","",AK1251+2*AL1251)</f>
        <v>0</v>
      </c>
      <c r="AN1251">
        <f>IF(AK1251="","",AK1251-2*AL1251)</f>
        <v>0</v>
      </c>
      <c r="AO1251">
        <f>IF(OR(AM1251="",AN1251="",AM1251=AN1251),"",($E1251-AN1251)/(AM1251-AN1251))</f>
        <v>0</v>
      </c>
      <c r="AP1251">
        <f>IF(OR(AM1251="",AK1251="",AK1251=0),"",(AM1251-AN1251)/AK1251)</f>
        <v>0</v>
      </c>
      <c r="AQ1251">
        <f>IF(COUNT($E$2:$E1251)&lt;20,"",MAX($C$1232:$C$1251))</f>
        <v>0</v>
      </c>
      <c r="AR1251">
        <f>IF(COUNT($E$2:$E1251)&lt;20,"",MIN($D$1232:$D$1251))</f>
        <v>0</v>
      </c>
      <c r="AS1251">
        <f>IF(OR(AQ1251="",AR1251=""),"",(AQ1251+AR1251)/2)</f>
        <v>0</v>
      </c>
      <c r="AT1251">
        <f>IF(COUNT($G$1232:$G$1251)&lt;20,"",STDEV($G$1232:$G$1251)*SQRT(252))</f>
        <v>0</v>
      </c>
      <c r="AU1251">
        <f>IF(COUNT($E$2:$E1251)&lt;9,"",(MAX($C$1243:$C$1251)+MIN($D$1243:$D$1251))/2)</f>
        <v>0</v>
      </c>
      <c r="AV1251">
        <f>IF(COUNT($E$2:$E1251)&lt;26,"",(MAX($C$1226:$C$1251)+MIN($D$1226:$D$1251))/2)</f>
        <v>0</v>
      </c>
      <c r="AW1251">
        <f>IF(OR(AU1251="",AV1251=""),"",(AU1251+AV1251)/2)</f>
        <v>0</v>
      </c>
      <c r="AX1251">
        <f>IF(COUNT($E$2:$E1251)&lt;52,"",(MAX($C$1200:$C$1251)+MIN($D$1200:$D$1251))/2)</f>
        <v>0</v>
      </c>
      <c r="AY1251">
        <f>IF(COUNT($E$2:$E1251)&lt;20,"",MAX($C$1152:$C$1251))</f>
        <v>0</v>
      </c>
      <c r="AZ1251">
        <f>IF(COUNT($E$2:$E1251)&lt;20,"",MIN($D$1152:$D$1251))</f>
        <v>0</v>
      </c>
      <c r="BA1251">
        <f>IF(COUNT($E$2:$E1251)&lt;20,"",SLOPE($E$1152:$E$1251,$F$1152:$F$1251))</f>
        <v>0</v>
      </c>
      <c r="BB1251">
        <f>IF(COUNT($E$2:$E1251)&lt;20,"",INTERCEPT($E$1152:$E$1251,$F$1152:$F$1251))</f>
        <v>0</v>
      </c>
      <c r="BC1251">
        <f>IF(OR(BA1251="",BB1251=""),"",BB1251+BA1251*F1251)</f>
        <v>0</v>
      </c>
      <c r="BD1251">
        <f>IF(COUNT($E$2:$E1251)&lt;20,"",STEYX($E$1152:$E$1251,$F$1152:$F$1251))</f>
        <v>0</v>
      </c>
      <c r="BE1251">
        <f>IF($E1251="","",IF(AND(COUNT($E$1252:$E$1255)&gt;=4,$C1251=MAX($C$1247:$C$1255)),$C1251,""))</f>
        <v>0</v>
      </c>
      <c r="BF1251">
        <f>IF($E1251="","",IF(AND(COUNT($E$1252:$E$1255)&gt;=4,$D1251=MIN($D$1247:$D$1255)),$D1251,""))</f>
        <v>0</v>
      </c>
      <c r="BG1251">
        <f>IF($A1251="","",$A1251-WEEKDAY($A1251,2)+1)</f>
        <v>0</v>
      </c>
      <c r="BH1251">
        <f>IF($A1251="","",IF($A1250="",1,IF(BG1251&lt;&gt;BG1250,1,0)))</f>
        <v>0</v>
      </c>
      <c r="BI1251">
        <f>IF($A1251="","",IF($A1252="",1,IF(BG1252&lt;&gt;BG1251,1,0)))</f>
        <v>0</v>
      </c>
      <c r="BJ1251">
        <f>IF($A1251="","",IF(BH1251=1,$B1251,BJ1250))</f>
        <v>0</v>
      </c>
      <c r="BK1251">
        <f>IF($A1251="","",IF(BH1251=1,$C1251,MAX($C1251,BK1250)))</f>
        <v>0</v>
      </c>
      <c r="BL1251">
        <f>IF($A1251="","",IF(BH1251=1,$D1251,MIN($D1251,BL1250)))</f>
        <v>0</v>
      </c>
      <c r="BM1251">
        <f>IF($A1251="","",IF(BI1251=1,F1251,""))</f>
        <v>0</v>
      </c>
      <c r="BN1251">
        <f>IF($A1251="","",DATE(YEAR($A1251),MONTH($A1251),1))</f>
        <v>0</v>
      </c>
      <c r="BO1251">
        <f>IF($A1251="","",IF($A1250="",1,IF(BN1251&lt;&gt;BN1250,1,0)))</f>
        <v>0</v>
      </c>
      <c r="BP1251">
        <f>IF($A1251="","",IF($A1252="",1,IF(BN1252&lt;&gt;BN1251,1,0)))</f>
        <v>0</v>
      </c>
      <c r="BQ1251">
        <f>IF($A1251="","",IF(BO1251=1,$B1251,BQ1250))</f>
        <v>0</v>
      </c>
      <c r="BR1251">
        <f>IF($A1251="","",IF(BO1251=1,$C1251,MAX($C1251,BR1250)))</f>
        <v>0</v>
      </c>
      <c r="BS1251">
        <f>IF($A1251="","",IF(BO1251=1,$D1251,MIN($D1251,BS1250)))</f>
        <v>0</v>
      </c>
      <c r="BT1251">
        <f>IF($A1251="","",IF(BP1251=1,F1251,""))</f>
        <v>0</v>
      </c>
    </row>
    <row r="1252" spans="1:72">
      <c r="A1252" s="27">
        <f>IF(Data!$A1252="","",Data!$A1252)</f>
        <v>0</v>
      </c>
      <c r="B1252">
        <f>IF(Data!$B1252="","",Data!$B1252)</f>
        <v>0</v>
      </c>
      <c r="C1252">
        <f>IF(Data!$C1252="","",Data!$C1252)</f>
        <v>0</v>
      </c>
      <c r="D1252">
        <f>IF(Data!$D1252="","",Data!$D1252)</f>
        <v>0</v>
      </c>
      <c r="E1252">
        <f>IF(Data!$E1252="","",Data!$E1252)</f>
        <v>0</v>
      </c>
      <c r="F1252">
        <f>IF($E1252="","",N(F1251)+1)</f>
        <v>0</v>
      </c>
      <c r="G1252">
        <f>IF(OR($E1252="",$E1251=""),"",LN($E1252/$E1251))</f>
        <v>0</v>
      </c>
      <c r="H1252">
        <f>IF($E1252="","",IF($E1251="",$E1252,$E1252*0.0952380952+H1251*0.9047619048))</f>
        <v>0</v>
      </c>
      <c r="I1252">
        <f>IF($E1252="","",IF($E1251="",$E1252,$E1252*0.0392156863+I1251*0.9607843137))</f>
        <v>0</v>
      </c>
      <c r="J1252">
        <f>IF($E1252="","",IF($E1251="",$E1252,$E1252*0.0198019802+J1251*0.9801980198))</f>
        <v>0</v>
      </c>
      <c r="K1252">
        <f>IF($E1252="","",IF($E1251="",$E1252,$E1252*0.0099502488+K1251*0.9900497512))</f>
        <v>0</v>
      </c>
      <c r="L1252">
        <f>IF(OR($E1252="",$E1251=""),"",MAX($E1252-$E1251,0))</f>
        <v>0</v>
      </c>
      <c r="M1252">
        <f>IF(OR($E1252="",$E1251=""),"",MAX($E1251-$E1252,0))</f>
        <v>0</v>
      </c>
      <c r="N1252">
        <f>IF(COUNT($E$2:$E1252)&lt;15,"",IF(AVERAGE($M$1239:$M$1252)=0,100,100-100/(1+AVERAGE($L$1239:$L$1252)/AVERAGE($M$1239:$M$1252))))</f>
        <v>0</v>
      </c>
      <c r="O1252">
        <f>IF($E1252="","",IF($E1251="",$E1252,$E1252*0.1538461538+O1251*0.8461538462))</f>
        <v>0</v>
      </c>
      <c r="P1252">
        <f>IF($E1252="","",IF($E1251="",$E1252,$E1252*0.0740740741+P1251*0.9259259259))</f>
        <v>0</v>
      </c>
      <c r="Q1252">
        <f>IF(OR(O1252="",P1252=""),"",O1252-P1252)</f>
        <v>0</v>
      </c>
      <c r="R1252">
        <f>IF(Q1252="","",IF(R1251="",Q1252,Q1252*0.2000000000+R1251*0.8000000000))</f>
        <v>0</v>
      </c>
      <c r="S1252">
        <f>IF(OR(Q1252="",R1252=""),"",Q1252-R1252)</f>
        <v>0</v>
      </c>
      <c r="T1252">
        <f>IF(COUNT($E$2:$E1252)&lt;14,"",MAX($C$1239:$C$1252))</f>
        <v>0</v>
      </c>
      <c r="U1252">
        <f>IF(COUNT($E$2:$E1252)&lt;14,"",MIN($D$1239:$D$1252))</f>
        <v>0</v>
      </c>
      <c r="V1252">
        <f>IF(OR(T1252="",U1252="",T1252=U1252),"",100*($E1252-U1252)/(T1252-U1252))</f>
        <v>0</v>
      </c>
      <c r="W1252">
        <f>IF(COUNT($V$1250:$V$1252)&lt;3,"",AVERAGE($V$1250:$V$1252))</f>
        <v>0</v>
      </c>
      <c r="X1252">
        <f>IF(COUNT($N$1239:$N$1252)&lt;14,"",MIN($N$1239:$N$1252))</f>
        <v>0</v>
      </c>
      <c r="Y1252">
        <f>IF(COUNT($N$1239:$N$1252)&lt;14,"",MAX($N$1239:$N$1252))</f>
        <v>0</v>
      </c>
      <c r="Z1252">
        <f>IF(OR(N1252="",X1252="",Y1252="",Y1252=X1252),"",100*(N1252-X1252)/(Y1252-X1252))</f>
        <v>0</v>
      </c>
      <c r="AA1252">
        <f>IF(COUNT($Z$1250:$Z$1252)&lt;3,"",AVERAGE($Z$1250:$Z$1252))</f>
        <v>0</v>
      </c>
      <c r="AB1252">
        <f>IF(COUNT($AA$1250:$AA$1252)&lt;3,"",AVERAGE($AA$1250:$AA$1252))</f>
        <v>0</v>
      </c>
      <c r="AC1252">
        <f>IF($E1252="","",MAX($C1252-$D1252,ABS($C1252-$E1251),ABS($D1252-$E1251)))</f>
        <v>0</v>
      </c>
      <c r="AD1252">
        <f>IF(COUNT($E$2:$E1252)&lt;15,"",AVERAGE($AC$1239:$AC$1252))</f>
        <v>0</v>
      </c>
      <c r="AE1252">
        <f>IF(OR($E1252="",$E1251=""),"",IF(AND(($C1252-$C1251)&gt;($D1251-$D1252),($C1252-$C1251)&gt;0),$C1252-$C1251,0))</f>
        <v>0</v>
      </c>
      <c r="AF1252">
        <f>IF(OR($E1252="",$E1251=""),"",IF(AND(($D1251-$D1252)&gt;($C1252-$C1251),($D1251-$D1252)&gt;0),$D1251-$D1252,0))</f>
        <v>0</v>
      </c>
      <c r="AG1252">
        <f>IF(COUNT($E$2:$E1252)&lt;15,"",IF(SUM($AC$1239:$AC$1252)=0,0,100*SUM($AE$1239:$AE$1252)/SUM($AC$1239:$AC$1252)))</f>
        <v>0</v>
      </c>
      <c r="AH1252">
        <f>IF(COUNT($E$2:$E1252)&lt;15,"",IF(SUM($AC$1239:$AC$1252)=0,0,100*SUM($AF$1239:$AF$1252)/SUM($AC$1239:$AC$1252)))</f>
        <v>0</v>
      </c>
      <c r="AI1252">
        <f>IF(OR(AG1252="",AH1252=""),"",IF((AG1252+AH1252)=0,0,100*ABS(AG1252-AH1252)/(AG1252+AH1252)))</f>
        <v>0</v>
      </c>
      <c r="AJ1252">
        <f>IF(COUNT($AI$1239:$AI$1252)&lt;14,"",AVERAGE($AI$1239:$AI$1252))</f>
        <v>0</v>
      </c>
      <c r="AK1252">
        <f>IF(COUNT($E$2:$E1252)&lt;20,"",AVERAGE($E$1233:$E$1252))</f>
        <v>0</v>
      </c>
      <c r="AL1252">
        <f>IF(COUNT($E$2:$E1252)&lt;20,"",STDEVP($E$1233:$E$1252))</f>
        <v>0</v>
      </c>
      <c r="AM1252">
        <f>IF(AK1252="","",AK1252+2*AL1252)</f>
        <v>0</v>
      </c>
      <c r="AN1252">
        <f>IF(AK1252="","",AK1252-2*AL1252)</f>
        <v>0</v>
      </c>
      <c r="AO1252">
        <f>IF(OR(AM1252="",AN1252="",AM1252=AN1252),"",($E1252-AN1252)/(AM1252-AN1252))</f>
        <v>0</v>
      </c>
      <c r="AP1252">
        <f>IF(OR(AM1252="",AK1252="",AK1252=0),"",(AM1252-AN1252)/AK1252)</f>
        <v>0</v>
      </c>
      <c r="AQ1252">
        <f>IF(COUNT($E$2:$E1252)&lt;20,"",MAX($C$1233:$C$1252))</f>
        <v>0</v>
      </c>
      <c r="AR1252">
        <f>IF(COUNT($E$2:$E1252)&lt;20,"",MIN($D$1233:$D$1252))</f>
        <v>0</v>
      </c>
      <c r="AS1252">
        <f>IF(OR(AQ1252="",AR1252=""),"",(AQ1252+AR1252)/2)</f>
        <v>0</v>
      </c>
      <c r="AT1252">
        <f>IF(COUNT($G$1233:$G$1252)&lt;20,"",STDEV($G$1233:$G$1252)*SQRT(252))</f>
        <v>0</v>
      </c>
      <c r="AU1252">
        <f>IF(COUNT($E$2:$E1252)&lt;9,"",(MAX($C$1244:$C$1252)+MIN($D$1244:$D$1252))/2)</f>
        <v>0</v>
      </c>
      <c r="AV1252">
        <f>IF(COUNT($E$2:$E1252)&lt;26,"",(MAX($C$1227:$C$1252)+MIN($D$1227:$D$1252))/2)</f>
        <v>0</v>
      </c>
      <c r="AW1252">
        <f>IF(OR(AU1252="",AV1252=""),"",(AU1252+AV1252)/2)</f>
        <v>0</v>
      </c>
      <c r="AX1252">
        <f>IF(COUNT($E$2:$E1252)&lt;52,"",(MAX($C$1201:$C$1252)+MIN($D$1201:$D$1252))/2)</f>
        <v>0</v>
      </c>
      <c r="AY1252">
        <f>IF(COUNT($E$2:$E1252)&lt;20,"",MAX($C$1153:$C$1252))</f>
        <v>0</v>
      </c>
      <c r="AZ1252">
        <f>IF(COUNT($E$2:$E1252)&lt;20,"",MIN($D$1153:$D$1252))</f>
        <v>0</v>
      </c>
      <c r="BA1252">
        <f>IF(COUNT($E$2:$E1252)&lt;20,"",SLOPE($E$1153:$E$1252,$F$1153:$F$1252))</f>
        <v>0</v>
      </c>
      <c r="BB1252">
        <f>IF(COUNT($E$2:$E1252)&lt;20,"",INTERCEPT($E$1153:$E$1252,$F$1153:$F$1252))</f>
        <v>0</v>
      </c>
      <c r="BC1252">
        <f>IF(OR(BA1252="",BB1252=""),"",BB1252+BA1252*F1252)</f>
        <v>0</v>
      </c>
      <c r="BD1252">
        <f>IF(COUNT($E$2:$E1252)&lt;20,"",STEYX($E$1153:$E$1252,$F$1153:$F$1252))</f>
        <v>0</v>
      </c>
      <c r="BE1252">
        <f>IF($E1252="","",IF(AND(COUNT($E$1253:$E$1256)&gt;=4,$C1252=MAX($C$1248:$C$1256)),$C1252,""))</f>
        <v>0</v>
      </c>
      <c r="BF1252">
        <f>IF($E1252="","",IF(AND(COUNT($E$1253:$E$1256)&gt;=4,$D1252=MIN($D$1248:$D$1256)),$D1252,""))</f>
        <v>0</v>
      </c>
      <c r="BG1252">
        <f>IF($A1252="","",$A1252-WEEKDAY($A1252,2)+1)</f>
        <v>0</v>
      </c>
      <c r="BH1252">
        <f>IF($A1252="","",IF($A1251="",1,IF(BG1252&lt;&gt;BG1251,1,0)))</f>
        <v>0</v>
      </c>
      <c r="BI1252">
        <f>IF($A1252="","",IF($A1253="",1,IF(BG1253&lt;&gt;BG1252,1,0)))</f>
        <v>0</v>
      </c>
      <c r="BJ1252">
        <f>IF($A1252="","",IF(BH1252=1,$B1252,BJ1251))</f>
        <v>0</v>
      </c>
      <c r="BK1252">
        <f>IF($A1252="","",IF(BH1252=1,$C1252,MAX($C1252,BK1251)))</f>
        <v>0</v>
      </c>
      <c r="BL1252">
        <f>IF($A1252="","",IF(BH1252=1,$D1252,MIN($D1252,BL1251)))</f>
        <v>0</v>
      </c>
      <c r="BM1252">
        <f>IF($A1252="","",IF(BI1252=1,F1252,""))</f>
        <v>0</v>
      </c>
      <c r="BN1252">
        <f>IF($A1252="","",DATE(YEAR($A1252),MONTH($A1252),1))</f>
        <v>0</v>
      </c>
      <c r="BO1252">
        <f>IF($A1252="","",IF($A1251="",1,IF(BN1252&lt;&gt;BN1251,1,0)))</f>
        <v>0</v>
      </c>
      <c r="BP1252">
        <f>IF($A1252="","",IF($A1253="",1,IF(BN1253&lt;&gt;BN1252,1,0)))</f>
        <v>0</v>
      </c>
      <c r="BQ1252">
        <f>IF($A1252="","",IF(BO1252=1,$B1252,BQ1251))</f>
        <v>0</v>
      </c>
      <c r="BR1252">
        <f>IF($A1252="","",IF(BO1252=1,$C1252,MAX($C1252,BR1251)))</f>
        <v>0</v>
      </c>
      <c r="BS1252">
        <f>IF($A1252="","",IF(BO1252=1,$D1252,MIN($D1252,BS1251)))</f>
        <v>0</v>
      </c>
      <c r="BT1252">
        <f>IF($A1252="","",IF(BP1252=1,F1252,""))</f>
        <v>0</v>
      </c>
    </row>
    <row r="1253" spans="1:72">
      <c r="A1253" s="27">
        <f>IF(Data!$A1253="","",Data!$A1253)</f>
        <v>0</v>
      </c>
      <c r="B1253">
        <f>IF(Data!$B1253="","",Data!$B1253)</f>
        <v>0</v>
      </c>
      <c r="C1253">
        <f>IF(Data!$C1253="","",Data!$C1253)</f>
        <v>0</v>
      </c>
      <c r="D1253">
        <f>IF(Data!$D1253="","",Data!$D1253)</f>
        <v>0</v>
      </c>
      <c r="E1253">
        <f>IF(Data!$E1253="","",Data!$E1253)</f>
        <v>0</v>
      </c>
      <c r="F1253">
        <f>IF($E1253="","",N(F1252)+1)</f>
        <v>0</v>
      </c>
      <c r="G1253">
        <f>IF(OR($E1253="",$E1252=""),"",LN($E1253/$E1252))</f>
        <v>0</v>
      </c>
      <c r="H1253">
        <f>IF($E1253="","",IF($E1252="",$E1253,$E1253*0.0952380952+H1252*0.9047619048))</f>
        <v>0</v>
      </c>
      <c r="I1253">
        <f>IF($E1253="","",IF($E1252="",$E1253,$E1253*0.0392156863+I1252*0.9607843137))</f>
        <v>0</v>
      </c>
      <c r="J1253">
        <f>IF($E1253="","",IF($E1252="",$E1253,$E1253*0.0198019802+J1252*0.9801980198))</f>
        <v>0</v>
      </c>
      <c r="K1253">
        <f>IF($E1253="","",IF($E1252="",$E1253,$E1253*0.0099502488+K1252*0.9900497512))</f>
        <v>0</v>
      </c>
      <c r="L1253">
        <f>IF(OR($E1253="",$E1252=""),"",MAX($E1253-$E1252,0))</f>
        <v>0</v>
      </c>
      <c r="M1253">
        <f>IF(OR($E1253="",$E1252=""),"",MAX($E1252-$E1253,0))</f>
        <v>0</v>
      </c>
      <c r="N1253">
        <f>IF(COUNT($E$2:$E1253)&lt;15,"",IF(AVERAGE($M$1240:$M$1253)=0,100,100-100/(1+AVERAGE($L$1240:$L$1253)/AVERAGE($M$1240:$M$1253))))</f>
        <v>0</v>
      </c>
      <c r="O1253">
        <f>IF($E1253="","",IF($E1252="",$E1253,$E1253*0.1538461538+O1252*0.8461538462))</f>
        <v>0</v>
      </c>
      <c r="P1253">
        <f>IF($E1253="","",IF($E1252="",$E1253,$E1253*0.0740740741+P1252*0.9259259259))</f>
        <v>0</v>
      </c>
      <c r="Q1253">
        <f>IF(OR(O1253="",P1253=""),"",O1253-P1253)</f>
        <v>0</v>
      </c>
      <c r="R1253">
        <f>IF(Q1253="","",IF(R1252="",Q1253,Q1253*0.2000000000+R1252*0.8000000000))</f>
        <v>0</v>
      </c>
      <c r="S1253">
        <f>IF(OR(Q1253="",R1253=""),"",Q1253-R1253)</f>
        <v>0</v>
      </c>
      <c r="T1253">
        <f>IF(COUNT($E$2:$E1253)&lt;14,"",MAX($C$1240:$C$1253))</f>
        <v>0</v>
      </c>
      <c r="U1253">
        <f>IF(COUNT($E$2:$E1253)&lt;14,"",MIN($D$1240:$D$1253))</f>
        <v>0</v>
      </c>
      <c r="V1253">
        <f>IF(OR(T1253="",U1253="",T1253=U1253),"",100*($E1253-U1253)/(T1253-U1253))</f>
        <v>0</v>
      </c>
      <c r="W1253">
        <f>IF(COUNT($V$1251:$V$1253)&lt;3,"",AVERAGE($V$1251:$V$1253))</f>
        <v>0</v>
      </c>
      <c r="X1253">
        <f>IF(COUNT($N$1240:$N$1253)&lt;14,"",MIN($N$1240:$N$1253))</f>
        <v>0</v>
      </c>
      <c r="Y1253">
        <f>IF(COUNT($N$1240:$N$1253)&lt;14,"",MAX($N$1240:$N$1253))</f>
        <v>0</v>
      </c>
      <c r="Z1253">
        <f>IF(OR(N1253="",X1253="",Y1253="",Y1253=X1253),"",100*(N1253-X1253)/(Y1253-X1253))</f>
        <v>0</v>
      </c>
      <c r="AA1253">
        <f>IF(COUNT($Z$1251:$Z$1253)&lt;3,"",AVERAGE($Z$1251:$Z$1253))</f>
        <v>0</v>
      </c>
      <c r="AB1253">
        <f>IF(COUNT($AA$1251:$AA$1253)&lt;3,"",AVERAGE($AA$1251:$AA$1253))</f>
        <v>0</v>
      </c>
      <c r="AC1253">
        <f>IF($E1253="","",MAX($C1253-$D1253,ABS($C1253-$E1252),ABS($D1253-$E1252)))</f>
        <v>0</v>
      </c>
      <c r="AD1253">
        <f>IF(COUNT($E$2:$E1253)&lt;15,"",AVERAGE($AC$1240:$AC$1253))</f>
        <v>0</v>
      </c>
      <c r="AE1253">
        <f>IF(OR($E1253="",$E1252=""),"",IF(AND(($C1253-$C1252)&gt;($D1252-$D1253),($C1253-$C1252)&gt;0),$C1253-$C1252,0))</f>
        <v>0</v>
      </c>
      <c r="AF1253">
        <f>IF(OR($E1253="",$E1252=""),"",IF(AND(($D1252-$D1253)&gt;($C1253-$C1252),($D1252-$D1253)&gt;0),$D1252-$D1253,0))</f>
        <v>0</v>
      </c>
      <c r="AG1253">
        <f>IF(COUNT($E$2:$E1253)&lt;15,"",IF(SUM($AC$1240:$AC$1253)=0,0,100*SUM($AE$1240:$AE$1253)/SUM($AC$1240:$AC$1253)))</f>
        <v>0</v>
      </c>
      <c r="AH1253">
        <f>IF(COUNT($E$2:$E1253)&lt;15,"",IF(SUM($AC$1240:$AC$1253)=0,0,100*SUM($AF$1240:$AF$1253)/SUM($AC$1240:$AC$1253)))</f>
        <v>0</v>
      </c>
      <c r="AI1253">
        <f>IF(OR(AG1253="",AH1253=""),"",IF((AG1253+AH1253)=0,0,100*ABS(AG1253-AH1253)/(AG1253+AH1253)))</f>
        <v>0</v>
      </c>
      <c r="AJ1253">
        <f>IF(COUNT($AI$1240:$AI$1253)&lt;14,"",AVERAGE($AI$1240:$AI$1253))</f>
        <v>0</v>
      </c>
      <c r="AK1253">
        <f>IF(COUNT($E$2:$E1253)&lt;20,"",AVERAGE($E$1234:$E$1253))</f>
        <v>0</v>
      </c>
      <c r="AL1253">
        <f>IF(COUNT($E$2:$E1253)&lt;20,"",STDEVP($E$1234:$E$1253))</f>
        <v>0</v>
      </c>
      <c r="AM1253">
        <f>IF(AK1253="","",AK1253+2*AL1253)</f>
        <v>0</v>
      </c>
      <c r="AN1253">
        <f>IF(AK1253="","",AK1253-2*AL1253)</f>
        <v>0</v>
      </c>
      <c r="AO1253">
        <f>IF(OR(AM1253="",AN1253="",AM1253=AN1253),"",($E1253-AN1253)/(AM1253-AN1253))</f>
        <v>0</v>
      </c>
      <c r="AP1253">
        <f>IF(OR(AM1253="",AK1253="",AK1253=0),"",(AM1253-AN1253)/AK1253)</f>
        <v>0</v>
      </c>
      <c r="AQ1253">
        <f>IF(COUNT($E$2:$E1253)&lt;20,"",MAX($C$1234:$C$1253))</f>
        <v>0</v>
      </c>
      <c r="AR1253">
        <f>IF(COUNT($E$2:$E1253)&lt;20,"",MIN($D$1234:$D$1253))</f>
        <v>0</v>
      </c>
      <c r="AS1253">
        <f>IF(OR(AQ1253="",AR1253=""),"",(AQ1253+AR1253)/2)</f>
        <v>0</v>
      </c>
      <c r="AT1253">
        <f>IF(COUNT($G$1234:$G$1253)&lt;20,"",STDEV($G$1234:$G$1253)*SQRT(252))</f>
        <v>0</v>
      </c>
      <c r="AU1253">
        <f>IF(COUNT($E$2:$E1253)&lt;9,"",(MAX($C$1245:$C$1253)+MIN($D$1245:$D$1253))/2)</f>
        <v>0</v>
      </c>
      <c r="AV1253">
        <f>IF(COUNT($E$2:$E1253)&lt;26,"",(MAX($C$1228:$C$1253)+MIN($D$1228:$D$1253))/2)</f>
        <v>0</v>
      </c>
      <c r="AW1253">
        <f>IF(OR(AU1253="",AV1253=""),"",(AU1253+AV1253)/2)</f>
        <v>0</v>
      </c>
      <c r="AX1253">
        <f>IF(COUNT($E$2:$E1253)&lt;52,"",(MAX($C$1202:$C$1253)+MIN($D$1202:$D$1253))/2)</f>
        <v>0</v>
      </c>
      <c r="AY1253">
        <f>IF(COUNT($E$2:$E1253)&lt;20,"",MAX($C$1154:$C$1253))</f>
        <v>0</v>
      </c>
      <c r="AZ1253">
        <f>IF(COUNT($E$2:$E1253)&lt;20,"",MIN($D$1154:$D$1253))</f>
        <v>0</v>
      </c>
      <c r="BA1253">
        <f>IF(COUNT($E$2:$E1253)&lt;20,"",SLOPE($E$1154:$E$1253,$F$1154:$F$1253))</f>
        <v>0</v>
      </c>
      <c r="BB1253">
        <f>IF(COUNT($E$2:$E1253)&lt;20,"",INTERCEPT($E$1154:$E$1253,$F$1154:$F$1253))</f>
        <v>0</v>
      </c>
      <c r="BC1253">
        <f>IF(OR(BA1253="",BB1253=""),"",BB1253+BA1253*F1253)</f>
        <v>0</v>
      </c>
      <c r="BD1253">
        <f>IF(COUNT($E$2:$E1253)&lt;20,"",STEYX($E$1154:$E$1253,$F$1154:$F$1253))</f>
        <v>0</v>
      </c>
      <c r="BE1253">
        <f>IF($E1253="","",IF(AND(COUNT($E$1254:$E$1257)&gt;=4,$C1253=MAX($C$1249:$C$1257)),$C1253,""))</f>
        <v>0</v>
      </c>
      <c r="BF1253">
        <f>IF($E1253="","",IF(AND(COUNT($E$1254:$E$1257)&gt;=4,$D1253=MIN($D$1249:$D$1257)),$D1253,""))</f>
        <v>0</v>
      </c>
      <c r="BG1253">
        <f>IF($A1253="","",$A1253-WEEKDAY($A1253,2)+1)</f>
        <v>0</v>
      </c>
      <c r="BH1253">
        <f>IF($A1253="","",IF($A1252="",1,IF(BG1253&lt;&gt;BG1252,1,0)))</f>
        <v>0</v>
      </c>
      <c r="BI1253">
        <f>IF($A1253="","",IF($A1254="",1,IF(BG1254&lt;&gt;BG1253,1,0)))</f>
        <v>0</v>
      </c>
      <c r="BJ1253">
        <f>IF($A1253="","",IF(BH1253=1,$B1253,BJ1252))</f>
        <v>0</v>
      </c>
      <c r="BK1253">
        <f>IF($A1253="","",IF(BH1253=1,$C1253,MAX($C1253,BK1252)))</f>
        <v>0</v>
      </c>
      <c r="BL1253">
        <f>IF($A1253="","",IF(BH1253=1,$D1253,MIN($D1253,BL1252)))</f>
        <v>0</v>
      </c>
      <c r="BM1253">
        <f>IF($A1253="","",IF(BI1253=1,F1253,""))</f>
        <v>0</v>
      </c>
      <c r="BN1253">
        <f>IF($A1253="","",DATE(YEAR($A1253),MONTH($A1253),1))</f>
        <v>0</v>
      </c>
      <c r="BO1253">
        <f>IF($A1253="","",IF($A1252="",1,IF(BN1253&lt;&gt;BN1252,1,0)))</f>
        <v>0</v>
      </c>
      <c r="BP1253">
        <f>IF($A1253="","",IF($A1254="",1,IF(BN1254&lt;&gt;BN1253,1,0)))</f>
        <v>0</v>
      </c>
      <c r="BQ1253">
        <f>IF($A1253="","",IF(BO1253=1,$B1253,BQ1252))</f>
        <v>0</v>
      </c>
      <c r="BR1253">
        <f>IF($A1253="","",IF(BO1253=1,$C1253,MAX($C1253,BR1252)))</f>
        <v>0</v>
      </c>
      <c r="BS1253">
        <f>IF($A1253="","",IF(BO1253=1,$D1253,MIN($D1253,BS1252)))</f>
        <v>0</v>
      </c>
      <c r="BT1253">
        <f>IF($A1253="","",IF(BP1253=1,F1253,""))</f>
        <v>0</v>
      </c>
    </row>
    <row r="1254" spans="1:72">
      <c r="A1254" s="27">
        <f>IF(Data!$A1254="","",Data!$A1254)</f>
        <v>0</v>
      </c>
      <c r="B1254">
        <f>IF(Data!$B1254="","",Data!$B1254)</f>
        <v>0</v>
      </c>
      <c r="C1254">
        <f>IF(Data!$C1254="","",Data!$C1254)</f>
        <v>0</v>
      </c>
      <c r="D1254">
        <f>IF(Data!$D1254="","",Data!$D1254)</f>
        <v>0</v>
      </c>
      <c r="E1254">
        <f>IF(Data!$E1254="","",Data!$E1254)</f>
        <v>0</v>
      </c>
      <c r="F1254">
        <f>IF($E1254="","",N(F1253)+1)</f>
        <v>0</v>
      </c>
      <c r="G1254">
        <f>IF(OR($E1254="",$E1253=""),"",LN($E1254/$E1253))</f>
        <v>0</v>
      </c>
      <c r="H1254">
        <f>IF($E1254="","",IF($E1253="",$E1254,$E1254*0.0952380952+H1253*0.9047619048))</f>
        <v>0</v>
      </c>
      <c r="I1254">
        <f>IF($E1254="","",IF($E1253="",$E1254,$E1254*0.0392156863+I1253*0.9607843137))</f>
        <v>0</v>
      </c>
      <c r="J1254">
        <f>IF($E1254="","",IF($E1253="",$E1254,$E1254*0.0198019802+J1253*0.9801980198))</f>
        <v>0</v>
      </c>
      <c r="K1254">
        <f>IF($E1254="","",IF($E1253="",$E1254,$E1254*0.0099502488+K1253*0.9900497512))</f>
        <v>0</v>
      </c>
      <c r="L1254">
        <f>IF(OR($E1254="",$E1253=""),"",MAX($E1254-$E1253,0))</f>
        <v>0</v>
      </c>
      <c r="M1254">
        <f>IF(OR($E1254="",$E1253=""),"",MAX($E1253-$E1254,0))</f>
        <v>0</v>
      </c>
      <c r="N1254">
        <f>IF(COUNT($E$2:$E1254)&lt;15,"",IF(AVERAGE($M$1241:$M$1254)=0,100,100-100/(1+AVERAGE($L$1241:$L$1254)/AVERAGE($M$1241:$M$1254))))</f>
        <v>0</v>
      </c>
      <c r="O1254">
        <f>IF($E1254="","",IF($E1253="",$E1254,$E1254*0.1538461538+O1253*0.8461538462))</f>
        <v>0</v>
      </c>
      <c r="P1254">
        <f>IF($E1254="","",IF($E1253="",$E1254,$E1254*0.0740740741+P1253*0.9259259259))</f>
        <v>0</v>
      </c>
      <c r="Q1254">
        <f>IF(OR(O1254="",P1254=""),"",O1254-P1254)</f>
        <v>0</v>
      </c>
      <c r="R1254">
        <f>IF(Q1254="","",IF(R1253="",Q1254,Q1254*0.2000000000+R1253*0.8000000000))</f>
        <v>0</v>
      </c>
      <c r="S1254">
        <f>IF(OR(Q1254="",R1254=""),"",Q1254-R1254)</f>
        <v>0</v>
      </c>
      <c r="T1254">
        <f>IF(COUNT($E$2:$E1254)&lt;14,"",MAX($C$1241:$C$1254))</f>
        <v>0</v>
      </c>
      <c r="U1254">
        <f>IF(COUNT($E$2:$E1254)&lt;14,"",MIN($D$1241:$D$1254))</f>
        <v>0</v>
      </c>
      <c r="V1254">
        <f>IF(OR(T1254="",U1254="",T1254=U1254),"",100*($E1254-U1254)/(T1254-U1254))</f>
        <v>0</v>
      </c>
      <c r="W1254">
        <f>IF(COUNT($V$1252:$V$1254)&lt;3,"",AVERAGE($V$1252:$V$1254))</f>
        <v>0</v>
      </c>
      <c r="X1254">
        <f>IF(COUNT($N$1241:$N$1254)&lt;14,"",MIN($N$1241:$N$1254))</f>
        <v>0</v>
      </c>
      <c r="Y1254">
        <f>IF(COUNT($N$1241:$N$1254)&lt;14,"",MAX($N$1241:$N$1254))</f>
        <v>0</v>
      </c>
      <c r="Z1254">
        <f>IF(OR(N1254="",X1254="",Y1254="",Y1254=X1254),"",100*(N1254-X1254)/(Y1254-X1254))</f>
        <v>0</v>
      </c>
      <c r="AA1254">
        <f>IF(COUNT($Z$1252:$Z$1254)&lt;3,"",AVERAGE($Z$1252:$Z$1254))</f>
        <v>0</v>
      </c>
      <c r="AB1254">
        <f>IF(COUNT($AA$1252:$AA$1254)&lt;3,"",AVERAGE($AA$1252:$AA$1254))</f>
        <v>0</v>
      </c>
      <c r="AC1254">
        <f>IF($E1254="","",MAX($C1254-$D1254,ABS($C1254-$E1253),ABS($D1254-$E1253)))</f>
        <v>0</v>
      </c>
      <c r="AD1254">
        <f>IF(COUNT($E$2:$E1254)&lt;15,"",AVERAGE($AC$1241:$AC$1254))</f>
        <v>0</v>
      </c>
      <c r="AE1254">
        <f>IF(OR($E1254="",$E1253=""),"",IF(AND(($C1254-$C1253)&gt;($D1253-$D1254),($C1254-$C1253)&gt;0),$C1254-$C1253,0))</f>
        <v>0</v>
      </c>
      <c r="AF1254">
        <f>IF(OR($E1254="",$E1253=""),"",IF(AND(($D1253-$D1254)&gt;($C1254-$C1253),($D1253-$D1254)&gt;0),$D1253-$D1254,0))</f>
        <v>0</v>
      </c>
      <c r="AG1254">
        <f>IF(COUNT($E$2:$E1254)&lt;15,"",IF(SUM($AC$1241:$AC$1254)=0,0,100*SUM($AE$1241:$AE$1254)/SUM($AC$1241:$AC$1254)))</f>
        <v>0</v>
      </c>
      <c r="AH1254">
        <f>IF(COUNT($E$2:$E1254)&lt;15,"",IF(SUM($AC$1241:$AC$1254)=0,0,100*SUM($AF$1241:$AF$1254)/SUM($AC$1241:$AC$1254)))</f>
        <v>0</v>
      </c>
      <c r="AI1254">
        <f>IF(OR(AG1254="",AH1254=""),"",IF((AG1254+AH1254)=0,0,100*ABS(AG1254-AH1254)/(AG1254+AH1254)))</f>
        <v>0</v>
      </c>
      <c r="AJ1254">
        <f>IF(COUNT($AI$1241:$AI$1254)&lt;14,"",AVERAGE($AI$1241:$AI$1254))</f>
        <v>0</v>
      </c>
      <c r="AK1254">
        <f>IF(COUNT($E$2:$E1254)&lt;20,"",AVERAGE($E$1235:$E$1254))</f>
        <v>0</v>
      </c>
      <c r="AL1254">
        <f>IF(COUNT($E$2:$E1254)&lt;20,"",STDEVP($E$1235:$E$1254))</f>
        <v>0</v>
      </c>
      <c r="AM1254">
        <f>IF(AK1254="","",AK1254+2*AL1254)</f>
        <v>0</v>
      </c>
      <c r="AN1254">
        <f>IF(AK1254="","",AK1254-2*AL1254)</f>
        <v>0</v>
      </c>
      <c r="AO1254">
        <f>IF(OR(AM1254="",AN1254="",AM1254=AN1254),"",($E1254-AN1254)/(AM1254-AN1254))</f>
        <v>0</v>
      </c>
      <c r="AP1254">
        <f>IF(OR(AM1254="",AK1254="",AK1254=0),"",(AM1254-AN1254)/AK1254)</f>
        <v>0</v>
      </c>
      <c r="AQ1254">
        <f>IF(COUNT($E$2:$E1254)&lt;20,"",MAX($C$1235:$C$1254))</f>
        <v>0</v>
      </c>
      <c r="AR1254">
        <f>IF(COUNT($E$2:$E1254)&lt;20,"",MIN($D$1235:$D$1254))</f>
        <v>0</v>
      </c>
      <c r="AS1254">
        <f>IF(OR(AQ1254="",AR1254=""),"",(AQ1254+AR1254)/2)</f>
        <v>0</v>
      </c>
      <c r="AT1254">
        <f>IF(COUNT($G$1235:$G$1254)&lt;20,"",STDEV($G$1235:$G$1254)*SQRT(252))</f>
        <v>0</v>
      </c>
      <c r="AU1254">
        <f>IF(COUNT($E$2:$E1254)&lt;9,"",(MAX($C$1246:$C$1254)+MIN($D$1246:$D$1254))/2)</f>
        <v>0</v>
      </c>
      <c r="AV1254">
        <f>IF(COUNT($E$2:$E1254)&lt;26,"",(MAX($C$1229:$C$1254)+MIN($D$1229:$D$1254))/2)</f>
        <v>0</v>
      </c>
      <c r="AW1254">
        <f>IF(OR(AU1254="",AV1254=""),"",(AU1254+AV1254)/2)</f>
        <v>0</v>
      </c>
      <c r="AX1254">
        <f>IF(COUNT($E$2:$E1254)&lt;52,"",(MAX($C$1203:$C$1254)+MIN($D$1203:$D$1254))/2)</f>
        <v>0</v>
      </c>
      <c r="AY1254">
        <f>IF(COUNT($E$2:$E1254)&lt;20,"",MAX($C$1155:$C$1254))</f>
        <v>0</v>
      </c>
      <c r="AZ1254">
        <f>IF(COUNT($E$2:$E1254)&lt;20,"",MIN($D$1155:$D$1254))</f>
        <v>0</v>
      </c>
      <c r="BA1254">
        <f>IF(COUNT($E$2:$E1254)&lt;20,"",SLOPE($E$1155:$E$1254,$F$1155:$F$1254))</f>
        <v>0</v>
      </c>
      <c r="BB1254">
        <f>IF(COUNT($E$2:$E1254)&lt;20,"",INTERCEPT($E$1155:$E$1254,$F$1155:$F$1254))</f>
        <v>0</v>
      </c>
      <c r="BC1254">
        <f>IF(OR(BA1254="",BB1254=""),"",BB1254+BA1254*F1254)</f>
        <v>0</v>
      </c>
      <c r="BD1254">
        <f>IF(COUNT($E$2:$E1254)&lt;20,"",STEYX($E$1155:$E$1254,$F$1155:$F$1254))</f>
        <v>0</v>
      </c>
      <c r="BE1254">
        <f>IF($E1254="","",IF(AND(COUNT($E$1255:$E$1258)&gt;=4,$C1254=MAX($C$1250:$C$1258)),$C1254,""))</f>
        <v>0</v>
      </c>
      <c r="BF1254">
        <f>IF($E1254="","",IF(AND(COUNT($E$1255:$E$1258)&gt;=4,$D1254=MIN($D$1250:$D$1258)),$D1254,""))</f>
        <v>0</v>
      </c>
      <c r="BG1254">
        <f>IF($A1254="","",$A1254-WEEKDAY($A1254,2)+1)</f>
        <v>0</v>
      </c>
      <c r="BH1254">
        <f>IF($A1254="","",IF($A1253="",1,IF(BG1254&lt;&gt;BG1253,1,0)))</f>
        <v>0</v>
      </c>
      <c r="BI1254">
        <f>IF($A1254="","",IF($A1255="",1,IF(BG1255&lt;&gt;BG1254,1,0)))</f>
        <v>0</v>
      </c>
      <c r="BJ1254">
        <f>IF($A1254="","",IF(BH1254=1,$B1254,BJ1253))</f>
        <v>0</v>
      </c>
      <c r="BK1254">
        <f>IF($A1254="","",IF(BH1254=1,$C1254,MAX($C1254,BK1253)))</f>
        <v>0</v>
      </c>
      <c r="BL1254">
        <f>IF($A1254="","",IF(BH1254=1,$D1254,MIN($D1254,BL1253)))</f>
        <v>0</v>
      </c>
      <c r="BM1254">
        <f>IF($A1254="","",IF(BI1254=1,F1254,""))</f>
        <v>0</v>
      </c>
      <c r="BN1254">
        <f>IF($A1254="","",DATE(YEAR($A1254),MONTH($A1254),1))</f>
        <v>0</v>
      </c>
      <c r="BO1254">
        <f>IF($A1254="","",IF($A1253="",1,IF(BN1254&lt;&gt;BN1253,1,0)))</f>
        <v>0</v>
      </c>
      <c r="BP1254">
        <f>IF($A1254="","",IF($A1255="",1,IF(BN1255&lt;&gt;BN1254,1,0)))</f>
        <v>0</v>
      </c>
      <c r="BQ1254">
        <f>IF($A1254="","",IF(BO1254=1,$B1254,BQ1253))</f>
        <v>0</v>
      </c>
      <c r="BR1254">
        <f>IF($A1254="","",IF(BO1254=1,$C1254,MAX($C1254,BR1253)))</f>
        <v>0</v>
      </c>
      <c r="BS1254">
        <f>IF($A1254="","",IF(BO1254=1,$D1254,MIN($D1254,BS1253)))</f>
        <v>0</v>
      </c>
      <c r="BT1254">
        <f>IF($A1254="","",IF(BP1254=1,F1254,""))</f>
        <v>0</v>
      </c>
    </row>
    <row r="1255" spans="1:72">
      <c r="A1255" s="27">
        <f>IF(Data!$A1255="","",Data!$A1255)</f>
        <v>0</v>
      </c>
      <c r="B1255">
        <f>IF(Data!$B1255="","",Data!$B1255)</f>
        <v>0</v>
      </c>
      <c r="C1255">
        <f>IF(Data!$C1255="","",Data!$C1255)</f>
        <v>0</v>
      </c>
      <c r="D1255">
        <f>IF(Data!$D1255="","",Data!$D1255)</f>
        <v>0</v>
      </c>
      <c r="E1255">
        <f>IF(Data!$E1255="","",Data!$E1255)</f>
        <v>0</v>
      </c>
      <c r="F1255">
        <f>IF($E1255="","",N(F1254)+1)</f>
        <v>0</v>
      </c>
      <c r="G1255">
        <f>IF(OR($E1255="",$E1254=""),"",LN($E1255/$E1254))</f>
        <v>0</v>
      </c>
      <c r="H1255">
        <f>IF($E1255="","",IF($E1254="",$E1255,$E1255*0.0952380952+H1254*0.9047619048))</f>
        <v>0</v>
      </c>
      <c r="I1255">
        <f>IF($E1255="","",IF($E1254="",$E1255,$E1255*0.0392156863+I1254*0.9607843137))</f>
        <v>0</v>
      </c>
      <c r="J1255">
        <f>IF($E1255="","",IF($E1254="",$E1255,$E1255*0.0198019802+J1254*0.9801980198))</f>
        <v>0</v>
      </c>
      <c r="K1255">
        <f>IF($E1255="","",IF($E1254="",$E1255,$E1255*0.0099502488+K1254*0.9900497512))</f>
        <v>0</v>
      </c>
      <c r="L1255">
        <f>IF(OR($E1255="",$E1254=""),"",MAX($E1255-$E1254,0))</f>
        <v>0</v>
      </c>
      <c r="M1255">
        <f>IF(OR($E1255="",$E1254=""),"",MAX($E1254-$E1255,0))</f>
        <v>0</v>
      </c>
      <c r="N1255">
        <f>IF(COUNT($E$2:$E1255)&lt;15,"",IF(AVERAGE($M$1242:$M$1255)=0,100,100-100/(1+AVERAGE($L$1242:$L$1255)/AVERAGE($M$1242:$M$1255))))</f>
        <v>0</v>
      </c>
      <c r="O1255">
        <f>IF($E1255="","",IF($E1254="",$E1255,$E1255*0.1538461538+O1254*0.8461538462))</f>
        <v>0</v>
      </c>
      <c r="P1255">
        <f>IF($E1255="","",IF($E1254="",$E1255,$E1255*0.0740740741+P1254*0.9259259259))</f>
        <v>0</v>
      </c>
      <c r="Q1255">
        <f>IF(OR(O1255="",P1255=""),"",O1255-P1255)</f>
        <v>0</v>
      </c>
      <c r="R1255">
        <f>IF(Q1255="","",IF(R1254="",Q1255,Q1255*0.2000000000+R1254*0.8000000000))</f>
        <v>0</v>
      </c>
      <c r="S1255">
        <f>IF(OR(Q1255="",R1255=""),"",Q1255-R1255)</f>
        <v>0</v>
      </c>
      <c r="T1255">
        <f>IF(COUNT($E$2:$E1255)&lt;14,"",MAX($C$1242:$C$1255))</f>
        <v>0</v>
      </c>
      <c r="U1255">
        <f>IF(COUNT($E$2:$E1255)&lt;14,"",MIN($D$1242:$D$1255))</f>
        <v>0</v>
      </c>
      <c r="V1255">
        <f>IF(OR(T1255="",U1255="",T1255=U1255),"",100*($E1255-U1255)/(T1255-U1255))</f>
        <v>0</v>
      </c>
      <c r="W1255">
        <f>IF(COUNT($V$1253:$V$1255)&lt;3,"",AVERAGE($V$1253:$V$1255))</f>
        <v>0</v>
      </c>
      <c r="X1255">
        <f>IF(COUNT($N$1242:$N$1255)&lt;14,"",MIN($N$1242:$N$1255))</f>
        <v>0</v>
      </c>
      <c r="Y1255">
        <f>IF(COUNT($N$1242:$N$1255)&lt;14,"",MAX($N$1242:$N$1255))</f>
        <v>0</v>
      </c>
      <c r="Z1255">
        <f>IF(OR(N1255="",X1255="",Y1255="",Y1255=X1255),"",100*(N1255-X1255)/(Y1255-X1255))</f>
        <v>0</v>
      </c>
      <c r="AA1255">
        <f>IF(COUNT($Z$1253:$Z$1255)&lt;3,"",AVERAGE($Z$1253:$Z$1255))</f>
        <v>0</v>
      </c>
      <c r="AB1255">
        <f>IF(COUNT($AA$1253:$AA$1255)&lt;3,"",AVERAGE($AA$1253:$AA$1255))</f>
        <v>0</v>
      </c>
      <c r="AC1255">
        <f>IF($E1255="","",MAX($C1255-$D1255,ABS($C1255-$E1254),ABS($D1255-$E1254)))</f>
        <v>0</v>
      </c>
      <c r="AD1255">
        <f>IF(COUNT($E$2:$E1255)&lt;15,"",AVERAGE($AC$1242:$AC$1255))</f>
        <v>0</v>
      </c>
      <c r="AE1255">
        <f>IF(OR($E1255="",$E1254=""),"",IF(AND(($C1255-$C1254)&gt;($D1254-$D1255),($C1255-$C1254)&gt;0),$C1255-$C1254,0))</f>
        <v>0</v>
      </c>
      <c r="AF1255">
        <f>IF(OR($E1255="",$E1254=""),"",IF(AND(($D1254-$D1255)&gt;($C1255-$C1254),($D1254-$D1255)&gt;0),$D1254-$D1255,0))</f>
        <v>0</v>
      </c>
      <c r="AG1255">
        <f>IF(COUNT($E$2:$E1255)&lt;15,"",IF(SUM($AC$1242:$AC$1255)=0,0,100*SUM($AE$1242:$AE$1255)/SUM($AC$1242:$AC$1255)))</f>
        <v>0</v>
      </c>
      <c r="AH1255">
        <f>IF(COUNT($E$2:$E1255)&lt;15,"",IF(SUM($AC$1242:$AC$1255)=0,0,100*SUM($AF$1242:$AF$1255)/SUM($AC$1242:$AC$1255)))</f>
        <v>0</v>
      </c>
      <c r="AI1255">
        <f>IF(OR(AG1255="",AH1255=""),"",IF((AG1255+AH1255)=0,0,100*ABS(AG1255-AH1255)/(AG1255+AH1255)))</f>
        <v>0</v>
      </c>
      <c r="AJ1255">
        <f>IF(COUNT($AI$1242:$AI$1255)&lt;14,"",AVERAGE($AI$1242:$AI$1255))</f>
        <v>0</v>
      </c>
      <c r="AK1255">
        <f>IF(COUNT($E$2:$E1255)&lt;20,"",AVERAGE($E$1236:$E$1255))</f>
        <v>0</v>
      </c>
      <c r="AL1255">
        <f>IF(COUNT($E$2:$E1255)&lt;20,"",STDEVP($E$1236:$E$1255))</f>
        <v>0</v>
      </c>
      <c r="AM1255">
        <f>IF(AK1255="","",AK1255+2*AL1255)</f>
        <v>0</v>
      </c>
      <c r="AN1255">
        <f>IF(AK1255="","",AK1255-2*AL1255)</f>
        <v>0</v>
      </c>
      <c r="AO1255">
        <f>IF(OR(AM1255="",AN1255="",AM1255=AN1255),"",($E1255-AN1255)/(AM1255-AN1255))</f>
        <v>0</v>
      </c>
      <c r="AP1255">
        <f>IF(OR(AM1255="",AK1255="",AK1255=0),"",(AM1255-AN1255)/AK1255)</f>
        <v>0</v>
      </c>
      <c r="AQ1255">
        <f>IF(COUNT($E$2:$E1255)&lt;20,"",MAX($C$1236:$C$1255))</f>
        <v>0</v>
      </c>
      <c r="AR1255">
        <f>IF(COUNT($E$2:$E1255)&lt;20,"",MIN($D$1236:$D$1255))</f>
        <v>0</v>
      </c>
      <c r="AS1255">
        <f>IF(OR(AQ1255="",AR1255=""),"",(AQ1255+AR1255)/2)</f>
        <v>0</v>
      </c>
      <c r="AT1255">
        <f>IF(COUNT($G$1236:$G$1255)&lt;20,"",STDEV($G$1236:$G$1255)*SQRT(252))</f>
        <v>0</v>
      </c>
      <c r="AU1255">
        <f>IF(COUNT($E$2:$E1255)&lt;9,"",(MAX($C$1247:$C$1255)+MIN($D$1247:$D$1255))/2)</f>
        <v>0</v>
      </c>
      <c r="AV1255">
        <f>IF(COUNT($E$2:$E1255)&lt;26,"",(MAX($C$1230:$C$1255)+MIN($D$1230:$D$1255))/2)</f>
        <v>0</v>
      </c>
      <c r="AW1255">
        <f>IF(OR(AU1255="",AV1255=""),"",(AU1255+AV1255)/2)</f>
        <v>0</v>
      </c>
      <c r="AX1255">
        <f>IF(COUNT($E$2:$E1255)&lt;52,"",(MAX($C$1204:$C$1255)+MIN($D$1204:$D$1255))/2)</f>
        <v>0</v>
      </c>
      <c r="AY1255">
        <f>IF(COUNT($E$2:$E1255)&lt;20,"",MAX($C$1156:$C$1255))</f>
        <v>0</v>
      </c>
      <c r="AZ1255">
        <f>IF(COUNT($E$2:$E1255)&lt;20,"",MIN($D$1156:$D$1255))</f>
        <v>0</v>
      </c>
      <c r="BA1255">
        <f>IF(COUNT($E$2:$E1255)&lt;20,"",SLOPE($E$1156:$E$1255,$F$1156:$F$1255))</f>
        <v>0</v>
      </c>
      <c r="BB1255">
        <f>IF(COUNT($E$2:$E1255)&lt;20,"",INTERCEPT($E$1156:$E$1255,$F$1156:$F$1255))</f>
        <v>0</v>
      </c>
      <c r="BC1255">
        <f>IF(OR(BA1255="",BB1255=""),"",BB1255+BA1255*F1255)</f>
        <v>0</v>
      </c>
      <c r="BD1255">
        <f>IF(COUNT($E$2:$E1255)&lt;20,"",STEYX($E$1156:$E$1255,$F$1156:$F$1255))</f>
        <v>0</v>
      </c>
      <c r="BE1255">
        <f>IF($E1255="","",IF(AND(COUNT($E$1256:$E$1259)&gt;=4,$C1255=MAX($C$1251:$C$1259)),$C1255,""))</f>
        <v>0</v>
      </c>
      <c r="BF1255">
        <f>IF($E1255="","",IF(AND(COUNT($E$1256:$E$1259)&gt;=4,$D1255=MIN($D$1251:$D$1259)),$D1255,""))</f>
        <v>0</v>
      </c>
      <c r="BG1255">
        <f>IF($A1255="","",$A1255-WEEKDAY($A1255,2)+1)</f>
        <v>0</v>
      </c>
      <c r="BH1255">
        <f>IF($A1255="","",IF($A1254="",1,IF(BG1255&lt;&gt;BG1254,1,0)))</f>
        <v>0</v>
      </c>
      <c r="BI1255">
        <f>IF($A1255="","",IF($A1256="",1,IF(BG1256&lt;&gt;BG1255,1,0)))</f>
        <v>0</v>
      </c>
      <c r="BJ1255">
        <f>IF($A1255="","",IF(BH1255=1,$B1255,BJ1254))</f>
        <v>0</v>
      </c>
      <c r="BK1255">
        <f>IF($A1255="","",IF(BH1255=1,$C1255,MAX($C1255,BK1254)))</f>
        <v>0</v>
      </c>
      <c r="BL1255">
        <f>IF($A1255="","",IF(BH1255=1,$D1255,MIN($D1255,BL1254)))</f>
        <v>0</v>
      </c>
      <c r="BM1255">
        <f>IF($A1255="","",IF(BI1255=1,F1255,""))</f>
        <v>0</v>
      </c>
      <c r="BN1255">
        <f>IF($A1255="","",DATE(YEAR($A1255),MONTH($A1255),1))</f>
        <v>0</v>
      </c>
      <c r="BO1255">
        <f>IF($A1255="","",IF($A1254="",1,IF(BN1255&lt;&gt;BN1254,1,0)))</f>
        <v>0</v>
      </c>
      <c r="BP1255">
        <f>IF($A1255="","",IF($A1256="",1,IF(BN1256&lt;&gt;BN1255,1,0)))</f>
        <v>0</v>
      </c>
      <c r="BQ1255">
        <f>IF($A1255="","",IF(BO1255=1,$B1255,BQ1254))</f>
        <v>0</v>
      </c>
      <c r="BR1255">
        <f>IF($A1255="","",IF(BO1255=1,$C1255,MAX($C1255,BR1254)))</f>
        <v>0</v>
      </c>
      <c r="BS1255">
        <f>IF($A1255="","",IF(BO1255=1,$D1255,MIN($D1255,BS1254)))</f>
        <v>0</v>
      </c>
      <c r="BT1255">
        <f>IF($A1255="","",IF(BP1255=1,F1255,""))</f>
        <v>0</v>
      </c>
    </row>
    <row r="1256" spans="1:72">
      <c r="A1256" s="27">
        <f>IF(Data!$A1256="","",Data!$A1256)</f>
        <v>0</v>
      </c>
      <c r="B1256">
        <f>IF(Data!$B1256="","",Data!$B1256)</f>
        <v>0</v>
      </c>
      <c r="C1256">
        <f>IF(Data!$C1256="","",Data!$C1256)</f>
        <v>0</v>
      </c>
      <c r="D1256">
        <f>IF(Data!$D1256="","",Data!$D1256)</f>
        <v>0</v>
      </c>
      <c r="E1256">
        <f>IF(Data!$E1256="","",Data!$E1256)</f>
        <v>0</v>
      </c>
      <c r="F1256">
        <f>IF($E1256="","",N(F1255)+1)</f>
        <v>0</v>
      </c>
      <c r="G1256">
        <f>IF(OR($E1256="",$E1255=""),"",LN($E1256/$E1255))</f>
        <v>0</v>
      </c>
      <c r="H1256">
        <f>IF($E1256="","",IF($E1255="",$E1256,$E1256*0.0952380952+H1255*0.9047619048))</f>
        <v>0</v>
      </c>
      <c r="I1256">
        <f>IF($E1256="","",IF($E1255="",$E1256,$E1256*0.0392156863+I1255*0.9607843137))</f>
        <v>0</v>
      </c>
      <c r="J1256">
        <f>IF($E1256="","",IF($E1255="",$E1256,$E1256*0.0198019802+J1255*0.9801980198))</f>
        <v>0</v>
      </c>
      <c r="K1256">
        <f>IF($E1256="","",IF($E1255="",$E1256,$E1256*0.0099502488+K1255*0.9900497512))</f>
        <v>0</v>
      </c>
      <c r="L1256">
        <f>IF(OR($E1256="",$E1255=""),"",MAX($E1256-$E1255,0))</f>
        <v>0</v>
      </c>
      <c r="M1256">
        <f>IF(OR($E1256="",$E1255=""),"",MAX($E1255-$E1256,0))</f>
        <v>0</v>
      </c>
      <c r="N1256">
        <f>IF(COUNT($E$2:$E1256)&lt;15,"",IF(AVERAGE($M$1243:$M$1256)=0,100,100-100/(1+AVERAGE($L$1243:$L$1256)/AVERAGE($M$1243:$M$1256))))</f>
        <v>0</v>
      </c>
      <c r="O1256">
        <f>IF($E1256="","",IF($E1255="",$E1256,$E1256*0.1538461538+O1255*0.8461538462))</f>
        <v>0</v>
      </c>
      <c r="P1256">
        <f>IF($E1256="","",IF($E1255="",$E1256,$E1256*0.0740740741+P1255*0.9259259259))</f>
        <v>0</v>
      </c>
      <c r="Q1256">
        <f>IF(OR(O1256="",P1256=""),"",O1256-P1256)</f>
        <v>0</v>
      </c>
      <c r="R1256">
        <f>IF(Q1256="","",IF(R1255="",Q1256,Q1256*0.2000000000+R1255*0.8000000000))</f>
        <v>0</v>
      </c>
      <c r="S1256">
        <f>IF(OR(Q1256="",R1256=""),"",Q1256-R1256)</f>
        <v>0</v>
      </c>
      <c r="T1256">
        <f>IF(COUNT($E$2:$E1256)&lt;14,"",MAX($C$1243:$C$1256))</f>
        <v>0</v>
      </c>
      <c r="U1256">
        <f>IF(COUNT($E$2:$E1256)&lt;14,"",MIN($D$1243:$D$1256))</f>
        <v>0</v>
      </c>
      <c r="V1256">
        <f>IF(OR(T1256="",U1256="",T1256=U1256),"",100*($E1256-U1256)/(T1256-U1256))</f>
        <v>0</v>
      </c>
      <c r="W1256">
        <f>IF(COUNT($V$1254:$V$1256)&lt;3,"",AVERAGE($V$1254:$V$1256))</f>
        <v>0</v>
      </c>
      <c r="X1256">
        <f>IF(COUNT($N$1243:$N$1256)&lt;14,"",MIN($N$1243:$N$1256))</f>
        <v>0</v>
      </c>
      <c r="Y1256">
        <f>IF(COUNT($N$1243:$N$1256)&lt;14,"",MAX($N$1243:$N$1256))</f>
        <v>0</v>
      </c>
      <c r="Z1256">
        <f>IF(OR(N1256="",X1256="",Y1256="",Y1256=X1256),"",100*(N1256-X1256)/(Y1256-X1256))</f>
        <v>0</v>
      </c>
      <c r="AA1256">
        <f>IF(COUNT($Z$1254:$Z$1256)&lt;3,"",AVERAGE($Z$1254:$Z$1256))</f>
        <v>0</v>
      </c>
      <c r="AB1256">
        <f>IF(COUNT($AA$1254:$AA$1256)&lt;3,"",AVERAGE($AA$1254:$AA$1256))</f>
        <v>0</v>
      </c>
      <c r="AC1256">
        <f>IF($E1256="","",MAX($C1256-$D1256,ABS($C1256-$E1255),ABS($D1256-$E1255)))</f>
        <v>0</v>
      </c>
      <c r="AD1256">
        <f>IF(COUNT($E$2:$E1256)&lt;15,"",AVERAGE($AC$1243:$AC$1256))</f>
        <v>0</v>
      </c>
      <c r="AE1256">
        <f>IF(OR($E1256="",$E1255=""),"",IF(AND(($C1256-$C1255)&gt;($D1255-$D1256),($C1256-$C1255)&gt;0),$C1256-$C1255,0))</f>
        <v>0</v>
      </c>
      <c r="AF1256">
        <f>IF(OR($E1256="",$E1255=""),"",IF(AND(($D1255-$D1256)&gt;($C1256-$C1255),($D1255-$D1256)&gt;0),$D1255-$D1256,0))</f>
        <v>0</v>
      </c>
      <c r="AG1256">
        <f>IF(COUNT($E$2:$E1256)&lt;15,"",IF(SUM($AC$1243:$AC$1256)=0,0,100*SUM($AE$1243:$AE$1256)/SUM($AC$1243:$AC$1256)))</f>
        <v>0</v>
      </c>
      <c r="AH1256">
        <f>IF(COUNT($E$2:$E1256)&lt;15,"",IF(SUM($AC$1243:$AC$1256)=0,0,100*SUM($AF$1243:$AF$1256)/SUM($AC$1243:$AC$1256)))</f>
        <v>0</v>
      </c>
      <c r="AI1256">
        <f>IF(OR(AG1256="",AH1256=""),"",IF((AG1256+AH1256)=0,0,100*ABS(AG1256-AH1256)/(AG1256+AH1256)))</f>
        <v>0</v>
      </c>
      <c r="AJ1256">
        <f>IF(COUNT($AI$1243:$AI$1256)&lt;14,"",AVERAGE($AI$1243:$AI$1256))</f>
        <v>0</v>
      </c>
      <c r="AK1256">
        <f>IF(COUNT($E$2:$E1256)&lt;20,"",AVERAGE($E$1237:$E$1256))</f>
        <v>0</v>
      </c>
      <c r="AL1256">
        <f>IF(COUNT($E$2:$E1256)&lt;20,"",STDEVP($E$1237:$E$1256))</f>
        <v>0</v>
      </c>
      <c r="AM1256">
        <f>IF(AK1256="","",AK1256+2*AL1256)</f>
        <v>0</v>
      </c>
      <c r="AN1256">
        <f>IF(AK1256="","",AK1256-2*AL1256)</f>
        <v>0</v>
      </c>
      <c r="AO1256">
        <f>IF(OR(AM1256="",AN1256="",AM1256=AN1256),"",($E1256-AN1256)/(AM1256-AN1256))</f>
        <v>0</v>
      </c>
      <c r="AP1256">
        <f>IF(OR(AM1256="",AK1256="",AK1256=0),"",(AM1256-AN1256)/AK1256)</f>
        <v>0</v>
      </c>
      <c r="AQ1256">
        <f>IF(COUNT($E$2:$E1256)&lt;20,"",MAX($C$1237:$C$1256))</f>
        <v>0</v>
      </c>
      <c r="AR1256">
        <f>IF(COUNT($E$2:$E1256)&lt;20,"",MIN($D$1237:$D$1256))</f>
        <v>0</v>
      </c>
      <c r="AS1256">
        <f>IF(OR(AQ1256="",AR1256=""),"",(AQ1256+AR1256)/2)</f>
        <v>0</v>
      </c>
      <c r="AT1256">
        <f>IF(COUNT($G$1237:$G$1256)&lt;20,"",STDEV($G$1237:$G$1256)*SQRT(252))</f>
        <v>0</v>
      </c>
      <c r="AU1256">
        <f>IF(COUNT($E$2:$E1256)&lt;9,"",(MAX($C$1248:$C$1256)+MIN($D$1248:$D$1256))/2)</f>
        <v>0</v>
      </c>
      <c r="AV1256">
        <f>IF(COUNT($E$2:$E1256)&lt;26,"",(MAX($C$1231:$C$1256)+MIN($D$1231:$D$1256))/2)</f>
        <v>0</v>
      </c>
      <c r="AW1256">
        <f>IF(OR(AU1256="",AV1256=""),"",(AU1256+AV1256)/2)</f>
        <v>0</v>
      </c>
      <c r="AX1256">
        <f>IF(COUNT($E$2:$E1256)&lt;52,"",(MAX($C$1205:$C$1256)+MIN($D$1205:$D$1256))/2)</f>
        <v>0</v>
      </c>
      <c r="AY1256">
        <f>IF(COUNT($E$2:$E1256)&lt;20,"",MAX($C$1157:$C$1256))</f>
        <v>0</v>
      </c>
      <c r="AZ1256">
        <f>IF(COUNT($E$2:$E1256)&lt;20,"",MIN($D$1157:$D$1256))</f>
        <v>0</v>
      </c>
      <c r="BA1256">
        <f>IF(COUNT($E$2:$E1256)&lt;20,"",SLOPE($E$1157:$E$1256,$F$1157:$F$1256))</f>
        <v>0</v>
      </c>
      <c r="BB1256">
        <f>IF(COUNT($E$2:$E1256)&lt;20,"",INTERCEPT($E$1157:$E$1256,$F$1157:$F$1256))</f>
        <v>0</v>
      </c>
      <c r="BC1256">
        <f>IF(OR(BA1256="",BB1256=""),"",BB1256+BA1256*F1256)</f>
        <v>0</v>
      </c>
      <c r="BD1256">
        <f>IF(COUNT($E$2:$E1256)&lt;20,"",STEYX($E$1157:$E$1256,$F$1157:$F$1256))</f>
        <v>0</v>
      </c>
      <c r="BE1256">
        <f>IF($E1256="","",IF(AND(COUNT($E$1257:$E$1260)&gt;=4,$C1256=MAX($C$1252:$C$1260)),$C1256,""))</f>
        <v>0</v>
      </c>
      <c r="BF1256">
        <f>IF($E1256="","",IF(AND(COUNT($E$1257:$E$1260)&gt;=4,$D1256=MIN($D$1252:$D$1260)),$D1256,""))</f>
        <v>0</v>
      </c>
      <c r="BG1256">
        <f>IF($A1256="","",$A1256-WEEKDAY($A1256,2)+1)</f>
        <v>0</v>
      </c>
      <c r="BH1256">
        <f>IF($A1256="","",IF($A1255="",1,IF(BG1256&lt;&gt;BG1255,1,0)))</f>
        <v>0</v>
      </c>
      <c r="BI1256">
        <f>IF($A1256="","",IF($A1257="",1,IF(BG1257&lt;&gt;BG1256,1,0)))</f>
        <v>0</v>
      </c>
      <c r="BJ1256">
        <f>IF($A1256="","",IF(BH1256=1,$B1256,BJ1255))</f>
        <v>0</v>
      </c>
      <c r="BK1256">
        <f>IF($A1256="","",IF(BH1256=1,$C1256,MAX($C1256,BK1255)))</f>
        <v>0</v>
      </c>
      <c r="BL1256">
        <f>IF($A1256="","",IF(BH1256=1,$D1256,MIN($D1256,BL1255)))</f>
        <v>0</v>
      </c>
      <c r="BM1256">
        <f>IF($A1256="","",IF(BI1256=1,F1256,""))</f>
        <v>0</v>
      </c>
      <c r="BN1256">
        <f>IF($A1256="","",DATE(YEAR($A1256),MONTH($A1256),1))</f>
        <v>0</v>
      </c>
      <c r="BO1256">
        <f>IF($A1256="","",IF($A1255="",1,IF(BN1256&lt;&gt;BN1255,1,0)))</f>
        <v>0</v>
      </c>
      <c r="BP1256">
        <f>IF($A1256="","",IF($A1257="",1,IF(BN1257&lt;&gt;BN1256,1,0)))</f>
        <v>0</v>
      </c>
      <c r="BQ1256">
        <f>IF($A1256="","",IF(BO1256=1,$B1256,BQ1255))</f>
        <v>0</v>
      </c>
      <c r="BR1256">
        <f>IF($A1256="","",IF(BO1256=1,$C1256,MAX($C1256,BR1255)))</f>
        <v>0</v>
      </c>
      <c r="BS1256">
        <f>IF($A1256="","",IF(BO1256=1,$D1256,MIN($D1256,BS1255)))</f>
        <v>0</v>
      </c>
      <c r="BT1256">
        <f>IF($A1256="","",IF(BP1256=1,F1256,""))</f>
        <v>0</v>
      </c>
    </row>
    <row r="1257" spans="1:72">
      <c r="A1257" s="27">
        <f>IF(Data!$A1257="","",Data!$A1257)</f>
        <v>0</v>
      </c>
      <c r="B1257">
        <f>IF(Data!$B1257="","",Data!$B1257)</f>
        <v>0</v>
      </c>
      <c r="C1257">
        <f>IF(Data!$C1257="","",Data!$C1257)</f>
        <v>0</v>
      </c>
      <c r="D1257">
        <f>IF(Data!$D1257="","",Data!$D1257)</f>
        <v>0</v>
      </c>
      <c r="E1257">
        <f>IF(Data!$E1257="","",Data!$E1257)</f>
        <v>0</v>
      </c>
      <c r="F1257">
        <f>IF($E1257="","",N(F1256)+1)</f>
        <v>0</v>
      </c>
      <c r="G1257">
        <f>IF(OR($E1257="",$E1256=""),"",LN($E1257/$E1256))</f>
        <v>0</v>
      </c>
      <c r="H1257">
        <f>IF($E1257="","",IF($E1256="",$E1257,$E1257*0.0952380952+H1256*0.9047619048))</f>
        <v>0</v>
      </c>
      <c r="I1257">
        <f>IF($E1257="","",IF($E1256="",$E1257,$E1257*0.0392156863+I1256*0.9607843137))</f>
        <v>0</v>
      </c>
      <c r="J1257">
        <f>IF($E1257="","",IF($E1256="",$E1257,$E1257*0.0198019802+J1256*0.9801980198))</f>
        <v>0</v>
      </c>
      <c r="K1257">
        <f>IF($E1257="","",IF($E1256="",$E1257,$E1257*0.0099502488+K1256*0.9900497512))</f>
        <v>0</v>
      </c>
      <c r="L1257">
        <f>IF(OR($E1257="",$E1256=""),"",MAX($E1257-$E1256,0))</f>
        <v>0</v>
      </c>
      <c r="M1257">
        <f>IF(OR($E1257="",$E1256=""),"",MAX($E1256-$E1257,0))</f>
        <v>0</v>
      </c>
      <c r="N1257">
        <f>IF(COUNT($E$2:$E1257)&lt;15,"",IF(AVERAGE($M$1244:$M$1257)=0,100,100-100/(1+AVERAGE($L$1244:$L$1257)/AVERAGE($M$1244:$M$1257))))</f>
        <v>0</v>
      </c>
      <c r="O1257">
        <f>IF($E1257="","",IF($E1256="",$E1257,$E1257*0.1538461538+O1256*0.8461538462))</f>
        <v>0</v>
      </c>
      <c r="P1257">
        <f>IF($E1257="","",IF($E1256="",$E1257,$E1257*0.0740740741+P1256*0.9259259259))</f>
        <v>0</v>
      </c>
      <c r="Q1257">
        <f>IF(OR(O1257="",P1257=""),"",O1257-P1257)</f>
        <v>0</v>
      </c>
      <c r="R1257">
        <f>IF(Q1257="","",IF(R1256="",Q1257,Q1257*0.2000000000+R1256*0.8000000000))</f>
        <v>0</v>
      </c>
      <c r="S1257">
        <f>IF(OR(Q1257="",R1257=""),"",Q1257-R1257)</f>
        <v>0</v>
      </c>
      <c r="T1257">
        <f>IF(COUNT($E$2:$E1257)&lt;14,"",MAX($C$1244:$C$1257))</f>
        <v>0</v>
      </c>
      <c r="U1257">
        <f>IF(COUNT($E$2:$E1257)&lt;14,"",MIN($D$1244:$D$1257))</f>
        <v>0</v>
      </c>
      <c r="V1257">
        <f>IF(OR(T1257="",U1257="",T1257=U1257),"",100*($E1257-U1257)/(T1257-U1257))</f>
        <v>0</v>
      </c>
      <c r="W1257">
        <f>IF(COUNT($V$1255:$V$1257)&lt;3,"",AVERAGE($V$1255:$V$1257))</f>
        <v>0</v>
      </c>
      <c r="X1257">
        <f>IF(COUNT($N$1244:$N$1257)&lt;14,"",MIN($N$1244:$N$1257))</f>
        <v>0</v>
      </c>
      <c r="Y1257">
        <f>IF(COUNT($N$1244:$N$1257)&lt;14,"",MAX($N$1244:$N$1257))</f>
        <v>0</v>
      </c>
      <c r="Z1257">
        <f>IF(OR(N1257="",X1257="",Y1257="",Y1257=X1257),"",100*(N1257-X1257)/(Y1257-X1257))</f>
        <v>0</v>
      </c>
      <c r="AA1257">
        <f>IF(COUNT($Z$1255:$Z$1257)&lt;3,"",AVERAGE($Z$1255:$Z$1257))</f>
        <v>0</v>
      </c>
      <c r="AB1257">
        <f>IF(COUNT($AA$1255:$AA$1257)&lt;3,"",AVERAGE($AA$1255:$AA$1257))</f>
        <v>0</v>
      </c>
      <c r="AC1257">
        <f>IF($E1257="","",MAX($C1257-$D1257,ABS($C1257-$E1256),ABS($D1257-$E1256)))</f>
        <v>0</v>
      </c>
      <c r="AD1257">
        <f>IF(COUNT($E$2:$E1257)&lt;15,"",AVERAGE($AC$1244:$AC$1257))</f>
        <v>0</v>
      </c>
      <c r="AE1257">
        <f>IF(OR($E1257="",$E1256=""),"",IF(AND(($C1257-$C1256)&gt;($D1256-$D1257),($C1257-$C1256)&gt;0),$C1257-$C1256,0))</f>
        <v>0</v>
      </c>
      <c r="AF1257">
        <f>IF(OR($E1257="",$E1256=""),"",IF(AND(($D1256-$D1257)&gt;($C1257-$C1256),($D1256-$D1257)&gt;0),$D1256-$D1257,0))</f>
        <v>0</v>
      </c>
      <c r="AG1257">
        <f>IF(COUNT($E$2:$E1257)&lt;15,"",IF(SUM($AC$1244:$AC$1257)=0,0,100*SUM($AE$1244:$AE$1257)/SUM($AC$1244:$AC$1257)))</f>
        <v>0</v>
      </c>
      <c r="AH1257">
        <f>IF(COUNT($E$2:$E1257)&lt;15,"",IF(SUM($AC$1244:$AC$1257)=0,0,100*SUM($AF$1244:$AF$1257)/SUM($AC$1244:$AC$1257)))</f>
        <v>0</v>
      </c>
      <c r="AI1257">
        <f>IF(OR(AG1257="",AH1257=""),"",IF((AG1257+AH1257)=0,0,100*ABS(AG1257-AH1257)/(AG1257+AH1257)))</f>
        <v>0</v>
      </c>
      <c r="AJ1257">
        <f>IF(COUNT($AI$1244:$AI$1257)&lt;14,"",AVERAGE($AI$1244:$AI$1257))</f>
        <v>0</v>
      </c>
      <c r="AK1257">
        <f>IF(COUNT($E$2:$E1257)&lt;20,"",AVERAGE($E$1238:$E$1257))</f>
        <v>0</v>
      </c>
      <c r="AL1257">
        <f>IF(COUNT($E$2:$E1257)&lt;20,"",STDEVP($E$1238:$E$1257))</f>
        <v>0</v>
      </c>
      <c r="AM1257">
        <f>IF(AK1257="","",AK1257+2*AL1257)</f>
        <v>0</v>
      </c>
      <c r="AN1257">
        <f>IF(AK1257="","",AK1257-2*AL1257)</f>
        <v>0</v>
      </c>
      <c r="AO1257">
        <f>IF(OR(AM1257="",AN1257="",AM1257=AN1257),"",($E1257-AN1257)/(AM1257-AN1257))</f>
        <v>0</v>
      </c>
      <c r="AP1257">
        <f>IF(OR(AM1257="",AK1257="",AK1257=0),"",(AM1257-AN1257)/AK1257)</f>
        <v>0</v>
      </c>
      <c r="AQ1257">
        <f>IF(COUNT($E$2:$E1257)&lt;20,"",MAX($C$1238:$C$1257))</f>
        <v>0</v>
      </c>
      <c r="AR1257">
        <f>IF(COUNT($E$2:$E1257)&lt;20,"",MIN($D$1238:$D$1257))</f>
        <v>0</v>
      </c>
      <c r="AS1257">
        <f>IF(OR(AQ1257="",AR1257=""),"",(AQ1257+AR1257)/2)</f>
        <v>0</v>
      </c>
      <c r="AT1257">
        <f>IF(COUNT($G$1238:$G$1257)&lt;20,"",STDEV($G$1238:$G$1257)*SQRT(252))</f>
        <v>0</v>
      </c>
      <c r="AU1257">
        <f>IF(COUNT($E$2:$E1257)&lt;9,"",(MAX($C$1249:$C$1257)+MIN($D$1249:$D$1257))/2)</f>
        <v>0</v>
      </c>
      <c r="AV1257">
        <f>IF(COUNT($E$2:$E1257)&lt;26,"",(MAX($C$1232:$C$1257)+MIN($D$1232:$D$1257))/2)</f>
        <v>0</v>
      </c>
      <c r="AW1257">
        <f>IF(OR(AU1257="",AV1257=""),"",(AU1257+AV1257)/2)</f>
        <v>0</v>
      </c>
      <c r="AX1257">
        <f>IF(COUNT($E$2:$E1257)&lt;52,"",(MAX($C$1206:$C$1257)+MIN($D$1206:$D$1257))/2)</f>
        <v>0</v>
      </c>
      <c r="AY1257">
        <f>IF(COUNT($E$2:$E1257)&lt;20,"",MAX($C$1158:$C$1257))</f>
        <v>0</v>
      </c>
      <c r="AZ1257">
        <f>IF(COUNT($E$2:$E1257)&lt;20,"",MIN($D$1158:$D$1257))</f>
        <v>0</v>
      </c>
      <c r="BA1257">
        <f>IF(COUNT($E$2:$E1257)&lt;20,"",SLOPE($E$1158:$E$1257,$F$1158:$F$1257))</f>
        <v>0</v>
      </c>
      <c r="BB1257">
        <f>IF(COUNT($E$2:$E1257)&lt;20,"",INTERCEPT($E$1158:$E$1257,$F$1158:$F$1257))</f>
        <v>0</v>
      </c>
      <c r="BC1257">
        <f>IF(OR(BA1257="",BB1257=""),"",BB1257+BA1257*F1257)</f>
        <v>0</v>
      </c>
      <c r="BD1257">
        <f>IF(COUNT($E$2:$E1257)&lt;20,"",STEYX($E$1158:$E$1257,$F$1158:$F$1257))</f>
        <v>0</v>
      </c>
      <c r="BE1257">
        <f>IF($E1257="","",IF(AND(COUNT($E$1258:$E$1261)&gt;=4,$C1257=MAX($C$1253:$C$1261)),$C1257,""))</f>
        <v>0</v>
      </c>
      <c r="BF1257">
        <f>IF($E1257="","",IF(AND(COUNT($E$1258:$E$1261)&gt;=4,$D1257=MIN($D$1253:$D$1261)),$D1257,""))</f>
        <v>0</v>
      </c>
      <c r="BG1257">
        <f>IF($A1257="","",$A1257-WEEKDAY($A1257,2)+1)</f>
        <v>0</v>
      </c>
      <c r="BH1257">
        <f>IF($A1257="","",IF($A1256="",1,IF(BG1257&lt;&gt;BG1256,1,0)))</f>
        <v>0</v>
      </c>
      <c r="BI1257">
        <f>IF($A1257="","",IF($A1258="",1,IF(BG1258&lt;&gt;BG1257,1,0)))</f>
        <v>0</v>
      </c>
      <c r="BJ1257">
        <f>IF($A1257="","",IF(BH1257=1,$B1257,BJ1256))</f>
        <v>0</v>
      </c>
      <c r="BK1257">
        <f>IF($A1257="","",IF(BH1257=1,$C1257,MAX($C1257,BK1256)))</f>
        <v>0</v>
      </c>
      <c r="BL1257">
        <f>IF($A1257="","",IF(BH1257=1,$D1257,MIN($D1257,BL1256)))</f>
        <v>0</v>
      </c>
      <c r="BM1257">
        <f>IF($A1257="","",IF(BI1257=1,F1257,""))</f>
        <v>0</v>
      </c>
      <c r="BN1257">
        <f>IF($A1257="","",DATE(YEAR($A1257),MONTH($A1257),1))</f>
        <v>0</v>
      </c>
      <c r="BO1257">
        <f>IF($A1257="","",IF($A1256="",1,IF(BN1257&lt;&gt;BN1256,1,0)))</f>
        <v>0</v>
      </c>
      <c r="BP1257">
        <f>IF($A1257="","",IF($A1258="",1,IF(BN1258&lt;&gt;BN1257,1,0)))</f>
        <v>0</v>
      </c>
      <c r="BQ1257">
        <f>IF($A1257="","",IF(BO1257=1,$B1257,BQ1256))</f>
        <v>0</v>
      </c>
      <c r="BR1257">
        <f>IF($A1257="","",IF(BO1257=1,$C1257,MAX($C1257,BR1256)))</f>
        <v>0</v>
      </c>
      <c r="BS1257">
        <f>IF($A1257="","",IF(BO1257=1,$D1257,MIN($D1257,BS1256)))</f>
        <v>0</v>
      </c>
      <c r="BT1257">
        <f>IF($A1257="","",IF(BP1257=1,F1257,""))</f>
        <v>0</v>
      </c>
    </row>
    <row r="1258" spans="1:72">
      <c r="A1258" s="27">
        <f>IF(Data!$A1258="","",Data!$A1258)</f>
        <v>0</v>
      </c>
      <c r="B1258">
        <f>IF(Data!$B1258="","",Data!$B1258)</f>
        <v>0</v>
      </c>
      <c r="C1258">
        <f>IF(Data!$C1258="","",Data!$C1258)</f>
        <v>0</v>
      </c>
      <c r="D1258">
        <f>IF(Data!$D1258="","",Data!$D1258)</f>
        <v>0</v>
      </c>
      <c r="E1258">
        <f>IF(Data!$E1258="","",Data!$E1258)</f>
        <v>0</v>
      </c>
      <c r="F1258">
        <f>IF($E1258="","",N(F1257)+1)</f>
        <v>0</v>
      </c>
      <c r="G1258">
        <f>IF(OR($E1258="",$E1257=""),"",LN($E1258/$E1257))</f>
        <v>0</v>
      </c>
      <c r="H1258">
        <f>IF($E1258="","",IF($E1257="",$E1258,$E1258*0.0952380952+H1257*0.9047619048))</f>
        <v>0</v>
      </c>
      <c r="I1258">
        <f>IF($E1258="","",IF($E1257="",$E1258,$E1258*0.0392156863+I1257*0.9607843137))</f>
        <v>0</v>
      </c>
      <c r="J1258">
        <f>IF($E1258="","",IF($E1257="",$E1258,$E1258*0.0198019802+J1257*0.9801980198))</f>
        <v>0</v>
      </c>
      <c r="K1258">
        <f>IF($E1258="","",IF($E1257="",$E1258,$E1258*0.0099502488+K1257*0.9900497512))</f>
        <v>0</v>
      </c>
      <c r="L1258">
        <f>IF(OR($E1258="",$E1257=""),"",MAX($E1258-$E1257,0))</f>
        <v>0</v>
      </c>
      <c r="M1258">
        <f>IF(OR($E1258="",$E1257=""),"",MAX($E1257-$E1258,0))</f>
        <v>0</v>
      </c>
      <c r="N1258">
        <f>IF(COUNT($E$2:$E1258)&lt;15,"",IF(AVERAGE($M$1245:$M$1258)=0,100,100-100/(1+AVERAGE($L$1245:$L$1258)/AVERAGE($M$1245:$M$1258))))</f>
        <v>0</v>
      </c>
      <c r="O1258">
        <f>IF($E1258="","",IF($E1257="",$E1258,$E1258*0.1538461538+O1257*0.8461538462))</f>
        <v>0</v>
      </c>
      <c r="P1258">
        <f>IF($E1258="","",IF($E1257="",$E1258,$E1258*0.0740740741+P1257*0.9259259259))</f>
        <v>0</v>
      </c>
      <c r="Q1258">
        <f>IF(OR(O1258="",P1258=""),"",O1258-P1258)</f>
        <v>0</v>
      </c>
      <c r="R1258">
        <f>IF(Q1258="","",IF(R1257="",Q1258,Q1258*0.2000000000+R1257*0.8000000000))</f>
        <v>0</v>
      </c>
      <c r="S1258">
        <f>IF(OR(Q1258="",R1258=""),"",Q1258-R1258)</f>
        <v>0</v>
      </c>
      <c r="T1258">
        <f>IF(COUNT($E$2:$E1258)&lt;14,"",MAX($C$1245:$C$1258))</f>
        <v>0</v>
      </c>
      <c r="U1258">
        <f>IF(COUNT($E$2:$E1258)&lt;14,"",MIN($D$1245:$D$1258))</f>
        <v>0</v>
      </c>
      <c r="V1258">
        <f>IF(OR(T1258="",U1258="",T1258=U1258),"",100*($E1258-U1258)/(T1258-U1258))</f>
        <v>0</v>
      </c>
      <c r="W1258">
        <f>IF(COUNT($V$1256:$V$1258)&lt;3,"",AVERAGE($V$1256:$V$1258))</f>
        <v>0</v>
      </c>
      <c r="X1258">
        <f>IF(COUNT($N$1245:$N$1258)&lt;14,"",MIN($N$1245:$N$1258))</f>
        <v>0</v>
      </c>
      <c r="Y1258">
        <f>IF(COUNT($N$1245:$N$1258)&lt;14,"",MAX($N$1245:$N$1258))</f>
        <v>0</v>
      </c>
      <c r="Z1258">
        <f>IF(OR(N1258="",X1258="",Y1258="",Y1258=X1258),"",100*(N1258-X1258)/(Y1258-X1258))</f>
        <v>0</v>
      </c>
      <c r="AA1258">
        <f>IF(COUNT($Z$1256:$Z$1258)&lt;3,"",AVERAGE($Z$1256:$Z$1258))</f>
        <v>0</v>
      </c>
      <c r="AB1258">
        <f>IF(COUNT($AA$1256:$AA$1258)&lt;3,"",AVERAGE($AA$1256:$AA$1258))</f>
        <v>0</v>
      </c>
      <c r="AC1258">
        <f>IF($E1258="","",MAX($C1258-$D1258,ABS($C1258-$E1257),ABS($D1258-$E1257)))</f>
        <v>0</v>
      </c>
      <c r="AD1258">
        <f>IF(COUNT($E$2:$E1258)&lt;15,"",AVERAGE($AC$1245:$AC$1258))</f>
        <v>0</v>
      </c>
      <c r="AE1258">
        <f>IF(OR($E1258="",$E1257=""),"",IF(AND(($C1258-$C1257)&gt;($D1257-$D1258),($C1258-$C1257)&gt;0),$C1258-$C1257,0))</f>
        <v>0</v>
      </c>
      <c r="AF1258">
        <f>IF(OR($E1258="",$E1257=""),"",IF(AND(($D1257-$D1258)&gt;($C1258-$C1257),($D1257-$D1258)&gt;0),$D1257-$D1258,0))</f>
        <v>0</v>
      </c>
      <c r="AG1258">
        <f>IF(COUNT($E$2:$E1258)&lt;15,"",IF(SUM($AC$1245:$AC$1258)=0,0,100*SUM($AE$1245:$AE$1258)/SUM($AC$1245:$AC$1258)))</f>
        <v>0</v>
      </c>
      <c r="AH1258">
        <f>IF(COUNT($E$2:$E1258)&lt;15,"",IF(SUM($AC$1245:$AC$1258)=0,0,100*SUM($AF$1245:$AF$1258)/SUM($AC$1245:$AC$1258)))</f>
        <v>0</v>
      </c>
      <c r="AI1258">
        <f>IF(OR(AG1258="",AH1258=""),"",IF((AG1258+AH1258)=0,0,100*ABS(AG1258-AH1258)/(AG1258+AH1258)))</f>
        <v>0</v>
      </c>
      <c r="AJ1258">
        <f>IF(COUNT($AI$1245:$AI$1258)&lt;14,"",AVERAGE($AI$1245:$AI$1258))</f>
        <v>0</v>
      </c>
      <c r="AK1258">
        <f>IF(COUNT($E$2:$E1258)&lt;20,"",AVERAGE($E$1239:$E$1258))</f>
        <v>0</v>
      </c>
      <c r="AL1258">
        <f>IF(COUNT($E$2:$E1258)&lt;20,"",STDEVP($E$1239:$E$1258))</f>
        <v>0</v>
      </c>
      <c r="AM1258">
        <f>IF(AK1258="","",AK1258+2*AL1258)</f>
        <v>0</v>
      </c>
      <c r="AN1258">
        <f>IF(AK1258="","",AK1258-2*AL1258)</f>
        <v>0</v>
      </c>
      <c r="AO1258">
        <f>IF(OR(AM1258="",AN1258="",AM1258=AN1258),"",($E1258-AN1258)/(AM1258-AN1258))</f>
        <v>0</v>
      </c>
      <c r="AP1258">
        <f>IF(OR(AM1258="",AK1258="",AK1258=0),"",(AM1258-AN1258)/AK1258)</f>
        <v>0</v>
      </c>
      <c r="AQ1258">
        <f>IF(COUNT($E$2:$E1258)&lt;20,"",MAX($C$1239:$C$1258))</f>
        <v>0</v>
      </c>
      <c r="AR1258">
        <f>IF(COUNT($E$2:$E1258)&lt;20,"",MIN($D$1239:$D$1258))</f>
        <v>0</v>
      </c>
      <c r="AS1258">
        <f>IF(OR(AQ1258="",AR1258=""),"",(AQ1258+AR1258)/2)</f>
        <v>0</v>
      </c>
      <c r="AT1258">
        <f>IF(COUNT($G$1239:$G$1258)&lt;20,"",STDEV($G$1239:$G$1258)*SQRT(252))</f>
        <v>0</v>
      </c>
      <c r="AU1258">
        <f>IF(COUNT($E$2:$E1258)&lt;9,"",(MAX($C$1250:$C$1258)+MIN($D$1250:$D$1258))/2)</f>
        <v>0</v>
      </c>
      <c r="AV1258">
        <f>IF(COUNT($E$2:$E1258)&lt;26,"",(MAX($C$1233:$C$1258)+MIN($D$1233:$D$1258))/2)</f>
        <v>0</v>
      </c>
      <c r="AW1258">
        <f>IF(OR(AU1258="",AV1258=""),"",(AU1258+AV1258)/2)</f>
        <v>0</v>
      </c>
      <c r="AX1258">
        <f>IF(COUNT($E$2:$E1258)&lt;52,"",(MAX($C$1207:$C$1258)+MIN($D$1207:$D$1258))/2)</f>
        <v>0</v>
      </c>
      <c r="AY1258">
        <f>IF(COUNT($E$2:$E1258)&lt;20,"",MAX($C$1159:$C$1258))</f>
        <v>0</v>
      </c>
      <c r="AZ1258">
        <f>IF(COUNT($E$2:$E1258)&lt;20,"",MIN($D$1159:$D$1258))</f>
        <v>0</v>
      </c>
      <c r="BA1258">
        <f>IF(COUNT($E$2:$E1258)&lt;20,"",SLOPE($E$1159:$E$1258,$F$1159:$F$1258))</f>
        <v>0</v>
      </c>
      <c r="BB1258">
        <f>IF(COUNT($E$2:$E1258)&lt;20,"",INTERCEPT($E$1159:$E$1258,$F$1159:$F$1258))</f>
        <v>0</v>
      </c>
      <c r="BC1258">
        <f>IF(OR(BA1258="",BB1258=""),"",BB1258+BA1258*F1258)</f>
        <v>0</v>
      </c>
      <c r="BD1258">
        <f>IF(COUNT($E$2:$E1258)&lt;20,"",STEYX($E$1159:$E$1258,$F$1159:$F$1258))</f>
        <v>0</v>
      </c>
      <c r="BE1258">
        <f>IF($E1258="","",IF(AND(COUNT($E$1259:$E$1262)&gt;=4,$C1258=MAX($C$1254:$C$1262)),$C1258,""))</f>
        <v>0</v>
      </c>
      <c r="BF1258">
        <f>IF($E1258="","",IF(AND(COUNT($E$1259:$E$1262)&gt;=4,$D1258=MIN($D$1254:$D$1262)),$D1258,""))</f>
        <v>0</v>
      </c>
      <c r="BG1258">
        <f>IF($A1258="","",$A1258-WEEKDAY($A1258,2)+1)</f>
        <v>0</v>
      </c>
      <c r="BH1258">
        <f>IF($A1258="","",IF($A1257="",1,IF(BG1258&lt;&gt;BG1257,1,0)))</f>
        <v>0</v>
      </c>
      <c r="BI1258">
        <f>IF($A1258="","",IF($A1259="",1,IF(BG1259&lt;&gt;BG1258,1,0)))</f>
        <v>0</v>
      </c>
      <c r="BJ1258">
        <f>IF($A1258="","",IF(BH1258=1,$B1258,BJ1257))</f>
        <v>0</v>
      </c>
      <c r="BK1258">
        <f>IF($A1258="","",IF(BH1258=1,$C1258,MAX($C1258,BK1257)))</f>
        <v>0</v>
      </c>
      <c r="BL1258">
        <f>IF($A1258="","",IF(BH1258=1,$D1258,MIN($D1258,BL1257)))</f>
        <v>0</v>
      </c>
      <c r="BM1258">
        <f>IF($A1258="","",IF(BI1258=1,F1258,""))</f>
        <v>0</v>
      </c>
      <c r="BN1258">
        <f>IF($A1258="","",DATE(YEAR($A1258),MONTH($A1258),1))</f>
        <v>0</v>
      </c>
      <c r="BO1258">
        <f>IF($A1258="","",IF($A1257="",1,IF(BN1258&lt;&gt;BN1257,1,0)))</f>
        <v>0</v>
      </c>
      <c r="BP1258">
        <f>IF($A1258="","",IF($A1259="",1,IF(BN1259&lt;&gt;BN1258,1,0)))</f>
        <v>0</v>
      </c>
      <c r="BQ1258">
        <f>IF($A1258="","",IF(BO1258=1,$B1258,BQ1257))</f>
        <v>0</v>
      </c>
      <c r="BR1258">
        <f>IF($A1258="","",IF(BO1258=1,$C1258,MAX($C1258,BR1257)))</f>
        <v>0</v>
      </c>
      <c r="BS1258">
        <f>IF($A1258="","",IF(BO1258=1,$D1258,MIN($D1258,BS1257)))</f>
        <v>0</v>
      </c>
      <c r="BT1258">
        <f>IF($A1258="","",IF(BP1258=1,F1258,""))</f>
        <v>0</v>
      </c>
    </row>
    <row r="1259" spans="1:72">
      <c r="A1259" s="27">
        <f>IF(Data!$A1259="","",Data!$A1259)</f>
        <v>0</v>
      </c>
      <c r="B1259">
        <f>IF(Data!$B1259="","",Data!$B1259)</f>
        <v>0</v>
      </c>
      <c r="C1259">
        <f>IF(Data!$C1259="","",Data!$C1259)</f>
        <v>0</v>
      </c>
      <c r="D1259">
        <f>IF(Data!$D1259="","",Data!$D1259)</f>
        <v>0</v>
      </c>
      <c r="E1259">
        <f>IF(Data!$E1259="","",Data!$E1259)</f>
        <v>0</v>
      </c>
      <c r="F1259">
        <f>IF($E1259="","",N(F1258)+1)</f>
        <v>0</v>
      </c>
      <c r="G1259">
        <f>IF(OR($E1259="",$E1258=""),"",LN($E1259/$E1258))</f>
        <v>0</v>
      </c>
      <c r="H1259">
        <f>IF($E1259="","",IF($E1258="",$E1259,$E1259*0.0952380952+H1258*0.9047619048))</f>
        <v>0</v>
      </c>
      <c r="I1259">
        <f>IF($E1259="","",IF($E1258="",$E1259,$E1259*0.0392156863+I1258*0.9607843137))</f>
        <v>0</v>
      </c>
      <c r="J1259">
        <f>IF($E1259="","",IF($E1258="",$E1259,$E1259*0.0198019802+J1258*0.9801980198))</f>
        <v>0</v>
      </c>
      <c r="K1259">
        <f>IF($E1259="","",IF($E1258="",$E1259,$E1259*0.0099502488+K1258*0.9900497512))</f>
        <v>0</v>
      </c>
      <c r="L1259">
        <f>IF(OR($E1259="",$E1258=""),"",MAX($E1259-$E1258,0))</f>
        <v>0</v>
      </c>
      <c r="M1259">
        <f>IF(OR($E1259="",$E1258=""),"",MAX($E1258-$E1259,0))</f>
        <v>0</v>
      </c>
      <c r="N1259">
        <f>IF(COUNT($E$2:$E1259)&lt;15,"",IF(AVERAGE($M$1246:$M$1259)=0,100,100-100/(1+AVERAGE($L$1246:$L$1259)/AVERAGE($M$1246:$M$1259))))</f>
        <v>0</v>
      </c>
      <c r="O1259">
        <f>IF($E1259="","",IF($E1258="",$E1259,$E1259*0.1538461538+O1258*0.8461538462))</f>
        <v>0</v>
      </c>
      <c r="P1259">
        <f>IF($E1259="","",IF($E1258="",$E1259,$E1259*0.0740740741+P1258*0.9259259259))</f>
        <v>0</v>
      </c>
      <c r="Q1259">
        <f>IF(OR(O1259="",P1259=""),"",O1259-P1259)</f>
        <v>0</v>
      </c>
      <c r="R1259">
        <f>IF(Q1259="","",IF(R1258="",Q1259,Q1259*0.2000000000+R1258*0.8000000000))</f>
        <v>0</v>
      </c>
      <c r="S1259">
        <f>IF(OR(Q1259="",R1259=""),"",Q1259-R1259)</f>
        <v>0</v>
      </c>
      <c r="T1259">
        <f>IF(COUNT($E$2:$E1259)&lt;14,"",MAX($C$1246:$C$1259))</f>
        <v>0</v>
      </c>
      <c r="U1259">
        <f>IF(COUNT($E$2:$E1259)&lt;14,"",MIN($D$1246:$D$1259))</f>
        <v>0</v>
      </c>
      <c r="V1259">
        <f>IF(OR(T1259="",U1259="",T1259=U1259),"",100*($E1259-U1259)/(T1259-U1259))</f>
        <v>0</v>
      </c>
      <c r="W1259">
        <f>IF(COUNT($V$1257:$V$1259)&lt;3,"",AVERAGE($V$1257:$V$1259))</f>
        <v>0</v>
      </c>
      <c r="X1259">
        <f>IF(COUNT($N$1246:$N$1259)&lt;14,"",MIN($N$1246:$N$1259))</f>
        <v>0</v>
      </c>
      <c r="Y1259">
        <f>IF(COUNT($N$1246:$N$1259)&lt;14,"",MAX($N$1246:$N$1259))</f>
        <v>0</v>
      </c>
      <c r="Z1259">
        <f>IF(OR(N1259="",X1259="",Y1259="",Y1259=X1259),"",100*(N1259-X1259)/(Y1259-X1259))</f>
        <v>0</v>
      </c>
      <c r="AA1259">
        <f>IF(COUNT($Z$1257:$Z$1259)&lt;3,"",AVERAGE($Z$1257:$Z$1259))</f>
        <v>0</v>
      </c>
      <c r="AB1259">
        <f>IF(COUNT($AA$1257:$AA$1259)&lt;3,"",AVERAGE($AA$1257:$AA$1259))</f>
        <v>0</v>
      </c>
      <c r="AC1259">
        <f>IF($E1259="","",MAX($C1259-$D1259,ABS($C1259-$E1258),ABS($D1259-$E1258)))</f>
        <v>0</v>
      </c>
      <c r="AD1259">
        <f>IF(COUNT($E$2:$E1259)&lt;15,"",AVERAGE($AC$1246:$AC$1259))</f>
        <v>0</v>
      </c>
      <c r="AE1259">
        <f>IF(OR($E1259="",$E1258=""),"",IF(AND(($C1259-$C1258)&gt;($D1258-$D1259),($C1259-$C1258)&gt;0),$C1259-$C1258,0))</f>
        <v>0</v>
      </c>
      <c r="AF1259">
        <f>IF(OR($E1259="",$E1258=""),"",IF(AND(($D1258-$D1259)&gt;($C1259-$C1258),($D1258-$D1259)&gt;0),$D1258-$D1259,0))</f>
        <v>0</v>
      </c>
      <c r="AG1259">
        <f>IF(COUNT($E$2:$E1259)&lt;15,"",IF(SUM($AC$1246:$AC$1259)=0,0,100*SUM($AE$1246:$AE$1259)/SUM($AC$1246:$AC$1259)))</f>
        <v>0</v>
      </c>
      <c r="AH1259">
        <f>IF(COUNT($E$2:$E1259)&lt;15,"",IF(SUM($AC$1246:$AC$1259)=0,0,100*SUM($AF$1246:$AF$1259)/SUM($AC$1246:$AC$1259)))</f>
        <v>0</v>
      </c>
      <c r="AI1259">
        <f>IF(OR(AG1259="",AH1259=""),"",IF((AG1259+AH1259)=0,0,100*ABS(AG1259-AH1259)/(AG1259+AH1259)))</f>
        <v>0</v>
      </c>
      <c r="AJ1259">
        <f>IF(COUNT($AI$1246:$AI$1259)&lt;14,"",AVERAGE($AI$1246:$AI$1259))</f>
        <v>0</v>
      </c>
      <c r="AK1259">
        <f>IF(COUNT($E$2:$E1259)&lt;20,"",AVERAGE($E$1240:$E$1259))</f>
        <v>0</v>
      </c>
      <c r="AL1259">
        <f>IF(COUNT($E$2:$E1259)&lt;20,"",STDEVP($E$1240:$E$1259))</f>
        <v>0</v>
      </c>
      <c r="AM1259">
        <f>IF(AK1259="","",AK1259+2*AL1259)</f>
        <v>0</v>
      </c>
      <c r="AN1259">
        <f>IF(AK1259="","",AK1259-2*AL1259)</f>
        <v>0</v>
      </c>
      <c r="AO1259">
        <f>IF(OR(AM1259="",AN1259="",AM1259=AN1259),"",($E1259-AN1259)/(AM1259-AN1259))</f>
        <v>0</v>
      </c>
      <c r="AP1259">
        <f>IF(OR(AM1259="",AK1259="",AK1259=0),"",(AM1259-AN1259)/AK1259)</f>
        <v>0</v>
      </c>
      <c r="AQ1259">
        <f>IF(COUNT($E$2:$E1259)&lt;20,"",MAX($C$1240:$C$1259))</f>
        <v>0</v>
      </c>
      <c r="AR1259">
        <f>IF(COUNT($E$2:$E1259)&lt;20,"",MIN($D$1240:$D$1259))</f>
        <v>0</v>
      </c>
      <c r="AS1259">
        <f>IF(OR(AQ1259="",AR1259=""),"",(AQ1259+AR1259)/2)</f>
        <v>0</v>
      </c>
      <c r="AT1259">
        <f>IF(COUNT($G$1240:$G$1259)&lt;20,"",STDEV($G$1240:$G$1259)*SQRT(252))</f>
        <v>0</v>
      </c>
      <c r="AU1259">
        <f>IF(COUNT($E$2:$E1259)&lt;9,"",(MAX($C$1251:$C$1259)+MIN($D$1251:$D$1259))/2)</f>
        <v>0</v>
      </c>
      <c r="AV1259">
        <f>IF(COUNT($E$2:$E1259)&lt;26,"",(MAX($C$1234:$C$1259)+MIN($D$1234:$D$1259))/2)</f>
        <v>0</v>
      </c>
      <c r="AW1259">
        <f>IF(OR(AU1259="",AV1259=""),"",(AU1259+AV1259)/2)</f>
        <v>0</v>
      </c>
      <c r="AX1259">
        <f>IF(COUNT($E$2:$E1259)&lt;52,"",(MAX($C$1208:$C$1259)+MIN($D$1208:$D$1259))/2)</f>
        <v>0</v>
      </c>
      <c r="AY1259">
        <f>IF(COUNT($E$2:$E1259)&lt;20,"",MAX($C$1160:$C$1259))</f>
        <v>0</v>
      </c>
      <c r="AZ1259">
        <f>IF(COUNT($E$2:$E1259)&lt;20,"",MIN($D$1160:$D$1259))</f>
        <v>0</v>
      </c>
      <c r="BA1259">
        <f>IF(COUNT($E$2:$E1259)&lt;20,"",SLOPE($E$1160:$E$1259,$F$1160:$F$1259))</f>
        <v>0</v>
      </c>
      <c r="BB1259">
        <f>IF(COUNT($E$2:$E1259)&lt;20,"",INTERCEPT($E$1160:$E$1259,$F$1160:$F$1259))</f>
        <v>0</v>
      </c>
      <c r="BC1259">
        <f>IF(OR(BA1259="",BB1259=""),"",BB1259+BA1259*F1259)</f>
        <v>0</v>
      </c>
      <c r="BD1259">
        <f>IF(COUNT($E$2:$E1259)&lt;20,"",STEYX($E$1160:$E$1259,$F$1160:$F$1259))</f>
        <v>0</v>
      </c>
      <c r="BE1259">
        <f>IF($E1259="","",IF(AND(COUNT($E$1260:$E$1263)&gt;=4,$C1259=MAX($C$1255:$C$1263)),$C1259,""))</f>
        <v>0</v>
      </c>
      <c r="BF1259">
        <f>IF($E1259="","",IF(AND(COUNT($E$1260:$E$1263)&gt;=4,$D1259=MIN($D$1255:$D$1263)),$D1259,""))</f>
        <v>0</v>
      </c>
      <c r="BG1259">
        <f>IF($A1259="","",$A1259-WEEKDAY($A1259,2)+1)</f>
        <v>0</v>
      </c>
      <c r="BH1259">
        <f>IF($A1259="","",IF($A1258="",1,IF(BG1259&lt;&gt;BG1258,1,0)))</f>
        <v>0</v>
      </c>
      <c r="BI1259">
        <f>IF($A1259="","",IF($A1260="",1,IF(BG1260&lt;&gt;BG1259,1,0)))</f>
        <v>0</v>
      </c>
      <c r="BJ1259">
        <f>IF($A1259="","",IF(BH1259=1,$B1259,BJ1258))</f>
        <v>0</v>
      </c>
      <c r="BK1259">
        <f>IF($A1259="","",IF(BH1259=1,$C1259,MAX($C1259,BK1258)))</f>
        <v>0</v>
      </c>
      <c r="BL1259">
        <f>IF($A1259="","",IF(BH1259=1,$D1259,MIN($D1259,BL1258)))</f>
        <v>0</v>
      </c>
      <c r="BM1259">
        <f>IF($A1259="","",IF(BI1259=1,F1259,""))</f>
        <v>0</v>
      </c>
      <c r="BN1259">
        <f>IF($A1259="","",DATE(YEAR($A1259),MONTH($A1259),1))</f>
        <v>0</v>
      </c>
      <c r="BO1259">
        <f>IF($A1259="","",IF($A1258="",1,IF(BN1259&lt;&gt;BN1258,1,0)))</f>
        <v>0</v>
      </c>
      <c r="BP1259">
        <f>IF($A1259="","",IF($A1260="",1,IF(BN1260&lt;&gt;BN1259,1,0)))</f>
        <v>0</v>
      </c>
      <c r="BQ1259">
        <f>IF($A1259="","",IF(BO1259=1,$B1259,BQ1258))</f>
        <v>0</v>
      </c>
      <c r="BR1259">
        <f>IF($A1259="","",IF(BO1259=1,$C1259,MAX($C1259,BR1258)))</f>
        <v>0</v>
      </c>
      <c r="BS1259">
        <f>IF($A1259="","",IF(BO1259=1,$D1259,MIN($D1259,BS1258)))</f>
        <v>0</v>
      </c>
      <c r="BT1259">
        <f>IF($A1259="","",IF(BP1259=1,F1259,""))</f>
        <v>0</v>
      </c>
    </row>
    <row r="1260" spans="1:72">
      <c r="A1260" s="27">
        <f>IF(Data!$A1260="","",Data!$A1260)</f>
        <v>0</v>
      </c>
      <c r="B1260">
        <f>IF(Data!$B1260="","",Data!$B1260)</f>
        <v>0</v>
      </c>
      <c r="C1260">
        <f>IF(Data!$C1260="","",Data!$C1260)</f>
        <v>0</v>
      </c>
      <c r="D1260">
        <f>IF(Data!$D1260="","",Data!$D1260)</f>
        <v>0</v>
      </c>
      <c r="E1260">
        <f>IF(Data!$E1260="","",Data!$E1260)</f>
        <v>0</v>
      </c>
      <c r="F1260">
        <f>IF($E1260="","",N(F1259)+1)</f>
        <v>0</v>
      </c>
      <c r="G1260">
        <f>IF(OR($E1260="",$E1259=""),"",LN($E1260/$E1259))</f>
        <v>0</v>
      </c>
      <c r="H1260">
        <f>IF($E1260="","",IF($E1259="",$E1260,$E1260*0.0952380952+H1259*0.9047619048))</f>
        <v>0</v>
      </c>
      <c r="I1260">
        <f>IF($E1260="","",IF($E1259="",$E1260,$E1260*0.0392156863+I1259*0.9607843137))</f>
        <v>0</v>
      </c>
      <c r="J1260">
        <f>IF($E1260="","",IF($E1259="",$E1260,$E1260*0.0198019802+J1259*0.9801980198))</f>
        <v>0</v>
      </c>
      <c r="K1260">
        <f>IF($E1260="","",IF($E1259="",$E1260,$E1260*0.0099502488+K1259*0.9900497512))</f>
        <v>0</v>
      </c>
      <c r="L1260">
        <f>IF(OR($E1260="",$E1259=""),"",MAX($E1260-$E1259,0))</f>
        <v>0</v>
      </c>
      <c r="M1260">
        <f>IF(OR($E1260="",$E1259=""),"",MAX($E1259-$E1260,0))</f>
        <v>0</v>
      </c>
      <c r="N1260">
        <f>IF(COUNT($E$2:$E1260)&lt;15,"",IF(AVERAGE($M$1247:$M$1260)=0,100,100-100/(1+AVERAGE($L$1247:$L$1260)/AVERAGE($M$1247:$M$1260))))</f>
        <v>0</v>
      </c>
      <c r="O1260">
        <f>IF($E1260="","",IF($E1259="",$E1260,$E1260*0.1538461538+O1259*0.8461538462))</f>
        <v>0</v>
      </c>
      <c r="P1260">
        <f>IF($E1260="","",IF($E1259="",$E1260,$E1260*0.0740740741+P1259*0.9259259259))</f>
        <v>0</v>
      </c>
      <c r="Q1260">
        <f>IF(OR(O1260="",P1260=""),"",O1260-P1260)</f>
        <v>0</v>
      </c>
      <c r="R1260">
        <f>IF(Q1260="","",IF(R1259="",Q1260,Q1260*0.2000000000+R1259*0.8000000000))</f>
        <v>0</v>
      </c>
      <c r="S1260">
        <f>IF(OR(Q1260="",R1260=""),"",Q1260-R1260)</f>
        <v>0</v>
      </c>
      <c r="T1260">
        <f>IF(COUNT($E$2:$E1260)&lt;14,"",MAX($C$1247:$C$1260))</f>
        <v>0</v>
      </c>
      <c r="U1260">
        <f>IF(COUNT($E$2:$E1260)&lt;14,"",MIN($D$1247:$D$1260))</f>
        <v>0</v>
      </c>
      <c r="V1260">
        <f>IF(OR(T1260="",U1260="",T1260=U1260),"",100*($E1260-U1260)/(T1260-U1260))</f>
        <v>0</v>
      </c>
      <c r="W1260">
        <f>IF(COUNT($V$1258:$V$1260)&lt;3,"",AVERAGE($V$1258:$V$1260))</f>
        <v>0</v>
      </c>
      <c r="X1260">
        <f>IF(COUNT($N$1247:$N$1260)&lt;14,"",MIN($N$1247:$N$1260))</f>
        <v>0</v>
      </c>
      <c r="Y1260">
        <f>IF(COUNT($N$1247:$N$1260)&lt;14,"",MAX($N$1247:$N$1260))</f>
        <v>0</v>
      </c>
      <c r="Z1260">
        <f>IF(OR(N1260="",X1260="",Y1260="",Y1260=X1260),"",100*(N1260-X1260)/(Y1260-X1260))</f>
        <v>0</v>
      </c>
      <c r="AA1260">
        <f>IF(COUNT($Z$1258:$Z$1260)&lt;3,"",AVERAGE($Z$1258:$Z$1260))</f>
        <v>0</v>
      </c>
      <c r="AB1260">
        <f>IF(COUNT($AA$1258:$AA$1260)&lt;3,"",AVERAGE($AA$1258:$AA$1260))</f>
        <v>0</v>
      </c>
      <c r="AC1260">
        <f>IF($E1260="","",MAX($C1260-$D1260,ABS($C1260-$E1259),ABS($D1260-$E1259)))</f>
        <v>0</v>
      </c>
      <c r="AD1260">
        <f>IF(COUNT($E$2:$E1260)&lt;15,"",AVERAGE($AC$1247:$AC$1260))</f>
        <v>0</v>
      </c>
      <c r="AE1260">
        <f>IF(OR($E1260="",$E1259=""),"",IF(AND(($C1260-$C1259)&gt;($D1259-$D1260),($C1260-$C1259)&gt;0),$C1260-$C1259,0))</f>
        <v>0</v>
      </c>
      <c r="AF1260">
        <f>IF(OR($E1260="",$E1259=""),"",IF(AND(($D1259-$D1260)&gt;($C1260-$C1259),($D1259-$D1260)&gt;0),$D1259-$D1260,0))</f>
        <v>0</v>
      </c>
      <c r="AG1260">
        <f>IF(COUNT($E$2:$E1260)&lt;15,"",IF(SUM($AC$1247:$AC$1260)=0,0,100*SUM($AE$1247:$AE$1260)/SUM($AC$1247:$AC$1260)))</f>
        <v>0</v>
      </c>
      <c r="AH1260">
        <f>IF(COUNT($E$2:$E1260)&lt;15,"",IF(SUM($AC$1247:$AC$1260)=0,0,100*SUM($AF$1247:$AF$1260)/SUM($AC$1247:$AC$1260)))</f>
        <v>0</v>
      </c>
      <c r="AI1260">
        <f>IF(OR(AG1260="",AH1260=""),"",IF((AG1260+AH1260)=0,0,100*ABS(AG1260-AH1260)/(AG1260+AH1260)))</f>
        <v>0</v>
      </c>
      <c r="AJ1260">
        <f>IF(COUNT($AI$1247:$AI$1260)&lt;14,"",AVERAGE($AI$1247:$AI$1260))</f>
        <v>0</v>
      </c>
      <c r="AK1260">
        <f>IF(COUNT($E$2:$E1260)&lt;20,"",AVERAGE($E$1241:$E$1260))</f>
        <v>0</v>
      </c>
      <c r="AL1260">
        <f>IF(COUNT($E$2:$E1260)&lt;20,"",STDEVP($E$1241:$E$1260))</f>
        <v>0</v>
      </c>
      <c r="AM1260">
        <f>IF(AK1260="","",AK1260+2*AL1260)</f>
        <v>0</v>
      </c>
      <c r="AN1260">
        <f>IF(AK1260="","",AK1260-2*AL1260)</f>
        <v>0</v>
      </c>
      <c r="AO1260">
        <f>IF(OR(AM1260="",AN1260="",AM1260=AN1260),"",($E1260-AN1260)/(AM1260-AN1260))</f>
        <v>0</v>
      </c>
      <c r="AP1260">
        <f>IF(OR(AM1260="",AK1260="",AK1260=0),"",(AM1260-AN1260)/AK1260)</f>
        <v>0</v>
      </c>
      <c r="AQ1260">
        <f>IF(COUNT($E$2:$E1260)&lt;20,"",MAX($C$1241:$C$1260))</f>
        <v>0</v>
      </c>
      <c r="AR1260">
        <f>IF(COUNT($E$2:$E1260)&lt;20,"",MIN($D$1241:$D$1260))</f>
        <v>0</v>
      </c>
      <c r="AS1260">
        <f>IF(OR(AQ1260="",AR1260=""),"",(AQ1260+AR1260)/2)</f>
        <v>0</v>
      </c>
      <c r="AT1260">
        <f>IF(COUNT($G$1241:$G$1260)&lt;20,"",STDEV($G$1241:$G$1260)*SQRT(252))</f>
        <v>0</v>
      </c>
      <c r="AU1260">
        <f>IF(COUNT($E$2:$E1260)&lt;9,"",(MAX($C$1252:$C$1260)+MIN($D$1252:$D$1260))/2)</f>
        <v>0</v>
      </c>
      <c r="AV1260">
        <f>IF(COUNT($E$2:$E1260)&lt;26,"",(MAX($C$1235:$C$1260)+MIN($D$1235:$D$1260))/2)</f>
        <v>0</v>
      </c>
      <c r="AW1260">
        <f>IF(OR(AU1260="",AV1260=""),"",(AU1260+AV1260)/2)</f>
        <v>0</v>
      </c>
      <c r="AX1260">
        <f>IF(COUNT($E$2:$E1260)&lt;52,"",(MAX($C$1209:$C$1260)+MIN($D$1209:$D$1260))/2)</f>
        <v>0</v>
      </c>
      <c r="AY1260">
        <f>IF(COUNT($E$2:$E1260)&lt;20,"",MAX($C$1161:$C$1260))</f>
        <v>0</v>
      </c>
      <c r="AZ1260">
        <f>IF(COUNT($E$2:$E1260)&lt;20,"",MIN($D$1161:$D$1260))</f>
        <v>0</v>
      </c>
      <c r="BA1260">
        <f>IF(COUNT($E$2:$E1260)&lt;20,"",SLOPE($E$1161:$E$1260,$F$1161:$F$1260))</f>
        <v>0</v>
      </c>
      <c r="BB1260">
        <f>IF(COUNT($E$2:$E1260)&lt;20,"",INTERCEPT($E$1161:$E$1260,$F$1161:$F$1260))</f>
        <v>0</v>
      </c>
      <c r="BC1260">
        <f>IF(OR(BA1260="",BB1260=""),"",BB1260+BA1260*F1260)</f>
        <v>0</v>
      </c>
      <c r="BD1260">
        <f>IF(COUNT($E$2:$E1260)&lt;20,"",STEYX($E$1161:$E$1260,$F$1161:$F$1260))</f>
        <v>0</v>
      </c>
      <c r="BE1260">
        <f>IF($E1260="","",IF(AND(COUNT($E$1261:$E$1264)&gt;=4,$C1260=MAX($C$1256:$C$1264)),$C1260,""))</f>
        <v>0</v>
      </c>
      <c r="BF1260">
        <f>IF($E1260="","",IF(AND(COUNT($E$1261:$E$1264)&gt;=4,$D1260=MIN($D$1256:$D$1264)),$D1260,""))</f>
        <v>0</v>
      </c>
      <c r="BG1260">
        <f>IF($A1260="","",$A1260-WEEKDAY($A1260,2)+1)</f>
        <v>0</v>
      </c>
      <c r="BH1260">
        <f>IF($A1260="","",IF($A1259="",1,IF(BG1260&lt;&gt;BG1259,1,0)))</f>
        <v>0</v>
      </c>
      <c r="BI1260">
        <f>IF($A1260="","",IF($A1261="",1,IF(BG1261&lt;&gt;BG1260,1,0)))</f>
        <v>0</v>
      </c>
      <c r="BJ1260">
        <f>IF($A1260="","",IF(BH1260=1,$B1260,BJ1259))</f>
        <v>0</v>
      </c>
      <c r="BK1260">
        <f>IF($A1260="","",IF(BH1260=1,$C1260,MAX($C1260,BK1259)))</f>
        <v>0</v>
      </c>
      <c r="BL1260">
        <f>IF($A1260="","",IF(BH1260=1,$D1260,MIN($D1260,BL1259)))</f>
        <v>0</v>
      </c>
      <c r="BM1260">
        <f>IF($A1260="","",IF(BI1260=1,F1260,""))</f>
        <v>0</v>
      </c>
      <c r="BN1260">
        <f>IF($A1260="","",DATE(YEAR($A1260),MONTH($A1260),1))</f>
        <v>0</v>
      </c>
      <c r="BO1260">
        <f>IF($A1260="","",IF($A1259="",1,IF(BN1260&lt;&gt;BN1259,1,0)))</f>
        <v>0</v>
      </c>
      <c r="BP1260">
        <f>IF($A1260="","",IF($A1261="",1,IF(BN1261&lt;&gt;BN1260,1,0)))</f>
        <v>0</v>
      </c>
      <c r="BQ1260">
        <f>IF($A1260="","",IF(BO1260=1,$B1260,BQ1259))</f>
        <v>0</v>
      </c>
      <c r="BR1260">
        <f>IF($A1260="","",IF(BO1260=1,$C1260,MAX($C1260,BR1259)))</f>
        <v>0</v>
      </c>
      <c r="BS1260">
        <f>IF($A1260="","",IF(BO1260=1,$D1260,MIN($D1260,BS1259)))</f>
        <v>0</v>
      </c>
      <c r="BT1260">
        <f>IF($A1260="","",IF(BP1260=1,F1260,""))</f>
        <v>0</v>
      </c>
    </row>
    <row r="1261" spans="1:72">
      <c r="A1261" s="27">
        <f>IF(Data!$A1261="","",Data!$A1261)</f>
        <v>0</v>
      </c>
      <c r="B1261">
        <f>IF(Data!$B1261="","",Data!$B1261)</f>
        <v>0</v>
      </c>
      <c r="C1261">
        <f>IF(Data!$C1261="","",Data!$C1261)</f>
        <v>0</v>
      </c>
      <c r="D1261">
        <f>IF(Data!$D1261="","",Data!$D1261)</f>
        <v>0</v>
      </c>
      <c r="E1261">
        <f>IF(Data!$E1261="","",Data!$E1261)</f>
        <v>0</v>
      </c>
      <c r="F1261">
        <f>IF($E1261="","",N(F1260)+1)</f>
        <v>0</v>
      </c>
      <c r="G1261">
        <f>IF(OR($E1261="",$E1260=""),"",LN($E1261/$E1260))</f>
        <v>0</v>
      </c>
      <c r="H1261">
        <f>IF($E1261="","",IF($E1260="",$E1261,$E1261*0.0952380952+H1260*0.9047619048))</f>
        <v>0</v>
      </c>
      <c r="I1261">
        <f>IF($E1261="","",IF($E1260="",$E1261,$E1261*0.0392156863+I1260*0.9607843137))</f>
        <v>0</v>
      </c>
      <c r="J1261">
        <f>IF($E1261="","",IF($E1260="",$E1261,$E1261*0.0198019802+J1260*0.9801980198))</f>
        <v>0</v>
      </c>
      <c r="K1261">
        <f>IF($E1261="","",IF($E1260="",$E1261,$E1261*0.0099502488+K1260*0.9900497512))</f>
        <v>0</v>
      </c>
      <c r="L1261">
        <f>IF(OR($E1261="",$E1260=""),"",MAX($E1261-$E1260,0))</f>
        <v>0</v>
      </c>
      <c r="M1261">
        <f>IF(OR($E1261="",$E1260=""),"",MAX($E1260-$E1261,0))</f>
        <v>0</v>
      </c>
      <c r="N1261">
        <f>IF(COUNT($E$2:$E1261)&lt;15,"",IF(AVERAGE($M$1248:$M$1261)=0,100,100-100/(1+AVERAGE($L$1248:$L$1261)/AVERAGE($M$1248:$M$1261))))</f>
        <v>0</v>
      </c>
      <c r="O1261">
        <f>IF($E1261="","",IF($E1260="",$E1261,$E1261*0.1538461538+O1260*0.8461538462))</f>
        <v>0</v>
      </c>
      <c r="P1261">
        <f>IF($E1261="","",IF($E1260="",$E1261,$E1261*0.0740740741+P1260*0.9259259259))</f>
        <v>0</v>
      </c>
      <c r="Q1261">
        <f>IF(OR(O1261="",P1261=""),"",O1261-P1261)</f>
        <v>0</v>
      </c>
      <c r="R1261">
        <f>IF(Q1261="","",IF(R1260="",Q1261,Q1261*0.2000000000+R1260*0.8000000000))</f>
        <v>0</v>
      </c>
      <c r="S1261">
        <f>IF(OR(Q1261="",R1261=""),"",Q1261-R1261)</f>
        <v>0</v>
      </c>
      <c r="T1261">
        <f>IF(COUNT($E$2:$E1261)&lt;14,"",MAX($C$1248:$C$1261))</f>
        <v>0</v>
      </c>
      <c r="U1261">
        <f>IF(COUNT($E$2:$E1261)&lt;14,"",MIN($D$1248:$D$1261))</f>
        <v>0</v>
      </c>
      <c r="V1261">
        <f>IF(OR(T1261="",U1261="",T1261=U1261),"",100*($E1261-U1261)/(T1261-U1261))</f>
        <v>0</v>
      </c>
      <c r="W1261">
        <f>IF(COUNT($V$1259:$V$1261)&lt;3,"",AVERAGE($V$1259:$V$1261))</f>
        <v>0</v>
      </c>
      <c r="X1261">
        <f>IF(COUNT($N$1248:$N$1261)&lt;14,"",MIN($N$1248:$N$1261))</f>
        <v>0</v>
      </c>
      <c r="Y1261">
        <f>IF(COUNT($N$1248:$N$1261)&lt;14,"",MAX($N$1248:$N$1261))</f>
        <v>0</v>
      </c>
      <c r="Z1261">
        <f>IF(OR(N1261="",X1261="",Y1261="",Y1261=X1261),"",100*(N1261-X1261)/(Y1261-X1261))</f>
        <v>0</v>
      </c>
      <c r="AA1261">
        <f>IF(COUNT($Z$1259:$Z$1261)&lt;3,"",AVERAGE($Z$1259:$Z$1261))</f>
        <v>0</v>
      </c>
      <c r="AB1261">
        <f>IF(COUNT($AA$1259:$AA$1261)&lt;3,"",AVERAGE($AA$1259:$AA$1261))</f>
        <v>0</v>
      </c>
      <c r="AC1261">
        <f>IF($E1261="","",MAX($C1261-$D1261,ABS($C1261-$E1260),ABS($D1261-$E1260)))</f>
        <v>0</v>
      </c>
      <c r="AD1261">
        <f>IF(COUNT($E$2:$E1261)&lt;15,"",AVERAGE($AC$1248:$AC$1261))</f>
        <v>0</v>
      </c>
      <c r="AE1261">
        <f>IF(OR($E1261="",$E1260=""),"",IF(AND(($C1261-$C1260)&gt;($D1260-$D1261),($C1261-$C1260)&gt;0),$C1261-$C1260,0))</f>
        <v>0</v>
      </c>
      <c r="AF1261">
        <f>IF(OR($E1261="",$E1260=""),"",IF(AND(($D1260-$D1261)&gt;($C1261-$C1260),($D1260-$D1261)&gt;0),$D1260-$D1261,0))</f>
        <v>0</v>
      </c>
      <c r="AG1261">
        <f>IF(COUNT($E$2:$E1261)&lt;15,"",IF(SUM($AC$1248:$AC$1261)=0,0,100*SUM($AE$1248:$AE$1261)/SUM($AC$1248:$AC$1261)))</f>
        <v>0</v>
      </c>
      <c r="AH1261">
        <f>IF(COUNT($E$2:$E1261)&lt;15,"",IF(SUM($AC$1248:$AC$1261)=0,0,100*SUM($AF$1248:$AF$1261)/SUM($AC$1248:$AC$1261)))</f>
        <v>0</v>
      </c>
      <c r="AI1261">
        <f>IF(OR(AG1261="",AH1261=""),"",IF((AG1261+AH1261)=0,0,100*ABS(AG1261-AH1261)/(AG1261+AH1261)))</f>
        <v>0</v>
      </c>
      <c r="AJ1261">
        <f>IF(COUNT($AI$1248:$AI$1261)&lt;14,"",AVERAGE($AI$1248:$AI$1261))</f>
        <v>0</v>
      </c>
      <c r="AK1261">
        <f>IF(COUNT($E$2:$E1261)&lt;20,"",AVERAGE($E$1242:$E$1261))</f>
        <v>0</v>
      </c>
      <c r="AL1261">
        <f>IF(COUNT($E$2:$E1261)&lt;20,"",STDEVP($E$1242:$E$1261))</f>
        <v>0</v>
      </c>
      <c r="AM1261">
        <f>IF(AK1261="","",AK1261+2*AL1261)</f>
        <v>0</v>
      </c>
      <c r="AN1261">
        <f>IF(AK1261="","",AK1261-2*AL1261)</f>
        <v>0</v>
      </c>
      <c r="AO1261">
        <f>IF(OR(AM1261="",AN1261="",AM1261=AN1261),"",($E1261-AN1261)/(AM1261-AN1261))</f>
        <v>0</v>
      </c>
      <c r="AP1261">
        <f>IF(OR(AM1261="",AK1261="",AK1261=0),"",(AM1261-AN1261)/AK1261)</f>
        <v>0</v>
      </c>
      <c r="AQ1261">
        <f>IF(COUNT($E$2:$E1261)&lt;20,"",MAX($C$1242:$C$1261))</f>
        <v>0</v>
      </c>
      <c r="AR1261">
        <f>IF(COUNT($E$2:$E1261)&lt;20,"",MIN($D$1242:$D$1261))</f>
        <v>0</v>
      </c>
      <c r="AS1261">
        <f>IF(OR(AQ1261="",AR1261=""),"",(AQ1261+AR1261)/2)</f>
        <v>0</v>
      </c>
      <c r="AT1261">
        <f>IF(COUNT($G$1242:$G$1261)&lt;20,"",STDEV($G$1242:$G$1261)*SQRT(252))</f>
        <v>0</v>
      </c>
      <c r="AU1261">
        <f>IF(COUNT($E$2:$E1261)&lt;9,"",(MAX($C$1253:$C$1261)+MIN($D$1253:$D$1261))/2)</f>
        <v>0</v>
      </c>
      <c r="AV1261">
        <f>IF(COUNT($E$2:$E1261)&lt;26,"",(MAX($C$1236:$C$1261)+MIN($D$1236:$D$1261))/2)</f>
        <v>0</v>
      </c>
      <c r="AW1261">
        <f>IF(OR(AU1261="",AV1261=""),"",(AU1261+AV1261)/2)</f>
        <v>0</v>
      </c>
      <c r="AX1261">
        <f>IF(COUNT($E$2:$E1261)&lt;52,"",(MAX($C$1210:$C$1261)+MIN($D$1210:$D$1261))/2)</f>
        <v>0</v>
      </c>
      <c r="AY1261">
        <f>IF(COUNT($E$2:$E1261)&lt;20,"",MAX($C$1162:$C$1261))</f>
        <v>0</v>
      </c>
      <c r="AZ1261">
        <f>IF(COUNT($E$2:$E1261)&lt;20,"",MIN($D$1162:$D$1261))</f>
        <v>0</v>
      </c>
      <c r="BA1261">
        <f>IF(COUNT($E$2:$E1261)&lt;20,"",SLOPE($E$1162:$E$1261,$F$1162:$F$1261))</f>
        <v>0</v>
      </c>
      <c r="BB1261">
        <f>IF(COUNT($E$2:$E1261)&lt;20,"",INTERCEPT($E$1162:$E$1261,$F$1162:$F$1261))</f>
        <v>0</v>
      </c>
      <c r="BC1261">
        <f>IF(OR(BA1261="",BB1261=""),"",BB1261+BA1261*F1261)</f>
        <v>0</v>
      </c>
      <c r="BD1261">
        <f>IF(COUNT($E$2:$E1261)&lt;20,"",STEYX($E$1162:$E$1261,$F$1162:$F$1261))</f>
        <v>0</v>
      </c>
      <c r="BE1261">
        <f>IF($E1261="","",IF(AND(COUNT($E$1262:$E$1265)&gt;=4,$C1261=MAX($C$1257:$C$1265)),$C1261,""))</f>
        <v>0</v>
      </c>
      <c r="BF1261">
        <f>IF($E1261="","",IF(AND(COUNT($E$1262:$E$1265)&gt;=4,$D1261=MIN($D$1257:$D$1265)),$D1261,""))</f>
        <v>0</v>
      </c>
      <c r="BG1261">
        <f>IF($A1261="","",$A1261-WEEKDAY($A1261,2)+1)</f>
        <v>0</v>
      </c>
      <c r="BH1261">
        <f>IF($A1261="","",IF($A1260="",1,IF(BG1261&lt;&gt;BG1260,1,0)))</f>
        <v>0</v>
      </c>
      <c r="BI1261">
        <f>IF($A1261="","",IF($A1262="",1,IF(BG1262&lt;&gt;BG1261,1,0)))</f>
        <v>0</v>
      </c>
      <c r="BJ1261">
        <f>IF($A1261="","",IF(BH1261=1,$B1261,BJ1260))</f>
        <v>0</v>
      </c>
      <c r="BK1261">
        <f>IF($A1261="","",IF(BH1261=1,$C1261,MAX($C1261,BK1260)))</f>
        <v>0</v>
      </c>
      <c r="BL1261">
        <f>IF($A1261="","",IF(BH1261=1,$D1261,MIN($D1261,BL1260)))</f>
        <v>0</v>
      </c>
      <c r="BM1261">
        <f>IF($A1261="","",IF(BI1261=1,F1261,""))</f>
        <v>0</v>
      </c>
      <c r="BN1261">
        <f>IF($A1261="","",DATE(YEAR($A1261),MONTH($A1261),1))</f>
        <v>0</v>
      </c>
      <c r="BO1261">
        <f>IF($A1261="","",IF($A1260="",1,IF(BN1261&lt;&gt;BN1260,1,0)))</f>
        <v>0</v>
      </c>
      <c r="BP1261">
        <f>IF($A1261="","",IF($A1262="",1,IF(BN1262&lt;&gt;BN1261,1,0)))</f>
        <v>0</v>
      </c>
      <c r="BQ1261">
        <f>IF($A1261="","",IF(BO1261=1,$B1261,BQ1260))</f>
        <v>0</v>
      </c>
      <c r="BR1261">
        <f>IF($A1261="","",IF(BO1261=1,$C1261,MAX($C1261,BR1260)))</f>
        <v>0</v>
      </c>
      <c r="BS1261">
        <f>IF($A1261="","",IF(BO1261=1,$D1261,MIN($D1261,BS1260)))</f>
        <v>0</v>
      </c>
      <c r="BT1261">
        <f>IF($A1261="","",IF(BP1261=1,F1261,""))</f>
        <v>0</v>
      </c>
    </row>
    <row r="1262" spans="1:72">
      <c r="A1262" s="27">
        <f>IF(Data!$A1262="","",Data!$A1262)</f>
        <v>0</v>
      </c>
      <c r="B1262">
        <f>IF(Data!$B1262="","",Data!$B1262)</f>
        <v>0</v>
      </c>
      <c r="C1262">
        <f>IF(Data!$C1262="","",Data!$C1262)</f>
        <v>0</v>
      </c>
      <c r="D1262">
        <f>IF(Data!$D1262="","",Data!$D1262)</f>
        <v>0</v>
      </c>
      <c r="E1262">
        <f>IF(Data!$E1262="","",Data!$E1262)</f>
        <v>0</v>
      </c>
      <c r="F1262">
        <f>IF($E1262="","",N(F1261)+1)</f>
        <v>0</v>
      </c>
      <c r="G1262">
        <f>IF(OR($E1262="",$E1261=""),"",LN($E1262/$E1261))</f>
        <v>0</v>
      </c>
      <c r="H1262">
        <f>IF($E1262="","",IF($E1261="",$E1262,$E1262*0.0952380952+H1261*0.9047619048))</f>
        <v>0</v>
      </c>
      <c r="I1262">
        <f>IF($E1262="","",IF($E1261="",$E1262,$E1262*0.0392156863+I1261*0.9607843137))</f>
        <v>0</v>
      </c>
      <c r="J1262">
        <f>IF($E1262="","",IF($E1261="",$E1262,$E1262*0.0198019802+J1261*0.9801980198))</f>
        <v>0</v>
      </c>
      <c r="K1262">
        <f>IF($E1262="","",IF($E1261="",$E1262,$E1262*0.0099502488+K1261*0.9900497512))</f>
        <v>0</v>
      </c>
      <c r="L1262">
        <f>IF(OR($E1262="",$E1261=""),"",MAX($E1262-$E1261,0))</f>
        <v>0</v>
      </c>
      <c r="M1262">
        <f>IF(OR($E1262="",$E1261=""),"",MAX($E1261-$E1262,0))</f>
        <v>0</v>
      </c>
      <c r="N1262">
        <f>IF(COUNT($E$2:$E1262)&lt;15,"",IF(AVERAGE($M$1249:$M$1262)=0,100,100-100/(1+AVERAGE($L$1249:$L$1262)/AVERAGE($M$1249:$M$1262))))</f>
        <v>0</v>
      </c>
      <c r="O1262">
        <f>IF($E1262="","",IF($E1261="",$E1262,$E1262*0.1538461538+O1261*0.8461538462))</f>
        <v>0</v>
      </c>
      <c r="P1262">
        <f>IF($E1262="","",IF($E1261="",$E1262,$E1262*0.0740740741+P1261*0.9259259259))</f>
        <v>0</v>
      </c>
      <c r="Q1262">
        <f>IF(OR(O1262="",P1262=""),"",O1262-P1262)</f>
        <v>0</v>
      </c>
      <c r="R1262">
        <f>IF(Q1262="","",IF(R1261="",Q1262,Q1262*0.2000000000+R1261*0.8000000000))</f>
        <v>0</v>
      </c>
      <c r="S1262">
        <f>IF(OR(Q1262="",R1262=""),"",Q1262-R1262)</f>
        <v>0</v>
      </c>
      <c r="T1262">
        <f>IF(COUNT($E$2:$E1262)&lt;14,"",MAX($C$1249:$C$1262))</f>
        <v>0</v>
      </c>
      <c r="U1262">
        <f>IF(COUNT($E$2:$E1262)&lt;14,"",MIN($D$1249:$D$1262))</f>
        <v>0</v>
      </c>
      <c r="V1262">
        <f>IF(OR(T1262="",U1262="",T1262=U1262),"",100*($E1262-U1262)/(T1262-U1262))</f>
        <v>0</v>
      </c>
      <c r="W1262">
        <f>IF(COUNT($V$1260:$V$1262)&lt;3,"",AVERAGE($V$1260:$V$1262))</f>
        <v>0</v>
      </c>
      <c r="X1262">
        <f>IF(COUNT($N$1249:$N$1262)&lt;14,"",MIN($N$1249:$N$1262))</f>
        <v>0</v>
      </c>
      <c r="Y1262">
        <f>IF(COUNT($N$1249:$N$1262)&lt;14,"",MAX($N$1249:$N$1262))</f>
        <v>0</v>
      </c>
      <c r="Z1262">
        <f>IF(OR(N1262="",X1262="",Y1262="",Y1262=X1262),"",100*(N1262-X1262)/(Y1262-X1262))</f>
        <v>0</v>
      </c>
      <c r="AA1262">
        <f>IF(COUNT($Z$1260:$Z$1262)&lt;3,"",AVERAGE($Z$1260:$Z$1262))</f>
        <v>0</v>
      </c>
      <c r="AB1262">
        <f>IF(COUNT($AA$1260:$AA$1262)&lt;3,"",AVERAGE($AA$1260:$AA$1262))</f>
        <v>0</v>
      </c>
      <c r="AC1262">
        <f>IF($E1262="","",MAX($C1262-$D1262,ABS($C1262-$E1261),ABS($D1262-$E1261)))</f>
        <v>0</v>
      </c>
      <c r="AD1262">
        <f>IF(COUNT($E$2:$E1262)&lt;15,"",AVERAGE($AC$1249:$AC$1262))</f>
        <v>0</v>
      </c>
      <c r="AE1262">
        <f>IF(OR($E1262="",$E1261=""),"",IF(AND(($C1262-$C1261)&gt;($D1261-$D1262),($C1262-$C1261)&gt;0),$C1262-$C1261,0))</f>
        <v>0</v>
      </c>
      <c r="AF1262">
        <f>IF(OR($E1262="",$E1261=""),"",IF(AND(($D1261-$D1262)&gt;($C1262-$C1261),($D1261-$D1262)&gt;0),$D1261-$D1262,0))</f>
        <v>0</v>
      </c>
      <c r="AG1262">
        <f>IF(COUNT($E$2:$E1262)&lt;15,"",IF(SUM($AC$1249:$AC$1262)=0,0,100*SUM($AE$1249:$AE$1262)/SUM($AC$1249:$AC$1262)))</f>
        <v>0</v>
      </c>
      <c r="AH1262">
        <f>IF(COUNT($E$2:$E1262)&lt;15,"",IF(SUM($AC$1249:$AC$1262)=0,0,100*SUM($AF$1249:$AF$1262)/SUM($AC$1249:$AC$1262)))</f>
        <v>0</v>
      </c>
      <c r="AI1262">
        <f>IF(OR(AG1262="",AH1262=""),"",IF((AG1262+AH1262)=0,0,100*ABS(AG1262-AH1262)/(AG1262+AH1262)))</f>
        <v>0</v>
      </c>
      <c r="AJ1262">
        <f>IF(COUNT($AI$1249:$AI$1262)&lt;14,"",AVERAGE($AI$1249:$AI$1262))</f>
        <v>0</v>
      </c>
      <c r="AK1262">
        <f>IF(COUNT($E$2:$E1262)&lt;20,"",AVERAGE($E$1243:$E$1262))</f>
        <v>0</v>
      </c>
      <c r="AL1262">
        <f>IF(COUNT($E$2:$E1262)&lt;20,"",STDEVP($E$1243:$E$1262))</f>
        <v>0</v>
      </c>
      <c r="AM1262">
        <f>IF(AK1262="","",AK1262+2*AL1262)</f>
        <v>0</v>
      </c>
      <c r="AN1262">
        <f>IF(AK1262="","",AK1262-2*AL1262)</f>
        <v>0</v>
      </c>
      <c r="AO1262">
        <f>IF(OR(AM1262="",AN1262="",AM1262=AN1262),"",($E1262-AN1262)/(AM1262-AN1262))</f>
        <v>0</v>
      </c>
      <c r="AP1262">
        <f>IF(OR(AM1262="",AK1262="",AK1262=0),"",(AM1262-AN1262)/AK1262)</f>
        <v>0</v>
      </c>
      <c r="AQ1262">
        <f>IF(COUNT($E$2:$E1262)&lt;20,"",MAX($C$1243:$C$1262))</f>
        <v>0</v>
      </c>
      <c r="AR1262">
        <f>IF(COUNT($E$2:$E1262)&lt;20,"",MIN($D$1243:$D$1262))</f>
        <v>0</v>
      </c>
      <c r="AS1262">
        <f>IF(OR(AQ1262="",AR1262=""),"",(AQ1262+AR1262)/2)</f>
        <v>0</v>
      </c>
      <c r="AT1262">
        <f>IF(COUNT($G$1243:$G$1262)&lt;20,"",STDEV($G$1243:$G$1262)*SQRT(252))</f>
        <v>0</v>
      </c>
      <c r="AU1262">
        <f>IF(COUNT($E$2:$E1262)&lt;9,"",(MAX($C$1254:$C$1262)+MIN($D$1254:$D$1262))/2)</f>
        <v>0</v>
      </c>
      <c r="AV1262">
        <f>IF(COUNT($E$2:$E1262)&lt;26,"",(MAX($C$1237:$C$1262)+MIN($D$1237:$D$1262))/2)</f>
        <v>0</v>
      </c>
      <c r="AW1262">
        <f>IF(OR(AU1262="",AV1262=""),"",(AU1262+AV1262)/2)</f>
        <v>0</v>
      </c>
      <c r="AX1262">
        <f>IF(COUNT($E$2:$E1262)&lt;52,"",(MAX($C$1211:$C$1262)+MIN($D$1211:$D$1262))/2)</f>
        <v>0</v>
      </c>
      <c r="AY1262">
        <f>IF(COUNT($E$2:$E1262)&lt;20,"",MAX($C$1163:$C$1262))</f>
        <v>0</v>
      </c>
      <c r="AZ1262">
        <f>IF(COUNT($E$2:$E1262)&lt;20,"",MIN($D$1163:$D$1262))</f>
        <v>0</v>
      </c>
      <c r="BA1262">
        <f>IF(COUNT($E$2:$E1262)&lt;20,"",SLOPE($E$1163:$E$1262,$F$1163:$F$1262))</f>
        <v>0</v>
      </c>
      <c r="BB1262">
        <f>IF(COUNT($E$2:$E1262)&lt;20,"",INTERCEPT($E$1163:$E$1262,$F$1163:$F$1262))</f>
        <v>0</v>
      </c>
      <c r="BC1262">
        <f>IF(OR(BA1262="",BB1262=""),"",BB1262+BA1262*F1262)</f>
        <v>0</v>
      </c>
      <c r="BD1262">
        <f>IF(COUNT($E$2:$E1262)&lt;20,"",STEYX($E$1163:$E$1262,$F$1163:$F$1262))</f>
        <v>0</v>
      </c>
      <c r="BE1262">
        <f>IF($E1262="","",IF(AND(COUNT($E$1263:$E$1266)&gt;=4,$C1262=MAX($C$1258:$C$1266)),$C1262,""))</f>
        <v>0</v>
      </c>
      <c r="BF1262">
        <f>IF($E1262="","",IF(AND(COUNT($E$1263:$E$1266)&gt;=4,$D1262=MIN($D$1258:$D$1266)),$D1262,""))</f>
        <v>0</v>
      </c>
      <c r="BG1262">
        <f>IF($A1262="","",$A1262-WEEKDAY($A1262,2)+1)</f>
        <v>0</v>
      </c>
      <c r="BH1262">
        <f>IF($A1262="","",IF($A1261="",1,IF(BG1262&lt;&gt;BG1261,1,0)))</f>
        <v>0</v>
      </c>
      <c r="BI1262">
        <f>IF($A1262="","",IF($A1263="",1,IF(BG1263&lt;&gt;BG1262,1,0)))</f>
        <v>0</v>
      </c>
      <c r="BJ1262">
        <f>IF($A1262="","",IF(BH1262=1,$B1262,BJ1261))</f>
        <v>0</v>
      </c>
      <c r="BK1262">
        <f>IF($A1262="","",IF(BH1262=1,$C1262,MAX($C1262,BK1261)))</f>
        <v>0</v>
      </c>
      <c r="BL1262">
        <f>IF($A1262="","",IF(BH1262=1,$D1262,MIN($D1262,BL1261)))</f>
        <v>0</v>
      </c>
      <c r="BM1262">
        <f>IF($A1262="","",IF(BI1262=1,F1262,""))</f>
        <v>0</v>
      </c>
      <c r="BN1262">
        <f>IF($A1262="","",DATE(YEAR($A1262),MONTH($A1262),1))</f>
        <v>0</v>
      </c>
      <c r="BO1262">
        <f>IF($A1262="","",IF($A1261="",1,IF(BN1262&lt;&gt;BN1261,1,0)))</f>
        <v>0</v>
      </c>
      <c r="BP1262">
        <f>IF($A1262="","",IF($A1263="",1,IF(BN1263&lt;&gt;BN1262,1,0)))</f>
        <v>0</v>
      </c>
      <c r="BQ1262">
        <f>IF($A1262="","",IF(BO1262=1,$B1262,BQ1261))</f>
        <v>0</v>
      </c>
      <c r="BR1262">
        <f>IF($A1262="","",IF(BO1262=1,$C1262,MAX($C1262,BR1261)))</f>
        <v>0</v>
      </c>
      <c r="BS1262">
        <f>IF($A1262="","",IF(BO1262=1,$D1262,MIN($D1262,BS1261)))</f>
        <v>0</v>
      </c>
      <c r="BT1262">
        <f>IF($A1262="","",IF(BP1262=1,F1262,""))</f>
        <v>0</v>
      </c>
    </row>
    <row r="1263" spans="1:72">
      <c r="A1263" s="27">
        <f>IF(Data!$A1263="","",Data!$A1263)</f>
        <v>0</v>
      </c>
      <c r="B1263">
        <f>IF(Data!$B1263="","",Data!$B1263)</f>
        <v>0</v>
      </c>
      <c r="C1263">
        <f>IF(Data!$C1263="","",Data!$C1263)</f>
        <v>0</v>
      </c>
      <c r="D1263">
        <f>IF(Data!$D1263="","",Data!$D1263)</f>
        <v>0</v>
      </c>
      <c r="E1263">
        <f>IF(Data!$E1263="","",Data!$E1263)</f>
        <v>0</v>
      </c>
      <c r="F1263">
        <f>IF($E1263="","",N(F1262)+1)</f>
        <v>0</v>
      </c>
      <c r="G1263">
        <f>IF(OR($E1263="",$E1262=""),"",LN($E1263/$E1262))</f>
        <v>0</v>
      </c>
      <c r="H1263">
        <f>IF($E1263="","",IF($E1262="",$E1263,$E1263*0.0952380952+H1262*0.9047619048))</f>
        <v>0</v>
      </c>
      <c r="I1263">
        <f>IF($E1263="","",IF($E1262="",$E1263,$E1263*0.0392156863+I1262*0.9607843137))</f>
        <v>0</v>
      </c>
      <c r="J1263">
        <f>IF($E1263="","",IF($E1262="",$E1263,$E1263*0.0198019802+J1262*0.9801980198))</f>
        <v>0</v>
      </c>
      <c r="K1263">
        <f>IF($E1263="","",IF($E1262="",$E1263,$E1263*0.0099502488+K1262*0.9900497512))</f>
        <v>0</v>
      </c>
      <c r="L1263">
        <f>IF(OR($E1263="",$E1262=""),"",MAX($E1263-$E1262,0))</f>
        <v>0</v>
      </c>
      <c r="M1263">
        <f>IF(OR($E1263="",$E1262=""),"",MAX($E1262-$E1263,0))</f>
        <v>0</v>
      </c>
      <c r="N1263">
        <f>IF(COUNT($E$2:$E1263)&lt;15,"",IF(AVERAGE($M$1250:$M$1263)=0,100,100-100/(1+AVERAGE($L$1250:$L$1263)/AVERAGE($M$1250:$M$1263))))</f>
        <v>0</v>
      </c>
      <c r="O1263">
        <f>IF($E1263="","",IF($E1262="",$E1263,$E1263*0.1538461538+O1262*0.8461538462))</f>
        <v>0</v>
      </c>
      <c r="P1263">
        <f>IF($E1263="","",IF($E1262="",$E1263,$E1263*0.0740740741+P1262*0.9259259259))</f>
        <v>0</v>
      </c>
      <c r="Q1263">
        <f>IF(OR(O1263="",P1263=""),"",O1263-P1263)</f>
        <v>0</v>
      </c>
      <c r="R1263">
        <f>IF(Q1263="","",IF(R1262="",Q1263,Q1263*0.2000000000+R1262*0.8000000000))</f>
        <v>0</v>
      </c>
      <c r="S1263">
        <f>IF(OR(Q1263="",R1263=""),"",Q1263-R1263)</f>
        <v>0</v>
      </c>
      <c r="T1263">
        <f>IF(COUNT($E$2:$E1263)&lt;14,"",MAX($C$1250:$C$1263))</f>
        <v>0</v>
      </c>
      <c r="U1263">
        <f>IF(COUNT($E$2:$E1263)&lt;14,"",MIN($D$1250:$D$1263))</f>
        <v>0</v>
      </c>
      <c r="V1263">
        <f>IF(OR(T1263="",U1263="",T1263=U1263),"",100*($E1263-U1263)/(T1263-U1263))</f>
        <v>0</v>
      </c>
      <c r="W1263">
        <f>IF(COUNT($V$1261:$V$1263)&lt;3,"",AVERAGE($V$1261:$V$1263))</f>
        <v>0</v>
      </c>
      <c r="X1263">
        <f>IF(COUNT($N$1250:$N$1263)&lt;14,"",MIN($N$1250:$N$1263))</f>
        <v>0</v>
      </c>
      <c r="Y1263">
        <f>IF(COUNT($N$1250:$N$1263)&lt;14,"",MAX($N$1250:$N$1263))</f>
        <v>0</v>
      </c>
      <c r="Z1263">
        <f>IF(OR(N1263="",X1263="",Y1263="",Y1263=X1263),"",100*(N1263-X1263)/(Y1263-X1263))</f>
        <v>0</v>
      </c>
      <c r="AA1263">
        <f>IF(COUNT($Z$1261:$Z$1263)&lt;3,"",AVERAGE($Z$1261:$Z$1263))</f>
        <v>0</v>
      </c>
      <c r="AB1263">
        <f>IF(COUNT($AA$1261:$AA$1263)&lt;3,"",AVERAGE($AA$1261:$AA$1263))</f>
        <v>0</v>
      </c>
      <c r="AC1263">
        <f>IF($E1263="","",MAX($C1263-$D1263,ABS($C1263-$E1262),ABS($D1263-$E1262)))</f>
        <v>0</v>
      </c>
      <c r="AD1263">
        <f>IF(COUNT($E$2:$E1263)&lt;15,"",AVERAGE($AC$1250:$AC$1263))</f>
        <v>0</v>
      </c>
      <c r="AE1263">
        <f>IF(OR($E1263="",$E1262=""),"",IF(AND(($C1263-$C1262)&gt;($D1262-$D1263),($C1263-$C1262)&gt;0),$C1263-$C1262,0))</f>
        <v>0</v>
      </c>
      <c r="AF1263">
        <f>IF(OR($E1263="",$E1262=""),"",IF(AND(($D1262-$D1263)&gt;($C1263-$C1262),($D1262-$D1263)&gt;0),$D1262-$D1263,0))</f>
        <v>0</v>
      </c>
      <c r="AG1263">
        <f>IF(COUNT($E$2:$E1263)&lt;15,"",IF(SUM($AC$1250:$AC$1263)=0,0,100*SUM($AE$1250:$AE$1263)/SUM($AC$1250:$AC$1263)))</f>
        <v>0</v>
      </c>
      <c r="AH1263">
        <f>IF(COUNT($E$2:$E1263)&lt;15,"",IF(SUM($AC$1250:$AC$1263)=0,0,100*SUM($AF$1250:$AF$1263)/SUM($AC$1250:$AC$1263)))</f>
        <v>0</v>
      </c>
      <c r="AI1263">
        <f>IF(OR(AG1263="",AH1263=""),"",IF((AG1263+AH1263)=0,0,100*ABS(AG1263-AH1263)/(AG1263+AH1263)))</f>
        <v>0</v>
      </c>
      <c r="AJ1263">
        <f>IF(COUNT($AI$1250:$AI$1263)&lt;14,"",AVERAGE($AI$1250:$AI$1263))</f>
        <v>0</v>
      </c>
      <c r="AK1263">
        <f>IF(COUNT($E$2:$E1263)&lt;20,"",AVERAGE($E$1244:$E$1263))</f>
        <v>0</v>
      </c>
      <c r="AL1263">
        <f>IF(COUNT($E$2:$E1263)&lt;20,"",STDEVP($E$1244:$E$1263))</f>
        <v>0</v>
      </c>
      <c r="AM1263">
        <f>IF(AK1263="","",AK1263+2*AL1263)</f>
        <v>0</v>
      </c>
      <c r="AN1263">
        <f>IF(AK1263="","",AK1263-2*AL1263)</f>
        <v>0</v>
      </c>
      <c r="AO1263">
        <f>IF(OR(AM1263="",AN1263="",AM1263=AN1263),"",($E1263-AN1263)/(AM1263-AN1263))</f>
        <v>0</v>
      </c>
      <c r="AP1263">
        <f>IF(OR(AM1263="",AK1263="",AK1263=0),"",(AM1263-AN1263)/AK1263)</f>
        <v>0</v>
      </c>
      <c r="AQ1263">
        <f>IF(COUNT($E$2:$E1263)&lt;20,"",MAX($C$1244:$C$1263))</f>
        <v>0</v>
      </c>
      <c r="AR1263">
        <f>IF(COUNT($E$2:$E1263)&lt;20,"",MIN($D$1244:$D$1263))</f>
        <v>0</v>
      </c>
      <c r="AS1263">
        <f>IF(OR(AQ1263="",AR1263=""),"",(AQ1263+AR1263)/2)</f>
        <v>0</v>
      </c>
      <c r="AT1263">
        <f>IF(COUNT($G$1244:$G$1263)&lt;20,"",STDEV($G$1244:$G$1263)*SQRT(252))</f>
        <v>0</v>
      </c>
      <c r="AU1263">
        <f>IF(COUNT($E$2:$E1263)&lt;9,"",(MAX($C$1255:$C$1263)+MIN($D$1255:$D$1263))/2)</f>
        <v>0</v>
      </c>
      <c r="AV1263">
        <f>IF(COUNT($E$2:$E1263)&lt;26,"",(MAX($C$1238:$C$1263)+MIN($D$1238:$D$1263))/2)</f>
        <v>0</v>
      </c>
      <c r="AW1263">
        <f>IF(OR(AU1263="",AV1263=""),"",(AU1263+AV1263)/2)</f>
        <v>0</v>
      </c>
      <c r="AX1263">
        <f>IF(COUNT($E$2:$E1263)&lt;52,"",(MAX($C$1212:$C$1263)+MIN($D$1212:$D$1263))/2)</f>
        <v>0</v>
      </c>
      <c r="AY1263">
        <f>IF(COUNT($E$2:$E1263)&lt;20,"",MAX($C$1164:$C$1263))</f>
        <v>0</v>
      </c>
      <c r="AZ1263">
        <f>IF(COUNT($E$2:$E1263)&lt;20,"",MIN($D$1164:$D$1263))</f>
        <v>0</v>
      </c>
      <c r="BA1263">
        <f>IF(COUNT($E$2:$E1263)&lt;20,"",SLOPE($E$1164:$E$1263,$F$1164:$F$1263))</f>
        <v>0</v>
      </c>
      <c r="BB1263">
        <f>IF(COUNT($E$2:$E1263)&lt;20,"",INTERCEPT($E$1164:$E$1263,$F$1164:$F$1263))</f>
        <v>0</v>
      </c>
      <c r="BC1263">
        <f>IF(OR(BA1263="",BB1263=""),"",BB1263+BA1263*F1263)</f>
        <v>0</v>
      </c>
      <c r="BD1263">
        <f>IF(COUNT($E$2:$E1263)&lt;20,"",STEYX($E$1164:$E$1263,$F$1164:$F$1263))</f>
        <v>0</v>
      </c>
      <c r="BE1263">
        <f>IF($E1263="","",IF(AND(COUNT($E$1264:$E$1267)&gt;=4,$C1263=MAX($C$1259:$C$1267)),$C1263,""))</f>
        <v>0</v>
      </c>
      <c r="BF1263">
        <f>IF($E1263="","",IF(AND(COUNT($E$1264:$E$1267)&gt;=4,$D1263=MIN($D$1259:$D$1267)),$D1263,""))</f>
        <v>0</v>
      </c>
      <c r="BG1263">
        <f>IF($A1263="","",$A1263-WEEKDAY($A1263,2)+1)</f>
        <v>0</v>
      </c>
      <c r="BH1263">
        <f>IF($A1263="","",IF($A1262="",1,IF(BG1263&lt;&gt;BG1262,1,0)))</f>
        <v>0</v>
      </c>
      <c r="BI1263">
        <f>IF($A1263="","",IF($A1264="",1,IF(BG1264&lt;&gt;BG1263,1,0)))</f>
        <v>0</v>
      </c>
      <c r="BJ1263">
        <f>IF($A1263="","",IF(BH1263=1,$B1263,BJ1262))</f>
        <v>0</v>
      </c>
      <c r="BK1263">
        <f>IF($A1263="","",IF(BH1263=1,$C1263,MAX($C1263,BK1262)))</f>
        <v>0</v>
      </c>
      <c r="BL1263">
        <f>IF($A1263="","",IF(BH1263=1,$D1263,MIN($D1263,BL1262)))</f>
        <v>0</v>
      </c>
      <c r="BM1263">
        <f>IF($A1263="","",IF(BI1263=1,F1263,""))</f>
        <v>0</v>
      </c>
      <c r="BN1263">
        <f>IF($A1263="","",DATE(YEAR($A1263),MONTH($A1263),1))</f>
        <v>0</v>
      </c>
      <c r="BO1263">
        <f>IF($A1263="","",IF($A1262="",1,IF(BN1263&lt;&gt;BN1262,1,0)))</f>
        <v>0</v>
      </c>
      <c r="BP1263">
        <f>IF($A1263="","",IF($A1264="",1,IF(BN1264&lt;&gt;BN1263,1,0)))</f>
        <v>0</v>
      </c>
      <c r="BQ1263">
        <f>IF($A1263="","",IF(BO1263=1,$B1263,BQ1262))</f>
        <v>0</v>
      </c>
      <c r="BR1263">
        <f>IF($A1263="","",IF(BO1263=1,$C1263,MAX($C1263,BR1262)))</f>
        <v>0</v>
      </c>
      <c r="BS1263">
        <f>IF($A1263="","",IF(BO1263=1,$D1263,MIN($D1263,BS1262)))</f>
        <v>0</v>
      </c>
      <c r="BT1263">
        <f>IF($A1263="","",IF(BP1263=1,F1263,""))</f>
        <v>0</v>
      </c>
    </row>
    <row r="1264" spans="1:72">
      <c r="A1264" s="27">
        <f>IF(Data!$A1264="","",Data!$A1264)</f>
        <v>0</v>
      </c>
      <c r="B1264">
        <f>IF(Data!$B1264="","",Data!$B1264)</f>
        <v>0</v>
      </c>
      <c r="C1264">
        <f>IF(Data!$C1264="","",Data!$C1264)</f>
        <v>0</v>
      </c>
      <c r="D1264">
        <f>IF(Data!$D1264="","",Data!$D1264)</f>
        <v>0</v>
      </c>
      <c r="E1264">
        <f>IF(Data!$E1264="","",Data!$E1264)</f>
        <v>0</v>
      </c>
      <c r="F1264">
        <f>IF($E1264="","",N(F1263)+1)</f>
        <v>0</v>
      </c>
      <c r="G1264">
        <f>IF(OR($E1264="",$E1263=""),"",LN($E1264/$E1263))</f>
        <v>0</v>
      </c>
      <c r="H1264">
        <f>IF($E1264="","",IF($E1263="",$E1264,$E1264*0.0952380952+H1263*0.9047619048))</f>
        <v>0</v>
      </c>
      <c r="I1264">
        <f>IF($E1264="","",IF($E1263="",$E1264,$E1264*0.0392156863+I1263*0.9607843137))</f>
        <v>0</v>
      </c>
      <c r="J1264">
        <f>IF($E1264="","",IF($E1263="",$E1264,$E1264*0.0198019802+J1263*0.9801980198))</f>
        <v>0</v>
      </c>
      <c r="K1264">
        <f>IF($E1264="","",IF($E1263="",$E1264,$E1264*0.0099502488+K1263*0.9900497512))</f>
        <v>0</v>
      </c>
      <c r="L1264">
        <f>IF(OR($E1264="",$E1263=""),"",MAX($E1264-$E1263,0))</f>
        <v>0</v>
      </c>
      <c r="M1264">
        <f>IF(OR($E1264="",$E1263=""),"",MAX($E1263-$E1264,0))</f>
        <v>0</v>
      </c>
      <c r="N1264">
        <f>IF(COUNT($E$2:$E1264)&lt;15,"",IF(AVERAGE($M$1251:$M$1264)=0,100,100-100/(1+AVERAGE($L$1251:$L$1264)/AVERAGE($M$1251:$M$1264))))</f>
        <v>0</v>
      </c>
      <c r="O1264">
        <f>IF($E1264="","",IF($E1263="",$E1264,$E1264*0.1538461538+O1263*0.8461538462))</f>
        <v>0</v>
      </c>
      <c r="P1264">
        <f>IF($E1264="","",IF($E1263="",$E1264,$E1264*0.0740740741+P1263*0.9259259259))</f>
        <v>0</v>
      </c>
      <c r="Q1264">
        <f>IF(OR(O1264="",P1264=""),"",O1264-P1264)</f>
        <v>0</v>
      </c>
      <c r="R1264">
        <f>IF(Q1264="","",IF(R1263="",Q1264,Q1264*0.2000000000+R1263*0.8000000000))</f>
        <v>0</v>
      </c>
      <c r="S1264">
        <f>IF(OR(Q1264="",R1264=""),"",Q1264-R1264)</f>
        <v>0</v>
      </c>
      <c r="T1264">
        <f>IF(COUNT($E$2:$E1264)&lt;14,"",MAX($C$1251:$C$1264))</f>
        <v>0</v>
      </c>
      <c r="U1264">
        <f>IF(COUNT($E$2:$E1264)&lt;14,"",MIN($D$1251:$D$1264))</f>
        <v>0</v>
      </c>
      <c r="V1264">
        <f>IF(OR(T1264="",U1264="",T1264=U1264),"",100*($E1264-U1264)/(T1264-U1264))</f>
        <v>0</v>
      </c>
      <c r="W1264">
        <f>IF(COUNT($V$1262:$V$1264)&lt;3,"",AVERAGE($V$1262:$V$1264))</f>
        <v>0</v>
      </c>
      <c r="X1264">
        <f>IF(COUNT($N$1251:$N$1264)&lt;14,"",MIN($N$1251:$N$1264))</f>
        <v>0</v>
      </c>
      <c r="Y1264">
        <f>IF(COUNT($N$1251:$N$1264)&lt;14,"",MAX($N$1251:$N$1264))</f>
        <v>0</v>
      </c>
      <c r="Z1264">
        <f>IF(OR(N1264="",X1264="",Y1264="",Y1264=X1264),"",100*(N1264-X1264)/(Y1264-X1264))</f>
        <v>0</v>
      </c>
      <c r="AA1264">
        <f>IF(COUNT($Z$1262:$Z$1264)&lt;3,"",AVERAGE($Z$1262:$Z$1264))</f>
        <v>0</v>
      </c>
      <c r="AB1264">
        <f>IF(COUNT($AA$1262:$AA$1264)&lt;3,"",AVERAGE($AA$1262:$AA$1264))</f>
        <v>0</v>
      </c>
      <c r="AC1264">
        <f>IF($E1264="","",MAX($C1264-$D1264,ABS($C1264-$E1263),ABS($D1264-$E1263)))</f>
        <v>0</v>
      </c>
      <c r="AD1264">
        <f>IF(COUNT($E$2:$E1264)&lt;15,"",AVERAGE($AC$1251:$AC$1264))</f>
        <v>0</v>
      </c>
      <c r="AE1264">
        <f>IF(OR($E1264="",$E1263=""),"",IF(AND(($C1264-$C1263)&gt;($D1263-$D1264),($C1264-$C1263)&gt;0),$C1264-$C1263,0))</f>
        <v>0</v>
      </c>
      <c r="AF1264">
        <f>IF(OR($E1264="",$E1263=""),"",IF(AND(($D1263-$D1264)&gt;($C1264-$C1263),($D1263-$D1264)&gt;0),$D1263-$D1264,0))</f>
        <v>0</v>
      </c>
      <c r="AG1264">
        <f>IF(COUNT($E$2:$E1264)&lt;15,"",IF(SUM($AC$1251:$AC$1264)=0,0,100*SUM($AE$1251:$AE$1264)/SUM($AC$1251:$AC$1264)))</f>
        <v>0</v>
      </c>
      <c r="AH1264">
        <f>IF(COUNT($E$2:$E1264)&lt;15,"",IF(SUM($AC$1251:$AC$1264)=0,0,100*SUM($AF$1251:$AF$1264)/SUM($AC$1251:$AC$1264)))</f>
        <v>0</v>
      </c>
      <c r="AI1264">
        <f>IF(OR(AG1264="",AH1264=""),"",IF((AG1264+AH1264)=0,0,100*ABS(AG1264-AH1264)/(AG1264+AH1264)))</f>
        <v>0</v>
      </c>
      <c r="AJ1264">
        <f>IF(COUNT($AI$1251:$AI$1264)&lt;14,"",AVERAGE($AI$1251:$AI$1264))</f>
        <v>0</v>
      </c>
      <c r="AK1264">
        <f>IF(COUNT($E$2:$E1264)&lt;20,"",AVERAGE($E$1245:$E$1264))</f>
        <v>0</v>
      </c>
      <c r="AL1264">
        <f>IF(COUNT($E$2:$E1264)&lt;20,"",STDEVP($E$1245:$E$1264))</f>
        <v>0</v>
      </c>
      <c r="AM1264">
        <f>IF(AK1264="","",AK1264+2*AL1264)</f>
        <v>0</v>
      </c>
      <c r="AN1264">
        <f>IF(AK1264="","",AK1264-2*AL1264)</f>
        <v>0</v>
      </c>
      <c r="AO1264">
        <f>IF(OR(AM1264="",AN1264="",AM1264=AN1264),"",($E1264-AN1264)/(AM1264-AN1264))</f>
        <v>0</v>
      </c>
      <c r="AP1264">
        <f>IF(OR(AM1264="",AK1264="",AK1264=0),"",(AM1264-AN1264)/AK1264)</f>
        <v>0</v>
      </c>
      <c r="AQ1264">
        <f>IF(COUNT($E$2:$E1264)&lt;20,"",MAX($C$1245:$C$1264))</f>
        <v>0</v>
      </c>
      <c r="AR1264">
        <f>IF(COUNT($E$2:$E1264)&lt;20,"",MIN($D$1245:$D$1264))</f>
        <v>0</v>
      </c>
      <c r="AS1264">
        <f>IF(OR(AQ1264="",AR1264=""),"",(AQ1264+AR1264)/2)</f>
        <v>0</v>
      </c>
      <c r="AT1264">
        <f>IF(COUNT($G$1245:$G$1264)&lt;20,"",STDEV($G$1245:$G$1264)*SQRT(252))</f>
        <v>0</v>
      </c>
      <c r="AU1264">
        <f>IF(COUNT($E$2:$E1264)&lt;9,"",(MAX($C$1256:$C$1264)+MIN($D$1256:$D$1264))/2)</f>
        <v>0</v>
      </c>
      <c r="AV1264">
        <f>IF(COUNT($E$2:$E1264)&lt;26,"",(MAX($C$1239:$C$1264)+MIN($D$1239:$D$1264))/2)</f>
        <v>0</v>
      </c>
      <c r="AW1264">
        <f>IF(OR(AU1264="",AV1264=""),"",(AU1264+AV1264)/2)</f>
        <v>0</v>
      </c>
      <c r="AX1264">
        <f>IF(COUNT($E$2:$E1264)&lt;52,"",(MAX($C$1213:$C$1264)+MIN($D$1213:$D$1264))/2)</f>
        <v>0</v>
      </c>
      <c r="AY1264">
        <f>IF(COUNT($E$2:$E1264)&lt;20,"",MAX($C$1165:$C$1264))</f>
        <v>0</v>
      </c>
      <c r="AZ1264">
        <f>IF(COUNT($E$2:$E1264)&lt;20,"",MIN($D$1165:$D$1264))</f>
        <v>0</v>
      </c>
      <c r="BA1264">
        <f>IF(COUNT($E$2:$E1264)&lt;20,"",SLOPE($E$1165:$E$1264,$F$1165:$F$1264))</f>
        <v>0</v>
      </c>
      <c r="BB1264">
        <f>IF(COUNT($E$2:$E1264)&lt;20,"",INTERCEPT($E$1165:$E$1264,$F$1165:$F$1264))</f>
        <v>0</v>
      </c>
      <c r="BC1264">
        <f>IF(OR(BA1264="",BB1264=""),"",BB1264+BA1264*F1264)</f>
        <v>0</v>
      </c>
      <c r="BD1264">
        <f>IF(COUNT($E$2:$E1264)&lt;20,"",STEYX($E$1165:$E$1264,$F$1165:$F$1264))</f>
        <v>0</v>
      </c>
      <c r="BE1264">
        <f>IF($E1264="","",IF(AND(COUNT($E$1265:$E$1268)&gt;=4,$C1264=MAX($C$1260:$C$1268)),$C1264,""))</f>
        <v>0</v>
      </c>
      <c r="BF1264">
        <f>IF($E1264="","",IF(AND(COUNT($E$1265:$E$1268)&gt;=4,$D1264=MIN($D$1260:$D$1268)),$D1264,""))</f>
        <v>0</v>
      </c>
      <c r="BG1264">
        <f>IF($A1264="","",$A1264-WEEKDAY($A1264,2)+1)</f>
        <v>0</v>
      </c>
      <c r="BH1264">
        <f>IF($A1264="","",IF($A1263="",1,IF(BG1264&lt;&gt;BG1263,1,0)))</f>
        <v>0</v>
      </c>
      <c r="BI1264">
        <f>IF($A1264="","",IF($A1265="",1,IF(BG1265&lt;&gt;BG1264,1,0)))</f>
        <v>0</v>
      </c>
      <c r="BJ1264">
        <f>IF($A1264="","",IF(BH1264=1,$B1264,BJ1263))</f>
        <v>0</v>
      </c>
      <c r="BK1264">
        <f>IF($A1264="","",IF(BH1264=1,$C1264,MAX($C1264,BK1263)))</f>
        <v>0</v>
      </c>
      <c r="BL1264">
        <f>IF($A1264="","",IF(BH1264=1,$D1264,MIN($D1264,BL1263)))</f>
        <v>0</v>
      </c>
      <c r="BM1264">
        <f>IF($A1264="","",IF(BI1264=1,F1264,""))</f>
        <v>0</v>
      </c>
      <c r="BN1264">
        <f>IF($A1264="","",DATE(YEAR($A1264),MONTH($A1264),1))</f>
        <v>0</v>
      </c>
      <c r="BO1264">
        <f>IF($A1264="","",IF($A1263="",1,IF(BN1264&lt;&gt;BN1263,1,0)))</f>
        <v>0</v>
      </c>
      <c r="BP1264">
        <f>IF($A1264="","",IF($A1265="",1,IF(BN1265&lt;&gt;BN1264,1,0)))</f>
        <v>0</v>
      </c>
      <c r="BQ1264">
        <f>IF($A1264="","",IF(BO1264=1,$B1264,BQ1263))</f>
        <v>0</v>
      </c>
      <c r="BR1264">
        <f>IF($A1264="","",IF(BO1264=1,$C1264,MAX($C1264,BR1263)))</f>
        <v>0</v>
      </c>
      <c r="BS1264">
        <f>IF($A1264="","",IF(BO1264=1,$D1264,MIN($D1264,BS1263)))</f>
        <v>0</v>
      </c>
      <c r="BT1264">
        <f>IF($A1264="","",IF(BP1264=1,F1264,""))</f>
        <v>0</v>
      </c>
    </row>
    <row r="1265" spans="1:72">
      <c r="A1265" s="27">
        <f>IF(Data!$A1265="","",Data!$A1265)</f>
        <v>0</v>
      </c>
      <c r="B1265">
        <f>IF(Data!$B1265="","",Data!$B1265)</f>
        <v>0</v>
      </c>
      <c r="C1265">
        <f>IF(Data!$C1265="","",Data!$C1265)</f>
        <v>0</v>
      </c>
      <c r="D1265">
        <f>IF(Data!$D1265="","",Data!$D1265)</f>
        <v>0</v>
      </c>
      <c r="E1265">
        <f>IF(Data!$E1265="","",Data!$E1265)</f>
        <v>0</v>
      </c>
      <c r="F1265">
        <f>IF($E1265="","",N(F1264)+1)</f>
        <v>0</v>
      </c>
      <c r="G1265">
        <f>IF(OR($E1265="",$E1264=""),"",LN($E1265/$E1264))</f>
        <v>0</v>
      </c>
      <c r="H1265">
        <f>IF($E1265="","",IF($E1264="",$E1265,$E1265*0.0952380952+H1264*0.9047619048))</f>
        <v>0</v>
      </c>
      <c r="I1265">
        <f>IF($E1265="","",IF($E1264="",$E1265,$E1265*0.0392156863+I1264*0.9607843137))</f>
        <v>0</v>
      </c>
      <c r="J1265">
        <f>IF($E1265="","",IF($E1264="",$E1265,$E1265*0.0198019802+J1264*0.9801980198))</f>
        <v>0</v>
      </c>
      <c r="K1265">
        <f>IF($E1265="","",IF($E1264="",$E1265,$E1265*0.0099502488+K1264*0.9900497512))</f>
        <v>0</v>
      </c>
      <c r="L1265">
        <f>IF(OR($E1265="",$E1264=""),"",MAX($E1265-$E1264,0))</f>
        <v>0</v>
      </c>
      <c r="M1265">
        <f>IF(OR($E1265="",$E1264=""),"",MAX($E1264-$E1265,0))</f>
        <v>0</v>
      </c>
      <c r="N1265">
        <f>IF(COUNT($E$2:$E1265)&lt;15,"",IF(AVERAGE($M$1252:$M$1265)=0,100,100-100/(1+AVERAGE($L$1252:$L$1265)/AVERAGE($M$1252:$M$1265))))</f>
        <v>0</v>
      </c>
      <c r="O1265">
        <f>IF($E1265="","",IF($E1264="",$E1265,$E1265*0.1538461538+O1264*0.8461538462))</f>
        <v>0</v>
      </c>
      <c r="P1265">
        <f>IF($E1265="","",IF($E1264="",$E1265,$E1265*0.0740740741+P1264*0.9259259259))</f>
        <v>0</v>
      </c>
      <c r="Q1265">
        <f>IF(OR(O1265="",P1265=""),"",O1265-P1265)</f>
        <v>0</v>
      </c>
      <c r="R1265">
        <f>IF(Q1265="","",IF(R1264="",Q1265,Q1265*0.2000000000+R1264*0.8000000000))</f>
        <v>0</v>
      </c>
      <c r="S1265">
        <f>IF(OR(Q1265="",R1265=""),"",Q1265-R1265)</f>
        <v>0</v>
      </c>
      <c r="T1265">
        <f>IF(COUNT($E$2:$E1265)&lt;14,"",MAX($C$1252:$C$1265))</f>
        <v>0</v>
      </c>
      <c r="U1265">
        <f>IF(COUNT($E$2:$E1265)&lt;14,"",MIN($D$1252:$D$1265))</f>
        <v>0</v>
      </c>
      <c r="V1265">
        <f>IF(OR(T1265="",U1265="",T1265=U1265),"",100*($E1265-U1265)/(T1265-U1265))</f>
        <v>0</v>
      </c>
      <c r="W1265">
        <f>IF(COUNT($V$1263:$V$1265)&lt;3,"",AVERAGE($V$1263:$V$1265))</f>
        <v>0</v>
      </c>
      <c r="X1265">
        <f>IF(COUNT($N$1252:$N$1265)&lt;14,"",MIN($N$1252:$N$1265))</f>
        <v>0</v>
      </c>
      <c r="Y1265">
        <f>IF(COUNT($N$1252:$N$1265)&lt;14,"",MAX($N$1252:$N$1265))</f>
        <v>0</v>
      </c>
      <c r="Z1265">
        <f>IF(OR(N1265="",X1265="",Y1265="",Y1265=X1265),"",100*(N1265-X1265)/(Y1265-X1265))</f>
        <v>0</v>
      </c>
      <c r="AA1265">
        <f>IF(COUNT($Z$1263:$Z$1265)&lt;3,"",AVERAGE($Z$1263:$Z$1265))</f>
        <v>0</v>
      </c>
      <c r="AB1265">
        <f>IF(COUNT($AA$1263:$AA$1265)&lt;3,"",AVERAGE($AA$1263:$AA$1265))</f>
        <v>0</v>
      </c>
      <c r="AC1265">
        <f>IF($E1265="","",MAX($C1265-$D1265,ABS($C1265-$E1264),ABS($D1265-$E1264)))</f>
        <v>0</v>
      </c>
      <c r="AD1265">
        <f>IF(COUNT($E$2:$E1265)&lt;15,"",AVERAGE($AC$1252:$AC$1265))</f>
        <v>0</v>
      </c>
      <c r="AE1265">
        <f>IF(OR($E1265="",$E1264=""),"",IF(AND(($C1265-$C1264)&gt;($D1264-$D1265),($C1265-$C1264)&gt;0),$C1265-$C1264,0))</f>
        <v>0</v>
      </c>
      <c r="AF1265">
        <f>IF(OR($E1265="",$E1264=""),"",IF(AND(($D1264-$D1265)&gt;($C1265-$C1264),($D1264-$D1265)&gt;0),$D1264-$D1265,0))</f>
        <v>0</v>
      </c>
      <c r="AG1265">
        <f>IF(COUNT($E$2:$E1265)&lt;15,"",IF(SUM($AC$1252:$AC$1265)=0,0,100*SUM($AE$1252:$AE$1265)/SUM($AC$1252:$AC$1265)))</f>
        <v>0</v>
      </c>
      <c r="AH1265">
        <f>IF(COUNT($E$2:$E1265)&lt;15,"",IF(SUM($AC$1252:$AC$1265)=0,0,100*SUM($AF$1252:$AF$1265)/SUM($AC$1252:$AC$1265)))</f>
        <v>0</v>
      </c>
      <c r="AI1265">
        <f>IF(OR(AG1265="",AH1265=""),"",IF((AG1265+AH1265)=0,0,100*ABS(AG1265-AH1265)/(AG1265+AH1265)))</f>
        <v>0</v>
      </c>
      <c r="AJ1265">
        <f>IF(COUNT($AI$1252:$AI$1265)&lt;14,"",AVERAGE($AI$1252:$AI$1265))</f>
        <v>0</v>
      </c>
      <c r="AK1265">
        <f>IF(COUNT($E$2:$E1265)&lt;20,"",AVERAGE($E$1246:$E$1265))</f>
        <v>0</v>
      </c>
      <c r="AL1265">
        <f>IF(COUNT($E$2:$E1265)&lt;20,"",STDEVP($E$1246:$E$1265))</f>
        <v>0</v>
      </c>
      <c r="AM1265">
        <f>IF(AK1265="","",AK1265+2*AL1265)</f>
        <v>0</v>
      </c>
      <c r="AN1265">
        <f>IF(AK1265="","",AK1265-2*AL1265)</f>
        <v>0</v>
      </c>
      <c r="AO1265">
        <f>IF(OR(AM1265="",AN1265="",AM1265=AN1265),"",($E1265-AN1265)/(AM1265-AN1265))</f>
        <v>0</v>
      </c>
      <c r="AP1265">
        <f>IF(OR(AM1265="",AK1265="",AK1265=0),"",(AM1265-AN1265)/AK1265)</f>
        <v>0</v>
      </c>
      <c r="AQ1265">
        <f>IF(COUNT($E$2:$E1265)&lt;20,"",MAX($C$1246:$C$1265))</f>
        <v>0</v>
      </c>
      <c r="AR1265">
        <f>IF(COUNT($E$2:$E1265)&lt;20,"",MIN($D$1246:$D$1265))</f>
        <v>0</v>
      </c>
      <c r="AS1265">
        <f>IF(OR(AQ1265="",AR1265=""),"",(AQ1265+AR1265)/2)</f>
        <v>0</v>
      </c>
      <c r="AT1265">
        <f>IF(COUNT($G$1246:$G$1265)&lt;20,"",STDEV($G$1246:$G$1265)*SQRT(252))</f>
        <v>0</v>
      </c>
      <c r="AU1265">
        <f>IF(COUNT($E$2:$E1265)&lt;9,"",(MAX($C$1257:$C$1265)+MIN($D$1257:$D$1265))/2)</f>
        <v>0</v>
      </c>
      <c r="AV1265">
        <f>IF(COUNT($E$2:$E1265)&lt;26,"",(MAX($C$1240:$C$1265)+MIN($D$1240:$D$1265))/2)</f>
        <v>0</v>
      </c>
      <c r="AW1265">
        <f>IF(OR(AU1265="",AV1265=""),"",(AU1265+AV1265)/2)</f>
        <v>0</v>
      </c>
      <c r="AX1265">
        <f>IF(COUNT($E$2:$E1265)&lt;52,"",(MAX($C$1214:$C$1265)+MIN($D$1214:$D$1265))/2)</f>
        <v>0</v>
      </c>
      <c r="AY1265">
        <f>IF(COUNT($E$2:$E1265)&lt;20,"",MAX($C$1166:$C$1265))</f>
        <v>0</v>
      </c>
      <c r="AZ1265">
        <f>IF(COUNT($E$2:$E1265)&lt;20,"",MIN($D$1166:$D$1265))</f>
        <v>0</v>
      </c>
      <c r="BA1265">
        <f>IF(COUNT($E$2:$E1265)&lt;20,"",SLOPE($E$1166:$E$1265,$F$1166:$F$1265))</f>
        <v>0</v>
      </c>
      <c r="BB1265">
        <f>IF(COUNT($E$2:$E1265)&lt;20,"",INTERCEPT($E$1166:$E$1265,$F$1166:$F$1265))</f>
        <v>0</v>
      </c>
      <c r="BC1265">
        <f>IF(OR(BA1265="",BB1265=""),"",BB1265+BA1265*F1265)</f>
        <v>0</v>
      </c>
      <c r="BD1265">
        <f>IF(COUNT($E$2:$E1265)&lt;20,"",STEYX($E$1166:$E$1265,$F$1166:$F$1265))</f>
        <v>0</v>
      </c>
      <c r="BE1265">
        <f>IF($E1265="","",IF(AND(COUNT($E$1266:$E$1269)&gt;=4,$C1265=MAX($C$1261:$C$1269)),$C1265,""))</f>
        <v>0</v>
      </c>
      <c r="BF1265">
        <f>IF($E1265="","",IF(AND(COUNT($E$1266:$E$1269)&gt;=4,$D1265=MIN($D$1261:$D$1269)),$D1265,""))</f>
        <v>0</v>
      </c>
      <c r="BG1265">
        <f>IF($A1265="","",$A1265-WEEKDAY($A1265,2)+1)</f>
        <v>0</v>
      </c>
      <c r="BH1265">
        <f>IF($A1265="","",IF($A1264="",1,IF(BG1265&lt;&gt;BG1264,1,0)))</f>
        <v>0</v>
      </c>
      <c r="BI1265">
        <f>IF($A1265="","",IF($A1266="",1,IF(BG1266&lt;&gt;BG1265,1,0)))</f>
        <v>0</v>
      </c>
      <c r="BJ1265">
        <f>IF($A1265="","",IF(BH1265=1,$B1265,BJ1264))</f>
        <v>0</v>
      </c>
      <c r="BK1265">
        <f>IF($A1265="","",IF(BH1265=1,$C1265,MAX($C1265,BK1264)))</f>
        <v>0</v>
      </c>
      <c r="BL1265">
        <f>IF($A1265="","",IF(BH1265=1,$D1265,MIN($D1265,BL1264)))</f>
        <v>0</v>
      </c>
      <c r="BM1265">
        <f>IF($A1265="","",IF(BI1265=1,F1265,""))</f>
        <v>0</v>
      </c>
      <c r="BN1265">
        <f>IF($A1265="","",DATE(YEAR($A1265),MONTH($A1265),1))</f>
        <v>0</v>
      </c>
      <c r="BO1265">
        <f>IF($A1265="","",IF($A1264="",1,IF(BN1265&lt;&gt;BN1264,1,0)))</f>
        <v>0</v>
      </c>
      <c r="BP1265">
        <f>IF($A1265="","",IF($A1266="",1,IF(BN1266&lt;&gt;BN1265,1,0)))</f>
        <v>0</v>
      </c>
      <c r="BQ1265">
        <f>IF($A1265="","",IF(BO1265=1,$B1265,BQ1264))</f>
        <v>0</v>
      </c>
      <c r="BR1265">
        <f>IF($A1265="","",IF(BO1265=1,$C1265,MAX($C1265,BR1264)))</f>
        <v>0</v>
      </c>
      <c r="BS1265">
        <f>IF($A1265="","",IF(BO1265=1,$D1265,MIN($D1265,BS1264)))</f>
        <v>0</v>
      </c>
      <c r="BT1265">
        <f>IF($A1265="","",IF(BP1265=1,F1265,""))</f>
        <v>0</v>
      </c>
    </row>
    <row r="1266" spans="1:72">
      <c r="A1266" s="27">
        <f>IF(Data!$A1266="","",Data!$A1266)</f>
        <v>0</v>
      </c>
      <c r="B1266">
        <f>IF(Data!$B1266="","",Data!$B1266)</f>
        <v>0</v>
      </c>
      <c r="C1266">
        <f>IF(Data!$C1266="","",Data!$C1266)</f>
        <v>0</v>
      </c>
      <c r="D1266">
        <f>IF(Data!$D1266="","",Data!$D1266)</f>
        <v>0</v>
      </c>
      <c r="E1266">
        <f>IF(Data!$E1266="","",Data!$E1266)</f>
        <v>0</v>
      </c>
      <c r="F1266">
        <f>IF($E1266="","",N(F1265)+1)</f>
        <v>0</v>
      </c>
      <c r="G1266">
        <f>IF(OR($E1266="",$E1265=""),"",LN($E1266/$E1265))</f>
        <v>0</v>
      </c>
      <c r="H1266">
        <f>IF($E1266="","",IF($E1265="",$E1266,$E1266*0.0952380952+H1265*0.9047619048))</f>
        <v>0</v>
      </c>
      <c r="I1266">
        <f>IF($E1266="","",IF($E1265="",$E1266,$E1266*0.0392156863+I1265*0.9607843137))</f>
        <v>0</v>
      </c>
      <c r="J1266">
        <f>IF($E1266="","",IF($E1265="",$E1266,$E1266*0.0198019802+J1265*0.9801980198))</f>
        <v>0</v>
      </c>
      <c r="K1266">
        <f>IF($E1266="","",IF($E1265="",$E1266,$E1266*0.0099502488+K1265*0.9900497512))</f>
        <v>0</v>
      </c>
      <c r="L1266">
        <f>IF(OR($E1266="",$E1265=""),"",MAX($E1266-$E1265,0))</f>
        <v>0</v>
      </c>
      <c r="M1266">
        <f>IF(OR($E1266="",$E1265=""),"",MAX($E1265-$E1266,0))</f>
        <v>0</v>
      </c>
      <c r="N1266">
        <f>IF(COUNT($E$2:$E1266)&lt;15,"",IF(AVERAGE($M$1253:$M$1266)=0,100,100-100/(1+AVERAGE($L$1253:$L$1266)/AVERAGE($M$1253:$M$1266))))</f>
        <v>0</v>
      </c>
      <c r="O1266">
        <f>IF($E1266="","",IF($E1265="",$E1266,$E1266*0.1538461538+O1265*0.8461538462))</f>
        <v>0</v>
      </c>
      <c r="P1266">
        <f>IF($E1266="","",IF($E1265="",$E1266,$E1266*0.0740740741+P1265*0.9259259259))</f>
        <v>0</v>
      </c>
      <c r="Q1266">
        <f>IF(OR(O1266="",P1266=""),"",O1266-P1266)</f>
        <v>0</v>
      </c>
      <c r="R1266">
        <f>IF(Q1266="","",IF(R1265="",Q1266,Q1266*0.2000000000+R1265*0.8000000000))</f>
        <v>0</v>
      </c>
      <c r="S1266">
        <f>IF(OR(Q1266="",R1266=""),"",Q1266-R1266)</f>
        <v>0</v>
      </c>
      <c r="T1266">
        <f>IF(COUNT($E$2:$E1266)&lt;14,"",MAX($C$1253:$C$1266))</f>
        <v>0</v>
      </c>
      <c r="U1266">
        <f>IF(COUNT($E$2:$E1266)&lt;14,"",MIN($D$1253:$D$1266))</f>
        <v>0</v>
      </c>
      <c r="V1266">
        <f>IF(OR(T1266="",U1266="",T1266=U1266),"",100*($E1266-U1266)/(T1266-U1266))</f>
        <v>0</v>
      </c>
      <c r="W1266">
        <f>IF(COUNT($V$1264:$V$1266)&lt;3,"",AVERAGE($V$1264:$V$1266))</f>
        <v>0</v>
      </c>
      <c r="X1266">
        <f>IF(COUNT($N$1253:$N$1266)&lt;14,"",MIN($N$1253:$N$1266))</f>
        <v>0</v>
      </c>
      <c r="Y1266">
        <f>IF(COUNT($N$1253:$N$1266)&lt;14,"",MAX($N$1253:$N$1266))</f>
        <v>0</v>
      </c>
      <c r="Z1266">
        <f>IF(OR(N1266="",X1266="",Y1266="",Y1266=X1266),"",100*(N1266-X1266)/(Y1266-X1266))</f>
        <v>0</v>
      </c>
      <c r="AA1266">
        <f>IF(COUNT($Z$1264:$Z$1266)&lt;3,"",AVERAGE($Z$1264:$Z$1266))</f>
        <v>0</v>
      </c>
      <c r="AB1266">
        <f>IF(COUNT($AA$1264:$AA$1266)&lt;3,"",AVERAGE($AA$1264:$AA$1266))</f>
        <v>0</v>
      </c>
      <c r="AC1266">
        <f>IF($E1266="","",MAX($C1266-$D1266,ABS($C1266-$E1265),ABS($D1266-$E1265)))</f>
        <v>0</v>
      </c>
      <c r="AD1266">
        <f>IF(COUNT($E$2:$E1266)&lt;15,"",AVERAGE($AC$1253:$AC$1266))</f>
        <v>0</v>
      </c>
      <c r="AE1266">
        <f>IF(OR($E1266="",$E1265=""),"",IF(AND(($C1266-$C1265)&gt;($D1265-$D1266),($C1266-$C1265)&gt;0),$C1266-$C1265,0))</f>
        <v>0</v>
      </c>
      <c r="AF1266">
        <f>IF(OR($E1266="",$E1265=""),"",IF(AND(($D1265-$D1266)&gt;($C1266-$C1265),($D1265-$D1266)&gt;0),$D1265-$D1266,0))</f>
        <v>0</v>
      </c>
      <c r="AG1266">
        <f>IF(COUNT($E$2:$E1266)&lt;15,"",IF(SUM($AC$1253:$AC$1266)=0,0,100*SUM($AE$1253:$AE$1266)/SUM($AC$1253:$AC$1266)))</f>
        <v>0</v>
      </c>
      <c r="AH1266">
        <f>IF(COUNT($E$2:$E1266)&lt;15,"",IF(SUM($AC$1253:$AC$1266)=0,0,100*SUM($AF$1253:$AF$1266)/SUM($AC$1253:$AC$1266)))</f>
        <v>0</v>
      </c>
      <c r="AI1266">
        <f>IF(OR(AG1266="",AH1266=""),"",IF((AG1266+AH1266)=0,0,100*ABS(AG1266-AH1266)/(AG1266+AH1266)))</f>
        <v>0</v>
      </c>
      <c r="AJ1266">
        <f>IF(COUNT($AI$1253:$AI$1266)&lt;14,"",AVERAGE($AI$1253:$AI$1266))</f>
        <v>0</v>
      </c>
      <c r="AK1266">
        <f>IF(COUNT($E$2:$E1266)&lt;20,"",AVERAGE($E$1247:$E$1266))</f>
        <v>0</v>
      </c>
      <c r="AL1266">
        <f>IF(COUNT($E$2:$E1266)&lt;20,"",STDEVP($E$1247:$E$1266))</f>
        <v>0</v>
      </c>
      <c r="AM1266">
        <f>IF(AK1266="","",AK1266+2*AL1266)</f>
        <v>0</v>
      </c>
      <c r="AN1266">
        <f>IF(AK1266="","",AK1266-2*AL1266)</f>
        <v>0</v>
      </c>
      <c r="AO1266">
        <f>IF(OR(AM1266="",AN1266="",AM1266=AN1266),"",($E1266-AN1266)/(AM1266-AN1266))</f>
        <v>0</v>
      </c>
      <c r="AP1266">
        <f>IF(OR(AM1266="",AK1266="",AK1266=0),"",(AM1266-AN1266)/AK1266)</f>
        <v>0</v>
      </c>
      <c r="AQ1266">
        <f>IF(COUNT($E$2:$E1266)&lt;20,"",MAX($C$1247:$C$1266))</f>
        <v>0</v>
      </c>
      <c r="AR1266">
        <f>IF(COUNT($E$2:$E1266)&lt;20,"",MIN($D$1247:$D$1266))</f>
        <v>0</v>
      </c>
      <c r="AS1266">
        <f>IF(OR(AQ1266="",AR1266=""),"",(AQ1266+AR1266)/2)</f>
        <v>0</v>
      </c>
      <c r="AT1266">
        <f>IF(COUNT($G$1247:$G$1266)&lt;20,"",STDEV($G$1247:$G$1266)*SQRT(252))</f>
        <v>0</v>
      </c>
      <c r="AU1266">
        <f>IF(COUNT($E$2:$E1266)&lt;9,"",(MAX($C$1258:$C$1266)+MIN($D$1258:$D$1266))/2)</f>
        <v>0</v>
      </c>
      <c r="AV1266">
        <f>IF(COUNT($E$2:$E1266)&lt;26,"",(MAX($C$1241:$C$1266)+MIN($D$1241:$D$1266))/2)</f>
        <v>0</v>
      </c>
      <c r="AW1266">
        <f>IF(OR(AU1266="",AV1266=""),"",(AU1266+AV1266)/2)</f>
        <v>0</v>
      </c>
      <c r="AX1266">
        <f>IF(COUNT($E$2:$E1266)&lt;52,"",(MAX($C$1215:$C$1266)+MIN($D$1215:$D$1266))/2)</f>
        <v>0</v>
      </c>
      <c r="AY1266">
        <f>IF(COUNT($E$2:$E1266)&lt;20,"",MAX($C$1167:$C$1266))</f>
        <v>0</v>
      </c>
      <c r="AZ1266">
        <f>IF(COUNT($E$2:$E1266)&lt;20,"",MIN($D$1167:$D$1266))</f>
        <v>0</v>
      </c>
      <c r="BA1266">
        <f>IF(COUNT($E$2:$E1266)&lt;20,"",SLOPE($E$1167:$E$1266,$F$1167:$F$1266))</f>
        <v>0</v>
      </c>
      <c r="BB1266">
        <f>IF(COUNT($E$2:$E1266)&lt;20,"",INTERCEPT($E$1167:$E$1266,$F$1167:$F$1266))</f>
        <v>0</v>
      </c>
      <c r="BC1266">
        <f>IF(OR(BA1266="",BB1266=""),"",BB1266+BA1266*F1266)</f>
        <v>0</v>
      </c>
      <c r="BD1266">
        <f>IF(COUNT($E$2:$E1266)&lt;20,"",STEYX($E$1167:$E$1266,$F$1167:$F$1266))</f>
        <v>0</v>
      </c>
      <c r="BE1266">
        <f>IF($E1266="","",IF(AND(COUNT($E$1267:$E$1270)&gt;=4,$C1266=MAX($C$1262:$C$1270)),$C1266,""))</f>
        <v>0</v>
      </c>
      <c r="BF1266">
        <f>IF($E1266="","",IF(AND(COUNT($E$1267:$E$1270)&gt;=4,$D1266=MIN($D$1262:$D$1270)),$D1266,""))</f>
        <v>0</v>
      </c>
      <c r="BG1266">
        <f>IF($A1266="","",$A1266-WEEKDAY($A1266,2)+1)</f>
        <v>0</v>
      </c>
      <c r="BH1266">
        <f>IF($A1266="","",IF($A1265="",1,IF(BG1266&lt;&gt;BG1265,1,0)))</f>
        <v>0</v>
      </c>
      <c r="BI1266">
        <f>IF($A1266="","",IF($A1267="",1,IF(BG1267&lt;&gt;BG1266,1,0)))</f>
        <v>0</v>
      </c>
      <c r="BJ1266">
        <f>IF($A1266="","",IF(BH1266=1,$B1266,BJ1265))</f>
        <v>0</v>
      </c>
      <c r="BK1266">
        <f>IF($A1266="","",IF(BH1266=1,$C1266,MAX($C1266,BK1265)))</f>
        <v>0</v>
      </c>
      <c r="BL1266">
        <f>IF($A1266="","",IF(BH1266=1,$D1266,MIN($D1266,BL1265)))</f>
        <v>0</v>
      </c>
      <c r="BM1266">
        <f>IF($A1266="","",IF(BI1266=1,F1266,""))</f>
        <v>0</v>
      </c>
      <c r="BN1266">
        <f>IF($A1266="","",DATE(YEAR($A1266),MONTH($A1266),1))</f>
        <v>0</v>
      </c>
      <c r="BO1266">
        <f>IF($A1266="","",IF($A1265="",1,IF(BN1266&lt;&gt;BN1265,1,0)))</f>
        <v>0</v>
      </c>
      <c r="BP1266">
        <f>IF($A1266="","",IF($A1267="",1,IF(BN1267&lt;&gt;BN1266,1,0)))</f>
        <v>0</v>
      </c>
      <c r="BQ1266">
        <f>IF($A1266="","",IF(BO1266=1,$B1266,BQ1265))</f>
        <v>0</v>
      </c>
      <c r="BR1266">
        <f>IF($A1266="","",IF(BO1266=1,$C1266,MAX($C1266,BR1265)))</f>
        <v>0</v>
      </c>
      <c r="BS1266">
        <f>IF($A1266="","",IF(BO1266=1,$D1266,MIN($D1266,BS1265)))</f>
        <v>0</v>
      </c>
      <c r="BT1266">
        <f>IF($A1266="","",IF(BP1266=1,F1266,""))</f>
        <v>0</v>
      </c>
    </row>
    <row r="1267" spans="1:72">
      <c r="A1267" s="27">
        <f>IF(Data!$A1267="","",Data!$A1267)</f>
        <v>0</v>
      </c>
      <c r="B1267">
        <f>IF(Data!$B1267="","",Data!$B1267)</f>
        <v>0</v>
      </c>
      <c r="C1267">
        <f>IF(Data!$C1267="","",Data!$C1267)</f>
        <v>0</v>
      </c>
      <c r="D1267">
        <f>IF(Data!$D1267="","",Data!$D1267)</f>
        <v>0</v>
      </c>
      <c r="E1267">
        <f>IF(Data!$E1267="","",Data!$E1267)</f>
        <v>0</v>
      </c>
      <c r="F1267">
        <f>IF($E1267="","",N(F1266)+1)</f>
        <v>0</v>
      </c>
      <c r="G1267">
        <f>IF(OR($E1267="",$E1266=""),"",LN($E1267/$E1266))</f>
        <v>0</v>
      </c>
      <c r="H1267">
        <f>IF($E1267="","",IF($E1266="",$E1267,$E1267*0.0952380952+H1266*0.9047619048))</f>
        <v>0</v>
      </c>
      <c r="I1267">
        <f>IF($E1267="","",IF($E1266="",$E1267,$E1267*0.0392156863+I1266*0.9607843137))</f>
        <v>0</v>
      </c>
      <c r="J1267">
        <f>IF($E1267="","",IF($E1266="",$E1267,$E1267*0.0198019802+J1266*0.9801980198))</f>
        <v>0</v>
      </c>
      <c r="K1267">
        <f>IF($E1267="","",IF($E1266="",$E1267,$E1267*0.0099502488+K1266*0.9900497512))</f>
        <v>0</v>
      </c>
      <c r="L1267">
        <f>IF(OR($E1267="",$E1266=""),"",MAX($E1267-$E1266,0))</f>
        <v>0</v>
      </c>
      <c r="M1267">
        <f>IF(OR($E1267="",$E1266=""),"",MAX($E1266-$E1267,0))</f>
        <v>0</v>
      </c>
      <c r="N1267">
        <f>IF(COUNT($E$2:$E1267)&lt;15,"",IF(AVERAGE($M$1254:$M$1267)=0,100,100-100/(1+AVERAGE($L$1254:$L$1267)/AVERAGE($M$1254:$M$1267))))</f>
        <v>0</v>
      </c>
      <c r="O1267">
        <f>IF($E1267="","",IF($E1266="",$E1267,$E1267*0.1538461538+O1266*0.8461538462))</f>
        <v>0</v>
      </c>
      <c r="P1267">
        <f>IF($E1267="","",IF($E1266="",$E1267,$E1267*0.0740740741+P1266*0.9259259259))</f>
        <v>0</v>
      </c>
      <c r="Q1267">
        <f>IF(OR(O1267="",P1267=""),"",O1267-P1267)</f>
        <v>0</v>
      </c>
      <c r="R1267">
        <f>IF(Q1267="","",IF(R1266="",Q1267,Q1267*0.2000000000+R1266*0.8000000000))</f>
        <v>0</v>
      </c>
      <c r="S1267">
        <f>IF(OR(Q1267="",R1267=""),"",Q1267-R1267)</f>
        <v>0</v>
      </c>
      <c r="T1267">
        <f>IF(COUNT($E$2:$E1267)&lt;14,"",MAX($C$1254:$C$1267))</f>
        <v>0</v>
      </c>
      <c r="U1267">
        <f>IF(COUNT($E$2:$E1267)&lt;14,"",MIN($D$1254:$D$1267))</f>
        <v>0</v>
      </c>
      <c r="V1267">
        <f>IF(OR(T1267="",U1267="",T1267=U1267),"",100*($E1267-U1267)/(T1267-U1267))</f>
        <v>0</v>
      </c>
      <c r="W1267">
        <f>IF(COUNT($V$1265:$V$1267)&lt;3,"",AVERAGE($V$1265:$V$1267))</f>
        <v>0</v>
      </c>
      <c r="X1267">
        <f>IF(COUNT($N$1254:$N$1267)&lt;14,"",MIN($N$1254:$N$1267))</f>
        <v>0</v>
      </c>
      <c r="Y1267">
        <f>IF(COUNT($N$1254:$N$1267)&lt;14,"",MAX($N$1254:$N$1267))</f>
        <v>0</v>
      </c>
      <c r="Z1267">
        <f>IF(OR(N1267="",X1267="",Y1267="",Y1267=X1267),"",100*(N1267-X1267)/(Y1267-X1267))</f>
        <v>0</v>
      </c>
      <c r="AA1267">
        <f>IF(COUNT($Z$1265:$Z$1267)&lt;3,"",AVERAGE($Z$1265:$Z$1267))</f>
        <v>0</v>
      </c>
      <c r="AB1267">
        <f>IF(COUNT($AA$1265:$AA$1267)&lt;3,"",AVERAGE($AA$1265:$AA$1267))</f>
        <v>0</v>
      </c>
      <c r="AC1267">
        <f>IF($E1267="","",MAX($C1267-$D1267,ABS($C1267-$E1266),ABS($D1267-$E1266)))</f>
        <v>0</v>
      </c>
      <c r="AD1267">
        <f>IF(COUNT($E$2:$E1267)&lt;15,"",AVERAGE($AC$1254:$AC$1267))</f>
        <v>0</v>
      </c>
      <c r="AE1267">
        <f>IF(OR($E1267="",$E1266=""),"",IF(AND(($C1267-$C1266)&gt;($D1266-$D1267),($C1267-$C1266)&gt;0),$C1267-$C1266,0))</f>
        <v>0</v>
      </c>
      <c r="AF1267">
        <f>IF(OR($E1267="",$E1266=""),"",IF(AND(($D1266-$D1267)&gt;($C1267-$C1266),($D1266-$D1267)&gt;0),$D1266-$D1267,0))</f>
        <v>0</v>
      </c>
      <c r="AG1267">
        <f>IF(COUNT($E$2:$E1267)&lt;15,"",IF(SUM($AC$1254:$AC$1267)=0,0,100*SUM($AE$1254:$AE$1267)/SUM($AC$1254:$AC$1267)))</f>
        <v>0</v>
      </c>
      <c r="AH1267">
        <f>IF(COUNT($E$2:$E1267)&lt;15,"",IF(SUM($AC$1254:$AC$1267)=0,0,100*SUM($AF$1254:$AF$1267)/SUM($AC$1254:$AC$1267)))</f>
        <v>0</v>
      </c>
      <c r="AI1267">
        <f>IF(OR(AG1267="",AH1267=""),"",IF((AG1267+AH1267)=0,0,100*ABS(AG1267-AH1267)/(AG1267+AH1267)))</f>
        <v>0</v>
      </c>
      <c r="AJ1267">
        <f>IF(COUNT($AI$1254:$AI$1267)&lt;14,"",AVERAGE($AI$1254:$AI$1267))</f>
        <v>0</v>
      </c>
      <c r="AK1267">
        <f>IF(COUNT($E$2:$E1267)&lt;20,"",AVERAGE($E$1248:$E$1267))</f>
        <v>0</v>
      </c>
      <c r="AL1267">
        <f>IF(COUNT($E$2:$E1267)&lt;20,"",STDEVP($E$1248:$E$1267))</f>
        <v>0</v>
      </c>
      <c r="AM1267">
        <f>IF(AK1267="","",AK1267+2*AL1267)</f>
        <v>0</v>
      </c>
      <c r="AN1267">
        <f>IF(AK1267="","",AK1267-2*AL1267)</f>
        <v>0</v>
      </c>
      <c r="AO1267">
        <f>IF(OR(AM1267="",AN1267="",AM1267=AN1267),"",($E1267-AN1267)/(AM1267-AN1267))</f>
        <v>0</v>
      </c>
      <c r="AP1267">
        <f>IF(OR(AM1267="",AK1267="",AK1267=0),"",(AM1267-AN1267)/AK1267)</f>
        <v>0</v>
      </c>
      <c r="AQ1267">
        <f>IF(COUNT($E$2:$E1267)&lt;20,"",MAX($C$1248:$C$1267))</f>
        <v>0</v>
      </c>
      <c r="AR1267">
        <f>IF(COUNT($E$2:$E1267)&lt;20,"",MIN($D$1248:$D$1267))</f>
        <v>0</v>
      </c>
      <c r="AS1267">
        <f>IF(OR(AQ1267="",AR1267=""),"",(AQ1267+AR1267)/2)</f>
        <v>0</v>
      </c>
      <c r="AT1267">
        <f>IF(COUNT($G$1248:$G$1267)&lt;20,"",STDEV($G$1248:$G$1267)*SQRT(252))</f>
        <v>0</v>
      </c>
      <c r="AU1267">
        <f>IF(COUNT($E$2:$E1267)&lt;9,"",(MAX($C$1259:$C$1267)+MIN($D$1259:$D$1267))/2)</f>
        <v>0</v>
      </c>
      <c r="AV1267">
        <f>IF(COUNT($E$2:$E1267)&lt;26,"",(MAX($C$1242:$C$1267)+MIN($D$1242:$D$1267))/2)</f>
        <v>0</v>
      </c>
      <c r="AW1267">
        <f>IF(OR(AU1267="",AV1267=""),"",(AU1267+AV1267)/2)</f>
        <v>0</v>
      </c>
      <c r="AX1267">
        <f>IF(COUNT($E$2:$E1267)&lt;52,"",(MAX($C$1216:$C$1267)+MIN($D$1216:$D$1267))/2)</f>
        <v>0</v>
      </c>
      <c r="AY1267">
        <f>IF(COUNT($E$2:$E1267)&lt;20,"",MAX($C$1168:$C$1267))</f>
        <v>0</v>
      </c>
      <c r="AZ1267">
        <f>IF(COUNT($E$2:$E1267)&lt;20,"",MIN($D$1168:$D$1267))</f>
        <v>0</v>
      </c>
      <c r="BA1267">
        <f>IF(COUNT($E$2:$E1267)&lt;20,"",SLOPE($E$1168:$E$1267,$F$1168:$F$1267))</f>
        <v>0</v>
      </c>
      <c r="BB1267">
        <f>IF(COUNT($E$2:$E1267)&lt;20,"",INTERCEPT($E$1168:$E$1267,$F$1168:$F$1267))</f>
        <v>0</v>
      </c>
      <c r="BC1267">
        <f>IF(OR(BA1267="",BB1267=""),"",BB1267+BA1267*F1267)</f>
        <v>0</v>
      </c>
      <c r="BD1267">
        <f>IF(COUNT($E$2:$E1267)&lt;20,"",STEYX($E$1168:$E$1267,$F$1168:$F$1267))</f>
        <v>0</v>
      </c>
      <c r="BE1267">
        <f>IF($E1267="","",IF(AND(COUNT($E$1268:$E$1271)&gt;=4,$C1267=MAX($C$1263:$C$1271)),$C1267,""))</f>
        <v>0</v>
      </c>
      <c r="BF1267">
        <f>IF($E1267="","",IF(AND(COUNT($E$1268:$E$1271)&gt;=4,$D1267=MIN($D$1263:$D$1271)),$D1267,""))</f>
        <v>0</v>
      </c>
      <c r="BG1267">
        <f>IF($A1267="","",$A1267-WEEKDAY($A1267,2)+1)</f>
        <v>0</v>
      </c>
      <c r="BH1267">
        <f>IF($A1267="","",IF($A1266="",1,IF(BG1267&lt;&gt;BG1266,1,0)))</f>
        <v>0</v>
      </c>
      <c r="BI1267">
        <f>IF($A1267="","",IF($A1268="",1,IF(BG1268&lt;&gt;BG1267,1,0)))</f>
        <v>0</v>
      </c>
      <c r="BJ1267">
        <f>IF($A1267="","",IF(BH1267=1,$B1267,BJ1266))</f>
        <v>0</v>
      </c>
      <c r="BK1267">
        <f>IF($A1267="","",IF(BH1267=1,$C1267,MAX($C1267,BK1266)))</f>
        <v>0</v>
      </c>
      <c r="BL1267">
        <f>IF($A1267="","",IF(BH1267=1,$D1267,MIN($D1267,BL1266)))</f>
        <v>0</v>
      </c>
      <c r="BM1267">
        <f>IF($A1267="","",IF(BI1267=1,F1267,""))</f>
        <v>0</v>
      </c>
      <c r="BN1267">
        <f>IF($A1267="","",DATE(YEAR($A1267),MONTH($A1267),1))</f>
        <v>0</v>
      </c>
      <c r="BO1267">
        <f>IF($A1267="","",IF($A1266="",1,IF(BN1267&lt;&gt;BN1266,1,0)))</f>
        <v>0</v>
      </c>
      <c r="BP1267">
        <f>IF($A1267="","",IF($A1268="",1,IF(BN1268&lt;&gt;BN1267,1,0)))</f>
        <v>0</v>
      </c>
      <c r="BQ1267">
        <f>IF($A1267="","",IF(BO1267=1,$B1267,BQ1266))</f>
        <v>0</v>
      </c>
      <c r="BR1267">
        <f>IF($A1267="","",IF(BO1267=1,$C1267,MAX($C1267,BR1266)))</f>
        <v>0</v>
      </c>
      <c r="BS1267">
        <f>IF($A1267="","",IF(BO1267=1,$D1267,MIN($D1267,BS1266)))</f>
        <v>0</v>
      </c>
      <c r="BT1267">
        <f>IF($A1267="","",IF(BP1267=1,F1267,""))</f>
        <v>0</v>
      </c>
    </row>
    <row r="1268" spans="1:72">
      <c r="A1268" s="27">
        <f>IF(Data!$A1268="","",Data!$A1268)</f>
        <v>0</v>
      </c>
      <c r="B1268">
        <f>IF(Data!$B1268="","",Data!$B1268)</f>
        <v>0</v>
      </c>
      <c r="C1268">
        <f>IF(Data!$C1268="","",Data!$C1268)</f>
        <v>0</v>
      </c>
      <c r="D1268">
        <f>IF(Data!$D1268="","",Data!$D1268)</f>
        <v>0</v>
      </c>
      <c r="E1268">
        <f>IF(Data!$E1268="","",Data!$E1268)</f>
        <v>0</v>
      </c>
      <c r="F1268">
        <f>IF($E1268="","",N(F1267)+1)</f>
        <v>0</v>
      </c>
      <c r="G1268">
        <f>IF(OR($E1268="",$E1267=""),"",LN($E1268/$E1267))</f>
        <v>0</v>
      </c>
      <c r="H1268">
        <f>IF($E1268="","",IF($E1267="",$E1268,$E1268*0.0952380952+H1267*0.9047619048))</f>
        <v>0</v>
      </c>
      <c r="I1268">
        <f>IF($E1268="","",IF($E1267="",$E1268,$E1268*0.0392156863+I1267*0.9607843137))</f>
        <v>0</v>
      </c>
      <c r="J1268">
        <f>IF($E1268="","",IF($E1267="",$E1268,$E1268*0.0198019802+J1267*0.9801980198))</f>
        <v>0</v>
      </c>
      <c r="K1268">
        <f>IF($E1268="","",IF($E1267="",$E1268,$E1268*0.0099502488+K1267*0.9900497512))</f>
        <v>0</v>
      </c>
      <c r="L1268">
        <f>IF(OR($E1268="",$E1267=""),"",MAX($E1268-$E1267,0))</f>
        <v>0</v>
      </c>
      <c r="M1268">
        <f>IF(OR($E1268="",$E1267=""),"",MAX($E1267-$E1268,0))</f>
        <v>0</v>
      </c>
      <c r="N1268">
        <f>IF(COUNT($E$2:$E1268)&lt;15,"",IF(AVERAGE($M$1255:$M$1268)=0,100,100-100/(1+AVERAGE($L$1255:$L$1268)/AVERAGE($M$1255:$M$1268))))</f>
        <v>0</v>
      </c>
      <c r="O1268">
        <f>IF($E1268="","",IF($E1267="",$E1268,$E1268*0.1538461538+O1267*0.8461538462))</f>
        <v>0</v>
      </c>
      <c r="P1268">
        <f>IF($E1268="","",IF($E1267="",$E1268,$E1268*0.0740740741+P1267*0.9259259259))</f>
        <v>0</v>
      </c>
      <c r="Q1268">
        <f>IF(OR(O1268="",P1268=""),"",O1268-P1268)</f>
        <v>0</v>
      </c>
      <c r="R1268">
        <f>IF(Q1268="","",IF(R1267="",Q1268,Q1268*0.2000000000+R1267*0.8000000000))</f>
        <v>0</v>
      </c>
      <c r="S1268">
        <f>IF(OR(Q1268="",R1268=""),"",Q1268-R1268)</f>
        <v>0</v>
      </c>
      <c r="T1268">
        <f>IF(COUNT($E$2:$E1268)&lt;14,"",MAX($C$1255:$C$1268))</f>
        <v>0</v>
      </c>
      <c r="U1268">
        <f>IF(COUNT($E$2:$E1268)&lt;14,"",MIN($D$1255:$D$1268))</f>
        <v>0</v>
      </c>
      <c r="V1268">
        <f>IF(OR(T1268="",U1268="",T1268=U1268),"",100*($E1268-U1268)/(T1268-U1268))</f>
        <v>0</v>
      </c>
      <c r="W1268">
        <f>IF(COUNT($V$1266:$V$1268)&lt;3,"",AVERAGE($V$1266:$V$1268))</f>
        <v>0</v>
      </c>
      <c r="X1268">
        <f>IF(COUNT($N$1255:$N$1268)&lt;14,"",MIN($N$1255:$N$1268))</f>
        <v>0</v>
      </c>
      <c r="Y1268">
        <f>IF(COUNT($N$1255:$N$1268)&lt;14,"",MAX($N$1255:$N$1268))</f>
        <v>0</v>
      </c>
      <c r="Z1268">
        <f>IF(OR(N1268="",X1268="",Y1268="",Y1268=X1268),"",100*(N1268-X1268)/(Y1268-X1268))</f>
        <v>0</v>
      </c>
      <c r="AA1268">
        <f>IF(COUNT($Z$1266:$Z$1268)&lt;3,"",AVERAGE($Z$1266:$Z$1268))</f>
        <v>0</v>
      </c>
      <c r="AB1268">
        <f>IF(COUNT($AA$1266:$AA$1268)&lt;3,"",AVERAGE($AA$1266:$AA$1268))</f>
        <v>0</v>
      </c>
      <c r="AC1268">
        <f>IF($E1268="","",MAX($C1268-$D1268,ABS($C1268-$E1267),ABS($D1268-$E1267)))</f>
        <v>0</v>
      </c>
      <c r="AD1268">
        <f>IF(COUNT($E$2:$E1268)&lt;15,"",AVERAGE($AC$1255:$AC$1268))</f>
        <v>0</v>
      </c>
      <c r="AE1268">
        <f>IF(OR($E1268="",$E1267=""),"",IF(AND(($C1268-$C1267)&gt;($D1267-$D1268),($C1268-$C1267)&gt;0),$C1268-$C1267,0))</f>
        <v>0</v>
      </c>
      <c r="AF1268">
        <f>IF(OR($E1268="",$E1267=""),"",IF(AND(($D1267-$D1268)&gt;($C1268-$C1267),($D1267-$D1268)&gt;0),$D1267-$D1268,0))</f>
        <v>0</v>
      </c>
      <c r="AG1268">
        <f>IF(COUNT($E$2:$E1268)&lt;15,"",IF(SUM($AC$1255:$AC$1268)=0,0,100*SUM($AE$1255:$AE$1268)/SUM($AC$1255:$AC$1268)))</f>
        <v>0</v>
      </c>
      <c r="AH1268">
        <f>IF(COUNT($E$2:$E1268)&lt;15,"",IF(SUM($AC$1255:$AC$1268)=0,0,100*SUM($AF$1255:$AF$1268)/SUM($AC$1255:$AC$1268)))</f>
        <v>0</v>
      </c>
      <c r="AI1268">
        <f>IF(OR(AG1268="",AH1268=""),"",IF((AG1268+AH1268)=0,0,100*ABS(AG1268-AH1268)/(AG1268+AH1268)))</f>
        <v>0</v>
      </c>
      <c r="AJ1268">
        <f>IF(COUNT($AI$1255:$AI$1268)&lt;14,"",AVERAGE($AI$1255:$AI$1268))</f>
        <v>0</v>
      </c>
      <c r="AK1268">
        <f>IF(COUNT($E$2:$E1268)&lt;20,"",AVERAGE($E$1249:$E$1268))</f>
        <v>0</v>
      </c>
      <c r="AL1268">
        <f>IF(COUNT($E$2:$E1268)&lt;20,"",STDEVP($E$1249:$E$1268))</f>
        <v>0</v>
      </c>
      <c r="AM1268">
        <f>IF(AK1268="","",AK1268+2*AL1268)</f>
        <v>0</v>
      </c>
      <c r="AN1268">
        <f>IF(AK1268="","",AK1268-2*AL1268)</f>
        <v>0</v>
      </c>
      <c r="AO1268">
        <f>IF(OR(AM1268="",AN1268="",AM1268=AN1268),"",($E1268-AN1268)/(AM1268-AN1268))</f>
        <v>0</v>
      </c>
      <c r="AP1268">
        <f>IF(OR(AM1268="",AK1268="",AK1268=0),"",(AM1268-AN1268)/AK1268)</f>
        <v>0</v>
      </c>
      <c r="AQ1268">
        <f>IF(COUNT($E$2:$E1268)&lt;20,"",MAX($C$1249:$C$1268))</f>
        <v>0</v>
      </c>
      <c r="AR1268">
        <f>IF(COUNT($E$2:$E1268)&lt;20,"",MIN($D$1249:$D$1268))</f>
        <v>0</v>
      </c>
      <c r="AS1268">
        <f>IF(OR(AQ1268="",AR1268=""),"",(AQ1268+AR1268)/2)</f>
        <v>0</v>
      </c>
      <c r="AT1268">
        <f>IF(COUNT($G$1249:$G$1268)&lt;20,"",STDEV($G$1249:$G$1268)*SQRT(252))</f>
        <v>0</v>
      </c>
      <c r="AU1268">
        <f>IF(COUNT($E$2:$E1268)&lt;9,"",(MAX($C$1260:$C$1268)+MIN($D$1260:$D$1268))/2)</f>
        <v>0</v>
      </c>
      <c r="AV1268">
        <f>IF(COUNT($E$2:$E1268)&lt;26,"",(MAX($C$1243:$C$1268)+MIN($D$1243:$D$1268))/2)</f>
        <v>0</v>
      </c>
      <c r="AW1268">
        <f>IF(OR(AU1268="",AV1268=""),"",(AU1268+AV1268)/2)</f>
        <v>0</v>
      </c>
      <c r="AX1268">
        <f>IF(COUNT($E$2:$E1268)&lt;52,"",(MAX($C$1217:$C$1268)+MIN($D$1217:$D$1268))/2)</f>
        <v>0</v>
      </c>
      <c r="AY1268">
        <f>IF(COUNT($E$2:$E1268)&lt;20,"",MAX($C$1169:$C$1268))</f>
        <v>0</v>
      </c>
      <c r="AZ1268">
        <f>IF(COUNT($E$2:$E1268)&lt;20,"",MIN($D$1169:$D$1268))</f>
        <v>0</v>
      </c>
      <c r="BA1268">
        <f>IF(COUNT($E$2:$E1268)&lt;20,"",SLOPE($E$1169:$E$1268,$F$1169:$F$1268))</f>
        <v>0</v>
      </c>
      <c r="BB1268">
        <f>IF(COUNT($E$2:$E1268)&lt;20,"",INTERCEPT($E$1169:$E$1268,$F$1169:$F$1268))</f>
        <v>0</v>
      </c>
      <c r="BC1268">
        <f>IF(OR(BA1268="",BB1268=""),"",BB1268+BA1268*F1268)</f>
        <v>0</v>
      </c>
      <c r="BD1268">
        <f>IF(COUNT($E$2:$E1268)&lt;20,"",STEYX($E$1169:$E$1268,$F$1169:$F$1268))</f>
        <v>0</v>
      </c>
      <c r="BE1268">
        <f>IF($E1268="","",IF(AND(COUNT($E$1269:$E$1272)&gt;=4,$C1268=MAX($C$1264:$C$1272)),$C1268,""))</f>
        <v>0</v>
      </c>
      <c r="BF1268">
        <f>IF($E1268="","",IF(AND(COUNT($E$1269:$E$1272)&gt;=4,$D1268=MIN($D$1264:$D$1272)),$D1268,""))</f>
        <v>0</v>
      </c>
      <c r="BG1268">
        <f>IF($A1268="","",$A1268-WEEKDAY($A1268,2)+1)</f>
        <v>0</v>
      </c>
      <c r="BH1268">
        <f>IF($A1268="","",IF($A1267="",1,IF(BG1268&lt;&gt;BG1267,1,0)))</f>
        <v>0</v>
      </c>
      <c r="BI1268">
        <f>IF($A1268="","",IF($A1269="",1,IF(BG1269&lt;&gt;BG1268,1,0)))</f>
        <v>0</v>
      </c>
      <c r="BJ1268">
        <f>IF($A1268="","",IF(BH1268=1,$B1268,BJ1267))</f>
        <v>0</v>
      </c>
      <c r="BK1268">
        <f>IF($A1268="","",IF(BH1268=1,$C1268,MAX($C1268,BK1267)))</f>
        <v>0</v>
      </c>
      <c r="BL1268">
        <f>IF($A1268="","",IF(BH1268=1,$D1268,MIN($D1268,BL1267)))</f>
        <v>0</v>
      </c>
      <c r="BM1268">
        <f>IF($A1268="","",IF(BI1268=1,F1268,""))</f>
        <v>0</v>
      </c>
      <c r="BN1268">
        <f>IF($A1268="","",DATE(YEAR($A1268),MONTH($A1268),1))</f>
        <v>0</v>
      </c>
      <c r="BO1268">
        <f>IF($A1268="","",IF($A1267="",1,IF(BN1268&lt;&gt;BN1267,1,0)))</f>
        <v>0</v>
      </c>
      <c r="BP1268">
        <f>IF($A1268="","",IF($A1269="",1,IF(BN1269&lt;&gt;BN1268,1,0)))</f>
        <v>0</v>
      </c>
      <c r="BQ1268">
        <f>IF($A1268="","",IF(BO1268=1,$B1268,BQ1267))</f>
        <v>0</v>
      </c>
      <c r="BR1268">
        <f>IF($A1268="","",IF(BO1268=1,$C1268,MAX($C1268,BR1267)))</f>
        <v>0</v>
      </c>
      <c r="BS1268">
        <f>IF($A1268="","",IF(BO1268=1,$D1268,MIN($D1268,BS1267)))</f>
        <v>0</v>
      </c>
      <c r="BT1268">
        <f>IF($A1268="","",IF(BP1268=1,F1268,""))</f>
        <v>0</v>
      </c>
    </row>
    <row r="1269" spans="1:72">
      <c r="A1269" s="27">
        <f>IF(Data!$A1269="","",Data!$A1269)</f>
        <v>0</v>
      </c>
      <c r="B1269">
        <f>IF(Data!$B1269="","",Data!$B1269)</f>
        <v>0</v>
      </c>
      <c r="C1269">
        <f>IF(Data!$C1269="","",Data!$C1269)</f>
        <v>0</v>
      </c>
      <c r="D1269">
        <f>IF(Data!$D1269="","",Data!$D1269)</f>
        <v>0</v>
      </c>
      <c r="E1269">
        <f>IF(Data!$E1269="","",Data!$E1269)</f>
        <v>0</v>
      </c>
      <c r="F1269">
        <f>IF($E1269="","",N(F1268)+1)</f>
        <v>0</v>
      </c>
      <c r="G1269">
        <f>IF(OR($E1269="",$E1268=""),"",LN($E1269/$E1268))</f>
        <v>0</v>
      </c>
      <c r="H1269">
        <f>IF($E1269="","",IF($E1268="",$E1269,$E1269*0.0952380952+H1268*0.9047619048))</f>
        <v>0</v>
      </c>
      <c r="I1269">
        <f>IF($E1269="","",IF($E1268="",$E1269,$E1269*0.0392156863+I1268*0.9607843137))</f>
        <v>0</v>
      </c>
      <c r="J1269">
        <f>IF($E1269="","",IF($E1268="",$E1269,$E1269*0.0198019802+J1268*0.9801980198))</f>
        <v>0</v>
      </c>
      <c r="K1269">
        <f>IF($E1269="","",IF($E1268="",$E1269,$E1269*0.0099502488+K1268*0.9900497512))</f>
        <v>0</v>
      </c>
      <c r="L1269">
        <f>IF(OR($E1269="",$E1268=""),"",MAX($E1269-$E1268,0))</f>
        <v>0</v>
      </c>
      <c r="M1269">
        <f>IF(OR($E1269="",$E1268=""),"",MAX($E1268-$E1269,0))</f>
        <v>0</v>
      </c>
      <c r="N1269">
        <f>IF(COUNT($E$2:$E1269)&lt;15,"",IF(AVERAGE($M$1256:$M$1269)=0,100,100-100/(1+AVERAGE($L$1256:$L$1269)/AVERAGE($M$1256:$M$1269))))</f>
        <v>0</v>
      </c>
      <c r="O1269">
        <f>IF($E1269="","",IF($E1268="",$E1269,$E1269*0.1538461538+O1268*0.8461538462))</f>
        <v>0</v>
      </c>
      <c r="P1269">
        <f>IF($E1269="","",IF($E1268="",$E1269,$E1269*0.0740740741+P1268*0.9259259259))</f>
        <v>0</v>
      </c>
      <c r="Q1269">
        <f>IF(OR(O1269="",P1269=""),"",O1269-P1269)</f>
        <v>0</v>
      </c>
      <c r="R1269">
        <f>IF(Q1269="","",IF(R1268="",Q1269,Q1269*0.2000000000+R1268*0.8000000000))</f>
        <v>0</v>
      </c>
      <c r="S1269">
        <f>IF(OR(Q1269="",R1269=""),"",Q1269-R1269)</f>
        <v>0</v>
      </c>
      <c r="T1269">
        <f>IF(COUNT($E$2:$E1269)&lt;14,"",MAX($C$1256:$C$1269))</f>
        <v>0</v>
      </c>
      <c r="U1269">
        <f>IF(COUNT($E$2:$E1269)&lt;14,"",MIN($D$1256:$D$1269))</f>
        <v>0</v>
      </c>
      <c r="V1269">
        <f>IF(OR(T1269="",U1269="",T1269=U1269),"",100*($E1269-U1269)/(T1269-U1269))</f>
        <v>0</v>
      </c>
      <c r="W1269">
        <f>IF(COUNT($V$1267:$V$1269)&lt;3,"",AVERAGE($V$1267:$V$1269))</f>
        <v>0</v>
      </c>
      <c r="X1269">
        <f>IF(COUNT($N$1256:$N$1269)&lt;14,"",MIN($N$1256:$N$1269))</f>
        <v>0</v>
      </c>
      <c r="Y1269">
        <f>IF(COUNT($N$1256:$N$1269)&lt;14,"",MAX($N$1256:$N$1269))</f>
        <v>0</v>
      </c>
      <c r="Z1269">
        <f>IF(OR(N1269="",X1269="",Y1269="",Y1269=X1269),"",100*(N1269-X1269)/(Y1269-X1269))</f>
        <v>0</v>
      </c>
      <c r="AA1269">
        <f>IF(COUNT($Z$1267:$Z$1269)&lt;3,"",AVERAGE($Z$1267:$Z$1269))</f>
        <v>0</v>
      </c>
      <c r="AB1269">
        <f>IF(COUNT($AA$1267:$AA$1269)&lt;3,"",AVERAGE($AA$1267:$AA$1269))</f>
        <v>0</v>
      </c>
      <c r="AC1269">
        <f>IF($E1269="","",MAX($C1269-$D1269,ABS($C1269-$E1268),ABS($D1269-$E1268)))</f>
        <v>0</v>
      </c>
      <c r="AD1269">
        <f>IF(COUNT($E$2:$E1269)&lt;15,"",AVERAGE($AC$1256:$AC$1269))</f>
        <v>0</v>
      </c>
      <c r="AE1269">
        <f>IF(OR($E1269="",$E1268=""),"",IF(AND(($C1269-$C1268)&gt;($D1268-$D1269),($C1269-$C1268)&gt;0),$C1269-$C1268,0))</f>
        <v>0</v>
      </c>
      <c r="AF1269">
        <f>IF(OR($E1269="",$E1268=""),"",IF(AND(($D1268-$D1269)&gt;($C1269-$C1268),($D1268-$D1269)&gt;0),$D1268-$D1269,0))</f>
        <v>0</v>
      </c>
      <c r="AG1269">
        <f>IF(COUNT($E$2:$E1269)&lt;15,"",IF(SUM($AC$1256:$AC$1269)=0,0,100*SUM($AE$1256:$AE$1269)/SUM($AC$1256:$AC$1269)))</f>
        <v>0</v>
      </c>
      <c r="AH1269">
        <f>IF(COUNT($E$2:$E1269)&lt;15,"",IF(SUM($AC$1256:$AC$1269)=0,0,100*SUM($AF$1256:$AF$1269)/SUM($AC$1256:$AC$1269)))</f>
        <v>0</v>
      </c>
      <c r="AI1269">
        <f>IF(OR(AG1269="",AH1269=""),"",IF((AG1269+AH1269)=0,0,100*ABS(AG1269-AH1269)/(AG1269+AH1269)))</f>
        <v>0</v>
      </c>
      <c r="AJ1269">
        <f>IF(COUNT($AI$1256:$AI$1269)&lt;14,"",AVERAGE($AI$1256:$AI$1269))</f>
        <v>0</v>
      </c>
      <c r="AK1269">
        <f>IF(COUNT($E$2:$E1269)&lt;20,"",AVERAGE($E$1250:$E$1269))</f>
        <v>0</v>
      </c>
      <c r="AL1269">
        <f>IF(COUNT($E$2:$E1269)&lt;20,"",STDEVP($E$1250:$E$1269))</f>
        <v>0</v>
      </c>
      <c r="AM1269">
        <f>IF(AK1269="","",AK1269+2*AL1269)</f>
        <v>0</v>
      </c>
      <c r="AN1269">
        <f>IF(AK1269="","",AK1269-2*AL1269)</f>
        <v>0</v>
      </c>
      <c r="AO1269">
        <f>IF(OR(AM1269="",AN1269="",AM1269=AN1269),"",($E1269-AN1269)/(AM1269-AN1269))</f>
        <v>0</v>
      </c>
      <c r="AP1269">
        <f>IF(OR(AM1269="",AK1269="",AK1269=0),"",(AM1269-AN1269)/AK1269)</f>
        <v>0</v>
      </c>
      <c r="AQ1269">
        <f>IF(COUNT($E$2:$E1269)&lt;20,"",MAX($C$1250:$C$1269))</f>
        <v>0</v>
      </c>
      <c r="AR1269">
        <f>IF(COUNT($E$2:$E1269)&lt;20,"",MIN($D$1250:$D$1269))</f>
        <v>0</v>
      </c>
      <c r="AS1269">
        <f>IF(OR(AQ1269="",AR1269=""),"",(AQ1269+AR1269)/2)</f>
        <v>0</v>
      </c>
      <c r="AT1269">
        <f>IF(COUNT($G$1250:$G$1269)&lt;20,"",STDEV($G$1250:$G$1269)*SQRT(252))</f>
        <v>0</v>
      </c>
      <c r="AU1269">
        <f>IF(COUNT($E$2:$E1269)&lt;9,"",(MAX($C$1261:$C$1269)+MIN($D$1261:$D$1269))/2)</f>
        <v>0</v>
      </c>
      <c r="AV1269">
        <f>IF(COUNT($E$2:$E1269)&lt;26,"",(MAX($C$1244:$C$1269)+MIN($D$1244:$D$1269))/2)</f>
        <v>0</v>
      </c>
      <c r="AW1269">
        <f>IF(OR(AU1269="",AV1269=""),"",(AU1269+AV1269)/2)</f>
        <v>0</v>
      </c>
      <c r="AX1269">
        <f>IF(COUNT($E$2:$E1269)&lt;52,"",(MAX($C$1218:$C$1269)+MIN($D$1218:$D$1269))/2)</f>
        <v>0</v>
      </c>
      <c r="AY1269">
        <f>IF(COUNT($E$2:$E1269)&lt;20,"",MAX($C$1170:$C$1269))</f>
        <v>0</v>
      </c>
      <c r="AZ1269">
        <f>IF(COUNT($E$2:$E1269)&lt;20,"",MIN($D$1170:$D$1269))</f>
        <v>0</v>
      </c>
      <c r="BA1269">
        <f>IF(COUNT($E$2:$E1269)&lt;20,"",SLOPE($E$1170:$E$1269,$F$1170:$F$1269))</f>
        <v>0</v>
      </c>
      <c r="BB1269">
        <f>IF(COUNT($E$2:$E1269)&lt;20,"",INTERCEPT($E$1170:$E$1269,$F$1170:$F$1269))</f>
        <v>0</v>
      </c>
      <c r="BC1269">
        <f>IF(OR(BA1269="",BB1269=""),"",BB1269+BA1269*F1269)</f>
        <v>0</v>
      </c>
      <c r="BD1269">
        <f>IF(COUNT($E$2:$E1269)&lt;20,"",STEYX($E$1170:$E$1269,$F$1170:$F$1269))</f>
        <v>0</v>
      </c>
      <c r="BE1269">
        <f>IF($E1269="","",IF(AND(COUNT($E$1270:$E$1273)&gt;=4,$C1269=MAX($C$1265:$C$1273)),$C1269,""))</f>
        <v>0</v>
      </c>
      <c r="BF1269">
        <f>IF($E1269="","",IF(AND(COUNT($E$1270:$E$1273)&gt;=4,$D1269=MIN($D$1265:$D$1273)),$D1269,""))</f>
        <v>0</v>
      </c>
      <c r="BG1269">
        <f>IF($A1269="","",$A1269-WEEKDAY($A1269,2)+1)</f>
        <v>0</v>
      </c>
      <c r="BH1269">
        <f>IF($A1269="","",IF($A1268="",1,IF(BG1269&lt;&gt;BG1268,1,0)))</f>
        <v>0</v>
      </c>
      <c r="BI1269">
        <f>IF($A1269="","",IF($A1270="",1,IF(BG1270&lt;&gt;BG1269,1,0)))</f>
        <v>0</v>
      </c>
      <c r="BJ1269">
        <f>IF($A1269="","",IF(BH1269=1,$B1269,BJ1268))</f>
        <v>0</v>
      </c>
      <c r="BK1269">
        <f>IF($A1269="","",IF(BH1269=1,$C1269,MAX($C1269,BK1268)))</f>
        <v>0</v>
      </c>
      <c r="BL1269">
        <f>IF($A1269="","",IF(BH1269=1,$D1269,MIN($D1269,BL1268)))</f>
        <v>0</v>
      </c>
      <c r="BM1269">
        <f>IF($A1269="","",IF(BI1269=1,F1269,""))</f>
        <v>0</v>
      </c>
      <c r="BN1269">
        <f>IF($A1269="","",DATE(YEAR($A1269),MONTH($A1269),1))</f>
        <v>0</v>
      </c>
      <c r="BO1269">
        <f>IF($A1269="","",IF($A1268="",1,IF(BN1269&lt;&gt;BN1268,1,0)))</f>
        <v>0</v>
      </c>
      <c r="BP1269">
        <f>IF($A1269="","",IF($A1270="",1,IF(BN1270&lt;&gt;BN1269,1,0)))</f>
        <v>0</v>
      </c>
      <c r="BQ1269">
        <f>IF($A1269="","",IF(BO1269=1,$B1269,BQ1268))</f>
        <v>0</v>
      </c>
      <c r="BR1269">
        <f>IF($A1269="","",IF(BO1269=1,$C1269,MAX($C1269,BR1268)))</f>
        <v>0</v>
      </c>
      <c r="BS1269">
        <f>IF($A1269="","",IF(BO1269=1,$D1269,MIN($D1269,BS1268)))</f>
        <v>0</v>
      </c>
      <c r="BT1269">
        <f>IF($A1269="","",IF(BP1269=1,F1269,""))</f>
        <v>0</v>
      </c>
    </row>
    <row r="1270" spans="1:72">
      <c r="A1270" s="27">
        <f>IF(Data!$A1270="","",Data!$A1270)</f>
        <v>0</v>
      </c>
      <c r="B1270">
        <f>IF(Data!$B1270="","",Data!$B1270)</f>
        <v>0</v>
      </c>
      <c r="C1270">
        <f>IF(Data!$C1270="","",Data!$C1270)</f>
        <v>0</v>
      </c>
      <c r="D1270">
        <f>IF(Data!$D1270="","",Data!$D1270)</f>
        <v>0</v>
      </c>
      <c r="E1270">
        <f>IF(Data!$E1270="","",Data!$E1270)</f>
        <v>0</v>
      </c>
      <c r="F1270">
        <f>IF($E1270="","",N(F1269)+1)</f>
        <v>0</v>
      </c>
      <c r="G1270">
        <f>IF(OR($E1270="",$E1269=""),"",LN($E1270/$E1269))</f>
        <v>0</v>
      </c>
      <c r="H1270">
        <f>IF($E1270="","",IF($E1269="",$E1270,$E1270*0.0952380952+H1269*0.9047619048))</f>
        <v>0</v>
      </c>
      <c r="I1270">
        <f>IF($E1270="","",IF($E1269="",$E1270,$E1270*0.0392156863+I1269*0.9607843137))</f>
        <v>0</v>
      </c>
      <c r="J1270">
        <f>IF($E1270="","",IF($E1269="",$E1270,$E1270*0.0198019802+J1269*0.9801980198))</f>
        <v>0</v>
      </c>
      <c r="K1270">
        <f>IF($E1270="","",IF($E1269="",$E1270,$E1270*0.0099502488+K1269*0.9900497512))</f>
        <v>0</v>
      </c>
      <c r="L1270">
        <f>IF(OR($E1270="",$E1269=""),"",MAX($E1270-$E1269,0))</f>
        <v>0</v>
      </c>
      <c r="M1270">
        <f>IF(OR($E1270="",$E1269=""),"",MAX($E1269-$E1270,0))</f>
        <v>0</v>
      </c>
      <c r="N1270">
        <f>IF(COUNT($E$2:$E1270)&lt;15,"",IF(AVERAGE($M$1257:$M$1270)=0,100,100-100/(1+AVERAGE($L$1257:$L$1270)/AVERAGE($M$1257:$M$1270))))</f>
        <v>0</v>
      </c>
      <c r="O1270">
        <f>IF($E1270="","",IF($E1269="",$E1270,$E1270*0.1538461538+O1269*0.8461538462))</f>
        <v>0</v>
      </c>
      <c r="P1270">
        <f>IF($E1270="","",IF($E1269="",$E1270,$E1270*0.0740740741+P1269*0.9259259259))</f>
        <v>0</v>
      </c>
      <c r="Q1270">
        <f>IF(OR(O1270="",P1270=""),"",O1270-P1270)</f>
        <v>0</v>
      </c>
      <c r="R1270">
        <f>IF(Q1270="","",IF(R1269="",Q1270,Q1270*0.2000000000+R1269*0.8000000000))</f>
        <v>0</v>
      </c>
      <c r="S1270">
        <f>IF(OR(Q1270="",R1270=""),"",Q1270-R1270)</f>
        <v>0</v>
      </c>
      <c r="T1270">
        <f>IF(COUNT($E$2:$E1270)&lt;14,"",MAX($C$1257:$C$1270))</f>
        <v>0</v>
      </c>
      <c r="U1270">
        <f>IF(COUNT($E$2:$E1270)&lt;14,"",MIN($D$1257:$D$1270))</f>
        <v>0</v>
      </c>
      <c r="V1270">
        <f>IF(OR(T1270="",U1270="",T1270=U1270),"",100*($E1270-U1270)/(T1270-U1270))</f>
        <v>0</v>
      </c>
      <c r="W1270">
        <f>IF(COUNT($V$1268:$V$1270)&lt;3,"",AVERAGE($V$1268:$V$1270))</f>
        <v>0</v>
      </c>
      <c r="X1270">
        <f>IF(COUNT($N$1257:$N$1270)&lt;14,"",MIN($N$1257:$N$1270))</f>
        <v>0</v>
      </c>
      <c r="Y1270">
        <f>IF(COUNT($N$1257:$N$1270)&lt;14,"",MAX($N$1257:$N$1270))</f>
        <v>0</v>
      </c>
      <c r="Z1270">
        <f>IF(OR(N1270="",X1270="",Y1270="",Y1270=X1270),"",100*(N1270-X1270)/(Y1270-X1270))</f>
        <v>0</v>
      </c>
      <c r="AA1270">
        <f>IF(COUNT($Z$1268:$Z$1270)&lt;3,"",AVERAGE($Z$1268:$Z$1270))</f>
        <v>0</v>
      </c>
      <c r="AB1270">
        <f>IF(COUNT($AA$1268:$AA$1270)&lt;3,"",AVERAGE($AA$1268:$AA$1270))</f>
        <v>0</v>
      </c>
      <c r="AC1270">
        <f>IF($E1270="","",MAX($C1270-$D1270,ABS($C1270-$E1269),ABS($D1270-$E1269)))</f>
        <v>0</v>
      </c>
      <c r="AD1270">
        <f>IF(COUNT($E$2:$E1270)&lt;15,"",AVERAGE($AC$1257:$AC$1270))</f>
        <v>0</v>
      </c>
      <c r="AE1270">
        <f>IF(OR($E1270="",$E1269=""),"",IF(AND(($C1270-$C1269)&gt;($D1269-$D1270),($C1270-$C1269)&gt;0),$C1270-$C1269,0))</f>
        <v>0</v>
      </c>
      <c r="AF1270">
        <f>IF(OR($E1270="",$E1269=""),"",IF(AND(($D1269-$D1270)&gt;($C1270-$C1269),($D1269-$D1270)&gt;0),$D1269-$D1270,0))</f>
        <v>0</v>
      </c>
      <c r="AG1270">
        <f>IF(COUNT($E$2:$E1270)&lt;15,"",IF(SUM($AC$1257:$AC$1270)=0,0,100*SUM($AE$1257:$AE$1270)/SUM($AC$1257:$AC$1270)))</f>
        <v>0</v>
      </c>
      <c r="AH1270">
        <f>IF(COUNT($E$2:$E1270)&lt;15,"",IF(SUM($AC$1257:$AC$1270)=0,0,100*SUM($AF$1257:$AF$1270)/SUM($AC$1257:$AC$1270)))</f>
        <v>0</v>
      </c>
      <c r="AI1270">
        <f>IF(OR(AG1270="",AH1270=""),"",IF((AG1270+AH1270)=0,0,100*ABS(AG1270-AH1270)/(AG1270+AH1270)))</f>
        <v>0</v>
      </c>
      <c r="AJ1270">
        <f>IF(COUNT($AI$1257:$AI$1270)&lt;14,"",AVERAGE($AI$1257:$AI$1270))</f>
        <v>0</v>
      </c>
      <c r="AK1270">
        <f>IF(COUNT($E$2:$E1270)&lt;20,"",AVERAGE($E$1251:$E$1270))</f>
        <v>0</v>
      </c>
      <c r="AL1270">
        <f>IF(COUNT($E$2:$E1270)&lt;20,"",STDEVP($E$1251:$E$1270))</f>
        <v>0</v>
      </c>
      <c r="AM1270">
        <f>IF(AK1270="","",AK1270+2*AL1270)</f>
        <v>0</v>
      </c>
      <c r="AN1270">
        <f>IF(AK1270="","",AK1270-2*AL1270)</f>
        <v>0</v>
      </c>
      <c r="AO1270">
        <f>IF(OR(AM1270="",AN1270="",AM1270=AN1270),"",($E1270-AN1270)/(AM1270-AN1270))</f>
        <v>0</v>
      </c>
      <c r="AP1270">
        <f>IF(OR(AM1270="",AK1270="",AK1270=0),"",(AM1270-AN1270)/AK1270)</f>
        <v>0</v>
      </c>
      <c r="AQ1270">
        <f>IF(COUNT($E$2:$E1270)&lt;20,"",MAX($C$1251:$C$1270))</f>
        <v>0</v>
      </c>
      <c r="AR1270">
        <f>IF(COUNT($E$2:$E1270)&lt;20,"",MIN($D$1251:$D$1270))</f>
        <v>0</v>
      </c>
      <c r="AS1270">
        <f>IF(OR(AQ1270="",AR1270=""),"",(AQ1270+AR1270)/2)</f>
        <v>0</v>
      </c>
      <c r="AT1270">
        <f>IF(COUNT($G$1251:$G$1270)&lt;20,"",STDEV($G$1251:$G$1270)*SQRT(252))</f>
        <v>0</v>
      </c>
      <c r="AU1270">
        <f>IF(COUNT($E$2:$E1270)&lt;9,"",(MAX($C$1262:$C$1270)+MIN($D$1262:$D$1270))/2)</f>
        <v>0</v>
      </c>
      <c r="AV1270">
        <f>IF(COUNT($E$2:$E1270)&lt;26,"",(MAX($C$1245:$C$1270)+MIN($D$1245:$D$1270))/2)</f>
        <v>0</v>
      </c>
      <c r="AW1270">
        <f>IF(OR(AU1270="",AV1270=""),"",(AU1270+AV1270)/2)</f>
        <v>0</v>
      </c>
      <c r="AX1270">
        <f>IF(COUNT($E$2:$E1270)&lt;52,"",(MAX($C$1219:$C$1270)+MIN($D$1219:$D$1270))/2)</f>
        <v>0</v>
      </c>
      <c r="AY1270">
        <f>IF(COUNT($E$2:$E1270)&lt;20,"",MAX($C$1171:$C$1270))</f>
        <v>0</v>
      </c>
      <c r="AZ1270">
        <f>IF(COUNT($E$2:$E1270)&lt;20,"",MIN($D$1171:$D$1270))</f>
        <v>0</v>
      </c>
      <c r="BA1270">
        <f>IF(COUNT($E$2:$E1270)&lt;20,"",SLOPE($E$1171:$E$1270,$F$1171:$F$1270))</f>
        <v>0</v>
      </c>
      <c r="BB1270">
        <f>IF(COUNT($E$2:$E1270)&lt;20,"",INTERCEPT($E$1171:$E$1270,$F$1171:$F$1270))</f>
        <v>0</v>
      </c>
      <c r="BC1270">
        <f>IF(OR(BA1270="",BB1270=""),"",BB1270+BA1270*F1270)</f>
        <v>0</v>
      </c>
      <c r="BD1270">
        <f>IF(COUNT($E$2:$E1270)&lt;20,"",STEYX($E$1171:$E$1270,$F$1171:$F$1270))</f>
        <v>0</v>
      </c>
      <c r="BE1270">
        <f>IF($E1270="","",IF(AND(COUNT($E$1271:$E$1274)&gt;=4,$C1270=MAX($C$1266:$C$1274)),$C1270,""))</f>
        <v>0</v>
      </c>
      <c r="BF1270">
        <f>IF($E1270="","",IF(AND(COUNT($E$1271:$E$1274)&gt;=4,$D1270=MIN($D$1266:$D$1274)),$D1270,""))</f>
        <v>0</v>
      </c>
      <c r="BG1270">
        <f>IF($A1270="","",$A1270-WEEKDAY($A1270,2)+1)</f>
        <v>0</v>
      </c>
      <c r="BH1270">
        <f>IF($A1270="","",IF($A1269="",1,IF(BG1270&lt;&gt;BG1269,1,0)))</f>
        <v>0</v>
      </c>
      <c r="BI1270">
        <f>IF($A1270="","",IF($A1271="",1,IF(BG1271&lt;&gt;BG1270,1,0)))</f>
        <v>0</v>
      </c>
      <c r="BJ1270">
        <f>IF($A1270="","",IF(BH1270=1,$B1270,BJ1269))</f>
        <v>0</v>
      </c>
      <c r="BK1270">
        <f>IF($A1270="","",IF(BH1270=1,$C1270,MAX($C1270,BK1269)))</f>
        <v>0</v>
      </c>
      <c r="BL1270">
        <f>IF($A1270="","",IF(BH1270=1,$D1270,MIN($D1270,BL1269)))</f>
        <v>0</v>
      </c>
      <c r="BM1270">
        <f>IF($A1270="","",IF(BI1270=1,F1270,""))</f>
        <v>0</v>
      </c>
      <c r="BN1270">
        <f>IF($A1270="","",DATE(YEAR($A1270),MONTH($A1270),1))</f>
        <v>0</v>
      </c>
      <c r="BO1270">
        <f>IF($A1270="","",IF($A1269="",1,IF(BN1270&lt;&gt;BN1269,1,0)))</f>
        <v>0</v>
      </c>
      <c r="BP1270">
        <f>IF($A1270="","",IF($A1271="",1,IF(BN1271&lt;&gt;BN1270,1,0)))</f>
        <v>0</v>
      </c>
      <c r="BQ1270">
        <f>IF($A1270="","",IF(BO1270=1,$B1270,BQ1269))</f>
        <v>0</v>
      </c>
      <c r="BR1270">
        <f>IF($A1270="","",IF(BO1270=1,$C1270,MAX($C1270,BR1269)))</f>
        <v>0</v>
      </c>
      <c r="BS1270">
        <f>IF($A1270="","",IF(BO1270=1,$D1270,MIN($D1270,BS1269)))</f>
        <v>0</v>
      </c>
      <c r="BT1270">
        <f>IF($A1270="","",IF(BP1270=1,F1270,""))</f>
        <v>0</v>
      </c>
    </row>
    <row r="1271" spans="1:72">
      <c r="A1271" s="27">
        <f>IF(Data!$A1271="","",Data!$A1271)</f>
        <v>0</v>
      </c>
      <c r="B1271">
        <f>IF(Data!$B1271="","",Data!$B1271)</f>
        <v>0</v>
      </c>
      <c r="C1271">
        <f>IF(Data!$C1271="","",Data!$C1271)</f>
        <v>0</v>
      </c>
      <c r="D1271">
        <f>IF(Data!$D1271="","",Data!$D1271)</f>
        <v>0</v>
      </c>
      <c r="E1271">
        <f>IF(Data!$E1271="","",Data!$E1271)</f>
        <v>0</v>
      </c>
      <c r="F1271">
        <f>IF($E1271="","",N(F1270)+1)</f>
        <v>0</v>
      </c>
      <c r="G1271">
        <f>IF(OR($E1271="",$E1270=""),"",LN($E1271/$E1270))</f>
        <v>0</v>
      </c>
      <c r="H1271">
        <f>IF($E1271="","",IF($E1270="",$E1271,$E1271*0.0952380952+H1270*0.9047619048))</f>
        <v>0</v>
      </c>
      <c r="I1271">
        <f>IF($E1271="","",IF($E1270="",$E1271,$E1271*0.0392156863+I1270*0.9607843137))</f>
        <v>0</v>
      </c>
      <c r="J1271">
        <f>IF($E1271="","",IF($E1270="",$E1271,$E1271*0.0198019802+J1270*0.9801980198))</f>
        <v>0</v>
      </c>
      <c r="K1271">
        <f>IF($E1271="","",IF($E1270="",$E1271,$E1271*0.0099502488+K1270*0.9900497512))</f>
        <v>0</v>
      </c>
      <c r="L1271">
        <f>IF(OR($E1271="",$E1270=""),"",MAX($E1271-$E1270,0))</f>
        <v>0</v>
      </c>
      <c r="M1271">
        <f>IF(OR($E1271="",$E1270=""),"",MAX($E1270-$E1271,0))</f>
        <v>0</v>
      </c>
      <c r="N1271">
        <f>IF(COUNT($E$2:$E1271)&lt;15,"",IF(AVERAGE($M$1258:$M$1271)=0,100,100-100/(1+AVERAGE($L$1258:$L$1271)/AVERAGE($M$1258:$M$1271))))</f>
        <v>0</v>
      </c>
      <c r="O1271">
        <f>IF($E1271="","",IF($E1270="",$E1271,$E1271*0.1538461538+O1270*0.8461538462))</f>
        <v>0</v>
      </c>
      <c r="P1271">
        <f>IF($E1271="","",IF($E1270="",$E1271,$E1271*0.0740740741+P1270*0.9259259259))</f>
        <v>0</v>
      </c>
      <c r="Q1271">
        <f>IF(OR(O1271="",P1271=""),"",O1271-P1271)</f>
        <v>0</v>
      </c>
      <c r="R1271">
        <f>IF(Q1271="","",IF(R1270="",Q1271,Q1271*0.2000000000+R1270*0.8000000000))</f>
        <v>0</v>
      </c>
      <c r="S1271">
        <f>IF(OR(Q1271="",R1271=""),"",Q1271-R1271)</f>
        <v>0</v>
      </c>
      <c r="T1271">
        <f>IF(COUNT($E$2:$E1271)&lt;14,"",MAX($C$1258:$C$1271))</f>
        <v>0</v>
      </c>
      <c r="U1271">
        <f>IF(COUNT($E$2:$E1271)&lt;14,"",MIN($D$1258:$D$1271))</f>
        <v>0</v>
      </c>
      <c r="V1271">
        <f>IF(OR(T1271="",U1271="",T1271=U1271),"",100*($E1271-U1271)/(T1271-U1271))</f>
        <v>0</v>
      </c>
      <c r="W1271">
        <f>IF(COUNT($V$1269:$V$1271)&lt;3,"",AVERAGE($V$1269:$V$1271))</f>
        <v>0</v>
      </c>
      <c r="X1271">
        <f>IF(COUNT($N$1258:$N$1271)&lt;14,"",MIN($N$1258:$N$1271))</f>
        <v>0</v>
      </c>
      <c r="Y1271">
        <f>IF(COUNT($N$1258:$N$1271)&lt;14,"",MAX($N$1258:$N$1271))</f>
        <v>0</v>
      </c>
      <c r="Z1271">
        <f>IF(OR(N1271="",X1271="",Y1271="",Y1271=X1271),"",100*(N1271-X1271)/(Y1271-X1271))</f>
        <v>0</v>
      </c>
      <c r="AA1271">
        <f>IF(COUNT($Z$1269:$Z$1271)&lt;3,"",AVERAGE($Z$1269:$Z$1271))</f>
        <v>0</v>
      </c>
      <c r="AB1271">
        <f>IF(COUNT($AA$1269:$AA$1271)&lt;3,"",AVERAGE($AA$1269:$AA$1271))</f>
        <v>0</v>
      </c>
      <c r="AC1271">
        <f>IF($E1271="","",MAX($C1271-$D1271,ABS($C1271-$E1270),ABS($D1271-$E1270)))</f>
        <v>0</v>
      </c>
      <c r="AD1271">
        <f>IF(COUNT($E$2:$E1271)&lt;15,"",AVERAGE($AC$1258:$AC$1271))</f>
        <v>0</v>
      </c>
      <c r="AE1271">
        <f>IF(OR($E1271="",$E1270=""),"",IF(AND(($C1271-$C1270)&gt;($D1270-$D1271),($C1271-$C1270)&gt;0),$C1271-$C1270,0))</f>
        <v>0</v>
      </c>
      <c r="AF1271">
        <f>IF(OR($E1271="",$E1270=""),"",IF(AND(($D1270-$D1271)&gt;($C1271-$C1270),($D1270-$D1271)&gt;0),$D1270-$D1271,0))</f>
        <v>0</v>
      </c>
      <c r="AG1271">
        <f>IF(COUNT($E$2:$E1271)&lt;15,"",IF(SUM($AC$1258:$AC$1271)=0,0,100*SUM($AE$1258:$AE$1271)/SUM($AC$1258:$AC$1271)))</f>
        <v>0</v>
      </c>
      <c r="AH1271">
        <f>IF(COUNT($E$2:$E1271)&lt;15,"",IF(SUM($AC$1258:$AC$1271)=0,0,100*SUM($AF$1258:$AF$1271)/SUM($AC$1258:$AC$1271)))</f>
        <v>0</v>
      </c>
      <c r="AI1271">
        <f>IF(OR(AG1271="",AH1271=""),"",IF((AG1271+AH1271)=0,0,100*ABS(AG1271-AH1271)/(AG1271+AH1271)))</f>
        <v>0</v>
      </c>
      <c r="AJ1271">
        <f>IF(COUNT($AI$1258:$AI$1271)&lt;14,"",AVERAGE($AI$1258:$AI$1271))</f>
        <v>0</v>
      </c>
      <c r="AK1271">
        <f>IF(COUNT($E$2:$E1271)&lt;20,"",AVERAGE($E$1252:$E$1271))</f>
        <v>0</v>
      </c>
      <c r="AL1271">
        <f>IF(COUNT($E$2:$E1271)&lt;20,"",STDEVP($E$1252:$E$1271))</f>
        <v>0</v>
      </c>
      <c r="AM1271">
        <f>IF(AK1271="","",AK1271+2*AL1271)</f>
        <v>0</v>
      </c>
      <c r="AN1271">
        <f>IF(AK1271="","",AK1271-2*AL1271)</f>
        <v>0</v>
      </c>
      <c r="AO1271">
        <f>IF(OR(AM1271="",AN1271="",AM1271=AN1271),"",($E1271-AN1271)/(AM1271-AN1271))</f>
        <v>0</v>
      </c>
      <c r="AP1271">
        <f>IF(OR(AM1271="",AK1271="",AK1271=0),"",(AM1271-AN1271)/AK1271)</f>
        <v>0</v>
      </c>
      <c r="AQ1271">
        <f>IF(COUNT($E$2:$E1271)&lt;20,"",MAX($C$1252:$C$1271))</f>
        <v>0</v>
      </c>
      <c r="AR1271">
        <f>IF(COUNT($E$2:$E1271)&lt;20,"",MIN($D$1252:$D$1271))</f>
        <v>0</v>
      </c>
      <c r="AS1271">
        <f>IF(OR(AQ1271="",AR1271=""),"",(AQ1271+AR1271)/2)</f>
        <v>0</v>
      </c>
      <c r="AT1271">
        <f>IF(COUNT($G$1252:$G$1271)&lt;20,"",STDEV($G$1252:$G$1271)*SQRT(252))</f>
        <v>0</v>
      </c>
      <c r="AU1271">
        <f>IF(COUNT($E$2:$E1271)&lt;9,"",(MAX($C$1263:$C$1271)+MIN($D$1263:$D$1271))/2)</f>
        <v>0</v>
      </c>
      <c r="AV1271">
        <f>IF(COUNT($E$2:$E1271)&lt;26,"",(MAX($C$1246:$C$1271)+MIN($D$1246:$D$1271))/2)</f>
        <v>0</v>
      </c>
      <c r="AW1271">
        <f>IF(OR(AU1271="",AV1271=""),"",(AU1271+AV1271)/2)</f>
        <v>0</v>
      </c>
      <c r="AX1271">
        <f>IF(COUNT($E$2:$E1271)&lt;52,"",(MAX($C$1220:$C$1271)+MIN($D$1220:$D$1271))/2)</f>
        <v>0</v>
      </c>
      <c r="AY1271">
        <f>IF(COUNT($E$2:$E1271)&lt;20,"",MAX($C$1172:$C$1271))</f>
        <v>0</v>
      </c>
      <c r="AZ1271">
        <f>IF(COUNT($E$2:$E1271)&lt;20,"",MIN($D$1172:$D$1271))</f>
        <v>0</v>
      </c>
      <c r="BA1271">
        <f>IF(COUNT($E$2:$E1271)&lt;20,"",SLOPE($E$1172:$E$1271,$F$1172:$F$1271))</f>
        <v>0</v>
      </c>
      <c r="BB1271">
        <f>IF(COUNT($E$2:$E1271)&lt;20,"",INTERCEPT($E$1172:$E$1271,$F$1172:$F$1271))</f>
        <v>0</v>
      </c>
      <c r="BC1271">
        <f>IF(OR(BA1271="",BB1271=""),"",BB1271+BA1271*F1271)</f>
        <v>0</v>
      </c>
      <c r="BD1271">
        <f>IF(COUNT($E$2:$E1271)&lt;20,"",STEYX($E$1172:$E$1271,$F$1172:$F$1271))</f>
        <v>0</v>
      </c>
      <c r="BE1271">
        <f>IF($E1271="","",IF(AND(COUNT($E$1272:$E$1275)&gt;=4,$C1271=MAX($C$1267:$C$1275)),$C1271,""))</f>
        <v>0</v>
      </c>
      <c r="BF1271">
        <f>IF($E1271="","",IF(AND(COUNT($E$1272:$E$1275)&gt;=4,$D1271=MIN($D$1267:$D$1275)),$D1271,""))</f>
        <v>0</v>
      </c>
      <c r="BG1271">
        <f>IF($A1271="","",$A1271-WEEKDAY($A1271,2)+1)</f>
        <v>0</v>
      </c>
      <c r="BH1271">
        <f>IF($A1271="","",IF($A1270="",1,IF(BG1271&lt;&gt;BG1270,1,0)))</f>
        <v>0</v>
      </c>
      <c r="BI1271">
        <f>IF($A1271="","",IF($A1272="",1,IF(BG1272&lt;&gt;BG1271,1,0)))</f>
        <v>0</v>
      </c>
      <c r="BJ1271">
        <f>IF($A1271="","",IF(BH1271=1,$B1271,BJ1270))</f>
        <v>0</v>
      </c>
      <c r="BK1271">
        <f>IF($A1271="","",IF(BH1271=1,$C1271,MAX($C1271,BK1270)))</f>
        <v>0</v>
      </c>
      <c r="BL1271">
        <f>IF($A1271="","",IF(BH1271=1,$D1271,MIN($D1271,BL1270)))</f>
        <v>0</v>
      </c>
      <c r="BM1271">
        <f>IF($A1271="","",IF(BI1271=1,F1271,""))</f>
        <v>0</v>
      </c>
      <c r="BN1271">
        <f>IF($A1271="","",DATE(YEAR($A1271),MONTH($A1271),1))</f>
        <v>0</v>
      </c>
      <c r="BO1271">
        <f>IF($A1271="","",IF($A1270="",1,IF(BN1271&lt;&gt;BN1270,1,0)))</f>
        <v>0</v>
      </c>
      <c r="BP1271">
        <f>IF($A1271="","",IF($A1272="",1,IF(BN1272&lt;&gt;BN1271,1,0)))</f>
        <v>0</v>
      </c>
      <c r="BQ1271">
        <f>IF($A1271="","",IF(BO1271=1,$B1271,BQ1270))</f>
        <v>0</v>
      </c>
      <c r="BR1271">
        <f>IF($A1271="","",IF(BO1271=1,$C1271,MAX($C1271,BR1270)))</f>
        <v>0</v>
      </c>
      <c r="BS1271">
        <f>IF($A1271="","",IF(BO1271=1,$D1271,MIN($D1271,BS1270)))</f>
        <v>0</v>
      </c>
      <c r="BT1271">
        <f>IF($A1271="","",IF(BP1271=1,F1271,""))</f>
        <v>0</v>
      </c>
    </row>
    <row r="1272" spans="1:72">
      <c r="A1272" s="27">
        <f>IF(Data!$A1272="","",Data!$A1272)</f>
        <v>0</v>
      </c>
      <c r="B1272">
        <f>IF(Data!$B1272="","",Data!$B1272)</f>
        <v>0</v>
      </c>
      <c r="C1272">
        <f>IF(Data!$C1272="","",Data!$C1272)</f>
        <v>0</v>
      </c>
      <c r="D1272">
        <f>IF(Data!$D1272="","",Data!$D1272)</f>
        <v>0</v>
      </c>
      <c r="E1272">
        <f>IF(Data!$E1272="","",Data!$E1272)</f>
        <v>0</v>
      </c>
      <c r="F1272">
        <f>IF($E1272="","",N(F1271)+1)</f>
        <v>0</v>
      </c>
      <c r="G1272">
        <f>IF(OR($E1272="",$E1271=""),"",LN($E1272/$E1271))</f>
        <v>0</v>
      </c>
      <c r="H1272">
        <f>IF($E1272="","",IF($E1271="",$E1272,$E1272*0.0952380952+H1271*0.9047619048))</f>
        <v>0</v>
      </c>
      <c r="I1272">
        <f>IF($E1272="","",IF($E1271="",$E1272,$E1272*0.0392156863+I1271*0.9607843137))</f>
        <v>0</v>
      </c>
      <c r="J1272">
        <f>IF($E1272="","",IF($E1271="",$E1272,$E1272*0.0198019802+J1271*0.9801980198))</f>
        <v>0</v>
      </c>
      <c r="K1272">
        <f>IF($E1272="","",IF($E1271="",$E1272,$E1272*0.0099502488+K1271*0.9900497512))</f>
        <v>0</v>
      </c>
      <c r="L1272">
        <f>IF(OR($E1272="",$E1271=""),"",MAX($E1272-$E1271,0))</f>
        <v>0</v>
      </c>
      <c r="M1272">
        <f>IF(OR($E1272="",$E1271=""),"",MAX($E1271-$E1272,0))</f>
        <v>0</v>
      </c>
      <c r="N1272">
        <f>IF(COUNT($E$2:$E1272)&lt;15,"",IF(AVERAGE($M$1259:$M$1272)=0,100,100-100/(1+AVERAGE($L$1259:$L$1272)/AVERAGE($M$1259:$M$1272))))</f>
        <v>0</v>
      </c>
      <c r="O1272">
        <f>IF($E1272="","",IF($E1271="",$E1272,$E1272*0.1538461538+O1271*0.8461538462))</f>
        <v>0</v>
      </c>
      <c r="P1272">
        <f>IF($E1272="","",IF($E1271="",$E1272,$E1272*0.0740740741+P1271*0.9259259259))</f>
        <v>0</v>
      </c>
      <c r="Q1272">
        <f>IF(OR(O1272="",P1272=""),"",O1272-P1272)</f>
        <v>0</v>
      </c>
      <c r="R1272">
        <f>IF(Q1272="","",IF(R1271="",Q1272,Q1272*0.2000000000+R1271*0.8000000000))</f>
        <v>0</v>
      </c>
      <c r="S1272">
        <f>IF(OR(Q1272="",R1272=""),"",Q1272-R1272)</f>
        <v>0</v>
      </c>
      <c r="T1272">
        <f>IF(COUNT($E$2:$E1272)&lt;14,"",MAX($C$1259:$C$1272))</f>
        <v>0</v>
      </c>
      <c r="U1272">
        <f>IF(COUNT($E$2:$E1272)&lt;14,"",MIN($D$1259:$D$1272))</f>
        <v>0</v>
      </c>
      <c r="V1272">
        <f>IF(OR(T1272="",U1272="",T1272=U1272),"",100*($E1272-U1272)/(T1272-U1272))</f>
        <v>0</v>
      </c>
      <c r="W1272">
        <f>IF(COUNT($V$1270:$V$1272)&lt;3,"",AVERAGE($V$1270:$V$1272))</f>
        <v>0</v>
      </c>
      <c r="X1272">
        <f>IF(COUNT($N$1259:$N$1272)&lt;14,"",MIN($N$1259:$N$1272))</f>
        <v>0</v>
      </c>
      <c r="Y1272">
        <f>IF(COUNT($N$1259:$N$1272)&lt;14,"",MAX($N$1259:$N$1272))</f>
        <v>0</v>
      </c>
      <c r="Z1272">
        <f>IF(OR(N1272="",X1272="",Y1272="",Y1272=X1272),"",100*(N1272-X1272)/(Y1272-X1272))</f>
        <v>0</v>
      </c>
      <c r="AA1272">
        <f>IF(COUNT($Z$1270:$Z$1272)&lt;3,"",AVERAGE($Z$1270:$Z$1272))</f>
        <v>0</v>
      </c>
      <c r="AB1272">
        <f>IF(COUNT($AA$1270:$AA$1272)&lt;3,"",AVERAGE($AA$1270:$AA$1272))</f>
        <v>0</v>
      </c>
      <c r="AC1272">
        <f>IF($E1272="","",MAX($C1272-$D1272,ABS($C1272-$E1271),ABS($D1272-$E1271)))</f>
        <v>0</v>
      </c>
      <c r="AD1272">
        <f>IF(COUNT($E$2:$E1272)&lt;15,"",AVERAGE($AC$1259:$AC$1272))</f>
        <v>0</v>
      </c>
      <c r="AE1272">
        <f>IF(OR($E1272="",$E1271=""),"",IF(AND(($C1272-$C1271)&gt;($D1271-$D1272),($C1272-$C1271)&gt;0),$C1272-$C1271,0))</f>
        <v>0</v>
      </c>
      <c r="AF1272">
        <f>IF(OR($E1272="",$E1271=""),"",IF(AND(($D1271-$D1272)&gt;($C1272-$C1271),($D1271-$D1272)&gt;0),$D1271-$D1272,0))</f>
        <v>0</v>
      </c>
      <c r="AG1272">
        <f>IF(COUNT($E$2:$E1272)&lt;15,"",IF(SUM($AC$1259:$AC$1272)=0,0,100*SUM($AE$1259:$AE$1272)/SUM($AC$1259:$AC$1272)))</f>
        <v>0</v>
      </c>
      <c r="AH1272">
        <f>IF(COUNT($E$2:$E1272)&lt;15,"",IF(SUM($AC$1259:$AC$1272)=0,0,100*SUM($AF$1259:$AF$1272)/SUM($AC$1259:$AC$1272)))</f>
        <v>0</v>
      </c>
      <c r="AI1272">
        <f>IF(OR(AG1272="",AH1272=""),"",IF((AG1272+AH1272)=0,0,100*ABS(AG1272-AH1272)/(AG1272+AH1272)))</f>
        <v>0</v>
      </c>
      <c r="AJ1272">
        <f>IF(COUNT($AI$1259:$AI$1272)&lt;14,"",AVERAGE($AI$1259:$AI$1272))</f>
        <v>0</v>
      </c>
      <c r="AK1272">
        <f>IF(COUNT($E$2:$E1272)&lt;20,"",AVERAGE($E$1253:$E$1272))</f>
        <v>0</v>
      </c>
      <c r="AL1272">
        <f>IF(COUNT($E$2:$E1272)&lt;20,"",STDEVP($E$1253:$E$1272))</f>
        <v>0</v>
      </c>
      <c r="AM1272">
        <f>IF(AK1272="","",AK1272+2*AL1272)</f>
        <v>0</v>
      </c>
      <c r="AN1272">
        <f>IF(AK1272="","",AK1272-2*AL1272)</f>
        <v>0</v>
      </c>
      <c r="AO1272">
        <f>IF(OR(AM1272="",AN1272="",AM1272=AN1272),"",($E1272-AN1272)/(AM1272-AN1272))</f>
        <v>0</v>
      </c>
      <c r="AP1272">
        <f>IF(OR(AM1272="",AK1272="",AK1272=0),"",(AM1272-AN1272)/AK1272)</f>
        <v>0</v>
      </c>
      <c r="AQ1272">
        <f>IF(COUNT($E$2:$E1272)&lt;20,"",MAX($C$1253:$C$1272))</f>
        <v>0</v>
      </c>
      <c r="AR1272">
        <f>IF(COUNT($E$2:$E1272)&lt;20,"",MIN($D$1253:$D$1272))</f>
        <v>0</v>
      </c>
      <c r="AS1272">
        <f>IF(OR(AQ1272="",AR1272=""),"",(AQ1272+AR1272)/2)</f>
        <v>0</v>
      </c>
      <c r="AT1272">
        <f>IF(COUNT($G$1253:$G$1272)&lt;20,"",STDEV($G$1253:$G$1272)*SQRT(252))</f>
        <v>0</v>
      </c>
      <c r="AU1272">
        <f>IF(COUNT($E$2:$E1272)&lt;9,"",(MAX($C$1264:$C$1272)+MIN($D$1264:$D$1272))/2)</f>
        <v>0</v>
      </c>
      <c r="AV1272">
        <f>IF(COUNT($E$2:$E1272)&lt;26,"",(MAX($C$1247:$C$1272)+MIN($D$1247:$D$1272))/2)</f>
        <v>0</v>
      </c>
      <c r="AW1272">
        <f>IF(OR(AU1272="",AV1272=""),"",(AU1272+AV1272)/2)</f>
        <v>0</v>
      </c>
      <c r="AX1272">
        <f>IF(COUNT($E$2:$E1272)&lt;52,"",(MAX($C$1221:$C$1272)+MIN($D$1221:$D$1272))/2)</f>
        <v>0</v>
      </c>
      <c r="AY1272">
        <f>IF(COUNT($E$2:$E1272)&lt;20,"",MAX($C$1173:$C$1272))</f>
        <v>0</v>
      </c>
      <c r="AZ1272">
        <f>IF(COUNT($E$2:$E1272)&lt;20,"",MIN($D$1173:$D$1272))</f>
        <v>0</v>
      </c>
      <c r="BA1272">
        <f>IF(COUNT($E$2:$E1272)&lt;20,"",SLOPE($E$1173:$E$1272,$F$1173:$F$1272))</f>
        <v>0</v>
      </c>
      <c r="BB1272">
        <f>IF(COUNT($E$2:$E1272)&lt;20,"",INTERCEPT($E$1173:$E$1272,$F$1173:$F$1272))</f>
        <v>0</v>
      </c>
      <c r="BC1272">
        <f>IF(OR(BA1272="",BB1272=""),"",BB1272+BA1272*F1272)</f>
        <v>0</v>
      </c>
      <c r="BD1272">
        <f>IF(COUNT($E$2:$E1272)&lt;20,"",STEYX($E$1173:$E$1272,$F$1173:$F$1272))</f>
        <v>0</v>
      </c>
      <c r="BE1272">
        <f>IF($E1272="","",IF(AND(COUNT($E$1273:$E$1276)&gt;=4,$C1272=MAX($C$1268:$C$1276)),$C1272,""))</f>
        <v>0</v>
      </c>
      <c r="BF1272">
        <f>IF($E1272="","",IF(AND(COUNT($E$1273:$E$1276)&gt;=4,$D1272=MIN($D$1268:$D$1276)),$D1272,""))</f>
        <v>0</v>
      </c>
      <c r="BG1272">
        <f>IF($A1272="","",$A1272-WEEKDAY($A1272,2)+1)</f>
        <v>0</v>
      </c>
      <c r="BH1272">
        <f>IF($A1272="","",IF($A1271="",1,IF(BG1272&lt;&gt;BG1271,1,0)))</f>
        <v>0</v>
      </c>
      <c r="BI1272">
        <f>IF($A1272="","",IF($A1273="",1,IF(BG1273&lt;&gt;BG1272,1,0)))</f>
        <v>0</v>
      </c>
      <c r="BJ1272">
        <f>IF($A1272="","",IF(BH1272=1,$B1272,BJ1271))</f>
        <v>0</v>
      </c>
      <c r="BK1272">
        <f>IF($A1272="","",IF(BH1272=1,$C1272,MAX($C1272,BK1271)))</f>
        <v>0</v>
      </c>
      <c r="BL1272">
        <f>IF($A1272="","",IF(BH1272=1,$D1272,MIN($D1272,BL1271)))</f>
        <v>0</v>
      </c>
      <c r="BM1272">
        <f>IF($A1272="","",IF(BI1272=1,F1272,""))</f>
        <v>0</v>
      </c>
      <c r="BN1272">
        <f>IF($A1272="","",DATE(YEAR($A1272),MONTH($A1272),1))</f>
        <v>0</v>
      </c>
      <c r="BO1272">
        <f>IF($A1272="","",IF($A1271="",1,IF(BN1272&lt;&gt;BN1271,1,0)))</f>
        <v>0</v>
      </c>
      <c r="BP1272">
        <f>IF($A1272="","",IF($A1273="",1,IF(BN1273&lt;&gt;BN1272,1,0)))</f>
        <v>0</v>
      </c>
      <c r="BQ1272">
        <f>IF($A1272="","",IF(BO1272=1,$B1272,BQ1271))</f>
        <v>0</v>
      </c>
      <c r="BR1272">
        <f>IF($A1272="","",IF(BO1272=1,$C1272,MAX($C1272,BR1271)))</f>
        <v>0</v>
      </c>
      <c r="BS1272">
        <f>IF($A1272="","",IF(BO1272=1,$D1272,MIN($D1272,BS1271)))</f>
        <v>0</v>
      </c>
      <c r="BT1272">
        <f>IF($A1272="","",IF(BP1272=1,F1272,""))</f>
        <v>0</v>
      </c>
    </row>
    <row r="1273" spans="1:72">
      <c r="A1273" s="27">
        <f>IF(Data!$A1273="","",Data!$A1273)</f>
        <v>0</v>
      </c>
      <c r="B1273">
        <f>IF(Data!$B1273="","",Data!$B1273)</f>
        <v>0</v>
      </c>
      <c r="C1273">
        <f>IF(Data!$C1273="","",Data!$C1273)</f>
        <v>0</v>
      </c>
      <c r="D1273">
        <f>IF(Data!$D1273="","",Data!$D1273)</f>
        <v>0</v>
      </c>
      <c r="E1273">
        <f>IF(Data!$E1273="","",Data!$E1273)</f>
        <v>0</v>
      </c>
      <c r="F1273">
        <f>IF($E1273="","",N(F1272)+1)</f>
        <v>0</v>
      </c>
      <c r="G1273">
        <f>IF(OR($E1273="",$E1272=""),"",LN($E1273/$E1272))</f>
        <v>0</v>
      </c>
      <c r="H1273">
        <f>IF($E1273="","",IF($E1272="",$E1273,$E1273*0.0952380952+H1272*0.9047619048))</f>
        <v>0</v>
      </c>
      <c r="I1273">
        <f>IF($E1273="","",IF($E1272="",$E1273,$E1273*0.0392156863+I1272*0.9607843137))</f>
        <v>0</v>
      </c>
      <c r="J1273">
        <f>IF($E1273="","",IF($E1272="",$E1273,$E1273*0.0198019802+J1272*0.9801980198))</f>
        <v>0</v>
      </c>
      <c r="K1273">
        <f>IF($E1273="","",IF($E1272="",$E1273,$E1273*0.0099502488+K1272*0.9900497512))</f>
        <v>0</v>
      </c>
      <c r="L1273">
        <f>IF(OR($E1273="",$E1272=""),"",MAX($E1273-$E1272,0))</f>
        <v>0</v>
      </c>
      <c r="M1273">
        <f>IF(OR($E1273="",$E1272=""),"",MAX($E1272-$E1273,0))</f>
        <v>0</v>
      </c>
      <c r="N1273">
        <f>IF(COUNT($E$2:$E1273)&lt;15,"",IF(AVERAGE($M$1260:$M$1273)=0,100,100-100/(1+AVERAGE($L$1260:$L$1273)/AVERAGE($M$1260:$M$1273))))</f>
        <v>0</v>
      </c>
      <c r="O1273">
        <f>IF($E1273="","",IF($E1272="",$E1273,$E1273*0.1538461538+O1272*0.8461538462))</f>
        <v>0</v>
      </c>
      <c r="P1273">
        <f>IF($E1273="","",IF($E1272="",$E1273,$E1273*0.0740740741+P1272*0.9259259259))</f>
        <v>0</v>
      </c>
      <c r="Q1273">
        <f>IF(OR(O1273="",P1273=""),"",O1273-P1273)</f>
        <v>0</v>
      </c>
      <c r="R1273">
        <f>IF(Q1273="","",IF(R1272="",Q1273,Q1273*0.2000000000+R1272*0.8000000000))</f>
        <v>0</v>
      </c>
      <c r="S1273">
        <f>IF(OR(Q1273="",R1273=""),"",Q1273-R1273)</f>
        <v>0</v>
      </c>
      <c r="T1273">
        <f>IF(COUNT($E$2:$E1273)&lt;14,"",MAX($C$1260:$C$1273))</f>
        <v>0</v>
      </c>
      <c r="U1273">
        <f>IF(COUNT($E$2:$E1273)&lt;14,"",MIN($D$1260:$D$1273))</f>
        <v>0</v>
      </c>
      <c r="V1273">
        <f>IF(OR(T1273="",U1273="",T1273=U1273),"",100*($E1273-U1273)/(T1273-U1273))</f>
        <v>0</v>
      </c>
      <c r="W1273">
        <f>IF(COUNT($V$1271:$V$1273)&lt;3,"",AVERAGE($V$1271:$V$1273))</f>
        <v>0</v>
      </c>
      <c r="X1273">
        <f>IF(COUNT($N$1260:$N$1273)&lt;14,"",MIN($N$1260:$N$1273))</f>
        <v>0</v>
      </c>
      <c r="Y1273">
        <f>IF(COUNT($N$1260:$N$1273)&lt;14,"",MAX($N$1260:$N$1273))</f>
        <v>0</v>
      </c>
      <c r="Z1273">
        <f>IF(OR(N1273="",X1273="",Y1273="",Y1273=X1273),"",100*(N1273-X1273)/(Y1273-X1273))</f>
        <v>0</v>
      </c>
      <c r="AA1273">
        <f>IF(COUNT($Z$1271:$Z$1273)&lt;3,"",AVERAGE($Z$1271:$Z$1273))</f>
        <v>0</v>
      </c>
      <c r="AB1273">
        <f>IF(COUNT($AA$1271:$AA$1273)&lt;3,"",AVERAGE($AA$1271:$AA$1273))</f>
        <v>0</v>
      </c>
      <c r="AC1273">
        <f>IF($E1273="","",MAX($C1273-$D1273,ABS($C1273-$E1272),ABS($D1273-$E1272)))</f>
        <v>0</v>
      </c>
      <c r="AD1273">
        <f>IF(COUNT($E$2:$E1273)&lt;15,"",AVERAGE($AC$1260:$AC$1273))</f>
        <v>0</v>
      </c>
      <c r="AE1273">
        <f>IF(OR($E1273="",$E1272=""),"",IF(AND(($C1273-$C1272)&gt;($D1272-$D1273),($C1273-$C1272)&gt;0),$C1273-$C1272,0))</f>
        <v>0</v>
      </c>
      <c r="AF1273">
        <f>IF(OR($E1273="",$E1272=""),"",IF(AND(($D1272-$D1273)&gt;($C1273-$C1272),($D1272-$D1273)&gt;0),$D1272-$D1273,0))</f>
        <v>0</v>
      </c>
      <c r="AG1273">
        <f>IF(COUNT($E$2:$E1273)&lt;15,"",IF(SUM($AC$1260:$AC$1273)=0,0,100*SUM($AE$1260:$AE$1273)/SUM($AC$1260:$AC$1273)))</f>
        <v>0</v>
      </c>
      <c r="AH1273">
        <f>IF(COUNT($E$2:$E1273)&lt;15,"",IF(SUM($AC$1260:$AC$1273)=0,0,100*SUM($AF$1260:$AF$1273)/SUM($AC$1260:$AC$1273)))</f>
        <v>0</v>
      </c>
      <c r="AI1273">
        <f>IF(OR(AG1273="",AH1273=""),"",IF((AG1273+AH1273)=0,0,100*ABS(AG1273-AH1273)/(AG1273+AH1273)))</f>
        <v>0</v>
      </c>
      <c r="AJ1273">
        <f>IF(COUNT($AI$1260:$AI$1273)&lt;14,"",AVERAGE($AI$1260:$AI$1273))</f>
        <v>0</v>
      </c>
      <c r="AK1273">
        <f>IF(COUNT($E$2:$E1273)&lt;20,"",AVERAGE($E$1254:$E$1273))</f>
        <v>0</v>
      </c>
      <c r="AL1273">
        <f>IF(COUNT($E$2:$E1273)&lt;20,"",STDEVP($E$1254:$E$1273))</f>
        <v>0</v>
      </c>
      <c r="AM1273">
        <f>IF(AK1273="","",AK1273+2*AL1273)</f>
        <v>0</v>
      </c>
      <c r="AN1273">
        <f>IF(AK1273="","",AK1273-2*AL1273)</f>
        <v>0</v>
      </c>
      <c r="AO1273">
        <f>IF(OR(AM1273="",AN1273="",AM1273=AN1273),"",($E1273-AN1273)/(AM1273-AN1273))</f>
        <v>0</v>
      </c>
      <c r="AP1273">
        <f>IF(OR(AM1273="",AK1273="",AK1273=0),"",(AM1273-AN1273)/AK1273)</f>
        <v>0</v>
      </c>
      <c r="AQ1273">
        <f>IF(COUNT($E$2:$E1273)&lt;20,"",MAX($C$1254:$C$1273))</f>
        <v>0</v>
      </c>
      <c r="AR1273">
        <f>IF(COUNT($E$2:$E1273)&lt;20,"",MIN($D$1254:$D$1273))</f>
        <v>0</v>
      </c>
      <c r="AS1273">
        <f>IF(OR(AQ1273="",AR1273=""),"",(AQ1273+AR1273)/2)</f>
        <v>0</v>
      </c>
      <c r="AT1273">
        <f>IF(COUNT($G$1254:$G$1273)&lt;20,"",STDEV($G$1254:$G$1273)*SQRT(252))</f>
        <v>0</v>
      </c>
      <c r="AU1273">
        <f>IF(COUNT($E$2:$E1273)&lt;9,"",(MAX($C$1265:$C$1273)+MIN($D$1265:$D$1273))/2)</f>
        <v>0</v>
      </c>
      <c r="AV1273">
        <f>IF(COUNT($E$2:$E1273)&lt;26,"",(MAX($C$1248:$C$1273)+MIN($D$1248:$D$1273))/2)</f>
        <v>0</v>
      </c>
      <c r="AW1273">
        <f>IF(OR(AU1273="",AV1273=""),"",(AU1273+AV1273)/2)</f>
        <v>0</v>
      </c>
      <c r="AX1273">
        <f>IF(COUNT($E$2:$E1273)&lt;52,"",(MAX($C$1222:$C$1273)+MIN($D$1222:$D$1273))/2)</f>
        <v>0</v>
      </c>
      <c r="AY1273">
        <f>IF(COUNT($E$2:$E1273)&lt;20,"",MAX($C$1174:$C$1273))</f>
        <v>0</v>
      </c>
      <c r="AZ1273">
        <f>IF(COUNT($E$2:$E1273)&lt;20,"",MIN($D$1174:$D$1273))</f>
        <v>0</v>
      </c>
      <c r="BA1273">
        <f>IF(COUNT($E$2:$E1273)&lt;20,"",SLOPE($E$1174:$E$1273,$F$1174:$F$1273))</f>
        <v>0</v>
      </c>
      <c r="BB1273">
        <f>IF(COUNT($E$2:$E1273)&lt;20,"",INTERCEPT($E$1174:$E$1273,$F$1174:$F$1273))</f>
        <v>0</v>
      </c>
      <c r="BC1273">
        <f>IF(OR(BA1273="",BB1273=""),"",BB1273+BA1273*F1273)</f>
        <v>0</v>
      </c>
      <c r="BD1273">
        <f>IF(COUNT($E$2:$E1273)&lt;20,"",STEYX($E$1174:$E$1273,$F$1174:$F$1273))</f>
        <v>0</v>
      </c>
      <c r="BE1273">
        <f>IF($E1273="","",IF(AND(COUNT($E$1274:$E$1277)&gt;=4,$C1273=MAX($C$1269:$C$1277)),$C1273,""))</f>
        <v>0</v>
      </c>
      <c r="BF1273">
        <f>IF($E1273="","",IF(AND(COUNT($E$1274:$E$1277)&gt;=4,$D1273=MIN($D$1269:$D$1277)),$D1273,""))</f>
        <v>0</v>
      </c>
      <c r="BG1273">
        <f>IF($A1273="","",$A1273-WEEKDAY($A1273,2)+1)</f>
        <v>0</v>
      </c>
      <c r="BH1273">
        <f>IF($A1273="","",IF($A1272="",1,IF(BG1273&lt;&gt;BG1272,1,0)))</f>
        <v>0</v>
      </c>
      <c r="BI1273">
        <f>IF($A1273="","",IF($A1274="",1,IF(BG1274&lt;&gt;BG1273,1,0)))</f>
        <v>0</v>
      </c>
      <c r="BJ1273">
        <f>IF($A1273="","",IF(BH1273=1,$B1273,BJ1272))</f>
        <v>0</v>
      </c>
      <c r="BK1273">
        <f>IF($A1273="","",IF(BH1273=1,$C1273,MAX($C1273,BK1272)))</f>
        <v>0</v>
      </c>
      <c r="BL1273">
        <f>IF($A1273="","",IF(BH1273=1,$D1273,MIN($D1273,BL1272)))</f>
        <v>0</v>
      </c>
      <c r="BM1273">
        <f>IF($A1273="","",IF(BI1273=1,F1273,""))</f>
        <v>0</v>
      </c>
      <c r="BN1273">
        <f>IF($A1273="","",DATE(YEAR($A1273),MONTH($A1273),1))</f>
        <v>0</v>
      </c>
      <c r="BO1273">
        <f>IF($A1273="","",IF($A1272="",1,IF(BN1273&lt;&gt;BN1272,1,0)))</f>
        <v>0</v>
      </c>
      <c r="BP1273">
        <f>IF($A1273="","",IF($A1274="",1,IF(BN1274&lt;&gt;BN1273,1,0)))</f>
        <v>0</v>
      </c>
      <c r="BQ1273">
        <f>IF($A1273="","",IF(BO1273=1,$B1273,BQ1272))</f>
        <v>0</v>
      </c>
      <c r="BR1273">
        <f>IF($A1273="","",IF(BO1273=1,$C1273,MAX($C1273,BR1272)))</f>
        <v>0</v>
      </c>
      <c r="BS1273">
        <f>IF($A1273="","",IF(BO1273=1,$D1273,MIN($D1273,BS1272)))</f>
        <v>0</v>
      </c>
      <c r="BT1273">
        <f>IF($A1273="","",IF(BP1273=1,F1273,""))</f>
        <v>0</v>
      </c>
    </row>
    <row r="1274" spans="1:72">
      <c r="A1274" s="27">
        <f>IF(Data!$A1274="","",Data!$A1274)</f>
        <v>0</v>
      </c>
      <c r="B1274">
        <f>IF(Data!$B1274="","",Data!$B1274)</f>
        <v>0</v>
      </c>
      <c r="C1274">
        <f>IF(Data!$C1274="","",Data!$C1274)</f>
        <v>0</v>
      </c>
      <c r="D1274">
        <f>IF(Data!$D1274="","",Data!$D1274)</f>
        <v>0</v>
      </c>
      <c r="E1274">
        <f>IF(Data!$E1274="","",Data!$E1274)</f>
        <v>0</v>
      </c>
      <c r="F1274">
        <f>IF($E1274="","",N(F1273)+1)</f>
        <v>0</v>
      </c>
      <c r="G1274">
        <f>IF(OR($E1274="",$E1273=""),"",LN($E1274/$E1273))</f>
        <v>0</v>
      </c>
      <c r="H1274">
        <f>IF($E1274="","",IF($E1273="",$E1274,$E1274*0.0952380952+H1273*0.9047619048))</f>
        <v>0</v>
      </c>
      <c r="I1274">
        <f>IF($E1274="","",IF($E1273="",$E1274,$E1274*0.0392156863+I1273*0.9607843137))</f>
        <v>0</v>
      </c>
      <c r="J1274">
        <f>IF($E1274="","",IF($E1273="",$E1274,$E1274*0.0198019802+J1273*0.9801980198))</f>
        <v>0</v>
      </c>
      <c r="K1274">
        <f>IF($E1274="","",IF($E1273="",$E1274,$E1274*0.0099502488+K1273*0.9900497512))</f>
        <v>0</v>
      </c>
      <c r="L1274">
        <f>IF(OR($E1274="",$E1273=""),"",MAX($E1274-$E1273,0))</f>
        <v>0</v>
      </c>
      <c r="M1274">
        <f>IF(OR($E1274="",$E1273=""),"",MAX($E1273-$E1274,0))</f>
        <v>0</v>
      </c>
      <c r="N1274">
        <f>IF(COUNT($E$2:$E1274)&lt;15,"",IF(AVERAGE($M$1261:$M$1274)=0,100,100-100/(1+AVERAGE($L$1261:$L$1274)/AVERAGE($M$1261:$M$1274))))</f>
        <v>0</v>
      </c>
      <c r="O1274">
        <f>IF($E1274="","",IF($E1273="",$E1274,$E1274*0.1538461538+O1273*0.8461538462))</f>
        <v>0</v>
      </c>
      <c r="P1274">
        <f>IF($E1274="","",IF($E1273="",$E1274,$E1274*0.0740740741+P1273*0.9259259259))</f>
        <v>0</v>
      </c>
      <c r="Q1274">
        <f>IF(OR(O1274="",P1274=""),"",O1274-P1274)</f>
        <v>0</v>
      </c>
      <c r="R1274">
        <f>IF(Q1274="","",IF(R1273="",Q1274,Q1274*0.2000000000+R1273*0.8000000000))</f>
        <v>0</v>
      </c>
      <c r="S1274">
        <f>IF(OR(Q1274="",R1274=""),"",Q1274-R1274)</f>
        <v>0</v>
      </c>
      <c r="T1274">
        <f>IF(COUNT($E$2:$E1274)&lt;14,"",MAX($C$1261:$C$1274))</f>
        <v>0</v>
      </c>
      <c r="U1274">
        <f>IF(COUNT($E$2:$E1274)&lt;14,"",MIN($D$1261:$D$1274))</f>
        <v>0</v>
      </c>
      <c r="V1274">
        <f>IF(OR(T1274="",U1274="",T1274=U1274),"",100*($E1274-U1274)/(T1274-U1274))</f>
        <v>0</v>
      </c>
      <c r="W1274">
        <f>IF(COUNT($V$1272:$V$1274)&lt;3,"",AVERAGE($V$1272:$V$1274))</f>
        <v>0</v>
      </c>
      <c r="X1274">
        <f>IF(COUNT($N$1261:$N$1274)&lt;14,"",MIN($N$1261:$N$1274))</f>
        <v>0</v>
      </c>
      <c r="Y1274">
        <f>IF(COUNT($N$1261:$N$1274)&lt;14,"",MAX($N$1261:$N$1274))</f>
        <v>0</v>
      </c>
      <c r="Z1274">
        <f>IF(OR(N1274="",X1274="",Y1274="",Y1274=X1274),"",100*(N1274-X1274)/(Y1274-X1274))</f>
        <v>0</v>
      </c>
      <c r="AA1274">
        <f>IF(COUNT($Z$1272:$Z$1274)&lt;3,"",AVERAGE($Z$1272:$Z$1274))</f>
        <v>0</v>
      </c>
      <c r="AB1274">
        <f>IF(COUNT($AA$1272:$AA$1274)&lt;3,"",AVERAGE($AA$1272:$AA$1274))</f>
        <v>0</v>
      </c>
      <c r="AC1274">
        <f>IF($E1274="","",MAX($C1274-$D1274,ABS($C1274-$E1273),ABS($D1274-$E1273)))</f>
        <v>0</v>
      </c>
      <c r="AD1274">
        <f>IF(COUNT($E$2:$E1274)&lt;15,"",AVERAGE($AC$1261:$AC$1274))</f>
        <v>0</v>
      </c>
      <c r="AE1274">
        <f>IF(OR($E1274="",$E1273=""),"",IF(AND(($C1274-$C1273)&gt;($D1273-$D1274),($C1274-$C1273)&gt;0),$C1274-$C1273,0))</f>
        <v>0</v>
      </c>
      <c r="AF1274">
        <f>IF(OR($E1274="",$E1273=""),"",IF(AND(($D1273-$D1274)&gt;($C1274-$C1273),($D1273-$D1274)&gt;0),$D1273-$D1274,0))</f>
        <v>0</v>
      </c>
      <c r="AG1274">
        <f>IF(COUNT($E$2:$E1274)&lt;15,"",IF(SUM($AC$1261:$AC$1274)=0,0,100*SUM($AE$1261:$AE$1274)/SUM($AC$1261:$AC$1274)))</f>
        <v>0</v>
      </c>
      <c r="AH1274">
        <f>IF(COUNT($E$2:$E1274)&lt;15,"",IF(SUM($AC$1261:$AC$1274)=0,0,100*SUM($AF$1261:$AF$1274)/SUM($AC$1261:$AC$1274)))</f>
        <v>0</v>
      </c>
      <c r="AI1274">
        <f>IF(OR(AG1274="",AH1274=""),"",IF((AG1274+AH1274)=0,0,100*ABS(AG1274-AH1274)/(AG1274+AH1274)))</f>
        <v>0</v>
      </c>
      <c r="AJ1274">
        <f>IF(COUNT($AI$1261:$AI$1274)&lt;14,"",AVERAGE($AI$1261:$AI$1274))</f>
        <v>0</v>
      </c>
      <c r="AK1274">
        <f>IF(COUNT($E$2:$E1274)&lt;20,"",AVERAGE($E$1255:$E$1274))</f>
        <v>0</v>
      </c>
      <c r="AL1274">
        <f>IF(COUNT($E$2:$E1274)&lt;20,"",STDEVP($E$1255:$E$1274))</f>
        <v>0</v>
      </c>
      <c r="AM1274">
        <f>IF(AK1274="","",AK1274+2*AL1274)</f>
        <v>0</v>
      </c>
      <c r="AN1274">
        <f>IF(AK1274="","",AK1274-2*AL1274)</f>
        <v>0</v>
      </c>
      <c r="AO1274">
        <f>IF(OR(AM1274="",AN1274="",AM1274=AN1274),"",($E1274-AN1274)/(AM1274-AN1274))</f>
        <v>0</v>
      </c>
      <c r="AP1274">
        <f>IF(OR(AM1274="",AK1274="",AK1274=0),"",(AM1274-AN1274)/AK1274)</f>
        <v>0</v>
      </c>
      <c r="AQ1274">
        <f>IF(COUNT($E$2:$E1274)&lt;20,"",MAX($C$1255:$C$1274))</f>
        <v>0</v>
      </c>
      <c r="AR1274">
        <f>IF(COUNT($E$2:$E1274)&lt;20,"",MIN($D$1255:$D$1274))</f>
        <v>0</v>
      </c>
      <c r="AS1274">
        <f>IF(OR(AQ1274="",AR1274=""),"",(AQ1274+AR1274)/2)</f>
        <v>0</v>
      </c>
      <c r="AT1274">
        <f>IF(COUNT($G$1255:$G$1274)&lt;20,"",STDEV($G$1255:$G$1274)*SQRT(252))</f>
        <v>0</v>
      </c>
      <c r="AU1274">
        <f>IF(COUNT($E$2:$E1274)&lt;9,"",(MAX($C$1266:$C$1274)+MIN($D$1266:$D$1274))/2)</f>
        <v>0</v>
      </c>
      <c r="AV1274">
        <f>IF(COUNT($E$2:$E1274)&lt;26,"",(MAX($C$1249:$C$1274)+MIN($D$1249:$D$1274))/2)</f>
        <v>0</v>
      </c>
      <c r="AW1274">
        <f>IF(OR(AU1274="",AV1274=""),"",(AU1274+AV1274)/2)</f>
        <v>0</v>
      </c>
      <c r="AX1274">
        <f>IF(COUNT($E$2:$E1274)&lt;52,"",(MAX($C$1223:$C$1274)+MIN($D$1223:$D$1274))/2)</f>
        <v>0</v>
      </c>
      <c r="AY1274">
        <f>IF(COUNT($E$2:$E1274)&lt;20,"",MAX($C$1175:$C$1274))</f>
        <v>0</v>
      </c>
      <c r="AZ1274">
        <f>IF(COUNT($E$2:$E1274)&lt;20,"",MIN($D$1175:$D$1274))</f>
        <v>0</v>
      </c>
      <c r="BA1274">
        <f>IF(COUNT($E$2:$E1274)&lt;20,"",SLOPE($E$1175:$E$1274,$F$1175:$F$1274))</f>
        <v>0</v>
      </c>
      <c r="BB1274">
        <f>IF(COUNT($E$2:$E1274)&lt;20,"",INTERCEPT($E$1175:$E$1274,$F$1175:$F$1274))</f>
        <v>0</v>
      </c>
      <c r="BC1274">
        <f>IF(OR(BA1274="",BB1274=""),"",BB1274+BA1274*F1274)</f>
        <v>0</v>
      </c>
      <c r="BD1274">
        <f>IF(COUNT($E$2:$E1274)&lt;20,"",STEYX($E$1175:$E$1274,$F$1175:$F$1274))</f>
        <v>0</v>
      </c>
      <c r="BE1274">
        <f>IF($E1274="","",IF(AND(COUNT($E$1275:$E$1278)&gt;=4,$C1274=MAX($C$1270:$C$1278)),$C1274,""))</f>
        <v>0</v>
      </c>
      <c r="BF1274">
        <f>IF($E1274="","",IF(AND(COUNT($E$1275:$E$1278)&gt;=4,$D1274=MIN($D$1270:$D$1278)),$D1274,""))</f>
        <v>0</v>
      </c>
      <c r="BG1274">
        <f>IF($A1274="","",$A1274-WEEKDAY($A1274,2)+1)</f>
        <v>0</v>
      </c>
      <c r="BH1274">
        <f>IF($A1274="","",IF($A1273="",1,IF(BG1274&lt;&gt;BG1273,1,0)))</f>
        <v>0</v>
      </c>
      <c r="BI1274">
        <f>IF($A1274="","",IF($A1275="",1,IF(BG1275&lt;&gt;BG1274,1,0)))</f>
        <v>0</v>
      </c>
      <c r="BJ1274">
        <f>IF($A1274="","",IF(BH1274=1,$B1274,BJ1273))</f>
        <v>0</v>
      </c>
      <c r="BK1274">
        <f>IF($A1274="","",IF(BH1274=1,$C1274,MAX($C1274,BK1273)))</f>
        <v>0</v>
      </c>
      <c r="BL1274">
        <f>IF($A1274="","",IF(BH1274=1,$D1274,MIN($D1274,BL1273)))</f>
        <v>0</v>
      </c>
      <c r="BM1274">
        <f>IF($A1274="","",IF(BI1274=1,F1274,""))</f>
        <v>0</v>
      </c>
      <c r="BN1274">
        <f>IF($A1274="","",DATE(YEAR($A1274),MONTH($A1274),1))</f>
        <v>0</v>
      </c>
      <c r="BO1274">
        <f>IF($A1274="","",IF($A1273="",1,IF(BN1274&lt;&gt;BN1273,1,0)))</f>
        <v>0</v>
      </c>
      <c r="BP1274">
        <f>IF($A1274="","",IF($A1275="",1,IF(BN1275&lt;&gt;BN1274,1,0)))</f>
        <v>0</v>
      </c>
      <c r="BQ1274">
        <f>IF($A1274="","",IF(BO1274=1,$B1274,BQ1273))</f>
        <v>0</v>
      </c>
      <c r="BR1274">
        <f>IF($A1274="","",IF(BO1274=1,$C1274,MAX($C1274,BR1273)))</f>
        <v>0</v>
      </c>
      <c r="BS1274">
        <f>IF($A1274="","",IF(BO1274=1,$D1274,MIN($D1274,BS1273)))</f>
        <v>0</v>
      </c>
      <c r="BT1274">
        <f>IF($A1274="","",IF(BP1274=1,F1274,""))</f>
        <v>0</v>
      </c>
    </row>
    <row r="1275" spans="1:72">
      <c r="A1275" s="27">
        <f>IF(Data!$A1275="","",Data!$A1275)</f>
        <v>0</v>
      </c>
      <c r="B1275">
        <f>IF(Data!$B1275="","",Data!$B1275)</f>
        <v>0</v>
      </c>
      <c r="C1275">
        <f>IF(Data!$C1275="","",Data!$C1275)</f>
        <v>0</v>
      </c>
      <c r="D1275">
        <f>IF(Data!$D1275="","",Data!$D1275)</f>
        <v>0</v>
      </c>
      <c r="E1275">
        <f>IF(Data!$E1275="","",Data!$E1275)</f>
        <v>0</v>
      </c>
      <c r="F1275">
        <f>IF($E1275="","",N(F1274)+1)</f>
        <v>0</v>
      </c>
      <c r="G1275">
        <f>IF(OR($E1275="",$E1274=""),"",LN($E1275/$E1274))</f>
        <v>0</v>
      </c>
      <c r="H1275">
        <f>IF($E1275="","",IF($E1274="",$E1275,$E1275*0.0952380952+H1274*0.9047619048))</f>
        <v>0</v>
      </c>
      <c r="I1275">
        <f>IF($E1275="","",IF($E1274="",$E1275,$E1275*0.0392156863+I1274*0.9607843137))</f>
        <v>0</v>
      </c>
      <c r="J1275">
        <f>IF($E1275="","",IF($E1274="",$E1275,$E1275*0.0198019802+J1274*0.9801980198))</f>
        <v>0</v>
      </c>
      <c r="K1275">
        <f>IF($E1275="","",IF($E1274="",$E1275,$E1275*0.0099502488+K1274*0.9900497512))</f>
        <v>0</v>
      </c>
      <c r="L1275">
        <f>IF(OR($E1275="",$E1274=""),"",MAX($E1275-$E1274,0))</f>
        <v>0</v>
      </c>
      <c r="M1275">
        <f>IF(OR($E1275="",$E1274=""),"",MAX($E1274-$E1275,0))</f>
        <v>0</v>
      </c>
      <c r="N1275">
        <f>IF(COUNT($E$2:$E1275)&lt;15,"",IF(AVERAGE($M$1262:$M$1275)=0,100,100-100/(1+AVERAGE($L$1262:$L$1275)/AVERAGE($M$1262:$M$1275))))</f>
        <v>0</v>
      </c>
      <c r="O1275">
        <f>IF($E1275="","",IF($E1274="",$E1275,$E1275*0.1538461538+O1274*0.8461538462))</f>
        <v>0</v>
      </c>
      <c r="P1275">
        <f>IF($E1275="","",IF($E1274="",$E1275,$E1275*0.0740740741+P1274*0.9259259259))</f>
        <v>0</v>
      </c>
      <c r="Q1275">
        <f>IF(OR(O1275="",P1275=""),"",O1275-P1275)</f>
        <v>0</v>
      </c>
      <c r="R1275">
        <f>IF(Q1275="","",IF(R1274="",Q1275,Q1275*0.2000000000+R1274*0.8000000000))</f>
        <v>0</v>
      </c>
      <c r="S1275">
        <f>IF(OR(Q1275="",R1275=""),"",Q1275-R1275)</f>
        <v>0</v>
      </c>
      <c r="T1275">
        <f>IF(COUNT($E$2:$E1275)&lt;14,"",MAX($C$1262:$C$1275))</f>
        <v>0</v>
      </c>
      <c r="U1275">
        <f>IF(COUNT($E$2:$E1275)&lt;14,"",MIN($D$1262:$D$1275))</f>
        <v>0</v>
      </c>
      <c r="V1275">
        <f>IF(OR(T1275="",U1275="",T1275=U1275),"",100*($E1275-U1275)/(T1275-U1275))</f>
        <v>0</v>
      </c>
      <c r="W1275">
        <f>IF(COUNT($V$1273:$V$1275)&lt;3,"",AVERAGE($V$1273:$V$1275))</f>
        <v>0</v>
      </c>
      <c r="X1275">
        <f>IF(COUNT($N$1262:$N$1275)&lt;14,"",MIN($N$1262:$N$1275))</f>
        <v>0</v>
      </c>
      <c r="Y1275">
        <f>IF(COUNT($N$1262:$N$1275)&lt;14,"",MAX($N$1262:$N$1275))</f>
        <v>0</v>
      </c>
      <c r="Z1275">
        <f>IF(OR(N1275="",X1275="",Y1275="",Y1275=X1275),"",100*(N1275-X1275)/(Y1275-X1275))</f>
        <v>0</v>
      </c>
      <c r="AA1275">
        <f>IF(COUNT($Z$1273:$Z$1275)&lt;3,"",AVERAGE($Z$1273:$Z$1275))</f>
        <v>0</v>
      </c>
      <c r="AB1275">
        <f>IF(COUNT($AA$1273:$AA$1275)&lt;3,"",AVERAGE($AA$1273:$AA$1275))</f>
        <v>0</v>
      </c>
      <c r="AC1275">
        <f>IF($E1275="","",MAX($C1275-$D1275,ABS($C1275-$E1274),ABS($D1275-$E1274)))</f>
        <v>0</v>
      </c>
      <c r="AD1275">
        <f>IF(COUNT($E$2:$E1275)&lt;15,"",AVERAGE($AC$1262:$AC$1275))</f>
        <v>0</v>
      </c>
      <c r="AE1275">
        <f>IF(OR($E1275="",$E1274=""),"",IF(AND(($C1275-$C1274)&gt;($D1274-$D1275),($C1275-$C1274)&gt;0),$C1275-$C1274,0))</f>
        <v>0</v>
      </c>
      <c r="AF1275">
        <f>IF(OR($E1275="",$E1274=""),"",IF(AND(($D1274-$D1275)&gt;($C1275-$C1274),($D1274-$D1275)&gt;0),$D1274-$D1275,0))</f>
        <v>0</v>
      </c>
      <c r="AG1275">
        <f>IF(COUNT($E$2:$E1275)&lt;15,"",IF(SUM($AC$1262:$AC$1275)=0,0,100*SUM($AE$1262:$AE$1275)/SUM($AC$1262:$AC$1275)))</f>
        <v>0</v>
      </c>
      <c r="AH1275">
        <f>IF(COUNT($E$2:$E1275)&lt;15,"",IF(SUM($AC$1262:$AC$1275)=0,0,100*SUM($AF$1262:$AF$1275)/SUM($AC$1262:$AC$1275)))</f>
        <v>0</v>
      </c>
      <c r="AI1275">
        <f>IF(OR(AG1275="",AH1275=""),"",IF((AG1275+AH1275)=0,0,100*ABS(AG1275-AH1275)/(AG1275+AH1275)))</f>
        <v>0</v>
      </c>
      <c r="AJ1275">
        <f>IF(COUNT($AI$1262:$AI$1275)&lt;14,"",AVERAGE($AI$1262:$AI$1275))</f>
        <v>0</v>
      </c>
      <c r="AK1275">
        <f>IF(COUNT($E$2:$E1275)&lt;20,"",AVERAGE($E$1256:$E$1275))</f>
        <v>0</v>
      </c>
      <c r="AL1275">
        <f>IF(COUNT($E$2:$E1275)&lt;20,"",STDEVP($E$1256:$E$1275))</f>
        <v>0</v>
      </c>
      <c r="AM1275">
        <f>IF(AK1275="","",AK1275+2*AL1275)</f>
        <v>0</v>
      </c>
      <c r="AN1275">
        <f>IF(AK1275="","",AK1275-2*AL1275)</f>
        <v>0</v>
      </c>
      <c r="AO1275">
        <f>IF(OR(AM1275="",AN1275="",AM1275=AN1275),"",($E1275-AN1275)/(AM1275-AN1275))</f>
        <v>0</v>
      </c>
      <c r="AP1275">
        <f>IF(OR(AM1275="",AK1275="",AK1275=0),"",(AM1275-AN1275)/AK1275)</f>
        <v>0</v>
      </c>
      <c r="AQ1275">
        <f>IF(COUNT($E$2:$E1275)&lt;20,"",MAX($C$1256:$C$1275))</f>
        <v>0</v>
      </c>
      <c r="AR1275">
        <f>IF(COUNT($E$2:$E1275)&lt;20,"",MIN($D$1256:$D$1275))</f>
        <v>0</v>
      </c>
      <c r="AS1275">
        <f>IF(OR(AQ1275="",AR1275=""),"",(AQ1275+AR1275)/2)</f>
        <v>0</v>
      </c>
      <c r="AT1275">
        <f>IF(COUNT($G$1256:$G$1275)&lt;20,"",STDEV($G$1256:$G$1275)*SQRT(252))</f>
        <v>0</v>
      </c>
      <c r="AU1275">
        <f>IF(COUNT($E$2:$E1275)&lt;9,"",(MAX($C$1267:$C$1275)+MIN($D$1267:$D$1275))/2)</f>
        <v>0</v>
      </c>
      <c r="AV1275">
        <f>IF(COUNT($E$2:$E1275)&lt;26,"",(MAX($C$1250:$C$1275)+MIN($D$1250:$D$1275))/2)</f>
        <v>0</v>
      </c>
      <c r="AW1275">
        <f>IF(OR(AU1275="",AV1275=""),"",(AU1275+AV1275)/2)</f>
        <v>0</v>
      </c>
      <c r="AX1275">
        <f>IF(COUNT($E$2:$E1275)&lt;52,"",(MAX($C$1224:$C$1275)+MIN($D$1224:$D$1275))/2)</f>
        <v>0</v>
      </c>
      <c r="AY1275">
        <f>IF(COUNT($E$2:$E1275)&lt;20,"",MAX($C$1176:$C$1275))</f>
        <v>0</v>
      </c>
      <c r="AZ1275">
        <f>IF(COUNT($E$2:$E1275)&lt;20,"",MIN($D$1176:$D$1275))</f>
        <v>0</v>
      </c>
      <c r="BA1275">
        <f>IF(COUNT($E$2:$E1275)&lt;20,"",SLOPE($E$1176:$E$1275,$F$1176:$F$1275))</f>
        <v>0</v>
      </c>
      <c r="BB1275">
        <f>IF(COUNT($E$2:$E1275)&lt;20,"",INTERCEPT($E$1176:$E$1275,$F$1176:$F$1275))</f>
        <v>0</v>
      </c>
      <c r="BC1275">
        <f>IF(OR(BA1275="",BB1275=""),"",BB1275+BA1275*F1275)</f>
        <v>0</v>
      </c>
      <c r="BD1275">
        <f>IF(COUNT($E$2:$E1275)&lt;20,"",STEYX($E$1176:$E$1275,$F$1176:$F$1275))</f>
        <v>0</v>
      </c>
      <c r="BE1275">
        <f>IF($E1275="","",IF(AND(COUNT($E$1276:$E$1279)&gt;=4,$C1275=MAX($C$1271:$C$1279)),$C1275,""))</f>
        <v>0</v>
      </c>
      <c r="BF1275">
        <f>IF($E1275="","",IF(AND(COUNT($E$1276:$E$1279)&gt;=4,$D1275=MIN($D$1271:$D$1279)),$D1275,""))</f>
        <v>0</v>
      </c>
      <c r="BG1275">
        <f>IF($A1275="","",$A1275-WEEKDAY($A1275,2)+1)</f>
        <v>0</v>
      </c>
      <c r="BH1275">
        <f>IF($A1275="","",IF($A1274="",1,IF(BG1275&lt;&gt;BG1274,1,0)))</f>
        <v>0</v>
      </c>
      <c r="BI1275">
        <f>IF($A1275="","",IF($A1276="",1,IF(BG1276&lt;&gt;BG1275,1,0)))</f>
        <v>0</v>
      </c>
      <c r="BJ1275">
        <f>IF($A1275="","",IF(BH1275=1,$B1275,BJ1274))</f>
        <v>0</v>
      </c>
      <c r="BK1275">
        <f>IF($A1275="","",IF(BH1275=1,$C1275,MAX($C1275,BK1274)))</f>
        <v>0</v>
      </c>
      <c r="BL1275">
        <f>IF($A1275="","",IF(BH1275=1,$D1275,MIN($D1275,BL1274)))</f>
        <v>0</v>
      </c>
      <c r="BM1275">
        <f>IF($A1275="","",IF(BI1275=1,F1275,""))</f>
        <v>0</v>
      </c>
      <c r="BN1275">
        <f>IF($A1275="","",DATE(YEAR($A1275),MONTH($A1275),1))</f>
        <v>0</v>
      </c>
      <c r="BO1275">
        <f>IF($A1275="","",IF($A1274="",1,IF(BN1275&lt;&gt;BN1274,1,0)))</f>
        <v>0</v>
      </c>
      <c r="BP1275">
        <f>IF($A1275="","",IF($A1276="",1,IF(BN1276&lt;&gt;BN1275,1,0)))</f>
        <v>0</v>
      </c>
      <c r="BQ1275">
        <f>IF($A1275="","",IF(BO1275=1,$B1275,BQ1274))</f>
        <v>0</v>
      </c>
      <c r="BR1275">
        <f>IF($A1275="","",IF(BO1275=1,$C1275,MAX($C1275,BR1274)))</f>
        <v>0</v>
      </c>
      <c r="BS1275">
        <f>IF($A1275="","",IF(BO1275=1,$D1275,MIN($D1275,BS1274)))</f>
        <v>0</v>
      </c>
      <c r="BT1275">
        <f>IF($A1275="","",IF(BP1275=1,F1275,""))</f>
        <v>0</v>
      </c>
    </row>
    <row r="1276" spans="1:72">
      <c r="A1276" s="27">
        <f>IF(Data!$A1276="","",Data!$A1276)</f>
        <v>0</v>
      </c>
      <c r="B1276">
        <f>IF(Data!$B1276="","",Data!$B1276)</f>
        <v>0</v>
      </c>
      <c r="C1276">
        <f>IF(Data!$C1276="","",Data!$C1276)</f>
        <v>0</v>
      </c>
      <c r="D1276">
        <f>IF(Data!$D1276="","",Data!$D1276)</f>
        <v>0</v>
      </c>
      <c r="E1276">
        <f>IF(Data!$E1276="","",Data!$E1276)</f>
        <v>0</v>
      </c>
      <c r="F1276">
        <f>IF($E1276="","",N(F1275)+1)</f>
        <v>0</v>
      </c>
      <c r="G1276">
        <f>IF(OR($E1276="",$E1275=""),"",LN($E1276/$E1275))</f>
        <v>0</v>
      </c>
      <c r="H1276">
        <f>IF($E1276="","",IF($E1275="",$E1276,$E1276*0.0952380952+H1275*0.9047619048))</f>
        <v>0</v>
      </c>
      <c r="I1276">
        <f>IF($E1276="","",IF($E1275="",$E1276,$E1276*0.0392156863+I1275*0.9607843137))</f>
        <v>0</v>
      </c>
      <c r="J1276">
        <f>IF($E1276="","",IF($E1275="",$E1276,$E1276*0.0198019802+J1275*0.9801980198))</f>
        <v>0</v>
      </c>
      <c r="K1276">
        <f>IF($E1276="","",IF($E1275="",$E1276,$E1276*0.0099502488+K1275*0.9900497512))</f>
        <v>0</v>
      </c>
      <c r="L1276">
        <f>IF(OR($E1276="",$E1275=""),"",MAX($E1276-$E1275,0))</f>
        <v>0</v>
      </c>
      <c r="M1276">
        <f>IF(OR($E1276="",$E1275=""),"",MAX($E1275-$E1276,0))</f>
        <v>0</v>
      </c>
      <c r="N1276">
        <f>IF(COUNT($E$2:$E1276)&lt;15,"",IF(AVERAGE($M$1263:$M$1276)=0,100,100-100/(1+AVERAGE($L$1263:$L$1276)/AVERAGE($M$1263:$M$1276))))</f>
        <v>0</v>
      </c>
      <c r="O1276">
        <f>IF($E1276="","",IF($E1275="",$E1276,$E1276*0.1538461538+O1275*0.8461538462))</f>
        <v>0</v>
      </c>
      <c r="P1276">
        <f>IF($E1276="","",IF($E1275="",$E1276,$E1276*0.0740740741+P1275*0.9259259259))</f>
        <v>0</v>
      </c>
      <c r="Q1276">
        <f>IF(OR(O1276="",P1276=""),"",O1276-P1276)</f>
        <v>0</v>
      </c>
      <c r="R1276">
        <f>IF(Q1276="","",IF(R1275="",Q1276,Q1276*0.2000000000+R1275*0.8000000000))</f>
        <v>0</v>
      </c>
      <c r="S1276">
        <f>IF(OR(Q1276="",R1276=""),"",Q1276-R1276)</f>
        <v>0</v>
      </c>
      <c r="T1276">
        <f>IF(COUNT($E$2:$E1276)&lt;14,"",MAX($C$1263:$C$1276))</f>
        <v>0</v>
      </c>
      <c r="U1276">
        <f>IF(COUNT($E$2:$E1276)&lt;14,"",MIN($D$1263:$D$1276))</f>
        <v>0</v>
      </c>
      <c r="V1276">
        <f>IF(OR(T1276="",U1276="",T1276=U1276),"",100*($E1276-U1276)/(T1276-U1276))</f>
        <v>0</v>
      </c>
      <c r="W1276">
        <f>IF(COUNT($V$1274:$V$1276)&lt;3,"",AVERAGE($V$1274:$V$1276))</f>
        <v>0</v>
      </c>
      <c r="X1276">
        <f>IF(COUNT($N$1263:$N$1276)&lt;14,"",MIN($N$1263:$N$1276))</f>
        <v>0</v>
      </c>
      <c r="Y1276">
        <f>IF(COUNT($N$1263:$N$1276)&lt;14,"",MAX($N$1263:$N$1276))</f>
        <v>0</v>
      </c>
      <c r="Z1276">
        <f>IF(OR(N1276="",X1276="",Y1276="",Y1276=X1276),"",100*(N1276-X1276)/(Y1276-X1276))</f>
        <v>0</v>
      </c>
      <c r="AA1276">
        <f>IF(COUNT($Z$1274:$Z$1276)&lt;3,"",AVERAGE($Z$1274:$Z$1276))</f>
        <v>0</v>
      </c>
      <c r="AB1276">
        <f>IF(COUNT($AA$1274:$AA$1276)&lt;3,"",AVERAGE($AA$1274:$AA$1276))</f>
        <v>0</v>
      </c>
      <c r="AC1276">
        <f>IF($E1276="","",MAX($C1276-$D1276,ABS($C1276-$E1275),ABS($D1276-$E1275)))</f>
        <v>0</v>
      </c>
      <c r="AD1276">
        <f>IF(COUNT($E$2:$E1276)&lt;15,"",AVERAGE($AC$1263:$AC$1276))</f>
        <v>0</v>
      </c>
      <c r="AE1276">
        <f>IF(OR($E1276="",$E1275=""),"",IF(AND(($C1276-$C1275)&gt;($D1275-$D1276),($C1276-$C1275)&gt;0),$C1276-$C1275,0))</f>
        <v>0</v>
      </c>
      <c r="AF1276">
        <f>IF(OR($E1276="",$E1275=""),"",IF(AND(($D1275-$D1276)&gt;($C1276-$C1275),($D1275-$D1276)&gt;0),$D1275-$D1276,0))</f>
        <v>0</v>
      </c>
      <c r="AG1276">
        <f>IF(COUNT($E$2:$E1276)&lt;15,"",IF(SUM($AC$1263:$AC$1276)=0,0,100*SUM($AE$1263:$AE$1276)/SUM($AC$1263:$AC$1276)))</f>
        <v>0</v>
      </c>
      <c r="AH1276">
        <f>IF(COUNT($E$2:$E1276)&lt;15,"",IF(SUM($AC$1263:$AC$1276)=0,0,100*SUM($AF$1263:$AF$1276)/SUM($AC$1263:$AC$1276)))</f>
        <v>0</v>
      </c>
      <c r="AI1276">
        <f>IF(OR(AG1276="",AH1276=""),"",IF((AG1276+AH1276)=0,0,100*ABS(AG1276-AH1276)/(AG1276+AH1276)))</f>
        <v>0</v>
      </c>
      <c r="AJ1276">
        <f>IF(COUNT($AI$1263:$AI$1276)&lt;14,"",AVERAGE($AI$1263:$AI$1276))</f>
        <v>0</v>
      </c>
      <c r="AK1276">
        <f>IF(COUNT($E$2:$E1276)&lt;20,"",AVERAGE($E$1257:$E$1276))</f>
        <v>0</v>
      </c>
      <c r="AL1276">
        <f>IF(COUNT($E$2:$E1276)&lt;20,"",STDEVP($E$1257:$E$1276))</f>
        <v>0</v>
      </c>
      <c r="AM1276">
        <f>IF(AK1276="","",AK1276+2*AL1276)</f>
        <v>0</v>
      </c>
      <c r="AN1276">
        <f>IF(AK1276="","",AK1276-2*AL1276)</f>
        <v>0</v>
      </c>
      <c r="AO1276">
        <f>IF(OR(AM1276="",AN1276="",AM1276=AN1276),"",($E1276-AN1276)/(AM1276-AN1276))</f>
        <v>0</v>
      </c>
      <c r="AP1276">
        <f>IF(OR(AM1276="",AK1276="",AK1276=0),"",(AM1276-AN1276)/AK1276)</f>
        <v>0</v>
      </c>
      <c r="AQ1276">
        <f>IF(COUNT($E$2:$E1276)&lt;20,"",MAX($C$1257:$C$1276))</f>
        <v>0</v>
      </c>
      <c r="AR1276">
        <f>IF(COUNT($E$2:$E1276)&lt;20,"",MIN($D$1257:$D$1276))</f>
        <v>0</v>
      </c>
      <c r="AS1276">
        <f>IF(OR(AQ1276="",AR1276=""),"",(AQ1276+AR1276)/2)</f>
        <v>0</v>
      </c>
      <c r="AT1276">
        <f>IF(COUNT($G$1257:$G$1276)&lt;20,"",STDEV($G$1257:$G$1276)*SQRT(252))</f>
        <v>0</v>
      </c>
      <c r="AU1276">
        <f>IF(COUNT($E$2:$E1276)&lt;9,"",(MAX($C$1268:$C$1276)+MIN($D$1268:$D$1276))/2)</f>
        <v>0</v>
      </c>
      <c r="AV1276">
        <f>IF(COUNT($E$2:$E1276)&lt;26,"",(MAX($C$1251:$C$1276)+MIN($D$1251:$D$1276))/2)</f>
        <v>0</v>
      </c>
      <c r="AW1276">
        <f>IF(OR(AU1276="",AV1276=""),"",(AU1276+AV1276)/2)</f>
        <v>0</v>
      </c>
      <c r="AX1276">
        <f>IF(COUNT($E$2:$E1276)&lt;52,"",(MAX($C$1225:$C$1276)+MIN($D$1225:$D$1276))/2)</f>
        <v>0</v>
      </c>
      <c r="AY1276">
        <f>IF(COUNT($E$2:$E1276)&lt;20,"",MAX($C$1177:$C$1276))</f>
        <v>0</v>
      </c>
      <c r="AZ1276">
        <f>IF(COUNT($E$2:$E1276)&lt;20,"",MIN($D$1177:$D$1276))</f>
        <v>0</v>
      </c>
      <c r="BA1276">
        <f>IF(COUNT($E$2:$E1276)&lt;20,"",SLOPE($E$1177:$E$1276,$F$1177:$F$1276))</f>
        <v>0</v>
      </c>
      <c r="BB1276">
        <f>IF(COUNT($E$2:$E1276)&lt;20,"",INTERCEPT($E$1177:$E$1276,$F$1177:$F$1276))</f>
        <v>0</v>
      </c>
      <c r="BC1276">
        <f>IF(OR(BA1276="",BB1276=""),"",BB1276+BA1276*F1276)</f>
        <v>0</v>
      </c>
      <c r="BD1276">
        <f>IF(COUNT($E$2:$E1276)&lt;20,"",STEYX($E$1177:$E$1276,$F$1177:$F$1276))</f>
        <v>0</v>
      </c>
      <c r="BE1276">
        <f>IF($E1276="","",IF(AND(COUNT($E$1277:$E$1280)&gt;=4,$C1276=MAX($C$1272:$C$1280)),$C1276,""))</f>
        <v>0</v>
      </c>
      <c r="BF1276">
        <f>IF($E1276="","",IF(AND(COUNT($E$1277:$E$1280)&gt;=4,$D1276=MIN($D$1272:$D$1280)),$D1276,""))</f>
        <v>0</v>
      </c>
      <c r="BG1276">
        <f>IF($A1276="","",$A1276-WEEKDAY($A1276,2)+1)</f>
        <v>0</v>
      </c>
      <c r="BH1276">
        <f>IF($A1276="","",IF($A1275="",1,IF(BG1276&lt;&gt;BG1275,1,0)))</f>
        <v>0</v>
      </c>
      <c r="BI1276">
        <f>IF($A1276="","",IF($A1277="",1,IF(BG1277&lt;&gt;BG1276,1,0)))</f>
        <v>0</v>
      </c>
      <c r="BJ1276">
        <f>IF($A1276="","",IF(BH1276=1,$B1276,BJ1275))</f>
        <v>0</v>
      </c>
      <c r="BK1276">
        <f>IF($A1276="","",IF(BH1276=1,$C1276,MAX($C1276,BK1275)))</f>
        <v>0</v>
      </c>
      <c r="BL1276">
        <f>IF($A1276="","",IF(BH1276=1,$D1276,MIN($D1276,BL1275)))</f>
        <v>0</v>
      </c>
      <c r="BM1276">
        <f>IF($A1276="","",IF(BI1276=1,F1276,""))</f>
        <v>0</v>
      </c>
      <c r="BN1276">
        <f>IF($A1276="","",DATE(YEAR($A1276),MONTH($A1276),1))</f>
        <v>0</v>
      </c>
      <c r="BO1276">
        <f>IF($A1276="","",IF($A1275="",1,IF(BN1276&lt;&gt;BN1275,1,0)))</f>
        <v>0</v>
      </c>
      <c r="BP1276">
        <f>IF($A1276="","",IF($A1277="",1,IF(BN1277&lt;&gt;BN1276,1,0)))</f>
        <v>0</v>
      </c>
      <c r="BQ1276">
        <f>IF($A1276="","",IF(BO1276=1,$B1276,BQ1275))</f>
        <v>0</v>
      </c>
      <c r="BR1276">
        <f>IF($A1276="","",IF(BO1276=1,$C1276,MAX($C1276,BR1275)))</f>
        <v>0</v>
      </c>
      <c r="BS1276">
        <f>IF($A1276="","",IF(BO1276=1,$D1276,MIN($D1276,BS1275)))</f>
        <v>0</v>
      </c>
      <c r="BT1276">
        <f>IF($A1276="","",IF(BP1276=1,F1276,""))</f>
        <v>0</v>
      </c>
    </row>
    <row r="1277" spans="1:72">
      <c r="A1277" s="27">
        <f>IF(Data!$A1277="","",Data!$A1277)</f>
        <v>0</v>
      </c>
      <c r="B1277">
        <f>IF(Data!$B1277="","",Data!$B1277)</f>
        <v>0</v>
      </c>
      <c r="C1277">
        <f>IF(Data!$C1277="","",Data!$C1277)</f>
        <v>0</v>
      </c>
      <c r="D1277">
        <f>IF(Data!$D1277="","",Data!$D1277)</f>
        <v>0</v>
      </c>
      <c r="E1277">
        <f>IF(Data!$E1277="","",Data!$E1277)</f>
        <v>0</v>
      </c>
      <c r="F1277">
        <f>IF($E1277="","",N(F1276)+1)</f>
        <v>0</v>
      </c>
      <c r="G1277">
        <f>IF(OR($E1277="",$E1276=""),"",LN($E1277/$E1276))</f>
        <v>0</v>
      </c>
      <c r="H1277">
        <f>IF($E1277="","",IF($E1276="",$E1277,$E1277*0.0952380952+H1276*0.9047619048))</f>
        <v>0</v>
      </c>
      <c r="I1277">
        <f>IF($E1277="","",IF($E1276="",$E1277,$E1277*0.0392156863+I1276*0.9607843137))</f>
        <v>0</v>
      </c>
      <c r="J1277">
        <f>IF($E1277="","",IF($E1276="",$E1277,$E1277*0.0198019802+J1276*0.9801980198))</f>
        <v>0</v>
      </c>
      <c r="K1277">
        <f>IF($E1277="","",IF($E1276="",$E1277,$E1277*0.0099502488+K1276*0.9900497512))</f>
        <v>0</v>
      </c>
      <c r="L1277">
        <f>IF(OR($E1277="",$E1276=""),"",MAX($E1277-$E1276,0))</f>
        <v>0</v>
      </c>
      <c r="M1277">
        <f>IF(OR($E1277="",$E1276=""),"",MAX($E1276-$E1277,0))</f>
        <v>0</v>
      </c>
      <c r="N1277">
        <f>IF(COUNT($E$2:$E1277)&lt;15,"",IF(AVERAGE($M$1264:$M$1277)=0,100,100-100/(1+AVERAGE($L$1264:$L$1277)/AVERAGE($M$1264:$M$1277))))</f>
        <v>0</v>
      </c>
      <c r="O1277">
        <f>IF($E1277="","",IF($E1276="",$E1277,$E1277*0.1538461538+O1276*0.8461538462))</f>
        <v>0</v>
      </c>
      <c r="P1277">
        <f>IF($E1277="","",IF($E1276="",$E1277,$E1277*0.0740740741+P1276*0.9259259259))</f>
        <v>0</v>
      </c>
      <c r="Q1277">
        <f>IF(OR(O1277="",P1277=""),"",O1277-P1277)</f>
        <v>0</v>
      </c>
      <c r="R1277">
        <f>IF(Q1277="","",IF(R1276="",Q1277,Q1277*0.2000000000+R1276*0.8000000000))</f>
        <v>0</v>
      </c>
      <c r="S1277">
        <f>IF(OR(Q1277="",R1277=""),"",Q1277-R1277)</f>
        <v>0</v>
      </c>
      <c r="T1277">
        <f>IF(COUNT($E$2:$E1277)&lt;14,"",MAX($C$1264:$C$1277))</f>
        <v>0</v>
      </c>
      <c r="U1277">
        <f>IF(COUNT($E$2:$E1277)&lt;14,"",MIN($D$1264:$D$1277))</f>
        <v>0</v>
      </c>
      <c r="V1277">
        <f>IF(OR(T1277="",U1277="",T1277=U1277),"",100*($E1277-U1277)/(T1277-U1277))</f>
        <v>0</v>
      </c>
      <c r="W1277">
        <f>IF(COUNT($V$1275:$V$1277)&lt;3,"",AVERAGE($V$1275:$V$1277))</f>
        <v>0</v>
      </c>
      <c r="X1277">
        <f>IF(COUNT($N$1264:$N$1277)&lt;14,"",MIN($N$1264:$N$1277))</f>
        <v>0</v>
      </c>
      <c r="Y1277">
        <f>IF(COUNT($N$1264:$N$1277)&lt;14,"",MAX($N$1264:$N$1277))</f>
        <v>0</v>
      </c>
      <c r="Z1277">
        <f>IF(OR(N1277="",X1277="",Y1277="",Y1277=X1277),"",100*(N1277-X1277)/(Y1277-X1277))</f>
        <v>0</v>
      </c>
      <c r="AA1277">
        <f>IF(COUNT($Z$1275:$Z$1277)&lt;3,"",AVERAGE($Z$1275:$Z$1277))</f>
        <v>0</v>
      </c>
      <c r="AB1277">
        <f>IF(COUNT($AA$1275:$AA$1277)&lt;3,"",AVERAGE($AA$1275:$AA$1277))</f>
        <v>0</v>
      </c>
      <c r="AC1277">
        <f>IF($E1277="","",MAX($C1277-$D1277,ABS($C1277-$E1276),ABS($D1277-$E1276)))</f>
        <v>0</v>
      </c>
      <c r="AD1277">
        <f>IF(COUNT($E$2:$E1277)&lt;15,"",AVERAGE($AC$1264:$AC$1277))</f>
        <v>0</v>
      </c>
      <c r="AE1277">
        <f>IF(OR($E1277="",$E1276=""),"",IF(AND(($C1277-$C1276)&gt;($D1276-$D1277),($C1277-$C1276)&gt;0),$C1277-$C1276,0))</f>
        <v>0</v>
      </c>
      <c r="AF1277">
        <f>IF(OR($E1277="",$E1276=""),"",IF(AND(($D1276-$D1277)&gt;($C1277-$C1276),($D1276-$D1277)&gt;0),$D1276-$D1277,0))</f>
        <v>0</v>
      </c>
      <c r="AG1277">
        <f>IF(COUNT($E$2:$E1277)&lt;15,"",IF(SUM($AC$1264:$AC$1277)=0,0,100*SUM($AE$1264:$AE$1277)/SUM($AC$1264:$AC$1277)))</f>
        <v>0</v>
      </c>
      <c r="AH1277">
        <f>IF(COUNT($E$2:$E1277)&lt;15,"",IF(SUM($AC$1264:$AC$1277)=0,0,100*SUM($AF$1264:$AF$1277)/SUM($AC$1264:$AC$1277)))</f>
        <v>0</v>
      </c>
      <c r="AI1277">
        <f>IF(OR(AG1277="",AH1277=""),"",IF((AG1277+AH1277)=0,0,100*ABS(AG1277-AH1277)/(AG1277+AH1277)))</f>
        <v>0</v>
      </c>
      <c r="AJ1277">
        <f>IF(COUNT($AI$1264:$AI$1277)&lt;14,"",AVERAGE($AI$1264:$AI$1277))</f>
        <v>0</v>
      </c>
      <c r="AK1277">
        <f>IF(COUNT($E$2:$E1277)&lt;20,"",AVERAGE($E$1258:$E$1277))</f>
        <v>0</v>
      </c>
      <c r="AL1277">
        <f>IF(COUNT($E$2:$E1277)&lt;20,"",STDEVP($E$1258:$E$1277))</f>
        <v>0</v>
      </c>
      <c r="AM1277">
        <f>IF(AK1277="","",AK1277+2*AL1277)</f>
        <v>0</v>
      </c>
      <c r="AN1277">
        <f>IF(AK1277="","",AK1277-2*AL1277)</f>
        <v>0</v>
      </c>
      <c r="AO1277">
        <f>IF(OR(AM1277="",AN1277="",AM1277=AN1277),"",($E1277-AN1277)/(AM1277-AN1277))</f>
        <v>0</v>
      </c>
      <c r="AP1277">
        <f>IF(OR(AM1277="",AK1277="",AK1277=0),"",(AM1277-AN1277)/AK1277)</f>
        <v>0</v>
      </c>
      <c r="AQ1277">
        <f>IF(COUNT($E$2:$E1277)&lt;20,"",MAX($C$1258:$C$1277))</f>
        <v>0</v>
      </c>
      <c r="AR1277">
        <f>IF(COUNT($E$2:$E1277)&lt;20,"",MIN($D$1258:$D$1277))</f>
        <v>0</v>
      </c>
      <c r="AS1277">
        <f>IF(OR(AQ1277="",AR1277=""),"",(AQ1277+AR1277)/2)</f>
        <v>0</v>
      </c>
      <c r="AT1277">
        <f>IF(COUNT($G$1258:$G$1277)&lt;20,"",STDEV($G$1258:$G$1277)*SQRT(252))</f>
        <v>0</v>
      </c>
      <c r="AU1277">
        <f>IF(COUNT($E$2:$E1277)&lt;9,"",(MAX($C$1269:$C$1277)+MIN($D$1269:$D$1277))/2)</f>
        <v>0</v>
      </c>
      <c r="AV1277">
        <f>IF(COUNT($E$2:$E1277)&lt;26,"",(MAX($C$1252:$C$1277)+MIN($D$1252:$D$1277))/2)</f>
        <v>0</v>
      </c>
      <c r="AW1277">
        <f>IF(OR(AU1277="",AV1277=""),"",(AU1277+AV1277)/2)</f>
        <v>0</v>
      </c>
      <c r="AX1277">
        <f>IF(COUNT($E$2:$E1277)&lt;52,"",(MAX($C$1226:$C$1277)+MIN($D$1226:$D$1277))/2)</f>
        <v>0</v>
      </c>
      <c r="AY1277">
        <f>IF(COUNT($E$2:$E1277)&lt;20,"",MAX($C$1178:$C$1277))</f>
        <v>0</v>
      </c>
      <c r="AZ1277">
        <f>IF(COUNT($E$2:$E1277)&lt;20,"",MIN($D$1178:$D$1277))</f>
        <v>0</v>
      </c>
      <c r="BA1277">
        <f>IF(COUNT($E$2:$E1277)&lt;20,"",SLOPE($E$1178:$E$1277,$F$1178:$F$1277))</f>
        <v>0</v>
      </c>
      <c r="BB1277">
        <f>IF(COUNT($E$2:$E1277)&lt;20,"",INTERCEPT($E$1178:$E$1277,$F$1178:$F$1277))</f>
        <v>0</v>
      </c>
      <c r="BC1277">
        <f>IF(OR(BA1277="",BB1277=""),"",BB1277+BA1277*F1277)</f>
        <v>0</v>
      </c>
      <c r="BD1277">
        <f>IF(COUNT($E$2:$E1277)&lt;20,"",STEYX($E$1178:$E$1277,$F$1178:$F$1277))</f>
        <v>0</v>
      </c>
      <c r="BE1277">
        <f>IF($E1277="","",IF(AND(COUNT($E$1278:$E$1281)&gt;=4,$C1277=MAX($C$1273:$C$1281)),$C1277,""))</f>
        <v>0</v>
      </c>
      <c r="BF1277">
        <f>IF($E1277="","",IF(AND(COUNT($E$1278:$E$1281)&gt;=4,$D1277=MIN($D$1273:$D$1281)),$D1277,""))</f>
        <v>0</v>
      </c>
      <c r="BG1277">
        <f>IF($A1277="","",$A1277-WEEKDAY($A1277,2)+1)</f>
        <v>0</v>
      </c>
      <c r="BH1277">
        <f>IF($A1277="","",IF($A1276="",1,IF(BG1277&lt;&gt;BG1276,1,0)))</f>
        <v>0</v>
      </c>
      <c r="BI1277">
        <f>IF($A1277="","",IF($A1278="",1,IF(BG1278&lt;&gt;BG1277,1,0)))</f>
        <v>0</v>
      </c>
      <c r="BJ1277">
        <f>IF($A1277="","",IF(BH1277=1,$B1277,BJ1276))</f>
        <v>0</v>
      </c>
      <c r="BK1277">
        <f>IF($A1277="","",IF(BH1277=1,$C1277,MAX($C1277,BK1276)))</f>
        <v>0</v>
      </c>
      <c r="BL1277">
        <f>IF($A1277="","",IF(BH1277=1,$D1277,MIN($D1277,BL1276)))</f>
        <v>0</v>
      </c>
      <c r="BM1277">
        <f>IF($A1277="","",IF(BI1277=1,F1277,""))</f>
        <v>0</v>
      </c>
      <c r="BN1277">
        <f>IF($A1277="","",DATE(YEAR($A1277),MONTH($A1277),1))</f>
        <v>0</v>
      </c>
      <c r="BO1277">
        <f>IF($A1277="","",IF($A1276="",1,IF(BN1277&lt;&gt;BN1276,1,0)))</f>
        <v>0</v>
      </c>
      <c r="BP1277">
        <f>IF($A1277="","",IF($A1278="",1,IF(BN1278&lt;&gt;BN1277,1,0)))</f>
        <v>0</v>
      </c>
      <c r="BQ1277">
        <f>IF($A1277="","",IF(BO1277=1,$B1277,BQ1276))</f>
        <v>0</v>
      </c>
      <c r="BR1277">
        <f>IF($A1277="","",IF(BO1277=1,$C1277,MAX($C1277,BR1276)))</f>
        <v>0</v>
      </c>
      <c r="BS1277">
        <f>IF($A1277="","",IF(BO1277=1,$D1277,MIN($D1277,BS1276)))</f>
        <v>0</v>
      </c>
      <c r="BT1277">
        <f>IF($A1277="","",IF(BP1277=1,F1277,""))</f>
        <v>0</v>
      </c>
    </row>
    <row r="1278" spans="1:72">
      <c r="A1278" s="27">
        <f>IF(Data!$A1278="","",Data!$A1278)</f>
        <v>0</v>
      </c>
      <c r="B1278">
        <f>IF(Data!$B1278="","",Data!$B1278)</f>
        <v>0</v>
      </c>
      <c r="C1278">
        <f>IF(Data!$C1278="","",Data!$C1278)</f>
        <v>0</v>
      </c>
      <c r="D1278">
        <f>IF(Data!$D1278="","",Data!$D1278)</f>
        <v>0</v>
      </c>
      <c r="E1278">
        <f>IF(Data!$E1278="","",Data!$E1278)</f>
        <v>0</v>
      </c>
      <c r="F1278">
        <f>IF($E1278="","",N(F1277)+1)</f>
        <v>0</v>
      </c>
      <c r="G1278">
        <f>IF(OR($E1278="",$E1277=""),"",LN($E1278/$E1277))</f>
        <v>0</v>
      </c>
      <c r="H1278">
        <f>IF($E1278="","",IF($E1277="",$E1278,$E1278*0.0952380952+H1277*0.9047619048))</f>
        <v>0</v>
      </c>
      <c r="I1278">
        <f>IF($E1278="","",IF($E1277="",$E1278,$E1278*0.0392156863+I1277*0.9607843137))</f>
        <v>0</v>
      </c>
      <c r="J1278">
        <f>IF($E1278="","",IF($E1277="",$E1278,$E1278*0.0198019802+J1277*0.9801980198))</f>
        <v>0</v>
      </c>
      <c r="K1278">
        <f>IF($E1278="","",IF($E1277="",$E1278,$E1278*0.0099502488+K1277*0.9900497512))</f>
        <v>0</v>
      </c>
      <c r="L1278">
        <f>IF(OR($E1278="",$E1277=""),"",MAX($E1278-$E1277,0))</f>
        <v>0</v>
      </c>
      <c r="M1278">
        <f>IF(OR($E1278="",$E1277=""),"",MAX($E1277-$E1278,0))</f>
        <v>0</v>
      </c>
      <c r="N1278">
        <f>IF(COUNT($E$2:$E1278)&lt;15,"",IF(AVERAGE($M$1265:$M$1278)=0,100,100-100/(1+AVERAGE($L$1265:$L$1278)/AVERAGE($M$1265:$M$1278))))</f>
        <v>0</v>
      </c>
      <c r="O1278">
        <f>IF($E1278="","",IF($E1277="",$E1278,$E1278*0.1538461538+O1277*0.8461538462))</f>
        <v>0</v>
      </c>
      <c r="P1278">
        <f>IF($E1278="","",IF($E1277="",$E1278,$E1278*0.0740740741+P1277*0.9259259259))</f>
        <v>0</v>
      </c>
      <c r="Q1278">
        <f>IF(OR(O1278="",P1278=""),"",O1278-P1278)</f>
        <v>0</v>
      </c>
      <c r="R1278">
        <f>IF(Q1278="","",IF(R1277="",Q1278,Q1278*0.2000000000+R1277*0.8000000000))</f>
        <v>0</v>
      </c>
      <c r="S1278">
        <f>IF(OR(Q1278="",R1278=""),"",Q1278-R1278)</f>
        <v>0</v>
      </c>
      <c r="T1278">
        <f>IF(COUNT($E$2:$E1278)&lt;14,"",MAX($C$1265:$C$1278))</f>
        <v>0</v>
      </c>
      <c r="U1278">
        <f>IF(COUNT($E$2:$E1278)&lt;14,"",MIN($D$1265:$D$1278))</f>
        <v>0</v>
      </c>
      <c r="V1278">
        <f>IF(OR(T1278="",U1278="",T1278=U1278),"",100*($E1278-U1278)/(T1278-U1278))</f>
        <v>0</v>
      </c>
      <c r="W1278">
        <f>IF(COUNT($V$1276:$V$1278)&lt;3,"",AVERAGE($V$1276:$V$1278))</f>
        <v>0</v>
      </c>
      <c r="X1278">
        <f>IF(COUNT($N$1265:$N$1278)&lt;14,"",MIN($N$1265:$N$1278))</f>
        <v>0</v>
      </c>
      <c r="Y1278">
        <f>IF(COUNT($N$1265:$N$1278)&lt;14,"",MAX($N$1265:$N$1278))</f>
        <v>0</v>
      </c>
      <c r="Z1278">
        <f>IF(OR(N1278="",X1278="",Y1278="",Y1278=X1278),"",100*(N1278-X1278)/(Y1278-X1278))</f>
        <v>0</v>
      </c>
      <c r="AA1278">
        <f>IF(COUNT($Z$1276:$Z$1278)&lt;3,"",AVERAGE($Z$1276:$Z$1278))</f>
        <v>0</v>
      </c>
      <c r="AB1278">
        <f>IF(COUNT($AA$1276:$AA$1278)&lt;3,"",AVERAGE($AA$1276:$AA$1278))</f>
        <v>0</v>
      </c>
      <c r="AC1278">
        <f>IF($E1278="","",MAX($C1278-$D1278,ABS($C1278-$E1277),ABS($D1278-$E1277)))</f>
        <v>0</v>
      </c>
      <c r="AD1278">
        <f>IF(COUNT($E$2:$E1278)&lt;15,"",AVERAGE($AC$1265:$AC$1278))</f>
        <v>0</v>
      </c>
      <c r="AE1278">
        <f>IF(OR($E1278="",$E1277=""),"",IF(AND(($C1278-$C1277)&gt;($D1277-$D1278),($C1278-$C1277)&gt;0),$C1278-$C1277,0))</f>
        <v>0</v>
      </c>
      <c r="AF1278">
        <f>IF(OR($E1278="",$E1277=""),"",IF(AND(($D1277-$D1278)&gt;($C1278-$C1277),($D1277-$D1278)&gt;0),$D1277-$D1278,0))</f>
        <v>0</v>
      </c>
      <c r="AG1278">
        <f>IF(COUNT($E$2:$E1278)&lt;15,"",IF(SUM($AC$1265:$AC$1278)=0,0,100*SUM($AE$1265:$AE$1278)/SUM($AC$1265:$AC$1278)))</f>
        <v>0</v>
      </c>
      <c r="AH1278">
        <f>IF(COUNT($E$2:$E1278)&lt;15,"",IF(SUM($AC$1265:$AC$1278)=0,0,100*SUM($AF$1265:$AF$1278)/SUM($AC$1265:$AC$1278)))</f>
        <v>0</v>
      </c>
      <c r="AI1278">
        <f>IF(OR(AG1278="",AH1278=""),"",IF((AG1278+AH1278)=0,0,100*ABS(AG1278-AH1278)/(AG1278+AH1278)))</f>
        <v>0</v>
      </c>
      <c r="AJ1278">
        <f>IF(COUNT($AI$1265:$AI$1278)&lt;14,"",AVERAGE($AI$1265:$AI$1278))</f>
        <v>0</v>
      </c>
      <c r="AK1278">
        <f>IF(COUNT($E$2:$E1278)&lt;20,"",AVERAGE($E$1259:$E$1278))</f>
        <v>0</v>
      </c>
      <c r="AL1278">
        <f>IF(COUNT($E$2:$E1278)&lt;20,"",STDEVP($E$1259:$E$1278))</f>
        <v>0</v>
      </c>
      <c r="AM1278">
        <f>IF(AK1278="","",AK1278+2*AL1278)</f>
        <v>0</v>
      </c>
      <c r="AN1278">
        <f>IF(AK1278="","",AK1278-2*AL1278)</f>
        <v>0</v>
      </c>
      <c r="AO1278">
        <f>IF(OR(AM1278="",AN1278="",AM1278=AN1278),"",($E1278-AN1278)/(AM1278-AN1278))</f>
        <v>0</v>
      </c>
      <c r="AP1278">
        <f>IF(OR(AM1278="",AK1278="",AK1278=0),"",(AM1278-AN1278)/AK1278)</f>
        <v>0</v>
      </c>
      <c r="AQ1278">
        <f>IF(COUNT($E$2:$E1278)&lt;20,"",MAX($C$1259:$C$1278))</f>
        <v>0</v>
      </c>
      <c r="AR1278">
        <f>IF(COUNT($E$2:$E1278)&lt;20,"",MIN($D$1259:$D$1278))</f>
        <v>0</v>
      </c>
      <c r="AS1278">
        <f>IF(OR(AQ1278="",AR1278=""),"",(AQ1278+AR1278)/2)</f>
        <v>0</v>
      </c>
      <c r="AT1278">
        <f>IF(COUNT($G$1259:$G$1278)&lt;20,"",STDEV($G$1259:$G$1278)*SQRT(252))</f>
        <v>0</v>
      </c>
      <c r="AU1278">
        <f>IF(COUNT($E$2:$E1278)&lt;9,"",(MAX($C$1270:$C$1278)+MIN($D$1270:$D$1278))/2)</f>
        <v>0</v>
      </c>
      <c r="AV1278">
        <f>IF(COUNT($E$2:$E1278)&lt;26,"",(MAX($C$1253:$C$1278)+MIN($D$1253:$D$1278))/2)</f>
        <v>0</v>
      </c>
      <c r="AW1278">
        <f>IF(OR(AU1278="",AV1278=""),"",(AU1278+AV1278)/2)</f>
        <v>0</v>
      </c>
      <c r="AX1278">
        <f>IF(COUNT($E$2:$E1278)&lt;52,"",(MAX($C$1227:$C$1278)+MIN($D$1227:$D$1278))/2)</f>
        <v>0</v>
      </c>
      <c r="AY1278">
        <f>IF(COUNT($E$2:$E1278)&lt;20,"",MAX($C$1179:$C$1278))</f>
        <v>0</v>
      </c>
      <c r="AZ1278">
        <f>IF(COUNT($E$2:$E1278)&lt;20,"",MIN($D$1179:$D$1278))</f>
        <v>0</v>
      </c>
      <c r="BA1278">
        <f>IF(COUNT($E$2:$E1278)&lt;20,"",SLOPE($E$1179:$E$1278,$F$1179:$F$1278))</f>
        <v>0</v>
      </c>
      <c r="BB1278">
        <f>IF(COUNT($E$2:$E1278)&lt;20,"",INTERCEPT($E$1179:$E$1278,$F$1179:$F$1278))</f>
        <v>0</v>
      </c>
      <c r="BC1278">
        <f>IF(OR(BA1278="",BB1278=""),"",BB1278+BA1278*F1278)</f>
        <v>0</v>
      </c>
      <c r="BD1278">
        <f>IF(COUNT($E$2:$E1278)&lt;20,"",STEYX($E$1179:$E$1278,$F$1179:$F$1278))</f>
        <v>0</v>
      </c>
      <c r="BE1278">
        <f>IF($E1278="","",IF(AND(COUNT($E$1279:$E$1282)&gt;=4,$C1278=MAX($C$1274:$C$1282)),$C1278,""))</f>
        <v>0</v>
      </c>
      <c r="BF1278">
        <f>IF($E1278="","",IF(AND(COUNT($E$1279:$E$1282)&gt;=4,$D1278=MIN($D$1274:$D$1282)),$D1278,""))</f>
        <v>0</v>
      </c>
      <c r="BG1278">
        <f>IF($A1278="","",$A1278-WEEKDAY($A1278,2)+1)</f>
        <v>0</v>
      </c>
      <c r="BH1278">
        <f>IF($A1278="","",IF($A1277="",1,IF(BG1278&lt;&gt;BG1277,1,0)))</f>
        <v>0</v>
      </c>
      <c r="BI1278">
        <f>IF($A1278="","",IF($A1279="",1,IF(BG1279&lt;&gt;BG1278,1,0)))</f>
        <v>0</v>
      </c>
      <c r="BJ1278">
        <f>IF($A1278="","",IF(BH1278=1,$B1278,BJ1277))</f>
        <v>0</v>
      </c>
      <c r="BK1278">
        <f>IF($A1278="","",IF(BH1278=1,$C1278,MAX($C1278,BK1277)))</f>
        <v>0</v>
      </c>
      <c r="BL1278">
        <f>IF($A1278="","",IF(BH1278=1,$D1278,MIN($D1278,BL1277)))</f>
        <v>0</v>
      </c>
      <c r="BM1278">
        <f>IF($A1278="","",IF(BI1278=1,F1278,""))</f>
        <v>0</v>
      </c>
      <c r="BN1278">
        <f>IF($A1278="","",DATE(YEAR($A1278),MONTH($A1278),1))</f>
        <v>0</v>
      </c>
      <c r="BO1278">
        <f>IF($A1278="","",IF($A1277="",1,IF(BN1278&lt;&gt;BN1277,1,0)))</f>
        <v>0</v>
      </c>
      <c r="BP1278">
        <f>IF($A1278="","",IF($A1279="",1,IF(BN1279&lt;&gt;BN1278,1,0)))</f>
        <v>0</v>
      </c>
      <c r="BQ1278">
        <f>IF($A1278="","",IF(BO1278=1,$B1278,BQ1277))</f>
        <v>0</v>
      </c>
      <c r="BR1278">
        <f>IF($A1278="","",IF(BO1278=1,$C1278,MAX($C1278,BR1277)))</f>
        <v>0</v>
      </c>
      <c r="BS1278">
        <f>IF($A1278="","",IF(BO1278=1,$D1278,MIN($D1278,BS1277)))</f>
        <v>0</v>
      </c>
      <c r="BT1278">
        <f>IF($A1278="","",IF(BP1278=1,F1278,""))</f>
        <v>0</v>
      </c>
    </row>
    <row r="1279" spans="1:72">
      <c r="A1279" s="27">
        <f>IF(Data!$A1279="","",Data!$A1279)</f>
        <v>0</v>
      </c>
      <c r="B1279">
        <f>IF(Data!$B1279="","",Data!$B1279)</f>
        <v>0</v>
      </c>
      <c r="C1279">
        <f>IF(Data!$C1279="","",Data!$C1279)</f>
        <v>0</v>
      </c>
      <c r="D1279">
        <f>IF(Data!$D1279="","",Data!$D1279)</f>
        <v>0</v>
      </c>
      <c r="E1279">
        <f>IF(Data!$E1279="","",Data!$E1279)</f>
        <v>0</v>
      </c>
      <c r="F1279">
        <f>IF($E1279="","",N(F1278)+1)</f>
        <v>0</v>
      </c>
      <c r="G1279">
        <f>IF(OR($E1279="",$E1278=""),"",LN($E1279/$E1278))</f>
        <v>0</v>
      </c>
      <c r="H1279">
        <f>IF($E1279="","",IF($E1278="",$E1279,$E1279*0.0952380952+H1278*0.9047619048))</f>
        <v>0</v>
      </c>
      <c r="I1279">
        <f>IF($E1279="","",IF($E1278="",$E1279,$E1279*0.0392156863+I1278*0.9607843137))</f>
        <v>0</v>
      </c>
      <c r="J1279">
        <f>IF($E1279="","",IF($E1278="",$E1279,$E1279*0.0198019802+J1278*0.9801980198))</f>
        <v>0</v>
      </c>
      <c r="K1279">
        <f>IF($E1279="","",IF($E1278="",$E1279,$E1279*0.0099502488+K1278*0.9900497512))</f>
        <v>0</v>
      </c>
      <c r="L1279">
        <f>IF(OR($E1279="",$E1278=""),"",MAX($E1279-$E1278,0))</f>
        <v>0</v>
      </c>
      <c r="M1279">
        <f>IF(OR($E1279="",$E1278=""),"",MAX($E1278-$E1279,0))</f>
        <v>0</v>
      </c>
      <c r="N1279">
        <f>IF(COUNT($E$2:$E1279)&lt;15,"",IF(AVERAGE($M$1266:$M$1279)=0,100,100-100/(1+AVERAGE($L$1266:$L$1279)/AVERAGE($M$1266:$M$1279))))</f>
        <v>0</v>
      </c>
      <c r="O1279">
        <f>IF($E1279="","",IF($E1278="",$E1279,$E1279*0.1538461538+O1278*0.8461538462))</f>
        <v>0</v>
      </c>
      <c r="P1279">
        <f>IF($E1279="","",IF($E1278="",$E1279,$E1279*0.0740740741+P1278*0.9259259259))</f>
        <v>0</v>
      </c>
      <c r="Q1279">
        <f>IF(OR(O1279="",P1279=""),"",O1279-P1279)</f>
        <v>0</v>
      </c>
      <c r="R1279">
        <f>IF(Q1279="","",IF(R1278="",Q1279,Q1279*0.2000000000+R1278*0.8000000000))</f>
        <v>0</v>
      </c>
      <c r="S1279">
        <f>IF(OR(Q1279="",R1279=""),"",Q1279-R1279)</f>
        <v>0</v>
      </c>
      <c r="T1279">
        <f>IF(COUNT($E$2:$E1279)&lt;14,"",MAX($C$1266:$C$1279))</f>
        <v>0</v>
      </c>
      <c r="U1279">
        <f>IF(COUNT($E$2:$E1279)&lt;14,"",MIN($D$1266:$D$1279))</f>
        <v>0</v>
      </c>
      <c r="V1279">
        <f>IF(OR(T1279="",U1279="",T1279=U1279),"",100*($E1279-U1279)/(T1279-U1279))</f>
        <v>0</v>
      </c>
      <c r="W1279">
        <f>IF(COUNT($V$1277:$V$1279)&lt;3,"",AVERAGE($V$1277:$V$1279))</f>
        <v>0</v>
      </c>
      <c r="X1279">
        <f>IF(COUNT($N$1266:$N$1279)&lt;14,"",MIN($N$1266:$N$1279))</f>
        <v>0</v>
      </c>
      <c r="Y1279">
        <f>IF(COUNT($N$1266:$N$1279)&lt;14,"",MAX($N$1266:$N$1279))</f>
        <v>0</v>
      </c>
      <c r="Z1279">
        <f>IF(OR(N1279="",X1279="",Y1279="",Y1279=X1279),"",100*(N1279-X1279)/(Y1279-X1279))</f>
        <v>0</v>
      </c>
      <c r="AA1279">
        <f>IF(COUNT($Z$1277:$Z$1279)&lt;3,"",AVERAGE($Z$1277:$Z$1279))</f>
        <v>0</v>
      </c>
      <c r="AB1279">
        <f>IF(COUNT($AA$1277:$AA$1279)&lt;3,"",AVERAGE($AA$1277:$AA$1279))</f>
        <v>0</v>
      </c>
      <c r="AC1279">
        <f>IF($E1279="","",MAX($C1279-$D1279,ABS($C1279-$E1278),ABS($D1279-$E1278)))</f>
        <v>0</v>
      </c>
      <c r="AD1279">
        <f>IF(COUNT($E$2:$E1279)&lt;15,"",AVERAGE($AC$1266:$AC$1279))</f>
        <v>0</v>
      </c>
      <c r="AE1279">
        <f>IF(OR($E1279="",$E1278=""),"",IF(AND(($C1279-$C1278)&gt;($D1278-$D1279),($C1279-$C1278)&gt;0),$C1279-$C1278,0))</f>
        <v>0</v>
      </c>
      <c r="AF1279">
        <f>IF(OR($E1279="",$E1278=""),"",IF(AND(($D1278-$D1279)&gt;($C1279-$C1278),($D1278-$D1279)&gt;0),$D1278-$D1279,0))</f>
        <v>0</v>
      </c>
      <c r="AG1279">
        <f>IF(COUNT($E$2:$E1279)&lt;15,"",IF(SUM($AC$1266:$AC$1279)=0,0,100*SUM($AE$1266:$AE$1279)/SUM($AC$1266:$AC$1279)))</f>
        <v>0</v>
      </c>
      <c r="AH1279">
        <f>IF(COUNT($E$2:$E1279)&lt;15,"",IF(SUM($AC$1266:$AC$1279)=0,0,100*SUM($AF$1266:$AF$1279)/SUM($AC$1266:$AC$1279)))</f>
        <v>0</v>
      </c>
      <c r="AI1279">
        <f>IF(OR(AG1279="",AH1279=""),"",IF((AG1279+AH1279)=0,0,100*ABS(AG1279-AH1279)/(AG1279+AH1279)))</f>
        <v>0</v>
      </c>
      <c r="AJ1279">
        <f>IF(COUNT($AI$1266:$AI$1279)&lt;14,"",AVERAGE($AI$1266:$AI$1279))</f>
        <v>0</v>
      </c>
      <c r="AK1279">
        <f>IF(COUNT($E$2:$E1279)&lt;20,"",AVERAGE($E$1260:$E$1279))</f>
        <v>0</v>
      </c>
      <c r="AL1279">
        <f>IF(COUNT($E$2:$E1279)&lt;20,"",STDEVP($E$1260:$E$1279))</f>
        <v>0</v>
      </c>
      <c r="AM1279">
        <f>IF(AK1279="","",AK1279+2*AL1279)</f>
        <v>0</v>
      </c>
      <c r="AN1279">
        <f>IF(AK1279="","",AK1279-2*AL1279)</f>
        <v>0</v>
      </c>
      <c r="AO1279">
        <f>IF(OR(AM1279="",AN1279="",AM1279=AN1279),"",($E1279-AN1279)/(AM1279-AN1279))</f>
        <v>0</v>
      </c>
      <c r="AP1279">
        <f>IF(OR(AM1279="",AK1279="",AK1279=0),"",(AM1279-AN1279)/AK1279)</f>
        <v>0</v>
      </c>
      <c r="AQ1279">
        <f>IF(COUNT($E$2:$E1279)&lt;20,"",MAX($C$1260:$C$1279))</f>
        <v>0</v>
      </c>
      <c r="AR1279">
        <f>IF(COUNT($E$2:$E1279)&lt;20,"",MIN($D$1260:$D$1279))</f>
        <v>0</v>
      </c>
      <c r="AS1279">
        <f>IF(OR(AQ1279="",AR1279=""),"",(AQ1279+AR1279)/2)</f>
        <v>0</v>
      </c>
      <c r="AT1279">
        <f>IF(COUNT($G$1260:$G$1279)&lt;20,"",STDEV($G$1260:$G$1279)*SQRT(252))</f>
        <v>0</v>
      </c>
      <c r="AU1279">
        <f>IF(COUNT($E$2:$E1279)&lt;9,"",(MAX($C$1271:$C$1279)+MIN($D$1271:$D$1279))/2)</f>
        <v>0</v>
      </c>
      <c r="AV1279">
        <f>IF(COUNT($E$2:$E1279)&lt;26,"",(MAX($C$1254:$C$1279)+MIN($D$1254:$D$1279))/2)</f>
        <v>0</v>
      </c>
      <c r="AW1279">
        <f>IF(OR(AU1279="",AV1279=""),"",(AU1279+AV1279)/2)</f>
        <v>0</v>
      </c>
      <c r="AX1279">
        <f>IF(COUNT($E$2:$E1279)&lt;52,"",(MAX($C$1228:$C$1279)+MIN($D$1228:$D$1279))/2)</f>
        <v>0</v>
      </c>
      <c r="AY1279">
        <f>IF(COUNT($E$2:$E1279)&lt;20,"",MAX($C$1180:$C$1279))</f>
        <v>0</v>
      </c>
      <c r="AZ1279">
        <f>IF(COUNT($E$2:$E1279)&lt;20,"",MIN($D$1180:$D$1279))</f>
        <v>0</v>
      </c>
      <c r="BA1279">
        <f>IF(COUNT($E$2:$E1279)&lt;20,"",SLOPE($E$1180:$E$1279,$F$1180:$F$1279))</f>
        <v>0</v>
      </c>
      <c r="BB1279">
        <f>IF(COUNT($E$2:$E1279)&lt;20,"",INTERCEPT($E$1180:$E$1279,$F$1180:$F$1279))</f>
        <v>0</v>
      </c>
      <c r="BC1279">
        <f>IF(OR(BA1279="",BB1279=""),"",BB1279+BA1279*F1279)</f>
        <v>0</v>
      </c>
      <c r="BD1279">
        <f>IF(COUNT($E$2:$E1279)&lt;20,"",STEYX($E$1180:$E$1279,$F$1180:$F$1279))</f>
        <v>0</v>
      </c>
      <c r="BE1279">
        <f>IF($E1279="","",IF(AND(COUNT($E$1280:$E$1283)&gt;=4,$C1279=MAX($C$1275:$C$1283)),$C1279,""))</f>
        <v>0</v>
      </c>
      <c r="BF1279">
        <f>IF($E1279="","",IF(AND(COUNT($E$1280:$E$1283)&gt;=4,$D1279=MIN($D$1275:$D$1283)),$D1279,""))</f>
        <v>0</v>
      </c>
      <c r="BG1279">
        <f>IF($A1279="","",$A1279-WEEKDAY($A1279,2)+1)</f>
        <v>0</v>
      </c>
      <c r="BH1279">
        <f>IF($A1279="","",IF($A1278="",1,IF(BG1279&lt;&gt;BG1278,1,0)))</f>
        <v>0</v>
      </c>
      <c r="BI1279">
        <f>IF($A1279="","",IF($A1280="",1,IF(BG1280&lt;&gt;BG1279,1,0)))</f>
        <v>0</v>
      </c>
      <c r="BJ1279">
        <f>IF($A1279="","",IF(BH1279=1,$B1279,BJ1278))</f>
        <v>0</v>
      </c>
      <c r="BK1279">
        <f>IF($A1279="","",IF(BH1279=1,$C1279,MAX($C1279,BK1278)))</f>
        <v>0</v>
      </c>
      <c r="BL1279">
        <f>IF($A1279="","",IF(BH1279=1,$D1279,MIN($D1279,BL1278)))</f>
        <v>0</v>
      </c>
      <c r="BM1279">
        <f>IF($A1279="","",IF(BI1279=1,F1279,""))</f>
        <v>0</v>
      </c>
      <c r="BN1279">
        <f>IF($A1279="","",DATE(YEAR($A1279),MONTH($A1279),1))</f>
        <v>0</v>
      </c>
      <c r="BO1279">
        <f>IF($A1279="","",IF($A1278="",1,IF(BN1279&lt;&gt;BN1278,1,0)))</f>
        <v>0</v>
      </c>
      <c r="BP1279">
        <f>IF($A1279="","",IF($A1280="",1,IF(BN1280&lt;&gt;BN1279,1,0)))</f>
        <v>0</v>
      </c>
      <c r="BQ1279">
        <f>IF($A1279="","",IF(BO1279=1,$B1279,BQ1278))</f>
        <v>0</v>
      </c>
      <c r="BR1279">
        <f>IF($A1279="","",IF(BO1279=1,$C1279,MAX($C1279,BR1278)))</f>
        <v>0</v>
      </c>
      <c r="BS1279">
        <f>IF($A1279="","",IF(BO1279=1,$D1279,MIN($D1279,BS1278)))</f>
        <v>0</v>
      </c>
      <c r="BT1279">
        <f>IF($A1279="","",IF(BP1279=1,F1279,""))</f>
        <v>0</v>
      </c>
    </row>
    <row r="1280" spans="1:72">
      <c r="A1280" s="27">
        <f>IF(Data!$A1280="","",Data!$A1280)</f>
        <v>0</v>
      </c>
      <c r="B1280">
        <f>IF(Data!$B1280="","",Data!$B1280)</f>
        <v>0</v>
      </c>
      <c r="C1280">
        <f>IF(Data!$C1280="","",Data!$C1280)</f>
        <v>0</v>
      </c>
      <c r="D1280">
        <f>IF(Data!$D1280="","",Data!$D1280)</f>
        <v>0</v>
      </c>
      <c r="E1280">
        <f>IF(Data!$E1280="","",Data!$E1280)</f>
        <v>0</v>
      </c>
      <c r="F1280">
        <f>IF($E1280="","",N(F1279)+1)</f>
        <v>0</v>
      </c>
      <c r="G1280">
        <f>IF(OR($E1280="",$E1279=""),"",LN($E1280/$E1279))</f>
        <v>0</v>
      </c>
      <c r="H1280">
        <f>IF($E1280="","",IF($E1279="",$E1280,$E1280*0.0952380952+H1279*0.9047619048))</f>
        <v>0</v>
      </c>
      <c r="I1280">
        <f>IF($E1280="","",IF($E1279="",$E1280,$E1280*0.0392156863+I1279*0.9607843137))</f>
        <v>0</v>
      </c>
      <c r="J1280">
        <f>IF($E1280="","",IF($E1279="",$E1280,$E1280*0.0198019802+J1279*0.9801980198))</f>
        <v>0</v>
      </c>
      <c r="K1280">
        <f>IF($E1280="","",IF($E1279="",$E1280,$E1280*0.0099502488+K1279*0.9900497512))</f>
        <v>0</v>
      </c>
      <c r="L1280">
        <f>IF(OR($E1280="",$E1279=""),"",MAX($E1280-$E1279,0))</f>
        <v>0</v>
      </c>
      <c r="M1280">
        <f>IF(OR($E1280="",$E1279=""),"",MAX($E1279-$E1280,0))</f>
        <v>0</v>
      </c>
      <c r="N1280">
        <f>IF(COUNT($E$2:$E1280)&lt;15,"",IF(AVERAGE($M$1267:$M$1280)=0,100,100-100/(1+AVERAGE($L$1267:$L$1280)/AVERAGE($M$1267:$M$1280))))</f>
        <v>0</v>
      </c>
      <c r="O1280">
        <f>IF($E1280="","",IF($E1279="",$E1280,$E1280*0.1538461538+O1279*0.8461538462))</f>
        <v>0</v>
      </c>
      <c r="P1280">
        <f>IF($E1280="","",IF($E1279="",$E1280,$E1280*0.0740740741+P1279*0.9259259259))</f>
        <v>0</v>
      </c>
      <c r="Q1280">
        <f>IF(OR(O1280="",P1280=""),"",O1280-P1280)</f>
        <v>0</v>
      </c>
      <c r="R1280">
        <f>IF(Q1280="","",IF(R1279="",Q1280,Q1280*0.2000000000+R1279*0.8000000000))</f>
        <v>0</v>
      </c>
      <c r="S1280">
        <f>IF(OR(Q1280="",R1280=""),"",Q1280-R1280)</f>
        <v>0</v>
      </c>
      <c r="T1280">
        <f>IF(COUNT($E$2:$E1280)&lt;14,"",MAX($C$1267:$C$1280))</f>
        <v>0</v>
      </c>
      <c r="U1280">
        <f>IF(COUNT($E$2:$E1280)&lt;14,"",MIN($D$1267:$D$1280))</f>
        <v>0</v>
      </c>
      <c r="V1280">
        <f>IF(OR(T1280="",U1280="",T1280=U1280),"",100*($E1280-U1280)/(T1280-U1280))</f>
        <v>0</v>
      </c>
      <c r="W1280">
        <f>IF(COUNT($V$1278:$V$1280)&lt;3,"",AVERAGE($V$1278:$V$1280))</f>
        <v>0</v>
      </c>
      <c r="X1280">
        <f>IF(COUNT($N$1267:$N$1280)&lt;14,"",MIN($N$1267:$N$1280))</f>
        <v>0</v>
      </c>
      <c r="Y1280">
        <f>IF(COUNT($N$1267:$N$1280)&lt;14,"",MAX($N$1267:$N$1280))</f>
        <v>0</v>
      </c>
      <c r="Z1280">
        <f>IF(OR(N1280="",X1280="",Y1280="",Y1280=X1280),"",100*(N1280-X1280)/(Y1280-X1280))</f>
        <v>0</v>
      </c>
      <c r="AA1280">
        <f>IF(COUNT($Z$1278:$Z$1280)&lt;3,"",AVERAGE($Z$1278:$Z$1280))</f>
        <v>0</v>
      </c>
      <c r="AB1280">
        <f>IF(COUNT($AA$1278:$AA$1280)&lt;3,"",AVERAGE($AA$1278:$AA$1280))</f>
        <v>0</v>
      </c>
      <c r="AC1280">
        <f>IF($E1280="","",MAX($C1280-$D1280,ABS($C1280-$E1279),ABS($D1280-$E1279)))</f>
        <v>0</v>
      </c>
      <c r="AD1280">
        <f>IF(COUNT($E$2:$E1280)&lt;15,"",AVERAGE($AC$1267:$AC$1280))</f>
        <v>0</v>
      </c>
      <c r="AE1280">
        <f>IF(OR($E1280="",$E1279=""),"",IF(AND(($C1280-$C1279)&gt;($D1279-$D1280),($C1280-$C1279)&gt;0),$C1280-$C1279,0))</f>
        <v>0</v>
      </c>
      <c r="AF1280">
        <f>IF(OR($E1280="",$E1279=""),"",IF(AND(($D1279-$D1280)&gt;($C1280-$C1279),($D1279-$D1280)&gt;0),$D1279-$D1280,0))</f>
        <v>0</v>
      </c>
      <c r="AG1280">
        <f>IF(COUNT($E$2:$E1280)&lt;15,"",IF(SUM($AC$1267:$AC$1280)=0,0,100*SUM($AE$1267:$AE$1280)/SUM($AC$1267:$AC$1280)))</f>
        <v>0</v>
      </c>
      <c r="AH1280">
        <f>IF(COUNT($E$2:$E1280)&lt;15,"",IF(SUM($AC$1267:$AC$1280)=0,0,100*SUM($AF$1267:$AF$1280)/SUM($AC$1267:$AC$1280)))</f>
        <v>0</v>
      </c>
      <c r="AI1280">
        <f>IF(OR(AG1280="",AH1280=""),"",IF((AG1280+AH1280)=0,0,100*ABS(AG1280-AH1280)/(AG1280+AH1280)))</f>
        <v>0</v>
      </c>
      <c r="AJ1280">
        <f>IF(COUNT($AI$1267:$AI$1280)&lt;14,"",AVERAGE($AI$1267:$AI$1280))</f>
        <v>0</v>
      </c>
      <c r="AK1280">
        <f>IF(COUNT($E$2:$E1280)&lt;20,"",AVERAGE($E$1261:$E$1280))</f>
        <v>0</v>
      </c>
      <c r="AL1280">
        <f>IF(COUNT($E$2:$E1280)&lt;20,"",STDEVP($E$1261:$E$1280))</f>
        <v>0</v>
      </c>
      <c r="AM1280">
        <f>IF(AK1280="","",AK1280+2*AL1280)</f>
        <v>0</v>
      </c>
      <c r="AN1280">
        <f>IF(AK1280="","",AK1280-2*AL1280)</f>
        <v>0</v>
      </c>
      <c r="AO1280">
        <f>IF(OR(AM1280="",AN1280="",AM1280=AN1280),"",($E1280-AN1280)/(AM1280-AN1280))</f>
        <v>0</v>
      </c>
      <c r="AP1280">
        <f>IF(OR(AM1280="",AK1280="",AK1280=0),"",(AM1280-AN1280)/AK1280)</f>
        <v>0</v>
      </c>
      <c r="AQ1280">
        <f>IF(COUNT($E$2:$E1280)&lt;20,"",MAX($C$1261:$C$1280))</f>
        <v>0</v>
      </c>
      <c r="AR1280">
        <f>IF(COUNT($E$2:$E1280)&lt;20,"",MIN($D$1261:$D$1280))</f>
        <v>0</v>
      </c>
      <c r="AS1280">
        <f>IF(OR(AQ1280="",AR1280=""),"",(AQ1280+AR1280)/2)</f>
        <v>0</v>
      </c>
      <c r="AT1280">
        <f>IF(COUNT($G$1261:$G$1280)&lt;20,"",STDEV($G$1261:$G$1280)*SQRT(252))</f>
        <v>0</v>
      </c>
      <c r="AU1280">
        <f>IF(COUNT($E$2:$E1280)&lt;9,"",(MAX($C$1272:$C$1280)+MIN($D$1272:$D$1280))/2)</f>
        <v>0</v>
      </c>
      <c r="AV1280">
        <f>IF(COUNT($E$2:$E1280)&lt;26,"",(MAX($C$1255:$C$1280)+MIN($D$1255:$D$1280))/2)</f>
        <v>0</v>
      </c>
      <c r="AW1280">
        <f>IF(OR(AU1280="",AV1280=""),"",(AU1280+AV1280)/2)</f>
        <v>0</v>
      </c>
      <c r="AX1280">
        <f>IF(COUNT($E$2:$E1280)&lt;52,"",(MAX($C$1229:$C$1280)+MIN($D$1229:$D$1280))/2)</f>
        <v>0</v>
      </c>
      <c r="AY1280">
        <f>IF(COUNT($E$2:$E1280)&lt;20,"",MAX($C$1181:$C$1280))</f>
        <v>0</v>
      </c>
      <c r="AZ1280">
        <f>IF(COUNT($E$2:$E1280)&lt;20,"",MIN($D$1181:$D$1280))</f>
        <v>0</v>
      </c>
      <c r="BA1280">
        <f>IF(COUNT($E$2:$E1280)&lt;20,"",SLOPE($E$1181:$E$1280,$F$1181:$F$1280))</f>
        <v>0</v>
      </c>
      <c r="BB1280">
        <f>IF(COUNT($E$2:$E1280)&lt;20,"",INTERCEPT($E$1181:$E$1280,$F$1181:$F$1280))</f>
        <v>0</v>
      </c>
      <c r="BC1280">
        <f>IF(OR(BA1280="",BB1280=""),"",BB1280+BA1280*F1280)</f>
        <v>0</v>
      </c>
      <c r="BD1280">
        <f>IF(COUNT($E$2:$E1280)&lt;20,"",STEYX($E$1181:$E$1280,$F$1181:$F$1280))</f>
        <v>0</v>
      </c>
      <c r="BE1280">
        <f>IF($E1280="","",IF(AND(COUNT($E$1281:$E$1284)&gt;=4,$C1280=MAX($C$1276:$C$1284)),$C1280,""))</f>
        <v>0</v>
      </c>
      <c r="BF1280">
        <f>IF($E1280="","",IF(AND(COUNT($E$1281:$E$1284)&gt;=4,$D1280=MIN($D$1276:$D$1284)),$D1280,""))</f>
        <v>0</v>
      </c>
      <c r="BG1280">
        <f>IF($A1280="","",$A1280-WEEKDAY($A1280,2)+1)</f>
        <v>0</v>
      </c>
      <c r="BH1280">
        <f>IF($A1280="","",IF($A1279="",1,IF(BG1280&lt;&gt;BG1279,1,0)))</f>
        <v>0</v>
      </c>
      <c r="BI1280">
        <f>IF($A1280="","",IF($A1281="",1,IF(BG1281&lt;&gt;BG1280,1,0)))</f>
        <v>0</v>
      </c>
      <c r="BJ1280">
        <f>IF($A1280="","",IF(BH1280=1,$B1280,BJ1279))</f>
        <v>0</v>
      </c>
      <c r="BK1280">
        <f>IF($A1280="","",IF(BH1280=1,$C1280,MAX($C1280,BK1279)))</f>
        <v>0</v>
      </c>
      <c r="BL1280">
        <f>IF($A1280="","",IF(BH1280=1,$D1280,MIN($D1280,BL1279)))</f>
        <v>0</v>
      </c>
      <c r="BM1280">
        <f>IF($A1280="","",IF(BI1280=1,F1280,""))</f>
        <v>0</v>
      </c>
      <c r="BN1280">
        <f>IF($A1280="","",DATE(YEAR($A1280),MONTH($A1280),1))</f>
        <v>0</v>
      </c>
      <c r="BO1280">
        <f>IF($A1280="","",IF($A1279="",1,IF(BN1280&lt;&gt;BN1279,1,0)))</f>
        <v>0</v>
      </c>
      <c r="BP1280">
        <f>IF($A1280="","",IF($A1281="",1,IF(BN1281&lt;&gt;BN1280,1,0)))</f>
        <v>0</v>
      </c>
      <c r="BQ1280">
        <f>IF($A1280="","",IF(BO1280=1,$B1280,BQ1279))</f>
        <v>0</v>
      </c>
      <c r="BR1280">
        <f>IF($A1280="","",IF(BO1280=1,$C1280,MAX($C1280,BR1279)))</f>
        <v>0</v>
      </c>
      <c r="BS1280">
        <f>IF($A1280="","",IF(BO1280=1,$D1280,MIN($D1280,BS1279)))</f>
        <v>0</v>
      </c>
      <c r="BT1280">
        <f>IF($A1280="","",IF(BP1280=1,F1280,""))</f>
        <v>0</v>
      </c>
    </row>
    <row r="1281" spans="1:72">
      <c r="A1281" s="27">
        <f>IF(Data!$A1281="","",Data!$A1281)</f>
        <v>0</v>
      </c>
      <c r="B1281">
        <f>IF(Data!$B1281="","",Data!$B1281)</f>
        <v>0</v>
      </c>
      <c r="C1281">
        <f>IF(Data!$C1281="","",Data!$C1281)</f>
        <v>0</v>
      </c>
      <c r="D1281">
        <f>IF(Data!$D1281="","",Data!$D1281)</f>
        <v>0</v>
      </c>
      <c r="E1281">
        <f>IF(Data!$E1281="","",Data!$E1281)</f>
        <v>0</v>
      </c>
      <c r="F1281">
        <f>IF($E1281="","",N(F1280)+1)</f>
        <v>0</v>
      </c>
      <c r="G1281">
        <f>IF(OR($E1281="",$E1280=""),"",LN($E1281/$E1280))</f>
        <v>0</v>
      </c>
      <c r="H1281">
        <f>IF($E1281="","",IF($E1280="",$E1281,$E1281*0.0952380952+H1280*0.9047619048))</f>
        <v>0</v>
      </c>
      <c r="I1281">
        <f>IF($E1281="","",IF($E1280="",$E1281,$E1281*0.0392156863+I1280*0.9607843137))</f>
        <v>0</v>
      </c>
      <c r="J1281">
        <f>IF($E1281="","",IF($E1280="",$E1281,$E1281*0.0198019802+J1280*0.9801980198))</f>
        <v>0</v>
      </c>
      <c r="K1281">
        <f>IF($E1281="","",IF($E1280="",$E1281,$E1281*0.0099502488+K1280*0.9900497512))</f>
        <v>0</v>
      </c>
      <c r="L1281">
        <f>IF(OR($E1281="",$E1280=""),"",MAX($E1281-$E1280,0))</f>
        <v>0</v>
      </c>
      <c r="M1281">
        <f>IF(OR($E1281="",$E1280=""),"",MAX($E1280-$E1281,0))</f>
        <v>0</v>
      </c>
      <c r="N1281">
        <f>IF(COUNT($E$2:$E1281)&lt;15,"",IF(AVERAGE($M$1268:$M$1281)=0,100,100-100/(1+AVERAGE($L$1268:$L$1281)/AVERAGE($M$1268:$M$1281))))</f>
        <v>0</v>
      </c>
      <c r="O1281">
        <f>IF($E1281="","",IF($E1280="",$E1281,$E1281*0.1538461538+O1280*0.8461538462))</f>
        <v>0</v>
      </c>
      <c r="P1281">
        <f>IF($E1281="","",IF($E1280="",$E1281,$E1281*0.0740740741+P1280*0.9259259259))</f>
        <v>0</v>
      </c>
      <c r="Q1281">
        <f>IF(OR(O1281="",P1281=""),"",O1281-P1281)</f>
        <v>0</v>
      </c>
      <c r="R1281">
        <f>IF(Q1281="","",IF(R1280="",Q1281,Q1281*0.2000000000+R1280*0.8000000000))</f>
        <v>0</v>
      </c>
      <c r="S1281">
        <f>IF(OR(Q1281="",R1281=""),"",Q1281-R1281)</f>
        <v>0</v>
      </c>
      <c r="T1281">
        <f>IF(COUNT($E$2:$E1281)&lt;14,"",MAX($C$1268:$C$1281))</f>
        <v>0</v>
      </c>
      <c r="U1281">
        <f>IF(COUNT($E$2:$E1281)&lt;14,"",MIN($D$1268:$D$1281))</f>
        <v>0</v>
      </c>
      <c r="V1281">
        <f>IF(OR(T1281="",U1281="",T1281=U1281),"",100*($E1281-U1281)/(T1281-U1281))</f>
        <v>0</v>
      </c>
      <c r="W1281">
        <f>IF(COUNT($V$1279:$V$1281)&lt;3,"",AVERAGE($V$1279:$V$1281))</f>
        <v>0</v>
      </c>
      <c r="X1281">
        <f>IF(COUNT($N$1268:$N$1281)&lt;14,"",MIN($N$1268:$N$1281))</f>
        <v>0</v>
      </c>
      <c r="Y1281">
        <f>IF(COUNT($N$1268:$N$1281)&lt;14,"",MAX($N$1268:$N$1281))</f>
        <v>0</v>
      </c>
      <c r="Z1281">
        <f>IF(OR(N1281="",X1281="",Y1281="",Y1281=X1281),"",100*(N1281-X1281)/(Y1281-X1281))</f>
        <v>0</v>
      </c>
      <c r="AA1281">
        <f>IF(COUNT($Z$1279:$Z$1281)&lt;3,"",AVERAGE($Z$1279:$Z$1281))</f>
        <v>0</v>
      </c>
      <c r="AB1281">
        <f>IF(COUNT($AA$1279:$AA$1281)&lt;3,"",AVERAGE($AA$1279:$AA$1281))</f>
        <v>0</v>
      </c>
      <c r="AC1281">
        <f>IF($E1281="","",MAX($C1281-$D1281,ABS($C1281-$E1280),ABS($D1281-$E1280)))</f>
        <v>0</v>
      </c>
      <c r="AD1281">
        <f>IF(COUNT($E$2:$E1281)&lt;15,"",AVERAGE($AC$1268:$AC$1281))</f>
        <v>0</v>
      </c>
      <c r="AE1281">
        <f>IF(OR($E1281="",$E1280=""),"",IF(AND(($C1281-$C1280)&gt;($D1280-$D1281),($C1281-$C1280)&gt;0),$C1281-$C1280,0))</f>
        <v>0</v>
      </c>
      <c r="AF1281">
        <f>IF(OR($E1281="",$E1280=""),"",IF(AND(($D1280-$D1281)&gt;($C1281-$C1280),($D1280-$D1281)&gt;0),$D1280-$D1281,0))</f>
        <v>0</v>
      </c>
      <c r="AG1281">
        <f>IF(COUNT($E$2:$E1281)&lt;15,"",IF(SUM($AC$1268:$AC$1281)=0,0,100*SUM($AE$1268:$AE$1281)/SUM($AC$1268:$AC$1281)))</f>
        <v>0</v>
      </c>
      <c r="AH1281">
        <f>IF(COUNT($E$2:$E1281)&lt;15,"",IF(SUM($AC$1268:$AC$1281)=0,0,100*SUM($AF$1268:$AF$1281)/SUM($AC$1268:$AC$1281)))</f>
        <v>0</v>
      </c>
      <c r="AI1281">
        <f>IF(OR(AG1281="",AH1281=""),"",IF((AG1281+AH1281)=0,0,100*ABS(AG1281-AH1281)/(AG1281+AH1281)))</f>
        <v>0</v>
      </c>
      <c r="AJ1281">
        <f>IF(COUNT($AI$1268:$AI$1281)&lt;14,"",AVERAGE($AI$1268:$AI$1281))</f>
        <v>0</v>
      </c>
      <c r="AK1281">
        <f>IF(COUNT($E$2:$E1281)&lt;20,"",AVERAGE($E$1262:$E$1281))</f>
        <v>0</v>
      </c>
      <c r="AL1281">
        <f>IF(COUNT($E$2:$E1281)&lt;20,"",STDEVP($E$1262:$E$1281))</f>
        <v>0</v>
      </c>
      <c r="AM1281">
        <f>IF(AK1281="","",AK1281+2*AL1281)</f>
        <v>0</v>
      </c>
      <c r="AN1281">
        <f>IF(AK1281="","",AK1281-2*AL1281)</f>
        <v>0</v>
      </c>
      <c r="AO1281">
        <f>IF(OR(AM1281="",AN1281="",AM1281=AN1281),"",($E1281-AN1281)/(AM1281-AN1281))</f>
        <v>0</v>
      </c>
      <c r="AP1281">
        <f>IF(OR(AM1281="",AK1281="",AK1281=0),"",(AM1281-AN1281)/AK1281)</f>
        <v>0</v>
      </c>
      <c r="AQ1281">
        <f>IF(COUNT($E$2:$E1281)&lt;20,"",MAX($C$1262:$C$1281))</f>
        <v>0</v>
      </c>
      <c r="AR1281">
        <f>IF(COUNT($E$2:$E1281)&lt;20,"",MIN($D$1262:$D$1281))</f>
        <v>0</v>
      </c>
      <c r="AS1281">
        <f>IF(OR(AQ1281="",AR1281=""),"",(AQ1281+AR1281)/2)</f>
        <v>0</v>
      </c>
      <c r="AT1281">
        <f>IF(COUNT($G$1262:$G$1281)&lt;20,"",STDEV($G$1262:$G$1281)*SQRT(252))</f>
        <v>0</v>
      </c>
      <c r="AU1281">
        <f>IF(COUNT($E$2:$E1281)&lt;9,"",(MAX($C$1273:$C$1281)+MIN($D$1273:$D$1281))/2)</f>
        <v>0</v>
      </c>
      <c r="AV1281">
        <f>IF(COUNT($E$2:$E1281)&lt;26,"",(MAX($C$1256:$C$1281)+MIN($D$1256:$D$1281))/2)</f>
        <v>0</v>
      </c>
      <c r="AW1281">
        <f>IF(OR(AU1281="",AV1281=""),"",(AU1281+AV1281)/2)</f>
        <v>0</v>
      </c>
      <c r="AX1281">
        <f>IF(COUNT($E$2:$E1281)&lt;52,"",(MAX($C$1230:$C$1281)+MIN($D$1230:$D$1281))/2)</f>
        <v>0</v>
      </c>
      <c r="AY1281">
        <f>IF(COUNT($E$2:$E1281)&lt;20,"",MAX($C$1182:$C$1281))</f>
        <v>0</v>
      </c>
      <c r="AZ1281">
        <f>IF(COUNT($E$2:$E1281)&lt;20,"",MIN($D$1182:$D$1281))</f>
        <v>0</v>
      </c>
      <c r="BA1281">
        <f>IF(COUNT($E$2:$E1281)&lt;20,"",SLOPE($E$1182:$E$1281,$F$1182:$F$1281))</f>
        <v>0</v>
      </c>
      <c r="BB1281">
        <f>IF(COUNT($E$2:$E1281)&lt;20,"",INTERCEPT($E$1182:$E$1281,$F$1182:$F$1281))</f>
        <v>0</v>
      </c>
      <c r="BC1281">
        <f>IF(OR(BA1281="",BB1281=""),"",BB1281+BA1281*F1281)</f>
        <v>0</v>
      </c>
      <c r="BD1281">
        <f>IF(COUNT($E$2:$E1281)&lt;20,"",STEYX($E$1182:$E$1281,$F$1182:$F$1281))</f>
        <v>0</v>
      </c>
      <c r="BE1281">
        <f>IF($E1281="","",IF(AND(COUNT($E$1282:$E$1285)&gt;=4,$C1281=MAX($C$1277:$C$1285)),$C1281,""))</f>
        <v>0</v>
      </c>
      <c r="BF1281">
        <f>IF($E1281="","",IF(AND(COUNT($E$1282:$E$1285)&gt;=4,$D1281=MIN($D$1277:$D$1285)),$D1281,""))</f>
        <v>0</v>
      </c>
      <c r="BG1281">
        <f>IF($A1281="","",$A1281-WEEKDAY($A1281,2)+1)</f>
        <v>0</v>
      </c>
      <c r="BH1281">
        <f>IF($A1281="","",IF($A1280="",1,IF(BG1281&lt;&gt;BG1280,1,0)))</f>
        <v>0</v>
      </c>
      <c r="BI1281">
        <f>IF($A1281="","",IF($A1282="",1,IF(BG1282&lt;&gt;BG1281,1,0)))</f>
        <v>0</v>
      </c>
      <c r="BJ1281">
        <f>IF($A1281="","",IF(BH1281=1,$B1281,BJ1280))</f>
        <v>0</v>
      </c>
      <c r="BK1281">
        <f>IF($A1281="","",IF(BH1281=1,$C1281,MAX($C1281,BK1280)))</f>
        <v>0</v>
      </c>
      <c r="BL1281">
        <f>IF($A1281="","",IF(BH1281=1,$D1281,MIN($D1281,BL1280)))</f>
        <v>0</v>
      </c>
      <c r="BM1281">
        <f>IF($A1281="","",IF(BI1281=1,F1281,""))</f>
        <v>0</v>
      </c>
      <c r="BN1281">
        <f>IF($A1281="","",DATE(YEAR($A1281),MONTH($A1281),1))</f>
        <v>0</v>
      </c>
      <c r="BO1281">
        <f>IF($A1281="","",IF($A1280="",1,IF(BN1281&lt;&gt;BN1280,1,0)))</f>
        <v>0</v>
      </c>
      <c r="BP1281">
        <f>IF($A1281="","",IF($A1282="",1,IF(BN1282&lt;&gt;BN1281,1,0)))</f>
        <v>0</v>
      </c>
      <c r="BQ1281">
        <f>IF($A1281="","",IF(BO1281=1,$B1281,BQ1280))</f>
        <v>0</v>
      </c>
      <c r="BR1281">
        <f>IF($A1281="","",IF(BO1281=1,$C1281,MAX($C1281,BR1280)))</f>
        <v>0</v>
      </c>
      <c r="BS1281">
        <f>IF($A1281="","",IF(BO1281=1,$D1281,MIN($D1281,BS1280)))</f>
        <v>0</v>
      </c>
      <c r="BT1281">
        <f>IF($A1281="","",IF(BP1281=1,F1281,""))</f>
        <v>0</v>
      </c>
    </row>
    <row r="1282" spans="1:72">
      <c r="A1282" s="27">
        <f>IF(Data!$A1282="","",Data!$A1282)</f>
        <v>0</v>
      </c>
      <c r="B1282">
        <f>IF(Data!$B1282="","",Data!$B1282)</f>
        <v>0</v>
      </c>
      <c r="C1282">
        <f>IF(Data!$C1282="","",Data!$C1282)</f>
        <v>0</v>
      </c>
      <c r="D1282">
        <f>IF(Data!$D1282="","",Data!$D1282)</f>
        <v>0</v>
      </c>
      <c r="E1282">
        <f>IF(Data!$E1282="","",Data!$E1282)</f>
        <v>0</v>
      </c>
      <c r="F1282">
        <f>IF($E1282="","",N(F1281)+1)</f>
        <v>0</v>
      </c>
      <c r="G1282">
        <f>IF(OR($E1282="",$E1281=""),"",LN($E1282/$E1281))</f>
        <v>0</v>
      </c>
      <c r="H1282">
        <f>IF($E1282="","",IF($E1281="",$E1282,$E1282*0.0952380952+H1281*0.9047619048))</f>
        <v>0</v>
      </c>
      <c r="I1282">
        <f>IF($E1282="","",IF($E1281="",$E1282,$E1282*0.0392156863+I1281*0.9607843137))</f>
        <v>0</v>
      </c>
      <c r="J1282">
        <f>IF($E1282="","",IF($E1281="",$E1282,$E1282*0.0198019802+J1281*0.9801980198))</f>
        <v>0</v>
      </c>
      <c r="K1282">
        <f>IF($E1282="","",IF($E1281="",$E1282,$E1282*0.0099502488+K1281*0.9900497512))</f>
        <v>0</v>
      </c>
      <c r="L1282">
        <f>IF(OR($E1282="",$E1281=""),"",MAX($E1282-$E1281,0))</f>
        <v>0</v>
      </c>
      <c r="M1282">
        <f>IF(OR($E1282="",$E1281=""),"",MAX($E1281-$E1282,0))</f>
        <v>0</v>
      </c>
      <c r="N1282">
        <f>IF(COUNT($E$2:$E1282)&lt;15,"",IF(AVERAGE($M$1269:$M$1282)=0,100,100-100/(1+AVERAGE($L$1269:$L$1282)/AVERAGE($M$1269:$M$1282))))</f>
        <v>0</v>
      </c>
      <c r="O1282">
        <f>IF($E1282="","",IF($E1281="",$E1282,$E1282*0.1538461538+O1281*0.8461538462))</f>
        <v>0</v>
      </c>
      <c r="P1282">
        <f>IF($E1282="","",IF($E1281="",$E1282,$E1282*0.0740740741+P1281*0.9259259259))</f>
        <v>0</v>
      </c>
      <c r="Q1282">
        <f>IF(OR(O1282="",P1282=""),"",O1282-P1282)</f>
        <v>0</v>
      </c>
      <c r="R1282">
        <f>IF(Q1282="","",IF(R1281="",Q1282,Q1282*0.2000000000+R1281*0.8000000000))</f>
        <v>0</v>
      </c>
      <c r="S1282">
        <f>IF(OR(Q1282="",R1282=""),"",Q1282-R1282)</f>
        <v>0</v>
      </c>
      <c r="T1282">
        <f>IF(COUNT($E$2:$E1282)&lt;14,"",MAX($C$1269:$C$1282))</f>
        <v>0</v>
      </c>
      <c r="U1282">
        <f>IF(COUNT($E$2:$E1282)&lt;14,"",MIN($D$1269:$D$1282))</f>
        <v>0</v>
      </c>
      <c r="V1282">
        <f>IF(OR(T1282="",U1282="",T1282=U1282),"",100*($E1282-U1282)/(T1282-U1282))</f>
        <v>0</v>
      </c>
      <c r="W1282">
        <f>IF(COUNT($V$1280:$V$1282)&lt;3,"",AVERAGE($V$1280:$V$1282))</f>
        <v>0</v>
      </c>
      <c r="X1282">
        <f>IF(COUNT($N$1269:$N$1282)&lt;14,"",MIN($N$1269:$N$1282))</f>
        <v>0</v>
      </c>
      <c r="Y1282">
        <f>IF(COUNT($N$1269:$N$1282)&lt;14,"",MAX($N$1269:$N$1282))</f>
        <v>0</v>
      </c>
      <c r="Z1282">
        <f>IF(OR(N1282="",X1282="",Y1282="",Y1282=X1282),"",100*(N1282-X1282)/(Y1282-X1282))</f>
        <v>0</v>
      </c>
      <c r="AA1282">
        <f>IF(COUNT($Z$1280:$Z$1282)&lt;3,"",AVERAGE($Z$1280:$Z$1282))</f>
        <v>0</v>
      </c>
      <c r="AB1282">
        <f>IF(COUNT($AA$1280:$AA$1282)&lt;3,"",AVERAGE($AA$1280:$AA$1282))</f>
        <v>0</v>
      </c>
      <c r="AC1282">
        <f>IF($E1282="","",MAX($C1282-$D1282,ABS($C1282-$E1281),ABS($D1282-$E1281)))</f>
        <v>0</v>
      </c>
      <c r="AD1282">
        <f>IF(COUNT($E$2:$E1282)&lt;15,"",AVERAGE($AC$1269:$AC$1282))</f>
        <v>0</v>
      </c>
      <c r="AE1282">
        <f>IF(OR($E1282="",$E1281=""),"",IF(AND(($C1282-$C1281)&gt;($D1281-$D1282),($C1282-$C1281)&gt;0),$C1282-$C1281,0))</f>
        <v>0</v>
      </c>
      <c r="AF1282">
        <f>IF(OR($E1282="",$E1281=""),"",IF(AND(($D1281-$D1282)&gt;($C1282-$C1281),($D1281-$D1282)&gt;0),$D1281-$D1282,0))</f>
        <v>0</v>
      </c>
      <c r="AG1282">
        <f>IF(COUNT($E$2:$E1282)&lt;15,"",IF(SUM($AC$1269:$AC$1282)=0,0,100*SUM($AE$1269:$AE$1282)/SUM($AC$1269:$AC$1282)))</f>
        <v>0</v>
      </c>
      <c r="AH1282">
        <f>IF(COUNT($E$2:$E1282)&lt;15,"",IF(SUM($AC$1269:$AC$1282)=0,0,100*SUM($AF$1269:$AF$1282)/SUM($AC$1269:$AC$1282)))</f>
        <v>0</v>
      </c>
      <c r="AI1282">
        <f>IF(OR(AG1282="",AH1282=""),"",IF((AG1282+AH1282)=0,0,100*ABS(AG1282-AH1282)/(AG1282+AH1282)))</f>
        <v>0</v>
      </c>
      <c r="AJ1282">
        <f>IF(COUNT($AI$1269:$AI$1282)&lt;14,"",AVERAGE($AI$1269:$AI$1282))</f>
        <v>0</v>
      </c>
      <c r="AK1282">
        <f>IF(COUNT($E$2:$E1282)&lt;20,"",AVERAGE($E$1263:$E$1282))</f>
        <v>0</v>
      </c>
      <c r="AL1282">
        <f>IF(COUNT($E$2:$E1282)&lt;20,"",STDEVP($E$1263:$E$1282))</f>
        <v>0</v>
      </c>
      <c r="AM1282">
        <f>IF(AK1282="","",AK1282+2*AL1282)</f>
        <v>0</v>
      </c>
      <c r="AN1282">
        <f>IF(AK1282="","",AK1282-2*AL1282)</f>
        <v>0</v>
      </c>
      <c r="AO1282">
        <f>IF(OR(AM1282="",AN1282="",AM1282=AN1282),"",($E1282-AN1282)/(AM1282-AN1282))</f>
        <v>0</v>
      </c>
      <c r="AP1282">
        <f>IF(OR(AM1282="",AK1282="",AK1282=0),"",(AM1282-AN1282)/AK1282)</f>
        <v>0</v>
      </c>
      <c r="AQ1282">
        <f>IF(COUNT($E$2:$E1282)&lt;20,"",MAX($C$1263:$C$1282))</f>
        <v>0</v>
      </c>
      <c r="AR1282">
        <f>IF(COUNT($E$2:$E1282)&lt;20,"",MIN($D$1263:$D$1282))</f>
        <v>0</v>
      </c>
      <c r="AS1282">
        <f>IF(OR(AQ1282="",AR1282=""),"",(AQ1282+AR1282)/2)</f>
        <v>0</v>
      </c>
      <c r="AT1282">
        <f>IF(COUNT($G$1263:$G$1282)&lt;20,"",STDEV($G$1263:$G$1282)*SQRT(252))</f>
        <v>0</v>
      </c>
      <c r="AU1282">
        <f>IF(COUNT($E$2:$E1282)&lt;9,"",(MAX($C$1274:$C$1282)+MIN($D$1274:$D$1282))/2)</f>
        <v>0</v>
      </c>
      <c r="AV1282">
        <f>IF(COUNT($E$2:$E1282)&lt;26,"",(MAX($C$1257:$C$1282)+MIN($D$1257:$D$1282))/2)</f>
        <v>0</v>
      </c>
      <c r="AW1282">
        <f>IF(OR(AU1282="",AV1282=""),"",(AU1282+AV1282)/2)</f>
        <v>0</v>
      </c>
      <c r="AX1282">
        <f>IF(COUNT($E$2:$E1282)&lt;52,"",(MAX($C$1231:$C$1282)+MIN($D$1231:$D$1282))/2)</f>
        <v>0</v>
      </c>
      <c r="AY1282">
        <f>IF(COUNT($E$2:$E1282)&lt;20,"",MAX($C$1183:$C$1282))</f>
        <v>0</v>
      </c>
      <c r="AZ1282">
        <f>IF(COUNT($E$2:$E1282)&lt;20,"",MIN($D$1183:$D$1282))</f>
        <v>0</v>
      </c>
      <c r="BA1282">
        <f>IF(COUNT($E$2:$E1282)&lt;20,"",SLOPE($E$1183:$E$1282,$F$1183:$F$1282))</f>
        <v>0</v>
      </c>
      <c r="BB1282">
        <f>IF(COUNT($E$2:$E1282)&lt;20,"",INTERCEPT($E$1183:$E$1282,$F$1183:$F$1282))</f>
        <v>0</v>
      </c>
      <c r="BC1282">
        <f>IF(OR(BA1282="",BB1282=""),"",BB1282+BA1282*F1282)</f>
        <v>0</v>
      </c>
      <c r="BD1282">
        <f>IF(COUNT($E$2:$E1282)&lt;20,"",STEYX($E$1183:$E$1282,$F$1183:$F$1282))</f>
        <v>0</v>
      </c>
      <c r="BE1282">
        <f>IF($E1282="","",IF(AND(COUNT($E$1283:$E$1286)&gt;=4,$C1282=MAX($C$1278:$C$1286)),$C1282,""))</f>
        <v>0</v>
      </c>
      <c r="BF1282">
        <f>IF($E1282="","",IF(AND(COUNT($E$1283:$E$1286)&gt;=4,$D1282=MIN($D$1278:$D$1286)),$D1282,""))</f>
        <v>0</v>
      </c>
      <c r="BG1282">
        <f>IF($A1282="","",$A1282-WEEKDAY($A1282,2)+1)</f>
        <v>0</v>
      </c>
      <c r="BH1282">
        <f>IF($A1282="","",IF($A1281="",1,IF(BG1282&lt;&gt;BG1281,1,0)))</f>
        <v>0</v>
      </c>
      <c r="BI1282">
        <f>IF($A1282="","",IF($A1283="",1,IF(BG1283&lt;&gt;BG1282,1,0)))</f>
        <v>0</v>
      </c>
      <c r="BJ1282">
        <f>IF($A1282="","",IF(BH1282=1,$B1282,BJ1281))</f>
        <v>0</v>
      </c>
      <c r="BK1282">
        <f>IF($A1282="","",IF(BH1282=1,$C1282,MAX($C1282,BK1281)))</f>
        <v>0</v>
      </c>
      <c r="BL1282">
        <f>IF($A1282="","",IF(BH1282=1,$D1282,MIN($D1282,BL1281)))</f>
        <v>0</v>
      </c>
      <c r="BM1282">
        <f>IF($A1282="","",IF(BI1282=1,F1282,""))</f>
        <v>0</v>
      </c>
      <c r="BN1282">
        <f>IF($A1282="","",DATE(YEAR($A1282),MONTH($A1282),1))</f>
        <v>0</v>
      </c>
      <c r="BO1282">
        <f>IF($A1282="","",IF($A1281="",1,IF(BN1282&lt;&gt;BN1281,1,0)))</f>
        <v>0</v>
      </c>
      <c r="BP1282">
        <f>IF($A1282="","",IF($A1283="",1,IF(BN1283&lt;&gt;BN1282,1,0)))</f>
        <v>0</v>
      </c>
      <c r="BQ1282">
        <f>IF($A1282="","",IF(BO1282=1,$B1282,BQ1281))</f>
        <v>0</v>
      </c>
      <c r="BR1282">
        <f>IF($A1282="","",IF(BO1282=1,$C1282,MAX($C1282,BR1281)))</f>
        <v>0</v>
      </c>
      <c r="BS1282">
        <f>IF($A1282="","",IF(BO1282=1,$D1282,MIN($D1282,BS1281)))</f>
        <v>0</v>
      </c>
      <c r="BT1282">
        <f>IF($A1282="","",IF(BP1282=1,F1282,""))</f>
        <v>0</v>
      </c>
    </row>
    <row r="1283" spans="1:72">
      <c r="A1283" s="27">
        <f>IF(Data!$A1283="","",Data!$A1283)</f>
        <v>0</v>
      </c>
      <c r="B1283">
        <f>IF(Data!$B1283="","",Data!$B1283)</f>
        <v>0</v>
      </c>
      <c r="C1283">
        <f>IF(Data!$C1283="","",Data!$C1283)</f>
        <v>0</v>
      </c>
      <c r="D1283">
        <f>IF(Data!$D1283="","",Data!$D1283)</f>
        <v>0</v>
      </c>
      <c r="E1283">
        <f>IF(Data!$E1283="","",Data!$E1283)</f>
        <v>0</v>
      </c>
      <c r="F1283">
        <f>IF($E1283="","",N(F1282)+1)</f>
        <v>0</v>
      </c>
      <c r="G1283">
        <f>IF(OR($E1283="",$E1282=""),"",LN($E1283/$E1282))</f>
        <v>0</v>
      </c>
      <c r="H1283">
        <f>IF($E1283="","",IF($E1282="",$E1283,$E1283*0.0952380952+H1282*0.9047619048))</f>
        <v>0</v>
      </c>
      <c r="I1283">
        <f>IF($E1283="","",IF($E1282="",$E1283,$E1283*0.0392156863+I1282*0.9607843137))</f>
        <v>0</v>
      </c>
      <c r="J1283">
        <f>IF($E1283="","",IF($E1282="",$E1283,$E1283*0.0198019802+J1282*0.9801980198))</f>
        <v>0</v>
      </c>
      <c r="K1283">
        <f>IF($E1283="","",IF($E1282="",$E1283,$E1283*0.0099502488+K1282*0.9900497512))</f>
        <v>0</v>
      </c>
      <c r="L1283">
        <f>IF(OR($E1283="",$E1282=""),"",MAX($E1283-$E1282,0))</f>
        <v>0</v>
      </c>
      <c r="M1283">
        <f>IF(OR($E1283="",$E1282=""),"",MAX($E1282-$E1283,0))</f>
        <v>0</v>
      </c>
      <c r="N1283">
        <f>IF(COUNT($E$2:$E1283)&lt;15,"",IF(AVERAGE($M$1270:$M$1283)=0,100,100-100/(1+AVERAGE($L$1270:$L$1283)/AVERAGE($M$1270:$M$1283))))</f>
        <v>0</v>
      </c>
      <c r="O1283">
        <f>IF($E1283="","",IF($E1282="",$E1283,$E1283*0.1538461538+O1282*0.8461538462))</f>
        <v>0</v>
      </c>
      <c r="P1283">
        <f>IF($E1283="","",IF($E1282="",$E1283,$E1283*0.0740740741+P1282*0.9259259259))</f>
        <v>0</v>
      </c>
      <c r="Q1283">
        <f>IF(OR(O1283="",P1283=""),"",O1283-P1283)</f>
        <v>0</v>
      </c>
      <c r="R1283">
        <f>IF(Q1283="","",IF(R1282="",Q1283,Q1283*0.2000000000+R1282*0.8000000000))</f>
        <v>0</v>
      </c>
      <c r="S1283">
        <f>IF(OR(Q1283="",R1283=""),"",Q1283-R1283)</f>
        <v>0</v>
      </c>
      <c r="T1283">
        <f>IF(COUNT($E$2:$E1283)&lt;14,"",MAX($C$1270:$C$1283))</f>
        <v>0</v>
      </c>
      <c r="U1283">
        <f>IF(COUNT($E$2:$E1283)&lt;14,"",MIN($D$1270:$D$1283))</f>
        <v>0</v>
      </c>
      <c r="V1283">
        <f>IF(OR(T1283="",U1283="",T1283=U1283),"",100*($E1283-U1283)/(T1283-U1283))</f>
        <v>0</v>
      </c>
      <c r="W1283">
        <f>IF(COUNT($V$1281:$V$1283)&lt;3,"",AVERAGE($V$1281:$V$1283))</f>
        <v>0</v>
      </c>
      <c r="X1283">
        <f>IF(COUNT($N$1270:$N$1283)&lt;14,"",MIN($N$1270:$N$1283))</f>
        <v>0</v>
      </c>
      <c r="Y1283">
        <f>IF(COUNT($N$1270:$N$1283)&lt;14,"",MAX($N$1270:$N$1283))</f>
        <v>0</v>
      </c>
      <c r="Z1283">
        <f>IF(OR(N1283="",X1283="",Y1283="",Y1283=X1283),"",100*(N1283-X1283)/(Y1283-X1283))</f>
        <v>0</v>
      </c>
      <c r="AA1283">
        <f>IF(COUNT($Z$1281:$Z$1283)&lt;3,"",AVERAGE($Z$1281:$Z$1283))</f>
        <v>0</v>
      </c>
      <c r="AB1283">
        <f>IF(COUNT($AA$1281:$AA$1283)&lt;3,"",AVERAGE($AA$1281:$AA$1283))</f>
        <v>0</v>
      </c>
      <c r="AC1283">
        <f>IF($E1283="","",MAX($C1283-$D1283,ABS($C1283-$E1282),ABS($D1283-$E1282)))</f>
        <v>0</v>
      </c>
      <c r="AD1283">
        <f>IF(COUNT($E$2:$E1283)&lt;15,"",AVERAGE($AC$1270:$AC$1283))</f>
        <v>0</v>
      </c>
      <c r="AE1283">
        <f>IF(OR($E1283="",$E1282=""),"",IF(AND(($C1283-$C1282)&gt;($D1282-$D1283),($C1283-$C1282)&gt;0),$C1283-$C1282,0))</f>
        <v>0</v>
      </c>
      <c r="AF1283">
        <f>IF(OR($E1283="",$E1282=""),"",IF(AND(($D1282-$D1283)&gt;($C1283-$C1282),($D1282-$D1283)&gt;0),$D1282-$D1283,0))</f>
        <v>0</v>
      </c>
      <c r="AG1283">
        <f>IF(COUNT($E$2:$E1283)&lt;15,"",IF(SUM($AC$1270:$AC$1283)=0,0,100*SUM($AE$1270:$AE$1283)/SUM($AC$1270:$AC$1283)))</f>
        <v>0</v>
      </c>
      <c r="AH1283">
        <f>IF(COUNT($E$2:$E1283)&lt;15,"",IF(SUM($AC$1270:$AC$1283)=0,0,100*SUM($AF$1270:$AF$1283)/SUM($AC$1270:$AC$1283)))</f>
        <v>0</v>
      </c>
      <c r="AI1283">
        <f>IF(OR(AG1283="",AH1283=""),"",IF((AG1283+AH1283)=0,0,100*ABS(AG1283-AH1283)/(AG1283+AH1283)))</f>
        <v>0</v>
      </c>
      <c r="AJ1283">
        <f>IF(COUNT($AI$1270:$AI$1283)&lt;14,"",AVERAGE($AI$1270:$AI$1283))</f>
        <v>0</v>
      </c>
      <c r="AK1283">
        <f>IF(COUNT($E$2:$E1283)&lt;20,"",AVERAGE($E$1264:$E$1283))</f>
        <v>0</v>
      </c>
      <c r="AL1283">
        <f>IF(COUNT($E$2:$E1283)&lt;20,"",STDEVP($E$1264:$E$1283))</f>
        <v>0</v>
      </c>
      <c r="AM1283">
        <f>IF(AK1283="","",AK1283+2*AL1283)</f>
        <v>0</v>
      </c>
      <c r="AN1283">
        <f>IF(AK1283="","",AK1283-2*AL1283)</f>
        <v>0</v>
      </c>
      <c r="AO1283">
        <f>IF(OR(AM1283="",AN1283="",AM1283=AN1283),"",($E1283-AN1283)/(AM1283-AN1283))</f>
        <v>0</v>
      </c>
      <c r="AP1283">
        <f>IF(OR(AM1283="",AK1283="",AK1283=0),"",(AM1283-AN1283)/AK1283)</f>
        <v>0</v>
      </c>
      <c r="AQ1283">
        <f>IF(COUNT($E$2:$E1283)&lt;20,"",MAX($C$1264:$C$1283))</f>
        <v>0</v>
      </c>
      <c r="AR1283">
        <f>IF(COUNT($E$2:$E1283)&lt;20,"",MIN($D$1264:$D$1283))</f>
        <v>0</v>
      </c>
      <c r="AS1283">
        <f>IF(OR(AQ1283="",AR1283=""),"",(AQ1283+AR1283)/2)</f>
        <v>0</v>
      </c>
      <c r="AT1283">
        <f>IF(COUNT($G$1264:$G$1283)&lt;20,"",STDEV($G$1264:$G$1283)*SQRT(252))</f>
        <v>0</v>
      </c>
      <c r="AU1283">
        <f>IF(COUNT($E$2:$E1283)&lt;9,"",(MAX($C$1275:$C$1283)+MIN($D$1275:$D$1283))/2)</f>
        <v>0</v>
      </c>
      <c r="AV1283">
        <f>IF(COUNT($E$2:$E1283)&lt;26,"",(MAX($C$1258:$C$1283)+MIN($D$1258:$D$1283))/2)</f>
        <v>0</v>
      </c>
      <c r="AW1283">
        <f>IF(OR(AU1283="",AV1283=""),"",(AU1283+AV1283)/2)</f>
        <v>0</v>
      </c>
      <c r="AX1283">
        <f>IF(COUNT($E$2:$E1283)&lt;52,"",(MAX($C$1232:$C$1283)+MIN($D$1232:$D$1283))/2)</f>
        <v>0</v>
      </c>
      <c r="AY1283">
        <f>IF(COUNT($E$2:$E1283)&lt;20,"",MAX($C$1184:$C$1283))</f>
        <v>0</v>
      </c>
      <c r="AZ1283">
        <f>IF(COUNT($E$2:$E1283)&lt;20,"",MIN($D$1184:$D$1283))</f>
        <v>0</v>
      </c>
      <c r="BA1283">
        <f>IF(COUNT($E$2:$E1283)&lt;20,"",SLOPE($E$1184:$E$1283,$F$1184:$F$1283))</f>
        <v>0</v>
      </c>
      <c r="BB1283">
        <f>IF(COUNT($E$2:$E1283)&lt;20,"",INTERCEPT($E$1184:$E$1283,$F$1184:$F$1283))</f>
        <v>0</v>
      </c>
      <c r="BC1283">
        <f>IF(OR(BA1283="",BB1283=""),"",BB1283+BA1283*F1283)</f>
        <v>0</v>
      </c>
      <c r="BD1283">
        <f>IF(COUNT($E$2:$E1283)&lt;20,"",STEYX($E$1184:$E$1283,$F$1184:$F$1283))</f>
        <v>0</v>
      </c>
      <c r="BE1283">
        <f>IF($E1283="","",IF(AND(COUNT($E$1284:$E$1287)&gt;=4,$C1283=MAX($C$1279:$C$1287)),$C1283,""))</f>
        <v>0</v>
      </c>
      <c r="BF1283">
        <f>IF($E1283="","",IF(AND(COUNT($E$1284:$E$1287)&gt;=4,$D1283=MIN($D$1279:$D$1287)),$D1283,""))</f>
        <v>0</v>
      </c>
      <c r="BG1283">
        <f>IF($A1283="","",$A1283-WEEKDAY($A1283,2)+1)</f>
        <v>0</v>
      </c>
      <c r="BH1283">
        <f>IF($A1283="","",IF($A1282="",1,IF(BG1283&lt;&gt;BG1282,1,0)))</f>
        <v>0</v>
      </c>
      <c r="BI1283">
        <f>IF($A1283="","",IF($A1284="",1,IF(BG1284&lt;&gt;BG1283,1,0)))</f>
        <v>0</v>
      </c>
      <c r="BJ1283">
        <f>IF($A1283="","",IF(BH1283=1,$B1283,BJ1282))</f>
        <v>0</v>
      </c>
      <c r="BK1283">
        <f>IF($A1283="","",IF(BH1283=1,$C1283,MAX($C1283,BK1282)))</f>
        <v>0</v>
      </c>
      <c r="BL1283">
        <f>IF($A1283="","",IF(BH1283=1,$D1283,MIN($D1283,BL1282)))</f>
        <v>0</v>
      </c>
      <c r="BM1283">
        <f>IF($A1283="","",IF(BI1283=1,F1283,""))</f>
        <v>0</v>
      </c>
      <c r="BN1283">
        <f>IF($A1283="","",DATE(YEAR($A1283),MONTH($A1283),1))</f>
        <v>0</v>
      </c>
      <c r="BO1283">
        <f>IF($A1283="","",IF($A1282="",1,IF(BN1283&lt;&gt;BN1282,1,0)))</f>
        <v>0</v>
      </c>
      <c r="BP1283">
        <f>IF($A1283="","",IF($A1284="",1,IF(BN1284&lt;&gt;BN1283,1,0)))</f>
        <v>0</v>
      </c>
      <c r="BQ1283">
        <f>IF($A1283="","",IF(BO1283=1,$B1283,BQ1282))</f>
        <v>0</v>
      </c>
      <c r="BR1283">
        <f>IF($A1283="","",IF(BO1283=1,$C1283,MAX($C1283,BR1282)))</f>
        <v>0</v>
      </c>
      <c r="BS1283">
        <f>IF($A1283="","",IF(BO1283=1,$D1283,MIN($D1283,BS1282)))</f>
        <v>0</v>
      </c>
      <c r="BT1283">
        <f>IF($A1283="","",IF(BP1283=1,F1283,""))</f>
        <v>0</v>
      </c>
    </row>
    <row r="1284" spans="1:72">
      <c r="A1284" s="27">
        <f>IF(Data!$A1284="","",Data!$A1284)</f>
        <v>0</v>
      </c>
      <c r="B1284">
        <f>IF(Data!$B1284="","",Data!$B1284)</f>
        <v>0</v>
      </c>
      <c r="C1284">
        <f>IF(Data!$C1284="","",Data!$C1284)</f>
        <v>0</v>
      </c>
      <c r="D1284">
        <f>IF(Data!$D1284="","",Data!$D1284)</f>
        <v>0</v>
      </c>
      <c r="E1284">
        <f>IF(Data!$E1284="","",Data!$E1284)</f>
        <v>0</v>
      </c>
      <c r="F1284">
        <f>IF($E1284="","",N(F1283)+1)</f>
        <v>0</v>
      </c>
      <c r="G1284">
        <f>IF(OR($E1284="",$E1283=""),"",LN($E1284/$E1283))</f>
        <v>0</v>
      </c>
      <c r="H1284">
        <f>IF($E1284="","",IF($E1283="",$E1284,$E1284*0.0952380952+H1283*0.9047619048))</f>
        <v>0</v>
      </c>
      <c r="I1284">
        <f>IF($E1284="","",IF($E1283="",$E1284,$E1284*0.0392156863+I1283*0.9607843137))</f>
        <v>0</v>
      </c>
      <c r="J1284">
        <f>IF($E1284="","",IF($E1283="",$E1284,$E1284*0.0198019802+J1283*0.9801980198))</f>
        <v>0</v>
      </c>
      <c r="K1284">
        <f>IF($E1284="","",IF($E1283="",$E1284,$E1284*0.0099502488+K1283*0.9900497512))</f>
        <v>0</v>
      </c>
      <c r="L1284">
        <f>IF(OR($E1284="",$E1283=""),"",MAX($E1284-$E1283,0))</f>
        <v>0</v>
      </c>
      <c r="M1284">
        <f>IF(OR($E1284="",$E1283=""),"",MAX($E1283-$E1284,0))</f>
        <v>0</v>
      </c>
      <c r="N1284">
        <f>IF(COUNT($E$2:$E1284)&lt;15,"",IF(AVERAGE($M$1271:$M$1284)=0,100,100-100/(1+AVERAGE($L$1271:$L$1284)/AVERAGE($M$1271:$M$1284))))</f>
        <v>0</v>
      </c>
      <c r="O1284">
        <f>IF($E1284="","",IF($E1283="",$E1284,$E1284*0.1538461538+O1283*0.8461538462))</f>
        <v>0</v>
      </c>
      <c r="P1284">
        <f>IF($E1284="","",IF($E1283="",$E1284,$E1284*0.0740740741+P1283*0.9259259259))</f>
        <v>0</v>
      </c>
      <c r="Q1284">
        <f>IF(OR(O1284="",P1284=""),"",O1284-P1284)</f>
        <v>0</v>
      </c>
      <c r="R1284">
        <f>IF(Q1284="","",IF(R1283="",Q1284,Q1284*0.2000000000+R1283*0.8000000000))</f>
        <v>0</v>
      </c>
      <c r="S1284">
        <f>IF(OR(Q1284="",R1284=""),"",Q1284-R1284)</f>
        <v>0</v>
      </c>
      <c r="T1284">
        <f>IF(COUNT($E$2:$E1284)&lt;14,"",MAX($C$1271:$C$1284))</f>
        <v>0</v>
      </c>
      <c r="U1284">
        <f>IF(COUNT($E$2:$E1284)&lt;14,"",MIN($D$1271:$D$1284))</f>
        <v>0</v>
      </c>
      <c r="V1284">
        <f>IF(OR(T1284="",U1284="",T1284=U1284),"",100*($E1284-U1284)/(T1284-U1284))</f>
        <v>0</v>
      </c>
      <c r="W1284">
        <f>IF(COUNT($V$1282:$V$1284)&lt;3,"",AVERAGE($V$1282:$V$1284))</f>
        <v>0</v>
      </c>
      <c r="X1284">
        <f>IF(COUNT($N$1271:$N$1284)&lt;14,"",MIN($N$1271:$N$1284))</f>
        <v>0</v>
      </c>
      <c r="Y1284">
        <f>IF(COUNT($N$1271:$N$1284)&lt;14,"",MAX($N$1271:$N$1284))</f>
        <v>0</v>
      </c>
      <c r="Z1284">
        <f>IF(OR(N1284="",X1284="",Y1284="",Y1284=X1284),"",100*(N1284-X1284)/(Y1284-X1284))</f>
        <v>0</v>
      </c>
      <c r="AA1284">
        <f>IF(COUNT($Z$1282:$Z$1284)&lt;3,"",AVERAGE($Z$1282:$Z$1284))</f>
        <v>0</v>
      </c>
      <c r="AB1284">
        <f>IF(COUNT($AA$1282:$AA$1284)&lt;3,"",AVERAGE($AA$1282:$AA$1284))</f>
        <v>0</v>
      </c>
      <c r="AC1284">
        <f>IF($E1284="","",MAX($C1284-$D1284,ABS($C1284-$E1283),ABS($D1284-$E1283)))</f>
        <v>0</v>
      </c>
      <c r="AD1284">
        <f>IF(COUNT($E$2:$E1284)&lt;15,"",AVERAGE($AC$1271:$AC$1284))</f>
        <v>0</v>
      </c>
      <c r="AE1284">
        <f>IF(OR($E1284="",$E1283=""),"",IF(AND(($C1284-$C1283)&gt;($D1283-$D1284),($C1284-$C1283)&gt;0),$C1284-$C1283,0))</f>
        <v>0</v>
      </c>
      <c r="AF1284">
        <f>IF(OR($E1284="",$E1283=""),"",IF(AND(($D1283-$D1284)&gt;($C1284-$C1283),($D1283-$D1284)&gt;0),$D1283-$D1284,0))</f>
        <v>0</v>
      </c>
      <c r="AG1284">
        <f>IF(COUNT($E$2:$E1284)&lt;15,"",IF(SUM($AC$1271:$AC$1284)=0,0,100*SUM($AE$1271:$AE$1284)/SUM($AC$1271:$AC$1284)))</f>
        <v>0</v>
      </c>
      <c r="AH1284">
        <f>IF(COUNT($E$2:$E1284)&lt;15,"",IF(SUM($AC$1271:$AC$1284)=0,0,100*SUM($AF$1271:$AF$1284)/SUM($AC$1271:$AC$1284)))</f>
        <v>0</v>
      </c>
      <c r="AI1284">
        <f>IF(OR(AG1284="",AH1284=""),"",IF((AG1284+AH1284)=0,0,100*ABS(AG1284-AH1284)/(AG1284+AH1284)))</f>
        <v>0</v>
      </c>
      <c r="AJ1284">
        <f>IF(COUNT($AI$1271:$AI$1284)&lt;14,"",AVERAGE($AI$1271:$AI$1284))</f>
        <v>0</v>
      </c>
      <c r="AK1284">
        <f>IF(COUNT($E$2:$E1284)&lt;20,"",AVERAGE($E$1265:$E$1284))</f>
        <v>0</v>
      </c>
      <c r="AL1284">
        <f>IF(COUNT($E$2:$E1284)&lt;20,"",STDEVP($E$1265:$E$1284))</f>
        <v>0</v>
      </c>
      <c r="AM1284">
        <f>IF(AK1284="","",AK1284+2*AL1284)</f>
        <v>0</v>
      </c>
      <c r="AN1284">
        <f>IF(AK1284="","",AK1284-2*AL1284)</f>
        <v>0</v>
      </c>
      <c r="AO1284">
        <f>IF(OR(AM1284="",AN1284="",AM1284=AN1284),"",($E1284-AN1284)/(AM1284-AN1284))</f>
        <v>0</v>
      </c>
      <c r="AP1284">
        <f>IF(OR(AM1284="",AK1284="",AK1284=0),"",(AM1284-AN1284)/AK1284)</f>
        <v>0</v>
      </c>
      <c r="AQ1284">
        <f>IF(COUNT($E$2:$E1284)&lt;20,"",MAX($C$1265:$C$1284))</f>
        <v>0</v>
      </c>
      <c r="AR1284">
        <f>IF(COUNT($E$2:$E1284)&lt;20,"",MIN($D$1265:$D$1284))</f>
        <v>0</v>
      </c>
      <c r="AS1284">
        <f>IF(OR(AQ1284="",AR1284=""),"",(AQ1284+AR1284)/2)</f>
        <v>0</v>
      </c>
      <c r="AT1284">
        <f>IF(COUNT($G$1265:$G$1284)&lt;20,"",STDEV($G$1265:$G$1284)*SQRT(252))</f>
        <v>0</v>
      </c>
      <c r="AU1284">
        <f>IF(COUNT($E$2:$E1284)&lt;9,"",(MAX($C$1276:$C$1284)+MIN($D$1276:$D$1284))/2)</f>
        <v>0</v>
      </c>
      <c r="AV1284">
        <f>IF(COUNT($E$2:$E1284)&lt;26,"",(MAX($C$1259:$C$1284)+MIN($D$1259:$D$1284))/2)</f>
        <v>0</v>
      </c>
      <c r="AW1284">
        <f>IF(OR(AU1284="",AV1284=""),"",(AU1284+AV1284)/2)</f>
        <v>0</v>
      </c>
      <c r="AX1284">
        <f>IF(COUNT($E$2:$E1284)&lt;52,"",(MAX($C$1233:$C$1284)+MIN($D$1233:$D$1284))/2)</f>
        <v>0</v>
      </c>
      <c r="AY1284">
        <f>IF(COUNT($E$2:$E1284)&lt;20,"",MAX($C$1185:$C$1284))</f>
        <v>0</v>
      </c>
      <c r="AZ1284">
        <f>IF(COUNT($E$2:$E1284)&lt;20,"",MIN($D$1185:$D$1284))</f>
        <v>0</v>
      </c>
      <c r="BA1284">
        <f>IF(COUNT($E$2:$E1284)&lt;20,"",SLOPE($E$1185:$E$1284,$F$1185:$F$1284))</f>
        <v>0</v>
      </c>
      <c r="BB1284">
        <f>IF(COUNT($E$2:$E1284)&lt;20,"",INTERCEPT($E$1185:$E$1284,$F$1185:$F$1284))</f>
        <v>0</v>
      </c>
      <c r="BC1284">
        <f>IF(OR(BA1284="",BB1284=""),"",BB1284+BA1284*F1284)</f>
        <v>0</v>
      </c>
      <c r="BD1284">
        <f>IF(COUNT($E$2:$E1284)&lt;20,"",STEYX($E$1185:$E$1284,$F$1185:$F$1284))</f>
        <v>0</v>
      </c>
      <c r="BE1284">
        <f>IF($E1284="","",IF(AND(COUNT($E$1285:$E$1288)&gt;=4,$C1284=MAX($C$1280:$C$1288)),$C1284,""))</f>
        <v>0</v>
      </c>
      <c r="BF1284">
        <f>IF($E1284="","",IF(AND(COUNT($E$1285:$E$1288)&gt;=4,$D1284=MIN($D$1280:$D$1288)),$D1284,""))</f>
        <v>0</v>
      </c>
      <c r="BG1284">
        <f>IF($A1284="","",$A1284-WEEKDAY($A1284,2)+1)</f>
        <v>0</v>
      </c>
      <c r="BH1284">
        <f>IF($A1284="","",IF($A1283="",1,IF(BG1284&lt;&gt;BG1283,1,0)))</f>
        <v>0</v>
      </c>
      <c r="BI1284">
        <f>IF($A1284="","",IF($A1285="",1,IF(BG1285&lt;&gt;BG1284,1,0)))</f>
        <v>0</v>
      </c>
      <c r="BJ1284">
        <f>IF($A1284="","",IF(BH1284=1,$B1284,BJ1283))</f>
        <v>0</v>
      </c>
      <c r="BK1284">
        <f>IF($A1284="","",IF(BH1284=1,$C1284,MAX($C1284,BK1283)))</f>
        <v>0</v>
      </c>
      <c r="BL1284">
        <f>IF($A1284="","",IF(BH1284=1,$D1284,MIN($D1284,BL1283)))</f>
        <v>0</v>
      </c>
      <c r="BM1284">
        <f>IF($A1284="","",IF(BI1284=1,F1284,""))</f>
        <v>0</v>
      </c>
      <c r="BN1284">
        <f>IF($A1284="","",DATE(YEAR($A1284),MONTH($A1284),1))</f>
        <v>0</v>
      </c>
      <c r="BO1284">
        <f>IF($A1284="","",IF($A1283="",1,IF(BN1284&lt;&gt;BN1283,1,0)))</f>
        <v>0</v>
      </c>
      <c r="BP1284">
        <f>IF($A1284="","",IF($A1285="",1,IF(BN1285&lt;&gt;BN1284,1,0)))</f>
        <v>0</v>
      </c>
      <c r="BQ1284">
        <f>IF($A1284="","",IF(BO1284=1,$B1284,BQ1283))</f>
        <v>0</v>
      </c>
      <c r="BR1284">
        <f>IF($A1284="","",IF(BO1284=1,$C1284,MAX($C1284,BR1283)))</f>
        <v>0</v>
      </c>
      <c r="BS1284">
        <f>IF($A1284="","",IF(BO1284=1,$D1284,MIN($D1284,BS1283)))</f>
        <v>0</v>
      </c>
      <c r="BT1284">
        <f>IF($A1284="","",IF(BP1284=1,F1284,""))</f>
        <v>0</v>
      </c>
    </row>
    <row r="1285" spans="1:72">
      <c r="A1285" s="27">
        <f>IF(Data!$A1285="","",Data!$A1285)</f>
        <v>0</v>
      </c>
      <c r="B1285">
        <f>IF(Data!$B1285="","",Data!$B1285)</f>
        <v>0</v>
      </c>
      <c r="C1285">
        <f>IF(Data!$C1285="","",Data!$C1285)</f>
        <v>0</v>
      </c>
      <c r="D1285">
        <f>IF(Data!$D1285="","",Data!$D1285)</f>
        <v>0</v>
      </c>
      <c r="E1285">
        <f>IF(Data!$E1285="","",Data!$E1285)</f>
        <v>0</v>
      </c>
      <c r="F1285">
        <f>IF($E1285="","",N(F1284)+1)</f>
        <v>0</v>
      </c>
      <c r="G1285">
        <f>IF(OR($E1285="",$E1284=""),"",LN($E1285/$E1284))</f>
        <v>0</v>
      </c>
      <c r="H1285">
        <f>IF($E1285="","",IF($E1284="",$E1285,$E1285*0.0952380952+H1284*0.9047619048))</f>
        <v>0</v>
      </c>
      <c r="I1285">
        <f>IF($E1285="","",IF($E1284="",$E1285,$E1285*0.0392156863+I1284*0.9607843137))</f>
        <v>0</v>
      </c>
      <c r="J1285">
        <f>IF($E1285="","",IF($E1284="",$E1285,$E1285*0.0198019802+J1284*0.9801980198))</f>
        <v>0</v>
      </c>
      <c r="K1285">
        <f>IF($E1285="","",IF($E1284="",$E1285,$E1285*0.0099502488+K1284*0.9900497512))</f>
        <v>0</v>
      </c>
      <c r="L1285">
        <f>IF(OR($E1285="",$E1284=""),"",MAX($E1285-$E1284,0))</f>
        <v>0</v>
      </c>
      <c r="M1285">
        <f>IF(OR($E1285="",$E1284=""),"",MAX($E1284-$E1285,0))</f>
        <v>0</v>
      </c>
      <c r="N1285">
        <f>IF(COUNT($E$2:$E1285)&lt;15,"",IF(AVERAGE($M$1272:$M$1285)=0,100,100-100/(1+AVERAGE($L$1272:$L$1285)/AVERAGE($M$1272:$M$1285))))</f>
        <v>0</v>
      </c>
      <c r="O1285">
        <f>IF($E1285="","",IF($E1284="",$E1285,$E1285*0.1538461538+O1284*0.8461538462))</f>
        <v>0</v>
      </c>
      <c r="P1285">
        <f>IF($E1285="","",IF($E1284="",$E1285,$E1285*0.0740740741+P1284*0.9259259259))</f>
        <v>0</v>
      </c>
      <c r="Q1285">
        <f>IF(OR(O1285="",P1285=""),"",O1285-P1285)</f>
        <v>0</v>
      </c>
      <c r="R1285">
        <f>IF(Q1285="","",IF(R1284="",Q1285,Q1285*0.2000000000+R1284*0.8000000000))</f>
        <v>0</v>
      </c>
      <c r="S1285">
        <f>IF(OR(Q1285="",R1285=""),"",Q1285-R1285)</f>
        <v>0</v>
      </c>
      <c r="T1285">
        <f>IF(COUNT($E$2:$E1285)&lt;14,"",MAX($C$1272:$C$1285))</f>
        <v>0</v>
      </c>
      <c r="U1285">
        <f>IF(COUNT($E$2:$E1285)&lt;14,"",MIN($D$1272:$D$1285))</f>
        <v>0</v>
      </c>
      <c r="V1285">
        <f>IF(OR(T1285="",U1285="",T1285=U1285),"",100*($E1285-U1285)/(T1285-U1285))</f>
        <v>0</v>
      </c>
      <c r="W1285">
        <f>IF(COUNT($V$1283:$V$1285)&lt;3,"",AVERAGE($V$1283:$V$1285))</f>
        <v>0</v>
      </c>
      <c r="X1285">
        <f>IF(COUNT($N$1272:$N$1285)&lt;14,"",MIN($N$1272:$N$1285))</f>
        <v>0</v>
      </c>
      <c r="Y1285">
        <f>IF(COUNT($N$1272:$N$1285)&lt;14,"",MAX($N$1272:$N$1285))</f>
        <v>0</v>
      </c>
      <c r="Z1285">
        <f>IF(OR(N1285="",X1285="",Y1285="",Y1285=X1285),"",100*(N1285-X1285)/(Y1285-X1285))</f>
        <v>0</v>
      </c>
      <c r="AA1285">
        <f>IF(COUNT($Z$1283:$Z$1285)&lt;3,"",AVERAGE($Z$1283:$Z$1285))</f>
        <v>0</v>
      </c>
      <c r="AB1285">
        <f>IF(COUNT($AA$1283:$AA$1285)&lt;3,"",AVERAGE($AA$1283:$AA$1285))</f>
        <v>0</v>
      </c>
      <c r="AC1285">
        <f>IF($E1285="","",MAX($C1285-$D1285,ABS($C1285-$E1284),ABS($D1285-$E1284)))</f>
        <v>0</v>
      </c>
      <c r="AD1285">
        <f>IF(COUNT($E$2:$E1285)&lt;15,"",AVERAGE($AC$1272:$AC$1285))</f>
        <v>0</v>
      </c>
      <c r="AE1285">
        <f>IF(OR($E1285="",$E1284=""),"",IF(AND(($C1285-$C1284)&gt;($D1284-$D1285),($C1285-$C1284)&gt;0),$C1285-$C1284,0))</f>
        <v>0</v>
      </c>
      <c r="AF1285">
        <f>IF(OR($E1285="",$E1284=""),"",IF(AND(($D1284-$D1285)&gt;($C1285-$C1284),($D1284-$D1285)&gt;0),$D1284-$D1285,0))</f>
        <v>0</v>
      </c>
      <c r="AG1285">
        <f>IF(COUNT($E$2:$E1285)&lt;15,"",IF(SUM($AC$1272:$AC$1285)=0,0,100*SUM($AE$1272:$AE$1285)/SUM($AC$1272:$AC$1285)))</f>
        <v>0</v>
      </c>
      <c r="AH1285">
        <f>IF(COUNT($E$2:$E1285)&lt;15,"",IF(SUM($AC$1272:$AC$1285)=0,0,100*SUM($AF$1272:$AF$1285)/SUM($AC$1272:$AC$1285)))</f>
        <v>0</v>
      </c>
      <c r="AI1285">
        <f>IF(OR(AG1285="",AH1285=""),"",IF((AG1285+AH1285)=0,0,100*ABS(AG1285-AH1285)/(AG1285+AH1285)))</f>
        <v>0</v>
      </c>
      <c r="AJ1285">
        <f>IF(COUNT($AI$1272:$AI$1285)&lt;14,"",AVERAGE($AI$1272:$AI$1285))</f>
        <v>0</v>
      </c>
      <c r="AK1285">
        <f>IF(COUNT($E$2:$E1285)&lt;20,"",AVERAGE($E$1266:$E$1285))</f>
        <v>0</v>
      </c>
      <c r="AL1285">
        <f>IF(COUNT($E$2:$E1285)&lt;20,"",STDEVP($E$1266:$E$1285))</f>
        <v>0</v>
      </c>
      <c r="AM1285">
        <f>IF(AK1285="","",AK1285+2*AL1285)</f>
        <v>0</v>
      </c>
      <c r="AN1285">
        <f>IF(AK1285="","",AK1285-2*AL1285)</f>
        <v>0</v>
      </c>
      <c r="AO1285">
        <f>IF(OR(AM1285="",AN1285="",AM1285=AN1285),"",($E1285-AN1285)/(AM1285-AN1285))</f>
        <v>0</v>
      </c>
      <c r="AP1285">
        <f>IF(OR(AM1285="",AK1285="",AK1285=0),"",(AM1285-AN1285)/AK1285)</f>
        <v>0</v>
      </c>
      <c r="AQ1285">
        <f>IF(COUNT($E$2:$E1285)&lt;20,"",MAX($C$1266:$C$1285))</f>
        <v>0</v>
      </c>
      <c r="AR1285">
        <f>IF(COUNT($E$2:$E1285)&lt;20,"",MIN($D$1266:$D$1285))</f>
        <v>0</v>
      </c>
      <c r="AS1285">
        <f>IF(OR(AQ1285="",AR1285=""),"",(AQ1285+AR1285)/2)</f>
        <v>0</v>
      </c>
      <c r="AT1285">
        <f>IF(COUNT($G$1266:$G$1285)&lt;20,"",STDEV($G$1266:$G$1285)*SQRT(252))</f>
        <v>0</v>
      </c>
      <c r="AU1285">
        <f>IF(COUNT($E$2:$E1285)&lt;9,"",(MAX($C$1277:$C$1285)+MIN($D$1277:$D$1285))/2)</f>
        <v>0</v>
      </c>
      <c r="AV1285">
        <f>IF(COUNT($E$2:$E1285)&lt;26,"",(MAX($C$1260:$C$1285)+MIN($D$1260:$D$1285))/2)</f>
        <v>0</v>
      </c>
      <c r="AW1285">
        <f>IF(OR(AU1285="",AV1285=""),"",(AU1285+AV1285)/2)</f>
        <v>0</v>
      </c>
      <c r="AX1285">
        <f>IF(COUNT($E$2:$E1285)&lt;52,"",(MAX($C$1234:$C$1285)+MIN($D$1234:$D$1285))/2)</f>
        <v>0</v>
      </c>
      <c r="AY1285">
        <f>IF(COUNT($E$2:$E1285)&lt;20,"",MAX($C$1186:$C$1285))</f>
        <v>0</v>
      </c>
      <c r="AZ1285">
        <f>IF(COUNT($E$2:$E1285)&lt;20,"",MIN($D$1186:$D$1285))</f>
        <v>0</v>
      </c>
      <c r="BA1285">
        <f>IF(COUNT($E$2:$E1285)&lt;20,"",SLOPE($E$1186:$E$1285,$F$1186:$F$1285))</f>
        <v>0</v>
      </c>
      <c r="BB1285">
        <f>IF(COUNT($E$2:$E1285)&lt;20,"",INTERCEPT($E$1186:$E$1285,$F$1186:$F$1285))</f>
        <v>0</v>
      </c>
      <c r="BC1285">
        <f>IF(OR(BA1285="",BB1285=""),"",BB1285+BA1285*F1285)</f>
        <v>0</v>
      </c>
      <c r="BD1285">
        <f>IF(COUNT($E$2:$E1285)&lt;20,"",STEYX($E$1186:$E$1285,$F$1186:$F$1285))</f>
        <v>0</v>
      </c>
      <c r="BE1285">
        <f>IF($E1285="","",IF(AND(COUNT($E$1286:$E$1289)&gt;=4,$C1285=MAX($C$1281:$C$1289)),$C1285,""))</f>
        <v>0</v>
      </c>
      <c r="BF1285">
        <f>IF($E1285="","",IF(AND(COUNT($E$1286:$E$1289)&gt;=4,$D1285=MIN($D$1281:$D$1289)),$D1285,""))</f>
        <v>0</v>
      </c>
      <c r="BG1285">
        <f>IF($A1285="","",$A1285-WEEKDAY($A1285,2)+1)</f>
        <v>0</v>
      </c>
      <c r="BH1285">
        <f>IF($A1285="","",IF($A1284="",1,IF(BG1285&lt;&gt;BG1284,1,0)))</f>
        <v>0</v>
      </c>
      <c r="BI1285">
        <f>IF($A1285="","",IF($A1286="",1,IF(BG1286&lt;&gt;BG1285,1,0)))</f>
        <v>0</v>
      </c>
      <c r="BJ1285">
        <f>IF($A1285="","",IF(BH1285=1,$B1285,BJ1284))</f>
        <v>0</v>
      </c>
      <c r="BK1285">
        <f>IF($A1285="","",IF(BH1285=1,$C1285,MAX($C1285,BK1284)))</f>
        <v>0</v>
      </c>
      <c r="BL1285">
        <f>IF($A1285="","",IF(BH1285=1,$D1285,MIN($D1285,BL1284)))</f>
        <v>0</v>
      </c>
      <c r="BM1285">
        <f>IF($A1285="","",IF(BI1285=1,F1285,""))</f>
        <v>0</v>
      </c>
      <c r="BN1285">
        <f>IF($A1285="","",DATE(YEAR($A1285),MONTH($A1285),1))</f>
        <v>0</v>
      </c>
      <c r="BO1285">
        <f>IF($A1285="","",IF($A1284="",1,IF(BN1285&lt;&gt;BN1284,1,0)))</f>
        <v>0</v>
      </c>
      <c r="BP1285">
        <f>IF($A1285="","",IF($A1286="",1,IF(BN1286&lt;&gt;BN1285,1,0)))</f>
        <v>0</v>
      </c>
      <c r="BQ1285">
        <f>IF($A1285="","",IF(BO1285=1,$B1285,BQ1284))</f>
        <v>0</v>
      </c>
      <c r="BR1285">
        <f>IF($A1285="","",IF(BO1285=1,$C1285,MAX($C1285,BR1284)))</f>
        <v>0</v>
      </c>
      <c r="BS1285">
        <f>IF($A1285="","",IF(BO1285=1,$D1285,MIN($D1285,BS1284)))</f>
        <v>0</v>
      </c>
      <c r="BT1285">
        <f>IF($A1285="","",IF(BP1285=1,F1285,""))</f>
        <v>0</v>
      </c>
    </row>
    <row r="1286" spans="1:72">
      <c r="A1286" s="27">
        <f>IF(Data!$A1286="","",Data!$A1286)</f>
        <v>0</v>
      </c>
      <c r="B1286">
        <f>IF(Data!$B1286="","",Data!$B1286)</f>
        <v>0</v>
      </c>
      <c r="C1286">
        <f>IF(Data!$C1286="","",Data!$C1286)</f>
        <v>0</v>
      </c>
      <c r="D1286">
        <f>IF(Data!$D1286="","",Data!$D1286)</f>
        <v>0</v>
      </c>
      <c r="E1286">
        <f>IF(Data!$E1286="","",Data!$E1286)</f>
        <v>0</v>
      </c>
      <c r="F1286">
        <f>IF($E1286="","",N(F1285)+1)</f>
        <v>0</v>
      </c>
      <c r="G1286">
        <f>IF(OR($E1286="",$E1285=""),"",LN($E1286/$E1285))</f>
        <v>0</v>
      </c>
      <c r="H1286">
        <f>IF($E1286="","",IF($E1285="",$E1286,$E1286*0.0952380952+H1285*0.9047619048))</f>
        <v>0</v>
      </c>
      <c r="I1286">
        <f>IF($E1286="","",IF($E1285="",$E1286,$E1286*0.0392156863+I1285*0.9607843137))</f>
        <v>0</v>
      </c>
      <c r="J1286">
        <f>IF($E1286="","",IF($E1285="",$E1286,$E1286*0.0198019802+J1285*0.9801980198))</f>
        <v>0</v>
      </c>
      <c r="K1286">
        <f>IF($E1286="","",IF($E1285="",$E1286,$E1286*0.0099502488+K1285*0.9900497512))</f>
        <v>0</v>
      </c>
      <c r="L1286">
        <f>IF(OR($E1286="",$E1285=""),"",MAX($E1286-$E1285,0))</f>
        <v>0</v>
      </c>
      <c r="M1286">
        <f>IF(OR($E1286="",$E1285=""),"",MAX($E1285-$E1286,0))</f>
        <v>0</v>
      </c>
      <c r="N1286">
        <f>IF(COUNT($E$2:$E1286)&lt;15,"",IF(AVERAGE($M$1273:$M$1286)=0,100,100-100/(1+AVERAGE($L$1273:$L$1286)/AVERAGE($M$1273:$M$1286))))</f>
        <v>0</v>
      </c>
      <c r="O1286">
        <f>IF($E1286="","",IF($E1285="",$E1286,$E1286*0.1538461538+O1285*0.8461538462))</f>
        <v>0</v>
      </c>
      <c r="P1286">
        <f>IF($E1286="","",IF($E1285="",$E1286,$E1286*0.0740740741+P1285*0.9259259259))</f>
        <v>0</v>
      </c>
      <c r="Q1286">
        <f>IF(OR(O1286="",P1286=""),"",O1286-P1286)</f>
        <v>0</v>
      </c>
      <c r="R1286">
        <f>IF(Q1286="","",IF(R1285="",Q1286,Q1286*0.2000000000+R1285*0.8000000000))</f>
        <v>0</v>
      </c>
      <c r="S1286">
        <f>IF(OR(Q1286="",R1286=""),"",Q1286-R1286)</f>
        <v>0</v>
      </c>
      <c r="T1286">
        <f>IF(COUNT($E$2:$E1286)&lt;14,"",MAX($C$1273:$C$1286))</f>
        <v>0</v>
      </c>
      <c r="U1286">
        <f>IF(COUNT($E$2:$E1286)&lt;14,"",MIN($D$1273:$D$1286))</f>
        <v>0</v>
      </c>
      <c r="V1286">
        <f>IF(OR(T1286="",U1286="",T1286=U1286),"",100*($E1286-U1286)/(T1286-U1286))</f>
        <v>0</v>
      </c>
      <c r="W1286">
        <f>IF(COUNT($V$1284:$V$1286)&lt;3,"",AVERAGE($V$1284:$V$1286))</f>
        <v>0</v>
      </c>
      <c r="X1286">
        <f>IF(COUNT($N$1273:$N$1286)&lt;14,"",MIN($N$1273:$N$1286))</f>
        <v>0</v>
      </c>
      <c r="Y1286">
        <f>IF(COUNT($N$1273:$N$1286)&lt;14,"",MAX($N$1273:$N$1286))</f>
        <v>0</v>
      </c>
      <c r="Z1286">
        <f>IF(OR(N1286="",X1286="",Y1286="",Y1286=X1286),"",100*(N1286-X1286)/(Y1286-X1286))</f>
        <v>0</v>
      </c>
      <c r="AA1286">
        <f>IF(COUNT($Z$1284:$Z$1286)&lt;3,"",AVERAGE($Z$1284:$Z$1286))</f>
        <v>0</v>
      </c>
      <c r="AB1286">
        <f>IF(COUNT($AA$1284:$AA$1286)&lt;3,"",AVERAGE($AA$1284:$AA$1286))</f>
        <v>0</v>
      </c>
      <c r="AC1286">
        <f>IF($E1286="","",MAX($C1286-$D1286,ABS($C1286-$E1285),ABS($D1286-$E1285)))</f>
        <v>0</v>
      </c>
      <c r="AD1286">
        <f>IF(COUNT($E$2:$E1286)&lt;15,"",AVERAGE($AC$1273:$AC$1286))</f>
        <v>0</v>
      </c>
      <c r="AE1286">
        <f>IF(OR($E1286="",$E1285=""),"",IF(AND(($C1286-$C1285)&gt;($D1285-$D1286),($C1286-$C1285)&gt;0),$C1286-$C1285,0))</f>
        <v>0</v>
      </c>
      <c r="AF1286">
        <f>IF(OR($E1286="",$E1285=""),"",IF(AND(($D1285-$D1286)&gt;($C1286-$C1285),($D1285-$D1286)&gt;0),$D1285-$D1286,0))</f>
        <v>0</v>
      </c>
      <c r="AG1286">
        <f>IF(COUNT($E$2:$E1286)&lt;15,"",IF(SUM($AC$1273:$AC$1286)=0,0,100*SUM($AE$1273:$AE$1286)/SUM($AC$1273:$AC$1286)))</f>
        <v>0</v>
      </c>
      <c r="AH1286">
        <f>IF(COUNT($E$2:$E1286)&lt;15,"",IF(SUM($AC$1273:$AC$1286)=0,0,100*SUM($AF$1273:$AF$1286)/SUM($AC$1273:$AC$1286)))</f>
        <v>0</v>
      </c>
      <c r="AI1286">
        <f>IF(OR(AG1286="",AH1286=""),"",IF((AG1286+AH1286)=0,0,100*ABS(AG1286-AH1286)/(AG1286+AH1286)))</f>
        <v>0</v>
      </c>
      <c r="AJ1286">
        <f>IF(COUNT($AI$1273:$AI$1286)&lt;14,"",AVERAGE($AI$1273:$AI$1286))</f>
        <v>0</v>
      </c>
      <c r="AK1286">
        <f>IF(COUNT($E$2:$E1286)&lt;20,"",AVERAGE($E$1267:$E$1286))</f>
        <v>0</v>
      </c>
      <c r="AL1286">
        <f>IF(COUNT($E$2:$E1286)&lt;20,"",STDEVP($E$1267:$E$1286))</f>
        <v>0</v>
      </c>
      <c r="AM1286">
        <f>IF(AK1286="","",AK1286+2*AL1286)</f>
        <v>0</v>
      </c>
      <c r="AN1286">
        <f>IF(AK1286="","",AK1286-2*AL1286)</f>
        <v>0</v>
      </c>
      <c r="AO1286">
        <f>IF(OR(AM1286="",AN1286="",AM1286=AN1286),"",($E1286-AN1286)/(AM1286-AN1286))</f>
        <v>0</v>
      </c>
      <c r="AP1286">
        <f>IF(OR(AM1286="",AK1286="",AK1286=0),"",(AM1286-AN1286)/AK1286)</f>
        <v>0</v>
      </c>
      <c r="AQ1286">
        <f>IF(COUNT($E$2:$E1286)&lt;20,"",MAX($C$1267:$C$1286))</f>
        <v>0</v>
      </c>
      <c r="AR1286">
        <f>IF(COUNT($E$2:$E1286)&lt;20,"",MIN($D$1267:$D$1286))</f>
        <v>0</v>
      </c>
      <c r="AS1286">
        <f>IF(OR(AQ1286="",AR1286=""),"",(AQ1286+AR1286)/2)</f>
        <v>0</v>
      </c>
      <c r="AT1286">
        <f>IF(COUNT($G$1267:$G$1286)&lt;20,"",STDEV($G$1267:$G$1286)*SQRT(252))</f>
        <v>0</v>
      </c>
      <c r="AU1286">
        <f>IF(COUNT($E$2:$E1286)&lt;9,"",(MAX($C$1278:$C$1286)+MIN($D$1278:$D$1286))/2)</f>
        <v>0</v>
      </c>
      <c r="AV1286">
        <f>IF(COUNT($E$2:$E1286)&lt;26,"",(MAX($C$1261:$C$1286)+MIN($D$1261:$D$1286))/2)</f>
        <v>0</v>
      </c>
      <c r="AW1286">
        <f>IF(OR(AU1286="",AV1286=""),"",(AU1286+AV1286)/2)</f>
        <v>0</v>
      </c>
      <c r="AX1286">
        <f>IF(COUNT($E$2:$E1286)&lt;52,"",(MAX($C$1235:$C$1286)+MIN($D$1235:$D$1286))/2)</f>
        <v>0</v>
      </c>
      <c r="AY1286">
        <f>IF(COUNT($E$2:$E1286)&lt;20,"",MAX($C$1187:$C$1286))</f>
        <v>0</v>
      </c>
      <c r="AZ1286">
        <f>IF(COUNT($E$2:$E1286)&lt;20,"",MIN($D$1187:$D$1286))</f>
        <v>0</v>
      </c>
      <c r="BA1286">
        <f>IF(COUNT($E$2:$E1286)&lt;20,"",SLOPE($E$1187:$E$1286,$F$1187:$F$1286))</f>
        <v>0</v>
      </c>
      <c r="BB1286">
        <f>IF(COUNT($E$2:$E1286)&lt;20,"",INTERCEPT($E$1187:$E$1286,$F$1187:$F$1286))</f>
        <v>0</v>
      </c>
      <c r="BC1286">
        <f>IF(OR(BA1286="",BB1286=""),"",BB1286+BA1286*F1286)</f>
        <v>0</v>
      </c>
      <c r="BD1286">
        <f>IF(COUNT($E$2:$E1286)&lt;20,"",STEYX($E$1187:$E$1286,$F$1187:$F$1286))</f>
        <v>0</v>
      </c>
      <c r="BE1286">
        <f>IF($E1286="","",IF(AND(COUNT($E$1287:$E$1290)&gt;=4,$C1286=MAX($C$1282:$C$1290)),$C1286,""))</f>
        <v>0</v>
      </c>
      <c r="BF1286">
        <f>IF($E1286="","",IF(AND(COUNT($E$1287:$E$1290)&gt;=4,$D1286=MIN($D$1282:$D$1290)),$D1286,""))</f>
        <v>0</v>
      </c>
      <c r="BG1286">
        <f>IF($A1286="","",$A1286-WEEKDAY($A1286,2)+1)</f>
        <v>0</v>
      </c>
      <c r="BH1286">
        <f>IF($A1286="","",IF($A1285="",1,IF(BG1286&lt;&gt;BG1285,1,0)))</f>
        <v>0</v>
      </c>
      <c r="BI1286">
        <f>IF($A1286="","",IF($A1287="",1,IF(BG1287&lt;&gt;BG1286,1,0)))</f>
        <v>0</v>
      </c>
      <c r="BJ1286">
        <f>IF($A1286="","",IF(BH1286=1,$B1286,BJ1285))</f>
        <v>0</v>
      </c>
      <c r="BK1286">
        <f>IF($A1286="","",IF(BH1286=1,$C1286,MAX($C1286,BK1285)))</f>
        <v>0</v>
      </c>
      <c r="BL1286">
        <f>IF($A1286="","",IF(BH1286=1,$D1286,MIN($D1286,BL1285)))</f>
        <v>0</v>
      </c>
      <c r="BM1286">
        <f>IF($A1286="","",IF(BI1286=1,F1286,""))</f>
        <v>0</v>
      </c>
      <c r="BN1286">
        <f>IF($A1286="","",DATE(YEAR($A1286),MONTH($A1286),1))</f>
        <v>0</v>
      </c>
      <c r="BO1286">
        <f>IF($A1286="","",IF($A1285="",1,IF(BN1286&lt;&gt;BN1285,1,0)))</f>
        <v>0</v>
      </c>
      <c r="BP1286">
        <f>IF($A1286="","",IF($A1287="",1,IF(BN1287&lt;&gt;BN1286,1,0)))</f>
        <v>0</v>
      </c>
      <c r="BQ1286">
        <f>IF($A1286="","",IF(BO1286=1,$B1286,BQ1285))</f>
        <v>0</v>
      </c>
      <c r="BR1286">
        <f>IF($A1286="","",IF(BO1286=1,$C1286,MAX($C1286,BR1285)))</f>
        <v>0</v>
      </c>
      <c r="BS1286">
        <f>IF($A1286="","",IF(BO1286=1,$D1286,MIN($D1286,BS1285)))</f>
        <v>0</v>
      </c>
      <c r="BT1286">
        <f>IF($A1286="","",IF(BP1286=1,F1286,""))</f>
        <v>0</v>
      </c>
    </row>
    <row r="1287" spans="1:72">
      <c r="A1287" s="27">
        <f>IF(Data!$A1287="","",Data!$A1287)</f>
        <v>0</v>
      </c>
      <c r="B1287">
        <f>IF(Data!$B1287="","",Data!$B1287)</f>
        <v>0</v>
      </c>
      <c r="C1287">
        <f>IF(Data!$C1287="","",Data!$C1287)</f>
        <v>0</v>
      </c>
      <c r="D1287">
        <f>IF(Data!$D1287="","",Data!$D1287)</f>
        <v>0</v>
      </c>
      <c r="E1287">
        <f>IF(Data!$E1287="","",Data!$E1287)</f>
        <v>0</v>
      </c>
      <c r="F1287">
        <f>IF($E1287="","",N(F1286)+1)</f>
        <v>0</v>
      </c>
      <c r="G1287">
        <f>IF(OR($E1287="",$E1286=""),"",LN($E1287/$E1286))</f>
        <v>0</v>
      </c>
      <c r="H1287">
        <f>IF($E1287="","",IF($E1286="",$E1287,$E1287*0.0952380952+H1286*0.9047619048))</f>
        <v>0</v>
      </c>
      <c r="I1287">
        <f>IF($E1287="","",IF($E1286="",$E1287,$E1287*0.0392156863+I1286*0.9607843137))</f>
        <v>0</v>
      </c>
      <c r="J1287">
        <f>IF($E1287="","",IF($E1286="",$E1287,$E1287*0.0198019802+J1286*0.9801980198))</f>
        <v>0</v>
      </c>
      <c r="K1287">
        <f>IF($E1287="","",IF($E1286="",$E1287,$E1287*0.0099502488+K1286*0.9900497512))</f>
        <v>0</v>
      </c>
      <c r="L1287">
        <f>IF(OR($E1287="",$E1286=""),"",MAX($E1287-$E1286,0))</f>
        <v>0</v>
      </c>
      <c r="M1287">
        <f>IF(OR($E1287="",$E1286=""),"",MAX($E1286-$E1287,0))</f>
        <v>0</v>
      </c>
      <c r="N1287">
        <f>IF(COUNT($E$2:$E1287)&lt;15,"",IF(AVERAGE($M$1274:$M$1287)=0,100,100-100/(1+AVERAGE($L$1274:$L$1287)/AVERAGE($M$1274:$M$1287))))</f>
        <v>0</v>
      </c>
      <c r="O1287">
        <f>IF($E1287="","",IF($E1286="",$E1287,$E1287*0.1538461538+O1286*0.8461538462))</f>
        <v>0</v>
      </c>
      <c r="P1287">
        <f>IF($E1287="","",IF($E1286="",$E1287,$E1287*0.0740740741+P1286*0.9259259259))</f>
        <v>0</v>
      </c>
      <c r="Q1287">
        <f>IF(OR(O1287="",P1287=""),"",O1287-P1287)</f>
        <v>0</v>
      </c>
      <c r="R1287">
        <f>IF(Q1287="","",IF(R1286="",Q1287,Q1287*0.2000000000+R1286*0.8000000000))</f>
        <v>0</v>
      </c>
      <c r="S1287">
        <f>IF(OR(Q1287="",R1287=""),"",Q1287-R1287)</f>
        <v>0</v>
      </c>
      <c r="T1287">
        <f>IF(COUNT($E$2:$E1287)&lt;14,"",MAX($C$1274:$C$1287))</f>
        <v>0</v>
      </c>
      <c r="U1287">
        <f>IF(COUNT($E$2:$E1287)&lt;14,"",MIN($D$1274:$D$1287))</f>
        <v>0</v>
      </c>
      <c r="V1287">
        <f>IF(OR(T1287="",U1287="",T1287=U1287),"",100*($E1287-U1287)/(T1287-U1287))</f>
        <v>0</v>
      </c>
      <c r="W1287">
        <f>IF(COUNT($V$1285:$V$1287)&lt;3,"",AVERAGE($V$1285:$V$1287))</f>
        <v>0</v>
      </c>
      <c r="X1287">
        <f>IF(COUNT($N$1274:$N$1287)&lt;14,"",MIN($N$1274:$N$1287))</f>
        <v>0</v>
      </c>
      <c r="Y1287">
        <f>IF(COUNT($N$1274:$N$1287)&lt;14,"",MAX($N$1274:$N$1287))</f>
        <v>0</v>
      </c>
      <c r="Z1287">
        <f>IF(OR(N1287="",X1287="",Y1287="",Y1287=X1287),"",100*(N1287-X1287)/(Y1287-X1287))</f>
        <v>0</v>
      </c>
      <c r="AA1287">
        <f>IF(COUNT($Z$1285:$Z$1287)&lt;3,"",AVERAGE($Z$1285:$Z$1287))</f>
        <v>0</v>
      </c>
      <c r="AB1287">
        <f>IF(COUNT($AA$1285:$AA$1287)&lt;3,"",AVERAGE($AA$1285:$AA$1287))</f>
        <v>0</v>
      </c>
      <c r="AC1287">
        <f>IF($E1287="","",MAX($C1287-$D1287,ABS($C1287-$E1286),ABS($D1287-$E1286)))</f>
        <v>0</v>
      </c>
      <c r="AD1287">
        <f>IF(COUNT($E$2:$E1287)&lt;15,"",AVERAGE($AC$1274:$AC$1287))</f>
        <v>0</v>
      </c>
      <c r="AE1287">
        <f>IF(OR($E1287="",$E1286=""),"",IF(AND(($C1287-$C1286)&gt;($D1286-$D1287),($C1287-$C1286)&gt;0),$C1287-$C1286,0))</f>
        <v>0</v>
      </c>
      <c r="AF1287">
        <f>IF(OR($E1287="",$E1286=""),"",IF(AND(($D1286-$D1287)&gt;($C1287-$C1286),($D1286-$D1287)&gt;0),$D1286-$D1287,0))</f>
        <v>0</v>
      </c>
      <c r="AG1287">
        <f>IF(COUNT($E$2:$E1287)&lt;15,"",IF(SUM($AC$1274:$AC$1287)=0,0,100*SUM($AE$1274:$AE$1287)/SUM($AC$1274:$AC$1287)))</f>
        <v>0</v>
      </c>
      <c r="AH1287">
        <f>IF(COUNT($E$2:$E1287)&lt;15,"",IF(SUM($AC$1274:$AC$1287)=0,0,100*SUM($AF$1274:$AF$1287)/SUM($AC$1274:$AC$1287)))</f>
        <v>0</v>
      </c>
      <c r="AI1287">
        <f>IF(OR(AG1287="",AH1287=""),"",IF((AG1287+AH1287)=0,0,100*ABS(AG1287-AH1287)/(AG1287+AH1287)))</f>
        <v>0</v>
      </c>
      <c r="AJ1287">
        <f>IF(COUNT($AI$1274:$AI$1287)&lt;14,"",AVERAGE($AI$1274:$AI$1287))</f>
        <v>0</v>
      </c>
      <c r="AK1287">
        <f>IF(COUNT($E$2:$E1287)&lt;20,"",AVERAGE($E$1268:$E$1287))</f>
        <v>0</v>
      </c>
      <c r="AL1287">
        <f>IF(COUNT($E$2:$E1287)&lt;20,"",STDEVP($E$1268:$E$1287))</f>
        <v>0</v>
      </c>
      <c r="AM1287">
        <f>IF(AK1287="","",AK1287+2*AL1287)</f>
        <v>0</v>
      </c>
      <c r="AN1287">
        <f>IF(AK1287="","",AK1287-2*AL1287)</f>
        <v>0</v>
      </c>
      <c r="AO1287">
        <f>IF(OR(AM1287="",AN1287="",AM1287=AN1287),"",($E1287-AN1287)/(AM1287-AN1287))</f>
        <v>0</v>
      </c>
      <c r="AP1287">
        <f>IF(OR(AM1287="",AK1287="",AK1287=0),"",(AM1287-AN1287)/AK1287)</f>
        <v>0</v>
      </c>
      <c r="AQ1287">
        <f>IF(COUNT($E$2:$E1287)&lt;20,"",MAX($C$1268:$C$1287))</f>
        <v>0</v>
      </c>
      <c r="AR1287">
        <f>IF(COUNT($E$2:$E1287)&lt;20,"",MIN($D$1268:$D$1287))</f>
        <v>0</v>
      </c>
      <c r="AS1287">
        <f>IF(OR(AQ1287="",AR1287=""),"",(AQ1287+AR1287)/2)</f>
        <v>0</v>
      </c>
      <c r="AT1287">
        <f>IF(COUNT($G$1268:$G$1287)&lt;20,"",STDEV($G$1268:$G$1287)*SQRT(252))</f>
        <v>0</v>
      </c>
      <c r="AU1287">
        <f>IF(COUNT($E$2:$E1287)&lt;9,"",(MAX($C$1279:$C$1287)+MIN($D$1279:$D$1287))/2)</f>
        <v>0</v>
      </c>
      <c r="AV1287">
        <f>IF(COUNT($E$2:$E1287)&lt;26,"",(MAX($C$1262:$C$1287)+MIN($D$1262:$D$1287))/2)</f>
        <v>0</v>
      </c>
      <c r="AW1287">
        <f>IF(OR(AU1287="",AV1287=""),"",(AU1287+AV1287)/2)</f>
        <v>0</v>
      </c>
      <c r="AX1287">
        <f>IF(COUNT($E$2:$E1287)&lt;52,"",(MAX($C$1236:$C$1287)+MIN($D$1236:$D$1287))/2)</f>
        <v>0</v>
      </c>
      <c r="AY1287">
        <f>IF(COUNT($E$2:$E1287)&lt;20,"",MAX($C$1188:$C$1287))</f>
        <v>0</v>
      </c>
      <c r="AZ1287">
        <f>IF(COUNT($E$2:$E1287)&lt;20,"",MIN($D$1188:$D$1287))</f>
        <v>0</v>
      </c>
      <c r="BA1287">
        <f>IF(COUNT($E$2:$E1287)&lt;20,"",SLOPE($E$1188:$E$1287,$F$1188:$F$1287))</f>
        <v>0</v>
      </c>
      <c r="BB1287">
        <f>IF(COUNT($E$2:$E1287)&lt;20,"",INTERCEPT($E$1188:$E$1287,$F$1188:$F$1287))</f>
        <v>0</v>
      </c>
      <c r="BC1287">
        <f>IF(OR(BA1287="",BB1287=""),"",BB1287+BA1287*F1287)</f>
        <v>0</v>
      </c>
      <c r="BD1287">
        <f>IF(COUNT($E$2:$E1287)&lt;20,"",STEYX($E$1188:$E$1287,$F$1188:$F$1287))</f>
        <v>0</v>
      </c>
      <c r="BE1287">
        <f>IF($E1287="","",IF(AND(COUNT($E$1288:$E$1291)&gt;=4,$C1287=MAX($C$1283:$C$1291)),$C1287,""))</f>
        <v>0</v>
      </c>
      <c r="BF1287">
        <f>IF($E1287="","",IF(AND(COUNT($E$1288:$E$1291)&gt;=4,$D1287=MIN($D$1283:$D$1291)),$D1287,""))</f>
        <v>0</v>
      </c>
      <c r="BG1287">
        <f>IF($A1287="","",$A1287-WEEKDAY($A1287,2)+1)</f>
        <v>0</v>
      </c>
      <c r="BH1287">
        <f>IF($A1287="","",IF($A1286="",1,IF(BG1287&lt;&gt;BG1286,1,0)))</f>
        <v>0</v>
      </c>
      <c r="BI1287">
        <f>IF($A1287="","",IF($A1288="",1,IF(BG1288&lt;&gt;BG1287,1,0)))</f>
        <v>0</v>
      </c>
      <c r="BJ1287">
        <f>IF($A1287="","",IF(BH1287=1,$B1287,BJ1286))</f>
        <v>0</v>
      </c>
      <c r="BK1287">
        <f>IF($A1287="","",IF(BH1287=1,$C1287,MAX($C1287,BK1286)))</f>
        <v>0</v>
      </c>
      <c r="BL1287">
        <f>IF($A1287="","",IF(BH1287=1,$D1287,MIN($D1287,BL1286)))</f>
        <v>0</v>
      </c>
      <c r="BM1287">
        <f>IF($A1287="","",IF(BI1287=1,F1287,""))</f>
        <v>0</v>
      </c>
      <c r="BN1287">
        <f>IF($A1287="","",DATE(YEAR($A1287),MONTH($A1287),1))</f>
        <v>0</v>
      </c>
      <c r="BO1287">
        <f>IF($A1287="","",IF($A1286="",1,IF(BN1287&lt;&gt;BN1286,1,0)))</f>
        <v>0</v>
      </c>
      <c r="BP1287">
        <f>IF($A1287="","",IF($A1288="",1,IF(BN1288&lt;&gt;BN1287,1,0)))</f>
        <v>0</v>
      </c>
      <c r="BQ1287">
        <f>IF($A1287="","",IF(BO1287=1,$B1287,BQ1286))</f>
        <v>0</v>
      </c>
      <c r="BR1287">
        <f>IF($A1287="","",IF(BO1287=1,$C1287,MAX($C1287,BR1286)))</f>
        <v>0</v>
      </c>
      <c r="BS1287">
        <f>IF($A1287="","",IF(BO1287=1,$D1287,MIN($D1287,BS1286)))</f>
        <v>0</v>
      </c>
      <c r="BT1287">
        <f>IF($A1287="","",IF(BP1287=1,F1287,""))</f>
        <v>0</v>
      </c>
    </row>
    <row r="1288" spans="1:72">
      <c r="A1288" s="27">
        <f>IF(Data!$A1288="","",Data!$A1288)</f>
        <v>0</v>
      </c>
      <c r="B1288">
        <f>IF(Data!$B1288="","",Data!$B1288)</f>
        <v>0</v>
      </c>
      <c r="C1288">
        <f>IF(Data!$C1288="","",Data!$C1288)</f>
        <v>0</v>
      </c>
      <c r="D1288">
        <f>IF(Data!$D1288="","",Data!$D1288)</f>
        <v>0</v>
      </c>
      <c r="E1288">
        <f>IF(Data!$E1288="","",Data!$E1288)</f>
        <v>0</v>
      </c>
      <c r="F1288">
        <f>IF($E1288="","",N(F1287)+1)</f>
        <v>0</v>
      </c>
      <c r="G1288">
        <f>IF(OR($E1288="",$E1287=""),"",LN($E1288/$E1287))</f>
        <v>0</v>
      </c>
      <c r="H1288">
        <f>IF($E1288="","",IF($E1287="",$E1288,$E1288*0.0952380952+H1287*0.9047619048))</f>
        <v>0</v>
      </c>
      <c r="I1288">
        <f>IF($E1288="","",IF($E1287="",$E1288,$E1288*0.0392156863+I1287*0.9607843137))</f>
        <v>0</v>
      </c>
      <c r="J1288">
        <f>IF($E1288="","",IF($E1287="",$E1288,$E1288*0.0198019802+J1287*0.9801980198))</f>
        <v>0</v>
      </c>
      <c r="K1288">
        <f>IF($E1288="","",IF($E1287="",$E1288,$E1288*0.0099502488+K1287*0.9900497512))</f>
        <v>0</v>
      </c>
      <c r="L1288">
        <f>IF(OR($E1288="",$E1287=""),"",MAX($E1288-$E1287,0))</f>
        <v>0</v>
      </c>
      <c r="M1288">
        <f>IF(OR($E1288="",$E1287=""),"",MAX($E1287-$E1288,0))</f>
        <v>0</v>
      </c>
      <c r="N1288">
        <f>IF(COUNT($E$2:$E1288)&lt;15,"",IF(AVERAGE($M$1275:$M$1288)=0,100,100-100/(1+AVERAGE($L$1275:$L$1288)/AVERAGE($M$1275:$M$1288))))</f>
        <v>0</v>
      </c>
      <c r="O1288">
        <f>IF($E1288="","",IF($E1287="",$E1288,$E1288*0.1538461538+O1287*0.8461538462))</f>
        <v>0</v>
      </c>
      <c r="P1288">
        <f>IF($E1288="","",IF($E1287="",$E1288,$E1288*0.0740740741+P1287*0.9259259259))</f>
        <v>0</v>
      </c>
      <c r="Q1288">
        <f>IF(OR(O1288="",P1288=""),"",O1288-P1288)</f>
        <v>0</v>
      </c>
      <c r="R1288">
        <f>IF(Q1288="","",IF(R1287="",Q1288,Q1288*0.2000000000+R1287*0.8000000000))</f>
        <v>0</v>
      </c>
      <c r="S1288">
        <f>IF(OR(Q1288="",R1288=""),"",Q1288-R1288)</f>
        <v>0</v>
      </c>
      <c r="T1288">
        <f>IF(COUNT($E$2:$E1288)&lt;14,"",MAX($C$1275:$C$1288))</f>
        <v>0</v>
      </c>
      <c r="U1288">
        <f>IF(COUNT($E$2:$E1288)&lt;14,"",MIN($D$1275:$D$1288))</f>
        <v>0</v>
      </c>
      <c r="V1288">
        <f>IF(OR(T1288="",U1288="",T1288=U1288),"",100*($E1288-U1288)/(T1288-U1288))</f>
        <v>0</v>
      </c>
      <c r="W1288">
        <f>IF(COUNT($V$1286:$V$1288)&lt;3,"",AVERAGE($V$1286:$V$1288))</f>
        <v>0</v>
      </c>
      <c r="X1288">
        <f>IF(COUNT($N$1275:$N$1288)&lt;14,"",MIN($N$1275:$N$1288))</f>
        <v>0</v>
      </c>
      <c r="Y1288">
        <f>IF(COUNT($N$1275:$N$1288)&lt;14,"",MAX($N$1275:$N$1288))</f>
        <v>0</v>
      </c>
      <c r="Z1288">
        <f>IF(OR(N1288="",X1288="",Y1288="",Y1288=X1288),"",100*(N1288-X1288)/(Y1288-X1288))</f>
        <v>0</v>
      </c>
      <c r="AA1288">
        <f>IF(COUNT($Z$1286:$Z$1288)&lt;3,"",AVERAGE($Z$1286:$Z$1288))</f>
        <v>0</v>
      </c>
      <c r="AB1288">
        <f>IF(COUNT($AA$1286:$AA$1288)&lt;3,"",AVERAGE($AA$1286:$AA$1288))</f>
        <v>0</v>
      </c>
      <c r="AC1288">
        <f>IF($E1288="","",MAX($C1288-$D1288,ABS($C1288-$E1287),ABS($D1288-$E1287)))</f>
        <v>0</v>
      </c>
      <c r="AD1288">
        <f>IF(COUNT($E$2:$E1288)&lt;15,"",AVERAGE($AC$1275:$AC$1288))</f>
        <v>0</v>
      </c>
      <c r="AE1288">
        <f>IF(OR($E1288="",$E1287=""),"",IF(AND(($C1288-$C1287)&gt;($D1287-$D1288),($C1288-$C1287)&gt;0),$C1288-$C1287,0))</f>
        <v>0</v>
      </c>
      <c r="AF1288">
        <f>IF(OR($E1288="",$E1287=""),"",IF(AND(($D1287-$D1288)&gt;($C1288-$C1287),($D1287-$D1288)&gt;0),$D1287-$D1288,0))</f>
        <v>0</v>
      </c>
      <c r="AG1288">
        <f>IF(COUNT($E$2:$E1288)&lt;15,"",IF(SUM($AC$1275:$AC$1288)=0,0,100*SUM($AE$1275:$AE$1288)/SUM($AC$1275:$AC$1288)))</f>
        <v>0</v>
      </c>
      <c r="AH1288">
        <f>IF(COUNT($E$2:$E1288)&lt;15,"",IF(SUM($AC$1275:$AC$1288)=0,0,100*SUM($AF$1275:$AF$1288)/SUM($AC$1275:$AC$1288)))</f>
        <v>0</v>
      </c>
      <c r="AI1288">
        <f>IF(OR(AG1288="",AH1288=""),"",IF((AG1288+AH1288)=0,0,100*ABS(AG1288-AH1288)/(AG1288+AH1288)))</f>
        <v>0</v>
      </c>
      <c r="AJ1288">
        <f>IF(COUNT($AI$1275:$AI$1288)&lt;14,"",AVERAGE($AI$1275:$AI$1288))</f>
        <v>0</v>
      </c>
      <c r="AK1288">
        <f>IF(COUNT($E$2:$E1288)&lt;20,"",AVERAGE($E$1269:$E$1288))</f>
        <v>0</v>
      </c>
      <c r="AL1288">
        <f>IF(COUNT($E$2:$E1288)&lt;20,"",STDEVP($E$1269:$E$1288))</f>
        <v>0</v>
      </c>
      <c r="AM1288">
        <f>IF(AK1288="","",AK1288+2*AL1288)</f>
        <v>0</v>
      </c>
      <c r="AN1288">
        <f>IF(AK1288="","",AK1288-2*AL1288)</f>
        <v>0</v>
      </c>
      <c r="AO1288">
        <f>IF(OR(AM1288="",AN1288="",AM1288=AN1288),"",($E1288-AN1288)/(AM1288-AN1288))</f>
        <v>0</v>
      </c>
      <c r="AP1288">
        <f>IF(OR(AM1288="",AK1288="",AK1288=0),"",(AM1288-AN1288)/AK1288)</f>
        <v>0</v>
      </c>
      <c r="AQ1288">
        <f>IF(COUNT($E$2:$E1288)&lt;20,"",MAX($C$1269:$C$1288))</f>
        <v>0</v>
      </c>
      <c r="AR1288">
        <f>IF(COUNT($E$2:$E1288)&lt;20,"",MIN($D$1269:$D$1288))</f>
        <v>0</v>
      </c>
      <c r="AS1288">
        <f>IF(OR(AQ1288="",AR1288=""),"",(AQ1288+AR1288)/2)</f>
        <v>0</v>
      </c>
      <c r="AT1288">
        <f>IF(COUNT($G$1269:$G$1288)&lt;20,"",STDEV($G$1269:$G$1288)*SQRT(252))</f>
        <v>0</v>
      </c>
      <c r="AU1288">
        <f>IF(COUNT($E$2:$E1288)&lt;9,"",(MAX($C$1280:$C$1288)+MIN($D$1280:$D$1288))/2)</f>
        <v>0</v>
      </c>
      <c r="AV1288">
        <f>IF(COUNT($E$2:$E1288)&lt;26,"",(MAX($C$1263:$C$1288)+MIN($D$1263:$D$1288))/2)</f>
        <v>0</v>
      </c>
      <c r="AW1288">
        <f>IF(OR(AU1288="",AV1288=""),"",(AU1288+AV1288)/2)</f>
        <v>0</v>
      </c>
      <c r="AX1288">
        <f>IF(COUNT($E$2:$E1288)&lt;52,"",(MAX($C$1237:$C$1288)+MIN($D$1237:$D$1288))/2)</f>
        <v>0</v>
      </c>
      <c r="AY1288">
        <f>IF(COUNT($E$2:$E1288)&lt;20,"",MAX($C$1189:$C$1288))</f>
        <v>0</v>
      </c>
      <c r="AZ1288">
        <f>IF(COUNT($E$2:$E1288)&lt;20,"",MIN($D$1189:$D$1288))</f>
        <v>0</v>
      </c>
      <c r="BA1288">
        <f>IF(COUNT($E$2:$E1288)&lt;20,"",SLOPE($E$1189:$E$1288,$F$1189:$F$1288))</f>
        <v>0</v>
      </c>
      <c r="BB1288">
        <f>IF(COUNT($E$2:$E1288)&lt;20,"",INTERCEPT($E$1189:$E$1288,$F$1189:$F$1288))</f>
        <v>0</v>
      </c>
      <c r="BC1288">
        <f>IF(OR(BA1288="",BB1288=""),"",BB1288+BA1288*F1288)</f>
        <v>0</v>
      </c>
      <c r="BD1288">
        <f>IF(COUNT($E$2:$E1288)&lt;20,"",STEYX($E$1189:$E$1288,$F$1189:$F$1288))</f>
        <v>0</v>
      </c>
      <c r="BE1288">
        <f>IF($E1288="","",IF(AND(COUNT($E$1289:$E$1292)&gt;=4,$C1288=MAX($C$1284:$C$1292)),$C1288,""))</f>
        <v>0</v>
      </c>
      <c r="BF1288">
        <f>IF($E1288="","",IF(AND(COUNT($E$1289:$E$1292)&gt;=4,$D1288=MIN($D$1284:$D$1292)),$D1288,""))</f>
        <v>0</v>
      </c>
      <c r="BG1288">
        <f>IF($A1288="","",$A1288-WEEKDAY($A1288,2)+1)</f>
        <v>0</v>
      </c>
      <c r="BH1288">
        <f>IF($A1288="","",IF($A1287="",1,IF(BG1288&lt;&gt;BG1287,1,0)))</f>
        <v>0</v>
      </c>
      <c r="BI1288">
        <f>IF($A1288="","",IF($A1289="",1,IF(BG1289&lt;&gt;BG1288,1,0)))</f>
        <v>0</v>
      </c>
      <c r="BJ1288">
        <f>IF($A1288="","",IF(BH1288=1,$B1288,BJ1287))</f>
        <v>0</v>
      </c>
      <c r="BK1288">
        <f>IF($A1288="","",IF(BH1288=1,$C1288,MAX($C1288,BK1287)))</f>
        <v>0</v>
      </c>
      <c r="BL1288">
        <f>IF($A1288="","",IF(BH1288=1,$D1288,MIN($D1288,BL1287)))</f>
        <v>0</v>
      </c>
      <c r="BM1288">
        <f>IF($A1288="","",IF(BI1288=1,F1288,""))</f>
        <v>0</v>
      </c>
      <c r="BN1288">
        <f>IF($A1288="","",DATE(YEAR($A1288),MONTH($A1288),1))</f>
        <v>0</v>
      </c>
      <c r="BO1288">
        <f>IF($A1288="","",IF($A1287="",1,IF(BN1288&lt;&gt;BN1287,1,0)))</f>
        <v>0</v>
      </c>
      <c r="BP1288">
        <f>IF($A1288="","",IF($A1289="",1,IF(BN1289&lt;&gt;BN1288,1,0)))</f>
        <v>0</v>
      </c>
      <c r="BQ1288">
        <f>IF($A1288="","",IF(BO1288=1,$B1288,BQ1287))</f>
        <v>0</v>
      </c>
      <c r="BR1288">
        <f>IF($A1288="","",IF(BO1288=1,$C1288,MAX($C1288,BR1287)))</f>
        <v>0</v>
      </c>
      <c r="BS1288">
        <f>IF($A1288="","",IF(BO1288=1,$D1288,MIN($D1288,BS1287)))</f>
        <v>0</v>
      </c>
      <c r="BT1288">
        <f>IF($A1288="","",IF(BP1288=1,F1288,""))</f>
        <v>0</v>
      </c>
    </row>
    <row r="1289" spans="1:72">
      <c r="A1289" s="27">
        <f>IF(Data!$A1289="","",Data!$A1289)</f>
        <v>0</v>
      </c>
      <c r="B1289">
        <f>IF(Data!$B1289="","",Data!$B1289)</f>
        <v>0</v>
      </c>
      <c r="C1289">
        <f>IF(Data!$C1289="","",Data!$C1289)</f>
        <v>0</v>
      </c>
      <c r="D1289">
        <f>IF(Data!$D1289="","",Data!$D1289)</f>
        <v>0</v>
      </c>
      <c r="E1289">
        <f>IF(Data!$E1289="","",Data!$E1289)</f>
        <v>0</v>
      </c>
      <c r="F1289">
        <f>IF($E1289="","",N(F1288)+1)</f>
        <v>0</v>
      </c>
      <c r="G1289">
        <f>IF(OR($E1289="",$E1288=""),"",LN($E1289/$E1288))</f>
        <v>0</v>
      </c>
      <c r="H1289">
        <f>IF($E1289="","",IF($E1288="",$E1289,$E1289*0.0952380952+H1288*0.9047619048))</f>
        <v>0</v>
      </c>
      <c r="I1289">
        <f>IF($E1289="","",IF($E1288="",$E1289,$E1289*0.0392156863+I1288*0.9607843137))</f>
        <v>0</v>
      </c>
      <c r="J1289">
        <f>IF($E1289="","",IF($E1288="",$E1289,$E1289*0.0198019802+J1288*0.9801980198))</f>
        <v>0</v>
      </c>
      <c r="K1289">
        <f>IF($E1289="","",IF($E1288="",$E1289,$E1289*0.0099502488+K1288*0.9900497512))</f>
        <v>0</v>
      </c>
      <c r="L1289">
        <f>IF(OR($E1289="",$E1288=""),"",MAX($E1289-$E1288,0))</f>
        <v>0</v>
      </c>
      <c r="M1289">
        <f>IF(OR($E1289="",$E1288=""),"",MAX($E1288-$E1289,0))</f>
        <v>0</v>
      </c>
      <c r="N1289">
        <f>IF(COUNT($E$2:$E1289)&lt;15,"",IF(AVERAGE($M$1276:$M$1289)=0,100,100-100/(1+AVERAGE($L$1276:$L$1289)/AVERAGE($M$1276:$M$1289))))</f>
        <v>0</v>
      </c>
      <c r="O1289">
        <f>IF($E1289="","",IF($E1288="",$E1289,$E1289*0.1538461538+O1288*0.8461538462))</f>
        <v>0</v>
      </c>
      <c r="P1289">
        <f>IF($E1289="","",IF($E1288="",$E1289,$E1289*0.0740740741+P1288*0.9259259259))</f>
        <v>0</v>
      </c>
      <c r="Q1289">
        <f>IF(OR(O1289="",P1289=""),"",O1289-P1289)</f>
        <v>0</v>
      </c>
      <c r="R1289">
        <f>IF(Q1289="","",IF(R1288="",Q1289,Q1289*0.2000000000+R1288*0.8000000000))</f>
        <v>0</v>
      </c>
      <c r="S1289">
        <f>IF(OR(Q1289="",R1289=""),"",Q1289-R1289)</f>
        <v>0</v>
      </c>
      <c r="T1289">
        <f>IF(COUNT($E$2:$E1289)&lt;14,"",MAX($C$1276:$C$1289))</f>
        <v>0</v>
      </c>
      <c r="U1289">
        <f>IF(COUNT($E$2:$E1289)&lt;14,"",MIN($D$1276:$D$1289))</f>
        <v>0</v>
      </c>
      <c r="V1289">
        <f>IF(OR(T1289="",U1289="",T1289=U1289),"",100*($E1289-U1289)/(T1289-U1289))</f>
        <v>0</v>
      </c>
      <c r="W1289">
        <f>IF(COUNT($V$1287:$V$1289)&lt;3,"",AVERAGE($V$1287:$V$1289))</f>
        <v>0</v>
      </c>
      <c r="X1289">
        <f>IF(COUNT($N$1276:$N$1289)&lt;14,"",MIN($N$1276:$N$1289))</f>
        <v>0</v>
      </c>
      <c r="Y1289">
        <f>IF(COUNT($N$1276:$N$1289)&lt;14,"",MAX($N$1276:$N$1289))</f>
        <v>0</v>
      </c>
      <c r="Z1289">
        <f>IF(OR(N1289="",X1289="",Y1289="",Y1289=X1289),"",100*(N1289-X1289)/(Y1289-X1289))</f>
        <v>0</v>
      </c>
      <c r="AA1289">
        <f>IF(COUNT($Z$1287:$Z$1289)&lt;3,"",AVERAGE($Z$1287:$Z$1289))</f>
        <v>0</v>
      </c>
      <c r="AB1289">
        <f>IF(COUNT($AA$1287:$AA$1289)&lt;3,"",AVERAGE($AA$1287:$AA$1289))</f>
        <v>0</v>
      </c>
      <c r="AC1289">
        <f>IF($E1289="","",MAX($C1289-$D1289,ABS($C1289-$E1288),ABS($D1289-$E1288)))</f>
        <v>0</v>
      </c>
      <c r="AD1289">
        <f>IF(COUNT($E$2:$E1289)&lt;15,"",AVERAGE($AC$1276:$AC$1289))</f>
        <v>0</v>
      </c>
      <c r="AE1289">
        <f>IF(OR($E1289="",$E1288=""),"",IF(AND(($C1289-$C1288)&gt;($D1288-$D1289),($C1289-$C1288)&gt;0),$C1289-$C1288,0))</f>
        <v>0</v>
      </c>
      <c r="AF1289">
        <f>IF(OR($E1289="",$E1288=""),"",IF(AND(($D1288-$D1289)&gt;($C1289-$C1288),($D1288-$D1289)&gt;0),$D1288-$D1289,0))</f>
        <v>0</v>
      </c>
      <c r="AG1289">
        <f>IF(COUNT($E$2:$E1289)&lt;15,"",IF(SUM($AC$1276:$AC$1289)=0,0,100*SUM($AE$1276:$AE$1289)/SUM($AC$1276:$AC$1289)))</f>
        <v>0</v>
      </c>
      <c r="AH1289">
        <f>IF(COUNT($E$2:$E1289)&lt;15,"",IF(SUM($AC$1276:$AC$1289)=0,0,100*SUM($AF$1276:$AF$1289)/SUM($AC$1276:$AC$1289)))</f>
        <v>0</v>
      </c>
      <c r="AI1289">
        <f>IF(OR(AG1289="",AH1289=""),"",IF((AG1289+AH1289)=0,0,100*ABS(AG1289-AH1289)/(AG1289+AH1289)))</f>
        <v>0</v>
      </c>
      <c r="AJ1289">
        <f>IF(COUNT($AI$1276:$AI$1289)&lt;14,"",AVERAGE($AI$1276:$AI$1289))</f>
        <v>0</v>
      </c>
      <c r="AK1289">
        <f>IF(COUNT($E$2:$E1289)&lt;20,"",AVERAGE($E$1270:$E$1289))</f>
        <v>0</v>
      </c>
      <c r="AL1289">
        <f>IF(COUNT($E$2:$E1289)&lt;20,"",STDEVP($E$1270:$E$1289))</f>
        <v>0</v>
      </c>
      <c r="AM1289">
        <f>IF(AK1289="","",AK1289+2*AL1289)</f>
        <v>0</v>
      </c>
      <c r="AN1289">
        <f>IF(AK1289="","",AK1289-2*AL1289)</f>
        <v>0</v>
      </c>
      <c r="AO1289">
        <f>IF(OR(AM1289="",AN1289="",AM1289=AN1289),"",($E1289-AN1289)/(AM1289-AN1289))</f>
        <v>0</v>
      </c>
      <c r="AP1289">
        <f>IF(OR(AM1289="",AK1289="",AK1289=0),"",(AM1289-AN1289)/AK1289)</f>
        <v>0</v>
      </c>
      <c r="AQ1289">
        <f>IF(COUNT($E$2:$E1289)&lt;20,"",MAX($C$1270:$C$1289))</f>
        <v>0</v>
      </c>
      <c r="AR1289">
        <f>IF(COUNT($E$2:$E1289)&lt;20,"",MIN($D$1270:$D$1289))</f>
        <v>0</v>
      </c>
      <c r="AS1289">
        <f>IF(OR(AQ1289="",AR1289=""),"",(AQ1289+AR1289)/2)</f>
        <v>0</v>
      </c>
      <c r="AT1289">
        <f>IF(COUNT($G$1270:$G$1289)&lt;20,"",STDEV($G$1270:$G$1289)*SQRT(252))</f>
        <v>0</v>
      </c>
      <c r="AU1289">
        <f>IF(COUNT($E$2:$E1289)&lt;9,"",(MAX($C$1281:$C$1289)+MIN($D$1281:$D$1289))/2)</f>
        <v>0</v>
      </c>
      <c r="AV1289">
        <f>IF(COUNT($E$2:$E1289)&lt;26,"",(MAX($C$1264:$C$1289)+MIN($D$1264:$D$1289))/2)</f>
        <v>0</v>
      </c>
      <c r="AW1289">
        <f>IF(OR(AU1289="",AV1289=""),"",(AU1289+AV1289)/2)</f>
        <v>0</v>
      </c>
      <c r="AX1289">
        <f>IF(COUNT($E$2:$E1289)&lt;52,"",(MAX($C$1238:$C$1289)+MIN($D$1238:$D$1289))/2)</f>
        <v>0</v>
      </c>
      <c r="AY1289">
        <f>IF(COUNT($E$2:$E1289)&lt;20,"",MAX($C$1190:$C$1289))</f>
        <v>0</v>
      </c>
      <c r="AZ1289">
        <f>IF(COUNT($E$2:$E1289)&lt;20,"",MIN($D$1190:$D$1289))</f>
        <v>0</v>
      </c>
      <c r="BA1289">
        <f>IF(COUNT($E$2:$E1289)&lt;20,"",SLOPE($E$1190:$E$1289,$F$1190:$F$1289))</f>
        <v>0</v>
      </c>
      <c r="BB1289">
        <f>IF(COUNT($E$2:$E1289)&lt;20,"",INTERCEPT($E$1190:$E$1289,$F$1190:$F$1289))</f>
        <v>0</v>
      </c>
      <c r="BC1289">
        <f>IF(OR(BA1289="",BB1289=""),"",BB1289+BA1289*F1289)</f>
        <v>0</v>
      </c>
      <c r="BD1289">
        <f>IF(COUNT($E$2:$E1289)&lt;20,"",STEYX($E$1190:$E$1289,$F$1190:$F$1289))</f>
        <v>0</v>
      </c>
      <c r="BE1289">
        <f>IF($E1289="","",IF(AND(COUNT($E$1290:$E$1293)&gt;=4,$C1289=MAX($C$1285:$C$1293)),$C1289,""))</f>
        <v>0</v>
      </c>
      <c r="BF1289">
        <f>IF($E1289="","",IF(AND(COUNT($E$1290:$E$1293)&gt;=4,$D1289=MIN($D$1285:$D$1293)),$D1289,""))</f>
        <v>0</v>
      </c>
      <c r="BG1289">
        <f>IF($A1289="","",$A1289-WEEKDAY($A1289,2)+1)</f>
        <v>0</v>
      </c>
      <c r="BH1289">
        <f>IF($A1289="","",IF($A1288="",1,IF(BG1289&lt;&gt;BG1288,1,0)))</f>
        <v>0</v>
      </c>
      <c r="BI1289">
        <f>IF($A1289="","",IF($A1290="",1,IF(BG1290&lt;&gt;BG1289,1,0)))</f>
        <v>0</v>
      </c>
      <c r="BJ1289">
        <f>IF($A1289="","",IF(BH1289=1,$B1289,BJ1288))</f>
        <v>0</v>
      </c>
      <c r="BK1289">
        <f>IF($A1289="","",IF(BH1289=1,$C1289,MAX($C1289,BK1288)))</f>
        <v>0</v>
      </c>
      <c r="BL1289">
        <f>IF($A1289="","",IF(BH1289=1,$D1289,MIN($D1289,BL1288)))</f>
        <v>0</v>
      </c>
      <c r="BM1289">
        <f>IF($A1289="","",IF(BI1289=1,F1289,""))</f>
        <v>0</v>
      </c>
      <c r="BN1289">
        <f>IF($A1289="","",DATE(YEAR($A1289),MONTH($A1289),1))</f>
        <v>0</v>
      </c>
      <c r="BO1289">
        <f>IF($A1289="","",IF($A1288="",1,IF(BN1289&lt;&gt;BN1288,1,0)))</f>
        <v>0</v>
      </c>
      <c r="BP1289">
        <f>IF($A1289="","",IF($A1290="",1,IF(BN1290&lt;&gt;BN1289,1,0)))</f>
        <v>0</v>
      </c>
      <c r="BQ1289">
        <f>IF($A1289="","",IF(BO1289=1,$B1289,BQ1288))</f>
        <v>0</v>
      </c>
      <c r="BR1289">
        <f>IF($A1289="","",IF(BO1289=1,$C1289,MAX($C1289,BR1288)))</f>
        <v>0</v>
      </c>
      <c r="BS1289">
        <f>IF($A1289="","",IF(BO1289=1,$D1289,MIN($D1289,BS1288)))</f>
        <v>0</v>
      </c>
      <c r="BT1289">
        <f>IF($A1289="","",IF(BP1289=1,F1289,""))</f>
        <v>0</v>
      </c>
    </row>
    <row r="1290" spans="1:72">
      <c r="A1290" s="27">
        <f>IF(Data!$A1290="","",Data!$A1290)</f>
        <v>0</v>
      </c>
      <c r="B1290">
        <f>IF(Data!$B1290="","",Data!$B1290)</f>
        <v>0</v>
      </c>
      <c r="C1290">
        <f>IF(Data!$C1290="","",Data!$C1290)</f>
        <v>0</v>
      </c>
      <c r="D1290">
        <f>IF(Data!$D1290="","",Data!$D1290)</f>
        <v>0</v>
      </c>
      <c r="E1290">
        <f>IF(Data!$E1290="","",Data!$E1290)</f>
        <v>0</v>
      </c>
      <c r="F1290">
        <f>IF($E1290="","",N(F1289)+1)</f>
        <v>0</v>
      </c>
      <c r="G1290">
        <f>IF(OR($E1290="",$E1289=""),"",LN($E1290/$E1289))</f>
        <v>0</v>
      </c>
      <c r="H1290">
        <f>IF($E1290="","",IF($E1289="",$E1290,$E1290*0.0952380952+H1289*0.9047619048))</f>
        <v>0</v>
      </c>
      <c r="I1290">
        <f>IF($E1290="","",IF($E1289="",$E1290,$E1290*0.0392156863+I1289*0.9607843137))</f>
        <v>0</v>
      </c>
      <c r="J1290">
        <f>IF($E1290="","",IF($E1289="",$E1290,$E1290*0.0198019802+J1289*0.9801980198))</f>
        <v>0</v>
      </c>
      <c r="K1290">
        <f>IF($E1290="","",IF($E1289="",$E1290,$E1290*0.0099502488+K1289*0.9900497512))</f>
        <v>0</v>
      </c>
      <c r="L1290">
        <f>IF(OR($E1290="",$E1289=""),"",MAX($E1290-$E1289,0))</f>
        <v>0</v>
      </c>
      <c r="M1290">
        <f>IF(OR($E1290="",$E1289=""),"",MAX($E1289-$E1290,0))</f>
        <v>0</v>
      </c>
      <c r="N1290">
        <f>IF(COUNT($E$2:$E1290)&lt;15,"",IF(AVERAGE($M$1277:$M$1290)=0,100,100-100/(1+AVERAGE($L$1277:$L$1290)/AVERAGE($M$1277:$M$1290))))</f>
        <v>0</v>
      </c>
      <c r="O1290">
        <f>IF($E1290="","",IF($E1289="",$E1290,$E1290*0.1538461538+O1289*0.8461538462))</f>
        <v>0</v>
      </c>
      <c r="P1290">
        <f>IF($E1290="","",IF($E1289="",$E1290,$E1290*0.0740740741+P1289*0.9259259259))</f>
        <v>0</v>
      </c>
      <c r="Q1290">
        <f>IF(OR(O1290="",P1290=""),"",O1290-P1290)</f>
        <v>0</v>
      </c>
      <c r="R1290">
        <f>IF(Q1290="","",IF(R1289="",Q1290,Q1290*0.2000000000+R1289*0.8000000000))</f>
        <v>0</v>
      </c>
      <c r="S1290">
        <f>IF(OR(Q1290="",R1290=""),"",Q1290-R1290)</f>
        <v>0</v>
      </c>
      <c r="T1290">
        <f>IF(COUNT($E$2:$E1290)&lt;14,"",MAX($C$1277:$C$1290))</f>
        <v>0</v>
      </c>
      <c r="U1290">
        <f>IF(COUNT($E$2:$E1290)&lt;14,"",MIN($D$1277:$D$1290))</f>
        <v>0</v>
      </c>
      <c r="V1290">
        <f>IF(OR(T1290="",U1290="",T1290=U1290),"",100*($E1290-U1290)/(T1290-U1290))</f>
        <v>0</v>
      </c>
      <c r="W1290">
        <f>IF(COUNT($V$1288:$V$1290)&lt;3,"",AVERAGE($V$1288:$V$1290))</f>
        <v>0</v>
      </c>
      <c r="X1290">
        <f>IF(COUNT($N$1277:$N$1290)&lt;14,"",MIN($N$1277:$N$1290))</f>
        <v>0</v>
      </c>
      <c r="Y1290">
        <f>IF(COUNT($N$1277:$N$1290)&lt;14,"",MAX($N$1277:$N$1290))</f>
        <v>0</v>
      </c>
      <c r="Z1290">
        <f>IF(OR(N1290="",X1290="",Y1290="",Y1290=X1290),"",100*(N1290-X1290)/(Y1290-X1290))</f>
        <v>0</v>
      </c>
      <c r="AA1290">
        <f>IF(COUNT($Z$1288:$Z$1290)&lt;3,"",AVERAGE($Z$1288:$Z$1290))</f>
        <v>0</v>
      </c>
      <c r="AB1290">
        <f>IF(COUNT($AA$1288:$AA$1290)&lt;3,"",AVERAGE($AA$1288:$AA$1290))</f>
        <v>0</v>
      </c>
      <c r="AC1290">
        <f>IF($E1290="","",MAX($C1290-$D1290,ABS($C1290-$E1289),ABS($D1290-$E1289)))</f>
        <v>0</v>
      </c>
      <c r="AD1290">
        <f>IF(COUNT($E$2:$E1290)&lt;15,"",AVERAGE($AC$1277:$AC$1290))</f>
        <v>0</v>
      </c>
      <c r="AE1290">
        <f>IF(OR($E1290="",$E1289=""),"",IF(AND(($C1290-$C1289)&gt;($D1289-$D1290),($C1290-$C1289)&gt;0),$C1290-$C1289,0))</f>
        <v>0</v>
      </c>
      <c r="AF1290">
        <f>IF(OR($E1290="",$E1289=""),"",IF(AND(($D1289-$D1290)&gt;($C1290-$C1289),($D1289-$D1290)&gt;0),$D1289-$D1290,0))</f>
        <v>0</v>
      </c>
      <c r="AG1290">
        <f>IF(COUNT($E$2:$E1290)&lt;15,"",IF(SUM($AC$1277:$AC$1290)=0,0,100*SUM($AE$1277:$AE$1290)/SUM($AC$1277:$AC$1290)))</f>
        <v>0</v>
      </c>
      <c r="AH1290">
        <f>IF(COUNT($E$2:$E1290)&lt;15,"",IF(SUM($AC$1277:$AC$1290)=0,0,100*SUM($AF$1277:$AF$1290)/SUM($AC$1277:$AC$1290)))</f>
        <v>0</v>
      </c>
      <c r="AI1290">
        <f>IF(OR(AG1290="",AH1290=""),"",IF((AG1290+AH1290)=0,0,100*ABS(AG1290-AH1290)/(AG1290+AH1290)))</f>
        <v>0</v>
      </c>
      <c r="AJ1290">
        <f>IF(COUNT($AI$1277:$AI$1290)&lt;14,"",AVERAGE($AI$1277:$AI$1290))</f>
        <v>0</v>
      </c>
      <c r="AK1290">
        <f>IF(COUNT($E$2:$E1290)&lt;20,"",AVERAGE($E$1271:$E$1290))</f>
        <v>0</v>
      </c>
      <c r="AL1290">
        <f>IF(COUNT($E$2:$E1290)&lt;20,"",STDEVP($E$1271:$E$1290))</f>
        <v>0</v>
      </c>
      <c r="AM1290">
        <f>IF(AK1290="","",AK1290+2*AL1290)</f>
        <v>0</v>
      </c>
      <c r="AN1290">
        <f>IF(AK1290="","",AK1290-2*AL1290)</f>
        <v>0</v>
      </c>
      <c r="AO1290">
        <f>IF(OR(AM1290="",AN1290="",AM1290=AN1290),"",($E1290-AN1290)/(AM1290-AN1290))</f>
        <v>0</v>
      </c>
      <c r="AP1290">
        <f>IF(OR(AM1290="",AK1290="",AK1290=0),"",(AM1290-AN1290)/AK1290)</f>
        <v>0</v>
      </c>
      <c r="AQ1290">
        <f>IF(COUNT($E$2:$E1290)&lt;20,"",MAX($C$1271:$C$1290))</f>
        <v>0</v>
      </c>
      <c r="AR1290">
        <f>IF(COUNT($E$2:$E1290)&lt;20,"",MIN($D$1271:$D$1290))</f>
        <v>0</v>
      </c>
      <c r="AS1290">
        <f>IF(OR(AQ1290="",AR1290=""),"",(AQ1290+AR1290)/2)</f>
        <v>0</v>
      </c>
      <c r="AT1290">
        <f>IF(COUNT($G$1271:$G$1290)&lt;20,"",STDEV($G$1271:$G$1290)*SQRT(252))</f>
        <v>0</v>
      </c>
      <c r="AU1290">
        <f>IF(COUNT($E$2:$E1290)&lt;9,"",(MAX($C$1282:$C$1290)+MIN($D$1282:$D$1290))/2)</f>
        <v>0</v>
      </c>
      <c r="AV1290">
        <f>IF(COUNT($E$2:$E1290)&lt;26,"",(MAX($C$1265:$C$1290)+MIN($D$1265:$D$1290))/2)</f>
        <v>0</v>
      </c>
      <c r="AW1290">
        <f>IF(OR(AU1290="",AV1290=""),"",(AU1290+AV1290)/2)</f>
        <v>0</v>
      </c>
      <c r="AX1290">
        <f>IF(COUNT($E$2:$E1290)&lt;52,"",(MAX($C$1239:$C$1290)+MIN($D$1239:$D$1290))/2)</f>
        <v>0</v>
      </c>
      <c r="AY1290">
        <f>IF(COUNT($E$2:$E1290)&lt;20,"",MAX($C$1191:$C$1290))</f>
        <v>0</v>
      </c>
      <c r="AZ1290">
        <f>IF(COUNT($E$2:$E1290)&lt;20,"",MIN($D$1191:$D$1290))</f>
        <v>0</v>
      </c>
      <c r="BA1290">
        <f>IF(COUNT($E$2:$E1290)&lt;20,"",SLOPE($E$1191:$E$1290,$F$1191:$F$1290))</f>
        <v>0</v>
      </c>
      <c r="BB1290">
        <f>IF(COUNT($E$2:$E1290)&lt;20,"",INTERCEPT($E$1191:$E$1290,$F$1191:$F$1290))</f>
        <v>0</v>
      </c>
      <c r="BC1290">
        <f>IF(OR(BA1290="",BB1290=""),"",BB1290+BA1290*F1290)</f>
        <v>0</v>
      </c>
      <c r="BD1290">
        <f>IF(COUNT($E$2:$E1290)&lt;20,"",STEYX($E$1191:$E$1290,$F$1191:$F$1290))</f>
        <v>0</v>
      </c>
      <c r="BE1290">
        <f>IF($E1290="","",IF(AND(COUNT($E$1291:$E$1294)&gt;=4,$C1290=MAX($C$1286:$C$1294)),$C1290,""))</f>
        <v>0</v>
      </c>
      <c r="BF1290">
        <f>IF($E1290="","",IF(AND(COUNT($E$1291:$E$1294)&gt;=4,$D1290=MIN($D$1286:$D$1294)),$D1290,""))</f>
        <v>0</v>
      </c>
      <c r="BG1290">
        <f>IF($A1290="","",$A1290-WEEKDAY($A1290,2)+1)</f>
        <v>0</v>
      </c>
      <c r="BH1290">
        <f>IF($A1290="","",IF($A1289="",1,IF(BG1290&lt;&gt;BG1289,1,0)))</f>
        <v>0</v>
      </c>
      <c r="BI1290">
        <f>IF($A1290="","",IF($A1291="",1,IF(BG1291&lt;&gt;BG1290,1,0)))</f>
        <v>0</v>
      </c>
      <c r="BJ1290">
        <f>IF($A1290="","",IF(BH1290=1,$B1290,BJ1289))</f>
        <v>0</v>
      </c>
      <c r="BK1290">
        <f>IF($A1290="","",IF(BH1290=1,$C1290,MAX($C1290,BK1289)))</f>
        <v>0</v>
      </c>
      <c r="BL1290">
        <f>IF($A1290="","",IF(BH1290=1,$D1290,MIN($D1290,BL1289)))</f>
        <v>0</v>
      </c>
      <c r="BM1290">
        <f>IF($A1290="","",IF(BI1290=1,F1290,""))</f>
        <v>0</v>
      </c>
      <c r="BN1290">
        <f>IF($A1290="","",DATE(YEAR($A1290),MONTH($A1290),1))</f>
        <v>0</v>
      </c>
      <c r="BO1290">
        <f>IF($A1290="","",IF($A1289="",1,IF(BN1290&lt;&gt;BN1289,1,0)))</f>
        <v>0</v>
      </c>
      <c r="BP1290">
        <f>IF($A1290="","",IF($A1291="",1,IF(BN1291&lt;&gt;BN1290,1,0)))</f>
        <v>0</v>
      </c>
      <c r="BQ1290">
        <f>IF($A1290="","",IF(BO1290=1,$B1290,BQ1289))</f>
        <v>0</v>
      </c>
      <c r="BR1290">
        <f>IF($A1290="","",IF(BO1290=1,$C1290,MAX($C1290,BR1289)))</f>
        <v>0</v>
      </c>
      <c r="BS1290">
        <f>IF($A1290="","",IF(BO1290=1,$D1290,MIN($D1290,BS1289)))</f>
        <v>0</v>
      </c>
      <c r="BT1290">
        <f>IF($A1290="","",IF(BP1290=1,F1290,""))</f>
        <v>0</v>
      </c>
    </row>
    <row r="1291" spans="1:72">
      <c r="A1291" s="27">
        <f>IF(Data!$A1291="","",Data!$A1291)</f>
        <v>0</v>
      </c>
      <c r="B1291">
        <f>IF(Data!$B1291="","",Data!$B1291)</f>
        <v>0</v>
      </c>
      <c r="C1291">
        <f>IF(Data!$C1291="","",Data!$C1291)</f>
        <v>0</v>
      </c>
      <c r="D1291">
        <f>IF(Data!$D1291="","",Data!$D1291)</f>
        <v>0</v>
      </c>
      <c r="E1291">
        <f>IF(Data!$E1291="","",Data!$E1291)</f>
        <v>0</v>
      </c>
      <c r="F1291">
        <f>IF($E1291="","",N(F1290)+1)</f>
        <v>0</v>
      </c>
      <c r="G1291">
        <f>IF(OR($E1291="",$E1290=""),"",LN($E1291/$E1290))</f>
        <v>0</v>
      </c>
      <c r="H1291">
        <f>IF($E1291="","",IF($E1290="",$E1291,$E1291*0.0952380952+H1290*0.9047619048))</f>
        <v>0</v>
      </c>
      <c r="I1291">
        <f>IF($E1291="","",IF($E1290="",$E1291,$E1291*0.0392156863+I1290*0.9607843137))</f>
        <v>0</v>
      </c>
      <c r="J1291">
        <f>IF($E1291="","",IF($E1290="",$E1291,$E1291*0.0198019802+J1290*0.9801980198))</f>
        <v>0</v>
      </c>
      <c r="K1291">
        <f>IF($E1291="","",IF($E1290="",$E1291,$E1291*0.0099502488+K1290*0.9900497512))</f>
        <v>0</v>
      </c>
      <c r="L1291">
        <f>IF(OR($E1291="",$E1290=""),"",MAX($E1291-$E1290,0))</f>
        <v>0</v>
      </c>
      <c r="M1291">
        <f>IF(OR($E1291="",$E1290=""),"",MAX($E1290-$E1291,0))</f>
        <v>0</v>
      </c>
      <c r="N1291">
        <f>IF(COUNT($E$2:$E1291)&lt;15,"",IF(AVERAGE($M$1278:$M$1291)=0,100,100-100/(1+AVERAGE($L$1278:$L$1291)/AVERAGE($M$1278:$M$1291))))</f>
        <v>0</v>
      </c>
      <c r="O1291">
        <f>IF($E1291="","",IF($E1290="",$E1291,$E1291*0.1538461538+O1290*0.8461538462))</f>
        <v>0</v>
      </c>
      <c r="P1291">
        <f>IF($E1291="","",IF($E1290="",$E1291,$E1291*0.0740740741+P1290*0.9259259259))</f>
        <v>0</v>
      </c>
      <c r="Q1291">
        <f>IF(OR(O1291="",P1291=""),"",O1291-P1291)</f>
        <v>0</v>
      </c>
      <c r="R1291">
        <f>IF(Q1291="","",IF(R1290="",Q1291,Q1291*0.2000000000+R1290*0.8000000000))</f>
        <v>0</v>
      </c>
      <c r="S1291">
        <f>IF(OR(Q1291="",R1291=""),"",Q1291-R1291)</f>
        <v>0</v>
      </c>
      <c r="T1291">
        <f>IF(COUNT($E$2:$E1291)&lt;14,"",MAX($C$1278:$C$1291))</f>
        <v>0</v>
      </c>
      <c r="U1291">
        <f>IF(COUNT($E$2:$E1291)&lt;14,"",MIN($D$1278:$D$1291))</f>
        <v>0</v>
      </c>
      <c r="V1291">
        <f>IF(OR(T1291="",U1291="",T1291=U1291),"",100*($E1291-U1291)/(T1291-U1291))</f>
        <v>0</v>
      </c>
      <c r="W1291">
        <f>IF(COUNT($V$1289:$V$1291)&lt;3,"",AVERAGE($V$1289:$V$1291))</f>
        <v>0</v>
      </c>
      <c r="X1291">
        <f>IF(COUNT($N$1278:$N$1291)&lt;14,"",MIN($N$1278:$N$1291))</f>
        <v>0</v>
      </c>
      <c r="Y1291">
        <f>IF(COUNT($N$1278:$N$1291)&lt;14,"",MAX($N$1278:$N$1291))</f>
        <v>0</v>
      </c>
      <c r="Z1291">
        <f>IF(OR(N1291="",X1291="",Y1291="",Y1291=X1291),"",100*(N1291-X1291)/(Y1291-X1291))</f>
        <v>0</v>
      </c>
      <c r="AA1291">
        <f>IF(COUNT($Z$1289:$Z$1291)&lt;3,"",AVERAGE($Z$1289:$Z$1291))</f>
        <v>0</v>
      </c>
      <c r="AB1291">
        <f>IF(COUNT($AA$1289:$AA$1291)&lt;3,"",AVERAGE($AA$1289:$AA$1291))</f>
        <v>0</v>
      </c>
      <c r="AC1291">
        <f>IF($E1291="","",MAX($C1291-$D1291,ABS($C1291-$E1290),ABS($D1291-$E1290)))</f>
        <v>0</v>
      </c>
      <c r="AD1291">
        <f>IF(COUNT($E$2:$E1291)&lt;15,"",AVERAGE($AC$1278:$AC$1291))</f>
        <v>0</v>
      </c>
      <c r="AE1291">
        <f>IF(OR($E1291="",$E1290=""),"",IF(AND(($C1291-$C1290)&gt;($D1290-$D1291),($C1291-$C1290)&gt;0),$C1291-$C1290,0))</f>
        <v>0</v>
      </c>
      <c r="AF1291">
        <f>IF(OR($E1291="",$E1290=""),"",IF(AND(($D1290-$D1291)&gt;($C1291-$C1290),($D1290-$D1291)&gt;0),$D1290-$D1291,0))</f>
        <v>0</v>
      </c>
      <c r="AG1291">
        <f>IF(COUNT($E$2:$E1291)&lt;15,"",IF(SUM($AC$1278:$AC$1291)=0,0,100*SUM($AE$1278:$AE$1291)/SUM($AC$1278:$AC$1291)))</f>
        <v>0</v>
      </c>
      <c r="AH1291">
        <f>IF(COUNT($E$2:$E1291)&lt;15,"",IF(SUM($AC$1278:$AC$1291)=0,0,100*SUM($AF$1278:$AF$1291)/SUM($AC$1278:$AC$1291)))</f>
        <v>0</v>
      </c>
      <c r="AI1291">
        <f>IF(OR(AG1291="",AH1291=""),"",IF((AG1291+AH1291)=0,0,100*ABS(AG1291-AH1291)/(AG1291+AH1291)))</f>
        <v>0</v>
      </c>
      <c r="AJ1291">
        <f>IF(COUNT($AI$1278:$AI$1291)&lt;14,"",AVERAGE($AI$1278:$AI$1291))</f>
        <v>0</v>
      </c>
      <c r="AK1291">
        <f>IF(COUNT($E$2:$E1291)&lt;20,"",AVERAGE($E$1272:$E$1291))</f>
        <v>0</v>
      </c>
      <c r="AL1291">
        <f>IF(COUNT($E$2:$E1291)&lt;20,"",STDEVP($E$1272:$E$1291))</f>
        <v>0</v>
      </c>
      <c r="AM1291">
        <f>IF(AK1291="","",AK1291+2*AL1291)</f>
        <v>0</v>
      </c>
      <c r="AN1291">
        <f>IF(AK1291="","",AK1291-2*AL1291)</f>
        <v>0</v>
      </c>
      <c r="AO1291">
        <f>IF(OR(AM1291="",AN1291="",AM1291=AN1291),"",($E1291-AN1291)/(AM1291-AN1291))</f>
        <v>0</v>
      </c>
      <c r="AP1291">
        <f>IF(OR(AM1291="",AK1291="",AK1291=0),"",(AM1291-AN1291)/AK1291)</f>
        <v>0</v>
      </c>
      <c r="AQ1291">
        <f>IF(COUNT($E$2:$E1291)&lt;20,"",MAX($C$1272:$C$1291))</f>
        <v>0</v>
      </c>
      <c r="AR1291">
        <f>IF(COUNT($E$2:$E1291)&lt;20,"",MIN($D$1272:$D$1291))</f>
        <v>0</v>
      </c>
      <c r="AS1291">
        <f>IF(OR(AQ1291="",AR1291=""),"",(AQ1291+AR1291)/2)</f>
        <v>0</v>
      </c>
      <c r="AT1291">
        <f>IF(COUNT($G$1272:$G$1291)&lt;20,"",STDEV($G$1272:$G$1291)*SQRT(252))</f>
        <v>0</v>
      </c>
      <c r="AU1291">
        <f>IF(COUNT($E$2:$E1291)&lt;9,"",(MAX($C$1283:$C$1291)+MIN($D$1283:$D$1291))/2)</f>
        <v>0</v>
      </c>
      <c r="AV1291">
        <f>IF(COUNT($E$2:$E1291)&lt;26,"",(MAX($C$1266:$C$1291)+MIN($D$1266:$D$1291))/2)</f>
        <v>0</v>
      </c>
      <c r="AW1291">
        <f>IF(OR(AU1291="",AV1291=""),"",(AU1291+AV1291)/2)</f>
        <v>0</v>
      </c>
      <c r="AX1291">
        <f>IF(COUNT($E$2:$E1291)&lt;52,"",(MAX($C$1240:$C$1291)+MIN($D$1240:$D$1291))/2)</f>
        <v>0</v>
      </c>
      <c r="AY1291">
        <f>IF(COUNT($E$2:$E1291)&lt;20,"",MAX($C$1192:$C$1291))</f>
        <v>0</v>
      </c>
      <c r="AZ1291">
        <f>IF(COUNT($E$2:$E1291)&lt;20,"",MIN($D$1192:$D$1291))</f>
        <v>0</v>
      </c>
      <c r="BA1291">
        <f>IF(COUNT($E$2:$E1291)&lt;20,"",SLOPE($E$1192:$E$1291,$F$1192:$F$1291))</f>
        <v>0</v>
      </c>
      <c r="BB1291">
        <f>IF(COUNT($E$2:$E1291)&lt;20,"",INTERCEPT($E$1192:$E$1291,$F$1192:$F$1291))</f>
        <v>0</v>
      </c>
      <c r="BC1291">
        <f>IF(OR(BA1291="",BB1291=""),"",BB1291+BA1291*F1291)</f>
        <v>0</v>
      </c>
      <c r="BD1291">
        <f>IF(COUNT($E$2:$E1291)&lt;20,"",STEYX($E$1192:$E$1291,$F$1192:$F$1291))</f>
        <v>0</v>
      </c>
      <c r="BE1291">
        <f>IF($E1291="","",IF(AND(COUNT($E$1292:$E$1295)&gt;=4,$C1291=MAX($C$1287:$C$1295)),$C1291,""))</f>
        <v>0</v>
      </c>
      <c r="BF1291">
        <f>IF($E1291="","",IF(AND(COUNT($E$1292:$E$1295)&gt;=4,$D1291=MIN($D$1287:$D$1295)),$D1291,""))</f>
        <v>0</v>
      </c>
      <c r="BG1291">
        <f>IF($A1291="","",$A1291-WEEKDAY($A1291,2)+1)</f>
        <v>0</v>
      </c>
      <c r="BH1291">
        <f>IF($A1291="","",IF($A1290="",1,IF(BG1291&lt;&gt;BG1290,1,0)))</f>
        <v>0</v>
      </c>
      <c r="BI1291">
        <f>IF($A1291="","",IF($A1292="",1,IF(BG1292&lt;&gt;BG1291,1,0)))</f>
        <v>0</v>
      </c>
      <c r="BJ1291">
        <f>IF($A1291="","",IF(BH1291=1,$B1291,BJ1290))</f>
        <v>0</v>
      </c>
      <c r="BK1291">
        <f>IF($A1291="","",IF(BH1291=1,$C1291,MAX($C1291,BK1290)))</f>
        <v>0</v>
      </c>
      <c r="BL1291">
        <f>IF($A1291="","",IF(BH1291=1,$D1291,MIN($D1291,BL1290)))</f>
        <v>0</v>
      </c>
      <c r="BM1291">
        <f>IF($A1291="","",IF(BI1291=1,F1291,""))</f>
        <v>0</v>
      </c>
      <c r="BN1291">
        <f>IF($A1291="","",DATE(YEAR($A1291),MONTH($A1291),1))</f>
        <v>0</v>
      </c>
      <c r="BO1291">
        <f>IF($A1291="","",IF($A1290="",1,IF(BN1291&lt;&gt;BN1290,1,0)))</f>
        <v>0</v>
      </c>
      <c r="BP1291">
        <f>IF($A1291="","",IF($A1292="",1,IF(BN1292&lt;&gt;BN1291,1,0)))</f>
        <v>0</v>
      </c>
      <c r="BQ1291">
        <f>IF($A1291="","",IF(BO1291=1,$B1291,BQ1290))</f>
        <v>0</v>
      </c>
      <c r="BR1291">
        <f>IF($A1291="","",IF(BO1291=1,$C1291,MAX($C1291,BR1290)))</f>
        <v>0</v>
      </c>
      <c r="BS1291">
        <f>IF($A1291="","",IF(BO1291=1,$D1291,MIN($D1291,BS1290)))</f>
        <v>0</v>
      </c>
      <c r="BT1291">
        <f>IF($A1291="","",IF(BP1291=1,F1291,""))</f>
        <v>0</v>
      </c>
    </row>
    <row r="1292" spans="1:72">
      <c r="A1292" s="27">
        <f>IF(Data!$A1292="","",Data!$A1292)</f>
        <v>0</v>
      </c>
      <c r="B1292">
        <f>IF(Data!$B1292="","",Data!$B1292)</f>
        <v>0</v>
      </c>
      <c r="C1292">
        <f>IF(Data!$C1292="","",Data!$C1292)</f>
        <v>0</v>
      </c>
      <c r="D1292">
        <f>IF(Data!$D1292="","",Data!$D1292)</f>
        <v>0</v>
      </c>
      <c r="E1292">
        <f>IF(Data!$E1292="","",Data!$E1292)</f>
        <v>0</v>
      </c>
      <c r="F1292">
        <f>IF($E1292="","",N(F1291)+1)</f>
        <v>0</v>
      </c>
      <c r="G1292">
        <f>IF(OR($E1292="",$E1291=""),"",LN($E1292/$E1291))</f>
        <v>0</v>
      </c>
      <c r="H1292">
        <f>IF($E1292="","",IF($E1291="",$E1292,$E1292*0.0952380952+H1291*0.9047619048))</f>
        <v>0</v>
      </c>
      <c r="I1292">
        <f>IF($E1292="","",IF($E1291="",$E1292,$E1292*0.0392156863+I1291*0.9607843137))</f>
        <v>0</v>
      </c>
      <c r="J1292">
        <f>IF($E1292="","",IF($E1291="",$E1292,$E1292*0.0198019802+J1291*0.9801980198))</f>
        <v>0</v>
      </c>
      <c r="K1292">
        <f>IF($E1292="","",IF($E1291="",$E1292,$E1292*0.0099502488+K1291*0.9900497512))</f>
        <v>0</v>
      </c>
      <c r="L1292">
        <f>IF(OR($E1292="",$E1291=""),"",MAX($E1292-$E1291,0))</f>
        <v>0</v>
      </c>
      <c r="M1292">
        <f>IF(OR($E1292="",$E1291=""),"",MAX($E1291-$E1292,0))</f>
        <v>0</v>
      </c>
      <c r="N1292">
        <f>IF(COUNT($E$2:$E1292)&lt;15,"",IF(AVERAGE($M$1279:$M$1292)=0,100,100-100/(1+AVERAGE($L$1279:$L$1292)/AVERAGE($M$1279:$M$1292))))</f>
        <v>0</v>
      </c>
      <c r="O1292">
        <f>IF($E1292="","",IF($E1291="",$E1292,$E1292*0.1538461538+O1291*0.8461538462))</f>
        <v>0</v>
      </c>
      <c r="P1292">
        <f>IF($E1292="","",IF($E1291="",$E1292,$E1292*0.0740740741+P1291*0.9259259259))</f>
        <v>0</v>
      </c>
      <c r="Q1292">
        <f>IF(OR(O1292="",P1292=""),"",O1292-P1292)</f>
        <v>0</v>
      </c>
      <c r="R1292">
        <f>IF(Q1292="","",IF(R1291="",Q1292,Q1292*0.2000000000+R1291*0.8000000000))</f>
        <v>0</v>
      </c>
      <c r="S1292">
        <f>IF(OR(Q1292="",R1292=""),"",Q1292-R1292)</f>
        <v>0</v>
      </c>
      <c r="T1292">
        <f>IF(COUNT($E$2:$E1292)&lt;14,"",MAX($C$1279:$C$1292))</f>
        <v>0</v>
      </c>
      <c r="U1292">
        <f>IF(COUNT($E$2:$E1292)&lt;14,"",MIN($D$1279:$D$1292))</f>
        <v>0</v>
      </c>
      <c r="V1292">
        <f>IF(OR(T1292="",U1292="",T1292=U1292),"",100*($E1292-U1292)/(T1292-U1292))</f>
        <v>0</v>
      </c>
      <c r="W1292">
        <f>IF(COUNT($V$1290:$V$1292)&lt;3,"",AVERAGE($V$1290:$V$1292))</f>
        <v>0</v>
      </c>
      <c r="X1292">
        <f>IF(COUNT($N$1279:$N$1292)&lt;14,"",MIN($N$1279:$N$1292))</f>
        <v>0</v>
      </c>
      <c r="Y1292">
        <f>IF(COUNT($N$1279:$N$1292)&lt;14,"",MAX($N$1279:$N$1292))</f>
        <v>0</v>
      </c>
      <c r="Z1292">
        <f>IF(OR(N1292="",X1292="",Y1292="",Y1292=X1292),"",100*(N1292-X1292)/(Y1292-X1292))</f>
        <v>0</v>
      </c>
      <c r="AA1292">
        <f>IF(COUNT($Z$1290:$Z$1292)&lt;3,"",AVERAGE($Z$1290:$Z$1292))</f>
        <v>0</v>
      </c>
      <c r="AB1292">
        <f>IF(COUNT($AA$1290:$AA$1292)&lt;3,"",AVERAGE($AA$1290:$AA$1292))</f>
        <v>0</v>
      </c>
      <c r="AC1292">
        <f>IF($E1292="","",MAX($C1292-$D1292,ABS($C1292-$E1291),ABS($D1292-$E1291)))</f>
        <v>0</v>
      </c>
      <c r="AD1292">
        <f>IF(COUNT($E$2:$E1292)&lt;15,"",AVERAGE($AC$1279:$AC$1292))</f>
        <v>0</v>
      </c>
      <c r="AE1292">
        <f>IF(OR($E1292="",$E1291=""),"",IF(AND(($C1292-$C1291)&gt;($D1291-$D1292),($C1292-$C1291)&gt;0),$C1292-$C1291,0))</f>
        <v>0</v>
      </c>
      <c r="AF1292">
        <f>IF(OR($E1292="",$E1291=""),"",IF(AND(($D1291-$D1292)&gt;($C1292-$C1291),($D1291-$D1292)&gt;0),$D1291-$D1292,0))</f>
        <v>0</v>
      </c>
      <c r="AG1292">
        <f>IF(COUNT($E$2:$E1292)&lt;15,"",IF(SUM($AC$1279:$AC$1292)=0,0,100*SUM($AE$1279:$AE$1292)/SUM($AC$1279:$AC$1292)))</f>
        <v>0</v>
      </c>
      <c r="AH1292">
        <f>IF(COUNT($E$2:$E1292)&lt;15,"",IF(SUM($AC$1279:$AC$1292)=0,0,100*SUM($AF$1279:$AF$1292)/SUM($AC$1279:$AC$1292)))</f>
        <v>0</v>
      </c>
      <c r="AI1292">
        <f>IF(OR(AG1292="",AH1292=""),"",IF((AG1292+AH1292)=0,0,100*ABS(AG1292-AH1292)/(AG1292+AH1292)))</f>
        <v>0</v>
      </c>
      <c r="AJ1292">
        <f>IF(COUNT($AI$1279:$AI$1292)&lt;14,"",AVERAGE($AI$1279:$AI$1292))</f>
        <v>0</v>
      </c>
      <c r="AK1292">
        <f>IF(COUNT($E$2:$E1292)&lt;20,"",AVERAGE($E$1273:$E$1292))</f>
        <v>0</v>
      </c>
      <c r="AL1292">
        <f>IF(COUNT($E$2:$E1292)&lt;20,"",STDEVP($E$1273:$E$1292))</f>
        <v>0</v>
      </c>
      <c r="AM1292">
        <f>IF(AK1292="","",AK1292+2*AL1292)</f>
        <v>0</v>
      </c>
      <c r="AN1292">
        <f>IF(AK1292="","",AK1292-2*AL1292)</f>
        <v>0</v>
      </c>
      <c r="AO1292">
        <f>IF(OR(AM1292="",AN1292="",AM1292=AN1292),"",($E1292-AN1292)/(AM1292-AN1292))</f>
        <v>0</v>
      </c>
      <c r="AP1292">
        <f>IF(OR(AM1292="",AK1292="",AK1292=0),"",(AM1292-AN1292)/AK1292)</f>
        <v>0</v>
      </c>
      <c r="AQ1292">
        <f>IF(COUNT($E$2:$E1292)&lt;20,"",MAX($C$1273:$C$1292))</f>
        <v>0</v>
      </c>
      <c r="AR1292">
        <f>IF(COUNT($E$2:$E1292)&lt;20,"",MIN($D$1273:$D$1292))</f>
        <v>0</v>
      </c>
      <c r="AS1292">
        <f>IF(OR(AQ1292="",AR1292=""),"",(AQ1292+AR1292)/2)</f>
        <v>0</v>
      </c>
      <c r="AT1292">
        <f>IF(COUNT($G$1273:$G$1292)&lt;20,"",STDEV($G$1273:$G$1292)*SQRT(252))</f>
        <v>0</v>
      </c>
      <c r="AU1292">
        <f>IF(COUNT($E$2:$E1292)&lt;9,"",(MAX($C$1284:$C$1292)+MIN($D$1284:$D$1292))/2)</f>
        <v>0</v>
      </c>
      <c r="AV1292">
        <f>IF(COUNT($E$2:$E1292)&lt;26,"",(MAX($C$1267:$C$1292)+MIN($D$1267:$D$1292))/2)</f>
        <v>0</v>
      </c>
      <c r="AW1292">
        <f>IF(OR(AU1292="",AV1292=""),"",(AU1292+AV1292)/2)</f>
        <v>0</v>
      </c>
      <c r="AX1292">
        <f>IF(COUNT($E$2:$E1292)&lt;52,"",(MAX($C$1241:$C$1292)+MIN($D$1241:$D$1292))/2)</f>
        <v>0</v>
      </c>
      <c r="AY1292">
        <f>IF(COUNT($E$2:$E1292)&lt;20,"",MAX($C$1193:$C$1292))</f>
        <v>0</v>
      </c>
      <c r="AZ1292">
        <f>IF(COUNT($E$2:$E1292)&lt;20,"",MIN($D$1193:$D$1292))</f>
        <v>0</v>
      </c>
      <c r="BA1292">
        <f>IF(COUNT($E$2:$E1292)&lt;20,"",SLOPE($E$1193:$E$1292,$F$1193:$F$1292))</f>
        <v>0</v>
      </c>
      <c r="BB1292">
        <f>IF(COUNT($E$2:$E1292)&lt;20,"",INTERCEPT($E$1193:$E$1292,$F$1193:$F$1292))</f>
        <v>0</v>
      </c>
      <c r="BC1292">
        <f>IF(OR(BA1292="",BB1292=""),"",BB1292+BA1292*F1292)</f>
        <v>0</v>
      </c>
      <c r="BD1292">
        <f>IF(COUNT($E$2:$E1292)&lt;20,"",STEYX($E$1193:$E$1292,$F$1193:$F$1292))</f>
        <v>0</v>
      </c>
      <c r="BE1292">
        <f>IF($E1292="","",IF(AND(COUNT($E$1293:$E$1296)&gt;=4,$C1292=MAX($C$1288:$C$1296)),$C1292,""))</f>
        <v>0</v>
      </c>
      <c r="BF1292">
        <f>IF($E1292="","",IF(AND(COUNT($E$1293:$E$1296)&gt;=4,$D1292=MIN($D$1288:$D$1296)),$D1292,""))</f>
        <v>0</v>
      </c>
      <c r="BG1292">
        <f>IF($A1292="","",$A1292-WEEKDAY($A1292,2)+1)</f>
        <v>0</v>
      </c>
      <c r="BH1292">
        <f>IF($A1292="","",IF($A1291="",1,IF(BG1292&lt;&gt;BG1291,1,0)))</f>
        <v>0</v>
      </c>
      <c r="BI1292">
        <f>IF($A1292="","",IF($A1293="",1,IF(BG1293&lt;&gt;BG1292,1,0)))</f>
        <v>0</v>
      </c>
      <c r="BJ1292">
        <f>IF($A1292="","",IF(BH1292=1,$B1292,BJ1291))</f>
        <v>0</v>
      </c>
      <c r="BK1292">
        <f>IF($A1292="","",IF(BH1292=1,$C1292,MAX($C1292,BK1291)))</f>
        <v>0</v>
      </c>
      <c r="BL1292">
        <f>IF($A1292="","",IF(BH1292=1,$D1292,MIN($D1292,BL1291)))</f>
        <v>0</v>
      </c>
      <c r="BM1292">
        <f>IF($A1292="","",IF(BI1292=1,F1292,""))</f>
        <v>0</v>
      </c>
      <c r="BN1292">
        <f>IF($A1292="","",DATE(YEAR($A1292),MONTH($A1292),1))</f>
        <v>0</v>
      </c>
      <c r="BO1292">
        <f>IF($A1292="","",IF($A1291="",1,IF(BN1292&lt;&gt;BN1291,1,0)))</f>
        <v>0</v>
      </c>
      <c r="BP1292">
        <f>IF($A1292="","",IF($A1293="",1,IF(BN1293&lt;&gt;BN1292,1,0)))</f>
        <v>0</v>
      </c>
      <c r="BQ1292">
        <f>IF($A1292="","",IF(BO1292=1,$B1292,BQ1291))</f>
        <v>0</v>
      </c>
      <c r="BR1292">
        <f>IF($A1292="","",IF(BO1292=1,$C1292,MAX($C1292,BR1291)))</f>
        <v>0</v>
      </c>
      <c r="BS1292">
        <f>IF($A1292="","",IF(BO1292=1,$D1292,MIN($D1292,BS1291)))</f>
        <v>0</v>
      </c>
      <c r="BT1292">
        <f>IF($A1292="","",IF(BP1292=1,F1292,""))</f>
        <v>0</v>
      </c>
    </row>
    <row r="1293" spans="1:72">
      <c r="A1293" s="27">
        <f>IF(Data!$A1293="","",Data!$A1293)</f>
        <v>0</v>
      </c>
      <c r="B1293">
        <f>IF(Data!$B1293="","",Data!$B1293)</f>
        <v>0</v>
      </c>
      <c r="C1293">
        <f>IF(Data!$C1293="","",Data!$C1293)</f>
        <v>0</v>
      </c>
      <c r="D1293">
        <f>IF(Data!$D1293="","",Data!$D1293)</f>
        <v>0</v>
      </c>
      <c r="E1293">
        <f>IF(Data!$E1293="","",Data!$E1293)</f>
        <v>0</v>
      </c>
      <c r="F1293">
        <f>IF($E1293="","",N(F1292)+1)</f>
        <v>0</v>
      </c>
      <c r="G1293">
        <f>IF(OR($E1293="",$E1292=""),"",LN($E1293/$E1292))</f>
        <v>0</v>
      </c>
      <c r="H1293">
        <f>IF($E1293="","",IF($E1292="",$E1293,$E1293*0.0952380952+H1292*0.9047619048))</f>
        <v>0</v>
      </c>
      <c r="I1293">
        <f>IF($E1293="","",IF($E1292="",$E1293,$E1293*0.0392156863+I1292*0.9607843137))</f>
        <v>0</v>
      </c>
      <c r="J1293">
        <f>IF($E1293="","",IF($E1292="",$E1293,$E1293*0.0198019802+J1292*0.9801980198))</f>
        <v>0</v>
      </c>
      <c r="K1293">
        <f>IF($E1293="","",IF($E1292="",$E1293,$E1293*0.0099502488+K1292*0.9900497512))</f>
        <v>0</v>
      </c>
      <c r="L1293">
        <f>IF(OR($E1293="",$E1292=""),"",MAX($E1293-$E1292,0))</f>
        <v>0</v>
      </c>
      <c r="M1293">
        <f>IF(OR($E1293="",$E1292=""),"",MAX($E1292-$E1293,0))</f>
        <v>0</v>
      </c>
      <c r="N1293">
        <f>IF(COUNT($E$2:$E1293)&lt;15,"",IF(AVERAGE($M$1280:$M$1293)=0,100,100-100/(1+AVERAGE($L$1280:$L$1293)/AVERAGE($M$1280:$M$1293))))</f>
        <v>0</v>
      </c>
      <c r="O1293">
        <f>IF($E1293="","",IF($E1292="",$E1293,$E1293*0.1538461538+O1292*0.8461538462))</f>
        <v>0</v>
      </c>
      <c r="P1293">
        <f>IF($E1293="","",IF($E1292="",$E1293,$E1293*0.0740740741+P1292*0.9259259259))</f>
        <v>0</v>
      </c>
      <c r="Q1293">
        <f>IF(OR(O1293="",P1293=""),"",O1293-P1293)</f>
        <v>0</v>
      </c>
      <c r="R1293">
        <f>IF(Q1293="","",IF(R1292="",Q1293,Q1293*0.2000000000+R1292*0.8000000000))</f>
        <v>0</v>
      </c>
      <c r="S1293">
        <f>IF(OR(Q1293="",R1293=""),"",Q1293-R1293)</f>
        <v>0</v>
      </c>
      <c r="T1293">
        <f>IF(COUNT($E$2:$E1293)&lt;14,"",MAX($C$1280:$C$1293))</f>
        <v>0</v>
      </c>
      <c r="U1293">
        <f>IF(COUNT($E$2:$E1293)&lt;14,"",MIN($D$1280:$D$1293))</f>
        <v>0</v>
      </c>
      <c r="V1293">
        <f>IF(OR(T1293="",U1293="",T1293=U1293),"",100*($E1293-U1293)/(T1293-U1293))</f>
        <v>0</v>
      </c>
      <c r="W1293">
        <f>IF(COUNT($V$1291:$V$1293)&lt;3,"",AVERAGE($V$1291:$V$1293))</f>
        <v>0</v>
      </c>
      <c r="X1293">
        <f>IF(COUNT($N$1280:$N$1293)&lt;14,"",MIN($N$1280:$N$1293))</f>
        <v>0</v>
      </c>
      <c r="Y1293">
        <f>IF(COUNT($N$1280:$N$1293)&lt;14,"",MAX($N$1280:$N$1293))</f>
        <v>0</v>
      </c>
      <c r="Z1293">
        <f>IF(OR(N1293="",X1293="",Y1293="",Y1293=X1293),"",100*(N1293-X1293)/(Y1293-X1293))</f>
        <v>0</v>
      </c>
      <c r="AA1293">
        <f>IF(COUNT($Z$1291:$Z$1293)&lt;3,"",AVERAGE($Z$1291:$Z$1293))</f>
        <v>0</v>
      </c>
      <c r="AB1293">
        <f>IF(COUNT($AA$1291:$AA$1293)&lt;3,"",AVERAGE($AA$1291:$AA$1293))</f>
        <v>0</v>
      </c>
      <c r="AC1293">
        <f>IF($E1293="","",MAX($C1293-$D1293,ABS($C1293-$E1292),ABS($D1293-$E1292)))</f>
        <v>0</v>
      </c>
      <c r="AD1293">
        <f>IF(COUNT($E$2:$E1293)&lt;15,"",AVERAGE($AC$1280:$AC$1293))</f>
        <v>0</v>
      </c>
      <c r="AE1293">
        <f>IF(OR($E1293="",$E1292=""),"",IF(AND(($C1293-$C1292)&gt;($D1292-$D1293),($C1293-$C1292)&gt;0),$C1293-$C1292,0))</f>
        <v>0</v>
      </c>
      <c r="AF1293">
        <f>IF(OR($E1293="",$E1292=""),"",IF(AND(($D1292-$D1293)&gt;($C1293-$C1292),($D1292-$D1293)&gt;0),$D1292-$D1293,0))</f>
        <v>0</v>
      </c>
      <c r="AG1293">
        <f>IF(COUNT($E$2:$E1293)&lt;15,"",IF(SUM($AC$1280:$AC$1293)=0,0,100*SUM($AE$1280:$AE$1293)/SUM($AC$1280:$AC$1293)))</f>
        <v>0</v>
      </c>
      <c r="AH1293">
        <f>IF(COUNT($E$2:$E1293)&lt;15,"",IF(SUM($AC$1280:$AC$1293)=0,0,100*SUM($AF$1280:$AF$1293)/SUM($AC$1280:$AC$1293)))</f>
        <v>0</v>
      </c>
      <c r="AI1293">
        <f>IF(OR(AG1293="",AH1293=""),"",IF((AG1293+AH1293)=0,0,100*ABS(AG1293-AH1293)/(AG1293+AH1293)))</f>
        <v>0</v>
      </c>
      <c r="AJ1293">
        <f>IF(COUNT($AI$1280:$AI$1293)&lt;14,"",AVERAGE($AI$1280:$AI$1293))</f>
        <v>0</v>
      </c>
      <c r="AK1293">
        <f>IF(COUNT($E$2:$E1293)&lt;20,"",AVERAGE($E$1274:$E$1293))</f>
        <v>0</v>
      </c>
      <c r="AL1293">
        <f>IF(COUNT($E$2:$E1293)&lt;20,"",STDEVP($E$1274:$E$1293))</f>
        <v>0</v>
      </c>
      <c r="AM1293">
        <f>IF(AK1293="","",AK1293+2*AL1293)</f>
        <v>0</v>
      </c>
      <c r="AN1293">
        <f>IF(AK1293="","",AK1293-2*AL1293)</f>
        <v>0</v>
      </c>
      <c r="AO1293">
        <f>IF(OR(AM1293="",AN1293="",AM1293=AN1293),"",($E1293-AN1293)/(AM1293-AN1293))</f>
        <v>0</v>
      </c>
      <c r="AP1293">
        <f>IF(OR(AM1293="",AK1293="",AK1293=0),"",(AM1293-AN1293)/AK1293)</f>
        <v>0</v>
      </c>
      <c r="AQ1293">
        <f>IF(COUNT($E$2:$E1293)&lt;20,"",MAX($C$1274:$C$1293))</f>
        <v>0</v>
      </c>
      <c r="AR1293">
        <f>IF(COUNT($E$2:$E1293)&lt;20,"",MIN($D$1274:$D$1293))</f>
        <v>0</v>
      </c>
      <c r="AS1293">
        <f>IF(OR(AQ1293="",AR1293=""),"",(AQ1293+AR1293)/2)</f>
        <v>0</v>
      </c>
      <c r="AT1293">
        <f>IF(COUNT($G$1274:$G$1293)&lt;20,"",STDEV($G$1274:$G$1293)*SQRT(252))</f>
        <v>0</v>
      </c>
      <c r="AU1293">
        <f>IF(COUNT($E$2:$E1293)&lt;9,"",(MAX($C$1285:$C$1293)+MIN($D$1285:$D$1293))/2)</f>
        <v>0</v>
      </c>
      <c r="AV1293">
        <f>IF(COUNT($E$2:$E1293)&lt;26,"",(MAX($C$1268:$C$1293)+MIN($D$1268:$D$1293))/2)</f>
        <v>0</v>
      </c>
      <c r="AW1293">
        <f>IF(OR(AU1293="",AV1293=""),"",(AU1293+AV1293)/2)</f>
        <v>0</v>
      </c>
      <c r="AX1293">
        <f>IF(COUNT($E$2:$E1293)&lt;52,"",(MAX($C$1242:$C$1293)+MIN($D$1242:$D$1293))/2)</f>
        <v>0</v>
      </c>
      <c r="AY1293">
        <f>IF(COUNT($E$2:$E1293)&lt;20,"",MAX($C$1194:$C$1293))</f>
        <v>0</v>
      </c>
      <c r="AZ1293">
        <f>IF(COUNT($E$2:$E1293)&lt;20,"",MIN($D$1194:$D$1293))</f>
        <v>0</v>
      </c>
      <c r="BA1293">
        <f>IF(COUNT($E$2:$E1293)&lt;20,"",SLOPE($E$1194:$E$1293,$F$1194:$F$1293))</f>
        <v>0</v>
      </c>
      <c r="BB1293">
        <f>IF(COUNT($E$2:$E1293)&lt;20,"",INTERCEPT($E$1194:$E$1293,$F$1194:$F$1293))</f>
        <v>0</v>
      </c>
      <c r="BC1293">
        <f>IF(OR(BA1293="",BB1293=""),"",BB1293+BA1293*F1293)</f>
        <v>0</v>
      </c>
      <c r="BD1293">
        <f>IF(COUNT($E$2:$E1293)&lt;20,"",STEYX($E$1194:$E$1293,$F$1194:$F$1293))</f>
        <v>0</v>
      </c>
      <c r="BE1293">
        <f>IF($E1293="","",IF(AND(COUNT($E$1294:$E$1297)&gt;=4,$C1293=MAX($C$1289:$C$1297)),$C1293,""))</f>
        <v>0</v>
      </c>
      <c r="BF1293">
        <f>IF($E1293="","",IF(AND(COUNT($E$1294:$E$1297)&gt;=4,$D1293=MIN($D$1289:$D$1297)),$D1293,""))</f>
        <v>0</v>
      </c>
      <c r="BG1293">
        <f>IF($A1293="","",$A1293-WEEKDAY($A1293,2)+1)</f>
        <v>0</v>
      </c>
      <c r="BH1293">
        <f>IF($A1293="","",IF($A1292="",1,IF(BG1293&lt;&gt;BG1292,1,0)))</f>
        <v>0</v>
      </c>
      <c r="BI1293">
        <f>IF($A1293="","",IF($A1294="",1,IF(BG1294&lt;&gt;BG1293,1,0)))</f>
        <v>0</v>
      </c>
      <c r="BJ1293">
        <f>IF($A1293="","",IF(BH1293=1,$B1293,BJ1292))</f>
        <v>0</v>
      </c>
      <c r="BK1293">
        <f>IF($A1293="","",IF(BH1293=1,$C1293,MAX($C1293,BK1292)))</f>
        <v>0</v>
      </c>
      <c r="BL1293">
        <f>IF($A1293="","",IF(BH1293=1,$D1293,MIN($D1293,BL1292)))</f>
        <v>0</v>
      </c>
      <c r="BM1293">
        <f>IF($A1293="","",IF(BI1293=1,F1293,""))</f>
        <v>0</v>
      </c>
      <c r="BN1293">
        <f>IF($A1293="","",DATE(YEAR($A1293),MONTH($A1293),1))</f>
        <v>0</v>
      </c>
      <c r="BO1293">
        <f>IF($A1293="","",IF($A1292="",1,IF(BN1293&lt;&gt;BN1292,1,0)))</f>
        <v>0</v>
      </c>
      <c r="BP1293">
        <f>IF($A1293="","",IF($A1294="",1,IF(BN1294&lt;&gt;BN1293,1,0)))</f>
        <v>0</v>
      </c>
      <c r="BQ1293">
        <f>IF($A1293="","",IF(BO1293=1,$B1293,BQ1292))</f>
        <v>0</v>
      </c>
      <c r="BR1293">
        <f>IF($A1293="","",IF(BO1293=1,$C1293,MAX($C1293,BR1292)))</f>
        <v>0</v>
      </c>
      <c r="BS1293">
        <f>IF($A1293="","",IF(BO1293=1,$D1293,MIN($D1293,BS1292)))</f>
        <v>0</v>
      </c>
      <c r="BT1293">
        <f>IF($A1293="","",IF(BP1293=1,F1293,""))</f>
        <v>0</v>
      </c>
    </row>
    <row r="1294" spans="1:72">
      <c r="A1294" s="27">
        <f>IF(Data!$A1294="","",Data!$A1294)</f>
        <v>0</v>
      </c>
      <c r="B1294">
        <f>IF(Data!$B1294="","",Data!$B1294)</f>
        <v>0</v>
      </c>
      <c r="C1294">
        <f>IF(Data!$C1294="","",Data!$C1294)</f>
        <v>0</v>
      </c>
      <c r="D1294">
        <f>IF(Data!$D1294="","",Data!$D1294)</f>
        <v>0</v>
      </c>
      <c r="E1294">
        <f>IF(Data!$E1294="","",Data!$E1294)</f>
        <v>0</v>
      </c>
      <c r="F1294">
        <f>IF($E1294="","",N(F1293)+1)</f>
        <v>0</v>
      </c>
      <c r="G1294">
        <f>IF(OR($E1294="",$E1293=""),"",LN($E1294/$E1293))</f>
        <v>0</v>
      </c>
      <c r="H1294">
        <f>IF($E1294="","",IF($E1293="",$E1294,$E1294*0.0952380952+H1293*0.9047619048))</f>
        <v>0</v>
      </c>
      <c r="I1294">
        <f>IF($E1294="","",IF($E1293="",$E1294,$E1294*0.0392156863+I1293*0.9607843137))</f>
        <v>0</v>
      </c>
      <c r="J1294">
        <f>IF($E1294="","",IF($E1293="",$E1294,$E1294*0.0198019802+J1293*0.9801980198))</f>
        <v>0</v>
      </c>
      <c r="K1294">
        <f>IF($E1294="","",IF($E1293="",$E1294,$E1294*0.0099502488+K1293*0.9900497512))</f>
        <v>0</v>
      </c>
      <c r="L1294">
        <f>IF(OR($E1294="",$E1293=""),"",MAX($E1294-$E1293,0))</f>
        <v>0</v>
      </c>
      <c r="M1294">
        <f>IF(OR($E1294="",$E1293=""),"",MAX($E1293-$E1294,0))</f>
        <v>0</v>
      </c>
      <c r="N1294">
        <f>IF(COUNT($E$2:$E1294)&lt;15,"",IF(AVERAGE($M$1281:$M$1294)=0,100,100-100/(1+AVERAGE($L$1281:$L$1294)/AVERAGE($M$1281:$M$1294))))</f>
        <v>0</v>
      </c>
      <c r="O1294">
        <f>IF($E1294="","",IF($E1293="",$E1294,$E1294*0.1538461538+O1293*0.8461538462))</f>
        <v>0</v>
      </c>
      <c r="P1294">
        <f>IF($E1294="","",IF($E1293="",$E1294,$E1294*0.0740740741+P1293*0.9259259259))</f>
        <v>0</v>
      </c>
      <c r="Q1294">
        <f>IF(OR(O1294="",P1294=""),"",O1294-P1294)</f>
        <v>0</v>
      </c>
      <c r="R1294">
        <f>IF(Q1294="","",IF(R1293="",Q1294,Q1294*0.2000000000+R1293*0.8000000000))</f>
        <v>0</v>
      </c>
      <c r="S1294">
        <f>IF(OR(Q1294="",R1294=""),"",Q1294-R1294)</f>
        <v>0</v>
      </c>
      <c r="T1294">
        <f>IF(COUNT($E$2:$E1294)&lt;14,"",MAX($C$1281:$C$1294))</f>
        <v>0</v>
      </c>
      <c r="U1294">
        <f>IF(COUNT($E$2:$E1294)&lt;14,"",MIN($D$1281:$D$1294))</f>
        <v>0</v>
      </c>
      <c r="V1294">
        <f>IF(OR(T1294="",U1294="",T1294=U1294),"",100*($E1294-U1294)/(T1294-U1294))</f>
        <v>0</v>
      </c>
      <c r="W1294">
        <f>IF(COUNT($V$1292:$V$1294)&lt;3,"",AVERAGE($V$1292:$V$1294))</f>
        <v>0</v>
      </c>
      <c r="X1294">
        <f>IF(COUNT($N$1281:$N$1294)&lt;14,"",MIN($N$1281:$N$1294))</f>
        <v>0</v>
      </c>
      <c r="Y1294">
        <f>IF(COUNT($N$1281:$N$1294)&lt;14,"",MAX($N$1281:$N$1294))</f>
        <v>0</v>
      </c>
      <c r="Z1294">
        <f>IF(OR(N1294="",X1294="",Y1294="",Y1294=X1294),"",100*(N1294-X1294)/(Y1294-X1294))</f>
        <v>0</v>
      </c>
      <c r="AA1294">
        <f>IF(COUNT($Z$1292:$Z$1294)&lt;3,"",AVERAGE($Z$1292:$Z$1294))</f>
        <v>0</v>
      </c>
      <c r="AB1294">
        <f>IF(COUNT($AA$1292:$AA$1294)&lt;3,"",AVERAGE($AA$1292:$AA$1294))</f>
        <v>0</v>
      </c>
      <c r="AC1294">
        <f>IF($E1294="","",MAX($C1294-$D1294,ABS($C1294-$E1293),ABS($D1294-$E1293)))</f>
        <v>0</v>
      </c>
      <c r="AD1294">
        <f>IF(COUNT($E$2:$E1294)&lt;15,"",AVERAGE($AC$1281:$AC$1294))</f>
        <v>0</v>
      </c>
      <c r="AE1294">
        <f>IF(OR($E1294="",$E1293=""),"",IF(AND(($C1294-$C1293)&gt;($D1293-$D1294),($C1294-$C1293)&gt;0),$C1294-$C1293,0))</f>
        <v>0</v>
      </c>
      <c r="AF1294">
        <f>IF(OR($E1294="",$E1293=""),"",IF(AND(($D1293-$D1294)&gt;($C1294-$C1293),($D1293-$D1294)&gt;0),$D1293-$D1294,0))</f>
        <v>0</v>
      </c>
      <c r="AG1294">
        <f>IF(COUNT($E$2:$E1294)&lt;15,"",IF(SUM($AC$1281:$AC$1294)=0,0,100*SUM($AE$1281:$AE$1294)/SUM($AC$1281:$AC$1294)))</f>
        <v>0</v>
      </c>
      <c r="AH1294">
        <f>IF(COUNT($E$2:$E1294)&lt;15,"",IF(SUM($AC$1281:$AC$1294)=0,0,100*SUM($AF$1281:$AF$1294)/SUM($AC$1281:$AC$1294)))</f>
        <v>0</v>
      </c>
      <c r="AI1294">
        <f>IF(OR(AG1294="",AH1294=""),"",IF((AG1294+AH1294)=0,0,100*ABS(AG1294-AH1294)/(AG1294+AH1294)))</f>
        <v>0</v>
      </c>
      <c r="AJ1294">
        <f>IF(COUNT($AI$1281:$AI$1294)&lt;14,"",AVERAGE($AI$1281:$AI$1294))</f>
        <v>0</v>
      </c>
      <c r="AK1294">
        <f>IF(COUNT($E$2:$E1294)&lt;20,"",AVERAGE($E$1275:$E$1294))</f>
        <v>0</v>
      </c>
      <c r="AL1294">
        <f>IF(COUNT($E$2:$E1294)&lt;20,"",STDEVP($E$1275:$E$1294))</f>
        <v>0</v>
      </c>
      <c r="AM1294">
        <f>IF(AK1294="","",AK1294+2*AL1294)</f>
        <v>0</v>
      </c>
      <c r="AN1294">
        <f>IF(AK1294="","",AK1294-2*AL1294)</f>
        <v>0</v>
      </c>
      <c r="AO1294">
        <f>IF(OR(AM1294="",AN1294="",AM1294=AN1294),"",($E1294-AN1294)/(AM1294-AN1294))</f>
        <v>0</v>
      </c>
      <c r="AP1294">
        <f>IF(OR(AM1294="",AK1294="",AK1294=0),"",(AM1294-AN1294)/AK1294)</f>
        <v>0</v>
      </c>
      <c r="AQ1294">
        <f>IF(COUNT($E$2:$E1294)&lt;20,"",MAX($C$1275:$C$1294))</f>
        <v>0</v>
      </c>
      <c r="AR1294">
        <f>IF(COUNT($E$2:$E1294)&lt;20,"",MIN($D$1275:$D$1294))</f>
        <v>0</v>
      </c>
      <c r="AS1294">
        <f>IF(OR(AQ1294="",AR1294=""),"",(AQ1294+AR1294)/2)</f>
        <v>0</v>
      </c>
      <c r="AT1294">
        <f>IF(COUNT($G$1275:$G$1294)&lt;20,"",STDEV($G$1275:$G$1294)*SQRT(252))</f>
        <v>0</v>
      </c>
      <c r="AU1294">
        <f>IF(COUNT($E$2:$E1294)&lt;9,"",(MAX($C$1286:$C$1294)+MIN($D$1286:$D$1294))/2)</f>
        <v>0</v>
      </c>
      <c r="AV1294">
        <f>IF(COUNT($E$2:$E1294)&lt;26,"",(MAX($C$1269:$C$1294)+MIN($D$1269:$D$1294))/2)</f>
        <v>0</v>
      </c>
      <c r="AW1294">
        <f>IF(OR(AU1294="",AV1294=""),"",(AU1294+AV1294)/2)</f>
        <v>0</v>
      </c>
      <c r="AX1294">
        <f>IF(COUNT($E$2:$E1294)&lt;52,"",(MAX($C$1243:$C$1294)+MIN($D$1243:$D$1294))/2)</f>
        <v>0</v>
      </c>
      <c r="AY1294">
        <f>IF(COUNT($E$2:$E1294)&lt;20,"",MAX($C$1195:$C$1294))</f>
        <v>0</v>
      </c>
      <c r="AZ1294">
        <f>IF(COUNT($E$2:$E1294)&lt;20,"",MIN($D$1195:$D$1294))</f>
        <v>0</v>
      </c>
      <c r="BA1294">
        <f>IF(COUNT($E$2:$E1294)&lt;20,"",SLOPE($E$1195:$E$1294,$F$1195:$F$1294))</f>
        <v>0</v>
      </c>
      <c r="BB1294">
        <f>IF(COUNT($E$2:$E1294)&lt;20,"",INTERCEPT($E$1195:$E$1294,$F$1195:$F$1294))</f>
        <v>0</v>
      </c>
      <c r="BC1294">
        <f>IF(OR(BA1294="",BB1294=""),"",BB1294+BA1294*F1294)</f>
        <v>0</v>
      </c>
      <c r="BD1294">
        <f>IF(COUNT($E$2:$E1294)&lt;20,"",STEYX($E$1195:$E$1294,$F$1195:$F$1294))</f>
        <v>0</v>
      </c>
      <c r="BE1294">
        <f>IF($E1294="","",IF(AND(COUNT($E$1295:$E$1298)&gt;=4,$C1294=MAX($C$1290:$C$1298)),$C1294,""))</f>
        <v>0</v>
      </c>
      <c r="BF1294">
        <f>IF($E1294="","",IF(AND(COUNT($E$1295:$E$1298)&gt;=4,$D1294=MIN($D$1290:$D$1298)),$D1294,""))</f>
        <v>0</v>
      </c>
      <c r="BG1294">
        <f>IF($A1294="","",$A1294-WEEKDAY($A1294,2)+1)</f>
        <v>0</v>
      </c>
      <c r="BH1294">
        <f>IF($A1294="","",IF($A1293="",1,IF(BG1294&lt;&gt;BG1293,1,0)))</f>
        <v>0</v>
      </c>
      <c r="BI1294">
        <f>IF($A1294="","",IF($A1295="",1,IF(BG1295&lt;&gt;BG1294,1,0)))</f>
        <v>0</v>
      </c>
      <c r="BJ1294">
        <f>IF($A1294="","",IF(BH1294=1,$B1294,BJ1293))</f>
        <v>0</v>
      </c>
      <c r="BK1294">
        <f>IF($A1294="","",IF(BH1294=1,$C1294,MAX($C1294,BK1293)))</f>
        <v>0</v>
      </c>
      <c r="BL1294">
        <f>IF($A1294="","",IF(BH1294=1,$D1294,MIN($D1294,BL1293)))</f>
        <v>0</v>
      </c>
      <c r="BM1294">
        <f>IF($A1294="","",IF(BI1294=1,F1294,""))</f>
        <v>0</v>
      </c>
      <c r="BN1294">
        <f>IF($A1294="","",DATE(YEAR($A1294),MONTH($A1294),1))</f>
        <v>0</v>
      </c>
      <c r="BO1294">
        <f>IF($A1294="","",IF($A1293="",1,IF(BN1294&lt;&gt;BN1293,1,0)))</f>
        <v>0</v>
      </c>
      <c r="BP1294">
        <f>IF($A1294="","",IF($A1295="",1,IF(BN1295&lt;&gt;BN1294,1,0)))</f>
        <v>0</v>
      </c>
      <c r="BQ1294">
        <f>IF($A1294="","",IF(BO1294=1,$B1294,BQ1293))</f>
        <v>0</v>
      </c>
      <c r="BR1294">
        <f>IF($A1294="","",IF(BO1294=1,$C1294,MAX($C1294,BR1293)))</f>
        <v>0</v>
      </c>
      <c r="BS1294">
        <f>IF($A1294="","",IF(BO1294=1,$D1294,MIN($D1294,BS1293)))</f>
        <v>0</v>
      </c>
      <c r="BT1294">
        <f>IF($A1294="","",IF(BP1294=1,F1294,""))</f>
        <v>0</v>
      </c>
    </row>
    <row r="1295" spans="1:72">
      <c r="A1295" s="27">
        <f>IF(Data!$A1295="","",Data!$A1295)</f>
        <v>0</v>
      </c>
      <c r="B1295">
        <f>IF(Data!$B1295="","",Data!$B1295)</f>
        <v>0</v>
      </c>
      <c r="C1295">
        <f>IF(Data!$C1295="","",Data!$C1295)</f>
        <v>0</v>
      </c>
      <c r="D1295">
        <f>IF(Data!$D1295="","",Data!$D1295)</f>
        <v>0</v>
      </c>
      <c r="E1295">
        <f>IF(Data!$E1295="","",Data!$E1295)</f>
        <v>0</v>
      </c>
      <c r="F1295">
        <f>IF($E1295="","",N(F1294)+1)</f>
        <v>0</v>
      </c>
      <c r="G1295">
        <f>IF(OR($E1295="",$E1294=""),"",LN($E1295/$E1294))</f>
        <v>0</v>
      </c>
      <c r="H1295">
        <f>IF($E1295="","",IF($E1294="",$E1295,$E1295*0.0952380952+H1294*0.9047619048))</f>
        <v>0</v>
      </c>
      <c r="I1295">
        <f>IF($E1295="","",IF($E1294="",$E1295,$E1295*0.0392156863+I1294*0.9607843137))</f>
        <v>0</v>
      </c>
      <c r="J1295">
        <f>IF($E1295="","",IF($E1294="",$E1295,$E1295*0.0198019802+J1294*0.9801980198))</f>
        <v>0</v>
      </c>
      <c r="K1295">
        <f>IF($E1295="","",IF($E1294="",$E1295,$E1295*0.0099502488+K1294*0.9900497512))</f>
        <v>0</v>
      </c>
      <c r="L1295">
        <f>IF(OR($E1295="",$E1294=""),"",MAX($E1295-$E1294,0))</f>
        <v>0</v>
      </c>
      <c r="M1295">
        <f>IF(OR($E1295="",$E1294=""),"",MAX($E1294-$E1295,0))</f>
        <v>0</v>
      </c>
      <c r="N1295">
        <f>IF(COUNT($E$2:$E1295)&lt;15,"",IF(AVERAGE($M$1282:$M$1295)=0,100,100-100/(1+AVERAGE($L$1282:$L$1295)/AVERAGE($M$1282:$M$1295))))</f>
        <v>0</v>
      </c>
      <c r="O1295">
        <f>IF($E1295="","",IF($E1294="",$E1295,$E1295*0.1538461538+O1294*0.8461538462))</f>
        <v>0</v>
      </c>
      <c r="P1295">
        <f>IF($E1295="","",IF($E1294="",$E1295,$E1295*0.0740740741+P1294*0.9259259259))</f>
        <v>0</v>
      </c>
      <c r="Q1295">
        <f>IF(OR(O1295="",P1295=""),"",O1295-P1295)</f>
        <v>0</v>
      </c>
      <c r="R1295">
        <f>IF(Q1295="","",IF(R1294="",Q1295,Q1295*0.2000000000+R1294*0.8000000000))</f>
        <v>0</v>
      </c>
      <c r="S1295">
        <f>IF(OR(Q1295="",R1295=""),"",Q1295-R1295)</f>
        <v>0</v>
      </c>
      <c r="T1295">
        <f>IF(COUNT($E$2:$E1295)&lt;14,"",MAX($C$1282:$C$1295))</f>
        <v>0</v>
      </c>
      <c r="U1295">
        <f>IF(COUNT($E$2:$E1295)&lt;14,"",MIN($D$1282:$D$1295))</f>
        <v>0</v>
      </c>
      <c r="V1295">
        <f>IF(OR(T1295="",U1295="",T1295=U1295),"",100*($E1295-U1295)/(T1295-U1295))</f>
        <v>0</v>
      </c>
      <c r="W1295">
        <f>IF(COUNT($V$1293:$V$1295)&lt;3,"",AVERAGE($V$1293:$V$1295))</f>
        <v>0</v>
      </c>
      <c r="X1295">
        <f>IF(COUNT($N$1282:$N$1295)&lt;14,"",MIN($N$1282:$N$1295))</f>
        <v>0</v>
      </c>
      <c r="Y1295">
        <f>IF(COUNT($N$1282:$N$1295)&lt;14,"",MAX($N$1282:$N$1295))</f>
        <v>0</v>
      </c>
      <c r="Z1295">
        <f>IF(OR(N1295="",X1295="",Y1295="",Y1295=X1295),"",100*(N1295-X1295)/(Y1295-X1295))</f>
        <v>0</v>
      </c>
      <c r="AA1295">
        <f>IF(COUNT($Z$1293:$Z$1295)&lt;3,"",AVERAGE($Z$1293:$Z$1295))</f>
        <v>0</v>
      </c>
      <c r="AB1295">
        <f>IF(COUNT($AA$1293:$AA$1295)&lt;3,"",AVERAGE($AA$1293:$AA$1295))</f>
        <v>0</v>
      </c>
      <c r="AC1295">
        <f>IF($E1295="","",MAX($C1295-$D1295,ABS($C1295-$E1294),ABS($D1295-$E1294)))</f>
        <v>0</v>
      </c>
      <c r="AD1295">
        <f>IF(COUNT($E$2:$E1295)&lt;15,"",AVERAGE($AC$1282:$AC$1295))</f>
        <v>0</v>
      </c>
      <c r="AE1295">
        <f>IF(OR($E1295="",$E1294=""),"",IF(AND(($C1295-$C1294)&gt;($D1294-$D1295),($C1295-$C1294)&gt;0),$C1295-$C1294,0))</f>
        <v>0</v>
      </c>
      <c r="AF1295">
        <f>IF(OR($E1295="",$E1294=""),"",IF(AND(($D1294-$D1295)&gt;($C1295-$C1294),($D1294-$D1295)&gt;0),$D1294-$D1295,0))</f>
        <v>0</v>
      </c>
      <c r="AG1295">
        <f>IF(COUNT($E$2:$E1295)&lt;15,"",IF(SUM($AC$1282:$AC$1295)=0,0,100*SUM($AE$1282:$AE$1295)/SUM($AC$1282:$AC$1295)))</f>
        <v>0</v>
      </c>
      <c r="AH1295">
        <f>IF(COUNT($E$2:$E1295)&lt;15,"",IF(SUM($AC$1282:$AC$1295)=0,0,100*SUM($AF$1282:$AF$1295)/SUM($AC$1282:$AC$1295)))</f>
        <v>0</v>
      </c>
      <c r="AI1295">
        <f>IF(OR(AG1295="",AH1295=""),"",IF((AG1295+AH1295)=0,0,100*ABS(AG1295-AH1295)/(AG1295+AH1295)))</f>
        <v>0</v>
      </c>
      <c r="AJ1295">
        <f>IF(COUNT($AI$1282:$AI$1295)&lt;14,"",AVERAGE($AI$1282:$AI$1295))</f>
        <v>0</v>
      </c>
      <c r="AK1295">
        <f>IF(COUNT($E$2:$E1295)&lt;20,"",AVERAGE($E$1276:$E$1295))</f>
        <v>0</v>
      </c>
      <c r="AL1295">
        <f>IF(COUNT($E$2:$E1295)&lt;20,"",STDEVP($E$1276:$E$1295))</f>
        <v>0</v>
      </c>
      <c r="AM1295">
        <f>IF(AK1295="","",AK1295+2*AL1295)</f>
        <v>0</v>
      </c>
      <c r="AN1295">
        <f>IF(AK1295="","",AK1295-2*AL1295)</f>
        <v>0</v>
      </c>
      <c r="AO1295">
        <f>IF(OR(AM1295="",AN1295="",AM1295=AN1295),"",($E1295-AN1295)/(AM1295-AN1295))</f>
        <v>0</v>
      </c>
      <c r="AP1295">
        <f>IF(OR(AM1295="",AK1295="",AK1295=0),"",(AM1295-AN1295)/AK1295)</f>
        <v>0</v>
      </c>
      <c r="AQ1295">
        <f>IF(COUNT($E$2:$E1295)&lt;20,"",MAX($C$1276:$C$1295))</f>
        <v>0</v>
      </c>
      <c r="AR1295">
        <f>IF(COUNT($E$2:$E1295)&lt;20,"",MIN($D$1276:$D$1295))</f>
        <v>0</v>
      </c>
      <c r="AS1295">
        <f>IF(OR(AQ1295="",AR1295=""),"",(AQ1295+AR1295)/2)</f>
        <v>0</v>
      </c>
      <c r="AT1295">
        <f>IF(COUNT($G$1276:$G$1295)&lt;20,"",STDEV($G$1276:$G$1295)*SQRT(252))</f>
        <v>0</v>
      </c>
      <c r="AU1295">
        <f>IF(COUNT($E$2:$E1295)&lt;9,"",(MAX($C$1287:$C$1295)+MIN($D$1287:$D$1295))/2)</f>
        <v>0</v>
      </c>
      <c r="AV1295">
        <f>IF(COUNT($E$2:$E1295)&lt;26,"",(MAX($C$1270:$C$1295)+MIN($D$1270:$D$1295))/2)</f>
        <v>0</v>
      </c>
      <c r="AW1295">
        <f>IF(OR(AU1295="",AV1295=""),"",(AU1295+AV1295)/2)</f>
        <v>0</v>
      </c>
      <c r="AX1295">
        <f>IF(COUNT($E$2:$E1295)&lt;52,"",(MAX($C$1244:$C$1295)+MIN($D$1244:$D$1295))/2)</f>
        <v>0</v>
      </c>
      <c r="AY1295">
        <f>IF(COUNT($E$2:$E1295)&lt;20,"",MAX($C$1196:$C$1295))</f>
        <v>0</v>
      </c>
      <c r="AZ1295">
        <f>IF(COUNT($E$2:$E1295)&lt;20,"",MIN($D$1196:$D$1295))</f>
        <v>0</v>
      </c>
      <c r="BA1295">
        <f>IF(COUNT($E$2:$E1295)&lt;20,"",SLOPE($E$1196:$E$1295,$F$1196:$F$1295))</f>
        <v>0</v>
      </c>
      <c r="BB1295">
        <f>IF(COUNT($E$2:$E1295)&lt;20,"",INTERCEPT($E$1196:$E$1295,$F$1196:$F$1295))</f>
        <v>0</v>
      </c>
      <c r="BC1295">
        <f>IF(OR(BA1295="",BB1295=""),"",BB1295+BA1295*F1295)</f>
        <v>0</v>
      </c>
      <c r="BD1295">
        <f>IF(COUNT($E$2:$E1295)&lt;20,"",STEYX($E$1196:$E$1295,$F$1196:$F$1295))</f>
        <v>0</v>
      </c>
      <c r="BE1295">
        <f>IF($E1295="","",IF(AND(COUNT($E$1296:$E$1299)&gt;=4,$C1295=MAX($C$1291:$C$1299)),$C1295,""))</f>
        <v>0</v>
      </c>
      <c r="BF1295">
        <f>IF($E1295="","",IF(AND(COUNT($E$1296:$E$1299)&gt;=4,$D1295=MIN($D$1291:$D$1299)),$D1295,""))</f>
        <v>0</v>
      </c>
      <c r="BG1295">
        <f>IF($A1295="","",$A1295-WEEKDAY($A1295,2)+1)</f>
        <v>0</v>
      </c>
      <c r="BH1295">
        <f>IF($A1295="","",IF($A1294="",1,IF(BG1295&lt;&gt;BG1294,1,0)))</f>
        <v>0</v>
      </c>
      <c r="BI1295">
        <f>IF($A1295="","",IF($A1296="",1,IF(BG1296&lt;&gt;BG1295,1,0)))</f>
        <v>0</v>
      </c>
      <c r="BJ1295">
        <f>IF($A1295="","",IF(BH1295=1,$B1295,BJ1294))</f>
        <v>0</v>
      </c>
      <c r="BK1295">
        <f>IF($A1295="","",IF(BH1295=1,$C1295,MAX($C1295,BK1294)))</f>
        <v>0</v>
      </c>
      <c r="BL1295">
        <f>IF($A1295="","",IF(BH1295=1,$D1295,MIN($D1295,BL1294)))</f>
        <v>0</v>
      </c>
      <c r="BM1295">
        <f>IF($A1295="","",IF(BI1295=1,F1295,""))</f>
        <v>0</v>
      </c>
      <c r="BN1295">
        <f>IF($A1295="","",DATE(YEAR($A1295),MONTH($A1295),1))</f>
        <v>0</v>
      </c>
      <c r="BO1295">
        <f>IF($A1295="","",IF($A1294="",1,IF(BN1295&lt;&gt;BN1294,1,0)))</f>
        <v>0</v>
      </c>
      <c r="BP1295">
        <f>IF($A1295="","",IF($A1296="",1,IF(BN1296&lt;&gt;BN1295,1,0)))</f>
        <v>0</v>
      </c>
      <c r="BQ1295">
        <f>IF($A1295="","",IF(BO1295=1,$B1295,BQ1294))</f>
        <v>0</v>
      </c>
      <c r="BR1295">
        <f>IF($A1295="","",IF(BO1295=1,$C1295,MAX($C1295,BR1294)))</f>
        <v>0</v>
      </c>
      <c r="BS1295">
        <f>IF($A1295="","",IF(BO1295=1,$D1295,MIN($D1295,BS1294)))</f>
        <v>0</v>
      </c>
      <c r="BT1295">
        <f>IF($A1295="","",IF(BP1295=1,F1295,""))</f>
        <v>0</v>
      </c>
    </row>
    <row r="1296" spans="1:72">
      <c r="A1296" s="27">
        <f>IF(Data!$A1296="","",Data!$A1296)</f>
        <v>0</v>
      </c>
      <c r="B1296">
        <f>IF(Data!$B1296="","",Data!$B1296)</f>
        <v>0</v>
      </c>
      <c r="C1296">
        <f>IF(Data!$C1296="","",Data!$C1296)</f>
        <v>0</v>
      </c>
      <c r="D1296">
        <f>IF(Data!$D1296="","",Data!$D1296)</f>
        <v>0</v>
      </c>
      <c r="E1296">
        <f>IF(Data!$E1296="","",Data!$E1296)</f>
        <v>0</v>
      </c>
      <c r="F1296">
        <f>IF($E1296="","",N(F1295)+1)</f>
        <v>0</v>
      </c>
      <c r="G1296">
        <f>IF(OR($E1296="",$E1295=""),"",LN($E1296/$E1295))</f>
        <v>0</v>
      </c>
      <c r="H1296">
        <f>IF($E1296="","",IF($E1295="",$E1296,$E1296*0.0952380952+H1295*0.9047619048))</f>
        <v>0</v>
      </c>
      <c r="I1296">
        <f>IF($E1296="","",IF($E1295="",$E1296,$E1296*0.0392156863+I1295*0.9607843137))</f>
        <v>0</v>
      </c>
      <c r="J1296">
        <f>IF($E1296="","",IF($E1295="",$E1296,$E1296*0.0198019802+J1295*0.9801980198))</f>
        <v>0</v>
      </c>
      <c r="K1296">
        <f>IF($E1296="","",IF($E1295="",$E1296,$E1296*0.0099502488+K1295*0.9900497512))</f>
        <v>0</v>
      </c>
      <c r="L1296">
        <f>IF(OR($E1296="",$E1295=""),"",MAX($E1296-$E1295,0))</f>
        <v>0</v>
      </c>
      <c r="M1296">
        <f>IF(OR($E1296="",$E1295=""),"",MAX($E1295-$E1296,0))</f>
        <v>0</v>
      </c>
      <c r="N1296">
        <f>IF(COUNT($E$2:$E1296)&lt;15,"",IF(AVERAGE($M$1283:$M$1296)=0,100,100-100/(1+AVERAGE($L$1283:$L$1296)/AVERAGE($M$1283:$M$1296))))</f>
        <v>0</v>
      </c>
      <c r="O1296">
        <f>IF($E1296="","",IF($E1295="",$E1296,$E1296*0.1538461538+O1295*0.8461538462))</f>
        <v>0</v>
      </c>
      <c r="P1296">
        <f>IF($E1296="","",IF($E1295="",$E1296,$E1296*0.0740740741+P1295*0.9259259259))</f>
        <v>0</v>
      </c>
      <c r="Q1296">
        <f>IF(OR(O1296="",P1296=""),"",O1296-P1296)</f>
        <v>0</v>
      </c>
      <c r="R1296">
        <f>IF(Q1296="","",IF(R1295="",Q1296,Q1296*0.2000000000+R1295*0.8000000000))</f>
        <v>0</v>
      </c>
      <c r="S1296">
        <f>IF(OR(Q1296="",R1296=""),"",Q1296-R1296)</f>
        <v>0</v>
      </c>
      <c r="T1296">
        <f>IF(COUNT($E$2:$E1296)&lt;14,"",MAX($C$1283:$C$1296))</f>
        <v>0</v>
      </c>
      <c r="U1296">
        <f>IF(COUNT($E$2:$E1296)&lt;14,"",MIN($D$1283:$D$1296))</f>
        <v>0</v>
      </c>
      <c r="V1296">
        <f>IF(OR(T1296="",U1296="",T1296=U1296),"",100*($E1296-U1296)/(T1296-U1296))</f>
        <v>0</v>
      </c>
      <c r="W1296">
        <f>IF(COUNT($V$1294:$V$1296)&lt;3,"",AVERAGE($V$1294:$V$1296))</f>
        <v>0</v>
      </c>
      <c r="X1296">
        <f>IF(COUNT($N$1283:$N$1296)&lt;14,"",MIN($N$1283:$N$1296))</f>
        <v>0</v>
      </c>
      <c r="Y1296">
        <f>IF(COUNT($N$1283:$N$1296)&lt;14,"",MAX($N$1283:$N$1296))</f>
        <v>0</v>
      </c>
      <c r="Z1296">
        <f>IF(OR(N1296="",X1296="",Y1296="",Y1296=X1296),"",100*(N1296-X1296)/(Y1296-X1296))</f>
        <v>0</v>
      </c>
      <c r="AA1296">
        <f>IF(COUNT($Z$1294:$Z$1296)&lt;3,"",AVERAGE($Z$1294:$Z$1296))</f>
        <v>0</v>
      </c>
      <c r="AB1296">
        <f>IF(COUNT($AA$1294:$AA$1296)&lt;3,"",AVERAGE($AA$1294:$AA$1296))</f>
        <v>0</v>
      </c>
      <c r="AC1296">
        <f>IF($E1296="","",MAX($C1296-$D1296,ABS($C1296-$E1295),ABS($D1296-$E1295)))</f>
        <v>0</v>
      </c>
      <c r="AD1296">
        <f>IF(COUNT($E$2:$E1296)&lt;15,"",AVERAGE($AC$1283:$AC$1296))</f>
        <v>0</v>
      </c>
      <c r="AE1296">
        <f>IF(OR($E1296="",$E1295=""),"",IF(AND(($C1296-$C1295)&gt;($D1295-$D1296),($C1296-$C1295)&gt;0),$C1296-$C1295,0))</f>
        <v>0</v>
      </c>
      <c r="AF1296">
        <f>IF(OR($E1296="",$E1295=""),"",IF(AND(($D1295-$D1296)&gt;($C1296-$C1295),($D1295-$D1296)&gt;0),$D1295-$D1296,0))</f>
        <v>0</v>
      </c>
      <c r="AG1296">
        <f>IF(COUNT($E$2:$E1296)&lt;15,"",IF(SUM($AC$1283:$AC$1296)=0,0,100*SUM($AE$1283:$AE$1296)/SUM($AC$1283:$AC$1296)))</f>
        <v>0</v>
      </c>
      <c r="AH1296">
        <f>IF(COUNT($E$2:$E1296)&lt;15,"",IF(SUM($AC$1283:$AC$1296)=0,0,100*SUM($AF$1283:$AF$1296)/SUM($AC$1283:$AC$1296)))</f>
        <v>0</v>
      </c>
      <c r="AI1296">
        <f>IF(OR(AG1296="",AH1296=""),"",IF((AG1296+AH1296)=0,0,100*ABS(AG1296-AH1296)/(AG1296+AH1296)))</f>
        <v>0</v>
      </c>
      <c r="AJ1296">
        <f>IF(COUNT($AI$1283:$AI$1296)&lt;14,"",AVERAGE($AI$1283:$AI$1296))</f>
        <v>0</v>
      </c>
      <c r="AK1296">
        <f>IF(COUNT($E$2:$E1296)&lt;20,"",AVERAGE($E$1277:$E$1296))</f>
        <v>0</v>
      </c>
      <c r="AL1296">
        <f>IF(COUNT($E$2:$E1296)&lt;20,"",STDEVP($E$1277:$E$1296))</f>
        <v>0</v>
      </c>
      <c r="AM1296">
        <f>IF(AK1296="","",AK1296+2*AL1296)</f>
        <v>0</v>
      </c>
      <c r="AN1296">
        <f>IF(AK1296="","",AK1296-2*AL1296)</f>
        <v>0</v>
      </c>
      <c r="AO1296">
        <f>IF(OR(AM1296="",AN1296="",AM1296=AN1296),"",($E1296-AN1296)/(AM1296-AN1296))</f>
        <v>0</v>
      </c>
      <c r="AP1296">
        <f>IF(OR(AM1296="",AK1296="",AK1296=0),"",(AM1296-AN1296)/AK1296)</f>
        <v>0</v>
      </c>
      <c r="AQ1296">
        <f>IF(COUNT($E$2:$E1296)&lt;20,"",MAX($C$1277:$C$1296))</f>
        <v>0</v>
      </c>
      <c r="AR1296">
        <f>IF(COUNT($E$2:$E1296)&lt;20,"",MIN($D$1277:$D$1296))</f>
        <v>0</v>
      </c>
      <c r="AS1296">
        <f>IF(OR(AQ1296="",AR1296=""),"",(AQ1296+AR1296)/2)</f>
        <v>0</v>
      </c>
      <c r="AT1296">
        <f>IF(COUNT($G$1277:$G$1296)&lt;20,"",STDEV($G$1277:$G$1296)*SQRT(252))</f>
        <v>0</v>
      </c>
      <c r="AU1296">
        <f>IF(COUNT($E$2:$E1296)&lt;9,"",(MAX($C$1288:$C$1296)+MIN($D$1288:$D$1296))/2)</f>
        <v>0</v>
      </c>
      <c r="AV1296">
        <f>IF(COUNT($E$2:$E1296)&lt;26,"",(MAX($C$1271:$C$1296)+MIN($D$1271:$D$1296))/2)</f>
        <v>0</v>
      </c>
      <c r="AW1296">
        <f>IF(OR(AU1296="",AV1296=""),"",(AU1296+AV1296)/2)</f>
        <v>0</v>
      </c>
      <c r="AX1296">
        <f>IF(COUNT($E$2:$E1296)&lt;52,"",(MAX($C$1245:$C$1296)+MIN($D$1245:$D$1296))/2)</f>
        <v>0</v>
      </c>
      <c r="AY1296">
        <f>IF(COUNT($E$2:$E1296)&lt;20,"",MAX($C$1197:$C$1296))</f>
        <v>0</v>
      </c>
      <c r="AZ1296">
        <f>IF(COUNT($E$2:$E1296)&lt;20,"",MIN($D$1197:$D$1296))</f>
        <v>0</v>
      </c>
      <c r="BA1296">
        <f>IF(COUNT($E$2:$E1296)&lt;20,"",SLOPE($E$1197:$E$1296,$F$1197:$F$1296))</f>
        <v>0</v>
      </c>
      <c r="BB1296">
        <f>IF(COUNT($E$2:$E1296)&lt;20,"",INTERCEPT($E$1197:$E$1296,$F$1197:$F$1296))</f>
        <v>0</v>
      </c>
      <c r="BC1296">
        <f>IF(OR(BA1296="",BB1296=""),"",BB1296+BA1296*F1296)</f>
        <v>0</v>
      </c>
      <c r="BD1296">
        <f>IF(COUNT($E$2:$E1296)&lt;20,"",STEYX($E$1197:$E$1296,$F$1197:$F$1296))</f>
        <v>0</v>
      </c>
      <c r="BE1296">
        <f>IF($E1296="","",IF(AND(COUNT($E$1297:$E$1300)&gt;=4,$C1296=MAX($C$1292:$C$1300)),$C1296,""))</f>
        <v>0</v>
      </c>
      <c r="BF1296">
        <f>IF($E1296="","",IF(AND(COUNT($E$1297:$E$1300)&gt;=4,$D1296=MIN($D$1292:$D$1300)),$D1296,""))</f>
        <v>0</v>
      </c>
      <c r="BG1296">
        <f>IF($A1296="","",$A1296-WEEKDAY($A1296,2)+1)</f>
        <v>0</v>
      </c>
      <c r="BH1296">
        <f>IF($A1296="","",IF($A1295="",1,IF(BG1296&lt;&gt;BG1295,1,0)))</f>
        <v>0</v>
      </c>
      <c r="BI1296">
        <f>IF($A1296="","",IF($A1297="",1,IF(BG1297&lt;&gt;BG1296,1,0)))</f>
        <v>0</v>
      </c>
      <c r="BJ1296">
        <f>IF($A1296="","",IF(BH1296=1,$B1296,BJ1295))</f>
        <v>0</v>
      </c>
      <c r="BK1296">
        <f>IF($A1296="","",IF(BH1296=1,$C1296,MAX($C1296,BK1295)))</f>
        <v>0</v>
      </c>
      <c r="BL1296">
        <f>IF($A1296="","",IF(BH1296=1,$D1296,MIN($D1296,BL1295)))</f>
        <v>0</v>
      </c>
      <c r="BM1296">
        <f>IF($A1296="","",IF(BI1296=1,F1296,""))</f>
        <v>0</v>
      </c>
      <c r="BN1296">
        <f>IF($A1296="","",DATE(YEAR($A1296),MONTH($A1296),1))</f>
        <v>0</v>
      </c>
      <c r="BO1296">
        <f>IF($A1296="","",IF($A1295="",1,IF(BN1296&lt;&gt;BN1295,1,0)))</f>
        <v>0</v>
      </c>
      <c r="BP1296">
        <f>IF($A1296="","",IF($A1297="",1,IF(BN1297&lt;&gt;BN1296,1,0)))</f>
        <v>0</v>
      </c>
      <c r="BQ1296">
        <f>IF($A1296="","",IF(BO1296=1,$B1296,BQ1295))</f>
        <v>0</v>
      </c>
      <c r="BR1296">
        <f>IF($A1296="","",IF(BO1296=1,$C1296,MAX($C1296,BR1295)))</f>
        <v>0</v>
      </c>
      <c r="BS1296">
        <f>IF($A1296="","",IF(BO1296=1,$D1296,MIN($D1296,BS1295)))</f>
        <v>0</v>
      </c>
      <c r="BT1296">
        <f>IF($A1296="","",IF(BP1296=1,F1296,""))</f>
        <v>0</v>
      </c>
    </row>
    <row r="1297" spans="1:72">
      <c r="A1297" s="27">
        <f>IF(Data!$A1297="","",Data!$A1297)</f>
        <v>0</v>
      </c>
      <c r="B1297">
        <f>IF(Data!$B1297="","",Data!$B1297)</f>
        <v>0</v>
      </c>
      <c r="C1297">
        <f>IF(Data!$C1297="","",Data!$C1297)</f>
        <v>0</v>
      </c>
      <c r="D1297">
        <f>IF(Data!$D1297="","",Data!$D1297)</f>
        <v>0</v>
      </c>
      <c r="E1297">
        <f>IF(Data!$E1297="","",Data!$E1297)</f>
        <v>0</v>
      </c>
      <c r="F1297">
        <f>IF($E1297="","",N(F1296)+1)</f>
        <v>0</v>
      </c>
      <c r="G1297">
        <f>IF(OR($E1297="",$E1296=""),"",LN($E1297/$E1296))</f>
        <v>0</v>
      </c>
      <c r="H1297">
        <f>IF($E1297="","",IF($E1296="",$E1297,$E1297*0.0952380952+H1296*0.9047619048))</f>
        <v>0</v>
      </c>
      <c r="I1297">
        <f>IF($E1297="","",IF($E1296="",$E1297,$E1297*0.0392156863+I1296*0.9607843137))</f>
        <v>0</v>
      </c>
      <c r="J1297">
        <f>IF($E1297="","",IF($E1296="",$E1297,$E1297*0.0198019802+J1296*0.9801980198))</f>
        <v>0</v>
      </c>
      <c r="K1297">
        <f>IF($E1297="","",IF($E1296="",$E1297,$E1297*0.0099502488+K1296*0.9900497512))</f>
        <v>0</v>
      </c>
      <c r="L1297">
        <f>IF(OR($E1297="",$E1296=""),"",MAX($E1297-$E1296,0))</f>
        <v>0</v>
      </c>
      <c r="M1297">
        <f>IF(OR($E1297="",$E1296=""),"",MAX($E1296-$E1297,0))</f>
        <v>0</v>
      </c>
      <c r="N1297">
        <f>IF(COUNT($E$2:$E1297)&lt;15,"",IF(AVERAGE($M$1284:$M$1297)=0,100,100-100/(1+AVERAGE($L$1284:$L$1297)/AVERAGE($M$1284:$M$1297))))</f>
        <v>0</v>
      </c>
      <c r="O1297">
        <f>IF($E1297="","",IF($E1296="",$E1297,$E1297*0.1538461538+O1296*0.8461538462))</f>
        <v>0</v>
      </c>
      <c r="P1297">
        <f>IF($E1297="","",IF($E1296="",$E1297,$E1297*0.0740740741+P1296*0.9259259259))</f>
        <v>0</v>
      </c>
      <c r="Q1297">
        <f>IF(OR(O1297="",P1297=""),"",O1297-P1297)</f>
        <v>0</v>
      </c>
      <c r="R1297">
        <f>IF(Q1297="","",IF(R1296="",Q1297,Q1297*0.2000000000+R1296*0.8000000000))</f>
        <v>0</v>
      </c>
      <c r="S1297">
        <f>IF(OR(Q1297="",R1297=""),"",Q1297-R1297)</f>
        <v>0</v>
      </c>
      <c r="T1297">
        <f>IF(COUNT($E$2:$E1297)&lt;14,"",MAX($C$1284:$C$1297))</f>
        <v>0</v>
      </c>
      <c r="U1297">
        <f>IF(COUNT($E$2:$E1297)&lt;14,"",MIN($D$1284:$D$1297))</f>
        <v>0</v>
      </c>
      <c r="V1297">
        <f>IF(OR(T1297="",U1297="",T1297=U1297),"",100*($E1297-U1297)/(T1297-U1297))</f>
        <v>0</v>
      </c>
      <c r="W1297">
        <f>IF(COUNT($V$1295:$V$1297)&lt;3,"",AVERAGE($V$1295:$V$1297))</f>
        <v>0</v>
      </c>
      <c r="X1297">
        <f>IF(COUNT($N$1284:$N$1297)&lt;14,"",MIN($N$1284:$N$1297))</f>
        <v>0</v>
      </c>
      <c r="Y1297">
        <f>IF(COUNT($N$1284:$N$1297)&lt;14,"",MAX($N$1284:$N$1297))</f>
        <v>0</v>
      </c>
      <c r="Z1297">
        <f>IF(OR(N1297="",X1297="",Y1297="",Y1297=X1297),"",100*(N1297-X1297)/(Y1297-X1297))</f>
        <v>0</v>
      </c>
      <c r="AA1297">
        <f>IF(COUNT($Z$1295:$Z$1297)&lt;3,"",AVERAGE($Z$1295:$Z$1297))</f>
        <v>0</v>
      </c>
      <c r="AB1297">
        <f>IF(COUNT($AA$1295:$AA$1297)&lt;3,"",AVERAGE($AA$1295:$AA$1297))</f>
        <v>0</v>
      </c>
      <c r="AC1297">
        <f>IF($E1297="","",MAX($C1297-$D1297,ABS($C1297-$E1296),ABS($D1297-$E1296)))</f>
        <v>0</v>
      </c>
      <c r="AD1297">
        <f>IF(COUNT($E$2:$E1297)&lt;15,"",AVERAGE($AC$1284:$AC$1297))</f>
        <v>0</v>
      </c>
      <c r="AE1297">
        <f>IF(OR($E1297="",$E1296=""),"",IF(AND(($C1297-$C1296)&gt;($D1296-$D1297),($C1297-$C1296)&gt;0),$C1297-$C1296,0))</f>
        <v>0</v>
      </c>
      <c r="AF1297">
        <f>IF(OR($E1297="",$E1296=""),"",IF(AND(($D1296-$D1297)&gt;($C1297-$C1296),($D1296-$D1297)&gt;0),$D1296-$D1297,0))</f>
        <v>0</v>
      </c>
      <c r="AG1297">
        <f>IF(COUNT($E$2:$E1297)&lt;15,"",IF(SUM($AC$1284:$AC$1297)=0,0,100*SUM($AE$1284:$AE$1297)/SUM($AC$1284:$AC$1297)))</f>
        <v>0</v>
      </c>
      <c r="AH1297">
        <f>IF(COUNT($E$2:$E1297)&lt;15,"",IF(SUM($AC$1284:$AC$1297)=0,0,100*SUM($AF$1284:$AF$1297)/SUM($AC$1284:$AC$1297)))</f>
        <v>0</v>
      </c>
      <c r="AI1297">
        <f>IF(OR(AG1297="",AH1297=""),"",IF((AG1297+AH1297)=0,0,100*ABS(AG1297-AH1297)/(AG1297+AH1297)))</f>
        <v>0</v>
      </c>
      <c r="AJ1297">
        <f>IF(COUNT($AI$1284:$AI$1297)&lt;14,"",AVERAGE($AI$1284:$AI$1297))</f>
        <v>0</v>
      </c>
      <c r="AK1297">
        <f>IF(COUNT($E$2:$E1297)&lt;20,"",AVERAGE($E$1278:$E$1297))</f>
        <v>0</v>
      </c>
      <c r="AL1297">
        <f>IF(COUNT($E$2:$E1297)&lt;20,"",STDEVP($E$1278:$E$1297))</f>
        <v>0</v>
      </c>
      <c r="AM1297">
        <f>IF(AK1297="","",AK1297+2*AL1297)</f>
        <v>0</v>
      </c>
      <c r="AN1297">
        <f>IF(AK1297="","",AK1297-2*AL1297)</f>
        <v>0</v>
      </c>
      <c r="AO1297">
        <f>IF(OR(AM1297="",AN1297="",AM1297=AN1297),"",($E1297-AN1297)/(AM1297-AN1297))</f>
        <v>0</v>
      </c>
      <c r="AP1297">
        <f>IF(OR(AM1297="",AK1297="",AK1297=0),"",(AM1297-AN1297)/AK1297)</f>
        <v>0</v>
      </c>
      <c r="AQ1297">
        <f>IF(COUNT($E$2:$E1297)&lt;20,"",MAX($C$1278:$C$1297))</f>
        <v>0</v>
      </c>
      <c r="AR1297">
        <f>IF(COUNT($E$2:$E1297)&lt;20,"",MIN($D$1278:$D$1297))</f>
        <v>0</v>
      </c>
      <c r="AS1297">
        <f>IF(OR(AQ1297="",AR1297=""),"",(AQ1297+AR1297)/2)</f>
        <v>0</v>
      </c>
      <c r="AT1297">
        <f>IF(COUNT($G$1278:$G$1297)&lt;20,"",STDEV($G$1278:$G$1297)*SQRT(252))</f>
        <v>0</v>
      </c>
      <c r="AU1297">
        <f>IF(COUNT($E$2:$E1297)&lt;9,"",(MAX($C$1289:$C$1297)+MIN($D$1289:$D$1297))/2)</f>
        <v>0</v>
      </c>
      <c r="AV1297">
        <f>IF(COUNT($E$2:$E1297)&lt;26,"",(MAX($C$1272:$C$1297)+MIN($D$1272:$D$1297))/2)</f>
        <v>0</v>
      </c>
      <c r="AW1297">
        <f>IF(OR(AU1297="",AV1297=""),"",(AU1297+AV1297)/2)</f>
        <v>0</v>
      </c>
      <c r="AX1297">
        <f>IF(COUNT($E$2:$E1297)&lt;52,"",(MAX($C$1246:$C$1297)+MIN($D$1246:$D$1297))/2)</f>
        <v>0</v>
      </c>
      <c r="AY1297">
        <f>IF(COUNT($E$2:$E1297)&lt;20,"",MAX($C$1198:$C$1297))</f>
        <v>0</v>
      </c>
      <c r="AZ1297">
        <f>IF(COUNT($E$2:$E1297)&lt;20,"",MIN($D$1198:$D$1297))</f>
        <v>0</v>
      </c>
      <c r="BA1297">
        <f>IF(COUNT($E$2:$E1297)&lt;20,"",SLOPE($E$1198:$E$1297,$F$1198:$F$1297))</f>
        <v>0</v>
      </c>
      <c r="BB1297">
        <f>IF(COUNT($E$2:$E1297)&lt;20,"",INTERCEPT($E$1198:$E$1297,$F$1198:$F$1297))</f>
        <v>0</v>
      </c>
      <c r="BC1297">
        <f>IF(OR(BA1297="",BB1297=""),"",BB1297+BA1297*F1297)</f>
        <v>0</v>
      </c>
      <c r="BD1297">
        <f>IF(COUNT($E$2:$E1297)&lt;20,"",STEYX($E$1198:$E$1297,$F$1198:$F$1297))</f>
        <v>0</v>
      </c>
      <c r="BE1297">
        <f>IF($E1297="","",IF(AND(COUNT($E$1298:$E$1301)&gt;=4,$C1297=MAX($C$1293:$C$1301)),$C1297,""))</f>
        <v>0</v>
      </c>
      <c r="BF1297">
        <f>IF($E1297="","",IF(AND(COUNT($E$1298:$E$1301)&gt;=4,$D1297=MIN($D$1293:$D$1301)),$D1297,""))</f>
        <v>0</v>
      </c>
      <c r="BG1297">
        <f>IF($A1297="","",$A1297-WEEKDAY($A1297,2)+1)</f>
        <v>0</v>
      </c>
      <c r="BH1297">
        <f>IF($A1297="","",IF($A1296="",1,IF(BG1297&lt;&gt;BG1296,1,0)))</f>
        <v>0</v>
      </c>
      <c r="BI1297">
        <f>IF($A1297="","",IF($A1298="",1,IF(BG1298&lt;&gt;BG1297,1,0)))</f>
        <v>0</v>
      </c>
      <c r="BJ1297">
        <f>IF($A1297="","",IF(BH1297=1,$B1297,BJ1296))</f>
        <v>0</v>
      </c>
      <c r="BK1297">
        <f>IF($A1297="","",IF(BH1297=1,$C1297,MAX($C1297,BK1296)))</f>
        <v>0</v>
      </c>
      <c r="BL1297">
        <f>IF($A1297="","",IF(BH1297=1,$D1297,MIN($D1297,BL1296)))</f>
        <v>0</v>
      </c>
      <c r="BM1297">
        <f>IF($A1297="","",IF(BI1297=1,F1297,""))</f>
        <v>0</v>
      </c>
      <c r="BN1297">
        <f>IF($A1297="","",DATE(YEAR($A1297),MONTH($A1297),1))</f>
        <v>0</v>
      </c>
      <c r="BO1297">
        <f>IF($A1297="","",IF($A1296="",1,IF(BN1297&lt;&gt;BN1296,1,0)))</f>
        <v>0</v>
      </c>
      <c r="BP1297">
        <f>IF($A1297="","",IF($A1298="",1,IF(BN1298&lt;&gt;BN1297,1,0)))</f>
        <v>0</v>
      </c>
      <c r="BQ1297">
        <f>IF($A1297="","",IF(BO1297=1,$B1297,BQ1296))</f>
        <v>0</v>
      </c>
      <c r="BR1297">
        <f>IF($A1297="","",IF(BO1297=1,$C1297,MAX($C1297,BR1296)))</f>
        <v>0</v>
      </c>
      <c r="BS1297">
        <f>IF($A1297="","",IF(BO1297=1,$D1297,MIN($D1297,BS1296)))</f>
        <v>0</v>
      </c>
      <c r="BT1297">
        <f>IF($A1297="","",IF(BP1297=1,F1297,""))</f>
        <v>0</v>
      </c>
    </row>
    <row r="1298" spans="1:72">
      <c r="A1298" s="27">
        <f>IF(Data!$A1298="","",Data!$A1298)</f>
        <v>0</v>
      </c>
      <c r="B1298">
        <f>IF(Data!$B1298="","",Data!$B1298)</f>
        <v>0</v>
      </c>
      <c r="C1298">
        <f>IF(Data!$C1298="","",Data!$C1298)</f>
        <v>0</v>
      </c>
      <c r="D1298">
        <f>IF(Data!$D1298="","",Data!$D1298)</f>
        <v>0</v>
      </c>
      <c r="E1298">
        <f>IF(Data!$E1298="","",Data!$E1298)</f>
        <v>0</v>
      </c>
      <c r="F1298">
        <f>IF($E1298="","",N(F1297)+1)</f>
        <v>0</v>
      </c>
      <c r="G1298">
        <f>IF(OR($E1298="",$E1297=""),"",LN($E1298/$E1297))</f>
        <v>0</v>
      </c>
      <c r="H1298">
        <f>IF($E1298="","",IF($E1297="",$E1298,$E1298*0.0952380952+H1297*0.9047619048))</f>
        <v>0</v>
      </c>
      <c r="I1298">
        <f>IF($E1298="","",IF($E1297="",$E1298,$E1298*0.0392156863+I1297*0.9607843137))</f>
        <v>0</v>
      </c>
      <c r="J1298">
        <f>IF($E1298="","",IF($E1297="",$E1298,$E1298*0.0198019802+J1297*0.9801980198))</f>
        <v>0</v>
      </c>
      <c r="K1298">
        <f>IF($E1298="","",IF($E1297="",$E1298,$E1298*0.0099502488+K1297*0.9900497512))</f>
        <v>0</v>
      </c>
      <c r="L1298">
        <f>IF(OR($E1298="",$E1297=""),"",MAX($E1298-$E1297,0))</f>
        <v>0</v>
      </c>
      <c r="M1298">
        <f>IF(OR($E1298="",$E1297=""),"",MAX($E1297-$E1298,0))</f>
        <v>0</v>
      </c>
      <c r="N1298">
        <f>IF(COUNT($E$2:$E1298)&lt;15,"",IF(AVERAGE($M$1285:$M$1298)=0,100,100-100/(1+AVERAGE($L$1285:$L$1298)/AVERAGE($M$1285:$M$1298))))</f>
        <v>0</v>
      </c>
      <c r="O1298">
        <f>IF($E1298="","",IF($E1297="",$E1298,$E1298*0.1538461538+O1297*0.8461538462))</f>
        <v>0</v>
      </c>
      <c r="P1298">
        <f>IF($E1298="","",IF($E1297="",$E1298,$E1298*0.0740740741+P1297*0.9259259259))</f>
        <v>0</v>
      </c>
      <c r="Q1298">
        <f>IF(OR(O1298="",P1298=""),"",O1298-P1298)</f>
        <v>0</v>
      </c>
      <c r="R1298">
        <f>IF(Q1298="","",IF(R1297="",Q1298,Q1298*0.2000000000+R1297*0.8000000000))</f>
        <v>0</v>
      </c>
      <c r="S1298">
        <f>IF(OR(Q1298="",R1298=""),"",Q1298-R1298)</f>
        <v>0</v>
      </c>
      <c r="T1298">
        <f>IF(COUNT($E$2:$E1298)&lt;14,"",MAX($C$1285:$C$1298))</f>
        <v>0</v>
      </c>
      <c r="U1298">
        <f>IF(COUNT($E$2:$E1298)&lt;14,"",MIN($D$1285:$D$1298))</f>
        <v>0</v>
      </c>
      <c r="V1298">
        <f>IF(OR(T1298="",U1298="",T1298=U1298),"",100*($E1298-U1298)/(T1298-U1298))</f>
        <v>0</v>
      </c>
      <c r="W1298">
        <f>IF(COUNT($V$1296:$V$1298)&lt;3,"",AVERAGE($V$1296:$V$1298))</f>
        <v>0</v>
      </c>
      <c r="X1298">
        <f>IF(COUNT($N$1285:$N$1298)&lt;14,"",MIN($N$1285:$N$1298))</f>
        <v>0</v>
      </c>
      <c r="Y1298">
        <f>IF(COUNT($N$1285:$N$1298)&lt;14,"",MAX($N$1285:$N$1298))</f>
        <v>0</v>
      </c>
      <c r="Z1298">
        <f>IF(OR(N1298="",X1298="",Y1298="",Y1298=X1298),"",100*(N1298-X1298)/(Y1298-X1298))</f>
        <v>0</v>
      </c>
      <c r="AA1298">
        <f>IF(COUNT($Z$1296:$Z$1298)&lt;3,"",AVERAGE($Z$1296:$Z$1298))</f>
        <v>0</v>
      </c>
      <c r="AB1298">
        <f>IF(COUNT($AA$1296:$AA$1298)&lt;3,"",AVERAGE($AA$1296:$AA$1298))</f>
        <v>0</v>
      </c>
      <c r="AC1298">
        <f>IF($E1298="","",MAX($C1298-$D1298,ABS($C1298-$E1297),ABS($D1298-$E1297)))</f>
        <v>0</v>
      </c>
      <c r="AD1298">
        <f>IF(COUNT($E$2:$E1298)&lt;15,"",AVERAGE($AC$1285:$AC$1298))</f>
        <v>0</v>
      </c>
      <c r="AE1298">
        <f>IF(OR($E1298="",$E1297=""),"",IF(AND(($C1298-$C1297)&gt;($D1297-$D1298),($C1298-$C1297)&gt;0),$C1298-$C1297,0))</f>
        <v>0</v>
      </c>
      <c r="AF1298">
        <f>IF(OR($E1298="",$E1297=""),"",IF(AND(($D1297-$D1298)&gt;($C1298-$C1297),($D1297-$D1298)&gt;0),$D1297-$D1298,0))</f>
        <v>0</v>
      </c>
      <c r="AG1298">
        <f>IF(COUNT($E$2:$E1298)&lt;15,"",IF(SUM($AC$1285:$AC$1298)=0,0,100*SUM($AE$1285:$AE$1298)/SUM($AC$1285:$AC$1298)))</f>
        <v>0</v>
      </c>
      <c r="AH1298">
        <f>IF(COUNT($E$2:$E1298)&lt;15,"",IF(SUM($AC$1285:$AC$1298)=0,0,100*SUM($AF$1285:$AF$1298)/SUM($AC$1285:$AC$1298)))</f>
        <v>0</v>
      </c>
      <c r="AI1298">
        <f>IF(OR(AG1298="",AH1298=""),"",IF((AG1298+AH1298)=0,0,100*ABS(AG1298-AH1298)/(AG1298+AH1298)))</f>
        <v>0</v>
      </c>
      <c r="AJ1298">
        <f>IF(COUNT($AI$1285:$AI$1298)&lt;14,"",AVERAGE($AI$1285:$AI$1298))</f>
        <v>0</v>
      </c>
      <c r="AK1298">
        <f>IF(COUNT($E$2:$E1298)&lt;20,"",AVERAGE($E$1279:$E$1298))</f>
        <v>0</v>
      </c>
      <c r="AL1298">
        <f>IF(COUNT($E$2:$E1298)&lt;20,"",STDEVP($E$1279:$E$1298))</f>
        <v>0</v>
      </c>
      <c r="AM1298">
        <f>IF(AK1298="","",AK1298+2*AL1298)</f>
        <v>0</v>
      </c>
      <c r="AN1298">
        <f>IF(AK1298="","",AK1298-2*AL1298)</f>
        <v>0</v>
      </c>
      <c r="AO1298">
        <f>IF(OR(AM1298="",AN1298="",AM1298=AN1298),"",($E1298-AN1298)/(AM1298-AN1298))</f>
        <v>0</v>
      </c>
      <c r="AP1298">
        <f>IF(OR(AM1298="",AK1298="",AK1298=0),"",(AM1298-AN1298)/AK1298)</f>
        <v>0</v>
      </c>
      <c r="AQ1298">
        <f>IF(COUNT($E$2:$E1298)&lt;20,"",MAX($C$1279:$C$1298))</f>
        <v>0</v>
      </c>
      <c r="AR1298">
        <f>IF(COUNT($E$2:$E1298)&lt;20,"",MIN($D$1279:$D$1298))</f>
        <v>0</v>
      </c>
      <c r="AS1298">
        <f>IF(OR(AQ1298="",AR1298=""),"",(AQ1298+AR1298)/2)</f>
        <v>0</v>
      </c>
      <c r="AT1298">
        <f>IF(COUNT($G$1279:$G$1298)&lt;20,"",STDEV($G$1279:$G$1298)*SQRT(252))</f>
        <v>0</v>
      </c>
      <c r="AU1298">
        <f>IF(COUNT($E$2:$E1298)&lt;9,"",(MAX($C$1290:$C$1298)+MIN($D$1290:$D$1298))/2)</f>
        <v>0</v>
      </c>
      <c r="AV1298">
        <f>IF(COUNT($E$2:$E1298)&lt;26,"",(MAX($C$1273:$C$1298)+MIN($D$1273:$D$1298))/2)</f>
        <v>0</v>
      </c>
      <c r="AW1298">
        <f>IF(OR(AU1298="",AV1298=""),"",(AU1298+AV1298)/2)</f>
        <v>0</v>
      </c>
      <c r="AX1298">
        <f>IF(COUNT($E$2:$E1298)&lt;52,"",(MAX($C$1247:$C$1298)+MIN($D$1247:$D$1298))/2)</f>
        <v>0</v>
      </c>
      <c r="AY1298">
        <f>IF(COUNT($E$2:$E1298)&lt;20,"",MAX($C$1199:$C$1298))</f>
        <v>0</v>
      </c>
      <c r="AZ1298">
        <f>IF(COUNT($E$2:$E1298)&lt;20,"",MIN($D$1199:$D$1298))</f>
        <v>0</v>
      </c>
      <c r="BA1298">
        <f>IF(COUNT($E$2:$E1298)&lt;20,"",SLOPE($E$1199:$E$1298,$F$1199:$F$1298))</f>
        <v>0</v>
      </c>
      <c r="BB1298">
        <f>IF(COUNT($E$2:$E1298)&lt;20,"",INTERCEPT($E$1199:$E$1298,$F$1199:$F$1298))</f>
        <v>0</v>
      </c>
      <c r="BC1298">
        <f>IF(OR(BA1298="",BB1298=""),"",BB1298+BA1298*F1298)</f>
        <v>0</v>
      </c>
      <c r="BD1298">
        <f>IF(COUNT($E$2:$E1298)&lt;20,"",STEYX($E$1199:$E$1298,$F$1199:$F$1298))</f>
        <v>0</v>
      </c>
      <c r="BE1298">
        <f>IF($E1298="","",IF(AND(COUNT($E$1299:$E$1302)&gt;=4,$C1298=MAX($C$1294:$C$1302)),$C1298,""))</f>
        <v>0</v>
      </c>
      <c r="BF1298">
        <f>IF($E1298="","",IF(AND(COUNT($E$1299:$E$1302)&gt;=4,$D1298=MIN($D$1294:$D$1302)),$D1298,""))</f>
        <v>0</v>
      </c>
      <c r="BG1298">
        <f>IF($A1298="","",$A1298-WEEKDAY($A1298,2)+1)</f>
        <v>0</v>
      </c>
      <c r="BH1298">
        <f>IF($A1298="","",IF($A1297="",1,IF(BG1298&lt;&gt;BG1297,1,0)))</f>
        <v>0</v>
      </c>
      <c r="BI1298">
        <f>IF($A1298="","",IF($A1299="",1,IF(BG1299&lt;&gt;BG1298,1,0)))</f>
        <v>0</v>
      </c>
      <c r="BJ1298">
        <f>IF($A1298="","",IF(BH1298=1,$B1298,BJ1297))</f>
        <v>0</v>
      </c>
      <c r="BK1298">
        <f>IF($A1298="","",IF(BH1298=1,$C1298,MAX($C1298,BK1297)))</f>
        <v>0</v>
      </c>
      <c r="BL1298">
        <f>IF($A1298="","",IF(BH1298=1,$D1298,MIN($D1298,BL1297)))</f>
        <v>0</v>
      </c>
      <c r="BM1298">
        <f>IF($A1298="","",IF(BI1298=1,F1298,""))</f>
        <v>0</v>
      </c>
      <c r="BN1298">
        <f>IF($A1298="","",DATE(YEAR($A1298),MONTH($A1298),1))</f>
        <v>0</v>
      </c>
      <c r="BO1298">
        <f>IF($A1298="","",IF($A1297="",1,IF(BN1298&lt;&gt;BN1297,1,0)))</f>
        <v>0</v>
      </c>
      <c r="BP1298">
        <f>IF($A1298="","",IF($A1299="",1,IF(BN1299&lt;&gt;BN1298,1,0)))</f>
        <v>0</v>
      </c>
      <c r="BQ1298">
        <f>IF($A1298="","",IF(BO1298=1,$B1298,BQ1297))</f>
        <v>0</v>
      </c>
      <c r="BR1298">
        <f>IF($A1298="","",IF(BO1298=1,$C1298,MAX($C1298,BR1297)))</f>
        <v>0</v>
      </c>
      <c r="BS1298">
        <f>IF($A1298="","",IF(BO1298=1,$D1298,MIN($D1298,BS1297)))</f>
        <v>0</v>
      </c>
      <c r="BT1298">
        <f>IF($A1298="","",IF(BP1298=1,F1298,""))</f>
        <v>0</v>
      </c>
    </row>
    <row r="1299" spans="1:72">
      <c r="A1299" s="27">
        <f>IF(Data!$A1299="","",Data!$A1299)</f>
        <v>0</v>
      </c>
      <c r="B1299">
        <f>IF(Data!$B1299="","",Data!$B1299)</f>
        <v>0</v>
      </c>
      <c r="C1299">
        <f>IF(Data!$C1299="","",Data!$C1299)</f>
        <v>0</v>
      </c>
      <c r="D1299">
        <f>IF(Data!$D1299="","",Data!$D1299)</f>
        <v>0</v>
      </c>
      <c r="E1299">
        <f>IF(Data!$E1299="","",Data!$E1299)</f>
        <v>0</v>
      </c>
      <c r="F1299">
        <f>IF($E1299="","",N(F1298)+1)</f>
        <v>0</v>
      </c>
      <c r="G1299">
        <f>IF(OR($E1299="",$E1298=""),"",LN($E1299/$E1298))</f>
        <v>0</v>
      </c>
      <c r="H1299">
        <f>IF($E1299="","",IF($E1298="",$E1299,$E1299*0.0952380952+H1298*0.9047619048))</f>
        <v>0</v>
      </c>
      <c r="I1299">
        <f>IF($E1299="","",IF($E1298="",$E1299,$E1299*0.0392156863+I1298*0.9607843137))</f>
        <v>0</v>
      </c>
      <c r="J1299">
        <f>IF($E1299="","",IF($E1298="",$E1299,$E1299*0.0198019802+J1298*0.9801980198))</f>
        <v>0</v>
      </c>
      <c r="K1299">
        <f>IF($E1299="","",IF($E1298="",$E1299,$E1299*0.0099502488+K1298*0.9900497512))</f>
        <v>0</v>
      </c>
      <c r="L1299">
        <f>IF(OR($E1299="",$E1298=""),"",MAX($E1299-$E1298,0))</f>
        <v>0</v>
      </c>
      <c r="M1299">
        <f>IF(OR($E1299="",$E1298=""),"",MAX($E1298-$E1299,0))</f>
        <v>0</v>
      </c>
      <c r="N1299">
        <f>IF(COUNT($E$2:$E1299)&lt;15,"",IF(AVERAGE($M$1286:$M$1299)=0,100,100-100/(1+AVERAGE($L$1286:$L$1299)/AVERAGE($M$1286:$M$1299))))</f>
        <v>0</v>
      </c>
      <c r="O1299">
        <f>IF($E1299="","",IF($E1298="",$E1299,$E1299*0.1538461538+O1298*0.8461538462))</f>
        <v>0</v>
      </c>
      <c r="P1299">
        <f>IF($E1299="","",IF($E1298="",$E1299,$E1299*0.0740740741+P1298*0.9259259259))</f>
        <v>0</v>
      </c>
      <c r="Q1299">
        <f>IF(OR(O1299="",P1299=""),"",O1299-P1299)</f>
        <v>0</v>
      </c>
      <c r="R1299">
        <f>IF(Q1299="","",IF(R1298="",Q1299,Q1299*0.2000000000+R1298*0.8000000000))</f>
        <v>0</v>
      </c>
      <c r="S1299">
        <f>IF(OR(Q1299="",R1299=""),"",Q1299-R1299)</f>
        <v>0</v>
      </c>
      <c r="T1299">
        <f>IF(COUNT($E$2:$E1299)&lt;14,"",MAX($C$1286:$C$1299))</f>
        <v>0</v>
      </c>
      <c r="U1299">
        <f>IF(COUNT($E$2:$E1299)&lt;14,"",MIN($D$1286:$D$1299))</f>
        <v>0</v>
      </c>
      <c r="V1299">
        <f>IF(OR(T1299="",U1299="",T1299=U1299),"",100*($E1299-U1299)/(T1299-U1299))</f>
        <v>0</v>
      </c>
      <c r="W1299">
        <f>IF(COUNT($V$1297:$V$1299)&lt;3,"",AVERAGE($V$1297:$V$1299))</f>
        <v>0</v>
      </c>
      <c r="X1299">
        <f>IF(COUNT($N$1286:$N$1299)&lt;14,"",MIN($N$1286:$N$1299))</f>
        <v>0</v>
      </c>
      <c r="Y1299">
        <f>IF(COUNT($N$1286:$N$1299)&lt;14,"",MAX($N$1286:$N$1299))</f>
        <v>0</v>
      </c>
      <c r="Z1299">
        <f>IF(OR(N1299="",X1299="",Y1299="",Y1299=X1299),"",100*(N1299-X1299)/(Y1299-X1299))</f>
        <v>0</v>
      </c>
      <c r="AA1299">
        <f>IF(COUNT($Z$1297:$Z$1299)&lt;3,"",AVERAGE($Z$1297:$Z$1299))</f>
        <v>0</v>
      </c>
      <c r="AB1299">
        <f>IF(COUNT($AA$1297:$AA$1299)&lt;3,"",AVERAGE($AA$1297:$AA$1299))</f>
        <v>0</v>
      </c>
      <c r="AC1299">
        <f>IF($E1299="","",MAX($C1299-$D1299,ABS($C1299-$E1298),ABS($D1299-$E1298)))</f>
        <v>0</v>
      </c>
      <c r="AD1299">
        <f>IF(COUNT($E$2:$E1299)&lt;15,"",AVERAGE($AC$1286:$AC$1299))</f>
        <v>0</v>
      </c>
      <c r="AE1299">
        <f>IF(OR($E1299="",$E1298=""),"",IF(AND(($C1299-$C1298)&gt;($D1298-$D1299),($C1299-$C1298)&gt;0),$C1299-$C1298,0))</f>
        <v>0</v>
      </c>
      <c r="AF1299">
        <f>IF(OR($E1299="",$E1298=""),"",IF(AND(($D1298-$D1299)&gt;($C1299-$C1298),($D1298-$D1299)&gt;0),$D1298-$D1299,0))</f>
        <v>0</v>
      </c>
      <c r="AG1299">
        <f>IF(COUNT($E$2:$E1299)&lt;15,"",IF(SUM($AC$1286:$AC$1299)=0,0,100*SUM($AE$1286:$AE$1299)/SUM($AC$1286:$AC$1299)))</f>
        <v>0</v>
      </c>
      <c r="AH1299">
        <f>IF(COUNT($E$2:$E1299)&lt;15,"",IF(SUM($AC$1286:$AC$1299)=0,0,100*SUM($AF$1286:$AF$1299)/SUM($AC$1286:$AC$1299)))</f>
        <v>0</v>
      </c>
      <c r="AI1299">
        <f>IF(OR(AG1299="",AH1299=""),"",IF((AG1299+AH1299)=0,0,100*ABS(AG1299-AH1299)/(AG1299+AH1299)))</f>
        <v>0</v>
      </c>
      <c r="AJ1299">
        <f>IF(COUNT($AI$1286:$AI$1299)&lt;14,"",AVERAGE($AI$1286:$AI$1299))</f>
        <v>0</v>
      </c>
      <c r="AK1299">
        <f>IF(COUNT($E$2:$E1299)&lt;20,"",AVERAGE($E$1280:$E$1299))</f>
        <v>0</v>
      </c>
      <c r="AL1299">
        <f>IF(COUNT($E$2:$E1299)&lt;20,"",STDEVP($E$1280:$E$1299))</f>
        <v>0</v>
      </c>
      <c r="AM1299">
        <f>IF(AK1299="","",AK1299+2*AL1299)</f>
        <v>0</v>
      </c>
      <c r="AN1299">
        <f>IF(AK1299="","",AK1299-2*AL1299)</f>
        <v>0</v>
      </c>
      <c r="AO1299">
        <f>IF(OR(AM1299="",AN1299="",AM1299=AN1299),"",($E1299-AN1299)/(AM1299-AN1299))</f>
        <v>0</v>
      </c>
      <c r="AP1299">
        <f>IF(OR(AM1299="",AK1299="",AK1299=0),"",(AM1299-AN1299)/AK1299)</f>
        <v>0</v>
      </c>
      <c r="AQ1299">
        <f>IF(COUNT($E$2:$E1299)&lt;20,"",MAX($C$1280:$C$1299))</f>
        <v>0</v>
      </c>
      <c r="AR1299">
        <f>IF(COUNT($E$2:$E1299)&lt;20,"",MIN($D$1280:$D$1299))</f>
        <v>0</v>
      </c>
      <c r="AS1299">
        <f>IF(OR(AQ1299="",AR1299=""),"",(AQ1299+AR1299)/2)</f>
        <v>0</v>
      </c>
      <c r="AT1299">
        <f>IF(COUNT($G$1280:$G$1299)&lt;20,"",STDEV($G$1280:$G$1299)*SQRT(252))</f>
        <v>0</v>
      </c>
      <c r="AU1299">
        <f>IF(COUNT($E$2:$E1299)&lt;9,"",(MAX($C$1291:$C$1299)+MIN($D$1291:$D$1299))/2)</f>
        <v>0</v>
      </c>
      <c r="AV1299">
        <f>IF(COUNT($E$2:$E1299)&lt;26,"",(MAX($C$1274:$C$1299)+MIN($D$1274:$D$1299))/2)</f>
        <v>0</v>
      </c>
      <c r="AW1299">
        <f>IF(OR(AU1299="",AV1299=""),"",(AU1299+AV1299)/2)</f>
        <v>0</v>
      </c>
      <c r="AX1299">
        <f>IF(COUNT($E$2:$E1299)&lt;52,"",(MAX($C$1248:$C$1299)+MIN($D$1248:$D$1299))/2)</f>
        <v>0</v>
      </c>
      <c r="AY1299">
        <f>IF(COUNT($E$2:$E1299)&lt;20,"",MAX($C$1200:$C$1299))</f>
        <v>0</v>
      </c>
      <c r="AZ1299">
        <f>IF(COUNT($E$2:$E1299)&lt;20,"",MIN($D$1200:$D$1299))</f>
        <v>0</v>
      </c>
      <c r="BA1299">
        <f>IF(COUNT($E$2:$E1299)&lt;20,"",SLOPE($E$1200:$E$1299,$F$1200:$F$1299))</f>
        <v>0</v>
      </c>
      <c r="BB1299">
        <f>IF(COUNT($E$2:$E1299)&lt;20,"",INTERCEPT($E$1200:$E$1299,$F$1200:$F$1299))</f>
        <v>0</v>
      </c>
      <c r="BC1299">
        <f>IF(OR(BA1299="",BB1299=""),"",BB1299+BA1299*F1299)</f>
        <v>0</v>
      </c>
      <c r="BD1299">
        <f>IF(COUNT($E$2:$E1299)&lt;20,"",STEYX($E$1200:$E$1299,$F$1200:$F$1299))</f>
        <v>0</v>
      </c>
      <c r="BE1299">
        <f>IF($E1299="","",IF(AND(COUNT($E$1300:$E$1303)&gt;=4,$C1299=MAX($C$1295:$C$1303)),$C1299,""))</f>
        <v>0</v>
      </c>
      <c r="BF1299">
        <f>IF($E1299="","",IF(AND(COUNT($E$1300:$E$1303)&gt;=4,$D1299=MIN($D$1295:$D$1303)),$D1299,""))</f>
        <v>0</v>
      </c>
      <c r="BG1299">
        <f>IF($A1299="","",$A1299-WEEKDAY($A1299,2)+1)</f>
        <v>0</v>
      </c>
      <c r="BH1299">
        <f>IF($A1299="","",IF($A1298="",1,IF(BG1299&lt;&gt;BG1298,1,0)))</f>
        <v>0</v>
      </c>
      <c r="BI1299">
        <f>IF($A1299="","",IF($A1300="",1,IF(BG1300&lt;&gt;BG1299,1,0)))</f>
        <v>0</v>
      </c>
      <c r="BJ1299">
        <f>IF($A1299="","",IF(BH1299=1,$B1299,BJ1298))</f>
        <v>0</v>
      </c>
      <c r="BK1299">
        <f>IF($A1299="","",IF(BH1299=1,$C1299,MAX($C1299,BK1298)))</f>
        <v>0</v>
      </c>
      <c r="BL1299">
        <f>IF($A1299="","",IF(BH1299=1,$D1299,MIN($D1299,BL1298)))</f>
        <v>0</v>
      </c>
      <c r="BM1299">
        <f>IF($A1299="","",IF(BI1299=1,F1299,""))</f>
        <v>0</v>
      </c>
      <c r="BN1299">
        <f>IF($A1299="","",DATE(YEAR($A1299),MONTH($A1299),1))</f>
        <v>0</v>
      </c>
      <c r="BO1299">
        <f>IF($A1299="","",IF($A1298="",1,IF(BN1299&lt;&gt;BN1298,1,0)))</f>
        <v>0</v>
      </c>
      <c r="BP1299">
        <f>IF($A1299="","",IF($A1300="",1,IF(BN1300&lt;&gt;BN1299,1,0)))</f>
        <v>0</v>
      </c>
      <c r="BQ1299">
        <f>IF($A1299="","",IF(BO1299=1,$B1299,BQ1298))</f>
        <v>0</v>
      </c>
      <c r="BR1299">
        <f>IF($A1299="","",IF(BO1299=1,$C1299,MAX($C1299,BR1298)))</f>
        <v>0</v>
      </c>
      <c r="BS1299">
        <f>IF($A1299="","",IF(BO1299=1,$D1299,MIN($D1299,BS1298)))</f>
        <v>0</v>
      </c>
      <c r="BT1299">
        <f>IF($A1299="","",IF(BP1299=1,F1299,""))</f>
        <v>0</v>
      </c>
    </row>
    <row r="1300" spans="1:72">
      <c r="A1300" s="27">
        <f>IF(Data!$A1300="","",Data!$A1300)</f>
        <v>0</v>
      </c>
      <c r="B1300">
        <f>IF(Data!$B1300="","",Data!$B1300)</f>
        <v>0</v>
      </c>
      <c r="C1300">
        <f>IF(Data!$C1300="","",Data!$C1300)</f>
        <v>0</v>
      </c>
      <c r="D1300">
        <f>IF(Data!$D1300="","",Data!$D1300)</f>
        <v>0</v>
      </c>
      <c r="E1300">
        <f>IF(Data!$E1300="","",Data!$E1300)</f>
        <v>0</v>
      </c>
      <c r="F1300">
        <f>IF($E1300="","",N(F1299)+1)</f>
        <v>0</v>
      </c>
      <c r="G1300">
        <f>IF(OR($E1300="",$E1299=""),"",LN($E1300/$E1299))</f>
        <v>0</v>
      </c>
      <c r="H1300">
        <f>IF($E1300="","",IF($E1299="",$E1300,$E1300*0.0952380952+H1299*0.9047619048))</f>
        <v>0</v>
      </c>
      <c r="I1300">
        <f>IF($E1300="","",IF($E1299="",$E1300,$E1300*0.0392156863+I1299*0.9607843137))</f>
        <v>0</v>
      </c>
      <c r="J1300">
        <f>IF($E1300="","",IF($E1299="",$E1300,$E1300*0.0198019802+J1299*0.9801980198))</f>
        <v>0</v>
      </c>
      <c r="K1300">
        <f>IF($E1300="","",IF($E1299="",$E1300,$E1300*0.0099502488+K1299*0.9900497512))</f>
        <v>0</v>
      </c>
      <c r="L1300">
        <f>IF(OR($E1300="",$E1299=""),"",MAX($E1300-$E1299,0))</f>
        <v>0</v>
      </c>
      <c r="M1300">
        <f>IF(OR($E1300="",$E1299=""),"",MAX($E1299-$E1300,0))</f>
        <v>0</v>
      </c>
      <c r="N1300">
        <f>IF(COUNT($E$2:$E1300)&lt;15,"",IF(AVERAGE($M$1287:$M$1300)=0,100,100-100/(1+AVERAGE($L$1287:$L$1300)/AVERAGE($M$1287:$M$1300))))</f>
        <v>0</v>
      </c>
      <c r="O1300">
        <f>IF($E1300="","",IF($E1299="",$E1300,$E1300*0.1538461538+O1299*0.8461538462))</f>
        <v>0</v>
      </c>
      <c r="P1300">
        <f>IF($E1300="","",IF($E1299="",$E1300,$E1300*0.0740740741+P1299*0.9259259259))</f>
        <v>0</v>
      </c>
      <c r="Q1300">
        <f>IF(OR(O1300="",P1300=""),"",O1300-P1300)</f>
        <v>0</v>
      </c>
      <c r="R1300">
        <f>IF(Q1300="","",IF(R1299="",Q1300,Q1300*0.2000000000+R1299*0.8000000000))</f>
        <v>0</v>
      </c>
      <c r="S1300">
        <f>IF(OR(Q1300="",R1300=""),"",Q1300-R1300)</f>
        <v>0</v>
      </c>
      <c r="T1300">
        <f>IF(COUNT($E$2:$E1300)&lt;14,"",MAX($C$1287:$C$1300))</f>
        <v>0</v>
      </c>
      <c r="U1300">
        <f>IF(COUNT($E$2:$E1300)&lt;14,"",MIN($D$1287:$D$1300))</f>
        <v>0</v>
      </c>
      <c r="V1300">
        <f>IF(OR(T1300="",U1300="",T1300=U1300),"",100*($E1300-U1300)/(T1300-U1300))</f>
        <v>0</v>
      </c>
      <c r="W1300">
        <f>IF(COUNT($V$1298:$V$1300)&lt;3,"",AVERAGE($V$1298:$V$1300))</f>
        <v>0</v>
      </c>
      <c r="X1300">
        <f>IF(COUNT($N$1287:$N$1300)&lt;14,"",MIN($N$1287:$N$1300))</f>
        <v>0</v>
      </c>
      <c r="Y1300">
        <f>IF(COUNT($N$1287:$N$1300)&lt;14,"",MAX($N$1287:$N$1300))</f>
        <v>0</v>
      </c>
      <c r="Z1300">
        <f>IF(OR(N1300="",X1300="",Y1300="",Y1300=X1300),"",100*(N1300-X1300)/(Y1300-X1300))</f>
        <v>0</v>
      </c>
      <c r="AA1300">
        <f>IF(COUNT($Z$1298:$Z$1300)&lt;3,"",AVERAGE($Z$1298:$Z$1300))</f>
        <v>0</v>
      </c>
      <c r="AB1300">
        <f>IF(COUNT($AA$1298:$AA$1300)&lt;3,"",AVERAGE($AA$1298:$AA$1300))</f>
        <v>0</v>
      </c>
      <c r="AC1300">
        <f>IF($E1300="","",MAX($C1300-$D1300,ABS($C1300-$E1299),ABS($D1300-$E1299)))</f>
        <v>0</v>
      </c>
      <c r="AD1300">
        <f>IF(COUNT($E$2:$E1300)&lt;15,"",AVERAGE($AC$1287:$AC$1300))</f>
        <v>0</v>
      </c>
      <c r="AE1300">
        <f>IF(OR($E1300="",$E1299=""),"",IF(AND(($C1300-$C1299)&gt;($D1299-$D1300),($C1300-$C1299)&gt;0),$C1300-$C1299,0))</f>
        <v>0</v>
      </c>
      <c r="AF1300">
        <f>IF(OR($E1300="",$E1299=""),"",IF(AND(($D1299-$D1300)&gt;($C1300-$C1299),($D1299-$D1300)&gt;0),$D1299-$D1300,0))</f>
        <v>0</v>
      </c>
      <c r="AG1300">
        <f>IF(COUNT($E$2:$E1300)&lt;15,"",IF(SUM($AC$1287:$AC$1300)=0,0,100*SUM($AE$1287:$AE$1300)/SUM($AC$1287:$AC$1300)))</f>
        <v>0</v>
      </c>
      <c r="AH1300">
        <f>IF(COUNT($E$2:$E1300)&lt;15,"",IF(SUM($AC$1287:$AC$1300)=0,0,100*SUM($AF$1287:$AF$1300)/SUM($AC$1287:$AC$1300)))</f>
        <v>0</v>
      </c>
      <c r="AI1300">
        <f>IF(OR(AG1300="",AH1300=""),"",IF((AG1300+AH1300)=0,0,100*ABS(AG1300-AH1300)/(AG1300+AH1300)))</f>
        <v>0</v>
      </c>
      <c r="AJ1300">
        <f>IF(COUNT($AI$1287:$AI$1300)&lt;14,"",AVERAGE($AI$1287:$AI$1300))</f>
        <v>0</v>
      </c>
      <c r="AK1300">
        <f>IF(COUNT($E$2:$E1300)&lt;20,"",AVERAGE($E$1281:$E$1300))</f>
        <v>0</v>
      </c>
      <c r="AL1300">
        <f>IF(COUNT($E$2:$E1300)&lt;20,"",STDEVP($E$1281:$E$1300))</f>
        <v>0</v>
      </c>
      <c r="AM1300">
        <f>IF(AK1300="","",AK1300+2*AL1300)</f>
        <v>0</v>
      </c>
      <c r="AN1300">
        <f>IF(AK1300="","",AK1300-2*AL1300)</f>
        <v>0</v>
      </c>
      <c r="AO1300">
        <f>IF(OR(AM1300="",AN1300="",AM1300=AN1300),"",($E1300-AN1300)/(AM1300-AN1300))</f>
        <v>0</v>
      </c>
      <c r="AP1300">
        <f>IF(OR(AM1300="",AK1300="",AK1300=0),"",(AM1300-AN1300)/AK1300)</f>
        <v>0</v>
      </c>
      <c r="AQ1300">
        <f>IF(COUNT($E$2:$E1300)&lt;20,"",MAX($C$1281:$C$1300))</f>
        <v>0</v>
      </c>
      <c r="AR1300">
        <f>IF(COUNT($E$2:$E1300)&lt;20,"",MIN($D$1281:$D$1300))</f>
        <v>0</v>
      </c>
      <c r="AS1300">
        <f>IF(OR(AQ1300="",AR1300=""),"",(AQ1300+AR1300)/2)</f>
        <v>0</v>
      </c>
      <c r="AT1300">
        <f>IF(COUNT($G$1281:$G$1300)&lt;20,"",STDEV($G$1281:$G$1300)*SQRT(252))</f>
        <v>0</v>
      </c>
      <c r="AU1300">
        <f>IF(COUNT($E$2:$E1300)&lt;9,"",(MAX($C$1292:$C$1300)+MIN($D$1292:$D$1300))/2)</f>
        <v>0</v>
      </c>
      <c r="AV1300">
        <f>IF(COUNT($E$2:$E1300)&lt;26,"",(MAX($C$1275:$C$1300)+MIN($D$1275:$D$1300))/2)</f>
        <v>0</v>
      </c>
      <c r="AW1300">
        <f>IF(OR(AU1300="",AV1300=""),"",(AU1300+AV1300)/2)</f>
        <v>0</v>
      </c>
      <c r="AX1300">
        <f>IF(COUNT($E$2:$E1300)&lt;52,"",(MAX($C$1249:$C$1300)+MIN($D$1249:$D$1300))/2)</f>
        <v>0</v>
      </c>
      <c r="AY1300">
        <f>IF(COUNT($E$2:$E1300)&lt;20,"",MAX($C$1201:$C$1300))</f>
        <v>0</v>
      </c>
      <c r="AZ1300">
        <f>IF(COUNT($E$2:$E1300)&lt;20,"",MIN($D$1201:$D$1300))</f>
        <v>0</v>
      </c>
      <c r="BA1300">
        <f>IF(COUNT($E$2:$E1300)&lt;20,"",SLOPE($E$1201:$E$1300,$F$1201:$F$1300))</f>
        <v>0</v>
      </c>
      <c r="BB1300">
        <f>IF(COUNT($E$2:$E1300)&lt;20,"",INTERCEPT($E$1201:$E$1300,$F$1201:$F$1300))</f>
        <v>0</v>
      </c>
      <c r="BC1300">
        <f>IF(OR(BA1300="",BB1300=""),"",BB1300+BA1300*F1300)</f>
        <v>0</v>
      </c>
      <c r="BD1300">
        <f>IF(COUNT($E$2:$E1300)&lt;20,"",STEYX($E$1201:$E$1300,$F$1201:$F$1300))</f>
        <v>0</v>
      </c>
      <c r="BE1300">
        <f>IF($E1300="","",IF(AND(COUNT($E$1301:$E$1304)&gt;=4,$C1300=MAX($C$1296:$C$1304)),$C1300,""))</f>
        <v>0</v>
      </c>
      <c r="BF1300">
        <f>IF($E1300="","",IF(AND(COUNT($E$1301:$E$1304)&gt;=4,$D1300=MIN($D$1296:$D$1304)),$D1300,""))</f>
        <v>0</v>
      </c>
      <c r="BG1300">
        <f>IF($A1300="","",$A1300-WEEKDAY($A1300,2)+1)</f>
        <v>0</v>
      </c>
      <c r="BH1300">
        <f>IF($A1300="","",IF($A1299="",1,IF(BG1300&lt;&gt;BG1299,1,0)))</f>
        <v>0</v>
      </c>
      <c r="BI1300">
        <f>IF($A1300="","",IF($A1301="",1,IF(BG1301&lt;&gt;BG1300,1,0)))</f>
        <v>0</v>
      </c>
      <c r="BJ1300">
        <f>IF($A1300="","",IF(BH1300=1,$B1300,BJ1299))</f>
        <v>0</v>
      </c>
      <c r="BK1300">
        <f>IF($A1300="","",IF(BH1300=1,$C1300,MAX($C1300,BK1299)))</f>
        <v>0</v>
      </c>
      <c r="BL1300">
        <f>IF($A1300="","",IF(BH1300=1,$D1300,MIN($D1300,BL1299)))</f>
        <v>0</v>
      </c>
      <c r="BM1300">
        <f>IF($A1300="","",IF(BI1300=1,F1300,""))</f>
        <v>0</v>
      </c>
      <c r="BN1300">
        <f>IF($A1300="","",DATE(YEAR($A1300),MONTH($A1300),1))</f>
        <v>0</v>
      </c>
      <c r="BO1300">
        <f>IF($A1300="","",IF($A1299="",1,IF(BN1300&lt;&gt;BN1299,1,0)))</f>
        <v>0</v>
      </c>
      <c r="BP1300">
        <f>IF($A1300="","",IF($A1301="",1,IF(BN1301&lt;&gt;BN1300,1,0)))</f>
        <v>0</v>
      </c>
      <c r="BQ1300">
        <f>IF($A1300="","",IF(BO1300=1,$B1300,BQ1299))</f>
        <v>0</v>
      </c>
      <c r="BR1300">
        <f>IF($A1300="","",IF(BO1300=1,$C1300,MAX($C1300,BR1299)))</f>
        <v>0</v>
      </c>
      <c r="BS1300">
        <f>IF($A1300="","",IF(BO1300=1,$D1300,MIN($D1300,BS1299)))</f>
        <v>0</v>
      </c>
      <c r="BT1300">
        <f>IF($A1300="","",IF(BP1300=1,F1300,""))</f>
        <v>0</v>
      </c>
    </row>
    <row r="1301" spans="1:72">
      <c r="A1301" s="27">
        <f>IF(Data!$A1301="","",Data!$A1301)</f>
        <v>0</v>
      </c>
      <c r="B1301">
        <f>IF(Data!$B1301="","",Data!$B1301)</f>
        <v>0</v>
      </c>
      <c r="C1301">
        <f>IF(Data!$C1301="","",Data!$C1301)</f>
        <v>0</v>
      </c>
      <c r="D1301">
        <f>IF(Data!$D1301="","",Data!$D1301)</f>
        <v>0</v>
      </c>
      <c r="E1301">
        <f>IF(Data!$E1301="","",Data!$E1301)</f>
        <v>0</v>
      </c>
      <c r="F1301">
        <f>IF($E1301="","",N(F1300)+1)</f>
        <v>0</v>
      </c>
      <c r="G1301">
        <f>IF(OR($E1301="",$E1300=""),"",LN($E1301/$E1300))</f>
        <v>0</v>
      </c>
      <c r="H1301">
        <f>IF($E1301="","",IF($E1300="",$E1301,$E1301*0.0952380952+H1300*0.9047619048))</f>
        <v>0</v>
      </c>
      <c r="I1301">
        <f>IF($E1301="","",IF($E1300="",$E1301,$E1301*0.0392156863+I1300*0.9607843137))</f>
        <v>0</v>
      </c>
      <c r="J1301">
        <f>IF($E1301="","",IF($E1300="",$E1301,$E1301*0.0198019802+J1300*0.9801980198))</f>
        <v>0</v>
      </c>
      <c r="K1301">
        <f>IF($E1301="","",IF($E1300="",$E1301,$E1301*0.0099502488+K1300*0.9900497512))</f>
        <v>0</v>
      </c>
      <c r="L1301">
        <f>IF(OR($E1301="",$E1300=""),"",MAX($E1301-$E1300,0))</f>
        <v>0</v>
      </c>
      <c r="M1301">
        <f>IF(OR($E1301="",$E1300=""),"",MAX($E1300-$E1301,0))</f>
        <v>0</v>
      </c>
      <c r="N1301">
        <f>IF(COUNT($E$2:$E1301)&lt;15,"",IF(AVERAGE($M$1288:$M$1301)=0,100,100-100/(1+AVERAGE($L$1288:$L$1301)/AVERAGE($M$1288:$M$1301))))</f>
        <v>0</v>
      </c>
      <c r="O1301">
        <f>IF($E1301="","",IF($E1300="",$E1301,$E1301*0.1538461538+O1300*0.8461538462))</f>
        <v>0</v>
      </c>
      <c r="P1301">
        <f>IF($E1301="","",IF($E1300="",$E1301,$E1301*0.0740740741+P1300*0.9259259259))</f>
        <v>0</v>
      </c>
      <c r="Q1301">
        <f>IF(OR(O1301="",P1301=""),"",O1301-P1301)</f>
        <v>0</v>
      </c>
      <c r="R1301">
        <f>IF(Q1301="","",IF(R1300="",Q1301,Q1301*0.2000000000+R1300*0.8000000000))</f>
        <v>0</v>
      </c>
      <c r="S1301">
        <f>IF(OR(Q1301="",R1301=""),"",Q1301-R1301)</f>
        <v>0</v>
      </c>
      <c r="T1301">
        <f>IF(COUNT($E$2:$E1301)&lt;14,"",MAX($C$1288:$C$1301))</f>
        <v>0</v>
      </c>
      <c r="U1301">
        <f>IF(COUNT($E$2:$E1301)&lt;14,"",MIN($D$1288:$D$1301))</f>
        <v>0</v>
      </c>
      <c r="V1301">
        <f>IF(OR(T1301="",U1301="",T1301=U1301),"",100*($E1301-U1301)/(T1301-U1301))</f>
        <v>0</v>
      </c>
      <c r="W1301">
        <f>IF(COUNT($V$1299:$V$1301)&lt;3,"",AVERAGE($V$1299:$V$1301))</f>
        <v>0</v>
      </c>
      <c r="X1301">
        <f>IF(COUNT($N$1288:$N$1301)&lt;14,"",MIN($N$1288:$N$1301))</f>
        <v>0</v>
      </c>
      <c r="Y1301">
        <f>IF(COUNT($N$1288:$N$1301)&lt;14,"",MAX($N$1288:$N$1301))</f>
        <v>0</v>
      </c>
      <c r="Z1301">
        <f>IF(OR(N1301="",X1301="",Y1301="",Y1301=X1301),"",100*(N1301-X1301)/(Y1301-X1301))</f>
        <v>0</v>
      </c>
      <c r="AA1301">
        <f>IF(COUNT($Z$1299:$Z$1301)&lt;3,"",AVERAGE($Z$1299:$Z$1301))</f>
        <v>0</v>
      </c>
      <c r="AB1301">
        <f>IF(COUNT($AA$1299:$AA$1301)&lt;3,"",AVERAGE($AA$1299:$AA$1301))</f>
        <v>0</v>
      </c>
      <c r="AC1301">
        <f>IF($E1301="","",MAX($C1301-$D1301,ABS($C1301-$E1300),ABS($D1301-$E1300)))</f>
        <v>0</v>
      </c>
      <c r="AD1301">
        <f>IF(COUNT($E$2:$E1301)&lt;15,"",AVERAGE($AC$1288:$AC$1301))</f>
        <v>0</v>
      </c>
      <c r="AE1301">
        <f>IF(OR($E1301="",$E1300=""),"",IF(AND(($C1301-$C1300)&gt;($D1300-$D1301),($C1301-$C1300)&gt;0),$C1301-$C1300,0))</f>
        <v>0</v>
      </c>
      <c r="AF1301">
        <f>IF(OR($E1301="",$E1300=""),"",IF(AND(($D1300-$D1301)&gt;($C1301-$C1300),($D1300-$D1301)&gt;0),$D1300-$D1301,0))</f>
        <v>0</v>
      </c>
      <c r="AG1301">
        <f>IF(COUNT($E$2:$E1301)&lt;15,"",IF(SUM($AC$1288:$AC$1301)=0,0,100*SUM($AE$1288:$AE$1301)/SUM($AC$1288:$AC$1301)))</f>
        <v>0</v>
      </c>
      <c r="AH1301">
        <f>IF(COUNT($E$2:$E1301)&lt;15,"",IF(SUM($AC$1288:$AC$1301)=0,0,100*SUM($AF$1288:$AF$1301)/SUM($AC$1288:$AC$1301)))</f>
        <v>0</v>
      </c>
      <c r="AI1301">
        <f>IF(OR(AG1301="",AH1301=""),"",IF((AG1301+AH1301)=0,0,100*ABS(AG1301-AH1301)/(AG1301+AH1301)))</f>
        <v>0</v>
      </c>
      <c r="AJ1301">
        <f>IF(COUNT($AI$1288:$AI$1301)&lt;14,"",AVERAGE($AI$1288:$AI$1301))</f>
        <v>0</v>
      </c>
      <c r="AK1301">
        <f>IF(COUNT($E$2:$E1301)&lt;20,"",AVERAGE($E$1282:$E$1301))</f>
        <v>0</v>
      </c>
      <c r="AL1301">
        <f>IF(COUNT($E$2:$E1301)&lt;20,"",STDEVP($E$1282:$E$1301))</f>
        <v>0</v>
      </c>
      <c r="AM1301">
        <f>IF(AK1301="","",AK1301+2*AL1301)</f>
        <v>0</v>
      </c>
      <c r="AN1301">
        <f>IF(AK1301="","",AK1301-2*AL1301)</f>
        <v>0</v>
      </c>
      <c r="AO1301">
        <f>IF(OR(AM1301="",AN1301="",AM1301=AN1301),"",($E1301-AN1301)/(AM1301-AN1301))</f>
        <v>0</v>
      </c>
      <c r="AP1301">
        <f>IF(OR(AM1301="",AK1301="",AK1301=0),"",(AM1301-AN1301)/AK1301)</f>
        <v>0</v>
      </c>
      <c r="AQ1301">
        <f>IF(COUNT($E$2:$E1301)&lt;20,"",MAX($C$1282:$C$1301))</f>
        <v>0</v>
      </c>
      <c r="AR1301">
        <f>IF(COUNT($E$2:$E1301)&lt;20,"",MIN($D$1282:$D$1301))</f>
        <v>0</v>
      </c>
      <c r="AS1301">
        <f>IF(OR(AQ1301="",AR1301=""),"",(AQ1301+AR1301)/2)</f>
        <v>0</v>
      </c>
      <c r="AT1301">
        <f>IF(COUNT($G$1282:$G$1301)&lt;20,"",STDEV($G$1282:$G$1301)*SQRT(252))</f>
        <v>0</v>
      </c>
      <c r="AU1301">
        <f>IF(COUNT($E$2:$E1301)&lt;9,"",(MAX($C$1293:$C$1301)+MIN($D$1293:$D$1301))/2)</f>
        <v>0</v>
      </c>
      <c r="AV1301">
        <f>IF(COUNT($E$2:$E1301)&lt;26,"",(MAX($C$1276:$C$1301)+MIN($D$1276:$D$1301))/2)</f>
        <v>0</v>
      </c>
      <c r="AW1301">
        <f>IF(OR(AU1301="",AV1301=""),"",(AU1301+AV1301)/2)</f>
        <v>0</v>
      </c>
      <c r="AX1301">
        <f>IF(COUNT($E$2:$E1301)&lt;52,"",(MAX($C$1250:$C$1301)+MIN($D$1250:$D$1301))/2)</f>
        <v>0</v>
      </c>
      <c r="AY1301">
        <f>IF(COUNT($E$2:$E1301)&lt;20,"",MAX($C$1202:$C$1301))</f>
        <v>0</v>
      </c>
      <c r="AZ1301">
        <f>IF(COUNT($E$2:$E1301)&lt;20,"",MIN($D$1202:$D$1301))</f>
        <v>0</v>
      </c>
      <c r="BA1301">
        <f>IF(COUNT($E$2:$E1301)&lt;20,"",SLOPE($E$1202:$E$1301,$F$1202:$F$1301))</f>
        <v>0</v>
      </c>
      <c r="BB1301">
        <f>IF(COUNT($E$2:$E1301)&lt;20,"",INTERCEPT($E$1202:$E$1301,$F$1202:$F$1301))</f>
        <v>0</v>
      </c>
      <c r="BC1301">
        <f>IF(OR(BA1301="",BB1301=""),"",BB1301+BA1301*F1301)</f>
        <v>0</v>
      </c>
      <c r="BD1301">
        <f>IF(COUNT($E$2:$E1301)&lt;20,"",STEYX($E$1202:$E$1301,$F$1202:$F$1301))</f>
        <v>0</v>
      </c>
      <c r="BE1301">
        <f>IF($E1301="","",IF(AND(COUNT($E$1302:$E$1305)&gt;=4,$C1301=MAX($C$1297:$C$1305)),$C1301,""))</f>
        <v>0</v>
      </c>
      <c r="BF1301">
        <f>IF($E1301="","",IF(AND(COUNT($E$1302:$E$1305)&gt;=4,$D1301=MIN($D$1297:$D$1305)),$D1301,""))</f>
        <v>0</v>
      </c>
      <c r="BG1301">
        <f>IF($A1301="","",$A1301-WEEKDAY($A1301,2)+1)</f>
        <v>0</v>
      </c>
      <c r="BH1301">
        <f>IF($A1301="","",IF($A1300="",1,IF(BG1301&lt;&gt;BG1300,1,0)))</f>
        <v>0</v>
      </c>
      <c r="BI1301">
        <f>IF($A1301="","",IF($A1302="",1,IF(BG1302&lt;&gt;BG1301,1,0)))</f>
        <v>0</v>
      </c>
      <c r="BJ1301">
        <f>IF($A1301="","",IF(BH1301=1,$B1301,BJ1300))</f>
        <v>0</v>
      </c>
      <c r="BK1301">
        <f>IF($A1301="","",IF(BH1301=1,$C1301,MAX($C1301,BK1300)))</f>
        <v>0</v>
      </c>
      <c r="BL1301">
        <f>IF($A1301="","",IF(BH1301=1,$D1301,MIN($D1301,BL1300)))</f>
        <v>0</v>
      </c>
      <c r="BM1301">
        <f>IF($A1301="","",IF(BI1301=1,F1301,""))</f>
        <v>0</v>
      </c>
      <c r="BN1301">
        <f>IF($A1301="","",DATE(YEAR($A1301),MONTH($A1301),1))</f>
        <v>0</v>
      </c>
      <c r="BO1301">
        <f>IF($A1301="","",IF($A1300="",1,IF(BN1301&lt;&gt;BN1300,1,0)))</f>
        <v>0</v>
      </c>
      <c r="BP1301">
        <f>IF($A1301="","",IF($A1302="",1,IF(BN1302&lt;&gt;BN1301,1,0)))</f>
        <v>0</v>
      </c>
      <c r="BQ1301">
        <f>IF($A1301="","",IF(BO1301=1,$B1301,BQ1300))</f>
        <v>0</v>
      </c>
      <c r="BR1301">
        <f>IF($A1301="","",IF(BO1301=1,$C1301,MAX($C1301,BR1300)))</f>
        <v>0</v>
      </c>
      <c r="BS1301">
        <f>IF($A1301="","",IF(BO1301=1,$D1301,MIN($D1301,BS1300)))</f>
        <v>0</v>
      </c>
      <c r="BT1301">
        <f>IF($A1301="","",IF(BP1301=1,F1301,""))</f>
        <v>0</v>
      </c>
    </row>
    <row r="1302" spans="1:72">
      <c r="A1302" s="27">
        <f>IF(Data!$A1302="","",Data!$A1302)</f>
        <v>0</v>
      </c>
      <c r="B1302">
        <f>IF(Data!$B1302="","",Data!$B1302)</f>
        <v>0</v>
      </c>
      <c r="C1302">
        <f>IF(Data!$C1302="","",Data!$C1302)</f>
        <v>0</v>
      </c>
      <c r="D1302">
        <f>IF(Data!$D1302="","",Data!$D1302)</f>
        <v>0</v>
      </c>
      <c r="E1302">
        <f>IF(Data!$E1302="","",Data!$E1302)</f>
        <v>0</v>
      </c>
      <c r="F1302">
        <f>IF($E1302="","",N(F1301)+1)</f>
        <v>0</v>
      </c>
      <c r="G1302">
        <f>IF(OR($E1302="",$E1301=""),"",LN($E1302/$E1301))</f>
        <v>0</v>
      </c>
      <c r="H1302">
        <f>IF($E1302="","",IF($E1301="",$E1302,$E1302*0.0952380952+H1301*0.9047619048))</f>
        <v>0</v>
      </c>
      <c r="I1302">
        <f>IF($E1302="","",IF($E1301="",$E1302,$E1302*0.0392156863+I1301*0.9607843137))</f>
        <v>0</v>
      </c>
      <c r="J1302">
        <f>IF($E1302="","",IF($E1301="",$E1302,$E1302*0.0198019802+J1301*0.9801980198))</f>
        <v>0</v>
      </c>
      <c r="K1302">
        <f>IF($E1302="","",IF($E1301="",$E1302,$E1302*0.0099502488+K1301*0.9900497512))</f>
        <v>0</v>
      </c>
      <c r="L1302">
        <f>IF(OR($E1302="",$E1301=""),"",MAX($E1302-$E1301,0))</f>
        <v>0</v>
      </c>
      <c r="M1302">
        <f>IF(OR($E1302="",$E1301=""),"",MAX($E1301-$E1302,0))</f>
        <v>0</v>
      </c>
      <c r="N1302">
        <f>IF(COUNT($E$2:$E1302)&lt;15,"",IF(AVERAGE($M$1289:$M$1302)=0,100,100-100/(1+AVERAGE($L$1289:$L$1302)/AVERAGE($M$1289:$M$1302))))</f>
        <v>0</v>
      </c>
      <c r="O1302">
        <f>IF($E1302="","",IF($E1301="",$E1302,$E1302*0.1538461538+O1301*0.8461538462))</f>
        <v>0</v>
      </c>
      <c r="P1302">
        <f>IF($E1302="","",IF($E1301="",$E1302,$E1302*0.0740740741+P1301*0.9259259259))</f>
        <v>0</v>
      </c>
      <c r="Q1302">
        <f>IF(OR(O1302="",P1302=""),"",O1302-P1302)</f>
        <v>0</v>
      </c>
      <c r="R1302">
        <f>IF(Q1302="","",IF(R1301="",Q1302,Q1302*0.2000000000+R1301*0.8000000000))</f>
        <v>0</v>
      </c>
      <c r="S1302">
        <f>IF(OR(Q1302="",R1302=""),"",Q1302-R1302)</f>
        <v>0</v>
      </c>
      <c r="T1302">
        <f>IF(COUNT($E$2:$E1302)&lt;14,"",MAX($C$1289:$C$1302))</f>
        <v>0</v>
      </c>
      <c r="U1302">
        <f>IF(COUNT($E$2:$E1302)&lt;14,"",MIN($D$1289:$D$1302))</f>
        <v>0</v>
      </c>
      <c r="V1302">
        <f>IF(OR(T1302="",U1302="",T1302=U1302),"",100*($E1302-U1302)/(T1302-U1302))</f>
        <v>0</v>
      </c>
      <c r="W1302">
        <f>IF(COUNT($V$1300:$V$1302)&lt;3,"",AVERAGE($V$1300:$V$1302))</f>
        <v>0</v>
      </c>
      <c r="X1302">
        <f>IF(COUNT($N$1289:$N$1302)&lt;14,"",MIN($N$1289:$N$1302))</f>
        <v>0</v>
      </c>
      <c r="Y1302">
        <f>IF(COUNT($N$1289:$N$1302)&lt;14,"",MAX($N$1289:$N$1302))</f>
        <v>0</v>
      </c>
      <c r="Z1302">
        <f>IF(OR(N1302="",X1302="",Y1302="",Y1302=X1302),"",100*(N1302-X1302)/(Y1302-X1302))</f>
        <v>0</v>
      </c>
      <c r="AA1302">
        <f>IF(COUNT($Z$1300:$Z$1302)&lt;3,"",AVERAGE($Z$1300:$Z$1302))</f>
        <v>0</v>
      </c>
      <c r="AB1302">
        <f>IF(COUNT($AA$1300:$AA$1302)&lt;3,"",AVERAGE($AA$1300:$AA$1302))</f>
        <v>0</v>
      </c>
      <c r="AC1302">
        <f>IF($E1302="","",MAX($C1302-$D1302,ABS($C1302-$E1301),ABS($D1302-$E1301)))</f>
        <v>0</v>
      </c>
      <c r="AD1302">
        <f>IF(COUNT($E$2:$E1302)&lt;15,"",AVERAGE($AC$1289:$AC$1302))</f>
        <v>0</v>
      </c>
      <c r="AE1302">
        <f>IF(OR($E1302="",$E1301=""),"",IF(AND(($C1302-$C1301)&gt;($D1301-$D1302),($C1302-$C1301)&gt;0),$C1302-$C1301,0))</f>
        <v>0</v>
      </c>
      <c r="AF1302">
        <f>IF(OR($E1302="",$E1301=""),"",IF(AND(($D1301-$D1302)&gt;($C1302-$C1301),($D1301-$D1302)&gt;0),$D1301-$D1302,0))</f>
        <v>0</v>
      </c>
      <c r="AG1302">
        <f>IF(COUNT($E$2:$E1302)&lt;15,"",IF(SUM($AC$1289:$AC$1302)=0,0,100*SUM($AE$1289:$AE$1302)/SUM($AC$1289:$AC$1302)))</f>
        <v>0</v>
      </c>
      <c r="AH1302">
        <f>IF(COUNT($E$2:$E1302)&lt;15,"",IF(SUM($AC$1289:$AC$1302)=0,0,100*SUM($AF$1289:$AF$1302)/SUM($AC$1289:$AC$1302)))</f>
        <v>0</v>
      </c>
      <c r="AI1302">
        <f>IF(OR(AG1302="",AH1302=""),"",IF((AG1302+AH1302)=0,0,100*ABS(AG1302-AH1302)/(AG1302+AH1302)))</f>
        <v>0</v>
      </c>
      <c r="AJ1302">
        <f>IF(COUNT($AI$1289:$AI$1302)&lt;14,"",AVERAGE($AI$1289:$AI$1302))</f>
        <v>0</v>
      </c>
      <c r="AK1302">
        <f>IF(COUNT($E$2:$E1302)&lt;20,"",AVERAGE($E$1283:$E$1302))</f>
        <v>0</v>
      </c>
      <c r="AL1302">
        <f>IF(COUNT($E$2:$E1302)&lt;20,"",STDEVP($E$1283:$E$1302))</f>
        <v>0</v>
      </c>
      <c r="AM1302">
        <f>IF(AK1302="","",AK1302+2*AL1302)</f>
        <v>0</v>
      </c>
      <c r="AN1302">
        <f>IF(AK1302="","",AK1302-2*AL1302)</f>
        <v>0</v>
      </c>
      <c r="AO1302">
        <f>IF(OR(AM1302="",AN1302="",AM1302=AN1302),"",($E1302-AN1302)/(AM1302-AN1302))</f>
        <v>0</v>
      </c>
      <c r="AP1302">
        <f>IF(OR(AM1302="",AK1302="",AK1302=0),"",(AM1302-AN1302)/AK1302)</f>
        <v>0</v>
      </c>
      <c r="AQ1302">
        <f>IF(COUNT($E$2:$E1302)&lt;20,"",MAX($C$1283:$C$1302))</f>
        <v>0</v>
      </c>
      <c r="AR1302">
        <f>IF(COUNT($E$2:$E1302)&lt;20,"",MIN($D$1283:$D$1302))</f>
        <v>0</v>
      </c>
      <c r="AS1302">
        <f>IF(OR(AQ1302="",AR1302=""),"",(AQ1302+AR1302)/2)</f>
        <v>0</v>
      </c>
      <c r="AT1302">
        <f>IF(COUNT($G$1283:$G$1302)&lt;20,"",STDEV($G$1283:$G$1302)*SQRT(252))</f>
        <v>0</v>
      </c>
      <c r="AU1302">
        <f>IF(COUNT($E$2:$E1302)&lt;9,"",(MAX($C$1294:$C$1302)+MIN($D$1294:$D$1302))/2)</f>
        <v>0</v>
      </c>
      <c r="AV1302">
        <f>IF(COUNT($E$2:$E1302)&lt;26,"",(MAX($C$1277:$C$1302)+MIN($D$1277:$D$1302))/2)</f>
        <v>0</v>
      </c>
      <c r="AW1302">
        <f>IF(OR(AU1302="",AV1302=""),"",(AU1302+AV1302)/2)</f>
        <v>0</v>
      </c>
      <c r="AX1302">
        <f>IF(COUNT($E$2:$E1302)&lt;52,"",(MAX($C$1251:$C$1302)+MIN($D$1251:$D$1302))/2)</f>
        <v>0</v>
      </c>
      <c r="AY1302">
        <f>IF(COUNT($E$2:$E1302)&lt;20,"",MAX($C$1203:$C$1302))</f>
        <v>0</v>
      </c>
      <c r="AZ1302">
        <f>IF(COUNT($E$2:$E1302)&lt;20,"",MIN($D$1203:$D$1302))</f>
        <v>0</v>
      </c>
      <c r="BA1302">
        <f>IF(COUNT($E$2:$E1302)&lt;20,"",SLOPE($E$1203:$E$1302,$F$1203:$F$1302))</f>
        <v>0</v>
      </c>
      <c r="BB1302">
        <f>IF(COUNT($E$2:$E1302)&lt;20,"",INTERCEPT($E$1203:$E$1302,$F$1203:$F$1302))</f>
        <v>0</v>
      </c>
      <c r="BC1302">
        <f>IF(OR(BA1302="",BB1302=""),"",BB1302+BA1302*F1302)</f>
        <v>0</v>
      </c>
      <c r="BD1302">
        <f>IF(COUNT($E$2:$E1302)&lt;20,"",STEYX($E$1203:$E$1302,$F$1203:$F$1302))</f>
        <v>0</v>
      </c>
      <c r="BE1302">
        <f>IF($E1302="","",IF(AND(COUNT($E$1303:$E$1306)&gt;=4,$C1302=MAX($C$1298:$C$1306)),$C1302,""))</f>
        <v>0</v>
      </c>
      <c r="BF1302">
        <f>IF($E1302="","",IF(AND(COUNT($E$1303:$E$1306)&gt;=4,$D1302=MIN($D$1298:$D$1306)),$D1302,""))</f>
        <v>0</v>
      </c>
      <c r="BG1302">
        <f>IF($A1302="","",$A1302-WEEKDAY($A1302,2)+1)</f>
        <v>0</v>
      </c>
      <c r="BH1302">
        <f>IF($A1302="","",IF($A1301="",1,IF(BG1302&lt;&gt;BG1301,1,0)))</f>
        <v>0</v>
      </c>
      <c r="BI1302">
        <f>IF($A1302="","",IF($A1303="",1,IF(BG1303&lt;&gt;BG1302,1,0)))</f>
        <v>0</v>
      </c>
      <c r="BJ1302">
        <f>IF($A1302="","",IF(BH1302=1,$B1302,BJ1301))</f>
        <v>0</v>
      </c>
      <c r="BK1302">
        <f>IF($A1302="","",IF(BH1302=1,$C1302,MAX($C1302,BK1301)))</f>
        <v>0</v>
      </c>
      <c r="BL1302">
        <f>IF($A1302="","",IF(BH1302=1,$D1302,MIN($D1302,BL1301)))</f>
        <v>0</v>
      </c>
      <c r="BM1302">
        <f>IF($A1302="","",IF(BI1302=1,F1302,""))</f>
        <v>0</v>
      </c>
      <c r="BN1302">
        <f>IF($A1302="","",DATE(YEAR($A1302),MONTH($A1302),1))</f>
        <v>0</v>
      </c>
      <c r="BO1302">
        <f>IF($A1302="","",IF($A1301="",1,IF(BN1302&lt;&gt;BN1301,1,0)))</f>
        <v>0</v>
      </c>
      <c r="BP1302">
        <f>IF($A1302="","",IF($A1303="",1,IF(BN1303&lt;&gt;BN1302,1,0)))</f>
        <v>0</v>
      </c>
      <c r="BQ1302">
        <f>IF($A1302="","",IF(BO1302=1,$B1302,BQ1301))</f>
        <v>0</v>
      </c>
      <c r="BR1302">
        <f>IF($A1302="","",IF(BO1302=1,$C1302,MAX($C1302,BR1301)))</f>
        <v>0</v>
      </c>
      <c r="BS1302">
        <f>IF($A1302="","",IF(BO1302=1,$D1302,MIN($D1302,BS1301)))</f>
        <v>0</v>
      </c>
      <c r="BT1302">
        <f>IF($A1302="","",IF(BP1302=1,F1302,""))</f>
        <v>0</v>
      </c>
    </row>
    <row r="1303" spans="1:72">
      <c r="A1303" s="27">
        <f>IF(Data!$A1303="","",Data!$A1303)</f>
        <v>0</v>
      </c>
      <c r="B1303">
        <f>IF(Data!$B1303="","",Data!$B1303)</f>
        <v>0</v>
      </c>
      <c r="C1303">
        <f>IF(Data!$C1303="","",Data!$C1303)</f>
        <v>0</v>
      </c>
      <c r="D1303">
        <f>IF(Data!$D1303="","",Data!$D1303)</f>
        <v>0</v>
      </c>
      <c r="E1303">
        <f>IF(Data!$E1303="","",Data!$E1303)</f>
        <v>0</v>
      </c>
      <c r="F1303">
        <f>IF($E1303="","",N(F1302)+1)</f>
        <v>0</v>
      </c>
      <c r="G1303">
        <f>IF(OR($E1303="",$E1302=""),"",LN($E1303/$E1302))</f>
        <v>0</v>
      </c>
      <c r="H1303">
        <f>IF($E1303="","",IF($E1302="",$E1303,$E1303*0.0952380952+H1302*0.9047619048))</f>
        <v>0</v>
      </c>
      <c r="I1303">
        <f>IF($E1303="","",IF($E1302="",$E1303,$E1303*0.0392156863+I1302*0.9607843137))</f>
        <v>0</v>
      </c>
      <c r="J1303">
        <f>IF($E1303="","",IF($E1302="",$E1303,$E1303*0.0198019802+J1302*0.9801980198))</f>
        <v>0</v>
      </c>
      <c r="K1303">
        <f>IF($E1303="","",IF($E1302="",$E1303,$E1303*0.0099502488+K1302*0.9900497512))</f>
        <v>0</v>
      </c>
      <c r="L1303">
        <f>IF(OR($E1303="",$E1302=""),"",MAX($E1303-$E1302,0))</f>
        <v>0</v>
      </c>
      <c r="M1303">
        <f>IF(OR($E1303="",$E1302=""),"",MAX($E1302-$E1303,0))</f>
        <v>0</v>
      </c>
      <c r="N1303">
        <f>IF(COUNT($E$2:$E1303)&lt;15,"",IF(AVERAGE($M$1290:$M$1303)=0,100,100-100/(1+AVERAGE($L$1290:$L$1303)/AVERAGE($M$1290:$M$1303))))</f>
        <v>0</v>
      </c>
      <c r="O1303">
        <f>IF($E1303="","",IF($E1302="",$E1303,$E1303*0.1538461538+O1302*0.8461538462))</f>
        <v>0</v>
      </c>
      <c r="P1303">
        <f>IF($E1303="","",IF($E1302="",$E1303,$E1303*0.0740740741+P1302*0.9259259259))</f>
        <v>0</v>
      </c>
      <c r="Q1303">
        <f>IF(OR(O1303="",P1303=""),"",O1303-P1303)</f>
        <v>0</v>
      </c>
      <c r="R1303">
        <f>IF(Q1303="","",IF(R1302="",Q1303,Q1303*0.2000000000+R1302*0.8000000000))</f>
        <v>0</v>
      </c>
      <c r="S1303">
        <f>IF(OR(Q1303="",R1303=""),"",Q1303-R1303)</f>
        <v>0</v>
      </c>
      <c r="T1303">
        <f>IF(COUNT($E$2:$E1303)&lt;14,"",MAX($C$1290:$C$1303))</f>
        <v>0</v>
      </c>
      <c r="U1303">
        <f>IF(COUNT($E$2:$E1303)&lt;14,"",MIN($D$1290:$D$1303))</f>
        <v>0</v>
      </c>
      <c r="V1303">
        <f>IF(OR(T1303="",U1303="",T1303=U1303),"",100*($E1303-U1303)/(T1303-U1303))</f>
        <v>0</v>
      </c>
      <c r="W1303">
        <f>IF(COUNT($V$1301:$V$1303)&lt;3,"",AVERAGE($V$1301:$V$1303))</f>
        <v>0</v>
      </c>
      <c r="X1303">
        <f>IF(COUNT($N$1290:$N$1303)&lt;14,"",MIN($N$1290:$N$1303))</f>
        <v>0</v>
      </c>
      <c r="Y1303">
        <f>IF(COUNT($N$1290:$N$1303)&lt;14,"",MAX($N$1290:$N$1303))</f>
        <v>0</v>
      </c>
      <c r="Z1303">
        <f>IF(OR(N1303="",X1303="",Y1303="",Y1303=X1303),"",100*(N1303-X1303)/(Y1303-X1303))</f>
        <v>0</v>
      </c>
      <c r="AA1303">
        <f>IF(COUNT($Z$1301:$Z$1303)&lt;3,"",AVERAGE($Z$1301:$Z$1303))</f>
        <v>0</v>
      </c>
      <c r="AB1303">
        <f>IF(COUNT($AA$1301:$AA$1303)&lt;3,"",AVERAGE($AA$1301:$AA$1303))</f>
        <v>0</v>
      </c>
      <c r="AC1303">
        <f>IF($E1303="","",MAX($C1303-$D1303,ABS($C1303-$E1302),ABS($D1303-$E1302)))</f>
        <v>0</v>
      </c>
      <c r="AD1303">
        <f>IF(COUNT($E$2:$E1303)&lt;15,"",AVERAGE($AC$1290:$AC$1303))</f>
        <v>0</v>
      </c>
      <c r="AE1303">
        <f>IF(OR($E1303="",$E1302=""),"",IF(AND(($C1303-$C1302)&gt;($D1302-$D1303),($C1303-$C1302)&gt;0),$C1303-$C1302,0))</f>
        <v>0</v>
      </c>
      <c r="AF1303">
        <f>IF(OR($E1303="",$E1302=""),"",IF(AND(($D1302-$D1303)&gt;($C1303-$C1302),($D1302-$D1303)&gt;0),$D1302-$D1303,0))</f>
        <v>0</v>
      </c>
      <c r="AG1303">
        <f>IF(COUNT($E$2:$E1303)&lt;15,"",IF(SUM($AC$1290:$AC$1303)=0,0,100*SUM($AE$1290:$AE$1303)/SUM($AC$1290:$AC$1303)))</f>
        <v>0</v>
      </c>
      <c r="AH1303">
        <f>IF(COUNT($E$2:$E1303)&lt;15,"",IF(SUM($AC$1290:$AC$1303)=0,0,100*SUM($AF$1290:$AF$1303)/SUM($AC$1290:$AC$1303)))</f>
        <v>0</v>
      </c>
      <c r="AI1303">
        <f>IF(OR(AG1303="",AH1303=""),"",IF((AG1303+AH1303)=0,0,100*ABS(AG1303-AH1303)/(AG1303+AH1303)))</f>
        <v>0</v>
      </c>
      <c r="AJ1303">
        <f>IF(COUNT($AI$1290:$AI$1303)&lt;14,"",AVERAGE($AI$1290:$AI$1303))</f>
        <v>0</v>
      </c>
      <c r="AK1303">
        <f>IF(COUNT($E$2:$E1303)&lt;20,"",AVERAGE($E$1284:$E$1303))</f>
        <v>0</v>
      </c>
      <c r="AL1303">
        <f>IF(COUNT($E$2:$E1303)&lt;20,"",STDEVP($E$1284:$E$1303))</f>
        <v>0</v>
      </c>
      <c r="AM1303">
        <f>IF(AK1303="","",AK1303+2*AL1303)</f>
        <v>0</v>
      </c>
      <c r="AN1303">
        <f>IF(AK1303="","",AK1303-2*AL1303)</f>
        <v>0</v>
      </c>
      <c r="AO1303">
        <f>IF(OR(AM1303="",AN1303="",AM1303=AN1303),"",($E1303-AN1303)/(AM1303-AN1303))</f>
        <v>0</v>
      </c>
      <c r="AP1303">
        <f>IF(OR(AM1303="",AK1303="",AK1303=0),"",(AM1303-AN1303)/AK1303)</f>
        <v>0</v>
      </c>
      <c r="AQ1303">
        <f>IF(COUNT($E$2:$E1303)&lt;20,"",MAX($C$1284:$C$1303))</f>
        <v>0</v>
      </c>
      <c r="AR1303">
        <f>IF(COUNT($E$2:$E1303)&lt;20,"",MIN($D$1284:$D$1303))</f>
        <v>0</v>
      </c>
      <c r="AS1303">
        <f>IF(OR(AQ1303="",AR1303=""),"",(AQ1303+AR1303)/2)</f>
        <v>0</v>
      </c>
      <c r="AT1303">
        <f>IF(COUNT($G$1284:$G$1303)&lt;20,"",STDEV($G$1284:$G$1303)*SQRT(252))</f>
        <v>0</v>
      </c>
      <c r="AU1303">
        <f>IF(COUNT($E$2:$E1303)&lt;9,"",(MAX($C$1295:$C$1303)+MIN($D$1295:$D$1303))/2)</f>
        <v>0</v>
      </c>
      <c r="AV1303">
        <f>IF(COUNT($E$2:$E1303)&lt;26,"",(MAX($C$1278:$C$1303)+MIN($D$1278:$D$1303))/2)</f>
        <v>0</v>
      </c>
      <c r="AW1303">
        <f>IF(OR(AU1303="",AV1303=""),"",(AU1303+AV1303)/2)</f>
        <v>0</v>
      </c>
      <c r="AX1303">
        <f>IF(COUNT($E$2:$E1303)&lt;52,"",(MAX($C$1252:$C$1303)+MIN($D$1252:$D$1303))/2)</f>
        <v>0</v>
      </c>
      <c r="AY1303">
        <f>IF(COUNT($E$2:$E1303)&lt;20,"",MAX($C$1204:$C$1303))</f>
        <v>0</v>
      </c>
      <c r="AZ1303">
        <f>IF(COUNT($E$2:$E1303)&lt;20,"",MIN($D$1204:$D$1303))</f>
        <v>0</v>
      </c>
      <c r="BA1303">
        <f>IF(COUNT($E$2:$E1303)&lt;20,"",SLOPE($E$1204:$E$1303,$F$1204:$F$1303))</f>
        <v>0</v>
      </c>
      <c r="BB1303">
        <f>IF(COUNT($E$2:$E1303)&lt;20,"",INTERCEPT($E$1204:$E$1303,$F$1204:$F$1303))</f>
        <v>0</v>
      </c>
      <c r="BC1303">
        <f>IF(OR(BA1303="",BB1303=""),"",BB1303+BA1303*F1303)</f>
        <v>0</v>
      </c>
      <c r="BD1303">
        <f>IF(COUNT($E$2:$E1303)&lt;20,"",STEYX($E$1204:$E$1303,$F$1204:$F$1303))</f>
        <v>0</v>
      </c>
      <c r="BE1303">
        <f>IF($E1303="","",IF(AND(COUNT($E$1304:$E$1307)&gt;=4,$C1303=MAX($C$1299:$C$1307)),$C1303,""))</f>
        <v>0</v>
      </c>
      <c r="BF1303">
        <f>IF($E1303="","",IF(AND(COUNT($E$1304:$E$1307)&gt;=4,$D1303=MIN($D$1299:$D$1307)),$D1303,""))</f>
        <v>0</v>
      </c>
      <c r="BG1303">
        <f>IF($A1303="","",$A1303-WEEKDAY($A1303,2)+1)</f>
        <v>0</v>
      </c>
      <c r="BH1303">
        <f>IF($A1303="","",IF($A1302="",1,IF(BG1303&lt;&gt;BG1302,1,0)))</f>
        <v>0</v>
      </c>
      <c r="BI1303">
        <f>IF($A1303="","",IF($A1304="",1,IF(BG1304&lt;&gt;BG1303,1,0)))</f>
        <v>0</v>
      </c>
      <c r="BJ1303">
        <f>IF($A1303="","",IF(BH1303=1,$B1303,BJ1302))</f>
        <v>0</v>
      </c>
      <c r="BK1303">
        <f>IF($A1303="","",IF(BH1303=1,$C1303,MAX($C1303,BK1302)))</f>
        <v>0</v>
      </c>
      <c r="BL1303">
        <f>IF($A1303="","",IF(BH1303=1,$D1303,MIN($D1303,BL1302)))</f>
        <v>0</v>
      </c>
      <c r="BM1303">
        <f>IF($A1303="","",IF(BI1303=1,F1303,""))</f>
        <v>0</v>
      </c>
      <c r="BN1303">
        <f>IF($A1303="","",DATE(YEAR($A1303),MONTH($A1303),1))</f>
        <v>0</v>
      </c>
      <c r="BO1303">
        <f>IF($A1303="","",IF($A1302="",1,IF(BN1303&lt;&gt;BN1302,1,0)))</f>
        <v>0</v>
      </c>
      <c r="BP1303">
        <f>IF($A1303="","",IF($A1304="",1,IF(BN1304&lt;&gt;BN1303,1,0)))</f>
        <v>0</v>
      </c>
      <c r="BQ1303">
        <f>IF($A1303="","",IF(BO1303=1,$B1303,BQ1302))</f>
        <v>0</v>
      </c>
      <c r="BR1303">
        <f>IF($A1303="","",IF(BO1303=1,$C1303,MAX($C1303,BR1302)))</f>
        <v>0</v>
      </c>
      <c r="BS1303">
        <f>IF($A1303="","",IF(BO1303=1,$D1303,MIN($D1303,BS1302)))</f>
        <v>0</v>
      </c>
      <c r="BT1303">
        <f>IF($A1303="","",IF(BP1303=1,F1303,""))</f>
        <v>0</v>
      </c>
    </row>
    <row r="1304" spans="1:72">
      <c r="A1304" s="27">
        <f>IF(Data!$A1304="","",Data!$A1304)</f>
        <v>0</v>
      </c>
      <c r="B1304">
        <f>IF(Data!$B1304="","",Data!$B1304)</f>
        <v>0</v>
      </c>
      <c r="C1304">
        <f>IF(Data!$C1304="","",Data!$C1304)</f>
        <v>0</v>
      </c>
      <c r="D1304">
        <f>IF(Data!$D1304="","",Data!$D1304)</f>
        <v>0</v>
      </c>
      <c r="E1304">
        <f>IF(Data!$E1304="","",Data!$E1304)</f>
        <v>0</v>
      </c>
      <c r="F1304">
        <f>IF($E1304="","",N(F1303)+1)</f>
        <v>0</v>
      </c>
      <c r="G1304">
        <f>IF(OR($E1304="",$E1303=""),"",LN($E1304/$E1303))</f>
        <v>0</v>
      </c>
      <c r="H1304">
        <f>IF($E1304="","",IF($E1303="",$E1304,$E1304*0.0952380952+H1303*0.9047619048))</f>
        <v>0</v>
      </c>
      <c r="I1304">
        <f>IF($E1304="","",IF($E1303="",$E1304,$E1304*0.0392156863+I1303*0.9607843137))</f>
        <v>0</v>
      </c>
      <c r="J1304">
        <f>IF($E1304="","",IF($E1303="",$E1304,$E1304*0.0198019802+J1303*0.9801980198))</f>
        <v>0</v>
      </c>
      <c r="K1304">
        <f>IF($E1304="","",IF($E1303="",$E1304,$E1304*0.0099502488+K1303*0.9900497512))</f>
        <v>0</v>
      </c>
      <c r="L1304">
        <f>IF(OR($E1304="",$E1303=""),"",MAX($E1304-$E1303,0))</f>
        <v>0</v>
      </c>
      <c r="M1304">
        <f>IF(OR($E1304="",$E1303=""),"",MAX($E1303-$E1304,0))</f>
        <v>0</v>
      </c>
      <c r="N1304">
        <f>IF(COUNT($E$2:$E1304)&lt;15,"",IF(AVERAGE($M$1291:$M$1304)=0,100,100-100/(1+AVERAGE($L$1291:$L$1304)/AVERAGE($M$1291:$M$1304))))</f>
        <v>0</v>
      </c>
      <c r="O1304">
        <f>IF($E1304="","",IF($E1303="",$E1304,$E1304*0.1538461538+O1303*0.8461538462))</f>
        <v>0</v>
      </c>
      <c r="P1304">
        <f>IF($E1304="","",IF($E1303="",$E1304,$E1304*0.0740740741+P1303*0.9259259259))</f>
        <v>0</v>
      </c>
      <c r="Q1304">
        <f>IF(OR(O1304="",P1304=""),"",O1304-P1304)</f>
        <v>0</v>
      </c>
      <c r="R1304">
        <f>IF(Q1304="","",IF(R1303="",Q1304,Q1304*0.2000000000+R1303*0.8000000000))</f>
        <v>0</v>
      </c>
      <c r="S1304">
        <f>IF(OR(Q1304="",R1304=""),"",Q1304-R1304)</f>
        <v>0</v>
      </c>
      <c r="T1304">
        <f>IF(COUNT($E$2:$E1304)&lt;14,"",MAX($C$1291:$C$1304))</f>
        <v>0</v>
      </c>
      <c r="U1304">
        <f>IF(COUNT($E$2:$E1304)&lt;14,"",MIN($D$1291:$D$1304))</f>
        <v>0</v>
      </c>
      <c r="V1304">
        <f>IF(OR(T1304="",U1304="",T1304=U1304),"",100*($E1304-U1304)/(T1304-U1304))</f>
        <v>0</v>
      </c>
      <c r="W1304">
        <f>IF(COUNT($V$1302:$V$1304)&lt;3,"",AVERAGE($V$1302:$V$1304))</f>
        <v>0</v>
      </c>
      <c r="X1304">
        <f>IF(COUNT($N$1291:$N$1304)&lt;14,"",MIN($N$1291:$N$1304))</f>
        <v>0</v>
      </c>
      <c r="Y1304">
        <f>IF(COUNT($N$1291:$N$1304)&lt;14,"",MAX($N$1291:$N$1304))</f>
        <v>0</v>
      </c>
      <c r="Z1304">
        <f>IF(OR(N1304="",X1304="",Y1304="",Y1304=X1304),"",100*(N1304-X1304)/(Y1304-X1304))</f>
        <v>0</v>
      </c>
      <c r="AA1304">
        <f>IF(COUNT($Z$1302:$Z$1304)&lt;3,"",AVERAGE($Z$1302:$Z$1304))</f>
        <v>0</v>
      </c>
      <c r="AB1304">
        <f>IF(COUNT($AA$1302:$AA$1304)&lt;3,"",AVERAGE($AA$1302:$AA$1304))</f>
        <v>0</v>
      </c>
      <c r="AC1304">
        <f>IF($E1304="","",MAX($C1304-$D1304,ABS($C1304-$E1303),ABS($D1304-$E1303)))</f>
        <v>0</v>
      </c>
      <c r="AD1304">
        <f>IF(COUNT($E$2:$E1304)&lt;15,"",AVERAGE($AC$1291:$AC$1304))</f>
        <v>0</v>
      </c>
      <c r="AE1304">
        <f>IF(OR($E1304="",$E1303=""),"",IF(AND(($C1304-$C1303)&gt;($D1303-$D1304),($C1304-$C1303)&gt;0),$C1304-$C1303,0))</f>
        <v>0</v>
      </c>
      <c r="AF1304">
        <f>IF(OR($E1304="",$E1303=""),"",IF(AND(($D1303-$D1304)&gt;($C1304-$C1303),($D1303-$D1304)&gt;0),$D1303-$D1304,0))</f>
        <v>0</v>
      </c>
      <c r="AG1304">
        <f>IF(COUNT($E$2:$E1304)&lt;15,"",IF(SUM($AC$1291:$AC$1304)=0,0,100*SUM($AE$1291:$AE$1304)/SUM($AC$1291:$AC$1304)))</f>
        <v>0</v>
      </c>
      <c r="AH1304">
        <f>IF(COUNT($E$2:$E1304)&lt;15,"",IF(SUM($AC$1291:$AC$1304)=0,0,100*SUM($AF$1291:$AF$1304)/SUM($AC$1291:$AC$1304)))</f>
        <v>0</v>
      </c>
      <c r="AI1304">
        <f>IF(OR(AG1304="",AH1304=""),"",IF((AG1304+AH1304)=0,0,100*ABS(AG1304-AH1304)/(AG1304+AH1304)))</f>
        <v>0</v>
      </c>
      <c r="AJ1304">
        <f>IF(COUNT($AI$1291:$AI$1304)&lt;14,"",AVERAGE($AI$1291:$AI$1304))</f>
        <v>0</v>
      </c>
      <c r="AK1304">
        <f>IF(COUNT($E$2:$E1304)&lt;20,"",AVERAGE($E$1285:$E$1304))</f>
        <v>0</v>
      </c>
      <c r="AL1304">
        <f>IF(COUNT($E$2:$E1304)&lt;20,"",STDEVP($E$1285:$E$1304))</f>
        <v>0</v>
      </c>
      <c r="AM1304">
        <f>IF(AK1304="","",AK1304+2*AL1304)</f>
        <v>0</v>
      </c>
      <c r="AN1304">
        <f>IF(AK1304="","",AK1304-2*AL1304)</f>
        <v>0</v>
      </c>
      <c r="AO1304">
        <f>IF(OR(AM1304="",AN1304="",AM1304=AN1304),"",($E1304-AN1304)/(AM1304-AN1304))</f>
        <v>0</v>
      </c>
      <c r="AP1304">
        <f>IF(OR(AM1304="",AK1304="",AK1304=0),"",(AM1304-AN1304)/AK1304)</f>
        <v>0</v>
      </c>
      <c r="AQ1304">
        <f>IF(COUNT($E$2:$E1304)&lt;20,"",MAX($C$1285:$C$1304))</f>
        <v>0</v>
      </c>
      <c r="AR1304">
        <f>IF(COUNT($E$2:$E1304)&lt;20,"",MIN($D$1285:$D$1304))</f>
        <v>0</v>
      </c>
      <c r="AS1304">
        <f>IF(OR(AQ1304="",AR1304=""),"",(AQ1304+AR1304)/2)</f>
        <v>0</v>
      </c>
      <c r="AT1304">
        <f>IF(COUNT($G$1285:$G$1304)&lt;20,"",STDEV($G$1285:$G$1304)*SQRT(252))</f>
        <v>0</v>
      </c>
      <c r="AU1304">
        <f>IF(COUNT($E$2:$E1304)&lt;9,"",(MAX($C$1296:$C$1304)+MIN($D$1296:$D$1304))/2)</f>
        <v>0</v>
      </c>
      <c r="AV1304">
        <f>IF(COUNT($E$2:$E1304)&lt;26,"",(MAX($C$1279:$C$1304)+MIN($D$1279:$D$1304))/2)</f>
        <v>0</v>
      </c>
      <c r="AW1304">
        <f>IF(OR(AU1304="",AV1304=""),"",(AU1304+AV1304)/2)</f>
        <v>0</v>
      </c>
      <c r="AX1304">
        <f>IF(COUNT($E$2:$E1304)&lt;52,"",(MAX($C$1253:$C$1304)+MIN($D$1253:$D$1304))/2)</f>
        <v>0</v>
      </c>
      <c r="AY1304">
        <f>IF(COUNT($E$2:$E1304)&lt;20,"",MAX($C$1205:$C$1304))</f>
        <v>0</v>
      </c>
      <c r="AZ1304">
        <f>IF(COUNT($E$2:$E1304)&lt;20,"",MIN($D$1205:$D$1304))</f>
        <v>0</v>
      </c>
      <c r="BA1304">
        <f>IF(COUNT($E$2:$E1304)&lt;20,"",SLOPE($E$1205:$E$1304,$F$1205:$F$1304))</f>
        <v>0</v>
      </c>
      <c r="BB1304">
        <f>IF(COUNT($E$2:$E1304)&lt;20,"",INTERCEPT($E$1205:$E$1304,$F$1205:$F$1304))</f>
        <v>0</v>
      </c>
      <c r="BC1304">
        <f>IF(OR(BA1304="",BB1304=""),"",BB1304+BA1304*F1304)</f>
        <v>0</v>
      </c>
      <c r="BD1304">
        <f>IF(COUNT($E$2:$E1304)&lt;20,"",STEYX($E$1205:$E$1304,$F$1205:$F$1304))</f>
        <v>0</v>
      </c>
      <c r="BE1304">
        <f>IF($E1304="","",IF(AND(COUNT($E$1305:$E$1308)&gt;=4,$C1304=MAX($C$1300:$C$1308)),$C1304,""))</f>
        <v>0</v>
      </c>
      <c r="BF1304">
        <f>IF($E1304="","",IF(AND(COUNT($E$1305:$E$1308)&gt;=4,$D1304=MIN($D$1300:$D$1308)),$D1304,""))</f>
        <v>0</v>
      </c>
      <c r="BG1304">
        <f>IF($A1304="","",$A1304-WEEKDAY($A1304,2)+1)</f>
        <v>0</v>
      </c>
      <c r="BH1304">
        <f>IF($A1304="","",IF($A1303="",1,IF(BG1304&lt;&gt;BG1303,1,0)))</f>
        <v>0</v>
      </c>
      <c r="BI1304">
        <f>IF($A1304="","",IF($A1305="",1,IF(BG1305&lt;&gt;BG1304,1,0)))</f>
        <v>0</v>
      </c>
      <c r="BJ1304">
        <f>IF($A1304="","",IF(BH1304=1,$B1304,BJ1303))</f>
        <v>0</v>
      </c>
      <c r="BK1304">
        <f>IF($A1304="","",IF(BH1304=1,$C1304,MAX($C1304,BK1303)))</f>
        <v>0</v>
      </c>
      <c r="BL1304">
        <f>IF($A1304="","",IF(BH1304=1,$D1304,MIN($D1304,BL1303)))</f>
        <v>0</v>
      </c>
      <c r="BM1304">
        <f>IF($A1304="","",IF(BI1304=1,F1304,""))</f>
        <v>0</v>
      </c>
      <c r="BN1304">
        <f>IF($A1304="","",DATE(YEAR($A1304),MONTH($A1304),1))</f>
        <v>0</v>
      </c>
      <c r="BO1304">
        <f>IF($A1304="","",IF($A1303="",1,IF(BN1304&lt;&gt;BN1303,1,0)))</f>
        <v>0</v>
      </c>
      <c r="BP1304">
        <f>IF($A1304="","",IF($A1305="",1,IF(BN1305&lt;&gt;BN1304,1,0)))</f>
        <v>0</v>
      </c>
      <c r="BQ1304">
        <f>IF($A1304="","",IF(BO1304=1,$B1304,BQ1303))</f>
        <v>0</v>
      </c>
      <c r="BR1304">
        <f>IF($A1304="","",IF(BO1304=1,$C1304,MAX($C1304,BR1303)))</f>
        <v>0</v>
      </c>
      <c r="BS1304">
        <f>IF($A1304="","",IF(BO1304=1,$D1304,MIN($D1304,BS1303)))</f>
        <v>0</v>
      </c>
      <c r="BT1304">
        <f>IF($A1304="","",IF(BP1304=1,F1304,""))</f>
        <v>0</v>
      </c>
    </row>
    <row r="1305" spans="1:72">
      <c r="A1305" s="27">
        <f>IF(Data!$A1305="","",Data!$A1305)</f>
        <v>0</v>
      </c>
      <c r="B1305">
        <f>IF(Data!$B1305="","",Data!$B1305)</f>
        <v>0</v>
      </c>
      <c r="C1305">
        <f>IF(Data!$C1305="","",Data!$C1305)</f>
        <v>0</v>
      </c>
      <c r="D1305">
        <f>IF(Data!$D1305="","",Data!$D1305)</f>
        <v>0</v>
      </c>
      <c r="E1305">
        <f>IF(Data!$E1305="","",Data!$E1305)</f>
        <v>0</v>
      </c>
      <c r="F1305">
        <f>IF($E1305="","",N(F1304)+1)</f>
        <v>0</v>
      </c>
      <c r="G1305">
        <f>IF(OR($E1305="",$E1304=""),"",LN($E1305/$E1304))</f>
        <v>0</v>
      </c>
      <c r="H1305">
        <f>IF($E1305="","",IF($E1304="",$E1305,$E1305*0.0952380952+H1304*0.9047619048))</f>
        <v>0</v>
      </c>
      <c r="I1305">
        <f>IF($E1305="","",IF($E1304="",$E1305,$E1305*0.0392156863+I1304*0.9607843137))</f>
        <v>0</v>
      </c>
      <c r="J1305">
        <f>IF($E1305="","",IF($E1304="",$E1305,$E1305*0.0198019802+J1304*0.9801980198))</f>
        <v>0</v>
      </c>
      <c r="K1305">
        <f>IF($E1305="","",IF($E1304="",$E1305,$E1305*0.0099502488+K1304*0.9900497512))</f>
        <v>0</v>
      </c>
      <c r="L1305">
        <f>IF(OR($E1305="",$E1304=""),"",MAX($E1305-$E1304,0))</f>
        <v>0</v>
      </c>
      <c r="M1305">
        <f>IF(OR($E1305="",$E1304=""),"",MAX($E1304-$E1305,0))</f>
        <v>0</v>
      </c>
      <c r="N1305">
        <f>IF(COUNT($E$2:$E1305)&lt;15,"",IF(AVERAGE($M$1292:$M$1305)=0,100,100-100/(1+AVERAGE($L$1292:$L$1305)/AVERAGE($M$1292:$M$1305))))</f>
        <v>0</v>
      </c>
      <c r="O1305">
        <f>IF($E1305="","",IF($E1304="",$E1305,$E1305*0.1538461538+O1304*0.8461538462))</f>
        <v>0</v>
      </c>
      <c r="P1305">
        <f>IF($E1305="","",IF($E1304="",$E1305,$E1305*0.0740740741+P1304*0.9259259259))</f>
        <v>0</v>
      </c>
      <c r="Q1305">
        <f>IF(OR(O1305="",P1305=""),"",O1305-P1305)</f>
        <v>0</v>
      </c>
      <c r="R1305">
        <f>IF(Q1305="","",IF(R1304="",Q1305,Q1305*0.2000000000+R1304*0.8000000000))</f>
        <v>0</v>
      </c>
      <c r="S1305">
        <f>IF(OR(Q1305="",R1305=""),"",Q1305-R1305)</f>
        <v>0</v>
      </c>
      <c r="T1305">
        <f>IF(COUNT($E$2:$E1305)&lt;14,"",MAX($C$1292:$C$1305))</f>
        <v>0</v>
      </c>
      <c r="U1305">
        <f>IF(COUNT($E$2:$E1305)&lt;14,"",MIN($D$1292:$D$1305))</f>
        <v>0</v>
      </c>
      <c r="V1305">
        <f>IF(OR(T1305="",U1305="",T1305=U1305),"",100*($E1305-U1305)/(T1305-U1305))</f>
        <v>0</v>
      </c>
      <c r="W1305">
        <f>IF(COUNT($V$1303:$V$1305)&lt;3,"",AVERAGE($V$1303:$V$1305))</f>
        <v>0</v>
      </c>
      <c r="X1305">
        <f>IF(COUNT($N$1292:$N$1305)&lt;14,"",MIN($N$1292:$N$1305))</f>
        <v>0</v>
      </c>
      <c r="Y1305">
        <f>IF(COUNT($N$1292:$N$1305)&lt;14,"",MAX($N$1292:$N$1305))</f>
        <v>0</v>
      </c>
      <c r="Z1305">
        <f>IF(OR(N1305="",X1305="",Y1305="",Y1305=X1305),"",100*(N1305-X1305)/(Y1305-X1305))</f>
        <v>0</v>
      </c>
      <c r="AA1305">
        <f>IF(COUNT($Z$1303:$Z$1305)&lt;3,"",AVERAGE($Z$1303:$Z$1305))</f>
        <v>0</v>
      </c>
      <c r="AB1305">
        <f>IF(COUNT($AA$1303:$AA$1305)&lt;3,"",AVERAGE($AA$1303:$AA$1305))</f>
        <v>0</v>
      </c>
      <c r="AC1305">
        <f>IF($E1305="","",MAX($C1305-$D1305,ABS($C1305-$E1304),ABS($D1305-$E1304)))</f>
        <v>0</v>
      </c>
      <c r="AD1305">
        <f>IF(COUNT($E$2:$E1305)&lt;15,"",AVERAGE($AC$1292:$AC$1305))</f>
        <v>0</v>
      </c>
      <c r="AE1305">
        <f>IF(OR($E1305="",$E1304=""),"",IF(AND(($C1305-$C1304)&gt;($D1304-$D1305),($C1305-$C1304)&gt;0),$C1305-$C1304,0))</f>
        <v>0</v>
      </c>
      <c r="AF1305">
        <f>IF(OR($E1305="",$E1304=""),"",IF(AND(($D1304-$D1305)&gt;($C1305-$C1304),($D1304-$D1305)&gt;0),$D1304-$D1305,0))</f>
        <v>0</v>
      </c>
      <c r="AG1305">
        <f>IF(COUNT($E$2:$E1305)&lt;15,"",IF(SUM($AC$1292:$AC$1305)=0,0,100*SUM($AE$1292:$AE$1305)/SUM($AC$1292:$AC$1305)))</f>
        <v>0</v>
      </c>
      <c r="AH1305">
        <f>IF(COUNT($E$2:$E1305)&lt;15,"",IF(SUM($AC$1292:$AC$1305)=0,0,100*SUM($AF$1292:$AF$1305)/SUM($AC$1292:$AC$1305)))</f>
        <v>0</v>
      </c>
      <c r="AI1305">
        <f>IF(OR(AG1305="",AH1305=""),"",IF((AG1305+AH1305)=0,0,100*ABS(AG1305-AH1305)/(AG1305+AH1305)))</f>
        <v>0</v>
      </c>
      <c r="AJ1305">
        <f>IF(COUNT($AI$1292:$AI$1305)&lt;14,"",AVERAGE($AI$1292:$AI$1305))</f>
        <v>0</v>
      </c>
      <c r="AK1305">
        <f>IF(COUNT($E$2:$E1305)&lt;20,"",AVERAGE($E$1286:$E$1305))</f>
        <v>0</v>
      </c>
      <c r="AL1305">
        <f>IF(COUNT($E$2:$E1305)&lt;20,"",STDEVP($E$1286:$E$1305))</f>
        <v>0</v>
      </c>
      <c r="AM1305">
        <f>IF(AK1305="","",AK1305+2*AL1305)</f>
        <v>0</v>
      </c>
      <c r="AN1305">
        <f>IF(AK1305="","",AK1305-2*AL1305)</f>
        <v>0</v>
      </c>
      <c r="AO1305">
        <f>IF(OR(AM1305="",AN1305="",AM1305=AN1305),"",($E1305-AN1305)/(AM1305-AN1305))</f>
        <v>0</v>
      </c>
      <c r="AP1305">
        <f>IF(OR(AM1305="",AK1305="",AK1305=0),"",(AM1305-AN1305)/AK1305)</f>
        <v>0</v>
      </c>
      <c r="AQ1305">
        <f>IF(COUNT($E$2:$E1305)&lt;20,"",MAX($C$1286:$C$1305))</f>
        <v>0</v>
      </c>
      <c r="AR1305">
        <f>IF(COUNT($E$2:$E1305)&lt;20,"",MIN($D$1286:$D$1305))</f>
        <v>0</v>
      </c>
      <c r="AS1305">
        <f>IF(OR(AQ1305="",AR1305=""),"",(AQ1305+AR1305)/2)</f>
        <v>0</v>
      </c>
      <c r="AT1305">
        <f>IF(COUNT($G$1286:$G$1305)&lt;20,"",STDEV($G$1286:$G$1305)*SQRT(252))</f>
        <v>0</v>
      </c>
      <c r="AU1305">
        <f>IF(COUNT($E$2:$E1305)&lt;9,"",(MAX($C$1297:$C$1305)+MIN($D$1297:$D$1305))/2)</f>
        <v>0</v>
      </c>
      <c r="AV1305">
        <f>IF(COUNT($E$2:$E1305)&lt;26,"",(MAX($C$1280:$C$1305)+MIN($D$1280:$D$1305))/2)</f>
        <v>0</v>
      </c>
      <c r="AW1305">
        <f>IF(OR(AU1305="",AV1305=""),"",(AU1305+AV1305)/2)</f>
        <v>0</v>
      </c>
      <c r="AX1305">
        <f>IF(COUNT($E$2:$E1305)&lt;52,"",(MAX($C$1254:$C$1305)+MIN($D$1254:$D$1305))/2)</f>
        <v>0</v>
      </c>
      <c r="AY1305">
        <f>IF(COUNT($E$2:$E1305)&lt;20,"",MAX($C$1206:$C$1305))</f>
        <v>0</v>
      </c>
      <c r="AZ1305">
        <f>IF(COUNT($E$2:$E1305)&lt;20,"",MIN($D$1206:$D$1305))</f>
        <v>0</v>
      </c>
      <c r="BA1305">
        <f>IF(COUNT($E$2:$E1305)&lt;20,"",SLOPE($E$1206:$E$1305,$F$1206:$F$1305))</f>
        <v>0</v>
      </c>
      <c r="BB1305">
        <f>IF(COUNT($E$2:$E1305)&lt;20,"",INTERCEPT($E$1206:$E$1305,$F$1206:$F$1305))</f>
        <v>0</v>
      </c>
      <c r="BC1305">
        <f>IF(OR(BA1305="",BB1305=""),"",BB1305+BA1305*F1305)</f>
        <v>0</v>
      </c>
      <c r="BD1305">
        <f>IF(COUNT($E$2:$E1305)&lt;20,"",STEYX($E$1206:$E$1305,$F$1206:$F$1305))</f>
        <v>0</v>
      </c>
      <c r="BE1305">
        <f>IF($E1305="","",IF(AND(COUNT($E$1306:$E$1309)&gt;=4,$C1305=MAX($C$1301:$C$1309)),$C1305,""))</f>
        <v>0</v>
      </c>
      <c r="BF1305">
        <f>IF($E1305="","",IF(AND(COUNT($E$1306:$E$1309)&gt;=4,$D1305=MIN($D$1301:$D$1309)),$D1305,""))</f>
        <v>0</v>
      </c>
      <c r="BG1305">
        <f>IF($A1305="","",$A1305-WEEKDAY($A1305,2)+1)</f>
        <v>0</v>
      </c>
      <c r="BH1305">
        <f>IF($A1305="","",IF($A1304="",1,IF(BG1305&lt;&gt;BG1304,1,0)))</f>
        <v>0</v>
      </c>
      <c r="BI1305">
        <f>IF($A1305="","",IF($A1306="",1,IF(BG1306&lt;&gt;BG1305,1,0)))</f>
        <v>0</v>
      </c>
      <c r="BJ1305">
        <f>IF($A1305="","",IF(BH1305=1,$B1305,BJ1304))</f>
        <v>0</v>
      </c>
      <c r="BK1305">
        <f>IF($A1305="","",IF(BH1305=1,$C1305,MAX($C1305,BK1304)))</f>
        <v>0</v>
      </c>
      <c r="BL1305">
        <f>IF($A1305="","",IF(BH1305=1,$D1305,MIN($D1305,BL1304)))</f>
        <v>0</v>
      </c>
      <c r="BM1305">
        <f>IF($A1305="","",IF(BI1305=1,F1305,""))</f>
        <v>0</v>
      </c>
      <c r="BN1305">
        <f>IF($A1305="","",DATE(YEAR($A1305),MONTH($A1305),1))</f>
        <v>0</v>
      </c>
      <c r="BO1305">
        <f>IF($A1305="","",IF($A1304="",1,IF(BN1305&lt;&gt;BN1304,1,0)))</f>
        <v>0</v>
      </c>
      <c r="BP1305">
        <f>IF($A1305="","",IF($A1306="",1,IF(BN1306&lt;&gt;BN1305,1,0)))</f>
        <v>0</v>
      </c>
      <c r="BQ1305">
        <f>IF($A1305="","",IF(BO1305=1,$B1305,BQ1304))</f>
        <v>0</v>
      </c>
      <c r="BR1305">
        <f>IF($A1305="","",IF(BO1305=1,$C1305,MAX($C1305,BR1304)))</f>
        <v>0</v>
      </c>
      <c r="BS1305">
        <f>IF($A1305="","",IF(BO1305=1,$D1305,MIN($D1305,BS1304)))</f>
        <v>0</v>
      </c>
      <c r="BT1305">
        <f>IF($A1305="","",IF(BP1305=1,F1305,""))</f>
        <v>0</v>
      </c>
    </row>
    <row r="1306" spans="1:72">
      <c r="A1306" s="27">
        <f>IF(Data!$A1306="","",Data!$A1306)</f>
        <v>0</v>
      </c>
      <c r="B1306">
        <f>IF(Data!$B1306="","",Data!$B1306)</f>
        <v>0</v>
      </c>
      <c r="C1306">
        <f>IF(Data!$C1306="","",Data!$C1306)</f>
        <v>0</v>
      </c>
      <c r="D1306">
        <f>IF(Data!$D1306="","",Data!$D1306)</f>
        <v>0</v>
      </c>
      <c r="E1306">
        <f>IF(Data!$E1306="","",Data!$E1306)</f>
        <v>0</v>
      </c>
      <c r="F1306">
        <f>IF($E1306="","",N(F1305)+1)</f>
        <v>0</v>
      </c>
      <c r="G1306">
        <f>IF(OR($E1306="",$E1305=""),"",LN($E1306/$E1305))</f>
        <v>0</v>
      </c>
      <c r="H1306">
        <f>IF($E1306="","",IF($E1305="",$E1306,$E1306*0.0952380952+H1305*0.9047619048))</f>
        <v>0</v>
      </c>
      <c r="I1306">
        <f>IF($E1306="","",IF($E1305="",$E1306,$E1306*0.0392156863+I1305*0.9607843137))</f>
        <v>0</v>
      </c>
      <c r="J1306">
        <f>IF($E1306="","",IF($E1305="",$E1306,$E1306*0.0198019802+J1305*0.9801980198))</f>
        <v>0</v>
      </c>
      <c r="K1306">
        <f>IF($E1306="","",IF($E1305="",$E1306,$E1306*0.0099502488+K1305*0.9900497512))</f>
        <v>0</v>
      </c>
      <c r="L1306">
        <f>IF(OR($E1306="",$E1305=""),"",MAX($E1306-$E1305,0))</f>
        <v>0</v>
      </c>
      <c r="M1306">
        <f>IF(OR($E1306="",$E1305=""),"",MAX($E1305-$E1306,0))</f>
        <v>0</v>
      </c>
      <c r="N1306">
        <f>IF(COUNT($E$2:$E1306)&lt;15,"",IF(AVERAGE($M$1293:$M$1306)=0,100,100-100/(1+AVERAGE($L$1293:$L$1306)/AVERAGE($M$1293:$M$1306))))</f>
        <v>0</v>
      </c>
      <c r="O1306">
        <f>IF($E1306="","",IF($E1305="",$E1306,$E1306*0.1538461538+O1305*0.8461538462))</f>
        <v>0</v>
      </c>
      <c r="P1306">
        <f>IF($E1306="","",IF($E1305="",$E1306,$E1306*0.0740740741+P1305*0.9259259259))</f>
        <v>0</v>
      </c>
      <c r="Q1306">
        <f>IF(OR(O1306="",P1306=""),"",O1306-P1306)</f>
        <v>0</v>
      </c>
      <c r="R1306">
        <f>IF(Q1306="","",IF(R1305="",Q1306,Q1306*0.2000000000+R1305*0.8000000000))</f>
        <v>0</v>
      </c>
      <c r="S1306">
        <f>IF(OR(Q1306="",R1306=""),"",Q1306-R1306)</f>
        <v>0</v>
      </c>
      <c r="T1306">
        <f>IF(COUNT($E$2:$E1306)&lt;14,"",MAX($C$1293:$C$1306))</f>
        <v>0</v>
      </c>
      <c r="U1306">
        <f>IF(COUNT($E$2:$E1306)&lt;14,"",MIN($D$1293:$D$1306))</f>
        <v>0</v>
      </c>
      <c r="V1306">
        <f>IF(OR(T1306="",U1306="",T1306=U1306),"",100*($E1306-U1306)/(T1306-U1306))</f>
        <v>0</v>
      </c>
      <c r="W1306">
        <f>IF(COUNT($V$1304:$V$1306)&lt;3,"",AVERAGE($V$1304:$V$1306))</f>
        <v>0</v>
      </c>
      <c r="X1306">
        <f>IF(COUNT($N$1293:$N$1306)&lt;14,"",MIN($N$1293:$N$1306))</f>
        <v>0</v>
      </c>
      <c r="Y1306">
        <f>IF(COUNT($N$1293:$N$1306)&lt;14,"",MAX($N$1293:$N$1306))</f>
        <v>0</v>
      </c>
      <c r="Z1306">
        <f>IF(OR(N1306="",X1306="",Y1306="",Y1306=X1306),"",100*(N1306-X1306)/(Y1306-X1306))</f>
        <v>0</v>
      </c>
      <c r="AA1306">
        <f>IF(COUNT($Z$1304:$Z$1306)&lt;3,"",AVERAGE($Z$1304:$Z$1306))</f>
        <v>0</v>
      </c>
      <c r="AB1306">
        <f>IF(COUNT($AA$1304:$AA$1306)&lt;3,"",AVERAGE($AA$1304:$AA$1306))</f>
        <v>0</v>
      </c>
      <c r="AC1306">
        <f>IF($E1306="","",MAX($C1306-$D1306,ABS($C1306-$E1305),ABS($D1306-$E1305)))</f>
        <v>0</v>
      </c>
      <c r="AD1306">
        <f>IF(COUNT($E$2:$E1306)&lt;15,"",AVERAGE($AC$1293:$AC$1306))</f>
        <v>0</v>
      </c>
      <c r="AE1306">
        <f>IF(OR($E1306="",$E1305=""),"",IF(AND(($C1306-$C1305)&gt;($D1305-$D1306),($C1306-$C1305)&gt;0),$C1306-$C1305,0))</f>
        <v>0</v>
      </c>
      <c r="AF1306">
        <f>IF(OR($E1306="",$E1305=""),"",IF(AND(($D1305-$D1306)&gt;($C1306-$C1305),($D1305-$D1306)&gt;0),$D1305-$D1306,0))</f>
        <v>0</v>
      </c>
      <c r="AG1306">
        <f>IF(COUNT($E$2:$E1306)&lt;15,"",IF(SUM($AC$1293:$AC$1306)=0,0,100*SUM($AE$1293:$AE$1306)/SUM($AC$1293:$AC$1306)))</f>
        <v>0</v>
      </c>
      <c r="AH1306">
        <f>IF(COUNT($E$2:$E1306)&lt;15,"",IF(SUM($AC$1293:$AC$1306)=0,0,100*SUM($AF$1293:$AF$1306)/SUM($AC$1293:$AC$1306)))</f>
        <v>0</v>
      </c>
      <c r="AI1306">
        <f>IF(OR(AG1306="",AH1306=""),"",IF((AG1306+AH1306)=0,0,100*ABS(AG1306-AH1306)/(AG1306+AH1306)))</f>
        <v>0</v>
      </c>
      <c r="AJ1306">
        <f>IF(COUNT($AI$1293:$AI$1306)&lt;14,"",AVERAGE($AI$1293:$AI$1306))</f>
        <v>0</v>
      </c>
      <c r="AK1306">
        <f>IF(COUNT($E$2:$E1306)&lt;20,"",AVERAGE($E$1287:$E$1306))</f>
        <v>0</v>
      </c>
      <c r="AL1306">
        <f>IF(COUNT($E$2:$E1306)&lt;20,"",STDEVP($E$1287:$E$1306))</f>
        <v>0</v>
      </c>
      <c r="AM1306">
        <f>IF(AK1306="","",AK1306+2*AL1306)</f>
        <v>0</v>
      </c>
      <c r="AN1306">
        <f>IF(AK1306="","",AK1306-2*AL1306)</f>
        <v>0</v>
      </c>
      <c r="AO1306">
        <f>IF(OR(AM1306="",AN1306="",AM1306=AN1306),"",($E1306-AN1306)/(AM1306-AN1306))</f>
        <v>0</v>
      </c>
      <c r="AP1306">
        <f>IF(OR(AM1306="",AK1306="",AK1306=0),"",(AM1306-AN1306)/AK1306)</f>
        <v>0</v>
      </c>
      <c r="AQ1306">
        <f>IF(COUNT($E$2:$E1306)&lt;20,"",MAX($C$1287:$C$1306))</f>
        <v>0</v>
      </c>
      <c r="AR1306">
        <f>IF(COUNT($E$2:$E1306)&lt;20,"",MIN($D$1287:$D$1306))</f>
        <v>0</v>
      </c>
      <c r="AS1306">
        <f>IF(OR(AQ1306="",AR1306=""),"",(AQ1306+AR1306)/2)</f>
        <v>0</v>
      </c>
      <c r="AT1306">
        <f>IF(COUNT($G$1287:$G$1306)&lt;20,"",STDEV($G$1287:$G$1306)*SQRT(252))</f>
        <v>0</v>
      </c>
      <c r="AU1306">
        <f>IF(COUNT($E$2:$E1306)&lt;9,"",(MAX($C$1298:$C$1306)+MIN($D$1298:$D$1306))/2)</f>
        <v>0</v>
      </c>
      <c r="AV1306">
        <f>IF(COUNT($E$2:$E1306)&lt;26,"",(MAX($C$1281:$C$1306)+MIN($D$1281:$D$1306))/2)</f>
        <v>0</v>
      </c>
      <c r="AW1306">
        <f>IF(OR(AU1306="",AV1306=""),"",(AU1306+AV1306)/2)</f>
        <v>0</v>
      </c>
      <c r="AX1306">
        <f>IF(COUNT($E$2:$E1306)&lt;52,"",(MAX($C$1255:$C$1306)+MIN($D$1255:$D$1306))/2)</f>
        <v>0</v>
      </c>
      <c r="AY1306">
        <f>IF(COUNT($E$2:$E1306)&lt;20,"",MAX($C$1207:$C$1306))</f>
        <v>0</v>
      </c>
      <c r="AZ1306">
        <f>IF(COUNT($E$2:$E1306)&lt;20,"",MIN($D$1207:$D$1306))</f>
        <v>0</v>
      </c>
      <c r="BA1306">
        <f>IF(COUNT($E$2:$E1306)&lt;20,"",SLOPE($E$1207:$E$1306,$F$1207:$F$1306))</f>
        <v>0</v>
      </c>
      <c r="BB1306">
        <f>IF(COUNT($E$2:$E1306)&lt;20,"",INTERCEPT($E$1207:$E$1306,$F$1207:$F$1306))</f>
        <v>0</v>
      </c>
      <c r="BC1306">
        <f>IF(OR(BA1306="",BB1306=""),"",BB1306+BA1306*F1306)</f>
        <v>0</v>
      </c>
      <c r="BD1306">
        <f>IF(COUNT($E$2:$E1306)&lt;20,"",STEYX($E$1207:$E$1306,$F$1207:$F$1306))</f>
        <v>0</v>
      </c>
      <c r="BE1306">
        <f>IF($E1306="","",IF(AND(COUNT($E$1307:$E$1310)&gt;=4,$C1306=MAX($C$1302:$C$1310)),$C1306,""))</f>
        <v>0</v>
      </c>
      <c r="BF1306">
        <f>IF($E1306="","",IF(AND(COUNT($E$1307:$E$1310)&gt;=4,$D1306=MIN($D$1302:$D$1310)),$D1306,""))</f>
        <v>0</v>
      </c>
      <c r="BG1306">
        <f>IF($A1306="","",$A1306-WEEKDAY($A1306,2)+1)</f>
        <v>0</v>
      </c>
      <c r="BH1306">
        <f>IF($A1306="","",IF($A1305="",1,IF(BG1306&lt;&gt;BG1305,1,0)))</f>
        <v>0</v>
      </c>
      <c r="BI1306">
        <f>IF($A1306="","",IF($A1307="",1,IF(BG1307&lt;&gt;BG1306,1,0)))</f>
        <v>0</v>
      </c>
      <c r="BJ1306">
        <f>IF($A1306="","",IF(BH1306=1,$B1306,BJ1305))</f>
        <v>0</v>
      </c>
      <c r="BK1306">
        <f>IF($A1306="","",IF(BH1306=1,$C1306,MAX($C1306,BK1305)))</f>
        <v>0</v>
      </c>
      <c r="BL1306">
        <f>IF($A1306="","",IF(BH1306=1,$D1306,MIN($D1306,BL1305)))</f>
        <v>0</v>
      </c>
      <c r="BM1306">
        <f>IF($A1306="","",IF(BI1306=1,F1306,""))</f>
        <v>0</v>
      </c>
      <c r="BN1306">
        <f>IF($A1306="","",DATE(YEAR($A1306),MONTH($A1306),1))</f>
        <v>0</v>
      </c>
      <c r="BO1306">
        <f>IF($A1306="","",IF($A1305="",1,IF(BN1306&lt;&gt;BN1305,1,0)))</f>
        <v>0</v>
      </c>
      <c r="BP1306">
        <f>IF($A1306="","",IF($A1307="",1,IF(BN1307&lt;&gt;BN1306,1,0)))</f>
        <v>0</v>
      </c>
      <c r="BQ1306">
        <f>IF($A1306="","",IF(BO1306=1,$B1306,BQ1305))</f>
        <v>0</v>
      </c>
      <c r="BR1306">
        <f>IF($A1306="","",IF(BO1306=1,$C1306,MAX($C1306,BR1305)))</f>
        <v>0</v>
      </c>
      <c r="BS1306">
        <f>IF($A1306="","",IF(BO1306=1,$D1306,MIN($D1306,BS1305)))</f>
        <v>0</v>
      </c>
      <c r="BT1306">
        <f>IF($A1306="","",IF(BP1306=1,F1306,""))</f>
        <v>0</v>
      </c>
    </row>
    <row r="1307" spans="1:72">
      <c r="A1307" s="27">
        <f>IF(Data!$A1307="","",Data!$A1307)</f>
        <v>0</v>
      </c>
      <c r="B1307">
        <f>IF(Data!$B1307="","",Data!$B1307)</f>
        <v>0</v>
      </c>
      <c r="C1307">
        <f>IF(Data!$C1307="","",Data!$C1307)</f>
        <v>0</v>
      </c>
      <c r="D1307">
        <f>IF(Data!$D1307="","",Data!$D1307)</f>
        <v>0</v>
      </c>
      <c r="E1307">
        <f>IF(Data!$E1307="","",Data!$E1307)</f>
        <v>0</v>
      </c>
      <c r="F1307">
        <f>IF($E1307="","",N(F1306)+1)</f>
        <v>0</v>
      </c>
      <c r="G1307">
        <f>IF(OR($E1307="",$E1306=""),"",LN($E1307/$E1306))</f>
        <v>0</v>
      </c>
      <c r="H1307">
        <f>IF($E1307="","",IF($E1306="",$E1307,$E1307*0.0952380952+H1306*0.9047619048))</f>
        <v>0</v>
      </c>
      <c r="I1307">
        <f>IF($E1307="","",IF($E1306="",$E1307,$E1307*0.0392156863+I1306*0.9607843137))</f>
        <v>0</v>
      </c>
      <c r="J1307">
        <f>IF($E1307="","",IF($E1306="",$E1307,$E1307*0.0198019802+J1306*0.9801980198))</f>
        <v>0</v>
      </c>
      <c r="K1307">
        <f>IF($E1307="","",IF($E1306="",$E1307,$E1307*0.0099502488+K1306*0.9900497512))</f>
        <v>0</v>
      </c>
      <c r="L1307">
        <f>IF(OR($E1307="",$E1306=""),"",MAX($E1307-$E1306,0))</f>
        <v>0</v>
      </c>
      <c r="M1307">
        <f>IF(OR($E1307="",$E1306=""),"",MAX($E1306-$E1307,0))</f>
        <v>0</v>
      </c>
      <c r="N1307">
        <f>IF(COUNT($E$2:$E1307)&lt;15,"",IF(AVERAGE($M$1294:$M$1307)=0,100,100-100/(1+AVERAGE($L$1294:$L$1307)/AVERAGE($M$1294:$M$1307))))</f>
        <v>0</v>
      </c>
      <c r="O1307">
        <f>IF($E1307="","",IF($E1306="",$E1307,$E1307*0.1538461538+O1306*0.8461538462))</f>
        <v>0</v>
      </c>
      <c r="P1307">
        <f>IF($E1307="","",IF($E1306="",$E1307,$E1307*0.0740740741+P1306*0.9259259259))</f>
        <v>0</v>
      </c>
      <c r="Q1307">
        <f>IF(OR(O1307="",P1307=""),"",O1307-P1307)</f>
        <v>0</v>
      </c>
      <c r="R1307">
        <f>IF(Q1307="","",IF(R1306="",Q1307,Q1307*0.2000000000+R1306*0.8000000000))</f>
        <v>0</v>
      </c>
      <c r="S1307">
        <f>IF(OR(Q1307="",R1307=""),"",Q1307-R1307)</f>
        <v>0</v>
      </c>
      <c r="T1307">
        <f>IF(COUNT($E$2:$E1307)&lt;14,"",MAX($C$1294:$C$1307))</f>
        <v>0</v>
      </c>
      <c r="U1307">
        <f>IF(COUNT($E$2:$E1307)&lt;14,"",MIN($D$1294:$D$1307))</f>
        <v>0</v>
      </c>
      <c r="V1307">
        <f>IF(OR(T1307="",U1307="",T1307=U1307),"",100*($E1307-U1307)/(T1307-U1307))</f>
        <v>0</v>
      </c>
      <c r="W1307">
        <f>IF(COUNT($V$1305:$V$1307)&lt;3,"",AVERAGE($V$1305:$V$1307))</f>
        <v>0</v>
      </c>
      <c r="X1307">
        <f>IF(COUNT($N$1294:$N$1307)&lt;14,"",MIN($N$1294:$N$1307))</f>
        <v>0</v>
      </c>
      <c r="Y1307">
        <f>IF(COUNT($N$1294:$N$1307)&lt;14,"",MAX($N$1294:$N$1307))</f>
        <v>0</v>
      </c>
      <c r="Z1307">
        <f>IF(OR(N1307="",X1307="",Y1307="",Y1307=X1307),"",100*(N1307-X1307)/(Y1307-X1307))</f>
        <v>0</v>
      </c>
      <c r="AA1307">
        <f>IF(COUNT($Z$1305:$Z$1307)&lt;3,"",AVERAGE($Z$1305:$Z$1307))</f>
        <v>0</v>
      </c>
      <c r="AB1307">
        <f>IF(COUNT($AA$1305:$AA$1307)&lt;3,"",AVERAGE($AA$1305:$AA$1307))</f>
        <v>0</v>
      </c>
      <c r="AC1307">
        <f>IF($E1307="","",MAX($C1307-$D1307,ABS($C1307-$E1306),ABS($D1307-$E1306)))</f>
        <v>0</v>
      </c>
      <c r="AD1307">
        <f>IF(COUNT($E$2:$E1307)&lt;15,"",AVERAGE($AC$1294:$AC$1307))</f>
        <v>0</v>
      </c>
      <c r="AE1307">
        <f>IF(OR($E1307="",$E1306=""),"",IF(AND(($C1307-$C1306)&gt;($D1306-$D1307),($C1307-$C1306)&gt;0),$C1307-$C1306,0))</f>
        <v>0</v>
      </c>
      <c r="AF1307">
        <f>IF(OR($E1307="",$E1306=""),"",IF(AND(($D1306-$D1307)&gt;($C1307-$C1306),($D1306-$D1307)&gt;0),$D1306-$D1307,0))</f>
        <v>0</v>
      </c>
      <c r="AG1307">
        <f>IF(COUNT($E$2:$E1307)&lt;15,"",IF(SUM($AC$1294:$AC$1307)=0,0,100*SUM($AE$1294:$AE$1307)/SUM($AC$1294:$AC$1307)))</f>
        <v>0</v>
      </c>
      <c r="AH1307">
        <f>IF(COUNT($E$2:$E1307)&lt;15,"",IF(SUM($AC$1294:$AC$1307)=0,0,100*SUM($AF$1294:$AF$1307)/SUM($AC$1294:$AC$1307)))</f>
        <v>0</v>
      </c>
      <c r="AI1307">
        <f>IF(OR(AG1307="",AH1307=""),"",IF((AG1307+AH1307)=0,0,100*ABS(AG1307-AH1307)/(AG1307+AH1307)))</f>
        <v>0</v>
      </c>
      <c r="AJ1307">
        <f>IF(COUNT($AI$1294:$AI$1307)&lt;14,"",AVERAGE($AI$1294:$AI$1307))</f>
        <v>0</v>
      </c>
      <c r="AK1307">
        <f>IF(COUNT($E$2:$E1307)&lt;20,"",AVERAGE($E$1288:$E$1307))</f>
        <v>0</v>
      </c>
      <c r="AL1307">
        <f>IF(COUNT($E$2:$E1307)&lt;20,"",STDEVP($E$1288:$E$1307))</f>
        <v>0</v>
      </c>
      <c r="AM1307">
        <f>IF(AK1307="","",AK1307+2*AL1307)</f>
        <v>0</v>
      </c>
      <c r="AN1307">
        <f>IF(AK1307="","",AK1307-2*AL1307)</f>
        <v>0</v>
      </c>
      <c r="AO1307">
        <f>IF(OR(AM1307="",AN1307="",AM1307=AN1307),"",($E1307-AN1307)/(AM1307-AN1307))</f>
        <v>0</v>
      </c>
      <c r="AP1307">
        <f>IF(OR(AM1307="",AK1307="",AK1307=0),"",(AM1307-AN1307)/AK1307)</f>
        <v>0</v>
      </c>
      <c r="AQ1307">
        <f>IF(COUNT($E$2:$E1307)&lt;20,"",MAX($C$1288:$C$1307))</f>
        <v>0</v>
      </c>
      <c r="AR1307">
        <f>IF(COUNT($E$2:$E1307)&lt;20,"",MIN($D$1288:$D$1307))</f>
        <v>0</v>
      </c>
      <c r="AS1307">
        <f>IF(OR(AQ1307="",AR1307=""),"",(AQ1307+AR1307)/2)</f>
        <v>0</v>
      </c>
      <c r="AT1307">
        <f>IF(COUNT($G$1288:$G$1307)&lt;20,"",STDEV($G$1288:$G$1307)*SQRT(252))</f>
        <v>0</v>
      </c>
      <c r="AU1307">
        <f>IF(COUNT($E$2:$E1307)&lt;9,"",(MAX($C$1299:$C$1307)+MIN($D$1299:$D$1307))/2)</f>
        <v>0</v>
      </c>
      <c r="AV1307">
        <f>IF(COUNT($E$2:$E1307)&lt;26,"",(MAX($C$1282:$C$1307)+MIN($D$1282:$D$1307))/2)</f>
        <v>0</v>
      </c>
      <c r="AW1307">
        <f>IF(OR(AU1307="",AV1307=""),"",(AU1307+AV1307)/2)</f>
        <v>0</v>
      </c>
      <c r="AX1307">
        <f>IF(COUNT($E$2:$E1307)&lt;52,"",(MAX($C$1256:$C$1307)+MIN($D$1256:$D$1307))/2)</f>
        <v>0</v>
      </c>
      <c r="AY1307">
        <f>IF(COUNT($E$2:$E1307)&lt;20,"",MAX($C$1208:$C$1307))</f>
        <v>0</v>
      </c>
      <c r="AZ1307">
        <f>IF(COUNT($E$2:$E1307)&lt;20,"",MIN($D$1208:$D$1307))</f>
        <v>0</v>
      </c>
      <c r="BA1307">
        <f>IF(COUNT($E$2:$E1307)&lt;20,"",SLOPE($E$1208:$E$1307,$F$1208:$F$1307))</f>
        <v>0</v>
      </c>
      <c r="BB1307">
        <f>IF(COUNT($E$2:$E1307)&lt;20,"",INTERCEPT($E$1208:$E$1307,$F$1208:$F$1307))</f>
        <v>0</v>
      </c>
      <c r="BC1307">
        <f>IF(OR(BA1307="",BB1307=""),"",BB1307+BA1307*F1307)</f>
        <v>0</v>
      </c>
      <c r="BD1307">
        <f>IF(COUNT($E$2:$E1307)&lt;20,"",STEYX($E$1208:$E$1307,$F$1208:$F$1307))</f>
        <v>0</v>
      </c>
      <c r="BE1307">
        <f>IF($E1307="","",IF(AND(COUNT($E$1308:$E$1311)&gt;=4,$C1307=MAX($C$1303:$C$1311)),$C1307,""))</f>
        <v>0</v>
      </c>
      <c r="BF1307">
        <f>IF($E1307="","",IF(AND(COUNT($E$1308:$E$1311)&gt;=4,$D1307=MIN($D$1303:$D$1311)),$D1307,""))</f>
        <v>0</v>
      </c>
      <c r="BG1307">
        <f>IF($A1307="","",$A1307-WEEKDAY($A1307,2)+1)</f>
        <v>0</v>
      </c>
      <c r="BH1307">
        <f>IF($A1307="","",IF($A1306="",1,IF(BG1307&lt;&gt;BG1306,1,0)))</f>
        <v>0</v>
      </c>
      <c r="BI1307">
        <f>IF($A1307="","",IF($A1308="",1,IF(BG1308&lt;&gt;BG1307,1,0)))</f>
        <v>0</v>
      </c>
      <c r="BJ1307">
        <f>IF($A1307="","",IF(BH1307=1,$B1307,BJ1306))</f>
        <v>0</v>
      </c>
      <c r="BK1307">
        <f>IF($A1307="","",IF(BH1307=1,$C1307,MAX($C1307,BK1306)))</f>
        <v>0</v>
      </c>
      <c r="BL1307">
        <f>IF($A1307="","",IF(BH1307=1,$D1307,MIN($D1307,BL1306)))</f>
        <v>0</v>
      </c>
      <c r="BM1307">
        <f>IF($A1307="","",IF(BI1307=1,F1307,""))</f>
        <v>0</v>
      </c>
      <c r="BN1307">
        <f>IF($A1307="","",DATE(YEAR($A1307),MONTH($A1307),1))</f>
        <v>0</v>
      </c>
      <c r="BO1307">
        <f>IF($A1307="","",IF($A1306="",1,IF(BN1307&lt;&gt;BN1306,1,0)))</f>
        <v>0</v>
      </c>
      <c r="BP1307">
        <f>IF($A1307="","",IF($A1308="",1,IF(BN1308&lt;&gt;BN1307,1,0)))</f>
        <v>0</v>
      </c>
      <c r="BQ1307">
        <f>IF($A1307="","",IF(BO1307=1,$B1307,BQ1306))</f>
        <v>0</v>
      </c>
      <c r="BR1307">
        <f>IF($A1307="","",IF(BO1307=1,$C1307,MAX($C1307,BR1306)))</f>
        <v>0</v>
      </c>
      <c r="BS1307">
        <f>IF($A1307="","",IF(BO1307=1,$D1307,MIN($D1307,BS1306)))</f>
        <v>0</v>
      </c>
      <c r="BT1307">
        <f>IF($A1307="","",IF(BP1307=1,F1307,""))</f>
        <v>0</v>
      </c>
    </row>
    <row r="1308" spans="1:72">
      <c r="A1308" s="27">
        <f>IF(Data!$A1308="","",Data!$A1308)</f>
        <v>0</v>
      </c>
      <c r="B1308">
        <f>IF(Data!$B1308="","",Data!$B1308)</f>
        <v>0</v>
      </c>
      <c r="C1308">
        <f>IF(Data!$C1308="","",Data!$C1308)</f>
        <v>0</v>
      </c>
      <c r="D1308">
        <f>IF(Data!$D1308="","",Data!$D1308)</f>
        <v>0</v>
      </c>
      <c r="E1308">
        <f>IF(Data!$E1308="","",Data!$E1308)</f>
        <v>0</v>
      </c>
      <c r="F1308">
        <f>IF($E1308="","",N(F1307)+1)</f>
        <v>0</v>
      </c>
      <c r="G1308">
        <f>IF(OR($E1308="",$E1307=""),"",LN($E1308/$E1307))</f>
        <v>0</v>
      </c>
      <c r="H1308">
        <f>IF($E1308="","",IF($E1307="",$E1308,$E1308*0.0952380952+H1307*0.9047619048))</f>
        <v>0</v>
      </c>
      <c r="I1308">
        <f>IF($E1308="","",IF($E1307="",$E1308,$E1308*0.0392156863+I1307*0.9607843137))</f>
        <v>0</v>
      </c>
      <c r="J1308">
        <f>IF($E1308="","",IF($E1307="",$E1308,$E1308*0.0198019802+J1307*0.9801980198))</f>
        <v>0</v>
      </c>
      <c r="K1308">
        <f>IF($E1308="","",IF($E1307="",$E1308,$E1308*0.0099502488+K1307*0.9900497512))</f>
        <v>0</v>
      </c>
      <c r="L1308">
        <f>IF(OR($E1308="",$E1307=""),"",MAX($E1308-$E1307,0))</f>
        <v>0</v>
      </c>
      <c r="M1308">
        <f>IF(OR($E1308="",$E1307=""),"",MAX($E1307-$E1308,0))</f>
        <v>0</v>
      </c>
      <c r="N1308">
        <f>IF(COUNT($E$2:$E1308)&lt;15,"",IF(AVERAGE($M$1295:$M$1308)=0,100,100-100/(1+AVERAGE($L$1295:$L$1308)/AVERAGE($M$1295:$M$1308))))</f>
        <v>0</v>
      </c>
      <c r="O1308">
        <f>IF($E1308="","",IF($E1307="",$E1308,$E1308*0.1538461538+O1307*0.8461538462))</f>
        <v>0</v>
      </c>
      <c r="P1308">
        <f>IF($E1308="","",IF($E1307="",$E1308,$E1308*0.0740740741+P1307*0.9259259259))</f>
        <v>0</v>
      </c>
      <c r="Q1308">
        <f>IF(OR(O1308="",P1308=""),"",O1308-P1308)</f>
        <v>0</v>
      </c>
      <c r="R1308">
        <f>IF(Q1308="","",IF(R1307="",Q1308,Q1308*0.2000000000+R1307*0.8000000000))</f>
        <v>0</v>
      </c>
      <c r="S1308">
        <f>IF(OR(Q1308="",R1308=""),"",Q1308-R1308)</f>
        <v>0</v>
      </c>
      <c r="T1308">
        <f>IF(COUNT($E$2:$E1308)&lt;14,"",MAX($C$1295:$C$1308))</f>
        <v>0</v>
      </c>
      <c r="U1308">
        <f>IF(COUNT($E$2:$E1308)&lt;14,"",MIN($D$1295:$D$1308))</f>
        <v>0</v>
      </c>
      <c r="V1308">
        <f>IF(OR(T1308="",U1308="",T1308=U1308),"",100*($E1308-U1308)/(T1308-U1308))</f>
        <v>0</v>
      </c>
      <c r="W1308">
        <f>IF(COUNT($V$1306:$V$1308)&lt;3,"",AVERAGE($V$1306:$V$1308))</f>
        <v>0</v>
      </c>
      <c r="X1308">
        <f>IF(COUNT($N$1295:$N$1308)&lt;14,"",MIN($N$1295:$N$1308))</f>
        <v>0</v>
      </c>
      <c r="Y1308">
        <f>IF(COUNT($N$1295:$N$1308)&lt;14,"",MAX($N$1295:$N$1308))</f>
        <v>0</v>
      </c>
      <c r="Z1308">
        <f>IF(OR(N1308="",X1308="",Y1308="",Y1308=X1308),"",100*(N1308-X1308)/(Y1308-X1308))</f>
        <v>0</v>
      </c>
      <c r="AA1308">
        <f>IF(COUNT($Z$1306:$Z$1308)&lt;3,"",AVERAGE($Z$1306:$Z$1308))</f>
        <v>0</v>
      </c>
      <c r="AB1308">
        <f>IF(COUNT($AA$1306:$AA$1308)&lt;3,"",AVERAGE($AA$1306:$AA$1308))</f>
        <v>0</v>
      </c>
      <c r="AC1308">
        <f>IF($E1308="","",MAX($C1308-$D1308,ABS($C1308-$E1307),ABS($D1308-$E1307)))</f>
        <v>0</v>
      </c>
      <c r="AD1308">
        <f>IF(COUNT($E$2:$E1308)&lt;15,"",AVERAGE($AC$1295:$AC$1308))</f>
        <v>0</v>
      </c>
      <c r="AE1308">
        <f>IF(OR($E1308="",$E1307=""),"",IF(AND(($C1308-$C1307)&gt;($D1307-$D1308),($C1308-$C1307)&gt;0),$C1308-$C1307,0))</f>
        <v>0</v>
      </c>
      <c r="AF1308">
        <f>IF(OR($E1308="",$E1307=""),"",IF(AND(($D1307-$D1308)&gt;($C1308-$C1307),($D1307-$D1308)&gt;0),$D1307-$D1308,0))</f>
        <v>0</v>
      </c>
      <c r="AG1308">
        <f>IF(COUNT($E$2:$E1308)&lt;15,"",IF(SUM($AC$1295:$AC$1308)=0,0,100*SUM($AE$1295:$AE$1308)/SUM($AC$1295:$AC$1308)))</f>
        <v>0</v>
      </c>
      <c r="AH1308">
        <f>IF(COUNT($E$2:$E1308)&lt;15,"",IF(SUM($AC$1295:$AC$1308)=0,0,100*SUM($AF$1295:$AF$1308)/SUM($AC$1295:$AC$1308)))</f>
        <v>0</v>
      </c>
      <c r="AI1308">
        <f>IF(OR(AG1308="",AH1308=""),"",IF((AG1308+AH1308)=0,0,100*ABS(AG1308-AH1308)/(AG1308+AH1308)))</f>
        <v>0</v>
      </c>
      <c r="AJ1308">
        <f>IF(COUNT($AI$1295:$AI$1308)&lt;14,"",AVERAGE($AI$1295:$AI$1308))</f>
        <v>0</v>
      </c>
      <c r="AK1308">
        <f>IF(COUNT($E$2:$E1308)&lt;20,"",AVERAGE($E$1289:$E$1308))</f>
        <v>0</v>
      </c>
      <c r="AL1308">
        <f>IF(COUNT($E$2:$E1308)&lt;20,"",STDEVP($E$1289:$E$1308))</f>
        <v>0</v>
      </c>
      <c r="AM1308">
        <f>IF(AK1308="","",AK1308+2*AL1308)</f>
        <v>0</v>
      </c>
      <c r="AN1308">
        <f>IF(AK1308="","",AK1308-2*AL1308)</f>
        <v>0</v>
      </c>
      <c r="AO1308">
        <f>IF(OR(AM1308="",AN1308="",AM1308=AN1308),"",($E1308-AN1308)/(AM1308-AN1308))</f>
        <v>0</v>
      </c>
      <c r="AP1308">
        <f>IF(OR(AM1308="",AK1308="",AK1308=0),"",(AM1308-AN1308)/AK1308)</f>
        <v>0</v>
      </c>
      <c r="AQ1308">
        <f>IF(COUNT($E$2:$E1308)&lt;20,"",MAX($C$1289:$C$1308))</f>
        <v>0</v>
      </c>
      <c r="AR1308">
        <f>IF(COUNT($E$2:$E1308)&lt;20,"",MIN($D$1289:$D$1308))</f>
        <v>0</v>
      </c>
      <c r="AS1308">
        <f>IF(OR(AQ1308="",AR1308=""),"",(AQ1308+AR1308)/2)</f>
        <v>0</v>
      </c>
      <c r="AT1308">
        <f>IF(COUNT($G$1289:$G$1308)&lt;20,"",STDEV($G$1289:$G$1308)*SQRT(252))</f>
        <v>0</v>
      </c>
      <c r="AU1308">
        <f>IF(COUNT($E$2:$E1308)&lt;9,"",(MAX($C$1300:$C$1308)+MIN($D$1300:$D$1308))/2)</f>
        <v>0</v>
      </c>
      <c r="AV1308">
        <f>IF(COUNT($E$2:$E1308)&lt;26,"",(MAX($C$1283:$C$1308)+MIN($D$1283:$D$1308))/2)</f>
        <v>0</v>
      </c>
      <c r="AW1308">
        <f>IF(OR(AU1308="",AV1308=""),"",(AU1308+AV1308)/2)</f>
        <v>0</v>
      </c>
      <c r="AX1308">
        <f>IF(COUNT($E$2:$E1308)&lt;52,"",(MAX($C$1257:$C$1308)+MIN($D$1257:$D$1308))/2)</f>
        <v>0</v>
      </c>
      <c r="AY1308">
        <f>IF(COUNT($E$2:$E1308)&lt;20,"",MAX($C$1209:$C$1308))</f>
        <v>0</v>
      </c>
      <c r="AZ1308">
        <f>IF(COUNT($E$2:$E1308)&lt;20,"",MIN($D$1209:$D$1308))</f>
        <v>0</v>
      </c>
      <c r="BA1308">
        <f>IF(COUNT($E$2:$E1308)&lt;20,"",SLOPE($E$1209:$E$1308,$F$1209:$F$1308))</f>
        <v>0</v>
      </c>
      <c r="BB1308">
        <f>IF(COUNT($E$2:$E1308)&lt;20,"",INTERCEPT($E$1209:$E$1308,$F$1209:$F$1308))</f>
        <v>0</v>
      </c>
      <c r="BC1308">
        <f>IF(OR(BA1308="",BB1308=""),"",BB1308+BA1308*F1308)</f>
        <v>0</v>
      </c>
      <c r="BD1308">
        <f>IF(COUNT($E$2:$E1308)&lt;20,"",STEYX($E$1209:$E$1308,$F$1209:$F$1308))</f>
        <v>0</v>
      </c>
      <c r="BE1308">
        <f>IF($E1308="","",IF(AND(COUNT($E$1309:$E$1312)&gt;=4,$C1308=MAX($C$1304:$C$1312)),$C1308,""))</f>
        <v>0</v>
      </c>
      <c r="BF1308">
        <f>IF($E1308="","",IF(AND(COUNT($E$1309:$E$1312)&gt;=4,$D1308=MIN($D$1304:$D$1312)),$D1308,""))</f>
        <v>0</v>
      </c>
      <c r="BG1308">
        <f>IF($A1308="","",$A1308-WEEKDAY($A1308,2)+1)</f>
        <v>0</v>
      </c>
      <c r="BH1308">
        <f>IF($A1308="","",IF($A1307="",1,IF(BG1308&lt;&gt;BG1307,1,0)))</f>
        <v>0</v>
      </c>
      <c r="BI1308">
        <f>IF($A1308="","",IF($A1309="",1,IF(BG1309&lt;&gt;BG1308,1,0)))</f>
        <v>0</v>
      </c>
      <c r="BJ1308">
        <f>IF($A1308="","",IF(BH1308=1,$B1308,BJ1307))</f>
        <v>0</v>
      </c>
      <c r="BK1308">
        <f>IF($A1308="","",IF(BH1308=1,$C1308,MAX($C1308,BK1307)))</f>
        <v>0</v>
      </c>
      <c r="BL1308">
        <f>IF($A1308="","",IF(BH1308=1,$D1308,MIN($D1308,BL1307)))</f>
        <v>0</v>
      </c>
      <c r="BM1308">
        <f>IF($A1308="","",IF(BI1308=1,F1308,""))</f>
        <v>0</v>
      </c>
      <c r="BN1308">
        <f>IF($A1308="","",DATE(YEAR($A1308),MONTH($A1308),1))</f>
        <v>0</v>
      </c>
      <c r="BO1308">
        <f>IF($A1308="","",IF($A1307="",1,IF(BN1308&lt;&gt;BN1307,1,0)))</f>
        <v>0</v>
      </c>
      <c r="BP1308">
        <f>IF($A1308="","",IF($A1309="",1,IF(BN1309&lt;&gt;BN1308,1,0)))</f>
        <v>0</v>
      </c>
      <c r="BQ1308">
        <f>IF($A1308="","",IF(BO1308=1,$B1308,BQ1307))</f>
        <v>0</v>
      </c>
      <c r="BR1308">
        <f>IF($A1308="","",IF(BO1308=1,$C1308,MAX($C1308,BR1307)))</f>
        <v>0</v>
      </c>
      <c r="BS1308">
        <f>IF($A1308="","",IF(BO1308=1,$D1308,MIN($D1308,BS1307)))</f>
        <v>0</v>
      </c>
      <c r="BT1308">
        <f>IF($A1308="","",IF(BP1308=1,F1308,""))</f>
        <v>0</v>
      </c>
    </row>
    <row r="1309" spans="1:72">
      <c r="A1309" s="27">
        <f>IF(Data!$A1309="","",Data!$A1309)</f>
        <v>0</v>
      </c>
      <c r="B1309">
        <f>IF(Data!$B1309="","",Data!$B1309)</f>
        <v>0</v>
      </c>
      <c r="C1309">
        <f>IF(Data!$C1309="","",Data!$C1309)</f>
        <v>0</v>
      </c>
      <c r="D1309">
        <f>IF(Data!$D1309="","",Data!$D1309)</f>
        <v>0</v>
      </c>
      <c r="E1309">
        <f>IF(Data!$E1309="","",Data!$E1309)</f>
        <v>0</v>
      </c>
      <c r="F1309">
        <f>IF($E1309="","",N(F1308)+1)</f>
        <v>0</v>
      </c>
      <c r="G1309">
        <f>IF(OR($E1309="",$E1308=""),"",LN($E1309/$E1308))</f>
        <v>0</v>
      </c>
      <c r="H1309">
        <f>IF($E1309="","",IF($E1308="",$E1309,$E1309*0.0952380952+H1308*0.9047619048))</f>
        <v>0</v>
      </c>
      <c r="I1309">
        <f>IF($E1309="","",IF($E1308="",$E1309,$E1309*0.0392156863+I1308*0.9607843137))</f>
        <v>0</v>
      </c>
      <c r="J1309">
        <f>IF($E1309="","",IF($E1308="",$E1309,$E1309*0.0198019802+J1308*0.9801980198))</f>
        <v>0</v>
      </c>
      <c r="K1309">
        <f>IF($E1309="","",IF($E1308="",$E1309,$E1309*0.0099502488+K1308*0.9900497512))</f>
        <v>0</v>
      </c>
      <c r="L1309">
        <f>IF(OR($E1309="",$E1308=""),"",MAX($E1309-$E1308,0))</f>
        <v>0</v>
      </c>
      <c r="M1309">
        <f>IF(OR($E1309="",$E1308=""),"",MAX($E1308-$E1309,0))</f>
        <v>0</v>
      </c>
      <c r="N1309">
        <f>IF(COUNT($E$2:$E1309)&lt;15,"",IF(AVERAGE($M$1296:$M$1309)=0,100,100-100/(1+AVERAGE($L$1296:$L$1309)/AVERAGE($M$1296:$M$1309))))</f>
        <v>0</v>
      </c>
      <c r="O1309">
        <f>IF($E1309="","",IF($E1308="",$E1309,$E1309*0.1538461538+O1308*0.8461538462))</f>
        <v>0</v>
      </c>
      <c r="P1309">
        <f>IF($E1309="","",IF($E1308="",$E1309,$E1309*0.0740740741+P1308*0.9259259259))</f>
        <v>0</v>
      </c>
      <c r="Q1309">
        <f>IF(OR(O1309="",P1309=""),"",O1309-P1309)</f>
        <v>0</v>
      </c>
      <c r="R1309">
        <f>IF(Q1309="","",IF(R1308="",Q1309,Q1309*0.2000000000+R1308*0.8000000000))</f>
        <v>0</v>
      </c>
      <c r="S1309">
        <f>IF(OR(Q1309="",R1309=""),"",Q1309-R1309)</f>
        <v>0</v>
      </c>
      <c r="T1309">
        <f>IF(COUNT($E$2:$E1309)&lt;14,"",MAX($C$1296:$C$1309))</f>
        <v>0</v>
      </c>
      <c r="U1309">
        <f>IF(COUNT($E$2:$E1309)&lt;14,"",MIN($D$1296:$D$1309))</f>
        <v>0</v>
      </c>
      <c r="V1309">
        <f>IF(OR(T1309="",U1309="",T1309=U1309),"",100*($E1309-U1309)/(T1309-U1309))</f>
        <v>0</v>
      </c>
      <c r="W1309">
        <f>IF(COUNT($V$1307:$V$1309)&lt;3,"",AVERAGE($V$1307:$V$1309))</f>
        <v>0</v>
      </c>
      <c r="X1309">
        <f>IF(COUNT($N$1296:$N$1309)&lt;14,"",MIN($N$1296:$N$1309))</f>
        <v>0</v>
      </c>
      <c r="Y1309">
        <f>IF(COUNT($N$1296:$N$1309)&lt;14,"",MAX($N$1296:$N$1309))</f>
        <v>0</v>
      </c>
      <c r="Z1309">
        <f>IF(OR(N1309="",X1309="",Y1309="",Y1309=X1309),"",100*(N1309-X1309)/(Y1309-X1309))</f>
        <v>0</v>
      </c>
      <c r="AA1309">
        <f>IF(COUNT($Z$1307:$Z$1309)&lt;3,"",AVERAGE($Z$1307:$Z$1309))</f>
        <v>0</v>
      </c>
      <c r="AB1309">
        <f>IF(COUNT($AA$1307:$AA$1309)&lt;3,"",AVERAGE($AA$1307:$AA$1309))</f>
        <v>0</v>
      </c>
      <c r="AC1309">
        <f>IF($E1309="","",MAX($C1309-$D1309,ABS($C1309-$E1308),ABS($D1309-$E1308)))</f>
        <v>0</v>
      </c>
      <c r="AD1309">
        <f>IF(COUNT($E$2:$E1309)&lt;15,"",AVERAGE($AC$1296:$AC$1309))</f>
        <v>0</v>
      </c>
      <c r="AE1309">
        <f>IF(OR($E1309="",$E1308=""),"",IF(AND(($C1309-$C1308)&gt;($D1308-$D1309),($C1309-$C1308)&gt;0),$C1309-$C1308,0))</f>
        <v>0</v>
      </c>
      <c r="AF1309">
        <f>IF(OR($E1309="",$E1308=""),"",IF(AND(($D1308-$D1309)&gt;($C1309-$C1308),($D1308-$D1309)&gt;0),$D1308-$D1309,0))</f>
        <v>0</v>
      </c>
      <c r="AG1309">
        <f>IF(COUNT($E$2:$E1309)&lt;15,"",IF(SUM($AC$1296:$AC$1309)=0,0,100*SUM($AE$1296:$AE$1309)/SUM($AC$1296:$AC$1309)))</f>
        <v>0</v>
      </c>
      <c r="AH1309">
        <f>IF(COUNT($E$2:$E1309)&lt;15,"",IF(SUM($AC$1296:$AC$1309)=0,0,100*SUM($AF$1296:$AF$1309)/SUM($AC$1296:$AC$1309)))</f>
        <v>0</v>
      </c>
      <c r="AI1309">
        <f>IF(OR(AG1309="",AH1309=""),"",IF((AG1309+AH1309)=0,0,100*ABS(AG1309-AH1309)/(AG1309+AH1309)))</f>
        <v>0</v>
      </c>
      <c r="AJ1309">
        <f>IF(COUNT($AI$1296:$AI$1309)&lt;14,"",AVERAGE($AI$1296:$AI$1309))</f>
        <v>0</v>
      </c>
      <c r="AK1309">
        <f>IF(COUNT($E$2:$E1309)&lt;20,"",AVERAGE($E$1290:$E$1309))</f>
        <v>0</v>
      </c>
      <c r="AL1309">
        <f>IF(COUNT($E$2:$E1309)&lt;20,"",STDEVP($E$1290:$E$1309))</f>
        <v>0</v>
      </c>
      <c r="AM1309">
        <f>IF(AK1309="","",AK1309+2*AL1309)</f>
        <v>0</v>
      </c>
      <c r="AN1309">
        <f>IF(AK1309="","",AK1309-2*AL1309)</f>
        <v>0</v>
      </c>
      <c r="AO1309">
        <f>IF(OR(AM1309="",AN1309="",AM1309=AN1309),"",($E1309-AN1309)/(AM1309-AN1309))</f>
        <v>0</v>
      </c>
      <c r="AP1309">
        <f>IF(OR(AM1309="",AK1309="",AK1309=0),"",(AM1309-AN1309)/AK1309)</f>
        <v>0</v>
      </c>
      <c r="AQ1309">
        <f>IF(COUNT($E$2:$E1309)&lt;20,"",MAX($C$1290:$C$1309))</f>
        <v>0</v>
      </c>
      <c r="AR1309">
        <f>IF(COUNT($E$2:$E1309)&lt;20,"",MIN($D$1290:$D$1309))</f>
        <v>0</v>
      </c>
      <c r="AS1309">
        <f>IF(OR(AQ1309="",AR1309=""),"",(AQ1309+AR1309)/2)</f>
        <v>0</v>
      </c>
      <c r="AT1309">
        <f>IF(COUNT($G$1290:$G$1309)&lt;20,"",STDEV($G$1290:$G$1309)*SQRT(252))</f>
        <v>0</v>
      </c>
      <c r="AU1309">
        <f>IF(COUNT($E$2:$E1309)&lt;9,"",(MAX($C$1301:$C$1309)+MIN($D$1301:$D$1309))/2)</f>
        <v>0</v>
      </c>
      <c r="AV1309">
        <f>IF(COUNT($E$2:$E1309)&lt;26,"",(MAX($C$1284:$C$1309)+MIN($D$1284:$D$1309))/2)</f>
        <v>0</v>
      </c>
      <c r="AW1309">
        <f>IF(OR(AU1309="",AV1309=""),"",(AU1309+AV1309)/2)</f>
        <v>0</v>
      </c>
      <c r="AX1309">
        <f>IF(COUNT($E$2:$E1309)&lt;52,"",(MAX($C$1258:$C$1309)+MIN($D$1258:$D$1309))/2)</f>
        <v>0</v>
      </c>
      <c r="AY1309">
        <f>IF(COUNT($E$2:$E1309)&lt;20,"",MAX($C$1210:$C$1309))</f>
        <v>0</v>
      </c>
      <c r="AZ1309">
        <f>IF(COUNT($E$2:$E1309)&lt;20,"",MIN($D$1210:$D$1309))</f>
        <v>0</v>
      </c>
      <c r="BA1309">
        <f>IF(COUNT($E$2:$E1309)&lt;20,"",SLOPE($E$1210:$E$1309,$F$1210:$F$1309))</f>
        <v>0</v>
      </c>
      <c r="BB1309">
        <f>IF(COUNT($E$2:$E1309)&lt;20,"",INTERCEPT($E$1210:$E$1309,$F$1210:$F$1309))</f>
        <v>0</v>
      </c>
      <c r="BC1309">
        <f>IF(OR(BA1309="",BB1309=""),"",BB1309+BA1309*F1309)</f>
        <v>0</v>
      </c>
      <c r="BD1309">
        <f>IF(COUNT($E$2:$E1309)&lt;20,"",STEYX($E$1210:$E$1309,$F$1210:$F$1309))</f>
        <v>0</v>
      </c>
      <c r="BE1309">
        <f>IF($E1309="","",IF(AND(COUNT($E$1310:$E$1313)&gt;=4,$C1309=MAX($C$1305:$C$1313)),$C1309,""))</f>
        <v>0</v>
      </c>
      <c r="BF1309">
        <f>IF($E1309="","",IF(AND(COUNT($E$1310:$E$1313)&gt;=4,$D1309=MIN($D$1305:$D$1313)),$D1309,""))</f>
        <v>0</v>
      </c>
      <c r="BG1309">
        <f>IF($A1309="","",$A1309-WEEKDAY($A1309,2)+1)</f>
        <v>0</v>
      </c>
      <c r="BH1309">
        <f>IF($A1309="","",IF($A1308="",1,IF(BG1309&lt;&gt;BG1308,1,0)))</f>
        <v>0</v>
      </c>
      <c r="BI1309">
        <f>IF($A1309="","",IF($A1310="",1,IF(BG1310&lt;&gt;BG1309,1,0)))</f>
        <v>0</v>
      </c>
      <c r="BJ1309">
        <f>IF($A1309="","",IF(BH1309=1,$B1309,BJ1308))</f>
        <v>0</v>
      </c>
      <c r="BK1309">
        <f>IF($A1309="","",IF(BH1309=1,$C1309,MAX($C1309,BK1308)))</f>
        <v>0</v>
      </c>
      <c r="BL1309">
        <f>IF($A1309="","",IF(BH1309=1,$D1309,MIN($D1309,BL1308)))</f>
        <v>0</v>
      </c>
      <c r="BM1309">
        <f>IF($A1309="","",IF(BI1309=1,F1309,""))</f>
        <v>0</v>
      </c>
      <c r="BN1309">
        <f>IF($A1309="","",DATE(YEAR($A1309),MONTH($A1309),1))</f>
        <v>0</v>
      </c>
      <c r="BO1309">
        <f>IF($A1309="","",IF($A1308="",1,IF(BN1309&lt;&gt;BN1308,1,0)))</f>
        <v>0</v>
      </c>
      <c r="BP1309">
        <f>IF($A1309="","",IF($A1310="",1,IF(BN1310&lt;&gt;BN1309,1,0)))</f>
        <v>0</v>
      </c>
      <c r="BQ1309">
        <f>IF($A1309="","",IF(BO1309=1,$B1309,BQ1308))</f>
        <v>0</v>
      </c>
      <c r="BR1309">
        <f>IF($A1309="","",IF(BO1309=1,$C1309,MAX($C1309,BR1308)))</f>
        <v>0</v>
      </c>
      <c r="BS1309">
        <f>IF($A1309="","",IF(BO1309=1,$D1309,MIN($D1309,BS1308)))</f>
        <v>0</v>
      </c>
      <c r="BT1309">
        <f>IF($A1309="","",IF(BP1309=1,F1309,""))</f>
        <v>0</v>
      </c>
    </row>
    <row r="1310" spans="1:72">
      <c r="A1310" s="27">
        <f>IF(Data!$A1310="","",Data!$A1310)</f>
        <v>0</v>
      </c>
      <c r="B1310">
        <f>IF(Data!$B1310="","",Data!$B1310)</f>
        <v>0</v>
      </c>
      <c r="C1310">
        <f>IF(Data!$C1310="","",Data!$C1310)</f>
        <v>0</v>
      </c>
      <c r="D1310">
        <f>IF(Data!$D1310="","",Data!$D1310)</f>
        <v>0</v>
      </c>
      <c r="E1310">
        <f>IF(Data!$E1310="","",Data!$E1310)</f>
        <v>0</v>
      </c>
      <c r="F1310">
        <f>IF($E1310="","",N(F1309)+1)</f>
        <v>0</v>
      </c>
      <c r="G1310">
        <f>IF(OR($E1310="",$E1309=""),"",LN($E1310/$E1309))</f>
        <v>0</v>
      </c>
      <c r="H1310">
        <f>IF($E1310="","",IF($E1309="",$E1310,$E1310*0.0952380952+H1309*0.9047619048))</f>
        <v>0</v>
      </c>
      <c r="I1310">
        <f>IF($E1310="","",IF($E1309="",$E1310,$E1310*0.0392156863+I1309*0.9607843137))</f>
        <v>0</v>
      </c>
      <c r="J1310">
        <f>IF($E1310="","",IF($E1309="",$E1310,$E1310*0.0198019802+J1309*0.9801980198))</f>
        <v>0</v>
      </c>
      <c r="K1310">
        <f>IF($E1310="","",IF($E1309="",$E1310,$E1310*0.0099502488+K1309*0.9900497512))</f>
        <v>0</v>
      </c>
      <c r="L1310">
        <f>IF(OR($E1310="",$E1309=""),"",MAX($E1310-$E1309,0))</f>
        <v>0</v>
      </c>
      <c r="M1310">
        <f>IF(OR($E1310="",$E1309=""),"",MAX($E1309-$E1310,0))</f>
        <v>0</v>
      </c>
      <c r="N1310">
        <f>IF(COUNT($E$2:$E1310)&lt;15,"",IF(AVERAGE($M$1297:$M$1310)=0,100,100-100/(1+AVERAGE($L$1297:$L$1310)/AVERAGE($M$1297:$M$1310))))</f>
        <v>0</v>
      </c>
      <c r="O1310">
        <f>IF($E1310="","",IF($E1309="",$E1310,$E1310*0.1538461538+O1309*0.8461538462))</f>
        <v>0</v>
      </c>
      <c r="P1310">
        <f>IF($E1310="","",IF($E1309="",$E1310,$E1310*0.0740740741+P1309*0.9259259259))</f>
        <v>0</v>
      </c>
      <c r="Q1310">
        <f>IF(OR(O1310="",P1310=""),"",O1310-P1310)</f>
        <v>0</v>
      </c>
      <c r="R1310">
        <f>IF(Q1310="","",IF(R1309="",Q1310,Q1310*0.2000000000+R1309*0.8000000000))</f>
        <v>0</v>
      </c>
      <c r="S1310">
        <f>IF(OR(Q1310="",R1310=""),"",Q1310-R1310)</f>
        <v>0</v>
      </c>
      <c r="T1310">
        <f>IF(COUNT($E$2:$E1310)&lt;14,"",MAX($C$1297:$C$1310))</f>
        <v>0</v>
      </c>
      <c r="U1310">
        <f>IF(COUNT($E$2:$E1310)&lt;14,"",MIN($D$1297:$D$1310))</f>
        <v>0</v>
      </c>
      <c r="V1310">
        <f>IF(OR(T1310="",U1310="",T1310=U1310),"",100*($E1310-U1310)/(T1310-U1310))</f>
        <v>0</v>
      </c>
      <c r="W1310">
        <f>IF(COUNT($V$1308:$V$1310)&lt;3,"",AVERAGE($V$1308:$V$1310))</f>
        <v>0</v>
      </c>
      <c r="X1310">
        <f>IF(COUNT($N$1297:$N$1310)&lt;14,"",MIN($N$1297:$N$1310))</f>
        <v>0</v>
      </c>
      <c r="Y1310">
        <f>IF(COUNT($N$1297:$N$1310)&lt;14,"",MAX($N$1297:$N$1310))</f>
        <v>0</v>
      </c>
      <c r="Z1310">
        <f>IF(OR(N1310="",X1310="",Y1310="",Y1310=X1310),"",100*(N1310-X1310)/(Y1310-X1310))</f>
        <v>0</v>
      </c>
      <c r="AA1310">
        <f>IF(COUNT($Z$1308:$Z$1310)&lt;3,"",AVERAGE($Z$1308:$Z$1310))</f>
        <v>0</v>
      </c>
      <c r="AB1310">
        <f>IF(COUNT($AA$1308:$AA$1310)&lt;3,"",AVERAGE($AA$1308:$AA$1310))</f>
        <v>0</v>
      </c>
      <c r="AC1310">
        <f>IF($E1310="","",MAX($C1310-$D1310,ABS($C1310-$E1309),ABS($D1310-$E1309)))</f>
        <v>0</v>
      </c>
      <c r="AD1310">
        <f>IF(COUNT($E$2:$E1310)&lt;15,"",AVERAGE($AC$1297:$AC$1310))</f>
        <v>0</v>
      </c>
      <c r="AE1310">
        <f>IF(OR($E1310="",$E1309=""),"",IF(AND(($C1310-$C1309)&gt;($D1309-$D1310),($C1310-$C1309)&gt;0),$C1310-$C1309,0))</f>
        <v>0</v>
      </c>
      <c r="AF1310">
        <f>IF(OR($E1310="",$E1309=""),"",IF(AND(($D1309-$D1310)&gt;($C1310-$C1309),($D1309-$D1310)&gt;0),$D1309-$D1310,0))</f>
        <v>0</v>
      </c>
      <c r="AG1310">
        <f>IF(COUNT($E$2:$E1310)&lt;15,"",IF(SUM($AC$1297:$AC$1310)=0,0,100*SUM($AE$1297:$AE$1310)/SUM($AC$1297:$AC$1310)))</f>
        <v>0</v>
      </c>
      <c r="AH1310">
        <f>IF(COUNT($E$2:$E1310)&lt;15,"",IF(SUM($AC$1297:$AC$1310)=0,0,100*SUM($AF$1297:$AF$1310)/SUM($AC$1297:$AC$1310)))</f>
        <v>0</v>
      </c>
      <c r="AI1310">
        <f>IF(OR(AG1310="",AH1310=""),"",IF((AG1310+AH1310)=0,0,100*ABS(AG1310-AH1310)/(AG1310+AH1310)))</f>
        <v>0</v>
      </c>
      <c r="AJ1310">
        <f>IF(COUNT($AI$1297:$AI$1310)&lt;14,"",AVERAGE($AI$1297:$AI$1310))</f>
        <v>0</v>
      </c>
      <c r="AK1310">
        <f>IF(COUNT($E$2:$E1310)&lt;20,"",AVERAGE($E$1291:$E$1310))</f>
        <v>0</v>
      </c>
      <c r="AL1310">
        <f>IF(COUNT($E$2:$E1310)&lt;20,"",STDEVP($E$1291:$E$1310))</f>
        <v>0</v>
      </c>
      <c r="AM1310">
        <f>IF(AK1310="","",AK1310+2*AL1310)</f>
        <v>0</v>
      </c>
      <c r="AN1310">
        <f>IF(AK1310="","",AK1310-2*AL1310)</f>
        <v>0</v>
      </c>
      <c r="AO1310">
        <f>IF(OR(AM1310="",AN1310="",AM1310=AN1310),"",($E1310-AN1310)/(AM1310-AN1310))</f>
        <v>0</v>
      </c>
      <c r="AP1310">
        <f>IF(OR(AM1310="",AK1310="",AK1310=0),"",(AM1310-AN1310)/AK1310)</f>
        <v>0</v>
      </c>
      <c r="AQ1310">
        <f>IF(COUNT($E$2:$E1310)&lt;20,"",MAX($C$1291:$C$1310))</f>
        <v>0</v>
      </c>
      <c r="AR1310">
        <f>IF(COUNT($E$2:$E1310)&lt;20,"",MIN($D$1291:$D$1310))</f>
        <v>0</v>
      </c>
      <c r="AS1310">
        <f>IF(OR(AQ1310="",AR1310=""),"",(AQ1310+AR1310)/2)</f>
        <v>0</v>
      </c>
      <c r="AT1310">
        <f>IF(COUNT($G$1291:$G$1310)&lt;20,"",STDEV($G$1291:$G$1310)*SQRT(252))</f>
        <v>0</v>
      </c>
      <c r="AU1310">
        <f>IF(COUNT($E$2:$E1310)&lt;9,"",(MAX($C$1302:$C$1310)+MIN($D$1302:$D$1310))/2)</f>
        <v>0</v>
      </c>
      <c r="AV1310">
        <f>IF(COUNT($E$2:$E1310)&lt;26,"",(MAX($C$1285:$C$1310)+MIN($D$1285:$D$1310))/2)</f>
        <v>0</v>
      </c>
      <c r="AW1310">
        <f>IF(OR(AU1310="",AV1310=""),"",(AU1310+AV1310)/2)</f>
        <v>0</v>
      </c>
      <c r="AX1310">
        <f>IF(COUNT($E$2:$E1310)&lt;52,"",(MAX($C$1259:$C$1310)+MIN($D$1259:$D$1310))/2)</f>
        <v>0</v>
      </c>
      <c r="AY1310">
        <f>IF(COUNT($E$2:$E1310)&lt;20,"",MAX($C$1211:$C$1310))</f>
        <v>0</v>
      </c>
      <c r="AZ1310">
        <f>IF(COUNT($E$2:$E1310)&lt;20,"",MIN($D$1211:$D$1310))</f>
        <v>0</v>
      </c>
      <c r="BA1310">
        <f>IF(COUNT($E$2:$E1310)&lt;20,"",SLOPE($E$1211:$E$1310,$F$1211:$F$1310))</f>
        <v>0</v>
      </c>
      <c r="BB1310">
        <f>IF(COUNT($E$2:$E1310)&lt;20,"",INTERCEPT($E$1211:$E$1310,$F$1211:$F$1310))</f>
        <v>0</v>
      </c>
      <c r="BC1310">
        <f>IF(OR(BA1310="",BB1310=""),"",BB1310+BA1310*F1310)</f>
        <v>0</v>
      </c>
      <c r="BD1310">
        <f>IF(COUNT($E$2:$E1310)&lt;20,"",STEYX($E$1211:$E$1310,$F$1211:$F$1310))</f>
        <v>0</v>
      </c>
      <c r="BE1310">
        <f>IF($E1310="","",IF(AND(COUNT($E$1311:$E$1314)&gt;=4,$C1310=MAX($C$1306:$C$1314)),$C1310,""))</f>
        <v>0</v>
      </c>
      <c r="BF1310">
        <f>IF($E1310="","",IF(AND(COUNT($E$1311:$E$1314)&gt;=4,$D1310=MIN($D$1306:$D$1314)),$D1310,""))</f>
        <v>0</v>
      </c>
      <c r="BG1310">
        <f>IF($A1310="","",$A1310-WEEKDAY($A1310,2)+1)</f>
        <v>0</v>
      </c>
      <c r="BH1310">
        <f>IF($A1310="","",IF($A1309="",1,IF(BG1310&lt;&gt;BG1309,1,0)))</f>
        <v>0</v>
      </c>
      <c r="BI1310">
        <f>IF($A1310="","",IF($A1311="",1,IF(BG1311&lt;&gt;BG1310,1,0)))</f>
        <v>0</v>
      </c>
      <c r="BJ1310">
        <f>IF($A1310="","",IF(BH1310=1,$B1310,BJ1309))</f>
        <v>0</v>
      </c>
      <c r="BK1310">
        <f>IF($A1310="","",IF(BH1310=1,$C1310,MAX($C1310,BK1309)))</f>
        <v>0</v>
      </c>
      <c r="BL1310">
        <f>IF($A1310="","",IF(BH1310=1,$D1310,MIN($D1310,BL1309)))</f>
        <v>0</v>
      </c>
      <c r="BM1310">
        <f>IF($A1310="","",IF(BI1310=1,F1310,""))</f>
        <v>0</v>
      </c>
      <c r="BN1310">
        <f>IF($A1310="","",DATE(YEAR($A1310),MONTH($A1310),1))</f>
        <v>0</v>
      </c>
      <c r="BO1310">
        <f>IF($A1310="","",IF($A1309="",1,IF(BN1310&lt;&gt;BN1309,1,0)))</f>
        <v>0</v>
      </c>
      <c r="BP1310">
        <f>IF($A1310="","",IF($A1311="",1,IF(BN1311&lt;&gt;BN1310,1,0)))</f>
        <v>0</v>
      </c>
      <c r="BQ1310">
        <f>IF($A1310="","",IF(BO1310=1,$B1310,BQ1309))</f>
        <v>0</v>
      </c>
      <c r="BR1310">
        <f>IF($A1310="","",IF(BO1310=1,$C1310,MAX($C1310,BR1309)))</f>
        <v>0</v>
      </c>
      <c r="BS1310">
        <f>IF($A1310="","",IF(BO1310=1,$D1310,MIN($D1310,BS1309)))</f>
        <v>0</v>
      </c>
      <c r="BT1310">
        <f>IF($A1310="","",IF(BP1310=1,F1310,""))</f>
        <v>0</v>
      </c>
    </row>
    <row r="1311" spans="1:72">
      <c r="A1311" s="27">
        <f>IF(Data!$A1311="","",Data!$A1311)</f>
        <v>0</v>
      </c>
      <c r="B1311">
        <f>IF(Data!$B1311="","",Data!$B1311)</f>
        <v>0</v>
      </c>
      <c r="C1311">
        <f>IF(Data!$C1311="","",Data!$C1311)</f>
        <v>0</v>
      </c>
      <c r="D1311">
        <f>IF(Data!$D1311="","",Data!$D1311)</f>
        <v>0</v>
      </c>
      <c r="E1311">
        <f>IF(Data!$E1311="","",Data!$E1311)</f>
        <v>0</v>
      </c>
      <c r="F1311">
        <f>IF($E1311="","",N(F1310)+1)</f>
        <v>0</v>
      </c>
      <c r="G1311">
        <f>IF(OR($E1311="",$E1310=""),"",LN($E1311/$E1310))</f>
        <v>0</v>
      </c>
      <c r="H1311">
        <f>IF($E1311="","",IF($E1310="",$E1311,$E1311*0.0952380952+H1310*0.9047619048))</f>
        <v>0</v>
      </c>
      <c r="I1311">
        <f>IF($E1311="","",IF($E1310="",$E1311,$E1311*0.0392156863+I1310*0.9607843137))</f>
        <v>0</v>
      </c>
      <c r="J1311">
        <f>IF($E1311="","",IF($E1310="",$E1311,$E1311*0.0198019802+J1310*0.9801980198))</f>
        <v>0</v>
      </c>
      <c r="K1311">
        <f>IF($E1311="","",IF($E1310="",$E1311,$E1311*0.0099502488+K1310*0.9900497512))</f>
        <v>0</v>
      </c>
      <c r="L1311">
        <f>IF(OR($E1311="",$E1310=""),"",MAX($E1311-$E1310,0))</f>
        <v>0</v>
      </c>
      <c r="M1311">
        <f>IF(OR($E1311="",$E1310=""),"",MAX($E1310-$E1311,0))</f>
        <v>0</v>
      </c>
      <c r="N1311">
        <f>IF(COUNT($E$2:$E1311)&lt;15,"",IF(AVERAGE($M$1298:$M$1311)=0,100,100-100/(1+AVERAGE($L$1298:$L$1311)/AVERAGE($M$1298:$M$1311))))</f>
        <v>0</v>
      </c>
      <c r="O1311">
        <f>IF($E1311="","",IF($E1310="",$E1311,$E1311*0.1538461538+O1310*0.8461538462))</f>
        <v>0</v>
      </c>
      <c r="P1311">
        <f>IF($E1311="","",IF($E1310="",$E1311,$E1311*0.0740740741+P1310*0.9259259259))</f>
        <v>0</v>
      </c>
      <c r="Q1311">
        <f>IF(OR(O1311="",P1311=""),"",O1311-P1311)</f>
        <v>0</v>
      </c>
      <c r="R1311">
        <f>IF(Q1311="","",IF(R1310="",Q1311,Q1311*0.2000000000+R1310*0.8000000000))</f>
        <v>0</v>
      </c>
      <c r="S1311">
        <f>IF(OR(Q1311="",R1311=""),"",Q1311-R1311)</f>
        <v>0</v>
      </c>
      <c r="T1311">
        <f>IF(COUNT($E$2:$E1311)&lt;14,"",MAX($C$1298:$C$1311))</f>
        <v>0</v>
      </c>
      <c r="U1311">
        <f>IF(COUNT($E$2:$E1311)&lt;14,"",MIN($D$1298:$D$1311))</f>
        <v>0</v>
      </c>
      <c r="V1311">
        <f>IF(OR(T1311="",U1311="",T1311=U1311),"",100*($E1311-U1311)/(T1311-U1311))</f>
        <v>0</v>
      </c>
      <c r="W1311">
        <f>IF(COUNT($V$1309:$V$1311)&lt;3,"",AVERAGE($V$1309:$V$1311))</f>
        <v>0</v>
      </c>
      <c r="X1311">
        <f>IF(COUNT($N$1298:$N$1311)&lt;14,"",MIN($N$1298:$N$1311))</f>
        <v>0</v>
      </c>
      <c r="Y1311">
        <f>IF(COUNT($N$1298:$N$1311)&lt;14,"",MAX($N$1298:$N$1311))</f>
        <v>0</v>
      </c>
      <c r="Z1311">
        <f>IF(OR(N1311="",X1311="",Y1311="",Y1311=X1311),"",100*(N1311-X1311)/(Y1311-X1311))</f>
        <v>0</v>
      </c>
      <c r="AA1311">
        <f>IF(COUNT($Z$1309:$Z$1311)&lt;3,"",AVERAGE($Z$1309:$Z$1311))</f>
        <v>0</v>
      </c>
      <c r="AB1311">
        <f>IF(COUNT($AA$1309:$AA$1311)&lt;3,"",AVERAGE($AA$1309:$AA$1311))</f>
        <v>0</v>
      </c>
      <c r="AC1311">
        <f>IF($E1311="","",MAX($C1311-$D1311,ABS($C1311-$E1310),ABS($D1311-$E1310)))</f>
        <v>0</v>
      </c>
      <c r="AD1311">
        <f>IF(COUNT($E$2:$E1311)&lt;15,"",AVERAGE($AC$1298:$AC$1311))</f>
        <v>0</v>
      </c>
      <c r="AE1311">
        <f>IF(OR($E1311="",$E1310=""),"",IF(AND(($C1311-$C1310)&gt;($D1310-$D1311),($C1311-$C1310)&gt;0),$C1311-$C1310,0))</f>
        <v>0</v>
      </c>
      <c r="AF1311">
        <f>IF(OR($E1311="",$E1310=""),"",IF(AND(($D1310-$D1311)&gt;($C1311-$C1310),($D1310-$D1311)&gt;0),$D1310-$D1311,0))</f>
        <v>0</v>
      </c>
      <c r="AG1311">
        <f>IF(COUNT($E$2:$E1311)&lt;15,"",IF(SUM($AC$1298:$AC$1311)=0,0,100*SUM($AE$1298:$AE$1311)/SUM($AC$1298:$AC$1311)))</f>
        <v>0</v>
      </c>
      <c r="AH1311">
        <f>IF(COUNT($E$2:$E1311)&lt;15,"",IF(SUM($AC$1298:$AC$1311)=0,0,100*SUM($AF$1298:$AF$1311)/SUM($AC$1298:$AC$1311)))</f>
        <v>0</v>
      </c>
      <c r="AI1311">
        <f>IF(OR(AG1311="",AH1311=""),"",IF((AG1311+AH1311)=0,0,100*ABS(AG1311-AH1311)/(AG1311+AH1311)))</f>
        <v>0</v>
      </c>
      <c r="AJ1311">
        <f>IF(COUNT($AI$1298:$AI$1311)&lt;14,"",AVERAGE($AI$1298:$AI$1311))</f>
        <v>0</v>
      </c>
      <c r="AK1311">
        <f>IF(COUNT($E$2:$E1311)&lt;20,"",AVERAGE($E$1292:$E$1311))</f>
        <v>0</v>
      </c>
      <c r="AL1311">
        <f>IF(COUNT($E$2:$E1311)&lt;20,"",STDEVP($E$1292:$E$1311))</f>
        <v>0</v>
      </c>
      <c r="AM1311">
        <f>IF(AK1311="","",AK1311+2*AL1311)</f>
        <v>0</v>
      </c>
      <c r="AN1311">
        <f>IF(AK1311="","",AK1311-2*AL1311)</f>
        <v>0</v>
      </c>
      <c r="AO1311">
        <f>IF(OR(AM1311="",AN1311="",AM1311=AN1311),"",($E1311-AN1311)/(AM1311-AN1311))</f>
        <v>0</v>
      </c>
      <c r="AP1311">
        <f>IF(OR(AM1311="",AK1311="",AK1311=0),"",(AM1311-AN1311)/AK1311)</f>
        <v>0</v>
      </c>
      <c r="AQ1311">
        <f>IF(COUNT($E$2:$E1311)&lt;20,"",MAX($C$1292:$C$1311))</f>
        <v>0</v>
      </c>
      <c r="AR1311">
        <f>IF(COUNT($E$2:$E1311)&lt;20,"",MIN($D$1292:$D$1311))</f>
        <v>0</v>
      </c>
      <c r="AS1311">
        <f>IF(OR(AQ1311="",AR1311=""),"",(AQ1311+AR1311)/2)</f>
        <v>0</v>
      </c>
      <c r="AT1311">
        <f>IF(COUNT($G$1292:$G$1311)&lt;20,"",STDEV($G$1292:$G$1311)*SQRT(252))</f>
        <v>0</v>
      </c>
      <c r="AU1311">
        <f>IF(COUNT($E$2:$E1311)&lt;9,"",(MAX($C$1303:$C$1311)+MIN($D$1303:$D$1311))/2)</f>
        <v>0</v>
      </c>
      <c r="AV1311">
        <f>IF(COUNT($E$2:$E1311)&lt;26,"",(MAX($C$1286:$C$1311)+MIN($D$1286:$D$1311))/2)</f>
        <v>0</v>
      </c>
      <c r="AW1311">
        <f>IF(OR(AU1311="",AV1311=""),"",(AU1311+AV1311)/2)</f>
        <v>0</v>
      </c>
      <c r="AX1311">
        <f>IF(COUNT($E$2:$E1311)&lt;52,"",(MAX($C$1260:$C$1311)+MIN($D$1260:$D$1311))/2)</f>
        <v>0</v>
      </c>
      <c r="AY1311">
        <f>IF(COUNT($E$2:$E1311)&lt;20,"",MAX($C$1212:$C$1311))</f>
        <v>0</v>
      </c>
      <c r="AZ1311">
        <f>IF(COUNT($E$2:$E1311)&lt;20,"",MIN($D$1212:$D$1311))</f>
        <v>0</v>
      </c>
      <c r="BA1311">
        <f>IF(COUNT($E$2:$E1311)&lt;20,"",SLOPE($E$1212:$E$1311,$F$1212:$F$1311))</f>
        <v>0</v>
      </c>
      <c r="BB1311">
        <f>IF(COUNT($E$2:$E1311)&lt;20,"",INTERCEPT($E$1212:$E$1311,$F$1212:$F$1311))</f>
        <v>0</v>
      </c>
      <c r="BC1311">
        <f>IF(OR(BA1311="",BB1311=""),"",BB1311+BA1311*F1311)</f>
        <v>0</v>
      </c>
      <c r="BD1311">
        <f>IF(COUNT($E$2:$E1311)&lt;20,"",STEYX($E$1212:$E$1311,$F$1212:$F$1311))</f>
        <v>0</v>
      </c>
      <c r="BE1311">
        <f>IF($E1311="","",IF(AND(COUNT($E$1312:$E$1315)&gt;=4,$C1311=MAX($C$1307:$C$1315)),$C1311,""))</f>
        <v>0</v>
      </c>
      <c r="BF1311">
        <f>IF($E1311="","",IF(AND(COUNT($E$1312:$E$1315)&gt;=4,$D1311=MIN($D$1307:$D$1315)),$D1311,""))</f>
        <v>0</v>
      </c>
      <c r="BG1311">
        <f>IF($A1311="","",$A1311-WEEKDAY($A1311,2)+1)</f>
        <v>0</v>
      </c>
      <c r="BH1311">
        <f>IF($A1311="","",IF($A1310="",1,IF(BG1311&lt;&gt;BG1310,1,0)))</f>
        <v>0</v>
      </c>
      <c r="BI1311">
        <f>IF($A1311="","",IF($A1312="",1,IF(BG1312&lt;&gt;BG1311,1,0)))</f>
        <v>0</v>
      </c>
      <c r="BJ1311">
        <f>IF($A1311="","",IF(BH1311=1,$B1311,BJ1310))</f>
        <v>0</v>
      </c>
      <c r="BK1311">
        <f>IF($A1311="","",IF(BH1311=1,$C1311,MAX($C1311,BK1310)))</f>
        <v>0</v>
      </c>
      <c r="BL1311">
        <f>IF($A1311="","",IF(BH1311=1,$D1311,MIN($D1311,BL1310)))</f>
        <v>0</v>
      </c>
      <c r="BM1311">
        <f>IF($A1311="","",IF(BI1311=1,F1311,""))</f>
        <v>0</v>
      </c>
      <c r="BN1311">
        <f>IF($A1311="","",DATE(YEAR($A1311),MONTH($A1311),1))</f>
        <v>0</v>
      </c>
      <c r="BO1311">
        <f>IF($A1311="","",IF($A1310="",1,IF(BN1311&lt;&gt;BN1310,1,0)))</f>
        <v>0</v>
      </c>
      <c r="BP1311">
        <f>IF($A1311="","",IF($A1312="",1,IF(BN1312&lt;&gt;BN1311,1,0)))</f>
        <v>0</v>
      </c>
      <c r="BQ1311">
        <f>IF($A1311="","",IF(BO1311=1,$B1311,BQ1310))</f>
        <v>0</v>
      </c>
      <c r="BR1311">
        <f>IF($A1311="","",IF(BO1311=1,$C1311,MAX($C1311,BR1310)))</f>
        <v>0</v>
      </c>
      <c r="BS1311">
        <f>IF($A1311="","",IF(BO1311=1,$D1311,MIN($D1311,BS1310)))</f>
        <v>0</v>
      </c>
      <c r="BT1311">
        <f>IF($A1311="","",IF(BP1311=1,F1311,""))</f>
        <v>0</v>
      </c>
    </row>
    <row r="1312" spans="1:72">
      <c r="A1312" s="27">
        <f>IF(Data!$A1312="","",Data!$A1312)</f>
        <v>0</v>
      </c>
      <c r="B1312">
        <f>IF(Data!$B1312="","",Data!$B1312)</f>
        <v>0</v>
      </c>
      <c r="C1312">
        <f>IF(Data!$C1312="","",Data!$C1312)</f>
        <v>0</v>
      </c>
      <c r="D1312">
        <f>IF(Data!$D1312="","",Data!$D1312)</f>
        <v>0</v>
      </c>
      <c r="E1312">
        <f>IF(Data!$E1312="","",Data!$E1312)</f>
        <v>0</v>
      </c>
      <c r="F1312">
        <f>IF($E1312="","",N(F1311)+1)</f>
        <v>0</v>
      </c>
      <c r="G1312">
        <f>IF(OR($E1312="",$E1311=""),"",LN($E1312/$E1311))</f>
        <v>0</v>
      </c>
      <c r="H1312">
        <f>IF($E1312="","",IF($E1311="",$E1312,$E1312*0.0952380952+H1311*0.9047619048))</f>
        <v>0</v>
      </c>
      <c r="I1312">
        <f>IF($E1312="","",IF($E1311="",$E1312,$E1312*0.0392156863+I1311*0.9607843137))</f>
        <v>0</v>
      </c>
      <c r="J1312">
        <f>IF($E1312="","",IF($E1311="",$E1312,$E1312*0.0198019802+J1311*0.9801980198))</f>
        <v>0</v>
      </c>
      <c r="K1312">
        <f>IF($E1312="","",IF($E1311="",$E1312,$E1312*0.0099502488+K1311*0.9900497512))</f>
        <v>0</v>
      </c>
      <c r="L1312">
        <f>IF(OR($E1312="",$E1311=""),"",MAX($E1312-$E1311,0))</f>
        <v>0</v>
      </c>
      <c r="M1312">
        <f>IF(OR($E1312="",$E1311=""),"",MAX($E1311-$E1312,0))</f>
        <v>0</v>
      </c>
      <c r="N1312">
        <f>IF(COUNT($E$2:$E1312)&lt;15,"",IF(AVERAGE($M$1299:$M$1312)=0,100,100-100/(1+AVERAGE($L$1299:$L$1312)/AVERAGE($M$1299:$M$1312))))</f>
        <v>0</v>
      </c>
      <c r="O1312">
        <f>IF($E1312="","",IF($E1311="",$E1312,$E1312*0.1538461538+O1311*0.8461538462))</f>
        <v>0</v>
      </c>
      <c r="P1312">
        <f>IF($E1312="","",IF($E1311="",$E1312,$E1312*0.0740740741+P1311*0.9259259259))</f>
        <v>0</v>
      </c>
      <c r="Q1312">
        <f>IF(OR(O1312="",P1312=""),"",O1312-P1312)</f>
        <v>0</v>
      </c>
      <c r="R1312">
        <f>IF(Q1312="","",IF(R1311="",Q1312,Q1312*0.2000000000+R1311*0.8000000000))</f>
        <v>0</v>
      </c>
      <c r="S1312">
        <f>IF(OR(Q1312="",R1312=""),"",Q1312-R1312)</f>
        <v>0</v>
      </c>
      <c r="T1312">
        <f>IF(COUNT($E$2:$E1312)&lt;14,"",MAX($C$1299:$C$1312))</f>
        <v>0</v>
      </c>
      <c r="U1312">
        <f>IF(COUNT($E$2:$E1312)&lt;14,"",MIN($D$1299:$D$1312))</f>
        <v>0</v>
      </c>
      <c r="V1312">
        <f>IF(OR(T1312="",U1312="",T1312=U1312),"",100*($E1312-U1312)/(T1312-U1312))</f>
        <v>0</v>
      </c>
      <c r="W1312">
        <f>IF(COUNT($V$1310:$V$1312)&lt;3,"",AVERAGE($V$1310:$V$1312))</f>
        <v>0</v>
      </c>
      <c r="X1312">
        <f>IF(COUNT($N$1299:$N$1312)&lt;14,"",MIN($N$1299:$N$1312))</f>
        <v>0</v>
      </c>
      <c r="Y1312">
        <f>IF(COUNT($N$1299:$N$1312)&lt;14,"",MAX($N$1299:$N$1312))</f>
        <v>0</v>
      </c>
      <c r="Z1312">
        <f>IF(OR(N1312="",X1312="",Y1312="",Y1312=X1312),"",100*(N1312-X1312)/(Y1312-X1312))</f>
        <v>0</v>
      </c>
      <c r="AA1312">
        <f>IF(COUNT($Z$1310:$Z$1312)&lt;3,"",AVERAGE($Z$1310:$Z$1312))</f>
        <v>0</v>
      </c>
      <c r="AB1312">
        <f>IF(COUNT($AA$1310:$AA$1312)&lt;3,"",AVERAGE($AA$1310:$AA$1312))</f>
        <v>0</v>
      </c>
      <c r="AC1312">
        <f>IF($E1312="","",MAX($C1312-$D1312,ABS($C1312-$E1311),ABS($D1312-$E1311)))</f>
        <v>0</v>
      </c>
      <c r="AD1312">
        <f>IF(COUNT($E$2:$E1312)&lt;15,"",AVERAGE($AC$1299:$AC$1312))</f>
        <v>0</v>
      </c>
      <c r="AE1312">
        <f>IF(OR($E1312="",$E1311=""),"",IF(AND(($C1312-$C1311)&gt;($D1311-$D1312),($C1312-$C1311)&gt;0),$C1312-$C1311,0))</f>
        <v>0</v>
      </c>
      <c r="AF1312">
        <f>IF(OR($E1312="",$E1311=""),"",IF(AND(($D1311-$D1312)&gt;($C1312-$C1311),($D1311-$D1312)&gt;0),$D1311-$D1312,0))</f>
        <v>0</v>
      </c>
      <c r="AG1312">
        <f>IF(COUNT($E$2:$E1312)&lt;15,"",IF(SUM($AC$1299:$AC$1312)=0,0,100*SUM($AE$1299:$AE$1312)/SUM($AC$1299:$AC$1312)))</f>
        <v>0</v>
      </c>
      <c r="AH1312">
        <f>IF(COUNT($E$2:$E1312)&lt;15,"",IF(SUM($AC$1299:$AC$1312)=0,0,100*SUM($AF$1299:$AF$1312)/SUM($AC$1299:$AC$1312)))</f>
        <v>0</v>
      </c>
      <c r="AI1312">
        <f>IF(OR(AG1312="",AH1312=""),"",IF((AG1312+AH1312)=0,0,100*ABS(AG1312-AH1312)/(AG1312+AH1312)))</f>
        <v>0</v>
      </c>
      <c r="AJ1312">
        <f>IF(COUNT($AI$1299:$AI$1312)&lt;14,"",AVERAGE($AI$1299:$AI$1312))</f>
        <v>0</v>
      </c>
      <c r="AK1312">
        <f>IF(COUNT($E$2:$E1312)&lt;20,"",AVERAGE($E$1293:$E$1312))</f>
        <v>0</v>
      </c>
      <c r="AL1312">
        <f>IF(COUNT($E$2:$E1312)&lt;20,"",STDEVP($E$1293:$E$1312))</f>
        <v>0</v>
      </c>
      <c r="AM1312">
        <f>IF(AK1312="","",AK1312+2*AL1312)</f>
        <v>0</v>
      </c>
      <c r="AN1312">
        <f>IF(AK1312="","",AK1312-2*AL1312)</f>
        <v>0</v>
      </c>
      <c r="AO1312">
        <f>IF(OR(AM1312="",AN1312="",AM1312=AN1312),"",($E1312-AN1312)/(AM1312-AN1312))</f>
        <v>0</v>
      </c>
      <c r="AP1312">
        <f>IF(OR(AM1312="",AK1312="",AK1312=0),"",(AM1312-AN1312)/AK1312)</f>
        <v>0</v>
      </c>
      <c r="AQ1312">
        <f>IF(COUNT($E$2:$E1312)&lt;20,"",MAX($C$1293:$C$1312))</f>
        <v>0</v>
      </c>
      <c r="AR1312">
        <f>IF(COUNT($E$2:$E1312)&lt;20,"",MIN($D$1293:$D$1312))</f>
        <v>0</v>
      </c>
      <c r="AS1312">
        <f>IF(OR(AQ1312="",AR1312=""),"",(AQ1312+AR1312)/2)</f>
        <v>0</v>
      </c>
      <c r="AT1312">
        <f>IF(COUNT($G$1293:$G$1312)&lt;20,"",STDEV($G$1293:$G$1312)*SQRT(252))</f>
        <v>0</v>
      </c>
      <c r="AU1312">
        <f>IF(COUNT($E$2:$E1312)&lt;9,"",(MAX($C$1304:$C$1312)+MIN($D$1304:$D$1312))/2)</f>
        <v>0</v>
      </c>
      <c r="AV1312">
        <f>IF(COUNT($E$2:$E1312)&lt;26,"",(MAX($C$1287:$C$1312)+MIN($D$1287:$D$1312))/2)</f>
        <v>0</v>
      </c>
      <c r="AW1312">
        <f>IF(OR(AU1312="",AV1312=""),"",(AU1312+AV1312)/2)</f>
        <v>0</v>
      </c>
      <c r="AX1312">
        <f>IF(COUNT($E$2:$E1312)&lt;52,"",(MAX($C$1261:$C$1312)+MIN($D$1261:$D$1312))/2)</f>
        <v>0</v>
      </c>
      <c r="AY1312">
        <f>IF(COUNT($E$2:$E1312)&lt;20,"",MAX($C$1213:$C$1312))</f>
        <v>0</v>
      </c>
      <c r="AZ1312">
        <f>IF(COUNT($E$2:$E1312)&lt;20,"",MIN($D$1213:$D$1312))</f>
        <v>0</v>
      </c>
      <c r="BA1312">
        <f>IF(COUNT($E$2:$E1312)&lt;20,"",SLOPE($E$1213:$E$1312,$F$1213:$F$1312))</f>
        <v>0</v>
      </c>
      <c r="BB1312">
        <f>IF(COUNT($E$2:$E1312)&lt;20,"",INTERCEPT($E$1213:$E$1312,$F$1213:$F$1312))</f>
        <v>0</v>
      </c>
      <c r="BC1312">
        <f>IF(OR(BA1312="",BB1312=""),"",BB1312+BA1312*F1312)</f>
        <v>0</v>
      </c>
      <c r="BD1312">
        <f>IF(COUNT($E$2:$E1312)&lt;20,"",STEYX($E$1213:$E$1312,$F$1213:$F$1312))</f>
        <v>0</v>
      </c>
      <c r="BE1312">
        <f>IF($E1312="","",IF(AND(COUNT($E$1313:$E$1316)&gt;=4,$C1312=MAX($C$1308:$C$1316)),$C1312,""))</f>
        <v>0</v>
      </c>
      <c r="BF1312">
        <f>IF($E1312="","",IF(AND(COUNT($E$1313:$E$1316)&gt;=4,$D1312=MIN($D$1308:$D$1316)),$D1312,""))</f>
        <v>0</v>
      </c>
      <c r="BG1312">
        <f>IF($A1312="","",$A1312-WEEKDAY($A1312,2)+1)</f>
        <v>0</v>
      </c>
      <c r="BH1312">
        <f>IF($A1312="","",IF($A1311="",1,IF(BG1312&lt;&gt;BG1311,1,0)))</f>
        <v>0</v>
      </c>
      <c r="BI1312">
        <f>IF($A1312="","",IF($A1313="",1,IF(BG1313&lt;&gt;BG1312,1,0)))</f>
        <v>0</v>
      </c>
      <c r="BJ1312">
        <f>IF($A1312="","",IF(BH1312=1,$B1312,BJ1311))</f>
        <v>0</v>
      </c>
      <c r="BK1312">
        <f>IF($A1312="","",IF(BH1312=1,$C1312,MAX($C1312,BK1311)))</f>
        <v>0</v>
      </c>
      <c r="BL1312">
        <f>IF($A1312="","",IF(BH1312=1,$D1312,MIN($D1312,BL1311)))</f>
        <v>0</v>
      </c>
      <c r="BM1312">
        <f>IF($A1312="","",IF(BI1312=1,F1312,""))</f>
        <v>0</v>
      </c>
      <c r="BN1312">
        <f>IF($A1312="","",DATE(YEAR($A1312),MONTH($A1312),1))</f>
        <v>0</v>
      </c>
      <c r="BO1312">
        <f>IF($A1312="","",IF($A1311="",1,IF(BN1312&lt;&gt;BN1311,1,0)))</f>
        <v>0</v>
      </c>
      <c r="BP1312">
        <f>IF($A1312="","",IF($A1313="",1,IF(BN1313&lt;&gt;BN1312,1,0)))</f>
        <v>0</v>
      </c>
      <c r="BQ1312">
        <f>IF($A1312="","",IF(BO1312=1,$B1312,BQ1311))</f>
        <v>0</v>
      </c>
      <c r="BR1312">
        <f>IF($A1312="","",IF(BO1312=1,$C1312,MAX($C1312,BR1311)))</f>
        <v>0</v>
      </c>
      <c r="BS1312">
        <f>IF($A1312="","",IF(BO1312=1,$D1312,MIN($D1312,BS1311)))</f>
        <v>0</v>
      </c>
      <c r="BT1312">
        <f>IF($A1312="","",IF(BP1312=1,F1312,""))</f>
        <v>0</v>
      </c>
    </row>
    <row r="1313" spans="1:72">
      <c r="A1313" s="27">
        <f>IF(Data!$A1313="","",Data!$A1313)</f>
        <v>0</v>
      </c>
      <c r="B1313">
        <f>IF(Data!$B1313="","",Data!$B1313)</f>
        <v>0</v>
      </c>
      <c r="C1313">
        <f>IF(Data!$C1313="","",Data!$C1313)</f>
        <v>0</v>
      </c>
      <c r="D1313">
        <f>IF(Data!$D1313="","",Data!$D1313)</f>
        <v>0</v>
      </c>
      <c r="E1313">
        <f>IF(Data!$E1313="","",Data!$E1313)</f>
        <v>0</v>
      </c>
      <c r="F1313">
        <f>IF($E1313="","",N(F1312)+1)</f>
        <v>0</v>
      </c>
      <c r="G1313">
        <f>IF(OR($E1313="",$E1312=""),"",LN($E1313/$E1312))</f>
        <v>0</v>
      </c>
      <c r="H1313">
        <f>IF($E1313="","",IF($E1312="",$E1313,$E1313*0.0952380952+H1312*0.9047619048))</f>
        <v>0</v>
      </c>
      <c r="I1313">
        <f>IF($E1313="","",IF($E1312="",$E1313,$E1313*0.0392156863+I1312*0.9607843137))</f>
        <v>0</v>
      </c>
      <c r="J1313">
        <f>IF($E1313="","",IF($E1312="",$E1313,$E1313*0.0198019802+J1312*0.9801980198))</f>
        <v>0</v>
      </c>
      <c r="K1313">
        <f>IF($E1313="","",IF($E1312="",$E1313,$E1313*0.0099502488+K1312*0.9900497512))</f>
        <v>0</v>
      </c>
      <c r="L1313">
        <f>IF(OR($E1313="",$E1312=""),"",MAX($E1313-$E1312,0))</f>
        <v>0</v>
      </c>
      <c r="M1313">
        <f>IF(OR($E1313="",$E1312=""),"",MAX($E1312-$E1313,0))</f>
        <v>0</v>
      </c>
      <c r="N1313">
        <f>IF(COUNT($E$2:$E1313)&lt;15,"",IF(AVERAGE($M$1300:$M$1313)=0,100,100-100/(1+AVERAGE($L$1300:$L$1313)/AVERAGE($M$1300:$M$1313))))</f>
        <v>0</v>
      </c>
      <c r="O1313">
        <f>IF($E1313="","",IF($E1312="",$E1313,$E1313*0.1538461538+O1312*0.8461538462))</f>
        <v>0</v>
      </c>
      <c r="P1313">
        <f>IF($E1313="","",IF($E1312="",$E1313,$E1313*0.0740740741+P1312*0.9259259259))</f>
        <v>0</v>
      </c>
      <c r="Q1313">
        <f>IF(OR(O1313="",P1313=""),"",O1313-P1313)</f>
        <v>0</v>
      </c>
      <c r="R1313">
        <f>IF(Q1313="","",IF(R1312="",Q1313,Q1313*0.2000000000+R1312*0.8000000000))</f>
        <v>0</v>
      </c>
      <c r="S1313">
        <f>IF(OR(Q1313="",R1313=""),"",Q1313-R1313)</f>
        <v>0</v>
      </c>
      <c r="T1313">
        <f>IF(COUNT($E$2:$E1313)&lt;14,"",MAX($C$1300:$C$1313))</f>
        <v>0</v>
      </c>
      <c r="U1313">
        <f>IF(COUNT($E$2:$E1313)&lt;14,"",MIN($D$1300:$D$1313))</f>
        <v>0</v>
      </c>
      <c r="V1313">
        <f>IF(OR(T1313="",U1313="",T1313=U1313),"",100*($E1313-U1313)/(T1313-U1313))</f>
        <v>0</v>
      </c>
      <c r="W1313">
        <f>IF(COUNT($V$1311:$V$1313)&lt;3,"",AVERAGE($V$1311:$V$1313))</f>
        <v>0</v>
      </c>
      <c r="X1313">
        <f>IF(COUNT($N$1300:$N$1313)&lt;14,"",MIN($N$1300:$N$1313))</f>
        <v>0</v>
      </c>
      <c r="Y1313">
        <f>IF(COUNT($N$1300:$N$1313)&lt;14,"",MAX($N$1300:$N$1313))</f>
        <v>0</v>
      </c>
      <c r="Z1313">
        <f>IF(OR(N1313="",X1313="",Y1313="",Y1313=X1313),"",100*(N1313-X1313)/(Y1313-X1313))</f>
        <v>0</v>
      </c>
      <c r="AA1313">
        <f>IF(COUNT($Z$1311:$Z$1313)&lt;3,"",AVERAGE($Z$1311:$Z$1313))</f>
        <v>0</v>
      </c>
      <c r="AB1313">
        <f>IF(COUNT($AA$1311:$AA$1313)&lt;3,"",AVERAGE($AA$1311:$AA$1313))</f>
        <v>0</v>
      </c>
      <c r="AC1313">
        <f>IF($E1313="","",MAX($C1313-$D1313,ABS($C1313-$E1312),ABS($D1313-$E1312)))</f>
        <v>0</v>
      </c>
      <c r="AD1313">
        <f>IF(COUNT($E$2:$E1313)&lt;15,"",AVERAGE($AC$1300:$AC$1313))</f>
        <v>0</v>
      </c>
      <c r="AE1313">
        <f>IF(OR($E1313="",$E1312=""),"",IF(AND(($C1313-$C1312)&gt;($D1312-$D1313),($C1313-$C1312)&gt;0),$C1313-$C1312,0))</f>
        <v>0</v>
      </c>
      <c r="AF1313">
        <f>IF(OR($E1313="",$E1312=""),"",IF(AND(($D1312-$D1313)&gt;($C1313-$C1312),($D1312-$D1313)&gt;0),$D1312-$D1313,0))</f>
        <v>0</v>
      </c>
      <c r="AG1313">
        <f>IF(COUNT($E$2:$E1313)&lt;15,"",IF(SUM($AC$1300:$AC$1313)=0,0,100*SUM($AE$1300:$AE$1313)/SUM($AC$1300:$AC$1313)))</f>
        <v>0</v>
      </c>
      <c r="AH1313">
        <f>IF(COUNT($E$2:$E1313)&lt;15,"",IF(SUM($AC$1300:$AC$1313)=0,0,100*SUM($AF$1300:$AF$1313)/SUM($AC$1300:$AC$1313)))</f>
        <v>0</v>
      </c>
      <c r="AI1313">
        <f>IF(OR(AG1313="",AH1313=""),"",IF((AG1313+AH1313)=0,0,100*ABS(AG1313-AH1313)/(AG1313+AH1313)))</f>
        <v>0</v>
      </c>
      <c r="AJ1313">
        <f>IF(COUNT($AI$1300:$AI$1313)&lt;14,"",AVERAGE($AI$1300:$AI$1313))</f>
        <v>0</v>
      </c>
      <c r="AK1313">
        <f>IF(COUNT($E$2:$E1313)&lt;20,"",AVERAGE($E$1294:$E$1313))</f>
        <v>0</v>
      </c>
      <c r="AL1313">
        <f>IF(COUNT($E$2:$E1313)&lt;20,"",STDEVP($E$1294:$E$1313))</f>
        <v>0</v>
      </c>
      <c r="AM1313">
        <f>IF(AK1313="","",AK1313+2*AL1313)</f>
        <v>0</v>
      </c>
      <c r="AN1313">
        <f>IF(AK1313="","",AK1313-2*AL1313)</f>
        <v>0</v>
      </c>
      <c r="AO1313">
        <f>IF(OR(AM1313="",AN1313="",AM1313=AN1313),"",($E1313-AN1313)/(AM1313-AN1313))</f>
        <v>0</v>
      </c>
      <c r="AP1313">
        <f>IF(OR(AM1313="",AK1313="",AK1313=0),"",(AM1313-AN1313)/AK1313)</f>
        <v>0</v>
      </c>
      <c r="AQ1313">
        <f>IF(COUNT($E$2:$E1313)&lt;20,"",MAX($C$1294:$C$1313))</f>
        <v>0</v>
      </c>
      <c r="AR1313">
        <f>IF(COUNT($E$2:$E1313)&lt;20,"",MIN($D$1294:$D$1313))</f>
        <v>0</v>
      </c>
      <c r="AS1313">
        <f>IF(OR(AQ1313="",AR1313=""),"",(AQ1313+AR1313)/2)</f>
        <v>0</v>
      </c>
      <c r="AT1313">
        <f>IF(COUNT($G$1294:$G$1313)&lt;20,"",STDEV($G$1294:$G$1313)*SQRT(252))</f>
        <v>0</v>
      </c>
      <c r="AU1313">
        <f>IF(COUNT($E$2:$E1313)&lt;9,"",(MAX($C$1305:$C$1313)+MIN($D$1305:$D$1313))/2)</f>
        <v>0</v>
      </c>
      <c r="AV1313">
        <f>IF(COUNT($E$2:$E1313)&lt;26,"",(MAX($C$1288:$C$1313)+MIN($D$1288:$D$1313))/2)</f>
        <v>0</v>
      </c>
      <c r="AW1313">
        <f>IF(OR(AU1313="",AV1313=""),"",(AU1313+AV1313)/2)</f>
        <v>0</v>
      </c>
      <c r="AX1313">
        <f>IF(COUNT($E$2:$E1313)&lt;52,"",(MAX($C$1262:$C$1313)+MIN($D$1262:$D$1313))/2)</f>
        <v>0</v>
      </c>
      <c r="AY1313">
        <f>IF(COUNT($E$2:$E1313)&lt;20,"",MAX($C$1214:$C$1313))</f>
        <v>0</v>
      </c>
      <c r="AZ1313">
        <f>IF(COUNT($E$2:$E1313)&lt;20,"",MIN($D$1214:$D$1313))</f>
        <v>0</v>
      </c>
      <c r="BA1313">
        <f>IF(COUNT($E$2:$E1313)&lt;20,"",SLOPE($E$1214:$E$1313,$F$1214:$F$1313))</f>
        <v>0</v>
      </c>
      <c r="BB1313">
        <f>IF(COUNT($E$2:$E1313)&lt;20,"",INTERCEPT($E$1214:$E$1313,$F$1214:$F$1313))</f>
        <v>0</v>
      </c>
      <c r="BC1313">
        <f>IF(OR(BA1313="",BB1313=""),"",BB1313+BA1313*F1313)</f>
        <v>0</v>
      </c>
      <c r="BD1313">
        <f>IF(COUNT($E$2:$E1313)&lt;20,"",STEYX($E$1214:$E$1313,$F$1214:$F$1313))</f>
        <v>0</v>
      </c>
      <c r="BE1313">
        <f>IF($E1313="","",IF(AND(COUNT($E$1314:$E$1317)&gt;=4,$C1313=MAX($C$1309:$C$1317)),$C1313,""))</f>
        <v>0</v>
      </c>
      <c r="BF1313">
        <f>IF($E1313="","",IF(AND(COUNT($E$1314:$E$1317)&gt;=4,$D1313=MIN($D$1309:$D$1317)),$D1313,""))</f>
        <v>0</v>
      </c>
      <c r="BG1313">
        <f>IF($A1313="","",$A1313-WEEKDAY($A1313,2)+1)</f>
        <v>0</v>
      </c>
      <c r="BH1313">
        <f>IF($A1313="","",IF($A1312="",1,IF(BG1313&lt;&gt;BG1312,1,0)))</f>
        <v>0</v>
      </c>
      <c r="BI1313">
        <f>IF($A1313="","",IF($A1314="",1,IF(BG1314&lt;&gt;BG1313,1,0)))</f>
        <v>0</v>
      </c>
      <c r="BJ1313">
        <f>IF($A1313="","",IF(BH1313=1,$B1313,BJ1312))</f>
        <v>0</v>
      </c>
      <c r="BK1313">
        <f>IF($A1313="","",IF(BH1313=1,$C1313,MAX($C1313,BK1312)))</f>
        <v>0</v>
      </c>
      <c r="BL1313">
        <f>IF($A1313="","",IF(BH1313=1,$D1313,MIN($D1313,BL1312)))</f>
        <v>0</v>
      </c>
      <c r="BM1313">
        <f>IF($A1313="","",IF(BI1313=1,F1313,""))</f>
        <v>0</v>
      </c>
      <c r="BN1313">
        <f>IF($A1313="","",DATE(YEAR($A1313),MONTH($A1313),1))</f>
        <v>0</v>
      </c>
      <c r="BO1313">
        <f>IF($A1313="","",IF($A1312="",1,IF(BN1313&lt;&gt;BN1312,1,0)))</f>
        <v>0</v>
      </c>
      <c r="BP1313">
        <f>IF($A1313="","",IF($A1314="",1,IF(BN1314&lt;&gt;BN1313,1,0)))</f>
        <v>0</v>
      </c>
      <c r="BQ1313">
        <f>IF($A1313="","",IF(BO1313=1,$B1313,BQ1312))</f>
        <v>0</v>
      </c>
      <c r="BR1313">
        <f>IF($A1313="","",IF(BO1313=1,$C1313,MAX($C1313,BR1312)))</f>
        <v>0</v>
      </c>
      <c r="BS1313">
        <f>IF($A1313="","",IF(BO1313=1,$D1313,MIN($D1313,BS1312)))</f>
        <v>0</v>
      </c>
      <c r="BT1313">
        <f>IF($A1313="","",IF(BP1313=1,F1313,""))</f>
        <v>0</v>
      </c>
    </row>
    <row r="1314" spans="1:72">
      <c r="A1314" s="27">
        <f>IF(Data!$A1314="","",Data!$A1314)</f>
        <v>0</v>
      </c>
      <c r="B1314">
        <f>IF(Data!$B1314="","",Data!$B1314)</f>
        <v>0</v>
      </c>
      <c r="C1314">
        <f>IF(Data!$C1314="","",Data!$C1314)</f>
        <v>0</v>
      </c>
      <c r="D1314">
        <f>IF(Data!$D1314="","",Data!$D1314)</f>
        <v>0</v>
      </c>
      <c r="E1314">
        <f>IF(Data!$E1314="","",Data!$E1314)</f>
        <v>0</v>
      </c>
      <c r="F1314">
        <f>IF($E1314="","",N(F1313)+1)</f>
        <v>0</v>
      </c>
      <c r="G1314">
        <f>IF(OR($E1314="",$E1313=""),"",LN($E1314/$E1313))</f>
        <v>0</v>
      </c>
      <c r="H1314">
        <f>IF($E1314="","",IF($E1313="",$E1314,$E1314*0.0952380952+H1313*0.9047619048))</f>
        <v>0</v>
      </c>
      <c r="I1314">
        <f>IF($E1314="","",IF($E1313="",$E1314,$E1314*0.0392156863+I1313*0.9607843137))</f>
        <v>0</v>
      </c>
      <c r="J1314">
        <f>IF($E1314="","",IF($E1313="",$E1314,$E1314*0.0198019802+J1313*0.9801980198))</f>
        <v>0</v>
      </c>
      <c r="K1314">
        <f>IF($E1314="","",IF($E1313="",$E1314,$E1314*0.0099502488+K1313*0.9900497512))</f>
        <v>0</v>
      </c>
      <c r="L1314">
        <f>IF(OR($E1314="",$E1313=""),"",MAX($E1314-$E1313,0))</f>
        <v>0</v>
      </c>
      <c r="M1314">
        <f>IF(OR($E1314="",$E1313=""),"",MAX($E1313-$E1314,0))</f>
        <v>0</v>
      </c>
      <c r="N1314">
        <f>IF(COUNT($E$2:$E1314)&lt;15,"",IF(AVERAGE($M$1301:$M$1314)=0,100,100-100/(1+AVERAGE($L$1301:$L$1314)/AVERAGE($M$1301:$M$1314))))</f>
        <v>0</v>
      </c>
      <c r="O1314">
        <f>IF($E1314="","",IF($E1313="",$E1314,$E1314*0.1538461538+O1313*0.8461538462))</f>
        <v>0</v>
      </c>
      <c r="P1314">
        <f>IF($E1314="","",IF($E1313="",$E1314,$E1314*0.0740740741+P1313*0.9259259259))</f>
        <v>0</v>
      </c>
      <c r="Q1314">
        <f>IF(OR(O1314="",P1314=""),"",O1314-P1314)</f>
        <v>0</v>
      </c>
      <c r="R1314">
        <f>IF(Q1314="","",IF(R1313="",Q1314,Q1314*0.2000000000+R1313*0.8000000000))</f>
        <v>0</v>
      </c>
      <c r="S1314">
        <f>IF(OR(Q1314="",R1314=""),"",Q1314-R1314)</f>
        <v>0</v>
      </c>
      <c r="T1314">
        <f>IF(COUNT($E$2:$E1314)&lt;14,"",MAX($C$1301:$C$1314))</f>
        <v>0</v>
      </c>
      <c r="U1314">
        <f>IF(COUNT($E$2:$E1314)&lt;14,"",MIN($D$1301:$D$1314))</f>
        <v>0</v>
      </c>
      <c r="V1314">
        <f>IF(OR(T1314="",U1314="",T1314=U1314),"",100*($E1314-U1314)/(T1314-U1314))</f>
        <v>0</v>
      </c>
      <c r="W1314">
        <f>IF(COUNT($V$1312:$V$1314)&lt;3,"",AVERAGE($V$1312:$V$1314))</f>
        <v>0</v>
      </c>
      <c r="X1314">
        <f>IF(COUNT($N$1301:$N$1314)&lt;14,"",MIN($N$1301:$N$1314))</f>
        <v>0</v>
      </c>
      <c r="Y1314">
        <f>IF(COUNT($N$1301:$N$1314)&lt;14,"",MAX($N$1301:$N$1314))</f>
        <v>0</v>
      </c>
      <c r="Z1314">
        <f>IF(OR(N1314="",X1314="",Y1314="",Y1314=X1314),"",100*(N1314-X1314)/(Y1314-X1314))</f>
        <v>0</v>
      </c>
      <c r="AA1314">
        <f>IF(COUNT($Z$1312:$Z$1314)&lt;3,"",AVERAGE($Z$1312:$Z$1314))</f>
        <v>0</v>
      </c>
      <c r="AB1314">
        <f>IF(COUNT($AA$1312:$AA$1314)&lt;3,"",AVERAGE($AA$1312:$AA$1314))</f>
        <v>0</v>
      </c>
      <c r="AC1314">
        <f>IF($E1314="","",MAX($C1314-$D1314,ABS($C1314-$E1313),ABS($D1314-$E1313)))</f>
        <v>0</v>
      </c>
      <c r="AD1314">
        <f>IF(COUNT($E$2:$E1314)&lt;15,"",AVERAGE($AC$1301:$AC$1314))</f>
        <v>0</v>
      </c>
      <c r="AE1314">
        <f>IF(OR($E1314="",$E1313=""),"",IF(AND(($C1314-$C1313)&gt;($D1313-$D1314),($C1314-$C1313)&gt;0),$C1314-$C1313,0))</f>
        <v>0</v>
      </c>
      <c r="AF1314">
        <f>IF(OR($E1314="",$E1313=""),"",IF(AND(($D1313-$D1314)&gt;($C1314-$C1313),($D1313-$D1314)&gt;0),$D1313-$D1314,0))</f>
        <v>0</v>
      </c>
      <c r="AG1314">
        <f>IF(COUNT($E$2:$E1314)&lt;15,"",IF(SUM($AC$1301:$AC$1314)=0,0,100*SUM($AE$1301:$AE$1314)/SUM($AC$1301:$AC$1314)))</f>
        <v>0</v>
      </c>
      <c r="AH1314">
        <f>IF(COUNT($E$2:$E1314)&lt;15,"",IF(SUM($AC$1301:$AC$1314)=0,0,100*SUM($AF$1301:$AF$1314)/SUM($AC$1301:$AC$1314)))</f>
        <v>0</v>
      </c>
      <c r="AI1314">
        <f>IF(OR(AG1314="",AH1314=""),"",IF((AG1314+AH1314)=0,0,100*ABS(AG1314-AH1314)/(AG1314+AH1314)))</f>
        <v>0</v>
      </c>
      <c r="AJ1314">
        <f>IF(COUNT($AI$1301:$AI$1314)&lt;14,"",AVERAGE($AI$1301:$AI$1314))</f>
        <v>0</v>
      </c>
      <c r="AK1314">
        <f>IF(COUNT($E$2:$E1314)&lt;20,"",AVERAGE($E$1295:$E$1314))</f>
        <v>0</v>
      </c>
      <c r="AL1314">
        <f>IF(COUNT($E$2:$E1314)&lt;20,"",STDEVP($E$1295:$E$1314))</f>
        <v>0</v>
      </c>
      <c r="AM1314">
        <f>IF(AK1314="","",AK1314+2*AL1314)</f>
        <v>0</v>
      </c>
      <c r="AN1314">
        <f>IF(AK1314="","",AK1314-2*AL1314)</f>
        <v>0</v>
      </c>
      <c r="AO1314">
        <f>IF(OR(AM1314="",AN1314="",AM1314=AN1314),"",($E1314-AN1314)/(AM1314-AN1314))</f>
        <v>0</v>
      </c>
      <c r="AP1314">
        <f>IF(OR(AM1314="",AK1314="",AK1314=0),"",(AM1314-AN1314)/AK1314)</f>
        <v>0</v>
      </c>
      <c r="AQ1314">
        <f>IF(COUNT($E$2:$E1314)&lt;20,"",MAX($C$1295:$C$1314))</f>
        <v>0</v>
      </c>
      <c r="AR1314">
        <f>IF(COUNT($E$2:$E1314)&lt;20,"",MIN($D$1295:$D$1314))</f>
        <v>0</v>
      </c>
      <c r="AS1314">
        <f>IF(OR(AQ1314="",AR1314=""),"",(AQ1314+AR1314)/2)</f>
        <v>0</v>
      </c>
      <c r="AT1314">
        <f>IF(COUNT($G$1295:$G$1314)&lt;20,"",STDEV($G$1295:$G$1314)*SQRT(252))</f>
        <v>0</v>
      </c>
      <c r="AU1314">
        <f>IF(COUNT($E$2:$E1314)&lt;9,"",(MAX($C$1306:$C$1314)+MIN($D$1306:$D$1314))/2)</f>
        <v>0</v>
      </c>
      <c r="AV1314">
        <f>IF(COUNT($E$2:$E1314)&lt;26,"",(MAX($C$1289:$C$1314)+MIN($D$1289:$D$1314))/2)</f>
        <v>0</v>
      </c>
      <c r="AW1314">
        <f>IF(OR(AU1314="",AV1314=""),"",(AU1314+AV1314)/2)</f>
        <v>0</v>
      </c>
      <c r="AX1314">
        <f>IF(COUNT($E$2:$E1314)&lt;52,"",(MAX($C$1263:$C$1314)+MIN($D$1263:$D$1314))/2)</f>
        <v>0</v>
      </c>
      <c r="AY1314">
        <f>IF(COUNT($E$2:$E1314)&lt;20,"",MAX($C$1215:$C$1314))</f>
        <v>0</v>
      </c>
      <c r="AZ1314">
        <f>IF(COUNT($E$2:$E1314)&lt;20,"",MIN($D$1215:$D$1314))</f>
        <v>0</v>
      </c>
      <c r="BA1314">
        <f>IF(COUNT($E$2:$E1314)&lt;20,"",SLOPE($E$1215:$E$1314,$F$1215:$F$1314))</f>
        <v>0</v>
      </c>
      <c r="BB1314">
        <f>IF(COUNT($E$2:$E1314)&lt;20,"",INTERCEPT($E$1215:$E$1314,$F$1215:$F$1314))</f>
        <v>0</v>
      </c>
      <c r="BC1314">
        <f>IF(OR(BA1314="",BB1314=""),"",BB1314+BA1314*F1314)</f>
        <v>0</v>
      </c>
      <c r="BD1314">
        <f>IF(COUNT($E$2:$E1314)&lt;20,"",STEYX($E$1215:$E$1314,$F$1215:$F$1314))</f>
        <v>0</v>
      </c>
      <c r="BE1314">
        <f>IF($E1314="","",IF(AND(COUNT($E$1315:$E$1318)&gt;=4,$C1314=MAX($C$1310:$C$1318)),$C1314,""))</f>
        <v>0</v>
      </c>
      <c r="BF1314">
        <f>IF($E1314="","",IF(AND(COUNT($E$1315:$E$1318)&gt;=4,$D1314=MIN($D$1310:$D$1318)),$D1314,""))</f>
        <v>0</v>
      </c>
      <c r="BG1314">
        <f>IF($A1314="","",$A1314-WEEKDAY($A1314,2)+1)</f>
        <v>0</v>
      </c>
      <c r="BH1314">
        <f>IF($A1314="","",IF($A1313="",1,IF(BG1314&lt;&gt;BG1313,1,0)))</f>
        <v>0</v>
      </c>
      <c r="BI1314">
        <f>IF($A1314="","",IF($A1315="",1,IF(BG1315&lt;&gt;BG1314,1,0)))</f>
        <v>0</v>
      </c>
      <c r="BJ1314">
        <f>IF($A1314="","",IF(BH1314=1,$B1314,BJ1313))</f>
        <v>0</v>
      </c>
      <c r="BK1314">
        <f>IF($A1314="","",IF(BH1314=1,$C1314,MAX($C1314,BK1313)))</f>
        <v>0</v>
      </c>
      <c r="BL1314">
        <f>IF($A1314="","",IF(BH1314=1,$D1314,MIN($D1314,BL1313)))</f>
        <v>0</v>
      </c>
      <c r="BM1314">
        <f>IF($A1314="","",IF(BI1314=1,F1314,""))</f>
        <v>0</v>
      </c>
      <c r="BN1314">
        <f>IF($A1314="","",DATE(YEAR($A1314),MONTH($A1314),1))</f>
        <v>0</v>
      </c>
      <c r="BO1314">
        <f>IF($A1314="","",IF($A1313="",1,IF(BN1314&lt;&gt;BN1313,1,0)))</f>
        <v>0</v>
      </c>
      <c r="BP1314">
        <f>IF($A1314="","",IF($A1315="",1,IF(BN1315&lt;&gt;BN1314,1,0)))</f>
        <v>0</v>
      </c>
      <c r="BQ1314">
        <f>IF($A1314="","",IF(BO1314=1,$B1314,BQ1313))</f>
        <v>0</v>
      </c>
      <c r="BR1314">
        <f>IF($A1314="","",IF(BO1314=1,$C1314,MAX($C1314,BR1313)))</f>
        <v>0</v>
      </c>
      <c r="BS1314">
        <f>IF($A1314="","",IF(BO1314=1,$D1314,MIN($D1314,BS1313)))</f>
        <v>0</v>
      </c>
      <c r="BT1314">
        <f>IF($A1314="","",IF(BP1314=1,F1314,""))</f>
        <v>0</v>
      </c>
    </row>
    <row r="1315" spans="1:72">
      <c r="A1315" s="27">
        <f>IF(Data!$A1315="","",Data!$A1315)</f>
        <v>0</v>
      </c>
      <c r="B1315">
        <f>IF(Data!$B1315="","",Data!$B1315)</f>
        <v>0</v>
      </c>
      <c r="C1315">
        <f>IF(Data!$C1315="","",Data!$C1315)</f>
        <v>0</v>
      </c>
      <c r="D1315">
        <f>IF(Data!$D1315="","",Data!$D1315)</f>
        <v>0</v>
      </c>
      <c r="E1315">
        <f>IF(Data!$E1315="","",Data!$E1315)</f>
        <v>0</v>
      </c>
      <c r="F1315">
        <f>IF($E1315="","",N(F1314)+1)</f>
        <v>0</v>
      </c>
      <c r="G1315">
        <f>IF(OR($E1315="",$E1314=""),"",LN($E1315/$E1314))</f>
        <v>0</v>
      </c>
      <c r="H1315">
        <f>IF($E1315="","",IF($E1314="",$E1315,$E1315*0.0952380952+H1314*0.9047619048))</f>
        <v>0</v>
      </c>
      <c r="I1315">
        <f>IF($E1315="","",IF($E1314="",$E1315,$E1315*0.0392156863+I1314*0.9607843137))</f>
        <v>0</v>
      </c>
      <c r="J1315">
        <f>IF($E1315="","",IF($E1314="",$E1315,$E1315*0.0198019802+J1314*0.9801980198))</f>
        <v>0</v>
      </c>
      <c r="K1315">
        <f>IF($E1315="","",IF($E1314="",$E1315,$E1315*0.0099502488+K1314*0.9900497512))</f>
        <v>0</v>
      </c>
      <c r="L1315">
        <f>IF(OR($E1315="",$E1314=""),"",MAX($E1315-$E1314,0))</f>
        <v>0</v>
      </c>
      <c r="M1315">
        <f>IF(OR($E1315="",$E1314=""),"",MAX($E1314-$E1315,0))</f>
        <v>0</v>
      </c>
      <c r="N1315">
        <f>IF(COUNT($E$2:$E1315)&lt;15,"",IF(AVERAGE($M$1302:$M$1315)=0,100,100-100/(1+AVERAGE($L$1302:$L$1315)/AVERAGE($M$1302:$M$1315))))</f>
        <v>0</v>
      </c>
      <c r="O1315">
        <f>IF($E1315="","",IF($E1314="",$E1315,$E1315*0.1538461538+O1314*0.8461538462))</f>
        <v>0</v>
      </c>
      <c r="P1315">
        <f>IF($E1315="","",IF($E1314="",$E1315,$E1315*0.0740740741+P1314*0.9259259259))</f>
        <v>0</v>
      </c>
      <c r="Q1315">
        <f>IF(OR(O1315="",P1315=""),"",O1315-P1315)</f>
        <v>0</v>
      </c>
      <c r="R1315">
        <f>IF(Q1315="","",IF(R1314="",Q1315,Q1315*0.2000000000+R1314*0.8000000000))</f>
        <v>0</v>
      </c>
      <c r="S1315">
        <f>IF(OR(Q1315="",R1315=""),"",Q1315-R1315)</f>
        <v>0</v>
      </c>
      <c r="T1315">
        <f>IF(COUNT($E$2:$E1315)&lt;14,"",MAX($C$1302:$C$1315))</f>
        <v>0</v>
      </c>
      <c r="U1315">
        <f>IF(COUNT($E$2:$E1315)&lt;14,"",MIN($D$1302:$D$1315))</f>
        <v>0</v>
      </c>
      <c r="V1315">
        <f>IF(OR(T1315="",U1315="",T1315=U1315),"",100*($E1315-U1315)/(T1315-U1315))</f>
        <v>0</v>
      </c>
      <c r="W1315">
        <f>IF(COUNT($V$1313:$V$1315)&lt;3,"",AVERAGE($V$1313:$V$1315))</f>
        <v>0</v>
      </c>
      <c r="X1315">
        <f>IF(COUNT($N$1302:$N$1315)&lt;14,"",MIN($N$1302:$N$1315))</f>
        <v>0</v>
      </c>
      <c r="Y1315">
        <f>IF(COUNT($N$1302:$N$1315)&lt;14,"",MAX($N$1302:$N$1315))</f>
        <v>0</v>
      </c>
      <c r="Z1315">
        <f>IF(OR(N1315="",X1315="",Y1315="",Y1315=X1315),"",100*(N1315-X1315)/(Y1315-X1315))</f>
        <v>0</v>
      </c>
      <c r="AA1315">
        <f>IF(COUNT($Z$1313:$Z$1315)&lt;3,"",AVERAGE($Z$1313:$Z$1315))</f>
        <v>0</v>
      </c>
      <c r="AB1315">
        <f>IF(COUNT($AA$1313:$AA$1315)&lt;3,"",AVERAGE($AA$1313:$AA$1315))</f>
        <v>0</v>
      </c>
      <c r="AC1315">
        <f>IF($E1315="","",MAX($C1315-$D1315,ABS($C1315-$E1314),ABS($D1315-$E1314)))</f>
        <v>0</v>
      </c>
      <c r="AD1315">
        <f>IF(COUNT($E$2:$E1315)&lt;15,"",AVERAGE($AC$1302:$AC$1315))</f>
        <v>0</v>
      </c>
      <c r="AE1315">
        <f>IF(OR($E1315="",$E1314=""),"",IF(AND(($C1315-$C1314)&gt;($D1314-$D1315),($C1315-$C1314)&gt;0),$C1315-$C1314,0))</f>
        <v>0</v>
      </c>
      <c r="AF1315">
        <f>IF(OR($E1315="",$E1314=""),"",IF(AND(($D1314-$D1315)&gt;($C1315-$C1314),($D1314-$D1315)&gt;0),$D1314-$D1315,0))</f>
        <v>0</v>
      </c>
      <c r="AG1315">
        <f>IF(COUNT($E$2:$E1315)&lt;15,"",IF(SUM($AC$1302:$AC$1315)=0,0,100*SUM($AE$1302:$AE$1315)/SUM($AC$1302:$AC$1315)))</f>
        <v>0</v>
      </c>
      <c r="AH1315">
        <f>IF(COUNT($E$2:$E1315)&lt;15,"",IF(SUM($AC$1302:$AC$1315)=0,0,100*SUM($AF$1302:$AF$1315)/SUM($AC$1302:$AC$1315)))</f>
        <v>0</v>
      </c>
      <c r="AI1315">
        <f>IF(OR(AG1315="",AH1315=""),"",IF((AG1315+AH1315)=0,0,100*ABS(AG1315-AH1315)/(AG1315+AH1315)))</f>
        <v>0</v>
      </c>
      <c r="AJ1315">
        <f>IF(COUNT($AI$1302:$AI$1315)&lt;14,"",AVERAGE($AI$1302:$AI$1315))</f>
        <v>0</v>
      </c>
      <c r="AK1315">
        <f>IF(COUNT($E$2:$E1315)&lt;20,"",AVERAGE($E$1296:$E$1315))</f>
        <v>0</v>
      </c>
      <c r="AL1315">
        <f>IF(COUNT($E$2:$E1315)&lt;20,"",STDEVP($E$1296:$E$1315))</f>
        <v>0</v>
      </c>
      <c r="AM1315">
        <f>IF(AK1315="","",AK1315+2*AL1315)</f>
        <v>0</v>
      </c>
      <c r="AN1315">
        <f>IF(AK1315="","",AK1315-2*AL1315)</f>
        <v>0</v>
      </c>
      <c r="AO1315">
        <f>IF(OR(AM1315="",AN1315="",AM1315=AN1315),"",($E1315-AN1315)/(AM1315-AN1315))</f>
        <v>0</v>
      </c>
      <c r="AP1315">
        <f>IF(OR(AM1315="",AK1315="",AK1315=0),"",(AM1315-AN1315)/AK1315)</f>
        <v>0</v>
      </c>
      <c r="AQ1315">
        <f>IF(COUNT($E$2:$E1315)&lt;20,"",MAX($C$1296:$C$1315))</f>
        <v>0</v>
      </c>
      <c r="AR1315">
        <f>IF(COUNT($E$2:$E1315)&lt;20,"",MIN($D$1296:$D$1315))</f>
        <v>0</v>
      </c>
      <c r="AS1315">
        <f>IF(OR(AQ1315="",AR1315=""),"",(AQ1315+AR1315)/2)</f>
        <v>0</v>
      </c>
      <c r="AT1315">
        <f>IF(COUNT($G$1296:$G$1315)&lt;20,"",STDEV($G$1296:$G$1315)*SQRT(252))</f>
        <v>0</v>
      </c>
      <c r="AU1315">
        <f>IF(COUNT($E$2:$E1315)&lt;9,"",(MAX($C$1307:$C$1315)+MIN($D$1307:$D$1315))/2)</f>
        <v>0</v>
      </c>
      <c r="AV1315">
        <f>IF(COUNT($E$2:$E1315)&lt;26,"",(MAX($C$1290:$C$1315)+MIN($D$1290:$D$1315))/2)</f>
        <v>0</v>
      </c>
      <c r="AW1315">
        <f>IF(OR(AU1315="",AV1315=""),"",(AU1315+AV1315)/2)</f>
        <v>0</v>
      </c>
      <c r="AX1315">
        <f>IF(COUNT($E$2:$E1315)&lt;52,"",(MAX($C$1264:$C$1315)+MIN($D$1264:$D$1315))/2)</f>
        <v>0</v>
      </c>
      <c r="AY1315">
        <f>IF(COUNT($E$2:$E1315)&lt;20,"",MAX($C$1216:$C$1315))</f>
        <v>0</v>
      </c>
      <c r="AZ1315">
        <f>IF(COUNT($E$2:$E1315)&lt;20,"",MIN($D$1216:$D$1315))</f>
        <v>0</v>
      </c>
      <c r="BA1315">
        <f>IF(COUNT($E$2:$E1315)&lt;20,"",SLOPE($E$1216:$E$1315,$F$1216:$F$1315))</f>
        <v>0</v>
      </c>
      <c r="BB1315">
        <f>IF(COUNT($E$2:$E1315)&lt;20,"",INTERCEPT($E$1216:$E$1315,$F$1216:$F$1315))</f>
        <v>0</v>
      </c>
      <c r="BC1315">
        <f>IF(OR(BA1315="",BB1315=""),"",BB1315+BA1315*F1315)</f>
        <v>0</v>
      </c>
      <c r="BD1315">
        <f>IF(COUNT($E$2:$E1315)&lt;20,"",STEYX($E$1216:$E$1315,$F$1216:$F$1315))</f>
        <v>0</v>
      </c>
      <c r="BE1315">
        <f>IF($E1315="","",IF(AND(COUNT($E$1316:$E$1319)&gt;=4,$C1315=MAX($C$1311:$C$1319)),$C1315,""))</f>
        <v>0</v>
      </c>
      <c r="BF1315">
        <f>IF($E1315="","",IF(AND(COUNT($E$1316:$E$1319)&gt;=4,$D1315=MIN($D$1311:$D$1319)),$D1315,""))</f>
        <v>0</v>
      </c>
      <c r="BG1315">
        <f>IF($A1315="","",$A1315-WEEKDAY($A1315,2)+1)</f>
        <v>0</v>
      </c>
      <c r="BH1315">
        <f>IF($A1315="","",IF($A1314="",1,IF(BG1315&lt;&gt;BG1314,1,0)))</f>
        <v>0</v>
      </c>
      <c r="BI1315">
        <f>IF($A1315="","",IF($A1316="",1,IF(BG1316&lt;&gt;BG1315,1,0)))</f>
        <v>0</v>
      </c>
      <c r="BJ1315">
        <f>IF($A1315="","",IF(BH1315=1,$B1315,BJ1314))</f>
        <v>0</v>
      </c>
      <c r="BK1315">
        <f>IF($A1315="","",IF(BH1315=1,$C1315,MAX($C1315,BK1314)))</f>
        <v>0</v>
      </c>
      <c r="BL1315">
        <f>IF($A1315="","",IF(BH1315=1,$D1315,MIN($D1315,BL1314)))</f>
        <v>0</v>
      </c>
      <c r="BM1315">
        <f>IF($A1315="","",IF(BI1315=1,F1315,""))</f>
        <v>0</v>
      </c>
      <c r="BN1315">
        <f>IF($A1315="","",DATE(YEAR($A1315),MONTH($A1315),1))</f>
        <v>0</v>
      </c>
      <c r="BO1315">
        <f>IF($A1315="","",IF($A1314="",1,IF(BN1315&lt;&gt;BN1314,1,0)))</f>
        <v>0</v>
      </c>
      <c r="BP1315">
        <f>IF($A1315="","",IF($A1316="",1,IF(BN1316&lt;&gt;BN1315,1,0)))</f>
        <v>0</v>
      </c>
      <c r="BQ1315">
        <f>IF($A1315="","",IF(BO1315=1,$B1315,BQ1314))</f>
        <v>0</v>
      </c>
      <c r="BR1315">
        <f>IF($A1315="","",IF(BO1315=1,$C1315,MAX($C1315,BR1314)))</f>
        <v>0</v>
      </c>
      <c r="BS1315">
        <f>IF($A1315="","",IF(BO1315=1,$D1315,MIN($D1315,BS1314)))</f>
        <v>0</v>
      </c>
      <c r="BT1315">
        <f>IF($A1315="","",IF(BP1315=1,F1315,""))</f>
        <v>0</v>
      </c>
    </row>
    <row r="1316" spans="1:72">
      <c r="A1316" s="27">
        <f>IF(Data!$A1316="","",Data!$A1316)</f>
        <v>0</v>
      </c>
      <c r="B1316">
        <f>IF(Data!$B1316="","",Data!$B1316)</f>
        <v>0</v>
      </c>
      <c r="C1316">
        <f>IF(Data!$C1316="","",Data!$C1316)</f>
        <v>0</v>
      </c>
      <c r="D1316">
        <f>IF(Data!$D1316="","",Data!$D1316)</f>
        <v>0</v>
      </c>
      <c r="E1316">
        <f>IF(Data!$E1316="","",Data!$E1316)</f>
        <v>0</v>
      </c>
      <c r="F1316">
        <f>IF($E1316="","",N(F1315)+1)</f>
        <v>0</v>
      </c>
      <c r="G1316">
        <f>IF(OR($E1316="",$E1315=""),"",LN($E1316/$E1315))</f>
        <v>0</v>
      </c>
      <c r="H1316">
        <f>IF($E1316="","",IF($E1315="",$E1316,$E1316*0.0952380952+H1315*0.9047619048))</f>
        <v>0</v>
      </c>
      <c r="I1316">
        <f>IF($E1316="","",IF($E1315="",$E1316,$E1316*0.0392156863+I1315*0.9607843137))</f>
        <v>0</v>
      </c>
      <c r="J1316">
        <f>IF($E1316="","",IF($E1315="",$E1316,$E1316*0.0198019802+J1315*0.9801980198))</f>
        <v>0</v>
      </c>
      <c r="K1316">
        <f>IF($E1316="","",IF($E1315="",$E1316,$E1316*0.0099502488+K1315*0.9900497512))</f>
        <v>0</v>
      </c>
      <c r="L1316">
        <f>IF(OR($E1316="",$E1315=""),"",MAX($E1316-$E1315,0))</f>
        <v>0</v>
      </c>
      <c r="M1316">
        <f>IF(OR($E1316="",$E1315=""),"",MAX($E1315-$E1316,0))</f>
        <v>0</v>
      </c>
      <c r="N1316">
        <f>IF(COUNT($E$2:$E1316)&lt;15,"",IF(AVERAGE($M$1303:$M$1316)=0,100,100-100/(1+AVERAGE($L$1303:$L$1316)/AVERAGE($M$1303:$M$1316))))</f>
        <v>0</v>
      </c>
      <c r="O1316">
        <f>IF($E1316="","",IF($E1315="",$E1316,$E1316*0.1538461538+O1315*0.8461538462))</f>
        <v>0</v>
      </c>
      <c r="P1316">
        <f>IF($E1316="","",IF($E1315="",$E1316,$E1316*0.0740740741+P1315*0.9259259259))</f>
        <v>0</v>
      </c>
      <c r="Q1316">
        <f>IF(OR(O1316="",P1316=""),"",O1316-P1316)</f>
        <v>0</v>
      </c>
      <c r="R1316">
        <f>IF(Q1316="","",IF(R1315="",Q1316,Q1316*0.2000000000+R1315*0.8000000000))</f>
        <v>0</v>
      </c>
      <c r="S1316">
        <f>IF(OR(Q1316="",R1316=""),"",Q1316-R1316)</f>
        <v>0</v>
      </c>
      <c r="T1316">
        <f>IF(COUNT($E$2:$E1316)&lt;14,"",MAX($C$1303:$C$1316))</f>
        <v>0</v>
      </c>
      <c r="U1316">
        <f>IF(COUNT($E$2:$E1316)&lt;14,"",MIN($D$1303:$D$1316))</f>
        <v>0</v>
      </c>
      <c r="V1316">
        <f>IF(OR(T1316="",U1316="",T1316=U1316),"",100*($E1316-U1316)/(T1316-U1316))</f>
        <v>0</v>
      </c>
      <c r="W1316">
        <f>IF(COUNT($V$1314:$V$1316)&lt;3,"",AVERAGE($V$1314:$V$1316))</f>
        <v>0</v>
      </c>
      <c r="X1316">
        <f>IF(COUNT($N$1303:$N$1316)&lt;14,"",MIN($N$1303:$N$1316))</f>
        <v>0</v>
      </c>
      <c r="Y1316">
        <f>IF(COUNT($N$1303:$N$1316)&lt;14,"",MAX($N$1303:$N$1316))</f>
        <v>0</v>
      </c>
      <c r="Z1316">
        <f>IF(OR(N1316="",X1316="",Y1316="",Y1316=X1316),"",100*(N1316-X1316)/(Y1316-X1316))</f>
        <v>0</v>
      </c>
      <c r="AA1316">
        <f>IF(COUNT($Z$1314:$Z$1316)&lt;3,"",AVERAGE($Z$1314:$Z$1316))</f>
        <v>0</v>
      </c>
      <c r="AB1316">
        <f>IF(COUNT($AA$1314:$AA$1316)&lt;3,"",AVERAGE($AA$1314:$AA$1316))</f>
        <v>0</v>
      </c>
      <c r="AC1316">
        <f>IF($E1316="","",MAX($C1316-$D1316,ABS($C1316-$E1315),ABS($D1316-$E1315)))</f>
        <v>0</v>
      </c>
      <c r="AD1316">
        <f>IF(COUNT($E$2:$E1316)&lt;15,"",AVERAGE($AC$1303:$AC$1316))</f>
        <v>0</v>
      </c>
      <c r="AE1316">
        <f>IF(OR($E1316="",$E1315=""),"",IF(AND(($C1316-$C1315)&gt;($D1315-$D1316),($C1316-$C1315)&gt;0),$C1316-$C1315,0))</f>
        <v>0</v>
      </c>
      <c r="AF1316">
        <f>IF(OR($E1316="",$E1315=""),"",IF(AND(($D1315-$D1316)&gt;($C1316-$C1315),($D1315-$D1316)&gt;0),$D1315-$D1316,0))</f>
        <v>0</v>
      </c>
      <c r="AG1316">
        <f>IF(COUNT($E$2:$E1316)&lt;15,"",IF(SUM($AC$1303:$AC$1316)=0,0,100*SUM($AE$1303:$AE$1316)/SUM($AC$1303:$AC$1316)))</f>
        <v>0</v>
      </c>
      <c r="AH1316">
        <f>IF(COUNT($E$2:$E1316)&lt;15,"",IF(SUM($AC$1303:$AC$1316)=0,0,100*SUM($AF$1303:$AF$1316)/SUM($AC$1303:$AC$1316)))</f>
        <v>0</v>
      </c>
      <c r="AI1316">
        <f>IF(OR(AG1316="",AH1316=""),"",IF((AG1316+AH1316)=0,0,100*ABS(AG1316-AH1316)/(AG1316+AH1316)))</f>
        <v>0</v>
      </c>
      <c r="AJ1316">
        <f>IF(COUNT($AI$1303:$AI$1316)&lt;14,"",AVERAGE($AI$1303:$AI$1316))</f>
        <v>0</v>
      </c>
      <c r="AK1316">
        <f>IF(COUNT($E$2:$E1316)&lt;20,"",AVERAGE($E$1297:$E$1316))</f>
        <v>0</v>
      </c>
      <c r="AL1316">
        <f>IF(COUNT($E$2:$E1316)&lt;20,"",STDEVP($E$1297:$E$1316))</f>
        <v>0</v>
      </c>
      <c r="AM1316">
        <f>IF(AK1316="","",AK1316+2*AL1316)</f>
        <v>0</v>
      </c>
      <c r="AN1316">
        <f>IF(AK1316="","",AK1316-2*AL1316)</f>
        <v>0</v>
      </c>
      <c r="AO1316">
        <f>IF(OR(AM1316="",AN1316="",AM1316=AN1316),"",($E1316-AN1316)/(AM1316-AN1316))</f>
        <v>0</v>
      </c>
      <c r="AP1316">
        <f>IF(OR(AM1316="",AK1316="",AK1316=0),"",(AM1316-AN1316)/AK1316)</f>
        <v>0</v>
      </c>
      <c r="AQ1316">
        <f>IF(COUNT($E$2:$E1316)&lt;20,"",MAX($C$1297:$C$1316))</f>
        <v>0</v>
      </c>
      <c r="AR1316">
        <f>IF(COUNT($E$2:$E1316)&lt;20,"",MIN($D$1297:$D$1316))</f>
        <v>0</v>
      </c>
      <c r="AS1316">
        <f>IF(OR(AQ1316="",AR1316=""),"",(AQ1316+AR1316)/2)</f>
        <v>0</v>
      </c>
      <c r="AT1316">
        <f>IF(COUNT($G$1297:$G$1316)&lt;20,"",STDEV($G$1297:$G$1316)*SQRT(252))</f>
        <v>0</v>
      </c>
      <c r="AU1316">
        <f>IF(COUNT($E$2:$E1316)&lt;9,"",(MAX($C$1308:$C$1316)+MIN($D$1308:$D$1316))/2)</f>
        <v>0</v>
      </c>
      <c r="AV1316">
        <f>IF(COUNT($E$2:$E1316)&lt;26,"",(MAX($C$1291:$C$1316)+MIN($D$1291:$D$1316))/2)</f>
        <v>0</v>
      </c>
      <c r="AW1316">
        <f>IF(OR(AU1316="",AV1316=""),"",(AU1316+AV1316)/2)</f>
        <v>0</v>
      </c>
      <c r="AX1316">
        <f>IF(COUNT($E$2:$E1316)&lt;52,"",(MAX($C$1265:$C$1316)+MIN($D$1265:$D$1316))/2)</f>
        <v>0</v>
      </c>
      <c r="AY1316">
        <f>IF(COUNT($E$2:$E1316)&lt;20,"",MAX($C$1217:$C$1316))</f>
        <v>0</v>
      </c>
      <c r="AZ1316">
        <f>IF(COUNT($E$2:$E1316)&lt;20,"",MIN($D$1217:$D$1316))</f>
        <v>0</v>
      </c>
      <c r="BA1316">
        <f>IF(COUNT($E$2:$E1316)&lt;20,"",SLOPE($E$1217:$E$1316,$F$1217:$F$1316))</f>
        <v>0</v>
      </c>
      <c r="BB1316">
        <f>IF(COUNT($E$2:$E1316)&lt;20,"",INTERCEPT($E$1217:$E$1316,$F$1217:$F$1316))</f>
        <v>0</v>
      </c>
      <c r="BC1316">
        <f>IF(OR(BA1316="",BB1316=""),"",BB1316+BA1316*F1316)</f>
        <v>0</v>
      </c>
      <c r="BD1316">
        <f>IF(COUNT($E$2:$E1316)&lt;20,"",STEYX($E$1217:$E$1316,$F$1217:$F$1316))</f>
        <v>0</v>
      </c>
      <c r="BE1316">
        <f>IF($E1316="","",IF(AND(COUNT($E$1317:$E$1320)&gt;=4,$C1316=MAX($C$1312:$C$1320)),$C1316,""))</f>
        <v>0</v>
      </c>
      <c r="BF1316">
        <f>IF($E1316="","",IF(AND(COUNT($E$1317:$E$1320)&gt;=4,$D1316=MIN($D$1312:$D$1320)),$D1316,""))</f>
        <v>0</v>
      </c>
      <c r="BG1316">
        <f>IF($A1316="","",$A1316-WEEKDAY($A1316,2)+1)</f>
        <v>0</v>
      </c>
      <c r="BH1316">
        <f>IF($A1316="","",IF($A1315="",1,IF(BG1316&lt;&gt;BG1315,1,0)))</f>
        <v>0</v>
      </c>
      <c r="BI1316">
        <f>IF($A1316="","",IF($A1317="",1,IF(BG1317&lt;&gt;BG1316,1,0)))</f>
        <v>0</v>
      </c>
      <c r="BJ1316">
        <f>IF($A1316="","",IF(BH1316=1,$B1316,BJ1315))</f>
        <v>0</v>
      </c>
      <c r="BK1316">
        <f>IF($A1316="","",IF(BH1316=1,$C1316,MAX($C1316,BK1315)))</f>
        <v>0</v>
      </c>
      <c r="BL1316">
        <f>IF($A1316="","",IF(BH1316=1,$D1316,MIN($D1316,BL1315)))</f>
        <v>0</v>
      </c>
      <c r="BM1316">
        <f>IF($A1316="","",IF(BI1316=1,F1316,""))</f>
        <v>0</v>
      </c>
      <c r="BN1316">
        <f>IF($A1316="","",DATE(YEAR($A1316),MONTH($A1316),1))</f>
        <v>0</v>
      </c>
      <c r="BO1316">
        <f>IF($A1316="","",IF($A1315="",1,IF(BN1316&lt;&gt;BN1315,1,0)))</f>
        <v>0</v>
      </c>
      <c r="BP1316">
        <f>IF($A1316="","",IF($A1317="",1,IF(BN1317&lt;&gt;BN1316,1,0)))</f>
        <v>0</v>
      </c>
      <c r="BQ1316">
        <f>IF($A1316="","",IF(BO1316=1,$B1316,BQ1315))</f>
        <v>0</v>
      </c>
      <c r="BR1316">
        <f>IF($A1316="","",IF(BO1316=1,$C1316,MAX($C1316,BR1315)))</f>
        <v>0</v>
      </c>
      <c r="BS1316">
        <f>IF($A1316="","",IF(BO1316=1,$D1316,MIN($D1316,BS1315)))</f>
        <v>0</v>
      </c>
      <c r="BT1316">
        <f>IF($A1316="","",IF(BP1316=1,F1316,""))</f>
        <v>0</v>
      </c>
    </row>
    <row r="1317" spans="1:72">
      <c r="A1317" s="27">
        <f>IF(Data!$A1317="","",Data!$A1317)</f>
        <v>0</v>
      </c>
      <c r="B1317">
        <f>IF(Data!$B1317="","",Data!$B1317)</f>
        <v>0</v>
      </c>
      <c r="C1317">
        <f>IF(Data!$C1317="","",Data!$C1317)</f>
        <v>0</v>
      </c>
      <c r="D1317">
        <f>IF(Data!$D1317="","",Data!$D1317)</f>
        <v>0</v>
      </c>
      <c r="E1317">
        <f>IF(Data!$E1317="","",Data!$E1317)</f>
        <v>0</v>
      </c>
      <c r="F1317">
        <f>IF($E1317="","",N(F1316)+1)</f>
        <v>0</v>
      </c>
      <c r="G1317">
        <f>IF(OR($E1317="",$E1316=""),"",LN($E1317/$E1316))</f>
        <v>0</v>
      </c>
      <c r="H1317">
        <f>IF($E1317="","",IF($E1316="",$E1317,$E1317*0.0952380952+H1316*0.9047619048))</f>
        <v>0</v>
      </c>
      <c r="I1317">
        <f>IF($E1317="","",IF($E1316="",$E1317,$E1317*0.0392156863+I1316*0.9607843137))</f>
        <v>0</v>
      </c>
      <c r="J1317">
        <f>IF($E1317="","",IF($E1316="",$E1317,$E1317*0.0198019802+J1316*0.9801980198))</f>
        <v>0</v>
      </c>
      <c r="K1317">
        <f>IF($E1317="","",IF($E1316="",$E1317,$E1317*0.0099502488+K1316*0.9900497512))</f>
        <v>0</v>
      </c>
      <c r="L1317">
        <f>IF(OR($E1317="",$E1316=""),"",MAX($E1317-$E1316,0))</f>
        <v>0</v>
      </c>
      <c r="M1317">
        <f>IF(OR($E1317="",$E1316=""),"",MAX($E1316-$E1317,0))</f>
        <v>0</v>
      </c>
      <c r="N1317">
        <f>IF(COUNT($E$2:$E1317)&lt;15,"",IF(AVERAGE($M$1304:$M$1317)=0,100,100-100/(1+AVERAGE($L$1304:$L$1317)/AVERAGE($M$1304:$M$1317))))</f>
        <v>0</v>
      </c>
      <c r="O1317">
        <f>IF($E1317="","",IF($E1316="",$E1317,$E1317*0.1538461538+O1316*0.8461538462))</f>
        <v>0</v>
      </c>
      <c r="P1317">
        <f>IF($E1317="","",IF($E1316="",$E1317,$E1317*0.0740740741+P1316*0.9259259259))</f>
        <v>0</v>
      </c>
      <c r="Q1317">
        <f>IF(OR(O1317="",P1317=""),"",O1317-P1317)</f>
        <v>0</v>
      </c>
      <c r="R1317">
        <f>IF(Q1317="","",IF(R1316="",Q1317,Q1317*0.2000000000+R1316*0.8000000000))</f>
        <v>0</v>
      </c>
      <c r="S1317">
        <f>IF(OR(Q1317="",R1317=""),"",Q1317-R1317)</f>
        <v>0</v>
      </c>
      <c r="T1317">
        <f>IF(COUNT($E$2:$E1317)&lt;14,"",MAX($C$1304:$C$1317))</f>
        <v>0</v>
      </c>
      <c r="U1317">
        <f>IF(COUNT($E$2:$E1317)&lt;14,"",MIN($D$1304:$D$1317))</f>
        <v>0</v>
      </c>
      <c r="V1317">
        <f>IF(OR(T1317="",U1317="",T1317=U1317),"",100*($E1317-U1317)/(T1317-U1317))</f>
        <v>0</v>
      </c>
      <c r="W1317">
        <f>IF(COUNT($V$1315:$V$1317)&lt;3,"",AVERAGE($V$1315:$V$1317))</f>
        <v>0</v>
      </c>
      <c r="X1317">
        <f>IF(COUNT($N$1304:$N$1317)&lt;14,"",MIN($N$1304:$N$1317))</f>
        <v>0</v>
      </c>
      <c r="Y1317">
        <f>IF(COUNT($N$1304:$N$1317)&lt;14,"",MAX($N$1304:$N$1317))</f>
        <v>0</v>
      </c>
      <c r="Z1317">
        <f>IF(OR(N1317="",X1317="",Y1317="",Y1317=X1317),"",100*(N1317-X1317)/(Y1317-X1317))</f>
        <v>0</v>
      </c>
      <c r="AA1317">
        <f>IF(COUNT($Z$1315:$Z$1317)&lt;3,"",AVERAGE($Z$1315:$Z$1317))</f>
        <v>0</v>
      </c>
      <c r="AB1317">
        <f>IF(COUNT($AA$1315:$AA$1317)&lt;3,"",AVERAGE($AA$1315:$AA$1317))</f>
        <v>0</v>
      </c>
      <c r="AC1317">
        <f>IF($E1317="","",MAX($C1317-$D1317,ABS($C1317-$E1316),ABS($D1317-$E1316)))</f>
        <v>0</v>
      </c>
      <c r="AD1317">
        <f>IF(COUNT($E$2:$E1317)&lt;15,"",AVERAGE($AC$1304:$AC$1317))</f>
        <v>0</v>
      </c>
      <c r="AE1317">
        <f>IF(OR($E1317="",$E1316=""),"",IF(AND(($C1317-$C1316)&gt;($D1316-$D1317),($C1317-$C1316)&gt;0),$C1317-$C1316,0))</f>
        <v>0</v>
      </c>
      <c r="AF1317">
        <f>IF(OR($E1317="",$E1316=""),"",IF(AND(($D1316-$D1317)&gt;($C1317-$C1316),($D1316-$D1317)&gt;0),$D1316-$D1317,0))</f>
        <v>0</v>
      </c>
      <c r="AG1317">
        <f>IF(COUNT($E$2:$E1317)&lt;15,"",IF(SUM($AC$1304:$AC$1317)=0,0,100*SUM($AE$1304:$AE$1317)/SUM($AC$1304:$AC$1317)))</f>
        <v>0</v>
      </c>
      <c r="AH1317">
        <f>IF(COUNT($E$2:$E1317)&lt;15,"",IF(SUM($AC$1304:$AC$1317)=0,0,100*SUM($AF$1304:$AF$1317)/SUM($AC$1304:$AC$1317)))</f>
        <v>0</v>
      </c>
      <c r="AI1317">
        <f>IF(OR(AG1317="",AH1317=""),"",IF((AG1317+AH1317)=0,0,100*ABS(AG1317-AH1317)/(AG1317+AH1317)))</f>
        <v>0</v>
      </c>
      <c r="AJ1317">
        <f>IF(COUNT($AI$1304:$AI$1317)&lt;14,"",AVERAGE($AI$1304:$AI$1317))</f>
        <v>0</v>
      </c>
      <c r="AK1317">
        <f>IF(COUNT($E$2:$E1317)&lt;20,"",AVERAGE($E$1298:$E$1317))</f>
        <v>0</v>
      </c>
      <c r="AL1317">
        <f>IF(COUNT($E$2:$E1317)&lt;20,"",STDEVP($E$1298:$E$1317))</f>
        <v>0</v>
      </c>
      <c r="AM1317">
        <f>IF(AK1317="","",AK1317+2*AL1317)</f>
        <v>0</v>
      </c>
      <c r="AN1317">
        <f>IF(AK1317="","",AK1317-2*AL1317)</f>
        <v>0</v>
      </c>
      <c r="AO1317">
        <f>IF(OR(AM1317="",AN1317="",AM1317=AN1317),"",($E1317-AN1317)/(AM1317-AN1317))</f>
        <v>0</v>
      </c>
      <c r="AP1317">
        <f>IF(OR(AM1317="",AK1317="",AK1317=0),"",(AM1317-AN1317)/AK1317)</f>
        <v>0</v>
      </c>
      <c r="AQ1317">
        <f>IF(COUNT($E$2:$E1317)&lt;20,"",MAX($C$1298:$C$1317))</f>
        <v>0</v>
      </c>
      <c r="AR1317">
        <f>IF(COUNT($E$2:$E1317)&lt;20,"",MIN($D$1298:$D$1317))</f>
        <v>0</v>
      </c>
      <c r="AS1317">
        <f>IF(OR(AQ1317="",AR1317=""),"",(AQ1317+AR1317)/2)</f>
        <v>0</v>
      </c>
      <c r="AT1317">
        <f>IF(COUNT($G$1298:$G$1317)&lt;20,"",STDEV($G$1298:$G$1317)*SQRT(252))</f>
        <v>0</v>
      </c>
      <c r="AU1317">
        <f>IF(COUNT($E$2:$E1317)&lt;9,"",(MAX($C$1309:$C$1317)+MIN($D$1309:$D$1317))/2)</f>
        <v>0</v>
      </c>
      <c r="AV1317">
        <f>IF(COUNT($E$2:$E1317)&lt;26,"",(MAX($C$1292:$C$1317)+MIN($D$1292:$D$1317))/2)</f>
        <v>0</v>
      </c>
      <c r="AW1317">
        <f>IF(OR(AU1317="",AV1317=""),"",(AU1317+AV1317)/2)</f>
        <v>0</v>
      </c>
      <c r="AX1317">
        <f>IF(COUNT($E$2:$E1317)&lt;52,"",(MAX($C$1266:$C$1317)+MIN($D$1266:$D$1317))/2)</f>
        <v>0</v>
      </c>
      <c r="AY1317">
        <f>IF(COUNT($E$2:$E1317)&lt;20,"",MAX($C$1218:$C$1317))</f>
        <v>0</v>
      </c>
      <c r="AZ1317">
        <f>IF(COUNT($E$2:$E1317)&lt;20,"",MIN($D$1218:$D$1317))</f>
        <v>0</v>
      </c>
      <c r="BA1317">
        <f>IF(COUNT($E$2:$E1317)&lt;20,"",SLOPE($E$1218:$E$1317,$F$1218:$F$1317))</f>
        <v>0</v>
      </c>
      <c r="BB1317">
        <f>IF(COUNT($E$2:$E1317)&lt;20,"",INTERCEPT($E$1218:$E$1317,$F$1218:$F$1317))</f>
        <v>0</v>
      </c>
      <c r="BC1317">
        <f>IF(OR(BA1317="",BB1317=""),"",BB1317+BA1317*F1317)</f>
        <v>0</v>
      </c>
      <c r="BD1317">
        <f>IF(COUNT($E$2:$E1317)&lt;20,"",STEYX($E$1218:$E$1317,$F$1218:$F$1317))</f>
        <v>0</v>
      </c>
      <c r="BE1317">
        <f>IF($E1317="","",IF(AND(COUNT($E$1318:$E$1321)&gt;=4,$C1317=MAX($C$1313:$C$1321)),$C1317,""))</f>
        <v>0</v>
      </c>
      <c r="BF1317">
        <f>IF($E1317="","",IF(AND(COUNT($E$1318:$E$1321)&gt;=4,$D1317=MIN($D$1313:$D$1321)),$D1317,""))</f>
        <v>0</v>
      </c>
      <c r="BG1317">
        <f>IF($A1317="","",$A1317-WEEKDAY($A1317,2)+1)</f>
        <v>0</v>
      </c>
      <c r="BH1317">
        <f>IF($A1317="","",IF($A1316="",1,IF(BG1317&lt;&gt;BG1316,1,0)))</f>
        <v>0</v>
      </c>
      <c r="BI1317">
        <f>IF($A1317="","",IF($A1318="",1,IF(BG1318&lt;&gt;BG1317,1,0)))</f>
        <v>0</v>
      </c>
      <c r="BJ1317">
        <f>IF($A1317="","",IF(BH1317=1,$B1317,BJ1316))</f>
        <v>0</v>
      </c>
      <c r="BK1317">
        <f>IF($A1317="","",IF(BH1317=1,$C1317,MAX($C1317,BK1316)))</f>
        <v>0</v>
      </c>
      <c r="BL1317">
        <f>IF($A1317="","",IF(BH1317=1,$D1317,MIN($D1317,BL1316)))</f>
        <v>0</v>
      </c>
      <c r="BM1317">
        <f>IF($A1317="","",IF(BI1317=1,F1317,""))</f>
        <v>0</v>
      </c>
      <c r="BN1317">
        <f>IF($A1317="","",DATE(YEAR($A1317),MONTH($A1317),1))</f>
        <v>0</v>
      </c>
      <c r="BO1317">
        <f>IF($A1317="","",IF($A1316="",1,IF(BN1317&lt;&gt;BN1316,1,0)))</f>
        <v>0</v>
      </c>
      <c r="BP1317">
        <f>IF($A1317="","",IF($A1318="",1,IF(BN1318&lt;&gt;BN1317,1,0)))</f>
        <v>0</v>
      </c>
      <c r="BQ1317">
        <f>IF($A1317="","",IF(BO1317=1,$B1317,BQ1316))</f>
        <v>0</v>
      </c>
      <c r="BR1317">
        <f>IF($A1317="","",IF(BO1317=1,$C1317,MAX($C1317,BR1316)))</f>
        <v>0</v>
      </c>
      <c r="BS1317">
        <f>IF($A1317="","",IF(BO1317=1,$D1317,MIN($D1317,BS1316)))</f>
        <v>0</v>
      </c>
      <c r="BT1317">
        <f>IF($A1317="","",IF(BP1317=1,F1317,""))</f>
        <v>0</v>
      </c>
    </row>
    <row r="1318" spans="1:72">
      <c r="A1318" s="27">
        <f>IF(Data!$A1318="","",Data!$A1318)</f>
        <v>0</v>
      </c>
      <c r="B1318">
        <f>IF(Data!$B1318="","",Data!$B1318)</f>
        <v>0</v>
      </c>
      <c r="C1318">
        <f>IF(Data!$C1318="","",Data!$C1318)</f>
        <v>0</v>
      </c>
      <c r="D1318">
        <f>IF(Data!$D1318="","",Data!$D1318)</f>
        <v>0</v>
      </c>
      <c r="E1318">
        <f>IF(Data!$E1318="","",Data!$E1318)</f>
        <v>0</v>
      </c>
      <c r="F1318">
        <f>IF($E1318="","",N(F1317)+1)</f>
        <v>0</v>
      </c>
      <c r="G1318">
        <f>IF(OR($E1318="",$E1317=""),"",LN($E1318/$E1317))</f>
        <v>0</v>
      </c>
      <c r="H1318">
        <f>IF($E1318="","",IF($E1317="",$E1318,$E1318*0.0952380952+H1317*0.9047619048))</f>
        <v>0</v>
      </c>
      <c r="I1318">
        <f>IF($E1318="","",IF($E1317="",$E1318,$E1318*0.0392156863+I1317*0.9607843137))</f>
        <v>0</v>
      </c>
      <c r="J1318">
        <f>IF($E1318="","",IF($E1317="",$E1318,$E1318*0.0198019802+J1317*0.9801980198))</f>
        <v>0</v>
      </c>
      <c r="K1318">
        <f>IF($E1318="","",IF($E1317="",$E1318,$E1318*0.0099502488+K1317*0.9900497512))</f>
        <v>0</v>
      </c>
      <c r="L1318">
        <f>IF(OR($E1318="",$E1317=""),"",MAX($E1318-$E1317,0))</f>
        <v>0</v>
      </c>
      <c r="M1318">
        <f>IF(OR($E1318="",$E1317=""),"",MAX($E1317-$E1318,0))</f>
        <v>0</v>
      </c>
      <c r="N1318">
        <f>IF(COUNT($E$2:$E1318)&lt;15,"",IF(AVERAGE($M$1305:$M$1318)=0,100,100-100/(1+AVERAGE($L$1305:$L$1318)/AVERAGE($M$1305:$M$1318))))</f>
        <v>0</v>
      </c>
      <c r="O1318">
        <f>IF($E1318="","",IF($E1317="",$E1318,$E1318*0.1538461538+O1317*0.8461538462))</f>
        <v>0</v>
      </c>
      <c r="P1318">
        <f>IF($E1318="","",IF($E1317="",$E1318,$E1318*0.0740740741+P1317*0.9259259259))</f>
        <v>0</v>
      </c>
      <c r="Q1318">
        <f>IF(OR(O1318="",P1318=""),"",O1318-P1318)</f>
        <v>0</v>
      </c>
      <c r="R1318">
        <f>IF(Q1318="","",IF(R1317="",Q1318,Q1318*0.2000000000+R1317*0.8000000000))</f>
        <v>0</v>
      </c>
      <c r="S1318">
        <f>IF(OR(Q1318="",R1318=""),"",Q1318-R1318)</f>
        <v>0</v>
      </c>
      <c r="T1318">
        <f>IF(COUNT($E$2:$E1318)&lt;14,"",MAX($C$1305:$C$1318))</f>
        <v>0</v>
      </c>
      <c r="U1318">
        <f>IF(COUNT($E$2:$E1318)&lt;14,"",MIN($D$1305:$D$1318))</f>
        <v>0</v>
      </c>
      <c r="V1318">
        <f>IF(OR(T1318="",U1318="",T1318=U1318),"",100*($E1318-U1318)/(T1318-U1318))</f>
        <v>0</v>
      </c>
      <c r="W1318">
        <f>IF(COUNT($V$1316:$V$1318)&lt;3,"",AVERAGE($V$1316:$V$1318))</f>
        <v>0</v>
      </c>
      <c r="X1318">
        <f>IF(COUNT($N$1305:$N$1318)&lt;14,"",MIN($N$1305:$N$1318))</f>
        <v>0</v>
      </c>
      <c r="Y1318">
        <f>IF(COUNT($N$1305:$N$1318)&lt;14,"",MAX($N$1305:$N$1318))</f>
        <v>0</v>
      </c>
      <c r="Z1318">
        <f>IF(OR(N1318="",X1318="",Y1318="",Y1318=X1318),"",100*(N1318-X1318)/(Y1318-X1318))</f>
        <v>0</v>
      </c>
      <c r="AA1318">
        <f>IF(COUNT($Z$1316:$Z$1318)&lt;3,"",AVERAGE($Z$1316:$Z$1318))</f>
        <v>0</v>
      </c>
      <c r="AB1318">
        <f>IF(COUNT($AA$1316:$AA$1318)&lt;3,"",AVERAGE($AA$1316:$AA$1318))</f>
        <v>0</v>
      </c>
      <c r="AC1318">
        <f>IF($E1318="","",MAX($C1318-$D1318,ABS($C1318-$E1317),ABS($D1318-$E1317)))</f>
        <v>0</v>
      </c>
      <c r="AD1318">
        <f>IF(COUNT($E$2:$E1318)&lt;15,"",AVERAGE($AC$1305:$AC$1318))</f>
        <v>0</v>
      </c>
      <c r="AE1318">
        <f>IF(OR($E1318="",$E1317=""),"",IF(AND(($C1318-$C1317)&gt;($D1317-$D1318),($C1318-$C1317)&gt;0),$C1318-$C1317,0))</f>
        <v>0</v>
      </c>
      <c r="AF1318">
        <f>IF(OR($E1318="",$E1317=""),"",IF(AND(($D1317-$D1318)&gt;($C1318-$C1317),($D1317-$D1318)&gt;0),$D1317-$D1318,0))</f>
        <v>0</v>
      </c>
      <c r="AG1318">
        <f>IF(COUNT($E$2:$E1318)&lt;15,"",IF(SUM($AC$1305:$AC$1318)=0,0,100*SUM($AE$1305:$AE$1318)/SUM($AC$1305:$AC$1318)))</f>
        <v>0</v>
      </c>
      <c r="AH1318">
        <f>IF(COUNT($E$2:$E1318)&lt;15,"",IF(SUM($AC$1305:$AC$1318)=0,0,100*SUM($AF$1305:$AF$1318)/SUM($AC$1305:$AC$1318)))</f>
        <v>0</v>
      </c>
      <c r="AI1318">
        <f>IF(OR(AG1318="",AH1318=""),"",IF((AG1318+AH1318)=0,0,100*ABS(AG1318-AH1318)/(AG1318+AH1318)))</f>
        <v>0</v>
      </c>
      <c r="AJ1318">
        <f>IF(COUNT($AI$1305:$AI$1318)&lt;14,"",AVERAGE($AI$1305:$AI$1318))</f>
        <v>0</v>
      </c>
      <c r="AK1318">
        <f>IF(COUNT($E$2:$E1318)&lt;20,"",AVERAGE($E$1299:$E$1318))</f>
        <v>0</v>
      </c>
      <c r="AL1318">
        <f>IF(COUNT($E$2:$E1318)&lt;20,"",STDEVP($E$1299:$E$1318))</f>
        <v>0</v>
      </c>
      <c r="AM1318">
        <f>IF(AK1318="","",AK1318+2*AL1318)</f>
        <v>0</v>
      </c>
      <c r="AN1318">
        <f>IF(AK1318="","",AK1318-2*AL1318)</f>
        <v>0</v>
      </c>
      <c r="AO1318">
        <f>IF(OR(AM1318="",AN1318="",AM1318=AN1318),"",($E1318-AN1318)/(AM1318-AN1318))</f>
        <v>0</v>
      </c>
      <c r="AP1318">
        <f>IF(OR(AM1318="",AK1318="",AK1318=0),"",(AM1318-AN1318)/AK1318)</f>
        <v>0</v>
      </c>
      <c r="AQ1318">
        <f>IF(COUNT($E$2:$E1318)&lt;20,"",MAX($C$1299:$C$1318))</f>
        <v>0</v>
      </c>
      <c r="AR1318">
        <f>IF(COUNT($E$2:$E1318)&lt;20,"",MIN($D$1299:$D$1318))</f>
        <v>0</v>
      </c>
      <c r="AS1318">
        <f>IF(OR(AQ1318="",AR1318=""),"",(AQ1318+AR1318)/2)</f>
        <v>0</v>
      </c>
      <c r="AT1318">
        <f>IF(COUNT($G$1299:$G$1318)&lt;20,"",STDEV($G$1299:$G$1318)*SQRT(252))</f>
        <v>0</v>
      </c>
      <c r="AU1318">
        <f>IF(COUNT($E$2:$E1318)&lt;9,"",(MAX($C$1310:$C$1318)+MIN($D$1310:$D$1318))/2)</f>
        <v>0</v>
      </c>
      <c r="AV1318">
        <f>IF(COUNT($E$2:$E1318)&lt;26,"",(MAX($C$1293:$C$1318)+MIN($D$1293:$D$1318))/2)</f>
        <v>0</v>
      </c>
      <c r="AW1318">
        <f>IF(OR(AU1318="",AV1318=""),"",(AU1318+AV1318)/2)</f>
        <v>0</v>
      </c>
      <c r="AX1318">
        <f>IF(COUNT($E$2:$E1318)&lt;52,"",(MAX($C$1267:$C$1318)+MIN($D$1267:$D$1318))/2)</f>
        <v>0</v>
      </c>
      <c r="AY1318">
        <f>IF(COUNT($E$2:$E1318)&lt;20,"",MAX($C$1219:$C$1318))</f>
        <v>0</v>
      </c>
      <c r="AZ1318">
        <f>IF(COUNT($E$2:$E1318)&lt;20,"",MIN($D$1219:$D$1318))</f>
        <v>0</v>
      </c>
      <c r="BA1318">
        <f>IF(COUNT($E$2:$E1318)&lt;20,"",SLOPE($E$1219:$E$1318,$F$1219:$F$1318))</f>
        <v>0</v>
      </c>
      <c r="BB1318">
        <f>IF(COUNT($E$2:$E1318)&lt;20,"",INTERCEPT($E$1219:$E$1318,$F$1219:$F$1318))</f>
        <v>0</v>
      </c>
      <c r="BC1318">
        <f>IF(OR(BA1318="",BB1318=""),"",BB1318+BA1318*F1318)</f>
        <v>0</v>
      </c>
      <c r="BD1318">
        <f>IF(COUNT($E$2:$E1318)&lt;20,"",STEYX($E$1219:$E$1318,$F$1219:$F$1318))</f>
        <v>0</v>
      </c>
      <c r="BE1318">
        <f>IF($E1318="","",IF(AND(COUNT($E$1319:$E$1322)&gt;=4,$C1318=MAX($C$1314:$C$1322)),$C1318,""))</f>
        <v>0</v>
      </c>
      <c r="BF1318">
        <f>IF($E1318="","",IF(AND(COUNT($E$1319:$E$1322)&gt;=4,$D1318=MIN($D$1314:$D$1322)),$D1318,""))</f>
        <v>0</v>
      </c>
      <c r="BG1318">
        <f>IF($A1318="","",$A1318-WEEKDAY($A1318,2)+1)</f>
        <v>0</v>
      </c>
      <c r="BH1318">
        <f>IF($A1318="","",IF($A1317="",1,IF(BG1318&lt;&gt;BG1317,1,0)))</f>
        <v>0</v>
      </c>
      <c r="BI1318">
        <f>IF($A1318="","",IF($A1319="",1,IF(BG1319&lt;&gt;BG1318,1,0)))</f>
        <v>0</v>
      </c>
      <c r="BJ1318">
        <f>IF($A1318="","",IF(BH1318=1,$B1318,BJ1317))</f>
        <v>0</v>
      </c>
      <c r="BK1318">
        <f>IF($A1318="","",IF(BH1318=1,$C1318,MAX($C1318,BK1317)))</f>
        <v>0</v>
      </c>
      <c r="BL1318">
        <f>IF($A1318="","",IF(BH1318=1,$D1318,MIN($D1318,BL1317)))</f>
        <v>0</v>
      </c>
      <c r="BM1318">
        <f>IF($A1318="","",IF(BI1318=1,F1318,""))</f>
        <v>0</v>
      </c>
      <c r="BN1318">
        <f>IF($A1318="","",DATE(YEAR($A1318),MONTH($A1318),1))</f>
        <v>0</v>
      </c>
      <c r="BO1318">
        <f>IF($A1318="","",IF($A1317="",1,IF(BN1318&lt;&gt;BN1317,1,0)))</f>
        <v>0</v>
      </c>
      <c r="BP1318">
        <f>IF($A1318="","",IF($A1319="",1,IF(BN1319&lt;&gt;BN1318,1,0)))</f>
        <v>0</v>
      </c>
      <c r="BQ1318">
        <f>IF($A1318="","",IF(BO1318=1,$B1318,BQ1317))</f>
        <v>0</v>
      </c>
      <c r="BR1318">
        <f>IF($A1318="","",IF(BO1318=1,$C1318,MAX($C1318,BR1317)))</f>
        <v>0</v>
      </c>
      <c r="BS1318">
        <f>IF($A1318="","",IF(BO1318=1,$D1318,MIN($D1318,BS1317)))</f>
        <v>0</v>
      </c>
      <c r="BT1318">
        <f>IF($A1318="","",IF(BP1318=1,F1318,""))</f>
        <v>0</v>
      </c>
    </row>
    <row r="1319" spans="1:72">
      <c r="A1319" s="27">
        <f>IF(Data!$A1319="","",Data!$A1319)</f>
        <v>0</v>
      </c>
      <c r="B1319">
        <f>IF(Data!$B1319="","",Data!$B1319)</f>
        <v>0</v>
      </c>
      <c r="C1319">
        <f>IF(Data!$C1319="","",Data!$C1319)</f>
        <v>0</v>
      </c>
      <c r="D1319">
        <f>IF(Data!$D1319="","",Data!$D1319)</f>
        <v>0</v>
      </c>
      <c r="E1319">
        <f>IF(Data!$E1319="","",Data!$E1319)</f>
        <v>0</v>
      </c>
      <c r="F1319">
        <f>IF($E1319="","",N(F1318)+1)</f>
        <v>0</v>
      </c>
      <c r="G1319">
        <f>IF(OR($E1319="",$E1318=""),"",LN($E1319/$E1318))</f>
        <v>0</v>
      </c>
      <c r="H1319">
        <f>IF($E1319="","",IF($E1318="",$E1319,$E1319*0.0952380952+H1318*0.9047619048))</f>
        <v>0</v>
      </c>
      <c r="I1319">
        <f>IF($E1319="","",IF($E1318="",$E1319,$E1319*0.0392156863+I1318*0.9607843137))</f>
        <v>0</v>
      </c>
      <c r="J1319">
        <f>IF($E1319="","",IF($E1318="",$E1319,$E1319*0.0198019802+J1318*0.9801980198))</f>
        <v>0</v>
      </c>
      <c r="K1319">
        <f>IF($E1319="","",IF($E1318="",$E1319,$E1319*0.0099502488+K1318*0.9900497512))</f>
        <v>0</v>
      </c>
      <c r="L1319">
        <f>IF(OR($E1319="",$E1318=""),"",MAX($E1319-$E1318,0))</f>
        <v>0</v>
      </c>
      <c r="M1319">
        <f>IF(OR($E1319="",$E1318=""),"",MAX($E1318-$E1319,0))</f>
        <v>0</v>
      </c>
      <c r="N1319">
        <f>IF(COUNT($E$2:$E1319)&lt;15,"",IF(AVERAGE($M$1306:$M$1319)=0,100,100-100/(1+AVERAGE($L$1306:$L$1319)/AVERAGE($M$1306:$M$1319))))</f>
        <v>0</v>
      </c>
      <c r="O1319">
        <f>IF($E1319="","",IF($E1318="",$E1319,$E1319*0.1538461538+O1318*0.8461538462))</f>
        <v>0</v>
      </c>
      <c r="P1319">
        <f>IF($E1319="","",IF($E1318="",$E1319,$E1319*0.0740740741+P1318*0.9259259259))</f>
        <v>0</v>
      </c>
      <c r="Q1319">
        <f>IF(OR(O1319="",P1319=""),"",O1319-P1319)</f>
        <v>0</v>
      </c>
      <c r="R1319">
        <f>IF(Q1319="","",IF(R1318="",Q1319,Q1319*0.2000000000+R1318*0.8000000000))</f>
        <v>0</v>
      </c>
      <c r="S1319">
        <f>IF(OR(Q1319="",R1319=""),"",Q1319-R1319)</f>
        <v>0</v>
      </c>
      <c r="T1319">
        <f>IF(COUNT($E$2:$E1319)&lt;14,"",MAX($C$1306:$C$1319))</f>
        <v>0</v>
      </c>
      <c r="U1319">
        <f>IF(COUNT($E$2:$E1319)&lt;14,"",MIN($D$1306:$D$1319))</f>
        <v>0</v>
      </c>
      <c r="V1319">
        <f>IF(OR(T1319="",U1319="",T1319=U1319),"",100*($E1319-U1319)/(T1319-U1319))</f>
        <v>0</v>
      </c>
      <c r="W1319">
        <f>IF(COUNT($V$1317:$V$1319)&lt;3,"",AVERAGE($V$1317:$V$1319))</f>
        <v>0</v>
      </c>
      <c r="X1319">
        <f>IF(COUNT($N$1306:$N$1319)&lt;14,"",MIN($N$1306:$N$1319))</f>
        <v>0</v>
      </c>
      <c r="Y1319">
        <f>IF(COUNT($N$1306:$N$1319)&lt;14,"",MAX($N$1306:$N$1319))</f>
        <v>0</v>
      </c>
      <c r="Z1319">
        <f>IF(OR(N1319="",X1319="",Y1319="",Y1319=X1319),"",100*(N1319-X1319)/(Y1319-X1319))</f>
        <v>0</v>
      </c>
      <c r="AA1319">
        <f>IF(COUNT($Z$1317:$Z$1319)&lt;3,"",AVERAGE($Z$1317:$Z$1319))</f>
        <v>0</v>
      </c>
      <c r="AB1319">
        <f>IF(COUNT($AA$1317:$AA$1319)&lt;3,"",AVERAGE($AA$1317:$AA$1319))</f>
        <v>0</v>
      </c>
      <c r="AC1319">
        <f>IF($E1319="","",MAX($C1319-$D1319,ABS($C1319-$E1318),ABS($D1319-$E1318)))</f>
        <v>0</v>
      </c>
      <c r="AD1319">
        <f>IF(COUNT($E$2:$E1319)&lt;15,"",AVERAGE($AC$1306:$AC$1319))</f>
        <v>0</v>
      </c>
      <c r="AE1319">
        <f>IF(OR($E1319="",$E1318=""),"",IF(AND(($C1319-$C1318)&gt;($D1318-$D1319),($C1319-$C1318)&gt;0),$C1319-$C1318,0))</f>
        <v>0</v>
      </c>
      <c r="AF1319">
        <f>IF(OR($E1319="",$E1318=""),"",IF(AND(($D1318-$D1319)&gt;($C1319-$C1318),($D1318-$D1319)&gt;0),$D1318-$D1319,0))</f>
        <v>0</v>
      </c>
      <c r="AG1319">
        <f>IF(COUNT($E$2:$E1319)&lt;15,"",IF(SUM($AC$1306:$AC$1319)=0,0,100*SUM($AE$1306:$AE$1319)/SUM($AC$1306:$AC$1319)))</f>
        <v>0</v>
      </c>
      <c r="AH1319">
        <f>IF(COUNT($E$2:$E1319)&lt;15,"",IF(SUM($AC$1306:$AC$1319)=0,0,100*SUM($AF$1306:$AF$1319)/SUM($AC$1306:$AC$1319)))</f>
        <v>0</v>
      </c>
      <c r="AI1319">
        <f>IF(OR(AG1319="",AH1319=""),"",IF((AG1319+AH1319)=0,0,100*ABS(AG1319-AH1319)/(AG1319+AH1319)))</f>
        <v>0</v>
      </c>
      <c r="AJ1319">
        <f>IF(COUNT($AI$1306:$AI$1319)&lt;14,"",AVERAGE($AI$1306:$AI$1319))</f>
        <v>0</v>
      </c>
      <c r="AK1319">
        <f>IF(COUNT($E$2:$E1319)&lt;20,"",AVERAGE($E$1300:$E$1319))</f>
        <v>0</v>
      </c>
      <c r="AL1319">
        <f>IF(COUNT($E$2:$E1319)&lt;20,"",STDEVP($E$1300:$E$1319))</f>
        <v>0</v>
      </c>
      <c r="AM1319">
        <f>IF(AK1319="","",AK1319+2*AL1319)</f>
        <v>0</v>
      </c>
      <c r="AN1319">
        <f>IF(AK1319="","",AK1319-2*AL1319)</f>
        <v>0</v>
      </c>
      <c r="AO1319">
        <f>IF(OR(AM1319="",AN1319="",AM1319=AN1319),"",($E1319-AN1319)/(AM1319-AN1319))</f>
        <v>0</v>
      </c>
      <c r="AP1319">
        <f>IF(OR(AM1319="",AK1319="",AK1319=0),"",(AM1319-AN1319)/AK1319)</f>
        <v>0</v>
      </c>
      <c r="AQ1319">
        <f>IF(COUNT($E$2:$E1319)&lt;20,"",MAX($C$1300:$C$1319))</f>
        <v>0</v>
      </c>
      <c r="AR1319">
        <f>IF(COUNT($E$2:$E1319)&lt;20,"",MIN($D$1300:$D$1319))</f>
        <v>0</v>
      </c>
      <c r="AS1319">
        <f>IF(OR(AQ1319="",AR1319=""),"",(AQ1319+AR1319)/2)</f>
        <v>0</v>
      </c>
      <c r="AT1319">
        <f>IF(COUNT($G$1300:$G$1319)&lt;20,"",STDEV($G$1300:$G$1319)*SQRT(252))</f>
        <v>0</v>
      </c>
      <c r="AU1319">
        <f>IF(COUNT($E$2:$E1319)&lt;9,"",(MAX($C$1311:$C$1319)+MIN($D$1311:$D$1319))/2)</f>
        <v>0</v>
      </c>
      <c r="AV1319">
        <f>IF(COUNT($E$2:$E1319)&lt;26,"",(MAX($C$1294:$C$1319)+MIN($D$1294:$D$1319))/2)</f>
        <v>0</v>
      </c>
      <c r="AW1319">
        <f>IF(OR(AU1319="",AV1319=""),"",(AU1319+AV1319)/2)</f>
        <v>0</v>
      </c>
      <c r="AX1319">
        <f>IF(COUNT($E$2:$E1319)&lt;52,"",(MAX($C$1268:$C$1319)+MIN($D$1268:$D$1319))/2)</f>
        <v>0</v>
      </c>
      <c r="AY1319">
        <f>IF(COUNT($E$2:$E1319)&lt;20,"",MAX($C$1220:$C$1319))</f>
        <v>0</v>
      </c>
      <c r="AZ1319">
        <f>IF(COUNT($E$2:$E1319)&lt;20,"",MIN($D$1220:$D$1319))</f>
        <v>0</v>
      </c>
      <c r="BA1319">
        <f>IF(COUNT($E$2:$E1319)&lt;20,"",SLOPE($E$1220:$E$1319,$F$1220:$F$1319))</f>
        <v>0</v>
      </c>
      <c r="BB1319">
        <f>IF(COUNT($E$2:$E1319)&lt;20,"",INTERCEPT($E$1220:$E$1319,$F$1220:$F$1319))</f>
        <v>0</v>
      </c>
      <c r="BC1319">
        <f>IF(OR(BA1319="",BB1319=""),"",BB1319+BA1319*F1319)</f>
        <v>0</v>
      </c>
      <c r="BD1319">
        <f>IF(COUNT($E$2:$E1319)&lt;20,"",STEYX($E$1220:$E$1319,$F$1220:$F$1319))</f>
        <v>0</v>
      </c>
      <c r="BE1319">
        <f>IF($E1319="","",IF(AND(COUNT($E$1320:$E$1323)&gt;=4,$C1319=MAX($C$1315:$C$1323)),$C1319,""))</f>
        <v>0</v>
      </c>
      <c r="BF1319">
        <f>IF($E1319="","",IF(AND(COUNT($E$1320:$E$1323)&gt;=4,$D1319=MIN($D$1315:$D$1323)),$D1319,""))</f>
        <v>0</v>
      </c>
      <c r="BG1319">
        <f>IF($A1319="","",$A1319-WEEKDAY($A1319,2)+1)</f>
        <v>0</v>
      </c>
      <c r="BH1319">
        <f>IF($A1319="","",IF($A1318="",1,IF(BG1319&lt;&gt;BG1318,1,0)))</f>
        <v>0</v>
      </c>
      <c r="BI1319">
        <f>IF($A1319="","",IF($A1320="",1,IF(BG1320&lt;&gt;BG1319,1,0)))</f>
        <v>0</v>
      </c>
      <c r="BJ1319">
        <f>IF($A1319="","",IF(BH1319=1,$B1319,BJ1318))</f>
        <v>0</v>
      </c>
      <c r="BK1319">
        <f>IF($A1319="","",IF(BH1319=1,$C1319,MAX($C1319,BK1318)))</f>
        <v>0</v>
      </c>
      <c r="BL1319">
        <f>IF($A1319="","",IF(BH1319=1,$D1319,MIN($D1319,BL1318)))</f>
        <v>0</v>
      </c>
      <c r="BM1319">
        <f>IF($A1319="","",IF(BI1319=1,F1319,""))</f>
        <v>0</v>
      </c>
      <c r="BN1319">
        <f>IF($A1319="","",DATE(YEAR($A1319),MONTH($A1319),1))</f>
        <v>0</v>
      </c>
      <c r="BO1319">
        <f>IF($A1319="","",IF($A1318="",1,IF(BN1319&lt;&gt;BN1318,1,0)))</f>
        <v>0</v>
      </c>
      <c r="BP1319">
        <f>IF($A1319="","",IF($A1320="",1,IF(BN1320&lt;&gt;BN1319,1,0)))</f>
        <v>0</v>
      </c>
      <c r="BQ1319">
        <f>IF($A1319="","",IF(BO1319=1,$B1319,BQ1318))</f>
        <v>0</v>
      </c>
      <c r="BR1319">
        <f>IF($A1319="","",IF(BO1319=1,$C1319,MAX($C1319,BR1318)))</f>
        <v>0</v>
      </c>
      <c r="BS1319">
        <f>IF($A1319="","",IF(BO1319=1,$D1319,MIN($D1319,BS1318)))</f>
        <v>0</v>
      </c>
      <c r="BT1319">
        <f>IF($A1319="","",IF(BP1319=1,F1319,""))</f>
        <v>0</v>
      </c>
    </row>
    <row r="1320" spans="1:72">
      <c r="A1320" s="27">
        <f>IF(Data!$A1320="","",Data!$A1320)</f>
        <v>0</v>
      </c>
      <c r="B1320">
        <f>IF(Data!$B1320="","",Data!$B1320)</f>
        <v>0</v>
      </c>
      <c r="C1320">
        <f>IF(Data!$C1320="","",Data!$C1320)</f>
        <v>0</v>
      </c>
      <c r="D1320">
        <f>IF(Data!$D1320="","",Data!$D1320)</f>
        <v>0</v>
      </c>
      <c r="E1320">
        <f>IF(Data!$E1320="","",Data!$E1320)</f>
        <v>0</v>
      </c>
      <c r="F1320">
        <f>IF($E1320="","",N(F1319)+1)</f>
        <v>0</v>
      </c>
      <c r="G1320">
        <f>IF(OR($E1320="",$E1319=""),"",LN($E1320/$E1319))</f>
        <v>0</v>
      </c>
      <c r="H1320">
        <f>IF($E1320="","",IF($E1319="",$E1320,$E1320*0.0952380952+H1319*0.9047619048))</f>
        <v>0</v>
      </c>
      <c r="I1320">
        <f>IF($E1320="","",IF($E1319="",$E1320,$E1320*0.0392156863+I1319*0.9607843137))</f>
        <v>0</v>
      </c>
      <c r="J1320">
        <f>IF($E1320="","",IF($E1319="",$E1320,$E1320*0.0198019802+J1319*0.9801980198))</f>
        <v>0</v>
      </c>
      <c r="K1320">
        <f>IF($E1320="","",IF($E1319="",$E1320,$E1320*0.0099502488+K1319*0.9900497512))</f>
        <v>0</v>
      </c>
      <c r="L1320">
        <f>IF(OR($E1320="",$E1319=""),"",MAX($E1320-$E1319,0))</f>
        <v>0</v>
      </c>
      <c r="M1320">
        <f>IF(OR($E1320="",$E1319=""),"",MAX($E1319-$E1320,0))</f>
        <v>0</v>
      </c>
      <c r="N1320">
        <f>IF(COUNT($E$2:$E1320)&lt;15,"",IF(AVERAGE($M$1307:$M$1320)=0,100,100-100/(1+AVERAGE($L$1307:$L$1320)/AVERAGE($M$1307:$M$1320))))</f>
        <v>0</v>
      </c>
      <c r="O1320">
        <f>IF($E1320="","",IF($E1319="",$E1320,$E1320*0.1538461538+O1319*0.8461538462))</f>
        <v>0</v>
      </c>
      <c r="P1320">
        <f>IF($E1320="","",IF($E1319="",$E1320,$E1320*0.0740740741+P1319*0.9259259259))</f>
        <v>0</v>
      </c>
      <c r="Q1320">
        <f>IF(OR(O1320="",P1320=""),"",O1320-P1320)</f>
        <v>0</v>
      </c>
      <c r="R1320">
        <f>IF(Q1320="","",IF(R1319="",Q1320,Q1320*0.2000000000+R1319*0.8000000000))</f>
        <v>0</v>
      </c>
      <c r="S1320">
        <f>IF(OR(Q1320="",R1320=""),"",Q1320-R1320)</f>
        <v>0</v>
      </c>
      <c r="T1320">
        <f>IF(COUNT($E$2:$E1320)&lt;14,"",MAX($C$1307:$C$1320))</f>
        <v>0</v>
      </c>
      <c r="U1320">
        <f>IF(COUNT($E$2:$E1320)&lt;14,"",MIN($D$1307:$D$1320))</f>
        <v>0</v>
      </c>
      <c r="V1320">
        <f>IF(OR(T1320="",U1320="",T1320=U1320),"",100*($E1320-U1320)/(T1320-U1320))</f>
        <v>0</v>
      </c>
      <c r="W1320">
        <f>IF(COUNT($V$1318:$V$1320)&lt;3,"",AVERAGE($V$1318:$V$1320))</f>
        <v>0</v>
      </c>
      <c r="X1320">
        <f>IF(COUNT($N$1307:$N$1320)&lt;14,"",MIN($N$1307:$N$1320))</f>
        <v>0</v>
      </c>
      <c r="Y1320">
        <f>IF(COUNT($N$1307:$N$1320)&lt;14,"",MAX($N$1307:$N$1320))</f>
        <v>0</v>
      </c>
      <c r="Z1320">
        <f>IF(OR(N1320="",X1320="",Y1320="",Y1320=X1320),"",100*(N1320-X1320)/(Y1320-X1320))</f>
        <v>0</v>
      </c>
      <c r="AA1320">
        <f>IF(COUNT($Z$1318:$Z$1320)&lt;3,"",AVERAGE($Z$1318:$Z$1320))</f>
        <v>0</v>
      </c>
      <c r="AB1320">
        <f>IF(COUNT($AA$1318:$AA$1320)&lt;3,"",AVERAGE($AA$1318:$AA$1320))</f>
        <v>0</v>
      </c>
      <c r="AC1320">
        <f>IF($E1320="","",MAX($C1320-$D1320,ABS($C1320-$E1319),ABS($D1320-$E1319)))</f>
        <v>0</v>
      </c>
      <c r="AD1320">
        <f>IF(COUNT($E$2:$E1320)&lt;15,"",AVERAGE($AC$1307:$AC$1320))</f>
        <v>0</v>
      </c>
      <c r="AE1320">
        <f>IF(OR($E1320="",$E1319=""),"",IF(AND(($C1320-$C1319)&gt;($D1319-$D1320),($C1320-$C1319)&gt;0),$C1320-$C1319,0))</f>
        <v>0</v>
      </c>
      <c r="AF1320">
        <f>IF(OR($E1320="",$E1319=""),"",IF(AND(($D1319-$D1320)&gt;($C1320-$C1319),($D1319-$D1320)&gt;0),$D1319-$D1320,0))</f>
        <v>0</v>
      </c>
      <c r="AG1320">
        <f>IF(COUNT($E$2:$E1320)&lt;15,"",IF(SUM($AC$1307:$AC$1320)=0,0,100*SUM($AE$1307:$AE$1320)/SUM($AC$1307:$AC$1320)))</f>
        <v>0</v>
      </c>
      <c r="AH1320">
        <f>IF(COUNT($E$2:$E1320)&lt;15,"",IF(SUM($AC$1307:$AC$1320)=0,0,100*SUM($AF$1307:$AF$1320)/SUM($AC$1307:$AC$1320)))</f>
        <v>0</v>
      </c>
      <c r="AI1320">
        <f>IF(OR(AG1320="",AH1320=""),"",IF((AG1320+AH1320)=0,0,100*ABS(AG1320-AH1320)/(AG1320+AH1320)))</f>
        <v>0</v>
      </c>
      <c r="AJ1320">
        <f>IF(COUNT($AI$1307:$AI$1320)&lt;14,"",AVERAGE($AI$1307:$AI$1320))</f>
        <v>0</v>
      </c>
      <c r="AK1320">
        <f>IF(COUNT($E$2:$E1320)&lt;20,"",AVERAGE($E$1301:$E$1320))</f>
        <v>0</v>
      </c>
      <c r="AL1320">
        <f>IF(COUNT($E$2:$E1320)&lt;20,"",STDEVP($E$1301:$E$1320))</f>
        <v>0</v>
      </c>
      <c r="AM1320">
        <f>IF(AK1320="","",AK1320+2*AL1320)</f>
        <v>0</v>
      </c>
      <c r="AN1320">
        <f>IF(AK1320="","",AK1320-2*AL1320)</f>
        <v>0</v>
      </c>
      <c r="AO1320">
        <f>IF(OR(AM1320="",AN1320="",AM1320=AN1320),"",($E1320-AN1320)/(AM1320-AN1320))</f>
        <v>0</v>
      </c>
      <c r="AP1320">
        <f>IF(OR(AM1320="",AK1320="",AK1320=0),"",(AM1320-AN1320)/AK1320)</f>
        <v>0</v>
      </c>
      <c r="AQ1320">
        <f>IF(COUNT($E$2:$E1320)&lt;20,"",MAX($C$1301:$C$1320))</f>
        <v>0</v>
      </c>
      <c r="AR1320">
        <f>IF(COUNT($E$2:$E1320)&lt;20,"",MIN($D$1301:$D$1320))</f>
        <v>0</v>
      </c>
      <c r="AS1320">
        <f>IF(OR(AQ1320="",AR1320=""),"",(AQ1320+AR1320)/2)</f>
        <v>0</v>
      </c>
      <c r="AT1320">
        <f>IF(COUNT($G$1301:$G$1320)&lt;20,"",STDEV($G$1301:$G$1320)*SQRT(252))</f>
        <v>0</v>
      </c>
      <c r="AU1320">
        <f>IF(COUNT($E$2:$E1320)&lt;9,"",(MAX($C$1312:$C$1320)+MIN($D$1312:$D$1320))/2)</f>
        <v>0</v>
      </c>
      <c r="AV1320">
        <f>IF(COUNT($E$2:$E1320)&lt;26,"",(MAX($C$1295:$C$1320)+MIN($D$1295:$D$1320))/2)</f>
        <v>0</v>
      </c>
      <c r="AW1320">
        <f>IF(OR(AU1320="",AV1320=""),"",(AU1320+AV1320)/2)</f>
        <v>0</v>
      </c>
      <c r="AX1320">
        <f>IF(COUNT($E$2:$E1320)&lt;52,"",(MAX($C$1269:$C$1320)+MIN($D$1269:$D$1320))/2)</f>
        <v>0</v>
      </c>
      <c r="AY1320">
        <f>IF(COUNT($E$2:$E1320)&lt;20,"",MAX($C$1221:$C$1320))</f>
        <v>0</v>
      </c>
      <c r="AZ1320">
        <f>IF(COUNT($E$2:$E1320)&lt;20,"",MIN($D$1221:$D$1320))</f>
        <v>0</v>
      </c>
      <c r="BA1320">
        <f>IF(COUNT($E$2:$E1320)&lt;20,"",SLOPE($E$1221:$E$1320,$F$1221:$F$1320))</f>
        <v>0</v>
      </c>
      <c r="BB1320">
        <f>IF(COUNT($E$2:$E1320)&lt;20,"",INTERCEPT($E$1221:$E$1320,$F$1221:$F$1320))</f>
        <v>0</v>
      </c>
      <c r="BC1320">
        <f>IF(OR(BA1320="",BB1320=""),"",BB1320+BA1320*F1320)</f>
        <v>0</v>
      </c>
      <c r="BD1320">
        <f>IF(COUNT($E$2:$E1320)&lt;20,"",STEYX($E$1221:$E$1320,$F$1221:$F$1320))</f>
        <v>0</v>
      </c>
      <c r="BE1320">
        <f>IF($E1320="","",IF(AND(COUNT($E$1321:$E$1324)&gt;=4,$C1320=MAX($C$1316:$C$1324)),$C1320,""))</f>
        <v>0</v>
      </c>
      <c r="BF1320">
        <f>IF($E1320="","",IF(AND(COUNT($E$1321:$E$1324)&gt;=4,$D1320=MIN($D$1316:$D$1324)),$D1320,""))</f>
        <v>0</v>
      </c>
      <c r="BG1320">
        <f>IF($A1320="","",$A1320-WEEKDAY($A1320,2)+1)</f>
        <v>0</v>
      </c>
      <c r="BH1320">
        <f>IF($A1320="","",IF($A1319="",1,IF(BG1320&lt;&gt;BG1319,1,0)))</f>
        <v>0</v>
      </c>
      <c r="BI1320">
        <f>IF($A1320="","",IF($A1321="",1,IF(BG1321&lt;&gt;BG1320,1,0)))</f>
        <v>0</v>
      </c>
      <c r="BJ1320">
        <f>IF($A1320="","",IF(BH1320=1,$B1320,BJ1319))</f>
        <v>0</v>
      </c>
      <c r="BK1320">
        <f>IF($A1320="","",IF(BH1320=1,$C1320,MAX($C1320,BK1319)))</f>
        <v>0</v>
      </c>
      <c r="BL1320">
        <f>IF($A1320="","",IF(BH1320=1,$D1320,MIN($D1320,BL1319)))</f>
        <v>0</v>
      </c>
      <c r="BM1320">
        <f>IF($A1320="","",IF(BI1320=1,F1320,""))</f>
        <v>0</v>
      </c>
      <c r="BN1320">
        <f>IF($A1320="","",DATE(YEAR($A1320),MONTH($A1320),1))</f>
        <v>0</v>
      </c>
      <c r="BO1320">
        <f>IF($A1320="","",IF($A1319="",1,IF(BN1320&lt;&gt;BN1319,1,0)))</f>
        <v>0</v>
      </c>
      <c r="BP1320">
        <f>IF($A1320="","",IF($A1321="",1,IF(BN1321&lt;&gt;BN1320,1,0)))</f>
        <v>0</v>
      </c>
      <c r="BQ1320">
        <f>IF($A1320="","",IF(BO1320=1,$B1320,BQ1319))</f>
        <v>0</v>
      </c>
      <c r="BR1320">
        <f>IF($A1320="","",IF(BO1320=1,$C1320,MAX($C1320,BR1319)))</f>
        <v>0</v>
      </c>
      <c r="BS1320">
        <f>IF($A1320="","",IF(BO1320=1,$D1320,MIN($D1320,BS1319)))</f>
        <v>0</v>
      </c>
      <c r="BT1320">
        <f>IF($A1320="","",IF(BP1320=1,F1320,""))</f>
        <v>0</v>
      </c>
    </row>
    <row r="1321" spans="1:72">
      <c r="A1321" s="27">
        <f>IF(Data!$A1321="","",Data!$A1321)</f>
        <v>0</v>
      </c>
      <c r="B1321">
        <f>IF(Data!$B1321="","",Data!$B1321)</f>
        <v>0</v>
      </c>
      <c r="C1321">
        <f>IF(Data!$C1321="","",Data!$C1321)</f>
        <v>0</v>
      </c>
      <c r="D1321">
        <f>IF(Data!$D1321="","",Data!$D1321)</f>
        <v>0</v>
      </c>
      <c r="E1321">
        <f>IF(Data!$E1321="","",Data!$E1321)</f>
        <v>0</v>
      </c>
      <c r="F1321">
        <f>IF($E1321="","",N(F1320)+1)</f>
        <v>0</v>
      </c>
      <c r="G1321">
        <f>IF(OR($E1321="",$E1320=""),"",LN($E1321/$E1320))</f>
        <v>0</v>
      </c>
      <c r="H1321">
        <f>IF($E1321="","",IF($E1320="",$E1321,$E1321*0.0952380952+H1320*0.9047619048))</f>
        <v>0</v>
      </c>
      <c r="I1321">
        <f>IF($E1321="","",IF($E1320="",$E1321,$E1321*0.0392156863+I1320*0.9607843137))</f>
        <v>0</v>
      </c>
      <c r="J1321">
        <f>IF($E1321="","",IF($E1320="",$E1321,$E1321*0.0198019802+J1320*0.9801980198))</f>
        <v>0</v>
      </c>
      <c r="K1321">
        <f>IF($E1321="","",IF($E1320="",$E1321,$E1321*0.0099502488+K1320*0.9900497512))</f>
        <v>0</v>
      </c>
      <c r="L1321">
        <f>IF(OR($E1321="",$E1320=""),"",MAX($E1321-$E1320,0))</f>
        <v>0</v>
      </c>
      <c r="M1321">
        <f>IF(OR($E1321="",$E1320=""),"",MAX($E1320-$E1321,0))</f>
        <v>0</v>
      </c>
      <c r="N1321">
        <f>IF(COUNT($E$2:$E1321)&lt;15,"",IF(AVERAGE($M$1308:$M$1321)=0,100,100-100/(1+AVERAGE($L$1308:$L$1321)/AVERAGE($M$1308:$M$1321))))</f>
        <v>0</v>
      </c>
      <c r="O1321">
        <f>IF($E1321="","",IF($E1320="",$E1321,$E1321*0.1538461538+O1320*0.8461538462))</f>
        <v>0</v>
      </c>
      <c r="P1321">
        <f>IF($E1321="","",IF($E1320="",$E1321,$E1321*0.0740740741+P1320*0.9259259259))</f>
        <v>0</v>
      </c>
      <c r="Q1321">
        <f>IF(OR(O1321="",P1321=""),"",O1321-P1321)</f>
        <v>0</v>
      </c>
      <c r="R1321">
        <f>IF(Q1321="","",IF(R1320="",Q1321,Q1321*0.2000000000+R1320*0.8000000000))</f>
        <v>0</v>
      </c>
      <c r="S1321">
        <f>IF(OR(Q1321="",R1321=""),"",Q1321-R1321)</f>
        <v>0</v>
      </c>
      <c r="T1321">
        <f>IF(COUNT($E$2:$E1321)&lt;14,"",MAX($C$1308:$C$1321))</f>
        <v>0</v>
      </c>
      <c r="U1321">
        <f>IF(COUNT($E$2:$E1321)&lt;14,"",MIN($D$1308:$D$1321))</f>
        <v>0</v>
      </c>
      <c r="V1321">
        <f>IF(OR(T1321="",U1321="",T1321=U1321),"",100*($E1321-U1321)/(T1321-U1321))</f>
        <v>0</v>
      </c>
      <c r="W1321">
        <f>IF(COUNT($V$1319:$V$1321)&lt;3,"",AVERAGE($V$1319:$V$1321))</f>
        <v>0</v>
      </c>
      <c r="X1321">
        <f>IF(COUNT($N$1308:$N$1321)&lt;14,"",MIN($N$1308:$N$1321))</f>
        <v>0</v>
      </c>
      <c r="Y1321">
        <f>IF(COUNT($N$1308:$N$1321)&lt;14,"",MAX($N$1308:$N$1321))</f>
        <v>0</v>
      </c>
      <c r="Z1321">
        <f>IF(OR(N1321="",X1321="",Y1321="",Y1321=X1321),"",100*(N1321-X1321)/(Y1321-X1321))</f>
        <v>0</v>
      </c>
      <c r="AA1321">
        <f>IF(COUNT($Z$1319:$Z$1321)&lt;3,"",AVERAGE($Z$1319:$Z$1321))</f>
        <v>0</v>
      </c>
      <c r="AB1321">
        <f>IF(COUNT($AA$1319:$AA$1321)&lt;3,"",AVERAGE($AA$1319:$AA$1321))</f>
        <v>0</v>
      </c>
      <c r="AC1321">
        <f>IF($E1321="","",MAX($C1321-$D1321,ABS($C1321-$E1320),ABS($D1321-$E1320)))</f>
        <v>0</v>
      </c>
      <c r="AD1321">
        <f>IF(COUNT($E$2:$E1321)&lt;15,"",AVERAGE($AC$1308:$AC$1321))</f>
        <v>0</v>
      </c>
      <c r="AE1321">
        <f>IF(OR($E1321="",$E1320=""),"",IF(AND(($C1321-$C1320)&gt;($D1320-$D1321),($C1321-$C1320)&gt;0),$C1321-$C1320,0))</f>
        <v>0</v>
      </c>
      <c r="AF1321">
        <f>IF(OR($E1321="",$E1320=""),"",IF(AND(($D1320-$D1321)&gt;($C1321-$C1320),($D1320-$D1321)&gt;0),$D1320-$D1321,0))</f>
        <v>0</v>
      </c>
      <c r="AG1321">
        <f>IF(COUNT($E$2:$E1321)&lt;15,"",IF(SUM($AC$1308:$AC$1321)=0,0,100*SUM($AE$1308:$AE$1321)/SUM($AC$1308:$AC$1321)))</f>
        <v>0</v>
      </c>
      <c r="AH1321">
        <f>IF(COUNT($E$2:$E1321)&lt;15,"",IF(SUM($AC$1308:$AC$1321)=0,0,100*SUM($AF$1308:$AF$1321)/SUM($AC$1308:$AC$1321)))</f>
        <v>0</v>
      </c>
      <c r="AI1321">
        <f>IF(OR(AG1321="",AH1321=""),"",IF((AG1321+AH1321)=0,0,100*ABS(AG1321-AH1321)/(AG1321+AH1321)))</f>
        <v>0</v>
      </c>
      <c r="AJ1321">
        <f>IF(COUNT($AI$1308:$AI$1321)&lt;14,"",AVERAGE($AI$1308:$AI$1321))</f>
        <v>0</v>
      </c>
      <c r="AK1321">
        <f>IF(COUNT($E$2:$E1321)&lt;20,"",AVERAGE($E$1302:$E$1321))</f>
        <v>0</v>
      </c>
      <c r="AL1321">
        <f>IF(COUNT($E$2:$E1321)&lt;20,"",STDEVP($E$1302:$E$1321))</f>
        <v>0</v>
      </c>
      <c r="AM1321">
        <f>IF(AK1321="","",AK1321+2*AL1321)</f>
        <v>0</v>
      </c>
      <c r="AN1321">
        <f>IF(AK1321="","",AK1321-2*AL1321)</f>
        <v>0</v>
      </c>
      <c r="AO1321">
        <f>IF(OR(AM1321="",AN1321="",AM1321=AN1321),"",($E1321-AN1321)/(AM1321-AN1321))</f>
        <v>0</v>
      </c>
      <c r="AP1321">
        <f>IF(OR(AM1321="",AK1321="",AK1321=0),"",(AM1321-AN1321)/AK1321)</f>
        <v>0</v>
      </c>
      <c r="AQ1321">
        <f>IF(COUNT($E$2:$E1321)&lt;20,"",MAX($C$1302:$C$1321))</f>
        <v>0</v>
      </c>
      <c r="AR1321">
        <f>IF(COUNT($E$2:$E1321)&lt;20,"",MIN($D$1302:$D$1321))</f>
        <v>0</v>
      </c>
      <c r="AS1321">
        <f>IF(OR(AQ1321="",AR1321=""),"",(AQ1321+AR1321)/2)</f>
        <v>0</v>
      </c>
      <c r="AT1321">
        <f>IF(COUNT($G$1302:$G$1321)&lt;20,"",STDEV($G$1302:$G$1321)*SQRT(252))</f>
        <v>0</v>
      </c>
      <c r="AU1321">
        <f>IF(COUNT($E$2:$E1321)&lt;9,"",(MAX($C$1313:$C$1321)+MIN($D$1313:$D$1321))/2)</f>
        <v>0</v>
      </c>
      <c r="AV1321">
        <f>IF(COUNT($E$2:$E1321)&lt;26,"",(MAX($C$1296:$C$1321)+MIN($D$1296:$D$1321))/2)</f>
        <v>0</v>
      </c>
      <c r="AW1321">
        <f>IF(OR(AU1321="",AV1321=""),"",(AU1321+AV1321)/2)</f>
        <v>0</v>
      </c>
      <c r="AX1321">
        <f>IF(COUNT($E$2:$E1321)&lt;52,"",(MAX($C$1270:$C$1321)+MIN($D$1270:$D$1321))/2)</f>
        <v>0</v>
      </c>
      <c r="AY1321">
        <f>IF(COUNT($E$2:$E1321)&lt;20,"",MAX($C$1222:$C$1321))</f>
        <v>0</v>
      </c>
      <c r="AZ1321">
        <f>IF(COUNT($E$2:$E1321)&lt;20,"",MIN($D$1222:$D$1321))</f>
        <v>0</v>
      </c>
      <c r="BA1321">
        <f>IF(COUNT($E$2:$E1321)&lt;20,"",SLOPE($E$1222:$E$1321,$F$1222:$F$1321))</f>
        <v>0</v>
      </c>
      <c r="BB1321">
        <f>IF(COUNT($E$2:$E1321)&lt;20,"",INTERCEPT($E$1222:$E$1321,$F$1222:$F$1321))</f>
        <v>0</v>
      </c>
      <c r="BC1321">
        <f>IF(OR(BA1321="",BB1321=""),"",BB1321+BA1321*F1321)</f>
        <v>0</v>
      </c>
      <c r="BD1321">
        <f>IF(COUNT($E$2:$E1321)&lt;20,"",STEYX($E$1222:$E$1321,$F$1222:$F$1321))</f>
        <v>0</v>
      </c>
      <c r="BE1321">
        <f>IF($E1321="","",IF(AND(COUNT($E$1322:$E$1325)&gt;=4,$C1321=MAX($C$1317:$C$1325)),$C1321,""))</f>
        <v>0</v>
      </c>
      <c r="BF1321">
        <f>IF($E1321="","",IF(AND(COUNT($E$1322:$E$1325)&gt;=4,$D1321=MIN($D$1317:$D$1325)),$D1321,""))</f>
        <v>0</v>
      </c>
      <c r="BG1321">
        <f>IF($A1321="","",$A1321-WEEKDAY($A1321,2)+1)</f>
        <v>0</v>
      </c>
      <c r="BH1321">
        <f>IF($A1321="","",IF($A1320="",1,IF(BG1321&lt;&gt;BG1320,1,0)))</f>
        <v>0</v>
      </c>
      <c r="BI1321">
        <f>IF($A1321="","",IF($A1322="",1,IF(BG1322&lt;&gt;BG1321,1,0)))</f>
        <v>0</v>
      </c>
      <c r="BJ1321">
        <f>IF($A1321="","",IF(BH1321=1,$B1321,BJ1320))</f>
        <v>0</v>
      </c>
      <c r="BK1321">
        <f>IF($A1321="","",IF(BH1321=1,$C1321,MAX($C1321,BK1320)))</f>
        <v>0</v>
      </c>
      <c r="BL1321">
        <f>IF($A1321="","",IF(BH1321=1,$D1321,MIN($D1321,BL1320)))</f>
        <v>0</v>
      </c>
      <c r="BM1321">
        <f>IF($A1321="","",IF(BI1321=1,F1321,""))</f>
        <v>0</v>
      </c>
      <c r="BN1321">
        <f>IF($A1321="","",DATE(YEAR($A1321),MONTH($A1321),1))</f>
        <v>0</v>
      </c>
      <c r="BO1321">
        <f>IF($A1321="","",IF($A1320="",1,IF(BN1321&lt;&gt;BN1320,1,0)))</f>
        <v>0</v>
      </c>
      <c r="BP1321">
        <f>IF($A1321="","",IF($A1322="",1,IF(BN1322&lt;&gt;BN1321,1,0)))</f>
        <v>0</v>
      </c>
      <c r="BQ1321">
        <f>IF($A1321="","",IF(BO1321=1,$B1321,BQ1320))</f>
        <v>0</v>
      </c>
      <c r="BR1321">
        <f>IF($A1321="","",IF(BO1321=1,$C1321,MAX($C1321,BR1320)))</f>
        <v>0</v>
      </c>
      <c r="BS1321">
        <f>IF($A1321="","",IF(BO1321=1,$D1321,MIN($D1321,BS1320)))</f>
        <v>0</v>
      </c>
      <c r="BT1321">
        <f>IF($A1321="","",IF(BP1321=1,F1321,""))</f>
        <v>0</v>
      </c>
    </row>
    <row r="1322" spans="1:72">
      <c r="A1322" s="27">
        <f>IF(Data!$A1322="","",Data!$A1322)</f>
        <v>0</v>
      </c>
      <c r="B1322">
        <f>IF(Data!$B1322="","",Data!$B1322)</f>
        <v>0</v>
      </c>
      <c r="C1322">
        <f>IF(Data!$C1322="","",Data!$C1322)</f>
        <v>0</v>
      </c>
      <c r="D1322">
        <f>IF(Data!$D1322="","",Data!$D1322)</f>
        <v>0</v>
      </c>
      <c r="E1322">
        <f>IF(Data!$E1322="","",Data!$E1322)</f>
        <v>0</v>
      </c>
      <c r="F1322">
        <f>IF($E1322="","",N(F1321)+1)</f>
        <v>0</v>
      </c>
      <c r="G1322">
        <f>IF(OR($E1322="",$E1321=""),"",LN($E1322/$E1321))</f>
        <v>0</v>
      </c>
      <c r="H1322">
        <f>IF($E1322="","",IF($E1321="",$E1322,$E1322*0.0952380952+H1321*0.9047619048))</f>
        <v>0</v>
      </c>
      <c r="I1322">
        <f>IF($E1322="","",IF($E1321="",$E1322,$E1322*0.0392156863+I1321*0.9607843137))</f>
        <v>0</v>
      </c>
      <c r="J1322">
        <f>IF($E1322="","",IF($E1321="",$E1322,$E1322*0.0198019802+J1321*0.9801980198))</f>
        <v>0</v>
      </c>
      <c r="K1322">
        <f>IF($E1322="","",IF($E1321="",$E1322,$E1322*0.0099502488+K1321*0.9900497512))</f>
        <v>0</v>
      </c>
      <c r="L1322">
        <f>IF(OR($E1322="",$E1321=""),"",MAX($E1322-$E1321,0))</f>
        <v>0</v>
      </c>
      <c r="M1322">
        <f>IF(OR($E1322="",$E1321=""),"",MAX($E1321-$E1322,0))</f>
        <v>0</v>
      </c>
      <c r="N1322">
        <f>IF(COUNT($E$2:$E1322)&lt;15,"",IF(AVERAGE($M$1309:$M$1322)=0,100,100-100/(1+AVERAGE($L$1309:$L$1322)/AVERAGE($M$1309:$M$1322))))</f>
        <v>0</v>
      </c>
      <c r="O1322">
        <f>IF($E1322="","",IF($E1321="",$E1322,$E1322*0.1538461538+O1321*0.8461538462))</f>
        <v>0</v>
      </c>
      <c r="P1322">
        <f>IF($E1322="","",IF($E1321="",$E1322,$E1322*0.0740740741+P1321*0.9259259259))</f>
        <v>0</v>
      </c>
      <c r="Q1322">
        <f>IF(OR(O1322="",P1322=""),"",O1322-P1322)</f>
        <v>0</v>
      </c>
      <c r="R1322">
        <f>IF(Q1322="","",IF(R1321="",Q1322,Q1322*0.2000000000+R1321*0.8000000000))</f>
        <v>0</v>
      </c>
      <c r="S1322">
        <f>IF(OR(Q1322="",R1322=""),"",Q1322-R1322)</f>
        <v>0</v>
      </c>
      <c r="T1322">
        <f>IF(COUNT($E$2:$E1322)&lt;14,"",MAX($C$1309:$C$1322))</f>
        <v>0</v>
      </c>
      <c r="U1322">
        <f>IF(COUNT($E$2:$E1322)&lt;14,"",MIN($D$1309:$D$1322))</f>
        <v>0</v>
      </c>
      <c r="V1322">
        <f>IF(OR(T1322="",U1322="",T1322=U1322),"",100*($E1322-U1322)/(T1322-U1322))</f>
        <v>0</v>
      </c>
      <c r="W1322">
        <f>IF(COUNT($V$1320:$V$1322)&lt;3,"",AVERAGE($V$1320:$V$1322))</f>
        <v>0</v>
      </c>
      <c r="X1322">
        <f>IF(COUNT($N$1309:$N$1322)&lt;14,"",MIN($N$1309:$N$1322))</f>
        <v>0</v>
      </c>
      <c r="Y1322">
        <f>IF(COUNT($N$1309:$N$1322)&lt;14,"",MAX($N$1309:$N$1322))</f>
        <v>0</v>
      </c>
      <c r="Z1322">
        <f>IF(OR(N1322="",X1322="",Y1322="",Y1322=X1322),"",100*(N1322-X1322)/(Y1322-X1322))</f>
        <v>0</v>
      </c>
      <c r="AA1322">
        <f>IF(COUNT($Z$1320:$Z$1322)&lt;3,"",AVERAGE($Z$1320:$Z$1322))</f>
        <v>0</v>
      </c>
      <c r="AB1322">
        <f>IF(COUNT($AA$1320:$AA$1322)&lt;3,"",AVERAGE($AA$1320:$AA$1322))</f>
        <v>0</v>
      </c>
      <c r="AC1322">
        <f>IF($E1322="","",MAX($C1322-$D1322,ABS($C1322-$E1321),ABS($D1322-$E1321)))</f>
        <v>0</v>
      </c>
      <c r="AD1322">
        <f>IF(COUNT($E$2:$E1322)&lt;15,"",AVERAGE($AC$1309:$AC$1322))</f>
        <v>0</v>
      </c>
      <c r="AE1322">
        <f>IF(OR($E1322="",$E1321=""),"",IF(AND(($C1322-$C1321)&gt;($D1321-$D1322),($C1322-$C1321)&gt;0),$C1322-$C1321,0))</f>
        <v>0</v>
      </c>
      <c r="AF1322">
        <f>IF(OR($E1322="",$E1321=""),"",IF(AND(($D1321-$D1322)&gt;($C1322-$C1321),($D1321-$D1322)&gt;0),$D1321-$D1322,0))</f>
        <v>0</v>
      </c>
      <c r="AG1322">
        <f>IF(COUNT($E$2:$E1322)&lt;15,"",IF(SUM($AC$1309:$AC$1322)=0,0,100*SUM($AE$1309:$AE$1322)/SUM($AC$1309:$AC$1322)))</f>
        <v>0</v>
      </c>
      <c r="AH1322">
        <f>IF(COUNT($E$2:$E1322)&lt;15,"",IF(SUM($AC$1309:$AC$1322)=0,0,100*SUM($AF$1309:$AF$1322)/SUM($AC$1309:$AC$1322)))</f>
        <v>0</v>
      </c>
      <c r="AI1322">
        <f>IF(OR(AG1322="",AH1322=""),"",IF((AG1322+AH1322)=0,0,100*ABS(AG1322-AH1322)/(AG1322+AH1322)))</f>
        <v>0</v>
      </c>
      <c r="AJ1322">
        <f>IF(COUNT($AI$1309:$AI$1322)&lt;14,"",AVERAGE($AI$1309:$AI$1322))</f>
        <v>0</v>
      </c>
      <c r="AK1322">
        <f>IF(COUNT($E$2:$E1322)&lt;20,"",AVERAGE($E$1303:$E$1322))</f>
        <v>0</v>
      </c>
      <c r="AL1322">
        <f>IF(COUNT($E$2:$E1322)&lt;20,"",STDEVP($E$1303:$E$1322))</f>
        <v>0</v>
      </c>
      <c r="AM1322">
        <f>IF(AK1322="","",AK1322+2*AL1322)</f>
        <v>0</v>
      </c>
      <c r="AN1322">
        <f>IF(AK1322="","",AK1322-2*AL1322)</f>
        <v>0</v>
      </c>
      <c r="AO1322">
        <f>IF(OR(AM1322="",AN1322="",AM1322=AN1322),"",($E1322-AN1322)/(AM1322-AN1322))</f>
        <v>0</v>
      </c>
      <c r="AP1322">
        <f>IF(OR(AM1322="",AK1322="",AK1322=0),"",(AM1322-AN1322)/AK1322)</f>
        <v>0</v>
      </c>
      <c r="AQ1322">
        <f>IF(COUNT($E$2:$E1322)&lt;20,"",MAX($C$1303:$C$1322))</f>
        <v>0</v>
      </c>
      <c r="AR1322">
        <f>IF(COUNT($E$2:$E1322)&lt;20,"",MIN($D$1303:$D$1322))</f>
        <v>0</v>
      </c>
      <c r="AS1322">
        <f>IF(OR(AQ1322="",AR1322=""),"",(AQ1322+AR1322)/2)</f>
        <v>0</v>
      </c>
      <c r="AT1322">
        <f>IF(COUNT($G$1303:$G$1322)&lt;20,"",STDEV($G$1303:$G$1322)*SQRT(252))</f>
        <v>0</v>
      </c>
      <c r="AU1322">
        <f>IF(COUNT($E$2:$E1322)&lt;9,"",(MAX($C$1314:$C$1322)+MIN($D$1314:$D$1322))/2)</f>
        <v>0</v>
      </c>
      <c r="AV1322">
        <f>IF(COUNT($E$2:$E1322)&lt;26,"",(MAX($C$1297:$C$1322)+MIN($D$1297:$D$1322))/2)</f>
        <v>0</v>
      </c>
      <c r="AW1322">
        <f>IF(OR(AU1322="",AV1322=""),"",(AU1322+AV1322)/2)</f>
        <v>0</v>
      </c>
      <c r="AX1322">
        <f>IF(COUNT($E$2:$E1322)&lt;52,"",(MAX($C$1271:$C$1322)+MIN($D$1271:$D$1322))/2)</f>
        <v>0</v>
      </c>
      <c r="AY1322">
        <f>IF(COUNT($E$2:$E1322)&lt;20,"",MAX($C$1223:$C$1322))</f>
        <v>0</v>
      </c>
      <c r="AZ1322">
        <f>IF(COUNT($E$2:$E1322)&lt;20,"",MIN($D$1223:$D$1322))</f>
        <v>0</v>
      </c>
      <c r="BA1322">
        <f>IF(COUNT($E$2:$E1322)&lt;20,"",SLOPE($E$1223:$E$1322,$F$1223:$F$1322))</f>
        <v>0</v>
      </c>
      <c r="BB1322">
        <f>IF(COUNT($E$2:$E1322)&lt;20,"",INTERCEPT($E$1223:$E$1322,$F$1223:$F$1322))</f>
        <v>0</v>
      </c>
      <c r="BC1322">
        <f>IF(OR(BA1322="",BB1322=""),"",BB1322+BA1322*F1322)</f>
        <v>0</v>
      </c>
      <c r="BD1322">
        <f>IF(COUNT($E$2:$E1322)&lt;20,"",STEYX($E$1223:$E$1322,$F$1223:$F$1322))</f>
        <v>0</v>
      </c>
      <c r="BE1322">
        <f>IF($E1322="","",IF(AND(COUNT($E$1323:$E$1326)&gt;=4,$C1322=MAX($C$1318:$C$1326)),$C1322,""))</f>
        <v>0</v>
      </c>
      <c r="BF1322">
        <f>IF($E1322="","",IF(AND(COUNT($E$1323:$E$1326)&gt;=4,$D1322=MIN($D$1318:$D$1326)),$D1322,""))</f>
        <v>0</v>
      </c>
      <c r="BG1322">
        <f>IF($A1322="","",$A1322-WEEKDAY($A1322,2)+1)</f>
        <v>0</v>
      </c>
      <c r="BH1322">
        <f>IF($A1322="","",IF($A1321="",1,IF(BG1322&lt;&gt;BG1321,1,0)))</f>
        <v>0</v>
      </c>
      <c r="BI1322">
        <f>IF($A1322="","",IF($A1323="",1,IF(BG1323&lt;&gt;BG1322,1,0)))</f>
        <v>0</v>
      </c>
      <c r="BJ1322">
        <f>IF($A1322="","",IF(BH1322=1,$B1322,BJ1321))</f>
        <v>0</v>
      </c>
      <c r="BK1322">
        <f>IF($A1322="","",IF(BH1322=1,$C1322,MAX($C1322,BK1321)))</f>
        <v>0</v>
      </c>
      <c r="BL1322">
        <f>IF($A1322="","",IF(BH1322=1,$D1322,MIN($D1322,BL1321)))</f>
        <v>0</v>
      </c>
      <c r="BM1322">
        <f>IF($A1322="","",IF(BI1322=1,F1322,""))</f>
        <v>0</v>
      </c>
      <c r="BN1322">
        <f>IF($A1322="","",DATE(YEAR($A1322),MONTH($A1322),1))</f>
        <v>0</v>
      </c>
      <c r="BO1322">
        <f>IF($A1322="","",IF($A1321="",1,IF(BN1322&lt;&gt;BN1321,1,0)))</f>
        <v>0</v>
      </c>
      <c r="BP1322">
        <f>IF($A1322="","",IF($A1323="",1,IF(BN1323&lt;&gt;BN1322,1,0)))</f>
        <v>0</v>
      </c>
      <c r="BQ1322">
        <f>IF($A1322="","",IF(BO1322=1,$B1322,BQ1321))</f>
        <v>0</v>
      </c>
      <c r="BR1322">
        <f>IF($A1322="","",IF(BO1322=1,$C1322,MAX($C1322,BR1321)))</f>
        <v>0</v>
      </c>
      <c r="BS1322">
        <f>IF($A1322="","",IF(BO1322=1,$D1322,MIN($D1322,BS1321)))</f>
        <v>0</v>
      </c>
      <c r="BT1322">
        <f>IF($A1322="","",IF(BP1322=1,F1322,""))</f>
        <v>0</v>
      </c>
    </row>
    <row r="1323" spans="1:72">
      <c r="A1323" s="27">
        <f>IF(Data!$A1323="","",Data!$A1323)</f>
        <v>0</v>
      </c>
      <c r="B1323">
        <f>IF(Data!$B1323="","",Data!$B1323)</f>
        <v>0</v>
      </c>
      <c r="C1323">
        <f>IF(Data!$C1323="","",Data!$C1323)</f>
        <v>0</v>
      </c>
      <c r="D1323">
        <f>IF(Data!$D1323="","",Data!$D1323)</f>
        <v>0</v>
      </c>
      <c r="E1323">
        <f>IF(Data!$E1323="","",Data!$E1323)</f>
        <v>0</v>
      </c>
      <c r="F1323">
        <f>IF($E1323="","",N(F1322)+1)</f>
        <v>0</v>
      </c>
      <c r="G1323">
        <f>IF(OR($E1323="",$E1322=""),"",LN($E1323/$E1322))</f>
        <v>0</v>
      </c>
      <c r="H1323">
        <f>IF($E1323="","",IF($E1322="",$E1323,$E1323*0.0952380952+H1322*0.9047619048))</f>
        <v>0</v>
      </c>
      <c r="I1323">
        <f>IF($E1323="","",IF($E1322="",$E1323,$E1323*0.0392156863+I1322*0.9607843137))</f>
        <v>0</v>
      </c>
      <c r="J1323">
        <f>IF($E1323="","",IF($E1322="",$E1323,$E1323*0.0198019802+J1322*0.9801980198))</f>
        <v>0</v>
      </c>
      <c r="K1323">
        <f>IF($E1323="","",IF($E1322="",$E1323,$E1323*0.0099502488+K1322*0.9900497512))</f>
        <v>0</v>
      </c>
      <c r="L1323">
        <f>IF(OR($E1323="",$E1322=""),"",MAX($E1323-$E1322,0))</f>
        <v>0</v>
      </c>
      <c r="M1323">
        <f>IF(OR($E1323="",$E1322=""),"",MAX($E1322-$E1323,0))</f>
        <v>0</v>
      </c>
      <c r="N1323">
        <f>IF(COUNT($E$2:$E1323)&lt;15,"",IF(AVERAGE($M$1310:$M$1323)=0,100,100-100/(1+AVERAGE($L$1310:$L$1323)/AVERAGE($M$1310:$M$1323))))</f>
        <v>0</v>
      </c>
      <c r="O1323">
        <f>IF($E1323="","",IF($E1322="",$E1323,$E1323*0.1538461538+O1322*0.8461538462))</f>
        <v>0</v>
      </c>
      <c r="P1323">
        <f>IF($E1323="","",IF($E1322="",$E1323,$E1323*0.0740740741+P1322*0.9259259259))</f>
        <v>0</v>
      </c>
      <c r="Q1323">
        <f>IF(OR(O1323="",P1323=""),"",O1323-P1323)</f>
        <v>0</v>
      </c>
      <c r="R1323">
        <f>IF(Q1323="","",IF(R1322="",Q1323,Q1323*0.2000000000+R1322*0.8000000000))</f>
        <v>0</v>
      </c>
      <c r="S1323">
        <f>IF(OR(Q1323="",R1323=""),"",Q1323-R1323)</f>
        <v>0</v>
      </c>
      <c r="T1323">
        <f>IF(COUNT($E$2:$E1323)&lt;14,"",MAX($C$1310:$C$1323))</f>
        <v>0</v>
      </c>
      <c r="U1323">
        <f>IF(COUNT($E$2:$E1323)&lt;14,"",MIN($D$1310:$D$1323))</f>
        <v>0</v>
      </c>
      <c r="V1323">
        <f>IF(OR(T1323="",U1323="",T1323=U1323),"",100*($E1323-U1323)/(T1323-U1323))</f>
        <v>0</v>
      </c>
      <c r="W1323">
        <f>IF(COUNT($V$1321:$V$1323)&lt;3,"",AVERAGE($V$1321:$V$1323))</f>
        <v>0</v>
      </c>
      <c r="X1323">
        <f>IF(COUNT($N$1310:$N$1323)&lt;14,"",MIN($N$1310:$N$1323))</f>
        <v>0</v>
      </c>
      <c r="Y1323">
        <f>IF(COUNT($N$1310:$N$1323)&lt;14,"",MAX($N$1310:$N$1323))</f>
        <v>0</v>
      </c>
      <c r="Z1323">
        <f>IF(OR(N1323="",X1323="",Y1323="",Y1323=X1323),"",100*(N1323-X1323)/(Y1323-X1323))</f>
        <v>0</v>
      </c>
      <c r="AA1323">
        <f>IF(COUNT($Z$1321:$Z$1323)&lt;3,"",AVERAGE($Z$1321:$Z$1323))</f>
        <v>0</v>
      </c>
      <c r="AB1323">
        <f>IF(COUNT($AA$1321:$AA$1323)&lt;3,"",AVERAGE($AA$1321:$AA$1323))</f>
        <v>0</v>
      </c>
      <c r="AC1323">
        <f>IF($E1323="","",MAX($C1323-$D1323,ABS($C1323-$E1322),ABS($D1323-$E1322)))</f>
        <v>0</v>
      </c>
      <c r="AD1323">
        <f>IF(COUNT($E$2:$E1323)&lt;15,"",AVERAGE($AC$1310:$AC$1323))</f>
        <v>0</v>
      </c>
      <c r="AE1323">
        <f>IF(OR($E1323="",$E1322=""),"",IF(AND(($C1323-$C1322)&gt;($D1322-$D1323),($C1323-$C1322)&gt;0),$C1323-$C1322,0))</f>
        <v>0</v>
      </c>
      <c r="AF1323">
        <f>IF(OR($E1323="",$E1322=""),"",IF(AND(($D1322-$D1323)&gt;($C1323-$C1322),($D1322-$D1323)&gt;0),$D1322-$D1323,0))</f>
        <v>0</v>
      </c>
      <c r="AG1323">
        <f>IF(COUNT($E$2:$E1323)&lt;15,"",IF(SUM($AC$1310:$AC$1323)=0,0,100*SUM($AE$1310:$AE$1323)/SUM($AC$1310:$AC$1323)))</f>
        <v>0</v>
      </c>
      <c r="AH1323">
        <f>IF(COUNT($E$2:$E1323)&lt;15,"",IF(SUM($AC$1310:$AC$1323)=0,0,100*SUM($AF$1310:$AF$1323)/SUM($AC$1310:$AC$1323)))</f>
        <v>0</v>
      </c>
      <c r="AI1323">
        <f>IF(OR(AG1323="",AH1323=""),"",IF((AG1323+AH1323)=0,0,100*ABS(AG1323-AH1323)/(AG1323+AH1323)))</f>
        <v>0</v>
      </c>
      <c r="AJ1323">
        <f>IF(COUNT($AI$1310:$AI$1323)&lt;14,"",AVERAGE($AI$1310:$AI$1323))</f>
        <v>0</v>
      </c>
      <c r="AK1323">
        <f>IF(COUNT($E$2:$E1323)&lt;20,"",AVERAGE($E$1304:$E$1323))</f>
        <v>0</v>
      </c>
      <c r="AL1323">
        <f>IF(COUNT($E$2:$E1323)&lt;20,"",STDEVP($E$1304:$E$1323))</f>
        <v>0</v>
      </c>
      <c r="AM1323">
        <f>IF(AK1323="","",AK1323+2*AL1323)</f>
        <v>0</v>
      </c>
      <c r="AN1323">
        <f>IF(AK1323="","",AK1323-2*AL1323)</f>
        <v>0</v>
      </c>
      <c r="AO1323">
        <f>IF(OR(AM1323="",AN1323="",AM1323=AN1323),"",($E1323-AN1323)/(AM1323-AN1323))</f>
        <v>0</v>
      </c>
      <c r="AP1323">
        <f>IF(OR(AM1323="",AK1323="",AK1323=0),"",(AM1323-AN1323)/AK1323)</f>
        <v>0</v>
      </c>
      <c r="AQ1323">
        <f>IF(COUNT($E$2:$E1323)&lt;20,"",MAX($C$1304:$C$1323))</f>
        <v>0</v>
      </c>
      <c r="AR1323">
        <f>IF(COUNT($E$2:$E1323)&lt;20,"",MIN($D$1304:$D$1323))</f>
        <v>0</v>
      </c>
      <c r="AS1323">
        <f>IF(OR(AQ1323="",AR1323=""),"",(AQ1323+AR1323)/2)</f>
        <v>0</v>
      </c>
      <c r="AT1323">
        <f>IF(COUNT($G$1304:$G$1323)&lt;20,"",STDEV($G$1304:$G$1323)*SQRT(252))</f>
        <v>0</v>
      </c>
      <c r="AU1323">
        <f>IF(COUNT($E$2:$E1323)&lt;9,"",(MAX($C$1315:$C$1323)+MIN($D$1315:$D$1323))/2)</f>
        <v>0</v>
      </c>
      <c r="AV1323">
        <f>IF(COUNT($E$2:$E1323)&lt;26,"",(MAX($C$1298:$C$1323)+MIN($D$1298:$D$1323))/2)</f>
        <v>0</v>
      </c>
      <c r="AW1323">
        <f>IF(OR(AU1323="",AV1323=""),"",(AU1323+AV1323)/2)</f>
        <v>0</v>
      </c>
      <c r="AX1323">
        <f>IF(COUNT($E$2:$E1323)&lt;52,"",(MAX($C$1272:$C$1323)+MIN($D$1272:$D$1323))/2)</f>
        <v>0</v>
      </c>
      <c r="AY1323">
        <f>IF(COUNT($E$2:$E1323)&lt;20,"",MAX($C$1224:$C$1323))</f>
        <v>0</v>
      </c>
      <c r="AZ1323">
        <f>IF(COUNT($E$2:$E1323)&lt;20,"",MIN($D$1224:$D$1323))</f>
        <v>0</v>
      </c>
      <c r="BA1323">
        <f>IF(COUNT($E$2:$E1323)&lt;20,"",SLOPE($E$1224:$E$1323,$F$1224:$F$1323))</f>
        <v>0</v>
      </c>
      <c r="BB1323">
        <f>IF(COUNT($E$2:$E1323)&lt;20,"",INTERCEPT($E$1224:$E$1323,$F$1224:$F$1323))</f>
        <v>0</v>
      </c>
      <c r="BC1323">
        <f>IF(OR(BA1323="",BB1323=""),"",BB1323+BA1323*F1323)</f>
        <v>0</v>
      </c>
      <c r="BD1323">
        <f>IF(COUNT($E$2:$E1323)&lt;20,"",STEYX($E$1224:$E$1323,$F$1224:$F$1323))</f>
        <v>0</v>
      </c>
      <c r="BE1323">
        <f>IF($E1323="","",IF(AND(COUNT($E$1324:$E$1327)&gt;=4,$C1323=MAX($C$1319:$C$1327)),$C1323,""))</f>
        <v>0</v>
      </c>
      <c r="BF1323">
        <f>IF($E1323="","",IF(AND(COUNT($E$1324:$E$1327)&gt;=4,$D1323=MIN($D$1319:$D$1327)),$D1323,""))</f>
        <v>0</v>
      </c>
      <c r="BG1323">
        <f>IF($A1323="","",$A1323-WEEKDAY($A1323,2)+1)</f>
        <v>0</v>
      </c>
      <c r="BH1323">
        <f>IF($A1323="","",IF($A1322="",1,IF(BG1323&lt;&gt;BG1322,1,0)))</f>
        <v>0</v>
      </c>
      <c r="BI1323">
        <f>IF($A1323="","",IF($A1324="",1,IF(BG1324&lt;&gt;BG1323,1,0)))</f>
        <v>0</v>
      </c>
      <c r="BJ1323">
        <f>IF($A1323="","",IF(BH1323=1,$B1323,BJ1322))</f>
        <v>0</v>
      </c>
      <c r="BK1323">
        <f>IF($A1323="","",IF(BH1323=1,$C1323,MAX($C1323,BK1322)))</f>
        <v>0</v>
      </c>
      <c r="BL1323">
        <f>IF($A1323="","",IF(BH1323=1,$D1323,MIN($D1323,BL1322)))</f>
        <v>0</v>
      </c>
      <c r="BM1323">
        <f>IF($A1323="","",IF(BI1323=1,F1323,""))</f>
        <v>0</v>
      </c>
      <c r="BN1323">
        <f>IF($A1323="","",DATE(YEAR($A1323),MONTH($A1323),1))</f>
        <v>0</v>
      </c>
      <c r="BO1323">
        <f>IF($A1323="","",IF($A1322="",1,IF(BN1323&lt;&gt;BN1322,1,0)))</f>
        <v>0</v>
      </c>
      <c r="BP1323">
        <f>IF($A1323="","",IF($A1324="",1,IF(BN1324&lt;&gt;BN1323,1,0)))</f>
        <v>0</v>
      </c>
      <c r="BQ1323">
        <f>IF($A1323="","",IF(BO1323=1,$B1323,BQ1322))</f>
        <v>0</v>
      </c>
      <c r="BR1323">
        <f>IF($A1323="","",IF(BO1323=1,$C1323,MAX($C1323,BR1322)))</f>
        <v>0</v>
      </c>
      <c r="BS1323">
        <f>IF($A1323="","",IF(BO1323=1,$D1323,MIN($D1323,BS1322)))</f>
        <v>0</v>
      </c>
      <c r="BT1323">
        <f>IF($A1323="","",IF(BP1323=1,F1323,""))</f>
        <v>0</v>
      </c>
    </row>
    <row r="1324" spans="1:72">
      <c r="A1324" s="27">
        <f>IF(Data!$A1324="","",Data!$A1324)</f>
        <v>0</v>
      </c>
      <c r="B1324">
        <f>IF(Data!$B1324="","",Data!$B1324)</f>
        <v>0</v>
      </c>
      <c r="C1324">
        <f>IF(Data!$C1324="","",Data!$C1324)</f>
        <v>0</v>
      </c>
      <c r="D1324">
        <f>IF(Data!$D1324="","",Data!$D1324)</f>
        <v>0</v>
      </c>
      <c r="E1324">
        <f>IF(Data!$E1324="","",Data!$E1324)</f>
        <v>0</v>
      </c>
      <c r="F1324">
        <f>IF($E1324="","",N(F1323)+1)</f>
        <v>0</v>
      </c>
      <c r="G1324">
        <f>IF(OR($E1324="",$E1323=""),"",LN($E1324/$E1323))</f>
        <v>0</v>
      </c>
      <c r="H1324">
        <f>IF($E1324="","",IF($E1323="",$E1324,$E1324*0.0952380952+H1323*0.9047619048))</f>
        <v>0</v>
      </c>
      <c r="I1324">
        <f>IF($E1324="","",IF($E1323="",$E1324,$E1324*0.0392156863+I1323*0.9607843137))</f>
        <v>0</v>
      </c>
      <c r="J1324">
        <f>IF($E1324="","",IF($E1323="",$E1324,$E1324*0.0198019802+J1323*0.9801980198))</f>
        <v>0</v>
      </c>
      <c r="K1324">
        <f>IF($E1324="","",IF($E1323="",$E1324,$E1324*0.0099502488+K1323*0.9900497512))</f>
        <v>0</v>
      </c>
      <c r="L1324">
        <f>IF(OR($E1324="",$E1323=""),"",MAX($E1324-$E1323,0))</f>
        <v>0</v>
      </c>
      <c r="M1324">
        <f>IF(OR($E1324="",$E1323=""),"",MAX($E1323-$E1324,0))</f>
        <v>0</v>
      </c>
      <c r="N1324">
        <f>IF(COUNT($E$2:$E1324)&lt;15,"",IF(AVERAGE($M$1311:$M$1324)=0,100,100-100/(1+AVERAGE($L$1311:$L$1324)/AVERAGE($M$1311:$M$1324))))</f>
        <v>0</v>
      </c>
      <c r="O1324">
        <f>IF($E1324="","",IF($E1323="",$E1324,$E1324*0.1538461538+O1323*0.8461538462))</f>
        <v>0</v>
      </c>
      <c r="P1324">
        <f>IF($E1324="","",IF($E1323="",$E1324,$E1324*0.0740740741+P1323*0.9259259259))</f>
        <v>0</v>
      </c>
      <c r="Q1324">
        <f>IF(OR(O1324="",P1324=""),"",O1324-P1324)</f>
        <v>0</v>
      </c>
      <c r="R1324">
        <f>IF(Q1324="","",IF(R1323="",Q1324,Q1324*0.2000000000+R1323*0.8000000000))</f>
        <v>0</v>
      </c>
      <c r="S1324">
        <f>IF(OR(Q1324="",R1324=""),"",Q1324-R1324)</f>
        <v>0</v>
      </c>
      <c r="T1324">
        <f>IF(COUNT($E$2:$E1324)&lt;14,"",MAX($C$1311:$C$1324))</f>
        <v>0</v>
      </c>
      <c r="U1324">
        <f>IF(COUNT($E$2:$E1324)&lt;14,"",MIN($D$1311:$D$1324))</f>
        <v>0</v>
      </c>
      <c r="V1324">
        <f>IF(OR(T1324="",U1324="",T1324=U1324),"",100*($E1324-U1324)/(T1324-U1324))</f>
        <v>0</v>
      </c>
      <c r="W1324">
        <f>IF(COUNT($V$1322:$V$1324)&lt;3,"",AVERAGE($V$1322:$V$1324))</f>
        <v>0</v>
      </c>
      <c r="X1324">
        <f>IF(COUNT($N$1311:$N$1324)&lt;14,"",MIN($N$1311:$N$1324))</f>
        <v>0</v>
      </c>
      <c r="Y1324">
        <f>IF(COUNT($N$1311:$N$1324)&lt;14,"",MAX($N$1311:$N$1324))</f>
        <v>0</v>
      </c>
      <c r="Z1324">
        <f>IF(OR(N1324="",X1324="",Y1324="",Y1324=X1324),"",100*(N1324-X1324)/(Y1324-X1324))</f>
        <v>0</v>
      </c>
      <c r="AA1324">
        <f>IF(COUNT($Z$1322:$Z$1324)&lt;3,"",AVERAGE($Z$1322:$Z$1324))</f>
        <v>0</v>
      </c>
      <c r="AB1324">
        <f>IF(COUNT($AA$1322:$AA$1324)&lt;3,"",AVERAGE($AA$1322:$AA$1324))</f>
        <v>0</v>
      </c>
      <c r="AC1324">
        <f>IF($E1324="","",MAX($C1324-$D1324,ABS($C1324-$E1323),ABS($D1324-$E1323)))</f>
        <v>0</v>
      </c>
      <c r="AD1324">
        <f>IF(COUNT($E$2:$E1324)&lt;15,"",AVERAGE($AC$1311:$AC$1324))</f>
        <v>0</v>
      </c>
      <c r="AE1324">
        <f>IF(OR($E1324="",$E1323=""),"",IF(AND(($C1324-$C1323)&gt;($D1323-$D1324),($C1324-$C1323)&gt;0),$C1324-$C1323,0))</f>
        <v>0</v>
      </c>
      <c r="AF1324">
        <f>IF(OR($E1324="",$E1323=""),"",IF(AND(($D1323-$D1324)&gt;($C1324-$C1323),($D1323-$D1324)&gt;0),$D1323-$D1324,0))</f>
        <v>0</v>
      </c>
      <c r="AG1324">
        <f>IF(COUNT($E$2:$E1324)&lt;15,"",IF(SUM($AC$1311:$AC$1324)=0,0,100*SUM($AE$1311:$AE$1324)/SUM($AC$1311:$AC$1324)))</f>
        <v>0</v>
      </c>
      <c r="AH1324">
        <f>IF(COUNT($E$2:$E1324)&lt;15,"",IF(SUM($AC$1311:$AC$1324)=0,0,100*SUM($AF$1311:$AF$1324)/SUM($AC$1311:$AC$1324)))</f>
        <v>0</v>
      </c>
      <c r="AI1324">
        <f>IF(OR(AG1324="",AH1324=""),"",IF((AG1324+AH1324)=0,0,100*ABS(AG1324-AH1324)/(AG1324+AH1324)))</f>
        <v>0</v>
      </c>
      <c r="AJ1324">
        <f>IF(COUNT($AI$1311:$AI$1324)&lt;14,"",AVERAGE($AI$1311:$AI$1324))</f>
        <v>0</v>
      </c>
      <c r="AK1324">
        <f>IF(COUNT($E$2:$E1324)&lt;20,"",AVERAGE($E$1305:$E$1324))</f>
        <v>0</v>
      </c>
      <c r="AL1324">
        <f>IF(COUNT($E$2:$E1324)&lt;20,"",STDEVP($E$1305:$E$1324))</f>
        <v>0</v>
      </c>
      <c r="AM1324">
        <f>IF(AK1324="","",AK1324+2*AL1324)</f>
        <v>0</v>
      </c>
      <c r="AN1324">
        <f>IF(AK1324="","",AK1324-2*AL1324)</f>
        <v>0</v>
      </c>
      <c r="AO1324">
        <f>IF(OR(AM1324="",AN1324="",AM1324=AN1324),"",($E1324-AN1324)/(AM1324-AN1324))</f>
        <v>0</v>
      </c>
      <c r="AP1324">
        <f>IF(OR(AM1324="",AK1324="",AK1324=0),"",(AM1324-AN1324)/AK1324)</f>
        <v>0</v>
      </c>
      <c r="AQ1324">
        <f>IF(COUNT($E$2:$E1324)&lt;20,"",MAX($C$1305:$C$1324))</f>
        <v>0</v>
      </c>
      <c r="AR1324">
        <f>IF(COUNT($E$2:$E1324)&lt;20,"",MIN($D$1305:$D$1324))</f>
        <v>0</v>
      </c>
      <c r="AS1324">
        <f>IF(OR(AQ1324="",AR1324=""),"",(AQ1324+AR1324)/2)</f>
        <v>0</v>
      </c>
      <c r="AT1324">
        <f>IF(COUNT($G$1305:$G$1324)&lt;20,"",STDEV($G$1305:$G$1324)*SQRT(252))</f>
        <v>0</v>
      </c>
      <c r="AU1324">
        <f>IF(COUNT($E$2:$E1324)&lt;9,"",(MAX($C$1316:$C$1324)+MIN($D$1316:$D$1324))/2)</f>
        <v>0</v>
      </c>
      <c r="AV1324">
        <f>IF(COUNT($E$2:$E1324)&lt;26,"",(MAX($C$1299:$C$1324)+MIN($D$1299:$D$1324))/2)</f>
        <v>0</v>
      </c>
      <c r="AW1324">
        <f>IF(OR(AU1324="",AV1324=""),"",(AU1324+AV1324)/2)</f>
        <v>0</v>
      </c>
      <c r="AX1324">
        <f>IF(COUNT($E$2:$E1324)&lt;52,"",(MAX($C$1273:$C$1324)+MIN($D$1273:$D$1324))/2)</f>
        <v>0</v>
      </c>
      <c r="AY1324">
        <f>IF(COUNT($E$2:$E1324)&lt;20,"",MAX($C$1225:$C$1324))</f>
        <v>0</v>
      </c>
      <c r="AZ1324">
        <f>IF(COUNT($E$2:$E1324)&lt;20,"",MIN($D$1225:$D$1324))</f>
        <v>0</v>
      </c>
      <c r="BA1324">
        <f>IF(COUNT($E$2:$E1324)&lt;20,"",SLOPE($E$1225:$E$1324,$F$1225:$F$1324))</f>
        <v>0</v>
      </c>
      <c r="BB1324">
        <f>IF(COUNT($E$2:$E1324)&lt;20,"",INTERCEPT($E$1225:$E$1324,$F$1225:$F$1324))</f>
        <v>0</v>
      </c>
      <c r="BC1324">
        <f>IF(OR(BA1324="",BB1324=""),"",BB1324+BA1324*F1324)</f>
        <v>0</v>
      </c>
      <c r="BD1324">
        <f>IF(COUNT($E$2:$E1324)&lt;20,"",STEYX($E$1225:$E$1324,$F$1225:$F$1324))</f>
        <v>0</v>
      </c>
      <c r="BE1324">
        <f>IF($E1324="","",IF(AND(COUNT($E$1325:$E$1328)&gt;=4,$C1324=MAX($C$1320:$C$1328)),$C1324,""))</f>
        <v>0</v>
      </c>
      <c r="BF1324">
        <f>IF($E1324="","",IF(AND(COUNT($E$1325:$E$1328)&gt;=4,$D1324=MIN($D$1320:$D$1328)),$D1324,""))</f>
        <v>0</v>
      </c>
      <c r="BG1324">
        <f>IF($A1324="","",$A1324-WEEKDAY($A1324,2)+1)</f>
        <v>0</v>
      </c>
      <c r="BH1324">
        <f>IF($A1324="","",IF($A1323="",1,IF(BG1324&lt;&gt;BG1323,1,0)))</f>
        <v>0</v>
      </c>
      <c r="BI1324">
        <f>IF($A1324="","",IF($A1325="",1,IF(BG1325&lt;&gt;BG1324,1,0)))</f>
        <v>0</v>
      </c>
      <c r="BJ1324">
        <f>IF($A1324="","",IF(BH1324=1,$B1324,BJ1323))</f>
        <v>0</v>
      </c>
      <c r="BK1324">
        <f>IF($A1324="","",IF(BH1324=1,$C1324,MAX($C1324,BK1323)))</f>
        <v>0</v>
      </c>
      <c r="BL1324">
        <f>IF($A1324="","",IF(BH1324=1,$D1324,MIN($D1324,BL1323)))</f>
        <v>0</v>
      </c>
      <c r="BM1324">
        <f>IF($A1324="","",IF(BI1324=1,F1324,""))</f>
        <v>0</v>
      </c>
      <c r="BN1324">
        <f>IF($A1324="","",DATE(YEAR($A1324),MONTH($A1324),1))</f>
        <v>0</v>
      </c>
      <c r="BO1324">
        <f>IF($A1324="","",IF($A1323="",1,IF(BN1324&lt;&gt;BN1323,1,0)))</f>
        <v>0</v>
      </c>
      <c r="BP1324">
        <f>IF($A1324="","",IF($A1325="",1,IF(BN1325&lt;&gt;BN1324,1,0)))</f>
        <v>0</v>
      </c>
      <c r="BQ1324">
        <f>IF($A1324="","",IF(BO1324=1,$B1324,BQ1323))</f>
        <v>0</v>
      </c>
      <c r="BR1324">
        <f>IF($A1324="","",IF(BO1324=1,$C1324,MAX($C1324,BR1323)))</f>
        <v>0</v>
      </c>
      <c r="BS1324">
        <f>IF($A1324="","",IF(BO1324=1,$D1324,MIN($D1324,BS1323)))</f>
        <v>0</v>
      </c>
      <c r="BT1324">
        <f>IF($A1324="","",IF(BP1324=1,F1324,""))</f>
        <v>0</v>
      </c>
    </row>
    <row r="1325" spans="1:72">
      <c r="A1325" s="27">
        <f>IF(Data!$A1325="","",Data!$A1325)</f>
        <v>0</v>
      </c>
      <c r="B1325">
        <f>IF(Data!$B1325="","",Data!$B1325)</f>
        <v>0</v>
      </c>
      <c r="C1325">
        <f>IF(Data!$C1325="","",Data!$C1325)</f>
        <v>0</v>
      </c>
      <c r="D1325">
        <f>IF(Data!$D1325="","",Data!$D1325)</f>
        <v>0</v>
      </c>
      <c r="E1325">
        <f>IF(Data!$E1325="","",Data!$E1325)</f>
        <v>0</v>
      </c>
      <c r="F1325">
        <f>IF($E1325="","",N(F1324)+1)</f>
        <v>0</v>
      </c>
      <c r="G1325">
        <f>IF(OR($E1325="",$E1324=""),"",LN($E1325/$E1324))</f>
        <v>0</v>
      </c>
      <c r="H1325">
        <f>IF($E1325="","",IF($E1324="",$E1325,$E1325*0.0952380952+H1324*0.9047619048))</f>
        <v>0</v>
      </c>
      <c r="I1325">
        <f>IF($E1325="","",IF($E1324="",$E1325,$E1325*0.0392156863+I1324*0.9607843137))</f>
        <v>0</v>
      </c>
      <c r="J1325">
        <f>IF($E1325="","",IF($E1324="",$E1325,$E1325*0.0198019802+J1324*0.9801980198))</f>
        <v>0</v>
      </c>
      <c r="K1325">
        <f>IF($E1325="","",IF($E1324="",$E1325,$E1325*0.0099502488+K1324*0.9900497512))</f>
        <v>0</v>
      </c>
      <c r="L1325">
        <f>IF(OR($E1325="",$E1324=""),"",MAX($E1325-$E1324,0))</f>
        <v>0</v>
      </c>
      <c r="M1325">
        <f>IF(OR($E1325="",$E1324=""),"",MAX($E1324-$E1325,0))</f>
        <v>0</v>
      </c>
      <c r="N1325">
        <f>IF(COUNT($E$2:$E1325)&lt;15,"",IF(AVERAGE($M$1312:$M$1325)=0,100,100-100/(1+AVERAGE($L$1312:$L$1325)/AVERAGE($M$1312:$M$1325))))</f>
        <v>0</v>
      </c>
      <c r="O1325">
        <f>IF($E1325="","",IF($E1324="",$E1325,$E1325*0.1538461538+O1324*0.8461538462))</f>
        <v>0</v>
      </c>
      <c r="P1325">
        <f>IF($E1325="","",IF($E1324="",$E1325,$E1325*0.0740740741+P1324*0.9259259259))</f>
        <v>0</v>
      </c>
      <c r="Q1325">
        <f>IF(OR(O1325="",P1325=""),"",O1325-P1325)</f>
        <v>0</v>
      </c>
      <c r="R1325">
        <f>IF(Q1325="","",IF(R1324="",Q1325,Q1325*0.2000000000+R1324*0.8000000000))</f>
        <v>0</v>
      </c>
      <c r="S1325">
        <f>IF(OR(Q1325="",R1325=""),"",Q1325-R1325)</f>
        <v>0</v>
      </c>
      <c r="T1325">
        <f>IF(COUNT($E$2:$E1325)&lt;14,"",MAX($C$1312:$C$1325))</f>
        <v>0</v>
      </c>
      <c r="U1325">
        <f>IF(COUNT($E$2:$E1325)&lt;14,"",MIN($D$1312:$D$1325))</f>
        <v>0</v>
      </c>
      <c r="V1325">
        <f>IF(OR(T1325="",U1325="",T1325=U1325),"",100*($E1325-U1325)/(T1325-U1325))</f>
        <v>0</v>
      </c>
      <c r="W1325">
        <f>IF(COUNT($V$1323:$V$1325)&lt;3,"",AVERAGE($V$1323:$V$1325))</f>
        <v>0</v>
      </c>
      <c r="X1325">
        <f>IF(COUNT($N$1312:$N$1325)&lt;14,"",MIN($N$1312:$N$1325))</f>
        <v>0</v>
      </c>
      <c r="Y1325">
        <f>IF(COUNT($N$1312:$N$1325)&lt;14,"",MAX($N$1312:$N$1325))</f>
        <v>0</v>
      </c>
      <c r="Z1325">
        <f>IF(OR(N1325="",X1325="",Y1325="",Y1325=X1325),"",100*(N1325-X1325)/(Y1325-X1325))</f>
        <v>0</v>
      </c>
      <c r="AA1325">
        <f>IF(COUNT($Z$1323:$Z$1325)&lt;3,"",AVERAGE($Z$1323:$Z$1325))</f>
        <v>0</v>
      </c>
      <c r="AB1325">
        <f>IF(COUNT($AA$1323:$AA$1325)&lt;3,"",AVERAGE($AA$1323:$AA$1325))</f>
        <v>0</v>
      </c>
      <c r="AC1325">
        <f>IF($E1325="","",MAX($C1325-$D1325,ABS($C1325-$E1324),ABS($D1325-$E1324)))</f>
        <v>0</v>
      </c>
      <c r="AD1325">
        <f>IF(COUNT($E$2:$E1325)&lt;15,"",AVERAGE($AC$1312:$AC$1325))</f>
        <v>0</v>
      </c>
      <c r="AE1325">
        <f>IF(OR($E1325="",$E1324=""),"",IF(AND(($C1325-$C1324)&gt;($D1324-$D1325),($C1325-$C1324)&gt;0),$C1325-$C1324,0))</f>
        <v>0</v>
      </c>
      <c r="AF1325">
        <f>IF(OR($E1325="",$E1324=""),"",IF(AND(($D1324-$D1325)&gt;($C1325-$C1324),($D1324-$D1325)&gt;0),$D1324-$D1325,0))</f>
        <v>0</v>
      </c>
      <c r="AG1325">
        <f>IF(COUNT($E$2:$E1325)&lt;15,"",IF(SUM($AC$1312:$AC$1325)=0,0,100*SUM($AE$1312:$AE$1325)/SUM($AC$1312:$AC$1325)))</f>
        <v>0</v>
      </c>
      <c r="AH1325">
        <f>IF(COUNT($E$2:$E1325)&lt;15,"",IF(SUM($AC$1312:$AC$1325)=0,0,100*SUM($AF$1312:$AF$1325)/SUM($AC$1312:$AC$1325)))</f>
        <v>0</v>
      </c>
      <c r="AI1325">
        <f>IF(OR(AG1325="",AH1325=""),"",IF((AG1325+AH1325)=0,0,100*ABS(AG1325-AH1325)/(AG1325+AH1325)))</f>
        <v>0</v>
      </c>
      <c r="AJ1325">
        <f>IF(COUNT($AI$1312:$AI$1325)&lt;14,"",AVERAGE($AI$1312:$AI$1325))</f>
        <v>0</v>
      </c>
      <c r="AK1325">
        <f>IF(COUNT($E$2:$E1325)&lt;20,"",AVERAGE($E$1306:$E$1325))</f>
        <v>0</v>
      </c>
      <c r="AL1325">
        <f>IF(COUNT($E$2:$E1325)&lt;20,"",STDEVP($E$1306:$E$1325))</f>
        <v>0</v>
      </c>
      <c r="AM1325">
        <f>IF(AK1325="","",AK1325+2*AL1325)</f>
        <v>0</v>
      </c>
      <c r="AN1325">
        <f>IF(AK1325="","",AK1325-2*AL1325)</f>
        <v>0</v>
      </c>
      <c r="AO1325">
        <f>IF(OR(AM1325="",AN1325="",AM1325=AN1325),"",($E1325-AN1325)/(AM1325-AN1325))</f>
        <v>0</v>
      </c>
      <c r="AP1325">
        <f>IF(OR(AM1325="",AK1325="",AK1325=0),"",(AM1325-AN1325)/AK1325)</f>
        <v>0</v>
      </c>
      <c r="AQ1325">
        <f>IF(COUNT($E$2:$E1325)&lt;20,"",MAX($C$1306:$C$1325))</f>
        <v>0</v>
      </c>
      <c r="AR1325">
        <f>IF(COUNT($E$2:$E1325)&lt;20,"",MIN($D$1306:$D$1325))</f>
        <v>0</v>
      </c>
      <c r="AS1325">
        <f>IF(OR(AQ1325="",AR1325=""),"",(AQ1325+AR1325)/2)</f>
        <v>0</v>
      </c>
      <c r="AT1325">
        <f>IF(COUNT($G$1306:$G$1325)&lt;20,"",STDEV($G$1306:$G$1325)*SQRT(252))</f>
        <v>0</v>
      </c>
      <c r="AU1325">
        <f>IF(COUNT($E$2:$E1325)&lt;9,"",(MAX($C$1317:$C$1325)+MIN($D$1317:$D$1325))/2)</f>
        <v>0</v>
      </c>
      <c r="AV1325">
        <f>IF(COUNT($E$2:$E1325)&lt;26,"",(MAX($C$1300:$C$1325)+MIN($D$1300:$D$1325))/2)</f>
        <v>0</v>
      </c>
      <c r="AW1325">
        <f>IF(OR(AU1325="",AV1325=""),"",(AU1325+AV1325)/2)</f>
        <v>0</v>
      </c>
      <c r="AX1325">
        <f>IF(COUNT($E$2:$E1325)&lt;52,"",(MAX($C$1274:$C$1325)+MIN($D$1274:$D$1325))/2)</f>
        <v>0</v>
      </c>
      <c r="AY1325">
        <f>IF(COUNT($E$2:$E1325)&lt;20,"",MAX($C$1226:$C$1325))</f>
        <v>0</v>
      </c>
      <c r="AZ1325">
        <f>IF(COUNT($E$2:$E1325)&lt;20,"",MIN($D$1226:$D$1325))</f>
        <v>0</v>
      </c>
      <c r="BA1325">
        <f>IF(COUNT($E$2:$E1325)&lt;20,"",SLOPE($E$1226:$E$1325,$F$1226:$F$1325))</f>
        <v>0</v>
      </c>
      <c r="BB1325">
        <f>IF(COUNT($E$2:$E1325)&lt;20,"",INTERCEPT($E$1226:$E$1325,$F$1226:$F$1325))</f>
        <v>0</v>
      </c>
      <c r="BC1325">
        <f>IF(OR(BA1325="",BB1325=""),"",BB1325+BA1325*F1325)</f>
        <v>0</v>
      </c>
      <c r="BD1325">
        <f>IF(COUNT($E$2:$E1325)&lt;20,"",STEYX($E$1226:$E$1325,$F$1226:$F$1325))</f>
        <v>0</v>
      </c>
      <c r="BE1325">
        <f>IF($E1325="","",IF(AND(COUNT($E$1326:$E$1329)&gt;=4,$C1325=MAX($C$1321:$C$1329)),$C1325,""))</f>
        <v>0</v>
      </c>
      <c r="BF1325">
        <f>IF($E1325="","",IF(AND(COUNT($E$1326:$E$1329)&gt;=4,$D1325=MIN($D$1321:$D$1329)),$D1325,""))</f>
        <v>0</v>
      </c>
      <c r="BG1325">
        <f>IF($A1325="","",$A1325-WEEKDAY($A1325,2)+1)</f>
        <v>0</v>
      </c>
      <c r="BH1325">
        <f>IF($A1325="","",IF($A1324="",1,IF(BG1325&lt;&gt;BG1324,1,0)))</f>
        <v>0</v>
      </c>
      <c r="BI1325">
        <f>IF($A1325="","",IF($A1326="",1,IF(BG1326&lt;&gt;BG1325,1,0)))</f>
        <v>0</v>
      </c>
      <c r="BJ1325">
        <f>IF($A1325="","",IF(BH1325=1,$B1325,BJ1324))</f>
        <v>0</v>
      </c>
      <c r="BK1325">
        <f>IF($A1325="","",IF(BH1325=1,$C1325,MAX($C1325,BK1324)))</f>
        <v>0</v>
      </c>
      <c r="BL1325">
        <f>IF($A1325="","",IF(BH1325=1,$D1325,MIN($D1325,BL1324)))</f>
        <v>0</v>
      </c>
      <c r="BM1325">
        <f>IF($A1325="","",IF(BI1325=1,F1325,""))</f>
        <v>0</v>
      </c>
      <c r="BN1325">
        <f>IF($A1325="","",DATE(YEAR($A1325),MONTH($A1325),1))</f>
        <v>0</v>
      </c>
      <c r="BO1325">
        <f>IF($A1325="","",IF($A1324="",1,IF(BN1325&lt;&gt;BN1324,1,0)))</f>
        <v>0</v>
      </c>
      <c r="BP1325">
        <f>IF($A1325="","",IF($A1326="",1,IF(BN1326&lt;&gt;BN1325,1,0)))</f>
        <v>0</v>
      </c>
      <c r="BQ1325">
        <f>IF($A1325="","",IF(BO1325=1,$B1325,BQ1324))</f>
        <v>0</v>
      </c>
      <c r="BR1325">
        <f>IF($A1325="","",IF(BO1325=1,$C1325,MAX($C1325,BR1324)))</f>
        <v>0</v>
      </c>
      <c r="BS1325">
        <f>IF($A1325="","",IF(BO1325=1,$D1325,MIN($D1325,BS1324)))</f>
        <v>0</v>
      </c>
      <c r="BT1325">
        <f>IF($A1325="","",IF(BP1325=1,F1325,""))</f>
        <v>0</v>
      </c>
    </row>
    <row r="1326" spans="1:72">
      <c r="A1326" s="27">
        <f>IF(Data!$A1326="","",Data!$A1326)</f>
        <v>0</v>
      </c>
      <c r="B1326">
        <f>IF(Data!$B1326="","",Data!$B1326)</f>
        <v>0</v>
      </c>
      <c r="C1326">
        <f>IF(Data!$C1326="","",Data!$C1326)</f>
        <v>0</v>
      </c>
      <c r="D1326">
        <f>IF(Data!$D1326="","",Data!$D1326)</f>
        <v>0</v>
      </c>
      <c r="E1326">
        <f>IF(Data!$E1326="","",Data!$E1326)</f>
        <v>0</v>
      </c>
      <c r="F1326">
        <f>IF($E1326="","",N(F1325)+1)</f>
        <v>0</v>
      </c>
      <c r="G1326">
        <f>IF(OR($E1326="",$E1325=""),"",LN($E1326/$E1325))</f>
        <v>0</v>
      </c>
      <c r="H1326">
        <f>IF($E1326="","",IF($E1325="",$E1326,$E1326*0.0952380952+H1325*0.9047619048))</f>
        <v>0</v>
      </c>
      <c r="I1326">
        <f>IF($E1326="","",IF($E1325="",$E1326,$E1326*0.0392156863+I1325*0.9607843137))</f>
        <v>0</v>
      </c>
      <c r="J1326">
        <f>IF($E1326="","",IF($E1325="",$E1326,$E1326*0.0198019802+J1325*0.9801980198))</f>
        <v>0</v>
      </c>
      <c r="K1326">
        <f>IF($E1326="","",IF($E1325="",$E1326,$E1326*0.0099502488+K1325*0.9900497512))</f>
        <v>0</v>
      </c>
      <c r="L1326">
        <f>IF(OR($E1326="",$E1325=""),"",MAX($E1326-$E1325,0))</f>
        <v>0</v>
      </c>
      <c r="M1326">
        <f>IF(OR($E1326="",$E1325=""),"",MAX($E1325-$E1326,0))</f>
        <v>0</v>
      </c>
      <c r="N1326">
        <f>IF(COUNT($E$2:$E1326)&lt;15,"",IF(AVERAGE($M$1313:$M$1326)=0,100,100-100/(1+AVERAGE($L$1313:$L$1326)/AVERAGE($M$1313:$M$1326))))</f>
        <v>0</v>
      </c>
      <c r="O1326">
        <f>IF($E1326="","",IF($E1325="",$E1326,$E1326*0.1538461538+O1325*0.8461538462))</f>
        <v>0</v>
      </c>
      <c r="P1326">
        <f>IF($E1326="","",IF($E1325="",$E1326,$E1326*0.0740740741+P1325*0.9259259259))</f>
        <v>0</v>
      </c>
      <c r="Q1326">
        <f>IF(OR(O1326="",P1326=""),"",O1326-P1326)</f>
        <v>0</v>
      </c>
      <c r="R1326">
        <f>IF(Q1326="","",IF(R1325="",Q1326,Q1326*0.2000000000+R1325*0.8000000000))</f>
        <v>0</v>
      </c>
      <c r="S1326">
        <f>IF(OR(Q1326="",R1326=""),"",Q1326-R1326)</f>
        <v>0</v>
      </c>
      <c r="T1326">
        <f>IF(COUNT($E$2:$E1326)&lt;14,"",MAX($C$1313:$C$1326))</f>
        <v>0</v>
      </c>
      <c r="U1326">
        <f>IF(COUNT($E$2:$E1326)&lt;14,"",MIN($D$1313:$D$1326))</f>
        <v>0</v>
      </c>
      <c r="V1326">
        <f>IF(OR(T1326="",U1326="",T1326=U1326),"",100*($E1326-U1326)/(T1326-U1326))</f>
        <v>0</v>
      </c>
      <c r="W1326">
        <f>IF(COUNT($V$1324:$V$1326)&lt;3,"",AVERAGE($V$1324:$V$1326))</f>
        <v>0</v>
      </c>
      <c r="X1326">
        <f>IF(COUNT($N$1313:$N$1326)&lt;14,"",MIN($N$1313:$N$1326))</f>
        <v>0</v>
      </c>
      <c r="Y1326">
        <f>IF(COUNT($N$1313:$N$1326)&lt;14,"",MAX($N$1313:$N$1326))</f>
        <v>0</v>
      </c>
      <c r="Z1326">
        <f>IF(OR(N1326="",X1326="",Y1326="",Y1326=X1326),"",100*(N1326-X1326)/(Y1326-X1326))</f>
        <v>0</v>
      </c>
      <c r="AA1326">
        <f>IF(COUNT($Z$1324:$Z$1326)&lt;3,"",AVERAGE($Z$1324:$Z$1326))</f>
        <v>0</v>
      </c>
      <c r="AB1326">
        <f>IF(COUNT($AA$1324:$AA$1326)&lt;3,"",AVERAGE($AA$1324:$AA$1326))</f>
        <v>0</v>
      </c>
      <c r="AC1326">
        <f>IF($E1326="","",MAX($C1326-$D1326,ABS($C1326-$E1325),ABS($D1326-$E1325)))</f>
        <v>0</v>
      </c>
      <c r="AD1326">
        <f>IF(COUNT($E$2:$E1326)&lt;15,"",AVERAGE($AC$1313:$AC$1326))</f>
        <v>0</v>
      </c>
      <c r="AE1326">
        <f>IF(OR($E1326="",$E1325=""),"",IF(AND(($C1326-$C1325)&gt;($D1325-$D1326),($C1326-$C1325)&gt;0),$C1326-$C1325,0))</f>
        <v>0</v>
      </c>
      <c r="AF1326">
        <f>IF(OR($E1326="",$E1325=""),"",IF(AND(($D1325-$D1326)&gt;($C1326-$C1325),($D1325-$D1326)&gt;0),$D1325-$D1326,0))</f>
        <v>0</v>
      </c>
      <c r="AG1326">
        <f>IF(COUNT($E$2:$E1326)&lt;15,"",IF(SUM($AC$1313:$AC$1326)=0,0,100*SUM($AE$1313:$AE$1326)/SUM($AC$1313:$AC$1326)))</f>
        <v>0</v>
      </c>
      <c r="AH1326">
        <f>IF(COUNT($E$2:$E1326)&lt;15,"",IF(SUM($AC$1313:$AC$1326)=0,0,100*SUM($AF$1313:$AF$1326)/SUM($AC$1313:$AC$1326)))</f>
        <v>0</v>
      </c>
      <c r="AI1326">
        <f>IF(OR(AG1326="",AH1326=""),"",IF((AG1326+AH1326)=0,0,100*ABS(AG1326-AH1326)/(AG1326+AH1326)))</f>
        <v>0</v>
      </c>
      <c r="AJ1326">
        <f>IF(COUNT($AI$1313:$AI$1326)&lt;14,"",AVERAGE($AI$1313:$AI$1326))</f>
        <v>0</v>
      </c>
      <c r="AK1326">
        <f>IF(COUNT($E$2:$E1326)&lt;20,"",AVERAGE($E$1307:$E$1326))</f>
        <v>0</v>
      </c>
      <c r="AL1326">
        <f>IF(COUNT($E$2:$E1326)&lt;20,"",STDEVP($E$1307:$E$1326))</f>
        <v>0</v>
      </c>
      <c r="AM1326">
        <f>IF(AK1326="","",AK1326+2*AL1326)</f>
        <v>0</v>
      </c>
      <c r="AN1326">
        <f>IF(AK1326="","",AK1326-2*AL1326)</f>
        <v>0</v>
      </c>
      <c r="AO1326">
        <f>IF(OR(AM1326="",AN1326="",AM1326=AN1326),"",($E1326-AN1326)/(AM1326-AN1326))</f>
        <v>0</v>
      </c>
      <c r="AP1326">
        <f>IF(OR(AM1326="",AK1326="",AK1326=0),"",(AM1326-AN1326)/AK1326)</f>
        <v>0</v>
      </c>
      <c r="AQ1326">
        <f>IF(COUNT($E$2:$E1326)&lt;20,"",MAX($C$1307:$C$1326))</f>
        <v>0</v>
      </c>
      <c r="AR1326">
        <f>IF(COUNT($E$2:$E1326)&lt;20,"",MIN($D$1307:$D$1326))</f>
        <v>0</v>
      </c>
      <c r="AS1326">
        <f>IF(OR(AQ1326="",AR1326=""),"",(AQ1326+AR1326)/2)</f>
        <v>0</v>
      </c>
      <c r="AT1326">
        <f>IF(COUNT($G$1307:$G$1326)&lt;20,"",STDEV($G$1307:$G$1326)*SQRT(252))</f>
        <v>0</v>
      </c>
      <c r="AU1326">
        <f>IF(COUNT($E$2:$E1326)&lt;9,"",(MAX($C$1318:$C$1326)+MIN($D$1318:$D$1326))/2)</f>
        <v>0</v>
      </c>
      <c r="AV1326">
        <f>IF(COUNT($E$2:$E1326)&lt;26,"",(MAX($C$1301:$C$1326)+MIN($D$1301:$D$1326))/2)</f>
        <v>0</v>
      </c>
      <c r="AW1326">
        <f>IF(OR(AU1326="",AV1326=""),"",(AU1326+AV1326)/2)</f>
        <v>0</v>
      </c>
      <c r="AX1326">
        <f>IF(COUNT($E$2:$E1326)&lt;52,"",(MAX($C$1275:$C$1326)+MIN($D$1275:$D$1326))/2)</f>
        <v>0</v>
      </c>
      <c r="AY1326">
        <f>IF(COUNT($E$2:$E1326)&lt;20,"",MAX($C$1227:$C$1326))</f>
        <v>0</v>
      </c>
      <c r="AZ1326">
        <f>IF(COUNT($E$2:$E1326)&lt;20,"",MIN($D$1227:$D$1326))</f>
        <v>0</v>
      </c>
      <c r="BA1326">
        <f>IF(COUNT($E$2:$E1326)&lt;20,"",SLOPE($E$1227:$E$1326,$F$1227:$F$1326))</f>
        <v>0</v>
      </c>
      <c r="BB1326">
        <f>IF(COUNT($E$2:$E1326)&lt;20,"",INTERCEPT($E$1227:$E$1326,$F$1227:$F$1326))</f>
        <v>0</v>
      </c>
      <c r="BC1326">
        <f>IF(OR(BA1326="",BB1326=""),"",BB1326+BA1326*F1326)</f>
        <v>0</v>
      </c>
      <c r="BD1326">
        <f>IF(COUNT($E$2:$E1326)&lt;20,"",STEYX($E$1227:$E$1326,$F$1227:$F$1326))</f>
        <v>0</v>
      </c>
      <c r="BE1326">
        <f>IF($E1326="","",IF(AND(COUNT($E$1327:$E$1330)&gt;=4,$C1326=MAX($C$1322:$C$1330)),$C1326,""))</f>
        <v>0</v>
      </c>
      <c r="BF1326">
        <f>IF($E1326="","",IF(AND(COUNT($E$1327:$E$1330)&gt;=4,$D1326=MIN($D$1322:$D$1330)),$D1326,""))</f>
        <v>0</v>
      </c>
      <c r="BG1326">
        <f>IF($A1326="","",$A1326-WEEKDAY($A1326,2)+1)</f>
        <v>0</v>
      </c>
      <c r="BH1326">
        <f>IF($A1326="","",IF($A1325="",1,IF(BG1326&lt;&gt;BG1325,1,0)))</f>
        <v>0</v>
      </c>
      <c r="BI1326">
        <f>IF($A1326="","",IF($A1327="",1,IF(BG1327&lt;&gt;BG1326,1,0)))</f>
        <v>0</v>
      </c>
      <c r="BJ1326">
        <f>IF($A1326="","",IF(BH1326=1,$B1326,BJ1325))</f>
        <v>0</v>
      </c>
      <c r="BK1326">
        <f>IF($A1326="","",IF(BH1326=1,$C1326,MAX($C1326,BK1325)))</f>
        <v>0</v>
      </c>
      <c r="BL1326">
        <f>IF($A1326="","",IF(BH1326=1,$D1326,MIN($D1326,BL1325)))</f>
        <v>0</v>
      </c>
      <c r="BM1326">
        <f>IF($A1326="","",IF(BI1326=1,F1326,""))</f>
        <v>0</v>
      </c>
      <c r="BN1326">
        <f>IF($A1326="","",DATE(YEAR($A1326),MONTH($A1326),1))</f>
        <v>0</v>
      </c>
      <c r="BO1326">
        <f>IF($A1326="","",IF($A1325="",1,IF(BN1326&lt;&gt;BN1325,1,0)))</f>
        <v>0</v>
      </c>
      <c r="BP1326">
        <f>IF($A1326="","",IF($A1327="",1,IF(BN1327&lt;&gt;BN1326,1,0)))</f>
        <v>0</v>
      </c>
      <c r="BQ1326">
        <f>IF($A1326="","",IF(BO1326=1,$B1326,BQ1325))</f>
        <v>0</v>
      </c>
      <c r="BR1326">
        <f>IF($A1326="","",IF(BO1326=1,$C1326,MAX($C1326,BR1325)))</f>
        <v>0</v>
      </c>
      <c r="BS1326">
        <f>IF($A1326="","",IF(BO1326=1,$D1326,MIN($D1326,BS1325)))</f>
        <v>0</v>
      </c>
      <c r="BT1326">
        <f>IF($A1326="","",IF(BP1326=1,F1326,""))</f>
        <v>0</v>
      </c>
    </row>
    <row r="1327" spans="1:72">
      <c r="A1327" s="27">
        <f>IF(Data!$A1327="","",Data!$A1327)</f>
        <v>0</v>
      </c>
      <c r="B1327">
        <f>IF(Data!$B1327="","",Data!$B1327)</f>
        <v>0</v>
      </c>
      <c r="C1327">
        <f>IF(Data!$C1327="","",Data!$C1327)</f>
        <v>0</v>
      </c>
      <c r="D1327">
        <f>IF(Data!$D1327="","",Data!$D1327)</f>
        <v>0</v>
      </c>
      <c r="E1327">
        <f>IF(Data!$E1327="","",Data!$E1327)</f>
        <v>0</v>
      </c>
      <c r="F1327">
        <f>IF($E1327="","",N(F1326)+1)</f>
        <v>0</v>
      </c>
      <c r="G1327">
        <f>IF(OR($E1327="",$E1326=""),"",LN($E1327/$E1326))</f>
        <v>0</v>
      </c>
      <c r="H1327">
        <f>IF($E1327="","",IF($E1326="",$E1327,$E1327*0.0952380952+H1326*0.9047619048))</f>
        <v>0</v>
      </c>
      <c r="I1327">
        <f>IF($E1327="","",IF($E1326="",$E1327,$E1327*0.0392156863+I1326*0.9607843137))</f>
        <v>0</v>
      </c>
      <c r="J1327">
        <f>IF($E1327="","",IF($E1326="",$E1327,$E1327*0.0198019802+J1326*0.9801980198))</f>
        <v>0</v>
      </c>
      <c r="K1327">
        <f>IF($E1327="","",IF($E1326="",$E1327,$E1327*0.0099502488+K1326*0.9900497512))</f>
        <v>0</v>
      </c>
      <c r="L1327">
        <f>IF(OR($E1327="",$E1326=""),"",MAX($E1327-$E1326,0))</f>
        <v>0</v>
      </c>
      <c r="M1327">
        <f>IF(OR($E1327="",$E1326=""),"",MAX($E1326-$E1327,0))</f>
        <v>0</v>
      </c>
      <c r="N1327">
        <f>IF(COUNT($E$2:$E1327)&lt;15,"",IF(AVERAGE($M$1314:$M$1327)=0,100,100-100/(1+AVERAGE($L$1314:$L$1327)/AVERAGE($M$1314:$M$1327))))</f>
        <v>0</v>
      </c>
      <c r="O1327">
        <f>IF($E1327="","",IF($E1326="",$E1327,$E1327*0.1538461538+O1326*0.8461538462))</f>
        <v>0</v>
      </c>
      <c r="P1327">
        <f>IF($E1327="","",IF($E1326="",$E1327,$E1327*0.0740740741+P1326*0.9259259259))</f>
        <v>0</v>
      </c>
      <c r="Q1327">
        <f>IF(OR(O1327="",P1327=""),"",O1327-P1327)</f>
        <v>0</v>
      </c>
      <c r="R1327">
        <f>IF(Q1327="","",IF(R1326="",Q1327,Q1327*0.2000000000+R1326*0.8000000000))</f>
        <v>0</v>
      </c>
      <c r="S1327">
        <f>IF(OR(Q1327="",R1327=""),"",Q1327-R1327)</f>
        <v>0</v>
      </c>
      <c r="T1327">
        <f>IF(COUNT($E$2:$E1327)&lt;14,"",MAX($C$1314:$C$1327))</f>
        <v>0</v>
      </c>
      <c r="U1327">
        <f>IF(COUNT($E$2:$E1327)&lt;14,"",MIN($D$1314:$D$1327))</f>
        <v>0</v>
      </c>
      <c r="V1327">
        <f>IF(OR(T1327="",U1327="",T1327=U1327),"",100*($E1327-U1327)/(T1327-U1327))</f>
        <v>0</v>
      </c>
      <c r="W1327">
        <f>IF(COUNT($V$1325:$V$1327)&lt;3,"",AVERAGE($V$1325:$V$1327))</f>
        <v>0</v>
      </c>
      <c r="X1327">
        <f>IF(COUNT($N$1314:$N$1327)&lt;14,"",MIN($N$1314:$N$1327))</f>
        <v>0</v>
      </c>
      <c r="Y1327">
        <f>IF(COUNT($N$1314:$N$1327)&lt;14,"",MAX($N$1314:$N$1327))</f>
        <v>0</v>
      </c>
      <c r="Z1327">
        <f>IF(OR(N1327="",X1327="",Y1327="",Y1327=X1327),"",100*(N1327-X1327)/(Y1327-X1327))</f>
        <v>0</v>
      </c>
      <c r="AA1327">
        <f>IF(COUNT($Z$1325:$Z$1327)&lt;3,"",AVERAGE($Z$1325:$Z$1327))</f>
        <v>0</v>
      </c>
      <c r="AB1327">
        <f>IF(COUNT($AA$1325:$AA$1327)&lt;3,"",AVERAGE($AA$1325:$AA$1327))</f>
        <v>0</v>
      </c>
      <c r="AC1327">
        <f>IF($E1327="","",MAX($C1327-$D1327,ABS($C1327-$E1326),ABS($D1327-$E1326)))</f>
        <v>0</v>
      </c>
      <c r="AD1327">
        <f>IF(COUNT($E$2:$E1327)&lt;15,"",AVERAGE($AC$1314:$AC$1327))</f>
        <v>0</v>
      </c>
      <c r="AE1327">
        <f>IF(OR($E1327="",$E1326=""),"",IF(AND(($C1327-$C1326)&gt;($D1326-$D1327),($C1327-$C1326)&gt;0),$C1327-$C1326,0))</f>
        <v>0</v>
      </c>
      <c r="AF1327">
        <f>IF(OR($E1327="",$E1326=""),"",IF(AND(($D1326-$D1327)&gt;($C1327-$C1326),($D1326-$D1327)&gt;0),$D1326-$D1327,0))</f>
        <v>0</v>
      </c>
      <c r="AG1327">
        <f>IF(COUNT($E$2:$E1327)&lt;15,"",IF(SUM($AC$1314:$AC$1327)=0,0,100*SUM($AE$1314:$AE$1327)/SUM($AC$1314:$AC$1327)))</f>
        <v>0</v>
      </c>
      <c r="AH1327">
        <f>IF(COUNT($E$2:$E1327)&lt;15,"",IF(SUM($AC$1314:$AC$1327)=0,0,100*SUM($AF$1314:$AF$1327)/SUM($AC$1314:$AC$1327)))</f>
        <v>0</v>
      </c>
      <c r="AI1327">
        <f>IF(OR(AG1327="",AH1327=""),"",IF((AG1327+AH1327)=0,0,100*ABS(AG1327-AH1327)/(AG1327+AH1327)))</f>
        <v>0</v>
      </c>
      <c r="AJ1327">
        <f>IF(COUNT($AI$1314:$AI$1327)&lt;14,"",AVERAGE($AI$1314:$AI$1327))</f>
        <v>0</v>
      </c>
      <c r="AK1327">
        <f>IF(COUNT($E$2:$E1327)&lt;20,"",AVERAGE($E$1308:$E$1327))</f>
        <v>0</v>
      </c>
      <c r="AL1327">
        <f>IF(COUNT($E$2:$E1327)&lt;20,"",STDEVP($E$1308:$E$1327))</f>
        <v>0</v>
      </c>
      <c r="AM1327">
        <f>IF(AK1327="","",AK1327+2*AL1327)</f>
        <v>0</v>
      </c>
      <c r="AN1327">
        <f>IF(AK1327="","",AK1327-2*AL1327)</f>
        <v>0</v>
      </c>
      <c r="AO1327">
        <f>IF(OR(AM1327="",AN1327="",AM1327=AN1327),"",($E1327-AN1327)/(AM1327-AN1327))</f>
        <v>0</v>
      </c>
      <c r="AP1327">
        <f>IF(OR(AM1327="",AK1327="",AK1327=0),"",(AM1327-AN1327)/AK1327)</f>
        <v>0</v>
      </c>
      <c r="AQ1327">
        <f>IF(COUNT($E$2:$E1327)&lt;20,"",MAX($C$1308:$C$1327))</f>
        <v>0</v>
      </c>
      <c r="AR1327">
        <f>IF(COUNT($E$2:$E1327)&lt;20,"",MIN($D$1308:$D$1327))</f>
        <v>0</v>
      </c>
      <c r="AS1327">
        <f>IF(OR(AQ1327="",AR1327=""),"",(AQ1327+AR1327)/2)</f>
        <v>0</v>
      </c>
      <c r="AT1327">
        <f>IF(COUNT($G$1308:$G$1327)&lt;20,"",STDEV($G$1308:$G$1327)*SQRT(252))</f>
        <v>0</v>
      </c>
      <c r="AU1327">
        <f>IF(COUNT($E$2:$E1327)&lt;9,"",(MAX($C$1319:$C$1327)+MIN($D$1319:$D$1327))/2)</f>
        <v>0</v>
      </c>
      <c r="AV1327">
        <f>IF(COUNT($E$2:$E1327)&lt;26,"",(MAX($C$1302:$C$1327)+MIN($D$1302:$D$1327))/2)</f>
        <v>0</v>
      </c>
      <c r="AW1327">
        <f>IF(OR(AU1327="",AV1327=""),"",(AU1327+AV1327)/2)</f>
        <v>0</v>
      </c>
      <c r="AX1327">
        <f>IF(COUNT($E$2:$E1327)&lt;52,"",(MAX($C$1276:$C$1327)+MIN($D$1276:$D$1327))/2)</f>
        <v>0</v>
      </c>
      <c r="AY1327">
        <f>IF(COUNT($E$2:$E1327)&lt;20,"",MAX($C$1228:$C$1327))</f>
        <v>0</v>
      </c>
      <c r="AZ1327">
        <f>IF(COUNT($E$2:$E1327)&lt;20,"",MIN($D$1228:$D$1327))</f>
        <v>0</v>
      </c>
      <c r="BA1327">
        <f>IF(COUNT($E$2:$E1327)&lt;20,"",SLOPE($E$1228:$E$1327,$F$1228:$F$1327))</f>
        <v>0</v>
      </c>
      <c r="BB1327">
        <f>IF(COUNT($E$2:$E1327)&lt;20,"",INTERCEPT($E$1228:$E$1327,$F$1228:$F$1327))</f>
        <v>0</v>
      </c>
      <c r="BC1327">
        <f>IF(OR(BA1327="",BB1327=""),"",BB1327+BA1327*F1327)</f>
        <v>0</v>
      </c>
      <c r="BD1327">
        <f>IF(COUNT($E$2:$E1327)&lt;20,"",STEYX($E$1228:$E$1327,$F$1228:$F$1327))</f>
        <v>0</v>
      </c>
      <c r="BE1327">
        <f>IF($E1327="","",IF(AND(COUNT($E$1328:$E$1331)&gt;=4,$C1327=MAX($C$1323:$C$1331)),$C1327,""))</f>
        <v>0</v>
      </c>
      <c r="BF1327">
        <f>IF($E1327="","",IF(AND(COUNT($E$1328:$E$1331)&gt;=4,$D1327=MIN($D$1323:$D$1331)),$D1327,""))</f>
        <v>0</v>
      </c>
      <c r="BG1327">
        <f>IF($A1327="","",$A1327-WEEKDAY($A1327,2)+1)</f>
        <v>0</v>
      </c>
      <c r="BH1327">
        <f>IF($A1327="","",IF($A1326="",1,IF(BG1327&lt;&gt;BG1326,1,0)))</f>
        <v>0</v>
      </c>
      <c r="BI1327">
        <f>IF($A1327="","",IF($A1328="",1,IF(BG1328&lt;&gt;BG1327,1,0)))</f>
        <v>0</v>
      </c>
      <c r="BJ1327">
        <f>IF($A1327="","",IF(BH1327=1,$B1327,BJ1326))</f>
        <v>0</v>
      </c>
      <c r="BK1327">
        <f>IF($A1327="","",IF(BH1327=1,$C1327,MAX($C1327,BK1326)))</f>
        <v>0</v>
      </c>
      <c r="BL1327">
        <f>IF($A1327="","",IF(BH1327=1,$D1327,MIN($D1327,BL1326)))</f>
        <v>0</v>
      </c>
      <c r="BM1327">
        <f>IF($A1327="","",IF(BI1327=1,F1327,""))</f>
        <v>0</v>
      </c>
      <c r="BN1327">
        <f>IF($A1327="","",DATE(YEAR($A1327),MONTH($A1327),1))</f>
        <v>0</v>
      </c>
      <c r="BO1327">
        <f>IF($A1327="","",IF($A1326="",1,IF(BN1327&lt;&gt;BN1326,1,0)))</f>
        <v>0</v>
      </c>
      <c r="BP1327">
        <f>IF($A1327="","",IF($A1328="",1,IF(BN1328&lt;&gt;BN1327,1,0)))</f>
        <v>0</v>
      </c>
      <c r="BQ1327">
        <f>IF($A1327="","",IF(BO1327=1,$B1327,BQ1326))</f>
        <v>0</v>
      </c>
      <c r="BR1327">
        <f>IF($A1327="","",IF(BO1327=1,$C1327,MAX($C1327,BR1326)))</f>
        <v>0</v>
      </c>
      <c r="BS1327">
        <f>IF($A1327="","",IF(BO1327=1,$D1327,MIN($D1327,BS1326)))</f>
        <v>0</v>
      </c>
      <c r="BT1327">
        <f>IF($A1327="","",IF(BP1327=1,F1327,""))</f>
        <v>0</v>
      </c>
    </row>
    <row r="1328" spans="1:72">
      <c r="A1328" s="27">
        <f>IF(Data!$A1328="","",Data!$A1328)</f>
        <v>0</v>
      </c>
      <c r="B1328">
        <f>IF(Data!$B1328="","",Data!$B1328)</f>
        <v>0</v>
      </c>
      <c r="C1328">
        <f>IF(Data!$C1328="","",Data!$C1328)</f>
        <v>0</v>
      </c>
      <c r="D1328">
        <f>IF(Data!$D1328="","",Data!$D1328)</f>
        <v>0</v>
      </c>
      <c r="E1328">
        <f>IF(Data!$E1328="","",Data!$E1328)</f>
        <v>0</v>
      </c>
      <c r="F1328">
        <f>IF($E1328="","",N(F1327)+1)</f>
        <v>0</v>
      </c>
      <c r="G1328">
        <f>IF(OR($E1328="",$E1327=""),"",LN($E1328/$E1327))</f>
        <v>0</v>
      </c>
      <c r="H1328">
        <f>IF($E1328="","",IF($E1327="",$E1328,$E1328*0.0952380952+H1327*0.9047619048))</f>
        <v>0</v>
      </c>
      <c r="I1328">
        <f>IF($E1328="","",IF($E1327="",$E1328,$E1328*0.0392156863+I1327*0.9607843137))</f>
        <v>0</v>
      </c>
      <c r="J1328">
        <f>IF($E1328="","",IF($E1327="",$E1328,$E1328*0.0198019802+J1327*0.9801980198))</f>
        <v>0</v>
      </c>
      <c r="K1328">
        <f>IF($E1328="","",IF($E1327="",$E1328,$E1328*0.0099502488+K1327*0.9900497512))</f>
        <v>0</v>
      </c>
      <c r="L1328">
        <f>IF(OR($E1328="",$E1327=""),"",MAX($E1328-$E1327,0))</f>
        <v>0</v>
      </c>
      <c r="M1328">
        <f>IF(OR($E1328="",$E1327=""),"",MAX($E1327-$E1328,0))</f>
        <v>0</v>
      </c>
      <c r="N1328">
        <f>IF(COUNT($E$2:$E1328)&lt;15,"",IF(AVERAGE($M$1315:$M$1328)=0,100,100-100/(1+AVERAGE($L$1315:$L$1328)/AVERAGE($M$1315:$M$1328))))</f>
        <v>0</v>
      </c>
      <c r="O1328">
        <f>IF($E1328="","",IF($E1327="",$E1328,$E1328*0.1538461538+O1327*0.8461538462))</f>
        <v>0</v>
      </c>
      <c r="P1328">
        <f>IF($E1328="","",IF($E1327="",$E1328,$E1328*0.0740740741+P1327*0.9259259259))</f>
        <v>0</v>
      </c>
      <c r="Q1328">
        <f>IF(OR(O1328="",P1328=""),"",O1328-P1328)</f>
        <v>0</v>
      </c>
      <c r="R1328">
        <f>IF(Q1328="","",IF(R1327="",Q1328,Q1328*0.2000000000+R1327*0.8000000000))</f>
        <v>0</v>
      </c>
      <c r="S1328">
        <f>IF(OR(Q1328="",R1328=""),"",Q1328-R1328)</f>
        <v>0</v>
      </c>
      <c r="T1328">
        <f>IF(COUNT($E$2:$E1328)&lt;14,"",MAX($C$1315:$C$1328))</f>
        <v>0</v>
      </c>
      <c r="U1328">
        <f>IF(COUNT($E$2:$E1328)&lt;14,"",MIN($D$1315:$D$1328))</f>
        <v>0</v>
      </c>
      <c r="V1328">
        <f>IF(OR(T1328="",U1328="",T1328=U1328),"",100*($E1328-U1328)/(T1328-U1328))</f>
        <v>0</v>
      </c>
      <c r="W1328">
        <f>IF(COUNT($V$1326:$V$1328)&lt;3,"",AVERAGE($V$1326:$V$1328))</f>
        <v>0</v>
      </c>
      <c r="X1328">
        <f>IF(COUNT($N$1315:$N$1328)&lt;14,"",MIN($N$1315:$N$1328))</f>
        <v>0</v>
      </c>
      <c r="Y1328">
        <f>IF(COUNT($N$1315:$N$1328)&lt;14,"",MAX($N$1315:$N$1328))</f>
        <v>0</v>
      </c>
      <c r="Z1328">
        <f>IF(OR(N1328="",X1328="",Y1328="",Y1328=X1328),"",100*(N1328-X1328)/(Y1328-X1328))</f>
        <v>0</v>
      </c>
      <c r="AA1328">
        <f>IF(COUNT($Z$1326:$Z$1328)&lt;3,"",AVERAGE($Z$1326:$Z$1328))</f>
        <v>0</v>
      </c>
      <c r="AB1328">
        <f>IF(COUNT($AA$1326:$AA$1328)&lt;3,"",AVERAGE($AA$1326:$AA$1328))</f>
        <v>0</v>
      </c>
      <c r="AC1328">
        <f>IF($E1328="","",MAX($C1328-$D1328,ABS($C1328-$E1327),ABS($D1328-$E1327)))</f>
        <v>0</v>
      </c>
      <c r="AD1328">
        <f>IF(COUNT($E$2:$E1328)&lt;15,"",AVERAGE($AC$1315:$AC$1328))</f>
        <v>0</v>
      </c>
      <c r="AE1328">
        <f>IF(OR($E1328="",$E1327=""),"",IF(AND(($C1328-$C1327)&gt;($D1327-$D1328),($C1328-$C1327)&gt;0),$C1328-$C1327,0))</f>
        <v>0</v>
      </c>
      <c r="AF1328">
        <f>IF(OR($E1328="",$E1327=""),"",IF(AND(($D1327-$D1328)&gt;($C1328-$C1327),($D1327-$D1328)&gt;0),$D1327-$D1328,0))</f>
        <v>0</v>
      </c>
      <c r="AG1328">
        <f>IF(COUNT($E$2:$E1328)&lt;15,"",IF(SUM($AC$1315:$AC$1328)=0,0,100*SUM($AE$1315:$AE$1328)/SUM($AC$1315:$AC$1328)))</f>
        <v>0</v>
      </c>
      <c r="AH1328">
        <f>IF(COUNT($E$2:$E1328)&lt;15,"",IF(SUM($AC$1315:$AC$1328)=0,0,100*SUM($AF$1315:$AF$1328)/SUM($AC$1315:$AC$1328)))</f>
        <v>0</v>
      </c>
      <c r="AI1328">
        <f>IF(OR(AG1328="",AH1328=""),"",IF((AG1328+AH1328)=0,0,100*ABS(AG1328-AH1328)/(AG1328+AH1328)))</f>
        <v>0</v>
      </c>
      <c r="AJ1328">
        <f>IF(COUNT($AI$1315:$AI$1328)&lt;14,"",AVERAGE($AI$1315:$AI$1328))</f>
        <v>0</v>
      </c>
      <c r="AK1328">
        <f>IF(COUNT($E$2:$E1328)&lt;20,"",AVERAGE($E$1309:$E$1328))</f>
        <v>0</v>
      </c>
      <c r="AL1328">
        <f>IF(COUNT($E$2:$E1328)&lt;20,"",STDEVP($E$1309:$E$1328))</f>
        <v>0</v>
      </c>
      <c r="AM1328">
        <f>IF(AK1328="","",AK1328+2*AL1328)</f>
        <v>0</v>
      </c>
      <c r="AN1328">
        <f>IF(AK1328="","",AK1328-2*AL1328)</f>
        <v>0</v>
      </c>
      <c r="AO1328">
        <f>IF(OR(AM1328="",AN1328="",AM1328=AN1328),"",($E1328-AN1328)/(AM1328-AN1328))</f>
        <v>0</v>
      </c>
      <c r="AP1328">
        <f>IF(OR(AM1328="",AK1328="",AK1328=0),"",(AM1328-AN1328)/AK1328)</f>
        <v>0</v>
      </c>
      <c r="AQ1328">
        <f>IF(COUNT($E$2:$E1328)&lt;20,"",MAX($C$1309:$C$1328))</f>
        <v>0</v>
      </c>
      <c r="AR1328">
        <f>IF(COUNT($E$2:$E1328)&lt;20,"",MIN($D$1309:$D$1328))</f>
        <v>0</v>
      </c>
      <c r="AS1328">
        <f>IF(OR(AQ1328="",AR1328=""),"",(AQ1328+AR1328)/2)</f>
        <v>0</v>
      </c>
      <c r="AT1328">
        <f>IF(COUNT($G$1309:$G$1328)&lt;20,"",STDEV($G$1309:$G$1328)*SQRT(252))</f>
        <v>0</v>
      </c>
      <c r="AU1328">
        <f>IF(COUNT($E$2:$E1328)&lt;9,"",(MAX($C$1320:$C$1328)+MIN($D$1320:$D$1328))/2)</f>
        <v>0</v>
      </c>
      <c r="AV1328">
        <f>IF(COUNT($E$2:$E1328)&lt;26,"",(MAX($C$1303:$C$1328)+MIN($D$1303:$D$1328))/2)</f>
        <v>0</v>
      </c>
      <c r="AW1328">
        <f>IF(OR(AU1328="",AV1328=""),"",(AU1328+AV1328)/2)</f>
        <v>0</v>
      </c>
      <c r="AX1328">
        <f>IF(COUNT($E$2:$E1328)&lt;52,"",(MAX($C$1277:$C$1328)+MIN($D$1277:$D$1328))/2)</f>
        <v>0</v>
      </c>
      <c r="AY1328">
        <f>IF(COUNT($E$2:$E1328)&lt;20,"",MAX($C$1229:$C$1328))</f>
        <v>0</v>
      </c>
      <c r="AZ1328">
        <f>IF(COUNT($E$2:$E1328)&lt;20,"",MIN($D$1229:$D$1328))</f>
        <v>0</v>
      </c>
      <c r="BA1328">
        <f>IF(COUNT($E$2:$E1328)&lt;20,"",SLOPE($E$1229:$E$1328,$F$1229:$F$1328))</f>
        <v>0</v>
      </c>
      <c r="BB1328">
        <f>IF(COUNT($E$2:$E1328)&lt;20,"",INTERCEPT($E$1229:$E$1328,$F$1229:$F$1328))</f>
        <v>0</v>
      </c>
      <c r="BC1328">
        <f>IF(OR(BA1328="",BB1328=""),"",BB1328+BA1328*F1328)</f>
        <v>0</v>
      </c>
      <c r="BD1328">
        <f>IF(COUNT($E$2:$E1328)&lt;20,"",STEYX($E$1229:$E$1328,$F$1229:$F$1328))</f>
        <v>0</v>
      </c>
      <c r="BE1328">
        <f>IF($E1328="","",IF(AND(COUNT($E$1329:$E$1332)&gt;=4,$C1328=MAX($C$1324:$C$1332)),$C1328,""))</f>
        <v>0</v>
      </c>
      <c r="BF1328">
        <f>IF($E1328="","",IF(AND(COUNT($E$1329:$E$1332)&gt;=4,$D1328=MIN($D$1324:$D$1332)),$D1328,""))</f>
        <v>0</v>
      </c>
      <c r="BG1328">
        <f>IF($A1328="","",$A1328-WEEKDAY($A1328,2)+1)</f>
        <v>0</v>
      </c>
      <c r="BH1328">
        <f>IF($A1328="","",IF($A1327="",1,IF(BG1328&lt;&gt;BG1327,1,0)))</f>
        <v>0</v>
      </c>
      <c r="BI1328">
        <f>IF($A1328="","",IF($A1329="",1,IF(BG1329&lt;&gt;BG1328,1,0)))</f>
        <v>0</v>
      </c>
      <c r="BJ1328">
        <f>IF($A1328="","",IF(BH1328=1,$B1328,BJ1327))</f>
        <v>0</v>
      </c>
      <c r="BK1328">
        <f>IF($A1328="","",IF(BH1328=1,$C1328,MAX($C1328,BK1327)))</f>
        <v>0</v>
      </c>
      <c r="BL1328">
        <f>IF($A1328="","",IF(BH1328=1,$D1328,MIN($D1328,BL1327)))</f>
        <v>0</v>
      </c>
      <c r="BM1328">
        <f>IF($A1328="","",IF(BI1328=1,F1328,""))</f>
        <v>0</v>
      </c>
      <c r="BN1328">
        <f>IF($A1328="","",DATE(YEAR($A1328),MONTH($A1328),1))</f>
        <v>0</v>
      </c>
      <c r="BO1328">
        <f>IF($A1328="","",IF($A1327="",1,IF(BN1328&lt;&gt;BN1327,1,0)))</f>
        <v>0</v>
      </c>
      <c r="BP1328">
        <f>IF($A1328="","",IF($A1329="",1,IF(BN1329&lt;&gt;BN1328,1,0)))</f>
        <v>0</v>
      </c>
      <c r="BQ1328">
        <f>IF($A1328="","",IF(BO1328=1,$B1328,BQ1327))</f>
        <v>0</v>
      </c>
      <c r="BR1328">
        <f>IF($A1328="","",IF(BO1328=1,$C1328,MAX($C1328,BR1327)))</f>
        <v>0</v>
      </c>
      <c r="BS1328">
        <f>IF($A1328="","",IF(BO1328=1,$D1328,MIN($D1328,BS1327)))</f>
        <v>0</v>
      </c>
      <c r="BT1328">
        <f>IF($A1328="","",IF(BP1328=1,F1328,""))</f>
        <v>0</v>
      </c>
    </row>
    <row r="1329" spans="1:72">
      <c r="A1329" s="27">
        <f>IF(Data!$A1329="","",Data!$A1329)</f>
        <v>0</v>
      </c>
      <c r="B1329">
        <f>IF(Data!$B1329="","",Data!$B1329)</f>
        <v>0</v>
      </c>
      <c r="C1329">
        <f>IF(Data!$C1329="","",Data!$C1329)</f>
        <v>0</v>
      </c>
      <c r="D1329">
        <f>IF(Data!$D1329="","",Data!$D1329)</f>
        <v>0</v>
      </c>
      <c r="E1329">
        <f>IF(Data!$E1329="","",Data!$E1329)</f>
        <v>0</v>
      </c>
      <c r="F1329">
        <f>IF($E1329="","",N(F1328)+1)</f>
        <v>0</v>
      </c>
      <c r="G1329">
        <f>IF(OR($E1329="",$E1328=""),"",LN($E1329/$E1328))</f>
        <v>0</v>
      </c>
      <c r="H1329">
        <f>IF($E1329="","",IF($E1328="",$E1329,$E1329*0.0952380952+H1328*0.9047619048))</f>
        <v>0</v>
      </c>
      <c r="I1329">
        <f>IF($E1329="","",IF($E1328="",$E1329,$E1329*0.0392156863+I1328*0.9607843137))</f>
        <v>0</v>
      </c>
      <c r="J1329">
        <f>IF($E1329="","",IF($E1328="",$E1329,$E1329*0.0198019802+J1328*0.9801980198))</f>
        <v>0</v>
      </c>
      <c r="K1329">
        <f>IF($E1329="","",IF($E1328="",$E1329,$E1329*0.0099502488+K1328*0.9900497512))</f>
        <v>0</v>
      </c>
      <c r="L1329">
        <f>IF(OR($E1329="",$E1328=""),"",MAX($E1329-$E1328,0))</f>
        <v>0</v>
      </c>
      <c r="M1329">
        <f>IF(OR($E1329="",$E1328=""),"",MAX($E1328-$E1329,0))</f>
        <v>0</v>
      </c>
      <c r="N1329">
        <f>IF(COUNT($E$2:$E1329)&lt;15,"",IF(AVERAGE($M$1316:$M$1329)=0,100,100-100/(1+AVERAGE($L$1316:$L$1329)/AVERAGE($M$1316:$M$1329))))</f>
        <v>0</v>
      </c>
      <c r="O1329">
        <f>IF($E1329="","",IF($E1328="",$E1329,$E1329*0.1538461538+O1328*0.8461538462))</f>
        <v>0</v>
      </c>
      <c r="P1329">
        <f>IF($E1329="","",IF($E1328="",$E1329,$E1329*0.0740740741+P1328*0.9259259259))</f>
        <v>0</v>
      </c>
      <c r="Q1329">
        <f>IF(OR(O1329="",P1329=""),"",O1329-P1329)</f>
        <v>0</v>
      </c>
      <c r="R1329">
        <f>IF(Q1329="","",IF(R1328="",Q1329,Q1329*0.2000000000+R1328*0.8000000000))</f>
        <v>0</v>
      </c>
      <c r="S1329">
        <f>IF(OR(Q1329="",R1329=""),"",Q1329-R1329)</f>
        <v>0</v>
      </c>
      <c r="T1329">
        <f>IF(COUNT($E$2:$E1329)&lt;14,"",MAX($C$1316:$C$1329))</f>
        <v>0</v>
      </c>
      <c r="U1329">
        <f>IF(COUNT($E$2:$E1329)&lt;14,"",MIN($D$1316:$D$1329))</f>
        <v>0</v>
      </c>
      <c r="V1329">
        <f>IF(OR(T1329="",U1329="",T1329=U1329),"",100*($E1329-U1329)/(T1329-U1329))</f>
        <v>0</v>
      </c>
      <c r="W1329">
        <f>IF(COUNT($V$1327:$V$1329)&lt;3,"",AVERAGE($V$1327:$V$1329))</f>
        <v>0</v>
      </c>
      <c r="X1329">
        <f>IF(COUNT($N$1316:$N$1329)&lt;14,"",MIN($N$1316:$N$1329))</f>
        <v>0</v>
      </c>
      <c r="Y1329">
        <f>IF(COUNT($N$1316:$N$1329)&lt;14,"",MAX($N$1316:$N$1329))</f>
        <v>0</v>
      </c>
      <c r="Z1329">
        <f>IF(OR(N1329="",X1329="",Y1329="",Y1329=X1329),"",100*(N1329-X1329)/(Y1329-X1329))</f>
        <v>0</v>
      </c>
      <c r="AA1329">
        <f>IF(COUNT($Z$1327:$Z$1329)&lt;3,"",AVERAGE($Z$1327:$Z$1329))</f>
        <v>0</v>
      </c>
      <c r="AB1329">
        <f>IF(COUNT($AA$1327:$AA$1329)&lt;3,"",AVERAGE($AA$1327:$AA$1329))</f>
        <v>0</v>
      </c>
      <c r="AC1329">
        <f>IF($E1329="","",MAX($C1329-$D1329,ABS($C1329-$E1328),ABS($D1329-$E1328)))</f>
        <v>0</v>
      </c>
      <c r="AD1329">
        <f>IF(COUNT($E$2:$E1329)&lt;15,"",AVERAGE($AC$1316:$AC$1329))</f>
        <v>0</v>
      </c>
      <c r="AE1329">
        <f>IF(OR($E1329="",$E1328=""),"",IF(AND(($C1329-$C1328)&gt;($D1328-$D1329),($C1329-$C1328)&gt;0),$C1329-$C1328,0))</f>
        <v>0</v>
      </c>
      <c r="AF1329">
        <f>IF(OR($E1329="",$E1328=""),"",IF(AND(($D1328-$D1329)&gt;($C1329-$C1328),($D1328-$D1329)&gt;0),$D1328-$D1329,0))</f>
        <v>0</v>
      </c>
      <c r="AG1329">
        <f>IF(COUNT($E$2:$E1329)&lt;15,"",IF(SUM($AC$1316:$AC$1329)=0,0,100*SUM($AE$1316:$AE$1329)/SUM($AC$1316:$AC$1329)))</f>
        <v>0</v>
      </c>
      <c r="AH1329">
        <f>IF(COUNT($E$2:$E1329)&lt;15,"",IF(SUM($AC$1316:$AC$1329)=0,0,100*SUM($AF$1316:$AF$1329)/SUM($AC$1316:$AC$1329)))</f>
        <v>0</v>
      </c>
      <c r="AI1329">
        <f>IF(OR(AG1329="",AH1329=""),"",IF((AG1329+AH1329)=0,0,100*ABS(AG1329-AH1329)/(AG1329+AH1329)))</f>
        <v>0</v>
      </c>
      <c r="AJ1329">
        <f>IF(COUNT($AI$1316:$AI$1329)&lt;14,"",AVERAGE($AI$1316:$AI$1329))</f>
        <v>0</v>
      </c>
      <c r="AK1329">
        <f>IF(COUNT($E$2:$E1329)&lt;20,"",AVERAGE($E$1310:$E$1329))</f>
        <v>0</v>
      </c>
      <c r="AL1329">
        <f>IF(COUNT($E$2:$E1329)&lt;20,"",STDEVP($E$1310:$E$1329))</f>
        <v>0</v>
      </c>
      <c r="AM1329">
        <f>IF(AK1329="","",AK1329+2*AL1329)</f>
        <v>0</v>
      </c>
      <c r="AN1329">
        <f>IF(AK1329="","",AK1329-2*AL1329)</f>
        <v>0</v>
      </c>
      <c r="AO1329">
        <f>IF(OR(AM1329="",AN1329="",AM1329=AN1329),"",($E1329-AN1329)/(AM1329-AN1329))</f>
        <v>0</v>
      </c>
      <c r="AP1329">
        <f>IF(OR(AM1329="",AK1329="",AK1329=0),"",(AM1329-AN1329)/AK1329)</f>
        <v>0</v>
      </c>
      <c r="AQ1329">
        <f>IF(COUNT($E$2:$E1329)&lt;20,"",MAX($C$1310:$C$1329))</f>
        <v>0</v>
      </c>
      <c r="AR1329">
        <f>IF(COUNT($E$2:$E1329)&lt;20,"",MIN($D$1310:$D$1329))</f>
        <v>0</v>
      </c>
      <c r="AS1329">
        <f>IF(OR(AQ1329="",AR1329=""),"",(AQ1329+AR1329)/2)</f>
        <v>0</v>
      </c>
      <c r="AT1329">
        <f>IF(COUNT($G$1310:$G$1329)&lt;20,"",STDEV($G$1310:$G$1329)*SQRT(252))</f>
        <v>0</v>
      </c>
      <c r="AU1329">
        <f>IF(COUNT($E$2:$E1329)&lt;9,"",(MAX($C$1321:$C$1329)+MIN($D$1321:$D$1329))/2)</f>
        <v>0</v>
      </c>
      <c r="AV1329">
        <f>IF(COUNT($E$2:$E1329)&lt;26,"",(MAX($C$1304:$C$1329)+MIN($D$1304:$D$1329))/2)</f>
        <v>0</v>
      </c>
      <c r="AW1329">
        <f>IF(OR(AU1329="",AV1329=""),"",(AU1329+AV1329)/2)</f>
        <v>0</v>
      </c>
      <c r="AX1329">
        <f>IF(COUNT($E$2:$E1329)&lt;52,"",(MAX($C$1278:$C$1329)+MIN($D$1278:$D$1329))/2)</f>
        <v>0</v>
      </c>
      <c r="AY1329">
        <f>IF(COUNT($E$2:$E1329)&lt;20,"",MAX($C$1230:$C$1329))</f>
        <v>0</v>
      </c>
      <c r="AZ1329">
        <f>IF(COUNT($E$2:$E1329)&lt;20,"",MIN($D$1230:$D$1329))</f>
        <v>0</v>
      </c>
      <c r="BA1329">
        <f>IF(COUNT($E$2:$E1329)&lt;20,"",SLOPE($E$1230:$E$1329,$F$1230:$F$1329))</f>
        <v>0</v>
      </c>
      <c r="BB1329">
        <f>IF(COUNT($E$2:$E1329)&lt;20,"",INTERCEPT($E$1230:$E$1329,$F$1230:$F$1329))</f>
        <v>0</v>
      </c>
      <c r="BC1329">
        <f>IF(OR(BA1329="",BB1329=""),"",BB1329+BA1329*F1329)</f>
        <v>0</v>
      </c>
      <c r="BD1329">
        <f>IF(COUNT($E$2:$E1329)&lt;20,"",STEYX($E$1230:$E$1329,$F$1230:$F$1329))</f>
        <v>0</v>
      </c>
      <c r="BE1329">
        <f>IF($E1329="","",IF(AND(COUNT($E$1330:$E$1333)&gt;=4,$C1329=MAX($C$1325:$C$1333)),$C1329,""))</f>
        <v>0</v>
      </c>
      <c r="BF1329">
        <f>IF($E1329="","",IF(AND(COUNT($E$1330:$E$1333)&gt;=4,$D1329=MIN($D$1325:$D$1333)),$D1329,""))</f>
        <v>0</v>
      </c>
      <c r="BG1329">
        <f>IF($A1329="","",$A1329-WEEKDAY($A1329,2)+1)</f>
        <v>0</v>
      </c>
      <c r="BH1329">
        <f>IF($A1329="","",IF($A1328="",1,IF(BG1329&lt;&gt;BG1328,1,0)))</f>
        <v>0</v>
      </c>
      <c r="BI1329">
        <f>IF($A1329="","",IF($A1330="",1,IF(BG1330&lt;&gt;BG1329,1,0)))</f>
        <v>0</v>
      </c>
      <c r="BJ1329">
        <f>IF($A1329="","",IF(BH1329=1,$B1329,BJ1328))</f>
        <v>0</v>
      </c>
      <c r="BK1329">
        <f>IF($A1329="","",IF(BH1329=1,$C1329,MAX($C1329,BK1328)))</f>
        <v>0</v>
      </c>
      <c r="BL1329">
        <f>IF($A1329="","",IF(BH1329=1,$D1329,MIN($D1329,BL1328)))</f>
        <v>0</v>
      </c>
      <c r="BM1329">
        <f>IF($A1329="","",IF(BI1329=1,F1329,""))</f>
        <v>0</v>
      </c>
      <c r="BN1329">
        <f>IF($A1329="","",DATE(YEAR($A1329),MONTH($A1329),1))</f>
        <v>0</v>
      </c>
      <c r="BO1329">
        <f>IF($A1329="","",IF($A1328="",1,IF(BN1329&lt;&gt;BN1328,1,0)))</f>
        <v>0</v>
      </c>
      <c r="BP1329">
        <f>IF($A1329="","",IF($A1330="",1,IF(BN1330&lt;&gt;BN1329,1,0)))</f>
        <v>0</v>
      </c>
      <c r="BQ1329">
        <f>IF($A1329="","",IF(BO1329=1,$B1329,BQ1328))</f>
        <v>0</v>
      </c>
      <c r="BR1329">
        <f>IF($A1329="","",IF(BO1329=1,$C1329,MAX($C1329,BR1328)))</f>
        <v>0</v>
      </c>
      <c r="BS1329">
        <f>IF($A1329="","",IF(BO1329=1,$D1329,MIN($D1329,BS1328)))</f>
        <v>0</v>
      </c>
      <c r="BT1329">
        <f>IF($A1329="","",IF(BP1329=1,F1329,""))</f>
        <v>0</v>
      </c>
    </row>
    <row r="1330" spans="1:72">
      <c r="A1330" s="27">
        <f>IF(Data!$A1330="","",Data!$A1330)</f>
        <v>0</v>
      </c>
      <c r="B1330">
        <f>IF(Data!$B1330="","",Data!$B1330)</f>
        <v>0</v>
      </c>
      <c r="C1330">
        <f>IF(Data!$C1330="","",Data!$C1330)</f>
        <v>0</v>
      </c>
      <c r="D1330">
        <f>IF(Data!$D1330="","",Data!$D1330)</f>
        <v>0</v>
      </c>
      <c r="E1330">
        <f>IF(Data!$E1330="","",Data!$E1330)</f>
        <v>0</v>
      </c>
      <c r="F1330">
        <f>IF($E1330="","",N(F1329)+1)</f>
        <v>0</v>
      </c>
      <c r="G1330">
        <f>IF(OR($E1330="",$E1329=""),"",LN($E1330/$E1329))</f>
        <v>0</v>
      </c>
      <c r="H1330">
        <f>IF($E1330="","",IF($E1329="",$E1330,$E1330*0.0952380952+H1329*0.9047619048))</f>
        <v>0</v>
      </c>
      <c r="I1330">
        <f>IF($E1330="","",IF($E1329="",$E1330,$E1330*0.0392156863+I1329*0.9607843137))</f>
        <v>0</v>
      </c>
      <c r="J1330">
        <f>IF($E1330="","",IF($E1329="",$E1330,$E1330*0.0198019802+J1329*0.9801980198))</f>
        <v>0</v>
      </c>
      <c r="K1330">
        <f>IF($E1330="","",IF($E1329="",$E1330,$E1330*0.0099502488+K1329*0.9900497512))</f>
        <v>0</v>
      </c>
      <c r="L1330">
        <f>IF(OR($E1330="",$E1329=""),"",MAX($E1330-$E1329,0))</f>
        <v>0</v>
      </c>
      <c r="M1330">
        <f>IF(OR($E1330="",$E1329=""),"",MAX($E1329-$E1330,0))</f>
        <v>0</v>
      </c>
      <c r="N1330">
        <f>IF(COUNT($E$2:$E1330)&lt;15,"",IF(AVERAGE($M$1317:$M$1330)=0,100,100-100/(1+AVERAGE($L$1317:$L$1330)/AVERAGE($M$1317:$M$1330))))</f>
        <v>0</v>
      </c>
      <c r="O1330">
        <f>IF($E1330="","",IF($E1329="",$E1330,$E1330*0.1538461538+O1329*0.8461538462))</f>
        <v>0</v>
      </c>
      <c r="P1330">
        <f>IF($E1330="","",IF($E1329="",$E1330,$E1330*0.0740740741+P1329*0.9259259259))</f>
        <v>0</v>
      </c>
      <c r="Q1330">
        <f>IF(OR(O1330="",P1330=""),"",O1330-P1330)</f>
        <v>0</v>
      </c>
      <c r="R1330">
        <f>IF(Q1330="","",IF(R1329="",Q1330,Q1330*0.2000000000+R1329*0.8000000000))</f>
        <v>0</v>
      </c>
      <c r="S1330">
        <f>IF(OR(Q1330="",R1330=""),"",Q1330-R1330)</f>
        <v>0</v>
      </c>
      <c r="T1330">
        <f>IF(COUNT($E$2:$E1330)&lt;14,"",MAX($C$1317:$C$1330))</f>
        <v>0</v>
      </c>
      <c r="U1330">
        <f>IF(COUNT($E$2:$E1330)&lt;14,"",MIN($D$1317:$D$1330))</f>
        <v>0</v>
      </c>
      <c r="V1330">
        <f>IF(OR(T1330="",U1330="",T1330=U1330),"",100*($E1330-U1330)/(T1330-U1330))</f>
        <v>0</v>
      </c>
      <c r="W1330">
        <f>IF(COUNT($V$1328:$V$1330)&lt;3,"",AVERAGE($V$1328:$V$1330))</f>
        <v>0</v>
      </c>
      <c r="X1330">
        <f>IF(COUNT($N$1317:$N$1330)&lt;14,"",MIN($N$1317:$N$1330))</f>
        <v>0</v>
      </c>
      <c r="Y1330">
        <f>IF(COUNT($N$1317:$N$1330)&lt;14,"",MAX($N$1317:$N$1330))</f>
        <v>0</v>
      </c>
      <c r="Z1330">
        <f>IF(OR(N1330="",X1330="",Y1330="",Y1330=X1330),"",100*(N1330-X1330)/(Y1330-X1330))</f>
        <v>0</v>
      </c>
      <c r="AA1330">
        <f>IF(COUNT($Z$1328:$Z$1330)&lt;3,"",AVERAGE($Z$1328:$Z$1330))</f>
        <v>0</v>
      </c>
      <c r="AB1330">
        <f>IF(COUNT($AA$1328:$AA$1330)&lt;3,"",AVERAGE($AA$1328:$AA$1330))</f>
        <v>0</v>
      </c>
      <c r="AC1330">
        <f>IF($E1330="","",MAX($C1330-$D1330,ABS($C1330-$E1329),ABS($D1330-$E1329)))</f>
        <v>0</v>
      </c>
      <c r="AD1330">
        <f>IF(COUNT($E$2:$E1330)&lt;15,"",AVERAGE($AC$1317:$AC$1330))</f>
        <v>0</v>
      </c>
      <c r="AE1330">
        <f>IF(OR($E1330="",$E1329=""),"",IF(AND(($C1330-$C1329)&gt;($D1329-$D1330),($C1330-$C1329)&gt;0),$C1330-$C1329,0))</f>
        <v>0</v>
      </c>
      <c r="AF1330">
        <f>IF(OR($E1330="",$E1329=""),"",IF(AND(($D1329-$D1330)&gt;($C1330-$C1329),($D1329-$D1330)&gt;0),$D1329-$D1330,0))</f>
        <v>0</v>
      </c>
      <c r="AG1330">
        <f>IF(COUNT($E$2:$E1330)&lt;15,"",IF(SUM($AC$1317:$AC$1330)=0,0,100*SUM($AE$1317:$AE$1330)/SUM($AC$1317:$AC$1330)))</f>
        <v>0</v>
      </c>
      <c r="AH1330">
        <f>IF(COUNT($E$2:$E1330)&lt;15,"",IF(SUM($AC$1317:$AC$1330)=0,0,100*SUM($AF$1317:$AF$1330)/SUM($AC$1317:$AC$1330)))</f>
        <v>0</v>
      </c>
      <c r="AI1330">
        <f>IF(OR(AG1330="",AH1330=""),"",IF((AG1330+AH1330)=0,0,100*ABS(AG1330-AH1330)/(AG1330+AH1330)))</f>
        <v>0</v>
      </c>
      <c r="AJ1330">
        <f>IF(COUNT($AI$1317:$AI$1330)&lt;14,"",AVERAGE($AI$1317:$AI$1330))</f>
        <v>0</v>
      </c>
      <c r="AK1330">
        <f>IF(COUNT($E$2:$E1330)&lt;20,"",AVERAGE($E$1311:$E$1330))</f>
        <v>0</v>
      </c>
      <c r="AL1330">
        <f>IF(COUNT($E$2:$E1330)&lt;20,"",STDEVP($E$1311:$E$1330))</f>
        <v>0</v>
      </c>
      <c r="AM1330">
        <f>IF(AK1330="","",AK1330+2*AL1330)</f>
        <v>0</v>
      </c>
      <c r="AN1330">
        <f>IF(AK1330="","",AK1330-2*AL1330)</f>
        <v>0</v>
      </c>
      <c r="AO1330">
        <f>IF(OR(AM1330="",AN1330="",AM1330=AN1330),"",($E1330-AN1330)/(AM1330-AN1330))</f>
        <v>0</v>
      </c>
      <c r="AP1330">
        <f>IF(OR(AM1330="",AK1330="",AK1330=0),"",(AM1330-AN1330)/AK1330)</f>
        <v>0</v>
      </c>
      <c r="AQ1330">
        <f>IF(COUNT($E$2:$E1330)&lt;20,"",MAX($C$1311:$C$1330))</f>
        <v>0</v>
      </c>
      <c r="AR1330">
        <f>IF(COUNT($E$2:$E1330)&lt;20,"",MIN($D$1311:$D$1330))</f>
        <v>0</v>
      </c>
      <c r="AS1330">
        <f>IF(OR(AQ1330="",AR1330=""),"",(AQ1330+AR1330)/2)</f>
        <v>0</v>
      </c>
      <c r="AT1330">
        <f>IF(COUNT($G$1311:$G$1330)&lt;20,"",STDEV($G$1311:$G$1330)*SQRT(252))</f>
        <v>0</v>
      </c>
      <c r="AU1330">
        <f>IF(COUNT($E$2:$E1330)&lt;9,"",(MAX($C$1322:$C$1330)+MIN($D$1322:$D$1330))/2)</f>
        <v>0</v>
      </c>
      <c r="AV1330">
        <f>IF(COUNT($E$2:$E1330)&lt;26,"",(MAX($C$1305:$C$1330)+MIN($D$1305:$D$1330))/2)</f>
        <v>0</v>
      </c>
      <c r="AW1330">
        <f>IF(OR(AU1330="",AV1330=""),"",(AU1330+AV1330)/2)</f>
        <v>0</v>
      </c>
      <c r="AX1330">
        <f>IF(COUNT($E$2:$E1330)&lt;52,"",(MAX($C$1279:$C$1330)+MIN($D$1279:$D$1330))/2)</f>
        <v>0</v>
      </c>
      <c r="AY1330">
        <f>IF(COUNT($E$2:$E1330)&lt;20,"",MAX($C$1231:$C$1330))</f>
        <v>0</v>
      </c>
      <c r="AZ1330">
        <f>IF(COUNT($E$2:$E1330)&lt;20,"",MIN($D$1231:$D$1330))</f>
        <v>0</v>
      </c>
      <c r="BA1330">
        <f>IF(COUNT($E$2:$E1330)&lt;20,"",SLOPE($E$1231:$E$1330,$F$1231:$F$1330))</f>
        <v>0</v>
      </c>
      <c r="BB1330">
        <f>IF(COUNT($E$2:$E1330)&lt;20,"",INTERCEPT($E$1231:$E$1330,$F$1231:$F$1330))</f>
        <v>0</v>
      </c>
      <c r="BC1330">
        <f>IF(OR(BA1330="",BB1330=""),"",BB1330+BA1330*F1330)</f>
        <v>0</v>
      </c>
      <c r="BD1330">
        <f>IF(COUNT($E$2:$E1330)&lt;20,"",STEYX($E$1231:$E$1330,$F$1231:$F$1330))</f>
        <v>0</v>
      </c>
      <c r="BE1330">
        <f>IF($E1330="","",IF(AND(COUNT($E$1331:$E$1334)&gt;=4,$C1330=MAX($C$1326:$C$1334)),$C1330,""))</f>
        <v>0</v>
      </c>
      <c r="BF1330">
        <f>IF($E1330="","",IF(AND(COUNT($E$1331:$E$1334)&gt;=4,$D1330=MIN($D$1326:$D$1334)),$D1330,""))</f>
        <v>0</v>
      </c>
      <c r="BG1330">
        <f>IF($A1330="","",$A1330-WEEKDAY($A1330,2)+1)</f>
        <v>0</v>
      </c>
      <c r="BH1330">
        <f>IF($A1330="","",IF($A1329="",1,IF(BG1330&lt;&gt;BG1329,1,0)))</f>
        <v>0</v>
      </c>
      <c r="BI1330">
        <f>IF($A1330="","",IF($A1331="",1,IF(BG1331&lt;&gt;BG1330,1,0)))</f>
        <v>0</v>
      </c>
      <c r="BJ1330">
        <f>IF($A1330="","",IF(BH1330=1,$B1330,BJ1329))</f>
        <v>0</v>
      </c>
      <c r="BK1330">
        <f>IF($A1330="","",IF(BH1330=1,$C1330,MAX($C1330,BK1329)))</f>
        <v>0</v>
      </c>
      <c r="BL1330">
        <f>IF($A1330="","",IF(BH1330=1,$D1330,MIN($D1330,BL1329)))</f>
        <v>0</v>
      </c>
      <c r="BM1330">
        <f>IF($A1330="","",IF(BI1330=1,F1330,""))</f>
        <v>0</v>
      </c>
      <c r="BN1330">
        <f>IF($A1330="","",DATE(YEAR($A1330),MONTH($A1330),1))</f>
        <v>0</v>
      </c>
      <c r="BO1330">
        <f>IF($A1330="","",IF($A1329="",1,IF(BN1330&lt;&gt;BN1329,1,0)))</f>
        <v>0</v>
      </c>
      <c r="BP1330">
        <f>IF($A1330="","",IF($A1331="",1,IF(BN1331&lt;&gt;BN1330,1,0)))</f>
        <v>0</v>
      </c>
      <c r="BQ1330">
        <f>IF($A1330="","",IF(BO1330=1,$B1330,BQ1329))</f>
        <v>0</v>
      </c>
      <c r="BR1330">
        <f>IF($A1330="","",IF(BO1330=1,$C1330,MAX($C1330,BR1329)))</f>
        <v>0</v>
      </c>
      <c r="BS1330">
        <f>IF($A1330="","",IF(BO1330=1,$D1330,MIN($D1330,BS1329)))</f>
        <v>0</v>
      </c>
      <c r="BT1330">
        <f>IF($A1330="","",IF(BP1330=1,F1330,""))</f>
        <v>0</v>
      </c>
    </row>
    <row r="1331" spans="1:72">
      <c r="A1331" s="27">
        <f>IF(Data!$A1331="","",Data!$A1331)</f>
        <v>0</v>
      </c>
      <c r="B1331">
        <f>IF(Data!$B1331="","",Data!$B1331)</f>
        <v>0</v>
      </c>
      <c r="C1331">
        <f>IF(Data!$C1331="","",Data!$C1331)</f>
        <v>0</v>
      </c>
      <c r="D1331">
        <f>IF(Data!$D1331="","",Data!$D1331)</f>
        <v>0</v>
      </c>
      <c r="E1331">
        <f>IF(Data!$E1331="","",Data!$E1331)</f>
        <v>0</v>
      </c>
      <c r="F1331">
        <f>IF($E1331="","",N(F1330)+1)</f>
        <v>0</v>
      </c>
      <c r="G1331">
        <f>IF(OR($E1331="",$E1330=""),"",LN($E1331/$E1330))</f>
        <v>0</v>
      </c>
      <c r="H1331">
        <f>IF($E1331="","",IF($E1330="",$E1331,$E1331*0.0952380952+H1330*0.9047619048))</f>
        <v>0</v>
      </c>
      <c r="I1331">
        <f>IF($E1331="","",IF($E1330="",$E1331,$E1331*0.0392156863+I1330*0.9607843137))</f>
        <v>0</v>
      </c>
      <c r="J1331">
        <f>IF($E1331="","",IF($E1330="",$E1331,$E1331*0.0198019802+J1330*0.9801980198))</f>
        <v>0</v>
      </c>
      <c r="K1331">
        <f>IF($E1331="","",IF($E1330="",$E1331,$E1331*0.0099502488+K1330*0.9900497512))</f>
        <v>0</v>
      </c>
      <c r="L1331">
        <f>IF(OR($E1331="",$E1330=""),"",MAX($E1331-$E1330,0))</f>
        <v>0</v>
      </c>
      <c r="M1331">
        <f>IF(OR($E1331="",$E1330=""),"",MAX($E1330-$E1331,0))</f>
        <v>0</v>
      </c>
      <c r="N1331">
        <f>IF(COUNT($E$2:$E1331)&lt;15,"",IF(AVERAGE($M$1318:$M$1331)=0,100,100-100/(1+AVERAGE($L$1318:$L$1331)/AVERAGE($M$1318:$M$1331))))</f>
        <v>0</v>
      </c>
      <c r="O1331">
        <f>IF($E1331="","",IF($E1330="",$E1331,$E1331*0.1538461538+O1330*0.8461538462))</f>
        <v>0</v>
      </c>
      <c r="P1331">
        <f>IF($E1331="","",IF($E1330="",$E1331,$E1331*0.0740740741+P1330*0.9259259259))</f>
        <v>0</v>
      </c>
      <c r="Q1331">
        <f>IF(OR(O1331="",P1331=""),"",O1331-P1331)</f>
        <v>0</v>
      </c>
      <c r="R1331">
        <f>IF(Q1331="","",IF(R1330="",Q1331,Q1331*0.2000000000+R1330*0.8000000000))</f>
        <v>0</v>
      </c>
      <c r="S1331">
        <f>IF(OR(Q1331="",R1331=""),"",Q1331-R1331)</f>
        <v>0</v>
      </c>
      <c r="T1331">
        <f>IF(COUNT($E$2:$E1331)&lt;14,"",MAX($C$1318:$C$1331))</f>
        <v>0</v>
      </c>
      <c r="U1331">
        <f>IF(COUNT($E$2:$E1331)&lt;14,"",MIN($D$1318:$D$1331))</f>
        <v>0</v>
      </c>
      <c r="V1331">
        <f>IF(OR(T1331="",U1331="",T1331=U1331),"",100*($E1331-U1331)/(T1331-U1331))</f>
        <v>0</v>
      </c>
      <c r="W1331">
        <f>IF(COUNT($V$1329:$V$1331)&lt;3,"",AVERAGE($V$1329:$V$1331))</f>
        <v>0</v>
      </c>
      <c r="X1331">
        <f>IF(COUNT($N$1318:$N$1331)&lt;14,"",MIN($N$1318:$N$1331))</f>
        <v>0</v>
      </c>
      <c r="Y1331">
        <f>IF(COUNT($N$1318:$N$1331)&lt;14,"",MAX($N$1318:$N$1331))</f>
        <v>0</v>
      </c>
      <c r="Z1331">
        <f>IF(OR(N1331="",X1331="",Y1331="",Y1331=X1331),"",100*(N1331-X1331)/(Y1331-X1331))</f>
        <v>0</v>
      </c>
      <c r="AA1331">
        <f>IF(COUNT($Z$1329:$Z$1331)&lt;3,"",AVERAGE($Z$1329:$Z$1331))</f>
        <v>0</v>
      </c>
      <c r="AB1331">
        <f>IF(COUNT($AA$1329:$AA$1331)&lt;3,"",AVERAGE($AA$1329:$AA$1331))</f>
        <v>0</v>
      </c>
      <c r="AC1331">
        <f>IF($E1331="","",MAX($C1331-$D1331,ABS($C1331-$E1330),ABS($D1331-$E1330)))</f>
        <v>0</v>
      </c>
      <c r="AD1331">
        <f>IF(COUNT($E$2:$E1331)&lt;15,"",AVERAGE($AC$1318:$AC$1331))</f>
        <v>0</v>
      </c>
      <c r="AE1331">
        <f>IF(OR($E1331="",$E1330=""),"",IF(AND(($C1331-$C1330)&gt;($D1330-$D1331),($C1331-$C1330)&gt;0),$C1331-$C1330,0))</f>
        <v>0</v>
      </c>
      <c r="AF1331">
        <f>IF(OR($E1331="",$E1330=""),"",IF(AND(($D1330-$D1331)&gt;($C1331-$C1330),($D1330-$D1331)&gt;0),$D1330-$D1331,0))</f>
        <v>0</v>
      </c>
      <c r="AG1331">
        <f>IF(COUNT($E$2:$E1331)&lt;15,"",IF(SUM($AC$1318:$AC$1331)=0,0,100*SUM($AE$1318:$AE$1331)/SUM($AC$1318:$AC$1331)))</f>
        <v>0</v>
      </c>
      <c r="AH1331">
        <f>IF(COUNT($E$2:$E1331)&lt;15,"",IF(SUM($AC$1318:$AC$1331)=0,0,100*SUM($AF$1318:$AF$1331)/SUM($AC$1318:$AC$1331)))</f>
        <v>0</v>
      </c>
      <c r="AI1331">
        <f>IF(OR(AG1331="",AH1331=""),"",IF((AG1331+AH1331)=0,0,100*ABS(AG1331-AH1331)/(AG1331+AH1331)))</f>
        <v>0</v>
      </c>
      <c r="AJ1331">
        <f>IF(COUNT($AI$1318:$AI$1331)&lt;14,"",AVERAGE($AI$1318:$AI$1331))</f>
        <v>0</v>
      </c>
      <c r="AK1331">
        <f>IF(COUNT($E$2:$E1331)&lt;20,"",AVERAGE($E$1312:$E$1331))</f>
        <v>0</v>
      </c>
      <c r="AL1331">
        <f>IF(COUNT($E$2:$E1331)&lt;20,"",STDEVP($E$1312:$E$1331))</f>
        <v>0</v>
      </c>
      <c r="AM1331">
        <f>IF(AK1331="","",AK1331+2*AL1331)</f>
        <v>0</v>
      </c>
      <c r="AN1331">
        <f>IF(AK1331="","",AK1331-2*AL1331)</f>
        <v>0</v>
      </c>
      <c r="AO1331">
        <f>IF(OR(AM1331="",AN1331="",AM1331=AN1331),"",($E1331-AN1331)/(AM1331-AN1331))</f>
        <v>0</v>
      </c>
      <c r="AP1331">
        <f>IF(OR(AM1331="",AK1331="",AK1331=0),"",(AM1331-AN1331)/AK1331)</f>
        <v>0</v>
      </c>
      <c r="AQ1331">
        <f>IF(COUNT($E$2:$E1331)&lt;20,"",MAX($C$1312:$C$1331))</f>
        <v>0</v>
      </c>
      <c r="AR1331">
        <f>IF(COUNT($E$2:$E1331)&lt;20,"",MIN($D$1312:$D$1331))</f>
        <v>0</v>
      </c>
      <c r="AS1331">
        <f>IF(OR(AQ1331="",AR1331=""),"",(AQ1331+AR1331)/2)</f>
        <v>0</v>
      </c>
      <c r="AT1331">
        <f>IF(COUNT($G$1312:$G$1331)&lt;20,"",STDEV($G$1312:$G$1331)*SQRT(252))</f>
        <v>0</v>
      </c>
      <c r="AU1331">
        <f>IF(COUNT($E$2:$E1331)&lt;9,"",(MAX($C$1323:$C$1331)+MIN($D$1323:$D$1331))/2)</f>
        <v>0</v>
      </c>
      <c r="AV1331">
        <f>IF(COUNT($E$2:$E1331)&lt;26,"",(MAX($C$1306:$C$1331)+MIN($D$1306:$D$1331))/2)</f>
        <v>0</v>
      </c>
      <c r="AW1331">
        <f>IF(OR(AU1331="",AV1331=""),"",(AU1331+AV1331)/2)</f>
        <v>0</v>
      </c>
      <c r="AX1331">
        <f>IF(COUNT($E$2:$E1331)&lt;52,"",(MAX($C$1280:$C$1331)+MIN($D$1280:$D$1331))/2)</f>
        <v>0</v>
      </c>
      <c r="AY1331">
        <f>IF(COUNT($E$2:$E1331)&lt;20,"",MAX($C$1232:$C$1331))</f>
        <v>0</v>
      </c>
      <c r="AZ1331">
        <f>IF(COUNT($E$2:$E1331)&lt;20,"",MIN($D$1232:$D$1331))</f>
        <v>0</v>
      </c>
      <c r="BA1331">
        <f>IF(COUNT($E$2:$E1331)&lt;20,"",SLOPE($E$1232:$E$1331,$F$1232:$F$1331))</f>
        <v>0</v>
      </c>
      <c r="BB1331">
        <f>IF(COUNT($E$2:$E1331)&lt;20,"",INTERCEPT($E$1232:$E$1331,$F$1232:$F$1331))</f>
        <v>0</v>
      </c>
      <c r="BC1331">
        <f>IF(OR(BA1331="",BB1331=""),"",BB1331+BA1331*F1331)</f>
        <v>0</v>
      </c>
      <c r="BD1331">
        <f>IF(COUNT($E$2:$E1331)&lt;20,"",STEYX($E$1232:$E$1331,$F$1232:$F$1331))</f>
        <v>0</v>
      </c>
      <c r="BE1331">
        <f>IF($E1331="","",IF(AND(COUNT($E$1332:$E$1335)&gt;=4,$C1331=MAX($C$1327:$C$1335)),$C1331,""))</f>
        <v>0</v>
      </c>
      <c r="BF1331">
        <f>IF($E1331="","",IF(AND(COUNT($E$1332:$E$1335)&gt;=4,$D1331=MIN($D$1327:$D$1335)),$D1331,""))</f>
        <v>0</v>
      </c>
      <c r="BG1331">
        <f>IF($A1331="","",$A1331-WEEKDAY($A1331,2)+1)</f>
        <v>0</v>
      </c>
      <c r="BH1331">
        <f>IF($A1331="","",IF($A1330="",1,IF(BG1331&lt;&gt;BG1330,1,0)))</f>
        <v>0</v>
      </c>
      <c r="BI1331">
        <f>IF($A1331="","",IF($A1332="",1,IF(BG1332&lt;&gt;BG1331,1,0)))</f>
        <v>0</v>
      </c>
      <c r="BJ1331">
        <f>IF($A1331="","",IF(BH1331=1,$B1331,BJ1330))</f>
        <v>0</v>
      </c>
      <c r="BK1331">
        <f>IF($A1331="","",IF(BH1331=1,$C1331,MAX($C1331,BK1330)))</f>
        <v>0</v>
      </c>
      <c r="BL1331">
        <f>IF($A1331="","",IF(BH1331=1,$D1331,MIN($D1331,BL1330)))</f>
        <v>0</v>
      </c>
      <c r="BM1331">
        <f>IF($A1331="","",IF(BI1331=1,F1331,""))</f>
        <v>0</v>
      </c>
      <c r="BN1331">
        <f>IF($A1331="","",DATE(YEAR($A1331),MONTH($A1331),1))</f>
        <v>0</v>
      </c>
      <c r="BO1331">
        <f>IF($A1331="","",IF($A1330="",1,IF(BN1331&lt;&gt;BN1330,1,0)))</f>
        <v>0</v>
      </c>
      <c r="BP1331">
        <f>IF($A1331="","",IF($A1332="",1,IF(BN1332&lt;&gt;BN1331,1,0)))</f>
        <v>0</v>
      </c>
      <c r="BQ1331">
        <f>IF($A1331="","",IF(BO1331=1,$B1331,BQ1330))</f>
        <v>0</v>
      </c>
      <c r="BR1331">
        <f>IF($A1331="","",IF(BO1331=1,$C1331,MAX($C1331,BR1330)))</f>
        <v>0</v>
      </c>
      <c r="BS1331">
        <f>IF($A1331="","",IF(BO1331=1,$D1331,MIN($D1331,BS1330)))</f>
        <v>0</v>
      </c>
      <c r="BT1331">
        <f>IF($A1331="","",IF(BP1331=1,F1331,""))</f>
        <v>0</v>
      </c>
    </row>
    <row r="1332" spans="1:72">
      <c r="A1332" s="27">
        <f>IF(Data!$A1332="","",Data!$A1332)</f>
        <v>0</v>
      </c>
      <c r="B1332">
        <f>IF(Data!$B1332="","",Data!$B1332)</f>
        <v>0</v>
      </c>
      <c r="C1332">
        <f>IF(Data!$C1332="","",Data!$C1332)</f>
        <v>0</v>
      </c>
      <c r="D1332">
        <f>IF(Data!$D1332="","",Data!$D1332)</f>
        <v>0</v>
      </c>
      <c r="E1332">
        <f>IF(Data!$E1332="","",Data!$E1332)</f>
        <v>0</v>
      </c>
      <c r="F1332">
        <f>IF($E1332="","",N(F1331)+1)</f>
        <v>0</v>
      </c>
      <c r="G1332">
        <f>IF(OR($E1332="",$E1331=""),"",LN($E1332/$E1331))</f>
        <v>0</v>
      </c>
      <c r="H1332">
        <f>IF($E1332="","",IF($E1331="",$E1332,$E1332*0.0952380952+H1331*0.9047619048))</f>
        <v>0</v>
      </c>
      <c r="I1332">
        <f>IF($E1332="","",IF($E1331="",$E1332,$E1332*0.0392156863+I1331*0.9607843137))</f>
        <v>0</v>
      </c>
      <c r="J1332">
        <f>IF($E1332="","",IF($E1331="",$E1332,$E1332*0.0198019802+J1331*0.9801980198))</f>
        <v>0</v>
      </c>
      <c r="K1332">
        <f>IF($E1332="","",IF($E1331="",$E1332,$E1332*0.0099502488+K1331*0.9900497512))</f>
        <v>0</v>
      </c>
      <c r="L1332">
        <f>IF(OR($E1332="",$E1331=""),"",MAX($E1332-$E1331,0))</f>
        <v>0</v>
      </c>
      <c r="M1332">
        <f>IF(OR($E1332="",$E1331=""),"",MAX($E1331-$E1332,0))</f>
        <v>0</v>
      </c>
      <c r="N1332">
        <f>IF(COUNT($E$2:$E1332)&lt;15,"",IF(AVERAGE($M$1319:$M$1332)=0,100,100-100/(1+AVERAGE($L$1319:$L$1332)/AVERAGE($M$1319:$M$1332))))</f>
        <v>0</v>
      </c>
      <c r="O1332">
        <f>IF($E1332="","",IF($E1331="",$E1332,$E1332*0.1538461538+O1331*0.8461538462))</f>
        <v>0</v>
      </c>
      <c r="P1332">
        <f>IF($E1332="","",IF($E1331="",$E1332,$E1332*0.0740740741+P1331*0.9259259259))</f>
        <v>0</v>
      </c>
      <c r="Q1332">
        <f>IF(OR(O1332="",P1332=""),"",O1332-P1332)</f>
        <v>0</v>
      </c>
      <c r="R1332">
        <f>IF(Q1332="","",IF(R1331="",Q1332,Q1332*0.2000000000+R1331*0.8000000000))</f>
        <v>0</v>
      </c>
      <c r="S1332">
        <f>IF(OR(Q1332="",R1332=""),"",Q1332-R1332)</f>
        <v>0</v>
      </c>
      <c r="T1332">
        <f>IF(COUNT($E$2:$E1332)&lt;14,"",MAX($C$1319:$C$1332))</f>
        <v>0</v>
      </c>
      <c r="U1332">
        <f>IF(COUNT($E$2:$E1332)&lt;14,"",MIN($D$1319:$D$1332))</f>
        <v>0</v>
      </c>
      <c r="V1332">
        <f>IF(OR(T1332="",U1332="",T1332=U1332),"",100*($E1332-U1332)/(T1332-U1332))</f>
        <v>0</v>
      </c>
      <c r="W1332">
        <f>IF(COUNT($V$1330:$V$1332)&lt;3,"",AVERAGE($V$1330:$V$1332))</f>
        <v>0</v>
      </c>
      <c r="X1332">
        <f>IF(COUNT($N$1319:$N$1332)&lt;14,"",MIN($N$1319:$N$1332))</f>
        <v>0</v>
      </c>
      <c r="Y1332">
        <f>IF(COUNT($N$1319:$N$1332)&lt;14,"",MAX($N$1319:$N$1332))</f>
        <v>0</v>
      </c>
      <c r="Z1332">
        <f>IF(OR(N1332="",X1332="",Y1332="",Y1332=X1332),"",100*(N1332-X1332)/(Y1332-X1332))</f>
        <v>0</v>
      </c>
      <c r="AA1332">
        <f>IF(COUNT($Z$1330:$Z$1332)&lt;3,"",AVERAGE($Z$1330:$Z$1332))</f>
        <v>0</v>
      </c>
      <c r="AB1332">
        <f>IF(COUNT($AA$1330:$AA$1332)&lt;3,"",AVERAGE($AA$1330:$AA$1332))</f>
        <v>0</v>
      </c>
      <c r="AC1332">
        <f>IF($E1332="","",MAX($C1332-$D1332,ABS($C1332-$E1331),ABS($D1332-$E1331)))</f>
        <v>0</v>
      </c>
      <c r="AD1332">
        <f>IF(COUNT($E$2:$E1332)&lt;15,"",AVERAGE($AC$1319:$AC$1332))</f>
        <v>0</v>
      </c>
      <c r="AE1332">
        <f>IF(OR($E1332="",$E1331=""),"",IF(AND(($C1332-$C1331)&gt;($D1331-$D1332),($C1332-$C1331)&gt;0),$C1332-$C1331,0))</f>
        <v>0</v>
      </c>
      <c r="AF1332">
        <f>IF(OR($E1332="",$E1331=""),"",IF(AND(($D1331-$D1332)&gt;($C1332-$C1331),($D1331-$D1332)&gt;0),$D1331-$D1332,0))</f>
        <v>0</v>
      </c>
      <c r="AG1332">
        <f>IF(COUNT($E$2:$E1332)&lt;15,"",IF(SUM($AC$1319:$AC$1332)=0,0,100*SUM($AE$1319:$AE$1332)/SUM($AC$1319:$AC$1332)))</f>
        <v>0</v>
      </c>
      <c r="AH1332">
        <f>IF(COUNT($E$2:$E1332)&lt;15,"",IF(SUM($AC$1319:$AC$1332)=0,0,100*SUM($AF$1319:$AF$1332)/SUM($AC$1319:$AC$1332)))</f>
        <v>0</v>
      </c>
      <c r="AI1332">
        <f>IF(OR(AG1332="",AH1332=""),"",IF((AG1332+AH1332)=0,0,100*ABS(AG1332-AH1332)/(AG1332+AH1332)))</f>
        <v>0</v>
      </c>
      <c r="AJ1332">
        <f>IF(COUNT($AI$1319:$AI$1332)&lt;14,"",AVERAGE($AI$1319:$AI$1332))</f>
        <v>0</v>
      </c>
      <c r="AK1332">
        <f>IF(COUNT($E$2:$E1332)&lt;20,"",AVERAGE($E$1313:$E$1332))</f>
        <v>0</v>
      </c>
      <c r="AL1332">
        <f>IF(COUNT($E$2:$E1332)&lt;20,"",STDEVP($E$1313:$E$1332))</f>
        <v>0</v>
      </c>
      <c r="AM1332">
        <f>IF(AK1332="","",AK1332+2*AL1332)</f>
        <v>0</v>
      </c>
      <c r="AN1332">
        <f>IF(AK1332="","",AK1332-2*AL1332)</f>
        <v>0</v>
      </c>
      <c r="AO1332">
        <f>IF(OR(AM1332="",AN1332="",AM1332=AN1332),"",($E1332-AN1332)/(AM1332-AN1332))</f>
        <v>0</v>
      </c>
      <c r="AP1332">
        <f>IF(OR(AM1332="",AK1332="",AK1332=0),"",(AM1332-AN1332)/AK1332)</f>
        <v>0</v>
      </c>
      <c r="AQ1332">
        <f>IF(COUNT($E$2:$E1332)&lt;20,"",MAX($C$1313:$C$1332))</f>
        <v>0</v>
      </c>
      <c r="AR1332">
        <f>IF(COUNT($E$2:$E1332)&lt;20,"",MIN($D$1313:$D$1332))</f>
        <v>0</v>
      </c>
      <c r="AS1332">
        <f>IF(OR(AQ1332="",AR1332=""),"",(AQ1332+AR1332)/2)</f>
        <v>0</v>
      </c>
      <c r="AT1332">
        <f>IF(COUNT($G$1313:$G$1332)&lt;20,"",STDEV($G$1313:$G$1332)*SQRT(252))</f>
        <v>0</v>
      </c>
      <c r="AU1332">
        <f>IF(COUNT($E$2:$E1332)&lt;9,"",(MAX($C$1324:$C$1332)+MIN($D$1324:$D$1332))/2)</f>
        <v>0</v>
      </c>
      <c r="AV1332">
        <f>IF(COUNT($E$2:$E1332)&lt;26,"",(MAX($C$1307:$C$1332)+MIN($D$1307:$D$1332))/2)</f>
        <v>0</v>
      </c>
      <c r="AW1332">
        <f>IF(OR(AU1332="",AV1332=""),"",(AU1332+AV1332)/2)</f>
        <v>0</v>
      </c>
      <c r="AX1332">
        <f>IF(COUNT($E$2:$E1332)&lt;52,"",(MAX($C$1281:$C$1332)+MIN($D$1281:$D$1332))/2)</f>
        <v>0</v>
      </c>
      <c r="AY1332">
        <f>IF(COUNT($E$2:$E1332)&lt;20,"",MAX($C$1233:$C$1332))</f>
        <v>0</v>
      </c>
      <c r="AZ1332">
        <f>IF(COUNT($E$2:$E1332)&lt;20,"",MIN($D$1233:$D$1332))</f>
        <v>0</v>
      </c>
      <c r="BA1332">
        <f>IF(COUNT($E$2:$E1332)&lt;20,"",SLOPE($E$1233:$E$1332,$F$1233:$F$1332))</f>
        <v>0</v>
      </c>
      <c r="BB1332">
        <f>IF(COUNT($E$2:$E1332)&lt;20,"",INTERCEPT($E$1233:$E$1332,$F$1233:$F$1332))</f>
        <v>0</v>
      </c>
      <c r="BC1332">
        <f>IF(OR(BA1332="",BB1332=""),"",BB1332+BA1332*F1332)</f>
        <v>0</v>
      </c>
      <c r="BD1332">
        <f>IF(COUNT($E$2:$E1332)&lt;20,"",STEYX($E$1233:$E$1332,$F$1233:$F$1332))</f>
        <v>0</v>
      </c>
      <c r="BE1332">
        <f>IF($E1332="","",IF(AND(COUNT($E$1333:$E$1336)&gt;=4,$C1332=MAX($C$1328:$C$1336)),$C1332,""))</f>
        <v>0</v>
      </c>
      <c r="BF1332">
        <f>IF($E1332="","",IF(AND(COUNT($E$1333:$E$1336)&gt;=4,$D1332=MIN($D$1328:$D$1336)),$D1332,""))</f>
        <v>0</v>
      </c>
      <c r="BG1332">
        <f>IF($A1332="","",$A1332-WEEKDAY($A1332,2)+1)</f>
        <v>0</v>
      </c>
      <c r="BH1332">
        <f>IF($A1332="","",IF($A1331="",1,IF(BG1332&lt;&gt;BG1331,1,0)))</f>
        <v>0</v>
      </c>
      <c r="BI1332">
        <f>IF($A1332="","",IF($A1333="",1,IF(BG1333&lt;&gt;BG1332,1,0)))</f>
        <v>0</v>
      </c>
      <c r="BJ1332">
        <f>IF($A1332="","",IF(BH1332=1,$B1332,BJ1331))</f>
        <v>0</v>
      </c>
      <c r="BK1332">
        <f>IF($A1332="","",IF(BH1332=1,$C1332,MAX($C1332,BK1331)))</f>
        <v>0</v>
      </c>
      <c r="BL1332">
        <f>IF($A1332="","",IF(BH1332=1,$D1332,MIN($D1332,BL1331)))</f>
        <v>0</v>
      </c>
      <c r="BM1332">
        <f>IF($A1332="","",IF(BI1332=1,F1332,""))</f>
        <v>0</v>
      </c>
      <c r="BN1332">
        <f>IF($A1332="","",DATE(YEAR($A1332),MONTH($A1332),1))</f>
        <v>0</v>
      </c>
      <c r="BO1332">
        <f>IF($A1332="","",IF($A1331="",1,IF(BN1332&lt;&gt;BN1331,1,0)))</f>
        <v>0</v>
      </c>
      <c r="BP1332">
        <f>IF($A1332="","",IF($A1333="",1,IF(BN1333&lt;&gt;BN1332,1,0)))</f>
        <v>0</v>
      </c>
      <c r="BQ1332">
        <f>IF($A1332="","",IF(BO1332=1,$B1332,BQ1331))</f>
        <v>0</v>
      </c>
      <c r="BR1332">
        <f>IF($A1332="","",IF(BO1332=1,$C1332,MAX($C1332,BR1331)))</f>
        <v>0</v>
      </c>
      <c r="BS1332">
        <f>IF($A1332="","",IF(BO1332=1,$D1332,MIN($D1332,BS1331)))</f>
        <v>0</v>
      </c>
      <c r="BT1332">
        <f>IF($A1332="","",IF(BP1332=1,F1332,""))</f>
        <v>0</v>
      </c>
    </row>
    <row r="1333" spans="1:72">
      <c r="A1333" s="27">
        <f>IF(Data!$A1333="","",Data!$A1333)</f>
        <v>0</v>
      </c>
      <c r="B1333">
        <f>IF(Data!$B1333="","",Data!$B1333)</f>
        <v>0</v>
      </c>
      <c r="C1333">
        <f>IF(Data!$C1333="","",Data!$C1333)</f>
        <v>0</v>
      </c>
      <c r="D1333">
        <f>IF(Data!$D1333="","",Data!$D1333)</f>
        <v>0</v>
      </c>
      <c r="E1333">
        <f>IF(Data!$E1333="","",Data!$E1333)</f>
        <v>0</v>
      </c>
      <c r="F1333">
        <f>IF($E1333="","",N(F1332)+1)</f>
        <v>0</v>
      </c>
      <c r="G1333">
        <f>IF(OR($E1333="",$E1332=""),"",LN($E1333/$E1332))</f>
        <v>0</v>
      </c>
      <c r="H1333">
        <f>IF($E1333="","",IF($E1332="",$E1333,$E1333*0.0952380952+H1332*0.9047619048))</f>
        <v>0</v>
      </c>
      <c r="I1333">
        <f>IF($E1333="","",IF($E1332="",$E1333,$E1333*0.0392156863+I1332*0.9607843137))</f>
        <v>0</v>
      </c>
      <c r="J1333">
        <f>IF($E1333="","",IF($E1332="",$E1333,$E1333*0.0198019802+J1332*0.9801980198))</f>
        <v>0</v>
      </c>
      <c r="K1333">
        <f>IF($E1333="","",IF($E1332="",$E1333,$E1333*0.0099502488+K1332*0.9900497512))</f>
        <v>0</v>
      </c>
      <c r="L1333">
        <f>IF(OR($E1333="",$E1332=""),"",MAX($E1333-$E1332,0))</f>
        <v>0</v>
      </c>
      <c r="M1333">
        <f>IF(OR($E1333="",$E1332=""),"",MAX($E1332-$E1333,0))</f>
        <v>0</v>
      </c>
      <c r="N1333">
        <f>IF(COUNT($E$2:$E1333)&lt;15,"",IF(AVERAGE($M$1320:$M$1333)=0,100,100-100/(1+AVERAGE($L$1320:$L$1333)/AVERAGE($M$1320:$M$1333))))</f>
        <v>0</v>
      </c>
      <c r="O1333">
        <f>IF($E1333="","",IF($E1332="",$E1333,$E1333*0.1538461538+O1332*0.8461538462))</f>
        <v>0</v>
      </c>
      <c r="P1333">
        <f>IF($E1333="","",IF($E1332="",$E1333,$E1333*0.0740740741+P1332*0.9259259259))</f>
        <v>0</v>
      </c>
      <c r="Q1333">
        <f>IF(OR(O1333="",P1333=""),"",O1333-P1333)</f>
        <v>0</v>
      </c>
      <c r="R1333">
        <f>IF(Q1333="","",IF(R1332="",Q1333,Q1333*0.2000000000+R1332*0.8000000000))</f>
        <v>0</v>
      </c>
      <c r="S1333">
        <f>IF(OR(Q1333="",R1333=""),"",Q1333-R1333)</f>
        <v>0</v>
      </c>
      <c r="T1333">
        <f>IF(COUNT($E$2:$E1333)&lt;14,"",MAX($C$1320:$C$1333))</f>
        <v>0</v>
      </c>
      <c r="U1333">
        <f>IF(COUNT($E$2:$E1333)&lt;14,"",MIN($D$1320:$D$1333))</f>
        <v>0</v>
      </c>
      <c r="V1333">
        <f>IF(OR(T1333="",U1333="",T1333=U1333),"",100*($E1333-U1333)/(T1333-U1333))</f>
        <v>0</v>
      </c>
      <c r="W1333">
        <f>IF(COUNT($V$1331:$V$1333)&lt;3,"",AVERAGE($V$1331:$V$1333))</f>
        <v>0</v>
      </c>
      <c r="X1333">
        <f>IF(COUNT($N$1320:$N$1333)&lt;14,"",MIN($N$1320:$N$1333))</f>
        <v>0</v>
      </c>
      <c r="Y1333">
        <f>IF(COUNT($N$1320:$N$1333)&lt;14,"",MAX($N$1320:$N$1333))</f>
        <v>0</v>
      </c>
      <c r="Z1333">
        <f>IF(OR(N1333="",X1333="",Y1333="",Y1333=X1333),"",100*(N1333-X1333)/(Y1333-X1333))</f>
        <v>0</v>
      </c>
      <c r="AA1333">
        <f>IF(COUNT($Z$1331:$Z$1333)&lt;3,"",AVERAGE($Z$1331:$Z$1333))</f>
        <v>0</v>
      </c>
      <c r="AB1333">
        <f>IF(COUNT($AA$1331:$AA$1333)&lt;3,"",AVERAGE($AA$1331:$AA$1333))</f>
        <v>0</v>
      </c>
      <c r="AC1333">
        <f>IF($E1333="","",MAX($C1333-$D1333,ABS($C1333-$E1332),ABS($D1333-$E1332)))</f>
        <v>0</v>
      </c>
      <c r="AD1333">
        <f>IF(COUNT($E$2:$E1333)&lt;15,"",AVERAGE($AC$1320:$AC$1333))</f>
        <v>0</v>
      </c>
      <c r="AE1333">
        <f>IF(OR($E1333="",$E1332=""),"",IF(AND(($C1333-$C1332)&gt;($D1332-$D1333),($C1333-$C1332)&gt;0),$C1333-$C1332,0))</f>
        <v>0</v>
      </c>
      <c r="AF1333">
        <f>IF(OR($E1333="",$E1332=""),"",IF(AND(($D1332-$D1333)&gt;($C1333-$C1332),($D1332-$D1333)&gt;0),$D1332-$D1333,0))</f>
        <v>0</v>
      </c>
      <c r="AG1333">
        <f>IF(COUNT($E$2:$E1333)&lt;15,"",IF(SUM($AC$1320:$AC$1333)=0,0,100*SUM($AE$1320:$AE$1333)/SUM($AC$1320:$AC$1333)))</f>
        <v>0</v>
      </c>
      <c r="AH1333">
        <f>IF(COUNT($E$2:$E1333)&lt;15,"",IF(SUM($AC$1320:$AC$1333)=0,0,100*SUM($AF$1320:$AF$1333)/SUM($AC$1320:$AC$1333)))</f>
        <v>0</v>
      </c>
      <c r="AI1333">
        <f>IF(OR(AG1333="",AH1333=""),"",IF((AG1333+AH1333)=0,0,100*ABS(AG1333-AH1333)/(AG1333+AH1333)))</f>
        <v>0</v>
      </c>
      <c r="AJ1333">
        <f>IF(COUNT($AI$1320:$AI$1333)&lt;14,"",AVERAGE($AI$1320:$AI$1333))</f>
        <v>0</v>
      </c>
      <c r="AK1333">
        <f>IF(COUNT($E$2:$E1333)&lt;20,"",AVERAGE($E$1314:$E$1333))</f>
        <v>0</v>
      </c>
      <c r="AL1333">
        <f>IF(COUNT($E$2:$E1333)&lt;20,"",STDEVP($E$1314:$E$1333))</f>
        <v>0</v>
      </c>
      <c r="AM1333">
        <f>IF(AK1333="","",AK1333+2*AL1333)</f>
        <v>0</v>
      </c>
      <c r="AN1333">
        <f>IF(AK1333="","",AK1333-2*AL1333)</f>
        <v>0</v>
      </c>
      <c r="AO1333">
        <f>IF(OR(AM1333="",AN1333="",AM1333=AN1333),"",($E1333-AN1333)/(AM1333-AN1333))</f>
        <v>0</v>
      </c>
      <c r="AP1333">
        <f>IF(OR(AM1333="",AK1333="",AK1333=0),"",(AM1333-AN1333)/AK1333)</f>
        <v>0</v>
      </c>
      <c r="AQ1333">
        <f>IF(COUNT($E$2:$E1333)&lt;20,"",MAX($C$1314:$C$1333))</f>
        <v>0</v>
      </c>
      <c r="AR1333">
        <f>IF(COUNT($E$2:$E1333)&lt;20,"",MIN($D$1314:$D$1333))</f>
        <v>0</v>
      </c>
      <c r="AS1333">
        <f>IF(OR(AQ1333="",AR1333=""),"",(AQ1333+AR1333)/2)</f>
        <v>0</v>
      </c>
      <c r="AT1333">
        <f>IF(COUNT($G$1314:$G$1333)&lt;20,"",STDEV($G$1314:$G$1333)*SQRT(252))</f>
        <v>0</v>
      </c>
      <c r="AU1333">
        <f>IF(COUNT($E$2:$E1333)&lt;9,"",(MAX($C$1325:$C$1333)+MIN($D$1325:$D$1333))/2)</f>
        <v>0</v>
      </c>
      <c r="AV1333">
        <f>IF(COUNT($E$2:$E1333)&lt;26,"",(MAX($C$1308:$C$1333)+MIN($D$1308:$D$1333))/2)</f>
        <v>0</v>
      </c>
      <c r="AW1333">
        <f>IF(OR(AU1333="",AV1333=""),"",(AU1333+AV1333)/2)</f>
        <v>0</v>
      </c>
      <c r="AX1333">
        <f>IF(COUNT($E$2:$E1333)&lt;52,"",(MAX($C$1282:$C$1333)+MIN($D$1282:$D$1333))/2)</f>
        <v>0</v>
      </c>
      <c r="AY1333">
        <f>IF(COUNT($E$2:$E1333)&lt;20,"",MAX($C$1234:$C$1333))</f>
        <v>0</v>
      </c>
      <c r="AZ1333">
        <f>IF(COUNT($E$2:$E1333)&lt;20,"",MIN($D$1234:$D$1333))</f>
        <v>0</v>
      </c>
      <c r="BA1333">
        <f>IF(COUNT($E$2:$E1333)&lt;20,"",SLOPE($E$1234:$E$1333,$F$1234:$F$1333))</f>
        <v>0</v>
      </c>
      <c r="BB1333">
        <f>IF(COUNT($E$2:$E1333)&lt;20,"",INTERCEPT($E$1234:$E$1333,$F$1234:$F$1333))</f>
        <v>0</v>
      </c>
      <c r="BC1333">
        <f>IF(OR(BA1333="",BB1333=""),"",BB1333+BA1333*F1333)</f>
        <v>0</v>
      </c>
      <c r="BD1333">
        <f>IF(COUNT($E$2:$E1333)&lt;20,"",STEYX($E$1234:$E$1333,$F$1234:$F$1333))</f>
        <v>0</v>
      </c>
      <c r="BE1333">
        <f>IF($E1333="","",IF(AND(COUNT($E$1334:$E$1337)&gt;=4,$C1333=MAX($C$1329:$C$1337)),$C1333,""))</f>
        <v>0</v>
      </c>
      <c r="BF1333">
        <f>IF($E1333="","",IF(AND(COUNT($E$1334:$E$1337)&gt;=4,$D1333=MIN($D$1329:$D$1337)),$D1333,""))</f>
        <v>0</v>
      </c>
      <c r="BG1333">
        <f>IF($A1333="","",$A1333-WEEKDAY($A1333,2)+1)</f>
        <v>0</v>
      </c>
      <c r="BH1333">
        <f>IF($A1333="","",IF($A1332="",1,IF(BG1333&lt;&gt;BG1332,1,0)))</f>
        <v>0</v>
      </c>
      <c r="BI1333">
        <f>IF($A1333="","",IF($A1334="",1,IF(BG1334&lt;&gt;BG1333,1,0)))</f>
        <v>0</v>
      </c>
      <c r="BJ1333">
        <f>IF($A1333="","",IF(BH1333=1,$B1333,BJ1332))</f>
        <v>0</v>
      </c>
      <c r="BK1333">
        <f>IF($A1333="","",IF(BH1333=1,$C1333,MAX($C1333,BK1332)))</f>
        <v>0</v>
      </c>
      <c r="BL1333">
        <f>IF($A1333="","",IF(BH1333=1,$D1333,MIN($D1333,BL1332)))</f>
        <v>0</v>
      </c>
      <c r="BM1333">
        <f>IF($A1333="","",IF(BI1333=1,F1333,""))</f>
        <v>0</v>
      </c>
      <c r="BN1333">
        <f>IF($A1333="","",DATE(YEAR($A1333),MONTH($A1333),1))</f>
        <v>0</v>
      </c>
      <c r="BO1333">
        <f>IF($A1333="","",IF($A1332="",1,IF(BN1333&lt;&gt;BN1332,1,0)))</f>
        <v>0</v>
      </c>
      <c r="BP1333">
        <f>IF($A1333="","",IF($A1334="",1,IF(BN1334&lt;&gt;BN1333,1,0)))</f>
        <v>0</v>
      </c>
      <c r="BQ1333">
        <f>IF($A1333="","",IF(BO1333=1,$B1333,BQ1332))</f>
        <v>0</v>
      </c>
      <c r="BR1333">
        <f>IF($A1333="","",IF(BO1333=1,$C1333,MAX($C1333,BR1332)))</f>
        <v>0</v>
      </c>
      <c r="BS1333">
        <f>IF($A1333="","",IF(BO1333=1,$D1333,MIN($D1333,BS1332)))</f>
        <v>0</v>
      </c>
      <c r="BT1333">
        <f>IF($A1333="","",IF(BP1333=1,F1333,""))</f>
        <v>0</v>
      </c>
    </row>
    <row r="1334" spans="1:72">
      <c r="A1334" s="27">
        <f>IF(Data!$A1334="","",Data!$A1334)</f>
        <v>0</v>
      </c>
      <c r="B1334">
        <f>IF(Data!$B1334="","",Data!$B1334)</f>
        <v>0</v>
      </c>
      <c r="C1334">
        <f>IF(Data!$C1334="","",Data!$C1334)</f>
        <v>0</v>
      </c>
      <c r="D1334">
        <f>IF(Data!$D1334="","",Data!$D1334)</f>
        <v>0</v>
      </c>
      <c r="E1334">
        <f>IF(Data!$E1334="","",Data!$E1334)</f>
        <v>0</v>
      </c>
      <c r="F1334">
        <f>IF($E1334="","",N(F1333)+1)</f>
        <v>0</v>
      </c>
      <c r="G1334">
        <f>IF(OR($E1334="",$E1333=""),"",LN($E1334/$E1333))</f>
        <v>0</v>
      </c>
      <c r="H1334">
        <f>IF($E1334="","",IF($E1333="",$E1334,$E1334*0.0952380952+H1333*0.9047619048))</f>
        <v>0</v>
      </c>
      <c r="I1334">
        <f>IF($E1334="","",IF($E1333="",$E1334,$E1334*0.0392156863+I1333*0.9607843137))</f>
        <v>0</v>
      </c>
      <c r="J1334">
        <f>IF($E1334="","",IF($E1333="",$E1334,$E1334*0.0198019802+J1333*0.9801980198))</f>
        <v>0</v>
      </c>
      <c r="K1334">
        <f>IF($E1334="","",IF($E1333="",$E1334,$E1334*0.0099502488+K1333*0.9900497512))</f>
        <v>0</v>
      </c>
      <c r="L1334">
        <f>IF(OR($E1334="",$E1333=""),"",MAX($E1334-$E1333,0))</f>
        <v>0</v>
      </c>
      <c r="M1334">
        <f>IF(OR($E1334="",$E1333=""),"",MAX($E1333-$E1334,0))</f>
        <v>0</v>
      </c>
      <c r="N1334">
        <f>IF(COUNT($E$2:$E1334)&lt;15,"",IF(AVERAGE($M$1321:$M$1334)=0,100,100-100/(1+AVERAGE($L$1321:$L$1334)/AVERAGE($M$1321:$M$1334))))</f>
        <v>0</v>
      </c>
      <c r="O1334">
        <f>IF($E1334="","",IF($E1333="",$E1334,$E1334*0.1538461538+O1333*0.8461538462))</f>
        <v>0</v>
      </c>
      <c r="P1334">
        <f>IF($E1334="","",IF($E1333="",$E1334,$E1334*0.0740740741+P1333*0.9259259259))</f>
        <v>0</v>
      </c>
      <c r="Q1334">
        <f>IF(OR(O1334="",P1334=""),"",O1334-P1334)</f>
        <v>0</v>
      </c>
      <c r="R1334">
        <f>IF(Q1334="","",IF(R1333="",Q1334,Q1334*0.2000000000+R1333*0.8000000000))</f>
        <v>0</v>
      </c>
      <c r="S1334">
        <f>IF(OR(Q1334="",R1334=""),"",Q1334-R1334)</f>
        <v>0</v>
      </c>
      <c r="T1334">
        <f>IF(COUNT($E$2:$E1334)&lt;14,"",MAX($C$1321:$C$1334))</f>
        <v>0</v>
      </c>
      <c r="U1334">
        <f>IF(COUNT($E$2:$E1334)&lt;14,"",MIN($D$1321:$D$1334))</f>
        <v>0</v>
      </c>
      <c r="V1334">
        <f>IF(OR(T1334="",U1334="",T1334=U1334),"",100*($E1334-U1334)/(T1334-U1334))</f>
        <v>0</v>
      </c>
      <c r="W1334">
        <f>IF(COUNT($V$1332:$V$1334)&lt;3,"",AVERAGE($V$1332:$V$1334))</f>
        <v>0</v>
      </c>
      <c r="X1334">
        <f>IF(COUNT($N$1321:$N$1334)&lt;14,"",MIN($N$1321:$N$1334))</f>
        <v>0</v>
      </c>
      <c r="Y1334">
        <f>IF(COUNT($N$1321:$N$1334)&lt;14,"",MAX($N$1321:$N$1334))</f>
        <v>0</v>
      </c>
      <c r="Z1334">
        <f>IF(OR(N1334="",X1334="",Y1334="",Y1334=X1334),"",100*(N1334-X1334)/(Y1334-X1334))</f>
        <v>0</v>
      </c>
      <c r="AA1334">
        <f>IF(COUNT($Z$1332:$Z$1334)&lt;3,"",AVERAGE($Z$1332:$Z$1334))</f>
        <v>0</v>
      </c>
      <c r="AB1334">
        <f>IF(COUNT($AA$1332:$AA$1334)&lt;3,"",AVERAGE($AA$1332:$AA$1334))</f>
        <v>0</v>
      </c>
      <c r="AC1334">
        <f>IF($E1334="","",MAX($C1334-$D1334,ABS($C1334-$E1333),ABS($D1334-$E1333)))</f>
        <v>0</v>
      </c>
      <c r="AD1334">
        <f>IF(COUNT($E$2:$E1334)&lt;15,"",AVERAGE($AC$1321:$AC$1334))</f>
        <v>0</v>
      </c>
      <c r="AE1334">
        <f>IF(OR($E1334="",$E1333=""),"",IF(AND(($C1334-$C1333)&gt;($D1333-$D1334),($C1334-$C1333)&gt;0),$C1334-$C1333,0))</f>
        <v>0</v>
      </c>
      <c r="AF1334">
        <f>IF(OR($E1334="",$E1333=""),"",IF(AND(($D1333-$D1334)&gt;($C1334-$C1333),($D1333-$D1334)&gt;0),$D1333-$D1334,0))</f>
        <v>0</v>
      </c>
      <c r="AG1334">
        <f>IF(COUNT($E$2:$E1334)&lt;15,"",IF(SUM($AC$1321:$AC$1334)=0,0,100*SUM($AE$1321:$AE$1334)/SUM($AC$1321:$AC$1334)))</f>
        <v>0</v>
      </c>
      <c r="AH1334">
        <f>IF(COUNT($E$2:$E1334)&lt;15,"",IF(SUM($AC$1321:$AC$1334)=0,0,100*SUM($AF$1321:$AF$1334)/SUM($AC$1321:$AC$1334)))</f>
        <v>0</v>
      </c>
      <c r="AI1334">
        <f>IF(OR(AG1334="",AH1334=""),"",IF((AG1334+AH1334)=0,0,100*ABS(AG1334-AH1334)/(AG1334+AH1334)))</f>
        <v>0</v>
      </c>
      <c r="AJ1334">
        <f>IF(COUNT($AI$1321:$AI$1334)&lt;14,"",AVERAGE($AI$1321:$AI$1334))</f>
        <v>0</v>
      </c>
      <c r="AK1334">
        <f>IF(COUNT($E$2:$E1334)&lt;20,"",AVERAGE($E$1315:$E$1334))</f>
        <v>0</v>
      </c>
      <c r="AL1334">
        <f>IF(COUNT($E$2:$E1334)&lt;20,"",STDEVP($E$1315:$E$1334))</f>
        <v>0</v>
      </c>
      <c r="AM1334">
        <f>IF(AK1334="","",AK1334+2*AL1334)</f>
        <v>0</v>
      </c>
      <c r="AN1334">
        <f>IF(AK1334="","",AK1334-2*AL1334)</f>
        <v>0</v>
      </c>
      <c r="AO1334">
        <f>IF(OR(AM1334="",AN1334="",AM1334=AN1334),"",($E1334-AN1334)/(AM1334-AN1334))</f>
        <v>0</v>
      </c>
      <c r="AP1334">
        <f>IF(OR(AM1334="",AK1334="",AK1334=0),"",(AM1334-AN1334)/AK1334)</f>
        <v>0</v>
      </c>
      <c r="AQ1334">
        <f>IF(COUNT($E$2:$E1334)&lt;20,"",MAX($C$1315:$C$1334))</f>
        <v>0</v>
      </c>
      <c r="AR1334">
        <f>IF(COUNT($E$2:$E1334)&lt;20,"",MIN($D$1315:$D$1334))</f>
        <v>0</v>
      </c>
      <c r="AS1334">
        <f>IF(OR(AQ1334="",AR1334=""),"",(AQ1334+AR1334)/2)</f>
        <v>0</v>
      </c>
      <c r="AT1334">
        <f>IF(COUNT($G$1315:$G$1334)&lt;20,"",STDEV($G$1315:$G$1334)*SQRT(252))</f>
        <v>0</v>
      </c>
      <c r="AU1334">
        <f>IF(COUNT($E$2:$E1334)&lt;9,"",(MAX($C$1326:$C$1334)+MIN($D$1326:$D$1334))/2)</f>
        <v>0</v>
      </c>
      <c r="AV1334">
        <f>IF(COUNT($E$2:$E1334)&lt;26,"",(MAX($C$1309:$C$1334)+MIN($D$1309:$D$1334))/2)</f>
        <v>0</v>
      </c>
      <c r="AW1334">
        <f>IF(OR(AU1334="",AV1334=""),"",(AU1334+AV1334)/2)</f>
        <v>0</v>
      </c>
      <c r="AX1334">
        <f>IF(COUNT($E$2:$E1334)&lt;52,"",(MAX($C$1283:$C$1334)+MIN($D$1283:$D$1334))/2)</f>
        <v>0</v>
      </c>
      <c r="AY1334">
        <f>IF(COUNT($E$2:$E1334)&lt;20,"",MAX($C$1235:$C$1334))</f>
        <v>0</v>
      </c>
      <c r="AZ1334">
        <f>IF(COUNT($E$2:$E1334)&lt;20,"",MIN($D$1235:$D$1334))</f>
        <v>0</v>
      </c>
      <c r="BA1334">
        <f>IF(COUNT($E$2:$E1334)&lt;20,"",SLOPE($E$1235:$E$1334,$F$1235:$F$1334))</f>
        <v>0</v>
      </c>
      <c r="BB1334">
        <f>IF(COUNT($E$2:$E1334)&lt;20,"",INTERCEPT($E$1235:$E$1334,$F$1235:$F$1334))</f>
        <v>0</v>
      </c>
      <c r="BC1334">
        <f>IF(OR(BA1334="",BB1334=""),"",BB1334+BA1334*F1334)</f>
        <v>0</v>
      </c>
      <c r="BD1334">
        <f>IF(COUNT($E$2:$E1334)&lt;20,"",STEYX($E$1235:$E$1334,$F$1235:$F$1334))</f>
        <v>0</v>
      </c>
      <c r="BE1334">
        <f>IF($E1334="","",IF(AND(COUNT($E$1335:$E$1338)&gt;=4,$C1334=MAX($C$1330:$C$1338)),$C1334,""))</f>
        <v>0</v>
      </c>
      <c r="BF1334">
        <f>IF($E1334="","",IF(AND(COUNT($E$1335:$E$1338)&gt;=4,$D1334=MIN($D$1330:$D$1338)),$D1334,""))</f>
        <v>0</v>
      </c>
      <c r="BG1334">
        <f>IF($A1334="","",$A1334-WEEKDAY($A1334,2)+1)</f>
        <v>0</v>
      </c>
      <c r="BH1334">
        <f>IF($A1334="","",IF($A1333="",1,IF(BG1334&lt;&gt;BG1333,1,0)))</f>
        <v>0</v>
      </c>
      <c r="BI1334">
        <f>IF($A1334="","",IF($A1335="",1,IF(BG1335&lt;&gt;BG1334,1,0)))</f>
        <v>0</v>
      </c>
      <c r="BJ1334">
        <f>IF($A1334="","",IF(BH1334=1,$B1334,BJ1333))</f>
        <v>0</v>
      </c>
      <c r="BK1334">
        <f>IF($A1334="","",IF(BH1334=1,$C1334,MAX($C1334,BK1333)))</f>
        <v>0</v>
      </c>
      <c r="BL1334">
        <f>IF($A1334="","",IF(BH1334=1,$D1334,MIN($D1334,BL1333)))</f>
        <v>0</v>
      </c>
      <c r="BM1334">
        <f>IF($A1334="","",IF(BI1334=1,F1334,""))</f>
        <v>0</v>
      </c>
      <c r="BN1334">
        <f>IF($A1334="","",DATE(YEAR($A1334),MONTH($A1334),1))</f>
        <v>0</v>
      </c>
      <c r="BO1334">
        <f>IF($A1334="","",IF($A1333="",1,IF(BN1334&lt;&gt;BN1333,1,0)))</f>
        <v>0</v>
      </c>
      <c r="BP1334">
        <f>IF($A1334="","",IF($A1335="",1,IF(BN1335&lt;&gt;BN1334,1,0)))</f>
        <v>0</v>
      </c>
      <c r="BQ1334">
        <f>IF($A1334="","",IF(BO1334=1,$B1334,BQ1333))</f>
        <v>0</v>
      </c>
      <c r="BR1334">
        <f>IF($A1334="","",IF(BO1334=1,$C1334,MAX($C1334,BR1333)))</f>
        <v>0</v>
      </c>
      <c r="BS1334">
        <f>IF($A1334="","",IF(BO1334=1,$D1334,MIN($D1334,BS1333)))</f>
        <v>0</v>
      </c>
      <c r="BT1334">
        <f>IF($A1334="","",IF(BP1334=1,F1334,""))</f>
        <v>0</v>
      </c>
    </row>
    <row r="1335" spans="1:72">
      <c r="A1335" s="27">
        <f>IF(Data!$A1335="","",Data!$A1335)</f>
        <v>0</v>
      </c>
      <c r="B1335">
        <f>IF(Data!$B1335="","",Data!$B1335)</f>
        <v>0</v>
      </c>
      <c r="C1335">
        <f>IF(Data!$C1335="","",Data!$C1335)</f>
        <v>0</v>
      </c>
      <c r="D1335">
        <f>IF(Data!$D1335="","",Data!$D1335)</f>
        <v>0</v>
      </c>
      <c r="E1335">
        <f>IF(Data!$E1335="","",Data!$E1335)</f>
        <v>0</v>
      </c>
      <c r="F1335">
        <f>IF($E1335="","",N(F1334)+1)</f>
        <v>0</v>
      </c>
      <c r="G1335">
        <f>IF(OR($E1335="",$E1334=""),"",LN($E1335/$E1334))</f>
        <v>0</v>
      </c>
      <c r="H1335">
        <f>IF($E1335="","",IF($E1334="",$E1335,$E1335*0.0952380952+H1334*0.9047619048))</f>
        <v>0</v>
      </c>
      <c r="I1335">
        <f>IF($E1335="","",IF($E1334="",$E1335,$E1335*0.0392156863+I1334*0.9607843137))</f>
        <v>0</v>
      </c>
      <c r="J1335">
        <f>IF($E1335="","",IF($E1334="",$E1335,$E1335*0.0198019802+J1334*0.9801980198))</f>
        <v>0</v>
      </c>
      <c r="K1335">
        <f>IF($E1335="","",IF($E1334="",$E1335,$E1335*0.0099502488+K1334*0.9900497512))</f>
        <v>0</v>
      </c>
      <c r="L1335">
        <f>IF(OR($E1335="",$E1334=""),"",MAX($E1335-$E1334,0))</f>
        <v>0</v>
      </c>
      <c r="M1335">
        <f>IF(OR($E1335="",$E1334=""),"",MAX($E1334-$E1335,0))</f>
        <v>0</v>
      </c>
      <c r="N1335">
        <f>IF(COUNT($E$2:$E1335)&lt;15,"",IF(AVERAGE($M$1322:$M$1335)=0,100,100-100/(1+AVERAGE($L$1322:$L$1335)/AVERAGE($M$1322:$M$1335))))</f>
        <v>0</v>
      </c>
      <c r="O1335">
        <f>IF($E1335="","",IF($E1334="",$E1335,$E1335*0.1538461538+O1334*0.8461538462))</f>
        <v>0</v>
      </c>
      <c r="P1335">
        <f>IF($E1335="","",IF($E1334="",$E1335,$E1335*0.0740740741+P1334*0.9259259259))</f>
        <v>0</v>
      </c>
      <c r="Q1335">
        <f>IF(OR(O1335="",P1335=""),"",O1335-P1335)</f>
        <v>0</v>
      </c>
      <c r="R1335">
        <f>IF(Q1335="","",IF(R1334="",Q1335,Q1335*0.2000000000+R1334*0.8000000000))</f>
        <v>0</v>
      </c>
      <c r="S1335">
        <f>IF(OR(Q1335="",R1335=""),"",Q1335-R1335)</f>
        <v>0</v>
      </c>
      <c r="T1335">
        <f>IF(COUNT($E$2:$E1335)&lt;14,"",MAX($C$1322:$C$1335))</f>
        <v>0</v>
      </c>
      <c r="U1335">
        <f>IF(COUNT($E$2:$E1335)&lt;14,"",MIN($D$1322:$D$1335))</f>
        <v>0</v>
      </c>
      <c r="V1335">
        <f>IF(OR(T1335="",U1335="",T1335=U1335),"",100*($E1335-U1335)/(T1335-U1335))</f>
        <v>0</v>
      </c>
      <c r="W1335">
        <f>IF(COUNT($V$1333:$V$1335)&lt;3,"",AVERAGE($V$1333:$V$1335))</f>
        <v>0</v>
      </c>
      <c r="X1335">
        <f>IF(COUNT($N$1322:$N$1335)&lt;14,"",MIN($N$1322:$N$1335))</f>
        <v>0</v>
      </c>
      <c r="Y1335">
        <f>IF(COUNT($N$1322:$N$1335)&lt;14,"",MAX($N$1322:$N$1335))</f>
        <v>0</v>
      </c>
      <c r="Z1335">
        <f>IF(OR(N1335="",X1335="",Y1335="",Y1335=X1335),"",100*(N1335-X1335)/(Y1335-X1335))</f>
        <v>0</v>
      </c>
      <c r="AA1335">
        <f>IF(COUNT($Z$1333:$Z$1335)&lt;3,"",AVERAGE($Z$1333:$Z$1335))</f>
        <v>0</v>
      </c>
      <c r="AB1335">
        <f>IF(COUNT($AA$1333:$AA$1335)&lt;3,"",AVERAGE($AA$1333:$AA$1335))</f>
        <v>0</v>
      </c>
      <c r="AC1335">
        <f>IF($E1335="","",MAX($C1335-$D1335,ABS($C1335-$E1334),ABS($D1335-$E1334)))</f>
        <v>0</v>
      </c>
      <c r="AD1335">
        <f>IF(COUNT($E$2:$E1335)&lt;15,"",AVERAGE($AC$1322:$AC$1335))</f>
        <v>0</v>
      </c>
      <c r="AE1335">
        <f>IF(OR($E1335="",$E1334=""),"",IF(AND(($C1335-$C1334)&gt;($D1334-$D1335),($C1335-$C1334)&gt;0),$C1335-$C1334,0))</f>
        <v>0</v>
      </c>
      <c r="AF1335">
        <f>IF(OR($E1335="",$E1334=""),"",IF(AND(($D1334-$D1335)&gt;($C1335-$C1334),($D1334-$D1335)&gt;0),$D1334-$D1335,0))</f>
        <v>0</v>
      </c>
      <c r="AG1335">
        <f>IF(COUNT($E$2:$E1335)&lt;15,"",IF(SUM($AC$1322:$AC$1335)=0,0,100*SUM($AE$1322:$AE$1335)/SUM($AC$1322:$AC$1335)))</f>
        <v>0</v>
      </c>
      <c r="AH1335">
        <f>IF(COUNT($E$2:$E1335)&lt;15,"",IF(SUM($AC$1322:$AC$1335)=0,0,100*SUM($AF$1322:$AF$1335)/SUM($AC$1322:$AC$1335)))</f>
        <v>0</v>
      </c>
      <c r="AI1335">
        <f>IF(OR(AG1335="",AH1335=""),"",IF((AG1335+AH1335)=0,0,100*ABS(AG1335-AH1335)/(AG1335+AH1335)))</f>
        <v>0</v>
      </c>
      <c r="AJ1335">
        <f>IF(COUNT($AI$1322:$AI$1335)&lt;14,"",AVERAGE($AI$1322:$AI$1335))</f>
        <v>0</v>
      </c>
      <c r="AK1335">
        <f>IF(COUNT($E$2:$E1335)&lt;20,"",AVERAGE($E$1316:$E$1335))</f>
        <v>0</v>
      </c>
      <c r="AL1335">
        <f>IF(COUNT($E$2:$E1335)&lt;20,"",STDEVP($E$1316:$E$1335))</f>
        <v>0</v>
      </c>
      <c r="AM1335">
        <f>IF(AK1335="","",AK1335+2*AL1335)</f>
        <v>0</v>
      </c>
      <c r="AN1335">
        <f>IF(AK1335="","",AK1335-2*AL1335)</f>
        <v>0</v>
      </c>
      <c r="AO1335">
        <f>IF(OR(AM1335="",AN1335="",AM1335=AN1335),"",($E1335-AN1335)/(AM1335-AN1335))</f>
        <v>0</v>
      </c>
      <c r="AP1335">
        <f>IF(OR(AM1335="",AK1335="",AK1335=0),"",(AM1335-AN1335)/AK1335)</f>
        <v>0</v>
      </c>
      <c r="AQ1335">
        <f>IF(COUNT($E$2:$E1335)&lt;20,"",MAX($C$1316:$C$1335))</f>
        <v>0</v>
      </c>
      <c r="AR1335">
        <f>IF(COUNT($E$2:$E1335)&lt;20,"",MIN($D$1316:$D$1335))</f>
        <v>0</v>
      </c>
      <c r="AS1335">
        <f>IF(OR(AQ1335="",AR1335=""),"",(AQ1335+AR1335)/2)</f>
        <v>0</v>
      </c>
      <c r="AT1335">
        <f>IF(COUNT($G$1316:$G$1335)&lt;20,"",STDEV($G$1316:$G$1335)*SQRT(252))</f>
        <v>0</v>
      </c>
      <c r="AU1335">
        <f>IF(COUNT($E$2:$E1335)&lt;9,"",(MAX($C$1327:$C$1335)+MIN($D$1327:$D$1335))/2)</f>
        <v>0</v>
      </c>
      <c r="AV1335">
        <f>IF(COUNT($E$2:$E1335)&lt;26,"",(MAX($C$1310:$C$1335)+MIN($D$1310:$D$1335))/2)</f>
        <v>0</v>
      </c>
      <c r="AW1335">
        <f>IF(OR(AU1335="",AV1335=""),"",(AU1335+AV1335)/2)</f>
        <v>0</v>
      </c>
      <c r="AX1335">
        <f>IF(COUNT($E$2:$E1335)&lt;52,"",(MAX($C$1284:$C$1335)+MIN($D$1284:$D$1335))/2)</f>
        <v>0</v>
      </c>
      <c r="AY1335">
        <f>IF(COUNT($E$2:$E1335)&lt;20,"",MAX($C$1236:$C$1335))</f>
        <v>0</v>
      </c>
      <c r="AZ1335">
        <f>IF(COUNT($E$2:$E1335)&lt;20,"",MIN($D$1236:$D$1335))</f>
        <v>0</v>
      </c>
      <c r="BA1335">
        <f>IF(COUNT($E$2:$E1335)&lt;20,"",SLOPE($E$1236:$E$1335,$F$1236:$F$1335))</f>
        <v>0</v>
      </c>
      <c r="BB1335">
        <f>IF(COUNT($E$2:$E1335)&lt;20,"",INTERCEPT($E$1236:$E$1335,$F$1236:$F$1335))</f>
        <v>0</v>
      </c>
      <c r="BC1335">
        <f>IF(OR(BA1335="",BB1335=""),"",BB1335+BA1335*F1335)</f>
        <v>0</v>
      </c>
      <c r="BD1335">
        <f>IF(COUNT($E$2:$E1335)&lt;20,"",STEYX($E$1236:$E$1335,$F$1236:$F$1335))</f>
        <v>0</v>
      </c>
      <c r="BE1335">
        <f>IF($E1335="","",IF(AND(COUNT($E$1336:$E$1339)&gt;=4,$C1335=MAX($C$1331:$C$1339)),$C1335,""))</f>
        <v>0</v>
      </c>
      <c r="BF1335">
        <f>IF($E1335="","",IF(AND(COUNT($E$1336:$E$1339)&gt;=4,$D1335=MIN($D$1331:$D$1339)),$D1335,""))</f>
        <v>0</v>
      </c>
      <c r="BG1335">
        <f>IF($A1335="","",$A1335-WEEKDAY($A1335,2)+1)</f>
        <v>0</v>
      </c>
      <c r="BH1335">
        <f>IF($A1335="","",IF($A1334="",1,IF(BG1335&lt;&gt;BG1334,1,0)))</f>
        <v>0</v>
      </c>
      <c r="BI1335">
        <f>IF($A1335="","",IF($A1336="",1,IF(BG1336&lt;&gt;BG1335,1,0)))</f>
        <v>0</v>
      </c>
      <c r="BJ1335">
        <f>IF($A1335="","",IF(BH1335=1,$B1335,BJ1334))</f>
        <v>0</v>
      </c>
      <c r="BK1335">
        <f>IF($A1335="","",IF(BH1335=1,$C1335,MAX($C1335,BK1334)))</f>
        <v>0</v>
      </c>
      <c r="BL1335">
        <f>IF($A1335="","",IF(BH1335=1,$D1335,MIN($D1335,BL1334)))</f>
        <v>0</v>
      </c>
      <c r="BM1335">
        <f>IF($A1335="","",IF(BI1335=1,F1335,""))</f>
        <v>0</v>
      </c>
      <c r="BN1335">
        <f>IF($A1335="","",DATE(YEAR($A1335),MONTH($A1335),1))</f>
        <v>0</v>
      </c>
      <c r="BO1335">
        <f>IF($A1335="","",IF($A1334="",1,IF(BN1335&lt;&gt;BN1334,1,0)))</f>
        <v>0</v>
      </c>
      <c r="BP1335">
        <f>IF($A1335="","",IF($A1336="",1,IF(BN1336&lt;&gt;BN1335,1,0)))</f>
        <v>0</v>
      </c>
      <c r="BQ1335">
        <f>IF($A1335="","",IF(BO1335=1,$B1335,BQ1334))</f>
        <v>0</v>
      </c>
      <c r="BR1335">
        <f>IF($A1335="","",IF(BO1335=1,$C1335,MAX($C1335,BR1334)))</f>
        <v>0</v>
      </c>
      <c r="BS1335">
        <f>IF($A1335="","",IF(BO1335=1,$D1335,MIN($D1335,BS1334)))</f>
        <v>0</v>
      </c>
      <c r="BT1335">
        <f>IF($A1335="","",IF(BP1335=1,F1335,""))</f>
        <v>0</v>
      </c>
    </row>
    <row r="1336" spans="1:72">
      <c r="A1336" s="27">
        <f>IF(Data!$A1336="","",Data!$A1336)</f>
        <v>0</v>
      </c>
      <c r="B1336">
        <f>IF(Data!$B1336="","",Data!$B1336)</f>
        <v>0</v>
      </c>
      <c r="C1336">
        <f>IF(Data!$C1336="","",Data!$C1336)</f>
        <v>0</v>
      </c>
      <c r="D1336">
        <f>IF(Data!$D1336="","",Data!$D1336)</f>
        <v>0</v>
      </c>
      <c r="E1336">
        <f>IF(Data!$E1336="","",Data!$E1336)</f>
        <v>0</v>
      </c>
      <c r="F1336">
        <f>IF($E1336="","",N(F1335)+1)</f>
        <v>0</v>
      </c>
      <c r="G1336">
        <f>IF(OR($E1336="",$E1335=""),"",LN($E1336/$E1335))</f>
        <v>0</v>
      </c>
      <c r="H1336">
        <f>IF($E1336="","",IF($E1335="",$E1336,$E1336*0.0952380952+H1335*0.9047619048))</f>
        <v>0</v>
      </c>
      <c r="I1336">
        <f>IF($E1336="","",IF($E1335="",$E1336,$E1336*0.0392156863+I1335*0.9607843137))</f>
        <v>0</v>
      </c>
      <c r="J1336">
        <f>IF($E1336="","",IF($E1335="",$E1336,$E1336*0.0198019802+J1335*0.9801980198))</f>
        <v>0</v>
      </c>
      <c r="K1336">
        <f>IF($E1336="","",IF($E1335="",$E1336,$E1336*0.0099502488+K1335*0.9900497512))</f>
        <v>0</v>
      </c>
      <c r="L1336">
        <f>IF(OR($E1336="",$E1335=""),"",MAX($E1336-$E1335,0))</f>
        <v>0</v>
      </c>
      <c r="M1336">
        <f>IF(OR($E1336="",$E1335=""),"",MAX($E1335-$E1336,0))</f>
        <v>0</v>
      </c>
      <c r="N1336">
        <f>IF(COUNT($E$2:$E1336)&lt;15,"",IF(AVERAGE($M$1323:$M$1336)=0,100,100-100/(1+AVERAGE($L$1323:$L$1336)/AVERAGE($M$1323:$M$1336))))</f>
        <v>0</v>
      </c>
      <c r="O1336">
        <f>IF($E1336="","",IF($E1335="",$E1336,$E1336*0.1538461538+O1335*0.8461538462))</f>
        <v>0</v>
      </c>
      <c r="P1336">
        <f>IF($E1336="","",IF($E1335="",$E1336,$E1336*0.0740740741+P1335*0.9259259259))</f>
        <v>0</v>
      </c>
      <c r="Q1336">
        <f>IF(OR(O1336="",P1336=""),"",O1336-P1336)</f>
        <v>0</v>
      </c>
      <c r="R1336">
        <f>IF(Q1336="","",IF(R1335="",Q1336,Q1336*0.2000000000+R1335*0.8000000000))</f>
        <v>0</v>
      </c>
      <c r="S1336">
        <f>IF(OR(Q1336="",R1336=""),"",Q1336-R1336)</f>
        <v>0</v>
      </c>
      <c r="T1336">
        <f>IF(COUNT($E$2:$E1336)&lt;14,"",MAX($C$1323:$C$1336))</f>
        <v>0</v>
      </c>
      <c r="U1336">
        <f>IF(COUNT($E$2:$E1336)&lt;14,"",MIN($D$1323:$D$1336))</f>
        <v>0</v>
      </c>
      <c r="V1336">
        <f>IF(OR(T1336="",U1336="",T1336=U1336),"",100*($E1336-U1336)/(T1336-U1336))</f>
        <v>0</v>
      </c>
      <c r="W1336">
        <f>IF(COUNT($V$1334:$V$1336)&lt;3,"",AVERAGE($V$1334:$V$1336))</f>
        <v>0</v>
      </c>
      <c r="X1336">
        <f>IF(COUNT($N$1323:$N$1336)&lt;14,"",MIN($N$1323:$N$1336))</f>
        <v>0</v>
      </c>
      <c r="Y1336">
        <f>IF(COUNT($N$1323:$N$1336)&lt;14,"",MAX($N$1323:$N$1336))</f>
        <v>0</v>
      </c>
      <c r="Z1336">
        <f>IF(OR(N1336="",X1336="",Y1336="",Y1336=X1336),"",100*(N1336-X1336)/(Y1336-X1336))</f>
        <v>0</v>
      </c>
      <c r="AA1336">
        <f>IF(COUNT($Z$1334:$Z$1336)&lt;3,"",AVERAGE($Z$1334:$Z$1336))</f>
        <v>0</v>
      </c>
      <c r="AB1336">
        <f>IF(COUNT($AA$1334:$AA$1336)&lt;3,"",AVERAGE($AA$1334:$AA$1336))</f>
        <v>0</v>
      </c>
      <c r="AC1336">
        <f>IF($E1336="","",MAX($C1336-$D1336,ABS($C1336-$E1335),ABS($D1336-$E1335)))</f>
        <v>0</v>
      </c>
      <c r="AD1336">
        <f>IF(COUNT($E$2:$E1336)&lt;15,"",AVERAGE($AC$1323:$AC$1336))</f>
        <v>0</v>
      </c>
      <c r="AE1336">
        <f>IF(OR($E1336="",$E1335=""),"",IF(AND(($C1336-$C1335)&gt;($D1335-$D1336),($C1336-$C1335)&gt;0),$C1336-$C1335,0))</f>
        <v>0</v>
      </c>
      <c r="AF1336">
        <f>IF(OR($E1336="",$E1335=""),"",IF(AND(($D1335-$D1336)&gt;($C1336-$C1335),($D1335-$D1336)&gt;0),$D1335-$D1336,0))</f>
        <v>0</v>
      </c>
      <c r="AG1336">
        <f>IF(COUNT($E$2:$E1336)&lt;15,"",IF(SUM($AC$1323:$AC$1336)=0,0,100*SUM($AE$1323:$AE$1336)/SUM($AC$1323:$AC$1336)))</f>
        <v>0</v>
      </c>
      <c r="AH1336">
        <f>IF(COUNT($E$2:$E1336)&lt;15,"",IF(SUM($AC$1323:$AC$1336)=0,0,100*SUM($AF$1323:$AF$1336)/SUM($AC$1323:$AC$1336)))</f>
        <v>0</v>
      </c>
      <c r="AI1336">
        <f>IF(OR(AG1336="",AH1336=""),"",IF((AG1336+AH1336)=0,0,100*ABS(AG1336-AH1336)/(AG1336+AH1336)))</f>
        <v>0</v>
      </c>
      <c r="AJ1336">
        <f>IF(COUNT($AI$1323:$AI$1336)&lt;14,"",AVERAGE($AI$1323:$AI$1336))</f>
        <v>0</v>
      </c>
      <c r="AK1336">
        <f>IF(COUNT($E$2:$E1336)&lt;20,"",AVERAGE($E$1317:$E$1336))</f>
        <v>0</v>
      </c>
      <c r="AL1336">
        <f>IF(COUNT($E$2:$E1336)&lt;20,"",STDEVP($E$1317:$E$1336))</f>
        <v>0</v>
      </c>
      <c r="AM1336">
        <f>IF(AK1336="","",AK1336+2*AL1336)</f>
        <v>0</v>
      </c>
      <c r="AN1336">
        <f>IF(AK1336="","",AK1336-2*AL1336)</f>
        <v>0</v>
      </c>
      <c r="AO1336">
        <f>IF(OR(AM1336="",AN1336="",AM1336=AN1336),"",($E1336-AN1336)/(AM1336-AN1336))</f>
        <v>0</v>
      </c>
      <c r="AP1336">
        <f>IF(OR(AM1336="",AK1336="",AK1336=0),"",(AM1336-AN1336)/AK1336)</f>
        <v>0</v>
      </c>
      <c r="AQ1336">
        <f>IF(COUNT($E$2:$E1336)&lt;20,"",MAX($C$1317:$C$1336))</f>
        <v>0</v>
      </c>
      <c r="AR1336">
        <f>IF(COUNT($E$2:$E1336)&lt;20,"",MIN($D$1317:$D$1336))</f>
        <v>0</v>
      </c>
      <c r="AS1336">
        <f>IF(OR(AQ1336="",AR1336=""),"",(AQ1336+AR1336)/2)</f>
        <v>0</v>
      </c>
      <c r="AT1336">
        <f>IF(COUNT($G$1317:$G$1336)&lt;20,"",STDEV($G$1317:$G$1336)*SQRT(252))</f>
        <v>0</v>
      </c>
      <c r="AU1336">
        <f>IF(COUNT($E$2:$E1336)&lt;9,"",(MAX($C$1328:$C$1336)+MIN($D$1328:$D$1336))/2)</f>
        <v>0</v>
      </c>
      <c r="AV1336">
        <f>IF(COUNT($E$2:$E1336)&lt;26,"",(MAX($C$1311:$C$1336)+MIN($D$1311:$D$1336))/2)</f>
        <v>0</v>
      </c>
      <c r="AW1336">
        <f>IF(OR(AU1336="",AV1336=""),"",(AU1336+AV1336)/2)</f>
        <v>0</v>
      </c>
      <c r="AX1336">
        <f>IF(COUNT($E$2:$E1336)&lt;52,"",(MAX($C$1285:$C$1336)+MIN($D$1285:$D$1336))/2)</f>
        <v>0</v>
      </c>
      <c r="AY1336">
        <f>IF(COUNT($E$2:$E1336)&lt;20,"",MAX($C$1237:$C$1336))</f>
        <v>0</v>
      </c>
      <c r="AZ1336">
        <f>IF(COUNT($E$2:$E1336)&lt;20,"",MIN($D$1237:$D$1336))</f>
        <v>0</v>
      </c>
      <c r="BA1336">
        <f>IF(COUNT($E$2:$E1336)&lt;20,"",SLOPE($E$1237:$E$1336,$F$1237:$F$1336))</f>
        <v>0</v>
      </c>
      <c r="BB1336">
        <f>IF(COUNT($E$2:$E1336)&lt;20,"",INTERCEPT($E$1237:$E$1336,$F$1237:$F$1336))</f>
        <v>0</v>
      </c>
      <c r="BC1336">
        <f>IF(OR(BA1336="",BB1336=""),"",BB1336+BA1336*F1336)</f>
        <v>0</v>
      </c>
      <c r="BD1336">
        <f>IF(COUNT($E$2:$E1336)&lt;20,"",STEYX($E$1237:$E$1336,$F$1237:$F$1336))</f>
        <v>0</v>
      </c>
      <c r="BE1336">
        <f>IF($E1336="","",IF(AND(COUNT($E$1337:$E$1340)&gt;=4,$C1336=MAX($C$1332:$C$1340)),$C1336,""))</f>
        <v>0</v>
      </c>
      <c r="BF1336">
        <f>IF($E1336="","",IF(AND(COUNT($E$1337:$E$1340)&gt;=4,$D1336=MIN($D$1332:$D$1340)),$D1336,""))</f>
        <v>0</v>
      </c>
      <c r="BG1336">
        <f>IF($A1336="","",$A1336-WEEKDAY($A1336,2)+1)</f>
        <v>0</v>
      </c>
      <c r="BH1336">
        <f>IF($A1336="","",IF($A1335="",1,IF(BG1336&lt;&gt;BG1335,1,0)))</f>
        <v>0</v>
      </c>
      <c r="BI1336">
        <f>IF($A1336="","",IF($A1337="",1,IF(BG1337&lt;&gt;BG1336,1,0)))</f>
        <v>0</v>
      </c>
      <c r="BJ1336">
        <f>IF($A1336="","",IF(BH1336=1,$B1336,BJ1335))</f>
        <v>0</v>
      </c>
      <c r="BK1336">
        <f>IF($A1336="","",IF(BH1336=1,$C1336,MAX($C1336,BK1335)))</f>
        <v>0</v>
      </c>
      <c r="BL1336">
        <f>IF($A1336="","",IF(BH1336=1,$D1336,MIN($D1336,BL1335)))</f>
        <v>0</v>
      </c>
      <c r="BM1336">
        <f>IF($A1336="","",IF(BI1336=1,F1336,""))</f>
        <v>0</v>
      </c>
      <c r="BN1336">
        <f>IF($A1336="","",DATE(YEAR($A1336),MONTH($A1336),1))</f>
        <v>0</v>
      </c>
      <c r="BO1336">
        <f>IF($A1336="","",IF($A1335="",1,IF(BN1336&lt;&gt;BN1335,1,0)))</f>
        <v>0</v>
      </c>
      <c r="BP1336">
        <f>IF($A1336="","",IF($A1337="",1,IF(BN1337&lt;&gt;BN1336,1,0)))</f>
        <v>0</v>
      </c>
      <c r="BQ1336">
        <f>IF($A1336="","",IF(BO1336=1,$B1336,BQ1335))</f>
        <v>0</v>
      </c>
      <c r="BR1336">
        <f>IF($A1336="","",IF(BO1336=1,$C1336,MAX($C1336,BR1335)))</f>
        <v>0</v>
      </c>
      <c r="BS1336">
        <f>IF($A1336="","",IF(BO1336=1,$D1336,MIN($D1336,BS1335)))</f>
        <v>0</v>
      </c>
      <c r="BT1336">
        <f>IF($A1336="","",IF(BP1336=1,F1336,""))</f>
        <v>0</v>
      </c>
    </row>
    <row r="1337" spans="1:72">
      <c r="A1337" s="27">
        <f>IF(Data!$A1337="","",Data!$A1337)</f>
        <v>0</v>
      </c>
      <c r="B1337">
        <f>IF(Data!$B1337="","",Data!$B1337)</f>
        <v>0</v>
      </c>
      <c r="C1337">
        <f>IF(Data!$C1337="","",Data!$C1337)</f>
        <v>0</v>
      </c>
      <c r="D1337">
        <f>IF(Data!$D1337="","",Data!$D1337)</f>
        <v>0</v>
      </c>
      <c r="E1337">
        <f>IF(Data!$E1337="","",Data!$E1337)</f>
        <v>0</v>
      </c>
      <c r="F1337">
        <f>IF($E1337="","",N(F1336)+1)</f>
        <v>0</v>
      </c>
      <c r="G1337">
        <f>IF(OR($E1337="",$E1336=""),"",LN($E1337/$E1336))</f>
        <v>0</v>
      </c>
      <c r="H1337">
        <f>IF($E1337="","",IF($E1336="",$E1337,$E1337*0.0952380952+H1336*0.9047619048))</f>
        <v>0</v>
      </c>
      <c r="I1337">
        <f>IF($E1337="","",IF($E1336="",$E1337,$E1337*0.0392156863+I1336*0.9607843137))</f>
        <v>0</v>
      </c>
      <c r="J1337">
        <f>IF($E1337="","",IF($E1336="",$E1337,$E1337*0.0198019802+J1336*0.9801980198))</f>
        <v>0</v>
      </c>
      <c r="K1337">
        <f>IF($E1337="","",IF($E1336="",$E1337,$E1337*0.0099502488+K1336*0.9900497512))</f>
        <v>0</v>
      </c>
      <c r="L1337">
        <f>IF(OR($E1337="",$E1336=""),"",MAX($E1337-$E1336,0))</f>
        <v>0</v>
      </c>
      <c r="M1337">
        <f>IF(OR($E1337="",$E1336=""),"",MAX($E1336-$E1337,0))</f>
        <v>0</v>
      </c>
      <c r="N1337">
        <f>IF(COUNT($E$2:$E1337)&lt;15,"",IF(AVERAGE($M$1324:$M$1337)=0,100,100-100/(1+AVERAGE($L$1324:$L$1337)/AVERAGE($M$1324:$M$1337))))</f>
        <v>0</v>
      </c>
      <c r="O1337">
        <f>IF($E1337="","",IF($E1336="",$E1337,$E1337*0.1538461538+O1336*0.8461538462))</f>
        <v>0</v>
      </c>
      <c r="P1337">
        <f>IF($E1337="","",IF($E1336="",$E1337,$E1337*0.0740740741+P1336*0.9259259259))</f>
        <v>0</v>
      </c>
      <c r="Q1337">
        <f>IF(OR(O1337="",P1337=""),"",O1337-P1337)</f>
        <v>0</v>
      </c>
      <c r="R1337">
        <f>IF(Q1337="","",IF(R1336="",Q1337,Q1337*0.2000000000+R1336*0.8000000000))</f>
        <v>0</v>
      </c>
      <c r="S1337">
        <f>IF(OR(Q1337="",R1337=""),"",Q1337-R1337)</f>
        <v>0</v>
      </c>
      <c r="T1337">
        <f>IF(COUNT($E$2:$E1337)&lt;14,"",MAX($C$1324:$C$1337))</f>
        <v>0</v>
      </c>
      <c r="U1337">
        <f>IF(COUNT($E$2:$E1337)&lt;14,"",MIN($D$1324:$D$1337))</f>
        <v>0</v>
      </c>
      <c r="V1337">
        <f>IF(OR(T1337="",U1337="",T1337=U1337),"",100*($E1337-U1337)/(T1337-U1337))</f>
        <v>0</v>
      </c>
      <c r="W1337">
        <f>IF(COUNT($V$1335:$V$1337)&lt;3,"",AVERAGE($V$1335:$V$1337))</f>
        <v>0</v>
      </c>
      <c r="X1337">
        <f>IF(COUNT($N$1324:$N$1337)&lt;14,"",MIN($N$1324:$N$1337))</f>
        <v>0</v>
      </c>
      <c r="Y1337">
        <f>IF(COUNT($N$1324:$N$1337)&lt;14,"",MAX($N$1324:$N$1337))</f>
        <v>0</v>
      </c>
      <c r="Z1337">
        <f>IF(OR(N1337="",X1337="",Y1337="",Y1337=X1337),"",100*(N1337-X1337)/(Y1337-X1337))</f>
        <v>0</v>
      </c>
      <c r="AA1337">
        <f>IF(COUNT($Z$1335:$Z$1337)&lt;3,"",AVERAGE($Z$1335:$Z$1337))</f>
        <v>0</v>
      </c>
      <c r="AB1337">
        <f>IF(COUNT($AA$1335:$AA$1337)&lt;3,"",AVERAGE($AA$1335:$AA$1337))</f>
        <v>0</v>
      </c>
      <c r="AC1337">
        <f>IF($E1337="","",MAX($C1337-$D1337,ABS($C1337-$E1336),ABS($D1337-$E1336)))</f>
        <v>0</v>
      </c>
      <c r="AD1337">
        <f>IF(COUNT($E$2:$E1337)&lt;15,"",AVERAGE($AC$1324:$AC$1337))</f>
        <v>0</v>
      </c>
      <c r="AE1337">
        <f>IF(OR($E1337="",$E1336=""),"",IF(AND(($C1337-$C1336)&gt;($D1336-$D1337),($C1337-$C1336)&gt;0),$C1337-$C1336,0))</f>
        <v>0</v>
      </c>
      <c r="AF1337">
        <f>IF(OR($E1337="",$E1336=""),"",IF(AND(($D1336-$D1337)&gt;($C1337-$C1336),($D1336-$D1337)&gt;0),$D1336-$D1337,0))</f>
        <v>0</v>
      </c>
      <c r="AG1337">
        <f>IF(COUNT($E$2:$E1337)&lt;15,"",IF(SUM($AC$1324:$AC$1337)=0,0,100*SUM($AE$1324:$AE$1337)/SUM($AC$1324:$AC$1337)))</f>
        <v>0</v>
      </c>
      <c r="AH1337">
        <f>IF(COUNT($E$2:$E1337)&lt;15,"",IF(SUM($AC$1324:$AC$1337)=0,0,100*SUM($AF$1324:$AF$1337)/SUM($AC$1324:$AC$1337)))</f>
        <v>0</v>
      </c>
      <c r="AI1337">
        <f>IF(OR(AG1337="",AH1337=""),"",IF((AG1337+AH1337)=0,0,100*ABS(AG1337-AH1337)/(AG1337+AH1337)))</f>
        <v>0</v>
      </c>
      <c r="AJ1337">
        <f>IF(COUNT($AI$1324:$AI$1337)&lt;14,"",AVERAGE($AI$1324:$AI$1337))</f>
        <v>0</v>
      </c>
      <c r="AK1337">
        <f>IF(COUNT($E$2:$E1337)&lt;20,"",AVERAGE($E$1318:$E$1337))</f>
        <v>0</v>
      </c>
      <c r="AL1337">
        <f>IF(COUNT($E$2:$E1337)&lt;20,"",STDEVP($E$1318:$E$1337))</f>
        <v>0</v>
      </c>
      <c r="AM1337">
        <f>IF(AK1337="","",AK1337+2*AL1337)</f>
        <v>0</v>
      </c>
      <c r="AN1337">
        <f>IF(AK1337="","",AK1337-2*AL1337)</f>
        <v>0</v>
      </c>
      <c r="AO1337">
        <f>IF(OR(AM1337="",AN1337="",AM1337=AN1337),"",($E1337-AN1337)/(AM1337-AN1337))</f>
        <v>0</v>
      </c>
      <c r="AP1337">
        <f>IF(OR(AM1337="",AK1337="",AK1337=0),"",(AM1337-AN1337)/AK1337)</f>
        <v>0</v>
      </c>
      <c r="AQ1337">
        <f>IF(COUNT($E$2:$E1337)&lt;20,"",MAX($C$1318:$C$1337))</f>
        <v>0</v>
      </c>
      <c r="AR1337">
        <f>IF(COUNT($E$2:$E1337)&lt;20,"",MIN($D$1318:$D$1337))</f>
        <v>0</v>
      </c>
      <c r="AS1337">
        <f>IF(OR(AQ1337="",AR1337=""),"",(AQ1337+AR1337)/2)</f>
        <v>0</v>
      </c>
      <c r="AT1337">
        <f>IF(COUNT($G$1318:$G$1337)&lt;20,"",STDEV($G$1318:$G$1337)*SQRT(252))</f>
        <v>0</v>
      </c>
      <c r="AU1337">
        <f>IF(COUNT($E$2:$E1337)&lt;9,"",(MAX($C$1329:$C$1337)+MIN($D$1329:$D$1337))/2)</f>
        <v>0</v>
      </c>
      <c r="AV1337">
        <f>IF(COUNT($E$2:$E1337)&lt;26,"",(MAX($C$1312:$C$1337)+MIN($D$1312:$D$1337))/2)</f>
        <v>0</v>
      </c>
      <c r="AW1337">
        <f>IF(OR(AU1337="",AV1337=""),"",(AU1337+AV1337)/2)</f>
        <v>0</v>
      </c>
      <c r="AX1337">
        <f>IF(COUNT($E$2:$E1337)&lt;52,"",(MAX($C$1286:$C$1337)+MIN($D$1286:$D$1337))/2)</f>
        <v>0</v>
      </c>
      <c r="AY1337">
        <f>IF(COUNT($E$2:$E1337)&lt;20,"",MAX($C$1238:$C$1337))</f>
        <v>0</v>
      </c>
      <c r="AZ1337">
        <f>IF(COUNT($E$2:$E1337)&lt;20,"",MIN($D$1238:$D$1337))</f>
        <v>0</v>
      </c>
      <c r="BA1337">
        <f>IF(COUNT($E$2:$E1337)&lt;20,"",SLOPE($E$1238:$E$1337,$F$1238:$F$1337))</f>
        <v>0</v>
      </c>
      <c r="BB1337">
        <f>IF(COUNT($E$2:$E1337)&lt;20,"",INTERCEPT($E$1238:$E$1337,$F$1238:$F$1337))</f>
        <v>0</v>
      </c>
      <c r="BC1337">
        <f>IF(OR(BA1337="",BB1337=""),"",BB1337+BA1337*F1337)</f>
        <v>0</v>
      </c>
      <c r="BD1337">
        <f>IF(COUNT($E$2:$E1337)&lt;20,"",STEYX($E$1238:$E$1337,$F$1238:$F$1337))</f>
        <v>0</v>
      </c>
      <c r="BE1337">
        <f>IF($E1337="","",IF(AND(COUNT($E$1338:$E$1341)&gt;=4,$C1337=MAX($C$1333:$C$1341)),$C1337,""))</f>
        <v>0</v>
      </c>
      <c r="BF1337">
        <f>IF($E1337="","",IF(AND(COUNT($E$1338:$E$1341)&gt;=4,$D1337=MIN($D$1333:$D$1341)),$D1337,""))</f>
        <v>0</v>
      </c>
      <c r="BG1337">
        <f>IF($A1337="","",$A1337-WEEKDAY($A1337,2)+1)</f>
        <v>0</v>
      </c>
      <c r="BH1337">
        <f>IF($A1337="","",IF($A1336="",1,IF(BG1337&lt;&gt;BG1336,1,0)))</f>
        <v>0</v>
      </c>
      <c r="BI1337">
        <f>IF($A1337="","",IF($A1338="",1,IF(BG1338&lt;&gt;BG1337,1,0)))</f>
        <v>0</v>
      </c>
      <c r="BJ1337">
        <f>IF($A1337="","",IF(BH1337=1,$B1337,BJ1336))</f>
        <v>0</v>
      </c>
      <c r="BK1337">
        <f>IF($A1337="","",IF(BH1337=1,$C1337,MAX($C1337,BK1336)))</f>
        <v>0</v>
      </c>
      <c r="BL1337">
        <f>IF($A1337="","",IF(BH1337=1,$D1337,MIN($D1337,BL1336)))</f>
        <v>0</v>
      </c>
      <c r="BM1337">
        <f>IF($A1337="","",IF(BI1337=1,F1337,""))</f>
        <v>0</v>
      </c>
      <c r="BN1337">
        <f>IF($A1337="","",DATE(YEAR($A1337),MONTH($A1337),1))</f>
        <v>0</v>
      </c>
      <c r="BO1337">
        <f>IF($A1337="","",IF($A1336="",1,IF(BN1337&lt;&gt;BN1336,1,0)))</f>
        <v>0</v>
      </c>
      <c r="BP1337">
        <f>IF($A1337="","",IF($A1338="",1,IF(BN1338&lt;&gt;BN1337,1,0)))</f>
        <v>0</v>
      </c>
      <c r="BQ1337">
        <f>IF($A1337="","",IF(BO1337=1,$B1337,BQ1336))</f>
        <v>0</v>
      </c>
      <c r="BR1337">
        <f>IF($A1337="","",IF(BO1337=1,$C1337,MAX($C1337,BR1336)))</f>
        <v>0</v>
      </c>
      <c r="BS1337">
        <f>IF($A1337="","",IF(BO1337=1,$D1337,MIN($D1337,BS1336)))</f>
        <v>0</v>
      </c>
      <c r="BT1337">
        <f>IF($A1337="","",IF(BP1337=1,F1337,""))</f>
        <v>0</v>
      </c>
    </row>
    <row r="1338" spans="1:72">
      <c r="A1338" s="27">
        <f>IF(Data!$A1338="","",Data!$A1338)</f>
        <v>0</v>
      </c>
      <c r="B1338">
        <f>IF(Data!$B1338="","",Data!$B1338)</f>
        <v>0</v>
      </c>
      <c r="C1338">
        <f>IF(Data!$C1338="","",Data!$C1338)</f>
        <v>0</v>
      </c>
      <c r="D1338">
        <f>IF(Data!$D1338="","",Data!$D1338)</f>
        <v>0</v>
      </c>
      <c r="E1338">
        <f>IF(Data!$E1338="","",Data!$E1338)</f>
        <v>0</v>
      </c>
      <c r="F1338">
        <f>IF($E1338="","",N(F1337)+1)</f>
        <v>0</v>
      </c>
      <c r="G1338">
        <f>IF(OR($E1338="",$E1337=""),"",LN($E1338/$E1337))</f>
        <v>0</v>
      </c>
      <c r="H1338">
        <f>IF($E1338="","",IF($E1337="",$E1338,$E1338*0.0952380952+H1337*0.9047619048))</f>
        <v>0</v>
      </c>
      <c r="I1338">
        <f>IF($E1338="","",IF($E1337="",$E1338,$E1338*0.0392156863+I1337*0.9607843137))</f>
        <v>0</v>
      </c>
      <c r="J1338">
        <f>IF($E1338="","",IF($E1337="",$E1338,$E1338*0.0198019802+J1337*0.9801980198))</f>
        <v>0</v>
      </c>
      <c r="K1338">
        <f>IF($E1338="","",IF($E1337="",$E1338,$E1338*0.0099502488+K1337*0.9900497512))</f>
        <v>0</v>
      </c>
      <c r="L1338">
        <f>IF(OR($E1338="",$E1337=""),"",MAX($E1338-$E1337,0))</f>
        <v>0</v>
      </c>
      <c r="M1338">
        <f>IF(OR($E1338="",$E1337=""),"",MAX($E1337-$E1338,0))</f>
        <v>0</v>
      </c>
      <c r="N1338">
        <f>IF(COUNT($E$2:$E1338)&lt;15,"",IF(AVERAGE($M$1325:$M$1338)=0,100,100-100/(1+AVERAGE($L$1325:$L$1338)/AVERAGE($M$1325:$M$1338))))</f>
        <v>0</v>
      </c>
      <c r="O1338">
        <f>IF($E1338="","",IF($E1337="",$E1338,$E1338*0.1538461538+O1337*0.8461538462))</f>
        <v>0</v>
      </c>
      <c r="P1338">
        <f>IF($E1338="","",IF($E1337="",$E1338,$E1338*0.0740740741+P1337*0.9259259259))</f>
        <v>0</v>
      </c>
      <c r="Q1338">
        <f>IF(OR(O1338="",P1338=""),"",O1338-P1338)</f>
        <v>0</v>
      </c>
      <c r="R1338">
        <f>IF(Q1338="","",IF(R1337="",Q1338,Q1338*0.2000000000+R1337*0.8000000000))</f>
        <v>0</v>
      </c>
      <c r="S1338">
        <f>IF(OR(Q1338="",R1338=""),"",Q1338-R1338)</f>
        <v>0</v>
      </c>
      <c r="T1338">
        <f>IF(COUNT($E$2:$E1338)&lt;14,"",MAX($C$1325:$C$1338))</f>
        <v>0</v>
      </c>
      <c r="U1338">
        <f>IF(COUNT($E$2:$E1338)&lt;14,"",MIN($D$1325:$D$1338))</f>
        <v>0</v>
      </c>
      <c r="V1338">
        <f>IF(OR(T1338="",U1338="",T1338=U1338),"",100*($E1338-U1338)/(T1338-U1338))</f>
        <v>0</v>
      </c>
      <c r="W1338">
        <f>IF(COUNT($V$1336:$V$1338)&lt;3,"",AVERAGE($V$1336:$V$1338))</f>
        <v>0</v>
      </c>
      <c r="X1338">
        <f>IF(COUNT($N$1325:$N$1338)&lt;14,"",MIN($N$1325:$N$1338))</f>
        <v>0</v>
      </c>
      <c r="Y1338">
        <f>IF(COUNT($N$1325:$N$1338)&lt;14,"",MAX($N$1325:$N$1338))</f>
        <v>0</v>
      </c>
      <c r="Z1338">
        <f>IF(OR(N1338="",X1338="",Y1338="",Y1338=X1338),"",100*(N1338-X1338)/(Y1338-X1338))</f>
        <v>0</v>
      </c>
      <c r="AA1338">
        <f>IF(COUNT($Z$1336:$Z$1338)&lt;3,"",AVERAGE($Z$1336:$Z$1338))</f>
        <v>0</v>
      </c>
      <c r="AB1338">
        <f>IF(COUNT($AA$1336:$AA$1338)&lt;3,"",AVERAGE($AA$1336:$AA$1338))</f>
        <v>0</v>
      </c>
      <c r="AC1338">
        <f>IF($E1338="","",MAX($C1338-$D1338,ABS($C1338-$E1337),ABS($D1338-$E1337)))</f>
        <v>0</v>
      </c>
      <c r="AD1338">
        <f>IF(COUNT($E$2:$E1338)&lt;15,"",AVERAGE($AC$1325:$AC$1338))</f>
        <v>0</v>
      </c>
      <c r="AE1338">
        <f>IF(OR($E1338="",$E1337=""),"",IF(AND(($C1338-$C1337)&gt;($D1337-$D1338),($C1338-$C1337)&gt;0),$C1338-$C1337,0))</f>
        <v>0</v>
      </c>
      <c r="AF1338">
        <f>IF(OR($E1338="",$E1337=""),"",IF(AND(($D1337-$D1338)&gt;($C1338-$C1337),($D1337-$D1338)&gt;0),$D1337-$D1338,0))</f>
        <v>0</v>
      </c>
      <c r="AG1338">
        <f>IF(COUNT($E$2:$E1338)&lt;15,"",IF(SUM($AC$1325:$AC$1338)=0,0,100*SUM($AE$1325:$AE$1338)/SUM($AC$1325:$AC$1338)))</f>
        <v>0</v>
      </c>
      <c r="AH1338">
        <f>IF(COUNT($E$2:$E1338)&lt;15,"",IF(SUM($AC$1325:$AC$1338)=0,0,100*SUM($AF$1325:$AF$1338)/SUM($AC$1325:$AC$1338)))</f>
        <v>0</v>
      </c>
      <c r="AI1338">
        <f>IF(OR(AG1338="",AH1338=""),"",IF((AG1338+AH1338)=0,0,100*ABS(AG1338-AH1338)/(AG1338+AH1338)))</f>
        <v>0</v>
      </c>
      <c r="AJ1338">
        <f>IF(COUNT($AI$1325:$AI$1338)&lt;14,"",AVERAGE($AI$1325:$AI$1338))</f>
        <v>0</v>
      </c>
      <c r="AK1338">
        <f>IF(COUNT($E$2:$E1338)&lt;20,"",AVERAGE($E$1319:$E$1338))</f>
        <v>0</v>
      </c>
      <c r="AL1338">
        <f>IF(COUNT($E$2:$E1338)&lt;20,"",STDEVP($E$1319:$E$1338))</f>
        <v>0</v>
      </c>
      <c r="AM1338">
        <f>IF(AK1338="","",AK1338+2*AL1338)</f>
        <v>0</v>
      </c>
      <c r="AN1338">
        <f>IF(AK1338="","",AK1338-2*AL1338)</f>
        <v>0</v>
      </c>
      <c r="AO1338">
        <f>IF(OR(AM1338="",AN1338="",AM1338=AN1338),"",($E1338-AN1338)/(AM1338-AN1338))</f>
        <v>0</v>
      </c>
      <c r="AP1338">
        <f>IF(OR(AM1338="",AK1338="",AK1338=0),"",(AM1338-AN1338)/AK1338)</f>
        <v>0</v>
      </c>
      <c r="AQ1338">
        <f>IF(COUNT($E$2:$E1338)&lt;20,"",MAX($C$1319:$C$1338))</f>
        <v>0</v>
      </c>
      <c r="AR1338">
        <f>IF(COUNT($E$2:$E1338)&lt;20,"",MIN($D$1319:$D$1338))</f>
        <v>0</v>
      </c>
      <c r="AS1338">
        <f>IF(OR(AQ1338="",AR1338=""),"",(AQ1338+AR1338)/2)</f>
        <v>0</v>
      </c>
      <c r="AT1338">
        <f>IF(COUNT($G$1319:$G$1338)&lt;20,"",STDEV($G$1319:$G$1338)*SQRT(252))</f>
        <v>0</v>
      </c>
      <c r="AU1338">
        <f>IF(COUNT($E$2:$E1338)&lt;9,"",(MAX($C$1330:$C$1338)+MIN($D$1330:$D$1338))/2)</f>
        <v>0</v>
      </c>
      <c r="AV1338">
        <f>IF(COUNT($E$2:$E1338)&lt;26,"",(MAX($C$1313:$C$1338)+MIN($D$1313:$D$1338))/2)</f>
        <v>0</v>
      </c>
      <c r="AW1338">
        <f>IF(OR(AU1338="",AV1338=""),"",(AU1338+AV1338)/2)</f>
        <v>0</v>
      </c>
      <c r="AX1338">
        <f>IF(COUNT($E$2:$E1338)&lt;52,"",(MAX($C$1287:$C$1338)+MIN($D$1287:$D$1338))/2)</f>
        <v>0</v>
      </c>
      <c r="AY1338">
        <f>IF(COUNT($E$2:$E1338)&lt;20,"",MAX($C$1239:$C$1338))</f>
        <v>0</v>
      </c>
      <c r="AZ1338">
        <f>IF(COUNT($E$2:$E1338)&lt;20,"",MIN($D$1239:$D$1338))</f>
        <v>0</v>
      </c>
      <c r="BA1338">
        <f>IF(COUNT($E$2:$E1338)&lt;20,"",SLOPE($E$1239:$E$1338,$F$1239:$F$1338))</f>
        <v>0</v>
      </c>
      <c r="BB1338">
        <f>IF(COUNT($E$2:$E1338)&lt;20,"",INTERCEPT($E$1239:$E$1338,$F$1239:$F$1338))</f>
        <v>0</v>
      </c>
      <c r="BC1338">
        <f>IF(OR(BA1338="",BB1338=""),"",BB1338+BA1338*F1338)</f>
        <v>0</v>
      </c>
      <c r="BD1338">
        <f>IF(COUNT($E$2:$E1338)&lt;20,"",STEYX($E$1239:$E$1338,$F$1239:$F$1338))</f>
        <v>0</v>
      </c>
      <c r="BE1338">
        <f>IF($E1338="","",IF(AND(COUNT($E$1339:$E$1342)&gt;=4,$C1338=MAX($C$1334:$C$1342)),$C1338,""))</f>
        <v>0</v>
      </c>
      <c r="BF1338">
        <f>IF($E1338="","",IF(AND(COUNT($E$1339:$E$1342)&gt;=4,$D1338=MIN($D$1334:$D$1342)),$D1338,""))</f>
        <v>0</v>
      </c>
      <c r="BG1338">
        <f>IF($A1338="","",$A1338-WEEKDAY($A1338,2)+1)</f>
        <v>0</v>
      </c>
      <c r="BH1338">
        <f>IF($A1338="","",IF($A1337="",1,IF(BG1338&lt;&gt;BG1337,1,0)))</f>
        <v>0</v>
      </c>
      <c r="BI1338">
        <f>IF($A1338="","",IF($A1339="",1,IF(BG1339&lt;&gt;BG1338,1,0)))</f>
        <v>0</v>
      </c>
      <c r="BJ1338">
        <f>IF($A1338="","",IF(BH1338=1,$B1338,BJ1337))</f>
        <v>0</v>
      </c>
      <c r="BK1338">
        <f>IF($A1338="","",IF(BH1338=1,$C1338,MAX($C1338,BK1337)))</f>
        <v>0</v>
      </c>
      <c r="BL1338">
        <f>IF($A1338="","",IF(BH1338=1,$D1338,MIN($D1338,BL1337)))</f>
        <v>0</v>
      </c>
      <c r="BM1338">
        <f>IF($A1338="","",IF(BI1338=1,F1338,""))</f>
        <v>0</v>
      </c>
      <c r="BN1338">
        <f>IF($A1338="","",DATE(YEAR($A1338),MONTH($A1338),1))</f>
        <v>0</v>
      </c>
      <c r="BO1338">
        <f>IF($A1338="","",IF($A1337="",1,IF(BN1338&lt;&gt;BN1337,1,0)))</f>
        <v>0</v>
      </c>
      <c r="BP1338">
        <f>IF($A1338="","",IF($A1339="",1,IF(BN1339&lt;&gt;BN1338,1,0)))</f>
        <v>0</v>
      </c>
      <c r="BQ1338">
        <f>IF($A1338="","",IF(BO1338=1,$B1338,BQ1337))</f>
        <v>0</v>
      </c>
      <c r="BR1338">
        <f>IF($A1338="","",IF(BO1338=1,$C1338,MAX($C1338,BR1337)))</f>
        <v>0</v>
      </c>
      <c r="BS1338">
        <f>IF($A1338="","",IF(BO1338=1,$D1338,MIN($D1338,BS1337)))</f>
        <v>0</v>
      </c>
      <c r="BT1338">
        <f>IF($A1338="","",IF(BP1338=1,F1338,""))</f>
        <v>0</v>
      </c>
    </row>
    <row r="1339" spans="1:72">
      <c r="A1339" s="27">
        <f>IF(Data!$A1339="","",Data!$A1339)</f>
        <v>0</v>
      </c>
      <c r="B1339">
        <f>IF(Data!$B1339="","",Data!$B1339)</f>
        <v>0</v>
      </c>
      <c r="C1339">
        <f>IF(Data!$C1339="","",Data!$C1339)</f>
        <v>0</v>
      </c>
      <c r="D1339">
        <f>IF(Data!$D1339="","",Data!$D1339)</f>
        <v>0</v>
      </c>
      <c r="E1339">
        <f>IF(Data!$E1339="","",Data!$E1339)</f>
        <v>0</v>
      </c>
      <c r="F1339">
        <f>IF($E1339="","",N(F1338)+1)</f>
        <v>0</v>
      </c>
      <c r="G1339">
        <f>IF(OR($E1339="",$E1338=""),"",LN($E1339/$E1338))</f>
        <v>0</v>
      </c>
      <c r="H1339">
        <f>IF($E1339="","",IF($E1338="",$E1339,$E1339*0.0952380952+H1338*0.9047619048))</f>
        <v>0</v>
      </c>
      <c r="I1339">
        <f>IF($E1339="","",IF($E1338="",$E1339,$E1339*0.0392156863+I1338*0.9607843137))</f>
        <v>0</v>
      </c>
      <c r="J1339">
        <f>IF($E1339="","",IF($E1338="",$E1339,$E1339*0.0198019802+J1338*0.9801980198))</f>
        <v>0</v>
      </c>
      <c r="K1339">
        <f>IF($E1339="","",IF($E1338="",$E1339,$E1339*0.0099502488+K1338*0.9900497512))</f>
        <v>0</v>
      </c>
      <c r="L1339">
        <f>IF(OR($E1339="",$E1338=""),"",MAX($E1339-$E1338,0))</f>
        <v>0</v>
      </c>
      <c r="M1339">
        <f>IF(OR($E1339="",$E1338=""),"",MAX($E1338-$E1339,0))</f>
        <v>0</v>
      </c>
      <c r="N1339">
        <f>IF(COUNT($E$2:$E1339)&lt;15,"",IF(AVERAGE($M$1326:$M$1339)=0,100,100-100/(1+AVERAGE($L$1326:$L$1339)/AVERAGE($M$1326:$M$1339))))</f>
        <v>0</v>
      </c>
      <c r="O1339">
        <f>IF($E1339="","",IF($E1338="",$E1339,$E1339*0.1538461538+O1338*0.8461538462))</f>
        <v>0</v>
      </c>
      <c r="P1339">
        <f>IF($E1339="","",IF($E1338="",$E1339,$E1339*0.0740740741+P1338*0.9259259259))</f>
        <v>0</v>
      </c>
      <c r="Q1339">
        <f>IF(OR(O1339="",P1339=""),"",O1339-P1339)</f>
        <v>0</v>
      </c>
      <c r="R1339">
        <f>IF(Q1339="","",IF(R1338="",Q1339,Q1339*0.2000000000+R1338*0.8000000000))</f>
        <v>0</v>
      </c>
      <c r="S1339">
        <f>IF(OR(Q1339="",R1339=""),"",Q1339-R1339)</f>
        <v>0</v>
      </c>
      <c r="T1339">
        <f>IF(COUNT($E$2:$E1339)&lt;14,"",MAX($C$1326:$C$1339))</f>
        <v>0</v>
      </c>
      <c r="U1339">
        <f>IF(COUNT($E$2:$E1339)&lt;14,"",MIN($D$1326:$D$1339))</f>
        <v>0</v>
      </c>
      <c r="V1339">
        <f>IF(OR(T1339="",U1339="",T1339=U1339),"",100*($E1339-U1339)/(T1339-U1339))</f>
        <v>0</v>
      </c>
      <c r="W1339">
        <f>IF(COUNT($V$1337:$V$1339)&lt;3,"",AVERAGE($V$1337:$V$1339))</f>
        <v>0</v>
      </c>
      <c r="X1339">
        <f>IF(COUNT($N$1326:$N$1339)&lt;14,"",MIN($N$1326:$N$1339))</f>
        <v>0</v>
      </c>
      <c r="Y1339">
        <f>IF(COUNT($N$1326:$N$1339)&lt;14,"",MAX($N$1326:$N$1339))</f>
        <v>0</v>
      </c>
      <c r="Z1339">
        <f>IF(OR(N1339="",X1339="",Y1339="",Y1339=X1339),"",100*(N1339-X1339)/(Y1339-X1339))</f>
        <v>0</v>
      </c>
      <c r="AA1339">
        <f>IF(COUNT($Z$1337:$Z$1339)&lt;3,"",AVERAGE($Z$1337:$Z$1339))</f>
        <v>0</v>
      </c>
      <c r="AB1339">
        <f>IF(COUNT($AA$1337:$AA$1339)&lt;3,"",AVERAGE($AA$1337:$AA$1339))</f>
        <v>0</v>
      </c>
      <c r="AC1339">
        <f>IF($E1339="","",MAX($C1339-$D1339,ABS($C1339-$E1338),ABS($D1339-$E1338)))</f>
        <v>0</v>
      </c>
      <c r="AD1339">
        <f>IF(COUNT($E$2:$E1339)&lt;15,"",AVERAGE($AC$1326:$AC$1339))</f>
        <v>0</v>
      </c>
      <c r="AE1339">
        <f>IF(OR($E1339="",$E1338=""),"",IF(AND(($C1339-$C1338)&gt;($D1338-$D1339),($C1339-$C1338)&gt;0),$C1339-$C1338,0))</f>
        <v>0</v>
      </c>
      <c r="AF1339">
        <f>IF(OR($E1339="",$E1338=""),"",IF(AND(($D1338-$D1339)&gt;($C1339-$C1338),($D1338-$D1339)&gt;0),$D1338-$D1339,0))</f>
        <v>0</v>
      </c>
      <c r="AG1339">
        <f>IF(COUNT($E$2:$E1339)&lt;15,"",IF(SUM($AC$1326:$AC$1339)=0,0,100*SUM($AE$1326:$AE$1339)/SUM($AC$1326:$AC$1339)))</f>
        <v>0</v>
      </c>
      <c r="AH1339">
        <f>IF(COUNT($E$2:$E1339)&lt;15,"",IF(SUM($AC$1326:$AC$1339)=0,0,100*SUM($AF$1326:$AF$1339)/SUM($AC$1326:$AC$1339)))</f>
        <v>0</v>
      </c>
      <c r="AI1339">
        <f>IF(OR(AG1339="",AH1339=""),"",IF((AG1339+AH1339)=0,0,100*ABS(AG1339-AH1339)/(AG1339+AH1339)))</f>
        <v>0</v>
      </c>
      <c r="AJ1339">
        <f>IF(COUNT($AI$1326:$AI$1339)&lt;14,"",AVERAGE($AI$1326:$AI$1339))</f>
        <v>0</v>
      </c>
      <c r="AK1339">
        <f>IF(COUNT($E$2:$E1339)&lt;20,"",AVERAGE($E$1320:$E$1339))</f>
        <v>0</v>
      </c>
      <c r="AL1339">
        <f>IF(COUNT($E$2:$E1339)&lt;20,"",STDEVP($E$1320:$E$1339))</f>
        <v>0</v>
      </c>
      <c r="AM1339">
        <f>IF(AK1339="","",AK1339+2*AL1339)</f>
        <v>0</v>
      </c>
      <c r="AN1339">
        <f>IF(AK1339="","",AK1339-2*AL1339)</f>
        <v>0</v>
      </c>
      <c r="AO1339">
        <f>IF(OR(AM1339="",AN1339="",AM1339=AN1339),"",($E1339-AN1339)/(AM1339-AN1339))</f>
        <v>0</v>
      </c>
      <c r="AP1339">
        <f>IF(OR(AM1339="",AK1339="",AK1339=0),"",(AM1339-AN1339)/AK1339)</f>
        <v>0</v>
      </c>
      <c r="AQ1339">
        <f>IF(COUNT($E$2:$E1339)&lt;20,"",MAX($C$1320:$C$1339))</f>
        <v>0</v>
      </c>
      <c r="AR1339">
        <f>IF(COUNT($E$2:$E1339)&lt;20,"",MIN($D$1320:$D$1339))</f>
        <v>0</v>
      </c>
      <c r="AS1339">
        <f>IF(OR(AQ1339="",AR1339=""),"",(AQ1339+AR1339)/2)</f>
        <v>0</v>
      </c>
      <c r="AT1339">
        <f>IF(COUNT($G$1320:$G$1339)&lt;20,"",STDEV($G$1320:$G$1339)*SQRT(252))</f>
        <v>0</v>
      </c>
      <c r="AU1339">
        <f>IF(COUNT($E$2:$E1339)&lt;9,"",(MAX($C$1331:$C$1339)+MIN($D$1331:$D$1339))/2)</f>
        <v>0</v>
      </c>
      <c r="AV1339">
        <f>IF(COUNT($E$2:$E1339)&lt;26,"",(MAX($C$1314:$C$1339)+MIN($D$1314:$D$1339))/2)</f>
        <v>0</v>
      </c>
      <c r="AW1339">
        <f>IF(OR(AU1339="",AV1339=""),"",(AU1339+AV1339)/2)</f>
        <v>0</v>
      </c>
      <c r="AX1339">
        <f>IF(COUNT($E$2:$E1339)&lt;52,"",(MAX($C$1288:$C$1339)+MIN($D$1288:$D$1339))/2)</f>
        <v>0</v>
      </c>
      <c r="AY1339">
        <f>IF(COUNT($E$2:$E1339)&lt;20,"",MAX($C$1240:$C$1339))</f>
        <v>0</v>
      </c>
      <c r="AZ1339">
        <f>IF(COUNT($E$2:$E1339)&lt;20,"",MIN($D$1240:$D$1339))</f>
        <v>0</v>
      </c>
      <c r="BA1339">
        <f>IF(COUNT($E$2:$E1339)&lt;20,"",SLOPE($E$1240:$E$1339,$F$1240:$F$1339))</f>
        <v>0</v>
      </c>
      <c r="BB1339">
        <f>IF(COUNT($E$2:$E1339)&lt;20,"",INTERCEPT($E$1240:$E$1339,$F$1240:$F$1339))</f>
        <v>0</v>
      </c>
      <c r="BC1339">
        <f>IF(OR(BA1339="",BB1339=""),"",BB1339+BA1339*F1339)</f>
        <v>0</v>
      </c>
      <c r="BD1339">
        <f>IF(COUNT($E$2:$E1339)&lt;20,"",STEYX($E$1240:$E$1339,$F$1240:$F$1339))</f>
        <v>0</v>
      </c>
      <c r="BE1339">
        <f>IF($E1339="","",IF(AND(COUNT($E$1340:$E$1343)&gt;=4,$C1339=MAX($C$1335:$C$1343)),$C1339,""))</f>
        <v>0</v>
      </c>
      <c r="BF1339">
        <f>IF($E1339="","",IF(AND(COUNT($E$1340:$E$1343)&gt;=4,$D1339=MIN($D$1335:$D$1343)),$D1339,""))</f>
        <v>0</v>
      </c>
      <c r="BG1339">
        <f>IF($A1339="","",$A1339-WEEKDAY($A1339,2)+1)</f>
        <v>0</v>
      </c>
      <c r="BH1339">
        <f>IF($A1339="","",IF($A1338="",1,IF(BG1339&lt;&gt;BG1338,1,0)))</f>
        <v>0</v>
      </c>
      <c r="BI1339">
        <f>IF($A1339="","",IF($A1340="",1,IF(BG1340&lt;&gt;BG1339,1,0)))</f>
        <v>0</v>
      </c>
      <c r="BJ1339">
        <f>IF($A1339="","",IF(BH1339=1,$B1339,BJ1338))</f>
        <v>0</v>
      </c>
      <c r="BK1339">
        <f>IF($A1339="","",IF(BH1339=1,$C1339,MAX($C1339,BK1338)))</f>
        <v>0</v>
      </c>
      <c r="BL1339">
        <f>IF($A1339="","",IF(BH1339=1,$D1339,MIN($D1339,BL1338)))</f>
        <v>0</v>
      </c>
      <c r="BM1339">
        <f>IF($A1339="","",IF(BI1339=1,F1339,""))</f>
        <v>0</v>
      </c>
      <c r="BN1339">
        <f>IF($A1339="","",DATE(YEAR($A1339),MONTH($A1339),1))</f>
        <v>0</v>
      </c>
      <c r="BO1339">
        <f>IF($A1339="","",IF($A1338="",1,IF(BN1339&lt;&gt;BN1338,1,0)))</f>
        <v>0</v>
      </c>
      <c r="BP1339">
        <f>IF($A1339="","",IF($A1340="",1,IF(BN1340&lt;&gt;BN1339,1,0)))</f>
        <v>0</v>
      </c>
      <c r="BQ1339">
        <f>IF($A1339="","",IF(BO1339=1,$B1339,BQ1338))</f>
        <v>0</v>
      </c>
      <c r="BR1339">
        <f>IF($A1339="","",IF(BO1339=1,$C1339,MAX($C1339,BR1338)))</f>
        <v>0</v>
      </c>
      <c r="BS1339">
        <f>IF($A1339="","",IF(BO1339=1,$D1339,MIN($D1339,BS1338)))</f>
        <v>0</v>
      </c>
      <c r="BT1339">
        <f>IF($A1339="","",IF(BP1339=1,F1339,""))</f>
        <v>0</v>
      </c>
    </row>
    <row r="1340" spans="1:72">
      <c r="A1340" s="27">
        <f>IF(Data!$A1340="","",Data!$A1340)</f>
        <v>0</v>
      </c>
      <c r="B1340">
        <f>IF(Data!$B1340="","",Data!$B1340)</f>
        <v>0</v>
      </c>
      <c r="C1340">
        <f>IF(Data!$C1340="","",Data!$C1340)</f>
        <v>0</v>
      </c>
      <c r="D1340">
        <f>IF(Data!$D1340="","",Data!$D1340)</f>
        <v>0</v>
      </c>
      <c r="E1340">
        <f>IF(Data!$E1340="","",Data!$E1340)</f>
        <v>0</v>
      </c>
      <c r="F1340">
        <f>IF($E1340="","",N(F1339)+1)</f>
        <v>0</v>
      </c>
      <c r="G1340">
        <f>IF(OR($E1340="",$E1339=""),"",LN($E1340/$E1339))</f>
        <v>0</v>
      </c>
      <c r="H1340">
        <f>IF($E1340="","",IF($E1339="",$E1340,$E1340*0.0952380952+H1339*0.9047619048))</f>
        <v>0</v>
      </c>
      <c r="I1340">
        <f>IF($E1340="","",IF($E1339="",$E1340,$E1340*0.0392156863+I1339*0.9607843137))</f>
        <v>0</v>
      </c>
      <c r="J1340">
        <f>IF($E1340="","",IF($E1339="",$E1340,$E1340*0.0198019802+J1339*0.9801980198))</f>
        <v>0</v>
      </c>
      <c r="K1340">
        <f>IF($E1340="","",IF($E1339="",$E1340,$E1340*0.0099502488+K1339*0.9900497512))</f>
        <v>0</v>
      </c>
      <c r="L1340">
        <f>IF(OR($E1340="",$E1339=""),"",MAX($E1340-$E1339,0))</f>
        <v>0</v>
      </c>
      <c r="M1340">
        <f>IF(OR($E1340="",$E1339=""),"",MAX($E1339-$E1340,0))</f>
        <v>0</v>
      </c>
      <c r="N1340">
        <f>IF(COUNT($E$2:$E1340)&lt;15,"",IF(AVERAGE($M$1327:$M$1340)=0,100,100-100/(1+AVERAGE($L$1327:$L$1340)/AVERAGE($M$1327:$M$1340))))</f>
        <v>0</v>
      </c>
      <c r="O1340">
        <f>IF($E1340="","",IF($E1339="",$E1340,$E1340*0.1538461538+O1339*0.8461538462))</f>
        <v>0</v>
      </c>
      <c r="P1340">
        <f>IF($E1340="","",IF($E1339="",$E1340,$E1340*0.0740740741+P1339*0.9259259259))</f>
        <v>0</v>
      </c>
      <c r="Q1340">
        <f>IF(OR(O1340="",P1340=""),"",O1340-P1340)</f>
        <v>0</v>
      </c>
      <c r="R1340">
        <f>IF(Q1340="","",IF(R1339="",Q1340,Q1340*0.2000000000+R1339*0.8000000000))</f>
        <v>0</v>
      </c>
      <c r="S1340">
        <f>IF(OR(Q1340="",R1340=""),"",Q1340-R1340)</f>
        <v>0</v>
      </c>
      <c r="T1340">
        <f>IF(COUNT($E$2:$E1340)&lt;14,"",MAX($C$1327:$C$1340))</f>
        <v>0</v>
      </c>
      <c r="U1340">
        <f>IF(COUNT($E$2:$E1340)&lt;14,"",MIN($D$1327:$D$1340))</f>
        <v>0</v>
      </c>
      <c r="V1340">
        <f>IF(OR(T1340="",U1340="",T1340=U1340),"",100*($E1340-U1340)/(T1340-U1340))</f>
        <v>0</v>
      </c>
      <c r="W1340">
        <f>IF(COUNT($V$1338:$V$1340)&lt;3,"",AVERAGE($V$1338:$V$1340))</f>
        <v>0</v>
      </c>
      <c r="X1340">
        <f>IF(COUNT($N$1327:$N$1340)&lt;14,"",MIN($N$1327:$N$1340))</f>
        <v>0</v>
      </c>
      <c r="Y1340">
        <f>IF(COUNT($N$1327:$N$1340)&lt;14,"",MAX($N$1327:$N$1340))</f>
        <v>0</v>
      </c>
      <c r="Z1340">
        <f>IF(OR(N1340="",X1340="",Y1340="",Y1340=X1340),"",100*(N1340-X1340)/(Y1340-X1340))</f>
        <v>0</v>
      </c>
      <c r="AA1340">
        <f>IF(COUNT($Z$1338:$Z$1340)&lt;3,"",AVERAGE($Z$1338:$Z$1340))</f>
        <v>0</v>
      </c>
      <c r="AB1340">
        <f>IF(COUNT($AA$1338:$AA$1340)&lt;3,"",AVERAGE($AA$1338:$AA$1340))</f>
        <v>0</v>
      </c>
      <c r="AC1340">
        <f>IF($E1340="","",MAX($C1340-$D1340,ABS($C1340-$E1339),ABS($D1340-$E1339)))</f>
        <v>0</v>
      </c>
      <c r="AD1340">
        <f>IF(COUNT($E$2:$E1340)&lt;15,"",AVERAGE($AC$1327:$AC$1340))</f>
        <v>0</v>
      </c>
      <c r="AE1340">
        <f>IF(OR($E1340="",$E1339=""),"",IF(AND(($C1340-$C1339)&gt;($D1339-$D1340),($C1340-$C1339)&gt;0),$C1340-$C1339,0))</f>
        <v>0</v>
      </c>
      <c r="AF1340">
        <f>IF(OR($E1340="",$E1339=""),"",IF(AND(($D1339-$D1340)&gt;($C1340-$C1339),($D1339-$D1340)&gt;0),$D1339-$D1340,0))</f>
        <v>0</v>
      </c>
      <c r="AG1340">
        <f>IF(COUNT($E$2:$E1340)&lt;15,"",IF(SUM($AC$1327:$AC$1340)=0,0,100*SUM($AE$1327:$AE$1340)/SUM($AC$1327:$AC$1340)))</f>
        <v>0</v>
      </c>
      <c r="AH1340">
        <f>IF(COUNT($E$2:$E1340)&lt;15,"",IF(SUM($AC$1327:$AC$1340)=0,0,100*SUM($AF$1327:$AF$1340)/SUM($AC$1327:$AC$1340)))</f>
        <v>0</v>
      </c>
      <c r="AI1340">
        <f>IF(OR(AG1340="",AH1340=""),"",IF((AG1340+AH1340)=0,0,100*ABS(AG1340-AH1340)/(AG1340+AH1340)))</f>
        <v>0</v>
      </c>
      <c r="AJ1340">
        <f>IF(COUNT($AI$1327:$AI$1340)&lt;14,"",AVERAGE($AI$1327:$AI$1340))</f>
        <v>0</v>
      </c>
      <c r="AK1340">
        <f>IF(COUNT($E$2:$E1340)&lt;20,"",AVERAGE($E$1321:$E$1340))</f>
        <v>0</v>
      </c>
      <c r="AL1340">
        <f>IF(COUNT($E$2:$E1340)&lt;20,"",STDEVP($E$1321:$E$1340))</f>
        <v>0</v>
      </c>
      <c r="AM1340">
        <f>IF(AK1340="","",AK1340+2*AL1340)</f>
        <v>0</v>
      </c>
      <c r="AN1340">
        <f>IF(AK1340="","",AK1340-2*AL1340)</f>
        <v>0</v>
      </c>
      <c r="AO1340">
        <f>IF(OR(AM1340="",AN1340="",AM1340=AN1340),"",($E1340-AN1340)/(AM1340-AN1340))</f>
        <v>0</v>
      </c>
      <c r="AP1340">
        <f>IF(OR(AM1340="",AK1340="",AK1340=0),"",(AM1340-AN1340)/AK1340)</f>
        <v>0</v>
      </c>
      <c r="AQ1340">
        <f>IF(COUNT($E$2:$E1340)&lt;20,"",MAX($C$1321:$C$1340))</f>
        <v>0</v>
      </c>
      <c r="AR1340">
        <f>IF(COUNT($E$2:$E1340)&lt;20,"",MIN($D$1321:$D$1340))</f>
        <v>0</v>
      </c>
      <c r="AS1340">
        <f>IF(OR(AQ1340="",AR1340=""),"",(AQ1340+AR1340)/2)</f>
        <v>0</v>
      </c>
      <c r="AT1340">
        <f>IF(COUNT($G$1321:$G$1340)&lt;20,"",STDEV($G$1321:$G$1340)*SQRT(252))</f>
        <v>0</v>
      </c>
      <c r="AU1340">
        <f>IF(COUNT($E$2:$E1340)&lt;9,"",(MAX($C$1332:$C$1340)+MIN($D$1332:$D$1340))/2)</f>
        <v>0</v>
      </c>
      <c r="AV1340">
        <f>IF(COUNT($E$2:$E1340)&lt;26,"",(MAX($C$1315:$C$1340)+MIN($D$1315:$D$1340))/2)</f>
        <v>0</v>
      </c>
      <c r="AW1340">
        <f>IF(OR(AU1340="",AV1340=""),"",(AU1340+AV1340)/2)</f>
        <v>0</v>
      </c>
      <c r="AX1340">
        <f>IF(COUNT($E$2:$E1340)&lt;52,"",(MAX($C$1289:$C$1340)+MIN($D$1289:$D$1340))/2)</f>
        <v>0</v>
      </c>
      <c r="AY1340">
        <f>IF(COUNT($E$2:$E1340)&lt;20,"",MAX($C$1241:$C$1340))</f>
        <v>0</v>
      </c>
      <c r="AZ1340">
        <f>IF(COUNT($E$2:$E1340)&lt;20,"",MIN($D$1241:$D$1340))</f>
        <v>0</v>
      </c>
      <c r="BA1340">
        <f>IF(COUNT($E$2:$E1340)&lt;20,"",SLOPE($E$1241:$E$1340,$F$1241:$F$1340))</f>
        <v>0</v>
      </c>
      <c r="BB1340">
        <f>IF(COUNT($E$2:$E1340)&lt;20,"",INTERCEPT($E$1241:$E$1340,$F$1241:$F$1340))</f>
        <v>0</v>
      </c>
      <c r="BC1340">
        <f>IF(OR(BA1340="",BB1340=""),"",BB1340+BA1340*F1340)</f>
        <v>0</v>
      </c>
      <c r="BD1340">
        <f>IF(COUNT($E$2:$E1340)&lt;20,"",STEYX($E$1241:$E$1340,$F$1241:$F$1340))</f>
        <v>0</v>
      </c>
      <c r="BE1340">
        <f>IF($E1340="","",IF(AND(COUNT($E$1341:$E$1344)&gt;=4,$C1340=MAX($C$1336:$C$1344)),$C1340,""))</f>
        <v>0</v>
      </c>
      <c r="BF1340">
        <f>IF($E1340="","",IF(AND(COUNT($E$1341:$E$1344)&gt;=4,$D1340=MIN($D$1336:$D$1344)),$D1340,""))</f>
        <v>0</v>
      </c>
      <c r="BG1340">
        <f>IF($A1340="","",$A1340-WEEKDAY($A1340,2)+1)</f>
        <v>0</v>
      </c>
      <c r="BH1340">
        <f>IF($A1340="","",IF($A1339="",1,IF(BG1340&lt;&gt;BG1339,1,0)))</f>
        <v>0</v>
      </c>
      <c r="BI1340">
        <f>IF($A1340="","",IF($A1341="",1,IF(BG1341&lt;&gt;BG1340,1,0)))</f>
        <v>0</v>
      </c>
      <c r="BJ1340">
        <f>IF($A1340="","",IF(BH1340=1,$B1340,BJ1339))</f>
        <v>0</v>
      </c>
      <c r="BK1340">
        <f>IF($A1340="","",IF(BH1340=1,$C1340,MAX($C1340,BK1339)))</f>
        <v>0</v>
      </c>
      <c r="BL1340">
        <f>IF($A1340="","",IF(BH1340=1,$D1340,MIN($D1340,BL1339)))</f>
        <v>0</v>
      </c>
      <c r="BM1340">
        <f>IF($A1340="","",IF(BI1340=1,F1340,""))</f>
        <v>0</v>
      </c>
      <c r="BN1340">
        <f>IF($A1340="","",DATE(YEAR($A1340),MONTH($A1340),1))</f>
        <v>0</v>
      </c>
      <c r="BO1340">
        <f>IF($A1340="","",IF($A1339="",1,IF(BN1340&lt;&gt;BN1339,1,0)))</f>
        <v>0</v>
      </c>
      <c r="BP1340">
        <f>IF($A1340="","",IF($A1341="",1,IF(BN1341&lt;&gt;BN1340,1,0)))</f>
        <v>0</v>
      </c>
      <c r="BQ1340">
        <f>IF($A1340="","",IF(BO1340=1,$B1340,BQ1339))</f>
        <v>0</v>
      </c>
      <c r="BR1340">
        <f>IF($A1340="","",IF(BO1340=1,$C1340,MAX($C1340,BR1339)))</f>
        <v>0</v>
      </c>
      <c r="BS1340">
        <f>IF($A1340="","",IF(BO1340=1,$D1340,MIN($D1340,BS1339)))</f>
        <v>0</v>
      </c>
      <c r="BT1340">
        <f>IF($A1340="","",IF(BP1340=1,F1340,""))</f>
        <v>0</v>
      </c>
    </row>
    <row r="1341" spans="1:72">
      <c r="A1341" s="27">
        <f>IF(Data!$A1341="","",Data!$A1341)</f>
        <v>0</v>
      </c>
      <c r="B1341">
        <f>IF(Data!$B1341="","",Data!$B1341)</f>
        <v>0</v>
      </c>
      <c r="C1341">
        <f>IF(Data!$C1341="","",Data!$C1341)</f>
        <v>0</v>
      </c>
      <c r="D1341">
        <f>IF(Data!$D1341="","",Data!$D1341)</f>
        <v>0</v>
      </c>
      <c r="E1341">
        <f>IF(Data!$E1341="","",Data!$E1341)</f>
        <v>0</v>
      </c>
      <c r="F1341">
        <f>IF($E1341="","",N(F1340)+1)</f>
        <v>0</v>
      </c>
      <c r="G1341">
        <f>IF(OR($E1341="",$E1340=""),"",LN($E1341/$E1340))</f>
        <v>0</v>
      </c>
      <c r="H1341">
        <f>IF($E1341="","",IF($E1340="",$E1341,$E1341*0.0952380952+H1340*0.9047619048))</f>
        <v>0</v>
      </c>
      <c r="I1341">
        <f>IF($E1341="","",IF($E1340="",$E1341,$E1341*0.0392156863+I1340*0.9607843137))</f>
        <v>0</v>
      </c>
      <c r="J1341">
        <f>IF($E1341="","",IF($E1340="",$E1341,$E1341*0.0198019802+J1340*0.9801980198))</f>
        <v>0</v>
      </c>
      <c r="K1341">
        <f>IF($E1341="","",IF($E1340="",$E1341,$E1341*0.0099502488+K1340*0.9900497512))</f>
        <v>0</v>
      </c>
      <c r="L1341">
        <f>IF(OR($E1341="",$E1340=""),"",MAX($E1341-$E1340,0))</f>
        <v>0</v>
      </c>
      <c r="M1341">
        <f>IF(OR($E1341="",$E1340=""),"",MAX($E1340-$E1341,0))</f>
        <v>0</v>
      </c>
      <c r="N1341">
        <f>IF(COUNT($E$2:$E1341)&lt;15,"",IF(AVERAGE($M$1328:$M$1341)=0,100,100-100/(1+AVERAGE($L$1328:$L$1341)/AVERAGE($M$1328:$M$1341))))</f>
        <v>0</v>
      </c>
      <c r="O1341">
        <f>IF($E1341="","",IF($E1340="",$E1341,$E1341*0.1538461538+O1340*0.8461538462))</f>
        <v>0</v>
      </c>
      <c r="P1341">
        <f>IF($E1341="","",IF($E1340="",$E1341,$E1341*0.0740740741+P1340*0.9259259259))</f>
        <v>0</v>
      </c>
      <c r="Q1341">
        <f>IF(OR(O1341="",P1341=""),"",O1341-P1341)</f>
        <v>0</v>
      </c>
      <c r="R1341">
        <f>IF(Q1341="","",IF(R1340="",Q1341,Q1341*0.2000000000+R1340*0.8000000000))</f>
        <v>0</v>
      </c>
      <c r="S1341">
        <f>IF(OR(Q1341="",R1341=""),"",Q1341-R1341)</f>
        <v>0</v>
      </c>
      <c r="T1341">
        <f>IF(COUNT($E$2:$E1341)&lt;14,"",MAX($C$1328:$C$1341))</f>
        <v>0</v>
      </c>
      <c r="U1341">
        <f>IF(COUNT($E$2:$E1341)&lt;14,"",MIN($D$1328:$D$1341))</f>
        <v>0</v>
      </c>
      <c r="V1341">
        <f>IF(OR(T1341="",U1341="",T1341=U1341),"",100*($E1341-U1341)/(T1341-U1341))</f>
        <v>0</v>
      </c>
      <c r="W1341">
        <f>IF(COUNT($V$1339:$V$1341)&lt;3,"",AVERAGE($V$1339:$V$1341))</f>
        <v>0</v>
      </c>
      <c r="X1341">
        <f>IF(COUNT($N$1328:$N$1341)&lt;14,"",MIN($N$1328:$N$1341))</f>
        <v>0</v>
      </c>
      <c r="Y1341">
        <f>IF(COUNT($N$1328:$N$1341)&lt;14,"",MAX($N$1328:$N$1341))</f>
        <v>0</v>
      </c>
      <c r="Z1341">
        <f>IF(OR(N1341="",X1341="",Y1341="",Y1341=X1341),"",100*(N1341-X1341)/(Y1341-X1341))</f>
        <v>0</v>
      </c>
      <c r="AA1341">
        <f>IF(COUNT($Z$1339:$Z$1341)&lt;3,"",AVERAGE($Z$1339:$Z$1341))</f>
        <v>0</v>
      </c>
      <c r="AB1341">
        <f>IF(COUNT($AA$1339:$AA$1341)&lt;3,"",AVERAGE($AA$1339:$AA$1341))</f>
        <v>0</v>
      </c>
      <c r="AC1341">
        <f>IF($E1341="","",MAX($C1341-$D1341,ABS($C1341-$E1340),ABS($D1341-$E1340)))</f>
        <v>0</v>
      </c>
      <c r="AD1341">
        <f>IF(COUNT($E$2:$E1341)&lt;15,"",AVERAGE($AC$1328:$AC$1341))</f>
        <v>0</v>
      </c>
      <c r="AE1341">
        <f>IF(OR($E1341="",$E1340=""),"",IF(AND(($C1341-$C1340)&gt;($D1340-$D1341),($C1341-$C1340)&gt;0),$C1341-$C1340,0))</f>
        <v>0</v>
      </c>
      <c r="AF1341">
        <f>IF(OR($E1341="",$E1340=""),"",IF(AND(($D1340-$D1341)&gt;($C1341-$C1340),($D1340-$D1341)&gt;0),$D1340-$D1341,0))</f>
        <v>0</v>
      </c>
      <c r="AG1341">
        <f>IF(COUNT($E$2:$E1341)&lt;15,"",IF(SUM($AC$1328:$AC$1341)=0,0,100*SUM($AE$1328:$AE$1341)/SUM($AC$1328:$AC$1341)))</f>
        <v>0</v>
      </c>
      <c r="AH1341">
        <f>IF(COUNT($E$2:$E1341)&lt;15,"",IF(SUM($AC$1328:$AC$1341)=0,0,100*SUM($AF$1328:$AF$1341)/SUM($AC$1328:$AC$1341)))</f>
        <v>0</v>
      </c>
      <c r="AI1341">
        <f>IF(OR(AG1341="",AH1341=""),"",IF((AG1341+AH1341)=0,0,100*ABS(AG1341-AH1341)/(AG1341+AH1341)))</f>
        <v>0</v>
      </c>
      <c r="AJ1341">
        <f>IF(COUNT($AI$1328:$AI$1341)&lt;14,"",AVERAGE($AI$1328:$AI$1341))</f>
        <v>0</v>
      </c>
      <c r="AK1341">
        <f>IF(COUNT($E$2:$E1341)&lt;20,"",AVERAGE($E$1322:$E$1341))</f>
        <v>0</v>
      </c>
      <c r="AL1341">
        <f>IF(COUNT($E$2:$E1341)&lt;20,"",STDEVP($E$1322:$E$1341))</f>
        <v>0</v>
      </c>
      <c r="AM1341">
        <f>IF(AK1341="","",AK1341+2*AL1341)</f>
        <v>0</v>
      </c>
      <c r="AN1341">
        <f>IF(AK1341="","",AK1341-2*AL1341)</f>
        <v>0</v>
      </c>
      <c r="AO1341">
        <f>IF(OR(AM1341="",AN1341="",AM1341=AN1341),"",($E1341-AN1341)/(AM1341-AN1341))</f>
        <v>0</v>
      </c>
      <c r="AP1341">
        <f>IF(OR(AM1341="",AK1341="",AK1341=0),"",(AM1341-AN1341)/AK1341)</f>
        <v>0</v>
      </c>
      <c r="AQ1341">
        <f>IF(COUNT($E$2:$E1341)&lt;20,"",MAX($C$1322:$C$1341))</f>
        <v>0</v>
      </c>
      <c r="AR1341">
        <f>IF(COUNT($E$2:$E1341)&lt;20,"",MIN($D$1322:$D$1341))</f>
        <v>0</v>
      </c>
      <c r="AS1341">
        <f>IF(OR(AQ1341="",AR1341=""),"",(AQ1341+AR1341)/2)</f>
        <v>0</v>
      </c>
      <c r="AT1341">
        <f>IF(COUNT($G$1322:$G$1341)&lt;20,"",STDEV($G$1322:$G$1341)*SQRT(252))</f>
        <v>0</v>
      </c>
      <c r="AU1341">
        <f>IF(COUNT($E$2:$E1341)&lt;9,"",(MAX($C$1333:$C$1341)+MIN($D$1333:$D$1341))/2)</f>
        <v>0</v>
      </c>
      <c r="AV1341">
        <f>IF(COUNT($E$2:$E1341)&lt;26,"",(MAX($C$1316:$C$1341)+MIN($D$1316:$D$1341))/2)</f>
        <v>0</v>
      </c>
      <c r="AW1341">
        <f>IF(OR(AU1341="",AV1341=""),"",(AU1341+AV1341)/2)</f>
        <v>0</v>
      </c>
      <c r="AX1341">
        <f>IF(COUNT($E$2:$E1341)&lt;52,"",(MAX($C$1290:$C$1341)+MIN($D$1290:$D$1341))/2)</f>
        <v>0</v>
      </c>
      <c r="AY1341">
        <f>IF(COUNT($E$2:$E1341)&lt;20,"",MAX($C$1242:$C$1341))</f>
        <v>0</v>
      </c>
      <c r="AZ1341">
        <f>IF(COUNT($E$2:$E1341)&lt;20,"",MIN($D$1242:$D$1341))</f>
        <v>0</v>
      </c>
      <c r="BA1341">
        <f>IF(COUNT($E$2:$E1341)&lt;20,"",SLOPE($E$1242:$E$1341,$F$1242:$F$1341))</f>
        <v>0</v>
      </c>
      <c r="BB1341">
        <f>IF(COUNT($E$2:$E1341)&lt;20,"",INTERCEPT($E$1242:$E$1341,$F$1242:$F$1341))</f>
        <v>0</v>
      </c>
      <c r="BC1341">
        <f>IF(OR(BA1341="",BB1341=""),"",BB1341+BA1341*F1341)</f>
        <v>0</v>
      </c>
      <c r="BD1341">
        <f>IF(COUNT($E$2:$E1341)&lt;20,"",STEYX($E$1242:$E$1341,$F$1242:$F$1341))</f>
        <v>0</v>
      </c>
      <c r="BE1341">
        <f>IF($E1341="","",IF(AND(COUNT($E$1342:$E$1345)&gt;=4,$C1341=MAX($C$1337:$C$1345)),$C1341,""))</f>
        <v>0</v>
      </c>
      <c r="BF1341">
        <f>IF($E1341="","",IF(AND(COUNT($E$1342:$E$1345)&gt;=4,$D1341=MIN($D$1337:$D$1345)),$D1341,""))</f>
        <v>0</v>
      </c>
      <c r="BG1341">
        <f>IF($A1341="","",$A1341-WEEKDAY($A1341,2)+1)</f>
        <v>0</v>
      </c>
      <c r="BH1341">
        <f>IF($A1341="","",IF($A1340="",1,IF(BG1341&lt;&gt;BG1340,1,0)))</f>
        <v>0</v>
      </c>
      <c r="BI1341">
        <f>IF($A1341="","",IF($A1342="",1,IF(BG1342&lt;&gt;BG1341,1,0)))</f>
        <v>0</v>
      </c>
      <c r="BJ1341">
        <f>IF($A1341="","",IF(BH1341=1,$B1341,BJ1340))</f>
        <v>0</v>
      </c>
      <c r="BK1341">
        <f>IF($A1341="","",IF(BH1341=1,$C1341,MAX($C1341,BK1340)))</f>
        <v>0</v>
      </c>
      <c r="BL1341">
        <f>IF($A1341="","",IF(BH1341=1,$D1341,MIN($D1341,BL1340)))</f>
        <v>0</v>
      </c>
      <c r="BM1341">
        <f>IF($A1341="","",IF(BI1341=1,F1341,""))</f>
        <v>0</v>
      </c>
      <c r="BN1341">
        <f>IF($A1341="","",DATE(YEAR($A1341),MONTH($A1341),1))</f>
        <v>0</v>
      </c>
      <c r="BO1341">
        <f>IF($A1341="","",IF($A1340="",1,IF(BN1341&lt;&gt;BN1340,1,0)))</f>
        <v>0</v>
      </c>
      <c r="BP1341">
        <f>IF($A1341="","",IF($A1342="",1,IF(BN1342&lt;&gt;BN1341,1,0)))</f>
        <v>0</v>
      </c>
      <c r="BQ1341">
        <f>IF($A1341="","",IF(BO1341=1,$B1341,BQ1340))</f>
        <v>0</v>
      </c>
      <c r="BR1341">
        <f>IF($A1341="","",IF(BO1341=1,$C1341,MAX($C1341,BR1340)))</f>
        <v>0</v>
      </c>
      <c r="BS1341">
        <f>IF($A1341="","",IF(BO1341=1,$D1341,MIN($D1341,BS1340)))</f>
        <v>0</v>
      </c>
      <c r="BT1341">
        <f>IF($A1341="","",IF(BP1341=1,F1341,""))</f>
        <v>0</v>
      </c>
    </row>
    <row r="1342" spans="1:72">
      <c r="A1342" s="27">
        <f>IF(Data!$A1342="","",Data!$A1342)</f>
        <v>0</v>
      </c>
      <c r="B1342">
        <f>IF(Data!$B1342="","",Data!$B1342)</f>
        <v>0</v>
      </c>
      <c r="C1342">
        <f>IF(Data!$C1342="","",Data!$C1342)</f>
        <v>0</v>
      </c>
      <c r="D1342">
        <f>IF(Data!$D1342="","",Data!$D1342)</f>
        <v>0</v>
      </c>
      <c r="E1342">
        <f>IF(Data!$E1342="","",Data!$E1342)</f>
        <v>0</v>
      </c>
      <c r="F1342">
        <f>IF($E1342="","",N(F1341)+1)</f>
        <v>0</v>
      </c>
      <c r="G1342">
        <f>IF(OR($E1342="",$E1341=""),"",LN($E1342/$E1341))</f>
        <v>0</v>
      </c>
      <c r="H1342">
        <f>IF($E1342="","",IF($E1341="",$E1342,$E1342*0.0952380952+H1341*0.9047619048))</f>
        <v>0</v>
      </c>
      <c r="I1342">
        <f>IF($E1342="","",IF($E1341="",$E1342,$E1342*0.0392156863+I1341*0.9607843137))</f>
        <v>0</v>
      </c>
      <c r="J1342">
        <f>IF($E1342="","",IF($E1341="",$E1342,$E1342*0.0198019802+J1341*0.9801980198))</f>
        <v>0</v>
      </c>
      <c r="K1342">
        <f>IF($E1342="","",IF($E1341="",$E1342,$E1342*0.0099502488+K1341*0.9900497512))</f>
        <v>0</v>
      </c>
      <c r="L1342">
        <f>IF(OR($E1342="",$E1341=""),"",MAX($E1342-$E1341,0))</f>
        <v>0</v>
      </c>
      <c r="M1342">
        <f>IF(OR($E1342="",$E1341=""),"",MAX($E1341-$E1342,0))</f>
        <v>0</v>
      </c>
      <c r="N1342">
        <f>IF(COUNT($E$2:$E1342)&lt;15,"",IF(AVERAGE($M$1329:$M$1342)=0,100,100-100/(1+AVERAGE($L$1329:$L$1342)/AVERAGE($M$1329:$M$1342))))</f>
        <v>0</v>
      </c>
      <c r="O1342">
        <f>IF($E1342="","",IF($E1341="",$E1342,$E1342*0.1538461538+O1341*0.8461538462))</f>
        <v>0</v>
      </c>
      <c r="P1342">
        <f>IF($E1342="","",IF($E1341="",$E1342,$E1342*0.0740740741+P1341*0.9259259259))</f>
        <v>0</v>
      </c>
      <c r="Q1342">
        <f>IF(OR(O1342="",P1342=""),"",O1342-P1342)</f>
        <v>0</v>
      </c>
      <c r="R1342">
        <f>IF(Q1342="","",IF(R1341="",Q1342,Q1342*0.2000000000+R1341*0.8000000000))</f>
        <v>0</v>
      </c>
      <c r="S1342">
        <f>IF(OR(Q1342="",R1342=""),"",Q1342-R1342)</f>
        <v>0</v>
      </c>
      <c r="T1342">
        <f>IF(COUNT($E$2:$E1342)&lt;14,"",MAX($C$1329:$C$1342))</f>
        <v>0</v>
      </c>
      <c r="U1342">
        <f>IF(COUNT($E$2:$E1342)&lt;14,"",MIN($D$1329:$D$1342))</f>
        <v>0</v>
      </c>
      <c r="V1342">
        <f>IF(OR(T1342="",U1342="",T1342=U1342),"",100*($E1342-U1342)/(T1342-U1342))</f>
        <v>0</v>
      </c>
      <c r="W1342">
        <f>IF(COUNT($V$1340:$V$1342)&lt;3,"",AVERAGE($V$1340:$V$1342))</f>
        <v>0</v>
      </c>
      <c r="X1342">
        <f>IF(COUNT($N$1329:$N$1342)&lt;14,"",MIN($N$1329:$N$1342))</f>
        <v>0</v>
      </c>
      <c r="Y1342">
        <f>IF(COUNT($N$1329:$N$1342)&lt;14,"",MAX($N$1329:$N$1342))</f>
        <v>0</v>
      </c>
      <c r="Z1342">
        <f>IF(OR(N1342="",X1342="",Y1342="",Y1342=X1342),"",100*(N1342-X1342)/(Y1342-X1342))</f>
        <v>0</v>
      </c>
      <c r="AA1342">
        <f>IF(COUNT($Z$1340:$Z$1342)&lt;3,"",AVERAGE($Z$1340:$Z$1342))</f>
        <v>0</v>
      </c>
      <c r="AB1342">
        <f>IF(COUNT($AA$1340:$AA$1342)&lt;3,"",AVERAGE($AA$1340:$AA$1342))</f>
        <v>0</v>
      </c>
      <c r="AC1342">
        <f>IF($E1342="","",MAX($C1342-$D1342,ABS($C1342-$E1341),ABS($D1342-$E1341)))</f>
        <v>0</v>
      </c>
      <c r="AD1342">
        <f>IF(COUNT($E$2:$E1342)&lt;15,"",AVERAGE($AC$1329:$AC$1342))</f>
        <v>0</v>
      </c>
      <c r="AE1342">
        <f>IF(OR($E1342="",$E1341=""),"",IF(AND(($C1342-$C1341)&gt;($D1341-$D1342),($C1342-$C1341)&gt;0),$C1342-$C1341,0))</f>
        <v>0</v>
      </c>
      <c r="AF1342">
        <f>IF(OR($E1342="",$E1341=""),"",IF(AND(($D1341-$D1342)&gt;($C1342-$C1341),($D1341-$D1342)&gt;0),$D1341-$D1342,0))</f>
        <v>0</v>
      </c>
      <c r="AG1342">
        <f>IF(COUNT($E$2:$E1342)&lt;15,"",IF(SUM($AC$1329:$AC$1342)=0,0,100*SUM($AE$1329:$AE$1342)/SUM($AC$1329:$AC$1342)))</f>
        <v>0</v>
      </c>
      <c r="AH1342">
        <f>IF(COUNT($E$2:$E1342)&lt;15,"",IF(SUM($AC$1329:$AC$1342)=0,0,100*SUM($AF$1329:$AF$1342)/SUM($AC$1329:$AC$1342)))</f>
        <v>0</v>
      </c>
      <c r="AI1342">
        <f>IF(OR(AG1342="",AH1342=""),"",IF((AG1342+AH1342)=0,0,100*ABS(AG1342-AH1342)/(AG1342+AH1342)))</f>
        <v>0</v>
      </c>
      <c r="AJ1342">
        <f>IF(COUNT($AI$1329:$AI$1342)&lt;14,"",AVERAGE($AI$1329:$AI$1342))</f>
        <v>0</v>
      </c>
      <c r="AK1342">
        <f>IF(COUNT($E$2:$E1342)&lt;20,"",AVERAGE($E$1323:$E$1342))</f>
        <v>0</v>
      </c>
      <c r="AL1342">
        <f>IF(COUNT($E$2:$E1342)&lt;20,"",STDEVP($E$1323:$E$1342))</f>
        <v>0</v>
      </c>
      <c r="AM1342">
        <f>IF(AK1342="","",AK1342+2*AL1342)</f>
        <v>0</v>
      </c>
      <c r="AN1342">
        <f>IF(AK1342="","",AK1342-2*AL1342)</f>
        <v>0</v>
      </c>
      <c r="AO1342">
        <f>IF(OR(AM1342="",AN1342="",AM1342=AN1342),"",($E1342-AN1342)/(AM1342-AN1342))</f>
        <v>0</v>
      </c>
      <c r="AP1342">
        <f>IF(OR(AM1342="",AK1342="",AK1342=0),"",(AM1342-AN1342)/AK1342)</f>
        <v>0</v>
      </c>
      <c r="AQ1342">
        <f>IF(COUNT($E$2:$E1342)&lt;20,"",MAX($C$1323:$C$1342))</f>
        <v>0</v>
      </c>
      <c r="AR1342">
        <f>IF(COUNT($E$2:$E1342)&lt;20,"",MIN($D$1323:$D$1342))</f>
        <v>0</v>
      </c>
      <c r="AS1342">
        <f>IF(OR(AQ1342="",AR1342=""),"",(AQ1342+AR1342)/2)</f>
        <v>0</v>
      </c>
      <c r="AT1342">
        <f>IF(COUNT($G$1323:$G$1342)&lt;20,"",STDEV($G$1323:$G$1342)*SQRT(252))</f>
        <v>0</v>
      </c>
      <c r="AU1342">
        <f>IF(COUNT($E$2:$E1342)&lt;9,"",(MAX($C$1334:$C$1342)+MIN($D$1334:$D$1342))/2)</f>
        <v>0</v>
      </c>
      <c r="AV1342">
        <f>IF(COUNT($E$2:$E1342)&lt;26,"",(MAX($C$1317:$C$1342)+MIN($D$1317:$D$1342))/2)</f>
        <v>0</v>
      </c>
      <c r="AW1342">
        <f>IF(OR(AU1342="",AV1342=""),"",(AU1342+AV1342)/2)</f>
        <v>0</v>
      </c>
      <c r="AX1342">
        <f>IF(COUNT($E$2:$E1342)&lt;52,"",(MAX($C$1291:$C$1342)+MIN($D$1291:$D$1342))/2)</f>
        <v>0</v>
      </c>
      <c r="AY1342">
        <f>IF(COUNT($E$2:$E1342)&lt;20,"",MAX($C$1243:$C$1342))</f>
        <v>0</v>
      </c>
      <c r="AZ1342">
        <f>IF(COUNT($E$2:$E1342)&lt;20,"",MIN($D$1243:$D$1342))</f>
        <v>0</v>
      </c>
      <c r="BA1342">
        <f>IF(COUNT($E$2:$E1342)&lt;20,"",SLOPE($E$1243:$E$1342,$F$1243:$F$1342))</f>
        <v>0</v>
      </c>
      <c r="BB1342">
        <f>IF(COUNT($E$2:$E1342)&lt;20,"",INTERCEPT($E$1243:$E$1342,$F$1243:$F$1342))</f>
        <v>0</v>
      </c>
      <c r="BC1342">
        <f>IF(OR(BA1342="",BB1342=""),"",BB1342+BA1342*F1342)</f>
        <v>0</v>
      </c>
      <c r="BD1342">
        <f>IF(COUNT($E$2:$E1342)&lt;20,"",STEYX($E$1243:$E$1342,$F$1243:$F$1342))</f>
        <v>0</v>
      </c>
      <c r="BE1342">
        <f>IF($E1342="","",IF(AND(COUNT($E$1343:$E$1346)&gt;=4,$C1342=MAX($C$1338:$C$1346)),$C1342,""))</f>
        <v>0</v>
      </c>
      <c r="BF1342">
        <f>IF($E1342="","",IF(AND(COUNT($E$1343:$E$1346)&gt;=4,$D1342=MIN($D$1338:$D$1346)),$D1342,""))</f>
        <v>0</v>
      </c>
      <c r="BG1342">
        <f>IF($A1342="","",$A1342-WEEKDAY($A1342,2)+1)</f>
        <v>0</v>
      </c>
      <c r="BH1342">
        <f>IF($A1342="","",IF($A1341="",1,IF(BG1342&lt;&gt;BG1341,1,0)))</f>
        <v>0</v>
      </c>
      <c r="BI1342">
        <f>IF($A1342="","",IF($A1343="",1,IF(BG1343&lt;&gt;BG1342,1,0)))</f>
        <v>0</v>
      </c>
      <c r="BJ1342">
        <f>IF($A1342="","",IF(BH1342=1,$B1342,BJ1341))</f>
        <v>0</v>
      </c>
      <c r="BK1342">
        <f>IF($A1342="","",IF(BH1342=1,$C1342,MAX($C1342,BK1341)))</f>
        <v>0</v>
      </c>
      <c r="BL1342">
        <f>IF($A1342="","",IF(BH1342=1,$D1342,MIN($D1342,BL1341)))</f>
        <v>0</v>
      </c>
      <c r="BM1342">
        <f>IF($A1342="","",IF(BI1342=1,F1342,""))</f>
        <v>0</v>
      </c>
      <c r="BN1342">
        <f>IF($A1342="","",DATE(YEAR($A1342),MONTH($A1342),1))</f>
        <v>0</v>
      </c>
      <c r="BO1342">
        <f>IF($A1342="","",IF($A1341="",1,IF(BN1342&lt;&gt;BN1341,1,0)))</f>
        <v>0</v>
      </c>
      <c r="BP1342">
        <f>IF($A1342="","",IF($A1343="",1,IF(BN1343&lt;&gt;BN1342,1,0)))</f>
        <v>0</v>
      </c>
      <c r="BQ1342">
        <f>IF($A1342="","",IF(BO1342=1,$B1342,BQ1341))</f>
        <v>0</v>
      </c>
      <c r="BR1342">
        <f>IF($A1342="","",IF(BO1342=1,$C1342,MAX($C1342,BR1341)))</f>
        <v>0</v>
      </c>
      <c r="BS1342">
        <f>IF($A1342="","",IF(BO1342=1,$D1342,MIN($D1342,BS1341)))</f>
        <v>0</v>
      </c>
      <c r="BT1342">
        <f>IF($A1342="","",IF(BP1342=1,F1342,""))</f>
        <v>0</v>
      </c>
    </row>
    <row r="1343" spans="1:72">
      <c r="A1343" s="27">
        <f>IF(Data!$A1343="","",Data!$A1343)</f>
        <v>0</v>
      </c>
      <c r="B1343">
        <f>IF(Data!$B1343="","",Data!$B1343)</f>
        <v>0</v>
      </c>
      <c r="C1343">
        <f>IF(Data!$C1343="","",Data!$C1343)</f>
        <v>0</v>
      </c>
      <c r="D1343">
        <f>IF(Data!$D1343="","",Data!$D1343)</f>
        <v>0</v>
      </c>
      <c r="E1343">
        <f>IF(Data!$E1343="","",Data!$E1343)</f>
        <v>0</v>
      </c>
      <c r="F1343">
        <f>IF($E1343="","",N(F1342)+1)</f>
        <v>0</v>
      </c>
      <c r="G1343">
        <f>IF(OR($E1343="",$E1342=""),"",LN($E1343/$E1342))</f>
        <v>0</v>
      </c>
      <c r="H1343">
        <f>IF($E1343="","",IF($E1342="",$E1343,$E1343*0.0952380952+H1342*0.9047619048))</f>
        <v>0</v>
      </c>
      <c r="I1343">
        <f>IF($E1343="","",IF($E1342="",$E1343,$E1343*0.0392156863+I1342*0.9607843137))</f>
        <v>0</v>
      </c>
      <c r="J1343">
        <f>IF($E1343="","",IF($E1342="",$E1343,$E1343*0.0198019802+J1342*0.9801980198))</f>
        <v>0</v>
      </c>
      <c r="K1343">
        <f>IF($E1343="","",IF($E1342="",$E1343,$E1343*0.0099502488+K1342*0.9900497512))</f>
        <v>0</v>
      </c>
      <c r="L1343">
        <f>IF(OR($E1343="",$E1342=""),"",MAX($E1343-$E1342,0))</f>
        <v>0</v>
      </c>
      <c r="M1343">
        <f>IF(OR($E1343="",$E1342=""),"",MAX($E1342-$E1343,0))</f>
        <v>0</v>
      </c>
      <c r="N1343">
        <f>IF(COUNT($E$2:$E1343)&lt;15,"",IF(AVERAGE($M$1330:$M$1343)=0,100,100-100/(1+AVERAGE($L$1330:$L$1343)/AVERAGE($M$1330:$M$1343))))</f>
        <v>0</v>
      </c>
      <c r="O1343">
        <f>IF($E1343="","",IF($E1342="",$E1343,$E1343*0.1538461538+O1342*0.8461538462))</f>
        <v>0</v>
      </c>
      <c r="P1343">
        <f>IF($E1343="","",IF($E1342="",$E1343,$E1343*0.0740740741+P1342*0.9259259259))</f>
        <v>0</v>
      </c>
      <c r="Q1343">
        <f>IF(OR(O1343="",P1343=""),"",O1343-P1343)</f>
        <v>0</v>
      </c>
      <c r="R1343">
        <f>IF(Q1343="","",IF(R1342="",Q1343,Q1343*0.2000000000+R1342*0.8000000000))</f>
        <v>0</v>
      </c>
      <c r="S1343">
        <f>IF(OR(Q1343="",R1343=""),"",Q1343-R1343)</f>
        <v>0</v>
      </c>
      <c r="T1343">
        <f>IF(COUNT($E$2:$E1343)&lt;14,"",MAX($C$1330:$C$1343))</f>
        <v>0</v>
      </c>
      <c r="U1343">
        <f>IF(COUNT($E$2:$E1343)&lt;14,"",MIN($D$1330:$D$1343))</f>
        <v>0</v>
      </c>
      <c r="V1343">
        <f>IF(OR(T1343="",U1343="",T1343=U1343),"",100*($E1343-U1343)/(T1343-U1343))</f>
        <v>0</v>
      </c>
      <c r="W1343">
        <f>IF(COUNT($V$1341:$V$1343)&lt;3,"",AVERAGE($V$1341:$V$1343))</f>
        <v>0</v>
      </c>
      <c r="X1343">
        <f>IF(COUNT($N$1330:$N$1343)&lt;14,"",MIN($N$1330:$N$1343))</f>
        <v>0</v>
      </c>
      <c r="Y1343">
        <f>IF(COUNT($N$1330:$N$1343)&lt;14,"",MAX($N$1330:$N$1343))</f>
        <v>0</v>
      </c>
      <c r="Z1343">
        <f>IF(OR(N1343="",X1343="",Y1343="",Y1343=X1343),"",100*(N1343-X1343)/(Y1343-X1343))</f>
        <v>0</v>
      </c>
      <c r="AA1343">
        <f>IF(COUNT($Z$1341:$Z$1343)&lt;3,"",AVERAGE($Z$1341:$Z$1343))</f>
        <v>0</v>
      </c>
      <c r="AB1343">
        <f>IF(COUNT($AA$1341:$AA$1343)&lt;3,"",AVERAGE($AA$1341:$AA$1343))</f>
        <v>0</v>
      </c>
      <c r="AC1343">
        <f>IF($E1343="","",MAX($C1343-$D1343,ABS($C1343-$E1342),ABS($D1343-$E1342)))</f>
        <v>0</v>
      </c>
      <c r="AD1343">
        <f>IF(COUNT($E$2:$E1343)&lt;15,"",AVERAGE($AC$1330:$AC$1343))</f>
        <v>0</v>
      </c>
      <c r="AE1343">
        <f>IF(OR($E1343="",$E1342=""),"",IF(AND(($C1343-$C1342)&gt;($D1342-$D1343),($C1343-$C1342)&gt;0),$C1343-$C1342,0))</f>
        <v>0</v>
      </c>
      <c r="AF1343">
        <f>IF(OR($E1343="",$E1342=""),"",IF(AND(($D1342-$D1343)&gt;($C1343-$C1342),($D1342-$D1343)&gt;0),$D1342-$D1343,0))</f>
        <v>0</v>
      </c>
      <c r="AG1343">
        <f>IF(COUNT($E$2:$E1343)&lt;15,"",IF(SUM($AC$1330:$AC$1343)=0,0,100*SUM($AE$1330:$AE$1343)/SUM($AC$1330:$AC$1343)))</f>
        <v>0</v>
      </c>
      <c r="AH1343">
        <f>IF(COUNT($E$2:$E1343)&lt;15,"",IF(SUM($AC$1330:$AC$1343)=0,0,100*SUM($AF$1330:$AF$1343)/SUM($AC$1330:$AC$1343)))</f>
        <v>0</v>
      </c>
      <c r="AI1343">
        <f>IF(OR(AG1343="",AH1343=""),"",IF((AG1343+AH1343)=0,0,100*ABS(AG1343-AH1343)/(AG1343+AH1343)))</f>
        <v>0</v>
      </c>
      <c r="AJ1343">
        <f>IF(COUNT($AI$1330:$AI$1343)&lt;14,"",AVERAGE($AI$1330:$AI$1343))</f>
        <v>0</v>
      </c>
      <c r="AK1343">
        <f>IF(COUNT($E$2:$E1343)&lt;20,"",AVERAGE($E$1324:$E$1343))</f>
        <v>0</v>
      </c>
      <c r="AL1343">
        <f>IF(COUNT($E$2:$E1343)&lt;20,"",STDEVP($E$1324:$E$1343))</f>
        <v>0</v>
      </c>
      <c r="AM1343">
        <f>IF(AK1343="","",AK1343+2*AL1343)</f>
        <v>0</v>
      </c>
      <c r="AN1343">
        <f>IF(AK1343="","",AK1343-2*AL1343)</f>
        <v>0</v>
      </c>
      <c r="AO1343">
        <f>IF(OR(AM1343="",AN1343="",AM1343=AN1343),"",($E1343-AN1343)/(AM1343-AN1343))</f>
        <v>0</v>
      </c>
      <c r="AP1343">
        <f>IF(OR(AM1343="",AK1343="",AK1343=0),"",(AM1343-AN1343)/AK1343)</f>
        <v>0</v>
      </c>
      <c r="AQ1343">
        <f>IF(COUNT($E$2:$E1343)&lt;20,"",MAX($C$1324:$C$1343))</f>
        <v>0</v>
      </c>
      <c r="AR1343">
        <f>IF(COUNT($E$2:$E1343)&lt;20,"",MIN($D$1324:$D$1343))</f>
        <v>0</v>
      </c>
      <c r="AS1343">
        <f>IF(OR(AQ1343="",AR1343=""),"",(AQ1343+AR1343)/2)</f>
        <v>0</v>
      </c>
      <c r="AT1343">
        <f>IF(COUNT($G$1324:$G$1343)&lt;20,"",STDEV($G$1324:$G$1343)*SQRT(252))</f>
        <v>0</v>
      </c>
      <c r="AU1343">
        <f>IF(COUNT($E$2:$E1343)&lt;9,"",(MAX($C$1335:$C$1343)+MIN($D$1335:$D$1343))/2)</f>
        <v>0</v>
      </c>
      <c r="AV1343">
        <f>IF(COUNT($E$2:$E1343)&lt;26,"",(MAX($C$1318:$C$1343)+MIN($D$1318:$D$1343))/2)</f>
        <v>0</v>
      </c>
      <c r="AW1343">
        <f>IF(OR(AU1343="",AV1343=""),"",(AU1343+AV1343)/2)</f>
        <v>0</v>
      </c>
      <c r="AX1343">
        <f>IF(COUNT($E$2:$E1343)&lt;52,"",(MAX($C$1292:$C$1343)+MIN($D$1292:$D$1343))/2)</f>
        <v>0</v>
      </c>
      <c r="AY1343">
        <f>IF(COUNT($E$2:$E1343)&lt;20,"",MAX($C$1244:$C$1343))</f>
        <v>0</v>
      </c>
      <c r="AZ1343">
        <f>IF(COUNT($E$2:$E1343)&lt;20,"",MIN($D$1244:$D$1343))</f>
        <v>0</v>
      </c>
      <c r="BA1343">
        <f>IF(COUNT($E$2:$E1343)&lt;20,"",SLOPE($E$1244:$E$1343,$F$1244:$F$1343))</f>
        <v>0</v>
      </c>
      <c r="BB1343">
        <f>IF(COUNT($E$2:$E1343)&lt;20,"",INTERCEPT($E$1244:$E$1343,$F$1244:$F$1343))</f>
        <v>0</v>
      </c>
      <c r="BC1343">
        <f>IF(OR(BA1343="",BB1343=""),"",BB1343+BA1343*F1343)</f>
        <v>0</v>
      </c>
      <c r="BD1343">
        <f>IF(COUNT($E$2:$E1343)&lt;20,"",STEYX($E$1244:$E$1343,$F$1244:$F$1343))</f>
        <v>0</v>
      </c>
      <c r="BE1343">
        <f>IF($E1343="","",IF(AND(COUNT($E$1344:$E$1347)&gt;=4,$C1343=MAX($C$1339:$C$1347)),$C1343,""))</f>
        <v>0</v>
      </c>
      <c r="BF1343">
        <f>IF($E1343="","",IF(AND(COUNT($E$1344:$E$1347)&gt;=4,$D1343=MIN($D$1339:$D$1347)),$D1343,""))</f>
        <v>0</v>
      </c>
      <c r="BG1343">
        <f>IF($A1343="","",$A1343-WEEKDAY($A1343,2)+1)</f>
        <v>0</v>
      </c>
      <c r="BH1343">
        <f>IF($A1343="","",IF($A1342="",1,IF(BG1343&lt;&gt;BG1342,1,0)))</f>
        <v>0</v>
      </c>
      <c r="BI1343">
        <f>IF($A1343="","",IF($A1344="",1,IF(BG1344&lt;&gt;BG1343,1,0)))</f>
        <v>0</v>
      </c>
      <c r="BJ1343">
        <f>IF($A1343="","",IF(BH1343=1,$B1343,BJ1342))</f>
        <v>0</v>
      </c>
      <c r="BK1343">
        <f>IF($A1343="","",IF(BH1343=1,$C1343,MAX($C1343,BK1342)))</f>
        <v>0</v>
      </c>
      <c r="BL1343">
        <f>IF($A1343="","",IF(BH1343=1,$D1343,MIN($D1343,BL1342)))</f>
        <v>0</v>
      </c>
      <c r="BM1343">
        <f>IF($A1343="","",IF(BI1343=1,F1343,""))</f>
        <v>0</v>
      </c>
      <c r="BN1343">
        <f>IF($A1343="","",DATE(YEAR($A1343),MONTH($A1343),1))</f>
        <v>0</v>
      </c>
      <c r="BO1343">
        <f>IF($A1343="","",IF($A1342="",1,IF(BN1343&lt;&gt;BN1342,1,0)))</f>
        <v>0</v>
      </c>
      <c r="BP1343">
        <f>IF($A1343="","",IF($A1344="",1,IF(BN1344&lt;&gt;BN1343,1,0)))</f>
        <v>0</v>
      </c>
      <c r="BQ1343">
        <f>IF($A1343="","",IF(BO1343=1,$B1343,BQ1342))</f>
        <v>0</v>
      </c>
      <c r="BR1343">
        <f>IF($A1343="","",IF(BO1343=1,$C1343,MAX($C1343,BR1342)))</f>
        <v>0</v>
      </c>
      <c r="BS1343">
        <f>IF($A1343="","",IF(BO1343=1,$D1343,MIN($D1343,BS1342)))</f>
        <v>0</v>
      </c>
      <c r="BT1343">
        <f>IF($A1343="","",IF(BP1343=1,F1343,""))</f>
        <v>0</v>
      </c>
    </row>
    <row r="1344" spans="1:72">
      <c r="A1344" s="27">
        <f>IF(Data!$A1344="","",Data!$A1344)</f>
        <v>0</v>
      </c>
      <c r="B1344">
        <f>IF(Data!$B1344="","",Data!$B1344)</f>
        <v>0</v>
      </c>
      <c r="C1344">
        <f>IF(Data!$C1344="","",Data!$C1344)</f>
        <v>0</v>
      </c>
      <c r="D1344">
        <f>IF(Data!$D1344="","",Data!$D1344)</f>
        <v>0</v>
      </c>
      <c r="E1344">
        <f>IF(Data!$E1344="","",Data!$E1344)</f>
        <v>0</v>
      </c>
      <c r="F1344">
        <f>IF($E1344="","",N(F1343)+1)</f>
        <v>0</v>
      </c>
      <c r="G1344">
        <f>IF(OR($E1344="",$E1343=""),"",LN($E1344/$E1343))</f>
        <v>0</v>
      </c>
      <c r="H1344">
        <f>IF($E1344="","",IF($E1343="",$E1344,$E1344*0.0952380952+H1343*0.9047619048))</f>
        <v>0</v>
      </c>
      <c r="I1344">
        <f>IF($E1344="","",IF($E1343="",$E1344,$E1344*0.0392156863+I1343*0.9607843137))</f>
        <v>0</v>
      </c>
      <c r="J1344">
        <f>IF($E1344="","",IF($E1343="",$E1344,$E1344*0.0198019802+J1343*0.9801980198))</f>
        <v>0</v>
      </c>
      <c r="K1344">
        <f>IF($E1344="","",IF($E1343="",$E1344,$E1344*0.0099502488+K1343*0.9900497512))</f>
        <v>0</v>
      </c>
      <c r="L1344">
        <f>IF(OR($E1344="",$E1343=""),"",MAX($E1344-$E1343,0))</f>
        <v>0</v>
      </c>
      <c r="M1344">
        <f>IF(OR($E1344="",$E1343=""),"",MAX($E1343-$E1344,0))</f>
        <v>0</v>
      </c>
      <c r="N1344">
        <f>IF(COUNT($E$2:$E1344)&lt;15,"",IF(AVERAGE($M$1331:$M$1344)=0,100,100-100/(1+AVERAGE($L$1331:$L$1344)/AVERAGE($M$1331:$M$1344))))</f>
        <v>0</v>
      </c>
      <c r="O1344">
        <f>IF($E1344="","",IF($E1343="",$E1344,$E1344*0.1538461538+O1343*0.8461538462))</f>
        <v>0</v>
      </c>
      <c r="P1344">
        <f>IF($E1344="","",IF($E1343="",$E1344,$E1344*0.0740740741+P1343*0.9259259259))</f>
        <v>0</v>
      </c>
      <c r="Q1344">
        <f>IF(OR(O1344="",P1344=""),"",O1344-P1344)</f>
        <v>0</v>
      </c>
      <c r="R1344">
        <f>IF(Q1344="","",IF(R1343="",Q1344,Q1344*0.2000000000+R1343*0.8000000000))</f>
        <v>0</v>
      </c>
      <c r="S1344">
        <f>IF(OR(Q1344="",R1344=""),"",Q1344-R1344)</f>
        <v>0</v>
      </c>
      <c r="T1344">
        <f>IF(COUNT($E$2:$E1344)&lt;14,"",MAX($C$1331:$C$1344))</f>
        <v>0</v>
      </c>
      <c r="U1344">
        <f>IF(COUNT($E$2:$E1344)&lt;14,"",MIN($D$1331:$D$1344))</f>
        <v>0</v>
      </c>
      <c r="V1344">
        <f>IF(OR(T1344="",U1344="",T1344=U1344),"",100*($E1344-U1344)/(T1344-U1344))</f>
        <v>0</v>
      </c>
      <c r="W1344">
        <f>IF(COUNT($V$1342:$V$1344)&lt;3,"",AVERAGE($V$1342:$V$1344))</f>
        <v>0</v>
      </c>
      <c r="X1344">
        <f>IF(COUNT($N$1331:$N$1344)&lt;14,"",MIN($N$1331:$N$1344))</f>
        <v>0</v>
      </c>
      <c r="Y1344">
        <f>IF(COUNT($N$1331:$N$1344)&lt;14,"",MAX($N$1331:$N$1344))</f>
        <v>0</v>
      </c>
      <c r="Z1344">
        <f>IF(OR(N1344="",X1344="",Y1344="",Y1344=X1344),"",100*(N1344-X1344)/(Y1344-X1344))</f>
        <v>0</v>
      </c>
      <c r="AA1344">
        <f>IF(COUNT($Z$1342:$Z$1344)&lt;3,"",AVERAGE($Z$1342:$Z$1344))</f>
        <v>0</v>
      </c>
      <c r="AB1344">
        <f>IF(COUNT($AA$1342:$AA$1344)&lt;3,"",AVERAGE($AA$1342:$AA$1344))</f>
        <v>0</v>
      </c>
      <c r="AC1344">
        <f>IF($E1344="","",MAX($C1344-$D1344,ABS($C1344-$E1343),ABS($D1344-$E1343)))</f>
        <v>0</v>
      </c>
      <c r="AD1344">
        <f>IF(COUNT($E$2:$E1344)&lt;15,"",AVERAGE($AC$1331:$AC$1344))</f>
        <v>0</v>
      </c>
      <c r="AE1344">
        <f>IF(OR($E1344="",$E1343=""),"",IF(AND(($C1344-$C1343)&gt;($D1343-$D1344),($C1344-$C1343)&gt;0),$C1344-$C1343,0))</f>
        <v>0</v>
      </c>
      <c r="AF1344">
        <f>IF(OR($E1344="",$E1343=""),"",IF(AND(($D1343-$D1344)&gt;($C1344-$C1343),($D1343-$D1344)&gt;0),$D1343-$D1344,0))</f>
        <v>0</v>
      </c>
      <c r="AG1344">
        <f>IF(COUNT($E$2:$E1344)&lt;15,"",IF(SUM($AC$1331:$AC$1344)=0,0,100*SUM($AE$1331:$AE$1344)/SUM($AC$1331:$AC$1344)))</f>
        <v>0</v>
      </c>
      <c r="AH1344">
        <f>IF(COUNT($E$2:$E1344)&lt;15,"",IF(SUM($AC$1331:$AC$1344)=0,0,100*SUM($AF$1331:$AF$1344)/SUM($AC$1331:$AC$1344)))</f>
        <v>0</v>
      </c>
      <c r="AI1344">
        <f>IF(OR(AG1344="",AH1344=""),"",IF((AG1344+AH1344)=0,0,100*ABS(AG1344-AH1344)/(AG1344+AH1344)))</f>
        <v>0</v>
      </c>
      <c r="AJ1344">
        <f>IF(COUNT($AI$1331:$AI$1344)&lt;14,"",AVERAGE($AI$1331:$AI$1344))</f>
        <v>0</v>
      </c>
      <c r="AK1344">
        <f>IF(COUNT($E$2:$E1344)&lt;20,"",AVERAGE($E$1325:$E$1344))</f>
        <v>0</v>
      </c>
      <c r="AL1344">
        <f>IF(COUNT($E$2:$E1344)&lt;20,"",STDEVP($E$1325:$E$1344))</f>
        <v>0</v>
      </c>
      <c r="AM1344">
        <f>IF(AK1344="","",AK1344+2*AL1344)</f>
        <v>0</v>
      </c>
      <c r="AN1344">
        <f>IF(AK1344="","",AK1344-2*AL1344)</f>
        <v>0</v>
      </c>
      <c r="AO1344">
        <f>IF(OR(AM1344="",AN1344="",AM1344=AN1344),"",($E1344-AN1344)/(AM1344-AN1344))</f>
        <v>0</v>
      </c>
      <c r="AP1344">
        <f>IF(OR(AM1344="",AK1344="",AK1344=0),"",(AM1344-AN1344)/AK1344)</f>
        <v>0</v>
      </c>
      <c r="AQ1344">
        <f>IF(COUNT($E$2:$E1344)&lt;20,"",MAX($C$1325:$C$1344))</f>
        <v>0</v>
      </c>
      <c r="AR1344">
        <f>IF(COUNT($E$2:$E1344)&lt;20,"",MIN($D$1325:$D$1344))</f>
        <v>0</v>
      </c>
      <c r="AS1344">
        <f>IF(OR(AQ1344="",AR1344=""),"",(AQ1344+AR1344)/2)</f>
        <v>0</v>
      </c>
      <c r="AT1344">
        <f>IF(COUNT($G$1325:$G$1344)&lt;20,"",STDEV($G$1325:$G$1344)*SQRT(252))</f>
        <v>0</v>
      </c>
      <c r="AU1344">
        <f>IF(COUNT($E$2:$E1344)&lt;9,"",(MAX($C$1336:$C$1344)+MIN($D$1336:$D$1344))/2)</f>
        <v>0</v>
      </c>
      <c r="AV1344">
        <f>IF(COUNT($E$2:$E1344)&lt;26,"",(MAX($C$1319:$C$1344)+MIN($D$1319:$D$1344))/2)</f>
        <v>0</v>
      </c>
      <c r="AW1344">
        <f>IF(OR(AU1344="",AV1344=""),"",(AU1344+AV1344)/2)</f>
        <v>0</v>
      </c>
      <c r="AX1344">
        <f>IF(COUNT($E$2:$E1344)&lt;52,"",(MAX($C$1293:$C$1344)+MIN($D$1293:$D$1344))/2)</f>
        <v>0</v>
      </c>
      <c r="AY1344">
        <f>IF(COUNT($E$2:$E1344)&lt;20,"",MAX($C$1245:$C$1344))</f>
        <v>0</v>
      </c>
      <c r="AZ1344">
        <f>IF(COUNT($E$2:$E1344)&lt;20,"",MIN($D$1245:$D$1344))</f>
        <v>0</v>
      </c>
      <c r="BA1344">
        <f>IF(COUNT($E$2:$E1344)&lt;20,"",SLOPE($E$1245:$E$1344,$F$1245:$F$1344))</f>
        <v>0</v>
      </c>
      <c r="BB1344">
        <f>IF(COUNT($E$2:$E1344)&lt;20,"",INTERCEPT($E$1245:$E$1344,$F$1245:$F$1344))</f>
        <v>0</v>
      </c>
      <c r="BC1344">
        <f>IF(OR(BA1344="",BB1344=""),"",BB1344+BA1344*F1344)</f>
        <v>0</v>
      </c>
      <c r="BD1344">
        <f>IF(COUNT($E$2:$E1344)&lt;20,"",STEYX($E$1245:$E$1344,$F$1245:$F$1344))</f>
        <v>0</v>
      </c>
      <c r="BE1344">
        <f>IF($E1344="","",IF(AND(COUNT($E$1345:$E$1348)&gt;=4,$C1344=MAX($C$1340:$C$1348)),$C1344,""))</f>
        <v>0</v>
      </c>
      <c r="BF1344">
        <f>IF($E1344="","",IF(AND(COUNT($E$1345:$E$1348)&gt;=4,$D1344=MIN($D$1340:$D$1348)),$D1344,""))</f>
        <v>0</v>
      </c>
      <c r="BG1344">
        <f>IF($A1344="","",$A1344-WEEKDAY($A1344,2)+1)</f>
        <v>0</v>
      </c>
      <c r="BH1344">
        <f>IF($A1344="","",IF($A1343="",1,IF(BG1344&lt;&gt;BG1343,1,0)))</f>
        <v>0</v>
      </c>
      <c r="BI1344">
        <f>IF($A1344="","",IF($A1345="",1,IF(BG1345&lt;&gt;BG1344,1,0)))</f>
        <v>0</v>
      </c>
      <c r="BJ1344">
        <f>IF($A1344="","",IF(BH1344=1,$B1344,BJ1343))</f>
        <v>0</v>
      </c>
      <c r="BK1344">
        <f>IF($A1344="","",IF(BH1344=1,$C1344,MAX($C1344,BK1343)))</f>
        <v>0</v>
      </c>
      <c r="BL1344">
        <f>IF($A1344="","",IF(BH1344=1,$D1344,MIN($D1344,BL1343)))</f>
        <v>0</v>
      </c>
      <c r="BM1344">
        <f>IF($A1344="","",IF(BI1344=1,F1344,""))</f>
        <v>0</v>
      </c>
      <c r="BN1344">
        <f>IF($A1344="","",DATE(YEAR($A1344),MONTH($A1344),1))</f>
        <v>0</v>
      </c>
      <c r="BO1344">
        <f>IF($A1344="","",IF($A1343="",1,IF(BN1344&lt;&gt;BN1343,1,0)))</f>
        <v>0</v>
      </c>
      <c r="BP1344">
        <f>IF($A1344="","",IF($A1345="",1,IF(BN1345&lt;&gt;BN1344,1,0)))</f>
        <v>0</v>
      </c>
      <c r="BQ1344">
        <f>IF($A1344="","",IF(BO1344=1,$B1344,BQ1343))</f>
        <v>0</v>
      </c>
      <c r="BR1344">
        <f>IF($A1344="","",IF(BO1344=1,$C1344,MAX($C1344,BR1343)))</f>
        <v>0</v>
      </c>
      <c r="BS1344">
        <f>IF($A1344="","",IF(BO1344=1,$D1344,MIN($D1344,BS1343)))</f>
        <v>0</v>
      </c>
      <c r="BT1344">
        <f>IF($A1344="","",IF(BP1344=1,F1344,""))</f>
        <v>0</v>
      </c>
    </row>
    <row r="1345" spans="1:72">
      <c r="A1345" s="27">
        <f>IF(Data!$A1345="","",Data!$A1345)</f>
        <v>0</v>
      </c>
      <c r="B1345">
        <f>IF(Data!$B1345="","",Data!$B1345)</f>
        <v>0</v>
      </c>
      <c r="C1345">
        <f>IF(Data!$C1345="","",Data!$C1345)</f>
        <v>0</v>
      </c>
      <c r="D1345">
        <f>IF(Data!$D1345="","",Data!$D1345)</f>
        <v>0</v>
      </c>
      <c r="E1345">
        <f>IF(Data!$E1345="","",Data!$E1345)</f>
        <v>0</v>
      </c>
      <c r="F1345">
        <f>IF($E1345="","",N(F1344)+1)</f>
        <v>0</v>
      </c>
      <c r="G1345">
        <f>IF(OR($E1345="",$E1344=""),"",LN($E1345/$E1344))</f>
        <v>0</v>
      </c>
      <c r="H1345">
        <f>IF($E1345="","",IF($E1344="",$E1345,$E1345*0.0952380952+H1344*0.9047619048))</f>
        <v>0</v>
      </c>
      <c r="I1345">
        <f>IF($E1345="","",IF($E1344="",$E1345,$E1345*0.0392156863+I1344*0.9607843137))</f>
        <v>0</v>
      </c>
      <c r="J1345">
        <f>IF($E1345="","",IF($E1344="",$E1345,$E1345*0.0198019802+J1344*0.9801980198))</f>
        <v>0</v>
      </c>
      <c r="K1345">
        <f>IF($E1345="","",IF($E1344="",$E1345,$E1345*0.0099502488+K1344*0.9900497512))</f>
        <v>0</v>
      </c>
      <c r="L1345">
        <f>IF(OR($E1345="",$E1344=""),"",MAX($E1345-$E1344,0))</f>
        <v>0</v>
      </c>
      <c r="M1345">
        <f>IF(OR($E1345="",$E1344=""),"",MAX($E1344-$E1345,0))</f>
        <v>0</v>
      </c>
      <c r="N1345">
        <f>IF(COUNT($E$2:$E1345)&lt;15,"",IF(AVERAGE($M$1332:$M$1345)=0,100,100-100/(1+AVERAGE($L$1332:$L$1345)/AVERAGE($M$1332:$M$1345))))</f>
        <v>0</v>
      </c>
      <c r="O1345">
        <f>IF($E1345="","",IF($E1344="",$E1345,$E1345*0.1538461538+O1344*0.8461538462))</f>
        <v>0</v>
      </c>
      <c r="P1345">
        <f>IF($E1345="","",IF($E1344="",$E1345,$E1345*0.0740740741+P1344*0.9259259259))</f>
        <v>0</v>
      </c>
      <c r="Q1345">
        <f>IF(OR(O1345="",P1345=""),"",O1345-P1345)</f>
        <v>0</v>
      </c>
      <c r="R1345">
        <f>IF(Q1345="","",IF(R1344="",Q1345,Q1345*0.2000000000+R1344*0.8000000000))</f>
        <v>0</v>
      </c>
      <c r="S1345">
        <f>IF(OR(Q1345="",R1345=""),"",Q1345-R1345)</f>
        <v>0</v>
      </c>
      <c r="T1345">
        <f>IF(COUNT($E$2:$E1345)&lt;14,"",MAX($C$1332:$C$1345))</f>
        <v>0</v>
      </c>
      <c r="U1345">
        <f>IF(COUNT($E$2:$E1345)&lt;14,"",MIN($D$1332:$D$1345))</f>
        <v>0</v>
      </c>
      <c r="V1345">
        <f>IF(OR(T1345="",U1345="",T1345=U1345),"",100*($E1345-U1345)/(T1345-U1345))</f>
        <v>0</v>
      </c>
      <c r="W1345">
        <f>IF(COUNT($V$1343:$V$1345)&lt;3,"",AVERAGE($V$1343:$V$1345))</f>
        <v>0</v>
      </c>
      <c r="X1345">
        <f>IF(COUNT($N$1332:$N$1345)&lt;14,"",MIN($N$1332:$N$1345))</f>
        <v>0</v>
      </c>
      <c r="Y1345">
        <f>IF(COUNT($N$1332:$N$1345)&lt;14,"",MAX($N$1332:$N$1345))</f>
        <v>0</v>
      </c>
      <c r="Z1345">
        <f>IF(OR(N1345="",X1345="",Y1345="",Y1345=X1345),"",100*(N1345-X1345)/(Y1345-X1345))</f>
        <v>0</v>
      </c>
      <c r="AA1345">
        <f>IF(COUNT($Z$1343:$Z$1345)&lt;3,"",AVERAGE($Z$1343:$Z$1345))</f>
        <v>0</v>
      </c>
      <c r="AB1345">
        <f>IF(COUNT($AA$1343:$AA$1345)&lt;3,"",AVERAGE($AA$1343:$AA$1345))</f>
        <v>0</v>
      </c>
      <c r="AC1345">
        <f>IF($E1345="","",MAX($C1345-$D1345,ABS($C1345-$E1344),ABS($D1345-$E1344)))</f>
        <v>0</v>
      </c>
      <c r="AD1345">
        <f>IF(COUNT($E$2:$E1345)&lt;15,"",AVERAGE($AC$1332:$AC$1345))</f>
        <v>0</v>
      </c>
      <c r="AE1345">
        <f>IF(OR($E1345="",$E1344=""),"",IF(AND(($C1345-$C1344)&gt;($D1344-$D1345),($C1345-$C1344)&gt;0),$C1345-$C1344,0))</f>
        <v>0</v>
      </c>
      <c r="AF1345">
        <f>IF(OR($E1345="",$E1344=""),"",IF(AND(($D1344-$D1345)&gt;($C1345-$C1344),($D1344-$D1345)&gt;0),$D1344-$D1345,0))</f>
        <v>0</v>
      </c>
      <c r="AG1345">
        <f>IF(COUNT($E$2:$E1345)&lt;15,"",IF(SUM($AC$1332:$AC$1345)=0,0,100*SUM($AE$1332:$AE$1345)/SUM($AC$1332:$AC$1345)))</f>
        <v>0</v>
      </c>
      <c r="AH1345">
        <f>IF(COUNT($E$2:$E1345)&lt;15,"",IF(SUM($AC$1332:$AC$1345)=0,0,100*SUM($AF$1332:$AF$1345)/SUM($AC$1332:$AC$1345)))</f>
        <v>0</v>
      </c>
      <c r="AI1345">
        <f>IF(OR(AG1345="",AH1345=""),"",IF((AG1345+AH1345)=0,0,100*ABS(AG1345-AH1345)/(AG1345+AH1345)))</f>
        <v>0</v>
      </c>
      <c r="AJ1345">
        <f>IF(COUNT($AI$1332:$AI$1345)&lt;14,"",AVERAGE($AI$1332:$AI$1345))</f>
        <v>0</v>
      </c>
      <c r="AK1345">
        <f>IF(COUNT($E$2:$E1345)&lt;20,"",AVERAGE($E$1326:$E$1345))</f>
        <v>0</v>
      </c>
      <c r="AL1345">
        <f>IF(COUNT($E$2:$E1345)&lt;20,"",STDEVP($E$1326:$E$1345))</f>
        <v>0</v>
      </c>
      <c r="AM1345">
        <f>IF(AK1345="","",AK1345+2*AL1345)</f>
        <v>0</v>
      </c>
      <c r="AN1345">
        <f>IF(AK1345="","",AK1345-2*AL1345)</f>
        <v>0</v>
      </c>
      <c r="AO1345">
        <f>IF(OR(AM1345="",AN1345="",AM1345=AN1345),"",($E1345-AN1345)/(AM1345-AN1345))</f>
        <v>0</v>
      </c>
      <c r="AP1345">
        <f>IF(OR(AM1345="",AK1345="",AK1345=0),"",(AM1345-AN1345)/AK1345)</f>
        <v>0</v>
      </c>
      <c r="AQ1345">
        <f>IF(COUNT($E$2:$E1345)&lt;20,"",MAX($C$1326:$C$1345))</f>
        <v>0</v>
      </c>
      <c r="AR1345">
        <f>IF(COUNT($E$2:$E1345)&lt;20,"",MIN($D$1326:$D$1345))</f>
        <v>0</v>
      </c>
      <c r="AS1345">
        <f>IF(OR(AQ1345="",AR1345=""),"",(AQ1345+AR1345)/2)</f>
        <v>0</v>
      </c>
      <c r="AT1345">
        <f>IF(COUNT($G$1326:$G$1345)&lt;20,"",STDEV($G$1326:$G$1345)*SQRT(252))</f>
        <v>0</v>
      </c>
      <c r="AU1345">
        <f>IF(COUNT($E$2:$E1345)&lt;9,"",(MAX($C$1337:$C$1345)+MIN($D$1337:$D$1345))/2)</f>
        <v>0</v>
      </c>
      <c r="AV1345">
        <f>IF(COUNT($E$2:$E1345)&lt;26,"",(MAX($C$1320:$C$1345)+MIN($D$1320:$D$1345))/2)</f>
        <v>0</v>
      </c>
      <c r="AW1345">
        <f>IF(OR(AU1345="",AV1345=""),"",(AU1345+AV1345)/2)</f>
        <v>0</v>
      </c>
      <c r="AX1345">
        <f>IF(COUNT($E$2:$E1345)&lt;52,"",(MAX($C$1294:$C$1345)+MIN($D$1294:$D$1345))/2)</f>
        <v>0</v>
      </c>
      <c r="AY1345">
        <f>IF(COUNT($E$2:$E1345)&lt;20,"",MAX($C$1246:$C$1345))</f>
        <v>0</v>
      </c>
      <c r="AZ1345">
        <f>IF(COUNT($E$2:$E1345)&lt;20,"",MIN($D$1246:$D$1345))</f>
        <v>0</v>
      </c>
      <c r="BA1345">
        <f>IF(COUNT($E$2:$E1345)&lt;20,"",SLOPE($E$1246:$E$1345,$F$1246:$F$1345))</f>
        <v>0</v>
      </c>
      <c r="BB1345">
        <f>IF(COUNT($E$2:$E1345)&lt;20,"",INTERCEPT($E$1246:$E$1345,$F$1246:$F$1345))</f>
        <v>0</v>
      </c>
      <c r="BC1345">
        <f>IF(OR(BA1345="",BB1345=""),"",BB1345+BA1345*F1345)</f>
        <v>0</v>
      </c>
      <c r="BD1345">
        <f>IF(COUNT($E$2:$E1345)&lt;20,"",STEYX($E$1246:$E$1345,$F$1246:$F$1345))</f>
        <v>0</v>
      </c>
      <c r="BE1345">
        <f>IF($E1345="","",IF(AND(COUNT($E$1346:$E$1349)&gt;=4,$C1345=MAX($C$1341:$C$1349)),$C1345,""))</f>
        <v>0</v>
      </c>
      <c r="BF1345">
        <f>IF($E1345="","",IF(AND(COUNT($E$1346:$E$1349)&gt;=4,$D1345=MIN($D$1341:$D$1349)),$D1345,""))</f>
        <v>0</v>
      </c>
      <c r="BG1345">
        <f>IF($A1345="","",$A1345-WEEKDAY($A1345,2)+1)</f>
        <v>0</v>
      </c>
      <c r="BH1345">
        <f>IF($A1345="","",IF($A1344="",1,IF(BG1345&lt;&gt;BG1344,1,0)))</f>
        <v>0</v>
      </c>
      <c r="BI1345">
        <f>IF($A1345="","",IF($A1346="",1,IF(BG1346&lt;&gt;BG1345,1,0)))</f>
        <v>0</v>
      </c>
      <c r="BJ1345">
        <f>IF($A1345="","",IF(BH1345=1,$B1345,BJ1344))</f>
        <v>0</v>
      </c>
      <c r="BK1345">
        <f>IF($A1345="","",IF(BH1345=1,$C1345,MAX($C1345,BK1344)))</f>
        <v>0</v>
      </c>
      <c r="BL1345">
        <f>IF($A1345="","",IF(BH1345=1,$D1345,MIN($D1345,BL1344)))</f>
        <v>0</v>
      </c>
      <c r="BM1345">
        <f>IF($A1345="","",IF(BI1345=1,F1345,""))</f>
        <v>0</v>
      </c>
      <c r="BN1345">
        <f>IF($A1345="","",DATE(YEAR($A1345),MONTH($A1345),1))</f>
        <v>0</v>
      </c>
      <c r="BO1345">
        <f>IF($A1345="","",IF($A1344="",1,IF(BN1345&lt;&gt;BN1344,1,0)))</f>
        <v>0</v>
      </c>
      <c r="BP1345">
        <f>IF($A1345="","",IF($A1346="",1,IF(BN1346&lt;&gt;BN1345,1,0)))</f>
        <v>0</v>
      </c>
      <c r="BQ1345">
        <f>IF($A1345="","",IF(BO1345=1,$B1345,BQ1344))</f>
        <v>0</v>
      </c>
      <c r="BR1345">
        <f>IF($A1345="","",IF(BO1345=1,$C1345,MAX($C1345,BR1344)))</f>
        <v>0</v>
      </c>
      <c r="BS1345">
        <f>IF($A1345="","",IF(BO1345=1,$D1345,MIN($D1345,BS1344)))</f>
        <v>0</v>
      </c>
      <c r="BT1345">
        <f>IF($A1345="","",IF(BP1345=1,F1345,""))</f>
        <v>0</v>
      </c>
    </row>
    <row r="1346" spans="1:72">
      <c r="A1346" s="27">
        <f>IF(Data!$A1346="","",Data!$A1346)</f>
        <v>0</v>
      </c>
      <c r="B1346">
        <f>IF(Data!$B1346="","",Data!$B1346)</f>
        <v>0</v>
      </c>
      <c r="C1346">
        <f>IF(Data!$C1346="","",Data!$C1346)</f>
        <v>0</v>
      </c>
      <c r="D1346">
        <f>IF(Data!$D1346="","",Data!$D1346)</f>
        <v>0</v>
      </c>
      <c r="E1346">
        <f>IF(Data!$E1346="","",Data!$E1346)</f>
        <v>0</v>
      </c>
      <c r="F1346">
        <f>IF($E1346="","",N(F1345)+1)</f>
        <v>0</v>
      </c>
      <c r="G1346">
        <f>IF(OR($E1346="",$E1345=""),"",LN($E1346/$E1345))</f>
        <v>0</v>
      </c>
      <c r="H1346">
        <f>IF($E1346="","",IF($E1345="",$E1346,$E1346*0.0952380952+H1345*0.9047619048))</f>
        <v>0</v>
      </c>
      <c r="I1346">
        <f>IF($E1346="","",IF($E1345="",$E1346,$E1346*0.0392156863+I1345*0.9607843137))</f>
        <v>0</v>
      </c>
      <c r="J1346">
        <f>IF($E1346="","",IF($E1345="",$E1346,$E1346*0.0198019802+J1345*0.9801980198))</f>
        <v>0</v>
      </c>
      <c r="K1346">
        <f>IF($E1346="","",IF($E1345="",$E1346,$E1346*0.0099502488+K1345*0.9900497512))</f>
        <v>0</v>
      </c>
      <c r="L1346">
        <f>IF(OR($E1346="",$E1345=""),"",MAX($E1346-$E1345,0))</f>
        <v>0</v>
      </c>
      <c r="M1346">
        <f>IF(OR($E1346="",$E1345=""),"",MAX($E1345-$E1346,0))</f>
        <v>0</v>
      </c>
      <c r="N1346">
        <f>IF(COUNT($E$2:$E1346)&lt;15,"",IF(AVERAGE($M$1333:$M$1346)=0,100,100-100/(1+AVERAGE($L$1333:$L$1346)/AVERAGE($M$1333:$M$1346))))</f>
        <v>0</v>
      </c>
      <c r="O1346">
        <f>IF($E1346="","",IF($E1345="",$E1346,$E1346*0.1538461538+O1345*0.8461538462))</f>
        <v>0</v>
      </c>
      <c r="P1346">
        <f>IF($E1346="","",IF($E1345="",$E1346,$E1346*0.0740740741+P1345*0.9259259259))</f>
        <v>0</v>
      </c>
      <c r="Q1346">
        <f>IF(OR(O1346="",P1346=""),"",O1346-P1346)</f>
        <v>0</v>
      </c>
      <c r="R1346">
        <f>IF(Q1346="","",IF(R1345="",Q1346,Q1346*0.2000000000+R1345*0.8000000000))</f>
        <v>0</v>
      </c>
      <c r="S1346">
        <f>IF(OR(Q1346="",R1346=""),"",Q1346-R1346)</f>
        <v>0</v>
      </c>
      <c r="T1346">
        <f>IF(COUNT($E$2:$E1346)&lt;14,"",MAX($C$1333:$C$1346))</f>
        <v>0</v>
      </c>
      <c r="U1346">
        <f>IF(COUNT($E$2:$E1346)&lt;14,"",MIN($D$1333:$D$1346))</f>
        <v>0</v>
      </c>
      <c r="V1346">
        <f>IF(OR(T1346="",U1346="",T1346=U1346),"",100*($E1346-U1346)/(T1346-U1346))</f>
        <v>0</v>
      </c>
      <c r="W1346">
        <f>IF(COUNT($V$1344:$V$1346)&lt;3,"",AVERAGE($V$1344:$V$1346))</f>
        <v>0</v>
      </c>
      <c r="X1346">
        <f>IF(COUNT($N$1333:$N$1346)&lt;14,"",MIN($N$1333:$N$1346))</f>
        <v>0</v>
      </c>
      <c r="Y1346">
        <f>IF(COUNT($N$1333:$N$1346)&lt;14,"",MAX($N$1333:$N$1346))</f>
        <v>0</v>
      </c>
      <c r="Z1346">
        <f>IF(OR(N1346="",X1346="",Y1346="",Y1346=X1346),"",100*(N1346-X1346)/(Y1346-X1346))</f>
        <v>0</v>
      </c>
      <c r="AA1346">
        <f>IF(COUNT($Z$1344:$Z$1346)&lt;3,"",AVERAGE($Z$1344:$Z$1346))</f>
        <v>0</v>
      </c>
      <c r="AB1346">
        <f>IF(COUNT($AA$1344:$AA$1346)&lt;3,"",AVERAGE($AA$1344:$AA$1346))</f>
        <v>0</v>
      </c>
      <c r="AC1346">
        <f>IF($E1346="","",MAX($C1346-$D1346,ABS($C1346-$E1345),ABS($D1346-$E1345)))</f>
        <v>0</v>
      </c>
      <c r="AD1346">
        <f>IF(COUNT($E$2:$E1346)&lt;15,"",AVERAGE($AC$1333:$AC$1346))</f>
        <v>0</v>
      </c>
      <c r="AE1346">
        <f>IF(OR($E1346="",$E1345=""),"",IF(AND(($C1346-$C1345)&gt;($D1345-$D1346),($C1346-$C1345)&gt;0),$C1346-$C1345,0))</f>
        <v>0</v>
      </c>
      <c r="AF1346">
        <f>IF(OR($E1346="",$E1345=""),"",IF(AND(($D1345-$D1346)&gt;($C1346-$C1345),($D1345-$D1346)&gt;0),$D1345-$D1346,0))</f>
        <v>0</v>
      </c>
      <c r="AG1346">
        <f>IF(COUNT($E$2:$E1346)&lt;15,"",IF(SUM($AC$1333:$AC$1346)=0,0,100*SUM($AE$1333:$AE$1346)/SUM($AC$1333:$AC$1346)))</f>
        <v>0</v>
      </c>
      <c r="AH1346">
        <f>IF(COUNT($E$2:$E1346)&lt;15,"",IF(SUM($AC$1333:$AC$1346)=0,0,100*SUM($AF$1333:$AF$1346)/SUM($AC$1333:$AC$1346)))</f>
        <v>0</v>
      </c>
      <c r="AI1346">
        <f>IF(OR(AG1346="",AH1346=""),"",IF((AG1346+AH1346)=0,0,100*ABS(AG1346-AH1346)/(AG1346+AH1346)))</f>
        <v>0</v>
      </c>
      <c r="AJ1346">
        <f>IF(COUNT($AI$1333:$AI$1346)&lt;14,"",AVERAGE($AI$1333:$AI$1346))</f>
        <v>0</v>
      </c>
      <c r="AK1346">
        <f>IF(COUNT($E$2:$E1346)&lt;20,"",AVERAGE($E$1327:$E$1346))</f>
        <v>0</v>
      </c>
      <c r="AL1346">
        <f>IF(COUNT($E$2:$E1346)&lt;20,"",STDEVP($E$1327:$E$1346))</f>
        <v>0</v>
      </c>
      <c r="AM1346">
        <f>IF(AK1346="","",AK1346+2*AL1346)</f>
        <v>0</v>
      </c>
      <c r="AN1346">
        <f>IF(AK1346="","",AK1346-2*AL1346)</f>
        <v>0</v>
      </c>
      <c r="AO1346">
        <f>IF(OR(AM1346="",AN1346="",AM1346=AN1346),"",($E1346-AN1346)/(AM1346-AN1346))</f>
        <v>0</v>
      </c>
      <c r="AP1346">
        <f>IF(OR(AM1346="",AK1346="",AK1346=0),"",(AM1346-AN1346)/AK1346)</f>
        <v>0</v>
      </c>
      <c r="AQ1346">
        <f>IF(COUNT($E$2:$E1346)&lt;20,"",MAX($C$1327:$C$1346))</f>
        <v>0</v>
      </c>
      <c r="AR1346">
        <f>IF(COUNT($E$2:$E1346)&lt;20,"",MIN($D$1327:$D$1346))</f>
        <v>0</v>
      </c>
      <c r="AS1346">
        <f>IF(OR(AQ1346="",AR1346=""),"",(AQ1346+AR1346)/2)</f>
        <v>0</v>
      </c>
      <c r="AT1346">
        <f>IF(COUNT($G$1327:$G$1346)&lt;20,"",STDEV($G$1327:$G$1346)*SQRT(252))</f>
        <v>0</v>
      </c>
      <c r="AU1346">
        <f>IF(COUNT($E$2:$E1346)&lt;9,"",(MAX($C$1338:$C$1346)+MIN($D$1338:$D$1346))/2)</f>
        <v>0</v>
      </c>
      <c r="AV1346">
        <f>IF(COUNT($E$2:$E1346)&lt;26,"",(MAX($C$1321:$C$1346)+MIN($D$1321:$D$1346))/2)</f>
        <v>0</v>
      </c>
      <c r="AW1346">
        <f>IF(OR(AU1346="",AV1346=""),"",(AU1346+AV1346)/2)</f>
        <v>0</v>
      </c>
      <c r="AX1346">
        <f>IF(COUNT($E$2:$E1346)&lt;52,"",(MAX($C$1295:$C$1346)+MIN($D$1295:$D$1346))/2)</f>
        <v>0</v>
      </c>
      <c r="AY1346">
        <f>IF(COUNT($E$2:$E1346)&lt;20,"",MAX($C$1247:$C$1346))</f>
        <v>0</v>
      </c>
      <c r="AZ1346">
        <f>IF(COUNT($E$2:$E1346)&lt;20,"",MIN($D$1247:$D$1346))</f>
        <v>0</v>
      </c>
      <c r="BA1346">
        <f>IF(COUNT($E$2:$E1346)&lt;20,"",SLOPE($E$1247:$E$1346,$F$1247:$F$1346))</f>
        <v>0</v>
      </c>
      <c r="BB1346">
        <f>IF(COUNT($E$2:$E1346)&lt;20,"",INTERCEPT($E$1247:$E$1346,$F$1247:$F$1346))</f>
        <v>0</v>
      </c>
      <c r="BC1346">
        <f>IF(OR(BA1346="",BB1346=""),"",BB1346+BA1346*F1346)</f>
        <v>0</v>
      </c>
      <c r="BD1346">
        <f>IF(COUNT($E$2:$E1346)&lt;20,"",STEYX($E$1247:$E$1346,$F$1247:$F$1346))</f>
        <v>0</v>
      </c>
      <c r="BE1346">
        <f>IF($E1346="","",IF(AND(COUNT($E$1347:$E$1350)&gt;=4,$C1346=MAX($C$1342:$C$1350)),$C1346,""))</f>
        <v>0</v>
      </c>
      <c r="BF1346">
        <f>IF($E1346="","",IF(AND(COUNT($E$1347:$E$1350)&gt;=4,$D1346=MIN($D$1342:$D$1350)),$D1346,""))</f>
        <v>0</v>
      </c>
      <c r="BG1346">
        <f>IF($A1346="","",$A1346-WEEKDAY($A1346,2)+1)</f>
        <v>0</v>
      </c>
      <c r="BH1346">
        <f>IF($A1346="","",IF($A1345="",1,IF(BG1346&lt;&gt;BG1345,1,0)))</f>
        <v>0</v>
      </c>
      <c r="BI1346">
        <f>IF($A1346="","",IF($A1347="",1,IF(BG1347&lt;&gt;BG1346,1,0)))</f>
        <v>0</v>
      </c>
      <c r="BJ1346">
        <f>IF($A1346="","",IF(BH1346=1,$B1346,BJ1345))</f>
        <v>0</v>
      </c>
      <c r="BK1346">
        <f>IF($A1346="","",IF(BH1346=1,$C1346,MAX($C1346,BK1345)))</f>
        <v>0</v>
      </c>
      <c r="BL1346">
        <f>IF($A1346="","",IF(BH1346=1,$D1346,MIN($D1346,BL1345)))</f>
        <v>0</v>
      </c>
      <c r="BM1346">
        <f>IF($A1346="","",IF(BI1346=1,F1346,""))</f>
        <v>0</v>
      </c>
      <c r="BN1346">
        <f>IF($A1346="","",DATE(YEAR($A1346),MONTH($A1346),1))</f>
        <v>0</v>
      </c>
      <c r="BO1346">
        <f>IF($A1346="","",IF($A1345="",1,IF(BN1346&lt;&gt;BN1345,1,0)))</f>
        <v>0</v>
      </c>
      <c r="BP1346">
        <f>IF($A1346="","",IF($A1347="",1,IF(BN1347&lt;&gt;BN1346,1,0)))</f>
        <v>0</v>
      </c>
      <c r="BQ1346">
        <f>IF($A1346="","",IF(BO1346=1,$B1346,BQ1345))</f>
        <v>0</v>
      </c>
      <c r="BR1346">
        <f>IF($A1346="","",IF(BO1346=1,$C1346,MAX($C1346,BR1345)))</f>
        <v>0</v>
      </c>
      <c r="BS1346">
        <f>IF($A1346="","",IF(BO1346=1,$D1346,MIN($D1346,BS1345)))</f>
        <v>0</v>
      </c>
      <c r="BT1346">
        <f>IF($A1346="","",IF(BP1346=1,F1346,""))</f>
        <v>0</v>
      </c>
    </row>
    <row r="1347" spans="1:72">
      <c r="A1347" s="27">
        <f>IF(Data!$A1347="","",Data!$A1347)</f>
        <v>0</v>
      </c>
      <c r="B1347">
        <f>IF(Data!$B1347="","",Data!$B1347)</f>
        <v>0</v>
      </c>
      <c r="C1347">
        <f>IF(Data!$C1347="","",Data!$C1347)</f>
        <v>0</v>
      </c>
      <c r="D1347">
        <f>IF(Data!$D1347="","",Data!$D1347)</f>
        <v>0</v>
      </c>
      <c r="E1347">
        <f>IF(Data!$E1347="","",Data!$E1347)</f>
        <v>0</v>
      </c>
      <c r="F1347">
        <f>IF($E1347="","",N(F1346)+1)</f>
        <v>0</v>
      </c>
      <c r="G1347">
        <f>IF(OR($E1347="",$E1346=""),"",LN($E1347/$E1346))</f>
        <v>0</v>
      </c>
      <c r="H1347">
        <f>IF($E1347="","",IF($E1346="",$E1347,$E1347*0.0952380952+H1346*0.9047619048))</f>
        <v>0</v>
      </c>
      <c r="I1347">
        <f>IF($E1347="","",IF($E1346="",$E1347,$E1347*0.0392156863+I1346*0.9607843137))</f>
        <v>0</v>
      </c>
      <c r="J1347">
        <f>IF($E1347="","",IF($E1346="",$E1347,$E1347*0.0198019802+J1346*0.9801980198))</f>
        <v>0</v>
      </c>
      <c r="K1347">
        <f>IF($E1347="","",IF($E1346="",$E1347,$E1347*0.0099502488+K1346*0.9900497512))</f>
        <v>0</v>
      </c>
      <c r="L1347">
        <f>IF(OR($E1347="",$E1346=""),"",MAX($E1347-$E1346,0))</f>
        <v>0</v>
      </c>
      <c r="M1347">
        <f>IF(OR($E1347="",$E1346=""),"",MAX($E1346-$E1347,0))</f>
        <v>0</v>
      </c>
      <c r="N1347">
        <f>IF(COUNT($E$2:$E1347)&lt;15,"",IF(AVERAGE($M$1334:$M$1347)=0,100,100-100/(1+AVERAGE($L$1334:$L$1347)/AVERAGE($M$1334:$M$1347))))</f>
        <v>0</v>
      </c>
      <c r="O1347">
        <f>IF($E1347="","",IF($E1346="",$E1347,$E1347*0.1538461538+O1346*0.8461538462))</f>
        <v>0</v>
      </c>
      <c r="P1347">
        <f>IF($E1347="","",IF($E1346="",$E1347,$E1347*0.0740740741+P1346*0.9259259259))</f>
        <v>0</v>
      </c>
      <c r="Q1347">
        <f>IF(OR(O1347="",P1347=""),"",O1347-P1347)</f>
        <v>0</v>
      </c>
      <c r="R1347">
        <f>IF(Q1347="","",IF(R1346="",Q1347,Q1347*0.2000000000+R1346*0.8000000000))</f>
        <v>0</v>
      </c>
      <c r="S1347">
        <f>IF(OR(Q1347="",R1347=""),"",Q1347-R1347)</f>
        <v>0</v>
      </c>
      <c r="T1347">
        <f>IF(COUNT($E$2:$E1347)&lt;14,"",MAX($C$1334:$C$1347))</f>
        <v>0</v>
      </c>
      <c r="U1347">
        <f>IF(COUNT($E$2:$E1347)&lt;14,"",MIN($D$1334:$D$1347))</f>
        <v>0</v>
      </c>
      <c r="V1347">
        <f>IF(OR(T1347="",U1347="",T1347=U1347),"",100*($E1347-U1347)/(T1347-U1347))</f>
        <v>0</v>
      </c>
      <c r="W1347">
        <f>IF(COUNT($V$1345:$V$1347)&lt;3,"",AVERAGE($V$1345:$V$1347))</f>
        <v>0</v>
      </c>
      <c r="X1347">
        <f>IF(COUNT($N$1334:$N$1347)&lt;14,"",MIN($N$1334:$N$1347))</f>
        <v>0</v>
      </c>
      <c r="Y1347">
        <f>IF(COUNT($N$1334:$N$1347)&lt;14,"",MAX($N$1334:$N$1347))</f>
        <v>0</v>
      </c>
      <c r="Z1347">
        <f>IF(OR(N1347="",X1347="",Y1347="",Y1347=X1347),"",100*(N1347-X1347)/(Y1347-X1347))</f>
        <v>0</v>
      </c>
      <c r="AA1347">
        <f>IF(COUNT($Z$1345:$Z$1347)&lt;3,"",AVERAGE($Z$1345:$Z$1347))</f>
        <v>0</v>
      </c>
      <c r="AB1347">
        <f>IF(COUNT($AA$1345:$AA$1347)&lt;3,"",AVERAGE($AA$1345:$AA$1347))</f>
        <v>0</v>
      </c>
      <c r="AC1347">
        <f>IF($E1347="","",MAX($C1347-$D1347,ABS($C1347-$E1346),ABS($D1347-$E1346)))</f>
        <v>0</v>
      </c>
      <c r="AD1347">
        <f>IF(COUNT($E$2:$E1347)&lt;15,"",AVERAGE($AC$1334:$AC$1347))</f>
        <v>0</v>
      </c>
      <c r="AE1347">
        <f>IF(OR($E1347="",$E1346=""),"",IF(AND(($C1347-$C1346)&gt;($D1346-$D1347),($C1347-$C1346)&gt;0),$C1347-$C1346,0))</f>
        <v>0</v>
      </c>
      <c r="AF1347">
        <f>IF(OR($E1347="",$E1346=""),"",IF(AND(($D1346-$D1347)&gt;($C1347-$C1346),($D1346-$D1347)&gt;0),$D1346-$D1347,0))</f>
        <v>0</v>
      </c>
      <c r="AG1347">
        <f>IF(COUNT($E$2:$E1347)&lt;15,"",IF(SUM($AC$1334:$AC$1347)=0,0,100*SUM($AE$1334:$AE$1347)/SUM($AC$1334:$AC$1347)))</f>
        <v>0</v>
      </c>
      <c r="AH1347">
        <f>IF(COUNT($E$2:$E1347)&lt;15,"",IF(SUM($AC$1334:$AC$1347)=0,0,100*SUM($AF$1334:$AF$1347)/SUM($AC$1334:$AC$1347)))</f>
        <v>0</v>
      </c>
      <c r="AI1347">
        <f>IF(OR(AG1347="",AH1347=""),"",IF((AG1347+AH1347)=0,0,100*ABS(AG1347-AH1347)/(AG1347+AH1347)))</f>
        <v>0</v>
      </c>
      <c r="AJ1347">
        <f>IF(COUNT($AI$1334:$AI$1347)&lt;14,"",AVERAGE($AI$1334:$AI$1347))</f>
        <v>0</v>
      </c>
      <c r="AK1347">
        <f>IF(COUNT($E$2:$E1347)&lt;20,"",AVERAGE($E$1328:$E$1347))</f>
        <v>0</v>
      </c>
      <c r="AL1347">
        <f>IF(COUNT($E$2:$E1347)&lt;20,"",STDEVP($E$1328:$E$1347))</f>
        <v>0</v>
      </c>
      <c r="AM1347">
        <f>IF(AK1347="","",AK1347+2*AL1347)</f>
        <v>0</v>
      </c>
      <c r="AN1347">
        <f>IF(AK1347="","",AK1347-2*AL1347)</f>
        <v>0</v>
      </c>
      <c r="AO1347">
        <f>IF(OR(AM1347="",AN1347="",AM1347=AN1347),"",($E1347-AN1347)/(AM1347-AN1347))</f>
        <v>0</v>
      </c>
      <c r="AP1347">
        <f>IF(OR(AM1347="",AK1347="",AK1347=0),"",(AM1347-AN1347)/AK1347)</f>
        <v>0</v>
      </c>
      <c r="AQ1347">
        <f>IF(COUNT($E$2:$E1347)&lt;20,"",MAX($C$1328:$C$1347))</f>
        <v>0</v>
      </c>
      <c r="AR1347">
        <f>IF(COUNT($E$2:$E1347)&lt;20,"",MIN($D$1328:$D$1347))</f>
        <v>0</v>
      </c>
      <c r="AS1347">
        <f>IF(OR(AQ1347="",AR1347=""),"",(AQ1347+AR1347)/2)</f>
        <v>0</v>
      </c>
      <c r="AT1347">
        <f>IF(COUNT($G$1328:$G$1347)&lt;20,"",STDEV($G$1328:$G$1347)*SQRT(252))</f>
        <v>0</v>
      </c>
      <c r="AU1347">
        <f>IF(COUNT($E$2:$E1347)&lt;9,"",(MAX($C$1339:$C$1347)+MIN($D$1339:$D$1347))/2)</f>
        <v>0</v>
      </c>
      <c r="AV1347">
        <f>IF(COUNT($E$2:$E1347)&lt;26,"",(MAX($C$1322:$C$1347)+MIN($D$1322:$D$1347))/2)</f>
        <v>0</v>
      </c>
      <c r="AW1347">
        <f>IF(OR(AU1347="",AV1347=""),"",(AU1347+AV1347)/2)</f>
        <v>0</v>
      </c>
      <c r="AX1347">
        <f>IF(COUNT($E$2:$E1347)&lt;52,"",(MAX($C$1296:$C$1347)+MIN($D$1296:$D$1347))/2)</f>
        <v>0</v>
      </c>
      <c r="AY1347">
        <f>IF(COUNT($E$2:$E1347)&lt;20,"",MAX($C$1248:$C$1347))</f>
        <v>0</v>
      </c>
      <c r="AZ1347">
        <f>IF(COUNT($E$2:$E1347)&lt;20,"",MIN($D$1248:$D$1347))</f>
        <v>0</v>
      </c>
      <c r="BA1347">
        <f>IF(COUNT($E$2:$E1347)&lt;20,"",SLOPE($E$1248:$E$1347,$F$1248:$F$1347))</f>
        <v>0</v>
      </c>
      <c r="BB1347">
        <f>IF(COUNT($E$2:$E1347)&lt;20,"",INTERCEPT($E$1248:$E$1347,$F$1248:$F$1347))</f>
        <v>0</v>
      </c>
      <c r="BC1347">
        <f>IF(OR(BA1347="",BB1347=""),"",BB1347+BA1347*F1347)</f>
        <v>0</v>
      </c>
      <c r="BD1347">
        <f>IF(COUNT($E$2:$E1347)&lt;20,"",STEYX($E$1248:$E$1347,$F$1248:$F$1347))</f>
        <v>0</v>
      </c>
      <c r="BE1347">
        <f>IF($E1347="","",IF(AND(COUNT($E$1348:$E$1351)&gt;=4,$C1347=MAX($C$1343:$C$1351)),$C1347,""))</f>
        <v>0</v>
      </c>
      <c r="BF1347">
        <f>IF($E1347="","",IF(AND(COUNT($E$1348:$E$1351)&gt;=4,$D1347=MIN($D$1343:$D$1351)),$D1347,""))</f>
        <v>0</v>
      </c>
      <c r="BG1347">
        <f>IF($A1347="","",$A1347-WEEKDAY($A1347,2)+1)</f>
        <v>0</v>
      </c>
      <c r="BH1347">
        <f>IF($A1347="","",IF($A1346="",1,IF(BG1347&lt;&gt;BG1346,1,0)))</f>
        <v>0</v>
      </c>
      <c r="BI1347">
        <f>IF($A1347="","",IF($A1348="",1,IF(BG1348&lt;&gt;BG1347,1,0)))</f>
        <v>0</v>
      </c>
      <c r="BJ1347">
        <f>IF($A1347="","",IF(BH1347=1,$B1347,BJ1346))</f>
        <v>0</v>
      </c>
      <c r="BK1347">
        <f>IF($A1347="","",IF(BH1347=1,$C1347,MAX($C1347,BK1346)))</f>
        <v>0</v>
      </c>
      <c r="BL1347">
        <f>IF($A1347="","",IF(BH1347=1,$D1347,MIN($D1347,BL1346)))</f>
        <v>0</v>
      </c>
      <c r="BM1347">
        <f>IF($A1347="","",IF(BI1347=1,F1347,""))</f>
        <v>0</v>
      </c>
      <c r="BN1347">
        <f>IF($A1347="","",DATE(YEAR($A1347),MONTH($A1347),1))</f>
        <v>0</v>
      </c>
      <c r="BO1347">
        <f>IF($A1347="","",IF($A1346="",1,IF(BN1347&lt;&gt;BN1346,1,0)))</f>
        <v>0</v>
      </c>
      <c r="BP1347">
        <f>IF($A1347="","",IF($A1348="",1,IF(BN1348&lt;&gt;BN1347,1,0)))</f>
        <v>0</v>
      </c>
      <c r="BQ1347">
        <f>IF($A1347="","",IF(BO1347=1,$B1347,BQ1346))</f>
        <v>0</v>
      </c>
      <c r="BR1347">
        <f>IF($A1347="","",IF(BO1347=1,$C1347,MAX($C1347,BR1346)))</f>
        <v>0</v>
      </c>
      <c r="BS1347">
        <f>IF($A1347="","",IF(BO1347=1,$D1347,MIN($D1347,BS1346)))</f>
        <v>0</v>
      </c>
      <c r="BT1347">
        <f>IF($A1347="","",IF(BP1347=1,F1347,""))</f>
        <v>0</v>
      </c>
    </row>
    <row r="1348" spans="1:72">
      <c r="A1348" s="27">
        <f>IF(Data!$A1348="","",Data!$A1348)</f>
        <v>0</v>
      </c>
      <c r="B1348">
        <f>IF(Data!$B1348="","",Data!$B1348)</f>
        <v>0</v>
      </c>
      <c r="C1348">
        <f>IF(Data!$C1348="","",Data!$C1348)</f>
        <v>0</v>
      </c>
      <c r="D1348">
        <f>IF(Data!$D1348="","",Data!$D1348)</f>
        <v>0</v>
      </c>
      <c r="E1348">
        <f>IF(Data!$E1348="","",Data!$E1348)</f>
        <v>0</v>
      </c>
      <c r="F1348">
        <f>IF($E1348="","",N(F1347)+1)</f>
        <v>0</v>
      </c>
      <c r="G1348">
        <f>IF(OR($E1348="",$E1347=""),"",LN($E1348/$E1347))</f>
        <v>0</v>
      </c>
      <c r="H1348">
        <f>IF($E1348="","",IF($E1347="",$E1348,$E1348*0.0952380952+H1347*0.9047619048))</f>
        <v>0</v>
      </c>
      <c r="I1348">
        <f>IF($E1348="","",IF($E1347="",$E1348,$E1348*0.0392156863+I1347*0.9607843137))</f>
        <v>0</v>
      </c>
      <c r="J1348">
        <f>IF($E1348="","",IF($E1347="",$E1348,$E1348*0.0198019802+J1347*0.9801980198))</f>
        <v>0</v>
      </c>
      <c r="K1348">
        <f>IF($E1348="","",IF($E1347="",$E1348,$E1348*0.0099502488+K1347*0.9900497512))</f>
        <v>0</v>
      </c>
      <c r="L1348">
        <f>IF(OR($E1348="",$E1347=""),"",MAX($E1348-$E1347,0))</f>
        <v>0</v>
      </c>
      <c r="M1348">
        <f>IF(OR($E1348="",$E1347=""),"",MAX($E1347-$E1348,0))</f>
        <v>0</v>
      </c>
      <c r="N1348">
        <f>IF(COUNT($E$2:$E1348)&lt;15,"",IF(AVERAGE($M$1335:$M$1348)=0,100,100-100/(1+AVERAGE($L$1335:$L$1348)/AVERAGE($M$1335:$M$1348))))</f>
        <v>0</v>
      </c>
      <c r="O1348">
        <f>IF($E1348="","",IF($E1347="",$E1348,$E1348*0.1538461538+O1347*0.8461538462))</f>
        <v>0</v>
      </c>
      <c r="P1348">
        <f>IF($E1348="","",IF($E1347="",$E1348,$E1348*0.0740740741+P1347*0.9259259259))</f>
        <v>0</v>
      </c>
      <c r="Q1348">
        <f>IF(OR(O1348="",P1348=""),"",O1348-P1348)</f>
        <v>0</v>
      </c>
      <c r="R1348">
        <f>IF(Q1348="","",IF(R1347="",Q1348,Q1348*0.2000000000+R1347*0.8000000000))</f>
        <v>0</v>
      </c>
      <c r="S1348">
        <f>IF(OR(Q1348="",R1348=""),"",Q1348-R1348)</f>
        <v>0</v>
      </c>
      <c r="T1348">
        <f>IF(COUNT($E$2:$E1348)&lt;14,"",MAX($C$1335:$C$1348))</f>
        <v>0</v>
      </c>
      <c r="U1348">
        <f>IF(COUNT($E$2:$E1348)&lt;14,"",MIN($D$1335:$D$1348))</f>
        <v>0</v>
      </c>
      <c r="V1348">
        <f>IF(OR(T1348="",U1348="",T1348=U1348),"",100*($E1348-U1348)/(T1348-U1348))</f>
        <v>0</v>
      </c>
      <c r="W1348">
        <f>IF(COUNT($V$1346:$V$1348)&lt;3,"",AVERAGE($V$1346:$V$1348))</f>
        <v>0</v>
      </c>
      <c r="X1348">
        <f>IF(COUNT($N$1335:$N$1348)&lt;14,"",MIN($N$1335:$N$1348))</f>
        <v>0</v>
      </c>
      <c r="Y1348">
        <f>IF(COUNT($N$1335:$N$1348)&lt;14,"",MAX($N$1335:$N$1348))</f>
        <v>0</v>
      </c>
      <c r="Z1348">
        <f>IF(OR(N1348="",X1348="",Y1348="",Y1348=X1348),"",100*(N1348-X1348)/(Y1348-X1348))</f>
        <v>0</v>
      </c>
      <c r="AA1348">
        <f>IF(COUNT($Z$1346:$Z$1348)&lt;3,"",AVERAGE($Z$1346:$Z$1348))</f>
        <v>0</v>
      </c>
      <c r="AB1348">
        <f>IF(COUNT($AA$1346:$AA$1348)&lt;3,"",AVERAGE($AA$1346:$AA$1348))</f>
        <v>0</v>
      </c>
      <c r="AC1348">
        <f>IF($E1348="","",MAX($C1348-$D1348,ABS($C1348-$E1347),ABS($D1348-$E1347)))</f>
        <v>0</v>
      </c>
      <c r="AD1348">
        <f>IF(COUNT($E$2:$E1348)&lt;15,"",AVERAGE($AC$1335:$AC$1348))</f>
        <v>0</v>
      </c>
      <c r="AE1348">
        <f>IF(OR($E1348="",$E1347=""),"",IF(AND(($C1348-$C1347)&gt;($D1347-$D1348),($C1348-$C1347)&gt;0),$C1348-$C1347,0))</f>
        <v>0</v>
      </c>
      <c r="AF1348">
        <f>IF(OR($E1348="",$E1347=""),"",IF(AND(($D1347-$D1348)&gt;($C1348-$C1347),($D1347-$D1348)&gt;0),$D1347-$D1348,0))</f>
        <v>0</v>
      </c>
      <c r="AG1348">
        <f>IF(COUNT($E$2:$E1348)&lt;15,"",IF(SUM($AC$1335:$AC$1348)=0,0,100*SUM($AE$1335:$AE$1348)/SUM($AC$1335:$AC$1348)))</f>
        <v>0</v>
      </c>
      <c r="AH1348">
        <f>IF(COUNT($E$2:$E1348)&lt;15,"",IF(SUM($AC$1335:$AC$1348)=0,0,100*SUM($AF$1335:$AF$1348)/SUM($AC$1335:$AC$1348)))</f>
        <v>0</v>
      </c>
      <c r="AI1348">
        <f>IF(OR(AG1348="",AH1348=""),"",IF((AG1348+AH1348)=0,0,100*ABS(AG1348-AH1348)/(AG1348+AH1348)))</f>
        <v>0</v>
      </c>
      <c r="AJ1348">
        <f>IF(COUNT($AI$1335:$AI$1348)&lt;14,"",AVERAGE($AI$1335:$AI$1348))</f>
        <v>0</v>
      </c>
      <c r="AK1348">
        <f>IF(COUNT($E$2:$E1348)&lt;20,"",AVERAGE($E$1329:$E$1348))</f>
        <v>0</v>
      </c>
      <c r="AL1348">
        <f>IF(COUNT($E$2:$E1348)&lt;20,"",STDEVP($E$1329:$E$1348))</f>
        <v>0</v>
      </c>
      <c r="AM1348">
        <f>IF(AK1348="","",AK1348+2*AL1348)</f>
        <v>0</v>
      </c>
      <c r="AN1348">
        <f>IF(AK1348="","",AK1348-2*AL1348)</f>
        <v>0</v>
      </c>
      <c r="AO1348">
        <f>IF(OR(AM1348="",AN1348="",AM1348=AN1348),"",($E1348-AN1348)/(AM1348-AN1348))</f>
        <v>0</v>
      </c>
      <c r="AP1348">
        <f>IF(OR(AM1348="",AK1348="",AK1348=0),"",(AM1348-AN1348)/AK1348)</f>
        <v>0</v>
      </c>
      <c r="AQ1348">
        <f>IF(COUNT($E$2:$E1348)&lt;20,"",MAX($C$1329:$C$1348))</f>
        <v>0</v>
      </c>
      <c r="AR1348">
        <f>IF(COUNT($E$2:$E1348)&lt;20,"",MIN($D$1329:$D$1348))</f>
        <v>0</v>
      </c>
      <c r="AS1348">
        <f>IF(OR(AQ1348="",AR1348=""),"",(AQ1348+AR1348)/2)</f>
        <v>0</v>
      </c>
      <c r="AT1348">
        <f>IF(COUNT($G$1329:$G$1348)&lt;20,"",STDEV($G$1329:$G$1348)*SQRT(252))</f>
        <v>0</v>
      </c>
      <c r="AU1348">
        <f>IF(COUNT($E$2:$E1348)&lt;9,"",(MAX($C$1340:$C$1348)+MIN($D$1340:$D$1348))/2)</f>
        <v>0</v>
      </c>
      <c r="AV1348">
        <f>IF(COUNT($E$2:$E1348)&lt;26,"",(MAX($C$1323:$C$1348)+MIN($D$1323:$D$1348))/2)</f>
        <v>0</v>
      </c>
      <c r="AW1348">
        <f>IF(OR(AU1348="",AV1348=""),"",(AU1348+AV1348)/2)</f>
        <v>0</v>
      </c>
      <c r="AX1348">
        <f>IF(COUNT($E$2:$E1348)&lt;52,"",(MAX($C$1297:$C$1348)+MIN($D$1297:$D$1348))/2)</f>
        <v>0</v>
      </c>
      <c r="AY1348">
        <f>IF(COUNT($E$2:$E1348)&lt;20,"",MAX($C$1249:$C$1348))</f>
        <v>0</v>
      </c>
      <c r="AZ1348">
        <f>IF(COUNT($E$2:$E1348)&lt;20,"",MIN($D$1249:$D$1348))</f>
        <v>0</v>
      </c>
      <c r="BA1348">
        <f>IF(COUNT($E$2:$E1348)&lt;20,"",SLOPE($E$1249:$E$1348,$F$1249:$F$1348))</f>
        <v>0</v>
      </c>
      <c r="BB1348">
        <f>IF(COUNT($E$2:$E1348)&lt;20,"",INTERCEPT($E$1249:$E$1348,$F$1249:$F$1348))</f>
        <v>0</v>
      </c>
      <c r="BC1348">
        <f>IF(OR(BA1348="",BB1348=""),"",BB1348+BA1348*F1348)</f>
        <v>0</v>
      </c>
      <c r="BD1348">
        <f>IF(COUNT($E$2:$E1348)&lt;20,"",STEYX($E$1249:$E$1348,$F$1249:$F$1348))</f>
        <v>0</v>
      </c>
      <c r="BE1348">
        <f>IF($E1348="","",IF(AND(COUNT($E$1349:$E$1352)&gt;=4,$C1348=MAX($C$1344:$C$1352)),$C1348,""))</f>
        <v>0</v>
      </c>
      <c r="BF1348">
        <f>IF($E1348="","",IF(AND(COUNT($E$1349:$E$1352)&gt;=4,$D1348=MIN($D$1344:$D$1352)),$D1348,""))</f>
        <v>0</v>
      </c>
      <c r="BG1348">
        <f>IF($A1348="","",$A1348-WEEKDAY($A1348,2)+1)</f>
        <v>0</v>
      </c>
      <c r="BH1348">
        <f>IF($A1348="","",IF($A1347="",1,IF(BG1348&lt;&gt;BG1347,1,0)))</f>
        <v>0</v>
      </c>
      <c r="BI1348">
        <f>IF($A1348="","",IF($A1349="",1,IF(BG1349&lt;&gt;BG1348,1,0)))</f>
        <v>0</v>
      </c>
      <c r="BJ1348">
        <f>IF($A1348="","",IF(BH1348=1,$B1348,BJ1347))</f>
        <v>0</v>
      </c>
      <c r="BK1348">
        <f>IF($A1348="","",IF(BH1348=1,$C1348,MAX($C1348,BK1347)))</f>
        <v>0</v>
      </c>
      <c r="BL1348">
        <f>IF($A1348="","",IF(BH1348=1,$D1348,MIN($D1348,BL1347)))</f>
        <v>0</v>
      </c>
      <c r="BM1348">
        <f>IF($A1348="","",IF(BI1348=1,F1348,""))</f>
        <v>0</v>
      </c>
      <c r="BN1348">
        <f>IF($A1348="","",DATE(YEAR($A1348),MONTH($A1348),1))</f>
        <v>0</v>
      </c>
      <c r="BO1348">
        <f>IF($A1348="","",IF($A1347="",1,IF(BN1348&lt;&gt;BN1347,1,0)))</f>
        <v>0</v>
      </c>
      <c r="BP1348">
        <f>IF($A1348="","",IF($A1349="",1,IF(BN1349&lt;&gt;BN1348,1,0)))</f>
        <v>0</v>
      </c>
      <c r="BQ1348">
        <f>IF($A1348="","",IF(BO1348=1,$B1348,BQ1347))</f>
        <v>0</v>
      </c>
      <c r="BR1348">
        <f>IF($A1348="","",IF(BO1348=1,$C1348,MAX($C1348,BR1347)))</f>
        <v>0</v>
      </c>
      <c r="BS1348">
        <f>IF($A1348="","",IF(BO1348=1,$D1348,MIN($D1348,BS1347)))</f>
        <v>0</v>
      </c>
      <c r="BT1348">
        <f>IF($A1348="","",IF(BP1348=1,F1348,""))</f>
        <v>0</v>
      </c>
    </row>
    <row r="1349" spans="1:72">
      <c r="A1349" s="27">
        <f>IF(Data!$A1349="","",Data!$A1349)</f>
        <v>0</v>
      </c>
      <c r="B1349">
        <f>IF(Data!$B1349="","",Data!$B1349)</f>
        <v>0</v>
      </c>
      <c r="C1349">
        <f>IF(Data!$C1349="","",Data!$C1349)</f>
        <v>0</v>
      </c>
      <c r="D1349">
        <f>IF(Data!$D1349="","",Data!$D1349)</f>
        <v>0</v>
      </c>
      <c r="E1349">
        <f>IF(Data!$E1349="","",Data!$E1349)</f>
        <v>0</v>
      </c>
      <c r="F1349">
        <f>IF($E1349="","",N(F1348)+1)</f>
        <v>0</v>
      </c>
      <c r="G1349">
        <f>IF(OR($E1349="",$E1348=""),"",LN($E1349/$E1348))</f>
        <v>0</v>
      </c>
      <c r="H1349">
        <f>IF($E1349="","",IF($E1348="",$E1349,$E1349*0.0952380952+H1348*0.9047619048))</f>
        <v>0</v>
      </c>
      <c r="I1349">
        <f>IF($E1349="","",IF($E1348="",$E1349,$E1349*0.0392156863+I1348*0.9607843137))</f>
        <v>0</v>
      </c>
      <c r="J1349">
        <f>IF($E1349="","",IF($E1348="",$E1349,$E1349*0.0198019802+J1348*0.9801980198))</f>
        <v>0</v>
      </c>
      <c r="K1349">
        <f>IF($E1349="","",IF($E1348="",$E1349,$E1349*0.0099502488+K1348*0.9900497512))</f>
        <v>0</v>
      </c>
      <c r="L1349">
        <f>IF(OR($E1349="",$E1348=""),"",MAX($E1349-$E1348,0))</f>
        <v>0</v>
      </c>
      <c r="M1349">
        <f>IF(OR($E1349="",$E1348=""),"",MAX($E1348-$E1349,0))</f>
        <v>0</v>
      </c>
      <c r="N1349">
        <f>IF(COUNT($E$2:$E1349)&lt;15,"",IF(AVERAGE($M$1336:$M$1349)=0,100,100-100/(1+AVERAGE($L$1336:$L$1349)/AVERAGE($M$1336:$M$1349))))</f>
        <v>0</v>
      </c>
      <c r="O1349">
        <f>IF($E1349="","",IF($E1348="",$E1349,$E1349*0.1538461538+O1348*0.8461538462))</f>
        <v>0</v>
      </c>
      <c r="P1349">
        <f>IF($E1349="","",IF($E1348="",$E1349,$E1349*0.0740740741+P1348*0.9259259259))</f>
        <v>0</v>
      </c>
      <c r="Q1349">
        <f>IF(OR(O1349="",P1349=""),"",O1349-P1349)</f>
        <v>0</v>
      </c>
      <c r="R1349">
        <f>IF(Q1349="","",IF(R1348="",Q1349,Q1349*0.2000000000+R1348*0.8000000000))</f>
        <v>0</v>
      </c>
      <c r="S1349">
        <f>IF(OR(Q1349="",R1349=""),"",Q1349-R1349)</f>
        <v>0</v>
      </c>
      <c r="T1349">
        <f>IF(COUNT($E$2:$E1349)&lt;14,"",MAX($C$1336:$C$1349))</f>
        <v>0</v>
      </c>
      <c r="U1349">
        <f>IF(COUNT($E$2:$E1349)&lt;14,"",MIN($D$1336:$D$1349))</f>
        <v>0</v>
      </c>
      <c r="V1349">
        <f>IF(OR(T1349="",U1349="",T1349=U1349),"",100*($E1349-U1349)/(T1349-U1349))</f>
        <v>0</v>
      </c>
      <c r="W1349">
        <f>IF(COUNT($V$1347:$V$1349)&lt;3,"",AVERAGE($V$1347:$V$1349))</f>
        <v>0</v>
      </c>
      <c r="X1349">
        <f>IF(COUNT($N$1336:$N$1349)&lt;14,"",MIN($N$1336:$N$1349))</f>
        <v>0</v>
      </c>
      <c r="Y1349">
        <f>IF(COUNT($N$1336:$N$1349)&lt;14,"",MAX($N$1336:$N$1349))</f>
        <v>0</v>
      </c>
      <c r="Z1349">
        <f>IF(OR(N1349="",X1349="",Y1349="",Y1349=X1349),"",100*(N1349-X1349)/(Y1349-X1349))</f>
        <v>0</v>
      </c>
      <c r="AA1349">
        <f>IF(COUNT($Z$1347:$Z$1349)&lt;3,"",AVERAGE($Z$1347:$Z$1349))</f>
        <v>0</v>
      </c>
      <c r="AB1349">
        <f>IF(COUNT($AA$1347:$AA$1349)&lt;3,"",AVERAGE($AA$1347:$AA$1349))</f>
        <v>0</v>
      </c>
      <c r="AC1349">
        <f>IF($E1349="","",MAX($C1349-$D1349,ABS($C1349-$E1348),ABS($D1349-$E1348)))</f>
        <v>0</v>
      </c>
      <c r="AD1349">
        <f>IF(COUNT($E$2:$E1349)&lt;15,"",AVERAGE($AC$1336:$AC$1349))</f>
        <v>0</v>
      </c>
      <c r="AE1349">
        <f>IF(OR($E1349="",$E1348=""),"",IF(AND(($C1349-$C1348)&gt;($D1348-$D1349),($C1349-$C1348)&gt;0),$C1349-$C1348,0))</f>
        <v>0</v>
      </c>
      <c r="AF1349">
        <f>IF(OR($E1349="",$E1348=""),"",IF(AND(($D1348-$D1349)&gt;($C1349-$C1348),($D1348-$D1349)&gt;0),$D1348-$D1349,0))</f>
        <v>0</v>
      </c>
      <c r="AG1349">
        <f>IF(COUNT($E$2:$E1349)&lt;15,"",IF(SUM($AC$1336:$AC$1349)=0,0,100*SUM($AE$1336:$AE$1349)/SUM($AC$1336:$AC$1349)))</f>
        <v>0</v>
      </c>
      <c r="AH1349">
        <f>IF(COUNT($E$2:$E1349)&lt;15,"",IF(SUM($AC$1336:$AC$1349)=0,0,100*SUM($AF$1336:$AF$1349)/SUM($AC$1336:$AC$1349)))</f>
        <v>0</v>
      </c>
      <c r="AI1349">
        <f>IF(OR(AG1349="",AH1349=""),"",IF((AG1349+AH1349)=0,0,100*ABS(AG1349-AH1349)/(AG1349+AH1349)))</f>
        <v>0</v>
      </c>
      <c r="AJ1349">
        <f>IF(COUNT($AI$1336:$AI$1349)&lt;14,"",AVERAGE($AI$1336:$AI$1349))</f>
        <v>0</v>
      </c>
      <c r="AK1349">
        <f>IF(COUNT($E$2:$E1349)&lt;20,"",AVERAGE($E$1330:$E$1349))</f>
        <v>0</v>
      </c>
      <c r="AL1349">
        <f>IF(COUNT($E$2:$E1349)&lt;20,"",STDEVP($E$1330:$E$1349))</f>
        <v>0</v>
      </c>
      <c r="AM1349">
        <f>IF(AK1349="","",AK1349+2*AL1349)</f>
        <v>0</v>
      </c>
      <c r="AN1349">
        <f>IF(AK1349="","",AK1349-2*AL1349)</f>
        <v>0</v>
      </c>
      <c r="AO1349">
        <f>IF(OR(AM1349="",AN1349="",AM1349=AN1349),"",($E1349-AN1349)/(AM1349-AN1349))</f>
        <v>0</v>
      </c>
      <c r="AP1349">
        <f>IF(OR(AM1349="",AK1349="",AK1349=0),"",(AM1349-AN1349)/AK1349)</f>
        <v>0</v>
      </c>
      <c r="AQ1349">
        <f>IF(COUNT($E$2:$E1349)&lt;20,"",MAX($C$1330:$C$1349))</f>
        <v>0</v>
      </c>
      <c r="AR1349">
        <f>IF(COUNT($E$2:$E1349)&lt;20,"",MIN($D$1330:$D$1349))</f>
        <v>0</v>
      </c>
      <c r="AS1349">
        <f>IF(OR(AQ1349="",AR1349=""),"",(AQ1349+AR1349)/2)</f>
        <v>0</v>
      </c>
      <c r="AT1349">
        <f>IF(COUNT($G$1330:$G$1349)&lt;20,"",STDEV($G$1330:$G$1349)*SQRT(252))</f>
        <v>0</v>
      </c>
      <c r="AU1349">
        <f>IF(COUNT($E$2:$E1349)&lt;9,"",(MAX($C$1341:$C$1349)+MIN($D$1341:$D$1349))/2)</f>
        <v>0</v>
      </c>
      <c r="AV1349">
        <f>IF(COUNT($E$2:$E1349)&lt;26,"",(MAX($C$1324:$C$1349)+MIN($D$1324:$D$1349))/2)</f>
        <v>0</v>
      </c>
      <c r="AW1349">
        <f>IF(OR(AU1349="",AV1349=""),"",(AU1349+AV1349)/2)</f>
        <v>0</v>
      </c>
      <c r="AX1349">
        <f>IF(COUNT($E$2:$E1349)&lt;52,"",(MAX($C$1298:$C$1349)+MIN($D$1298:$D$1349))/2)</f>
        <v>0</v>
      </c>
      <c r="AY1349">
        <f>IF(COUNT($E$2:$E1349)&lt;20,"",MAX($C$1250:$C$1349))</f>
        <v>0</v>
      </c>
      <c r="AZ1349">
        <f>IF(COUNT($E$2:$E1349)&lt;20,"",MIN($D$1250:$D$1349))</f>
        <v>0</v>
      </c>
      <c r="BA1349">
        <f>IF(COUNT($E$2:$E1349)&lt;20,"",SLOPE($E$1250:$E$1349,$F$1250:$F$1349))</f>
        <v>0</v>
      </c>
      <c r="BB1349">
        <f>IF(COUNT($E$2:$E1349)&lt;20,"",INTERCEPT($E$1250:$E$1349,$F$1250:$F$1349))</f>
        <v>0</v>
      </c>
      <c r="BC1349">
        <f>IF(OR(BA1349="",BB1349=""),"",BB1349+BA1349*F1349)</f>
        <v>0</v>
      </c>
      <c r="BD1349">
        <f>IF(COUNT($E$2:$E1349)&lt;20,"",STEYX($E$1250:$E$1349,$F$1250:$F$1349))</f>
        <v>0</v>
      </c>
      <c r="BE1349">
        <f>IF($E1349="","",IF(AND(COUNT($E$1350:$E$1353)&gt;=4,$C1349=MAX($C$1345:$C$1353)),$C1349,""))</f>
        <v>0</v>
      </c>
      <c r="BF1349">
        <f>IF($E1349="","",IF(AND(COUNT($E$1350:$E$1353)&gt;=4,$D1349=MIN($D$1345:$D$1353)),$D1349,""))</f>
        <v>0</v>
      </c>
      <c r="BG1349">
        <f>IF($A1349="","",$A1349-WEEKDAY($A1349,2)+1)</f>
        <v>0</v>
      </c>
      <c r="BH1349">
        <f>IF($A1349="","",IF($A1348="",1,IF(BG1349&lt;&gt;BG1348,1,0)))</f>
        <v>0</v>
      </c>
      <c r="BI1349">
        <f>IF($A1349="","",IF($A1350="",1,IF(BG1350&lt;&gt;BG1349,1,0)))</f>
        <v>0</v>
      </c>
      <c r="BJ1349">
        <f>IF($A1349="","",IF(BH1349=1,$B1349,BJ1348))</f>
        <v>0</v>
      </c>
      <c r="BK1349">
        <f>IF($A1349="","",IF(BH1349=1,$C1349,MAX($C1349,BK1348)))</f>
        <v>0</v>
      </c>
      <c r="BL1349">
        <f>IF($A1349="","",IF(BH1349=1,$D1349,MIN($D1349,BL1348)))</f>
        <v>0</v>
      </c>
      <c r="BM1349">
        <f>IF($A1349="","",IF(BI1349=1,F1349,""))</f>
        <v>0</v>
      </c>
      <c r="BN1349">
        <f>IF($A1349="","",DATE(YEAR($A1349),MONTH($A1349),1))</f>
        <v>0</v>
      </c>
      <c r="BO1349">
        <f>IF($A1349="","",IF($A1348="",1,IF(BN1349&lt;&gt;BN1348,1,0)))</f>
        <v>0</v>
      </c>
      <c r="BP1349">
        <f>IF($A1349="","",IF($A1350="",1,IF(BN1350&lt;&gt;BN1349,1,0)))</f>
        <v>0</v>
      </c>
      <c r="BQ1349">
        <f>IF($A1349="","",IF(BO1349=1,$B1349,BQ1348))</f>
        <v>0</v>
      </c>
      <c r="BR1349">
        <f>IF($A1349="","",IF(BO1349=1,$C1349,MAX($C1349,BR1348)))</f>
        <v>0</v>
      </c>
      <c r="BS1349">
        <f>IF($A1349="","",IF(BO1349=1,$D1349,MIN($D1349,BS1348)))</f>
        <v>0</v>
      </c>
      <c r="BT1349">
        <f>IF($A1349="","",IF(BP1349=1,F1349,""))</f>
        <v>0</v>
      </c>
    </row>
    <row r="1350" spans="1:72">
      <c r="A1350" s="27">
        <f>IF(Data!$A1350="","",Data!$A1350)</f>
        <v>0</v>
      </c>
      <c r="B1350">
        <f>IF(Data!$B1350="","",Data!$B1350)</f>
        <v>0</v>
      </c>
      <c r="C1350">
        <f>IF(Data!$C1350="","",Data!$C1350)</f>
        <v>0</v>
      </c>
      <c r="D1350">
        <f>IF(Data!$D1350="","",Data!$D1350)</f>
        <v>0</v>
      </c>
      <c r="E1350">
        <f>IF(Data!$E1350="","",Data!$E1350)</f>
        <v>0</v>
      </c>
      <c r="F1350">
        <f>IF($E1350="","",N(F1349)+1)</f>
        <v>0</v>
      </c>
      <c r="G1350">
        <f>IF(OR($E1350="",$E1349=""),"",LN($E1350/$E1349))</f>
        <v>0</v>
      </c>
      <c r="H1350">
        <f>IF($E1350="","",IF($E1349="",$E1350,$E1350*0.0952380952+H1349*0.9047619048))</f>
        <v>0</v>
      </c>
      <c r="I1350">
        <f>IF($E1350="","",IF($E1349="",$E1350,$E1350*0.0392156863+I1349*0.9607843137))</f>
        <v>0</v>
      </c>
      <c r="J1350">
        <f>IF($E1350="","",IF($E1349="",$E1350,$E1350*0.0198019802+J1349*0.9801980198))</f>
        <v>0</v>
      </c>
      <c r="K1350">
        <f>IF($E1350="","",IF($E1349="",$E1350,$E1350*0.0099502488+K1349*0.9900497512))</f>
        <v>0</v>
      </c>
      <c r="L1350">
        <f>IF(OR($E1350="",$E1349=""),"",MAX($E1350-$E1349,0))</f>
        <v>0</v>
      </c>
      <c r="M1350">
        <f>IF(OR($E1350="",$E1349=""),"",MAX($E1349-$E1350,0))</f>
        <v>0</v>
      </c>
      <c r="N1350">
        <f>IF(COUNT($E$2:$E1350)&lt;15,"",IF(AVERAGE($M$1337:$M$1350)=0,100,100-100/(1+AVERAGE($L$1337:$L$1350)/AVERAGE($M$1337:$M$1350))))</f>
        <v>0</v>
      </c>
      <c r="O1350">
        <f>IF($E1350="","",IF($E1349="",$E1350,$E1350*0.1538461538+O1349*0.8461538462))</f>
        <v>0</v>
      </c>
      <c r="P1350">
        <f>IF($E1350="","",IF($E1349="",$E1350,$E1350*0.0740740741+P1349*0.9259259259))</f>
        <v>0</v>
      </c>
      <c r="Q1350">
        <f>IF(OR(O1350="",P1350=""),"",O1350-P1350)</f>
        <v>0</v>
      </c>
      <c r="R1350">
        <f>IF(Q1350="","",IF(R1349="",Q1350,Q1350*0.2000000000+R1349*0.8000000000))</f>
        <v>0</v>
      </c>
      <c r="S1350">
        <f>IF(OR(Q1350="",R1350=""),"",Q1350-R1350)</f>
        <v>0</v>
      </c>
      <c r="T1350">
        <f>IF(COUNT($E$2:$E1350)&lt;14,"",MAX($C$1337:$C$1350))</f>
        <v>0</v>
      </c>
      <c r="U1350">
        <f>IF(COUNT($E$2:$E1350)&lt;14,"",MIN($D$1337:$D$1350))</f>
        <v>0</v>
      </c>
      <c r="V1350">
        <f>IF(OR(T1350="",U1350="",T1350=U1350),"",100*($E1350-U1350)/(T1350-U1350))</f>
        <v>0</v>
      </c>
      <c r="W1350">
        <f>IF(COUNT($V$1348:$V$1350)&lt;3,"",AVERAGE($V$1348:$V$1350))</f>
        <v>0</v>
      </c>
      <c r="X1350">
        <f>IF(COUNT($N$1337:$N$1350)&lt;14,"",MIN($N$1337:$N$1350))</f>
        <v>0</v>
      </c>
      <c r="Y1350">
        <f>IF(COUNT($N$1337:$N$1350)&lt;14,"",MAX($N$1337:$N$1350))</f>
        <v>0</v>
      </c>
      <c r="Z1350">
        <f>IF(OR(N1350="",X1350="",Y1350="",Y1350=X1350),"",100*(N1350-X1350)/(Y1350-X1350))</f>
        <v>0</v>
      </c>
      <c r="AA1350">
        <f>IF(COUNT($Z$1348:$Z$1350)&lt;3,"",AVERAGE($Z$1348:$Z$1350))</f>
        <v>0</v>
      </c>
      <c r="AB1350">
        <f>IF(COUNT($AA$1348:$AA$1350)&lt;3,"",AVERAGE($AA$1348:$AA$1350))</f>
        <v>0</v>
      </c>
      <c r="AC1350">
        <f>IF($E1350="","",MAX($C1350-$D1350,ABS($C1350-$E1349),ABS($D1350-$E1349)))</f>
        <v>0</v>
      </c>
      <c r="AD1350">
        <f>IF(COUNT($E$2:$E1350)&lt;15,"",AVERAGE($AC$1337:$AC$1350))</f>
        <v>0</v>
      </c>
      <c r="AE1350">
        <f>IF(OR($E1350="",$E1349=""),"",IF(AND(($C1350-$C1349)&gt;($D1349-$D1350),($C1350-$C1349)&gt;0),$C1350-$C1349,0))</f>
        <v>0</v>
      </c>
      <c r="AF1350">
        <f>IF(OR($E1350="",$E1349=""),"",IF(AND(($D1349-$D1350)&gt;($C1350-$C1349),($D1349-$D1350)&gt;0),$D1349-$D1350,0))</f>
        <v>0</v>
      </c>
      <c r="AG1350">
        <f>IF(COUNT($E$2:$E1350)&lt;15,"",IF(SUM($AC$1337:$AC$1350)=0,0,100*SUM($AE$1337:$AE$1350)/SUM($AC$1337:$AC$1350)))</f>
        <v>0</v>
      </c>
      <c r="AH1350">
        <f>IF(COUNT($E$2:$E1350)&lt;15,"",IF(SUM($AC$1337:$AC$1350)=0,0,100*SUM($AF$1337:$AF$1350)/SUM($AC$1337:$AC$1350)))</f>
        <v>0</v>
      </c>
      <c r="AI1350">
        <f>IF(OR(AG1350="",AH1350=""),"",IF((AG1350+AH1350)=0,0,100*ABS(AG1350-AH1350)/(AG1350+AH1350)))</f>
        <v>0</v>
      </c>
      <c r="AJ1350">
        <f>IF(COUNT($AI$1337:$AI$1350)&lt;14,"",AVERAGE($AI$1337:$AI$1350))</f>
        <v>0</v>
      </c>
      <c r="AK1350">
        <f>IF(COUNT($E$2:$E1350)&lt;20,"",AVERAGE($E$1331:$E$1350))</f>
        <v>0</v>
      </c>
      <c r="AL1350">
        <f>IF(COUNT($E$2:$E1350)&lt;20,"",STDEVP($E$1331:$E$1350))</f>
        <v>0</v>
      </c>
      <c r="AM1350">
        <f>IF(AK1350="","",AK1350+2*AL1350)</f>
        <v>0</v>
      </c>
      <c r="AN1350">
        <f>IF(AK1350="","",AK1350-2*AL1350)</f>
        <v>0</v>
      </c>
      <c r="AO1350">
        <f>IF(OR(AM1350="",AN1350="",AM1350=AN1350),"",($E1350-AN1350)/(AM1350-AN1350))</f>
        <v>0</v>
      </c>
      <c r="AP1350">
        <f>IF(OR(AM1350="",AK1350="",AK1350=0),"",(AM1350-AN1350)/AK1350)</f>
        <v>0</v>
      </c>
      <c r="AQ1350">
        <f>IF(COUNT($E$2:$E1350)&lt;20,"",MAX($C$1331:$C$1350))</f>
        <v>0</v>
      </c>
      <c r="AR1350">
        <f>IF(COUNT($E$2:$E1350)&lt;20,"",MIN($D$1331:$D$1350))</f>
        <v>0</v>
      </c>
      <c r="AS1350">
        <f>IF(OR(AQ1350="",AR1350=""),"",(AQ1350+AR1350)/2)</f>
        <v>0</v>
      </c>
      <c r="AT1350">
        <f>IF(COUNT($G$1331:$G$1350)&lt;20,"",STDEV($G$1331:$G$1350)*SQRT(252))</f>
        <v>0</v>
      </c>
      <c r="AU1350">
        <f>IF(COUNT($E$2:$E1350)&lt;9,"",(MAX($C$1342:$C$1350)+MIN($D$1342:$D$1350))/2)</f>
        <v>0</v>
      </c>
      <c r="AV1350">
        <f>IF(COUNT($E$2:$E1350)&lt;26,"",(MAX($C$1325:$C$1350)+MIN($D$1325:$D$1350))/2)</f>
        <v>0</v>
      </c>
      <c r="AW1350">
        <f>IF(OR(AU1350="",AV1350=""),"",(AU1350+AV1350)/2)</f>
        <v>0</v>
      </c>
      <c r="AX1350">
        <f>IF(COUNT($E$2:$E1350)&lt;52,"",(MAX($C$1299:$C$1350)+MIN($D$1299:$D$1350))/2)</f>
        <v>0</v>
      </c>
      <c r="AY1350">
        <f>IF(COUNT($E$2:$E1350)&lt;20,"",MAX($C$1251:$C$1350))</f>
        <v>0</v>
      </c>
      <c r="AZ1350">
        <f>IF(COUNT($E$2:$E1350)&lt;20,"",MIN($D$1251:$D$1350))</f>
        <v>0</v>
      </c>
      <c r="BA1350">
        <f>IF(COUNT($E$2:$E1350)&lt;20,"",SLOPE($E$1251:$E$1350,$F$1251:$F$1350))</f>
        <v>0</v>
      </c>
      <c r="BB1350">
        <f>IF(COUNT($E$2:$E1350)&lt;20,"",INTERCEPT($E$1251:$E$1350,$F$1251:$F$1350))</f>
        <v>0</v>
      </c>
      <c r="BC1350">
        <f>IF(OR(BA1350="",BB1350=""),"",BB1350+BA1350*F1350)</f>
        <v>0</v>
      </c>
      <c r="BD1350">
        <f>IF(COUNT($E$2:$E1350)&lt;20,"",STEYX($E$1251:$E$1350,$F$1251:$F$1350))</f>
        <v>0</v>
      </c>
      <c r="BE1350">
        <f>IF($E1350="","",IF(AND(COUNT($E$1351:$E$1354)&gt;=4,$C1350=MAX($C$1346:$C$1354)),$C1350,""))</f>
        <v>0</v>
      </c>
      <c r="BF1350">
        <f>IF($E1350="","",IF(AND(COUNT($E$1351:$E$1354)&gt;=4,$D1350=MIN($D$1346:$D$1354)),$D1350,""))</f>
        <v>0</v>
      </c>
      <c r="BG1350">
        <f>IF($A1350="","",$A1350-WEEKDAY($A1350,2)+1)</f>
        <v>0</v>
      </c>
      <c r="BH1350">
        <f>IF($A1350="","",IF($A1349="",1,IF(BG1350&lt;&gt;BG1349,1,0)))</f>
        <v>0</v>
      </c>
      <c r="BI1350">
        <f>IF($A1350="","",IF($A1351="",1,IF(BG1351&lt;&gt;BG1350,1,0)))</f>
        <v>0</v>
      </c>
      <c r="BJ1350">
        <f>IF($A1350="","",IF(BH1350=1,$B1350,BJ1349))</f>
        <v>0</v>
      </c>
      <c r="BK1350">
        <f>IF($A1350="","",IF(BH1350=1,$C1350,MAX($C1350,BK1349)))</f>
        <v>0</v>
      </c>
      <c r="BL1350">
        <f>IF($A1350="","",IF(BH1350=1,$D1350,MIN($D1350,BL1349)))</f>
        <v>0</v>
      </c>
      <c r="BM1350">
        <f>IF($A1350="","",IF(BI1350=1,F1350,""))</f>
        <v>0</v>
      </c>
      <c r="BN1350">
        <f>IF($A1350="","",DATE(YEAR($A1350),MONTH($A1350),1))</f>
        <v>0</v>
      </c>
      <c r="BO1350">
        <f>IF($A1350="","",IF($A1349="",1,IF(BN1350&lt;&gt;BN1349,1,0)))</f>
        <v>0</v>
      </c>
      <c r="BP1350">
        <f>IF($A1350="","",IF($A1351="",1,IF(BN1351&lt;&gt;BN1350,1,0)))</f>
        <v>0</v>
      </c>
      <c r="BQ1350">
        <f>IF($A1350="","",IF(BO1350=1,$B1350,BQ1349))</f>
        <v>0</v>
      </c>
      <c r="BR1350">
        <f>IF($A1350="","",IF(BO1350=1,$C1350,MAX($C1350,BR1349)))</f>
        <v>0</v>
      </c>
      <c r="BS1350">
        <f>IF($A1350="","",IF(BO1350=1,$D1350,MIN($D1350,BS1349)))</f>
        <v>0</v>
      </c>
      <c r="BT1350">
        <f>IF($A1350="","",IF(BP1350=1,F1350,""))</f>
        <v>0</v>
      </c>
    </row>
    <row r="1351" spans="1:72">
      <c r="A1351" s="27">
        <f>IF(Data!$A1351="","",Data!$A1351)</f>
        <v>0</v>
      </c>
      <c r="B1351">
        <f>IF(Data!$B1351="","",Data!$B1351)</f>
        <v>0</v>
      </c>
      <c r="C1351">
        <f>IF(Data!$C1351="","",Data!$C1351)</f>
        <v>0</v>
      </c>
      <c r="D1351">
        <f>IF(Data!$D1351="","",Data!$D1351)</f>
        <v>0</v>
      </c>
      <c r="E1351">
        <f>IF(Data!$E1351="","",Data!$E1351)</f>
        <v>0</v>
      </c>
      <c r="F1351">
        <f>IF($E1351="","",N(F1350)+1)</f>
        <v>0</v>
      </c>
      <c r="G1351">
        <f>IF(OR($E1351="",$E1350=""),"",LN($E1351/$E1350))</f>
        <v>0</v>
      </c>
      <c r="H1351">
        <f>IF($E1351="","",IF($E1350="",$E1351,$E1351*0.0952380952+H1350*0.9047619048))</f>
        <v>0</v>
      </c>
      <c r="I1351">
        <f>IF($E1351="","",IF($E1350="",$E1351,$E1351*0.0392156863+I1350*0.9607843137))</f>
        <v>0</v>
      </c>
      <c r="J1351">
        <f>IF($E1351="","",IF($E1350="",$E1351,$E1351*0.0198019802+J1350*0.9801980198))</f>
        <v>0</v>
      </c>
      <c r="K1351">
        <f>IF($E1351="","",IF($E1350="",$E1351,$E1351*0.0099502488+K1350*0.9900497512))</f>
        <v>0</v>
      </c>
      <c r="L1351">
        <f>IF(OR($E1351="",$E1350=""),"",MAX($E1351-$E1350,0))</f>
        <v>0</v>
      </c>
      <c r="M1351">
        <f>IF(OR($E1351="",$E1350=""),"",MAX($E1350-$E1351,0))</f>
        <v>0</v>
      </c>
      <c r="N1351">
        <f>IF(COUNT($E$2:$E1351)&lt;15,"",IF(AVERAGE($M$1338:$M$1351)=0,100,100-100/(1+AVERAGE($L$1338:$L$1351)/AVERAGE($M$1338:$M$1351))))</f>
        <v>0</v>
      </c>
      <c r="O1351">
        <f>IF($E1351="","",IF($E1350="",$E1351,$E1351*0.1538461538+O1350*0.8461538462))</f>
        <v>0</v>
      </c>
      <c r="P1351">
        <f>IF($E1351="","",IF($E1350="",$E1351,$E1351*0.0740740741+P1350*0.9259259259))</f>
        <v>0</v>
      </c>
      <c r="Q1351">
        <f>IF(OR(O1351="",P1351=""),"",O1351-P1351)</f>
        <v>0</v>
      </c>
      <c r="R1351">
        <f>IF(Q1351="","",IF(R1350="",Q1351,Q1351*0.2000000000+R1350*0.8000000000))</f>
        <v>0</v>
      </c>
      <c r="S1351">
        <f>IF(OR(Q1351="",R1351=""),"",Q1351-R1351)</f>
        <v>0</v>
      </c>
      <c r="T1351">
        <f>IF(COUNT($E$2:$E1351)&lt;14,"",MAX($C$1338:$C$1351))</f>
        <v>0</v>
      </c>
      <c r="U1351">
        <f>IF(COUNT($E$2:$E1351)&lt;14,"",MIN($D$1338:$D$1351))</f>
        <v>0</v>
      </c>
      <c r="V1351">
        <f>IF(OR(T1351="",U1351="",T1351=U1351),"",100*($E1351-U1351)/(T1351-U1351))</f>
        <v>0</v>
      </c>
      <c r="W1351">
        <f>IF(COUNT($V$1349:$V$1351)&lt;3,"",AVERAGE($V$1349:$V$1351))</f>
        <v>0</v>
      </c>
      <c r="X1351">
        <f>IF(COUNT($N$1338:$N$1351)&lt;14,"",MIN($N$1338:$N$1351))</f>
        <v>0</v>
      </c>
      <c r="Y1351">
        <f>IF(COUNT($N$1338:$N$1351)&lt;14,"",MAX($N$1338:$N$1351))</f>
        <v>0</v>
      </c>
      <c r="Z1351">
        <f>IF(OR(N1351="",X1351="",Y1351="",Y1351=X1351),"",100*(N1351-X1351)/(Y1351-X1351))</f>
        <v>0</v>
      </c>
      <c r="AA1351">
        <f>IF(COUNT($Z$1349:$Z$1351)&lt;3,"",AVERAGE($Z$1349:$Z$1351))</f>
        <v>0</v>
      </c>
      <c r="AB1351">
        <f>IF(COUNT($AA$1349:$AA$1351)&lt;3,"",AVERAGE($AA$1349:$AA$1351))</f>
        <v>0</v>
      </c>
      <c r="AC1351">
        <f>IF($E1351="","",MAX($C1351-$D1351,ABS($C1351-$E1350),ABS($D1351-$E1350)))</f>
        <v>0</v>
      </c>
      <c r="AD1351">
        <f>IF(COUNT($E$2:$E1351)&lt;15,"",AVERAGE($AC$1338:$AC$1351))</f>
        <v>0</v>
      </c>
      <c r="AE1351">
        <f>IF(OR($E1351="",$E1350=""),"",IF(AND(($C1351-$C1350)&gt;($D1350-$D1351),($C1351-$C1350)&gt;0),$C1351-$C1350,0))</f>
        <v>0</v>
      </c>
      <c r="AF1351">
        <f>IF(OR($E1351="",$E1350=""),"",IF(AND(($D1350-$D1351)&gt;($C1351-$C1350),($D1350-$D1351)&gt;0),$D1350-$D1351,0))</f>
        <v>0</v>
      </c>
      <c r="AG1351">
        <f>IF(COUNT($E$2:$E1351)&lt;15,"",IF(SUM($AC$1338:$AC$1351)=0,0,100*SUM($AE$1338:$AE$1351)/SUM($AC$1338:$AC$1351)))</f>
        <v>0</v>
      </c>
      <c r="AH1351">
        <f>IF(COUNT($E$2:$E1351)&lt;15,"",IF(SUM($AC$1338:$AC$1351)=0,0,100*SUM($AF$1338:$AF$1351)/SUM($AC$1338:$AC$1351)))</f>
        <v>0</v>
      </c>
      <c r="AI1351">
        <f>IF(OR(AG1351="",AH1351=""),"",IF((AG1351+AH1351)=0,0,100*ABS(AG1351-AH1351)/(AG1351+AH1351)))</f>
        <v>0</v>
      </c>
      <c r="AJ1351">
        <f>IF(COUNT($AI$1338:$AI$1351)&lt;14,"",AVERAGE($AI$1338:$AI$1351))</f>
        <v>0</v>
      </c>
      <c r="AK1351">
        <f>IF(COUNT($E$2:$E1351)&lt;20,"",AVERAGE($E$1332:$E$1351))</f>
        <v>0</v>
      </c>
      <c r="AL1351">
        <f>IF(COUNT($E$2:$E1351)&lt;20,"",STDEVP($E$1332:$E$1351))</f>
        <v>0</v>
      </c>
      <c r="AM1351">
        <f>IF(AK1351="","",AK1351+2*AL1351)</f>
        <v>0</v>
      </c>
      <c r="AN1351">
        <f>IF(AK1351="","",AK1351-2*AL1351)</f>
        <v>0</v>
      </c>
      <c r="AO1351">
        <f>IF(OR(AM1351="",AN1351="",AM1351=AN1351),"",($E1351-AN1351)/(AM1351-AN1351))</f>
        <v>0</v>
      </c>
      <c r="AP1351">
        <f>IF(OR(AM1351="",AK1351="",AK1351=0),"",(AM1351-AN1351)/AK1351)</f>
        <v>0</v>
      </c>
      <c r="AQ1351">
        <f>IF(COUNT($E$2:$E1351)&lt;20,"",MAX($C$1332:$C$1351))</f>
        <v>0</v>
      </c>
      <c r="AR1351">
        <f>IF(COUNT($E$2:$E1351)&lt;20,"",MIN($D$1332:$D$1351))</f>
        <v>0</v>
      </c>
      <c r="AS1351">
        <f>IF(OR(AQ1351="",AR1351=""),"",(AQ1351+AR1351)/2)</f>
        <v>0</v>
      </c>
      <c r="AT1351">
        <f>IF(COUNT($G$1332:$G$1351)&lt;20,"",STDEV($G$1332:$G$1351)*SQRT(252))</f>
        <v>0</v>
      </c>
      <c r="AU1351">
        <f>IF(COUNT($E$2:$E1351)&lt;9,"",(MAX($C$1343:$C$1351)+MIN($D$1343:$D$1351))/2)</f>
        <v>0</v>
      </c>
      <c r="AV1351">
        <f>IF(COUNT($E$2:$E1351)&lt;26,"",(MAX($C$1326:$C$1351)+MIN($D$1326:$D$1351))/2)</f>
        <v>0</v>
      </c>
      <c r="AW1351">
        <f>IF(OR(AU1351="",AV1351=""),"",(AU1351+AV1351)/2)</f>
        <v>0</v>
      </c>
      <c r="AX1351">
        <f>IF(COUNT($E$2:$E1351)&lt;52,"",(MAX($C$1300:$C$1351)+MIN($D$1300:$D$1351))/2)</f>
        <v>0</v>
      </c>
      <c r="AY1351">
        <f>IF(COUNT($E$2:$E1351)&lt;20,"",MAX($C$1252:$C$1351))</f>
        <v>0</v>
      </c>
      <c r="AZ1351">
        <f>IF(COUNT($E$2:$E1351)&lt;20,"",MIN($D$1252:$D$1351))</f>
        <v>0</v>
      </c>
      <c r="BA1351">
        <f>IF(COUNT($E$2:$E1351)&lt;20,"",SLOPE($E$1252:$E$1351,$F$1252:$F$1351))</f>
        <v>0</v>
      </c>
      <c r="BB1351">
        <f>IF(COUNT($E$2:$E1351)&lt;20,"",INTERCEPT($E$1252:$E$1351,$F$1252:$F$1351))</f>
        <v>0</v>
      </c>
      <c r="BC1351">
        <f>IF(OR(BA1351="",BB1351=""),"",BB1351+BA1351*F1351)</f>
        <v>0</v>
      </c>
      <c r="BD1351">
        <f>IF(COUNT($E$2:$E1351)&lt;20,"",STEYX($E$1252:$E$1351,$F$1252:$F$1351))</f>
        <v>0</v>
      </c>
      <c r="BE1351">
        <f>IF($E1351="","",IF(AND(COUNT($E$1352:$E$1355)&gt;=4,$C1351=MAX($C$1347:$C$1355)),$C1351,""))</f>
        <v>0</v>
      </c>
      <c r="BF1351">
        <f>IF($E1351="","",IF(AND(COUNT($E$1352:$E$1355)&gt;=4,$D1351=MIN($D$1347:$D$1355)),$D1351,""))</f>
        <v>0</v>
      </c>
      <c r="BG1351">
        <f>IF($A1351="","",$A1351-WEEKDAY($A1351,2)+1)</f>
        <v>0</v>
      </c>
      <c r="BH1351">
        <f>IF($A1351="","",IF($A1350="",1,IF(BG1351&lt;&gt;BG1350,1,0)))</f>
        <v>0</v>
      </c>
      <c r="BI1351">
        <f>IF($A1351="","",IF($A1352="",1,IF(BG1352&lt;&gt;BG1351,1,0)))</f>
        <v>0</v>
      </c>
      <c r="BJ1351">
        <f>IF($A1351="","",IF(BH1351=1,$B1351,BJ1350))</f>
        <v>0</v>
      </c>
      <c r="BK1351">
        <f>IF($A1351="","",IF(BH1351=1,$C1351,MAX($C1351,BK1350)))</f>
        <v>0</v>
      </c>
      <c r="BL1351">
        <f>IF($A1351="","",IF(BH1351=1,$D1351,MIN($D1351,BL1350)))</f>
        <v>0</v>
      </c>
      <c r="BM1351">
        <f>IF($A1351="","",IF(BI1351=1,F1351,""))</f>
        <v>0</v>
      </c>
      <c r="BN1351">
        <f>IF($A1351="","",DATE(YEAR($A1351),MONTH($A1351),1))</f>
        <v>0</v>
      </c>
      <c r="BO1351">
        <f>IF($A1351="","",IF($A1350="",1,IF(BN1351&lt;&gt;BN1350,1,0)))</f>
        <v>0</v>
      </c>
      <c r="BP1351">
        <f>IF($A1351="","",IF($A1352="",1,IF(BN1352&lt;&gt;BN1351,1,0)))</f>
        <v>0</v>
      </c>
      <c r="BQ1351">
        <f>IF($A1351="","",IF(BO1351=1,$B1351,BQ1350))</f>
        <v>0</v>
      </c>
      <c r="BR1351">
        <f>IF($A1351="","",IF(BO1351=1,$C1351,MAX($C1351,BR1350)))</f>
        <v>0</v>
      </c>
      <c r="BS1351">
        <f>IF($A1351="","",IF(BO1351=1,$D1351,MIN($D1351,BS1350)))</f>
        <v>0</v>
      </c>
      <c r="BT1351">
        <f>IF($A1351="","",IF(BP1351=1,F1351,""))</f>
        <v>0</v>
      </c>
    </row>
    <row r="1352" spans="1:72">
      <c r="A1352" s="27">
        <f>IF(Data!$A1352="","",Data!$A1352)</f>
        <v>0</v>
      </c>
      <c r="B1352">
        <f>IF(Data!$B1352="","",Data!$B1352)</f>
        <v>0</v>
      </c>
      <c r="C1352">
        <f>IF(Data!$C1352="","",Data!$C1352)</f>
        <v>0</v>
      </c>
      <c r="D1352">
        <f>IF(Data!$D1352="","",Data!$D1352)</f>
        <v>0</v>
      </c>
      <c r="E1352">
        <f>IF(Data!$E1352="","",Data!$E1352)</f>
        <v>0</v>
      </c>
      <c r="F1352">
        <f>IF($E1352="","",N(F1351)+1)</f>
        <v>0</v>
      </c>
      <c r="G1352">
        <f>IF(OR($E1352="",$E1351=""),"",LN($E1352/$E1351))</f>
        <v>0</v>
      </c>
      <c r="H1352">
        <f>IF($E1352="","",IF($E1351="",$E1352,$E1352*0.0952380952+H1351*0.9047619048))</f>
        <v>0</v>
      </c>
      <c r="I1352">
        <f>IF($E1352="","",IF($E1351="",$E1352,$E1352*0.0392156863+I1351*0.9607843137))</f>
        <v>0</v>
      </c>
      <c r="J1352">
        <f>IF($E1352="","",IF($E1351="",$E1352,$E1352*0.0198019802+J1351*0.9801980198))</f>
        <v>0</v>
      </c>
      <c r="K1352">
        <f>IF($E1352="","",IF($E1351="",$E1352,$E1352*0.0099502488+K1351*0.9900497512))</f>
        <v>0</v>
      </c>
      <c r="L1352">
        <f>IF(OR($E1352="",$E1351=""),"",MAX($E1352-$E1351,0))</f>
        <v>0</v>
      </c>
      <c r="M1352">
        <f>IF(OR($E1352="",$E1351=""),"",MAX($E1351-$E1352,0))</f>
        <v>0</v>
      </c>
      <c r="N1352">
        <f>IF(COUNT($E$2:$E1352)&lt;15,"",IF(AVERAGE($M$1339:$M$1352)=0,100,100-100/(1+AVERAGE($L$1339:$L$1352)/AVERAGE($M$1339:$M$1352))))</f>
        <v>0</v>
      </c>
      <c r="O1352">
        <f>IF($E1352="","",IF($E1351="",$E1352,$E1352*0.1538461538+O1351*0.8461538462))</f>
        <v>0</v>
      </c>
      <c r="P1352">
        <f>IF($E1352="","",IF($E1351="",$E1352,$E1352*0.0740740741+P1351*0.9259259259))</f>
        <v>0</v>
      </c>
      <c r="Q1352">
        <f>IF(OR(O1352="",P1352=""),"",O1352-P1352)</f>
        <v>0</v>
      </c>
      <c r="R1352">
        <f>IF(Q1352="","",IF(R1351="",Q1352,Q1352*0.2000000000+R1351*0.8000000000))</f>
        <v>0</v>
      </c>
      <c r="S1352">
        <f>IF(OR(Q1352="",R1352=""),"",Q1352-R1352)</f>
        <v>0</v>
      </c>
      <c r="T1352">
        <f>IF(COUNT($E$2:$E1352)&lt;14,"",MAX($C$1339:$C$1352))</f>
        <v>0</v>
      </c>
      <c r="U1352">
        <f>IF(COUNT($E$2:$E1352)&lt;14,"",MIN($D$1339:$D$1352))</f>
        <v>0</v>
      </c>
      <c r="V1352">
        <f>IF(OR(T1352="",U1352="",T1352=U1352),"",100*($E1352-U1352)/(T1352-U1352))</f>
        <v>0</v>
      </c>
      <c r="W1352">
        <f>IF(COUNT($V$1350:$V$1352)&lt;3,"",AVERAGE($V$1350:$V$1352))</f>
        <v>0</v>
      </c>
      <c r="X1352">
        <f>IF(COUNT($N$1339:$N$1352)&lt;14,"",MIN($N$1339:$N$1352))</f>
        <v>0</v>
      </c>
      <c r="Y1352">
        <f>IF(COUNT($N$1339:$N$1352)&lt;14,"",MAX($N$1339:$N$1352))</f>
        <v>0</v>
      </c>
      <c r="Z1352">
        <f>IF(OR(N1352="",X1352="",Y1352="",Y1352=X1352),"",100*(N1352-X1352)/(Y1352-X1352))</f>
        <v>0</v>
      </c>
      <c r="AA1352">
        <f>IF(COUNT($Z$1350:$Z$1352)&lt;3,"",AVERAGE($Z$1350:$Z$1352))</f>
        <v>0</v>
      </c>
      <c r="AB1352">
        <f>IF(COUNT($AA$1350:$AA$1352)&lt;3,"",AVERAGE($AA$1350:$AA$1352))</f>
        <v>0</v>
      </c>
      <c r="AC1352">
        <f>IF($E1352="","",MAX($C1352-$D1352,ABS($C1352-$E1351),ABS($D1352-$E1351)))</f>
        <v>0</v>
      </c>
      <c r="AD1352">
        <f>IF(COUNT($E$2:$E1352)&lt;15,"",AVERAGE($AC$1339:$AC$1352))</f>
        <v>0</v>
      </c>
      <c r="AE1352">
        <f>IF(OR($E1352="",$E1351=""),"",IF(AND(($C1352-$C1351)&gt;($D1351-$D1352),($C1352-$C1351)&gt;0),$C1352-$C1351,0))</f>
        <v>0</v>
      </c>
      <c r="AF1352">
        <f>IF(OR($E1352="",$E1351=""),"",IF(AND(($D1351-$D1352)&gt;($C1352-$C1351),($D1351-$D1352)&gt;0),$D1351-$D1352,0))</f>
        <v>0</v>
      </c>
      <c r="AG1352">
        <f>IF(COUNT($E$2:$E1352)&lt;15,"",IF(SUM($AC$1339:$AC$1352)=0,0,100*SUM($AE$1339:$AE$1352)/SUM($AC$1339:$AC$1352)))</f>
        <v>0</v>
      </c>
      <c r="AH1352">
        <f>IF(COUNT($E$2:$E1352)&lt;15,"",IF(SUM($AC$1339:$AC$1352)=0,0,100*SUM($AF$1339:$AF$1352)/SUM($AC$1339:$AC$1352)))</f>
        <v>0</v>
      </c>
      <c r="AI1352">
        <f>IF(OR(AG1352="",AH1352=""),"",IF((AG1352+AH1352)=0,0,100*ABS(AG1352-AH1352)/(AG1352+AH1352)))</f>
        <v>0</v>
      </c>
      <c r="AJ1352">
        <f>IF(COUNT($AI$1339:$AI$1352)&lt;14,"",AVERAGE($AI$1339:$AI$1352))</f>
        <v>0</v>
      </c>
      <c r="AK1352">
        <f>IF(COUNT($E$2:$E1352)&lt;20,"",AVERAGE($E$1333:$E$1352))</f>
        <v>0</v>
      </c>
      <c r="AL1352">
        <f>IF(COUNT($E$2:$E1352)&lt;20,"",STDEVP($E$1333:$E$1352))</f>
        <v>0</v>
      </c>
      <c r="AM1352">
        <f>IF(AK1352="","",AK1352+2*AL1352)</f>
        <v>0</v>
      </c>
      <c r="AN1352">
        <f>IF(AK1352="","",AK1352-2*AL1352)</f>
        <v>0</v>
      </c>
      <c r="AO1352">
        <f>IF(OR(AM1352="",AN1352="",AM1352=AN1352),"",($E1352-AN1352)/(AM1352-AN1352))</f>
        <v>0</v>
      </c>
      <c r="AP1352">
        <f>IF(OR(AM1352="",AK1352="",AK1352=0),"",(AM1352-AN1352)/AK1352)</f>
        <v>0</v>
      </c>
      <c r="AQ1352">
        <f>IF(COUNT($E$2:$E1352)&lt;20,"",MAX($C$1333:$C$1352))</f>
        <v>0</v>
      </c>
      <c r="AR1352">
        <f>IF(COUNT($E$2:$E1352)&lt;20,"",MIN($D$1333:$D$1352))</f>
        <v>0</v>
      </c>
      <c r="AS1352">
        <f>IF(OR(AQ1352="",AR1352=""),"",(AQ1352+AR1352)/2)</f>
        <v>0</v>
      </c>
      <c r="AT1352">
        <f>IF(COUNT($G$1333:$G$1352)&lt;20,"",STDEV($G$1333:$G$1352)*SQRT(252))</f>
        <v>0</v>
      </c>
      <c r="AU1352">
        <f>IF(COUNT($E$2:$E1352)&lt;9,"",(MAX($C$1344:$C$1352)+MIN($D$1344:$D$1352))/2)</f>
        <v>0</v>
      </c>
      <c r="AV1352">
        <f>IF(COUNT($E$2:$E1352)&lt;26,"",(MAX($C$1327:$C$1352)+MIN($D$1327:$D$1352))/2)</f>
        <v>0</v>
      </c>
      <c r="AW1352">
        <f>IF(OR(AU1352="",AV1352=""),"",(AU1352+AV1352)/2)</f>
        <v>0</v>
      </c>
      <c r="AX1352">
        <f>IF(COUNT($E$2:$E1352)&lt;52,"",(MAX($C$1301:$C$1352)+MIN($D$1301:$D$1352))/2)</f>
        <v>0</v>
      </c>
      <c r="AY1352">
        <f>IF(COUNT($E$2:$E1352)&lt;20,"",MAX($C$1253:$C$1352))</f>
        <v>0</v>
      </c>
      <c r="AZ1352">
        <f>IF(COUNT($E$2:$E1352)&lt;20,"",MIN($D$1253:$D$1352))</f>
        <v>0</v>
      </c>
      <c r="BA1352">
        <f>IF(COUNT($E$2:$E1352)&lt;20,"",SLOPE($E$1253:$E$1352,$F$1253:$F$1352))</f>
        <v>0</v>
      </c>
      <c r="BB1352">
        <f>IF(COUNT($E$2:$E1352)&lt;20,"",INTERCEPT($E$1253:$E$1352,$F$1253:$F$1352))</f>
        <v>0</v>
      </c>
      <c r="BC1352">
        <f>IF(OR(BA1352="",BB1352=""),"",BB1352+BA1352*F1352)</f>
        <v>0</v>
      </c>
      <c r="BD1352">
        <f>IF(COUNT($E$2:$E1352)&lt;20,"",STEYX($E$1253:$E$1352,$F$1253:$F$1352))</f>
        <v>0</v>
      </c>
      <c r="BE1352">
        <f>IF($E1352="","",IF(AND(COUNT($E$1353:$E$1356)&gt;=4,$C1352=MAX($C$1348:$C$1356)),$C1352,""))</f>
        <v>0</v>
      </c>
      <c r="BF1352">
        <f>IF($E1352="","",IF(AND(COUNT($E$1353:$E$1356)&gt;=4,$D1352=MIN($D$1348:$D$1356)),$D1352,""))</f>
        <v>0</v>
      </c>
      <c r="BG1352">
        <f>IF($A1352="","",$A1352-WEEKDAY($A1352,2)+1)</f>
        <v>0</v>
      </c>
      <c r="BH1352">
        <f>IF($A1352="","",IF($A1351="",1,IF(BG1352&lt;&gt;BG1351,1,0)))</f>
        <v>0</v>
      </c>
      <c r="BI1352">
        <f>IF($A1352="","",IF($A1353="",1,IF(BG1353&lt;&gt;BG1352,1,0)))</f>
        <v>0</v>
      </c>
      <c r="BJ1352">
        <f>IF($A1352="","",IF(BH1352=1,$B1352,BJ1351))</f>
        <v>0</v>
      </c>
      <c r="BK1352">
        <f>IF($A1352="","",IF(BH1352=1,$C1352,MAX($C1352,BK1351)))</f>
        <v>0</v>
      </c>
      <c r="BL1352">
        <f>IF($A1352="","",IF(BH1352=1,$D1352,MIN($D1352,BL1351)))</f>
        <v>0</v>
      </c>
      <c r="BM1352">
        <f>IF($A1352="","",IF(BI1352=1,F1352,""))</f>
        <v>0</v>
      </c>
      <c r="BN1352">
        <f>IF($A1352="","",DATE(YEAR($A1352),MONTH($A1352),1))</f>
        <v>0</v>
      </c>
      <c r="BO1352">
        <f>IF($A1352="","",IF($A1351="",1,IF(BN1352&lt;&gt;BN1351,1,0)))</f>
        <v>0</v>
      </c>
      <c r="BP1352">
        <f>IF($A1352="","",IF($A1353="",1,IF(BN1353&lt;&gt;BN1352,1,0)))</f>
        <v>0</v>
      </c>
      <c r="BQ1352">
        <f>IF($A1352="","",IF(BO1352=1,$B1352,BQ1351))</f>
        <v>0</v>
      </c>
      <c r="BR1352">
        <f>IF($A1352="","",IF(BO1352=1,$C1352,MAX($C1352,BR1351)))</f>
        <v>0</v>
      </c>
      <c r="BS1352">
        <f>IF($A1352="","",IF(BO1352=1,$D1352,MIN($D1352,BS1351)))</f>
        <v>0</v>
      </c>
      <c r="BT1352">
        <f>IF($A1352="","",IF(BP1352=1,F1352,""))</f>
        <v>0</v>
      </c>
    </row>
    <row r="1353" spans="1:72">
      <c r="A1353" s="27">
        <f>IF(Data!$A1353="","",Data!$A1353)</f>
        <v>0</v>
      </c>
      <c r="B1353">
        <f>IF(Data!$B1353="","",Data!$B1353)</f>
        <v>0</v>
      </c>
      <c r="C1353">
        <f>IF(Data!$C1353="","",Data!$C1353)</f>
        <v>0</v>
      </c>
      <c r="D1353">
        <f>IF(Data!$D1353="","",Data!$D1353)</f>
        <v>0</v>
      </c>
      <c r="E1353">
        <f>IF(Data!$E1353="","",Data!$E1353)</f>
        <v>0</v>
      </c>
      <c r="F1353">
        <f>IF($E1353="","",N(F1352)+1)</f>
        <v>0</v>
      </c>
      <c r="G1353">
        <f>IF(OR($E1353="",$E1352=""),"",LN($E1353/$E1352))</f>
        <v>0</v>
      </c>
      <c r="H1353">
        <f>IF($E1353="","",IF($E1352="",$E1353,$E1353*0.0952380952+H1352*0.9047619048))</f>
        <v>0</v>
      </c>
      <c r="I1353">
        <f>IF($E1353="","",IF($E1352="",$E1353,$E1353*0.0392156863+I1352*0.9607843137))</f>
        <v>0</v>
      </c>
      <c r="J1353">
        <f>IF($E1353="","",IF($E1352="",$E1353,$E1353*0.0198019802+J1352*0.9801980198))</f>
        <v>0</v>
      </c>
      <c r="K1353">
        <f>IF($E1353="","",IF($E1352="",$E1353,$E1353*0.0099502488+K1352*0.9900497512))</f>
        <v>0</v>
      </c>
      <c r="L1353">
        <f>IF(OR($E1353="",$E1352=""),"",MAX($E1353-$E1352,0))</f>
        <v>0</v>
      </c>
      <c r="M1353">
        <f>IF(OR($E1353="",$E1352=""),"",MAX($E1352-$E1353,0))</f>
        <v>0</v>
      </c>
      <c r="N1353">
        <f>IF(COUNT($E$2:$E1353)&lt;15,"",IF(AVERAGE($M$1340:$M$1353)=0,100,100-100/(1+AVERAGE($L$1340:$L$1353)/AVERAGE($M$1340:$M$1353))))</f>
        <v>0</v>
      </c>
      <c r="O1353">
        <f>IF($E1353="","",IF($E1352="",$E1353,$E1353*0.1538461538+O1352*0.8461538462))</f>
        <v>0</v>
      </c>
      <c r="P1353">
        <f>IF($E1353="","",IF($E1352="",$E1353,$E1353*0.0740740741+P1352*0.9259259259))</f>
        <v>0</v>
      </c>
      <c r="Q1353">
        <f>IF(OR(O1353="",P1353=""),"",O1353-P1353)</f>
        <v>0</v>
      </c>
      <c r="R1353">
        <f>IF(Q1353="","",IF(R1352="",Q1353,Q1353*0.2000000000+R1352*0.8000000000))</f>
        <v>0</v>
      </c>
      <c r="S1353">
        <f>IF(OR(Q1353="",R1353=""),"",Q1353-R1353)</f>
        <v>0</v>
      </c>
      <c r="T1353">
        <f>IF(COUNT($E$2:$E1353)&lt;14,"",MAX($C$1340:$C$1353))</f>
        <v>0</v>
      </c>
      <c r="U1353">
        <f>IF(COUNT($E$2:$E1353)&lt;14,"",MIN($D$1340:$D$1353))</f>
        <v>0</v>
      </c>
      <c r="V1353">
        <f>IF(OR(T1353="",U1353="",T1353=U1353),"",100*($E1353-U1353)/(T1353-U1353))</f>
        <v>0</v>
      </c>
      <c r="W1353">
        <f>IF(COUNT($V$1351:$V$1353)&lt;3,"",AVERAGE($V$1351:$V$1353))</f>
        <v>0</v>
      </c>
      <c r="X1353">
        <f>IF(COUNT($N$1340:$N$1353)&lt;14,"",MIN($N$1340:$N$1353))</f>
        <v>0</v>
      </c>
      <c r="Y1353">
        <f>IF(COUNT($N$1340:$N$1353)&lt;14,"",MAX($N$1340:$N$1353))</f>
        <v>0</v>
      </c>
      <c r="Z1353">
        <f>IF(OR(N1353="",X1353="",Y1353="",Y1353=X1353),"",100*(N1353-X1353)/(Y1353-X1353))</f>
        <v>0</v>
      </c>
      <c r="AA1353">
        <f>IF(COUNT($Z$1351:$Z$1353)&lt;3,"",AVERAGE($Z$1351:$Z$1353))</f>
        <v>0</v>
      </c>
      <c r="AB1353">
        <f>IF(COUNT($AA$1351:$AA$1353)&lt;3,"",AVERAGE($AA$1351:$AA$1353))</f>
        <v>0</v>
      </c>
      <c r="AC1353">
        <f>IF($E1353="","",MAX($C1353-$D1353,ABS($C1353-$E1352),ABS($D1353-$E1352)))</f>
        <v>0</v>
      </c>
      <c r="AD1353">
        <f>IF(COUNT($E$2:$E1353)&lt;15,"",AVERAGE($AC$1340:$AC$1353))</f>
        <v>0</v>
      </c>
      <c r="AE1353">
        <f>IF(OR($E1353="",$E1352=""),"",IF(AND(($C1353-$C1352)&gt;($D1352-$D1353),($C1353-$C1352)&gt;0),$C1353-$C1352,0))</f>
        <v>0</v>
      </c>
      <c r="AF1353">
        <f>IF(OR($E1353="",$E1352=""),"",IF(AND(($D1352-$D1353)&gt;($C1353-$C1352),($D1352-$D1353)&gt;0),$D1352-$D1353,0))</f>
        <v>0</v>
      </c>
      <c r="AG1353">
        <f>IF(COUNT($E$2:$E1353)&lt;15,"",IF(SUM($AC$1340:$AC$1353)=0,0,100*SUM($AE$1340:$AE$1353)/SUM($AC$1340:$AC$1353)))</f>
        <v>0</v>
      </c>
      <c r="AH1353">
        <f>IF(COUNT($E$2:$E1353)&lt;15,"",IF(SUM($AC$1340:$AC$1353)=0,0,100*SUM($AF$1340:$AF$1353)/SUM($AC$1340:$AC$1353)))</f>
        <v>0</v>
      </c>
      <c r="AI1353">
        <f>IF(OR(AG1353="",AH1353=""),"",IF((AG1353+AH1353)=0,0,100*ABS(AG1353-AH1353)/(AG1353+AH1353)))</f>
        <v>0</v>
      </c>
      <c r="AJ1353">
        <f>IF(COUNT($AI$1340:$AI$1353)&lt;14,"",AVERAGE($AI$1340:$AI$1353))</f>
        <v>0</v>
      </c>
      <c r="AK1353">
        <f>IF(COUNT($E$2:$E1353)&lt;20,"",AVERAGE($E$1334:$E$1353))</f>
        <v>0</v>
      </c>
      <c r="AL1353">
        <f>IF(COUNT($E$2:$E1353)&lt;20,"",STDEVP($E$1334:$E$1353))</f>
        <v>0</v>
      </c>
      <c r="AM1353">
        <f>IF(AK1353="","",AK1353+2*AL1353)</f>
        <v>0</v>
      </c>
      <c r="AN1353">
        <f>IF(AK1353="","",AK1353-2*AL1353)</f>
        <v>0</v>
      </c>
      <c r="AO1353">
        <f>IF(OR(AM1353="",AN1353="",AM1353=AN1353),"",($E1353-AN1353)/(AM1353-AN1353))</f>
        <v>0</v>
      </c>
      <c r="AP1353">
        <f>IF(OR(AM1353="",AK1353="",AK1353=0),"",(AM1353-AN1353)/AK1353)</f>
        <v>0</v>
      </c>
      <c r="AQ1353">
        <f>IF(COUNT($E$2:$E1353)&lt;20,"",MAX($C$1334:$C$1353))</f>
        <v>0</v>
      </c>
      <c r="AR1353">
        <f>IF(COUNT($E$2:$E1353)&lt;20,"",MIN($D$1334:$D$1353))</f>
        <v>0</v>
      </c>
      <c r="AS1353">
        <f>IF(OR(AQ1353="",AR1353=""),"",(AQ1353+AR1353)/2)</f>
        <v>0</v>
      </c>
      <c r="AT1353">
        <f>IF(COUNT($G$1334:$G$1353)&lt;20,"",STDEV($G$1334:$G$1353)*SQRT(252))</f>
        <v>0</v>
      </c>
      <c r="AU1353">
        <f>IF(COUNT($E$2:$E1353)&lt;9,"",(MAX($C$1345:$C$1353)+MIN($D$1345:$D$1353))/2)</f>
        <v>0</v>
      </c>
      <c r="AV1353">
        <f>IF(COUNT($E$2:$E1353)&lt;26,"",(MAX($C$1328:$C$1353)+MIN($D$1328:$D$1353))/2)</f>
        <v>0</v>
      </c>
      <c r="AW1353">
        <f>IF(OR(AU1353="",AV1353=""),"",(AU1353+AV1353)/2)</f>
        <v>0</v>
      </c>
      <c r="AX1353">
        <f>IF(COUNT($E$2:$E1353)&lt;52,"",(MAX($C$1302:$C$1353)+MIN($D$1302:$D$1353))/2)</f>
        <v>0</v>
      </c>
      <c r="AY1353">
        <f>IF(COUNT($E$2:$E1353)&lt;20,"",MAX($C$1254:$C$1353))</f>
        <v>0</v>
      </c>
      <c r="AZ1353">
        <f>IF(COUNT($E$2:$E1353)&lt;20,"",MIN($D$1254:$D$1353))</f>
        <v>0</v>
      </c>
      <c r="BA1353">
        <f>IF(COUNT($E$2:$E1353)&lt;20,"",SLOPE($E$1254:$E$1353,$F$1254:$F$1353))</f>
        <v>0</v>
      </c>
      <c r="BB1353">
        <f>IF(COUNT($E$2:$E1353)&lt;20,"",INTERCEPT($E$1254:$E$1353,$F$1254:$F$1353))</f>
        <v>0</v>
      </c>
      <c r="BC1353">
        <f>IF(OR(BA1353="",BB1353=""),"",BB1353+BA1353*F1353)</f>
        <v>0</v>
      </c>
      <c r="BD1353">
        <f>IF(COUNT($E$2:$E1353)&lt;20,"",STEYX($E$1254:$E$1353,$F$1254:$F$1353))</f>
        <v>0</v>
      </c>
      <c r="BE1353">
        <f>IF($E1353="","",IF(AND(COUNT($E$1354:$E$1357)&gt;=4,$C1353=MAX($C$1349:$C$1357)),$C1353,""))</f>
        <v>0</v>
      </c>
      <c r="BF1353">
        <f>IF($E1353="","",IF(AND(COUNT($E$1354:$E$1357)&gt;=4,$D1353=MIN($D$1349:$D$1357)),$D1353,""))</f>
        <v>0</v>
      </c>
      <c r="BG1353">
        <f>IF($A1353="","",$A1353-WEEKDAY($A1353,2)+1)</f>
        <v>0</v>
      </c>
      <c r="BH1353">
        <f>IF($A1353="","",IF($A1352="",1,IF(BG1353&lt;&gt;BG1352,1,0)))</f>
        <v>0</v>
      </c>
      <c r="BI1353">
        <f>IF($A1353="","",IF($A1354="",1,IF(BG1354&lt;&gt;BG1353,1,0)))</f>
        <v>0</v>
      </c>
      <c r="BJ1353">
        <f>IF($A1353="","",IF(BH1353=1,$B1353,BJ1352))</f>
        <v>0</v>
      </c>
      <c r="BK1353">
        <f>IF($A1353="","",IF(BH1353=1,$C1353,MAX($C1353,BK1352)))</f>
        <v>0</v>
      </c>
      <c r="BL1353">
        <f>IF($A1353="","",IF(BH1353=1,$D1353,MIN($D1353,BL1352)))</f>
        <v>0</v>
      </c>
      <c r="BM1353">
        <f>IF($A1353="","",IF(BI1353=1,F1353,""))</f>
        <v>0</v>
      </c>
      <c r="BN1353">
        <f>IF($A1353="","",DATE(YEAR($A1353),MONTH($A1353),1))</f>
        <v>0</v>
      </c>
      <c r="BO1353">
        <f>IF($A1353="","",IF($A1352="",1,IF(BN1353&lt;&gt;BN1352,1,0)))</f>
        <v>0</v>
      </c>
      <c r="BP1353">
        <f>IF($A1353="","",IF($A1354="",1,IF(BN1354&lt;&gt;BN1353,1,0)))</f>
        <v>0</v>
      </c>
      <c r="BQ1353">
        <f>IF($A1353="","",IF(BO1353=1,$B1353,BQ1352))</f>
        <v>0</v>
      </c>
      <c r="BR1353">
        <f>IF($A1353="","",IF(BO1353=1,$C1353,MAX($C1353,BR1352)))</f>
        <v>0</v>
      </c>
      <c r="BS1353">
        <f>IF($A1353="","",IF(BO1353=1,$D1353,MIN($D1353,BS1352)))</f>
        <v>0</v>
      </c>
      <c r="BT1353">
        <f>IF($A1353="","",IF(BP1353=1,F1353,""))</f>
        <v>0</v>
      </c>
    </row>
    <row r="1354" spans="1:72">
      <c r="A1354" s="27">
        <f>IF(Data!$A1354="","",Data!$A1354)</f>
        <v>0</v>
      </c>
      <c r="B1354">
        <f>IF(Data!$B1354="","",Data!$B1354)</f>
        <v>0</v>
      </c>
      <c r="C1354">
        <f>IF(Data!$C1354="","",Data!$C1354)</f>
        <v>0</v>
      </c>
      <c r="D1354">
        <f>IF(Data!$D1354="","",Data!$D1354)</f>
        <v>0</v>
      </c>
      <c r="E1354">
        <f>IF(Data!$E1354="","",Data!$E1354)</f>
        <v>0</v>
      </c>
      <c r="F1354">
        <f>IF($E1354="","",N(F1353)+1)</f>
        <v>0</v>
      </c>
      <c r="G1354">
        <f>IF(OR($E1354="",$E1353=""),"",LN($E1354/$E1353))</f>
        <v>0</v>
      </c>
      <c r="H1354">
        <f>IF($E1354="","",IF($E1353="",$E1354,$E1354*0.0952380952+H1353*0.9047619048))</f>
        <v>0</v>
      </c>
      <c r="I1354">
        <f>IF($E1354="","",IF($E1353="",$E1354,$E1354*0.0392156863+I1353*0.9607843137))</f>
        <v>0</v>
      </c>
      <c r="J1354">
        <f>IF($E1354="","",IF($E1353="",$E1354,$E1354*0.0198019802+J1353*0.9801980198))</f>
        <v>0</v>
      </c>
      <c r="K1354">
        <f>IF($E1354="","",IF($E1353="",$E1354,$E1354*0.0099502488+K1353*0.9900497512))</f>
        <v>0</v>
      </c>
      <c r="L1354">
        <f>IF(OR($E1354="",$E1353=""),"",MAX($E1354-$E1353,0))</f>
        <v>0</v>
      </c>
      <c r="M1354">
        <f>IF(OR($E1354="",$E1353=""),"",MAX($E1353-$E1354,0))</f>
        <v>0</v>
      </c>
      <c r="N1354">
        <f>IF(COUNT($E$2:$E1354)&lt;15,"",IF(AVERAGE($M$1341:$M$1354)=0,100,100-100/(1+AVERAGE($L$1341:$L$1354)/AVERAGE($M$1341:$M$1354))))</f>
        <v>0</v>
      </c>
      <c r="O1354">
        <f>IF($E1354="","",IF($E1353="",$E1354,$E1354*0.1538461538+O1353*0.8461538462))</f>
        <v>0</v>
      </c>
      <c r="P1354">
        <f>IF($E1354="","",IF($E1353="",$E1354,$E1354*0.0740740741+P1353*0.9259259259))</f>
        <v>0</v>
      </c>
      <c r="Q1354">
        <f>IF(OR(O1354="",P1354=""),"",O1354-P1354)</f>
        <v>0</v>
      </c>
      <c r="R1354">
        <f>IF(Q1354="","",IF(R1353="",Q1354,Q1354*0.2000000000+R1353*0.8000000000))</f>
        <v>0</v>
      </c>
      <c r="S1354">
        <f>IF(OR(Q1354="",R1354=""),"",Q1354-R1354)</f>
        <v>0</v>
      </c>
      <c r="T1354">
        <f>IF(COUNT($E$2:$E1354)&lt;14,"",MAX($C$1341:$C$1354))</f>
        <v>0</v>
      </c>
      <c r="U1354">
        <f>IF(COUNT($E$2:$E1354)&lt;14,"",MIN($D$1341:$D$1354))</f>
        <v>0</v>
      </c>
      <c r="V1354">
        <f>IF(OR(T1354="",U1354="",T1354=U1354),"",100*($E1354-U1354)/(T1354-U1354))</f>
        <v>0</v>
      </c>
      <c r="W1354">
        <f>IF(COUNT($V$1352:$V$1354)&lt;3,"",AVERAGE($V$1352:$V$1354))</f>
        <v>0</v>
      </c>
      <c r="X1354">
        <f>IF(COUNT($N$1341:$N$1354)&lt;14,"",MIN($N$1341:$N$1354))</f>
        <v>0</v>
      </c>
      <c r="Y1354">
        <f>IF(COUNT($N$1341:$N$1354)&lt;14,"",MAX($N$1341:$N$1354))</f>
        <v>0</v>
      </c>
      <c r="Z1354">
        <f>IF(OR(N1354="",X1354="",Y1354="",Y1354=X1354),"",100*(N1354-X1354)/(Y1354-X1354))</f>
        <v>0</v>
      </c>
      <c r="AA1354">
        <f>IF(COUNT($Z$1352:$Z$1354)&lt;3,"",AVERAGE($Z$1352:$Z$1354))</f>
        <v>0</v>
      </c>
      <c r="AB1354">
        <f>IF(COUNT($AA$1352:$AA$1354)&lt;3,"",AVERAGE($AA$1352:$AA$1354))</f>
        <v>0</v>
      </c>
      <c r="AC1354">
        <f>IF($E1354="","",MAX($C1354-$D1354,ABS($C1354-$E1353),ABS($D1354-$E1353)))</f>
        <v>0</v>
      </c>
      <c r="AD1354">
        <f>IF(COUNT($E$2:$E1354)&lt;15,"",AVERAGE($AC$1341:$AC$1354))</f>
        <v>0</v>
      </c>
      <c r="AE1354">
        <f>IF(OR($E1354="",$E1353=""),"",IF(AND(($C1354-$C1353)&gt;($D1353-$D1354),($C1354-$C1353)&gt;0),$C1354-$C1353,0))</f>
        <v>0</v>
      </c>
      <c r="AF1354">
        <f>IF(OR($E1354="",$E1353=""),"",IF(AND(($D1353-$D1354)&gt;($C1354-$C1353),($D1353-$D1354)&gt;0),$D1353-$D1354,0))</f>
        <v>0</v>
      </c>
      <c r="AG1354">
        <f>IF(COUNT($E$2:$E1354)&lt;15,"",IF(SUM($AC$1341:$AC$1354)=0,0,100*SUM($AE$1341:$AE$1354)/SUM($AC$1341:$AC$1354)))</f>
        <v>0</v>
      </c>
      <c r="AH1354">
        <f>IF(COUNT($E$2:$E1354)&lt;15,"",IF(SUM($AC$1341:$AC$1354)=0,0,100*SUM($AF$1341:$AF$1354)/SUM($AC$1341:$AC$1354)))</f>
        <v>0</v>
      </c>
      <c r="AI1354">
        <f>IF(OR(AG1354="",AH1354=""),"",IF((AG1354+AH1354)=0,0,100*ABS(AG1354-AH1354)/(AG1354+AH1354)))</f>
        <v>0</v>
      </c>
      <c r="AJ1354">
        <f>IF(COUNT($AI$1341:$AI$1354)&lt;14,"",AVERAGE($AI$1341:$AI$1354))</f>
        <v>0</v>
      </c>
      <c r="AK1354">
        <f>IF(COUNT($E$2:$E1354)&lt;20,"",AVERAGE($E$1335:$E$1354))</f>
        <v>0</v>
      </c>
      <c r="AL1354">
        <f>IF(COUNT($E$2:$E1354)&lt;20,"",STDEVP($E$1335:$E$1354))</f>
        <v>0</v>
      </c>
      <c r="AM1354">
        <f>IF(AK1354="","",AK1354+2*AL1354)</f>
        <v>0</v>
      </c>
      <c r="AN1354">
        <f>IF(AK1354="","",AK1354-2*AL1354)</f>
        <v>0</v>
      </c>
      <c r="AO1354">
        <f>IF(OR(AM1354="",AN1354="",AM1354=AN1354),"",($E1354-AN1354)/(AM1354-AN1354))</f>
        <v>0</v>
      </c>
      <c r="AP1354">
        <f>IF(OR(AM1354="",AK1354="",AK1354=0),"",(AM1354-AN1354)/AK1354)</f>
        <v>0</v>
      </c>
      <c r="AQ1354">
        <f>IF(COUNT($E$2:$E1354)&lt;20,"",MAX($C$1335:$C$1354))</f>
        <v>0</v>
      </c>
      <c r="AR1354">
        <f>IF(COUNT($E$2:$E1354)&lt;20,"",MIN($D$1335:$D$1354))</f>
        <v>0</v>
      </c>
      <c r="AS1354">
        <f>IF(OR(AQ1354="",AR1354=""),"",(AQ1354+AR1354)/2)</f>
        <v>0</v>
      </c>
      <c r="AT1354">
        <f>IF(COUNT($G$1335:$G$1354)&lt;20,"",STDEV($G$1335:$G$1354)*SQRT(252))</f>
        <v>0</v>
      </c>
      <c r="AU1354">
        <f>IF(COUNT($E$2:$E1354)&lt;9,"",(MAX($C$1346:$C$1354)+MIN($D$1346:$D$1354))/2)</f>
        <v>0</v>
      </c>
      <c r="AV1354">
        <f>IF(COUNT($E$2:$E1354)&lt;26,"",(MAX($C$1329:$C$1354)+MIN($D$1329:$D$1354))/2)</f>
        <v>0</v>
      </c>
      <c r="AW1354">
        <f>IF(OR(AU1354="",AV1354=""),"",(AU1354+AV1354)/2)</f>
        <v>0</v>
      </c>
      <c r="AX1354">
        <f>IF(COUNT($E$2:$E1354)&lt;52,"",(MAX($C$1303:$C$1354)+MIN($D$1303:$D$1354))/2)</f>
        <v>0</v>
      </c>
      <c r="AY1354">
        <f>IF(COUNT($E$2:$E1354)&lt;20,"",MAX($C$1255:$C$1354))</f>
        <v>0</v>
      </c>
      <c r="AZ1354">
        <f>IF(COUNT($E$2:$E1354)&lt;20,"",MIN($D$1255:$D$1354))</f>
        <v>0</v>
      </c>
      <c r="BA1354">
        <f>IF(COUNT($E$2:$E1354)&lt;20,"",SLOPE($E$1255:$E$1354,$F$1255:$F$1354))</f>
        <v>0</v>
      </c>
      <c r="BB1354">
        <f>IF(COUNT($E$2:$E1354)&lt;20,"",INTERCEPT($E$1255:$E$1354,$F$1255:$F$1354))</f>
        <v>0</v>
      </c>
      <c r="BC1354">
        <f>IF(OR(BA1354="",BB1354=""),"",BB1354+BA1354*F1354)</f>
        <v>0</v>
      </c>
      <c r="BD1354">
        <f>IF(COUNT($E$2:$E1354)&lt;20,"",STEYX($E$1255:$E$1354,$F$1255:$F$1354))</f>
        <v>0</v>
      </c>
      <c r="BE1354">
        <f>IF($E1354="","",IF(AND(COUNT($E$1355:$E$1358)&gt;=4,$C1354=MAX($C$1350:$C$1358)),$C1354,""))</f>
        <v>0</v>
      </c>
      <c r="BF1354">
        <f>IF($E1354="","",IF(AND(COUNT($E$1355:$E$1358)&gt;=4,$D1354=MIN($D$1350:$D$1358)),$D1354,""))</f>
        <v>0</v>
      </c>
      <c r="BG1354">
        <f>IF($A1354="","",$A1354-WEEKDAY($A1354,2)+1)</f>
        <v>0</v>
      </c>
      <c r="BH1354">
        <f>IF($A1354="","",IF($A1353="",1,IF(BG1354&lt;&gt;BG1353,1,0)))</f>
        <v>0</v>
      </c>
      <c r="BI1354">
        <f>IF($A1354="","",IF($A1355="",1,IF(BG1355&lt;&gt;BG1354,1,0)))</f>
        <v>0</v>
      </c>
      <c r="BJ1354">
        <f>IF($A1354="","",IF(BH1354=1,$B1354,BJ1353))</f>
        <v>0</v>
      </c>
      <c r="BK1354">
        <f>IF($A1354="","",IF(BH1354=1,$C1354,MAX($C1354,BK1353)))</f>
        <v>0</v>
      </c>
      <c r="BL1354">
        <f>IF($A1354="","",IF(BH1354=1,$D1354,MIN($D1354,BL1353)))</f>
        <v>0</v>
      </c>
      <c r="BM1354">
        <f>IF($A1354="","",IF(BI1354=1,F1354,""))</f>
        <v>0</v>
      </c>
      <c r="BN1354">
        <f>IF($A1354="","",DATE(YEAR($A1354),MONTH($A1354),1))</f>
        <v>0</v>
      </c>
      <c r="BO1354">
        <f>IF($A1354="","",IF($A1353="",1,IF(BN1354&lt;&gt;BN1353,1,0)))</f>
        <v>0</v>
      </c>
      <c r="BP1354">
        <f>IF($A1354="","",IF($A1355="",1,IF(BN1355&lt;&gt;BN1354,1,0)))</f>
        <v>0</v>
      </c>
      <c r="BQ1354">
        <f>IF($A1354="","",IF(BO1354=1,$B1354,BQ1353))</f>
        <v>0</v>
      </c>
      <c r="BR1354">
        <f>IF($A1354="","",IF(BO1354=1,$C1354,MAX($C1354,BR1353)))</f>
        <v>0</v>
      </c>
      <c r="BS1354">
        <f>IF($A1354="","",IF(BO1354=1,$D1354,MIN($D1354,BS1353)))</f>
        <v>0</v>
      </c>
      <c r="BT1354">
        <f>IF($A1354="","",IF(BP1354=1,F1354,""))</f>
        <v>0</v>
      </c>
    </row>
    <row r="1355" spans="1:72">
      <c r="A1355" s="27">
        <f>IF(Data!$A1355="","",Data!$A1355)</f>
        <v>0</v>
      </c>
      <c r="B1355">
        <f>IF(Data!$B1355="","",Data!$B1355)</f>
        <v>0</v>
      </c>
      <c r="C1355">
        <f>IF(Data!$C1355="","",Data!$C1355)</f>
        <v>0</v>
      </c>
      <c r="D1355">
        <f>IF(Data!$D1355="","",Data!$D1355)</f>
        <v>0</v>
      </c>
      <c r="E1355">
        <f>IF(Data!$E1355="","",Data!$E1355)</f>
        <v>0</v>
      </c>
      <c r="F1355">
        <f>IF($E1355="","",N(F1354)+1)</f>
        <v>0</v>
      </c>
      <c r="G1355">
        <f>IF(OR($E1355="",$E1354=""),"",LN($E1355/$E1354))</f>
        <v>0</v>
      </c>
      <c r="H1355">
        <f>IF($E1355="","",IF($E1354="",$E1355,$E1355*0.0952380952+H1354*0.9047619048))</f>
        <v>0</v>
      </c>
      <c r="I1355">
        <f>IF($E1355="","",IF($E1354="",$E1355,$E1355*0.0392156863+I1354*0.9607843137))</f>
        <v>0</v>
      </c>
      <c r="J1355">
        <f>IF($E1355="","",IF($E1354="",$E1355,$E1355*0.0198019802+J1354*0.9801980198))</f>
        <v>0</v>
      </c>
      <c r="K1355">
        <f>IF($E1355="","",IF($E1354="",$E1355,$E1355*0.0099502488+K1354*0.9900497512))</f>
        <v>0</v>
      </c>
      <c r="L1355">
        <f>IF(OR($E1355="",$E1354=""),"",MAX($E1355-$E1354,0))</f>
        <v>0</v>
      </c>
      <c r="M1355">
        <f>IF(OR($E1355="",$E1354=""),"",MAX($E1354-$E1355,0))</f>
        <v>0</v>
      </c>
      <c r="N1355">
        <f>IF(COUNT($E$2:$E1355)&lt;15,"",IF(AVERAGE($M$1342:$M$1355)=0,100,100-100/(1+AVERAGE($L$1342:$L$1355)/AVERAGE($M$1342:$M$1355))))</f>
        <v>0</v>
      </c>
      <c r="O1355">
        <f>IF($E1355="","",IF($E1354="",$E1355,$E1355*0.1538461538+O1354*0.8461538462))</f>
        <v>0</v>
      </c>
      <c r="P1355">
        <f>IF($E1355="","",IF($E1354="",$E1355,$E1355*0.0740740741+P1354*0.9259259259))</f>
        <v>0</v>
      </c>
      <c r="Q1355">
        <f>IF(OR(O1355="",P1355=""),"",O1355-P1355)</f>
        <v>0</v>
      </c>
      <c r="R1355">
        <f>IF(Q1355="","",IF(R1354="",Q1355,Q1355*0.2000000000+R1354*0.8000000000))</f>
        <v>0</v>
      </c>
      <c r="S1355">
        <f>IF(OR(Q1355="",R1355=""),"",Q1355-R1355)</f>
        <v>0</v>
      </c>
      <c r="T1355">
        <f>IF(COUNT($E$2:$E1355)&lt;14,"",MAX($C$1342:$C$1355))</f>
        <v>0</v>
      </c>
      <c r="U1355">
        <f>IF(COUNT($E$2:$E1355)&lt;14,"",MIN($D$1342:$D$1355))</f>
        <v>0</v>
      </c>
      <c r="V1355">
        <f>IF(OR(T1355="",U1355="",T1355=U1355),"",100*($E1355-U1355)/(T1355-U1355))</f>
        <v>0</v>
      </c>
      <c r="W1355">
        <f>IF(COUNT($V$1353:$V$1355)&lt;3,"",AVERAGE($V$1353:$V$1355))</f>
        <v>0</v>
      </c>
      <c r="X1355">
        <f>IF(COUNT($N$1342:$N$1355)&lt;14,"",MIN($N$1342:$N$1355))</f>
        <v>0</v>
      </c>
      <c r="Y1355">
        <f>IF(COUNT($N$1342:$N$1355)&lt;14,"",MAX($N$1342:$N$1355))</f>
        <v>0</v>
      </c>
      <c r="Z1355">
        <f>IF(OR(N1355="",X1355="",Y1355="",Y1355=X1355),"",100*(N1355-X1355)/(Y1355-X1355))</f>
        <v>0</v>
      </c>
      <c r="AA1355">
        <f>IF(COUNT($Z$1353:$Z$1355)&lt;3,"",AVERAGE($Z$1353:$Z$1355))</f>
        <v>0</v>
      </c>
      <c r="AB1355">
        <f>IF(COUNT($AA$1353:$AA$1355)&lt;3,"",AVERAGE($AA$1353:$AA$1355))</f>
        <v>0</v>
      </c>
      <c r="AC1355">
        <f>IF($E1355="","",MAX($C1355-$D1355,ABS($C1355-$E1354),ABS($D1355-$E1354)))</f>
        <v>0</v>
      </c>
      <c r="AD1355">
        <f>IF(COUNT($E$2:$E1355)&lt;15,"",AVERAGE($AC$1342:$AC$1355))</f>
        <v>0</v>
      </c>
      <c r="AE1355">
        <f>IF(OR($E1355="",$E1354=""),"",IF(AND(($C1355-$C1354)&gt;($D1354-$D1355),($C1355-$C1354)&gt;0),$C1355-$C1354,0))</f>
        <v>0</v>
      </c>
      <c r="AF1355">
        <f>IF(OR($E1355="",$E1354=""),"",IF(AND(($D1354-$D1355)&gt;($C1355-$C1354),($D1354-$D1355)&gt;0),$D1354-$D1355,0))</f>
        <v>0</v>
      </c>
      <c r="AG1355">
        <f>IF(COUNT($E$2:$E1355)&lt;15,"",IF(SUM($AC$1342:$AC$1355)=0,0,100*SUM($AE$1342:$AE$1355)/SUM($AC$1342:$AC$1355)))</f>
        <v>0</v>
      </c>
      <c r="AH1355">
        <f>IF(COUNT($E$2:$E1355)&lt;15,"",IF(SUM($AC$1342:$AC$1355)=0,0,100*SUM($AF$1342:$AF$1355)/SUM($AC$1342:$AC$1355)))</f>
        <v>0</v>
      </c>
      <c r="AI1355">
        <f>IF(OR(AG1355="",AH1355=""),"",IF((AG1355+AH1355)=0,0,100*ABS(AG1355-AH1355)/(AG1355+AH1355)))</f>
        <v>0</v>
      </c>
      <c r="AJ1355">
        <f>IF(COUNT($AI$1342:$AI$1355)&lt;14,"",AVERAGE($AI$1342:$AI$1355))</f>
        <v>0</v>
      </c>
      <c r="AK1355">
        <f>IF(COUNT($E$2:$E1355)&lt;20,"",AVERAGE($E$1336:$E$1355))</f>
        <v>0</v>
      </c>
      <c r="AL1355">
        <f>IF(COUNT($E$2:$E1355)&lt;20,"",STDEVP($E$1336:$E$1355))</f>
        <v>0</v>
      </c>
      <c r="AM1355">
        <f>IF(AK1355="","",AK1355+2*AL1355)</f>
        <v>0</v>
      </c>
      <c r="AN1355">
        <f>IF(AK1355="","",AK1355-2*AL1355)</f>
        <v>0</v>
      </c>
      <c r="AO1355">
        <f>IF(OR(AM1355="",AN1355="",AM1355=AN1355),"",($E1355-AN1355)/(AM1355-AN1355))</f>
        <v>0</v>
      </c>
      <c r="AP1355">
        <f>IF(OR(AM1355="",AK1355="",AK1355=0),"",(AM1355-AN1355)/AK1355)</f>
        <v>0</v>
      </c>
      <c r="AQ1355">
        <f>IF(COUNT($E$2:$E1355)&lt;20,"",MAX($C$1336:$C$1355))</f>
        <v>0</v>
      </c>
      <c r="AR1355">
        <f>IF(COUNT($E$2:$E1355)&lt;20,"",MIN($D$1336:$D$1355))</f>
        <v>0</v>
      </c>
      <c r="AS1355">
        <f>IF(OR(AQ1355="",AR1355=""),"",(AQ1355+AR1355)/2)</f>
        <v>0</v>
      </c>
      <c r="AT1355">
        <f>IF(COUNT($G$1336:$G$1355)&lt;20,"",STDEV($G$1336:$G$1355)*SQRT(252))</f>
        <v>0</v>
      </c>
      <c r="AU1355">
        <f>IF(COUNT($E$2:$E1355)&lt;9,"",(MAX($C$1347:$C$1355)+MIN($D$1347:$D$1355))/2)</f>
        <v>0</v>
      </c>
      <c r="AV1355">
        <f>IF(COUNT($E$2:$E1355)&lt;26,"",(MAX($C$1330:$C$1355)+MIN($D$1330:$D$1355))/2)</f>
        <v>0</v>
      </c>
      <c r="AW1355">
        <f>IF(OR(AU1355="",AV1355=""),"",(AU1355+AV1355)/2)</f>
        <v>0</v>
      </c>
      <c r="AX1355">
        <f>IF(COUNT($E$2:$E1355)&lt;52,"",(MAX($C$1304:$C$1355)+MIN($D$1304:$D$1355))/2)</f>
        <v>0</v>
      </c>
      <c r="AY1355">
        <f>IF(COUNT($E$2:$E1355)&lt;20,"",MAX($C$1256:$C$1355))</f>
        <v>0</v>
      </c>
      <c r="AZ1355">
        <f>IF(COUNT($E$2:$E1355)&lt;20,"",MIN($D$1256:$D$1355))</f>
        <v>0</v>
      </c>
      <c r="BA1355">
        <f>IF(COUNT($E$2:$E1355)&lt;20,"",SLOPE($E$1256:$E$1355,$F$1256:$F$1355))</f>
        <v>0</v>
      </c>
      <c r="BB1355">
        <f>IF(COUNT($E$2:$E1355)&lt;20,"",INTERCEPT($E$1256:$E$1355,$F$1256:$F$1355))</f>
        <v>0</v>
      </c>
      <c r="BC1355">
        <f>IF(OR(BA1355="",BB1355=""),"",BB1355+BA1355*F1355)</f>
        <v>0</v>
      </c>
      <c r="BD1355">
        <f>IF(COUNT($E$2:$E1355)&lt;20,"",STEYX($E$1256:$E$1355,$F$1256:$F$1355))</f>
        <v>0</v>
      </c>
      <c r="BE1355">
        <f>IF($E1355="","",IF(AND(COUNT($E$1356:$E$1359)&gt;=4,$C1355=MAX($C$1351:$C$1359)),$C1355,""))</f>
        <v>0</v>
      </c>
      <c r="BF1355">
        <f>IF($E1355="","",IF(AND(COUNT($E$1356:$E$1359)&gt;=4,$D1355=MIN($D$1351:$D$1359)),$D1355,""))</f>
        <v>0</v>
      </c>
      <c r="BG1355">
        <f>IF($A1355="","",$A1355-WEEKDAY($A1355,2)+1)</f>
        <v>0</v>
      </c>
      <c r="BH1355">
        <f>IF($A1355="","",IF($A1354="",1,IF(BG1355&lt;&gt;BG1354,1,0)))</f>
        <v>0</v>
      </c>
      <c r="BI1355">
        <f>IF($A1355="","",IF($A1356="",1,IF(BG1356&lt;&gt;BG1355,1,0)))</f>
        <v>0</v>
      </c>
      <c r="BJ1355">
        <f>IF($A1355="","",IF(BH1355=1,$B1355,BJ1354))</f>
        <v>0</v>
      </c>
      <c r="BK1355">
        <f>IF($A1355="","",IF(BH1355=1,$C1355,MAX($C1355,BK1354)))</f>
        <v>0</v>
      </c>
      <c r="BL1355">
        <f>IF($A1355="","",IF(BH1355=1,$D1355,MIN($D1355,BL1354)))</f>
        <v>0</v>
      </c>
      <c r="BM1355">
        <f>IF($A1355="","",IF(BI1355=1,F1355,""))</f>
        <v>0</v>
      </c>
      <c r="BN1355">
        <f>IF($A1355="","",DATE(YEAR($A1355),MONTH($A1355),1))</f>
        <v>0</v>
      </c>
      <c r="BO1355">
        <f>IF($A1355="","",IF($A1354="",1,IF(BN1355&lt;&gt;BN1354,1,0)))</f>
        <v>0</v>
      </c>
      <c r="BP1355">
        <f>IF($A1355="","",IF($A1356="",1,IF(BN1356&lt;&gt;BN1355,1,0)))</f>
        <v>0</v>
      </c>
      <c r="BQ1355">
        <f>IF($A1355="","",IF(BO1355=1,$B1355,BQ1354))</f>
        <v>0</v>
      </c>
      <c r="BR1355">
        <f>IF($A1355="","",IF(BO1355=1,$C1355,MAX($C1355,BR1354)))</f>
        <v>0</v>
      </c>
      <c r="BS1355">
        <f>IF($A1355="","",IF(BO1355=1,$D1355,MIN($D1355,BS1354)))</f>
        <v>0</v>
      </c>
      <c r="BT1355">
        <f>IF($A1355="","",IF(BP1355=1,F1355,""))</f>
        <v>0</v>
      </c>
    </row>
    <row r="1356" spans="1:72">
      <c r="A1356" s="27">
        <f>IF(Data!$A1356="","",Data!$A1356)</f>
        <v>0</v>
      </c>
      <c r="B1356">
        <f>IF(Data!$B1356="","",Data!$B1356)</f>
        <v>0</v>
      </c>
      <c r="C1356">
        <f>IF(Data!$C1356="","",Data!$C1356)</f>
        <v>0</v>
      </c>
      <c r="D1356">
        <f>IF(Data!$D1356="","",Data!$D1356)</f>
        <v>0</v>
      </c>
      <c r="E1356">
        <f>IF(Data!$E1356="","",Data!$E1356)</f>
        <v>0</v>
      </c>
      <c r="F1356">
        <f>IF($E1356="","",N(F1355)+1)</f>
        <v>0</v>
      </c>
      <c r="G1356">
        <f>IF(OR($E1356="",$E1355=""),"",LN($E1356/$E1355))</f>
        <v>0</v>
      </c>
      <c r="H1356">
        <f>IF($E1356="","",IF($E1355="",$E1356,$E1356*0.0952380952+H1355*0.9047619048))</f>
        <v>0</v>
      </c>
      <c r="I1356">
        <f>IF($E1356="","",IF($E1355="",$E1356,$E1356*0.0392156863+I1355*0.9607843137))</f>
        <v>0</v>
      </c>
      <c r="J1356">
        <f>IF($E1356="","",IF($E1355="",$E1356,$E1356*0.0198019802+J1355*0.9801980198))</f>
        <v>0</v>
      </c>
      <c r="K1356">
        <f>IF($E1356="","",IF($E1355="",$E1356,$E1356*0.0099502488+K1355*0.9900497512))</f>
        <v>0</v>
      </c>
      <c r="L1356">
        <f>IF(OR($E1356="",$E1355=""),"",MAX($E1356-$E1355,0))</f>
        <v>0</v>
      </c>
      <c r="M1356">
        <f>IF(OR($E1356="",$E1355=""),"",MAX($E1355-$E1356,0))</f>
        <v>0</v>
      </c>
      <c r="N1356">
        <f>IF(COUNT($E$2:$E1356)&lt;15,"",IF(AVERAGE($M$1343:$M$1356)=0,100,100-100/(1+AVERAGE($L$1343:$L$1356)/AVERAGE($M$1343:$M$1356))))</f>
        <v>0</v>
      </c>
      <c r="O1356">
        <f>IF($E1356="","",IF($E1355="",$E1356,$E1356*0.1538461538+O1355*0.8461538462))</f>
        <v>0</v>
      </c>
      <c r="P1356">
        <f>IF($E1356="","",IF($E1355="",$E1356,$E1356*0.0740740741+P1355*0.9259259259))</f>
        <v>0</v>
      </c>
      <c r="Q1356">
        <f>IF(OR(O1356="",P1356=""),"",O1356-P1356)</f>
        <v>0</v>
      </c>
      <c r="R1356">
        <f>IF(Q1356="","",IF(R1355="",Q1356,Q1356*0.2000000000+R1355*0.8000000000))</f>
        <v>0</v>
      </c>
      <c r="S1356">
        <f>IF(OR(Q1356="",R1356=""),"",Q1356-R1356)</f>
        <v>0</v>
      </c>
      <c r="T1356">
        <f>IF(COUNT($E$2:$E1356)&lt;14,"",MAX($C$1343:$C$1356))</f>
        <v>0</v>
      </c>
      <c r="U1356">
        <f>IF(COUNT($E$2:$E1356)&lt;14,"",MIN($D$1343:$D$1356))</f>
        <v>0</v>
      </c>
      <c r="V1356">
        <f>IF(OR(T1356="",U1356="",T1356=U1356),"",100*($E1356-U1356)/(T1356-U1356))</f>
        <v>0</v>
      </c>
      <c r="W1356">
        <f>IF(COUNT($V$1354:$V$1356)&lt;3,"",AVERAGE($V$1354:$V$1356))</f>
        <v>0</v>
      </c>
      <c r="X1356">
        <f>IF(COUNT($N$1343:$N$1356)&lt;14,"",MIN($N$1343:$N$1356))</f>
        <v>0</v>
      </c>
      <c r="Y1356">
        <f>IF(COUNT($N$1343:$N$1356)&lt;14,"",MAX($N$1343:$N$1356))</f>
        <v>0</v>
      </c>
      <c r="Z1356">
        <f>IF(OR(N1356="",X1356="",Y1356="",Y1356=X1356),"",100*(N1356-X1356)/(Y1356-X1356))</f>
        <v>0</v>
      </c>
      <c r="AA1356">
        <f>IF(COUNT($Z$1354:$Z$1356)&lt;3,"",AVERAGE($Z$1354:$Z$1356))</f>
        <v>0</v>
      </c>
      <c r="AB1356">
        <f>IF(COUNT($AA$1354:$AA$1356)&lt;3,"",AVERAGE($AA$1354:$AA$1356))</f>
        <v>0</v>
      </c>
      <c r="AC1356">
        <f>IF($E1356="","",MAX($C1356-$D1356,ABS($C1356-$E1355),ABS($D1356-$E1355)))</f>
        <v>0</v>
      </c>
      <c r="AD1356">
        <f>IF(COUNT($E$2:$E1356)&lt;15,"",AVERAGE($AC$1343:$AC$1356))</f>
        <v>0</v>
      </c>
      <c r="AE1356">
        <f>IF(OR($E1356="",$E1355=""),"",IF(AND(($C1356-$C1355)&gt;($D1355-$D1356),($C1356-$C1355)&gt;0),$C1356-$C1355,0))</f>
        <v>0</v>
      </c>
      <c r="AF1356">
        <f>IF(OR($E1356="",$E1355=""),"",IF(AND(($D1355-$D1356)&gt;($C1356-$C1355),($D1355-$D1356)&gt;0),$D1355-$D1356,0))</f>
        <v>0</v>
      </c>
      <c r="AG1356">
        <f>IF(COUNT($E$2:$E1356)&lt;15,"",IF(SUM($AC$1343:$AC$1356)=0,0,100*SUM($AE$1343:$AE$1356)/SUM($AC$1343:$AC$1356)))</f>
        <v>0</v>
      </c>
      <c r="AH1356">
        <f>IF(COUNT($E$2:$E1356)&lt;15,"",IF(SUM($AC$1343:$AC$1356)=0,0,100*SUM($AF$1343:$AF$1356)/SUM($AC$1343:$AC$1356)))</f>
        <v>0</v>
      </c>
      <c r="AI1356">
        <f>IF(OR(AG1356="",AH1356=""),"",IF((AG1356+AH1356)=0,0,100*ABS(AG1356-AH1356)/(AG1356+AH1356)))</f>
        <v>0</v>
      </c>
      <c r="AJ1356">
        <f>IF(COUNT($AI$1343:$AI$1356)&lt;14,"",AVERAGE($AI$1343:$AI$1356))</f>
        <v>0</v>
      </c>
      <c r="AK1356">
        <f>IF(COUNT($E$2:$E1356)&lt;20,"",AVERAGE($E$1337:$E$1356))</f>
        <v>0</v>
      </c>
      <c r="AL1356">
        <f>IF(COUNT($E$2:$E1356)&lt;20,"",STDEVP($E$1337:$E$1356))</f>
        <v>0</v>
      </c>
      <c r="AM1356">
        <f>IF(AK1356="","",AK1356+2*AL1356)</f>
        <v>0</v>
      </c>
      <c r="AN1356">
        <f>IF(AK1356="","",AK1356-2*AL1356)</f>
        <v>0</v>
      </c>
      <c r="AO1356">
        <f>IF(OR(AM1356="",AN1356="",AM1356=AN1356),"",($E1356-AN1356)/(AM1356-AN1356))</f>
        <v>0</v>
      </c>
      <c r="AP1356">
        <f>IF(OR(AM1356="",AK1356="",AK1356=0),"",(AM1356-AN1356)/AK1356)</f>
        <v>0</v>
      </c>
      <c r="AQ1356">
        <f>IF(COUNT($E$2:$E1356)&lt;20,"",MAX($C$1337:$C$1356))</f>
        <v>0</v>
      </c>
      <c r="AR1356">
        <f>IF(COUNT($E$2:$E1356)&lt;20,"",MIN($D$1337:$D$1356))</f>
        <v>0</v>
      </c>
      <c r="AS1356">
        <f>IF(OR(AQ1356="",AR1356=""),"",(AQ1356+AR1356)/2)</f>
        <v>0</v>
      </c>
      <c r="AT1356">
        <f>IF(COUNT($G$1337:$G$1356)&lt;20,"",STDEV($G$1337:$G$1356)*SQRT(252))</f>
        <v>0</v>
      </c>
      <c r="AU1356">
        <f>IF(COUNT($E$2:$E1356)&lt;9,"",(MAX($C$1348:$C$1356)+MIN($D$1348:$D$1356))/2)</f>
        <v>0</v>
      </c>
      <c r="AV1356">
        <f>IF(COUNT($E$2:$E1356)&lt;26,"",(MAX($C$1331:$C$1356)+MIN($D$1331:$D$1356))/2)</f>
        <v>0</v>
      </c>
      <c r="AW1356">
        <f>IF(OR(AU1356="",AV1356=""),"",(AU1356+AV1356)/2)</f>
        <v>0</v>
      </c>
      <c r="AX1356">
        <f>IF(COUNT($E$2:$E1356)&lt;52,"",(MAX($C$1305:$C$1356)+MIN($D$1305:$D$1356))/2)</f>
        <v>0</v>
      </c>
      <c r="AY1356">
        <f>IF(COUNT($E$2:$E1356)&lt;20,"",MAX($C$1257:$C$1356))</f>
        <v>0</v>
      </c>
      <c r="AZ1356">
        <f>IF(COUNT($E$2:$E1356)&lt;20,"",MIN($D$1257:$D$1356))</f>
        <v>0</v>
      </c>
      <c r="BA1356">
        <f>IF(COUNT($E$2:$E1356)&lt;20,"",SLOPE($E$1257:$E$1356,$F$1257:$F$1356))</f>
        <v>0</v>
      </c>
      <c r="BB1356">
        <f>IF(COUNT($E$2:$E1356)&lt;20,"",INTERCEPT($E$1257:$E$1356,$F$1257:$F$1356))</f>
        <v>0</v>
      </c>
      <c r="BC1356">
        <f>IF(OR(BA1356="",BB1356=""),"",BB1356+BA1356*F1356)</f>
        <v>0</v>
      </c>
      <c r="BD1356">
        <f>IF(COUNT($E$2:$E1356)&lt;20,"",STEYX($E$1257:$E$1356,$F$1257:$F$1356))</f>
        <v>0</v>
      </c>
      <c r="BE1356">
        <f>IF($E1356="","",IF(AND(COUNT($E$1357:$E$1360)&gt;=4,$C1356=MAX($C$1352:$C$1360)),$C1356,""))</f>
        <v>0</v>
      </c>
      <c r="BF1356">
        <f>IF($E1356="","",IF(AND(COUNT($E$1357:$E$1360)&gt;=4,$D1356=MIN($D$1352:$D$1360)),$D1356,""))</f>
        <v>0</v>
      </c>
      <c r="BG1356">
        <f>IF($A1356="","",$A1356-WEEKDAY($A1356,2)+1)</f>
        <v>0</v>
      </c>
      <c r="BH1356">
        <f>IF($A1356="","",IF($A1355="",1,IF(BG1356&lt;&gt;BG1355,1,0)))</f>
        <v>0</v>
      </c>
      <c r="BI1356">
        <f>IF($A1356="","",IF($A1357="",1,IF(BG1357&lt;&gt;BG1356,1,0)))</f>
        <v>0</v>
      </c>
      <c r="BJ1356">
        <f>IF($A1356="","",IF(BH1356=1,$B1356,BJ1355))</f>
        <v>0</v>
      </c>
      <c r="BK1356">
        <f>IF($A1356="","",IF(BH1356=1,$C1356,MAX($C1356,BK1355)))</f>
        <v>0</v>
      </c>
      <c r="BL1356">
        <f>IF($A1356="","",IF(BH1356=1,$D1356,MIN($D1356,BL1355)))</f>
        <v>0</v>
      </c>
      <c r="BM1356">
        <f>IF($A1356="","",IF(BI1356=1,F1356,""))</f>
        <v>0</v>
      </c>
      <c r="BN1356">
        <f>IF($A1356="","",DATE(YEAR($A1356),MONTH($A1356),1))</f>
        <v>0</v>
      </c>
      <c r="BO1356">
        <f>IF($A1356="","",IF($A1355="",1,IF(BN1356&lt;&gt;BN1355,1,0)))</f>
        <v>0</v>
      </c>
      <c r="BP1356">
        <f>IF($A1356="","",IF($A1357="",1,IF(BN1357&lt;&gt;BN1356,1,0)))</f>
        <v>0</v>
      </c>
      <c r="BQ1356">
        <f>IF($A1356="","",IF(BO1356=1,$B1356,BQ1355))</f>
        <v>0</v>
      </c>
      <c r="BR1356">
        <f>IF($A1356="","",IF(BO1356=1,$C1356,MAX($C1356,BR1355)))</f>
        <v>0</v>
      </c>
      <c r="BS1356">
        <f>IF($A1356="","",IF(BO1356=1,$D1356,MIN($D1356,BS1355)))</f>
        <v>0</v>
      </c>
      <c r="BT1356">
        <f>IF($A1356="","",IF(BP1356=1,F1356,""))</f>
        <v>0</v>
      </c>
    </row>
    <row r="1357" spans="1:72">
      <c r="A1357" s="27">
        <f>IF(Data!$A1357="","",Data!$A1357)</f>
        <v>0</v>
      </c>
      <c r="B1357">
        <f>IF(Data!$B1357="","",Data!$B1357)</f>
        <v>0</v>
      </c>
      <c r="C1357">
        <f>IF(Data!$C1357="","",Data!$C1357)</f>
        <v>0</v>
      </c>
      <c r="D1357">
        <f>IF(Data!$D1357="","",Data!$D1357)</f>
        <v>0</v>
      </c>
      <c r="E1357">
        <f>IF(Data!$E1357="","",Data!$E1357)</f>
        <v>0</v>
      </c>
      <c r="F1357">
        <f>IF($E1357="","",N(F1356)+1)</f>
        <v>0</v>
      </c>
      <c r="G1357">
        <f>IF(OR($E1357="",$E1356=""),"",LN($E1357/$E1356))</f>
        <v>0</v>
      </c>
      <c r="H1357">
        <f>IF($E1357="","",IF($E1356="",$E1357,$E1357*0.0952380952+H1356*0.9047619048))</f>
        <v>0</v>
      </c>
      <c r="I1357">
        <f>IF($E1357="","",IF($E1356="",$E1357,$E1357*0.0392156863+I1356*0.9607843137))</f>
        <v>0</v>
      </c>
      <c r="J1357">
        <f>IF($E1357="","",IF($E1356="",$E1357,$E1357*0.0198019802+J1356*0.9801980198))</f>
        <v>0</v>
      </c>
      <c r="K1357">
        <f>IF($E1357="","",IF($E1356="",$E1357,$E1357*0.0099502488+K1356*0.9900497512))</f>
        <v>0</v>
      </c>
      <c r="L1357">
        <f>IF(OR($E1357="",$E1356=""),"",MAX($E1357-$E1356,0))</f>
        <v>0</v>
      </c>
      <c r="M1357">
        <f>IF(OR($E1357="",$E1356=""),"",MAX($E1356-$E1357,0))</f>
        <v>0</v>
      </c>
      <c r="N1357">
        <f>IF(COUNT($E$2:$E1357)&lt;15,"",IF(AVERAGE($M$1344:$M$1357)=0,100,100-100/(1+AVERAGE($L$1344:$L$1357)/AVERAGE($M$1344:$M$1357))))</f>
        <v>0</v>
      </c>
      <c r="O1357">
        <f>IF($E1357="","",IF($E1356="",$E1357,$E1357*0.1538461538+O1356*0.8461538462))</f>
        <v>0</v>
      </c>
      <c r="P1357">
        <f>IF($E1357="","",IF($E1356="",$E1357,$E1357*0.0740740741+P1356*0.9259259259))</f>
        <v>0</v>
      </c>
      <c r="Q1357">
        <f>IF(OR(O1357="",P1357=""),"",O1357-P1357)</f>
        <v>0</v>
      </c>
      <c r="R1357">
        <f>IF(Q1357="","",IF(R1356="",Q1357,Q1357*0.2000000000+R1356*0.8000000000))</f>
        <v>0</v>
      </c>
      <c r="S1357">
        <f>IF(OR(Q1357="",R1357=""),"",Q1357-R1357)</f>
        <v>0</v>
      </c>
      <c r="T1357">
        <f>IF(COUNT($E$2:$E1357)&lt;14,"",MAX($C$1344:$C$1357))</f>
        <v>0</v>
      </c>
      <c r="U1357">
        <f>IF(COUNT($E$2:$E1357)&lt;14,"",MIN($D$1344:$D$1357))</f>
        <v>0</v>
      </c>
      <c r="V1357">
        <f>IF(OR(T1357="",U1357="",T1357=U1357),"",100*($E1357-U1357)/(T1357-U1357))</f>
        <v>0</v>
      </c>
      <c r="W1357">
        <f>IF(COUNT($V$1355:$V$1357)&lt;3,"",AVERAGE($V$1355:$V$1357))</f>
        <v>0</v>
      </c>
      <c r="X1357">
        <f>IF(COUNT($N$1344:$N$1357)&lt;14,"",MIN($N$1344:$N$1357))</f>
        <v>0</v>
      </c>
      <c r="Y1357">
        <f>IF(COUNT($N$1344:$N$1357)&lt;14,"",MAX($N$1344:$N$1357))</f>
        <v>0</v>
      </c>
      <c r="Z1357">
        <f>IF(OR(N1357="",X1357="",Y1357="",Y1357=X1357),"",100*(N1357-X1357)/(Y1357-X1357))</f>
        <v>0</v>
      </c>
      <c r="AA1357">
        <f>IF(COUNT($Z$1355:$Z$1357)&lt;3,"",AVERAGE($Z$1355:$Z$1357))</f>
        <v>0</v>
      </c>
      <c r="AB1357">
        <f>IF(COUNT($AA$1355:$AA$1357)&lt;3,"",AVERAGE($AA$1355:$AA$1357))</f>
        <v>0</v>
      </c>
      <c r="AC1357">
        <f>IF($E1357="","",MAX($C1357-$D1357,ABS($C1357-$E1356),ABS($D1357-$E1356)))</f>
        <v>0</v>
      </c>
      <c r="AD1357">
        <f>IF(COUNT($E$2:$E1357)&lt;15,"",AVERAGE($AC$1344:$AC$1357))</f>
        <v>0</v>
      </c>
      <c r="AE1357">
        <f>IF(OR($E1357="",$E1356=""),"",IF(AND(($C1357-$C1356)&gt;($D1356-$D1357),($C1357-$C1356)&gt;0),$C1357-$C1356,0))</f>
        <v>0</v>
      </c>
      <c r="AF1357">
        <f>IF(OR($E1357="",$E1356=""),"",IF(AND(($D1356-$D1357)&gt;($C1357-$C1356),($D1356-$D1357)&gt;0),$D1356-$D1357,0))</f>
        <v>0</v>
      </c>
      <c r="AG1357">
        <f>IF(COUNT($E$2:$E1357)&lt;15,"",IF(SUM($AC$1344:$AC$1357)=0,0,100*SUM($AE$1344:$AE$1357)/SUM($AC$1344:$AC$1357)))</f>
        <v>0</v>
      </c>
      <c r="AH1357">
        <f>IF(COUNT($E$2:$E1357)&lt;15,"",IF(SUM($AC$1344:$AC$1357)=0,0,100*SUM($AF$1344:$AF$1357)/SUM($AC$1344:$AC$1357)))</f>
        <v>0</v>
      </c>
      <c r="AI1357">
        <f>IF(OR(AG1357="",AH1357=""),"",IF((AG1357+AH1357)=0,0,100*ABS(AG1357-AH1357)/(AG1357+AH1357)))</f>
        <v>0</v>
      </c>
      <c r="AJ1357">
        <f>IF(COUNT($AI$1344:$AI$1357)&lt;14,"",AVERAGE($AI$1344:$AI$1357))</f>
        <v>0</v>
      </c>
      <c r="AK1357">
        <f>IF(COUNT($E$2:$E1357)&lt;20,"",AVERAGE($E$1338:$E$1357))</f>
        <v>0</v>
      </c>
      <c r="AL1357">
        <f>IF(COUNT($E$2:$E1357)&lt;20,"",STDEVP($E$1338:$E$1357))</f>
        <v>0</v>
      </c>
      <c r="AM1357">
        <f>IF(AK1357="","",AK1357+2*AL1357)</f>
        <v>0</v>
      </c>
      <c r="AN1357">
        <f>IF(AK1357="","",AK1357-2*AL1357)</f>
        <v>0</v>
      </c>
      <c r="AO1357">
        <f>IF(OR(AM1357="",AN1357="",AM1357=AN1357),"",($E1357-AN1357)/(AM1357-AN1357))</f>
        <v>0</v>
      </c>
      <c r="AP1357">
        <f>IF(OR(AM1357="",AK1357="",AK1357=0),"",(AM1357-AN1357)/AK1357)</f>
        <v>0</v>
      </c>
      <c r="AQ1357">
        <f>IF(COUNT($E$2:$E1357)&lt;20,"",MAX($C$1338:$C$1357))</f>
        <v>0</v>
      </c>
      <c r="AR1357">
        <f>IF(COUNT($E$2:$E1357)&lt;20,"",MIN($D$1338:$D$1357))</f>
        <v>0</v>
      </c>
      <c r="AS1357">
        <f>IF(OR(AQ1357="",AR1357=""),"",(AQ1357+AR1357)/2)</f>
        <v>0</v>
      </c>
      <c r="AT1357">
        <f>IF(COUNT($G$1338:$G$1357)&lt;20,"",STDEV($G$1338:$G$1357)*SQRT(252))</f>
        <v>0</v>
      </c>
      <c r="AU1357">
        <f>IF(COUNT($E$2:$E1357)&lt;9,"",(MAX($C$1349:$C$1357)+MIN($D$1349:$D$1357))/2)</f>
        <v>0</v>
      </c>
      <c r="AV1357">
        <f>IF(COUNT($E$2:$E1357)&lt;26,"",(MAX($C$1332:$C$1357)+MIN($D$1332:$D$1357))/2)</f>
        <v>0</v>
      </c>
      <c r="AW1357">
        <f>IF(OR(AU1357="",AV1357=""),"",(AU1357+AV1357)/2)</f>
        <v>0</v>
      </c>
      <c r="AX1357">
        <f>IF(COUNT($E$2:$E1357)&lt;52,"",(MAX($C$1306:$C$1357)+MIN($D$1306:$D$1357))/2)</f>
        <v>0</v>
      </c>
      <c r="AY1357">
        <f>IF(COUNT($E$2:$E1357)&lt;20,"",MAX($C$1258:$C$1357))</f>
        <v>0</v>
      </c>
      <c r="AZ1357">
        <f>IF(COUNT($E$2:$E1357)&lt;20,"",MIN($D$1258:$D$1357))</f>
        <v>0</v>
      </c>
      <c r="BA1357">
        <f>IF(COUNT($E$2:$E1357)&lt;20,"",SLOPE($E$1258:$E$1357,$F$1258:$F$1357))</f>
        <v>0</v>
      </c>
      <c r="BB1357">
        <f>IF(COUNT($E$2:$E1357)&lt;20,"",INTERCEPT($E$1258:$E$1357,$F$1258:$F$1357))</f>
        <v>0</v>
      </c>
      <c r="BC1357">
        <f>IF(OR(BA1357="",BB1357=""),"",BB1357+BA1357*F1357)</f>
        <v>0</v>
      </c>
      <c r="BD1357">
        <f>IF(COUNT($E$2:$E1357)&lt;20,"",STEYX($E$1258:$E$1357,$F$1258:$F$1357))</f>
        <v>0</v>
      </c>
      <c r="BE1357">
        <f>IF($E1357="","",IF(AND(COUNT($E$1358:$E$1361)&gt;=4,$C1357=MAX($C$1353:$C$1361)),$C1357,""))</f>
        <v>0</v>
      </c>
      <c r="BF1357">
        <f>IF($E1357="","",IF(AND(COUNT($E$1358:$E$1361)&gt;=4,$D1357=MIN($D$1353:$D$1361)),$D1357,""))</f>
        <v>0</v>
      </c>
      <c r="BG1357">
        <f>IF($A1357="","",$A1357-WEEKDAY($A1357,2)+1)</f>
        <v>0</v>
      </c>
      <c r="BH1357">
        <f>IF($A1357="","",IF($A1356="",1,IF(BG1357&lt;&gt;BG1356,1,0)))</f>
        <v>0</v>
      </c>
      <c r="BI1357">
        <f>IF($A1357="","",IF($A1358="",1,IF(BG1358&lt;&gt;BG1357,1,0)))</f>
        <v>0</v>
      </c>
      <c r="BJ1357">
        <f>IF($A1357="","",IF(BH1357=1,$B1357,BJ1356))</f>
        <v>0</v>
      </c>
      <c r="BK1357">
        <f>IF($A1357="","",IF(BH1357=1,$C1357,MAX($C1357,BK1356)))</f>
        <v>0</v>
      </c>
      <c r="BL1357">
        <f>IF($A1357="","",IF(BH1357=1,$D1357,MIN($D1357,BL1356)))</f>
        <v>0</v>
      </c>
      <c r="BM1357">
        <f>IF($A1357="","",IF(BI1357=1,F1357,""))</f>
        <v>0</v>
      </c>
      <c r="BN1357">
        <f>IF($A1357="","",DATE(YEAR($A1357),MONTH($A1357),1))</f>
        <v>0</v>
      </c>
      <c r="BO1357">
        <f>IF($A1357="","",IF($A1356="",1,IF(BN1357&lt;&gt;BN1356,1,0)))</f>
        <v>0</v>
      </c>
      <c r="BP1357">
        <f>IF($A1357="","",IF($A1358="",1,IF(BN1358&lt;&gt;BN1357,1,0)))</f>
        <v>0</v>
      </c>
      <c r="BQ1357">
        <f>IF($A1357="","",IF(BO1357=1,$B1357,BQ1356))</f>
        <v>0</v>
      </c>
      <c r="BR1357">
        <f>IF($A1357="","",IF(BO1357=1,$C1357,MAX($C1357,BR1356)))</f>
        <v>0</v>
      </c>
      <c r="BS1357">
        <f>IF($A1357="","",IF(BO1357=1,$D1357,MIN($D1357,BS1356)))</f>
        <v>0</v>
      </c>
      <c r="BT1357">
        <f>IF($A1357="","",IF(BP1357=1,F1357,""))</f>
        <v>0</v>
      </c>
    </row>
    <row r="1358" spans="1:72">
      <c r="A1358" s="27">
        <f>IF(Data!$A1358="","",Data!$A1358)</f>
        <v>0</v>
      </c>
      <c r="B1358">
        <f>IF(Data!$B1358="","",Data!$B1358)</f>
        <v>0</v>
      </c>
      <c r="C1358">
        <f>IF(Data!$C1358="","",Data!$C1358)</f>
        <v>0</v>
      </c>
      <c r="D1358">
        <f>IF(Data!$D1358="","",Data!$D1358)</f>
        <v>0</v>
      </c>
      <c r="E1358">
        <f>IF(Data!$E1358="","",Data!$E1358)</f>
        <v>0</v>
      </c>
      <c r="F1358">
        <f>IF($E1358="","",N(F1357)+1)</f>
        <v>0</v>
      </c>
      <c r="G1358">
        <f>IF(OR($E1358="",$E1357=""),"",LN($E1358/$E1357))</f>
        <v>0</v>
      </c>
      <c r="H1358">
        <f>IF($E1358="","",IF($E1357="",$E1358,$E1358*0.0952380952+H1357*0.9047619048))</f>
        <v>0</v>
      </c>
      <c r="I1358">
        <f>IF($E1358="","",IF($E1357="",$E1358,$E1358*0.0392156863+I1357*0.9607843137))</f>
        <v>0</v>
      </c>
      <c r="J1358">
        <f>IF($E1358="","",IF($E1357="",$E1358,$E1358*0.0198019802+J1357*0.9801980198))</f>
        <v>0</v>
      </c>
      <c r="K1358">
        <f>IF($E1358="","",IF($E1357="",$E1358,$E1358*0.0099502488+K1357*0.9900497512))</f>
        <v>0</v>
      </c>
      <c r="L1358">
        <f>IF(OR($E1358="",$E1357=""),"",MAX($E1358-$E1357,0))</f>
        <v>0</v>
      </c>
      <c r="M1358">
        <f>IF(OR($E1358="",$E1357=""),"",MAX($E1357-$E1358,0))</f>
        <v>0</v>
      </c>
      <c r="N1358">
        <f>IF(COUNT($E$2:$E1358)&lt;15,"",IF(AVERAGE($M$1345:$M$1358)=0,100,100-100/(1+AVERAGE($L$1345:$L$1358)/AVERAGE($M$1345:$M$1358))))</f>
        <v>0</v>
      </c>
      <c r="O1358">
        <f>IF($E1358="","",IF($E1357="",$E1358,$E1358*0.1538461538+O1357*0.8461538462))</f>
        <v>0</v>
      </c>
      <c r="P1358">
        <f>IF($E1358="","",IF($E1357="",$E1358,$E1358*0.0740740741+P1357*0.9259259259))</f>
        <v>0</v>
      </c>
      <c r="Q1358">
        <f>IF(OR(O1358="",P1358=""),"",O1358-P1358)</f>
        <v>0</v>
      </c>
      <c r="R1358">
        <f>IF(Q1358="","",IF(R1357="",Q1358,Q1358*0.2000000000+R1357*0.8000000000))</f>
        <v>0</v>
      </c>
      <c r="S1358">
        <f>IF(OR(Q1358="",R1358=""),"",Q1358-R1358)</f>
        <v>0</v>
      </c>
      <c r="T1358">
        <f>IF(COUNT($E$2:$E1358)&lt;14,"",MAX($C$1345:$C$1358))</f>
        <v>0</v>
      </c>
      <c r="U1358">
        <f>IF(COUNT($E$2:$E1358)&lt;14,"",MIN($D$1345:$D$1358))</f>
        <v>0</v>
      </c>
      <c r="V1358">
        <f>IF(OR(T1358="",U1358="",T1358=U1358),"",100*($E1358-U1358)/(T1358-U1358))</f>
        <v>0</v>
      </c>
      <c r="W1358">
        <f>IF(COUNT($V$1356:$V$1358)&lt;3,"",AVERAGE($V$1356:$V$1358))</f>
        <v>0</v>
      </c>
      <c r="X1358">
        <f>IF(COUNT($N$1345:$N$1358)&lt;14,"",MIN($N$1345:$N$1358))</f>
        <v>0</v>
      </c>
      <c r="Y1358">
        <f>IF(COUNT($N$1345:$N$1358)&lt;14,"",MAX($N$1345:$N$1358))</f>
        <v>0</v>
      </c>
      <c r="Z1358">
        <f>IF(OR(N1358="",X1358="",Y1358="",Y1358=X1358),"",100*(N1358-X1358)/(Y1358-X1358))</f>
        <v>0</v>
      </c>
      <c r="AA1358">
        <f>IF(COUNT($Z$1356:$Z$1358)&lt;3,"",AVERAGE($Z$1356:$Z$1358))</f>
        <v>0</v>
      </c>
      <c r="AB1358">
        <f>IF(COUNT($AA$1356:$AA$1358)&lt;3,"",AVERAGE($AA$1356:$AA$1358))</f>
        <v>0</v>
      </c>
      <c r="AC1358">
        <f>IF($E1358="","",MAX($C1358-$D1358,ABS($C1358-$E1357),ABS($D1358-$E1357)))</f>
        <v>0</v>
      </c>
      <c r="AD1358">
        <f>IF(COUNT($E$2:$E1358)&lt;15,"",AVERAGE($AC$1345:$AC$1358))</f>
        <v>0</v>
      </c>
      <c r="AE1358">
        <f>IF(OR($E1358="",$E1357=""),"",IF(AND(($C1358-$C1357)&gt;($D1357-$D1358),($C1358-$C1357)&gt;0),$C1358-$C1357,0))</f>
        <v>0</v>
      </c>
      <c r="AF1358">
        <f>IF(OR($E1358="",$E1357=""),"",IF(AND(($D1357-$D1358)&gt;($C1358-$C1357),($D1357-$D1358)&gt;0),$D1357-$D1358,0))</f>
        <v>0</v>
      </c>
      <c r="AG1358">
        <f>IF(COUNT($E$2:$E1358)&lt;15,"",IF(SUM($AC$1345:$AC$1358)=0,0,100*SUM($AE$1345:$AE$1358)/SUM($AC$1345:$AC$1358)))</f>
        <v>0</v>
      </c>
      <c r="AH1358">
        <f>IF(COUNT($E$2:$E1358)&lt;15,"",IF(SUM($AC$1345:$AC$1358)=0,0,100*SUM($AF$1345:$AF$1358)/SUM($AC$1345:$AC$1358)))</f>
        <v>0</v>
      </c>
      <c r="AI1358">
        <f>IF(OR(AG1358="",AH1358=""),"",IF((AG1358+AH1358)=0,0,100*ABS(AG1358-AH1358)/(AG1358+AH1358)))</f>
        <v>0</v>
      </c>
      <c r="AJ1358">
        <f>IF(COUNT($AI$1345:$AI$1358)&lt;14,"",AVERAGE($AI$1345:$AI$1358))</f>
        <v>0</v>
      </c>
      <c r="AK1358">
        <f>IF(COUNT($E$2:$E1358)&lt;20,"",AVERAGE($E$1339:$E$1358))</f>
        <v>0</v>
      </c>
      <c r="AL1358">
        <f>IF(COUNT($E$2:$E1358)&lt;20,"",STDEVP($E$1339:$E$1358))</f>
        <v>0</v>
      </c>
      <c r="AM1358">
        <f>IF(AK1358="","",AK1358+2*AL1358)</f>
        <v>0</v>
      </c>
      <c r="AN1358">
        <f>IF(AK1358="","",AK1358-2*AL1358)</f>
        <v>0</v>
      </c>
      <c r="AO1358">
        <f>IF(OR(AM1358="",AN1358="",AM1358=AN1358),"",($E1358-AN1358)/(AM1358-AN1358))</f>
        <v>0</v>
      </c>
      <c r="AP1358">
        <f>IF(OR(AM1358="",AK1358="",AK1358=0),"",(AM1358-AN1358)/AK1358)</f>
        <v>0</v>
      </c>
      <c r="AQ1358">
        <f>IF(COUNT($E$2:$E1358)&lt;20,"",MAX($C$1339:$C$1358))</f>
        <v>0</v>
      </c>
      <c r="AR1358">
        <f>IF(COUNT($E$2:$E1358)&lt;20,"",MIN($D$1339:$D$1358))</f>
        <v>0</v>
      </c>
      <c r="AS1358">
        <f>IF(OR(AQ1358="",AR1358=""),"",(AQ1358+AR1358)/2)</f>
        <v>0</v>
      </c>
      <c r="AT1358">
        <f>IF(COUNT($G$1339:$G$1358)&lt;20,"",STDEV($G$1339:$G$1358)*SQRT(252))</f>
        <v>0</v>
      </c>
      <c r="AU1358">
        <f>IF(COUNT($E$2:$E1358)&lt;9,"",(MAX($C$1350:$C$1358)+MIN($D$1350:$D$1358))/2)</f>
        <v>0</v>
      </c>
      <c r="AV1358">
        <f>IF(COUNT($E$2:$E1358)&lt;26,"",(MAX($C$1333:$C$1358)+MIN($D$1333:$D$1358))/2)</f>
        <v>0</v>
      </c>
      <c r="AW1358">
        <f>IF(OR(AU1358="",AV1358=""),"",(AU1358+AV1358)/2)</f>
        <v>0</v>
      </c>
      <c r="AX1358">
        <f>IF(COUNT($E$2:$E1358)&lt;52,"",(MAX($C$1307:$C$1358)+MIN($D$1307:$D$1358))/2)</f>
        <v>0</v>
      </c>
      <c r="AY1358">
        <f>IF(COUNT($E$2:$E1358)&lt;20,"",MAX($C$1259:$C$1358))</f>
        <v>0</v>
      </c>
      <c r="AZ1358">
        <f>IF(COUNT($E$2:$E1358)&lt;20,"",MIN($D$1259:$D$1358))</f>
        <v>0</v>
      </c>
      <c r="BA1358">
        <f>IF(COUNT($E$2:$E1358)&lt;20,"",SLOPE($E$1259:$E$1358,$F$1259:$F$1358))</f>
        <v>0</v>
      </c>
      <c r="BB1358">
        <f>IF(COUNT($E$2:$E1358)&lt;20,"",INTERCEPT($E$1259:$E$1358,$F$1259:$F$1358))</f>
        <v>0</v>
      </c>
      <c r="BC1358">
        <f>IF(OR(BA1358="",BB1358=""),"",BB1358+BA1358*F1358)</f>
        <v>0</v>
      </c>
      <c r="BD1358">
        <f>IF(COUNT($E$2:$E1358)&lt;20,"",STEYX($E$1259:$E$1358,$F$1259:$F$1358))</f>
        <v>0</v>
      </c>
      <c r="BE1358">
        <f>IF($E1358="","",IF(AND(COUNT($E$1359:$E$1362)&gt;=4,$C1358=MAX($C$1354:$C$1362)),$C1358,""))</f>
        <v>0</v>
      </c>
      <c r="BF1358">
        <f>IF($E1358="","",IF(AND(COUNT($E$1359:$E$1362)&gt;=4,$D1358=MIN($D$1354:$D$1362)),$D1358,""))</f>
        <v>0</v>
      </c>
      <c r="BG1358">
        <f>IF($A1358="","",$A1358-WEEKDAY($A1358,2)+1)</f>
        <v>0</v>
      </c>
      <c r="BH1358">
        <f>IF($A1358="","",IF($A1357="",1,IF(BG1358&lt;&gt;BG1357,1,0)))</f>
        <v>0</v>
      </c>
      <c r="BI1358">
        <f>IF($A1358="","",IF($A1359="",1,IF(BG1359&lt;&gt;BG1358,1,0)))</f>
        <v>0</v>
      </c>
      <c r="BJ1358">
        <f>IF($A1358="","",IF(BH1358=1,$B1358,BJ1357))</f>
        <v>0</v>
      </c>
      <c r="BK1358">
        <f>IF($A1358="","",IF(BH1358=1,$C1358,MAX($C1358,BK1357)))</f>
        <v>0</v>
      </c>
      <c r="BL1358">
        <f>IF($A1358="","",IF(BH1358=1,$D1358,MIN($D1358,BL1357)))</f>
        <v>0</v>
      </c>
      <c r="BM1358">
        <f>IF($A1358="","",IF(BI1358=1,F1358,""))</f>
        <v>0</v>
      </c>
      <c r="BN1358">
        <f>IF($A1358="","",DATE(YEAR($A1358),MONTH($A1358),1))</f>
        <v>0</v>
      </c>
      <c r="BO1358">
        <f>IF($A1358="","",IF($A1357="",1,IF(BN1358&lt;&gt;BN1357,1,0)))</f>
        <v>0</v>
      </c>
      <c r="BP1358">
        <f>IF($A1358="","",IF($A1359="",1,IF(BN1359&lt;&gt;BN1358,1,0)))</f>
        <v>0</v>
      </c>
      <c r="BQ1358">
        <f>IF($A1358="","",IF(BO1358=1,$B1358,BQ1357))</f>
        <v>0</v>
      </c>
      <c r="BR1358">
        <f>IF($A1358="","",IF(BO1358=1,$C1358,MAX($C1358,BR1357)))</f>
        <v>0</v>
      </c>
      <c r="BS1358">
        <f>IF($A1358="","",IF(BO1358=1,$D1358,MIN($D1358,BS1357)))</f>
        <v>0</v>
      </c>
      <c r="BT1358">
        <f>IF($A1358="","",IF(BP1358=1,F1358,""))</f>
        <v>0</v>
      </c>
    </row>
    <row r="1359" spans="1:72">
      <c r="A1359" s="27">
        <f>IF(Data!$A1359="","",Data!$A1359)</f>
        <v>0</v>
      </c>
      <c r="B1359">
        <f>IF(Data!$B1359="","",Data!$B1359)</f>
        <v>0</v>
      </c>
      <c r="C1359">
        <f>IF(Data!$C1359="","",Data!$C1359)</f>
        <v>0</v>
      </c>
      <c r="D1359">
        <f>IF(Data!$D1359="","",Data!$D1359)</f>
        <v>0</v>
      </c>
      <c r="E1359">
        <f>IF(Data!$E1359="","",Data!$E1359)</f>
        <v>0</v>
      </c>
      <c r="F1359">
        <f>IF($E1359="","",N(F1358)+1)</f>
        <v>0</v>
      </c>
      <c r="G1359">
        <f>IF(OR($E1359="",$E1358=""),"",LN($E1359/$E1358))</f>
        <v>0</v>
      </c>
      <c r="H1359">
        <f>IF($E1359="","",IF($E1358="",$E1359,$E1359*0.0952380952+H1358*0.9047619048))</f>
        <v>0</v>
      </c>
      <c r="I1359">
        <f>IF($E1359="","",IF($E1358="",$E1359,$E1359*0.0392156863+I1358*0.9607843137))</f>
        <v>0</v>
      </c>
      <c r="J1359">
        <f>IF($E1359="","",IF($E1358="",$E1359,$E1359*0.0198019802+J1358*0.9801980198))</f>
        <v>0</v>
      </c>
      <c r="K1359">
        <f>IF($E1359="","",IF($E1358="",$E1359,$E1359*0.0099502488+K1358*0.9900497512))</f>
        <v>0</v>
      </c>
      <c r="L1359">
        <f>IF(OR($E1359="",$E1358=""),"",MAX($E1359-$E1358,0))</f>
        <v>0</v>
      </c>
      <c r="M1359">
        <f>IF(OR($E1359="",$E1358=""),"",MAX($E1358-$E1359,0))</f>
        <v>0</v>
      </c>
      <c r="N1359">
        <f>IF(COUNT($E$2:$E1359)&lt;15,"",IF(AVERAGE($M$1346:$M$1359)=0,100,100-100/(1+AVERAGE($L$1346:$L$1359)/AVERAGE($M$1346:$M$1359))))</f>
        <v>0</v>
      </c>
      <c r="O1359">
        <f>IF($E1359="","",IF($E1358="",$E1359,$E1359*0.1538461538+O1358*0.8461538462))</f>
        <v>0</v>
      </c>
      <c r="P1359">
        <f>IF($E1359="","",IF($E1358="",$E1359,$E1359*0.0740740741+P1358*0.9259259259))</f>
        <v>0</v>
      </c>
      <c r="Q1359">
        <f>IF(OR(O1359="",P1359=""),"",O1359-P1359)</f>
        <v>0</v>
      </c>
      <c r="R1359">
        <f>IF(Q1359="","",IF(R1358="",Q1359,Q1359*0.2000000000+R1358*0.8000000000))</f>
        <v>0</v>
      </c>
      <c r="S1359">
        <f>IF(OR(Q1359="",R1359=""),"",Q1359-R1359)</f>
        <v>0</v>
      </c>
      <c r="T1359">
        <f>IF(COUNT($E$2:$E1359)&lt;14,"",MAX($C$1346:$C$1359))</f>
        <v>0</v>
      </c>
      <c r="U1359">
        <f>IF(COUNT($E$2:$E1359)&lt;14,"",MIN($D$1346:$D$1359))</f>
        <v>0</v>
      </c>
      <c r="V1359">
        <f>IF(OR(T1359="",U1359="",T1359=U1359),"",100*($E1359-U1359)/(T1359-U1359))</f>
        <v>0</v>
      </c>
      <c r="W1359">
        <f>IF(COUNT($V$1357:$V$1359)&lt;3,"",AVERAGE($V$1357:$V$1359))</f>
        <v>0</v>
      </c>
      <c r="X1359">
        <f>IF(COUNT($N$1346:$N$1359)&lt;14,"",MIN($N$1346:$N$1359))</f>
        <v>0</v>
      </c>
      <c r="Y1359">
        <f>IF(COUNT($N$1346:$N$1359)&lt;14,"",MAX($N$1346:$N$1359))</f>
        <v>0</v>
      </c>
      <c r="Z1359">
        <f>IF(OR(N1359="",X1359="",Y1359="",Y1359=X1359),"",100*(N1359-X1359)/(Y1359-X1359))</f>
        <v>0</v>
      </c>
      <c r="AA1359">
        <f>IF(COUNT($Z$1357:$Z$1359)&lt;3,"",AVERAGE($Z$1357:$Z$1359))</f>
        <v>0</v>
      </c>
      <c r="AB1359">
        <f>IF(COUNT($AA$1357:$AA$1359)&lt;3,"",AVERAGE($AA$1357:$AA$1359))</f>
        <v>0</v>
      </c>
      <c r="AC1359">
        <f>IF($E1359="","",MAX($C1359-$D1359,ABS($C1359-$E1358),ABS($D1359-$E1358)))</f>
        <v>0</v>
      </c>
      <c r="AD1359">
        <f>IF(COUNT($E$2:$E1359)&lt;15,"",AVERAGE($AC$1346:$AC$1359))</f>
        <v>0</v>
      </c>
      <c r="AE1359">
        <f>IF(OR($E1359="",$E1358=""),"",IF(AND(($C1359-$C1358)&gt;($D1358-$D1359),($C1359-$C1358)&gt;0),$C1359-$C1358,0))</f>
        <v>0</v>
      </c>
      <c r="AF1359">
        <f>IF(OR($E1359="",$E1358=""),"",IF(AND(($D1358-$D1359)&gt;($C1359-$C1358),($D1358-$D1359)&gt;0),$D1358-$D1359,0))</f>
        <v>0</v>
      </c>
      <c r="AG1359">
        <f>IF(COUNT($E$2:$E1359)&lt;15,"",IF(SUM($AC$1346:$AC$1359)=0,0,100*SUM($AE$1346:$AE$1359)/SUM($AC$1346:$AC$1359)))</f>
        <v>0</v>
      </c>
      <c r="AH1359">
        <f>IF(COUNT($E$2:$E1359)&lt;15,"",IF(SUM($AC$1346:$AC$1359)=0,0,100*SUM($AF$1346:$AF$1359)/SUM($AC$1346:$AC$1359)))</f>
        <v>0</v>
      </c>
      <c r="AI1359">
        <f>IF(OR(AG1359="",AH1359=""),"",IF((AG1359+AH1359)=0,0,100*ABS(AG1359-AH1359)/(AG1359+AH1359)))</f>
        <v>0</v>
      </c>
      <c r="AJ1359">
        <f>IF(COUNT($AI$1346:$AI$1359)&lt;14,"",AVERAGE($AI$1346:$AI$1359))</f>
        <v>0</v>
      </c>
      <c r="AK1359">
        <f>IF(COUNT($E$2:$E1359)&lt;20,"",AVERAGE($E$1340:$E$1359))</f>
        <v>0</v>
      </c>
      <c r="AL1359">
        <f>IF(COUNT($E$2:$E1359)&lt;20,"",STDEVP($E$1340:$E$1359))</f>
        <v>0</v>
      </c>
      <c r="AM1359">
        <f>IF(AK1359="","",AK1359+2*AL1359)</f>
        <v>0</v>
      </c>
      <c r="AN1359">
        <f>IF(AK1359="","",AK1359-2*AL1359)</f>
        <v>0</v>
      </c>
      <c r="AO1359">
        <f>IF(OR(AM1359="",AN1359="",AM1359=AN1359),"",($E1359-AN1359)/(AM1359-AN1359))</f>
        <v>0</v>
      </c>
      <c r="AP1359">
        <f>IF(OR(AM1359="",AK1359="",AK1359=0),"",(AM1359-AN1359)/AK1359)</f>
        <v>0</v>
      </c>
      <c r="AQ1359">
        <f>IF(COUNT($E$2:$E1359)&lt;20,"",MAX($C$1340:$C$1359))</f>
        <v>0</v>
      </c>
      <c r="AR1359">
        <f>IF(COUNT($E$2:$E1359)&lt;20,"",MIN($D$1340:$D$1359))</f>
        <v>0</v>
      </c>
      <c r="AS1359">
        <f>IF(OR(AQ1359="",AR1359=""),"",(AQ1359+AR1359)/2)</f>
        <v>0</v>
      </c>
      <c r="AT1359">
        <f>IF(COUNT($G$1340:$G$1359)&lt;20,"",STDEV($G$1340:$G$1359)*SQRT(252))</f>
        <v>0</v>
      </c>
      <c r="AU1359">
        <f>IF(COUNT($E$2:$E1359)&lt;9,"",(MAX($C$1351:$C$1359)+MIN($D$1351:$D$1359))/2)</f>
        <v>0</v>
      </c>
      <c r="AV1359">
        <f>IF(COUNT($E$2:$E1359)&lt;26,"",(MAX($C$1334:$C$1359)+MIN($D$1334:$D$1359))/2)</f>
        <v>0</v>
      </c>
      <c r="AW1359">
        <f>IF(OR(AU1359="",AV1359=""),"",(AU1359+AV1359)/2)</f>
        <v>0</v>
      </c>
      <c r="AX1359">
        <f>IF(COUNT($E$2:$E1359)&lt;52,"",(MAX($C$1308:$C$1359)+MIN($D$1308:$D$1359))/2)</f>
        <v>0</v>
      </c>
      <c r="AY1359">
        <f>IF(COUNT($E$2:$E1359)&lt;20,"",MAX($C$1260:$C$1359))</f>
        <v>0</v>
      </c>
      <c r="AZ1359">
        <f>IF(COUNT($E$2:$E1359)&lt;20,"",MIN($D$1260:$D$1359))</f>
        <v>0</v>
      </c>
      <c r="BA1359">
        <f>IF(COUNT($E$2:$E1359)&lt;20,"",SLOPE($E$1260:$E$1359,$F$1260:$F$1359))</f>
        <v>0</v>
      </c>
      <c r="BB1359">
        <f>IF(COUNT($E$2:$E1359)&lt;20,"",INTERCEPT($E$1260:$E$1359,$F$1260:$F$1359))</f>
        <v>0</v>
      </c>
      <c r="BC1359">
        <f>IF(OR(BA1359="",BB1359=""),"",BB1359+BA1359*F1359)</f>
        <v>0</v>
      </c>
      <c r="BD1359">
        <f>IF(COUNT($E$2:$E1359)&lt;20,"",STEYX($E$1260:$E$1359,$F$1260:$F$1359))</f>
        <v>0</v>
      </c>
      <c r="BE1359">
        <f>IF($E1359="","",IF(AND(COUNT($E$1360:$E$1363)&gt;=4,$C1359=MAX($C$1355:$C$1363)),$C1359,""))</f>
        <v>0</v>
      </c>
      <c r="BF1359">
        <f>IF($E1359="","",IF(AND(COUNT($E$1360:$E$1363)&gt;=4,$D1359=MIN($D$1355:$D$1363)),$D1359,""))</f>
        <v>0</v>
      </c>
      <c r="BG1359">
        <f>IF($A1359="","",$A1359-WEEKDAY($A1359,2)+1)</f>
        <v>0</v>
      </c>
      <c r="BH1359">
        <f>IF($A1359="","",IF($A1358="",1,IF(BG1359&lt;&gt;BG1358,1,0)))</f>
        <v>0</v>
      </c>
      <c r="BI1359">
        <f>IF($A1359="","",IF($A1360="",1,IF(BG1360&lt;&gt;BG1359,1,0)))</f>
        <v>0</v>
      </c>
      <c r="BJ1359">
        <f>IF($A1359="","",IF(BH1359=1,$B1359,BJ1358))</f>
        <v>0</v>
      </c>
      <c r="BK1359">
        <f>IF($A1359="","",IF(BH1359=1,$C1359,MAX($C1359,BK1358)))</f>
        <v>0</v>
      </c>
      <c r="BL1359">
        <f>IF($A1359="","",IF(BH1359=1,$D1359,MIN($D1359,BL1358)))</f>
        <v>0</v>
      </c>
      <c r="BM1359">
        <f>IF($A1359="","",IF(BI1359=1,F1359,""))</f>
        <v>0</v>
      </c>
      <c r="BN1359">
        <f>IF($A1359="","",DATE(YEAR($A1359),MONTH($A1359),1))</f>
        <v>0</v>
      </c>
      <c r="BO1359">
        <f>IF($A1359="","",IF($A1358="",1,IF(BN1359&lt;&gt;BN1358,1,0)))</f>
        <v>0</v>
      </c>
      <c r="BP1359">
        <f>IF($A1359="","",IF($A1360="",1,IF(BN1360&lt;&gt;BN1359,1,0)))</f>
        <v>0</v>
      </c>
      <c r="BQ1359">
        <f>IF($A1359="","",IF(BO1359=1,$B1359,BQ1358))</f>
        <v>0</v>
      </c>
      <c r="BR1359">
        <f>IF($A1359="","",IF(BO1359=1,$C1359,MAX($C1359,BR1358)))</f>
        <v>0</v>
      </c>
      <c r="BS1359">
        <f>IF($A1359="","",IF(BO1359=1,$D1359,MIN($D1359,BS1358)))</f>
        <v>0</v>
      </c>
      <c r="BT1359">
        <f>IF($A1359="","",IF(BP1359=1,F1359,""))</f>
        <v>0</v>
      </c>
    </row>
    <row r="1360" spans="1:72">
      <c r="A1360" s="27">
        <f>IF(Data!$A1360="","",Data!$A1360)</f>
        <v>0</v>
      </c>
      <c r="B1360">
        <f>IF(Data!$B1360="","",Data!$B1360)</f>
        <v>0</v>
      </c>
      <c r="C1360">
        <f>IF(Data!$C1360="","",Data!$C1360)</f>
        <v>0</v>
      </c>
      <c r="D1360">
        <f>IF(Data!$D1360="","",Data!$D1360)</f>
        <v>0</v>
      </c>
      <c r="E1360">
        <f>IF(Data!$E1360="","",Data!$E1360)</f>
        <v>0</v>
      </c>
      <c r="F1360">
        <f>IF($E1360="","",N(F1359)+1)</f>
        <v>0</v>
      </c>
      <c r="G1360">
        <f>IF(OR($E1360="",$E1359=""),"",LN($E1360/$E1359))</f>
        <v>0</v>
      </c>
      <c r="H1360">
        <f>IF($E1360="","",IF($E1359="",$E1360,$E1360*0.0952380952+H1359*0.9047619048))</f>
        <v>0</v>
      </c>
      <c r="I1360">
        <f>IF($E1360="","",IF($E1359="",$E1360,$E1360*0.0392156863+I1359*0.9607843137))</f>
        <v>0</v>
      </c>
      <c r="J1360">
        <f>IF($E1360="","",IF($E1359="",$E1360,$E1360*0.0198019802+J1359*0.9801980198))</f>
        <v>0</v>
      </c>
      <c r="K1360">
        <f>IF($E1360="","",IF($E1359="",$E1360,$E1360*0.0099502488+K1359*0.9900497512))</f>
        <v>0</v>
      </c>
      <c r="L1360">
        <f>IF(OR($E1360="",$E1359=""),"",MAX($E1360-$E1359,0))</f>
        <v>0</v>
      </c>
      <c r="M1360">
        <f>IF(OR($E1360="",$E1359=""),"",MAX($E1359-$E1360,0))</f>
        <v>0</v>
      </c>
      <c r="N1360">
        <f>IF(COUNT($E$2:$E1360)&lt;15,"",IF(AVERAGE($M$1347:$M$1360)=0,100,100-100/(1+AVERAGE($L$1347:$L$1360)/AVERAGE($M$1347:$M$1360))))</f>
        <v>0</v>
      </c>
      <c r="O1360">
        <f>IF($E1360="","",IF($E1359="",$E1360,$E1360*0.1538461538+O1359*0.8461538462))</f>
        <v>0</v>
      </c>
      <c r="P1360">
        <f>IF($E1360="","",IF($E1359="",$E1360,$E1360*0.0740740741+P1359*0.9259259259))</f>
        <v>0</v>
      </c>
      <c r="Q1360">
        <f>IF(OR(O1360="",P1360=""),"",O1360-P1360)</f>
        <v>0</v>
      </c>
      <c r="R1360">
        <f>IF(Q1360="","",IF(R1359="",Q1360,Q1360*0.2000000000+R1359*0.8000000000))</f>
        <v>0</v>
      </c>
      <c r="S1360">
        <f>IF(OR(Q1360="",R1360=""),"",Q1360-R1360)</f>
        <v>0</v>
      </c>
      <c r="T1360">
        <f>IF(COUNT($E$2:$E1360)&lt;14,"",MAX($C$1347:$C$1360))</f>
        <v>0</v>
      </c>
      <c r="U1360">
        <f>IF(COUNT($E$2:$E1360)&lt;14,"",MIN($D$1347:$D$1360))</f>
        <v>0</v>
      </c>
      <c r="V1360">
        <f>IF(OR(T1360="",U1360="",T1360=U1360),"",100*($E1360-U1360)/(T1360-U1360))</f>
        <v>0</v>
      </c>
      <c r="W1360">
        <f>IF(COUNT($V$1358:$V$1360)&lt;3,"",AVERAGE($V$1358:$V$1360))</f>
        <v>0</v>
      </c>
      <c r="X1360">
        <f>IF(COUNT($N$1347:$N$1360)&lt;14,"",MIN($N$1347:$N$1360))</f>
        <v>0</v>
      </c>
      <c r="Y1360">
        <f>IF(COUNT($N$1347:$N$1360)&lt;14,"",MAX($N$1347:$N$1360))</f>
        <v>0</v>
      </c>
      <c r="Z1360">
        <f>IF(OR(N1360="",X1360="",Y1360="",Y1360=X1360),"",100*(N1360-X1360)/(Y1360-X1360))</f>
        <v>0</v>
      </c>
      <c r="AA1360">
        <f>IF(COUNT($Z$1358:$Z$1360)&lt;3,"",AVERAGE($Z$1358:$Z$1360))</f>
        <v>0</v>
      </c>
      <c r="AB1360">
        <f>IF(COUNT($AA$1358:$AA$1360)&lt;3,"",AVERAGE($AA$1358:$AA$1360))</f>
        <v>0</v>
      </c>
      <c r="AC1360">
        <f>IF($E1360="","",MAX($C1360-$D1360,ABS($C1360-$E1359),ABS($D1360-$E1359)))</f>
        <v>0</v>
      </c>
      <c r="AD1360">
        <f>IF(COUNT($E$2:$E1360)&lt;15,"",AVERAGE($AC$1347:$AC$1360))</f>
        <v>0</v>
      </c>
      <c r="AE1360">
        <f>IF(OR($E1360="",$E1359=""),"",IF(AND(($C1360-$C1359)&gt;($D1359-$D1360),($C1360-$C1359)&gt;0),$C1360-$C1359,0))</f>
        <v>0</v>
      </c>
      <c r="AF1360">
        <f>IF(OR($E1360="",$E1359=""),"",IF(AND(($D1359-$D1360)&gt;($C1360-$C1359),($D1359-$D1360)&gt;0),$D1359-$D1360,0))</f>
        <v>0</v>
      </c>
      <c r="AG1360">
        <f>IF(COUNT($E$2:$E1360)&lt;15,"",IF(SUM($AC$1347:$AC$1360)=0,0,100*SUM($AE$1347:$AE$1360)/SUM($AC$1347:$AC$1360)))</f>
        <v>0</v>
      </c>
      <c r="AH1360">
        <f>IF(COUNT($E$2:$E1360)&lt;15,"",IF(SUM($AC$1347:$AC$1360)=0,0,100*SUM($AF$1347:$AF$1360)/SUM($AC$1347:$AC$1360)))</f>
        <v>0</v>
      </c>
      <c r="AI1360">
        <f>IF(OR(AG1360="",AH1360=""),"",IF((AG1360+AH1360)=0,0,100*ABS(AG1360-AH1360)/(AG1360+AH1360)))</f>
        <v>0</v>
      </c>
      <c r="AJ1360">
        <f>IF(COUNT($AI$1347:$AI$1360)&lt;14,"",AVERAGE($AI$1347:$AI$1360))</f>
        <v>0</v>
      </c>
      <c r="AK1360">
        <f>IF(COUNT($E$2:$E1360)&lt;20,"",AVERAGE($E$1341:$E$1360))</f>
        <v>0</v>
      </c>
      <c r="AL1360">
        <f>IF(COUNT($E$2:$E1360)&lt;20,"",STDEVP($E$1341:$E$1360))</f>
        <v>0</v>
      </c>
      <c r="AM1360">
        <f>IF(AK1360="","",AK1360+2*AL1360)</f>
        <v>0</v>
      </c>
      <c r="AN1360">
        <f>IF(AK1360="","",AK1360-2*AL1360)</f>
        <v>0</v>
      </c>
      <c r="AO1360">
        <f>IF(OR(AM1360="",AN1360="",AM1360=AN1360),"",($E1360-AN1360)/(AM1360-AN1360))</f>
        <v>0</v>
      </c>
      <c r="AP1360">
        <f>IF(OR(AM1360="",AK1360="",AK1360=0),"",(AM1360-AN1360)/AK1360)</f>
        <v>0</v>
      </c>
      <c r="AQ1360">
        <f>IF(COUNT($E$2:$E1360)&lt;20,"",MAX($C$1341:$C$1360))</f>
        <v>0</v>
      </c>
      <c r="AR1360">
        <f>IF(COUNT($E$2:$E1360)&lt;20,"",MIN($D$1341:$D$1360))</f>
        <v>0</v>
      </c>
      <c r="AS1360">
        <f>IF(OR(AQ1360="",AR1360=""),"",(AQ1360+AR1360)/2)</f>
        <v>0</v>
      </c>
      <c r="AT1360">
        <f>IF(COUNT($G$1341:$G$1360)&lt;20,"",STDEV($G$1341:$G$1360)*SQRT(252))</f>
        <v>0</v>
      </c>
      <c r="AU1360">
        <f>IF(COUNT($E$2:$E1360)&lt;9,"",(MAX($C$1352:$C$1360)+MIN($D$1352:$D$1360))/2)</f>
        <v>0</v>
      </c>
      <c r="AV1360">
        <f>IF(COUNT($E$2:$E1360)&lt;26,"",(MAX($C$1335:$C$1360)+MIN($D$1335:$D$1360))/2)</f>
        <v>0</v>
      </c>
      <c r="AW1360">
        <f>IF(OR(AU1360="",AV1360=""),"",(AU1360+AV1360)/2)</f>
        <v>0</v>
      </c>
      <c r="AX1360">
        <f>IF(COUNT($E$2:$E1360)&lt;52,"",(MAX($C$1309:$C$1360)+MIN($D$1309:$D$1360))/2)</f>
        <v>0</v>
      </c>
      <c r="AY1360">
        <f>IF(COUNT($E$2:$E1360)&lt;20,"",MAX($C$1261:$C$1360))</f>
        <v>0</v>
      </c>
      <c r="AZ1360">
        <f>IF(COUNT($E$2:$E1360)&lt;20,"",MIN($D$1261:$D$1360))</f>
        <v>0</v>
      </c>
      <c r="BA1360">
        <f>IF(COUNT($E$2:$E1360)&lt;20,"",SLOPE($E$1261:$E$1360,$F$1261:$F$1360))</f>
        <v>0</v>
      </c>
      <c r="BB1360">
        <f>IF(COUNT($E$2:$E1360)&lt;20,"",INTERCEPT($E$1261:$E$1360,$F$1261:$F$1360))</f>
        <v>0</v>
      </c>
      <c r="BC1360">
        <f>IF(OR(BA1360="",BB1360=""),"",BB1360+BA1360*F1360)</f>
        <v>0</v>
      </c>
      <c r="BD1360">
        <f>IF(COUNT($E$2:$E1360)&lt;20,"",STEYX($E$1261:$E$1360,$F$1261:$F$1360))</f>
        <v>0</v>
      </c>
      <c r="BE1360">
        <f>IF($E1360="","",IF(AND(COUNT($E$1361:$E$1364)&gt;=4,$C1360=MAX($C$1356:$C$1364)),$C1360,""))</f>
        <v>0</v>
      </c>
      <c r="BF1360">
        <f>IF($E1360="","",IF(AND(COUNT($E$1361:$E$1364)&gt;=4,$D1360=MIN($D$1356:$D$1364)),$D1360,""))</f>
        <v>0</v>
      </c>
      <c r="BG1360">
        <f>IF($A1360="","",$A1360-WEEKDAY($A1360,2)+1)</f>
        <v>0</v>
      </c>
      <c r="BH1360">
        <f>IF($A1360="","",IF($A1359="",1,IF(BG1360&lt;&gt;BG1359,1,0)))</f>
        <v>0</v>
      </c>
      <c r="BI1360">
        <f>IF($A1360="","",IF($A1361="",1,IF(BG1361&lt;&gt;BG1360,1,0)))</f>
        <v>0</v>
      </c>
      <c r="BJ1360">
        <f>IF($A1360="","",IF(BH1360=1,$B1360,BJ1359))</f>
        <v>0</v>
      </c>
      <c r="BK1360">
        <f>IF($A1360="","",IF(BH1360=1,$C1360,MAX($C1360,BK1359)))</f>
        <v>0</v>
      </c>
      <c r="BL1360">
        <f>IF($A1360="","",IF(BH1360=1,$D1360,MIN($D1360,BL1359)))</f>
        <v>0</v>
      </c>
      <c r="BM1360">
        <f>IF($A1360="","",IF(BI1360=1,F1360,""))</f>
        <v>0</v>
      </c>
      <c r="BN1360">
        <f>IF($A1360="","",DATE(YEAR($A1360),MONTH($A1360),1))</f>
        <v>0</v>
      </c>
      <c r="BO1360">
        <f>IF($A1360="","",IF($A1359="",1,IF(BN1360&lt;&gt;BN1359,1,0)))</f>
        <v>0</v>
      </c>
      <c r="BP1360">
        <f>IF($A1360="","",IF($A1361="",1,IF(BN1361&lt;&gt;BN1360,1,0)))</f>
        <v>0</v>
      </c>
      <c r="BQ1360">
        <f>IF($A1360="","",IF(BO1360=1,$B1360,BQ1359))</f>
        <v>0</v>
      </c>
      <c r="BR1360">
        <f>IF($A1360="","",IF(BO1360=1,$C1360,MAX($C1360,BR1359)))</f>
        <v>0</v>
      </c>
      <c r="BS1360">
        <f>IF($A1360="","",IF(BO1360=1,$D1360,MIN($D1360,BS1359)))</f>
        <v>0</v>
      </c>
      <c r="BT1360">
        <f>IF($A1360="","",IF(BP1360=1,F1360,""))</f>
        <v>0</v>
      </c>
    </row>
    <row r="1361" spans="1:72">
      <c r="A1361" s="27">
        <f>IF(Data!$A1361="","",Data!$A1361)</f>
        <v>0</v>
      </c>
      <c r="B1361">
        <f>IF(Data!$B1361="","",Data!$B1361)</f>
        <v>0</v>
      </c>
      <c r="C1361">
        <f>IF(Data!$C1361="","",Data!$C1361)</f>
        <v>0</v>
      </c>
      <c r="D1361">
        <f>IF(Data!$D1361="","",Data!$D1361)</f>
        <v>0</v>
      </c>
      <c r="E1361">
        <f>IF(Data!$E1361="","",Data!$E1361)</f>
        <v>0</v>
      </c>
      <c r="F1361">
        <f>IF($E1361="","",N(F1360)+1)</f>
        <v>0</v>
      </c>
      <c r="G1361">
        <f>IF(OR($E1361="",$E1360=""),"",LN($E1361/$E1360))</f>
        <v>0</v>
      </c>
      <c r="H1361">
        <f>IF($E1361="","",IF($E1360="",$E1361,$E1361*0.0952380952+H1360*0.9047619048))</f>
        <v>0</v>
      </c>
      <c r="I1361">
        <f>IF($E1361="","",IF($E1360="",$E1361,$E1361*0.0392156863+I1360*0.9607843137))</f>
        <v>0</v>
      </c>
      <c r="J1361">
        <f>IF($E1361="","",IF($E1360="",$E1361,$E1361*0.0198019802+J1360*0.9801980198))</f>
        <v>0</v>
      </c>
      <c r="K1361">
        <f>IF($E1361="","",IF($E1360="",$E1361,$E1361*0.0099502488+K1360*0.9900497512))</f>
        <v>0</v>
      </c>
      <c r="L1361">
        <f>IF(OR($E1361="",$E1360=""),"",MAX($E1361-$E1360,0))</f>
        <v>0</v>
      </c>
      <c r="M1361">
        <f>IF(OR($E1361="",$E1360=""),"",MAX($E1360-$E1361,0))</f>
        <v>0</v>
      </c>
      <c r="N1361">
        <f>IF(COUNT($E$2:$E1361)&lt;15,"",IF(AVERAGE($M$1348:$M$1361)=0,100,100-100/(1+AVERAGE($L$1348:$L$1361)/AVERAGE($M$1348:$M$1361))))</f>
        <v>0</v>
      </c>
      <c r="O1361">
        <f>IF($E1361="","",IF($E1360="",$E1361,$E1361*0.1538461538+O1360*0.8461538462))</f>
        <v>0</v>
      </c>
      <c r="P1361">
        <f>IF($E1361="","",IF($E1360="",$E1361,$E1361*0.0740740741+P1360*0.9259259259))</f>
        <v>0</v>
      </c>
      <c r="Q1361">
        <f>IF(OR(O1361="",P1361=""),"",O1361-P1361)</f>
        <v>0</v>
      </c>
      <c r="R1361">
        <f>IF(Q1361="","",IF(R1360="",Q1361,Q1361*0.2000000000+R1360*0.8000000000))</f>
        <v>0</v>
      </c>
      <c r="S1361">
        <f>IF(OR(Q1361="",R1361=""),"",Q1361-R1361)</f>
        <v>0</v>
      </c>
      <c r="T1361">
        <f>IF(COUNT($E$2:$E1361)&lt;14,"",MAX($C$1348:$C$1361))</f>
        <v>0</v>
      </c>
      <c r="U1361">
        <f>IF(COUNT($E$2:$E1361)&lt;14,"",MIN($D$1348:$D$1361))</f>
        <v>0</v>
      </c>
      <c r="V1361">
        <f>IF(OR(T1361="",U1361="",T1361=U1361),"",100*($E1361-U1361)/(T1361-U1361))</f>
        <v>0</v>
      </c>
      <c r="W1361">
        <f>IF(COUNT($V$1359:$V$1361)&lt;3,"",AVERAGE($V$1359:$V$1361))</f>
        <v>0</v>
      </c>
      <c r="X1361">
        <f>IF(COUNT($N$1348:$N$1361)&lt;14,"",MIN($N$1348:$N$1361))</f>
        <v>0</v>
      </c>
      <c r="Y1361">
        <f>IF(COUNT($N$1348:$N$1361)&lt;14,"",MAX($N$1348:$N$1361))</f>
        <v>0</v>
      </c>
      <c r="Z1361">
        <f>IF(OR(N1361="",X1361="",Y1361="",Y1361=X1361),"",100*(N1361-X1361)/(Y1361-X1361))</f>
        <v>0</v>
      </c>
      <c r="AA1361">
        <f>IF(COUNT($Z$1359:$Z$1361)&lt;3,"",AVERAGE($Z$1359:$Z$1361))</f>
        <v>0</v>
      </c>
      <c r="AB1361">
        <f>IF(COUNT($AA$1359:$AA$1361)&lt;3,"",AVERAGE($AA$1359:$AA$1361))</f>
        <v>0</v>
      </c>
      <c r="AC1361">
        <f>IF($E1361="","",MAX($C1361-$D1361,ABS($C1361-$E1360),ABS($D1361-$E1360)))</f>
        <v>0</v>
      </c>
      <c r="AD1361">
        <f>IF(COUNT($E$2:$E1361)&lt;15,"",AVERAGE($AC$1348:$AC$1361))</f>
        <v>0</v>
      </c>
      <c r="AE1361">
        <f>IF(OR($E1361="",$E1360=""),"",IF(AND(($C1361-$C1360)&gt;($D1360-$D1361),($C1361-$C1360)&gt;0),$C1361-$C1360,0))</f>
        <v>0</v>
      </c>
      <c r="AF1361">
        <f>IF(OR($E1361="",$E1360=""),"",IF(AND(($D1360-$D1361)&gt;($C1361-$C1360),($D1360-$D1361)&gt;0),$D1360-$D1361,0))</f>
        <v>0</v>
      </c>
      <c r="AG1361">
        <f>IF(COUNT($E$2:$E1361)&lt;15,"",IF(SUM($AC$1348:$AC$1361)=0,0,100*SUM($AE$1348:$AE$1361)/SUM($AC$1348:$AC$1361)))</f>
        <v>0</v>
      </c>
      <c r="AH1361">
        <f>IF(COUNT($E$2:$E1361)&lt;15,"",IF(SUM($AC$1348:$AC$1361)=0,0,100*SUM($AF$1348:$AF$1361)/SUM($AC$1348:$AC$1361)))</f>
        <v>0</v>
      </c>
      <c r="AI1361">
        <f>IF(OR(AG1361="",AH1361=""),"",IF((AG1361+AH1361)=0,0,100*ABS(AG1361-AH1361)/(AG1361+AH1361)))</f>
        <v>0</v>
      </c>
      <c r="AJ1361">
        <f>IF(COUNT($AI$1348:$AI$1361)&lt;14,"",AVERAGE($AI$1348:$AI$1361))</f>
        <v>0</v>
      </c>
      <c r="AK1361">
        <f>IF(COUNT($E$2:$E1361)&lt;20,"",AVERAGE($E$1342:$E$1361))</f>
        <v>0</v>
      </c>
      <c r="AL1361">
        <f>IF(COUNT($E$2:$E1361)&lt;20,"",STDEVP($E$1342:$E$1361))</f>
        <v>0</v>
      </c>
      <c r="AM1361">
        <f>IF(AK1361="","",AK1361+2*AL1361)</f>
        <v>0</v>
      </c>
      <c r="AN1361">
        <f>IF(AK1361="","",AK1361-2*AL1361)</f>
        <v>0</v>
      </c>
      <c r="AO1361">
        <f>IF(OR(AM1361="",AN1361="",AM1361=AN1361),"",($E1361-AN1361)/(AM1361-AN1361))</f>
        <v>0</v>
      </c>
      <c r="AP1361">
        <f>IF(OR(AM1361="",AK1361="",AK1361=0),"",(AM1361-AN1361)/AK1361)</f>
        <v>0</v>
      </c>
      <c r="AQ1361">
        <f>IF(COUNT($E$2:$E1361)&lt;20,"",MAX($C$1342:$C$1361))</f>
        <v>0</v>
      </c>
      <c r="AR1361">
        <f>IF(COUNT($E$2:$E1361)&lt;20,"",MIN($D$1342:$D$1361))</f>
        <v>0</v>
      </c>
      <c r="AS1361">
        <f>IF(OR(AQ1361="",AR1361=""),"",(AQ1361+AR1361)/2)</f>
        <v>0</v>
      </c>
      <c r="AT1361">
        <f>IF(COUNT($G$1342:$G$1361)&lt;20,"",STDEV($G$1342:$G$1361)*SQRT(252))</f>
        <v>0</v>
      </c>
      <c r="AU1361">
        <f>IF(COUNT($E$2:$E1361)&lt;9,"",(MAX($C$1353:$C$1361)+MIN($D$1353:$D$1361))/2)</f>
        <v>0</v>
      </c>
      <c r="AV1361">
        <f>IF(COUNT($E$2:$E1361)&lt;26,"",(MAX($C$1336:$C$1361)+MIN($D$1336:$D$1361))/2)</f>
        <v>0</v>
      </c>
      <c r="AW1361">
        <f>IF(OR(AU1361="",AV1361=""),"",(AU1361+AV1361)/2)</f>
        <v>0</v>
      </c>
      <c r="AX1361">
        <f>IF(COUNT($E$2:$E1361)&lt;52,"",(MAX($C$1310:$C$1361)+MIN($D$1310:$D$1361))/2)</f>
        <v>0</v>
      </c>
      <c r="AY1361">
        <f>IF(COUNT($E$2:$E1361)&lt;20,"",MAX($C$1262:$C$1361))</f>
        <v>0</v>
      </c>
      <c r="AZ1361">
        <f>IF(COUNT($E$2:$E1361)&lt;20,"",MIN($D$1262:$D$1361))</f>
        <v>0</v>
      </c>
      <c r="BA1361">
        <f>IF(COUNT($E$2:$E1361)&lt;20,"",SLOPE($E$1262:$E$1361,$F$1262:$F$1361))</f>
        <v>0</v>
      </c>
      <c r="BB1361">
        <f>IF(COUNT($E$2:$E1361)&lt;20,"",INTERCEPT($E$1262:$E$1361,$F$1262:$F$1361))</f>
        <v>0</v>
      </c>
      <c r="BC1361">
        <f>IF(OR(BA1361="",BB1361=""),"",BB1361+BA1361*F1361)</f>
        <v>0</v>
      </c>
      <c r="BD1361">
        <f>IF(COUNT($E$2:$E1361)&lt;20,"",STEYX($E$1262:$E$1361,$F$1262:$F$1361))</f>
        <v>0</v>
      </c>
      <c r="BE1361">
        <f>IF($E1361="","",IF(AND(COUNT($E$1362:$E$1365)&gt;=4,$C1361=MAX($C$1357:$C$1365)),$C1361,""))</f>
        <v>0</v>
      </c>
      <c r="BF1361">
        <f>IF($E1361="","",IF(AND(COUNT($E$1362:$E$1365)&gt;=4,$D1361=MIN($D$1357:$D$1365)),$D1361,""))</f>
        <v>0</v>
      </c>
      <c r="BG1361">
        <f>IF($A1361="","",$A1361-WEEKDAY($A1361,2)+1)</f>
        <v>0</v>
      </c>
      <c r="BH1361">
        <f>IF($A1361="","",IF($A1360="",1,IF(BG1361&lt;&gt;BG1360,1,0)))</f>
        <v>0</v>
      </c>
      <c r="BI1361">
        <f>IF($A1361="","",IF($A1362="",1,IF(BG1362&lt;&gt;BG1361,1,0)))</f>
        <v>0</v>
      </c>
      <c r="BJ1361">
        <f>IF($A1361="","",IF(BH1361=1,$B1361,BJ1360))</f>
        <v>0</v>
      </c>
      <c r="BK1361">
        <f>IF($A1361="","",IF(BH1361=1,$C1361,MAX($C1361,BK1360)))</f>
        <v>0</v>
      </c>
      <c r="BL1361">
        <f>IF($A1361="","",IF(BH1361=1,$D1361,MIN($D1361,BL1360)))</f>
        <v>0</v>
      </c>
      <c r="BM1361">
        <f>IF($A1361="","",IF(BI1361=1,F1361,""))</f>
        <v>0</v>
      </c>
      <c r="BN1361">
        <f>IF($A1361="","",DATE(YEAR($A1361),MONTH($A1361),1))</f>
        <v>0</v>
      </c>
      <c r="BO1361">
        <f>IF($A1361="","",IF($A1360="",1,IF(BN1361&lt;&gt;BN1360,1,0)))</f>
        <v>0</v>
      </c>
      <c r="BP1361">
        <f>IF($A1361="","",IF($A1362="",1,IF(BN1362&lt;&gt;BN1361,1,0)))</f>
        <v>0</v>
      </c>
      <c r="BQ1361">
        <f>IF($A1361="","",IF(BO1361=1,$B1361,BQ1360))</f>
        <v>0</v>
      </c>
      <c r="BR1361">
        <f>IF($A1361="","",IF(BO1361=1,$C1361,MAX($C1361,BR1360)))</f>
        <v>0</v>
      </c>
      <c r="BS1361">
        <f>IF($A1361="","",IF(BO1361=1,$D1361,MIN($D1361,BS1360)))</f>
        <v>0</v>
      </c>
      <c r="BT1361">
        <f>IF($A1361="","",IF(BP1361=1,F1361,""))</f>
        <v>0</v>
      </c>
    </row>
    <row r="1362" spans="1:72">
      <c r="A1362" s="27">
        <f>IF(Data!$A1362="","",Data!$A1362)</f>
        <v>0</v>
      </c>
      <c r="B1362">
        <f>IF(Data!$B1362="","",Data!$B1362)</f>
        <v>0</v>
      </c>
      <c r="C1362">
        <f>IF(Data!$C1362="","",Data!$C1362)</f>
        <v>0</v>
      </c>
      <c r="D1362">
        <f>IF(Data!$D1362="","",Data!$D1362)</f>
        <v>0</v>
      </c>
      <c r="E1362">
        <f>IF(Data!$E1362="","",Data!$E1362)</f>
        <v>0</v>
      </c>
      <c r="F1362">
        <f>IF($E1362="","",N(F1361)+1)</f>
        <v>0</v>
      </c>
      <c r="G1362">
        <f>IF(OR($E1362="",$E1361=""),"",LN($E1362/$E1361))</f>
        <v>0</v>
      </c>
      <c r="H1362">
        <f>IF($E1362="","",IF($E1361="",$E1362,$E1362*0.0952380952+H1361*0.9047619048))</f>
        <v>0</v>
      </c>
      <c r="I1362">
        <f>IF($E1362="","",IF($E1361="",$E1362,$E1362*0.0392156863+I1361*0.9607843137))</f>
        <v>0</v>
      </c>
      <c r="J1362">
        <f>IF($E1362="","",IF($E1361="",$E1362,$E1362*0.0198019802+J1361*0.9801980198))</f>
        <v>0</v>
      </c>
      <c r="K1362">
        <f>IF($E1362="","",IF($E1361="",$E1362,$E1362*0.0099502488+K1361*0.9900497512))</f>
        <v>0</v>
      </c>
      <c r="L1362">
        <f>IF(OR($E1362="",$E1361=""),"",MAX($E1362-$E1361,0))</f>
        <v>0</v>
      </c>
      <c r="M1362">
        <f>IF(OR($E1362="",$E1361=""),"",MAX($E1361-$E1362,0))</f>
        <v>0</v>
      </c>
      <c r="N1362">
        <f>IF(COUNT($E$2:$E1362)&lt;15,"",IF(AVERAGE($M$1349:$M$1362)=0,100,100-100/(1+AVERAGE($L$1349:$L$1362)/AVERAGE($M$1349:$M$1362))))</f>
        <v>0</v>
      </c>
      <c r="O1362">
        <f>IF($E1362="","",IF($E1361="",$E1362,$E1362*0.1538461538+O1361*0.8461538462))</f>
        <v>0</v>
      </c>
      <c r="P1362">
        <f>IF($E1362="","",IF($E1361="",$E1362,$E1362*0.0740740741+P1361*0.9259259259))</f>
        <v>0</v>
      </c>
      <c r="Q1362">
        <f>IF(OR(O1362="",P1362=""),"",O1362-P1362)</f>
        <v>0</v>
      </c>
      <c r="R1362">
        <f>IF(Q1362="","",IF(R1361="",Q1362,Q1362*0.2000000000+R1361*0.8000000000))</f>
        <v>0</v>
      </c>
      <c r="S1362">
        <f>IF(OR(Q1362="",R1362=""),"",Q1362-R1362)</f>
        <v>0</v>
      </c>
      <c r="T1362">
        <f>IF(COUNT($E$2:$E1362)&lt;14,"",MAX($C$1349:$C$1362))</f>
        <v>0</v>
      </c>
      <c r="U1362">
        <f>IF(COUNT($E$2:$E1362)&lt;14,"",MIN($D$1349:$D$1362))</f>
        <v>0</v>
      </c>
      <c r="V1362">
        <f>IF(OR(T1362="",U1362="",T1362=U1362),"",100*($E1362-U1362)/(T1362-U1362))</f>
        <v>0</v>
      </c>
      <c r="W1362">
        <f>IF(COUNT($V$1360:$V$1362)&lt;3,"",AVERAGE($V$1360:$V$1362))</f>
        <v>0</v>
      </c>
      <c r="X1362">
        <f>IF(COUNT($N$1349:$N$1362)&lt;14,"",MIN($N$1349:$N$1362))</f>
        <v>0</v>
      </c>
      <c r="Y1362">
        <f>IF(COUNT($N$1349:$N$1362)&lt;14,"",MAX($N$1349:$N$1362))</f>
        <v>0</v>
      </c>
      <c r="Z1362">
        <f>IF(OR(N1362="",X1362="",Y1362="",Y1362=X1362),"",100*(N1362-X1362)/(Y1362-X1362))</f>
        <v>0</v>
      </c>
      <c r="AA1362">
        <f>IF(COUNT($Z$1360:$Z$1362)&lt;3,"",AVERAGE($Z$1360:$Z$1362))</f>
        <v>0</v>
      </c>
      <c r="AB1362">
        <f>IF(COUNT($AA$1360:$AA$1362)&lt;3,"",AVERAGE($AA$1360:$AA$1362))</f>
        <v>0</v>
      </c>
      <c r="AC1362">
        <f>IF($E1362="","",MAX($C1362-$D1362,ABS($C1362-$E1361),ABS($D1362-$E1361)))</f>
        <v>0</v>
      </c>
      <c r="AD1362">
        <f>IF(COUNT($E$2:$E1362)&lt;15,"",AVERAGE($AC$1349:$AC$1362))</f>
        <v>0</v>
      </c>
      <c r="AE1362">
        <f>IF(OR($E1362="",$E1361=""),"",IF(AND(($C1362-$C1361)&gt;($D1361-$D1362),($C1362-$C1361)&gt;0),$C1362-$C1361,0))</f>
        <v>0</v>
      </c>
      <c r="AF1362">
        <f>IF(OR($E1362="",$E1361=""),"",IF(AND(($D1361-$D1362)&gt;($C1362-$C1361),($D1361-$D1362)&gt;0),$D1361-$D1362,0))</f>
        <v>0</v>
      </c>
      <c r="AG1362">
        <f>IF(COUNT($E$2:$E1362)&lt;15,"",IF(SUM($AC$1349:$AC$1362)=0,0,100*SUM($AE$1349:$AE$1362)/SUM($AC$1349:$AC$1362)))</f>
        <v>0</v>
      </c>
      <c r="AH1362">
        <f>IF(COUNT($E$2:$E1362)&lt;15,"",IF(SUM($AC$1349:$AC$1362)=0,0,100*SUM($AF$1349:$AF$1362)/SUM($AC$1349:$AC$1362)))</f>
        <v>0</v>
      </c>
      <c r="AI1362">
        <f>IF(OR(AG1362="",AH1362=""),"",IF((AG1362+AH1362)=0,0,100*ABS(AG1362-AH1362)/(AG1362+AH1362)))</f>
        <v>0</v>
      </c>
      <c r="AJ1362">
        <f>IF(COUNT($AI$1349:$AI$1362)&lt;14,"",AVERAGE($AI$1349:$AI$1362))</f>
        <v>0</v>
      </c>
      <c r="AK1362">
        <f>IF(COUNT($E$2:$E1362)&lt;20,"",AVERAGE($E$1343:$E$1362))</f>
        <v>0</v>
      </c>
      <c r="AL1362">
        <f>IF(COUNT($E$2:$E1362)&lt;20,"",STDEVP($E$1343:$E$1362))</f>
        <v>0</v>
      </c>
      <c r="AM1362">
        <f>IF(AK1362="","",AK1362+2*AL1362)</f>
        <v>0</v>
      </c>
      <c r="AN1362">
        <f>IF(AK1362="","",AK1362-2*AL1362)</f>
        <v>0</v>
      </c>
      <c r="AO1362">
        <f>IF(OR(AM1362="",AN1362="",AM1362=AN1362),"",($E1362-AN1362)/(AM1362-AN1362))</f>
        <v>0</v>
      </c>
      <c r="AP1362">
        <f>IF(OR(AM1362="",AK1362="",AK1362=0),"",(AM1362-AN1362)/AK1362)</f>
        <v>0</v>
      </c>
      <c r="AQ1362">
        <f>IF(COUNT($E$2:$E1362)&lt;20,"",MAX($C$1343:$C$1362))</f>
        <v>0</v>
      </c>
      <c r="AR1362">
        <f>IF(COUNT($E$2:$E1362)&lt;20,"",MIN($D$1343:$D$1362))</f>
        <v>0</v>
      </c>
      <c r="AS1362">
        <f>IF(OR(AQ1362="",AR1362=""),"",(AQ1362+AR1362)/2)</f>
        <v>0</v>
      </c>
      <c r="AT1362">
        <f>IF(COUNT($G$1343:$G$1362)&lt;20,"",STDEV($G$1343:$G$1362)*SQRT(252))</f>
        <v>0</v>
      </c>
      <c r="AU1362">
        <f>IF(COUNT($E$2:$E1362)&lt;9,"",(MAX($C$1354:$C$1362)+MIN($D$1354:$D$1362))/2)</f>
        <v>0</v>
      </c>
      <c r="AV1362">
        <f>IF(COUNT($E$2:$E1362)&lt;26,"",(MAX($C$1337:$C$1362)+MIN($D$1337:$D$1362))/2)</f>
        <v>0</v>
      </c>
      <c r="AW1362">
        <f>IF(OR(AU1362="",AV1362=""),"",(AU1362+AV1362)/2)</f>
        <v>0</v>
      </c>
      <c r="AX1362">
        <f>IF(COUNT($E$2:$E1362)&lt;52,"",(MAX($C$1311:$C$1362)+MIN($D$1311:$D$1362))/2)</f>
        <v>0</v>
      </c>
      <c r="AY1362">
        <f>IF(COUNT($E$2:$E1362)&lt;20,"",MAX($C$1263:$C$1362))</f>
        <v>0</v>
      </c>
      <c r="AZ1362">
        <f>IF(COUNT($E$2:$E1362)&lt;20,"",MIN($D$1263:$D$1362))</f>
        <v>0</v>
      </c>
      <c r="BA1362">
        <f>IF(COUNT($E$2:$E1362)&lt;20,"",SLOPE($E$1263:$E$1362,$F$1263:$F$1362))</f>
        <v>0</v>
      </c>
      <c r="BB1362">
        <f>IF(COUNT($E$2:$E1362)&lt;20,"",INTERCEPT($E$1263:$E$1362,$F$1263:$F$1362))</f>
        <v>0</v>
      </c>
      <c r="BC1362">
        <f>IF(OR(BA1362="",BB1362=""),"",BB1362+BA1362*F1362)</f>
        <v>0</v>
      </c>
      <c r="BD1362">
        <f>IF(COUNT($E$2:$E1362)&lt;20,"",STEYX($E$1263:$E$1362,$F$1263:$F$1362))</f>
        <v>0</v>
      </c>
      <c r="BE1362">
        <f>IF($E1362="","",IF(AND(COUNT($E$1363:$E$1366)&gt;=4,$C1362=MAX($C$1358:$C$1366)),$C1362,""))</f>
        <v>0</v>
      </c>
      <c r="BF1362">
        <f>IF($E1362="","",IF(AND(COUNT($E$1363:$E$1366)&gt;=4,$D1362=MIN($D$1358:$D$1366)),$D1362,""))</f>
        <v>0</v>
      </c>
      <c r="BG1362">
        <f>IF($A1362="","",$A1362-WEEKDAY($A1362,2)+1)</f>
        <v>0</v>
      </c>
      <c r="BH1362">
        <f>IF($A1362="","",IF($A1361="",1,IF(BG1362&lt;&gt;BG1361,1,0)))</f>
        <v>0</v>
      </c>
      <c r="BI1362">
        <f>IF($A1362="","",IF($A1363="",1,IF(BG1363&lt;&gt;BG1362,1,0)))</f>
        <v>0</v>
      </c>
      <c r="BJ1362">
        <f>IF($A1362="","",IF(BH1362=1,$B1362,BJ1361))</f>
        <v>0</v>
      </c>
      <c r="BK1362">
        <f>IF($A1362="","",IF(BH1362=1,$C1362,MAX($C1362,BK1361)))</f>
        <v>0</v>
      </c>
      <c r="BL1362">
        <f>IF($A1362="","",IF(BH1362=1,$D1362,MIN($D1362,BL1361)))</f>
        <v>0</v>
      </c>
      <c r="BM1362">
        <f>IF($A1362="","",IF(BI1362=1,F1362,""))</f>
        <v>0</v>
      </c>
      <c r="BN1362">
        <f>IF($A1362="","",DATE(YEAR($A1362),MONTH($A1362),1))</f>
        <v>0</v>
      </c>
      <c r="BO1362">
        <f>IF($A1362="","",IF($A1361="",1,IF(BN1362&lt;&gt;BN1361,1,0)))</f>
        <v>0</v>
      </c>
      <c r="BP1362">
        <f>IF($A1362="","",IF($A1363="",1,IF(BN1363&lt;&gt;BN1362,1,0)))</f>
        <v>0</v>
      </c>
      <c r="BQ1362">
        <f>IF($A1362="","",IF(BO1362=1,$B1362,BQ1361))</f>
        <v>0</v>
      </c>
      <c r="BR1362">
        <f>IF($A1362="","",IF(BO1362=1,$C1362,MAX($C1362,BR1361)))</f>
        <v>0</v>
      </c>
      <c r="BS1362">
        <f>IF($A1362="","",IF(BO1362=1,$D1362,MIN($D1362,BS1361)))</f>
        <v>0</v>
      </c>
      <c r="BT1362">
        <f>IF($A1362="","",IF(BP1362=1,F1362,""))</f>
        <v>0</v>
      </c>
    </row>
    <row r="1363" spans="1:72">
      <c r="A1363" s="27">
        <f>IF(Data!$A1363="","",Data!$A1363)</f>
        <v>0</v>
      </c>
      <c r="B1363">
        <f>IF(Data!$B1363="","",Data!$B1363)</f>
        <v>0</v>
      </c>
      <c r="C1363">
        <f>IF(Data!$C1363="","",Data!$C1363)</f>
        <v>0</v>
      </c>
      <c r="D1363">
        <f>IF(Data!$D1363="","",Data!$D1363)</f>
        <v>0</v>
      </c>
      <c r="E1363">
        <f>IF(Data!$E1363="","",Data!$E1363)</f>
        <v>0</v>
      </c>
      <c r="F1363">
        <f>IF($E1363="","",N(F1362)+1)</f>
        <v>0</v>
      </c>
      <c r="G1363">
        <f>IF(OR($E1363="",$E1362=""),"",LN($E1363/$E1362))</f>
        <v>0</v>
      </c>
      <c r="H1363">
        <f>IF($E1363="","",IF($E1362="",$E1363,$E1363*0.0952380952+H1362*0.9047619048))</f>
        <v>0</v>
      </c>
      <c r="I1363">
        <f>IF($E1363="","",IF($E1362="",$E1363,$E1363*0.0392156863+I1362*0.9607843137))</f>
        <v>0</v>
      </c>
      <c r="J1363">
        <f>IF($E1363="","",IF($E1362="",$E1363,$E1363*0.0198019802+J1362*0.9801980198))</f>
        <v>0</v>
      </c>
      <c r="K1363">
        <f>IF($E1363="","",IF($E1362="",$E1363,$E1363*0.0099502488+K1362*0.9900497512))</f>
        <v>0</v>
      </c>
      <c r="L1363">
        <f>IF(OR($E1363="",$E1362=""),"",MAX($E1363-$E1362,0))</f>
        <v>0</v>
      </c>
      <c r="M1363">
        <f>IF(OR($E1363="",$E1362=""),"",MAX($E1362-$E1363,0))</f>
        <v>0</v>
      </c>
      <c r="N1363">
        <f>IF(COUNT($E$2:$E1363)&lt;15,"",IF(AVERAGE($M$1350:$M$1363)=0,100,100-100/(1+AVERAGE($L$1350:$L$1363)/AVERAGE($M$1350:$M$1363))))</f>
        <v>0</v>
      </c>
      <c r="O1363">
        <f>IF($E1363="","",IF($E1362="",$E1363,$E1363*0.1538461538+O1362*0.8461538462))</f>
        <v>0</v>
      </c>
      <c r="P1363">
        <f>IF($E1363="","",IF($E1362="",$E1363,$E1363*0.0740740741+P1362*0.9259259259))</f>
        <v>0</v>
      </c>
      <c r="Q1363">
        <f>IF(OR(O1363="",P1363=""),"",O1363-P1363)</f>
        <v>0</v>
      </c>
      <c r="R1363">
        <f>IF(Q1363="","",IF(R1362="",Q1363,Q1363*0.2000000000+R1362*0.8000000000))</f>
        <v>0</v>
      </c>
      <c r="S1363">
        <f>IF(OR(Q1363="",R1363=""),"",Q1363-R1363)</f>
        <v>0</v>
      </c>
      <c r="T1363">
        <f>IF(COUNT($E$2:$E1363)&lt;14,"",MAX($C$1350:$C$1363))</f>
        <v>0</v>
      </c>
      <c r="U1363">
        <f>IF(COUNT($E$2:$E1363)&lt;14,"",MIN($D$1350:$D$1363))</f>
        <v>0</v>
      </c>
      <c r="V1363">
        <f>IF(OR(T1363="",U1363="",T1363=U1363),"",100*($E1363-U1363)/(T1363-U1363))</f>
        <v>0</v>
      </c>
      <c r="W1363">
        <f>IF(COUNT($V$1361:$V$1363)&lt;3,"",AVERAGE($V$1361:$V$1363))</f>
        <v>0</v>
      </c>
      <c r="X1363">
        <f>IF(COUNT($N$1350:$N$1363)&lt;14,"",MIN($N$1350:$N$1363))</f>
        <v>0</v>
      </c>
      <c r="Y1363">
        <f>IF(COUNT($N$1350:$N$1363)&lt;14,"",MAX($N$1350:$N$1363))</f>
        <v>0</v>
      </c>
      <c r="Z1363">
        <f>IF(OR(N1363="",X1363="",Y1363="",Y1363=X1363),"",100*(N1363-X1363)/(Y1363-X1363))</f>
        <v>0</v>
      </c>
      <c r="AA1363">
        <f>IF(COUNT($Z$1361:$Z$1363)&lt;3,"",AVERAGE($Z$1361:$Z$1363))</f>
        <v>0</v>
      </c>
      <c r="AB1363">
        <f>IF(COUNT($AA$1361:$AA$1363)&lt;3,"",AVERAGE($AA$1361:$AA$1363))</f>
        <v>0</v>
      </c>
      <c r="AC1363">
        <f>IF($E1363="","",MAX($C1363-$D1363,ABS($C1363-$E1362),ABS($D1363-$E1362)))</f>
        <v>0</v>
      </c>
      <c r="AD1363">
        <f>IF(COUNT($E$2:$E1363)&lt;15,"",AVERAGE($AC$1350:$AC$1363))</f>
        <v>0</v>
      </c>
      <c r="AE1363">
        <f>IF(OR($E1363="",$E1362=""),"",IF(AND(($C1363-$C1362)&gt;($D1362-$D1363),($C1363-$C1362)&gt;0),$C1363-$C1362,0))</f>
        <v>0</v>
      </c>
      <c r="AF1363">
        <f>IF(OR($E1363="",$E1362=""),"",IF(AND(($D1362-$D1363)&gt;($C1363-$C1362),($D1362-$D1363)&gt;0),$D1362-$D1363,0))</f>
        <v>0</v>
      </c>
      <c r="AG1363">
        <f>IF(COUNT($E$2:$E1363)&lt;15,"",IF(SUM($AC$1350:$AC$1363)=0,0,100*SUM($AE$1350:$AE$1363)/SUM($AC$1350:$AC$1363)))</f>
        <v>0</v>
      </c>
      <c r="AH1363">
        <f>IF(COUNT($E$2:$E1363)&lt;15,"",IF(SUM($AC$1350:$AC$1363)=0,0,100*SUM($AF$1350:$AF$1363)/SUM($AC$1350:$AC$1363)))</f>
        <v>0</v>
      </c>
      <c r="AI1363">
        <f>IF(OR(AG1363="",AH1363=""),"",IF((AG1363+AH1363)=0,0,100*ABS(AG1363-AH1363)/(AG1363+AH1363)))</f>
        <v>0</v>
      </c>
      <c r="AJ1363">
        <f>IF(COUNT($AI$1350:$AI$1363)&lt;14,"",AVERAGE($AI$1350:$AI$1363))</f>
        <v>0</v>
      </c>
      <c r="AK1363">
        <f>IF(COUNT($E$2:$E1363)&lt;20,"",AVERAGE($E$1344:$E$1363))</f>
        <v>0</v>
      </c>
      <c r="AL1363">
        <f>IF(COUNT($E$2:$E1363)&lt;20,"",STDEVP($E$1344:$E$1363))</f>
        <v>0</v>
      </c>
      <c r="AM1363">
        <f>IF(AK1363="","",AK1363+2*AL1363)</f>
        <v>0</v>
      </c>
      <c r="AN1363">
        <f>IF(AK1363="","",AK1363-2*AL1363)</f>
        <v>0</v>
      </c>
      <c r="AO1363">
        <f>IF(OR(AM1363="",AN1363="",AM1363=AN1363),"",($E1363-AN1363)/(AM1363-AN1363))</f>
        <v>0</v>
      </c>
      <c r="AP1363">
        <f>IF(OR(AM1363="",AK1363="",AK1363=0),"",(AM1363-AN1363)/AK1363)</f>
        <v>0</v>
      </c>
      <c r="AQ1363">
        <f>IF(COUNT($E$2:$E1363)&lt;20,"",MAX($C$1344:$C$1363))</f>
        <v>0</v>
      </c>
      <c r="AR1363">
        <f>IF(COUNT($E$2:$E1363)&lt;20,"",MIN($D$1344:$D$1363))</f>
        <v>0</v>
      </c>
      <c r="AS1363">
        <f>IF(OR(AQ1363="",AR1363=""),"",(AQ1363+AR1363)/2)</f>
        <v>0</v>
      </c>
      <c r="AT1363">
        <f>IF(COUNT($G$1344:$G$1363)&lt;20,"",STDEV($G$1344:$G$1363)*SQRT(252))</f>
        <v>0</v>
      </c>
      <c r="AU1363">
        <f>IF(COUNT($E$2:$E1363)&lt;9,"",(MAX($C$1355:$C$1363)+MIN($D$1355:$D$1363))/2)</f>
        <v>0</v>
      </c>
      <c r="AV1363">
        <f>IF(COUNT($E$2:$E1363)&lt;26,"",(MAX($C$1338:$C$1363)+MIN($D$1338:$D$1363))/2)</f>
        <v>0</v>
      </c>
      <c r="AW1363">
        <f>IF(OR(AU1363="",AV1363=""),"",(AU1363+AV1363)/2)</f>
        <v>0</v>
      </c>
      <c r="AX1363">
        <f>IF(COUNT($E$2:$E1363)&lt;52,"",(MAX($C$1312:$C$1363)+MIN($D$1312:$D$1363))/2)</f>
        <v>0</v>
      </c>
      <c r="AY1363">
        <f>IF(COUNT($E$2:$E1363)&lt;20,"",MAX($C$1264:$C$1363))</f>
        <v>0</v>
      </c>
      <c r="AZ1363">
        <f>IF(COUNT($E$2:$E1363)&lt;20,"",MIN($D$1264:$D$1363))</f>
        <v>0</v>
      </c>
      <c r="BA1363">
        <f>IF(COUNT($E$2:$E1363)&lt;20,"",SLOPE($E$1264:$E$1363,$F$1264:$F$1363))</f>
        <v>0</v>
      </c>
      <c r="BB1363">
        <f>IF(COUNT($E$2:$E1363)&lt;20,"",INTERCEPT($E$1264:$E$1363,$F$1264:$F$1363))</f>
        <v>0</v>
      </c>
      <c r="BC1363">
        <f>IF(OR(BA1363="",BB1363=""),"",BB1363+BA1363*F1363)</f>
        <v>0</v>
      </c>
      <c r="BD1363">
        <f>IF(COUNT($E$2:$E1363)&lt;20,"",STEYX($E$1264:$E$1363,$F$1264:$F$1363))</f>
        <v>0</v>
      </c>
      <c r="BE1363">
        <f>IF($E1363="","",IF(AND(COUNT($E$1364:$E$1367)&gt;=4,$C1363=MAX($C$1359:$C$1367)),$C1363,""))</f>
        <v>0</v>
      </c>
      <c r="BF1363">
        <f>IF($E1363="","",IF(AND(COUNT($E$1364:$E$1367)&gt;=4,$D1363=MIN($D$1359:$D$1367)),$D1363,""))</f>
        <v>0</v>
      </c>
      <c r="BG1363">
        <f>IF($A1363="","",$A1363-WEEKDAY($A1363,2)+1)</f>
        <v>0</v>
      </c>
      <c r="BH1363">
        <f>IF($A1363="","",IF($A1362="",1,IF(BG1363&lt;&gt;BG1362,1,0)))</f>
        <v>0</v>
      </c>
      <c r="BI1363">
        <f>IF($A1363="","",IF($A1364="",1,IF(BG1364&lt;&gt;BG1363,1,0)))</f>
        <v>0</v>
      </c>
      <c r="BJ1363">
        <f>IF($A1363="","",IF(BH1363=1,$B1363,BJ1362))</f>
        <v>0</v>
      </c>
      <c r="BK1363">
        <f>IF($A1363="","",IF(BH1363=1,$C1363,MAX($C1363,BK1362)))</f>
        <v>0</v>
      </c>
      <c r="BL1363">
        <f>IF($A1363="","",IF(BH1363=1,$D1363,MIN($D1363,BL1362)))</f>
        <v>0</v>
      </c>
      <c r="BM1363">
        <f>IF($A1363="","",IF(BI1363=1,F1363,""))</f>
        <v>0</v>
      </c>
      <c r="BN1363">
        <f>IF($A1363="","",DATE(YEAR($A1363),MONTH($A1363),1))</f>
        <v>0</v>
      </c>
      <c r="BO1363">
        <f>IF($A1363="","",IF($A1362="",1,IF(BN1363&lt;&gt;BN1362,1,0)))</f>
        <v>0</v>
      </c>
      <c r="BP1363">
        <f>IF($A1363="","",IF($A1364="",1,IF(BN1364&lt;&gt;BN1363,1,0)))</f>
        <v>0</v>
      </c>
      <c r="BQ1363">
        <f>IF($A1363="","",IF(BO1363=1,$B1363,BQ1362))</f>
        <v>0</v>
      </c>
      <c r="BR1363">
        <f>IF($A1363="","",IF(BO1363=1,$C1363,MAX($C1363,BR1362)))</f>
        <v>0</v>
      </c>
      <c r="BS1363">
        <f>IF($A1363="","",IF(BO1363=1,$D1363,MIN($D1363,BS1362)))</f>
        <v>0</v>
      </c>
      <c r="BT1363">
        <f>IF($A1363="","",IF(BP1363=1,F1363,""))</f>
        <v>0</v>
      </c>
    </row>
    <row r="1364" spans="1:72">
      <c r="A1364" s="27">
        <f>IF(Data!$A1364="","",Data!$A1364)</f>
        <v>0</v>
      </c>
      <c r="B1364">
        <f>IF(Data!$B1364="","",Data!$B1364)</f>
        <v>0</v>
      </c>
      <c r="C1364">
        <f>IF(Data!$C1364="","",Data!$C1364)</f>
        <v>0</v>
      </c>
      <c r="D1364">
        <f>IF(Data!$D1364="","",Data!$D1364)</f>
        <v>0</v>
      </c>
      <c r="E1364">
        <f>IF(Data!$E1364="","",Data!$E1364)</f>
        <v>0</v>
      </c>
      <c r="F1364">
        <f>IF($E1364="","",N(F1363)+1)</f>
        <v>0</v>
      </c>
      <c r="G1364">
        <f>IF(OR($E1364="",$E1363=""),"",LN($E1364/$E1363))</f>
        <v>0</v>
      </c>
      <c r="H1364">
        <f>IF($E1364="","",IF($E1363="",$E1364,$E1364*0.0952380952+H1363*0.9047619048))</f>
        <v>0</v>
      </c>
      <c r="I1364">
        <f>IF($E1364="","",IF($E1363="",$E1364,$E1364*0.0392156863+I1363*0.9607843137))</f>
        <v>0</v>
      </c>
      <c r="J1364">
        <f>IF($E1364="","",IF($E1363="",$E1364,$E1364*0.0198019802+J1363*0.9801980198))</f>
        <v>0</v>
      </c>
      <c r="K1364">
        <f>IF($E1364="","",IF($E1363="",$E1364,$E1364*0.0099502488+K1363*0.9900497512))</f>
        <v>0</v>
      </c>
      <c r="L1364">
        <f>IF(OR($E1364="",$E1363=""),"",MAX($E1364-$E1363,0))</f>
        <v>0</v>
      </c>
      <c r="M1364">
        <f>IF(OR($E1364="",$E1363=""),"",MAX($E1363-$E1364,0))</f>
        <v>0</v>
      </c>
      <c r="N1364">
        <f>IF(COUNT($E$2:$E1364)&lt;15,"",IF(AVERAGE($M$1351:$M$1364)=0,100,100-100/(1+AVERAGE($L$1351:$L$1364)/AVERAGE($M$1351:$M$1364))))</f>
        <v>0</v>
      </c>
      <c r="O1364">
        <f>IF($E1364="","",IF($E1363="",$E1364,$E1364*0.1538461538+O1363*0.8461538462))</f>
        <v>0</v>
      </c>
      <c r="P1364">
        <f>IF($E1364="","",IF($E1363="",$E1364,$E1364*0.0740740741+P1363*0.9259259259))</f>
        <v>0</v>
      </c>
      <c r="Q1364">
        <f>IF(OR(O1364="",P1364=""),"",O1364-P1364)</f>
        <v>0</v>
      </c>
      <c r="R1364">
        <f>IF(Q1364="","",IF(R1363="",Q1364,Q1364*0.2000000000+R1363*0.8000000000))</f>
        <v>0</v>
      </c>
      <c r="S1364">
        <f>IF(OR(Q1364="",R1364=""),"",Q1364-R1364)</f>
        <v>0</v>
      </c>
      <c r="T1364">
        <f>IF(COUNT($E$2:$E1364)&lt;14,"",MAX($C$1351:$C$1364))</f>
        <v>0</v>
      </c>
      <c r="U1364">
        <f>IF(COUNT($E$2:$E1364)&lt;14,"",MIN($D$1351:$D$1364))</f>
        <v>0</v>
      </c>
      <c r="V1364">
        <f>IF(OR(T1364="",U1364="",T1364=U1364),"",100*($E1364-U1364)/(T1364-U1364))</f>
        <v>0</v>
      </c>
      <c r="W1364">
        <f>IF(COUNT($V$1362:$V$1364)&lt;3,"",AVERAGE($V$1362:$V$1364))</f>
        <v>0</v>
      </c>
      <c r="X1364">
        <f>IF(COUNT($N$1351:$N$1364)&lt;14,"",MIN($N$1351:$N$1364))</f>
        <v>0</v>
      </c>
      <c r="Y1364">
        <f>IF(COUNT($N$1351:$N$1364)&lt;14,"",MAX($N$1351:$N$1364))</f>
        <v>0</v>
      </c>
      <c r="Z1364">
        <f>IF(OR(N1364="",X1364="",Y1364="",Y1364=X1364),"",100*(N1364-X1364)/(Y1364-X1364))</f>
        <v>0</v>
      </c>
      <c r="AA1364">
        <f>IF(COUNT($Z$1362:$Z$1364)&lt;3,"",AVERAGE($Z$1362:$Z$1364))</f>
        <v>0</v>
      </c>
      <c r="AB1364">
        <f>IF(COUNT($AA$1362:$AA$1364)&lt;3,"",AVERAGE($AA$1362:$AA$1364))</f>
        <v>0</v>
      </c>
      <c r="AC1364">
        <f>IF($E1364="","",MAX($C1364-$D1364,ABS($C1364-$E1363),ABS($D1364-$E1363)))</f>
        <v>0</v>
      </c>
      <c r="AD1364">
        <f>IF(COUNT($E$2:$E1364)&lt;15,"",AVERAGE($AC$1351:$AC$1364))</f>
        <v>0</v>
      </c>
      <c r="AE1364">
        <f>IF(OR($E1364="",$E1363=""),"",IF(AND(($C1364-$C1363)&gt;($D1363-$D1364),($C1364-$C1363)&gt;0),$C1364-$C1363,0))</f>
        <v>0</v>
      </c>
      <c r="AF1364">
        <f>IF(OR($E1364="",$E1363=""),"",IF(AND(($D1363-$D1364)&gt;($C1364-$C1363),($D1363-$D1364)&gt;0),$D1363-$D1364,0))</f>
        <v>0</v>
      </c>
      <c r="AG1364">
        <f>IF(COUNT($E$2:$E1364)&lt;15,"",IF(SUM($AC$1351:$AC$1364)=0,0,100*SUM($AE$1351:$AE$1364)/SUM($AC$1351:$AC$1364)))</f>
        <v>0</v>
      </c>
      <c r="AH1364">
        <f>IF(COUNT($E$2:$E1364)&lt;15,"",IF(SUM($AC$1351:$AC$1364)=0,0,100*SUM($AF$1351:$AF$1364)/SUM($AC$1351:$AC$1364)))</f>
        <v>0</v>
      </c>
      <c r="AI1364">
        <f>IF(OR(AG1364="",AH1364=""),"",IF((AG1364+AH1364)=0,0,100*ABS(AG1364-AH1364)/(AG1364+AH1364)))</f>
        <v>0</v>
      </c>
      <c r="AJ1364">
        <f>IF(COUNT($AI$1351:$AI$1364)&lt;14,"",AVERAGE($AI$1351:$AI$1364))</f>
        <v>0</v>
      </c>
      <c r="AK1364">
        <f>IF(COUNT($E$2:$E1364)&lt;20,"",AVERAGE($E$1345:$E$1364))</f>
        <v>0</v>
      </c>
      <c r="AL1364">
        <f>IF(COUNT($E$2:$E1364)&lt;20,"",STDEVP($E$1345:$E$1364))</f>
        <v>0</v>
      </c>
      <c r="AM1364">
        <f>IF(AK1364="","",AK1364+2*AL1364)</f>
        <v>0</v>
      </c>
      <c r="AN1364">
        <f>IF(AK1364="","",AK1364-2*AL1364)</f>
        <v>0</v>
      </c>
      <c r="AO1364">
        <f>IF(OR(AM1364="",AN1364="",AM1364=AN1364),"",($E1364-AN1364)/(AM1364-AN1364))</f>
        <v>0</v>
      </c>
      <c r="AP1364">
        <f>IF(OR(AM1364="",AK1364="",AK1364=0),"",(AM1364-AN1364)/AK1364)</f>
        <v>0</v>
      </c>
      <c r="AQ1364">
        <f>IF(COUNT($E$2:$E1364)&lt;20,"",MAX($C$1345:$C$1364))</f>
        <v>0</v>
      </c>
      <c r="AR1364">
        <f>IF(COUNT($E$2:$E1364)&lt;20,"",MIN($D$1345:$D$1364))</f>
        <v>0</v>
      </c>
      <c r="AS1364">
        <f>IF(OR(AQ1364="",AR1364=""),"",(AQ1364+AR1364)/2)</f>
        <v>0</v>
      </c>
      <c r="AT1364">
        <f>IF(COUNT($G$1345:$G$1364)&lt;20,"",STDEV($G$1345:$G$1364)*SQRT(252))</f>
        <v>0</v>
      </c>
      <c r="AU1364">
        <f>IF(COUNT($E$2:$E1364)&lt;9,"",(MAX($C$1356:$C$1364)+MIN($D$1356:$D$1364))/2)</f>
        <v>0</v>
      </c>
      <c r="AV1364">
        <f>IF(COUNT($E$2:$E1364)&lt;26,"",(MAX($C$1339:$C$1364)+MIN($D$1339:$D$1364))/2)</f>
        <v>0</v>
      </c>
      <c r="AW1364">
        <f>IF(OR(AU1364="",AV1364=""),"",(AU1364+AV1364)/2)</f>
        <v>0</v>
      </c>
      <c r="AX1364">
        <f>IF(COUNT($E$2:$E1364)&lt;52,"",(MAX($C$1313:$C$1364)+MIN($D$1313:$D$1364))/2)</f>
        <v>0</v>
      </c>
      <c r="AY1364">
        <f>IF(COUNT($E$2:$E1364)&lt;20,"",MAX($C$1265:$C$1364))</f>
        <v>0</v>
      </c>
      <c r="AZ1364">
        <f>IF(COUNT($E$2:$E1364)&lt;20,"",MIN($D$1265:$D$1364))</f>
        <v>0</v>
      </c>
      <c r="BA1364">
        <f>IF(COUNT($E$2:$E1364)&lt;20,"",SLOPE($E$1265:$E$1364,$F$1265:$F$1364))</f>
        <v>0</v>
      </c>
      <c r="BB1364">
        <f>IF(COUNT($E$2:$E1364)&lt;20,"",INTERCEPT($E$1265:$E$1364,$F$1265:$F$1364))</f>
        <v>0</v>
      </c>
      <c r="BC1364">
        <f>IF(OR(BA1364="",BB1364=""),"",BB1364+BA1364*F1364)</f>
        <v>0</v>
      </c>
      <c r="BD1364">
        <f>IF(COUNT($E$2:$E1364)&lt;20,"",STEYX($E$1265:$E$1364,$F$1265:$F$1364))</f>
        <v>0</v>
      </c>
      <c r="BE1364">
        <f>IF($E1364="","",IF(AND(COUNT($E$1365:$E$1368)&gt;=4,$C1364=MAX($C$1360:$C$1368)),$C1364,""))</f>
        <v>0</v>
      </c>
      <c r="BF1364">
        <f>IF($E1364="","",IF(AND(COUNT($E$1365:$E$1368)&gt;=4,$D1364=MIN($D$1360:$D$1368)),$D1364,""))</f>
        <v>0</v>
      </c>
      <c r="BG1364">
        <f>IF($A1364="","",$A1364-WEEKDAY($A1364,2)+1)</f>
        <v>0</v>
      </c>
      <c r="BH1364">
        <f>IF($A1364="","",IF($A1363="",1,IF(BG1364&lt;&gt;BG1363,1,0)))</f>
        <v>0</v>
      </c>
      <c r="BI1364">
        <f>IF($A1364="","",IF($A1365="",1,IF(BG1365&lt;&gt;BG1364,1,0)))</f>
        <v>0</v>
      </c>
      <c r="BJ1364">
        <f>IF($A1364="","",IF(BH1364=1,$B1364,BJ1363))</f>
        <v>0</v>
      </c>
      <c r="BK1364">
        <f>IF($A1364="","",IF(BH1364=1,$C1364,MAX($C1364,BK1363)))</f>
        <v>0</v>
      </c>
      <c r="BL1364">
        <f>IF($A1364="","",IF(BH1364=1,$D1364,MIN($D1364,BL1363)))</f>
        <v>0</v>
      </c>
      <c r="BM1364">
        <f>IF($A1364="","",IF(BI1364=1,F1364,""))</f>
        <v>0</v>
      </c>
      <c r="BN1364">
        <f>IF($A1364="","",DATE(YEAR($A1364),MONTH($A1364),1))</f>
        <v>0</v>
      </c>
      <c r="BO1364">
        <f>IF($A1364="","",IF($A1363="",1,IF(BN1364&lt;&gt;BN1363,1,0)))</f>
        <v>0</v>
      </c>
      <c r="BP1364">
        <f>IF($A1364="","",IF($A1365="",1,IF(BN1365&lt;&gt;BN1364,1,0)))</f>
        <v>0</v>
      </c>
      <c r="BQ1364">
        <f>IF($A1364="","",IF(BO1364=1,$B1364,BQ1363))</f>
        <v>0</v>
      </c>
      <c r="BR1364">
        <f>IF($A1364="","",IF(BO1364=1,$C1364,MAX($C1364,BR1363)))</f>
        <v>0</v>
      </c>
      <c r="BS1364">
        <f>IF($A1364="","",IF(BO1364=1,$D1364,MIN($D1364,BS1363)))</f>
        <v>0</v>
      </c>
      <c r="BT1364">
        <f>IF($A1364="","",IF(BP1364=1,F1364,""))</f>
        <v>0</v>
      </c>
    </row>
    <row r="1365" spans="1:72">
      <c r="A1365" s="27">
        <f>IF(Data!$A1365="","",Data!$A1365)</f>
        <v>0</v>
      </c>
      <c r="B1365">
        <f>IF(Data!$B1365="","",Data!$B1365)</f>
        <v>0</v>
      </c>
      <c r="C1365">
        <f>IF(Data!$C1365="","",Data!$C1365)</f>
        <v>0</v>
      </c>
      <c r="D1365">
        <f>IF(Data!$D1365="","",Data!$D1365)</f>
        <v>0</v>
      </c>
      <c r="E1365">
        <f>IF(Data!$E1365="","",Data!$E1365)</f>
        <v>0</v>
      </c>
      <c r="F1365">
        <f>IF($E1365="","",N(F1364)+1)</f>
        <v>0</v>
      </c>
      <c r="G1365">
        <f>IF(OR($E1365="",$E1364=""),"",LN($E1365/$E1364))</f>
        <v>0</v>
      </c>
      <c r="H1365">
        <f>IF($E1365="","",IF($E1364="",$E1365,$E1365*0.0952380952+H1364*0.9047619048))</f>
        <v>0</v>
      </c>
      <c r="I1365">
        <f>IF($E1365="","",IF($E1364="",$E1365,$E1365*0.0392156863+I1364*0.9607843137))</f>
        <v>0</v>
      </c>
      <c r="J1365">
        <f>IF($E1365="","",IF($E1364="",$E1365,$E1365*0.0198019802+J1364*0.9801980198))</f>
        <v>0</v>
      </c>
      <c r="K1365">
        <f>IF($E1365="","",IF($E1364="",$E1365,$E1365*0.0099502488+K1364*0.9900497512))</f>
        <v>0</v>
      </c>
      <c r="L1365">
        <f>IF(OR($E1365="",$E1364=""),"",MAX($E1365-$E1364,0))</f>
        <v>0</v>
      </c>
      <c r="M1365">
        <f>IF(OR($E1365="",$E1364=""),"",MAX($E1364-$E1365,0))</f>
        <v>0</v>
      </c>
      <c r="N1365">
        <f>IF(COUNT($E$2:$E1365)&lt;15,"",IF(AVERAGE($M$1352:$M$1365)=0,100,100-100/(1+AVERAGE($L$1352:$L$1365)/AVERAGE($M$1352:$M$1365))))</f>
        <v>0</v>
      </c>
      <c r="O1365">
        <f>IF($E1365="","",IF($E1364="",$E1365,$E1365*0.1538461538+O1364*0.8461538462))</f>
        <v>0</v>
      </c>
      <c r="P1365">
        <f>IF($E1365="","",IF($E1364="",$E1365,$E1365*0.0740740741+P1364*0.9259259259))</f>
        <v>0</v>
      </c>
      <c r="Q1365">
        <f>IF(OR(O1365="",P1365=""),"",O1365-P1365)</f>
        <v>0</v>
      </c>
      <c r="R1365">
        <f>IF(Q1365="","",IF(R1364="",Q1365,Q1365*0.2000000000+R1364*0.8000000000))</f>
        <v>0</v>
      </c>
      <c r="S1365">
        <f>IF(OR(Q1365="",R1365=""),"",Q1365-R1365)</f>
        <v>0</v>
      </c>
      <c r="T1365">
        <f>IF(COUNT($E$2:$E1365)&lt;14,"",MAX($C$1352:$C$1365))</f>
        <v>0</v>
      </c>
      <c r="U1365">
        <f>IF(COUNT($E$2:$E1365)&lt;14,"",MIN($D$1352:$D$1365))</f>
        <v>0</v>
      </c>
      <c r="V1365">
        <f>IF(OR(T1365="",U1365="",T1365=U1365),"",100*($E1365-U1365)/(T1365-U1365))</f>
        <v>0</v>
      </c>
      <c r="W1365">
        <f>IF(COUNT($V$1363:$V$1365)&lt;3,"",AVERAGE($V$1363:$V$1365))</f>
        <v>0</v>
      </c>
      <c r="X1365">
        <f>IF(COUNT($N$1352:$N$1365)&lt;14,"",MIN($N$1352:$N$1365))</f>
        <v>0</v>
      </c>
      <c r="Y1365">
        <f>IF(COUNT($N$1352:$N$1365)&lt;14,"",MAX($N$1352:$N$1365))</f>
        <v>0</v>
      </c>
      <c r="Z1365">
        <f>IF(OR(N1365="",X1365="",Y1365="",Y1365=X1365),"",100*(N1365-X1365)/(Y1365-X1365))</f>
        <v>0</v>
      </c>
      <c r="AA1365">
        <f>IF(COUNT($Z$1363:$Z$1365)&lt;3,"",AVERAGE($Z$1363:$Z$1365))</f>
        <v>0</v>
      </c>
      <c r="AB1365">
        <f>IF(COUNT($AA$1363:$AA$1365)&lt;3,"",AVERAGE($AA$1363:$AA$1365))</f>
        <v>0</v>
      </c>
      <c r="AC1365">
        <f>IF($E1365="","",MAX($C1365-$D1365,ABS($C1365-$E1364),ABS($D1365-$E1364)))</f>
        <v>0</v>
      </c>
      <c r="AD1365">
        <f>IF(COUNT($E$2:$E1365)&lt;15,"",AVERAGE($AC$1352:$AC$1365))</f>
        <v>0</v>
      </c>
      <c r="AE1365">
        <f>IF(OR($E1365="",$E1364=""),"",IF(AND(($C1365-$C1364)&gt;($D1364-$D1365),($C1365-$C1364)&gt;0),$C1365-$C1364,0))</f>
        <v>0</v>
      </c>
      <c r="AF1365">
        <f>IF(OR($E1365="",$E1364=""),"",IF(AND(($D1364-$D1365)&gt;($C1365-$C1364),($D1364-$D1365)&gt;0),$D1364-$D1365,0))</f>
        <v>0</v>
      </c>
      <c r="AG1365">
        <f>IF(COUNT($E$2:$E1365)&lt;15,"",IF(SUM($AC$1352:$AC$1365)=0,0,100*SUM($AE$1352:$AE$1365)/SUM($AC$1352:$AC$1365)))</f>
        <v>0</v>
      </c>
      <c r="AH1365">
        <f>IF(COUNT($E$2:$E1365)&lt;15,"",IF(SUM($AC$1352:$AC$1365)=0,0,100*SUM($AF$1352:$AF$1365)/SUM($AC$1352:$AC$1365)))</f>
        <v>0</v>
      </c>
      <c r="AI1365">
        <f>IF(OR(AG1365="",AH1365=""),"",IF((AG1365+AH1365)=0,0,100*ABS(AG1365-AH1365)/(AG1365+AH1365)))</f>
        <v>0</v>
      </c>
      <c r="AJ1365">
        <f>IF(COUNT($AI$1352:$AI$1365)&lt;14,"",AVERAGE($AI$1352:$AI$1365))</f>
        <v>0</v>
      </c>
      <c r="AK1365">
        <f>IF(COUNT($E$2:$E1365)&lt;20,"",AVERAGE($E$1346:$E$1365))</f>
        <v>0</v>
      </c>
      <c r="AL1365">
        <f>IF(COUNT($E$2:$E1365)&lt;20,"",STDEVP($E$1346:$E$1365))</f>
        <v>0</v>
      </c>
      <c r="AM1365">
        <f>IF(AK1365="","",AK1365+2*AL1365)</f>
        <v>0</v>
      </c>
      <c r="AN1365">
        <f>IF(AK1365="","",AK1365-2*AL1365)</f>
        <v>0</v>
      </c>
      <c r="AO1365">
        <f>IF(OR(AM1365="",AN1365="",AM1365=AN1365),"",($E1365-AN1365)/(AM1365-AN1365))</f>
        <v>0</v>
      </c>
      <c r="AP1365">
        <f>IF(OR(AM1365="",AK1365="",AK1365=0),"",(AM1365-AN1365)/AK1365)</f>
        <v>0</v>
      </c>
      <c r="AQ1365">
        <f>IF(COUNT($E$2:$E1365)&lt;20,"",MAX($C$1346:$C$1365))</f>
        <v>0</v>
      </c>
      <c r="AR1365">
        <f>IF(COUNT($E$2:$E1365)&lt;20,"",MIN($D$1346:$D$1365))</f>
        <v>0</v>
      </c>
      <c r="AS1365">
        <f>IF(OR(AQ1365="",AR1365=""),"",(AQ1365+AR1365)/2)</f>
        <v>0</v>
      </c>
      <c r="AT1365">
        <f>IF(COUNT($G$1346:$G$1365)&lt;20,"",STDEV($G$1346:$G$1365)*SQRT(252))</f>
        <v>0</v>
      </c>
      <c r="AU1365">
        <f>IF(COUNT($E$2:$E1365)&lt;9,"",(MAX($C$1357:$C$1365)+MIN($D$1357:$D$1365))/2)</f>
        <v>0</v>
      </c>
      <c r="AV1365">
        <f>IF(COUNT($E$2:$E1365)&lt;26,"",(MAX($C$1340:$C$1365)+MIN($D$1340:$D$1365))/2)</f>
        <v>0</v>
      </c>
      <c r="AW1365">
        <f>IF(OR(AU1365="",AV1365=""),"",(AU1365+AV1365)/2)</f>
        <v>0</v>
      </c>
      <c r="AX1365">
        <f>IF(COUNT($E$2:$E1365)&lt;52,"",(MAX($C$1314:$C$1365)+MIN($D$1314:$D$1365))/2)</f>
        <v>0</v>
      </c>
      <c r="AY1365">
        <f>IF(COUNT($E$2:$E1365)&lt;20,"",MAX($C$1266:$C$1365))</f>
        <v>0</v>
      </c>
      <c r="AZ1365">
        <f>IF(COUNT($E$2:$E1365)&lt;20,"",MIN($D$1266:$D$1365))</f>
        <v>0</v>
      </c>
      <c r="BA1365">
        <f>IF(COUNT($E$2:$E1365)&lt;20,"",SLOPE($E$1266:$E$1365,$F$1266:$F$1365))</f>
        <v>0</v>
      </c>
      <c r="BB1365">
        <f>IF(COUNT($E$2:$E1365)&lt;20,"",INTERCEPT($E$1266:$E$1365,$F$1266:$F$1365))</f>
        <v>0</v>
      </c>
      <c r="BC1365">
        <f>IF(OR(BA1365="",BB1365=""),"",BB1365+BA1365*F1365)</f>
        <v>0</v>
      </c>
      <c r="BD1365">
        <f>IF(COUNT($E$2:$E1365)&lt;20,"",STEYX($E$1266:$E$1365,$F$1266:$F$1365))</f>
        <v>0</v>
      </c>
      <c r="BE1365">
        <f>IF($E1365="","",IF(AND(COUNT($E$1366:$E$1369)&gt;=4,$C1365=MAX($C$1361:$C$1369)),$C1365,""))</f>
        <v>0</v>
      </c>
      <c r="BF1365">
        <f>IF($E1365="","",IF(AND(COUNT($E$1366:$E$1369)&gt;=4,$D1365=MIN($D$1361:$D$1369)),$D1365,""))</f>
        <v>0</v>
      </c>
      <c r="BG1365">
        <f>IF($A1365="","",$A1365-WEEKDAY($A1365,2)+1)</f>
        <v>0</v>
      </c>
      <c r="BH1365">
        <f>IF($A1365="","",IF($A1364="",1,IF(BG1365&lt;&gt;BG1364,1,0)))</f>
        <v>0</v>
      </c>
      <c r="BI1365">
        <f>IF($A1365="","",IF($A1366="",1,IF(BG1366&lt;&gt;BG1365,1,0)))</f>
        <v>0</v>
      </c>
      <c r="BJ1365">
        <f>IF($A1365="","",IF(BH1365=1,$B1365,BJ1364))</f>
        <v>0</v>
      </c>
      <c r="BK1365">
        <f>IF($A1365="","",IF(BH1365=1,$C1365,MAX($C1365,BK1364)))</f>
        <v>0</v>
      </c>
      <c r="BL1365">
        <f>IF($A1365="","",IF(BH1365=1,$D1365,MIN($D1365,BL1364)))</f>
        <v>0</v>
      </c>
      <c r="BM1365">
        <f>IF($A1365="","",IF(BI1365=1,F1365,""))</f>
        <v>0</v>
      </c>
      <c r="BN1365">
        <f>IF($A1365="","",DATE(YEAR($A1365),MONTH($A1365),1))</f>
        <v>0</v>
      </c>
      <c r="BO1365">
        <f>IF($A1365="","",IF($A1364="",1,IF(BN1365&lt;&gt;BN1364,1,0)))</f>
        <v>0</v>
      </c>
      <c r="BP1365">
        <f>IF($A1365="","",IF($A1366="",1,IF(BN1366&lt;&gt;BN1365,1,0)))</f>
        <v>0</v>
      </c>
      <c r="BQ1365">
        <f>IF($A1365="","",IF(BO1365=1,$B1365,BQ1364))</f>
        <v>0</v>
      </c>
      <c r="BR1365">
        <f>IF($A1365="","",IF(BO1365=1,$C1365,MAX($C1365,BR1364)))</f>
        <v>0</v>
      </c>
      <c r="BS1365">
        <f>IF($A1365="","",IF(BO1365=1,$D1365,MIN($D1365,BS1364)))</f>
        <v>0</v>
      </c>
      <c r="BT1365">
        <f>IF($A1365="","",IF(BP1365=1,F1365,""))</f>
        <v>0</v>
      </c>
    </row>
    <row r="1366" spans="1:72">
      <c r="A1366" s="27">
        <f>IF(Data!$A1366="","",Data!$A1366)</f>
        <v>0</v>
      </c>
      <c r="B1366">
        <f>IF(Data!$B1366="","",Data!$B1366)</f>
        <v>0</v>
      </c>
      <c r="C1366">
        <f>IF(Data!$C1366="","",Data!$C1366)</f>
        <v>0</v>
      </c>
      <c r="D1366">
        <f>IF(Data!$D1366="","",Data!$D1366)</f>
        <v>0</v>
      </c>
      <c r="E1366">
        <f>IF(Data!$E1366="","",Data!$E1366)</f>
        <v>0</v>
      </c>
      <c r="F1366">
        <f>IF($E1366="","",N(F1365)+1)</f>
        <v>0</v>
      </c>
      <c r="G1366">
        <f>IF(OR($E1366="",$E1365=""),"",LN($E1366/$E1365))</f>
        <v>0</v>
      </c>
      <c r="H1366">
        <f>IF($E1366="","",IF($E1365="",$E1366,$E1366*0.0952380952+H1365*0.9047619048))</f>
        <v>0</v>
      </c>
      <c r="I1366">
        <f>IF($E1366="","",IF($E1365="",$E1366,$E1366*0.0392156863+I1365*0.9607843137))</f>
        <v>0</v>
      </c>
      <c r="J1366">
        <f>IF($E1366="","",IF($E1365="",$E1366,$E1366*0.0198019802+J1365*0.9801980198))</f>
        <v>0</v>
      </c>
      <c r="K1366">
        <f>IF($E1366="","",IF($E1365="",$E1366,$E1366*0.0099502488+K1365*0.9900497512))</f>
        <v>0</v>
      </c>
      <c r="L1366">
        <f>IF(OR($E1366="",$E1365=""),"",MAX($E1366-$E1365,0))</f>
        <v>0</v>
      </c>
      <c r="M1366">
        <f>IF(OR($E1366="",$E1365=""),"",MAX($E1365-$E1366,0))</f>
        <v>0</v>
      </c>
      <c r="N1366">
        <f>IF(COUNT($E$2:$E1366)&lt;15,"",IF(AVERAGE($M$1353:$M$1366)=0,100,100-100/(1+AVERAGE($L$1353:$L$1366)/AVERAGE($M$1353:$M$1366))))</f>
        <v>0</v>
      </c>
      <c r="O1366">
        <f>IF($E1366="","",IF($E1365="",$E1366,$E1366*0.1538461538+O1365*0.8461538462))</f>
        <v>0</v>
      </c>
      <c r="P1366">
        <f>IF($E1366="","",IF($E1365="",$E1366,$E1366*0.0740740741+P1365*0.9259259259))</f>
        <v>0</v>
      </c>
      <c r="Q1366">
        <f>IF(OR(O1366="",P1366=""),"",O1366-P1366)</f>
        <v>0</v>
      </c>
      <c r="R1366">
        <f>IF(Q1366="","",IF(R1365="",Q1366,Q1366*0.2000000000+R1365*0.8000000000))</f>
        <v>0</v>
      </c>
      <c r="S1366">
        <f>IF(OR(Q1366="",R1366=""),"",Q1366-R1366)</f>
        <v>0</v>
      </c>
      <c r="T1366">
        <f>IF(COUNT($E$2:$E1366)&lt;14,"",MAX($C$1353:$C$1366))</f>
        <v>0</v>
      </c>
      <c r="U1366">
        <f>IF(COUNT($E$2:$E1366)&lt;14,"",MIN($D$1353:$D$1366))</f>
        <v>0</v>
      </c>
      <c r="V1366">
        <f>IF(OR(T1366="",U1366="",T1366=U1366),"",100*($E1366-U1366)/(T1366-U1366))</f>
        <v>0</v>
      </c>
      <c r="W1366">
        <f>IF(COUNT($V$1364:$V$1366)&lt;3,"",AVERAGE($V$1364:$V$1366))</f>
        <v>0</v>
      </c>
      <c r="X1366">
        <f>IF(COUNT($N$1353:$N$1366)&lt;14,"",MIN($N$1353:$N$1366))</f>
        <v>0</v>
      </c>
      <c r="Y1366">
        <f>IF(COUNT($N$1353:$N$1366)&lt;14,"",MAX($N$1353:$N$1366))</f>
        <v>0</v>
      </c>
      <c r="Z1366">
        <f>IF(OR(N1366="",X1366="",Y1366="",Y1366=X1366),"",100*(N1366-X1366)/(Y1366-X1366))</f>
        <v>0</v>
      </c>
      <c r="AA1366">
        <f>IF(COUNT($Z$1364:$Z$1366)&lt;3,"",AVERAGE($Z$1364:$Z$1366))</f>
        <v>0</v>
      </c>
      <c r="AB1366">
        <f>IF(COUNT($AA$1364:$AA$1366)&lt;3,"",AVERAGE($AA$1364:$AA$1366))</f>
        <v>0</v>
      </c>
      <c r="AC1366">
        <f>IF($E1366="","",MAX($C1366-$D1366,ABS($C1366-$E1365),ABS($D1366-$E1365)))</f>
        <v>0</v>
      </c>
      <c r="AD1366">
        <f>IF(COUNT($E$2:$E1366)&lt;15,"",AVERAGE($AC$1353:$AC$1366))</f>
        <v>0</v>
      </c>
      <c r="AE1366">
        <f>IF(OR($E1366="",$E1365=""),"",IF(AND(($C1366-$C1365)&gt;($D1365-$D1366),($C1366-$C1365)&gt;0),$C1366-$C1365,0))</f>
        <v>0</v>
      </c>
      <c r="AF1366">
        <f>IF(OR($E1366="",$E1365=""),"",IF(AND(($D1365-$D1366)&gt;($C1366-$C1365),($D1365-$D1366)&gt;0),$D1365-$D1366,0))</f>
        <v>0</v>
      </c>
      <c r="AG1366">
        <f>IF(COUNT($E$2:$E1366)&lt;15,"",IF(SUM($AC$1353:$AC$1366)=0,0,100*SUM($AE$1353:$AE$1366)/SUM($AC$1353:$AC$1366)))</f>
        <v>0</v>
      </c>
      <c r="AH1366">
        <f>IF(COUNT($E$2:$E1366)&lt;15,"",IF(SUM($AC$1353:$AC$1366)=0,0,100*SUM($AF$1353:$AF$1366)/SUM($AC$1353:$AC$1366)))</f>
        <v>0</v>
      </c>
      <c r="AI1366">
        <f>IF(OR(AG1366="",AH1366=""),"",IF((AG1366+AH1366)=0,0,100*ABS(AG1366-AH1366)/(AG1366+AH1366)))</f>
        <v>0</v>
      </c>
      <c r="AJ1366">
        <f>IF(COUNT($AI$1353:$AI$1366)&lt;14,"",AVERAGE($AI$1353:$AI$1366))</f>
        <v>0</v>
      </c>
      <c r="AK1366">
        <f>IF(COUNT($E$2:$E1366)&lt;20,"",AVERAGE($E$1347:$E$1366))</f>
        <v>0</v>
      </c>
      <c r="AL1366">
        <f>IF(COUNT($E$2:$E1366)&lt;20,"",STDEVP($E$1347:$E$1366))</f>
        <v>0</v>
      </c>
      <c r="AM1366">
        <f>IF(AK1366="","",AK1366+2*AL1366)</f>
        <v>0</v>
      </c>
      <c r="AN1366">
        <f>IF(AK1366="","",AK1366-2*AL1366)</f>
        <v>0</v>
      </c>
      <c r="AO1366">
        <f>IF(OR(AM1366="",AN1366="",AM1366=AN1366),"",($E1366-AN1366)/(AM1366-AN1366))</f>
        <v>0</v>
      </c>
      <c r="AP1366">
        <f>IF(OR(AM1366="",AK1366="",AK1366=0),"",(AM1366-AN1366)/AK1366)</f>
        <v>0</v>
      </c>
      <c r="AQ1366">
        <f>IF(COUNT($E$2:$E1366)&lt;20,"",MAX($C$1347:$C$1366))</f>
        <v>0</v>
      </c>
      <c r="AR1366">
        <f>IF(COUNT($E$2:$E1366)&lt;20,"",MIN($D$1347:$D$1366))</f>
        <v>0</v>
      </c>
      <c r="AS1366">
        <f>IF(OR(AQ1366="",AR1366=""),"",(AQ1366+AR1366)/2)</f>
        <v>0</v>
      </c>
      <c r="AT1366">
        <f>IF(COUNT($G$1347:$G$1366)&lt;20,"",STDEV($G$1347:$G$1366)*SQRT(252))</f>
        <v>0</v>
      </c>
      <c r="AU1366">
        <f>IF(COUNT($E$2:$E1366)&lt;9,"",(MAX($C$1358:$C$1366)+MIN($D$1358:$D$1366))/2)</f>
        <v>0</v>
      </c>
      <c r="AV1366">
        <f>IF(COUNT($E$2:$E1366)&lt;26,"",(MAX($C$1341:$C$1366)+MIN($D$1341:$D$1366))/2)</f>
        <v>0</v>
      </c>
      <c r="AW1366">
        <f>IF(OR(AU1366="",AV1366=""),"",(AU1366+AV1366)/2)</f>
        <v>0</v>
      </c>
      <c r="AX1366">
        <f>IF(COUNT($E$2:$E1366)&lt;52,"",(MAX($C$1315:$C$1366)+MIN($D$1315:$D$1366))/2)</f>
        <v>0</v>
      </c>
      <c r="AY1366">
        <f>IF(COUNT($E$2:$E1366)&lt;20,"",MAX($C$1267:$C$1366))</f>
        <v>0</v>
      </c>
      <c r="AZ1366">
        <f>IF(COUNT($E$2:$E1366)&lt;20,"",MIN($D$1267:$D$1366))</f>
        <v>0</v>
      </c>
      <c r="BA1366">
        <f>IF(COUNT($E$2:$E1366)&lt;20,"",SLOPE($E$1267:$E$1366,$F$1267:$F$1366))</f>
        <v>0</v>
      </c>
      <c r="BB1366">
        <f>IF(COUNT($E$2:$E1366)&lt;20,"",INTERCEPT($E$1267:$E$1366,$F$1267:$F$1366))</f>
        <v>0</v>
      </c>
      <c r="BC1366">
        <f>IF(OR(BA1366="",BB1366=""),"",BB1366+BA1366*F1366)</f>
        <v>0</v>
      </c>
      <c r="BD1366">
        <f>IF(COUNT($E$2:$E1366)&lt;20,"",STEYX($E$1267:$E$1366,$F$1267:$F$1366))</f>
        <v>0</v>
      </c>
      <c r="BE1366">
        <f>IF($E1366="","",IF(AND(COUNT($E$1367:$E$1370)&gt;=4,$C1366=MAX($C$1362:$C$1370)),$C1366,""))</f>
        <v>0</v>
      </c>
      <c r="BF1366">
        <f>IF($E1366="","",IF(AND(COUNT($E$1367:$E$1370)&gt;=4,$D1366=MIN($D$1362:$D$1370)),$D1366,""))</f>
        <v>0</v>
      </c>
      <c r="BG1366">
        <f>IF($A1366="","",$A1366-WEEKDAY($A1366,2)+1)</f>
        <v>0</v>
      </c>
      <c r="BH1366">
        <f>IF($A1366="","",IF($A1365="",1,IF(BG1366&lt;&gt;BG1365,1,0)))</f>
        <v>0</v>
      </c>
      <c r="BI1366">
        <f>IF($A1366="","",IF($A1367="",1,IF(BG1367&lt;&gt;BG1366,1,0)))</f>
        <v>0</v>
      </c>
      <c r="BJ1366">
        <f>IF($A1366="","",IF(BH1366=1,$B1366,BJ1365))</f>
        <v>0</v>
      </c>
      <c r="BK1366">
        <f>IF($A1366="","",IF(BH1366=1,$C1366,MAX($C1366,BK1365)))</f>
        <v>0</v>
      </c>
      <c r="BL1366">
        <f>IF($A1366="","",IF(BH1366=1,$D1366,MIN($D1366,BL1365)))</f>
        <v>0</v>
      </c>
      <c r="BM1366">
        <f>IF($A1366="","",IF(BI1366=1,F1366,""))</f>
        <v>0</v>
      </c>
      <c r="BN1366">
        <f>IF($A1366="","",DATE(YEAR($A1366),MONTH($A1366),1))</f>
        <v>0</v>
      </c>
      <c r="BO1366">
        <f>IF($A1366="","",IF($A1365="",1,IF(BN1366&lt;&gt;BN1365,1,0)))</f>
        <v>0</v>
      </c>
      <c r="BP1366">
        <f>IF($A1366="","",IF($A1367="",1,IF(BN1367&lt;&gt;BN1366,1,0)))</f>
        <v>0</v>
      </c>
      <c r="BQ1366">
        <f>IF($A1366="","",IF(BO1366=1,$B1366,BQ1365))</f>
        <v>0</v>
      </c>
      <c r="BR1366">
        <f>IF($A1366="","",IF(BO1366=1,$C1366,MAX($C1366,BR1365)))</f>
        <v>0</v>
      </c>
      <c r="BS1366">
        <f>IF($A1366="","",IF(BO1366=1,$D1366,MIN($D1366,BS1365)))</f>
        <v>0</v>
      </c>
      <c r="BT1366">
        <f>IF($A1366="","",IF(BP1366=1,F1366,""))</f>
        <v>0</v>
      </c>
    </row>
    <row r="1367" spans="1:72">
      <c r="A1367" s="27">
        <f>IF(Data!$A1367="","",Data!$A1367)</f>
        <v>0</v>
      </c>
      <c r="B1367">
        <f>IF(Data!$B1367="","",Data!$B1367)</f>
        <v>0</v>
      </c>
      <c r="C1367">
        <f>IF(Data!$C1367="","",Data!$C1367)</f>
        <v>0</v>
      </c>
      <c r="D1367">
        <f>IF(Data!$D1367="","",Data!$D1367)</f>
        <v>0</v>
      </c>
      <c r="E1367">
        <f>IF(Data!$E1367="","",Data!$E1367)</f>
        <v>0</v>
      </c>
      <c r="F1367">
        <f>IF($E1367="","",N(F1366)+1)</f>
        <v>0</v>
      </c>
      <c r="G1367">
        <f>IF(OR($E1367="",$E1366=""),"",LN($E1367/$E1366))</f>
        <v>0</v>
      </c>
      <c r="H1367">
        <f>IF($E1367="","",IF($E1366="",$E1367,$E1367*0.0952380952+H1366*0.9047619048))</f>
        <v>0</v>
      </c>
      <c r="I1367">
        <f>IF($E1367="","",IF($E1366="",$E1367,$E1367*0.0392156863+I1366*0.9607843137))</f>
        <v>0</v>
      </c>
      <c r="J1367">
        <f>IF($E1367="","",IF($E1366="",$E1367,$E1367*0.0198019802+J1366*0.9801980198))</f>
        <v>0</v>
      </c>
      <c r="K1367">
        <f>IF($E1367="","",IF($E1366="",$E1367,$E1367*0.0099502488+K1366*0.9900497512))</f>
        <v>0</v>
      </c>
      <c r="L1367">
        <f>IF(OR($E1367="",$E1366=""),"",MAX($E1367-$E1366,0))</f>
        <v>0</v>
      </c>
      <c r="M1367">
        <f>IF(OR($E1367="",$E1366=""),"",MAX($E1366-$E1367,0))</f>
        <v>0</v>
      </c>
      <c r="N1367">
        <f>IF(COUNT($E$2:$E1367)&lt;15,"",IF(AVERAGE($M$1354:$M$1367)=0,100,100-100/(1+AVERAGE($L$1354:$L$1367)/AVERAGE($M$1354:$M$1367))))</f>
        <v>0</v>
      </c>
      <c r="O1367">
        <f>IF($E1367="","",IF($E1366="",$E1367,$E1367*0.1538461538+O1366*0.8461538462))</f>
        <v>0</v>
      </c>
      <c r="P1367">
        <f>IF($E1367="","",IF($E1366="",$E1367,$E1367*0.0740740741+P1366*0.9259259259))</f>
        <v>0</v>
      </c>
      <c r="Q1367">
        <f>IF(OR(O1367="",P1367=""),"",O1367-P1367)</f>
        <v>0</v>
      </c>
      <c r="R1367">
        <f>IF(Q1367="","",IF(R1366="",Q1367,Q1367*0.2000000000+R1366*0.8000000000))</f>
        <v>0</v>
      </c>
      <c r="S1367">
        <f>IF(OR(Q1367="",R1367=""),"",Q1367-R1367)</f>
        <v>0</v>
      </c>
      <c r="T1367">
        <f>IF(COUNT($E$2:$E1367)&lt;14,"",MAX($C$1354:$C$1367))</f>
        <v>0</v>
      </c>
      <c r="U1367">
        <f>IF(COUNT($E$2:$E1367)&lt;14,"",MIN($D$1354:$D$1367))</f>
        <v>0</v>
      </c>
      <c r="V1367">
        <f>IF(OR(T1367="",U1367="",T1367=U1367),"",100*($E1367-U1367)/(T1367-U1367))</f>
        <v>0</v>
      </c>
      <c r="W1367">
        <f>IF(COUNT($V$1365:$V$1367)&lt;3,"",AVERAGE($V$1365:$V$1367))</f>
        <v>0</v>
      </c>
      <c r="X1367">
        <f>IF(COUNT($N$1354:$N$1367)&lt;14,"",MIN($N$1354:$N$1367))</f>
        <v>0</v>
      </c>
      <c r="Y1367">
        <f>IF(COUNT($N$1354:$N$1367)&lt;14,"",MAX($N$1354:$N$1367))</f>
        <v>0</v>
      </c>
      <c r="Z1367">
        <f>IF(OR(N1367="",X1367="",Y1367="",Y1367=X1367),"",100*(N1367-X1367)/(Y1367-X1367))</f>
        <v>0</v>
      </c>
      <c r="AA1367">
        <f>IF(COUNT($Z$1365:$Z$1367)&lt;3,"",AVERAGE($Z$1365:$Z$1367))</f>
        <v>0</v>
      </c>
      <c r="AB1367">
        <f>IF(COUNT($AA$1365:$AA$1367)&lt;3,"",AVERAGE($AA$1365:$AA$1367))</f>
        <v>0</v>
      </c>
      <c r="AC1367">
        <f>IF($E1367="","",MAX($C1367-$D1367,ABS($C1367-$E1366),ABS($D1367-$E1366)))</f>
        <v>0</v>
      </c>
      <c r="AD1367">
        <f>IF(COUNT($E$2:$E1367)&lt;15,"",AVERAGE($AC$1354:$AC$1367))</f>
        <v>0</v>
      </c>
      <c r="AE1367">
        <f>IF(OR($E1367="",$E1366=""),"",IF(AND(($C1367-$C1366)&gt;($D1366-$D1367),($C1367-$C1366)&gt;0),$C1367-$C1366,0))</f>
        <v>0</v>
      </c>
      <c r="AF1367">
        <f>IF(OR($E1367="",$E1366=""),"",IF(AND(($D1366-$D1367)&gt;($C1367-$C1366),($D1366-$D1367)&gt;0),$D1366-$D1367,0))</f>
        <v>0</v>
      </c>
      <c r="AG1367">
        <f>IF(COUNT($E$2:$E1367)&lt;15,"",IF(SUM($AC$1354:$AC$1367)=0,0,100*SUM($AE$1354:$AE$1367)/SUM($AC$1354:$AC$1367)))</f>
        <v>0</v>
      </c>
      <c r="AH1367">
        <f>IF(COUNT($E$2:$E1367)&lt;15,"",IF(SUM($AC$1354:$AC$1367)=0,0,100*SUM($AF$1354:$AF$1367)/SUM($AC$1354:$AC$1367)))</f>
        <v>0</v>
      </c>
      <c r="AI1367">
        <f>IF(OR(AG1367="",AH1367=""),"",IF((AG1367+AH1367)=0,0,100*ABS(AG1367-AH1367)/(AG1367+AH1367)))</f>
        <v>0</v>
      </c>
      <c r="AJ1367">
        <f>IF(COUNT($AI$1354:$AI$1367)&lt;14,"",AVERAGE($AI$1354:$AI$1367))</f>
        <v>0</v>
      </c>
      <c r="AK1367">
        <f>IF(COUNT($E$2:$E1367)&lt;20,"",AVERAGE($E$1348:$E$1367))</f>
        <v>0</v>
      </c>
      <c r="AL1367">
        <f>IF(COUNT($E$2:$E1367)&lt;20,"",STDEVP($E$1348:$E$1367))</f>
        <v>0</v>
      </c>
      <c r="AM1367">
        <f>IF(AK1367="","",AK1367+2*AL1367)</f>
        <v>0</v>
      </c>
      <c r="AN1367">
        <f>IF(AK1367="","",AK1367-2*AL1367)</f>
        <v>0</v>
      </c>
      <c r="AO1367">
        <f>IF(OR(AM1367="",AN1367="",AM1367=AN1367),"",($E1367-AN1367)/(AM1367-AN1367))</f>
        <v>0</v>
      </c>
      <c r="AP1367">
        <f>IF(OR(AM1367="",AK1367="",AK1367=0),"",(AM1367-AN1367)/AK1367)</f>
        <v>0</v>
      </c>
      <c r="AQ1367">
        <f>IF(COUNT($E$2:$E1367)&lt;20,"",MAX($C$1348:$C$1367))</f>
        <v>0</v>
      </c>
      <c r="AR1367">
        <f>IF(COUNT($E$2:$E1367)&lt;20,"",MIN($D$1348:$D$1367))</f>
        <v>0</v>
      </c>
      <c r="AS1367">
        <f>IF(OR(AQ1367="",AR1367=""),"",(AQ1367+AR1367)/2)</f>
        <v>0</v>
      </c>
      <c r="AT1367">
        <f>IF(COUNT($G$1348:$G$1367)&lt;20,"",STDEV($G$1348:$G$1367)*SQRT(252))</f>
        <v>0</v>
      </c>
      <c r="AU1367">
        <f>IF(COUNT($E$2:$E1367)&lt;9,"",(MAX($C$1359:$C$1367)+MIN($D$1359:$D$1367))/2)</f>
        <v>0</v>
      </c>
      <c r="AV1367">
        <f>IF(COUNT($E$2:$E1367)&lt;26,"",(MAX($C$1342:$C$1367)+MIN($D$1342:$D$1367))/2)</f>
        <v>0</v>
      </c>
      <c r="AW1367">
        <f>IF(OR(AU1367="",AV1367=""),"",(AU1367+AV1367)/2)</f>
        <v>0</v>
      </c>
      <c r="AX1367">
        <f>IF(COUNT($E$2:$E1367)&lt;52,"",(MAX($C$1316:$C$1367)+MIN($D$1316:$D$1367))/2)</f>
        <v>0</v>
      </c>
      <c r="AY1367">
        <f>IF(COUNT($E$2:$E1367)&lt;20,"",MAX($C$1268:$C$1367))</f>
        <v>0</v>
      </c>
      <c r="AZ1367">
        <f>IF(COUNT($E$2:$E1367)&lt;20,"",MIN($D$1268:$D$1367))</f>
        <v>0</v>
      </c>
      <c r="BA1367">
        <f>IF(COUNT($E$2:$E1367)&lt;20,"",SLOPE($E$1268:$E$1367,$F$1268:$F$1367))</f>
        <v>0</v>
      </c>
      <c r="BB1367">
        <f>IF(COUNT($E$2:$E1367)&lt;20,"",INTERCEPT($E$1268:$E$1367,$F$1268:$F$1367))</f>
        <v>0</v>
      </c>
      <c r="BC1367">
        <f>IF(OR(BA1367="",BB1367=""),"",BB1367+BA1367*F1367)</f>
        <v>0</v>
      </c>
      <c r="BD1367">
        <f>IF(COUNT($E$2:$E1367)&lt;20,"",STEYX($E$1268:$E$1367,$F$1268:$F$1367))</f>
        <v>0</v>
      </c>
      <c r="BE1367">
        <f>IF($E1367="","",IF(AND(COUNT($E$1368:$E$1371)&gt;=4,$C1367=MAX($C$1363:$C$1371)),$C1367,""))</f>
        <v>0</v>
      </c>
      <c r="BF1367">
        <f>IF($E1367="","",IF(AND(COUNT($E$1368:$E$1371)&gt;=4,$D1367=MIN($D$1363:$D$1371)),$D1367,""))</f>
        <v>0</v>
      </c>
      <c r="BG1367">
        <f>IF($A1367="","",$A1367-WEEKDAY($A1367,2)+1)</f>
        <v>0</v>
      </c>
      <c r="BH1367">
        <f>IF($A1367="","",IF($A1366="",1,IF(BG1367&lt;&gt;BG1366,1,0)))</f>
        <v>0</v>
      </c>
      <c r="BI1367">
        <f>IF($A1367="","",IF($A1368="",1,IF(BG1368&lt;&gt;BG1367,1,0)))</f>
        <v>0</v>
      </c>
      <c r="BJ1367">
        <f>IF($A1367="","",IF(BH1367=1,$B1367,BJ1366))</f>
        <v>0</v>
      </c>
      <c r="BK1367">
        <f>IF($A1367="","",IF(BH1367=1,$C1367,MAX($C1367,BK1366)))</f>
        <v>0</v>
      </c>
      <c r="BL1367">
        <f>IF($A1367="","",IF(BH1367=1,$D1367,MIN($D1367,BL1366)))</f>
        <v>0</v>
      </c>
      <c r="BM1367">
        <f>IF($A1367="","",IF(BI1367=1,F1367,""))</f>
        <v>0</v>
      </c>
      <c r="BN1367">
        <f>IF($A1367="","",DATE(YEAR($A1367),MONTH($A1367),1))</f>
        <v>0</v>
      </c>
      <c r="BO1367">
        <f>IF($A1367="","",IF($A1366="",1,IF(BN1367&lt;&gt;BN1366,1,0)))</f>
        <v>0</v>
      </c>
      <c r="BP1367">
        <f>IF($A1367="","",IF($A1368="",1,IF(BN1368&lt;&gt;BN1367,1,0)))</f>
        <v>0</v>
      </c>
      <c r="BQ1367">
        <f>IF($A1367="","",IF(BO1367=1,$B1367,BQ1366))</f>
        <v>0</v>
      </c>
      <c r="BR1367">
        <f>IF($A1367="","",IF(BO1367=1,$C1367,MAX($C1367,BR1366)))</f>
        <v>0</v>
      </c>
      <c r="BS1367">
        <f>IF($A1367="","",IF(BO1367=1,$D1367,MIN($D1367,BS1366)))</f>
        <v>0</v>
      </c>
      <c r="BT1367">
        <f>IF($A1367="","",IF(BP1367=1,F1367,""))</f>
        <v>0</v>
      </c>
    </row>
    <row r="1368" spans="1:72">
      <c r="A1368" s="27">
        <f>IF(Data!$A1368="","",Data!$A1368)</f>
        <v>0</v>
      </c>
      <c r="B1368">
        <f>IF(Data!$B1368="","",Data!$B1368)</f>
        <v>0</v>
      </c>
      <c r="C1368">
        <f>IF(Data!$C1368="","",Data!$C1368)</f>
        <v>0</v>
      </c>
      <c r="D1368">
        <f>IF(Data!$D1368="","",Data!$D1368)</f>
        <v>0</v>
      </c>
      <c r="E1368">
        <f>IF(Data!$E1368="","",Data!$E1368)</f>
        <v>0</v>
      </c>
      <c r="F1368">
        <f>IF($E1368="","",N(F1367)+1)</f>
        <v>0</v>
      </c>
      <c r="G1368">
        <f>IF(OR($E1368="",$E1367=""),"",LN($E1368/$E1367))</f>
        <v>0</v>
      </c>
      <c r="H1368">
        <f>IF($E1368="","",IF($E1367="",$E1368,$E1368*0.0952380952+H1367*0.9047619048))</f>
        <v>0</v>
      </c>
      <c r="I1368">
        <f>IF($E1368="","",IF($E1367="",$E1368,$E1368*0.0392156863+I1367*0.9607843137))</f>
        <v>0</v>
      </c>
      <c r="J1368">
        <f>IF($E1368="","",IF($E1367="",$E1368,$E1368*0.0198019802+J1367*0.9801980198))</f>
        <v>0</v>
      </c>
      <c r="K1368">
        <f>IF($E1368="","",IF($E1367="",$E1368,$E1368*0.0099502488+K1367*0.9900497512))</f>
        <v>0</v>
      </c>
      <c r="L1368">
        <f>IF(OR($E1368="",$E1367=""),"",MAX($E1368-$E1367,0))</f>
        <v>0</v>
      </c>
      <c r="M1368">
        <f>IF(OR($E1368="",$E1367=""),"",MAX($E1367-$E1368,0))</f>
        <v>0</v>
      </c>
      <c r="N1368">
        <f>IF(COUNT($E$2:$E1368)&lt;15,"",IF(AVERAGE($M$1355:$M$1368)=0,100,100-100/(1+AVERAGE($L$1355:$L$1368)/AVERAGE($M$1355:$M$1368))))</f>
        <v>0</v>
      </c>
      <c r="O1368">
        <f>IF($E1368="","",IF($E1367="",$E1368,$E1368*0.1538461538+O1367*0.8461538462))</f>
        <v>0</v>
      </c>
      <c r="P1368">
        <f>IF($E1368="","",IF($E1367="",$E1368,$E1368*0.0740740741+P1367*0.9259259259))</f>
        <v>0</v>
      </c>
      <c r="Q1368">
        <f>IF(OR(O1368="",P1368=""),"",O1368-P1368)</f>
        <v>0</v>
      </c>
      <c r="R1368">
        <f>IF(Q1368="","",IF(R1367="",Q1368,Q1368*0.2000000000+R1367*0.8000000000))</f>
        <v>0</v>
      </c>
      <c r="S1368">
        <f>IF(OR(Q1368="",R1368=""),"",Q1368-R1368)</f>
        <v>0</v>
      </c>
      <c r="T1368">
        <f>IF(COUNT($E$2:$E1368)&lt;14,"",MAX($C$1355:$C$1368))</f>
        <v>0</v>
      </c>
      <c r="U1368">
        <f>IF(COUNT($E$2:$E1368)&lt;14,"",MIN($D$1355:$D$1368))</f>
        <v>0</v>
      </c>
      <c r="V1368">
        <f>IF(OR(T1368="",U1368="",T1368=U1368),"",100*($E1368-U1368)/(T1368-U1368))</f>
        <v>0</v>
      </c>
      <c r="W1368">
        <f>IF(COUNT($V$1366:$V$1368)&lt;3,"",AVERAGE($V$1366:$V$1368))</f>
        <v>0</v>
      </c>
      <c r="X1368">
        <f>IF(COUNT($N$1355:$N$1368)&lt;14,"",MIN($N$1355:$N$1368))</f>
        <v>0</v>
      </c>
      <c r="Y1368">
        <f>IF(COUNT($N$1355:$N$1368)&lt;14,"",MAX($N$1355:$N$1368))</f>
        <v>0</v>
      </c>
      <c r="Z1368">
        <f>IF(OR(N1368="",X1368="",Y1368="",Y1368=X1368),"",100*(N1368-X1368)/(Y1368-X1368))</f>
        <v>0</v>
      </c>
      <c r="AA1368">
        <f>IF(COUNT($Z$1366:$Z$1368)&lt;3,"",AVERAGE($Z$1366:$Z$1368))</f>
        <v>0</v>
      </c>
      <c r="AB1368">
        <f>IF(COUNT($AA$1366:$AA$1368)&lt;3,"",AVERAGE($AA$1366:$AA$1368))</f>
        <v>0</v>
      </c>
      <c r="AC1368">
        <f>IF($E1368="","",MAX($C1368-$D1368,ABS($C1368-$E1367),ABS($D1368-$E1367)))</f>
        <v>0</v>
      </c>
      <c r="AD1368">
        <f>IF(COUNT($E$2:$E1368)&lt;15,"",AVERAGE($AC$1355:$AC$1368))</f>
        <v>0</v>
      </c>
      <c r="AE1368">
        <f>IF(OR($E1368="",$E1367=""),"",IF(AND(($C1368-$C1367)&gt;($D1367-$D1368),($C1368-$C1367)&gt;0),$C1368-$C1367,0))</f>
        <v>0</v>
      </c>
      <c r="AF1368">
        <f>IF(OR($E1368="",$E1367=""),"",IF(AND(($D1367-$D1368)&gt;($C1368-$C1367),($D1367-$D1368)&gt;0),$D1367-$D1368,0))</f>
        <v>0</v>
      </c>
      <c r="AG1368">
        <f>IF(COUNT($E$2:$E1368)&lt;15,"",IF(SUM($AC$1355:$AC$1368)=0,0,100*SUM($AE$1355:$AE$1368)/SUM($AC$1355:$AC$1368)))</f>
        <v>0</v>
      </c>
      <c r="AH1368">
        <f>IF(COUNT($E$2:$E1368)&lt;15,"",IF(SUM($AC$1355:$AC$1368)=0,0,100*SUM($AF$1355:$AF$1368)/SUM($AC$1355:$AC$1368)))</f>
        <v>0</v>
      </c>
      <c r="AI1368">
        <f>IF(OR(AG1368="",AH1368=""),"",IF((AG1368+AH1368)=0,0,100*ABS(AG1368-AH1368)/(AG1368+AH1368)))</f>
        <v>0</v>
      </c>
      <c r="AJ1368">
        <f>IF(COUNT($AI$1355:$AI$1368)&lt;14,"",AVERAGE($AI$1355:$AI$1368))</f>
        <v>0</v>
      </c>
      <c r="AK1368">
        <f>IF(COUNT($E$2:$E1368)&lt;20,"",AVERAGE($E$1349:$E$1368))</f>
        <v>0</v>
      </c>
      <c r="AL1368">
        <f>IF(COUNT($E$2:$E1368)&lt;20,"",STDEVP($E$1349:$E$1368))</f>
        <v>0</v>
      </c>
      <c r="AM1368">
        <f>IF(AK1368="","",AK1368+2*AL1368)</f>
        <v>0</v>
      </c>
      <c r="AN1368">
        <f>IF(AK1368="","",AK1368-2*AL1368)</f>
        <v>0</v>
      </c>
      <c r="AO1368">
        <f>IF(OR(AM1368="",AN1368="",AM1368=AN1368),"",($E1368-AN1368)/(AM1368-AN1368))</f>
        <v>0</v>
      </c>
      <c r="AP1368">
        <f>IF(OR(AM1368="",AK1368="",AK1368=0),"",(AM1368-AN1368)/AK1368)</f>
        <v>0</v>
      </c>
      <c r="AQ1368">
        <f>IF(COUNT($E$2:$E1368)&lt;20,"",MAX($C$1349:$C$1368))</f>
        <v>0</v>
      </c>
      <c r="AR1368">
        <f>IF(COUNT($E$2:$E1368)&lt;20,"",MIN($D$1349:$D$1368))</f>
        <v>0</v>
      </c>
      <c r="AS1368">
        <f>IF(OR(AQ1368="",AR1368=""),"",(AQ1368+AR1368)/2)</f>
        <v>0</v>
      </c>
      <c r="AT1368">
        <f>IF(COUNT($G$1349:$G$1368)&lt;20,"",STDEV($G$1349:$G$1368)*SQRT(252))</f>
        <v>0</v>
      </c>
      <c r="AU1368">
        <f>IF(COUNT($E$2:$E1368)&lt;9,"",(MAX($C$1360:$C$1368)+MIN($D$1360:$D$1368))/2)</f>
        <v>0</v>
      </c>
      <c r="AV1368">
        <f>IF(COUNT($E$2:$E1368)&lt;26,"",(MAX($C$1343:$C$1368)+MIN($D$1343:$D$1368))/2)</f>
        <v>0</v>
      </c>
      <c r="AW1368">
        <f>IF(OR(AU1368="",AV1368=""),"",(AU1368+AV1368)/2)</f>
        <v>0</v>
      </c>
      <c r="AX1368">
        <f>IF(COUNT($E$2:$E1368)&lt;52,"",(MAX($C$1317:$C$1368)+MIN($D$1317:$D$1368))/2)</f>
        <v>0</v>
      </c>
      <c r="AY1368">
        <f>IF(COUNT($E$2:$E1368)&lt;20,"",MAX($C$1269:$C$1368))</f>
        <v>0</v>
      </c>
      <c r="AZ1368">
        <f>IF(COUNT($E$2:$E1368)&lt;20,"",MIN($D$1269:$D$1368))</f>
        <v>0</v>
      </c>
      <c r="BA1368">
        <f>IF(COUNT($E$2:$E1368)&lt;20,"",SLOPE($E$1269:$E$1368,$F$1269:$F$1368))</f>
        <v>0</v>
      </c>
      <c r="BB1368">
        <f>IF(COUNT($E$2:$E1368)&lt;20,"",INTERCEPT($E$1269:$E$1368,$F$1269:$F$1368))</f>
        <v>0</v>
      </c>
      <c r="BC1368">
        <f>IF(OR(BA1368="",BB1368=""),"",BB1368+BA1368*F1368)</f>
        <v>0</v>
      </c>
      <c r="BD1368">
        <f>IF(COUNT($E$2:$E1368)&lt;20,"",STEYX($E$1269:$E$1368,$F$1269:$F$1368))</f>
        <v>0</v>
      </c>
      <c r="BE1368">
        <f>IF($E1368="","",IF(AND(COUNT($E$1369:$E$1372)&gt;=4,$C1368=MAX($C$1364:$C$1372)),$C1368,""))</f>
        <v>0</v>
      </c>
      <c r="BF1368">
        <f>IF($E1368="","",IF(AND(COUNT($E$1369:$E$1372)&gt;=4,$D1368=MIN($D$1364:$D$1372)),$D1368,""))</f>
        <v>0</v>
      </c>
      <c r="BG1368">
        <f>IF($A1368="","",$A1368-WEEKDAY($A1368,2)+1)</f>
        <v>0</v>
      </c>
      <c r="BH1368">
        <f>IF($A1368="","",IF($A1367="",1,IF(BG1368&lt;&gt;BG1367,1,0)))</f>
        <v>0</v>
      </c>
      <c r="BI1368">
        <f>IF($A1368="","",IF($A1369="",1,IF(BG1369&lt;&gt;BG1368,1,0)))</f>
        <v>0</v>
      </c>
      <c r="BJ1368">
        <f>IF($A1368="","",IF(BH1368=1,$B1368,BJ1367))</f>
        <v>0</v>
      </c>
      <c r="BK1368">
        <f>IF($A1368="","",IF(BH1368=1,$C1368,MAX($C1368,BK1367)))</f>
        <v>0</v>
      </c>
      <c r="BL1368">
        <f>IF($A1368="","",IF(BH1368=1,$D1368,MIN($D1368,BL1367)))</f>
        <v>0</v>
      </c>
      <c r="BM1368">
        <f>IF($A1368="","",IF(BI1368=1,F1368,""))</f>
        <v>0</v>
      </c>
      <c r="BN1368">
        <f>IF($A1368="","",DATE(YEAR($A1368),MONTH($A1368),1))</f>
        <v>0</v>
      </c>
      <c r="BO1368">
        <f>IF($A1368="","",IF($A1367="",1,IF(BN1368&lt;&gt;BN1367,1,0)))</f>
        <v>0</v>
      </c>
      <c r="BP1368">
        <f>IF($A1368="","",IF($A1369="",1,IF(BN1369&lt;&gt;BN1368,1,0)))</f>
        <v>0</v>
      </c>
      <c r="BQ1368">
        <f>IF($A1368="","",IF(BO1368=1,$B1368,BQ1367))</f>
        <v>0</v>
      </c>
      <c r="BR1368">
        <f>IF($A1368="","",IF(BO1368=1,$C1368,MAX($C1368,BR1367)))</f>
        <v>0</v>
      </c>
      <c r="BS1368">
        <f>IF($A1368="","",IF(BO1368=1,$D1368,MIN($D1368,BS1367)))</f>
        <v>0</v>
      </c>
      <c r="BT1368">
        <f>IF($A1368="","",IF(BP1368=1,F1368,""))</f>
        <v>0</v>
      </c>
    </row>
    <row r="1369" spans="1:72">
      <c r="A1369" s="27">
        <f>IF(Data!$A1369="","",Data!$A1369)</f>
        <v>0</v>
      </c>
      <c r="B1369">
        <f>IF(Data!$B1369="","",Data!$B1369)</f>
        <v>0</v>
      </c>
      <c r="C1369">
        <f>IF(Data!$C1369="","",Data!$C1369)</f>
        <v>0</v>
      </c>
      <c r="D1369">
        <f>IF(Data!$D1369="","",Data!$D1369)</f>
        <v>0</v>
      </c>
      <c r="E1369">
        <f>IF(Data!$E1369="","",Data!$E1369)</f>
        <v>0</v>
      </c>
      <c r="F1369">
        <f>IF($E1369="","",N(F1368)+1)</f>
        <v>0</v>
      </c>
      <c r="G1369">
        <f>IF(OR($E1369="",$E1368=""),"",LN($E1369/$E1368))</f>
        <v>0</v>
      </c>
      <c r="H1369">
        <f>IF($E1369="","",IF($E1368="",$E1369,$E1369*0.0952380952+H1368*0.9047619048))</f>
        <v>0</v>
      </c>
      <c r="I1369">
        <f>IF($E1369="","",IF($E1368="",$E1369,$E1369*0.0392156863+I1368*0.9607843137))</f>
        <v>0</v>
      </c>
      <c r="J1369">
        <f>IF($E1369="","",IF($E1368="",$E1369,$E1369*0.0198019802+J1368*0.9801980198))</f>
        <v>0</v>
      </c>
      <c r="K1369">
        <f>IF($E1369="","",IF($E1368="",$E1369,$E1369*0.0099502488+K1368*0.9900497512))</f>
        <v>0</v>
      </c>
      <c r="L1369">
        <f>IF(OR($E1369="",$E1368=""),"",MAX($E1369-$E1368,0))</f>
        <v>0</v>
      </c>
      <c r="M1369">
        <f>IF(OR($E1369="",$E1368=""),"",MAX($E1368-$E1369,0))</f>
        <v>0</v>
      </c>
      <c r="N1369">
        <f>IF(COUNT($E$2:$E1369)&lt;15,"",IF(AVERAGE($M$1356:$M$1369)=0,100,100-100/(1+AVERAGE($L$1356:$L$1369)/AVERAGE($M$1356:$M$1369))))</f>
        <v>0</v>
      </c>
      <c r="O1369">
        <f>IF($E1369="","",IF($E1368="",$E1369,$E1369*0.1538461538+O1368*0.8461538462))</f>
        <v>0</v>
      </c>
      <c r="P1369">
        <f>IF($E1369="","",IF($E1368="",$E1369,$E1369*0.0740740741+P1368*0.9259259259))</f>
        <v>0</v>
      </c>
      <c r="Q1369">
        <f>IF(OR(O1369="",P1369=""),"",O1369-P1369)</f>
        <v>0</v>
      </c>
      <c r="R1369">
        <f>IF(Q1369="","",IF(R1368="",Q1369,Q1369*0.2000000000+R1368*0.8000000000))</f>
        <v>0</v>
      </c>
      <c r="S1369">
        <f>IF(OR(Q1369="",R1369=""),"",Q1369-R1369)</f>
        <v>0</v>
      </c>
      <c r="T1369">
        <f>IF(COUNT($E$2:$E1369)&lt;14,"",MAX($C$1356:$C$1369))</f>
        <v>0</v>
      </c>
      <c r="U1369">
        <f>IF(COUNT($E$2:$E1369)&lt;14,"",MIN($D$1356:$D$1369))</f>
        <v>0</v>
      </c>
      <c r="V1369">
        <f>IF(OR(T1369="",U1369="",T1369=U1369),"",100*($E1369-U1369)/(T1369-U1369))</f>
        <v>0</v>
      </c>
      <c r="W1369">
        <f>IF(COUNT($V$1367:$V$1369)&lt;3,"",AVERAGE($V$1367:$V$1369))</f>
        <v>0</v>
      </c>
      <c r="X1369">
        <f>IF(COUNT($N$1356:$N$1369)&lt;14,"",MIN($N$1356:$N$1369))</f>
        <v>0</v>
      </c>
      <c r="Y1369">
        <f>IF(COUNT($N$1356:$N$1369)&lt;14,"",MAX($N$1356:$N$1369))</f>
        <v>0</v>
      </c>
      <c r="Z1369">
        <f>IF(OR(N1369="",X1369="",Y1369="",Y1369=X1369),"",100*(N1369-X1369)/(Y1369-X1369))</f>
        <v>0</v>
      </c>
      <c r="AA1369">
        <f>IF(COUNT($Z$1367:$Z$1369)&lt;3,"",AVERAGE($Z$1367:$Z$1369))</f>
        <v>0</v>
      </c>
      <c r="AB1369">
        <f>IF(COUNT($AA$1367:$AA$1369)&lt;3,"",AVERAGE($AA$1367:$AA$1369))</f>
        <v>0</v>
      </c>
      <c r="AC1369">
        <f>IF($E1369="","",MAX($C1369-$D1369,ABS($C1369-$E1368),ABS($D1369-$E1368)))</f>
        <v>0</v>
      </c>
      <c r="AD1369">
        <f>IF(COUNT($E$2:$E1369)&lt;15,"",AVERAGE($AC$1356:$AC$1369))</f>
        <v>0</v>
      </c>
      <c r="AE1369">
        <f>IF(OR($E1369="",$E1368=""),"",IF(AND(($C1369-$C1368)&gt;($D1368-$D1369),($C1369-$C1368)&gt;0),$C1369-$C1368,0))</f>
        <v>0</v>
      </c>
      <c r="AF1369">
        <f>IF(OR($E1369="",$E1368=""),"",IF(AND(($D1368-$D1369)&gt;($C1369-$C1368),($D1368-$D1369)&gt;0),$D1368-$D1369,0))</f>
        <v>0</v>
      </c>
      <c r="AG1369">
        <f>IF(COUNT($E$2:$E1369)&lt;15,"",IF(SUM($AC$1356:$AC$1369)=0,0,100*SUM($AE$1356:$AE$1369)/SUM($AC$1356:$AC$1369)))</f>
        <v>0</v>
      </c>
      <c r="AH1369">
        <f>IF(COUNT($E$2:$E1369)&lt;15,"",IF(SUM($AC$1356:$AC$1369)=0,0,100*SUM($AF$1356:$AF$1369)/SUM($AC$1356:$AC$1369)))</f>
        <v>0</v>
      </c>
      <c r="AI1369">
        <f>IF(OR(AG1369="",AH1369=""),"",IF((AG1369+AH1369)=0,0,100*ABS(AG1369-AH1369)/(AG1369+AH1369)))</f>
        <v>0</v>
      </c>
      <c r="AJ1369">
        <f>IF(COUNT($AI$1356:$AI$1369)&lt;14,"",AVERAGE($AI$1356:$AI$1369))</f>
        <v>0</v>
      </c>
      <c r="AK1369">
        <f>IF(COUNT($E$2:$E1369)&lt;20,"",AVERAGE($E$1350:$E$1369))</f>
        <v>0</v>
      </c>
      <c r="AL1369">
        <f>IF(COUNT($E$2:$E1369)&lt;20,"",STDEVP($E$1350:$E$1369))</f>
        <v>0</v>
      </c>
      <c r="AM1369">
        <f>IF(AK1369="","",AK1369+2*AL1369)</f>
        <v>0</v>
      </c>
      <c r="AN1369">
        <f>IF(AK1369="","",AK1369-2*AL1369)</f>
        <v>0</v>
      </c>
      <c r="AO1369">
        <f>IF(OR(AM1369="",AN1369="",AM1369=AN1369),"",($E1369-AN1369)/(AM1369-AN1369))</f>
        <v>0</v>
      </c>
      <c r="AP1369">
        <f>IF(OR(AM1369="",AK1369="",AK1369=0),"",(AM1369-AN1369)/AK1369)</f>
        <v>0</v>
      </c>
      <c r="AQ1369">
        <f>IF(COUNT($E$2:$E1369)&lt;20,"",MAX($C$1350:$C$1369))</f>
        <v>0</v>
      </c>
      <c r="AR1369">
        <f>IF(COUNT($E$2:$E1369)&lt;20,"",MIN($D$1350:$D$1369))</f>
        <v>0</v>
      </c>
      <c r="AS1369">
        <f>IF(OR(AQ1369="",AR1369=""),"",(AQ1369+AR1369)/2)</f>
        <v>0</v>
      </c>
      <c r="AT1369">
        <f>IF(COUNT($G$1350:$G$1369)&lt;20,"",STDEV($G$1350:$G$1369)*SQRT(252))</f>
        <v>0</v>
      </c>
      <c r="AU1369">
        <f>IF(COUNT($E$2:$E1369)&lt;9,"",(MAX($C$1361:$C$1369)+MIN($D$1361:$D$1369))/2)</f>
        <v>0</v>
      </c>
      <c r="AV1369">
        <f>IF(COUNT($E$2:$E1369)&lt;26,"",(MAX($C$1344:$C$1369)+MIN($D$1344:$D$1369))/2)</f>
        <v>0</v>
      </c>
      <c r="AW1369">
        <f>IF(OR(AU1369="",AV1369=""),"",(AU1369+AV1369)/2)</f>
        <v>0</v>
      </c>
      <c r="AX1369">
        <f>IF(COUNT($E$2:$E1369)&lt;52,"",(MAX($C$1318:$C$1369)+MIN($D$1318:$D$1369))/2)</f>
        <v>0</v>
      </c>
      <c r="AY1369">
        <f>IF(COUNT($E$2:$E1369)&lt;20,"",MAX($C$1270:$C$1369))</f>
        <v>0</v>
      </c>
      <c r="AZ1369">
        <f>IF(COUNT($E$2:$E1369)&lt;20,"",MIN($D$1270:$D$1369))</f>
        <v>0</v>
      </c>
      <c r="BA1369">
        <f>IF(COUNT($E$2:$E1369)&lt;20,"",SLOPE($E$1270:$E$1369,$F$1270:$F$1369))</f>
        <v>0</v>
      </c>
      <c r="BB1369">
        <f>IF(COUNT($E$2:$E1369)&lt;20,"",INTERCEPT($E$1270:$E$1369,$F$1270:$F$1369))</f>
        <v>0</v>
      </c>
      <c r="BC1369">
        <f>IF(OR(BA1369="",BB1369=""),"",BB1369+BA1369*F1369)</f>
        <v>0</v>
      </c>
      <c r="BD1369">
        <f>IF(COUNT($E$2:$E1369)&lt;20,"",STEYX($E$1270:$E$1369,$F$1270:$F$1369))</f>
        <v>0</v>
      </c>
      <c r="BE1369">
        <f>IF($E1369="","",IF(AND(COUNT($E$1370:$E$1373)&gt;=4,$C1369=MAX($C$1365:$C$1373)),$C1369,""))</f>
        <v>0</v>
      </c>
      <c r="BF1369">
        <f>IF($E1369="","",IF(AND(COUNT($E$1370:$E$1373)&gt;=4,$D1369=MIN($D$1365:$D$1373)),$D1369,""))</f>
        <v>0</v>
      </c>
      <c r="BG1369">
        <f>IF($A1369="","",$A1369-WEEKDAY($A1369,2)+1)</f>
        <v>0</v>
      </c>
      <c r="BH1369">
        <f>IF($A1369="","",IF($A1368="",1,IF(BG1369&lt;&gt;BG1368,1,0)))</f>
        <v>0</v>
      </c>
      <c r="BI1369">
        <f>IF($A1369="","",IF($A1370="",1,IF(BG1370&lt;&gt;BG1369,1,0)))</f>
        <v>0</v>
      </c>
      <c r="BJ1369">
        <f>IF($A1369="","",IF(BH1369=1,$B1369,BJ1368))</f>
        <v>0</v>
      </c>
      <c r="BK1369">
        <f>IF($A1369="","",IF(BH1369=1,$C1369,MAX($C1369,BK1368)))</f>
        <v>0</v>
      </c>
      <c r="BL1369">
        <f>IF($A1369="","",IF(BH1369=1,$D1369,MIN($D1369,BL1368)))</f>
        <v>0</v>
      </c>
      <c r="BM1369">
        <f>IF($A1369="","",IF(BI1369=1,F1369,""))</f>
        <v>0</v>
      </c>
      <c r="BN1369">
        <f>IF($A1369="","",DATE(YEAR($A1369),MONTH($A1369),1))</f>
        <v>0</v>
      </c>
      <c r="BO1369">
        <f>IF($A1369="","",IF($A1368="",1,IF(BN1369&lt;&gt;BN1368,1,0)))</f>
        <v>0</v>
      </c>
      <c r="BP1369">
        <f>IF($A1369="","",IF($A1370="",1,IF(BN1370&lt;&gt;BN1369,1,0)))</f>
        <v>0</v>
      </c>
      <c r="BQ1369">
        <f>IF($A1369="","",IF(BO1369=1,$B1369,BQ1368))</f>
        <v>0</v>
      </c>
      <c r="BR1369">
        <f>IF($A1369="","",IF(BO1369=1,$C1369,MAX($C1369,BR1368)))</f>
        <v>0</v>
      </c>
      <c r="BS1369">
        <f>IF($A1369="","",IF(BO1369=1,$D1369,MIN($D1369,BS1368)))</f>
        <v>0</v>
      </c>
      <c r="BT1369">
        <f>IF($A1369="","",IF(BP1369=1,F1369,""))</f>
        <v>0</v>
      </c>
    </row>
    <row r="1370" spans="1:72">
      <c r="A1370" s="27">
        <f>IF(Data!$A1370="","",Data!$A1370)</f>
        <v>0</v>
      </c>
      <c r="B1370">
        <f>IF(Data!$B1370="","",Data!$B1370)</f>
        <v>0</v>
      </c>
      <c r="C1370">
        <f>IF(Data!$C1370="","",Data!$C1370)</f>
        <v>0</v>
      </c>
      <c r="D1370">
        <f>IF(Data!$D1370="","",Data!$D1370)</f>
        <v>0</v>
      </c>
      <c r="E1370">
        <f>IF(Data!$E1370="","",Data!$E1370)</f>
        <v>0</v>
      </c>
      <c r="F1370">
        <f>IF($E1370="","",N(F1369)+1)</f>
        <v>0</v>
      </c>
      <c r="G1370">
        <f>IF(OR($E1370="",$E1369=""),"",LN($E1370/$E1369))</f>
        <v>0</v>
      </c>
      <c r="H1370">
        <f>IF($E1370="","",IF($E1369="",$E1370,$E1370*0.0952380952+H1369*0.9047619048))</f>
        <v>0</v>
      </c>
      <c r="I1370">
        <f>IF($E1370="","",IF($E1369="",$E1370,$E1370*0.0392156863+I1369*0.9607843137))</f>
        <v>0</v>
      </c>
      <c r="J1370">
        <f>IF($E1370="","",IF($E1369="",$E1370,$E1370*0.0198019802+J1369*0.9801980198))</f>
        <v>0</v>
      </c>
      <c r="K1370">
        <f>IF($E1370="","",IF($E1369="",$E1370,$E1370*0.0099502488+K1369*0.9900497512))</f>
        <v>0</v>
      </c>
      <c r="L1370">
        <f>IF(OR($E1370="",$E1369=""),"",MAX($E1370-$E1369,0))</f>
        <v>0</v>
      </c>
      <c r="M1370">
        <f>IF(OR($E1370="",$E1369=""),"",MAX($E1369-$E1370,0))</f>
        <v>0</v>
      </c>
      <c r="N1370">
        <f>IF(COUNT($E$2:$E1370)&lt;15,"",IF(AVERAGE($M$1357:$M$1370)=0,100,100-100/(1+AVERAGE($L$1357:$L$1370)/AVERAGE($M$1357:$M$1370))))</f>
        <v>0</v>
      </c>
      <c r="O1370">
        <f>IF($E1370="","",IF($E1369="",$E1370,$E1370*0.1538461538+O1369*0.8461538462))</f>
        <v>0</v>
      </c>
      <c r="P1370">
        <f>IF($E1370="","",IF($E1369="",$E1370,$E1370*0.0740740741+P1369*0.9259259259))</f>
        <v>0</v>
      </c>
      <c r="Q1370">
        <f>IF(OR(O1370="",P1370=""),"",O1370-P1370)</f>
        <v>0</v>
      </c>
      <c r="R1370">
        <f>IF(Q1370="","",IF(R1369="",Q1370,Q1370*0.2000000000+R1369*0.8000000000))</f>
        <v>0</v>
      </c>
      <c r="S1370">
        <f>IF(OR(Q1370="",R1370=""),"",Q1370-R1370)</f>
        <v>0</v>
      </c>
      <c r="T1370">
        <f>IF(COUNT($E$2:$E1370)&lt;14,"",MAX($C$1357:$C$1370))</f>
        <v>0</v>
      </c>
      <c r="U1370">
        <f>IF(COUNT($E$2:$E1370)&lt;14,"",MIN($D$1357:$D$1370))</f>
        <v>0</v>
      </c>
      <c r="V1370">
        <f>IF(OR(T1370="",U1370="",T1370=U1370),"",100*($E1370-U1370)/(T1370-U1370))</f>
        <v>0</v>
      </c>
      <c r="W1370">
        <f>IF(COUNT($V$1368:$V$1370)&lt;3,"",AVERAGE($V$1368:$V$1370))</f>
        <v>0</v>
      </c>
      <c r="X1370">
        <f>IF(COUNT($N$1357:$N$1370)&lt;14,"",MIN($N$1357:$N$1370))</f>
        <v>0</v>
      </c>
      <c r="Y1370">
        <f>IF(COUNT($N$1357:$N$1370)&lt;14,"",MAX($N$1357:$N$1370))</f>
        <v>0</v>
      </c>
      <c r="Z1370">
        <f>IF(OR(N1370="",X1370="",Y1370="",Y1370=X1370),"",100*(N1370-X1370)/(Y1370-X1370))</f>
        <v>0</v>
      </c>
      <c r="AA1370">
        <f>IF(COUNT($Z$1368:$Z$1370)&lt;3,"",AVERAGE($Z$1368:$Z$1370))</f>
        <v>0</v>
      </c>
      <c r="AB1370">
        <f>IF(COUNT($AA$1368:$AA$1370)&lt;3,"",AVERAGE($AA$1368:$AA$1370))</f>
        <v>0</v>
      </c>
      <c r="AC1370">
        <f>IF($E1370="","",MAX($C1370-$D1370,ABS($C1370-$E1369),ABS($D1370-$E1369)))</f>
        <v>0</v>
      </c>
      <c r="AD1370">
        <f>IF(COUNT($E$2:$E1370)&lt;15,"",AVERAGE($AC$1357:$AC$1370))</f>
        <v>0</v>
      </c>
      <c r="AE1370">
        <f>IF(OR($E1370="",$E1369=""),"",IF(AND(($C1370-$C1369)&gt;($D1369-$D1370),($C1370-$C1369)&gt;0),$C1370-$C1369,0))</f>
        <v>0</v>
      </c>
      <c r="AF1370">
        <f>IF(OR($E1370="",$E1369=""),"",IF(AND(($D1369-$D1370)&gt;($C1370-$C1369),($D1369-$D1370)&gt;0),$D1369-$D1370,0))</f>
        <v>0</v>
      </c>
      <c r="AG1370">
        <f>IF(COUNT($E$2:$E1370)&lt;15,"",IF(SUM($AC$1357:$AC$1370)=0,0,100*SUM($AE$1357:$AE$1370)/SUM($AC$1357:$AC$1370)))</f>
        <v>0</v>
      </c>
      <c r="AH1370">
        <f>IF(COUNT($E$2:$E1370)&lt;15,"",IF(SUM($AC$1357:$AC$1370)=0,0,100*SUM($AF$1357:$AF$1370)/SUM($AC$1357:$AC$1370)))</f>
        <v>0</v>
      </c>
      <c r="AI1370">
        <f>IF(OR(AG1370="",AH1370=""),"",IF((AG1370+AH1370)=0,0,100*ABS(AG1370-AH1370)/(AG1370+AH1370)))</f>
        <v>0</v>
      </c>
      <c r="AJ1370">
        <f>IF(COUNT($AI$1357:$AI$1370)&lt;14,"",AVERAGE($AI$1357:$AI$1370))</f>
        <v>0</v>
      </c>
      <c r="AK1370">
        <f>IF(COUNT($E$2:$E1370)&lt;20,"",AVERAGE($E$1351:$E$1370))</f>
        <v>0</v>
      </c>
      <c r="AL1370">
        <f>IF(COUNT($E$2:$E1370)&lt;20,"",STDEVP($E$1351:$E$1370))</f>
        <v>0</v>
      </c>
      <c r="AM1370">
        <f>IF(AK1370="","",AK1370+2*AL1370)</f>
        <v>0</v>
      </c>
      <c r="AN1370">
        <f>IF(AK1370="","",AK1370-2*AL1370)</f>
        <v>0</v>
      </c>
      <c r="AO1370">
        <f>IF(OR(AM1370="",AN1370="",AM1370=AN1370),"",($E1370-AN1370)/(AM1370-AN1370))</f>
        <v>0</v>
      </c>
      <c r="AP1370">
        <f>IF(OR(AM1370="",AK1370="",AK1370=0),"",(AM1370-AN1370)/AK1370)</f>
        <v>0</v>
      </c>
      <c r="AQ1370">
        <f>IF(COUNT($E$2:$E1370)&lt;20,"",MAX($C$1351:$C$1370))</f>
        <v>0</v>
      </c>
      <c r="AR1370">
        <f>IF(COUNT($E$2:$E1370)&lt;20,"",MIN($D$1351:$D$1370))</f>
        <v>0</v>
      </c>
      <c r="AS1370">
        <f>IF(OR(AQ1370="",AR1370=""),"",(AQ1370+AR1370)/2)</f>
        <v>0</v>
      </c>
      <c r="AT1370">
        <f>IF(COUNT($G$1351:$G$1370)&lt;20,"",STDEV($G$1351:$G$1370)*SQRT(252))</f>
        <v>0</v>
      </c>
      <c r="AU1370">
        <f>IF(COUNT($E$2:$E1370)&lt;9,"",(MAX($C$1362:$C$1370)+MIN($D$1362:$D$1370))/2)</f>
        <v>0</v>
      </c>
      <c r="AV1370">
        <f>IF(COUNT($E$2:$E1370)&lt;26,"",(MAX($C$1345:$C$1370)+MIN($D$1345:$D$1370))/2)</f>
        <v>0</v>
      </c>
      <c r="AW1370">
        <f>IF(OR(AU1370="",AV1370=""),"",(AU1370+AV1370)/2)</f>
        <v>0</v>
      </c>
      <c r="AX1370">
        <f>IF(COUNT($E$2:$E1370)&lt;52,"",(MAX($C$1319:$C$1370)+MIN($D$1319:$D$1370))/2)</f>
        <v>0</v>
      </c>
      <c r="AY1370">
        <f>IF(COUNT($E$2:$E1370)&lt;20,"",MAX($C$1271:$C$1370))</f>
        <v>0</v>
      </c>
      <c r="AZ1370">
        <f>IF(COUNT($E$2:$E1370)&lt;20,"",MIN($D$1271:$D$1370))</f>
        <v>0</v>
      </c>
      <c r="BA1370">
        <f>IF(COUNT($E$2:$E1370)&lt;20,"",SLOPE($E$1271:$E$1370,$F$1271:$F$1370))</f>
        <v>0</v>
      </c>
      <c r="BB1370">
        <f>IF(COUNT($E$2:$E1370)&lt;20,"",INTERCEPT($E$1271:$E$1370,$F$1271:$F$1370))</f>
        <v>0</v>
      </c>
      <c r="BC1370">
        <f>IF(OR(BA1370="",BB1370=""),"",BB1370+BA1370*F1370)</f>
        <v>0</v>
      </c>
      <c r="BD1370">
        <f>IF(COUNT($E$2:$E1370)&lt;20,"",STEYX($E$1271:$E$1370,$F$1271:$F$1370))</f>
        <v>0</v>
      </c>
      <c r="BE1370">
        <f>IF($E1370="","",IF(AND(COUNT($E$1371:$E$1374)&gt;=4,$C1370=MAX($C$1366:$C$1374)),$C1370,""))</f>
        <v>0</v>
      </c>
      <c r="BF1370">
        <f>IF($E1370="","",IF(AND(COUNT($E$1371:$E$1374)&gt;=4,$D1370=MIN($D$1366:$D$1374)),$D1370,""))</f>
        <v>0</v>
      </c>
      <c r="BG1370">
        <f>IF($A1370="","",$A1370-WEEKDAY($A1370,2)+1)</f>
        <v>0</v>
      </c>
      <c r="BH1370">
        <f>IF($A1370="","",IF($A1369="",1,IF(BG1370&lt;&gt;BG1369,1,0)))</f>
        <v>0</v>
      </c>
      <c r="BI1370">
        <f>IF($A1370="","",IF($A1371="",1,IF(BG1371&lt;&gt;BG1370,1,0)))</f>
        <v>0</v>
      </c>
      <c r="BJ1370">
        <f>IF($A1370="","",IF(BH1370=1,$B1370,BJ1369))</f>
        <v>0</v>
      </c>
      <c r="BK1370">
        <f>IF($A1370="","",IF(BH1370=1,$C1370,MAX($C1370,BK1369)))</f>
        <v>0</v>
      </c>
      <c r="BL1370">
        <f>IF($A1370="","",IF(BH1370=1,$D1370,MIN($D1370,BL1369)))</f>
        <v>0</v>
      </c>
      <c r="BM1370">
        <f>IF($A1370="","",IF(BI1370=1,F1370,""))</f>
        <v>0</v>
      </c>
      <c r="BN1370">
        <f>IF($A1370="","",DATE(YEAR($A1370),MONTH($A1370),1))</f>
        <v>0</v>
      </c>
      <c r="BO1370">
        <f>IF($A1370="","",IF($A1369="",1,IF(BN1370&lt;&gt;BN1369,1,0)))</f>
        <v>0</v>
      </c>
      <c r="BP1370">
        <f>IF($A1370="","",IF($A1371="",1,IF(BN1371&lt;&gt;BN1370,1,0)))</f>
        <v>0</v>
      </c>
      <c r="BQ1370">
        <f>IF($A1370="","",IF(BO1370=1,$B1370,BQ1369))</f>
        <v>0</v>
      </c>
      <c r="BR1370">
        <f>IF($A1370="","",IF(BO1370=1,$C1370,MAX($C1370,BR1369)))</f>
        <v>0</v>
      </c>
      <c r="BS1370">
        <f>IF($A1370="","",IF(BO1370=1,$D1370,MIN($D1370,BS1369)))</f>
        <v>0</v>
      </c>
      <c r="BT1370">
        <f>IF($A1370="","",IF(BP1370=1,F1370,""))</f>
        <v>0</v>
      </c>
    </row>
    <row r="1371" spans="1:72">
      <c r="A1371" s="27">
        <f>IF(Data!$A1371="","",Data!$A1371)</f>
        <v>0</v>
      </c>
      <c r="B1371">
        <f>IF(Data!$B1371="","",Data!$B1371)</f>
        <v>0</v>
      </c>
      <c r="C1371">
        <f>IF(Data!$C1371="","",Data!$C1371)</f>
        <v>0</v>
      </c>
      <c r="D1371">
        <f>IF(Data!$D1371="","",Data!$D1371)</f>
        <v>0</v>
      </c>
      <c r="E1371">
        <f>IF(Data!$E1371="","",Data!$E1371)</f>
        <v>0</v>
      </c>
      <c r="F1371">
        <f>IF($E1371="","",N(F1370)+1)</f>
        <v>0</v>
      </c>
      <c r="G1371">
        <f>IF(OR($E1371="",$E1370=""),"",LN($E1371/$E1370))</f>
        <v>0</v>
      </c>
      <c r="H1371">
        <f>IF($E1371="","",IF($E1370="",$E1371,$E1371*0.0952380952+H1370*0.9047619048))</f>
        <v>0</v>
      </c>
      <c r="I1371">
        <f>IF($E1371="","",IF($E1370="",$E1371,$E1371*0.0392156863+I1370*0.9607843137))</f>
        <v>0</v>
      </c>
      <c r="J1371">
        <f>IF($E1371="","",IF($E1370="",$E1371,$E1371*0.0198019802+J1370*0.9801980198))</f>
        <v>0</v>
      </c>
      <c r="K1371">
        <f>IF($E1371="","",IF($E1370="",$E1371,$E1371*0.0099502488+K1370*0.9900497512))</f>
        <v>0</v>
      </c>
      <c r="L1371">
        <f>IF(OR($E1371="",$E1370=""),"",MAX($E1371-$E1370,0))</f>
        <v>0</v>
      </c>
      <c r="M1371">
        <f>IF(OR($E1371="",$E1370=""),"",MAX($E1370-$E1371,0))</f>
        <v>0</v>
      </c>
      <c r="N1371">
        <f>IF(COUNT($E$2:$E1371)&lt;15,"",IF(AVERAGE($M$1358:$M$1371)=0,100,100-100/(1+AVERAGE($L$1358:$L$1371)/AVERAGE($M$1358:$M$1371))))</f>
        <v>0</v>
      </c>
      <c r="O1371">
        <f>IF($E1371="","",IF($E1370="",$E1371,$E1371*0.1538461538+O1370*0.8461538462))</f>
        <v>0</v>
      </c>
      <c r="P1371">
        <f>IF($E1371="","",IF($E1370="",$E1371,$E1371*0.0740740741+P1370*0.9259259259))</f>
        <v>0</v>
      </c>
      <c r="Q1371">
        <f>IF(OR(O1371="",P1371=""),"",O1371-P1371)</f>
        <v>0</v>
      </c>
      <c r="R1371">
        <f>IF(Q1371="","",IF(R1370="",Q1371,Q1371*0.2000000000+R1370*0.8000000000))</f>
        <v>0</v>
      </c>
      <c r="S1371">
        <f>IF(OR(Q1371="",R1371=""),"",Q1371-R1371)</f>
        <v>0</v>
      </c>
      <c r="T1371">
        <f>IF(COUNT($E$2:$E1371)&lt;14,"",MAX($C$1358:$C$1371))</f>
        <v>0</v>
      </c>
      <c r="U1371">
        <f>IF(COUNT($E$2:$E1371)&lt;14,"",MIN($D$1358:$D$1371))</f>
        <v>0</v>
      </c>
      <c r="V1371">
        <f>IF(OR(T1371="",U1371="",T1371=U1371),"",100*($E1371-U1371)/(T1371-U1371))</f>
        <v>0</v>
      </c>
      <c r="W1371">
        <f>IF(COUNT($V$1369:$V$1371)&lt;3,"",AVERAGE($V$1369:$V$1371))</f>
        <v>0</v>
      </c>
      <c r="X1371">
        <f>IF(COUNT($N$1358:$N$1371)&lt;14,"",MIN($N$1358:$N$1371))</f>
        <v>0</v>
      </c>
      <c r="Y1371">
        <f>IF(COUNT($N$1358:$N$1371)&lt;14,"",MAX($N$1358:$N$1371))</f>
        <v>0</v>
      </c>
      <c r="Z1371">
        <f>IF(OR(N1371="",X1371="",Y1371="",Y1371=X1371),"",100*(N1371-X1371)/(Y1371-X1371))</f>
        <v>0</v>
      </c>
      <c r="AA1371">
        <f>IF(COUNT($Z$1369:$Z$1371)&lt;3,"",AVERAGE($Z$1369:$Z$1371))</f>
        <v>0</v>
      </c>
      <c r="AB1371">
        <f>IF(COUNT($AA$1369:$AA$1371)&lt;3,"",AVERAGE($AA$1369:$AA$1371))</f>
        <v>0</v>
      </c>
      <c r="AC1371">
        <f>IF($E1371="","",MAX($C1371-$D1371,ABS($C1371-$E1370),ABS($D1371-$E1370)))</f>
        <v>0</v>
      </c>
      <c r="AD1371">
        <f>IF(COUNT($E$2:$E1371)&lt;15,"",AVERAGE($AC$1358:$AC$1371))</f>
        <v>0</v>
      </c>
      <c r="AE1371">
        <f>IF(OR($E1371="",$E1370=""),"",IF(AND(($C1371-$C1370)&gt;($D1370-$D1371),($C1371-$C1370)&gt;0),$C1371-$C1370,0))</f>
        <v>0</v>
      </c>
      <c r="AF1371">
        <f>IF(OR($E1371="",$E1370=""),"",IF(AND(($D1370-$D1371)&gt;($C1371-$C1370),($D1370-$D1371)&gt;0),$D1370-$D1371,0))</f>
        <v>0</v>
      </c>
      <c r="AG1371">
        <f>IF(COUNT($E$2:$E1371)&lt;15,"",IF(SUM($AC$1358:$AC$1371)=0,0,100*SUM($AE$1358:$AE$1371)/SUM($AC$1358:$AC$1371)))</f>
        <v>0</v>
      </c>
      <c r="AH1371">
        <f>IF(COUNT($E$2:$E1371)&lt;15,"",IF(SUM($AC$1358:$AC$1371)=0,0,100*SUM($AF$1358:$AF$1371)/SUM($AC$1358:$AC$1371)))</f>
        <v>0</v>
      </c>
      <c r="AI1371">
        <f>IF(OR(AG1371="",AH1371=""),"",IF((AG1371+AH1371)=0,0,100*ABS(AG1371-AH1371)/(AG1371+AH1371)))</f>
        <v>0</v>
      </c>
      <c r="AJ1371">
        <f>IF(COUNT($AI$1358:$AI$1371)&lt;14,"",AVERAGE($AI$1358:$AI$1371))</f>
        <v>0</v>
      </c>
      <c r="AK1371">
        <f>IF(COUNT($E$2:$E1371)&lt;20,"",AVERAGE($E$1352:$E$1371))</f>
        <v>0</v>
      </c>
      <c r="AL1371">
        <f>IF(COUNT($E$2:$E1371)&lt;20,"",STDEVP($E$1352:$E$1371))</f>
        <v>0</v>
      </c>
      <c r="AM1371">
        <f>IF(AK1371="","",AK1371+2*AL1371)</f>
        <v>0</v>
      </c>
      <c r="AN1371">
        <f>IF(AK1371="","",AK1371-2*AL1371)</f>
        <v>0</v>
      </c>
      <c r="AO1371">
        <f>IF(OR(AM1371="",AN1371="",AM1371=AN1371),"",($E1371-AN1371)/(AM1371-AN1371))</f>
        <v>0</v>
      </c>
      <c r="AP1371">
        <f>IF(OR(AM1371="",AK1371="",AK1371=0),"",(AM1371-AN1371)/AK1371)</f>
        <v>0</v>
      </c>
      <c r="AQ1371">
        <f>IF(COUNT($E$2:$E1371)&lt;20,"",MAX($C$1352:$C$1371))</f>
        <v>0</v>
      </c>
      <c r="AR1371">
        <f>IF(COUNT($E$2:$E1371)&lt;20,"",MIN($D$1352:$D$1371))</f>
        <v>0</v>
      </c>
      <c r="AS1371">
        <f>IF(OR(AQ1371="",AR1371=""),"",(AQ1371+AR1371)/2)</f>
        <v>0</v>
      </c>
      <c r="AT1371">
        <f>IF(COUNT($G$1352:$G$1371)&lt;20,"",STDEV($G$1352:$G$1371)*SQRT(252))</f>
        <v>0</v>
      </c>
      <c r="AU1371">
        <f>IF(COUNT($E$2:$E1371)&lt;9,"",(MAX($C$1363:$C$1371)+MIN($D$1363:$D$1371))/2)</f>
        <v>0</v>
      </c>
      <c r="AV1371">
        <f>IF(COUNT($E$2:$E1371)&lt;26,"",(MAX($C$1346:$C$1371)+MIN($D$1346:$D$1371))/2)</f>
        <v>0</v>
      </c>
      <c r="AW1371">
        <f>IF(OR(AU1371="",AV1371=""),"",(AU1371+AV1371)/2)</f>
        <v>0</v>
      </c>
      <c r="AX1371">
        <f>IF(COUNT($E$2:$E1371)&lt;52,"",(MAX($C$1320:$C$1371)+MIN($D$1320:$D$1371))/2)</f>
        <v>0</v>
      </c>
      <c r="AY1371">
        <f>IF(COUNT($E$2:$E1371)&lt;20,"",MAX($C$1272:$C$1371))</f>
        <v>0</v>
      </c>
      <c r="AZ1371">
        <f>IF(COUNT($E$2:$E1371)&lt;20,"",MIN($D$1272:$D$1371))</f>
        <v>0</v>
      </c>
      <c r="BA1371">
        <f>IF(COUNT($E$2:$E1371)&lt;20,"",SLOPE($E$1272:$E$1371,$F$1272:$F$1371))</f>
        <v>0</v>
      </c>
      <c r="BB1371">
        <f>IF(COUNT($E$2:$E1371)&lt;20,"",INTERCEPT($E$1272:$E$1371,$F$1272:$F$1371))</f>
        <v>0</v>
      </c>
      <c r="BC1371">
        <f>IF(OR(BA1371="",BB1371=""),"",BB1371+BA1371*F1371)</f>
        <v>0</v>
      </c>
      <c r="BD1371">
        <f>IF(COUNT($E$2:$E1371)&lt;20,"",STEYX($E$1272:$E$1371,$F$1272:$F$1371))</f>
        <v>0</v>
      </c>
      <c r="BE1371">
        <f>IF($E1371="","",IF(AND(COUNT($E$1372:$E$1375)&gt;=4,$C1371=MAX($C$1367:$C$1375)),$C1371,""))</f>
        <v>0</v>
      </c>
      <c r="BF1371">
        <f>IF($E1371="","",IF(AND(COUNT($E$1372:$E$1375)&gt;=4,$D1371=MIN($D$1367:$D$1375)),$D1371,""))</f>
        <v>0</v>
      </c>
      <c r="BG1371">
        <f>IF($A1371="","",$A1371-WEEKDAY($A1371,2)+1)</f>
        <v>0</v>
      </c>
      <c r="BH1371">
        <f>IF($A1371="","",IF($A1370="",1,IF(BG1371&lt;&gt;BG1370,1,0)))</f>
        <v>0</v>
      </c>
      <c r="BI1371">
        <f>IF($A1371="","",IF($A1372="",1,IF(BG1372&lt;&gt;BG1371,1,0)))</f>
        <v>0</v>
      </c>
      <c r="BJ1371">
        <f>IF($A1371="","",IF(BH1371=1,$B1371,BJ1370))</f>
        <v>0</v>
      </c>
      <c r="BK1371">
        <f>IF($A1371="","",IF(BH1371=1,$C1371,MAX($C1371,BK1370)))</f>
        <v>0</v>
      </c>
      <c r="BL1371">
        <f>IF($A1371="","",IF(BH1371=1,$D1371,MIN($D1371,BL1370)))</f>
        <v>0</v>
      </c>
      <c r="BM1371">
        <f>IF($A1371="","",IF(BI1371=1,F1371,""))</f>
        <v>0</v>
      </c>
      <c r="BN1371">
        <f>IF($A1371="","",DATE(YEAR($A1371),MONTH($A1371),1))</f>
        <v>0</v>
      </c>
      <c r="BO1371">
        <f>IF($A1371="","",IF($A1370="",1,IF(BN1371&lt;&gt;BN1370,1,0)))</f>
        <v>0</v>
      </c>
      <c r="BP1371">
        <f>IF($A1371="","",IF($A1372="",1,IF(BN1372&lt;&gt;BN1371,1,0)))</f>
        <v>0</v>
      </c>
      <c r="BQ1371">
        <f>IF($A1371="","",IF(BO1371=1,$B1371,BQ1370))</f>
        <v>0</v>
      </c>
      <c r="BR1371">
        <f>IF($A1371="","",IF(BO1371=1,$C1371,MAX($C1371,BR1370)))</f>
        <v>0</v>
      </c>
      <c r="BS1371">
        <f>IF($A1371="","",IF(BO1371=1,$D1371,MIN($D1371,BS1370)))</f>
        <v>0</v>
      </c>
      <c r="BT1371">
        <f>IF($A1371="","",IF(BP1371=1,F1371,""))</f>
        <v>0</v>
      </c>
    </row>
    <row r="1372" spans="1:72">
      <c r="A1372" s="27">
        <f>IF(Data!$A1372="","",Data!$A1372)</f>
        <v>0</v>
      </c>
      <c r="B1372">
        <f>IF(Data!$B1372="","",Data!$B1372)</f>
        <v>0</v>
      </c>
      <c r="C1372">
        <f>IF(Data!$C1372="","",Data!$C1372)</f>
        <v>0</v>
      </c>
      <c r="D1372">
        <f>IF(Data!$D1372="","",Data!$D1372)</f>
        <v>0</v>
      </c>
      <c r="E1372">
        <f>IF(Data!$E1372="","",Data!$E1372)</f>
        <v>0</v>
      </c>
      <c r="F1372">
        <f>IF($E1372="","",N(F1371)+1)</f>
        <v>0</v>
      </c>
      <c r="G1372">
        <f>IF(OR($E1372="",$E1371=""),"",LN($E1372/$E1371))</f>
        <v>0</v>
      </c>
      <c r="H1372">
        <f>IF($E1372="","",IF($E1371="",$E1372,$E1372*0.0952380952+H1371*0.9047619048))</f>
        <v>0</v>
      </c>
      <c r="I1372">
        <f>IF($E1372="","",IF($E1371="",$E1372,$E1372*0.0392156863+I1371*0.9607843137))</f>
        <v>0</v>
      </c>
      <c r="J1372">
        <f>IF($E1372="","",IF($E1371="",$E1372,$E1372*0.0198019802+J1371*0.9801980198))</f>
        <v>0</v>
      </c>
      <c r="K1372">
        <f>IF($E1372="","",IF($E1371="",$E1372,$E1372*0.0099502488+K1371*0.9900497512))</f>
        <v>0</v>
      </c>
      <c r="L1372">
        <f>IF(OR($E1372="",$E1371=""),"",MAX($E1372-$E1371,0))</f>
        <v>0</v>
      </c>
      <c r="M1372">
        <f>IF(OR($E1372="",$E1371=""),"",MAX($E1371-$E1372,0))</f>
        <v>0</v>
      </c>
      <c r="N1372">
        <f>IF(COUNT($E$2:$E1372)&lt;15,"",IF(AVERAGE($M$1359:$M$1372)=0,100,100-100/(1+AVERAGE($L$1359:$L$1372)/AVERAGE($M$1359:$M$1372))))</f>
        <v>0</v>
      </c>
      <c r="O1372">
        <f>IF($E1372="","",IF($E1371="",$E1372,$E1372*0.1538461538+O1371*0.8461538462))</f>
        <v>0</v>
      </c>
      <c r="P1372">
        <f>IF($E1372="","",IF($E1371="",$E1372,$E1372*0.0740740741+P1371*0.9259259259))</f>
        <v>0</v>
      </c>
      <c r="Q1372">
        <f>IF(OR(O1372="",P1372=""),"",O1372-P1372)</f>
        <v>0</v>
      </c>
      <c r="R1372">
        <f>IF(Q1372="","",IF(R1371="",Q1372,Q1372*0.2000000000+R1371*0.8000000000))</f>
        <v>0</v>
      </c>
      <c r="S1372">
        <f>IF(OR(Q1372="",R1372=""),"",Q1372-R1372)</f>
        <v>0</v>
      </c>
      <c r="T1372">
        <f>IF(COUNT($E$2:$E1372)&lt;14,"",MAX($C$1359:$C$1372))</f>
        <v>0</v>
      </c>
      <c r="U1372">
        <f>IF(COUNT($E$2:$E1372)&lt;14,"",MIN($D$1359:$D$1372))</f>
        <v>0</v>
      </c>
      <c r="V1372">
        <f>IF(OR(T1372="",U1372="",T1372=U1372),"",100*($E1372-U1372)/(T1372-U1372))</f>
        <v>0</v>
      </c>
      <c r="W1372">
        <f>IF(COUNT($V$1370:$V$1372)&lt;3,"",AVERAGE($V$1370:$V$1372))</f>
        <v>0</v>
      </c>
      <c r="X1372">
        <f>IF(COUNT($N$1359:$N$1372)&lt;14,"",MIN($N$1359:$N$1372))</f>
        <v>0</v>
      </c>
      <c r="Y1372">
        <f>IF(COUNT($N$1359:$N$1372)&lt;14,"",MAX($N$1359:$N$1372))</f>
        <v>0</v>
      </c>
      <c r="Z1372">
        <f>IF(OR(N1372="",X1372="",Y1372="",Y1372=X1372),"",100*(N1372-X1372)/(Y1372-X1372))</f>
        <v>0</v>
      </c>
      <c r="AA1372">
        <f>IF(COUNT($Z$1370:$Z$1372)&lt;3,"",AVERAGE($Z$1370:$Z$1372))</f>
        <v>0</v>
      </c>
      <c r="AB1372">
        <f>IF(COUNT($AA$1370:$AA$1372)&lt;3,"",AVERAGE($AA$1370:$AA$1372))</f>
        <v>0</v>
      </c>
      <c r="AC1372">
        <f>IF($E1372="","",MAX($C1372-$D1372,ABS($C1372-$E1371),ABS($D1372-$E1371)))</f>
        <v>0</v>
      </c>
      <c r="AD1372">
        <f>IF(COUNT($E$2:$E1372)&lt;15,"",AVERAGE($AC$1359:$AC$1372))</f>
        <v>0</v>
      </c>
      <c r="AE1372">
        <f>IF(OR($E1372="",$E1371=""),"",IF(AND(($C1372-$C1371)&gt;($D1371-$D1372),($C1372-$C1371)&gt;0),$C1372-$C1371,0))</f>
        <v>0</v>
      </c>
      <c r="AF1372">
        <f>IF(OR($E1372="",$E1371=""),"",IF(AND(($D1371-$D1372)&gt;($C1372-$C1371),($D1371-$D1372)&gt;0),$D1371-$D1372,0))</f>
        <v>0</v>
      </c>
      <c r="AG1372">
        <f>IF(COUNT($E$2:$E1372)&lt;15,"",IF(SUM($AC$1359:$AC$1372)=0,0,100*SUM($AE$1359:$AE$1372)/SUM($AC$1359:$AC$1372)))</f>
        <v>0</v>
      </c>
      <c r="AH1372">
        <f>IF(COUNT($E$2:$E1372)&lt;15,"",IF(SUM($AC$1359:$AC$1372)=0,0,100*SUM($AF$1359:$AF$1372)/SUM($AC$1359:$AC$1372)))</f>
        <v>0</v>
      </c>
      <c r="AI1372">
        <f>IF(OR(AG1372="",AH1372=""),"",IF((AG1372+AH1372)=0,0,100*ABS(AG1372-AH1372)/(AG1372+AH1372)))</f>
        <v>0</v>
      </c>
      <c r="AJ1372">
        <f>IF(COUNT($AI$1359:$AI$1372)&lt;14,"",AVERAGE($AI$1359:$AI$1372))</f>
        <v>0</v>
      </c>
      <c r="AK1372">
        <f>IF(COUNT($E$2:$E1372)&lt;20,"",AVERAGE($E$1353:$E$1372))</f>
        <v>0</v>
      </c>
      <c r="AL1372">
        <f>IF(COUNT($E$2:$E1372)&lt;20,"",STDEVP($E$1353:$E$1372))</f>
        <v>0</v>
      </c>
      <c r="AM1372">
        <f>IF(AK1372="","",AK1372+2*AL1372)</f>
        <v>0</v>
      </c>
      <c r="AN1372">
        <f>IF(AK1372="","",AK1372-2*AL1372)</f>
        <v>0</v>
      </c>
      <c r="AO1372">
        <f>IF(OR(AM1372="",AN1372="",AM1372=AN1372),"",($E1372-AN1372)/(AM1372-AN1372))</f>
        <v>0</v>
      </c>
      <c r="AP1372">
        <f>IF(OR(AM1372="",AK1372="",AK1372=0),"",(AM1372-AN1372)/AK1372)</f>
        <v>0</v>
      </c>
      <c r="AQ1372">
        <f>IF(COUNT($E$2:$E1372)&lt;20,"",MAX($C$1353:$C$1372))</f>
        <v>0</v>
      </c>
      <c r="AR1372">
        <f>IF(COUNT($E$2:$E1372)&lt;20,"",MIN($D$1353:$D$1372))</f>
        <v>0</v>
      </c>
      <c r="AS1372">
        <f>IF(OR(AQ1372="",AR1372=""),"",(AQ1372+AR1372)/2)</f>
        <v>0</v>
      </c>
      <c r="AT1372">
        <f>IF(COUNT($G$1353:$G$1372)&lt;20,"",STDEV($G$1353:$G$1372)*SQRT(252))</f>
        <v>0</v>
      </c>
      <c r="AU1372">
        <f>IF(COUNT($E$2:$E1372)&lt;9,"",(MAX($C$1364:$C$1372)+MIN($D$1364:$D$1372))/2)</f>
        <v>0</v>
      </c>
      <c r="AV1372">
        <f>IF(COUNT($E$2:$E1372)&lt;26,"",(MAX($C$1347:$C$1372)+MIN($D$1347:$D$1372))/2)</f>
        <v>0</v>
      </c>
      <c r="AW1372">
        <f>IF(OR(AU1372="",AV1372=""),"",(AU1372+AV1372)/2)</f>
        <v>0</v>
      </c>
      <c r="AX1372">
        <f>IF(COUNT($E$2:$E1372)&lt;52,"",(MAX($C$1321:$C$1372)+MIN($D$1321:$D$1372))/2)</f>
        <v>0</v>
      </c>
      <c r="AY1372">
        <f>IF(COUNT($E$2:$E1372)&lt;20,"",MAX($C$1273:$C$1372))</f>
        <v>0</v>
      </c>
      <c r="AZ1372">
        <f>IF(COUNT($E$2:$E1372)&lt;20,"",MIN($D$1273:$D$1372))</f>
        <v>0</v>
      </c>
      <c r="BA1372">
        <f>IF(COUNT($E$2:$E1372)&lt;20,"",SLOPE($E$1273:$E$1372,$F$1273:$F$1372))</f>
        <v>0</v>
      </c>
      <c r="BB1372">
        <f>IF(COUNT($E$2:$E1372)&lt;20,"",INTERCEPT($E$1273:$E$1372,$F$1273:$F$1372))</f>
        <v>0</v>
      </c>
      <c r="BC1372">
        <f>IF(OR(BA1372="",BB1372=""),"",BB1372+BA1372*F1372)</f>
        <v>0</v>
      </c>
      <c r="BD1372">
        <f>IF(COUNT($E$2:$E1372)&lt;20,"",STEYX($E$1273:$E$1372,$F$1273:$F$1372))</f>
        <v>0</v>
      </c>
      <c r="BE1372">
        <f>IF($E1372="","",IF(AND(COUNT($E$1373:$E$1376)&gt;=4,$C1372=MAX($C$1368:$C$1376)),$C1372,""))</f>
        <v>0</v>
      </c>
      <c r="BF1372">
        <f>IF($E1372="","",IF(AND(COUNT($E$1373:$E$1376)&gt;=4,$D1372=MIN($D$1368:$D$1376)),$D1372,""))</f>
        <v>0</v>
      </c>
      <c r="BG1372">
        <f>IF($A1372="","",$A1372-WEEKDAY($A1372,2)+1)</f>
        <v>0</v>
      </c>
      <c r="BH1372">
        <f>IF($A1372="","",IF($A1371="",1,IF(BG1372&lt;&gt;BG1371,1,0)))</f>
        <v>0</v>
      </c>
      <c r="BI1372">
        <f>IF($A1372="","",IF($A1373="",1,IF(BG1373&lt;&gt;BG1372,1,0)))</f>
        <v>0</v>
      </c>
      <c r="BJ1372">
        <f>IF($A1372="","",IF(BH1372=1,$B1372,BJ1371))</f>
        <v>0</v>
      </c>
      <c r="BK1372">
        <f>IF($A1372="","",IF(BH1372=1,$C1372,MAX($C1372,BK1371)))</f>
        <v>0</v>
      </c>
      <c r="BL1372">
        <f>IF($A1372="","",IF(BH1372=1,$D1372,MIN($D1372,BL1371)))</f>
        <v>0</v>
      </c>
      <c r="BM1372">
        <f>IF($A1372="","",IF(BI1372=1,F1372,""))</f>
        <v>0</v>
      </c>
      <c r="BN1372">
        <f>IF($A1372="","",DATE(YEAR($A1372),MONTH($A1372),1))</f>
        <v>0</v>
      </c>
      <c r="BO1372">
        <f>IF($A1372="","",IF($A1371="",1,IF(BN1372&lt;&gt;BN1371,1,0)))</f>
        <v>0</v>
      </c>
      <c r="BP1372">
        <f>IF($A1372="","",IF($A1373="",1,IF(BN1373&lt;&gt;BN1372,1,0)))</f>
        <v>0</v>
      </c>
      <c r="BQ1372">
        <f>IF($A1372="","",IF(BO1372=1,$B1372,BQ1371))</f>
        <v>0</v>
      </c>
      <c r="BR1372">
        <f>IF($A1372="","",IF(BO1372=1,$C1372,MAX($C1372,BR1371)))</f>
        <v>0</v>
      </c>
      <c r="BS1372">
        <f>IF($A1372="","",IF(BO1372=1,$D1372,MIN($D1372,BS1371)))</f>
        <v>0</v>
      </c>
      <c r="BT1372">
        <f>IF($A1372="","",IF(BP1372=1,F1372,""))</f>
        <v>0</v>
      </c>
    </row>
    <row r="1373" spans="1:72">
      <c r="A1373" s="27">
        <f>IF(Data!$A1373="","",Data!$A1373)</f>
        <v>0</v>
      </c>
      <c r="B1373">
        <f>IF(Data!$B1373="","",Data!$B1373)</f>
        <v>0</v>
      </c>
      <c r="C1373">
        <f>IF(Data!$C1373="","",Data!$C1373)</f>
        <v>0</v>
      </c>
      <c r="D1373">
        <f>IF(Data!$D1373="","",Data!$D1373)</f>
        <v>0</v>
      </c>
      <c r="E1373">
        <f>IF(Data!$E1373="","",Data!$E1373)</f>
        <v>0</v>
      </c>
      <c r="F1373">
        <f>IF($E1373="","",N(F1372)+1)</f>
        <v>0</v>
      </c>
      <c r="G1373">
        <f>IF(OR($E1373="",$E1372=""),"",LN($E1373/$E1372))</f>
        <v>0</v>
      </c>
      <c r="H1373">
        <f>IF($E1373="","",IF($E1372="",$E1373,$E1373*0.0952380952+H1372*0.9047619048))</f>
        <v>0</v>
      </c>
      <c r="I1373">
        <f>IF($E1373="","",IF($E1372="",$E1373,$E1373*0.0392156863+I1372*0.9607843137))</f>
        <v>0</v>
      </c>
      <c r="J1373">
        <f>IF($E1373="","",IF($E1372="",$E1373,$E1373*0.0198019802+J1372*0.9801980198))</f>
        <v>0</v>
      </c>
      <c r="K1373">
        <f>IF($E1373="","",IF($E1372="",$E1373,$E1373*0.0099502488+K1372*0.9900497512))</f>
        <v>0</v>
      </c>
      <c r="L1373">
        <f>IF(OR($E1373="",$E1372=""),"",MAX($E1373-$E1372,0))</f>
        <v>0</v>
      </c>
      <c r="M1373">
        <f>IF(OR($E1373="",$E1372=""),"",MAX($E1372-$E1373,0))</f>
        <v>0</v>
      </c>
      <c r="N1373">
        <f>IF(COUNT($E$2:$E1373)&lt;15,"",IF(AVERAGE($M$1360:$M$1373)=0,100,100-100/(1+AVERAGE($L$1360:$L$1373)/AVERAGE($M$1360:$M$1373))))</f>
        <v>0</v>
      </c>
      <c r="O1373">
        <f>IF($E1373="","",IF($E1372="",$E1373,$E1373*0.1538461538+O1372*0.8461538462))</f>
        <v>0</v>
      </c>
      <c r="P1373">
        <f>IF($E1373="","",IF($E1372="",$E1373,$E1373*0.0740740741+P1372*0.9259259259))</f>
        <v>0</v>
      </c>
      <c r="Q1373">
        <f>IF(OR(O1373="",P1373=""),"",O1373-P1373)</f>
        <v>0</v>
      </c>
      <c r="R1373">
        <f>IF(Q1373="","",IF(R1372="",Q1373,Q1373*0.2000000000+R1372*0.8000000000))</f>
        <v>0</v>
      </c>
      <c r="S1373">
        <f>IF(OR(Q1373="",R1373=""),"",Q1373-R1373)</f>
        <v>0</v>
      </c>
      <c r="T1373">
        <f>IF(COUNT($E$2:$E1373)&lt;14,"",MAX($C$1360:$C$1373))</f>
        <v>0</v>
      </c>
      <c r="U1373">
        <f>IF(COUNT($E$2:$E1373)&lt;14,"",MIN($D$1360:$D$1373))</f>
        <v>0</v>
      </c>
      <c r="V1373">
        <f>IF(OR(T1373="",U1373="",T1373=U1373),"",100*($E1373-U1373)/(T1373-U1373))</f>
        <v>0</v>
      </c>
      <c r="W1373">
        <f>IF(COUNT($V$1371:$V$1373)&lt;3,"",AVERAGE($V$1371:$V$1373))</f>
        <v>0</v>
      </c>
      <c r="X1373">
        <f>IF(COUNT($N$1360:$N$1373)&lt;14,"",MIN($N$1360:$N$1373))</f>
        <v>0</v>
      </c>
      <c r="Y1373">
        <f>IF(COUNT($N$1360:$N$1373)&lt;14,"",MAX($N$1360:$N$1373))</f>
        <v>0</v>
      </c>
      <c r="Z1373">
        <f>IF(OR(N1373="",X1373="",Y1373="",Y1373=X1373),"",100*(N1373-X1373)/(Y1373-X1373))</f>
        <v>0</v>
      </c>
      <c r="AA1373">
        <f>IF(COUNT($Z$1371:$Z$1373)&lt;3,"",AVERAGE($Z$1371:$Z$1373))</f>
        <v>0</v>
      </c>
      <c r="AB1373">
        <f>IF(COUNT($AA$1371:$AA$1373)&lt;3,"",AVERAGE($AA$1371:$AA$1373))</f>
        <v>0</v>
      </c>
      <c r="AC1373">
        <f>IF($E1373="","",MAX($C1373-$D1373,ABS($C1373-$E1372),ABS($D1373-$E1372)))</f>
        <v>0</v>
      </c>
      <c r="AD1373">
        <f>IF(COUNT($E$2:$E1373)&lt;15,"",AVERAGE($AC$1360:$AC$1373))</f>
        <v>0</v>
      </c>
      <c r="AE1373">
        <f>IF(OR($E1373="",$E1372=""),"",IF(AND(($C1373-$C1372)&gt;($D1372-$D1373),($C1373-$C1372)&gt;0),$C1373-$C1372,0))</f>
        <v>0</v>
      </c>
      <c r="AF1373">
        <f>IF(OR($E1373="",$E1372=""),"",IF(AND(($D1372-$D1373)&gt;($C1373-$C1372),($D1372-$D1373)&gt;0),$D1372-$D1373,0))</f>
        <v>0</v>
      </c>
      <c r="AG1373">
        <f>IF(COUNT($E$2:$E1373)&lt;15,"",IF(SUM($AC$1360:$AC$1373)=0,0,100*SUM($AE$1360:$AE$1373)/SUM($AC$1360:$AC$1373)))</f>
        <v>0</v>
      </c>
      <c r="AH1373">
        <f>IF(COUNT($E$2:$E1373)&lt;15,"",IF(SUM($AC$1360:$AC$1373)=0,0,100*SUM($AF$1360:$AF$1373)/SUM($AC$1360:$AC$1373)))</f>
        <v>0</v>
      </c>
      <c r="AI1373">
        <f>IF(OR(AG1373="",AH1373=""),"",IF((AG1373+AH1373)=0,0,100*ABS(AG1373-AH1373)/(AG1373+AH1373)))</f>
        <v>0</v>
      </c>
      <c r="AJ1373">
        <f>IF(COUNT($AI$1360:$AI$1373)&lt;14,"",AVERAGE($AI$1360:$AI$1373))</f>
        <v>0</v>
      </c>
      <c r="AK1373">
        <f>IF(COUNT($E$2:$E1373)&lt;20,"",AVERAGE($E$1354:$E$1373))</f>
        <v>0</v>
      </c>
      <c r="AL1373">
        <f>IF(COUNT($E$2:$E1373)&lt;20,"",STDEVP($E$1354:$E$1373))</f>
        <v>0</v>
      </c>
      <c r="AM1373">
        <f>IF(AK1373="","",AK1373+2*AL1373)</f>
        <v>0</v>
      </c>
      <c r="AN1373">
        <f>IF(AK1373="","",AK1373-2*AL1373)</f>
        <v>0</v>
      </c>
      <c r="AO1373">
        <f>IF(OR(AM1373="",AN1373="",AM1373=AN1373),"",($E1373-AN1373)/(AM1373-AN1373))</f>
        <v>0</v>
      </c>
      <c r="AP1373">
        <f>IF(OR(AM1373="",AK1373="",AK1373=0),"",(AM1373-AN1373)/AK1373)</f>
        <v>0</v>
      </c>
      <c r="AQ1373">
        <f>IF(COUNT($E$2:$E1373)&lt;20,"",MAX($C$1354:$C$1373))</f>
        <v>0</v>
      </c>
      <c r="AR1373">
        <f>IF(COUNT($E$2:$E1373)&lt;20,"",MIN($D$1354:$D$1373))</f>
        <v>0</v>
      </c>
      <c r="AS1373">
        <f>IF(OR(AQ1373="",AR1373=""),"",(AQ1373+AR1373)/2)</f>
        <v>0</v>
      </c>
      <c r="AT1373">
        <f>IF(COUNT($G$1354:$G$1373)&lt;20,"",STDEV($G$1354:$G$1373)*SQRT(252))</f>
        <v>0</v>
      </c>
      <c r="AU1373">
        <f>IF(COUNT($E$2:$E1373)&lt;9,"",(MAX($C$1365:$C$1373)+MIN($D$1365:$D$1373))/2)</f>
        <v>0</v>
      </c>
      <c r="AV1373">
        <f>IF(COUNT($E$2:$E1373)&lt;26,"",(MAX($C$1348:$C$1373)+MIN($D$1348:$D$1373))/2)</f>
        <v>0</v>
      </c>
      <c r="AW1373">
        <f>IF(OR(AU1373="",AV1373=""),"",(AU1373+AV1373)/2)</f>
        <v>0</v>
      </c>
      <c r="AX1373">
        <f>IF(COUNT($E$2:$E1373)&lt;52,"",(MAX($C$1322:$C$1373)+MIN($D$1322:$D$1373))/2)</f>
        <v>0</v>
      </c>
      <c r="AY1373">
        <f>IF(COUNT($E$2:$E1373)&lt;20,"",MAX($C$1274:$C$1373))</f>
        <v>0</v>
      </c>
      <c r="AZ1373">
        <f>IF(COUNT($E$2:$E1373)&lt;20,"",MIN($D$1274:$D$1373))</f>
        <v>0</v>
      </c>
      <c r="BA1373">
        <f>IF(COUNT($E$2:$E1373)&lt;20,"",SLOPE($E$1274:$E$1373,$F$1274:$F$1373))</f>
        <v>0</v>
      </c>
      <c r="BB1373">
        <f>IF(COUNT($E$2:$E1373)&lt;20,"",INTERCEPT($E$1274:$E$1373,$F$1274:$F$1373))</f>
        <v>0</v>
      </c>
      <c r="BC1373">
        <f>IF(OR(BA1373="",BB1373=""),"",BB1373+BA1373*F1373)</f>
        <v>0</v>
      </c>
      <c r="BD1373">
        <f>IF(COUNT($E$2:$E1373)&lt;20,"",STEYX($E$1274:$E$1373,$F$1274:$F$1373))</f>
        <v>0</v>
      </c>
      <c r="BE1373">
        <f>IF($E1373="","",IF(AND(COUNT($E$1374:$E$1377)&gt;=4,$C1373=MAX($C$1369:$C$1377)),$C1373,""))</f>
        <v>0</v>
      </c>
      <c r="BF1373">
        <f>IF($E1373="","",IF(AND(COUNT($E$1374:$E$1377)&gt;=4,$D1373=MIN($D$1369:$D$1377)),$D1373,""))</f>
        <v>0</v>
      </c>
      <c r="BG1373">
        <f>IF($A1373="","",$A1373-WEEKDAY($A1373,2)+1)</f>
        <v>0</v>
      </c>
      <c r="BH1373">
        <f>IF($A1373="","",IF($A1372="",1,IF(BG1373&lt;&gt;BG1372,1,0)))</f>
        <v>0</v>
      </c>
      <c r="BI1373">
        <f>IF($A1373="","",IF($A1374="",1,IF(BG1374&lt;&gt;BG1373,1,0)))</f>
        <v>0</v>
      </c>
      <c r="BJ1373">
        <f>IF($A1373="","",IF(BH1373=1,$B1373,BJ1372))</f>
        <v>0</v>
      </c>
      <c r="BK1373">
        <f>IF($A1373="","",IF(BH1373=1,$C1373,MAX($C1373,BK1372)))</f>
        <v>0</v>
      </c>
      <c r="BL1373">
        <f>IF($A1373="","",IF(BH1373=1,$D1373,MIN($D1373,BL1372)))</f>
        <v>0</v>
      </c>
      <c r="BM1373">
        <f>IF($A1373="","",IF(BI1373=1,F1373,""))</f>
        <v>0</v>
      </c>
      <c r="BN1373">
        <f>IF($A1373="","",DATE(YEAR($A1373),MONTH($A1373),1))</f>
        <v>0</v>
      </c>
      <c r="BO1373">
        <f>IF($A1373="","",IF($A1372="",1,IF(BN1373&lt;&gt;BN1372,1,0)))</f>
        <v>0</v>
      </c>
      <c r="BP1373">
        <f>IF($A1373="","",IF($A1374="",1,IF(BN1374&lt;&gt;BN1373,1,0)))</f>
        <v>0</v>
      </c>
      <c r="BQ1373">
        <f>IF($A1373="","",IF(BO1373=1,$B1373,BQ1372))</f>
        <v>0</v>
      </c>
      <c r="BR1373">
        <f>IF($A1373="","",IF(BO1373=1,$C1373,MAX($C1373,BR1372)))</f>
        <v>0</v>
      </c>
      <c r="BS1373">
        <f>IF($A1373="","",IF(BO1373=1,$D1373,MIN($D1373,BS1372)))</f>
        <v>0</v>
      </c>
      <c r="BT1373">
        <f>IF($A1373="","",IF(BP1373=1,F1373,""))</f>
        <v>0</v>
      </c>
    </row>
    <row r="1374" spans="1:72">
      <c r="A1374" s="27">
        <f>IF(Data!$A1374="","",Data!$A1374)</f>
        <v>0</v>
      </c>
      <c r="B1374">
        <f>IF(Data!$B1374="","",Data!$B1374)</f>
        <v>0</v>
      </c>
      <c r="C1374">
        <f>IF(Data!$C1374="","",Data!$C1374)</f>
        <v>0</v>
      </c>
      <c r="D1374">
        <f>IF(Data!$D1374="","",Data!$D1374)</f>
        <v>0</v>
      </c>
      <c r="E1374">
        <f>IF(Data!$E1374="","",Data!$E1374)</f>
        <v>0</v>
      </c>
      <c r="F1374">
        <f>IF($E1374="","",N(F1373)+1)</f>
        <v>0</v>
      </c>
      <c r="G1374">
        <f>IF(OR($E1374="",$E1373=""),"",LN($E1374/$E1373))</f>
        <v>0</v>
      </c>
      <c r="H1374">
        <f>IF($E1374="","",IF($E1373="",$E1374,$E1374*0.0952380952+H1373*0.9047619048))</f>
        <v>0</v>
      </c>
      <c r="I1374">
        <f>IF($E1374="","",IF($E1373="",$E1374,$E1374*0.0392156863+I1373*0.9607843137))</f>
        <v>0</v>
      </c>
      <c r="J1374">
        <f>IF($E1374="","",IF($E1373="",$E1374,$E1374*0.0198019802+J1373*0.9801980198))</f>
        <v>0</v>
      </c>
      <c r="K1374">
        <f>IF($E1374="","",IF($E1373="",$E1374,$E1374*0.0099502488+K1373*0.9900497512))</f>
        <v>0</v>
      </c>
      <c r="L1374">
        <f>IF(OR($E1374="",$E1373=""),"",MAX($E1374-$E1373,0))</f>
        <v>0</v>
      </c>
      <c r="M1374">
        <f>IF(OR($E1374="",$E1373=""),"",MAX($E1373-$E1374,0))</f>
        <v>0</v>
      </c>
      <c r="N1374">
        <f>IF(COUNT($E$2:$E1374)&lt;15,"",IF(AVERAGE($M$1361:$M$1374)=0,100,100-100/(1+AVERAGE($L$1361:$L$1374)/AVERAGE($M$1361:$M$1374))))</f>
        <v>0</v>
      </c>
      <c r="O1374">
        <f>IF($E1374="","",IF($E1373="",$E1374,$E1374*0.1538461538+O1373*0.8461538462))</f>
        <v>0</v>
      </c>
      <c r="P1374">
        <f>IF($E1374="","",IF($E1373="",$E1374,$E1374*0.0740740741+P1373*0.9259259259))</f>
        <v>0</v>
      </c>
      <c r="Q1374">
        <f>IF(OR(O1374="",P1374=""),"",O1374-P1374)</f>
        <v>0</v>
      </c>
      <c r="R1374">
        <f>IF(Q1374="","",IF(R1373="",Q1374,Q1374*0.2000000000+R1373*0.8000000000))</f>
        <v>0</v>
      </c>
      <c r="S1374">
        <f>IF(OR(Q1374="",R1374=""),"",Q1374-R1374)</f>
        <v>0</v>
      </c>
      <c r="T1374">
        <f>IF(COUNT($E$2:$E1374)&lt;14,"",MAX($C$1361:$C$1374))</f>
        <v>0</v>
      </c>
      <c r="U1374">
        <f>IF(COUNT($E$2:$E1374)&lt;14,"",MIN($D$1361:$D$1374))</f>
        <v>0</v>
      </c>
      <c r="V1374">
        <f>IF(OR(T1374="",U1374="",T1374=U1374),"",100*($E1374-U1374)/(T1374-U1374))</f>
        <v>0</v>
      </c>
      <c r="W1374">
        <f>IF(COUNT($V$1372:$V$1374)&lt;3,"",AVERAGE($V$1372:$V$1374))</f>
        <v>0</v>
      </c>
      <c r="X1374">
        <f>IF(COUNT($N$1361:$N$1374)&lt;14,"",MIN($N$1361:$N$1374))</f>
        <v>0</v>
      </c>
      <c r="Y1374">
        <f>IF(COUNT($N$1361:$N$1374)&lt;14,"",MAX($N$1361:$N$1374))</f>
        <v>0</v>
      </c>
      <c r="Z1374">
        <f>IF(OR(N1374="",X1374="",Y1374="",Y1374=X1374),"",100*(N1374-X1374)/(Y1374-X1374))</f>
        <v>0</v>
      </c>
      <c r="AA1374">
        <f>IF(COUNT($Z$1372:$Z$1374)&lt;3,"",AVERAGE($Z$1372:$Z$1374))</f>
        <v>0</v>
      </c>
      <c r="AB1374">
        <f>IF(COUNT($AA$1372:$AA$1374)&lt;3,"",AVERAGE($AA$1372:$AA$1374))</f>
        <v>0</v>
      </c>
      <c r="AC1374">
        <f>IF($E1374="","",MAX($C1374-$D1374,ABS($C1374-$E1373),ABS($D1374-$E1373)))</f>
        <v>0</v>
      </c>
      <c r="AD1374">
        <f>IF(COUNT($E$2:$E1374)&lt;15,"",AVERAGE($AC$1361:$AC$1374))</f>
        <v>0</v>
      </c>
      <c r="AE1374">
        <f>IF(OR($E1374="",$E1373=""),"",IF(AND(($C1374-$C1373)&gt;($D1373-$D1374),($C1374-$C1373)&gt;0),$C1374-$C1373,0))</f>
        <v>0</v>
      </c>
      <c r="AF1374">
        <f>IF(OR($E1374="",$E1373=""),"",IF(AND(($D1373-$D1374)&gt;($C1374-$C1373),($D1373-$D1374)&gt;0),$D1373-$D1374,0))</f>
        <v>0</v>
      </c>
      <c r="AG1374">
        <f>IF(COUNT($E$2:$E1374)&lt;15,"",IF(SUM($AC$1361:$AC$1374)=0,0,100*SUM($AE$1361:$AE$1374)/SUM($AC$1361:$AC$1374)))</f>
        <v>0</v>
      </c>
      <c r="AH1374">
        <f>IF(COUNT($E$2:$E1374)&lt;15,"",IF(SUM($AC$1361:$AC$1374)=0,0,100*SUM($AF$1361:$AF$1374)/SUM($AC$1361:$AC$1374)))</f>
        <v>0</v>
      </c>
      <c r="AI1374">
        <f>IF(OR(AG1374="",AH1374=""),"",IF((AG1374+AH1374)=0,0,100*ABS(AG1374-AH1374)/(AG1374+AH1374)))</f>
        <v>0</v>
      </c>
      <c r="AJ1374">
        <f>IF(COUNT($AI$1361:$AI$1374)&lt;14,"",AVERAGE($AI$1361:$AI$1374))</f>
        <v>0</v>
      </c>
      <c r="AK1374">
        <f>IF(COUNT($E$2:$E1374)&lt;20,"",AVERAGE($E$1355:$E$1374))</f>
        <v>0</v>
      </c>
      <c r="AL1374">
        <f>IF(COUNT($E$2:$E1374)&lt;20,"",STDEVP($E$1355:$E$1374))</f>
        <v>0</v>
      </c>
      <c r="AM1374">
        <f>IF(AK1374="","",AK1374+2*AL1374)</f>
        <v>0</v>
      </c>
      <c r="AN1374">
        <f>IF(AK1374="","",AK1374-2*AL1374)</f>
        <v>0</v>
      </c>
      <c r="AO1374">
        <f>IF(OR(AM1374="",AN1374="",AM1374=AN1374),"",($E1374-AN1374)/(AM1374-AN1374))</f>
        <v>0</v>
      </c>
      <c r="AP1374">
        <f>IF(OR(AM1374="",AK1374="",AK1374=0),"",(AM1374-AN1374)/AK1374)</f>
        <v>0</v>
      </c>
      <c r="AQ1374">
        <f>IF(COUNT($E$2:$E1374)&lt;20,"",MAX($C$1355:$C$1374))</f>
        <v>0</v>
      </c>
      <c r="AR1374">
        <f>IF(COUNT($E$2:$E1374)&lt;20,"",MIN($D$1355:$D$1374))</f>
        <v>0</v>
      </c>
      <c r="AS1374">
        <f>IF(OR(AQ1374="",AR1374=""),"",(AQ1374+AR1374)/2)</f>
        <v>0</v>
      </c>
      <c r="AT1374">
        <f>IF(COUNT($G$1355:$G$1374)&lt;20,"",STDEV($G$1355:$G$1374)*SQRT(252))</f>
        <v>0</v>
      </c>
      <c r="AU1374">
        <f>IF(COUNT($E$2:$E1374)&lt;9,"",(MAX($C$1366:$C$1374)+MIN($D$1366:$D$1374))/2)</f>
        <v>0</v>
      </c>
      <c r="AV1374">
        <f>IF(COUNT($E$2:$E1374)&lt;26,"",(MAX($C$1349:$C$1374)+MIN($D$1349:$D$1374))/2)</f>
        <v>0</v>
      </c>
      <c r="AW1374">
        <f>IF(OR(AU1374="",AV1374=""),"",(AU1374+AV1374)/2)</f>
        <v>0</v>
      </c>
      <c r="AX1374">
        <f>IF(COUNT($E$2:$E1374)&lt;52,"",(MAX($C$1323:$C$1374)+MIN($D$1323:$D$1374))/2)</f>
        <v>0</v>
      </c>
      <c r="AY1374">
        <f>IF(COUNT($E$2:$E1374)&lt;20,"",MAX($C$1275:$C$1374))</f>
        <v>0</v>
      </c>
      <c r="AZ1374">
        <f>IF(COUNT($E$2:$E1374)&lt;20,"",MIN($D$1275:$D$1374))</f>
        <v>0</v>
      </c>
      <c r="BA1374">
        <f>IF(COUNT($E$2:$E1374)&lt;20,"",SLOPE($E$1275:$E$1374,$F$1275:$F$1374))</f>
        <v>0</v>
      </c>
      <c r="BB1374">
        <f>IF(COUNT($E$2:$E1374)&lt;20,"",INTERCEPT($E$1275:$E$1374,$F$1275:$F$1374))</f>
        <v>0</v>
      </c>
      <c r="BC1374">
        <f>IF(OR(BA1374="",BB1374=""),"",BB1374+BA1374*F1374)</f>
        <v>0</v>
      </c>
      <c r="BD1374">
        <f>IF(COUNT($E$2:$E1374)&lt;20,"",STEYX($E$1275:$E$1374,$F$1275:$F$1374))</f>
        <v>0</v>
      </c>
      <c r="BE1374">
        <f>IF($E1374="","",IF(AND(COUNT($E$1375:$E$1378)&gt;=4,$C1374=MAX($C$1370:$C$1378)),$C1374,""))</f>
        <v>0</v>
      </c>
      <c r="BF1374">
        <f>IF($E1374="","",IF(AND(COUNT($E$1375:$E$1378)&gt;=4,$D1374=MIN($D$1370:$D$1378)),$D1374,""))</f>
        <v>0</v>
      </c>
      <c r="BG1374">
        <f>IF($A1374="","",$A1374-WEEKDAY($A1374,2)+1)</f>
        <v>0</v>
      </c>
      <c r="BH1374">
        <f>IF($A1374="","",IF($A1373="",1,IF(BG1374&lt;&gt;BG1373,1,0)))</f>
        <v>0</v>
      </c>
      <c r="BI1374">
        <f>IF($A1374="","",IF($A1375="",1,IF(BG1375&lt;&gt;BG1374,1,0)))</f>
        <v>0</v>
      </c>
      <c r="BJ1374">
        <f>IF($A1374="","",IF(BH1374=1,$B1374,BJ1373))</f>
        <v>0</v>
      </c>
      <c r="BK1374">
        <f>IF($A1374="","",IF(BH1374=1,$C1374,MAX($C1374,BK1373)))</f>
        <v>0</v>
      </c>
      <c r="BL1374">
        <f>IF($A1374="","",IF(BH1374=1,$D1374,MIN($D1374,BL1373)))</f>
        <v>0</v>
      </c>
      <c r="BM1374">
        <f>IF($A1374="","",IF(BI1374=1,F1374,""))</f>
        <v>0</v>
      </c>
      <c r="BN1374">
        <f>IF($A1374="","",DATE(YEAR($A1374),MONTH($A1374),1))</f>
        <v>0</v>
      </c>
      <c r="BO1374">
        <f>IF($A1374="","",IF($A1373="",1,IF(BN1374&lt;&gt;BN1373,1,0)))</f>
        <v>0</v>
      </c>
      <c r="BP1374">
        <f>IF($A1374="","",IF($A1375="",1,IF(BN1375&lt;&gt;BN1374,1,0)))</f>
        <v>0</v>
      </c>
      <c r="BQ1374">
        <f>IF($A1374="","",IF(BO1374=1,$B1374,BQ1373))</f>
        <v>0</v>
      </c>
      <c r="BR1374">
        <f>IF($A1374="","",IF(BO1374=1,$C1374,MAX($C1374,BR1373)))</f>
        <v>0</v>
      </c>
      <c r="BS1374">
        <f>IF($A1374="","",IF(BO1374=1,$D1374,MIN($D1374,BS1373)))</f>
        <v>0</v>
      </c>
      <c r="BT1374">
        <f>IF($A1374="","",IF(BP1374=1,F1374,""))</f>
        <v>0</v>
      </c>
    </row>
    <row r="1375" spans="1:72">
      <c r="A1375" s="27">
        <f>IF(Data!$A1375="","",Data!$A1375)</f>
        <v>0</v>
      </c>
      <c r="B1375">
        <f>IF(Data!$B1375="","",Data!$B1375)</f>
        <v>0</v>
      </c>
      <c r="C1375">
        <f>IF(Data!$C1375="","",Data!$C1375)</f>
        <v>0</v>
      </c>
      <c r="D1375">
        <f>IF(Data!$D1375="","",Data!$D1375)</f>
        <v>0</v>
      </c>
      <c r="E1375">
        <f>IF(Data!$E1375="","",Data!$E1375)</f>
        <v>0</v>
      </c>
      <c r="F1375">
        <f>IF($E1375="","",N(F1374)+1)</f>
        <v>0</v>
      </c>
      <c r="G1375">
        <f>IF(OR($E1375="",$E1374=""),"",LN($E1375/$E1374))</f>
        <v>0</v>
      </c>
      <c r="H1375">
        <f>IF($E1375="","",IF($E1374="",$E1375,$E1375*0.0952380952+H1374*0.9047619048))</f>
        <v>0</v>
      </c>
      <c r="I1375">
        <f>IF($E1375="","",IF($E1374="",$E1375,$E1375*0.0392156863+I1374*0.9607843137))</f>
        <v>0</v>
      </c>
      <c r="J1375">
        <f>IF($E1375="","",IF($E1374="",$E1375,$E1375*0.0198019802+J1374*0.9801980198))</f>
        <v>0</v>
      </c>
      <c r="K1375">
        <f>IF($E1375="","",IF($E1374="",$E1375,$E1375*0.0099502488+K1374*0.9900497512))</f>
        <v>0</v>
      </c>
      <c r="L1375">
        <f>IF(OR($E1375="",$E1374=""),"",MAX($E1375-$E1374,0))</f>
        <v>0</v>
      </c>
      <c r="M1375">
        <f>IF(OR($E1375="",$E1374=""),"",MAX($E1374-$E1375,0))</f>
        <v>0</v>
      </c>
      <c r="N1375">
        <f>IF(COUNT($E$2:$E1375)&lt;15,"",IF(AVERAGE($M$1362:$M$1375)=0,100,100-100/(1+AVERAGE($L$1362:$L$1375)/AVERAGE($M$1362:$M$1375))))</f>
        <v>0</v>
      </c>
      <c r="O1375">
        <f>IF($E1375="","",IF($E1374="",$E1375,$E1375*0.1538461538+O1374*0.8461538462))</f>
        <v>0</v>
      </c>
      <c r="P1375">
        <f>IF($E1375="","",IF($E1374="",$E1375,$E1375*0.0740740741+P1374*0.9259259259))</f>
        <v>0</v>
      </c>
      <c r="Q1375">
        <f>IF(OR(O1375="",P1375=""),"",O1375-P1375)</f>
        <v>0</v>
      </c>
      <c r="R1375">
        <f>IF(Q1375="","",IF(R1374="",Q1375,Q1375*0.2000000000+R1374*0.8000000000))</f>
        <v>0</v>
      </c>
      <c r="S1375">
        <f>IF(OR(Q1375="",R1375=""),"",Q1375-R1375)</f>
        <v>0</v>
      </c>
      <c r="T1375">
        <f>IF(COUNT($E$2:$E1375)&lt;14,"",MAX($C$1362:$C$1375))</f>
        <v>0</v>
      </c>
      <c r="U1375">
        <f>IF(COUNT($E$2:$E1375)&lt;14,"",MIN($D$1362:$D$1375))</f>
        <v>0</v>
      </c>
      <c r="V1375">
        <f>IF(OR(T1375="",U1375="",T1375=U1375),"",100*($E1375-U1375)/(T1375-U1375))</f>
        <v>0</v>
      </c>
      <c r="W1375">
        <f>IF(COUNT($V$1373:$V$1375)&lt;3,"",AVERAGE($V$1373:$V$1375))</f>
        <v>0</v>
      </c>
      <c r="X1375">
        <f>IF(COUNT($N$1362:$N$1375)&lt;14,"",MIN($N$1362:$N$1375))</f>
        <v>0</v>
      </c>
      <c r="Y1375">
        <f>IF(COUNT($N$1362:$N$1375)&lt;14,"",MAX($N$1362:$N$1375))</f>
        <v>0</v>
      </c>
      <c r="Z1375">
        <f>IF(OR(N1375="",X1375="",Y1375="",Y1375=X1375),"",100*(N1375-X1375)/(Y1375-X1375))</f>
        <v>0</v>
      </c>
      <c r="AA1375">
        <f>IF(COUNT($Z$1373:$Z$1375)&lt;3,"",AVERAGE($Z$1373:$Z$1375))</f>
        <v>0</v>
      </c>
      <c r="AB1375">
        <f>IF(COUNT($AA$1373:$AA$1375)&lt;3,"",AVERAGE($AA$1373:$AA$1375))</f>
        <v>0</v>
      </c>
      <c r="AC1375">
        <f>IF($E1375="","",MAX($C1375-$D1375,ABS($C1375-$E1374),ABS($D1375-$E1374)))</f>
        <v>0</v>
      </c>
      <c r="AD1375">
        <f>IF(COUNT($E$2:$E1375)&lt;15,"",AVERAGE($AC$1362:$AC$1375))</f>
        <v>0</v>
      </c>
      <c r="AE1375">
        <f>IF(OR($E1375="",$E1374=""),"",IF(AND(($C1375-$C1374)&gt;($D1374-$D1375),($C1375-$C1374)&gt;0),$C1375-$C1374,0))</f>
        <v>0</v>
      </c>
      <c r="AF1375">
        <f>IF(OR($E1375="",$E1374=""),"",IF(AND(($D1374-$D1375)&gt;($C1375-$C1374),($D1374-$D1375)&gt;0),$D1374-$D1375,0))</f>
        <v>0</v>
      </c>
      <c r="AG1375">
        <f>IF(COUNT($E$2:$E1375)&lt;15,"",IF(SUM($AC$1362:$AC$1375)=0,0,100*SUM($AE$1362:$AE$1375)/SUM($AC$1362:$AC$1375)))</f>
        <v>0</v>
      </c>
      <c r="AH1375">
        <f>IF(COUNT($E$2:$E1375)&lt;15,"",IF(SUM($AC$1362:$AC$1375)=0,0,100*SUM($AF$1362:$AF$1375)/SUM($AC$1362:$AC$1375)))</f>
        <v>0</v>
      </c>
      <c r="AI1375">
        <f>IF(OR(AG1375="",AH1375=""),"",IF((AG1375+AH1375)=0,0,100*ABS(AG1375-AH1375)/(AG1375+AH1375)))</f>
        <v>0</v>
      </c>
      <c r="AJ1375">
        <f>IF(COUNT($AI$1362:$AI$1375)&lt;14,"",AVERAGE($AI$1362:$AI$1375))</f>
        <v>0</v>
      </c>
      <c r="AK1375">
        <f>IF(COUNT($E$2:$E1375)&lt;20,"",AVERAGE($E$1356:$E$1375))</f>
        <v>0</v>
      </c>
      <c r="AL1375">
        <f>IF(COUNT($E$2:$E1375)&lt;20,"",STDEVP($E$1356:$E$1375))</f>
        <v>0</v>
      </c>
      <c r="AM1375">
        <f>IF(AK1375="","",AK1375+2*AL1375)</f>
        <v>0</v>
      </c>
      <c r="AN1375">
        <f>IF(AK1375="","",AK1375-2*AL1375)</f>
        <v>0</v>
      </c>
      <c r="AO1375">
        <f>IF(OR(AM1375="",AN1375="",AM1375=AN1375),"",($E1375-AN1375)/(AM1375-AN1375))</f>
        <v>0</v>
      </c>
      <c r="AP1375">
        <f>IF(OR(AM1375="",AK1375="",AK1375=0),"",(AM1375-AN1375)/AK1375)</f>
        <v>0</v>
      </c>
      <c r="AQ1375">
        <f>IF(COUNT($E$2:$E1375)&lt;20,"",MAX($C$1356:$C$1375))</f>
        <v>0</v>
      </c>
      <c r="AR1375">
        <f>IF(COUNT($E$2:$E1375)&lt;20,"",MIN($D$1356:$D$1375))</f>
        <v>0</v>
      </c>
      <c r="AS1375">
        <f>IF(OR(AQ1375="",AR1375=""),"",(AQ1375+AR1375)/2)</f>
        <v>0</v>
      </c>
      <c r="AT1375">
        <f>IF(COUNT($G$1356:$G$1375)&lt;20,"",STDEV($G$1356:$G$1375)*SQRT(252))</f>
        <v>0</v>
      </c>
      <c r="AU1375">
        <f>IF(COUNT($E$2:$E1375)&lt;9,"",(MAX($C$1367:$C$1375)+MIN($D$1367:$D$1375))/2)</f>
        <v>0</v>
      </c>
      <c r="AV1375">
        <f>IF(COUNT($E$2:$E1375)&lt;26,"",(MAX($C$1350:$C$1375)+MIN($D$1350:$D$1375))/2)</f>
        <v>0</v>
      </c>
      <c r="AW1375">
        <f>IF(OR(AU1375="",AV1375=""),"",(AU1375+AV1375)/2)</f>
        <v>0</v>
      </c>
      <c r="AX1375">
        <f>IF(COUNT($E$2:$E1375)&lt;52,"",(MAX($C$1324:$C$1375)+MIN($D$1324:$D$1375))/2)</f>
        <v>0</v>
      </c>
      <c r="AY1375">
        <f>IF(COUNT($E$2:$E1375)&lt;20,"",MAX($C$1276:$C$1375))</f>
        <v>0</v>
      </c>
      <c r="AZ1375">
        <f>IF(COUNT($E$2:$E1375)&lt;20,"",MIN($D$1276:$D$1375))</f>
        <v>0</v>
      </c>
      <c r="BA1375">
        <f>IF(COUNT($E$2:$E1375)&lt;20,"",SLOPE($E$1276:$E$1375,$F$1276:$F$1375))</f>
        <v>0</v>
      </c>
      <c r="BB1375">
        <f>IF(COUNT($E$2:$E1375)&lt;20,"",INTERCEPT($E$1276:$E$1375,$F$1276:$F$1375))</f>
        <v>0</v>
      </c>
      <c r="BC1375">
        <f>IF(OR(BA1375="",BB1375=""),"",BB1375+BA1375*F1375)</f>
        <v>0</v>
      </c>
      <c r="BD1375">
        <f>IF(COUNT($E$2:$E1375)&lt;20,"",STEYX($E$1276:$E$1375,$F$1276:$F$1375))</f>
        <v>0</v>
      </c>
      <c r="BE1375">
        <f>IF($E1375="","",IF(AND(COUNT($E$1376:$E$1379)&gt;=4,$C1375=MAX($C$1371:$C$1379)),$C1375,""))</f>
        <v>0</v>
      </c>
      <c r="BF1375">
        <f>IF($E1375="","",IF(AND(COUNT($E$1376:$E$1379)&gt;=4,$D1375=MIN($D$1371:$D$1379)),$D1375,""))</f>
        <v>0</v>
      </c>
      <c r="BG1375">
        <f>IF($A1375="","",$A1375-WEEKDAY($A1375,2)+1)</f>
        <v>0</v>
      </c>
      <c r="BH1375">
        <f>IF($A1375="","",IF($A1374="",1,IF(BG1375&lt;&gt;BG1374,1,0)))</f>
        <v>0</v>
      </c>
      <c r="BI1375">
        <f>IF($A1375="","",IF($A1376="",1,IF(BG1376&lt;&gt;BG1375,1,0)))</f>
        <v>0</v>
      </c>
      <c r="BJ1375">
        <f>IF($A1375="","",IF(BH1375=1,$B1375,BJ1374))</f>
        <v>0</v>
      </c>
      <c r="BK1375">
        <f>IF($A1375="","",IF(BH1375=1,$C1375,MAX($C1375,BK1374)))</f>
        <v>0</v>
      </c>
      <c r="BL1375">
        <f>IF($A1375="","",IF(BH1375=1,$D1375,MIN($D1375,BL1374)))</f>
        <v>0</v>
      </c>
      <c r="BM1375">
        <f>IF($A1375="","",IF(BI1375=1,F1375,""))</f>
        <v>0</v>
      </c>
      <c r="BN1375">
        <f>IF($A1375="","",DATE(YEAR($A1375),MONTH($A1375),1))</f>
        <v>0</v>
      </c>
      <c r="BO1375">
        <f>IF($A1375="","",IF($A1374="",1,IF(BN1375&lt;&gt;BN1374,1,0)))</f>
        <v>0</v>
      </c>
      <c r="BP1375">
        <f>IF($A1375="","",IF($A1376="",1,IF(BN1376&lt;&gt;BN1375,1,0)))</f>
        <v>0</v>
      </c>
      <c r="BQ1375">
        <f>IF($A1375="","",IF(BO1375=1,$B1375,BQ1374))</f>
        <v>0</v>
      </c>
      <c r="BR1375">
        <f>IF($A1375="","",IF(BO1375=1,$C1375,MAX($C1375,BR1374)))</f>
        <v>0</v>
      </c>
      <c r="BS1375">
        <f>IF($A1375="","",IF(BO1375=1,$D1375,MIN($D1375,BS1374)))</f>
        <v>0</v>
      </c>
      <c r="BT1375">
        <f>IF($A1375="","",IF(BP1375=1,F1375,""))</f>
        <v>0</v>
      </c>
    </row>
    <row r="1376" spans="1:72">
      <c r="A1376" s="27">
        <f>IF(Data!$A1376="","",Data!$A1376)</f>
        <v>0</v>
      </c>
      <c r="B1376">
        <f>IF(Data!$B1376="","",Data!$B1376)</f>
        <v>0</v>
      </c>
      <c r="C1376">
        <f>IF(Data!$C1376="","",Data!$C1376)</f>
        <v>0</v>
      </c>
      <c r="D1376">
        <f>IF(Data!$D1376="","",Data!$D1376)</f>
        <v>0</v>
      </c>
      <c r="E1376">
        <f>IF(Data!$E1376="","",Data!$E1376)</f>
        <v>0</v>
      </c>
      <c r="F1376">
        <f>IF($E1376="","",N(F1375)+1)</f>
        <v>0</v>
      </c>
      <c r="G1376">
        <f>IF(OR($E1376="",$E1375=""),"",LN($E1376/$E1375))</f>
        <v>0</v>
      </c>
      <c r="H1376">
        <f>IF($E1376="","",IF($E1375="",$E1376,$E1376*0.0952380952+H1375*0.9047619048))</f>
        <v>0</v>
      </c>
      <c r="I1376">
        <f>IF($E1376="","",IF($E1375="",$E1376,$E1376*0.0392156863+I1375*0.9607843137))</f>
        <v>0</v>
      </c>
      <c r="J1376">
        <f>IF($E1376="","",IF($E1375="",$E1376,$E1376*0.0198019802+J1375*0.9801980198))</f>
        <v>0</v>
      </c>
      <c r="K1376">
        <f>IF($E1376="","",IF($E1375="",$E1376,$E1376*0.0099502488+K1375*0.9900497512))</f>
        <v>0</v>
      </c>
      <c r="L1376">
        <f>IF(OR($E1376="",$E1375=""),"",MAX($E1376-$E1375,0))</f>
        <v>0</v>
      </c>
      <c r="M1376">
        <f>IF(OR($E1376="",$E1375=""),"",MAX($E1375-$E1376,0))</f>
        <v>0</v>
      </c>
      <c r="N1376">
        <f>IF(COUNT($E$2:$E1376)&lt;15,"",IF(AVERAGE($M$1363:$M$1376)=0,100,100-100/(1+AVERAGE($L$1363:$L$1376)/AVERAGE($M$1363:$M$1376))))</f>
        <v>0</v>
      </c>
      <c r="O1376">
        <f>IF($E1376="","",IF($E1375="",$E1376,$E1376*0.1538461538+O1375*0.8461538462))</f>
        <v>0</v>
      </c>
      <c r="P1376">
        <f>IF($E1376="","",IF($E1375="",$E1376,$E1376*0.0740740741+P1375*0.9259259259))</f>
        <v>0</v>
      </c>
      <c r="Q1376">
        <f>IF(OR(O1376="",P1376=""),"",O1376-P1376)</f>
        <v>0</v>
      </c>
      <c r="R1376">
        <f>IF(Q1376="","",IF(R1375="",Q1376,Q1376*0.2000000000+R1375*0.8000000000))</f>
        <v>0</v>
      </c>
      <c r="S1376">
        <f>IF(OR(Q1376="",R1376=""),"",Q1376-R1376)</f>
        <v>0</v>
      </c>
      <c r="T1376">
        <f>IF(COUNT($E$2:$E1376)&lt;14,"",MAX($C$1363:$C$1376))</f>
        <v>0</v>
      </c>
      <c r="U1376">
        <f>IF(COUNT($E$2:$E1376)&lt;14,"",MIN($D$1363:$D$1376))</f>
        <v>0</v>
      </c>
      <c r="V1376">
        <f>IF(OR(T1376="",U1376="",T1376=U1376),"",100*($E1376-U1376)/(T1376-U1376))</f>
        <v>0</v>
      </c>
      <c r="W1376">
        <f>IF(COUNT($V$1374:$V$1376)&lt;3,"",AVERAGE($V$1374:$V$1376))</f>
        <v>0</v>
      </c>
      <c r="X1376">
        <f>IF(COUNT($N$1363:$N$1376)&lt;14,"",MIN($N$1363:$N$1376))</f>
        <v>0</v>
      </c>
      <c r="Y1376">
        <f>IF(COUNT($N$1363:$N$1376)&lt;14,"",MAX($N$1363:$N$1376))</f>
        <v>0</v>
      </c>
      <c r="Z1376">
        <f>IF(OR(N1376="",X1376="",Y1376="",Y1376=X1376),"",100*(N1376-X1376)/(Y1376-X1376))</f>
        <v>0</v>
      </c>
      <c r="AA1376">
        <f>IF(COUNT($Z$1374:$Z$1376)&lt;3,"",AVERAGE($Z$1374:$Z$1376))</f>
        <v>0</v>
      </c>
      <c r="AB1376">
        <f>IF(COUNT($AA$1374:$AA$1376)&lt;3,"",AVERAGE($AA$1374:$AA$1376))</f>
        <v>0</v>
      </c>
      <c r="AC1376">
        <f>IF($E1376="","",MAX($C1376-$D1376,ABS($C1376-$E1375),ABS($D1376-$E1375)))</f>
        <v>0</v>
      </c>
      <c r="AD1376">
        <f>IF(COUNT($E$2:$E1376)&lt;15,"",AVERAGE($AC$1363:$AC$1376))</f>
        <v>0</v>
      </c>
      <c r="AE1376">
        <f>IF(OR($E1376="",$E1375=""),"",IF(AND(($C1376-$C1375)&gt;($D1375-$D1376),($C1376-$C1375)&gt;0),$C1376-$C1375,0))</f>
        <v>0</v>
      </c>
      <c r="AF1376">
        <f>IF(OR($E1376="",$E1375=""),"",IF(AND(($D1375-$D1376)&gt;($C1376-$C1375),($D1375-$D1376)&gt;0),$D1375-$D1376,0))</f>
        <v>0</v>
      </c>
      <c r="AG1376">
        <f>IF(COUNT($E$2:$E1376)&lt;15,"",IF(SUM($AC$1363:$AC$1376)=0,0,100*SUM($AE$1363:$AE$1376)/SUM($AC$1363:$AC$1376)))</f>
        <v>0</v>
      </c>
      <c r="AH1376">
        <f>IF(COUNT($E$2:$E1376)&lt;15,"",IF(SUM($AC$1363:$AC$1376)=0,0,100*SUM($AF$1363:$AF$1376)/SUM($AC$1363:$AC$1376)))</f>
        <v>0</v>
      </c>
      <c r="AI1376">
        <f>IF(OR(AG1376="",AH1376=""),"",IF((AG1376+AH1376)=0,0,100*ABS(AG1376-AH1376)/(AG1376+AH1376)))</f>
        <v>0</v>
      </c>
      <c r="AJ1376">
        <f>IF(COUNT($AI$1363:$AI$1376)&lt;14,"",AVERAGE($AI$1363:$AI$1376))</f>
        <v>0</v>
      </c>
      <c r="AK1376">
        <f>IF(COUNT($E$2:$E1376)&lt;20,"",AVERAGE($E$1357:$E$1376))</f>
        <v>0</v>
      </c>
      <c r="AL1376">
        <f>IF(COUNT($E$2:$E1376)&lt;20,"",STDEVP($E$1357:$E$1376))</f>
        <v>0</v>
      </c>
      <c r="AM1376">
        <f>IF(AK1376="","",AK1376+2*AL1376)</f>
        <v>0</v>
      </c>
      <c r="AN1376">
        <f>IF(AK1376="","",AK1376-2*AL1376)</f>
        <v>0</v>
      </c>
      <c r="AO1376">
        <f>IF(OR(AM1376="",AN1376="",AM1376=AN1376),"",($E1376-AN1376)/(AM1376-AN1376))</f>
        <v>0</v>
      </c>
      <c r="AP1376">
        <f>IF(OR(AM1376="",AK1376="",AK1376=0),"",(AM1376-AN1376)/AK1376)</f>
        <v>0</v>
      </c>
      <c r="AQ1376">
        <f>IF(COUNT($E$2:$E1376)&lt;20,"",MAX($C$1357:$C$1376))</f>
        <v>0</v>
      </c>
      <c r="AR1376">
        <f>IF(COUNT($E$2:$E1376)&lt;20,"",MIN($D$1357:$D$1376))</f>
        <v>0</v>
      </c>
      <c r="AS1376">
        <f>IF(OR(AQ1376="",AR1376=""),"",(AQ1376+AR1376)/2)</f>
        <v>0</v>
      </c>
      <c r="AT1376">
        <f>IF(COUNT($G$1357:$G$1376)&lt;20,"",STDEV($G$1357:$G$1376)*SQRT(252))</f>
        <v>0</v>
      </c>
      <c r="AU1376">
        <f>IF(COUNT($E$2:$E1376)&lt;9,"",(MAX($C$1368:$C$1376)+MIN($D$1368:$D$1376))/2)</f>
        <v>0</v>
      </c>
      <c r="AV1376">
        <f>IF(COUNT($E$2:$E1376)&lt;26,"",(MAX($C$1351:$C$1376)+MIN($D$1351:$D$1376))/2)</f>
        <v>0</v>
      </c>
      <c r="AW1376">
        <f>IF(OR(AU1376="",AV1376=""),"",(AU1376+AV1376)/2)</f>
        <v>0</v>
      </c>
      <c r="AX1376">
        <f>IF(COUNT($E$2:$E1376)&lt;52,"",(MAX($C$1325:$C$1376)+MIN($D$1325:$D$1376))/2)</f>
        <v>0</v>
      </c>
      <c r="AY1376">
        <f>IF(COUNT($E$2:$E1376)&lt;20,"",MAX($C$1277:$C$1376))</f>
        <v>0</v>
      </c>
      <c r="AZ1376">
        <f>IF(COUNT($E$2:$E1376)&lt;20,"",MIN($D$1277:$D$1376))</f>
        <v>0</v>
      </c>
      <c r="BA1376">
        <f>IF(COUNT($E$2:$E1376)&lt;20,"",SLOPE($E$1277:$E$1376,$F$1277:$F$1376))</f>
        <v>0</v>
      </c>
      <c r="BB1376">
        <f>IF(COUNT($E$2:$E1376)&lt;20,"",INTERCEPT($E$1277:$E$1376,$F$1277:$F$1376))</f>
        <v>0</v>
      </c>
      <c r="BC1376">
        <f>IF(OR(BA1376="",BB1376=""),"",BB1376+BA1376*F1376)</f>
        <v>0</v>
      </c>
      <c r="BD1376">
        <f>IF(COUNT($E$2:$E1376)&lt;20,"",STEYX($E$1277:$E$1376,$F$1277:$F$1376))</f>
        <v>0</v>
      </c>
      <c r="BE1376">
        <f>IF($E1376="","",IF(AND(COUNT($E$1377:$E$1380)&gt;=4,$C1376=MAX($C$1372:$C$1380)),$C1376,""))</f>
        <v>0</v>
      </c>
      <c r="BF1376">
        <f>IF($E1376="","",IF(AND(COUNT($E$1377:$E$1380)&gt;=4,$D1376=MIN($D$1372:$D$1380)),$D1376,""))</f>
        <v>0</v>
      </c>
      <c r="BG1376">
        <f>IF($A1376="","",$A1376-WEEKDAY($A1376,2)+1)</f>
        <v>0</v>
      </c>
      <c r="BH1376">
        <f>IF($A1376="","",IF($A1375="",1,IF(BG1376&lt;&gt;BG1375,1,0)))</f>
        <v>0</v>
      </c>
      <c r="BI1376">
        <f>IF($A1376="","",IF($A1377="",1,IF(BG1377&lt;&gt;BG1376,1,0)))</f>
        <v>0</v>
      </c>
      <c r="BJ1376">
        <f>IF($A1376="","",IF(BH1376=1,$B1376,BJ1375))</f>
        <v>0</v>
      </c>
      <c r="BK1376">
        <f>IF($A1376="","",IF(BH1376=1,$C1376,MAX($C1376,BK1375)))</f>
        <v>0</v>
      </c>
      <c r="BL1376">
        <f>IF($A1376="","",IF(BH1376=1,$D1376,MIN($D1376,BL1375)))</f>
        <v>0</v>
      </c>
      <c r="BM1376">
        <f>IF($A1376="","",IF(BI1376=1,F1376,""))</f>
        <v>0</v>
      </c>
      <c r="BN1376">
        <f>IF($A1376="","",DATE(YEAR($A1376),MONTH($A1376),1))</f>
        <v>0</v>
      </c>
      <c r="BO1376">
        <f>IF($A1376="","",IF($A1375="",1,IF(BN1376&lt;&gt;BN1375,1,0)))</f>
        <v>0</v>
      </c>
      <c r="BP1376">
        <f>IF($A1376="","",IF($A1377="",1,IF(BN1377&lt;&gt;BN1376,1,0)))</f>
        <v>0</v>
      </c>
      <c r="BQ1376">
        <f>IF($A1376="","",IF(BO1376=1,$B1376,BQ1375))</f>
        <v>0</v>
      </c>
      <c r="BR1376">
        <f>IF($A1376="","",IF(BO1376=1,$C1376,MAX($C1376,BR1375)))</f>
        <v>0</v>
      </c>
      <c r="BS1376">
        <f>IF($A1376="","",IF(BO1376=1,$D1376,MIN($D1376,BS1375)))</f>
        <v>0</v>
      </c>
      <c r="BT1376">
        <f>IF($A1376="","",IF(BP1376=1,F1376,""))</f>
        <v>0</v>
      </c>
    </row>
    <row r="1377" spans="1:72">
      <c r="A1377" s="27">
        <f>IF(Data!$A1377="","",Data!$A1377)</f>
        <v>0</v>
      </c>
      <c r="B1377">
        <f>IF(Data!$B1377="","",Data!$B1377)</f>
        <v>0</v>
      </c>
      <c r="C1377">
        <f>IF(Data!$C1377="","",Data!$C1377)</f>
        <v>0</v>
      </c>
      <c r="D1377">
        <f>IF(Data!$D1377="","",Data!$D1377)</f>
        <v>0</v>
      </c>
      <c r="E1377">
        <f>IF(Data!$E1377="","",Data!$E1377)</f>
        <v>0</v>
      </c>
      <c r="F1377">
        <f>IF($E1377="","",N(F1376)+1)</f>
        <v>0</v>
      </c>
      <c r="G1377">
        <f>IF(OR($E1377="",$E1376=""),"",LN($E1377/$E1376))</f>
        <v>0</v>
      </c>
      <c r="H1377">
        <f>IF($E1377="","",IF($E1376="",$E1377,$E1377*0.0952380952+H1376*0.9047619048))</f>
        <v>0</v>
      </c>
      <c r="I1377">
        <f>IF($E1377="","",IF($E1376="",$E1377,$E1377*0.0392156863+I1376*0.9607843137))</f>
        <v>0</v>
      </c>
      <c r="J1377">
        <f>IF($E1377="","",IF($E1376="",$E1377,$E1377*0.0198019802+J1376*0.9801980198))</f>
        <v>0</v>
      </c>
      <c r="K1377">
        <f>IF($E1377="","",IF($E1376="",$E1377,$E1377*0.0099502488+K1376*0.9900497512))</f>
        <v>0</v>
      </c>
      <c r="L1377">
        <f>IF(OR($E1377="",$E1376=""),"",MAX($E1377-$E1376,0))</f>
        <v>0</v>
      </c>
      <c r="M1377">
        <f>IF(OR($E1377="",$E1376=""),"",MAX($E1376-$E1377,0))</f>
        <v>0</v>
      </c>
      <c r="N1377">
        <f>IF(COUNT($E$2:$E1377)&lt;15,"",IF(AVERAGE($M$1364:$M$1377)=0,100,100-100/(1+AVERAGE($L$1364:$L$1377)/AVERAGE($M$1364:$M$1377))))</f>
        <v>0</v>
      </c>
      <c r="O1377">
        <f>IF($E1377="","",IF($E1376="",$E1377,$E1377*0.1538461538+O1376*0.8461538462))</f>
        <v>0</v>
      </c>
      <c r="P1377">
        <f>IF($E1377="","",IF($E1376="",$E1377,$E1377*0.0740740741+P1376*0.9259259259))</f>
        <v>0</v>
      </c>
      <c r="Q1377">
        <f>IF(OR(O1377="",P1377=""),"",O1377-P1377)</f>
        <v>0</v>
      </c>
      <c r="R1377">
        <f>IF(Q1377="","",IF(R1376="",Q1377,Q1377*0.2000000000+R1376*0.8000000000))</f>
        <v>0</v>
      </c>
      <c r="S1377">
        <f>IF(OR(Q1377="",R1377=""),"",Q1377-R1377)</f>
        <v>0</v>
      </c>
      <c r="T1377">
        <f>IF(COUNT($E$2:$E1377)&lt;14,"",MAX($C$1364:$C$1377))</f>
        <v>0</v>
      </c>
      <c r="U1377">
        <f>IF(COUNT($E$2:$E1377)&lt;14,"",MIN($D$1364:$D$1377))</f>
        <v>0</v>
      </c>
      <c r="V1377">
        <f>IF(OR(T1377="",U1377="",T1377=U1377),"",100*($E1377-U1377)/(T1377-U1377))</f>
        <v>0</v>
      </c>
      <c r="W1377">
        <f>IF(COUNT($V$1375:$V$1377)&lt;3,"",AVERAGE($V$1375:$V$1377))</f>
        <v>0</v>
      </c>
      <c r="X1377">
        <f>IF(COUNT($N$1364:$N$1377)&lt;14,"",MIN($N$1364:$N$1377))</f>
        <v>0</v>
      </c>
      <c r="Y1377">
        <f>IF(COUNT($N$1364:$N$1377)&lt;14,"",MAX($N$1364:$N$1377))</f>
        <v>0</v>
      </c>
      <c r="Z1377">
        <f>IF(OR(N1377="",X1377="",Y1377="",Y1377=X1377),"",100*(N1377-X1377)/(Y1377-X1377))</f>
        <v>0</v>
      </c>
      <c r="AA1377">
        <f>IF(COUNT($Z$1375:$Z$1377)&lt;3,"",AVERAGE($Z$1375:$Z$1377))</f>
        <v>0</v>
      </c>
      <c r="AB1377">
        <f>IF(COUNT($AA$1375:$AA$1377)&lt;3,"",AVERAGE($AA$1375:$AA$1377))</f>
        <v>0</v>
      </c>
      <c r="AC1377">
        <f>IF($E1377="","",MAX($C1377-$D1377,ABS($C1377-$E1376),ABS($D1377-$E1376)))</f>
        <v>0</v>
      </c>
      <c r="AD1377">
        <f>IF(COUNT($E$2:$E1377)&lt;15,"",AVERAGE($AC$1364:$AC$1377))</f>
        <v>0</v>
      </c>
      <c r="AE1377">
        <f>IF(OR($E1377="",$E1376=""),"",IF(AND(($C1377-$C1376)&gt;($D1376-$D1377),($C1377-$C1376)&gt;0),$C1377-$C1376,0))</f>
        <v>0</v>
      </c>
      <c r="AF1377">
        <f>IF(OR($E1377="",$E1376=""),"",IF(AND(($D1376-$D1377)&gt;($C1377-$C1376),($D1376-$D1377)&gt;0),$D1376-$D1377,0))</f>
        <v>0</v>
      </c>
      <c r="AG1377">
        <f>IF(COUNT($E$2:$E1377)&lt;15,"",IF(SUM($AC$1364:$AC$1377)=0,0,100*SUM($AE$1364:$AE$1377)/SUM($AC$1364:$AC$1377)))</f>
        <v>0</v>
      </c>
      <c r="AH1377">
        <f>IF(COUNT($E$2:$E1377)&lt;15,"",IF(SUM($AC$1364:$AC$1377)=0,0,100*SUM($AF$1364:$AF$1377)/SUM($AC$1364:$AC$1377)))</f>
        <v>0</v>
      </c>
      <c r="AI1377">
        <f>IF(OR(AG1377="",AH1377=""),"",IF((AG1377+AH1377)=0,0,100*ABS(AG1377-AH1377)/(AG1377+AH1377)))</f>
        <v>0</v>
      </c>
      <c r="AJ1377">
        <f>IF(COUNT($AI$1364:$AI$1377)&lt;14,"",AVERAGE($AI$1364:$AI$1377))</f>
        <v>0</v>
      </c>
      <c r="AK1377">
        <f>IF(COUNT($E$2:$E1377)&lt;20,"",AVERAGE($E$1358:$E$1377))</f>
        <v>0</v>
      </c>
      <c r="AL1377">
        <f>IF(COUNT($E$2:$E1377)&lt;20,"",STDEVP($E$1358:$E$1377))</f>
        <v>0</v>
      </c>
      <c r="AM1377">
        <f>IF(AK1377="","",AK1377+2*AL1377)</f>
        <v>0</v>
      </c>
      <c r="AN1377">
        <f>IF(AK1377="","",AK1377-2*AL1377)</f>
        <v>0</v>
      </c>
      <c r="AO1377">
        <f>IF(OR(AM1377="",AN1377="",AM1377=AN1377),"",($E1377-AN1377)/(AM1377-AN1377))</f>
        <v>0</v>
      </c>
      <c r="AP1377">
        <f>IF(OR(AM1377="",AK1377="",AK1377=0),"",(AM1377-AN1377)/AK1377)</f>
        <v>0</v>
      </c>
      <c r="AQ1377">
        <f>IF(COUNT($E$2:$E1377)&lt;20,"",MAX($C$1358:$C$1377))</f>
        <v>0</v>
      </c>
      <c r="AR1377">
        <f>IF(COUNT($E$2:$E1377)&lt;20,"",MIN($D$1358:$D$1377))</f>
        <v>0</v>
      </c>
      <c r="AS1377">
        <f>IF(OR(AQ1377="",AR1377=""),"",(AQ1377+AR1377)/2)</f>
        <v>0</v>
      </c>
      <c r="AT1377">
        <f>IF(COUNT($G$1358:$G$1377)&lt;20,"",STDEV($G$1358:$G$1377)*SQRT(252))</f>
        <v>0</v>
      </c>
      <c r="AU1377">
        <f>IF(COUNT($E$2:$E1377)&lt;9,"",(MAX($C$1369:$C$1377)+MIN($D$1369:$D$1377))/2)</f>
        <v>0</v>
      </c>
      <c r="AV1377">
        <f>IF(COUNT($E$2:$E1377)&lt;26,"",(MAX($C$1352:$C$1377)+MIN($D$1352:$D$1377))/2)</f>
        <v>0</v>
      </c>
      <c r="AW1377">
        <f>IF(OR(AU1377="",AV1377=""),"",(AU1377+AV1377)/2)</f>
        <v>0</v>
      </c>
      <c r="AX1377">
        <f>IF(COUNT($E$2:$E1377)&lt;52,"",(MAX($C$1326:$C$1377)+MIN($D$1326:$D$1377))/2)</f>
        <v>0</v>
      </c>
      <c r="AY1377">
        <f>IF(COUNT($E$2:$E1377)&lt;20,"",MAX($C$1278:$C$1377))</f>
        <v>0</v>
      </c>
      <c r="AZ1377">
        <f>IF(COUNT($E$2:$E1377)&lt;20,"",MIN($D$1278:$D$1377))</f>
        <v>0</v>
      </c>
      <c r="BA1377">
        <f>IF(COUNT($E$2:$E1377)&lt;20,"",SLOPE($E$1278:$E$1377,$F$1278:$F$1377))</f>
        <v>0</v>
      </c>
      <c r="BB1377">
        <f>IF(COUNT($E$2:$E1377)&lt;20,"",INTERCEPT($E$1278:$E$1377,$F$1278:$F$1377))</f>
        <v>0</v>
      </c>
      <c r="BC1377">
        <f>IF(OR(BA1377="",BB1377=""),"",BB1377+BA1377*F1377)</f>
        <v>0</v>
      </c>
      <c r="BD1377">
        <f>IF(COUNT($E$2:$E1377)&lt;20,"",STEYX($E$1278:$E$1377,$F$1278:$F$1377))</f>
        <v>0</v>
      </c>
      <c r="BE1377">
        <f>IF($E1377="","",IF(AND(COUNT($E$1378:$E$1381)&gt;=4,$C1377=MAX($C$1373:$C$1381)),$C1377,""))</f>
        <v>0</v>
      </c>
      <c r="BF1377">
        <f>IF($E1377="","",IF(AND(COUNT($E$1378:$E$1381)&gt;=4,$D1377=MIN($D$1373:$D$1381)),$D1377,""))</f>
        <v>0</v>
      </c>
      <c r="BG1377">
        <f>IF($A1377="","",$A1377-WEEKDAY($A1377,2)+1)</f>
        <v>0</v>
      </c>
      <c r="BH1377">
        <f>IF($A1377="","",IF($A1376="",1,IF(BG1377&lt;&gt;BG1376,1,0)))</f>
        <v>0</v>
      </c>
      <c r="BI1377">
        <f>IF($A1377="","",IF($A1378="",1,IF(BG1378&lt;&gt;BG1377,1,0)))</f>
        <v>0</v>
      </c>
      <c r="BJ1377">
        <f>IF($A1377="","",IF(BH1377=1,$B1377,BJ1376))</f>
        <v>0</v>
      </c>
      <c r="BK1377">
        <f>IF($A1377="","",IF(BH1377=1,$C1377,MAX($C1377,BK1376)))</f>
        <v>0</v>
      </c>
      <c r="BL1377">
        <f>IF($A1377="","",IF(BH1377=1,$D1377,MIN($D1377,BL1376)))</f>
        <v>0</v>
      </c>
      <c r="BM1377">
        <f>IF($A1377="","",IF(BI1377=1,F1377,""))</f>
        <v>0</v>
      </c>
      <c r="BN1377">
        <f>IF($A1377="","",DATE(YEAR($A1377),MONTH($A1377),1))</f>
        <v>0</v>
      </c>
      <c r="BO1377">
        <f>IF($A1377="","",IF($A1376="",1,IF(BN1377&lt;&gt;BN1376,1,0)))</f>
        <v>0</v>
      </c>
      <c r="BP1377">
        <f>IF($A1377="","",IF($A1378="",1,IF(BN1378&lt;&gt;BN1377,1,0)))</f>
        <v>0</v>
      </c>
      <c r="BQ1377">
        <f>IF($A1377="","",IF(BO1377=1,$B1377,BQ1376))</f>
        <v>0</v>
      </c>
      <c r="BR1377">
        <f>IF($A1377="","",IF(BO1377=1,$C1377,MAX($C1377,BR1376)))</f>
        <v>0</v>
      </c>
      <c r="BS1377">
        <f>IF($A1377="","",IF(BO1377=1,$D1377,MIN($D1377,BS1376)))</f>
        <v>0</v>
      </c>
      <c r="BT1377">
        <f>IF($A1377="","",IF(BP1377=1,F1377,""))</f>
        <v>0</v>
      </c>
    </row>
    <row r="1378" spans="1:72">
      <c r="A1378" s="27">
        <f>IF(Data!$A1378="","",Data!$A1378)</f>
        <v>0</v>
      </c>
      <c r="B1378">
        <f>IF(Data!$B1378="","",Data!$B1378)</f>
        <v>0</v>
      </c>
      <c r="C1378">
        <f>IF(Data!$C1378="","",Data!$C1378)</f>
        <v>0</v>
      </c>
      <c r="D1378">
        <f>IF(Data!$D1378="","",Data!$D1378)</f>
        <v>0</v>
      </c>
      <c r="E1378">
        <f>IF(Data!$E1378="","",Data!$E1378)</f>
        <v>0</v>
      </c>
      <c r="F1378">
        <f>IF($E1378="","",N(F1377)+1)</f>
        <v>0</v>
      </c>
      <c r="G1378">
        <f>IF(OR($E1378="",$E1377=""),"",LN($E1378/$E1377))</f>
        <v>0</v>
      </c>
      <c r="H1378">
        <f>IF($E1378="","",IF($E1377="",$E1378,$E1378*0.0952380952+H1377*0.9047619048))</f>
        <v>0</v>
      </c>
      <c r="I1378">
        <f>IF($E1378="","",IF($E1377="",$E1378,$E1378*0.0392156863+I1377*0.9607843137))</f>
        <v>0</v>
      </c>
      <c r="J1378">
        <f>IF($E1378="","",IF($E1377="",$E1378,$E1378*0.0198019802+J1377*0.9801980198))</f>
        <v>0</v>
      </c>
      <c r="K1378">
        <f>IF($E1378="","",IF($E1377="",$E1378,$E1378*0.0099502488+K1377*0.9900497512))</f>
        <v>0</v>
      </c>
      <c r="L1378">
        <f>IF(OR($E1378="",$E1377=""),"",MAX($E1378-$E1377,0))</f>
        <v>0</v>
      </c>
      <c r="M1378">
        <f>IF(OR($E1378="",$E1377=""),"",MAX($E1377-$E1378,0))</f>
        <v>0</v>
      </c>
      <c r="N1378">
        <f>IF(COUNT($E$2:$E1378)&lt;15,"",IF(AVERAGE($M$1365:$M$1378)=0,100,100-100/(1+AVERAGE($L$1365:$L$1378)/AVERAGE($M$1365:$M$1378))))</f>
        <v>0</v>
      </c>
      <c r="O1378">
        <f>IF($E1378="","",IF($E1377="",$E1378,$E1378*0.1538461538+O1377*0.8461538462))</f>
        <v>0</v>
      </c>
      <c r="P1378">
        <f>IF($E1378="","",IF($E1377="",$E1378,$E1378*0.0740740741+P1377*0.9259259259))</f>
        <v>0</v>
      </c>
      <c r="Q1378">
        <f>IF(OR(O1378="",P1378=""),"",O1378-P1378)</f>
        <v>0</v>
      </c>
      <c r="R1378">
        <f>IF(Q1378="","",IF(R1377="",Q1378,Q1378*0.2000000000+R1377*0.8000000000))</f>
        <v>0</v>
      </c>
      <c r="S1378">
        <f>IF(OR(Q1378="",R1378=""),"",Q1378-R1378)</f>
        <v>0</v>
      </c>
      <c r="T1378">
        <f>IF(COUNT($E$2:$E1378)&lt;14,"",MAX($C$1365:$C$1378))</f>
        <v>0</v>
      </c>
      <c r="U1378">
        <f>IF(COUNT($E$2:$E1378)&lt;14,"",MIN($D$1365:$D$1378))</f>
        <v>0</v>
      </c>
      <c r="V1378">
        <f>IF(OR(T1378="",U1378="",T1378=U1378),"",100*($E1378-U1378)/(T1378-U1378))</f>
        <v>0</v>
      </c>
      <c r="W1378">
        <f>IF(COUNT($V$1376:$V$1378)&lt;3,"",AVERAGE($V$1376:$V$1378))</f>
        <v>0</v>
      </c>
      <c r="X1378">
        <f>IF(COUNT($N$1365:$N$1378)&lt;14,"",MIN($N$1365:$N$1378))</f>
        <v>0</v>
      </c>
      <c r="Y1378">
        <f>IF(COUNT($N$1365:$N$1378)&lt;14,"",MAX($N$1365:$N$1378))</f>
        <v>0</v>
      </c>
      <c r="Z1378">
        <f>IF(OR(N1378="",X1378="",Y1378="",Y1378=X1378),"",100*(N1378-X1378)/(Y1378-X1378))</f>
        <v>0</v>
      </c>
      <c r="AA1378">
        <f>IF(COUNT($Z$1376:$Z$1378)&lt;3,"",AVERAGE($Z$1376:$Z$1378))</f>
        <v>0</v>
      </c>
      <c r="AB1378">
        <f>IF(COUNT($AA$1376:$AA$1378)&lt;3,"",AVERAGE($AA$1376:$AA$1378))</f>
        <v>0</v>
      </c>
      <c r="AC1378">
        <f>IF($E1378="","",MAX($C1378-$D1378,ABS($C1378-$E1377),ABS($D1378-$E1377)))</f>
        <v>0</v>
      </c>
      <c r="AD1378">
        <f>IF(COUNT($E$2:$E1378)&lt;15,"",AVERAGE($AC$1365:$AC$1378))</f>
        <v>0</v>
      </c>
      <c r="AE1378">
        <f>IF(OR($E1378="",$E1377=""),"",IF(AND(($C1378-$C1377)&gt;($D1377-$D1378),($C1378-$C1377)&gt;0),$C1378-$C1377,0))</f>
        <v>0</v>
      </c>
      <c r="AF1378">
        <f>IF(OR($E1378="",$E1377=""),"",IF(AND(($D1377-$D1378)&gt;($C1378-$C1377),($D1377-$D1378)&gt;0),$D1377-$D1378,0))</f>
        <v>0</v>
      </c>
      <c r="AG1378">
        <f>IF(COUNT($E$2:$E1378)&lt;15,"",IF(SUM($AC$1365:$AC$1378)=0,0,100*SUM($AE$1365:$AE$1378)/SUM($AC$1365:$AC$1378)))</f>
        <v>0</v>
      </c>
      <c r="AH1378">
        <f>IF(COUNT($E$2:$E1378)&lt;15,"",IF(SUM($AC$1365:$AC$1378)=0,0,100*SUM($AF$1365:$AF$1378)/SUM($AC$1365:$AC$1378)))</f>
        <v>0</v>
      </c>
      <c r="AI1378">
        <f>IF(OR(AG1378="",AH1378=""),"",IF((AG1378+AH1378)=0,0,100*ABS(AG1378-AH1378)/(AG1378+AH1378)))</f>
        <v>0</v>
      </c>
      <c r="AJ1378">
        <f>IF(COUNT($AI$1365:$AI$1378)&lt;14,"",AVERAGE($AI$1365:$AI$1378))</f>
        <v>0</v>
      </c>
      <c r="AK1378">
        <f>IF(COUNT($E$2:$E1378)&lt;20,"",AVERAGE($E$1359:$E$1378))</f>
        <v>0</v>
      </c>
      <c r="AL1378">
        <f>IF(COUNT($E$2:$E1378)&lt;20,"",STDEVP($E$1359:$E$1378))</f>
        <v>0</v>
      </c>
      <c r="AM1378">
        <f>IF(AK1378="","",AK1378+2*AL1378)</f>
        <v>0</v>
      </c>
      <c r="AN1378">
        <f>IF(AK1378="","",AK1378-2*AL1378)</f>
        <v>0</v>
      </c>
      <c r="AO1378">
        <f>IF(OR(AM1378="",AN1378="",AM1378=AN1378),"",($E1378-AN1378)/(AM1378-AN1378))</f>
        <v>0</v>
      </c>
      <c r="AP1378">
        <f>IF(OR(AM1378="",AK1378="",AK1378=0),"",(AM1378-AN1378)/AK1378)</f>
        <v>0</v>
      </c>
      <c r="AQ1378">
        <f>IF(COUNT($E$2:$E1378)&lt;20,"",MAX($C$1359:$C$1378))</f>
        <v>0</v>
      </c>
      <c r="AR1378">
        <f>IF(COUNT($E$2:$E1378)&lt;20,"",MIN($D$1359:$D$1378))</f>
        <v>0</v>
      </c>
      <c r="AS1378">
        <f>IF(OR(AQ1378="",AR1378=""),"",(AQ1378+AR1378)/2)</f>
        <v>0</v>
      </c>
      <c r="AT1378">
        <f>IF(COUNT($G$1359:$G$1378)&lt;20,"",STDEV($G$1359:$G$1378)*SQRT(252))</f>
        <v>0</v>
      </c>
      <c r="AU1378">
        <f>IF(COUNT($E$2:$E1378)&lt;9,"",(MAX($C$1370:$C$1378)+MIN($D$1370:$D$1378))/2)</f>
        <v>0</v>
      </c>
      <c r="AV1378">
        <f>IF(COUNT($E$2:$E1378)&lt;26,"",(MAX($C$1353:$C$1378)+MIN($D$1353:$D$1378))/2)</f>
        <v>0</v>
      </c>
      <c r="AW1378">
        <f>IF(OR(AU1378="",AV1378=""),"",(AU1378+AV1378)/2)</f>
        <v>0</v>
      </c>
      <c r="AX1378">
        <f>IF(COUNT($E$2:$E1378)&lt;52,"",(MAX($C$1327:$C$1378)+MIN($D$1327:$D$1378))/2)</f>
        <v>0</v>
      </c>
      <c r="AY1378">
        <f>IF(COUNT($E$2:$E1378)&lt;20,"",MAX($C$1279:$C$1378))</f>
        <v>0</v>
      </c>
      <c r="AZ1378">
        <f>IF(COUNT($E$2:$E1378)&lt;20,"",MIN($D$1279:$D$1378))</f>
        <v>0</v>
      </c>
      <c r="BA1378">
        <f>IF(COUNT($E$2:$E1378)&lt;20,"",SLOPE($E$1279:$E$1378,$F$1279:$F$1378))</f>
        <v>0</v>
      </c>
      <c r="BB1378">
        <f>IF(COUNT($E$2:$E1378)&lt;20,"",INTERCEPT($E$1279:$E$1378,$F$1279:$F$1378))</f>
        <v>0</v>
      </c>
      <c r="BC1378">
        <f>IF(OR(BA1378="",BB1378=""),"",BB1378+BA1378*F1378)</f>
        <v>0</v>
      </c>
      <c r="BD1378">
        <f>IF(COUNT($E$2:$E1378)&lt;20,"",STEYX($E$1279:$E$1378,$F$1279:$F$1378))</f>
        <v>0</v>
      </c>
      <c r="BE1378">
        <f>IF($E1378="","",IF(AND(COUNT($E$1379:$E$1382)&gt;=4,$C1378=MAX($C$1374:$C$1382)),$C1378,""))</f>
        <v>0</v>
      </c>
      <c r="BF1378">
        <f>IF($E1378="","",IF(AND(COUNT($E$1379:$E$1382)&gt;=4,$D1378=MIN($D$1374:$D$1382)),$D1378,""))</f>
        <v>0</v>
      </c>
      <c r="BG1378">
        <f>IF($A1378="","",$A1378-WEEKDAY($A1378,2)+1)</f>
        <v>0</v>
      </c>
      <c r="BH1378">
        <f>IF($A1378="","",IF($A1377="",1,IF(BG1378&lt;&gt;BG1377,1,0)))</f>
        <v>0</v>
      </c>
      <c r="BI1378">
        <f>IF($A1378="","",IF($A1379="",1,IF(BG1379&lt;&gt;BG1378,1,0)))</f>
        <v>0</v>
      </c>
      <c r="BJ1378">
        <f>IF($A1378="","",IF(BH1378=1,$B1378,BJ1377))</f>
        <v>0</v>
      </c>
      <c r="BK1378">
        <f>IF($A1378="","",IF(BH1378=1,$C1378,MAX($C1378,BK1377)))</f>
        <v>0</v>
      </c>
      <c r="BL1378">
        <f>IF($A1378="","",IF(BH1378=1,$D1378,MIN($D1378,BL1377)))</f>
        <v>0</v>
      </c>
      <c r="BM1378">
        <f>IF($A1378="","",IF(BI1378=1,F1378,""))</f>
        <v>0</v>
      </c>
      <c r="BN1378">
        <f>IF($A1378="","",DATE(YEAR($A1378),MONTH($A1378),1))</f>
        <v>0</v>
      </c>
      <c r="BO1378">
        <f>IF($A1378="","",IF($A1377="",1,IF(BN1378&lt;&gt;BN1377,1,0)))</f>
        <v>0</v>
      </c>
      <c r="BP1378">
        <f>IF($A1378="","",IF($A1379="",1,IF(BN1379&lt;&gt;BN1378,1,0)))</f>
        <v>0</v>
      </c>
      <c r="BQ1378">
        <f>IF($A1378="","",IF(BO1378=1,$B1378,BQ1377))</f>
        <v>0</v>
      </c>
      <c r="BR1378">
        <f>IF($A1378="","",IF(BO1378=1,$C1378,MAX($C1378,BR1377)))</f>
        <v>0</v>
      </c>
      <c r="BS1378">
        <f>IF($A1378="","",IF(BO1378=1,$D1378,MIN($D1378,BS1377)))</f>
        <v>0</v>
      </c>
      <c r="BT1378">
        <f>IF($A1378="","",IF(BP1378=1,F1378,""))</f>
        <v>0</v>
      </c>
    </row>
    <row r="1379" spans="1:72">
      <c r="A1379" s="27">
        <f>IF(Data!$A1379="","",Data!$A1379)</f>
        <v>0</v>
      </c>
      <c r="B1379">
        <f>IF(Data!$B1379="","",Data!$B1379)</f>
        <v>0</v>
      </c>
      <c r="C1379">
        <f>IF(Data!$C1379="","",Data!$C1379)</f>
        <v>0</v>
      </c>
      <c r="D1379">
        <f>IF(Data!$D1379="","",Data!$D1379)</f>
        <v>0</v>
      </c>
      <c r="E1379">
        <f>IF(Data!$E1379="","",Data!$E1379)</f>
        <v>0</v>
      </c>
      <c r="F1379">
        <f>IF($E1379="","",N(F1378)+1)</f>
        <v>0</v>
      </c>
      <c r="G1379">
        <f>IF(OR($E1379="",$E1378=""),"",LN($E1379/$E1378))</f>
        <v>0</v>
      </c>
      <c r="H1379">
        <f>IF($E1379="","",IF($E1378="",$E1379,$E1379*0.0952380952+H1378*0.9047619048))</f>
        <v>0</v>
      </c>
      <c r="I1379">
        <f>IF($E1379="","",IF($E1378="",$E1379,$E1379*0.0392156863+I1378*0.9607843137))</f>
        <v>0</v>
      </c>
      <c r="J1379">
        <f>IF($E1379="","",IF($E1378="",$E1379,$E1379*0.0198019802+J1378*0.9801980198))</f>
        <v>0</v>
      </c>
      <c r="K1379">
        <f>IF($E1379="","",IF($E1378="",$E1379,$E1379*0.0099502488+K1378*0.9900497512))</f>
        <v>0</v>
      </c>
      <c r="L1379">
        <f>IF(OR($E1379="",$E1378=""),"",MAX($E1379-$E1378,0))</f>
        <v>0</v>
      </c>
      <c r="M1379">
        <f>IF(OR($E1379="",$E1378=""),"",MAX($E1378-$E1379,0))</f>
        <v>0</v>
      </c>
      <c r="N1379">
        <f>IF(COUNT($E$2:$E1379)&lt;15,"",IF(AVERAGE($M$1366:$M$1379)=0,100,100-100/(1+AVERAGE($L$1366:$L$1379)/AVERAGE($M$1366:$M$1379))))</f>
        <v>0</v>
      </c>
      <c r="O1379">
        <f>IF($E1379="","",IF($E1378="",$E1379,$E1379*0.1538461538+O1378*0.8461538462))</f>
        <v>0</v>
      </c>
      <c r="P1379">
        <f>IF($E1379="","",IF($E1378="",$E1379,$E1379*0.0740740741+P1378*0.9259259259))</f>
        <v>0</v>
      </c>
      <c r="Q1379">
        <f>IF(OR(O1379="",P1379=""),"",O1379-P1379)</f>
        <v>0</v>
      </c>
      <c r="R1379">
        <f>IF(Q1379="","",IF(R1378="",Q1379,Q1379*0.2000000000+R1378*0.8000000000))</f>
        <v>0</v>
      </c>
      <c r="S1379">
        <f>IF(OR(Q1379="",R1379=""),"",Q1379-R1379)</f>
        <v>0</v>
      </c>
      <c r="T1379">
        <f>IF(COUNT($E$2:$E1379)&lt;14,"",MAX($C$1366:$C$1379))</f>
        <v>0</v>
      </c>
      <c r="U1379">
        <f>IF(COUNT($E$2:$E1379)&lt;14,"",MIN($D$1366:$D$1379))</f>
        <v>0</v>
      </c>
      <c r="V1379">
        <f>IF(OR(T1379="",U1379="",T1379=U1379),"",100*($E1379-U1379)/(T1379-U1379))</f>
        <v>0</v>
      </c>
      <c r="W1379">
        <f>IF(COUNT($V$1377:$V$1379)&lt;3,"",AVERAGE($V$1377:$V$1379))</f>
        <v>0</v>
      </c>
      <c r="X1379">
        <f>IF(COUNT($N$1366:$N$1379)&lt;14,"",MIN($N$1366:$N$1379))</f>
        <v>0</v>
      </c>
      <c r="Y1379">
        <f>IF(COUNT($N$1366:$N$1379)&lt;14,"",MAX($N$1366:$N$1379))</f>
        <v>0</v>
      </c>
      <c r="Z1379">
        <f>IF(OR(N1379="",X1379="",Y1379="",Y1379=X1379),"",100*(N1379-X1379)/(Y1379-X1379))</f>
        <v>0</v>
      </c>
      <c r="AA1379">
        <f>IF(COUNT($Z$1377:$Z$1379)&lt;3,"",AVERAGE($Z$1377:$Z$1379))</f>
        <v>0</v>
      </c>
      <c r="AB1379">
        <f>IF(COUNT($AA$1377:$AA$1379)&lt;3,"",AVERAGE($AA$1377:$AA$1379))</f>
        <v>0</v>
      </c>
      <c r="AC1379">
        <f>IF($E1379="","",MAX($C1379-$D1379,ABS($C1379-$E1378),ABS($D1379-$E1378)))</f>
        <v>0</v>
      </c>
      <c r="AD1379">
        <f>IF(COUNT($E$2:$E1379)&lt;15,"",AVERAGE($AC$1366:$AC$1379))</f>
        <v>0</v>
      </c>
      <c r="AE1379">
        <f>IF(OR($E1379="",$E1378=""),"",IF(AND(($C1379-$C1378)&gt;($D1378-$D1379),($C1379-$C1378)&gt;0),$C1379-$C1378,0))</f>
        <v>0</v>
      </c>
      <c r="AF1379">
        <f>IF(OR($E1379="",$E1378=""),"",IF(AND(($D1378-$D1379)&gt;($C1379-$C1378),($D1378-$D1379)&gt;0),$D1378-$D1379,0))</f>
        <v>0</v>
      </c>
      <c r="AG1379">
        <f>IF(COUNT($E$2:$E1379)&lt;15,"",IF(SUM($AC$1366:$AC$1379)=0,0,100*SUM($AE$1366:$AE$1379)/SUM($AC$1366:$AC$1379)))</f>
        <v>0</v>
      </c>
      <c r="AH1379">
        <f>IF(COUNT($E$2:$E1379)&lt;15,"",IF(SUM($AC$1366:$AC$1379)=0,0,100*SUM($AF$1366:$AF$1379)/SUM($AC$1366:$AC$1379)))</f>
        <v>0</v>
      </c>
      <c r="AI1379">
        <f>IF(OR(AG1379="",AH1379=""),"",IF((AG1379+AH1379)=0,0,100*ABS(AG1379-AH1379)/(AG1379+AH1379)))</f>
        <v>0</v>
      </c>
      <c r="AJ1379">
        <f>IF(COUNT($AI$1366:$AI$1379)&lt;14,"",AVERAGE($AI$1366:$AI$1379))</f>
        <v>0</v>
      </c>
      <c r="AK1379">
        <f>IF(COUNT($E$2:$E1379)&lt;20,"",AVERAGE($E$1360:$E$1379))</f>
        <v>0</v>
      </c>
      <c r="AL1379">
        <f>IF(COUNT($E$2:$E1379)&lt;20,"",STDEVP($E$1360:$E$1379))</f>
        <v>0</v>
      </c>
      <c r="AM1379">
        <f>IF(AK1379="","",AK1379+2*AL1379)</f>
        <v>0</v>
      </c>
      <c r="AN1379">
        <f>IF(AK1379="","",AK1379-2*AL1379)</f>
        <v>0</v>
      </c>
      <c r="AO1379">
        <f>IF(OR(AM1379="",AN1379="",AM1379=AN1379),"",($E1379-AN1379)/(AM1379-AN1379))</f>
        <v>0</v>
      </c>
      <c r="AP1379">
        <f>IF(OR(AM1379="",AK1379="",AK1379=0),"",(AM1379-AN1379)/AK1379)</f>
        <v>0</v>
      </c>
      <c r="AQ1379">
        <f>IF(COUNT($E$2:$E1379)&lt;20,"",MAX($C$1360:$C$1379))</f>
        <v>0</v>
      </c>
      <c r="AR1379">
        <f>IF(COUNT($E$2:$E1379)&lt;20,"",MIN($D$1360:$D$1379))</f>
        <v>0</v>
      </c>
      <c r="AS1379">
        <f>IF(OR(AQ1379="",AR1379=""),"",(AQ1379+AR1379)/2)</f>
        <v>0</v>
      </c>
      <c r="AT1379">
        <f>IF(COUNT($G$1360:$G$1379)&lt;20,"",STDEV($G$1360:$G$1379)*SQRT(252))</f>
        <v>0</v>
      </c>
      <c r="AU1379">
        <f>IF(COUNT($E$2:$E1379)&lt;9,"",(MAX($C$1371:$C$1379)+MIN($D$1371:$D$1379))/2)</f>
        <v>0</v>
      </c>
      <c r="AV1379">
        <f>IF(COUNT($E$2:$E1379)&lt;26,"",(MAX($C$1354:$C$1379)+MIN($D$1354:$D$1379))/2)</f>
        <v>0</v>
      </c>
      <c r="AW1379">
        <f>IF(OR(AU1379="",AV1379=""),"",(AU1379+AV1379)/2)</f>
        <v>0</v>
      </c>
      <c r="AX1379">
        <f>IF(COUNT($E$2:$E1379)&lt;52,"",(MAX($C$1328:$C$1379)+MIN($D$1328:$D$1379))/2)</f>
        <v>0</v>
      </c>
      <c r="AY1379">
        <f>IF(COUNT($E$2:$E1379)&lt;20,"",MAX($C$1280:$C$1379))</f>
        <v>0</v>
      </c>
      <c r="AZ1379">
        <f>IF(COUNT($E$2:$E1379)&lt;20,"",MIN($D$1280:$D$1379))</f>
        <v>0</v>
      </c>
      <c r="BA1379">
        <f>IF(COUNT($E$2:$E1379)&lt;20,"",SLOPE($E$1280:$E$1379,$F$1280:$F$1379))</f>
        <v>0</v>
      </c>
      <c r="BB1379">
        <f>IF(COUNT($E$2:$E1379)&lt;20,"",INTERCEPT($E$1280:$E$1379,$F$1280:$F$1379))</f>
        <v>0</v>
      </c>
      <c r="BC1379">
        <f>IF(OR(BA1379="",BB1379=""),"",BB1379+BA1379*F1379)</f>
        <v>0</v>
      </c>
      <c r="BD1379">
        <f>IF(COUNT($E$2:$E1379)&lt;20,"",STEYX($E$1280:$E$1379,$F$1280:$F$1379))</f>
        <v>0</v>
      </c>
      <c r="BE1379">
        <f>IF($E1379="","",IF(AND(COUNT($E$1380:$E$1383)&gt;=4,$C1379=MAX($C$1375:$C$1383)),$C1379,""))</f>
        <v>0</v>
      </c>
      <c r="BF1379">
        <f>IF($E1379="","",IF(AND(COUNT($E$1380:$E$1383)&gt;=4,$D1379=MIN($D$1375:$D$1383)),$D1379,""))</f>
        <v>0</v>
      </c>
      <c r="BG1379">
        <f>IF($A1379="","",$A1379-WEEKDAY($A1379,2)+1)</f>
        <v>0</v>
      </c>
      <c r="BH1379">
        <f>IF($A1379="","",IF($A1378="",1,IF(BG1379&lt;&gt;BG1378,1,0)))</f>
        <v>0</v>
      </c>
      <c r="BI1379">
        <f>IF($A1379="","",IF($A1380="",1,IF(BG1380&lt;&gt;BG1379,1,0)))</f>
        <v>0</v>
      </c>
      <c r="BJ1379">
        <f>IF($A1379="","",IF(BH1379=1,$B1379,BJ1378))</f>
        <v>0</v>
      </c>
      <c r="BK1379">
        <f>IF($A1379="","",IF(BH1379=1,$C1379,MAX($C1379,BK1378)))</f>
        <v>0</v>
      </c>
      <c r="BL1379">
        <f>IF($A1379="","",IF(BH1379=1,$D1379,MIN($D1379,BL1378)))</f>
        <v>0</v>
      </c>
      <c r="BM1379">
        <f>IF($A1379="","",IF(BI1379=1,F1379,""))</f>
        <v>0</v>
      </c>
      <c r="BN1379">
        <f>IF($A1379="","",DATE(YEAR($A1379),MONTH($A1379),1))</f>
        <v>0</v>
      </c>
      <c r="BO1379">
        <f>IF($A1379="","",IF($A1378="",1,IF(BN1379&lt;&gt;BN1378,1,0)))</f>
        <v>0</v>
      </c>
      <c r="BP1379">
        <f>IF($A1379="","",IF($A1380="",1,IF(BN1380&lt;&gt;BN1379,1,0)))</f>
        <v>0</v>
      </c>
      <c r="BQ1379">
        <f>IF($A1379="","",IF(BO1379=1,$B1379,BQ1378))</f>
        <v>0</v>
      </c>
      <c r="BR1379">
        <f>IF($A1379="","",IF(BO1379=1,$C1379,MAX($C1379,BR1378)))</f>
        <v>0</v>
      </c>
      <c r="BS1379">
        <f>IF($A1379="","",IF(BO1379=1,$D1379,MIN($D1379,BS1378)))</f>
        <v>0</v>
      </c>
      <c r="BT1379">
        <f>IF($A1379="","",IF(BP1379=1,F1379,""))</f>
        <v>0</v>
      </c>
    </row>
    <row r="1380" spans="1:72">
      <c r="A1380" s="27">
        <f>IF(Data!$A1380="","",Data!$A1380)</f>
        <v>0</v>
      </c>
      <c r="B1380">
        <f>IF(Data!$B1380="","",Data!$B1380)</f>
        <v>0</v>
      </c>
      <c r="C1380">
        <f>IF(Data!$C1380="","",Data!$C1380)</f>
        <v>0</v>
      </c>
      <c r="D1380">
        <f>IF(Data!$D1380="","",Data!$D1380)</f>
        <v>0</v>
      </c>
      <c r="E1380">
        <f>IF(Data!$E1380="","",Data!$E1380)</f>
        <v>0</v>
      </c>
      <c r="F1380">
        <f>IF($E1380="","",N(F1379)+1)</f>
        <v>0</v>
      </c>
      <c r="G1380">
        <f>IF(OR($E1380="",$E1379=""),"",LN($E1380/$E1379))</f>
        <v>0</v>
      </c>
      <c r="H1380">
        <f>IF($E1380="","",IF($E1379="",$E1380,$E1380*0.0952380952+H1379*0.9047619048))</f>
        <v>0</v>
      </c>
      <c r="I1380">
        <f>IF($E1380="","",IF($E1379="",$E1380,$E1380*0.0392156863+I1379*0.9607843137))</f>
        <v>0</v>
      </c>
      <c r="J1380">
        <f>IF($E1380="","",IF($E1379="",$E1380,$E1380*0.0198019802+J1379*0.9801980198))</f>
        <v>0</v>
      </c>
      <c r="K1380">
        <f>IF($E1380="","",IF($E1379="",$E1380,$E1380*0.0099502488+K1379*0.9900497512))</f>
        <v>0</v>
      </c>
      <c r="L1380">
        <f>IF(OR($E1380="",$E1379=""),"",MAX($E1380-$E1379,0))</f>
        <v>0</v>
      </c>
      <c r="M1380">
        <f>IF(OR($E1380="",$E1379=""),"",MAX($E1379-$E1380,0))</f>
        <v>0</v>
      </c>
      <c r="N1380">
        <f>IF(COUNT($E$2:$E1380)&lt;15,"",IF(AVERAGE($M$1367:$M$1380)=0,100,100-100/(1+AVERAGE($L$1367:$L$1380)/AVERAGE($M$1367:$M$1380))))</f>
        <v>0</v>
      </c>
      <c r="O1380">
        <f>IF($E1380="","",IF($E1379="",$E1380,$E1380*0.1538461538+O1379*0.8461538462))</f>
        <v>0</v>
      </c>
      <c r="P1380">
        <f>IF($E1380="","",IF($E1379="",$E1380,$E1380*0.0740740741+P1379*0.9259259259))</f>
        <v>0</v>
      </c>
      <c r="Q1380">
        <f>IF(OR(O1380="",P1380=""),"",O1380-P1380)</f>
        <v>0</v>
      </c>
      <c r="R1380">
        <f>IF(Q1380="","",IF(R1379="",Q1380,Q1380*0.2000000000+R1379*0.8000000000))</f>
        <v>0</v>
      </c>
      <c r="S1380">
        <f>IF(OR(Q1380="",R1380=""),"",Q1380-R1380)</f>
        <v>0</v>
      </c>
      <c r="T1380">
        <f>IF(COUNT($E$2:$E1380)&lt;14,"",MAX($C$1367:$C$1380))</f>
        <v>0</v>
      </c>
      <c r="U1380">
        <f>IF(COUNT($E$2:$E1380)&lt;14,"",MIN($D$1367:$D$1380))</f>
        <v>0</v>
      </c>
      <c r="V1380">
        <f>IF(OR(T1380="",U1380="",T1380=U1380),"",100*($E1380-U1380)/(T1380-U1380))</f>
        <v>0</v>
      </c>
      <c r="W1380">
        <f>IF(COUNT($V$1378:$V$1380)&lt;3,"",AVERAGE($V$1378:$V$1380))</f>
        <v>0</v>
      </c>
      <c r="X1380">
        <f>IF(COUNT($N$1367:$N$1380)&lt;14,"",MIN($N$1367:$N$1380))</f>
        <v>0</v>
      </c>
      <c r="Y1380">
        <f>IF(COUNT($N$1367:$N$1380)&lt;14,"",MAX($N$1367:$N$1380))</f>
        <v>0</v>
      </c>
      <c r="Z1380">
        <f>IF(OR(N1380="",X1380="",Y1380="",Y1380=X1380),"",100*(N1380-X1380)/(Y1380-X1380))</f>
        <v>0</v>
      </c>
      <c r="AA1380">
        <f>IF(COUNT($Z$1378:$Z$1380)&lt;3,"",AVERAGE($Z$1378:$Z$1380))</f>
        <v>0</v>
      </c>
      <c r="AB1380">
        <f>IF(COUNT($AA$1378:$AA$1380)&lt;3,"",AVERAGE($AA$1378:$AA$1380))</f>
        <v>0</v>
      </c>
      <c r="AC1380">
        <f>IF($E1380="","",MAX($C1380-$D1380,ABS($C1380-$E1379),ABS($D1380-$E1379)))</f>
        <v>0</v>
      </c>
      <c r="AD1380">
        <f>IF(COUNT($E$2:$E1380)&lt;15,"",AVERAGE($AC$1367:$AC$1380))</f>
        <v>0</v>
      </c>
      <c r="AE1380">
        <f>IF(OR($E1380="",$E1379=""),"",IF(AND(($C1380-$C1379)&gt;($D1379-$D1380),($C1380-$C1379)&gt;0),$C1380-$C1379,0))</f>
        <v>0</v>
      </c>
      <c r="AF1380">
        <f>IF(OR($E1380="",$E1379=""),"",IF(AND(($D1379-$D1380)&gt;($C1380-$C1379),($D1379-$D1380)&gt;0),$D1379-$D1380,0))</f>
        <v>0</v>
      </c>
      <c r="AG1380">
        <f>IF(COUNT($E$2:$E1380)&lt;15,"",IF(SUM($AC$1367:$AC$1380)=0,0,100*SUM($AE$1367:$AE$1380)/SUM($AC$1367:$AC$1380)))</f>
        <v>0</v>
      </c>
      <c r="AH1380">
        <f>IF(COUNT($E$2:$E1380)&lt;15,"",IF(SUM($AC$1367:$AC$1380)=0,0,100*SUM($AF$1367:$AF$1380)/SUM($AC$1367:$AC$1380)))</f>
        <v>0</v>
      </c>
      <c r="AI1380">
        <f>IF(OR(AG1380="",AH1380=""),"",IF((AG1380+AH1380)=0,0,100*ABS(AG1380-AH1380)/(AG1380+AH1380)))</f>
        <v>0</v>
      </c>
      <c r="AJ1380">
        <f>IF(COUNT($AI$1367:$AI$1380)&lt;14,"",AVERAGE($AI$1367:$AI$1380))</f>
        <v>0</v>
      </c>
      <c r="AK1380">
        <f>IF(COUNT($E$2:$E1380)&lt;20,"",AVERAGE($E$1361:$E$1380))</f>
        <v>0</v>
      </c>
      <c r="AL1380">
        <f>IF(COUNT($E$2:$E1380)&lt;20,"",STDEVP($E$1361:$E$1380))</f>
        <v>0</v>
      </c>
      <c r="AM1380">
        <f>IF(AK1380="","",AK1380+2*AL1380)</f>
        <v>0</v>
      </c>
      <c r="AN1380">
        <f>IF(AK1380="","",AK1380-2*AL1380)</f>
        <v>0</v>
      </c>
      <c r="AO1380">
        <f>IF(OR(AM1380="",AN1380="",AM1380=AN1380),"",($E1380-AN1380)/(AM1380-AN1380))</f>
        <v>0</v>
      </c>
      <c r="AP1380">
        <f>IF(OR(AM1380="",AK1380="",AK1380=0),"",(AM1380-AN1380)/AK1380)</f>
        <v>0</v>
      </c>
      <c r="AQ1380">
        <f>IF(COUNT($E$2:$E1380)&lt;20,"",MAX($C$1361:$C$1380))</f>
        <v>0</v>
      </c>
      <c r="AR1380">
        <f>IF(COUNT($E$2:$E1380)&lt;20,"",MIN($D$1361:$D$1380))</f>
        <v>0</v>
      </c>
      <c r="AS1380">
        <f>IF(OR(AQ1380="",AR1380=""),"",(AQ1380+AR1380)/2)</f>
        <v>0</v>
      </c>
      <c r="AT1380">
        <f>IF(COUNT($G$1361:$G$1380)&lt;20,"",STDEV($G$1361:$G$1380)*SQRT(252))</f>
        <v>0</v>
      </c>
      <c r="AU1380">
        <f>IF(COUNT($E$2:$E1380)&lt;9,"",(MAX($C$1372:$C$1380)+MIN($D$1372:$D$1380))/2)</f>
        <v>0</v>
      </c>
      <c r="AV1380">
        <f>IF(COUNT($E$2:$E1380)&lt;26,"",(MAX($C$1355:$C$1380)+MIN($D$1355:$D$1380))/2)</f>
        <v>0</v>
      </c>
      <c r="AW1380">
        <f>IF(OR(AU1380="",AV1380=""),"",(AU1380+AV1380)/2)</f>
        <v>0</v>
      </c>
      <c r="AX1380">
        <f>IF(COUNT($E$2:$E1380)&lt;52,"",(MAX($C$1329:$C$1380)+MIN($D$1329:$D$1380))/2)</f>
        <v>0</v>
      </c>
      <c r="AY1380">
        <f>IF(COUNT($E$2:$E1380)&lt;20,"",MAX($C$1281:$C$1380))</f>
        <v>0</v>
      </c>
      <c r="AZ1380">
        <f>IF(COUNT($E$2:$E1380)&lt;20,"",MIN($D$1281:$D$1380))</f>
        <v>0</v>
      </c>
      <c r="BA1380">
        <f>IF(COUNT($E$2:$E1380)&lt;20,"",SLOPE($E$1281:$E$1380,$F$1281:$F$1380))</f>
        <v>0</v>
      </c>
      <c r="BB1380">
        <f>IF(COUNT($E$2:$E1380)&lt;20,"",INTERCEPT($E$1281:$E$1380,$F$1281:$F$1380))</f>
        <v>0</v>
      </c>
      <c r="BC1380">
        <f>IF(OR(BA1380="",BB1380=""),"",BB1380+BA1380*F1380)</f>
        <v>0</v>
      </c>
      <c r="BD1380">
        <f>IF(COUNT($E$2:$E1380)&lt;20,"",STEYX($E$1281:$E$1380,$F$1281:$F$1380))</f>
        <v>0</v>
      </c>
      <c r="BE1380">
        <f>IF($E1380="","",IF(AND(COUNT($E$1381:$E$1384)&gt;=4,$C1380=MAX($C$1376:$C$1384)),$C1380,""))</f>
        <v>0</v>
      </c>
      <c r="BF1380">
        <f>IF($E1380="","",IF(AND(COUNT($E$1381:$E$1384)&gt;=4,$D1380=MIN($D$1376:$D$1384)),$D1380,""))</f>
        <v>0</v>
      </c>
      <c r="BG1380">
        <f>IF($A1380="","",$A1380-WEEKDAY($A1380,2)+1)</f>
        <v>0</v>
      </c>
      <c r="BH1380">
        <f>IF($A1380="","",IF($A1379="",1,IF(BG1380&lt;&gt;BG1379,1,0)))</f>
        <v>0</v>
      </c>
      <c r="BI1380">
        <f>IF($A1380="","",IF($A1381="",1,IF(BG1381&lt;&gt;BG1380,1,0)))</f>
        <v>0</v>
      </c>
      <c r="BJ1380">
        <f>IF($A1380="","",IF(BH1380=1,$B1380,BJ1379))</f>
        <v>0</v>
      </c>
      <c r="BK1380">
        <f>IF($A1380="","",IF(BH1380=1,$C1380,MAX($C1380,BK1379)))</f>
        <v>0</v>
      </c>
      <c r="BL1380">
        <f>IF($A1380="","",IF(BH1380=1,$D1380,MIN($D1380,BL1379)))</f>
        <v>0</v>
      </c>
      <c r="BM1380">
        <f>IF($A1380="","",IF(BI1380=1,F1380,""))</f>
        <v>0</v>
      </c>
      <c r="BN1380">
        <f>IF($A1380="","",DATE(YEAR($A1380),MONTH($A1380),1))</f>
        <v>0</v>
      </c>
      <c r="BO1380">
        <f>IF($A1380="","",IF($A1379="",1,IF(BN1380&lt;&gt;BN1379,1,0)))</f>
        <v>0</v>
      </c>
      <c r="BP1380">
        <f>IF($A1380="","",IF($A1381="",1,IF(BN1381&lt;&gt;BN1380,1,0)))</f>
        <v>0</v>
      </c>
      <c r="BQ1380">
        <f>IF($A1380="","",IF(BO1380=1,$B1380,BQ1379))</f>
        <v>0</v>
      </c>
      <c r="BR1380">
        <f>IF($A1380="","",IF(BO1380=1,$C1380,MAX($C1380,BR1379)))</f>
        <v>0</v>
      </c>
      <c r="BS1380">
        <f>IF($A1380="","",IF(BO1380=1,$D1380,MIN($D1380,BS1379)))</f>
        <v>0</v>
      </c>
      <c r="BT1380">
        <f>IF($A1380="","",IF(BP1380=1,F1380,""))</f>
        <v>0</v>
      </c>
    </row>
    <row r="1381" spans="1:72">
      <c r="A1381" s="27">
        <f>IF(Data!$A1381="","",Data!$A1381)</f>
        <v>0</v>
      </c>
      <c r="B1381">
        <f>IF(Data!$B1381="","",Data!$B1381)</f>
        <v>0</v>
      </c>
      <c r="C1381">
        <f>IF(Data!$C1381="","",Data!$C1381)</f>
        <v>0</v>
      </c>
      <c r="D1381">
        <f>IF(Data!$D1381="","",Data!$D1381)</f>
        <v>0</v>
      </c>
      <c r="E1381">
        <f>IF(Data!$E1381="","",Data!$E1381)</f>
        <v>0</v>
      </c>
      <c r="F1381">
        <f>IF($E1381="","",N(F1380)+1)</f>
        <v>0</v>
      </c>
      <c r="G1381">
        <f>IF(OR($E1381="",$E1380=""),"",LN($E1381/$E1380))</f>
        <v>0</v>
      </c>
      <c r="H1381">
        <f>IF($E1381="","",IF($E1380="",$E1381,$E1381*0.0952380952+H1380*0.9047619048))</f>
        <v>0</v>
      </c>
      <c r="I1381">
        <f>IF($E1381="","",IF($E1380="",$E1381,$E1381*0.0392156863+I1380*0.9607843137))</f>
        <v>0</v>
      </c>
      <c r="J1381">
        <f>IF($E1381="","",IF($E1380="",$E1381,$E1381*0.0198019802+J1380*0.9801980198))</f>
        <v>0</v>
      </c>
      <c r="K1381">
        <f>IF($E1381="","",IF($E1380="",$E1381,$E1381*0.0099502488+K1380*0.9900497512))</f>
        <v>0</v>
      </c>
      <c r="L1381">
        <f>IF(OR($E1381="",$E1380=""),"",MAX($E1381-$E1380,0))</f>
        <v>0</v>
      </c>
      <c r="M1381">
        <f>IF(OR($E1381="",$E1380=""),"",MAX($E1380-$E1381,0))</f>
        <v>0</v>
      </c>
      <c r="N1381">
        <f>IF(COUNT($E$2:$E1381)&lt;15,"",IF(AVERAGE($M$1368:$M$1381)=0,100,100-100/(1+AVERAGE($L$1368:$L$1381)/AVERAGE($M$1368:$M$1381))))</f>
        <v>0</v>
      </c>
      <c r="O1381">
        <f>IF($E1381="","",IF($E1380="",$E1381,$E1381*0.1538461538+O1380*0.8461538462))</f>
        <v>0</v>
      </c>
      <c r="P1381">
        <f>IF($E1381="","",IF($E1380="",$E1381,$E1381*0.0740740741+P1380*0.9259259259))</f>
        <v>0</v>
      </c>
      <c r="Q1381">
        <f>IF(OR(O1381="",P1381=""),"",O1381-P1381)</f>
        <v>0</v>
      </c>
      <c r="R1381">
        <f>IF(Q1381="","",IF(R1380="",Q1381,Q1381*0.2000000000+R1380*0.8000000000))</f>
        <v>0</v>
      </c>
      <c r="S1381">
        <f>IF(OR(Q1381="",R1381=""),"",Q1381-R1381)</f>
        <v>0</v>
      </c>
      <c r="T1381">
        <f>IF(COUNT($E$2:$E1381)&lt;14,"",MAX($C$1368:$C$1381))</f>
        <v>0</v>
      </c>
      <c r="U1381">
        <f>IF(COUNT($E$2:$E1381)&lt;14,"",MIN($D$1368:$D$1381))</f>
        <v>0</v>
      </c>
      <c r="V1381">
        <f>IF(OR(T1381="",U1381="",T1381=U1381),"",100*($E1381-U1381)/(T1381-U1381))</f>
        <v>0</v>
      </c>
      <c r="W1381">
        <f>IF(COUNT($V$1379:$V$1381)&lt;3,"",AVERAGE($V$1379:$V$1381))</f>
        <v>0</v>
      </c>
      <c r="X1381">
        <f>IF(COUNT($N$1368:$N$1381)&lt;14,"",MIN($N$1368:$N$1381))</f>
        <v>0</v>
      </c>
      <c r="Y1381">
        <f>IF(COUNT($N$1368:$N$1381)&lt;14,"",MAX($N$1368:$N$1381))</f>
        <v>0</v>
      </c>
      <c r="Z1381">
        <f>IF(OR(N1381="",X1381="",Y1381="",Y1381=X1381),"",100*(N1381-X1381)/(Y1381-X1381))</f>
        <v>0</v>
      </c>
      <c r="AA1381">
        <f>IF(COUNT($Z$1379:$Z$1381)&lt;3,"",AVERAGE($Z$1379:$Z$1381))</f>
        <v>0</v>
      </c>
      <c r="AB1381">
        <f>IF(COUNT($AA$1379:$AA$1381)&lt;3,"",AVERAGE($AA$1379:$AA$1381))</f>
        <v>0</v>
      </c>
      <c r="AC1381">
        <f>IF($E1381="","",MAX($C1381-$D1381,ABS($C1381-$E1380),ABS($D1381-$E1380)))</f>
        <v>0</v>
      </c>
      <c r="AD1381">
        <f>IF(COUNT($E$2:$E1381)&lt;15,"",AVERAGE($AC$1368:$AC$1381))</f>
        <v>0</v>
      </c>
      <c r="AE1381">
        <f>IF(OR($E1381="",$E1380=""),"",IF(AND(($C1381-$C1380)&gt;($D1380-$D1381),($C1381-$C1380)&gt;0),$C1381-$C1380,0))</f>
        <v>0</v>
      </c>
      <c r="AF1381">
        <f>IF(OR($E1381="",$E1380=""),"",IF(AND(($D1380-$D1381)&gt;($C1381-$C1380),($D1380-$D1381)&gt;0),$D1380-$D1381,0))</f>
        <v>0</v>
      </c>
      <c r="AG1381">
        <f>IF(COUNT($E$2:$E1381)&lt;15,"",IF(SUM($AC$1368:$AC$1381)=0,0,100*SUM($AE$1368:$AE$1381)/SUM($AC$1368:$AC$1381)))</f>
        <v>0</v>
      </c>
      <c r="AH1381">
        <f>IF(COUNT($E$2:$E1381)&lt;15,"",IF(SUM($AC$1368:$AC$1381)=0,0,100*SUM($AF$1368:$AF$1381)/SUM($AC$1368:$AC$1381)))</f>
        <v>0</v>
      </c>
      <c r="AI1381">
        <f>IF(OR(AG1381="",AH1381=""),"",IF((AG1381+AH1381)=0,0,100*ABS(AG1381-AH1381)/(AG1381+AH1381)))</f>
        <v>0</v>
      </c>
      <c r="AJ1381">
        <f>IF(COUNT($AI$1368:$AI$1381)&lt;14,"",AVERAGE($AI$1368:$AI$1381))</f>
        <v>0</v>
      </c>
      <c r="AK1381">
        <f>IF(COUNT($E$2:$E1381)&lt;20,"",AVERAGE($E$1362:$E$1381))</f>
        <v>0</v>
      </c>
      <c r="AL1381">
        <f>IF(COUNT($E$2:$E1381)&lt;20,"",STDEVP($E$1362:$E$1381))</f>
        <v>0</v>
      </c>
      <c r="AM1381">
        <f>IF(AK1381="","",AK1381+2*AL1381)</f>
        <v>0</v>
      </c>
      <c r="AN1381">
        <f>IF(AK1381="","",AK1381-2*AL1381)</f>
        <v>0</v>
      </c>
      <c r="AO1381">
        <f>IF(OR(AM1381="",AN1381="",AM1381=AN1381),"",($E1381-AN1381)/(AM1381-AN1381))</f>
        <v>0</v>
      </c>
      <c r="AP1381">
        <f>IF(OR(AM1381="",AK1381="",AK1381=0),"",(AM1381-AN1381)/AK1381)</f>
        <v>0</v>
      </c>
      <c r="AQ1381">
        <f>IF(COUNT($E$2:$E1381)&lt;20,"",MAX($C$1362:$C$1381))</f>
        <v>0</v>
      </c>
      <c r="AR1381">
        <f>IF(COUNT($E$2:$E1381)&lt;20,"",MIN($D$1362:$D$1381))</f>
        <v>0</v>
      </c>
      <c r="AS1381">
        <f>IF(OR(AQ1381="",AR1381=""),"",(AQ1381+AR1381)/2)</f>
        <v>0</v>
      </c>
      <c r="AT1381">
        <f>IF(COUNT($G$1362:$G$1381)&lt;20,"",STDEV($G$1362:$G$1381)*SQRT(252))</f>
        <v>0</v>
      </c>
      <c r="AU1381">
        <f>IF(COUNT($E$2:$E1381)&lt;9,"",(MAX($C$1373:$C$1381)+MIN($D$1373:$D$1381))/2)</f>
        <v>0</v>
      </c>
      <c r="AV1381">
        <f>IF(COUNT($E$2:$E1381)&lt;26,"",(MAX($C$1356:$C$1381)+MIN($D$1356:$D$1381))/2)</f>
        <v>0</v>
      </c>
      <c r="AW1381">
        <f>IF(OR(AU1381="",AV1381=""),"",(AU1381+AV1381)/2)</f>
        <v>0</v>
      </c>
      <c r="AX1381">
        <f>IF(COUNT($E$2:$E1381)&lt;52,"",(MAX($C$1330:$C$1381)+MIN($D$1330:$D$1381))/2)</f>
        <v>0</v>
      </c>
      <c r="AY1381">
        <f>IF(COUNT($E$2:$E1381)&lt;20,"",MAX($C$1282:$C$1381))</f>
        <v>0</v>
      </c>
      <c r="AZ1381">
        <f>IF(COUNT($E$2:$E1381)&lt;20,"",MIN($D$1282:$D$1381))</f>
        <v>0</v>
      </c>
      <c r="BA1381">
        <f>IF(COUNT($E$2:$E1381)&lt;20,"",SLOPE($E$1282:$E$1381,$F$1282:$F$1381))</f>
        <v>0</v>
      </c>
      <c r="BB1381">
        <f>IF(COUNT($E$2:$E1381)&lt;20,"",INTERCEPT($E$1282:$E$1381,$F$1282:$F$1381))</f>
        <v>0</v>
      </c>
      <c r="BC1381">
        <f>IF(OR(BA1381="",BB1381=""),"",BB1381+BA1381*F1381)</f>
        <v>0</v>
      </c>
      <c r="BD1381">
        <f>IF(COUNT($E$2:$E1381)&lt;20,"",STEYX($E$1282:$E$1381,$F$1282:$F$1381))</f>
        <v>0</v>
      </c>
      <c r="BE1381">
        <f>IF($E1381="","",IF(AND(COUNT($E$1382:$E$1385)&gt;=4,$C1381=MAX($C$1377:$C$1385)),$C1381,""))</f>
        <v>0</v>
      </c>
      <c r="BF1381">
        <f>IF($E1381="","",IF(AND(COUNT($E$1382:$E$1385)&gt;=4,$D1381=MIN($D$1377:$D$1385)),$D1381,""))</f>
        <v>0</v>
      </c>
      <c r="BG1381">
        <f>IF($A1381="","",$A1381-WEEKDAY($A1381,2)+1)</f>
        <v>0</v>
      </c>
      <c r="BH1381">
        <f>IF($A1381="","",IF($A1380="",1,IF(BG1381&lt;&gt;BG1380,1,0)))</f>
        <v>0</v>
      </c>
      <c r="BI1381">
        <f>IF($A1381="","",IF($A1382="",1,IF(BG1382&lt;&gt;BG1381,1,0)))</f>
        <v>0</v>
      </c>
      <c r="BJ1381">
        <f>IF($A1381="","",IF(BH1381=1,$B1381,BJ1380))</f>
        <v>0</v>
      </c>
      <c r="BK1381">
        <f>IF($A1381="","",IF(BH1381=1,$C1381,MAX($C1381,BK1380)))</f>
        <v>0</v>
      </c>
      <c r="BL1381">
        <f>IF($A1381="","",IF(BH1381=1,$D1381,MIN($D1381,BL1380)))</f>
        <v>0</v>
      </c>
      <c r="BM1381">
        <f>IF($A1381="","",IF(BI1381=1,F1381,""))</f>
        <v>0</v>
      </c>
      <c r="BN1381">
        <f>IF($A1381="","",DATE(YEAR($A1381),MONTH($A1381),1))</f>
        <v>0</v>
      </c>
      <c r="BO1381">
        <f>IF($A1381="","",IF($A1380="",1,IF(BN1381&lt;&gt;BN1380,1,0)))</f>
        <v>0</v>
      </c>
      <c r="BP1381">
        <f>IF($A1381="","",IF($A1382="",1,IF(BN1382&lt;&gt;BN1381,1,0)))</f>
        <v>0</v>
      </c>
      <c r="BQ1381">
        <f>IF($A1381="","",IF(BO1381=1,$B1381,BQ1380))</f>
        <v>0</v>
      </c>
      <c r="BR1381">
        <f>IF($A1381="","",IF(BO1381=1,$C1381,MAX($C1381,BR1380)))</f>
        <v>0</v>
      </c>
      <c r="BS1381">
        <f>IF($A1381="","",IF(BO1381=1,$D1381,MIN($D1381,BS1380)))</f>
        <v>0</v>
      </c>
      <c r="BT1381">
        <f>IF($A1381="","",IF(BP1381=1,F1381,""))</f>
        <v>0</v>
      </c>
    </row>
    <row r="1382" spans="1:72">
      <c r="A1382" s="27">
        <f>IF(Data!$A1382="","",Data!$A1382)</f>
        <v>0</v>
      </c>
      <c r="B1382">
        <f>IF(Data!$B1382="","",Data!$B1382)</f>
        <v>0</v>
      </c>
      <c r="C1382">
        <f>IF(Data!$C1382="","",Data!$C1382)</f>
        <v>0</v>
      </c>
      <c r="D1382">
        <f>IF(Data!$D1382="","",Data!$D1382)</f>
        <v>0</v>
      </c>
      <c r="E1382">
        <f>IF(Data!$E1382="","",Data!$E1382)</f>
        <v>0</v>
      </c>
      <c r="F1382">
        <f>IF($E1382="","",N(F1381)+1)</f>
        <v>0</v>
      </c>
      <c r="G1382">
        <f>IF(OR($E1382="",$E1381=""),"",LN($E1382/$E1381))</f>
        <v>0</v>
      </c>
      <c r="H1382">
        <f>IF($E1382="","",IF($E1381="",$E1382,$E1382*0.0952380952+H1381*0.9047619048))</f>
        <v>0</v>
      </c>
      <c r="I1382">
        <f>IF($E1382="","",IF($E1381="",$E1382,$E1382*0.0392156863+I1381*0.9607843137))</f>
        <v>0</v>
      </c>
      <c r="J1382">
        <f>IF($E1382="","",IF($E1381="",$E1382,$E1382*0.0198019802+J1381*0.9801980198))</f>
        <v>0</v>
      </c>
      <c r="K1382">
        <f>IF($E1382="","",IF($E1381="",$E1382,$E1382*0.0099502488+K1381*0.9900497512))</f>
        <v>0</v>
      </c>
      <c r="L1382">
        <f>IF(OR($E1382="",$E1381=""),"",MAX($E1382-$E1381,0))</f>
        <v>0</v>
      </c>
      <c r="M1382">
        <f>IF(OR($E1382="",$E1381=""),"",MAX($E1381-$E1382,0))</f>
        <v>0</v>
      </c>
      <c r="N1382">
        <f>IF(COUNT($E$2:$E1382)&lt;15,"",IF(AVERAGE($M$1369:$M$1382)=0,100,100-100/(1+AVERAGE($L$1369:$L$1382)/AVERAGE($M$1369:$M$1382))))</f>
        <v>0</v>
      </c>
      <c r="O1382">
        <f>IF($E1382="","",IF($E1381="",$E1382,$E1382*0.1538461538+O1381*0.8461538462))</f>
        <v>0</v>
      </c>
      <c r="P1382">
        <f>IF($E1382="","",IF($E1381="",$E1382,$E1382*0.0740740741+P1381*0.9259259259))</f>
        <v>0</v>
      </c>
      <c r="Q1382">
        <f>IF(OR(O1382="",P1382=""),"",O1382-P1382)</f>
        <v>0</v>
      </c>
      <c r="R1382">
        <f>IF(Q1382="","",IF(R1381="",Q1382,Q1382*0.2000000000+R1381*0.8000000000))</f>
        <v>0</v>
      </c>
      <c r="S1382">
        <f>IF(OR(Q1382="",R1382=""),"",Q1382-R1382)</f>
        <v>0</v>
      </c>
      <c r="T1382">
        <f>IF(COUNT($E$2:$E1382)&lt;14,"",MAX($C$1369:$C$1382))</f>
        <v>0</v>
      </c>
      <c r="U1382">
        <f>IF(COUNT($E$2:$E1382)&lt;14,"",MIN($D$1369:$D$1382))</f>
        <v>0</v>
      </c>
      <c r="V1382">
        <f>IF(OR(T1382="",U1382="",T1382=U1382),"",100*($E1382-U1382)/(T1382-U1382))</f>
        <v>0</v>
      </c>
      <c r="W1382">
        <f>IF(COUNT($V$1380:$V$1382)&lt;3,"",AVERAGE($V$1380:$V$1382))</f>
        <v>0</v>
      </c>
      <c r="X1382">
        <f>IF(COUNT($N$1369:$N$1382)&lt;14,"",MIN($N$1369:$N$1382))</f>
        <v>0</v>
      </c>
      <c r="Y1382">
        <f>IF(COUNT($N$1369:$N$1382)&lt;14,"",MAX($N$1369:$N$1382))</f>
        <v>0</v>
      </c>
      <c r="Z1382">
        <f>IF(OR(N1382="",X1382="",Y1382="",Y1382=X1382),"",100*(N1382-X1382)/(Y1382-X1382))</f>
        <v>0</v>
      </c>
      <c r="AA1382">
        <f>IF(COUNT($Z$1380:$Z$1382)&lt;3,"",AVERAGE($Z$1380:$Z$1382))</f>
        <v>0</v>
      </c>
      <c r="AB1382">
        <f>IF(COUNT($AA$1380:$AA$1382)&lt;3,"",AVERAGE($AA$1380:$AA$1382))</f>
        <v>0</v>
      </c>
      <c r="AC1382">
        <f>IF($E1382="","",MAX($C1382-$D1382,ABS($C1382-$E1381),ABS($D1382-$E1381)))</f>
        <v>0</v>
      </c>
      <c r="AD1382">
        <f>IF(COUNT($E$2:$E1382)&lt;15,"",AVERAGE($AC$1369:$AC$1382))</f>
        <v>0</v>
      </c>
      <c r="AE1382">
        <f>IF(OR($E1382="",$E1381=""),"",IF(AND(($C1382-$C1381)&gt;($D1381-$D1382),($C1382-$C1381)&gt;0),$C1382-$C1381,0))</f>
        <v>0</v>
      </c>
      <c r="AF1382">
        <f>IF(OR($E1382="",$E1381=""),"",IF(AND(($D1381-$D1382)&gt;($C1382-$C1381),($D1381-$D1382)&gt;0),$D1381-$D1382,0))</f>
        <v>0</v>
      </c>
      <c r="AG1382">
        <f>IF(COUNT($E$2:$E1382)&lt;15,"",IF(SUM($AC$1369:$AC$1382)=0,0,100*SUM($AE$1369:$AE$1382)/SUM($AC$1369:$AC$1382)))</f>
        <v>0</v>
      </c>
      <c r="AH1382">
        <f>IF(COUNT($E$2:$E1382)&lt;15,"",IF(SUM($AC$1369:$AC$1382)=0,0,100*SUM($AF$1369:$AF$1382)/SUM($AC$1369:$AC$1382)))</f>
        <v>0</v>
      </c>
      <c r="AI1382">
        <f>IF(OR(AG1382="",AH1382=""),"",IF((AG1382+AH1382)=0,0,100*ABS(AG1382-AH1382)/(AG1382+AH1382)))</f>
        <v>0</v>
      </c>
      <c r="AJ1382">
        <f>IF(COUNT($AI$1369:$AI$1382)&lt;14,"",AVERAGE($AI$1369:$AI$1382))</f>
        <v>0</v>
      </c>
      <c r="AK1382">
        <f>IF(COUNT($E$2:$E1382)&lt;20,"",AVERAGE($E$1363:$E$1382))</f>
        <v>0</v>
      </c>
      <c r="AL1382">
        <f>IF(COUNT($E$2:$E1382)&lt;20,"",STDEVP($E$1363:$E$1382))</f>
        <v>0</v>
      </c>
      <c r="AM1382">
        <f>IF(AK1382="","",AK1382+2*AL1382)</f>
        <v>0</v>
      </c>
      <c r="AN1382">
        <f>IF(AK1382="","",AK1382-2*AL1382)</f>
        <v>0</v>
      </c>
      <c r="AO1382">
        <f>IF(OR(AM1382="",AN1382="",AM1382=AN1382),"",($E1382-AN1382)/(AM1382-AN1382))</f>
        <v>0</v>
      </c>
      <c r="AP1382">
        <f>IF(OR(AM1382="",AK1382="",AK1382=0),"",(AM1382-AN1382)/AK1382)</f>
        <v>0</v>
      </c>
      <c r="AQ1382">
        <f>IF(COUNT($E$2:$E1382)&lt;20,"",MAX($C$1363:$C$1382))</f>
        <v>0</v>
      </c>
      <c r="AR1382">
        <f>IF(COUNT($E$2:$E1382)&lt;20,"",MIN($D$1363:$D$1382))</f>
        <v>0</v>
      </c>
      <c r="AS1382">
        <f>IF(OR(AQ1382="",AR1382=""),"",(AQ1382+AR1382)/2)</f>
        <v>0</v>
      </c>
      <c r="AT1382">
        <f>IF(COUNT($G$1363:$G$1382)&lt;20,"",STDEV($G$1363:$G$1382)*SQRT(252))</f>
        <v>0</v>
      </c>
      <c r="AU1382">
        <f>IF(COUNT($E$2:$E1382)&lt;9,"",(MAX($C$1374:$C$1382)+MIN($D$1374:$D$1382))/2)</f>
        <v>0</v>
      </c>
      <c r="AV1382">
        <f>IF(COUNT($E$2:$E1382)&lt;26,"",(MAX($C$1357:$C$1382)+MIN($D$1357:$D$1382))/2)</f>
        <v>0</v>
      </c>
      <c r="AW1382">
        <f>IF(OR(AU1382="",AV1382=""),"",(AU1382+AV1382)/2)</f>
        <v>0</v>
      </c>
      <c r="AX1382">
        <f>IF(COUNT($E$2:$E1382)&lt;52,"",(MAX($C$1331:$C$1382)+MIN($D$1331:$D$1382))/2)</f>
        <v>0</v>
      </c>
      <c r="AY1382">
        <f>IF(COUNT($E$2:$E1382)&lt;20,"",MAX($C$1283:$C$1382))</f>
        <v>0</v>
      </c>
      <c r="AZ1382">
        <f>IF(COUNT($E$2:$E1382)&lt;20,"",MIN($D$1283:$D$1382))</f>
        <v>0</v>
      </c>
      <c r="BA1382">
        <f>IF(COUNT($E$2:$E1382)&lt;20,"",SLOPE($E$1283:$E$1382,$F$1283:$F$1382))</f>
        <v>0</v>
      </c>
      <c r="BB1382">
        <f>IF(COUNT($E$2:$E1382)&lt;20,"",INTERCEPT($E$1283:$E$1382,$F$1283:$F$1382))</f>
        <v>0</v>
      </c>
      <c r="BC1382">
        <f>IF(OR(BA1382="",BB1382=""),"",BB1382+BA1382*F1382)</f>
        <v>0</v>
      </c>
      <c r="BD1382">
        <f>IF(COUNT($E$2:$E1382)&lt;20,"",STEYX($E$1283:$E$1382,$F$1283:$F$1382))</f>
        <v>0</v>
      </c>
      <c r="BE1382">
        <f>IF($E1382="","",IF(AND(COUNT($E$1383:$E$1386)&gt;=4,$C1382=MAX($C$1378:$C$1386)),$C1382,""))</f>
        <v>0</v>
      </c>
      <c r="BF1382">
        <f>IF($E1382="","",IF(AND(COUNT($E$1383:$E$1386)&gt;=4,$D1382=MIN($D$1378:$D$1386)),$D1382,""))</f>
        <v>0</v>
      </c>
      <c r="BG1382">
        <f>IF($A1382="","",$A1382-WEEKDAY($A1382,2)+1)</f>
        <v>0</v>
      </c>
      <c r="BH1382">
        <f>IF($A1382="","",IF($A1381="",1,IF(BG1382&lt;&gt;BG1381,1,0)))</f>
        <v>0</v>
      </c>
      <c r="BI1382">
        <f>IF($A1382="","",IF($A1383="",1,IF(BG1383&lt;&gt;BG1382,1,0)))</f>
        <v>0</v>
      </c>
      <c r="BJ1382">
        <f>IF($A1382="","",IF(BH1382=1,$B1382,BJ1381))</f>
        <v>0</v>
      </c>
      <c r="BK1382">
        <f>IF($A1382="","",IF(BH1382=1,$C1382,MAX($C1382,BK1381)))</f>
        <v>0</v>
      </c>
      <c r="BL1382">
        <f>IF($A1382="","",IF(BH1382=1,$D1382,MIN($D1382,BL1381)))</f>
        <v>0</v>
      </c>
      <c r="BM1382">
        <f>IF($A1382="","",IF(BI1382=1,F1382,""))</f>
        <v>0</v>
      </c>
      <c r="BN1382">
        <f>IF($A1382="","",DATE(YEAR($A1382),MONTH($A1382),1))</f>
        <v>0</v>
      </c>
      <c r="BO1382">
        <f>IF($A1382="","",IF($A1381="",1,IF(BN1382&lt;&gt;BN1381,1,0)))</f>
        <v>0</v>
      </c>
      <c r="BP1382">
        <f>IF($A1382="","",IF($A1383="",1,IF(BN1383&lt;&gt;BN1382,1,0)))</f>
        <v>0</v>
      </c>
      <c r="BQ1382">
        <f>IF($A1382="","",IF(BO1382=1,$B1382,BQ1381))</f>
        <v>0</v>
      </c>
      <c r="BR1382">
        <f>IF($A1382="","",IF(BO1382=1,$C1382,MAX($C1382,BR1381)))</f>
        <v>0</v>
      </c>
      <c r="BS1382">
        <f>IF($A1382="","",IF(BO1382=1,$D1382,MIN($D1382,BS1381)))</f>
        <v>0</v>
      </c>
      <c r="BT1382">
        <f>IF($A1382="","",IF(BP1382=1,F1382,""))</f>
        <v>0</v>
      </c>
    </row>
    <row r="1383" spans="1:72">
      <c r="A1383" s="27">
        <f>IF(Data!$A1383="","",Data!$A1383)</f>
        <v>0</v>
      </c>
      <c r="B1383">
        <f>IF(Data!$B1383="","",Data!$B1383)</f>
        <v>0</v>
      </c>
      <c r="C1383">
        <f>IF(Data!$C1383="","",Data!$C1383)</f>
        <v>0</v>
      </c>
      <c r="D1383">
        <f>IF(Data!$D1383="","",Data!$D1383)</f>
        <v>0</v>
      </c>
      <c r="E1383">
        <f>IF(Data!$E1383="","",Data!$E1383)</f>
        <v>0</v>
      </c>
      <c r="F1383">
        <f>IF($E1383="","",N(F1382)+1)</f>
        <v>0</v>
      </c>
      <c r="G1383">
        <f>IF(OR($E1383="",$E1382=""),"",LN($E1383/$E1382))</f>
        <v>0</v>
      </c>
      <c r="H1383">
        <f>IF($E1383="","",IF($E1382="",$E1383,$E1383*0.0952380952+H1382*0.9047619048))</f>
        <v>0</v>
      </c>
      <c r="I1383">
        <f>IF($E1383="","",IF($E1382="",$E1383,$E1383*0.0392156863+I1382*0.9607843137))</f>
        <v>0</v>
      </c>
      <c r="J1383">
        <f>IF($E1383="","",IF($E1382="",$E1383,$E1383*0.0198019802+J1382*0.9801980198))</f>
        <v>0</v>
      </c>
      <c r="K1383">
        <f>IF($E1383="","",IF($E1382="",$E1383,$E1383*0.0099502488+K1382*0.9900497512))</f>
        <v>0</v>
      </c>
      <c r="L1383">
        <f>IF(OR($E1383="",$E1382=""),"",MAX($E1383-$E1382,0))</f>
        <v>0</v>
      </c>
      <c r="M1383">
        <f>IF(OR($E1383="",$E1382=""),"",MAX($E1382-$E1383,0))</f>
        <v>0</v>
      </c>
      <c r="N1383">
        <f>IF(COUNT($E$2:$E1383)&lt;15,"",IF(AVERAGE($M$1370:$M$1383)=0,100,100-100/(1+AVERAGE($L$1370:$L$1383)/AVERAGE($M$1370:$M$1383))))</f>
        <v>0</v>
      </c>
      <c r="O1383">
        <f>IF($E1383="","",IF($E1382="",$E1383,$E1383*0.1538461538+O1382*0.8461538462))</f>
        <v>0</v>
      </c>
      <c r="P1383">
        <f>IF($E1383="","",IF($E1382="",$E1383,$E1383*0.0740740741+P1382*0.9259259259))</f>
        <v>0</v>
      </c>
      <c r="Q1383">
        <f>IF(OR(O1383="",P1383=""),"",O1383-P1383)</f>
        <v>0</v>
      </c>
      <c r="R1383">
        <f>IF(Q1383="","",IF(R1382="",Q1383,Q1383*0.2000000000+R1382*0.8000000000))</f>
        <v>0</v>
      </c>
      <c r="S1383">
        <f>IF(OR(Q1383="",R1383=""),"",Q1383-R1383)</f>
        <v>0</v>
      </c>
      <c r="T1383">
        <f>IF(COUNT($E$2:$E1383)&lt;14,"",MAX($C$1370:$C$1383))</f>
        <v>0</v>
      </c>
      <c r="U1383">
        <f>IF(COUNT($E$2:$E1383)&lt;14,"",MIN($D$1370:$D$1383))</f>
        <v>0</v>
      </c>
      <c r="V1383">
        <f>IF(OR(T1383="",U1383="",T1383=U1383),"",100*($E1383-U1383)/(T1383-U1383))</f>
        <v>0</v>
      </c>
      <c r="W1383">
        <f>IF(COUNT($V$1381:$V$1383)&lt;3,"",AVERAGE($V$1381:$V$1383))</f>
        <v>0</v>
      </c>
      <c r="X1383">
        <f>IF(COUNT($N$1370:$N$1383)&lt;14,"",MIN($N$1370:$N$1383))</f>
        <v>0</v>
      </c>
      <c r="Y1383">
        <f>IF(COUNT($N$1370:$N$1383)&lt;14,"",MAX($N$1370:$N$1383))</f>
        <v>0</v>
      </c>
      <c r="Z1383">
        <f>IF(OR(N1383="",X1383="",Y1383="",Y1383=X1383),"",100*(N1383-X1383)/(Y1383-X1383))</f>
        <v>0</v>
      </c>
      <c r="AA1383">
        <f>IF(COUNT($Z$1381:$Z$1383)&lt;3,"",AVERAGE($Z$1381:$Z$1383))</f>
        <v>0</v>
      </c>
      <c r="AB1383">
        <f>IF(COUNT($AA$1381:$AA$1383)&lt;3,"",AVERAGE($AA$1381:$AA$1383))</f>
        <v>0</v>
      </c>
      <c r="AC1383">
        <f>IF($E1383="","",MAX($C1383-$D1383,ABS($C1383-$E1382),ABS($D1383-$E1382)))</f>
        <v>0</v>
      </c>
      <c r="AD1383">
        <f>IF(COUNT($E$2:$E1383)&lt;15,"",AVERAGE($AC$1370:$AC$1383))</f>
        <v>0</v>
      </c>
      <c r="AE1383">
        <f>IF(OR($E1383="",$E1382=""),"",IF(AND(($C1383-$C1382)&gt;($D1382-$D1383),($C1383-$C1382)&gt;0),$C1383-$C1382,0))</f>
        <v>0</v>
      </c>
      <c r="AF1383">
        <f>IF(OR($E1383="",$E1382=""),"",IF(AND(($D1382-$D1383)&gt;($C1383-$C1382),($D1382-$D1383)&gt;0),$D1382-$D1383,0))</f>
        <v>0</v>
      </c>
      <c r="AG1383">
        <f>IF(COUNT($E$2:$E1383)&lt;15,"",IF(SUM($AC$1370:$AC$1383)=0,0,100*SUM($AE$1370:$AE$1383)/SUM($AC$1370:$AC$1383)))</f>
        <v>0</v>
      </c>
      <c r="AH1383">
        <f>IF(COUNT($E$2:$E1383)&lt;15,"",IF(SUM($AC$1370:$AC$1383)=0,0,100*SUM($AF$1370:$AF$1383)/SUM($AC$1370:$AC$1383)))</f>
        <v>0</v>
      </c>
      <c r="AI1383">
        <f>IF(OR(AG1383="",AH1383=""),"",IF((AG1383+AH1383)=0,0,100*ABS(AG1383-AH1383)/(AG1383+AH1383)))</f>
        <v>0</v>
      </c>
      <c r="AJ1383">
        <f>IF(COUNT($AI$1370:$AI$1383)&lt;14,"",AVERAGE($AI$1370:$AI$1383))</f>
        <v>0</v>
      </c>
      <c r="AK1383">
        <f>IF(COUNT($E$2:$E1383)&lt;20,"",AVERAGE($E$1364:$E$1383))</f>
        <v>0</v>
      </c>
      <c r="AL1383">
        <f>IF(COUNT($E$2:$E1383)&lt;20,"",STDEVP($E$1364:$E$1383))</f>
        <v>0</v>
      </c>
      <c r="AM1383">
        <f>IF(AK1383="","",AK1383+2*AL1383)</f>
        <v>0</v>
      </c>
      <c r="AN1383">
        <f>IF(AK1383="","",AK1383-2*AL1383)</f>
        <v>0</v>
      </c>
      <c r="AO1383">
        <f>IF(OR(AM1383="",AN1383="",AM1383=AN1383),"",($E1383-AN1383)/(AM1383-AN1383))</f>
        <v>0</v>
      </c>
      <c r="AP1383">
        <f>IF(OR(AM1383="",AK1383="",AK1383=0),"",(AM1383-AN1383)/AK1383)</f>
        <v>0</v>
      </c>
      <c r="AQ1383">
        <f>IF(COUNT($E$2:$E1383)&lt;20,"",MAX($C$1364:$C$1383))</f>
        <v>0</v>
      </c>
      <c r="AR1383">
        <f>IF(COUNT($E$2:$E1383)&lt;20,"",MIN($D$1364:$D$1383))</f>
        <v>0</v>
      </c>
      <c r="AS1383">
        <f>IF(OR(AQ1383="",AR1383=""),"",(AQ1383+AR1383)/2)</f>
        <v>0</v>
      </c>
      <c r="AT1383">
        <f>IF(COUNT($G$1364:$G$1383)&lt;20,"",STDEV($G$1364:$G$1383)*SQRT(252))</f>
        <v>0</v>
      </c>
      <c r="AU1383">
        <f>IF(COUNT($E$2:$E1383)&lt;9,"",(MAX($C$1375:$C$1383)+MIN($D$1375:$D$1383))/2)</f>
        <v>0</v>
      </c>
      <c r="AV1383">
        <f>IF(COUNT($E$2:$E1383)&lt;26,"",(MAX($C$1358:$C$1383)+MIN($D$1358:$D$1383))/2)</f>
        <v>0</v>
      </c>
      <c r="AW1383">
        <f>IF(OR(AU1383="",AV1383=""),"",(AU1383+AV1383)/2)</f>
        <v>0</v>
      </c>
      <c r="AX1383">
        <f>IF(COUNT($E$2:$E1383)&lt;52,"",(MAX($C$1332:$C$1383)+MIN($D$1332:$D$1383))/2)</f>
        <v>0</v>
      </c>
      <c r="AY1383">
        <f>IF(COUNT($E$2:$E1383)&lt;20,"",MAX($C$1284:$C$1383))</f>
        <v>0</v>
      </c>
      <c r="AZ1383">
        <f>IF(COUNT($E$2:$E1383)&lt;20,"",MIN($D$1284:$D$1383))</f>
        <v>0</v>
      </c>
      <c r="BA1383">
        <f>IF(COUNT($E$2:$E1383)&lt;20,"",SLOPE($E$1284:$E$1383,$F$1284:$F$1383))</f>
        <v>0</v>
      </c>
      <c r="BB1383">
        <f>IF(COUNT($E$2:$E1383)&lt;20,"",INTERCEPT($E$1284:$E$1383,$F$1284:$F$1383))</f>
        <v>0</v>
      </c>
      <c r="BC1383">
        <f>IF(OR(BA1383="",BB1383=""),"",BB1383+BA1383*F1383)</f>
        <v>0</v>
      </c>
      <c r="BD1383">
        <f>IF(COUNT($E$2:$E1383)&lt;20,"",STEYX($E$1284:$E$1383,$F$1284:$F$1383))</f>
        <v>0</v>
      </c>
      <c r="BE1383">
        <f>IF($E1383="","",IF(AND(COUNT($E$1384:$E$1387)&gt;=4,$C1383=MAX($C$1379:$C$1387)),$C1383,""))</f>
        <v>0</v>
      </c>
      <c r="BF1383">
        <f>IF($E1383="","",IF(AND(COUNT($E$1384:$E$1387)&gt;=4,$D1383=MIN($D$1379:$D$1387)),$D1383,""))</f>
        <v>0</v>
      </c>
      <c r="BG1383">
        <f>IF($A1383="","",$A1383-WEEKDAY($A1383,2)+1)</f>
        <v>0</v>
      </c>
      <c r="BH1383">
        <f>IF($A1383="","",IF($A1382="",1,IF(BG1383&lt;&gt;BG1382,1,0)))</f>
        <v>0</v>
      </c>
      <c r="BI1383">
        <f>IF($A1383="","",IF($A1384="",1,IF(BG1384&lt;&gt;BG1383,1,0)))</f>
        <v>0</v>
      </c>
      <c r="BJ1383">
        <f>IF($A1383="","",IF(BH1383=1,$B1383,BJ1382))</f>
        <v>0</v>
      </c>
      <c r="BK1383">
        <f>IF($A1383="","",IF(BH1383=1,$C1383,MAX($C1383,BK1382)))</f>
        <v>0</v>
      </c>
      <c r="BL1383">
        <f>IF($A1383="","",IF(BH1383=1,$D1383,MIN($D1383,BL1382)))</f>
        <v>0</v>
      </c>
      <c r="BM1383">
        <f>IF($A1383="","",IF(BI1383=1,F1383,""))</f>
        <v>0</v>
      </c>
      <c r="BN1383">
        <f>IF($A1383="","",DATE(YEAR($A1383),MONTH($A1383),1))</f>
        <v>0</v>
      </c>
      <c r="BO1383">
        <f>IF($A1383="","",IF($A1382="",1,IF(BN1383&lt;&gt;BN1382,1,0)))</f>
        <v>0</v>
      </c>
      <c r="BP1383">
        <f>IF($A1383="","",IF($A1384="",1,IF(BN1384&lt;&gt;BN1383,1,0)))</f>
        <v>0</v>
      </c>
      <c r="BQ1383">
        <f>IF($A1383="","",IF(BO1383=1,$B1383,BQ1382))</f>
        <v>0</v>
      </c>
      <c r="BR1383">
        <f>IF($A1383="","",IF(BO1383=1,$C1383,MAX($C1383,BR1382)))</f>
        <v>0</v>
      </c>
      <c r="BS1383">
        <f>IF($A1383="","",IF(BO1383=1,$D1383,MIN($D1383,BS1382)))</f>
        <v>0</v>
      </c>
      <c r="BT1383">
        <f>IF($A1383="","",IF(BP1383=1,F1383,""))</f>
        <v>0</v>
      </c>
    </row>
    <row r="1384" spans="1:72">
      <c r="A1384" s="27">
        <f>IF(Data!$A1384="","",Data!$A1384)</f>
        <v>0</v>
      </c>
      <c r="B1384">
        <f>IF(Data!$B1384="","",Data!$B1384)</f>
        <v>0</v>
      </c>
      <c r="C1384">
        <f>IF(Data!$C1384="","",Data!$C1384)</f>
        <v>0</v>
      </c>
      <c r="D1384">
        <f>IF(Data!$D1384="","",Data!$D1384)</f>
        <v>0</v>
      </c>
      <c r="E1384">
        <f>IF(Data!$E1384="","",Data!$E1384)</f>
        <v>0</v>
      </c>
      <c r="F1384">
        <f>IF($E1384="","",N(F1383)+1)</f>
        <v>0</v>
      </c>
      <c r="G1384">
        <f>IF(OR($E1384="",$E1383=""),"",LN($E1384/$E1383))</f>
        <v>0</v>
      </c>
      <c r="H1384">
        <f>IF($E1384="","",IF($E1383="",$E1384,$E1384*0.0952380952+H1383*0.9047619048))</f>
        <v>0</v>
      </c>
      <c r="I1384">
        <f>IF($E1384="","",IF($E1383="",$E1384,$E1384*0.0392156863+I1383*0.9607843137))</f>
        <v>0</v>
      </c>
      <c r="J1384">
        <f>IF($E1384="","",IF($E1383="",$E1384,$E1384*0.0198019802+J1383*0.9801980198))</f>
        <v>0</v>
      </c>
      <c r="K1384">
        <f>IF($E1384="","",IF($E1383="",$E1384,$E1384*0.0099502488+K1383*0.9900497512))</f>
        <v>0</v>
      </c>
      <c r="L1384">
        <f>IF(OR($E1384="",$E1383=""),"",MAX($E1384-$E1383,0))</f>
        <v>0</v>
      </c>
      <c r="M1384">
        <f>IF(OR($E1384="",$E1383=""),"",MAX($E1383-$E1384,0))</f>
        <v>0</v>
      </c>
      <c r="N1384">
        <f>IF(COUNT($E$2:$E1384)&lt;15,"",IF(AVERAGE($M$1371:$M$1384)=0,100,100-100/(1+AVERAGE($L$1371:$L$1384)/AVERAGE($M$1371:$M$1384))))</f>
        <v>0</v>
      </c>
      <c r="O1384">
        <f>IF($E1384="","",IF($E1383="",$E1384,$E1384*0.1538461538+O1383*0.8461538462))</f>
        <v>0</v>
      </c>
      <c r="P1384">
        <f>IF($E1384="","",IF($E1383="",$E1384,$E1384*0.0740740741+P1383*0.9259259259))</f>
        <v>0</v>
      </c>
      <c r="Q1384">
        <f>IF(OR(O1384="",P1384=""),"",O1384-P1384)</f>
        <v>0</v>
      </c>
      <c r="R1384">
        <f>IF(Q1384="","",IF(R1383="",Q1384,Q1384*0.2000000000+R1383*0.8000000000))</f>
        <v>0</v>
      </c>
      <c r="S1384">
        <f>IF(OR(Q1384="",R1384=""),"",Q1384-R1384)</f>
        <v>0</v>
      </c>
      <c r="T1384">
        <f>IF(COUNT($E$2:$E1384)&lt;14,"",MAX($C$1371:$C$1384))</f>
        <v>0</v>
      </c>
      <c r="U1384">
        <f>IF(COUNT($E$2:$E1384)&lt;14,"",MIN($D$1371:$D$1384))</f>
        <v>0</v>
      </c>
      <c r="V1384">
        <f>IF(OR(T1384="",U1384="",T1384=U1384),"",100*($E1384-U1384)/(T1384-U1384))</f>
        <v>0</v>
      </c>
      <c r="W1384">
        <f>IF(COUNT($V$1382:$V$1384)&lt;3,"",AVERAGE($V$1382:$V$1384))</f>
        <v>0</v>
      </c>
      <c r="X1384">
        <f>IF(COUNT($N$1371:$N$1384)&lt;14,"",MIN($N$1371:$N$1384))</f>
        <v>0</v>
      </c>
      <c r="Y1384">
        <f>IF(COUNT($N$1371:$N$1384)&lt;14,"",MAX($N$1371:$N$1384))</f>
        <v>0</v>
      </c>
      <c r="Z1384">
        <f>IF(OR(N1384="",X1384="",Y1384="",Y1384=X1384),"",100*(N1384-X1384)/(Y1384-X1384))</f>
        <v>0</v>
      </c>
      <c r="AA1384">
        <f>IF(COUNT($Z$1382:$Z$1384)&lt;3,"",AVERAGE($Z$1382:$Z$1384))</f>
        <v>0</v>
      </c>
      <c r="AB1384">
        <f>IF(COUNT($AA$1382:$AA$1384)&lt;3,"",AVERAGE($AA$1382:$AA$1384))</f>
        <v>0</v>
      </c>
      <c r="AC1384">
        <f>IF($E1384="","",MAX($C1384-$D1384,ABS($C1384-$E1383),ABS($D1384-$E1383)))</f>
        <v>0</v>
      </c>
      <c r="AD1384">
        <f>IF(COUNT($E$2:$E1384)&lt;15,"",AVERAGE($AC$1371:$AC$1384))</f>
        <v>0</v>
      </c>
      <c r="AE1384">
        <f>IF(OR($E1384="",$E1383=""),"",IF(AND(($C1384-$C1383)&gt;($D1383-$D1384),($C1384-$C1383)&gt;0),$C1384-$C1383,0))</f>
        <v>0</v>
      </c>
      <c r="AF1384">
        <f>IF(OR($E1384="",$E1383=""),"",IF(AND(($D1383-$D1384)&gt;($C1384-$C1383),($D1383-$D1384)&gt;0),$D1383-$D1384,0))</f>
        <v>0</v>
      </c>
      <c r="AG1384">
        <f>IF(COUNT($E$2:$E1384)&lt;15,"",IF(SUM($AC$1371:$AC$1384)=0,0,100*SUM($AE$1371:$AE$1384)/SUM($AC$1371:$AC$1384)))</f>
        <v>0</v>
      </c>
      <c r="AH1384">
        <f>IF(COUNT($E$2:$E1384)&lt;15,"",IF(SUM($AC$1371:$AC$1384)=0,0,100*SUM($AF$1371:$AF$1384)/SUM($AC$1371:$AC$1384)))</f>
        <v>0</v>
      </c>
      <c r="AI1384">
        <f>IF(OR(AG1384="",AH1384=""),"",IF((AG1384+AH1384)=0,0,100*ABS(AG1384-AH1384)/(AG1384+AH1384)))</f>
        <v>0</v>
      </c>
      <c r="AJ1384">
        <f>IF(COUNT($AI$1371:$AI$1384)&lt;14,"",AVERAGE($AI$1371:$AI$1384))</f>
        <v>0</v>
      </c>
      <c r="AK1384">
        <f>IF(COUNT($E$2:$E1384)&lt;20,"",AVERAGE($E$1365:$E$1384))</f>
        <v>0</v>
      </c>
      <c r="AL1384">
        <f>IF(COUNT($E$2:$E1384)&lt;20,"",STDEVP($E$1365:$E$1384))</f>
        <v>0</v>
      </c>
      <c r="AM1384">
        <f>IF(AK1384="","",AK1384+2*AL1384)</f>
        <v>0</v>
      </c>
      <c r="AN1384">
        <f>IF(AK1384="","",AK1384-2*AL1384)</f>
        <v>0</v>
      </c>
      <c r="AO1384">
        <f>IF(OR(AM1384="",AN1384="",AM1384=AN1384),"",($E1384-AN1384)/(AM1384-AN1384))</f>
        <v>0</v>
      </c>
      <c r="AP1384">
        <f>IF(OR(AM1384="",AK1384="",AK1384=0),"",(AM1384-AN1384)/AK1384)</f>
        <v>0</v>
      </c>
      <c r="AQ1384">
        <f>IF(COUNT($E$2:$E1384)&lt;20,"",MAX($C$1365:$C$1384))</f>
        <v>0</v>
      </c>
      <c r="AR1384">
        <f>IF(COUNT($E$2:$E1384)&lt;20,"",MIN($D$1365:$D$1384))</f>
        <v>0</v>
      </c>
      <c r="AS1384">
        <f>IF(OR(AQ1384="",AR1384=""),"",(AQ1384+AR1384)/2)</f>
        <v>0</v>
      </c>
      <c r="AT1384">
        <f>IF(COUNT($G$1365:$G$1384)&lt;20,"",STDEV($G$1365:$G$1384)*SQRT(252))</f>
        <v>0</v>
      </c>
      <c r="AU1384">
        <f>IF(COUNT($E$2:$E1384)&lt;9,"",(MAX($C$1376:$C$1384)+MIN($D$1376:$D$1384))/2)</f>
        <v>0</v>
      </c>
      <c r="AV1384">
        <f>IF(COUNT($E$2:$E1384)&lt;26,"",(MAX($C$1359:$C$1384)+MIN($D$1359:$D$1384))/2)</f>
        <v>0</v>
      </c>
      <c r="AW1384">
        <f>IF(OR(AU1384="",AV1384=""),"",(AU1384+AV1384)/2)</f>
        <v>0</v>
      </c>
      <c r="AX1384">
        <f>IF(COUNT($E$2:$E1384)&lt;52,"",(MAX($C$1333:$C$1384)+MIN($D$1333:$D$1384))/2)</f>
        <v>0</v>
      </c>
      <c r="AY1384">
        <f>IF(COUNT($E$2:$E1384)&lt;20,"",MAX($C$1285:$C$1384))</f>
        <v>0</v>
      </c>
      <c r="AZ1384">
        <f>IF(COUNT($E$2:$E1384)&lt;20,"",MIN($D$1285:$D$1384))</f>
        <v>0</v>
      </c>
      <c r="BA1384">
        <f>IF(COUNT($E$2:$E1384)&lt;20,"",SLOPE($E$1285:$E$1384,$F$1285:$F$1384))</f>
        <v>0</v>
      </c>
      <c r="BB1384">
        <f>IF(COUNT($E$2:$E1384)&lt;20,"",INTERCEPT($E$1285:$E$1384,$F$1285:$F$1384))</f>
        <v>0</v>
      </c>
      <c r="BC1384">
        <f>IF(OR(BA1384="",BB1384=""),"",BB1384+BA1384*F1384)</f>
        <v>0</v>
      </c>
      <c r="BD1384">
        <f>IF(COUNT($E$2:$E1384)&lt;20,"",STEYX($E$1285:$E$1384,$F$1285:$F$1384))</f>
        <v>0</v>
      </c>
      <c r="BE1384">
        <f>IF($E1384="","",IF(AND(COUNT($E$1385:$E$1388)&gt;=4,$C1384=MAX($C$1380:$C$1388)),$C1384,""))</f>
        <v>0</v>
      </c>
      <c r="BF1384">
        <f>IF($E1384="","",IF(AND(COUNT($E$1385:$E$1388)&gt;=4,$D1384=MIN($D$1380:$D$1388)),$D1384,""))</f>
        <v>0</v>
      </c>
      <c r="BG1384">
        <f>IF($A1384="","",$A1384-WEEKDAY($A1384,2)+1)</f>
        <v>0</v>
      </c>
      <c r="BH1384">
        <f>IF($A1384="","",IF($A1383="",1,IF(BG1384&lt;&gt;BG1383,1,0)))</f>
        <v>0</v>
      </c>
      <c r="BI1384">
        <f>IF($A1384="","",IF($A1385="",1,IF(BG1385&lt;&gt;BG1384,1,0)))</f>
        <v>0</v>
      </c>
      <c r="BJ1384">
        <f>IF($A1384="","",IF(BH1384=1,$B1384,BJ1383))</f>
        <v>0</v>
      </c>
      <c r="BK1384">
        <f>IF($A1384="","",IF(BH1384=1,$C1384,MAX($C1384,BK1383)))</f>
        <v>0</v>
      </c>
      <c r="BL1384">
        <f>IF($A1384="","",IF(BH1384=1,$D1384,MIN($D1384,BL1383)))</f>
        <v>0</v>
      </c>
      <c r="BM1384">
        <f>IF($A1384="","",IF(BI1384=1,F1384,""))</f>
        <v>0</v>
      </c>
      <c r="BN1384">
        <f>IF($A1384="","",DATE(YEAR($A1384),MONTH($A1384),1))</f>
        <v>0</v>
      </c>
      <c r="BO1384">
        <f>IF($A1384="","",IF($A1383="",1,IF(BN1384&lt;&gt;BN1383,1,0)))</f>
        <v>0</v>
      </c>
      <c r="BP1384">
        <f>IF($A1384="","",IF($A1385="",1,IF(BN1385&lt;&gt;BN1384,1,0)))</f>
        <v>0</v>
      </c>
      <c r="BQ1384">
        <f>IF($A1384="","",IF(BO1384=1,$B1384,BQ1383))</f>
        <v>0</v>
      </c>
      <c r="BR1384">
        <f>IF($A1384="","",IF(BO1384=1,$C1384,MAX($C1384,BR1383)))</f>
        <v>0</v>
      </c>
      <c r="BS1384">
        <f>IF($A1384="","",IF(BO1384=1,$D1384,MIN($D1384,BS1383)))</f>
        <v>0</v>
      </c>
      <c r="BT1384">
        <f>IF($A1384="","",IF(BP1384=1,F1384,""))</f>
        <v>0</v>
      </c>
    </row>
    <row r="1385" spans="1:72">
      <c r="A1385" s="27">
        <f>IF(Data!$A1385="","",Data!$A1385)</f>
        <v>0</v>
      </c>
      <c r="B1385">
        <f>IF(Data!$B1385="","",Data!$B1385)</f>
        <v>0</v>
      </c>
      <c r="C1385">
        <f>IF(Data!$C1385="","",Data!$C1385)</f>
        <v>0</v>
      </c>
      <c r="D1385">
        <f>IF(Data!$D1385="","",Data!$D1385)</f>
        <v>0</v>
      </c>
      <c r="E1385">
        <f>IF(Data!$E1385="","",Data!$E1385)</f>
        <v>0</v>
      </c>
      <c r="F1385">
        <f>IF($E1385="","",N(F1384)+1)</f>
        <v>0</v>
      </c>
      <c r="G1385">
        <f>IF(OR($E1385="",$E1384=""),"",LN($E1385/$E1384))</f>
        <v>0</v>
      </c>
      <c r="H1385">
        <f>IF($E1385="","",IF($E1384="",$E1385,$E1385*0.0952380952+H1384*0.9047619048))</f>
        <v>0</v>
      </c>
      <c r="I1385">
        <f>IF($E1385="","",IF($E1384="",$E1385,$E1385*0.0392156863+I1384*0.9607843137))</f>
        <v>0</v>
      </c>
      <c r="J1385">
        <f>IF($E1385="","",IF($E1384="",$E1385,$E1385*0.0198019802+J1384*0.9801980198))</f>
        <v>0</v>
      </c>
      <c r="K1385">
        <f>IF($E1385="","",IF($E1384="",$E1385,$E1385*0.0099502488+K1384*0.9900497512))</f>
        <v>0</v>
      </c>
      <c r="L1385">
        <f>IF(OR($E1385="",$E1384=""),"",MAX($E1385-$E1384,0))</f>
        <v>0</v>
      </c>
      <c r="M1385">
        <f>IF(OR($E1385="",$E1384=""),"",MAX($E1384-$E1385,0))</f>
        <v>0</v>
      </c>
      <c r="N1385">
        <f>IF(COUNT($E$2:$E1385)&lt;15,"",IF(AVERAGE($M$1372:$M$1385)=0,100,100-100/(1+AVERAGE($L$1372:$L$1385)/AVERAGE($M$1372:$M$1385))))</f>
        <v>0</v>
      </c>
      <c r="O1385">
        <f>IF($E1385="","",IF($E1384="",$E1385,$E1385*0.1538461538+O1384*0.8461538462))</f>
        <v>0</v>
      </c>
      <c r="P1385">
        <f>IF($E1385="","",IF($E1384="",$E1385,$E1385*0.0740740741+P1384*0.9259259259))</f>
        <v>0</v>
      </c>
      <c r="Q1385">
        <f>IF(OR(O1385="",P1385=""),"",O1385-P1385)</f>
        <v>0</v>
      </c>
      <c r="R1385">
        <f>IF(Q1385="","",IF(R1384="",Q1385,Q1385*0.2000000000+R1384*0.8000000000))</f>
        <v>0</v>
      </c>
      <c r="S1385">
        <f>IF(OR(Q1385="",R1385=""),"",Q1385-R1385)</f>
        <v>0</v>
      </c>
      <c r="T1385">
        <f>IF(COUNT($E$2:$E1385)&lt;14,"",MAX($C$1372:$C$1385))</f>
        <v>0</v>
      </c>
      <c r="U1385">
        <f>IF(COUNT($E$2:$E1385)&lt;14,"",MIN($D$1372:$D$1385))</f>
        <v>0</v>
      </c>
      <c r="V1385">
        <f>IF(OR(T1385="",U1385="",T1385=U1385),"",100*($E1385-U1385)/(T1385-U1385))</f>
        <v>0</v>
      </c>
      <c r="W1385">
        <f>IF(COUNT($V$1383:$V$1385)&lt;3,"",AVERAGE($V$1383:$V$1385))</f>
        <v>0</v>
      </c>
      <c r="X1385">
        <f>IF(COUNT($N$1372:$N$1385)&lt;14,"",MIN($N$1372:$N$1385))</f>
        <v>0</v>
      </c>
      <c r="Y1385">
        <f>IF(COUNT($N$1372:$N$1385)&lt;14,"",MAX($N$1372:$N$1385))</f>
        <v>0</v>
      </c>
      <c r="Z1385">
        <f>IF(OR(N1385="",X1385="",Y1385="",Y1385=X1385),"",100*(N1385-X1385)/(Y1385-X1385))</f>
        <v>0</v>
      </c>
      <c r="AA1385">
        <f>IF(COUNT($Z$1383:$Z$1385)&lt;3,"",AVERAGE($Z$1383:$Z$1385))</f>
        <v>0</v>
      </c>
      <c r="AB1385">
        <f>IF(COUNT($AA$1383:$AA$1385)&lt;3,"",AVERAGE($AA$1383:$AA$1385))</f>
        <v>0</v>
      </c>
      <c r="AC1385">
        <f>IF($E1385="","",MAX($C1385-$D1385,ABS($C1385-$E1384),ABS($D1385-$E1384)))</f>
        <v>0</v>
      </c>
      <c r="AD1385">
        <f>IF(COUNT($E$2:$E1385)&lt;15,"",AVERAGE($AC$1372:$AC$1385))</f>
        <v>0</v>
      </c>
      <c r="AE1385">
        <f>IF(OR($E1385="",$E1384=""),"",IF(AND(($C1385-$C1384)&gt;($D1384-$D1385),($C1385-$C1384)&gt;0),$C1385-$C1384,0))</f>
        <v>0</v>
      </c>
      <c r="AF1385">
        <f>IF(OR($E1385="",$E1384=""),"",IF(AND(($D1384-$D1385)&gt;($C1385-$C1384),($D1384-$D1385)&gt;0),$D1384-$D1385,0))</f>
        <v>0</v>
      </c>
      <c r="AG1385">
        <f>IF(COUNT($E$2:$E1385)&lt;15,"",IF(SUM($AC$1372:$AC$1385)=0,0,100*SUM($AE$1372:$AE$1385)/SUM($AC$1372:$AC$1385)))</f>
        <v>0</v>
      </c>
      <c r="AH1385">
        <f>IF(COUNT($E$2:$E1385)&lt;15,"",IF(SUM($AC$1372:$AC$1385)=0,0,100*SUM($AF$1372:$AF$1385)/SUM($AC$1372:$AC$1385)))</f>
        <v>0</v>
      </c>
      <c r="AI1385">
        <f>IF(OR(AG1385="",AH1385=""),"",IF((AG1385+AH1385)=0,0,100*ABS(AG1385-AH1385)/(AG1385+AH1385)))</f>
        <v>0</v>
      </c>
      <c r="AJ1385">
        <f>IF(COUNT($AI$1372:$AI$1385)&lt;14,"",AVERAGE($AI$1372:$AI$1385))</f>
        <v>0</v>
      </c>
      <c r="AK1385">
        <f>IF(COUNT($E$2:$E1385)&lt;20,"",AVERAGE($E$1366:$E$1385))</f>
        <v>0</v>
      </c>
      <c r="AL1385">
        <f>IF(COUNT($E$2:$E1385)&lt;20,"",STDEVP($E$1366:$E$1385))</f>
        <v>0</v>
      </c>
      <c r="AM1385">
        <f>IF(AK1385="","",AK1385+2*AL1385)</f>
        <v>0</v>
      </c>
      <c r="AN1385">
        <f>IF(AK1385="","",AK1385-2*AL1385)</f>
        <v>0</v>
      </c>
      <c r="AO1385">
        <f>IF(OR(AM1385="",AN1385="",AM1385=AN1385),"",($E1385-AN1385)/(AM1385-AN1385))</f>
        <v>0</v>
      </c>
      <c r="AP1385">
        <f>IF(OR(AM1385="",AK1385="",AK1385=0),"",(AM1385-AN1385)/AK1385)</f>
        <v>0</v>
      </c>
      <c r="AQ1385">
        <f>IF(COUNT($E$2:$E1385)&lt;20,"",MAX($C$1366:$C$1385))</f>
        <v>0</v>
      </c>
      <c r="AR1385">
        <f>IF(COUNT($E$2:$E1385)&lt;20,"",MIN($D$1366:$D$1385))</f>
        <v>0</v>
      </c>
      <c r="AS1385">
        <f>IF(OR(AQ1385="",AR1385=""),"",(AQ1385+AR1385)/2)</f>
        <v>0</v>
      </c>
      <c r="AT1385">
        <f>IF(COUNT($G$1366:$G$1385)&lt;20,"",STDEV($G$1366:$G$1385)*SQRT(252))</f>
        <v>0</v>
      </c>
      <c r="AU1385">
        <f>IF(COUNT($E$2:$E1385)&lt;9,"",(MAX($C$1377:$C$1385)+MIN($D$1377:$D$1385))/2)</f>
        <v>0</v>
      </c>
      <c r="AV1385">
        <f>IF(COUNT($E$2:$E1385)&lt;26,"",(MAX($C$1360:$C$1385)+MIN($D$1360:$D$1385))/2)</f>
        <v>0</v>
      </c>
      <c r="AW1385">
        <f>IF(OR(AU1385="",AV1385=""),"",(AU1385+AV1385)/2)</f>
        <v>0</v>
      </c>
      <c r="AX1385">
        <f>IF(COUNT($E$2:$E1385)&lt;52,"",(MAX($C$1334:$C$1385)+MIN($D$1334:$D$1385))/2)</f>
        <v>0</v>
      </c>
      <c r="AY1385">
        <f>IF(COUNT($E$2:$E1385)&lt;20,"",MAX($C$1286:$C$1385))</f>
        <v>0</v>
      </c>
      <c r="AZ1385">
        <f>IF(COUNT($E$2:$E1385)&lt;20,"",MIN($D$1286:$D$1385))</f>
        <v>0</v>
      </c>
      <c r="BA1385">
        <f>IF(COUNT($E$2:$E1385)&lt;20,"",SLOPE($E$1286:$E$1385,$F$1286:$F$1385))</f>
        <v>0</v>
      </c>
      <c r="BB1385">
        <f>IF(COUNT($E$2:$E1385)&lt;20,"",INTERCEPT($E$1286:$E$1385,$F$1286:$F$1385))</f>
        <v>0</v>
      </c>
      <c r="BC1385">
        <f>IF(OR(BA1385="",BB1385=""),"",BB1385+BA1385*F1385)</f>
        <v>0</v>
      </c>
      <c r="BD1385">
        <f>IF(COUNT($E$2:$E1385)&lt;20,"",STEYX($E$1286:$E$1385,$F$1286:$F$1385))</f>
        <v>0</v>
      </c>
      <c r="BE1385">
        <f>IF($E1385="","",IF(AND(COUNT($E$1386:$E$1389)&gt;=4,$C1385=MAX($C$1381:$C$1389)),$C1385,""))</f>
        <v>0</v>
      </c>
      <c r="BF1385">
        <f>IF($E1385="","",IF(AND(COUNT($E$1386:$E$1389)&gt;=4,$D1385=MIN($D$1381:$D$1389)),$D1385,""))</f>
        <v>0</v>
      </c>
      <c r="BG1385">
        <f>IF($A1385="","",$A1385-WEEKDAY($A1385,2)+1)</f>
        <v>0</v>
      </c>
      <c r="BH1385">
        <f>IF($A1385="","",IF($A1384="",1,IF(BG1385&lt;&gt;BG1384,1,0)))</f>
        <v>0</v>
      </c>
      <c r="BI1385">
        <f>IF($A1385="","",IF($A1386="",1,IF(BG1386&lt;&gt;BG1385,1,0)))</f>
        <v>0</v>
      </c>
      <c r="BJ1385">
        <f>IF($A1385="","",IF(BH1385=1,$B1385,BJ1384))</f>
        <v>0</v>
      </c>
      <c r="BK1385">
        <f>IF($A1385="","",IF(BH1385=1,$C1385,MAX($C1385,BK1384)))</f>
        <v>0</v>
      </c>
      <c r="BL1385">
        <f>IF($A1385="","",IF(BH1385=1,$D1385,MIN($D1385,BL1384)))</f>
        <v>0</v>
      </c>
      <c r="BM1385">
        <f>IF($A1385="","",IF(BI1385=1,F1385,""))</f>
        <v>0</v>
      </c>
      <c r="BN1385">
        <f>IF($A1385="","",DATE(YEAR($A1385),MONTH($A1385),1))</f>
        <v>0</v>
      </c>
      <c r="BO1385">
        <f>IF($A1385="","",IF($A1384="",1,IF(BN1385&lt;&gt;BN1384,1,0)))</f>
        <v>0</v>
      </c>
      <c r="BP1385">
        <f>IF($A1385="","",IF($A1386="",1,IF(BN1386&lt;&gt;BN1385,1,0)))</f>
        <v>0</v>
      </c>
      <c r="BQ1385">
        <f>IF($A1385="","",IF(BO1385=1,$B1385,BQ1384))</f>
        <v>0</v>
      </c>
      <c r="BR1385">
        <f>IF($A1385="","",IF(BO1385=1,$C1385,MAX($C1385,BR1384)))</f>
        <v>0</v>
      </c>
      <c r="BS1385">
        <f>IF($A1385="","",IF(BO1385=1,$D1385,MIN($D1385,BS1384)))</f>
        <v>0</v>
      </c>
      <c r="BT1385">
        <f>IF($A1385="","",IF(BP1385=1,F1385,""))</f>
        <v>0</v>
      </c>
    </row>
    <row r="1386" spans="1:72">
      <c r="A1386" s="27">
        <f>IF(Data!$A1386="","",Data!$A1386)</f>
        <v>0</v>
      </c>
      <c r="B1386">
        <f>IF(Data!$B1386="","",Data!$B1386)</f>
        <v>0</v>
      </c>
      <c r="C1386">
        <f>IF(Data!$C1386="","",Data!$C1386)</f>
        <v>0</v>
      </c>
      <c r="D1386">
        <f>IF(Data!$D1386="","",Data!$D1386)</f>
        <v>0</v>
      </c>
      <c r="E1386">
        <f>IF(Data!$E1386="","",Data!$E1386)</f>
        <v>0</v>
      </c>
      <c r="F1386">
        <f>IF($E1386="","",N(F1385)+1)</f>
        <v>0</v>
      </c>
      <c r="G1386">
        <f>IF(OR($E1386="",$E1385=""),"",LN($E1386/$E1385))</f>
        <v>0</v>
      </c>
      <c r="H1386">
        <f>IF($E1386="","",IF($E1385="",$E1386,$E1386*0.0952380952+H1385*0.9047619048))</f>
        <v>0</v>
      </c>
      <c r="I1386">
        <f>IF($E1386="","",IF($E1385="",$E1386,$E1386*0.0392156863+I1385*0.9607843137))</f>
        <v>0</v>
      </c>
      <c r="J1386">
        <f>IF($E1386="","",IF($E1385="",$E1386,$E1386*0.0198019802+J1385*0.9801980198))</f>
        <v>0</v>
      </c>
      <c r="K1386">
        <f>IF($E1386="","",IF($E1385="",$E1386,$E1386*0.0099502488+K1385*0.9900497512))</f>
        <v>0</v>
      </c>
      <c r="L1386">
        <f>IF(OR($E1386="",$E1385=""),"",MAX($E1386-$E1385,0))</f>
        <v>0</v>
      </c>
      <c r="M1386">
        <f>IF(OR($E1386="",$E1385=""),"",MAX($E1385-$E1386,0))</f>
        <v>0</v>
      </c>
      <c r="N1386">
        <f>IF(COUNT($E$2:$E1386)&lt;15,"",IF(AVERAGE($M$1373:$M$1386)=0,100,100-100/(1+AVERAGE($L$1373:$L$1386)/AVERAGE($M$1373:$M$1386))))</f>
        <v>0</v>
      </c>
      <c r="O1386">
        <f>IF($E1386="","",IF($E1385="",$E1386,$E1386*0.1538461538+O1385*0.8461538462))</f>
        <v>0</v>
      </c>
      <c r="P1386">
        <f>IF($E1386="","",IF($E1385="",$E1386,$E1386*0.0740740741+P1385*0.9259259259))</f>
        <v>0</v>
      </c>
      <c r="Q1386">
        <f>IF(OR(O1386="",P1386=""),"",O1386-P1386)</f>
        <v>0</v>
      </c>
      <c r="R1386">
        <f>IF(Q1386="","",IF(R1385="",Q1386,Q1386*0.2000000000+R1385*0.8000000000))</f>
        <v>0</v>
      </c>
      <c r="S1386">
        <f>IF(OR(Q1386="",R1386=""),"",Q1386-R1386)</f>
        <v>0</v>
      </c>
      <c r="T1386">
        <f>IF(COUNT($E$2:$E1386)&lt;14,"",MAX($C$1373:$C$1386))</f>
        <v>0</v>
      </c>
      <c r="U1386">
        <f>IF(COUNT($E$2:$E1386)&lt;14,"",MIN($D$1373:$D$1386))</f>
        <v>0</v>
      </c>
      <c r="V1386">
        <f>IF(OR(T1386="",U1386="",T1386=U1386),"",100*($E1386-U1386)/(T1386-U1386))</f>
        <v>0</v>
      </c>
      <c r="W1386">
        <f>IF(COUNT($V$1384:$V$1386)&lt;3,"",AVERAGE($V$1384:$V$1386))</f>
        <v>0</v>
      </c>
      <c r="X1386">
        <f>IF(COUNT($N$1373:$N$1386)&lt;14,"",MIN($N$1373:$N$1386))</f>
        <v>0</v>
      </c>
      <c r="Y1386">
        <f>IF(COUNT($N$1373:$N$1386)&lt;14,"",MAX($N$1373:$N$1386))</f>
        <v>0</v>
      </c>
      <c r="Z1386">
        <f>IF(OR(N1386="",X1386="",Y1386="",Y1386=X1386),"",100*(N1386-X1386)/(Y1386-X1386))</f>
        <v>0</v>
      </c>
      <c r="AA1386">
        <f>IF(COUNT($Z$1384:$Z$1386)&lt;3,"",AVERAGE($Z$1384:$Z$1386))</f>
        <v>0</v>
      </c>
      <c r="AB1386">
        <f>IF(COUNT($AA$1384:$AA$1386)&lt;3,"",AVERAGE($AA$1384:$AA$1386))</f>
        <v>0</v>
      </c>
      <c r="AC1386">
        <f>IF($E1386="","",MAX($C1386-$D1386,ABS($C1386-$E1385),ABS($D1386-$E1385)))</f>
        <v>0</v>
      </c>
      <c r="AD1386">
        <f>IF(COUNT($E$2:$E1386)&lt;15,"",AVERAGE($AC$1373:$AC$1386))</f>
        <v>0</v>
      </c>
      <c r="AE1386">
        <f>IF(OR($E1386="",$E1385=""),"",IF(AND(($C1386-$C1385)&gt;($D1385-$D1386),($C1386-$C1385)&gt;0),$C1386-$C1385,0))</f>
        <v>0</v>
      </c>
      <c r="AF1386">
        <f>IF(OR($E1386="",$E1385=""),"",IF(AND(($D1385-$D1386)&gt;($C1386-$C1385),($D1385-$D1386)&gt;0),$D1385-$D1386,0))</f>
        <v>0</v>
      </c>
      <c r="AG1386">
        <f>IF(COUNT($E$2:$E1386)&lt;15,"",IF(SUM($AC$1373:$AC$1386)=0,0,100*SUM($AE$1373:$AE$1386)/SUM($AC$1373:$AC$1386)))</f>
        <v>0</v>
      </c>
      <c r="AH1386">
        <f>IF(COUNT($E$2:$E1386)&lt;15,"",IF(SUM($AC$1373:$AC$1386)=0,0,100*SUM($AF$1373:$AF$1386)/SUM($AC$1373:$AC$1386)))</f>
        <v>0</v>
      </c>
      <c r="AI1386">
        <f>IF(OR(AG1386="",AH1386=""),"",IF((AG1386+AH1386)=0,0,100*ABS(AG1386-AH1386)/(AG1386+AH1386)))</f>
        <v>0</v>
      </c>
      <c r="AJ1386">
        <f>IF(COUNT($AI$1373:$AI$1386)&lt;14,"",AVERAGE($AI$1373:$AI$1386))</f>
        <v>0</v>
      </c>
      <c r="AK1386">
        <f>IF(COUNT($E$2:$E1386)&lt;20,"",AVERAGE($E$1367:$E$1386))</f>
        <v>0</v>
      </c>
      <c r="AL1386">
        <f>IF(COUNT($E$2:$E1386)&lt;20,"",STDEVP($E$1367:$E$1386))</f>
        <v>0</v>
      </c>
      <c r="AM1386">
        <f>IF(AK1386="","",AK1386+2*AL1386)</f>
        <v>0</v>
      </c>
      <c r="AN1386">
        <f>IF(AK1386="","",AK1386-2*AL1386)</f>
        <v>0</v>
      </c>
      <c r="AO1386">
        <f>IF(OR(AM1386="",AN1386="",AM1386=AN1386),"",($E1386-AN1386)/(AM1386-AN1386))</f>
        <v>0</v>
      </c>
      <c r="AP1386">
        <f>IF(OR(AM1386="",AK1386="",AK1386=0),"",(AM1386-AN1386)/AK1386)</f>
        <v>0</v>
      </c>
      <c r="AQ1386">
        <f>IF(COUNT($E$2:$E1386)&lt;20,"",MAX($C$1367:$C$1386))</f>
        <v>0</v>
      </c>
      <c r="AR1386">
        <f>IF(COUNT($E$2:$E1386)&lt;20,"",MIN($D$1367:$D$1386))</f>
        <v>0</v>
      </c>
      <c r="AS1386">
        <f>IF(OR(AQ1386="",AR1386=""),"",(AQ1386+AR1386)/2)</f>
        <v>0</v>
      </c>
      <c r="AT1386">
        <f>IF(COUNT($G$1367:$G$1386)&lt;20,"",STDEV($G$1367:$G$1386)*SQRT(252))</f>
        <v>0</v>
      </c>
      <c r="AU1386">
        <f>IF(COUNT($E$2:$E1386)&lt;9,"",(MAX($C$1378:$C$1386)+MIN($D$1378:$D$1386))/2)</f>
        <v>0</v>
      </c>
      <c r="AV1386">
        <f>IF(COUNT($E$2:$E1386)&lt;26,"",(MAX($C$1361:$C$1386)+MIN($D$1361:$D$1386))/2)</f>
        <v>0</v>
      </c>
      <c r="AW1386">
        <f>IF(OR(AU1386="",AV1386=""),"",(AU1386+AV1386)/2)</f>
        <v>0</v>
      </c>
      <c r="AX1386">
        <f>IF(COUNT($E$2:$E1386)&lt;52,"",(MAX($C$1335:$C$1386)+MIN($D$1335:$D$1386))/2)</f>
        <v>0</v>
      </c>
      <c r="AY1386">
        <f>IF(COUNT($E$2:$E1386)&lt;20,"",MAX($C$1287:$C$1386))</f>
        <v>0</v>
      </c>
      <c r="AZ1386">
        <f>IF(COUNT($E$2:$E1386)&lt;20,"",MIN($D$1287:$D$1386))</f>
        <v>0</v>
      </c>
      <c r="BA1386">
        <f>IF(COUNT($E$2:$E1386)&lt;20,"",SLOPE($E$1287:$E$1386,$F$1287:$F$1386))</f>
        <v>0</v>
      </c>
      <c r="BB1386">
        <f>IF(COUNT($E$2:$E1386)&lt;20,"",INTERCEPT($E$1287:$E$1386,$F$1287:$F$1386))</f>
        <v>0</v>
      </c>
      <c r="BC1386">
        <f>IF(OR(BA1386="",BB1386=""),"",BB1386+BA1386*F1386)</f>
        <v>0</v>
      </c>
      <c r="BD1386">
        <f>IF(COUNT($E$2:$E1386)&lt;20,"",STEYX($E$1287:$E$1386,$F$1287:$F$1386))</f>
        <v>0</v>
      </c>
      <c r="BE1386">
        <f>IF($E1386="","",IF(AND(COUNT($E$1387:$E$1390)&gt;=4,$C1386=MAX($C$1382:$C$1390)),$C1386,""))</f>
        <v>0</v>
      </c>
      <c r="BF1386">
        <f>IF($E1386="","",IF(AND(COUNT($E$1387:$E$1390)&gt;=4,$D1386=MIN($D$1382:$D$1390)),$D1386,""))</f>
        <v>0</v>
      </c>
      <c r="BG1386">
        <f>IF($A1386="","",$A1386-WEEKDAY($A1386,2)+1)</f>
        <v>0</v>
      </c>
      <c r="BH1386">
        <f>IF($A1386="","",IF($A1385="",1,IF(BG1386&lt;&gt;BG1385,1,0)))</f>
        <v>0</v>
      </c>
      <c r="BI1386">
        <f>IF($A1386="","",IF($A1387="",1,IF(BG1387&lt;&gt;BG1386,1,0)))</f>
        <v>0</v>
      </c>
      <c r="BJ1386">
        <f>IF($A1386="","",IF(BH1386=1,$B1386,BJ1385))</f>
        <v>0</v>
      </c>
      <c r="BK1386">
        <f>IF($A1386="","",IF(BH1386=1,$C1386,MAX($C1386,BK1385)))</f>
        <v>0</v>
      </c>
      <c r="BL1386">
        <f>IF($A1386="","",IF(BH1386=1,$D1386,MIN($D1386,BL1385)))</f>
        <v>0</v>
      </c>
      <c r="BM1386">
        <f>IF($A1386="","",IF(BI1386=1,F1386,""))</f>
        <v>0</v>
      </c>
      <c r="BN1386">
        <f>IF($A1386="","",DATE(YEAR($A1386),MONTH($A1386),1))</f>
        <v>0</v>
      </c>
      <c r="BO1386">
        <f>IF($A1386="","",IF($A1385="",1,IF(BN1386&lt;&gt;BN1385,1,0)))</f>
        <v>0</v>
      </c>
      <c r="BP1386">
        <f>IF($A1386="","",IF($A1387="",1,IF(BN1387&lt;&gt;BN1386,1,0)))</f>
        <v>0</v>
      </c>
      <c r="BQ1386">
        <f>IF($A1386="","",IF(BO1386=1,$B1386,BQ1385))</f>
        <v>0</v>
      </c>
      <c r="BR1386">
        <f>IF($A1386="","",IF(BO1386=1,$C1386,MAX($C1386,BR1385)))</f>
        <v>0</v>
      </c>
      <c r="BS1386">
        <f>IF($A1386="","",IF(BO1386=1,$D1386,MIN($D1386,BS1385)))</f>
        <v>0</v>
      </c>
      <c r="BT1386">
        <f>IF($A1386="","",IF(BP1386=1,F1386,""))</f>
        <v>0</v>
      </c>
    </row>
    <row r="1387" spans="1:72">
      <c r="A1387" s="27">
        <f>IF(Data!$A1387="","",Data!$A1387)</f>
        <v>0</v>
      </c>
      <c r="B1387">
        <f>IF(Data!$B1387="","",Data!$B1387)</f>
        <v>0</v>
      </c>
      <c r="C1387">
        <f>IF(Data!$C1387="","",Data!$C1387)</f>
        <v>0</v>
      </c>
      <c r="D1387">
        <f>IF(Data!$D1387="","",Data!$D1387)</f>
        <v>0</v>
      </c>
      <c r="E1387">
        <f>IF(Data!$E1387="","",Data!$E1387)</f>
        <v>0</v>
      </c>
      <c r="F1387">
        <f>IF($E1387="","",N(F1386)+1)</f>
        <v>0</v>
      </c>
      <c r="G1387">
        <f>IF(OR($E1387="",$E1386=""),"",LN($E1387/$E1386))</f>
        <v>0</v>
      </c>
      <c r="H1387">
        <f>IF($E1387="","",IF($E1386="",$E1387,$E1387*0.0952380952+H1386*0.9047619048))</f>
        <v>0</v>
      </c>
      <c r="I1387">
        <f>IF($E1387="","",IF($E1386="",$E1387,$E1387*0.0392156863+I1386*0.9607843137))</f>
        <v>0</v>
      </c>
      <c r="J1387">
        <f>IF($E1387="","",IF($E1386="",$E1387,$E1387*0.0198019802+J1386*0.9801980198))</f>
        <v>0</v>
      </c>
      <c r="K1387">
        <f>IF($E1387="","",IF($E1386="",$E1387,$E1387*0.0099502488+K1386*0.9900497512))</f>
        <v>0</v>
      </c>
      <c r="L1387">
        <f>IF(OR($E1387="",$E1386=""),"",MAX($E1387-$E1386,0))</f>
        <v>0</v>
      </c>
      <c r="M1387">
        <f>IF(OR($E1387="",$E1386=""),"",MAX($E1386-$E1387,0))</f>
        <v>0</v>
      </c>
      <c r="N1387">
        <f>IF(COUNT($E$2:$E1387)&lt;15,"",IF(AVERAGE($M$1374:$M$1387)=0,100,100-100/(1+AVERAGE($L$1374:$L$1387)/AVERAGE($M$1374:$M$1387))))</f>
        <v>0</v>
      </c>
      <c r="O1387">
        <f>IF($E1387="","",IF($E1386="",$E1387,$E1387*0.1538461538+O1386*0.8461538462))</f>
        <v>0</v>
      </c>
      <c r="P1387">
        <f>IF($E1387="","",IF($E1386="",$E1387,$E1387*0.0740740741+P1386*0.9259259259))</f>
        <v>0</v>
      </c>
      <c r="Q1387">
        <f>IF(OR(O1387="",P1387=""),"",O1387-P1387)</f>
        <v>0</v>
      </c>
      <c r="R1387">
        <f>IF(Q1387="","",IF(R1386="",Q1387,Q1387*0.2000000000+R1386*0.8000000000))</f>
        <v>0</v>
      </c>
      <c r="S1387">
        <f>IF(OR(Q1387="",R1387=""),"",Q1387-R1387)</f>
        <v>0</v>
      </c>
      <c r="T1387">
        <f>IF(COUNT($E$2:$E1387)&lt;14,"",MAX($C$1374:$C$1387))</f>
        <v>0</v>
      </c>
      <c r="U1387">
        <f>IF(COUNT($E$2:$E1387)&lt;14,"",MIN($D$1374:$D$1387))</f>
        <v>0</v>
      </c>
      <c r="V1387">
        <f>IF(OR(T1387="",U1387="",T1387=U1387),"",100*($E1387-U1387)/(T1387-U1387))</f>
        <v>0</v>
      </c>
      <c r="W1387">
        <f>IF(COUNT($V$1385:$V$1387)&lt;3,"",AVERAGE($V$1385:$V$1387))</f>
        <v>0</v>
      </c>
      <c r="X1387">
        <f>IF(COUNT($N$1374:$N$1387)&lt;14,"",MIN($N$1374:$N$1387))</f>
        <v>0</v>
      </c>
      <c r="Y1387">
        <f>IF(COUNT($N$1374:$N$1387)&lt;14,"",MAX($N$1374:$N$1387))</f>
        <v>0</v>
      </c>
      <c r="Z1387">
        <f>IF(OR(N1387="",X1387="",Y1387="",Y1387=X1387),"",100*(N1387-X1387)/(Y1387-X1387))</f>
        <v>0</v>
      </c>
      <c r="AA1387">
        <f>IF(COUNT($Z$1385:$Z$1387)&lt;3,"",AVERAGE($Z$1385:$Z$1387))</f>
        <v>0</v>
      </c>
      <c r="AB1387">
        <f>IF(COUNT($AA$1385:$AA$1387)&lt;3,"",AVERAGE($AA$1385:$AA$1387))</f>
        <v>0</v>
      </c>
      <c r="AC1387">
        <f>IF($E1387="","",MAX($C1387-$D1387,ABS($C1387-$E1386),ABS($D1387-$E1386)))</f>
        <v>0</v>
      </c>
      <c r="AD1387">
        <f>IF(COUNT($E$2:$E1387)&lt;15,"",AVERAGE($AC$1374:$AC$1387))</f>
        <v>0</v>
      </c>
      <c r="AE1387">
        <f>IF(OR($E1387="",$E1386=""),"",IF(AND(($C1387-$C1386)&gt;($D1386-$D1387),($C1387-$C1386)&gt;0),$C1387-$C1386,0))</f>
        <v>0</v>
      </c>
      <c r="AF1387">
        <f>IF(OR($E1387="",$E1386=""),"",IF(AND(($D1386-$D1387)&gt;($C1387-$C1386),($D1386-$D1387)&gt;0),$D1386-$D1387,0))</f>
        <v>0</v>
      </c>
      <c r="AG1387">
        <f>IF(COUNT($E$2:$E1387)&lt;15,"",IF(SUM($AC$1374:$AC$1387)=0,0,100*SUM($AE$1374:$AE$1387)/SUM($AC$1374:$AC$1387)))</f>
        <v>0</v>
      </c>
      <c r="AH1387">
        <f>IF(COUNT($E$2:$E1387)&lt;15,"",IF(SUM($AC$1374:$AC$1387)=0,0,100*SUM($AF$1374:$AF$1387)/SUM($AC$1374:$AC$1387)))</f>
        <v>0</v>
      </c>
      <c r="AI1387">
        <f>IF(OR(AG1387="",AH1387=""),"",IF((AG1387+AH1387)=0,0,100*ABS(AG1387-AH1387)/(AG1387+AH1387)))</f>
        <v>0</v>
      </c>
      <c r="AJ1387">
        <f>IF(COUNT($AI$1374:$AI$1387)&lt;14,"",AVERAGE($AI$1374:$AI$1387))</f>
        <v>0</v>
      </c>
      <c r="AK1387">
        <f>IF(COUNT($E$2:$E1387)&lt;20,"",AVERAGE($E$1368:$E$1387))</f>
        <v>0</v>
      </c>
      <c r="AL1387">
        <f>IF(COUNT($E$2:$E1387)&lt;20,"",STDEVP($E$1368:$E$1387))</f>
        <v>0</v>
      </c>
      <c r="AM1387">
        <f>IF(AK1387="","",AK1387+2*AL1387)</f>
        <v>0</v>
      </c>
      <c r="AN1387">
        <f>IF(AK1387="","",AK1387-2*AL1387)</f>
        <v>0</v>
      </c>
      <c r="AO1387">
        <f>IF(OR(AM1387="",AN1387="",AM1387=AN1387),"",($E1387-AN1387)/(AM1387-AN1387))</f>
        <v>0</v>
      </c>
      <c r="AP1387">
        <f>IF(OR(AM1387="",AK1387="",AK1387=0),"",(AM1387-AN1387)/AK1387)</f>
        <v>0</v>
      </c>
      <c r="AQ1387">
        <f>IF(COUNT($E$2:$E1387)&lt;20,"",MAX($C$1368:$C$1387))</f>
        <v>0</v>
      </c>
      <c r="AR1387">
        <f>IF(COUNT($E$2:$E1387)&lt;20,"",MIN($D$1368:$D$1387))</f>
        <v>0</v>
      </c>
      <c r="AS1387">
        <f>IF(OR(AQ1387="",AR1387=""),"",(AQ1387+AR1387)/2)</f>
        <v>0</v>
      </c>
      <c r="AT1387">
        <f>IF(COUNT($G$1368:$G$1387)&lt;20,"",STDEV($G$1368:$G$1387)*SQRT(252))</f>
        <v>0</v>
      </c>
      <c r="AU1387">
        <f>IF(COUNT($E$2:$E1387)&lt;9,"",(MAX($C$1379:$C$1387)+MIN($D$1379:$D$1387))/2)</f>
        <v>0</v>
      </c>
      <c r="AV1387">
        <f>IF(COUNT($E$2:$E1387)&lt;26,"",(MAX($C$1362:$C$1387)+MIN($D$1362:$D$1387))/2)</f>
        <v>0</v>
      </c>
      <c r="AW1387">
        <f>IF(OR(AU1387="",AV1387=""),"",(AU1387+AV1387)/2)</f>
        <v>0</v>
      </c>
      <c r="AX1387">
        <f>IF(COUNT($E$2:$E1387)&lt;52,"",(MAX($C$1336:$C$1387)+MIN($D$1336:$D$1387))/2)</f>
        <v>0</v>
      </c>
      <c r="AY1387">
        <f>IF(COUNT($E$2:$E1387)&lt;20,"",MAX($C$1288:$C$1387))</f>
        <v>0</v>
      </c>
      <c r="AZ1387">
        <f>IF(COUNT($E$2:$E1387)&lt;20,"",MIN($D$1288:$D$1387))</f>
        <v>0</v>
      </c>
      <c r="BA1387">
        <f>IF(COUNT($E$2:$E1387)&lt;20,"",SLOPE($E$1288:$E$1387,$F$1288:$F$1387))</f>
        <v>0</v>
      </c>
      <c r="BB1387">
        <f>IF(COUNT($E$2:$E1387)&lt;20,"",INTERCEPT($E$1288:$E$1387,$F$1288:$F$1387))</f>
        <v>0</v>
      </c>
      <c r="BC1387">
        <f>IF(OR(BA1387="",BB1387=""),"",BB1387+BA1387*F1387)</f>
        <v>0</v>
      </c>
      <c r="BD1387">
        <f>IF(COUNT($E$2:$E1387)&lt;20,"",STEYX($E$1288:$E$1387,$F$1288:$F$1387))</f>
        <v>0</v>
      </c>
      <c r="BE1387">
        <f>IF($E1387="","",IF(AND(COUNT($E$1388:$E$1391)&gt;=4,$C1387=MAX($C$1383:$C$1391)),$C1387,""))</f>
        <v>0</v>
      </c>
      <c r="BF1387">
        <f>IF($E1387="","",IF(AND(COUNT($E$1388:$E$1391)&gt;=4,$D1387=MIN($D$1383:$D$1391)),$D1387,""))</f>
        <v>0</v>
      </c>
      <c r="BG1387">
        <f>IF($A1387="","",$A1387-WEEKDAY($A1387,2)+1)</f>
        <v>0</v>
      </c>
      <c r="BH1387">
        <f>IF($A1387="","",IF($A1386="",1,IF(BG1387&lt;&gt;BG1386,1,0)))</f>
        <v>0</v>
      </c>
      <c r="BI1387">
        <f>IF($A1387="","",IF($A1388="",1,IF(BG1388&lt;&gt;BG1387,1,0)))</f>
        <v>0</v>
      </c>
      <c r="BJ1387">
        <f>IF($A1387="","",IF(BH1387=1,$B1387,BJ1386))</f>
        <v>0</v>
      </c>
      <c r="BK1387">
        <f>IF($A1387="","",IF(BH1387=1,$C1387,MAX($C1387,BK1386)))</f>
        <v>0</v>
      </c>
      <c r="BL1387">
        <f>IF($A1387="","",IF(BH1387=1,$D1387,MIN($D1387,BL1386)))</f>
        <v>0</v>
      </c>
      <c r="BM1387">
        <f>IF($A1387="","",IF(BI1387=1,F1387,""))</f>
        <v>0</v>
      </c>
      <c r="BN1387">
        <f>IF($A1387="","",DATE(YEAR($A1387),MONTH($A1387),1))</f>
        <v>0</v>
      </c>
      <c r="BO1387">
        <f>IF($A1387="","",IF($A1386="",1,IF(BN1387&lt;&gt;BN1386,1,0)))</f>
        <v>0</v>
      </c>
      <c r="BP1387">
        <f>IF($A1387="","",IF($A1388="",1,IF(BN1388&lt;&gt;BN1387,1,0)))</f>
        <v>0</v>
      </c>
      <c r="BQ1387">
        <f>IF($A1387="","",IF(BO1387=1,$B1387,BQ1386))</f>
        <v>0</v>
      </c>
      <c r="BR1387">
        <f>IF($A1387="","",IF(BO1387=1,$C1387,MAX($C1387,BR1386)))</f>
        <v>0</v>
      </c>
      <c r="BS1387">
        <f>IF($A1387="","",IF(BO1387=1,$D1387,MIN($D1387,BS1386)))</f>
        <v>0</v>
      </c>
      <c r="BT1387">
        <f>IF($A1387="","",IF(BP1387=1,F1387,""))</f>
        <v>0</v>
      </c>
    </row>
    <row r="1388" spans="1:72">
      <c r="A1388" s="27">
        <f>IF(Data!$A1388="","",Data!$A1388)</f>
        <v>0</v>
      </c>
      <c r="B1388">
        <f>IF(Data!$B1388="","",Data!$B1388)</f>
        <v>0</v>
      </c>
      <c r="C1388">
        <f>IF(Data!$C1388="","",Data!$C1388)</f>
        <v>0</v>
      </c>
      <c r="D1388">
        <f>IF(Data!$D1388="","",Data!$D1388)</f>
        <v>0</v>
      </c>
      <c r="E1388">
        <f>IF(Data!$E1388="","",Data!$E1388)</f>
        <v>0</v>
      </c>
      <c r="F1388">
        <f>IF($E1388="","",N(F1387)+1)</f>
        <v>0</v>
      </c>
      <c r="G1388">
        <f>IF(OR($E1388="",$E1387=""),"",LN($E1388/$E1387))</f>
        <v>0</v>
      </c>
      <c r="H1388">
        <f>IF($E1388="","",IF($E1387="",$E1388,$E1388*0.0952380952+H1387*0.9047619048))</f>
        <v>0</v>
      </c>
      <c r="I1388">
        <f>IF($E1388="","",IF($E1387="",$E1388,$E1388*0.0392156863+I1387*0.9607843137))</f>
        <v>0</v>
      </c>
      <c r="J1388">
        <f>IF($E1388="","",IF($E1387="",$E1388,$E1388*0.0198019802+J1387*0.9801980198))</f>
        <v>0</v>
      </c>
      <c r="K1388">
        <f>IF($E1388="","",IF($E1387="",$E1388,$E1388*0.0099502488+K1387*0.9900497512))</f>
        <v>0</v>
      </c>
      <c r="L1388">
        <f>IF(OR($E1388="",$E1387=""),"",MAX($E1388-$E1387,0))</f>
        <v>0</v>
      </c>
      <c r="M1388">
        <f>IF(OR($E1388="",$E1387=""),"",MAX($E1387-$E1388,0))</f>
        <v>0</v>
      </c>
      <c r="N1388">
        <f>IF(COUNT($E$2:$E1388)&lt;15,"",IF(AVERAGE($M$1375:$M$1388)=0,100,100-100/(1+AVERAGE($L$1375:$L$1388)/AVERAGE($M$1375:$M$1388))))</f>
        <v>0</v>
      </c>
      <c r="O1388">
        <f>IF($E1388="","",IF($E1387="",$E1388,$E1388*0.1538461538+O1387*0.8461538462))</f>
        <v>0</v>
      </c>
      <c r="P1388">
        <f>IF($E1388="","",IF($E1387="",$E1388,$E1388*0.0740740741+P1387*0.9259259259))</f>
        <v>0</v>
      </c>
      <c r="Q1388">
        <f>IF(OR(O1388="",P1388=""),"",O1388-P1388)</f>
        <v>0</v>
      </c>
      <c r="R1388">
        <f>IF(Q1388="","",IF(R1387="",Q1388,Q1388*0.2000000000+R1387*0.8000000000))</f>
        <v>0</v>
      </c>
      <c r="S1388">
        <f>IF(OR(Q1388="",R1388=""),"",Q1388-R1388)</f>
        <v>0</v>
      </c>
      <c r="T1388">
        <f>IF(COUNT($E$2:$E1388)&lt;14,"",MAX($C$1375:$C$1388))</f>
        <v>0</v>
      </c>
      <c r="U1388">
        <f>IF(COUNT($E$2:$E1388)&lt;14,"",MIN($D$1375:$D$1388))</f>
        <v>0</v>
      </c>
      <c r="V1388">
        <f>IF(OR(T1388="",U1388="",T1388=U1388),"",100*($E1388-U1388)/(T1388-U1388))</f>
        <v>0</v>
      </c>
      <c r="W1388">
        <f>IF(COUNT($V$1386:$V$1388)&lt;3,"",AVERAGE($V$1386:$V$1388))</f>
        <v>0</v>
      </c>
      <c r="X1388">
        <f>IF(COUNT($N$1375:$N$1388)&lt;14,"",MIN($N$1375:$N$1388))</f>
        <v>0</v>
      </c>
      <c r="Y1388">
        <f>IF(COUNT($N$1375:$N$1388)&lt;14,"",MAX($N$1375:$N$1388))</f>
        <v>0</v>
      </c>
      <c r="Z1388">
        <f>IF(OR(N1388="",X1388="",Y1388="",Y1388=X1388),"",100*(N1388-X1388)/(Y1388-X1388))</f>
        <v>0</v>
      </c>
      <c r="AA1388">
        <f>IF(COUNT($Z$1386:$Z$1388)&lt;3,"",AVERAGE($Z$1386:$Z$1388))</f>
        <v>0</v>
      </c>
      <c r="AB1388">
        <f>IF(COUNT($AA$1386:$AA$1388)&lt;3,"",AVERAGE($AA$1386:$AA$1388))</f>
        <v>0</v>
      </c>
      <c r="AC1388">
        <f>IF($E1388="","",MAX($C1388-$D1388,ABS($C1388-$E1387),ABS($D1388-$E1387)))</f>
        <v>0</v>
      </c>
      <c r="AD1388">
        <f>IF(COUNT($E$2:$E1388)&lt;15,"",AVERAGE($AC$1375:$AC$1388))</f>
        <v>0</v>
      </c>
      <c r="AE1388">
        <f>IF(OR($E1388="",$E1387=""),"",IF(AND(($C1388-$C1387)&gt;($D1387-$D1388),($C1388-$C1387)&gt;0),$C1388-$C1387,0))</f>
        <v>0</v>
      </c>
      <c r="AF1388">
        <f>IF(OR($E1388="",$E1387=""),"",IF(AND(($D1387-$D1388)&gt;($C1388-$C1387),($D1387-$D1388)&gt;0),$D1387-$D1388,0))</f>
        <v>0</v>
      </c>
      <c r="AG1388">
        <f>IF(COUNT($E$2:$E1388)&lt;15,"",IF(SUM($AC$1375:$AC$1388)=0,0,100*SUM($AE$1375:$AE$1388)/SUM($AC$1375:$AC$1388)))</f>
        <v>0</v>
      </c>
      <c r="AH1388">
        <f>IF(COUNT($E$2:$E1388)&lt;15,"",IF(SUM($AC$1375:$AC$1388)=0,0,100*SUM($AF$1375:$AF$1388)/SUM($AC$1375:$AC$1388)))</f>
        <v>0</v>
      </c>
      <c r="AI1388">
        <f>IF(OR(AG1388="",AH1388=""),"",IF((AG1388+AH1388)=0,0,100*ABS(AG1388-AH1388)/(AG1388+AH1388)))</f>
        <v>0</v>
      </c>
      <c r="AJ1388">
        <f>IF(COUNT($AI$1375:$AI$1388)&lt;14,"",AVERAGE($AI$1375:$AI$1388))</f>
        <v>0</v>
      </c>
      <c r="AK1388">
        <f>IF(COUNT($E$2:$E1388)&lt;20,"",AVERAGE($E$1369:$E$1388))</f>
        <v>0</v>
      </c>
      <c r="AL1388">
        <f>IF(COUNT($E$2:$E1388)&lt;20,"",STDEVP($E$1369:$E$1388))</f>
        <v>0</v>
      </c>
      <c r="AM1388">
        <f>IF(AK1388="","",AK1388+2*AL1388)</f>
        <v>0</v>
      </c>
      <c r="AN1388">
        <f>IF(AK1388="","",AK1388-2*AL1388)</f>
        <v>0</v>
      </c>
      <c r="AO1388">
        <f>IF(OR(AM1388="",AN1388="",AM1388=AN1388),"",($E1388-AN1388)/(AM1388-AN1388))</f>
        <v>0</v>
      </c>
      <c r="AP1388">
        <f>IF(OR(AM1388="",AK1388="",AK1388=0),"",(AM1388-AN1388)/AK1388)</f>
        <v>0</v>
      </c>
      <c r="AQ1388">
        <f>IF(COUNT($E$2:$E1388)&lt;20,"",MAX($C$1369:$C$1388))</f>
        <v>0</v>
      </c>
      <c r="AR1388">
        <f>IF(COUNT($E$2:$E1388)&lt;20,"",MIN($D$1369:$D$1388))</f>
        <v>0</v>
      </c>
      <c r="AS1388">
        <f>IF(OR(AQ1388="",AR1388=""),"",(AQ1388+AR1388)/2)</f>
        <v>0</v>
      </c>
      <c r="AT1388">
        <f>IF(COUNT($G$1369:$G$1388)&lt;20,"",STDEV($G$1369:$G$1388)*SQRT(252))</f>
        <v>0</v>
      </c>
      <c r="AU1388">
        <f>IF(COUNT($E$2:$E1388)&lt;9,"",(MAX($C$1380:$C$1388)+MIN($D$1380:$D$1388))/2)</f>
        <v>0</v>
      </c>
      <c r="AV1388">
        <f>IF(COUNT($E$2:$E1388)&lt;26,"",(MAX($C$1363:$C$1388)+MIN($D$1363:$D$1388))/2)</f>
        <v>0</v>
      </c>
      <c r="AW1388">
        <f>IF(OR(AU1388="",AV1388=""),"",(AU1388+AV1388)/2)</f>
        <v>0</v>
      </c>
      <c r="AX1388">
        <f>IF(COUNT($E$2:$E1388)&lt;52,"",(MAX($C$1337:$C$1388)+MIN($D$1337:$D$1388))/2)</f>
        <v>0</v>
      </c>
      <c r="AY1388">
        <f>IF(COUNT($E$2:$E1388)&lt;20,"",MAX($C$1289:$C$1388))</f>
        <v>0</v>
      </c>
      <c r="AZ1388">
        <f>IF(COUNT($E$2:$E1388)&lt;20,"",MIN($D$1289:$D$1388))</f>
        <v>0</v>
      </c>
      <c r="BA1388">
        <f>IF(COUNT($E$2:$E1388)&lt;20,"",SLOPE($E$1289:$E$1388,$F$1289:$F$1388))</f>
        <v>0</v>
      </c>
      <c r="BB1388">
        <f>IF(COUNT($E$2:$E1388)&lt;20,"",INTERCEPT($E$1289:$E$1388,$F$1289:$F$1388))</f>
        <v>0</v>
      </c>
      <c r="BC1388">
        <f>IF(OR(BA1388="",BB1388=""),"",BB1388+BA1388*F1388)</f>
        <v>0</v>
      </c>
      <c r="BD1388">
        <f>IF(COUNT($E$2:$E1388)&lt;20,"",STEYX($E$1289:$E$1388,$F$1289:$F$1388))</f>
        <v>0</v>
      </c>
      <c r="BE1388">
        <f>IF($E1388="","",IF(AND(COUNT($E$1389:$E$1392)&gt;=4,$C1388=MAX($C$1384:$C$1392)),$C1388,""))</f>
        <v>0</v>
      </c>
      <c r="BF1388">
        <f>IF($E1388="","",IF(AND(COUNT($E$1389:$E$1392)&gt;=4,$D1388=MIN($D$1384:$D$1392)),$D1388,""))</f>
        <v>0</v>
      </c>
      <c r="BG1388">
        <f>IF($A1388="","",$A1388-WEEKDAY($A1388,2)+1)</f>
        <v>0</v>
      </c>
      <c r="BH1388">
        <f>IF($A1388="","",IF($A1387="",1,IF(BG1388&lt;&gt;BG1387,1,0)))</f>
        <v>0</v>
      </c>
      <c r="BI1388">
        <f>IF($A1388="","",IF($A1389="",1,IF(BG1389&lt;&gt;BG1388,1,0)))</f>
        <v>0</v>
      </c>
      <c r="BJ1388">
        <f>IF($A1388="","",IF(BH1388=1,$B1388,BJ1387))</f>
        <v>0</v>
      </c>
      <c r="BK1388">
        <f>IF($A1388="","",IF(BH1388=1,$C1388,MAX($C1388,BK1387)))</f>
        <v>0</v>
      </c>
      <c r="BL1388">
        <f>IF($A1388="","",IF(BH1388=1,$D1388,MIN($D1388,BL1387)))</f>
        <v>0</v>
      </c>
      <c r="BM1388">
        <f>IF($A1388="","",IF(BI1388=1,F1388,""))</f>
        <v>0</v>
      </c>
      <c r="BN1388">
        <f>IF($A1388="","",DATE(YEAR($A1388),MONTH($A1388),1))</f>
        <v>0</v>
      </c>
      <c r="BO1388">
        <f>IF($A1388="","",IF($A1387="",1,IF(BN1388&lt;&gt;BN1387,1,0)))</f>
        <v>0</v>
      </c>
      <c r="BP1388">
        <f>IF($A1388="","",IF($A1389="",1,IF(BN1389&lt;&gt;BN1388,1,0)))</f>
        <v>0</v>
      </c>
      <c r="BQ1388">
        <f>IF($A1388="","",IF(BO1388=1,$B1388,BQ1387))</f>
        <v>0</v>
      </c>
      <c r="BR1388">
        <f>IF($A1388="","",IF(BO1388=1,$C1388,MAX($C1388,BR1387)))</f>
        <v>0</v>
      </c>
      <c r="BS1388">
        <f>IF($A1388="","",IF(BO1388=1,$D1388,MIN($D1388,BS1387)))</f>
        <v>0</v>
      </c>
      <c r="BT1388">
        <f>IF($A1388="","",IF(BP1388=1,F1388,""))</f>
        <v>0</v>
      </c>
    </row>
    <row r="1389" spans="1:72">
      <c r="A1389" s="27">
        <f>IF(Data!$A1389="","",Data!$A1389)</f>
        <v>0</v>
      </c>
      <c r="B1389">
        <f>IF(Data!$B1389="","",Data!$B1389)</f>
        <v>0</v>
      </c>
      <c r="C1389">
        <f>IF(Data!$C1389="","",Data!$C1389)</f>
        <v>0</v>
      </c>
      <c r="D1389">
        <f>IF(Data!$D1389="","",Data!$D1389)</f>
        <v>0</v>
      </c>
      <c r="E1389">
        <f>IF(Data!$E1389="","",Data!$E1389)</f>
        <v>0</v>
      </c>
      <c r="F1389">
        <f>IF($E1389="","",N(F1388)+1)</f>
        <v>0</v>
      </c>
      <c r="G1389">
        <f>IF(OR($E1389="",$E1388=""),"",LN($E1389/$E1388))</f>
        <v>0</v>
      </c>
      <c r="H1389">
        <f>IF($E1389="","",IF($E1388="",$E1389,$E1389*0.0952380952+H1388*0.9047619048))</f>
        <v>0</v>
      </c>
      <c r="I1389">
        <f>IF($E1389="","",IF($E1388="",$E1389,$E1389*0.0392156863+I1388*0.9607843137))</f>
        <v>0</v>
      </c>
      <c r="J1389">
        <f>IF($E1389="","",IF($E1388="",$E1389,$E1389*0.0198019802+J1388*0.9801980198))</f>
        <v>0</v>
      </c>
      <c r="K1389">
        <f>IF($E1389="","",IF($E1388="",$E1389,$E1389*0.0099502488+K1388*0.9900497512))</f>
        <v>0</v>
      </c>
      <c r="L1389">
        <f>IF(OR($E1389="",$E1388=""),"",MAX($E1389-$E1388,0))</f>
        <v>0</v>
      </c>
      <c r="M1389">
        <f>IF(OR($E1389="",$E1388=""),"",MAX($E1388-$E1389,0))</f>
        <v>0</v>
      </c>
      <c r="N1389">
        <f>IF(COUNT($E$2:$E1389)&lt;15,"",IF(AVERAGE($M$1376:$M$1389)=0,100,100-100/(1+AVERAGE($L$1376:$L$1389)/AVERAGE($M$1376:$M$1389))))</f>
        <v>0</v>
      </c>
      <c r="O1389">
        <f>IF($E1389="","",IF($E1388="",$E1389,$E1389*0.1538461538+O1388*0.8461538462))</f>
        <v>0</v>
      </c>
      <c r="P1389">
        <f>IF($E1389="","",IF($E1388="",$E1389,$E1389*0.0740740741+P1388*0.9259259259))</f>
        <v>0</v>
      </c>
      <c r="Q1389">
        <f>IF(OR(O1389="",P1389=""),"",O1389-P1389)</f>
        <v>0</v>
      </c>
      <c r="R1389">
        <f>IF(Q1389="","",IF(R1388="",Q1389,Q1389*0.2000000000+R1388*0.8000000000))</f>
        <v>0</v>
      </c>
      <c r="S1389">
        <f>IF(OR(Q1389="",R1389=""),"",Q1389-R1389)</f>
        <v>0</v>
      </c>
      <c r="T1389">
        <f>IF(COUNT($E$2:$E1389)&lt;14,"",MAX($C$1376:$C$1389))</f>
        <v>0</v>
      </c>
      <c r="U1389">
        <f>IF(COUNT($E$2:$E1389)&lt;14,"",MIN($D$1376:$D$1389))</f>
        <v>0</v>
      </c>
      <c r="V1389">
        <f>IF(OR(T1389="",U1389="",T1389=U1389),"",100*($E1389-U1389)/(T1389-U1389))</f>
        <v>0</v>
      </c>
      <c r="W1389">
        <f>IF(COUNT($V$1387:$V$1389)&lt;3,"",AVERAGE($V$1387:$V$1389))</f>
        <v>0</v>
      </c>
      <c r="X1389">
        <f>IF(COUNT($N$1376:$N$1389)&lt;14,"",MIN($N$1376:$N$1389))</f>
        <v>0</v>
      </c>
      <c r="Y1389">
        <f>IF(COUNT($N$1376:$N$1389)&lt;14,"",MAX($N$1376:$N$1389))</f>
        <v>0</v>
      </c>
      <c r="Z1389">
        <f>IF(OR(N1389="",X1389="",Y1389="",Y1389=X1389),"",100*(N1389-X1389)/(Y1389-X1389))</f>
        <v>0</v>
      </c>
      <c r="AA1389">
        <f>IF(COUNT($Z$1387:$Z$1389)&lt;3,"",AVERAGE($Z$1387:$Z$1389))</f>
        <v>0</v>
      </c>
      <c r="AB1389">
        <f>IF(COUNT($AA$1387:$AA$1389)&lt;3,"",AVERAGE($AA$1387:$AA$1389))</f>
        <v>0</v>
      </c>
      <c r="AC1389">
        <f>IF($E1389="","",MAX($C1389-$D1389,ABS($C1389-$E1388),ABS($D1389-$E1388)))</f>
        <v>0</v>
      </c>
      <c r="AD1389">
        <f>IF(COUNT($E$2:$E1389)&lt;15,"",AVERAGE($AC$1376:$AC$1389))</f>
        <v>0</v>
      </c>
      <c r="AE1389">
        <f>IF(OR($E1389="",$E1388=""),"",IF(AND(($C1389-$C1388)&gt;($D1388-$D1389),($C1389-$C1388)&gt;0),$C1389-$C1388,0))</f>
        <v>0</v>
      </c>
      <c r="AF1389">
        <f>IF(OR($E1389="",$E1388=""),"",IF(AND(($D1388-$D1389)&gt;($C1389-$C1388),($D1388-$D1389)&gt;0),$D1388-$D1389,0))</f>
        <v>0</v>
      </c>
      <c r="AG1389">
        <f>IF(COUNT($E$2:$E1389)&lt;15,"",IF(SUM($AC$1376:$AC$1389)=0,0,100*SUM($AE$1376:$AE$1389)/SUM($AC$1376:$AC$1389)))</f>
        <v>0</v>
      </c>
      <c r="AH1389">
        <f>IF(COUNT($E$2:$E1389)&lt;15,"",IF(SUM($AC$1376:$AC$1389)=0,0,100*SUM($AF$1376:$AF$1389)/SUM($AC$1376:$AC$1389)))</f>
        <v>0</v>
      </c>
      <c r="AI1389">
        <f>IF(OR(AG1389="",AH1389=""),"",IF((AG1389+AH1389)=0,0,100*ABS(AG1389-AH1389)/(AG1389+AH1389)))</f>
        <v>0</v>
      </c>
      <c r="AJ1389">
        <f>IF(COUNT($AI$1376:$AI$1389)&lt;14,"",AVERAGE($AI$1376:$AI$1389))</f>
        <v>0</v>
      </c>
      <c r="AK1389">
        <f>IF(COUNT($E$2:$E1389)&lt;20,"",AVERAGE($E$1370:$E$1389))</f>
        <v>0</v>
      </c>
      <c r="AL1389">
        <f>IF(COUNT($E$2:$E1389)&lt;20,"",STDEVP($E$1370:$E$1389))</f>
        <v>0</v>
      </c>
      <c r="AM1389">
        <f>IF(AK1389="","",AK1389+2*AL1389)</f>
        <v>0</v>
      </c>
      <c r="AN1389">
        <f>IF(AK1389="","",AK1389-2*AL1389)</f>
        <v>0</v>
      </c>
      <c r="AO1389">
        <f>IF(OR(AM1389="",AN1389="",AM1389=AN1389),"",($E1389-AN1389)/(AM1389-AN1389))</f>
        <v>0</v>
      </c>
      <c r="AP1389">
        <f>IF(OR(AM1389="",AK1389="",AK1389=0),"",(AM1389-AN1389)/AK1389)</f>
        <v>0</v>
      </c>
      <c r="AQ1389">
        <f>IF(COUNT($E$2:$E1389)&lt;20,"",MAX($C$1370:$C$1389))</f>
        <v>0</v>
      </c>
      <c r="AR1389">
        <f>IF(COUNT($E$2:$E1389)&lt;20,"",MIN($D$1370:$D$1389))</f>
        <v>0</v>
      </c>
      <c r="AS1389">
        <f>IF(OR(AQ1389="",AR1389=""),"",(AQ1389+AR1389)/2)</f>
        <v>0</v>
      </c>
      <c r="AT1389">
        <f>IF(COUNT($G$1370:$G$1389)&lt;20,"",STDEV($G$1370:$G$1389)*SQRT(252))</f>
        <v>0</v>
      </c>
      <c r="AU1389">
        <f>IF(COUNT($E$2:$E1389)&lt;9,"",(MAX($C$1381:$C$1389)+MIN($D$1381:$D$1389))/2)</f>
        <v>0</v>
      </c>
      <c r="AV1389">
        <f>IF(COUNT($E$2:$E1389)&lt;26,"",(MAX($C$1364:$C$1389)+MIN($D$1364:$D$1389))/2)</f>
        <v>0</v>
      </c>
      <c r="AW1389">
        <f>IF(OR(AU1389="",AV1389=""),"",(AU1389+AV1389)/2)</f>
        <v>0</v>
      </c>
      <c r="AX1389">
        <f>IF(COUNT($E$2:$E1389)&lt;52,"",(MAX($C$1338:$C$1389)+MIN($D$1338:$D$1389))/2)</f>
        <v>0</v>
      </c>
      <c r="AY1389">
        <f>IF(COUNT($E$2:$E1389)&lt;20,"",MAX($C$1290:$C$1389))</f>
        <v>0</v>
      </c>
      <c r="AZ1389">
        <f>IF(COUNT($E$2:$E1389)&lt;20,"",MIN($D$1290:$D$1389))</f>
        <v>0</v>
      </c>
      <c r="BA1389">
        <f>IF(COUNT($E$2:$E1389)&lt;20,"",SLOPE($E$1290:$E$1389,$F$1290:$F$1389))</f>
        <v>0</v>
      </c>
      <c r="BB1389">
        <f>IF(COUNT($E$2:$E1389)&lt;20,"",INTERCEPT($E$1290:$E$1389,$F$1290:$F$1389))</f>
        <v>0</v>
      </c>
      <c r="BC1389">
        <f>IF(OR(BA1389="",BB1389=""),"",BB1389+BA1389*F1389)</f>
        <v>0</v>
      </c>
      <c r="BD1389">
        <f>IF(COUNT($E$2:$E1389)&lt;20,"",STEYX($E$1290:$E$1389,$F$1290:$F$1389))</f>
        <v>0</v>
      </c>
      <c r="BE1389">
        <f>IF($E1389="","",IF(AND(COUNT($E$1390:$E$1393)&gt;=4,$C1389=MAX($C$1385:$C$1393)),$C1389,""))</f>
        <v>0</v>
      </c>
      <c r="BF1389">
        <f>IF($E1389="","",IF(AND(COUNT($E$1390:$E$1393)&gt;=4,$D1389=MIN($D$1385:$D$1393)),$D1389,""))</f>
        <v>0</v>
      </c>
      <c r="BG1389">
        <f>IF($A1389="","",$A1389-WEEKDAY($A1389,2)+1)</f>
        <v>0</v>
      </c>
      <c r="BH1389">
        <f>IF($A1389="","",IF($A1388="",1,IF(BG1389&lt;&gt;BG1388,1,0)))</f>
        <v>0</v>
      </c>
      <c r="BI1389">
        <f>IF($A1389="","",IF($A1390="",1,IF(BG1390&lt;&gt;BG1389,1,0)))</f>
        <v>0</v>
      </c>
      <c r="BJ1389">
        <f>IF($A1389="","",IF(BH1389=1,$B1389,BJ1388))</f>
        <v>0</v>
      </c>
      <c r="BK1389">
        <f>IF($A1389="","",IF(BH1389=1,$C1389,MAX($C1389,BK1388)))</f>
        <v>0</v>
      </c>
      <c r="BL1389">
        <f>IF($A1389="","",IF(BH1389=1,$D1389,MIN($D1389,BL1388)))</f>
        <v>0</v>
      </c>
      <c r="BM1389">
        <f>IF($A1389="","",IF(BI1389=1,F1389,""))</f>
        <v>0</v>
      </c>
      <c r="BN1389">
        <f>IF($A1389="","",DATE(YEAR($A1389),MONTH($A1389),1))</f>
        <v>0</v>
      </c>
      <c r="BO1389">
        <f>IF($A1389="","",IF($A1388="",1,IF(BN1389&lt;&gt;BN1388,1,0)))</f>
        <v>0</v>
      </c>
      <c r="BP1389">
        <f>IF($A1389="","",IF($A1390="",1,IF(BN1390&lt;&gt;BN1389,1,0)))</f>
        <v>0</v>
      </c>
      <c r="BQ1389">
        <f>IF($A1389="","",IF(BO1389=1,$B1389,BQ1388))</f>
        <v>0</v>
      </c>
      <c r="BR1389">
        <f>IF($A1389="","",IF(BO1389=1,$C1389,MAX($C1389,BR1388)))</f>
        <v>0</v>
      </c>
      <c r="BS1389">
        <f>IF($A1389="","",IF(BO1389=1,$D1389,MIN($D1389,BS1388)))</f>
        <v>0</v>
      </c>
      <c r="BT1389">
        <f>IF($A1389="","",IF(BP1389=1,F1389,""))</f>
        <v>0</v>
      </c>
    </row>
    <row r="1390" spans="1:72">
      <c r="A1390" s="27">
        <f>IF(Data!$A1390="","",Data!$A1390)</f>
        <v>0</v>
      </c>
      <c r="B1390">
        <f>IF(Data!$B1390="","",Data!$B1390)</f>
        <v>0</v>
      </c>
      <c r="C1390">
        <f>IF(Data!$C1390="","",Data!$C1390)</f>
        <v>0</v>
      </c>
      <c r="D1390">
        <f>IF(Data!$D1390="","",Data!$D1390)</f>
        <v>0</v>
      </c>
      <c r="E1390">
        <f>IF(Data!$E1390="","",Data!$E1390)</f>
        <v>0</v>
      </c>
      <c r="F1390">
        <f>IF($E1390="","",N(F1389)+1)</f>
        <v>0</v>
      </c>
      <c r="G1390">
        <f>IF(OR($E1390="",$E1389=""),"",LN($E1390/$E1389))</f>
        <v>0</v>
      </c>
      <c r="H1390">
        <f>IF($E1390="","",IF($E1389="",$E1390,$E1390*0.0952380952+H1389*0.9047619048))</f>
        <v>0</v>
      </c>
      <c r="I1390">
        <f>IF($E1390="","",IF($E1389="",$E1390,$E1390*0.0392156863+I1389*0.9607843137))</f>
        <v>0</v>
      </c>
      <c r="J1390">
        <f>IF($E1390="","",IF($E1389="",$E1390,$E1390*0.0198019802+J1389*0.9801980198))</f>
        <v>0</v>
      </c>
      <c r="K1390">
        <f>IF($E1390="","",IF($E1389="",$E1390,$E1390*0.0099502488+K1389*0.9900497512))</f>
        <v>0</v>
      </c>
      <c r="L1390">
        <f>IF(OR($E1390="",$E1389=""),"",MAX($E1390-$E1389,0))</f>
        <v>0</v>
      </c>
      <c r="M1390">
        <f>IF(OR($E1390="",$E1389=""),"",MAX($E1389-$E1390,0))</f>
        <v>0</v>
      </c>
      <c r="N1390">
        <f>IF(COUNT($E$2:$E1390)&lt;15,"",IF(AVERAGE($M$1377:$M$1390)=0,100,100-100/(1+AVERAGE($L$1377:$L$1390)/AVERAGE($M$1377:$M$1390))))</f>
        <v>0</v>
      </c>
      <c r="O1390">
        <f>IF($E1390="","",IF($E1389="",$E1390,$E1390*0.1538461538+O1389*0.8461538462))</f>
        <v>0</v>
      </c>
      <c r="P1390">
        <f>IF($E1390="","",IF($E1389="",$E1390,$E1390*0.0740740741+P1389*0.9259259259))</f>
        <v>0</v>
      </c>
      <c r="Q1390">
        <f>IF(OR(O1390="",P1390=""),"",O1390-P1390)</f>
        <v>0</v>
      </c>
      <c r="R1390">
        <f>IF(Q1390="","",IF(R1389="",Q1390,Q1390*0.2000000000+R1389*0.8000000000))</f>
        <v>0</v>
      </c>
      <c r="S1390">
        <f>IF(OR(Q1390="",R1390=""),"",Q1390-R1390)</f>
        <v>0</v>
      </c>
      <c r="T1390">
        <f>IF(COUNT($E$2:$E1390)&lt;14,"",MAX($C$1377:$C$1390))</f>
        <v>0</v>
      </c>
      <c r="U1390">
        <f>IF(COUNT($E$2:$E1390)&lt;14,"",MIN($D$1377:$D$1390))</f>
        <v>0</v>
      </c>
      <c r="V1390">
        <f>IF(OR(T1390="",U1390="",T1390=U1390),"",100*($E1390-U1390)/(T1390-U1390))</f>
        <v>0</v>
      </c>
      <c r="W1390">
        <f>IF(COUNT($V$1388:$V$1390)&lt;3,"",AVERAGE($V$1388:$V$1390))</f>
        <v>0</v>
      </c>
      <c r="X1390">
        <f>IF(COUNT($N$1377:$N$1390)&lt;14,"",MIN($N$1377:$N$1390))</f>
        <v>0</v>
      </c>
      <c r="Y1390">
        <f>IF(COUNT($N$1377:$N$1390)&lt;14,"",MAX($N$1377:$N$1390))</f>
        <v>0</v>
      </c>
      <c r="Z1390">
        <f>IF(OR(N1390="",X1390="",Y1390="",Y1390=X1390),"",100*(N1390-X1390)/(Y1390-X1390))</f>
        <v>0</v>
      </c>
      <c r="AA1390">
        <f>IF(COUNT($Z$1388:$Z$1390)&lt;3,"",AVERAGE($Z$1388:$Z$1390))</f>
        <v>0</v>
      </c>
      <c r="AB1390">
        <f>IF(COUNT($AA$1388:$AA$1390)&lt;3,"",AVERAGE($AA$1388:$AA$1390))</f>
        <v>0</v>
      </c>
      <c r="AC1390">
        <f>IF($E1390="","",MAX($C1390-$D1390,ABS($C1390-$E1389),ABS($D1390-$E1389)))</f>
        <v>0</v>
      </c>
      <c r="AD1390">
        <f>IF(COUNT($E$2:$E1390)&lt;15,"",AVERAGE($AC$1377:$AC$1390))</f>
        <v>0</v>
      </c>
      <c r="AE1390">
        <f>IF(OR($E1390="",$E1389=""),"",IF(AND(($C1390-$C1389)&gt;($D1389-$D1390),($C1390-$C1389)&gt;0),$C1390-$C1389,0))</f>
        <v>0</v>
      </c>
      <c r="AF1390">
        <f>IF(OR($E1390="",$E1389=""),"",IF(AND(($D1389-$D1390)&gt;($C1390-$C1389),($D1389-$D1390)&gt;0),$D1389-$D1390,0))</f>
        <v>0</v>
      </c>
      <c r="AG1390">
        <f>IF(COUNT($E$2:$E1390)&lt;15,"",IF(SUM($AC$1377:$AC$1390)=0,0,100*SUM($AE$1377:$AE$1390)/SUM($AC$1377:$AC$1390)))</f>
        <v>0</v>
      </c>
      <c r="AH1390">
        <f>IF(COUNT($E$2:$E1390)&lt;15,"",IF(SUM($AC$1377:$AC$1390)=0,0,100*SUM($AF$1377:$AF$1390)/SUM($AC$1377:$AC$1390)))</f>
        <v>0</v>
      </c>
      <c r="AI1390">
        <f>IF(OR(AG1390="",AH1390=""),"",IF((AG1390+AH1390)=0,0,100*ABS(AG1390-AH1390)/(AG1390+AH1390)))</f>
        <v>0</v>
      </c>
      <c r="AJ1390">
        <f>IF(COUNT($AI$1377:$AI$1390)&lt;14,"",AVERAGE($AI$1377:$AI$1390))</f>
        <v>0</v>
      </c>
      <c r="AK1390">
        <f>IF(COUNT($E$2:$E1390)&lt;20,"",AVERAGE($E$1371:$E$1390))</f>
        <v>0</v>
      </c>
      <c r="AL1390">
        <f>IF(COUNT($E$2:$E1390)&lt;20,"",STDEVP($E$1371:$E$1390))</f>
        <v>0</v>
      </c>
      <c r="AM1390">
        <f>IF(AK1390="","",AK1390+2*AL1390)</f>
        <v>0</v>
      </c>
      <c r="AN1390">
        <f>IF(AK1390="","",AK1390-2*AL1390)</f>
        <v>0</v>
      </c>
      <c r="AO1390">
        <f>IF(OR(AM1390="",AN1390="",AM1390=AN1390),"",($E1390-AN1390)/(AM1390-AN1390))</f>
        <v>0</v>
      </c>
      <c r="AP1390">
        <f>IF(OR(AM1390="",AK1390="",AK1390=0),"",(AM1390-AN1390)/AK1390)</f>
        <v>0</v>
      </c>
      <c r="AQ1390">
        <f>IF(COUNT($E$2:$E1390)&lt;20,"",MAX($C$1371:$C$1390))</f>
        <v>0</v>
      </c>
      <c r="AR1390">
        <f>IF(COUNT($E$2:$E1390)&lt;20,"",MIN($D$1371:$D$1390))</f>
        <v>0</v>
      </c>
      <c r="AS1390">
        <f>IF(OR(AQ1390="",AR1390=""),"",(AQ1390+AR1390)/2)</f>
        <v>0</v>
      </c>
      <c r="AT1390">
        <f>IF(COUNT($G$1371:$G$1390)&lt;20,"",STDEV($G$1371:$G$1390)*SQRT(252))</f>
        <v>0</v>
      </c>
      <c r="AU1390">
        <f>IF(COUNT($E$2:$E1390)&lt;9,"",(MAX($C$1382:$C$1390)+MIN($D$1382:$D$1390))/2)</f>
        <v>0</v>
      </c>
      <c r="AV1390">
        <f>IF(COUNT($E$2:$E1390)&lt;26,"",(MAX($C$1365:$C$1390)+MIN($D$1365:$D$1390))/2)</f>
        <v>0</v>
      </c>
      <c r="AW1390">
        <f>IF(OR(AU1390="",AV1390=""),"",(AU1390+AV1390)/2)</f>
        <v>0</v>
      </c>
      <c r="AX1390">
        <f>IF(COUNT($E$2:$E1390)&lt;52,"",(MAX($C$1339:$C$1390)+MIN($D$1339:$D$1390))/2)</f>
        <v>0</v>
      </c>
      <c r="AY1390">
        <f>IF(COUNT($E$2:$E1390)&lt;20,"",MAX($C$1291:$C$1390))</f>
        <v>0</v>
      </c>
      <c r="AZ1390">
        <f>IF(COUNT($E$2:$E1390)&lt;20,"",MIN($D$1291:$D$1390))</f>
        <v>0</v>
      </c>
      <c r="BA1390">
        <f>IF(COUNT($E$2:$E1390)&lt;20,"",SLOPE($E$1291:$E$1390,$F$1291:$F$1390))</f>
        <v>0</v>
      </c>
      <c r="BB1390">
        <f>IF(COUNT($E$2:$E1390)&lt;20,"",INTERCEPT($E$1291:$E$1390,$F$1291:$F$1390))</f>
        <v>0</v>
      </c>
      <c r="BC1390">
        <f>IF(OR(BA1390="",BB1390=""),"",BB1390+BA1390*F1390)</f>
        <v>0</v>
      </c>
      <c r="BD1390">
        <f>IF(COUNT($E$2:$E1390)&lt;20,"",STEYX($E$1291:$E$1390,$F$1291:$F$1390))</f>
        <v>0</v>
      </c>
      <c r="BE1390">
        <f>IF($E1390="","",IF(AND(COUNT($E$1391:$E$1394)&gt;=4,$C1390=MAX($C$1386:$C$1394)),$C1390,""))</f>
        <v>0</v>
      </c>
      <c r="BF1390">
        <f>IF($E1390="","",IF(AND(COUNT($E$1391:$E$1394)&gt;=4,$D1390=MIN($D$1386:$D$1394)),$D1390,""))</f>
        <v>0</v>
      </c>
      <c r="BG1390">
        <f>IF($A1390="","",$A1390-WEEKDAY($A1390,2)+1)</f>
        <v>0</v>
      </c>
      <c r="BH1390">
        <f>IF($A1390="","",IF($A1389="",1,IF(BG1390&lt;&gt;BG1389,1,0)))</f>
        <v>0</v>
      </c>
      <c r="BI1390">
        <f>IF($A1390="","",IF($A1391="",1,IF(BG1391&lt;&gt;BG1390,1,0)))</f>
        <v>0</v>
      </c>
      <c r="BJ1390">
        <f>IF($A1390="","",IF(BH1390=1,$B1390,BJ1389))</f>
        <v>0</v>
      </c>
      <c r="BK1390">
        <f>IF($A1390="","",IF(BH1390=1,$C1390,MAX($C1390,BK1389)))</f>
        <v>0</v>
      </c>
      <c r="BL1390">
        <f>IF($A1390="","",IF(BH1390=1,$D1390,MIN($D1390,BL1389)))</f>
        <v>0</v>
      </c>
      <c r="BM1390">
        <f>IF($A1390="","",IF(BI1390=1,F1390,""))</f>
        <v>0</v>
      </c>
      <c r="BN1390">
        <f>IF($A1390="","",DATE(YEAR($A1390),MONTH($A1390),1))</f>
        <v>0</v>
      </c>
      <c r="BO1390">
        <f>IF($A1390="","",IF($A1389="",1,IF(BN1390&lt;&gt;BN1389,1,0)))</f>
        <v>0</v>
      </c>
      <c r="BP1390">
        <f>IF($A1390="","",IF($A1391="",1,IF(BN1391&lt;&gt;BN1390,1,0)))</f>
        <v>0</v>
      </c>
      <c r="BQ1390">
        <f>IF($A1390="","",IF(BO1390=1,$B1390,BQ1389))</f>
        <v>0</v>
      </c>
      <c r="BR1390">
        <f>IF($A1390="","",IF(BO1390=1,$C1390,MAX($C1390,BR1389)))</f>
        <v>0</v>
      </c>
      <c r="BS1390">
        <f>IF($A1390="","",IF(BO1390=1,$D1390,MIN($D1390,BS1389)))</f>
        <v>0</v>
      </c>
      <c r="BT1390">
        <f>IF($A1390="","",IF(BP1390=1,F1390,""))</f>
        <v>0</v>
      </c>
    </row>
    <row r="1391" spans="1:72">
      <c r="A1391" s="27">
        <f>IF(Data!$A1391="","",Data!$A1391)</f>
        <v>0</v>
      </c>
      <c r="B1391">
        <f>IF(Data!$B1391="","",Data!$B1391)</f>
        <v>0</v>
      </c>
      <c r="C1391">
        <f>IF(Data!$C1391="","",Data!$C1391)</f>
        <v>0</v>
      </c>
      <c r="D1391">
        <f>IF(Data!$D1391="","",Data!$D1391)</f>
        <v>0</v>
      </c>
      <c r="E1391">
        <f>IF(Data!$E1391="","",Data!$E1391)</f>
        <v>0</v>
      </c>
      <c r="F1391">
        <f>IF($E1391="","",N(F1390)+1)</f>
        <v>0</v>
      </c>
      <c r="G1391">
        <f>IF(OR($E1391="",$E1390=""),"",LN($E1391/$E1390))</f>
        <v>0</v>
      </c>
      <c r="H1391">
        <f>IF($E1391="","",IF($E1390="",$E1391,$E1391*0.0952380952+H1390*0.9047619048))</f>
        <v>0</v>
      </c>
      <c r="I1391">
        <f>IF($E1391="","",IF($E1390="",$E1391,$E1391*0.0392156863+I1390*0.9607843137))</f>
        <v>0</v>
      </c>
      <c r="J1391">
        <f>IF($E1391="","",IF($E1390="",$E1391,$E1391*0.0198019802+J1390*0.9801980198))</f>
        <v>0</v>
      </c>
      <c r="K1391">
        <f>IF($E1391="","",IF($E1390="",$E1391,$E1391*0.0099502488+K1390*0.9900497512))</f>
        <v>0</v>
      </c>
      <c r="L1391">
        <f>IF(OR($E1391="",$E1390=""),"",MAX($E1391-$E1390,0))</f>
        <v>0</v>
      </c>
      <c r="M1391">
        <f>IF(OR($E1391="",$E1390=""),"",MAX($E1390-$E1391,0))</f>
        <v>0</v>
      </c>
      <c r="N1391">
        <f>IF(COUNT($E$2:$E1391)&lt;15,"",IF(AVERAGE($M$1378:$M$1391)=0,100,100-100/(1+AVERAGE($L$1378:$L$1391)/AVERAGE($M$1378:$M$1391))))</f>
        <v>0</v>
      </c>
      <c r="O1391">
        <f>IF($E1391="","",IF($E1390="",$E1391,$E1391*0.1538461538+O1390*0.8461538462))</f>
        <v>0</v>
      </c>
      <c r="P1391">
        <f>IF($E1391="","",IF($E1390="",$E1391,$E1391*0.0740740741+P1390*0.9259259259))</f>
        <v>0</v>
      </c>
      <c r="Q1391">
        <f>IF(OR(O1391="",P1391=""),"",O1391-P1391)</f>
        <v>0</v>
      </c>
      <c r="R1391">
        <f>IF(Q1391="","",IF(R1390="",Q1391,Q1391*0.2000000000+R1390*0.8000000000))</f>
        <v>0</v>
      </c>
      <c r="S1391">
        <f>IF(OR(Q1391="",R1391=""),"",Q1391-R1391)</f>
        <v>0</v>
      </c>
      <c r="T1391">
        <f>IF(COUNT($E$2:$E1391)&lt;14,"",MAX($C$1378:$C$1391))</f>
        <v>0</v>
      </c>
      <c r="U1391">
        <f>IF(COUNT($E$2:$E1391)&lt;14,"",MIN($D$1378:$D$1391))</f>
        <v>0</v>
      </c>
      <c r="V1391">
        <f>IF(OR(T1391="",U1391="",T1391=U1391),"",100*($E1391-U1391)/(T1391-U1391))</f>
        <v>0</v>
      </c>
      <c r="W1391">
        <f>IF(COUNT($V$1389:$V$1391)&lt;3,"",AVERAGE($V$1389:$V$1391))</f>
        <v>0</v>
      </c>
      <c r="X1391">
        <f>IF(COUNT($N$1378:$N$1391)&lt;14,"",MIN($N$1378:$N$1391))</f>
        <v>0</v>
      </c>
      <c r="Y1391">
        <f>IF(COUNT($N$1378:$N$1391)&lt;14,"",MAX($N$1378:$N$1391))</f>
        <v>0</v>
      </c>
      <c r="Z1391">
        <f>IF(OR(N1391="",X1391="",Y1391="",Y1391=X1391),"",100*(N1391-X1391)/(Y1391-X1391))</f>
        <v>0</v>
      </c>
      <c r="AA1391">
        <f>IF(COUNT($Z$1389:$Z$1391)&lt;3,"",AVERAGE($Z$1389:$Z$1391))</f>
        <v>0</v>
      </c>
      <c r="AB1391">
        <f>IF(COUNT($AA$1389:$AA$1391)&lt;3,"",AVERAGE($AA$1389:$AA$1391))</f>
        <v>0</v>
      </c>
      <c r="AC1391">
        <f>IF($E1391="","",MAX($C1391-$D1391,ABS($C1391-$E1390),ABS($D1391-$E1390)))</f>
        <v>0</v>
      </c>
      <c r="AD1391">
        <f>IF(COUNT($E$2:$E1391)&lt;15,"",AVERAGE($AC$1378:$AC$1391))</f>
        <v>0</v>
      </c>
      <c r="AE1391">
        <f>IF(OR($E1391="",$E1390=""),"",IF(AND(($C1391-$C1390)&gt;($D1390-$D1391),($C1391-$C1390)&gt;0),$C1391-$C1390,0))</f>
        <v>0</v>
      </c>
      <c r="AF1391">
        <f>IF(OR($E1391="",$E1390=""),"",IF(AND(($D1390-$D1391)&gt;($C1391-$C1390),($D1390-$D1391)&gt;0),$D1390-$D1391,0))</f>
        <v>0</v>
      </c>
      <c r="AG1391">
        <f>IF(COUNT($E$2:$E1391)&lt;15,"",IF(SUM($AC$1378:$AC$1391)=0,0,100*SUM($AE$1378:$AE$1391)/SUM($AC$1378:$AC$1391)))</f>
        <v>0</v>
      </c>
      <c r="AH1391">
        <f>IF(COUNT($E$2:$E1391)&lt;15,"",IF(SUM($AC$1378:$AC$1391)=0,0,100*SUM($AF$1378:$AF$1391)/SUM($AC$1378:$AC$1391)))</f>
        <v>0</v>
      </c>
      <c r="AI1391">
        <f>IF(OR(AG1391="",AH1391=""),"",IF((AG1391+AH1391)=0,0,100*ABS(AG1391-AH1391)/(AG1391+AH1391)))</f>
        <v>0</v>
      </c>
      <c r="AJ1391">
        <f>IF(COUNT($AI$1378:$AI$1391)&lt;14,"",AVERAGE($AI$1378:$AI$1391))</f>
        <v>0</v>
      </c>
      <c r="AK1391">
        <f>IF(COUNT($E$2:$E1391)&lt;20,"",AVERAGE($E$1372:$E$1391))</f>
        <v>0</v>
      </c>
      <c r="AL1391">
        <f>IF(COUNT($E$2:$E1391)&lt;20,"",STDEVP($E$1372:$E$1391))</f>
        <v>0</v>
      </c>
      <c r="AM1391">
        <f>IF(AK1391="","",AK1391+2*AL1391)</f>
        <v>0</v>
      </c>
      <c r="AN1391">
        <f>IF(AK1391="","",AK1391-2*AL1391)</f>
        <v>0</v>
      </c>
      <c r="AO1391">
        <f>IF(OR(AM1391="",AN1391="",AM1391=AN1391),"",($E1391-AN1391)/(AM1391-AN1391))</f>
        <v>0</v>
      </c>
      <c r="AP1391">
        <f>IF(OR(AM1391="",AK1391="",AK1391=0),"",(AM1391-AN1391)/AK1391)</f>
        <v>0</v>
      </c>
      <c r="AQ1391">
        <f>IF(COUNT($E$2:$E1391)&lt;20,"",MAX($C$1372:$C$1391))</f>
        <v>0</v>
      </c>
      <c r="AR1391">
        <f>IF(COUNT($E$2:$E1391)&lt;20,"",MIN($D$1372:$D$1391))</f>
        <v>0</v>
      </c>
      <c r="AS1391">
        <f>IF(OR(AQ1391="",AR1391=""),"",(AQ1391+AR1391)/2)</f>
        <v>0</v>
      </c>
      <c r="AT1391">
        <f>IF(COUNT($G$1372:$G$1391)&lt;20,"",STDEV($G$1372:$G$1391)*SQRT(252))</f>
        <v>0</v>
      </c>
      <c r="AU1391">
        <f>IF(COUNT($E$2:$E1391)&lt;9,"",(MAX($C$1383:$C$1391)+MIN($D$1383:$D$1391))/2)</f>
        <v>0</v>
      </c>
      <c r="AV1391">
        <f>IF(COUNT($E$2:$E1391)&lt;26,"",(MAX($C$1366:$C$1391)+MIN($D$1366:$D$1391))/2)</f>
        <v>0</v>
      </c>
      <c r="AW1391">
        <f>IF(OR(AU1391="",AV1391=""),"",(AU1391+AV1391)/2)</f>
        <v>0</v>
      </c>
      <c r="AX1391">
        <f>IF(COUNT($E$2:$E1391)&lt;52,"",(MAX($C$1340:$C$1391)+MIN($D$1340:$D$1391))/2)</f>
        <v>0</v>
      </c>
      <c r="AY1391">
        <f>IF(COUNT($E$2:$E1391)&lt;20,"",MAX($C$1292:$C$1391))</f>
        <v>0</v>
      </c>
      <c r="AZ1391">
        <f>IF(COUNT($E$2:$E1391)&lt;20,"",MIN($D$1292:$D$1391))</f>
        <v>0</v>
      </c>
      <c r="BA1391">
        <f>IF(COUNT($E$2:$E1391)&lt;20,"",SLOPE($E$1292:$E$1391,$F$1292:$F$1391))</f>
        <v>0</v>
      </c>
      <c r="BB1391">
        <f>IF(COUNT($E$2:$E1391)&lt;20,"",INTERCEPT($E$1292:$E$1391,$F$1292:$F$1391))</f>
        <v>0</v>
      </c>
      <c r="BC1391">
        <f>IF(OR(BA1391="",BB1391=""),"",BB1391+BA1391*F1391)</f>
        <v>0</v>
      </c>
      <c r="BD1391">
        <f>IF(COUNT($E$2:$E1391)&lt;20,"",STEYX($E$1292:$E$1391,$F$1292:$F$1391))</f>
        <v>0</v>
      </c>
      <c r="BE1391">
        <f>IF($E1391="","",IF(AND(COUNT($E$1392:$E$1395)&gt;=4,$C1391=MAX($C$1387:$C$1395)),$C1391,""))</f>
        <v>0</v>
      </c>
      <c r="BF1391">
        <f>IF($E1391="","",IF(AND(COUNT($E$1392:$E$1395)&gt;=4,$D1391=MIN($D$1387:$D$1395)),$D1391,""))</f>
        <v>0</v>
      </c>
      <c r="BG1391">
        <f>IF($A1391="","",$A1391-WEEKDAY($A1391,2)+1)</f>
        <v>0</v>
      </c>
      <c r="BH1391">
        <f>IF($A1391="","",IF($A1390="",1,IF(BG1391&lt;&gt;BG1390,1,0)))</f>
        <v>0</v>
      </c>
      <c r="BI1391">
        <f>IF($A1391="","",IF($A1392="",1,IF(BG1392&lt;&gt;BG1391,1,0)))</f>
        <v>0</v>
      </c>
      <c r="BJ1391">
        <f>IF($A1391="","",IF(BH1391=1,$B1391,BJ1390))</f>
        <v>0</v>
      </c>
      <c r="BK1391">
        <f>IF($A1391="","",IF(BH1391=1,$C1391,MAX($C1391,BK1390)))</f>
        <v>0</v>
      </c>
      <c r="BL1391">
        <f>IF($A1391="","",IF(BH1391=1,$D1391,MIN($D1391,BL1390)))</f>
        <v>0</v>
      </c>
      <c r="BM1391">
        <f>IF($A1391="","",IF(BI1391=1,F1391,""))</f>
        <v>0</v>
      </c>
      <c r="BN1391">
        <f>IF($A1391="","",DATE(YEAR($A1391),MONTH($A1391),1))</f>
        <v>0</v>
      </c>
      <c r="BO1391">
        <f>IF($A1391="","",IF($A1390="",1,IF(BN1391&lt;&gt;BN1390,1,0)))</f>
        <v>0</v>
      </c>
      <c r="BP1391">
        <f>IF($A1391="","",IF($A1392="",1,IF(BN1392&lt;&gt;BN1391,1,0)))</f>
        <v>0</v>
      </c>
      <c r="BQ1391">
        <f>IF($A1391="","",IF(BO1391=1,$B1391,BQ1390))</f>
        <v>0</v>
      </c>
      <c r="BR1391">
        <f>IF($A1391="","",IF(BO1391=1,$C1391,MAX($C1391,BR1390)))</f>
        <v>0</v>
      </c>
      <c r="BS1391">
        <f>IF($A1391="","",IF(BO1391=1,$D1391,MIN($D1391,BS1390)))</f>
        <v>0</v>
      </c>
      <c r="BT1391">
        <f>IF($A1391="","",IF(BP1391=1,F1391,""))</f>
        <v>0</v>
      </c>
    </row>
    <row r="1392" spans="1:72">
      <c r="A1392" s="27">
        <f>IF(Data!$A1392="","",Data!$A1392)</f>
        <v>0</v>
      </c>
      <c r="B1392">
        <f>IF(Data!$B1392="","",Data!$B1392)</f>
        <v>0</v>
      </c>
      <c r="C1392">
        <f>IF(Data!$C1392="","",Data!$C1392)</f>
        <v>0</v>
      </c>
      <c r="D1392">
        <f>IF(Data!$D1392="","",Data!$D1392)</f>
        <v>0</v>
      </c>
      <c r="E1392">
        <f>IF(Data!$E1392="","",Data!$E1392)</f>
        <v>0</v>
      </c>
      <c r="F1392">
        <f>IF($E1392="","",N(F1391)+1)</f>
        <v>0</v>
      </c>
      <c r="G1392">
        <f>IF(OR($E1392="",$E1391=""),"",LN($E1392/$E1391))</f>
        <v>0</v>
      </c>
      <c r="H1392">
        <f>IF($E1392="","",IF($E1391="",$E1392,$E1392*0.0952380952+H1391*0.9047619048))</f>
        <v>0</v>
      </c>
      <c r="I1392">
        <f>IF($E1392="","",IF($E1391="",$E1392,$E1392*0.0392156863+I1391*0.9607843137))</f>
        <v>0</v>
      </c>
      <c r="J1392">
        <f>IF($E1392="","",IF($E1391="",$E1392,$E1392*0.0198019802+J1391*0.9801980198))</f>
        <v>0</v>
      </c>
      <c r="K1392">
        <f>IF($E1392="","",IF($E1391="",$E1392,$E1392*0.0099502488+K1391*0.9900497512))</f>
        <v>0</v>
      </c>
      <c r="L1392">
        <f>IF(OR($E1392="",$E1391=""),"",MAX($E1392-$E1391,0))</f>
        <v>0</v>
      </c>
      <c r="M1392">
        <f>IF(OR($E1392="",$E1391=""),"",MAX($E1391-$E1392,0))</f>
        <v>0</v>
      </c>
      <c r="N1392">
        <f>IF(COUNT($E$2:$E1392)&lt;15,"",IF(AVERAGE($M$1379:$M$1392)=0,100,100-100/(1+AVERAGE($L$1379:$L$1392)/AVERAGE($M$1379:$M$1392))))</f>
        <v>0</v>
      </c>
      <c r="O1392">
        <f>IF($E1392="","",IF($E1391="",$E1392,$E1392*0.1538461538+O1391*0.8461538462))</f>
        <v>0</v>
      </c>
      <c r="P1392">
        <f>IF($E1392="","",IF($E1391="",$E1392,$E1392*0.0740740741+P1391*0.9259259259))</f>
        <v>0</v>
      </c>
      <c r="Q1392">
        <f>IF(OR(O1392="",P1392=""),"",O1392-P1392)</f>
        <v>0</v>
      </c>
      <c r="R1392">
        <f>IF(Q1392="","",IF(R1391="",Q1392,Q1392*0.2000000000+R1391*0.8000000000))</f>
        <v>0</v>
      </c>
      <c r="S1392">
        <f>IF(OR(Q1392="",R1392=""),"",Q1392-R1392)</f>
        <v>0</v>
      </c>
      <c r="T1392">
        <f>IF(COUNT($E$2:$E1392)&lt;14,"",MAX($C$1379:$C$1392))</f>
        <v>0</v>
      </c>
      <c r="U1392">
        <f>IF(COUNT($E$2:$E1392)&lt;14,"",MIN($D$1379:$D$1392))</f>
        <v>0</v>
      </c>
      <c r="V1392">
        <f>IF(OR(T1392="",U1392="",T1392=U1392),"",100*($E1392-U1392)/(T1392-U1392))</f>
        <v>0</v>
      </c>
      <c r="W1392">
        <f>IF(COUNT($V$1390:$V$1392)&lt;3,"",AVERAGE($V$1390:$V$1392))</f>
        <v>0</v>
      </c>
      <c r="X1392">
        <f>IF(COUNT($N$1379:$N$1392)&lt;14,"",MIN($N$1379:$N$1392))</f>
        <v>0</v>
      </c>
      <c r="Y1392">
        <f>IF(COUNT($N$1379:$N$1392)&lt;14,"",MAX($N$1379:$N$1392))</f>
        <v>0</v>
      </c>
      <c r="Z1392">
        <f>IF(OR(N1392="",X1392="",Y1392="",Y1392=X1392),"",100*(N1392-X1392)/(Y1392-X1392))</f>
        <v>0</v>
      </c>
      <c r="AA1392">
        <f>IF(COUNT($Z$1390:$Z$1392)&lt;3,"",AVERAGE($Z$1390:$Z$1392))</f>
        <v>0</v>
      </c>
      <c r="AB1392">
        <f>IF(COUNT($AA$1390:$AA$1392)&lt;3,"",AVERAGE($AA$1390:$AA$1392))</f>
        <v>0</v>
      </c>
      <c r="AC1392">
        <f>IF($E1392="","",MAX($C1392-$D1392,ABS($C1392-$E1391),ABS($D1392-$E1391)))</f>
        <v>0</v>
      </c>
      <c r="AD1392">
        <f>IF(COUNT($E$2:$E1392)&lt;15,"",AVERAGE($AC$1379:$AC$1392))</f>
        <v>0</v>
      </c>
      <c r="AE1392">
        <f>IF(OR($E1392="",$E1391=""),"",IF(AND(($C1392-$C1391)&gt;($D1391-$D1392),($C1392-$C1391)&gt;0),$C1392-$C1391,0))</f>
        <v>0</v>
      </c>
      <c r="AF1392">
        <f>IF(OR($E1392="",$E1391=""),"",IF(AND(($D1391-$D1392)&gt;($C1392-$C1391),($D1391-$D1392)&gt;0),$D1391-$D1392,0))</f>
        <v>0</v>
      </c>
      <c r="AG1392">
        <f>IF(COUNT($E$2:$E1392)&lt;15,"",IF(SUM($AC$1379:$AC$1392)=0,0,100*SUM($AE$1379:$AE$1392)/SUM($AC$1379:$AC$1392)))</f>
        <v>0</v>
      </c>
      <c r="AH1392">
        <f>IF(COUNT($E$2:$E1392)&lt;15,"",IF(SUM($AC$1379:$AC$1392)=0,0,100*SUM($AF$1379:$AF$1392)/SUM($AC$1379:$AC$1392)))</f>
        <v>0</v>
      </c>
      <c r="AI1392">
        <f>IF(OR(AG1392="",AH1392=""),"",IF((AG1392+AH1392)=0,0,100*ABS(AG1392-AH1392)/(AG1392+AH1392)))</f>
        <v>0</v>
      </c>
      <c r="AJ1392">
        <f>IF(COUNT($AI$1379:$AI$1392)&lt;14,"",AVERAGE($AI$1379:$AI$1392))</f>
        <v>0</v>
      </c>
      <c r="AK1392">
        <f>IF(COUNT($E$2:$E1392)&lt;20,"",AVERAGE($E$1373:$E$1392))</f>
        <v>0</v>
      </c>
      <c r="AL1392">
        <f>IF(COUNT($E$2:$E1392)&lt;20,"",STDEVP($E$1373:$E$1392))</f>
        <v>0</v>
      </c>
      <c r="AM1392">
        <f>IF(AK1392="","",AK1392+2*AL1392)</f>
        <v>0</v>
      </c>
      <c r="AN1392">
        <f>IF(AK1392="","",AK1392-2*AL1392)</f>
        <v>0</v>
      </c>
      <c r="AO1392">
        <f>IF(OR(AM1392="",AN1392="",AM1392=AN1392),"",($E1392-AN1392)/(AM1392-AN1392))</f>
        <v>0</v>
      </c>
      <c r="AP1392">
        <f>IF(OR(AM1392="",AK1392="",AK1392=0),"",(AM1392-AN1392)/AK1392)</f>
        <v>0</v>
      </c>
      <c r="AQ1392">
        <f>IF(COUNT($E$2:$E1392)&lt;20,"",MAX($C$1373:$C$1392))</f>
        <v>0</v>
      </c>
      <c r="AR1392">
        <f>IF(COUNT($E$2:$E1392)&lt;20,"",MIN($D$1373:$D$1392))</f>
        <v>0</v>
      </c>
      <c r="AS1392">
        <f>IF(OR(AQ1392="",AR1392=""),"",(AQ1392+AR1392)/2)</f>
        <v>0</v>
      </c>
      <c r="AT1392">
        <f>IF(COUNT($G$1373:$G$1392)&lt;20,"",STDEV($G$1373:$G$1392)*SQRT(252))</f>
        <v>0</v>
      </c>
      <c r="AU1392">
        <f>IF(COUNT($E$2:$E1392)&lt;9,"",(MAX($C$1384:$C$1392)+MIN($D$1384:$D$1392))/2)</f>
        <v>0</v>
      </c>
      <c r="AV1392">
        <f>IF(COUNT($E$2:$E1392)&lt;26,"",(MAX($C$1367:$C$1392)+MIN($D$1367:$D$1392))/2)</f>
        <v>0</v>
      </c>
      <c r="AW1392">
        <f>IF(OR(AU1392="",AV1392=""),"",(AU1392+AV1392)/2)</f>
        <v>0</v>
      </c>
      <c r="AX1392">
        <f>IF(COUNT($E$2:$E1392)&lt;52,"",(MAX($C$1341:$C$1392)+MIN($D$1341:$D$1392))/2)</f>
        <v>0</v>
      </c>
      <c r="AY1392">
        <f>IF(COUNT($E$2:$E1392)&lt;20,"",MAX($C$1293:$C$1392))</f>
        <v>0</v>
      </c>
      <c r="AZ1392">
        <f>IF(COUNT($E$2:$E1392)&lt;20,"",MIN($D$1293:$D$1392))</f>
        <v>0</v>
      </c>
      <c r="BA1392">
        <f>IF(COUNT($E$2:$E1392)&lt;20,"",SLOPE($E$1293:$E$1392,$F$1293:$F$1392))</f>
        <v>0</v>
      </c>
      <c r="BB1392">
        <f>IF(COUNT($E$2:$E1392)&lt;20,"",INTERCEPT($E$1293:$E$1392,$F$1293:$F$1392))</f>
        <v>0</v>
      </c>
      <c r="BC1392">
        <f>IF(OR(BA1392="",BB1392=""),"",BB1392+BA1392*F1392)</f>
        <v>0</v>
      </c>
      <c r="BD1392">
        <f>IF(COUNT($E$2:$E1392)&lt;20,"",STEYX($E$1293:$E$1392,$F$1293:$F$1392))</f>
        <v>0</v>
      </c>
      <c r="BE1392">
        <f>IF($E1392="","",IF(AND(COUNT($E$1393:$E$1396)&gt;=4,$C1392=MAX($C$1388:$C$1396)),$C1392,""))</f>
        <v>0</v>
      </c>
      <c r="BF1392">
        <f>IF($E1392="","",IF(AND(COUNT($E$1393:$E$1396)&gt;=4,$D1392=MIN($D$1388:$D$1396)),$D1392,""))</f>
        <v>0</v>
      </c>
      <c r="BG1392">
        <f>IF($A1392="","",$A1392-WEEKDAY($A1392,2)+1)</f>
        <v>0</v>
      </c>
      <c r="BH1392">
        <f>IF($A1392="","",IF($A1391="",1,IF(BG1392&lt;&gt;BG1391,1,0)))</f>
        <v>0</v>
      </c>
      <c r="BI1392">
        <f>IF($A1392="","",IF($A1393="",1,IF(BG1393&lt;&gt;BG1392,1,0)))</f>
        <v>0</v>
      </c>
      <c r="BJ1392">
        <f>IF($A1392="","",IF(BH1392=1,$B1392,BJ1391))</f>
        <v>0</v>
      </c>
      <c r="BK1392">
        <f>IF($A1392="","",IF(BH1392=1,$C1392,MAX($C1392,BK1391)))</f>
        <v>0</v>
      </c>
      <c r="BL1392">
        <f>IF($A1392="","",IF(BH1392=1,$D1392,MIN($D1392,BL1391)))</f>
        <v>0</v>
      </c>
      <c r="BM1392">
        <f>IF($A1392="","",IF(BI1392=1,F1392,""))</f>
        <v>0</v>
      </c>
      <c r="BN1392">
        <f>IF($A1392="","",DATE(YEAR($A1392),MONTH($A1392),1))</f>
        <v>0</v>
      </c>
      <c r="BO1392">
        <f>IF($A1392="","",IF($A1391="",1,IF(BN1392&lt;&gt;BN1391,1,0)))</f>
        <v>0</v>
      </c>
      <c r="BP1392">
        <f>IF($A1392="","",IF($A1393="",1,IF(BN1393&lt;&gt;BN1392,1,0)))</f>
        <v>0</v>
      </c>
      <c r="BQ1392">
        <f>IF($A1392="","",IF(BO1392=1,$B1392,BQ1391))</f>
        <v>0</v>
      </c>
      <c r="BR1392">
        <f>IF($A1392="","",IF(BO1392=1,$C1392,MAX($C1392,BR1391)))</f>
        <v>0</v>
      </c>
      <c r="BS1392">
        <f>IF($A1392="","",IF(BO1392=1,$D1392,MIN($D1392,BS1391)))</f>
        <v>0</v>
      </c>
      <c r="BT1392">
        <f>IF($A1392="","",IF(BP1392=1,F1392,""))</f>
        <v>0</v>
      </c>
    </row>
    <row r="1393" spans="1:72">
      <c r="A1393" s="27">
        <f>IF(Data!$A1393="","",Data!$A1393)</f>
        <v>0</v>
      </c>
      <c r="B1393">
        <f>IF(Data!$B1393="","",Data!$B1393)</f>
        <v>0</v>
      </c>
      <c r="C1393">
        <f>IF(Data!$C1393="","",Data!$C1393)</f>
        <v>0</v>
      </c>
      <c r="D1393">
        <f>IF(Data!$D1393="","",Data!$D1393)</f>
        <v>0</v>
      </c>
      <c r="E1393">
        <f>IF(Data!$E1393="","",Data!$E1393)</f>
        <v>0</v>
      </c>
      <c r="F1393">
        <f>IF($E1393="","",N(F1392)+1)</f>
        <v>0</v>
      </c>
      <c r="G1393">
        <f>IF(OR($E1393="",$E1392=""),"",LN($E1393/$E1392))</f>
        <v>0</v>
      </c>
      <c r="H1393">
        <f>IF($E1393="","",IF($E1392="",$E1393,$E1393*0.0952380952+H1392*0.9047619048))</f>
        <v>0</v>
      </c>
      <c r="I1393">
        <f>IF($E1393="","",IF($E1392="",$E1393,$E1393*0.0392156863+I1392*0.9607843137))</f>
        <v>0</v>
      </c>
      <c r="J1393">
        <f>IF($E1393="","",IF($E1392="",$E1393,$E1393*0.0198019802+J1392*0.9801980198))</f>
        <v>0</v>
      </c>
      <c r="K1393">
        <f>IF($E1393="","",IF($E1392="",$E1393,$E1393*0.0099502488+K1392*0.9900497512))</f>
        <v>0</v>
      </c>
      <c r="L1393">
        <f>IF(OR($E1393="",$E1392=""),"",MAX($E1393-$E1392,0))</f>
        <v>0</v>
      </c>
      <c r="M1393">
        <f>IF(OR($E1393="",$E1392=""),"",MAX($E1392-$E1393,0))</f>
        <v>0</v>
      </c>
      <c r="N1393">
        <f>IF(COUNT($E$2:$E1393)&lt;15,"",IF(AVERAGE($M$1380:$M$1393)=0,100,100-100/(1+AVERAGE($L$1380:$L$1393)/AVERAGE($M$1380:$M$1393))))</f>
        <v>0</v>
      </c>
      <c r="O1393">
        <f>IF($E1393="","",IF($E1392="",$E1393,$E1393*0.1538461538+O1392*0.8461538462))</f>
        <v>0</v>
      </c>
      <c r="P1393">
        <f>IF($E1393="","",IF($E1392="",$E1393,$E1393*0.0740740741+P1392*0.9259259259))</f>
        <v>0</v>
      </c>
      <c r="Q1393">
        <f>IF(OR(O1393="",P1393=""),"",O1393-P1393)</f>
        <v>0</v>
      </c>
      <c r="R1393">
        <f>IF(Q1393="","",IF(R1392="",Q1393,Q1393*0.2000000000+R1392*0.8000000000))</f>
        <v>0</v>
      </c>
      <c r="S1393">
        <f>IF(OR(Q1393="",R1393=""),"",Q1393-R1393)</f>
        <v>0</v>
      </c>
      <c r="T1393">
        <f>IF(COUNT($E$2:$E1393)&lt;14,"",MAX($C$1380:$C$1393))</f>
        <v>0</v>
      </c>
      <c r="U1393">
        <f>IF(COUNT($E$2:$E1393)&lt;14,"",MIN($D$1380:$D$1393))</f>
        <v>0</v>
      </c>
      <c r="V1393">
        <f>IF(OR(T1393="",U1393="",T1393=U1393),"",100*($E1393-U1393)/(T1393-U1393))</f>
        <v>0</v>
      </c>
      <c r="W1393">
        <f>IF(COUNT($V$1391:$V$1393)&lt;3,"",AVERAGE($V$1391:$V$1393))</f>
        <v>0</v>
      </c>
      <c r="X1393">
        <f>IF(COUNT($N$1380:$N$1393)&lt;14,"",MIN($N$1380:$N$1393))</f>
        <v>0</v>
      </c>
      <c r="Y1393">
        <f>IF(COUNT($N$1380:$N$1393)&lt;14,"",MAX($N$1380:$N$1393))</f>
        <v>0</v>
      </c>
      <c r="Z1393">
        <f>IF(OR(N1393="",X1393="",Y1393="",Y1393=X1393),"",100*(N1393-X1393)/(Y1393-X1393))</f>
        <v>0</v>
      </c>
      <c r="AA1393">
        <f>IF(COUNT($Z$1391:$Z$1393)&lt;3,"",AVERAGE($Z$1391:$Z$1393))</f>
        <v>0</v>
      </c>
      <c r="AB1393">
        <f>IF(COUNT($AA$1391:$AA$1393)&lt;3,"",AVERAGE($AA$1391:$AA$1393))</f>
        <v>0</v>
      </c>
      <c r="AC1393">
        <f>IF($E1393="","",MAX($C1393-$D1393,ABS($C1393-$E1392),ABS($D1393-$E1392)))</f>
        <v>0</v>
      </c>
      <c r="AD1393">
        <f>IF(COUNT($E$2:$E1393)&lt;15,"",AVERAGE($AC$1380:$AC$1393))</f>
        <v>0</v>
      </c>
      <c r="AE1393">
        <f>IF(OR($E1393="",$E1392=""),"",IF(AND(($C1393-$C1392)&gt;($D1392-$D1393),($C1393-$C1392)&gt;0),$C1393-$C1392,0))</f>
        <v>0</v>
      </c>
      <c r="AF1393">
        <f>IF(OR($E1393="",$E1392=""),"",IF(AND(($D1392-$D1393)&gt;($C1393-$C1392),($D1392-$D1393)&gt;0),$D1392-$D1393,0))</f>
        <v>0</v>
      </c>
      <c r="AG1393">
        <f>IF(COUNT($E$2:$E1393)&lt;15,"",IF(SUM($AC$1380:$AC$1393)=0,0,100*SUM($AE$1380:$AE$1393)/SUM($AC$1380:$AC$1393)))</f>
        <v>0</v>
      </c>
      <c r="AH1393">
        <f>IF(COUNT($E$2:$E1393)&lt;15,"",IF(SUM($AC$1380:$AC$1393)=0,0,100*SUM($AF$1380:$AF$1393)/SUM($AC$1380:$AC$1393)))</f>
        <v>0</v>
      </c>
      <c r="AI1393">
        <f>IF(OR(AG1393="",AH1393=""),"",IF((AG1393+AH1393)=0,0,100*ABS(AG1393-AH1393)/(AG1393+AH1393)))</f>
        <v>0</v>
      </c>
      <c r="AJ1393">
        <f>IF(COUNT($AI$1380:$AI$1393)&lt;14,"",AVERAGE($AI$1380:$AI$1393))</f>
        <v>0</v>
      </c>
      <c r="AK1393">
        <f>IF(COUNT($E$2:$E1393)&lt;20,"",AVERAGE($E$1374:$E$1393))</f>
        <v>0</v>
      </c>
      <c r="AL1393">
        <f>IF(COUNT($E$2:$E1393)&lt;20,"",STDEVP($E$1374:$E$1393))</f>
        <v>0</v>
      </c>
      <c r="AM1393">
        <f>IF(AK1393="","",AK1393+2*AL1393)</f>
        <v>0</v>
      </c>
      <c r="AN1393">
        <f>IF(AK1393="","",AK1393-2*AL1393)</f>
        <v>0</v>
      </c>
      <c r="AO1393">
        <f>IF(OR(AM1393="",AN1393="",AM1393=AN1393),"",($E1393-AN1393)/(AM1393-AN1393))</f>
        <v>0</v>
      </c>
      <c r="AP1393">
        <f>IF(OR(AM1393="",AK1393="",AK1393=0),"",(AM1393-AN1393)/AK1393)</f>
        <v>0</v>
      </c>
      <c r="AQ1393">
        <f>IF(COUNT($E$2:$E1393)&lt;20,"",MAX($C$1374:$C$1393))</f>
        <v>0</v>
      </c>
      <c r="AR1393">
        <f>IF(COUNT($E$2:$E1393)&lt;20,"",MIN($D$1374:$D$1393))</f>
        <v>0</v>
      </c>
      <c r="AS1393">
        <f>IF(OR(AQ1393="",AR1393=""),"",(AQ1393+AR1393)/2)</f>
        <v>0</v>
      </c>
      <c r="AT1393">
        <f>IF(COUNT($G$1374:$G$1393)&lt;20,"",STDEV($G$1374:$G$1393)*SQRT(252))</f>
        <v>0</v>
      </c>
      <c r="AU1393">
        <f>IF(COUNT($E$2:$E1393)&lt;9,"",(MAX($C$1385:$C$1393)+MIN($D$1385:$D$1393))/2)</f>
        <v>0</v>
      </c>
      <c r="AV1393">
        <f>IF(COUNT($E$2:$E1393)&lt;26,"",(MAX($C$1368:$C$1393)+MIN($D$1368:$D$1393))/2)</f>
        <v>0</v>
      </c>
      <c r="AW1393">
        <f>IF(OR(AU1393="",AV1393=""),"",(AU1393+AV1393)/2)</f>
        <v>0</v>
      </c>
      <c r="AX1393">
        <f>IF(COUNT($E$2:$E1393)&lt;52,"",(MAX($C$1342:$C$1393)+MIN($D$1342:$D$1393))/2)</f>
        <v>0</v>
      </c>
      <c r="AY1393">
        <f>IF(COUNT($E$2:$E1393)&lt;20,"",MAX($C$1294:$C$1393))</f>
        <v>0</v>
      </c>
      <c r="AZ1393">
        <f>IF(COUNT($E$2:$E1393)&lt;20,"",MIN($D$1294:$D$1393))</f>
        <v>0</v>
      </c>
      <c r="BA1393">
        <f>IF(COUNT($E$2:$E1393)&lt;20,"",SLOPE($E$1294:$E$1393,$F$1294:$F$1393))</f>
        <v>0</v>
      </c>
      <c r="BB1393">
        <f>IF(COUNT($E$2:$E1393)&lt;20,"",INTERCEPT($E$1294:$E$1393,$F$1294:$F$1393))</f>
        <v>0</v>
      </c>
      <c r="BC1393">
        <f>IF(OR(BA1393="",BB1393=""),"",BB1393+BA1393*F1393)</f>
        <v>0</v>
      </c>
      <c r="BD1393">
        <f>IF(COUNT($E$2:$E1393)&lt;20,"",STEYX($E$1294:$E$1393,$F$1294:$F$1393))</f>
        <v>0</v>
      </c>
      <c r="BE1393">
        <f>IF($E1393="","",IF(AND(COUNT($E$1394:$E$1397)&gt;=4,$C1393=MAX($C$1389:$C$1397)),$C1393,""))</f>
        <v>0</v>
      </c>
      <c r="BF1393">
        <f>IF($E1393="","",IF(AND(COUNT($E$1394:$E$1397)&gt;=4,$D1393=MIN($D$1389:$D$1397)),$D1393,""))</f>
        <v>0</v>
      </c>
      <c r="BG1393">
        <f>IF($A1393="","",$A1393-WEEKDAY($A1393,2)+1)</f>
        <v>0</v>
      </c>
      <c r="BH1393">
        <f>IF($A1393="","",IF($A1392="",1,IF(BG1393&lt;&gt;BG1392,1,0)))</f>
        <v>0</v>
      </c>
      <c r="BI1393">
        <f>IF($A1393="","",IF($A1394="",1,IF(BG1394&lt;&gt;BG1393,1,0)))</f>
        <v>0</v>
      </c>
      <c r="BJ1393">
        <f>IF($A1393="","",IF(BH1393=1,$B1393,BJ1392))</f>
        <v>0</v>
      </c>
      <c r="BK1393">
        <f>IF($A1393="","",IF(BH1393=1,$C1393,MAX($C1393,BK1392)))</f>
        <v>0</v>
      </c>
      <c r="BL1393">
        <f>IF($A1393="","",IF(BH1393=1,$D1393,MIN($D1393,BL1392)))</f>
        <v>0</v>
      </c>
      <c r="BM1393">
        <f>IF($A1393="","",IF(BI1393=1,F1393,""))</f>
        <v>0</v>
      </c>
      <c r="BN1393">
        <f>IF($A1393="","",DATE(YEAR($A1393),MONTH($A1393),1))</f>
        <v>0</v>
      </c>
      <c r="BO1393">
        <f>IF($A1393="","",IF($A1392="",1,IF(BN1393&lt;&gt;BN1392,1,0)))</f>
        <v>0</v>
      </c>
      <c r="BP1393">
        <f>IF($A1393="","",IF($A1394="",1,IF(BN1394&lt;&gt;BN1393,1,0)))</f>
        <v>0</v>
      </c>
      <c r="BQ1393">
        <f>IF($A1393="","",IF(BO1393=1,$B1393,BQ1392))</f>
        <v>0</v>
      </c>
      <c r="BR1393">
        <f>IF($A1393="","",IF(BO1393=1,$C1393,MAX($C1393,BR1392)))</f>
        <v>0</v>
      </c>
      <c r="BS1393">
        <f>IF($A1393="","",IF(BO1393=1,$D1393,MIN($D1393,BS1392)))</f>
        <v>0</v>
      </c>
      <c r="BT1393">
        <f>IF($A1393="","",IF(BP1393=1,F1393,""))</f>
        <v>0</v>
      </c>
    </row>
    <row r="1394" spans="1:72">
      <c r="A1394" s="27">
        <f>IF(Data!$A1394="","",Data!$A1394)</f>
        <v>0</v>
      </c>
      <c r="B1394">
        <f>IF(Data!$B1394="","",Data!$B1394)</f>
        <v>0</v>
      </c>
      <c r="C1394">
        <f>IF(Data!$C1394="","",Data!$C1394)</f>
        <v>0</v>
      </c>
      <c r="D1394">
        <f>IF(Data!$D1394="","",Data!$D1394)</f>
        <v>0</v>
      </c>
      <c r="E1394">
        <f>IF(Data!$E1394="","",Data!$E1394)</f>
        <v>0</v>
      </c>
      <c r="F1394">
        <f>IF($E1394="","",N(F1393)+1)</f>
        <v>0</v>
      </c>
      <c r="G1394">
        <f>IF(OR($E1394="",$E1393=""),"",LN($E1394/$E1393))</f>
        <v>0</v>
      </c>
      <c r="H1394">
        <f>IF($E1394="","",IF($E1393="",$E1394,$E1394*0.0952380952+H1393*0.9047619048))</f>
        <v>0</v>
      </c>
      <c r="I1394">
        <f>IF($E1394="","",IF($E1393="",$E1394,$E1394*0.0392156863+I1393*0.9607843137))</f>
        <v>0</v>
      </c>
      <c r="J1394">
        <f>IF($E1394="","",IF($E1393="",$E1394,$E1394*0.0198019802+J1393*0.9801980198))</f>
        <v>0</v>
      </c>
      <c r="K1394">
        <f>IF($E1394="","",IF($E1393="",$E1394,$E1394*0.0099502488+K1393*0.9900497512))</f>
        <v>0</v>
      </c>
      <c r="L1394">
        <f>IF(OR($E1394="",$E1393=""),"",MAX($E1394-$E1393,0))</f>
        <v>0</v>
      </c>
      <c r="M1394">
        <f>IF(OR($E1394="",$E1393=""),"",MAX($E1393-$E1394,0))</f>
        <v>0</v>
      </c>
      <c r="N1394">
        <f>IF(COUNT($E$2:$E1394)&lt;15,"",IF(AVERAGE($M$1381:$M$1394)=0,100,100-100/(1+AVERAGE($L$1381:$L$1394)/AVERAGE($M$1381:$M$1394))))</f>
        <v>0</v>
      </c>
      <c r="O1394">
        <f>IF($E1394="","",IF($E1393="",$E1394,$E1394*0.1538461538+O1393*0.8461538462))</f>
        <v>0</v>
      </c>
      <c r="P1394">
        <f>IF($E1394="","",IF($E1393="",$E1394,$E1394*0.0740740741+P1393*0.9259259259))</f>
        <v>0</v>
      </c>
      <c r="Q1394">
        <f>IF(OR(O1394="",P1394=""),"",O1394-P1394)</f>
        <v>0</v>
      </c>
      <c r="R1394">
        <f>IF(Q1394="","",IF(R1393="",Q1394,Q1394*0.2000000000+R1393*0.8000000000))</f>
        <v>0</v>
      </c>
      <c r="S1394">
        <f>IF(OR(Q1394="",R1394=""),"",Q1394-R1394)</f>
        <v>0</v>
      </c>
      <c r="T1394">
        <f>IF(COUNT($E$2:$E1394)&lt;14,"",MAX($C$1381:$C$1394))</f>
        <v>0</v>
      </c>
      <c r="U1394">
        <f>IF(COUNT($E$2:$E1394)&lt;14,"",MIN($D$1381:$D$1394))</f>
        <v>0</v>
      </c>
      <c r="V1394">
        <f>IF(OR(T1394="",U1394="",T1394=U1394),"",100*($E1394-U1394)/(T1394-U1394))</f>
        <v>0</v>
      </c>
      <c r="W1394">
        <f>IF(COUNT($V$1392:$V$1394)&lt;3,"",AVERAGE($V$1392:$V$1394))</f>
        <v>0</v>
      </c>
      <c r="X1394">
        <f>IF(COUNT($N$1381:$N$1394)&lt;14,"",MIN($N$1381:$N$1394))</f>
        <v>0</v>
      </c>
      <c r="Y1394">
        <f>IF(COUNT($N$1381:$N$1394)&lt;14,"",MAX($N$1381:$N$1394))</f>
        <v>0</v>
      </c>
      <c r="Z1394">
        <f>IF(OR(N1394="",X1394="",Y1394="",Y1394=X1394),"",100*(N1394-X1394)/(Y1394-X1394))</f>
        <v>0</v>
      </c>
      <c r="AA1394">
        <f>IF(COUNT($Z$1392:$Z$1394)&lt;3,"",AVERAGE($Z$1392:$Z$1394))</f>
        <v>0</v>
      </c>
      <c r="AB1394">
        <f>IF(COUNT($AA$1392:$AA$1394)&lt;3,"",AVERAGE($AA$1392:$AA$1394))</f>
        <v>0</v>
      </c>
      <c r="AC1394">
        <f>IF($E1394="","",MAX($C1394-$D1394,ABS($C1394-$E1393),ABS($D1394-$E1393)))</f>
        <v>0</v>
      </c>
      <c r="AD1394">
        <f>IF(COUNT($E$2:$E1394)&lt;15,"",AVERAGE($AC$1381:$AC$1394))</f>
        <v>0</v>
      </c>
      <c r="AE1394">
        <f>IF(OR($E1394="",$E1393=""),"",IF(AND(($C1394-$C1393)&gt;($D1393-$D1394),($C1394-$C1393)&gt;0),$C1394-$C1393,0))</f>
        <v>0</v>
      </c>
      <c r="AF1394">
        <f>IF(OR($E1394="",$E1393=""),"",IF(AND(($D1393-$D1394)&gt;($C1394-$C1393),($D1393-$D1394)&gt;0),$D1393-$D1394,0))</f>
        <v>0</v>
      </c>
      <c r="AG1394">
        <f>IF(COUNT($E$2:$E1394)&lt;15,"",IF(SUM($AC$1381:$AC$1394)=0,0,100*SUM($AE$1381:$AE$1394)/SUM($AC$1381:$AC$1394)))</f>
        <v>0</v>
      </c>
      <c r="AH1394">
        <f>IF(COUNT($E$2:$E1394)&lt;15,"",IF(SUM($AC$1381:$AC$1394)=0,0,100*SUM($AF$1381:$AF$1394)/SUM($AC$1381:$AC$1394)))</f>
        <v>0</v>
      </c>
      <c r="AI1394">
        <f>IF(OR(AG1394="",AH1394=""),"",IF((AG1394+AH1394)=0,0,100*ABS(AG1394-AH1394)/(AG1394+AH1394)))</f>
        <v>0</v>
      </c>
      <c r="AJ1394">
        <f>IF(COUNT($AI$1381:$AI$1394)&lt;14,"",AVERAGE($AI$1381:$AI$1394))</f>
        <v>0</v>
      </c>
      <c r="AK1394">
        <f>IF(COUNT($E$2:$E1394)&lt;20,"",AVERAGE($E$1375:$E$1394))</f>
        <v>0</v>
      </c>
      <c r="AL1394">
        <f>IF(COUNT($E$2:$E1394)&lt;20,"",STDEVP($E$1375:$E$1394))</f>
        <v>0</v>
      </c>
      <c r="AM1394">
        <f>IF(AK1394="","",AK1394+2*AL1394)</f>
        <v>0</v>
      </c>
      <c r="AN1394">
        <f>IF(AK1394="","",AK1394-2*AL1394)</f>
        <v>0</v>
      </c>
      <c r="AO1394">
        <f>IF(OR(AM1394="",AN1394="",AM1394=AN1394),"",($E1394-AN1394)/(AM1394-AN1394))</f>
        <v>0</v>
      </c>
      <c r="AP1394">
        <f>IF(OR(AM1394="",AK1394="",AK1394=0),"",(AM1394-AN1394)/AK1394)</f>
        <v>0</v>
      </c>
      <c r="AQ1394">
        <f>IF(COUNT($E$2:$E1394)&lt;20,"",MAX($C$1375:$C$1394))</f>
        <v>0</v>
      </c>
      <c r="AR1394">
        <f>IF(COUNT($E$2:$E1394)&lt;20,"",MIN($D$1375:$D$1394))</f>
        <v>0</v>
      </c>
      <c r="AS1394">
        <f>IF(OR(AQ1394="",AR1394=""),"",(AQ1394+AR1394)/2)</f>
        <v>0</v>
      </c>
      <c r="AT1394">
        <f>IF(COUNT($G$1375:$G$1394)&lt;20,"",STDEV($G$1375:$G$1394)*SQRT(252))</f>
        <v>0</v>
      </c>
      <c r="AU1394">
        <f>IF(COUNT($E$2:$E1394)&lt;9,"",(MAX($C$1386:$C$1394)+MIN($D$1386:$D$1394))/2)</f>
        <v>0</v>
      </c>
      <c r="AV1394">
        <f>IF(COUNT($E$2:$E1394)&lt;26,"",(MAX($C$1369:$C$1394)+MIN($D$1369:$D$1394))/2)</f>
        <v>0</v>
      </c>
      <c r="AW1394">
        <f>IF(OR(AU1394="",AV1394=""),"",(AU1394+AV1394)/2)</f>
        <v>0</v>
      </c>
      <c r="AX1394">
        <f>IF(COUNT($E$2:$E1394)&lt;52,"",(MAX($C$1343:$C$1394)+MIN($D$1343:$D$1394))/2)</f>
        <v>0</v>
      </c>
      <c r="AY1394">
        <f>IF(COUNT($E$2:$E1394)&lt;20,"",MAX($C$1295:$C$1394))</f>
        <v>0</v>
      </c>
      <c r="AZ1394">
        <f>IF(COUNT($E$2:$E1394)&lt;20,"",MIN($D$1295:$D$1394))</f>
        <v>0</v>
      </c>
      <c r="BA1394">
        <f>IF(COUNT($E$2:$E1394)&lt;20,"",SLOPE($E$1295:$E$1394,$F$1295:$F$1394))</f>
        <v>0</v>
      </c>
      <c r="BB1394">
        <f>IF(COUNT($E$2:$E1394)&lt;20,"",INTERCEPT($E$1295:$E$1394,$F$1295:$F$1394))</f>
        <v>0</v>
      </c>
      <c r="BC1394">
        <f>IF(OR(BA1394="",BB1394=""),"",BB1394+BA1394*F1394)</f>
        <v>0</v>
      </c>
      <c r="BD1394">
        <f>IF(COUNT($E$2:$E1394)&lt;20,"",STEYX($E$1295:$E$1394,$F$1295:$F$1394))</f>
        <v>0</v>
      </c>
      <c r="BE1394">
        <f>IF($E1394="","",IF(AND(COUNT($E$1395:$E$1398)&gt;=4,$C1394=MAX($C$1390:$C$1398)),$C1394,""))</f>
        <v>0</v>
      </c>
      <c r="BF1394">
        <f>IF($E1394="","",IF(AND(COUNT($E$1395:$E$1398)&gt;=4,$D1394=MIN($D$1390:$D$1398)),$D1394,""))</f>
        <v>0</v>
      </c>
      <c r="BG1394">
        <f>IF($A1394="","",$A1394-WEEKDAY($A1394,2)+1)</f>
        <v>0</v>
      </c>
      <c r="BH1394">
        <f>IF($A1394="","",IF($A1393="",1,IF(BG1394&lt;&gt;BG1393,1,0)))</f>
        <v>0</v>
      </c>
      <c r="BI1394">
        <f>IF($A1394="","",IF($A1395="",1,IF(BG1395&lt;&gt;BG1394,1,0)))</f>
        <v>0</v>
      </c>
      <c r="BJ1394">
        <f>IF($A1394="","",IF(BH1394=1,$B1394,BJ1393))</f>
        <v>0</v>
      </c>
      <c r="BK1394">
        <f>IF($A1394="","",IF(BH1394=1,$C1394,MAX($C1394,BK1393)))</f>
        <v>0</v>
      </c>
      <c r="BL1394">
        <f>IF($A1394="","",IF(BH1394=1,$D1394,MIN($D1394,BL1393)))</f>
        <v>0</v>
      </c>
      <c r="BM1394">
        <f>IF($A1394="","",IF(BI1394=1,F1394,""))</f>
        <v>0</v>
      </c>
      <c r="BN1394">
        <f>IF($A1394="","",DATE(YEAR($A1394),MONTH($A1394),1))</f>
        <v>0</v>
      </c>
      <c r="BO1394">
        <f>IF($A1394="","",IF($A1393="",1,IF(BN1394&lt;&gt;BN1393,1,0)))</f>
        <v>0</v>
      </c>
      <c r="BP1394">
        <f>IF($A1394="","",IF($A1395="",1,IF(BN1395&lt;&gt;BN1394,1,0)))</f>
        <v>0</v>
      </c>
      <c r="BQ1394">
        <f>IF($A1394="","",IF(BO1394=1,$B1394,BQ1393))</f>
        <v>0</v>
      </c>
      <c r="BR1394">
        <f>IF($A1394="","",IF(BO1394=1,$C1394,MAX($C1394,BR1393)))</f>
        <v>0</v>
      </c>
      <c r="BS1394">
        <f>IF($A1394="","",IF(BO1394=1,$D1394,MIN($D1394,BS1393)))</f>
        <v>0</v>
      </c>
      <c r="BT1394">
        <f>IF($A1394="","",IF(BP1394=1,F1394,""))</f>
        <v>0</v>
      </c>
    </row>
    <row r="1395" spans="1:72">
      <c r="A1395" s="27">
        <f>IF(Data!$A1395="","",Data!$A1395)</f>
        <v>0</v>
      </c>
      <c r="B1395">
        <f>IF(Data!$B1395="","",Data!$B1395)</f>
        <v>0</v>
      </c>
      <c r="C1395">
        <f>IF(Data!$C1395="","",Data!$C1395)</f>
        <v>0</v>
      </c>
      <c r="D1395">
        <f>IF(Data!$D1395="","",Data!$D1395)</f>
        <v>0</v>
      </c>
      <c r="E1395">
        <f>IF(Data!$E1395="","",Data!$E1395)</f>
        <v>0</v>
      </c>
      <c r="F1395">
        <f>IF($E1395="","",N(F1394)+1)</f>
        <v>0</v>
      </c>
      <c r="G1395">
        <f>IF(OR($E1395="",$E1394=""),"",LN($E1395/$E1394))</f>
        <v>0</v>
      </c>
      <c r="H1395">
        <f>IF($E1395="","",IF($E1394="",$E1395,$E1395*0.0952380952+H1394*0.9047619048))</f>
        <v>0</v>
      </c>
      <c r="I1395">
        <f>IF($E1395="","",IF($E1394="",$E1395,$E1395*0.0392156863+I1394*0.9607843137))</f>
        <v>0</v>
      </c>
      <c r="J1395">
        <f>IF($E1395="","",IF($E1394="",$E1395,$E1395*0.0198019802+J1394*0.9801980198))</f>
        <v>0</v>
      </c>
      <c r="K1395">
        <f>IF($E1395="","",IF($E1394="",$E1395,$E1395*0.0099502488+K1394*0.9900497512))</f>
        <v>0</v>
      </c>
      <c r="L1395">
        <f>IF(OR($E1395="",$E1394=""),"",MAX($E1395-$E1394,0))</f>
        <v>0</v>
      </c>
      <c r="M1395">
        <f>IF(OR($E1395="",$E1394=""),"",MAX($E1394-$E1395,0))</f>
        <v>0</v>
      </c>
      <c r="N1395">
        <f>IF(COUNT($E$2:$E1395)&lt;15,"",IF(AVERAGE($M$1382:$M$1395)=0,100,100-100/(1+AVERAGE($L$1382:$L$1395)/AVERAGE($M$1382:$M$1395))))</f>
        <v>0</v>
      </c>
      <c r="O1395">
        <f>IF($E1395="","",IF($E1394="",$E1395,$E1395*0.1538461538+O1394*0.8461538462))</f>
        <v>0</v>
      </c>
      <c r="P1395">
        <f>IF($E1395="","",IF($E1394="",$E1395,$E1395*0.0740740741+P1394*0.9259259259))</f>
        <v>0</v>
      </c>
      <c r="Q1395">
        <f>IF(OR(O1395="",P1395=""),"",O1395-P1395)</f>
        <v>0</v>
      </c>
      <c r="R1395">
        <f>IF(Q1395="","",IF(R1394="",Q1395,Q1395*0.2000000000+R1394*0.8000000000))</f>
        <v>0</v>
      </c>
      <c r="S1395">
        <f>IF(OR(Q1395="",R1395=""),"",Q1395-R1395)</f>
        <v>0</v>
      </c>
      <c r="T1395">
        <f>IF(COUNT($E$2:$E1395)&lt;14,"",MAX($C$1382:$C$1395))</f>
        <v>0</v>
      </c>
      <c r="U1395">
        <f>IF(COUNT($E$2:$E1395)&lt;14,"",MIN($D$1382:$D$1395))</f>
        <v>0</v>
      </c>
      <c r="V1395">
        <f>IF(OR(T1395="",U1395="",T1395=U1395),"",100*($E1395-U1395)/(T1395-U1395))</f>
        <v>0</v>
      </c>
      <c r="W1395">
        <f>IF(COUNT($V$1393:$V$1395)&lt;3,"",AVERAGE($V$1393:$V$1395))</f>
        <v>0</v>
      </c>
      <c r="X1395">
        <f>IF(COUNT($N$1382:$N$1395)&lt;14,"",MIN($N$1382:$N$1395))</f>
        <v>0</v>
      </c>
      <c r="Y1395">
        <f>IF(COUNT($N$1382:$N$1395)&lt;14,"",MAX($N$1382:$N$1395))</f>
        <v>0</v>
      </c>
      <c r="Z1395">
        <f>IF(OR(N1395="",X1395="",Y1395="",Y1395=X1395),"",100*(N1395-X1395)/(Y1395-X1395))</f>
        <v>0</v>
      </c>
      <c r="AA1395">
        <f>IF(COUNT($Z$1393:$Z$1395)&lt;3,"",AVERAGE($Z$1393:$Z$1395))</f>
        <v>0</v>
      </c>
      <c r="AB1395">
        <f>IF(COUNT($AA$1393:$AA$1395)&lt;3,"",AVERAGE($AA$1393:$AA$1395))</f>
        <v>0</v>
      </c>
      <c r="AC1395">
        <f>IF($E1395="","",MAX($C1395-$D1395,ABS($C1395-$E1394),ABS($D1395-$E1394)))</f>
        <v>0</v>
      </c>
      <c r="AD1395">
        <f>IF(COUNT($E$2:$E1395)&lt;15,"",AVERAGE($AC$1382:$AC$1395))</f>
        <v>0</v>
      </c>
      <c r="AE1395">
        <f>IF(OR($E1395="",$E1394=""),"",IF(AND(($C1395-$C1394)&gt;($D1394-$D1395),($C1395-$C1394)&gt;0),$C1395-$C1394,0))</f>
        <v>0</v>
      </c>
      <c r="AF1395">
        <f>IF(OR($E1395="",$E1394=""),"",IF(AND(($D1394-$D1395)&gt;($C1395-$C1394),($D1394-$D1395)&gt;0),$D1394-$D1395,0))</f>
        <v>0</v>
      </c>
      <c r="AG1395">
        <f>IF(COUNT($E$2:$E1395)&lt;15,"",IF(SUM($AC$1382:$AC$1395)=0,0,100*SUM($AE$1382:$AE$1395)/SUM($AC$1382:$AC$1395)))</f>
        <v>0</v>
      </c>
      <c r="AH1395">
        <f>IF(COUNT($E$2:$E1395)&lt;15,"",IF(SUM($AC$1382:$AC$1395)=0,0,100*SUM($AF$1382:$AF$1395)/SUM($AC$1382:$AC$1395)))</f>
        <v>0</v>
      </c>
      <c r="AI1395">
        <f>IF(OR(AG1395="",AH1395=""),"",IF((AG1395+AH1395)=0,0,100*ABS(AG1395-AH1395)/(AG1395+AH1395)))</f>
        <v>0</v>
      </c>
      <c r="AJ1395">
        <f>IF(COUNT($AI$1382:$AI$1395)&lt;14,"",AVERAGE($AI$1382:$AI$1395))</f>
        <v>0</v>
      </c>
      <c r="AK1395">
        <f>IF(COUNT($E$2:$E1395)&lt;20,"",AVERAGE($E$1376:$E$1395))</f>
        <v>0</v>
      </c>
      <c r="AL1395">
        <f>IF(COUNT($E$2:$E1395)&lt;20,"",STDEVP($E$1376:$E$1395))</f>
        <v>0</v>
      </c>
      <c r="AM1395">
        <f>IF(AK1395="","",AK1395+2*AL1395)</f>
        <v>0</v>
      </c>
      <c r="AN1395">
        <f>IF(AK1395="","",AK1395-2*AL1395)</f>
        <v>0</v>
      </c>
      <c r="AO1395">
        <f>IF(OR(AM1395="",AN1395="",AM1395=AN1395),"",($E1395-AN1395)/(AM1395-AN1395))</f>
        <v>0</v>
      </c>
      <c r="AP1395">
        <f>IF(OR(AM1395="",AK1395="",AK1395=0),"",(AM1395-AN1395)/AK1395)</f>
        <v>0</v>
      </c>
      <c r="AQ1395">
        <f>IF(COUNT($E$2:$E1395)&lt;20,"",MAX($C$1376:$C$1395))</f>
        <v>0</v>
      </c>
      <c r="AR1395">
        <f>IF(COUNT($E$2:$E1395)&lt;20,"",MIN($D$1376:$D$1395))</f>
        <v>0</v>
      </c>
      <c r="AS1395">
        <f>IF(OR(AQ1395="",AR1395=""),"",(AQ1395+AR1395)/2)</f>
        <v>0</v>
      </c>
      <c r="AT1395">
        <f>IF(COUNT($G$1376:$G$1395)&lt;20,"",STDEV($G$1376:$G$1395)*SQRT(252))</f>
        <v>0</v>
      </c>
      <c r="AU1395">
        <f>IF(COUNT($E$2:$E1395)&lt;9,"",(MAX($C$1387:$C$1395)+MIN($D$1387:$D$1395))/2)</f>
        <v>0</v>
      </c>
      <c r="AV1395">
        <f>IF(COUNT($E$2:$E1395)&lt;26,"",(MAX($C$1370:$C$1395)+MIN($D$1370:$D$1395))/2)</f>
        <v>0</v>
      </c>
      <c r="AW1395">
        <f>IF(OR(AU1395="",AV1395=""),"",(AU1395+AV1395)/2)</f>
        <v>0</v>
      </c>
      <c r="AX1395">
        <f>IF(COUNT($E$2:$E1395)&lt;52,"",(MAX($C$1344:$C$1395)+MIN($D$1344:$D$1395))/2)</f>
        <v>0</v>
      </c>
      <c r="AY1395">
        <f>IF(COUNT($E$2:$E1395)&lt;20,"",MAX($C$1296:$C$1395))</f>
        <v>0</v>
      </c>
      <c r="AZ1395">
        <f>IF(COUNT($E$2:$E1395)&lt;20,"",MIN($D$1296:$D$1395))</f>
        <v>0</v>
      </c>
      <c r="BA1395">
        <f>IF(COUNT($E$2:$E1395)&lt;20,"",SLOPE($E$1296:$E$1395,$F$1296:$F$1395))</f>
        <v>0</v>
      </c>
      <c r="BB1395">
        <f>IF(COUNT($E$2:$E1395)&lt;20,"",INTERCEPT($E$1296:$E$1395,$F$1296:$F$1395))</f>
        <v>0</v>
      </c>
      <c r="BC1395">
        <f>IF(OR(BA1395="",BB1395=""),"",BB1395+BA1395*F1395)</f>
        <v>0</v>
      </c>
      <c r="BD1395">
        <f>IF(COUNT($E$2:$E1395)&lt;20,"",STEYX($E$1296:$E$1395,$F$1296:$F$1395))</f>
        <v>0</v>
      </c>
      <c r="BE1395">
        <f>IF($E1395="","",IF(AND(COUNT($E$1396:$E$1399)&gt;=4,$C1395=MAX($C$1391:$C$1399)),$C1395,""))</f>
        <v>0</v>
      </c>
      <c r="BF1395">
        <f>IF($E1395="","",IF(AND(COUNT($E$1396:$E$1399)&gt;=4,$D1395=MIN($D$1391:$D$1399)),$D1395,""))</f>
        <v>0</v>
      </c>
      <c r="BG1395">
        <f>IF($A1395="","",$A1395-WEEKDAY($A1395,2)+1)</f>
        <v>0</v>
      </c>
      <c r="BH1395">
        <f>IF($A1395="","",IF($A1394="",1,IF(BG1395&lt;&gt;BG1394,1,0)))</f>
        <v>0</v>
      </c>
      <c r="BI1395">
        <f>IF($A1395="","",IF($A1396="",1,IF(BG1396&lt;&gt;BG1395,1,0)))</f>
        <v>0</v>
      </c>
      <c r="BJ1395">
        <f>IF($A1395="","",IF(BH1395=1,$B1395,BJ1394))</f>
        <v>0</v>
      </c>
      <c r="BK1395">
        <f>IF($A1395="","",IF(BH1395=1,$C1395,MAX($C1395,BK1394)))</f>
        <v>0</v>
      </c>
      <c r="BL1395">
        <f>IF($A1395="","",IF(BH1395=1,$D1395,MIN($D1395,BL1394)))</f>
        <v>0</v>
      </c>
      <c r="BM1395">
        <f>IF($A1395="","",IF(BI1395=1,F1395,""))</f>
        <v>0</v>
      </c>
      <c r="BN1395">
        <f>IF($A1395="","",DATE(YEAR($A1395),MONTH($A1395),1))</f>
        <v>0</v>
      </c>
      <c r="BO1395">
        <f>IF($A1395="","",IF($A1394="",1,IF(BN1395&lt;&gt;BN1394,1,0)))</f>
        <v>0</v>
      </c>
      <c r="BP1395">
        <f>IF($A1395="","",IF($A1396="",1,IF(BN1396&lt;&gt;BN1395,1,0)))</f>
        <v>0</v>
      </c>
      <c r="BQ1395">
        <f>IF($A1395="","",IF(BO1395=1,$B1395,BQ1394))</f>
        <v>0</v>
      </c>
      <c r="BR1395">
        <f>IF($A1395="","",IF(BO1395=1,$C1395,MAX($C1395,BR1394)))</f>
        <v>0</v>
      </c>
      <c r="BS1395">
        <f>IF($A1395="","",IF(BO1395=1,$D1395,MIN($D1395,BS1394)))</f>
        <v>0</v>
      </c>
      <c r="BT1395">
        <f>IF($A1395="","",IF(BP1395=1,F1395,""))</f>
        <v>0</v>
      </c>
    </row>
    <row r="1396" spans="1:72">
      <c r="A1396" s="27">
        <f>IF(Data!$A1396="","",Data!$A1396)</f>
        <v>0</v>
      </c>
      <c r="B1396">
        <f>IF(Data!$B1396="","",Data!$B1396)</f>
        <v>0</v>
      </c>
      <c r="C1396">
        <f>IF(Data!$C1396="","",Data!$C1396)</f>
        <v>0</v>
      </c>
      <c r="D1396">
        <f>IF(Data!$D1396="","",Data!$D1396)</f>
        <v>0</v>
      </c>
      <c r="E1396">
        <f>IF(Data!$E1396="","",Data!$E1396)</f>
        <v>0</v>
      </c>
      <c r="F1396">
        <f>IF($E1396="","",N(F1395)+1)</f>
        <v>0</v>
      </c>
      <c r="G1396">
        <f>IF(OR($E1396="",$E1395=""),"",LN($E1396/$E1395))</f>
        <v>0</v>
      </c>
      <c r="H1396">
        <f>IF($E1396="","",IF($E1395="",$E1396,$E1396*0.0952380952+H1395*0.9047619048))</f>
        <v>0</v>
      </c>
      <c r="I1396">
        <f>IF($E1396="","",IF($E1395="",$E1396,$E1396*0.0392156863+I1395*0.9607843137))</f>
        <v>0</v>
      </c>
      <c r="J1396">
        <f>IF($E1396="","",IF($E1395="",$E1396,$E1396*0.0198019802+J1395*0.9801980198))</f>
        <v>0</v>
      </c>
      <c r="K1396">
        <f>IF($E1396="","",IF($E1395="",$E1396,$E1396*0.0099502488+K1395*0.9900497512))</f>
        <v>0</v>
      </c>
      <c r="L1396">
        <f>IF(OR($E1396="",$E1395=""),"",MAX($E1396-$E1395,0))</f>
        <v>0</v>
      </c>
      <c r="M1396">
        <f>IF(OR($E1396="",$E1395=""),"",MAX($E1395-$E1396,0))</f>
        <v>0</v>
      </c>
      <c r="N1396">
        <f>IF(COUNT($E$2:$E1396)&lt;15,"",IF(AVERAGE($M$1383:$M$1396)=0,100,100-100/(1+AVERAGE($L$1383:$L$1396)/AVERAGE($M$1383:$M$1396))))</f>
        <v>0</v>
      </c>
      <c r="O1396">
        <f>IF($E1396="","",IF($E1395="",$E1396,$E1396*0.1538461538+O1395*0.8461538462))</f>
        <v>0</v>
      </c>
      <c r="P1396">
        <f>IF($E1396="","",IF($E1395="",$E1396,$E1396*0.0740740741+P1395*0.9259259259))</f>
        <v>0</v>
      </c>
      <c r="Q1396">
        <f>IF(OR(O1396="",P1396=""),"",O1396-P1396)</f>
        <v>0</v>
      </c>
      <c r="R1396">
        <f>IF(Q1396="","",IF(R1395="",Q1396,Q1396*0.2000000000+R1395*0.8000000000))</f>
        <v>0</v>
      </c>
      <c r="S1396">
        <f>IF(OR(Q1396="",R1396=""),"",Q1396-R1396)</f>
        <v>0</v>
      </c>
      <c r="T1396">
        <f>IF(COUNT($E$2:$E1396)&lt;14,"",MAX($C$1383:$C$1396))</f>
        <v>0</v>
      </c>
      <c r="U1396">
        <f>IF(COUNT($E$2:$E1396)&lt;14,"",MIN($D$1383:$D$1396))</f>
        <v>0</v>
      </c>
      <c r="V1396">
        <f>IF(OR(T1396="",U1396="",T1396=U1396),"",100*($E1396-U1396)/(T1396-U1396))</f>
        <v>0</v>
      </c>
      <c r="W1396">
        <f>IF(COUNT($V$1394:$V$1396)&lt;3,"",AVERAGE($V$1394:$V$1396))</f>
        <v>0</v>
      </c>
      <c r="X1396">
        <f>IF(COUNT($N$1383:$N$1396)&lt;14,"",MIN($N$1383:$N$1396))</f>
        <v>0</v>
      </c>
      <c r="Y1396">
        <f>IF(COUNT($N$1383:$N$1396)&lt;14,"",MAX($N$1383:$N$1396))</f>
        <v>0</v>
      </c>
      <c r="Z1396">
        <f>IF(OR(N1396="",X1396="",Y1396="",Y1396=X1396),"",100*(N1396-X1396)/(Y1396-X1396))</f>
        <v>0</v>
      </c>
      <c r="AA1396">
        <f>IF(COUNT($Z$1394:$Z$1396)&lt;3,"",AVERAGE($Z$1394:$Z$1396))</f>
        <v>0</v>
      </c>
      <c r="AB1396">
        <f>IF(COUNT($AA$1394:$AA$1396)&lt;3,"",AVERAGE($AA$1394:$AA$1396))</f>
        <v>0</v>
      </c>
      <c r="AC1396">
        <f>IF($E1396="","",MAX($C1396-$D1396,ABS($C1396-$E1395),ABS($D1396-$E1395)))</f>
        <v>0</v>
      </c>
      <c r="AD1396">
        <f>IF(COUNT($E$2:$E1396)&lt;15,"",AVERAGE($AC$1383:$AC$1396))</f>
        <v>0</v>
      </c>
      <c r="AE1396">
        <f>IF(OR($E1396="",$E1395=""),"",IF(AND(($C1396-$C1395)&gt;($D1395-$D1396),($C1396-$C1395)&gt;0),$C1396-$C1395,0))</f>
        <v>0</v>
      </c>
      <c r="AF1396">
        <f>IF(OR($E1396="",$E1395=""),"",IF(AND(($D1395-$D1396)&gt;($C1396-$C1395),($D1395-$D1396)&gt;0),$D1395-$D1396,0))</f>
        <v>0</v>
      </c>
      <c r="AG1396">
        <f>IF(COUNT($E$2:$E1396)&lt;15,"",IF(SUM($AC$1383:$AC$1396)=0,0,100*SUM($AE$1383:$AE$1396)/SUM($AC$1383:$AC$1396)))</f>
        <v>0</v>
      </c>
      <c r="AH1396">
        <f>IF(COUNT($E$2:$E1396)&lt;15,"",IF(SUM($AC$1383:$AC$1396)=0,0,100*SUM($AF$1383:$AF$1396)/SUM($AC$1383:$AC$1396)))</f>
        <v>0</v>
      </c>
      <c r="AI1396">
        <f>IF(OR(AG1396="",AH1396=""),"",IF((AG1396+AH1396)=0,0,100*ABS(AG1396-AH1396)/(AG1396+AH1396)))</f>
        <v>0</v>
      </c>
      <c r="AJ1396">
        <f>IF(COUNT($AI$1383:$AI$1396)&lt;14,"",AVERAGE($AI$1383:$AI$1396))</f>
        <v>0</v>
      </c>
      <c r="AK1396">
        <f>IF(COUNT($E$2:$E1396)&lt;20,"",AVERAGE($E$1377:$E$1396))</f>
        <v>0</v>
      </c>
      <c r="AL1396">
        <f>IF(COUNT($E$2:$E1396)&lt;20,"",STDEVP($E$1377:$E$1396))</f>
        <v>0</v>
      </c>
      <c r="AM1396">
        <f>IF(AK1396="","",AK1396+2*AL1396)</f>
        <v>0</v>
      </c>
      <c r="AN1396">
        <f>IF(AK1396="","",AK1396-2*AL1396)</f>
        <v>0</v>
      </c>
      <c r="AO1396">
        <f>IF(OR(AM1396="",AN1396="",AM1396=AN1396),"",($E1396-AN1396)/(AM1396-AN1396))</f>
        <v>0</v>
      </c>
      <c r="AP1396">
        <f>IF(OR(AM1396="",AK1396="",AK1396=0),"",(AM1396-AN1396)/AK1396)</f>
        <v>0</v>
      </c>
      <c r="AQ1396">
        <f>IF(COUNT($E$2:$E1396)&lt;20,"",MAX($C$1377:$C$1396))</f>
        <v>0</v>
      </c>
      <c r="AR1396">
        <f>IF(COUNT($E$2:$E1396)&lt;20,"",MIN($D$1377:$D$1396))</f>
        <v>0</v>
      </c>
      <c r="AS1396">
        <f>IF(OR(AQ1396="",AR1396=""),"",(AQ1396+AR1396)/2)</f>
        <v>0</v>
      </c>
      <c r="AT1396">
        <f>IF(COUNT($G$1377:$G$1396)&lt;20,"",STDEV($G$1377:$G$1396)*SQRT(252))</f>
        <v>0</v>
      </c>
      <c r="AU1396">
        <f>IF(COUNT($E$2:$E1396)&lt;9,"",(MAX($C$1388:$C$1396)+MIN($D$1388:$D$1396))/2)</f>
        <v>0</v>
      </c>
      <c r="AV1396">
        <f>IF(COUNT($E$2:$E1396)&lt;26,"",(MAX($C$1371:$C$1396)+MIN($D$1371:$D$1396))/2)</f>
        <v>0</v>
      </c>
      <c r="AW1396">
        <f>IF(OR(AU1396="",AV1396=""),"",(AU1396+AV1396)/2)</f>
        <v>0</v>
      </c>
      <c r="AX1396">
        <f>IF(COUNT($E$2:$E1396)&lt;52,"",(MAX($C$1345:$C$1396)+MIN($D$1345:$D$1396))/2)</f>
        <v>0</v>
      </c>
      <c r="AY1396">
        <f>IF(COUNT($E$2:$E1396)&lt;20,"",MAX($C$1297:$C$1396))</f>
        <v>0</v>
      </c>
      <c r="AZ1396">
        <f>IF(COUNT($E$2:$E1396)&lt;20,"",MIN($D$1297:$D$1396))</f>
        <v>0</v>
      </c>
      <c r="BA1396">
        <f>IF(COUNT($E$2:$E1396)&lt;20,"",SLOPE($E$1297:$E$1396,$F$1297:$F$1396))</f>
        <v>0</v>
      </c>
      <c r="BB1396">
        <f>IF(COUNT($E$2:$E1396)&lt;20,"",INTERCEPT($E$1297:$E$1396,$F$1297:$F$1396))</f>
        <v>0</v>
      </c>
      <c r="BC1396">
        <f>IF(OR(BA1396="",BB1396=""),"",BB1396+BA1396*F1396)</f>
        <v>0</v>
      </c>
      <c r="BD1396">
        <f>IF(COUNT($E$2:$E1396)&lt;20,"",STEYX($E$1297:$E$1396,$F$1297:$F$1396))</f>
        <v>0</v>
      </c>
      <c r="BE1396">
        <f>IF($E1396="","",IF(AND(COUNT($E$1397:$E$1400)&gt;=4,$C1396=MAX($C$1392:$C$1400)),$C1396,""))</f>
        <v>0</v>
      </c>
      <c r="BF1396">
        <f>IF($E1396="","",IF(AND(COUNT($E$1397:$E$1400)&gt;=4,$D1396=MIN($D$1392:$D$1400)),$D1396,""))</f>
        <v>0</v>
      </c>
      <c r="BG1396">
        <f>IF($A1396="","",$A1396-WEEKDAY($A1396,2)+1)</f>
        <v>0</v>
      </c>
      <c r="BH1396">
        <f>IF($A1396="","",IF($A1395="",1,IF(BG1396&lt;&gt;BG1395,1,0)))</f>
        <v>0</v>
      </c>
      <c r="BI1396">
        <f>IF($A1396="","",IF($A1397="",1,IF(BG1397&lt;&gt;BG1396,1,0)))</f>
        <v>0</v>
      </c>
      <c r="BJ1396">
        <f>IF($A1396="","",IF(BH1396=1,$B1396,BJ1395))</f>
        <v>0</v>
      </c>
      <c r="BK1396">
        <f>IF($A1396="","",IF(BH1396=1,$C1396,MAX($C1396,BK1395)))</f>
        <v>0</v>
      </c>
      <c r="BL1396">
        <f>IF($A1396="","",IF(BH1396=1,$D1396,MIN($D1396,BL1395)))</f>
        <v>0</v>
      </c>
      <c r="BM1396">
        <f>IF($A1396="","",IF(BI1396=1,F1396,""))</f>
        <v>0</v>
      </c>
      <c r="BN1396">
        <f>IF($A1396="","",DATE(YEAR($A1396),MONTH($A1396),1))</f>
        <v>0</v>
      </c>
      <c r="BO1396">
        <f>IF($A1396="","",IF($A1395="",1,IF(BN1396&lt;&gt;BN1395,1,0)))</f>
        <v>0</v>
      </c>
      <c r="BP1396">
        <f>IF($A1396="","",IF($A1397="",1,IF(BN1397&lt;&gt;BN1396,1,0)))</f>
        <v>0</v>
      </c>
      <c r="BQ1396">
        <f>IF($A1396="","",IF(BO1396=1,$B1396,BQ1395))</f>
        <v>0</v>
      </c>
      <c r="BR1396">
        <f>IF($A1396="","",IF(BO1396=1,$C1396,MAX($C1396,BR1395)))</f>
        <v>0</v>
      </c>
      <c r="BS1396">
        <f>IF($A1396="","",IF(BO1396=1,$D1396,MIN($D1396,BS1395)))</f>
        <v>0</v>
      </c>
      <c r="BT1396">
        <f>IF($A1396="","",IF(BP1396=1,F1396,""))</f>
        <v>0</v>
      </c>
    </row>
    <row r="1397" spans="1:72">
      <c r="A1397" s="27">
        <f>IF(Data!$A1397="","",Data!$A1397)</f>
        <v>0</v>
      </c>
      <c r="B1397">
        <f>IF(Data!$B1397="","",Data!$B1397)</f>
        <v>0</v>
      </c>
      <c r="C1397">
        <f>IF(Data!$C1397="","",Data!$C1397)</f>
        <v>0</v>
      </c>
      <c r="D1397">
        <f>IF(Data!$D1397="","",Data!$D1397)</f>
        <v>0</v>
      </c>
      <c r="E1397">
        <f>IF(Data!$E1397="","",Data!$E1397)</f>
        <v>0</v>
      </c>
      <c r="F1397">
        <f>IF($E1397="","",N(F1396)+1)</f>
        <v>0</v>
      </c>
      <c r="G1397">
        <f>IF(OR($E1397="",$E1396=""),"",LN($E1397/$E1396))</f>
        <v>0</v>
      </c>
      <c r="H1397">
        <f>IF($E1397="","",IF($E1396="",$E1397,$E1397*0.0952380952+H1396*0.9047619048))</f>
        <v>0</v>
      </c>
      <c r="I1397">
        <f>IF($E1397="","",IF($E1396="",$E1397,$E1397*0.0392156863+I1396*0.9607843137))</f>
        <v>0</v>
      </c>
      <c r="J1397">
        <f>IF($E1397="","",IF($E1396="",$E1397,$E1397*0.0198019802+J1396*0.9801980198))</f>
        <v>0</v>
      </c>
      <c r="K1397">
        <f>IF($E1397="","",IF($E1396="",$E1397,$E1397*0.0099502488+K1396*0.9900497512))</f>
        <v>0</v>
      </c>
      <c r="L1397">
        <f>IF(OR($E1397="",$E1396=""),"",MAX($E1397-$E1396,0))</f>
        <v>0</v>
      </c>
      <c r="M1397">
        <f>IF(OR($E1397="",$E1396=""),"",MAX($E1396-$E1397,0))</f>
        <v>0</v>
      </c>
      <c r="N1397">
        <f>IF(COUNT($E$2:$E1397)&lt;15,"",IF(AVERAGE($M$1384:$M$1397)=0,100,100-100/(1+AVERAGE($L$1384:$L$1397)/AVERAGE($M$1384:$M$1397))))</f>
        <v>0</v>
      </c>
      <c r="O1397">
        <f>IF($E1397="","",IF($E1396="",$E1397,$E1397*0.1538461538+O1396*0.8461538462))</f>
        <v>0</v>
      </c>
      <c r="P1397">
        <f>IF($E1397="","",IF($E1396="",$E1397,$E1397*0.0740740741+P1396*0.9259259259))</f>
        <v>0</v>
      </c>
      <c r="Q1397">
        <f>IF(OR(O1397="",P1397=""),"",O1397-P1397)</f>
        <v>0</v>
      </c>
      <c r="R1397">
        <f>IF(Q1397="","",IF(R1396="",Q1397,Q1397*0.2000000000+R1396*0.8000000000))</f>
        <v>0</v>
      </c>
      <c r="S1397">
        <f>IF(OR(Q1397="",R1397=""),"",Q1397-R1397)</f>
        <v>0</v>
      </c>
      <c r="T1397">
        <f>IF(COUNT($E$2:$E1397)&lt;14,"",MAX($C$1384:$C$1397))</f>
        <v>0</v>
      </c>
      <c r="U1397">
        <f>IF(COUNT($E$2:$E1397)&lt;14,"",MIN($D$1384:$D$1397))</f>
        <v>0</v>
      </c>
      <c r="V1397">
        <f>IF(OR(T1397="",U1397="",T1397=U1397),"",100*($E1397-U1397)/(T1397-U1397))</f>
        <v>0</v>
      </c>
      <c r="W1397">
        <f>IF(COUNT($V$1395:$V$1397)&lt;3,"",AVERAGE($V$1395:$V$1397))</f>
        <v>0</v>
      </c>
      <c r="X1397">
        <f>IF(COUNT($N$1384:$N$1397)&lt;14,"",MIN($N$1384:$N$1397))</f>
        <v>0</v>
      </c>
      <c r="Y1397">
        <f>IF(COUNT($N$1384:$N$1397)&lt;14,"",MAX($N$1384:$N$1397))</f>
        <v>0</v>
      </c>
      <c r="Z1397">
        <f>IF(OR(N1397="",X1397="",Y1397="",Y1397=X1397),"",100*(N1397-X1397)/(Y1397-X1397))</f>
        <v>0</v>
      </c>
      <c r="AA1397">
        <f>IF(COUNT($Z$1395:$Z$1397)&lt;3,"",AVERAGE($Z$1395:$Z$1397))</f>
        <v>0</v>
      </c>
      <c r="AB1397">
        <f>IF(COUNT($AA$1395:$AA$1397)&lt;3,"",AVERAGE($AA$1395:$AA$1397))</f>
        <v>0</v>
      </c>
      <c r="AC1397">
        <f>IF($E1397="","",MAX($C1397-$D1397,ABS($C1397-$E1396),ABS($D1397-$E1396)))</f>
        <v>0</v>
      </c>
      <c r="AD1397">
        <f>IF(COUNT($E$2:$E1397)&lt;15,"",AVERAGE($AC$1384:$AC$1397))</f>
        <v>0</v>
      </c>
      <c r="AE1397">
        <f>IF(OR($E1397="",$E1396=""),"",IF(AND(($C1397-$C1396)&gt;($D1396-$D1397),($C1397-$C1396)&gt;0),$C1397-$C1396,0))</f>
        <v>0</v>
      </c>
      <c r="AF1397">
        <f>IF(OR($E1397="",$E1396=""),"",IF(AND(($D1396-$D1397)&gt;($C1397-$C1396),($D1396-$D1397)&gt;0),$D1396-$D1397,0))</f>
        <v>0</v>
      </c>
      <c r="AG1397">
        <f>IF(COUNT($E$2:$E1397)&lt;15,"",IF(SUM($AC$1384:$AC$1397)=0,0,100*SUM($AE$1384:$AE$1397)/SUM($AC$1384:$AC$1397)))</f>
        <v>0</v>
      </c>
      <c r="AH1397">
        <f>IF(COUNT($E$2:$E1397)&lt;15,"",IF(SUM($AC$1384:$AC$1397)=0,0,100*SUM($AF$1384:$AF$1397)/SUM($AC$1384:$AC$1397)))</f>
        <v>0</v>
      </c>
      <c r="AI1397">
        <f>IF(OR(AG1397="",AH1397=""),"",IF((AG1397+AH1397)=0,0,100*ABS(AG1397-AH1397)/(AG1397+AH1397)))</f>
        <v>0</v>
      </c>
      <c r="AJ1397">
        <f>IF(COUNT($AI$1384:$AI$1397)&lt;14,"",AVERAGE($AI$1384:$AI$1397))</f>
        <v>0</v>
      </c>
      <c r="AK1397">
        <f>IF(COUNT($E$2:$E1397)&lt;20,"",AVERAGE($E$1378:$E$1397))</f>
        <v>0</v>
      </c>
      <c r="AL1397">
        <f>IF(COUNT($E$2:$E1397)&lt;20,"",STDEVP($E$1378:$E$1397))</f>
        <v>0</v>
      </c>
      <c r="AM1397">
        <f>IF(AK1397="","",AK1397+2*AL1397)</f>
        <v>0</v>
      </c>
      <c r="AN1397">
        <f>IF(AK1397="","",AK1397-2*AL1397)</f>
        <v>0</v>
      </c>
      <c r="AO1397">
        <f>IF(OR(AM1397="",AN1397="",AM1397=AN1397),"",($E1397-AN1397)/(AM1397-AN1397))</f>
        <v>0</v>
      </c>
      <c r="AP1397">
        <f>IF(OR(AM1397="",AK1397="",AK1397=0),"",(AM1397-AN1397)/AK1397)</f>
        <v>0</v>
      </c>
      <c r="AQ1397">
        <f>IF(COUNT($E$2:$E1397)&lt;20,"",MAX($C$1378:$C$1397))</f>
        <v>0</v>
      </c>
      <c r="AR1397">
        <f>IF(COUNT($E$2:$E1397)&lt;20,"",MIN($D$1378:$D$1397))</f>
        <v>0</v>
      </c>
      <c r="AS1397">
        <f>IF(OR(AQ1397="",AR1397=""),"",(AQ1397+AR1397)/2)</f>
        <v>0</v>
      </c>
      <c r="AT1397">
        <f>IF(COUNT($G$1378:$G$1397)&lt;20,"",STDEV($G$1378:$G$1397)*SQRT(252))</f>
        <v>0</v>
      </c>
      <c r="AU1397">
        <f>IF(COUNT($E$2:$E1397)&lt;9,"",(MAX($C$1389:$C$1397)+MIN($D$1389:$D$1397))/2)</f>
        <v>0</v>
      </c>
      <c r="AV1397">
        <f>IF(COUNT($E$2:$E1397)&lt;26,"",(MAX($C$1372:$C$1397)+MIN($D$1372:$D$1397))/2)</f>
        <v>0</v>
      </c>
      <c r="AW1397">
        <f>IF(OR(AU1397="",AV1397=""),"",(AU1397+AV1397)/2)</f>
        <v>0</v>
      </c>
      <c r="AX1397">
        <f>IF(COUNT($E$2:$E1397)&lt;52,"",(MAX($C$1346:$C$1397)+MIN($D$1346:$D$1397))/2)</f>
        <v>0</v>
      </c>
      <c r="AY1397">
        <f>IF(COUNT($E$2:$E1397)&lt;20,"",MAX($C$1298:$C$1397))</f>
        <v>0</v>
      </c>
      <c r="AZ1397">
        <f>IF(COUNT($E$2:$E1397)&lt;20,"",MIN($D$1298:$D$1397))</f>
        <v>0</v>
      </c>
      <c r="BA1397">
        <f>IF(COUNT($E$2:$E1397)&lt;20,"",SLOPE($E$1298:$E$1397,$F$1298:$F$1397))</f>
        <v>0</v>
      </c>
      <c r="BB1397">
        <f>IF(COUNT($E$2:$E1397)&lt;20,"",INTERCEPT($E$1298:$E$1397,$F$1298:$F$1397))</f>
        <v>0</v>
      </c>
      <c r="BC1397">
        <f>IF(OR(BA1397="",BB1397=""),"",BB1397+BA1397*F1397)</f>
        <v>0</v>
      </c>
      <c r="BD1397">
        <f>IF(COUNT($E$2:$E1397)&lt;20,"",STEYX($E$1298:$E$1397,$F$1298:$F$1397))</f>
        <v>0</v>
      </c>
      <c r="BE1397">
        <f>IF($E1397="","",IF(AND(COUNT($E$1398:$E$1401)&gt;=4,$C1397=MAX($C$1393:$C$1401)),$C1397,""))</f>
        <v>0</v>
      </c>
      <c r="BF1397">
        <f>IF($E1397="","",IF(AND(COUNT($E$1398:$E$1401)&gt;=4,$D1397=MIN($D$1393:$D$1401)),$D1397,""))</f>
        <v>0</v>
      </c>
      <c r="BG1397">
        <f>IF($A1397="","",$A1397-WEEKDAY($A1397,2)+1)</f>
        <v>0</v>
      </c>
      <c r="BH1397">
        <f>IF($A1397="","",IF($A1396="",1,IF(BG1397&lt;&gt;BG1396,1,0)))</f>
        <v>0</v>
      </c>
      <c r="BI1397">
        <f>IF($A1397="","",IF($A1398="",1,IF(BG1398&lt;&gt;BG1397,1,0)))</f>
        <v>0</v>
      </c>
      <c r="BJ1397">
        <f>IF($A1397="","",IF(BH1397=1,$B1397,BJ1396))</f>
        <v>0</v>
      </c>
      <c r="BK1397">
        <f>IF($A1397="","",IF(BH1397=1,$C1397,MAX($C1397,BK1396)))</f>
        <v>0</v>
      </c>
      <c r="BL1397">
        <f>IF($A1397="","",IF(BH1397=1,$D1397,MIN($D1397,BL1396)))</f>
        <v>0</v>
      </c>
      <c r="BM1397">
        <f>IF($A1397="","",IF(BI1397=1,F1397,""))</f>
        <v>0</v>
      </c>
      <c r="BN1397">
        <f>IF($A1397="","",DATE(YEAR($A1397),MONTH($A1397),1))</f>
        <v>0</v>
      </c>
      <c r="BO1397">
        <f>IF($A1397="","",IF($A1396="",1,IF(BN1397&lt;&gt;BN1396,1,0)))</f>
        <v>0</v>
      </c>
      <c r="BP1397">
        <f>IF($A1397="","",IF($A1398="",1,IF(BN1398&lt;&gt;BN1397,1,0)))</f>
        <v>0</v>
      </c>
      <c r="BQ1397">
        <f>IF($A1397="","",IF(BO1397=1,$B1397,BQ1396))</f>
        <v>0</v>
      </c>
      <c r="BR1397">
        <f>IF($A1397="","",IF(BO1397=1,$C1397,MAX($C1397,BR1396)))</f>
        <v>0</v>
      </c>
      <c r="BS1397">
        <f>IF($A1397="","",IF(BO1397=1,$D1397,MIN($D1397,BS1396)))</f>
        <v>0</v>
      </c>
      <c r="BT1397">
        <f>IF($A1397="","",IF(BP1397=1,F1397,""))</f>
        <v>0</v>
      </c>
    </row>
    <row r="1398" spans="1:72">
      <c r="A1398" s="27">
        <f>IF(Data!$A1398="","",Data!$A1398)</f>
        <v>0</v>
      </c>
      <c r="B1398">
        <f>IF(Data!$B1398="","",Data!$B1398)</f>
        <v>0</v>
      </c>
      <c r="C1398">
        <f>IF(Data!$C1398="","",Data!$C1398)</f>
        <v>0</v>
      </c>
      <c r="D1398">
        <f>IF(Data!$D1398="","",Data!$D1398)</f>
        <v>0</v>
      </c>
      <c r="E1398">
        <f>IF(Data!$E1398="","",Data!$E1398)</f>
        <v>0</v>
      </c>
      <c r="F1398">
        <f>IF($E1398="","",N(F1397)+1)</f>
        <v>0</v>
      </c>
      <c r="G1398">
        <f>IF(OR($E1398="",$E1397=""),"",LN($E1398/$E1397))</f>
        <v>0</v>
      </c>
      <c r="H1398">
        <f>IF($E1398="","",IF($E1397="",$E1398,$E1398*0.0952380952+H1397*0.9047619048))</f>
        <v>0</v>
      </c>
      <c r="I1398">
        <f>IF($E1398="","",IF($E1397="",$E1398,$E1398*0.0392156863+I1397*0.9607843137))</f>
        <v>0</v>
      </c>
      <c r="J1398">
        <f>IF($E1398="","",IF($E1397="",$E1398,$E1398*0.0198019802+J1397*0.9801980198))</f>
        <v>0</v>
      </c>
      <c r="K1398">
        <f>IF($E1398="","",IF($E1397="",$E1398,$E1398*0.0099502488+K1397*0.9900497512))</f>
        <v>0</v>
      </c>
      <c r="L1398">
        <f>IF(OR($E1398="",$E1397=""),"",MAX($E1398-$E1397,0))</f>
        <v>0</v>
      </c>
      <c r="M1398">
        <f>IF(OR($E1398="",$E1397=""),"",MAX($E1397-$E1398,0))</f>
        <v>0</v>
      </c>
      <c r="N1398">
        <f>IF(COUNT($E$2:$E1398)&lt;15,"",IF(AVERAGE($M$1385:$M$1398)=0,100,100-100/(1+AVERAGE($L$1385:$L$1398)/AVERAGE($M$1385:$M$1398))))</f>
        <v>0</v>
      </c>
      <c r="O1398">
        <f>IF($E1398="","",IF($E1397="",$E1398,$E1398*0.1538461538+O1397*0.8461538462))</f>
        <v>0</v>
      </c>
      <c r="P1398">
        <f>IF($E1398="","",IF($E1397="",$E1398,$E1398*0.0740740741+P1397*0.9259259259))</f>
        <v>0</v>
      </c>
      <c r="Q1398">
        <f>IF(OR(O1398="",P1398=""),"",O1398-P1398)</f>
        <v>0</v>
      </c>
      <c r="R1398">
        <f>IF(Q1398="","",IF(R1397="",Q1398,Q1398*0.2000000000+R1397*0.8000000000))</f>
        <v>0</v>
      </c>
      <c r="S1398">
        <f>IF(OR(Q1398="",R1398=""),"",Q1398-R1398)</f>
        <v>0</v>
      </c>
      <c r="T1398">
        <f>IF(COUNT($E$2:$E1398)&lt;14,"",MAX($C$1385:$C$1398))</f>
        <v>0</v>
      </c>
      <c r="U1398">
        <f>IF(COUNT($E$2:$E1398)&lt;14,"",MIN($D$1385:$D$1398))</f>
        <v>0</v>
      </c>
      <c r="V1398">
        <f>IF(OR(T1398="",U1398="",T1398=U1398),"",100*($E1398-U1398)/(T1398-U1398))</f>
        <v>0</v>
      </c>
      <c r="W1398">
        <f>IF(COUNT($V$1396:$V$1398)&lt;3,"",AVERAGE($V$1396:$V$1398))</f>
        <v>0</v>
      </c>
      <c r="X1398">
        <f>IF(COUNT($N$1385:$N$1398)&lt;14,"",MIN($N$1385:$N$1398))</f>
        <v>0</v>
      </c>
      <c r="Y1398">
        <f>IF(COUNT($N$1385:$N$1398)&lt;14,"",MAX($N$1385:$N$1398))</f>
        <v>0</v>
      </c>
      <c r="Z1398">
        <f>IF(OR(N1398="",X1398="",Y1398="",Y1398=X1398),"",100*(N1398-X1398)/(Y1398-X1398))</f>
        <v>0</v>
      </c>
      <c r="AA1398">
        <f>IF(COUNT($Z$1396:$Z$1398)&lt;3,"",AVERAGE($Z$1396:$Z$1398))</f>
        <v>0</v>
      </c>
      <c r="AB1398">
        <f>IF(COUNT($AA$1396:$AA$1398)&lt;3,"",AVERAGE($AA$1396:$AA$1398))</f>
        <v>0</v>
      </c>
      <c r="AC1398">
        <f>IF($E1398="","",MAX($C1398-$D1398,ABS($C1398-$E1397),ABS($D1398-$E1397)))</f>
        <v>0</v>
      </c>
      <c r="AD1398">
        <f>IF(COUNT($E$2:$E1398)&lt;15,"",AVERAGE($AC$1385:$AC$1398))</f>
        <v>0</v>
      </c>
      <c r="AE1398">
        <f>IF(OR($E1398="",$E1397=""),"",IF(AND(($C1398-$C1397)&gt;($D1397-$D1398),($C1398-$C1397)&gt;0),$C1398-$C1397,0))</f>
        <v>0</v>
      </c>
      <c r="AF1398">
        <f>IF(OR($E1398="",$E1397=""),"",IF(AND(($D1397-$D1398)&gt;($C1398-$C1397),($D1397-$D1398)&gt;0),$D1397-$D1398,0))</f>
        <v>0</v>
      </c>
      <c r="AG1398">
        <f>IF(COUNT($E$2:$E1398)&lt;15,"",IF(SUM($AC$1385:$AC$1398)=0,0,100*SUM($AE$1385:$AE$1398)/SUM($AC$1385:$AC$1398)))</f>
        <v>0</v>
      </c>
      <c r="AH1398">
        <f>IF(COUNT($E$2:$E1398)&lt;15,"",IF(SUM($AC$1385:$AC$1398)=0,0,100*SUM($AF$1385:$AF$1398)/SUM($AC$1385:$AC$1398)))</f>
        <v>0</v>
      </c>
      <c r="AI1398">
        <f>IF(OR(AG1398="",AH1398=""),"",IF((AG1398+AH1398)=0,0,100*ABS(AG1398-AH1398)/(AG1398+AH1398)))</f>
        <v>0</v>
      </c>
      <c r="AJ1398">
        <f>IF(COUNT($AI$1385:$AI$1398)&lt;14,"",AVERAGE($AI$1385:$AI$1398))</f>
        <v>0</v>
      </c>
      <c r="AK1398">
        <f>IF(COUNT($E$2:$E1398)&lt;20,"",AVERAGE($E$1379:$E$1398))</f>
        <v>0</v>
      </c>
      <c r="AL1398">
        <f>IF(COUNT($E$2:$E1398)&lt;20,"",STDEVP($E$1379:$E$1398))</f>
        <v>0</v>
      </c>
      <c r="AM1398">
        <f>IF(AK1398="","",AK1398+2*AL1398)</f>
        <v>0</v>
      </c>
      <c r="AN1398">
        <f>IF(AK1398="","",AK1398-2*AL1398)</f>
        <v>0</v>
      </c>
      <c r="AO1398">
        <f>IF(OR(AM1398="",AN1398="",AM1398=AN1398),"",($E1398-AN1398)/(AM1398-AN1398))</f>
        <v>0</v>
      </c>
      <c r="AP1398">
        <f>IF(OR(AM1398="",AK1398="",AK1398=0),"",(AM1398-AN1398)/AK1398)</f>
        <v>0</v>
      </c>
      <c r="AQ1398">
        <f>IF(COUNT($E$2:$E1398)&lt;20,"",MAX($C$1379:$C$1398))</f>
        <v>0</v>
      </c>
      <c r="AR1398">
        <f>IF(COUNT($E$2:$E1398)&lt;20,"",MIN($D$1379:$D$1398))</f>
        <v>0</v>
      </c>
      <c r="AS1398">
        <f>IF(OR(AQ1398="",AR1398=""),"",(AQ1398+AR1398)/2)</f>
        <v>0</v>
      </c>
      <c r="AT1398">
        <f>IF(COUNT($G$1379:$G$1398)&lt;20,"",STDEV($G$1379:$G$1398)*SQRT(252))</f>
        <v>0</v>
      </c>
      <c r="AU1398">
        <f>IF(COUNT($E$2:$E1398)&lt;9,"",(MAX($C$1390:$C$1398)+MIN($D$1390:$D$1398))/2)</f>
        <v>0</v>
      </c>
      <c r="AV1398">
        <f>IF(COUNT($E$2:$E1398)&lt;26,"",(MAX($C$1373:$C$1398)+MIN($D$1373:$D$1398))/2)</f>
        <v>0</v>
      </c>
      <c r="AW1398">
        <f>IF(OR(AU1398="",AV1398=""),"",(AU1398+AV1398)/2)</f>
        <v>0</v>
      </c>
      <c r="AX1398">
        <f>IF(COUNT($E$2:$E1398)&lt;52,"",(MAX($C$1347:$C$1398)+MIN($D$1347:$D$1398))/2)</f>
        <v>0</v>
      </c>
      <c r="AY1398">
        <f>IF(COUNT($E$2:$E1398)&lt;20,"",MAX($C$1299:$C$1398))</f>
        <v>0</v>
      </c>
      <c r="AZ1398">
        <f>IF(COUNT($E$2:$E1398)&lt;20,"",MIN($D$1299:$D$1398))</f>
        <v>0</v>
      </c>
      <c r="BA1398">
        <f>IF(COUNT($E$2:$E1398)&lt;20,"",SLOPE($E$1299:$E$1398,$F$1299:$F$1398))</f>
        <v>0</v>
      </c>
      <c r="BB1398">
        <f>IF(COUNT($E$2:$E1398)&lt;20,"",INTERCEPT($E$1299:$E$1398,$F$1299:$F$1398))</f>
        <v>0</v>
      </c>
      <c r="BC1398">
        <f>IF(OR(BA1398="",BB1398=""),"",BB1398+BA1398*F1398)</f>
        <v>0</v>
      </c>
      <c r="BD1398">
        <f>IF(COUNT($E$2:$E1398)&lt;20,"",STEYX($E$1299:$E$1398,$F$1299:$F$1398))</f>
        <v>0</v>
      </c>
      <c r="BE1398">
        <f>IF($E1398="","",IF(AND(COUNT($E$1399:$E$1402)&gt;=4,$C1398=MAX($C$1394:$C$1402)),$C1398,""))</f>
        <v>0</v>
      </c>
      <c r="BF1398">
        <f>IF($E1398="","",IF(AND(COUNT($E$1399:$E$1402)&gt;=4,$D1398=MIN($D$1394:$D$1402)),$D1398,""))</f>
        <v>0</v>
      </c>
      <c r="BG1398">
        <f>IF($A1398="","",$A1398-WEEKDAY($A1398,2)+1)</f>
        <v>0</v>
      </c>
      <c r="BH1398">
        <f>IF($A1398="","",IF($A1397="",1,IF(BG1398&lt;&gt;BG1397,1,0)))</f>
        <v>0</v>
      </c>
      <c r="BI1398">
        <f>IF($A1398="","",IF($A1399="",1,IF(BG1399&lt;&gt;BG1398,1,0)))</f>
        <v>0</v>
      </c>
      <c r="BJ1398">
        <f>IF($A1398="","",IF(BH1398=1,$B1398,BJ1397))</f>
        <v>0</v>
      </c>
      <c r="BK1398">
        <f>IF($A1398="","",IF(BH1398=1,$C1398,MAX($C1398,BK1397)))</f>
        <v>0</v>
      </c>
      <c r="BL1398">
        <f>IF($A1398="","",IF(BH1398=1,$D1398,MIN($D1398,BL1397)))</f>
        <v>0</v>
      </c>
      <c r="BM1398">
        <f>IF($A1398="","",IF(BI1398=1,F1398,""))</f>
        <v>0</v>
      </c>
      <c r="BN1398">
        <f>IF($A1398="","",DATE(YEAR($A1398),MONTH($A1398),1))</f>
        <v>0</v>
      </c>
      <c r="BO1398">
        <f>IF($A1398="","",IF($A1397="",1,IF(BN1398&lt;&gt;BN1397,1,0)))</f>
        <v>0</v>
      </c>
      <c r="BP1398">
        <f>IF($A1398="","",IF($A1399="",1,IF(BN1399&lt;&gt;BN1398,1,0)))</f>
        <v>0</v>
      </c>
      <c r="BQ1398">
        <f>IF($A1398="","",IF(BO1398=1,$B1398,BQ1397))</f>
        <v>0</v>
      </c>
      <c r="BR1398">
        <f>IF($A1398="","",IF(BO1398=1,$C1398,MAX($C1398,BR1397)))</f>
        <v>0</v>
      </c>
      <c r="BS1398">
        <f>IF($A1398="","",IF(BO1398=1,$D1398,MIN($D1398,BS1397)))</f>
        <v>0</v>
      </c>
      <c r="BT1398">
        <f>IF($A1398="","",IF(BP1398=1,F1398,""))</f>
        <v>0</v>
      </c>
    </row>
    <row r="1399" spans="1:72">
      <c r="A1399" s="27">
        <f>IF(Data!$A1399="","",Data!$A1399)</f>
        <v>0</v>
      </c>
      <c r="B1399">
        <f>IF(Data!$B1399="","",Data!$B1399)</f>
        <v>0</v>
      </c>
      <c r="C1399">
        <f>IF(Data!$C1399="","",Data!$C1399)</f>
        <v>0</v>
      </c>
      <c r="D1399">
        <f>IF(Data!$D1399="","",Data!$D1399)</f>
        <v>0</v>
      </c>
      <c r="E1399">
        <f>IF(Data!$E1399="","",Data!$E1399)</f>
        <v>0</v>
      </c>
      <c r="F1399">
        <f>IF($E1399="","",N(F1398)+1)</f>
        <v>0</v>
      </c>
      <c r="G1399">
        <f>IF(OR($E1399="",$E1398=""),"",LN($E1399/$E1398))</f>
        <v>0</v>
      </c>
      <c r="H1399">
        <f>IF($E1399="","",IF($E1398="",$E1399,$E1399*0.0952380952+H1398*0.9047619048))</f>
        <v>0</v>
      </c>
      <c r="I1399">
        <f>IF($E1399="","",IF($E1398="",$E1399,$E1399*0.0392156863+I1398*0.9607843137))</f>
        <v>0</v>
      </c>
      <c r="J1399">
        <f>IF($E1399="","",IF($E1398="",$E1399,$E1399*0.0198019802+J1398*0.9801980198))</f>
        <v>0</v>
      </c>
      <c r="K1399">
        <f>IF($E1399="","",IF($E1398="",$E1399,$E1399*0.0099502488+K1398*0.9900497512))</f>
        <v>0</v>
      </c>
      <c r="L1399">
        <f>IF(OR($E1399="",$E1398=""),"",MAX($E1399-$E1398,0))</f>
        <v>0</v>
      </c>
      <c r="M1399">
        <f>IF(OR($E1399="",$E1398=""),"",MAX($E1398-$E1399,0))</f>
        <v>0</v>
      </c>
      <c r="N1399">
        <f>IF(COUNT($E$2:$E1399)&lt;15,"",IF(AVERAGE($M$1386:$M$1399)=0,100,100-100/(1+AVERAGE($L$1386:$L$1399)/AVERAGE($M$1386:$M$1399))))</f>
        <v>0</v>
      </c>
      <c r="O1399">
        <f>IF($E1399="","",IF($E1398="",$E1399,$E1399*0.1538461538+O1398*0.8461538462))</f>
        <v>0</v>
      </c>
      <c r="P1399">
        <f>IF($E1399="","",IF($E1398="",$E1399,$E1399*0.0740740741+P1398*0.9259259259))</f>
        <v>0</v>
      </c>
      <c r="Q1399">
        <f>IF(OR(O1399="",P1399=""),"",O1399-P1399)</f>
        <v>0</v>
      </c>
      <c r="R1399">
        <f>IF(Q1399="","",IF(R1398="",Q1399,Q1399*0.2000000000+R1398*0.8000000000))</f>
        <v>0</v>
      </c>
      <c r="S1399">
        <f>IF(OR(Q1399="",R1399=""),"",Q1399-R1399)</f>
        <v>0</v>
      </c>
      <c r="T1399">
        <f>IF(COUNT($E$2:$E1399)&lt;14,"",MAX($C$1386:$C$1399))</f>
        <v>0</v>
      </c>
      <c r="U1399">
        <f>IF(COUNT($E$2:$E1399)&lt;14,"",MIN($D$1386:$D$1399))</f>
        <v>0</v>
      </c>
      <c r="V1399">
        <f>IF(OR(T1399="",U1399="",T1399=U1399),"",100*($E1399-U1399)/(T1399-U1399))</f>
        <v>0</v>
      </c>
      <c r="W1399">
        <f>IF(COUNT($V$1397:$V$1399)&lt;3,"",AVERAGE($V$1397:$V$1399))</f>
        <v>0</v>
      </c>
      <c r="X1399">
        <f>IF(COUNT($N$1386:$N$1399)&lt;14,"",MIN($N$1386:$N$1399))</f>
        <v>0</v>
      </c>
      <c r="Y1399">
        <f>IF(COUNT($N$1386:$N$1399)&lt;14,"",MAX($N$1386:$N$1399))</f>
        <v>0</v>
      </c>
      <c r="Z1399">
        <f>IF(OR(N1399="",X1399="",Y1399="",Y1399=X1399),"",100*(N1399-X1399)/(Y1399-X1399))</f>
        <v>0</v>
      </c>
      <c r="AA1399">
        <f>IF(COUNT($Z$1397:$Z$1399)&lt;3,"",AVERAGE($Z$1397:$Z$1399))</f>
        <v>0</v>
      </c>
      <c r="AB1399">
        <f>IF(COUNT($AA$1397:$AA$1399)&lt;3,"",AVERAGE($AA$1397:$AA$1399))</f>
        <v>0</v>
      </c>
      <c r="AC1399">
        <f>IF($E1399="","",MAX($C1399-$D1399,ABS($C1399-$E1398),ABS($D1399-$E1398)))</f>
        <v>0</v>
      </c>
      <c r="AD1399">
        <f>IF(COUNT($E$2:$E1399)&lt;15,"",AVERAGE($AC$1386:$AC$1399))</f>
        <v>0</v>
      </c>
      <c r="AE1399">
        <f>IF(OR($E1399="",$E1398=""),"",IF(AND(($C1399-$C1398)&gt;($D1398-$D1399),($C1399-$C1398)&gt;0),$C1399-$C1398,0))</f>
        <v>0</v>
      </c>
      <c r="AF1399">
        <f>IF(OR($E1399="",$E1398=""),"",IF(AND(($D1398-$D1399)&gt;($C1399-$C1398),($D1398-$D1399)&gt;0),$D1398-$D1399,0))</f>
        <v>0</v>
      </c>
      <c r="AG1399">
        <f>IF(COUNT($E$2:$E1399)&lt;15,"",IF(SUM($AC$1386:$AC$1399)=0,0,100*SUM($AE$1386:$AE$1399)/SUM($AC$1386:$AC$1399)))</f>
        <v>0</v>
      </c>
      <c r="AH1399">
        <f>IF(COUNT($E$2:$E1399)&lt;15,"",IF(SUM($AC$1386:$AC$1399)=0,0,100*SUM($AF$1386:$AF$1399)/SUM($AC$1386:$AC$1399)))</f>
        <v>0</v>
      </c>
      <c r="AI1399">
        <f>IF(OR(AG1399="",AH1399=""),"",IF((AG1399+AH1399)=0,0,100*ABS(AG1399-AH1399)/(AG1399+AH1399)))</f>
        <v>0</v>
      </c>
      <c r="AJ1399">
        <f>IF(COUNT($AI$1386:$AI$1399)&lt;14,"",AVERAGE($AI$1386:$AI$1399))</f>
        <v>0</v>
      </c>
      <c r="AK1399">
        <f>IF(COUNT($E$2:$E1399)&lt;20,"",AVERAGE($E$1380:$E$1399))</f>
        <v>0</v>
      </c>
      <c r="AL1399">
        <f>IF(COUNT($E$2:$E1399)&lt;20,"",STDEVP($E$1380:$E$1399))</f>
        <v>0</v>
      </c>
      <c r="AM1399">
        <f>IF(AK1399="","",AK1399+2*AL1399)</f>
        <v>0</v>
      </c>
      <c r="AN1399">
        <f>IF(AK1399="","",AK1399-2*AL1399)</f>
        <v>0</v>
      </c>
      <c r="AO1399">
        <f>IF(OR(AM1399="",AN1399="",AM1399=AN1399),"",($E1399-AN1399)/(AM1399-AN1399))</f>
        <v>0</v>
      </c>
      <c r="AP1399">
        <f>IF(OR(AM1399="",AK1399="",AK1399=0),"",(AM1399-AN1399)/AK1399)</f>
        <v>0</v>
      </c>
      <c r="AQ1399">
        <f>IF(COUNT($E$2:$E1399)&lt;20,"",MAX($C$1380:$C$1399))</f>
        <v>0</v>
      </c>
      <c r="AR1399">
        <f>IF(COUNT($E$2:$E1399)&lt;20,"",MIN($D$1380:$D$1399))</f>
        <v>0</v>
      </c>
      <c r="AS1399">
        <f>IF(OR(AQ1399="",AR1399=""),"",(AQ1399+AR1399)/2)</f>
        <v>0</v>
      </c>
      <c r="AT1399">
        <f>IF(COUNT($G$1380:$G$1399)&lt;20,"",STDEV($G$1380:$G$1399)*SQRT(252))</f>
        <v>0</v>
      </c>
      <c r="AU1399">
        <f>IF(COUNT($E$2:$E1399)&lt;9,"",(MAX($C$1391:$C$1399)+MIN($D$1391:$D$1399))/2)</f>
        <v>0</v>
      </c>
      <c r="AV1399">
        <f>IF(COUNT($E$2:$E1399)&lt;26,"",(MAX($C$1374:$C$1399)+MIN($D$1374:$D$1399))/2)</f>
        <v>0</v>
      </c>
      <c r="AW1399">
        <f>IF(OR(AU1399="",AV1399=""),"",(AU1399+AV1399)/2)</f>
        <v>0</v>
      </c>
      <c r="AX1399">
        <f>IF(COUNT($E$2:$E1399)&lt;52,"",(MAX($C$1348:$C$1399)+MIN($D$1348:$D$1399))/2)</f>
        <v>0</v>
      </c>
      <c r="AY1399">
        <f>IF(COUNT($E$2:$E1399)&lt;20,"",MAX($C$1300:$C$1399))</f>
        <v>0</v>
      </c>
      <c r="AZ1399">
        <f>IF(COUNT($E$2:$E1399)&lt;20,"",MIN($D$1300:$D$1399))</f>
        <v>0</v>
      </c>
      <c r="BA1399">
        <f>IF(COUNT($E$2:$E1399)&lt;20,"",SLOPE($E$1300:$E$1399,$F$1300:$F$1399))</f>
        <v>0</v>
      </c>
      <c r="BB1399">
        <f>IF(COUNT($E$2:$E1399)&lt;20,"",INTERCEPT($E$1300:$E$1399,$F$1300:$F$1399))</f>
        <v>0</v>
      </c>
      <c r="BC1399">
        <f>IF(OR(BA1399="",BB1399=""),"",BB1399+BA1399*F1399)</f>
        <v>0</v>
      </c>
      <c r="BD1399">
        <f>IF(COUNT($E$2:$E1399)&lt;20,"",STEYX($E$1300:$E$1399,$F$1300:$F$1399))</f>
        <v>0</v>
      </c>
      <c r="BE1399">
        <f>IF($E1399="","",IF(AND(COUNT($E$1400:$E$1403)&gt;=4,$C1399=MAX($C$1395:$C$1403)),$C1399,""))</f>
        <v>0</v>
      </c>
      <c r="BF1399">
        <f>IF($E1399="","",IF(AND(COUNT($E$1400:$E$1403)&gt;=4,$D1399=MIN($D$1395:$D$1403)),$D1399,""))</f>
        <v>0</v>
      </c>
      <c r="BG1399">
        <f>IF($A1399="","",$A1399-WEEKDAY($A1399,2)+1)</f>
        <v>0</v>
      </c>
      <c r="BH1399">
        <f>IF($A1399="","",IF($A1398="",1,IF(BG1399&lt;&gt;BG1398,1,0)))</f>
        <v>0</v>
      </c>
      <c r="BI1399">
        <f>IF($A1399="","",IF($A1400="",1,IF(BG1400&lt;&gt;BG1399,1,0)))</f>
        <v>0</v>
      </c>
      <c r="BJ1399">
        <f>IF($A1399="","",IF(BH1399=1,$B1399,BJ1398))</f>
        <v>0</v>
      </c>
      <c r="BK1399">
        <f>IF($A1399="","",IF(BH1399=1,$C1399,MAX($C1399,BK1398)))</f>
        <v>0</v>
      </c>
      <c r="BL1399">
        <f>IF($A1399="","",IF(BH1399=1,$D1399,MIN($D1399,BL1398)))</f>
        <v>0</v>
      </c>
      <c r="BM1399">
        <f>IF($A1399="","",IF(BI1399=1,F1399,""))</f>
        <v>0</v>
      </c>
      <c r="BN1399">
        <f>IF($A1399="","",DATE(YEAR($A1399),MONTH($A1399),1))</f>
        <v>0</v>
      </c>
      <c r="BO1399">
        <f>IF($A1399="","",IF($A1398="",1,IF(BN1399&lt;&gt;BN1398,1,0)))</f>
        <v>0</v>
      </c>
      <c r="BP1399">
        <f>IF($A1399="","",IF($A1400="",1,IF(BN1400&lt;&gt;BN1399,1,0)))</f>
        <v>0</v>
      </c>
      <c r="BQ1399">
        <f>IF($A1399="","",IF(BO1399=1,$B1399,BQ1398))</f>
        <v>0</v>
      </c>
      <c r="BR1399">
        <f>IF($A1399="","",IF(BO1399=1,$C1399,MAX($C1399,BR1398)))</f>
        <v>0</v>
      </c>
      <c r="BS1399">
        <f>IF($A1399="","",IF(BO1399=1,$D1399,MIN($D1399,BS1398)))</f>
        <v>0</v>
      </c>
      <c r="BT1399">
        <f>IF($A1399="","",IF(BP1399=1,F1399,""))</f>
        <v>0</v>
      </c>
    </row>
    <row r="1400" spans="1:72">
      <c r="A1400" s="27">
        <f>IF(Data!$A1400="","",Data!$A1400)</f>
        <v>0</v>
      </c>
      <c r="B1400">
        <f>IF(Data!$B1400="","",Data!$B1400)</f>
        <v>0</v>
      </c>
      <c r="C1400">
        <f>IF(Data!$C1400="","",Data!$C1400)</f>
        <v>0</v>
      </c>
      <c r="D1400">
        <f>IF(Data!$D1400="","",Data!$D1400)</f>
        <v>0</v>
      </c>
      <c r="E1400">
        <f>IF(Data!$E1400="","",Data!$E1400)</f>
        <v>0</v>
      </c>
      <c r="F1400">
        <f>IF($E1400="","",N(F1399)+1)</f>
        <v>0</v>
      </c>
      <c r="G1400">
        <f>IF(OR($E1400="",$E1399=""),"",LN($E1400/$E1399))</f>
        <v>0</v>
      </c>
      <c r="H1400">
        <f>IF($E1400="","",IF($E1399="",$E1400,$E1400*0.0952380952+H1399*0.9047619048))</f>
        <v>0</v>
      </c>
      <c r="I1400">
        <f>IF($E1400="","",IF($E1399="",$E1400,$E1400*0.0392156863+I1399*0.9607843137))</f>
        <v>0</v>
      </c>
      <c r="J1400">
        <f>IF($E1400="","",IF($E1399="",$E1400,$E1400*0.0198019802+J1399*0.9801980198))</f>
        <v>0</v>
      </c>
      <c r="K1400">
        <f>IF($E1400="","",IF($E1399="",$E1400,$E1400*0.0099502488+K1399*0.9900497512))</f>
        <v>0</v>
      </c>
      <c r="L1400">
        <f>IF(OR($E1400="",$E1399=""),"",MAX($E1400-$E1399,0))</f>
        <v>0</v>
      </c>
      <c r="M1400">
        <f>IF(OR($E1400="",$E1399=""),"",MAX($E1399-$E1400,0))</f>
        <v>0</v>
      </c>
      <c r="N1400">
        <f>IF(COUNT($E$2:$E1400)&lt;15,"",IF(AVERAGE($M$1387:$M$1400)=0,100,100-100/(1+AVERAGE($L$1387:$L$1400)/AVERAGE($M$1387:$M$1400))))</f>
        <v>0</v>
      </c>
      <c r="O1400">
        <f>IF($E1400="","",IF($E1399="",$E1400,$E1400*0.1538461538+O1399*0.8461538462))</f>
        <v>0</v>
      </c>
      <c r="P1400">
        <f>IF($E1400="","",IF($E1399="",$E1400,$E1400*0.0740740741+P1399*0.9259259259))</f>
        <v>0</v>
      </c>
      <c r="Q1400">
        <f>IF(OR(O1400="",P1400=""),"",O1400-P1400)</f>
        <v>0</v>
      </c>
      <c r="R1400">
        <f>IF(Q1400="","",IF(R1399="",Q1400,Q1400*0.2000000000+R1399*0.8000000000))</f>
        <v>0</v>
      </c>
      <c r="S1400">
        <f>IF(OR(Q1400="",R1400=""),"",Q1400-R1400)</f>
        <v>0</v>
      </c>
      <c r="T1400">
        <f>IF(COUNT($E$2:$E1400)&lt;14,"",MAX($C$1387:$C$1400))</f>
        <v>0</v>
      </c>
      <c r="U1400">
        <f>IF(COUNT($E$2:$E1400)&lt;14,"",MIN($D$1387:$D$1400))</f>
        <v>0</v>
      </c>
      <c r="V1400">
        <f>IF(OR(T1400="",U1400="",T1400=U1400),"",100*($E1400-U1400)/(T1400-U1400))</f>
        <v>0</v>
      </c>
      <c r="W1400">
        <f>IF(COUNT($V$1398:$V$1400)&lt;3,"",AVERAGE($V$1398:$V$1400))</f>
        <v>0</v>
      </c>
      <c r="X1400">
        <f>IF(COUNT($N$1387:$N$1400)&lt;14,"",MIN($N$1387:$N$1400))</f>
        <v>0</v>
      </c>
      <c r="Y1400">
        <f>IF(COUNT($N$1387:$N$1400)&lt;14,"",MAX($N$1387:$N$1400))</f>
        <v>0</v>
      </c>
      <c r="Z1400">
        <f>IF(OR(N1400="",X1400="",Y1400="",Y1400=X1400),"",100*(N1400-X1400)/(Y1400-X1400))</f>
        <v>0</v>
      </c>
      <c r="AA1400">
        <f>IF(COUNT($Z$1398:$Z$1400)&lt;3,"",AVERAGE($Z$1398:$Z$1400))</f>
        <v>0</v>
      </c>
      <c r="AB1400">
        <f>IF(COUNT($AA$1398:$AA$1400)&lt;3,"",AVERAGE($AA$1398:$AA$1400))</f>
        <v>0</v>
      </c>
      <c r="AC1400">
        <f>IF($E1400="","",MAX($C1400-$D1400,ABS($C1400-$E1399),ABS($D1400-$E1399)))</f>
        <v>0</v>
      </c>
      <c r="AD1400">
        <f>IF(COUNT($E$2:$E1400)&lt;15,"",AVERAGE($AC$1387:$AC$1400))</f>
        <v>0</v>
      </c>
      <c r="AE1400">
        <f>IF(OR($E1400="",$E1399=""),"",IF(AND(($C1400-$C1399)&gt;($D1399-$D1400),($C1400-$C1399)&gt;0),$C1400-$C1399,0))</f>
        <v>0</v>
      </c>
      <c r="AF1400">
        <f>IF(OR($E1400="",$E1399=""),"",IF(AND(($D1399-$D1400)&gt;($C1400-$C1399),($D1399-$D1400)&gt;0),$D1399-$D1400,0))</f>
        <v>0</v>
      </c>
      <c r="AG1400">
        <f>IF(COUNT($E$2:$E1400)&lt;15,"",IF(SUM($AC$1387:$AC$1400)=0,0,100*SUM($AE$1387:$AE$1400)/SUM($AC$1387:$AC$1400)))</f>
        <v>0</v>
      </c>
      <c r="AH1400">
        <f>IF(COUNT($E$2:$E1400)&lt;15,"",IF(SUM($AC$1387:$AC$1400)=0,0,100*SUM($AF$1387:$AF$1400)/SUM($AC$1387:$AC$1400)))</f>
        <v>0</v>
      </c>
      <c r="AI1400">
        <f>IF(OR(AG1400="",AH1400=""),"",IF((AG1400+AH1400)=0,0,100*ABS(AG1400-AH1400)/(AG1400+AH1400)))</f>
        <v>0</v>
      </c>
      <c r="AJ1400">
        <f>IF(COUNT($AI$1387:$AI$1400)&lt;14,"",AVERAGE($AI$1387:$AI$1400))</f>
        <v>0</v>
      </c>
      <c r="AK1400">
        <f>IF(COUNT($E$2:$E1400)&lt;20,"",AVERAGE($E$1381:$E$1400))</f>
        <v>0</v>
      </c>
      <c r="AL1400">
        <f>IF(COUNT($E$2:$E1400)&lt;20,"",STDEVP($E$1381:$E$1400))</f>
        <v>0</v>
      </c>
      <c r="AM1400">
        <f>IF(AK1400="","",AK1400+2*AL1400)</f>
        <v>0</v>
      </c>
      <c r="AN1400">
        <f>IF(AK1400="","",AK1400-2*AL1400)</f>
        <v>0</v>
      </c>
      <c r="AO1400">
        <f>IF(OR(AM1400="",AN1400="",AM1400=AN1400),"",($E1400-AN1400)/(AM1400-AN1400))</f>
        <v>0</v>
      </c>
      <c r="AP1400">
        <f>IF(OR(AM1400="",AK1400="",AK1400=0),"",(AM1400-AN1400)/AK1400)</f>
        <v>0</v>
      </c>
      <c r="AQ1400">
        <f>IF(COUNT($E$2:$E1400)&lt;20,"",MAX($C$1381:$C$1400))</f>
        <v>0</v>
      </c>
      <c r="AR1400">
        <f>IF(COUNT($E$2:$E1400)&lt;20,"",MIN($D$1381:$D$1400))</f>
        <v>0</v>
      </c>
      <c r="AS1400">
        <f>IF(OR(AQ1400="",AR1400=""),"",(AQ1400+AR1400)/2)</f>
        <v>0</v>
      </c>
      <c r="AT1400">
        <f>IF(COUNT($G$1381:$G$1400)&lt;20,"",STDEV($G$1381:$G$1400)*SQRT(252))</f>
        <v>0</v>
      </c>
      <c r="AU1400">
        <f>IF(COUNT($E$2:$E1400)&lt;9,"",(MAX($C$1392:$C$1400)+MIN($D$1392:$D$1400))/2)</f>
        <v>0</v>
      </c>
      <c r="AV1400">
        <f>IF(COUNT($E$2:$E1400)&lt;26,"",(MAX($C$1375:$C$1400)+MIN($D$1375:$D$1400))/2)</f>
        <v>0</v>
      </c>
      <c r="AW1400">
        <f>IF(OR(AU1400="",AV1400=""),"",(AU1400+AV1400)/2)</f>
        <v>0</v>
      </c>
      <c r="AX1400">
        <f>IF(COUNT($E$2:$E1400)&lt;52,"",(MAX($C$1349:$C$1400)+MIN($D$1349:$D$1400))/2)</f>
        <v>0</v>
      </c>
      <c r="AY1400">
        <f>IF(COUNT($E$2:$E1400)&lt;20,"",MAX($C$1301:$C$1400))</f>
        <v>0</v>
      </c>
      <c r="AZ1400">
        <f>IF(COUNT($E$2:$E1400)&lt;20,"",MIN($D$1301:$D$1400))</f>
        <v>0</v>
      </c>
      <c r="BA1400">
        <f>IF(COUNT($E$2:$E1400)&lt;20,"",SLOPE($E$1301:$E$1400,$F$1301:$F$1400))</f>
        <v>0</v>
      </c>
      <c r="BB1400">
        <f>IF(COUNT($E$2:$E1400)&lt;20,"",INTERCEPT($E$1301:$E$1400,$F$1301:$F$1400))</f>
        <v>0</v>
      </c>
      <c r="BC1400">
        <f>IF(OR(BA1400="",BB1400=""),"",BB1400+BA1400*F1400)</f>
        <v>0</v>
      </c>
      <c r="BD1400">
        <f>IF(COUNT($E$2:$E1400)&lt;20,"",STEYX($E$1301:$E$1400,$F$1301:$F$1400))</f>
        <v>0</v>
      </c>
      <c r="BE1400">
        <f>IF($E1400="","",IF(AND(COUNT($E$1401:$E$1404)&gt;=4,$C1400=MAX($C$1396:$C$1404)),$C1400,""))</f>
        <v>0</v>
      </c>
      <c r="BF1400">
        <f>IF($E1400="","",IF(AND(COUNT($E$1401:$E$1404)&gt;=4,$D1400=MIN($D$1396:$D$1404)),$D1400,""))</f>
        <v>0</v>
      </c>
      <c r="BG1400">
        <f>IF($A1400="","",$A1400-WEEKDAY($A1400,2)+1)</f>
        <v>0</v>
      </c>
      <c r="BH1400">
        <f>IF($A1400="","",IF($A1399="",1,IF(BG1400&lt;&gt;BG1399,1,0)))</f>
        <v>0</v>
      </c>
      <c r="BI1400">
        <f>IF($A1400="","",IF($A1401="",1,IF(BG1401&lt;&gt;BG1400,1,0)))</f>
        <v>0</v>
      </c>
      <c r="BJ1400">
        <f>IF($A1400="","",IF(BH1400=1,$B1400,BJ1399))</f>
        <v>0</v>
      </c>
      <c r="BK1400">
        <f>IF($A1400="","",IF(BH1400=1,$C1400,MAX($C1400,BK1399)))</f>
        <v>0</v>
      </c>
      <c r="BL1400">
        <f>IF($A1400="","",IF(BH1400=1,$D1400,MIN($D1400,BL1399)))</f>
        <v>0</v>
      </c>
      <c r="BM1400">
        <f>IF($A1400="","",IF(BI1400=1,F1400,""))</f>
        <v>0</v>
      </c>
      <c r="BN1400">
        <f>IF($A1400="","",DATE(YEAR($A1400),MONTH($A1400),1))</f>
        <v>0</v>
      </c>
      <c r="BO1400">
        <f>IF($A1400="","",IF($A1399="",1,IF(BN1400&lt;&gt;BN1399,1,0)))</f>
        <v>0</v>
      </c>
      <c r="BP1400">
        <f>IF($A1400="","",IF($A1401="",1,IF(BN1401&lt;&gt;BN1400,1,0)))</f>
        <v>0</v>
      </c>
      <c r="BQ1400">
        <f>IF($A1400="","",IF(BO1400=1,$B1400,BQ1399))</f>
        <v>0</v>
      </c>
      <c r="BR1400">
        <f>IF($A1400="","",IF(BO1400=1,$C1400,MAX($C1400,BR1399)))</f>
        <v>0</v>
      </c>
      <c r="BS1400">
        <f>IF($A1400="","",IF(BO1400=1,$D1400,MIN($D1400,BS1399)))</f>
        <v>0</v>
      </c>
      <c r="BT1400">
        <f>IF($A1400="","",IF(BP1400=1,F1400,""))</f>
        <v>0</v>
      </c>
    </row>
    <row r="1401" spans="1:72">
      <c r="A1401" s="27">
        <f>IF(Data!$A1401="","",Data!$A1401)</f>
        <v>0</v>
      </c>
      <c r="B1401">
        <f>IF(Data!$B1401="","",Data!$B1401)</f>
        <v>0</v>
      </c>
      <c r="C1401">
        <f>IF(Data!$C1401="","",Data!$C1401)</f>
        <v>0</v>
      </c>
      <c r="D1401">
        <f>IF(Data!$D1401="","",Data!$D1401)</f>
        <v>0</v>
      </c>
      <c r="E1401">
        <f>IF(Data!$E1401="","",Data!$E1401)</f>
        <v>0</v>
      </c>
      <c r="F1401">
        <f>IF($E1401="","",N(F1400)+1)</f>
        <v>0</v>
      </c>
      <c r="G1401">
        <f>IF(OR($E1401="",$E1400=""),"",LN($E1401/$E1400))</f>
        <v>0</v>
      </c>
      <c r="H1401">
        <f>IF($E1401="","",IF($E1400="",$E1401,$E1401*0.0952380952+H1400*0.9047619048))</f>
        <v>0</v>
      </c>
      <c r="I1401">
        <f>IF($E1401="","",IF($E1400="",$E1401,$E1401*0.0392156863+I1400*0.9607843137))</f>
        <v>0</v>
      </c>
      <c r="J1401">
        <f>IF($E1401="","",IF($E1400="",$E1401,$E1401*0.0198019802+J1400*0.9801980198))</f>
        <v>0</v>
      </c>
      <c r="K1401">
        <f>IF($E1401="","",IF($E1400="",$E1401,$E1401*0.0099502488+K1400*0.9900497512))</f>
        <v>0</v>
      </c>
      <c r="L1401">
        <f>IF(OR($E1401="",$E1400=""),"",MAX($E1401-$E1400,0))</f>
        <v>0</v>
      </c>
      <c r="M1401">
        <f>IF(OR($E1401="",$E1400=""),"",MAX($E1400-$E1401,0))</f>
        <v>0</v>
      </c>
      <c r="N1401">
        <f>IF(COUNT($E$2:$E1401)&lt;15,"",IF(AVERAGE($M$1388:$M$1401)=0,100,100-100/(1+AVERAGE($L$1388:$L$1401)/AVERAGE($M$1388:$M$1401))))</f>
        <v>0</v>
      </c>
      <c r="O1401">
        <f>IF($E1401="","",IF($E1400="",$E1401,$E1401*0.1538461538+O1400*0.8461538462))</f>
        <v>0</v>
      </c>
      <c r="P1401">
        <f>IF($E1401="","",IF($E1400="",$E1401,$E1401*0.0740740741+P1400*0.9259259259))</f>
        <v>0</v>
      </c>
      <c r="Q1401">
        <f>IF(OR(O1401="",P1401=""),"",O1401-P1401)</f>
        <v>0</v>
      </c>
      <c r="R1401">
        <f>IF(Q1401="","",IF(R1400="",Q1401,Q1401*0.2000000000+R1400*0.8000000000))</f>
        <v>0</v>
      </c>
      <c r="S1401">
        <f>IF(OR(Q1401="",R1401=""),"",Q1401-R1401)</f>
        <v>0</v>
      </c>
      <c r="T1401">
        <f>IF(COUNT($E$2:$E1401)&lt;14,"",MAX($C$1388:$C$1401))</f>
        <v>0</v>
      </c>
      <c r="U1401">
        <f>IF(COUNT($E$2:$E1401)&lt;14,"",MIN($D$1388:$D$1401))</f>
        <v>0</v>
      </c>
      <c r="V1401">
        <f>IF(OR(T1401="",U1401="",T1401=U1401),"",100*($E1401-U1401)/(T1401-U1401))</f>
        <v>0</v>
      </c>
      <c r="W1401">
        <f>IF(COUNT($V$1399:$V$1401)&lt;3,"",AVERAGE($V$1399:$V$1401))</f>
        <v>0</v>
      </c>
      <c r="X1401">
        <f>IF(COUNT($N$1388:$N$1401)&lt;14,"",MIN($N$1388:$N$1401))</f>
        <v>0</v>
      </c>
      <c r="Y1401">
        <f>IF(COUNT($N$1388:$N$1401)&lt;14,"",MAX($N$1388:$N$1401))</f>
        <v>0</v>
      </c>
      <c r="Z1401">
        <f>IF(OR(N1401="",X1401="",Y1401="",Y1401=X1401),"",100*(N1401-X1401)/(Y1401-X1401))</f>
        <v>0</v>
      </c>
      <c r="AA1401">
        <f>IF(COUNT($Z$1399:$Z$1401)&lt;3,"",AVERAGE($Z$1399:$Z$1401))</f>
        <v>0</v>
      </c>
      <c r="AB1401">
        <f>IF(COUNT($AA$1399:$AA$1401)&lt;3,"",AVERAGE($AA$1399:$AA$1401))</f>
        <v>0</v>
      </c>
      <c r="AC1401">
        <f>IF($E1401="","",MAX($C1401-$D1401,ABS($C1401-$E1400),ABS($D1401-$E1400)))</f>
        <v>0</v>
      </c>
      <c r="AD1401">
        <f>IF(COUNT($E$2:$E1401)&lt;15,"",AVERAGE($AC$1388:$AC$1401))</f>
        <v>0</v>
      </c>
      <c r="AE1401">
        <f>IF(OR($E1401="",$E1400=""),"",IF(AND(($C1401-$C1400)&gt;($D1400-$D1401),($C1401-$C1400)&gt;0),$C1401-$C1400,0))</f>
        <v>0</v>
      </c>
      <c r="AF1401">
        <f>IF(OR($E1401="",$E1400=""),"",IF(AND(($D1400-$D1401)&gt;($C1401-$C1400),($D1400-$D1401)&gt;0),$D1400-$D1401,0))</f>
        <v>0</v>
      </c>
      <c r="AG1401">
        <f>IF(COUNT($E$2:$E1401)&lt;15,"",IF(SUM($AC$1388:$AC$1401)=0,0,100*SUM($AE$1388:$AE$1401)/SUM($AC$1388:$AC$1401)))</f>
        <v>0</v>
      </c>
      <c r="AH1401">
        <f>IF(COUNT($E$2:$E1401)&lt;15,"",IF(SUM($AC$1388:$AC$1401)=0,0,100*SUM($AF$1388:$AF$1401)/SUM($AC$1388:$AC$1401)))</f>
        <v>0</v>
      </c>
      <c r="AI1401">
        <f>IF(OR(AG1401="",AH1401=""),"",IF((AG1401+AH1401)=0,0,100*ABS(AG1401-AH1401)/(AG1401+AH1401)))</f>
        <v>0</v>
      </c>
      <c r="AJ1401">
        <f>IF(COUNT($AI$1388:$AI$1401)&lt;14,"",AVERAGE($AI$1388:$AI$1401))</f>
        <v>0</v>
      </c>
      <c r="AK1401">
        <f>IF(COUNT($E$2:$E1401)&lt;20,"",AVERAGE($E$1382:$E$1401))</f>
        <v>0</v>
      </c>
      <c r="AL1401">
        <f>IF(COUNT($E$2:$E1401)&lt;20,"",STDEVP($E$1382:$E$1401))</f>
        <v>0</v>
      </c>
      <c r="AM1401">
        <f>IF(AK1401="","",AK1401+2*AL1401)</f>
        <v>0</v>
      </c>
      <c r="AN1401">
        <f>IF(AK1401="","",AK1401-2*AL1401)</f>
        <v>0</v>
      </c>
      <c r="AO1401">
        <f>IF(OR(AM1401="",AN1401="",AM1401=AN1401),"",($E1401-AN1401)/(AM1401-AN1401))</f>
        <v>0</v>
      </c>
      <c r="AP1401">
        <f>IF(OR(AM1401="",AK1401="",AK1401=0),"",(AM1401-AN1401)/AK1401)</f>
        <v>0</v>
      </c>
      <c r="AQ1401">
        <f>IF(COUNT($E$2:$E1401)&lt;20,"",MAX($C$1382:$C$1401))</f>
        <v>0</v>
      </c>
      <c r="AR1401">
        <f>IF(COUNT($E$2:$E1401)&lt;20,"",MIN($D$1382:$D$1401))</f>
        <v>0</v>
      </c>
      <c r="AS1401">
        <f>IF(OR(AQ1401="",AR1401=""),"",(AQ1401+AR1401)/2)</f>
        <v>0</v>
      </c>
      <c r="AT1401">
        <f>IF(COUNT($G$1382:$G$1401)&lt;20,"",STDEV($G$1382:$G$1401)*SQRT(252))</f>
        <v>0</v>
      </c>
      <c r="AU1401">
        <f>IF(COUNT($E$2:$E1401)&lt;9,"",(MAX($C$1393:$C$1401)+MIN($D$1393:$D$1401))/2)</f>
        <v>0</v>
      </c>
      <c r="AV1401">
        <f>IF(COUNT($E$2:$E1401)&lt;26,"",(MAX($C$1376:$C$1401)+MIN($D$1376:$D$1401))/2)</f>
        <v>0</v>
      </c>
      <c r="AW1401">
        <f>IF(OR(AU1401="",AV1401=""),"",(AU1401+AV1401)/2)</f>
        <v>0</v>
      </c>
      <c r="AX1401">
        <f>IF(COUNT($E$2:$E1401)&lt;52,"",(MAX($C$1350:$C$1401)+MIN($D$1350:$D$1401))/2)</f>
        <v>0</v>
      </c>
      <c r="AY1401">
        <f>IF(COUNT($E$2:$E1401)&lt;20,"",MAX($C$1302:$C$1401))</f>
        <v>0</v>
      </c>
      <c r="AZ1401">
        <f>IF(COUNT($E$2:$E1401)&lt;20,"",MIN($D$1302:$D$1401))</f>
        <v>0</v>
      </c>
      <c r="BA1401">
        <f>IF(COUNT($E$2:$E1401)&lt;20,"",SLOPE($E$1302:$E$1401,$F$1302:$F$1401))</f>
        <v>0</v>
      </c>
      <c r="BB1401">
        <f>IF(COUNT($E$2:$E1401)&lt;20,"",INTERCEPT($E$1302:$E$1401,$F$1302:$F$1401))</f>
        <v>0</v>
      </c>
      <c r="BC1401">
        <f>IF(OR(BA1401="",BB1401=""),"",BB1401+BA1401*F1401)</f>
        <v>0</v>
      </c>
      <c r="BD1401">
        <f>IF(COUNT($E$2:$E1401)&lt;20,"",STEYX($E$1302:$E$1401,$F$1302:$F$1401))</f>
        <v>0</v>
      </c>
      <c r="BE1401">
        <f>IF($E1401="","",IF(AND(COUNT($E$1402:$E$1405)&gt;=4,$C1401=MAX($C$1397:$C$1405)),$C1401,""))</f>
        <v>0</v>
      </c>
      <c r="BF1401">
        <f>IF($E1401="","",IF(AND(COUNT($E$1402:$E$1405)&gt;=4,$D1401=MIN($D$1397:$D$1405)),$D1401,""))</f>
        <v>0</v>
      </c>
      <c r="BG1401">
        <f>IF($A1401="","",$A1401-WEEKDAY($A1401,2)+1)</f>
        <v>0</v>
      </c>
      <c r="BH1401">
        <f>IF($A1401="","",IF($A1400="",1,IF(BG1401&lt;&gt;BG1400,1,0)))</f>
        <v>0</v>
      </c>
      <c r="BI1401">
        <f>IF($A1401="","",IF($A1402="",1,IF(BG1402&lt;&gt;BG1401,1,0)))</f>
        <v>0</v>
      </c>
      <c r="BJ1401">
        <f>IF($A1401="","",IF(BH1401=1,$B1401,BJ1400))</f>
        <v>0</v>
      </c>
      <c r="BK1401">
        <f>IF($A1401="","",IF(BH1401=1,$C1401,MAX($C1401,BK1400)))</f>
        <v>0</v>
      </c>
      <c r="BL1401">
        <f>IF($A1401="","",IF(BH1401=1,$D1401,MIN($D1401,BL1400)))</f>
        <v>0</v>
      </c>
      <c r="BM1401">
        <f>IF($A1401="","",IF(BI1401=1,F1401,""))</f>
        <v>0</v>
      </c>
      <c r="BN1401">
        <f>IF($A1401="","",DATE(YEAR($A1401),MONTH($A1401),1))</f>
        <v>0</v>
      </c>
      <c r="BO1401">
        <f>IF($A1401="","",IF($A1400="",1,IF(BN1401&lt;&gt;BN1400,1,0)))</f>
        <v>0</v>
      </c>
      <c r="BP1401">
        <f>IF($A1401="","",IF($A1402="",1,IF(BN1402&lt;&gt;BN1401,1,0)))</f>
        <v>0</v>
      </c>
      <c r="BQ1401">
        <f>IF($A1401="","",IF(BO1401=1,$B1401,BQ1400))</f>
        <v>0</v>
      </c>
      <c r="BR1401">
        <f>IF($A1401="","",IF(BO1401=1,$C1401,MAX($C1401,BR1400)))</f>
        <v>0</v>
      </c>
      <c r="BS1401">
        <f>IF($A1401="","",IF(BO1401=1,$D1401,MIN($D1401,BS1400)))</f>
        <v>0</v>
      </c>
      <c r="BT1401">
        <f>IF($A1401="","",IF(BP1401=1,F1401,""))</f>
        <v>0</v>
      </c>
    </row>
    <row r="1402" spans="1:72">
      <c r="A1402" s="27">
        <f>IF(Data!$A1402="","",Data!$A1402)</f>
        <v>0</v>
      </c>
      <c r="B1402">
        <f>IF(Data!$B1402="","",Data!$B1402)</f>
        <v>0</v>
      </c>
      <c r="C1402">
        <f>IF(Data!$C1402="","",Data!$C1402)</f>
        <v>0</v>
      </c>
      <c r="D1402">
        <f>IF(Data!$D1402="","",Data!$D1402)</f>
        <v>0</v>
      </c>
      <c r="E1402">
        <f>IF(Data!$E1402="","",Data!$E1402)</f>
        <v>0</v>
      </c>
      <c r="F1402">
        <f>IF($E1402="","",N(F1401)+1)</f>
        <v>0</v>
      </c>
      <c r="G1402">
        <f>IF(OR($E1402="",$E1401=""),"",LN($E1402/$E1401))</f>
        <v>0</v>
      </c>
      <c r="H1402">
        <f>IF($E1402="","",IF($E1401="",$E1402,$E1402*0.0952380952+H1401*0.9047619048))</f>
        <v>0</v>
      </c>
      <c r="I1402">
        <f>IF($E1402="","",IF($E1401="",$E1402,$E1402*0.0392156863+I1401*0.9607843137))</f>
        <v>0</v>
      </c>
      <c r="J1402">
        <f>IF($E1402="","",IF($E1401="",$E1402,$E1402*0.0198019802+J1401*0.9801980198))</f>
        <v>0</v>
      </c>
      <c r="K1402">
        <f>IF($E1402="","",IF($E1401="",$E1402,$E1402*0.0099502488+K1401*0.9900497512))</f>
        <v>0</v>
      </c>
      <c r="L1402">
        <f>IF(OR($E1402="",$E1401=""),"",MAX($E1402-$E1401,0))</f>
        <v>0</v>
      </c>
      <c r="M1402">
        <f>IF(OR($E1402="",$E1401=""),"",MAX($E1401-$E1402,0))</f>
        <v>0</v>
      </c>
      <c r="N1402">
        <f>IF(COUNT($E$2:$E1402)&lt;15,"",IF(AVERAGE($M$1389:$M$1402)=0,100,100-100/(1+AVERAGE($L$1389:$L$1402)/AVERAGE($M$1389:$M$1402))))</f>
        <v>0</v>
      </c>
      <c r="O1402">
        <f>IF($E1402="","",IF($E1401="",$E1402,$E1402*0.1538461538+O1401*0.8461538462))</f>
        <v>0</v>
      </c>
      <c r="P1402">
        <f>IF($E1402="","",IF($E1401="",$E1402,$E1402*0.0740740741+P1401*0.9259259259))</f>
        <v>0</v>
      </c>
      <c r="Q1402">
        <f>IF(OR(O1402="",P1402=""),"",O1402-P1402)</f>
        <v>0</v>
      </c>
      <c r="R1402">
        <f>IF(Q1402="","",IF(R1401="",Q1402,Q1402*0.2000000000+R1401*0.8000000000))</f>
        <v>0</v>
      </c>
      <c r="S1402">
        <f>IF(OR(Q1402="",R1402=""),"",Q1402-R1402)</f>
        <v>0</v>
      </c>
      <c r="T1402">
        <f>IF(COUNT($E$2:$E1402)&lt;14,"",MAX($C$1389:$C$1402))</f>
        <v>0</v>
      </c>
      <c r="U1402">
        <f>IF(COUNT($E$2:$E1402)&lt;14,"",MIN($D$1389:$D$1402))</f>
        <v>0</v>
      </c>
      <c r="V1402">
        <f>IF(OR(T1402="",U1402="",T1402=U1402),"",100*($E1402-U1402)/(T1402-U1402))</f>
        <v>0</v>
      </c>
      <c r="W1402">
        <f>IF(COUNT($V$1400:$V$1402)&lt;3,"",AVERAGE($V$1400:$V$1402))</f>
        <v>0</v>
      </c>
      <c r="X1402">
        <f>IF(COUNT($N$1389:$N$1402)&lt;14,"",MIN($N$1389:$N$1402))</f>
        <v>0</v>
      </c>
      <c r="Y1402">
        <f>IF(COUNT($N$1389:$N$1402)&lt;14,"",MAX($N$1389:$N$1402))</f>
        <v>0</v>
      </c>
      <c r="Z1402">
        <f>IF(OR(N1402="",X1402="",Y1402="",Y1402=X1402),"",100*(N1402-X1402)/(Y1402-X1402))</f>
        <v>0</v>
      </c>
      <c r="AA1402">
        <f>IF(COUNT($Z$1400:$Z$1402)&lt;3,"",AVERAGE($Z$1400:$Z$1402))</f>
        <v>0</v>
      </c>
      <c r="AB1402">
        <f>IF(COUNT($AA$1400:$AA$1402)&lt;3,"",AVERAGE($AA$1400:$AA$1402))</f>
        <v>0</v>
      </c>
      <c r="AC1402">
        <f>IF($E1402="","",MAX($C1402-$D1402,ABS($C1402-$E1401),ABS($D1402-$E1401)))</f>
        <v>0</v>
      </c>
      <c r="AD1402">
        <f>IF(COUNT($E$2:$E1402)&lt;15,"",AVERAGE($AC$1389:$AC$1402))</f>
        <v>0</v>
      </c>
      <c r="AE1402">
        <f>IF(OR($E1402="",$E1401=""),"",IF(AND(($C1402-$C1401)&gt;($D1401-$D1402),($C1402-$C1401)&gt;0),$C1402-$C1401,0))</f>
        <v>0</v>
      </c>
      <c r="AF1402">
        <f>IF(OR($E1402="",$E1401=""),"",IF(AND(($D1401-$D1402)&gt;($C1402-$C1401),($D1401-$D1402)&gt;0),$D1401-$D1402,0))</f>
        <v>0</v>
      </c>
      <c r="AG1402">
        <f>IF(COUNT($E$2:$E1402)&lt;15,"",IF(SUM($AC$1389:$AC$1402)=0,0,100*SUM($AE$1389:$AE$1402)/SUM($AC$1389:$AC$1402)))</f>
        <v>0</v>
      </c>
      <c r="AH1402">
        <f>IF(COUNT($E$2:$E1402)&lt;15,"",IF(SUM($AC$1389:$AC$1402)=0,0,100*SUM($AF$1389:$AF$1402)/SUM($AC$1389:$AC$1402)))</f>
        <v>0</v>
      </c>
      <c r="AI1402">
        <f>IF(OR(AG1402="",AH1402=""),"",IF((AG1402+AH1402)=0,0,100*ABS(AG1402-AH1402)/(AG1402+AH1402)))</f>
        <v>0</v>
      </c>
      <c r="AJ1402">
        <f>IF(COUNT($AI$1389:$AI$1402)&lt;14,"",AVERAGE($AI$1389:$AI$1402))</f>
        <v>0</v>
      </c>
      <c r="AK1402">
        <f>IF(COUNT($E$2:$E1402)&lt;20,"",AVERAGE($E$1383:$E$1402))</f>
        <v>0</v>
      </c>
      <c r="AL1402">
        <f>IF(COUNT($E$2:$E1402)&lt;20,"",STDEVP($E$1383:$E$1402))</f>
        <v>0</v>
      </c>
      <c r="AM1402">
        <f>IF(AK1402="","",AK1402+2*AL1402)</f>
        <v>0</v>
      </c>
      <c r="AN1402">
        <f>IF(AK1402="","",AK1402-2*AL1402)</f>
        <v>0</v>
      </c>
      <c r="AO1402">
        <f>IF(OR(AM1402="",AN1402="",AM1402=AN1402),"",($E1402-AN1402)/(AM1402-AN1402))</f>
        <v>0</v>
      </c>
      <c r="AP1402">
        <f>IF(OR(AM1402="",AK1402="",AK1402=0),"",(AM1402-AN1402)/AK1402)</f>
        <v>0</v>
      </c>
      <c r="AQ1402">
        <f>IF(COUNT($E$2:$E1402)&lt;20,"",MAX($C$1383:$C$1402))</f>
        <v>0</v>
      </c>
      <c r="AR1402">
        <f>IF(COUNT($E$2:$E1402)&lt;20,"",MIN($D$1383:$D$1402))</f>
        <v>0</v>
      </c>
      <c r="AS1402">
        <f>IF(OR(AQ1402="",AR1402=""),"",(AQ1402+AR1402)/2)</f>
        <v>0</v>
      </c>
      <c r="AT1402">
        <f>IF(COUNT($G$1383:$G$1402)&lt;20,"",STDEV($G$1383:$G$1402)*SQRT(252))</f>
        <v>0</v>
      </c>
      <c r="AU1402">
        <f>IF(COUNT($E$2:$E1402)&lt;9,"",(MAX($C$1394:$C$1402)+MIN($D$1394:$D$1402))/2)</f>
        <v>0</v>
      </c>
      <c r="AV1402">
        <f>IF(COUNT($E$2:$E1402)&lt;26,"",(MAX($C$1377:$C$1402)+MIN($D$1377:$D$1402))/2)</f>
        <v>0</v>
      </c>
      <c r="AW1402">
        <f>IF(OR(AU1402="",AV1402=""),"",(AU1402+AV1402)/2)</f>
        <v>0</v>
      </c>
      <c r="AX1402">
        <f>IF(COUNT($E$2:$E1402)&lt;52,"",(MAX($C$1351:$C$1402)+MIN($D$1351:$D$1402))/2)</f>
        <v>0</v>
      </c>
      <c r="AY1402">
        <f>IF(COUNT($E$2:$E1402)&lt;20,"",MAX($C$1303:$C$1402))</f>
        <v>0</v>
      </c>
      <c r="AZ1402">
        <f>IF(COUNT($E$2:$E1402)&lt;20,"",MIN($D$1303:$D$1402))</f>
        <v>0</v>
      </c>
      <c r="BA1402">
        <f>IF(COUNT($E$2:$E1402)&lt;20,"",SLOPE($E$1303:$E$1402,$F$1303:$F$1402))</f>
        <v>0</v>
      </c>
      <c r="BB1402">
        <f>IF(COUNT($E$2:$E1402)&lt;20,"",INTERCEPT($E$1303:$E$1402,$F$1303:$F$1402))</f>
        <v>0</v>
      </c>
      <c r="BC1402">
        <f>IF(OR(BA1402="",BB1402=""),"",BB1402+BA1402*F1402)</f>
        <v>0</v>
      </c>
      <c r="BD1402">
        <f>IF(COUNT($E$2:$E1402)&lt;20,"",STEYX($E$1303:$E$1402,$F$1303:$F$1402))</f>
        <v>0</v>
      </c>
      <c r="BE1402">
        <f>IF($E1402="","",IF(AND(COUNT($E$1403:$E$1406)&gt;=4,$C1402=MAX($C$1398:$C$1406)),$C1402,""))</f>
        <v>0</v>
      </c>
      <c r="BF1402">
        <f>IF($E1402="","",IF(AND(COUNT($E$1403:$E$1406)&gt;=4,$D1402=MIN($D$1398:$D$1406)),$D1402,""))</f>
        <v>0</v>
      </c>
      <c r="BG1402">
        <f>IF($A1402="","",$A1402-WEEKDAY($A1402,2)+1)</f>
        <v>0</v>
      </c>
      <c r="BH1402">
        <f>IF($A1402="","",IF($A1401="",1,IF(BG1402&lt;&gt;BG1401,1,0)))</f>
        <v>0</v>
      </c>
      <c r="BI1402">
        <f>IF($A1402="","",IF($A1403="",1,IF(BG1403&lt;&gt;BG1402,1,0)))</f>
        <v>0</v>
      </c>
      <c r="BJ1402">
        <f>IF($A1402="","",IF(BH1402=1,$B1402,BJ1401))</f>
        <v>0</v>
      </c>
      <c r="BK1402">
        <f>IF($A1402="","",IF(BH1402=1,$C1402,MAX($C1402,BK1401)))</f>
        <v>0</v>
      </c>
      <c r="BL1402">
        <f>IF($A1402="","",IF(BH1402=1,$D1402,MIN($D1402,BL1401)))</f>
        <v>0</v>
      </c>
      <c r="BM1402">
        <f>IF($A1402="","",IF(BI1402=1,F1402,""))</f>
        <v>0</v>
      </c>
      <c r="BN1402">
        <f>IF($A1402="","",DATE(YEAR($A1402),MONTH($A1402),1))</f>
        <v>0</v>
      </c>
      <c r="BO1402">
        <f>IF($A1402="","",IF($A1401="",1,IF(BN1402&lt;&gt;BN1401,1,0)))</f>
        <v>0</v>
      </c>
      <c r="BP1402">
        <f>IF($A1402="","",IF($A1403="",1,IF(BN1403&lt;&gt;BN1402,1,0)))</f>
        <v>0</v>
      </c>
      <c r="BQ1402">
        <f>IF($A1402="","",IF(BO1402=1,$B1402,BQ1401))</f>
        <v>0</v>
      </c>
      <c r="BR1402">
        <f>IF($A1402="","",IF(BO1402=1,$C1402,MAX($C1402,BR1401)))</f>
        <v>0</v>
      </c>
      <c r="BS1402">
        <f>IF($A1402="","",IF(BO1402=1,$D1402,MIN($D1402,BS1401)))</f>
        <v>0</v>
      </c>
      <c r="BT1402">
        <f>IF($A1402="","",IF(BP1402=1,F1402,""))</f>
        <v>0</v>
      </c>
    </row>
    <row r="1403" spans="1:72">
      <c r="A1403" s="27">
        <f>IF(Data!$A1403="","",Data!$A1403)</f>
        <v>0</v>
      </c>
      <c r="B1403">
        <f>IF(Data!$B1403="","",Data!$B1403)</f>
        <v>0</v>
      </c>
      <c r="C1403">
        <f>IF(Data!$C1403="","",Data!$C1403)</f>
        <v>0</v>
      </c>
      <c r="D1403">
        <f>IF(Data!$D1403="","",Data!$D1403)</f>
        <v>0</v>
      </c>
      <c r="E1403">
        <f>IF(Data!$E1403="","",Data!$E1403)</f>
        <v>0</v>
      </c>
      <c r="F1403">
        <f>IF($E1403="","",N(F1402)+1)</f>
        <v>0</v>
      </c>
      <c r="G1403">
        <f>IF(OR($E1403="",$E1402=""),"",LN($E1403/$E1402))</f>
        <v>0</v>
      </c>
      <c r="H1403">
        <f>IF($E1403="","",IF($E1402="",$E1403,$E1403*0.0952380952+H1402*0.9047619048))</f>
        <v>0</v>
      </c>
      <c r="I1403">
        <f>IF($E1403="","",IF($E1402="",$E1403,$E1403*0.0392156863+I1402*0.9607843137))</f>
        <v>0</v>
      </c>
      <c r="J1403">
        <f>IF($E1403="","",IF($E1402="",$E1403,$E1403*0.0198019802+J1402*0.9801980198))</f>
        <v>0</v>
      </c>
      <c r="K1403">
        <f>IF($E1403="","",IF($E1402="",$E1403,$E1403*0.0099502488+K1402*0.9900497512))</f>
        <v>0</v>
      </c>
      <c r="L1403">
        <f>IF(OR($E1403="",$E1402=""),"",MAX($E1403-$E1402,0))</f>
        <v>0</v>
      </c>
      <c r="M1403">
        <f>IF(OR($E1403="",$E1402=""),"",MAX($E1402-$E1403,0))</f>
        <v>0</v>
      </c>
      <c r="N1403">
        <f>IF(COUNT($E$2:$E1403)&lt;15,"",IF(AVERAGE($M$1390:$M$1403)=0,100,100-100/(1+AVERAGE($L$1390:$L$1403)/AVERAGE($M$1390:$M$1403))))</f>
        <v>0</v>
      </c>
      <c r="O1403">
        <f>IF($E1403="","",IF($E1402="",$E1403,$E1403*0.1538461538+O1402*0.8461538462))</f>
        <v>0</v>
      </c>
      <c r="P1403">
        <f>IF($E1403="","",IF($E1402="",$E1403,$E1403*0.0740740741+P1402*0.9259259259))</f>
        <v>0</v>
      </c>
      <c r="Q1403">
        <f>IF(OR(O1403="",P1403=""),"",O1403-P1403)</f>
        <v>0</v>
      </c>
      <c r="R1403">
        <f>IF(Q1403="","",IF(R1402="",Q1403,Q1403*0.2000000000+R1402*0.8000000000))</f>
        <v>0</v>
      </c>
      <c r="S1403">
        <f>IF(OR(Q1403="",R1403=""),"",Q1403-R1403)</f>
        <v>0</v>
      </c>
      <c r="T1403">
        <f>IF(COUNT($E$2:$E1403)&lt;14,"",MAX($C$1390:$C$1403))</f>
        <v>0</v>
      </c>
      <c r="U1403">
        <f>IF(COUNT($E$2:$E1403)&lt;14,"",MIN($D$1390:$D$1403))</f>
        <v>0</v>
      </c>
      <c r="V1403">
        <f>IF(OR(T1403="",U1403="",T1403=U1403),"",100*($E1403-U1403)/(T1403-U1403))</f>
        <v>0</v>
      </c>
      <c r="W1403">
        <f>IF(COUNT($V$1401:$V$1403)&lt;3,"",AVERAGE($V$1401:$V$1403))</f>
        <v>0</v>
      </c>
      <c r="X1403">
        <f>IF(COUNT($N$1390:$N$1403)&lt;14,"",MIN($N$1390:$N$1403))</f>
        <v>0</v>
      </c>
      <c r="Y1403">
        <f>IF(COUNT($N$1390:$N$1403)&lt;14,"",MAX($N$1390:$N$1403))</f>
        <v>0</v>
      </c>
      <c r="Z1403">
        <f>IF(OR(N1403="",X1403="",Y1403="",Y1403=X1403),"",100*(N1403-X1403)/(Y1403-X1403))</f>
        <v>0</v>
      </c>
      <c r="AA1403">
        <f>IF(COUNT($Z$1401:$Z$1403)&lt;3,"",AVERAGE($Z$1401:$Z$1403))</f>
        <v>0</v>
      </c>
      <c r="AB1403">
        <f>IF(COUNT($AA$1401:$AA$1403)&lt;3,"",AVERAGE($AA$1401:$AA$1403))</f>
        <v>0</v>
      </c>
      <c r="AC1403">
        <f>IF($E1403="","",MAX($C1403-$D1403,ABS($C1403-$E1402),ABS($D1403-$E1402)))</f>
        <v>0</v>
      </c>
      <c r="AD1403">
        <f>IF(COUNT($E$2:$E1403)&lt;15,"",AVERAGE($AC$1390:$AC$1403))</f>
        <v>0</v>
      </c>
      <c r="AE1403">
        <f>IF(OR($E1403="",$E1402=""),"",IF(AND(($C1403-$C1402)&gt;($D1402-$D1403),($C1403-$C1402)&gt;0),$C1403-$C1402,0))</f>
        <v>0</v>
      </c>
      <c r="AF1403">
        <f>IF(OR($E1403="",$E1402=""),"",IF(AND(($D1402-$D1403)&gt;($C1403-$C1402),($D1402-$D1403)&gt;0),$D1402-$D1403,0))</f>
        <v>0</v>
      </c>
      <c r="AG1403">
        <f>IF(COUNT($E$2:$E1403)&lt;15,"",IF(SUM($AC$1390:$AC$1403)=0,0,100*SUM($AE$1390:$AE$1403)/SUM($AC$1390:$AC$1403)))</f>
        <v>0</v>
      </c>
      <c r="AH1403">
        <f>IF(COUNT($E$2:$E1403)&lt;15,"",IF(SUM($AC$1390:$AC$1403)=0,0,100*SUM($AF$1390:$AF$1403)/SUM($AC$1390:$AC$1403)))</f>
        <v>0</v>
      </c>
      <c r="AI1403">
        <f>IF(OR(AG1403="",AH1403=""),"",IF((AG1403+AH1403)=0,0,100*ABS(AG1403-AH1403)/(AG1403+AH1403)))</f>
        <v>0</v>
      </c>
      <c r="AJ1403">
        <f>IF(COUNT($AI$1390:$AI$1403)&lt;14,"",AVERAGE($AI$1390:$AI$1403))</f>
        <v>0</v>
      </c>
      <c r="AK1403">
        <f>IF(COUNT($E$2:$E1403)&lt;20,"",AVERAGE($E$1384:$E$1403))</f>
        <v>0</v>
      </c>
      <c r="AL1403">
        <f>IF(COUNT($E$2:$E1403)&lt;20,"",STDEVP($E$1384:$E$1403))</f>
        <v>0</v>
      </c>
      <c r="AM1403">
        <f>IF(AK1403="","",AK1403+2*AL1403)</f>
        <v>0</v>
      </c>
      <c r="AN1403">
        <f>IF(AK1403="","",AK1403-2*AL1403)</f>
        <v>0</v>
      </c>
      <c r="AO1403">
        <f>IF(OR(AM1403="",AN1403="",AM1403=AN1403),"",($E1403-AN1403)/(AM1403-AN1403))</f>
        <v>0</v>
      </c>
      <c r="AP1403">
        <f>IF(OR(AM1403="",AK1403="",AK1403=0),"",(AM1403-AN1403)/AK1403)</f>
        <v>0</v>
      </c>
      <c r="AQ1403">
        <f>IF(COUNT($E$2:$E1403)&lt;20,"",MAX($C$1384:$C$1403))</f>
        <v>0</v>
      </c>
      <c r="AR1403">
        <f>IF(COUNT($E$2:$E1403)&lt;20,"",MIN($D$1384:$D$1403))</f>
        <v>0</v>
      </c>
      <c r="AS1403">
        <f>IF(OR(AQ1403="",AR1403=""),"",(AQ1403+AR1403)/2)</f>
        <v>0</v>
      </c>
      <c r="AT1403">
        <f>IF(COUNT($G$1384:$G$1403)&lt;20,"",STDEV($G$1384:$G$1403)*SQRT(252))</f>
        <v>0</v>
      </c>
      <c r="AU1403">
        <f>IF(COUNT($E$2:$E1403)&lt;9,"",(MAX($C$1395:$C$1403)+MIN($D$1395:$D$1403))/2)</f>
        <v>0</v>
      </c>
      <c r="AV1403">
        <f>IF(COUNT($E$2:$E1403)&lt;26,"",(MAX($C$1378:$C$1403)+MIN($D$1378:$D$1403))/2)</f>
        <v>0</v>
      </c>
      <c r="AW1403">
        <f>IF(OR(AU1403="",AV1403=""),"",(AU1403+AV1403)/2)</f>
        <v>0</v>
      </c>
      <c r="AX1403">
        <f>IF(COUNT($E$2:$E1403)&lt;52,"",(MAX($C$1352:$C$1403)+MIN($D$1352:$D$1403))/2)</f>
        <v>0</v>
      </c>
      <c r="AY1403">
        <f>IF(COUNT($E$2:$E1403)&lt;20,"",MAX($C$1304:$C$1403))</f>
        <v>0</v>
      </c>
      <c r="AZ1403">
        <f>IF(COUNT($E$2:$E1403)&lt;20,"",MIN($D$1304:$D$1403))</f>
        <v>0</v>
      </c>
      <c r="BA1403">
        <f>IF(COUNT($E$2:$E1403)&lt;20,"",SLOPE($E$1304:$E$1403,$F$1304:$F$1403))</f>
        <v>0</v>
      </c>
      <c r="BB1403">
        <f>IF(COUNT($E$2:$E1403)&lt;20,"",INTERCEPT($E$1304:$E$1403,$F$1304:$F$1403))</f>
        <v>0</v>
      </c>
      <c r="BC1403">
        <f>IF(OR(BA1403="",BB1403=""),"",BB1403+BA1403*F1403)</f>
        <v>0</v>
      </c>
      <c r="BD1403">
        <f>IF(COUNT($E$2:$E1403)&lt;20,"",STEYX($E$1304:$E$1403,$F$1304:$F$1403))</f>
        <v>0</v>
      </c>
      <c r="BE1403">
        <f>IF($E1403="","",IF(AND(COUNT($E$1404:$E$1407)&gt;=4,$C1403=MAX($C$1399:$C$1407)),$C1403,""))</f>
        <v>0</v>
      </c>
      <c r="BF1403">
        <f>IF($E1403="","",IF(AND(COUNT($E$1404:$E$1407)&gt;=4,$D1403=MIN($D$1399:$D$1407)),$D1403,""))</f>
        <v>0</v>
      </c>
      <c r="BG1403">
        <f>IF($A1403="","",$A1403-WEEKDAY($A1403,2)+1)</f>
        <v>0</v>
      </c>
      <c r="BH1403">
        <f>IF($A1403="","",IF($A1402="",1,IF(BG1403&lt;&gt;BG1402,1,0)))</f>
        <v>0</v>
      </c>
      <c r="BI1403">
        <f>IF($A1403="","",IF($A1404="",1,IF(BG1404&lt;&gt;BG1403,1,0)))</f>
        <v>0</v>
      </c>
      <c r="BJ1403">
        <f>IF($A1403="","",IF(BH1403=1,$B1403,BJ1402))</f>
        <v>0</v>
      </c>
      <c r="BK1403">
        <f>IF($A1403="","",IF(BH1403=1,$C1403,MAX($C1403,BK1402)))</f>
        <v>0</v>
      </c>
      <c r="BL1403">
        <f>IF($A1403="","",IF(BH1403=1,$D1403,MIN($D1403,BL1402)))</f>
        <v>0</v>
      </c>
      <c r="BM1403">
        <f>IF($A1403="","",IF(BI1403=1,F1403,""))</f>
        <v>0</v>
      </c>
      <c r="BN1403">
        <f>IF($A1403="","",DATE(YEAR($A1403),MONTH($A1403),1))</f>
        <v>0</v>
      </c>
      <c r="BO1403">
        <f>IF($A1403="","",IF($A1402="",1,IF(BN1403&lt;&gt;BN1402,1,0)))</f>
        <v>0</v>
      </c>
      <c r="BP1403">
        <f>IF($A1403="","",IF($A1404="",1,IF(BN1404&lt;&gt;BN1403,1,0)))</f>
        <v>0</v>
      </c>
      <c r="BQ1403">
        <f>IF($A1403="","",IF(BO1403=1,$B1403,BQ1402))</f>
        <v>0</v>
      </c>
      <c r="BR1403">
        <f>IF($A1403="","",IF(BO1403=1,$C1403,MAX($C1403,BR1402)))</f>
        <v>0</v>
      </c>
      <c r="BS1403">
        <f>IF($A1403="","",IF(BO1403=1,$D1403,MIN($D1403,BS1402)))</f>
        <v>0</v>
      </c>
      <c r="BT1403">
        <f>IF($A1403="","",IF(BP1403=1,F1403,""))</f>
        <v>0</v>
      </c>
    </row>
    <row r="1404" spans="1:72">
      <c r="A1404" s="27">
        <f>IF(Data!$A1404="","",Data!$A1404)</f>
        <v>0</v>
      </c>
      <c r="B1404">
        <f>IF(Data!$B1404="","",Data!$B1404)</f>
        <v>0</v>
      </c>
      <c r="C1404">
        <f>IF(Data!$C1404="","",Data!$C1404)</f>
        <v>0</v>
      </c>
      <c r="D1404">
        <f>IF(Data!$D1404="","",Data!$D1404)</f>
        <v>0</v>
      </c>
      <c r="E1404">
        <f>IF(Data!$E1404="","",Data!$E1404)</f>
        <v>0</v>
      </c>
      <c r="F1404">
        <f>IF($E1404="","",N(F1403)+1)</f>
        <v>0</v>
      </c>
      <c r="G1404">
        <f>IF(OR($E1404="",$E1403=""),"",LN($E1404/$E1403))</f>
        <v>0</v>
      </c>
      <c r="H1404">
        <f>IF($E1404="","",IF($E1403="",$E1404,$E1404*0.0952380952+H1403*0.9047619048))</f>
        <v>0</v>
      </c>
      <c r="I1404">
        <f>IF($E1404="","",IF($E1403="",$E1404,$E1404*0.0392156863+I1403*0.9607843137))</f>
        <v>0</v>
      </c>
      <c r="J1404">
        <f>IF($E1404="","",IF($E1403="",$E1404,$E1404*0.0198019802+J1403*0.9801980198))</f>
        <v>0</v>
      </c>
      <c r="K1404">
        <f>IF($E1404="","",IF($E1403="",$E1404,$E1404*0.0099502488+K1403*0.9900497512))</f>
        <v>0</v>
      </c>
      <c r="L1404">
        <f>IF(OR($E1404="",$E1403=""),"",MAX($E1404-$E1403,0))</f>
        <v>0</v>
      </c>
      <c r="M1404">
        <f>IF(OR($E1404="",$E1403=""),"",MAX($E1403-$E1404,0))</f>
        <v>0</v>
      </c>
      <c r="N1404">
        <f>IF(COUNT($E$2:$E1404)&lt;15,"",IF(AVERAGE($M$1391:$M$1404)=0,100,100-100/(1+AVERAGE($L$1391:$L$1404)/AVERAGE($M$1391:$M$1404))))</f>
        <v>0</v>
      </c>
      <c r="O1404">
        <f>IF($E1404="","",IF($E1403="",$E1404,$E1404*0.1538461538+O1403*0.8461538462))</f>
        <v>0</v>
      </c>
      <c r="P1404">
        <f>IF($E1404="","",IF($E1403="",$E1404,$E1404*0.0740740741+P1403*0.9259259259))</f>
        <v>0</v>
      </c>
      <c r="Q1404">
        <f>IF(OR(O1404="",P1404=""),"",O1404-P1404)</f>
        <v>0</v>
      </c>
      <c r="R1404">
        <f>IF(Q1404="","",IF(R1403="",Q1404,Q1404*0.2000000000+R1403*0.8000000000))</f>
        <v>0</v>
      </c>
      <c r="S1404">
        <f>IF(OR(Q1404="",R1404=""),"",Q1404-R1404)</f>
        <v>0</v>
      </c>
      <c r="T1404">
        <f>IF(COUNT($E$2:$E1404)&lt;14,"",MAX($C$1391:$C$1404))</f>
        <v>0</v>
      </c>
      <c r="U1404">
        <f>IF(COUNT($E$2:$E1404)&lt;14,"",MIN($D$1391:$D$1404))</f>
        <v>0</v>
      </c>
      <c r="V1404">
        <f>IF(OR(T1404="",U1404="",T1404=U1404),"",100*($E1404-U1404)/(T1404-U1404))</f>
        <v>0</v>
      </c>
      <c r="W1404">
        <f>IF(COUNT($V$1402:$V$1404)&lt;3,"",AVERAGE($V$1402:$V$1404))</f>
        <v>0</v>
      </c>
      <c r="X1404">
        <f>IF(COUNT($N$1391:$N$1404)&lt;14,"",MIN($N$1391:$N$1404))</f>
        <v>0</v>
      </c>
      <c r="Y1404">
        <f>IF(COUNT($N$1391:$N$1404)&lt;14,"",MAX($N$1391:$N$1404))</f>
        <v>0</v>
      </c>
      <c r="Z1404">
        <f>IF(OR(N1404="",X1404="",Y1404="",Y1404=X1404),"",100*(N1404-X1404)/(Y1404-X1404))</f>
        <v>0</v>
      </c>
      <c r="AA1404">
        <f>IF(COUNT($Z$1402:$Z$1404)&lt;3,"",AVERAGE($Z$1402:$Z$1404))</f>
        <v>0</v>
      </c>
      <c r="AB1404">
        <f>IF(COUNT($AA$1402:$AA$1404)&lt;3,"",AVERAGE($AA$1402:$AA$1404))</f>
        <v>0</v>
      </c>
      <c r="AC1404">
        <f>IF($E1404="","",MAX($C1404-$D1404,ABS($C1404-$E1403),ABS($D1404-$E1403)))</f>
        <v>0</v>
      </c>
      <c r="AD1404">
        <f>IF(COUNT($E$2:$E1404)&lt;15,"",AVERAGE($AC$1391:$AC$1404))</f>
        <v>0</v>
      </c>
      <c r="AE1404">
        <f>IF(OR($E1404="",$E1403=""),"",IF(AND(($C1404-$C1403)&gt;($D1403-$D1404),($C1404-$C1403)&gt;0),$C1404-$C1403,0))</f>
        <v>0</v>
      </c>
      <c r="AF1404">
        <f>IF(OR($E1404="",$E1403=""),"",IF(AND(($D1403-$D1404)&gt;($C1404-$C1403),($D1403-$D1404)&gt;0),$D1403-$D1404,0))</f>
        <v>0</v>
      </c>
      <c r="AG1404">
        <f>IF(COUNT($E$2:$E1404)&lt;15,"",IF(SUM($AC$1391:$AC$1404)=0,0,100*SUM($AE$1391:$AE$1404)/SUM($AC$1391:$AC$1404)))</f>
        <v>0</v>
      </c>
      <c r="AH1404">
        <f>IF(COUNT($E$2:$E1404)&lt;15,"",IF(SUM($AC$1391:$AC$1404)=0,0,100*SUM($AF$1391:$AF$1404)/SUM($AC$1391:$AC$1404)))</f>
        <v>0</v>
      </c>
      <c r="AI1404">
        <f>IF(OR(AG1404="",AH1404=""),"",IF((AG1404+AH1404)=0,0,100*ABS(AG1404-AH1404)/(AG1404+AH1404)))</f>
        <v>0</v>
      </c>
      <c r="AJ1404">
        <f>IF(COUNT($AI$1391:$AI$1404)&lt;14,"",AVERAGE($AI$1391:$AI$1404))</f>
        <v>0</v>
      </c>
      <c r="AK1404">
        <f>IF(COUNT($E$2:$E1404)&lt;20,"",AVERAGE($E$1385:$E$1404))</f>
        <v>0</v>
      </c>
      <c r="AL1404">
        <f>IF(COUNT($E$2:$E1404)&lt;20,"",STDEVP($E$1385:$E$1404))</f>
        <v>0</v>
      </c>
      <c r="AM1404">
        <f>IF(AK1404="","",AK1404+2*AL1404)</f>
        <v>0</v>
      </c>
      <c r="AN1404">
        <f>IF(AK1404="","",AK1404-2*AL1404)</f>
        <v>0</v>
      </c>
      <c r="AO1404">
        <f>IF(OR(AM1404="",AN1404="",AM1404=AN1404),"",($E1404-AN1404)/(AM1404-AN1404))</f>
        <v>0</v>
      </c>
      <c r="AP1404">
        <f>IF(OR(AM1404="",AK1404="",AK1404=0),"",(AM1404-AN1404)/AK1404)</f>
        <v>0</v>
      </c>
      <c r="AQ1404">
        <f>IF(COUNT($E$2:$E1404)&lt;20,"",MAX($C$1385:$C$1404))</f>
        <v>0</v>
      </c>
      <c r="AR1404">
        <f>IF(COUNT($E$2:$E1404)&lt;20,"",MIN($D$1385:$D$1404))</f>
        <v>0</v>
      </c>
      <c r="AS1404">
        <f>IF(OR(AQ1404="",AR1404=""),"",(AQ1404+AR1404)/2)</f>
        <v>0</v>
      </c>
      <c r="AT1404">
        <f>IF(COUNT($G$1385:$G$1404)&lt;20,"",STDEV($G$1385:$G$1404)*SQRT(252))</f>
        <v>0</v>
      </c>
      <c r="AU1404">
        <f>IF(COUNT($E$2:$E1404)&lt;9,"",(MAX($C$1396:$C$1404)+MIN($D$1396:$D$1404))/2)</f>
        <v>0</v>
      </c>
      <c r="AV1404">
        <f>IF(COUNT($E$2:$E1404)&lt;26,"",(MAX($C$1379:$C$1404)+MIN($D$1379:$D$1404))/2)</f>
        <v>0</v>
      </c>
      <c r="AW1404">
        <f>IF(OR(AU1404="",AV1404=""),"",(AU1404+AV1404)/2)</f>
        <v>0</v>
      </c>
      <c r="AX1404">
        <f>IF(COUNT($E$2:$E1404)&lt;52,"",(MAX($C$1353:$C$1404)+MIN($D$1353:$D$1404))/2)</f>
        <v>0</v>
      </c>
      <c r="AY1404">
        <f>IF(COUNT($E$2:$E1404)&lt;20,"",MAX($C$1305:$C$1404))</f>
        <v>0</v>
      </c>
      <c r="AZ1404">
        <f>IF(COUNT($E$2:$E1404)&lt;20,"",MIN($D$1305:$D$1404))</f>
        <v>0</v>
      </c>
      <c r="BA1404">
        <f>IF(COUNT($E$2:$E1404)&lt;20,"",SLOPE($E$1305:$E$1404,$F$1305:$F$1404))</f>
        <v>0</v>
      </c>
      <c r="BB1404">
        <f>IF(COUNT($E$2:$E1404)&lt;20,"",INTERCEPT($E$1305:$E$1404,$F$1305:$F$1404))</f>
        <v>0</v>
      </c>
      <c r="BC1404">
        <f>IF(OR(BA1404="",BB1404=""),"",BB1404+BA1404*F1404)</f>
        <v>0</v>
      </c>
      <c r="BD1404">
        <f>IF(COUNT($E$2:$E1404)&lt;20,"",STEYX($E$1305:$E$1404,$F$1305:$F$1404))</f>
        <v>0</v>
      </c>
      <c r="BE1404">
        <f>IF($E1404="","",IF(AND(COUNT($E$1405:$E$1408)&gt;=4,$C1404=MAX($C$1400:$C$1408)),$C1404,""))</f>
        <v>0</v>
      </c>
      <c r="BF1404">
        <f>IF($E1404="","",IF(AND(COUNT($E$1405:$E$1408)&gt;=4,$D1404=MIN($D$1400:$D$1408)),$D1404,""))</f>
        <v>0</v>
      </c>
      <c r="BG1404">
        <f>IF($A1404="","",$A1404-WEEKDAY($A1404,2)+1)</f>
        <v>0</v>
      </c>
      <c r="BH1404">
        <f>IF($A1404="","",IF($A1403="",1,IF(BG1404&lt;&gt;BG1403,1,0)))</f>
        <v>0</v>
      </c>
      <c r="BI1404">
        <f>IF($A1404="","",IF($A1405="",1,IF(BG1405&lt;&gt;BG1404,1,0)))</f>
        <v>0</v>
      </c>
      <c r="BJ1404">
        <f>IF($A1404="","",IF(BH1404=1,$B1404,BJ1403))</f>
        <v>0</v>
      </c>
      <c r="BK1404">
        <f>IF($A1404="","",IF(BH1404=1,$C1404,MAX($C1404,BK1403)))</f>
        <v>0</v>
      </c>
      <c r="BL1404">
        <f>IF($A1404="","",IF(BH1404=1,$D1404,MIN($D1404,BL1403)))</f>
        <v>0</v>
      </c>
      <c r="BM1404">
        <f>IF($A1404="","",IF(BI1404=1,F1404,""))</f>
        <v>0</v>
      </c>
      <c r="BN1404">
        <f>IF($A1404="","",DATE(YEAR($A1404),MONTH($A1404),1))</f>
        <v>0</v>
      </c>
      <c r="BO1404">
        <f>IF($A1404="","",IF($A1403="",1,IF(BN1404&lt;&gt;BN1403,1,0)))</f>
        <v>0</v>
      </c>
      <c r="BP1404">
        <f>IF($A1404="","",IF($A1405="",1,IF(BN1405&lt;&gt;BN1404,1,0)))</f>
        <v>0</v>
      </c>
      <c r="BQ1404">
        <f>IF($A1404="","",IF(BO1404=1,$B1404,BQ1403))</f>
        <v>0</v>
      </c>
      <c r="BR1404">
        <f>IF($A1404="","",IF(BO1404=1,$C1404,MAX($C1404,BR1403)))</f>
        <v>0</v>
      </c>
      <c r="BS1404">
        <f>IF($A1404="","",IF(BO1404=1,$D1404,MIN($D1404,BS1403)))</f>
        <v>0</v>
      </c>
      <c r="BT1404">
        <f>IF($A1404="","",IF(BP1404=1,F1404,""))</f>
        <v>0</v>
      </c>
    </row>
    <row r="1405" spans="1:72">
      <c r="A1405" s="27">
        <f>IF(Data!$A1405="","",Data!$A1405)</f>
        <v>0</v>
      </c>
      <c r="B1405">
        <f>IF(Data!$B1405="","",Data!$B1405)</f>
        <v>0</v>
      </c>
      <c r="C1405">
        <f>IF(Data!$C1405="","",Data!$C1405)</f>
        <v>0</v>
      </c>
      <c r="D1405">
        <f>IF(Data!$D1405="","",Data!$D1405)</f>
        <v>0</v>
      </c>
      <c r="E1405">
        <f>IF(Data!$E1405="","",Data!$E1405)</f>
        <v>0</v>
      </c>
      <c r="F1405">
        <f>IF($E1405="","",N(F1404)+1)</f>
        <v>0</v>
      </c>
      <c r="G1405">
        <f>IF(OR($E1405="",$E1404=""),"",LN($E1405/$E1404))</f>
        <v>0</v>
      </c>
      <c r="H1405">
        <f>IF($E1405="","",IF($E1404="",$E1405,$E1405*0.0952380952+H1404*0.9047619048))</f>
        <v>0</v>
      </c>
      <c r="I1405">
        <f>IF($E1405="","",IF($E1404="",$E1405,$E1405*0.0392156863+I1404*0.9607843137))</f>
        <v>0</v>
      </c>
      <c r="J1405">
        <f>IF($E1405="","",IF($E1404="",$E1405,$E1405*0.0198019802+J1404*0.9801980198))</f>
        <v>0</v>
      </c>
      <c r="K1405">
        <f>IF($E1405="","",IF($E1404="",$E1405,$E1405*0.0099502488+K1404*0.9900497512))</f>
        <v>0</v>
      </c>
      <c r="L1405">
        <f>IF(OR($E1405="",$E1404=""),"",MAX($E1405-$E1404,0))</f>
        <v>0</v>
      </c>
      <c r="M1405">
        <f>IF(OR($E1405="",$E1404=""),"",MAX($E1404-$E1405,0))</f>
        <v>0</v>
      </c>
      <c r="N1405">
        <f>IF(COUNT($E$2:$E1405)&lt;15,"",IF(AVERAGE($M$1392:$M$1405)=0,100,100-100/(1+AVERAGE($L$1392:$L$1405)/AVERAGE($M$1392:$M$1405))))</f>
        <v>0</v>
      </c>
      <c r="O1405">
        <f>IF($E1405="","",IF($E1404="",$E1405,$E1405*0.1538461538+O1404*0.8461538462))</f>
        <v>0</v>
      </c>
      <c r="P1405">
        <f>IF($E1405="","",IF($E1404="",$E1405,$E1405*0.0740740741+P1404*0.9259259259))</f>
        <v>0</v>
      </c>
      <c r="Q1405">
        <f>IF(OR(O1405="",P1405=""),"",O1405-P1405)</f>
        <v>0</v>
      </c>
      <c r="R1405">
        <f>IF(Q1405="","",IF(R1404="",Q1405,Q1405*0.2000000000+R1404*0.8000000000))</f>
        <v>0</v>
      </c>
      <c r="S1405">
        <f>IF(OR(Q1405="",R1405=""),"",Q1405-R1405)</f>
        <v>0</v>
      </c>
      <c r="T1405">
        <f>IF(COUNT($E$2:$E1405)&lt;14,"",MAX($C$1392:$C$1405))</f>
        <v>0</v>
      </c>
      <c r="U1405">
        <f>IF(COUNT($E$2:$E1405)&lt;14,"",MIN($D$1392:$D$1405))</f>
        <v>0</v>
      </c>
      <c r="V1405">
        <f>IF(OR(T1405="",U1405="",T1405=U1405),"",100*($E1405-U1405)/(T1405-U1405))</f>
        <v>0</v>
      </c>
      <c r="W1405">
        <f>IF(COUNT($V$1403:$V$1405)&lt;3,"",AVERAGE($V$1403:$V$1405))</f>
        <v>0</v>
      </c>
      <c r="X1405">
        <f>IF(COUNT($N$1392:$N$1405)&lt;14,"",MIN($N$1392:$N$1405))</f>
        <v>0</v>
      </c>
      <c r="Y1405">
        <f>IF(COUNT($N$1392:$N$1405)&lt;14,"",MAX($N$1392:$N$1405))</f>
        <v>0</v>
      </c>
      <c r="Z1405">
        <f>IF(OR(N1405="",X1405="",Y1405="",Y1405=X1405),"",100*(N1405-X1405)/(Y1405-X1405))</f>
        <v>0</v>
      </c>
      <c r="AA1405">
        <f>IF(COUNT($Z$1403:$Z$1405)&lt;3,"",AVERAGE($Z$1403:$Z$1405))</f>
        <v>0</v>
      </c>
      <c r="AB1405">
        <f>IF(COUNT($AA$1403:$AA$1405)&lt;3,"",AVERAGE($AA$1403:$AA$1405))</f>
        <v>0</v>
      </c>
      <c r="AC1405">
        <f>IF($E1405="","",MAX($C1405-$D1405,ABS($C1405-$E1404),ABS($D1405-$E1404)))</f>
        <v>0</v>
      </c>
      <c r="AD1405">
        <f>IF(COUNT($E$2:$E1405)&lt;15,"",AVERAGE($AC$1392:$AC$1405))</f>
        <v>0</v>
      </c>
      <c r="AE1405">
        <f>IF(OR($E1405="",$E1404=""),"",IF(AND(($C1405-$C1404)&gt;($D1404-$D1405),($C1405-$C1404)&gt;0),$C1405-$C1404,0))</f>
        <v>0</v>
      </c>
      <c r="AF1405">
        <f>IF(OR($E1405="",$E1404=""),"",IF(AND(($D1404-$D1405)&gt;($C1405-$C1404),($D1404-$D1405)&gt;0),$D1404-$D1405,0))</f>
        <v>0</v>
      </c>
      <c r="AG1405">
        <f>IF(COUNT($E$2:$E1405)&lt;15,"",IF(SUM($AC$1392:$AC$1405)=0,0,100*SUM($AE$1392:$AE$1405)/SUM($AC$1392:$AC$1405)))</f>
        <v>0</v>
      </c>
      <c r="AH1405">
        <f>IF(COUNT($E$2:$E1405)&lt;15,"",IF(SUM($AC$1392:$AC$1405)=0,0,100*SUM($AF$1392:$AF$1405)/SUM($AC$1392:$AC$1405)))</f>
        <v>0</v>
      </c>
      <c r="AI1405">
        <f>IF(OR(AG1405="",AH1405=""),"",IF((AG1405+AH1405)=0,0,100*ABS(AG1405-AH1405)/(AG1405+AH1405)))</f>
        <v>0</v>
      </c>
      <c r="AJ1405">
        <f>IF(COUNT($AI$1392:$AI$1405)&lt;14,"",AVERAGE($AI$1392:$AI$1405))</f>
        <v>0</v>
      </c>
      <c r="AK1405">
        <f>IF(COUNT($E$2:$E1405)&lt;20,"",AVERAGE($E$1386:$E$1405))</f>
        <v>0</v>
      </c>
      <c r="AL1405">
        <f>IF(COUNT($E$2:$E1405)&lt;20,"",STDEVP($E$1386:$E$1405))</f>
        <v>0</v>
      </c>
      <c r="AM1405">
        <f>IF(AK1405="","",AK1405+2*AL1405)</f>
        <v>0</v>
      </c>
      <c r="AN1405">
        <f>IF(AK1405="","",AK1405-2*AL1405)</f>
        <v>0</v>
      </c>
      <c r="AO1405">
        <f>IF(OR(AM1405="",AN1405="",AM1405=AN1405),"",($E1405-AN1405)/(AM1405-AN1405))</f>
        <v>0</v>
      </c>
      <c r="AP1405">
        <f>IF(OR(AM1405="",AK1405="",AK1405=0),"",(AM1405-AN1405)/AK1405)</f>
        <v>0</v>
      </c>
      <c r="AQ1405">
        <f>IF(COUNT($E$2:$E1405)&lt;20,"",MAX($C$1386:$C$1405))</f>
        <v>0</v>
      </c>
      <c r="AR1405">
        <f>IF(COUNT($E$2:$E1405)&lt;20,"",MIN($D$1386:$D$1405))</f>
        <v>0</v>
      </c>
      <c r="AS1405">
        <f>IF(OR(AQ1405="",AR1405=""),"",(AQ1405+AR1405)/2)</f>
        <v>0</v>
      </c>
      <c r="AT1405">
        <f>IF(COUNT($G$1386:$G$1405)&lt;20,"",STDEV($G$1386:$G$1405)*SQRT(252))</f>
        <v>0</v>
      </c>
      <c r="AU1405">
        <f>IF(COUNT($E$2:$E1405)&lt;9,"",(MAX($C$1397:$C$1405)+MIN($D$1397:$D$1405))/2)</f>
        <v>0</v>
      </c>
      <c r="AV1405">
        <f>IF(COUNT($E$2:$E1405)&lt;26,"",(MAX($C$1380:$C$1405)+MIN($D$1380:$D$1405))/2)</f>
        <v>0</v>
      </c>
      <c r="AW1405">
        <f>IF(OR(AU1405="",AV1405=""),"",(AU1405+AV1405)/2)</f>
        <v>0</v>
      </c>
      <c r="AX1405">
        <f>IF(COUNT($E$2:$E1405)&lt;52,"",(MAX($C$1354:$C$1405)+MIN($D$1354:$D$1405))/2)</f>
        <v>0</v>
      </c>
      <c r="AY1405">
        <f>IF(COUNT($E$2:$E1405)&lt;20,"",MAX($C$1306:$C$1405))</f>
        <v>0</v>
      </c>
      <c r="AZ1405">
        <f>IF(COUNT($E$2:$E1405)&lt;20,"",MIN($D$1306:$D$1405))</f>
        <v>0</v>
      </c>
      <c r="BA1405">
        <f>IF(COUNT($E$2:$E1405)&lt;20,"",SLOPE($E$1306:$E$1405,$F$1306:$F$1405))</f>
        <v>0</v>
      </c>
      <c r="BB1405">
        <f>IF(COUNT($E$2:$E1405)&lt;20,"",INTERCEPT($E$1306:$E$1405,$F$1306:$F$1405))</f>
        <v>0</v>
      </c>
      <c r="BC1405">
        <f>IF(OR(BA1405="",BB1405=""),"",BB1405+BA1405*F1405)</f>
        <v>0</v>
      </c>
      <c r="BD1405">
        <f>IF(COUNT($E$2:$E1405)&lt;20,"",STEYX($E$1306:$E$1405,$F$1306:$F$1405))</f>
        <v>0</v>
      </c>
      <c r="BE1405">
        <f>IF($E1405="","",IF(AND(COUNT($E$1406:$E$1409)&gt;=4,$C1405=MAX($C$1401:$C$1409)),$C1405,""))</f>
        <v>0</v>
      </c>
      <c r="BF1405">
        <f>IF($E1405="","",IF(AND(COUNT($E$1406:$E$1409)&gt;=4,$D1405=MIN($D$1401:$D$1409)),$D1405,""))</f>
        <v>0</v>
      </c>
      <c r="BG1405">
        <f>IF($A1405="","",$A1405-WEEKDAY($A1405,2)+1)</f>
        <v>0</v>
      </c>
      <c r="BH1405">
        <f>IF($A1405="","",IF($A1404="",1,IF(BG1405&lt;&gt;BG1404,1,0)))</f>
        <v>0</v>
      </c>
      <c r="BI1405">
        <f>IF($A1405="","",IF($A1406="",1,IF(BG1406&lt;&gt;BG1405,1,0)))</f>
        <v>0</v>
      </c>
      <c r="BJ1405">
        <f>IF($A1405="","",IF(BH1405=1,$B1405,BJ1404))</f>
        <v>0</v>
      </c>
      <c r="BK1405">
        <f>IF($A1405="","",IF(BH1405=1,$C1405,MAX($C1405,BK1404)))</f>
        <v>0</v>
      </c>
      <c r="BL1405">
        <f>IF($A1405="","",IF(BH1405=1,$D1405,MIN($D1405,BL1404)))</f>
        <v>0</v>
      </c>
      <c r="BM1405">
        <f>IF($A1405="","",IF(BI1405=1,F1405,""))</f>
        <v>0</v>
      </c>
      <c r="BN1405">
        <f>IF($A1405="","",DATE(YEAR($A1405),MONTH($A1405),1))</f>
        <v>0</v>
      </c>
      <c r="BO1405">
        <f>IF($A1405="","",IF($A1404="",1,IF(BN1405&lt;&gt;BN1404,1,0)))</f>
        <v>0</v>
      </c>
      <c r="BP1405">
        <f>IF($A1405="","",IF($A1406="",1,IF(BN1406&lt;&gt;BN1405,1,0)))</f>
        <v>0</v>
      </c>
      <c r="BQ1405">
        <f>IF($A1405="","",IF(BO1405=1,$B1405,BQ1404))</f>
        <v>0</v>
      </c>
      <c r="BR1405">
        <f>IF($A1405="","",IF(BO1405=1,$C1405,MAX($C1405,BR1404)))</f>
        <v>0</v>
      </c>
      <c r="BS1405">
        <f>IF($A1405="","",IF(BO1405=1,$D1405,MIN($D1405,BS1404)))</f>
        <v>0</v>
      </c>
      <c r="BT1405">
        <f>IF($A1405="","",IF(BP1405=1,F1405,""))</f>
        <v>0</v>
      </c>
    </row>
    <row r="1406" spans="1:72">
      <c r="A1406" s="27">
        <f>IF(Data!$A1406="","",Data!$A1406)</f>
        <v>0</v>
      </c>
      <c r="B1406">
        <f>IF(Data!$B1406="","",Data!$B1406)</f>
        <v>0</v>
      </c>
      <c r="C1406">
        <f>IF(Data!$C1406="","",Data!$C1406)</f>
        <v>0</v>
      </c>
      <c r="D1406">
        <f>IF(Data!$D1406="","",Data!$D1406)</f>
        <v>0</v>
      </c>
      <c r="E1406">
        <f>IF(Data!$E1406="","",Data!$E1406)</f>
        <v>0</v>
      </c>
      <c r="F1406">
        <f>IF($E1406="","",N(F1405)+1)</f>
        <v>0</v>
      </c>
      <c r="G1406">
        <f>IF(OR($E1406="",$E1405=""),"",LN($E1406/$E1405))</f>
        <v>0</v>
      </c>
      <c r="H1406">
        <f>IF($E1406="","",IF($E1405="",$E1406,$E1406*0.0952380952+H1405*0.9047619048))</f>
        <v>0</v>
      </c>
      <c r="I1406">
        <f>IF($E1406="","",IF($E1405="",$E1406,$E1406*0.0392156863+I1405*0.9607843137))</f>
        <v>0</v>
      </c>
      <c r="J1406">
        <f>IF($E1406="","",IF($E1405="",$E1406,$E1406*0.0198019802+J1405*0.9801980198))</f>
        <v>0</v>
      </c>
      <c r="K1406">
        <f>IF($E1406="","",IF($E1405="",$E1406,$E1406*0.0099502488+K1405*0.9900497512))</f>
        <v>0</v>
      </c>
      <c r="L1406">
        <f>IF(OR($E1406="",$E1405=""),"",MAX($E1406-$E1405,0))</f>
        <v>0</v>
      </c>
      <c r="M1406">
        <f>IF(OR($E1406="",$E1405=""),"",MAX($E1405-$E1406,0))</f>
        <v>0</v>
      </c>
      <c r="N1406">
        <f>IF(COUNT($E$2:$E1406)&lt;15,"",IF(AVERAGE($M$1393:$M$1406)=0,100,100-100/(1+AVERAGE($L$1393:$L$1406)/AVERAGE($M$1393:$M$1406))))</f>
        <v>0</v>
      </c>
      <c r="O1406">
        <f>IF($E1406="","",IF($E1405="",$E1406,$E1406*0.1538461538+O1405*0.8461538462))</f>
        <v>0</v>
      </c>
      <c r="P1406">
        <f>IF($E1406="","",IF($E1405="",$E1406,$E1406*0.0740740741+P1405*0.9259259259))</f>
        <v>0</v>
      </c>
      <c r="Q1406">
        <f>IF(OR(O1406="",P1406=""),"",O1406-P1406)</f>
        <v>0</v>
      </c>
      <c r="R1406">
        <f>IF(Q1406="","",IF(R1405="",Q1406,Q1406*0.2000000000+R1405*0.8000000000))</f>
        <v>0</v>
      </c>
      <c r="S1406">
        <f>IF(OR(Q1406="",R1406=""),"",Q1406-R1406)</f>
        <v>0</v>
      </c>
      <c r="T1406">
        <f>IF(COUNT($E$2:$E1406)&lt;14,"",MAX($C$1393:$C$1406))</f>
        <v>0</v>
      </c>
      <c r="U1406">
        <f>IF(COUNT($E$2:$E1406)&lt;14,"",MIN($D$1393:$D$1406))</f>
        <v>0</v>
      </c>
      <c r="V1406">
        <f>IF(OR(T1406="",U1406="",T1406=U1406),"",100*($E1406-U1406)/(T1406-U1406))</f>
        <v>0</v>
      </c>
      <c r="W1406">
        <f>IF(COUNT($V$1404:$V$1406)&lt;3,"",AVERAGE($V$1404:$V$1406))</f>
        <v>0</v>
      </c>
      <c r="X1406">
        <f>IF(COUNT($N$1393:$N$1406)&lt;14,"",MIN($N$1393:$N$1406))</f>
        <v>0</v>
      </c>
      <c r="Y1406">
        <f>IF(COUNT($N$1393:$N$1406)&lt;14,"",MAX($N$1393:$N$1406))</f>
        <v>0</v>
      </c>
      <c r="Z1406">
        <f>IF(OR(N1406="",X1406="",Y1406="",Y1406=X1406),"",100*(N1406-X1406)/(Y1406-X1406))</f>
        <v>0</v>
      </c>
      <c r="AA1406">
        <f>IF(COUNT($Z$1404:$Z$1406)&lt;3,"",AVERAGE($Z$1404:$Z$1406))</f>
        <v>0</v>
      </c>
      <c r="AB1406">
        <f>IF(COUNT($AA$1404:$AA$1406)&lt;3,"",AVERAGE($AA$1404:$AA$1406))</f>
        <v>0</v>
      </c>
      <c r="AC1406">
        <f>IF($E1406="","",MAX($C1406-$D1406,ABS($C1406-$E1405),ABS($D1406-$E1405)))</f>
        <v>0</v>
      </c>
      <c r="AD1406">
        <f>IF(COUNT($E$2:$E1406)&lt;15,"",AVERAGE($AC$1393:$AC$1406))</f>
        <v>0</v>
      </c>
      <c r="AE1406">
        <f>IF(OR($E1406="",$E1405=""),"",IF(AND(($C1406-$C1405)&gt;($D1405-$D1406),($C1406-$C1405)&gt;0),$C1406-$C1405,0))</f>
        <v>0</v>
      </c>
      <c r="AF1406">
        <f>IF(OR($E1406="",$E1405=""),"",IF(AND(($D1405-$D1406)&gt;($C1406-$C1405),($D1405-$D1406)&gt;0),$D1405-$D1406,0))</f>
        <v>0</v>
      </c>
      <c r="AG1406">
        <f>IF(COUNT($E$2:$E1406)&lt;15,"",IF(SUM($AC$1393:$AC$1406)=0,0,100*SUM($AE$1393:$AE$1406)/SUM($AC$1393:$AC$1406)))</f>
        <v>0</v>
      </c>
      <c r="AH1406">
        <f>IF(COUNT($E$2:$E1406)&lt;15,"",IF(SUM($AC$1393:$AC$1406)=0,0,100*SUM($AF$1393:$AF$1406)/SUM($AC$1393:$AC$1406)))</f>
        <v>0</v>
      </c>
      <c r="AI1406">
        <f>IF(OR(AG1406="",AH1406=""),"",IF((AG1406+AH1406)=0,0,100*ABS(AG1406-AH1406)/(AG1406+AH1406)))</f>
        <v>0</v>
      </c>
      <c r="AJ1406">
        <f>IF(COUNT($AI$1393:$AI$1406)&lt;14,"",AVERAGE($AI$1393:$AI$1406))</f>
        <v>0</v>
      </c>
      <c r="AK1406">
        <f>IF(COUNT($E$2:$E1406)&lt;20,"",AVERAGE($E$1387:$E$1406))</f>
        <v>0</v>
      </c>
      <c r="AL1406">
        <f>IF(COUNT($E$2:$E1406)&lt;20,"",STDEVP($E$1387:$E$1406))</f>
        <v>0</v>
      </c>
      <c r="AM1406">
        <f>IF(AK1406="","",AK1406+2*AL1406)</f>
        <v>0</v>
      </c>
      <c r="AN1406">
        <f>IF(AK1406="","",AK1406-2*AL1406)</f>
        <v>0</v>
      </c>
      <c r="AO1406">
        <f>IF(OR(AM1406="",AN1406="",AM1406=AN1406),"",($E1406-AN1406)/(AM1406-AN1406))</f>
        <v>0</v>
      </c>
      <c r="AP1406">
        <f>IF(OR(AM1406="",AK1406="",AK1406=0),"",(AM1406-AN1406)/AK1406)</f>
        <v>0</v>
      </c>
      <c r="AQ1406">
        <f>IF(COUNT($E$2:$E1406)&lt;20,"",MAX($C$1387:$C$1406))</f>
        <v>0</v>
      </c>
      <c r="AR1406">
        <f>IF(COUNT($E$2:$E1406)&lt;20,"",MIN($D$1387:$D$1406))</f>
        <v>0</v>
      </c>
      <c r="AS1406">
        <f>IF(OR(AQ1406="",AR1406=""),"",(AQ1406+AR1406)/2)</f>
        <v>0</v>
      </c>
      <c r="AT1406">
        <f>IF(COUNT($G$1387:$G$1406)&lt;20,"",STDEV($G$1387:$G$1406)*SQRT(252))</f>
        <v>0</v>
      </c>
      <c r="AU1406">
        <f>IF(COUNT($E$2:$E1406)&lt;9,"",(MAX($C$1398:$C$1406)+MIN($D$1398:$D$1406))/2)</f>
        <v>0</v>
      </c>
      <c r="AV1406">
        <f>IF(COUNT($E$2:$E1406)&lt;26,"",(MAX($C$1381:$C$1406)+MIN($D$1381:$D$1406))/2)</f>
        <v>0</v>
      </c>
      <c r="AW1406">
        <f>IF(OR(AU1406="",AV1406=""),"",(AU1406+AV1406)/2)</f>
        <v>0</v>
      </c>
      <c r="AX1406">
        <f>IF(COUNT($E$2:$E1406)&lt;52,"",(MAX($C$1355:$C$1406)+MIN($D$1355:$D$1406))/2)</f>
        <v>0</v>
      </c>
      <c r="AY1406">
        <f>IF(COUNT($E$2:$E1406)&lt;20,"",MAX($C$1307:$C$1406))</f>
        <v>0</v>
      </c>
      <c r="AZ1406">
        <f>IF(COUNT($E$2:$E1406)&lt;20,"",MIN($D$1307:$D$1406))</f>
        <v>0</v>
      </c>
      <c r="BA1406">
        <f>IF(COUNT($E$2:$E1406)&lt;20,"",SLOPE($E$1307:$E$1406,$F$1307:$F$1406))</f>
        <v>0</v>
      </c>
      <c r="BB1406">
        <f>IF(COUNT($E$2:$E1406)&lt;20,"",INTERCEPT($E$1307:$E$1406,$F$1307:$F$1406))</f>
        <v>0</v>
      </c>
      <c r="BC1406">
        <f>IF(OR(BA1406="",BB1406=""),"",BB1406+BA1406*F1406)</f>
        <v>0</v>
      </c>
      <c r="BD1406">
        <f>IF(COUNT($E$2:$E1406)&lt;20,"",STEYX($E$1307:$E$1406,$F$1307:$F$1406))</f>
        <v>0</v>
      </c>
      <c r="BE1406">
        <f>IF($E1406="","",IF(AND(COUNT($E$1407:$E$1410)&gt;=4,$C1406=MAX($C$1402:$C$1410)),$C1406,""))</f>
        <v>0</v>
      </c>
      <c r="BF1406">
        <f>IF($E1406="","",IF(AND(COUNT($E$1407:$E$1410)&gt;=4,$D1406=MIN($D$1402:$D$1410)),$D1406,""))</f>
        <v>0</v>
      </c>
      <c r="BG1406">
        <f>IF($A1406="","",$A1406-WEEKDAY($A1406,2)+1)</f>
        <v>0</v>
      </c>
      <c r="BH1406">
        <f>IF($A1406="","",IF($A1405="",1,IF(BG1406&lt;&gt;BG1405,1,0)))</f>
        <v>0</v>
      </c>
      <c r="BI1406">
        <f>IF($A1406="","",IF($A1407="",1,IF(BG1407&lt;&gt;BG1406,1,0)))</f>
        <v>0</v>
      </c>
      <c r="BJ1406">
        <f>IF($A1406="","",IF(BH1406=1,$B1406,BJ1405))</f>
        <v>0</v>
      </c>
      <c r="BK1406">
        <f>IF($A1406="","",IF(BH1406=1,$C1406,MAX($C1406,BK1405)))</f>
        <v>0</v>
      </c>
      <c r="BL1406">
        <f>IF($A1406="","",IF(BH1406=1,$D1406,MIN($D1406,BL1405)))</f>
        <v>0</v>
      </c>
      <c r="BM1406">
        <f>IF($A1406="","",IF(BI1406=1,F1406,""))</f>
        <v>0</v>
      </c>
      <c r="BN1406">
        <f>IF($A1406="","",DATE(YEAR($A1406),MONTH($A1406),1))</f>
        <v>0</v>
      </c>
      <c r="BO1406">
        <f>IF($A1406="","",IF($A1405="",1,IF(BN1406&lt;&gt;BN1405,1,0)))</f>
        <v>0</v>
      </c>
      <c r="BP1406">
        <f>IF($A1406="","",IF($A1407="",1,IF(BN1407&lt;&gt;BN1406,1,0)))</f>
        <v>0</v>
      </c>
      <c r="BQ1406">
        <f>IF($A1406="","",IF(BO1406=1,$B1406,BQ1405))</f>
        <v>0</v>
      </c>
      <c r="BR1406">
        <f>IF($A1406="","",IF(BO1406=1,$C1406,MAX($C1406,BR1405)))</f>
        <v>0</v>
      </c>
      <c r="BS1406">
        <f>IF($A1406="","",IF(BO1406=1,$D1406,MIN($D1406,BS1405)))</f>
        <v>0</v>
      </c>
      <c r="BT1406">
        <f>IF($A1406="","",IF(BP1406=1,F1406,""))</f>
        <v>0</v>
      </c>
    </row>
    <row r="1407" spans="1:72">
      <c r="A1407" s="27">
        <f>IF(Data!$A1407="","",Data!$A1407)</f>
        <v>0</v>
      </c>
      <c r="B1407">
        <f>IF(Data!$B1407="","",Data!$B1407)</f>
        <v>0</v>
      </c>
      <c r="C1407">
        <f>IF(Data!$C1407="","",Data!$C1407)</f>
        <v>0</v>
      </c>
      <c r="D1407">
        <f>IF(Data!$D1407="","",Data!$D1407)</f>
        <v>0</v>
      </c>
      <c r="E1407">
        <f>IF(Data!$E1407="","",Data!$E1407)</f>
        <v>0</v>
      </c>
      <c r="F1407">
        <f>IF($E1407="","",N(F1406)+1)</f>
        <v>0</v>
      </c>
      <c r="G1407">
        <f>IF(OR($E1407="",$E1406=""),"",LN($E1407/$E1406))</f>
        <v>0</v>
      </c>
      <c r="H1407">
        <f>IF($E1407="","",IF($E1406="",$E1407,$E1407*0.0952380952+H1406*0.9047619048))</f>
        <v>0</v>
      </c>
      <c r="I1407">
        <f>IF($E1407="","",IF($E1406="",$E1407,$E1407*0.0392156863+I1406*0.9607843137))</f>
        <v>0</v>
      </c>
      <c r="J1407">
        <f>IF($E1407="","",IF($E1406="",$E1407,$E1407*0.0198019802+J1406*0.9801980198))</f>
        <v>0</v>
      </c>
      <c r="K1407">
        <f>IF($E1407="","",IF($E1406="",$E1407,$E1407*0.0099502488+K1406*0.9900497512))</f>
        <v>0</v>
      </c>
      <c r="L1407">
        <f>IF(OR($E1407="",$E1406=""),"",MAX($E1407-$E1406,0))</f>
        <v>0</v>
      </c>
      <c r="M1407">
        <f>IF(OR($E1407="",$E1406=""),"",MAX($E1406-$E1407,0))</f>
        <v>0</v>
      </c>
      <c r="N1407">
        <f>IF(COUNT($E$2:$E1407)&lt;15,"",IF(AVERAGE($M$1394:$M$1407)=0,100,100-100/(1+AVERAGE($L$1394:$L$1407)/AVERAGE($M$1394:$M$1407))))</f>
        <v>0</v>
      </c>
      <c r="O1407">
        <f>IF($E1407="","",IF($E1406="",$E1407,$E1407*0.1538461538+O1406*0.8461538462))</f>
        <v>0</v>
      </c>
      <c r="P1407">
        <f>IF($E1407="","",IF($E1406="",$E1407,$E1407*0.0740740741+P1406*0.9259259259))</f>
        <v>0</v>
      </c>
      <c r="Q1407">
        <f>IF(OR(O1407="",P1407=""),"",O1407-P1407)</f>
        <v>0</v>
      </c>
      <c r="R1407">
        <f>IF(Q1407="","",IF(R1406="",Q1407,Q1407*0.2000000000+R1406*0.8000000000))</f>
        <v>0</v>
      </c>
      <c r="S1407">
        <f>IF(OR(Q1407="",R1407=""),"",Q1407-R1407)</f>
        <v>0</v>
      </c>
      <c r="T1407">
        <f>IF(COUNT($E$2:$E1407)&lt;14,"",MAX($C$1394:$C$1407))</f>
        <v>0</v>
      </c>
      <c r="U1407">
        <f>IF(COUNT($E$2:$E1407)&lt;14,"",MIN($D$1394:$D$1407))</f>
        <v>0</v>
      </c>
      <c r="V1407">
        <f>IF(OR(T1407="",U1407="",T1407=U1407),"",100*($E1407-U1407)/(T1407-U1407))</f>
        <v>0</v>
      </c>
      <c r="W1407">
        <f>IF(COUNT($V$1405:$V$1407)&lt;3,"",AVERAGE($V$1405:$V$1407))</f>
        <v>0</v>
      </c>
      <c r="X1407">
        <f>IF(COUNT($N$1394:$N$1407)&lt;14,"",MIN($N$1394:$N$1407))</f>
        <v>0</v>
      </c>
      <c r="Y1407">
        <f>IF(COUNT($N$1394:$N$1407)&lt;14,"",MAX($N$1394:$N$1407))</f>
        <v>0</v>
      </c>
      <c r="Z1407">
        <f>IF(OR(N1407="",X1407="",Y1407="",Y1407=X1407),"",100*(N1407-X1407)/(Y1407-X1407))</f>
        <v>0</v>
      </c>
      <c r="AA1407">
        <f>IF(COUNT($Z$1405:$Z$1407)&lt;3,"",AVERAGE($Z$1405:$Z$1407))</f>
        <v>0</v>
      </c>
      <c r="AB1407">
        <f>IF(COUNT($AA$1405:$AA$1407)&lt;3,"",AVERAGE($AA$1405:$AA$1407))</f>
        <v>0</v>
      </c>
      <c r="AC1407">
        <f>IF($E1407="","",MAX($C1407-$D1407,ABS($C1407-$E1406),ABS($D1407-$E1406)))</f>
        <v>0</v>
      </c>
      <c r="AD1407">
        <f>IF(COUNT($E$2:$E1407)&lt;15,"",AVERAGE($AC$1394:$AC$1407))</f>
        <v>0</v>
      </c>
      <c r="AE1407">
        <f>IF(OR($E1407="",$E1406=""),"",IF(AND(($C1407-$C1406)&gt;($D1406-$D1407),($C1407-$C1406)&gt;0),$C1407-$C1406,0))</f>
        <v>0</v>
      </c>
      <c r="AF1407">
        <f>IF(OR($E1407="",$E1406=""),"",IF(AND(($D1406-$D1407)&gt;($C1407-$C1406),($D1406-$D1407)&gt;0),$D1406-$D1407,0))</f>
        <v>0</v>
      </c>
      <c r="AG1407">
        <f>IF(COUNT($E$2:$E1407)&lt;15,"",IF(SUM($AC$1394:$AC$1407)=0,0,100*SUM($AE$1394:$AE$1407)/SUM($AC$1394:$AC$1407)))</f>
        <v>0</v>
      </c>
      <c r="AH1407">
        <f>IF(COUNT($E$2:$E1407)&lt;15,"",IF(SUM($AC$1394:$AC$1407)=0,0,100*SUM($AF$1394:$AF$1407)/SUM($AC$1394:$AC$1407)))</f>
        <v>0</v>
      </c>
      <c r="AI1407">
        <f>IF(OR(AG1407="",AH1407=""),"",IF((AG1407+AH1407)=0,0,100*ABS(AG1407-AH1407)/(AG1407+AH1407)))</f>
        <v>0</v>
      </c>
      <c r="AJ1407">
        <f>IF(COUNT($AI$1394:$AI$1407)&lt;14,"",AVERAGE($AI$1394:$AI$1407))</f>
        <v>0</v>
      </c>
      <c r="AK1407">
        <f>IF(COUNT($E$2:$E1407)&lt;20,"",AVERAGE($E$1388:$E$1407))</f>
        <v>0</v>
      </c>
      <c r="AL1407">
        <f>IF(COUNT($E$2:$E1407)&lt;20,"",STDEVP($E$1388:$E$1407))</f>
        <v>0</v>
      </c>
      <c r="AM1407">
        <f>IF(AK1407="","",AK1407+2*AL1407)</f>
        <v>0</v>
      </c>
      <c r="AN1407">
        <f>IF(AK1407="","",AK1407-2*AL1407)</f>
        <v>0</v>
      </c>
      <c r="AO1407">
        <f>IF(OR(AM1407="",AN1407="",AM1407=AN1407),"",($E1407-AN1407)/(AM1407-AN1407))</f>
        <v>0</v>
      </c>
      <c r="AP1407">
        <f>IF(OR(AM1407="",AK1407="",AK1407=0),"",(AM1407-AN1407)/AK1407)</f>
        <v>0</v>
      </c>
      <c r="AQ1407">
        <f>IF(COUNT($E$2:$E1407)&lt;20,"",MAX($C$1388:$C$1407))</f>
        <v>0</v>
      </c>
      <c r="AR1407">
        <f>IF(COUNT($E$2:$E1407)&lt;20,"",MIN($D$1388:$D$1407))</f>
        <v>0</v>
      </c>
      <c r="AS1407">
        <f>IF(OR(AQ1407="",AR1407=""),"",(AQ1407+AR1407)/2)</f>
        <v>0</v>
      </c>
      <c r="AT1407">
        <f>IF(COUNT($G$1388:$G$1407)&lt;20,"",STDEV($G$1388:$G$1407)*SQRT(252))</f>
        <v>0</v>
      </c>
      <c r="AU1407">
        <f>IF(COUNT($E$2:$E1407)&lt;9,"",(MAX($C$1399:$C$1407)+MIN($D$1399:$D$1407))/2)</f>
        <v>0</v>
      </c>
      <c r="AV1407">
        <f>IF(COUNT($E$2:$E1407)&lt;26,"",(MAX($C$1382:$C$1407)+MIN($D$1382:$D$1407))/2)</f>
        <v>0</v>
      </c>
      <c r="AW1407">
        <f>IF(OR(AU1407="",AV1407=""),"",(AU1407+AV1407)/2)</f>
        <v>0</v>
      </c>
      <c r="AX1407">
        <f>IF(COUNT($E$2:$E1407)&lt;52,"",(MAX($C$1356:$C$1407)+MIN($D$1356:$D$1407))/2)</f>
        <v>0</v>
      </c>
      <c r="AY1407">
        <f>IF(COUNT($E$2:$E1407)&lt;20,"",MAX($C$1308:$C$1407))</f>
        <v>0</v>
      </c>
      <c r="AZ1407">
        <f>IF(COUNT($E$2:$E1407)&lt;20,"",MIN($D$1308:$D$1407))</f>
        <v>0</v>
      </c>
      <c r="BA1407">
        <f>IF(COUNT($E$2:$E1407)&lt;20,"",SLOPE($E$1308:$E$1407,$F$1308:$F$1407))</f>
        <v>0</v>
      </c>
      <c r="BB1407">
        <f>IF(COUNT($E$2:$E1407)&lt;20,"",INTERCEPT($E$1308:$E$1407,$F$1308:$F$1407))</f>
        <v>0</v>
      </c>
      <c r="BC1407">
        <f>IF(OR(BA1407="",BB1407=""),"",BB1407+BA1407*F1407)</f>
        <v>0</v>
      </c>
      <c r="BD1407">
        <f>IF(COUNT($E$2:$E1407)&lt;20,"",STEYX($E$1308:$E$1407,$F$1308:$F$1407))</f>
        <v>0</v>
      </c>
      <c r="BE1407">
        <f>IF($E1407="","",IF(AND(COUNT($E$1408:$E$1411)&gt;=4,$C1407=MAX($C$1403:$C$1411)),$C1407,""))</f>
        <v>0</v>
      </c>
      <c r="BF1407">
        <f>IF($E1407="","",IF(AND(COUNT($E$1408:$E$1411)&gt;=4,$D1407=MIN($D$1403:$D$1411)),$D1407,""))</f>
        <v>0</v>
      </c>
      <c r="BG1407">
        <f>IF($A1407="","",$A1407-WEEKDAY($A1407,2)+1)</f>
        <v>0</v>
      </c>
      <c r="BH1407">
        <f>IF($A1407="","",IF($A1406="",1,IF(BG1407&lt;&gt;BG1406,1,0)))</f>
        <v>0</v>
      </c>
      <c r="BI1407">
        <f>IF($A1407="","",IF($A1408="",1,IF(BG1408&lt;&gt;BG1407,1,0)))</f>
        <v>0</v>
      </c>
      <c r="BJ1407">
        <f>IF($A1407="","",IF(BH1407=1,$B1407,BJ1406))</f>
        <v>0</v>
      </c>
      <c r="BK1407">
        <f>IF($A1407="","",IF(BH1407=1,$C1407,MAX($C1407,BK1406)))</f>
        <v>0</v>
      </c>
      <c r="BL1407">
        <f>IF($A1407="","",IF(BH1407=1,$D1407,MIN($D1407,BL1406)))</f>
        <v>0</v>
      </c>
      <c r="BM1407">
        <f>IF($A1407="","",IF(BI1407=1,F1407,""))</f>
        <v>0</v>
      </c>
      <c r="BN1407">
        <f>IF($A1407="","",DATE(YEAR($A1407),MONTH($A1407),1))</f>
        <v>0</v>
      </c>
      <c r="BO1407">
        <f>IF($A1407="","",IF($A1406="",1,IF(BN1407&lt;&gt;BN1406,1,0)))</f>
        <v>0</v>
      </c>
      <c r="BP1407">
        <f>IF($A1407="","",IF($A1408="",1,IF(BN1408&lt;&gt;BN1407,1,0)))</f>
        <v>0</v>
      </c>
      <c r="BQ1407">
        <f>IF($A1407="","",IF(BO1407=1,$B1407,BQ1406))</f>
        <v>0</v>
      </c>
      <c r="BR1407">
        <f>IF($A1407="","",IF(BO1407=1,$C1407,MAX($C1407,BR1406)))</f>
        <v>0</v>
      </c>
      <c r="BS1407">
        <f>IF($A1407="","",IF(BO1407=1,$D1407,MIN($D1407,BS1406)))</f>
        <v>0</v>
      </c>
      <c r="BT1407">
        <f>IF($A1407="","",IF(BP1407=1,F1407,""))</f>
        <v>0</v>
      </c>
    </row>
    <row r="1408" spans="1:72">
      <c r="A1408" s="27">
        <f>IF(Data!$A1408="","",Data!$A1408)</f>
        <v>0</v>
      </c>
      <c r="B1408">
        <f>IF(Data!$B1408="","",Data!$B1408)</f>
        <v>0</v>
      </c>
      <c r="C1408">
        <f>IF(Data!$C1408="","",Data!$C1408)</f>
        <v>0</v>
      </c>
      <c r="D1408">
        <f>IF(Data!$D1408="","",Data!$D1408)</f>
        <v>0</v>
      </c>
      <c r="E1408">
        <f>IF(Data!$E1408="","",Data!$E1408)</f>
        <v>0</v>
      </c>
      <c r="F1408">
        <f>IF($E1408="","",N(F1407)+1)</f>
        <v>0</v>
      </c>
      <c r="G1408">
        <f>IF(OR($E1408="",$E1407=""),"",LN($E1408/$E1407))</f>
        <v>0</v>
      </c>
      <c r="H1408">
        <f>IF($E1408="","",IF($E1407="",$E1408,$E1408*0.0952380952+H1407*0.9047619048))</f>
        <v>0</v>
      </c>
      <c r="I1408">
        <f>IF($E1408="","",IF($E1407="",$E1408,$E1408*0.0392156863+I1407*0.9607843137))</f>
        <v>0</v>
      </c>
      <c r="J1408">
        <f>IF($E1408="","",IF($E1407="",$E1408,$E1408*0.0198019802+J1407*0.9801980198))</f>
        <v>0</v>
      </c>
      <c r="K1408">
        <f>IF($E1408="","",IF($E1407="",$E1408,$E1408*0.0099502488+K1407*0.9900497512))</f>
        <v>0</v>
      </c>
      <c r="L1408">
        <f>IF(OR($E1408="",$E1407=""),"",MAX($E1408-$E1407,0))</f>
        <v>0</v>
      </c>
      <c r="M1408">
        <f>IF(OR($E1408="",$E1407=""),"",MAX($E1407-$E1408,0))</f>
        <v>0</v>
      </c>
      <c r="N1408">
        <f>IF(COUNT($E$2:$E1408)&lt;15,"",IF(AVERAGE($M$1395:$M$1408)=0,100,100-100/(1+AVERAGE($L$1395:$L$1408)/AVERAGE($M$1395:$M$1408))))</f>
        <v>0</v>
      </c>
      <c r="O1408">
        <f>IF($E1408="","",IF($E1407="",$E1408,$E1408*0.1538461538+O1407*0.8461538462))</f>
        <v>0</v>
      </c>
      <c r="P1408">
        <f>IF($E1408="","",IF($E1407="",$E1408,$E1408*0.0740740741+P1407*0.9259259259))</f>
        <v>0</v>
      </c>
      <c r="Q1408">
        <f>IF(OR(O1408="",P1408=""),"",O1408-P1408)</f>
        <v>0</v>
      </c>
      <c r="R1408">
        <f>IF(Q1408="","",IF(R1407="",Q1408,Q1408*0.2000000000+R1407*0.8000000000))</f>
        <v>0</v>
      </c>
      <c r="S1408">
        <f>IF(OR(Q1408="",R1408=""),"",Q1408-R1408)</f>
        <v>0</v>
      </c>
      <c r="T1408">
        <f>IF(COUNT($E$2:$E1408)&lt;14,"",MAX($C$1395:$C$1408))</f>
        <v>0</v>
      </c>
      <c r="U1408">
        <f>IF(COUNT($E$2:$E1408)&lt;14,"",MIN($D$1395:$D$1408))</f>
        <v>0</v>
      </c>
      <c r="V1408">
        <f>IF(OR(T1408="",U1408="",T1408=U1408),"",100*($E1408-U1408)/(T1408-U1408))</f>
        <v>0</v>
      </c>
      <c r="W1408">
        <f>IF(COUNT($V$1406:$V$1408)&lt;3,"",AVERAGE($V$1406:$V$1408))</f>
        <v>0</v>
      </c>
      <c r="X1408">
        <f>IF(COUNT($N$1395:$N$1408)&lt;14,"",MIN($N$1395:$N$1408))</f>
        <v>0</v>
      </c>
      <c r="Y1408">
        <f>IF(COUNT($N$1395:$N$1408)&lt;14,"",MAX($N$1395:$N$1408))</f>
        <v>0</v>
      </c>
      <c r="Z1408">
        <f>IF(OR(N1408="",X1408="",Y1408="",Y1408=X1408),"",100*(N1408-X1408)/(Y1408-X1408))</f>
        <v>0</v>
      </c>
      <c r="AA1408">
        <f>IF(COUNT($Z$1406:$Z$1408)&lt;3,"",AVERAGE($Z$1406:$Z$1408))</f>
        <v>0</v>
      </c>
      <c r="AB1408">
        <f>IF(COUNT($AA$1406:$AA$1408)&lt;3,"",AVERAGE($AA$1406:$AA$1408))</f>
        <v>0</v>
      </c>
      <c r="AC1408">
        <f>IF($E1408="","",MAX($C1408-$D1408,ABS($C1408-$E1407),ABS($D1408-$E1407)))</f>
        <v>0</v>
      </c>
      <c r="AD1408">
        <f>IF(COUNT($E$2:$E1408)&lt;15,"",AVERAGE($AC$1395:$AC$1408))</f>
        <v>0</v>
      </c>
      <c r="AE1408">
        <f>IF(OR($E1408="",$E1407=""),"",IF(AND(($C1408-$C1407)&gt;($D1407-$D1408),($C1408-$C1407)&gt;0),$C1408-$C1407,0))</f>
        <v>0</v>
      </c>
      <c r="AF1408">
        <f>IF(OR($E1408="",$E1407=""),"",IF(AND(($D1407-$D1408)&gt;($C1408-$C1407),($D1407-$D1408)&gt;0),$D1407-$D1408,0))</f>
        <v>0</v>
      </c>
      <c r="AG1408">
        <f>IF(COUNT($E$2:$E1408)&lt;15,"",IF(SUM($AC$1395:$AC$1408)=0,0,100*SUM($AE$1395:$AE$1408)/SUM($AC$1395:$AC$1408)))</f>
        <v>0</v>
      </c>
      <c r="AH1408">
        <f>IF(COUNT($E$2:$E1408)&lt;15,"",IF(SUM($AC$1395:$AC$1408)=0,0,100*SUM($AF$1395:$AF$1408)/SUM($AC$1395:$AC$1408)))</f>
        <v>0</v>
      </c>
      <c r="AI1408">
        <f>IF(OR(AG1408="",AH1408=""),"",IF((AG1408+AH1408)=0,0,100*ABS(AG1408-AH1408)/(AG1408+AH1408)))</f>
        <v>0</v>
      </c>
      <c r="AJ1408">
        <f>IF(COUNT($AI$1395:$AI$1408)&lt;14,"",AVERAGE($AI$1395:$AI$1408))</f>
        <v>0</v>
      </c>
      <c r="AK1408">
        <f>IF(COUNT($E$2:$E1408)&lt;20,"",AVERAGE($E$1389:$E$1408))</f>
        <v>0</v>
      </c>
      <c r="AL1408">
        <f>IF(COUNT($E$2:$E1408)&lt;20,"",STDEVP($E$1389:$E$1408))</f>
        <v>0</v>
      </c>
      <c r="AM1408">
        <f>IF(AK1408="","",AK1408+2*AL1408)</f>
        <v>0</v>
      </c>
      <c r="AN1408">
        <f>IF(AK1408="","",AK1408-2*AL1408)</f>
        <v>0</v>
      </c>
      <c r="AO1408">
        <f>IF(OR(AM1408="",AN1408="",AM1408=AN1408),"",($E1408-AN1408)/(AM1408-AN1408))</f>
        <v>0</v>
      </c>
      <c r="AP1408">
        <f>IF(OR(AM1408="",AK1408="",AK1408=0),"",(AM1408-AN1408)/AK1408)</f>
        <v>0</v>
      </c>
      <c r="AQ1408">
        <f>IF(COUNT($E$2:$E1408)&lt;20,"",MAX($C$1389:$C$1408))</f>
        <v>0</v>
      </c>
      <c r="AR1408">
        <f>IF(COUNT($E$2:$E1408)&lt;20,"",MIN($D$1389:$D$1408))</f>
        <v>0</v>
      </c>
      <c r="AS1408">
        <f>IF(OR(AQ1408="",AR1408=""),"",(AQ1408+AR1408)/2)</f>
        <v>0</v>
      </c>
      <c r="AT1408">
        <f>IF(COUNT($G$1389:$G$1408)&lt;20,"",STDEV($G$1389:$G$1408)*SQRT(252))</f>
        <v>0</v>
      </c>
      <c r="AU1408">
        <f>IF(COUNT($E$2:$E1408)&lt;9,"",(MAX($C$1400:$C$1408)+MIN($D$1400:$D$1408))/2)</f>
        <v>0</v>
      </c>
      <c r="AV1408">
        <f>IF(COUNT($E$2:$E1408)&lt;26,"",(MAX($C$1383:$C$1408)+MIN($D$1383:$D$1408))/2)</f>
        <v>0</v>
      </c>
      <c r="AW1408">
        <f>IF(OR(AU1408="",AV1408=""),"",(AU1408+AV1408)/2)</f>
        <v>0</v>
      </c>
      <c r="AX1408">
        <f>IF(COUNT($E$2:$E1408)&lt;52,"",(MAX($C$1357:$C$1408)+MIN($D$1357:$D$1408))/2)</f>
        <v>0</v>
      </c>
      <c r="AY1408">
        <f>IF(COUNT($E$2:$E1408)&lt;20,"",MAX($C$1309:$C$1408))</f>
        <v>0</v>
      </c>
      <c r="AZ1408">
        <f>IF(COUNT($E$2:$E1408)&lt;20,"",MIN($D$1309:$D$1408))</f>
        <v>0</v>
      </c>
      <c r="BA1408">
        <f>IF(COUNT($E$2:$E1408)&lt;20,"",SLOPE($E$1309:$E$1408,$F$1309:$F$1408))</f>
        <v>0</v>
      </c>
      <c r="BB1408">
        <f>IF(COUNT($E$2:$E1408)&lt;20,"",INTERCEPT($E$1309:$E$1408,$F$1309:$F$1408))</f>
        <v>0</v>
      </c>
      <c r="BC1408">
        <f>IF(OR(BA1408="",BB1408=""),"",BB1408+BA1408*F1408)</f>
        <v>0</v>
      </c>
      <c r="BD1408">
        <f>IF(COUNT($E$2:$E1408)&lt;20,"",STEYX($E$1309:$E$1408,$F$1309:$F$1408))</f>
        <v>0</v>
      </c>
      <c r="BE1408">
        <f>IF($E1408="","",IF(AND(COUNT($E$1409:$E$1412)&gt;=4,$C1408=MAX($C$1404:$C$1412)),$C1408,""))</f>
        <v>0</v>
      </c>
      <c r="BF1408">
        <f>IF($E1408="","",IF(AND(COUNT($E$1409:$E$1412)&gt;=4,$D1408=MIN($D$1404:$D$1412)),$D1408,""))</f>
        <v>0</v>
      </c>
      <c r="BG1408">
        <f>IF($A1408="","",$A1408-WEEKDAY($A1408,2)+1)</f>
        <v>0</v>
      </c>
      <c r="BH1408">
        <f>IF($A1408="","",IF($A1407="",1,IF(BG1408&lt;&gt;BG1407,1,0)))</f>
        <v>0</v>
      </c>
      <c r="BI1408">
        <f>IF($A1408="","",IF($A1409="",1,IF(BG1409&lt;&gt;BG1408,1,0)))</f>
        <v>0</v>
      </c>
      <c r="BJ1408">
        <f>IF($A1408="","",IF(BH1408=1,$B1408,BJ1407))</f>
        <v>0</v>
      </c>
      <c r="BK1408">
        <f>IF($A1408="","",IF(BH1408=1,$C1408,MAX($C1408,BK1407)))</f>
        <v>0</v>
      </c>
      <c r="BL1408">
        <f>IF($A1408="","",IF(BH1408=1,$D1408,MIN($D1408,BL1407)))</f>
        <v>0</v>
      </c>
      <c r="BM1408">
        <f>IF($A1408="","",IF(BI1408=1,F1408,""))</f>
        <v>0</v>
      </c>
      <c r="BN1408">
        <f>IF($A1408="","",DATE(YEAR($A1408),MONTH($A1408),1))</f>
        <v>0</v>
      </c>
      <c r="BO1408">
        <f>IF($A1408="","",IF($A1407="",1,IF(BN1408&lt;&gt;BN1407,1,0)))</f>
        <v>0</v>
      </c>
      <c r="BP1408">
        <f>IF($A1408="","",IF($A1409="",1,IF(BN1409&lt;&gt;BN1408,1,0)))</f>
        <v>0</v>
      </c>
      <c r="BQ1408">
        <f>IF($A1408="","",IF(BO1408=1,$B1408,BQ1407))</f>
        <v>0</v>
      </c>
      <c r="BR1408">
        <f>IF($A1408="","",IF(BO1408=1,$C1408,MAX($C1408,BR1407)))</f>
        <v>0</v>
      </c>
      <c r="BS1408">
        <f>IF($A1408="","",IF(BO1408=1,$D1408,MIN($D1408,BS1407)))</f>
        <v>0</v>
      </c>
      <c r="BT1408">
        <f>IF($A1408="","",IF(BP1408=1,F1408,""))</f>
        <v>0</v>
      </c>
    </row>
    <row r="1409" spans="1:72">
      <c r="A1409" s="27">
        <f>IF(Data!$A1409="","",Data!$A1409)</f>
        <v>0</v>
      </c>
      <c r="B1409">
        <f>IF(Data!$B1409="","",Data!$B1409)</f>
        <v>0</v>
      </c>
      <c r="C1409">
        <f>IF(Data!$C1409="","",Data!$C1409)</f>
        <v>0</v>
      </c>
      <c r="D1409">
        <f>IF(Data!$D1409="","",Data!$D1409)</f>
        <v>0</v>
      </c>
      <c r="E1409">
        <f>IF(Data!$E1409="","",Data!$E1409)</f>
        <v>0</v>
      </c>
      <c r="F1409">
        <f>IF($E1409="","",N(F1408)+1)</f>
        <v>0</v>
      </c>
      <c r="G1409">
        <f>IF(OR($E1409="",$E1408=""),"",LN($E1409/$E1408))</f>
        <v>0</v>
      </c>
      <c r="H1409">
        <f>IF($E1409="","",IF($E1408="",$E1409,$E1409*0.0952380952+H1408*0.9047619048))</f>
        <v>0</v>
      </c>
      <c r="I1409">
        <f>IF($E1409="","",IF($E1408="",$E1409,$E1409*0.0392156863+I1408*0.9607843137))</f>
        <v>0</v>
      </c>
      <c r="J1409">
        <f>IF($E1409="","",IF($E1408="",$E1409,$E1409*0.0198019802+J1408*0.9801980198))</f>
        <v>0</v>
      </c>
      <c r="K1409">
        <f>IF($E1409="","",IF($E1408="",$E1409,$E1409*0.0099502488+K1408*0.9900497512))</f>
        <v>0</v>
      </c>
      <c r="L1409">
        <f>IF(OR($E1409="",$E1408=""),"",MAX($E1409-$E1408,0))</f>
        <v>0</v>
      </c>
      <c r="M1409">
        <f>IF(OR($E1409="",$E1408=""),"",MAX($E1408-$E1409,0))</f>
        <v>0</v>
      </c>
      <c r="N1409">
        <f>IF(COUNT($E$2:$E1409)&lt;15,"",IF(AVERAGE($M$1396:$M$1409)=0,100,100-100/(1+AVERAGE($L$1396:$L$1409)/AVERAGE($M$1396:$M$1409))))</f>
        <v>0</v>
      </c>
      <c r="O1409">
        <f>IF($E1409="","",IF($E1408="",$E1409,$E1409*0.1538461538+O1408*0.8461538462))</f>
        <v>0</v>
      </c>
      <c r="P1409">
        <f>IF($E1409="","",IF($E1408="",$E1409,$E1409*0.0740740741+P1408*0.9259259259))</f>
        <v>0</v>
      </c>
      <c r="Q1409">
        <f>IF(OR(O1409="",P1409=""),"",O1409-P1409)</f>
        <v>0</v>
      </c>
      <c r="R1409">
        <f>IF(Q1409="","",IF(R1408="",Q1409,Q1409*0.2000000000+R1408*0.8000000000))</f>
        <v>0</v>
      </c>
      <c r="S1409">
        <f>IF(OR(Q1409="",R1409=""),"",Q1409-R1409)</f>
        <v>0</v>
      </c>
      <c r="T1409">
        <f>IF(COUNT($E$2:$E1409)&lt;14,"",MAX($C$1396:$C$1409))</f>
        <v>0</v>
      </c>
      <c r="U1409">
        <f>IF(COUNT($E$2:$E1409)&lt;14,"",MIN($D$1396:$D$1409))</f>
        <v>0</v>
      </c>
      <c r="V1409">
        <f>IF(OR(T1409="",U1409="",T1409=U1409),"",100*($E1409-U1409)/(T1409-U1409))</f>
        <v>0</v>
      </c>
      <c r="W1409">
        <f>IF(COUNT($V$1407:$V$1409)&lt;3,"",AVERAGE($V$1407:$V$1409))</f>
        <v>0</v>
      </c>
      <c r="X1409">
        <f>IF(COUNT($N$1396:$N$1409)&lt;14,"",MIN($N$1396:$N$1409))</f>
        <v>0</v>
      </c>
      <c r="Y1409">
        <f>IF(COUNT($N$1396:$N$1409)&lt;14,"",MAX($N$1396:$N$1409))</f>
        <v>0</v>
      </c>
      <c r="Z1409">
        <f>IF(OR(N1409="",X1409="",Y1409="",Y1409=X1409),"",100*(N1409-X1409)/(Y1409-X1409))</f>
        <v>0</v>
      </c>
      <c r="AA1409">
        <f>IF(COUNT($Z$1407:$Z$1409)&lt;3,"",AVERAGE($Z$1407:$Z$1409))</f>
        <v>0</v>
      </c>
      <c r="AB1409">
        <f>IF(COUNT($AA$1407:$AA$1409)&lt;3,"",AVERAGE($AA$1407:$AA$1409))</f>
        <v>0</v>
      </c>
      <c r="AC1409">
        <f>IF($E1409="","",MAX($C1409-$D1409,ABS($C1409-$E1408),ABS($D1409-$E1408)))</f>
        <v>0</v>
      </c>
      <c r="AD1409">
        <f>IF(COUNT($E$2:$E1409)&lt;15,"",AVERAGE($AC$1396:$AC$1409))</f>
        <v>0</v>
      </c>
      <c r="AE1409">
        <f>IF(OR($E1409="",$E1408=""),"",IF(AND(($C1409-$C1408)&gt;($D1408-$D1409),($C1409-$C1408)&gt;0),$C1409-$C1408,0))</f>
        <v>0</v>
      </c>
      <c r="AF1409">
        <f>IF(OR($E1409="",$E1408=""),"",IF(AND(($D1408-$D1409)&gt;($C1409-$C1408),($D1408-$D1409)&gt;0),$D1408-$D1409,0))</f>
        <v>0</v>
      </c>
      <c r="AG1409">
        <f>IF(COUNT($E$2:$E1409)&lt;15,"",IF(SUM($AC$1396:$AC$1409)=0,0,100*SUM($AE$1396:$AE$1409)/SUM($AC$1396:$AC$1409)))</f>
        <v>0</v>
      </c>
      <c r="AH1409">
        <f>IF(COUNT($E$2:$E1409)&lt;15,"",IF(SUM($AC$1396:$AC$1409)=0,0,100*SUM($AF$1396:$AF$1409)/SUM($AC$1396:$AC$1409)))</f>
        <v>0</v>
      </c>
      <c r="AI1409">
        <f>IF(OR(AG1409="",AH1409=""),"",IF((AG1409+AH1409)=0,0,100*ABS(AG1409-AH1409)/(AG1409+AH1409)))</f>
        <v>0</v>
      </c>
      <c r="AJ1409">
        <f>IF(COUNT($AI$1396:$AI$1409)&lt;14,"",AVERAGE($AI$1396:$AI$1409))</f>
        <v>0</v>
      </c>
      <c r="AK1409">
        <f>IF(COUNT($E$2:$E1409)&lt;20,"",AVERAGE($E$1390:$E$1409))</f>
        <v>0</v>
      </c>
      <c r="AL1409">
        <f>IF(COUNT($E$2:$E1409)&lt;20,"",STDEVP($E$1390:$E$1409))</f>
        <v>0</v>
      </c>
      <c r="AM1409">
        <f>IF(AK1409="","",AK1409+2*AL1409)</f>
        <v>0</v>
      </c>
      <c r="AN1409">
        <f>IF(AK1409="","",AK1409-2*AL1409)</f>
        <v>0</v>
      </c>
      <c r="AO1409">
        <f>IF(OR(AM1409="",AN1409="",AM1409=AN1409),"",($E1409-AN1409)/(AM1409-AN1409))</f>
        <v>0</v>
      </c>
      <c r="AP1409">
        <f>IF(OR(AM1409="",AK1409="",AK1409=0),"",(AM1409-AN1409)/AK1409)</f>
        <v>0</v>
      </c>
      <c r="AQ1409">
        <f>IF(COUNT($E$2:$E1409)&lt;20,"",MAX($C$1390:$C$1409))</f>
        <v>0</v>
      </c>
      <c r="AR1409">
        <f>IF(COUNT($E$2:$E1409)&lt;20,"",MIN($D$1390:$D$1409))</f>
        <v>0</v>
      </c>
      <c r="AS1409">
        <f>IF(OR(AQ1409="",AR1409=""),"",(AQ1409+AR1409)/2)</f>
        <v>0</v>
      </c>
      <c r="AT1409">
        <f>IF(COUNT($G$1390:$G$1409)&lt;20,"",STDEV($G$1390:$G$1409)*SQRT(252))</f>
        <v>0</v>
      </c>
      <c r="AU1409">
        <f>IF(COUNT($E$2:$E1409)&lt;9,"",(MAX($C$1401:$C$1409)+MIN($D$1401:$D$1409))/2)</f>
        <v>0</v>
      </c>
      <c r="AV1409">
        <f>IF(COUNT($E$2:$E1409)&lt;26,"",(MAX($C$1384:$C$1409)+MIN($D$1384:$D$1409))/2)</f>
        <v>0</v>
      </c>
      <c r="AW1409">
        <f>IF(OR(AU1409="",AV1409=""),"",(AU1409+AV1409)/2)</f>
        <v>0</v>
      </c>
      <c r="AX1409">
        <f>IF(COUNT($E$2:$E1409)&lt;52,"",(MAX($C$1358:$C$1409)+MIN($D$1358:$D$1409))/2)</f>
        <v>0</v>
      </c>
      <c r="AY1409">
        <f>IF(COUNT($E$2:$E1409)&lt;20,"",MAX($C$1310:$C$1409))</f>
        <v>0</v>
      </c>
      <c r="AZ1409">
        <f>IF(COUNT($E$2:$E1409)&lt;20,"",MIN($D$1310:$D$1409))</f>
        <v>0</v>
      </c>
      <c r="BA1409">
        <f>IF(COUNT($E$2:$E1409)&lt;20,"",SLOPE($E$1310:$E$1409,$F$1310:$F$1409))</f>
        <v>0</v>
      </c>
      <c r="BB1409">
        <f>IF(COUNT($E$2:$E1409)&lt;20,"",INTERCEPT($E$1310:$E$1409,$F$1310:$F$1409))</f>
        <v>0</v>
      </c>
      <c r="BC1409">
        <f>IF(OR(BA1409="",BB1409=""),"",BB1409+BA1409*F1409)</f>
        <v>0</v>
      </c>
      <c r="BD1409">
        <f>IF(COUNT($E$2:$E1409)&lt;20,"",STEYX($E$1310:$E$1409,$F$1310:$F$1409))</f>
        <v>0</v>
      </c>
      <c r="BE1409">
        <f>IF($E1409="","",IF(AND(COUNT($E$1410:$E$1413)&gt;=4,$C1409=MAX($C$1405:$C$1413)),$C1409,""))</f>
        <v>0</v>
      </c>
      <c r="BF1409">
        <f>IF($E1409="","",IF(AND(COUNT($E$1410:$E$1413)&gt;=4,$D1409=MIN($D$1405:$D$1413)),$D1409,""))</f>
        <v>0</v>
      </c>
      <c r="BG1409">
        <f>IF($A1409="","",$A1409-WEEKDAY($A1409,2)+1)</f>
        <v>0</v>
      </c>
      <c r="BH1409">
        <f>IF($A1409="","",IF($A1408="",1,IF(BG1409&lt;&gt;BG1408,1,0)))</f>
        <v>0</v>
      </c>
      <c r="BI1409">
        <f>IF($A1409="","",IF($A1410="",1,IF(BG1410&lt;&gt;BG1409,1,0)))</f>
        <v>0</v>
      </c>
      <c r="BJ1409">
        <f>IF($A1409="","",IF(BH1409=1,$B1409,BJ1408))</f>
        <v>0</v>
      </c>
      <c r="BK1409">
        <f>IF($A1409="","",IF(BH1409=1,$C1409,MAX($C1409,BK1408)))</f>
        <v>0</v>
      </c>
      <c r="BL1409">
        <f>IF($A1409="","",IF(BH1409=1,$D1409,MIN($D1409,BL1408)))</f>
        <v>0</v>
      </c>
      <c r="BM1409">
        <f>IF($A1409="","",IF(BI1409=1,F1409,""))</f>
        <v>0</v>
      </c>
      <c r="BN1409">
        <f>IF($A1409="","",DATE(YEAR($A1409),MONTH($A1409),1))</f>
        <v>0</v>
      </c>
      <c r="BO1409">
        <f>IF($A1409="","",IF($A1408="",1,IF(BN1409&lt;&gt;BN1408,1,0)))</f>
        <v>0</v>
      </c>
      <c r="BP1409">
        <f>IF($A1409="","",IF($A1410="",1,IF(BN1410&lt;&gt;BN1409,1,0)))</f>
        <v>0</v>
      </c>
      <c r="BQ1409">
        <f>IF($A1409="","",IF(BO1409=1,$B1409,BQ1408))</f>
        <v>0</v>
      </c>
      <c r="BR1409">
        <f>IF($A1409="","",IF(BO1409=1,$C1409,MAX($C1409,BR1408)))</f>
        <v>0</v>
      </c>
      <c r="BS1409">
        <f>IF($A1409="","",IF(BO1409=1,$D1409,MIN($D1409,BS1408)))</f>
        <v>0</v>
      </c>
      <c r="BT1409">
        <f>IF($A1409="","",IF(BP1409=1,F1409,""))</f>
        <v>0</v>
      </c>
    </row>
    <row r="1410" spans="1:72">
      <c r="A1410" s="27">
        <f>IF(Data!$A1410="","",Data!$A1410)</f>
        <v>0</v>
      </c>
      <c r="B1410">
        <f>IF(Data!$B1410="","",Data!$B1410)</f>
        <v>0</v>
      </c>
      <c r="C1410">
        <f>IF(Data!$C1410="","",Data!$C1410)</f>
        <v>0</v>
      </c>
      <c r="D1410">
        <f>IF(Data!$D1410="","",Data!$D1410)</f>
        <v>0</v>
      </c>
      <c r="E1410">
        <f>IF(Data!$E1410="","",Data!$E1410)</f>
        <v>0</v>
      </c>
      <c r="F1410">
        <f>IF($E1410="","",N(F1409)+1)</f>
        <v>0</v>
      </c>
      <c r="G1410">
        <f>IF(OR($E1410="",$E1409=""),"",LN($E1410/$E1409))</f>
        <v>0</v>
      </c>
      <c r="H1410">
        <f>IF($E1410="","",IF($E1409="",$E1410,$E1410*0.0952380952+H1409*0.9047619048))</f>
        <v>0</v>
      </c>
      <c r="I1410">
        <f>IF($E1410="","",IF($E1409="",$E1410,$E1410*0.0392156863+I1409*0.9607843137))</f>
        <v>0</v>
      </c>
      <c r="J1410">
        <f>IF($E1410="","",IF($E1409="",$E1410,$E1410*0.0198019802+J1409*0.9801980198))</f>
        <v>0</v>
      </c>
      <c r="K1410">
        <f>IF($E1410="","",IF($E1409="",$E1410,$E1410*0.0099502488+K1409*0.9900497512))</f>
        <v>0</v>
      </c>
      <c r="L1410">
        <f>IF(OR($E1410="",$E1409=""),"",MAX($E1410-$E1409,0))</f>
        <v>0</v>
      </c>
      <c r="M1410">
        <f>IF(OR($E1410="",$E1409=""),"",MAX($E1409-$E1410,0))</f>
        <v>0</v>
      </c>
      <c r="N1410">
        <f>IF(COUNT($E$2:$E1410)&lt;15,"",IF(AVERAGE($M$1397:$M$1410)=0,100,100-100/(1+AVERAGE($L$1397:$L$1410)/AVERAGE($M$1397:$M$1410))))</f>
        <v>0</v>
      </c>
      <c r="O1410">
        <f>IF($E1410="","",IF($E1409="",$E1410,$E1410*0.1538461538+O1409*0.8461538462))</f>
        <v>0</v>
      </c>
      <c r="P1410">
        <f>IF($E1410="","",IF($E1409="",$E1410,$E1410*0.0740740741+P1409*0.9259259259))</f>
        <v>0</v>
      </c>
      <c r="Q1410">
        <f>IF(OR(O1410="",P1410=""),"",O1410-P1410)</f>
        <v>0</v>
      </c>
      <c r="R1410">
        <f>IF(Q1410="","",IF(R1409="",Q1410,Q1410*0.2000000000+R1409*0.8000000000))</f>
        <v>0</v>
      </c>
      <c r="S1410">
        <f>IF(OR(Q1410="",R1410=""),"",Q1410-R1410)</f>
        <v>0</v>
      </c>
      <c r="T1410">
        <f>IF(COUNT($E$2:$E1410)&lt;14,"",MAX($C$1397:$C$1410))</f>
        <v>0</v>
      </c>
      <c r="U1410">
        <f>IF(COUNT($E$2:$E1410)&lt;14,"",MIN($D$1397:$D$1410))</f>
        <v>0</v>
      </c>
      <c r="V1410">
        <f>IF(OR(T1410="",U1410="",T1410=U1410),"",100*($E1410-U1410)/(T1410-U1410))</f>
        <v>0</v>
      </c>
      <c r="W1410">
        <f>IF(COUNT($V$1408:$V$1410)&lt;3,"",AVERAGE($V$1408:$V$1410))</f>
        <v>0</v>
      </c>
      <c r="X1410">
        <f>IF(COUNT($N$1397:$N$1410)&lt;14,"",MIN($N$1397:$N$1410))</f>
        <v>0</v>
      </c>
      <c r="Y1410">
        <f>IF(COUNT($N$1397:$N$1410)&lt;14,"",MAX($N$1397:$N$1410))</f>
        <v>0</v>
      </c>
      <c r="Z1410">
        <f>IF(OR(N1410="",X1410="",Y1410="",Y1410=X1410),"",100*(N1410-X1410)/(Y1410-X1410))</f>
        <v>0</v>
      </c>
      <c r="AA1410">
        <f>IF(COUNT($Z$1408:$Z$1410)&lt;3,"",AVERAGE($Z$1408:$Z$1410))</f>
        <v>0</v>
      </c>
      <c r="AB1410">
        <f>IF(COUNT($AA$1408:$AA$1410)&lt;3,"",AVERAGE($AA$1408:$AA$1410))</f>
        <v>0</v>
      </c>
      <c r="AC1410">
        <f>IF($E1410="","",MAX($C1410-$D1410,ABS($C1410-$E1409),ABS($D1410-$E1409)))</f>
        <v>0</v>
      </c>
      <c r="AD1410">
        <f>IF(COUNT($E$2:$E1410)&lt;15,"",AVERAGE($AC$1397:$AC$1410))</f>
        <v>0</v>
      </c>
      <c r="AE1410">
        <f>IF(OR($E1410="",$E1409=""),"",IF(AND(($C1410-$C1409)&gt;($D1409-$D1410),($C1410-$C1409)&gt;0),$C1410-$C1409,0))</f>
        <v>0</v>
      </c>
      <c r="AF1410">
        <f>IF(OR($E1410="",$E1409=""),"",IF(AND(($D1409-$D1410)&gt;($C1410-$C1409),($D1409-$D1410)&gt;0),$D1409-$D1410,0))</f>
        <v>0</v>
      </c>
      <c r="AG1410">
        <f>IF(COUNT($E$2:$E1410)&lt;15,"",IF(SUM($AC$1397:$AC$1410)=0,0,100*SUM($AE$1397:$AE$1410)/SUM($AC$1397:$AC$1410)))</f>
        <v>0</v>
      </c>
      <c r="AH1410">
        <f>IF(COUNT($E$2:$E1410)&lt;15,"",IF(SUM($AC$1397:$AC$1410)=0,0,100*SUM($AF$1397:$AF$1410)/SUM($AC$1397:$AC$1410)))</f>
        <v>0</v>
      </c>
      <c r="AI1410">
        <f>IF(OR(AG1410="",AH1410=""),"",IF((AG1410+AH1410)=0,0,100*ABS(AG1410-AH1410)/(AG1410+AH1410)))</f>
        <v>0</v>
      </c>
      <c r="AJ1410">
        <f>IF(COUNT($AI$1397:$AI$1410)&lt;14,"",AVERAGE($AI$1397:$AI$1410))</f>
        <v>0</v>
      </c>
      <c r="AK1410">
        <f>IF(COUNT($E$2:$E1410)&lt;20,"",AVERAGE($E$1391:$E$1410))</f>
        <v>0</v>
      </c>
      <c r="AL1410">
        <f>IF(COUNT($E$2:$E1410)&lt;20,"",STDEVP($E$1391:$E$1410))</f>
        <v>0</v>
      </c>
      <c r="AM1410">
        <f>IF(AK1410="","",AK1410+2*AL1410)</f>
        <v>0</v>
      </c>
      <c r="AN1410">
        <f>IF(AK1410="","",AK1410-2*AL1410)</f>
        <v>0</v>
      </c>
      <c r="AO1410">
        <f>IF(OR(AM1410="",AN1410="",AM1410=AN1410),"",($E1410-AN1410)/(AM1410-AN1410))</f>
        <v>0</v>
      </c>
      <c r="AP1410">
        <f>IF(OR(AM1410="",AK1410="",AK1410=0),"",(AM1410-AN1410)/AK1410)</f>
        <v>0</v>
      </c>
      <c r="AQ1410">
        <f>IF(COUNT($E$2:$E1410)&lt;20,"",MAX($C$1391:$C$1410))</f>
        <v>0</v>
      </c>
      <c r="AR1410">
        <f>IF(COUNT($E$2:$E1410)&lt;20,"",MIN($D$1391:$D$1410))</f>
        <v>0</v>
      </c>
      <c r="AS1410">
        <f>IF(OR(AQ1410="",AR1410=""),"",(AQ1410+AR1410)/2)</f>
        <v>0</v>
      </c>
      <c r="AT1410">
        <f>IF(COUNT($G$1391:$G$1410)&lt;20,"",STDEV($G$1391:$G$1410)*SQRT(252))</f>
        <v>0</v>
      </c>
      <c r="AU1410">
        <f>IF(COUNT($E$2:$E1410)&lt;9,"",(MAX($C$1402:$C$1410)+MIN($D$1402:$D$1410))/2)</f>
        <v>0</v>
      </c>
      <c r="AV1410">
        <f>IF(COUNT($E$2:$E1410)&lt;26,"",(MAX($C$1385:$C$1410)+MIN($D$1385:$D$1410))/2)</f>
        <v>0</v>
      </c>
      <c r="AW1410">
        <f>IF(OR(AU1410="",AV1410=""),"",(AU1410+AV1410)/2)</f>
        <v>0</v>
      </c>
      <c r="AX1410">
        <f>IF(COUNT($E$2:$E1410)&lt;52,"",(MAX($C$1359:$C$1410)+MIN($D$1359:$D$1410))/2)</f>
        <v>0</v>
      </c>
      <c r="AY1410">
        <f>IF(COUNT($E$2:$E1410)&lt;20,"",MAX($C$1311:$C$1410))</f>
        <v>0</v>
      </c>
      <c r="AZ1410">
        <f>IF(COUNT($E$2:$E1410)&lt;20,"",MIN($D$1311:$D$1410))</f>
        <v>0</v>
      </c>
      <c r="BA1410">
        <f>IF(COUNT($E$2:$E1410)&lt;20,"",SLOPE($E$1311:$E$1410,$F$1311:$F$1410))</f>
        <v>0</v>
      </c>
      <c r="BB1410">
        <f>IF(COUNT($E$2:$E1410)&lt;20,"",INTERCEPT($E$1311:$E$1410,$F$1311:$F$1410))</f>
        <v>0</v>
      </c>
      <c r="BC1410">
        <f>IF(OR(BA1410="",BB1410=""),"",BB1410+BA1410*F1410)</f>
        <v>0</v>
      </c>
      <c r="BD1410">
        <f>IF(COUNT($E$2:$E1410)&lt;20,"",STEYX($E$1311:$E$1410,$F$1311:$F$1410))</f>
        <v>0</v>
      </c>
      <c r="BE1410">
        <f>IF($E1410="","",IF(AND(COUNT($E$1411:$E$1414)&gt;=4,$C1410=MAX($C$1406:$C$1414)),$C1410,""))</f>
        <v>0</v>
      </c>
      <c r="BF1410">
        <f>IF($E1410="","",IF(AND(COUNT($E$1411:$E$1414)&gt;=4,$D1410=MIN($D$1406:$D$1414)),$D1410,""))</f>
        <v>0</v>
      </c>
      <c r="BG1410">
        <f>IF($A1410="","",$A1410-WEEKDAY($A1410,2)+1)</f>
        <v>0</v>
      </c>
      <c r="BH1410">
        <f>IF($A1410="","",IF($A1409="",1,IF(BG1410&lt;&gt;BG1409,1,0)))</f>
        <v>0</v>
      </c>
      <c r="BI1410">
        <f>IF($A1410="","",IF($A1411="",1,IF(BG1411&lt;&gt;BG1410,1,0)))</f>
        <v>0</v>
      </c>
      <c r="BJ1410">
        <f>IF($A1410="","",IF(BH1410=1,$B1410,BJ1409))</f>
        <v>0</v>
      </c>
      <c r="BK1410">
        <f>IF($A1410="","",IF(BH1410=1,$C1410,MAX($C1410,BK1409)))</f>
        <v>0</v>
      </c>
      <c r="BL1410">
        <f>IF($A1410="","",IF(BH1410=1,$D1410,MIN($D1410,BL1409)))</f>
        <v>0</v>
      </c>
      <c r="BM1410">
        <f>IF($A1410="","",IF(BI1410=1,F1410,""))</f>
        <v>0</v>
      </c>
      <c r="BN1410">
        <f>IF($A1410="","",DATE(YEAR($A1410),MONTH($A1410),1))</f>
        <v>0</v>
      </c>
      <c r="BO1410">
        <f>IF($A1410="","",IF($A1409="",1,IF(BN1410&lt;&gt;BN1409,1,0)))</f>
        <v>0</v>
      </c>
      <c r="BP1410">
        <f>IF($A1410="","",IF($A1411="",1,IF(BN1411&lt;&gt;BN1410,1,0)))</f>
        <v>0</v>
      </c>
      <c r="BQ1410">
        <f>IF($A1410="","",IF(BO1410=1,$B1410,BQ1409))</f>
        <v>0</v>
      </c>
      <c r="BR1410">
        <f>IF($A1410="","",IF(BO1410=1,$C1410,MAX($C1410,BR1409)))</f>
        <v>0</v>
      </c>
      <c r="BS1410">
        <f>IF($A1410="","",IF(BO1410=1,$D1410,MIN($D1410,BS1409)))</f>
        <v>0</v>
      </c>
      <c r="BT1410">
        <f>IF($A1410="","",IF(BP1410=1,F1410,""))</f>
        <v>0</v>
      </c>
    </row>
    <row r="1411" spans="1:72">
      <c r="A1411" s="27">
        <f>IF(Data!$A1411="","",Data!$A1411)</f>
        <v>0</v>
      </c>
      <c r="B1411">
        <f>IF(Data!$B1411="","",Data!$B1411)</f>
        <v>0</v>
      </c>
      <c r="C1411">
        <f>IF(Data!$C1411="","",Data!$C1411)</f>
        <v>0</v>
      </c>
      <c r="D1411">
        <f>IF(Data!$D1411="","",Data!$D1411)</f>
        <v>0</v>
      </c>
      <c r="E1411">
        <f>IF(Data!$E1411="","",Data!$E1411)</f>
        <v>0</v>
      </c>
      <c r="F1411">
        <f>IF($E1411="","",N(F1410)+1)</f>
        <v>0</v>
      </c>
      <c r="G1411">
        <f>IF(OR($E1411="",$E1410=""),"",LN($E1411/$E1410))</f>
        <v>0</v>
      </c>
      <c r="H1411">
        <f>IF($E1411="","",IF($E1410="",$E1411,$E1411*0.0952380952+H1410*0.9047619048))</f>
        <v>0</v>
      </c>
      <c r="I1411">
        <f>IF($E1411="","",IF($E1410="",$E1411,$E1411*0.0392156863+I1410*0.9607843137))</f>
        <v>0</v>
      </c>
      <c r="J1411">
        <f>IF($E1411="","",IF($E1410="",$E1411,$E1411*0.0198019802+J1410*0.9801980198))</f>
        <v>0</v>
      </c>
      <c r="K1411">
        <f>IF($E1411="","",IF($E1410="",$E1411,$E1411*0.0099502488+K1410*0.9900497512))</f>
        <v>0</v>
      </c>
      <c r="L1411">
        <f>IF(OR($E1411="",$E1410=""),"",MAX($E1411-$E1410,0))</f>
        <v>0</v>
      </c>
      <c r="M1411">
        <f>IF(OR($E1411="",$E1410=""),"",MAX($E1410-$E1411,0))</f>
        <v>0</v>
      </c>
      <c r="N1411">
        <f>IF(COUNT($E$2:$E1411)&lt;15,"",IF(AVERAGE($M$1398:$M$1411)=0,100,100-100/(1+AVERAGE($L$1398:$L$1411)/AVERAGE($M$1398:$M$1411))))</f>
        <v>0</v>
      </c>
      <c r="O1411">
        <f>IF($E1411="","",IF($E1410="",$E1411,$E1411*0.1538461538+O1410*0.8461538462))</f>
        <v>0</v>
      </c>
      <c r="P1411">
        <f>IF($E1411="","",IF($E1410="",$E1411,$E1411*0.0740740741+P1410*0.9259259259))</f>
        <v>0</v>
      </c>
      <c r="Q1411">
        <f>IF(OR(O1411="",P1411=""),"",O1411-P1411)</f>
        <v>0</v>
      </c>
      <c r="R1411">
        <f>IF(Q1411="","",IF(R1410="",Q1411,Q1411*0.2000000000+R1410*0.8000000000))</f>
        <v>0</v>
      </c>
      <c r="S1411">
        <f>IF(OR(Q1411="",R1411=""),"",Q1411-R1411)</f>
        <v>0</v>
      </c>
      <c r="T1411">
        <f>IF(COUNT($E$2:$E1411)&lt;14,"",MAX($C$1398:$C$1411))</f>
        <v>0</v>
      </c>
      <c r="U1411">
        <f>IF(COUNT($E$2:$E1411)&lt;14,"",MIN($D$1398:$D$1411))</f>
        <v>0</v>
      </c>
      <c r="V1411">
        <f>IF(OR(T1411="",U1411="",T1411=U1411),"",100*($E1411-U1411)/(T1411-U1411))</f>
        <v>0</v>
      </c>
      <c r="W1411">
        <f>IF(COUNT($V$1409:$V$1411)&lt;3,"",AVERAGE($V$1409:$V$1411))</f>
        <v>0</v>
      </c>
      <c r="X1411">
        <f>IF(COUNT($N$1398:$N$1411)&lt;14,"",MIN($N$1398:$N$1411))</f>
        <v>0</v>
      </c>
      <c r="Y1411">
        <f>IF(COUNT($N$1398:$N$1411)&lt;14,"",MAX($N$1398:$N$1411))</f>
        <v>0</v>
      </c>
      <c r="Z1411">
        <f>IF(OR(N1411="",X1411="",Y1411="",Y1411=X1411),"",100*(N1411-X1411)/(Y1411-X1411))</f>
        <v>0</v>
      </c>
      <c r="AA1411">
        <f>IF(COUNT($Z$1409:$Z$1411)&lt;3,"",AVERAGE($Z$1409:$Z$1411))</f>
        <v>0</v>
      </c>
      <c r="AB1411">
        <f>IF(COUNT($AA$1409:$AA$1411)&lt;3,"",AVERAGE($AA$1409:$AA$1411))</f>
        <v>0</v>
      </c>
      <c r="AC1411">
        <f>IF($E1411="","",MAX($C1411-$D1411,ABS($C1411-$E1410),ABS($D1411-$E1410)))</f>
        <v>0</v>
      </c>
      <c r="AD1411">
        <f>IF(COUNT($E$2:$E1411)&lt;15,"",AVERAGE($AC$1398:$AC$1411))</f>
        <v>0</v>
      </c>
      <c r="AE1411">
        <f>IF(OR($E1411="",$E1410=""),"",IF(AND(($C1411-$C1410)&gt;($D1410-$D1411),($C1411-$C1410)&gt;0),$C1411-$C1410,0))</f>
        <v>0</v>
      </c>
      <c r="AF1411">
        <f>IF(OR($E1411="",$E1410=""),"",IF(AND(($D1410-$D1411)&gt;($C1411-$C1410),($D1410-$D1411)&gt;0),$D1410-$D1411,0))</f>
        <v>0</v>
      </c>
      <c r="AG1411">
        <f>IF(COUNT($E$2:$E1411)&lt;15,"",IF(SUM($AC$1398:$AC$1411)=0,0,100*SUM($AE$1398:$AE$1411)/SUM($AC$1398:$AC$1411)))</f>
        <v>0</v>
      </c>
      <c r="AH1411">
        <f>IF(COUNT($E$2:$E1411)&lt;15,"",IF(SUM($AC$1398:$AC$1411)=0,0,100*SUM($AF$1398:$AF$1411)/SUM($AC$1398:$AC$1411)))</f>
        <v>0</v>
      </c>
      <c r="AI1411">
        <f>IF(OR(AG1411="",AH1411=""),"",IF((AG1411+AH1411)=0,0,100*ABS(AG1411-AH1411)/(AG1411+AH1411)))</f>
        <v>0</v>
      </c>
      <c r="AJ1411">
        <f>IF(COUNT($AI$1398:$AI$1411)&lt;14,"",AVERAGE($AI$1398:$AI$1411))</f>
        <v>0</v>
      </c>
      <c r="AK1411">
        <f>IF(COUNT($E$2:$E1411)&lt;20,"",AVERAGE($E$1392:$E$1411))</f>
        <v>0</v>
      </c>
      <c r="AL1411">
        <f>IF(COUNT($E$2:$E1411)&lt;20,"",STDEVP($E$1392:$E$1411))</f>
        <v>0</v>
      </c>
      <c r="AM1411">
        <f>IF(AK1411="","",AK1411+2*AL1411)</f>
        <v>0</v>
      </c>
      <c r="AN1411">
        <f>IF(AK1411="","",AK1411-2*AL1411)</f>
        <v>0</v>
      </c>
      <c r="AO1411">
        <f>IF(OR(AM1411="",AN1411="",AM1411=AN1411),"",($E1411-AN1411)/(AM1411-AN1411))</f>
        <v>0</v>
      </c>
      <c r="AP1411">
        <f>IF(OR(AM1411="",AK1411="",AK1411=0),"",(AM1411-AN1411)/AK1411)</f>
        <v>0</v>
      </c>
      <c r="AQ1411">
        <f>IF(COUNT($E$2:$E1411)&lt;20,"",MAX($C$1392:$C$1411))</f>
        <v>0</v>
      </c>
      <c r="AR1411">
        <f>IF(COUNT($E$2:$E1411)&lt;20,"",MIN($D$1392:$D$1411))</f>
        <v>0</v>
      </c>
      <c r="AS1411">
        <f>IF(OR(AQ1411="",AR1411=""),"",(AQ1411+AR1411)/2)</f>
        <v>0</v>
      </c>
      <c r="AT1411">
        <f>IF(COUNT($G$1392:$G$1411)&lt;20,"",STDEV($G$1392:$G$1411)*SQRT(252))</f>
        <v>0</v>
      </c>
      <c r="AU1411">
        <f>IF(COUNT($E$2:$E1411)&lt;9,"",(MAX($C$1403:$C$1411)+MIN($D$1403:$D$1411))/2)</f>
        <v>0</v>
      </c>
      <c r="AV1411">
        <f>IF(COUNT($E$2:$E1411)&lt;26,"",(MAX($C$1386:$C$1411)+MIN($D$1386:$D$1411))/2)</f>
        <v>0</v>
      </c>
      <c r="AW1411">
        <f>IF(OR(AU1411="",AV1411=""),"",(AU1411+AV1411)/2)</f>
        <v>0</v>
      </c>
      <c r="AX1411">
        <f>IF(COUNT($E$2:$E1411)&lt;52,"",(MAX($C$1360:$C$1411)+MIN($D$1360:$D$1411))/2)</f>
        <v>0</v>
      </c>
      <c r="AY1411">
        <f>IF(COUNT($E$2:$E1411)&lt;20,"",MAX($C$1312:$C$1411))</f>
        <v>0</v>
      </c>
      <c r="AZ1411">
        <f>IF(COUNT($E$2:$E1411)&lt;20,"",MIN($D$1312:$D$1411))</f>
        <v>0</v>
      </c>
      <c r="BA1411">
        <f>IF(COUNT($E$2:$E1411)&lt;20,"",SLOPE($E$1312:$E$1411,$F$1312:$F$1411))</f>
        <v>0</v>
      </c>
      <c r="BB1411">
        <f>IF(COUNT($E$2:$E1411)&lt;20,"",INTERCEPT($E$1312:$E$1411,$F$1312:$F$1411))</f>
        <v>0</v>
      </c>
      <c r="BC1411">
        <f>IF(OR(BA1411="",BB1411=""),"",BB1411+BA1411*F1411)</f>
        <v>0</v>
      </c>
      <c r="BD1411">
        <f>IF(COUNT($E$2:$E1411)&lt;20,"",STEYX($E$1312:$E$1411,$F$1312:$F$1411))</f>
        <v>0</v>
      </c>
      <c r="BE1411">
        <f>IF($E1411="","",IF(AND(COUNT($E$1412:$E$1415)&gt;=4,$C1411=MAX($C$1407:$C$1415)),$C1411,""))</f>
        <v>0</v>
      </c>
      <c r="BF1411">
        <f>IF($E1411="","",IF(AND(COUNT($E$1412:$E$1415)&gt;=4,$D1411=MIN($D$1407:$D$1415)),$D1411,""))</f>
        <v>0</v>
      </c>
      <c r="BG1411">
        <f>IF($A1411="","",$A1411-WEEKDAY($A1411,2)+1)</f>
        <v>0</v>
      </c>
      <c r="BH1411">
        <f>IF($A1411="","",IF($A1410="",1,IF(BG1411&lt;&gt;BG1410,1,0)))</f>
        <v>0</v>
      </c>
      <c r="BI1411">
        <f>IF($A1411="","",IF($A1412="",1,IF(BG1412&lt;&gt;BG1411,1,0)))</f>
        <v>0</v>
      </c>
      <c r="BJ1411">
        <f>IF($A1411="","",IF(BH1411=1,$B1411,BJ1410))</f>
        <v>0</v>
      </c>
      <c r="BK1411">
        <f>IF($A1411="","",IF(BH1411=1,$C1411,MAX($C1411,BK1410)))</f>
        <v>0</v>
      </c>
      <c r="BL1411">
        <f>IF($A1411="","",IF(BH1411=1,$D1411,MIN($D1411,BL1410)))</f>
        <v>0</v>
      </c>
      <c r="BM1411">
        <f>IF($A1411="","",IF(BI1411=1,F1411,""))</f>
        <v>0</v>
      </c>
      <c r="BN1411">
        <f>IF($A1411="","",DATE(YEAR($A1411),MONTH($A1411),1))</f>
        <v>0</v>
      </c>
      <c r="BO1411">
        <f>IF($A1411="","",IF($A1410="",1,IF(BN1411&lt;&gt;BN1410,1,0)))</f>
        <v>0</v>
      </c>
      <c r="BP1411">
        <f>IF($A1411="","",IF($A1412="",1,IF(BN1412&lt;&gt;BN1411,1,0)))</f>
        <v>0</v>
      </c>
      <c r="BQ1411">
        <f>IF($A1411="","",IF(BO1411=1,$B1411,BQ1410))</f>
        <v>0</v>
      </c>
      <c r="BR1411">
        <f>IF($A1411="","",IF(BO1411=1,$C1411,MAX($C1411,BR1410)))</f>
        <v>0</v>
      </c>
      <c r="BS1411">
        <f>IF($A1411="","",IF(BO1411=1,$D1411,MIN($D1411,BS1410)))</f>
        <v>0</v>
      </c>
      <c r="BT1411">
        <f>IF($A1411="","",IF(BP1411=1,F1411,""))</f>
        <v>0</v>
      </c>
    </row>
    <row r="1412" spans="1:72">
      <c r="A1412" s="27">
        <f>IF(Data!$A1412="","",Data!$A1412)</f>
        <v>0</v>
      </c>
      <c r="B1412">
        <f>IF(Data!$B1412="","",Data!$B1412)</f>
        <v>0</v>
      </c>
      <c r="C1412">
        <f>IF(Data!$C1412="","",Data!$C1412)</f>
        <v>0</v>
      </c>
      <c r="D1412">
        <f>IF(Data!$D1412="","",Data!$D1412)</f>
        <v>0</v>
      </c>
      <c r="E1412">
        <f>IF(Data!$E1412="","",Data!$E1412)</f>
        <v>0</v>
      </c>
      <c r="F1412">
        <f>IF($E1412="","",N(F1411)+1)</f>
        <v>0</v>
      </c>
      <c r="G1412">
        <f>IF(OR($E1412="",$E1411=""),"",LN($E1412/$E1411))</f>
        <v>0</v>
      </c>
      <c r="H1412">
        <f>IF($E1412="","",IF($E1411="",$E1412,$E1412*0.0952380952+H1411*0.9047619048))</f>
        <v>0</v>
      </c>
      <c r="I1412">
        <f>IF($E1412="","",IF($E1411="",$E1412,$E1412*0.0392156863+I1411*0.9607843137))</f>
        <v>0</v>
      </c>
      <c r="J1412">
        <f>IF($E1412="","",IF($E1411="",$E1412,$E1412*0.0198019802+J1411*0.9801980198))</f>
        <v>0</v>
      </c>
      <c r="K1412">
        <f>IF($E1412="","",IF($E1411="",$E1412,$E1412*0.0099502488+K1411*0.9900497512))</f>
        <v>0</v>
      </c>
      <c r="L1412">
        <f>IF(OR($E1412="",$E1411=""),"",MAX($E1412-$E1411,0))</f>
        <v>0</v>
      </c>
      <c r="M1412">
        <f>IF(OR($E1412="",$E1411=""),"",MAX($E1411-$E1412,0))</f>
        <v>0</v>
      </c>
      <c r="N1412">
        <f>IF(COUNT($E$2:$E1412)&lt;15,"",IF(AVERAGE($M$1399:$M$1412)=0,100,100-100/(1+AVERAGE($L$1399:$L$1412)/AVERAGE($M$1399:$M$1412))))</f>
        <v>0</v>
      </c>
      <c r="O1412">
        <f>IF($E1412="","",IF($E1411="",$E1412,$E1412*0.1538461538+O1411*0.8461538462))</f>
        <v>0</v>
      </c>
      <c r="P1412">
        <f>IF($E1412="","",IF($E1411="",$E1412,$E1412*0.0740740741+P1411*0.9259259259))</f>
        <v>0</v>
      </c>
      <c r="Q1412">
        <f>IF(OR(O1412="",P1412=""),"",O1412-P1412)</f>
        <v>0</v>
      </c>
      <c r="R1412">
        <f>IF(Q1412="","",IF(R1411="",Q1412,Q1412*0.2000000000+R1411*0.8000000000))</f>
        <v>0</v>
      </c>
      <c r="S1412">
        <f>IF(OR(Q1412="",R1412=""),"",Q1412-R1412)</f>
        <v>0</v>
      </c>
      <c r="T1412">
        <f>IF(COUNT($E$2:$E1412)&lt;14,"",MAX($C$1399:$C$1412))</f>
        <v>0</v>
      </c>
      <c r="U1412">
        <f>IF(COUNT($E$2:$E1412)&lt;14,"",MIN($D$1399:$D$1412))</f>
        <v>0</v>
      </c>
      <c r="V1412">
        <f>IF(OR(T1412="",U1412="",T1412=U1412),"",100*($E1412-U1412)/(T1412-U1412))</f>
        <v>0</v>
      </c>
      <c r="W1412">
        <f>IF(COUNT($V$1410:$V$1412)&lt;3,"",AVERAGE($V$1410:$V$1412))</f>
        <v>0</v>
      </c>
      <c r="X1412">
        <f>IF(COUNT($N$1399:$N$1412)&lt;14,"",MIN($N$1399:$N$1412))</f>
        <v>0</v>
      </c>
      <c r="Y1412">
        <f>IF(COUNT($N$1399:$N$1412)&lt;14,"",MAX($N$1399:$N$1412))</f>
        <v>0</v>
      </c>
      <c r="Z1412">
        <f>IF(OR(N1412="",X1412="",Y1412="",Y1412=X1412),"",100*(N1412-X1412)/(Y1412-X1412))</f>
        <v>0</v>
      </c>
      <c r="AA1412">
        <f>IF(COUNT($Z$1410:$Z$1412)&lt;3,"",AVERAGE($Z$1410:$Z$1412))</f>
        <v>0</v>
      </c>
      <c r="AB1412">
        <f>IF(COUNT($AA$1410:$AA$1412)&lt;3,"",AVERAGE($AA$1410:$AA$1412))</f>
        <v>0</v>
      </c>
      <c r="AC1412">
        <f>IF($E1412="","",MAX($C1412-$D1412,ABS($C1412-$E1411),ABS($D1412-$E1411)))</f>
        <v>0</v>
      </c>
      <c r="AD1412">
        <f>IF(COUNT($E$2:$E1412)&lt;15,"",AVERAGE($AC$1399:$AC$1412))</f>
        <v>0</v>
      </c>
      <c r="AE1412">
        <f>IF(OR($E1412="",$E1411=""),"",IF(AND(($C1412-$C1411)&gt;($D1411-$D1412),($C1412-$C1411)&gt;0),$C1412-$C1411,0))</f>
        <v>0</v>
      </c>
      <c r="AF1412">
        <f>IF(OR($E1412="",$E1411=""),"",IF(AND(($D1411-$D1412)&gt;($C1412-$C1411),($D1411-$D1412)&gt;0),$D1411-$D1412,0))</f>
        <v>0</v>
      </c>
      <c r="AG1412">
        <f>IF(COUNT($E$2:$E1412)&lt;15,"",IF(SUM($AC$1399:$AC$1412)=0,0,100*SUM($AE$1399:$AE$1412)/SUM($AC$1399:$AC$1412)))</f>
        <v>0</v>
      </c>
      <c r="AH1412">
        <f>IF(COUNT($E$2:$E1412)&lt;15,"",IF(SUM($AC$1399:$AC$1412)=0,0,100*SUM($AF$1399:$AF$1412)/SUM($AC$1399:$AC$1412)))</f>
        <v>0</v>
      </c>
      <c r="AI1412">
        <f>IF(OR(AG1412="",AH1412=""),"",IF((AG1412+AH1412)=0,0,100*ABS(AG1412-AH1412)/(AG1412+AH1412)))</f>
        <v>0</v>
      </c>
      <c r="AJ1412">
        <f>IF(COUNT($AI$1399:$AI$1412)&lt;14,"",AVERAGE($AI$1399:$AI$1412))</f>
        <v>0</v>
      </c>
      <c r="AK1412">
        <f>IF(COUNT($E$2:$E1412)&lt;20,"",AVERAGE($E$1393:$E$1412))</f>
        <v>0</v>
      </c>
      <c r="AL1412">
        <f>IF(COUNT($E$2:$E1412)&lt;20,"",STDEVP($E$1393:$E$1412))</f>
        <v>0</v>
      </c>
      <c r="AM1412">
        <f>IF(AK1412="","",AK1412+2*AL1412)</f>
        <v>0</v>
      </c>
      <c r="AN1412">
        <f>IF(AK1412="","",AK1412-2*AL1412)</f>
        <v>0</v>
      </c>
      <c r="AO1412">
        <f>IF(OR(AM1412="",AN1412="",AM1412=AN1412),"",($E1412-AN1412)/(AM1412-AN1412))</f>
        <v>0</v>
      </c>
      <c r="AP1412">
        <f>IF(OR(AM1412="",AK1412="",AK1412=0),"",(AM1412-AN1412)/AK1412)</f>
        <v>0</v>
      </c>
      <c r="AQ1412">
        <f>IF(COUNT($E$2:$E1412)&lt;20,"",MAX($C$1393:$C$1412))</f>
        <v>0</v>
      </c>
      <c r="AR1412">
        <f>IF(COUNT($E$2:$E1412)&lt;20,"",MIN($D$1393:$D$1412))</f>
        <v>0</v>
      </c>
      <c r="AS1412">
        <f>IF(OR(AQ1412="",AR1412=""),"",(AQ1412+AR1412)/2)</f>
        <v>0</v>
      </c>
      <c r="AT1412">
        <f>IF(COUNT($G$1393:$G$1412)&lt;20,"",STDEV($G$1393:$G$1412)*SQRT(252))</f>
        <v>0</v>
      </c>
      <c r="AU1412">
        <f>IF(COUNT($E$2:$E1412)&lt;9,"",(MAX($C$1404:$C$1412)+MIN($D$1404:$D$1412))/2)</f>
        <v>0</v>
      </c>
      <c r="AV1412">
        <f>IF(COUNT($E$2:$E1412)&lt;26,"",(MAX($C$1387:$C$1412)+MIN($D$1387:$D$1412))/2)</f>
        <v>0</v>
      </c>
      <c r="AW1412">
        <f>IF(OR(AU1412="",AV1412=""),"",(AU1412+AV1412)/2)</f>
        <v>0</v>
      </c>
      <c r="AX1412">
        <f>IF(COUNT($E$2:$E1412)&lt;52,"",(MAX($C$1361:$C$1412)+MIN($D$1361:$D$1412))/2)</f>
        <v>0</v>
      </c>
      <c r="AY1412">
        <f>IF(COUNT($E$2:$E1412)&lt;20,"",MAX($C$1313:$C$1412))</f>
        <v>0</v>
      </c>
      <c r="AZ1412">
        <f>IF(COUNT($E$2:$E1412)&lt;20,"",MIN($D$1313:$D$1412))</f>
        <v>0</v>
      </c>
      <c r="BA1412">
        <f>IF(COUNT($E$2:$E1412)&lt;20,"",SLOPE($E$1313:$E$1412,$F$1313:$F$1412))</f>
        <v>0</v>
      </c>
      <c r="BB1412">
        <f>IF(COUNT($E$2:$E1412)&lt;20,"",INTERCEPT($E$1313:$E$1412,$F$1313:$F$1412))</f>
        <v>0</v>
      </c>
      <c r="BC1412">
        <f>IF(OR(BA1412="",BB1412=""),"",BB1412+BA1412*F1412)</f>
        <v>0</v>
      </c>
      <c r="BD1412">
        <f>IF(COUNT($E$2:$E1412)&lt;20,"",STEYX($E$1313:$E$1412,$F$1313:$F$1412))</f>
        <v>0</v>
      </c>
      <c r="BE1412">
        <f>IF($E1412="","",IF(AND(COUNT($E$1413:$E$1416)&gt;=4,$C1412=MAX($C$1408:$C$1416)),$C1412,""))</f>
        <v>0</v>
      </c>
      <c r="BF1412">
        <f>IF($E1412="","",IF(AND(COUNT($E$1413:$E$1416)&gt;=4,$D1412=MIN($D$1408:$D$1416)),$D1412,""))</f>
        <v>0</v>
      </c>
      <c r="BG1412">
        <f>IF($A1412="","",$A1412-WEEKDAY($A1412,2)+1)</f>
        <v>0</v>
      </c>
      <c r="BH1412">
        <f>IF($A1412="","",IF($A1411="",1,IF(BG1412&lt;&gt;BG1411,1,0)))</f>
        <v>0</v>
      </c>
      <c r="BI1412">
        <f>IF($A1412="","",IF($A1413="",1,IF(BG1413&lt;&gt;BG1412,1,0)))</f>
        <v>0</v>
      </c>
      <c r="BJ1412">
        <f>IF($A1412="","",IF(BH1412=1,$B1412,BJ1411))</f>
        <v>0</v>
      </c>
      <c r="BK1412">
        <f>IF($A1412="","",IF(BH1412=1,$C1412,MAX($C1412,BK1411)))</f>
        <v>0</v>
      </c>
      <c r="BL1412">
        <f>IF($A1412="","",IF(BH1412=1,$D1412,MIN($D1412,BL1411)))</f>
        <v>0</v>
      </c>
      <c r="BM1412">
        <f>IF($A1412="","",IF(BI1412=1,F1412,""))</f>
        <v>0</v>
      </c>
      <c r="BN1412">
        <f>IF($A1412="","",DATE(YEAR($A1412),MONTH($A1412),1))</f>
        <v>0</v>
      </c>
      <c r="BO1412">
        <f>IF($A1412="","",IF($A1411="",1,IF(BN1412&lt;&gt;BN1411,1,0)))</f>
        <v>0</v>
      </c>
      <c r="BP1412">
        <f>IF($A1412="","",IF($A1413="",1,IF(BN1413&lt;&gt;BN1412,1,0)))</f>
        <v>0</v>
      </c>
      <c r="BQ1412">
        <f>IF($A1412="","",IF(BO1412=1,$B1412,BQ1411))</f>
        <v>0</v>
      </c>
      <c r="BR1412">
        <f>IF($A1412="","",IF(BO1412=1,$C1412,MAX($C1412,BR1411)))</f>
        <v>0</v>
      </c>
      <c r="BS1412">
        <f>IF($A1412="","",IF(BO1412=1,$D1412,MIN($D1412,BS1411)))</f>
        <v>0</v>
      </c>
      <c r="BT1412">
        <f>IF($A1412="","",IF(BP1412=1,F1412,""))</f>
        <v>0</v>
      </c>
    </row>
    <row r="1413" spans="1:72">
      <c r="A1413" s="27">
        <f>IF(Data!$A1413="","",Data!$A1413)</f>
        <v>0</v>
      </c>
      <c r="B1413">
        <f>IF(Data!$B1413="","",Data!$B1413)</f>
        <v>0</v>
      </c>
      <c r="C1413">
        <f>IF(Data!$C1413="","",Data!$C1413)</f>
        <v>0</v>
      </c>
      <c r="D1413">
        <f>IF(Data!$D1413="","",Data!$D1413)</f>
        <v>0</v>
      </c>
      <c r="E1413">
        <f>IF(Data!$E1413="","",Data!$E1413)</f>
        <v>0</v>
      </c>
      <c r="F1413">
        <f>IF($E1413="","",N(F1412)+1)</f>
        <v>0</v>
      </c>
      <c r="G1413">
        <f>IF(OR($E1413="",$E1412=""),"",LN($E1413/$E1412))</f>
        <v>0</v>
      </c>
      <c r="H1413">
        <f>IF($E1413="","",IF($E1412="",$E1413,$E1413*0.0952380952+H1412*0.9047619048))</f>
        <v>0</v>
      </c>
      <c r="I1413">
        <f>IF($E1413="","",IF($E1412="",$E1413,$E1413*0.0392156863+I1412*0.9607843137))</f>
        <v>0</v>
      </c>
      <c r="J1413">
        <f>IF($E1413="","",IF($E1412="",$E1413,$E1413*0.0198019802+J1412*0.9801980198))</f>
        <v>0</v>
      </c>
      <c r="K1413">
        <f>IF($E1413="","",IF($E1412="",$E1413,$E1413*0.0099502488+K1412*0.9900497512))</f>
        <v>0</v>
      </c>
      <c r="L1413">
        <f>IF(OR($E1413="",$E1412=""),"",MAX($E1413-$E1412,0))</f>
        <v>0</v>
      </c>
      <c r="M1413">
        <f>IF(OR($E1413="",$E1412=""),"",MAX($E1412-$E1413,0))</f>
        <v>0</v>
      </c>
      <c r="N1413">
        <f>IF(COUNT($E$2:$E1413)&lt;15,"",IF(AVERAGE($M$1400:$M$1413)=0,100,100-100/(1+AVERAGE($L$1400:$L$1413)/AVERAGE($M$1400:$M$1413))))</f>
        <v>0</v>
      </c>
      <c r="O1413">
        <f>IF($E1413="","",IF($E1412="",$E1413,$E1413*0.1538461538+O1412*0.8461538462))</f>
        <v>0</v>
      </c>
      <c r="P1413">
        <f>IF($E1413="","",IF($E1412="",$E1413,$E1413*0.0740740741+P1412*0.9259259259))</f>
        <v>0</v>
      </c>
      <c r="Q1413">
        <f>IF(OR(O1413="",P1413=""),"",O1413-P1413)</f>
        <v>0</v>
      </c>
      <c r="R1413">
        <f>IF(Q1413="","",IF(R1412="",Q1413,Q1413*0.2000000000+R1412*0.8000000000))</f>
        <v>0</v>
      </c>
      <c r="S1413">
        <f>IF(OR(Q1413="",R1413=""),"",Q1413-R1413)</f>
        <v>0</v>
      </c>
      <c r="T1413">
        <f>IF(COUNT($E$2:$E1413)&lt;14,"",MAX($C$1400:$C$1413))</f>
        <v>0</v>
      </c>
      <c r="U1413">
        <f>IF(COUNT($E$2:$E1413)&lt;14,"",MIN($D$1400:$D$1413))</f>
        <v>0</v>
      </c>
      <c r="V1413">
        <f>IF(OR(T1413="",U1413="",T1413=U1413),"",100*($E1413-U1413)/(T1413-U1413))</f>
        <v>0</v>
      </c>
      <c r="W1413">
        <f>IF(COUNT($V$1411:$V$1413)&lt;3,"",AVERAGE($V$1411:$V$1413))</f>
        <v>0</v>
      </c>
      <c r="X1413">
        <f>IF(COUNT($N$1400:$N$1413)&lt;14,"",MIN($N$1400:$N$1413))</f>
        <v>0</v>
      </c>
      <c r="Y1413">
        <f>IF(COUNT($N$1400:$N$1413)&lt;14,"",MAX($N$1400:$N$1413))</f>
        <v>0</v>
      </c>
      <c r="Z1413">
        <f>IF(OR(N1413="",X1413="",Y1413="",Y1413=X1413),"",100*(N1413-X1413)/(Y1413-X1413))</f>
        <v>0</v>
      </c>
      <c r="AA1413">
        <f>IF(COUNT($Z$1411:$Z$1413)&lt;3,"",AVERAGE($Z$1411:$Z$1413))</f>
        <v>0</v>
      </c>
      <c r="AB1413">
        <f>IF(COUNT($AA$1411:$AA$1413)&lt;3,"",AVERAGE($AA$1411:$AA$1413))</f>
        <v>0</v>
      </c>
      <c r="AC1413">
        <f>IF($E1413="","",MAX($C1413-$D1413,ABS($C1413-$E1412),ABS($D1413-$E1412)))</f>
        <v>0</v>
      </c>
      <c r="AD1413">
        <f>IF(COUNT($E$2:$E1413)&lt;15,"",AVERAGE($AC$1400:$AC$1413))</f>
        <v>0</v>
      </c>
      <c r="AE1413">
        <f>IF(OR($E1413="",$E1412=""),"",IF(AND(($C1413-$C1412)&gt;($D1412-$D1413),($C1413-$C1412)&gt;0),$C1413-$C1412,0))</f>
        <v>0</v>
      </c>
      <c r="AF1413">
        <f>IF(OR($E1413="",$E1412=""),"",IF(AND(($D1412-$D1413)&gt;($C1413-$C1412),($D1412-$D1413)&gt;0),$D1412-$D1413,0))</f>
        <v>0</v>
      </c>
      <c r="AG1413">
        <f>IF(COUNT($E$2:$E1413)&lt;15,"",IF(SUM($AC$1400:$AC$1413)=0,0,100*SUM($AE$1400:$AE$1413)/SUM($AC$1400:$AC$1413)))</f>
        <v>0</v>
      </c>
      <c r="AH1413">
        <f>IF(COUNT($E$2:$E1413)&lt;15,"",IF(SUM($AC$1400:$AC$1413)=0,0,100*SUM($AF$1400:$AF$1413)/SUM($AC$1400:$AC$1413)))</f>
        <v>0</v>
      </c>
      <c r="AI1413">
        <f>IF(OR(AG1413="",AH1413=""),"",IF((AG1413+AH1413)=0,0,100*ABS(AG1413-AH1413)/(AG1413+AH1413)))</f>
        <v>0</v>
      </c>
      <c r="AJ1413">
        <f>IF(COUNT($AI$1400:$AI$1413)&lt;14,"",AVERAGE($AI$1400:$AI$1413))</f>
        <v>0</v>
      </c>
      <c r="AK1413">
        <f>IF(COUNT($E$2:$E1413)&lt;20,"",AVERAGE($E$1394:$E$1413))</f>
        <v>0</v>
      </c>
      <c r="AL1413">
        <f>IF(COUNT($E$2:$E1413)&lt;20,"",STDEVP($E$1394:$E$1413))</f>
        <v>0</v>
      </c>
      <c r="AM1413">
        <f>IF(AK1413="","",AK1413+2*AL1413)</f>
        <v>0</v>
      </c>
      <c r="AN1413">
        <f>IF(AK1413="","",AK1413-2*AL1413)</f>
        <v>0</v>
      </c>
      <c r="AO1413">
        <f>IF(OR(AM1413="",AN1413="",AM1413=AN1413),"",($E1413-AN1413)/(AM1413-AN1413))</f>
        <v>0</v>
      </c>
      <c r="AP1413">
        <f>IF(OR(AM1413="",AK1413="",AK1413=0),"",(AM1413-AN1413)/AK1413)</f>
        <v>0</v>
      </c>
      <c r="AQ1413">
        <f>IF(COUNT($E$2:$E1413)&lt;20,"",MAX($C$1394:$C$1413))</f>
        <v>0</v>
      </c>
      <c r="AR1413">
        <f>IF(COUNT($E$2:$E1413)&lt;20,"",MIN($D$1394:$D$1413))</f>
        <v>0</v>
      </c>
      <c r="AS1413">
        <f>IF(OR(AQ1413="",AR1413=""),"",(AQ1413+AR1413)/2)</f>
        <v>0</v>
      </c>
      <c r="AT1413">
        <f>IF(COUNT($G$1394:$G$1413)&lt;20,"",STDEV($G$1394:$G$1413)*SQRT(252))</f>
        <v>0</v>
      </c>
      <c r="AU1413">
        <f>IF(COUNT($E$2:$E1413)&lt;9,"",(MAX($C$1405:$C$1413)+MIN($D$1405:$D$1413))/2)</f>
        <v>0</v>
      </c>
      <c r="AV1413">
        <f>IF(COUNT($E$2:$E1413)&lt;26,"",(MAX($C$1388:$C$1413)+MIN($D$1388:$D$1413))/2)</f>
        <v>0</v>
      </c>
      <c r="AW1413">
        <f>IF(OR(AU1413="",AV1413=""),"",(AU1413+AV1413)/2)</f>
        <v>0</v>
      </c>
      <c r="AX1413">
        <f>IF(COUNT($E$2:$E1413)&lt;52,"",(MAX($C$1362:$C$1413)+MIN($D$1362:$D$1413))/2)</f>
        <v>0</v>
      </c>
      <c r="AY1413">
        <f>IF(COUNT($E$2:$E1413)&lt;20,"",MAX($C$1314:$C$1413))</f>
        <v>0</v>
      </c>
      <c r="AZ1413">
        <f>IF(COUNT($E$2:$E1413)&lt;20,"",MIN($D$1314:$D$1413))</f>
        <v>0</v>
      </c>
      <c r="BA1413">
        <f>IF(COUNT($E$2:$E1413)&lt;20,"",SLOPE($E$1314:$E$1413,$F$1314:$F$1413))</f>
        <v>0</v>
      </c>
      <c r="BB1413">
        <f>IF(COUNT($E$2:$E1413)&lt;20,"",INTERCEPT($E$1314:$E$1413,$F$1314:$F$1413))</f>
        <v>0</v>
      </c>
      <c r="BC1413">
        <f>IF(OR(BA1413="",BB1413=""),"",BB1413+BA1413*F1413)</f>
        <v>0</v>
      </c>
      <c r="BD1413">
        <f>IF(COUNT($E$2:$E1413)&lt;20,"",STEYX($E$1314:$E$1413,$F$1314:$F$1413))</f>
        <v>0</v>
      </c>
      <c r="BE1413">
        <f>IF($E1413="","",IF(AND(COUNT($E$1414:$E$1417)&gt;=4,$C1413=MAX($C$1409:$C$1417)),$C1413,""))</f>
        <v>0</v>
      </c>
      <c r="BF1413">
        <f>IF($E1413="","",IF(AND(COUNT($E$1414:$E$1417)&gt;=4,$D1413=MIN($D$1409:$D$1417)),$D1413,""))</f>
        <v>0</v>
      </c>
      <c r="BG1413">
        <f>IF($A1413="","",$A1413-WEEKDAY($A1413,2)+1)</f>
        <v>0</v>
      </c>
      <c r="BH1413">
        <f>IF($A1413="","",IF($A1412="",1,IF(BG1413&lt;&gt;BG1412,1,0)))</f>
        <v>0</v>
      </c>
      <c r="BI1413">
        <f>IF($A1413="","",IF($A1414="",1,IF(BG1414&lt;&gt;BG1413,1,0)))</f>
        <v>0</v>
      </c>
      <c r="BJ1413">
        <f>IF($A1413="","",IF(BH1413=1,$B1413,BJ1412))</f>
        <v>0</v>
      </c>
      <c r="BK1413">
        <f>IF($A1413="","",IF(BH1413=1,$C1413,MAX($C1413,BK1412)))</f>
        <v>0</v>
      </c>
      <c r="BL1413">
        <f>IF($A1413="","",IF(BH1413=1,$D1413,MIN($D1413,BL1412)))</f>
        <v>0</v>
      </c>
      <c r="BM1413">
        <f>IF($A1413="","",IF(BI1413=1,F1413,""))</f>
        <v>0</v>
      </c>
      <c r="BN1413">
        <f>IF($A1413="","",DATE(YEAR($A1413),MONTH($A1413),1))</f>
        <v>0</v>
      </c>
      <c r="BO1413">
        <f>IF($A1413="","",IF($A1412="",1,IF(BN1413&lt;&gt;BN1412,1,0)))</f>
        <v>0</v>
      </c>
      <c r="BP1413">
        <f>IF($A1413="","",IF($A1414="",1,IF(BN1414&lt;&gt;BN1413,1,0)))</f>
        <v>0</v>
      </c>
      <c r="BQ1413">
        <f>IF($A1413="","",IF(BO1413=1,$B1413,BQ1412))</f>
        <v>0</v>
      </c>
      <c r="BR1413">
        <f>IF($A1413="","",IF(BO1413=1,$C1413,MAX($C1413,BR1412)))</f>
        <v>0</v>
      </c>
      <c r="BS1413">
        <f>IF($A1413="","",IF(BO1413=1,$D1413,MIN($D1413,BS1412)))</f>
        <v>0</v>
      </c>
      <c r="BT1413">
        <f>IF($A1413="","",IF(BP1413=1,F1413,""))</f>
        <v>0</v>
      </c>
    </row>
    <row r="1414" spans="1:72">
      <c r="A1414" s="27">
        <f>IF(Data!$A1414="","",Data!$A1414)</f>
        <v>0</v>
      </c>
      <c r="B1414">
        <f>IF(Data!$B1414="","",Data!$B1414)</f>
        <v>0</v>
      </c>
      <c r="C1414">
        <f>IF(Data!$C1414="","",Data!$C1414)</f>
        <v>0</v>
      </c>
      <c r="D1414">
        <f>IF(Data!$D1414="","",Data!$D1414)</f>
        <v>0</v>
      </c>
      <c r="E1414">
        <f>IF(Data!$E1414="","",Data!$E1414)</f>
        <v>0</v>
      </c>
      <c r="F1414">
        <f>IF($E1414="","",N(F1413)+1)</f>
        <v>0</v>
      </c>
      <c r="G1414">
        <f>IF(OR($E1414="",$E1413=""),"",LN($E1414/$E1413))</f>
        <v>0</v>
      </c>
      <c r="H1414">
        <f>IF($E1414="","",IF($E1413="",$E1414,$E1414*0.0952380952+H1413*0.9047619048))</f>
        <v>0</v>
      </c>
      <c r="I1414">
        <f>IF($E1414="","",IF($E1413="",$E1414,$E1414*0.0392156863+I1413*0.9607843137))</f>
        <v>0</v>
      </c>
      <c r="J1414">
        <f>IF($E1414="","",IF($E1413="",$E1414,$E1414*0.0198019802+J1413*0.9801980198))</f>
        <v>0</v>
      </c>
      <c r="K1414">
        <f>IF($E1414="","",IF($E1413="",$E1414,$E1414*0.0099502488+K1413*0.9900497512))</f>
        <v>0</v>
      </c>
      <c r="L1414">
        <f>IF(OR($E1414="",$E1413=""),"",MAX($E1414-$E1413,0))</f>
        <v>0</v>
      </c>
      <c r="M1414">
        <f>IF(OR($E1414="",$E1413=""),"",MAX($E1413-$E1414,0))</f>
        <v>0</v>
      </c>
      <c r="N1414">
        <f>IF(COUNT($E$2:$E1414)&lt;15,"",IF(AVERAGE($M$1401:$M$1414)=0,100,100-100/(1+AVERAGE($L$1401:$L$1414)/AVERAGE($M$1401:$M$1414))))</f>
        <v>0</v>
      </c>
      <c r="O1414">
        <f>IF($E1414="","",IF($E1413="",$E1414,$E1414*0.1538461538+O1413*0.8461538462))</f>
        <v>0</v>
      </c>
      <c r="P1414">
        <f>IF($E1414="","",IF($E1413="",$E1414,$E1414*0.0740740741+P1413*0.9259259259))</f>
        <v>0</v>
      </c>
      <c r="Q1414">
        <f>IF(OR(O1414="",P1414=""),"",O1414-P1414)</f>
        <v>0</v>
      </c>
      <c r="R1414">
        <f>IF(Q1414="","",IF(R1413="",Q1414,Q1414*0.2000000000+R1413*0.8000000000))</f>
        <v>0</v>
      </c>
      <c r="S1414">
        <f>IF(OR(Q1414="",R1414=""),"",Q1414-R1414)</f>
        <v>0</v>
      </c>
      <c r="T1414">
        <f>IF(COUNT($E$2:$E1414)&lt;14,"",MAX($C$1401:$C$1414))</f>
        <v>0</v>
      </c>
      <c r="U1414">
        <f>IF(COUNT($E$2:$E1414)&lt;14,"",MIN($D$1401:$D$1414))</f>
        <v>0</v>
      </c>
      <c r="V1414">
        <f>IF(OR(T1414="",U1414="",T1414=U1414),"",100*($E1414-U1414)/(T1414-U1414))</f>
        <v>0</v>
      </c>
      <c r="W1414">
        <f>IF(COUNT($V$1412:$V$1414)&lt;3,"",AVERAGE($V$1412:$V$1414))</f>
        <v>0</v>
      </c>
      <c r="X1414">
        <f>IF(COUNT($N$1401:$N$1414)&lt;14,"",MIN($N$1401:$N$1414))</f>
        <v>0</v>
      </c>
      <c r="Y1414">
        <f>IF(COUNT($N$1401:$N$1414)&lt;14,"",MAX($N$1401:$N$1414))</f>
        <v>0</v>
      </c>
      <c r="Z1414">
        <f>IF(OR(N1414="",X1414="",Y1414="",Y1414=X1414),"",100*(N1414-X1414)/(Y1414-X1414))</f>
        <v>0</v>
      </c>
      <c r="AA1414">
        <f>IF(COUNT($Z$1412:$Z$1414)&lt;3,"",AVERAGE($Z$1412:$Z$1414))</f>
        <v>0</v>
      </c>
      <c r="AB1414">
        <f>IF(COUNT($AA$1412:$AA$1414)&lt;3,"",AVERAGE($AA$1412:$AA$1414))</f>
        <v>0</v>
      </c>
      <c r="AC1414">
        <f>IF($E1414="","",MAX($C1414-$D1414,ABS($C1414-$E1413),ABS($D1414-$E1413)))</f>
        <v>0</v>
      </c>
      <c r="AD1414">
        <f>IF(COUNT($E$2:$E1414)&lt;15,"",AVERAGE($AC$1401:$AC$1414))</f>
        <v>0</v>
      </c>
      <c r="AE1414">
        <f>IF(OR($E1414="",$E1413=""),"",IF(AND(($C1414-$C1413)&gt;($D1413-$D1414),($C1414-$C1413)&gt;0),$C1414-$C1413,0))</f>
        <v>0</v>
      </c>
      <c r="AF1414">
        <f>IF(OR($E1414="",$E1413=""),"",IF(AND(($D1413-$D1414)&gt;($C1414-$C1413),($D1413-$D1414)&gt;0),$D1413-$D1414,0))</f>
        <v>0</v>
      </c>
      <c r="AG1414">
        <f>IF(COUNT($E$2:$E1414)&lt;15,"",IF(SUM($AC$1401:$AC$1414)=0,0,100*SUM($AE$1401:$AE$1414)/SUM($AC$1401:$AC$1414)))</f>
        <v>0</v>
      </c>
      <c r="AH1414">
        <f>IF(COUNT($E$2:$E1414)&lt;15,"",IF(SUM($AC$1401:$AC$1414)=0,0,100*SUM($AF$1401:$AF$1414)/SUM($AC$1401:$AC$1414)))</f>
        <v>0</v>
      </c>
      <c r="AI1414">
        <f>IF(OR(AG1414="",AH1414=""),"",IF((AG1414+AH1414)=0,0,100*ABS(AG1414-AH1414)/(AG1414+AH1414)))</f>
        <v>0</v>
      </c>
      <c r="AJ1414">
        <f>IF(COUNT($AI$1401:$AI$1414)&lt;14,"",AVERAGE($AI$1401:$AI$1414))</f>
        <v>0</v>
      </c>
      <c r="AK1414">
        <f>IF(COUNT($E$2:$E1414)&lt;20,"",AVERAGE($E$1395:$E$1414))</f>
        <v>0</v>
      </c>
      <c r="AL1414">
        <f>IF(COUNT($E$2:$E1414)&lt;20,"",STDEVP($E$1395:$E$1414))</f>
        <v>0</v>
      </c>
      <c r="AM1414">
        <f>IF(AK1414="","",AK1414+2*AL1414)</f>
        <v>0</v>
      </c>
      <c r="AN1414">
        <f>IF(AK1414="","",AK1414-2*AL1414)</f>
        <v>0</v>
      </c>
      <c r="AO1414">
        <f>IF(OR(AM1414="",AN1414="",AM1414=AN1414),"",($E1414-AN1414)/(AM1414-AN1414))</f>
        <v>0</v>
      </c>
      <c r="AP1414">
        <f>IF(OR(AM1414="",AK1414="",AK1414=0),"",(AM1414-AN1414)/AK1414)</f>
        <v>0</v>
      </c>
      <c r="AQ1414">
        <f>IF(COUNT($E$2:$E1414)&lt;20,"",MAX($C$1395:$C$1414))</f>
        <v>0</v>
      </c>
      <c r="AR1414">
        <f>IF(COUNT($E$2:$E1414)&lt;20,"",MIN($D$1395:$D$1414))</f>
        <v>0</v>
      </c>
      <c r="AS1414">
        <f>IF(OR(AQ1414="",AR1414=""),"",(AQ1414+AR1414)/2)</f>
        <v>0</v>
      </c>
      <c r="AT1414">
        <f>IF(COUNT($G$1395:$G$1414)&lt;20,"",STDEV($G$1395:$G$1414)*SQRT(252))</f>
        <v>0</v>
      </c>
      <c r="AU1414">
        <f>IF(COUNT($E$2:$E1414)&lt;9,"",(MAX($C$1406:$C$1414)+MIN($D$1406:$D$1414))/2)</f>
        <v>0</v>
      </c>
      <c r="AV1414">
        <f>IF(COUNT($E$2:$E1414)&lt;26,"",(MAX($C$1389:$C$1414)+MIN($D$1389:$D$1414))/2)</f>
        <v>0</v>
      </c>
      <c r="AW1414">
        <f>IF(OR(AU1414="",AV1414=""),"",(AU1414+AV1414)/2)</f>
        <v>0</v>
      </c>
      <c r="AX1414">
        <f>IF(COUNT($E$2:$E1414)&lt;52,"",(MAX($C$1363:$C$1414)+MIN($D$1363:$D$1414))/2)</f>
        <v>0</v>
      </c>
      <c r="AY1414">
        <f>IF(COUNT($E$2:$E1414)&lt;20,"",MAX($C$1315:$C$1414))</f>
        <v>0</v>
      </c>
      <c r="AZ1414">
        <f>IF(COUNT($E$2:$E1414)&lt;20,"",MIN($D$1315:$D$1414))</f>
        <v>0</v>
      </c>
      <c r="BA1414">
        <f>IF(COUNT($E$2:$E1414)&lt;20,"",SLOPE($E$1315:$E$1414,$F$1315:$F$1414))</f>
        <v>0</v>
      </c>
      <c r="BB1414">
        <f>IF(COUNT($E$2:$E1414)&lt;20,"",INTERCEPT($E$1315:$E$1414,$F$1315:$F$1414))</f>
        <v>0</v>
      </c>
      <c r="BC1414">
        <f>IF(OR(BA1414="",BB1414=""),"",BB1414+BA1414*F1414)</f>
        <v>0</v>
      </c>
      <c r="BD1414">
        <f>IF(COUNT($E$2:$E1414)&lt;20,"",STEYX($E$1315:$E$1414,$F$1315:$F$1414))</f>
        <v>0</v>
      </c>
      <c r="BE1414">
        <f>IF($E1414="","",IF(AND(COUNT($E$1415:$E$1418)&gt;=4,$C1414=MAX($C$1410:$C$1418)),$C1414,""))</f>
        <v>0</v>
      </c>
      <c r="BF1414">
        <f>IF($E1414="","",IF(AND(COUNT($E$1415:$E$1418)&gt;=4,$D1414=MIN($D$1410:$D$1418)),$D1414,""))</f>
        <v>0</v>
      </c>
      <c r="BG1414">
        <f>IF($A1414="","",$A1414-WEEKDAY($A1414,2)+1)</f>
        <v>0</v>
      </c>
      <c r="BH1414">
        <f>IF($A1414="","",IF($A1413="",1,IF(BG1414&lt;&gt;BG1413,1,0)))</f>
        <v>0</v>
      </c>
      <c r="BI1414">
        <f>IF($A1414="","",IF($A1415="",1,IF(BG1415&lt;&gt;BG1414,1,0)))</f>
        <v>0</v>
      </c>
      <c r="BJ1414">
        <f>IF($A1414="","",IF(BH1414=1,$B1414,BJ1413))</f>
        <v>0</v>
      </c>
      <c r="BK1414">
        <f>IF($A1414="","",IF(BH1414=1,$C1414,MAX($C1414,BK1413)))</f>
        <v>0</v>
      </c>
      <c r="BL1414">
        <f>IF($A1414="","",IF(BH1414=1,$D1414,MIN($D1414,BL1413)))</f>
        <v>0</v>
      </c>
      <c r="BM1414">
        <f>IF($A1414="","",IF(BI1414=1,F1414,""))</f>
        <v>0</v>
      </c>
      <c r="BN1414">
        <f>IF($A1414="","",DATE(YEAR($A1414),MONTH($A1414),1))</f>
        <v>0</v>
      </c>
      <c r="BO1414">
        <f>IF($A1414="","",IF($A1413="",1,IF(BN1414&lt;&gt;BN1413,1,0)))</f>
        <v>0</v>
      </c>
      <c r="BP1414">
        <f>IF($A1414="","",IF($A1415="",1,IF(BN1415&lt;&gt;BN1414,1,0)))</f>
        <v>0</v>
      </c>
      <c r="BQ1414">
        <f>IF($A1414="","",IF(BO1414=1,$B1414,BQ1413))</f>
        <v>0</v>
      </c>
      <c r="BR1414">
        <f>IF($A1414="","",IF(BO1414=1,$C1414,MAX($C1414,BR1413)))</f>
        <v>0</v>
      </c>
      <c r="BS1414">
        <f>IF($A1414="","",IF(BO1414=1,$D1414,MIN($D1414,BS1413)))</f>
        <v>0</v>
      </c>
      <c r="BT1414">
        <f>IF($A1414="","",IF(BP1414=1,F1414,""))</f>
        <v>0</v>
      </c>
    </row>
    <row r="1415" spans="1:72">
      <c r="A1415" s="27">
        <f>IF(Data!$A1415="","",Data!$A1415)</f>
        <v>0</v>
      </c>
      <c r="B1415">
        <f>IF(Data!$B1415="","",Data!$B1415)</f>
        <v>0</v>
      </c>
      <c r="C1415">
        <f>IF(Data!$C1415="","",Data!$C1415)</f>
        <v>0</v>
      </c>
      <c r="D1415">
        <f>IF(Data!$D1415="","",Data!$D1415)</f>
        <v>0</v>
      </c>
      <c r="E1415">
        <f>IF(Data!$E1415="","",Data!$E1415)</f>
        <v>0</v>
      </c>
      <c r="F1415">
        <f>IF($E1415="","",N(F1414)+1)</f>
        <v>0</v>
      </c>
      <c r="G1415">
        <f>IF(OR($E1415="",$E1414=""),"",LN($E1415/$E1414))</f>
        <v>0</v>
      </c>
      <c r="H1415">
        <f>IF($E1415="","",IF($E1414="",$E1415,$E1415*0.0952380952+H1414*0.9047619048))</f>
        <v>0</v>
      </c>
      <c r="I1415">
        <f>IF($E1415="","",IF($E1414="",$E1415,$E1415*0.0392156863+I1414*0.9607843137))</f>
        <v>0</v>
      </c>
      <c r="J1415">
        <f>IF($E1415="","",IF($E1414="",$E1415,$E1415*0.0198019802+J1414*0.9801980198))</f>
        <v>0</v>
      </c>
      <c r="K1415">
        <f>IF($E1415="","",IF($E1414="",$E1415,$E1415*0.0099502488+K1414*0.9900497512))</f>
        <v>0</v>
      </c>
      <c r="L1415">
        <f>IF(OR($E1415="",$E1414=""),"",MAX($E1415-$E1414,0))</f>
        <v>0</v>
      </c>
      <c r="M1415">
        <f>IF(OR($E1415="",$E1414=""),"",MAX($E1414-$E1415,0))</f>
        <v>0</v>
      </c>
      <c r="N1415">
        <f>IF(COUNT($E$2:$E1415)&lt;15,"",IF(AVERAGE($M$1402:$M$1415)=0,100,100-100/(1+AVERAGE($L$1402:$L$1415)/AVERAGE($M$1402:$M$1415))))</f>
        <v>0</v>
      </c>
      <c r="O1415">
        <f>IF($E1415="","",IF($E1414="",$E1415,$E1415*0.1538461538+O1414*0.8461538462))</f>
        <v>0</v>
      </c>
      <c r="P1415">
        <f>IF($E1415="","",IF($E1414="",$E1415,$E1415*0.0740740741+P1414*0.9259259259))</f>
        <v>0</v>
      </c>
      <c r="Q1415">
        <f>IF(OR(O1415="",P1415=""),"",O1415-P1415)</f>
        <v>0</v>
      </c>
      <c r="R1415">
        <f>IF(Q1415="","",IF(R1414="",Q1415,Q1415*0.2000000000+R1414*0.8000000000))</f>
        <v>0</v>
      </c>
      <c r="S1415">
        <f>IF(OR(Q1415="",R1415=""),"",Q1415-R1415)</f>
        <v>0</v>
      </c>
      <c r="T1415">
        <f>IF(COUNT($E$2:$E1415)&lt;14,"",MAX($C$1402:$C$1415))</f>
        <v>0</v>
      </c>
      <c r="U1415">
        <f>IF(COUNT($E$2:$E1415)&lt;14,"",MIN($D$1402:$D$1415))</f>
        <v>0</v>
      </c>
      <c r="V1415">
        <f>IF(OR(T1415="",U1415="",T1415=U1415),"",100*($E1415-U1415)/(T1415-U1415))</f>
        <v>0</v>
      </c>
      <c r="W1415">
        <f>IF(COUNT($V$1413:$V$1415)&lt;3,"",AVERAGE($V$1413:$V$1415))</f>
        <v>0</v>
      </c>
      <c r="X1415">
        <f>IF(COUNT($N$1402:$N$1415)&lt;14,"",MIN($N$1402:$N$1415))</f>
        <v>0</v>
      </c>
      <c r="Y1415">
        <f>IF(COUNT($N$1402:$N$1415)&lt;14,"",MAX($N$1402:$N$1415))</f>
        <v>0</v>
      </c>
      <c r="Z1415">
        <f>IF(OR(N1415="",X1415="",Y1415="",Y1415=X1415),"",100*(N1415-X1415)/(Y1415-X1415))</f>
        <v>0</v>
      </c>
      <c r="AA1415">
        <f>IF(COUNT($Z$1413:$Z$1415)&lt;3,"",AVERAGE($Z$1413:$Z$1415))</f>
        <v>0</v>
      </c>
      <c r="AB1415">
        <f>IF(COUNT($AA$1413:$AA$1415)&lt;3,"",AVERAGE($AA$1413:$AA$1415))</f>
        <v>0</v>
      </c>
      <c r="AC1415">
        <f>IF($E1415="","",MAX($C1415-$D1415,ABS($C1415-$E1414),ABS($D1415-$E1414)))</f>
        <v>0</v>
      </c>
      <c r="AD1415">
        <f>IF(COUNT($E$2:$E1415)&lt;15,"",AVERAGE($AC$1402:$AC$1415))</f>
        <v>0</v>
      </c>
      <c r="AE1415">
        <f>IF(OR($E1415="",$E1414=""),"",IF(AND(($C1415-$C1414)&gt;($D1414-$D1415),($C1415-$C1414)&gt;0),$C1415-$C1414,0))</f>
        <v>0</v>
      </c>
      <c r="AF1415">
        <f>IF(OR($E1415="",$E1414=""),"",IF(AND(($D1414-$D1415)&gt;($C1415-$C1414),($D1414-$D1415)&gt;0),$D1414-$D1415,0))</f>
        <v>0</v>
      </c>
      <c r="AG1415">
        <f>IF(COUNT($E$2:$E1415)&lt;15,"",IF(SUM($AC$1402:$AC$1415)=0,0,100*SUM($AE$1402:$AE$1415)/SUM($AC$1402:$AC$1415)))</f>
        <v>0</v>
      </c>
      <c r="AH1415">
        <f>IF(COUNT($E$2:$E1415)&lt;15,"",IF(SUM($AC$1402:$AC$1415)=0,0,100*SUM($AF$1402:$AF$1415)/SUM($AC$1402:$AC$1415)))</f>
        <v>0</v>
      </c>
      <c r="AI1415">
        <f>IF(OR(AG1415="",AH1415=""),"",IF((AG1415+AH1415)=0,0,100*ABS(AG1415-AH1415)/(AG1415+AH1415)))</f>
        <v>0</v>
      </c>
      <c r="AJ1415">
        <f>IF(COUNT($AI$1402:$AI$1415)&lt;14,"",AVERAGE($AI$1402:$AI$1415))</f>
        <v>0</v>
      </c>
      <c r="AK1415">
        <f>IF(COUNT($E$2:$E1415)&lt;20,"",AVERAGE($E$1396:$E$1415))</f>
        <v>0</v>
      </c>
      <c r="AL1415">
        <f>IF(COUNT($E$2:$E1415)&lt;20,"",STDEVP($E$1396:$E$1415))</f>
        <v>0</v>
      </c>
      <c r="AM1415">
        <f>IF(AK1415="","",AK1415+2*AL1415)</f>
        <v>0</v>
      </c>
      <c r="AN1415">
        <f>IF(AK1415="","",AK1415-2*AL1415)</f>
        <v>0</v>
      </c>
      <c r="AO1415">
        <f>IF(OR(AM1415="",AN1415="",AM1415=AN1415),"",($E1415-AN1415)/(AM1415-AN1415))</f>
        <v>0</v>
      </c>
      <c r="AP1415">
        <f>IF(OR(AM1415="",AK1415="",AK1415=0),"",(AM1415-AN1415)/AK1415)</f>
        <v>0</v>
      </c>
      <c r="AQ1415">
        <f>IF(COUNT($E$2:$E1415)&lt;20,"",MAX($C$1396:$C$1415))</f>
        <v>0</v>
      </c>
      <c r="AR1415">
        <f>IF(COUNT($E$2:$E1415)&lt;20,"",MIN($D$1396:$D$1415))</f>
        <v>0</v>
      </c>
      <c r="AS1415">
        <f>IF(OR(AQ1415="",AR1415=""),"",(AQ1415+AR1415)/2)</f>
        <v>0</v>
      </c>
      <c r="AT1415">
        <f>IF(COUNT($G$1396:$G$1415)&lt;20,"",STDEV($G$1396:$G$1415)*SQRT(252))</f>
        <v>0</v>
      </c>
      <c r="AU1415">
        <f>IF(COUNT($E$2:$E1415)&lt;9,"",(MAX($C$1407:$C$1415)+MIN($D$1407:$D$1415))/2)</f>
        <v>0</v>
      </c>
      <c r="AV1415">
        <f>IF(COUNT($E$2:$E1415)&lt;26,"",(MAX($C$1390:$C$1415)+MIN($D$1390:$D$1415))/2)</f>
        <v>0</v>
      </c>
      <c r="AW1415">
        <f>IF(OR(AU1415="",AV1415=""),"",(AU1415+AV1415)/2)</f>
        <v>0</v>
      </c>
      <c r="AX1415">
        <f>IF(COUNT($E$2:$E1415)&lt;52,"",(MAX($C$1364:$C$1415)+MIN($D$1364:$D$1415))/2)</f>
        <v>0</v>
      </c>
      <c r="AY1415">
        <f>IF(COUNT($E$2:$E1415)&lt;20,"",MAX($C$1316:$C$1415))</f>
        <v>0</v>
      </c>
      <c r="AZ1415">
        <f>IF(COUNT($E$2:$E1415)&lt;20,"",MIN($D$1316:$D$1415))</f>
        <v>0</v>
      </c>
      <c r="BA1415">
        <f>IF(COUNT($E$2:$E1415)&lt;20,"",SLOPE($E$1316:$E$1415,$F$1316:$F$1415))</f>
        <v>0</v>
      </c>
      <c r="BB1415">
        <f>IF(COUNT($E$2:$E1415)&lt;20,"",INTERCEPT($E$1316:$E$1415,$F$1316:$F$1415))</f>
        <v>0</v>
      </c>
      <c r="BC1415">
        <f>IF(OR(BA1415="",BB1415=""),"",BB1415+BA1415*F1415)</f>
        <v>0</v>
      </c>
      <c r="BD1415">
        <f>IF(COUNT($E$2:$E1415)&lt;20,"",STEYX($E$1316:$E$1415,$F$1316:$F$1415))</f>
        <v>0</v>
      </c>
      <c r="BE1415">
        <f>IF($E1415="","",IF(AND(COUNT($E$1416:$E$1419)&gt;=4,$C1415=MAX($C$1411:$C$1419)),$C1415,""))</f>
        <v>0</v>
      </c>
      <c r="BF1415">
        <f>IF($E1415="","",IF(AND(COUNT($E$1416:$E$1419)&gt;=4,$D1415=MIN($D$1411:$D$1419)),$D1415,""))</f>
        <v>0</v>
      </c>
      <c r="BG1415">
        <f>IF($A1415="","",$A1415-WEEKDAY($A1415,2)+1)</f>
        <v>0</v>
      </c>
      <c r="BH1415">
        <f>IF($A1415="","",IF($A1414="",1,IF(BG1415&lt;&gt;BG1414,1,0)))</f>
        <v>0</v>
      </c>
      <c r="BI1415">
        <f>IF($A1415="","",IF($A1416="",1,IF(BG1416&lt;&gt;BG1415,1,0)))</f>
        <v>0</v>
      </c>
      <c r="BJ1415">
        <f>IF($A1415="","",IF(BH1415=1,$B1415,BJ1414))</f>
        <v>0</v>
      </c>
      <c r="BK1415">
        <f>IF($A1415="","",IF(BH1415=1,$C1415,MAX($C1415,BK1414)))</f>
        <v>0</v>
      </c>
      <c r="BL1415">
        <f>IF($A1415="","",IF(BH1415=1,$D1415,MIN($D1415,BL1414)))</f>
        <v>0</v>
      </c>
      <c r="BM1415">
        <f>IF($A1415="","",IF(BI1415=1,F1415,""))</f>
        <v>0</v>
      </c>
      <c r="BN1415">
        <f>IF($A1415="","",DATE(YEAR($A1415),MONTH($A1415),1))</f>
        <v>0</v>
      </c>
      <c r="BO1415">
        <f>IF($A1415="","",IF($A1414="",1,IF(BN1415&lt;&gt;BN1414,1,0)))</f>
        <v>0</v>
      </c>
      <c r="BP1415">
        <f>IF($A1415="","",IF($A1416="",1,IF(BN1416&lt;&gt;BN1415,1,0)))</f>
        <v>0</v>
      </c>
      <c r="BQ1415">
        <f>IF($A1415="","",IF(BO1415=1,$B1415,BQ1414))</f>
        <v>0</v>
      </c>
      <c r="BR1415">
        <f>IF($A1415="","",IF(BO1415=1,$C1415,MAX($C1415,BR1414)))</f>
        <v>0</v>
      </c>
      <c r="BS1415">
        <f>IF($A1415="","",IF(BO1415=1,$D1415,MIN($D1415,BS1414)))</f>
        <v>0</v>
      </c>
      <c r="BT1415">
        <f>IF($A1415="","",IF(BP1415=1,F1415,""))</f>
        <v>0</v>
      </c>
    </row>
    <row r="1416" spans="1:72">
      <c r="A1416" s="27">
        <f>IF(Data!$A1416="","",Data!$A1416)</f>
        <v>0</v>
      </c>
      <c r="B1416">
        <f>IF(Data!$B1416="","",Data!$B1416)</f>
        <v>0</v>
      </c>
      <c r="C1416">
        <f>IF(Data!$C1416="","",Data!$C1416)</f>
        <v>0</v>
      </c>
      <c r="D1416">
        <f>IF(Data!$D1416="","",Data!$D1416)</f>
        <v>0</v>
      </c>
      <c r="E1416">
        <f>IF(Data!$E1416="","",Data!$E1416)</f>
        <v>0</v>
      </c>
      <c r="F1416">
        <f>IF($E1416="","",N(F1415)+1)</f>
        <v>0</v>
      </c>
      <c r="G1416">
        <f>IF(OR($E1416="",$E1415=""),"",LN($E1416/$E1415))</f>
        <v>0</v>
      </c>
      <c r="H1416">
        <f>IF($E1416="","",IF($E1415="",$E1416,$E1416*0.0952380952+H1415*0.9047619048))</f>
        <v>0</v>
      </c>
      <c r="I1416">
        <f>IF($E1416="","",IF($E1415="",$E1416,$E1416*0.0392156863+I1415*0.9607843137))</f>
        <v>0</v>
      </c>
      <c r="J1416">
        <f>IF($E1416="","",IF($E1415="",$E1416,$E1416*0.0198019802+J1415*0.9801980198))</f>
        <v>0</v>
      </c>
      <c r="K1416">
        <f>IF($E1416="","",IF($E1415="",$E1416,$E1416*0.0099502488+K1415*0.9900497512))</f>
        <v>0</v>
      </c>
      <c r="L1416">
        <f>IF(OR($E1416="",$E1415=""),"",MAX($E1416-$E1415,0))</f>
        <v>0</v>
      </c>
      <c r="M1416">
        <f>IF(OR($E1416="",$E1415=""),"",MAX($E1415-$E1416,0))</f>
        <v>0</v>
      </c>
      <c r="N1416">
        <f>IF(COUNT($E$2:$E1416)&lt;15,"",IF(AVERAGE($M$1403:$M$1416)=0,100,100-100/(1+AVERAGE($L$1403:$L$1416)/AVERAGE($M$1403:$M$1416))))</f>
        <v>0</v>
      </c>
      <c r="O1416">
        <f>IF($E1416="","",IF($E1415="",$E1416,$E1416*0.1538461538+O1415*0.8461538462))</f>
        <v>0</v>
      </c>
      <c r="P1416">
        <f>IF($E1416="","",IF($E1415="",$E1416,$E1416*0.0740740741+P1415*0.9259259259))</f>
        <v>0</v>
      </c>
      <c r="Q1416">
        <f>IF(OR(O1416="",P1416=""),"",O1416-P1416)</f>
        <v>0</v>
      </c>
      <c r="R1416">
        <f>IF(Q1416="","",IF(R1415="",Q1416,Q1416*0.2000000000+R1415*0.8000000000))</f>
        <v>0</v>
      </c>
      <c r="S1416">
        <f>IF(OR(Q1416="",R1416=""),"",Q1416-R1416)</f>
        <v>0</v>
      </c>
      <c r="T1416">
        <f>IF(COUNT($E$2:$E1416)&lt;14,"",MAX($C$1403:$C$1416))</f>
        <v>0</v>
      </c>
      <c r="U1416">
        <f>IF(COUNT($E$2:$E1416)&lt;14,"",MIN($D$1403:$D$1416))</f>
        <v>0</v>
      </c>
      <c r="V1416">
        <f>IF(OR(T1416="",U1416="",T1416=U1416),"",100*($E1416-U1416)/(T1416-U1416))</f>
        <v>0</v>
      </c>
      <c r="W1416">
        <f>IF(COUNT($V$1414:$V$1416)&lt;3,"",AVERAGE($V$1414:$V$1416))</f>
        <v>0</v>
      </c>
      <c r="X1416">
        <f>IF(COUNT($N$1403:$N$1416)&lt;14,"",MIN($N$1403:$N$1416))</f>
        <v>0</v>
      </c>
      <c r="Y1416">
        <f>IF(COUNT($N$1403:$N$1416)&lt;14,"",MAX($N$1403:$N$1416))</f>
        <v>0</v>
      </c>
      <c r="Z1416">
        <f>IF(OR(N1416="",X1416="",Y1416="",Y1416=X1416),"",100*(N1416-X1416)/(Y1416-X1416))</f>
        <v>0</v>
      </c>
      <c r="AA1416">
        <f>IF(COUNT($Z$1414:$Z$1416)&lt;3,"",AVERAGE($Z$1414:$Z$1416))</f>
        <v>0</v>
      </c>
      <c r="AB1416">
        <f>IF(COUNT($AA$1414:$AA$1416)&lt;3,"",AVERAGE($AA$1414:$AA$1416))</f>
        <v>0</v>
      </c>
      <c r="AC1416">
        <f>IF($E1416="","",MAX($C1416-$D1416,ABS($C1416-$E1415),ABS($D1416-$E1415)))</f>
        <v>0</v>
      </c>
      <c r="AD1416">
        <f>IF(COUNT($E$2:$E1416)&lt;15,"",AVERAGE($AC$1403:$AC$1416))</f>
        <v>0</v>
      </c>
      <c r="AE1416">
        <f>IF(OR($E1416="",$E1415=""),"",IF(AND(($C1416-$C1415)&gt;($D1415-$D1416),($C1416-$C1415)&gt;0),$C1416-$C1415,0))</f>
        <v>0</v>
      </c>
      <c r="AF1416">
        <f>IF(OR($E1416="",$E1415=""),"",IF(AND(($D1415-$D1416)&gt;($C1416-$C1415),($D1415-$D1416)&gt;0),$D1415-$D1416,0))</f>
        <v>0</v>
      </c>
      <c r="AG1416">
        <f>IF(COUNT($E$2:$E1416)&lt;15,"",IF(SUM($AC$1403:$AC$1416)=0,0,100*SUM($AE$1403:$AE$1416)/SUM($AC$1403:$AC$1416)))</f>
        <v>0</v>
      </c>
      <c r="AH1416">
        <f>IF(COUNT($E$2:$E1416)&lt;15,"",IF(SUM($AC$1403:$AC$1416)=0,0,100*SUM($AF$1403:$AF$1416)/SUM($AC$1403:$AC$1416)))</f>
        <v>0</v>
      </c>
      <c r="AI1416">
        <f>IF(OR(AG1416="",AH1416=""),"",IF((AG1416+AH1416)=0,0,100*ABS(AG1416-AH1416)/(AG1416+AH1416)))</f>
        <v>0</v>
      </c>
      <c r="AJ1416">
        <f>IF(COUNT($AI$1403:$AI$1416)&lt;14,"",AVERAGE($AI$1403:$AI$1416))</f>
        <v>0</v>
      </c>
      <c r="AK1416">
        <f>IF(COUNT($E$2:$E1416)&lt;20,"",AVERAGE($E$1397:$E$1416))</f>
        <v>0</v>
      </c>
      <c r="AL1416">
        <f>IF(COUNT($E$2:$E1416)&lt;20,"",STDEVP($E$1397:$E$1416))</f>
        <v>0</v>
      </c>
      <c r="AM1416">
        <f>IF(AK1416="","",AK1416+2*AL1416)</f>
        <v>0</v>
      </c>
      <c r="AN1416">
        <f>IF(AK1416="","",AK1416-2*AL1416)</f>
        <v>0</v>
      </c>
      <c r="AO1416">
        <f>IF(OR(AM1416="",AN1416="",AM1416=AN1416),"",($E1416-AN1416)/(AM1416-AN1416))</f>
        <v>0</v>
      </c>
      <c r="AP1416">
        <f>IF(OR(AM1416="",AK1416="",AK1416=0),"",(AM1416-AN1416)/AK1416)</f>
        <v>0</v>
      </c>
      <c r="AQ1416">
        <f>IF(COUNT($E$2:$E1416)&lt;20,"",MAX($C$1397:$C$1416))</f>
        <v>0</v>
      </c>
      <c r="AR1416">
        <f>IF(COUNT($E$2:$E1416)&lt;20,"",MIN($D$1397:$D$1416))</f>
        <v>0</v>
      </c>
      <c r="AS1416">
        <f>IF(OR(AQ1416="",AR1416=""),"",(AQ1416+AR1416)/2)</f>
        <v>0</v>
      </c>
      <c r="AT1416">
        <f>IF(COUNT($G$1397:$G$1416)&lt;20,"",STDEV($G$1397:$G$1416)*SQRT(252))</f>
        <v>0</v>
      </c>
      <c r="AU1416">
        <f>IF(COUNT($E$2:$E1416)&lt;9,"",(MAX($C$1408:$C$1416)+MIN($D$1408:$D$1416))/2)</f>
        <v>0</v>
      </c>
      <c r="AV1416">
        <f>IF(COUNT($E$2:$E1416)&lt;26,"",(MAX($C$1391:$C$1416)+MIN($D$1391:$D$1416))/2)</f>
        <v>0</v>
      </c>
      <c r="AW1416">
        <f>IF(OR(AU1416="",AV1416=""),"",(AU1416+AV1416)/2)</f>
        <v>0</v>
      </c>
      <c r="AX1416">
        <f>IF(COUNT($E$2:$E1416)&lt;52,"",(MAX($C$1365:$C$1416)+MIN($D$1365:$D$1416))/2)</f>
        <v>0</v>
      </c>
      <c r="AY1416">
        <f>IF(COUNT($E$2:$E1416)&lt;20,"",MAX($C$1317:$C$1416))</f>
        <v>0</v>
      </c>
      <c r="AZ1416">
        <f>IF(COUNT($E$2:$E1416)&lt;20,"",MIN($D$1317:$D$1416))</f>
        <v>0</v>
      </c>
      <c r="BA1416">
        <f>IF(COUNT($E$2:$E1416)&lt;20,"",SLOPE($E$1317:$E$1416,$F$1317:$F$1416))</f>
        <v>0</v>
      </c>
      <c r="BB1416">
        <f>IF(COUNT($E$2:$E1416)&lt;20,"",INTERCEPT($E$1317:$E$1416,$F$1317:$F$1416))</f>
        <v>0</v>
      </c>
      <c r="BC1416">
        <f>IF(OR(BA1416="",BB1416=""),"",BB1416+BA1416*F1416)</f>
        <v>0</v>
      </c>
      <c r="BD1416">
        <f>IF(COUNT($E$2:$E1416)&lt;20,"",STEYX($E$1317:$E$1416,$F$1317:$F$1416))</f>
        <v>0</v>
      </c>
      <c r="BE1416">
        <f>IF($E1416="","",IF(AND(COUNT($E$1417:$E$1420)&gt;=4,$C1416=MAX($C$1412:$C$1420)),$C1416,""))</f>
        <v>0</v>
      </c>
      <c r="BF1416">
        <f>IF($E1416="","",IF(AND(COUNT($E$1417:$E$1420)&gt;=4,$D1416=MIN($D$1412:$D$1420)),$D1416,""))</f>
        <v>0</v>
      </c>
      <c r="BG1416">
        <f>IF($A1416="","",$A1416-WEEKDAY($A1416,2)+1)</f>
        <v>0</v>
      </c>
      <c r="BH1416">
        <f>IF($A1416="","",IF($A1415="",1,IF(BG1416&lt;&gt;BG1415,1,0)))</f>
        <v>0</v>
      </c>
      <c r="BI1416">
        <f>IF($A1416="","",IF($A1417="",1,IF(BG1417&lt;&gt;BG1416,1,0)))</f>
        <v>0</v>
      </c>
      <c r="BJ1416">
        <f>IF($A1416="","",IF(BH1416=1,$B1416,BJ1415))</f>
        <v>0</v>
      </c>
      <c r="BK1416">
        <f>IF($A1416="","",IF(BH1416=1,$C1416,MAX($C1416,BK1415)))</f>
        <v>0</v>
      </c>
      <c r="BL1416">
        <f>IF($A1416="","",IF(BH1416=1,$D1416,MIN($D1416,BL1415)))</f>
        <v>0</v>
      </c>
      <c r="BM1416">
        <f>IF($A1416="","",IF(BI1416=1,F1416,""))</f>
        <v>0</v>
      </c>
      <c r="BN1416">
        <f>IF($A1416="","",DATE(YEAR($A1416),MONTH($A1416),1))</f>
        <v>0</v>
      </c>
      <c r="BO1416">
        <f>IF($A1416="","",IF($A1415="",1,IF(BN1416&lt;&gt;BN1415,1,0)))</f>
        <v>0</v>
      </c>
      <c r="BP1416">
        <f>IF($A1416="","",IF($A1417="",1,IF(BN1417&lt;&gt;BN1416,1,0)))</f>
        <v>0</v>
      </c>
      <c r="BQ1416">
        <f>IF($A1416="","",IF(BO1416=1,$B1416,BQ1415))</f>
        <v>0</v>
      </c>
      <c r="BR1416">
        <f>IF($A1416="","",IF(BO1416=1,$C1416,MAX($C1416,BR1415)))</f>
        <v>0</v>
      </c>
      <c r="BS1416">
        <f>IF($A1416="","",IF(BO1416=1,$D1416,MIN($D1416,BS1415)))</f>
        <v>0</v>
      </c>
      <c r="BT1416">
        <f>IF($A1416="","",IF(BP1416=1,F1416,""))</f>
        <v>0</v>
      </c>
    </row>
    <row r="1417" spans="1:72">
      <c r="A1417" s="27">
        <f>IF(Data!$A1417="","",Data!$A1417)</f>
        <v>0</v>
      </c>
      <c r="B1417">
        <f>IF(Data!$B1417="","",Data!$B1417)</f>
        <v>0</v>
      </c>
      <c r="C1417">
        <f>IF(Data!$C1417="","",Data!$C1417)</f>
        <v>0</v>
      </c>
      <c r="D1417">
        <f>IF(Data!$D1417="","",Data!$D1417)</f>
        <v>0</v>
      </c>
      <c r="E1417">
        <f>IF(Data!$E1417="","",Data!$E1417)</f>
        <v>0</v>
      </c>
      <c r="F1417">
        <f>IF($E1417="","",N(F1416)+1)</f>
        <v>0</v>
      </c>
      <c r="G1417">
        <f>IF(OR($E1417="",$E1416=""),"",LN($E1417/$E1416))</f>
        <v>0</v>
      </c>
      <c r="H1417">
        <f>IF($E1417="","",IF($E1416="",$E1417,$E1417*0.0952380952+H1416*0.9047619048))</f>
        <v>0</v>
      </c>
      <c r="I1417">
        <f>IF($E1417="","",IF($E1416="",$E1417,$E1417*0.0392156863+I1416*0.9607843137))</f>
        <v>0</v>
      </c>
      <c r="J1417">
        <f>IF($E1417="","",IF($E1416="",$E1417,$E1417*0.0198019802+J1416*0.9801980198))</f>
        <v>0</v>
      </c>
      <c r="K1417">
        <f>IF($E1417="","",IF($E1416="",$E1417,$E1417*0.0099502488+K1416*0.9900497512))</f>
        <v>0</v>
      </c>
      <c r="L1417">
        <f>IF(OR($E1417="",$E1416=""),"",MAX($E1417-$E1416,0))</f>
        <v>0</v>
      </c>
      <c r="M1417">
        <f>IF(OR($E1417="",$E1416=""),"",MAX($E1416-$E1417,0))</f>
        <v>0</v>
      </c>
      <c r="N1417">
        <f>IF(COUNT($E$2:$E1417)&lt;15,"",IF(AVERAGE($M$1404:$M$1417)=0,100,100-100/(1+AVERAGE($L$1404:$L$1417)/AVERAGE($M$1404:$M$1417))))</f>
        <v>0</v>
      </c>
      <c r="O1417">
        <f>IF($E1417="","",IF($E1416="",$E1417,$E1417*0.1538461538+O1416*0.8461538462))</f>
        <v>0</v>
      </c>
      <c r="P1417">
        <f>IF($E1417="","",IF($E1416="",$E1417,$E1417*0.0740740741+P1416*0.9259259259))</f>
        <v>0</v>
      </c>
      <c r="Q1417">
        <f>IF(OR(O1417="",P1417=""),"",O1417-P1417)</f>
        <v>0</v>
      </c>
      <c r="R1417">
        <f>IF(Q1417="","",IF(R1416="",Q1417,Q1417*0.2000000000+R1416*0.8000000000))</f>
        <v>0</v>
      </c>
      <c r="S1417">
        <f>IF(OR(Q1417="",R1417=""),"",Q1417-R1417)</f>
        <v>0</v>
      </c>
      <c r="T1417">
        <f>IF(COUNT($E$2:$E1417)&lt;14,"",MAX($C$1404:$C$1417))</f>
        <v>0</v>
      </c>
      <c r="U1417">
        <f>IF(COUNT($E$2:$E1417)&lt;14,"",MIN($D$1404:$D$1417))</f>
        <v>0</v>
      </c>
      <c r="V1417">
        <f>IF(OR(T1417="",U1417="",T1417=U1417),"",100*($E1417-U1417)/(T1417-U1417))</f>
        <v>0</v>
      </c>
      <c r="W1417">
        <f>IF(COUNT($V$1415:$V$1417)&lt;3,"",AVERAGE($V$1415:$V$1417))</f>
        <v>0</v>
      </c>
      <c r="X1417">
        <f>IF(COUNT($N$1404:$N$1417)&lt;14,"",MIN($N$1404:$N$1417))</f>
        <v>0</v>
      </c>
      <c r="Y1417">
        <f>IF(COUNT($N$1404:$N$1417)&lt;14,"",MAX($N$1404:$N$1417))</f>
        <v>0</v>
      </c>
      <c r="Z1417">
        <f>IF(OR(N1417="",X1417="",Y1417="",Y1417=X1417),"",100*(N1417-X1417)/(Y1417-X1417))</f>
        <v>0</v>
      </c>
      <c r="AA1417">
        <f>IF(COUNT($Z$1415:$Z$1417)&lt;3,"",AVERAGE($Z$1415:$Z$1417))</f>
        <v>0</v>
      </c>
      <c r="AB1417">
        <f>IF(COUNT($AA$1415:$AA$1417)&lt;3,"",AVERAGE($AA$1415:$AA$1417))</f>
        <v>0</v>
      </c>
      <c r="AC1417">
        <f>IF($E1417="","",MAX($C1417-$D1417,ABS($C1417-$E1416),ABS($D1417-$E1416)))</f>
        <v>0</v>
      </c>
      <c r="AD1417">
        <f>IF(COUNT($E$2:$E1417)&lt;15,"",AVERAGE($AC$1404:$AC$1417))</f>
        <v>0</v>
      </c>
      <c r="AE1417">
        <f>IF(OR($E1417="",$E1416=""),"",IF(AND(($C1417-$C1416)&gt;($D1416-$D1417),($C1417-$C1416)&gt;0),$C1417-$C1416,0))</f>
        <v>0</v>
      </c>
      <c r="AF1417">
        <f>IF(OR($E1417="",$E1416=""),"",IF(AND(($D1416-$D1417)&gt;($C1417-$C1416),($D1416-$D1417)&gt;0),$D1416-$D1417,0))</f>
        <v>0</v>
      </c>
      <c r="AG1417">
        <f>IF(COUNT($E$2:$E1417)&lt;15,"",IF(SUM($AC$1404:$AC$1417)=0,0,100*SUM($AE$1404:$AE$1417)/SUM($AC$1404:$AC$1417)))</f>
        <v>0</v>
      </c>
      <c r="AH1417">
        <f>IF(COUNT($E$2:$E1417)&lt;15,"",IF(SUM($AC$1404:$AC$1417)=0,0,100*SUM($AF$1404:$AF$1417)/SUM($AC$1404:$AC$1417)))</f>
        <v>0</v>
      </c>
      <c r="AI1417">
        <f>IF(OR(AG1417="",AH1417=""),"",IF((AG1417+AH1417)=0,0,100*ABS(AG1417-AH1417)/(AG1417+AH1417)))</f>
        <v>0</v>
      </c>
      <c r="AJ1417">
        <f>IF(COUNT($AI$1404:$AI$1417)&lt;14,"",AVERAGE($AI$1404:$AI$1417))</f>
        <v>0</v>
      </c>
      <c r="AK1417">
        <f>IF(COUNT($E$2:$E1417)&lt;20,"",AVERAGE($E$1398:$E$1417))</f>
        <v>0</v>
      </c>
      <c r="AL1417">
        <f>IF(COUNT($E$2:$E1417)&lt;20,"",STDEVP($E$1398:$E$1417))</f>
        <v>0</v>
      </c>
      <c r="AM1417">
        <f>IF(AK1417="","",AK1417+2*AL1417)</f>
        <v>0</v>
      </c>
      <c r="AN1417">
        <f>IF(AK1417="","",AK1417-2*AL1417)</f>
        <v>0</v>
      </c>
      <c r="AO1417">
        <f>IF(OR(AM1417="",AN1417="",AM1417=AN1417),"",($E1417-AN1417)/(AM1417-AN1417))</f>
        <v>0</v>
      </c>
      <c r="AP1417">
        <f>IF(OR(AM1417="",AK1417="",AK1417=0),"",(AM1417-AN1417)/AK1417)</f>
        <v>0</v>
      </c>
      <c r="AQ1417">
        <f>IF(COUNT($E$2:$E1417)&lt;20,"",MAX($C$1398:$C$1417))</f>
        <v>0</v>
      </c>
      <c r="AR1417">
        <f>IF(COUNT($E$2:$E1417)&lt;20,"",MIN($D$1398:$D$1417))</f>
        <v>0</v>
      </c>
      <c r="AS1417">
        <f>IF(OR(AQ1417="",AR1417=""),"",(AQ1417+AR1417)/2)</f>
        <v>0</v>
      </c>
      <c r="AT1417">
        <f>IF(COUNT($G$1398:$G$1417)&lt;20,"",STDEV($G$1398:$G$1417)*SQRT(252))</f>
        <v>0</v>
      </c>
      <c r="AU1417">
        <f>IF(COUNT($E$2:$E1417)&lt;9,"",(MAX($C$1409:$C$1417)+MIN($D$1409:$D$1417))/2)</f>
        <v>0</v>
      </c>
      <c r="AV1417">
        <f>IF(COUNT($E$2:$E1417)&lt;26,"",(MAX($C$1392:$C$1417)+MIN($D$1392:$D$1417))/2)</f>
        <v>0</v>
      </c>
      <c r="AW1417">
        <f>IF(OR(AU1417="",AV1417=""),"",(AU1417+AV1417)/2)</f>
        <v>0</v>
      </c>
      <c r="AX1417">
        <f>IF(COUNT($E$2:$E1417)&lt;52,"",(MAX($C$1366:$C$1417)+MIN($D$1366:$D$1417))/2)</f>
        <v>0</v>
      </c>
      <c r="AY1417">
        <f>IF(COUNT($E$2:$E1417)&lt;20,"",MAX($C$1318:$C$1417))</f>
        <v>0</v>
      </c>
      <c r="AZ1417">
        <f>IF(COUNT($E$2:$E1417)&lt;20,"",MIN($D$1318:$D$1417))</f>
        <v>0</v>
      </c>
      <c r="BA1417">
        <f>IF(COUNT($E$2:$E1417)&lt;20,"",SLOPE($E$1318:$E$1417,$F$1318:$F$1417))</f>
        <v>0</v>
      </c>
      <c r="BB1417">
        <f>IF(COUNT($E$2:$E1417)&lt;20,"",INTERCEPT($E$1318:$E$1417,$F$1318:$F$1417))</f>
        <v>0</v>
      </c>
      <c r="BC1417">
        <f>IF(OR(BA1417="",BB1417=""),"",BB1417+BA1417*F1417)</f>
        <v>0</v>
      </c>
      <c r="BD1417">
        <f>IF(COUNT($E$2:$E1417)&lt;20,"",STEYX($E$1318:$E$1417,$F$1318:$F$1417))</f>
        <v>0</v>
      </c>
      <c r="BE1417">
        <f>IF($E1417="","",IF(AND(COUNT($E$1418:$E$1421)&gt;=4,$C1417=MAX($C$1413:$C$1421)),$C1417,""))</f>
        <v>0</v>
      </c>
      <c r="BF1417">
        <f>IF($E1417="","",IF(AND(COUNT($E$1418:$E$1421)&gt;=4,$D1417=MIN($D$1413:$D$1421)),$D1417,""))</f>
        <v>0</v>
      </c>
      <c r="BG1417">
        <f>IF($A1417="","",$A1417-WEEKDAY($A1417,2)+1)</f>
        <v>0</v>
      </c>
      <c r="BH1417">
        <f>IF($A1417="","",IF($A1416="",1,IF(BG1417&lt;&gt;BG1416,1,0)))</f>
        <v>0</v>
      </c>
      <c r="BI1417">
        <f>IF($A1417="","",IF($A1418="",1,IF(BG1418&lt;&gt;BG1417,1,0)))</f>
        <v>0</v>
      </c>
      <c r="BJ1417">
        <f>IF($A1417="","",IF(BH1417=1,$B1417,BJ1416))</f>
        <v>0</v>
      </c>
      <c r="BK1417">
        <f>IF($A1417="","",IF(BH1417=1,$C1417,MAX($C1417,BK1416)))</f>
        <v>0</v>
      </c>
      <c r="BL1417">
        <f>IF($A1417="","",IF(BH1417=1,$D1417,MIN($D1417,BL1416)))</f>
        <v>0</v>
      </c>
      <c r="BM1417">
        <f>IF($A1417="","",IF(BI1417=1,F1417,""))</f>
        <v>0</v>
      </c>
      <c r="BN1417">
        <f>IF($A1417="","",DATE(YEAR($A1417),MONTH($A1417),1))</f>
        <v>0</v>
      </c>
      <c r="BO1417">
        <f>IF($A1417="","",IF($A1416="",1,IF(BN1417&lt;&gt;BN1416,1,0)))</f>
        <v>0</v>
      </c>
      <c r="BP1417">
        <f>IF($A1417="","",IF($A1418="",1,IF(BN1418&lt;&gt;BN1417,1,0)))</f>
        <v>0</v>
      </c>
      <c r="BQ1417">
        <f>IF($A1417="","",IF(BO1417=1,$B1417,BQ1416))</f>
        <v>0</v>
      </c>
      <c r="BR1417">
        <f>IF($A1417="","",IF(BO1417=1,$C1417,MAX($C1417,BR1416)))</f>
        <v>0</v>
      </c>
      <c r="BS1417">
        <f>IF($A1417="","",IF(BO1417=1,$D1417,MIN($D1417,BS1416)))</f>
        <v>0</v>
      </c>
      <c r="BT1417">
        <f>IF($A1417="","",IF(BP1417=1,F1417,""))</f>
        <v>0</v>
      </c>
    </row>
    <row r="1418" spans="1:72">
      <c r="A1418" s="27">
        <f>IF(Data!$A1418="","",Data!$A1418)</f>
        <v>0</v>
      </c>
      <c r="B1418">
        <f>IF(Data!$B1418="","",Data!$B1418)</f>
        <v>0</v>
      </c>
      <c r="C1418">
        <f>IF(Data!$C1418="","",Data!$C1418)</f>
        <v>0</v>
      </c>
      <c r="D1418">
        <f>IF(Data!$D1418="","",Data!$D1418)</f>
        <v>0</v>
      </c>
      <c r="E1418">
        <f>IF(Data!$E1418="","",Data!$E1418)</f>
        <v>0</v>
      </c>
      <c r="F1418">
        <f>IF($E1418="","",N(F1417)+1)</f>
        <v>0</v>
      </c>
      <c r="G1418">
        <f>IF(OR($E1418="",$E1417=""),"",LN($E1418/$E1417))</f>
        <v>0</v>
      </c>
      <c r="H1418">
        <f>IF($E1418="","",IF($E1417="",$E1418,$E1418*0.0952380952+H1417*0.9047619048))</f>
        <v>0</v>
      </c>
      <c r="I1418">
        <f>IF($E1418="","",IF($E1417="",$E1418,$E1418*0.0392156863+I1417*0.9607843137))</f>
        <v>0</v>
      </c>
      <c r="J1418">
        <f>IF($E1418="","",IF($E1417="",$E1418,$E1418*0.0198019802+J1417*0.9801980198))</f>
        <v>0</v>
      </c>
      <c r="K1418">
        <f>IF($E1418="","",IF($E1417="",$E1418,$E1418*0.0099502488+K1417*0.9900497512))</f>
        <v>0</v>
      </c>
      <c r="L1418">
        <f>IF(OR($E1418="",$E1417=""),"",MAX($E1418-$E1417,0))</f>
        <v>0</v>
      </c>
      <c r="M1418">
        <f>IF(OR($E1418="",$E1417=""),"",MAX($E1417-$E1418,0))</f>
        <v>0</v>
      </c>
      <c r="N1418">
        <f>IF(COUNT($E$2:$E1418)&lt;15,"",IF(AVERAGE($M$1405:$M$1418)=0,100,100-100/(1+AVERAGE($L$1405:$L$1418)/AVERAGE($M$1405:$M$1418))))</f>
        <v>0</v>
      </c>
      <c r="O1418">
        <f>IF($E1418="","",IF($E1417="",$E1418,$E1418*0.1538461538+O1417*0.8461538462))</f>
        <v>0</v>
      </c>
      <c r="P1418">
        <f>IF($E1418="","",IF($E1417="",$E1418,$E1418*0.0740740741+P1417*0.9259259259))</f>
        <v>0</v>
      </c>
      <c r="Q1418">
        <f>IF(OR(O1418="",P1418=""),"",O1418-P1418)</f>
        <v>0</v>
      </c>
      <c r="R1418">
        <f>IF(Q1418="","",IF(R1417="",Q1418,Q1418*0.2000000000+R1417*0.8000000000))</f>
        <v>0</v>
      </c>
      <c r="S1418">
        <f>IF(OR(Q1418="",R1418=""),"",Q1418-R1418)</f>
        <v>0</v>
      </c>
      <c r="T1418">
        <f>IF(COUNT($E$2:$E1418)&lt;14,"",MAX($C$1405:$C$1418))</f>
        <v>0</v>
      </c>
      <c r="U1418">
        <f>IF(COUNT($E$2:$E1418)&lt;14,"",MIN($D$1405:$D$1418))</f>
        <v>0</v>
      </c>
      <c r="V1418">
        <f>IF(OR(T1418="",U1418="",T1418=U1418),"",100*($E1418-U1418)/(T1418-U1418))</f>
        <v>0</v>
      </c>
      <c r="W1418">
        <f>IF(COUNT($V$1416:$V$1418)&lt;3,"",AVERAGE($V$1416:$V$1418))</f>
        <v>0</v>
      </c>
      <c r="X1418">
        <f>IF(COUNT($N$1405:$N$1418)&lt;14,"",MIN($N$1405:$N$1418))</f>
        <v>0</v>
      </c>
      <c r="Y1418">
        <f>IF(COUNT($N$1405:$N$1418)&lt;14,"",MAX($N$1405:$N$1418))</f>
        <v>0</v>
      </c>
      <c r="Z1418">
        <f>IF(OR(N1418="",X1418="",Y1418="",Y1418=X1418),"",100*(N1418-X1418)/(Y1418-X1418))</f>
        <v>0</v>
      </c>
      <c r="AA1418">
        <f>IF(COUNT($Z$1416:$Z$1418)&lt;3,"",AVERAGE($Z$1416:$Z$1418))</f>
        <v>0</v>
      </c>
      <c r="AB1418">
        <f>IF(COUNT($AA$1416:$AA$1418)&lt;3,"",AVERAGE($AA$1416:$AA$1418))</f>
        <v>0</v>
      </c>
      <c r="AC1418">
        <f>IF($E1418="","",MAX($C1418-$D1418,ABS($C1418-$E1417),ABS($D1418-$E1417)))</f>
        <v>0</v>
      </c>
      <c r="AD1418">
        <f>IF(COUNT($E$2:$E1418)&lt;15,"",AVERAGE($AC$1405:$AC$1418))</f>
        <v>0</v>
      </c>
      <c r="AE1418">
        <f>IF(OR($E1418="",$E1417=""),"",IF(AND(($C1418-$C1417)&gt;($D1417-$D1418),($C1418-$C1417)&gt;0),$C1418-$C1417,0))</f>
        <v>0</v>
      </c>
      <c r="AF1418">
        <f>IF(OR($E1418="",$E1417=""),"",IF(AND(($D1417-$D1418)&gt;($C1418-$C1417),($D1417-$D1418)&gt;0),$D1417-$D1418,0))</f>
        <v>0</v>
      </c>
      <c r="AG1418">
        <f>IF(COUNT($E$2:$E1418)&lt;15,"",IF(SUM($AC$1405:$AC$1418)=0,0,100*SUM($AE$1405:$AE$1418)/SUM($AC$1405:$AC$1418)))</f>
        <v>0</v>
      </c>
      <c r="AH1418">
        <f>IF(COUNT($E$2:$E1418)&lt;15,"",IF(SUM($AC$1405:$AC$1418)=0,0,100*SUM($AF$1405:$AF$1418)/SUM($AC$1405:$AC$1418)))</f>
        <v>0</v>
      </c>
      <c r="AI1418">
        <f>IF(OR(AG1418="",AH1418=""),"",IF((AG1418+AH1418)=0,0,100*ABS(AG1418-AH1418)/(AG1418+AH1418)))</f>
        <v>0</v>
      </c>
      <c r="AJ1418">
        <f>IF(COUNT($AI$1405:$AI$1418)&lt;14,"",AVERAGE($AI$1405:$AI$1418))</f>
        <v>0</v>
      </c>
      <c r="AK1418">
        <f>IF(COUNT($E$2:$E1418)&lt;20,"",AVERAGE($E$1399:$E$1418))</f>
        <v>0</v>
      </c>
      <c r="AL1418">
        <f>IF(COUNT($E$2:$E1418)&lt;20,"",STDEVP($E$1399:$E$1418))</f>
        <v>0</v>
      </c>
      <c r="AM1418">
        <f>IF(AK1418="","",AK1418+2*AL1418)</f>
        <v>0</v>
      </c>
      <c r="AN1418">
        <f>IF(AK1418="","",AK1418-2*AL1418)</f>
        <v>0</v>
      </c>
      <c r="AO1418">
        <f>IF(OR(AM1418="",AN1418="",AM1418=AN1418),"",($E1418-AN1418)/(AM1418-AN1418))</f>
        <v>0</v>
      </c>
      <c r="AP1418">
        <f>IF(OR(AM1418="",AK1418="",AK1418=0),"",(AM1418-AN1418)/AK1418)</f>
        <v>0</v>
      </c>
      <c r="AQ1418">
        <f>IF(COUNT($E$2:$E1418)&lt;20,"",MAX($C$1399:$C$1418))</f>
        <v>0</v>
      </c>
      <c r="AR1418">
        <f>IF(COUNT($E$2:$E1418)&lt;20,"",MIN($D$1399:$D$1418))</f>
        <v>0</v>
      </c>
      <c r="AS1418">
        <f>IF(OR(AQ1418="",AR1418=""),"",(AQ1418+AR1418)/2)</f>
        <v>0</v>
      </c>
      <c r="AT1418">
        <f>IF(COUNT($G$1399:$G$1418)&lt;20,"",STDEV($G$1399:$G$1418)*SQRT(252))</f>
        <v>0</v>
      </c>
      <c r="AU1418">
        <f>IF(COUNT($E$2:$E1418)&lt;9,"",(MAX($C$1410:$C$1418)+MIN($D$1410:$D$1418))/2)</f>
        <v>0</v>
      </c>
      <c r="AV1418">
        <f>IF(COUNT($E$2:$E1418)&lt;26,"",(MAX($C$1393:$C$1418)+MIN($D$1393:$D$1418))/2)</f>
        <v>0</v>
      </c>
      <c r="AW1418">
        <f>IF(OR(AU1418="",AV1418=""),"",(AU1418+AV1418)/2)</f>
        <v>0</v>
      </c>
      <c r="AX1418">
        <f>IF(COUNT($E$2:$E1418)&lt;52,"",(MAX($C$1367:$C$1418)+MIN($D$1367:$D$1418))/2)</f>
        <v>0</v>
      </c>
      <c r="AY1418">
        <f>IF(COUNT($E$2:$E1418)&lt;20,"",MAX($C$1319:$C$1418))</f>
        <v>0</v>
      </c>
      <c r="AZ1418">
        <f>IF(COUNT($E$2:$E1418)&lt;20,"",MIN($D$1319:$D$1418))</f>
        <v>0</v>
      </c>
      <c r="BA1418">
        <f>IF(COUNT($E$2:$E1418)&lt;20,"",SLOPE($E$1319:$E$1418,$F$1319:$F$1418))</f>
        <v>0</v>
      </c>
      <c r="BB1418">
        <f>IF(COUNT($E$2:$E1418)&lt;20,"",INTERCEPT($E$1319:$E$1418,$F$1319:$F$1418))</f>
        <v>0</v>
      </c>
      <c r="BC1418">
        <f>IF(OR(BA1418="",BB1418=""),"",BB1418+BA1418*F1418)</f>
        <v>0</v>
      </c>
      <c r="BD1418">
        <f>IF(COUNT($E$2:$E1418)&lt;20,"",STEYX($E$1319:$E$1418,$F$1319:$F$1418))</f>
        <v>0</v>
      </c>
      <c r="BE1418">
        <f>IF($E1418="","",IF(AND(COUNT($E$1419:$E$1422)&gt;=4,$C1418=MAX($C$1414:$C$1422)),$C1418,""))</f>
        <v>0</v>
      </c>
      <c r="BF1418">
        <f>IF($E1418="","",IF(AND(COUNT($E$1419:$E$1422)&gt;=4,$D1418=MIN($D$1414:$D$1422)),$D1418,""))</f>
        <v>0</v>
      </c>
      <c r="BG1418">
        <f>IF($A1418="","",$A1418-WEEKDAY($A1418,2)+1)</f>
        <v>0</v>
      </c>
      <c r="BH1418">
        <f>IF($A1418="","",IF($A1417="",1,IF(BG1418&lt;&gt;BG1417,1,0)))</f>
        <v>0</v>
      </c>
      <c r="BI1418">
        <f>IF($A1418="","",IF($A1419="",1,IF(BG1419&lt;&gt;BG1418,1,0)))</f>
        <v>0</v>
      </c>
      <c r="BJ1418">
        <f>IF($A1418="","",IF(BH1418=1,$B1418,BJ1417))</f>
        <v>0</v>
      </c>
      <c r="BK1418">
        <f>IF($A1418="","",IF(BH1418=1,$C1418,MAX($C1418,BK1417)))</f>
        <v>0</v>
      </c>
      <c r="BL1418">
        <f>IF($A1418="","",IF(BH1418=1,$D1418,MIN($D1418,BL1417)))</f>
        <v>0</v>
      </c>
      <c r="BM1418">
        <f>IF($A1418="","",IF(BI1418=1,F1418,""))</f>
        <v>0</v>
      </c>
      <c r="BN1418">
        <f>IF($A1418="","",DATE(YEAR($A1418),MONTH($A1418),1))</f>
        <v>0</v>
      </c>
      <c r="BO1418">
        <f>IF($A1418="","",IF($A1417="",1,IF(BN1418&lt;&gt;BN1417,1,0)))</f>
        <v>0</v>
      </c>
      <c r="BP1418">
        <f>IF($A1418="","",IF($A1419="",1,IF(BN1419&lt;&gt;BN1418,1,0)))</f>
        <v>0</v>
      </c>
      <c r="BQ1418">
        <f>IF($A1418="","",IF(BO1418=1,$B1418,BQ1417))</f>
        <v>0</v>
      </c>
      <c r="BR1418">
        <f>IF($A1418="","",IF(BO1418=1,$C1418,MAX($C1418,BR1417)))</f>
        <v>0</v>
      </c>
      <c r="BS1418">
        <f>IF($A1418="","",IF(BO1418=1,$D1418,MIN($D1418,BS1417)))</f>
        <v>0</v>
      </c>
      <c r="BT1418">
        <f>IF($A1418="","",IF(BP1418=1,F1418,""))</f>
        <v>0</v>
      </c>
    </row>
    <row r="1419" spans="1:72">
      <c r="A1419" s="27">
        <f>IF(Data!$A1419="","",Data!$A1419)</f>
        <v>0</v>
      </c>
      <c r="B1419">
        <f>IF(Data!$B1419="","",Data!$B1419)</f>
        <v>0</v>
      </c>
      <c r="C1419">
        <f>IF(Data!$C1419="","",Data!$C1419)</f>
        <v>0</v>
      </c>
      <c r="D1419">
        <f>IF(Data!$D1419="","",Data!$D1419)</f>
        <v>0</v>
      </c>
      <c r="E1419">
        <f>IF(Data!$E1419="","",Data!$E1419)</f>
        <v>0</v>
      </c>
      <c r="F1419">
        <f>IF($E1419="","",N(F1418)+1)</f>
        <v>0</v>
      </c>
      <c r="G1419">
        <f>IF(OR($E1419="",$E1418=""),"",LN($E1419/$E1418))</f>
        <v>0</v>
      </c>
      <c r="H1419">
        <f>IF($E1419="","",IF($E1418="",$E1419,$E1419*0.0952380952+H1418*0.9047619048))</f>
        <v>0</v>
      </c>
      <c r="I1419">
        <f>IF($E1419="","",IF($E1418="",$E1419,$E1419*0.0392156863+I1418*0.9607843137))</f>
        <v>0</v>
      </c>
      <c r="J1419">
        <f>IF($E1419="","",IF($E1418="",$E1419,$E1419*0.0198019802+J1418*0.9801980198))</f>
        <v>0</v>
      </c>
      <c r="K1419">
        <f>IF($E1419="","",IF($E1418="",$E1419,$E1419*0.0099502488+K1418*0.9900497512))</f>
        <v>0</v>
      </c>
      <c r="L1419">
        <f>IF(OR($E1419="",$E1418=""),"",MAX($E1419-$E1418,0))</f>
        <v>0</v>
      </c>
      <c r="M1419">
        <f>IF(OR($E1419="",$E1418=""),"",MAX($E1418-$E1419,0))</f>
        <v>0</v>
      </c>
      <c r="N1419">
        <f>IF(COUNT($E$2:$E1419)&lt;15,"",IF(AVERAGE($M$1406:$M$1419)=0,100,100-100/(1+AVERAGE($L$1406:$L$1419)/AVERAGE($M$1406:$M$1419))))</f>
        <v>0</v>
      </c>
      <c r="O1419">
        <f>IF($E1419="","",IF($E1418="",$E1419,$E1419*0.1538461538+O1418*0.8461538462))</f>
        <v>0</v>
      </c>
      <c r="P1419">
        <f>IF($E1419="","",IF($E1418="",$E1419,$E1419*0.0740740741+P1418*0.9259259259))</f>
        <v>0</v>
      </c>
      <c r="Q1419">
        <f>IF(OR(O1419="",P1419=""),"",O1419-P1419)</f>
        <v>0</v>
      </c>
      <c r="R1419">
        <f>IF(Q1419="","",IF(R1418="",Q1419,Q1419*0.2000000000+R1418*0.8000000000))</f>
        <v>0</v>
      </c>
      <c r="S1419">
        <f>IF(OR(Q1419="",R1419=""),"",Q1419-R1419)</f>
        <v>0</v>
      </c>
      <c r="T1419">
        <f>IF(COUNT($E$2:$E1419)&lt;14,"",MAX($C$1406:$C$1419))</f>
        <v>0</v>
      </c>
      <c r="U1419">
        <f>IF(COUNT($E$2:$E1419)&lt;14,"",MIN($D$1406:$D$1419))</f>
        <v>0</v>
      </c>
      <c r="V1419">
        <f>IF(OR(T1419="",U1419="",T1419=U1419),"",100*($E1419-U1419)/(T1419-U1419))</f>
        <v>0</v>
      </c>
      <c r="W1419">
        <f>IF(COUNT($V$1417:$V$1419)&lt;3,"",AVERAGE($V$1417:$V$1419))</f>
        <v>0</v>
      </c>
      <c r="X1419">
        <f>IF(COUNT($N$1406:$N$1419)&lt;14,"",MIN($N$1406:$N$1419))</f>
        <v>0</v>
      </c>
      <c r="Y1419">
        <f>IF(COUNT($N$1406:$N$1419)&lt;14,"",MAX($N$1406:$N$1419))</f>
        <v>0</v>
      </c>
      <c r="Z1419">
        <f>IF(OR(N1419="",X1419="",Y1419="",Y1419=X1419),"",100*(N1419-X1419)/(Y1419-X1419))</f>
        <v>0</v>
      </c>
      <c r="AA1419">
        <f>IF(COUNT($Z$1417:$Z$1419)&lt;3,"",AVERAGE($Z$1417:$Z$1419))</f>
        <v>0</v>
      </c>
      <c r="AB1419">
        <f>IF(COUNT($AA$1417:$AA$1419)&lt;3,"",AVERAGE($AA$1417:$AA$1419))</f>
        <v>0</v>
      </c>
      <c r="AC1419">
        <f>IF($E1419="","",MAX($C1419-$D1419,ABS($C1419-$E1418),ABS($D1419-$E1418)))</f>
        <v>0</v>
      </c>
      <c r="AD1419">
        <f>IF(COUNT($E$2:$E1419)&lt;15,"",AVERAGE($AC$1406:$AC$1419))</f>
        <v>0</v>
      </c>
      <c r="AE1419">
        <f>IF(OR($E1419="",$E1418=""),"",IF(AND(($C1419-$C1418)&gt;($D1418-$D1419),($C1419-$C1418)&gt;0),$C1419-$C1418,0))</f>
        <v>0</v>
      </c>
      <c r="AF1419">
        <f>IF(OR($E1419="",$E1418=""),"",IF(AND(($D1418-$D1419)&gt;($C1419-$C1418),($D1418-$D1419)&gt;0),$D1418-$D1419,0))</f>
        <v>0</v>
      </c>
      <c r="AG1419">
        <f>IF(COUNT($E$2:$E1419)&lt;15,"",IF(SUM($AC$1406:$AC$1419)=0,0,100*SUM($AE$1406:$AE$1419)/SUM($AC$1406:$AC$1419)))</f>
        <v>0</v>
      </c>
      <c r="AH1419">
        <f>IF(COUNT($E$2:$E1419)&lt;15,"",IF(SUM($AC$1406:$AC$1419)=0,0,100*SUM($AF$1406:$AF$1419)/SUM($AC$1406:$AC$1419)))</f>
        <v>0</v>
      </c>
      <c r="AI1419">
        <f>IF(OR(AG1419="",AH1419=""),"",IF((AG1419+AH1419)=0,0,100*ABS(AG1419-AH1419)/(AG1419+AH1419)))</f>
        <v>0</v>
      </c>
      <c r="AJ1419">
        <f>IF(COUNT($AI$1406:$AI$1419)&lt;14,"",AVERAGE($AI$1406:$AI$1419))</f>
        <v>0</v>
      </c>
      <c r="AK1419">
        <f>IF(COUNT($E$2:$E1419)&lt;20,"",AVERAGE($E$1400:$E$1419))</f>
        <v>0</v>
      </c>
      <c r="AL1419">
        <f>IF(COUNT($E$2:$E1419)&lt;20,"",STDEVP($E$1400:$E$1419))</f>
        <v>0</v>
      </c>
      <c r="AM1419">
        <f>IF(AK1419="","",AK1419+2*AL1419)</f>
        <v>0</v>
      </c>
      <c r="AN1419">
        <f>IF(AK1419="","",AK1419-2*AL1419)</f>
        <v>0</v>
      </c>
      <c r="AO1419">
        <f>IF(OR(AM1419="",AN1419="",AM1419=AN1419),"",($E1419-AN1419)/(AM1419-AN1419))</f>
        <v>0</v>
      </c>
      <c r="AP1419">
        <f>IF(OR(AM1419="",AK1419="",AK1419=0),"",(AM1419-AN1419)/AK1419)</f>
        <v>0</v>
      </c>
      <c r="AQ1419">
        <f>IF(COUNT($E$2:$E1419)&lt;20,"",MAX($C$1400:$C$1419))</f>
        <v>0</v>
      </c>
      <c r="AR1419">
        <f>IF(COUNT($E$2:$E1419)&lt;20,"",MIN($D$1400:$D$1419))</f>
        <v>0</v>
      </c>
      <c r="AS1419">
        <f>IF(OR(AQ1419="",AR1419=""),"",(AQ1419+AR1419)/2)</f>
        <v>0</v>
      </c>
      <c r="AT1419">
        <f>IF(COUNT($G$1400:$G$1419)&lt;20,"",STDEV($G$1400:$G$1419)*SQRT(252))</f>
        <v>0</v>
      </c>
      <c r="AU1419">
        <f>IF(COUNT($E$2:$E1419)&lt;9,"",(MAX($C$1411:$C$1419)+MIN($D$1411:$D$1419))/2)</f>
        <v>0</v>
      </c>
      <c r="AV1419">
        <f>IF(COUNT($E$2:$E1419)&lt;26,"",(MAX($C$1394:$C$1419)+MIN($D$1394:$D$1419))/2)</f>
        <v>0</v>
      </c>
      <c r="AW1419">
        <f>IF(OR(AU1419="",AV1419=""),"",(AU1419+AV1419)/2)</f>
        <v>0</v>
      </c>
      <c r="AX1419">
        <f>IF(COUNT($E$2:$E1419)&lt;52,"",(MAX($C$1368:$C$1419)+MIN($D$1368:$D$1419))/2)</f>
        <v>0</v>
      </c>
      <c r="AY1419">
        <f>IF(COUNT($E$2:$E1419)&lt;20,"",MAX($C$1320:$C$1419))</f>
        <v>0</v>
      </c>
      <c r="AZ1419">
        <f>IF(COUNT($E$2:$E1419)&lt;20,"",MIN($D$1320:$D$1419))</f>
        <v>0</v>
      </c>
      <c r="BA1419">
        <f>IF(COUNT($E$2:$E1419)&lt;20,"",SLOPE($E$1320:$E$1419,$F$1320:$F$1419))</f>
        <v>0</v>
      </c>
      <c r="BB1419">
        <f>IF(COUNT($E$2:$E1419)&lt;20,"",INTERCEPT($E$1320:$E$1419,$F$1320:$F$1419))</f>
        <v>0</v>
      </c>
      <c r="BC1419">
        <f>IF(OR(BA1419="",BB1419=""),"",BB1419+BA1419*F1419)</f>
        <v>0</v>
      </c>
      <c r="BD1419">
        <f>IF(COUNT($E$2:$E1419)&lt;20,"",STEYX($E$1320:$E$1419,$F$1320:$F$1419))</f>
        <v>0</v>
      </c>
      <c r="BE1419">
        <f>IF($E1419="","",IF(AND(COUNT($E$1420:$E$1423)&gt;=4,$C1419=MAX($C$1415:$C$1423)),$C1419,""))</f>
        <v>0</v>
      </c>
      <c r="BF1419">
        <f>IF($E1419="","",IF(AND(COUNT($E$1420:$E$1423)&gt;=4,$D1419=MIN($D$1415:$D$1423)),$D1419,""))</f>
        <v>0</v>
      </c>
      <c r="BG1419">
        <f>IF($A1419="","",$A1419-WEEKDAY($A1419,2)+1)</f>
        <v>0</v>
      </c>
      <c r="BH1419">
        <f>IF($A1419="","",IF($A1418="",1,IF(BG1419&lt;&gt;BG1418,1,0)))</f>
        <v>0</v>
      </c>
      <c r="BI1419">
        <f>IF($A1419="","",IF($A1420="",1,IF(BG1420&lt;&gt;BG1419,1,0)))</f>
        <v>0</v>
      </c>
      <c r="BJ1419">
        <f>IF($A1419="","",IF(BH1419=1,$B1419,BJ1418))</f>
        <v>0</v>
      </c>
      <c r="BK1419">
        <f>IF($A1419="","",IF(BH1419=1,$C1419,MAX($C1419,BK1418)))</f>
        <v>0</v>
      </c>
      <c r="BL1419">
        <f>IF($A1419="","",IF(BH1419=1,$D1419,MIN($D1419,BL1418)))</f>
        <v>0</v>
      </c>
      <c r="BM1419">
        <f>IF($A1419="","",IF(BI1419=1,F1419,""))</f>
        <v>0</v>
      </c>
      <c r="BN1419">
        <f>IF($A1419="","",DATE(YEAR($A1419),MONTH($A1419),1))</f>
        <v>0</v>
      </c>
      <c r="BO1419">
        <f>IF($A1419="","",IF($A1418="",1,IF(BN1419&lt;&gt;BN1418,1,0)))</f>
        <v>0</v>
      </c>
      <c r="BP1419">
        <f>IF($A1419="","",IF($A1420="",1,IF(BN1420&lt;&gt;BN1419,1,0)))</f>
        <v>0</v>
      </c>
      <c r="BQ1419">
        <f>IF($A1419="","",IF(BO1419=1,$B1419,BQ1418))</f>
        <v>0</v>
      </c>
      <c r="BR1419">
        <f>IF($A1419="","",IF(BO1419=1,$C1419,MAX($C1419,BR1418)))</f>
        <v>0</v>
      </c>
      <c r="BS1419">
        <f>IF($A1419="","",IF(BO1419=1,$D1419,MIN($D1419,BS1418)))</f>
        <v>0</v>
      </c>
      <c r="BT1419">
        <f>IF($A1419="","",IF(BP1419=1,F1419,""))</f>
        <v>0</v>
      </c>
    </row>
    <row r="1420" spans="1:72">
      <c r="A1420" s="27">
        <f>IF(Data!$A1420="","",Data!$A1420)</f>
        <v>0</v>
      </c>
      <c r="B1420">
        <f>IF(Data!$B1420="","",Data!$B1420)</f>
        <v>0</v>
      </c>
      <c r="C1420">
        <f>IF(Data!$C1420="","",Data!$C1420)</f>
        <v>0</v>
      </c>
      <c r="D1420">
        <f>IF(Data!$D1420="","",Data!$D1420)</f>
        <v>0</v>
      </c>
      <c r="E1420">
        <f>IF(Data!$E1420="","",Data!$E1420)</f>
        <v>0</v>
      </c>
      <c r="F1420">
        <f>IF($E1420="","",N(F1419)+1)</f>
        <v>0</v>
      </c>
      <c r="G1420">
        <f>IF(OR($E1420="",$E1419=""),"",LN($E1420/$E1419))</f>
        <v>0</v>
      </c>
      <c r="H1420">
        <f>IF($E1420="","",IF($E1419="",$E1420,$E1420*0.0952380952+H1419*0.9047619048))</f>
        <v>0</v>
      </c>
      <c r="I1420">
        <f>IF($E1420="","",IF($E1419="",$E1420,$E1420*0.0392156863+I1419*0.9607843137))</f>
        <v>0</v>
      </c>
      <c r="J1420">
        <f>IF($E1420="","",IF($E1419="",$E1420,$E1420*0.0198019802+J1419*0.9801980198))</f>
        <v>0</v>
      </c>
      <c r="K1420">
        <f>IF($E1420="","",IF($E1419="",$E1420,$E1420*0.0099502488+K1419*0.9900497512))</f>
        <v>0</v>
      </c>
      <c r="L1420">
        <f>IF(OR($E1420="",$E1419=""),"",MAX($E1420-$E1419,0))</f>
        <v>0</v>
      </c>
      <c r="M1420">
        <f>IF(OR($E1420="",$E1419=""),"",MAX($E1419-$E1420,0))</f>
        <v>0</v>
      </c>
      <c r="N1420">
        <f>IF(COUNT($E$2:$E1420)&lt;15,"",IF(AVERAGE($M$1407:$M$1420)=0,100,100-100/(1+AVERAGE($L$1407:$L$1420)/AVERAGE($M$1407:$M$1420))))</f>
        <v>0</v>
      </c>
      <c r="O1420">
        <f>IF($E1420="","",IF($E1419="",$E1420,$E1420*0.1538461538+O1419*0.8461538462))</f>
        <v>0</v>
      </c>
      <c r="P1420">
        <f>IF($E1420="","",IF($E1419="",$E1420,$E1420*0.0740740741+P1419*0.9259259259))</f>
        <v>0</v>
      </c>
      <c r="Q1420">
        <f>IF(OR(O1420="",P1420=""),"",O1420-P1420)</f>
        <v>0</v>
      </c>
      <c r="R1420">
        <f>IF(Q1420="","",IF(R1419="",Q1420,Q1420*0.2000000000+R1419*0.8000000000))</f>
        <v>0</v>
      </c>
      <c r="S1420">
        <f>IF(OR(Q1420="",R1420=""),"",Q1420-R1420)</f>
        <v>0</v>
      </c>
      <c r="T1420">
        <f>IF(COUNT($E$2:$E1420)&lt;14,"",MAX($C$1407:$C$1420))</f>
        <v>0</v>
      </c>
      <c r="U1420">
        <f>IF(COUNT($E$2:$E1420)&lt;14,"",MIN($D$1407:$D$1420))</f>
        <v>0</v>
      </c>
      <c r="V1420">
        <f>IF(OR(T1420="",U1420="",T1420=U1420),"",100*($E1420-U1420)/(T1420-U1420))</f>
        <v>0</v>
      </c>
      <c r="W1420">
        <f>IF(COUNT($V$1418:$V$1420)&lt;3,"",AVERAGE($V$1418:$V$1420))</f>
        <v>0</v>
      </c>
      <c r="X1420">
        <f>IF(COUNT($N$1407:$N$1420)&lt;14,"",MIN($N$1407:$N$1420))</f>
        <v>0</v>
      </c>
      <c r="Y1420">
        <f>IF(COUNT($N$1407:$N$1420)&lt;14,"",MAX($N$1407:$N$1420))</f>
        <v>0</v>
      </c>
      <c r="Z1420">
        <f>IF(OR(N1420="",X1420="",Y1420="",Y1420=X1420),"",100*(N1420-X1420)/(Y1420-X1420))</f>
        <v>0</v>
      </c>
      <c r="AA1420">
        <f>IF(COUNT($Z$1418:$Z$1420)&lt;3,"",AVERAGE($Z$1418:$Z$1420))</f>
        <v>0</v>
      </c>
      <c r="AB1420">
        <f>IF(COUNT($AA$1418:$AA$1420)&lt;3,"",AVERAGE($AA$1418:$AA$1420))</f>
        <v>0</v>
      </c>
      <c r="AC1420">
        <f>IF($E1420="","",MAX($C1420-$D1420,ABS($C1420-$E1419),ABS($D1420-$E1419)))</f>
        <v>0</v>
      </c>
      <c r="AD1420">
        <f>IF(COUNT($E$2:$E1420)&lt;15,"",AVERAGE($AC$1407:$AC$1420))</f>
        <v>0</v>
      </c>
      <c r="AE1420">
        <f>IF(OR($E1420="",$E1419=""),"",IF(AND(($C1420-$C1419)&gt;($D1419-$D1420),($C1420-$C1419)&gt;0),$C1420-$C1419,0))</f>
        <v>0</v>
      </c>
      <c r="AF1420">
        <f>IF(OR($E1420="",$E1419=""),"",IF(AND(($D1419-$D1420)&gt;($C1420-$C1419),($D1419-$D1420)&gt;0),$D1419-$D1420,0))</f>
        <v>0</v>
      </c>
      <c r="AG1420">
        <f>IF(COUNT($E$2:$E1420)&lt;15,"",IF(SUM($AC$1407:$AC$1420)=0,0,100*SUM($AE$1407:$AE$1420)/SUM($AC$1407:$AC$1420)))</f>
        <v>0</v>
      </c>
      <c r="AH1420">
        <f>IF(COUNT($E$2:$E1420)&lt;15,"",IF(SUM($AC$1407:$AC$1420)=0,0,100*SUM($AF$1407:$AF$1420)/SUM($AC$1407:$AC$1420)))</f>
        <v>0</v>
      </c>
      <c r="AI1420">
        <f>IF(OR(AG1420="",AH1420=""),"",IF((AG1420+AH1420)=0,0,100*ABS(AG1420-AH1420)/(AG1420+AH1420)))</f>
        <v>0</v>
      </c>
      <c r="AJ1420">
        <f>IF(COUNT($AI$1407:$AI$1420)&lt;14,"",AVERAGE($AI$1407:$AI$1420))</f>
        <v>0</v>
      </c>
      <c r="AK1420">
        <f>IF(COUNT($E$2:$E1420)&lt;20,"",AVERAGE($E$1401:$E$1420))</f>
        <v>0</v>
      </c>
      <c r="AL1420">
        <f>IF(COUNT($E$2:$E1420)&lt;20,"",STDEVP($E$1401:$E$1420))</f>
        <v>0</v>
      </c>
      <c r="AM1420">
        <f>IF(AK1420="","",AK1420+2*AL1420)</f>
        <v>0</v>
      </c>
      <c r="AN1420">
        <f>IF(AK1420="","",AK1420-2*AL1420)</f>
        <v>0</v>
      </c>
      <c r="AO1420">
        <f>IF(OR(AM1420="",AN1420="",AM1420=AN1420),"",($E1420-AN1420)/(AM1420-AN1420))</f>
        <v>0</v>
      </c>
      <c r="AP1420">
        <f>IF(OR(AM1420="",AK1420="",AK1420=0),"",(AM1420-AN1420)/AK1420)</f>
        <v>0</v>
      </c>
      <c r="AQ1420">
        <f>IF(COUNT($E$2:$E1420)&lt;20,"",MAX($C$1401:$C$1420))</f>
        <v>0</v>
      </c>
      <c r="AR1420">
        <f>IF(COUNT($E$2:$E1420)&lt;20,"",MIN($D$1401:$D$1420))</f>
        <v>0</v>
      </c>
      <c r="AS1420">
        <f>IF(OR(AQ1420="",AR1420=""),"",(AQ1420+AR1420)/2)</f>
        <v>0</v>
      </c>
      <c r="AT1420">
        <f>IF(COUNT($G$1401:$G$1420)&lt;20,"",STDEV($G$1401:$G$1420)*SQRT(252))</f>
        <v>0</v>
      </c>
      <c r="AU1420">
        <f>IF(COUNT($E$2:$E1420)&lt;9,"",(MAX($C$1412:$C$1420)+MIN($D$1412:$D$1420))/2)</f>
        <v>0</v>
      </c>
      <c r="AV1420">
        <f>IF(COUNT($E$2:$E1420)&lt;26,"",(MAX($C$1395:$C$1420)+MIN($D$1395:$D$1420))/2)</f>
        <v>0</v>
      </c>
      <c r="AW1420">
        <f>IF(OR(AU1420="",AV1420=""),"",(AU1420+AV1420)/2)</f>
        <v>0</v>
      </c>
      <c r="AX1420">
        <f>IF(COUNT($E$2:$E1420)&lt;52,"",(MAX($C$1369:$C$1420)+MIN($D$1369:$D$1420))/2)</f>
        <v>0</v>
      </c>
      <c r="AY1420">
        <f>IF(COUNT($E$2:$E1420)&lt;20,"",MAX($C$1321:$C$1420))</f>
        <v>0</v>
      </c>
      <c r="AZ1420">
        <f>IF(COUNT($E$2:$E1420)&lt;20,"",MIN($D$1321:$D$1420))</f>
        <v>0</v>
      </c>
      <c r="BA1420">
        <f>IF(COUNT($E$2:$E1420)&lt;20,"",SLOPE($E$1321:$E$1420,$F$1321:$F$1420))</f>
        <v>0</v>
      </c>
      <c r="BB1420">
        <f>IF(COUNT($E$2:$E1420)&lt;20,"",INTERCEPT($E$1321:$E$1420,$F$1321:$F$1420))</f>
        <v>0</v>
      </c>
      <c r="BC1420">
        <f>IF(OR(BA1420="",BB1420=""),"",BB1420+BA1420*F1420)</f>
        <v>0</v>
      </c>
      <c r="BD1420">
        <f>IF(COUNT($E$2:$E1420)&lt;20,"",STEYX($E$1321:$E$1420,$F$1321:$F$1420))</f>
        <v>0</v>
      </c>
      <c r="BE1420">
        <f>IF($E1420="","",IF(AND(COUNT($E$1421:$E$1424)&gt;=4,$C1420=MAX($C$1416:$C$1424)),$C1420,""))</f>
        <v>0</v>
      </c>
      <c r="BF1420">
        <f>IF($E1420="","",IF(AND(COUNT($E$1421:$E$1424)&gt;=4,$D1420=MIN($D$1416:$D$1424)),$D1420,""))</f>
        <v>0</v>
      </c>
      <c r="BG1420">
        <f>IF($A1420="","",$A1420-WEEKDAY($A1420,2)+1)</f>
        <v>0</v>
      </c>
      <c r="BH1420">
        <f>IF($A1420="","",IF($A1419="",1,IF(BG1420&lt;&gt;BG1419,1,0)))</f>
        <v>0</v>
      </c>
      <c r="BI1420">
        <f>IF($A1420="","",IF($A1421="",1,IF(BG1421&lt;&gt;BG1420,1,0)))</f>
        <v>0</v>
      </c>
      <c r="BJ1420">
        <f>IF($A1420="","",IF(BH1420=1,$B1420,BJ1419))</f>
        <v>0</v>
      </c>
      <c r="BK1420">
        <f>IF($A1420="","",IF(BH1420=1,$C1420,MAX($C1420,BK1419)))</f>
        <v>0</v>
      </c>
      <c r="BL1420">
        <f>IF($A1420="","",IF(BH1420=1,$D1420,MIN($D1420,BL1419)))</f>
        <v>0</v>
      </c>
      <c r="BM1420">
        <f>IF($A1420="","",IF(BI1420=1,F1420,""))</f>
        <v>0</v>
      </c>
      <c r="BN1420">
        <f>IF($A1420="","",DATE(YEAR($A1420),MONTH($A1420),1))</f>
        <v>0</v>
      </c>
      <c r="BO1420">
        <f>IF($A1420="","",IF($A1419="",1,IF(BN1420&lt;&gt;BN1419,1,0)))</f>
        <v>0</v>
      </c>
      <c r="BP1420">
        <f>IF($A1420="","",IF($A1421="",1,IF(BN1421&lt;&gt;BN1420,1,0)))</f>
        <v>0</v>
      </c>
      <c r="BQ1420">
        <f>IF($A1420="","",IF(BO1420=1,$B1420,BQ1419))</f>
        <v>0</v>
      </c>
      <c r="BR1420">
        <f>IF($A1420="","",IF(BO1420=1,$C1420,MAX($C1420,BR1419)))</f>
        <v>0</v>
      </c>
      <c r="BS1420">
        <f>IF($A1420="","",IF(BO1420=1,$D1420,MIN($D1420,BS1419)))</f>
        <v>0</v>
      </c>
      <c r="BT1420">
        <f>IF($A1420="","",IF(BP1420=1,F1420,""))</f>
        <v>0</v>
      </c>
    </row>
    <row r="1421" spans="1:72">
      <c r="A1421" s="27">
        <f>IF(Data!$A1421="","",Data!$A1421)</f>
        <v>0</v>
      </c>
      <c r="B1421">
        <f>IF(Data!$B1421="","",Data!$B1421)</f>
        <v>0</v>
      </c>
      <c r="C1421">
        <f>IF(Data!$C1421="","",Data!$C1421)</f>
        <v>0</v>
      </c>
      <c r="D1421">
        <f>IF(Data!$D1421="","",Data!$D1421)</f>
        <v>0</v>
      </c>
      <c r="E1421">
        <f>IF(Data!$E1421="","",Data!$E1421)</f>
        <v>0</v>
      </c>
      <c r="F1421">
        <f>IF($E1421="","",N(F1420)+1)</f>
        <v>0</v>
      </c>
      <c r="G1421">
        <f>IF(OR($E1421="",$E1420=""),"",LN($E1421/$E1420))</f>
        <v>0</v>
      </c>
      <c r="H1421">
        <f>IF($E1421="","",IF($E1420="",$E1421,$E1421*0.0952380952+H1420*0.9047619048))</f>
        <v>0</v>
      </c>
      <c r="I1421">
        <f>IF($E1421="","",IF($E1420="",$E1421,$E1421*0.0392156863+I1420*0.9607843137))</f>
        <v>0</v>
      </c>
      <c r="J1421">
        <f>IF($E1421="","",IF($E1420="",$E1421,$E1421*0.0198019802+J1420*0.9801980198))</f>
        <v>0</v>
      </c>
      <c r="K1421">
        <f>IF($E1421="","",IF($E1420="",$E1421,$E1421*0.0099502488+K1420*0.9900497512))</f>
        <v>0</v>
      </c>
      <c r="L1421">
        <f>IF(OR($E1421="",$E1420=""),"",MAX($E1421-$E1420,0))</f>
        <v>0</v>
      </c>
      <c r="M1421">
        <f>IF(OR($E1421="",$E1420=""),"",MAX($E1420-$E1421,0))</f>
        <v>0</v>
      </c>
      <c r="N1421">
        <f>IF(COUNT($E$2:$E1421)&lt;15,"",IF(AVERAGE($M$1408:$M$1421)=0,100,100-100/(1+AVERAGE($L$1408:$L$1421)/AVERAGE($M$1408:$M$1421))))</f>
        <v>0</v>
      </c>
      <c r="O1421">
        <f>IF($E1421="","",IF($E1420="",$E1421,$E1421*0.1538461538+O1420*0.8461538462))</f>
        <v>0</v>
      </c>
      <c r="P1421">
        <f>IF($E1421="","",IF($E1420="",$E1421,$E1421*0.0740740741+P1420*0.9259259259))</f>
        <v>0</v>
      </c>
      <c r="Q1421">
        <f>IF(OR(O1421="",P1421=""),"",O1421-P1421)</f>
        <v>0</v>
      </c>
      <c r="R1421">
        <f>IF(Q1421="","",IF(R1420="",Q1421,Q1421*0.2000000000+R1420*0.8000000000))</f>
        <v>0</v>
      </c>
      <c r="S1421">
        <f>IF(OR(Q1421="",R1421=""),"",Q1421-R1421)</f>
        <v>0</v>
      </c>
      <c r="T1421">
        <f>IF(COUNT($E$2:$E1421)&lt;14,"",MAX($C$1408:$C$1421))</f>
        <v>0</v>
      </c>
      <c r="U1421">
        <f>IF(COUNT($E$2:$E1421)&lt;14,"",MIN($D$1408:$D$1421))</f>
        <v>0</v>
      </c>
      <c r="V1421">
        <f>IF(OR(T1421="",U1421="",T1421=U1421),"",100*($E1421-U1421)/(T1421-U1421))</f>
        <v>0</v>
      </c>
      <c r="W1421">
        <f>IF(COUNT($V$1419:$V$1421)&lt;3,"",AVERAGE($V$1419:$V$1421))</f>
        <v>0</v>
      </c>
      <c r="X1421">
        <f>IF(COUNT($N$1408:$N$1421)&lt;14,"",MIN($N$1408:$N$1421))</f>
        <v>0</v>
      </c>
      <c r="Y1421">
        <f>IF(COUNT($N$1408:$N$1421)&lt;14,"",MAX($N$1408:$N$1421))</f>
        <v>0</v>
      </c>
      <c r="Z1421">
        <f>IF(OR(N1421="",X1421="",Y1421="",Y1421=X1421),"",100*(N1421-X1421)/(Y1421-X1421))</f>
        <v>0</v>
      </c>
      <c r="AA1421">
        <f>IF(COUNT($Z$1419:$Z$1421)&lt;3,"",AVERAGE($Z$1419:$Z$1421))</f>
        <v>0</v>
      </c>
      <c r="AB1421">
        <f>IF(COUNT($AA$1419:$AA$1421)&lt;3,"",AVERAGE($AA$1419:$AA$1421))</f>
        <v>0</v>
      </c>
      <c r="AC1421">
        <f>IF($E1421="","",MAX($C1421-$D1421,ABS($C1421-$E1420),ABS($D1421-$E1420)))</f>
        <v>0</v>
      </c>
      <c r="AD1421">
        <f>IF(COUNT($E$2:$E1421)&lt;15,"",AVERAGE($AC$1408:$AC$1421))</f>
        <v>0</v>
      </c>
      <c r="AE1421">
        <f>IF(OR($E1421="",$E1420=""),"",IF(AND(($C1421-$C1420)&gt;($D1420-$D1421),($C1421-$C1420)&gt;0),$C1421-$C1420,0))</f>
        <v>0</v>
      </c>
      <c r="AF1421">
        <f>IF(OR($E1421="",$E1420=""),"",IF(AND(($D1420-$D1421)&gt;($C1421-$C1420),($D1420-$D1421)&gt;0),$D1420-$D1421,0))</f>
        <v>0</v>
      </c>
      <c r="AG1421">
        <f>IF(COUNT($E$2:$E1421)&lt;15,"",IF(SUM($AC$1408:$AC$1421)=0,0,100*SUM($AE$1408:$AE$1421)/SUM($AC$1408:$AC$1421)))</f>
        <v>0</v>
      </c>
      <c r="AH1421">
        <f>IF(COUNT($E$2:$E1421)&lt;15,"",IF(SUM($AC$1408:$AC$1421)=0,0,100*SUM($AF$1408:$AF$1421)/SUM($AC$1408:$AC$1421)))</f>
        <v>0</v>
      </c>
      <c r="AI1421">
        <f>IF(OR(AG1421="",AH1421=""),"",IF((AG1421+AH1421)=0,0,100*ABS(AG1421-AH1421)/(AG1421+AH1421)))</f>
        <v>0</v>
      </c>
      <c r="AJ1421">
        <f>IF(COUNT($AI$1408:$AI$1421)&lt;14,"",AVERAGE($AI$1408:$AI$1421))</f>
        <v>0</v>
      </c>
      <c r="AK1421">
        <f>IF(COUNT($E$2:$E1421)&lt;20,"",AVERAGE($E$1402:$E$1421))</f>
        <v>0</v>
      </c>
      <c r="AL1421">
        <f>IF(COUNT($E$2:$E1421)&lt;20,"",STDEVP($E$1402:$E$1421))</f>
        <v>0</v>
      </c>
      <c r="AM1421">
        <f>IF(AK1421="","",AK1421+2*AL1421)</f>
        <v>0</v>
      </c>
      <c r="AN1421">
        <f>IF(AK1421="","",AK1421-2*AL1421)</f>
        <v>0</v>
      </c>
      <c r="AO1421">
        <f>IF(OR(AM1421="",AN1421="",AM1421=AN1421),"",($E1421-AN1421)/(AM1421-AN1421))</f>
        <v>0</v>
      </c>
      <c r="AP1421">
        <f>IF(OR(AM1421="",AK1421="",AK1421=0),"",(AM1421-AN1421)/AK1421)</f>
        <v>0</v>
      </c>
      <c r="AQ1421">
        <f>IF(COUNT($E$2:$E1421)&lt;20,"",MAX($C$1402:$C$1421))</f>
        <v>0</v>
      </c>
      <c r="AR1421">
        <f>IF(COUNT($E$2:$E1421)&lt;20,"",MIN($D$1402:$D$1421))</f>
        <v>0</v>
      </c>
      <c r="AS1421">
        <f>IF(OR(AQ1421="",AR1421=""),"",(AQ1421+AR1421)/2)</f>
        <v>0</v>
      </c>
      <c r="AT1421">
        <f>IF(COUNT($G$1402:$G$1421)&lt;20,"",STDEV($G$1402:$G$1421)*SQRT(252))</f>
        <v>0</v>
      </c>
      <c r="AU1421">
        <f>IF(COUNT($E$2:$E1421)&lt;9,"",(MAX($C$1413:$C$1421)+MIN($D$1413:$D$1421))/2)</f>
        <v>0</v>
      </c>
      <c r="AV1421">
        <f>IF(COUNT($E$2:$E1421)&lt;26,"",(MAX($C$1396:$C$1421)+MIN($D$1396:$D$1421))/2)</f>
        <v>0</v>
      </c>
      <c r="AW1421">
        <f>IF(OR(AU1421="",AV1421=""),"",(AU1421+AV1421)/2)</f>
        <v>0</v>
      </c>
      <c r="AX1421">
        <f>IF(COUNT($E$2:$E1421)&lt;52,"",(MAX($C$1370:$C$1421)+MIN($D$1370:$D$1421))/2)</f>
        <v>0</v>
      </c>
      <c r="AY1421">
        <f>IF(COUNT($E$2:$E1421)&lt;20,"",MAX($C$1322:$C$1421))</f>
        <v>0</v>
      </c>
      <c r="AZ1421">
        <f>IF(COUNT($E$2:$E1421)&lt;20,"",MIN($D$1322:$D$1421))</f>
        <v>0</v>
      </c>
      <c r="BA1421">
        <f>IF(COUNT($E$2:$E1421)&lt;20,"",SLOPE($E$1322:$E$1421,$F$1322:$F$1421))</f>
        <v>0</v>
      </c>
      <c r="BB1421">
        <f>IF(COUNT($E$2:$E1421)&lt;20,"",INTERCEPT($E$1322:$E$1421,$F$1322:$F$1421))</f>
        <v>0</v>
      </c>
      <c r="BC1421">
        <f>IF(OR(BA1421="",BB1421=""),"",BB1421+BA1421*F1421)</f>
        <v>0</v>
      </c>
      <c r="BD1421">
        <f>IF(COUNT($E$2:$E1421)&lt;20,"",STEYX($E$1322:$E$1421,$F$1322:$F$1421))</f>
        <v>0</v>
      </c>
      <c r="BE1421">
        <f>IF($E1421="","",IF(AND(COUNT($E$1422:$E$1425)&gt;=4,$C1421=MAX($C$1417:$C$1425)),$C1421,""))</f>
        <v>0</v>
      </c>
      <c r="BF1421">
        <f>IF($E1421="","",IF(AND(COUNT($E$1422:$E$1425)&gt;=4,$D1421=MIN($D$1417:$D$1425)),$D1421,""))</f>
        <v>0</v>
      </c>
      <c r="BG1421">
        <f>IF($A1421="","",$A1421-WEEKDAY($A1421,2)+1)</f>
        <v>0</v>
      </c>
      <c r="BH1421">
        <f>IF($A1421="","",IF($A1420="",1,IF(BG1421&lt;&gt;BG1420,1,0)))</f>
        <v>0</v>
      </c>
      <c r="BI1421">
        <f>IF($A1421="","",IF($A1422="",1,IF(BG1422&lt;&gt;BG1421,1,0)))</f>
        <v>0</v>
      </c>
      <c r="BJ1421">
        <f>IF($A1421="","",IF(BH1421=1,$B1421,BJ1420))</f>
        <v>0</v>
      </c>
      <c r="BK1421">
        <f>IF($A1421="","",IF(BH1421=1,$C1421,MAX($C1421,BK1420)))</f>
        <v>0</v>
      </c>
      <c r="BL1421">
        <f>IF($A1421="","",IF(BH1421=1,$D1421,MIN($D1421,BL1420)))</f>
        <v>0</v>
      </c>
      <c r="BM1421">
        <f>IF($A1421="","",IF(BI1421=1,F1421,""))</f>
        <v>0</v>
      </c>
      <c r="BN1421">
        <f>IF($A1421="","",DATE(YEAR($A1421),MONTH($A1421),1))</f>
        <v>0</v>
      </c>
      <c r="BO1421">
        <f>IF($A1421="","",IF($A1420="",1,IF(BN1421&lt;&gt;BN1420,1,0)))</f>
        <v>0</v>
      </c>
      <c r="BP1421">
        <f>IF($A1421="","",IF($A1422="",1,IF(BN1422&lt;&gt;BN1421,1,0)))</f>
        <v>0</v>
      </c>
      <c r="BQ1421">
        <f>IF($A1421="","",IF(BO1421=1,$B1421,BQ1420))</f>
        <v>0</v>
      </c>
      <c r="BR1421">
        <f>IF($A1421="","",IF(BO1421=1,$C1421,MAX($C1421,BR1420)))</f>
        <v>0</v>
      </c>
      <c r="BS1421">
        <f>IF($A1421="","",IF(BO1421=1,$D1421,MIN($D1421,BS1420)))</f>
        <v>0</v>
      </c>
      <c r="BT1421">
        <f>IF($A1421="","",IF(BP1421=1,F1421,""))</f>
        <v>0</v>
      </c>
    </row>
    <row r="1422" spans="1:72">
      <c r="A1422" s="27">
        <f>IF(Data!$A1422="","",Data!$A1422)</f>
        <v>0</v>
      </c>
      <c r="B1422">
        <f>IF(Data!$B1422="","",Data!$B1422)</f>
        <v>0</v>
      </c>
      <c r="C1422">
        <f>IF(Data!$C1422="","",Data!$C1422)</f>
        <v>0</v>
      </c>
      <c r="D1422">
        <f>IF(Data!$D1422="","",Data!$D1422)</f>
        <v>0</v>
      </c>
      <c r="E1422">
        <f>IF(Data!$E1422="","",Data!$E1422)</f>
        <v>0</v>
      </c>
      <c r="F1422">
        <f>IF($E1422="","",N(F1421)+1)</f>
        <v>0</v>
      </c>
      <c r="G1422">
        <f>IF(OR($E1422="",$E1421=""),"",LN($E1422/$E1421))</f>
        <v>0</v>
      </c>
      <c r="H1422">
        <f>IF($E1422="","",IF($E1421="",$E1422,$E1422*0.0952380952+H1421*0.9047619048))</f>
        <v>0</v>
      </c>
      <c r="I1422">
        <f>IF($E1422="","",IF($E1421="",$E1422,$E1422*0.0392156863+I1421*0.9607843137))</f>
        <v>0</v>
      </c>
      <c r="J1422">
        <f>IF($E1422="","",IF($E1421="",$E1422,$E1422*0.0198019802+J1421*0.9801980198))</f>
        <v>0</v>
      </c>
      <c r="K1422">
        <f>IF($E1422="","",IF($E1421="",$E1422,$E1422*0.0099502488+K1421*0.9900497512))</f>
        <v>0</v>
      </c>
      <c r="L1422">
        <f>IF(OR($E1422="",$E1421=""),"",MAX($E1422-$E1421,0))</f>
        <v>0</v>
      </c>
      <c r="M1422">
        <f>IF(OR($E1422="",$E1421=""),"",MAX($E1421-$E1422,0))</f>
        <v>0</v>
      </c>
      <c r="N1422">
        <f>IF(COUNT($E$2:$E1422)&lt;15,"",IF(AVERAGE($M$1409:$M$1422)=0,100,100-100/(1+AVERAGE($L$1409:$L$1422)/AVERAGE($M$1409:$M$1422))))</f>
        <v>0</v>
      </c>
      <c r="O1422">
        <f>IF($E1422="","",IF($E1421="",$E1422,$E1422*0.1538461538+O1421*0.8461538462))</f>
        <v>0</v>
      </c>
      <c r="P1422">
        <f>IF($E1422="","",IF($E1421="",$E1422,$E1422*0.0740740741+P1421*0.9259259259))</f>
        <v>0</v>
      </c>
      <c r="Q1422">
        <f>IF(OR(O1422="",P1422=""),"",O1422-P1422)</f>
        <v>0</v>
      </c>
      <c r="R1422">
        <f>IF(Q1422="","",IF(R1421="",Q1422,Q1422*0.2000000000+R1421*0.8000000000))</f>
        <v>0</v>
      </c>
      <c r="S1422">
        <f>IF(OR(Q1422="",R1422=""),"",Q1422-R1422)</f>
        <v>0</v>
      </c>
      <c r="T1422">
        <f>IF(COUNT($E$2:$E1422)&lt;14,"",MAX($C$1409:$C$1422))</f>
        <v>0</v>
      </c>
      <c r="U1422">
        <f>IF(COUNT($E$2:$E1422)&lt;14,"",MIN($D$1409:$D$1422))</f>
        <v>0</v>
      </c>
      <c r="V1422">
        <f>IF(OR(T1422="",U1422="",T1422=U1422),"",100*($E1422-U1422)/(T1422-U1422))</f>
        <v>0</v>
      </c>
      <c r="W1422">
        <f>IF(COUNT($V$1420:$V$1422)&lt;3,"",AVERAGE($V$1420:$V$1422))</f>
        <v>0</v>
      </c>
      <c r="X1422">
        <f>IF(COUNT($N$1409:$N$1422)&lt;14,"",MIN($N$1409:$N$1422))</f>
        <v>0</v>
      </c>
      <c r="Y1422">
        <f>IF(COUNT($N$1409:$N$1422)&lt;14,"",MAX($N$1409:$N$1422))</f>
        <v>0</v>
      </c>
      <c r="Z1422">
        <f>IF(OR(N1422="",X1422="",Y1422="",Y1422=X1422),"",100*(N1422-X1422)/(Y1422-X1422))</f>
        <v>0</v>
      </c>
      <c r="AA1422">
        <f>IF(COUNT($Z$1420:$Z$1422)&lt;3,"",AVERAGE($Z$1420:$Z$1422))</f>
        <v>0</v>
      </c>
      <c r="AB1422">
        <f>IF(COUNT($AA$1420:$AA$1422)&lt;3,"",AVERAGE($AA$1420:$AA$1422))</f>
        <v>0</v>
      </c>
      <c r="AC1422">
        <f>IF($E1422="","",MAX($C1422-$D1422,ABS($C1422-$E1421),ABS($D1422-$E1421)))</f>
        <v>0</v>
      </c>
      <c r="AD1422">
        <f>IF(COUNT($E$2:$E1422)&lt;15,"",AVERAGE($AC$1409:$AC$1422))</f>
        <v>0</v>
      </c>
      <c r="AE1422">
        <f>IF(OR($E1422="",$E1421=""),"",IF(AND(($C1422-$C1421)&gt;($D1421-$D1422),($C1422-$C1421)&gt;0),$C1422-$C1421,0))</f>
        <v>0</v>
      </c>
      <c r="AF1422">
        <f>IF(OR($E1422="",$E1421=""),"",IF(AND(($D1421-$D1422)&gt;($C1422-$C1421),($D1421-$D1422)&gt;0),$D1421-$D1422,0))</f>
        <v>0</v>
      </c>
      <c r="AG1422">
        <f>IF(COUNT($E$2:$E1422)&lt;15,"",IF(SUM($AC$1409:$AC$1422)=0,0,100*SUM($AE$1409:$AE$1422)/SUM($AC$1409:$AC$1422)))</f>
        <v>0</v>
      </c>
      <c r="AH1422">
        <f>IF(COUNT($E$2:$E1422)&lt;15,"",IF(SUM($AC$1409:$AC$1422)=0,0,100*SUM($AF$1409:$AF$1422)/SUM($AC$1409:$AC$1422)))</f>
        <v>0</v>
      </c>
      <c r="AI1422">
        <f>IF(OR(AG1422="",AH1422=""),"",IF((AG1422+AH1422)=0,0,100*ABS(AG1422-AH1422)/(AG1422+AH1422)))</f>
        <v>0</v>
      </c>
      <c r="AJ1422">
        <f>IF(COUNT($AI$1409:$AI$1422)&lt;14,"",AVERAGE($AI$1409:$AI$1422))</f>
        <v>0</v>
      </c>
      <c r="AK1422">
        <f>IF(COUNT($E$2:$E1422)&lt;20,"",AVERAGE($E$1403:$E$1422))</f>
        <v>0</v>
      </c>
      <c r="AL1422">
        <f>IF(COUNT($E$2:$E1422)&lt;20,"",STDEVP($E$1403:$E$1422))</f>
        <v>0</v>
      </c>
      <c r="AM1422">
        <f>IF(AK1422="","",AK1422+2*AL1422)</f>
        <v>0</v>
      </c>
      <c r="AN1422">
        <f>IF(AK1422="","",AK1422-2*AL1422)</f>
        <v>0</v>
      </c>
      <c r="AO1422">
        <f>IF(OR(AM1422="",AN1422="",AM1422=AN1422),"",($E1422-AN1422)/(AM1422-AN1422))</f>
        <v>0</v>
      </c>
      <c r="AP1422">
        <f>IF(OR(AM1422="",AK1422="",AK1422=0),"",(AM1422-AN1422)/AK1422)</f>
        <v>0</v>
      </c>
      <c r="AQ1422">
        <f>IF(COUNT($E$2:$E1422)&lt;20,"",MAX($C$1403:$C$1422))</f>
        <v>0</v>
      </c>
      <c r="AR1422">
        <f>IF(COUNT($E$2:$E1422)&lt;20,"",MIN($D$1403:$D$1422))</f>
        <v>0</v>
      </c>
      <c r="AS1422">
        <f>IF(OR(AQ1422="",AR1422=""),"",(AQ1422+AR1422)/2)</f>
        <v>0</v>
      </c>
      <c r="AT1422">
        <f>IF(COUNT($G$1403:$G$1422)&lt;20,"",STDEV($G$1403:$G$1422)*SQRT(252))</f>
        <v>0</v>
      </c>
      <c r="AU1422">
        <f>IF(COUNT($E$2:$E1422)&lt;9,"",(MAX($C$1414:$C$1422)+MIN($D$1414:$D$1422))/2)</f>
        <v>0</v>
      </c>
      <c r="AV1422">
        <f>IF(COUNT($E$2:$E1422)&lt;26,"",(MAX($C$1397:$C$1422)+MIN($D$1397:$D$1422))/2)</f>
        <v>0</v>
      </c>
      <c r="AW1422">
        <f>IF(OR(AU1422="",AV1422=""),"",(AU1422+AV1422)/2)</f>
        <v>0</v>
      </c>
      <c r="AX1422">
        <f>IF(COUNT($E$2:$E1422)&lt;52,"",(MAX($C$1371:$C$1422)+MIN($D$1371:$D$1422))/2)</f>
        <v>0</v>
      </c>
      <c r="AY1422">
        <f>IF(COUNT($E$2:$E1422)&lt;20,"",MAX($C$1323:$C$1422))</f>
        <v>0</v>
      </c>
      <c r="AZ1422">
        <f>IF(COUNT($E$2:$E1422)&lt;20,"",MIN($D$1323:$D$1422))</f>
        <v>0</v>
      </c>
      <c r="BA1422">
        <f>IF(COUNT($E$2:$E1422)&lt;20,"",SLOPE($E$1323:$E$1422,$F$1323:$F$1422))</f>
        <v>0</v>
      </c>
      <c r="BB1422">
        <f>IF(COUNT($E$2:$E1422)&lt;20,"",INTERCEPT($E$1323:$E$1422,$F$1323:$F$1422))</f>
        <v>0</v>
      </c>
      <c r="BC1422">
        <f>IF(OR(BA1422="",BB1422=""),"",BB1422+BA1422*F1422)</f>
        <v>0</v>
      </c>
      <c r="BD1422">
        <f>IF(COUNT($E$2:$E1422)&lt;20,"",STEYX($E$1323:$E$1422,$F$1323:$F$1422))</f>
        <v>0</v>
      </c>
      <c r="BE1422">
        <f>IF($E1422="","",IF(AND(COUNT($E$1423:$E$1426)&gt;=4,$C1422=MAX($C$1418:$C$1426)),$C1422,""))</f>
        <v>0</v>
      </c>
      <c r="BF1422">
        <f>IF($E1422="","",IF(AND(COUNT($E$1423:$E$1426)&gt;=4,$D1422=MIN($D$1418:$D$1426)),$D1422,""))</f>
        <v>0</v>
      </c>
      <c r="BG1422">
        <f>IF($A1422="","",$A1422-WEEKDAY($A1422,2)+1)</f>
        <v>0</v>
      </c>
      <c r="BH1422">
        <f>IF($A1422="","",IF($A1421="",1,IF(BG1422&lt;&gt;BG1421,1,0)))</f>
        <v>0</v>
      </c>
      <c r="BI1422">
        <f>IF($A1422="","",IF($A1423="",1,IF(BG1423&lt;&gt;BG1422,1,0)))</f>
        <v>0</v>
      </c>
      <c r="BJ1422">
        <f>IF($A1422="","",IF(BH1422=1,$B1422,BJ1421))</f>
        <v>0</v>
      </c>
      <c r="BK1422">
        <f>IF($A1422="","",IF(BH1422=1,$C1422,MAX($C1422,BK1421)))</f>
        <v>0</v>
      </c>
      <c r="BL1422">
        <f>IF($A1422="","",IF(BH1422=1,$D1422,MIN($D1422,BL1421)))</f>
        <v>0</v>
      </c>
      <c r="BM1422">
        <f>IF($A1422="","",IF(BI1422=1,F1422,""))</f>
        <v>0</v>
      </c>
      <c r="BN1422">
        <f>IF($A1422="","",DATE(YEAR($A1422),MONTH($A1422),1))</f>
        <v>0</v>
      </c>
      <c r="BO1422">
        <f>IF($A1422="","",IF($A1421="",1,IF(BN1422&lt;&gt;BN1421,1,0)))</f>
        <v>0</v>
      </c>
      <c r="BP1422">
        <f>IF($A1422="","",IF($A1423="",1,IF(BN1423&lt;&gt;BN1422,1,0)))</f>
        <v>0</v>
      </c>
      <c r="BQ1422">
        <f>IF($A1422="","",IF(BO1422=1,$B1422,BQ1421))</f>
        <v>0</v>
      </c>
      <c r="BR1422">
        <f>IF($A1422="","",IF(BO1422=1,$C1422,MAX($C1422,BR1421)))</f>
        <v>0</v>
      </c>
      <c r="BS1422">
        <f>IF($A1422="","",IF(BO1422=1,$D1422,MIN($D1422,BS1421)))</f>
        <v>0</v>
      </c>
      <c r="BT1422">
        <f>IF($A1422="","",IF(BP1422=1,F1422,""))</f>
        <v>0</v>
      </c>
    </row>
    <row r="1423" spans="1:72">
      <c r="A1423" s="27">
        <f>IF(Data!$A1423="","",Data!$A1423)</f>
        <v>0</v>
      </c>
      <c r="B1423">
        <f>IF(Data!$B1423="","",Data!$B1423)</f>
        <v>0</v>
      </c>
      <c r="C1423">
        <f>IF(Data!$C1423="","",Data!$C1423)</f>
        <v>0</v>
      </c>
      <c r="D1423">
        <f>IF(Data!$D1423="","",Data!$D1423)</f>
        <v>0</v>
      </c>
      <c r="E1423">
        <f>IF(Data!$E1423="","",Data!$E1423)</f>
        <v>0</v>
      </c>
      <c r="F1423">
        <f>IF($E1423="","",N(F1422)+1)</f>
        <v>0</v>
      </c>
      <c r="G1423">
        <f>IF(OR($E1423="",$E1422=""),"",LN($E1423/$E1422))</f>
        <v>0</v>
      </c>
      <c r="H1423">
        <f>IF($E1423="","",IF($E1422="",$E1423,$E1423*0.0952380952+H1422*0.9047619048))</f>
        <v>0</v>
      </c>
      <c r="I1423">
        <f>IF($E1423="","",IF($E1422="",$E1423,$E1423*0.0392156863+I1422*0.9607843137))</f>
        <v>0</v>
      </c>
      <c r="J1423">
        <f>IF($E1423="","",IF($E1422="",$E1423,$E1423*0.0198019802+J1422*0.9801980198))</f>
        <v>0</v>
      </c>
      <c r="K1423">
        <f>IF($E1423="","",IF($E1422="",$E1423,$E1423*0.0099502488+K1422*0.9900497512))</f>
        <v>0</v>
      </c>
      <c r="L1423">
        <f>IF(OR($E1423="",$E1422=""),"",MAX($E1423-$E1422,0))</f>
        <v>0</v>
      </c>
      <c r="M1423">
        <f>IF(OR($E1423="",$E1422=""),"",MAX($E1422-$E1423,0))</f>
        <v>0</v>
      </c>
      <c r="N1423">
        <f>IF(COUNT($E$2:$E1423)&lt;15,"",IF(AVERAGE($M$1410:$M$1423)=0,100,100-100/(1+AVERAGE($L$1410:$L$1423)/AVERAGE($M$1410:$M$1423))))</f>
        <v>0</v>
      </c>
      <c r="O1423">
        <f>IF($E1423="","",IF($E1422="",$E1423,$E1423*0.1538461538+O1422*0.8461538462))</f>
        <v>0</v>
      </c>
      <c r="P1423">
        <f>IF($E1423="","",IF($E1422="",$E1423,$E1423*0.0740740741+P1422*0.9259259259))</f>
        <v>0</v>
      </c>
      <c r="Q1423">
        <f>IF(OR(O1423="",P1423=""),"",O1423-P1423)</f>
        <v>0</v>
      </c>
      <c r="R1423">
        <f>IF(Q1423="","",IF(R1422="",Q1423,Q1423*0.2000000000+R1422*0.8000000000))</f>
        <v>0</v>
      </c>
      <c r="S1423">
        <f>IF(OR(Q1423="",R1423=""),"",Q1423-R1423)</f>
        <v>0</v>
      </c>
      <c r="T1423">
        <f>IF(COUNT($E$2:$E1423)&lt;14,"",MAX($C$1410:$C$1423))</f>
        <v>0</v>
      </c>
      <c r="U1423">
        <f>IF(COUNT($E$2:$E1423)&lt;14,"",MIN($D$1410:$D$1423))</f>
        <v>0</v>
      </c>
      <c r="V1423">
        <f>IF(OR(T1423="",U1423="",T1423=U1423),"",100*($E1423-U1423)/(T1423-U1423))</f>
        <v>0</v>
      </c>
      <c r="W1423">
        <f>IF(COUNT($V$1421:$V$1423)&lt;3,"",AVERAGE($V$1421:$V$1423))</f>
        <v>0</v>
      </c>
      <c r="X1423">
        <f>IF(COUNT($N$1410:$N$1423)&lt;14,"",MIN($N$1410:$N$1423))</f>
        <v>0</v>
      </c>
      <c r="Y1423">
        <f>IF(COUNT($N$1410:$N$1423)&lt;14,"",MAX($N$1410:$N$1423))</f>
        <v>0</v>
      </c>
      <c r="Z1423">
        <f>IF(OR(N1423="",X1423="",Y1423="",Y1423=X1423),"",100*(N1423-X1423)/(Y1423-X1423))</f>
        <v>0</v>
      </c>
      <c r="AA1423">
        <f>IF(COUNT($Z$1421:$Z$1423)&lt;3,"",AVERAGE($Z$1421:$Z$1423))</f>
        <v>0</v>
      </c>
      <c r="AB1423">
        <f>IF(COUNT($AA$1421:$AA$1423)&lt;3,"",AVERAGE($AA$1421:$AA$1423))</f>
        <v>0</v>
      </c>
      <c r="AC1423">
        <f>IF($E1423="","",MAX($C1423-$D1423,ABS($C1423-$E1422),ABS($D1423-$E1422)))</f>
        <v>0</v>
      </c>
      <c r="AD1423">
        <f>IF(COUNT($E$2:$E1423)&lt;15,"",AVERAGE($AC$1410:$AC$1423))</f>
        <v>0</v>
      </c>
      <c r="AE1423">
        <f>IF(OR($E1423="",$E1422=""),"",IF(AND(($C1423-$C1422)&gt;($D1422-$D1423),($C1423-$C1422)&gt;0),$C1423-$C1422,0))</f>
        <v>0</v>
      </c>
      <c r="AF1423">
        <f>IF(OR($E1423="",$E1422=""),"",IF(AND(($D1422-$D1423)&gt;($C1423-$C1422),($D1422-$D1423)&gt;0),$D1422-$D1423,0))</f>
        <v>0</v>
      </c>
      <c r="AG1423">
        <f>IF(COUNT($E$2:$E1423)&lt;15,"",IF(SUM($AC$1410:$AC$1423)=0,0,100*SUM($AE$1410:$AE$1423)/SUM($AC$1410:$AC$1423)))</f>
        <v>0</v>
      </c>
      <c r="AH1423">
        <f>IF(COUNT($E$2:$E1423)&lt;15,"",IF(SUM($AC$1410:$AC$1423)=0,0,100*SUM($AF$1410:$AF$1423)/SUM($AC$1410:$AC$1423)))</f>
        <v>0</v>
      </c>
      <c r="AI1423">
        <f>IF(OR(AG1423="",AH1423=""),"",IF((AG1423+AH1423)=0,0,100*ABS(AG1423-AH1423)/(AG1423+AH1423)))</f>
        <v>0</v>
      </c>
      <c r="AJ1423">
        <f>IF(COUNT($AI$1410:$AI$1423)&lt;14,"",AVERAGE($AI$1410:$AI$1423))</f>
        <v>0</v>
      </c>
      <c r="AK1423">
        <f>IF(COUNT($E$2:$E1423)&lt;20,"",AVERAGE($E$1404:$E$1423))</f>
        <v>0</v>
      </c>
      <c r="AL1423">
        <f>IF(COUNT($E$2:$E1423)&lt;20,"",STDEVP($E$1404:$E$1423))</f>
        <v>0</v>
      </c>
      <c r="AM1423">
        <f>IF(AK1423="","",AK1423+2*AL1423)</f>
        <v>0</v>
      </c>
      <c r="AN1423">
        <f>IF(AK1423="","",AK1423-2*AL1423)</f>
        <v>0</v>
      </c>
      <c r="AO1423">
        <f>IF(OR(AM1423="",AN1423="",AM1423=AN1423),"",($E1423-AN1423)/(AM1423-AN1423))</f>
        <v>0</v>
      </c>
      <c r="AP1423">
        <f>IF(OR(AM1423="",AK1423="",AK1423=0),"",(AM1423-AN1423)/AK1423)</f>
        <v>0</v>
      </c>
      <c r="AQ1423">
        <f>IF(COUNT($E$2:$E1423)&lt;20,"",MAX($C$1404:$C$1423))</f>
        <v>0</v>
      </c>
      <c r="AR1423">
        <f>IF(COUNT($E$2:$E1423)&lt;20,"",MIN($D$1404:$D$1423))</f>
        <v>0</v>
      </c>
      <c r="AS1423">
        <f>IF(OR(AQ1423="",AR1423=""),"",(AQ1423+AR1423)/2)</f>
        <v>0</v>
      </c>
      <c r="AT1423">
        <f>IF(COUNT($G$1404:$G$1423)&lt;20,"",STDEV($G$1404:$G$1423)*SQRT(252))</f>
        <v>0</v>
      </c>
      <c r="AU1423">
        <f>IF(COUNT($E$2:$E1423)&lt;9,"",(MAX($C$1415:$C$1423)+MIN($D$1415:$D$1423))/2)</f>
        <v>0</v>
      </c>
      <c r="AV1423">
        <f>IF(COUNT($E$2:$E1423)&lt;26,"",(MAX($C$1398:$C$1423)+MIN($D$1398:$D$1423))/2)</f>
        <v>0</v>
      </c>
      <c r="AW1423">
        <f>IF(OR(AU1423="",AV1423=""),"",(AU1423+AV1423)/2)</f>
        <v>0</v>
      </c>
      <c r="AX1423">
        <f>IF(COUNT($E$2:$E1423)&lt;52,"",(MAX($C$1372:$C$1423)+MIN($D$1372:$D$1423))/2)</f>
        <v>0</v>
      </c>
      <c r="AY1423">
        <f>IF(COUNT($E$2:$E1423)&lt;20,"",MAX($C$1324:$C$1423))</f>
        <v>0</v>
      </c>
      <c r="AZ1423">
        <f>IF(COUNT($E$2:$E1423)&lt;20,"",MIN($D$1324:$D$1423))</f>
        <v>0</v>
      </c>
      <c r="BA1423">
        <f>IF(COUNT($E$2:$E1423)&lt;20,"",SLOPE($E$1324:$E$1423,$F$1324:$F$1423))</f>
        <v>0</v>
      </c>
      <c r="BB1423">
        <f>IF(COUNT($E$2:$E1423)&lt;20,"",INTERCEPT($E$1324:$E$1423,$F$1324:$F$1423))</f>
        <v>0</v>
      </c>
      <c r="BC1423">
        <f>IF(OR(BA1423="",BB1423=""),"",BB1423+BA1423*F1423)</f>
        <v>0</v>
      </c>
      <c r="BD1423">
        <f>IF(COUNT($E$2:$E1423)&lt;20,"",STEYX($E$1324:$E$1423,$F$1324:$F$1423))</f>
        <v>0</v>
      </c>
      <c r="BE1423">
        <f>IF($E1423="","",IF(AND(COUNT($E$1424:$E$1427)&gt;=4,$C1423=MAX($C$1419:$C$1427)),$C1423,""))</f>
        <v>0</v>
      </c>
      <c r="BF1423">
        <f>IF($E1423="","",IF(AND(COUNT($E$1424:$E$1427)&gt;=4,$D1423=MIN($D$1419:$D$1427)),$D1423,""))</f>
        <v>0</v>
      </c>
      <c r="BG1423">
        <f>IF($A1423="","",$A1423-WEEKDAY($A1423,2)+1)</f>
        <v>0</v>
      </c>
      <c r="BH1423">
        <f>IF($A1423="","",IF($A1422="",1,IF(BG1423&lt;&gt;BG1422,1,0)))</f>
        <v>0</v>
      </c>
      <c r="BI1423">
        <f>IF($A1423="","",IF($A1424="",1,IF(BG1424&lt;&gt;BG1423,1,0)))</f>
        <v>0</v>
      </c>
      <c r="BJ1423">
        <f>IF($A1423="","",IF(BH1423=1,$B1423,BJ1422))</f>
        <v>0</v>
      </c>
      <c r="BK1423">
        <f>IF($A1423="","",IF(BH1423=1,$C1423,MAX($C1423,BK1422)))</f>
        <v>0</v>
      </c>
      <c r="BL1423">
        <f>IF($A1423="","",IF(BH1423=1,$D1423,MIN($D1423,BL1422)))</f>
        <v>0</v>
      </c>
      <c r="BM1423">
        <f>IF($A1423="","",IF(BI1423=1,F1423,""))</f>
        <v>0</v>
      </c>
      <c r="BN1423">
        <f>IF($A1423="","",DATE(YEAR($A1423),MONTH($A1423),1))</f>
        <v>0</v>
      </c>
      <c r="BO1423">
        <f>IF($A1423="","",IF($A1422="",1,IF(BN1423&lt;&gt;BN1422,1,0)))</f>
        <v>0</v>
      </c>
      <c r="BP1423">
        <f>IF($A1423="","",IF($A1424="",1,IF(BN1424&lt;&gt;BN1423,1,0)))</f>
        <v>0</v>
      </c>
      <c r="BQ1423">
        <f>IF($A1423="","",IF(BO1423=1,$B1423,BQ1422))</f>
        <v>0</v>
      </c>
      <c r="BR1423">
        <f>IF($A1423="","",IF(BO1423=1,$C1423,MAX($C1423,BR1422)))</f>
        <v>0</v>
      </c>
      <c r="BS1423">
        <f>IF($A1423="","",IF(BO1423=1,$D1423,MIN($D1423,BS1422)))</f>
        <v>0</v>
      </c>
      <c r="BT1423">
        <f>IF($A1423="","",IF(BP1423=1,F1423,""))</f>
        <v>0</v>
      </c>
    </row>
    <row r="1424" spans="1:72">
      <c r="A1424" s="27">
        <f>IF(Data!$A1424="","",Data!$A1424)</f>
        <v>0</v>
      </c>
      <c r="B1424">
        <f>IF(Data!$B1424="","",Data!$B1424)</f>
        <v>0</v>
      </c>
      <c r="C1424">
        <f>IF(Data!$C1424="","",Data!$C1424)</f>
        <v>0</v>
      </c>
      <c r="D1424">
        <f>IF(Data!$D1424="","",Data!$D1424)</f>
        <v>0</v>
      </c>
      <c r="E1424">
        <f>IF(Data!$E1424="","",Data!$E1424)</f>
        <v>0</v>
      </c>
      <c r="F1424">
        <f>IF($E1424="","",N(F1423)+1)</f>
        <v>0</v>
      </c>
      <c r="G1424">
        <f>IF(OR($E1424="",$E1423=""),"",LN($E1424/$E1423))</f>
        <v>0</v>
      </c>
      <c r="H1424">
        <f>IF($E1424="","",IF($E1423="",$E1424,$E1424*0.0952380952+H1423*0.9047619048))</f>
        <v>0</v>
      </c>
      <c r="I1424">
        <f>IF($E1424="","",IF($E1423="",$E1424,$E1424*0.0392156863+I1423*0.9607843137))</f>
        <v>0</v>
      </c>
      <c r="J1424">
        <f>IF($E1424="","",IF($E1423="",$E1424,$E1424*0.0198019802+J1423*0.9801980198))</f>
        <v>0</v>
      </c>
      <c r="K1424">
        <f>IF($E1424="","",IF($E1423="",$E1424,$E1424*0.0099502488+K1423*0.9900497512))</f>
        <v>0</v>
      </c>
      <c r="L1424">
        <f>IF(OR($E1424="",$E1423=""),"",MAX($E1424-$E1423,0))</f>
        <v>0</v>
      </c>
      <c r="M1424">
        <f>IF(OR($E1424="",$E1423=""),"",MAX($E1423-$E1424,0))</f>
        <v>0</v>
      </c>
      <c r="N1424">
        <f>IF(COUNT($E$2:$E1424)&lt;15,"",IF(AVERAGE($M$1411:$M$1424)=0,100,100-100/(1+AVERAGE($L$1411:$L$1424)/AVERAGE($M$1411:$M$1424))))</f>
        <v>0</v>
      </c>
      <c r="O1424">
        <f>IF($E1424="","",IF($E1423="",$E1424,$E1424*0.1538461538+O1423*0.8461538462))</f>
        <v>0</v>
      </c>
      <c r="P1424">
        <f>IF($E1424="","",IF($E1423="",$E1424,$E1424*0.0740740741+P1423*0.9259259259))</f>
        <v>0</v>
      </c>
      <c r="Q1424">
        <f>IF(OR(O1424="",P1424=""),"",O1424-P1424)</f>
        <v>0</v>
      </c>
      <c r="R1424">
        <f>IF(Q1424="","",IF(R1423="",Q1424,Q1424*0.2000000000+R1423*0.8000000000))</f>
        <v>0</v>
      </c>
      <c r="S1424">
        <f>IF(OR(Q1424="",R1424=""),"",Q1424-R1424)</f>
        <v>0</v>
      </c>
      <c r="T1424">
        <f>IF(COUNT($E$2:$E1424)&lt;14,"",MAX($C$1411:$C$1424))</f>
        <v>0</v>
      </c>
      <c r="U1424">
        <f>IF(COUNT($E$2:$E1424)&lt;14,"",MIN($D$1411:$D$1424))</f>
        <v>0</v>
      </c>
      <c r="V1424">
        <f>IF(OR(T1424="",U1424="",T1424=U1424),"",100*($E1424-U1424)/(T1424-U1424))</f>
        <v>0</v>
      </c>
      <c r="W1424">
        <f>IF(COUNT($V$1422:$V$1424)&lt;3,"",AVERAGE($V$1422:$V$1424))</f>
        <v>0</v>
      </c>
      <c r="X1424">
        <f>IF(COUNT($N$1411:$N$1424)&lt;14,"",MIN($N$1411:$N$1424))</f>
        <v>0</v>
      </c>
      <c r="Y1424">
        <f>IF(COUNT($N$1411:$N$1424)&lt;14,"",MAX($N$1411:$N$1424))</f>
        <v>0</v>
      </c>
      <c r="Z1424">
        <f>IF(OR(N1424="",X1424="",Y1424="",Y1424=X1424),"",100*(N1424-X1424)/(Y1424-X1424))</f>
        <v>0</v>
      </c>
      <c r="AA1424">
        <f>IF(COUNT($Z$1422:$Z$1424)&lt;3,"",AVERAGE($Z$1422:$Z$1424))</f>
        <v>0</v>
      </c>
      <c r="AB1424">
        <f>IF(COUNT($AA$1422:$AA$1424)&lt;3,"",AVERAGE($AA$1422:$AA$1424))</f>
        <v>0</v>
      </c>
      <c r="AC1424">
        <f>IF($E1424="","",MAX($C1424-$D1424,ABS($C1424-$E1423),ABS($D1424-$E1423)))</f>
        <v>0</v>
      </c>
      <c r="AD1424">
        <f>IF(COUNT($E$2:$E1424)&lt;15,"",AVERAGE($AC$1411:$AC$1424))</f>
        <v>0</v>
      </c>
      <c r="AE1424">
        <f>IF(OR($E1424="",$E1423=""),"",IF(AND(($C1424-$C1423)&gt;($D1423-$D1424),($C1424-$C1423)&gt;0),$C1424-$C1423,0))</f>
        <v>0</v>
      </c>
      <c r="AF1424">
        <f>IF(OR($E1424="",$E1423=""),"",IF(AND(($D1423-$D1424)&gt;($C1424-$C1423),($D1423-$D1424)&gt;0),$D1423-$D1424,0))</f>
        <v>0</v>
      </c>
      <c r="AG1424">
        <f>IF(COUNT($E$2:$E1424)&lt;15,"",IF(SUM($AC$1411:$AC$1424)=0,0,100*SUM($AE$1411:$AE$1424)/SUM($AC$1411:$AC$1424)))</f>
        <v>0</v>
      </c>
      <c r="AH1424">
        <f>IF(COUNT($E$2:$E1424)&lt;15,"",IF(SUM($AC$1411:$AC$1424)=0,0,100*SUM($AF$1411:$AF$1424)/SUM($AC$1411:$AC$1424)))</f>
        <v>0</v>
      </c>
      <c r="AI1424">
        <f>IF(OR(AG1424="",AH1424=""),"",IF((AG1424+AH1424)=0,0,100*ABS(AG1424-AH1424)/(AG1424+AH1424)))</f>
        <v>0</v>
      </c>
      <c r="AJ1424">
        <f>IF(COUNT($AI$1411:$AI$1424)&lt;14,"",AVERAGE($AI$1411:$AI$1424))</f>
        <v>0</v>
      </c>
      <c r="AK1424">
        <f>IF(COUNT($E$2:$E1424)&lt;20,"",AVERAGE($E$1405:$E$1424))</f>
        <v>0</v>
      </c>
      <c r="AL1424">
        <f>IF(COUNT($E$2:$E1424)&lt;20,"",STDEVP($E$1405:$E$1424))</f>
        <v>0</v>
      </c>
      <c r="AM1424">
        <f>IF(AK1424="","",AK1424+2*AL1424)</f>
        <v>0</v>
      </c>
      <c r="AN1424">
        <f>IF(AK1424="","",AK1424-2*AL1424)</f>
        <v>0</v>
      </c>
      <c r="AO1424">
        <f>IF(OR(AM1424="",AN1424="",AM1424=AN1424),"",($E1424-AN1424)/(AM1424-AN1424))</f>
        <v>0</v>
      </c>
      <c r="AP1424">
        <f>IF(OR(AM1424="",AK1424="",AK1424=0),"",(AM1424-AN1424)/AK1424)</f>
        <v>0</v>
      </c>
      <c r="AQ1424">
        <f>IF(COUNT($E$2:$E1424)&lt;20,"",MAX($C$1405:$C$1424))</f>
        <v>0</v>
      </c>
      <c r="AR1424">
        <f>IF(COUNT($E$2:$E1424)&lt;20,"",MIN($D$1405:$D$1424))</f>
        <v>0</v>
      </c>
      <c r="AS1424">
        <f>IF(OR(AQ1424="",AR1424=""),"",(AQ1424+AR1424)/2)</f>
        <v>0</v>
      </c>
      <c r="AT1424">
        <f>IF(COUNT($G$1405:$G$1424)&lt;20,"",STDEV($G$1405:$G$1424)*SQRT(252))</f>
        <v>0</v>
      </c>
      <c r="AU1424">
        <f>IF(COUNT($E$2:$E1424)&lt;9,"",(MAX($C$1416:$C$1424)+MIN($D$1416:$D$1424))/2)</f>
        <v>0</v>
      </c>
      <c r="AV1424">
        <f>IF(COUNT($E$2:$E1424)&lt;26,"",(MAX($C$1399:$C$1424)+MIN($D$1399:$D$1424))/2)</f>
        <v>0</v>
      </c>
      <c r="AW1424">
        <f>IF(OR(AU1424="",AV1424=""),"",(AU1424+AV1424)/2)</f>
        <v>0</v>
      </c>
      <c r="AX1424">
        <f>IF(COUNT($E$2:$E1424)&lt;52,"",(MAX($C$1373:$C$1424)+MIN($D$1373:$D$1424))/2)</f>
        <v>0</v>
      </c>
      <c r="AY1424">
        <f>IF(COUNT($E$2:$E1424)&lt;20,"",MAX($C$1325:$C$1424))</f>
        <v>0</v>
      </c>
      <c r="AZ1424">
        <f>IF(COUNT($E$2:$E1424)&lt;20,"",MIN($D$1325:$D$1424))</f>
        <v>0</v>
      </c>
      <c r="BA1424">
        <f>IF(COUNT($E$2:$E1424)&lt;20,"",SLOPE($E$1325:$E$1424,$F$1325:$F$1424))</f>
        <v>0</v>
      </c>
      <c r="BB1424">
        <f>IF(COUNT($E$2:$E1424)&lt;20,"",INTERCEPT($E$1325:$E$1424,$F$1325:$F$1424))</f>
        <v>0</v>
      </c>
      <c r="BC1424">
        <f>IF(OR(BA1424="",BB1424=""),"",BB1424+BA1424*F1424)</f>
        <v>0</v>
      </c>
      <c r="BD1424">
        <f>IF(COUNT($E$2:$E1424)&lt;20,"",STEYX($E$1325:$E$1424,$F$1325:$F$1424))</f>
        <v>0</v>
      </c>
      <c r="BE1424">
        <f>IF($E1424="","",IF(AND(COUNT($E$1425:$E$1428)&gt;=4,$C1424=MAX($C$1420:$C$1428)),$C1424,""))</f>
        <v>0</v>
      </c>
      <c r="BF1424">
        <f>IF($E1424="","",IF(AND(COUNT($E$1425:$E$1428)&gt;=4,$D1424=MIN($D$1420:$D$1428)),$D1424,""))</f>
        <v>0</v>
      </c>
      <c r="BG1424">
        <f>IF($A1424="","",$A1424-WEEKDAY($A1424,2)+1)</f>
        <v>0</v>
      </c>
      <c r="BH1424">
        <f>IF($A1424="","",IF($A1423="",1,IF(BG1424&lt;&gt;BG1423,1,0)))</f>
        <v>0</v>
      </c>
      <c r="BI1424">
        <f>IF($A1424="","",IF($A1425="",1,IF(BG1425&lt;&gt;BG1424,1,0)))</f>
        <v>0</v>
      </c>
      <c r="BJ1424">
        <f>IF($A1424="","",IF(BH1424=1,$B1424,BJ1423))</f>
        <v>0</v>
      </c>
      <c r="BK1424">
        <f>IF($A1424="","",IF(BH1424=1,$C1424,MAX($C1424,BK1423)))</f>
        <v>0</v>
      </c>
      <c r="BL1424">
        <f>IF($A1424="","",IF(BH1424=1,$D1424,MIN($D1424,BL1423)))</f>
        <v>0</v>
      </c>
      <c r="BM1424">
        <f>IF($A1424="","",IF(BI1424=1,F1424,""))</f>
        <v>0</v>
      </c>
      <c r="BN1424">
        <f>IF($A1424="","",DATE(YEAR($A1424),MONTH($A1424),1))</f>
        <v>0</v>
      </c>
      <c r="BO1424">
        <f>IF($A1424="","",IF($A1423="",1,IF(BN1424&lt;&gt;BN1423,1,0)))</f>
        <v>0</v>
      </c>
      <c r="BP1424">
        <f>IF($A1424="","",IF($A1425="",1,IF(BN1425&lt;&gt;BN1424,1,0)))</f>
        <v>0</v>
      </c>
      <c r="BQ1424">
        <f>IF($A1424="","",IF(BO1424=1,$B1424,BQ1423))</f>
        <v>0</v>
      </c>
      <c r="BR1424">
        <f>IF($A1424="","",IF(BO1424=1,$C1424,MAX($C1424,BR1423)))</f>
        <v>0</v>
      </c>
      <c r="BS1424">
        <f>IF($A1424="","",IF(BO1424=1,$D1424,MIN($D1424,BS1423)))</f>
        <v>0</v>
      </c>
      <c r="BT1424">
        <f>IF($A1424="","",IF(BP1424=1,F1424,""))</f>
        <v>0</v>
      </c>
    </row>
    <row r="1425" spans="1:72">
      <c r="A1425" s="27">
        <f>IF(Data!$A1425="","",Data!$A1425)</f>
        <v>0</v>
      </c>
      <c r="B1425">
        <f>IF(Data!$B1425="","",Data!$B1425)</f>
        <v>0</v>
      </c>
      <c r="C1425">
        <f>IF(Data!$C1425="","",Data!$C1425)</f>
        <v>0</v>
      </c>
      <c r="D1425">
        <f>IF(Data!$D1425="","",Data!$D1425)</f>
        <v>0</v>
      </c>
      <c r="E1425">
        <f>IF(Data!$E1425="","",Data!$E1425)</f>
        <v>0</v>
      </c>
      <c r="F1425">
        <f>IF($E1425="","",N(F1424)+1)</f>
        <v>0</v>
      </c>
      <c r="G1425">
        <f>IF(OR($E1425="",$E1424=""),"",LN($E1425/$E1424))</f>
        <v>0</v>
      </c>
      <c r="H1425">
        <f>IF($E1425="","",IF($E1424="",$E1425,$E1425*0.0952380952+H1424*0.9047619048))</f>
        <v>0</v>
      </c>
      <c r="I1425">
        <f>IF($E1425="","",IF($E1424="",$E1425,$E1425*0.0392156863+I1424*0.9607843137))</f>
        <v>0</v>
      </c>
      <c r="J1425">
        <f>IF($E1425="","",IF($E1424="",$E1425,$E1425*0.0198019802+J1424*0.9801980198))</f>
        <v>0</v>
      </c>
      <c r="K1425">
        <f>IF($E1425="","",IF($E1424="",$E1425,$E1425*0.0099502488+K1424*0.9900497512))</f>
        <v>0</v>
      </c>
      <c r="L1425">
        <f>IF(OR($E1425="",$E1424=""),"",MAX($E1425-$E1424,0))</f>
        <v>0</v>
      </c>
      <c r="M1425">
        <f>IF(OR($E1425="",$E1424=""),"",MAX($E1424-$E1425,0))</f>
        <v>0</v>
      </c>
      <c r="N1425">
        <f>IF(COUNT($E$2:$E1425)&lt;15,"",IF(AVERAGE($M$1412:$M$1425)=0,100,100-100/(1+AVERAGE($L$1412:$L$1425)/AVERAGE($M$1412:$M$1425))))</f>
        <v>0</v>
      </c>
      <c r="O1425">
        <f>IF($E1425="","",IF($E1424="",$E1425,$E1425*0.1538461538+O1424*0.8461538462))</f>
        <v>0</v>
      </c>
      <c r="P1425">
        <f>IF($E1425="","",IF($E1424="",$E1425,$E1425*0.0740740741+P1424*0.9259259259))</f>
        <v>0</v>
      </c>
      <c r="Q1425">
        <f>IF(OR(O1425="",P1425=""),"",O1425-P1425)</f>
        <v>0</v>
      </c>
      <c r="R1425">
        <f>IF(Q1425="","",IF(R1424="",Q1425,Q1425*0.2000000000+R1424*0.8000000000))</f>
        <v>0</v>
      </c>
      <c r="S1425">
        <f>IF(OR(Q1425="",R1425=""),"",Q1425-R1425)</f>
        <v>0</v>
      </c>
      <c r="T1425">
        <f>IF(COUNT($E$2:$E1425)&lt;14,"",MAX($C$1412:$C$1425))</f>
        <v>0</v>
      </c>
      <c r="U1425">
        <f>IF(COUNT($E$2:$E1425)&lt;14,"",MIN($D$1412:$D$1425))</f>
        <v>0</v>
      </c>
      <c r="V1425">
        <f>IF(OR(T1425="",U1425="",T1425=U1425),"",100*($E1425-U1425)/(T1425-U1425))</f>
        <v>0</v>
      </c>
      <c r="W1425">
        <f>IF(COUNT($V$1423:$V$1425)&lt;3,"",AVERAGE($V$1423:$V$1425))</f>
        <v>0</v>
      </c>
      <c r="X1425">
        <f>IF(COUNT($N$1412:$N$1425)&lt;14,"",MIN($N$1412:$N$1425))</f>
        <v>0</v>
      </c>
      <c r="Y1425">
        <f>IF(COUNT($N$1412:$N$1425)&lt;14,"",MAX($N$1412:$N$1425))</f>
        <v>0</v>
      </c>
      <c r="Z1425">
        <f>IF(OR(N1425="",X1425="",Y1425="",Y1425=X1425),"",100*(N1425-X1425)/(Y1425-X1425))</f>
        <v>0</v>
      </c>
      <c r="AA1425">
        <f>IF(COUNT($Z$1423:$Z$1425)&lt;3,"",AVERAGE($Z$1423:$Z$1425))</f>
        <v>0</v>
      </c>
      <c r="AB1425">
        <f>IF(COUNT($AA$1423:$AA$1425)&lt;3,"",AVERAGE($AA$1423:$AA$1425))</f>
        <v>0</v>
      </c>
      <c r="AC1425">
        <f>IF($E1425="","",MAX($C1425-$D1425,ABS($C1425-$E1424),ABS($D1425-$E1424)))</f>
        <v>0</v>
      </c>
      <c r="AD1425">
        <f>IF(COUNT($E$2:$E1425)&lt;15,"",AVERAGE($AC$1412:$AC$1425))</f>
        <v>0</v>
      </c>
      <c r="AE1425">
        <f>IF(OR($E1425="",$E1424=""),"",IF(AND(($C1425-$C1424)&gt;($D1424-$D1425),($C1425-$C1424)&gt;0),$C1425-$C1424,0))</f>
        <v>0</v>
      </c>
      <c r="AF1425">
        <f>IF(OR($E1425="",$E1424=""),"",IF(AND(($D1424-$D1425)&gt;($C1425-$C1424),($D1424-$D1425)&gt;0),$D1424-$D1425,0))</f>
        <v>0</v>
      </c>
      <c r="AG1425">
        <f>IF(COUNT($E$2:$E1425)&lt;15,"",IF(SUM($AC$1412:$AC$1425)=0,0,100*SUM($AE$1412:$AE$1425)/SUM($AC$1412:$AC$1425)))</f>
        <v>0</v>
      </c>
      <c r="AH1425">
        <f>IF(COUNT($E$2:$E1425)&lt;15,"",IF(SUM($AC$1412:$AC$1425)=0,0,100*SUM($AF$1412:$AF$1425)/SUM($AC$1412:$AC$1425)))</f>
        <v>0</v>
      </c>
      <c r="AI1425">
        <f>IF(OR(AG1425="",AH1425=""),"",IF((AG1425+AH1425)=0,0,100*ABS(AG1425-AH1425)/(AG1425+AH1425)))</f>
        <v>0</v>
      </c>
      <c r="AJ1425">
        <f>IF(COUNT($AI$1412:$AI$1425)&lt;14,"",AVERAGE($AI$1412:$AI$1425))</f>
        <v>0</v>
      </c>
      <c r="AK1425">
        <f>IF(COUNT($E$2:$E1425)&lt;20,"",AVERAGE($E$1406:$E$1425))</f>
        <v>0</v>
      </c>
      <c r="AL1425">
        <f>IF(COUNT($E$2:$E1425)&lt;20,"",STDEVP($E$1406:$E$1425))</f>
        <v>0</v>
      </c>
      <c r="AM1425">
        <f>IF(AK1425="","",AK1425+2*AL1425)</f>
        <v>0</v>
      </c>
      <c r="AN1425">
        <f>IF(AK1425="","",AK1425-2*AL1425)</f>
        <v>0</v>
      </c>
      <c r="AO1425">
        <f>IF(OR(AM1425="",AN1425="",AM1425=AN1425),"",($E1425-AN1425)/(AM1425-AN1425))</f>
        <v>0</v>
      </c>
      <c r="AP1425">
        <f>IF(OR(AM1425="",AK1425="",AK1425=0),"",(AM1425-AN1425)/AK1425)</f>
        <v>0</v>
      </c>
      <c r="AQ1425">
        <f>IF(COUNT($E$2:$E1425)&lt;20,"",MAX($C$1406:$C$1425))</f>
        <v>0</v>
      </c>
      <c r="AR1425">
        <f>IF(COUNT($E$2:$E1425)&lt;20,"",MIN($D$1406:$D$1425))</f>
        <v>0</v>
      </c>
      <c r="AS1425">
        <f>IF(OR(AQ1425="",AR1425=""),"",(AQ1425+AR1425)/2)</f>
        <v>0</v>
      </c>
      <c r="AT1425">
        <f>IF(COUNT($G$1406:$G$1425)&lt;20,"",STDEV($G$1406:$G$1425)*SQRT(252))</f>
        <v>0</v>
      </c>
      <c r="AU1425">
        <f>IF(COUNT($E$2:$E1425)&lt;9,"",(MAX($C$1417:$C$1425)+MIN($D$1417:$D$1425))/2)</f>
        <v>0</v>
      </c>
      <c r="AV1425">
        <f>IF(COUNT($E$2:$E1425)&lt;26,"",(MAX($C$1400:$C$1425)+MIN($D$1400:$D$1425))/2)</f>
        <v>0</v>
      </c>
      <c r="AW1425">
        <f>IF(OR(AU1425="",AV1425=""),"",(AU1425+AV1425)/2)</f>
        <v>0</v>
      </c>
      <c r="AX1425">
        <f>IF(COUNT($E$2:$E1425)&lt;52,"",(MAX($C$1374:$C$1425)+MIN($D$1374:$D$1425))/2)</f>
        <v>0</v>
      </c>
      <c r="AY1425">
        <f>IF(COUNT($E$2:$E1425)&lt;20,"",MAX($C$1326:$C$1425))</f>
        <v>0</v>
      </c>
      <c r="AZ1425">
        <f>IF(COUNT($E$2:$E1425)&lt;20,"",MIN($D$1326:$D$1425))</f>
        <v>0</v>
      </c>
      <c r="BA1425">
        <f>IF(COUNT($E$2:$E1425)&lt;20,"",SLOPE($E$1326:$E$1425,$F$1326:$F$1425))</f>
        <v>0</v>
      </c>
      <c r="BB1425">
        <f>IF(COUNT($E$2:$E1425)&lt;20,"",INTERCEPT($E$1326:$E$1425,$F$1326:$F$1425))</f>
        <v>0</v>
      </c>
      <c r="BC1425">
        <f>IF(OR(BA1425="",BB1425=""),"",BB1425+BA1425*F1425)</f>
        <v>0</v>
      </c>
      <c r="BD1425">
        <f>IF(COUNT($E$2:$E1425)&lt;20,"",STEYX($E$1326:$E$1425,$F$1326:$F$1425))</f>
        <v>0</v>
      </c>
      <c r="BE1425">
        <f>IF($E1425="","",IF(AND(COUNT($E$1426:$E$1429)&gt;=4,$C1425=MAX($C$1421:$C$1429)),$C1425,""))</f>
        <v>0</v>
      </c>
      <c r="BF1425">
        <f>IF($E1425="","",IF(AND(COUNT($E$1426:$E$1429)&gt;=4,$D1425=MIN($D$1421:$D$1429)),$D1425,""))</f>
        <v>0</v>
      </c>
      <c r="BG1425">
        <f>IF($A1425="","",$A1425-WEEKDAY($A1425,2)+1)</f>
        <v>0</v>
      </c>
      <c r="BH1425">
        <f>IF($A1425="","",IF($A1424="",1,IF(BG1425&lt;&gt;BG1424,1,0)))</f>
        <v>0</v>
      </c>
      <c r="BI1425">
        <f>IF($A1425="","",IF($A1426="",1,IF(BG1426&lt;&gt;BG1425,1,0)))</f>
        <v>0</v>
      </c>
      <c r="BJ1425">
        <f>IF($A1425="","",IF(BH1425=1,$B1425,BJ1424))</f>
        <v>0</v>
      </c>
      <c r="BK1425">
        <f>IF($A1425="","",IF(BH1425=1,$C1425,MAX($C1425,BK1424)))</f>
        <v>0</v>
      </c>
      <c r="BL1425">
        <f>IF($A1425="","",IF(BH1425=1,$D1425,MIN($D1425,BL1424)))</f>
        <v>0</v>
      </c>
      <c r="BM1425">
        <f>IF($A1425="","",IF(BI1425=1,F1425,""))</f>
        <v>0</v>
      </c>
      <c r="BN1425">
        <f>IF($A1425="","",DATE(YEAR($A1425),MONTH($A1425),1))</f>
        <v>0</v>
      </c>
      <c r="BO1425">
        <f>IF($A1425="","",IF($A1424="",1,IF(BN1425&lt;&gt;BN1424,1,0)))</f>
        <v>0</v>
      </c>
      <c r="BP1425">
        <f>IF($A1425="","",IF($A1426="",1,IF(BN1426&lt;&gt;BN1425,1,0)))</f>
        <v>0</v>
      </c>
      <c r="BQ1425">
        <f>IF($A1425="","",IF(BO1425=1,$B1425,BQ1424))</f>
        <v>0</v>
      </c>
      <c r="BR1425">
        <f>IF($A1425="","",IF(BO1425=1,$C1425,MAX($C1425,BR1424)))</f>
        <v>0</v>
      </c>
      <c r="BS1425">
        <f>IF($A1425="","",IF(BO1425=1,$D1425,MIN($D1425,BS1424)))</f>
        <v>0</v>
      </c>
      <c r="BT1425">
        <f>IF($A1425="","",IF(BP1425=1,F1425,""))</f>
        <v>0</v>
      </c>
    </row>
    <row r="1426" spans="1:72">
      <c r="A1426" s="27">
        <f>IF(Data!$A1426="","",Data!$A1426)</f>
        <v>0</v>
      </c>
      <c r="B1426">
        <f>IF(Data!$B1426="","",Data!$B1426)</f>
        <v>0</v>
      </c>
      <c r="C1426">
        <f>IF(Data!$C1426="","",Data!$C1426)</f>
        <v>0</v>
      </c>
      <c r="D1426">
        <f>IF(Data!$D1426="","",Data!$D1426)</f>
        <v>0</v>
      </c>
      <c r="E1426">
        <f>IF(Data!$E1426="","",Data!$E1426)</f>
        <v>0</v>
      </c>
      <c r="F1426">
        <f>IF($E1426="","",N(F1425)+1)</f>
        <v>0</v>
      </c>
      <c r="G1426">
        <f>IF(OR($E1426="",$E1425=""),"",LN($E1426/$E1425))</f>
        <v>0</v>
      </c>
      <c r="H1426">
        <f>IF($E1426="","",IF($E1425="",$E1426,$E1426*0.0952380952+H1425*0.9047619048))</f>
        <v>0</v>
      </c>
      <c r="I1426">
        <f>IF($E1426="","",IF($E1425="",$E1426,$E1426*0.0392156863+I1425*0.9607843137))</f>
        <v>0</v>
      </c>
      <c r="J1426">
        <f>IF($E1426="","",IF($E1425="",$E1426,$E1426*0.0198019802+J1425*0.9801980198))</f>
        <v>0</v>
      </c>
      <c r="K1426">
        <f>IF($E1426="","",IF($E1425="",$E1426,$E1426*0.0099502488+K1425*0.9900497512))</f>
        <v>0</v>
      </c>
      <c r="L1426">
        <f>IF(OR($E1426="",$E1425=""),"",MAX($E1426-$E1425,0))</f>
        <v>0</v>
      </c>
      <c r="M1426">
        <f>IF(OR($E1426="",$E1425=""),"",MAX($E1425-$E1426,0))</f>
        <v>0</v>
      </c>
      <c r="N1426">
        <f>IF(COUNT($E$2:$E1426)&lt;15,"",IF(AVERAGE($M$1413:$M$1426)=0,100,100-100/(1+AVERAGE($L$1413:$L$1426)/AVERAGE($M$1413:$M$1426))))</f>
        <v>0</v>
      </c>
      <c r="O1426">
        <f>IF($E1426="","",IF($E1425="",$E1426,$E1426*0.1538461538+O1425*0.8461538462))</f>
        <v>0</v>
      </c>
      <c r="P1426">
        <f>IF($E1426="","",IF($E1425="",$E1426,$E1426*0.0740740741+P1425*0.9259259259))</f>
        <v>0</v>
      </c>
      <c r="Q1426">
        <f>IF(OR(O1426="",P1426=""),"",O1426-P1426)</f>
        <v>0</v>
      </c>
      <c r="R1426">
        <f>IF(Q1426="","",IF(R1425="",Q1426,Q1426*0.2000000000+R1425*0.8000000000))</f>
        <v>0</v>
      </c>
      <c r="S1426">
        <f>IF(OR(Q1426="",R1426=""),"",Q1426-R1426)</f>
        <v>0</v>
      </c>
      <c r="T1426">
        <f>IF(COUNT($E$2:$E1426)&lt;14,"",MAX($C$1413:$C$1426))</f>
        <v>0</v>
      </c>
      <c r="U1426">
        <f>IF(COUNT($E$2:$E1426)&lt;14,"",MIN($D$1413:$D$1426))</f>
        <v>0</v>
      </c>
      <c r="V1426">
        <f>IF(OR(T1426="",U1426="",T1426=U1426),"",100*($E1426-U1426)/(T1426-U1426))</f>
        <v>0</v>
      </c>
      <c r="W1426">
        <f>IF(COUNT($V$1424:$V$1426)&lt;3,"",AVERAGE($V$1424:$V$1426))</f>
        <v>0</v>
      </c>
      <c r="X1426">
        <f>IF(COUNT($N$1413:$N$1426)&lt;14,"",MIN($N$1413:$N$1426))</f>
        <v>0</v>
      </c>
      <c r="Y1426">
        <f>IF(COUNT($N$1413:$N$1426)&lt;14,"",MAX($N$1413:$N$1426))</f>
        <v>0</v>
      </c>
      <c r="Z1426">
        <f>IF(OR(N1426="",X1426="",Y1426="",Y1426=X1426),"",100*(N1426-X1426)/(Y1426-X1426))</f>
        <v>0</v>
      </c>
      <c r="AA1426">
        <f>IF(COUNT($Z$1424:$Z$1426)&lt;3,"",AVERAGE($Z$1424:$Z$1426))</f>
        <v>0</v>
      </c>
      <c r="AB1426">
        <f>IF(COUNT($AA$1424:$AA$1426)&lt;3,"",AVERAGE($AA$1424:$AA$1426))</f>
        <v>0</v>
      </c>
      <c r="AC1426">
        <f>IF($E1426="","",MAX($C1426-$D1426,ABS($C1426-$E1425),ABS($D1426-$E1425)))</f>
        <v>0</v>
      </c>
      <c r="AD1426">
        <f>IF(COUNT($E$2:$E1426)&lt;15,"",AVERAGE($AC$1413:$AC$1426))</f>
        <v>0</v>
      </c>
      <c r="AE1426">
        <f>IF(OR($E1426="",$E1425=""),"",IF(AND(($C1426-$C1425)&gt;($D1425-$D1426),($C1426-$C1425)&gt;0),$C1426-$C1425,0))</f>
        <v>0</v>
      </c>
      <c r="AF1426">
        <f>IF(OR($E1426="",$E1425=""),"",IF(AND(($D1425-$D1426)&gt;($C1426-$C1425),($D1425-$D1426)&gt;0),$D1425-$D1426,0))</f>
        <v>0</v>
      </c>
      <c r="AG1426">
        <f>IF(COUNT($E$2:$E1426)&lt;15,"",IF(SUM($AC$1413:$AC$1426)=0,0,100*SUM($AE$1413:$AE$1426)/SUM($AC$1413:$AC$1426)))</f>
        <v>0</v>
      </c>
      <c r="AH1426">
        <f>IF(COUNT($E$2:$E1426)&lt;15,"",IF(SUM($AC$1413:$AC$1426)=0,0,100*SUM($AF$1413:$AF$1426)/SUM($AC$1413:$AC$1426)))</f>
        <v>0</v>
      </c>
      <c r="AI1426">
        <f>IF(OR(AG1426="",AH1426=""),"",IF((AG1426+AH1426)=0,0,100*ABS(AG1426-AH1426)/(AG1426+AH1426)))</f>
        <v>0</v>
      </c>
      <c r="AJ1426">
        <f>IF(COUNT($AI$1413:$AI$1426)&lt;14,"",AVERAGE($AI$1413:$AI$1426))</f>
        <v>0</v>
      </c>
      <c r="AK1426">
        <f>IF(COUNT($E$2:$E1426)&lt;20,"",AVERAGE($E$1407:$E$1426))</f>
        <v>0</v>
      </c>
      <c r="AL1426">
        <f>IF(COUNT($E$2:$E1426)&lt;20,"",STDEVP($E$1407:$E$1426))</f>
        <v>0</v>
      </c>
      <c r="AM1426">
        <f>IF(AK1426="","",AK1426+2*AL1426)</f>
        <v>0</v>
      </c>
      <c r="AN1426">
        <f>IF(AK1426="","",AK1426-2*AL1426)</f>
        <v>0</v>
      </c>
      <c r="AO1426">
        <f>IF(OR(AM1426="",AN1426="",AM1426=AN1426),"",($E1426-AN1426)/(AM1426-AN1426))</f>
        <v>0</v>
      </c>
      <c r="AP1426">
        <f>IF(OR(AM1426="",AK1426="",AK1426=0),"",(AM1426-AN1426)/AK1426)</f>
        <v>0</v>
      </c>
      <c r="AQ1426">
        <f>IF(COUNT($E$2:$E1426)&lt;20,"",MAX($C$1407:$C$1426))</f>
        <v>0</v>
      </c>
      <c r="AR1426">
        <f>IF(COUNT($E$2:$E1426)&lt;20,"",MIN($D$1407:$D$1426))</f>
        <v>0</v>
      </c>
      <c r="AS1426">
        <f>IF(OR(AQ1426="",AR1426=""),"",(AQ1426+AR1426)/2)</f>
        <v>0</v>
      </c>
      <c r="AT1426">
        <f>IF(COUNT($G$1407:$G$1426)&lt;20,"",STDEV($G$1407:$G$1426)*SQRT(252))</f>
        <v>0</v>
      </c>
      <c r="AU1426">
        <f>IF(COUNT($E$2:$E1426)&lt;9,"",(MAX($C$1418:$C$1426)+MIN($D$1418:$D$1426))/2)</f>
        <v>0</v>
      </c>
      <c r="AV1426">
        <f>IF(COUNT($E$2:$E1426)&lt;26,"",(MAX($C$1401:$C$1426)+MIN($D$1401:$D$1426))/2)</f>
        <v>0</v>
      </c>
      <c r="AW1426">
        <f>IF(OR(AU1426="",AV1426=""),"",(AU1426+AV1426)/2)</f>
        <v>0</v>
      </c>
      <c r="AX1426">
        <f>IF(COUNT($E$2:$E1426)&lt;52,"",(MAX($C$1375:$C$1426)+MIN($D$1375:$D$1426))/2)</f>
        <v>0</v>
      </c>
      <c r="AY1426">
        <f>IF(COUNT($E$2:$E1426)&lt;20,"",MAX($C$1327:$C$1426))</f>
        <v>0</v>
      </c>
      <c r="AZ1426">
        <f>IF(COUNT($E$2:$E1426)&lt;20,"",MIN($D$1327:$D$1426))</f>
        <v>0</v>
      </c>
      <c r="BA1426">
        <f>IF(COUNT($E$2:$E1426)&lt;20,"",SLOPE($E$1327:$E$1426,$F$1327:$F$1426))</f>
        <v>0</v>
      </c>
      <c r="BB1426">
        <f>IF(COUNT($E$2:$E1426)&lt;20,"",INTERCEPT($E$1327:$E$1426,$F$1327:$F$1426))</f>
        <v>0</v>
      </c>
      <c r="BC1426">
        <f>IF(OR(BA1426="",BB1426=""),"",BB1426+BA1426*F1426)</f>
        <v>0</v>
      </c>
      <c r="BD1426">
        <f>IF(COUNT($E$2:$E1426)&lt;20,"",STEYX($E$1327:$E$1426,$F$1327:$F$1426))</f>
        <v>0</v>
      </c>
      <c r="BE1426">
        <f>IF($E1426="","",IF(AND(COUNT($E$1427:$E$1430)&gt;=4,$C1426=MAX($C$1422:$C$1430)),$C1426,""))</f>
        <v>0</v>
      </c>
      <c r="BF1426">
        <f>IF($E1426="","",IF(AND(COUNT($E$1427:$E$1430)&gt;=4,$D1426=MIN($D$1422:$D$1430)),$D1426,""))</f>
        <v>0</v>
      </c>
      <c r="BG1426">
        <f>IF($A1426="","",$A1426-WEEKDAY($A1426,2)+1)</f>
        <v>0</v>
      </c>
      <c r="BH1426">
        <f>IF($A1426="","",IF($A1425="",1,IF(BG1426&lt;&gt;BG1425,1,0)))</f>
        <v>0</v>
      </c>
      <c r="BI1426">
        <f>IF($A1426="","",IF($A1427="",1,IF(BG1427&lt;&gt;BG1426,1,0)))</f>
        <v>0</v>
      </c>
      <c r="BJ1426">
        <f>IF($A1426="","",IF(BH1426=1,$B1426,BJ1425))</f>
        <v>0</v>
      </c>
      <c r="BK1426">
        <f>IF($A1426="","",IF(BH1426=1,$C1426,MAX($C1426,BK1425)))</f>
        <v>0</v>
      </c>
      <c r="BL1426">
        <f>IF($A1426="","",IF(BH1426=1,$D1426,MIN($D1426,BL1425)))</f>
        <v>0</v>
      </c>
      <c r="BM1426">
        <f>IF($A1426="","",IF(BI1426=1,F1426,""))</f>
        <v>0</v>
      </c>
      <c r="BN1426">
        <f>IF($A1426="","",DATE(YEAR($A1426),MONTH($A1426),1))</f>
        <v>0</v>
      </c>
      <c r="BO1426">
        <f>IF($A1426="","",IF($A1425="",1,IF(BN1426&lt;&gt;BN1425,1,0)))</f>
        <v>0</v>
      </c>
      <c r="BP1426">
        <f>IF($A1426="","",IF($A1427="",1,IF(BN1427&lt;&gt;BN1426,1,0)))</f>
        <v>0</v>
      </c>
      <c r="BQ1426">
        <f>IF($A1426="","",IF(BO1426=1,$B1426,BQ1425))</f>
        <v>0</v>
      </c>
      <c r="BR1426">
        <f>IF($A1426="","",IF(BO1426=1,$C1426,MAX($C1426,BR1425)))</f>
        <v>0</v>
      </c>
      <c r="BS1426">
        <f>IF($A1426="","",IF(BO1426=1,$D1426,MIN($D1426,BS1425)))</f>
        <v>0</v>
      </c>
      <c r="BT1426">
        <f>IF($A1426="","",IF(BP1426=1,F1426,""))</f>
        <v>0</v>
      </c>
    </row>
    <row r="1427" spans="1:72">
      <c r="A1427" s="27">
        <f>IF(Data!$A1427="","",Data!$A1427)</f>
        <v>0</v>
      </c>
      <c r="B1427">
        <f>IF(Data!$B1427="","",Data!$B1427)</f>
        <v>0</v>
      </c>
      <c r="C1427">
        <f>IF(Data!$C1427="","",Data!$C1427)</f>
        <v>0</v>
      </c>
      <c r="D1427">
        <f>IF(Data!$D1427="","",Data!$D1427)</f>
        <v>0</v>
      </c>
      <c r="E1427">
        <f>IF(Data!$E1427="","",Data!$E1427)</f>
        <v>0</v>
      </c>
      <c r="F1427">
        <f>IF($E1427="","",N(F1426)+1)</f>
        <v>0</v>
      </c>
      <c r="G1427">
        <f>IF(OR($E1427="",$E1426=""),"",LN($E1427/$E1426))</f>
        <v>0</v>
      </c>
      <c r="H1427">
        <f>IF($E1427="","",IF($E1426="",$E1427,$E1427*0.0952380952+H1426*0.9047619048))</f>
        <v>0</v>
      </c>
      <c r="I1427">
        <f>IF($E1427="","",IF($E1426="",$E1427,$E1427*0.0392156863+I1426*0.9607843137))</f>
        <v>0</v>
      </c>
      <c r="J1427">
        <f>IF($E1427="","",IF($E1426="",$E1427,$E1427*0.0198019802+J1426*0.9801980198))</f>
        <v>0</v>
      </c>
      <c r="K1427">
        <f>IF($E1427="","",IF($E1426="",$E1427,$E1427*0.0099502488+K1426*0.9900497512))</f>
        <v>0</v>
      </c>
      <c r="L1427">
        <f>IF(OR($E1427="",$E1426=""),"",MAX($E1427-$E1426,0))</f>
        <v>0</v>
      </c>
      <c r="M1427">
        <f>IF(OR($E1427="",$E1426=""),"",MAX($E1426-$E1427,0))</f>
        <v>0</v>
      </c>
      <c r="N1427">
        <f>IF(COUNT($E$2:$E1427)&lt;15,"",IF(AVERAGE($M$1414:$M$1427)=0,100,100-100/(1+AVERAGE($L$1414:$L$1427)/AVERAGE($M$1414:$M$1427))))</f>
        <v>0</v>
      </c>
      <c r="O1427">
        <f>IF($E1427="","",IF($E1426="",$E1427,$E1427*0.1538461538+O1426*0.8461538462))</f>
        <v>0</v>
      </c>
      <c r="P1427">
        <f>IF($E1427="","",IF($E1426="",$E1427,$E1427*0.0740740741+P1426*0.9259259259))</f>
        <v>0</v>
      </c>
      <c r="Q1427">
        <f>IF(OR(O1427="",P1427=""),"",O1427-P1427)</f>
        <v>0</v>
      </c>
      <c r="R1427">
        <f>IF(Q1427="","",IF(R1426="",Q1427,Q1427*0.2000000000+R1426*0.8000000000))</f>
        <v>0</v>
      </c>
      <c r="S1427">
        <f>IF(OR(Q1427="",R1427=""),"",Q1427-R1427)</f>
        <v>0</v>
      </c>
      <c r="T1427">
        <f>IF(COUNT($E$2:$E1427)&lt;14,"",MAX($C$1414:$C$1427))</f>
        <v>0</v>
      </c>
      <c r="U1427">
        <f>IF(COUNT($E$2:$E1427)&lt;14,"",MIN($D$1414:$D$1427))</f>
        <v>0</v>
      </c>
      <c r="V1427">
        <f>IF(OR(T1427="",U1427="",T1427=U1427),"",100*($E1427-U1427)/(T1427-U1427))</f>
        <v>0</v>
      </c>
      <c r="W1427">
        <f>IF(COUNT($V$1425:$V$1427)&lt;3,"",AVERAGE($V$1425:$V$1427))</f>
        <v>0</v>
      </c>
      <c r="X1427">
        <f>IF(COUNT($N$1414:$N$1427)&lt;14,"",MIN($N$1414:$N$1427))</f>
        <v>0</v>
      </c>
      <c r="Y1427">
        <f>IF(COUNT($N$1414:$N$1427)&lt;14,"",MAX($N$1414:$N$1427))</f>
        <v>0</v>
      </c>
      <c r="Z1427">
        <f>IF(OR(N1427="",X1427="",Y1427="",Y1427=X1427),"",100*(N1427-X1427)/(Y1427-X1427))</f>
        <v>0</v>
      </c>
      <c r="AA1427">
        <f>IF(COUNT($Z$1425:$Z$1427)&lt;3,"",AVERAGE($Z$1425:$Z$1427))</f>
        <v>0</v>
      </c>
      <c r="AB1427">
        <f>IF(COUNT($AA$1425:$AA$1427)&lt;3,"",AVERAGE($AA$1425:$AA$1427))</f>
        <v>0</v>
      </c>
      <c r="AC1427">
        <f>IF($E1427="","",MAX($C1427-$D1427,ABS($C1427-$E1426),ABS($D1427-$E1426)))</f>
        <v>0</v>
      </c>
      <c r="AD1427">
        <f>IF(COUNT($E$2:$E1427)&lt;15,"",AVERAGE($AC$1414:$AC$1427))</f>
        <v>0</v>
      </c>
      <c r="AE1427">
        <f>IF(OR($E1427="",$E1426=""),"",IF(AND(($C1427-$C1426)&gt;($D1426-$D1427),($C1427-$C1426)&gt;0),$C1427-$C1426,0))</f>
        <v>0</v>
      </c>
      <c r="AF1427">
        <f>IF(OR($E1427="",$E1426=""),"",IF(AND(($D1426-$D1427)&gt;($C1427-$C1426),($D1426-$D1427)&gt;0),$D1426-$D1427,0))</f>
        <v>0</v>
      </c>
      <c r="AG1427">
        <f>IF(COUNT($E$2:$E1427)&lt;15,"",IF(SUM($AC$1414:$AC$1427)=0,0,100*SUM($AE$1414:$AE$1427)/SUM($AC$1414:$AC$1427)))</f>
        <v>0</v>
      </c>
      <c r="AH1427">
        <f>IF(COUNT($E$2:$E1427)&lt;15,"",IF(SUM($AC$1414:$AC$1427)=0,0,100*SUM($AF$1414:$AF$1427)/SUM($AC$1414:$AC$1427)))</f>
        <v>0</v>
      </c>
      <c r="AI1427">
        <f>IF(OR(AG1427="",AH1427=""),"",IF((AG1427+AH1427)=0,0,100*ABS(AG1427-AH1427)/(AG1427+AH1427)))</f>
        <v>0</v>
      </c>
      <c r="AJ1427">
        <f>IF(COUNT($AI$1414:$AI$1427)&lt;14,"",AVERAGE($AI$1414:$AI$1427))</f>
        <v>0</v>
      </c>
      <c r="AK1427">
        <f>IF(COUNT($E$2:$E1427)&lt;20,"",AVERAGE($E$1408:$E$1427))</f>
        <v>0</v>
      </c>
      <c r="AL1427">
        <f>IF(COUNT($E$2:$E1427)&lt;20,"",STDEVP($E$1408:$E$1427))</f>
        <v>0</v>
      </c>
      <c r="AM1427">
        <f>IF(AK1427="","",AK1427+2*AL1427)</f>
        <v>0</v>
      </c>
      <c r="AN1427">
        <f>IF(AK1427="","",AK1427-2*AL1427)</f>
        <v>0</v>
      </c>
      <c r="AO1427">
        <f>IF(OR(AM1427="",AN1427="",AM1427=AN1427),"",($E1427-AN1427)/(AM1427-AN1427))</f>
        <v>0</v>
      </c>
      <c r="AP1427">
        <f>IF(OR(AM1427="",AK1427="",AK1427=0),"",(AM1427-AN1427)/AK1427)</f>
        <v>0</v>
      </c>
      <c r="AQ1427">
        <f>IF(COUNT($E$2:$E1427)&lt;20,"",MAX($C$1408:$C$1427))</f>
        <v>0</v>
      </c>
      <c r="AR1427">
        <f>IF(COUNT($E$2:$E1427)&lt;20,"",MIN($D$1408:$D$1427))</f>
        <v>0</v>
      </c>
      <c r="AS1427">
        <f>IF(OR(AQ1427="",AR1427=""),"",(AQ1427+AR1427)/2)</f>
        <v>0</v>
      </c>
      <c r="AT1427">
        <f>IF(COUNT($G$1408:$G$1427)&lt;20,"",STDEV($G$1408:$G$1427)*SQRT(252))</f>
        <v>0</v>
      </c>
      <c r="AU1427">
        <f>IF(COUNT($E$2:$E1427)&lt;9,"",(MAX($C$1419:$C$1427)+MIN($D$1419:$D$1427))/2)</f>
        <v>0</v>
      </c>
      <c r="AV1427">
        <f>IF(COUNT($E$2:$E1427)&lt;26,"",(MAX($C$1402:$C$1427)+MIN($D$1402:$D$1427))/2)</f>
        <v>0</v>
      </c>
      <c r="AW1427">
        <f>IF(OR(AU1427="",AV1427=""),"",(AU1427+AV1427)/2)</f>
        <v>0</v>
      </c>
      <c r="AX1427">
        <f>IF(COUNT($E$2:$E1427)&lt;52,"",(MAX($C$1376:$C$1427)+MIN($D$1376:$D$1427))/2)</f>
        <v>0</v>
      </c>
      <c r="AY1427">
        <f>IF(COUNT($E$2:$E1427)&lt;20,"",MAX($C$1328:$C$1427))</f>
        <v>0</v>
      </c>
      <c r="AZ1427">
        <f>IF(COUNT($E$2:$E1427)&lt;20,"",MIN($D$1328:$D$1427))</f>
        <v>0</v>
      </c>
      <c r="BA1427">
        <f>IF(COUNT($E$2:$E1427)&lt;20,"",SLOPE($E$1328:$E$1427,$F$1328:$F$1427))</f>
        <v>0</v>
      </c>
      <c r="BB1427">
        <f>IF(COUNT($E$2:$E1427)&lt;20,"",INTERCEPT($E$1328:$E$1427,$F$1328:$F$1427))</f>
        <v>0</v>
      </c>
      <c r="BC1427">
        <f>IF(OR(BA1427="",BB1427=""),"",BB1427+BA1427*F1427)</f>
        <v>0</v>
      </c>
      <c r="BD1427">
        <f>IF(COUNT($E$2:$E1427)&lt;20,"",STEYX($E$1328:$E$1427,$F$1328:$F$1427))</f>
        <v>0</v>
      </c>
      <c r="BE1427">
        <f>IF($E1427="","",IF(AND(COUNT($E$1428:$E$1431)&gt;=4,$C1427=MAX($C$1423:$C$1431)),$C1427,""))</f>
        <v>0</v>
      </c>
      <c r="BF1427">
        <f>IF($E1427="","",IF(AND(COUNT($E$1428:$E$1431)&gt;=4,$D1427=MIN($D$1423:$D$1431)),$D1427,""))</f>
        <v>0</v>
      </c>
      <c r="BG1427">
        <f>IF($A1427="","",$A1427-WEEKDAY($A1427,2)+1)</f>
        <v>0</v>
      </c>
      <c r="BH1427">
        <f>IF($A1427="","",IF($A1426="",1,IF(BG1427&lt;&gt;BG1426,1,0)))</f>
        <v>0</v>
      </c>
      <c r="BI1427">
        <f>IF($A1427="","",IF($A1428="",1,IF(BG1428&lt;&gt;BG1427,1,0)))</f>
        <v>0</v>
      </c>
      <c r="BJ1427">
        <f>IF($A1427="","",IF(BH1427=1,$B1427,BJ1426))</f>
        <v>0</v>
      </c>
      <c r="BK1427">
        <f>IF($A1427="","",IF(BH1427=1,$C1427,MAX($C1427,BK1426)))</f>
        <v>0</v>
      </c>
      <c r="BL1427">
        <f>IF($A1427="","",IF(BH1427=1,$D1427,MIN($D1427,BL1426)))</f>
        <v>0</v>
      </c>
      <c r="BM1427">
        <f>IF($A1427="","",IF(BI1427=1,F1427,""))</f>
        <v>0</v>
      </c>
      <c r="BN1427">
        <f>IF($A1427="","",DATE(YEAR($A1427),MONTH($A1427),1))</f>
        <v>0</v>
      </c>
      <c r="BO1427">
        <f>IF($A1427="","",IF($A1426="",1,IF(BN1427&lt;&gt;BN1426,1,0)))</f>
        <v>0</v>
      </c>
      <c r="BP1427">
        <f>IF($A1427="","",IF($A1428="",1,IF(BN1428&lt;&gt;BN1427,1,0)))</f>
        <v>0</v>
      </c>
      <c r="BQ1427">
        <f>IF($A1427="","",IF(BO1427=1,$B1427,BQ1426))</f>
        <v>0</v>
      </c>
      <c r="BR1427">
        <f>IF($A1427="","",IF(BO1427=1,$C1427,MAX($C1427,BR1426)))</f>
        <v>0</v>
      </c>
      <c r="BS1427">
        <f>IF($A1427="","",IF(BO1427=1,$D1427,MIN($D1427,BS1426)))</f>
        <v>0</v>
      </c>
      <c r="BT1427">
        <f>IF($A1427="","",IF(BP1427=1,F1427,""))</f>
        <v>0</v>
      </c>
    </row>
    <row r="1428" spans="1:72">
      <c r="A1428" s="27">
        <f>IF(Data!$A1428="","",Data!$A1428)</f>
        <v>0</v>
      </c>
      <c r="B1428">
        <f>IF(Data!$B1428="","",Data!$B1428)</f>
        <v>0</v>
      </c>
      <c r="C1428">
        <f>IF(Data!$C1428="","",Data!$C1428)</f>
        <v>0</v>
      </c>
      <c r="D1428">
        <f>IF(Data!$D1428="","",Data!$D1428)</f>
        <v>0</v>
      </c>
      <c r="E1428">
        <f>IF(Data!$E1428="","",Data!$E1428)</f>
        <v>0</v>
      </c>
      <c r="F1428">
        <f>IF($E1428="","",N(F1427)+1)</f>
        <v>0</v>
      </c>
      <c r="G1428">
        <f>IF(OR($E1428="",$E1427=""),"",LN($E1428/$E1427))</f>
        <v>0</v>
      </c>
      <c r="H1428">
        <f>IF($E1428="","",IF($E1427="",$E1428,$E1428*0.0952380952+H1427*0.9047619048))</f>
        <v>0</v>
      </c>
      <c r="I1428">
        <f>IF($E1428="","",IF($E1427="",$E1428,$E1428*0.0392156863+I1427*0.9607843137))</f>
        <v>0</v>
      </c>
      <c r="J1428">
        <f>IF($E1428="","",IF($E1427="",$E1428,$E1428*0.0198019802+J1427*0.9801980198))</f>
        <v>0</v>
      </c>
      <c r="K1428">
        <f>IF($E1428="","",IF($E1427="",$E1428,$E1428*0.0099502488+K1427*0.9900497512))</f>
        <v>0</v>
      </c>
      <c r="L1428">
        <f>IF(OR($E1428="",$E1427=""),"",MAX($E1428-$E1427,0))</f>
        <v>0</v>
      </c>
      <c r="M1428">
        <f>IF(OR($E1428="",$E1427=""),"",MAX($E1427-$E1428,0))</f>
        <v>0</v>
      </c>
      <c r="N1428">
        <f>IF(COUNT($E$2:$E1428)&lt;15,"",IF(AVERAGE($M$1415:$M$1428)=0,100,100-100/(1+AVERAGE($L$1415:$L$1428)/AVERAGE($M$1415:$M$1428))))</f>
        <v>0</v>
      </c>
      <c r="O1428">
        <f>IF($E1428="","",IF($E1427="",$E1428,$E1428*0.1538461538+O1427*0.8461538462))</f>
        <v>0</v>
      </c>
      <c r="P1428">
        <f>IF($E1428="","",IF($E1427="",$E1428,$E1428*0.0740740741+P1427*0.9259259259))</f>
        <v>0</v>
      </c>
      <c r="Q1428">
        <f>IF(OR(O1428="",P1428=""),"",O1428-P1428)</f>
        <v>0</v>
      </c>
      <c r="R1428">
        <f>IF(Q1428="","",IF(R1427="",Q1428,Q1428*0.2000000000+R1427*0.8000000000))</f>
        <v>0</v>
      </c>
      <c r="S1428">
        <f>IF(OR(Q1428="",R1428=""),"",Q1428-R1428)</f>
        <v>0</v>
      </c>
      <c r="T1428">
        <f>IF(COUNT($E$2:$E1428)&lt;14,"",MAX($C$1415:$C$1428))</f>
        <v>0</v>
      </c>
      <c r="U1428">
        <f>IF(COUNT($E$2:$E1428)&lt;14,"",MIN($D$1415:$D$1428))</f>
        <v>0</v>
      </c>
      <c r="V1428">
        <f>IF(OR(T1428="",U1428="",T1428=U1428),"",100*($E1428-U1428)/(T1428-U1428))</f>
        <v>0</v>
      </c>
      <c r="W1428">
        <f>IF(COUNT($V$1426:$V$1428)&lt;3,"",AVERAGE($V$1426:$V$1428))</f>
        <v>0</v>
      </c>
      <c r="X1428">
        <f>IF(COUNT($N$1415:$N$1428)&lt;14,"",MIN($N$1415:$N$1428))</f>
        <v>0</v>
      </c>
      <c r="Y1428">
        <f>IF(COUNT($N$1415:$N$1428)&lt;14,"",MAX($N$1415:$N$1428))</f>
        <v>0</v>
      </c>
      <c r="Z1428">
        <f>IF(OR(N1428="",X1428="",Y1428="",Y1428=X1428),"",100*(N1428-X1428)/(Y1428-X1428))</f>
        <v>0</v>
      </c>
      <c r="AA1428">
        <f>IF(COUNT($Z$1426:$Z$1428)&lt;3,"",AVERAGE($Z$1426:$Z$1428))</f>
        <v>0</v>
      </c>
      <c r="AB1428">
        <f>IF(COUNT($AA$1426:$AA$1428)&lt;3,"",AVERAGE($AA$1426:$AA$1428))</f>
        <v>0</v>
      </c>
      <c r="AC1428">
        <f>IF($E1428="","",MAX($C1428-$D1428,ABS($C1428-$E1427),ABS($D1428-$E1427)))</f>
        <v>0</v>
      </c>
      <c r="AD1428">
        <f>IF(COUNT($E$2:$E1428)&lt;15,"",AVERAGE($AC$1415:$AC$1428))</f>
        <v>0</v>
      </c>
      <c r="AE1428">
        <f>IF(OR($E1428="",$E1427=""),"",IF(AND(($C1428-$C1427)&gt;($D1427-$D1428),($C1428-$C1427)&gt;0),$C1428-$C1427,0))</f>
        <v>0</v>
      </c>
      <c r="AF1428">
        <f>IF(OR($E1428="",$E1427=""),"",IF(AND(($D1427-$D1428)&gt;($C1428-$C1427),($D1427-$D1428)&gt;0),$D1427-$D1428,0))</f>
        <v>0</v>
      </c>
      <c r="AG1428">
        <f>IF(COUNT($E$2:$E1428)&lt;15,"",IF(SUM($AC$1415:$AC$1428)=0,0,100*SUM($AE$1415:$AE$1428)/SUM($AC$1415:$AC$1428)))</f>
        <v>0</v>
      </c>
      <c r="AH1428">
        <f>IF(COUNT($E$2:$E1428)&lt;15,"",IF(SUM($AC$1415:$AC$1428)=0,0,100*SUM($AF$1415:$AF$1428)/SUM($AC$1415:$AC$1428)))</f>
        <v>0</v>
      </c>
      <c r="AI1428">
        <f>IF(OR(AG1428="",AH1428=""),"",IF((AG1428+AH1428)=0,0,100*ABS(AG1428-AH1428)/(AG1428+AH1428)))</f>
        <v>0</v>
      </c>
      <c r="AJ1428">
        <f>IF(COUNT($AI$1415:$AI$1428)&lt;14,"",AVERAGE($AI$1415:$AI$1428))</f>
        <v>0</v>
      </c>
      <c r="AK1428">
        <f>IF(COUNT($E$2:$E1428)&lt;20,"",AVERAGE($E$1409:$E$1428))</f>
        <v>0</v>
      </c>
      <c r="AL1428">
        <f>IF(COUNT($E$2:$E1428)&lt;20,"",STDEVP($E$1409:$E$1428))</f>
        <v>0</v>
      </c>
      <c r="AM1428">
        <f>IF(AK1428="","",AK1428+2*AL1428)</f>
        <v>0</v>
      </c>
      <c r="AN1428">
        <f>IF(AK1428="","",AK1428-2*AL1428)</f>
        <v>0</v>
      </c>
      <c r="AO1428">
        <f>IF(OR(AM1428="",AN1428="",AM1428=AN1428),"",($E1428-AN1428)/(AM1428-AN1428))</f>
        <v>0</v>
      </c>
      <c r="AP1428">
        <f>IF(OR(AM1428="",AK1428="",AK1428=0),"",(AM1428-AN1428)/AK1428)</f>
        <v>0</v>
      </c>
      <c r="AQ1428">
        <f>IF(COUNT($E$2:$E1428)&lt;20,"",MAX($C$1409:$C$1428))</f>
        <v>0</v>
      </c>
      <c r="AR1428">
        <f>IF(COUNT($E$2:$E1428)&lt;20,"",MIN($D$1409:$D$1428))</f>
        <v>0</v>
      </c>
      <c r="AS1428">
        <f>IF(OR(AQ1428="",AR1428=""),"",(AQ1428+AR1428)/2)</f>
        <v>0</v>
      </c>
      <c r="AT1428">
        <f>IF(COUNT($G$1409:$G$1428)&lt;20,"",STDEV($G$1409:$G$1428)*SQRT(252))</f>
        <v>0</v>
      </c>
      <c r="AU1428">
        <f>IF(COUNT($E$2:$E1428)&lt;9,"",(MAX($C$1420:$C$1428)+MIN($D$1420:$D$1428))/2)</f>
        <v>0</v>
      </c>
      <c r="AV1428">
        <f>IF(COUNT($E$2:$E1428)&lt;26,"",(MAX($C$1403:$C$1428)+MIN($D$1403:$D$1428))/2)</f>
        <v>0</v>
      </c>
      <c r="AW1428">
        <f>IF(OR(AU1428="",AV1428=""),"",(AU1428+AV1428)/2)</f>
        <v>0</v>
      </c>
      <c r="AX1428">
        <f>IF(COUNT($E$2:$E1428)&lt;52,"",(MAX($C$1377:$C$1428)+MIN($D$1377:$D$1428))/2)</f>
        <v>0</v>
      </c>
      <c r="AY1428">
        <f>IF(COUNT($E$2:$E1428)&lt;20,"",MAX($C$1329:$C$1428))</f>
        <v>0</v>
      </c>
      <c r="AZ1428">
        <f>IF(COUNT($E$2:$E1428)&lt;20,"",MIN($D$1329:$D$1428))</f>
        <v>0</v>
      </c>
      <c r="BA1428">
        <f>IF(COUNT($E$2:$E1428)&lt;20,"",SLOPE($E$1329:$E$1428,$F$1329:$F$1428))</f>
        <v>0</v>
      </c>
      <c r="BB1428">
        <f>IF(COUNT($E$2:$E1428)&lt;20,"",INTERCEPT($E$1329:$E$1428,$F$1329:$F$1428))</f>
        <v>0</v>
      </c>
      <c r="BC1428">
        <f>IF(OR(BA1428="",BB1428=""),"",BB1428+BA1428*F1428)</f>
        <v>0</v>
      </c>
      <c r="BD1428">
        <f>IF(COUNT($E$2:$E1428)&lt;20,"",STEYX($E$1329:$E$1428,$F$1329:$F$1428))</f>
        <v>0</v>
      </c>
      <c r="BE1428">
        <f>IF($E1428="","",IF(AND(COUNT($E$1429:$E$1432)&gt;=4,$C1428=MAX($C$1424:$C$1432)),$C1428,""))</f>
        <v>0</v>
      </c>
      <c r="BF1428">
        <f>IF($E1428="","",IF(AND(COUNT($E$1429:$E$1432)&gt;=4,$D1428=MIN($D$1424:$D$1432)),$D1428,""))</f>
        <v>0</v>
      </c>
      <c r="BG1428">
        <f>IF($A1428="","",$A1428-WEEKDAY($A1428,2)+1)</f>
        <v>0</v>
      </c>
      <c r="BH1428">
        <f>IF($A1428="","",IF($A1427="",1,IF(BG1428&lt;&gt;BG1427,1,0)))</f>
        <v>0</v>
      </c>
      <c r="BI1428">
        <f>IF($A1428="","",IF($A1429="",1,IF(BG1429&lt;&gt;BG1428,1,0)))</f>
        <v>0</v>
      </c>
      <c r="BJ1428">
        <f>IF($A1428="","",IF(BH1428=1,$B1428,BJ1427))</f>
        <v>0</v>
      </c>
      <c r="BK1428">
        <f>IF($A1428="","",IF(BH1428=1,$C1428,MAX($C1428,BK1427)))</f>
        <v>0</v>
      </c>
      <c r="BL1428">
        <f>IF($A1428="","",IF(BH1428=1,$D1428,MIN($D1428,BL1427)))</f>
        <v>0</v>
      </c>
      <c r="BM1428">
        <f>IF($A1428="","",IF(BI1428=1,F1428,""))</f>
        <v>0</v>
      </c>
      <c r="BN1428">
        <f>IF($A1428="","",DATE(YEAR($A1428),MONTH($A1428),1))</f>
        <v>0</v>
      </c>
      <c r="BO1428">
        <f>IF($A1428="","",IF($A1427="",1,IF(BN1428&lt;&gt;BN1427,1,0)))</f>
        <v>0</v>
      </c>
      <c r="BP1428">
        <f>IF($A1428="","",IF($A1429="",1,IF(BN1429&lt;&gt;BN1428,1,0)))</f>
        <v>0</v>
      </c>
      <c r="BQ1428">
        <f>IF($A1428="","",IF(BO1428=1,$B1428,BQ1427))</f>
        <v>0</v>
      </c>
      <c r="BR1428">
        <f>IF($A1428="","",IF(BO1428=1,$C1428,MAX($C1428,BR1427)))</f>
        <v>0</v>
      </c>
      <c r="BS1428">
        <f>IF($A1428="","",IF(BO1428=1,$D1428,MIN($D1428,BS1427)))</f>
        <v>0</v>
      </c>
      <c r="BT1428">
        <f>IF($A1428="","",IF(BP1428=1,F1428,""))</f>
        <v>0</v>
      </c>
    </row>
    <row r="1429" spans="1:72">
      <c r="A1429" s="27">
        <f>IF(Data!$A1429="","",Data!$A1429)</f>
        <v>0</v>
      </c>
      <c r="B1429">
        <f>IF(Data!$B1429="","",Data!$B1429)</f>
        <v>0</v>
      </c>
      <c r="C1429">
        <f>IF(Data!$C1429="","",Data!$C1429)</f>
        <v>0</v>
      </c>
      <c r="D1429">
        <f>IF(Data!$D1429="","",Data!$D1429)</f>
        <v>0</v>
      </c>
      <c r="E1429">
        <f>IF(Data!$E1429="","",Data!$E1429)</f>
        <v>0</v>
      </c>
      <c r="F1429">
        <f>IF($E1429="","",N(F1428)+1)</f>
        <v>0</v>
      </c>
      <c r="G1429">
        <f>IF(OR($E1429="",$E1428=""),"",LN($E1429/$E1428))</f>
        <v>0</v>
      </c>
      <c r="H1429">
        <f>IF($E1429="","",IF($E1428="",$E1429,$E1429*0.0952380952+H1428*0.9047619048))</f>
        <v>0</v>
      </c>
      <c r="I1429">
        <f>IF($E1429="","",IF($E1428="",$E1429,$E1429*0.0392156863+I1428*0.9607843137))</f>
        <v>0</v>
      </c>
      <c r="J1429">
        <f>IF($E1429="","",IF($E1428="",$E1429,$E1429*0.0198019802+J1428*0.9801980198))</f>
        <v>0</v>
      </c>
      <c r="K1429">
        <f>IF($E1429="","",IF($E1428="",$E1429,$E1429*0.0099502488+K1428*0.9900497512))</f>
        <v>0</v>
      </c>
      <c r="L1429">
        <f>IF(OR($E1429="",$E1428=""),"",MAX($E1429-$E1428,0))</f>
        <v>0</v>
      </c>
      <c r="M1429">
        <f>IF(OR($E1429="",$E1428=""),"",MAX($E1428-$E1429,0))</f>
        <v>0</v>
      </c>
      <c r="N1429">
        <f>IF(COUNT($E$2:$E1429)&lt;15,"",IF(AVERAGE($M$1416:$M$1429)=0,100,100-100/(1+AVERAGE($L$1416:$L$1429)/AVERAGE($M$1416:$M$1429))))</f>
        <v>0</v>
      </c>
      <c r="O1429">
        <f>IF($E1429="","",IF($E1428="",$E1429,$E1429*0.1538461538+O1428*0.8461538462))</f>
        <v>0</v>
      </c>
      <c r="P1429">
        <f>IF($E1429="","",IF($E1428="",$E1429,$E1429*0.0740740741+P1428*0.9259259259))</f>
        <v>0</v>
      </c>
      <c r="Q1429">
        <f>IF(OR(O1429="",P1429=""),"",O1429-P1429)</f>
        <v>0</v>
      </c>
      <c r="R1429">
        <f>IF(Q1429="","",IF(R1428="",Q1429,Q1429*0.2000000000+R1428*0.8000000000))</f>
        <v>0</v>
      </c>
      <c r="S1429">
        <f>IF(OR(Q1429="",R1429=""),"",Q1429-R1429)</f>
        <v>0</v>
      </c>
      <c r="T1429">
        <f>IF(COUNT($E$2:$E1429)&lt;14,"",MAX($C$1416:$C$1429))</f>
        <v>0</v>
      </c>
      <c r="U1429">
        <f>IF(COUNT($E$2:$E1429)&lt;14,"",MIN($D$1416:$D$1429))</f>
        <v>0</v>
      </c>
      <c r="V1429">
        <f>IF(OR(T1429="",U1429="",T1429=U1429),"",100*($E1429-U1429)/(T1429-U1429))</f>
        <v>0</v>
      </c>
      <c r="W1429">
        <f>IF(COUNT($V$1427:$V$1429)&lt;3,"",AVERAGE($V$1427:$V$1429))</f>
        <v>0</v>
      </c>
      <c r="X1429">
        <f>IF(COUNT($N$1416:$N$1429)&lt;14,"",MIN($N$1416:$N$1429))</f>
        <v>0</v>
      </c>
      <c r="Y1429">
        <f>IF(COUNT($N$1416:$N$1429)&lt;14,"",MAX($N$1416:$N$1429))</f>
        <v>0</v>
      </c>
      <c r="Z1429">
        <f>IF(OR(N1429="",X1429="",Y1429="",Y1429=X1429),"",100*(N1429-X1429)/(Y1429-X1429))</f>
        <v>0</v>
      </c>
      <c r="AA1429">
        <f>IF(COUNT($Z$1427:$Z$1429)&lt;3,"",AVERAGE($Z$1427:$Z$1429))</f>
        <v>0</v>
      </c>
      <c r="AB1429">
        <f>IF(COUNT($AA$1427:$AA$1429)&lt;3,"",AVERAGE($AA$1427:$AA$1429))</f>
        <v>0</v>
      </c>
      <c r="AC1429">
        <f>IF($E1429="","",MAX($C1429-$D1429,ABS($C1429-$E1428),ABS($D1429-$E1428)))</f>
        <v>0</v>
      </c>
      <c r="AD1429">
        <f>IF(COUNT($E$2:$E1429)&lt;15,"",AVERAGE($AC$1416:$AC$1429))</f>
        <v>0</v>
      </c>
      <c r="AE1429">
        <f>IF(OR($E1429="",$E1428=""),"",IF(AND(($C1429-$C1428)&gt;($D1428-$D1429),($C1429-$C1428)&gt;0),$C1429-$C1428,0))</f>
        <v>0</v>
      </c>
      <c r="AF1429">
        <f>IF(OR($E1429="",$E1428=""),"",IF(AND(($D1428-$D1429)&gt;($C1429-$C1428),($D1428-$D1429)&gt;0),$D1428-$D1429,0))</f>
        <v>0</v>
      </c>
      <c r="AG1429">
        <f>IF(COUNT($E$2:$E1429)&lt;15,"",IF(SUM($AC$1416:$AC$1429)=0,0,100*SUM($AE$1416:$AE$1429)/SUM($AC$1416:$AC$1429)))</f>
        <v>0</v>
      </c>
      <c r="AH1429">
        <f>IF(COUNT($E$2:$E1429)&lt;15,"",IF(SUM($AC$1416:$AC$1429)=0,0,100*SUM($AF$1416:$AF$1429)/SUM($AC$1416:$AC$1429)))</f>
        <v>0</v>
      </c>
      <c r="AI1429">
        <f>IF(OR(AG1429="",AH1429=""),"",IF((AG1429+AH1429)=0,0,100*ABS(AG1429-AH1429)/(AG1429+AH1429)))</f>
        <v>0</v>
      </c>
      <c r="AJ1429">
        <f>IF(COUNT($AI$1416:$AI$1429)&lt;14,"",AVERAGE($AI$1416:$AI$1429))</f>
        <v>0</v>
      </c>
      <c r="AK1429">
        <f>IF(COUNT($E$2:$E1429)&lt;20,"",AVERAGE($E$1410:$E$1429))</f>
        <v>0</v>
      </c>
      <c r="AL1429">
        <f>IF(COUNT($E$2:$E1429)&lt;20,"",STDEVP($E$1410:$E$1429))</f>
        <v>0</v>
      </c>
      <c r="AM1429">
        <f>IF(AK1429="","",AK1429+2*AL1429)</f>
        <v>0</v>
      </c>
      <c r="AN1429">
        <f>IF(AK1429="","",AK1429-2*AL1429)</f>
        <v>0</v>
      </c>
      <c r="AO1429">
        <f>IF(OR(AM1429="",AN1429="",AM1429=AN1429),"",($E1429-AN1429)/(AM1429-AN1429))</f>
        <v>0</v>
      </c>
      <c r="AP1429">
        <f>IF(OR(AM1429="",AK1429="",AK1429=0),"",(AM1429-AN1429)/AK1429)</f>
        <v>0</v>
      </c>
      <c r="AQ1429">
        <f>IF(COUNT($E$2:$E1429)&lt;20,"",MAX($C$1410:$C$1429))</f>
        <v>0</v>
      </c>
      <c r="AR1429">
        <f>IF(COUNT($E$2:$E1429)&lt;20,"",MIN($D$1410:$D$1429))</f>
        <v>0</v>
      </c>
      <c r="AS1429">
        <f>IF(OR(AQ1429="",AR1429=""),"",(AQ1429+AR1429)/2)</f>
        <v>0</v>
      </c>
      <c r="AT1429">
        <f>IF(COUNT($G$1410:$G$1429)&lt;20,"",STDEV($G$1410:$G$1429)*SQRT(252))</f>
        <v>0</v>
      </c>
      <c r="AU1429">
        <f>IF(COUNT($E$2:$E1429)&lt;9,"",(MAX($C$1421:$C$1429)+MIN($D$1421:$D$1429))/2)</f>
        <v>0</v>
      </c>
      <c r="AV1429">
        <f>IF(COUNT($E$2:$E1429)&lt;26,"",(MAX($C$1404:$C$1429)+MIN($D$1404:$D$1429))/2)</f>
        <v>0</v>
      </c>
      <c r="AW1429">
        <f>IF(OR(AU1429="",AV1429=""),"",(AU1429+AV1429)/2)</f>
        <v>0</v>
      </c>
      <c r="AX1429">
        <f>IF(COUNT($E$2:$E1429)&lt;52,"",(MAX($C$1378:$C$1429)+MIN($D$1378:$D$1429))/2)</f>
        <v>0</v>
      </c>
      <c r="AY1429">
        <f>IF(COUNT($E$2:$E1429)&lt;20,"",MAX($C$1330:$C$1429))</f>
        <v>0</v>
      </c>
      <c r="AZ1429">
        <f>IF(COUNT($E$2:$E1429)&lt;20,"",MIN($D$1330:$D$1429))</f>
        <v>0</v>
      </c>
      <c r="BA1429">
        <f>IF(COUNT($E$2:$E1429)&lt;20,"",SLOPE($E$1330:$E$1429,$F$1330:$F$1429))</f>
        <v>0</v>
      </c>
      <c r="BB1429">
        <f>IF(COUNT($E$2:$E1429)&lt;20,"",INTERCEPT($E$1330:$E$1429,$F$1330:$F$1429))</f>
        <v>0</v>
      </c>
      <c r="BC1429">
        <f>IF(OR(BA1429="",BB1429=""),"",BB1429+BA1429*F1429)</f>
        <v>0</v>
      </c>
      <c r="BD1429">
        <f>IF(COUNT($E$2:$E1429)&lt;20,"",STEYX($E$1330:$E$1429,$F$1330:$F$1429))</f>
        <v>0</v>
      </c>
      <c r="BE1429">
        <f>IF($E1429="","",IF(AND(COUNT($E$1430:$E$1433)&gt;=4,$C1429=MAX($C$1425:$C$1433)),$C1429,""))</f>
        <v>0</v>
      </c>
      <c r="BF1429">
        <f>IF($E1429="","",IF(AND(COUNT($E$1430:$E$1433)&gt;=4,$D1429=MIN($D$1425:$D$1433)),$D1429,""))</f>
        <v>0</v>
      </c>
      <c r="BG1429">
        <f>IF($A1429="","",$A1429-WEEKDAY($A1429,2)+1)</f>
        <v>0</v>
      </c>
      <c r="BH1429">
        <f>IF($A1429="","",IF($A1428="",1,IF(BG1429&lt;&gt;BG1428,1,0)))</f>
        <v>0</v>
      </c>
      <c r="BI1429">
        <f>IF($A1429="","",IF($A1430="",1,IF(BG1430&lt;&gt;BG1429,1,0)))</f>
        <v>0</v>
      </c>
      <c r="BJ1429">
        <f>IF($A1429="","",IF(BH1429=1,$B1429,BJ1428))</f>
        <v>0</v>
      </c>
      <c r="BK1429">
        <f>IF($A1429="","",IF(BH1429=1,$C1429,MAX($C1429,BK1428)))</f>
        <v>0</v>
      </c>
      <c r="BL1429">
        <f>IF($A1429="","",IF(BH1429=1,$D1429,MIN($D1429,BL1428)))</f>
        <v>0</v>
      </c>
      <c r="BM1429">
        <f>IF($A1429="","",IF(BI1429=1,F1429,""))</f>
        <v>0</v>
      </c>
      <c r="BN1429">
        <f>IF($A1429="","",DATE(YEAR($A1429),MONTH($A1429),1))</f>
        <v>0</v>
      </c>
      <c r="BO1429">
        <f>IF($A1429="","",IF($A1428="",1,IF(BN1429&lt;&gt;BN1428,1,0)))</f>
        <v>0</v>
      </c>
      <c r="BP1429">
        <f>IF($A1429="","",IF($A1430="",1,IF(BN1430&lt;&gt;BN1429,1,0)))</f>
        <v>0</v>
      </c>
      <c r="BQ1429">
        <f>IF($A1429="","",IF(BO1429=1,$B1429,BQ1428))</f>
        <v>0</v>
      </c>
      <c r="BR1429">
        <f>IF($A1429="","",IF(BO1429=1,$C1429,MAX($C1429,BR1428)))</f>
        <v>0</v>
      </c>
      <c r="BS1429">
        <f>IF($A1429="","",IF(BO1429=1,$D1429,MIN($D1429,BS1428)))</f>
        <v>0</v>
      </c>
      <c r="BT1429">
        <f>IF($A1429="","",IF(BP1429=1,F1429,""))</f>
        <v>0</v>
      </c>
    </row>
    <row r="1430" spans="1:72">
      <c r="A1430" s="27">
        <f>IF(Data!$A1430="","",Data!$A1430)</f>
        <v>0</v>
      </c>
      <c r="B1430">
        <f>IF(Data!$B1430="","",Data!$B1430)</f>
        <v>0</v>
      </c>
      <c r="C1430">
        <f>IF(Data!$C1430="","",Data!$C1430)</f>
        <v>0</v>
      </c>
      <c r="D1430">
        <f>IF(Data!$D1430="","",Data!$D1430)</f>
        <v>0</v>
      </c>
      <c r="E1430">
        <f>IF(Data!$E1430="","",Data!$E1430)</f>
        <v>0</v>
      </c>
      <c r="F1430">
        <f>IF($E1430="","",N(F1429)+1)</f>
        <v>0</v>
      </c>
      <c r="G1430">
        <f>IF(OR($E1430="",$E1429=""),"",LN($E1430/$E1429))</f>
        <v>0</v>
      </c>
      <c r="H1430">
        <f>IF($E1430="","",IF($E1429="",$E1430,$E1430*0.0952380952+H1429*0.9047619048))</f>
        <v>0</v>
      </c>
      <c r="I1430">
        <f>IF($E1430="","",IF($E1429="",$E1430,$E1430*0.0392156863+I1429*0.9607843137))</f>
        <v>0</v>
      </c>
      <c r="J1430">
        <f>IF($E1430="","",IF($E1429="",$E1430,$E1430*0.0198019802+J1429*0.9801980198))</f>
        <v>0</v>
      </c>
      <c r="K1430">
        <f>IF($E1430="","",IF($E1429="",$E1430,$E1430*0.0099502488+K1429*0.9900497512))</f>
        <v>0</v>
      </c>
      <c r="L1430">
        <f>IF(OR($E1430="",$E1429=""),"",MAX($E1430-$E1429,0))</f>
        <v>0</v>
      </c>
      <c r="M1430">
        <f>IF(OR($E1430="",$E1429=""),"",MAX($E1429-$E1430,0))</f>
        <v>0</v>
      </c>
      <c r="N1430">
        <f>IF(COUNT($E$2:$E1430)&lt;15,"",IF(AVERAGE($M$1417:$M$1430)=0,100,100-100/(1+AVERAGE($L$1417:$L$1430)/AVERAGE($M$1417:$M$1430))))</f>
        <v>0</v>
      </c>
      <c r="O1430">
        <f>IF($E1430="","",IF($E1429="",$E1430,$E1430*0.1538461538+O1429*0.8461538462))</f>
        <v>0</v>
      </c>
      <c r="P1430">
        <f>IF($E1430="","",IF($E1429="",$E1430,$E1430*0.0740740741+P1429*0.9259259259))</f>
        <v>0</v>
      </c>
      <c r="Q1430">
        <f>IF(OR(O1430="",P1430=""),"",O1430-P1430)</f>
        <v>0</v>
      </c>
      <c r="R1430">
        <f>IF(Q1430="","",IF(R1429="",Q1430,Q1430*0.2000000000+R1429*0.8000000000))</f>
        <v>0</v>
      </c>
      <c r="S1430">
        <f>IF(OR(Q1430="",R1430=""),"",Q1430-R1430)</f>
        <v>0</v>
      </c>
      <c r="T1430">
        <f>IF(COUNT($E$2:$E1430)&lt;14,"",MAX($C$1417:$C$1430))</f>
        <v>0</v>
      </c>
      <c r="U1430">
        <f>IF(COUNT($E$2:$E1430)&lt;14,"",MIN($D$1417:$D$1430))</f>
        <v>0</v>
      </c>
      <c r="V1430">
        <f>IF(OR(T1430="",U1430="",T1430=U1430),"",100*($E1430-U1430)/(T1430-U1430))</f>
        <v>0</v>
      </c>
      <c r="W1430">
        <f>IF(COUNT($V$1428:$V$1430)&lt;3,"",AVERAGE($V$1428:$V$1430))</f>
        <v>0</v>
      </c>
      <c r="X1430">
        <f>IF(COUNT($N$1417:$N$1430)&lt;14,"",MIN($N$1417:$N$1430))</f>
        <v>0</v>
      </c>
      <c r="Y1430">
        <f>IF(COUNT($N$1417:$N$1430)&lt;14,"",MAX($N$1417:$N$1430))</f>
        <v>0</v>
      </c>
      <c r="Z1430">
        <f>IF(OR(N1430="",X1430="",Y1430="",Y1430=X1430),"",100*(N1430-X1430)/(Y1430-X1430))</f>
        <v>0</v>
      </c>
      <c r="AA1430">
        <f>IF(COUNT($Z$1428:$Z$1430)&lt;3,"",AVERAGE($Z$1428:$Z$1430))</f>
        <v>0</v>
      </c>
      <c r="AB1430">
        <f>IF(COUNT($AA$1428:$AA$1430)&lt;3,"",AVERAGE($AA$1428:$AA$1430))</f>
        <v>0</v>
      </c>
      <c r="AC1430">
        <f>IF($E1430="","",MAX($C1430-$D1430,ABS($C1430-$E1429),ABS($D1430-$E1429)))</f>
        <v>0</v>
      </c>
      <c r="AD1430">
        <f>IF(COUNT($E$2:$E1430)&lt;15,"",AVERAGE($AC$1417:$AC$1430))</f>
        <v>0</v>
      </c>
      <c r="AE1430">
        <f>IF(OR($E1430="",$E1429=""),"",IF(AND(($C1430-$C1429)&gt;($D1429-$D1430),($C1430-$C1429)&gt;0),$C1430-$C1429,0))</f>
        <v>0</v>
      </c>
      <c r="AF1430">
        <f>IF(OR($E1430="",$E1429=""),"",IF(AND(($D1429-$D1430)&gt;($C1430-$C1429),($D1429-$D1430)&gt;0),$D1429-$D1430,0))</f>
        <v>0</v>
      </c>
      <c r="AG1430">
        <f>IF(COUNT($E$2:$E1430)&lt;15,"",IF(SUM($AC$1417:$AC$1430)=0,0,100*SUM($AE$1417:$AE$1430)/SUM($AC$1417:$AC$1430)))</f>
        <v>0</v>
      </c>
      <c r="AH1430">
        <f>IF(COUNT($E$2:$E1430)&lt;15,"",IF(SUM($AC$1417:$AC$1430)=0,0,100*SUM($AF$1417:$AF$1430)/SUM($AC$1417:$AC$1430)))</f>
        <v>0</v>
      </c>
      <c r="AI1430">
        <f>IF(OR(AG1430="",AH1430=""),"",IF((AG1430+AH1430)=0,0,100*ABS(AG1430-AH1430)/(AG1430+AH1430)))</f>
        <v>0</v>
      </c>
      <c r="AJ1430">
        <f>IF(COUNT($AI$1417:$AI$1430)&lt;14,"",AVERAGE($AI$1417:$AI$1430))</f>
        <v>0</v>
      </c>
      <c r="AK1430">
        <f>IF(COUNT($E$2:$E1430)&lt;20,"",AVERAGE($E$1411:$E$1430))</f>
        <v>0</v>
      </c>
      <c r="AL1430">
        <f>IF(COUNT($E$2:$E1430)&lt;20,"",STDEVP($E$1411:$E$1430))</f>
        <v>0</v>
      </c>
      <c r="AM1430">
        <f>IF(AK1430="","",AK1430+2*AL1430)</f>
        <v>0</v>
      </c>
      <c r="AN1430">
        <f>IF(AK1430="","",AK1430-2*AL1430)</f>
        <v>0</v>
      </c>
      <c r="AO1430">
        <f>IF(OR(AM1430="",AN1430="",AM1430=AN1430),"",($E1430-AN1430)/(AM1430-AN1430))</f>
        <v>0</v>
      </c>
      <c r="AP1430">
        <f>IF(OR(AM1430="",AK1430="",AK1430=0),"",(AM1430-AN1430)/AK1430)</f>
        <v>0</v>
      </c>
      <c r="AQ1430">
        <f>IF(COUNT($E$2:$E1430)&lt;20,"",MAX($C$1411:$C$1430))</f>
        <v>0</v>
      </c>
      <c r="AR1430">
        <f>IF(COUNT($E$2:$E1430)&lt;20,"",MIN($D$1411:$D$1430))</f>
        <v>0</v>
      </c>
      <c r="AS1430">
        <f>IF(OR(AQ1430="",AR1430=""),"",(AQ1430+AR1430)/2)</f>
        <v>0</v>
      </c>
      <c r="AT1430">
        <f>IF(COUNT($G$1411:$G$1430)&lt;20,"",STDEV($G$1411:$G$1430)*SQRT(252))</f>
        <v>0</v>
      </c>
      <c r="AU1430">
        <f>IF(COUNT($E$2:$E1430)&lt;9,"",(MAX($C$1422:$C$1430)+MIN($D$1422:$D$1430))/2)</f>
        <v>0</v>
      </c>
      <c r="AV1430">
        <f>IF(COUNT($E$2:$E1430)&lt;26,"",(MAX($C$1405:$C$1430)+MIN($D$1405:$D$1430))/2)</f>
        <v>0</v>
      </c>
      <c r="AW1430">
        <f>IF(OR(AU1430="",AV1430=""),"",(AU1430+AV1430)/2)</f>
        <v>0</v>
      </c>
      <c r="AX1430">
        <f>IF(COUNT($E$2:$E1430)&lt;52,"",(MAX($C$1379:$C$1430)+MIN($D$1379:$D$1430))/2)</f>
        <v>0</v>
      </c>
      <c r="AY1430">
        <f>IF(COUNT($E$2:$E1430)&lt;20,"",MAX($C$1331:$C$1430))</f>
        <v>0</v>
      </c>
      <c r="AZ1430">
        <f>IF(COUNT($E$2:$E1430)&lt;20,"",MIN($D$1331:$D$1430))</f>
        <v>0</v>
      </c>
      <c r="BA1430">
        <f>IF(COUNT($E$2:$E1430)&lt;20,"",SLOPE($E$1331:$E$1430,$F$1331:$F$1430))</f>
        <v>0</v>
      </c>
      <c r="BB1430">
        <f>IF(COUNT($E$2:$E1430)&lt;20,"",INTERCEPT($E$1331:$E$1430,$F$1331:$F$1430))</f>
        <v>0</v>
      </c>
      <c r="BC1430">
        <f>IF(OR(BA1430="",BB1430=""),"",BB1430+BA1430*F1430)</f>
        <v>0</v>
      </c>
      <c r="BD1430">
        <f>IF(COUNT($E$2:$E1430)&lt;20,"",STEYX($E$1331:$E$1430,$F$1331:$F$1430))</f>
        <v>0</v>
      </c>
      <c r="BE1430">
        <f>IF($E1430="","",IF(AND(COUNT($E$1431:$E$1434)&gt;=4,$C1430=MAX($C$1426:$C$1434)),$C1430,""))</f>
        <v>0</v>
      </c>
      <c r="BF1430">
        <f>IF($E1430="","",IF(AND(COUNT($E$1431:$E$1434)&gt;=4,$D1430=MIN($D$1426:$D$1434)),$D1430,""))</f>
        <v>0</v>
      </c>
      <c r="BG1430">
        <f>IF($A1430="","",$A1430-WEEKDAY($A1430,2)+1)</f>
        <v>0</v>
      </c>
      <c r="BH1430">
        <f>IF($A1430="","",IF($A1429="",1,IF(BG1430&lt;&gt;BG1429,1,0)))</f>
        <v>0</v>
      </c>
      <c r="BI1430">
        <f>IF($A1430="","",IF($A1431="",1,IF(BG1431&lt;&gt;BG1430,1,0)))</f>
        <v>0</v>
      </c>
      <c r="BJ1430">
        <f>IF($A1430="","",IF(BH1430=1,$B1430,BJ1429))</f>
        <v>0</v>
      </c>
      <c r="BK1430">
        <f>IF($A1430="","",IF(BH1430=1,$C1430,MAX($C1430,BK1429)))</f>
        <v>0</v>
      </c>
      <c r="BL1430">
        <f>IF($A1430="","",IF(BH1430=1,$D1430,MIN($D1430,BL1429)))</f>
        <v>0</v>
      </c>
      <c r="BM1430">
        <f>IF($A1430="","",IF(BI1430=1,F1430,""))</f>
        <v>0</v>
      </c>
      <c r="BN1430">
        <f>IF($A1430="","",DATE(YEAR($A1430),MONTH($A1430),1))</f>
        <v>0</v>
      </c>
      <c r="BO1430">
        <f>IF($A1430="","",IF($A1429="",1,IF(BN1430&lt;&gt;BN1429,1,0)))</f>
        <v>0</v>
      </c>
      <c r="BP1430">
        <f>IF($A1430="","",IF($A1431="",1,IF(BN1431&lt;&gt;BN1430,1,0)))</f>
        <v>0</v>
      </c>
      <c r="BQ1430">
        <f>IF($A1430="","",IF(BO1430=1,$B1430,BQ1429))</f>
        <v>0</v>
      </c>
      <c r="BR1430">
        <f>IF($A1430="","",IF(BO1430=1,$C1430,MAX($C1430,BR1429)))</f>
        <v>0</v>
      </c>
      <c r="BS1430">
        <f>IF($A1430="","",IF(BO1430=1,$D1430,MIN($D1430,BS1429)))</f>
        <v>0</v>
      </c>
      <c r="BT1430">
        <f>IF($A1430="","",IF(BP1430=1,F1430,""))</f>
        <v>0</v>
      </c>
    </row>
    <row r="1431" spans="1:72">
      <c r="A1431" s="27">
        <f>IF(Data!$A1431="","",Data!$A1431)</f>
        <v>0</v>
      </c>
      <c r="B1431">
        <f>IF(Data!$B1431="","",Data!$B1431)</f>
        <v>0</v>
      </c>
      <c r="C1431">
        <f>IF(Data!$C1431="","",Data!$C1431)</f>
        <v>0</v>
      </c>
      <c r="D1431">
        <f>IF(Data!$D1431="","",Data!$D1431)</f>
        <v>0</v>
      </c>
      <c r="E1431">
        <f>IF(Data!$E1431="","",Data!$E1431)</f>
        <v>0</v>
      </c>
      <c r="F1431">
        <f>IF($E1431="","",N(F1430)+1)</f>
        <v>0</v>
      </c>
      <c r="G1431">
        <f>IF(OR($E1431="",$E1430=""),"",LN($E1431/$E1430))</f>
        <v>0</v>
      </c>
      <c r="H1431">
        <f>IF($E1431="","",IF($E1430="",$E1431,$E1431*0.0952380952+H1430*0.9047619048))</f>
        <v>0</v>
      </c>
      <c r="I1431">
        <f>IF($E1431="","",IF($E1430="",$E1431,$E1431*0.0392156863+I1430*0.9607843137))</f>
        <v>0</v>
      </c>
      <c r="J1431">
        <f>IF($E1431="","",IF($E1430="",$E1431,$E1431*0.0198019802+J1430*0.9801980198))</f>
        <v>0</v>
      </c>
      <c r="K1431">
        <f>IF($E1431="","",IF($E1430="",$E1431,$E1431*0.0099502488+K1430*0.9900497512))</f>
        <v>0</v>
      </c>
      <c r="L1431">
        <f>IF(OR($E1431="",$E1430=""),"",MAX($E1431-$E1430,0))</f>
        <v>0</v>
      </c>
      <c r="M1431">
        <f>IF(OR($E1431="",$E1430=""),"",MAX($E1430-$E1431,0))</f>
        <v>0</v>
      </c>
      <c r="N1431">
        <f>IF(COUNT($E$2:$E1431)&lt;15,"",IF(AVERAGE($M$1418:$M$1431)=0,100,100-100/(1+AVERAGE($L$1418:$L$1431)/AVERAGE($M$1418:$M$1431))))</f>
        <v>0</v>
      </c>
      <c r="O1431">
        <f>IF($E1431="","",IF($E1430="",$E1431,$E1431*0.1538461538+O1430*0.8461538462))</f>
        <v>0</v>
      </c>
      <c r="P1431">
        <f>IF($E1431="","",IF($E1430="",$E1431,$E1431*0.0740740741+P1430*0.9259259259))</f>
        <v>0</v>
      </c>
      <c r="Q1431">
        <f>IF(OR(O1431="",P1431=""),"",O1431-P1431)</f>
        <v>0</v>
      </c>
      <c r="R1431">
        <f>IF(Q1431="","",IF(R1430="",Q1431,Q1431*0.2000000000+R1430*0.8000000000))</f>
        <v>0</v>
      </c>
      <c r="S1431">
        <f>IF(OR(Q1431="",R1431=""),"",Q1431-R1431)</f>
        <v>0</v>
      </c>
      <c r="T1431">
        <f>IF(COUNT($E$2:$E1431)&lt;14,"",MAX($C$1418:$C$1431))</f>
        <v>0</v>
      </c>
      <c r="U1431">
        <f>IF(COUNT($E$2:$E1431)&lt;14,"",MIN($D$1418:$D$1431))</f>
        <v>0</v>
      </c>
      <c r="V1431">
        <f>IF(OR(T1431="",U1431="",T1431=U1431),"",100*($E1431-U1431)/(T1431-U1431))</f>
        <v>0</v>
      </c>
      <c r="W1431">
        <f>IF(COUNT($V$1429:$V$1431)&lt;3,"",AVERAGE($V$1429:$V$1431))</f>
        <v>0</v>
      </c>
      <c r="X1431">
        <f>IF(COUNT($N$1418:$N$1431)&lt;14,"",MIN($N$1418:$N$1431))</f>
        <v>0</v>
      </c>
      <c r="Y1431">
        <f>IF(COUNT($N$1418:$N$1431)&lt;14,"",MAX($N$1418:$N$1431))</f>
        <v>0</v>
      </c>
      <c r="Z1431">
        <f>IF(OR(N1431="",X1431="",Y1431="",Y1431=X1431),"",100*(N1431-X1431)/(Y1431-X1431))</f>
        <v>0</v>
      </c>
      <c r="AA1431">
        <f>IF(COUNT($Z$1429:$Z$1431)&lt;3,"",AVERAGE($Z$1429:$Z$1431))</f>
        <v>0</v>
      </c>
      <c r="AB1431">
        <f>IF(COUNT($AA$1429:$AA$1431)&lt;3,"",AVERAGE($AA$1429:$AA$1431))</f>
        <v>0</v>
      </c>
      <c r="AC1431">
        <f>IF($E1431="","",MAX($C1431-$D1431,ABS($C1431-$E1430),ABS($D1431-$E1430)))</f>
        <v>0</v>
      </c>
      <c r="AD1431">
        <f>IF(COUNT($E$2:$E1431)&lt;15,"",AVERAGE($AC$1418:$AC$1431))</f>
        <v>0</v>
      </c>
      <c r="AE1431">
        <f>IF(OR($E1431="",$E1430=""),"",IF(AND(($C1431-$C1430)&gt;($D1430-$D1431),($C1431-$C1430)&gt;0),$C1431-$C1430,0))</f>
        <v>0</v>
      </c>
      <c r="AF1431">
        <f>IF(OR($E1431="",$E1430=""),"",IF(AND(($D1430-$D1431)&gt;($C1431-$C1430),($D1430-$D1431)&gt;0),$D1430-$D1431,0))</f>
        <v>0</v>
      </c>
      <c r="AG1431">
        <f>IF(COUNT($E$2:$E1431)&lt;15,"",IF(SUM($AC$1418:$AC$1431)=0,0,100*SUM($AE$1418:$AE$1431)/SUM($AC$1418:$AC$1431)))</f>
        <v>0</v>
      </c>
      <c r="AH1431">
        <f>IF(COUNT($E$2:$E1431)&lt;15,"",IF(SUM($AC$1418:$AC$1431)=0,0,100*SUM($AF$1418:$AF$1431)/SUM($AC$1418:$AC$1431)))</f>
        <v>0</v>
      </c>
      <c r="AI1431">
        <f>IF(OR(AG1431="",AH1431=""),"",IF((AG1431+AH1431)=0,0,100*ABS(AG1431-AH1431)/(AG1431+AH1431)))</f>
        <v>0</v>
      </c>
      <c r="AJ1431">
        <f>IF(COUNT($AI$1418:$AI$1431)&lt;14,"",AVERAGE($AI$1418:$AI$1431))</f>
        <v>0</v>
      </c>
      <c r="AK1431">
        <f>IF(COUNT($E$2:$E1431)&lt;20,"",AVERAGE($E$1412:$E$1431))</f>
        <v>0</v>
      </c>
      <c r="AL1431">
        <f>IF(COUNT($E$2:$E1431)&lt;20,"",STDEVP($E$1412:$E$1431))</f>
        <v>0</v>
      </c>
      <c r="AM1431">
        <f>IF(AK1431="","",AK1431+2*AL1431)</f>
        <v>0</v>
      </c>
      <c r="AN1431">
        <f>IF(AK1431="","",AK1431-2*AL1431)</f>
        <v>0</v>
      </c>
      <c r="AO1431">
        <f>IF(OR(AM1431="",AN1431="",AM1431=AN1431),"",($E1431-AN1431)/(AM1431-AN1431))</f>
        <v>0</v>
      </c>
      <c r="AP1431">
        <f>IF(OR(AM1431="",AK1431="",AK1431=0),"",(AM1431-AN1431)/AK1431)</f>
        <v>0</v>
      </c>
      <c r="AQ1431">
        <f>IF(COUNT($E$2:$E1431)&lt;20,"",MAX($C$1412:$C$1431))</f>
        <v>0</v>
      </c>
      <c r="AR1431">
        <f>IF(COUNT($E$2:$E1431)&lt;20,"",MIN($D$1412:$D$1431))</f>
        <v>0</v>
      </c>
      <c r="AS1431">
        <f>IF(OR(AQ1431="",AR1431=""),"",(AQ1431+AR1431)/2)</f>
        <v>0</v>
      </c>
      <c r="AT1431">
        <f>IF(COUNT($G$1412:$G$1431)&lt;20,"",STDEV($G$1412:$G$1431)*SQRT(252))</f>
        <v>0</v>
      </c>
      <c r="AU1431">
        <f>IF(COUNT($E$2:$E1431)&lt;9,"",(MAX($C$1423:$C$1431)+MIN($D$1423:$D$1431))/2)</f>
        <v>0</v>
      </c>
      <c r="AV1431">
        <f>IF(COUNT($E$2:$E1431)&lt;26,"",(MAX($C$1406:$C$1431)+MIN($D$1406:$D$1431))/2)</f>
        <v>0</v>
      </c>
      <c r="AW1431">
        <f>IF(OR(AU1431="",AV1431=""),"",(AU1431+AV1431)/2)</f>
        <v>0</v>
      </c>
      <c r="AX1431">
        <f>IF(COUNT($E$2:$E1431)&lt;52,"",(MAX($C$1380:$C$1431)+MIN($D$1380:$D$1431))/2)</f>
        <v>0</v>
      </c>
      <c r="AY1431">
        <f>IF(COUNT($E$2:$E1431)&lt;20,"",MAX($C$1332:$C$1431))</f>
        <v>0</v>
      </c>
      <c r="AZ1431">
        <f>IF(COUNT($E$2:$E1431)&lt;20,"",MIN($D$1332:$D$1431))</f>
        <v>0</v>
      </c>
      <c r="BA1431">
        <f>IF(COUNT($E$2:$E1431)&lt;20,"",SLOPE($E$1332:$E$1431,$F$1332:$F$1431))</f>
        <v>0</v>
      </c>
      <c r="BB1431">
        <f>IF(COUNT($E$2:$E1431)&lt;20,"",INTERCEPT($E$1332:$E$1431,$F$1332:$F$1431))</f>
        <v>0</v>
      </c>
      <c r="BC1431">
        <f>IF(OR(BA1431="",BB1431=""),"",BB1431+BA1431*F1431)</f>
        <v>0</v>
      </c>
      <c r="BD1431">
        <f>IF(COUNT($E$2:$E1431)&lt;20,"",STEYX($E$1332:$E$1431,$F$1332:$F$1431))</f>
        <v>0</v>
      </c>
      <c r="BE1431">
        <f>IF($E1431="","",IF(AND(COUNT($E$1432:$E$1435)&gt;=4,$C1431=MAX($C$1427:$C$1435)),$C1431,""))</f>
        <v>0</v>
      </c>
      <c r="BF1431">
        <f>IF($E1431="","",IF(AND(COUNT($E$1432:$E$1435)&gt;=4,$D1431=MIN($D$1427:$D$1435)),$D1431,""))</f>
        <v>0</v>
      </c>
      <c r="BG1431">
        <f>IF($A1431="","",$A1431-WEEKDAY($A1431,2)+1)</f>
        <v>0</v>
      </c>
      <c r="BH1431">
        <f>IF($A1431="","",IF($A1430="",1,IF(BG1431&lt;&gt;BG1430,1,0)))</f>
        <v>0</v>
      </c>
      <c r="BI1431">
        <f>IF($A1431="","",IF($A1432="",1,IF(BG1432&lt;&gt;BG1431,1,0)))</f>
        <v>0</v>
      </c>
      <c r="BJ1431">
        <f>IF($A1431="","",IF(BH1431=1,$B1431,BJ1430))</f>
        <v>0</v>
      </c>
      <c r="BK1431">
        <f>IF($A1431="","",IF(BH1431=1,$C1431,MAX($C1431,BK1430)))</f>
        <v>0</v>
      </c>
      <c r="BL1431">
        <f>IF($A1431="","",IF(BH1431=1,$D1431,MIN($D1431,BL1430)))</f>
        <v>0</v>
      </c>
      <c r="BM1431">
        <f>IF($A1431="","",IF(BI1431=1,F1431,""))</f>
        <v>0</v>
      </c>
      <c r="BN1431">
        <f>IF($A1431="","",DATE(YEAR($A1431),MONTH($A1431),1))</f>
        <v>0</v>
      </c>
      <c r="BO1431">
        <f>IF($A1431="","",IF($A1430="",1,IF(BN1431&lt;&gt;BN1430,1,0)))</f>
        <v>0</v>
      </c>
      <c r="BP1431">
        <f>IF($A1431="","",IF($A1432="",1,IF(BN1432&lt;&gt;BN1431,1,0)))</f>
        <v>0</v>
      </c>
      <c r="BQ1431">
        <f>IF($A1431="","",IF(BO1431=1,$B1431,BQ1430))</f>
        <v>0</v>
      </c>
      <c r="BR1431">
        <f>IF($A1431="","",IF(BO1431=1,$C1431,MAX($C1431,BR1430)))</f>
        <v>0</v>
      </c>
      <c r="BS1431">
        <f>IF($A1431="","",IF(BO1431=1,$D1431,MIN($D1431,BS1430)))</f>
        <v>0</v>
      </c>
      <c r="BT1431">
        <f>IF($A1431="","",IF(BP1431=1,F1431,""))</f>
        <v>0</v>
      </c>
    </row>
    <row r="1432" spans="1:72">
      <c r="A1432" s="27">
        <f>IF(Data!$A1432="","",Data!$A1432)</f>
        <v>0</v>
      </c>
      <c r="B1432">
        <f>IF(Data!$B1432="","",Data!$B1432)</f>
        <v>0</v>
      </c>
      <c r="C1432">
        <f>IF(Data!$C1432="","",Data!$C1432)</f>
        <v>0</v>
      </c>
      <c r="D1432">
        <f>IF(Data!$D1432="","",Data!$D1432)</f>
        <v>0</v>
      </c>
      <c r="E1432">
        <f>IF(Data!$E1432="","",Data!$E1432)</f>
        <v>0</v>
      </c>
      <c r="F1432">
        <f>IF($E1432="","",N(F1431)+1)</f>
        <v>0</v>
      </c>
      <c r="G1432">
        <f>IF(OR($E1432="",$E1431=""),"",LN($E1432/$E1431))</f>
        <v>0</v>
      </c>
      <c r="H1432">
        <f>IF($E1432="","",IF($E1431="",$E1432,$E1432*0.0952380952+H1431*0.9047619048))</f>
        <v>0</v>
      </c>
      <c r="I1432">
        <f>IF($E1432="","",IF($E1431="",$E1432,$E1432*0.0392156863+I1431*0.9607843137))</f>
        <v>0</v>
      </c>
      <c r="J1432">
        <f>IF($E1432="","",IF($E1431="",$E1432,$E1432*0.0198019802+J1431*0.9801980198))</f>
        <v>0</v>
      </c>
      <c r="K1432">
        <f>IF($E1432="","",IF($E1431="",$E1432,$E1432*0.0099502488+K1431*0.9900497512))</f>
        <v>0</v>
      </c>
      <c r="L1432">
        <f>IF(OR($E1432="",$E1431=""),"",MAX($E1432-$E1431,0))</f>
        <v>0</v>
      </c>
      <c r="M1432">
        <f>IF(OR($E1432="",$E1431=""),"",MAX($E1431-$E1432,0))</f>
        <v>0</v>
      </c>
      <c r="N1432">
        <f>IF(COUNT($E$2:$E1432)&lt;15,"",IF(AVERAGE($M$1419:$M$1432)=0,100,100-100/(1+AVERAGE($L$1419:$L$1432)/AVERAGE($M$1419:$M$1432))))</f>
        <v>0</v>
      </c>
      <c r="O1432">
        <f>IF($E1432="","",IF($E1431="",$E1432,$E1432*0.1538461538+O1431*0.8461538462))</f>
        <v>0</v>
      </c>
      <c r="P1432">
        <f>IF($E1432="","",IF($E1431="",$E1432,$E1432*0.0740740741+P1431*0.9259259259))</f>
        <v>0</v>
      </c>
      <c r="Q1432">
        <f>IF(OR(O1432="",P1432=""),"",O1432-P1432)</f>
        <v>0</v>
      </c>
      <c r="R1432">
        <f>IF(Q1432="","",IF(R1431="",Q1432,Q1432*0.2000000000+R1431*0.8000000000))</f>
        <v>0</v>
      </c>
      <c r="S1432">
        <f>IF(OR(Q1432="",R1432=""),"",Q1432-R1432)</f>
        <v>0</v>
      </c>
      <c r="T1432">
        <f>IF(COUNT($E$2:$E1432)&lt;14,"",MAX($C$1419:$C$1432))</f>
        <v>0</v>
      </c>
      <c r="U1432">
        <f>IF(COUNT($E$2:$E1432)&lt;14,"",MIN($D$1419:$D$1432))</f>
        <v>0</v>
      </c>
      <c r="V1432">
        <f>IF(OR(T1432="",U1432="",T1432=U1432),"",100*($E1432-U1432)/(T1432-U1432))</f>
        <v>0</v>
      </c>
      <c r="W1432">
        <f>IF(COUNT($V$1430:$V$1432)&lt;3,"",AVERAGE($V$1430:$V$1432))</f>
        <v>0</v>
      </c>
      <c r="X1432">
        <f>IF(COUNT($N$1419:$N$1432)&lt;14,"",MIN($N$1419:$N$1432))</f>
        <v>0</v>
      </c>
      <c r="Y1432">
        <f>IF(COUNT($N$1419:$N$1432)&lt;14,"",MAX($N$1419:$N$1432))</f>
        <v>0</v>
      </c>
      <c r="Z1432">
        <f>IF(OR(N1432="",X1432="",Y1432="",Y1432=X1432),"",100*(N1432-X1432)/(Y1432-X1432))</f>
        <v>0</v>
      </c>
      <c r="AA1432">
        <f>IF(COUNT($Z$1430:$Z$1432)&lt;3,"",AVERAGE($Z$1430:$Z$1432))</f>
        <v>0</v>
      </c>
      <c r="AB1432">
        <f>IF(COUNT($AA$1430:$AA$1432)&lt;3,"",AVERAGE($AA$1430:$AA$1432))</f>
        <v>0</v>
      </c>
      <c r="AC1432">
        <f>IF($E1432="","",MAX($C1432-$D1432,ABS($C1432-$E1431),ABS($D1432-$E1431)))</f>
        <v>0</v>
      </c>
      <c r="AD1432">
        <f>IF(COUNT($E$2:$E1432)&lt;15,"",AVERAGE($AC$1419:$AC$1432))</f>
        <v>0</v>
      </c>
      <c r="AE1432">
        <f>IF(OR($E1432="",$E1431=""),"",IF(AND(($C1432-$C1431)&gt;($D1431-$D1432),($C1432-$C1431)&gt;0),$C1432-$C1431,0))</f>
        <v>0</v>
      </c>
      <c r="AF1432">
        <f>IF(OR($E1432="",$E1431=""),"",IF(AND(($D1431-$D1432)&gt;($C1432-$C1431),($D1431-$D1432)&gt;0),$D1431-$D1432,0))</f>
        <v>0</v>
      </c>
      <c r="AG1432">
        <f>IF(COUNT($E$2:$E1432)&lt;15,"",IF(SUM($AC$1419:$AC$1432)=0,0,100*SUM($AE$1419:$AE$1432)/SUM($AC$1419:$AC$1432)))</f>
        <v>0</v>
      </c>
      <c r="AH1432">
        <f>IF(COUNT($E$2:$E1432)&lt;15,"",IF(SUM($AC$1419:$AC$1432)=0,0,100*SUM($AF$1419:$AF$1432)/SUM($AC$1419:$AC$1432)))</f>
        <v>0</v>
      </c>
      <c r="AI1432">
        <f>IF(OR(AG1432="",AH1432=""),"",IF((AG1432+AH1432)=0,0,100*ABS(AG1432-AH1432)/(AG1432+AH1432)))</f>
        <v>0</v>
      </c>
      <c r="AJ1432">
        <f>IF(COUNT($AI$1419:$AI$1432)&lt;14,"",AVERAGE($AI$1419:$AI$1432))</f>
        <v>0</v>
      </c>
      <c r="AK1432">
        <f>IF(COUNT($E$2:$E1432)&lt;20,"",AVERAGE($E$1413:$E$1432))</f>
        <v>0</v>
      </c>
      <c r="AL1432">
        <f>IF(COUNT($E$2:$E1432)&lt;20,"",STDEVP($E$1413:$E$1432))</f>
        <v>0</v>
      </c>
      <c r="AM1432">
        <f>IF(AK1432="","",AK1432+2*AL1432)</f>
        <v>0</v>
      </c>
      <c r="AN1432">
        <f>IF(AK1432="","",AK1432-2*AL1432)</f>
        <v>0</v>
      </c>
      <c r="AO1432">
        <f>IF(OR(AM1432="",AN1432="",AM1432=AN1432),"",($E1432-AN1432)/(AM1432-AN1432))</f>
        <v>0</v>
      </c>
      <c r="AP1432">
        <f>IF(OR(AM1432="",AK1432="",AK1432=0),"",(AM1432-AN1432)/AK1432)</f>
        <v>0</v>
      </c>
      <c r="AQ1432">
        <f>IF(COUNT($E$2:$E1432)&lt;20,"",MAX($C$1413:$C$1432))</f>
        <v>0</v>
      </c>
      <c r="AR1432">
        <f>IF(COUNT($E$2:$E1432)&lt;20,"",MIN($D$1413:$D$1432))</f>
        <v>0</v>
      </c>
      <c r="AS1432">
        <f>IF(OR(AQ1432="",AR1432=""),"",(AQ1432+AR1432)/2)</f>
        <v>0</v>
      </c>
      <c r="AT1432">
        <f>IF(COUNT($G$1413:$G$1432)&lt;20,"",STDEV($G$1413:$G$1432)*SQRT(252))</f>
        <v>0</v>
      </c>
      <c r="AU1432">
        <f>IF(COUNT($E$2:$E1432)&lt;9,"",(MAX($C$1424:$C$1432)+MIN($D$1424:$D$1432))/2)</f>
        <v>0</v>
      </c>
      <c r="AV1432">
        <f>IF(COUNT($E$2:$E1432)&lt;26,"",(MAX($C$1407:$C$1432)+MIN($D$1407:$D$1432))/2)</f>
        <v>0</v>
      </c>
      <c r="AW1432">
        <f>IF(OR(AU1432="",AV1432=""),"",(AU1432+AV1432)/2)</f>
        <v>0</v>
      </c>
      <c r="AX1432">
        <f>IF(COUNT($E$2:$E1432)&lt;52,"",(MAX($C$1381:$C$1432)+MIN($D$1381:$D$1432))/2)</f>
        <v>0</v>
      </c>
      <c r="AY1432">
        <f>IF(COUNT($E$2:$E1432)&lt;20,"",MAX($C$1333:$C$1432))</f>
        <v>0</v>
      </c>
      <c r="AZ1432">
        <f>IF(COUNT($E$2:$E1432)&lt;20,"",MIN($D$1333:$D$1432))</f>
        <v>0</v>
      </c>
      <c r="BA1432">
        <f>IF(COUNT($E$2:$E1432)&lt;20,"",SLOPE($E$1333:$E$1432,$F$1333:$F$1432))</f>
        <v>0</v>
      </c>
      <c r="BB1432">
        <f>IF(COUNT($E$2:$E1432)&lt;20,"",INTERCEPT($E$1333:$E$1432,$F$1333:$F$1432))</f>
        <v>0</v>
      </c>
      <c r="BC1432">
        <f>IF(OR(BA1432="",BB1432=""),"",BB1432+BA1432*F1432)</f>
        <v>0</v>
      </c>
      <c r="BD1432">
        <f>IF(COUNT($E$2:$E1432)&lt;20,"",STEYX($E$1333:$E$1432,$F$1333:$F$1432))</f>
        <v>0</v>
      </c>
      <c r="BE1432">
        <f>IF($E1432="","",IF(AND(COUNT($E$1433:$E$1436)&gt;=4,$C1432=MAX($C$1428:$C$1436)),$C1432,""))</f>
        <v>0</v>
      </c>
      <c r="BF1432">
        <f>IF($E1432="","",IF(AND(COUNT($E$1433:$E$1436)&gt;=4,$D1432=MIN($D$1428:$D$1436)),$D1432,""))</f>
        <v>0</v>
      </c>
      <c r="BG1432">
        <f>IF($A1432="","",$A1432-WEEKDAY($A1432,2)+1)</f>
        <v>0</v>
      </c>
      <c r="BH1432">
        <f>IF($A1432="","",IF($A1431="",1,IF(BG1432&lt;&gt;BG1431,1,0)))</f>
        <v>0</v>
      </c>
      <c r="BI1432">
        <f>IF($A1432="","",IF($A1433="",1,IF(BG1433&lt;&gt;BG1432,1,0)))</f>
        <v>0</v>
      </c>
      <c r="BJ1432">
        <f>IF($A1432="","",IF(BH1432=1,$B1432,BJ1431))</f>
        <v>0</v>
      </c>
      <c r="BK1432">
        <f>IF($A1432="","",IF(BH1432=1,$C1432,MAX($C1432,BK1431)))</f>
        <v>0</v>
      </c>
      <c r="BL1432">
        <f>IF($A1432="","",IF(BH1432=1,$D1432,MIN($D1432,BL1431)))</f>
        <v>0</v>
      </c>
      <c r="BM1432">
        <f>IF($A1432="","",IF(BI1432=1,F1432,""))</f>
        <v>0</v>
      </c>
      <c r="BN1432">
        <f>IF($A1432="","",DATE(YEAR($A1432),MONTH($A1432),1))</f>
        <v>0</v>
      </c>
      <c r="BO1432">
        <f>IF($A1432="","",IF($A1431="",1,IF(BN1432&lt;&gt;BN1431,1,0)))</f>
        <v>0</v>
      </c>
      <c r="BP1432">
        <f>IF($A1432="","",IF($A1433="",1,IF(BN1433&lt;&gt;BN1432,1,0)))</f>
        <v>0</v>
      </c>
      <c r="BQ1432">
        <f>IF($A1432="","",IF(BO1432=1,$B1432,BQ1431))</f>
        <v>0</v>
      </c>
      <c r="BR1432">
        <f>IF($A1432="","",IF(BO1432=1,$C1432,MAX($C1432,BR1431)))</f>
        <v>0</v>
      </c>
      <c r="BS1432">
        <f>IF($A1432="","",IF(BO1432=1,$D1432,MIN($D1432,BS1431)))</f>
        <v>0</v>
      </c>
      <c r="BT1432">
        <f>IF($A1432="","",IF(BP1432=1,F1432,""))</f>
        <v>0</v>
      </c>
    </row>
    <row r="1433" spans="1:72">
      <c r="A1433" s="27">
        <f>IF(Data!$A1433="","",Data!$A1433)</f>
        <v>0</v>
      </c>
      <c r="B1433">
        <f>IF(Data!$B1433="","",Data!$B1433)</f>
        <v>0</v>
      </c>
      <c r="C1433">
        <f>IF(Data!$C1433="","",Data!$C1433)</f>
        <v>0</v>
      </c>
      <c r="D1433">
        <f>IF(Data!$D1433="","",Data!$D1433)</f>
        <v>0</v>
      </c>
      <c r="E1433">
        <f>IF(Data!$E1433="","",Data!$E1433)</f>
        <v>0</v>
      </c>
      <c r="F1433">
        <f>IF($E1433="","",N(F1432)+1)</f>
        <v>0</v>
      </c>
      <c r="G1433">
        <f>IF(OR($E1433="",$E1432=""),"",LN($E1433/$E1432))</f>
        <v>0</v>
      </c>
      <c r="H1433">
        <f>IF($E1433="","",IF($E1432="",$E1433,$E1433*0.0952380952+H1432*0.9047619048))</f>
        <v>0</v>
      </c>
      <c r="I1433">
        <f>IF($E1433="","",IF($E1432="",$E1433,$E1433*0.0392156863+I1432*0.9607843137))</f>
        <v>0</v>
      </c>
      <c r="J1433">
        <f>IF($E1433="","",IF($E1432="",$E1433,$E1433*0.0198019802+J1432*0.9801980198))</f>
        <v>0</v>
      </c>
      <c r="K1433">
        <f>IF($E1433="","",IF($E1432="",$E1433,$E1433*0.0099502488+K1432*0.9900497512))</f>
        <v>0</v>
      </c>
      <c r="L1433">
        <f>IF(OR($E1433="",$E1432=""),"",MAX($E1433-$E1432,0))</f>
        <v>0</v>
      </c>
      <c r="M1433">
        <f>IF(OR($E1433="",$E1432=""),"",MAX($E1432-$E1433,0))</f>
        <v>0</v>
      </c>
      <c r="N1433">
        <f>IF(COUNT($E$2:$E1433)&lt;15,"",IF(AVERAGE($M$1420:$M$1433)=0,100,100-100/(1+AVERAGE($L$1420:$L$1433)/AVERAGE($M$1420:$M$1433))))</f>
        <v>0</v>
      </c>
      <c r="O1433">
        <f>IF($E1433="","",IF($E1432="",$E1433,$E1433*0.1538461538+O1432*0.8461538462))</f>
        <v>0</v>
      </c>
      <c r="P1433">
        <f>IF($E1433="","",IF($E1432="",$E1433,$E1433*0.0740740741+P1432*0.9259259259))</f>
        <v>0</v>
      </c>
      <c r="Q1433">
        <f>IF(OR(O1433="",P1433=""),"",O1433-P1433)</f>
        <v>0</v>
      </c>
      <c r="R1433">
        <f>IF(Q1433="","",IF(R1432="",Q1433,Q1433*0.2000000000+R1432*0.8000000000))</f>
        <v>0</v>
      </c>
      <c r="S1433">
        <f>IF(OR(Q1433="",R1433=""),"",Q1433-R1433)</f>
        <v>0</v>
      </c>
      <c r="T1433">
        <f>IF(COUNT($E$2:$E1433)&lt;14,"",MAX($C$1420:$C$1433))</f>
        <v>0</v>
      </c>
      <c r="U1433">
        <f>IF(COUNT($E$2:$E1433)&lt;14,"",MIN($D$1420:$D$1433))</f>
        <v>0</v>
      </c>
      <c r="V1433">
        <f>IF(OR(T1433="",U1433="",T1433=U1433),"",100*($E1433-U1433)/(T1433-U1433))</f>
        <v>0</v>
      </c>
      <c r="W1433">
        <f>IF(COUNT($V$1431:$V$1433)&lt;3,"",AVERAGE($V$1431:$V$1433))</f>
        <v>0</v>
      </c>
      <c r="X1433">
        <f>IF(COUNT($N$1420:$N$1433)&lt;14,"",MIN($N$1420:$N$1433))</f>
        <v>0</v>
      </c>
      <c r="Y1433">
        <f>IF(COUNT($N$1420:$N$1433)&lt;14,"",MAX($N$1420:$N$1433))</f>
        <v>0</v>
      </c>
      <c r="Z1433">
        <f>IF(OR(N1433="",X1433="",Y1433="",Y1433=X1433),"",100*(N1433-X1433)/(Y1433-X1433))</f>
        <v>0</v>
      </c>
      <c r="AA1433">
        <f>IF(COUNT($Z$1431:$Z$1433)&lt;3,"",AVERAGE($Z$1431:$Z$1433))</f>
        <v>0</v>
      </c>
      <c r="AB1433">
        <f>IF(COUNT($AA$1431:$AA$1433)&lt;3,"",AVERAGE($AA$1431:$AA$1433))</f>
        <v>0</v>
      </c>
      <c r="AC1433">
        <f>IF($E1433="","",MAX($C1433-$D1433,ABS($C1433-$E1432),ABS($D1433-$E1432)))</f>
        <v>0</v>
      </c>
      <c r="AD1433">
        <f>IF(COUNT($E$2:$E1433)&lt;15,"",AVERAGE($AC$1420:$AC$1433))</f>
        <v>0</v>
      </c>
      <c r="AE1433">
        <f>IF(OR($E1433="",$E1432=""),"",IF(AND(($C1433-$C1432)&gt;($D1432-$D1433),($C1433-$C1432)&gt;0),$C1433-$C1432,0))</f>
        <v>0</v>
      </c>
      <c r="AF1433">
        <f>IF(OR($E1433="",$E1432=""),"",IF(AND(($D1432-$D1433)&gt;($C1433-$C1432),($D1432-$D1433)&gt;0),$D1432-$D1433,0))</f>
        <v>0</v>
      </c>
      <c r="AG1433">
        <f>IF(COUNT($E$2:$E1433)&lt;15,"",IF(SUM($AC$1420:$AC$1433)=0,0,100*SUM($AE$1420:$AE$1433)/SUM($AC$1420:$AC$1433)))</f>
        <v>0</v>
      </c>
      <c r="AH1433">
        <f>IF(COUNT($E$2:$E1433)&lt;15,"",IF(SUM($AC$1420:$AC$1433)=0,0,100*SUM($AF$1420:$AF$1433)/SUM($AC$1420:$AC$1433)))</f>
        <v>0</v>
      </c>
      <c r="AI1433">
        <f>IF(OR(AG1433="",AH1433=""),"",IF((AG1433+AH1433)=0,0,100*ABS(AG1433-AH1433)/(AG1433+AH1433)))</f>
        <v>0</v>
      </c>
      <c r="AJ1433">
        <f>IF(COUNT($AI$1420:$AI$1433)&lt;14,"",AVERAGE($AI$1420:$AI$1433))</f>
        <v>0</v>
      </c>
      <c r="AK1433">
        <f>IF(COUNT($E$2:$E1433)&lt;20,"",AVERAGE($E$1414:$E$1433))</f>
        <v>0</v>
      </c>
      <c r="AL1433">
        <f>IF(COUNT($E$2:$E1433)&lt;20,"",STDEVP($E$1414:$E$1433))</f>
        <v>0</v>
      </c>
      <c r="AM1433">
        <f>IF(AK1433="","",AK1433+2*AL1433)</f>
        <v>0</v>
      </c>
      <c r="AN1433">
        <f>IF(AK1433="","",AK1433-2*AL1433)</f>
        <v>0</v>
      </c>
      <c r="AO1433">
        <f>IF(OR(AM1433="",AN1433="",AM1433=AN1433),"",($E1433-AN1433)/(AM1433-AN1433))</f>
        <v>0</v>
      </c>
      <c r="AP1433">
        <f>IF(OR(AM1433="",AK1433="",AK1433=0),"",(AM1433-AN1433)/AK1433)</f>
        <v>0</v>
      </c>
      <c r="AQ1433">
        <f>IF(COUNT($E$2:$E1433)&lt;20,"",MAX($C$1414:$C$1433))</f>
        <v>0</v>
      </c>
      <c r="AR1433">
        <f>IF(COUNT($E$2:$E1433)&lt;20,"",MIN($D$1414:$D$1433))</f>
        <v>0</v>
      </c>
      <c r="AS1433">
        <f>IF(OR(AQ1433="",AR1433=""),"",(AQ1433+AR1433)/2)</f>
        <v>0</v>
      </c>
      <c r="AT1433">
        <f>IF(COUNT($G$1414:$G$1433)&lt;20,"",STDEV($G$1414:$G$1433)*SQRT(252))</f>
        <v>0</v>
      </c>
      <c r="AU1433">
        <f>IF(COUNT($E$2:$E1433)&lt;9,"",(MAX($C$1425:$C$1433)+MIN($D$1425:$D$1433))/2)</f>
        <v>0</v>
      </c>
      <c r="AV1433">
        <f>IF(COUNT($E$2:$E1433)&lt;26,"",(MAX($C$1408:$C$1433)+MIN($D$1408:$D$1433))/2)</f>
        <v>0</v>
      </c>
      <c r="AW1433">
        <f>IF(OR(AU1433="",AV1433=""),"",(AU1433+AV1433)/2)</f>
        <v>0</v>
      </c>
      <c r="AX1433">
        <f>IF(COUNT($E$2:$E1433)&lt;52,"",(MAX($C$1382:$C$1433)+MIN($D$1382:$D$1433))/2)</f>
        <v>0</v>
      </c>
      <c r="AY1433">
        <f>IF(COUNT($E$2:$E1433)&lt;20,"",MAX($C$1334:$C$1433))</f>
        <v>0</v>
      </c>
      <c r="AZ1433">
        <f>IF(COUNT($E$2:$E1433)&lt;20,"",MIN($D$1334:$D$1433))</f>
        <v>0</v>
      </c>
      <c r="BA1433">
        <f>IF(COUNT($E$2:$E1433)&lt;20,"",SLOPE($E$1334:$E$1433,$F$1334:$F$1433))</f>
        <v>0</v>
      </c>
      <c r="BB1433">
        <f>IF(COUNT($E$2:$E1433)&lt;20,"",INTERCEPT($E$1334:$E$1433,$F$1334:$F$1433))</f>
        <v>0</v>
      </c>
      <c r="BC1433">
        <f>IF(OR(BA1433="",BB1433=""),"",BB1433+BA1433*F1433)</f>
        <v>0</v>
      </c>
      <c r="BD1433">
        <f>IF(COUNT($E$2:$E1433)&lt;20,"",STEYX($E$1334:$E$1433,$F$1334:$F$1433))</f>
        <v>0</v>
      </c>
      <c r="BE1433">
        <f>IF($E1433="","",IF(AND(COUNT($E$1434:$E$1437)&gt;=4,$C1433=MAX($C$1429:$C$1437)),$C1433,""))</f>
        <v>0</v>
      </c>
      <c r="BF1433">
        <f>IF($E1433="","",IF(AND(COUNT($E$1434:$E$1437)&gt;=4,$D1433=MIN($D$1429:$D$1437)),$D1433,""))</f>
        <v>0</v>
      </c>
      <c r="BG1433">
        <f>IF($A1433="","",$A1433-WEEKDAY($A1433,2)+1)</f>
        <v>0</v>
      </c>
      <c r="BH1433">
        <f>IF($A1433="","",IF($A1432="",1,IF(BG1433&lt;&gt;BG1432,1,0)))</f>
        <v>0</v>
      </c>
      <c r="BI1433">
        <f>IF($A1433="","",IF($A1434="",1,IF(BG1434&lt;&gt;BG1433,1,0)))</f>
        <v>0</v>
      </c>
      <c r="BJ1433">
        <f>IF($A1433="","",IF(BH1433=1,$B1433,BJ1432))</f>
        <v>0</v>
      </c>
      <c r="BK1433">
        <f>IF($A1433="","",IF(BH1433=1,$C1433,MAX($C1433,BK1432)))</f>
        <v>0</v>
      </c>
      <c r="BL1433">
        <f>IF($A1433="","",IF(BH1433=1,$D1433,MIN($D1433,BL1432)))</f>
        <v>0</v>
      </c>
      <c r="BM1433">
        <f>IF($A1433="","",IF(BI1433=1,F1433,""))</f>
        <v>0</v>
      </c>
      <c r="BN1433">
        <f>IF($A1433="","",DATE(YEAR($A1433),MONTH($A1433),1))</f>
        <v>0</v>
      </c>
      <c r="BO1433">
        <f>IF($A1433="","",IF($A1432="",1,IF(BN1433&lt;&gt;BN1432,1,0)))</f>
        <v>0</v>
      </c>
      <c r="BP1433">
        <f>IF($A1433="","",IF($A1434="",1,IF(BN1434&lt;&gt;BN1433,1,0)))</f>
        <v>0</v>
      </c>
      <c r="BQ1433">
        <f>IF($A1433="","",IF(BO1433=1,$B1433,BQ1432))</f>
        <v>0</v>
      </c>
      <c r="BR1433">
        <f>IF($A1433="","",IF(BO1433=1,$C1433,MAX($C1433,BR1432)))</f>
        <v>0</v>
      </c>
      <c r="BS1433">
        <f>IF($A1433="","",IF(BO1433=1,$D1433,MIN($D1433,BS1432)))</f>
        <v>0</v>
      </c>
      <c r="BT1433">
        <f>IF($A1433="","",IF(BP1433=1,F1433,""))</f>
        <v>0</v>
      </c>
    </row>
    <row r="1434" spans="1:72">
      <c r="A1434" s="27">
        <f>IF(Data!$A1434="","",Data!$A1434)</f>
        <v>0</v>
      </c>
      <c r="B1434">
        <f>IF(Data!$B1434="","",Data!$B1434)</f>
        <v>0</v>
      </c>
      <c r="C1434">
        <f>IF(Data!$C1434="","",Data!$C1434)</f>
        <v>0</v>
      </c>
      <c r="D1434">
        <f>IF(Data!$D1434="","",Data!$D1434)</f>
        <v>0</v>
      </c>
      <c r="E1434">
        <f>IF(Data!$E1434="","",Data!$E1434)</f>
        <v>0</v>
      </c>
      <c r="F1434">
        <f>IF($E1434="","",N(F1433)+1)</f>
        <v>0</v>
      </c>
      <c r="G1434">
        <f>IF(OR($E1434="",$E1433=""),"",LN($E1434/$E1433))</f>
        <v>0</v>
      </c>
      <c r="H1434">
        <f>IF($E1434="","",IF($E1433="",$E1434,$E1434*0.0952380952+H1433*0.9047619048))</f>
        <v>0</v>
      </c>
      <c r="I1434">
        <f>IF($E1434="","",IF($E1433="",$E1434,$E1434*0.0392156863+I1433*0.9607843137))</f>
        <v>0</v>
      </c>
      <c r="J1434">
        <f>IF($E1434="","",IF($E1433="",$E1434,$E1434*0.0198019802+J1433*0.9801980198))</f>
        <v>0</v>
      </c>
      <c r="K1434">
        <f>IF($E1434="","",IF($E1433="",$E1434,$E1434*0.0099502488+K1433*0.9900497512))</f>
        <v>0</v>
      </c>
      <c r="L1434">
        <f>IF(OR($E1434="",$E1433=""),"",MAX($E1434-$E1433,0))</f>
        <v>0</v>
      </c>
      <c r="M1434">
        <f>IF(OR($E1434="",$E1433=""),"",MAX($E1433-$E1434,0))</f>
        <v>0</v>
      </c>
      <c r="N1434">
        <f>IF(COUNT($E$2:$E1434)&lt;15,"",IF(AVERAGE($M$1421:$M$1434)=0,100,100-100/(1+AVERAGE($L$1421:$L$1434)/AVERAGE($M$1421:$M$1434))))</f>
        <v>0</v>
      </c>
      <c r="O1434">
        <f>IF($E1434="","",IF($E1433="",$E1434,$E1434*0.1538461538+O1433*0.8461538462))</f>
        <v>0</v>
      </c>
      <c r="P1434">
        <f>IF($E1434="","",IF($E1433="",$E1434,$E1434*0.0740740741+P1433*0.9259259259))</f>
        <v>0</v>
      </c>
      <c r="Q1434">
        <f>IF(OR(O1434="",P1434=""),"",O1434-P1434)</f>
        <v>0</v>
      </c>
      <c r="R1434">
        <f>IF(Q1434="","",IF(R1433="",Q1434,Q1434*0.2000000000+R1433*0.8000000000))</f>
        <v>0</v>
      </c>
      <c r="S1434">
        <f>IF(OR(Q1434="",R1434=""),"",Q1434-R1434)</f>
        <v>0</v>
      </c>
      <c r="T1434">
        <f>IF(COUNT($E$2:$E1434)&lt;14,"",MAX($C$1421:$C$1434))</f>
        <v>0</v>
      </c>
      <c r="U1434">
        <f>IF(COUNT($E$2:$E1434)&lt;14,"",MIN($D$1421:$D$1434))</f>
        <v>0</v>
      </c>
      <c r="V1434">
        <f>IF(OR(T1434="",U1434="",T1434=U1434),"",100*($E1434-U1434)/(T1434-U1434))</f>
        <v>0</v>
      </c>
      <c r="W1434">
        <f>IF(COUNT($V$1432:$V$1434)&lt;3,"",AVERAGE($V$1432:$V$1434))</f>
        <v>0</v>
      </c>
      <c r="X1434">
        <f>IF(COUNT($N$1421:$N$1434)&lt;14,"",MIN($N$1421:$N$1434))</f>
        <v>0</v>
      </c>
      <c r="Y1434">
        <f>IF(COUNT($N$1421:$N$1434)&lt;14,"",MAX($N$1421:$N$1434))</f>
        <v>0</v>
      </c>
      <c r="Z1434">
        <f>IF(OR(N1434="",X1434="",Y1434="",Y1434=X1434),"",100*(N1434-X1434)/(Y1434-X1434))</f>
        <v>0</v>
      </c>
      <c r="AA1434">
        <f>IF(COUNT($Z$1432:$Z$1434)&lt;3,"",AVERAGE($Z$1432:$Z$1434))</f>
        <v>0</v>
      </c>
      <c r="AB1434">
        <f>IF(COUNT($AA$1432:$AA$1434)&lt;3,"",AVERAGE($AA$1432:$AA$1434))</f>
        <v>0</v>
      </c>
      <c r="AC1434">
        <f>IF($E1434="","",MAX($C1434-$D1434,ABS($C1434-$E1433),ABS($D1434-$E1433)))</f>
        <v>0</v>
      </c>
      <c r="AD1434">
        <f>IF(COUNT($E$2:$E1434)&lt;15,"",AVERAGE($AC$1421:$AC$1434))</f>
        <v>0</v>
      </c>
      <c r="AE1434">
        <f>IF(OR($E1434="",$E1433=""),"",IF(AND(($C1434-$C1433)&gt;($D1433-$D1434),($C1434-$C1433)&gt;0),$C1434-$C1433,0))</f>
        <v>0</v>
      </c>
      <c r="AF1434">
        <f>IF(OR($E1434="",$E1433=""),"",IF(AND(($D1433-$D1434)&gt;($C1434-$C1433),($D1433-$D1434)&gt;0),$D1433-$D1434,0))</f>
        <v>0</v>
      </c>
      <c r="AG1434">
        <f>IF(COUNT($E$2:$E1434)&lt;15,"",IF(SUM($AC$1421:$AC$1434)=0,0,100*SUM($AE$1421:$AE$1434)/SUM($AC$1421:$AC$1434)))</f>
        <v>0</v>
      </c>
      <c r="AH1434">
        <f>IF(COUNT($E$2:$E1434)&lt;15,"",IF(SUM($AC$1421:$AC$1434)=0,0,100*SUM($AF$1421:$AF$1434)/SUM($AC$1421:$AC$1434)))</f>
        <v>0</v>
      </c>
      <c r="AI1434">
        <f>IF(OR(AG1434="",AH1434=""),"",IF((AG1434+AH1434)=0,0,100*ABS(AG1434-AH1434)/(AG1434+AH1434)))</f>
        <v>0</v>
      </c>
      <c r="AJ1434">
        <f>IF(COUNT($AI$1421:$AI$1434)&lt;14,"",AVERAGE($AI$1421:$AI$1434))</f>
        <v>0</v>
      </c>
      <c r="AK1434">
        <f>IF(COUNT($E$2:$E1434)&lt;20,"",AVERAGE($E$1415:$E$1434))</f>
        <v>0</v>
      </c>
      <c r="AL1434">
        <f>IF(COUNT($E$2:$E1434)&lt;20,"",STDEVP($E$1415:$E$1434))</f>
        <v>0</v>
      </c>
      <c r="AM1434">
        <f>IF(AK1434="","",AK1434+2*AL1434)</f>
        <v>0</v>
      </c>
      <c r="AN1434">
        <f>IF(AK1434="","",AK1434-2*AL1434)</f>
        <v>0</v>
      </c>
      <c r="AO1434">
        <f>IF(OR(AM1434="",AN1434="",AM1434=AN1434),"",($E1434-AN1434)/(AM1434-AN1434))</f>
        <v>0</v>
      </c>
      <c r="AP1434">
        <f>IF(OR(AM1434="",AK1434="",AK1434=0),"",(AM1434-AN1434)/AK1434)</f>
        <v>0</v>
      </c>
      <c r="AQ1434">
        <f>IF(COUNT($E$2:$E1434)&lt;20,"",MAX($C$1415:$C$1434))</f>
        <v>0</v>
      </c>
      <c r="AR1434">
        <f>IF(COUNT($E$2:$E1434)&lt;20,"",MIN($D$1415:$D$1434))</f>
        <v>0</v>
      </c>
      <c r="AS1434">
        <f>IF(OR(AQ1434="",AR1434=""),"",(AQ1434+AR1434)/2)</f>
        <v>0</v>
      </c>
      <c r="AT1434">
        <f>IF(COUNT($G$1415:$G$1434)&lt;20,"",STDEV($G$1415:$G$1434)*SQRT(252))</f>
        <v>0</v>
      </c>
      <c r="AU1434">
        <f>IF(COUNT($E$2:$E1434)&lt;9,"",(MAX($C$1426:$C$1434)+MIN($D$1426:$D$1434))/2)</f>
        <v>0</v>
      </c>
      <c r="AV1434">
        <f>IF(COUNT($E$2:$E1434)&lt;26,"",(MAX($C$1409:$C$1434)+MIN($D$1409:$D$1434))/2)</f>
        <v>0</v>
      </c>
      <c r="AW1434">
        <f>IF(OR(AU1434="",AV1434=""),"",(AU1434+AV1434)/2)</f>
        <v>0</v>
      </c>
      <c r="AX1434">
        <f>IF(COUNT($E$2:$E1434)&lt;52,"",(MAX($C$1383:$C$1434)+MIN($D$1383:$D$1434))/2)</f>
        <v>0</v>
      </c>
      <c r="AY1434">
        <f>IF(COUNT($E$2:$E1434)&lt;20,"",MAX($C$1335:$C$1434))</f>
        <v>0</v>
      </c>
      <c r="AZ1434">
        <f>IF(COUNT($E$2:$E1434)&lt;20,"",MIN($D$1335:$D$1434))</f>
        <v>0</v>
      </c>
      <c r="BA1434">
        <f>IF(COUNT($E$2:$E1434)&lt;20,"",SLOPE($E$1335:$E$1434,$F$1335:$F$1434))</f>
        <v>0</v>
      </c>
      <c r="BB1434">
        <f>IF(COUNT($E$2:$E1434)&lt;20,"",INTERCEPT($E$1335:$E$1434,$F$1335:$F$1434))</f>
        <v>0</v>
      </c>
      <c r="BC1434">
        <f>IF(OR(BA1434="",BB1434=""),"",BB1434+BA1434*F1434)</f>
        <v>0</v>
      </c>
      <c r="BD1434">
        <f>IF(COUNT($E$2:$E1434)&lt;20,"",STEYX($E$1335:$E$1434,$F$1335:$F$1434))</f>
        <v>0</v>
      </c>
      <c r="BE1434">
        <f>IF($E1434="","",IF(AND(COUNT($E$1435:$E$1438)&gt;=4,$C1434=MAX($C$1430:$C$1438)),$C1434,""))</f>
        <v>0</v>
      </c>
      <c r="BF1434">
        <f>IF($E1434="","",IF(AND(COUNT($E$1435:$E$1438)&gt;=4,$D1434=MIN($D$1430:$D$1438)),$D1434,""))</f>
        <v>0</v>
      </c>
      <c r="BG1434">
        <f>IF($A1434="","",$A1434-WEEKDAY($A1434,2)+1)</f>
        <v>0</v>
      </c>
      <c r="BH1434">
        <f>IF($A1434="","",IF($A1433="",1,IF(BG1434&lt;&gt;BG1433,1,0)))</f>
        <v>0</v>
      </c>
      <c r="BI1434">
        <f>IF($A1434="","",IF($A1435="",1,IF(BG1435&lt;&gt;BG1434,1,0)))</f>
        <v>0</v>
      </c>
      <c r="BJ1434">
        <f>IF($A1434="","",IF(BH1434=1,$B1434,BJ1433))</f>
        <v>0</v>
      </c>
      <c r="BK1434">
        <f>IF($A1434="","",IF(BH1434=1,$C1434,MAX($C1434,BK1433)))</f>
        <v>0</v>
      </c>
      <c r="BL1434">
        <f>IF($A1434="","",IF(BH1434=1,$D1434,MIN($D1434,BL1433)))</f>
        <v>0</v>
      </c>
      <c r="BM1434">
        <f>IF($A1434="","",IF(BI1434=1,F1434,""))</f>
        <v>0</v>
      </c>
      <c r="BN1434">
        <f>IF($A1434="","",DATE(YEAR($A1434),MONTH($A1434),1))</f>
        <v>0</v>
      </c>
      <c r="BO1434">
        <f>IF($A1434="","",IF($A1433="",1,IF(BN1434&lt;&gt;BN1433,1,0)))</f>
        <v>0</v>
      </c>
      <c r="BP1434">
        <f>IF($A1434="","",IF($A1435="",1,IF(BN1435&lt;&gt;BN1434,1,0)))</f>
        <v>0</v>
      </c>
      <c r="BQ1434">
        <f>IF($A1434="","",IF(BO1434=1,$B1434,BQ1433))</f>
        <v>0</v>
      </c>
      <c r="BR1434">
        <f>IF($A1434="","",IF(BO1434=1,$C1434,MAX($C1434,BR1433)))</f>
        <v>0</v>
      </c>
      <c r="BS1434">
        <f>IF($A1434="","",IF(BO1434=1,$D1434,MIN($D1434,BS1433)))</f>
        <v>0</v>
      </c>
      <c r="BT1434">
        <f>IF($A1434="","",IF(BP1434=1,F1434,""))</f>
        <v>0</v>
      </c>
    </row>
    <row r="1435" spans="1:72">
      <c r="A1435" s="27">
        <f>IF(Data!$A1435="","",Data!$A1435)</f>
        <v>0</v>
      </c>
      <c r="B1435">
        <f>IF(Data!$B1435="","",Data!$B1435)</f>
        <v>0</v>
      </c>
      <c r="C1435">
        <f>IF(Data!$C1435="","",Data!$C1435)</f>
        <v>0</v>
      </c>
      <c r="D1435">
        <f>IF(Data!$D1435="","",Data!$D1435)</f>
        <v>0</v>
      </c>
      <c r="E1435">
        <f>IF(Data!$E1435="","",Data!$E1435)</f>
        <v>0</v>
      </c>
      <c r="F1435">
        <f>IF($E1435="","",N(F1434)+1)</f>
        <v>0</v>
      </c>
      <c r="G1435">
        <f>IF(OR($E1435="",$E1434=""),"",LN($E1435/$E1434))</f>
        <v>0</v>
      </c>
      <c r="H1435">
        <f>IF($E1435="","",IF($E1434="",$E1435,$E1435*0.0952380952+H1434*0.9047619048))</f>
        <v>0</v>
      </c>
      <c r="I1435">
        <f>IF($E1435="","",IF($E1434="",$E1435,$E1435*0.0392156863+I1434*0.9607843137))</f>
        <v>0</v>
      </c>
      <c r="J1435">
        <f>IF($E1435="","",IF($E1434="",$E1435,$E1435*0.0198019802+J1434*0.9801980198))</f>
        <v>0</v>
      </c>
      <c r="K1435">
        <f>IF($E1435="","",IF($E1434="",$E1435,$E1435*0.0099502488+K1434*0.9900497512))</f>
        <v>0</v>
      </c>
      <c r="L1435">
        <f>IF(OR($E1435="",$E1434=""),"",MAX($E1435-$E1434,0))</f>
        <v>0</v>
      </c>
      <c r="M1435">
        <f>IF(OR($E1435="",$E1434=""),"",MAX($E1434-$E1435,0))</f>
        <v>0</v>
      </c>
      <c r="N1435">
        <f>IF(COUNT($E$2:$E1435)&lt;15,"",IF(AVERAGE($M$1422:$M$1435)=0,100,100-100/(1+AVERAGE($L$1422:$L$1435)/AVERAGE($M$1422:$M$1435))))</f>
        <v>0</v>
      </c>
      <c r="O1435">
        <f>IF($E1435="","",IF($E1434="",$E1435,$E1435*0.1538461538+O1434*0.8461538462))</f>
        <v>0</v>
      </c>
      <c r="P1435">
        <f>IF($E1435="","",IF($E1434="",$E1435,$E1435*0.0740740741+P1434*0.9259259259))</f>
        <v>0</v>
      </c>
      <c r="Q1435">
        <f>IF(OR(O1435="",P1435=""),"",O1435-P1435)</f>
        <v>0</v>
      </c>
      <c r="R1435">
        <f>IF(Q1435="","",IF(R1434="",Q1435,Q1435*0.2000000000+R1434*0.8000000000))</f>
        <v>0</v>
      </c>
      <c r="S1435">
        <f>IF(OR(Q1435="",R1435=""),"",Q1435-R1435)</f>
        <v>0</v>
      </c>
      <c r="T1435">
        <f>IF(COUNT($E$2:$E1435)&lt;14,"",MAX($C$1422:$C$1435))</f>
        <v>0</v>
      </c>
      <c r="U1435">
        <f>IF(COUNT($E$2:$E1435)&lt;14,"",MIN($D$1422:$D$1435))</f>
        <v>0</v>
      </c>
      <c r="V1435">
        <f>IF(OR(T1435="",U1435="",T1435=U1435),"",100*($E1435-U1435)/(T1435-U1435))</f>
        <v>0</v>
      </c>
      <c r="W1435">
        <f>IF(COUNT($V$1433:$V$1435)&lt;3,"",AVERAGE($V$1433:$V$1435))</f>
        <v>0</v>
      </c>
      <c r="X1435">
        <f>IF(COUNT($N$1422:$N$1435)&lt;14,"",MIN($N$1422:$N$1435))</f>
        <v>0</v>
      </c>
      <c r="Y1435">
        <f>IF(COUNT($N$1422:$N$1435)&lt;14,"",MAX($N$1422:$N$1435))</f>
        <v>0</v>
      </c>
      <c r="Z1435">
        <f>IF(OR(N1435="",X1435="",Y1435="",Y1435=X1435),"",100*(N1435-X1435)/(Y1435-X1435))</f>
        <v>0</v>
      </c>
      <c r="AA1435">
        <f>IF(COUNT($Z$1433:$Z$1435)&lt;3,"",AVERAGE($Z$1433:$Z$1435))</f>
        <v>0</v>
      </c>
      <c r="AB1435">
        <f>IF(COUNT($AA$1433:$AA$1435)&lt;3,"",AVERAGE($AA$1433:$AA$1435))</f>
        <v>0</v>
      </c>
      <c r="AC1435">
        <f>IF($E1435="","",MAX($C1435-$D1435,ABS($C1435-$E1434),ABS($D1435-$E1434)))</f>
        <v>0</v>
      </c>
      <c r="AD1435">
        <f>IF(COUNT($E$2:$E1435)&lt;15,"",AVERAGE($AC$1422:$AC$1435))</f>
        <v>0</v>
      </c>
      <c r="AE1435">
        <f>IF(OR($E1435="",$E1434=""),"",IF(AND(($C1435-$C1434)&gt;($D1434-$D1435),($C1435-$C1434)&gt;0),$C1435-$C1434,0))</f>
        <v>0</v>
      </c>
      <c r="AF1435">
        <f>IF(OR($E1435="",$E1434=""),"",IF(AND(($D1434-$D1435)&gt;($C1435-$C1434),($D1434-$D1435)&gt;0),$D1434-$D1435,0))</f>
        <v>0</v>
      </c>
      <c r="AG1435">
        <f>IF(COUNT($E$2:$E1435)&lt;15,"",IF(SUM($AC$1422:$AC$1435)=0,0,100*SUM($AE$1422:$AE$1435)/SUM($AC$1422:$AC$1435)))</f>
        <v>0</v>
      </c>
      <c r="AH1435">
        <f>IF(COUNT($E$2:$E1435)&lt;15,"",IF(SUM($AC$1422:$AC$1435)=0,0,100*SUM($AF$1422:$AF$1435)/SUM($AC$1422:$AC$1435)))</f>
        <v>0</v>
      </c>
      <c r="AI1435">
        <f>IF(OR(AG1435="",AH1435=""),"",IF((AG1435+AH1435)=0,0,100*ABS(AG1435-AH1435)/(AG1435+AH1435)))</f>
        <v>0</v>
      </c>
      <c r="AJ1435">
        <f>IF(COUNT($AI$1422:$AI$1435)&lt;14,"",AVERAGE($AI$1422:$AI$1435))</f>
        <v>0</v>
      </c>
      <c r="AK1435">
        <f>IF(COUNT($E$2:$E1435)&lt;20,"",AVERAGE($E$1416:$E$1435))</f>
        <v>0</v>
      </c>
      <c r="AL1435">
        <f>IF(COUNT($E$2:$E1435)&lt;20,"",STDEVP($E$1416:$E$1435))</f>
        <v>0</v>
      </c>
      <c r="AM1435">
        <f>IF(AK1435="","",AK1435+2*AL1435)</f>
        <v>0</v>
      </c>
      <c r="AN1435">
        <f>IF(AK1435="","",AK1435-2*AL1435)</f>
        <v>0</v>
      </c>
      <c r="AO1435">
        <f>IF(OR(AM1435="",AN1435="",AM1435=AN1435),"",($E1435-AN1435)/(AM1435-AN1435))</f>
        <v>0</v>
      </c>
      <c r="AP1435">
        <f>IF(OR(AM1435="",AK1435="",AK1435=0),"",(AM1435-AN1435)/AK1435)</f>
        <v>0</v>
      </c>
      <c r="AQ1435">
        <f>IF(COUNT($E$2:$E1435)&lt;20,"",MAX($C$1416:$C$1435))</f>
        <v>0</v>
      </c>
      <c r="AR1435">
        <f>IF(COUNT($E$2:$E1435)&lt;20,"",MIN($D$1416:$D$1435))</f>
        <v>0</v>
      </c>
      <c r="AS1435">
        <f>IF(OR(AQ1435="",AR1435=""),"",(AQ1435+AR1435)/2)</f>
        <v>0</v>
      </c>
      <c r="AT1435">
        <f>IF(COUNT($G$1416:$G$1435)&lt;20,"",STDEV($G$1416:$G$1435)*SQRT(252))</f>
        <v>0</v>
      </c>
      <c r="AU1435">
        <f>IF(COUNT($E$2:$E1435)&lt;9,"",(MAX($C$1427:$C$1435)+MIN($D$1427:$D$1435))/2)</f>
        <v>0</v>
      </c>
      <c r="AV1435">
        <f>IF(COUNT($E$2:$E1435)&lt;26,"",(MAX($C$1410:$C$1435)+MIN($D$1410:$D$1435))/2)</f>
        <v>0</v>
      </c>
      <c r="AW1435">
        <f>IF(OR(AU1435="",AV1435=""),"",(AU1435+AV1435)/2)</f>
        <v>0</v>
      </c>
      <c r="AX1435">
        <f>IF(COUNT($E$2:$E1435)&lt;52,"",(MAX($C$1384:$C$1435)+MIN($D$1384:$D$1435))/2)</f>
        <v>0</v>
      </c>
      <c r="AY1435">
        <f>IF(COUNT($E$2:$E1435)&lt;20,"",MAX($C$1336:$C$1435))</f>
        <v>0</v>
      </c>
      <c r="AZ1435">
        <f>IF(COUNT($E$2:$E1435)&lt;20,"",MIN($D$1336:$D$1435))</f>
        <v>0</v>
      </c>
      <c r="BA1435">
        <f>IF(COUNT($E$2:$E1435)&lt;20,"",SLOPE($E$1336:$E$1435,$F$1336:$F$1435))</f>
        <v>0</v>
      </c>
      <c r="BB1435">
        <f>IF(COUNT($E$2:$E1435)&lt;20,"",INTERCEPT($E$1336:$E$1435,$F$1336:$F$1435))</f>
        <v>0</v>
      </c>
      <c r="BC1435">
        <f>IF(OR(BA1435="",BB1435=""),"",BB1435+BA1435*F1435)</f>
        <v>0</v>
      </c>
      <c r="BD1435">
        <f>IF(COUNT($E$2:$E1435)&lt;20,"",STEYX($E$1336:$E$1435,$F$1336:$F$1435))</f>
        <v>0</v>
      </c>
      <c r="BE1435">
        <f>IF($E1435="","",IF(AND(COUNT($E$1436:$E$1439)&gt;=4,$C1435=MAX($C$1431:$C$1439)),$C1435,""))</f>
        <v>0</v>
      </c>
      <c r="BF1435">
        <f>IF($E1435="","",IF(AND(COUNT($E$1436:$E$1439)&gt;=4,$D1435=MIN($D$1431:$D$1439)),$D1435,""))</f>
        <v>0</v>
      </c>
      <c r="BG1435">
        <f>IF($A1435="","",$A1435-WEEKDAY($A1435,2)+1)</f>
        <v>0</v>
      </c>
      <c r="BH1435">
        <f>IF($A1435="","",IF($A1434="",1,IF(BG1435&lt;&gt;BG1434,1,0)))</f>
        <v>0</v>
      </c>
      <c r="BI1435">
        <f>IF($A1435="","",IF($A1436="",1,IF(BG1436&lt;&gt;BG1435,1,0)))</f>
        <v>0</v>
      </c>
      <c r="BJ1435">
        <f>IF($A1435="","",IF(BH1435=1,$B1435,BJ1434))</f>
        <v>0</v>
      </c>
      <c r="BK1435">
        <f>IF($A1435="","",IF(BH1435=1,$C1435,MAX($C1435,BK1434)))</f>
        <v>0</v>
      </c>
      <c r="BL1435">
        <f>IF($A1435="","",IF(BH1435=1,$D1435,MIN($D1435,BL1434)))</f>
        <v>0</v>
      </c>
      <c r="BM1435">
        <f>IF($A1435="","",IF(BI1435=1,F1435,""))</f>
        <v>0</v>
      </c>
      <c r="BN1435">
        <f>IF($A1435="","",DATE(YEAR($A1435),MONTH($A1435),1))</f>
        <v>0</v>
      </c>
      <c r="BO1435">
        <f>IF($A1435="","",IF($A1434="",1,IF(BN1435&lt;&gt;BN1434,1,0)))</f>
        <v>0</v>
      </c>
      <c r="BP1435">
        <f>IF($A1435="","",IF($A1436="",1,IF(BN1436&lt;&gt;BN1435,1,0)))</f>
        <v>0</v>
      </c>
      <c r="BQ1435">
        <f>IF($A1435="","",IF(BO1435=1,$B1435,BQ1434))</f>
        <v>0</v>
      </c>
      <c r="BR1435">
        <f>IF($A1435="","",IF(BO1435=1,$C1435,MAX($C1435,BR1434)))</f>
        <v>0</v>
      </c>
      <c r="BS1435">
        <f>IF($A1435="","",IF(BO1435=1,$D1435,MIN($D1435,BS1434)))</f>
        <v>0</v>
      </c>
      <c r="BT1435">
        <f>IF($A1435="","",IF(BP1435=1,F1435,""))</f>
        <v>0</v>
      </c>
    </row>
    <row r="1436" spans="1:72">
      <c r="A1436" s="27">
        <f>IF(Data!$A1436="","",Data!$A1436)</f>
        <v>0</v>
      </c>
      <c r="B1436">
        <f>IF(Data!$B1436="","",Data!$B1436)</f>
        <v>0</v>
      </c>
      <c r="C1436">
        <f>IF(Data!$C1436="","",Data!$C1436)</f>
        <v>0</v>
      </c>
      <c r="D1436">
        <f>IF(Data!$D1436="","",Data!$D1436)</f>
        <v>0</v>
      </c>
      <c r="E1436">
        <f>IF(Data!$E1436="","",Data!$E1436)</f>
        <v>0</v>
      </c>
      <c r="F1436">
        <f>IF($E1436="","",N(F1435)+1)</f>
        <v>0</v>
      </c>
      <c r="G1436">
        <f>IF(OR($E1436="",$E1435=""),"",LN($E1436/$E1435))</f>
        <v>0</v>
      </c>
      <c r="H1436">
        <f>IF($E1436="","",IF($E1435="",$E1436,$E1436*0.0952380952+H1435*0.9047619048))</f>
        <v>0</v>
      </c>
      <c r="I1436">
        <f>IF($E1436="","",IF($E1435="",$E1436,$E1436*0.0392156863+I1435*0.9607843137))</f>
        <v>0</v>
      </c>
      <c r="J1436">
        <f>IF($E1436="","",IF($E1435="",$E1436,$E1436*0.0198019802+J1435*0.9801980198))</f>
        <v>0</v>
      </c>
      <c r="K1436">
        <f>IF($E1436="","",IF($E1435="",$E1436,$E1436*0.0099502488+K1435*0.9900497512))</f>
        <v>0</v>
      </c>
      <c r="L1436">
        <f>IF(OR($E1436="",$E1435=""),"",MAX($E1436-$E1435,0))</f>
        <v>0</v>
      </c>
      <c r="M1436">
        <f>IF(OR($E1436="",$E1435=""),"",MAX($E1435-$E1436,0))</f>
        <v>0</v>
      </c>
      <c r="N1436">
        <f>IF(COUNT($E$2:$E1436)&lt;15,"",IF(AVERAGE($M$1423:$M$1436)=0,100,100-100/(1+AVERAGE($L$1423:$L$1436)/AVERAGE($M$1423:$M$1436))))</f>
        <v>0</v>
      </c>
      <c r="O1436">
        <f>IF($E1436="","",IF($E1435="",$E1436,$E1436*0.1538461538+O1435*0.8461538462))</f>
        <v>0</v>
      </c>
      <c r="P1436">
        <f>IF($E1436="","",IF($E1435="",$E1436,$E1436*0.0740740741+P1435*0.9259259259))</f>
        <v>0</v>
      </c>
      <c r="Q1436">
        <f>IF(OR(O1436="",P1436=""),"",O1436-P1436)</f>
        <v>0</v>
      </c>
      <c r="R1436">
        <f>IF(Q1436="","",IF(R1435="",Q1436,Q1436*0.2000000000+R1435*0.8000000000))</f>
        <v>0</v>
      </c>
      <c r="S1436">
        <f>IF(OR(Q1436="",R1436=""),"",Q1436-R1436)</f>
        <v>0</v>
      </c>
      <c r="T1436">
        <f>IF(COUNT($E$2:$E1436)&lt;14,"",MAX($C$1423:$C$1436))</f>
        <v>0</v>
      </c>
      <c r="U1436">
        <f>IF(COUNT($E$2:$E1436)&lt;14,"",MIN($D$1423:$D$1436))</f>
        <v>0</v>
      </c>
      <c r="V1436">
        <f>IF(OR(T1436="",U1436="",T1436=U1436),"",100*($E1436-U1436)/(T1436-U1436))</f>
        <v>0</v>
      </c>
      <c r="W1436">
        <f>IF(COUNT($V$1434:$V$1436)&lt;3,"",AVERAGE($V$1434:$V$1436))</f>
        <v>0</v>
      </c>
      <c r="X1436">
        <f>IF(COUNT($N$1423:$N$1436)&lt;14,"",MIN($N$1423:$N$1436))</f>
        <v>0</v>
      </c>
      <c r="Y1436">
        <f>IF(COUNT($N$1423:$N$1436)&lt;14,"",MAX($N$1423:$N$1436))</f>
        <v>0</v>
      </c>
      <c r="Z1436">
        <f>IF(OR(N1436="",X1436="",Y1436="",Y1436=X1436),"",100*(N1436-X1436)/(Y1436-X1436))</f>
        <v>0</v>
      </c>
      <c r="AA1436">
        <f>IF(COUNT($Z$1434:$Z$1436)&lt;3,"",AVERAGE($Z$1434:$Z$1436))</f>
        <v>0</v>
      </c>
      <c r="AB1436">
        <f>IF(COUNT($AA$1434:$AA$1436)&lt;3,"",AVERAGE($AA$1434:$AA$1436))</f>
        <v>0</v>
      </c>
      <c r="AC1436">
        <f>IF($E1436="","",MAX($C1436-$D1436,ABS($C1436-$E1435),ABS($D1436-$E1435)))</f>
        <v>0</v>
      </c>
      <c r="AD1436">
        <f>IF(COUNT($E$2:$E1436)&lt;15,"",AVERAGE($AC$1423:$AC$1436))</f>
        <v>0</v>
      </c>
      <c r="AE1436">
        <f>IF(OR($E1436="",$E1435=""),"",IF(AND(($C1436-$C1435)&gt;($D1435-$D1436),($C1436-$C1435)&gt;0),$C1436-$C1435,0))</f>
        <v>0</v>
      </c>
      <c r="AF1436">
        <f>IF(OR($E1436="",$E1435=""),"",IF(AND(($D1435-$D1436)&gt;($C1436-$C1435),($D1435-$D1436)&gt;0),$D1435-$D1436,0))</f>
        <v>0</v>
      </c>
      <c r="AG1436">
        <f>IF(COUNT($E$2:$E1436)&lt;15,"",IF(SUM($AC$1423:$AC$1436)=0,0,100*SUM($AE$1423:$AE$1436)/SUM($AC$1423:$AC$1436)))</f>
        <v>0</v>
      </c>
      <c r="AH1436">
        <f>IF(COUNT($E$2:$E1436)&lt;15,"",IF(SUM($AC$1423:$AC$1436)=0,0,100*SUM($AF$1423:$AF$1436)/SUM($AC$1423:$AC$1436)))</f>
        <v>0</v>
      </c>
      <c r="AI1436">
        <f>IF(OR(AG1436="",AH1436=""),"",IF((AG1436+AH1436)=0,0,100*ABS(AG1436-AH1436)/(AG1436+AH1436)))</f>
        <v>0</v>
      </c>
      <c r="AJ1436">
        <f>IF(COUNT($AI$1423:$AI$1436)&lt;14,"",AVERAGE($AI$1423:$AI$1436))</f>
        <v>0</v>
      </c>
      <c r="AK1436">
        <f>IF(COUNT($E$2:$E1436)&lt;20,"",AVERAGE($E$1417:$E$1436))</f>
        <v>0</v>
      </c>
      <c r="AL1436">
        <f>IF(COUNT($E$2:$E1436)&lt;20,"",STDEVP($E$1417:$E$1436))</f>
        <v>0</v>
      </c>
      <c r="AM1436">
        <f>IF(AK1436="","",AK1436+2*AL1436)</f>
        <v>0</v>
      </c>
      <c r="AN1436">
        <f>IF(AK1436="","",AK1436-2*AL1436)</f>
        <v>0</v>
      </c>
      <c r="AO1436">
        <f>IF(OR(AM1436="",AN1436="",AM1436=AN1436),"",($E1436-AN1436)/(AM1436-AN1436))</f>
        <v>0</v>
      </c>
      <c r="AP1436">
        <f>IF(OR(AM1436="",AK1436="",AK1436=0),"",(AM1436-AN1436)/AK1436)</f>
        <v>0</v>
      </c>
      <c r="AQ1436">
        <f>IF(COUNT($E$2:$E1436)&lt;20,"",MAX($C$1417:$C$1436))</f>
        <v>0</v>
      </c>
      <c r="AR1436">
        <f>IF(COUNT($E$2:$E1436)&lt;20,"",MIN($D$1417:$D$1436))</f>
        <v>0</v>
      </c>
      <c r="AS1436">
        <f>IF(OR(AQ1436="",AR1436=""),"",(AQ1436+AR1436)/2)</f>
        <v>0</v>
      </c>
      <c r="AT1436">
        <f>IF(COUNT($G$1417:$G$1436)&lt;20,"",STDEV($G$1417:$G$1436)*SQRT(252))</f>
        <v>0</v>
      </c>
      <c r="AU1436">
        <f>IF(COUNT($E$2:$E1436)&lt;9,"",(MAX($C$1428:$C$1436)+MIN($D$1428:$D$1436))/2)</f>
        <v>0</v>
      </c>
      <c r="AV1436">
        <f>IF(COUNT($E$2:$E1436)&lt;26,"",(MAX($C$1411:$C$1436)+MIN($D$1411:$D$1436))/2)</f>
        <v>0</v>
      </c>
      <c r="AW1436">
        <f>IF(OR(AU1436="",AV1436=""),"",(AU1436+AV1436)/2)</f>
        <v>0</v>
      </c>
      <c r="AX1436">
        <f>IF(COUNT($E$2:$E1436)&lt;52,"",(MAX($C$1385:$C$1436)+MIN($D$1385:$D$1436))/2)</f>
        <v>0</v>
      </c>
      <c r="AY1436">
        <f>IF(COUNT($E$2:$E1436)&lt;20,"",MAX($C$1337:$C$1436))</f>
        <v>0</v>
      </c>
      <c r="AZ1436">
        <f>IF(COUNT($E$2:$E1436)&lt;20,"",MIN($D$1337:$D$1436))</f>
        <v>0</v>
      </c>
      <c r="BA1436">
        <f>IF(COUNT($E$2:$E1436)&lt;20,"",SLOPE($E$1337:$E$1436,$F$1337:$F$1436))</f>
        <v>0</v>
      </c>
      <c r="BB1436">
        <f>IF(COUNT($E$2:$E1436)&lt;20,"",INTERCEPT($E$1337:$E$1436,$F$1337:$F$1436))</f>
        <v>0</v>
      </c>
      <c r="BC1436">
        <f>IF(OR(BA1436="",BB1436=""),"",BB1436+BA1436*F1436)</f>
        <v>0</v>
      </c>
      <c r="BD1436">
        <f>IF(COUNT($E$2:$E1436)&lt;20,"",STEYX($E$1337:$E$1436,$F$1337:$F$1436))</f>
        <v>0</v>
      </c>
      <c r="BE1436">
        <f>IF($E1436="","",IF(AND(COUNT($E$1437:$E$1440)&gt;=4,$C1436=MAX($C$1432:$C$1440)),$C1436,""))</f>
        <v>0</v>
      </c>
      <c r="BF1436">
        <f>IF($E1436="","",IF(AND(COUNT($E$1437:$E$1440)&gt;=4,$D1436=MIN($D$1432:$D$1440)),$D1436,""))</f>
        <v>0</v>
      </c>
      <c r="BG1436">
        <f>IF($A1436="","",$A1436-WEEKDAY($A1436,2)+1)</f>
        <v>0</v>
      </c>
      <c r="BH1436">
        <f>IF($A1436="","",IF($A1435="",1,IF(BG1436&lt;&gt;BG1435,1,0)))</f>
        <v>0</v>
      </c>
      <c r="BI1436">
        <f>IF($A1436="","",IF($A1437="",1,IF(BG1437&lt;&gt;BG1436,1,0)))</f>
        <v>0</v>
      </c>
      <c r="BJ1436">
        <f>IF($A1436="","",IF(BH1436=1,$B1436,BJ1435))</f>
        <v>0</v>
      </c>
      <c r="BK1436">
        <f>IF($A1436="","",IF(BH1436=1,$C1436,MAX($C1436,BK1435)))</f>
        <v>0</v>
      </c>
      <c r="BL1436">
        <f>IF($A1436="","",IF(BH1436=1,$D1436,MIN($D1436,BL1435)))</f>
        <v>0</v>
      </c>
      <c r="BM1436">
        <f>IF($A1436="","",IF(BI1436=1,F1436,""))</f>
        <v>0</v>
      </c>
      <c r="BN1436">
        <f>IF($A1436="","",DATE(YEAR($A1436),MONTH($A1436),1))</f>
        <v>0</v>
      </c>
      <c r="BO1436">
        <f>IF($A1436="","",IF($A1435="",1,IF(BN1436&lt;&gt;BN1435,1,0)))</f>
        <v>0</v>
      </c>
      <c r="BP1436">
        <f>IF($A1436="","",IF($A1437="",1,IF(BN1437&lt;&gt;BN1436,1,0)))</f>
        <v>0</v>
      </c>
      <c r="BQ1436">
        <f>IF($A1436="","",IF(BO1436=1,$B1436,BQ1435))</f>
        <v>0</v>
      </c>
      <c r="BR1436">
        <f>IF($A1436="","",IF(BO1436=1,$C1436,MAX($C1436,BR1435)))</f>
        <v>0</v>
      </c>
      <c r="BS1436">
        <f>IF($A1436="","",IF(BO1436=1,$D1436,MIN($D1436,BS1435)))</f>
        <v>0</v>
      </c>
      <c r="BT1436">
        <f>IF($A1436="","",IF(BP1436=1,F1436,""))</f>
        <v>0</v>
      </c>
    </row>
    <row r="1437" spans="1:72">
      <c r="A1437" s="27">
        <f>IF(Data!$A1437="","",Data!$A1437)</f>
        <v>0</v>
      </c>
      <c r="B1437">
        <f>IF(Data!$B1437="","",Data!$B1437)</f>
        <v>0</v>
      </c>
      <c r="C1437">
        <f>IF(Data!$C1437="","",Data!$C1437)</f>
        <v>0</v>
      </c>
      <c r="D1437">
        <f>IF(Data!$D1437="","",Data!$D1437)</f>
        <v>0</v>
      </c>
      <c r="E1437">
        <f>IF(Data!$E1437="","",Data!$E1437)</f>
        <v>0</v>
      </c>
      <c r="F1437">
        <f>IF($E1437="","",N(F1436)+1)</f>
        <v>0</v>
      </c>
      <c r="G1437">
        <f>IF(OR($E1437="",$E1436=""),"",LN($E1437/$E1436))</f>
        <v>0</v>
      </c>
      <c r="H1437">
        <f>IF($E1437="","",IF($E1436="",$E1437,$E1437*0.0952380952+H1436*0.9047619048))</f>
        <v>0</v>
      </c>
      <c r="I1437">
        <f>IF($E1437="","",IF($E1436="",$E1437,$E1437*0.0392156863+I1436*0.9607843137))</f>
        <v>0</v>
      </c>
      <c r="J1437">
        <f>IF($E1437="","",IF($E1436="",$E1437,$E1437*0.0198019802+J1436*0.9801980198))</f>
        <v>0</v>
      </c>
      <c r="K1437">
        <f>IF($E1437="","",IF($E1436="",$E1437,$E1437*0.0099502488+K1436*0.9900497512))</f>
        <v>0</v>
      </c>
      <c r="L1437">
        <f>IF(OR($E1437="",$E1436=""),"",MAX($E1437-$E1436,0))</f>
        <v>0</v>
      </c>
      <c r="M1437">
        <f>IF(OR($E1437="",$E1436=""),"",MAX($E1436-$E1437,0))</f>
        <v>0</v>
      </c>
      <c r="N1437">
        <f>IF(COUNT($E$2:$E1437)&lt;15,"",IF(AVERAGE($M$1424:$M$1437)=0,100,100-100/(1+AVERAGE($L$1424:$L$1437)/AVERAGE($M$1424:$M$1437))))</f>
        <v>0</v>
      </c>
      <c r="O1437">
        <f>IF($E1437="","",IF($E1436="",$E1437,$E1437*0.1538461538+O1436*0.8461538462))</f>
        <v>0</v>
      </c>
      <c r="P1437">
        <f>IF($E1437="","",IF($E1436="",$E1437,$E1437*0.0740740741+P1436*0.9259259259))</f>
        <v>0</v>
      </c>
      <c r="Q1437">
        <f>IF(OR(O1437="",P1437=""),"",O1437-P1437)</f>
        <v>0</v>
      </c>
      <c r="R1437">
        <f>IF(Q1437="","",IF(R1436="",Q1437,Q1437*0.2000000000+R1436*0.8000000000))</f>
        <v>0</v>
      </c>
      <c r="S1437">
        <f>IF(OR(Q1437="",R1437=""),"",Q1437-R1437)</f>
        <v>0</v>
      </c>
      <c r="T1437">
        <f>IF(COUNT($E$2:$E1437)&lt;14,"",MAX($C$1424:$C$1437))</f>
        <v>0</v>
      </c>
      <c r="U1437">
        <f>IF(COUNT($E$2:$E1437)&lt;14,"",MIN($D$1424:$D$1437))</f>
        <v>0</v>
      </c>
      <c r="V1437">
        <f>IF(OR(T1437="",U1437="",T1437=U1437),"",100*($E1437-U1437)/(T1437-U1437))</f>
        <v>0</v>
      </c>
      <c r="W1437">
        <f>IF(COUNT($V$1435:$V$1437)&lt;3,"",AVERAGE($V$1435:$V$1437))</f>
        <v>0</v>
      </c>
      <c r="X1437">
        <f>IF(COUNT($N$1424:$N$1437)&lt;14,"",MIN($N$1424:$N$1437))</f>
        <v>0</v>
      </c>
      <c r="Y1437">
        <f>IF(COUNT($N$1424:$N$1437)&lt;14,"",MAX($N$1424:$N$1437))</f>
        <v>0</v>
      </c>
      <c r="Z1437">
        <f>IF(OR(N1437="",X1437="",Y1437="",Y1437=X1437),"",100*(N1437-X1437)/(Y1437-X1437))</f>
        <v>0</v>
      </c>
      <c r="AA1437">
        <f>IF(COUNT($Z$1435:$Z$1437)&lt;3,"",AVERAGE($Z$1435:$Z$1437))</f>
        <v>0</v>
      </c>
      <c r="AB1437">
        <f>IF(COUNT($AA$1435:$AA$1437)&lt;3,"",AVERAGE($AA$1435:$AA$1437))</f>
        <v>0</v>
      </c>
      <c r="AC1437">
        <f>IF($E1437="","",MAX($C1437-$D1437,ABS($C1437-$E1436),ABS($D1437-$E1436)))</f>
        <v>0</v>
      </c>
      <c r="AD1437">
        <f>IF(COUNT($E$2:$E1437)&lt;15,"",AVERAGE($AC$1424:$AC$1437))</f>
        <v>0</v>
      </c>
      <c r="AE1437">
        <f>IF(OR($E1437="",$E1436=""),"",IF(AND(($C1437-$C1436)&gt;($D1436-$D1437),($C1437-$C1436)&gt;0),$C1437-$C1436,0))</f>
        <v>0</v>
      </c>
      <c r="AF1437">
        <f>IF(OR($E1437="",$E1436=""),"",IF(AND(($D1436-$D1437)&gt;($C1437-$C1436),($D1436-$D1437)&gt;0),$D1436-$D1437,0))</f>
        <v>0</v>
      </c>
      <c r="AG1437">
        <f>IF(COUNT($E$2:$E1437)&lt;15,"",IF(SUM($AC$1424:$AC$1437)=0,0,100*SUM($AE$1424:$AE$1437)/SUM($AC$1424:$AC$1437)))</f>
        <v>0</v>
      </c>
      <c r="AH1437">
        <f>IF(COUNT($E$2:$E1437)&lt;15,"",IF(SUM($AC$1424:$AC$1437)=0,0,100*SUM($AF$1424:$AF$1437)/SUM($AC$1424:$AC$1437)))</f>
        <v>0</v>
      </c>
      <c r="AI1437">
        <f>IF(OR(AG1437="",AH1437=""),"",IF((AG1437+AH1437)=0,0,100*ABS(AG1437-AH1437)/(AG1437+AH1437)))</f>
        <v>0</v>
      </c>
      <c r="AJ1437">
        <f>IF(COUNT($AI$1424:$AI$1437)&lt;14,"",AVERAGE($AI$1424:$AI$1437))</f>
        <v>0</v>
      </c>
      <c r="AK1437">
        <f>IF(COUNT($E$2:$E1437)&lt;20,"",AVERAGE($E$1418:$E$1437))</f>
        <v>0</v>
      </c>
      <c r="AL1437">
        <f>IF(COUNT($E$2:$E1437)&lt;20,"",STDEVP($E$1418:$E$1437))</f>
        <v>0</v>
      </c>
      <c r="AM1437">
        <f>IF(AK1437="","",AK1437+2*AL1437)</f>
        <v>0</v>
      </c>
      <c r="AN1437">
        <f>IF(AK1437="","",AK1437-2*AL1437)</f>
        <v>0</v>
      </c>
      <c r="AO1437">
        <f>IF(OR(AM1437="",AN1437="",AM1437=AN1437),"",($E1437-AN1437)/(AM1437-AN1437))</f>
        <v>0</v>
      </c>
      <c r="AP1437">
        <f>IF(OR(AM1437="",AK1437="",AK1437=0),"",(AM1437-AN1437)/AK1437)</f>
        <v>0</v>
      </c>
      <c r="AQ1437">
        <f>IF(COUNT($E$2:$E1437)&lt;20,"",MAX($C$1418:$C$1437))</f>
        <v>0</v>
      </c>
      <c r="AR1437">
        <f>IF(COUNT($E$2:$E1437)&lt;20,"",MIN($D$1418:$D$1437))</f>
        <v>0</v>
      </c>
      <c r="AS1437">
        <f>IF(OR(AQ1437="",AR1437=""),"",(AQ1437+AR1437)/2)</f>
        <v>0</v>
      </c>
      <c r="AT1437">
        <f>IF(COUNT($G$1418:$G$1437)&lt;20,"",STDEV($G$1418:$G$1437)*SQRT(252))</f>
        <v>0</v>
      </c>
      <c r="AU1437">
        <f>IF(COUNT($E$2:$E1437)&lt;9,"",(MAX($C$1429:$C$1437)+MIN($D$1429:$D$1437))/2)</f>
        <v>0</v>
      </c>
      <c r="AV1437">
        <f>IF(COUNT($E$2:$E1437)&lt;26,"",(MAX($C$1412:$C$1437)+MIN($D$1412:$D$1437))/2)</f>
        <v>0</v>
      </c>
      <c r="AW1437">
        <f>IF(OR(AU1437="",AV1437=""),"",(AU1437+AV1437)/2)</f>
        <v>0</v>
      </c>
      <c r="AX1437">
        <f>IF(COUNT($E$2:$E1437)&lt;52,"",(MAX($C$1386:$C$1437)+MIN($D$1386:$D$1437))/2)</f>
        <v>0</v>
      </c>
      <c r="AY1437">
        <f>IF(COUNT($E$2:$E1437)&lt;20,"",MAX($C$1338:$C$1437))</f>
        <v>0</v>
      </c>
      <c r="AZ1437">
        <f>IF(COUNT($E$2:$E1437)&lt;20,"",MIN($D$1338:$D$1437))</f>
        <v>0</v>
      </c>
      <c r="BA1437">
        <f>IF(COUNT($E$2:$E1437)&lt;20,"",SLOPE($E$1338:$E$1437,$F$1338:$F$1437))</f>
        <v>0</v>
      </c>
      <c r="BB1437">
        <f>IF(COUNT($E$2:$E1437)&lt;20,"",INTERCEPT($E$1338:$E$1437,$F$1338:$F$1437))</f>
        <v>0</v>
      </c>
      <c r="BC1437">
        <f>IF(OR(BA1437="",BB1437=""),"",BB1437+BA1437*F1437)</f>
        <v>0</v>
      </c>
      <c r="BD1437">
        <f>IF(COUNT($E$2:$E1437)&lt;20,"",STEYX($E$1338:$E$1437,$F$1338:$F$1437))</f>
        <v>0</v>
      </c>
      <c r="BE1437">
        <f>IF($E1437="","",IF(AND(COUNT($E$1438:$E$1441)&gt;=4,$C1437=MAX($C$1433:$C$1441)),$C1437,""))</f>
        <v>0</v>
      </c>
      <c r="BF1437">
        <f>IF($E1437="","",IF(AND(COUNT($E$1438:$E$1441)&gt;=4,$D1437=MIN($D$1433:$D$1441)),$D1437,""))</f>
        <v>0</v>
      </c>
      <c r="BG1437">
        <f>IF($A1437="","",$A1437-WEEKDAY($A1437,2)+1)</f>
        <v>0</v>
      </c>
      <c r="BH1437">
        <f>IF($A1437="","",IF($A1436="",1,IF(BG1437&lt;&gt;BG1436,1,0)))</f>
        <v>0</v>
      </c>
      <c r="BI1437">
        <f>IF($A1437="","",IF($A1438="",1,IF(BG1438&lt;&gt;BG1437,1,0)))</f>
        <v>0</v>
      </c>
      <c r="BJ1437">
        <f>IF($A1437="","",IF(BH1437=1,$B1437,BJ1436))</f>
        <v>0</v>
      </c>
      <c r="BK1437">
        <f>IF($A1437="","",IF(BH1437=1,$C1437,MAX($C1437,BK1436)))</f>
        <v>0</v>
      </c>
      <c r="BL1437">
        <f>IF($A1437="","",IF(BH1437=1,$D1437,MIN($D1437,BL1436)))</f>
        <v>0</v>
      </c>
      <c r="BM1437">
        <f>IF($A1437="","",IF(BI1437=1,F1437,""))</f>
        <v>0</v>
      </c>
      <c r="BN1437">
        <f>IF($A1437="","",DATE(YEAR($A1437),MONTH($A1437),1))</f>
        <v>0</v>
      </c>
      <c r="BO1437">
        <f>IF($A1437="","",IF($A1436="",1,IF(BN1437&lt;&gt;BN1436,1,0)))</f>
        <v>0</v>
      </c>
      <c r="BP1437">
        <f>IF($A1437="","",IF($A1438="",1,IF(BN1438&lt;&gt;BN1437,1,0)))</f>
        <v>0</v>
      </c>
      <c r="BQ1437">
        <f>IF($A1437="","",IF(BO1437=1,$B1437,BQ1436))</f>
        <v>0</v>
      </c>
      <c r="BR1437">
        <f>IF($A1437="","",IF(BO1437=1,$C1437,MAX($C1437,BR1436)))</f>
        <v>0</v>
      </c>
      <c r="BS1437">
        <f>IF($A1437="","",IF(BO1437=1,$D1437,MIN($D1437,BS1436)))</f>
        <v>0</v>
      </c>
      <c r="BT1437">
        <f>IF($A1437="","",IF(BP1437=1,F1437,""))</f>
        <v>0</v>
      </c>
    </row>
    <row r="1438" spans="1:72">
      <c r="A1438" s="27">
        <f>IF(Data!$A1438="","",Data!$A1438)</f>
        <v>0</v>
      </c>
      <c r="B1438">
        <f>IF(Data!$B1438="","",Data!$B1438)</f>
        <v>0</v>
      </c>
      <c r="C1438">
        <f>IF(Data!$C1438="","",Data!$C1438)</f>
        <v>0</v>
      </c>
      <c r="D1438">
        <f>IF(Data!$D1438="","",Data!$D1438)</f>
        <v>0</v>
      </c>
      <c r="E1438">
        <f>IF(Data!$E1438="","",Data!$E1438)</f>
        <v>0</v>
      </c>
      <c r="F1438">
        <f>IF($E1438="","",N(F1437)+1)</f>
        <v>0</v>
      </c>
      <c r="G1438">
        <f>IF(OR($E1438="",$E1437=""),"",LN($E1438/$E1437))</f>
        <v>0</v>
      </c>
      <c r="H1438">
        <f>IF($E1438="","",IF($E1437="",$E1438,$E1438*0.0952380952+H1437*0.9047619048))</f>
        <v>0</v>
      </c>
      <c r="I1438">
        <f>IF($E1438="","",IF($E1437="",$E1438,$E1438*0.0392156863+I1437*0.9607843137))</f>
        <v>0</v>
      </c>
      <c r="J1438">
        <f>IF($E1438="","",IF($E1437="",$E1438,$E1438*0.0198019802+J1437*0.9801980198))</f>
        <v>0</v>
      </c>
      <c r="K1438">
        <f>IF($E1438="","",IF($E1437="",$E1438,$E1438*0.0099502488+K1437*0.9900497512))</f>
        <v>0</v>
      </c>
      <c r="L1438">
        <f>IF(OR($E1438="",$E1437=""),"",MAX($E1438-$E1437,0))</f>
        <v>0</v>
      </c>
      <c r="M1438">
        <f>IF(OR($E1438="",$E1437=""),"",MAX($E1437-$E1438,0))</f>
        <v>0</v>
      </c>
      <c r="N1438">
        <f>IF(COUNT($E$2:$E1438)&lt;15,"",IF(AVERAGE($M$1425:$M$1438)=0,100,100-100/(1+AVERAGE($L$1425:$L$1438)/AVERAGE($M$1425:$M$1438))))</f>
        <v>0</v>
      </c>
      <c r="O1438">
        <f>IF($E1438="","",IF($E1437="",$E1438,$E1438*0.1538461538+O1437*0.8461538462))</f>
        <v>0</v>
      </c>
      <c r="P1438">
        <f>IF($E1438="","",IF($E1437="",$E1438,$E1438*0.0740740741+P1437*0.9259259259))</f>
        <v>0</v>
      </c>
      <c r="Q1438">
        <f>IF(OR(O1438="",P1438=""),"",O1438-P1438)</f>
        <v>0</v>
      </c>
      <c r="R1438">
        <f>IF(Q1438="","",IF(R1437="",Q1438,Q1438*0.2000000000+R1437*0.8000000000))</f>
        <v>0</v>
      </c>
      <c r="S1438">
        <f>IF(OR(Q1438="",R1438=""),"",Q1438-R1438)</f>
        <v>0</v>
      </c>
      <c r="T1438">
        <f>IF(COUNT($E$2:$E1438)&lt;14,"",MAX($C$1425:$C$1438))</f>
        <v>0</v>
      </c>
      <c r="U1438">
        <f>IF(COUNT($E$2:$E1438)&lt;14,"",MIN($D$1425:$D$1438))</f>
        <v>0</v>
      </c>
      <c r="V1438">
        <f>IF(OR(T1438="",U1438="",T1438=U1438),"",100*($E1438-U1438)/(T1438-U1438))</f>
        <v>0</v>
      </c>
      <c r="W1438">
        <f>IF(COUNT($V$1436:$V$1438)&lt;3,"",AVERAGE($V$1436:$V$1438))</f>
        <v>0</v>
      </c>
      <c r="X1438">
        <f>IF(COUNT($N$1425:$N$1438)&lt;14,"",MIN($N$1425:$N$1438))</f>
        <v>0</v>
      </c>
      <c r="Y1438">
        <f>IF(COUNT($N$1425:$N$1438)&lt;14,"",MAX($N$1425:$N$1438))</f>
        <v>0</v>
      </c>
      <c r="Z1438">
        <f>IF(OR(N1438="",X1438="",Y1438="",Y1438=X1438),"",100*(N1438-X1438)/(Y1438-X1438))</f>
        <v>0</v>
      </c>
      <c r="AA1438">
        <f>IF(COUNT($Z$1436:$Z$1438)&lt;3,"",AVERAGE($Z$1436:$Z$1438))</f>
        <v>0</v>
      </c>
      <c r="AB1438">
        <f>IF(COUNT($AA$1436:$AA$1438)&lt;3,"",AVERAGE($AA$1436:$AA$1438))</f>
        <v>0</v>
      </c>
      <c r="AC1438">
        <f>IF($E1438="","",MAX($C1438-$D1438,ABS($C1438-$E1437),ABS($D1438-$E1437)))</f>
        <v>0</v>
      </c>
      <c r="AD1438">
        <f>IF(COUNT($E$2:$E1438)&lt;15,"",AVERAGE($AC$1425:$AC$1438))</f>
        <v>0</v>
      </c>
      <c r="AE1438">
        <f>IF(OR($E1438="",$E1437=""),"",IF(AND(($C1438-$C1437)&gt;($D1437-$D1438),($C1438-$C1437)&gt;0),$C1438-$C1437,0))</f>
        <v>0</v>
      </c>
      <c r="AF1438">
        <f>IF(OR($E1438="",$E1437=""),"",IF(AND(($D1437-$D1438)&gt;($C1438-$C1437),($D1437-$D1438)&gt;0),$D1437-$D1438,0))</f>
        <v>0</v>
      </c>
      <c r="AG1438">
        <f>IF(COUNT($E$2:$E1438)&lt;15,"",IF(SUM($AC$1425:$AC$1438)=0,0,100*SUM($AE$1425:$AE$1438)/SUM($AC$1425:$AC$1438)))</f>
        <v>0</v>
      </c>
      <c r="AH1438">
        <f>IF(COUNT($E$2:$E1438)&lt;15,"",IF(SUM($AC$1425:$AC$1438)=0,0,100*SUM($AF$1425:$AF$1438)/SUM($AC$1425:$AC$1438)))</f>
        <v>0</v>
      </c>
      <c r="AI1438">
        <f>IF(OR(AG1438="",AH1438=""),"",IF((AG1438+AH1438)=0,0,100*ABS(AG1438-AH1438)/(AG1438+AH1438)))</f>
        <v>0</v>
      </c>
      <c r="AJ1438">
        <f>IF(COUNT($AI$1425:$AI$1438)&lt;14,"",AVERAGE($AI$1425:$AI$1438))</f>
        <v>0</v>
      </c>
      <c r="AK1438">
        <f>IF(COUNT($E$2:$E1438)&lt;20,"",AVERAGE($E$1419:$E$1438))</f>
        <v>0</v>
      </c>
      <c r="AL1438">
        <f>IF(COUNT($E$2:$E1438)&lt;20,"",STDEVP($E$1419:$E$1438))</f>
        <v>0</v>
      </c>
      <c r="AM1438">
        <f>IF(AK1438="","",AK1438+2*AL1438)</f>
        <v>0</v>
      </c>
      <c r="AN1438">
        <f>IF(AK1438="","",AK1438-2*AL1438)</f>
        <v>0</v>
      </c>
      <c r="AO1438">
        <f>IF(OR(AM1438="",AN1438="",AM1438=AN1438),"",($E1438-AN1438)/(AM1438-AN1438))</f>
        <v>0</v>
      </c>
      <c r="AP1438">
        <f>IF(OR(AM1438="",AK1438="",AK1438=0),"",(AM1438-AN1438)/AK1438)</f>
        <v>0</v>
      </c>
      <c r="AQ1438">
        <f>IF(COUNT($E$2:$E1438)&lt;20,"",MAX($C$1419:$C$1438))</f>
        <v>0</v>
      </c>
      <c r="AR1438">
        <f>IF(COUNT($E$2:$E1438)&lt;20,"",MIN($D$1419:$D$1438))</f>
        <v>0</v>
      </c>
      <c r="AS1438">
        <f>IF(OR(AQ1438="",AR1438=""),"",(AQ1438+AR1438)/2)</f>
        <v>0</v>
      </c>
      <c r="AT1438">
        <f>IF(COUNT($G$1419:$G$1438)&lt;20,"",STDEV($G$1419:$G$1438)*SQRT(252))</f>
        <v>0</v>
      </c>
      <c r="AU1438">
        <f>IF(COUNT($E$2:$E1438)&lt;9,"",(MAX($C$1430:$C$1438)+MIN($D$1430:$D$1438))/2)</f>
        <v>0</v>
      </c>
      <c r="AV1438">
        <f>IF(COUNT($E$2:$E1438)&lt;26,"",(MAX($C$1413:$C$1438)+MIN($D$1413:$D$1438))/2)</f>
        <v>0</v>
      </c>
      <c r="AW1438">
        <f>IF(OR(AU1438="",AV1438=""),"",(AU1438+AV1438)/2)</f>
        <v>0</v>
      </c>
      <c r="AX1438">
        <f>IF(COUNT($E$2:$E1438)&lt;52,"",(MAX($C$1387:$C$1438)+MIN($D$1387:$D$1438))/2)</f>
        <v>0</v>
      </c>
      <c r="AY1438">
        <f>IF(COUNT($E$2:$E1438)&lt;20,"",MAX($C$1339:$C$1438))</f>
        <v>0</v>
      </c>
      <c r="AZ1438">
        <f>IF(COUNT($E$2:$E1438)&lt;20,"",MIN($D$1339:$D$1438))</f>
        <v>0</v>
      </c>
      <c r="BA1438">
        <f>IF(COUNT($E$2:$E1438)&lt;20,"",SLOPE($E$1339:$E$1438,$F$1339:$F$1438))</f>
        <v>0</v>
      </c>
      <c r="BB1438">
        <f>IF(COUNT($E$2:$E1438)&lt;20,"",INTERCEPT($E$1339:$E$1438,$F$1339:$F$1438))</f>
        <v>0</v>
      </c>
      <c r="BC1438">
        <f>IF(OR(BA1438="",BB1438=""),"",BB1438+BA1438*F1438)</f>
        <v>0</v>
      </c>
      <c r="BD1438">
        <f>IF(COUNT($E$2:$E1438)&lt;20,"",STEYX($E$1339:$E$1438,$F$1339:$F$1438))</f>
        <v>0</v>
      </c>
      <c r="BE1438">
        <f>IF($E1438="","",IF(AND(COUNT($E$1439:$E$1442)&gt;=4,$C1438=MAX($C$1434:$C$1442)),$C1438,""))</f>
        <v>0</v>
      </c>
      <c r="BF1438">
        <f>IF($E1438="","",IF(AND(COUNT($E$1439:$E$1442)&gt;=4,$D1438=MIN($D$1434:$D$1442)),$D1438,""))</f>
        <v>0</v>
      </c>
      <c r="BG1438">
        <f>IF($A1438="","",$A1438-WEEKDAY($A1438,2)+1)</f>
        <v>0</v>
      </c>
      <c r="BH1438">
        <f>IF($A1438="","",IF($A1437="",1,IF(BG1438&lt;&gt;BG1437,1,0)))</f>
        <v>0</v>
      </c>
      <c r="BI1438">
        <f>IF($A1438="","",IF($A1439="",1,IF(BG1439&lt;&gt;BG1438,1,0)))</f>
        <v>0</v>
      </c>
      <c r="BJ1438">
        <f>IF($A1438="","",IF(BH1438=1,$B1438,BJ1437))</f>
        <v>0</v>
      </c>
      <c r="BK1438">
        <f>IF($A1438="","",IF(BH1438=1,$C1438,MAX($C1438,BK1437)))</f>
        <v>0</v>
      </c>
      <c r="BL1438">
        <f>IF($A1438="","",IF(BH1438=1,$D1438,MIN($D1438,BL1437)))</f>
        <v>0</v>
      </c>
      <c r="BM1438">
        <f>IF($A1438="","",IF(BI1438=1,F1438,""))</f>
        <v>0</v>
      </c>
      <c r="BN1438">
        <f>IF($A1438="","",DATE(YEAR($A1438),MONTH($A1438),1))</f>
        <v>0</v>
      </c>
      <c r="BO1438">
        <f>IF($A1438="","",IF($A1437="",1,IF(BN1438&lt;&gt;BN1437,1,0)))</f>
        <v>0</v>
      </c>
      <c r="BP1438">
        <f>IF($A1438="","",IF($A1439="",1,IF(BN1439&lt;&gt;BN1438,1,0)))</f>
        <v>0</v>
      </c>
      <c r="BQ1438">
        <f>IF($A1438="","",IF(BO1438=1,$B1438,BQ1437))</f>
        <v>0</v>
      </c>
      <c r="BR1438">
        <f>IF($A1438="","",IF(BO1438=1,$C1438,MAX($C1438,BR1437)))</f>
        <v>0</v>
      </c>
      <c r="BS1438">
        <f>IF($A1438="","",IF(BO1438=1,$D1438,MIN($D1438,BS1437)))</f>
        <v>0</v>
      </c>
      <c r="BT1438">
        <f>IF($A1438="","",IF(BP1438=1,F1438,""))</f>
        <v>0</v>
      </c>
    </row>
    <row r="1439" spans="1:72">
      <c r="A1439" s="27">
        <f>IF(Data!$A1439="","",Data!$A1439)</f>
        <v>0</v>
      </c>
      <c r="B1439">
        <f>IF(Data!$B1439="","",Data!$B1439)</f>
        <v>0</v>
      </c>
      <c r="C1439">
        <f>IF(Data!$C1439="","",Data!$C1439)</f>
        <v>0</v>
      </c>
      <c r="D1439">
        <f>IF(Data!$D1439="","",Data!$D1439)</f>
        <v>0</v>
      </c>
      <c r="E1439">
        <f>IF(Data!$E1439="","",Data!$E1439)</f>
        <v>0</v>
      </c>
      <c r="F1439">
        <f>IF($E1439="","",N(F1438)+1)</f>
        <v>0</v>
      </c>
      <c r="G1439">
        <f>IF(OR($E1439="",$E1438=""),"",LN($E1439/$E1438))</f>
        <v>0</v>
      </c>
      <c r="H1439">
        <f>IF($E1439="","",IF($E1438="",$E1439,$E1439*0.0952380952+H1438*0.9047619048))</f>
        <v>0</v>
      </c>
      <c r="I1439">
        <f>IF($E1439="","",IF($E1438="",$E1439,$E1439*0.0392156863+I1438*0.9607843137))</f>
        <v>0</v>
      </c>
      <c r="J1439">
        <f>IF($E1439="","",IF($E1438="",$E1439,$E1439*0.0198019802+J1438*0.9801980198))</f>
        <v>0</v>
      </c>
      <c r="K1439">
        <f>IF($E1439="","",IF($E1438="",$E1439,$E1439*0.0099502488+K1438*0.9900497512))</f>
        <v>0</v>
      </c>
      <c r="L1439">
        <f>IF(OR($E1439="",$E1438=""),"",MAX($E1439-$E1438,0))</f>
        <v>0</v>
      </c>
      <c r="M1439">
        <f>IF(OR($E1439="",$E1438=""),"",MAX($E1438-$E1439,0))</f>
        <v>0</v>
      </c>
      <c r="N1439">
        <f>IF(COUNT($E$2:$E1439)&lt;15,"",IF(AVERAGE($M$1426:$M$1439)=0,100,100-100/(1+AVERAGE($L$1426:$L$1439)/AVERAGE($M$1426:$M$1439))))</f>
        <v>0</v>
      </c>
      <c r="O1439">
        <f>IF($E1439="","",IF($E1438="",$E1439,$E1439*0.1538461538+O1438*0.8461538462))</f>
        <v>0</v>
      </c>
      <c r="P1439">
        <f>IF($E1439="","",IF($E1438="",$E1439,$E1439*0.0740740741+P1438*0.9259259259))</f>
        <v>0</v>
      </c>
      <c r="Q1439">
        <f>IF(OR(O1439="",P1439=""),"",O1439-P1439)</f>
        <v>0</v>
      </c>
      <c r="R1439">
        <f>IF(Q1439="","",IF(R1438="",Q1439,Q1439*0.2000000000+R1438*0.8000000000))</f>
        <v>0</v>
      </c>
      <c r="S1439">
        <f>IF(OR(Q1439="",R1439=""),"",Q1439-R1439)</f>
        <v>0</v>
      </c>
      <c r="T1439">
        <f>IF(COUNT($E$2:$E1439)&lt;14,"",MAX($C$1426:$C$1439))</f>
        <v>0</v>
      </c>
      <c r="U1439">
        <f>IF(COUNT($E$2:$E1439)&lt;14,"",MIN($D$1426:$D$1439))</f>
        <v>0</v>
      </c>
      <c r="V1439">
        <f>IF(OR(T1439="",U1439="",T1439=U1439),"",100*($E1439-U1439)/(T1439-U1439))</f>
        <v>0</v>
      </c>
      <c r="W1439">
        <f>IF(COUNT($V$1437:$V$1439)&lt;3,"",AVERAGE($V$1437:$V$1439))</f>
        <v>0</v>
      </c>
      <c r="X1439">
        <f>IF(COUNT($N$1426:$N$1439)&lt;14,"",MIN($N$1426:$N$1439))</f>
        <v>0</v>
      </c>
      <c r="Y1439">
        <f>IF(COUNT($N$1426:$N$1439)&lt;14,"",MAX($N$1426:$N$1439))</f>
        <v>0</v>
      </c>
      <c r="Z1439">
        <f>IF(OR(N1439="",X1439="",Y1439="",Y1439=X1439),"",100*(N1439-X1439)/(Y1439-X1439))</f>
        <v>0</v>
      </c>
      <c r="AA1439">
        <f>IF(COUNT($Z$1437:$Z$1439)&lt;3,"",AVERAGE($Z$1437:$Z$1439))</f>
        <v>0</v>
      </c>
      <c r="AB1439">
        <f>IF(COUNT($AA$1437:$AA$1439)&lt;3,"",AVERAGE($AA$1437:$AA$1439))</f>
        <v>0</v>
      </c>
      <c r="AC1439">
        <f>IF($E1439="","",MAX($C1439-$D1439,ABS($C1439-$E1438),ABS($D1439-$E1438)))</f>
        <v>0</v>
      </c>
      <c r="AD1439">
        <f>IF(COUNT($E$2:$E1439)&lt;15,"",AVERAGE($AC$1426:$AC$1439))</f>
        <v>0</v>
      </c>
      <c r="AE1439">
        <f>IF(OR($E1439="",$E1438=""),"",IF(AND(($C1439-$C1438)&gt;($D1438-$D1439),($C1439-$C1438)&gt;0),$C1439-$C1438,0))</f>
        <v>0</v>
      </c>
      <c r="AF1439">
        <f>IF(OR($E1439="",$E1438=""),"",IF(AND(($D1438-$D1439)&gt;($C1439-$C1438),($D1438-$D1439)&gt;0),$D1438-$D1439,0))</f>
        <v>0</v>
      </c>
      <c r="AG1439">
        <f>IF(COUNT($E$2:$E1439)&lt;15,"",IF(SUM($AC$1426:$AC$1439)=0,0,100*SUM($AE$1426:$AE$1439)/SUM($AC$1426:$AC$1439)))</f>
        <v>0</v>
      </c>
      <c r="AH1439">
        <f>IF(COUNT($E$2:$E1439)&lt;15,"",IF(SUM($AC$1426:$AC$1439)=0,0,100*SUM($AF$1426:$AF$1439)/SUM($AC$1426:$AC$1439)))</f>
        <v>0</v>
      </c>
      <c r="AI1439">
        <f>IF(OR(AG1439="",AH1439=""),"",IF((AG1439+AH1439)=0,0,100*ABS(AG1439-AH1439)/(AG1439+AH1439)))</f>
        <v>0</v>
      </c>
      <c r="AJ1439">
        <f>IF(COUNT($AI$1426:$AI$1439)&lt;14,"",AVERAGE($AI$1426:$AI$1439))</f>
        <v>0</v>
      </c>
      <c r="AK1439">
        <f>IF(COUNT($E$2:$E1439)&lt;20,"",AVERAGE($E$1420:$E$1439))</f>
        <v>0</v>
      </c>
      <c r="AL1439">
        <f>IF(COUNT($E$2:$E1439)&lt;20,"",STDEVP($E$1420:$E$1439))</f>
        <v>0</v>
      </c>
      <c r="AM1439">
        <f>IF(AK1439="","",AK1439+2*AL1439)</f>
        <v>0</v>
      </c>
      <c r="AN1439">
        <f>IF(AK1439="","",AK1439-2*AL1439)</f>
        <v>0</v>
      </c>
      <c r="AO1439">
        <f>IF(OR(AM1439="",AN1439="",AM1439=AN1439),"",($E1439-AN1439)/(AM1439-AN1439))</f>
        <v>0</v>
      </c>
      <c r="AP1439">
        <f>IF(OR(AM1439="",AK1439="",AK1439=0),"",(AM1439-AN1439)/AK1439)</f>
        <v>0</v>
      </c>
      <c r="AQ1439">
        <f>IF(COUNT($E$2:$E1439)&lt;20,"",MAX($C$1420:$C$1439))</f>
        <v>0</v>
      </c>
      <c r="AR1439">
        <f>IF(COUNT($E$2:$E1439)&lt;20,"",MIN($D$1420:$D$1439))</f>
        <v>0</v>
      </c>
      <c r="AS1439">
        <f>IF(OR(AQ1439="",AR1439=""),"",(AQ1439+AR1439)/2)</f>
        <v>0</v>
      </c>
      <c r="AT1439">
        <f>IF(COUNT($G$1420:$G$1439)&lt;20,"",STDEV($G$1420:$G$1439)*SQRT(252))</f>
        <v>0</v>
      </c>
      <c r="AU1439">
        <f>IF(COUNT($E$2:$E1439)&lt;9,"",(MAX($C$1431:$C$1439)+MIN($D$1431:$D$1439))/2)</f>
        <v>0</v>
      </c>
      <c r="AV1439">
        <f>IF(COUNT($E$2:$E1439)&lt;26,"",(MAX($C$1414:$C$1439)+MIN($D$1414:$D$1439))/2)</f>
        <v>0</v>
      </c>
      <c r="AW1439">
        <f>IF(OR(AU1439="",AV1439=""),"",(AU1439+AV1439)/2)</f>
        <v>0</v>
      </c>
      <c r="AX1439">
        <f>IF(COUNT($E$2:$E1439)&lt;52,"",(MAX($C$1388:$C$1439)+MIN($D$1388:$D$1439))/2)</f>
        <v>0</v>
      </c>
      <c r="AY1439">
        <f>IF(COUNT($E$2:$E1439)&lt;20,"",MAX($C$1340:$C$1439))</f>
        <v>0</v>
      </c>
      <c r="AZ1439">
        <f>IF(COUNT($E$2:$E1439)&lt;20,"",MIN($D$1340:$D$1439))</f>
        <v>0</v>
      </c>
      <c r="BA1439">
        <f>IF(COUNT($E$2:$E1439)&lt;20,"",SLOPE($E$1340:$E$1439,$F$1340:$F$1439))</f>
        <v>0</v>
      </c>
      <c r="BB1439">
        <f>IF(COUNT($E$2:$E1439)&lt;20,"",INTERCEPT($E$1340:$E$1439,$F$1340:$F$1439))</f>
        <v>0</v>
      </c>
      <c r="BC1439">
        <f>IF(OR(BA1439="",BB1439=""),"",BB1439+BA1439*F1439)</f>
        <v>0</v>
      </c>
      <c r="BD1439">
        <f>IF(COUNT($E$2:$E1439)&lt;20,"",STEYX($E$1340:$E$1439,$F$1340:$F$1439))</f>
        <v>0</v>
      </c>
      <c r="BE1439">
        <f>IF($E1439="","",IF(AND(COUNT($E$1440:$E$1443)&gt;=4,$C1439=MAX($C$1435:$C$1443)),$C1439,""))</f>
        <v>0</v>
      </c>
      <c r="BF1439">
        <f>IF($E1439="","",IF(AND(COUNT($E$1440:$E$1443)&gt;=4,$D1439=MIN($D$1435:$D$1443)),$D1439,""))</f>
        <v>0</v>
      </c>
      <c r="BG1439">
        <f>IF($A1439="","",$A1439-WEEKDAY($A1439,2)+1)</f>
        <v>0</v>
      </c>
      <c r="BH1439">
        <f>IF($A1439="","",IF($A1438="",1,IF(BG1439&lt;&gt;BG1438,1,0)))</f>
        <v>0</v>
      </c>
      <c r="BI1439">
        <f>IF($A1439="","",IF($A1440="",1,IF(BG1440&lt;&gt;BG1439,1,0)))</f>
        <v>0</v>
      </c>
      <c r="BJ1439">
        <f>IF($A1439="","",IF(BH1439=1,$B1439,BJ1438))</f>
        <v>0</v>
      </c>
      <c r="BK1439">
        <f>IF($A1439="","",IF(BH1439=1,$C1439,MAX($C1439,BK1438)))</f>
        <v>0</v>
      </c>
      <c r="BL1439">
        <f>IF($A1439="","",IF(BH1439=1,$D1439,MIN($D1439,BL1438)))</f>
        <v>0</v>
      </c>
      <c r="BM1439">
        <f>IF($A1439="","",IF(BI1439=1,F1439,""))</f>
        <v>0</v>
      </c>
      <c r="BN1439">
        <f>IF($A1439="","",DATE(YEAR($A1439),MONTH($A1439),1))</f>
        <v>0</v>
      </c>
      <c r="BO1439">
        <f>IF($A1439="","",IF($A1438="",1,IF(BN1439&lt;&gt;BN1438,1,0)))</f>
        <v>0</v>
      </c>
      <c r="BP1439">
        <f>IF($A1439="","",IF($A1440="",1,IF(BN1440&lt;&gt;BN1439,1,0)))</f>
        <v>0</v>
      </c>
      <c r="BQ1439">
        <f>IF($A1439="","",IF(BO1439=1,$B1439,BQ1438))</f>
        <v>0</v>
      </c>
      <c r="BR1439">
        <f>IF($A1439="","",IF(BO1439=1,$C1439,MAX($C1439,BR1438)))</f>
        <v>0</v>
      </c>
      <c r="BS1439">
        <f>IF($A1439="","",IF(BO1439=1,$D1439,MIN($D1439,BS1438)))</f>
        <v>0</v>
      </c>
      <c r="BT1439">
        <f>IF($A1439="","",IF(BP1439=1,F1439,""))</f>
        <v>0</v>
      </c>
    </row>
    <row r="1440" spans="1:72">
      <c r="A1440" s="27">
        <f>IF(Data!$A1440="","",Data!$A1440)</f>
        <v>0</v>
      </c>
      <c r="B1440">
        <f>IF(Data!$B1440="","",Data!$B1440)</f>
        <v>0</v>
      </c>
      <c r="C1440">
        <f>IF(Data!$C1440="","",Data!$C1440)</f>
        <v>0</v>
      </c>
      <c r="D1440">
        <f>IF(Data!$D1440="","",Data!$D1440)</f>
        <v>0</v>
      </c>
      <c r="E1440">
        <f>IF(Data!$E1440="","",Data!$E1440)</f>
        <v>0</v>
      </c>
      <c r="F1440">
        <f>IF($E1440="","",N(F1439)+1)</f>
        <v>0</v>
      </c>
      <c r="G1440">
        <f>IF(OR($E1440="",$E1439=""),"",LN($E1440/$E1439))</f>
        <v>0</v>
      </c>
      <c r="H1440">
        <f>IF($E1440="","",IF($E1439="",$E1440,$E1440*0.0952380952+H1439*0.9047619048))</f>
        <v>0</v>
      </c>
      <c r="I1440">
        <f>IF($E1440="","",IF($E1439="",$E1440,$E1440*0.0392156863+I1439*0.9607843137))</f>
        <v>0</v>
      </c>
      <c r="J1440">
        <f>IF($E1440="","",IF($E1439="",$E1440,$E1440*0.0198019802+J1439*0.9801980198))</f>
        <v>0</v>
      </c>
      <c r="K1440">
        <f>IF($E1440="","",IF($E1439="",$E1440,$E1440*0.0099502488+K1439*0.9900497512))</f>
        <v>0</v>
      </c>
      <c r="L1440">
        <f>IF(OR($E1440="",$E1439=""),"",MAX($E1440-$E1439,0))</f>
        <v>0</v>
      </c>
      <c r="M1440">
        <f>IF(OR($E1440="",$E1439=""),"",MAX($E1439-$E1440,0))</f>
        <v>0</v>
      </c>
      <c r="N1440">
        <f>IF(COUNT($E$2:$E1440)&lt;15,"",IF(AVERAGE($M$1427:$M$1440)=0,100,100-100/(1+AVERAGE($L$1427:$L$1440)/AVERAGE($M$1427:$M$1440))))</f>
        <v>0</v>
      </c>
      <c r="O1440">
        <f>IF($E1440="","",IF($E1439="",$E1440,$E1440*0.1538461538+O1439*0.8461538462))</f>
        <v>0</v>
      </c>
      <c r="P1440">
        <f>IF($E1440="","",IF($E1439="",$E1440,$E1440*0.0740740741+P1439*0.9259259259))</f>
        <v>0</v>
      </c>
      <c r="Q1440">
        <f>IF(OR(O1440="",P1440=""),"",O1440-P1440)</f>
        <v>0</v>
      </c>
      <c r="R1440">
        <f>IF(Q1440="","",IF(R1439="",Q1440,Q1440*0.2000000000+R1439*0.8000000000))</f>
        <v>0</v>
      </c>
      <c r="S1440">
        <f>IF(OR(Q1440="",R1440=""),"",Q1440-R1440)</f>
        <v>0</v>
      </c>
      <c r="T1440">
        <f>IF(COUNT($E$2:$E1440)&lt;14,"",MAX($C$1427:$C$1440))</f>
        <v>0</v>
      </c>
      <c r="U1440">
        <f>IF(COUNT($E$2:$E1440)&lt;14,"",MIN($D$1427:$D$1440))</f>
        <v>0</v>
      </c>
      <c r="V1440">
        <f>IF(OR(T1440="",U1440="",T1440=U1440),"",100*($E1440-U1440)/(T1440-U1440))</f>
        <v>0</v>
      </c>
      <c r="W1440">
        <f>IF(COUNT($V$1438:$V$1440)&lt;3,"",AVERAGE($V$1438:$V$1440))</f>
        <v>0</v>
      </c>
      <c r="X1440">
        <f>IF(COUNT($N$1427:$N$1440)&lt;14,"",MIN($N$1427:$N$1440))</f>
        <v>0</v>
      </c>
      <c r="Y1440">
        <f>IF(COUNT($N$1427:$N$1440)&lt;14,"",MAX($N$1427:$N$1440))</f>
        <v>0</v>
      </c>
      <c r="Z1440">
        <f>IF(OR(N1440="",X1440="",Y1440="",Y1440=X1440),"",100*(N1440-X1440)/(Y1440-X1440))</f>
        <v>0</v>
      </c>
      <c r="AA1440">
        <f>IF(COUNT($Z$1438:$Z$1440)&lt;3,"",AVERAGE($Z$1438:$Z$1440))</f>
        <v>0</v>
      </c>
      <c r="AB1440">
        <f>IF(COUNT($AA$1438:$AA$1440)&lt;3,"",AVERAGE($AA$1438:$AA$1440))</f>
        <v>0</v>
      </c>
      <c r="AC1440">
        <f>IF($E1440="","",MAX($C1440-$D1440,ABS($C1440-$E1439),ABS($D1440-$E1439)))</f>
        <v>0</v>
      </c>
      <c r="AD1440">
        <f>IF(COUNT($E$2:$E1440)&lt;15,"",AVERAGE($AC$1427:$AC$1440))</f>
        <v>0</v>
      </c>
      <c r="AE1440">
        <f>IF(OR($E1440="",$E1439=""),"",IF(AND(($C1440-$C1439)&gt;($D1439-$D1440),($C1440-$C1439)&gt;0),$C1440-$C1439,0))</f>
        <v>0</v>
      </c>
      <c r="AF1440">
        <f>IF(OR($E1440="",$E1439=""),"",IF(AND(($D1439-$D1440)&gt;($C1440-$C1439),($D1439-$D1440)&gt;0),$D1439-$D1440,0))</f>
        <v>0</v>
      </c>
      <c r="AG1440">
        <f>IF(COUNT($E$2:$E1440)&lt;15,"",IF(SUM($AC$1427:$AC$1440)=0,0,100*SUM($AE$1427:$AE$1440)/SUM($AC$1427:$AC$1440)))</f>
        <v>0</v>
      </c>
      <c r="AH1440">
        <f>IF(COUNT($E$2:$E1440)&lt;15,"",IF(SUM($AC$1427:$AC$1440)=0,0,100*SUM($AF$1427:$AF$1440)/SUM($AC$1427:$AC$1440)))</f>
        <v>0</v>
      </c>
      <c r="AI1440">
        <f>IF(OR(AG1440="",AH1440=""),"",IF((AG1440+AH1440)=0,0,100*ABS(AG1440-AH1440)/(AG1440+AH1440)))</f>
        <v>0</v>
      </c>
      <c r="AJ1440">
        <f>IF(COUNT($AI$1427:$AI$1440)&lt;14,"",AVERAGE($AI$1427:$AI$1440))</f>
        <v>0</v>
      </c>
      <c r="AK1440">
        <f>IF(COUNT($E$2:$E1440)&lt;20,"",AVERAGE($E$1421:$E$1440))</f>
        <v>0</v>
      </c>
      <c r="AL1440">
        <f>IF(COUNT($E$2:$E1440)&lt;20,"",STDEVP($E$1421:$E$1440))</f>
        <v>0</v>
      </c>
      <c r="AM1440">
        <f>IF(AK1440="","",AK1440+2*AL1440)</f>
        <v>0</v>
      </c>
      <c r="AN1440">
        <f>IF(AK1440="","",AK1440-2*AL1440)</f>
        <v>0</v>
      </c>
      <c r="AO1440">
        <f>IF(OR(AM1440="",AN1440="",AM1440=AN1440),"",($E1440-AN1440)/(AM1440-AN1440))</f>
        <v>0</v>
      </c>
      <c r="AP1440">
        <f>IF(OR(AM1440="",AK1440="",AK1440=0),"",(AM1440-AN1440)/AK1440)</f>
        <v>0</v>
      </c>
      <c r="AQ1440">
        <f>IF(COUNT($E$2:$E1440)&lt;20,"",MAX($C$1421:$C$1440))</f>
        <v>0</v>
      </c>
      <c r="AR1440">
        <f>IF(COUNT($E$2:$E1440)&lt;20,"",MIN($D$1421:$D$1440))</f>
        <v>0</v>
      </c>
      <c r="AS1440">
        <f>IF(OR(AQ1440="",AR1440=""),"",(AQ1440+AR1440)/2)</f>
        <v>0</v>
      </c>
      <c r="AT1440">
        <f>IF(COUNT($G$1421:$G$1440)&lt;20,"",STDEV($G$1421:$G$1440)*SQRT(252))</f>
        <v>0</v>
      </c>
      <c r="AU1440">
        <f>IF(COUNT($E$2:$E1440)&lt;9,"",(MAX($C$1432:$C$1440)+MIN($D$1432:$D$1440))/2)</f>
        <v>0</v>
      </c>
      <c r="AV1440">
        <f>IF(COUNT($E$2:$E1440)&lt;26,"",(MAX($C$1415:$C$1440)+MIN($D$1415:$D$1440))/2)</f>
        <v>0</v>
      </c>
      <c r="AW1440">
        <f>IF(OR(AU1440="",AV1440=""),"",(AU1440+AV1440)/2)</f>
        <v>0</v>
      </c>
      <c r="AX1440">
        <f>IF(COUNT($E$2:$E1440)&lt;52,"",(MAX($C$1389:$C$1440)+MIN($D$1389:$D$1440))/2)</f>
        <v>0</v>
      </c>
      <c r="AY1440">
        <f>IF(COUNT($E$2:$E1440)&lt;20,"",MAX($C$1341:$C$1440))</f>
        <v>0</v>
      </c>
      <c r="AZ1440">
        <f>IF(COUNT($E$2:$E1440)&lt;20,"",MIN($D$1341:$D$1440))</f>
        <v>0</v>
      </c>
      <c r="BA1440">
        <f>IF(COUNT($E$2:$E1440)&lt;20,"",SLOPE($E$1341:$E$1440,$F$1341:$F$1440))</f>
        <v>0</v>
      </c>
      <c r="BB1440">
        <f>IF(COUNT($E$2:$E1440)&lt;20,"",INTERCEPT($E$1341:$E$1440,$F$1341:$F$1440))</f>
        <v>0</v>
      </c>
      <c r="BC1440">
        <f>IF(OR(BA1440="",BB1440=""),"",BB1440+BA1440*F1440)</f>
        <v>0</v>
      </c>
      <c r="BD1440">
        <f>IF(COUNT($E$2:$E1440)&lt;20,"",STEYX($E$1341:$E$1440,$F$1341:$F$1440))</f>
        <v>0</v>
      </c>
      <c r="BE1440">
        <f>IF($E1440="","",IF(AND(COUNT($E$1441:$E$1444)&gt;=4,$C1440=MAX($C$1436:$C$1444)),$C1440,""))</f>
        <v>0</v>
      </c>
      <c r="BF1440">
        <f>IF($E1440="","",IF(AND(COUNT($E$1441:$E$1444)&gt;=4,$D1440=MIN($D$1436:$D$1444)),$D1440,""))</f>
        <v>0</v>
      </c>
      <c r="BG1440">
        <f>IF($A1440="","",$A1440-WEEKDAY($A1440,2)+1)</f>
        <v>0</v>
      </c>
      <c r="BH1440">
        <f>IF($A1440="","",IF($A1439="",1,IF(BG1440&lt;&gt;BG1439,1,0)))</f>
        <v>0</v>
      </c>
      <c r="BI1440">
        <f>IF($A1440="","",IF($A1441="",1,IF(BG1441&lt;&gt;BG1440,1,0)))</f>
        <v>0</v>
      </c>
      <c r="BJ1440">
        <f>IF($A1440="","",IF(BH1440=1,$B1440,BJ1439))</f>
        <v>0</v>
      </c>
      <c r="BK1440">
        <f>IF($A1440="","",IF(BH1440=1,$C1440,MAX($C1440,BK1439)))</f>
        <v>0</v>
      </c>
      <c r="BL1440">
        <f>IF($A1440="","",IF(BH1440=1,$D1440,MIN($D1440,BL1439)))</f>
        <v>0</v>
      </c>
      <c r="BM1440">
        <f>IF($A1440="","",IF(BI1440=1,F1440,""))</f>
        <v>0</v>
      </c>
      <c r="BN1440">
        <f>IF($A1440="","",DATE(YEAR($A1440),MONTH($A1440),1))</f>
        <v>0</v>
      </c>
      <c r="BO1440">
        <f>IF($A1440="","",IF($A1439="",1,IF(BN1440&lt;&gt;BN1439,1,0)))</f>
        <v>0</v>
      </c>
      <c r="BP1440">
        <f>IF($A1440="","",IF($A1441="",1,IF(BN1441&lt;&gt;BN1440,1,0)))</f>
        <v>0</v>
      </c>
      <c r="BQ1440">
        <f>IF($A1440="","",IF(BO1440=1,$B1440,BQ1439))</f>
        <v>0</v>
      </c>
      <c r="BR1440">
        <f>IF($A1440="","",IF(BO1440=1,$C1440,MAX($C1440,BR1439)))</f>
        <v>0</v>
      </c>
      <c r="BS1440">
        <f>IF($A1440="","",IF(BO1440=1,$D1440,MIN($D1440,BS1439)))</f>
        <v>0</v>
      </c>
      <c r="BT1440">
        <f>IF($A1440="","",IF(BP1440=1,F1440,""))</f>
        <v>0</v>
      </c>
    </row>
    <row r="1441" spans="1:72">
      <c r="A1441" s="27">
        <f>IF(Data!$A1441="","",Data!$A1441)</f>
        <v>0</v>
      </c>
      <c r="B1441">
        <f>IF(Data!$B1441="","",Data!$B1441)</f>
        <v>0</v>
      </c>
      <c r="C1441">
        <f>IF(Data!$C1441="","",Data!$C1441)</f>
        <v>0</v>
      </c>
      <c r="D1441">
        <f>IF(Data!$D1441="","",Data!$D1441)</f>
        <v>0</v>
      </c>
      <c r="E1441">
        <f>IF(Data!$E1441="","",Data!$E1441)</f>
        <v>0</v>
      </c>
      <c r="F1441">
        <f>IF($E1441="","",N(F1440)+1)</f>
        <v>0</v>
      </c>
      <c r="G1441">
        <f>IF(OR($E1441="",$E1440=""),"",LN($E1441/$E1440))</f>
        <v>0</v>
      </c>
      <c r="H1441">
        <f>IF($E1441="","",IF($E1440="",$E1441,$E1441*0.0952380952+H1440*0.9047619048))</f>
        <v>0</v>
      </c>
      <c r="I1441">
        <f>IF($E1441="","",IF($E1440="",$E1441,$E1441*0.0392156863+I1440*0.9607843137))</f>
        <v>0</v>
      </c>
      <c r="J1441">
        <f>IF($E1441="","",IF($E1440="",$E1441,$E1441*0.0198019802+J1440*0.9801980198))</f>
        <v>0</v>
      </c>
      <c r="K1441">
        <f>IF($E1441="","",IF($E1440="",$E1441,$E1441*0.0099502488+K1440*0.9900497512))</f>
        <v>0</v>
      </c>
      <c r="L1441">
        <f>IF(OR($E1441="",$E1440=""),"",MAX($E1441-$E1440,0))</f>
        <v>0</v>
      </c>
      <c r="M1441">
        <f>IF(OR($E1441="",$E1440=""),"",MAX($E1440-$E1441,0))</f>
        <v>0</v>
      </c>
      <c r="N1441">
        <f>IF(COUNT($E$2:$E1441)&lt;15,"",IF(AVERAGE($M$1428:$M$1441)=0,100,100-100/(1+AVERAGE($L$1428:$L$1441)/AVERAGE($M$1428:$M$1441))))</f>
        <v>0</v>
      </c>
      <c r="O1441">
        <f>IF($E1441="","",IF($E1440="",$E1441,$E1441*0.1538461538+O1440*0.8461538462))</f>
        <v>0</v>
      </c>
      <c r="P1441">
        <f>IF($E1441="","",IF($E1440="",$E1441,$E1441*0.0740740741+P1440*0.9259259259))</f>
        <v>0</v>
      </c>
      <c r="Q1441">
        <f>IF(OR(O1441="",P1441=""),"",O1441-P1441)</f>
        <v>0</v>
      </c>
      <c r="R1441">
        <f>IF(Q1441="","",IF(R1440="",Q1441,Q1441*0.2000000000+R1440*0.8000000000))</f>
        <v>0</v>
      </c>
      <c r="S1441">
        <f>IF(OR(Q1441="",R1441=""),"",Q1441-R1441)</f>
        <v>0</v>
      </c>
      <c r="T1441">
        <f>IF(COUNT($E$2:$E1441)&lt;14,"",MAX($C$1428:$C$1441))</f>
        <v>0</v>
      </c>
      <c r="U1441">
        <f>IF(COUNT($E$2:$E1441)&lt;14,"",MIN($D$1428:$D$1441))</f>
        <v>0</v>
      </c>
      <c r="V1441">
        <f>IF(OR(T1441="",U1441="",T1441=U1441),"",100*($E1441-U1441)/(T1441-U1441))</f>
        <v>0</v>
      </c>
      <c r="W1441">
        <f>IF(COUNT($V$1439:$V$1441)&lt;3,"",AVERAGE($V$1439:$V$1441))</f>
        <v>0</v>
      </c>
      <c r="X1441">
        <f>IF(COUNT($N$1428:$N$1441)&lt;14,"",MIN($N$1428:$N$1441))</f>
        <v>0</v>
      </c>
      <c r="Y1441">
        <f>IF(COUNT($N$1428:$N$1441)&lt;14,"",MAX($N$1428:$N$1441))</f>
        <v>0</v>
      </c>
      <c r="Z1441">
        <f>IF(OR(N1441="",X1441="",Y1441="",Y1441=X1441),"",100*(N1441-X1441)/(Y1441-X1441))</f>
        <v>0</v>
      </c>
      <c r="AA1441">
        <f>IF(COUNT($Z$1439:$Z$1441)&lt;3,"",AVERAGE($Z$1439:$Z$1441))</f>
        <v>0</v>
      </c>
      <c r="AB1441">
        <f>IF(COUNT($AA$1439:$AA$1441)&lt;3,"",AVERAGE($AA$1439:$AA$1441))</f>
        <v>0</v>
      </c>
      <c r="AC1441">
        <f>IF($E1441="","",MAX($C1441-$D1441,ABS($C1441-$E1440),ABS($D1441-$E1440)))</f>
        <v>0</v>
      </c>
      <c r="AD1441">
        <f>IF(COUNT($E$2:$E1441)&lt;15,"",AVERAGE($AC$1428:$AC$1441))</f>
        <v>0</v>
      </c>
      <c r="AE1441">
        <f>IF(OR($E1441="",$E1440=""),"",IF(AND(($C1441-$C1440)&gt;($D1440-$D1441),($C1441-$C1440)&gt;0),$C1441-$C1440,0))</f>
        <v>0</v>
      </c>
      <c r="AF1441">
        <f>IF(OR($E1441="",$E1440=""),"",IF(AND(($D1440-$D1441)&gt;($C1441-$C1440),($D1440-$D1441)&gt;0),$D1440-$D1441,0))</f>
        <v>0</v>
      </c>
      <c r="AG1441">
        <f>IF(COUNT($E$2:$E1441)&lt;15,"",IF(SUM($AC$1428:$AC$1441)=0,0,100*SUM($AE$1428:$AE$1441)/SUM($AC$1428:$AC$1441)))</f>
        <v>0</v>
      </c>
      <c r="AH1441">
        <f>IF(COUNT($E$2:$E1441)&lt;15,"",IF(SUM($AC$1428:$AC$1441)=0,0,100*SUM($AF$1428:$AF$1441)/SUM($AC$1428:$AC$1441)))</f>
        <v>0</v>
      </c>
      <c r="AI1441">
        <f>IF(OR(AG1441="",AH1441=""),"",IF((AG1441+AH1441)=0,0,100*ABS(AG1441-AH1441)/(AG1441+AH1441)))</f>
        <v>0</v>
      </c>
      <c r="AJ1441">
        <f>IF(COUNT($AI$1428:$AI$1441)&lt;14,"",AVERAGE($AI$1428:$AI$1441))</f>
        <v>0</v>
      </c>
      <c r="AK1441">
        <f>IF(COUNT($E$2:$E1441)&lt;20,"",AVERAGE($E$1422:$E$1441))</f>
        <v>0</v>
      </c>
      <c r="AL1441">
        <f>IF(COUNT($E$2:$E1441)&lt;20,"",STDEVP($E$1422:$E$1441))</f>
        <v>0</v>
      </c>
      <c r="AM1441">
        <f>IF(AK1441="","",AK1441+2*AL1441)</f>
        <v>0</v>
      </c>
      <c r="AN1441">
        <f>IF(AK1441="","",AK1441-2*AL1441)</f>
        <v>0</v>
      </c>
      <c r="AO1441">
        <f>IF(OR(AM1441="",AN1441="",AM1441=AN1441),"",($E1441-AN1441)/(AM1441-AN1441))</f>
        <v>0</v>
      </c>
      <c r="AP1441">
        <f>IF(OR(AM1441="",AK1441="",AK1441=0),"",(AM1441-AN1441)/AK1441)</f>
        <v>0</v>
      </c>
      <c r="AQ1441">
        <f>IF(COUNT($E$2:$E1441)&lt;20,"",MAX($C$1422:$C$1441))</f>
        <v>0</v>
      </c>
      <c r="AR1441">
        <f>IF(COUNT($E$2:$E1441)&lt;20,"",MIN($D$1422:$D$1441))</f>
        <v>0</v>
      </c>
      <c r="AS1441">
        <f>IF(OR(AQ1441="",AR1441=""),"",(AQ1441+AR1441)/2)</f>
        <v>0</v>
      </c>
      <c r="AT1441">
        <f>IF(COUNT($G$1422:$G$1441)&lt;20,"",STDEV($G$1422:$G$1441)*SQRT(252))</f>
        <v>0</v>
      </c>
      <c r="AU1441">
        <f>IF(COUNT($E$2:$E1441)&lt;9,"",(MAX($C$1433:$C$1441)+MIN($D$1433:$D$1441))/2)</f>
        <v>0</v>
      </c>
      <c r="AV1441">
        <f>IF(COUNT($E$2:$E1441)&lt;26,"",(MAX($C$1416:$C$1441)+MIN($D$1416:$D$1441))/2)</f>
        <v>0</v>
      </c>
      <c r="AW1441">
        <f>IF(OR(AU1441="",AV1441=""),"",(AU1441+AV1441)/2)</f>
        <v>0</v>
      </c>
      <c r="AX1441">
        <f>IF(COUNT($E$2:$E1441)&lt;52,"",(MAX($C$1390:$C$1441)+MIN($D$1390:$D$1441))/2)</f>
        <v>0</v>
      </c>
      <c r="AY1441">
        <f>IF(COUNT($E$2:$E1441)&lt;20,"",MAX($C$1342:$C$1441))</f>
        <v>0</v>
      </c>
      <c r="AZ1441">
        <f>IF(COUNT($E$2:$E1441)&lt;20,"",MIN($D$1342:$D$1441))</f>
        <v>0</v>
      </c>
      <c r="BA1441">
        <f>IF(COUNT($E$2:$E1441)&lt;20,"",SLOPE($E$1342:$E$1441,$F$1342:$F$1441))</f>
        <v>0</v>
      </c>
      <c r="BB1441">
        <f>IF(COUNT($E$2:$E1441)&lt;20,"",INTERCEPT($E$1342:$E$1441,$F$1342:$F$1441))</f>
        <v>0</v>
      </c>
      <c r="BC1441">
        <f>IF(OR(BA1441="",BB1441=""),"",BB1441+BA1441*F1441)</f>
        <v>0</v>
      </c>
      <c r="BD1441">
        <f>IF(COUNT($E$2:$E1441)&lt;20,"",STEYX($E$1342:$E$1441,$F$1342:$F$1441))</f>
        <v>0</v>
      </c>
      <c r="BE1441">
        <f>IF($E1441="","",IF(AND(COUNT($E$1442:$E$1445)&gt;=4,$C1441=MAX($C$1437:$C$1445)),$C1441,""))</f>
        <v>0</v>
      </c>
      <c r="BF1441">
        <f>IF($E1441="","",IF(AND(COUNT($E$1442:$E$1445)&gt;=4,$D1441=MIN($D$1437:$D$1445)),$D1441,""))</f>
        <v>0</v>
      </c>
      <c r="BG1441">
        <f>IF($A1441="","",$A1441-WEEKDAY($A1441,2)+1)</f>
        <v>0</v>
      </c>
      <c r="BH1441">
        <f>IF($A1441="","",IF($A1440="",1,IF(BG1441&lt;&gt;BG1440,1,0)))</f>
        <v>0</v>
      </c>
      <c r="BI1441">
        <f>IF($A1441="","",IF($A1442="",1,IF(BG1442&lt;&gt;BG1441,1,0)))</f>
        <v>0</v>
      </c>
      <c r="BJ1441">
        <f>IF($A1441="","",IF(BH1441=1,$B1441,BJ1440))</f>
        <v>0</v>
      </c>
      <c r="BK1441">
        <f>IF($A1441="","",IF(BH1441=1,$C1441,MAX($C1441,BK1440)))</f>
        <v>0</v>
      </c>
      <c r="BL1441">
        <f>IF($A1441="","",IF(BH1441=1,$D1441,MIN($D1441,BL1440)))</f>
        <v>0</v>
      </c>
      <c r="BM1441">
        <f>IF($A1441="","",IF(BI1441=1,F1441,""))</f>
        <v>0</v>
      </c>
      <c r="BN1441">
        <f>IF($A1441="","",DATE(YEAR($A1441),MONTH($A1441),1))</f>
        <v>0</v>
      </c>
      <c r="BO1441">
        <f>IF($A1441="","",IF($A1440="",1,IF(BN1441&lt;&gt;BN1440,1,0)))</f>
        <v>0</v>
      </c>
      <c r="BP1441">
        <f>IF($A1441="","",IF($A1442="",1,IF(BN1442&lt;&gt;BN1441,1,0)))</f>
        <v>0</v>
      </c>
      <c r="BQ1441">
        <f>IF($A1441="","",IF(BO1441=1,$B1441,BQ1440))</f>
        <v>0</v>
      </c>
      <c r="BR1441">
        <f>IF($A1441="","",IF(BO1441=1,$C1441,MAX($C1441,BR1440)))</f>
        <v>0</v>
      </c>
      <c r="BS1441">
        <f>IF($A1441="","",IF(BO1441=1,$D1441,MIN($D1441,BS1440)))</f>
        <v>0</v>
      </c>
      <c r="BT1441">
        <f>IF($A1441="","",IF(BP1441=1,F1441,""))</f>
        <v>0</v>
      </c>
    </row>
    <row r="1442" spans="1:72">
      <c r="A1442" s="27">
        <f>IF(Data!$A1442="","",Data!$A1442)</f>
        <v>0</v>
      </c>
      <c r="B1442">
        <f>IF(Data!$B1442="","",Data!$B1442)</f>
        <v>0</v>
      </c>
      <c r="C1442">
        <f>IF(Data!$C1442="","",Data!$C1442)</f>
        <v>0</v>
      </c>
      <c r="D1442">
        <f>IF(Data!$D1442="","",Data!$D1442)</f>
        <v>0</v>
      </c>
      <c r="E1442">
        <f>IF(Data!$E1442="","",Data!$E1442)</f>
        <v>0</v>
      </c>
      <c r="F1442">
        <f>IF($E1442="","",N(F1441)+1)</f>
        <v>0</v>
      </c>
      <c r="G1442">
        <f>IF(OR($E1442="",$E1441=""),"",LN($E1442/$E1441))</f>
        <v>0</v>
      </c>
      <c r="H1442">
        <f>IF($E1442="","",IF($E1441="",$E1442,$E1442*0.0952380952+H1441*0.9047619048))</f>
        <v>0</v>
      </c>
      <c r="I1442">
        <f>IF($E1442="","",IF($E1441="",$E1442,$E1442*0.0392156863+I1441*0.9607843137))</f>
        <v>0</v>
      </c>
      <c r="J1442">
        <f>IF($E1442="","",IF($E1441="",$E1442,$E1442*0.0198019802+J1441*0.9801980198))</f>
        <v>0</v>
      </c>
      <c r="K1442">
        <f>IF($E1442="","",IF($E1441="",$E1442,$E1442*0.0099502488+K1441*0.9900497512))</f>
        <v>0</v>
      </c>
      <c r="L1442">
        <f>IF(OR($E1442="",$E1441=""),"",MAX($E1442-$E1441,0))</f>
        <v>0</v>
      </c>
      <c r="M1442">
        <f>IF(OR($E1442="",$E1441=""),"",MAX($E1441-$E1442,0))</f>
        <v>0</v>
      </c>
      <c r="N1442">
        <f>IF(COUNT($E$2:$E1442)&lt;15,"",IF(AVERAGE($M$1429:$M$1442)=0,100,100-100/(1+AVERAGE($L$1429:$L$1442)/AVERAGE($M$1429:$M$1442))))</f>
        <v>0</v>
      </c>
      <c r="O1442">
        <f>IF($E1442="","",IF($E1441="",$E1442,$E1442*0.1538461538+O1441*0.8461538462))</f>
        <v>0</v>
      </c>
      <c r="P1442">
        <f>IF($E1442="","",IF($E1441="",$E1442,$E1442*0.0740740741+P1441*0.9259259259))</f>
        <v>0</v>
      </c>
      <c r="Q1442">
        <f>IF(OR(O1442="",P1442=""),"",O1442-P1442)</f>
        <v>0</v>
      </c>
      <c r="R1442">
        <f>IF(Q1442="","",IF(R1441="",Q1442,Q1442*0.2000000000+R1441*0.8000000000))</f>
        <v>0</v>
      </c>
      <c r="S1442">
        <f>IF(OR(Q1442="",R1442=""),"",Q1442-R1442)</f>
        <v>0</v>
      </c>
      <c r="T1442">
        <f>IF(COUNT($E$2:$E1442)&lt;14,"",MAX($C$1429:$C$1442))</f>
        <v>0</v>
      </c>
      <c r="U1442">
        <f>IF(COUNT($E$2:$E1442)&lt;14,"",MIN($D$1429:$D$1442))</f>
        <v>0</v>
      </c>
      <c r="V1442">
        <f>IF(OR(T1442="",U1442="",T1442=U1442),"",100*($E1442-U1442)/(T1442-U1442))</f>
        <v>0</v>
      </c>
      <c r="W1442">
        <f>IF(COUNT($V$1440:$V$1442)&lt;3,"",AVERAGE($V$1440:$V$1442))</f>
        <v>0</v>
      </c>
      <c r="X1442">
        <f>IF(COUNT($N$1429:$N$1442)&lt;14,"",MIN($N$1429:$N$1442))</f>
        <v>0</v>
      </c>
      <c r="Y1442">
        <f>IF(COUNT($N$1429:$N$1442)&lt;14,"",MAX($N$1429:$N$1442))</f>
        <v>0</v>
      </c>
      <c r="Z1442">
        <f>IF(OR(N1442="",X1442="",Y1442="",Y1442=X1442),"",100*(N1442-X1442)/(Y1442-X1442))</f>
        <v>0</v>
      </c>
      <c r="AA1442">
        <f>IF(COUNT($Z$1440:$Z$1442)&lt;3,"",AVERAGE($Z$1440:$Z$1442))</f>
        <v>0</v>
      </c>
      <c r="AB1442">
        <f>IF(COUNT($AA$1440:$AA$1442)&lt;3,"",AVERAGE($AA$1440:$AA$1442))</f>
        <v>0</v>
      </c>
      <c r="AC1442">
        <f>IF($E1442="","",MAX($C1442-$D1442,ABS($C1442-$E1441),ABS($D1442-$E1441)))</f>
        <v>0</v>
      </c>
      <c r="AD1442">
        <f>IF(COUNT($E$2:$E1442)&lt;15,"",AVERAGE($AC$1429:$AC$1442))</f>
        <v>0</v>
      </c>
      <c r="AE1442">
        <f>IF(OR($E1442="",$E1441=""),"",IF(AND(($C1442-$C1441)&gt;($D1441-$D1442),($C1442-$C1441)&gt;0),$C1442-$C1441,0))</f>
        <v>0</v>
      </c>
      <c r="AF1442">
        <f>IF(OR($E1442="",$E1441=""),"",IF(AND(($D1441-$D1442)&gt;($C1442-$C1441),($D1441-$D1442)&gt;0),$D1441-$D1442,0))</f>
        <v>0</v>
      </c>
      <c r="AG1442">
        <f>IF(COUNT($E$2:$E1442)&lt;15,"",IF(SUM($AC$1429:$AC$1442)=0,0,100*SUM($AE$1429:$AE$1442)/SUM($AC$1429:$AC$1442)))</f>
        <v>0</v>
      </c>
      <c r="AH1442">
        <f>IF(COUNT($E$2:$E1442)&lt;15,"",IF(SUM($AC$1429:$AC$1442)=0,0,100*SUM($AF$1429:$AF$1442)/SUM($AC$1429:$AC$1442)))</f>
        <v>0</v>
      </c>
      <c r="AI1442">
        <f>IF(OR(AG1442="",AH1442=""),"",IF((AG1442+AH1442)=0,0,100*ABS(AG1442-AH1442)/(AG1442+AH1442)))</f>
        <v>0</v>
      </c>
      <c r="AJ1442">
        <f>IF(COUNT($AI$1429:$AI$1442)&lt;14,"",AVERAGE($AI$1429:$AI$1442))</f>
        <v>0</v>
      </c>
      <c r="AK1442">
        <f>IF(COUNT($E$2:$E1442)&lt;20,"",AVERAGE($E$1423:$E$1442))</f>
        <v>0</v>
      </c>
      <c r="AL1442">
        <f>IF(COUNT($E$2:$E1442)&lt;20,"",STDEVP($E$1423:$E$1442))</f>
        <v>0</v>
      </c>
      <c r="AM1442">
        <f>IF(AK1442="","",AK1442+2*AL1442)</f>
        <v>0</v>
      </c>
      <c r="AN1442">
        <f>IF(AK1442="","",AK1442-2*AL1442)</f>
        <v>0</v>
      </c>
      <c r="AO1442">
        <f>IF(OR(AM1442="",AN1442="",AM1442=AN1442),"",($E1442-AN1442)/(AM1442-AN1442))</f>
        <v>0</v>
      </c>
      <c r="AP1442">
        <f>IF(OR(AM1442="",AK1442="",AK1442=0),"",(AM1442-AN1442)/AK1442)</f>
        <v>0</v>
      </c>
      <c r="AQ1442">
        <f>IF(COUNT($E$2:$E1442)&lt;20,"",MAX($C$1423:$C$1442))</f>
        <v>0</v>
      </c>
      <c r="AR1442">
        <f>IF(COUNT($E$2:$E1442)&lt;20,"",MIN($D$1423:$D$1442))</f>
        <v>0</v>
      </c>
      <c r="AS1442">
        <f>IF(OR(AQ1442="",AR1442=""),"",(AQ1442+AR1442)/2)</f>
        <v>0</v>
      </c>
      <c r="AT1442">
        <f>IF(COUNT($G$1423:$G$1442)&lt;20,"",STDEV($G$1423:$G$1442)*SQRT(252))</f>
        <v>0</v>
      </c>
      <c r="AU1442">
        <f>IF(COUNT($E$2:$E1442)&lt;9,"",(MAX($C$1434:$C$1442)+MIN($D$1434:$D$1442))/2)</f>
        <v>0</v>
      </c>
      <c r="AV1442">
        <f>IF(COUNT($E$2:$E1442)&lt;26,"",(MAX($C$1417:$C$1442)+MIN($D$1417:$D$1442))/2)</f>
        <v>0</v>
      </c>
      <c r="AW1442">
        <f>IF(OR(AU1442="",AV1442=""),"",(AU1442+AV1442)/2)</f>
        <v>0</v>
      </c>
      <c r="AX1442">
        <f>IF(COUNT($E$2:$E1442)&lt;52,"",(MAX($C$1391:$C$1442)+MIN($D$1391:$D$1442))/2)</f>
        <v>0</v>
      </c>
      <c r="AY1442">
        <f>IF(COUNT($E$2:$E1442)&lt;20,"",MAX($C$1343:$C$1442))</f>
        <v>0</v>
      </c>
      <c r="AZ1442">
        <f>IF(COUNT($E$2:$E1442)&lt;20,"",MIN($D$1343:$D$1442))</f>
        <v>0</v>
      </c>
      <c r="BA1442">
        <f>IF(COUNT($E$2:$E1442)&lt;20,"",SLOPE($E$1343:$E$1442,$F$1343:$F$1442))</f>
        <v>0</v>
      </c>
      <c r="BB1442">
        <f>IF(COUNT($E$2:$E1442)&lt;20,"",INTERCEPT($E$1343:$E$1442,$F$1343:$F$1442))</f>
        <v>0</v>
      </c>
      <c r="BC1442">
        <f>IF(OR(BA1442="",BB1442=""),"",BB1442+BA1442*F1442)</f>
        <v>0</v>
      </c>
      <c r="BD1442">
        <f>IF(COUNT($E$2:$E1442)&lt;20,"",STEYX($E$1343:$E$1442,$F$1343:$F$1442))</f>
        <v>0</v>
      </c>
      <c r="BE1442">
        <f>IF($E1442="","",IF(AND(COUNT($E$1443:$E$1446)&gt;=4,$C1442=MAX($C$1438:$C$1446)),$C1442,""))</f>
        <v>0</v>
      </c>
      <c r="BF1442">
        <f>IF($E1442="","",IF(AND(COUNT($E$1443:$E$1446)&gt;=4,$D1442=MIN($D$1438:$D$1446)),$D1442,""))</f>
        <v>0</v>
      </c>
      <c r="BG1442">
        <f>IF($A1442="","",$A1442-WEEKDAY($A1442,2)+1)</f>
        <v>0</v>
      </c>
      <c r="BH1442">
        <f>IF($A1442="","",IF($A1441="",1,IF(BG1442&lt;&gt;BG1441,1,0)))</f>
        <v>0</v>
      </c>
      <c r="BI1442">
        <f>IF($A1442="","",IF($A1443="",1,IF(BG1443&lt;&gt;BG1442,1,0)))</f>
        <v>0</v>
      </c>
      <c r="BJ1442">
        <f>IF($A1442="","",IF(BH1442=1,$B1442,BJ1441))</f>
        <v>0</v>
      </c>
      <c r="BK1442">
        <f>IF($A1442="","",IF(BH1442=1,$C1442,MAX($C1442,BK1441)))</f>
        <v>0</v>
      </c>
      <c r="BL1442">
        <f>IF($A1442="","",IF(BH1442=1,$D1442,MIN($D1442,BL1441)))</f>
        <v>0</v>
      </c>
      <c r="BM1442">
        <f>IF($A1442="","",IF(BI1442=1,F1442,""))</f>
        <v>0</v>
      </c>
      <c r="BN1442">
        <f>IF($A1442="","",DATE(YEAR($A1442),MONTH($A1442),1))</f>
        <v>0</v>
      </c>
      <c r="BO1442">
        <f>IF($A1442="","",IF($A1441="",1,IF(BN1442&lt;&gt;BN1441,1,0)))</f>
        <v>0</v>
      </c>
      <c r="BP1442">
        <f>IF($A1442="","",IF($A1443="",1,IF(BN1443&lt;&gt;BN1442,1,0)))</f>
        <v>0</v>
      </c>
      <c r="BQ1442">
        <f>IF($A1442="","",IF(BO1442=1,$B1442,BQ1441))</f>
        <v>0</v>
      </c>
      <c r="BR1442">
        <f>IF($A1442="","",IF(BO1442=1,$C1442,MAX($C1442,BR1441)))</f>
        <v>0</v>
      </c>
      <c r="BS1442">
        <f>IF($A1442="","",IF(BO1442=1,$D1442,MIN($D1442,BS1441)))</f>
        <v>0</v>
      </c>
      <c r="BT1442">
        <f>IF($A1442="","",IF(BP1442=1,F1442,""))</f>
        <v>0</v>
      </c>
    </row>
    <row r="1443" spans="1:72">
      <c r="A1443" s="27">
        <f>IF(Data!$A1443="","",Data!$A1443)</f>
        <v>0</v>
      </c>
      <c r="B1443">
        <f>IF(Data!$B1443="","",Data!$B1443)</f>
        <v>0</v>
      </c>
      <c r="C1443">
        <f>IF(Data!$C1443="","",Data!$C1443)</f>
        <v>0</v>
      </c>
      <c r="D1443">
        <f>IF(Data!$D1443="","",Data!$D1443)</f>
        <v>0</v>
      </c>
      <c r="E1443">
        <f>IF(Data!$E1443="","",Data!$E1443)</f>
        <v>0</v>
      </c>
      <c r="F1443">
        <f>IF($E1443="","",N(F1442)+1)</f>
        <v>0</v>
      </c>
      <c r="G1443">
        <f>IF(OR($E1443="",$E1442=""),"",LN($E1443/$E1442))</f>
        <v>0</v>
      </c>
      <c r="H1443">
        <f>IF($E1443="","",IF($E1442="",$E1443,$E1443*0.0952380952+H1442*0.9047619048))</f>
        <v>0</v>
      </c>
      <c r="I1443">
        <f>IF($E1443="","",IF($E1442="",$E1443,$E1443*0.0392156863+I1442*0.9607843137))</f>
        <v>0</v>
      </c>
      <c r="J1443">
        <f>IF($E1443="","",IF($E1442="",$E1443,$E1443*0.0198019802+J1442*0.9801980198))</f>
        <v>0</v>
      </c>
      <c r="K1443">
        <f>IF($E1443="","",IF($E1442="",$E1443,$E1443*0.0099502488+K1442*0.9900497512))</f>
        <v>0</v>
      </c>
      <c r="L1443">
        <f>IF(OR($E1443="",$E1442=""),"",MAX($E1443-$E1442,0))</f>
        <v>0</v>
      </c>
      <c r="M1443">
        <f>IF(OR($E1443="",$E1442=""),"",MAX($E1442-$E1443,0))</f>
        <v>0</v>
      </c>
      <c r="N1443">
        <f>IF(COUNT($E$2:$E1443)&lt;15,"",IF(AVERAGE($M$1430:$M$1443)=0,100,100-100/(1+AVERAGE($L$1430:$L$1443)/AVERAGE($M$1430:$M$1443))))</f>
        <v>0</v>
      </c>
      <c r="O1443">
        <f>IF($E1443="","",IF($E1442="",$E1443,$E1443*0.1538461538+O1442*0.8461538462))</f>
        <v>0</v>
      </c>
      <c r="P1443">
        <f>IF($E1443="","",IF($E1442="",$E1443,$E1443*0.0740740741+P1442*0.9259259259))</f>
        <v>0</v>
      </c>
      <c r="Q1443">
        <f>IF(OR(O1443="",P1443=""),"",O1443-P1443)</f>
        <v>0</v>
      </c>
      <c r="R1443">
        <f>IF(Q1443="","",IF(R1442="",Q1443,Q1443*0.2000000000+R1442*0.8000000000))</f>
        <v>0</v>
      </c>
      <c r="S1443">
        <f>IF(OR(Q1443="",R1443=""),"",Q1443-R1443)</f>
        <v>0</v>
      </c>
      <c r="T1443">
        <f>IF(COUNT($E$2:$E1443)&lt;14,"",MAX($C$1430:$C$1443))</f>
        <v>0</v>
      </c>
      <c r="U1443">
        <f>IF(COUNT($E$2:$E1443)&lt;14,"",MIN($D$1430:$D$1443))</f>
        <v>0</v>
      </c>
      <c r="V1443">
        <f>IF(OR(T1443="",U1443="",T1443=U1443),"",100*($E1443-U1443)/(T1443-U1443))</f>
        <v>0</v>
      </c>
      <c r="W1443">
        <f>IF(COUNT($V$1441:$V$1443)&lt;3,"",AVERAGE($V$1441:$V$1443))</f>
        <v>0</v>
      </c>
      <c r="X1443">
        <f>IF(COUNT($N$1430:$N$1443)&lt;14,"",MIN($N$1430:$N$1443))</f>
        <v>0</v>
      </c>
      <c r="Y1443">
        <f>IF(COUNT($N$1430:$N$1443)&lt;14,"",MAX($N$1430:$N$1443))</f>
        <v>0</v>
      </c>
      <c r="Z1443">
        <f>IF(OR(N1443="",X1443="",Y1443="",Y1443=X1443),"",100*(N1443-X1443)/(Y1443-X1443))</f>
        <v>0</v>
      </c>
      <c r="AA1443">
        <f>IF(COUNT($Z$1441:$Z$1443)&lt;3,"",AVERAGE($Z$1441:$Z$1443))</f>
        <v>0</v>
      </c>
      <c r="AB1443">
        <f>IF(COUNT($AA$1441:$AA$1443)&lt;3,"",AVERAGE($AA$1441:$AA$1443))</f>
        <v>0</v>
      </c>
      <c r="AC1443">
        <f>IF($E1443="","",MAX($C1443-$D1443,ABS($C1443-$E1442),ABS($D1443-$E1442)))</f>
        <v>0</v>
      </c>
      <c r="AD1443">
        <f>IF(COUNT($E$2:$E1443)&lt;15,"",AVERAGE($AC$1430:$AC$1443))</f>
        <v>0</v>
      </c>
      <c r="AE1443">
        <f>IF(OR($E1443="",$E1442=""),"",IF(AND(($C1443-$C1442)&gt;($D1442-$D1443),($C1443-$C1442)&gt;0),$C1443-$C1442,0))</f>
        <v>0</v>
      </c>
      <c r="AF1443">
        <f>IF(OR($E1443="",$E1442=""),"",IF(AND(($D1442-$D1443)&gt;($C1443-$C1442),($D1442-$D1443)&gt;0),$D1442-$D1443,0))</f>
        <v>0</v>
      </c>
      <c r="AG1443">
        <f>IF(COUNT($E$2:$E1443)&lt;15,"",IF(SUM($AC$1430:$AC$1443)=0,0,100*SUM($AE$1430:$AE$1443)/SUM($AC$1430:$AC$1443)))</f>
        <v>0</v>
      </c>
      <c r="AH1443">
        <f>IF(COUNT($E$2:$E1443)&lt;15,"",IF(SUM($AC$1430:$AC$1443)=0,0,100*SUM($AF$1430:$AF$1443)/SUM($AC$1430:$AC$1443)))</f>
        <v>0</v>
      </c>
      <c r="AI1443">
        <f>IF(OR(AG1443="",AH1443=""),"",IF((AG1443+AH1443)=0,0,100*ABS(AG1443-AH1443)/(AG1443+AH1443)))</f>
        <v>0</v>
      </c>
      <c r="AJ1443">
        <f>IF(COUNT($AI$1430:$AI$1443)&lt;14,"",AVERAGE($AI$1430:$AI$1443))</f>
        <v>0</v>
      </c>
      <c r="AK1443">
        <f>IF(COUNT($E$2:$E1443)&lt;20,"",AVERAGE($E$1424:$E$1443))</f>
        <v>0</v>
      </c>
      <c r="AL1443">
        <f>IF(COUNT($E$2:$E1443)&lt;20,"",STDEVP($E$1424:$E$1443))</f>
        <v>0</v>
      </c>
      <c r="AM1443">
        <f>IF(AK1443="","",AK1443+2*AL1443)</f>
        <v>0</v>
      </c>
      <c r="AN1443">
        <f>IF(AK1443="","",AK1443-2*AL1443)</f>
        <v>0</v>
      </c>
      <c r="AO1443">
        <f>IF(OR(AM1443="",AN1443="",AM1443=AN1443),"",($E1443-AN1443)/(AM1443-AN1443))</f>
        <v>0</v>
      </c>
      <c r="AP1443">
        <f>IF(OR(AM1443="",AK1443="",AK1443=0),"",(AM1443-AN1443)/AK1443)</f>
        <v>0</v>
      </c>
      <c r="AQ1443">
        <f>IF(COUNT($E$2:$E1443)&lt;20,"",MAX($C$1424:$C$1443))</f>
        <v>0</v>
      </c>
      <c r="AR1443">
        <f>IF(COUNT($E$2:$E1443)&lt;20,"",MIN($D$1424:$D$1443))</f>
        <v>0</v>
      </c>
      <c r="AS1443">
        <f>IF(OR(AQ1443="",AR1443=""),"",(AQ1443+AR1443)/2)</f>
        <v>0</v>
      </c>
      <c r="AT1443">
        <f>IF(COUNT($G$1424:$G$1443)&lt;20,"",STDEV($G$1424:$G$1443)*SQRT(252))</f>
        <v>0</v>
      </c>
      <c r="AU1443">
        <f>IF(COUNT($E$2:$E1443)&lt;9,"",(MAX($C$1435:$C$1443)+MIN($D$1435:$D$1443))/2)</f>
        <v>0</v>
      </c>
      <c r="AV1443">
        <f>IF(COUNT($E$2:$E1443)&lt;26,"",(MAX($C$1418:$C$1443)+MIN($D$1418:$D$1443))/2)</f>
        <v>0</v>
      </c>
      <c r="AW1443">
        <f>IF(OR(AU1443="",AV1443=""),"",(AU1443+AV1443)/2)</f>
        <v>0</v>
      </c>
      <c r="AX1443">
        <f>IF(COUNT($E$2:$E1443)&lt;52,"",(MAX($C$1392:$C$1443)+MIN($D$1392:$D$1443))/2)</f>
        <v>0</v>
      </c>
      <c r="AY1443">
        <f>IF(COUNT($E$2:$E1443)&lt;20,"",MAX($C$1344:$C$1443))</f>
        <v>0</v>
      </c>
      <c r="AZ1443">
        <f>IF(COUNT($E$2:$E1443)&lt;20,"",MIN($D$1344:$D$1443))</f>
        <v>0</v>
      </c>
      <c r="BA1443">
        <f>IF(COUNT($E$2:$E1443)&lt;20,"",SLOPE($E$1344:$E$1443,$F$1344:$F$1443))</f>
        <v>0</v>
      </c>
      <c r="BB1443">
        <f>IF(COUNT($E$2:$E1443)&lt;20,"",INTERCEPT($E$1344:$E$1443,$F$1344:$F$1443))</f>
        <v>0</v>
      </c>
      <c r="BC1443">
        <f>IF(OR(BA1443="",BB1443=""),"",BB1443+BA1443*F1443)</f>
        <v>0</v>
      </c>
      <c r="BD1443">
        <f>IF(COUNT($E$2:$E1443)&lt;20,"",STEYX($E$1344:$E$1443,$F$1344:$F$1443))</f>
        <v>0</v>
      </c>
      <c r="BE1443">
        <f>IF($E1443="","",IF(AND(COUNT($E$1444:$E$1447)&gt;=4,$C1443=MAX($C$1439:$C$1447)),$C1443,""))</f>
        <v>0</v>
      </c>
      <c r="BF1443">
        <f>IF($E1443="","",IF(AND(COUNT($E$1444:$E$1447)&gt;=4,$D1443=MIN($D$1439:$D$1447)),$D1443,""))</f>
        <v>0</v>
      </c>
      <c r="BG1443">
        <f>IF($A1443="","",$A1443-WEEKDAY($A1443,2)+1)</f>
        <v>0</v>
      </c>
      <c r="BH1443">
        <f>IF($A1443="","",IF($A1442="",1,IF(BG1443&lt;&gt;BG1442,1,0)))</f>
        <v>0</v>
      </c>
      <c r="BI1443">
        <f>IF($A1443="","",IF($A1444="",1,IF(BG1444&lt;&gt;BG1443,1,0)))</f>
        <v>0</v>
      </c>
      <c r="BJ1443">
        <f>IF($A1443="","",IF(BH1443=1,$B1443,BJ1442))</f>
        <v>0</v>
      </c>
      <c r="BK1443">
        <f>IF($A1443="","",IF(BH1443=1,$C1443,MAX($C1443,BK1442)))</f>
        <v>0</v>
      </c>
      <c r="BL1443">
        <f>IF($A1443="","",IF(BH1443=1,$D1443,MIN($D1443,BL1442)))</f>
        <v>0</v>
      </c>
      <c r="BM1443">
        <f>IF($A1443="","",IF(BI1443=1,F1443,""))</f>
        <v>0</v>
      </c>
      <c r="BN1443">
        <f>IF($A1443="","",DATE(YEAR($A1443),MONTH($A1443),1))</f>
        <v>0</v>
      </c>
      <c r="BO1443">
        <f>IF($A1443="","",IF($A1442="",1,IF(BN1443&lt;&gt;BN1442,1,0)))</f>
        <v>0</v>
      </c>
      <c r="BP1443">
        <f>IF($A1443="","",IF($A1444="",1,IF(BN1444&lt;&gt;BN1443,1,0)))</f>
        <v>0</v>
      </c>
      <c r="BQ1443">
        <f>IF($A1443="","",IF(BO1443=1,$B1443,BQ1442))</f>
        <v>0</v>
      </c>
      <c r="BR1443">
        <f>IF($A1443="","",IF(BO1443=1,$C1443,MAX($C1443,BR1442)))</f>
        <v>0</v>
      </c>
      <c r="BS1443">
        <f>IF($A1443="","",IF(BO1443=1,$D1443,MIN($D1443,BS1442)))</f>
        <v>0</v>
      </c>
      <c r="BT1443">
        <f>IF($A1443="","",IF(BP1443=1,F1443,""))</f>
        <v>0</v>
      </c>
    </row>
    <row r="1444" spans="1:72">
      <c r="A1444" s="27">
        <f>IF(Data!$A1444="","",Data!$A1444)</f>
        <v>0</v>
      </c>
      <c r="B1444">
        <f>IF(Data!$B1444="","",Data!$B1444)</f>
        <v>0</v>
      </c>
      <c r="C1444">
        <f>IF(Data!$C1444="","",Data!$C1444)</f>
        <v>0</v>
      </c>
      <c r="D1444">
        <f>IF(Data!$D1444="","",Data!$D1444)</f>
        <v>0</v>
      </c>
      <c r="E1444">
        <f>IF(Data!$E1444="","",Data!$E1444)</f>
        <v>0</v>
      </c>
      <c r="F1444">
        <f>IF($E1444="","",N(F1443)+1)</f>
        <v>0</v>
      </c>
      <c r="G1444">
        <f>IF(OR($E1444="",$E1443=""),"",LN($E1444/$E1443))</f>
        <v>0</v>
      </c>
      <c r="H1444">
        <f>IF($E1444="","",IF($E1443="",$E1444,$E1444*0.0952380952+H1443*0.9047619048))</f>
        <v>0</v>
      </c>
      <c r="I1444">
        <f>IF($E1444="","",IF($E1443="",$E1444,$E1444*0.0392156863+I1443*0.9607843137))</f>
        <v>0</v>
      </c>
      <c r="J1444">
        <f>IF($E1444="","",IF($E1443="",$E1444,$E1444*0.0198019802+J1443*0.9801980198))</f>
        <v>0</v>
      </c>
      <c r="K1444">
        <f>IF($E1444="","",IF($E1443="",$E1444,$E1444*0.0099502488+K1443*0.9900497512))</f>
        <v>0</v>
      </c>
      <c r="L1444">
        <f>IF(OR($E1444="",$E1443=""),"",MAX($E1444-$E1443,0))</f>
        <v>0</v>
      </c>
      <c r="M1444">
        <f>IF(OR($E1444="",$E1443=""),"",MAX($E1443-$E1444,0))</f>
        <v>0</v>
      </c>
      <c r="N1444">
        <f>IF(COUNT($E$2:$E1444)&lt;15,"",IF(AVERAGE($M$1431:$M$1444)=0,100,100-100/(1+AVERAGE($L$1431:$L$1444)/AVERAGE($M$1431:$M$1444))))</f>
        <v>0</v>
      </c>
      <c r="O1444">
        <f>IF($E1444="","",IF($E1443="",$E1444,$E1444*0.1538461538+O1443*0.8461538462))</f>
        <v>0</v>
      </c>
      <c r="P1444">
        <f>IF($E1444="","",IF($E1443="",$E1444,$E1444*0.0740740741+P1443*0.9259259259))</f>
        <v>0</v>
      </c>
      <c r="Q1444">
        <f>IF(OR(O1444="",P1444=""),"",O1444-P1444)</f>
        <v>0</v>
      </c>
      <c r="R1444">
        <f>IF(Q1444="","",IF(R1443="",Q1444,Q1444*0.2000000000+R1443*0.8000000000))</f>
        <v>0</v>
      </c>
      <c r="S1444">
        <f>IF(OR(Q1444="",R1444=""),"",Q1444-R1444)</f>
        <v>0</v>
      </c>
      <c r="T1444">
        <f>IF(COUNT($E$2:$E1444)&lt;14,"",MAX($C$1431:$C$1444))</f>
        <v>0</v>
      </c>
      <c r="U1444">
        <f>IF(COUNT($E$2:$E1444)&lt;14,"",MIN($D$1431:$D$1444))</f>
        <v>0</v>
      </c>
      <c r="V1444">
        <f>IF(OR(T1444="",U1444="",T1444=U1444),"",100*($E1444-U1444)/(T1444-U1444))</f>
        <v>0</v>
      </c>
      <c r="W1444">
        <f>IF(COUNT($V$1442:$V$1444)&lt;3,"",AVERAGE($V$1442:$V$1444))</f>
        <v>0</v>
      </c>
      <c r="X1444">
        <f>IF(COUNT($N$1431:$N$1444)&lt;14,"",MIN($N$1431:$N$1444))</f>
        <v>0</v>
      </c>
      <c r="Y1444">
        <f>IF(COUNT($N$1431:$N$1444)&lt;14,"",MAX($N$1431:$N$1444))</f>
        <v>0</v>
      </c>
      <c r="Z1444">
        <f>IF(OR(N1444="",X1444="",Y1444="",Y1444=X1444),"",100*(N1444-X1444)/(Y1444-X1444))</f>
        <v>0</v>
      </c>
      <c r="AA1444">
        <f>IF(COUNT($Z$1442:$Z$1444)&lt;3,"",AVERAGE($Z$1442:$Z$1444))</f>
        <v>0</v>
      </c>
      <c r="AB1444">
        <f>IF(COUNT($AA$1442:$AA$1444)&lt;3,"",AVERAGE($AA$1442:$AA$1444))</f>
        <v>0</v>
      </c>
      <c r="AC1444">
        <f>IF($E1444="","",MAX($C1444-$D1444,ABS($C1444-$E1443),ABS($D1444-$E1443)))</f>
        <v>0</v>
      </c>
      <c r="AD1444">
        <f>IF(COUNT($E$2:$E1444)&lt;15,"",AVERAGE($AC$1431:$AC$1444))</f>
        <v>0</v>
      </c>
      <c r="AE1444">
        <f>IF(OR($E1444="",$E1443=""),"",IF(AND(($C1444-$C1443)&gt;($D1443-$D1444),($C1444-$C1443)&gt;0),$C1444-$C1443,0))</f>
        <v>0</v>
      </c>
      <c r="AF1444">
        <f>IF(OR($E1444="",$E1443=""),"",IF(AND(($D1443-$D1444)&gt;($C1444-$C1443),($D1443-$D1444)&gt;0),$D1443-$D1444,0))</f>
        <v>0</v>
      </c>
      <c r="AG1444">
        <f>IF(COUNT($E$2:$E1444)&lt;15,"",IF(SUM($AC$1431:$AC$1444)=0,0,100*SUM($AE$1431:$AE$1444)/SUM($AC$1431:$AC$1444)))</f>
        <v>0</v>
      </c>
      <c r="AH1444">
        <f>IF(COUNT($E$2:$E1444)&lt;15,"",IF(SUM($AC$1431:$AC$1444)=0,0,100*SUM($AF$1431:$AF$1444)/SUM($AC$1431:$AC$1444)))</f>
        <v>0</v>
      </c>
      <c r="AI1444">
        <f>IF(OR(AG1444="",AH1444=""),"",IF((AG1444+AH1444)=0,0,100*ABS(AG1444-AH1444)/(AG1444+AH1444)))</f>
        <v>0</v>
      </c>
      <c r="AJ1444">
        <f>IF(COUNT($AI$1431:$AI$1444)&lt;14,"",AVERAGE($AI$1431:$AI$1444))</f>
        <v>0</v>
      </c>
      <c r="AK1444">
        <f>IF(COUNT($E$2:$E1444)&lt;20,"",AVERAGE($E$1425:$E$1444))</f>
        <v>0</v>
      </c>
      <c r="AL1444">
        <f>IF(COUNT($E$2:$E1444)&lt;20,"",STDEVP($E$1425:$E$1444))</f>
        <v>0</v>
      </c>
      <c r="AM1444">
        <f>IF(AK1444="","",AK1444+2*AL1444)</f>
        <v>0</v>
      </c>
      <c r="AN1444">
        <f>IF(AK1444="","",AK1444-2*AL1444)</f>
        <v>0</v>
      </c>
      <c r="AO1444">
        <f>IF(OR(AM1444="",AN1444="",AM1444=AN1444),"",($E1444-AN1444)/(AM1444-AN1444))</f>
        <v>0</v>
      </c>
      <c r="AP1444">
        <f>IF(OR(AM1444="",AK1444="",AK1444=0),"",(AM1444-AN1444)/AK1444)</f>
        <v>0</v>
      </c>
      <c r="AQ1444">
        <f>IF(COUNT($E$2:$E1444)&lt;20,"",MAX($C$1425:$C$1444))</f>
        <v>0</v>
      </c>
      <c r="AR1444">
        <f>IF(COUNT($E$2:$E1444)&lt;20,"",MIN($D$1425:$D$1444))</f>
        <v>0</v>
      </c>
      <c r="AS1444">
        <f>IF(OR(AQ1444="",AR1444=""),"",(AQ1444+AR1444)/2)</f>
        <v>0</v>
      </c>
      <c r="AT1444">
        <f>IF(COUNT($G$1425:$G$1444)&lt;20,"",STDEV($G$1425:$G$1444)*SQRT(252))</f>
        <v>0</v>
      </c>
      <c r="AU1444">
        <f>IF(COUNT($E$2:$E1444)&lt;9,"",(MAX($C$1436:$C$1444)+MIN($D$1436:$D$1444))/2)</f>
        <v>0</v>
      </c>
      <c r="AV1444">
        <f>IF(COUNT($E$2:$E1444)&lt;26,"",(MAX($C$1419:$C$1444)+MIN($D$1419:$D$1444))/2)</f>
        <v>0</v>
      </c>
      <c r="AW1444">
        <f>IF(OR(AU1444="",AV1444=""),"",(AU1444+AV1444)/2)</f>
        <v>0</v>
      </c>
      <c r="AX1444">
        <f>IF(COUNT($E$2:$E1444)&lt;52,"",(MAX($C$1393:$C$1444)+MIN($D$1393:$D$1444))/2)</f>
        <v>0</v>
      </c>
      <c r="AY1444">
        <f>IF(COUNT($E$2:$E1444)&lt;20,"",MAX($C$1345:$C$1444))</f>
        <v>0</v>
      </c>
      <c r="AZ1444">
        <f>IF(COUNT($E$2:$E1444)&lt;20,"",MIN($D$1345:$D$1444))</f>
        <v>0</v>
      </c>
      <c r="BA1444">
        <f>IF(COUNT($E$2:$E1444)&lt;20,"",SLOPE($E$1345:$E$1444,$F$1345:$F$1444))</f>
        <v>0</v>
      </c>
      <c r="BB1444">
        <f>IF(COUNT($E$2:$E1444)&lt;20,"",INTERCEPT($E$1345:$E$1444,$F$1345:$F$1444))</f>
        <v>0</v>
      </c>
      <c r="BC1444">
        <f>IF(OR(BA1444="",BB1444=""),"",BB1444+BA1444*F1444)</f>
        <v>0</v>
      </c>
      <c r="BD1444">
        <f>IF(COUNT($E$2:$E1444)&lt;20,"",STEYX($E$1345:$E$1444,$F$1345:$F$1444))</f>
        <v>0</v>
      </c>
      <c r="BE1444">
        <f>IF($E1444="","",IF(AND(COUNT($E$1445:$E$1448)&gt;=4,$C1444=MAX($C$1440:$C$1448)),$C1444,""))</f>
        <v>0</v>
      </c>
      <c r="BF1444">
        <f>IF($E1444="","",IF(AND(COUNT($E$1445:$E$1448)&gt;=4,$D1444=MIN($D$1440:$D$1448)),$D1444,""))</f>
        <v>0</v>
      </c>
      <c r="BG1444">
        <f>IF($A1444="","",$A1444-WEEKDAY($A1444,2)+1)</f>
        <v>0</v>
      </c>
      <c r="BH1444">
        <f>IF($A1444="","",IF($A1443="",1,IF(BG1444&lt;&gt;BG1443,1,0)))</f>
        <v>0</v>
      </c>
      <c r="BI1444">
        <f>IF($A1444="","",IF($A1445="",1,IF(BG1445&lt;&gt;BG1444,1,0)))</f>
        <v>0</v>
      </c>
      <c r="BJ1444">
        <f>IF($A1444="","",IF(BH1444=1,$B1444,BJ1443))</f>
        <v>0</v>
      </c>
      <c r="BK1444">
        <f>IF($A1444="","",IF(BH1444=1,$C1444,MAX($C1444,BK1443)))</f>
        <v>0</v>
      </c>
      <c r="BL1444">
        <f>IF($A1444="","",IF(BH1444=1,$D1444,MIN($D1444,BL1443)))</f>
        <v>0</v>
      </c>
      <c r="BM1444">
        <f>IF($A1444="","",IF(BI1444=1,F1444,""))</f>
        <v>0</v>
      </c>
      <c r="BN1444">
        <f>IF($A1444="","",DATE(YEAR($A1444),MONTH($A1444),1))</f>
        <v>0</v>
      </c>
      <c r="BO1444">
        <f>IF($A1444="","",IF($A1443="",1,IF(BN1444&lt;&gt;BN1443,1,0)))</f>
        <v>0</v>
      </c>
      <c r="BP1444">
        <f>IF($A1444="","",IF($A1445="",1,IF(BN1445&lt;&gt;BN1444,1,0)))</f>
        <v>0</v>
      </c>
      <c r="BQ1444">
        <f>IF($A1444="","",IF(BO1444=1,$B1444,BQ1443))</f>
        <v>0</v>
      </c>
      <c r="BR1444">
        <f>IF($A1444="","",IF(BO1444=1,$C1444,MAX($C1444,BR1443)))</f>
        <v>0</v>
      </c>
      <c r="BS1444">
        <f>IF($A1444="","",IF(BO1444=1,$D1444,MIN($D1444,BS1443)))</f>
        <v>0</v>
      </c>
      <c r="BT1444">
        <f>IF($A1444="","",IF(BP1444=1,F1444,""))</f>
        <v>0</v>
      </c>
    </row>
    <row r="1445" spans="1:72">
      <c r="A1445" s="27">
        <f>IF(Data!$A1445="","",Data!$A1445)</f>
        <v>0</v>
      </c>
      <c r="B1445">
        <f>IF(Data!$B1445="","",Data!$B1445)</f>
        <v>0</v>
      </c>
      <c r="C1445">
        <f>IF(Data!$C1445="","",Data!$C1445)</f>
        <v>0</v>
      </c>
      <c r="D1445">
        <f>IF(Data!$D1445="","",Data!$D1445)</f>
        <v>0</v>
      </c>
      <c r="E1445">
        <f>IF(Data!$E1445="","",Data!$E1445)</f>
        <v>0</v>
      </c>
      <c r="F1445">
        <f>IF($E1445="","",N(F1444)+1)</f>
        <v>0</v>
      </c>
      <c r="G1445">
        <f>IF(OR($E1445="",$E1444=""),"",LN($E1445/$E1444))</f>
        <v>0</v>
      </c>
      <c r="H1445">
        <f>IF($E1445="","",IF($E1444="",$E1445,$E1445*0.0952380952+H1444*0.9047619048))</f>
        <v>0</v>
      </c>
      <c r="I1445">
        <f>IF($E1445="","",IF($E1444="",$E1445,$E1445*0.0392156863+I1444*0.9607843137))</f>
        <v>0</v>
      </c>
      <c r="J1445">
        <f>IF($E1445="","",IF($E1444="",$E1445,$E1445*0.0198019802+J1444*0.9801980198))</f>
        <v>0</v>
      </c>
      <c r="K1445">
        <f>IF($E1445="","",IF($E1444="",$E1445,$E1445*0.0099502488+K1444*0.9900497512))</f>
        <v>0</v>
      </c>
      <c r="L1445">
        <f>IF(OR($E1445="",$E1444=""),"",MAX($E1445-$E1444,0))</f>
        <v>0</v>
      </c>
      <c r="M1445">
        <f>IF(OR($E1445="",$E1444=""),"",MAX($E1444-$E1445,0))</f>
        <v>0</v>
      </c>
      <c r="N1445">
        <f>IF(COUNT($E$2:$E1445)&lt;15,"",IF(AVERAGE($M$1432:$M$1445)=0,100,100-100/(1+AVERAGE($L$1432:$L$1445)/AVERAGE($M$1432:$M$1445))))</f>
        <v>0</v>
      </c>
      <c r="O1445">
        <f>IF($E1445="","",IF($E1444="",$E1445,$E1445*0.1538461538+O1444*0.8461538462))</f>
        <v>0</v>
      </c>
      <c r="P1445">
        <f>IF($E1445="","",IF($E1444="",$E1445,$E1445*0.0740740741+P1444*0.9259259259))</f>
        <v>0</v>
      </c>
      <c r="Q1445">
        <f>IF(OR(O1445="",P1445=""),"",O1445-P1445)</f>
        <v>0</v>
      </c>
      <c r="R1445">
        <f>IF(Q1445="","",IF(R1444="",Q1445,Q1445*0.2000000000+R1444*0.8000000000))</f>
        <v>0</v>
      </c>
      <c r="S1445">
        <f>IF(OR(Q1445="",R1445=""),"",Q1445-R1445)</f>
        <v>0</v>
      </c>
      <c r="T1445">
        <f>IF(COUNT($E$2:$E1445)&lt;14,"",MAX($C$1432:$C$1445))</f>
        <v>0</v>
      </c>
      <c r="U1445">
        <f>IF(COUNT($E$2:$E1445)&lt;14,"",MIN($D$1432:$D$1445))</f>
        <v>0</v>
      </c>
      <c r="V1445">
        <f>IF(OR(T1445="",U1445="",T1445=U1445),"",100*($E1445-U1445)/(T1445-U1445))</f>
        <v>0</v>
      </c>
      <c r="W1445">
        <f>IF(COUNT($V$1443:$V$1445)&lt;3,"",AVERAGE($V$1443:$V$1445))</f>
        <v>0</v>
      </c>
      <c r="X1445">
        <f>IF(COUNT($N$1432:$N$1445)&lt;14,"",MIN($N$1432:$N$1445))</f>
        <v>0</v>
      </c>
      <c r="Y1445">
        <f>IF(COUNT($N$1432:$N$1445)&lt;14,"",MAX($N$1432:$N$1445))</f>
        <v>0</v>
      </c>
      <c r="Z1445">
        <f>IF(OR(N1445="",X1445="",Y1445="",Y1445=X1445),"",100*(N1445-X1445)/(Y1445-X1445))</f>
        <v>0</v>
      </c>
      <c r="AA1445">
        <f>IF(COUNT($Z$1443:$Z$1445)&lt;3,"",AVERAGE($Z$1443:$Z$1445))</f>
        <v>0</v>
      </c>
      <c r="AB1445">
        <f>IF(COUNT($AA$1443:$AA$1445)&lt;3,"",AVERAGE($AA$1443:$AA$1445))</f>
        <v>0</v>
      </c>
      <c r="AC1445">
        <f>IF($E1445="","",MAX($C1445-$D1445,ABS($C1445-$E1444),ABS($D1445-$E1444)))</f>
        <v>0</v>
      </c>
      <c r="AD1445">
        <f>IF(COUNT($E$2:$E1445)&lt;15,"",AVERAGE($AC$1432:$AC$1445))</f>
        <v>0</v>
      </c>
      <c r="AE1445">
        <f>IF(OR($E1445="",$E1444=""),"",IF(AND(($C1445-$C1444)&gt;($D1444-$D1445),($C1445-$C1444)&gt;0),$C1445-$C1444,0))</f>
        <v>0</v>
      </c>
      <c r="AF1445">
        <f>IF(OR($E1445="",$E1444=""),"",IF(AND(($D1444-$D1445)&gt;($C1445-$C1444),($D1444-$D1445)&gt;0),$D1444-$D1445,0))</f>
        <v>0</v>
      </c>
      <c r="AG1445">
        <f>IF(COUNT($E$2:$E1445)&lt;15,"",IF(SUM($AC$1432:$AC$1445)=0,0,100*SUM($AE$1432:$AE$1445)/SUM($AC$1432:$AC$1445)))</f>
        <v>0</v>
      </c>
      <c r="AH1445">
        <f>IF(COUNT($E$2:$E1445)&lt;15,"",IF(SUM($AC$1432:$AC$1445)=0,0,100*SUM($AF$1432:$AF$1445)/SUM($AC$1432:$AC$1445)))</f>
        <v>0</v>
      </c>
      <c r="AI1445">
        <f>IF(OR(AG1445="",AH1445=""),"",IF((AG1445+AH1445)=0,0,100*ABS(AG1445-AH1445)/(AG1445+AH1445)))</f>
        <v>0</v>
      </c>
      <c r="AJ1445">
        <f>IF(COUNT($AI$1432:$AI$1445)&lt;14,"",AVERAGE($AI$1432:$AI$1445))</f>
        <v>0</v>
      </c>
      <c r="AK1445">
        <f>IF(COUNT($E$2:$E1445)&lt;20,"",AVERAGE($E$1426:$E$1445))</f>
        <v>0</v>
      </c>
      <c r="AL1445">
        <f>IF(COUNT($E$2:$E1445)&lt;20,"",STDEVP($E$1426:$E$1445))</f>
        <v>0</v>
      </c>
      <c r="AM1445">
        <f>IF(AK1445="","",AK1445+2*AL1445)</f>
        <v>0</v>
      </c>
      <c r="AN1445">
        <f>IF(AK1445="","",AK1445-2*AL1445)</f>
        <v>0</v>
      </c>
      <c r="AO1445">
        <f>IF(OR(AM1445="",AN1445="",AM1445=AN1445),"",($E1445-AN1445)/(AM1445-AN1445))</f>
        <v>0</v>
      </c>
      <c r="AP1445">
        <f>IF(OR(AM1445="",AK1445="",AK1445=0),"",(AM1445-AN1445)/AK1445)</f>
        <v>0</v>
      </c>
      <c r="AQ1445">
        <f>IF(COUNT($E$2:$E1445)&lt;20,"",MAX($C$1426:$C$1445))</f>
        <v>0</v>
      </c>
      <c r="AR1445">
        <f>IF(COUNT($E$2:$E1445)&lt;20,"",MIN($D$1426:$D$1445))</f>
        <v>0</v>
      </c>
      <c r="AS1445">
        <f>IF(OR(AQ1445="",AR1445=""),"",(AQ1445+AR1445)/2)</f>
        <v>0</v>
      </c>
      <c r="AT1445">
        <f>IF(COUNT($G$1426:$G$1445)&lt;20,"",STDEV($G$1426:$G$1445)*SQRT(252))</f>
        <v>0</v>
      </c>
      <c r="AU1445">
        <f>IF(COUNT($E$2:$E1445)&lt;9,"",(MAX($C$1437:$C$1445)+MIN($D$1437:$D$1445))/2)</f>
        <v>0</v>
      </c>
      <c r="AV1445">
        <f>IF(COUNT($E$2:$E1445)&lt;26,"",(MAX($C$1420:$C$1445)+MIN($D$1420:$D$1445))/2)</f>
        <v>0</v>
      </c>
      <c r="AW1445">
        <f>IF(OR(AU1445="",AV1445=""),"",(AU1445+AV1445)/2)</f>
        <v>0</v>
      </c>
      <c r="AX1445">
        <f>IF(COUNT($E$2:$E1445)&lt;52,"",(MAX($C$1394:$C$1445)+MIN($D$1394:$D$1445))/2)</f>
        <v>0</v>
      </c>
      <c r="AY1445">
        <f>IF(COUNT($E$2:$E1445)&lt;20,"",MAX($C$1346:$C$1445))</f>
        <v>0</v>
      </c>
      <c r="AZ1445">
        <f>IF(COUNT($E$2:$E1445)&lt;20,"",MIN($D$1346:$D$1445))</f>
        <v>0</v>
      </c>
      <c r="BA1445">
        <f>IF(COUNT($E$2:$E1445)&lt;20,"",SLOPE($E$1346:$E$1445,$F$1346:$F$1445))</f>
        <v>0</v>
      </c>
      <c r="BB1445">
        <f>IF(COUNT($E$2:$E1445)&lt;20,"",INTERCEPT($E$1346:$E$1445,$F$1346:$F$1445))</f>
        <v>0</v>
      </c>
      <c r="BC1445">
        <f>IF(OR(BA1445="",BB1445=""),"",BB1445+BA1445*F1445)</f>
        <v>0</v>
      </c>
      <c r="BD1445">
        <f>IF(COUNT($E$2:$E1445)&lt;20,"",STEYX($E$1346:$E$1445,$F$1346:$F$1445))</f>
        <v>0</v>
      </c>
      <c r="BE1445">
        <f>IF($E1445="","",IF(AND(COUNT($E$1446:$E$1449)&gt;=4,$C1445=MAX($C$1441:$C$1449)),$C1445,""))</f>
        <v>0</v>
      </c>
      <c r="BF1445">
        <f>IF($E1445="","",IF(AND(COUNT($E$1446:$E$1449)&gt;=4,$D1445=MIN($D$1441:$D$1449)),$D1445,""))</f>
        <v>0</v>
      </c>
      <c r="BG1445">
        <f>IF($A1445="","",$A1445-WEEKDAY($A1445,2)+1)</f>
        <v>0</v>
      </c>
      <c r="BH1445">
        <f>IF($A1445="","",IF($A1444="",1,IF(BG1445&lt;&gt;BG1444,1,0)))</f>
        <v>0</v>
      </c>
      <c r="BI1445">
        <f>IF($A1445="","",IF($A1446="",1,IF(BG1446&lt;&gt;BG1445,1,0)))</f>
        <v>0</v>
      </c>
      <c r="BJ1445">
        <f>IF($A1445="","",IF(BH1445=1,$B1445,BJ1444))</f>
        <v>0</v>
      </c>
      <c r="BK1445">
        <f>IF($A1445="","",IF(BH1445=1,$C1445,MAX($C1445,BK1444)))</f>
        <v>0</v>
      </c>
      <c r="BL1445">
        <f>IF($A1445="","",IF(BH1445=1,$D1445,MIN($D1445,BL1444)))</f>
        <v>0</v>
      </c>
      <c r="BM1445">
        <f>IF($A1445="","",IF(BI1445=1,F1445,""))</f>
        <v>0</v>
      </c>
      <c r="BN1445">
        <f>IF($A1445="","",DATE(YEAR($A1445),MONTH($A1445),1))</f>
        <v>0</v>
      </c>
      <c r="BO1445">
        <f>IF($A1445="","",IF($A1444="",1,IF(BN1445&lt;&gt;BN1444,1,0)))</f>
        <v>0</v>
      </c>
      <c r="BP1445">
        <f>IF($A1445="","",IF($A1446="",1,IF(BN1446&lt;&gt;BN1445,1,0)))</f>
        <v>0</v>
      </c>
      <c r="BQ1445">
        <f>IF($A1445="","",IF(BO1445=1,$B1445,BQ1444))</f>
        <v>0</v>
      </c>
      <c r="BR1445">
        <f>IF($A1445="","",IF(BO1445=1,$C1445,MAX($C1445,BR1444)))</f>
        <v>0</v>
      </c>
      <c r="BS1445">
        <f>IF($A1445="","",IF(BO1445=1,$D1445,MIN($D1445,BS1444)))</f>
        <v>0</v>
      </c>
      <c r="BT1445">
        <f>IF($A1445="","",IF(BP1445=1,F1445,""))</f>
        <v>0</v>
      </c>
    </row>
    <row r="1446" spans="1:72">
      <c r="A1446" s="27">
        <f>IF(Data!$A1446="","",Data!$A1446)</f>
        <v>0</v>
      </c>
      <c r="B1446">
        <f>IF(Data!$B1446="","",Data!$B1446)</f>
        <v>0</v>
      </c>
      <c r="C1446">
        <f>IF(Data!$C1446="","",Data!$C1446)</f>
        <v>0</v>
      </c>
      <c r="D1446">
        <f>IF(Data!$D1446="","",Data!$D1446)</f>
        <v>0</v>
      </c>
      <c r="E1446">
        <f>IF(Data!$E1446="","",Data!$E1446)</f>
        <v>0</v>
      </c>
      <c r="F1446">
        <f>IF($E1446="","",N(F1445)+1)</f>
        <v>0</v>
      </c>
      <c r="G1446">
        <f>IF(OR($E1446="",$E1445=""),"",LN($E1446/$E1445))</f>
        <v>0</v>
      </c>
      <c r="H1446">
        <f>IF($E1446="","",IF($E1445="",$E1446,$E1446*0.0952380952+H1445*0.9047619048))</f>
        <v>0</v>
      </c>
      <c r="I1446">
        <f>IF($E1446="","",IF($E1445="",$E1446,$E1446*0.0392156863+I1445*0.9607843137))</f>
        <v>0</v>
      </c>
      <c r="J1446">
        <f>IF($E1446="","",IF($E1445="",$E1446,$E1446*0.0198019802+J1445*0.9801980198))</f>
        <v>0</v>
      </c>
      <c r="K1446">
        <f>IF($E1446="","",IF($E1445="",$E1446,$E1446*0.0099502488+K1445*0.9900497512))</f>
        <v>0</v>
      </c>
      <c r="L1446">
        <f>IF(OR($E1446="",$E1445=""),"",MAX($E1446-$E1445,0))</f>
        <v>0</v>
      </c>
      <c r="M1446">
        <f>IF(OR($E1446="",$E1445=""),"",MAX($E1445-$E1446,0))</f>
        <v>0</v>
      </c>
      <c r="N1446">
        <f>IF(COUNT($E$2:$E1446)&lt;15,"",IF(AVERAGE($M$1433:$M$1446)=0,100,100-100/(1+AVERAGE($L$1433:$L$1446)/AVERAGE($M$1433:$M$1446))))</f>
        <v>0</v>
      </c>
      <c r="O1446">
        <f>IF($E1446="","",IF($E1445="",$E1446,$E1446*0.1538461538+O1445*0.8461538462))</f>
        <v>0</v>
      </c>
      <c r="P1446">
        <f>IF($E1446="","",IF($E1445="",$E1446,$E1446*0.0740740741+P1445*0.9259259259))</f>
        <v>0</v>
      </c>
      <c r="Q1446">
        <f>IF(OR(O1446="",P1446=""),"",O1446-P1446)</f>
        <v>0</v>
      </c>
      <c r="R1446">
        <f>IF(Q1446="","",IF(R1445="",Q1446,Q1446*0.2000000000+R1445*0.8000000000))</f>
        <v>0</v>
      </c>
      <c r="S1446">
        <f>IF(OR(Q1446="",R1446=""),"",Q1446-R1446)</f>
        <v>0</v>
      </c>
      <c r="T1446">
        <f>IF(COUNT($E$2:$E1446)&lt;14,"",MAX($C$1433:$C$1446))</f>
        <v>0</v>
      </c>
      <c r="U1446">
        <f>IF(COUNT($E$2:$E1446)&lt;14,"",MIN($D$1433:$D$1446))</f>
        <v>0</v>
      </c>
      <c r="V1446">
        <f>IF(OR(T1446="",U1446="",T1446=U1446),"",100*($E1446-U1446)/(T1446-U1446))</f>
        <v>0</v>
      </c>
      <c r="W1446">
        <f>IF(COUNT($V$1444:$V$1446)&lt;3,"",AVERAGE($V$1444:$V$1446))</f>
        <v>0</v>
      </c>
      <c r="X1446">
        <f>IF(COUNT($N$1433:$N$1446)&lt;14,"",MIN($N$1433:$N$1446))</f>
        <v>0</v>
      </c>
      <c r="Y1446">
        <f>IF(COUNT($N$1433:$N$1446)&lt;14,"",MAX($N$1433:$N$1446))</f>
        <v>0</v>
      </c>
      <c r="Z1446">
        <f>IF(OR(N1446="",X1446="",Y1446="",Y1446=X1446),"",100*(N1446-X1446)/(Y1446-X1446))</f>
        <v>0</v>
      </c>
      <c r="AA1446">
        <f>IF(COUNT($Z$1444:$Z$1446)&lt;3,"",AVERAGE($Z$1444:$Z$1446))</f>
        <v>0</v>
      </c>
      <c r="AB1446">
        <f>IF(COUNT($AA$1444:$AA$1446)&lt;3,"",AVERAGE($AA$1444:$AA$1446))</f>
        <v>0</v>
      </c>
      <c r="AC1446">
        <f>IF($E1446="","",MAX($C1446-$D1446,ABS($C1446-$E1445),ABS($D1446-$E1445)))</f>
        <v>0</v>
      </c>
      <c r="AD1446">
        <f>IF(COUNT($E$2:$E1446)&lt;15,"",AVERAGE($AC$1433:$AC$1446))</f>
        <v>0</v>
      </c>
      <c r="AE1446">
        <f>IF(OR($E1446="",$E1445=""),"",IF(AND(($C1446-$C1445)&gt;($D1445-$D1446),($C1446-$C1445)&gt;0),$C1446-$C1445,0))</f>
        <v>0</v>
      </c>
      <c r="AF1446">
        <f>IF(OR($E1446="",$E1445=""),"",IF(AND(($D1445-$D1446)&gt;($C1446-$C1445),($D1445-$D1446)&gt;0),$D1445-$D1446,0))</f>
        <v>0</v>
      </c>
      <c r="AG1446">
        <f>IF(COUNT($E$2:$E1446)&lt;15,"",IF(SUM($AC$1433:$AC$1446)=0,0,100*SUM($AE$1433:$AE$1446)/SUM($AC$1433:$AC$1446)))</f>
        <v>0</v>
      </c>
      <c r="AH1446">
        <f>IF(COUNT($E$2:$E1446)&lt;15,"",IF(SUM($AC$1433:$AC$1446)=0,0,100*SUM($AF$1433:$AF$1446)/SUM($AC$1433:$AC$1446)))</f>
        <v>0</v>
      </c>
      <c r="AI1446">
        <f>IF(OR(AG1446="",AH1446=""),"",IF((AG1446+AH1446)=0,0,100*ABS(AG1446-AH1446)/(AG1446+AH1446)))</f>
        <v>0</v>
      </c>
      <c r="AJ1446">
        <f>IF(COUNT($AI$1433:$AI$1446)&lt;14,"",AVERAGE($AI$1433:$AI$1446))</f>
        <v>0</v>
      </c>
      <c r="AK1446">
        <f>IF(COUNT($E$2:$E1446)&lt;20,"",AVERAGE($E$1427:$E$1446))</f>
        <v>0</v>
      </c>
      <c r="AL1446">
        <f>IF(COUNT($E$2:$E1446)&lt;20,"",STDEVP($E$1427:$E$1446))</f>
        <v>0</v>
      </c>
      <c r="AM1446">
        <f>IF(AK1446="","",AK1446+2*AL1446)</f>
        <v>0</v>
      </c>
      <c r="AN1446">
        <f>IF(AK1446="","",AK1446-2*AL1446)</f>
        <v>0</v>
      </c>
      <c r="AO1446">
        <f>IF(OR(AM1446="",AN1446="",AM1446=AN1446),"",($E1446-AN1446)/(AM1446-AN1446))</f>
        <v>0</v>
      </c>
      <c r="AP1446">
        <f>IF(OR(AM1446="",AK1446="",AK1446=0),"",(AM1446-AN1446)/AK1446)</f>
        <v>0</v>
      </c>
      <c r="AQ1446">
        <f>IF(COUNT($E$2:$E1446)&lt;20,"",MAX($C$1427:$C$1446))</f>
        <v>0</v>
      </c>
      <c r="AR1446">
        <f>IF(COUNT($E$2:$E1446)&lt;20,"",MIN($D$1427:$D$1446))</f>
        <v>0</v>
      </c>
      <c r="AS1446">
        <f>IF(OR(AQ1446="",AR1446=""),"",(AQ1446+AR1446)/2)</f>
        <v>0</v>
      </c>
      <c r="AT1446">
        <f>IF(COUNT($G$1427:$G$1446)&lt;20,"",STDEV($G$1427:$G$1446)*SQRT(252))</f>
        <v>0</v>
      </c>
      <c r="AU1446">
        <f>IF(COUNT($E$2:$E1446)&lt;9,"",(MAX($C$1438:$C$1446)+MIN($D$1438:$D$1446))/2)</f>
        <v>0</v>
      </c>
      <c r="AV1446">
        <f>IF(COUNT($E$2:$E1446)&lt;26,"",(MAX($C$1421:$C$1446)+MIN($D$1421:$D$1446))/2)</f>
        <v>0</v>
      </c>
      <c r="AW1446">
        <f>IF(OR(AU1446="",AV1446=""),"",(AU1446+AV1446)/2)</f>
        <v>0</v>
      </c>
      <c r="AX1446">
        <f>IF(COUNT($E$2:$E1446)&lt;52,"",(MAX($C$1395:$C$1446)+MIN($D$1395:$D$1446))/2)</f>
        <v>0</v>
      </c>
      <c r="AY1446">
        <f>IF(COUNT($E$2:$E1446)&lt;20,"",MAX($C$1347:$C$1446))</f>
        <v>0</v>
      </c>
      <c r="AZ1446">
        <f>IF(COUNT($E$2:$E1446)&lt;20,"",MIN($D$1347:$D$1446))</f>
        <v>0</v>
      </c>
      <c r="BA1446">
        <f>IF(COUNT($E$2:$E1446)&lt;20,"",SLOPE($E$1347:$E$1446,$F$1347:$F$1446))</f>
        <v>0</v>
      </c>
      <c r="BB1446">
        <f>IF(COUNT($E$2:$E1446)&lt;20,"",INTERCEPT($E$1347:$E$1446,$F$1347:$F$1446))</f>
        <v>0</v>
      </c>
      <c r="BC1446">
        <f>IF(OR(BA1446="",BB1446=""),"",BB1446+BA1446*F1446)</f>
        <v>0</v>
      </c>
      <c r="BD1446">
        <f>IF(COUNT($E$2:$E1446)&lt;20,"",STEYX($E$1347:$E$1446,$F$1347:$F$1446))</f>
        <v>0</v>
      </c>
      <c r="BE1446">
        <f>IF($E1446="","",IF(AND(COUNT($E$1447:$E$1450)&gt;=4,$C1446=MAX($C$1442:$C$1450)),$C1446,""))</f>
        <v>0</v>
      </c>
      <c r="BF1446">
        <f>IF($E1446="","",IF(AND(COUNT($E$1447:$E$1450)&gt;=4,$D1446=MIN($D$1442:$D$1450)),$D1446,""))</f>
        <v>0</v>
      </c>
      <c r="BG1446">
        <f>IF($A1446="","",$A1446-WEEKDAY($A1446,2)+1)</f>
        <v>0</v>
      </c>
      <c r="BH1446">
        <f>IF($A1446="","",IF($A1445="",1,IF(BG1446&lt;&gt;BG1445,1,0)))</f>
        <v>0</v>
      </c>
      <c r="BI1446">
        <f>IF($A1446="","",IF($A1447="",1,IF(BG1447&lt;&gt;BG1446,1,0)))</f>
        <v>0</v>
      </c>
      <c r="BJ1446">
        <f>IF($A1446="","",IF(BH1446=1,$B1446,BJ1445))</f>
        <v>0</v>
      </c>
      <c r="BK1446">
        <f>IF($A1446="","",IF(BH1446=1,$C1446,MAX($C1446,BK1445)))</f>
        <v>0</v>
      </c>
      <c r="BL1446">
        <f>IF($A1446="","",IF(BH1446=1,$D1446,MIN($D1446,BL1445)))</f>
        <v>0</v>
      </c>
      <c r="BM1446">
        <f>IF($A1446="","",IF(BI1446=1,F1446,""))</f>
        <v>0</v>
      </c>
      <c r="BN1446">
        <f>IF($A1446="","",DATE(YEAR($A1446),MONTH($A1446),1))</f>
        <v>0</v>
      </c>
      <c r="BO1446">
        <f>IF($A1446="","",IF($A1445="",1,IF(BN1446&lt;&gt;BN1445,1,0)))</f>
        <v>0</v>
      </c>
      <c r="BP1446">
        <f>IF($A1446="","",IF($A1447="",1,IF(BN1447&lt;&gt;BN1446,1,0)))</f>
        <v>0</v>
      </c>
      <c r="BQ1446">
        <f>IF($A1446="","",IF(BO1446=1,$B1446,BQ1445))</f>
        <v>0</v>
      </c>
      <c r="BR1446">
        <f>IF($A1446="","",IF(BO1446=1,$C1446,MAX($C1446,BR1445)))</f>
        <v>0</v>
      </c>
      <c r="BS1446">
        <f>IF($A1446="","",IF(BO1446=1,$D1446,MIN($D1446,BS1445)))</f>
        <v>0</v>
      </c>
      <c r="BT1446">
        <f>IF($A1446="","",IF(BP1446=1,F1446,""))</f>
        <v>0</v>
      </c>
    </row>
    <row r="1447" spans="1:72">
      <c r="A1447" s="27">
        <f>IF(Data!$A1447="","",Data!$A1447)</f>
        <v>0</v>
      </c>
      <c r="B1447">
        <f>IF(Data!$B1447="","",Data!$B1447)</f>
        <v>0</v>
      </c>
      <c r="C1447">
        <f>IF(Data!$C1447="","",Data!$C1447)</f>
        <v>0</v>
      </c>
      <c r="D1447">
        <f>IF(Data!$D1447="","",Data!$D1447)</f>
        <v>0</v>
      </c>
      <c r="E1447">
        <f>IF(Data!$E1447="","",Data!$E1447)</f>
        <v>0</v>
      </c>
      <c r="F1447">
        <f>IF($E1447="","",N(F1446)+1)</f>
        <v>0</v>
      </c>
      <c r="G1447">
        <f>IF(OR($E1447="",$E1446=""),"",LN($E1447/$E1446))</f>
        <v>0</v>
      </c>
      <c r="H1447">
        <f>IF($E1447="","",IF($E1446="",$E1447,$E1447*0.0952380952+H1446*0.9047619048))</f>
        <v>0</v>
      </c>
      <c r="I1447">
        <f>IF($E1447="","",IF($E1446="",$E1447,$E1447*0.0392156863+I1446*0.9607843137))</f>
        <v>0</v>
      </c>
      <c r="J1447">
        <f>IF($E1447="","",IF($E1446="",$E1447,$E1447*0.0198019802+J1446*0.9801980198))</f>
        <v>0</v>
      </c>
      <c r="K1447">
        <f>IF($E1447="","",IF($E1446="",$E1447,$E1447*0.0099502488+K1446*0.9900497512))</f>
        <v>0</v>
      </c>
      <c r="L1447">
        <f>IF(OR($E1447="",$E1446=""),"",MAX($E1447-$E1446,0))</f>
        <v>0</v>
      </c>
      <c r="M1447">
        <f>IF(OR($E1447="",$E1446=""),"",MAX($E1446-$E1447,0))</f>
        <v>0</v>
      </c>
      <c r="N1447">
        <f>IF(COUNT($E$2:$E1447)&lt;15,"",IF(AVERAGE($M$1434:$M$1447)=0,100,100-100/(1+AVERAGE($L$1434:$L$1447)/AVERAGE($M$1434:$M$1447))))</f>
        <v>0</v>
      </c>
      <c r="O1447">
        <f>IF($E1447="","",IF($E1446="",$E1447,$E1447*0.1538461538+O1446*0.8461538462))</f>
        <v>0</v>
      </c>
      <c r="P1447">
        <f>IF($E1447="","",IF($E1446="",$E1447,$E1447*0.0740740741+P1446*0.9259259259))</f>
        <v>0</v>
      </c>
      <c r="Q1447">
        <f>IF(OR(O1447="",P1447=""),"",O1447-P1447)</f>
        <v>0</v>
      </c>
      <c r="R1447">
        <f>IF(Q1447="","",IF(R1446="",Q1447,Q1447*0.2000000000+R1446*0.8000000000))</f>
        <v>0</v>
      </c>
      <c r="S1447">
        <f>IF(OR(Q1447="",R1447=""),"",Q1447-R1447)</f>
        <v>0</v>
      </c>
      <c r="T1447">
        <f>IF(COUNT($E$2:$E1447)&lt;14,"",MAX($C$1434:$C$1447))</f>
        <v>0</v>
      </c>
      <c r="U1447">
        <f>IF(COUNT($E$2:$E1447)&lt;14,"",MIN($D$1434:$D$1447))</f>
        <v>0</v>
      </c>
      <c r="V1447">
        <f>IF(OR(T1447="",U1447="",T1447=U1447),"",100*($E1447-U1447)/(T1447-U1447))</f>
        <v>0</v>
      </c>
      <c r="W1447">
        <f>IF(COUNT($V$1445:$V$1447)&lt;3,"",AVERAGE($V$1445:$V$1447))</f>
        <v>0</v>
      </c>
      <c r="X1447">
        <f>IF(COUNT($N$1434:$N$1447)&lt;14,"",MIN($N$1434:$N$1447))</f>
        <v>0</v>
      </c>
      <c r="Y1447">
        <f>IF(COUNT($N$1434:$N$1447)&lt;14,"",MAX($N$1434:$N$1447))</f>
        <v>0</v>
      </c>
      <c r="Z1447">
        <f>IF(OR(N1447="",X1447="",Y1447="",Y1447=X1447),"",100*(N1447-X1447)/(Y1447-X1447))</f>
        <v>0</v>
      </c>
      <c r="AA1447">
        <f>IF(COUNT($Z$1445:$Z$1447)&lt;3,"",AVERAGE($Z$1445:$Z$1447))</f>
        <v>0</v>
      </c>
      <c r="AB1447">
        <f>IF(COUNT($AA$1445:$AA$1447)&lt;3,"",AVERAGE($AA$1445:$AA$1447))</f>
        <v>0</v>
      </c>
      <c r="AC1447">
        <f>IF($E1447="","",MAX($C1447-$D1447,ABS($C1447-$E1446),ABS($D1447-$E1446)))</f>
        <v>0</v>
      </c>
      <c r="AD1447">
        <f>IF(COUNT($E$2:$E1447)&lt;15,"",AVERAGE($AC$1434:$AC$1447))</f>
        <v>0</v>
      </c>
      <c r="AE1447">
        <f>IF(OR($E1447="",$E1446=""),"",IF(AND(($C1447-$C1446)&gt;($D1446-$D1447),($C1447-$C1446)&gt;0),$C1447-$C1446,0))</f>
        <v>0</v>
      </c>
      <c r="AF1447">
        <f>IF(OR($E1447="",$E1446=""),"",IF(AND(($D1446-$D1447)&gt;($C1447-$C1446),($D1446-$D1447)&gt;0),$D1446-$D1447,0))</f>
        <v>0</v>
      </c>
      <c r="AG1447">
        <f>IF(COUNT($E$2:$E1447)&lt;15,"",IF(SUM($AC$1434:$AC$1447)=0,0,100*SUM($AE$1434:$AE$1447)/SUM($AC$1434:$AC$1447)))</f>
        <v>0</v>
      </c>
      <c r="AH1447">
        <f>IF(COUNT($E$2:$E1447)&lt;15,"",IF(SUM($AC$1434:$AC$1447)=0,0,100*SUM($AF$1434:$AF$1447)/SUM($AC$1434:$AC$1447)))</f>
        <v>0</v>
      </c>
      <c r="AI1447">
        <f>IF(OR(AG1447="",AH1447=""),"",IF((AG1447+AH1447)=0,0,100*ABS(AG1447-AH1447)/(AG1447+AH1447)))</f>
        <v>0</v>
      </c>
      <c r="AJ1447">
        <f>IF(COUNT($AI$1434:$AI$1447)&lt;14,"",AVERAGE($AI$1434:$AI$1447))</f>
        <v>0</v>
      </c>
      <c r="AK1447">
        <f>IF(COUNT($E$2:$E1447)&lt;20,"",AVERAGE($E$1428:$E$1447))</f>
        <v>0</v>
      </c>
      <c r="AL1447">
        <f>IF(COUNT($E$2:$E1447)&lt;20,"",STDEVP($E$1428:$E$1447))</f>
        <v>0</v>
      </c>
      <c r="AM1447">
        <f>IF(AK1447="","",AK1447+2*AL1447)</f>
        <v>0</v>
      </c>
      <c r="AN1447">
        <f>IF(AK1447="","",AK1447-2*AL1447)</f>
        <v>0</v>
      </c>
      <c r="AO1447">
        <f>IF(OR(AM1447="",AN1447="",AM1447=AN1447),"",($E1447-AN1447)/(AM1447-AN1447))</f>
        <v>0</v>
      </c>
      <c r="AP1447">
        <f>IF(OR(AM1447="",AK1447="",AK1447=0),"",(AM1447-AN1447)/AK1447)</f>
        <v>0</v>
      </c>
      <c r="AQ1447">
        <f>IF(COUNT($E$2:$E1447)&lt;20,"",MAX($C$1428:$C$1447))</f>
        <v>0</v>
      </c>
      <c r="AR1447">
        <f>IF(COUNT($E$2:$E1447)&lt;20,"",MIN($D$1428:$D$1447))</f>
        <v>0</v>
      </c>
      <c r="AS1447">
        <f>IF(OR(AQ1447="",AR1447=""),"",(AQ1447+AR1447)/2)</f>
        <v>0</v>
      </c>
      <c r="AT1447">
        <f>IF(COUNT($G$1428:$G$1447)&lt;20,"",STDEV($G$1428:$G$1447)*SQRT(252))</f>
        <v>0</v>
      </c>
      <c r="AU1447">
        <f>IF(COUNT($E$2:$E1447)&lt;9,"",(MAX($C$1439:$C$1447)+MIN($D$1439:$D$1447))/2)</f>
        <v>0</v>
      </c>
      <c r="AV1447">
        <f>IF(COUNT($E$2:$E1447)&lt;26,"",(MAX($C$1422:$C$1447)+MIN($D$1422:$D$1447))/2)</f>
        <v>0</v>
      </c>
      <c r="AW1447">
        <f>IF(OR(AU1447="",AV1447=""),"",(AU1447+AV1447)/2)</f>
        <v>0</v>
      </c>
      <c r="AX1447">
        <f>IF(COUNT($E$2:$E1447)&lt;52,"",(MAX($C$1396:$C$1447)+MIN($D$1396:$D$1447))/2)</f>
        <v>0</v>
      </c>
      <c r="AY1447">
        <f>IF(COUNT($E$2:$E1447)&lt;20,"",MAX($C$1348:$C$1447))</f>
        <v>0</v>
      </c>
      <c r="AZ1447">
        <f>IF(COUNT($E$2:$E1447)&lt;20,"",MIN($D$1348:$D$1447))</f>
        <v>0</v>
      </c>
      <c r="BA1447">
        <f>IF(COUNT($E$2:$E1447)&lt;20,"",SLOPE($E$1348:$E$1447,$F$1348:$F$1447))</f>
        <v>0</v>
      </c>
      <c r="BB1447">
        <f>IF(COUNT($E$2:$E1447)&lt;20,"",INTERCEPT($E$1348:$E$1447,$F$1348:$F$1447))</f>
        <v>0</v>
      </c>
      <c r="BC1447">
        <f>IF(OR(BA1447="",BB1447=""),"",BB1447+BA1447*F1447)</f>
        <v>0</v>
      </c>
      <c r="BD1447">
        <f>IF(COUNT($E$2:$E1447)&lt;20,"",STEYX($E$1348:$E$1447,$F$1348:$F$1447))</f>
        <v>0</v>
      </c>
      <c r="BE1447">
        <f>IF($E1447="","",IF(AND(COUNT($E$1448:$E$1451)&gt;=4,$C1447=MAX($C$1443:$C$1451)),$C1447,""))</f>
        <v>0</v>
      </c>
      <c r="BF1447">
        <f>IF($E1447="","",IF(AND(COUNT($E$1448:$E$1451)&gt;=4,$D1447=MIN($D$1443:$D$1451)),$D1447,""))</f>
        <v>0</v>
      </c>
      <c r="BG1447">
        <f>IF($A1447="","",$A1447-WEEKDAY($A1447,2)+1)</f>
        <v>0</v>
      </c>
      <c r="BH1447">
        <f>IF($A1447="","",IF($A1446="",1,IF(BG1447&lt;&gt;BG1446,1,0)))</f>
        <v>0</v>
      </c>
      <c r="BI1447">
        <f>IF($A1447="","",IF($A1448="",1,IF(BG1448&lt;&gt;BG1447,1,0)))</f>
        <v>0</v>
      </c>
      <c r="BJ1447">
        <f>IF($A1447="","",IF(BH1447=1,$B1447,BJ1446))</f>
        <v>0</v>
      </c>
      <c r="BK1447">
        <f>IF($A1447="","",IF(BH1447=1,$C1447,MAX($C1447,BK1446)))</f>
        <v>0</v>
      </c>
      <c r="BL1447">
        <f>IF($A1447="","",IF(BH1447=1,$D1447,MIN($D1447,BL1446)))</f>
        <v>0</v>
      </c>
      <c r="BM1447">
        <f>IF($A1447="","",IF(BI1447=1,F1447,""))</f>
        <v>0</v>
      </c>
      <c r="BN1447">
        <f>IF($A1447="","",DATE(YEAR($A1447),MONTH($A1447),1))</f>
        <v>0</v>
      </c>
      <c r="BO1447">
        <f>IF($A1447="","",IF($A1446="",1,IF(BN1447&lt;&gt;BN1446,1,0)))</f>
        <v>0</v>
      </c>
      <c r="BP1447">
        <f>IF($A1447="","",IF($A1448="",1,IF(BN1448&lt;&gt;BN1447,1,0)))</f>
        <v>0</v>
      </c>
      <c r="BQ1447">
        <f>IF($A1447="","",IF(BO1447=1,$B1447,BQ1446))</f>
        <v>0</v>
      </c>
      <c r="BR1447">
        <f>IF($A1447="","",IF(BO1447=1,$C1447,MAX($C1447,BR1446)))</f>
        <v>0</v>
      </c>
      <c r="BS1447">
        <f>IF($A1447="","",IF(BO1447=1,$D1447,MIN($D1447,BS1446)))</f>
        <v>0</v>
      </c>
      <c r="BT1447">
        <f>IF($A1447="","",IF(BP1447=1,F1447,""))</f>
        <v>0</v>
      </c>
    </row>
    <row r="1448" spans="1:72">
      <c r="A1448" s="27">
        <f>IF(Data!$A1448="","",Data!$A1448)</f>
        <v>0</v>
      </c>
      <c r="B1448">
        <f>IF(Data!$B1448="","",Data!$B1448)</f>
        <v>0</v>
      </c>
      <c r="C1448">
        <f>IF(Data!$C1448="","",Data!$C1448)</f>
        <v>0</v>
      </c>
      <c r="D1448">
        <f>IF(Data!$D1448="","",Data!$D1448)</f>
        <v>0</v>
      </c>
      <c r="E1448">
        <f>IF(Data!$E1448="","",Data!$E1448)</f>
        <v>0</v>
      </c>
      <c r="F1448">
        <f>IF($E1448="","",N(F1447)+1)</f>
        <v>0</v>
      </c>
      <c r="G1448">
        <f>IF(OR($E1448="",$E1447=""),"",LN($E1448/$E1447))</f>
        <v>0</v>
      </c>
      <c r="H1448">
        <f>IF($E1448="","",IF($E1447="",$E1448,$E1448*0.0952380952+H1447*0.9047619048))</f>
        <v>0</v>
      </c>
      <c r="I1448">
        <f>IF($E1448="","",IF($E1447="",$E1448,$E1448*0.0392156863+I1447*0.9607843137))</f>
        <v>0</v>
      </c>
      <c r="J1448">
        <f>IF($E1448="","",IF($E1447="",$E1448,$E1448*0.0198019802+J1447*0.9801980198))</f>
        <v>0</v>
      </c>
      <c r="K1448">
        <f>IF($E1448="","",IF($E1447="",$E1448,$E1448*0.0099502488+K1447*0.9900497512))</f>
        <v>0</v>
      </c>
      <c r="L1448">
        <f>IF(OR($E1448="",$E1447=""),"",MAX($E1448-$E1447,0))</f>
        <v>0</v>
      </c>
      <c r="M1448">
        <f>IF(OR($E1448="",$E1447=""),"",MAX($E1447-$E1448,0))</f>
        <v>0</v>
      </c>
      <c r="N1448">
        <f>IF(COUNT($E$2:$E1448)&lt;15,"",IF(AVERAGE($M$1435:$M$1448)=0,100,100-100/(1+AVERAGE($L$1435:$L$1448)/AVERAGE($M$1435:$M$1448))))</f>
        <v>0</v>
      </c>
      <c r="O1448">
        <f>IF($E1448="","",IF($E1447="",$E1448,$E1448*0.1538461538+O1447*0.8461538462))</f>
        <v>0</v>
      </c>
      <c r="P1448">
        <f>IF($E1448="","",IF($E1447="",$E1448,$E1448*0.0740740741+P1447*0.9259259259))</f>
        <v>0</v>
      </c>
      <c r="Q1448">
        <f>IF(OR(O1448="",P1448=""),"",O1448-P1448)</f>
        <v>0</v>
      </c>
      <c r="R1448">
        <f>IF(Q1448="","",IF(R1447="",Q1448,Q1448*0.2000000000+R1447*0.8000000000))</f>
        <v>0</v>
      </c>
      <c r="S1448">
        <f>IF(OR(Q1448="",R1448=""),"",Q1448-R1448)</f>
        <v>0</v>
      </c>
      <c r="T1448">
        <f>IF(COUNT($E$2:$E1448)&lt;14,"",MAX($C$1435:$C$1448))</f>
        <v>0</v>
      </c>
      <c r="U1448">
        <f>IF(COUNT($E$2:$E1448)&lt;14,"",MIN($D$1435:$D$1448))</f>
        <v>0</v>
      </c>
      <c r="V1448">
        <f>IF(OR(T1448="",U1448="",T1448=U1448),"",100*($E1448-U1448)/(T1448-U1448))</f>
        <v>0</v>
      </c>
      <c r="W1448">
        <f>IF(COUNT($V$1446:$V$1448)&lt;3,"",AVERAGE($V$1446:$V$1448))</f>
        <v>0</v>
      </c>
      <c r="X1448">
        <f>IF(COUNT($N$1435:$N$1448)&lt;14,"",MIN($N$1435:$N$1448))</f>
        <v>0</v>
      </c>
      <c r="Y1448">
        <f>IF(COUNT($N$1435:$N$1448)&lt;14,"",MAX($N$1435:$N$1448))</f>
        <v>0</v>
      </c>
      <c r="Z1448">
        <f>IF(OR(N1448="",X1448="",Y1448="",Y1448=X1448),"",100*(N1448-X1448)/(Y1448-X1448))</f>
        <v>0</v>
      </c>
      <c r="AA1448">
        <f>IF(COUNT($Z$1446:$Z$1448)&lt;3,"",AVERAGE($Z$1446:$Z$1448))</f>
        <v>0</v>
      </c>
      <c r="AB1448">
        <f>IF(COUNT($AA$1446:$AA$1448)&lt;3,"",AVERAGE($AA$1446:$AA$1448))</f>
        <v>0</v>
      </c>
      <c r="AC1448">
        <f>IF($E1448="","",MAX($C1448-$D1448,ABS($C1448-$E1447),ABS($D1448-$E1447)))</f>
        <v>0</v>
      </c>
      <c r="AD1448">
        <f>IF(COUNT($E$2:$E1448)&lt;15,"",AVERAGE($AC$1435:$AC$1448))</f>
        <v>0</v>
      </c>
      <c r="AE1448">
        <f>IF(OR($E1448="",$E1447=""),"",IF(AND(($C1448-$C1447)&gt;($D1447-$D1448),($C1448-$C1447)&gt;0),$C1448-$C1447,0))</f>
        <v>0</v>
      </c>
      <c r="AF1448">
        <f>IF(OR($E1448="",$E1447=""),"",IF(AND(($D1447-$D1448)&gt;($C1448-$C1447),($D1447-$D1448)&gt;0),$D1447-$D1448,0))</f>
        <v>0</v>
      </c>
      <c r="AG1448">
        <f>IF(COUNT($E$2:$E1448)&lt;15,"",IF(SUM($AC$1435:$AC$1448)=0,0,100*SUM($AE$1435:$AE$1448)/SUM($AC$1435:$AC$1448)))</f>
        <v>0</v>
      </c>
      <c r="AH1448">
        <f>IF(COUNT($E$2:$E1448)&lt;15,"",IF(SUM($AC$1435:$AC$1448)=0,0,100*SUM($AF$1435:$AF$1448)/SUM($AC$1435:$AC$1448)))</f>
        <v>0</v>
      </c>
      <c r="AI1448">
        <f>IF(OR(AG1448="",AH1448=""),"",IF((AG1448+AH1448)=0,0,100*ABS(AG1448-AH1448)/(AG1448+AH1448)))</f>
        <v>0</v>
      </c>
      <c r="AJ1448">
        <f>IF(COUNT($AI$1435:$AI$1448)&lt;14,"",AVERAGE($AI$1435:$AI$1448))</f>
        <v>0</v>
      </c>
      <c r="AK1448">
        <f>IF(COUNT($E$2:$E1448)&lt;20,"",AVERAGE($E$1429:$E$1448))</f>
        <v>0</v>
      </c>
      <c r="AL1448">
        <f>IF(COUNT($E$2:$E1448)&lt;20,"",STDEVP($E$1429:$E$1448))</f>
        <v>0</v>
      </c>
      <c r="AM1448">
        <f>IF(AK1448="","",AK1448+2*AL1448)</f>
        <v>0</v>
      </c>
      <c r="AN1448">
        <f>IF(AK1448="","",AK1448-2*AL1448)</f>
        <v>0</v>
      </c>
      <c r="AO1448">
        <f>IF(OR(AM1448="",AN1448="",AM1448=AN1448),"",($E1448-AN1448)/(AM1448-AN1448))</f>
        <v>0</v>
      </c>
      <c r="AP1448">
        <f>IF(OR(AM1448="",AK1448="",AK1448=0),"",(AM1448-AN1448)/AK1448)</f>
        <v>0</v>
      </c>
      <c r="AQ1448">
        <f>IF(COUNT($E$2:$E1448)&lt;20,"",MAX($C$1429:$C$1448))</f>
        <v>0</v>
      </c>
      <c r="AR1448">
        <f>IF(COUNT($E$2:$E1448)&lt;20,"",MIN($D$1429:$D$1448))</f>
        <v>0</v>
      </c>
      <c r="AS1448">
        <f>IF(OR(AQ1448="",AR1448=""),"",(AQ1448+AR1448)/2)</f>
        <v>0</v>
      </c>
      <c r="AT1448">
        <f>IF(COUNT($G$1429:$G$1448)&lt;20,"",STDEV($G$1429:$G$1448)*SQRT(252))</f>
        <v>0</v>
      </c>
      <c r="AU1448">
        <f>IF(COUNT($E$2:$E1448)&lt;9,"",(MAX($C$1440:$C$1448)+MIN($D$1440:$D$1448))/2)</f>
        <v>0</v>
      </c>
      <c r="AV1448">
        <f>IF(COUNT($E$2:$E1448)&lt;26,"",(MAX($C$1423:$C$1448)+MIN($D$1423:$D$1448))/2)</f>
        <v>0</v>
      </c>
      <c r="AW1448">
        <f>IF(OR(AU1448="",AV1448=""),"",(AU1448+AV1448)/2)</f>
        <v>0</v>
      </c>
      <c r="AX1448">
        <f>IF(COUNT($E$2:$E1448)&lt;52,"",(MAX($C$1397:$C$1448)+MIN($D$1397:$D$1448))/2)</f>
        <v>0</v>
      </c>
      <c r="AY1448">
        <f>IF(COUNT($E$2:$E1448)&lt;20,"",MAX($C$1349:$C$1448))</f>
        <v>0</v>
      </c>
      <c r="AZ1448">
        <f>IF(COUNT($E$2:$E1448)&lt;20,"",MIN($D$1349:$D$1448))</f>
        <v>0</v>
      </c>
      <c r="BA1448">
        <f>IF(COUNT($E$2:$E1448)&lt;20,"",SLOPE($E$1349:$E$1448,$F$1349:$F$1448))</f>
        <v>0</v>
      </c>
      <c r="BB1448">
        <f>IF(COUNT($E$2:$E1448)&lt;20,"",INTERCEPT($E$1349:$E$1448,$F$1349:$F$1448))</f>
        <v>0</v>
      </c>
      <c r="BC1448">
        <f>IF(OR(BA1448="",BB1448=""),"",BB1448+BA1448*F1448)</f>
        <v>0</v>
      </c>
      <c r="BD1448">
        <f>IF(COUNT($E$2:$E1448)&lt;20,"",STEYX($E$1349:$E$1448,$F$1349:$F$1448))</f>
        <v>0</v>
      </c>
      <c r="BE1448">
        <f>IF($E1448="","",IF(AND(COUNT($E$1449:$E$1452)&gt;=4,$C1448=MAX($C$1444:$C$1452)),$C1448,""))</f>
        <v>0</v>
      </c>
      <c r="BF1448">
        <f>IF($E1448="","",IF(AND(COUNT($E$1449:$E$1452)&gt;=4,$D1448=MIN($D$1444:$D$1452)),$D1448,""))</f>
        <v>0</v>
      </c>
      <c r="BG1448">
        <f>IF($A1448="","",$A1448-WEEKDAY($A1448,2)+1)</f>
        <v>0</v>
      </c>
      <c r="BH1448">
        <f>IF($A1448="","",IF($A1447="",1,IF(BG1448&lt;&gt;BG1447,1,0)))</f>
        <v>0</v>
      </c>
      <c r="BI1448">
        <f>IF($A1448="","",IF($A1449="",1,IF(BG1449&lt;&gt;BG1448,1,0)))</f>
        <v>0</v>
      </c>
      <c r="BJ1448">
        <f>IF($A1448="","",IF(BH1448=1,$B1448,BJ1447))</f>
        <v>0</v>
      </c>
      <c r="BK1448">
        <f>IF($A1448="","",IF(BH1448=1,$C1448,MAX($C1448,BK1447)))</f>
        <v>0</v>
      </c>
      <c r="BL1448">
        <f>IF($A1448="","",IF(BH1448=1,$D1448,MIN($D1448,BL1447)))</f>
        <v>0</v>
      </c>
      <c r="BM1448">
        <f>IF($A1448="","",IF(BI1448=1,F1448,""))</f>
        <v>0</v>
      </c>
      <c r="BN1448">
        <f>IF($A1448="","",DATE(YEAR($A1448),MONTH($A1448),1))</f>
        <v>0</v>
      </c>
      <c r="BO1448">
        <f>IF($A1448="","",IF($A1447="",1,IF(BN1448&lt;&gt;BN1447,1,0)))</f>
        <v>0</v>
      </c>
      <c r="BP1448">
        <f>IF($A1448="","",IF($A1449="",1,IF(BN1449&lt;&gt;BN1448,1,0)))</f>
        <v>0</v>
      </c>
      <c r="BQ1448">
        <f>IF($A1448="","",IF(BO1448=1,$B1448,BQ1447))</f>
        <v>0</v>
      </c>
      <c r="BR1448">
        <f>IF($A1448="","",IF(BO1448=1,$C1448,MAX($C1448,BR1447)))</f>
        <v>0</v>
      </c>
      <c r="BS1448">
        <f>IF($A1448="","",IF(BO1448=1,$D1448,MIN($D1448,BS1447)))</f>
        <v>0</v>
      </c>
      <c r="BT1448">
        <f>IF($A1448="","",IF(BP1448=1,F1448,""))</f>
        <v>0</v>
      </c>
    </row>
    <row r="1449" spans="1:72">
      <c r="A1449" s="27">
        <f>IF(Data!$A1449="","",Data!$A1449)</f>
        <v>0</v>
      </c>
      <c r="B1449">
        <f>IF(Data!$B1449="","",Data!$B1449)</f>
        <v>0</v>
      </c>
      <c r="C1449">
        <f>IF(Data!$C1449="","",Data!$C1449)</f>
        <v>0</v>
      </c>
      <c r="D1449">
        <f>IF(Data!$D1449="","",Data!$D1449)</f>
        <v>0</v>
      </c>
      <c r="E1449">
        <f>IF(Data!$E1449="","",Data!$E1449)</f>
        <v>0</v>
      </c>
      <c r="F1449">
        <f>IF($E1449="","",N(F1448)+1)</f>
        <v>0</v>
      </c>
      <c r="G1449">
        <f>IF(OR($E1449="",$E1448=""),"",LN($E1449/$E1448))</f>
        <v>0</v>
      </c>
      <c r="H1449">
        <f>IF($E1449="","",IF($E1448="",$E1449,$E1449*0.0952380952+H1448*0.9047619048))</f>
        <v>0</v>
      </c>
      <c r="I1449">
        <f>IF($E1449="","",IF($E1448="",$E1449,$E1449*0.0392156863+I1448*0.9607843137))</f>
        <v>0</v>
      </c>
      <c r="J1449">
        <f>IF($E1449="","",IF($E1448="",$E1449,$E1449*0.0198019802+J1448*0.9801980198))</f>
        <v>0</v>
      </c>
      <c r="K1449">
        <f>IF($E1449="","",IF($E1448="",$E1449,$E1449*0.0099502488+K1448*0.9900497512))</f>
        <v>0</v>
      </c>
      <c r="L1449">
        <f>IF(OR($E1449="",$E1448=""),"",MAX($E1449-$E1448,0))</f>
        <v>0</v>
      </c>
      <c r="M1449">
        <f>IF(OR($E1449="",$E1448=""),"",MAX($E1448-$E1449,0))</f>
        <v>0</v>
      </c>
      <c r="N1449">
        <f>IF(COUNT($E$2:$E1449)&lt;15,"",IF(AVERAGE($M$1436:$M$1449)=0,100,100-100/(1+AVERAGE($L$1436:$L$1449)/AVERAGE($M$1436:$M$1449))))</f>
        <v>0</v>
      </c>
      <c r="O1449">
        <f>IF($E1449="","",IF($E1448="",$E1449,$E1449*0.1538461538+O1448*0.8461538462))</f>
        <v>0</v>
      </c>
      <c r="P1449">
        <f>IF($E1449="","",IF($E1448="",$E1449,$E1449*0.0740740741+P1448*0.9259259259))</f>
        <v>0</v>
      </c>
      <c r="Q1449">
        <f>IF(OR(O1449="",P1449=""),"",O1449-P1449)</f>
        <v>0</v>
      </c>
      <c r="R1449">
        <f>IF(Q1449="","",IF(R1448="",Q1449,Q1449*0.2000000000+R1448*0.8000000000))</f>
        <v>0</v>
      </c>
      <c r="S1449">
        <f>IF(OR(Q1449="",R1449=""),"",Q1449-R1449)</f>
        <v>0</v>
      </c>
      <c r="T1449">
        <f>IF(COUNT($E$2:$E1449)&lt;14,"",MAX($C$1436:$C$1449))</f>
        <v>0</v>
      </c>
      <c r="U1449">
        <f>IF(COUNT($E$2:$E1449)&lt;14,"",MIN($D$1436:$D$1449))</f>
        <v>0</v>
      </c>
      <c r="V1449">
        <f>IF(OR(T1449="",U1449="",T1449=U1449),"",100*($E1449-U1449)/(T1449-U1449))</f>
        <v>0</v>
      </c>
      <c r="W1449">
        <f>IF(COUNT($V$1447:$V$1449)&lt;3,"",AVERAGE($V$1447:$V$1449))</f>
        <v>0</v>
      </c>
      <c r="X1449">
        <f>IF(COUNT($N$1436:$N$1449)&lt;14,"",MIN($N$1436:$N$1449))</f>
        <v>0</v>
      </c>
      <c r="Y1449">
        <f>IF(COUNT($N$1436:$N$1449)&lt;14,"",MAX($N$1436:$N$1449))</f>
        <v>0</v>
      </c>
      <c r="Z1449">
        <f>IF(OR(N1449="",X1449="",Y1449="",Y1449=X1449),"",100*(N1449-X1449)/(Y1449-X1449))</f>
        <v>0</v>
      </c>
      <c r="AA1449">
        <f>IF(COUNT($Z$1447:$Z$1449)&lt;3,"",AVERAGE($Z$1447:$Z$1449))</f>
        <v>0</v>
      </c>
      <c r="AB1449">
        <f>IF(COUNT($AA$1447:$AA$1449)&lt;3,"",AVERAGE($AA$1447:$AA$1449))</f>
        <v>0</v>
      </c>
      <c r="AC1449">
        <f>IF($E1449="","",MAX($C1449-$D1449,ABS($C1449-$E1448),ABS($D1449-$E1448)))</f>
        <v>0</v>
      </c>
      <c r="AD1449">
        <f>IF(COUNT($E$2:$E1449)&lt;15,"",AVERAGE($AC$1436:$AC$1449))</f>
        <v>0</v>
      </c>
      <c r="AE1449">
        <f>IF(OR($E1449="",$E1448=""),"",IF(AND(($C1449-$C1448)&gt;($D1448-$D1449),($C1449-$C1448)&gt;0),$C1449-$C1448,0))</f>
        <v>0</v>
      </c>
      <c r="AF1449">
        <f>IF(OR($E1449="",$E1448=""),"",IF(AND(($D1448-$D1449)&gt;($C1449-$C1448),($D1448-$D1449)&gt;0),$D1448-$D1449,0))</f>
        <v>0</v>
      </c>
      <c r="AG1449">
        <f>IF(COUNT($E$2:$E1449)&lt;15,"",IF(SUM($AC$1436:$AC$1449)=0,0,100*SUM($AE$1436:$AE$1449)/SUM($AC$1436:$AC$1449)))</f>
        <v>0</v>
      </c>
      <c r="AH1449">
        <f>IF(COUNT($E$2:$E1449)&lt;15,"",IF(SUM($AC$1436:$AC$1449)=0,0,100*SUM($AF$1436:$AF$1449)/SUM($AC$1436:$AC$1449)))</f>
        <v>0</v>
      </c>
      <c r="AI1449">
        <f>IF(OR(AG1449="",AH1449=""),"",IF((AG1449+AH1449)=0,0,100*ABS(AG1449-AH1449)/(AG1449+AH1449)))</f>
        <v>0</v>
      </c>
      <c r="AJ1449">
        <f>IF(COUNT($AI$1436:$AI$1449)&lt;14,"",AVERAGE($AI$1436:$AI$1449))</f>
        <v>0</v>
      </c>
      <c r="AK1449">
        <f>IF(COUNT($E$2:$E1449)&lt;20,"",AVERAGE($E$1430:$E$1449))</f>
        <v>0</v>
      </c>
      <c r="AL1449">
        <f>IF(COUNT($E$2:$E1449)&lt;20,"",STDEVP($E$1430:$E$1449))</f>
        <v>0</v>
      </c>
      <c r="AM1449">
        <f>IF(AK1449="","",AK1449+2*AL1449)</f>
        <v>0</v>
      </c>
      <c r="AN1449">
        <f>IF(AK1449="","",AK1449-2*AL1449)</f>
        <v>0</v>
      </c>
      <c r="AO1449">
        <f>IF(OR(AM1449="",AN1449="",AM1449=AN1449),"",($E1449-AN1449)/(AM1449-AN1449))</f>
        <v>0</v>
      </c>
      <c r="AP1449">
        <f>IF(OR(AM1449="",AK1449="",AK1449=0),"",(AM1449-AN1449)/AK1449)</f>
        <v>0</v>
      </c>
      <c r="AQ1449">
        <f>IF(COUNT($E$2:$E1449)&lt;20,"",MAX($C$1430:$C$1449))</f>
        <v>0</v>
      </c>
      <c r="AR1449">
        <f>IF(COUNT($E$2:$E1449)&lt;20,"",MIN($D$1430:$D$1449))</f>
        <v>0</v>
      </c>
      <c r="AS1449">
        <f>IF(OR(AQ1449="",AR1449=""),"",(AQ1449+AR1449)/2)</f>
        <v>0</v>
      </c>
      <c r="AT1449">
        <f>IF(COUNT($G$1430:$G$1449)&lt;20,"",STDEV($G$1430:$G$1449)*SQRT(252))</f>
        <v>0</v>
      </c>
      <c r="AU1449">
        <f>IF(COUNT($E$2:$E1449)&lt;9,"",(MAX($C$1441:$C$1449)+MIN($D$1441:$D$1449))/2)</f>
        <v>0</v>
      </c>
      <c r="AV1449">
        <f>IF(COUNT($E$2:$E1449)&lt;26,"",(MAX($C$1424:$C$1449)+MIN($D$1424:$D$1449))/2)</f>
        <v>0</v>
      </c>
      <c r="AW1449">
        <f>IF(OR(AU1449="",AV1449=""),"",(AU1449+AV1449)/2)</f>
        <v>0</v>
      </c>
      <c r="AX1449">
        <f>IF(COUNT($E$2:$E1449)&lt;52,"",(MAX($C$1398:$C$1449)+MIN($D$1398:$D$1449))/2)</f>
        <v>0</v>
      </c>
      <c r="AY1449">
        <f>IF(COUNT($E$2:$E1449)&lt;20,"",MAX($C$1350:$C$1449))</f>
        <v>0</v>
      </c>
      <c r="AZ1449">
        <f>IF(COUNT($E$2:$E1449)&lt;20,"",MIN($D$1350:$D$1449))</f>
        <v>0</v>
      </c>
      <c r="BA1449">
        <f>IF(COUNT($E$2:$E1449)&lt;20,"",SLOPE($E$1350:$E$1449,$F$1350:$F$1449))</f>
        <v>0</v>
      </c>
      <c r="BB1449">
        <f>IF(COUNT($E$2:$E1449)&lt;20,"",INTERCEPT($E$1350:$E$1449,$F$1350:$F$1449))</f>
        <v>0</v>
      </c>
      <c r="BC1449">
        <f>IF(OR(BA1449="",BB1449=""),"",BB1449+BA1449*F1449)</f>
        <v>0</v>
      </c>
      <c r="BD1449">
        <f>IF(COUNT($E$2:$E1449)&lt;20,"",STEYX($E$1350:$E$1449,$F$1350:$F$1449))</f>
        <v>0</v>
      </c>
      <c r="BE1449">
        <f>IF($E1449="","",IF(AND(COUNT($E$1450:$E$1453)&gt;=4,$C1449=MAX($C$1445:$C$1453)),$C1449,""))</f>
        <v>0</v>
      </c>
      <c r="BF1449">
        <f>IF($E1449="","",IF(AND(COUNT($E$1450:$E$1453)&gt;=4,$D1449=MIN($D$1445:$D$1453)),$D1449,""))</f>
        <v>0</v>
      </c>
      <c r="BG1449">
        <f>IF($A1449="","",$A1449-WEEKDAY($A1449,2)+1)</f>
        <v>0</v>
      </c>
      <c r="BH1449">
        <f>IF($A1449="","",IF($A1448="",1,IF(BG1449&lt;&gt;BG1448,1,0)))</f>
        <v>0</v>
      </c>
      <c r="BI1449">
        <f>IF($A1449="","",IF($A1450="",1,IF(BG1450&lt;&gt;BG1449,1,0)))</f>
        <v>0</v>
      </c>
      <c r="BJ1449">
        <f>IF($A1449="","",IF(BH1449=1,$B1449,BJ1448))</f>
        <v>0</v>
      </c>
      <c r="BK1449">
        <f>IF($A1449="","",IF(BH1449=1,$C1449,MAX($C1449,BK1448)))</f>
        <v>0</v>
      </c>
      <c r="BL1449">
        <f>IF($A1449="","",IF(BH1449=1,$D1449,MIN($D1449,BL1448)))</f>
        <v>0</v>
      </c>
      <c r="BM1449">
        <f>IF($A1449="","",IF(BI1449=1,F1449,""))</f>
        <v>0</v>
      </c>
      <c r="BN1449">
        <f>IF($A1449="","",DATE(YEAR($A1449),MONTH($A1449),1))</f>
        <v>0</v>
      </c>
      <c r="BO1449">
        <f>IF($A1449="","",IF($A1448="",1,IF(BN1449&lt;&gt;BN1448,1,0)))</f>
        <v>0</v>
      </c>
      <c r="BP1449">
        <f>IF($A1449="","",IF($A1450="",1,IF(BN1450&lt;&gt;BN1449,1,0)))</f>
        <v>0</v>
      </c>
      <c r="BQ1449">
        <f>IF($A1449="","",IF(BO1449=1,$B1449,BQ1448))</f>
        <v>0</v>
      </c>
      <c r="BR1449">
        <f>IF($A1449="","",IF(BO1449=1,$C1449,MAX($C1449,BR1448)))</f>
        <v>0</v>
      </c>
      <c r="BS1449">
        <f>IF($A1449="","",IF(BO1449=1,$D1449,MIN($D1449,BS1448)))</f>
        <v>0</v>
      </c>
      <c r="BT1449">
        <f>IF($A1449="","",IF(BP1449=1,F1449,""))</f>
        <v>0</v>
      </c>
    </row>
    <row r="1450" spans="1:72">
      <c r="A1450" s="27">
        <f>IF(Data!$A1450="","",Data!$A1450)</f>
        <v>0</v>
      </c>
      <c r="B1450">
        <f>IF(Data!$B1450="","",Data!$B1450)</f>
        <v>0</v>
      </c>
      <c r="C1450">
        <f>IF(Data!$C1450="","",Data!$C1450)</f>
        <v>0</v>
      </c>
      <c r="D1450">
        <f>IF(Data!$D1450="","",Data!$D1450)</f>
        <v>0</v>
      </c>
      <c r="E1450">
        <f>IF(Data!$E1450="","",Data!$E1450)</f>
        <v>0</v>
      </c>
      <c r="F1450">
        <f>IF($E1450="","",N(F1449)+1)</f>
        <v>0</v>
      </c>
      <c r="G1450">
        <f>IF(OR($E1450="",$E1449=""),"",LN($E1450/$E1449))</f>
        <v>0</v>
      </c>
      <c r="H1450">
        <f>IF($E1450="","",IF($E1449="",$E1450,$E1450*0.0952380952+H1449*0.9047619048))</f>
        <v>0</v>
      </c>
      <c r="I1450">
        <f>IF($E1450="","",IF($E1449="",$E1450,$E1450*0.0392156863+I1449*0.9607843137))</f>
        <v>0</v>
      </c>
      <c r="J1450">
        <f>IF($E1450="","",IF($E1449="",$E1450,$E1450*0.0198019802+J1449*0.9801980198))</f>
        <v>0</v>
      </c>
      <c r="K1450">
        <f>IF($E1450="","",IF($E1449="",$E1450,$E1450*0.0099502488+K1449*0.9900497512))</f>
        <v>0</v>
      </c>
      <c r="L1450">
        <f>IF(OR($E1450="",$E1449=""),"",MAX($E1450-$E1449,0))</f>
        <v>0</v>
      </c>
      <c r="M1450">
        <f>IF(OR($E1450="",$E1449=""),"",MAX($E1449-$E1450,0))</f>
        <v>0</v>
      </c>
      <c r="N1450">
        <f>IF(COUNT($E$2:$E1450)&lt;15,"",IF(AVERAGE($M$1437:$M$1450)=0,100,100-100/(1+AVERAGE($L$1437:$L$1450)/AVERAGE($M$1437:$M$1450))))</f>
        <v>0</v>
      </c>
      <c r="O1450">
        <f>IF($E1450="","",IF($E1449="",$E1450,$E1450*0.1538461538+O1449*0.8461538462))</f>
        <v>0</v>
      </c>
      <c r="P1450">
        <f>IF($E1450="","",IF($E1449="",$E1450,$E1450*0.0740740741+P1449*0.9259259259))</f>
        <v>0</v>
      </c>
      <c r="Q1450">
        <f>IF(OR(O1450="",P1450=""),"",O1450-P1450)</f>
        <v>0</v>
      </c>
      <c r="R1450">
        <f>IF(Q1450="","",IF(R1449="",Q1450,Q1450*0.2000000000+R1449*0.8000000000))</f>
        <v>0</v>
      </c>
      <c r="S1450">
        <f>IF(OR(Q1450="",R1450=""),"",Q1450-R1450)</f>
        <v>0</v>
      </c>
      <c r="T1450">
        <f>IF(COUNT($E$2:$E1450)&lt;14,"",MAX($C$1437:$C$1450))</f>
        <v>0</v>
      </c>
      <c r="U1450">
        <f>IF(COUNT($E$2:$E1450)&lt;14,"",MIN($D$1437:$D$1450))</f>
        <v>0</v>
      </c>
      <c r="V1450">
        <f>IF(OR(T1450="",U1450="",T1450=U1450),"",100*($E1450-U1450)/(T1450-U1450))</f>
        <v>0</v>
      </c>
      <c r="W1450">
        <f>IF(COUNT($V$1448:$V$1450)&lt;3,"",AVERAGE($V$1448:$V$1450))</f>
        <v>0</v>
      </c>
      <c r="X1450">
        <f>IF(COUNT($N$1437:$N$1450)&lt;14,"",MIN($N$1437:$N$1450))</f>
        <v>0</v>
      </c>
      <c r="Y1450">
        <f>IF(COUNT($N$1437:$N$1450)&lt;14,"",MAX($N$1437:$N$1450))</f>
        <v>0</v>
      </c>
      <c r="Z1450">
        <f>IF(OR(N1450="",X1450="",Y1450="",Y1450=X1450),"",100*(N1450-X1450)/(Y1450-X1450))</f>
        <v>0</v>
      </c>
      <c r="AA1450">
        <f>IF(COUNT($Z$1448:$Z$1450)&lt;3,"",AVERAGE($Z$1448:$Z$1450))</f>
        <v>0</v>
      </c>
      <c r="AB1450">
        <f>IF(COUNT($AA$1448:$AA$1450)&lt;3,"",AVERAGE($AA$1448:$AA$1450))</f>
        <v>0</v>
      </c>
      <c r="AC1450">
        <f>IF($E1450="","",MAX($C1450-$D1450,ABS($C1450-$E1449),ABS($D1450-$E1449)))</f>
        <v>0</v>
      </c>
      <c r="AD1450">
        <f>IF(COUNT($E$2:$E1450)&lt;15,"",AVERAGE($AC$1437:$AC$1450))</f>
        <v>0</v>
      </c>
      <c r="AE1450">
        <f>IF(OR($E1450="",$E1449=""),"",IF(AND(($C1450-$C1449)&gt;($D1449-$D1450),($C1450-$C1449)&gt;0),$C1450-$C1449,0))</f>
        <v>0</v>
      </c>
      <c r="AF1450">
        <f>IF(OR($E1450="",$E1449=""),"",IF(AND(($D1449-$D1450)&gt;($C1450-$C1449),($D1449-$D1450)&gt;0),$D1449-$D1450,0))</f>
        <v>0</v>
      </c>
      <c r="AG1450">
        <f>IF(COUNT($E$2:$E1450)&lt;15,"",IF(SUM($AC$1437:$AC$1450)=0,0,100*SUM($AE$1437:$AE$1450)/SUM($AC$1437:$AC$1450)))</f>
        <v>0</v>
      </c>
      <c r="AH1450">
        <f>IF(COUNT($E$2:$E1450)&lt;15,"",IF(SUM($AC$1437:$AC$1450)=0,0,100*SUM($AF$1437:$AF$1450)/SUM($AC$1437:$AC$1450)))</f>
        <v>0</v>
      </c>
      <c r="AI1450">
        <f>IF(OR(AG1450="",AH1450=""),"",IF((AG1450+AH1450)=0,0,100*ABS(AG1450-AH1450)/(AG1450+AH1450)))</f>
        <v>0</v>
      </c>
      <c r="AJ1450">
        <f>IF(COUNT($AI$1437:$AI$1450)&lt;14,"",AVERAGE($AI$1437:$AI$1450))</f>
        <v>0</v>
      </c>
      <c r="AK1450">
        <f>IF(COUNT($E$2:$E1450)&lt;20,"",AVERAGE($E$1431:$E$1450))</f>
        <v>0</v>
      </c>
      <c r="AL1450">
        <f>IF(COUNT($E$2:$E1450)&lt;20,"",STDEVP($E$1431:$E$1450))</f>
        <v>0</v>
      </c>
      <c r="AM1450">
        <f>IF(AK1450="","",AK1450+2*AL1450)</f>
        <v>0</v>
      </c>
      <c r="AN1450">
        <f>IF(AK1450="","",AK1450-2*AL1450)</f>
        <v>0</v>
      </c>
      <c r="AO1450">
        <f>IF(OR(AM1450="",AN1450="",AM1450=AN1450),"",($E1450-AN1450)/(AM1450-AN1450))</f>
        <v>0</v>
      </c>
      <c r="AP1450">
        <f>IF(OR(AM1450="",AK1450="",AK1450=0),"",(AM1450-AN1450)/AK1450)</f>
        <v>0</v>
      </c>
      <c r="AQ1450">
        <f>IF(COUNT($E$2:$E1450)&lt;20,"",MAX($C$1431:$C$1450))</f>
        <v>0</v>
      </c>
      <c r="AR1450">
        <f>IF(COUNT($E$2:$E1450)&lt;20,"",MIN($D$1431:$D$1450))</f>
        <v>0</v>
      </c>
      <c r="AS1450">
        <f>IF(OR(AQ1450="",AR1450=""),"",(AQ1450+AR1450)/2)</f>
        <v>0</v>
      </c>
      <c r="AT1450">
        <f>IF(COUNT($G$1431:$G$1450)&lt;20,"",STDEV($G$1431:$G$1450)*SQRT(252))</f>
        <v>0</v>
      </c>
      <c r="AU1450">
        <f>IF(COUNT($E$2:$E1450)&lt;9,"",(MAX($C$1442:$C$1450)+MIN($D$1442:$D$1450))/2)</f>
        <v>0</v>
      </c>
      <c r="AV1450">
        <f>IF(COUNT($E$2:$E1450)&lt;26,"",(MAX($C$1425:$C$1450)+MIN($D$1425:$D$1450))/2)</f>
        <v>0</v>
      </c>
      <c r="AW1450">
        <f>IF(OR(AU1450="",AV1450=""),"",(AU1450+AV1450)/2)</f>
        <v>0</v>
      </c>
      <c r="AX1450">
        <f>IF(COUNT($E$2:$E1450)&lt;52,"",(MAX($C$1399:$C$1450)+MIN($D$1399:$D$1450))/2)</f>
        <v>0</v>
      </c>
      <c r="AY1450">
        <f>IF(COUNT($E$2:$E1450)&lt;20,"",MAX($C$1351:$C$1450))</f>
        <v>0</v>
      </c>
      <c r="AZ1450">
        <f>IF(COUNT($E$2:$E1450)&lt;20,"",MIN($D$1351:$D$1450))</f>
        <v>0</v>
      </c>
      <c r="BA1450">
        <f>IF(COUNT($E$2:$E1450)&lt;20,"",SLOPE($E$1351:$E$1450,$F$1351:$F$1450))</f>
        <v>0</v>
      </c>
      <c r="BB1450">
        <f>IF(COUNT($E$2:$E1450)&lt;20,"",INTERCEPT($E$1351:$E$1450,$F$1351:$F$1450))</f>
        <v>0</v>
      </c>
      <c r="BC1450">
        <f>IF(OR(BA1450="",BB1450=""),"",BB1450+BA1450*F1450)</f>
        <v>0</v>
      </c>
      <c r="BD1450">
        <f>IF(COUNT($E$2:$E1450)&lt;20,"",STEYX($E$1351:$E$1450,$F$1351:$F$1450))</f>
        <v>0</v>
      </c>
      <c r="BE1450">
        <f>IF($E1450="","",IF(AND(COUNT($E$1451:$E$1454)&gt;=4,$C1450=MAX($C$1446:$C$1454)),$C1450,""))</f>
        <v>0</v>
      </c>
      <c r="BF1450">
        <f>IF($E1450="","",IF(AND(COUNT($E$1451:$E$1454)&gt;=4,$D1450=MIN($D$1446:$D$1454)),$D1450,""))</f>
        <v>0</v>
      </c>
      <c r="BG1450">
        <f>IF($A1450="","",$A1450-WEEKDAY($A1450,2)+1)</f>
        <v>0</v>
      </c>
      <c r="BH1450">
        <f>IF($A1450="","",IF($A1449="",1,IF(BG1450&lt;&gt;BG1449,1,0)))</f>
        <v>0</v>
      </c>
      <c r="BI1450">
        <f>IF($A1450="","",IF($A1451="",1,IF(BG1451&lt;&gt;BG1450,1,0)))</f>
        <v>0</v>
      </c>
      <c r="BJ1450">
        <f>IF($A1450="","",IF(BH1450=1,$B1450,BJ1449))</f>
        <v>0</v>
      </c>
      <c r="BK1450">
        <f>IF($A1450="","",IF(BH1450=1,$C1450,MAX($C1450,BK1449)))</f>
        <v>0</v>
      </c>
      <c r="BL1450">
        <f>IF($A1450="","",IF(BH1450=1,$D1450,MIN($D1450,BL1449)))</f>
        <v>0</v>
      </c>
      <c r="BM1450">
        <f>IF($A1450="","",IF(BI1450=1,F1450,""))</f>
        <v>0</v>
      </c>
      <c r="BN1450">
        <f>IF($A1450="","",DATE(YEAR($A1450),MONTH($A1450),1))</f>
        <v>0</v>
      </c>
      <c r="BO1450">
        <f>IF($A1450="","",IF($A1449="",1,IF(BN1450&lt;&gt;BN1449,1,0)))</f>
        <v>0</v>
      </c>
      <c r="BP1450">
        <f>IF($A1450="","",IF($A1451="",1,IF(BN1451&lt;&gt;BN1450,1,0)))</f>
        <v>0</v>
      </c>
      <c r="BQ1450">
        <f>IF($A1450="","",IF(BO1450=1,$B1450,BQ1449))</f>
        <v>0</v>
      </c>
      <c r="BR1450">
        <f>IF($A1450="","",IF(BO1450=1,$C1450,MAX($C1450,BR1449)))</f>
        <v>0</v>
      </c>
      <c r="BS1450">
        <f>IF($A1450="","",IF(BO1450=1,$D1450,MIN($D1450,BS1449)))</f>
        <v>0</v>
      </c>
      <c r="BT1450">
        <f>IF($A1450="","",IF(BP1450=1,F1450,""))</f>
        <v>0</v>
      </c>
    </row>
    <row r="1451" spans="1:72">
      <c r="A1451" s="27">
        <f>IF(Data!$A1451="","",Data!$A1451)</f>
        <v>0</v>
      </c>
      <c r="B1451">
        <f>IF(Data!$B1451="","",Data!$B1451)</f>
        <v>0</v>
      </c>
      <c r="C1451">
        <f>IF(Data!$C1451="","",Data!$C1451)</f>
        <v>0</v>
      </c>
      <c r="D1451">
        <f>IF(Data!$D1451="","",Data!$D1451)</f>
        <v>0</v>
      </c>
      <c r="E1451">
        <f>IF(Data!$E1451="","",Data!$E1451)</f>
        <v>0</v>
      </c>
      <c r="F1451">
        <f>IF($E1451="","",N(F1450)+1)</f>
        <v>0</v>
      </c>
      <c r="G1451">
        <f>IF(OR($E1451="",$E1450=""),"",LN($E1451/$E1450))</f>
        <v>0</v>
      </c>
      <c r="H1451">
        <f>IF($E1451="","",IF($E1450="",$E1451,$E1451*0.0952380952+H1450*0.9047619048))</f>
        <v>0</v>
      </c>
      <c r="I1451">
        <f>IF($E1451="","",IF($E1450="",$E1451,$E1451*0.0392156863+I1450*0.9607843137))</f>
        <v>0</v>
      </c>
      <c r="J1451">
        <f>IF($E1451="","",IF($E1450="",$E1451,$E1451*0.0198019802+J1450*0.9801980198))</f>
        <v>0</v>
      </c>
      <c r="K1451">
        <f>IF($E1451="","",IF($E1450="",$E1451,$E1451*0.0099502488+K1450*0.9900497512))</f>
        <v>0</v>
      </c>
      <c r="L1451">
        <f>IF(OR($E1451="",$E1450=""),"",MAX($E1451-$E1450,0))</f>
        <v>0</v>
      </c>
      <c r="M1451">
        <f>IF(OR($E1451="",$E1450=""),"",MAX($E1450-$E1451,0))</f>
        <v>0</v>
      </c>
      <c r="N1451">
        <f>IF(COUNT($E$2:$E1451)&lt;15,"",IF(AVERAGE($M$1438:$M$1451)=0,100,100-100/(1+AVERAGE($L$1438:$L$1451)/AVERAGE($M$1438:$M$1451))))</f>
        <v>0</v>
      </c>
      <c r="O1451">
        <f>IF($E1451="","",IF($E1450="",$E1451,$E1451*0.1538461538+O1450*0.8461538462))</f>
        <v>0</v>
      </c>
      <c r="P1451">
        <f>IF($E1451="","",IF($E1450="",$E1451,$E1451*0.0740740741+P1450*0.9259259259))</f>
        <v>0</v>
      </c>
      <c r="Q1451">
        <f>IF(OR(O1451="",P1451=""),"",O1451-P1451)</f>
        <v>0</v>
      </c>
      <c r="R1451">
        <f>IF(Q1451="","",IF(R1450="",Q1451,Q1451*0.2000000000+R1450*0.8000000000))</f>
        <v>0</v>
      </c>
      <c r="S1451">
        <f>IF(OR(Q1451="",R1451=""),"",Q1451-R1451)</f>
        <v>0</v>
      </c>
      <c r="T1451">
        <f>IF(COUNT($E$2:$E1451)&lt;14,"",MAX($C$1438:$C$1451))</f>
        <v>0</v>
      </c>
      <c r="U1451">
        <f>IF(COUNT($E$2:$E1451)&lt;14,"",MIN($D$1438:$D$1451))</f>
        <v>0</v>
      </c>
      <c r="V1451">
        <f>IF(OR(T1451="",U1451="",T1451=U1451),"",100*($E1451-U1451)/(T1451-U1451))</f>
        <v>0</v>
      </c>
      <c r="W1451">
        <f>IF(COUNT($V$1449:$V$1451)&lt;3,"",AVERAGE($V$1449:$V$1451))</f>
        <v>0</v>
      </c>
      <c r="X1451">
        <f>IF(COUNT($N$1438:$N$1451)&lt;14,"",MIN($N$1438:$N$1451))</f>
        <v>0</v>
      </c>
      <c r="Y1451">
        <f>IF(COUNT($N$1438:$N$1451)&lt;14,"",MAX($N$1438:$N$1451))</f>
        <v>0</v>
      </c>
      <c r="Z1451">
        <f>IF(OR(N1451="",X1451="",Y1451="",Y1451=X1451),"",100*(N1451-X1451)/(Y1451-X1451))</f>
        <v>0</v>
      </c>
      <c r="AA1451">
        <f>IF(COUNT($Z$1449:$Z$1451)&lt;3,"",AVERAGE($Z$1449:$Z$1451))</f>
        <v>0</v>
      </c>
      <c r="AB1451">
        <f>IF(COUNT($AA$1449:$AA$1451)&lt;3,"",AVERAGE($AA$1449:$AA$1451))</f>
        <v>0</v>
      </c>
      <c r="AC1451">
        <f>IF($E1451="","",MAX($C1451-$D1451,ABS($C1451-$E1450),ABS($D1451-$E1450)))</f>
        <v>0</v>
      </c>
      <c r="AD1451">
        <f>IF(COUNT($E$2:$E1451)&lt;15,"",AVERAGE($AC$1438:$AC$1451))</f>
        <v>0</v>
      </c>
      <c r="AE1451">
        <f>IF(OR($E1451="",$E1450=""),"",IF(AND(($C1451-$C1450)&gt;($D1450-$D1451),($C1451-$C1450)&gt;0),$C1451-$C1450,0))</f>
        <v>0</v>
      </c>
      <c r="AF1451">
        <f>IF(OR($E1451="",$E1450=""),"",IF(AND(($D1450-$D1451)&gt;($C1451-$C1450),($D1450-$D1451)&gt;0),$D1450-$D1451,0))</f>
        <v>0</v>
      </c>
      <c r="AG1451">
        <f>IF(COUNT($E$2:$E1451)&lt;15,"",IF(SUM($AC$1438:$AC$1451)=0,0,100*SUM($AE$1438:$AE$1451)/SUM($AC$1438:$AC$1451)))</f>
        <v>0</v>
      </c>
      <c r="AH1451">
        <f>IF(COUNT($E$2:$E1451)&lt;15,"",IF(SUM($AC$1438:$AC$1451)=0,0,100*SUM($AF$1438:$AF$1451)/SUM($AC$1438:$AC$1451)))</f>
        <v>0</v>
      </c>
      <c r="AI1451">
        <f>IF(OR(AG1451="",AH1451=""),"",IF((AG1451+AH1451)=0,0,100*ABS(AG1451-AH1451)/(AG1451+AH1451)))</f>
        <v>0</v>
      </c>
      <c r="AJ1451">
        <f>IF(COUNT($AI$1438:$AI$1451)&lt;14,"",AVERAGE($AI$1438:$AI$1451))</f>
        <v>0</v>
      </c>
      <c r="AK1451">
        <f>IF(COUNT($E$2:$E1451)&lt;20,"",AVERAGE($E$1432:$E$1451))</f>
        <v>0</v>
      </c>
      <c r="AL1451">
        <f>IF(COUNT($E$2:$E1451)&lt;20,"",STDEVP($E$1432:$E$1451))</f>
        <v>0</v>
      </c>
      <c r="AM1451">
        <f>IF(AK1451="","",AK1451+2*AL1451)</f>
        <v>0</v>
      </c>
      <c r="AN1451">
        <f>IF(AK1451="","",AK1451-2*AL1451)</f>
        <v>0</v>
      </c>
      <c r="AO1451">
        <f>IF(OR(AM1451="",AN1451="",AM1451=AN1451),"",($E1451-AN1451)/(AM1451-AN1451))</f>
        <v>0</v>
      </c>
      <c r="AP1451">
        <f>IF(OR(AM1451="",AK1451="",AK1451=0),"",(AM1451-AN1451)/AK1451)</f>
        <v>0</v>
      </c>
      <c r="AQ1451">
        <f>IF(COUNT($E$2:$E1451)&lt;20,"",MAX($C$1432:$C$1451))</f>
        <v>0</v>
      </c>
      <c r="AR1451">
        <f>IF(COUNT($E$2:$E1451)&lt;20,"",MIN($D$1432:$D$1451))</f>
        <v>0</v>
      </c>
      <c r="AS1451">
        <f>IF(OR(AQ1451="",AR1451=""),"",(AQ1451+AR1451)/2)</f>
        <v>0</v>
      </c>
      <c r="AT1451">
        <f>IF(COUNT($G$1432:$G$1451)&lt;20,"",STDEV($G$1432:$G$1451)*SQRT(252))</f>
        <v>0</v>
      </c>
      <c r="AU1451">
        <f>IF(COUNT($E$2:$E1451)&lt;9,"",(MAX($C$1443:$C$1451)+MIN($D$1443:$D$1451))/2)</f>
        <v>0</v>
      </c>
      <c r="AV1451">
        <f>IF(COUNT($E$2:$E1451)&lt;26,"",(MAX($C$1426:$C$1451)+MIN($D$1426:$D$1451))/2)</f>
        <v>0</v>
      </c>
      <c r="AW1451">
        <f>IF(OR(AU1451="",AV1451=""),"",(AU1451+AV1451)/2)</f>
        <v>0</v>
      </c>
      <c r="AX1451">
        <f>IF(COUNT($E$2:$E1451)&lt;52,"",(MAX($C$1400:$C$1451)+MIN($D$1400:$D$1451))/2)</f>
        <v>0</v>
      </c>
      <c r="AY1451">
        <f>IF(COUNT($E$2:$E1451)&lt;20,"",MAX($C$1352:$C$1451))</f>
        <v>0</v>
      </c>
      <c r="AZ1451">
        <f>IF(COUNT($E$2:$E1451)&lt;20,"",MIN($D$1352:$D$1451))</f>
        <v>0</v>
      </c>
      <c r="BA1451">
        <f>IF(COUNT($E$2:$E1451)&lt;20,"",SLOPE($E$1352:$E$1451,$F$1352:$F$1451))</f>
        <v>0</v>
      </c>
      <c r="BB1451">
        <f>IF(COUNT($E$2:$E1451)&lt;20,"",INTERCEPT($E$1352:$E$1451,$F$1352:$F$1451))</f>
        <v>0</v>
      </c>
      <c r="BC1451">
        <f>IF(OR(BA1451="",BB1451=""),"",BB1451+BA1451*F1451)</f>
        <v>0</v>
      </c>
      <c r="BD1451">
        <f>IF(COUNT($E$2:$E1451)&lt;20,"",STEYX($E$1352:$E$1451,$F$1352:$F$1451))</f>
        <v>0</v>
      </c>
      <c r="BE1451">
        <f>IF($E1451="","",IF(AND(COUNT($E$1452:$E$1455)&gt;=4,$C1451=MAX($C$1447:$C$1455)),$C1451,""))</f>
        <v>0</v>
      </c>
      <c r="BF1451">
        <f>IF($E1451="","",IF(AND(COUNT($E$1452:$E$1455)&gt;=4,$D1451=MIN($D$1447:$D$1455)),$D1451,""))</f>
        <v>0</v>
      </c>
      <c r="BG1451">
        <f>IF($A1451="","",$A1451-WEEKDAY($A1451,2)+1)</f>
        <v>0</v>
      </c>
      <c r="BH1451">
        <f>IF($A1451="","",IF($A1450="",1,IF(BG1451&lt;&gt;BG1450,1,0)))</f>
        <v>0</v>
      </c>
      <c r="BI1451">
        <f>IF($A1451="","",IF($A1452="",1,IF(BG1452&lt;&gt;BG1451,1,0)))</f>
        <v>0</v>
      </c>
      <c r="BJ1451">
        <f>IF($A1451="","",IF(BH1451=1,$B1451,BJ1450))</f>
        <v>0</v>
      </c>
      <c r="BK1451">
        <f>IF($A1451="","",IF(BH1451=1,$C1451,MAX($C1451,BK1450)))</f>
        <v>0</v>
      </c>
      <c r="BL1451">
        <f>IF($A1451="","",IF(BH1451=1,$D1451,MIN($D1451,BL1450)))</f>
        <v>0</v>
      </c>
      <c r="BM1451">
        <f>IF($A1451="","",IF(BI1451=1,F1451,""))</f>
        <v>0</v>
      </c>
      <c r="BN1451">
        <f>IF($A1451="","",DATE(YEAR($A1451),MONTH($A1451),1))</f>
        <v>0</v>
      </c>
      <c r="BO1451">
        <f>IF($A1451="","",IF($A1450="",1,IF(BN1451&lt;&gt;BN1450,1,0)))</f>
        <v>0</v>
      </c>
      <c r="BP1451">
        <f>IF($A1451="","",IF($A1452="",1,IF(BN1452&lt;&gt;BN1451,1,0)))</f>
        <v>0</v>
      </c>
      <c r="BQ1451">
        <f>IF($A1451="","",IF(BO1451=1,$B1451,BQ1450))</f>
        <v>0</v>
      </c>
      <c r="BR1451">
        <f>IF($A1451="","",IF(BO1451=1,$C1451,MAX($C1451,BR1450)))</f>
        <v>0</v>
      </c>
      <c r="BS1451">
        <f>IF($A1451="","",IF(BO1451=1,$D1451,MIN($D1451,BS1450)))</f>
        <v>0</v>
      </c>
      <c r="BT1451">
        <f>IF($A1451="","",IF(BP1451=1,F1451,""))</f>
        <v>0</v>
      </c>
    </row>
    <row r="1452" spans="1:72">
      <c r="A1452" s="27">
        <f>IF(Data!$A1452="","",Data!$A1452)</f>
        <v>0</v>
      </c>
      <c r="B1452">
        <f>IF(Data!$B1452="","",Data!$B1452)</f>
        <v>0</v>
      </c>
      <c r="C1452">
        <f>IF(Data!$C1452="","",Data!$C1452)</f>
        <v>0</v>
      </c>
      <c r="D1452">
        <f>IF(Data!$D1452="","",Data!$D1452)</f>
        <v>0</v>
      </c>
      <c r="E1452">
        <f>IF(Data!$E1452="","",Data!$E1452)</f>
        <v>0</v>
      </c>
      <c r="F1452">
        <f>IF($E1452="","",N(F1451)+1)</f>
        <v>0</v>
      </c>
      <c r="G1452">
        <f>IF(OR($E1452="",$E1451=""),"",LN($E1452/$E1451))</f>
        <v>0</v>
      </c>
      <c r="H1452">
        <f>IF($E1452="","",IF($E1451="",$E1452,$E1452*0.0952380952+H1451*0.9047619048))</f>
        <v>0</v>
      </c>
      <c r="I1452">
        <f>IF($E1452="","",IF($E1451="",$E1452,$E1452*0.0392156863+I1451*0.9607843137))</f>
        <v>0</v>
      </c>
      <c r="J1452">
        <f>IF($E1452="","",IF($E1451="",$E1452,$E1452*0.0198019802+J1451*0.9801980198))</f>
        <v>0</v>
      </c>
      <c r="K1452">
        <f>IF($E1452="","",IF($E1451="",$E1452,$E1452*0.0099502488+K1451*0.9900497512))</f>
        <v>0</v>
      </c>
      <c r="L1452">
        <f>IF(OR($E1452="",$E1451=""),"",MAX($E1452-$E1451,0))</f>
        <v>0</v>
      </c>
      <c r="M1452">
        <f>IF(OR($E1452="",$E1451=""),"",MAX($E1451-$E1452,0))</f>
        <v>0</v>
      </c>
      <c r="N1452">
        <f>IF(COUNT($E$2:$E1452)&lt;15,"",IF(AVERAGE($M$1439:$M$1452)=0,100,100-100/(1+AVERAGE($L$1439:$L$1452)/AVERAGE($M$1439:$M$1452))))</f>
        <v>0</v>
      </c>
      <c r="O1452">
        <f>IF($E1452="","",IF($E1451="",$E1452,$E1452*0.1538461538+O1451*0.8461538462))</f>
        <v>0</v>
      </c>
      <c r="P1452">
        <f>IF($E1452="","",IF($E1451="",$E1452,$E1452*0.0740740741+P1451*0.9259259259))</f>
        <v>0</v>
      </c>
      <c r="Q1452">
        <f>IF(OR(O1452="",P1452=""),"",O1452-P1452)</f>
        <v>0</v>
      </c>
      <c r="R1452">
        <f>IF(Q1452="","",IF(R1451="",Q1452,Q1452*0.2000000000+R1451*0.8000000000))</f>
        <v>0</v>
      </c>
      <c r="S1452">
        <f>IF(OR(Q1452="",R1452=""),"",Q1452-R1452)</f>
        <v>0</v>
      </c>
      <c r="T1452">
        <f>IF(COUNT($E$2:$E1452)&lt;14,"",MAX($C$1439:$C$1452))</f>
        <v>0</v>
      </c>
      <c r="U1452">
        <f>IF(COUNT($E$2:$E1452)&lt;14,"",MIN($D$1439:$D$1452))</f>
        <v>0</v>
      </c>
      <c r="V1452">
        <f>IF(OR(T1452="",U1452="",T1452=U1452),"",100*($E1452-U1452)/(T1452-U1452))</f>
        <v>0</v>
      </c>
      <c r="W1452">
        <f>IF(COUNT($V$1450:$V$1452)&lt;3,"",AVERAGE($V$1450:$V$1452))</f>
        <v>0</v>
      </c>
      <c r="X1452">
        <f>IF(COUNT($N$1439:$N$1452)&lt;14,"",MIN($N$1439:$N$1452))</f>
        <v>0</v>
      </c>
      <c r="Y1452">
        <f>IF(COUNT($N$1439:$N$1452)&lt;14,"",MAX($N$1439:$N$1452))</f>
        <v>0</v>
      </c>
      <c r="Z1452">
        <f>IF(OR(N1452="",X1452="",Y1452="",Y1452=X1452),"",100*(N1452-X1452)/(Y1452-X1452))</f>
        <v>0</v>
      </c>
      <c r="AA1452">
        <f>IF(COUNT($Z$1450:$Z$1452)&lt;3,"",AVERAGE($Z$1450:$Z$1452))</f>
        <v>0</v>
      </c>
      <c r="AB1452">
        <f>IF(COUNT($AA$1450:$AA$1452)&lt;3,"",AVERAGE($AA$1450:$AA$1452))</f>
        <v>0</v>
      </c>
      <c r="AC1452">
        <f>IF($E1452="","",MAX($C1452-$D1452,ABS($C1452-$E1451),ABS($D1452-$E1451)))</f>
        <v>0</v>
      </c>
      <c r="AD1452">
        <f>IF(COUNT($E$2:$E1452)&lt;15,"",AVERAGE($AC$1439:$AC$1452))</f>
        <v>0</v>
      </c>
      <c r="AE1452">
        <f>IF(OR($E1452="",$E1451=""),"",IF(AND(($C1452-$C1451)&gt;($D1451-$D1452),($C1452-$C1451)&gt;0),$C1452-$C1451,0))</f>
        <v>0</v>
      </c>
      <c r="AF1452">
        <f>IF(OR($E1452="",$E1451=""),"",IF(AND(($D1451-$D1452)&gt;($C1452-$C1451),($D1451-$D1452)&gt;0),$D1451-$D1452,0))</f>
        <v>0</v>
      </c>
      <c r="AG1452">
        <f>IF(COUNT($E$2:$E1452)&lt;15,"",IF(SUM($AC$1439:$AC$1452)=0,0,100*SUM($AE$1439:$AE$1452)/SUM($AC$1439:$AC$1452)))</f>
        <v>0</v>
      </c>
      <c r="AH1452">
        <f>IF(COUNT($E$2:$E1452)&lt;15,"",IF(SUM($AC$1439:$AC$1452)=0,0,100*SUM($AF$1439:$AF$1452)/SUM($AC$1439:$AC$1452)))</f>
        <v>0</v>
      </c>
      <c r="AI1452">
        <f>IF(OR(AG1452="",AH1452=""),"",IF((AG1452+AH1452)=0,0,100*ABS(AG1452-AH1452)/(AG1452+AH1452)))</f>
        <v>0</v>
      </c>
      <c r="AJ1452">
        <f>IF(COUNT($AI$1439:$AI$1452)&lt;14,"",AVERAGE($AI$1439:$AI$1452))</f>
        <v>0</v>
      </c>
      <c r="AK1452">
        <f>IF(COUNT($E$2:$E1452)&lt;20,"",AVERAGE($E$1433:$E$1452))</f>
        <v>0</v>
      </c>
      <c r="AL1452">
        <f>IF(COUNT($E$2:$E1452)&lt;20,"",STDEVP($E$1433:$E$1452))</f>
        <v>0</v>
      </c>
      <c r="AM1452">
        <f>IF(AK1452="","",AK1452+2*AL1452)</f>
        <v>0</v>
      </c>
      <c r="AN1452">
        <f>IF(AK1452="","",AK1452-2*AL1452)</f>
        <v>0</v>
      </c>
      <c r="AO1452">
        <f>IF(OR(AM1452="",AN1452="",AM1452=AN1452),"",($E1452-AN1452)/(AM1452-AN1452))</f>
        <v>0</v>
      </c>
      <c r="AP1452">
        <f>IF(OR(AM1452="",AK1452="",AK1452=0),"",(AM1452-AN1452)/AK1452)</f>
        <v>0</v>
      </c>
      <c r="AQ1452">
        <f>IF(COUNT($E$2:$E1452)&lt;20,"",MAX($C$1433:$C$1452))</f>
        <v>0</v>
      </c>
      <c r="AR1452">
        <f>IF(COUNT($E$2:$E1452)&lt;20,"",MIN($D$1433:$D$1452))</f>
        <v>0</v>
      </c>
      <c r="AS1452">
        <f>IF(OR(AQ1452="",AR1452=""),"",(AQ1452+AR1452)/2)</f>
        <v>0</v>
      </c>
      <c r="AT1452">
        <f>IF(COUNT($G$1433:$G$1452)&lt;20,"",STDEV($G$1433:$G$1452)*SQRT(252))</f>
        <v>0</v>
      </c>
      <c r="AU1452">
        <f>IF(COUNT($E$2:$E1452)&lt;9,"",(MAX($C$1444:$C$1452)+MIN($D$1444:$D$1452))/2)</f>
        <v>0</v>
      </c>
      <c r="AV1452">
        <f>IF(COUNT($E$2:$E1452)&lt;26,"",(MAX($C$1427:$C$1452)+MIN($D$1427:$D$1452))/2)</f>
        <v>0</v>
      </c>
      <c r="AW1452">
        <f>IF(OR(AU1452="",AV1452=""),"",(AU1452+AV1452)/2)</f>
        <v>0</v>
      </c>
      <c r="AX1452">
        <f>IF(COUNT($E$2:$E1452)&lt;52,"",(MAX($C$1401:$C$1452)+MIN($D$1401:$D$1452))/2)</f>
        <v>0</v>
      </c>
      <c r="AY1452">
        <f>IF(COUNT($E$2:$E1452)&lt;20,"",MAX($C$1353:$C$1452))</f>
        <v>0</v>
      </c>
      <c r="AZ1452">
        <f>IF(COUNT($E$2:$E1452)&lt;20,"",MIN($D$1353:$D$1452))</f>
        <v>0</v>
      </c>
      <c r="BA1452">
        <f>IF(COUNT($E$2:$E1452)&lt;20,"",SLOPE($E$1353:$E$1452,$F$1353:$F$1452))</f>
        <v>0</v>
      </c>
      <c r="BB1452">
        <f>IF(COUNT($E$2:$E1452)&lt;20,"",INTERCEPT($E$1353:$E$1452,$F$1353:$F$1452))</f>
        <v>0</v>
      </c>
      <c r="BC1452">
        <f>IF(OR(BA1452="",BB1452=""),"",BB1452+BA1452*F1452)</f>
        <v>0</v>
      </c>
      <c r="BD1452">
        <f>IF(COUNT($E$2:$E1452)&lt;20,"",STEYX($E$1353:$E$1452,$F$1353:$F$1452))</f>
        <v>0</v>
      </c>
      <c r="BE1452">
        <f>IF($E1452="","",IF(AND(COUNT($E$1453:$E$1456)&gt;=4,$C1452=MAX($C$1448:$C$1456)),$C1452,""))</f>
        <v>0</v>
      </c>
      <c r="BF1452">
        <f>IF($E1452="","",IF(AND(COUNT($E$1453:$E$1456)&gt;=4,$D1452=MIN($D$1448:$D$1456)),$D1452,""))</f>
        <v>0</v>
      </c>
      <c r="BG1452">
        <f>IF($A1452="","",$A1452-WEEKDAY($A1452,2)+1)</f>
        <v>0</v>
      </c>
      <c r="BH1452">
        <f>IF($A1452="","",IF($A1451="",1,IF(BG1452&lt;&gt;BG1451,1,0)))</f>
        <v>0</v>
      </c>
      <c r="BI1452">
        <f>IF($A1452="","",IF($A1453="",1,IF(BG1453&lt;&gt;BG1452,1,0)))</f>
        <v>0</v>
      </c>
      <c r="BJ1452">
        <f>IF($A1452="","",IF(BH1452=1,$B1452,BJ1451))</f>
        <v>0</v>
      </c>
      <c r="BK1452">
        <f>IF($A1452="","",IF(BH1452=1,$C1452,MAX($C1452,BK1451)))</f>
        <v>0</v>
      </c>
      <c r="BL1452">
        <f>IF($A1452="","",IF(BH1452=1,$D1452,MIN($D1452,BL1451)))</f>
        <v>0</v>
      </c>
      <c r="BM1452">
        <f>IF($A1452="","",IF(BI1452=1,F1452,""))</f>
        <v>0</v>
      </c>
      <c r="BN1452">
        <f>IF($A1452="","",DATE(YEAR($A1452),MONTH($A1452),1))</f>
        <v>0</v>
      </c>
      <c r="BO1452">
        <f>IF($A1452="","",IF($A1451="",1,IF(BN1452&lt;&gt;BN1451,1,0)))</f>
        <v>0</v>
      </c>
      <c r="BP1452">
        <f>IF($A1452="","",IF($A1453="",1,IF(BN1453&lt;&gt;BN1452,1,0)))</f>
        <v>0</v>
      </c>
      <c r="BQ1452">
        <f>IF($A1452="","",IF(BO1452=1,$B1452,BQ1451))</f>
        <v>0</v>
      </c>
      <c r="BR1452">
        <f>IF($A1452="","",IF(BO1452=1,$C1452,MAX($C1452,BR1451)))</f>
        <v>0</v>
      </c>
      <c r="BS1452">
        <f>IF($A1452="","",IF(BO1452=1,$D1452,MIN($D1452,BS1451)))</f>
        <v>0</v>
      </c>
      <c r="BT1452">
        <f>IF($A1452="","",IF(BP1452=1,F1452,""))</f>
        <v>0</v>
      </c>
    </row>
    <row r="1453" spans="1:72">
      <c r="A1453" s="27">
        <f>IF(Data!$A1453="","",Data!$A1453)</f>
        <v>0</v>
      </c>
      <c r="B1453">
        <f>IF(Data!$B1453="","",Data!$B1453)</f>
        <v>0</v>
      </c>
      <c r="C1453">
        <f>IF(Data!$C1453="","",Data!$C1453)</f>
        <v>0</v>
      </c>
      <c r="D1453">
        <f>IF(Data!$D1453="","",Data!$D1453)</f>
        <v>0</v>
      </c>
      <c r="E1453">
        <f>IF(Data!$E1453="","",Data!$E1453)</f>
        <v>0</v>
      </c>
      <c r="F1453">
        <f>IF($E1453="","",N(F1452)+1)</f>
        <v>0</v>
      </c>
      <c r="G1453">
        <f>IF(OR($E1453="",$E1452=""),"",LN($E1453/$E1452))</f>
        <v>0</v>
      </c>
      <c r="H1453">
        <f>IF($E1453="","",IF($E1452="",$E1453,$E1453*0.0952380952+H1452*0.9047619048))</f>
        <v>0</v>
      </c>
      <c r="I1453">
        <f>IF($E1453="","",IF($E1452="",$E1453,$E1453*0.0392156863+I1452*0.9607843137))</f>
        <v>0</v>
      </c>
      <c r="J1453">
        <f>IF($E1453="","",IF($E1452="",$E1453,$E1453*0.0198019802+J1452*0.9801980198))</f>
        <v>0</v>
      </c>
      <c r="K1453">
        <f>IF($E1453="","",IF($E1452="",$E1453,$E1453*0.0099502488+K1452*0.9900497512))</f>
        <v>0</v>
      </c>
      <c r="L1453">
        <f>IF(OR($E1453="",$E1452=""),"",MAX($E1453-$E1452,0))</f>
        <v>0</v>
      </c>
      <c r="M1453">
        <f>IF(OR($E1453="",$E1452=""),"",MAX($E1452-$E1453,0))</f>
        <v>0</v>
      </c>
      <c r="N1453">
        <f>IF(COUNT($E$2:$E1453)&lt;15,"",IF(AVERAGE($M$1440:$M$1453)=0,100,100-100/(1+AVERAGE($L$1440:$L$1453)/AVERAGE($M$1440:$M$1453))))</f>
        <v>0</v>
      </c>
      <c r="O1453">
        <f>IF($E1453="","",IF($E1452="",$E1453,$E1453*0.1538461538+O1452*0.8461538462))</f>
        <v>0</v>
      </c>
      <c r="P1453">
        <f>IF($E1453="","",IF($E1452="",$E1453,$E1453*0.0740740741+P1452*0.9259259259))</f>
        <v>0</v>
      </c>
      <c r="Q1453">
        <f>IF(OR(O1453="",P1453=""),"",O1453-P1453)</f>
        <v>0</v>
      </c>
      <c r="R1453">
        <f>IF(Q1453="","",IF(R1452="",Q1453,Q1453*0.2000000000+R1452*0.8000000000))</f>
        <v>0</v>
      </c>
      <c r="S1453">
        <f>IF(OR(Q1453="",R1453=""),"",Q1453-R1453)</f>
        <v>0</v>
      </c>
      <c r="T1453">
        <f>IF(COUNT($E$2:$E1453)&lt;14,"",MAX($C$1440:$C$1453))</f>
        <v>0</v>
      </c>
      <c r="U1453">
        <f>IF(COUNT($E$2:$E1453)&lt;14,"",MIN($D$1440:$D$1453))</f>
        <v>0</v>
      </c>
      <c r="V1453">
        <f>IF(OR(T1453="",U1453="",T1453=U1453),"",100*($E1453-U1453)/(T1453-U1453))</f>
        <v>0</v>
      </c>
      <c r="W1453">
        <f>IF(COUNT($V$1451:$V$1453)&lt;3,"",AVERAGE($V$1451:$V$1453))</f>
        <v>0</v>
      </c>
      <c r="X1453">
        <f>IF(COUNT($N$1440:$N$1453)&lt;14,"",MIN($N$1440:$N$1453))</f>
        <v>0</v>
      </c>
      <c r="Y1453">
        <f>IF(COUNT($N$1440:$N$1453)&lt;14,"",MAX($N$1440:$N$1453))</f>
        <v>0</v>
      </c>
      <c r="Z1453">
        <f>IF(OR(N1453="",X1453="",Y1453="",Y1453=X1453),"",100*(N1453-X1453)/(Y1453-X1453))</f>
        <v>0</v>
      </c>
      <c r="AA1453">
        <f>IF(COUNT($Z$1451:$Z$1453)&lt;3,"",AVERAGE($Z$1451:$Z$1453))</f>
        <v>0</v>
      </c>
      <c r="AB1453">
        <f>IF(COUNT($AA$1451:$AA$1453)&lt;3,"",AVERAGE($AA$1451:$AA$1453))</f>
        <v>0</v>
      </c>
      <c r="AC1453">
        <f>IF($E1453="","",MAX($C1453-$D1453,ABS($C1453-$E1452),ABS($D1453-$E1452)))</f>
        <v>0</v>
      </c>
      <c r="AD1453">
        <f>IF(COUNT($E$2:$E1453)&lt;15,"",AVERAGE($AC$1440:$AC$1453))</f>
        <v>0</v>
      </c>
      <c r="AE1453">
        <f>IF(OR($E1453="",$E1452=""),"",IF(AND(($C1453-$C1452)&gt;($D1452-$D1453),($C1453-$C1452)&gt;0),$C1453-$C1452,0))</f>
        <v>0</v>
      </c>
      <c r="AF1453">
        <f>IF(OR($E1453="",$E1452=""),"",IF(AND(($D1452-$D1453)&gt;($C1453-$C1452),($D1452-$D1453)&gt;0),$D1452-$D1453,0))</f>
        <v>0</v>
      </c>
      <c r="AG1453">
        <f>IF(COUNT($E$2:$E1453)&lt;15,"",IF(SUM($AC$1440:$AC$1453)=0,0,100*SUM($AE$1440:$AE$1453)/SUM($AC$1440:$AC$1453)))</f>
        <v>0</v>
      </c>
      <c r="AH1453">
        <f>IF(COUNT($E$2:$E1453)&lt;15,"",IF(SUM($AC$1440:$AC$1453)=0,0,100*SUM($AF$1440:$AF$1453)/SUM($AC$1440:$AC$1453)))</f>
        <v>0</v>
      </c>
      <c r="AI1453">
        <f>IF(OR(AG1453="",AH1453=""),"",IF((AG1453+AH1453)=0,0,100*ABS(AG1453-AH1453)/(AG1453+AH1453)))</f>
        <v>0</v>
      </c>
      <c r="AJ1453">
        <f>IF(COUNT($AI$1440:$AI$1453)&lt;14,"",AVERAGE($AI$1440:$AI$1453))</f>
        <v>0</v>
      </c>
      <c r="AK1453">
        <f>IF(COUNT($E$2:$E1453)&lt;20,"",AVERAGE($E$1434:$E$1453))</f>
        <v>0</v>
      </c>
      <c r="AL1453">
        <f>IF(COUNT($E$2:$E1453)&lt;20,"",STDEVP($E$1434:$E$1453))</f>
        <v>0</v>
      </c>
      <c r="AM1453">
        <f>IF(AK1453="","",AK1453+2*AL1453)</f>
        <v>0</v>
      </c>
      <c r="AN1453">
        <f>IF(AK1453="","",AK1453-2*AL1453)</f>
        <v>0</v>
      </c>
      <c r="AO1453">
        <f>IF(OR(AM1453="",AN1453="",AM1453=AN1453),"",($E1453-AN1453)/(AM1453-AN1453))</f>
        <v>0</v>
      </c>
      <c r="AP1453">
        <f>IF(OR(AM1453="",AK1453="",AK1453=0),"",(AM1453-AN1453)/AK1453)</f>
        <v>0</v>
      </c>
      <c r="AQ1453">
        <f>IF(COUNT($E$2:$E1453)&lt;20,"",MAX($C$1434:$C$1453))</f>
        <v>0</v>
      </c>
      <c r="AR1453">
        <f>IF(COUNT($E$2:$E1453)&lt;20,"",MIN($D$1434:$D$1453))</f>
        <v>0</v>
      </c>
      <c r="AS1453">
        <f>IF(OR(AQ1453="",AR1453=""),"",(AQ1453+AR1453)/2)</f>
        <v>0</v>
      </c>
      <c r="AT1453">
        <f>IF(COUNT($G$1434:$G$1453)&lt;20,"",STDEV($G$1434:$G$1453)*SQRT(252))</f>
        <v>0</v>
      </c>
      <c r="AU1453">
        <f>IF(COUNT($E$2:$E1453)&lt;9,"",(MAX($C$1445:$C$1453)+MIN($D$1445:$D$1453))/2)</f>
        <v>0</v>
      </c>
      <c r="AV1453">
        <f>IF(COUNT($E$2:$E1453)&lt;26,"",(MAX($C$1428:$C$1453)+MIN($D$1428:$D$1453))/2)</f>
        <v>0</v>
      </c>
      <c r="AW1453">
        <f>IF(OR(AU1453="",AV1453=""),"",(AU1453+AV1453)/2)</f>
        <v>0</v>
      </c>
      <c r="AX1453">
        <f>IF(COUNT($E$2:$E1453)&lt;52,"",(MAX($C$1402:$C$1453)+MIN($D$1402:$D$1453))/2)</f>
        <v>0</v>
      </c>
      <c r="AY1453">
        <f>IF(COUNT($E$2:$E1453)&lt;20,"",MAX($C$1354:$C$1453))</f>
        <v>0</v>
      </c>
      <c r="AZ1453">
        <f>IF(COUNT($E$2:$E1453)&lt;20,"",MIN($D$1354:$D$1453))</f>
        <v>0</v>
      </c>
      <c r="BA1453">
        <f>IF(COUNT($E$2:$E1453)&lt;20,"",SLOPE($E$1354:$E$1453,$F$1354:$F$1453))</f>
        <v>0</v>
      </c>
      <c r="BB1453">
        <f>IF(COUNT($E$2:$E1453)&lt;20,"",INTERCEPT($E$1354:$E$1453,$F$1354:$F$1453))</f>
        <v>0</v>
      </c>
      <c r="BC1453">
        <f>IF(OR(BA1453="",BB1453=""),"",BB1453+BA1453*F1453)</f>
        <v>0</v>
      </c>
      <c r="BD1453">
        <f>IF(COUNT($E$2:$E1453)&lt;20,"",STEYX($E$1354:$E$1453,$F$1354:$F$1453))</f>
        <v>0</v>
      </c>
      <c r="BE1453">
        <f>IF($E1453="","",IF(AND(COUNT($E$1454:$E$1457)&gt;=4,$C1453=MAX($C$1449:$C$1457)),$C1453,""))</f>
        <v>0</v>
      </c>
      <c r="BF1453">
        <f>IF($E1453="","",IF(AND(COUNT($E$1454:$E$1457)&gt;=4,$D1453=MIN($D$1449:$D$1457)),$D1453,""))</f>
        <v>0</v>
      </c>
      <c r="BG1453">
        <f>IF($A1453="","",$A1453-WEEKDAY($A1453,2)+1)</f>
        <v>0</v>
      </c>
      <c r="BH1453">
        <f>IF($A1453="","",IF($A1452="",1,IF(BG1453&lt;&gt;BG1452,1,0)))</f>
        <v>0</v>
      </c>
      <c r="BI1453">
        <f>IF($A1453="","",IF($A1454="",1,IF(BG1454&lt;&gt;BG1453,1,0)))</f>
        <v>0</v>
      </c>
      <c r="BJ1453">
        <f>IF($A1453="","",IF(BH1453=1,$B1453,BJ1452))</f>
        <v>0</v>
      </c>
      <c r="BK1453">
        <f>IF($A1453="","",IF(BH1453=1,$C1453,MAX($C1453,BK1452)))</f>
        <v>0</v>
      </c>
      <c r="BL1453">
        <f>IF($A1453="","",IF(BH1453=1,$D1453,MIN($D1453,BL1452)))</f>
        <v>0</v>
      </c>
      <c r="BM1453">
        <f>IF($A1453="","",IF(BI1453=1,F1453,""))</f>
        <v>0</v>
      </c>
      <c r="BN1453">
        <f>IF($A1453="","",DATE(YEAR($A1453),MONTH($A1453),1))</f>
        <v>0</v>
      </c>
      <c r="BO1453">
        <f>IF($A1453="","",IF($A1452="",1,IF(BN1453&lt;&gt;BN1452,1,0)))</f>
        <v>0</v>
      </c>
      <c r="BP1453">
        <f>IF($A1453="","",IF($A1454="",1,IF(BN1454&lt;&gt;BN1453,1,0)))</f>
        <v>0</v>
      </c>
      <c r="BQ1453">
        <f>IF($A1453="","",IF(BO1453=1,$B1453,BQ1452))</f>
        <v>0</v>
      </c>
      <c r="BR1453">
        <f>IF($A1453="","",IF(BO1453=1,$C1453,MAX($C1453,BR1452)))</f>
        <v>0</v>
      </c>
      <c r="BS1453">
        <f>IF($A1453="","",IF(BO1453=1,$D1453,MIN($D1453,BS1452)))</f>
        <v>0</v>
      </c>
      <c r="BT1453">
        <f>IF($A1453="","",IF(BP1453=1,F1453,""))</f>
        <v>0</v>
      </c>
    </row>
    <row r="1454" spans="1:72">
      <c r="A1454" s="27">
        <f>IF(Data!$A1454="","",Data!$A1454)</f>
        <v>0</v>
      </c>
      <c r="B1454">
        <f>IF(Data!$B1454="","",Data!$B1454)</f>
        <v>0</v>
      </c>
      <c r="C1454">
        <f>IF(Data!$C1454="","",Data!$C1454)</f>
        <v>0</v>
      </c>
      <c r="D1454">
        <f>IF(Data!$D1454="","",Data!$D1454)</f>
        <v>0</v>
      </c>
      <c r="E1454">
        <f>IF(Data!$E1454="","",Data!$E1454)</f>
        <v>0</v>
      </c>
      <c r="F1454">
        <f>IF($E1454="","",N(F1453)+1)</f>
        <v>0</v>
      </c>
      <c r="G1454">
        <f>IF(OR($E1454="",$E1453=""),"",LN($E1454/$E1453))</f>
        <v>0</v>
      </c>
      <c r="H1454">
        <f>IF($E1454="","",IF($E1453="",$E1454,$E1454*0.0952380952+H1453*0.9047619048))</f>
        <v>0</v>
      </c>
      <c r="I1454">
        <f>IF($E1454="","",IF($E1453="",$E1454,$E1454*0.0392156863+I1453*0.9607843137))</f>
        <v>0</v>
      </c>
      <c r="J1454">
        <f>IF($E1454="","",IF($E1453="",$E1454,$E1454*0.0198019802+J1453*0.9801980198))</f>
        <v>0</v>
      </c>
      <c r="K1454">
        <f>IF($E1454="","",IF($E1453="",$E1454,$E1454*0.0099502488+K1453*0.9900497512))</f>
        <v>0</v>
      </c>
      <c r="L1454">
        <f>IF(OR($E1454="",$E1453=""),"",MAX($E1454-$E1453,0))</f>
        <v>0</v>
      </c>
      <c r="M1454">
        <f>IF(OR($E1454="",$E1453=""),"",MAX($E1453-$E1454,0))</f>
        <v>0</v>
      </c>
      <c r="N1454">
        <f>IF(COUNT($E$2:$E1454)&lt;15,"",IF(AVERAGE($M$1441:$M$1454)=0,100,100-100/(1+AVERAGE($L$1441:$L$1454)/AVERAGE($M$1441:$M$1454))))</f>
        <v>0</v>
      </c>
      <c r="O1454">
        <f>IF($E1454="","",IF($E1453="",$E1454,$E1454*0.1538461538+O1453*0.8461538462))</f>
        <v>0</v>
      </c>
      <c r="P1454">
        <f>IF($E1454="","",IF($E1453="",$E1454,$E1454*0.0740740741+P1453*0.9259259259))</f>
        <v>0</v>
      </c>
      <c r="Q1454">
        <f>IF(OR(O1454="",P1454=""),"",O1454-P1454)</f>
        <v>0</v>
      </c>
      <c r="R1454">
        <f>IF(Q1454="","",IF(R1453="",Q1454,Q1454*0.2000000000+R1453*0.8000000000))</f>
        <v>0</v>
      </c>
      <c r="S1454">
        <f>IF(OR(Q1454="",R1454=""),"",Q1454-R1454)</f>
        <v>0</v>
      </c>
      <c r="T1454">
        <f>IF(COUNT($E$2:$E1454)&lt;14,"",MAX($C$1441:$C$1454))</f>
        <v>0</v>
      </c>
      <c r="U1454">
        <f>IF(COUNT($E$2:$E1454)&lt;14,"",MIN($D$1441:$D$1454))</f>
        <v>0</v>
      </c>
      <c r="V1454">
        <f>IF(OR(T1454="",U1454="",T1454=U1454),"",100*($E1454-U1454)/(T1454-U1454))</f>
        <v>0</v>
      </c>
      <c r="W1454">
        <f>IF(COUNT($V$1452:$V$1454)&lt;3,"",AVERAGE($V$1452:$V$1454))</f>
        <v>0</v>
      </c>
      <c r="X1454">
        <f>IF(COUNT($N$1441:$N$1454)&lt;14,"",MIN($N$1441:$N$1454))</f>
        <v>0</v>
      </c>
      <c r="Y1454">
        <f>IF(COUNT($N$1441:$N$1454)&lt;14,"",MAX($N$1441:$N$1454))</f>
        <v>0</v>
      </c>
      <c r="Z1454">
        <f>IF(OR(N1454="",X1454="",Y1454="",Y1454=X1454),"",100*(N1454-X1454)/(Y1454-X1454))</f>
        <v>0</v>
      </c>
      <c r="AA1454">
        <f>IF(COUNT($Z$1452:$Z$1454)&lt;3,"",AVERAGE($Z$1452:$Z$1454))</f>
        <v>0</v>
      </c>
      <c r="AB1454">
        <f>IF(COUNT($AA$1452:$AA$1454)&lt;3,"",AVERAGE($AA$1452:$AA$1454))</f>
        <v>0</v>
      </c>
      <c r="AC1454">
        <f>IF($E1454="","",MAX($C1454-$D1454,ABS($C1454-$E1453),ABS($D1454-$E1453)))</f>
        <v>0</v>
      </c>
      <c r="AD1454">
        <f>IF(COUNT($E$2:$E1454)&lt;15,"",AVERAGE($AC$1441:$AC$1454))</f>
        <v>0</v>
      </c>
      <c r="AE1454">
        <f>IF(OR($E1454="",$E1453=""),"",IF(AND(($C1454-$C1453)&gt;($D1453-$D1454),($C1454-$C1453)&gt;0),$C1454-$C1453,0))</f>
        <v>0</v>
      </c>
      <c r="AF1454">
        <f>IF(OR($E1454="",$E1453=""),"",IF(AND(($D1453-$D1454)&gt;($C1454-$C1453),($D1453-$D1454)&gt;0),$D1453-$D1454,0))</f>
        <v>0</v>
      </c>
      <c r="AG1454">
        <f>IF(COUNT($E$2:$E1454)&lt;15,"",IF(SUM($AC$1441:$AC$1454)=0,0,100*SUM($AE$1441:$AE$1454)/SUM($AC$1441:$AC$1454)))</f>
        <v>0</v>
      </c>
      <c r="AH1454">
        <f>IF(COUNT($E$2:$E1454)&lt;15,"",IF(SUM($AC$1441:$AC$1454)=0,0,100*SUM($AF$1441:$AF$1454)/SUM($AC$1441:$AC$1454)))</f>
        <v>0</v>
      </c>
      <c r="AI1454">
        <f>IF(OR(AG1454="",AH1454=""),"",IF((AG1454+AH1454)=0,0,100*ABS(AG1454-AH1454)/(AG1454+AH1454)))</f>
        <v>0</v>
      </c>
      <c r="AJ1454">
        <f>IF(COUNT($AI$1441:$AI$1454)&lt;14,"",AVERAGE($AI$1441:$AI$1454))</f>
        <v>0</v>
      </c>
      <c r="AK1454">
        <f>IF(COUNT($E$2:$E1454)&lt;20,"",AVERAGE($E$1435:$E$1454))</f>
        <v>0</v>
      </c>
      <c r="AL1454">
        <f>IF(COUNT($E$2:$E1454)&lt;20,"",STDEVP($E$1435:$E$1454))</f>
        <v>0</v>
      </c>
      <c r="AM1454">
        <f>IF(AK1454="","",AK1454+2*AL1454)</f>
        <v>0</v>
      </c>
      <c r="AN1454">
        <f>IF(AK1454="","",AK1454-2*AL1454)</f>
        <v>0</v>
      </c>
      <c r="AO1454">
        <f>IF(OR(AM1454="",AN1454="",AM1454=AN1454),"",($E1454-AN1454)/(AM1454-AN1454))</f>
        <v>0</v>
      </c>
      <c r="AP1454">
        <f>IF(OR(AM1454="",AK1454="",AK1454=0),"",(AM1454-AN1454)/AK1454)</f>
        <v>0</v>
      </c>
      <c r="AQ1454">
        <f>IF(COUNT($E$2:$E1454)&lt;20,"",MAX($C$1435:$C$1454))</f>
        <v>0</v>
      </c>
      <c r="AR1454">
        <f>IF(COUNT($E$2:$E1454)&lt;20,"",MIN($D$1435:$D$1454))</f>
        <v>0</v>
      </c>
      <c r="AS1454">
        <f>IF(OR(AQ1454="",AR1454=""),"",(AQ1454+AR1454)/2)</f>
        <v>0</v>
      </c>
      <c r="AT1454">
        <f>IF(COUNT($G$1435:$G$1454)&lt;20,"",STDEV($G$1435:$G$1454)*SQRT(252))</f>
        <v>0</v>
      </c>
      <c r="AU1454">
        <f>IF(COUNT($E$2:$E1454)&lt;9,"",(MAX($C$1446:$C$1454)+MIN($D$1446:$D$1454))/2)</f>
        <v>0</v>
      </c>
      <c r="AV1454">
        <f>IF(COUNT($E$2:$E1454)&lt;26,"",(MAX($C$1429:$C$1454)+MIN($D$1429:$D$1454))/2)</f>
        <v>0</v>
      </c>
      <c r="AW1454">
        <f>IF(OR(AU1454="",AV1454=""),"",(AU1454+AV1454)/2)</f>
        <v>0</v>
      </c>
      <c r="AX1454">
        <f>IF(COUNT($E$2:$E1454)&lt;52,"",(MAX($C$1403:$C$1454)+MIN($D$1403:$D$1454))/2)</f>
        <v>0</v>
      </c>
      <c r="AY1454">
        <f>IF(COUNT($E$2:$E1454)&lt;20,"",MAX($C$1355:$C$1454))</f>
        <v>0</v>
      </c>
      <c r="AZ1454">
        <f>IF(COUNT($E$2:$E1454)&lt;20,"",MIN($D$1355:$D$1454))</f>
        <v>0</v>
      </c>
      <c r="BA1454">
        <f>IF(COUNT($E$2:$E1454)&lt;20,"",SLOPE($E$1355:$E$1454,$F$1355:$F$1454))</f>
        <v>0</v>
      </c>
      <c r="BB1454">
        <f>IF(COUNT($E$2:$E1454)&lt;20,"",INTERCEPT($E$1355:$E$1454,$F$1355:$F$1454))</f>
        <v>0</v>
      </c>
      <c r="BC1454">
        <f>IF(OR(BA1454="",BB1454=""),"",BB1454+BA1454*F1454)</f>
        <v>0</v>
      </c>
      <c r="BD1454">
        <f>IF(COUNT($E$2:$E1454)&lt;20,"",STEYX($E$1355:$E$1454,$F$1355:$F$1454))</f>
        <v>0</v>
      </c>
      <c r="BE1454">
        <f>IF($E1454="","",IF(AND(COUNT($E$1455:$E$1458)&gt;=4,$C1454=MAX($C$1450:$C$1458)),$C1454,""))</f>
        <v>0</v>
      </c>
      <c r="BF1454">
        <f>IF($E1454="","",IF(AND(COUNT($E$1455:$E$1458)&gt;=4,$D1454=MIN($D$1450:$D$1458)),$D1454,""))</f>
        <v>0</v>
      </c>
      <c r="BG1454">
        <f>IF($A1454="","",$A1454-WEEKDAY($A1454,2)+1)</f>
        <v>0</v>
      </c>
      <c r="BH1454">
        <f>IF($A1454="","",IF($A1453="",1,IF(BG1454&lt;&gt;BG1453,1,0)))</f>
        <v>0</v>
      </c>
      <c r="BI1454">
        <f>IF($A1454="","",IF($A1455="",1,IF(BG1455&lt;&gt;BG1454,1,0)))</f>
        <v>0</v>
      </c>
      <c r="BJ1454">
        <f>IF($A1454="","",IF(BH1454=1,$B1454,BJ1453))</f>
        <v>0</v>
      </c>
      <c r="BK1454">
        <f>IF($A1454="","",IF(BH1454=1,$C1454,MAX($C1454,BK1453)))</f>
        <v>0</v>
      </c>
      <c r="BL1454">
        <f>IF($A1454="","",IF(BH1454=1,$D1454,MIN($D1454,BL1453)))</f>
        <v>0</v>
      </c>
      <c r="BM1454">
        <f>IF($A1454="","",IF(BI1454=1,F1454,""))</f>
        <v>0</v>
      </c>
      <c r="BN1454">
        <f>IF($A1454="","",DATE(YEAR($A1454),MONTH($A1454),1))</f>
        <v>0</v>
      </c>
      <c r="BO1454">
        <f>IF($A1454="","",IF($A1453="",1,IF(BN1454&lt;&gt;BN1453,1,0)))</f>
        <v>0</v>
      </c>
      <c r="BP1454">
        <f>IF($A1454="","",IF($A1455="",1,IF(BN1455&lt;&gt;BN1454,1,0)))</f>
        <v>0</v>
      </c>
      <c r="BQ1454">
        <f>IF($A1454="","",IF(BO1454=1,$B1454,BQ1453))</f>
        <v>0</v>
      </c>
      <c r="BR1454">
        <f>IF($A1454="","",IF(BO1454=1,$C1454,MAX($C1454,BR1453)))</f>
        <v>0</v>
      </c>
      <c r="BS1454">
        <f>IF($A1454="","",IF(BO1454=1,$D1454,MIN($D1454,BS1453)))</f>
        <v>0</v>
      </c>
      <c r="BT1454">
        <f>IF($A1454="","",IF(BP1454=1,F1454,""))</f>
        <v>0</v>
      </c>
    </row>
    <row r="1455" spans="1:72">
      <c r="A1455" s="27">
        <f>IF(Data!$A1455="","",Data!$A1455)</f>
        <v>0</v>
      </c>
      <c r="B1455">
        <f>IF(Data!$B1455="","",Data!$B1455)</f>
        <v>0</v>
      </c>
      <c r="C1455">
        <f>IF(Data!$C1455="","",Data!$C1455)</f>
        <v>0</v>
      </c>
      <c r="D1455">
        <f>IF(Data!$D1455="","",Data!$D1455)</f>
        <v>0</v>
      </c>
      <c r="E1455">
        <f>IF(Data!$E1455="","",Data!$E1455)</f>
        <v>0</v>
      </c>
      <c r="F1455">
        <f>IF($E1455="","",N(F1454)+1)</f>
        <v>0</v>
      </c>
      <c r="G1455">
        <f>IF(OR($E1455="",$E1454=""),"",LN($E1455/$E1454))</f>
        <v>0</v>
      </c>
      <c r="H1455">
        <f>IF($E1455="","",IF($E1454="",$E1455,$E1455*0.0952380952+H1454*0.9047619048))</f>
        <v>0</v>
      </c>
      <c r="I1455">
        <f>IF($E1455="","",IF($E1454="",$E1455,$E1455*0.0392156863+I1454*0.9607843137))</f>
        <v>0</v>
      </c>
      <c r="J1455">
        <f>IF($E1455="","",IF($E1454="",$E1455,$E1455*0.0198019802+J1454*0.9801980198))</f>
        <v>0</v>
      </c>
      <c r="K1455">
        <f>IF($E1455="","",IF($E1454="",$E1455,$E1455*0.0099502488+K1454*0.9900497512))</f>
        <v>0</v>
      </c>
      <c r="L1455">
        <f>IF(OR($E1455="",$E1454=""),"",MAX($E1455-$E1454,0))</f>
        <v>0</v>
      </c>
      <c r="M1455">
        <f>IF(OR($E1455="",$E1454=""),"",MAX($E1454-$E1455,0))</f>
        <v>0</v>
      </c>
      <c r="N1455">
        <f>IF(COUNT($E$2:$E1455)&lt;15,"",IF(AVERAGE($M$1442:$M$1455)=0,100,100-100/(1+AVERAGE($L$1442:$L$1455)/AVERAGE($M$1442:$M$1455))))</f>
        <v>0</v>
      </c>
      <c r="O1455">
        <f>IF($E1455="","",IF($E1454="",$E1455,$E1455*0.1538461538+O1454*0.8461538462))</f>
        <v>0</v>
      </c>
      <c r="P1455">
        <f>IF($E1455="","",IF($E1454="",$E1455,$E1455*0.0740740741+P1454*0.9259259259))</f>
        <v>0</v>
      </c>
      <c r="Q1455">
        <f>IF(OR(O1455="",P1455=""),"",O1455-P1455)</f>
        <v>0</v>
      </c>
      <c r="R1455">
        <f>IF(Q1455="","",IF(R1454="",Q1455,Q1455*0.2000000000+R1454*0.8000000000))</f>
        <v>0</v>
      </c>
      <c r="S1455">
        <f>IF(OR(Q1455="",R1455=""),"",Q1455-R1455)</f>
        <v>0</v>
      </c>
      <c r="T1455">
        <f>IF(COUNT($E$2:$E1455)&lt;14,"",MAX($C$1442:$C$1455))</f>
        <v>0</v>
      </c>
      <c r="U1455">
        <f>IF(COUNT($E$2:$E1455)&lt;14,"",MIN($D$1442:$D$1455))</f>
        <v>0</v>
      </c>
      <c r="V1455">
        <f>IF(OR(T1455="",U1455="",T1455=U1455),"",100*($E1455-U1455)/(T1455-U1455))</f>
        <v>0</v>
      </c>
      <c r="W1455">
        <f>IF(COUNT($V$1453:$V$1455)&lt;3,"",AVERAGE($V$1453:$V$1455))</f>
        <v>0</v>
      </c>
      <c r="X1455">
        <f>IF(COUNT($N$1442:$N$1455)&lt;14,"",MIN($N$1442:$N$1455))</f>
        <v>0</v>
      </c>
      <c r="Y1455">
        <f>IF(COUNT($N$1442:$N$1455)&lt;14,"",MAX($N$1442:$N$1455))</f>
        <v>0</v>
      </c>
      <c r="Z1455">
        <f>IF(OR(N1455="",X1455="",Y1455="",Y1455=X1455),"",100*(N1455-X1455)/(Y1455-X1455))</f>
        <v>0</v>
      </c>
      <c r="AA1455">
        <f>IF(COUNT($Z$1453:$Z$1455)&lt;3,"",AVERAGE($Z$1453:$Z$1455))</f>
        <v>0</v>
      </c>
      <c r="AB1455">
        <f>IF(COUNT($AA$1453:$AA$1455)&lt;3,"",AVERAGE($AA$1453:$AA$1455))</f>
        <v>0</v>
      </c>
      <c r="AC1455">
        <f>IF($E1455="","",MAX($C1455-$D1455,ABS($C1455-$E1454),ABS($D1455-$E1454)))</f>
        <v>0</v>
      </c>
      <c r="AD1455">
        <f>IF(COUNT($E$2:$E1455)&lt;15,"",AVERAGE($AC$1442:$AC$1455))</f>
        <v>0</v>
      </c>
      <c r="AE1455">
        <f>IF(OR($E1455="",$E1454=""),"",IF(AND(($C1455-$C1454)&gt;($D1454-$D1455),($C1455-$C1454)&gt;0),$C1455-$C1454,0))</f>
        <v>0</v>
      </c>
      <c r="AF1455">
        <f>IF(OR($E1455="",$E1454=""),"",IF(AND(($D1454-$D1455)&gt;($C1455-$C1454),($D1454-$D1455)&gt;0),$D1454-$D1455,0))</f>
        <v>0</v>
      </c>
      <c r="AG1455">
        <f>IF(COUNT($E$2:$E1455)&lt;15,"",IF(SUM($AC$1442:$AC$1455)=0,0,100*SUM($AE$1442:$AE$1455)/SUM($AC$1442:$AC$1455)))</f>
        <v>0</v>
      </c>
      <c r="AH1455">
        <f>IF(COUNT($E$2:$E1455)&lt;15,"",IF(SUM($AC$1442:$AC$1455)=0,0,100*SUM($AF$1442:$AF$1455)/SUM($AC$1442:$AC$1455)))</f>
        <v>0</v>
      </c>
      <c r="AI1455">
        <f>IF(OR(AG1455="",AH1455=""),"",IF((AG1455+AH1455)=0,0,100*ABS(AG1455-AH1455)/(AG1455+AH1455)))</f>
        <v>0</v>
      </c>
      <c r="AJ1455">
        <f>IF(COUNT($AI$1442:$AI$1455)&lt;14,"",AVERAGE($AI$1442:$AI$1455))</f>
        <v>0</v>
      </c>
      <c r="AK1455">
        <f>IF(COUNT($E$2:$E1455)&lt;20,"",AVERAGE($E$1436:$E$1455))</f>
        <v>0</v>
      </c>
      <c r="AL1455">
        <f>IF(COUNT($E$2:$E1455)&lt;20,"",STDEVP($E$1436:$E$1455))</f>
        <v>0</v>
      </c>
      <c r="AM1455">
        <f>IF(AK1455="","",AK1455+2*AL1455)</f>
        <v>0</v>
      </c>
      <c r="AN1455">
        <f>IF(AK1455="","",AK1455-2*AL1455)</f>
        <v>0</v>
      </c>
      <c r="AO1455">
        <f>IF(OR(AM1455="",AN1455="",AM1455=AN1455),"",($E1455-AN1455)/(AM1455-AN1455))</f>
        <v>0</v>
      </c>
      <c r="AP1455">
        <f>IF(OR(AM1455="",AK1455="",AK1455=0),"",(AM1455-AN1455)/AK1455)</f>
        <v>0</v>
      </c>
      <c r="AQ1455">
        <f>IF(COUNT($E$2:$E1455)&lt;20,"",MAX($C$1436:$C$1455))</f>
        <v>0</v>
      </c>
      <c r="AR1455">
        <f>IF(COUNT($E$2:$E1455)&lt;20,"",MIN($D$1436:$D$1455))</f>
        <v>0</v>
      </c>
      <c r="AS1455">
        <f>IF(OR(AQ1455="",AR1455=""),"",(AQ1455+AR1455)/2)</f>
        <v>0</v>
      </c>
      <c r="AT1455">
        <f>IF(COUNT($G$1436:$G$1455)&lt;20,"",STDEV($G$1436:$G$1455)*SQRT(252))</f>
        <v>0</v>
      </c>
      <c r="AU1455">
        <f>IF(COUNT($E$2:$E1455)&lt;9,"",(MAX($C$1447:$C$1455)+MIN($D$1447:$D$1455))/2)</f>
        <v>0</v>
      </c>
      <c r="AV1455">
        <f>IF(COUNT($E$2:$E1455)&lt;26,"",(MAX($C$1430:$C$1455)+MIN($D$1430:$D$1455))/2)</f>
        <v>0</v>
      </c>
      <c r="AW1455">
        <f>IF(OR(AU1455="",AV1455=""),"",(AU1455+AV1455)/2)</f>
        <v>0</v>
      </c>
      <c r="AX1455">
        <f>IF(COUNT($E$2:$E1455)&lt;52,"",(MAX($C$1404:$C$1455)+MIN($D$1404:$D$1455))/2)</f>
        <v>0</v>
      </c>
      <c r="AY1455">
        <f>IF(COUNT($E$2:$E1455)&lt;20,"",MAX($C$1356:$C$1455))</f>
        <v>0</v>
      </c>
      <c r="AZ1455">
        <f>IF(COUNT($E$2:$E1455)&lt;20,"",MIN($D$1356:$D$1455))</f>
        <v>0</v>
      </c>
      <c r="BA1455">
        <f>IF(COUNT($E$2:$E1455)&lt;20,"",SLOPE($E$1356:$E$1455,$F$1356:$F$1455))</f>
        <v>0</v>
      </c>
      <c r="BB1455">
        <f>IF(COUNT($E$2:$E1455)&lt;20,"",INTERCEPT($E$1356:$E$1455,$F$1356:$F$1455))</f>
        <v>0</v>
      </c>
      <c r="BC1455">
        <f>IF(OR(BA1455="",BB1455=""),"",BB1455+BA1455*F1455)</f>
        <v>0</v>
      </c>
      <c r="BD1455">
        <f>IF(COUNT($E$2:$E1455)&lt;20,"",STEYX($E$1356:$E$1455,$F$1356:$F$1455))</f>
        <v>0</v>
      </c>
      <c r="BE1455">
        <f>IF($E1455="","",IF(AND(COUNT($E$1456:$E$1459)&gt;=4,$C1455=MAX($C$1451:$C$1459)),$C1455,""))</f>
        <v>0</v>
      </c>
      <c r="BF1455">
        <f>IF($E1455="","",IF(AND(COUNT($E$1456:$E$1459)&gt;=4,$D1455=MIN($D$1451:$D$1459)),$D1455,""))</f>
        <v>0</v>
      </c>
      <c r="BG1455">
        <f>IF($A1455="","",$A1455-WEEKDAY($A1455,2)+1)</f>
        <v>0</v>
      </c>
      <c r="BH1455">
        <f>IF($A1455="","",IF($A1454="",1,IF(BG1455&lt;&gt;BG1454,1,0)))</f>
        <v>0</v>
      </c>
      <c r="BI1455">
        <f>IF($A1455="","",IF($A1456="",1,IF(BG1456&lt;&gt;BG1455,1,0)))</f>
        <v>0</v>
      </c>
      <c r="BJ1455">
        <f>IF($A1455="","",IF(BH1455=1,$B1455,BJ1454))</f>
        <v>0</v>
      </c>
      <c r="BK1455">
        <f>IF($A1455="","",IF(BH1455=1,$C1455,MAX($C1455,BK1454)))</f>
        <v>0</v>
      </c>
      <c r="BL1455">
        <f>IF($A1455="","",IF(BH1455=1,$D1455,MIN($D1455,BL1454)))</f>
        <v>0</v>
      </c>
      <c r="BM1455">
        <f>IF($A1455="","",IF(BI1455=1,F1455,""))</f>
        <v>0</v>
      </c>
      <c r="BN1455">
        <f>IF($A1455="","",DATE(YEAR($A1455),MONTH($A1455),1))</f>
        <v>0</v>
      </c>
      <c r="BO1455">
        <f>IF($A1455="","",IF($A1454="",1,IF(BN1455&lt;&gt;BN1454,1,0)))</f>
        <v>0</v>
      </c>
      <c r="BP1455">
        <f>IF($A1455="","",IF($A1456="",1,IF(BN1456&lt;&gt;BN1455,1,0)))</f>
        <v>0</v>
      </c>
      <c r="BQ1455">
        <f>IF($A1455="","",IF(BO1455=1,$B1455,BQ1454))</f>
        <v>0</v>
      </c>
      <c r="BR1455">
        <f>IF($A1455="","",IF(BO1455=1,$C1455,MAX($C1455,BR1454)))</f>
        <v>0</v>
      </c>
      <c r="BS1455">
        <f>IF($A1455="","",IF(BO1455=1,$D1455,MIN($D1455,BS1454)))</f>
        <v>0</v>
      </c>
      <c r="BT1455">
        <f>IF($A1455="","",IF(BP1455=1,F1455,""))</f>
        <v>0</v>
      </c>
    </row>
    <row r="1456" spans="1:72">
      <c r="A1456" s="27">
        <f>IF(Data!$A1456="","",Data!$A1456)</f>
        <v>0</v>
      </c>
      <c r="B1456">
        <f>IF(Data!$B1456="","",Data!$B1456)</f>
        <v>0</v>
      </c>
      <c r="C1456">
        <f>IF(Data!$C1456="","",Data!$C1456)</f>
        <v>0</v>
      </c>
      <c r="D1456">
        <f>IF(Data!$D1456="","",Data!$D1456)</f>
        <v>0</v>
      </c>
      <c r="E1456">
        <f>IF(Data!$E1456="","",Data!$E1456)</f>
        <v>0</v>
      </c>
      <c r="F1456">
        <f>IF($E1456="","",N(F1455)+1)</f>
        <v>0</v>
      </c>
      <c r="G1456">
        <f>IF(OR($E1456="",$E1455=""),"",LN($E1456/$E1455))</f>
        <v>0</v>
      </c>
      <c r="H1456">
        <f>IF($E1456="","",IF($E1455="",$E1456,$E1456*0.0952380952+H1455*0.9047619048))</f>
        <v>0</v>
      </c>
      <c r="I1456">
        <f>IF($E1456="","",IF($E1455="",$E1456,$E1456*0.0392156863+I1455*0.9607843137))</f>
        <v>0</v>
      </c>
      <c r="J1456">
        <f>IF($E1456="","",IF($E1455="",$E1456,$E1456*0.0198019802+J1455*0.9801980198))</f>
        <v>0</v>
      </c>
      <c r="K1456">
        <f>IF($E1456="","",IF($E1455="",$E1456,$E1456*0.0099502488+K1455*0.9900497512))</f>
        <v>0</v>
      </c>
      <c r="L1456">
        <f>IF(OR($E1456="",$E1455=""),"",MAX($E1456-$E1455,0))</f>
        <v>0</v>
      </c>
      <c r="M1456">
        <f>IF(OR($E1456="",$E1455=""),"",MAX($E1455-$E1456,0))</f>
        <v>0</v>
      </c>
      <c r="N1456">
        <f>IF(COUNT($E$2:$E1456)&lt;15,"",IF(AVERAGE($M$1443:$M$1456)=0,100,100-100/(1+AVERAGE($L$1443:$L$1456)/AVERAGE($M$1443:$M$1456))))</f>
        <v>0</v>
      </c>
      <c r="O1456">
        <f>IF($E1456="","",IF($E1455="",$E1456,$E1456*0.1538461538+O1455*0.8461538462))</f>
        <v>0</v>
      </c>
      <c r="P1456">
        <f>IF($E1456="","",IF($E1455="",$E1456,$E1456*0.0740740741+P1455*0.9259259259))</f>
        <v>0</v>
      </c>
      <c r="Q1456">
        <f>IF(OR(O1456="",P1456=""),"",O1456-P1456)</f>
        <v>0</v>
      </c>
      <c r="R1456">
        <f>IF(Q1456="","",IF(R1455="",Q1456,Q1456*0.2000000000+R1455*0.8000000000))</f>
        <v>0</v>
      </c>
      <c r="S1456">
        <f>IF(OR(Q1456="",R1456=""),"",Q1456-R1456)</f>
        <v>0</v>
      </c>
      <c r="T1456">
        <f>IF(COUNT($E$2:$E1456)&lt;14,"",MAX($C$1443:$C$1456))</f>
        <v>0</v>
      </c>
      <c r="U1456">
        <f>IF(COUNT($E$2:$E1456)&lt;14,"",MIN($D$1443:$D$1456))</f>
        <v>0</v>
      </c>
      <c r="V1456">
        <f>IF(OR(T1456="",U1456="",T1456=U1456),"",100*($E1456-U1456)/(T1456-U1456))</f>
        <v>0</v>
      </c>
      <c r="W1456">
        <f>IF(COUNT($V$1454:$V$1456)&lt;3,"",AVERAGE($V$1454:$V$1456))</f>
        <v>0</v>
      </c>
      <c r="X1456">
        <f>IF(COUNT($N$1443:$N$1456)&lt;14,"",MIN($N$1443:$N$1456))</f>
        <v>0</v>
      </c>
      <c r="Y1456">
        <f>IF(COUNT($N$1443:$N$1456)&lt;14,"",MAX($N$1443:$N$1456))</f>
        <v>0</v>
      </c>
      <c r="Z1456">
        <f>IF(OR(N1456="",X1456="",Y1456="",Y1456=X1456),"",100*(N1456-X1456)/(Y1456-X1456))</f>
        <v>0</v>
      </c>
      <c r="AA1456">
        <f>IF(COUNT($Z$1454:$Z$1456)&lt;3,"",AVERAGE($Z$1454:$Z$1456))</f>
        <v>0</v>
      </c>
      <c r="AB1456">
        <f>IF(COUNT($AA$1454:$AA$1456)&lt;3,"",AVERAGE($AA$1454:$AA$1456))</f>
        <v>0</v>
      </c>
      <c r="AC1456">
        <f>IF($E1456="","",MAX($C1456-$D1456,ABS($C1456-$E1455),ABS($D1456-$E1455)))</f>
        <v>0</v>
      </c>
      <c r="AD1456">
        <f>IF(COUNT($E$2:$E1456)&lt;15,"",AVERAGE($AC$1443:$AC$1456))</f>
        <v>0</v>
      </c>
      <c r="AE1456">
        <f>IF(OR($E1456="",$E1455=""),"",IF(AND(($C1456-$C1455)&gt;($D1455-$D1456),($C1456-$C1455)&gt;0),$C1456-$C1455,0))</f>
        <v>0</v>
      </c>
      <c r="AF1456">
        <f>IF(OR($E1456="",$E1455=""),"",IF(AND(($D1455-$D1456)&gt;($C1456-$C1455),($D1455-$D1456)&gt;0),$D1455-$D1456,0))</f>
        <v>0</v>
      </c>
      <c r="AG1456">
        <f>IF(COUNT($E$2:$E1456)&lt;15,"",IF(SUM($AC$1443:$AC$1456)=0,0,100*SUM($AE$1443:$AE$1456)/SUM($AC$1443:$AC$1456)))</f>
        <v>0</v>
      </c>
      <c r="AH1456">
        <f>IF(COUNT($E$2:$E1456)&lt;15,"",IF(SUM($AC$1443:$AC$1456)=0,0,100*SUM($AF$1443:$AF$1456)/SUM($AC$1443:$AC$1456)))</f>
        <v>0</v>
      </c>
      <c r="AI1456">
        <f>IF(OR(AG1456="",AH1456=""),"",IF((AG1456+AH1456)=0,0,100*ABS(AG1456-AH1456)/(AG1456+AH1456)))</f>
        <v>0</v>
      </c>
      <c r="AJ1456">
        <f>IF(COUNT($AI$1443:$AI$1456)&lt;14,"",AVERAGE($AI$1443:$AI$1456))</f>
        <v>0</v>
      </c>
      <c r="AK1456">
        <f>IF(COUNT($E$2:$E1456)&lt;20,"",AVERAGE($E$1437:$E$1456))</f>
        <v>0</v>
      </c>
      <c r="AL1456">
        <f>IF(COUNT($E$2:$E1456)&lt;20,"",STDEVP($E$1437:$E$1456))</f>
        <v>0</v>
      </c>
      <c r="AM1456">
        <f>IF(AK1456="","",AK1456+2*AL1456)</f>
        <v>0</v>
      </c>
      <c r="AN1456">
        <f>IF(AK1456="","",AK1456-2*AL1456)</f>
        <v>0</v>
      </c>
      <c r="AO1456">
        <f>IF(OR(AM1456="",AN1456="",AM1456=AN1456),"",($E1456-AN1456)/(AM1456-AN1456))</f>
        <v>0</v>
      </c>
      <c r="AP1456">
        <f>IF(OR(AM1456="",AK1456="",AK1456=0),"",(AM1456-AN1456)/AK1456)</f>
        <v>0</v>
      </c>
      <c r="AQ1456">
        <f>IF(COUNT($E$2:$E1456)&lt;20,"",MAX($C$1437:$C$1456))</f>
        <v>0</v>
      </c>
      <c r="AR1456">
        <f>IF(COUNT($E$2:$E1456)&lt;20,"",MIN($D$1437:$D$1456))</f>
        <v>0</v>
      </c>
      <c r="AS1456">
        <f>IF(OR(AQ1456="",AR1456=""),"",(AQ1456+AR1456)/2)</f>
        <v>0</v>
      </c>
      <c r="AT1456">
        <f>IF(COUNT($G$1437:$G$1456)&lt;20,"",STDEV($G$1437:$G$1456)*SQRT(252))</f>
        <v>0</v>
      </c>
      <c r="AU1456">
        <f>IF(COUNT($E$2:$E1456)&lt;9,"",(MAX($C$1448:$C$1456)+MIN($D$1448:$D$1456))/2)</f>
        <v>0</v>
      </c>
      <c r="AV1456">
        <f>IF(COUNT($E$2:$E1456)&lt;26,"",(MAX($C$1431:$C$1456)+MIN($D$1431:$D$1456))/2)</f>
        <v>0</v>
      </c>
      <c r="AW1456">
        <f>IF(OR(AU1456="",AV1456=""),"",(AU1456+AV1456)/2)</f>
        <v>0</v>
      </c>
      <c r="AX1456">
        <f>IF(COUNT($E$2:$E1456)&lt;52,"",(MAX($C$1405:$C$1456)+MIN($D$1405:$D$1456))/2)</f>
        <v>0</v>
      </c>
      <c r="AY1456">
        <f>IF(COUNT($E$2:$E1456)&lt;20,"",MAX($C$1357:$C$1456))</f>
        <v>0</v>
      </c>
      <c r="AZ1456">
        <f>IF(COUNT($E$2:$E1456)&lt;20,"",MIN($D$1357:$D$1456))</f>
        <v>0</v>
      </c>
      <c r="BA1456">
        <f>IF(COUNT($E$2:$E1456)&lt;20,"",SLOPE($E$1357:$E$1456,$F$1357:$F$1456))</f>
        <v>0</v>
      </c>
      <c r="BB1456">
        <f>IF(COUNT($E$2:$E1456)&lt;20,"",INTERCEPT($E$1357:$E$1456,$F$1357:$F$1456))</f>
        <v>0</v>
      </c>
      <c r="BC1456">
        <f>IF(OR(BA1456="",BB1456=""),"",BB1456+BA1456*F1456)</f>
        <v>0</v>
      </c>
      <c r="BD1456">
        <f>IF(COUNT($E$2:$E1456)&lt;20,"",STEYX($E$1357:$E$1456,$F$1357:$F$1456))</f>
        <v>0</v>
      </c>
      <c r="BE1456">
        <f>IF($E1456="","",IF(AND(COUNT($E$1457:$E$1460)&gt;=4,$C1456=MAX($C$1452:$C$1460)),$C1456,""))</f>
        <v>0</v>
      </c>
      <c r="BF1456">
        <f>IF($E1456="","",IF(AND(COUNT($E$1457:$E$1460)&gt;=4,$D1456=MIN($D$1452:$D$1460)),$D1456,""))</f>
        <v>0</v>
      </c>
      <c r="BG1456">
        <f>IF($A1456="","",$A1456-WEEKDAY($A1456,2)+1)</f>
        <v>0</v>
      </c>
      <c r="BH1456">
        <f>IF($A1456="","",IF($A1455="",1,IF(BG1456&lt;&gt;BG1455,1,0)))</f>
        <v>0</v>
      </c>
      <c r="BI1456">
        <f>IF($A1456="","",IF($A1457="",1,IF(BG1457&lt;&gt;BG1456,1,0)))</f>
        <v>0</v>
      </c>
      <c r="BJ1456">
        <f>IF($A1456="","",IF(BH1456=1,$B1456,BJ1455))</f>
        <v>0</v>
      </c>
      <c r="BK1456">
        <f>IF($A1456="","",IF(BH1456=1,$C1456,MAX($C1456,BK1455)))</f>
        <v>0</v>
      </c>
      <c r="BL1456">
        <f>IF($A1456="","",IF(BH1456=1,$D1456,MIN($D1456,BL1455)))</f>
        <v>0</v>
      </c>
      <c r="BM1456">
        <f>IF($A1456="","",IF(BI1456=1,F1456,""))</f>
        <v>0</v>
      </c>
      <c r="BN1456">
        <f>IF($A1456="","",DATE(YEAR($A1456),MONTH($A1456),1))</f>
        <v>0</v>
      </c>
      <c r="BO1456">
        <f>IF($A1456="","",IF($A1455="",1,IF(BN1456&lt;&gt;BN1455,1,0)))</f>
        <v>0</v>
      </c>
      <c r="BP1456">
        <f>IF($A1456="","",IF($A1457="",1,IF(BN1457&lt;&gt;BN1456,1,0)))</f>
        <v>0</v>
      </c>
      <c r="BQ1456">
        <f>IF($A1456="","",IF(BO1456=1,$B1456,BQ1455))</f>
        <v>0</v>
      </c>
      <c r="BR1456">
        <f>IF($A1456="","",IF(BO1456=1,$C1456,MAX($C1456,BR1455)))</f>
        <v>0</v>
      </c>
      <c r="BS1456">
        <f>IF($A1456="","",IF(BO1456=1,$D1456,MIN($D1456,BS1455)))</f>
        <v>0</v>
      </c>
      <c r="BT1456">
        <f>IF($A1456="","",IF(BP1456=1,F1456,""))</f>
        <v>0</v>
      </c>
    </row>
    <row r="1457" spans="1:72">
      <c r="A1457" s="27">
        <f>IF(Data!$A1457="","",Data!$A1457)</f>
        <v>0</v>
      </c>
      <c r="B1457">
        <f>IF(Data!$B1457="","",Data!$B1457)</f>
        <v>0</v>
      </c>
      <c r="C1457">
        <f>IF(Data!$C1457="","",Data!$C1457)</f>
        <v>0</v>
      </c>
      <c r="D1457">
        <f>IF(Data!$D1457="","",Data!$D1457)</f>
        <v>0</v>
      </c>
      <c r="E1457">
        <f>IF(Data!$E1457="","",Data!$E1457)</f>
        <v>0</v>
      </c>
      <c r="F1457">
        <f>IF($E1457="","",N(F1456)+1)</f>
        <v>0</v>
      </c>
      <c r="G1457">
        <f>IF(OR($E1457="",$E1456=""),"",LN($E1457/$E1456))</f>
        <v>0</v>
      </c>
      <c r="H1457">
        <f>IF($E1457="","",IF($E1456="",$E1457,$E1457*0.0952380952+H1456*0.9047619048))</f>
        <v>0</v>
      </c>
      <c r="I1457">
        <f>IF($E1457="","",IF($E1456="",$E1457,$E1457*0.0392156863+I1456*0.9607843137))</f>
        <v>0</v>
      </c>
      <c r="J1457">
        <f>IF($E1457="","",IF($E1456="",$E1457,$E1457*0.0198019802+J1456*0.9801980198))</f>
        <v>0</v>
      </c>
      <c r="K1457">
        <f>IF($E1457="","",IF($E1456="",$E1457,$E1457*0.0099502488+K1456*0.9900497512))</f>
        <v>0</v>
      </c>
      <c r="L1457">
        <f>IF(OR($E1457="",$E1456=""),"",MAX($E1457-$E1456,0))</f>
        <v>0</v>
      </c>
      <c r="M1457">
        <f>IF(OR($E1457="",$E1456=""),"",MAX($E1456-$E1457,0))</f>
        <v>0</v>
      </c>
      <c r="N1457">
        <f>IF(COUNT($E$2:$E1457)&lt;15,"",IF(AVERAGE($M$1444:$M$1457)=0,100,100-100/(1+AVERAGE($L$1444:$L$1457)/AVERAGE($M$1444:$M$1457))))</f>
        <v>0</v>
      </c>
      <c r="O1457">
        <f>IF($E1457="","",IF($E1456="",$E1457,$E1457*0.1538461538+O1456*0.8461538462))</f>
        <v>0</v>
      </c>
      <c r="P1457">
        <f>IF($E1457="","",IF($E1456="",$E1457,$E1457*0.0740740741+P1456*0.9259259259))</f>
        <v>0</v>
      </c>
      <c r="Q1457">
        <f>IF(OR(O1457="",P1457=""),"",O1457-P1457)</f>
        <v>0</v>
      </c>
      <c r="R1457">
        <f>IF(Q1457="","",IF(R1456="",Q1457,Q1457*0.2000000000+R1456*0.8000000000))</f>
        <v>0</v>
      </c>
      <c r="S1457">
        <f>IF(OR(Q1457="",R1457=""),"",Q1457-R1457)</f>
        <v>0</v>
      </c>
      <c r="T1457">
        <f>IF(COUNT($E$2:$E1457)&lt;14,"",MAX($C$1444:$C$1457))</f>
        <v>0</v>
      </c>
      <c r="U1457">
        <f>IF(COUNT($E$2:$E1457)&lt;14,"",MIN($D$1444:$D$1457))</f>
        <v>0</v>
      </c>
      <c r="V1457">
        <f>IF(OR(T1457="",U1457="",T1457=U1457),"",100*($E1457-U1457)/(T1457-U1457))</f>
        <v>0</v>
      </c>
      <c r="W1457">
        <f>IF(COUNT($V$1455:$V$1457)&lt;3,"",AVERAGE($V$1455:$V$1457))</f>
        <v>0</v>
      </c>
      <c r="X1457">
        <f>IF(COUNT($N$1444:$N$1457)&lt;14,"",MIN($N$1444:$N$1457))</f>
        <v>0</v>
      </c>
      <c r="Y1457">
        <f>IF(COUNT($N$1444:$N$1457)&lt;14,"",MAX($N$1444:$N$1457))</f>
        <v>0</v>
      </c>
      <c r="Z1457">
        <f>IF(OR(N1457="",X1457="",Y1457="",Y1457=X1457),"",100*(N1457-X1457)/(Y1457-X1457))</f>
        <v>0</v>
      </c>
      <c r="AA1457">
        <f>IF(COUNT($Z$1455:$Z$1457)&lt;3,"",AVERAGE($Z$1455:$Z$1457))</f>
        <v>0</v>
      </c>
      <c r="AB1457">
        <f>IF(COUNT($AA$1455:$AA$1457)&lt;3,"",AVERAGE($AA$1455:$AA$1457))</f>
        <v>0</v>
      </c>
      <c r="AC1457">
        <f>IF($E1457="","",MAX($C1457-$D1457,ABS($C1457-$E1456),ABS($D1457-$E1456)))</f>
        <v>0</v>
      </c>
      <c r="AD1457">
        <f>IF(COUNT($E$2:$E1457)&lt;15,"",AVERAGE($AC$1444:$AC$1457))</f>
        <v>0</v>
      </c>
      <c r="AE1457">
        <f>IF(OR($E1457="",$E1456=""),"",IF(AND(($C1457-$C1456)&gt;($D1456-$D1457),($C1457-$C1456)&gt;0),$C1457-$C1456,0))</f>
        <v>0</v>
      </c>
      <c r="AF1457">
        <f>IF(OR($E1457="",$E1456=""),"",IF(AND(($D1456-$D1457)&gt;($C1457-$C1456),($D1456-$D1457)&gt;0),$D1456-$D1457,0))</f>
        <v>0</v>
      </c>
      <c r="AG1457">
        <f>IF(COUNT($E$2:$E1457)&lt;15,"",IF(SUM($AC$1444:$AC$1457)=0,0,100*SUM($AE$1444:$AE$1457)/SUM($AC$1444:$AC$1457)))</f>
        <v>0</v>
      </c>
      <c r="AH1457">
        <f>IF(COUNT($E$2:$E1457)&lt;15,"",IF(SUM($AC$1444:$AC$1457)=0,0,100*SUM($AF$1444:$AF$1457)/SUM($AC$1444:$AC$1457)))</f>
        <v>0</v>
      </c>
      <c r="AI1457">
        <f>IF(OR(AG1457="",AH1457=""),"",IF((AG1457+AH1457)=0,0,100*ABS(AG1457-AH1457)/(AG1457+AH1457)))</f>
        <v>0</v>
      </c>
      <c r="AJ1457">
        <f>IF(COUNT($AI$1444:$AI$1457)&lt;14,"",AVERAGE($AI$1444:$AI$1457))</f>
        <v>0</v>
      </c>
      <c r="AK1457">
        <f>IF(COUNT($E$2:$E1457)&lt;20,"",AVERAGE($E$1438:$E$1457))</f>
        <v>0</v>
      </c>
      <c r="AL1457">
        <f>IF(COUNT($E$2:$E1457)&lt;20,"",STDEVP($E$1438:$E$1457))</f>
        <v>0</v>
      </c>
      <c r="AM1457">
        <f>IF(AK1457="","",AK1457+2*AL1457)</f>
        <v>0</v>
      </c>
      <c r="AN1457">
        <f>IF(AK1457="","",AK1457-2*AL1457)</f>
        <v>0</v>
      </c>
      <c r="AO1457">
        <f>IF(OR(AM1457="",AN1457="",AM1457=AN1457),"",($E1457-AN1457)/(AM1457-AN1457))</f>
        <v>0</v>
      </c>
      <c r="AP1457">
        <f>IF(OR(AM1457="",AK1457="",AK1457=0),"",(AM1457-AN1457)/AK1457)</f>
        <v>0</v>
      </c>
      <c r="AQ1457">
        <f>IF(COUNT($E$2:$E1457)&lt;20,"",MAX($C$1438:$C$1457))</f>
        <v>0</v>
      </c>
      <c r="AR1457">
        <f>IF(COUNT($E$2:$E1457)&lt;20,"",MIN($D$1438:$D$1457))</f>
        <v>0</v>
      </c>
      <c r="AS1457">
        <f>IF(OR(AQ1457="",AR1457=""),"",(AQ1457+AR1457)/2)</f>
        <v>0</v>
      </c>
      <c r="AT1457">
        <f>IF(COUNT($G$1438:$G$1457)&lt;20,"",STDEV($G$1438:$G$1457)*SQRT(252))</f>
        <v>0</v>
      </c>
      <c r="AU1457">
        <f>IF(COUNT($E$2:$E1457)&lt;9,"",(MAX($C$1449:$C$1457)+MIN($D$1449:$D$1457))/2)</f>
        <v>0</v>
      </c>
      <c r="AV1457">
        <f>IF(COUNT($E$2:$E1457)&lt;26,"",(MAX($C$1432:$C$1457)+MIN($D$1432:$D$1457))/2)</f>
        <v>0</v>
      </c>
      <c r="AW1457">
        <f>IF(OR(AU1457="",AV1457=""),"",(AU1457+AV1457)/2)</f>
        <v>0</v>
      </c>
      <c r="AX1457">
        <f>IF(COUNT($E$2:$E1457)&lt;52,"",(MAX($C$1406:$C$1457)+MIN($D$1406:$D$1457))/2)</f>
        <v>0</v>
      </c>
      <c r="AY1457">
        <f>IF(COUNT($E$2:$E1457)&lt;20,"",MAX($C$1358:$C$1457))</f>
        <v>0</v>
      </c>
      <c r="AZ1457">
        <f>IF(COUNT($E$2:$E1457)&lt;20,"",MIN($D$1358:$D$1457))</f>
        <v>0</v>
      </c>
      <c r="BA1457">
        <f>IF(COUNT($E$2:$E1457)&lt;20,"",SLOPE($E$1358:$E$1457,$F$1358:$F$1457))</f>
        <v>0</v>
      </c>
      <c r="BB1457">
        <f>IF(COUNT($E$2:$E1457)&lt;20,"",INTERCEPT($E$1358:$E$1457,$F$1358:$F$1457))</f>
        <v>0</v>
      </c>
      <c r="BC1457">
        <f>IF(OR(BA1457="",BB1457=""),"",BB1457+BA1457*F1457)</f>
        <v>0</v>
      </c>
      <c r="BD1457">
        <f>IF(COUNT($E$2:$E1457)&lt;20,"",STEYX($E$1358:$E$1457,$F$1358:$F$1457))</f>
        <v>0</v>
      </c>
      <c r="BE1457">
        <f>IF($E1457="","",IF(AND(COUNT($E$1458:$E$1461)&gt;=4,$C1457=MAX($C$1453:$C$1461)),$C1457,""))</f>
        <v>0</v>
      </c>
      <c r="BF1457">
        <f>IF($E1457="","",IF(AND(COUNT($E$1458:$E$1461)&gt;=4,$D1457=MIN($D$1453:$D$1461)),$D1457,""))</f>
        <v>0</v>
      </c>
      <c r="BG1457">
        <f>IF($A1457="","",$A1457-WEEKDAY($A1457,2)+1)</f>
        <v>0</v>
      </c>
      <c r="BH1457">
        <f>IF($A1457="","",IF($A1456="",1,IF(BG1457&lt;&gt;BG1456,1,0)))</f>
        <v>0</v>
      </c>
      <c r="BI1457">
        <f>IF($A1457="","",IF($A1458="",1,IF(BG1458&lt;&gt;BG1457,1,0)))</f>
        <v>0</v>
      </c>
      <c r="BJ1457">
        <f>IF($A1457="","",IF(BH1457=1,$B1457,BJ1456))</f>
        <v>0</v>
      </c>
      <c r="BK1457">
        <f>IF($A1457="","",IF(BH1457=1,$C1457,MAX($C1457,BK1456)))</f>
        <v>0</v>
      </c>
      <c r="BL1457">
        <f>IF($A1457="","",IF(BH1457=1,$D1457,MIN($D1457,BL1456)))</f>
        <v>0</v>
      </c>
      <c r="BM1457">
        <f>IF($A1457="","",IF(BI1457=1,F1457,""))</f>
        <v>0</v>
      </c>
      <c r="BN1457">
        <f>IF($A1457="","",DATE(YEAR($A1457),MONTH($A1457),1))</f>
        <v>0</v>
      </c>
      <c r="BO1457">
        <f>IF($A1457="","",IF($A1456="",1,IF(BN1457&lt;&gt;BN1456,1,0)))</f>
        <v>0</v>
      </c>
      <c r="BP1457">
        <f>IF($A1457="","",IF($A1458="",1,IF(BN1458&lt;&gt;BN1457,1,0)))</f>
        <v>0</v>
      </c>
      <c r="BQ1457">
        <f>IF($A1457="","",IF(BO1457=1,$B1457,BQ1456))</f>
        <v>0</v>
      </c>
      <c r="BR1457">
        <f>IF($A1457="","",IF(BO1457=1,$C1457,MAX($C1457,BR1456)))</f>
        <v>0</v>
      </c>
      <c r="BS1457">
        <f>IF($A1457="","",IF(BO1457=1,$D1457,MIN($D1457,BS1456)))</f>
        <v>0</v>
      </c>
      <c r="BT1457">
        <f>IF($A1457="","",IF(BP1457=1,F1457,""))</f>
        <v>0</v>
      </c>
    </row>
    <row r="1458" spans="1:72">
      <c r="A1458" s="27">
        <f>IF(Data!$A1458="","",Data!$A1458)</f>
        <v>0</v>
      </c>
      <c r="B1458">
        <f>IF(Data!$B1458="","",Data!$B1458)</f>
        <v>0</v>
      </c>
      <c r="C1458">
        <f>IF(Data!$C1458="","",Data!$C1458)</f>
        <v>0</v>
      </c>
      <c r="D1458">
        <f>IF(Data!$D1458="","",Data!$D1458)</f>
        <v>0</v>
      </c>
      <c r="E1458">
        <f>IF(Data!$E1458="","",Data!$E1458)</f>
        <v>0</v>
      </c>
      <c r="F1458">
        <f>IF($E1458="","",N(F1457)+1)</f>
        <v>0</v>
      </c>
      <c r="G1458">
        <f>IF(OR($E1458="",$E1457=""),"",LN($E1458/$E1457))</f>
        <v>0</v>
      </c>
      <c r="H1458">
        <f>IF($E1458="","",IF($E1457="",$E1458,$E1458*0.0952380952+H1457*0.9047619048))</f>
        <v>0</v>
      </c>
      <c r="I1458">
        <f>IF($E1458="","",IF($E1457="",$E1458,$E1458*0.0392156863+I1457*0.9607843137))</f>
        <v>0</v>
      </c>
      <c r="J1458">
        <f>IF($E1458="","",IF($E1457="",$E1458,$E1458*0.0198019802+J1457*0.9801980198))</f>
        <v>0</v>
      </c>
      <c r="K1458">
        <f>IF($E1458="","",IF($E1457="",$E1458,$E1458*0.0099502488+K1457*0.9900497512))</f>
        <v>0</v>
      </c>
      <c r="L1458">
        <f>IF(OR($E1458="",$E1457=""),"",MAX($E1458-$E1457,0))</f>
        <v>0</v>
      </c>
      <c r="M1458">
        <f>IF(OR($E1458="",$E1457=""),"",MAX($E1457-$E1458,0))</f>
        <v>0</v>
      </c>
      <c r="N1458">
        <f>IF(COUNT($E$2:$E1458)&lt;15,"",IF(AVERAGE($M$1445:$M$1458)=0,100,100-100/(1+AVERAGE($L$1445:$L$1458)/AVERAGE($M$1445:$M$1458))))</f>
        <v>0</v>
      </c>
      <c r="O1458">
        <f>IF($E1458="","",IF($E1457="",$E1458,$E1458*0.1538461538+O1457*0.8461538462))</f>
        <v>0</v>
      </c>
      <c r="P1458">
        <f>IF($E1458="","",IF($E1457="",$E1458,$E1458*0.0740740741+P1457*0.9259259259))</f>
        <v>0</v>
      </c>
      <c r="Q1458">
        <f>IF(OR(O1458="",P1458=""),"",O1458-P1458)</f>
        <v>0</v>
      </c>
      <c r="R1458">
        <f>IF(Q1458="","",IF(R1457="",Q1458,Q1458*0.2000000000+R1457*0.8000000000))</f>
        <v>0</v>
      </c>
      <c r="S1458">
        <f>IF(OR(Q1458="",R1458=""),"",Q1458-R1458)</f>
        <v>0</v>
      </c>
      <c r="T1458">
        <f>IF(COUNT($E$2:$E1458)&lt;14,"",MAX($C$1445:$C$1458))</f>
        <v>0</v>
      </c>
      <c r="U1458">
        <f>IF(COUNT($E$2:$E1458)&lt;14,"",MIN($D$1445:$D$1458))</f>
        <v>0</v>
      </c>
      <c r="V1458">
        <f>IF(OR(T1458="",U1458="",T1458=U1458),"",100*($E1458-U1458)/(T1458-U1458))</f>
        <v>0</v>
      </c>
      <c r="W1458">
        <f>IF(COUNT($V$1456:$V$1458)&lt;3,"",AVERAGE($V$1456:$V$1458))</f>
        <v>0</v>
      </c>
      <c r="X1458">
        <f>IF(COUNT($N$1445:$N$1458)&lt;14,"",MIN($N$1445:$N$1458))</f>
        <v>0</v>
      </c>
      <c r="Y1458">
        <f>IF(COUNT($N$1445:$N$1458)&lt;14,"",MAX($N$1445:$N$1458))</f>
        <v>0</v>
      </c>
      <c r="Z1458">
        <f>IF(OR(N1458="",X1458="",Y1458="",Y1458=X1458),"",100*(N1458-X1458)/(Y1458-X1458))</f>
        <v>0</v>
      </c>
      <c r="AA1458">
        <f>IF(COUNT($Z$1456:$Z$1458)&lt;3,"",AVERAGE($Z$1456:$Z$1458))</f>
        <v>0</v>
      </c>
      <c r="AB1458">
        <f>IF(COUNT($AA$1456:$AA$1458)&lt;3,"",AVERAGE($AA$1456:$AA$1458))</f>
        <v>0</v>
      </c>
      <c r="AC1458">
        <f>IF($E1458="","",MAX($C1458-$D1458,ABS($C1458-$E1457),ABS($D1458-$E1457)))</f>
        <v>0</v>
      </c>
      <c r="AD1458">
        <f>IF(COUNT($E$2:$E1458)&lt;15,"",AVERAGE($AC$1445:$AC$1458))</f>
        <v>0</v>
      </c>
      <c r="AE1458">
        <f>IF(OR($E1458="",$E1457=""),"",IF(AND(($C1458-$C1457)&gt;($D1457-$D1458),($C1458-$C1457)&gt;0),$C1458-$C1457,0))</f>
        <v>0</v>
      </c>
      <c r="AF1458">
        <f>IF(OR($E1458="",$E1457=""),"",IF(AND(($D1457-$D1458)&gt;($C1458-$C1457),($D1457-$D1458)&gt;0),$D1457-$D1458,0))</f>
        <v>0</v>
      </c>
      <c r="AG1458">
        <f>IF(COUNT($E$2:$E1458)&lt;15,"",IF(SUM($AC$1445:$AC$1458)=0,0,100*SUM($AE$1445:$AE$1458)/SUM($AC$1445:$AC$1458)))</f>
        <v>0</v>
      </c>
      <c r="AH1458">
        <f>IF(COUNT($E$2:$E1458)&lt;15,"",IF(SUM($AC$1445:$AC$1458)=0,0,100*SUM($AF$1445:$AF$1458)/SUM($AC$1445:$AC$1458)))</f>
        <v>0</v>
      </c>
      <c r="AI1458">
        <f>IF(OR(AG1458="",AH1458=""),"",IF((AG1458+AH1458)=0,0,100*ABS(AG1458-AH1458)/(AG1458+AH1458)))</f>
        <v>0</v>
      </c>
      <c r="AJ1458">
        <f>IF(COUNT($AI$1445:$AI$1458)&lt;14,"",AVERAGE($AI$1445:$AI$1458))</f>
        <v>0</v>
      </c>
      <c r="AK1458">
        <f>IF(COUNT($E$2:$E1458)&lt;20,"",AVERAGE($E$1439:$E$1458))</f>
        <v>0</v>
      </c>
      <c r="AL1458">
        <f>IF(COUNT($E$2:$E1458)&lt;20,"",STDEVP($E$1439:$E$1458))</f>
        <v>0</v>
      </c>
      <c r="AM1458">
        <f>IF(AK1458="","",AK1458+2*AL1458)</f>
        <v>0</v>
      </c>
      <c r="AN1458">
        <f>IF(AK1458="","",AK1458-2*AL1458)</f>
        <v>0</v>
      </c>
      <c r="AO1458">
        <f>IF(OR(AM1458="",AN1458="",AM1458=AN1458),"",($E1458-AN1458)/(AM1458-AN1458))</f>
        <v>0</v>
      </c>
      <c r="AP1458">
        <f>IF(OR(AM1458="",AK1458="",AK1458=0),"",(AM1458-AN1458)/AK1458)</f>
        <v>0</v>
      </c>
      <c r="AQ1458">
        <f>IF(COUNT($E$2:$E1458)&lt;20,"",MAX($C$1439:$C$1458))</f>
        <v>0</v>
      </c>
      <c r="AR1458">
        <f>IF(COUNT($E$2:$E1458)&lt;20,"",MIN($D$1439:$D$1458))</f>
        <v>0</v>
      </c>
      <c r="AS1458">
        <f>IF(OR(AQ1458="",AR1458=""),"",(AQ1458+AR1458)/2)</f>
        <v>0</v>
      </c>
      <c r="AT1458">
        <f>IF(COUNT($G$1439:$G$1458)&lt;20,"",STDEV($G$1439:$G$1458)*SQRT(252))</f>
        <v>0</v>
      </c>
      <c r="AU1458">
        <f>IF(COUNT($E$2:$E1458)&lt;9,"",(MAX($C$1450:$C$1458)+MIN($D$1450:$D$1458))/2)</f>
        <v>0</v>
      </c>
      <c r="AV1458">
        <f>IF(COUNT($E$2:$E1458)&lt;26,"",(MAX($C$1433:$C$1458)+MIN($D$1433:$D$1458))/2)</f>
        <v>0</v>
      </c>
      <c r="AW1458">
        <f>IF(OR(AU1458="",AV1458=""),"",(AU1458+AV1458)/2)</f>
        <v>0</v>
      </c>
      <c r="AX1458">
        <f>IF(COUNT($E$2:$E1458)&lt;52,"",(MAX($C$1407:$C$1458)+MIN($D$1407:$D$1458))/2)</f>
        <v>0</v>
      </c>
      <c r="AY1458">
        <f>IF(COUNT($E$2:$E1458)&lt;20,"",MAX($C$1359:$C$1458))</f>
        <v>0</v>
      </c>
      <c r="AZ1458">
        <f>IF(COUNT($E$2:$E1458)&lt;20,"",MIN($D$1359:$D$1458))</f>
        <v>0</v>
      </c>
      <c r="BA1458">
        <f>IF(COUNT($E$2:$E1458)&lt;20,"",SLOPE($E$1359:$E$1458,$F$1359:$F$1458))</f>
        <v>0</v>
      </c>
      <c r="BB1458">
        <f>IF(COUNT($E$2:$E1458)&lt;20,"",INTERCEPT($E$1359:$E$1458,$F$1359:$F$1458))</f>
        <v>0</v>
      </c>
      <c r="BC1458">
        <f>IF(OR(BA1458="",BB1458=""),"",BB1458+BA1458*F1458)</f>
        <v>0</v>
      </c>
      <c r="BD1458">
        <f>IF(COUNT($E$2:$E1458)&lt;20,"",STEYX($E$1359:$E$1458,$F$1359:$F$1458))</f>
        <v>0</v>
      </c>
      <c r="BE1458">
        <f>IF($E1458="","",IF(AND(COUNT($E$1459:$E$1462)&gt;=4,$C1458=MAX($C$1454:$C$1462)),$C1458,""))</f>
        <v>0</v>
      </c>
      <c r="BF1458">
        <f>IF($E1458="","",IF(AND(COUNT($E$1459:$E$1462)&gt;=4,$D1458=MIN($D$1454:$D$1462)),$D1458,""))</f>
        <v>0</v>
      </c>
      <c r="BG1458">
        <f>IF($A1458="","",$A1458-WEEKDAY($A1458,2)+1)</f>
        <v>0</v>
      </c>
      <c r="BH1458">
        <f>IF($A1458="","",IF($A1457="",1,IF(BG1458&lt;&gt;BG1457,1,0)))</f>
        <v>0</v>
      </c>
      <c r="BI1458">
        <f>IF($A1458="","",IF($A1459="",1,IF(BG1459&lt;&gt;BG1458,1,0)))</f>
        <v>0</v>
      </c>
      <c r="BJ1458">
        <f>IF($A1458="","",IF(BH1458=1,$B1458,BJ1457))</f>
        <v>0</v>
      </c>
      <c r="BK1458">
        <f>IF($A1458="","",IF(BH1458=1,$C1458,MAX($C1458,BK1457)))</f>
        <v>0</v>
      </c>
      <c r="BL1458">
        <f>IF($A1458="","",IF(BH1458=1,$D1458,MIN($D1458,BL1457)))</f>
        <v>0</v>
      </c>
      <c r="BM1458">
        <f>IF($A1458="","",IF(BI1458=1,F1458,""))</f>
        <v>0</v>
      </c>
      <c r="BN1458">
        <f>IF($A1458="","",DATE(YEAR($A1458),MONTH($A1458),1))</f>
        <v>0</v>
      </c>
      <c r="BO1458">
        <f>IF($A1458="","",IF($A1457="",1,IF(BN1458&lt;&gt;BN1457,1,0)))</f>
        <v>0</v>
      </c>
      <c r="BP1458">
        <f>IF($A1458="","",IF($A1459="",1,IF(BN1459&lt;&gt;BN1458,1,0)))</f>
        <v>0</v>
      </c>
      <c r="BQ1458">
        <f>IF($A1458="","",IF(BO1458=1,$B1458,BQ1457))</f>
        <v>0</v>
      </c>
      <c r="BR1458">
        <f>IF($A1458="","",IF(BO1458=1,$C1458,MAX($C1458,BR1457)))</f>
        <v>0</v>
      </c>
      <c r="BS1458">
        <f>IF($A1458="","",IF(BO1458=1,$D1458,MIN($D1458,BS1457)))</f>
        <v>0</v>
      </c>
      <c r="BT1458">
        <f>IF($A1458="","",IF(BP1458=1,F1458,""))</f>
        <v>0</v>
      </c>
    </row>
    <row r="1459" spans="1:72">
      <c r="A1459" s="27">
        <f>IF(Data!$A1459="","",Data!$A1459)</f>
        <v>0</v>
      </c>
      <c r="B1459">
        <f>IF(Data!$B1459="","",Data!$B1459)</f>
        <v>0</v>
      </c>
      <c r="C1459">
        <f>IF(Data!$C1459="","",Data!$C1459)</f>
        <v>0</v>
      </c>
      <c r="D1459">
        <f>IF(Data!$D1459="","",Data!$D1459)</f>
        <v>0</v>
      </c>
      <c r="E1459">
        <f>IF(Data!$E1459="","",Data!$E1459)</f>
        <v>0</v>
      </c>
      <c r="F1459">
        <f>IF($E1459="","",N(F1458)+1)</f>
        <v>0</v>
      </c>
      <c r="G1459">
        <f>IF(OR($E1459="",$E1458=""),"",LN($E1459/$E1458))</f>
        <v>0</v>
      </c>
      <c r="H1459">
        <f>IF($E1459="","",IF($E1458="",$E1459,$E1459*0.0952380952+H1458*0.9047619048))</f>
        <v>0</v>
      </c>
      <c r="I1459">
        <f>IF($E1459="","",IF($E1458="",$E1459,$E1459*0.0392156863+I1458*0.9607843137))</f>
        <v>0</v>
      </c>
      <c r="J1459">
        <f>IF($E1459="","",IF($E1458="",$E1459,$E1459*0.0198019802+J1458*0.9801980198))</f>
        <v>0</v>
      </c>
      <c r="K1459">
        <f>IF($E1459="","",IF($E1458="",$E1459,$E1459*0.0099502488+K1458*0.9900497512))</f>
        <v>0</v>
      </c>
      <c r="L1459">
        <f>IF(OR($E1459="",$E1458=""),"",MAX($E1459-$E1458,0))</f>
        <v>0</v>
      </c>
      <c r="M1459">
        <f>IF(OR($E1459="",$E1458=""),"",MAX($E1458-$E1459,0))</f>
        <v>0</v>
      </c>
      <c r="N1459">
        <f>IF(COUNT($E$2:$E1459)&lt;15,"",IF(AVERAGE($M$1446:$M$1459)=0,100,100-100/(1+AVERAGE($L$1446:$L$1459)/AVERAGE($M$1446:$M$1459))))</f>
        <v>0</v>
      </c>
      <c r="O1459">
        <f>IF($E1459="","",IF($E1458="",$E1459,$E1459*0.1538461538+O1458*0.8461538462))</f>
        <v>0</v>
      </c>
      <c r="P1459">
        <f>IF($E1459="","",IF($E1458="",$E1459,$E1459*0.0740740741+P1458*0.9259259259))</f>
        <v>0</v>
      </c>
      <c r="Q1459">
        <f>IF(OR(O1459="",P1459=""),"",O1459-P1459)</f>
        <v>0</v>
      </c>
      <c r="R1459">
        <f>IF(Q1459="","",IF(R1458="",Q1459,Q1459*0.2000000000+R1458*0.8000000000))</f>
        <v>0</v>
      </c>
      <c r="S1459">
        <f>IF(OR(Q1459="",R1459=""),"",Q1459-R1459)</f>
        <v>0</v>
      </c>
      <c r="T1459">
        <f>IF(COUNT($E$2:$E1459)&lt;14,"",MAX($C$1446:$C$1459))</f>
        <v>0</v>
      </c>
      <c r="U1459">
        <f>IF(COUNT($E$2:$E1459)&lt;14,"",MIN($D$1446:$D$1459))</f>
        <v>0</v>
      </c>
      <c r="V1459">
        <f>IF(OR(T1459="",U1459="",T1459=U1459),"",100*($E1459-U1459)/(T1459-U1459))</f>
        <v>0</v>
      </c>
      <c r="W1459">
        <f>IF(COUNT($V$1457:$V$1459)&lt;3,"",AVERAGE($V$1457:$V$1459))</f>
        <v>0</v>
      </c>
      <c r="X1459">
        <f>IF(COUNT($N$1446:$N$1459)&lt;14,"",MIN($N$1446:$N$1459))</f>
        <v>0</v>
      </c>
      <c r="Y1459">
        <f>IF(COUNT($N$1446:$N$1459)&lt;14,"",MAX($N$1446:$N$1459))</f>
        <v>0</v>
      </c>
      <c r="Z1459">
        <f>IF(OR(N1459="",X1459="",Y1459="",Y1459=X1459),"",100*(N1459-X1459)/(Y1459-X1459))</f>
        <v>0</v>
      </c>
      <c r="AA1459">
        <f>IF(COUNT($Z$1457:$Z$1459)&lt;3,"",AVERAGE($Z$1457:$Z$1459))</f>
        <v>0</v>
      </c>
      <c r="AB1459">
        <f>IF(COUNT($AA$1457:$AA$1459)&lt;3,"",AVERAGE($AA$1457:$AA$1459))</f>
        <v>0</v>
      </c>
      <c r="AC1459">
        <f>IF($E1459="","",MAX($C1459-$D1459,ABS($C1459-$E1458),ABS($D1459-$E1458)))</f>
        <v>0</v>
      </c>
      <c r="AD1459">
        <f>IF(COUNT($E$2:$E1459)&lt;15,"",AVERAGE($AC$1446:$AC$1459))</f>
        <v>0</v>
      </c>
      <c r="AE1459">
        <f>IF(OR($E1459="",$E1458=""),"",IF(AND(($C1459-$C1458)&gt;($D1458-$D1459),($C1459-$C1458)&gt;0),$C1459-$C1458,0))</f>
        <v>0</v>
      </c>
      <c r="AF1459">
        <f>IF(OR($E1459="",$E1458=""),"",IF(AND(($D1458-$D1459)&gt;($C1459-$C1458),($D1458-$D1459)&gt;0),$D1458-$D1459,0))</f>
        <v>0</v>
      </c>
      <c r="AG1459">
        <f>IF(COUNT($E$2:$E1459)&lt;15,"",IF(SUM($AC$1446:$AC$1459)=0,0,100*SUM($AE$1446:$AE$1459)/SUM($AC$1446:$AC$1459)))</f>
        <v>0</v>
      </c>
      <c r="AH1459">
        <f>IF(COUNT($E$2:$E1459)&lt;15,"",IF(SUM($AC$1446:$AC$1459)=0,0,100*SUM($AF$1446:$AF$1459)/SUM($AC$1446:$AC$1459)))</f>
        <v>0</v>
      </c>
      <c r="AI1459">
        <f>IF(OR(AG1459="",AH1459=""),"",IF((AG1459+AH1459)=0,0,100*ABS(AG1459-AH1459)/(AG1459+AH1459)))</f>
        <v>0</v>
      </c>
      <c r="AJ1459">
        <f>IF(COUNT($AI$1446:$AI$1459)&lt;14,"",AVERAGE($AI$1446:$AI$1459))</f>
        <v>0</v>
      </c>
      <c r="AK1459">
        <f>IF(COUNT($E$2:$E1459)&lt;20,"",AVERAGE($E$1440:$E$1459))</f>
        <v>0</v>
      </c>
      <c r="AL1459">
        <f>IF(COUNT($E$2:$E1459)&lt;20,"",STDEVP($E$1440:$E$1459))</f>
        <v>0</v>
      </c>
      <c r="AM1459">
        <f>IF(AK1459="","",AK1459+2*AL1459)</f>
        <v>0</v>
      </c>
      <c r="AN1459">
        <f>IF(AK1459="","",AK1459-2*AL1459)</f>
        <v>0</v>
      </c>
      <c r="AO1459">
        <f>IF(OR(AM1459="",AN1459="",AM1459=AN1459),"",($E1459-AN1459)/(AM1459-AN1459))</f>
        <v>0</v>
      </c>
      <c r="AP1459">
        <f>IF(OR(AM1459="",AK1459="",AK1459=0),"",(AM1459-AN1459)/AK1459)</f>
        <v>0</v>
      </c>
      <c r="AQ1459">
        <f>IF(COUNT($E$2:$E1459)&lt;20,"",MAX($C$1440:$C$1459))</f>
        <v>0</v>
      </c>
      <c r="AR1459">
        <f>IF(COUNT($E$2:$E1459)&lt;20,"",MIN($D$1440:$D$1459))</f>
        <v>0</v>
      </c>
      <c r="AS1459">
        <f>IF(OR(AQ1459="",AR1459=""),"",(AQ1459+AR1459)/2)</f>
        <v>0</v>
      </c>
      <c r="AT1459">
        <f>IF(COUNT($G$1440:$G$1459)&lt;20,"",STDEV($G$1440:$G$1459)*SQRT(252))</f>
        <v>0</v>
      </c>
      <c r="AU1459">
        <f>IF(COUNT($E$2:$E1459)&lt;9,"",(MAX($C$1451:$C$1459)+MIN($D$1451:$D$1459))/2)</f>
        <v>0</v>
      </c>
      <c r="AV1459">
        <f>IF(COUNT($E$2:$E1459)&lt;26,"",(MAX($C$1434:$C$1459)+MIN($D$1434:$D$1459))/2)</f>
        <v>0</v>
      </c>
      <c r="AW1459">
        <f>IF(OR(AU1459="",AV1459=""),"",(AU1459+AV1459)/2)</f>
        <v>0</v>
      </c>
      <c r="AX1459">
        <f>IF(COUNT($E$2:$E1459)&lt;52,"",(MAX($C$1408:$C$1459)+MIN($D$1408:$D$1459))/2)</f>
        <v>0</v>
      </c>
      <c r="AY1459">
        <f>IF(COUNT($E$2:$E1459)&lt;20,"",MAX($C$1360:$C$1459))</f>
        <v>0</v>
      </c>
      <c r="AZ1459">
        <f>IF(COUNT($E$2:$E1459)&lt;20,"",MIN($D$1360:$D$1459))</f>
        <v>0</v>
      </c>
      <c r="BA1459">
        <f>IF(COUNT($E$2:$E1459)&lt;20,"",SLOPE($E$1360:$E$1459,$F$1360:$F$1459))</f>
        <v>0</v>
      </c>
      <c r="BB1459">
        <f>IF(COUNT($E$2:$E1459)&lt;20,"",INTERCEPT($E$1360:$E$1459,$F$1360:$F$1459))</f>
        <v>0</v>
      </c>
      <c r="BC1459">
        <f>IF(OR(BA1459="",BB1459=""),"",BB1459+BA1459*F1459)</f>
        <v>0</v>
      </c>
      <c r="BD1459">
        <f>IF(COUNT($E$2:$E1459)&lt;20,"",STEYX($E$1360:$E$1459,$F$1360:$F$1459))</f>
        <v>0</v>
      </c>
      <c r="BE1459">
        <f>IF($E1459="","",IF(AND(COUNT($E$1460:$E$1463)&gt;=4,$C1459=MAX($C$1455:$C$1463)),$C1459,""))</f>
        <v>0</v>
      </c>
      <c r="BF1459">
        <f>IF($E1459="","",IF(AND(COUNT($E$1460:$E$1463)&gt;=4,$D1459=MIN($D$1455:$D$1463)),$D1459,""))</f>
        <v>0</v>
      </c>
      <c r="BG1459">
        <f>IF($A1459="","",$A1459-WEEKDAY($A1459,2)+1)</f>
        <v>0</v>
      </c>
      <c r="BH1459">
        <f>IF($A1459="","",IF($A1458="",1,IF(BG1459&lt;&gt;BG1458,1,0)))</f>
        <v>0</v>
      </c>
      <c r="BI1459">
        <f>IF($A1459="","",IF($A1460="",1,IF(BG1460&lt;&gt;BG1459,1,0)))</f>
        <v>0</v>
      </c>
      <c r="BJ1459">
        <f>IF($A1459="","",IF(BH1459=1,$B1459,BJ1458))</f>
        <v>0</v>
      </c>
      <c r="BK1459">
        <f>IF($A1459="","",IF(BH1459=1,$C1459,MAX($C1459,BK1458)))</f>
        <v>0</v>
      </c>
      <c r="BL1459">
        <f>IF($A1459="","",IF(BH1459=1,$D1459,MIN($D1459,BL1458)))</f>
        <v>0</v>
      </c>
      <c r="BM1459">
        <f>IF($A1459="","",IF(BI1459=1,F1459,""))</f>
        <v>0</v>
      </c>
      <c r="BN1459">
        <f>IF($A1459="","",DATE(YEAR($A1459),MONTH($A1459),1))</f>
        <v>0</v>
      </c>
      <c r="BO1459">
        <f>IF($A1459="","",IF($A1458="",1,IF(BN1459&lt;&gt;BN1458,1,0)))</f>
        <v>0</v>
      </c>
      <c r="BP1459">
        <f>IF($A1459="","",IF($A1460="",1,IF(BN1460&lt;&gt;BN1459,1,0)))</f>
        <v>0</v>
      </c>
      <c r="BQ1459">
        <f>IF($A1459="","",IF(BO1459=1,$B1459,BQ1458))</f>
        <v>0</v>
      </c>
      <c r="BR1459">
        <f>IF($A1459="","",IF(BO1459=1,$C1459,MAX($C1459,BR1458)))</f>
        <v>0</v>
      </c>
      <c r="BS1459">
        <f>IF($A1459="","",IF(BO1459=1,$D1459,MIN($D1459,BS1458)))</f>
        <v>0</v>
      </c>
      <c r="BT1459">
        <f>IF($A1459="","",IF(BP1459=1,F1459,""))</f>
        <v>0</v>
      </c>
    </row>
    <row r="1460" spans="1:72">
      <c r="A1460" s="27">
        <f>IF(Data!$A1460="","",Data!$A1460)</f>
        <v>0</v>
      </c>
      <c r="B1460">
        <f>IF(Data!$B1460="","",Data!$B1460)</f>
        <v>0</v>
      </c>
      <c r="C1460">
        <f>IF(Data!$C1460="","",Data!$C1460)</f>
        <v>0</v>
      </c>
      <c r="D1460">
        <f>IF(Data!$D1460="","",Data!$D1460)</f>
        <v>0</v>
      </c>
      <c r="E1460">
        <f>IF(Data!$E1460="","",Data!$E1460)</f>
        <v>0</v>
      </c>
      <c r="F1460">
        <f>IF($E1460="","",N(F1459)+1)</f>
        <v>0</v>
      </c>
      <c r="G1460">
        <f>IF(OR($E1460="",$E1459=""),"",LN($E1460/$E1459))</f>
        <v>0</v>
      </c>
      <c r="H1460">
        <f>IF($E1460="","",IF($E1459="",$E1460,$E1460*0.0952380952+H1459*0.9047619048))</f>
        <v>0</v>
      </c>
      <c r="I1460">
        <f>IF($E1460="","",IF($E1459="",$E1460,$E1460*0.0392156863+I1459*0.9607843137))</f>
        <v>0</v>
      </c>
      <c r="J1460">
        <f>IF($E1460="","",IF($E1459="",$E1460,$E1460*0.0198019802+J1459*0.9801980198))</f>
        <v>0</v>
      </c>
      <c r="K1460">
        <f>IF($E1460="","",IF($E1459="",$E1460,$E1460*0.0099502488+K1459*0.9900497512))</f>
        <v>0</v>
      </c>
      <c r="L1460">
        <f>IF(OR($E1460="",$E1459=""),"",MAX($E1460-$E1459,0))</f>
        <v>0</v>
      </c>
      <c r="M1460">
        <f>IF(OR($E1460="",$E1459=""),"",MAX($E1459-$E1460,0))</f>
        <v>0</v>
      </c>
      <c r="N1460">
        <f>IF(COUNT($E$2:$E1460)&lt;15,"",IF(AVERAGE($M$1447:$M$1460)=0,100,100-100/(1+AVERAGE($L$1447:$L$1460)/AVERAGE($M$1447:$M$1460))))</f>
        <v>0</v>
      </c>
      <c r="O1460">
        <f>IF($E1460="","",IF($E1459="",$E1460,$E1460*0.1538461538+O1459*0.8461538462))</f>
        <v>0</v>
      </c>
      <c r="P1460">
        <f>IF($E1460="","",IF($E1459="",$E1460,$E1460*0.0740740741+P1459*0.9259259259))</f>
        <v>0</v>
      </c>
      <c r="Q1460">
        <f>IF(OR(O1460="",P1460=""),"",O1460-P1460)</f>
        <v>0</v>
      </c>
      <c r="R1460">
        <f>IF(Q1460="","",IF(R1459="",Q1460,Q1460*0.2000000000+R1459*0.8000000000))</f>
        <v>0</v>
      </c>
      <c r="S1460">
        <f>IF(OR(Q1460="",R1460=""),"",Q1460-R1460)</f>
        <v>0</v>
      </c>
      <c r="T1460">
        <f>IF(COUNT($E$2:$E1460)&lt;14,"",MAX($C$1447:$C$1460))</f>
        <v>0</v>
      </c>
      <c r="U1460">
        <f>IF(COUNT($E$2:$E1460)&lt;14,"",MIN($D$1447:$D$1460))</f>
        <v>0</v>
      </c>
      <c r="V1460">
        <f>IF(OR(T1460="",U1460="",T1460=U1460),"",100*($E1460-U1460)/(T1460-U1460))</f>
        <v>0</v>
      </c>
      <c r="W1460">
        <f>IF(COUNT($V$1458:$V$1460)&lt;3,"",AVERAGE($V$1458:$V$1460))</f>
        <v>0</v>
      </c>
      <c r="X1460">
        <f>IF(COUNT($N$1447:$N$1460)&lt;14,"",MIN($N$1447:$N$1460))</f>
        <v>0</v>
      </c>
      <c r="Y1460">
        <f>IF(COUNT($N$1447:$N$1460)&lt;14,"",MAX($N$1447:$N$1460))</f>
        <v>0</v>
      </c>
      <c r="Z1460">
        <f>IF(OR(N1460="",X1460="",Y1460="",Y1460=X1460),"",100*(N1460-X1460)/(Y1460-X1460))</f>
        <v>0</v>
      </c>
      <c r="AA1460">
        <f>IF(COUNT($Z$1458:$Z$1460)&lt;3,"",AVERAGE($Z$1458:$Z$1460))</f>
        <v>0</v>
      </c>
      <c r="AB1460">
        <f>IF(COUNT($AA$1458:$AA$1460)&lt;3,"",AVERAGE($AA$1458:$AA$1460))</f>
        <v>0</v>
      </c>
      <c r="AC1460">
        <f>IF($E1460="","",MAX($C1460-$D1460,ABS($C1460-$E1459),ABS($D1460-$E1459)))</f>
        <v>0</v>
      </c>
      <c r="AD1460">
        <f>IF(COUNT($E$2:$E1460)&lt;15,"",AVERAGE($AC$1447:$AC$1460))</f>
        <v>0</v>
      </c>
      <c r="AE1460">
        <f>IF(OR($E1460="",$E1459=""),"",IF(AND(($C1460-$C1459)&gt;($D1459-$D1460),($C1460-$C1459)&gt;0),$C1460-$C1459,0))</f>
        <v>0</v>
      </c>
      <c r="AF1460">
        <f>IF(OR($E1460="",$E1459=""),"",IF(AND(($D1459-$D1460)&gt;($C1460-$C1459),($D1459-$D1460)&gt;0),$D1459-$D1460,0))</f>
        <v>0</v>
      </c>
      <c r="AG1460">
        <f>IF(COUNT($E$2:$E1460)&lt;15,"",IF(SUM($AC$1447:$AC$1460)=0,0,100*SUM($AE$1447:$AE$1460)/SUM($AC$1447:$AC$1460)))</f>
        <v>0</v>
      </c>
      <c r="AH1460">
        <f>IF(COUNT($E$2:$E1460)&lt;15,"",IF(SUM($AC$1447:$AC$1460)=0,0,100*SUM($AF$1447:$AF$1460)/SUM($AC$1447:$AC$1460)))</f>
        <v>0</v>
      </c>
      <c r="AI1460">
        <f>IF(OR(AG1460="",AH1460=""),"",IF((AG1460+AH1460)=0,0,100*ABS(AG1460-AH1460)/(AG1460+AH1460)))</f>
        <v>0</v>
      </c>
      <c r="AJ1460">
        <f>IF(COUNT($AI$1447:$AI$1460)&lt;14,"",AVERAGE($AI$1447:$AI$1460))</f>
        <v>0</v>
      </c>
      <c r="AK1460">
        <f>IF(COUNT($E$2:$E1460)&lt;20,"",AVERAGE($E$1441:$E$1460))</f>
        <v>0</v>
      </c>
      <c r="AL1460">
        <f>IF(COUNT($E$2:$E1460)&lt;20,"",STDEVP($E$1441:$E$1460))</f>
        <v>0</v>
      </c>
      <c r="AM1460">
        <f>IF(AK1460="","",AK1460+2*AL1460)</f>
        <v>0</v>
      </c>
      <c r="AN1460">
        <f>IF(AK1460="","",AK1460-2*AL1460)</f>
        <v>0</v>
      </c>
      <c r="AO1460">
        <f>IF(OR(AM1460="",AN1460="",AM1460=AN1460),"",($E1460-AN1460)/(AM1460-AN1460))</f>
        <v>0</v>
      </c>
      <c r="AP1460">
        <f>IF(OR(AM1460="",AK1460="",AK1460=0),"",(AM1460-AN1460)/AK1460)</f>
        <v>0</v>
      </c>
      <c r="AQ1460">
        <f>IF(COUNT($E$2:$E1460)&lt;20,"",MAX($C$1441:$C$1460))</f>
        <v>0</v>
      </c>
      <c r="AR1460">
        <f>IF(COUNT($E$2:$E1460)&lt;20,"",MIN($D$1441:$D$1460))</f>
        <v>0</v>
      </c>
      <c r="AS1460">
        <f>IF(OR(AQ1460="",AR1460=""),"",(AQ1460+AR1460)/2)</f>
        <v>0</v>
      </c>
      <c r="AT1460">
        <f>IF(COUNT($G$1441:$G$1460)&lt;20,"",STDEV($G$1441:$G$1460)*SQRT(252))</f>
        <v>0</v>
      </c>
      <c r="AU1460">
        <f>IF(COUNT($E$2:$E1460)&lt;9,"",(MAX($C$1452:$C$1460)+MIN($D$1452:$D$1460))/2)</f>
        <v>0</v>
      </c>
      <c r="AV1460">
        <f>IF(COUNT($E$2:$E1460)&lt;26,"",(MAX($C$1435:$C$1460)+MIN($D$1435:$D$1460))/2)</f>
        <v>0</v>
      </c>
      <c r="AW1460">
        <f>IF(OR(AU1460="",AV1460=""),"",(AU1460+AV1460)/2)</f>
        <v>0</v>
      </c>
      <c r="AX1460">
        <f>IF(COUNT($E$2:$E1460)&lt;52,"",(MAX($C$1409:$C$1460)+MIN($D$1409:$D$1460))/2)</f>
        <v>0</v>
      </c>
      <c r="AY1460">
        <f>IF(COUNT($E$2:$E1460)&lt;20,"",MAX($C$1361:$C$1460))</f>
        <v>0</v>
      </c>
      <c r="AZ1460">
        <f>IF(COUNT($E$2:$E1460)&lt;20,"",MIN($D$1361:$D$1460))</f>
        <v>0</v>
      </c>
      <c r="BA1460">
        <f>IF(COUNT($E$2:$E1460)&lt;20,"",SLOPE($E$1361:$E$1460,$F$1361:$F$1460))</f>
        <v>0</v>
      </c>
      <c r="BB1460">
        <f>IF(COUNT($E$2:$E1460)&lt;20,"",INTERCEPT($E$1361:$E$1460,$F$1361:$F$1460))</f>
        <v>0</v>
      </c>
      <c r="BC1460">
        <f>IF(OR(BA1460="",BB1460=""),"",BB1460+BA1460*F1460)</f>
        <v>0</v>
      </c>
      <c r="BD1460">
        <f>IF(COUNT($E$2:$E1460)&lt;20,"",STEYX($E$1361:$E$1460,$F$1361:$F$1460))</f>
        <v>0</v>
      </c>
      <c r="BE1460">
        <f>IF($E1460="","",IF(AND(COUNT($E$1461:$E$1464)&gt;=4,$C1460=MAX($C$1456:$C$1464)),$C1460,""))</f>
        <v>0</v>
      </c>
      <c r="BF1460">
        <f>IF($E1460="","",IF(AND(COUNT($E$1461:$E$1464)&gt;=4,$D1460=MIN($D$1456:$D$1464)),$D1460,""))</f>
        <v>0</v>
      </c>
      <c r="BG1460">
        <f>IF($A1460="","",$A1460-WEEKDAY($A1460,2)+1)</f>
        <v>0</v>
      </c>
      <c r="BH1460">
        <f>IF($A1460="","",IF($A1459="",1,IF(BG1460&lt;&gt;BG1459,1,0)))</f>
        <v>0</v>
      </c>
      <c r="BI1460">
        <f>IF($A1460="","",IF($A1461="",1,IF(BG1461&lt;&gt;BG1460,1,0)))</f>
        <v>0</v>
      </c>
      <c r="BJ1460">
        <f>IF($A1460="","",IF(BH1460=1,$B1460,BJ1459))</f>
        <v>0</v>
      </c>
      <c r="BK1460">
        <f>IF($A1460="","",IF(BH1460=1,$C1460,MAX($C1460,BK1459)))</f>
        <v>0</v>
      </c>
      <c r="BL1460">
        <f>IF($A1460="","",IF(BH1460=1,$D1460,MIN($D1460,BL1459)))</f>
        <v>0</v>
      </c>
      <c r="BM1460">
        <f>IF($A1460="","",IF(BI1460=1,F1460,""))</f>
        <v>0</v>
      </c>
      <c r="BN1460">
        <f>IF($A1460="","",DATE(YEAR($A1460),MONTH($A1460),1))</f>
        <v>0</v>
      </c>
      <c r="BO1460">
        <f>IF($A1460="","",IF($A1459="",1,IF(BN1460&lt;&gt;BN1459,1,0)))</f>
        <v>0</v>
      </c>
      <c r="BP1460">
        <f>IF($A1460="","",IF($A1461="",1,IF(BN1461&lt;&gt;BN1460,1,0)))</f>
        <v>0</v>
      </c>
      <c r="BQ1460">
        <f>IF($A1460="","",IF(BO1460=1,$B1460,BQ1459))</f>
        <v>0</v>
      </c>
      <c r="BR1460">
        <f>IF($A1460="","",IF(BO1460=1,$C1460,MAX($C1460,BR1459)))</f>
        <v>0</v>
      </c>
      <c r="BS1460">
        <f>IF($A1460="","",IF(BO1460=1,$D1460,MIN($D1460,BS1459)))</f>
        <v>0</v>
      </c>
      <c r="BT1460">
        <f>IF($A1460="","",IF(BP1460=1,F1460,""))</f>
        <v>0</v>
      </c>
    </row>
    <row r="1461" spans="1:72">
      <c r="A1461" s="27">
        <f>IF(Data!$A1461="","",Data!$A1461)</f>
        <v>0</v>
      </c>
      <c r="B1461">
        <f>IF(Data!$B1461="","",Data!$B1461)</f>
        <v>0</v>
      </c>
      <c r="C1461">
        <f>IF(Data!$C1461="","",Data!$C1461)</f>
        <v>0</v>
      </c>
      <c r="D1461">
        <f>IF(Data!$D1461="","",Data!$D1461)</f>
        <v>0</v>
      </c>
      <c r="E1461">
        <f>IF(Data!$E1461="","",Data!$E1461)</f>
        <v>0</v>
      </c>
      <c r="F1461">
        <f>IF($E1461="","",N(F1460)+1)</f>
        <v>0</v>
      </c>
      <c r="G1461">
        <f>IF(OR($E1461="",$E1460=""),"",LN($E1461/$E1460))</f>
        <v>0</v>
      </c>
      <c r="H1461">
        <f>IF($E1461="","",IF($E1460="",$E1461,$E1461*0.0952380952+H1460*0.9047619048))</f>
        <v>0</v>
      </c>
      <c r="I1461">
        <f>IF($E1461="","",IF($E1460="",$E1461,$E1461*0.0392156863+I1460*0.9607843137))</f>
        <v>0</v>
      </c>
      <c r="J1461">
        <f>IF($E1461="","",IF($E1460="",$E1461,$E1461*0.0198019802+J1460*0.9801980198))</f>
        <v>0</v>
      </c>
      <c r="K1461">
        <f>IF($E1461="","",IF($E1460="",$E1461,$E1461*0.0099502488+K1460*0.9900497512))</f>
        <v>0</v>
      </c>
      <c r="L1461">
        <f>IF(OR($E1461="",$E1460=""),"",MAX($E1461-$E1460,0))</f>
        <v>0</v>
      </c>
      <c r="M1461">
        <f>IF(OR($E1461="",$E1460=""),"",MAX($E1460-$E1461,0))</f>
        <v>0</v>
      </c>
      <c r="N1461">
        <f>IF(COUNT($E$2:$E1461)&lt;15,"",IF(AVERAGE($M$1448:$M$1461)=0,100,100-100/(1+AVERAGE($L$1448:$L$1461)/AVERAGE($M$1448:$M$1461))))</f>
        <v>0</v>
      </c>
      <c r="O1461">
        <f>IF($E1461="","",IF($E1460="",$E1461,$E1461*0.1538461538+O1460*0.8461538462))</f>
        <v>0</v>
      </c>
      <c r="P1461">
        <f>IF($E1461="","",IF($E1460="",$E1461,$E1461*0.0740740741+P1460*0.9259259259))</f>
        <v>0</v>
      </c>
      <c r="Q1461">
        <f>IF(OR(O1461="",P1461=""),"",O1461-P1461)</f>
        <v>0</v>
      </c>
      <c r="R1461">
        <f>IF(Q1461="","",IF(R1460="",Q1461,Q1461*0.2000000000+R1460*0.8000000000))</f>
        <v>0</v>
      </c>
      <c r="S1461">
        <f>IF(OR(Q1461="",R1461=""),"",Q1461-R1461)</f>
        <v>0</v>
      </c>
      <c r="T1461">
        <f>IF(COUNT($E$2:$E1461)&lt;14,"",MAX($C$1448:$C$1461))</f>
        <v>0</v>
      </c>
      <c r="U1461">
        <f>IF(COUNT($E$2:$E1461)&lt;14,"",MIN($D$1448:$D$1461))</f>
        <v>0</v>
      </c>
      <c r="V1461">
        <f>IF(OR(T1461="",U1461="",T1461=U1461),"",100*($E1461-U1461)/(T1461-U1461))</f>
        <v>0</v>
      </c>
      <c r="W1461">
        <f>IF(COUNT($V$1459:$V$1461)&lt;3,"",AVERAGE($V$1459:$V$1461))</f>
        <v>0</v>
      </c>
      <c r="X1461">
        <f>IF(COUNT($N$1448:$N$1461)&lt;14,"",MIN($N$1448:$N$1461))</f>
        <v>0</v>
      </c>
      <c r="Y1461">
        <f>IF(COUNT($N$1448:$N$1461)&lt;14,"",MAX($N$1448:$N$1461))</f>
        <v>0</v>
      </c>
      <c r="Z1461">
        <f>IF(OR(N1461="",X1461="",Y1461="",Y1461=X1461),"",100*(N1461-X1461)/(Y1461-X1461))</f>
        <v>0</v>
      </c>
      <c r="AA1461">
        <f>IF(COUNT($Z$1459:$Z$1461)&lt;3,"",AVERAGE($Z$1459:$Z$1461))</f>
        <v>0</v>
      </c>
      <c r="AB1461">
        <f>IF(COUNT($AA$1459:$AA$1461)&lt;3,"",AVERAGE($AA$1459:$AA$1461))</f>
        <v>0</v>
      </c>
      <c r="AC1461">
        <f>IF($E1461="","",MAX($C1461-$D1461,ABS($C1461-$E1460),ABS($D1461-$E1460)))</f>
        <v>0</v>
      </c>
      <c r="AD1461">
        <f>IF(COUNT($E$2:$E1461)&lt;15,"",AVERAGE($AC$1448:$AC$1461))</f>
        <v>0</v>
      </c>
      <c r="AE1461">
        <f>IF(OR($E1461="",$E1460=""),"",IF(AND(($C1461-$C1460)&gt;($D1460-$D1461),($C1461-$C1460)&gt;0),$C1461-$C1460,0))</f>
        <v>0</v>
      </c>
      <c r="AF1461">
        <f>IF(OR($E1461="",$E1460=""),"",IF(AND(($D1460-$D1461)&gt;($C1461-$C1460),($D1460-$D1461)&gt;0),$D1460-$D1461,0))</f>
        <v>0</v>
      </c>
      <c r="AG1461">
        <f>IF(COUNT($E$2:$E1461)&lt;15,"",IF(SUM($AC$1448:$AC$1461)=0,0,100*SUM($AE$1448:$AE$1461)/SUM($AC$1448:$AC$1461)))</f>
        <v>0</v>
      </c>
      <c r="AH1461">
        <f>IF(COUNT($E$2:$E1461)&lt;15,"",IF(SUM($AC$1448:$AC$1461)=0,0,100*SUM($AF$1448:$AF$1461)/SUM($AC$1448:$AC$1461)))</f>
        <v>0</v>
      </c>
      <c r="AI1461">
        <f>IF(OR(AG1461="",AH1461=""),"",IF((AG1461+AH1461)=0,0,100*ABS(AG1461-AH1461)/(AG1461+AH1461)))</f>
        <v>0</v>
      </c>
      <c r="AJ1461">
        <f>IF(COUNT($AI$1448:$AI$1461)&lt;14,"",AVERAGE($AI$1448:$AI$1461))</f>
        <v>0</v>
      </c>
      <c r="AK1461">
        <f>IF(COUNT($E$2:$E1461)&lt;20,"",AVERAGE($E$1442:$E$1461))</f>
        <v>0</v>
      </c>
      <c r="AL1461">
        <f>IF(COUNT($E$2:$E1461)&lt;20,"",STDEVP($E$1442:$E$1461))</f>
        <v>0</v>
      </c>
      <c r="AM1461">
        <f>IF(AK1461="","",AK1461+2*AL1461)</f>
        <v>0</v>
      </c>
      <c r="AN1461">
        <f>IF(AK1461="","",AK1461-2*AL1461)</f>
        <v>0</v>
      </c>
      <c r="AO1461">
        <f>IF(OR(AM1461="",AN1461="",AM1461=AN1461),"",($E1461-AN1461)/(AM1461-AN1461))</f>
        <v>0</v>
      </c>
      <c r="AP1461">
        <f>IF(OR(AM1461="",AK1461="",AK1461=0),"",(AM1461-AN1461)/AK1461)</f>
        <v>0</v>
      </c>
      <c r="AQ1461">
        <f>IF(COUNT($E$2:$E1461)&lt;20,"",MAX($C$1442:$C$1461))</f>
        <v>0</v>
      </c>
      <c r="AR1461">
        <f>IF(COUNT($E$2:$E1461)&lt;20,"",MIN($D$1442:$D$1461))</f>
        <v>0</v>
      </c>
      <c r="AS1461">
        <f>IF(OR(AQ1461="",AR1461=""),"",(AQ1461+AR1461)/2)</f>
        <v>0</v>
      </c>
      <c r="AT1461">
        <f>IF(COUNT($G$1442:$G$1461)&lt;20,"",STDEV($G$1442:$G$1461)*SQRT(252))</f>
        <v>0</v>
      </c>
      <c r="AU1461">
        <f>IF(COUNT($E$2:$E1461)&lt;9,"",(MAX($C$1453:$C$1461)+MIN($D$1453:$D$1461))/2)</f>
        <v>0</v>
      </c>
      <c r="AV1461">
        <f>IF(COUNT($E$2:$E1461)&lt;26,"",(MAX($C$1436:$C$1461)+MIN($D$1436:$D$1461))/2)</f>
        <v>0</v>
      </c>
      <c r="AW1461">
        <f>IF(OR(AU1461="",AV1461=""),"",(AU1461+AV1461)/2)</f>
        <v>0</v>
      </c>
      <c r="AX1461">
        <f>IF(COUNT($E$2:$E1461)&lt;52,"",(MAX($C$1410:$C$1461)+MIN($D$1410:$D$1461))/2)</f>
        <v>0</v>
      </c>
      <c r="AY1461">
        <f>IF(COUNT($E$2:$E1461)&lt;20,"",MAX($C$1362:$C$1461))</f>
        <v>0</v>
      </c>
      <c r="AZ1461">
        <f>IF(COUNT($E$2:$E1461)&lt;20,"",MIN($D$1362:$D$1461))</f>
        <v>0</v>
      </c>
      <c r="BA1461">
        <f>IF(COUNT($E$2:$E1461)&lt;20,"",SLOPE($E$1362:$E$1461,$F$1362:$F$1461))</f>
        <v>0</v>
      </c>
      <c r="BB1461">
        <f>IF(COUNT($E$2:$E1461)&lt;20,"",INTERCEPT($E$1362:$E$1461,$F$1362:$F$1461))</f>
        <v>0</v>
      </c>
      <c r="BC1461">
        <f>IF(OR(BA1461="",BB1461=""),"",BB1461+BA1461*F1461)</f>
        <v>0</v>
      </c>
      <c r="BD1461">
        <f>IF(COUNT($E$2:$E1461)&lt;20,"",STEYX($E$1362:$E$1461,$F$1362:$F$1461))</f>
        <v>0</v>
      </c>
      <c r="BE1461">
        <f>IF($E1461="","",IF(AND(COUNT($E$1462:$E$1465)&gt;=4,$C1461=MAX($C$1457:$C$1465)),$C1461,""))</f>
        <v>0</v>
      </c>
      <c r="BF1461">
        <f>IF($E1461="","",IF(AND(COUNT($E$1462:$E$1465)&gt;=4,$D1461=MIN($D$1457:$D$1465)),$D1461,""))</f>
        <v>0</v>
      </c>
      <c r="BG1461">
        <f>IF($A1461="","",$A1461-WEEKDAY($A1461,2)+1)</f>
        <v>0</v>
      </c>
      <c r="BH1461">
        <f>IF($A1461="","",IF($A1460="",1,IF(BG1461&lt;&gt;BG1460,1,0)))</f>
        <v>0</v>
      </c>
      <c r="BI1461">
        <f>IF($A1461="","",IF($A1462="",1,IF(BG1462&lt;&gt;BG1461,1,0)))</f>
        <v>0</v>
      </c>
      <c r="BJ1461">
        <f>IF($A1461="","",IF(BH1461=1,$B1461,BJ1460))</f>
        <v>0</v>
      </c>
      <c r="BK1461">
        <f>IF($A1461="","",IF(BH1461=1,$C1461,MAX($C1461,BK1460)))</f>
        <v>0</v>
      </c>
      <c r="BL1461">
        <f>IF($A1461="","",IF(BH1461=1,$D1461,MIN($D1461,BL1460)))</f>
        <v>0</v>
      </c>
      <c r="BM1461">
        <f>IF($A1461="","",IF(BI1461=1,F1461,""))</f>
        <v>0</v>
      </c>
      <c r="BN1461">
        <f>IF($A1461="","",DATE(YEAR($A1461),MONTH($A1461),1))</f>
        <v>0</v>
      </c>
      <c r="BO1461">
        <f>IF($A1461="","",IF($A1460="",1,IF(BN1461&lt;&gt;BN1460,1,0)))</f>
        <v>0</v>
      </c>
      <c r="BP1461">
        <f>IF($A1461="","",IF($A1462="",1,IF(BN1462&lt;&gt;BN1461,1,0)))</f>
        <v>0</v>
      </c>
      <c r="BQ1461">
        <f>IF($A1461="","",IF(BO1461=1,$B1461,BQ1460))</f>
        <v>0</v>
      </c>
      <c r="BR1461">
        <f>IF($A1461="","",IF(BO1461=1,$C1461,MAX($C1461,BR1460)))</f>
        <v>0</v>
      </c>
      <c r="BS1461">
        <f>IF($A1461="","",IF(BO1461=1,$D1461,MIN($D1461,BS1460)))</f>
        <v>0</v>
      </c>
      <c r="BT1461">
        <f>IF($A1461="","",IF(BP1461=1,F1461,""))</f>
        <v>0</v>
      </c>
    </row>
    <row r="1462" spans="1:72">
      <c r="A1462" s="27">
        <f>IF(Data!$A1462="","",Data!$A1462)</f>
        <v>0</v>
      </c>
      <c r="B1462">
        <f>IF(Data!$B1462="","",Data!$B1462)</f>
        <v>0</v>
      </c>
      <c r="C1462">
        <f>IF(Data!$C1462="","",Data!$C1462)</f>
        <v>0</v>
      </c>
      <c r="D1462">
        <f>IF(Data!$D1462="","",Data!$D1462)</f>
        <v>0</v>
      </c>
      <c r="E1462">
        <f>IF(Data!$E1462="","",Data!$E1462)</f>
        <v>0</v>
      </c>
      <c r="F1462">
        <f>IF($E1462="","",N(F1461)+1)</f>
        <v>0</v>
      </c>
      <c r="G1462">
        <f>IF(OR($E1462="",$E1461=""),"",LN($E1462/$E1461))</f>
        <v>0</v>
      </c>
      <c r="H1462">
        <f>IF($E1462="","",IF($E1461="",$E1462,$E1462*0.0952380952+H1461*0.9047619048))</f>
        <v>0</v>
      </c>
      <c r="I1462">
        <f>IF($E1462="","",IF($E1461="",$E1462,$E1462*0.0392156863+I1461*0.9607843137))</f>
        <v>0</v>
      </c>
      <c r="J1462">
        <f>IF($E1462="","",IF($E1461="",$E1462,$E1462*0.0198019802+J1461*0.9801980198))</f>
        <v>0</v>
      </c>
      <c r="K1462">
        <f>IF($E1462="","",IF($E1461="",$E1462,$E1462*0.0099502488+K1461*0.9900497512))</f>
        <v>0</v>
      </c>
      <c r="L1462">
        <f>IF(OR($E1462="",$E1461=""),"",MAX($E1462-$E1461,0))</f>
        <v>0</v>
      </c>
      <c r="M1462">
        <f>IF(OR($E1462="",$E1461=""),"",MAX($E1461-$E1462,0))</f>
        <v>0</v>
      </c>
      <c r="N1462">
        <f>IF(COUNT($E$2:$E1462)&lt;15,"",IF(AVERAGE($M$1449:$M$1462)=0,100,100-100/(1+AVERAGE($L$1449:$L$1462)/AVERAGE($M$1449:$M$1462))))</f>
        <v>0</v>
      </c>
      <c r="O1462">
        <f>IF($E1462="","",IF($E1461="",$E1462,$E1462*0.1538461538+O1461*0.8461538462))</f>
        <v>0</v>
      </c>
      <c r="P1462">
        <f>IF($E1462="","",IF($E1461="",$E1462,$E1462*0.0740740741+P1461*0.9259259259))</f>
        <v>0</v>
      </c>
      <c r="Q1462">
        <f>IF(OR(O1462="",P1462=""),"",O1462-P1462)</f>
        <v>0</v>
      </c>
      <c r="R1462">
        <f>IF(Q1462="","",IF(R1461="",Q1462,Q1462*0.2000000000+R1461*0.8000000000))</f>
        <v>0</v>
      </c>
      <c r="S1462">
        <f>IF(OR(Q1462="",R1462=""),"",Q1462-R1462)</f>
        <v>0</v>
      </c>
      <c r="T1462">
        <f>IF(COUNT($E$2:$E1462)&lt;14,"",MAX($C$1449:$C$1462))</f>
        <v>0</v>
      </c>
      <c r="U1462">
        <f>IF(COUNT($E$2:$E1462)&lt;14,"",MIN($D$1449:$D$1462))</f>
        <v>0</v>
      </c>
      <c r="V1462">
        <f>IF(OR(T1462="",U1462="",T1462=U1462),"",100*($E1462-U1462)/(T1462-U1462))</f>
        <v>0</v>
      </c>
      <c r="W1462">
        <f>IF(COUNT($V$1460:$V$1462)&lt;3,"",AVERAGE($V$1460:$V$1462))</f>
        <v>0</v>
      </c>
      <c r="X1462">
        <f>IF(COUNT($N$1449:$N$1462)&lt;14,"",MIN($N$1449:$N$1462))</f>
        <v>0</v>
      </c>
      <c r="Y1462">
        <f>IF(COUNT($N$1449:$N$1462)&lt;14,"",MAX($N$1449:$N$1462))</f>
        <v>0</v>
      </c>
      <c r="Z1462">
        <f>IF(OR(N1462="",X1462="",Y1462="",Y1462=X1462),"",100*(N1462-X1462)/(Y1462-X1462))</f>
        <v>0</v>
      </c>
      <c r="AA1462">
        <f>IF(COUNT($Z$1460:$Z$1462)&lt;3,"",AVERAGE($Z$1460:$Z$1462))</f>
        <v>0</v>
      </c>
      <c r="AB1462">
        <f>IF(COUNT($AA$1460:$AA$1462)&lt;3,"",AVERAGE($AA$1460:$AA$1462))</f>
        <v>0</v>
      </c>
      <c r="AC1462">
        <f>IF($E1462="","",MAX($C1462-$D1462,ABS($C1462-$E1461),ABS($D1462-$E1461)))</f>
        <v>0</v>
      </c>
      <c r="AD1462">
        <f>IF(COUNT($E$2:$E1462)&lt;15,"",AVERAGE($AC$1449:$AC$1462))</f>
        <v>0</v>
      </c>
      <c r="AE1462">
        <f>IF(OR($E1462="",$E1461=""),"",IF(AND(($C1462-$C1461)&gt;($D1461-$D1462),($C1462-$C1461)&gt;0),$C1462-$C1461,0))</f>
        <v>0</v>
      </c>
      <c r="AF1462">
        <f>IF(OR($E1462="",$E1461=""),"",IF(AND(($D1461-$D1462)&gt;($C1462-$C1461),($D1461-$D1462)&gt;0),$D1461-$D1462,0))</f>
        <v>0</v>
      </c>
      <c r="AG1462">
        <f>IF(COUNT($E$2:$E1462)&lt;15,"",IF(SUM($AC$1449:$AC$1462)=0,0,100*SUM($AE$1449:$AE$1462)/SUM($AC$1449:$AC$1462)))</f>
        <v>0</v>
      </c>
      <c r="AH1462">
        <f>IF(COUNT($E$2:$E1462)&lt;15,"",IF(SUM($AC$1449:$AC$1462)=0,0,100*SUM($AF$1449:$AF$1462)/SUM($AC$1449:$AC$1462)))</f>
        <v>0</v>
      </c>
      <c r="AI1462">
        <f>IF(OR(AG1462="",AH1462=""),"",IF((AG1462+AH1462)=0,0,100*ABS(AG1462-AH1462)/(AG1462+AH1462)))</f>
        <v>0</v>
      </c>
      <c r="AJ1462">
        <f>IF(COUNT($AI$1449:$AI$1462)&lt;14,"",AVERAGE($AI$1449:$AI$1462))</f>
        <v>0</v>
      </c>
      <c r="AK1462">
        <f>IF(COUNT($E$2:$E1462)&lt;20,"",AVERAGE($E$1443:$E$1462))</f>
        <v>0</v>
      </c>
      <c r="AL1462">
        <f>IF(COUNT($E$2:$E1462)&lt;20,"",STDEVP($E$1443:$E$1462))</f>
        <v>0</v>
      </c>
      <c r="AM1462">
        <f>IF(AK1462="","",AK1462+2*AL1462)</f>
        <v>0</v>
      </c>
      <c r="AN1462">
        <f>IF(AK1462="","",AK1462-2*AL1462)</f>
        <v>0</v>
      </c>
      <c r="AO1462">
        <f>IF(OR(AM1462="",AN1462="",AM1462=AN1462),"",($E1462-AN1462)/(AM1462-AN1462))</f>
        <v>0</v>
      </c>
      <c r="AP1462">
        <f>IF(OR(AM1462="",AK1462="",AK1462=0),"",(AM1462-AN1462)/AK1462)</f>
        <v>0</v>
      </c>
      <c r="AQ1462">
        <f>IF(COUNT($E$2:$E1462)&lt;20,"",MAX($C$1443:$C$1462))</f>
        <v>0</v>
      </c>
      <c r="AR1462">
        <f>IF(COUNT($E$2:$E1462)&lt;20,"",MIN($D$1443:$D$1462))</f>
        <v>0</v>
      </c>
      <c r="AS1462">
        <f>IF(OR(AQ1462="",AR1462=""),"",(AQ1462+AR1462)/2)</f>
        <v>0</v>
      </c>
      <c r="AT1462">
        <f>IF(COUNT($G$1443:$G$1462)&lt;20,"",STDEV($G$1443:$G$1462)*SQRT(252))</f>
        <v>0</v>
      </c>
      <c r="AU1462">
        <f>IF(COUNT($E$2:$E1462)&lt;9,"",(MAX($C$1454:$C$1462)+MIN($D$1454:$D$1462))/2)</f>
        <v>0</v>
      </c>
      <c r="AV1462">
        <f>IF(COUNT($E$2:$E1462)&lt;26,"",(MAX($C$1437:$C$1462)+MIN($D$1437:$D$1462))/2)</f>
        <v>0</v>
      </c>
      <c r="AW1462">
        <f>IF(OR(AU1462="",AV1462=""),"",(AU1462+AV1462)/2)</f>
        <v>0</v>
      </c>
      <c r="AX1462">
        <f>IF(COUNT($E$2:$E1462)&lt;52,"",(MAX($C$1411:$C$1462)+MIN($D$1411:$D$1462))/2)</f>
        <v>0</v>
      </c>
      <c r="AY1462">
        <f>IF(COUNT($E$2:$E1462)&lt;20,"",MAX($C$1363:$C$1462))</f>
        <v>0</v>
      </c>
      <c r="AZ1462">
        <f>IF(COUNT($E$2:$E1462)&lt;20,"",MIN($D$1363:$D$1462))</f>
        <v>0</v>
      </c>
      <c r="BA1462">
        <f>IF(COUNT($E$2:$E1462)&lt;20,"",SLOPE($E$1363:$E$1462,$F$1363:$F$1462))</f>
        <v>0</v>
      </c>
      <c r="BB1462">
        <f>IF(COUNT($E$2:$E1462)&lt;20,"",INTERCEPT($E$1363:$E$1462,$F$1363:$F$1462))</f>
        <v>0</v>
      </c>
      <c r="BC1462">
        <f>IF(OR(BA1462="",BB1462=""),"",BB1462+BA1462*F1462)</f>
        <v>0</v>
      </c>
      <c r="BD1462">
        <f>IF(COUNT($E$2:$E1462)&lt;20,"",STEYX($E$1363:$E$1462,$F$1363:$F$1462))</f>
        <v>0</v>
      </c>
      <c r="BE1462">
        <f>IF($E1462="","",IF(AND(COUNT($E$1463:$E$1466)&gt;=4,$C1462=MAX($C$1458:$C$1466)),$C1462,""))</f>
        <v>0</v>
      </c>
      <c r="BF1462">
        <f>IF($E1462="","",IF(AND(COUNT($E$1463:$E$1466)&gt;=4,$D1462=MIN($D$1458:$D$1466)),$D1462,""))</f>
        <v>0</v>
      </c>
      <c r="BG1462">
        <f>IF($A1462="","",$A1462-WEEKDAY($A1462,2)+1)</f>
        <v>0</v>
      </c>
      <c r="BH1462">
        <f>IF($A1462="","",IF($A1461="",1,IF(BG1462&lt;&gt;BG1461,1,0)))</f>
        <v>0</v>
      </c>
      <c r="BI1462">
        <f>IF($A1462="","",IF($A1463="",1,IF(BG1463&lt;&gt;BG1462,1,0)))</f>
        <v>0</v>
      </c>
      <c r="BJ1462">
        <f>IF($A1462="","",IF(BH1462=1,$B1462,BJ1461))</f>
        <v>0</v>
      </c>
      <c r="BK1462">
        <f>IF($A1462="","",IF(BH1462=1,$C1462,MAX($C1462,BK1461)))</f>
        <v>0</v>
      </c>
      <c r="BL1462">
        <f>IF($A1462="","",IF(BH1462=1,$D1462,MIN($D1462,BL1461)))</f>
        <v>0</v>
      </c>
      <c r="BM1462">
        <f>IF($A1462="","",IF(BI1462=1,F1462,""))</f>
        <v>0</v>
      </c>
      <c r="BN1462">
        <f>IF($A1462="","",DATE(YEAR($A1462),MONTH($A1462),1))</f>
        <v>0</v>
      </c>
      <c r="BO1462">
        <f>IF($A1462="","",IF($A1461="",1,IF(BN1462&lt;&gt;BN1461,1,0)))</f>
        <v>0</v>
      </c>
      <c r="BP1462">
        <f>IF($A1462="","",IF($A1463="",1,IF(BN1463&lt;&gt;BN1462,1,0)))</f>
        <v>0</v>
      </c>
      <c r="BQ1462">
        <f>IF($A1462="","",IF(BO1462=1,$B1462,BQ1461))</f>
        <v>0</v>
      </c>
      <c r="BR1462">
        <f>IF($A1462="","",IF(BO1462=1,$C1462,MAX($C1462,BR1461)))</f>
        <v>0</v>
      </c>
      <c r="BS1462">
        <f>IF($A1462="","",IF(BO1462=1,$D1462,MIN($D1462,BS1461)))</f>
        <v>0</v>
      </c>
      <c r="BT1462">
        <f>IF($A1462="","",IF(BP1462=1,F1462,""))</f>
        <v>0</v>
      </c>
    </row>
    <row r="1463" spans="1:72">
      <c r="A1463" s="27">
        <f>IF(Data!$A1463="","",Data!$A1463)</f>
        <v>0</v>
      </c>
      <c r="B1463">
        <f>IF(Data!$B1463="","",Data!$B1463)</f>
        <v>0</v>
      </c>
      <c r="C1463">
        <f>IF(Data!$C1463="","",Data!$C1463)</f>
        <v>0</v>
      </c>
      <c r="D1463">
        <f>IF(Data!$D1463="","",Data!$D1463)</f>
        <v>0</v>
      </c>
      <c r="E1463">
        <f>IF(Data!$E1463="","",Data!$E1463)</f>
        <v>0</v>
      </c>
      <c r="F1463">
        <f>IF($E1463="","",N(F1462)+1)</f>
        <v>0</v>
      </c>
      <c r="G1463">
        <f>IF(OR($E1463="",$E1462=""),"",LN($E1463/$E1462))</f>
        <v>0</v>
      </c>
      <c r="H1463">
        <f>IF($E1463="","",IF($E1462="",$E1463,$E1463*0.0952380952+H1462*0.9047619048))</f>
        <v>0</v>
      </c>
      <c r="I1463">
        <f>IF($E1463="","",IF($E1462="",$E1463,$E1463*0.0392156863+I1462*0.9607843137))</f>
        <v>0</v>
      </c>
      <c r="J1463">
        <f>IF($E1463="","",IF($E1462="",$E1463,$E1463*0.0198019802+J1462*0.9801980198))</f>
        <v>0</v>
      </c>
      <c r="K1463">
        <f>IF($E1463="","",IF($E1462="",$E1463,$E1463*0.0099502488+K1462*0.9900497512))</f>
        <v>0</v>
      </c>
      <c r="L1463">
        <f>IF(OR($E1463="",$E1462=""),"",MAX($E1463-$E1462,0))</f>
        <v>0</v>
      </c>
      <c r="M1463">
        <f>IF(OR($E1463="",$E1462=""),"",MAX($E1462-$E1463,0))</f>
        <v>0</v>
      </c>
      <c r="N1463">
        <f>IF(COUNT($E$2:$E1463)&lt;15,"",IF(AVERAGE($M$1450:$M$1463)=0,100,100-100/(1+AVERAGE($L$1450:$L$1463)/AVERAGE($M$1450:$M$1463))))</f>
        <v>0</v>
      </c>
      <c r="O1463">
        <f>IF($E1463="","",IF($E1462="",$E1463,$E1463*0.1538461538+O1462*0.8461538462))</f>
        <v>0</v>
      </c>
      <c r="P1463">
        <f>IF($E1463="","",IF($E1462="",$E1463,$E1463*0.0740740741+P1462*0.9259259259))</f>
        <v>0</v>
      </c>
      <c r="Q1463">
        <f>IF(OR(O1463="",P1463=""),"",O1463-P1463)</f>
        <v>0</v>
      </c>
      <c r="R1463">
        <f>IF(Q1463="","",IF(R1462="",Q1463,Q1463*0.2000000000+R1462*0.8000000000))</f>
        <v>0</v>
      </c>
      <c r="S1463">
        <f>IF(OR(Q1463="",R1463=""),"",Q1463-R1463)</f>
        <v>0</v>
      </c>
      <c r="T1463">
        <f>IF(COUNT($E$2:$E1463)&lt;14,"",MAX($C$1450:$C$1463))</f>
        <v>0</v>
      </c>
      <c r="U1463">
        <f>IF(COUNT($E$2:$E1463)&lt;14,"",MIN($D$1450:$D$1463))</f>
        <v>0</v>
      </c>
      <c r="V1463">
        <f>IF(OR(T1463="",U1463="",T1463=U1463),"",100*($E1463-U1463)/(T1463-U1463))</f>
        <v>0</v>
      </c>
      <c r="W1463">
        <f>IF(COUNT($V$1461:$V$1463)&lt;3,"",AVERAGE($V$1461:$V$1463))</f>
        <v>0</v>
      </c>
      <c r="X1463">
        <f>IF(COUNT($N$1450:$N$1463)&lt;14,"",MIN($N$1450:$N$1463))</f>
        <v>0</v>
      </c>
      <c r="Y1463">
        <f>IF(COUNT($N$1450:$N$1463)&lt;14,"",MAX($N$1450:$N$1463))</f>
        <v>0</v>
      </c>
      <c r="Z1463">
        <f>IF(OR(N1463="",X1463="",Y1463="",Y1463=X1463),"",100*(N1463-X1463)/(Y1463-X1463))</f>
        <v>0</v>
      </c>
      <c r="AA1463">
        <f>IF(COUNT($Z$1461:$Z$1463)&lt;3,"",AVERAGE($Z$1461:$Z$1463))</f>
        <v>0</v>
      </c>
      <c r="AB1463">
        <f>IF(COUNT($AA$1461:$AA$1463)&lt;3,"",AVERAGE($AA$1461:$AA$1463))</f>
        <v>0</v>
      </c>
      <c r="AC1463">
        <f>IF($E1463="","",MAX($C1463-$D1463,ABS($C1463-$E1462),ABS($D1463-$E1462)))</f>
        <v>0</v>
      </c>
      <c r="AD1463">
        <f>IF(COUNT($E$2:$E1463)&lt;15,"",AVERAGE($AC$1450:$AC$1463))</f>
        <v>0</v>
      </c>
      <c r="AE1463">
        <f>IF(OR($E1463="",$E1462=""),"",IF(AND(($C1463-$C1462)&gt;($D1462-$D1463),($C1463-$C1462)&gt;0),$C1463-$C1462,0))</f>
        <v>0</v>
      </c>
      <c r="AF1463">
        <f>IF(OR($E1463="",$E1462=""),"",IF(AND(($D1462-$D1463)&gt;($C1463-$C1462),($D1462-$D1463)&gt;0),$D1462-$D1463,0))</f>
        <v>0</v>
      </c>
      <c r="AG1463">
        <f>IF(COUNT($E$2:$E1463)&lt;15,"",IF(SUM($AC$1450:$AC$1463)=0,0,100*SUM($AE$1450:$AE$1463)/SUM($AC$1450:$AC$1463)))</f>
        <v>0</v>
      </c>
      <c r="AH1463">
        <f>IF(COUNT($E$2:$E1463)&lt;15,"",IF(SUM($AC$1450:$AC$1463)=0,0,100*SUM($AF$1450:$AF$1463)/SUM($AC$1450:$AC$1463)))</f>
        <v>0</v>
      </c>
      <c r="AI1463">
        <f>IF(OR(AG1463="",AH1463=""),"",IF((AG1463+AH1463)=0,0,100*ABS(AG1463-AH1463)/(AG1463+AH1463)))</f>
        <v>0</v>
      </c>
      <c r="AJ1463">
        <f>IF(COUNT($AI$1450:$AI$1463)&lt;14,"",AVERAGE($AI$1450:$AI$1463))</f>
        <v>0</v>
      </c>
      <c r="AK1463">
        <f>IF(COUNT($E$2:$E1463)&lt;20,"",AVERAGE($E$1444:$E$1463))</f>
        <v>0</v>
      </c>
      <c r="AL1463">
        <f>IF(COUNT($E$2:$E1463)&lt;20,"",STDEVP($E$1444:$E$1463))</f>
        <v>0</v>
      </c>
      <c r="AM1463">
        <f>IF(AK1463="","",AK1463+2*AL1463)</f>
        <v>0</v>
      </c>
      <c r="AN1463">
        <f>IF(AK1463="","",AK1463-2*AL1463)</f>
        <v>0</v>
      </c>
      <c r="AO1463">
        <f>IF(OR(AM1463="",AN1463="",AM1463=AN1463),"",($E1463-AN1463)/(AM1463-AN1463))</f>
        <v>0</v>
      </c>
      <c r="AP1463">
        <f>IF(OR(AM1463="",AK1463="",AK1463=0),"",(AM1463-AN1463)/AK1463)</f>
        <v>0</v>
      </c>
      <c r="AQ1463">
        <f>IF(COUNT($E$2:$E1463)&lt;20,"",MAX($C$1444:$C$1463))</f>
        <v>0</v>
      </c>
      <c r="AR1463">
        <f>IF(COUNT($E$2:$E1463)&lt;20,"",MIN($D$1444:$D$1463))</f>
        <v>0</v>
      </c>
      <c r="AS1463">
        <f>IF(OR(AQ1463="",AR1463=""),"",(AQ1463+AR1463)/2)</f>
        <v>0</v>
      </c>
      <c r="AT1463">
        <f>IF(COUNT($G$1444:$G$1463)&lt;20,"",STDEV($G$1444:$G$1463)*SQRT(252))</f>
        <v>0</v>
      </c>
      <c r="AU1463">
        <f>IF(COUNT($E$2:$E1463)&lt;9,"",(MAX($C$1455:$C$1463)+MIN($D$1455:$D$1463))/2)</f>
        <v>0</v>
      </c>
      <c r="AV1463">
        <f>IF(COUNT($E$2:$E1463)&lt;26,"",(MAX($C$1438:$C$1463)+MIN($D$1438:$D$1463))/2)</f>
        <v>0</v>
      </c>
      <c r="AW1463">
        <f>IF(OR(AU1463="",AV1463=""),"",(AU1463+AV1463)/2)</f>
        <v>0</v>
      </c>
      <c r="AX1463">
        <f>IF(COUNT($E$2:$E1463)&lt;52,"",(MAX($C$1412:$C$1463)+MIN($D$1412:$D$1463))/2)</f>
        <v>0</v>
      </c>
      <c r="AY1463">
        <f>IF(COUNT($E$2:$E1463)&lt;20,"",MAX($C$1364:$C$1463))</f>
        <v>0</v>
      </c>
      <c r="AZ1463">
        <f>IF(COUNT($E$2:$E1463)&lt;20,"",MIN($D$1364:$D$1463))</f>
        <v>0</v>
      </c>
      <c r="BA1463">
        <f>IF(COUNT($E$2:$E1463)&lt;20,"",SLOPE($E$1364:$E$1463,$F$1364:$F$1463))</f>
        <v>0</v>
      </c>
      <c r="BB1463">
        <f>IF(COUNT($E$2:$E1463)&lt;20,"",INTERCEPT($E$1364:$E$1463,$F$1364:$F$1463))</f>
        <v>0</v>
      </c>
      <c r="BC1463">
        <f>IF(OR(BA1463="",BB1463=""),"",BB1463+BA1463*F1463)</f>
        <v>0</v>
      </c>
      <c r="BD1463">
        <f>IF(COUNT($E$2:$E1463)&lt;20,"",STEYX($E$1364:$E$1463,$F$1364:$F$1463))</f>
        <v>0</v>
      </c>
      <c r="BE1463">
        <f>IF($E1463="","",IF(AND(COUNT($E$1464:$E$1467)&gt;=4,$C1463=MAX($C$1459:$C$1467)),$C1463,""))</f>
        <v>0</v>
      </c>
      <c r="BF1463">
        <f>IF($E1463="","",IF(AND(COUNT($E$1464:$E$1467)&gt;=4,$D1463=MIN($D$1459:$D$1467)),$D1463,""))</f>
        <v>0</v>
      </c>
      <c r="BG1463">
        <f>IF($A1463="","",$A1463-WEEKDAY($A1463,2)+1)</f>
        <v>0</v>
      </c>
      <c r="BH1463">
        <f>IF($A1463="","",IF($A1462="",1,IF(BG1463&lt;&gt;BG1462,1,0)))</f>
        <v>0</v>
      </c>
      <c r="BI1463">
        <f>IF($A1463="","",IF($A1464="",1,IF(BG1464&lt;&gt;BG1463,1,0)))</f>
        <v>0</v>
      </c>
      <c r="BJ1463">
        <f>IF($A1463="","",IF(BH1463=1,$B1463,BJ1462))</f>
        <v>0</v>
      </c>
      <c r="BK1463">
        <f>IF($A1463="","",IF(BH1463=1,$C1463,MAX($C1463,BK1462)))</f>
        <v>0</v>
      </c>
      <c r="BL1463">
        <f>IF($A1463="","",IF(BH1463=1,$D1463,MIN($D1463,BL1462)))</f>
        <v>0</v>
      </c>
      <c r="BM1463">
        <f>IF($A1463="","",IF(BI1463=1,F1463,""))</f>
        <v>0</v>
      </c>
      <c r="BN1463">
        <f>IF($A1463="","",DATE(YEAR($A1463),MONTH($A1463),1))</f>
        <v>0</v>
      </c>
      <c r="BO1463">
        <f>IF($A1463="","",IF($A1462="",1,IF(BN1463&lt;&gt;BN1462,1,0)))</f>
        <v>0</v>
      </c>
      <c r="BP1463">
        <f>IF($A1463="","",IF($A1464="",1,IF(BN1464&lt;&gt;BN1463,1,0)))</f>
        <v>0</v>
      </c>
      <c r="BQ1463">
        <f>IF($A1463="","",IF(BO1463=1,$B1463,BQ1462))</f>
        <v>0</v>
      </c>
      <c r="BR1463">
        <f>IF($A1463="","",IF(BO1463=1,$C1463,MAX($C1463,BR1462)))</f>
        <v>0</v>
      </c>
      <c r="BS1463">
        <f>IF($A1463="","",IF(BO1463=1,$D1463,MIN($D1463,BS1462)))</f>
        <v>0</v>
      </c>
      <c r="BT1463">
        <f>IF($A1463="","",IF(BP1463=1,F1463,""))</f>
        <v>0</v>
      </c>
    </row>
    <row r="1464" spans="1:72">
      <c r="A1464" s="27">
        <f>IF(Data!$A1464="","",Data!$A1464)</f>
        <v>0</v>
      </c>
      <c r="B1464">
        <f>IF(Data!$B1464="","",Data!$B1464)</f>
        <v>0</v>
      </c>
      <c r="C1464">
        <f>IF(Data!$C1464="","",Data!$C1464)</f>
        <v>0</v>
      </c>
      <c r="D1464">
        <f>IF(Data!$D1464="","",Data!$D1464)</f>
        <v>0</v>
      </c>
      <c r="E1464">
        <f>IF(Data!$E1464="","",Data!$E1464)</f>
        <v>0</v>
      </c>
      <c r="F1464">
        <f>IF($E1464="","",N(F1463)+1)</f>
        <v>0</v>
      </c>
      <c r="G1464">
        <f>IF(OR($E1464="",$E1463=""),"",LN($E1464/$E1463))</f>
        <v>0</v>
      </c>
      <c r="H1464">
        <f>IF($E1464="","",IF($E1463="",$E1464,$E1464*0.0952380952+H1463*0.9047619048))</f>
        <v>0</v>
      </c>
      <c r="I1464">
        <f>IF($E1464="","",IF($E1463="",$E1464,$E1464*0.0392156863+I1463*0.9607843137))</f>
        <v>0</v>
      </c>
      <c r="J1464">
        <f>IF($E1464="","",IF($E1463="",$E1464,$E1464*0.0198019802+J1463*0.9801980198))</f>
        <v>0</v>
      </c>
      <c r="K1464">
        <f>IF($E1464="","",IF($E1463="",$E1464,$E1464*0.0099502488+K1463*0.9900497512))</f>
        <v>0</v>
      </c>
      <c r="L1464">
        <f>IF(OR($E1464="",$E1463=""),"",MAX($E1464-$E1463,0))</f>
        <v>0</v>
      </c>
      <c r="M1464">
        <f>IF(OR($E1464="",$E1463=""),"",MAX($E1463-$E1464,0))</f>
        <v>0</v>
      </c>
      <c r="N1464">
        <f>IF(COUNT($E$2:$E1464)&lt;15,"",IF(AVERAGE($M$1451:$M$1464)=0,100,100-100/(1+AVERAGE($L$1451:$L$1464)/AVERAGE($M$1451:$M$1464))))</f>
        <v>0</v>
      </c>
      <c r="O1464">
        <f>IF($E1464="","",IF($E1463="",$E1464,$E1464*0.1538461538+O1463*0.8461538462))</f>
        <v>0</v>
      </c>
      <c r="P1464">
        <f>IF($E1464="","",IF($E1463="",$E1464,$E1464*0.0740740741+P1463*0.9259259259))</f>
        <v>0</v>
      </c>
      <c r="Q1464">
        <f>IF(OR(O1464="",P1464=""),"",O1464-P1464)</f>
        <v>0</v>
      </c>
      <c r="R1464">
        <f>IF(Q1464="","",IF(R1463="",Q1464,Q1464*0.2000000000+R1463*0.8000000000))</f>
        <v>0</v>
      </c>
      <c r="S1464">
        <f>IF(OR(Q1464="",R1464=""),"",Q1464-R1464)</f>
        <v>0</v>
      </c>
      <c r="T1464">
        <f>IF(COUNT($E$2:$E1464)&lt;14,"",MAX($C$1451:$C$1464))</f>
        <v>0</v>
      </c>
      <c r="U1464">
        <f>IF(COUNT($E$2:$E1464)&lt;14,"",MIN($D$1451:$D$1464))</f>
        <v>0</v>
      </c>
      <c r="V1464">
        <f>IF(OR(T1464="",U1464="",T1464=U1464),"",100*($E1464-U1464)/(T1464-U1464))</f>
        <v>0</v>
      </c>
      <c r="W1464">
        <f>IF(COUNT($V$1462:$V$1464)&lt;3,"",AVERAGE($V$1462:$V$1464))</f>
        <v>0</v>
      </c>
      <c r="X1464">
        <f>IF(COUNT($N$1451:$N$1464)&lt;14,"",MIN($N$1451:$N$1464))</f>
        <v>0</v>
      </c>
      <c r="Y1464">
        <f>IF(COUNT($N$1451:$N$1464)&lt;14,"",MAX($N$1451:$N$1464))</f>
        <v>0</v>
      </c>
      <c r="Z1464">
        <f>IF(OR(N1464="",X1464="",Y1464="",Y1464=X1464),"",100*(N1464-X1464)/(Y1464-X1464))</f>
        <v>0</v>
      </c>
      <c r="AA1464">
        <f>IF(COUNT($Z$1462:$Z$1464)&lt;3,"",AVERAGE($Z$1462:$Z$1464))</f>
        <v>0</v>
      </c>
      <c r="AB1464">
        <f>IF(COUNT($AA$1462:$AA$1464)&lt;3,"",AVERAGE($AA$1462:$AA$1464))</f>
        <v>0</v>
      </c>
      <c r="AC1464">
        <f>IF($E1464="","",MAX($C1464-$D1464,ABS($C1464-$E1463),ABS($D1464-$E1463)))</f>
        <v>0</v>
      </c>
      <c r="AD1464">
        <f>IF(COUNT($E$2:$E1464)&lt;15,"",AVERAGE($AC$1451:$AC$1464))</f>
        <v>0</v>
      </c>
      <c r="AE1464">
        <f>IF(OR($E1464="",$E1463=""),"",IF(AND(($C1464-$C1463)&gt;($D1463-$D1464),($C1464-$C1463)&gt;0),$C1464-$C1463,0))</f>
        <v>0</v>
      </c>
      <c r="AF1464">
        <f>IF(OR($E1464="",$E1463=""),"",IF(AND(($D1463-$D1464)&gt;($C1464-$C1463),($D1463-$D1464)&gt;0),$D1463-$D1464,0))</f>
        <v>0</v>
      </c>
      <c r="AG1464">
        <f>IF(COUNT($E$2:$E1464)&lt;15,"",IF(SUM($AC$1451:$AC$1464)=0,0,100*SUM($AE$1451:$AE$1464)/SUM($AC$1451:$AC$1464)))</f>
        <v>0</v>
      </c>
      <c r="AH1464">
        <f>IF(COUNT($E$2:$E1464)&lt;15,"",IF(SUM($AC$1451:$AC$1464)=0,0,100*SUM($AF$1451:$AF$1464)/SUM($AC$1451:$AC$1464)))</f>
        <v>0</v>
      </c>
      <c r="AI1464">
        <f>IF(OR(AG1464="",AH1464=""),"",IF((AG1464+AH1464)=0,0,100*ABS(AG1464-AH1464)/(AG1464+AH1464)))</f>
        <v>0</v>
      </c>
      <c r="AJ1464">
        <f>IF(COUNT($AI$1451:$AI$1464)&lt;14,"",AVERAGE($AI$1451:$AI$1464))</f>
        <v>0</v>
      </c>
      <c r="AK1464">
        <f>IF(COUNT($E$2:$E1464)&lt;20,"",AVERAGE($E$1445:$E$1464))</f>
        <v>0</v>
      </c>
      <c r="AL1464">
        <f>IF(COUNT($E$2:$E1464)&lt;20,"",STDEVP($E$1445:$E$1464))</f>
        <v>0</v>
      </c>
      <c r="AM1464">
        <f>IF(AK1464="","",AK1464+2*AL1464)</f>
        <v>0</v>
      </c>
      <c r="AN1464">
        <f>IF(AK1464="","",AK1464-2*AL1464)</f>
        <v>0</v>
      </c>
      <c r="AO1464">
        <f>IF(OR(AM1464="",AN1464="",AM1464=AN1464),"",($E1464-AN1464)/(AM1464-AN1464))</f>
        <v>0</v>
      </c>
      <c r="AP1464">
        <f>IF(OR(AM1464="",AK1464="",AK1464=0),"",(AM1464-AN1464)/AK1464)</f>
        <v>0</v>
      </c>
      <c r="AQ1464">
        <f>IF(COUNT($E$2:$E1464)&lt;20,"",MAX($C$1445:$C$1464))</f>
        <v>0</v>
      </c>
      <c r="AR1464">
        <f>IF(COUNT($E$2:$E1464)&lt;20,"",MIN($D$1445:$D$1464))</f>
        <v>0</v>
      </c>
      <c r="AS1464">
        <f>IF(OR(AQ1464="",AR1464=""),"",(AQ1464+AR1464)/2)</f>
        <v>0</v>
      </c>
      <c r="AT1464">
        <f>IF(COUNT($G$1445:$G$1464)&lt;20,"",STDEV($G$1445:$G$1464)*SQRT(252))</f>
        <v>0</v>
      </c>
      <c r="AU1464">
        <f>IF(COUNT($E$2:$E1464)&lt;9,"",(MAX($C$1456:$C$1464)+MIN($D$1456:$D$1464))/2)</f>
        <v>0</v>
      </c>
      <c r="AV1464">
        <f>IF(COUNT($E$2:$E1464)&lt;26,"",(MAX($C$1439:$C$1464)+MIN($D$1439:$D$1464))/2)</f>
        <v>0</v>
      </c>
      <c r="AW1464">
        <f>IF(OR(AU1464="",AV1464=""),"",(AU1464+AV1464)/2)</f>
        <v>0</v>
      </c>
      <c r="AX1464">
        <f>IF(COUNT($E$2:$E1464)&lt;52,"",(MAX($C$1413:$C$1464)+MIN($D$1413:$D$1464))/2)</f>
        <v>0</v>
      </c>
      <c r="AY1464">
        <f>IF(COUNT($E$2:$E1464)&lt;20,"",MAX($C$1365:$C$1464))</f>
        <v>0</v>
      </c>
      <c r="AZ1464">
        <f>IF(COUNT($E$2:$E1464)&lt;20,"",MIN($D$1365:$D$1464))</f>
        <v>0</v>
      </c>
      <c r="BA1464">
        <f>IF(COUNT($E$2:$E1464)&lt;20,"",SLOPE($E$1365:$E$1464,$F$1365:$F$1464))</f>
        <v>0</v>
      </c>
      <c r="BB1464">
        <f>IF(COUNT($E$2:$E1464)&lt;20,"",INTERCEPT($E$1365:$E$1464,$F$1365:$F$1464))</f>
        <v>0</v>
      </c>
      <c r="BC1464">
        <f>IF(OR(BA1464="",BB1464=""),"",BB1464+BA1464*F1464)</f>
        <v>0</v>
      </c>
      <c r="BD1464">
        <f>IF(COUNT($E$2:$E1464)&lt;20,"",STEYX($E$1365:$E$1464,$F$1365:$F$1464))</f>
        <v>0</v>
      </c>
      <c r="BE1464">
        <f>IF($E1464="","",IF(AND(COUNT($E$1465:$E$1468)&gt;=4,$C1464=MAX($C$1460:$C$1468)),$C1464,""))</f>
        <v>0</v>
      </c>
      <c r="BF1464">
        <f>IF($E1464="","",IF(AND(COUNT($E$1465:$E$1468)&gt;=4,$D1464=MIN($D$1460:$D$1468)),$D1464,""))</f>
        <v>0</v>
      </c>
      <c r="BG1464">
        <f>IF($A1464="","",$A1464-WEEKDAY($A1464,2)+1)</f>
        <v>0</v>
      </c>
      <c r="BH1464">
        <f>IF($A1464="","",IF($A1463="",1,IF(BG1464&lt;&gt;BG1463,1,0)))</f>
        <v>0</v>
      </c>
      <c r="BI1464">
        <f>IF($A1464="","",IF($A1465="",1,IF(BG1465&lt;&gt;BG1464,1,0)))</f>
        <v>0</v>
      </c>
      <c r="BJ1464">
        <f>IF($A1464="","",IF(BH1464=1,$B1464,BJ1463))</f>
        <v>0</v>
      </c>
      <c r="BK1464">
        <f>IF($A1464="","",IF(BH1464=1,$C1464,MAX($C1464,BK1463)))</f>
        <v>0</v>
      </c>
      <c r="BL1464">
        <f>IF($A1464="","",IF(BH1464=1,$D1464,MIN($D1464,BL1463)))</f>
        <v>0</v>
      </c>
      <c r="BM1464">
        <f>IF($A1464="","",IF(BI1464=1,F1464,""))</f>
        <v>0</v>
      </c>
      <c r="BN1464">
        <f>IF($A1464="","",DATE(YEAR($A1464),MONTH($A1464),1))</f>
        <v>0</v>
      </c>
      <c r="BO1464">
        <f>IF($A1464="","",IF($A1463="",1,IF(BN1464&lt;&gt;BN1463,1,0)))</f>
        <v>0</v>
      </c>
      <c r="BP1464">
        <f>IF($A1464="","",IF($A1465="",1,IF(BN1465&lt;&gt;BN1464,1,0)))</f>
        <v>0</v>
      </c>
      <c r="BQ1464">
        <f>IF($A1464="","",IF(BO1464=1,$B1464,BQ1463))</f>
        <v>0</v>
      </c>
      <c r="BR1464">
        <f>IF($A1464="","",IF(BO1464=1,$C1464,MAX($C1464,BR1463)))</f>
        <v>0</v>
      </c>
      <c r="BS1464">
        <f>IF($A1464="","",IF(BO1464=1,$D1464,MIN($D1464,BS1463)))</f>
        <v>0</v>
      </c>
      <c r="BT1464">
        <f>IF($A1464="","",IF(BP1464=1,F1464,""))</f>
        <v>0</v>
      </c>
    </row>
    <row r="1465" spans="1:72">
      <c r="A1465" s="27">
        <f>IF(Data!$A1465="","",Data!$A1465)</f>
        <v>0</v>
      </c>
      <c r="B1465">
        <f>IF(Data!$B1465="","",Data!$B1465)</f>
        <v>0</v>
      </c>
      <c r="C1465">
        <f>IF(Data!$C1465="","",Data!$C1465)</f>
        <v>0</v>
      </c>
      <c r="D1465">
        <f>IF(Data!$D1465="","",Data!$D1465)</f>
        <v>0</v>
      </c>
      <c r="E1465">
        <f>IF(Data!$E1465="","",Data!$E1465)</f>
        <v>0</v>
      </c>
      <c r="F1465">
        <f>IF($E1465="","",N(F1464)+1)</f>
        <v>0</v>
      </c>
      <c r="G1465">
        <f>IF(OR($E1465="",$E1464=""),"",LN($E1465/$E1464))</f>
        <v>0</v>
      </c>
      <c r="H1465">
        <f>IF($E1465="","",IF($E1464="",$E1465,$E1465*0.0952380952+H1464*0.9047619048))</f>
        <v>0</v>
      </c>
      <c r="I1465">
        <f>IF($E1465="","",IF($E1464="",$E1465,$E1465*0.0392156863+I1464*0.9607843137))</f>
        <v>0</v>
      </c>
      <c r="J1465">
        <f>IF($E1465="","",IF($E1464="",$E1465,$E1465*0.0198019802+J1464*0.9801980198))</f>
        <v>0</v>
      </c>
      <c r="K1465">
        <f>IF($E1465="","",IF($E1464="",$E1465,$E1465*0.0099502488+K1464*0.9900497512))</f>
        <v>0</v>
      </c>
      <c r="L1465">
        <f>IF(OR($E1465="",$E1464=""),"",MAX($E1465-$E1464,0))</f>
        <v>0</v>
      </c>
      <c r="M1465">
        <f>IF(OR($E1465="",$E1464=""),"",MAX($E1464-$E1465,0))</f>
        <v>0</v>
      </c>
      <c r="N1465">
        <f>IF(COUNT($E$2:$E1465)&lt;15,"",IF(AVERAGE($M$1452:$M$1465)=0,100,100-100/(1+AVERAGE($L$1452:$L$1465)/AVERAGE($M$1452:$M$1465))))</f>
        <v>0</v>
      </c>
      <c r="O1465">
        <f>IF($E1465="","",IF($E1464="",$E1465,$E1465*0.1538461538+O1464*0.8461538462))</f>
        <v>0</v>
      </c>
      <c r="P1465">
        <f>IF($E1465="","",IF($E1464="",$E1465,$E1465*0.0740740741+P1464*0.9259259259))</f>
        <v>0</v>
      </c>
      <c r="Q1465">
        <f>IF(OR(O1465="",P1465=""),"",O1465-P1465)</f>
        <v>0</v>
      </c>
      <c r="R1465">
        <f>IF(Q1465="","",IF(R1464="",Q1465,Q1465*0.2000000000+R1464*0.8000000000))</f>
        <v>0</v>
      </c>
      <c r="S1465">
        <f>IF(OR(Q1465="",R1465=""),"",Q1465-R1465)</f>
        <v>0</v>
      </c>
      <c r="T1465">
        <f>IF(COUNT($E$2:$E1465)&lt;14,"",MAX($C$1452:$C$1465))</f>
        <v>0</v>
      </c>
      <c r="U1465">
        <f>IF(COUNT($E$2:$E1465)&lt;14,"",MIN($D$1452:$D$1465))</f>
        <v>0</v>
      </c>
      <c r="V1465">
        <f>IF(OR(T1465="",U1465="",T1465=U1465),"",100*($E1465-U1465)/(T1465-U1465))</f>
        <v>0</v>
      </c>
      <c r="W1465">
        <f>IF(COUNT($V$1463:$V$1465)&lt;3,"",AVERAGE($V$1463:$V$1465))</f>
        <v>0</v>
      </c>
      <c r="X1465">
        <f>IF(COUNT($N$1452:$N$1465)&lt;14,"",MIN($N$1452:$N$1465))</f>
        <v>0</v>
      </c>
      <c r="Y1465">
        <f>IF(COUNT($N$1452:$N$1465)&lt;14,"",MAX($N$1452:$N$1465))</f>
        <v>0</v>
      </c>
      <c r="Z1465">
        <f>IF(OR(N1465="",X1465="",Y1465="",Y1465=X1465),"",100*(N1465-X1465)/(Y1465-X1465))</f>
        <v>0</v>
      </c>
      <c r="AA1465">
        <f>IF(COUNT($Z$1463:$Z$1465)&lt;3,"",AVERAGE($Z$1463:$Z$1465))</f>
        <v>0</v>
      </c>
      <c r="AB1465">
        <f>IF(COUNT($AA$1463:$AA$1465)&lt;3,"",AVERAGE($AA$1463:$AA$1465))</f>
        <v>0</v>
      </c>
      <c r="AC1465">
        <f>IF($E1465="","",MAX($C1465-$D1465,ABS($C1465-$E1464),ABS($D1465-$E1464)))</f>
        <v>0</v>
      </c>
      <c r="AD1465">
        <f>IF(COUNT($E$2:$E1465)&lt;15,"",AVERAGE($AC$1452:$AC$1465))</f>
        <v>0</v>
      </c>
      <c r="AE1465">
        <f>IF(OR($E1465="",$E1464=""),"",IF(AND(($C1465-$C1464)&gt;($D1464-$D1465),($C1465-$C1464)&gt;0),$C1465-$C1464,0))</f>
        <v>0</v>
      </c>
      <c r="AF1465">
        <f>IF(OR($E1465="",$E1464=""),"",IF(AND(($D1464-$D1465)&gt;($C1465-$C1464),($D1464-$D1465)&gt;0),$D1464-$D1465,0))</f>
        <v>0</v>
      </c>
      <c r="AG1465">
        <f>IF(COUNT($E$2:$E1465)&lt;15,"",IF(SUM($AC$1452:$AC$1465)=0,0,100*SUM($AE$1452:$AE$1465)/SUM($AC$1452:$AC$1465)))</f>
        <v>0</v>
      </c>
      <c r="AH1465">
        <f>IF(COUNT($E$2:$E1465)&lt;15,"",IF(SUM($AC$1452:$AC$1465)=0,0,100*SUM($AF$1452:$AF$1465)/SUM($AC$1452:$AC$1465)))</f>
        <v>0</v>
      </c>
      <c r="AI1465">
        <f>IF(OR(AG1465="",AH1465=""),"",IF((AG1465+AH1465)=0,0,100*ABS(AG1465-AH1465)/(AG1465+AH1465)))</f>
        <v>0</v>
      </c>
      <c r="AJ1465">
        <f>IF(COUNT($AI$1452:$AI$1465)&lt;14,"",AVERAGE($AI$1452:$AI$1465))</f>
        <v>0</v>
      </c>
      <c r="AK1465">
        <f>IF(COUNT($E$2:$E1465)&lt;20,"",AVERAGE($E$1446:$E$1465))</f>
        <v>0</v>
      </c>
      <c r="AL1465">
        <f>IF(COUNT($E$2:$E1465)&lt;20,"",STDEVP($E$1446:$E$1465))</f>
        <v>0</v>
      </c>
      <c r="AM1465">
        <f>IF(AK1465="","",AK1465+2*AL1465)</f>
        <v>0</v>
      </c>
      <c r="AN1465">
        <f>IF(AK1465="","",AK1465-2*AL1465)</f>
        <v>0</v>
      </c>
      <c r="AO1465">
        <f>IF(OR(AM1465="",AN1465="",AM1465=AN1465),"",($E1465-AN1465)/(AM1465-AN1465))</f>
        <v>0</v>
      </c>
      <c r="AP1465">
        <f>IF(OR(AM1465="",AK1465="",AK1465=0),"",(AM1465-AN1465)/AK1465)</f>
        <v>0</v>
      </c>
      <c r="AQ1465">
        <f>IF(COUNT($E$2:$E1465)&lt;20,"",MAX($C$1446:$C$1465))</f>
        <v>0</v>
      </c>
      <c r="AR1465">
        <f>IF(COUNT($E$2:$E1465)&lt;20,"",MIN($D$1446:$D$1465))</f>
        <v>0</v>
      </c>
      <c r="AS1465">
        <f>IF(OR(AQ1465="",AR1465=""),"",(AQ1465+AR1465)/2)</f>
        <v>0</v>
      </c>
      <c r="AT1465">
        <f>IF(COUNT($G$1446:$G$1465)&lt;20,"",STDEV($G$1446:$G$1465)*SQRT(252))</f>
        <v>0</v>
      </c>
      <c r="AU1465">
        <f>IF(COUNT($E$2:$E1465)&lt;9,"",(MAX($C$1457:$C$1465)+MIN($D$1457:$D$1465))/2)</f>
        <v>0</v>
      </c>
      <c r="AV1465">
        <f>IF(COUNT($E$2:$E1465)&lt;26,"",(MAX($C$1440:$C$1465)+MIN($D$1440:$D$1465))/2)</f>
        <v>0</v>
      </c>
      <c r="AW1465">
        <f>IF(OR(AU1465="",AV1465=""),"",(AU1465+AV1465)/2)</f>
        <v>0</v>
      </c>
      <c r="AX1465">
        <f>IF(COUNT($E$2:$E1465)&lt;52,"",(MAX($C$1414:$C$1465)+MIN($D$1414:$D$1465))/2)</f>
        <v>0</v>
      </c>
      <c r="AY1465">
        <f>IF(COUNT($E$2:$E1465)&lt;20,"",MAX($C$1366:$C$1465))</f>
        <v>0</v>
      </c>
      <c r="AZ1465">
        <f>IF(COUNT($E$2:$E1465)&lt;20,"",MIN($D$1366:$D$1465))</f>
        <v>0</v>
      </c>
      <c r="BA1465">
        <f>IF(COUNT($E$2:$E1465)&lt;20,"",SLOPE($E$1366:$E$1465,$F$1366:$F$1465))</f>
        <v>0</v>
      </c>
      <c r="BB1465">
        <f>IF(COUNT($E$2:$E1465)&lt;20,"",INTERCEPT($E$1366:$E$1465,$F$1366:$F$1465))</f>
        <v>0</v>
      </c>
      <c r="BC1465">
        <f>IF(OR(BA1465="",BB1465=""),"",BB1465+BA1465*F1465)</f>
        <v>0</v>
      </c>
      <c r="BD1465">
        <f>IF(COUNT($E$2:$E1465)&lt;20,"",STEYX($E$1366:$E$1465,$F$1366:$F$1465))</f>
        <v>0</v>
      </c>
      <c r="BE1465">
        <f>IF($E1465="","",IF(AND(COUNT($E$1466:$E$1469)&gt;=4,$C1465=MAX($C$1461:$C$1469)),$C1465,""))</f>
        <v>0</v>
      </c>
      <c r="BF1465">
        <f>IF($E1465="","",IF(AND(COUNT($E$1466:$E$1469)&gt;=4,$D1465=MIN($D$1461:$D$1469)),$D1465,""))</f>
        <v>0</v>
      </c>
      <c r="BG1465">
        <f>IF($A1465="","",$A1465-WEEKDAY($A1465,2)+1)</f>
        <v>0</v>
      </c>
      <c r="BH1465">
        <f>IF($A1465="","",IF($A1464="",1,IF(BG1465&lt;&gt;BG1464,1,0)))</f>
        <v>0</v>
      </c>
      <c r="BI1465">
        <f>IF($A1465="","",IF($A1466="",1,IF(BG1466&lt;&gt;BG1465,1,0)))</f>
        <v>0</v>
      </c>
      <c r="BJ1465">
        <f>IF($A1465="","",IF(BH1465=1,$B1465,BJ1464))</f>
        <v>0</v>
      </c>
      <c r="BK1465">
        <f>IF($A1465="","",IF(BH1465=1,$C1465,MAX($C1465,BK1464)))</f>
        <v>0</v>
      </c>
      <c r="BL1465">
        <f>IF($A1465="","",IF(BH1465=1,$D1465,MIN($D1465,BL1464)))</f>
        <v>0</v>
      </c>
      <c r="BM1465">
        <f>IF($A1465="","",IF(BI1465=1,F1465,""))</f>
        <v>0</v>
      </c>
      <c r="BN1465">
        <f>IF($A1465="","",DATE(YEAR($A1465),MONTH($A1465),1))</f>
        <v>0</v>
      </c>
      <c r="BO1465">
        <f>IF($A1465="","",IF($A1464="",1,IF(BN1465&lt;&gt;BN1464,1,0)))</f>
        <v>0</v>
      </c>
      <c r="BP1465">
        <f>IF($A1465="","",IF($A1466="",1,IF(BN1466&lt;&gt;BN1465,1,0)))</f>
        <v>0</v>
      </c>
      <c r="BQ1465">
        <f>IF($A1465="","",IF(BO1465=1,$B1465,BQ1464))</f>
        <v>0</v>
      </c>
      <c r="BR1465">
        <f>IF($A1465="","",IF(BO1465=1,$C1465,MAX($C1465,BR1464)))</f>
        <v>0</v>
      </c>
      <c r="BS1465">
        <f>IF($A1465="","",IF(BO1465=1,$D1465,MIN($D1465,BS1464)))</f>
        <v>0</v>
      </c>
      <c r="BT1465">
        <f>IF($A1465="","",IF(BP1465=1,F1465,""))</f>
        <v>0</v>
      </c>
    </row>
    <row r="1466" spans="1:72">
      <c r="A1466" s="27">
        <f>IF(Data!$A1466="","",Data!$A1466)</f>
        <v>0</v>
      </c>
      <c r="B1466">
        <f>IF(Data!$B1466="","",Data!$B1466)</f>
        <v>0</v>
      </c>
      <c r="C1466">
        <f>IF(Data!$C1466="","",Data!$C1466)</f>
        <v>0</v>
      </c>
      <c r="D1466">
        <f>IF(Data!$D1466="","",Data!$D1466)</f>
        <v>0</v>
      </c>
      <c r="E1466">
        <f>IF(Data!$E1466="","",Data!$E1466)</f>
        <v>0</v>
      </c>
      <c r="F1466">
        <f>IF($E1466="","",N(F1465)+1)</f>
        <v>0</v>
      </c>
      <c r="G1466">
        <f>IF(OR($E1466="",$E1465=""),"",LN($E1466/$E1465))</f>
        <v>0</v>
      </c>
      <c r="H1466">
        <f>IF($E1466="","",IF($E1465="",$E1466,$E1466*0.0952380952+H1465*0.9047619048))</f>
        <v>0</v>
      </c>
      <c r="I1466">
        <f>IF($E1466="","",IF($E1465="",$E1466,$E1466*0.0392156863+I1465*0.9607843137))</f>
        <v>0</v>
      </c>
      <c r="J1466">
        <f>IF($E1466="","",IF($E1465="",$E1466,$E1466*0.0198019802+J1465*0.9801980198))</f>
        <v>0</v>
      </c>
      <c r="K1466">
        <f>IF($E1466="","",IF($E1465="",$E1466,$E1466*0.0099502488+K1465*0.9900497512))</f>
        <v>0</v>
      </c>
      <c r="L1466">
        <f>IF(OR($E1466="",$E1465=""),"",MAX($E1466-$E1465,0))</f>
        <v>0</v>
      </c>
      <c r="M1466">
        <f>IF(OR($E1466="",$E1465=""),"",MAX($E1465-$E1466,0))</f>
        <v>0</v>
      </c>
      <c r="N1466">
        <f>IF(COUNT($E$2:$E1466)&lt;15,"",IF(AVERAGE($M$1453:$M$1466)=0,100,100-100/(1+AVERAGE($L$1453:$L$1466)/AVERAGE($M$1453:$M$1466))))</f>
        <v>0</v>
      </c>
      <c r="O1466">
        <f>IF($E1466="","",IF($E1465="",$E1466,$E1466*0.1538461538+O1465*0.8461538462))</f>
        <v>0</v>
      </c>
      <c r="P1466">
        <f>IF($E1466="","",IF($E1465="",$E1466,$E1466*0.0740740741+P1465*0.9259259259))</f>
        <v>0</v>
      </c>
      <c r="Q1466">
        <f>IF(OR(O1466="",P1466=""),"",O1466-P1466)</f>
        <v>0</v>
      </c>
      <c r="R1466">
        <f>IF(Q1466="","",IF(R1465="",Q1466,Q1466*0.2000000000+R1465*0.8000000000))</f>
        <v>0</v>
      </c>
      <c r="S1466">
        <f>IF(OR(Q1466="",R1466=""),"",Q1466-R1466)</f>
        <v>0</v>
      </c>
      <c r="T1466">
        <f>IF(COUNT($E$2:$E1466)&lt;14,"",MAX($C$1453:$C$1466))</f>
        <v>0</v>
      </c>
      <c r="U1466">
        <f>IF(COUNT($E$2:$E1466)&lt;14,"",MIN($D$1453:$D$1466))</f>
        <v>0</v>
      </c>
      <c r="V1466">
        <f>IF(OR(T1466="",U1466="",T1466=U1466),"",100*($E1466-U1466)/(T1466-U1466))</f>
        <v>0</v>
      </c>
      <c r="W1466">
        <f>IF(COUNT($V$1464:$V$1466)&lt;3,"",AVERAGE($V$1464:$V$1466))</f>
        <v>0</v>
      </c>
      <c r="X1466">
        <f>IF(COUNT($N$1453:$N$1466)&lt;14,"",MIN($N$1453:$N$1466))</f>
        <v>0</v>
      </c>
      <c r="Y1466">
        <f>IF(COUNT($N$1453:$N$1466)&lt;14,"",MAX($N$1453:$N$1466))</f>
        <v>0</v>
      </c>
      <c r="Z1466">
        <f>IF(OR(N1466="",X1466="",Y1466="",Y1466=X1466),"",100*(N1466-X1466)/(Y1466-X1466))</f>
        <v>0</v>
      </c>
      <c r="AA1466">
        <f>IF(COUNT($Z$1464:$Z$1466)&lt;3,"",AVERAGE($Z$1464:$Z$1466))</f>
        <v>0</v>
      </c>
      <c r="AB1466">
        <f>IF(COUNT($AA$1464:$AA$1466)&lt;3,"",AVERAGE($AA$1464:$AA$1466))</f>
        <v>0</v>
      </c>
      <c r="AC1466">
        <f>IF($E1466="","",MAX($C1466-$D1466,ABS($C1466-$E1465),ABS($D1466-$E1465)))</f>
        <v>0</v>
      </c>
      <c r="AD1466">
        <f>IF(COUNT($E$2:$E1466)&lt;15,"",AVERAGE($AC$1453:$AC$1466))</f>
        <v>0</v>
      </c>
      <c r="AE1466">
        <f>IF(OR($E1466="",$E1465=""),"",IF(AND(($C1466-$C1465)&gt;($D1465-$D1466),($C1466-$C1465)&gt;0),$C1466-$C1465,0))</f>
        <v>0</v>
      </c>
      <c r="AF1466">
        <f>IF(OR($E1466="",$E1465=""),"",IF(AND(($D1465-$D1466)&gt;($C1466-$C1465),($D1465-$D1466)&gt;0),$D1465-$D1466,0))</f>
        <v>0</v>
      </c>
      <c r="AG1466">
        <f>IF(COUNT($E$2:$E1466)&lt;15,"",IF(SUM($AC$1453:$AC$1466)=0,0,100*SUM($AE$1453:$AE$1466)/SUM($AC$1453:$AC$1466)))</f>
        <v>0</v>
      </c>
      <c r="AH1466">
        <f>IF(COUNT($E$2:$E1466)&lt;15,"",IF(SUM($AC$1453:$AC$1466)=0,0,100*SUM($AF$1453:$AF$1466)/SUM($AC$1453:$AC$1466)))</f>
        <v>0</v>
      </c>
      <c r="AI1466">
        <f>IF(OR(AG1466="",AH1466=""),"",IF((AG1466+AH1466)=0,0,100*ABS(AG1466-AH1466)/(AG1466+AH1466)))</f>
        <v>0</v>
      </c>
      <c r="AJ1466">
        <f>IF(COUNT($AI$1453:$AI$1466)&lt;14,"",AVERAGE($AI$1453:$AI$1466))</f>
        <v>0</v>
      </c>
      <c r="AK1466">
        <f>IF(COUNT($E$2:$E1466)&lt;20,"",AVERAGE($E$1447:$E$1466))</f>
        <v>0</v>
      </c>
      <c r="AL1466">
        <f>IF(COUNT($E$2:$E1466)&lt;20,"",STDEVP($E$1447:$E$1466))</f>
        <v>0</v>
      </c>
      <c r="AM1466">
        <f>IF(AK1466="","",AK1466+2*AL1466)</f>
        <v>0</v>
      </c>
      <c r="AN1466">
        <f>IF(AK1466="","",AK1466-2*AL1466)</f>
        <v>0</v>
      </c>
      <c r="AO1466">
        <f>IF(OR(AM1466="",AN1466="",AM1466=AN1466),"",($E1466-AN1466)/(AM1466-AN1466))</f>
        <v>0</v>
      </c>
      <c r="AP1466">
        <f>IF(OR(AM1466="",AK1466="",AK1466=0),"",(AM1466-AN1466)/AK1466)</f>
        <v>0</v>
      </c>
      <c r="AQ1466">
        <f>IF(COUNT($E$2:$E1466)&lt;20,"",MAX($C$1447:$C$1466))</f>
        <v>0</v>
      </c>
      <c r="AR1466">
        <f>IF(COUNT($E$2:$E1466)&lt;20,"",MIN($D$1447:$D$1466))</f>
        <v>0</v>
      </c>
      <c r="AS1466">
        <f>IF(OR(AQ1466="",AR1466=""),"",(AQ1466+AR1466)/2)</f>
        <v>0</v>
      </c>
      <c r="AT1466">
        <f>IF(COUNT($G$1447:$G$1466)&lt;20,"",STDEV($G$1447:$G$1466)*SQRT(252))</f>
        <v>0</v>
      </c>
      <c r="AU1466">
        <f>IF(COUNT($E$2:$E1466)&lt;9,"",(MAX($C$1458:$C$1466)+MIN($D$1458:$D$1466))/2)</f>
        <v>0</v>
      </c>
      <c r="AV1466">
        <f>IF(COUNT($E$2:$E1466)&lt;26,"",(MAX($C$1441:$C$1466)+MIN($D$1441:$D$1466))/2)</f>
        <v>0</v>
      </c>
      <c r="AW1466">
        <f>IF(OR(AU1466="",AV1466=""),"",(AU1466+AV1466)/2)</f>
        <v>0</v>
      </c>
      <c r="AX1466">
        <f>IF(COUNT($E$2:$E1466)&lt;52,"",(MAX($C$1415:$C$1466)+MIN($D$1415:$D$1466))/2)</f>
        <v>0</v>
      </c>
      <c r="AY1466">
        <f>IF(COUNT($E$2:$E1466)&lt;20,"",MAX($C$1367:$C$1466))</f>
        <v>0</v>
      </c>
      <c r="AZ1466">
        <f>IF(COUNT($E$2:$E1466)&lt;20,"",MIN($D$1367:$D$1466))</f>
        <v>0</v>
      </c>
      <c r="BA1466">
        <f>IF(COUNT($E$2:$E1466)&lt;20,"",SLOPE($E$1367:$E$1466,$F$1367:$F$1466))</f>
        <v>0</v>
      </c>
      <c r="BB1466">
        <f>IF(COUNT($E$2:$E1466)&lt;20,"",INTERCEPT($E$1367:$E$1466,$F$1367:$F$1466))</f>
        <v>0</v>
      </c>
      <c r="BC1466">
        <f>IF(OR(BA1466="",BB1466=""),"",BB1466+BA1466*F1466)</f>
        <v>0</v>
      </c>
      <c r="BD1466">
        <f>IF(COUNT($E$2:$E1466)&lt;20,"",STEYX($E$1367:$E$1466,$F$1367:$F$1466))</f>
        <v>0</v>
      </c>
      <c r="BE1466">
        <f>IF($E1466="","",IF(AND(COUNT($E$1467:$E$1470)&gt;=4,$C1466=MAX($C$1462:$C$1470)),$C1466,""))</f>
        <v>0</v>
      </c>
      <c r="BF1466">
        <f>IF($E1466="","",IF(AND(COUNT($E$1467:$E$1470)&gt;=4,$D1466=MIN($D$1462:$D$1470)),$D1466,""))</f>
        <v>0</v>
      </c>
      <c r="BG1466">
        <f>IF($A1466="","",$A1466-WEEKDAY($A1466,2)+1)</f>
        <v>0</v>
      </c>
      <c r="BH1466">
        <f>IF($A1466="","",IF($A1465="",1,IF(BG1466&lt;&gt;BG1465,1,0)))</f>
        <v>0</v>
      </c>
      <c r="BI1466">
        <f>IF($A1466="","",IF($A1467="",1,IF(BG1467&lt;&gt;BG1466,1,0)))</f>
        <v>0</v>
      </c>
      <c r="BJ1466">
        <f>IF($A1466="","",IF(BH1466=1,$B1466,BJ1465))</f>
        <v>0</v>
      </c>
      <c r="BK1466">
        <f>IF($A1466="","",IF(BH1466=1,$C1466,MAX($C1466,BK1465)))</f>
        <v>0</v>
      </c>
      <c r="BL1466">
        <f>IF($A1466="","",IF(BH1466=1,$D1466,MIN($D1466,BL1465)))</f>
        <v>0</v>
      </c>
      <c r="BM1466">
        <f>IF($A1466="","",IF(BI1466=1,F1466,""))</f>
        <v>0</v>
      </c>
      <c r="BN1466">
        <f>IF($A1466="","",DATE(YEAR($A1466),MONTH($A1466),1))</f>
        <v>0</v>
      </c>
      <c r="BO1466">
        <f>IF($A1466="","",IF($A1465="",1,IF(BN1466&lt;&gt;BN1465,1,0)))</f>
        <v>0</v>
      </c>
      <c r="BP1466">
        <f>IF($A1466="","",IF($A1467="",1,IF(BN1467&lt;&gt;BN1466,1,0)))</f>
        <v>0</v>
      </c>
      <c r="BQ1466">
        <f>IF($A1466="","",IF(BO1466=1,$B1466,BQ1465))</f>
        <v>0</v>
      </c>
      <c r="BR1466">
        <f>IF($A1466="","",IF(BO1466=1,$C1466,MAX($C1466,BR1465)))</f>
        <v>0</v>
      </c>
      <c r="BS1466">
        <f>IF($A1466="","",IF(BO1466=1,$D1466,MIN($D1466,BS1465)))</f>
        <v>0</v>
      </c>
      <c r="BT1466">
        <f>IF($A1466="","",IF(BP1466=1,F1466,""))</f>
        <v>0</v>
      </c>
    </row>
    <row r="1467" spans="1:72">
      <c r="A1467" s="27">
        <f>IF(Data!$A1467="","",Data!$A1467)</f>
        <v>0</v>
      </c>
      <c r="B1467">
        <f>IF(Data!$B1467="","",Data!$B1467)</f>
        <v>0</v>
      </c>
      <c r="C1467">
        <f>IF(Data!$C1467="","",Data!$C1467)</f>
        <v>0</v>
      </c>
      <c r="D1467">
        <f>IF(Data!$D1467="","",Data!$D1467)</f>
        <v>0</v>
      </c>
      <c r="E1467">
        <f>IF(Data!$E1467="","",Data!$E1467)</f>
        <v>0</v>
      </c>
      <c r="F1467">
        <f>IF($E1467="","",N(F1466)+1)</f>
        <v>0</v>
      </c>
      <c r="G1467">
        <f>IF(OR($E1467="",$E1466=""),"",LN($E1467/$E1466))</f>
        <v>0</v>
      </c>
      <c r="H1467">
        <f>IF($E1467="","",IF($E1466="",$E1467,$E1467*0.0952380952+H1466*0.9047619048))</f>
        <v>0</v>
      </c>
      <c r="I1467">
        <f>IF($E1467="","",IF($E1466="",$E1467,$E1467*0.0392156863+I1466*0.9607843137))</f>
        <v>0</v>
      </c>
      <c r="J1467">
        <f>IF($E1467="","",IF($E1466="",$E1467,$E1467*0.0198019802+J1466*0.9801980198))</f>
        <v>0</v>
      </c>
      <c r="K1467">
        <f>IF($E1467="","",IF($E1466="",$E1467,$E1467*0.0099502488+K1466*0.9900497512))</f>
        <v>0</v>
      </c>
      <c r="L1467">
        <f>IF(OR($E1467="",$E1466=""),"",MAX($E1467-$E1466,0))</f>
        <v>0</v>
      </c>
      <c r="M1467">
        <f>IF(OR($E1467="",$E1466=""),"",MAX($E1466-$E1467,0))</f>
        <v>0</v>
      </c>
      <c r="N1467">
        <f>IF(COUNT($E$2:$E1467)&lt;15,"",IF(AVERAGE($M$1454:$M$1467)=0,100,100-100/(1+AVERAGE($L$1454:$L$1467)/AVERAGE($M$1454:$M$1467))))</f>
        <v>0</v>
      </c>
      <c r="O1467">
        <f>IF($E1467="","",IF($E1466="",$E1467,$E1467*0.1538461538+O1466*0.8461538462))</f>
        <v>0</v>
      </c>
      <c r="P1467">
        <f>IF($E1467="","",IF($E1466="",$E1467,$E1467*0.0740740741+P1466*0.9259259259))</f>
        <v>0</v>
      </c>
      <c r="Q1467">
        <f>IF(OR(O1467="",P1467=""),"",O1467-P1467)</f>
        <v>0</v>
      </c>
      <c r="R1467">
        <f>IF(Q1467="","",IF(R1466="",Q1467,Q1467*0.2000000000+R1466*0.8000000000))</f>
        <v>0</v>
      </c>
      <c r="S1467">
        <f>IF(OR(Q1467="",R1467=""),"",Q1467-R1467)</f>
        <v>0</v>
      </c>
      <c r="T1467">
        <f>IF(COUNT($E$2:$E1467)&lt;14,"",MAX($C$1454:$C$1467))</f>
        <v>0</v>
      </c>
      <c r="U1467">
        <f>IF(COUNT($E$2:$E1467)&lt;14,"",MIN($D$1454:$D$1467))</f>
        <v>0</v>
      </c>
      <c r="V1467">
        <f>IF(OR(T1467="",U1467="",T1467=U1467),"",100*($E1467-U1467)/(T1467-U1467))</f>
        <v>0</v>
      </c>
      <c r="W1467">
        <f>IF(COUNT($V$1465:$V$1467)&lt;3,"",AVERAGE($V$1465:$V$1467))</f>
        <v>0</v>
      </c>
      <c r="X1467">
        <f>IF(COUNT($N$1454:$N$1467)&lt;14,"",MIN($N$1454:$N$1467))</f>
        <v>0</v>
      </c>
      <c r="Y1467">
        <f>IF(COUNT($N$1454:$N$1467)&lt;14,"",MAX($N$1454:$N$1467))</f>
        <v>0</v>
      </c>
      <c r="Z1467">
        <f>IF(OR(N1467="",X1467="",Y1467="",Y1467=X1467),"",100*(N1467-X1467)/(Y1467-X1467))</f>
        <v>0</v>
      </c>
      <c r="AA1467">
        <f>IF(COUNT($Z$1465:$Z$1467)&lt;3,"",AVERAGE($Z$1465:$Z$1467))</f>
        <v>0</v>
      </c>
      <c r="AB1467">
        <f>IF(COUNT($AA$1465:$AA$1467)&lt;3,"",AVERAGE($AA$1465:$AA$1467))</f>
        <v>0</v>
      </c>
      <c r="AC1467">
        <f>IF($E1467="","",MAX($C1467-$D1467,ABS($C1467-$E1466),ABS($D1467-$E1466)))</f>
        <v>0</v>
      </c>
      <c r="AD1467">
        <f>IF(COUNT($E$2:$E1467)&lt;15,"",AVERAGE($AC$1454:$AC$1467))</f>
        <v>0</v>
      </c>
      <c r="AE1467">
        <f>IF(OR($E1467="",$E1466=""),"",IF(AND(($C1467-$C1466)&gt;($D1466-$D1467),($C1467-$C1466)&gt;0),$C1467-$C1466,0))</f>
        <v>0</v>
      </c>
      <c r="AF1467">
        <f>IF(OR($E1467="",$E1466=""),"",IF(AND(($D1466-$D1467)&gt;($C1467-$C1466),($D1466-$D1467)&gt;0),$D1466-$D1467,0))</f>
        <v>0</v>
      </c>
      <c r="AG1467">
        <f>IF(COUNT($E$2:$E1467)&lt;15,"",IF(SUM($AC$1454:$AC$1467)=0,0,100*SUM($AE$1454:$AE$1467)/SUM($AC$1454:$AC$1467)))</f>
        <v>0</v>
      </c>
      <c r="AH1467">
        <f>IF(COUNT($E$2:$E1467)&lt;15,"",IF(SUM($AC$1454:$AC$1467)=0,0,100*SUM($AF$1454:$AF$1467)/SUM($AC$1454:$AC$1467)))</f>
        <v>0</v>
      </c>
      <c r="AI1467">
        <f>IF(OR(AG1467="",AH1467=""),"",IF((AG1467+AH1467)=0,0,100*ABS(AG1467-AH1467)/(AG1467+AH1467)))</f>
        <v>0</v>
      </c>
      <c r="AJ1467">
        <f>IF(COUNT($AI$1454:$AI$1467)&lt;14,"",AVERAGE($AI$1454:$AI$1467))</f>
        <v>0</v>
      </c>
      <c r="AK1467">
        <f>IF(COUNT($E$2:$E1467)&lt;20,"",AVERAGE($E$1448:$E$1467))</f>
        <v>0</v>
      </c>
      <c r="AL1467">
        <f>IF(COUNT($E$2:$E1467)&lt;20,"",STDEVP($E$1448:$E$1467))</f>
        <v>0</v>
      </c>
      <c r="AM1467">
        <f>IF(AK1467="","",AK1467+2*AL1467)</f>
        <v>0</v>
      </c>
      <c r="AN1467">
        <f>IF(AK1467="","",AK1467-2*AL1467)</f>
        <v>0</v>
      </c>
      <c r="AO1467">
        <f>IF(OR(AM1467="",AN1467="",AM1467=AN1467),"",($E1467-AN1467)/(AM1467-AN1467))</f>
        <v>0</v>
      </c>
      <c r="AP1467">
        <f>IF(OR(AM1467="",AK1467="",AK1467=0),"",(AM1467-AN1467)/AK1467)</f>
        <v>0</v>
      </c>
      <c r="AQ1467">
        <f>IF(COUNT($E$2:$E1467)&lt;20,"",MAX($C$1448:$C$1467))</f>
        <v>0</v>
      </c>
      <c r="AR1467">
        <f>IF(COUNT($E$2:$E1467)&lt;20,"",MIN($D$1448:$D$1467))</f>
        <v>0</v>
      </c>
      <c r="AS1467">
        <f>IF(OR(AQ1467="",AR1467=""),"",(AQ1467+AR1467)/2)</f>
        <v>0</v>
      </c>
      <c r="AT1467">
        <f>IF(COUNT($G$1448:$G$1467)&lt;20,"",STDEV($G$1448:$G$1467)*SQRT(252))</f>
        <v>0</v>
      </c>
      <c r="AU1467">
        <f>IF(COUNT($E$2:$E1467)&lt;9,"",(MAX($C$1459:$C$1467)+MIN($D$1459:$D$1467))/2)</f>
        <v>0</v>
      </c>
      <c r="AV1467">
        <f>IF(COUNT($E$2:$E1467)&lt;26,"",(MAX($C$1442:$C$1467)+MIN($D$1442:$D$1467))/2)</f>
        <v>0</v>
      </c>
      <c r="AW1467">
        <f>IF(OR(AU1467="",AV1467=""),"",(AU1467+AV1467)/2)</f>
        <v>0</v>
      </c>
      <c r="AX1467">
        <f>IF(COUNT($E$2:$E1467)&lt;52,"",(MAX($C$1416:$C$1467)+MIN($D$1416:$D$1467))/2)</f>
        <v>0</v>
      </c>
      <c r="AY1467">
        <f>IF(COUNT($E$2:$E1467)&lt;20,"",MAX($C$1368:$C$1467))</f>
        <v>0</v>
      </c>
      <c r="AZ1467">
        <f>IF(COUNT($E$2:$E1467)&lt;20,"",MIN($D$1368:$D$1467))</f>
        <v>0</v>
      </c>
      <c r="BA1467">
        <f>IF(COUNT($E$2:$E1467)&lt;20,"",SLOPE($E$1368:$E$1467,$F$1368:$F$1467))</f>
        <v>0</v>
      </c>
      <c r="BB1467">
        <f>IF(COUNT($E$2:$E1467)&lt;20,"",INTERCEPT($E$1368:$E$1467,$F$1368:$F$1467))</f>
        <v>0</v>
      </c>
      <c r="BC1467">
        <f>IF(OR(BA1467="",BB1467=""),"",BB1467+BA1467*F1467)</f>
        <v>0</v>
      </c>
      <c r="BD1467">
        <f>IF(COUNT($E$2:$E1467)&lt;20,"",STEYX($E$1368:$E$1467,$F$1368:$F$1467))</f>
        <v>0</v>
      </c>
      <c r="BE1467">
        <f>IF($E1467="","",IF(AND(COUNT($E$1468:$E$1471)&gt;=4,$C1467=MAX($C$1463:$C$1471)),$C1467,""))</f>
        <v>0</v>
      </c>
      <c r="BF1467">
        <f>IF($E1467="","",IF(AND(COUNT($E$1468:$E$1471)&gt;=4,$D1467=MIN($D$1463:$D$1471)),$D1467,""))</f>
        <v>0</v>
      </c>
      <c r="BG1467">
        <f>IF($A1467="","",$A1467-WEEKDAY($A1467,2)+1)</f>
        <v>0</v>
      </c>
      <c r="BH1467">
        <f>IF($A1467="","",IF($A1466="",1,IF(BG1467&lt;&gt;BG1466,1,0)))</f>
        <v>0</v>
      </c>
      <c r="BI1467">
        <f>IF($A1467="","",IF($A1468="",1,IF(BG1468&lt;&gt;BG1467,1,0)))</f>
        <v>0</v>
      </c>
      <c r="BJ1467">
        <f>IF($A1467="","",IF(BH1467=1,$B1467,BJ1466))</f>
        <v>0</v>
      </c>
      <c r="BK1467">
        <f>IF($A1467="","",IF(BH1467=1,$C1467,MAX($C1467,BK1466)))</f>
        <v>0</v>
      </c>
      <c r="BL1467">
        <f>IF($A1467="","",IF(BH1467=1,$D1467,MIN($D1467,BL1466)))</f>
        <v>0</v>
      </c>
      <c r="BM1467">
        <f>IF($A1467="","",IF(BI1467=1,F1467,""))</f>
        <v>0</v>
      </c>
      <c r="BN1467">
        <f>IF($A1467="","",DATE(YEAR($A1467),MONTH($A1467),1))</f>
        <v>0</v>
      </c>
      <c r="BO1467">
        <f>IF($A1467="","",IF($A1466="",1,IF(BN1467&lt;&gt;BN1466,1,0)))</f>
        <v>0</v>
      </c>
      <c r="BP1467">
        <f>IF($A1467="","",IF($A1468="",1,IF(BN1468&lt;&gt;BN1467,1,0)))</f>
        <v>0</v>
      </c>
      <c r="BQ1467">
        <f>IF($A1467="","",IF(BO1467=1,$B1467,BQ1466))</f>
        <v>0</v>
      </c>
      <c r="BR1467">
        <f>IF($A1467="","",IF(BO1467=1,$C1467,MAX($C1467,BR1466)))</f>
        <v>0</v>
      </c>
      <c r="BS1467">
        <f>IF($A1467="","",IF(BO1467=1,$D1467,MIN($D1467,BS1466)))</f>
        <v>0</v>
      </c>
      <c r="BT1467">
        <f>IF($A1467="","",IF(BP1467=1,F1467,""))</f>
        <v>0</v>
      </c>
    </row>
    <row r="1468" spans="1:72">
      <c r="A1468" s="27">
        <f>IF(Data!$A1468="","",Data!$A1468)</f>
        <v>0</v>
      </c>
      <c r="B1468">
        <f>IF(Data!$B1468="","",Data!$B1468)</f>
        <v>0</v>
      </c>
      <c r="C1468">
        <f>IF(Data!$C1468="","",Data!$C1468)</f>
        <v>0</v>
      </c>
      <c r="D1468">
        <f>IF(Data!$D1468="","",Data!$D1468)</f>
        <v>0</v>
      </c>
      <c r="E1468">
        <f>IF(Data!$E1468="","",Data!$E1468)</f>
        <v>0</v>
      </c>
      <c r="F1468">
        <f>IF($E1468="","",N(F1467)+1)</f>
        <v>0</v>
      </c>
      <c r="G1468">
        <f>IF(OR($E1468="",$E1467=""),"",LN($E1468/$E1467))</f>
        <v>0</v>
      </c>
      <c r="H1468">
        <f>IF($E1468="","",IF($E1467="",$E1468,$E1468*0.0952380952+H1467*0.9047619048))</f>
        <v>0</v>
      </c>
      <c r="I1468">
        <f>IF($E1468="","",IF($E1467="",$E1468,$E1468*0.0392156863+I1467*0.9607843137))</f>
        <v>0</v>
      </c>
      <c r="J1468">
        <f>IF($E1468="","",IF($E1467="",$E1468,$E1468*0.0198019802+J1467*0.9801980198))</f>
        <v>0</v>
      </c>
      <c r="K1468">
        <f>IF($E1468="","",IF($E1467="",$E1468,$E1468*0.0099502488+K1467*0.9900497512))</f>
        <v>0</v>
      </c>
      <c r="L1468">
        <f>IF(OR($E1468="",$E1467=""),"",MAX($E1468-$E1467,0))</f>
        <v>0</v>
      </c>
      <c r="M1468">
        <f>IF(OR($E1468="",$E1467=""),"",MAX($E1467-$E1468,0))</f>
        <v>0</v>
      </c>
      <c r="N1468">
        <f>IF(COUNT($E$2:$E1468)&lt;15,"",IF(AVERAGE($M$1455:$M$1468)=0,100,100-100/(1+AVERAGE($L$1455:$L$1468)/AVERAGE($M$1455:$M$1468))))</f>
        <v>0</v>
      </c>
      <c r="O1468">
        <f>IF($E1468="","",IF($E1467="",$E1468,$E1468*0.1538461538+O1467*0.8461538462))</f>
        <v>0</v>
      </c>
      <c r="P1468">
        <f>IF($E1468="","",IF($E1467="",$E1468,$E1468*0.0740740741+P1467*0.9259259259))</f>
        <v>0</v>
      </c>
      <c r="Q1468">
        <f>IF(OR(O1468="",P1468=""),"",O1468-P1468)</f>
        <v>0</v>
      </c>
      <c r="R1468">
        <f>IF(Q1468="","",IF(R1467="",Q1468,Q1468*0.2000000000+R1467*0.8000000000))</f>
        <v>0</v>
      </c>
      <c r="S1468">
        <f>IF(OR(Q1468="",R1468=""),"",Q1468-R1468)</f>
        <v>0</v>
      </c>
      <c r="T1468">
        <f>IF(COUNT($E$2:$E1468)&lt;14,"",MAX($C$1455:$C$1468))</f>
        <v>0</v>
      </c>
      <c r="U1468">
        <f>IF(COUNT($E$2:$E1468)&lt;14,"",MIN($D$1455:$D$1468))</f>
        <v>0</v>
      </c>
      <c r="V1468">
        <f>IF(OR(T1468="",U1468="",T1468=U1468),"",100*($E1468-U1468)/(T1468-U1468))</f>
        <v>0</v>
      </c>
      <c r="W1468">
        <f>IF(COUNT($V$1466:$V$1468)&lt;3,"",AVERAGE($V$1466:$V$1468))</f>
        <v>0</v>
      </c>
      <c r="X1468">
        <f>IF(COUNT($N$1455:$N$1468)&lt;14,"",MIN($N$1455:$N$1468))</f>
        <v>0</v>
      </c>
      <c r="Y1468">
        <f>IF(COUNT($N$1455:$N$1468)&lt;14,"",MAX($N$1455:$N$1468))</f>
        <v>0</v>
      </c>
      <c r="Z1468">
        <f>IF(OR(N1468="",X1468="",Y1468="",Y1468=X1468),"",100*(N1468-X1468)/(Y1468-X1468))</f>
        <v>0</v>
      </c>
      <c r="AA1468">
        <f>IF(COUNT($Z$1466:$Z$1468)&lt;3,"",AVERAGE($Z$1466:$Z$1468))</f>
        <v>0</v>
      </c>
      <c r="AB1468">
        <f>IF(COUNT($AA$1466:$AA$1468)&lt;3,"",AVERAGE($AA$1466:$AA$1468))</f>
        <v>0</v>
      </c>
      <c r="AC1468">
        <f>IF($E1468="","",MAX($C1468-$D1468,ABS($C1468-$E1467),ABS($D1468-$E1467)))</f>
        <v>0</v>
      </c>
      <c r="AD1468">
        <f>IF(COUNT($E$2:$E1468)&lt;15,"",AVERAGE($AC$1455:$AC$1468))</f>
        <v>0</v>
      </c>
      <c r="AE1468">
        <f>IF(OR($E1468="",$E1467=""),"",IF(AND(($C1468-$C1467)&gt;($D1467-$D1468),($C1468-$C1467)&gt;0),$C1468-$C1467,0))</f>
        <v>0</v>
      </c>
      <c r="AF1468">
        <f>IF(OR($E1468="",$E1467=""),"",IF(AND(($D1467-$D1468)&gt;($C1468-$C1467),($D1467-$D1468)&gt;0),$D1467-$D1468,0))</f>
        <v>0</v>
      </c>
      <c r="AG1468">
        <f>IF(COUNT($E$2:$E1468)&lt;15,"",IF(SUM($AC$1455:$AC$1468)=0,0,100*SUM($AE$1455:$AE$1468)/SUM($AC$1455:$AC$1468)))</f>
        <v>0</v>
      </c>
      <c r="AH1468">
        <f>IF(COUNT($E$2:$E1468)&lt;15,"",IF(SUM($AC$1455:$AC$1468)=0,0,100*SUM($AF$1455:$AF$1468)/SUM($AC$1455:$AC$1468)))</f>
        <v>0</v>
      </c>
      <c r="AI1468">
        <f>IF(OR(AG1468="",AH1468=""),"",IF((AG1468+AH1468)=0,0,100*ABS(AG1468-AH1468)/(AG1468+AH1468)))</f>
        <v>0</v>
      </c>
      <c r="AJ1468">
        <f>IF(COUNT($AI$1455:$AI$1468)&lt;14,"",AVERAGE($AI$1455:$AI$1468))</f>
        <v>0</v>
      </c>
      <c r="AK1468">
        <f>IF(COUNT($E$2:$E1468)&lt;20,"",AVERAGE($E$1449:$E$1468))</f>
        <v>0</v>
      </c>
      <c r="AL1468">
        <f>IF(COUNT($E$2:$E1468)&lt;20,"",STDEVP($E$1449:$E$1468))</f>
        <v>0</v>
      </c>
      <c r="AM1468">
        <f>IF(AK1468="","",AK1468+2*AL1468)</f>
        <v>0</v>
      </c>
      <c r="AN1468">
        <f>IF(AK1468="","",AK1468-2*AL1468)</f>
        <v>0</v>
      </c>
      <c r="AO1468">
        <f>IF(OR(AM1468="",AN1468="",AM1468=AN1468),"",($E1468-AN1468)/(AM1468-AN1468))</f>
        <v>0</v>
      </c>
      <c r="AP1468">
        <f>IF(OR(AM1468="",AK1468="",AK1468=0),"",(AM1468-AN1468)/AK1468)</f>
        <v>0</v>
      </c>
      <c r="AQ1468">
        <f>IF(COUNT($E$2:$E1468)&lt;20,"",MAX($C$1449:$C$1468))</f>
        <v>0</v>
      </c>
      <c r="AR1468">
        <f>IF(COUNT($E$2:$E1468)&lt;20,"",MIN($D$1449:$D$1468))</f>
        <v>0</v>
      </c>
      <c r="AS1468">
        <f>IF(OR(AQ1468="",AR1468=""),"",(AQ1468+AR1468)/2)</f>
        <v>0</v>
      </c>
      <c r="AT1468">
        <f>IF(COUNT($G$1449:$G$1468)&lt;20,"",STDEV($G$1449:$G$1468)*SQRT(252))</f>
        <v>0</v>
      </c>
      <c r="AU1468">
        <f>IF(COUNT($E$2:$E1468)&lt;9,"",(MAX($C$1460:$C$1468)+MIN($D$1460:$D$1468))/2)</f>
        <v>0</v>
      </c>
      <c r="AV1468">
        <f>IF(COUNT($E$2:$E1468)&lt;26,"",(MAX($C$1443:$C$1468)+MIN($D$1443:$D$1468))/2)</f>
        <v>0</v>
      </c>
      <c r="AW1468">
        <f>IF(OR(AU1468="",AV1468=""),"",(AU1468+AV1468)/2)</f>
        <v>0</v>
      </c>
      <c r="AX1468">
        <f>IF(COUNT($E$2:$E1468)&lt;52,"",(MAX($C$1417:$C$1468)+MIN($D$1417:$D$1468))/2)</f>
        <v>0</v>
      </c>
      <c r="AY1468">
        <f>IF(COUNT($E$2:$E1468)&lt;20,"",MAX($C$1369:$C$1468))</f>
        <v>0</v>
      </c>
      <c r="AZ1468">
        <f>IF(COUNT($E$2:$E1468)&lt;20,"",MIN($D$1369:$D$1468))</f>
        <v>0</v>
      </c>
      <c r="BA1468">
        <f>IF(COUNT($E$2:$E1468)&lt;20,"",SLOPE($E$1369:$E$1468,$F$1369:$F$1468))</f>
        <v>0</v>
      </c>
      <c r="BB1468">
        <f>IF(COUNT($E$2:$E1468)&lt;20,"",INTERCEPT($E$1369:$E$1468,$F$1369:$F$1468))</f>
        <v>0</v>
      </c>
      <c r="BC1468">
        <f>IF(OR(BA1468="",BB1468=""),"",BB1468+BA1468*F1468)</f>
        <v>0</v>
      </c>
      <c r="BD1468">
        <f>IF(COUNT($E$2:$E1468)&lt;20,"",STEYX($E$1369:$E$1468,$F$1369:$F$1468))</f>
        <v>0</v>
      </c>
      <c r="BE1468">
        <f>IF($E1468="","",IF(AND(COUNT($E$1469:$E$1472)&gt;=4,$C1468=MAX($C$1464:$C$1472)),$C1468,""))</f>
        <v>0</v>
      </c>
      <c r="BF1468">
        <f>IF($E1468="","",IF(AND(COUNT($E$1469:$E$1472)&gt;=4,$D1468=MIN($D$1464:$D$1472)),$D1468,""))</f>
        <v>0</v>
      </c>
      <c r="BG1468">
        <f>IF($A1468="","",$A1468-WEEKDAY($A1468,2)+1)</f>
        <v>0</v>
      </c>
      <c r="BH1468">
        <f>IF($A1468="","",IF($A1467="",1,IF(BG1468&lt;&gt;BG1467,1,0)))</f>
        <v>0</v>
      </c>
      <c r="BI1468">
        <f>IF($A1468="","",IF($A1469="",1,IF(BG1469&lt;&gt;BG1468,1,0)))</f>
        <v>0</v>
      </c>
      <c r="BJ1468">
        <f>IF($A1468="","",IF(BH1468=1,$B1468,BJ1467))</f>
        <v>0</v>
      </c>
      <c r="BK1468">
        <f>IF($A1468="","",IF(BH1468=1,$C1468,MAX($C1468,BK1467)))</f>
        <v>0</v>
      </c>
      <c r="BL1468">
        <f>IF($A1468="","",IF(BH1468=1,$D1468,MIN($D1468,BL1467)))</f>
        <v>0</v>
      </c>
      <c r="BM1468">
        <f>IF($A1468="","",IF(BI1468=1,F1468,""))</f>
        <v>0</v>
      </c>
      <c r="BN1468">
        <f>IF($A1468="","",DATE(YEAR($A1468),MONTH($A1468),1))</f>
        <v>0</v>
      </c>
      <c r="BO1468">
        <f>IF($A1468="","",IF($A1467="",1,IF(BN1468&lt;&gt;BN1467,1,0)))</f>
        <v>0</v>
      </c>
      <c r="BP1468">
        <f>IF($A1468="","",IF($A1469="",1,IF(BN1469&lt;&gt;BN1468,1,0)))</f>
        <v>0</v>
      </c>
      <c r="BQ1468">
        <f>IF($A1468="","",IF(BO1468=1,$B1468,BQ1467))</f>
        <v>0</v>
      </c>
      <c r="BR1468">
        <f>IF($A1468="","",IF(BO1468=1,$C1468,MAX($C1468,BR1467)))</f>
        <v>0</v>
      </c>
      <c r="BS1468">
        <f>IF($A1468="","",IF(BO1468=1,$D1468,MIN($D1468,BS1467)))</f>
        <v>0</v>
      </c>
      <c r="BT1468">
        <f>IF($A1468="","",IF(BP1468=1,F1468,""))</f>
        <v>0</v>
      </c>
    </row>
    <row r="1469" spans="1:72">
      <c r="A1469" s="27">
        <f>IF(Data!$A1469="","",Data!$A1469)</f>
        <v>0</v>
      </c>
      <c r="B1469">
        <f>IF(Data!$B1469="","",Data!$B1469)</f>
        <v>0</v>
      </c>
      <c r="C1469">
        <f>IF(Data!$C1469="","",Data!$C1469)</f>
        <v>0</v>
      </c>
      <c r="D1469">
        <f>IF(Data!$D1469="","",Data!$D1469)</f>
        <v>0</v>
      </c>
      <c r="E1469">
        <f>IF(Data!$E1469="","",Data!$E1469)</f>
        <v>0</v>
      </c>
      <c r="F1469">
        <f>IF($E1469="","",N(F1468)+1)</f>
        <v>0</v>
      </c>
      <c r="G1469">
        <f>IF(OR($E1469="",$E1468=""),"",LN($E1469/$E1468))</f>
        <v>0</v>
      </c>
      <c r="H1469">
        <f>IF($E1469="","",IF($E1468="",$E1469,$E1469*0.0952380952+H1468*0.9047619048))</f>
        <v>0</v>
      </c>
      <c r="I1469">
        <f>IF($E1469="","",IF($E1468="",$E1469,$E1469*0.0392156863+I1468*0.9607843137))</f>
        <v>0</v>
      </c>
      <c r="J1469">
        <f>IF($E1469="","",IF($E1468="",$E1469,$E1469*0.0198019802+J1468*0.9801980198))</f>
        <v>0</v>
      </c>
      <c r="K1469">
        <f>IF($E1469="","",IF($E1468="",$E1469,$E1469*0.0099502488+K1468*0.9900497512))</f>
        <v>0</v>
      </c>
      <c r="L1469">
        <f>IF(OR($E1469="",$E1468=""),"",MAX($E1469-$E1468,0))</f>
        <v>0</v>
      </c>
      <c r="M1469">
        <f>IF(OR($E1469="",$E1468=""),"",MAX($E1468-$E1469,0))</f>
        <v>0</v>
      </c>
      <c r="N1469">
        <f>IF(COUNT($E$2:$E1469)&lt;15,"",IF(AVERAGE($M$1456:$M$1469)=0,100,100-100/(1+AVERAGE($L$1456:$L$1469)/AVERAGE($M$1456:$M$1469))))</f>
        <v>0</v>
      </c>
      <c r="O1469">
        <f>IF($E1469="","",IF($E1468="",$E1469,$E1469*0.1538461538+O1468*0.8461538462))</f>
        <v>0</v>
      </c>
      <c r="P1469">
        <f>IF($E1469="","",IF($E1468="",$E1469,$E1469*0.0740740741+P1468*0.9259259259))</f>
        <v>0</v>
      </c>
      <c r="Q1469">
        <f>IF(OR(O1469="",P1469=""),"",O1469-P1469)</f>
        <v>0</v>
      </c>
      <c r="R1469">
        <f>IF(Q1469="","",IF(R1468="",Q1469,Q1469*0.2000000000+R1468*0.8000000000))</f>
        <v>0</v>
      </c>
      <c r="S1469">
        <f>IF(OR(Q1469="",R1469=""),"",Q1469-R1469)</f>
        <v>0</v>
      </c>
      <c r="T1469">
        <f>IF(COUNT($E$2:$E1469)&lt;14,"",MAX($C$1456:$C$1469))</f>
        <v>0</v>
      </c>
      <c r="U1469">
        <f>IF(COUNT($E$2:$E1469)&lt;14,"",MIN($D$1456:$D$1469))</f>
        <v>0</v>
      </c>
      <c r="V1469">
        <f>IF(OR(T1469="",U1469="",T1469=U1469),"",100*($E1469-U1469)/(T1469-U1469))</f>
        <v>0</v>
      </c>
      <c r="W1469">
        <f>IF(COUNT($V$1467:$V$1469)&lt;3,"",AVERAGE($V$1467:$V$1469))</f>
        <v>0</v>
      </c>
      <c r="X1469">
        <f>IF(COUNT($N$1456:$N$1469)&lt;14,"",MIN($N$1456:$N$1469))</f>
        <v>0</v>
      </c>
      <c r="Y1469">
        <f>IF(COUNT($N$1456:$N$1469)&lt;14,"",MAX($N$1456:$N$1469))</f>
        <v>0</v>
      </c>
      <c r="Z1469">
        <f>IF(OR(N1469="",X1469="",Y1469="",Y1469=X1469),"",100*(N1469-X1469)/(Y1469-X1469))</f>
        <v>0</v>
      </c>
      <c r="AA1469">
        <f>IF(COUNT($Z$1467:$Z$1469)&lt;3,"",AVERAGE($Z$1467:$Z$1469))</f>
        <v>0</v>
      </c>
      <c r="AB1469">
        <f>IF(COUNT($AA$1467:$AA$1469)&lt;3,"",AVERAGE($AA$1467:$AA$1469))</f>
        <v>0</v>
      </c>
      <c r="AC1469">
        <f>IF($E1469="","",MAX($C1469-$D1469,ABS($C1469-$E1468),ABS($D1469-$E1468)))</f>
        <v>0</v>
      </c>
      <c r="AD1469">
        <f>IF(COUNT($E$2:$E1469)&lt;15,"",AVERAGE($AC$1456:$AC$1469))</f>
        <v>0</v>
      </c>
      <c r="AE1469">
        <f>IF(OR($E1469="",$E1468=""),"",IF(AND(($C1469-$C1468)&gt;($D1468-$D1469),($C1469-$C1468)&gt;0),$C1469-$C1468,0))</f>
        <v>0</v>
      </c>
      <c r="AF1469">
        <f>IF(OR($E1469="",$E1468=""),"",IF(AND(($D1468-$D1469)&gt;($C1469-$C1468),($D1468-$D1469)&gt;0),$D1468-$D1469,0))</f>
        <v>0</v>
      </c>
      <c r="AG1469">
        <f>IF(COUNT($E$2:$E1469)&lt;15,"",IF(SUM($AC$1456:$AC$1469)=0,0,100*SUM($AE$1456:$AE$1469)/SUM($AC$1456:$AC$1469)))</f>
        <v>0</v>
      </c>
      <c r="AH1469">
        <f>IF(COUNT($E$2:$E1469)&lt;15,"",IF(SUM($AC$1456:$AC$1469)=0,0,100*SUM($AF$1456:$AF$1469)/SUM($AC$1456:$AC$1469)))</f>
        <v>0</v>
      </c>
      <c r="AI1469">
        <f>IF(OR(AG1469="",AH1469=""),"",IF((AG1469+AH1469)=0,0,100*ABS(AG1469-AH1469)/(AG1469+AH1469)))</f>
        <v>0</v>
      </c>
      <c r="AJ1469">
        <f>IF(COUNT($AI$1456:$AI$1469)&lt;14,"",AVERAGE($AI$1456:$AI$1469))</f>
        <v>0</v>
      </c>
      <c r="AK1469">
        <f>IF(COUNT($E$2:$E1469)&lt;20,"",AVERAGE($E$1450:$E$1469))</f>
        <v>0</v>
      </c>
      <c r="AL1469">
        <f>IF(COUNT($E$2:$E1469)&lt;20,"",STDEVP($E$1450:$E$1469))</f>
        <v>0</v>
      </c>
      <c r="AM1469">
        <f>IF(AK1469="","",AK1469+2*AL1469)</f>
        <v>0</v>
      </c>
      <c r="AN1469">
        <f>IF(AK1469="","",AK1469-2*AL1469)</f>
        <v>0</v>
      </c>
      <c r="AO1469">
        <f>IF(OR(AM1469="",AN1469="",AM1469=AN1469),"",($E1469-AN1469)/(AM1469-AN1469))</f>
        <v>0</v>
      </c>
      <c r="AP1469">
        <f>IF(OR(AM1469="",AK1469="",AK1469=0),"",(AM1469-AN1469)/AK1469)</f>
        <v>0</v>
      </c>
      <c r="AQ1469">
        <f>IF(COUNT($E$2:$E1469)&lt;20,"",MAX($C$1450:$C$1469))</f>
        <v>0</v>
      </c>
      <c r="AR1469">
        <f>IF(COUNT($E$2:$E1469)&lt;20,"",MIN($D$1450:$D$1469))</f>
        <v>0</v>
      </c>
      <c r="AS1469">
        <f>IF(OR(AQ1469="",AR1469=""),"",(AQ1469+AR1469)/2)</f>
        <v>0</v>
      </c>
      <c r="AT1469">
        <f>IF(COUNT($G$1450:$G$1469)&lt;20,"",STDEV($G$1450:$G$1469)*SQRT(252))</f>
        <v>0</v>
      </c>
      <c r="AU1469">
        <f>IF(COUNT($E$2:$E1469)&lt;9,"",(MAX($C$1461:$C$1469)+MIN($D$1461:$D$1469))/2)</f>
        <v>0</v>
      </c>
      <c r="AV1469">
        <f>IF(COUNT($E$2:$E1469)&lt;26,"",(MAX($C$1444:$C$1469)+MIN($D$1444:$D$1469))/2)</f>
        <v>0</v>
      </c>
      <c r="AW1469">
        <f>IF(OR(AU1469="",AV1469=""),"",(AU1469+AV1469)/2)</f>
        <v>0</v>
      </c>
      <c r="AX1469">
        <f>IF(COUNT($E$2:$E1469)&lt;52,"",(MAX($C$1418:$C$1469)+MIN($D$1418:$D$1469))/2)</f>
        <v>0</v>
      </c>
      <c r="AY1469">
        <f>IF(COUNT($E$2:$E1469)&lt;20,"",MAX($C$1370:$C$1469))</f>
        <v>0</v>
      </c>
      <c r="AZ1469">
        <f>IF(COUNT($E$2:$E1469)&lt;20,"",MIN($D$1370:$D$1469))</f>
        <v>0</v>
      </c>
      <c r="BA1469">
        <f>IF(COUNT($E$2:$E1469)&lt;20,"",SLOPE($E$1370:$E$1469,$F$1370:$F$1469))</f>
        <v>0</v>
      </c>
      <c r="BB1469">
        <f>IF(COUNT($E$2:$E1469)&lt;20,"",INTERCEPT($E$1370:$E$1469,$F$1370:$F$1469))</f>
        <v>0</v>
      </c>
      <c r="BC1469">
        <f>IF(OR(BA1469="",BB1469=""),"",BB1469+BA1469*F1469)</f>
        <v>0</v>
      </c>
      <c r="BD1469">
        <f>IF(COUNT($E$2:$E1469)&lt;20,"",STEYX($E$1370:$E$1469,$F$1370:$F$1469))</f>
        <v>0</v>
      </c>
      <c r="BE1469">
        <f>IF($E1469="","",IF(AND(COUNT($E$1470:$E$1473)&gt;=4,$C1469=MAX($C$1465:$C$1473)),$C1469,""))</f>
        <v>0</v>
      </c>
      <c r="BF1469">
        <f>IF($E1469="","",IF(AND(COUNT($E$1470:$E$1473)&gt;=4,$D1469=MIN($D$1465:$D$1473)),$D1469,""))</f>
        <v>0</v>
      </c>
      <c r="BG1469">
        <f>IF($A1469="","",$A1469-WEEKDAY($A1469,2)+1)</f>
        <v>0</v>
      </c>
      <c r="BH1469">
        <f>IF($A1469="","",IF($A1468="",1,IF(BG1469&lt;&gt;BG1468,1,0)))</f>
        <v>0</v>
      </c>
      <c r="BI1469">
        <f>IF($A1469="","",IF($A1470="",1,IF(BG1470&lt;&gt;BG1469,1,0)))</f>
        <v>0</v>
      </c>
      <c r="BJ1469">
        <f>IF($A1469="","",IF(BH1469=1,$B1469,BJ1468))</f>
        <v>0</v>
      </c>
      <c r="BK1469">
        <f>IF($A1469="","",IF(BH1469=1,$C1469,MAX($C1469,BK1468)))</f>
        <v>0</v>
      </c>
      <c r="BL1469">
        <f>IF($A1469="","",IF(BH1469=1,$D1469,MIN($D1469,BL1468)))</f>
        <v>0</v>
      </c>
      <c r="BM1469">
        <f>IF($A1469="","",IF(BI1469=1,F1469,""))</f>
        <v>0</v>
      </c>
      <c r="BN1469">
        <f>IF($A1469="","",DATE(YEAR($A1469),MONTH($A1469),1))</f>
        <v>0</v>
      </c>
      <c r="BO1469">
        <f>IF($A1469="","",IF($A1468="",1,IF(BN1469&lt;&gt;BN1468,1,0)))</f>
        <v>0</v>
      </c>
      <c r="BP1469">
        <f>IF($A1469="","",IF($A1470="",1,IF(BN1470&lt;&gt;BN1469,1,0)))</f>
        <v>0</v>
      </c>
      <c r="BQ1469">
        <f>IF($A1469="","",IF(BO1469=1,$B1469,BQ1468))</f>
        <v>0</v>
      </c>
      <c r="BR1469">
        <f>IF($A1469="","",IF(BO1469=1,$C1469,MAX($C1469,BR1468)))</f>
        <v>0</v>
      </c>
      <c r="BS1469">
        <f>IF($A1469="","",IF(BO1469=1,$D1469,MIN($D1469,BS1468)))</f>
        <v>0</v>
      </c>
      <c r="BT1469">
        <f>IF($A1469="","",IF(BP1469=1,F1469,""))</f>
        <v>0</v>
      </c>
    </row>
    <row r="1470" spans="1:72">
      <c r="A1470" s="27">
        <f>IF(Data!$A1470="","",Data!$A1470)</f>
        <v>0</v>
      </c>
      <c r="B1470">
        <f>IF(Data!$B1470="","",Data!$B1470)</f>
        <v>0</v>
      </c>
      <c r="C1470">
        <f>IF(Data!$C1470="","",Data!$C1470)</f>
        <v>0</v>
      </c>
      <c r="D1470">
        <f>IF(Data!$D1470="","",Data!$D1470)</f>
        <v>0</v>
      </c>
      <c r="E1470">
        <f>IF(Data!$E1470="","",Data!$E1470)</f>
        <v>0</v>
      </c>
      <c r="F1470">
        <f>IF($E1470="","",N(F1469)+1)</f>
        <v>0</v>
      </c>
      <c r="G1470">
        <f>IF(OR($E1470="",$E1469=""),"",LN($E1470/$E1469))</f>
        <v>0</v>
      </c>
      <c r="H1470">
        <f>IF($E1470="","",IF($E1469="",$E1470,$E1470*0.0952380952+H1469*0.9047619048))</f>
        <v>0</v>
      </c>
      <c r="I1470">
        <f>IF($E1470="","",IF($E1469="",$E1470,$E1470*0.0392156863+I1469*0.9607843137))</f>
        <v>0</v>
      </c>
      <c r="J1470">
        <f>IF($E1470="","",IF($E1469="",$E1470,$E1470*0.0198019802+J1469*0.9801980198))</f>
        <v>0</v>
      </c>
      <c r="K1470">
        <f>IF($E1470="","",IF($E1469="",$E1470,$E1470*0.0099502488+K1469*0.9900497512))</f>
        <v>0</v>
      </c>
      <c r="L1470">
        <f>IF(OR($E1470="",$E1469=""),"",MAX($E1470-$E1469,0))</f>
        <v>0</v>
      </c>
      <c r="M1470">
        <f>IF(OR($E1470="",$E1469=""),"",MAX($E1469-$E1470,0))</f>
        <v>0</v>
      </c>
      <c r="N1470">
        <f>IF(COUNT($E$2:$E1470)&lt;15,"",IF(AVERAGE($M$1457:$M$1470)=0,100,100-100/(1+AVERAGE($L$1457:$L$1470)/AVERAGE($M$1457:$M$1470))))</f>
        <v>0</v>
      </c>
      <c r="O1470">
        <f>IF($E1470="","",IF($E1469="",$E1470,$E1470*0.1538461538+O1469*0.8461538462))</f>
        <v>0</v>
      </c>
      <c r="P1470">
        <f>IF($E1470="","",IF($E1469="",$E1470,$E1470*0.0740740741+P1469*0.9259259259))</f>
        <v>0</v>
      </c>
      <c r="Q1470">
        <f>IF(OR(O1470="",P1470=""),"",O1470-P1470)</f>
        <v>0</v>
      </c>
      <c r="R1470">
        <f>IF(Q1470="","",IF(R1469="",Q1470,Q1470*0.2000000000+R1469*0.8000000000))</f>
        <v>0</v>
      </c>
      <c r="S1470">
        <f>IF(OR(Q1470="",R1470=""),"",Q1470-R1470)</f>
        <v>0</v>
      </c>
      <c r="T1470">
        <f>IF(COUNT($E$2:$E1470)&lt;14,"",MAX($C$1457:$C$1470))</f>
        <v>0</v>
      </c>
      <c r="U1470">
        <f>IF(COUNT($E$2:$E1470)&lt;14,"",MIN($D$1457:$D$1470))</f>
        <v>0</v>
      </c>
      <c r="V1470">
        <f>IF(OR(T1470="",U1470="",T1470=U1470),"",100*($E1470-U1470)/(T1470-U1470))</f>
        <v>0</v>
      </c>
      <c r="W1470">
        <f>IF(COUNT($V$1468:$V$1470)&lt;3,"",AVERAGE($V$1468:$V$1470))</f>
        <v>0</v>
      </c>
      <c r="X1470">
        <f>IF(COUNT($N$1457:$N$1470)&lt;14,"",MIN($N$1457:$N$1470))</f>
        <v>0</v>
      </c>
      <c r="Y1470">
        <f>IF(COUNT($N$1457:$N$1470)&lt;14,"",MAX($N$1457:$N$1470))</f>
        <v>0</v>
      </c>
      <c r="Z1470">
        <f>IF(OR(N1470="",X1470="",Y1470="",Y1470=X1470),"",100*(N1470-X1470)/(Y1470-X1470))</f>
        <v>0</v>
      </c>
      <c r="AA1470">
        <f>IF(COUNT($Z$1468:$Z$1470)&lt;3,"",AVERAGE($Z$1468:$Z$1470))</f>
        <v>0</v>
      </c>
      <c r="AB1470">
        <f>IF(COUNT($AA$1468:$AA$1470)&lt;3,"",AVERAGE($AA$1468:$AA$1470))</f>
        <v>0</v>
      </c>
      <c r="AC1470">
        <f>IF($E1470="","",MAX($C1470-$D1470,ABS($C1470-$E1469),ABS($D1470-$E1469)))</f>
        <v>0</v>
      </c>
      <c r="AD1470">
        <f>IF(COUNT($E$2:$E1470)&lt;15,"",AVERAGE($AC$1457:$AC$1470))</f>
        <v>0</v>
      </c>
      <c r="AE1470">
        <f>IF(OR($E1470="",$E1469=""),"",IF(AND(($C1470-$C1469)&gt;($D1469-$D1470),($C1470-$C1469)&gt;0),$C1470-$C1469,0))</f>
        <v>0</v>
      </c>
      <c r="AF1470">
        <f>IF(OR($E1470="",$E1469=""),"",IF(AND(($D1469-$D1470)&gt;($C1470-$C1469),($D1469-$D1470)&gt;0),$D1469-$D1470,0))</f>
        <v>0</v>
      </c>
      <c r="AG1470">
        <f>IF(COUNT($E$2:$E1470)&lt;15,"",IF(SUM($AC$1457:$AC$1470)=0,0,100*SUM($AE$1457:$AE$1470)/SUM($AC$1457:$AC$1470)))</f>
        <v>0</v>
      </c>
      <c r="AH1470">
        <f>IF(COUNT($E$2:$E1470)&lt;15,"",IF(SUM($AC$1457:$AC$1470)=0,0,100*SUM($AF$1457:$AF$1470)/SUM($AC$1457:$AC$1470)))</f>
        <v>0</v>
      </c>
      <c r="AI1470">
        <f>IF(OR(AG1470="",AH1470=""),"",IF((AG1470+AH1470)=0,0,100*ABS(AG1470-AH1470)/(AG1470+AH1470)))</f>
        <v>0</v>
      </c>
      <c r="AJ1470">
        <f>IF(COUNT($AI$1457:$AI$1470)&lt;14,"",AVERAGE($AI$1457:$AI$1470))</f>
        <v>0</v>
      </c>
      <c r="AK1470">
        <f>IF(COUNT($E$2:$E1470)&lt;20,"",AVERAGE($E$1451:$E$1470))</f>
        <v>0</v>
      </c>
      <c r="AL1470">
        <f>IF(COUNT($E$2:$E1470)&lt;20,"",STDEVP($E$1451:$E$1470))</f>
        <v>0</v>
      </c>
      <c r="AM1470">
        <f>IF(AK1470="","",AK1470+2*AL1470)</f>
        <v>0</v>
      </c>
      <c r="AN1470">
        <f>IF(AK1470="","",AK1470-2*AL1470)</f>
        <v>0</v>
      </c>
      <c r="AO1470">
        <f>IF(OR(AM1470="",AN1470="",AM1470=AN1470),"",($E1470-AN1470)/(AM1470-AN1470))</f>
        <v>0</v>
      </c>
      <c r="AP1470">
        <f>IF(OR(AM1470="",AK1470="",AK1470=0),"",(AM1470-AN1470)/AK1470)</f>
        <v>0</v>
      </c>
      <c r="AQ1470">
        <f>IF(COUNT($E$2:$E1470)&lt;20,"",MAX($C$1451:$C$1470))</f>
        <v>0</v>
      </c>
      <c r="AR1470">
        <f>IF(COUNT($E$2:$E1470)&lt;20,"",MIN($D$1451:$D$1470))</f>
        <v>0</v>
      </c>
      <c r="AS1470">
        <f>IF(OR(AQ1470="",AR1470=""),"",(AQ1470+AR1470)/2)</f>
        <v>0</v>
      </c>
      <c r="AT1470">
        <f>IF(COUNT($G$1451:$G$1470)&lt;20,"",STDEV($G$1451:$G$1470)*SQRT(252))</f>
        <v>0</v>
      </c>
      <c r="AU1470">
        <f>IF(COUNT($E$2:$E1470)&lt;9,"",(MAX($C$1462:$C$1470)+MIN($D$1462:$D$1470))/2)</f>
        <v>0</v>
      </c>
      <c r="AV1470">
        <f>IF(COUNT($E$2:$E1470)&lt;26,"",(MAX($C$1445:$C$1470)+MIN($D$1445:$D$1470))/2)</f>
        <v>0</v>
      </c>
      <c r="AW1470">
        <f>IF(OR(AU1470="",AV1470=""),"",(AU1470+AV1470)/2)</f>
        <v>0</v>
      </c>
      <c r="AX1470">
        <f>IF(COUNT($E$2:$E1470)&lt;52,"",(MAX($C$1419:$C$1470)+MIN($D$1419:$D$1470))/2)</f>
        <v>0</v>
      </c>
      <c r="AY1470">
        <f>IF(COUNT($E$2:$E1470)&lt;20,"",MAX($C$1371:$C$1470))</f>
        <v>0</v>
      </c>
      <c r="AZ1470">
        <f>IF(COUNT($E$2:$E1470)&lt;20,"",MIN($D$1371:$D$1470))</f>
        <v>0</v>
      </c>
      <c r="BA1470">
        <f>IF(COUNT($E$2:$E1470)&lt;20,"",SLOPE($E$1371:$E$1470,$F$1371:$F$1470))</f>
        <v>0</v>
      </c>
      <c r="BB1470">
        <f>IF(COUNT($E$2:$E1470)&lt;20,"",INTERCEPT($E$1371:$E$1470,$F$1371:$F$1470))</f>
        <v>0</v>
      </c>
      <c r="BC1470">
        <f>IF(OR(BA1470="",BB1470=""),"",BB1470+BA1470*F1470)</f>
        <v>0</v>
      </c>
      <c r="BD1470">
        <f>IF(COUNT($E$2:$E1470)&lt;20,"",STEYX($E$1371:$E$1470,$F$1371:$F$1470))</f>
        <v>0</v>
      </c>
      <c r="BE1470">
        <f>IF($E1470="","",IF(AND(COUNT($E$1471:$E$1474)&gt;=4,$C1470=MAX($C$1466:$C$1474)),$C1470,""))</f>
        <v>0</v>
      </c>
      <c r="BF1470">
        <f>IF($E1470="","",IF(AND(COUNT($E$1471:$E$1474)&gt;=4,$D1470=MIN($D$1466:$D$1474)),$D1470,""))</f>
        <v>0</v>
      </c>
      <c r="BG1470">
        <f>IF($A1470="","",$A1470-WEEKDAY($A1470,2)+1)</f>
        <v>0</v>
      </c>
      <c r="BH1470">
        <f>IF($A1470="","",IF($A1469="",1,IF(BG1470&lt;&gt;BG1469,1,0)))</f>
        <v>0</v>
      </c>
      <c r="BI1470">
        <f>IF($A1470="","",IF($A1471="",1,IF(BG1471&lt;&gt;BG1470,1,0)))</f>
        <v>0</v>
      </c>
      <c r="BJ1470">
        <f>IF($A1470="","",IF(BH1470=1,$B1470,BJ1469))</f>
        <v>0</v>
      </c>
      <c r="BK1470">
        <f>IF($A1470="","",IF(BH1470=1,$C1470,MAX($C1470,BK1469)))</f>
        <v>0</v>
      </c>
      <c r="BL1470">
        <f>IF($A1470="","",IF(BH1470=1,$D1470,MIN($D1470,BL1469)))</f>
        <v>0</v>
      </c>
      <c r="BM1470">
        <f>IF($A1470="","",IF(BI1470=1,F1470,""))</f>
        <v>0</v>
      </c>
      <c r="BN1470">
        <f>IF($A1470="","",DATE(YEAR($A1470),MONTH($A1470),1))</f>
        <v>0</v>
      </c>
      <c r="BO1470">
        <f>IF($A1470="","",IF($A1469="",1,IF(BN1470&lt;&gt;BN1469,1,0)))</f>
        <v>0</v>
      </c>
      <c r="BP1470">
        <f>IF($A1470="","",IF($A1471="",1,IF(BN1471&lt;&gt;BN1470,1,0)))</f>
        <v>0</v>
      </c>
      <c r="BQ1470">
        <f>IF($A1470="","",IF(BO1470=1,$B1470,BQ1469))</f>
        <v>0</v>
      </c>
      <c r="BR1470">
        <f>IF($A1470="","",IF(BO1470=1,$C1470,MAX($C1470,BR1469)))</f>
        <v>0</v>
      </c>
      <c r="BS1470">
        <f>IF($A1470="","",IF(BO1470=1,$D1470,MIN($D1470,BS1469)))</f>
        <v>0</v>
      </c>
      <c r="BT1470">
        <f>IF($A1470="","",IF(BP1470=1,F1470,""))</f>
        <v>0</v>
      </c>
    </row>
    <row r="1471" spans="1:72">
      <c r="A1471" s="27">
        <f>IF(Data!$A1471="","",Data!$A1471)</f>
        <v>0</v>
      </c>
      <c r="B1471">
        <f>IF(Data!$B1471="","",Data!$B1471)</f>
        <v>0</v>
      </c>
      <c r="C1471">
        <f>IF(Data!$C1471="","",Data!$C1471)</f>
        <v>0</v>
      </c>
      <c r="D1471">
        <f>IF(Data!$D1471="","",Data!$D1471)</f>
        <v>0</v>
      </c>
      <c r="E1471">
        <f>IF(Data!$E1471="","",Data!$E1471)</f>
        <v>0</v>
      </c>
      <c r="F1471">
        <f>IF($E1471="","",N(F1470)+1)</f>
        <v>0</v>
      </c>
      <c r="G1471">
        <f>IF(OR($E1471="",$E1470=""),"",LN($E1471/$E1470))</f>
        <v>0</v>
      </c>
      <c r="H1471">
        <f>IF($E1471="","",IF($E1470="",$E1471,$E1471*0.0952380952+H1470*0.9047619048))</f>
        <v>0</v>
      </c>
      <c r="I1471">
        <f>IF($E1471="","",IF($E1470="",$E1471,$E1471*0.0392156863+I1470*0.9607843137))</f>
        <v>0</v>
      </c>
      <c r="J1471">
        <f>IF($E1471="","",IF($E1470="",$E1471,$E1471*0.0198019802+J1470*0.9801980198))</f>
        <v>0</v>
      </c>
      <c r="K1471">
        <f>IF($E1471="","",IF($E1470="",$E1471,$E1471*0.0099502488+K1470*0.9900497512))</f>
        <v>0</v>
      </c>
      <c r="L1471">
        <f>IF(OR($E1471="",$E1470=""),"",MAX($E1471-$E1470,0))</f>
        <v>0</v>
      </c>
      <c r="M1471">
        <f>IF(OR($E1471="",$E1470=""),"",MAX($E1470-$E1471,0))</f>
        <v>0</v>
      </c>
      <c r="N1471">
        <f>IF(COUNT($E$2:$E1471)&lt;15,"",IF(AVERAGE($M$1458:$M$1471)=0,100,100-100/(1+AVERAGE($L$1458:$L$1471)/AVERAGE($M$1458:$M$1471))))</f>
        <v>0</v>
      </c>
      <c r="O1471">
        <f>IF($E1471="","",IF($E1470="",$E1471,$E1471*0.1538461538+O1470*0.8461538462))</f>
        <v>0</v>
      </c>
      <c r="P1471">
        <f>IF($E1471="","",IF($E1470="",$E1471,$E1471*0.0740740741+P1470*0.9259259259))</f>
        <v>0</v>
      </c>
      <c r="Q1471">
        <f>IF(OR(O1471="",P1471=""),"",O1471-P1471)</f>
        <v>0</v>
      </c>
      <c r="R1471">
        <f>IF(Q1471="","",IF(R1470="",Q1471,Q1471*0.2000000000+R1470*0.8000000000))</f>
        <v>0</v>
      </c>
      <c r="S1471">
        <f>IF(OR(Q1471="",R1471=""),"",Q1471-R1471)</f>
        <v>0</v>
      </c>
      <c r="T1471">
        <f>IF(COUNT($E$2:$E1471)&lt;14,"",MAX($C$1458:$C$1471))</f>
        <v>0</v>
      </c>
      <c r="U1471">
        <f>IF(COUNT($E$2:$E1471)&lt;14,"",MIN($D$1458:$D$1471))</f>
        <v>0</v>
      </c>
      <c r="V1471">
        <f>IF(OR(T1471="",U1471="",T1471=U1471),"",100*($E1471-U1471)/(T1471-U1471))</f>
        <v>0</v>
      </c>
      <c r="W1471">
        <f>IF(COUNT($V$1469:$V$1471)&lt;3,"",AVERAGE($V$1469:$V$1471))</f>
        <v>0</v>
      </c>
      <c r="X1471">
        <f>IF(COUNT($N$1458:$N$1471)&lt;14,"",MIN($N$1458:$N$1471))</f>
        <v>0</v>
      </c>
      <c r="Y1471">
        <f>IF(COUNT($N$1458:$N$1471)&lt;14,"",MAX($N$1458:$N$1471))</f>
        <v>0</v>
      </c>
      <c r="Z1471">
        <f>IF(OR(N1471="",X1471="",Y1471="",Y1471=X1471),"",100*(N1471-X1471)/(Y1471-X1471))</f>
        <v>0</v>
      </c>
      <c r="AA1471">
        <f>IF(COUNT($Z$1469:$Z$1471)&lt;3,"",AVERAGE($Z$1469:$Z$1471))</f>
        <v>0</v>
      </c>
      <c r="AB1471">
        <f>IF(COUNT($AA$1469:$AA$1471)&lt;3,"",AVERAGE($AA$1469:$AA$1471))</f>
        <v>0</v>
      </c>
      <c r="AC1471">
        <f>IF($E1471="","",MAX($C1471-$D1471,ABS($C1471-$E1470),ABS($D1471-$E1470)))</f>
        <v>0</v>
      </c>
      <c r="AD1471">
        <f>IF(COUNT($E$2:$E1471)&lt;15,"",AVERAGE($AC$1458:$AC$1471))</f>
        <v>0</v>
      </c>
      <c r="AE1471">
        <f>IF(OR($E1471="",$E1470=""),"",IF(AND(($C1471-$C1470)&gt;($D1470-$D1471),($C1471-$C1470)&gt;0),$C1471-$C1470,0))</f>
        <v>0</v>
      </c>
      <c r="AF1471">
        <f>IF(OR($E1471="",$E1470=""),"",IF(AND(($D1470-$D1471)&gt;($C1471-$C1470),($D1470-$D1471)&gt;0),$D1470-$D1471,0))</f>
        <v>0</v>
      </c>
      <c r="AG1471">
        <f>IF(COUNT($E$2:$E1471)&lt;15,"",IF(SUM($AC$1458:$AC$1471)=0,0,100*SUM($AE$1458:$AE$1471)/SUM($AC$1458:$AC$1471)))</f>
        <v>0</v>
      </c>
      <c r="AH1471">
        <f>IF(COUNT($E$2:$E1471)&lt;15,"",IF(SUM($AC$1458:$AC$1471)=0,0,100*SUM($AF$1458:$AF$1471)/SUM($AC$1458:$AC$1471)))</f>
        <v>0</v>
      </c>
      <c r="AI1471">
        <f>IF(OR(AG1471="",AH1471=""),"",IF((AG1471+AH1471)=0,0,100*ABS(AG1471-AH1471)/(AG1471+AH1471)))</f>
        <v>0</v>
      </c>
      <c r="AJ1471">
        <f>IF(COUNT($AI$1458:$AI$1471)&lt;14,"",AVERAGE($AI$1458:$AI$1471))</f>
        <v>0</v>
      </c>
      <c r="AK1471">
        <f>IF(COUNT($E$2:$E1471)&lt;20,"",AVERAGE($E$1452:$E$1471))</f>
        <v>0</v>
      </c>
      <c r="AL1471">
        <f>IF(COUNT($E$2:$E1471)&lt;20,"",STDEVP($E$1452:$E$1471))</f>
        <v>0</v>
      </c>
      <c r="AM1471">
        <f>IF(AK1471="","",AK1471+2*AL1471)</f>
        <v>0</v>
      </c>
      <c r="AN1471">
        <f>IF(AK1471="","",AK1471-2*AL1471)</f>
        <v>0</v>
      </c>
      <c r="AO1471">
        <f>IF(OR(AM1471="",AN1471="",AM1471=AN1471),"",($E1471-AN1471)/(AM1471-AN1471))</f>
        <v>0</v>
      </c>
      <c r="AP1471">
        <f>IF(OR(AM1471="",AK1471="",AK1471=0),"",(AM1471-AN1471)/AK1471)</f>
        <v>0</v>
      </c>
      <c r="AQ1471">
        <f>IF(COUNT($E$2:$E1471)&lt;20,"",MAX($C$1452:$C$1471))</f>
        <v>0</v>
      </c>
      <c r="AR1471">
        <f>IF(COUNT($E$2:$E1471)&lt;20,"",MIN($D$1452:$D$1471))</f>
        <v>0</v>
      </c>
      <c r="AS1471">
        <f>IF(OR(AQ1471="",AR1471=""),"",(AQ1471+AR1471)/2)</f>
        <v>0</v>
      </c>
      <c r="AT1471">
        <f>IF(COUNT($G$1452:$G$1471)&lt;20,"",STDEV($G$1452:$G$1471)*SQRT(252))</f>
        <v>0</v>
      </c>
      <c r="AU1471">
        <f>IF(COUNT($E$2:$E1471)&lt;9,"",(MAX($C$1463:$C$1471)+MIN($D$1463:$D$1471))/2)</f>
        <v>0</v>
      </c>
      <c r="AV1471">
        <f>IF(COUNT($E$2:$E1471)&lt;26,"",(MAX($C$1446:$C$1471)+MIN($D$1446:$D$1471))/2)</f>
        <v>0</v>
      </c>
      <c r="AW1471">
        <f>IF(OR(AU1471="",AV1471=""),"",(AU1471+AV1471)/2)</f>
        <v>0</v>
      </c>
      <c r="AX1471">
        <f>IF(COUNT($E$2:$E1471)&lt;52,"",(MAX($C$1420:$C$1471)+MIN($D$1420:$D$1471))/2)</f>
        <v>0</v>
      </c>
      <c r="AY1471">
        <f>IF(COUNT($E$2:$E1471)&lt;20,"",MAX($C$1372:$C$1471))</f>
        <v>0</v>
      </c>
      <c r="AZ1471">
        <f>IF(COUNT($E$2:$E1471)&lt;20,"",MIN($D$1372:$D$1471))</f>
        <v>0</v>
      </c>
      <c r="BA1471">
        <f>IF(COUNT($E$2:$E1471)&lt;20,"",SLOPE($E$1372:$E$1471,$F$1372:$F$1471))</f>
        <v>0</v>
      </c>
      <c r="BB1471">
        <f>IF(COUNT($E$2:$E1471)&lt;20,"",INTERCEPT($E$1372:$E$1471,$F$1372:$F$1471))</f>
        <v>0</v>
      </c>
      <c r="BC1471">
        <f>IF(OR(BA1471="",BB1471=""),"",BB1471+BA1471*F1471)</f>
        <v>0</v>
      </c>
      <c r="BD1471">
        <f>IF(COUNT($E$2:$E1471)&lt;20,"",STEYX($E$1372:$E$1471,$F$1372:$F$1471))</f>
        <v>0</v>
      </c>
      <c r="BE1471">
        <f>IF($E1471="","",IF(AND(COUNT($E$1472:$E$1475)&gt;=4,$C1471=MAX($C$1467:$C$1475)),$C1471,""))</f>
        <v>0</v>
      </c>
      <c r="BF1471">
        <f>IF($E1471="","",IF(AND(COUNT($E$1472:$E$1475)&gt;=4,$D1471=MIN($D$1467:$D$1475)),$D1471,""))</f>
        <v>0</v>
      </c>
      <c r="BG1471">
        <f>IF($A1471="","",$A1471-WEEKDAY($A1471,2)+1)</f>
        <v>0</v>
      </c>
      <c r="BH1471">
        <f>IF($A1471="","",IF($A1470="",1,IF(BG1471&lt;&gt;BG1470,1,0)))</f>
        <v>0</v>
      </c>
      <c r="BI1471">
        <f>IF($A1471="","",IF($A1472="",1,IF(BG1472&lt;&gt;BG1471,1,0)))</f>
        <v>0</v>
      </c>
      <c r="BJ1471">
        <f>IF($A1471="","",IF(BH1471=1,$B1471,BJ1470))</f>
        <v>0</v>
      </c>
      <c r="BK1471">
        <f>IF($A1471="","",IF(BH1471=1,$C1471,MAX($C1471,BK1470)))</f>
        <v>0</v>
      </c>
      <c r="BL1471">
        <f>IF($A1471="","",IF(BH1471=1,$D1471,MIN($D1471,BL1470)))</f>
        <v>0</v>
      </c>
      <c r="BM1471">
        <f>IF($A1471="","",IF(BI1471=1,F1471,""))</f>
        <v>0</v>
      </c>
      <c r="BN1471">
        <f>IF($A1471="","",DATE(YEAR($A1471),MONTH($A1471),1))</f>
        <v>0</v>
      </c>
      <c r="BO1471">
        <f>IF($A1471="","",IF($A1470="",1,IF(BN1471&lt;&gt;BN1470,1,0)))</f>
        <v>0</v>
      </c>
      <c r="BP1471">
        <f>IF($A1471="","",IF($A1472="",1,IF(BN1472&lt;&gt;BN1471,1,0)))</f>
        <v>0</v>
      </c>
      <c r="BQ1471">
        <f>IF($A1471="","",IF(BO1471=1,$B1471,BQ1470))</f>
        <v>0</v>
      </c>
      <c r="BR1471">
        <f>IF($A1471="","",IF(BO1471=1,$C1471,MAX($C1471,BR1470)))</f>
        <v>0</v>
      </c>
      <c r="BS1471">
        <f>IF($A1471="","",IF(BO1471=1,$D1471,MIN($D1471,BS1470)))</f>
        <v>0</v>
      </c>
      <c r="BT1471">
        <f>IF($A1471="","",IF(BP1471=1,F1471,""))</f>
        <v>0</v>
      </c>
    </row>
    <row r="1472" spans="1:72">
      <c r="A1472" s="27">
        <f>IF(Data!$A1472="","",Data!$A1472)</f>
        <v>0</v>
      </c>
      <c r="B1472">
        <f>IF(Data!$B1472="","",Data!$B1472)</f>
        <v>0</v>
      </c>
      <c r="C1472">
        <f>IF(Data!$C1472="","",Data!$C1472)</f>
        <v>0</v>
      </c>
      <c r="D1472">
        <f>IF(Data!$D1472="","",Data!$D1472)</f>
        <v>0</v>
      </c>
      <c r="E1472">
        <f>IF(Data!$E1472="","",Data!$E1472)</f>
        <v>0</v>
      </c>
      <c r="F1472">
        <f>IF($E1472="","",N(F1471)+1)</f>
        <v>0</v>
      </c>
      <c r="G1472">
        <f>IF(OR($E1472="",$E1471=""),"",LN($E1472/$E1471))</f>
        <v>0</v>
      </c>
      <c r="H1472">
        <f>IF($E1472="","",IF($E1471="",$E1472,$E1472*0.0952380952+H1471*0.9047619048))</f>
        <v>0</v>
      </c>
      <c r="I1472">
        <f>IF($E1472="","",IF($E1471="",$E1472,$E1472*0.0392156863+I1471*0.9607843137))</f>
        <v>0</v>
      </c>
      <c r="J1472">
        <f>IF($E1472="","",IF($E1471="",$E1472,$E1472*0.0198019802+J1471*0.9801980198))</f>
        <v>0</v>
      </c>
      <c r="K1472">
        <f>IF($E1472="","",IF($E1471="",$E1472,$E1472*0.0099502488+K1471*0.9900497512))</f>
        <v>0</v>
      </c>
      <c r="L1472">
        <f>IF(OR($E1472="",$E1471=""),"",MAX($E1472-$E1471,0))</f>
        <v>0</v>
      </c>
      <c r="M1472">
        <f>IF(OR($E1472="",$E1471=""),"",MAX($E1471-$E1472,0))</f>
        <v>0</v>
      </c>
      <c r="N1472">
        <f>IF(COUNT($E$2:$E1472)&lt;15,"",IF(AVERAGE($M$1459:$M$1472)=0,100,100-100/(1+AVERAGE($L$1459:$L$1472)/AVERAGE($M$1459:$M$1472))))</f>
        <v>0</v>
      </c>
      <c r="O1472">
        <f>IF($E1472="","",IF($E1471="",$E1472,$E1472*0.1538461538+O1471*0.8461538462))</f>
        <v>0</v>
      </c>
      <c r="P1472">
        <f>IF($E1472="","",IF($E1471="",$E1472,$E1472*0.0740740741+P1471*0.9259259259))</f>
        <v>0</v>
      </c>
      <c r="Q1472">
        <f>IF(OR(O1472="",P1472=""),"",O1472-P1472)</f>
        <v>0</v>
      </c>
      <c r="R1472">
        <f>IF(Q1472="","",IF(R1471="",Q1472,Q1472*0.2000000000+R1471*0.8000000000))</f>
        <v>0</v>
      </c>
      <c r="S1472">
        <f>IF(OR(Q1472="",R1472=""),"",Q1472-R1472)</f>
        <v>0</v>
      </c>
      <c r="T1472">
        <f>IF(COUNT($E$2:$E1472)&lt;14,"",MAX($C$1459:$C$1472))</f>
        <v>0</v>
      </c>
      <c r="U1472">
        <f>IF(COUNT($E$2:$E1472)&lt;14,"",MIN($D$1459:$D$1472))</f>
        <v>0</v>
      </c>
      <c r="V1472">
        <f>IF(OR(T1472="",U1472="",T1472=U1472),"",100*($E1472-U1472)/(T1472-U1472))</f>
        <v>0</v>
      </c>
      <c r="W1472">
        <f>IF(COUNT($V$1470:$V$1472)&lt;3,"",AVERAGE($V$1470:$V$1472))</f>
        <v>0</v>
      </c>
      <c r="X1472">
        <f>IF(COUNT($N$1459:$N$1472)&lt;14,"",MIN($N$1459:$N$1472))</f>
        <v>0</v>
      </c>
      <c r="Y1472">
        <f>IF(COUNT($N$1459:$N$1472)&lt;14,"",MAX($N$1459:$N$1472))</f>
        <v>0</v>
      </c>
      <c r="Z1472">
        <f>IF(OR(N1472="",X1472="",Y1472="",Y1472=X1472),"",100*(N1472-X1472)/(Y1472-X1472))</f>
        <v>0</v>
      </c>
      <c r="AA1472">
        <f>IF(COUNT($Z$1470:$Z$1472)&lt;3,"",AVERAGE($Z$1470:$Z$1472))</f>
        <v>0</v>
      </c>
      <c r="AB1472">
        <f>IF(COUNT($AA$1470:$AA$1472)&lt;3,"",AVERAGE($AA$1470:$AA$1472))</f>
        <v>0</v>
      </c>
      <c r="AC1472">
        <f>IF($E1472="","",MAX($C1472-$D1472,ABS($C1472-$E1471),ABS($D1472-$E1471)))</f>
        <v>0</v>
      </c>
      <c r="AD1472">
        <f>IF(COUNT($E$2:$E1472)&lt;15,"",AVERAGE($AC$1459:$AC$1472))</f>
        <v>0</v>
      </c>
      <c r="AE1472">
        <f>IF(OR($E1472="",$E1471=""),"",IF(AND(($C1472-$C1471)&gt;($D1471-$D1472),($C1472-$C1471)&gt;0),$C1472-$C1471,0))</f>
        <v>0</v>
      </c>
      <c r="AF1472">
        <f>IF(OR($E1472="",$E1471=""),"",IF(AND(($D1471-$D1472)&gt;($C1472-$C1471),($D1471-$D1472)&gt;0),$D1471-$D1472,0))</f>
        <v>0</v>
      </c>
      <c r="AG1472">
        <f>IF(COUNT($E$2:$E1472)&lt;15,"",IF(SUM($AC$1459:$AC$1472)=0,0,100*SUM($AE$1459:$AE$1472)/SUM($AC$1459:$AC$1472)))</f>
        <v>0</v>
      </c>
      <c r="AH1472">
        <f>IF(COUNT($E$2:$E1472)&lt;15,"",IF(SUM($AC$1459:$AC$1472)=0,0,100*SUM($AF$1459:$AF$1472)/SUM($AC$1459:$AC$1472)))</f>
        <v>0</v>
      </c>
      <c r="AI1472">
        <f>IF(OR(AG1472="",AH1472=""),"",IF((AG1472+AH1472)=0,0,100*ABS(AG1472-AH1472)/(AG1472+AH1472)))</f>
        <v>0</v>
      </c>
      <c r="AJ1472">
        <f>IF(COUNT($AI$1459:$AI$1472)&lt;14,"",AVERAGE($AI$1459:$AI$1472))</f>
        <v>0</v>
      </c>
      <c r="AK1472">
        <f>IF(COUNT($E$2:$E1472)&lt;20,"",AVERAGE($E$1453:$E$1472))</f>
        <v>0</v>
      </c>
      <c r="AL1472">
        <f>IF(COUNT($E$2:$E1472)&lt;20,"",STDEVP($E$1453:$E$1472))</f>
        <v>0</v>
      </c>
      <c r="AM1472">
        <f>IF(AK1472="","",AK1472+2*AL1472)</f>
        <v>0</v>
      </c>
      <c r="AN1472">
        <f>IF(AK1472="","",AK1472-2*AL1472)</f>
        <v>0</v>
      </c>
      <c r="AO1472">
        <f>IF(OR(AM1472="",AN1472="",AM1472=AN1472),"",($E1472-AN1472)/(AM1472-AN1472))</f>
        <v>0</v>
      </c>
      <c r="AP1472">
        <f>IF(OR(AM1472="",AK1472="",AK1472=0),"",(AM1472-AN1472)/AK1472)</f>
        <v>0</v>
      </c>
      <c r="AQ1472">
        <f>IF(COUNT($E$2:$E1472)&lt;20,"",MAX($C$1453:$C$1472))</f>
        <v>0</v>
      </c>
      <c r="AR1472">
        <f>IF(COUNT($E$2:$E1472)&lt;20,"",MIN($D$1453:$D$1472))</f>
        <v>0</v>
      </c>
      <c r="AS1472">
        <f>IF(OR(AQ1472="",AR1472=""),"",(AQ1472+AR1472)/2)</f>
        <v>0</v>
      </c>
      <c r="AT1472">
        <f>IF(COUNT($G$1453:$G$1472)&lt;20,"",STDEV($G$1453:$G$1472)*SQRT(252))</f>
        <v>0</v>
      </c>
      <c r="AU1472">
        <f>IF(COUNT($E$2:$E1472)&lt;9,"",(MAX($C$1464:$C$1472)+MIN($D$1464:$D$1472))/2)</f>
        <v>0</v>
      </c>
      <c r="AV1472">
        <f>IF(COUNT($E$2:$E1472)&lt;26,"",(MAX($C$1447:$C$1472)+MIN($D$1447:$D$1472))/2)</f>
        <v>0</v>
      </c>
      <c r="AW1472">
        <f>IF(OR(AU1472="",AV1472=""),"",(AU1472+AV1472)/2)</f>
        <v>0</v>
      </c>
      <c r="AX1472">
        <f>IF(COUNT($E$2:$E1472)&lt;52,"",(MAX($C$1421:$C$1472)+MIN($D$1421:$D$1472))/2)</f>
        <v>0</v>
      </c>
      <c r="AY1472">
        <f>IF(COUNT($E$2:$E1472)&lt;20,"",MAX($C$1373:$C$1472))</f>
        <v>0</v>
      </c>
      <c r="AZ1472">
        <f>IF(COUNT($E$2:$E1472)&lt;20,"",MIN($D$1373:$D$1472))</f>
        <v>0</v>
      </c>
      <c r="BA1472">
        <f>IF(COUNT($E$2:$E1472)&lt;20,"",SLOPE($E$1373:$E$1472,$F$1373:$F$1472))</f>
        <v>0</v>
      </c>
      <c r="BB1472">
        <f>IF(COUNT($E$2:$E1472)&lt;20,"",INTERCEPT($E$1373:$E$1472,$F$1373:$F$1472))</f>
        <v>0</v>
      </c>
      <c r="BC1472">
        <f>IF(OR(BA1472="",BB1472=""),"",BB1472+BA1472*F1472)</f>
        <v>0</v>
      </c>
      <c r="BD1472">
        <f>IF(COUNT($E$2:$E1472)&lt;20,"",STEYX($E$1373:$E$1472,$F$1373:$F$1472))</f>
        <v>0</v>
      </c>
      <c r="BE1472">
        <f>IF($E1472="","",IF(AND(COUNT($E$1473:$E$1476)&gt;=4,$C1472=MAX($C$1468:$C$1476)),$C1472,""))</f>
        <v>0</v>
      </c>
      <c r="BF1472">
        <f>IF($E1472="","",IF(AND(COUNT($E$1473:$E$1476)&gt;=4,$D1472=MIN($D$1468:$D$1476)),$D1472,""))</f>
        <v>0</v>
      </c>
      <c r="BG1472">
        <f>IF($A1472="","",$A1472-WEEKDAY($A1472,2)+1)</f>
        <v>0</v>
      </c>
      <c r="BH1472">
        <f>IF($A1472="","",IF($A1471="",1,IF(BG1472&lt;&gt;BG1471,1,0)))</f>
        <v>0</v>
      </c>
      <c r="BI1472">
        <f>IF($A1472="","",IF($A1473="",1,IF(BG1473&lt;&gt;BG1472,1,0)))</f>
        <v>0</v>
      </c>
      <c r="BJ1472">
        <f>IF($A1472="","",IF(BH1472=1,$B1472,BJ1471))</f>
        <v>0</v>
      </c>
      <c r="BK1472">
        <f>IF($A1472="","",IF(BH1472=1,$C1472,MAX($C1472,BK1471)))</f>
        <v>0</v>
      </c>
      <c r="BL1472">
        <f>IF($A1472="","",IF(BH1472=1,$D1472,MIN($D1472,BL1471)))</f>
        <v>0</v>
      </c>
      <c r="BM1472">
        <f>IF($A1472="","",IF(BI1472=1,F1472,""))</f>
        <v>0</v>
      </c>
      <c r="BN1472">
        <f>IF($A1472="","",DATE(YEAR($A1472),MONTH($A1472),1))</f>
        <v>0</v>
      </c>
      <c r="BO1472">
        <f>IF($A1472="","",IF($A1471="",1,IF(BN1472&lt;&gt;BN1471,1,0)))</f>
        <v>0</v>
      </c>
      <c r="BP1472">
        <f>IF($A1472="","",IF($A1473="",1,IF(BN1473&lt;&gt;BN1472,1,0)))</f>
        <v>0</v>
      </c>
      <c r="BQ1472">
        <f>IF($A1472="","",IF(BO1472=1,$B1472,BQ1471))</f>
        <v>0</v>
      </c>
      <c r="BR1472">
        <f>IF($A1472="","",IF(BO1472=1,$C1472,MAX($C1472,BR1471)))</f>
        <v>0</v>
      </c>
      <c r="BS1472">
        <f>IF($A1472="","",IF(BO1472=1,$D1472,MIN($D1472,BS1471)))</f>
        <v>0</v>
      </c>
      <c r="BT1472">
        <f>IF($A1472="","",IF(BP1472=1,F1472,""))</f>
        <v>0</v>
      </c>
    </row>
    <row r="1473" spans="1:72">
      <c r="A1473" s="27">
        <f>IF(Data!$A1473="","",Data!$A1473)</f>
        <v>0</v>
      </c>
      <c r="B1473">
        <f>IF(Data!$B1473="","",Data!$B1473)</f>
        <v>0</v>
      </c>
      <c r="C1473">
        <f>IF(Data!$C1473="","",Data!$C1473)</f>
        <v>0</v>
      </c>
      <c r="D1473">
        <f>IF(Data!$D1473="","",Data!$D1473)</f>
        <v>0</v>
      </c>
      <c r="E1473">
        <f>IF(Data!$E1473="","",Data!$E1473)</f>
        <v>0</v>
      </c>
      <c r="F1473">
        <f>IF($E1473="","",N(F1472)+1)</f>
        <v>0</v>
      </c>
      <c r="G1473">
        <f>IF(OR($E1473="",$E1472=""),"",LN($E1473/$E1472))</f>
        <v>0</v>
      </c>
      <c r="H1473">
        <f>IF($E1473="","",IF($E1472="",$E1473,$E1473*0.0952380952+H1472*0.9047619048))</f>
        <v>0</v>
      </c>
      <c r="I1473">
        <f>IF($E1473="","",IF($E1472="",$E1473,$E1473*0.0392156863+I1472*0.9607843137))</f>
        <v>0</v>
      </c>
      <c r="J1473">
        <f>IF($E1473="","",IF($E1472="",$E1473,$E1473*0.0198019802+J1472*0.9801980198))</f>
        <v>0</v>
      </c>
      <c r="K1473">
        <f>IF($E1473="","",IF($E1472="",$E1473,$E1473*0.0099502488+K1472*0.9900497512))</f>
        <v>0</v>
      </c>
      <c r="L1473">
        <f>IF(OR($E1473="",$E1472=""),"",MAX($E1473-$E1472,0))</f>
        <v>0</v>
      </c>
      <c r="M1473">
        <f>IF(OR($E1473="",$E1472=""),"",MAX($E1472-$E1473,0))</f>
        <v>0</v>
      </c>
      <c r="N1473">
        <f>IF(COUNT($E$2:$E1473)&lt;15,"",IF(AVERAGE($M$1460:$M$1473)=0,100,100-100/(1+AVERAGE($L$1460:$L$1473)/AVERAGE($M$1460:$M$1473))))</f>
        <v>0</v>
      </c>
      <c r="O1473">
        <f>IF($E1473="","",IF($E1472="",$E1473,$E1473*0.1538461538+O1472*0.8461538462))</f>
        <v>0</v>
      </c>
      <c r="P1473">
        <f>IF($E1473="","",IF($E1472="",$E1473,$E1473*0.0740740741+P1472*0.9259259259))</f>
        <v>0</v>
      </c>
      <c r="Q1473">
        <f>IF(OR(O1473="",P1473=""),"",O1473-P1473)</f>
        <v>0</v>
      </c>
      <c r="R1473">
        <f>IF(Q1473="","",IF(R1472="",Q1473,Q1473*0.2000000000+R1472*0.8000000000))</f>
        <v>0</v>
      </c>
      <c r="S1473">
        <f>IF(OR(Q1473="",R1473=""),"",Q1473-R1473)</f>
        <v>0</v>
      </c>
      <c r="T1473">
        <f>IF(COUNT($E$2:$E1473)&lt;14,"",MAX($C$1460:$C$1473))</f>
        <v>0</v>
      </c>
      <c r="U1473">
        <f>IF(COUNT($E$2:$E1473)&lt;14,"",MIN($D$1460:$D$1473))</f>
        <v>0</v>
      </c>
      <c r="V1473">
        <f>IF(OR(T1473="",U1473="",T1473=U1473),"",100*($E1473-U1473)/(T1473-U1473))</f>
        <v>0</v>
      </c>
      <c r="W1473">
        <f>IF(COUNT($V$1471:$V$1473)&lt;3,"",AVERAGE($V$1471:$V$1473))</f>
        <v>0</v>
      </c>
      <c r="X1473">
        <f>IF(COUNT($N$1460:$N$1473)&lt;14,"",MIN($N$1460:$N$1473))</f>
        <v>0</v>
      </c>
      <c r="Y1473">
        <f>IF(COUNT($N$1460:$N$1473)&lt;14,"",MAX($N$1460:$N$1473))</f>
        <v>0</v>
      </c>
      <c r="Z1473">
        <f>IF(OR(N1473="",X1473="",Y1473="",Y1473=X1473),"",100*(N1473-X1473)/(Y1473-X1473))</f>
        <v>0</v>
      </c>
      <c r="AA1473">
        <f>IF(COUNT($Z$1471:$Z$1473)&lt;3,"",AVERAGE($Z$1471:$Z$1473))</f>
        <v>0</v>
      </c>
      <c r="AB1473">
        <f>IF(COUNT($AA$1471:$AA$1473)&lt;3,"",AVERAGE($AA$1471:$AA$1473))</f>
        <v>0</v>
      </c>
      <c r="AC1473">
        <f>IF($E1473="","",MAX($C1473-$D1473,ABS($C1473-$E1472),ABS($D1473-$E1472)))</f>
        <v>0</v>
      </c>
      <c r="AD1473">
        <f>IF(COUNT($E$2:$E1473)&lt;15,"",AVERAGE($AC$1460:$AC$1473))</f>
        <v>0</v>
      </c>
      <c r="AE1473">
        <f>IF(OR($E1473="",$E1472=""),"",IF(AND(($C1473-$C1472)&gt;($D1472-$D1473),($C1473-$C1472)&gt;0),$C1473-$C1472,0))</f>
        <v>0</v>
      </c>
      <c r="AF1473">
        <f>IF(OR($E1473="",$E1472=""),"",IF(AND(($D1472-$D1473)&gt;($C1473-$C1472),($D1472-$D1473)&gt;0),$D1472-$D1473,0))</f>
        <v>0</v>
      </c>
      <c r="AG1473">
        <f>IF(COUNT($E$2:$E1473)&lt;15,"",IF(SUM($AC$1460:$AC$1473)=0,0,100*SUM($AE$1460:$AE$1473)/SUM($AC$1460:$AC$1473)))</f>
        <v>0</v>
      </c>
      <c r="AH1473">
        <f>IF(COUNT($E$2:$E1473)&lt;15,"",IF(SUM($AC$1460:$AC$1473)=0,0,100*SUM($AF$1460:$AF$1473)/SUM($AC$1460:$AC$1473)))</f>
        <v>0</v>
      </c>
      <c r="AI1473">
        <f>IF(OR(AG1473="",AH1473=""),"",IF((AG1473+AH1473)=0,0,100*ABS(AG1473-AH1473)/(AG1473+AH1473)))</f>
        <v>0</v>
      </c>
      <c r="AJ1473">
        <f>IF(COUNT($AI$1460:$AI$1473)&lt;14,"",AVERAGE($AI$1460:$AI$1473))</f>
        <v>0</v>
      </c>
      <c r="AK1473">
        <f>IF(COUNT($E$2:$E1473)&lt;20,"",AVERAGE($E$1454:$E$1473))</f>
        <v>0</v>
      </c>
      <c r="AL1473">
        <f>IF(COUNT($E$2:$E1473)&lt;20,"",STDEVP($E$1454:$E$1473))</f>
        <v>0</v>
      </c>
      <c r="AM1473">
        <f>IF(AK1473="","",AK1473+2*AL1473)</f>
        <v>0</v>
      </c>
      <c r="AN1473">
        <f>IF(AK1473="","",AK1473-2*AL1473)</f>
        <v>0</v>
      </c>
      <c r="AO1473">
        <f>IF(OR(AM1473="",AN1473="",AM1473=AN1473),"",($E1473-AN1473)/(AM1473-AN1473))</f>
        <v>0</v>
      </c>
      <c r="AP1473">
        <f>IF(OR(AM1473="",AK1473="",AK1473=0),"",(AM1473-AN1473)/AK1473)</f>
        <v>0</v>
      </c>
      <c r="AQ1473">
        <f>IF(COUNT($E$2:$E1473)&lt;20,"",MAX($C$1454:$C$1473))</f>
        <v>0</v>
      </c>
      <c r="AR1473">
        <f>IF(COUNT($E$2:$E1473)&lt;20,"",MIN($D$1454:$D$1473))</f>
        <v>0</v>
      </c>
      <c r="AS1473">
        <f>IF(OR(AQ1473="",AR1473=""),"",(AQ1473+AR1473)/2)</f>
        <v>0</v>
      </c>
      <c r="AT1473">
        <f>IF(COUNT($G$1454:$G$1473)&lt;20,"",STDEV($G$1454:$G$1473)*SQRT(252))</f>
        <v>0</v>
      </c>
      <c r="AU1473">
        <f>IF(COUNT($E$2:$E1473)&lt;9,"",(MAX($C$1465:$C$1473)+MIN($D$1465:$D$1473))/2)</f>
        <v>0</v>
      </c>
      <c r="AV1473">
        <f>IF(COUNT($E$2:$E1473)&lt;26,"",(MAX($C$1448:$C$1473)+MIN($D$1448:$D$1473))/2)</f>
        <v>0</v>
      </c>
      <c r="AW1473">
        <f>IF(OR(AU1473="",AV1473=""),"",(AU1473+AV1473)/2)</f>
        <v>0</v>
      </c>
      <c r="AX1473">
        <f>IF(COUNT($E$2:$E1473)&lt;52,"",(MAX($C$1422:$C$1473)+MIN($D$1422:$D$1473))/2)</f>
        <v>0</v>
      </c>
      <c r="AY1473">
        <f>IF(COUNT($E$2:$E1473)&lt;20,"",MAX($C$1374:$C$1473))</f>
        <v>0</v>
      </c>
      <c r="AZ1473">
        <f>IF(COUNT($E$2:$E1473)&lt;20,"",MIN($D$1374:$D$1473))</f>
        <v>0</v>
      </c>
      <c r="BA1473">
        <f>IF(COUNT($E$2:$E1473)&lt;20,"",SLOPE($E$1374:$E$1473,$F$1374:$F$1473))</f>
        <v>0</v>
      </c>
      <c r="BB1473">
        <f>IF(COUNT($E$2:$E1473)&lt;20,"",INTERCEPT($E$1374:$E$1473,$F$1374:$F$1473))</f>
        <v>0</v>
      </c>
      <c r="BC1473">
        <f>IF(OR(BA1473="",BB1473=""),"",BB1473+BA1473*F1473)</f>
        <v>0</v>
      </c>
      <c r="BD1473">
        <f>IF(COUNT($E$2:$E1473)&lt;20,"",STEYX($E$1374:$E$1473,$F$1374:$F$1473))</f>
        <v>0</v>
      </c>
      <c r="BE1473">
        <f>IF($E1473="","",IF(AND(COUNT($E$1474:$E$1477)&gt;=4,$C1473=MAX($C$1469:$C$1477)),$C1473,""))</f>
        <v>0</v>
      </c>
      <c r="BF1473">
        <f>IF($E1473="","",IF(AND(COUNT($E$1474:$E$1477)&gt;=4,$D1473=MIN($D$1469:$D$1477)),$D1473,""))</f>
        <v>0</v>
      </c>
      <c r="BG1473">
        <f>IF($A1473="","",$A1473-WEEKDAY($A1473,2)+1)</f>
        <v>0</v>
      </c>
      <c r="BH1473">
        <f>IF($A1473="","",IF($A1472="",1,IF(BG1473&lt;&gt;BG1472,1,0)))</f>
        <v>0</v>
      </c>
      <c r="BI1473">
        <f>IF($A1473="","",IF($A1474="",1,IF(BG1474&lt;&gt;BG1473,1,0)))</f>
        <v>0</v>
      </c>
      <c r="BJ1473">
        <f>IF($A1473="","",IF(BH1473=1,$B1473,BJ1472))</f>
        <v>0</v>
      </c>
      <c r="BK1473">
        <f>IF($A1473="","",IF(BH1473=1,$C1473,MAX($C1473,BK1472)))</f>
        <v>0</v>
      </c>
      <c r="BL1473">
        <f>IF($A1473="","",IF(BH1473=1,$D1473,MIN($D1473,BL1472)))</f>
        <v>0</v>
      </c>
      <c r="BM1473">
        <f>IF($A1473="","",IF(BI1473=1,F1473,""))</f>
        <v>0</v>
      </c>
      <c r="BN1473">
        <f>IF($A1473="","",DATE(YEAR($A1473),MONTH($A1473),1))</f>
        <v>0</v>
      </c>
      <c r="BO1473">
        <f>IF($A1473="","",IF($A1472="",1,IF(BN1473&lt;&gt;BN1472,1,0)))</f>
        <v>0</v>
      </c>
      <c r="BP1473">
        <f>IF($A1473="","",IF($A1474="",1,IF(BN1474&lt;&gt;BN1473,1,0)))</f>
        <v>0</v>
      </c>
      <c r="BQ1473">
        <f>IF($A1473="","",IF(BO1473=1,$B1473,BQ1472))</f>
        <v>0</v>
      </c>
      <c r="BR1473">
        <f>IF($A1473="","",IF(BO1473=1,$C1473,MAX($C1473,BR1472)))</f>
        <v>0</v>
      </c>
      <c r="BS1473">
        <f>IF($A1473="","",IF(BO1473=1,$D1473,MIN($D1473,BS1472)))</f>
        <v>0</v>
      </c>
      <c r="BT1473">
        <f>IF($A1473="","",IF(BP1473=1,F1473,""))</f>
        <v>0</v>
      </c>
    </row>
    <row r="1474" spans="1:72">
      <c r="A1474" s="27">
        <f>IF(Data!$A1474="","",Data!$A1474)</f>
        <v>0</v>
      </c>
      <c r="B1474">
        <f>IF(Data!$B1474="","",Data!$B1474)</f>
        <v>0</v>
      </c>
      <c r="C1474">
        <f>IF(Data!$C1474="","",Data!$C1474)</f>
        <v>0</v>
      </c>
      <c r="D1474">
        <f>IF(Data!$D1474="","",Data!$D1474)</f>
        <v>0</v>
      </c>
      <c r="E1474">
        <f>IF(Data!$E1474="","",Data!$E1474)</f>
        <v>0</v>
      </c>
      <c r="F1474">
        <f>IF($E1474="","",N(F1473)+1)</f>
        <v>0</v>
      </c>
      <c r="G1474">
        <f>IF(OR($E1474="",$E1473=""),"",LN($E1474/$E1473))</f>
        <v>0</v>
      </c>
      <c r="H1474">
        <f>IF($E1474="","",IF($E1473="",$E1474,$E1474*0.0952380952+H1473*0.9047619048))</f>
        <v>0</v>
      </c>
      <c r="I1474">
        <f>IF($E1474="","",IF($E1473="",$E1474,$E1474*0.0392156863+I1473*0.9607843137))</f>
        <v>0</v>
      </c>
      <c r="J1474">
        <f>IF($E1474="","",IF($E1473="",$E1474,$E1474*0.0198019802+J1473*0.9801980198))</f>
        <v>0</v>
      </c>
      <c r="K1474">
        <f>IF($E1474="","",IF($E1473="",$E1474,$E1474*0.0099502488+K1473*0.9900497512))</f>
        <v>0</v>
      </c>
      <c r="L1474">
        <f>IF(OR($E1474="",$E1473=""),"",MAX($E1474-$E1473,0))</f>
        <v>0</v>
      </c>
      <c r="M1474">
        <f>IF(OR($E1474="",$E1473=""),"",MAX($E1473-$E1474,0))</f>
        <v>0</v>
      </c>
      <c r="N1474">
        <f>IF(COUNT($E$2:$E1474)&lt;15,"",IF(AVERAGE($M$1461:$M$1474)=0,100,100-100/(1+AVERAGE($L$1461:$L$1474)/AVERAGE($M$1461:$M$1474))))</f>
        <v>0</v>
      </c>
      <c r="O1474">
        <f>IF($E1474="","",IF($E1473="",$E1474,$E1474*0.1538461538+O1473*0.8461538462))</f>
        <v>0</v>
      </c>
      <c r="P1474">
        <f>IF($E1474="","",IF($E1473="",$E1474,$E1474*0.0740740741+P1473*0.9259259259))</f>
        <v>0</v>
      </c>
      <c r="Q1474">
        <f>IF(OR(O1474="",P1474=""),"",O1474-P1474)</f>
        <v>0</v>
      </c>
      <c r="R1474">
        <f>IF(Q1474="","",IF(R1473="",Q1474,Q1474*0.2000000000+R1473*0.8000000000))</f>
        <v>0</v>
      </c>
      <c r="S1474">
        <f>IF(OR(Q1474="",R1474=""),"",Q1474-R1474)</f>
        <v>0</v>
      </c>
      <c r="T1474">
        <f>IF(COUNT($E$2:$E1474)&lt;14,"",MAX($C$1461:$C$1474))</f>
        <v>0</v>
      </c>
      <c r="U1474">
        <f>IF(COUNT($E$2:$E1474)&lt;14,"",MIN($D$1461:$D$1474))</f>
        <v>0</v>
      </c>
      <c r="V1474">
        <f>IF(OR(T1474="",U1474="",T1474=U1474),"",100*($E1474-U1474)/(T1474-U1474))</f>
        <v>0</v>
      </c>
      <c r="W1474">
        <f>IF(COUNT($V$1472:$V$1474)&lt;3,"",AVERAGE($V$1472:$V$1474))</f>
        <v>0</v>
      </c>
      <c r="X1474">
        <f>IF(COUNT($N$1461:$N$1474)&lt;14,"",MIN($N$1461:$N$1474))</f>
        <v>0</v>
      </c>
      <c r="Y1474">
        <f>IF(COUNT($N$1461:$N$1474)&lt;14,"",MAX($N$1461:$N$1474))</f>
        <v>0</v>
      </c>
      <c r="Z1474">
        <f>IF(OR(N1474="",X1474="",Y1474="",Y1474=X1474),"",100*(N1474-X1474)/(Y1474-X1474))</f>
        <v>0</v>
      </c>
      <c r="AA1474">
        <f>IF(COUNT($Z$1472:$Z$1474)&lt;3,"",AVERAGE($Z$1472:$Z$1474))</f>
        <v>0</v>
      </c>
      <c r="AB1474">
        <f>IF(COUNT($AA$1472:$AA$1474)&lt;3,"",AVERAGE($AA$1472:$AA$1474))</f>
        <v>0</v>
      </c>
      <c r="AC1474">
        <f>IF($E1474="","",MAX($C1474-$D1474,ABS($C1474-$E1473),ABS($D1474-$E1473)))</f>
        <v>0</v>
      </c>
      <c r="AD1474">
        <f>IF(COUNT($E$2:$E1474)&lt;15,"",AVERAGE($AC$1461:$AC$1474))</f>
        <v>0</v>
      </c>
      <c r="AE1474">
        <f>IF(OR($E1474="",$E1473=""),"",IF(AND(($C1474-$C1473)&gt;($D1473-$D1474),($C1474-$C1473)&gt;0),$C1474-$C1473,0))</f>
        <v>0</v>
      </c>
      <c r="AF1474">
        <f>IF(OR($E1474="",$E1473=""),"",IF(AND(($D1473-$D1474)&gt;($C1474-$C1473),($D1473-$D1474)&gt;0),$D1473-$D1474,0))</f>
        <v>0</v>
      </c>
      <c r="AG1474">
        <f>IF(COUNT($E$2:$E1474)&lt;15,"",IF(SUM($AC$1461:$AC$1474)=0,0,100*SUM($AE$1461:$AE$1474)/SUM($AC$1461:$AC$1474)))</f>
        <v>0</v>
      </c>
      <c r="AH1474">
        <f>IF(COUNT($E$2:$E1474)&lt;15,"",IF(SUM($AC$1461:$AC$1474)=0,0,100*SUM($AF$1461:$AF$1474)/SUM($AC$1461:$AC$1474)))</f>
        <v>0</v>
      </c>
      <c r="AI1474">
        <f>IF(OR(AG1474="",AH1474=""),"",IF((AG1474+AH1474)=0,0,100*ABS(AG1474-AH1474)/(AG1474+AH1474)))</f>
        <v>0</v>
      </c>
      <c r="AJ1474">
        <f>IF(COUNT($AI$1461:$AI$1474)&lt;14,"",AVERAGE($AI$1461:$AI$1474))</f>
        <v>0</v>
      </c>
      <c r="AK1474">
        <f>IF(COUNT($E$2:$E1474)&lt;20,"",AVERAGE($E$1455:$E$1474))</f>
        <v>0</v>
      </c>
      <c r="AL1474">
        <f>IF(COUNT($E$2:$E1474)&lt;20,"",STDEVP($E$1455:$E$1474))</f>
        <v>0</v>
      </c>
      <c r="AM1474">
        <f>IF(AK1474="","",AK1474+2*AL1474)</f>
        <v>0</v>
      </c>
      <c r="AN1474">
        <f>IF(AK1474="","",AK1474-2*AL1474)</f>
        <v>0</v>
      </c>
      <c r="AO1474">
        <f>IF(OR(AM1474="",AN1474="",AM1474=AN1474),"",($E1474-AN1474)/(AM1474-AN1474))</f>
        <v>0</v>
      </c>
      <c r="AP1474">
        <f>IF(OR(AM1474="",AK1474="",AK1474=0),"",(AM1474-AN1474)/AK1474)</f>
        <v>0</v>
      </c>
      <c r="AQ1474">
        <f>IF(COUNT($E$2:$E1474)&lt;20,"",MAX($C$1455:$C$1474))</f>
        <v>0</v>
      </c>
      <c r="AR1474">
        <f>IF(COUNT($E$2:$E1474)&lt;20,"",MIN($D$1455:$D$1474))</f>
        <v>0</v>
      </c>
      <c r="AS1474">
        <f>IF(OR(AQ1474="",AR1474=""),"",(AQ1474+AR1474)/2)</f>
        <v>0</v>
      </c>
      <c r="AT1474">
        <f>IF(COUNT($G$1455:$G$1474)&lt;20,"",STDEV($G$1455:$G$1474)*SQRT(252))</f>
        <v>0</v>
      </c>
      <c r="AU1474">
        <f>IF(COUNT($E$2:$E1474)&lt;9,"",(MAX($C$1466:$C$1474)+MIN($D$1466:$D$1474))/2)</f>
        <v>0</v>
      </c>
      <c r="AV1474">
        <f>IF(COUNT($E$2:$E1474)&lt;26,"",(MAX($C$1449:$C$1474)+MIN($D$1449:$D$1474))/2)</f>
        <v>0</v>
      </c>
      <c r="AW1474">
        <f>IF(OR(AU1474="",AV1474=""),"",(AU1474+AV1474)/2)</f>
        <v>0</v>
      </c>
      <c r="AX1474">
        <f>IF(COUNT($E$2:$E1474)&lt;52,"",(MAX($C$1423:$C$1474)+MIN($D$1423:$D$1474))/2)</f>
        <v>0</v>
      </c>
      <c r="AY1474">
        <f>IF(COUNT($E$2:$E1474)&lt;20,"",MAX($C$1375:$C$1474))</f>
        <v>0</v>
      </c>
      <c r="AZ1474">
        <f>IF(COUNT($E$2:$E1474)&lt;20,"",MIN($D$1375:$D$1474))</f>
        <v>0</v>
      </c>
      <c r="BA1474">
        <f>IF(COUNT($E$2:$E1474)&lt;20,"",SLOPE($E$1375:$E$1474,$F$1375:$F$1474))</f>
        <v>0</v>
      </c>
      <c r="BB1474">
        <f>IF(COUNT($E$2:$E1474)&lt;20,"",INTERCEPT($E$1375:$E$1474,$F$1375:$F$1474))</f>
        <v>0</v>
      </c>
      <c r="BC1474">
        <f>IF(OR(BA1474="",BB1474=""),"",BB1474+BA1474*F1474)</f>
        <v>0</v>
      </c>
      <c r="BD1474">
        <f>IF(COUNT($E$2:$E1474)&lt;20,"",STEYX($E$1375:$E$1474,$F$1375:$F$1474))</f>
        <v>0</v>
      </c>
      <c r="BE1474">
        <f>IF($E1474="","",IF(AND(COUNT($E$1475:$E$1478)&gt;=4,$C1474=MAX($C$1470:$C$1478)),$C1474,""))</f>
        <v>0</v>
      </c>
      <c r="BF1474">
        <f>IF($E1474="","",IF(AND(COUNT($E$1475:$E$1478)&gt;=4,$D1474=MIN($D$1470:$D$1478)),$D1474,""))</f>
        <v>0</v>
      </c>
      <c r="BG1474">
        <f>IF($A1474="","",$A1474-WEEKDAY($A1474,2)+1)</f>
        <v>0</v>
      </c>
      <c r="BH1474">
        <f>IF($A1474="","",IF($A1473="",1,IF(BG1474&lt;&gt;BG1473,1,0)))</f>
        <v>0</v>
      </c>
      <c r="BI1474">
        <f>IF($A1474="","",IF($A1475="",1,IF(BG1475&lt;&gt;BG1474,1,0)))</f>
        <v>0</v>
      </c>
      <c r="BJ1474">
        <f>IF($A1474="","",IF(BH1474=1,$B1474,BJ1473))</f>
        <v>0</v>
      </c>
      <c r="BK1474">
        <f>IF($A1474="","",IF(BH1474=1,$C1474,MAX($C1474,BK1473)))</f>
        <v>0</v>
      </c>
      <c r="BL1474">
        <f>IF($A1474="","",IF(BH1474=1,$D1474,MIN($D1474,BL1473)))</f>
        <v>0</v>
      </c>
      <c r="BM1474">
        <f>IF($A1474="","",IF(BI1474=1,F1474,""))</f>
        <v>0</v>
      </c>
      <c r="BN1474">
        <f>IF($A1474="","",DATE(YEAR($A1474),MONTH($A1474),1))</f>
        <v>0</v>
      </c>
      <c r="BO1474">
        <f>IF($A1474="","",IF($A1473="",1,IF(BN1474&lt;&gt;BN1473,1,0)))</f>
        <v>0</v>
      </c>
      <c r="BP1474">
        <f>IF($A1474="","",IF($A1475="",1,IF(BN1475&lt;&gt;BN1474,1,0)))</f>
        <v>0</v>
      </c>
      <c r="BQ1474">
        <f>IF($A1474="","",IF(BO1474=1,$B1474,BQ1473))</f>
        <v>0</v>
      </c>
      <c r="BR1474">
        <f>IF($A1474="","",IF(BO1474=1,$C1474,MAX($C1474,BR1473)))</f>
        <v>0</v>
      </c>
      <c r="BS1474">
        <f>IF($A1474="","",IF(BO1474=1,$D1474,MIN($D1474,BS1473)))</f>
        <v>0</v>
      </c>
      <c r="BT1474">
        <f>IF($A1474="","",IF(BP1474=1,F1474,""))</f>
        <v>0</v>
      </c>
    </row>
    <row r="1475" spans="1:72">
      <c r="A1475" s="27">
        <f>IF(Data!$A1475="","",Data!$A1475)</f>
        <v>0</v>
      </c>
      <c r="B1475">
        <f>IF(Data!$B1475="","",Data!$B1475)</f>
        <v>0</v>
      </c>
      <c r="C1475">
        <f>IF(Data!$C1475="","",Data!$C1475)</f>
        <v>0</v>
      </c>
      <c r="D1475">
        <f>IF(Data!$D1475="","",Data!$D1475)</f>
        <v>0</v>
      </c>
      <c r="E1475">
        <f>IF(Data!$E1475="","",Data!$E1475)</f>
        <v>0</v>
      </c>
      <c r="F1475">
        <f>IF($E1475="","",N(F1474)+1)</f>
        <v>0</v>
      </c>
      <c r="G1475">
        <f>IF(OR($E1475="",$E1474=""),"",LN($E1475/$E1474))</f>
        <v>0</v>
      </c>
      <c r="H1475">
        <f>IF($E1475="","",IF($E1474="",$E1475,$E1475*0.0952380952+H1474*0.9047619048))</f>
        <v>0</v>
      </c>
      <c r="I1475">
        <f>IF($E1475="","",IF($E1474="",$E1475,$E1475*0.0392156863+I1474*0.9607843137))</f>
        <v>0</v>
      </c>
      <c r="J1475">
        <f>IF($E1475="","",IF($E1474="",$E1475,$E1475*0.0198019802+J1474*0.9801980198))</f>
        <v>0</v>
      </c>
      <c r="K1475">
        <f>IF($E1475="","",IF($E1474="",$E1475,$E1475*0.0099502488+K1474*0.9900497512))</f>
        <v>0</v>
      </c>
      <c r="L1475">
        <f>IF(OR($E1475="",$E1474=""),"",MAX($E1475-$E1474,0))</f>
        <v>0</v>
      </c>
      <c r="M1475">
        <f>IF(OR($E1475="",$E1474=""),"",MAX($E1474-$E1475,0))</f>
        <v>0</v>
      </c>
      <c r="N1475">
        <f>IF(COUNT($E$2:$E1475)&lt;15,"",IF(AVERAGE($M$1462:$M$1475)=0,100,100-100/(1+AVERAGE($L$1462:$L$1475)/AVERAGE($M$1462:$M$1475))))</f>
        <v>0</v>
      </c>
      <c r="O1475">
        <f>IF($E1475="","",IF($E1474="",$E1475,$E1475*0.1538461538+O1474*0.8461538462))</f>
        <v>0</v>
      </c>
      <c r="P1475">
        <f>IF($E1475="","",IF($E1474="",$E1475,$E1475*0.0740740741+P1474*0.9259259259))</f>
        <v>0</v>
      </c>
      <c r="Q1475">
        <f>IF(OR(O1475="",P1475=""),"",O1475-P1475)</f>
        <v>0</v>
      </c>
      <c r="R1475">
        <f>IF(Q1475="","",IF(R1474="",Q1475,Q1475*0.2000000000+R1474*0.8000000000))</f>
        <v>0</v>
      </c>
      <c r="S1475">
        <f>IF(OR(Q1475="",R1475=""),"",Q1475-R1475)</f>
        <v>0</v>
      </c>
      <c r="T1475">
        <f>IF(COUNT($E$2:$E1475)&lt;14,"",MAX($C$1462:$C$1475))</f>
        <v>0</v>
      </c>
      <c r="U1475">
        <f>IF(COUNT($E$2:$E1475)&lt;14,"",MIN($D$1462:$D$1475))</f>
        <v>0</v>
      </c>
      <c r="V1475">
        <f>IF(OR(T1475="",U1475="",T1475=U1475),"",100*($E1475-U1475)/(T1475-U1475))</f>
        <v>0</v>
      </c>
      <c r="W1475">
        <f>IF(COUNT($V$1473:$V$1475)&lt;3,"",AVERAGE($V$1473:$V$1475))</f>
        <v>0</v>
      </c>
      <c r="X1475">
        <f>IF(COUNT($N$1462:$N$1475)&lt;14,"",MIN($N$1462:$N$1475))</f>
        <v>0</v>
      </c>
      <c r="Y1475">
        <f>IF(COUNT($N$1462:$N$1475)&lt;14,"",MAX($N$1462:$N$1475))</f>
        <v>0</v>
      </c>
      <c r="Z1475">
        <f>IF(OR(N1475="",X1475="",Y1475="",Y1475=X1475),"",100*(N1475-X1475)/(Y1475-X1475))</f>
        <v>0</v>
      </c>
      <c r="AA1475">
        <f>IF(COUNT($Z$1473:$Z$1475)&lt;3,"",AVERAGE($Z$1473:$Z$1475))</f>
        <v>0</v>
      </c>
      <c r="AB1475">
        <f>IF(COUNT($AA$1473:$AA$1475)&lt;3,"",AVERAGE($AA$1473:$AA$1475))</f>
        <v>0</v>
      </c>
      <c r="AC1475">
        <f>IF($E1475="","",MAX($C1475-$D1475,ABS($C1475-$E1474),ABS($D1475-$E1474)))</f>
        <v>0</v>
      </c>
      <c r="AD1475">
        <f>IF(COUNT($E$2:$E1475)&lt;15,"",AVERAGE($AC$1462:$AC$1475))</f>
        <v>0</v>
      </c>
      <c r="AE1475">
        <f>IF(OR($E1475="",$E1474=""),"",IF(AND(($C1475-$C1474)&gt;($D1474-$D1475),($C1475-$C1474)&gt;0),$C1475-$C1474,0))</f>
        <v>0</v>
      </c>
      <c r="AF1475">
        <f>IF(OR($E1475="",$E1474=""),"",IF(AND(($D1474-$D1475)&gt;($C1475-$C1474),($D1474-$D1475)&gt;0),$D1474-$D1475,0))</f>
        <v>0</v>
      </c>
      <c r="AG1475">
        <f>IF(COUNT($E$2:$E1475)&lt;15,"",IF(SUM($AC$1462:$AC$1475)=0,0,100*SUM($AE$1462:$AE$1475)/SUM($AC$1462:$AC$1475)))</f>
        <v>0</v>
      </c>
      <c r="AH1475">
        <f>IF(COUNT($E$2:$E1475)&lt;15,"",IF(SUM($AC$1462:$AC$1475)=0,0,100*SUM($AF$1462:$AF$1475)/SUM($AC$1462:$AC$1475)))</f>
        <v>0</v>
      </c>
      <c r="AI1475">
        <f>IF(OR(AG1475="",AH1475=""),"",IF((AG1475+AH1475)=0,0,100*ABS(AG1475-AH1475)/(AG1475+AH1475)))</f>
        <v>0</v>
      </c>
      <c r="AJ1475">
        <f>IF(COUNT($AI$1462:$AI$1475)&lt;14,"",AVERAGE($AI$1462:$AI$1475))</f>
        <v>0</v>
      </c>
      <c r="AK1475">
        <f>IF(COUNT($E$2:$E1475)&lt;20,"",AVERAGE($E$1456:$E$1475))</f>
        <v>0</v>
      </c>
      <c r="AL1475">
        <f>IF(COUNT($E$2:$E1475)&lt;20,"",STDEVP($E$1456:$E$1475))</f>
        <v>0</v>
      </c>
      <c r="AM1475">
        <f>IF(AK1475="","",AK1475+2*AL1475)</f>
        <v>0</v>
      </c>
      <c r="AN1475">
        <f>IF(AK1475="","",AK1475-2*AL1475)</f>
        <v>0</v>
      </c>
      <c r="AO1475">
        <f>IF(OR(AM1475="",AN1475="",AM1475=AN1475),"",($E1475-AN1475)/(AM1475-AN1475))</f>
        <v>0</v>
      </c>
      <c r="AP1475">
        <f>IF(OR(AM1475="",AK1475="",AK1475=0),"",(AM1475-AN1475)/AK1475)</f>
        <v>0</v>
      </c>
      <c r="AQ1475">
        <f>IF(COUNT($E$2:$E1475)&lt;20,"",MAX($C$1456:$C$1475))</f>
        <v>0</v>
      </c>
      <c r="AR1475">
        <f>IF(COUNT($E$2:$E1475)&lt;20,"",MIN($D$1456:$D$1475))</f>
        <v>0</v>
      </c>
      <c r="AS1475">
        <f>IF(OR(AQ1475="",AR1475=""),"",(AQ1475+AR1475)/2)</f>
        <v>0</v>
      </c>
      <c r="AT1475">
        <f>IF(COUNT($G$1456:$G$1475)&lt;20,"",STDEV($G$1456:$G$1475)*SQRT(252))</f>
        <v>0</v>
      </c>
      <c r="AU1475">
        <f>IF(COUNT($E$2:$E1475)&lt;9,"",(MAX($C$1467:$C$1475)+MIN($D$1467:$D$1475))/2)</f>
        <v>0</v>
      </c>
      <c r="AV1475">
        <f>IF(COUNT($E$2:$E1475)&lt;26,"",(MAX($C$1450:$C$1475)+MIN($D$1450:$D$1475))/2)</f>
        <v>0</v>
      </c>
      <c r="AW1475">
        <f>IF(OR(AU1475="",AV1475=""),"",(AU1475+AV1475)/2)</f>
        <v>0</v>
      </c>
      <c r="AX1475">
        <f>IF(COUNT($E$2:$E1475)&lt;52,"",(MAX($C$1424:$C$1475)+MIN($D$1424:$D$1475))/2)</f>
        <v>0</v>
      </c>
      <c r="AY1475">
        <f>IF(COUNT($E$2:$E1475)&lt;20,"",MAX($C$1376:$C$1475))</f>
        <v>0</v>
      </c>
      <c r="AZ1475">
        <f>IF(COUNT($E$2:$E1475)&lt;20,"",MIN($D$1376:$D$1475))</f>
        <v>0</v>
      </c>
      <c r="BA1475">
        <f>IF(COUNT($E$2:$E1475)&lt;20,"",SLOPE($E$1376:$E$1475,$F$1376:$F$1475))</f>
        <v>0</v>
      </c>
      <c r="BB1475">
        <f>IF(COUNT($E$2:$E1475)&lt;20,"",INTERCEPT($E$1376:$E$1475,$F$1376:$F$1475))</f>
        <v>0</v>
      </c>
      <c r="BC1475">
        <f>IF(OR(BA1475="",BB1475=""),"",BB1475+BA1475*F1475)</f>
        <v>0</v>
      </c>
      <c r="BD1475">
        <f>IF(COUNT($E$2:$E1475)&lt;20,"",STEYX($E$1376:$E$1475,$F$1376:$F$1475))</f>
        <v>0</v>
      </c>
      <c r="BE1475">
        <f>IF($E1475="","",IF(AND(COUNT($E$1476:$E$1479)&gt;=4,$C1475=MAX($C$1471:$C$1479)),$C1475,""))</f>
        <v>0</v>
      </c>
      <c r="BF1475">
        <f>IF($E1475="","",IF(AND(COUNT($E$1476:$E$1479)&gt;=4,$D1475=MIN($D$1471:$D$1479)),$D1475,""))</f>
        <v>0</v>
      </c>
      <c r="BG1475">
        <f>IF($A1475="","",$A1475-WEEKDAY($A1475,2)+1)</f>
        <v>0</v>
      </c>
      <c r="BH1475">
        <f>IF($A1475="","",IF($A1474="",1,IF(BG1475&lt;&gt;BG1474,1,0)))</f>
        <v>0</v>
      </c>
      <c r="BI1475">
        <f>IF($A1475="","",IF($A1476="",1,IF(BG1476&lt;&gt;BG1475,1,0)))</f>
        <v>0</v>
      </c>
      <c r="BJ1475">
        <f>IF($A1475="","",IF(BH1475=1,$B1475,BJ1474))</f>
        <v>0</v>
      </c>
      <c r="BK1475">
        <f>IF($A1475="","",IF(BH1475=1,$C1475,MAX($C1475,BK1474)))</f>
        <v>0</v>
      </c>
      <c r="BL1475">
        <f>IF($A1475="","",IF(BH1475=1,$D1475,MIN($D1475,BL1474)))</f>
        <v>0</v>
      </c>
      <c r="BM1475">
        <f>IF($A1475="","",IF(BI1475=1,F1475,""))</f>
        <v>0</v>
      </c>
      <c r="BN1475">
        <f>IF($A1475="","",DATE(YEAR($A1475),MONTH($A1475),1))</f>
        <v>0</v>
      </c>
      <c r="BO1475">
        <f>IF($A1475="","",IF($A1474="",1,IF(BN1475&lt;&gt;BN1474,1,0)))</f>
        <v>0</v>
      </c>
      <c r="BP1475">
        <f>IF($A1475="","",IF($A1476="",1,IF(BN1476&lt;&gt;BN1475,1,0)))</f>
        <v>0</v>
      </c>
      <c r="BQ1475">
        <f>IF($A1475="","",IF(BO1475=1,$B1475,BQ1474))</f>
        <v>0</v>
      </c>
      <c r="BR1475">
        <f>IF($A1475="","",IF(BO1475=1,$C1475,MAX($C1475,BR1474)))</f>
        <v>0</v>
      </c>
      <c r="BS1475">
        <f>IF($A1475="","",IF(BO1475=1,$D1475,MIN($D1475,BS1474)))</f>
        <v>0</v>
      </c>
      <c r="BT1475">
        <f>IF($A1475="","",IF(BP1475=1,F1475,""))</f>
        <v>0</v>
      </c>
    </row>
    <row r="1476" spans="1:72">
      <c r="A1476" s="27">
        <f>IF(Data!$A1476="","",Data!$A1476)</f>
        <v>0</v>
      </c>
      <c r="B1476">
        <f>IF(Data!$B1476="","",Data!$B1476)</f>
        <v>0</v>
      </c>
      <c r="C1476">
        <f>IF(Data!$C1476="","",Data!$C1476)</f>
        <v>0</v>
      </c>
      <c r="D1476">
        <f>IF(Data!$D1476="","",Data!$D1476)</f>
        <v>0</v>
      </c>
      <c r="E1476">
        <f>IF(Data!$E1476="","",Data!$E1476)</f>
        <v>0</v>
      </c>
      <c r="F1476">
        <f>IF($E1476="","",N(F1475)+1)</f>
        <v>0</v>
      </c>
      <c r="G1476">
        <f>IF(OR($E1476="",$E1475=""),"",LN($E1476/$E1475))</f>
        <v>0</v>
      </c>
      <c r="H1476">
        <f>IF($E1476="","",IF($E1475="",$E1476,$E1476*0.0952380952+H1475*0.9047619048))</f>
        <v>0</v>
      </c>
      <c r="I1476">
        <f>IF($E1476="","",IF($E1475="",$E1476,$E1476*0.0392156863+I1475*0.9607843137))</f>
        <v>0</v>
      </c>
      <c r="J1476">
        <f>IF($E1476="","",IF($E1475="",$E1476,$E1476*0.0198019802+J1475*0.9801980198))</f>
        <v>0</v>
      </c>
      <c r="K1476">
        <f>IF($E1476="","",IF($E1475="",$E1476,$E1476*0.0099502488+K1475*0.9900497512))</f>
        <v>0</v>
      </c>
      <c r="L1476">
        <f>IF(OR($E1476="",$E1475=""),"",MAX($E1476-$E1475,0))</f>
        <v>0</v>
      </c>
      <c r="M1476">
        <f>IF(OR($E1476="",$E1475=""),"",MAX($E1475-$E1476,0))</f>
        <v>0</v>
      </c>
      <c r="N1476">
        <f>IF(COUNT($E$2:$E1476)&lt;15,"",IF(AVERAGE($M$1463:$M$1476)=0,100,100-100/(1+AVERAGE($L$1463:$L$1476)/AVERAGE($M$1463:$M$1476))))</f>
        <v>0</v>
      </c>
      <c r="O1476">
        <f>IF($E1476="","",IF($E1475="",$E1476,$E1476*0.1538461538+O1475*0.8461538462))</f>
        <v>0</v>
      </c>
      <c r="P1476">
        <f>IF($E1476="","",IF($E1475="",$E1476,$E1476*0.0740740741+P1475*0.9259259259))</f>
        <v>0</v>
      </c>
      <c r="Q1476">
        <f>IF(OR(O1476="",P1476=""),"",O1476-P1476)</f>
        <v>0</v>
      </c>
      <c r="R1476">
        <f>IF(Q1476="","",IF(R1475="",Q1476,Q1476*0.2000000000+R1475*0.8000000000))</f>
        <v>0</v>
      </c>
      <c r="S1476">
        <f>IF(OR(Q1476="",R1476=""),"",Q1476-R1476)</f>
        <v>0</v>
      </c>
      <c r="T1476">
        <f>IF(COUNT($E$2:$E1476)&lt;14,"",MAX($C$1463:$C$1476))</f>
        <v>0</v>
      </c>
      <c r="U1476">
        <f>IF(COUNT($E$2:$E1476)&lt;14,"",MIN($D$1463:$D$1476))</f>
        <v>0</v>
      </c>
      <c r="V1476">
        <f>IF(OR(T1476="",U1476="",T1476=U1476),"",100*($E1476-U1476)/(T1476-U1476))</f>
        <v>0</v>
      </c>
      <c r="W1476">
        <f>IF(COUNT($V$1474:$V$1476)&lt;3,"",AVERAGE($V$1474:$V$1476))</f>
        <v>0</v>
      </c>
      <c r="X1476">
        <f>IF(COUNT($N$1463:$N$1476)&lt;14,"",MIN($N$1463:$N$1476))</f>
        <v>0</v>
      </c>
      <c r="Y1476">
        <f>IF(COUNT($N$1463:$N$1476)&lt;14,"",MAX($N$1463:$N$1476))</f>
        <v>0</v>
      </c>
      <c r="Z1476">
        <f>IF(OR(N1476="",X1476="",Y1476="",Y1476=X1476),"",100*(N1476-X1476)/(Y1476-X1476))</f>
        <v>0</v>
      </c>
      <c r="AA1476">
        <f>IF(COUNT($Z$1474:$Z$1476)&lt;3,"",AVERAGE($Z$1474:$Z$1476))</f>
        <v>0</v>
      </c>
      <c r="AB1476">
        <f>IF(COUNT($AA$1474:$AA$1476)&lt;3,"",AVERAGE($AA$1474:$AA$1476))</f>
        <v>0</v>
      </c>
      <c r="AC1476">
        <f>IF($E1476="","",MAX($C1476-$D1476,ABS($C1476-$E1475),ABS($D1476-$E1475)))</f>
        <v>0</v>
      </c>
      <c r="AD1476">
        <f>IF(COUNT($E$2:$E1476)&lt;15,"",AVERAGE($AC$1463:$AC$1476))</f>
        <v>0</v>
      </c>
      <c r="AE1476">
        <f>IF(OR($E1476="",$E1475=""),"",IF(AND(($C1476-$C1475)&gt;($D1475-$D1476),($C1476-$C1475)&gt;0),$C1476-$C1475,0))</f>
        <v>0</v>
      </c>
      <c r="AF1476">
        <f>IF(OR($E1476="",$E1475=""),"",IF(AND(($D1475-$D1476)&gt;($C1476-$C1475),($D1475-$D1476)&gt;0),$D1475-$D1476,0))</f>
        <v>0</v>
      </c>
      <c r="AG1476">
        <f>IF(COUNT($E$2:$E1476)&lt;15,"",IF(SUM($AC$1463:$AC$1476)=0,0,100*SUM($AE$1463:$AE$1476)/SUM($AC$1463:$AC$1476)))</f>
        <v>0</v>
      </c>
      <c r="AH1476">
        <f>IF(COUNT($E$2:$E1476)&lt;15,"",IF(SUM($AC$1463:$AC$1476)=0,0,100*SUM($AF$1463:$AF$1476)/SUM($AC$1463:$AC$1476)))</f>
        <v>0</v>
      </c>
      <c r="AI1476">
        <f>IF(OR(AG1476="",AH1476=""),"",IF((AG1476+AH1476)=0,0,100*ABS(AG1476-AH1476)/(AG1476+AH1476)))</f>
        <v>0</v>
      </c>
      <c r="AJ1476">
        <f>IF(COUNT($AI$1463:$AI$1476)&lt;14,"",AVERAGE($AI$1463:$AI$1476))</f>
        <v>0</v>
      </c>
      <c r="AK1476">
        <f>IF(COUNT($E$2:$E1476)&lt;20,"",AVERAGE($E$1457:$E$1476))</f>
        <v>0</v>
      </c>
      <c r="AL1476">
        <f>IF(COUNT($E$2:$E1476)&lt;20,"",STDEVP($E$1457:$E$1476))</f>
        <v>0</v>
      </c>
      <c r="AM1476">
        <f>IF(AK1476="","",AK1476+2*AL1476)</f>
        <v>0</v>
      </c>
      <c r="AN1476">
        <f>IF(AK1476="","",AK1476-2*AL1476)</f>
        <v>0</v>
      </c>
      <c r="AO1476">
        <f>IF(OR(AM1476="",AN1476="",AM1476=AN1476),"",($E1476-AN1476)/(AM1476-AN1476))</f>
        <v>0</v>
      </c>
      <c r="AP1476">
        <f>IF(OR(AM1476="",AK1476="",AK1476=0),"",(AM1476-AN1476)/AK1476)</f>
        <v>0</v>
      </c>
      <c r="AQ1476">
        <f>IF(COUNT($E$2:$E1476)&lt;20,"",MAX($C$1457:$C$1476))</f>
        <v>0</v>
      </c>
      <c r="AR1476">
        <f>IF(COUNT($E$2:$E1476)&lt;20,"",MIN($D$1457:$D$1476))</f>
        <v>0</v>
      </c>
      <c r="AS1476">
        <f>IF(OR(AQ1476="",AR1476=""),"",(AQ1476+AR1476)/2)</f>
        <v>0</v>
      </c>
      <c r="AT1476">
        <f>IF(COUNT($G$1457:$G$1476)&lt;20,"",STDEV($G$1457:$G$1476)*SQRT(252))</f>
        <v>0</v>
      </c>
      <c r="AU1476">
        <f>IF(COUNT($E$2:$E1476)&lt;9,"",(MAX($C$1468:$C$1476)+MIN($D$1468:$D$1476))/2)</f>
        <v>0</v>
      </c>
      <c r="AV1476">
        <f>IF(COUNT($E$2:$E1476)&lt;26,"",(MAX($C$1451:$C$1476)+MIN($D$1451:$D$1476))/2)</f>
        <v>0</v>
      </c>
      <c r="AW1476">
        <f>IF(OR(AU1476="",AV1476=""),"",(AU1476+AV1476)/2)</f>
        <v>0</v>
      </c>
      <c r="AX1476">
        <f>IF(COUNT($E$2:$E1476)&lt;52,"",(MAX($C$1425:$C$1476)+MIN($D$1425:$D$1476))/2)</f>
        <v>0</v>
      </c>
      <c r="AY1476">
        <f>IF(COUNT($E$2:$E1476)&lt;20,"",MAX($C$1377:$C$1476))</f>
        <v>0</v>
      </c>
      <c r="AZ1476">
        <f>IF(COUNT($E$2:$E1476)&lt;20,"",MIN($D$1377:$D$1476))</f>
        <v>0</v>
      </c>
      <c r="BA1476">
        <f>IF(COUNT($E$2:$E1476)&lt;20,"",SLOPE($E$1377:$E$1476,$F$1377:$F$1476))</f>
        <v>0</v>
      </c>
      <c r="BB1476">
        <f>IF(COUNT($E$2:$E1476)&lt;20,"",INTERCEPT($E$1377:$E$1476,$F$1377:$F$1476))</f>
        <v>0</v>
      </c>
      <c r="BC1476">
        <f>IF(OR(BA1476="",BB1476=""),"",BB1476+BA1476*F1476)</f>
        <v>0</v>
      </c>
      <c r="BD1476">
        <f>IF(COUNT($E$2:$E1476)&lt;20,"",STEYX($E$1377:$E$1476,$F$1377:$F$1476))</f>
        <v>0</v>
      </c>
      <c r="BE1476">
        <f>IF($E1476="","",IF(AND(COUNT($E$1477:$E$1480)&gt;=4,$C1476=MAX($C$1472:$C$1480)),$C1476,""))</f>
        <v>0</v>
      </c>
      <c r="BF1476">
        <f>IF($E1476="","",IF(AND(COUNT($E$1477:$E$1480)&gt;=4,$D1476=MIN($D$1472:$D$1480)),$D1476,""))</f>
        <v>0</v>
      </c>
      <c r="BG1476">
        <f>IF($A1476="","",$A1476-WEEKDAY($A1476,2)+1)</f>
        <v>0</v>
      </c>
      <c r="BH1476">
        <f>IF($A1476="","",IF($A1475="",1,IF(BG1476&lt;&gt;BG1475,1,0)))</f>
        <v>0</v>
      </c>
      <c r="BI1476">
        <f>IF($A1476="","",IF($A1477="",1,IF(BG1477&lt;&gt;BG1476,1,0)))</f>
        <v>0</v>
      </c>
      <c r="BJ1476">
        <f>IF($A1476="","",IF(BH1476=1,$B1476,BJ1475))</f>
        <v>0</v>
      </c>
      <c r="BK1476">
        <f>IF($A1476="","",IF(BH1476=1,$C1476,MAX($C1476,BK1475)))</f>
        <v>0</v>
      </c>
      <c r="BL1476">
        <f>IF($A1476="","",IF(BH1476=1,$D1476,MIN($D1476,BL1475)))</f>
        <v>0</v>
      </c>
      <c r="BM1476">
        <f>IF($A1476="","",IF(BI1476=1,F1476,""))</f>
        <v>0</v>
      </c>
      <c r="BN1476">
        <f>IF($A1476="","",DATE(YEAR($A1476),MONTH($A1476),1))</f>
        <v>0</v>
      </c>
      <c r="BO1476">
        <f>IF($A1476="","",IF($A1475="",1,IF(BN1476&lt;&gt;BN1475,1,0)))</f>
        <v>0</v>
      </c>
      <c r="BP1476">
        <f>IF($A1476="","",IF($A1477="",1,IF(BN1477&lt;&gt;BN1476,1,0)))</f>
        <v>0</v>
      </c>
      <c r="BQ1476">
        <f>IF($A1476="","",IF(BO1476=1,$B1476,BQ1475))</f>
        <v>0</v>
      </c>
      <c r="BR1476">
        <f>IF($A1476="","",IF(BO1476=1,$C1476,MAX($C1476,BR1475)))</f>
        <v>0</v>
      </c>
      <c r="BS1476">
        <f>IF($A1476="","",IF(BO1476=1,$D1476,MIN($D1476,BS1475)))</f>
        <v>0</v>
      </c>
      <c r="BT1476">
        <f>IF($A1476="","",IF(BP1476=1,F1476,""))</f>
        <v>0</v>
      </c>
    </row>
    <row r="1477" spans="1:72">
      <c r="A1477" s="27">
        <f>IF(Data!$A1477="","",Data!$A1477)</f>
        <v>0</v>
      </c>
      <c r="B1477">
        <f>IF(Data!$B1477="","",Data!$B1477)</f>
        <v>0</v>
      </c>
      <c r="C1477">
        <f>IF(Data!$C1477="","",Data!$C1477)</f>
        <v>0</v>
      </c>
      <c r="D1477">
        <f>IF(Data!$D1477="","",Data!$D1477)</f>
        <v>0</v>
      </c>
      <c r="E1477">
        <f>IF(Data!$E1477="","",Data!$E1477)</f>
        <v>0</v>
      </c>
      <c r="F1477">
        <f>IF($E1477="","",N(F1476)+1)</f>
        <v>0</v>
      </c>
      <c r="G1477">
        <f>IF(OR($E1477="",$E1476=""),"",LN($E1477/$E1476))</f>
        <v>0</v>
      </c>
      <c r="H1477">
        <f>IF($E1477="","",IF($E1476="",$E1477,$E1477*0.0952380952+H1476*0.9047619048))</f>
        <v>0</v>
      </c>
      <c r="I1477">
        <f>IF($E1477="","",IF($E1476="",$E1477,$E1477*0.0392156863+I1476*0.9607843137))</f>
        <v>0</v>
      </c>
      <c r="J1477">
        <f>IF($E1477="","",IF($E1476="",$E1477,$E1477*0.0198019802+J1476*0.9801980198))</f>
        <v>0</v>
      </c>
      <c r="K1477">
        <f>IF($E1477="","",IF($E1476="",$E1477,$E1477*0.0099502488+K1476*0.9900497512))</f>
        <v>0</v>
      </c>
      <c r="L1477">
        <f>IF(OR($E1477="",$E1476=""),"",MAX($E1477-$E1476,0))</f>
        <v>0</v>
      </c>
      <c r="M1477">
        <f>IF(OR($E1477="",$E1476=""),"",MAX($E1476-$E1477,0))</f>
        <v>0</v>
      </c>
      <c r="N1477">
        <f>IF(COUNT($E$2:$E1477)&lt;15,"",IF(AVERAGE($M$1464:$M$1477)=0,100,100-100/(1+AVERAGE($L$1464:$L$1477)/AVERAGE($M$1464:$M$1477))))</f>
        <v>0</v>
      </c>
      <c r="O1477">
        <f>IF($E1477="","",IF($E1476="",$E1477,$E1477*0.1538461538+O1476*0.8461538462))</f>
        <v>0</v>
      </c>
      <c r="P1477">
        <f>IF($E1477="","",IF($E1476="",$E1477,$E1477*0.0740740741+P1476*0.9259259259))</f>
        <v>0</v>
      </c>
      <c r="Q1477">
        <f>IF(OR(O1477="",P1477=""),"",O1477-P1477)</f>
        <v>0</v>
      </c>
      <c r="R1477">
        <f>IF(Q1477="","",IF(R1476="",Q1477,Q1477*0.2000000000+R1476*0.8000000000))</f>
        <v>0</v>
      </c>
      <c r="S1477">
        <f>IF(OR(Q1477="",R1477=""),"",Q1477-R1477)</f>
        <v>0</v>
      </c>
      <c r="T1477">
        <f>IF(COUNT($E$2:$E1477)&lt;14,"",MAX($C$1464:$C$1477))</f>
        <v>0</v>
      </c>
      <c r="U1477">
        <f>IF(COUNT($E$2:$E1477)&lt;14,"",MIN($D$1464:$D$1477))</f>
        <v>0</v>
      </c>
      <c r="V1477">
        <f>IF(OR(T1477="",U1477="",T1477=U1477),"",100*($E1477-U1477)/(T1477-U1477))</f>
        <v>0</v>
      </c>
      <c r="W1477">
        <f>IF(COUNT($V$1475:$V$1477)&lt;3,"",AVERAGE($V$1475:$V$1477))</f>
        <v>0</v>
      </c>
      <c r="X1477">
        <f>IF(COUNT($N$1464:$N$1477)&lt;14,"",MIN($N$1464:$N$1477))</f>
        <v>0</v>
      </c>
      <c r="Y1477">
        <f>IF(COUNT($N$1464:$N$1477)&lt;14,"",MAX($N$1464:$N$1477))</f>
        <v>0</v>
      </c>
      <c r="Z1477">
        <f>IF(OR(N1477="",X1477="",Y1477="",Y1477=X1477),"",100*(N1477-X1477)/(Y1477-X1477))</f>
        <v>0</v>
      </c>
      <c r="AA1477">
        <f>IF(COUNT($Z$1475:$Z$1477)&lt;3,"",AVERAGE($Z$1475:$Z$1477))</f>
        <v>0</v>
      </c>
      <c r="AB1477">
        <f>IF(COUNT($AA$1475:$AA$1477)&lt;3,"",AVERAGE($AA$1475:$AA$1477))</f>
        <v>0</v>
      </c>
      <c r="AC1477">
        <f>IF($E1477="","",MAX($C1477-$D1477,ABS($C1477-$E1476),ABS($D1477-$E1476)))</f>
        <v>0</v>
      </c>
      <c r="AD1477">
        <f>IF(COUNT($E$2:$E1477)&lt;15,"",AVERAGE($AC$1464:$AC$1477))</f>
        <v>0</v>
      </c>
      <c r="AE1477">
        <f>IF(OR($E1477="",$E1476=""),"",IF(AND(($C1477-$C1476)&gt;($D1476-$D1477),($C1477-$C1476)&gt;0),$C1477-$C1476,0))</f>
        <v>0</v>
      </c>
      <c r="AF1477">
        <f>IF(OR($E1477="",$E1476=""),"",IF(AND(($D1476-$D1477)&gt;($C1477-$C1476),($D1476-$D1477)&gt;0),$D1476-$D1477,0))</f>
        <v>0</v>
      </c>
      <c r="AG1477">
        <f>IF(COUNT($E$2:$E1477)&lt;15,"",IF(SUM($AC$1464:$AC$1477)=0,0,100*SUM($AE$1464:$AE$1477)/SUM($AC$1464:$AC$1477)))</f>
        <v>0</v>
      </c>
      <c r="AH1477">
        <f>IF(COUNT($E$2:$E1477)&lt;15,"",IF(SUM($AC$1464:$AC$1477)=0,0,100*SUM($AF$1464:$AF$1477)/SUM($AC$1464:$AC$1477)))</f>
        <v>0</v>
      </c>
      <c r="AI1477">
        <f>IF(OR(AG1477="",AH1477=""),"",IF((AG1477+AH1477)=0,0,100*ABS(AG1477-AH1477)/(AG1477+AH1477)))</f>
        <v>0</v>
      </c>
      <c r="AJ1477">
        <f>IF(COUNT($AI$1464:$AI$1477)&lt;14,"",AVERAGE($AI$1464:$AI$1477))</f>
        <v>0</v>
      </c>
      <c r="AK1477">
        <f>IF(COUNT($E$2:$E1477)&lt;20,"",AVERAGE($E$1458:$E$1477))</f>
        <v>0</v>
      </c>
      <c r="AL1477">
        <f>IF(COUNT($E$2:$E1477)&lt;20,"",STDEVP($E$1458:$E$1477))</f>
        <v>0</v>
      </c>
      <c r="AM1477">
        <f>IF(AK1477="","",AK1477+2*AL1477)</f>
        <v>0</v>
      </c>
      <c r="AN1477">
        <f>IF(AK1477="","",AK1477-2*AL1477)</f>
        <v>0</v>
      </c>
      <c r="AO1477">
        <f>IF(OR(AM1477="",AN1477="",AM1477=AN1477),"",($E1477-AN1477)/(AM1477-AN1477))</f>
        <v>0</v>
      </c>
      <c r="AP1477">
        <f>IF(OR(AM1477="",AK1477="",AK1477=0),"",(AM1477-AN1477)/AK1477)</f>
        <v>0</v>
      </c>
      <c r="AQ1477">
        <f>IF(COUNT($E$2:$E1477)&lt;20,"",MAX($C$1458:$C$1477))</f>
        <v>0</v>
      </c>
      <c r="AR1477">
        <f>IF(COUNT($E$2:$E1477)&lt;20,"",MIN($D$1458:$D$1477))</f>
        <v>0</v>
      </c>
      <c r="AS1477">
        <f>IF(OR(AQ1477="",AR1477=""),"",(AQ1477+AR1477)/2)</f>
        <v>0</v>
      </c>
      <c r="AT1477">
        <f>IF(COUNT($G$1458:$G$1477)&lt;20,"",STDEV($G$1458:$G$1477)*SQRT(252))</f>
        <v>0</v>
      </c>
      <c r="AU1477">
        <f>IF(COUNT($E$2:$E1477)&lt;9,"",(MAX($C$1469:$C$1477)+MIN($D$1469:$D$1477))/2)</f>
        <v>0</v>
      </c>
      <c r="AV1477">
        <f>IF(COUNT($E$2:$E1477)&lt;26,"",(MAX($C$1452:$C$1477)+MIN($D$1452:$D$1477))/2)</f>
        <v>0</v>
      </c>
      <c r="AW1477">
        <f>IF(OR(AU1477="",AV1477=""),"",(AU1477+AV1477)/2)</f>
        <v>0</v>
      </c>
      <c r="AX1477">
        <f>IF(COUNT($E$2:$E1477)&lt;52,"",(MAX($C$1426:$C$1477)+MIN($D$1426:$D$1477))/2)</f>
        <v>0</v>
      </c>
      <c r="AY1477">
        <f>IF(COUNT($E$2:$E1477)&lt;20,"",MAX($C$1378:$C$1477))</f>
        <v>0</v>
      </c>
      <c r="AZ1477">
        <f>IF(COUNT($E$2:$E1477)&lt;20,"",MIN($D$1378:$D$1477))</f>
        <v>0</v>
      </c>
      <c r="BA1477">
        <f>IF(COUNT($E$2:$E1477)&lt;20,"",SLOPE($E$1378:$E$1477,$F$1378:$F$1477))</f>
        <v>0</v>
      </c>
      <c r="BB1477">
        <f>IF(COUNT($E$2:$E1477)&lt;20,"",INTERCEPT($E$1378:$E$1477,$F$1378:$F$1477))</f>
        <v>0</v>
      </c>
      <c r="BC1477">
        <f>IF(OR(BA1477="",BB1477=""),"",BB1477+BA1477*F1477)</f>
        <v>0</v>
      </c>
      <c r="BD1477">
        <f>IF(COUNT($E$2:$E1477)&lt;20,"",STEYX($E$1378:$E$1477,$F$1378:$F$1477))</f>
        <v>0</v>
      </c>
      <c r="BE1477">
        <f>IF($E1477="","",IF(AND(COUNT($E$1478:$E$1481)&gt;=4,$C1477=MAX($C$1473:$C$1481)),$C1477,""))</f>
        <v>0</v>
      </c>
      <c r="BF1477">
        <f>IF($E1477="","",IF(AND(COUNT($E$1478:$E$1481)&gt;=4,$D1477=MIN($D$1473:$D$1481)),$D1477,""))</f>
        <v>0</v>
      </c>
      <c r="BG1477">
        <f>IF($A1477="","",$A1477-WEEKDAY($A1477,2)+1)</f>
        <v>0</v>
      </c>
      <c r="BH1477">
        <f>IF($A1477="","",IF($A1476="",1,IF(BG1477&lt;&gt;BG1476,1,0)))</f>
        <v>0</v>
      </c>
      <c r="BI1477">
        <f>IF($A1477="","",IF($A1478="",1,IF(BG1478&lt;&gt;BG1477,1,0)))</f>
        <v>0</v>
      </c>
      <c r="BJ1477">
        <f>IF($A1477="","",IF(BH1477=1,$B1477,BJ1476))</f>
        <v>0</v>
      </c>
      <c r="BK1477">
        <f>IF($A1477="","",IF(BH1477=1,$C1477,MAX($C1477,BK1476)))</f>
        <v>0</v>
      </c>
      <c r="BL1477">
        <f>IF($A1477="","",IF(BH1477=1,$D1477,MIN($D1477,BL1476)))</f>
        <v>0</v>
      </c>
      <c r="BM1477">
        <f>IF($A1477="","",IF(BI1477=1,F1477,""))</f>
        <v>0</v>
      </c>
      <c r="BN1477">
        <f>IF($A1477="","",DATE(YEAR($A1477),MONTH($A1477),1))</f>
        <v>0</v>
      </c>
      <c r="BO1477">
        <f>IF($A1477="","",IF($A1476="",1,IF(BN1477&lt;&gt;BN1476,1,0)))</f>
        <v>0</v>
      </c>
      <c r="BP1477">
        <f>IF($A1477="","",IF($A1478="",1,IF(BN1478&lt;&gt;BN1477,1,0)))</f>
        <v>0</v>
      </c>
      <c r="BQ1477">
        <f>IF($A1477="","",IF(BO1477=1,$B1477,BQ1476))</f>
        <v>0</v>
      </c>
      <c r="BR1477">
        <f>IF($A1477="","",IF(BO1477=1,$C1477,MAX($C1477,BR1476)))</f>
        <v>0</v>
      </c>
      <c r="BS1477">
        <f>IF($A1477="","",IF(BO1477=1,$D1477,MIN($D1477,BS1476)))</f>
        <v>0</v>
      </c>
      <c r="BT1477">
        <f>IF($A1477="","",IF(BP1477=1,F1477,""))</f>
        <v>0</v>
      </c>
    </row>
    <row r="1478" spans="1:72">
      <c r="A1478" s="27">
        <f>IF(Data!$A1478="","",Data!$A1478)</f>
        <v>0</v>
      </c>
      <c r="B1478">
        <f>IF(Data!$B1478="","",Data!$B1478)</f>
        <v>0</v>
      </c>
      <c r="C1478">
        <f>IF(Data!$C1478="","",Data!$C1478)</f>
        <v>0</v>
      </c>
      <c r="D1478">
        <f>IF(Data!$D1478="","",Data!$D1478)</f>
        <v>0</v>
      </c>
      <c r="E1478">
        <f>IF(Data!$E1478="","",Data!$E1478)</f>
        <v>0</v>
      </c>
      <c r="F1478">
        <f>IF($E1478="","",N(F1477)+1)</f>
        <v>0</v>
      </c>
      <c r="G1478">
        <f>IF(OR($E1478="",$E1477=""),"",LN($E1478/$E1477))</f>
        <v>0</v>
      </c>
      <c r="H1478">
        <f>IF($E1478="","",IF($E1477="",$E1478,$E1478*0.0952380952+H1477*0.9047619048))</f>
        <v>0</v>
      </c>
      <c r="I1478">
        <f>IF($E1478="","",IF($E1477="",$E1478,$E1478*0.0392156863+I1477*0.9607843137))</f>
        <v>0</v>
      </c>
      <c r="J1478">
        <f>IF($E1478="","",IF($E1477="",$E1478,$E1478*0.0198019802+J1477*0.9801980198))</f>
        <v>0</v>
      </c>
      <c r="K1478">
        <f>IF($E1478="","",IF($E1477="",$E1478,$E1478*0.0099502488+K1477*0.9900497512))</f>
        <v>0</v>
      </c>
      <c r="L1478">
        <f>IF(OR($E1478="",$E1477=""),"",MAX($E1478-$E1477,0))</f>
        <v>0</v>
      </c>
      <c r="M1478">
        <f>IF(OR($E1478="",$E1477=""),"",MAX($E1477-$E1478,0))</f>
        <v>0</v>
      </c>
      <c r="N1478">
        <f>IF(COUNT($E$2:$E1478)&lt;15,"",IF(AVERAGE($M$1465:$M$1478)=0,100,100-100/(1+AVERAGE($L$1465:$L$1478)/AVERAGE($M$1465:$M$1478))))</f>
        <v>0</v>
      </c>
      <c r="O1478">
        <f>IF($E1478="","",IF($E1477="",$E1478,$E1478*0.1538461538+O1477*0.8461538462))</f>
        <v>0</v>
      </c>
      <c r="P1478">
        <f>IF($E1478="","",IF($E1477="",$E1478,$E1478*0.0740740741+P1477*0.9259259259))</f>
        <v>0</v>
      </c>
      <c r="Q1478">
        <f>IF(OR(O1478="",P1478=""),"",O1478-P1478)</f>
        <v>0</v>
      </c>
      <c r="R1478">
        <f>IF(Q1478="","",IF(R1477="",Q1478,Q1478*0.2000000000+R1477*0.8000000000))</f>
        <v>0</v>
      </c>
      <c r="S1478">
        <f>IF(OR(Q1478="",R1478=""),"",Q1478-R1478)</f>
        <v>0</v>
      </c>
      <c r="T1478">
        <f>IF(COUNT($E$2:$E1478)&lt;14,"",MAX($C$1465:$C$1478))</f>
        <v>0</v>
      </c>
      <c r="U1478">
        <f>IF(COUNT($E$2:$E1478)&lt;14,"",MIN($D$1465:$D$1478))</f>
        <v>0</v>
      </c>
      <c r="V1478">
        <f>IF(OR(T1478="",U1478="",T1478=U1478),"",100*($E1478-U1478)/(T1478-U1478))</f>
        <v>0</v>
      </c>
      <c r="W1478">
        <f>IF(COUNT($V$1476:$V$1478)&lt;3,"",AVERAGE($V$1476:$V$1478))</f>
        <v>0</v>
      </c>
      <c r="X1478">
        <f>IF(COUNT($N$1465:$N$1478)&lt;14,"",MIN($N$1465:$N$1478))</f>
        <v>0</v>
      </c>
      <c r="Y1478">
        <f>IF(COUNT($N$1465:$N$1478)&lt;14,"",MAX($N$1465:$N$1478))</f>
        <v>0</v>
      </c>
      <c r="Z1478">
        <f>IF(OR(N1478="",X1478="",Y1478="",Y1478=X1478),"",100*(N1478-X1478)/(Y1478-X1478))</f>
        <v>0</v>
      </c>
      <c r="AA1478">
        <f>IF(COUNT($Z$1476:$Z$1478)&lt;3,"",AVERAGE($Z$1476:$Z$1478))</f>
        <v>0</v>
      </c>
      <c r="AB1478">
        <f>IF(COUNT($AA$1476:$AA$1478)&lt;3,"",AVERAGE($AA$1476:$AA$1478))</f>
        <v>0</v>
      </c>
      <c r="AC1478">
        <f>IF($E1478="","",MAX($C1478-$D1478,ABS($C1478-$E1477),ABS($D1478-$E1477)))</f>
        <v>0</v>
      </c>
      <c r="AD1478">
        <f>IF(COUNT($E$2:$E1478)&lt;15,"",AVERAGE($AC$1465:$AC$1478))</f>
        <v>0</v>
      </c>
      <c r="AE1478">
        <f>IF(OR($E1478="",$E1477=""),"",IF(AND(($C1478-$C1477)&gt;($D1477-$D1478),($C1478-$C1477)&gt;0),$C1478-$C1477,0))</f>
        <v>0</v>
      </c>
      <c r="AF1478">
        <f>IF(OR($E1478="",$E1477=""),"",IF(AND(($D1477-$D1478)&gt;($C1478-$C1477),($D1477-$D1478)&gt;0),$D1477-$D1478,0))</f>
        <v>0</v>
      </c>
      <c r="AG1478">
        <f>IF(COUNT($E$2:$E1478)&lt;15,"",IF(SUM($AC$1465:$AC$1478)=0,0,100*SUM($AE$1465:$AE$1478)/SUM($AC$1465:$AC$1478)))</f>
        <v>0</v>
      </c>
      <c r="AH1478">
        <f>IF(COUNT($E$2:$E1478)&lt;15,"",IF(SUM($AC$1465:$AC$1478)=0,0,100*SUM($AF$1465:$AF$1478)/SUM($AC$1465:$AC$1478)))</f>
        <v>0</v>
      </c>
      <c r="AI1478">
        <f>IF(OR(AG1478="",AH1478=""),"",IF((AG1478+AH1478)=0,0,100*ABS(AG1478-AH1478)/(AG1478+AH1478)))</f>
        <v>0</v>
      </c>
      <c r="AJ1478">
        <f>IF(COUNT($AI$1465:$AI$1478)&lt;14,"",AVERAGE($AI$1465:$AI$1478))</f>
        <v>0</v>
      </c>
      <c r="AK1478">
        <f>IF(COUNT($E$2:$E1478)&lt;20,"",AVERAGE($E$1459:$E$1478))</f>
        <v>0</v>
      </c>
      <c r="AL1478">
        <f>IF(COUNT($E$2:$E1478)&lt;20,"",STDEVP($E$1459:$E$1478))</f>
        <v>0</v>
      </c>
      <c r="AM1478">
        <f>IF(AK1478="","",AK1478+2*AL1478)</f>
        <v>0</v>
      </c>
      <c r="AN1478">
        <f>IF(AK1478="","",AK1478-2*AL1478)</f>
        <v>0</v>
      </c>
      <c r="AO1478">
        <f>IF(OR(AM1478="",AN1478="",AM1478=AN1478),"",($E1478-AN1478)/(AM1478-AN1478))</f>
        <v>0</v>
      </c>
      <c r="AP1478">
        <f>IF(OR(AM1478="",AK1478="",AK1478=0),"",(AM1478-AN1478)/AK1478)</f>
        <v>0</v>
      </c>
      <c r="AQ1478">
        <f>IF(COUNT($E$2:$E1478)&lt;20,"",MAX($C$1459:$C$1478))</f>
        <v>0</v>
      </c>
      <c r="AR1478">
        <f>IF(COUNT($E$2:$E1478)&lt;20,"",MIN($D$1459:$D$1478))</f>
        <v>0</v>
      </c>
      <c r="AS1478">
        <f>IF(OR(AQ1478="",AR1478=""),"",(AQ1478+AR1478)/2)</f>
        <v>0</v>
      </c>
      <c r="AT1478">
        <f>IF(COUNT($G$1459:$G$1478)&lt;20,"",STDEV($G$1459:$G$1478)*SQRT(252))</f>
        <v>0</v>
      </c>
      <c r="AU1478">
        <f>IF(COUNT($E$2:$E1478)&lt;9,"",(MAX($C$1470:$C$1478)+MIN($D$1470:$D$1478))/2)</f>
        <v>0</v>
      </c>
      <c r="AV1478">
        <f>IF(COUNT($E$2:$E1478)&lt;26,"",(MAX($C$1453:$C$1478)+MIN($D$1453:$D$1478))/2)</f>
        <v>0</v>
      </c>
      <c r="AW1478">
        <f>IF(OR(AU1478="",AV1478=""),"",(AU1478+AV1478)/2)</f>
        <v>0</v>
      </c>
      <c r="AX1478">
        <f>IF(COUNT($E$2:$E1478)&lt;52,"",(MAX($C$1427:$C$1478)+MIN($D$1427:$D$1478))/2)</f>
        <v>0</v>
      </c>
      <c r="AY1478">
        <f>IF(COUNT($E$2:$E1478)&lt;20,"",MAX($C$1379:$C$1478))</f>
        <v>0</v>
      </c>
      <c r="AZ1478">
        <f>IF(COUNT($E$2:$E1478)&lt;20,"",MIN($D$1379:$D$1478))</f>
        <v>0</v>
      </c>
      <c r="BA1478">
        <f>IF(COUNT($E$2:$E1478)&lt;20,"",SLOPE($E$1379:$E$1478,$F$1379:$F$1478))</f>
        <v>0</v>
      </c>
      <c r="BB1478">
        <f>IF(COUNT($E$2:$E1478)&lt;20,"",INTERCEPT($E$1379:$E$1478,$F$1379:$F$1478))</f>
        <v>0</v>
      </c>
      <c r="BC1478">
        <f>IF(OR(BA1478="",BB1478=""),"",BB1478+BA1478*F1478)</f>
        <v>0</v>
      </c>
      <c r="BD1478">
        <f>IF(COUNT($E$2:$E1478)&lt;20,"",STEYX($E$1379:$E$1478,$F$1379:$F$1478))</f>
        <v>0</v>
      </c>
      <c r="BE1478">
        <f>IF($E1478="","",IF(AND(COUNT($E$1479:$E$1482)&gt;=4,$C1478=MAX($C$1474:$C$1482)),$C1478,""))</f>
        <v>0</v>
      </c>
      <c r="BF1478">
        <f>IF($E1478="","",IF(AND(COUNT($E$1479:$E$1482)&gt;=4,$D1478=MIN($D$1474:$D$1482)),$D1478,""))</f>
        <v>0</v>
      </c>
      <c r="BG1478">
        <f>IF($A1478="","",$A1478-WEEKDAY($A1478,2)+1)</f>
        <v>0</v>
      </c>
      <c r="BH1478">
        <f>IF($A1478="","",IF($A1477="",1,IF(BG1478&lt;&gt;BG1477,1,0)))</f>
        <v>0</v>
      </c>
      <c r="BI1478">
        <f>IF($A1478="","",IF($A1479="",1,IF(BG1479&lt;&gt;BG1478,1,0)))</f>
        <v>0</v>
      </c>
      <c r="BJ1478">
        <f>IF($A1478="","",IF(BH1478=1,$B1478,BJ1477))</f>
        <v>0</v>
      </c>
      <c r="BK1478">
        <f>IF($A1478="","",IF(BH1478=1,$C1478,MAX($C1478,BK1477)))</f>
        <v>0</v>
      </c>
      <c r="BL1478">
        <f>IF($A1478="","",IF(BH1478=1,$D1478,MIN($D1478,BL1477)))</f>
        <v>0</v>
      </c>
      <c r="BM1478">
        <f>IF($A1478="","",IF(BI1478=1,F1478,""))</f>
        <v>0</v>
      </c>
      <c r="BN1478">
        <f>IF($A1478="","",DATE(YEAR($A1478),MONTH($A1478),1))</f>
        <v>0</v>
      </c>
      <c r="BO1478">
        <f>IF($A1478="","",IF($A1477="",1,IF(BN1478&lt;&gt;BN1477,1,0)))</f>
        <v>0</v>
      </c>
      <c r="BP1478">
        <f>IF($A1478="","",IF($A1479="",1,IF(BN1479&lt;&gt;BN1478,1,0)))</f>
        <v>0</v>
      </c>
      <c r="BQ1478">
        <f>IF($A1478="","",IF(BO1478=1,$B1478,BQ1477))</f>
        <v>0</v>
      </c>
      <c r="BR1478">
        <f>IF($A1478="","",IF(BO1478=1,$C1478,MAX($C1478,BR1477)))</f>
        <v>0</v>
      </c>
      <c r="BS1478">
        <f>IF($A1478="","",IF(BO1478=1,$D1478,MIN($D1478,BS1477)))</f>
        <v>0</v>
      </c>
      <c r="BT1478">
        <f>IF($A1478="","",IF(BP1478=1,F1478,""))</f>
        <v>0</v>
      </c>
    </row>
    <row r="1479" spans="1:72">
      <c r="A1479" s="27">
        <f>IF(Data!$A1479="","",Data!$A1479)</f>
        <v>0</v>
      </c>
      <c r="B1479">
        <f>IF(Data!$B1479="","",Data!$B1479)</f>
        <v>0</v>
      </c>
      <c r="C1479">
        <f>IF(Data!$C1479="","",Data!$C1479)</f>
        <v>0</v>
      </c>
      <c r="D1479">
        <f>IF(Data!$D1479="","",Data!$D1479)</f>
        <v>0</v>
      </c>
      <c r="E1479">
        <f>IF(Data!$E1479="","",Data!$E1479)</f>
        <v>0</v>
      </c>
      <c r="F1479">
        <f>IF($E1479="","",N(F1478)+1)</f>
        <v>0</v>
      </c>
      <c r="G1479">
        <f>IF(OR($E1479="",$E1478=""),"",LN($E1479/$E1478))</f>
        <v>0</v>
      </c>
      <c r="H1479">
        <f>IF($E1479="","",IF($E1478="",$E1479,$E1479*0.0952380952+H1478*0.9047619048))</f>
        <v>0</v>
      </c>
      <c r="I1479">
        <f>IF($E1479="","",IF($E1478="",$E1479,$E1479*0.0392156863+I1478*0.9607843137))</f>
        <v>0</v>
      </c>
      <c r="J1479">
        <f>IF($E1479="","",IF($E1478="",$E1479,$E1479*0.0198019802+J1478*0.9801980198))</f>
        <v>0</v>
      </c>
      <c r="K1479">
        <f>IF($E1479="","",IF($E1478="",$E1479,$E1479*0.0099502488+K1478*0.9900497512))</f>
        <v>0</v>
      </c>
      <c r="L1479">
        <f>IF(OR($E1479="",$E1478=""),"",MAX($E1479-$E1478,0))</f>
        <v>0</v>
      </c>
      <c r="M1479">
        <f>IF(OR($E1479="",$E1478=""),"",MAX($E1478-$E1479,0))</f>
        <v>0</v>
      </c>
      <c r="N1479">
        <f>IF(COUNT($E$2:$E1479)&lt;15,"",IF(AVERAGE($M$1466:$M$1479)=0,100,100-100/(1+AVERAGE($L$1466:$L$1479)/AVERAGE($M$1466:$M$1479))))</f>
        <v>0</v>
      </c>
      <c r="O1479">
        <f>IF($E1479="","",IF($E1478="",$E1479,$E1479*0.1538461538+O1478*0.8461538462))</f>
        <v>0</v>
      </c>
      <c r="P1479">
        <f>IF($E1479="","",IF($E1478="",$E1479,$E1479*0.0740740741+P1478*0.9259259259))</f>
        <v>0</v>
      </c>
      <c r="Q1479">
        <f>IF(OR(O1479="",P1479=""),"",O1479-P1479)</f>
        <v>0</v>
      </c>
      <c r="R1479">
        <f>IF(Q1479="","",IF(R1478="",Q1479,Q1479*0.2000000000+R1478*0.8000000000))</f>
        <v>0</v>
      </c>
      <c r="S1479">
        <f>IF(OR(Q1479="",R1479=""),"",Q1479-R1479)</f>
        <v>0</v>
      </c>
      <c r="T1479">
        <f>IF(COUNT($E$2:$E1479)&lt;14,"",MAX($C$1466:$C$1479))</f>
        <v>0</v>
      </c>
      <c r="U1479">
        <f>IF(COUNT($E$2:$E1479)&lt;14,"",MIN($D$1466:$D$1479))</f>
        <v>0</v>
      </c>
      <c r="V1479">
        <f>IF(OR(T1479="",U1479="",T1479=U1479),"",100*($E1479-U1479)/(T1479-U1479))</f>
        <v>0</v>
      </c>
      <c r="W1479">
        <f>IF(COUNT($V$1477:$V$1479)&lt;3,"",AVERAGE($V$1477:$V$1479))</f>
        <v>0</v>
      </c>
      <c r="X1479">
        <f>IF(COUNT($N$1466:$N$1479)&lt;14,"",MIN($N$1466:$N$1479))</f>
        <v>0</v>
      </c>
      <c r="Y1479">
        <f>IF(COUNT($N$1466:$N$1479)&lt;14,"",MAX($N$1466:$N$1479))</f>
        <v>0</v>
      </c>
      <c r="Z1479">
        <f>IF(OR(N1479="",X1479="",Y1479="",Y1479=X1479),"",100*(N1479-X1479)/(Y1479-X1479))</f>
        <v>0</v>
      </c>
      <c r="AA1479">
        <f>IF(COUNT($Z$1477:$Z$1479)&lt;3,"",AVERAGE($Z$1477:$Z$1479))</f>
        <v>0</v>
      </c>
      <c r="AB1479">
        <f>IF(COUNT($AA$1477:$AA$1479)&lt;3,"",AVERAGE($AA$1477:$AA$1479))</f>
        <v>0</v>
      </c>
      <c r="AC1479">
        <f>IF($E1479="","",MAX($C1479-$D1479,ABS($C1479-$E1478),ABS($D1479-$E1478)))</f>
        <v>0</v>
      </c>
      <c r="AD1479">
        <f>IF(COUNT($E$2:$E1479)&lt;15,"",AVERAGE($AC$1466:$AC$1479))</f>
        <v>0</v>
      </c>
      <c r="AE1479">
        <f>IF(OR($E1479="",$E1478=""),"",IF(AND(($C1479-$C1478)&gt;($D1478-$D1479),($C1479-$C1478)&gt;0),$C1479-$C1478,0))</f>
        <v>0</v>
      </c>
      <c r="AF1479">
        <f>IF(OR($E1479="",$E1478=""),"",IF(AND(($D1478-$D1479)&gt;($C1479-$C1478),($D1478-$D1479)&gt;0),$D1478-$D1479,0))</f>
        <v>0</v>
      </c>
      <c r="AG1479">
        <f>IF(COUNT($E$2:$E1479)&lt;15,"",IF(SUM($AC$1466:$AC$1479)=0,0,100*SUM($AE$1466:$AE$1479)/SUM($AC$1466:$AC$1479)))</f>
        <v>0</v>
      </c>
      <c r="AH1479">
        <f>IF(COUNT($E$2:$E1479)&lt;15,"",IF(SUM($AC$1466:$AC$1479)=0,0,100*SUM($AF$1466:$AF$1479)/SUM($AC$1466:$AC$1479)))</f>
        <v>0</v>
      </c>
      <c r="AI1479">
        <f>IF(OR(AG1479="",AH1479=""),"",IF((AG1479+AH1479)=0,0,100*ABS(AG1479-AH1479)/(AG1479+AH1479)))</f>
        <v>0</v>
      </c>
      <c r="AJ1479">
        <f>IF(COUNT($AI$1466:$AI$1479)&lt;14,"",AVERAGE($AI$1466:$AI$1479))</f>
        <v>0</v>
      </c>
      <c r="AK1479">
        <f>IF(COUNT($E$2:$E1479)&lt;20,"",AVERAGE($E$1460:$E$1479))</f>
        <v>0</v>
      </c>
      <c r="AL1479">
        <f>IF(COUNT($E$2:$E1479)&lt;20,"",STDEVP($E$1460:$E$1479))</f>
        <v>0</v>
      </c>
      <c r="AM1479">
        <f>IF(AK1479="","",AK1479+2*AL1479)</f>
        <v>0</v>
      </c>
      <c r="AN1479">
        <f>IF(AK1479="","",AK1479-2*AL1479)</f>
        <v>0</v>
      </c>
      <c r="AO1479">
        <f>IF(OR(AM1479="",AN1479="",AM1479=AN1479),"",($E1479-AN1479)/(AM1479-AN1479))</f>
        <v>0</v>
      </c>
      <c r="AP1479">
        <f>IF(OR(AM1479="",AK1479="",AK1479=0),"",(AM1479-AN1479)/AK1479)</f>
        <v>0</v>
      </c>
      <c r="AQ1479">
        <f>IF(COUNT($E$2:$E1479)&lt;20,"",MAX($C$1460:$C$1479))</f>
        <v>0</v>
      </c>
      <c r="AR1479">
        <f>IF(COUNT($E$2:$E1479)&lt;20,"",MIN($D$1460:$D$1479))</f>
        <v>0</v>
      </c>
      <c r="AS1479">
        <f>IF(OR(AQ1479="",AR1479=""),"",(AQ1479+AR1479)/2)</f>
        <v>0</v>
      </c>
      <c r="AT1479">
        <f>IF(COUNT($G$1460:$G$1479)&lt;20,"",STDEV($G$1460:$G$1479)*SQRT(252))</f>
        <v>0</v>
      </c>
      <c r="AU1479">
        <f>IF(COUNT($E$2:$E1479)&lt;9,"",(MAX($C$1471:$C$1479)+MIN($D$1471:$D$1479))/2)</f>
        <v>0</v>
      </c>
      <c r="AV1479">
        <f>IF(COUNT($E$2:$E1479)&lt;26,"",(MAX($C$1454:$C$1479)+MIN($D$1454:$D$1479))/2)</f>
        <v>0</v>
      </c>
      <c r="AW1479">
        <f>IF(OR(AU1479="",AV1479=""),"",(AU1479+AV1479)/2)</f>
        <v>0</v>
      </c>
      <c r="AX1479">
        <f>IF(COUNT($E$2:$E1479)&lt;52,"",(MAX($C$1428:$C$1479)+MIN($D$1428:$D$1479))/2)</f>
        <v>0</v>
      </c>
      <c r="AY1479">
        <f>IF(COUNT($E$2:$E1479)&lt;20,"",MAX($C$1380:$C$1479))</f>
        <v>0</v>
      </c>
      <c r="AZ1479">
        <f>IF(COUNT($E$2:$E1479)&lt;20,"",MIN($D$1380:$D$1479))</f>
        <v>0</v>
      </c>
      <c r="BA1479">
        <f>IF(COUNT($E$2:$E1479)&lt;20,"",SLOPE($E$1380:$E$1479,$F$1380:$F$1479))</f>
        <v>0</v>
      </c>
      <c r="BB1479">
        <f>IF(COUNT($E$2:$E1479)&lt;20,"",INTERCEPT($E$1380:$E$1479,$F$1380:$F$1479))</f>
        <v>0</v>
      </c>
      <c r="BC1479">
        <f>IF(OR(BA1479="",BB1479=""),"",BB1479+BA1479*F1479)</f>
        <v>0</v>
      </c>
      <c r="BD1479">
        <f>IF(COUNT($E$2:$E1479)&lt;20,"",STEYX($E$1380:$E$1479,$F$1380:$F$1479))</f>
        <v>0</v>
      </c>
      <c r="BE1479">
        <f>IF($E1479="","",IF(AND(COUNT($E$1480:$E$1483)&gt;=4,$C1479=MAX($C$1475:$C$1483)),$C1479,""))</f>
        <v>0</v>
      </c>
      <c r="BF1479">
        <f>IF($E1479="","",IF(AND(COUNT($E$1480:$E$1483)&gt;=4,$D1479=MIN($D$1475:$D$1483)),$D1479,""))</f>
        <v>0</v>
      </c>
      <c r="BG1479">
        <f>IF($A1479="","",$A1479-WEEKDAY($A1479,2)+1)</f>
        <v>0</v>
      </c>
      <c r="BH1479">
        <f>IF($A1479="","",IF($A1478="",1,IF(BG1479&lt;&gt;BG1478,1,0)))</f>
        <v>0</v>
      </c>
      <c r="BI1479">
        <f>IF($A1479="","",IF($A1480="",1,IF(BG1480&lt;&gt;BG1479,1,0)))</f>
        <v>0</v>
      </c>
      <c r="BJ1479">
        <f>IF($A1479="","",IF(BH1479=1,$B1479,BJ1478))</f>
        <v>0</v>
      </c>
      <c r="BK1479">
        <f>IF($A1479="","",IF(BH1479=1,$C1479,MAX($C1479,BK1478)))</f>
        <v>0</v>
      </c>
      <c r="BL1479">
        <f>IF($A1479="","",IF(BH1479=1,$D1479,MIN($D1479,BL1478)))</f>
        <v>0</v>
      </c>
      <c r="BM1479">
        <f>IF($A1479="","",IF(BI1479=1,F1479,""))</f>
        <v>0</v>
      </c>
      <c r="BN1479">
        <f>IF($A1479="","",DATE(YEAR($A1479),MONTH($A1479),1))</f>
        <v>0</v>
      </c>
      <c r="BO1479">
        <f>IF($A1479="","",IF($A1478="",1,IF(BN1479&lt;&gt;BN1478,1,0)))</f>
        <v>0</v>
      </c>
      <c r="BP1479">
        <f>IF($A1479="","",IF($A1480="",1,IF(BN1480&lt;&gt;BN1479,1,0)))</f>
        <v>0</v>
      </c>
      <c r="BQ1479">
        <f>IF($A1479="","",IF(BO1479=1,$B1479,BQ1478))</f>
        <v>0</v>
      </c>
      <c r="BR1479">
        <f>IF($A1479="","",IF(BO1479=1,$C1479,MAX($C1479,BR1478)))</f>
        <v>0</v>
      </c>
      <c r="BS1479">
        <f>IF($A1479="","",IF(BO1479=1,$D1479,MIN($D1479,BS1478)))</f>
        <v>0</v>
      </c>
      <c r="BT1479">
        <f>IF($A1479="","",IF(BP1479=1,F1479,""))</f>
        <v>0</v>
      </c>
    </row>
    <row r="1480" spans="1:72">
      <c r="A1480" s="27">
        <f>IF(Data!$A1480="","",Data!$A1480)</f>
        <v>0</v>
      </c>
      <c r="B1480">
        <f>IF(Data!$B1480="","",Data!$B1480)</f>
        <v>0</v>
      </c>
      <c r="C1480">
        <f>IF(Data!$C1480="","",Data!$C1480)</f>
        <v>0</v>
      </c>
      <c r="D1480">
        <f>IF(Data!$D1480="","",Data!$D1480)</f>
        <v>0</v>
      </c>
      <c r="E1480">
        <f>IF(Data!$E1480="","",Data!$E1480)</f>
        <v>0</v>
      </c>
      <c r="F1480">
        <f>IF($E1480="","",N(F1479)+1)</f>
        <v>0</v>
      </c>
      <c r="G1480">
        <f>IF(OR($E1480="",$E1479=""),"",LN($E1480/$E1479))</f>
        <v>0</v>
      </c>
      <c r="H1480">
        <f>IF($E1480="","",IF($E1479="",$E1480,$E1480*0.0952380952+H1479*0.9047619048))</f>
        <v>0</v>
      </c>
      <c r="I1480">
        <f>IF($E1480="","",IF($E1479="",$E1480,$E1480*0.0392156863+I1479*0.9607843137))</f>
        <v>0</v>
      </c>
      <c r="J1480">
        <f>IF($E1480="","",IF($E1479="",$E1480,$E1480*0.0198019802+J1479*0.9801980198))</f>
        <v>0</v>
      </c>
      <c r="K1480">
        <f>IF($E1480="","",IF($E1479="",$E1480,$E1480*0.0099502488+K1479*0.9900497512))</f>
        <v>0</v>
      </c>
      <c r="L1480">
        <f>IF(OR($E1480="",$E1479=""),"",MAX($E1480-$E1479,0))</f>
        <v>0</v>
      </c>
      <c r="M1480">
        <f>IF(OR($E1480="",$E1479=""),"",MAX($E1479-$E1480,0))</f>
        <v>0</v>
      </c>
      <c r="N1480">
        <f>IF(COUNT($E$2:$E1480)&lt;15,"",IF(AVERAGE($M$1467:$M$1480)=0,100,100-100/(1+AVERAGE($L$1467:$L$1480)/AVERAGE($M$1467:$M$1480))))</f>
        <v>0</v>
      </c>
      <c r="O1480">
        <f>IF($E1480="","",IF($E1479="",$E1480,$E1480*0.1538461538+O1479*0.8461538462))</f>
        <v>0</v>
      </c>
      <c r="P1480">
        <f>IF($E1480="","",IF($E1479="",$E1480,$E1480*0.0740740741+P1479*0.9259259259))</f>
        <v>0</v>
      </c>
      <c r="Q1480">
        <f>IF(OR(O1480="",P1480=""),"",O1480-P1480)</f>
        <v>0</v>
      </c>
      <c r="R1480">
        <f>IF(Q1480="","",IF(R1479="",Q1480,Q1480*0.2000000000+R1479*0.8000000000))</f>
        <v>0</v>
      </c>
      <c r="S1480">
        <f>IF(OR(Q1480="",R1480=""),"",Q1480-R1480)</f>
        <v>0</v>
      </c>
      <c r="T1480">
        <f>IF(COUNT($E$2:$E1480)&lt;14,"",MAX($C$1467:$C$1480))</f>
        <v>0</v>
      </c>
      <c r="U1480">
        <f>IF(COUNT($E$2:$E1480)&lt;14,"",MIN($D$1467:$D$1480))</f>
        <v>0</v>
      </c>
      <c r="V1480">
        <f>IF(OR(T1480="",U1480="",T1480=U1480),"",100*($E1480-U1480)/(T1480-U1480))</f>
        <v>0</v>
      </c>
      <c r="W1480">
        <f>IF(COUNT($V$1478:$V$1480)&lt;3,"",AVERAGE($V$1478:$V$1480))</f>
        <v>0</v>
      </c>
      <c r="X1480">
        <f>IF(COUNT($N$1467:$N$1480)&lt;14,"",MIN($N$1467:$N$1480))</f>
        <v>0</v>
      </c>
      <c r="Y1480">
        <f>IF(COUNT($N$1467:$N$1480)&lt;14,"",MAX($N$1467:$N$1480))</f>
        <v>0</v>
      </c>
      <c r="Z1480">
        <f>IF(OR(N1480="",X1480="",Y1480="",Y1480=X1480),"",100*(N1480-X1480)/(Y1480-X1480))</f>
        <v>0</v>
      </c>
      <c r="AA1480">
        <f>IF(COUNT($Z$1478:$Z$1480)&lt;3,"",AVERAGE($Z$1478:$Z$1480))</f>
        <v>0</v>
      </c>
      <c r="AB1480">
        <f>IF(COUNT($AA$1478:$AA$1480)&lt;3,"",AVERAGE($AA$1478:$AA$1480))</f>
        <v>0</v>
      </c>
      <c r="AC1480">
        <f>IF($E1480="","",MAX($C1480-$D1480,ABS($C1480-$E1479),ABS($D1480-$E1479)))</f>
        <v>0</v>
      </c>
      <c r="AD1480">
        <f>IF(COUNT($E$2:$E1480)&lt;15,"",AVERAGE($AC$1467:$AC$1480))</f>
        <v>0</v>
      </c>
      <c r="AE1480">
        <f>IF(OR($E1480="",$E1479=""),"",IF(AND(($C1480-$C1479)&gt;($D1479-$D1480),($C1480-$C1479)&gt;0),$C1480-$C1479,0))</f>
        <v>0</v>
      </c>
      <c r="AF1480">
        <f>IF(OR($E1480="",$E1479=""),"",IF(AND(($D1479-$D1480)&gt;($C1480-$C1479),($D1479-$D1480)&gt;0),$D1479-$D1480,0))</f>
        <v>0</v>
      </c>
      <c r="AG1480">
        <f>IF(COUNT($E$2:$E1480)&lt;15,"",IF(SUM($AC$1467:$AC$1480)=0,0,100*SUM($AE$1467:$AE$1480)/SUM($AC$1467:$AC$1480)))</f>
        <v>0</v>
      </c>
      <c r="AH1480">
        <f>IF(COUNT($E$2:$E1480)&lt;15,"",IF(SUM($AC$1467:$AC$1480)=0,0,100*SUM($AF$1467:$AF$1480)/SUM($AC$1467:$AC$1480)))</f>
        <v>0</v>
      </c>
      <c r="AI1480">
        <f>IF(OR(AG1480="",AH1480=""),"",IF((AG1480+AH1480)=0,0,100*ABS(AG1480-AH1480)/(AG1480+AH1480)))</f>
        <v>0</v>
      </c>
      <c r="AJ1480">
        <f>IF(COUNT($AI$1467:$AI$1480)&lt;14,"",AVERAGE($AI$1467:$AI$1480))</f>
        <v>0</v>
      </c>
      <c r="AK1480">
        <f>IF(COUNT($E$2:$E1480)&lt;20,"",AVERAGE($E$1461:$E$1480))</f>
        <v>0</v>
      </c>
      <c r="AL1480">
        <f>IF(COUNT($E$2:$E1480)&lt;20,"",STDEVP($E$1461:$E$1480))</f>
        <v>0</v>
      </c>
      <c r="AM1480">
        <f>IF(AK1480="","",AK1480+2*AL1480)</f>
        <v>0</v>
      </c>
      <c r="AN1480">
        <f>IF(AK1480="","",AK1480-2*AL1480)</f>
        <v>0</v>
      </c>
      <c r="AO1480">
        <f>IF(OR(AM1480="",AN1480="",AM1480=AN1480),"",($E1480-AN1480)/(AM1480-AN1480))</f>
        <v>0</v>
      </c>
      <c r="AP1480">
        <f>IF(OR(AM1480="",AK1480="",AK1480=0),"",(AM1480-AN1480)/AK1480)</f>
        <v>0</v>
      </c>
      <c r="AQ1480">
        <f>IF(COUNT($E$2:$E1480)&lt;20,"",MAX($C$1461:$C$1480))</f>
        <v>0</v>
      </c>
      <c r="AR1480">
        <f>IF(COUNT($E$2:$E1480)&lt;20,"",MIN($D$1461:$D$1480))</f>
        <v>0</v>
      </c>
      <c r="AS1480">
        <f>IF(OR(AQ1480="",AR1480=""),"",(AQ1480+AR1480)/2)</f>
        <v>0</v>
      </c>
      <c r="AT1480">
        <f>IF(COUNT($G$1461:$G$1480)&lt;20,"",STDEV($G$1461:$G$1480)*SQRT(252))</f>
        <v>0</v>
      </c>
      <c r="AU1480">
        <f>IF(COUNT($E$2:$E1480)&lt;9,"",(MAX($C$1472:$C$1480)+MIN($D$1472:$D$1480))/2)</f>
        <v>0</v>
      </c>
      <c r="AV1480">
        <f>IF(COUNT($E$2:$E1480)&lt;26,"",(MAX($C$1455:$C$1480)+MIN($D$1455:$D$1480))/2)</f>
        <v>0</v>
      </c>
      <c r="AW1480">
        <f>IF(OR(AU1480="",AV1480=""),"",(AU1480+AV1480)/2)</f>
        <v>0</v>
      </c>
      <c r="AX1480">
        <f>IF(COUNT($E$2:$E1480)&lt;52,"",(MAX($C$1429:$C$1480)+MIN($D$1429:$D$1480))/2)</f>
        <v>0</v>
      </c>
      <c r="AY1480">
        <f>IF(COUNT($E$2:$E1480)&lt;20,"",MAX($C$1381:$C$1480))</f>
        <v>0</v>
      </c>
      <c r="AZ1480">
        <f>IF(COUNT($E$2:$E1480)&lt;20,"",MIN($D$1381:$D$1480))</f>
        <v>0</v>
      </c>
      <c r="BA1480">
        <f>IF(COUNT($E$2:$E1480)&lt;20,"",SLOPE($E$1381:$E$1480,$F$1381:$F$1480))</f>
        <v>0</v>
      </c>
      <c r="BB1480">
        <f>IF(COUNT($E$2:$E1480)&lt;20,"",INTERCEPT($E$1381:$E$1480,$F$1381:$F$1480))</f>
        <v>0</v>
      </c>
      <c r="BC1480">
        <f>IF(OR(BA1480="",BB1480=""),"",BB1480+BA1480*F1480)</f>
        <v>0</v>
      </c>
      <c r="BD1480">
        <f>IF(COUNT($E$2:$E1480)&lt;20,"",STEYX($E$1381:$E$1480,$F$1381:$F$1480))</f>
        <v>0</v>
      </c>
      <c r="BE1480">
        <f>IF($E1480="","",IF(AND(COUNT($E$1481:$E$1484)&gt;=4,$C1480=MAX($C$1476:$C$1484)),$C1480,""))</f>
        <v>0</v>
      </c>
      <c r="BF1480">
        <f>IF($E1480="","",IF(AND(COUNT($E$1481:$E$1484)&gt;=4,$D1480=MIN($D$1476:$D$1484)),$D1480,""))</f>
        <v>0</v>
      </c>
      <c r="BG1480">
        <f>IF($A1480="","",$A1480-WEEKDAY($A1480,2)+1)</f>
        <v>0</v>
      </c>
      <c r="BH1480">
        <f>IF($A1480="","",IF($A1479="",1,IF(BG1480&lt;&gt;BG1479,1,0)))</f>
        <v>0</v>
      </c>
      <c r="BI1480">
        <f>IF($A1480="","",IF($A1481="",1,IF(BG1481&lt;&gt;BG1480,1,0)))</f>
        <v>0</v>
      </c>
      <c r="BJ1480">
        <f>IF($A1480="","",IF(BH1480=1,$B1480,BJ1479))</f>
        <v>0</v>
      </c>
      <c r="BK1480">
        <f>IF($A1480="","",IF(BH1480=1,$C1480,MAX($C1480,BK1479)))</f>
        <v>0</v>
      </c>
      <c r="BL1480">
        <f>IF($A1480="","",IF(BH1480=1,$D1480,MIN($D1480,BL1479)))</f>
        <v>0</v>
      </c>
      <c r="BM1480">
        <f>IF($A1480="","",IF(BI1480=1,F1480,""))</f>
        <v>0</v>
      </c>
      <c r="BN1480">
        <f>IF($A1480="","",DATE(YEAR($A1480),MONTH($A1480),1))</f>
        <v>0</v>
      </c>
      <c r="BO1480">
        <f>IF($A1480="","",IF($A1479="",1,IF(BN1480&lt;&gt;BN1479,1,0)))</f>
        <v>0</v>
      </c>
      <c r="BP1480">
        <f>IF($A1480="","",IF($A1481="",1,IF(BN1481&lt;&gt;BN1480,1,0)))</f>
        <v>0</v>
      </c>
      <c r="BQ1480">
        <f>IF($A1480="","",IF(BO1480=1,$B1480,BQ1479))</f>
        <v>0</v>
      </c>
      <c r="BR1480">
        <f>IF($A1480="","",IF(BO1480=1,$C1480,MAX($C1480,BR1479)))</f>
        <v>0</v>
      </c>
      <c r="BS1480">
        <f>IF($A1480="","",IF(BO1480=1,$D1480,MIN($D1480,BS1479)))</f>
        <v>0</v>
      </c>
      <c r="BT1480">
        <f>IF($A1480="","",IF(BP1480=1,F1480,""))</f>
        <v>0</v>
      </c>
    </row>
    <row r="1481" spans="1:72">
      <c r="A1481" s="27">
        <f>IF(Data!$A1481="","",Data!$A1481)</f>
        <v>0</v>
      </c>
      <c r="B1481">
        <f>IF(Data!$B1481="","",Data!$B1481)</f>
        <v>0</v>
      </c>
      <c r="C1481">
        <f>IF(Data!$C1481="","",Data!$C1481)</f>
        <v>0</v>
      </c>
      <c r="D1481">
        <f>IF(Data!$D1481="","",Data!$D1481)</f>
        <v>0</v>
      </c>
      <c r="E1481">
        <f>IF(Data!$E1481="","",Data!$E1481)</f>
        <v>0</v>
      </c>
      <c r="F1481">
        <f>IF($E1481="","",N(F1480)+1)</f>
        <v>0</v>
      </c>
      <c r="G1481">
        <f>IF(OR($E1481="",$E1480=""),"",LN($E1481/$E1480))</f>
        <v>0</v>
      </c>
      <c r="H1481">
        <f>IF($E1481="","",IF($E1480="",$E1481,$E1481*0.0952380952+H1480*0.9047619048))</f>
        <v>0</v>
      </c>
      <c r="I1481">
        <f>IF($E1481="","",IF($E1480="",$E1481,$E1481*0.0392156863+I1480*0.9607843137))</f>
        <v>0</v>
      </c>
      <c r="J1481">
        <f>IF($E1481="","",IF($E1480="",$E1481,$E1481*0.0198019802+J1480*0.9801980198))</f>
        <v>0</v>
      </c>
      <c r="K1481">
        <f>IF($E1481="","",IF($E1480="",$E1481,$E1481*0.0099502488+K1480*0.9900497512))</f>
        <v>0</v>
      </c>
      <c r="L1481">
        <f>IF(OR($E1481="",$E1480=""),"",MAX($E1481-$E1480,0))</f>
        <v>0</v>
      </c>
      <c r="M1481">
        <f>IF(OR($E1481="",$E1480=""),"",MAX($E1480-$E1481,0))</f>
        <v>0</v>
      </c>
      <c r="N1481">
        <f>IF(COUNT($E$2:$E1481)&lt;15,"",IF(AVERAGE($M$1468:$M$1481)=0,100,100-100/(1+AVERAGE($L$1468:$L$1481)/AVERAGE($M$1468:$M$1481))))</f>
        <v>0</v>
      </c>
      <c r="O1481">
        <f>IF($E1481="","",IF($E1480="",$E1481,$E1481*0.1538461538+O1480*0.8461538462))</f>
        <v>0</v>
      </c>
      <c r="P1481">
        <f>IF($E1481="","",IF($E1480="",$E1481,$E1481*0.0740740741+P1480*0.9259259259))</f>
        <v>0</v>
      </c>
      <c r="Q1481">
        <f>IF(OR(O1481="",P1481=""),"",O1481-P1481)</f>
        <v>0</v>
      </c>
      <c r="R1481">
        <f>IF(Q1481="","",IF(R1480="",Q1481,Q1481*0.2000000000+R1480*0.8000000000))</f>
        <v>0</v>
      </c>
      <c r="S1481">
        <f>IF(OR(Q1481="",R1481=""),"",Q1481-R1481)</f>
        <v>0</v>
      </c>
      <c r="T1481">
        <f>IF(COUNT($E$2:$E1481)&lt;14,"",MAX($C$1468:$C$1481))</f>
        <v>0</v>
      </c>
      <c r="U1481">
        <f>IF(COUNT($E$2:$E1481)&lt;14,"",MIN($D$1468:$D$1481))</f>
        <v>0</v>
      </c>
      <c r="V1481">
        <f>IF(OR(T1481="",U1481="",T1481=U1481),"",100*($E1481-U1481)/(T1481-U1481))</f>
        <v>0</v>
      </c>
      <c r="W1481">
        <f>IF(COUNT($V$1479:$V$1481)&lt;3,"",AVERAGE($V$1479:$V$1481))</f>
        <v>0</v>
      </c>
      <c r="X1481">
        <f>IF(COUNT($N$1468:$N$1481)&lt;14,"",MIN($N$1468:$N$1481))</f>
        <v>0</v>
      </c>
      <c r="Y1481">
        <f>IF(COUNT($N$1468:$N$1481)&lt;14,"",MAX($N$1468:$N$1481))</f>
        <v>0</v>
      </c>
      <c r="Z1481">
        <f>IF(OR(N1481="",X1481="",Y1481="",Y1481=X1481),"",100*(N1481-X1481)/(Y1481-X1481))</f>
        <v>0</v>
      </c>
      <c r="AA1481">
        <f>IF(COUNT($Z$1479:$Z$1481)&lt;3,"",AVERAGE($Z$1479:$Z$1481))</f>
        <v>0</v>
      </c>
      <c r="AB1481">
        <f>IF(COUNT($AA$1479:$AA$1481)&lt;3,"",AVERAGE($AA$1479:$AA$1481))</f>
        <v>0</v>
      </c>
      <c r="AC1481">
        <f>IF($E1481="","",MAX($C1481-$D1481,ABS($C1481-$E1480),ABS($D1481-$E1480)))</f>
        <v>0</v>
      </c>
      <c r="AD1481">
        <f>IF(COUNT($E$2:$E1481)&lt;15,"",AVERAGE($AC$1468:$AC$1481))</f>
        <v>0</v>
      </c>
      <c r="AE1481">
        <f>IF(OR($E1481="",$E1480=""),"",IF(AND(($C1481-$C1480)&gt;($D1480-$D1481),($C1481-$C1480)&gt;0),$C1481-$C1480,0))</f>
        <v>0</v>
      </c>
      <c r="AF1481">
        <f>IF(OR($E1481="",$E1480=""),"",IF(AND(($D1480-$D1481)&gt;($C1481-$C1480),($D1480-$D1481)&gt;0),$D1480-$D1481,0))</f>
        <v>0</v>
      </c>
      <c r="AG1481">
        <f>IF(COUNT($E$2:$E1481)&lt;15,"",IF(SUM($AC$1468:$AC$1481)=0,0,100*SUM($AE$1468:$AE$1481)/SUM($AC$1468:$AC$1481)))</f>
        <v>0</v>
      </c>
      <c r="AH1481">
        <f>IF(COUNT($E$2:$E1481)&lt;15,"",IF(SUM($AC$1468:$AC$1481)=0,0,100*SUM($AF$1468:$AF$1481)/SUM($AC$1468:$AC$1481)))</f>
        <v>0</v>
      </c>
      <c r="AI1481">
        <f>IF(OR(AG1481="",AH1481=""),"",IF((AG1481+AH1481)=0,0,100*ABS(AG1481-AH1481)/(AG1481+AH1481)))</f>
        <v>0</v>
      </c>
      <c r="AJ1481">
        <f>IF(COUNT($AI$1468:$AI$1481)&lt;14,"",AVERAGE($AI$1468:$AI$1481))</f>
        <v>0</v>
      </c>
      <c r="AK1481">
        <f>IF(COUNT($E$2:$E1481)&lt;20,"",AVERAGE($E$1462:$E$1481))</f>
        <v>0</v>
      </c>
      <c r="AL1481">
        <f>IF(COUNT($E$2:$E1481)&lt;20,"",STDEVP($E$1462:$E$1481))</f>
        <v>0</v>
      </c>
      <c r="AM1481">
        <f>IF(AK1481="","",AK1481+2*AL1481)</f>
        <v>0</v>
      </c>
      <c r="AN1481">
        <f>IF(AK1481="","",AK1481-2*AL1481)</f>
        <v>0</v>
      </c>
      <c r="AO1481">
        <f>IF(OR(AM1481="",AN1481="",AM1481=AN1481),"",($E1481-AN1481)/(AM1481-AN1481))</f>
        <v>0</v>
      </c>
      <c r="AP1481">
        <f>IF(OR(AM1481="",AK1481="",AK1481=0),"",(AM1481-AN1481)/AK1481)</f>
        <v>0</v>
      </c>
      <c r="AQ1481">
        <f>IF(COUNT($E$2:$E1481)&lt;20,"",MAX($C$1462:$C$1481))</f>
        <v>0</v>
      </c>
      <c r="AR1481">
        <f>IF(COUNT($E$2:$E1481)&lt;20,"",MIN($D$1462:$D$1481))</f>
        <v>0</v>
      </c>
      <c r="AS1481">
        <f>IF(OR(AQ1481="",AR1481=""),"",(AQ1481+AR1481)/2)</f>
        <v>0</v>
      </c>
      <c r="AT1481">
        <f>IF(COUNT($G$1462:$G$1481)&lt;20,"",STDEV($G$1462:$G$1481)*SQRT(252))</f>
        <v>0</v>
      </c>
      <c r="AU1481">
        <f>IF(COUNT($E$2:$E1481)&lt;9,"",(MAX($C$1473:$C$1481)+MIN($D$1473:$D$1481))/2)</f>
        <v>0</v>
      </c>
      <c r="AV1481">
        <f>IF(COUNT($E$2:$E1481)&lt;26,"",(MAX($C$1456:$C$1481)+MIN($D$1456:$D$1481))/2)</f>
        <v>0</v>
      </c>
      <c r="AW1481">
        <f>IF(OR(AU1481="",AV1481=""),"",(AU1481+AV1481)/2)</f>
        <v>0</v>
      </c>
      <c r="AX1481">
        <f>IF(COUNT($E$2:$E1481)&lt;52,"",(MAX($C$1430:$C$1481)+MIN($D$1430:$D$1481))/2)</f>
        <v>0</v>
      </c>
      <c r="AY1481">
        <f>IF(COUNT($E$2:$E1481)&lt;20,"",MAX($C$1382:$C$1481))</f>
        <v>0</v>
      </c>
      <c r="AZ1481">
        <f>IF(COUNT($E$2:$E1481)&lt;20,"",MIN($D$1382:$D$1481))</f>
        <v>0</v>
      </c>
      <c r="BA1481">
        <f>IF(COUNT($E$2:$E1481)&lt;20,"",SLOPE($E$1382:$E$1481,$F$1382:$F$1481))</f>
        <v>0</v>
      </c>
      <c r="BB1481">
        <f>IF(COUNT($E$2:$E1481)&lt;20,"",INTERCEPT($E$1382:$E$1481,$F$1382:$F$1481))</f>
        <v>0</v>
      </c>
      <c r="BC1481">
        <f>IF(OR(BA1481="",BB1481=""),"",BB1481+BA1481*F1481)</f>
        <v>0</v>
      </c>
      <c r="BD1481">
        <f>IF(COUNT($E$2:$E1481)&lt;20,"",STEYX($E$1382:$E$1481,$F$1382:$F$1481))</f>
        <v>0</v>
      </c>
      <c r="BE1481">
        <f>IF($E1481="","",IF(AND(COUNT($E$1482:$E$1485)&gt;=4,$C1481=MAX($C$1477:$C$1485)),$C1481,""))</f>
        <v>0</v>
      </c>
      <c r="BF1481">
        <f>IF($E1481="","",IF(AND(COUNT($E$1482:$E$1485)&gt;=4,$D1481=MIN($D$1477:$D$1485)),$D1481,""))</f>
        <v>0</v>
      </c>
      <c r="BG1481">
        <f>IF($A1481="","",$A1481-WEEKDAY($A1481,2)+1)</f>
        <v>0</v>
      </c>
      <c r="BH1481">
        <f>IF($A1481="","",IF($A1480="",1,IF(BG1481&lt;&gt;BG1480,1,0)))</f>
        <v>0</v>
      </c>
      <c r="BI1481">
        <f>IF($A1481="","",IF($A1482="",1,IF(BG1482&lt;&gt;BG1481,1,0)))</f>
        <v>0</v>
      </c>
      <c r="BJ1481">
        <f>IF($A1481="","",IF(BH1481=1,$B1481,BJ1480))</f>
        <v>0</v>
      </c>
      <c r="BK1481">
        <f>IF($A1481="","",IF(BH1481=1,$C1481,MAX($C1481,BK1480)))</f>
        <v>0</v>
      </c>
      <c r="BL1481">
        <f>IF($A1481="","",IF(BH1481=1,$D1481,MIN($D1481,BL1480)))</f>
        <v>0</v>
      </c>
      <c r="BM1481">
        <f>IF($A1481="","",IF(BI1481=1,F1481,""))</f>
        <v>0</v>
      </c>
      <c r="BN1481">
        <f>IF($A1481="","",DATE(YEAR($A1481),MONTH($A1481),1))</f>
        <v>0</v>
      </c>
      <c r="BO1481">
        <f>IF($A1481="","",IF($A1480="",1,IF(BN1481&lt;&gt;BN1480,1,0)))</f>
        <v>0</v>
      </c>
      <c r="BP1481">
        <f>IF($A1481="","",IF($A1482="",1,IF(BN1482&lt;&gt;BN1481,1,0)))</f>
        <v>0</v>
      </c>
      <c r="BQ1481">
        <f>IF($A1481="","",IF(BO1481=1,$B1481,BQ1480))</f>
        <v>0</v>
      </c>
      <c r="BR1481">
        <f>IF($A1481="","",IF(BO1481=1,$C1481,MAX($C1481,BR1480)))</f>
        <v>0</v>
      </c>
      <c r="BS1481">
        <f>IF($A1481="","",IF(BO1481=1,$D1481,MIN($D1481,BS1480)))</f>
        <v>0</v>
      </c>
      <c r="BT1481">
        <f>IF($A1481="","",IF(BP1481=1,F1481,""))</f>
        <v>0</v>
      </c>
    </row>
    <row r="1482" spans="1:72">
      <c r="A1482" s="27">
        <f>IF(Data!$A1482="","",Data!$A1482)</f>
        <v>0</v>
      </c>
      <c r="B1482">
        <f>IF(Data!$B1482="","",Data!$B1482)</f>
        <v>0</v>
      </c>
      <c r="C1482">
        <f>IF(Data!$C1482="","",Data!$C1482)</f>
        <v>0</v>
      </c>
      <c r="D1482">
        <f>IF(Data!$D1482="","",Data!$D1482)</f>
        <v>0</v>
      </c>
      <c r="E1482">
        <f>IF(Data!$E1482="","",Data!$E1482)</f>
        <v>0</v>
      </c>
      <c r="F1482">
        <f>IF($E1482="","",N(F1481)+1)</f>
        <v>0</v>
      </c>
      <c r="G1482">
        <f>IF(OR($E1482="",$E1481=""),"",LN($E1482/$E1481))</f>
        <v>0</v>
      </c>
      <c r="H1482">
        <f>IF($E1482="","",IF($E1481="",$E1482,$E1482*0.0952380952+H1481*0.9047619048))</f>
        <v>0</v>
      </c>
      <c r="I1482">
        <f>IF($E1482="","",IF($E1481="",$E1482,$E1482*0.0392156863+I1481*0.9607843137))</f>
        <v>0</v>
      </c>
      <c r="J1482">
        <f>IF($E1482="","",IF($E1481="",$E1482,$E1482*0.0198019802+J1481*0.9801980198))</f>
        <v>0</v>
      </c>
      <c r="K1482">
        <f>IF($E1482="","",IF($E1481="",$E1482,$E1482*0.0099502488+K1481*0.9900497512))</f>
        <v>0</v>
      </c>
      <c r="L1482">
        <f>IF(OR($E1482="",$E1481=""),"",MAX($E1482-$E1481,0))</f>
        <v>0</v>
      </c>
      <c r="M1482">
        <f>IF(OR($E1482="",$E1481=""),"",MAX($E1481-$E1482,0))</f>
        <v>0</v>
      </c>
      <c r="N1482">
        <f>IF(COUNT($E$2:$E1482)&lt;15,"",IF(AVERAGE($M$1469:$M$1482)=0,100,100-100/(1+AVERAGE($L$1469:$L$1482)/AVERAGE($M$1469:$M$1482))))</f>
        <v>0</v>
      </c>
      <c r="O1482">
        <f>IF($E1482="","",IF($E1481="",$E1482,$E1482*0.1538461538+O1481*0.8461538462))</f>
        <v>0</v>
      </c>
      <c r="P1482">
        <f>IF($E1482="","",IF($E1481="",$E1482,$E1482*0.0740740741+P1481*0.9259259259))</f>
        <v>0</v>
      </c>
      <c r="Q1482">
        <f>IF(OR(O1482="",P1482=""),"",O1482-P1482)</f>
        <v>0</v>
      </c>
      <c r="R1482">
        <f>IF(Q1482="","",IF(R1481="",Q1482,Q1482*0.2000000000+R1481*0.8000000000))</f>
        <v>0</v>
      </c>
      <c r="S1482">
        <f>IF(OR(Q1482="",R1482=""),"",Q1482-R1482)</f>
        <v>0</v>
      </c>
      <c r="T1482">
        <f>IF(COUNT($E$2:$E1482)&lt;14,"",MAX($C$1469:$C$1482))</f>
        <v>0</v>
      </c>
      <c r="U1482">
        <f>IF(COUNT($E$2:$E1482)&lt;14,"",MIN($D$1469:$D$1482))</f>
        <v>0</v>
      </c>
      <c r="V1482">
        <f>IF(OR(T1482="",U1482="",T1482=U1482),"",100*($E1482-U1482)/(T1482-U1482))</f>
        <v>0</v>
      </c>
      <c r="W1482">
        <f>IF(COUNT($V$1480:$V$1482)&lt;3,"",AVERAGE($V$1480:$V$1482))</f>
        <v>0</v>
      </c>
      <c r="X1482">
        <f>IF(COUNT($N$1469:$N$1482)&lt;14,"",MIN($N$1469:$N$1482))</f>
        <v>0</v>
      </c>
      <c r="Y1482">
        <f>IF(COUNT($N$1469:$N$1482)&lt;14,"",MAX($N$1469:$N$1482))</f>
        <v>0</v>
      </c>
      <c r="Z1482">
        <f>IF(OR(N1482="",X1482="",Y1482="",Y1482=X1482),"",100*(N1482-X1482)/(Y1482-X1482))</f>
        <v>0</v>
      </c>
      <c r="AA1482">
        <f>IF(COUNT($Z$1480:$Z$1482)&lt;3,"",AVERAGE($Z$1480:$Z$1482))</f>
        <v>0</v>
      </c>
      <c r="AB1482">
        <f>IF(COUNT($AA$1480:$AA$1482)&lt;3,"",AVERAGE($AA$1480:$AA$1482))</f>
        <v>0</v>
      </c>
      <c r="AC1482">
        <f>IF($E1482="","",MAX($C1482-$D1482,ABS($C1482-$E1481),ABS($D1482-$E1481)))</f>
        <v>0</v>
      </c>
      <c r="AD1482">
        <f>IF(COUNT($E$2:$E1482)&lt;15,"",AVERAGE($AC$1469:$AC$1482))</f>
        <v>0</v>
      </c>
      <c r="AE1482">
        <f>IF(OR($E1482="",$E1481=""),"",IF(AND(($C1482-$C1481)&gt;($D1481-$D1482),($C1482-$C1481)&gt;0),$C1482-$C1481,0))</f>
        <v>0</v>
      </c>
      <c r="AF1482">
        <f>IF(OR($E1482="",$E1481=""),"",IF(AND(($D1481-$D1482)&gt;($C1482-$C1481),($D1481-$D1482)&gt;0),$D1481-$D1482,0))</f>
        <v>0</v>
      </c>
      <c r="AG1482">
        <f>IF(COUNT($E$2:$E1482)&lt;15,"",IF(SUM($AC$1469:$AC$1482)=0,0,100*SUM($AE$1469:$AE$1482)/SUM($AC$1469:$AC$1482)))</f>
        <v>0</v>
      </c>
      <c r="AH1482">
        <f>IF(COUNT($E$2:$E1482)&lt;15,"",IF(SUM($AC$1469:$AC$1482)=0,0,100*SUM($AF$1469:$AF$1482)/SUM($AC$1469:$AC$1482)))</f>
        <v>0</v>
      </c>
      <c r="AI1482">
        <f>IF(OR(AG1482="",AH1482=""),"",IF((AG1482+AH1482)=0,0,100*ABS(AG1482-AH1482)/(AG1482+AH1482)))</f>
        <v>0</v>
      </c>
      <c r="AJ1482">
        <f>IF(COUNT($AI$1469:$AI$1482)&lt;14,"",AVERAGE($AI$1469:$AI$1482))</f>
        <v>0</v>
      </c>
      <c r="AK1482">
        <f>IF(COUNT($E$2:$E1482)&lt;20,"",AVERAGE($E$1463:$E$1482))</f>
        <v>0</v>
      </c>
      <c r="AL1482">
        <f>IF(COUNT($E$2:$E1482)&lt;20,"",STDEVP($E$1463:$E$1482))</f>
        <v>0</v>
      </c>
      <c r="AM1482">
        <f>IF(AK1482="","",AK1482+2*AL1482)</f>
        <v>0</v>
      </c>
      <c r="AN1482">
        <f>IF(AK1482="","",AK1482-2*AL1482)</f>
        <v>0</v>
      </c>
      <c r="AO1482">
        <f>IF(OR(AM1482="",AN1482="",AM1482=AN1482),"",($E1482-AN1482)/(AM1482-AN1482))</f>
        <v>0</v>
      </c>
      <c r="AP1482">
        <f>IF(OR(AM1482="",AK1482="",AK1482=0),"",(AM1482-AN1482)/AK1482)</f>
        <v>0</v>
      </c>
      <c r="AQ1482">
        <f>IF(COUNT($E$2:$E1482)&lt;20,"",MAX($C$1463:$C$1482))</f>
        <v>0</v>
      </c>
      <c r="AR1482">
        <f>IF(COUNT($E$2:$E1482)&lt;20,"",MIN($D$1463:$D$1482))</f>
        <v>0</v>
      </c>
      <c r="AS1482">
        <f>IF(OR(AQ1482="",AR1482=""),"",(AQ1482+AR1482)/2)</f>
        <v>0</v>
      </c>
      <c r="AT1482">
        <f>IF(COUNT($G$1463:$G$1482)&lt;20,"",STDEV($G$1463:$G$1482)*SQRT(252))</f>
        <v>0</v>
      </c>
      <c r="AU1482">
        <f>IF(COUNT($E$2:$E1482)&lt;9,"",(MAX($C$1474:$C$1482)+MIN($D$1474:$D$1482))/2)</f>
        <v>0</v>
      </c>
      <c r="AV1482">
        <f>IF(COUNT($E$2:$E1482)&lt;26,"",(MAX($C$1457:$C$1482)+MIN($D$1457:$D$1482))/2)</f>
        <v>0</v>
      </c>
      <c r="AW1482">
        <f>IF(OR(AU1482="",AV1482=""),"",(AU1482+AV1482)/2)</f>
        <v>0</v>
      </c>
      <c r="AX1482">
        <f>IF(COUNT($E$2:$E1482)&lt;52,"",(MAX($C$1431:$C$1482)+MIN($D$1431:$D$1482))/2)</f>
        <v>0</v>
      </c>
      <c r="AY1482">
        <f>IF(COUNT($E$2:$E1482)&lt;20,"",MAX($C$1383:$C$1482))</f>
        <v>0</v>
      </c>
      <c r="AZ1482">
        <f>IF(COUNT($E$2:$E1482)&lt;20,"",MIN($D$1383:$D$1482))</f>
        <v>0</v>
      </c>
      <c r="BA1482">
        <f>IF(COUNT($E$2:$E1482)&lt;20,"",SLOPE($E$1383:$E$1482,$F$1383:$F$1482))</f>
        <v>0</v>
      </c>
      <c r="BB1482">
        <f>IF(COUNT($E$2:$E1482)&lt;20,"",INTERCEPT($E$1383:$E$1482,$F$1383:$F$1482))</f>
        <v>0</v>
      </c>
      <c r="BC1482">
        <f>IF(OR(BA1482="",BB1482=""),"",BB1482+BA1482*F1482)</f>
        <v>0</v>
      </c>
      <c r="BD1482">
        <f>IF(COUNT($E$2:$E1482)&lt;20,"",STEYX($E$1383:$E$1482,$F$1383:$F$1482))</f>
        <v>0</v>
      </c>
      <c r="BE1482">
        <f>IF($E1482="","",IF(AND(COUNT($E$1483:$E$1486)&gt;=4,$C1482=MAX($C$1478:$C$1486)),$C1482,""))</f>
        <v>0</v>
      </c>
      <c r="BF1482">
        <f>IF($E1482="","",IF(AND(COUNT($E$1483:$E$1486)&gt;=4,$D1482=MIN($D$1478:$D$1486)),$D1482,""))</f>
        <v>0</v>
      </c>
      <c r="BG1482">
        <f>IF($A1482="","",$A1482-WEEKDAY($A1482,2)+1)</f>
        <v>0</v>
      </c>
      <c r="BH1482">
        <f>IF($A1482="","",IF($A1481="",1,IF(BG1482&lt;&gt;BG1481,1,0)))</f>
        <v>0</v>
      </c>
      <c r="BI1482">
        <f>IF($A1482="","",IF($A1483="",1,IF(BG1483&lt;&gt;BG1482,1,0)))</f>
        <v>0</v>
      </c>
      <c r="BJ1482">
        <f>IF($A1482="","",IF(BH1482=1,$B1482,BJ1481))</f>
        <v>0</v>
      </c>
      <c r="BK1482">
        <f>IF($A1482="","",IF(BH1482=1,$C1482,MAX($C1482,BK1481)))</f>
        <v>0</v>
      </c>
      <c r="BL1482">
        <f>IF($A1482="","",IF(BH1482=1,$D1482,MIN($D1482,BL1481)))</f>
        <v>0</v>
      </c>
      <c r="BM1482">
        <f>IF($A1482="","",IF(BI1482=1,F1482,""))</f>
        <v>0</v>
      </c>
      <c r="BN1482">
        <f>IF($A1482="","",DATE(YEAR($A1482),MONTH($A1482),1))</f>
        <v>0</v>
      </c>
      <c r="BO1482">
        <f>IF($A1482="","",IF($A1481="",1,IF(BN1482&lt;&gt;BN1481,1,0)))</f>
        <v>0</v>
      </c>
      <c r="BP1482">
        <f>IF($A1482="","",IF($A1483="",1,IF(BN1483&lt;&gt;BN1482,1,0)))</f>
        <v>0</v>
      </c>
      <c r="BQ1482">
        <f>IF($A1482="","",IF(BO1482=1,$B1482,BQ1481))</f>
        <v>0</v>
      </c>
      <c r="BR1482">
        <f>IF($A1482="","",IF(BO1482=1,$C1482,MAX($C1482,BR1481)))</f>
        <v>0</v>
      </c>
      <c r="BS1482">
        <f>IF($A1482="","",IF(BO1482=1,$D1482,MIN($D1482,BS1481)))</f>
        <v>0</v>
      </c>
      <c r="BT1482">
        <f>IF($A1482="","",IF(BP1482=1,F1482,""))</f>
        <v>0</v>
      </c>
    </row>
    <row r="1483" spans="1:72">
      <c r="A1483" s="27">
        <f>IF(Data!$A1483="","",Data!$A1483)</f>
        <v>0</v>
      </c>
      <c r="B1483">
        <f>IF(Data!$B1483="","",Data!$B1483)</f>
        <v>0</v>
      </c>
      <c r="C1483">
        <f>IF(Data!$C1483="","",Data!$C1483)</f>
        <v>0</v>
      </c>
      <c r="D1483">
        <f>IF(Data!$D1483="","",Data!$D1483)</f>
        <v>0</v>
      </c>
      <c r="E1483">
        <f>IF(Data!$E1483="","",Data!$E1483)</f>
        <v>0</v>
      </c>
      <c r="F1483">
        <f>IF($E1483="","",N(F1482)+1)</f>
        <v>0</v>
      </c>
      <c r="G1483">
        <f>IF(OR($E1483="",$E1482=""),"",LN($E1483/$E1482))</f>
        <v>0</v>
      </c>
      <c r="H1483">
        <f>IF($E1483="","",IF($E1482="",$E1483,$E1483*0.0952380952+H1482*0.9047619048))</f>
        <v>0</v>
      </c>
      <c r="I1483">
        <f>IF($E1483="","",IF($E1482="",$E1483,$E1483*0.0392156863+I1482*0.9607843137))</f>
        <v>0</v>
      </c>
      <c r="J1483">
        <f>IF($E1483="","",IF($E1482="",$E1483,$E1483*0.0198019802+J1482*0.9801980198))</f>
        <v>0</v>
      </c>
      <c r="K1483">
        <f>IF($E1483="","",IF($E1482="",$E1483,$E1483*0.0099502488+K1482*0.9900497512))</f>
        <v>0</v>
      </c>
      <c r="L1483">
        <f>IF(OR($E1483="",$E1482=""),"",MAX($E1483-$E1482,0))</f>
        <v>0</v>
      </c>
      <c r="M1483">
        <f>IF(OR($E1483="",$E1482=""),"",MAX($E1482-$E1483,0))</f>
        <v>0</v>
      </c>
      <c r="N1483">
        <f>IF(COUNT($E$2:$E1483)&lt;15,"",IF(AVERAGE($M$1470:$M$1483)=0,100,100-100/(1+AVERAGE($L$1470:$L$1483)/AVERAGE($M$1470:$M$1483))))</f>
        <v>0</v>
      </c>
      <c r="O1483">
        <f>IF($E1483="","",IF($E1482="",$E1483,$E1483*0.1538461538+O1482*0.8461538462))</f>
        <v>0</v>
      </c>
      <c r="P1483">
        <f>IF($E1483="","",IF($E1482="",$E1483,$E1483*0.0740740741+P1482*0.9259259259))</f>
        <v>0</v>
      </c>
      <c r="Q1483">
        <f>IF(OR(O1483="",P1483=""),"",O1483-P1483)</f>
        <v>0</v>
      </c>
      <c r="R1483">
        <f>IF(Q1483="","",IF(R1482="",Q1483,Q1483*0.2000000000+R1482*0.8000000000))</f>
        <v>0</v>
      </c>
      <c r="S1483">
        <f>IF(OR(Q1483="",R1483=""),"",Q1483-R1483)</f>
        <v>0</v>
      </c>
      <c r="T1483">
        <f>IF(COUNT($E$2:$E1483)&lt;14,"",MAX($C$1470:$C$1483))</f>
        <v>0</v>
      </c>
      <c r="U1483">
        <f>IF(COUNT($E$2:$E1483)&lt;14,"",MIN($D$1470:$D$1483))</f>
        <v>0</v>
      </c>
      <c r="V1483">
        <f>IF(OR(T1483="",U1483="",T1483=U1483),"",100*($E1483-U1483)/(T1483-U1483))</f>
        <v>0</v>
      </c>
      <c r="W1483">
        <f>IF(COUNT($V$1481:$V$1483)&lt;3,"",AVERAGE($V$1481:$V$1483))</f>
        <v>0</v>
      </c>
      <c r="X1483">
        <f>IF(COUNT($N$1470:$N$1483)&lt;14,"",MIN($N$1470:$N$1483))</f>
        <v>0</v>
      </c>
      <c r="Y1483">
        <f>IF(COUNT($N$1470:$N$1483)&lt;14,"",MAX($N$1470:$N$1483))</f>
        <v>0</v>
      </c>
      <c r="Z1483">
        <f>IF(OR(N1483="",X1483="",Y1483="",Y1483=X1483),"",100*(N1483-X1483)/(Y1483-X1483))</f>
        <v>0</v>
      </c>
      <c r="AA1483">
        <f>IF(COUNT($Z$1481:$Z$1483)&lt;3,"",AVERAGE($Z$1481:$Z$1483))</f>
        <v>0</v>
      </c>
      <c r="AB1483">
        <f>IF(COUNT($AA$1481:$AA$1483)&lt;3,"",AVERAGE($AA$1481:$AA$1483))</f>
        <v>0</v>
      </c>
      <c r="AC1483">
        <f>IF($E1483="","",MAX($C1483-$D1483,ABS($C1483-$E1482),ABS($D1483-$E1482)))</f>
        <v>0</v>
      </c>
      <c r="AD1483">
        <f>IF(COUNT($E$2:$E1483)&lt;15,"",AVERAGE($AC$1470:$AC$1483))</f>
        <v>0</v>
      </c>
      <c r="AE1483">
        <f>IF(OR($E1483="",$E1482=""),"",IF(AND(($C1483-$C1482)&gt;($D1482-$D1483),($C1483-$C1482)&gt;0),$C1483-$C1482,0))</f>
        <v>0</v>
      </c>
      <c r="AF1483">
        <f>IF(OR($E1483="",$E1482=""),"",IF(AND(($D1482-$D1483)&gt;($C1483-$C1482),($D1482-$D1483)&gt;0),$D1482-$D1483,0))</f>
        <v>0</v>
      </c>
      <c r="AG1483">
        <f>IF(COUNT($E$2:$E1483)&lt;15,"",IF(SUM($AC$1470:$AC$1483)=0,0,100*SUM($AE$1470:$AE$1483)/SUM($AC$1470:$AC$1483)))</f>
        <v>0</v>
      </c>
      <c r="AH1483">
        <f>IF(COUNT($E$2:$E1483)&lt;15,"",IF(SUM($AC$1470:$AC$1483)=0,0,100*SUM($AF$1470:$AF$1483)/SUM($AC$1470:$AC$1483)))</f>
        <v>0</v>
      </c>
      <c r="AI1483">
        <f>IF(OR(AG1483="",AH1483=""),"",IF((AG1483+AH1483)=0,0,100*ABS(AG1483-AH1483)/(AG1483+AH1483)))</f>
        <v>0</v>
      </c>
      <c r="AJ1483">
        <f>IF(COUNT($AI$1470:$AI$1483)&lt;14,"",AVERAGE($AI$1470:$AI$1483))</f>
        <v>0</v>
      </c>
      <c r="AK1483">
        <f>IF(COUNT($E$2:$E1483)&lt;20,"",AVERAGE($E$1464:$E$1483))</f>
        <v>0</v>
      </c>
      <c r="AL1483">
        <f>IF(COUNT($E$2:$E1483)&lt;20,"",STDEVP($E$1464:$E$1483))</f>
        <v>0</v>
      </c>
      <c r="AM1483">
        <f>IF(AK1483="","",AK1483+2*AL1483)</f>
        <v>0</v>
      </c>
      <c r="AN1483">
        <f>IF(AK1483="","",AK1483-2*AL1483)</f>
        <v>0</v>
      </c>
      <c r="AO1483">
        <f>IF(OR(AM1483="",AN1483="",AM1483=AN1483),"",($E1483-AN1483)/(AM1483-AN1483))</f>
        <v>0</v>
      </c>
      <c r="AP1483">
        <f>IF(OR(AM1483="",AK1483="",AK1483=0),"",(AM1483-AN1483)/AK1483)</f>
        <v>0</v>
      </c>
      <c r="AQ1483">
        <f>IF(COUNT($E$2:$E1483)&lt;20,"",MAX($C$1464:$C$1483))</f>
        <v>0</v>
      </c>
      <c r="AR1483">
        <f>IF(COUNT($E$2:$E1483)&lt;20,"",MIN($D$1464:$D$1483))</f>
        <v>0</v>
      </c>
      <c r="AS1483">
        <f>IF(OR(AQ1483="",AR1483=""),"",(AQ1483+AR1483)/2)</f>
        <v>0</v>
      </c>
      <c r="AT1483">
        <f>IF(COUNT($G$1464:$G$1483)&lt;20,"",STDEV($G$1464:$G$1483)*SQRT(252))</f>
        <v>0</v>
      </c>
      <c r="AU1483">
        <f>IF(COUNT($E$2:$E1483)&lt;9,"",(MAX($C$1475:$C$1483)+MIN($D$1475:$D$1483))/2)</f>
        <v>0</v>
      </c>
      <c r="AV1483">
        <f>IF(COUNT($E$2:$E1483)&lt;26,"",(MAX($C$1458:$C$1483)+MIN($D$1458:$D$1483))/2)</f>
        <v>0</v>
      </c>
      <c r="AW1483">
        <f>IF(OR(AU1483="",AV1483=""),"",(AU1483+AV1483)/2)</f>
        <v>0</v>
      </c>
      <c r="AX1483">
        <f>IF(COUNT($E$2:$E1483)&lt;52,"",(MAX($C$1432:$C$1483)+MIN($D$1432:$D$1483))/2)</f>
        <v>0</v>
      </c>
      <c r="AY1483">
        <f>IF(COUNT($E$2:$E1483)&lt;20,"",MAX($C$1384:$C$1483))</f>
        <v>0</v>
      </c>
      <c r="AZ1483">
        <f>IF(COUNT($E$2:$E1483)&lt;20,"",MIN($D$1384:$D$1483))</f>
        <v>0</v>
      </c>
      <c r="BA1483">
        <f>IF(COUNT($E$2:$E1483)&lt;20,"",SLOPE($E$1384:$E$1483,$F$1384:$F$1483))</f>
        <v>0</v>
      </c>
      <c r="BB1483">
        <f>IF(COUNT($E$2:$E1483)&lt;20,"",INTERCEPT($E$1384:$E$1483,$F$1384:$F$1483))</f>
        <v>0</v>
      </c>
      <c r="BC1483">
        <f>IF(OR(BA1483="",BB1483=""),"",BB1483+BA1483*F1483)</f>
        <v>0</v>
      </c>
      <c r="BD1483">
        <f>IF(COUNT($E$2:$E1483)&lt;20,"",STEYX($E$1384:$E$1483,$F$1384:$F$1483))</f>
        <v>0</v>
      </c>
      <c r="BE1483">
        <f>IF($E1483="","",IF(AND(COUNT($E$1484:$E$1487)&gt;=4,$C1483=MAX($C$1479:$C$1487)),$C1483,""))</f>
        <v>0</v>
      </c>
      <c r="BF1483">
        <f>IF($E1483="","",IF(AND(COUNT($E$1484:$E$1487)&gt;=4,$D1483=MIN($D$1479:$D$1487)),$D1483,""))</f>
        <v>0</v>
      </c>
      <c r="BG1483">
        <f>IF($A1483="","",$A1483-WEEKDAY($A1483,2)+1)</f>
        <v>0</v>
      </c>
      <c r="BH1483">
        <f>IF($A1483="","",IF($A1482="",1,IF(BG1483&lt;&gt;BG1482,1,0)))</f>
        <v>0</v>
      </c>
      <c r="BI1483">
        <f>IF($A1483="","",IF($A1484="",1,IF(BG1484&lt;&gt;BG1483,1,0)))</f>
        <v>0</v>
      </c>
      <c r="BJ1483">
        <f>IF($A1483="","",IF(BH1483=1,$B1483,BJ1482))</f>
        <v>0</v>
      </c>
      <c r="BK1483">
        <f>IF($A1483="","",IF(BH1483=1,$C1483,MAX($C1483,BK1482)))</f>
        <v>0</v>
      </c>
      <c r="BL1483">
        <f>IF($A1483="","",IF(BH1483=1,$D1483,MIN($D1483,BL1482)))</f>
        <v>0</v>
      </c>
      <c r="BM1483">
        <f>IF($A1483="","",IF(BI1483=1,F1483,""))</f>
        <v>0</v>
      </c>
      <c r="BN1483">
        <f>IF($A1483="","",DATE(YEAR($A1483),MONTH($A1483),1))</f>
        <v>0</v>
      </c>
      <c r="BO1483">
        <f>IF($A1483="","",IF($A1482="",1,IF(BN1483&lt;&gt;BN1482,1,0)))</f>
        <v>0</v>
      </c>
      <c r="BP1483">
        <f>IF($A1483="","",IF($A1484="",1,IF(BN1484&lt;&gt;BN1483,1,0)))</f>
        <v>0</v>
      </c>
      <c r="BQ1483">
        <f>IF($A1483="","",IF(BO1483=1,$B1483,BQ1482))</f>
        <v>0</v>
      </c>
      <c r="BR1483">
        <f>IF($A1483="","",IF(BO1483=1,$C1483,MAX($C1483,BR1482)))</f>
        <v>0</v>
      </c>
      <c r="BS1483">
        <f>IF($A1483="","",IF(BO1483=1,$D1483,MIN($D1483,BS1482)))</f>
        <v>0</v>
      </c>
      <c r="BT1483">
        <f>IF($A1483="","",IF(BP1483=1,F1483,""))</f>
        <v>0</v>
      </c>
    </row>
    <row r="1484" spans="1:72">
      <c r="A1484" s="27">
        <f>IF(Data!$A1484="","",Data!$A1484)</f>
        <v>0</v>
      </c>
      <c r="B1484">
        <f>IF(Data!$B1484="","",Data!$B1484)</f>
        <v>0</v>
      </c>
      <c r="C1484">
        <f>IF(Data!$C1484="","",Data!$C1484)</f>
        <v>0</v>
      </c>
      <c r="D1484">
        <f>IF(Data!$D1484="","",Data!$D1484)</f>
        <v>0</v>
      </c>
      <c r="E1484">
        <f>IF(Data!$E1484="","",Data!$E1484)</f>
        <v>0</v>
      </c>
      <c r="F1484">
        <f>IF($E1484="","",N(F1483)+1)</f>
        <v>0</v>
      </c>
      <c r="G1484">
        <f>IF(OR($E1484="",$E1483=""),"",LN($E1484/$E1483))</f>
        <v>0</v>
      </c>
      <c r="H1484">
        <f>IF($E1484="","",IF($E1483="",$E1484,$E1484*0.0952380952+H1483*0.9047619048))</f>
        <v>0</v>
      </c>
      <c r="I1484">
        <f>IF($E1484="","",IF($E1483="",$E1484,$E1484*0.0392156863+I1483*0.9607843137))</f>
        <v>0</v>
      </c>
      <c r="J1484">
        <f>IF($E1484="","",IF($E1483="",$E1484,$E1484*0.0198019802+J1483*0.9801980198))</f>
        <v>0</v>
      </c>
      <c r="K1484">
        <f>IF($E1484="","",IF($E1483="",$E1484,$E1484*0.0099502488+K1483*0.9900497512))</f>
        <v>0</v>
      </c>
      <c r="L1484">
        <f>IF(OR($E1484="",$E1483=""),"",MAX($E1484-$E1483,0))</f>
        <v>0</v>
      </c>
      <c r="M1484">
        <f>IF(OR($E1484="",$E1483=""),"",MAX($E1483-$E1484,0))</f>
        <v>0</v>
      </c>
      <c r="N1484">
        <f>IF(COUNT($E$2:$E1484)&lt;15,"",IF(AVERAGE($M$1471:$M$1484)=0,100,100-100/(1+AVERAGE($L$1471:$L$1484)/AVERAGE($M$1471:$M$1484))))</f>
        <v>0</v>
      </c>
      <c r="O1484">
        <f>IF($E1484="","",IF($E1483="",$E1484,$E1484*0.1538461538+O1483*0.8461538462))</f>
        <v>0</v>
      </c>
      <c r="P1484">
        <f>IF($E1484="","",IF($E1483="",$E1484,$E1484*0.0740740741+P1483*0.9259259259))</f>
        <v>0</v>
      </c>
      <c r="Q1484">
        <f>IF(OR(O1484="",P1484=""),"",O1484-P1484)</f>
        <v>0</v>
      </c>
      <c r="R1484">
        <f>IF(Q1484="","",IF(R1483="",Q1484,Q1484*0.2000000000+R1483*0.8000000000))</f>
        <v>0</v>
      </c>
      <c r="S1484">
        <f>IF(OR(Q1484="",R1484=""),"",Q1484-R1484)</f>
        <v>0</v>
      </c>
      <c r="T1484">
        <f>IF(COUNT($E$2:$E1484)&lt;14,"",MAX($C$1471:$C$1484))</f>
        <v>0</v>
      </c>
      <c r="U1484">
        <f>IF(COUNT($E$2:$E1484)&lt;14,"",MIN($D$1471:$D$1484))</f>
        <v>0</v>
      </c>
      <c r="V1484">
        <f>IF(OR(T1484="",U1484="",T1484=U1484),"",100*($E1484-U1484)/(T1484-U1484))</f>
        <v>0</v>
      </c>
      <c r="W1484">
        <f>IF(COUNT($V$1482:$V$1484)&lt;3,"",AVERAGE($V$1482:$V$1484))</f>
        <v>0</v>
      </c>
      <c r="X1484">
        <f>IF(COUNT($N$1471:$N$1484)&lt;14,"",MIN($N$1471:$N$1484))</f>
        <v>0</v>
      </c>
      <c r="Y1484">
        <f>IF(COUNT($N$1471:$N$1484)&lt;14,"",MAX($N$1471:$N$1484))</f>
        <v>0</v>
      </c>
      <c r="Z1484">
        <f>IF(OR(N1484="",X1484="",Y1484="",Y1484=X1484),"",100*(N1484-X1484)/(Y1484-X1484))</f>
        <v>0</v>
      </c>
      <c r="AA1484">
        <f>IF(COUNT($Z$1482:$Z$1484)&lt;3,"",AVERAGE($Z$1482:$Z$1484))</f>
        <v>0</v>
      </c>
      <c r="AB1484">
        <f>IF(COUNT($AA$1482:$AA$1484)&lt;3,"",AVERAGE($AA$1482:$AA$1484))</f>
        <v>0</v>
      </c>
      <c r="AC1484">
        <f>IF($E1484="","",MAX($C1484-$D1484,ABS($C1484-$E1483),ABS($D1484-$E1483)))</f>
        <v>0</v>
      </c>
      <c r="AD1484">
        <f>IF(COUNT($E$2:$E1484)&lt;15,"",AVERAGE($AC$1471:$AC$1484))</f>
        <v>0</v>
      </c>
      <c r="AE1484">
        <f>IF(OR($E1484="",$E1483=""),"",IF(AND(($C1484-$C1483)&gt;($D1483-$D1484),($C1484-$C1483)&gt;0),$C1484-$C1483,0))</f>
        <v>0</v>
      </c>
      <c r="AF1484">
        <f>IF(OR($E1484="",$E1483=""),"",IF(AND(($D1483-$D1484)&gt;($C1484-$C1483),($D1483-$D1484)&gt;0),$D1483-$D1484,0))</f>
        <v>0</v>
      </c>
      <c r="AG1484">
        <f>IF(COUNT($E$2:$E1484)&lt;15,"",IF(SUM($AC$1471:$AC$1484)=0,0,100*SUM($AE$1471:$AE$1484)/SUM($AC$1471:$AC$1484)))</f>
        <v>0</v>
      </c>
      <c r="AH1484">
        <f>IF(COUNT($E$2:$E1484)&lt;15,"",IF(SUM($AC$1471:$AC$1484)=0,0,100*SUM($AF$1471:$AF$1484)/SUM($AC$1471:$AC$1484)))</f>
        <v>0</v>
      </c>
      <c r="AI1484">
        <f>IF(OR(AG1484="",AH1484=""),"",IF((AG1484+AH1484)=0,0,100*ABS(AG1484-AH1484)/(AG1484+AH1484)))</f>
        <v>0</v>
      </c>
      <c r="AJ1484">
        <f>IF(COUNT($AI$1471:$AI$1484)&lt;14,"",AVERAGE($AI$1471:$AI$1484))</f>
        <v>0</v>
      </c>
      <c r="AK1484">
        <f>IF(COUNT($E$2:$E1484)&lt;20,"",AVERAGE($E$1465:$E$1484))</f>
        <v>0</v>
      </c>
      <c r="AL1484">
        <f>IF(COUNT($E$2:$E1484)&lt;20,"",STDEVP($E$1465:$E$1484))</f>
        <v>0</v>
      </c>
      <c r="AM1484">
        <f>IF(AK1484="","",AK1484+2*AL1484)</f>
        <v>0</v>
      </c>
      <c r="AN1484">
        <f>IF(AK1484="","",AK1484-2*AL1484)</f>
        <v>0</v>
      </c>
      <c r="AO1484">
        <f>IF(OR(AM1484="",AN1484="",AM1484=AN1484),"",($E1484-AN1484)/(AM1484-AN1484))</f>
        <v>0</v>
      </c>
      <c r="AP1484">
        <f>IF(OR(AM1484="",AK1484="",AK1484=0),"",(AM1484-AN1484)/AK1484)</f>
        <v>0</v>
      </c>
      <c r="AQ1484">
        <f>IF(COUNT($E$2:$E1484)&lt;20,"",MAX($C$1465:$C$1484))</f>
        <v>0</v>
      </c>
      <c r="AR1484">
        <f>IF(COUNT($E$2:$E1484)&lt;20,"",MIN($D$1465:$D$1484))</f>
        <v>0</v>
      </c>
      <c r="AS1484">
        <f>IF(OR(AQ1484="",AR1484=""),"",(AQ1484+AR1484)/2)</f>
        <v>0</v>
      </c>
      <c r="AT1484">
        <f>IF(COUNT($G$1465:$G$1484)&lt;20,"",STDEV($G$1465:$G$1484)*SQRT(252))</f>
        <v>0</v>
      </c>
      <c r="AU1484">
        <f>IF(COUNT($E$2:$E1484)&lt;9,"",(MAX($C$1476:$C$1484)+MIN($D$1476:$D$1484))/2)</f>
        <v>0</v>
      </c>
      <c r="AV1484">
        <f>IF(COUNT($E$2:$E1484)&lt;26,"",(MAX($C$1459:$C$1484)+MIN($D$1459:$D$1484))/2)</f>
        <v>0</v>
      </c>
      <c r="AW1484">
        <f>IF(OR(AU1484="",AV1484=""),"",(AU1484+AV1484)/2)</f>
        <v>0</v>
      </c>
      <c r="AX1484">
        <f>IF(COUNT($E$2:$E1484)&lt;52,"",(MAX($C$1433:$C$1484)+MIN($D$1433:$D$1484))/2)</f>
        <v>0</v>
      </c>
      <c r="AY1484">
        <f>IF(COUNT($E$2:$E1484)&lt;20,"",MAX($C$1385:$C$1484))</f>
        <v>0</v>
      </c>
      <c r="AZ1484">
        <f>IF(COUNT($E$2:$E1484)&lt;20,"",MIN($D$1385:$D$1484))</f>
        <v>0</v>
      </c>
      <c r="BA1484">
        <f>IF(COUNT($E$2:$E1484)&lt;20,"",SLOPE($E$1385:$E$1484,$F$1385:$F$1484))</f>
        <v>0</v>
      </c>
      <c r="BB1484">
        <f>IF(COUNT($E$2:$E1484)&lt;20,"",INTERCEPT($E$1385:$E$1484,$F$1385:$F$1484))</f>
        <v>0</v>
      </c>
      <c r="BC1484">
        <f>IF(OR(BA1484="",BB1484=""),"",BB1484+BA1484*F1484)</f>
        <v>0</v>
      </c>
      <c r="BD1484">
        <f>IF(COUNT($E$2:$E1484)&lt;20,"",STEYX($E$1385:$E$1484,$F$1385:$F$1484))</f>
        <v>0</v>
      </c>
      <c r="BE1484">
        <f>IF($E1484="","",IF(AND(COUNT($E$1485:$E$1488)&gt;=4,$C1484=MAX($C$1480:$C$1488)),$C1484,""))</f>
        <v>0</v>
      </c>
      <c r="BF1484">
        <f>IF($E1484="","",IF(AND(COUNT($E$1485:$E$1488)&gt;=4,$D1484=MIN($D$1480:$D$1488)),$D1484,""))</f>
        <v>0</v>
      </c>
      <c r="BG1484">
        <f>IF($A1484="","",$A1484-WEEKDAY($A1484,2)+1)</f>
        <v>0</v>
      </c>
      <c r="BH1484">
        <f>IF($A1484="","",IF($A1483="",1,IF(BG1484&lt;&gt;BG1483,1,0)))</f>
        <v>0</v>
      </c>
      <c r="BI1484">
        <f>IF($A1484="","",IF($A1485="",1,IF(BG1485&lt;&gt;BG1484,1,0)))</f>
        <v>0</v>
      </c>
      <c r="BJ1484">
        <f>IF($A1484="","",IF(BH1484=1,$B1484,BJ1483))</f>
        <v>0</v>
      </c>
      <c r="BK1484">
        <f>IF($A1484="","",IF(BH1484=1,$C1484,MAX($C1484,BK1483)))</f>
        <v>0</v>
      </c>
      <c r="BL1484">
        <f>IF($A1484="","",IF(BH1484=1,$D1484,MIN($D1484,BL1483)))</f>
        <v>0</v>
      </c>
      <c r="BM1484">
        <f>IF($A1484="","",IF(BI1484=1,F1484,""))</f>
        <v>0</v>
      </c>
      <c r="BN1484">
        <f>IF($A1484="","",DATE(YEAR($A1484),MONTH($A1484),1))</f>
        <v>0</v>
      </c>
      <c r="BO1484">
        <f>IF($A1484="","",IF($A1483="",1,IF(BN1484&lt;&gt;BN1483,1,0)))</f>
        <v>0</v>
      </c>
      <c r="BP1484">
        <f>IF($A1484="","",IF($A1485="",1,IF(BN1485&lt;&gt;BN1484,1,0)))</f>
        <v>0</v>
      </c>
      <c r="BQ1484">
        <f>IF($A1484="","",IF(BO1484=1,$B1484,BQ1483))</f>
        <v>0</v>
      </c>
      <c r="BR1484">
        <f>IF($A1484="","",IF(BO1484=1,$C1484,MAX($C1484,BR1483)))</f>
        <v>0</v>
      </c>
      <c r="BS1484">
        <f>IF($A1484="","",IF(BO1484=1,$D1484,MIN($D1484,BS1483)))</f>
        <v>0</v>
      </c>
      <c r="BT1484">
        <f>IF($A1484="","",IF(BP1484=1,F1484,""))</f>
        <v>0</v>
      </c>
    </row>
    <row r="1485" spans="1:72">
      <c r="A1485" s="27">
        <f>IF(Data!$A1485="","",Data!$A1485)</f>
        <v>0</v>
      </c>
      <c r="B1485">
        <f>IF(Data!$B1485="","",Data!$B1485)</f>
        <v>0</v>
      </c>
      <c r="C1485">
        <f>IF(Data!$C1485="","",Data!$C1485)</f>
        <v>0</v>
      </c>
      <c r="D1485">
        <f>IF(Data!$D1485="","",Data!$D1485)</f>
        <v>0</v>
      </c>
      <c r="E1485">
        <f>IF(Data!$E1485="","",Data!$E1485)</f>
        <v>0</v>
      </c>
      <c r="F1485">
        <f>IF($E1485="","",N(F1484)+1)</f>
        <v>0</v>
      </c>
      <c r="G1485">
        <f>IF(OR($E1485="",$E1484=""),"",LN($E1485/$E1484))</f>
        <v>0</v>
      </c>
      <c r="H1485">
        <f>IF($E1485="","",IF($E1484="",$E1485,$E1485*0.0952380952+H1484*0.9047619048))</f>
        <v>0</v>
      </c>
      <c r="I1485">
        <f>IF($E1485="","",IF($E1484="",$E1485,$E1485*0.0392156863+I1484*0.9607843137))</f>
        <v>0</v>
      </c>
      <c r="J1485">
        <f>IF($E1485="","",IF($E1484="",$E1485,$E1485*0.0198019802+J1484*0.9801980198))</f>
        <v>0</v>
      </c>
      <c r="K1485">
        <f>IF($E1485="","",IF($E1484="",$E1485,$E1485*0.0099502488+K1484*0.9900497512))</f>
        <v>0</v>
      </c>
      <c r="L1485">
        <f>IF(OR($E1485="",$E1484=""),"",MAX($E1485-$E1484,0))</f>
        <v>0</v>
      </c>
      <c r="M1485">
        <f>IF(OR($E1485="",$E1484=""),"",MAX($E1484-$E1485,0))</f>
        <v>0</v>
      </c>
      <c r="N1485">
        <f>IF(COUNT($E$2:$E1485)&lt;15,"",IF(AVERAGE($M$1472:$M$1485)=0,100,100-100/(1+AVERAGE($L$1472:$L$1485)/AVERAGE($M$1472:$M$1485))))</f>
        <v>0</v>
      </c>
      <c r="O1485">
        <f>IF($E1485="","",IF($E1484="",$E1485,$E1485*0.1538461538+O1484*0.8461538462))</f>
        <v>0</v>
      </c>
      <c r="P1485">
        <f>IF($E1485="","",IF($E1484="",$E1485,$E1485*0.0740740741+P1484*0.9259259259))</f>
        <v>0</v>
      </c>
      <c r="Q1485">
        <f>IF(OR(O1485="",P1485=""),"",O1485-P1485)</f>
        <v>0</v>
      </c>
      <c r="R1485">
        <f>IF(Q1485="","",IF(R1484="",Q1485,Q1485*0.2000000000+R1484*0.8000000000))</f>
        <v>0</v>
      </c>
      <c r="S1485">
        <f>IF(OR(Q1485="",R1485=""),"",Q1485-R1485)</f>
        <v>0</v>
      </c>
      <c r="T1485">
        <f>IF(COUNT($E$2:$E1485)&lt;14,"",MAX($C$1472:$C$1485))</f>
        <v>0</v>
      </c>
      <c r="U1485">
        <f>IF(COUNT($E$2:$E1485)&lt;14,"",MIN($D$1472:$D$1485))</f>
        <v>0</v>
      </c>
      <c r="V1485">
        <f>IF(OR(T1485="",U1485="",T1485=U1485),"",100*($E1485-U1485)/(T1485-U1485))</f>
        <v>0</v>
      </c>
      <c r="W1485">
        <f>IF(COUNT($V$1483:$V$1485)&lt;3,"",AVERAGE($V$1483:$V$1485))</f>
        <v>0</v>
      </c>
      <c r="X1485">
        <f>IF(COUNT($N$1472:$N$1485)&lt;14,"",MIN($N$1472:$N$1485))</f>
        <v>0</v>
      </c>
      <c r="Y1485">
        <f>IF(COUNT($N$1472:$N$1485)&lt;14,"",MAX($N$1472:$N$1485))</f>
        <v>0</v>
      </c>
      <c r="Z1485">
        <f>IF(OR(N1485="",X1485="",Y1485="",Y1485=X1485),"",100*(N1485-X1485)/(Y1485-X1485))</f>
        <v>0</v>
      </c>
      <c r="AA1485">
        <f>IF(COUNT($Z$1483:$Z$1485)&lt;3,"",AVERAGE($Z$1483:$Z$1485))</f>
        <v>0</v>
      </c>
      <c r="AB1485">
        <f>IF(COUNT($AA$1483:$AA$1485)&lt;3,"",AVERAGE($AA$1483:$AA$1485))</f>
        <v>0</v>
      </c>
      <c r="AC1485">
        <f>IF($E1485="","",MAX($C1485-$D1485,ABS($C1485-$E1484),ABS($D1485-$E1484)))</f>
        <v>0</v>
      </c>
      <c r="AD1485">
        <f>IF(COUNT($E$2:$E1485)&lt;15,"",AVERAGE($AC$1472:$AC$1485))</f>
        <v>0</v>
      </c>
      <c r="AE1485">
        <f>IF(OR($E1485="",$E1484=""),"",IF(AND(($C1485-$C1484)&gt;($D1484-$D1485),($C1485-$C1484)&gt;0),$C1485-$C1484,0))</f>
        <v>0</v>
      </c>
      <c r="AF1485">
        <f>IF(OR($E1485="",$E1484=""),"",IF(AND(($D1484-$D1485)&gt;($C1485-$C1484),($D1484-$D1485)&gt;0),$D1484-$D1485,0))</f>
        <v>0</v>
      </c>
      <c r="AG1485">
        <f>IF(COUNT($E$2:$E1485)&lt;15,"",IF(SUM($AC$1472:$AC$1485)=0,0,100*SUM($AE$1472:$AE$1485)/SUM($AC$1472:$AC$1485)))</f>
        <v>0</v>
      </c>
      <c r="AH1485">
        <f>IF(COUNT($E$2:$E1485)&lt;15,"",IF(SUM($AC$1472:$AC$1485)=0,0,100*SUM($AF$1472:$AF$1485)/SUM($AC$1472:$AC$1485)))</f>
        <v>0</v>
      </c>
      <c r="AI1485">
        <f>IF(OR(AG1485="",AH1485=""),"",IF((AG1485+AH1485)=0,0,100*ABS(AG1485-AH1485)/(AG1485+AH1485)))</f>
        <v>0</v>
      </c>
      <c r="AJ1485">
        <f>IF(COUNT($AI$1472:$AI$1485)&lt;14,"",AVERAGE($AI$1472:$AI$1485))</f>
        <v>0</v>
      </c>
      <c r="AK1485">
        <f>IF(COUNT($E$2:$E1485)&lt;20,"",AVERAGE($E$1466:$E$1485))</f>
        <v>0</v>
      </c>
      <c r="AL1485">
        <f>IF(COUNT($E$2:$E1485)&lt;20,"",STDEVP($E$1466:$E$1485))</f>
        <v>0</v>
      </c>
      <c r="AM1485">
        <f>IF(AK1485="","",AK1485+2*AL1485)</f>
        <v>0</v>
      </c>
      <c r="AN1485">
        <f>IF(AK1485="","",AK1485-2*AL1485)</f>
        <v>0</v>
      </c>
      <c r="AO1485">
        <f>IF(OR(AM1485="",AN1485="",AM1485=AN1485),"",($E1485-AN1485)/(AM1485-AN1485))</f>
        <v>0</v>
      </c>
      <c r="AP1485">
        <f>IF(OR(AM1485="",AK1485="",AK1485=0),"",(AM1485-AN1485)/AK1485)</f>
        <v>0</v>
      </c>
      <c r="AQ1485">
        <f>IF(COUNT($E$2:$E1485)&lt;20,"",MAX($C$1466:$C$1485))</f>
        <v>0</v>
      </c>
      <c r="AR1485">
        <f>IF(COUNT($E$2:$E1485)&lt;20,"",MIN($D$1466:$D$1485))</f>
        <v>0</v>
      </c>
      <c r="AS1485">
        <f>IF(OR(AQ1485="",AR1485=""),"",(AQ1485+AR1485)/2)</f>
        <v>0</v>
      </c>
      <c r="AT1485">
        <f>IF(COUNT($G$1466:$G$1485)&lt;20,"",STDEV($G$1466:$G$1485)*SQRT(252))</f>
        <v>0</v>
      </c>
      <c r="AU1485">
        <f>IF(COUNT($E$2:$E1485)&lt;9,"",(MAX($C$1477:$C$1485)+MIN($D$1477:$D$1485))/2)</f>
        <v>0</v>
      </c>
      <c r="AV1485">
        <f>IF(COUNT($E$2:$E1485)&lt;26,"",(MAX($C$1460:$C$1485)+MIN($D$1460:$D$1485))/2)</f>
        <v>0</v>
      </c>
      <c r="AW1485">
        <f>IF(OR(AU1485="",AV1485=""),"",(AU1485+AV1485)/2)</f>
        <v>0</v>
      </c>
      <c r="AX1485">
        <f>IF(COUNT($E$2:$E1485)&lt;52,"",(MAX($C$1434:$C$1485)+MIN($D$1434:$D$1485))/2)</f>
        <v>0</v>
      </c>
      <c r="AY1485">
        <f>IF(COUNT($E$2:$E1485)&lt;20,"",MAX($C$1386:$C$1485))</f>
        <v>0</v>
      </c>
      <c r="AZ1485">
        <f>IF(COUNT($E$2:$E1485)&lt;20,"",MIN($D$1386:$D$1485))</f>
        <v>0</v>
      </c>
      <c r="BA1485">
        <f>IF(COUNT($E$2:$E1485)&lt;20,"",SLOPE($E$1386:$E$1485,$F$1386:$F$1485))</f>
        <v>0</v>
      </c>
      <c r="BB1485">
        <f>IF(COUNT($E$2:$E1485)&lt;20,"",INTERCEPT($E$1386:$E$1485,$F$1386:$F$1485))</f>
        <v>0</v>
      </c>
      <c r="BC1485">
        <f>IF(OR(BA1485="",BB1485=""),"",BB1485+BA1485*F1485)</f>
        <v>0</v>
      </c>
      <c r="BD1485">
        <f>IF(COUNT($E$2:$E1485)&lt;20,"",STEYX($E$1386:$E$1485,$F$1386:$F$1485))</f>
        <v>0</v>
      </c>
      <c r="BE1485">
        <f>IF($E1485="","",IF(AND(COUNT($E$1486:$E$1489)&gt;=4,$C1485=MAX($C$1481:$C$1489)),$C1485,""))</f>
        <v>0</v>
      </c>
      <c r="BF1485">
        <f>IF($E1485="","",IF(AND(COUNT($E$1486:$E$1489)&gt;=4,$D1485=MIN($D$1481:$D$1489)),$D1485,""))</f>
        <v>0</v>
      </c>
      <c r="BG1485">
        <f>IF($A1485="","",$A1485-WEEKDAY($A1485,2)+1)</f>
        <v>0</v>
      </c>
      <c r="BH1485">
        <f>IF($A1485="","",IF($A1484="",1,IF(BG1485&lt;&gt;BG1484,1,0)))</f>
        <v>0</v>
      </c>
      <c r="BI1485">
        <f>IF($A1485="","",IF($A1486="",1,IF(BG1486&lt;&gt;BG1485,1,0)))</f>
        <v>0</v>
      </c>
      <c r="BJ1485">
        <f>IF($A1485="","",IF(BH1485=1,$B1485,BJ1484))</f>
        <v>0</v>
      </c>
      <c r="BK1485">
        <f>IF($A1485="","",IF(BH1485=1,$C1485,MAX($C1485,BK1484)))</f>
        <v>0</v>
      </c>
      <c r="BL1485">
        <f>IF($A1485="","",IF(BH1485=1,$D1485,MIN($D1485,BL1484)))</f>
        <v>0</v>
      </c>
      <c r="BM1485">
        <f>IF($A1485="","",IF(BI1485=1,F1485,""))</f>
        <v>0</v>
      </c>
      <c r="BN1485">
        <f>IF($A1485="","",DATE(YEAR($A1485),MONTH($A1485),1))</f>
        <v>0</v>
      </c>
      <c r="BO1485">
        <f>IF($A1485="","",IF($A1484="",1,IF(BN1485&lt;&gt;BN1484,1,0)))</f>
        <v>0</v>
      </c>
      <c r="BP1485">
        <f>IF($A1485="","",IF($A1486="",1,IF(BN1486&lt;&gt;BN1485,1,0)))</f>
        <v>0</v>
      </c>
      <c r="BQ1485">
        <f>IF($A1485="","",IF(BO1485=1,$B1485,BQ1484))</f>
        <v>0</v>
      </c>
      <c r="BR1485">
        <f>IF($A1485="","",IF(BO1485=1,$C1485,MAX($C1485,BR1484)))</f>
        <v>0</v>
      </c>
      <c r="BS1485">
        <f>IF($A1485="","",IF(BO1485=1,$D1485,MIN($D1485,BS1484)))</f>
        <v>0</v>
      </c>
      <c r="BT1485">
        <f>IF($A1485="","",IF(BP1485=1,F1485,""))</f>
        <v>0</v>
      </c>
    </row>
    <row r="1486" spans="1:72">
      <c r="A1486" s="27">
        <f>IF(Data!$A1486="","",Data!$A1486)</f>
        <v>0</v>
      </c>
      <c r="B1486">
        <f>IF(Data!$B1486="","",Data!$B1486)</f>
        <v>0</v>
      </c>
      <c r="C1486">
        <f>IF(Data!$C1486="","",Data!$C1486)</f>
        <v>0</v>
      </c>
      <c r="D1486">
        <f>IF(Data!$D1486="","",Data!$D1486)</f>
        <v>0</v>
      </c>
      <c r="E1486">
        <f>IF(Data!$E1486="","",Data!$E1486)</f>
        <v>0</v>
      </c>
      <c r="F1486">
        <f>IF($E1486="","",N(F1485)+1)</f>
        <v>0</v>
      </c>
      <c r="G1486">
        <f>IF(OR($E1486="",$E1485=""),"",LN($E1486/$E1485))</f>
        <v>0</v>
      </c>
      <c r="H1486">
        <f>IF($E1486="","",IF($E1485="",$E1486,$E1486*0.0952380952+H1485*0.9047619048))</f>
        <v>0</v>
      </c>
      <c r="I1486">
        <f>IF($E1486="","",IF($E1485="",$E1486,$E1486*0.0392156863+I1485*0.9607843137))</f>
        <v>0</v>
      </c>
      <c r="J1486">
        <f>IF($E1486="","",IF($E1485="",$E1486,$E1486*0.0198019802+J1485*0.9801980198))</f>
        <v>0</v>
      </c>
      <c r="K1486">
        <f>IF($E1486="","",IF($E1485="",$E1486,$E1486*0.0099502488+K1485*0.9900497512))</f>
        <v>0</v>
      </c>
      <c r="L1486">
        <f>IF(OR($E1486="",$E1485=""),"",MAX($E1486-$E1485,0))</f>
        <v>0</v>
      </c>
      <c r="M1486">
        <f>IF(OR($E1486="",$E1485=""),"",MAX($E1485-$E1486,0))</f>
        <v>0</v>
      </c>
      <c r="N1486">
        <f>IF(COUNT($E$2:$E1486)&lt;15,"",IF(AVERAGE($M$1473:$M$1486)=0,100,100-100/(1+AVERAGE($L$1473:$L$1486)/AVERAGE($M$1473:$M$1486))))</f>
        <v>0</v>
      </c>
      <c r="O1486">
        <f>IF($E1486="","",IF($E1485="",$E1486,$E1486*0.1538461538+O1485*0.8461538462))</f>
        <v>0</v>
      </c>
      <c r="P1486">
        <f>IF($E1486="","",IF($E1485="",$E1486,$E1486*0.0740740741+P1485*0.9259259259))</f>
        <v>0</v>
      </c>
      <c r="Q1486">
        <f>IF(OR(O1486="",P1486=""),"",O1486-P1486)</f>
        <v>0</v>
      </c>
      <c r="R1486">
        <f>IF(Q1486="","",IF(R1485="",Q1486,Q1486*0.2000000000+R1485*0.8000000000))</f>
        <v>0</v>
      </c>
      <c r="S1486">
        <f>IF(OR(Q1486="",R1486=""),"",Q1486-R1486)</f>
        <v>0</v>
      </c>
      <c r="T1486">
        <f>IF(COUNT($E$2:$E1486)&lt;14,"",MAX($C$1473:$C$1486))</f>
        <v>0</v>
      </c>
      <c r="U1486">
        <f>IF(COUNT($E$2:$E1486)&lt;14,"",MIN($D$1473:$D$1486))</f>
        <v>0</v>
      </c>
      <c r="V1486">
        <f>IF(OR(T1486="",U1486="",T1486=U1486),"",100*($E1486-U1486)/(T1486-U1486))</f>
        <v>0</v>
      </c>
      <c r="W1486">
        <f>IF(COUNT($V$1484:$V$1486)&lt;3,"",AVERAGE($V$1484:$V$1486))</f>
        <v>0</v>
      </c>
      <c r="X1486">
        <f>IF(COUNT($N$1473:$N$1486)&lt;14,"",MIN($N$1473:$N$1486))</f>
        <v>0</v>
      </c>
      <c r="Y1486">
        <f>IF(COUNT($N$1473:$N$1486)&lt;14,"",MAX($N$1473:$N$1486))</f>
        <v>0</v>
      </c>
      <c r="Z1486">
        <f>IF(OR(N1486="",X1486="",Y1486="",Y1486=X1486),"",100*(N1486-X1486)/(Y1486-X1486))</f>
        <v>0</v>
      </c>
      <c r="AA1486">
        <f>IF(COUNT($Z$1484:$Z$1486)&lt;3,"",AVERAGE($Z$1484:$Z$1486))</f>
        <v>0</v>
      </c>
      <c r="AB1486">
        <f>IF(COUNT($AA$1484:$AA$1486)&lt;3,"",AVERAGE($AA$1484:$AA$1486))</f>
        <v>0</v>
      </c>
      <c r="AC1486">
        <f>IF($E1486="","",MAX($C1486-$D1486,ABS($C1486-$E1485),ABS($D1486-$E1485)))</f>
        <v>0</v>
      </c>
      <c r="AD1486">
        <f>IF(COUNT($E$2:$E1486)&lt;15,"",AVERAGE($AC$1473:$AC$1486))</f>
        <v>0</v>
      </c>
      <c r="AE1486">
        <f>IF(OR($E1486="",$E1485=""),"",IF(AND(($C1486-$C1485)&gt;($D1485-$D1486),($C1486-$C1485)&gt;0),$C1486-$C1485,0))</f>
        <v>0</v>
      </c>
      <c r="AF1486">
        <f>IF(OR($E1486="",$E1485=""),"",IF(AND(($D1485-$D1486)&gt;($C1486-$C1485),($D1485-$D1486)&gt;0),$D1485-$D1486,0))</f>
        <v>0</v>
      </c>
      <c r="AG1486">
        <f>IF(COUNT($E$2:$E1486)&lt;15,"",IF(SUM($AC$1473:$AC$1486)=0,0,100*SUM($AE$1473:$AE$1486)/SUM($AC$1473:$AC$1486)))</f>
        <v>0</v>
      </c>
      <c r="AH1486">
        <f>IF(COUNT($E$2:$E1486)&lt;15,"",IF(SUM($AC$1473:$AC$1486)=0,0,100*SUM($AF$1473:$AF$1486)/SUM($AC$1473:$AC$1486)))</f>
        <v>0</v>
      </c>
      <c r="AI1486">
        <f>IF(OR(AG1486="",AH1486=""),"",IF((AG1486+AH1486)=0,0,100*ABS(AG1486-AH1486)/(AG1486+AH1486)))</f>
        <v>0</v>
      </c>
      <c r="AJ1486">
        <f>IF(COUNT($AI$1473:$AI$1486)&lt;14,"",AVERAGE($AI$1473:$AI$1486))</f>
        <v>0</v>
      </c>
      <c r="AK1486">
        <f>IF(COUNT($E$2:$E1486)&lt;20,"",AVERAGE($E$1467:$E$1486))</f>
        <v>0</v>
      </c>
      <c r="AL1486">
        <f>IF(COUNT($E$2:$E1486)&lt;20,"",STDEVP($E$1467:$E$1486))</f>
        <v>0</v>
      </c>
      <c r="AM1486">
        <f>IF(AK1486="","",AK1486+2*AL1486)</f>
        <v>0</v>
      </c>
      <c r="AN1486">
        <f>IF(AK1486="","",AK1486-2*AL1486)</f>
        <v>0</v>
      </c>
      <c r="AO1486">
        <f>IF(OR(AM1486="",AN1486="",AM1486=AN1486),"",($E1486-AN1486)/(AM1486-AN1486))</f>
        <v>0</v>
      </c>
      <c r="AP1486">
        <f>IF(OR(AM1486="",AK1486="",AK1486=0),"",(AM1486-AN1486)/AK1486)</f>
        <v>0</v>
      </c>
      <c r="AQ1486">
        <f>IF(COUNT($E$2:$E1486)&lt;20,"",MAX($C$1467:$C$1486))</f>
        <v>0</v>
      </c>
      <c r="AR1486">
        <f>IF(COUNT($E$2:$E1486)&lt;20,"",MIN($D$1467:$D$1486))</f>
        <v>0</v>
      </c>
      <c r="AS1486">
        <f>IF(OR(AQ1486="",AR1486=""),"",(AQ1486+AR1486)/2)</f>
        <v>0</v>
      </c>
      <c r="AT1486">
        <f>IF(COUNT($G$1467:$G$1486)&lt;20,"",STDEV($G$1467:$G$1486)*SQRT(252))</f>
        <v>0</v>
      </c>
      <c r="AU1486">
        <f>IF(COUNT($E$2:$E1486)&lt;9,"",(MAX($C$1478:$C$1486)+MIN($D$1478:$D$1486))/2)</f>
        <v>0</v>
      </c>
      <c r="AV1486">
        <f>IF(COUNT($E$2:$E1486)&lt;26,"",(MAX($C$1461:$C$1486)+MIN($D$1461:$D$1486))/2)</f>
        <v>0</v>
      </c>
      <c r="AW1486">
        <f>IF(OR(AU1486="",AV1486=""),"",(AU1486+AV1486)/2)</f>
        <v>0</v>
      </c>
      <c r="AX1486">
        <f>IF(COUNT($E$2:$E1486)&lt;52,"",(MAX($C$1435:$C$1486)+MIN($D$1435:$D$1486))/2)</f>
        <v>0</v>
      </c>
      <c r="AY1486">
        <f>IF(COUNT($E$2:$E1486)&lt;20,"",MAX($C$1387:$C$1486))</f>
        <v>0</v>
      </c>
      <c r="AZ1486">
        <f>IF(COUNT($E$2:$E1486)&lt;20,"",MIN($D$1387:$D$1486))</f>
        <v>0</v>
      </c>
      <c r="BA1486">
        <f>IF(COUNT($E$2:$E1486)&lt;20,"",SLOPE($E$1387:$E$1486,$F$1387:$F$1486))</f>
        <v>0</v>
      </c>
      <c r="BB1486">
        <f>IF(COUNT($E$2:$E1486)&lt;20,"",INTERCEPT($E$1387:$E$1486,$F$1387:$F$1486))</f>
        <v>0</v>
      </c>
      <c r="BC1486">
        <f>IF(OR(BA1486="",BB1486=""),"",BB1486+BA1486*F1486)</f>
        <v>0</v>
      </c>
      <c r="BD1486">
        <f>IF(COUNT($E$2:$E1486)&lt;20,"",STEYX($E$1387:$E$1486,$F$1387:$F$1486))</f>
        <v>0</v>
      </c>
      <c r="BE1486">
        <f>IF($E1486="","",IF(AND(COUNT($E$1487:$E$1490)&gt;=4,$C1486=MAX($C$1482:$C$1490)),$C1486,""))</f>
        <v>0</v>
      </c>
      <c r="BF1486">
        <f>IF($E1486="","",IF(AND(COUNT($E$1487:$E$1490)&gt;=4,$D1486=MIN($D$1482:$D$1490)),$D1486,""))</f>
        <v>0</v>
      </c>
      <c r="BG1486">
        <f>IF($A1486="","",$A1486-WEEKDAY($A1486,2)+1)</f>
        <v>0</v>
      </c>
      <c r="BH1486">
        <f>IF($A1486="","",IF($A1485="",1,IF(BG1486&lt;&gt;BG1485,1,0)))</f>
        <v>0</v>
      </c>
      <c r="BI1486">
        <f>IF($A1486="","",IF($A1487="",1,IF(BG1487&lt;&gt;BG1486,1,0)))</f>
        <v>0</v>
      </c>
      <c r="BJ1486">
        <f>IF($A1486="","",IF(BH1486=1,$B1486,BJ1485))</f>
        <v>0</v>
      </c>
      <c r="BK1486">
        <f>IF($A1486="","",IF(BH1486=1,$C1486,MAX($C1486,BK1485)))</f>
        <v>0</v>
      </c>
      <c r="BL1486">
        <f>IF($A1486="","",IF(BH1486=1,$D1486,MIN($D1486,BL1485)))</f>
        <v>0</v>
      </c>
      <c r="BM1486">
        <f>IF($A1486="","",IF(BI1486=1,F1486,""))</f>
        <v>0</v>
      </c>
      <c r="BN1486">
        <f>IF($A1486="","",DATE(YEAR($A1486),MONTH($A1486),1))</f>
        <v>0</v>
      </c>
      <c r="BO1486">
        <f>IF($A1486="","",IF($A1485="",1,IF(BN1486&lt;&gt;BN1485,1,0)))</f>
        <v>0</v>
      </c>
      <c r="BP1486">
        <f>IF($A1486="","",IF($A1487="",1,IF(BN1487&lt;&gt;BN1486,1,0)))</f>
        <v>0</v>
      </c>
      <c r="BQ1486">
        <f>IF($A1486="","",IF(BO1486=1,$B1486,BQ1485))</f>
        <v>0</v>
      </c>
      <c r="BR1486">
        <f>IF($A1486="","",IF(BO1486=1,$C1486,MAX($C1486,BR1485)))</f>
        <v>0</v>
      </c>
      <c r="BS1486">
        <f>IF($A1486="","",IF(BO1486=1,$D1486,MIN($D1486,BS1485)))</f>
        <v>0</v>
      </c>
      <c r="BT1486">
        <f>IF($A1486="","",IF(BP1486=1,F1486,""))</f>
        <v>0</v>
      </c>
    </row>
    <row r="1487" spans="1:72">
      <c r="A1487" s="27">
        <f>IF(Data!$A1487="","",Data!$A1487)</f>
        <v>0</v>
      </c>
      <c r="B1487">
        <f>IF(Data!$B1487="","",Data!$B1487)</f>
        <v>0</v>
      </c>
      <c r="C1487">
        <f>IF(Data!$C1487="","",Data!$C1487)</f>
        <v>0</v>
      </c>
      <c r="D1487">
        <f>IF(Data!$D1487="","",Data!$D1487)</f>
        <v>0</v>
      </c>
      <c r="E1487">
        <f>IF(Data!$E1487="","",Data!$E1487)</f>
        <v>0</v>
      </c>
      <c r="F1487">
        <f>IF($E1487="","",N(F1486)+1)</f>
        <v>0</v>
      </c>
      <c r="G1487">
        <f>IF(OR($E1487="",$E1486=""),"",LN($E1487/$E1486))</f>
        <v>0</v>
      </c>
      <c r="H1487">
        <f>IF($E1487="","",IF($E1486="",$E1487,$E1487*0.0952380952+H1486*0.9047619048))</f>
        <v>0</v>
      </c>
      <c r="I1487">
        <f>IF($E1487="","",IF($E1486="",$E1487,$E1487*0.0392156863+I1486*0.9607843137))</f>
        <v>0</v>
      </c>
      <c r="J1487">
        <f>IF($E1487="","",IF($E1486="",$E1487,$E1487*0.0198019802+J1486*0.9801980198))</f>
        <v>0</v>
      </c>
      <c r="K1487">
        <f>IF($E1487="","",IF($E1486="",$E1487,$E1487*0.0099502488+K1486*0.9900497512))</f>
        <v>0</v>
      </c>
      <c r="L1487">
        <f>IF(OR($E1487="",$E1486=""),"",MAX($E1487-$E1486,0))</f>
        <v>0</v>
      </c>
      <c r="M1487">
        <f>IF(OR($E1487="",$E1486=""),"",MAX($E1486-$E1487,0))</f>
        <v>0</v>
      </c>
      <c r="N1487">
        <f>IF(COUNT($E$2:$E1487)&lt;15,"",IF(AVERAGE($M$1474:$M$1487)=0,100,100-100/(1+AVERAGE($L$1474:$L$1487)/AVERAGE($M$1474:$M$1487))))</f>
        <v>0</v>
      </c>
      <c r="O1487">
        <f>IF($E1487="","",IF($E1486="",$E1487,$E1487*0.1538461538+O1486*0.8461538462))</f>
        <v>0</v>
      </c>
      <c r="P1487">
        <f>IF($E1487="","",IF($E1486="",$E1487,$E1487*0.0740740741+P1486*0.9259259259))</f>
        <v>0</v>
      </c>
      <c r="Q1487">
        <f>IF(OR(O1487="",P1487=""),"",O1487-P1487)</f>
        <v>0</v>
      </c>
      <c r="R1487">
        <f>IF(Q1487="","",IF(R1486="",Q1487,Q1487*0.2000000000+R1486*0.8000000000))</f>
        <v>0</v>
      </c>
      <c r="S1487">
        <f>IF(OR(Q1487="",R1487=""),"",Q1487-R1487)</f>
        <v>0</v>
      </c>
      <c r="T1487">
        <f>IF(COUNT($E$2:$E1487)&lt;14,"",MAX($C$1474:$C$1487))</f>
        <v>0</v>
      </c>
      <c r="U1487">
        <f>IF(COUNT($E$2:$E1487)&lt;14,"",MIN($D$1474:$D$1487))</f>
        <v>0</v>
      </c>
      <c r="V1487">
        <f>IF(OR(T1487="",U1487="",T1487=U1487),"",100*($E1487-U1487)/(T1487-U1487))</f>
        <v>0</v>
      </c>
      <c r="W1487">
        <f>IF(COUNT($V$1485:$V$1487)&lt;3,"",AVERAGE($V$1485:$V$1487))</f>
        <v>0</v>
      </c>
      <c r="X1487">
        <f>IF(COUNT($N$1474:$N$1487)&lt;14,"",MIN($N$1474:$N$1487))</f>
        <v>0</v>
      </c>
      <c r="Y1487">
        <f>IF(COUNT($N$1474:$N$1487)&lt;14,"",MAX($N$1474:$N$1487))</f>
        <v>0</v>
      </c>
      <c r="Z1487">
        <f>IF(OR(N1487="",X1487="",Y1487="",Y1487=X1487),"",100*(N1487-X1487)/(Y1487-X1487))</f>
        <v>0</v>
      </c>
      <c r="AA1487">
        <f>IF(COUNT($Z$1485:$Z$1487)&lt;3,"",AVERAGE($Z$1485:$Z$1487))</f>
        <v>0</v>
      </c>
      <c r="AB1487">
        <f>IF(COUNT($AA$1485:$AA$1487)&lt;3,"",AVERAGE($AA$1485:$AA$1487))</f>
        <v>0</v>
      </c>
      <c r="AC1487">
        <f>IF($E1487="","",MAX($C1487-$D1487,ABS($C1487-$E1486),ABS($D1487-$E1486)))</f>
        <v>0</v>
      </c>
      <c r="AD1487">
        <f>IF(COUNT($E$2:$E1487)&lt;15,"",AVERAGE($AC$1474:$AC$1487))</f>
        <v>0</v>
      </c>
      <c r="AE1487">
        <f>IF(OR($E1487="",$E1486=""),"",IF(AND(($C1487-$C1486)&gt;($D1486-$D1487),($C1487-$C1486)&gt;0),$C1487-$C1486,0))</f>
        <v>0</v>
      </c>
      <c r="AF1487">
        <f>IF(OR($E1487="",$E1486=""),"",IF(AND(($D1486-$D1487)&gt;($C1487-$C1486),($D1486-$D1487)&gt;0),$D1486-$D1487,0))</f>
        <v>0</v>
      </c>
      <c r="AG1487">
        <f>IF(COUNT($E$2:$E1487)&lt;15,"",IF(SUM($AC$1474:$AC$1487)=0,0,100*SUM($AE$1474:$AE$1487)/SUM($AC$1474:$AC$1487)))</f>
        <v>0</v>
      </c>
      <c r="AH1487">
        <f>IF(COUNT($E$2:$E1487)&lt;15,"",IF(SUM($AC$1474:$AC$1487)=0,0,100*SUM($AF$1474:$AF$1487)/SUM($AC$1474:$AC$1487)))</f>
        <v>0</v>
      </c>
      <c r="AI1487">
        <f>IF(OR(AG1487="",AH1487=""),"",IF((AG1487+AH1487)=0,0,100*ABS(AG1487-AH1487)/(AG1487+AH1487)))</f>
        <v>0</v>
      </c>
      <c r="AJ1487">
        <f>IF(COUNT($AI$1474:$AI$1487)&lt;14,"",AVERAGE($AI$1474:$AI$1487))</f>
        <v>0</v>
      </c>
      <c r="AK1487">
        <f>IF(COUNT($E$2:$E1487)&lt;20,"",AVERAGE($E$1468:$E$1487))</f>
        <v>0</v>
      </c>
      <c r="AL1487">
        <f>IF(COUNT($E$2:$E1487)&lt;20,"",STDEVP($E$1468:$E$1487))</f>
        <v>0</v>
      </c>
      <c r="AM1487">
        <f>IF(AK1487="","",AK1487+2*AL1487)</f>
        <v>0</v>
      </c>
      <c r="AN1487">
        <f>IF(AK1487="","",AK1487-2*AL1487)</f>
        <v>0</v>
      </c>
      <c r="AO1487">
        <f>IF(OR(AM1487="",AN1487="",AM1487=AN1487),"",($E1487-AN1487)/(AM1487-AN1487))</f>
        <v>0</v>
      </c>
      <c r="AP1487">
        <f>IF(OR(AM1487="",AK1487="",AK1487=0),"",(AM1487-AN1487)/AK1487)</f>
        <v>0</v>
      </c>
      <c r="AQ1487">
        <f>IF(COUNT($E$2:$E1487)&lt;20,"",MAX($C$1468:$C$1487))</f>
        <v>0</v>
      </c>
      <c r="AR1487">
        <f>IF(COUNT($E$2:$E1487)&lt;20,"",MIN($D$1468:$D$1487))</f>
        <v>0</v>
      </c>
      <c r="AS1487">
        <f>IF(OR(AQ1487="",AR1487=""),"",(AQ1487+AR1487)/2)</f>
        <v>0</v>
      </c>
      <c r="AT1487">
        <f>IF(COUNT($G$1468:$G$1487)&lt;20,"",STDEV($G$1468:$G$1487)*SQRT(252))</f>
        <v>0</v>
      </c>
      <c r="AU1487">
        <f>IF(COUNT($E$2:$E1487)&lt;9,"",(MAX($C$1479:$C$1487)+MIN($D$1479:$D$1487))/2)</f>
        <v>0</v>
      </c>
      <c r="AV1487">
        <f>IF(COUNT($E$2:$E1487)&lt;26,"",(MAX($C$1462:$C$1487)+MIN($D$1462:$D$1487))/2)</f>
        <v>0</v>
      </c>
      <c r="AW1487">
        <f>IF(OR(AU1487="",AV1487=""),"",(AU1487+AV1487)/2)</f>
        <v>0</v>
      </c>
      <c r="AX1487">
        <f>IF(COUNT($E$2:$E1487)&lt;52,"",(MAX($C$1436:$C$1487)+MIN($D$1436:$D$1487))/2)</f>
        <v>0</v>
      </c>
      <c r="AY1487">
        <f>IF(COUNT($E$2:$E1487)&lt;20,"",MAX($C$1388:$C$1487))</f>
        <v>0</v>
      </c>
      <c r="AZ1487">
        <f>IF(COUNT($E$2:$E1487)&lt;20,"",MIN($D$1388:$D$1487))</f>
        <v>0</v>
      </c>
      <c r="BA1487">
        <f>IF(COUNT($E$2:$E1487)&lt;20,"",SLOPE($E$1388:$E$1487,$F$1388:$F$1487))</f>
        <v>0</v>
      </c>
      <c r="BB1487">
        <f>IF(COUNT($E$2:$E1487)&lt;20,"",INTERCEPT($E$1388:$E$1487,$F$1388:$F$1487))</f>
        <v>0</v>
      </c>
      <c r="BC1487">
        <f>IF(OR(BA1487="",BB1487=""),"",BB1487+BA1487*F1487)</f>
        <v>0</v>
      </c>
      <c r="BD1487">
        <f>IF(COUNT($E$2:$E1487)&lt;20,"",STEYX($E$1388:$E$1487,$F$1388:$F$1487))</f>
        <v>0</v>
      </c>
      <c r="BE1487">
        <f>IF($E1487="","",IF(AND(COUNT($E$1488:$E$1491)&gt;=4,$C1487=MAX($C$1483:$C$1491)),$C1487,""))</f>
        <v>0</v>
      </c>
      <c r="BF1487">
        <f>IF($E1487="","",IF(AND(COUNT($E$1488:$E$1491)&gt;=4,$D1487=MIN($D$1483:$D$1491)),$D1487,""))</f>
        <v>0</v>
      </c>
      <c r="BG1487">
        <f>IF($A1487="","",$A1487-WEEKDAY($A1487,2)+1)</f>
        <v>0</v>
      </c>
      <c r="BH1487">
        <f>IF($A1487="","",IF($A1486="",1,IF(BG1487&lt;&gt;BG1486,1,0)))</f>
        <v>0</v>
      </c>
      <c r="BI1487">
        <f>IF($A1487="","",IF($A1488="",1,IF(BG1488&lt;&gt;BG1487,1,0)))</f>
        <v>0</v>
      </c>
      <c r="BJ1487">
        <f>IF($A1487="","",IF(BH1487=1,$B1487,BJ1486))</f>
        <v>0</v>
      </c>
      <c r="BK1487">
        <f>IF($A1487="","",IF(BH1487=1,$C1487,MAX($C1487,BK1486)))</f>
        <v>0</v>
      </c>
      <c r="BL1487">
        <f>IF($A1487="","",IF(BH1487=1,$D1487,MIN($D1487,BL1486)))</f>
        <v>0</v>
      </c>
      <c r="BM1487">
        <f>IF($A1487="","",IF(BI1487=1,F1487,""))</f>
        <v>0</v>
      </c>
      <c r="BN1487">
        <f>IF($A1487="","",DATE(YEAR($A1487),MONTH($A1487),1))</f>
        <v>0</v>
      </c>
      <c r="BO1487">
        <f>IF($A1487="","",IF($A1486="",1,IF(BN1487&lt;&gt;BN1486,1,0)))</f>
        <v>0</v>
      </c>
      <c r="BP1487">
        <f>IF($A1487="","",IF($A1488="",1,IF(BN1488&lt;&gt;BN1487,1,0)))</f>
        <v>0</v>
      </c>
      <c r="BQ1487">
        <f>IF($A1487="","",IF(BO1487=1,$B1487,BQ1486))</f>
        <v>0</v>
      </c>
      <c r="BR1487">
        <f>IF($A1487="","",IF(BO1487=1,$C1487,MAX($C1487,BR1486)))</f>
        <v>0</v>
      </c>
      <c r="BS1487">
        <f>IF($A1487="","",IF(BO1487=1,$D1487,MIN($D1487,BS1486)))</f>
        <v>0</v>
      </c>
      <c r="BT1487">
        <f>IF($A1487="","",IF(BP1487=1,F1487,""))</f>
        <v>0</v>
      </c>
    </row>
    <row r="1488" spans="1:72">
      <c r="A1488" s="27">
        <f>IF(Data!$A1488="","",Data!$A1488)</f>
        <v>0</v>
      </c>
      <c r="B1488">
        <f>IF(Data!$B1488="","",Data!$B1488)</f>
        <v>0</v>
      </c>
      <c r="C1488">
        <f>IF(Data!$C1488="","",Data!$C1488)</f>
        <v>0</v>
      </c>
      <c r="D1488">
        <f>IF(Data!$D1488="","",Data!$D1488)</f>
        <v>0</v>
      </c>
      <c r="E1488">
        <f>IF(Data!$E1488="","",Data!$E1488)</f>
        <v>0</v>
      </c>
      <c r="F1488">
        <f>IF($E1488="","",N(F1487)+1)</f>
        <v>0</v>
      </c>
      <c r="G1488">
        <f>IF(OR($E1488="",$E1487=""),"",LN($E1488/$E1487))</f>
        <v>0</v>
      </c>
      <c r="H1488">
        <f>IF($E1488="","",IF($E1487="",$E1488,$E1488*0.0952380952+H1487*0.9047619048))</f>
        <v>0</v>
      </c>
      <c r="I1488">
        <f>IF($E1488="","",IF($E1487="",$E1488,$E1488*0.0392156863+I1487*0.9607843137))</f>
        <v>0</v>
      </c>
      <c r="J1488">
        <f>IF($E1488="","",IF($E1487="",$E1488,$E1488*0.0198019802+J1487*0.9801980198))</f>
        <v>0</v>
      </c>
      <c r="K1488">
        <f>IF($E1488="","",IF($E1487="",$E1488,$E1488*0.0099502488+K1487*0.9900497512))</f>
        <v>0</v>
      </c>
      <c r="L1488">
        <f>IF(OR($E1488="",$E1487=""),"",MAX($E1488-$E1487,0))</f>
        <v>0</v>
      </c>
      <c r="M1488">
        <f>IF(OR($E1488="",$E1487=""),"",MAX($E1487-$E1488,0))</f>
        <v>0</v>
      </c>
      <c r="N1488">
        <f>IF(COUNT($E$2:$E1488)&lt;15,"",IF(AVERAGE($M$1475:$M$1488)=0,100,100-100/(1+AVERAGE($L$1475:$L$1488)/AVERAGE($M$1475:$M$1488))))</f>
        <v>0</v>
      </c>
      <c r="O1488">
        <f>IF($E1488="","",IF($E1487="",$E1488,$E1488*0.1538461538+O1487*0.8461538462))</f>
        <v>0</v>
      </c>
      <c r="P1488">
        <f>IF($E1488="","",IF($E1487="",$E1488,$E1488*0.0740740741+P1487*0.9259259259))</f>
        <v>0</v>
      </c>
      <c r="Q1488">
        <f>IF(OR(O1488="",P1488=""),"",O1488-P1488)</f>
        <v>0</v>
      </c>
      <c r="R1488">
        <f>IF(Q1488="","",IF(R1487="",Q1488,Q1488*0.2000000000+R1487*0.8000000000))</f>
        <v>0</v>
      </c>
      <c r="S1488">
        <f>IF(OR(Q1488="",R1488=""),"",Q1488-R1488)</f>
        <v>0</v>
      </c>
      <c r="T1488">
        <f>IF(COUNT($E$2:$E1488)&lt;14,"",MAX($C$1475:$C$1488))</f>
        <v>0</v>
      </c>
      <c r="U1488">
        <f>IF(COUNT($E$2:$E1488)&lt;14,"",MIN($D$1475:$D$1488))</f>
        <v>0</v>
      </c>
      <c r="V1488">
        <f>IF(OR(T1488="",U1488="",T1488=U1488),"",100*($E1488-U1488)/(T1488-U1488))</f>
        <v>0</v>
      </c>
      <c r="W1488">
        <f>IF(COUNT($V$1486:$V$1488)&lt;3,"",AVERAGE($V$1486:$V$1488))</f>
        <v>0</v>
      </c>
      <c r="X1488">
        <f>IF(COUNT($N$1475:$N$1488)&lt;14,"",MIN($N$1475:$N$1488))</f>
        <v>0</v>
      </c>
      <c r="Y1488">
        <f>IF(COUNT($N$1475:$N$1488)&lt;14,"",MAX($N$1475:$N$1488))</f>
        <v>0</v>
      </c>
      <c r="Z1488">
        <f>IF(OR(N1488="",X1488="",Y1488="",Y1488=X1488),"",100*(N1488-X1488)/(Y1488-X1488))</f>
        <v>0</v>
      </c>
      <c r="AA1488">
        <f>IF(COUNT($Z$1486:$Z$1488)&lt;3,"",AVERAGE($Z$1486:$Z$1488))</f>
        <v>0</v>
      </c>
      <c r="AB1488">
        <f>IF(COUNT($AA$1486:$AA$1488)&lt;3,"",AVERAGE($AA$1486:$AA$1488))</f>
        <v>0</v>
      </c>
      <c r="AC1488">
        <f>IF($E1488="","",MAX($C1488-$D1488,ABS($C1488-$E1487),ABS($D1488-$E1487)))</f>
        <v>0</v>
      </c>
      <c r="AD1488">
        <f>IF(COUNT($E$2:$E1488)&lt;15,"",AVERAGE($AC$1475:$AC$1488))</f>
        <v>0</v>
      </c>
      <c r="AE1488">
        <f>IF(OR($E1488="",$E1487=""),"",IF(AND(($C1488-$C1487)&gt;($D1487-$D1488),($C1488-$C1487)&gt;0),$C1488-$C1487,0))</f>
        <v>0</v>
      </c>
      <c r="AF1488">
        <f>IF(OR($E1488="",$E1487=""),"",IF(AND(($D1487-$D1488)&gt;($C1488-$C1487),($D1487-$D1488)&gt;0),$D1487-$D1488,0))</f>
        <v>0</v>
      </c>
      <c r="AG1488">
        <f>IF(COUNT($E$2:$E1488)&lt;15,"",IF(SUM($AC$1475:$AC$1488)=0,0,100*SUM($AE$1475:$AE$1488)/SUM($AC$1475:$AC$1488)))</f>
        <v>0</v>
      </c>
      <c r="AH1488">
        <f>IF(COUNT($E$2:$E1488)&lt;15,"",IF(SUM($AC$1475:$AC$1488)=0,0,100*SUM($AF$1475:$AF$1488)/SUM($AC$1475:$AC$1488)))</f>
        <v>0</v>
      </c>
      <c r="AI1488">
        <f>IF(OR(AG1488="",AH1488=""),"",IF((AG1488+AH1488)=0,0,100*ABS(AG1488-AH1488)/(AG1488+AH1488)))</f>
        <v>0</v>
      </c>
      <c r="AJ1488">
        <f>IF(COUNT($AI$1475:$AI$1488)&lt;14,"",AVERAGE($AI$1475:$AI$1488))</f>
        <v>0</v>
      </c>
      <c r="AK1488">
        <f>IF(COUNT($E$2:$E1488)&lt;20,"",AVERAGE($E$1469:$E$1488))</f>
        <v>0</v>
      </c>
      <c r="AL1488">
        <f>IF(COUNT($E$2:$E1488)&lt;20,"",STDEVP($E$1469:$E$1488))</f>
        <v>0</v>
      </c>
      <c r="AM1488">
        <f>IF(AK1488="","",AK1488+2*AL1488)</f>
        <v>0</v>
      </c>
      <c r="AN1488">
        <f>IF(AK1488="","",AK1488-2*AL1488)</f>
        <v>0</v>
      </c>
      <c r="AO1488">
        <f>IF(OR(AM1488="",AN1488="",AM1488=AN1488),"",($E1488-AN1488)/(AM1488-AN1488))</f>
        <v>0</v>
      </c>
      <c r="AP1488">
        <f>IF(OR(AM1488="",AK1488="",AK1488=0),"",(AM1488-AN1488)/AK1488)</f>
        <v>0</v>
      </c>
      <c r="AQ1488">
        <f>IF(COUNT($E$2:$E1488)&lt;20,"",MAX($C$1469:$C$1488))</f>
        <v>0</v>
      </c>
      <c r="AR1488">
        <f>IF(COUNT($E$2:$E1488)&lt;20,"",MIN($D$1469:$D$1488))</f>
        <v>0</v>
      </c>
      <c r="AS1488">
        <f>IF(OR(AQ1488="",AR1488=""),"",(AQ1488+AR1488)/2)</f>
        <v>0</v>
      </c>
      <c r="AT1488">
        <f>IF(COUNT($G$1469:$G$1488)&lt;20,"",STDEV($G$1469:$G$1488)*SQRT(252))</f>
        <v>0</v>
      </c>
      <c r="AU1488">
        <f>IF(COUNT($E$2:$E1488)&lt;9,"",(MAX($C$1480:$C$1488)+MIN($D$1480:$D$1488))/2)</f>
        <v>0</v>
      </c>
      <c r="AV1488">
        <f>IF(COUNT($E$2:$E1488)&lt;26,"",(MAX($C$1463:$C$1488)+MIN($D$1463:$D$1488))/2)</f>
        <v>0</v>
      </c>
      <c r="AW1488">
        <f>IF(OR(AU1488="",AV1488=""),"",(AU1488+AV1488)/2)</f>
        <v>0</v>
      </c>
      <c r="AX1488">
        <f>IF(COUNT($E$2:$E1488)&lt;52,"",(MAX($C$1437:$C$1488)+MIN($D$1437:$D$1488))/2)</f>
        <v>0</v>
      </c>
      <c r="AY1488">
        <f>IF(COUNT($E$2:$E1488)&lt;20,"",MAX($C$1389:$C$1488))</f>
        <v>0</v>
      </c>
      <c r="AZ1488">
        <f>IF(COUNT($E$2:$E1488)&lt;20,"",MIN($D$1389:$D$1488))</f>
        <v>0</v>
      </c>
      <c r="BA1488">
        <f>IF(COUNT($E$2:$E1488)&lt;20,"",SLOPE($E$1389:$E$1488,$F$1389:$F$1488))</f>
        <v>0</v>
      </c>
      <c r="BB1488">
        <f>IF(COUNT($E$2:$E1488)&lt;20,"",INTERCEPT($E$1389:$E$1488,$F$1389:$F$1488))</f>
        <v>0</v>
      </c>
      <c r="BC1488">
        <f>IF(OR(BA1488="",BB1488=""),"",BB1488+BA1488*F1488)</f>
        <v>0</v>
      </c>
      <c r="BD1488">
        <f>IF(COUNT($E$2:$E1488)&lt;20,"",STEYX($E$1389:$E$1488,$F$1389:$F$1488))</f>
        <v>0</v>
      </c>
      <c r="BE1488">
        <f>IF($E1488="","",IF(AND(COUNT($E$1489:$E$1492)&gt;=4,$C1488=MAX($C$1484:$C$1492)),$C1488,""))</f>
        <v>0</v>
      </c>
      <c r="BF1488">
        <f>IF($E1488="","",IF(AND(COUNT($E$1489:$E$1492)&gt;=4,$D1488=MIN($D$1484:$D$1492)),$D1488,""))</f>
        <v>0</v>
      </c>
      <c r="BG1488">
        <f>IF($A1488="","",$A1488-WEEKDAY($A1488,2)+1)</f>
        <v>0</v>
      </c>
      <c r="BH1488">
        <f>IF($A1488="","",IF($A1487="",1,IF(BG1488&lt;&gt;BG1487,1,0)))</f>
        <v>0</v>
      </c>
      <c r="BI1488">
        <f>IF($A1488="","",IF($A1489="",1,IF(BG1489&lt;&gt;BG1488,1,0)))</f>
        <v>0</v>
      </c>
      <c r="BJ1488">
        <f>IF($A1488="","",IF(BH1488=1,$B1488,BJ1487))</f>
        <v>0</v>
      </c>
      <c r="BK1488">
        <f>IF($A1488="","",IF(BH1488=1,$C1488,MAX($C1488,BK1487)))</f>
        <v>0</v>
      </c>
      <c r="BL1488">
        <f>IF($A1488="","",IF(BH1488=1,$D1488,MIN($D1488,BL1487)))</f>
        <v>0</v>
      </c>
      <c r="BM1488">
        <f>IF($A1488="","",IF(BI1488=1,F1488,""))</f>
        <v>0</v>
      </c>
      <c r="BN1488">
        <f>IF($A1488="","",DATE(YEAR($A1488),MONTH($A1488),1))</f>
        <v>0</v>
      </c>
      <c r="BO1488">
        <f>IF($A1488="","",IF($A1487="",1,IF(BN1488&lt;&gt;BN1487,1,0)))</f>
        <v>0</v>
      </c>
      <c r="BP1488">
        <f>IF($A1488="","",IF($A1489="",1,IF(BN1489&lt;&gt;BN1488,1,0)))</f>
        <v>0</v>
      </c>
      <c r="BQ1488">
        <f>IF($A1488="","",IF(BO1488=1,$B1488,BQ1487))</f>
        <v>0</v>
      </c>
      <c r="BR1488">
        <f>IF($A1488="","",IF(BO1488=1,$C1488,MAX($C1488,BR1487)))</f>
        <v>0</v>
      </c>
      <c r="BS1488">
        <f>IF($A1488="","",IF(BO1488=1,$D1488,MIN($D1488,BS1487)))</f>
        <v>0</v>
      </c>
      <c r="BT1488">
        <f>IF($A1488="","",IF(BP1488=1,F1488,""))</f>
        <v>0</v>
      </c>
    </row>
    <row r="1489" spans="1:72">
      <c r="A1489" s="27">
        <f>IF(Data!$A1489="","",Data!$A1489)</f>
        <v>0</v>
      </c>
      <c r="B1489">
        <f>IF(Data!$B1489="","",Data!$B1489)</f>
        <v>0</v>
      </c>
      <c r="C1489">
        <f>IF(Data!$C1489="","",Data!$C1489)</f>
        <v>0</v>
      </c>
      <c r="D1489">
        <f>IF(Data!$D1489="","",Data!$D1489)</f>
        <v>0</v>
      </c>
      <c r="E1489">
        <f>IF(Data!$E1489="","",Data!$E1489)</f>
        <v>0</v>
      </c>
      <c r="F1489">
        <f>IF($E1489="","",N(F1488)+1)</f>
        <v>0</v>
      </c>
      <c r="G1489">
        <f>IF(OR($E1489="",$E1488=""),"",LN($E1489/$E1488))</f>
        <v>0</v>
      </c>
      <c r="H1489">
        <f>IF($E1489="","",IF($E1488="",$E1489,$E1489*0.0952380952+H1488*0.9047619048))</f>
        <v>0</v>
      </c>
      <c r="I1489">
        <f>IF($E1489="","",IF($E1488="",$E1489,$E1489*0.0392156863+I1488*0.9607843137))</f>
        <v>0</v>
      </c>
      <c r="J1489">
        <f>IF($E1489="","",IF($E1488="",$E1489,$E1489*0.0198019802+J1488*0.9801980198))</f>
        <v>0</v>
      </c>
      <c r="K1489">
        <f>IF($E1489="","",IF($E1488="",$E1489,$E1489*0.0099502488+K1488*0.9900497512))</f>
        <v>0</v>
      </c>
      <c r="L1489">
        <f>IF(OR($E1489="",$E1488=""),"",MAX($E1489-$E1488,0))</f>
        <v>0</v>
      </c>
      <c r="M1489">
        <f>IF(OR($E1489="",$E1488=""),"",MAX($E1488-$E1489,0))</f>
        <v>0</v>
      </c>
      <c r="N1489">
        <f>IF(COUNT($E$2:$E1489)&lt;15,"",IF(AVERAGE($M$1476:$M$1489)=0,100,100-100/(1+AVERAGE($L$1476:$L$1489)/AVERAGE($M$1476:$M$1489))))</f>
        <v>0</v>
      </c>
      <c r="O1489">
        <f>IF($E1489="","",IF($E1488="",$E1489,$E1489*0.1538461538+O1488*0.8461538462))</f>
        <v>0</v>
      </c>
      <c r="P1489">
        <f>IF($E1489="","",IF($E1488="",$E1489,$E1489*0.0740740741+P1488*0.9259259259))</f>
        <v>0</v>
      </c>
      <c r="Q1489">
        <f>IF(OR(O1489="",P1489=""),"",O1489-P1489)</f>
        <v>0</v>
      </c>
      <c r="R1489">
        <f>IF(Q1489="","",IF(R1488="",Q1489,Q1489*0.2000000000+R1488*0.8000000000))</f>
        <v>0</v>
      </c>
      <c r="S1489">
        <f>IF(OR(Q1489="",R1489=""),"",Q1489-R1489)</f>
        <v>0</v>
      </c>
      <c r="T1489">
        <f>IF(COUNT($E$2:$E1489)&lt;14,"",MAX($C$1476:$C$1489))</f>
        <v>0</v>
      </c>
      <c r="U1489">
        <f>IF(COUNT($E$2:$E1489)&lt;14,"",MIN($D$1476:$D$1489))</f>
        <v>0</v>
      </c>
      <c r="V1489">
        <f>IF(OR(T1489="",U1489="",T1489=U1489),"",100*($E1489-U1489)/(T1489-U1489))</f>
        <v>0</v>
      </c>
      <c r="W1489">
        <f>IF(COUNT($V$1487:$V$1489)&lt;3,"",AVERAGE($V$1487:$V$1489))</f>
        <v>0</v>
      </c>
      <c r="X1489">
        <f>IF(COUNT($N$1476:$N$1489)&lt;14,"",MIN($N$1476:$N$1489))</f>
        <v>0</v>
      </c>
      <c r="Y1489">
        <f>IF(COUNT($N$1476:$N$1489)&lt;14,"",MAX($N$1476:$N$1489))</f>
        <v>0</v>
      </c>
      <c r="Z1489">
        <f>IF(OR(N1489="",X1489="",Y1489="",Y1489=X1489),"",100*(N1489-X1489)/(Y1489-X1489))</f>
        <v>0</v>
      </c>
      <c r="AA1489">
        <f>IF(COUNT($Z$1487:$Z$1489)&lt;3,"",AVERAGE($Z$1487:$Z$1489))</f>
        <v>0</v>
      </c>
      <c r="AB1489">
        <f>IF(COUNT($AA$1487:$AA$1489)&lt;3,"",AVERAGE($AA$1487:$AA$1489))</f>
        <v>0</v>
      </c>
      <c r="AC1489">
        <f>IF($E1489="","",MAX($C1489-$D1489,ABS($C1489-$E1488),ABS($D1489-$E1488)))</f>
        <v>0</v>
      </c>
      <c r="AD1489">
        <f>IF(COUNT($E$2:$E1489)&lt;15,"",AVERAGE($AC$1476:$AC$1489))</f>
        <v>0</v>
      </c>
      <c r="AE1489">
        <f>IF(OR($E1489="",$E1488=""),"",IF(AND(($C1489-$C1488)&gt;($D1488-$D1489),($C1489-$C1488)&gt;0),$C1489-$C1488,0))</f>
        <v>0</v>
      </c>
      <c r="AF1489">
        <f>IF(OR($E1489="",$E1488=""),"",IF(AND(($D1488-$D1489)&gt;($C1489-$C1488),($D1488-$D1489)&gt;0),$D1488-$D1489,0))</f>
        <v>0</v>
      </c>
      <c r="AG1489">
        <f>IF(COUNT($E$2:$E1489)&lt;15,"",IF(SUM($AC$1476:$AC$1489)=0,0,100*SUM($AE$1476:$AE$1489)/SUM($AC$1476:$AC$1489)))</f>
        <v>0</v>
      </c>
      <c r="AH1489">
        <f>IF(COUNT($E$2:$E1489)&lt;15,"",IF(SUM($AC$1476:$AC$1489)=0,0,100*SUM($AF$1476:$AF$1489)/SUM($AC$1476:$AC$1489)))</f>
        <v>0</v>
      </c>
      <c r="AI1489">
        <f>IF(OR(AG1489="",AH1489=""),"",IF((AG1489+AH1489)=0,0,100*ABS(AG1489-AH1489)/(AG1489+AH1489)))</f>
        <v>0</v>
      </c>
      <c r="AJ1489">
        <f>IF(COUNT($AI$1476:$AI$1489)&lt;14,"",AVERAGE($AI$1476:$AI$1489))</f>
        <v>0</v>
      </c>
      <c r="AK1489">
        <f>IF(COUNT($E$2:$E1489)&lt;20,"",AVERAGE($E$1470:$E$1489))</f>
        <v>0</v>
      </c>
      <c r="AL1489">
        <f>IF(COUNT($E$2:$E1489)&lt;20,"",STDEVP($E$1470:$E$1489))</f>
        <v>0</v>
      </c>
      <c r="AM1489">
        <f>IF(AK1489="","",AK1489+2*AL1489)</f>
        <v>0</v>
      </c>
      <c r="AN1489">
        <f>IF(AK1489="","",AK1489-2*AL1489)</f>
        <v>0</v>
      </c>
      <c r="AO1489">
        <f>IF(OR(AM1489="",AN1489="",AM1489=AN1489),"",($E1489-AN1489)/(AM1489-AN1489))</f>
        <v>0</v>
      </c>
      <c r="AP1489">
        <f>IF(OR(AM1489="",AK1489="",AK1489=0),"",(AM1489-AN1489)/AK1489)</f>
        <v>0</v>
      </c>
      <c r="AQ1489">
        <f>IF(COUNT($E$2:$E1489)&lt;20,"",MAX($C$1470:$C$1489))</f>
        <v>0</v>
      </c>
      <c r="AR1489">
        <f>IF(COUNT($E$2:$E1489)&lt;20,"",MIN($D$1470:$D$1489))</f>
        <v>0</v>
      </c>
      <c r="AS1489">
        <f>IF(OR(AQ1489="",AR1489=""),"",(AQ1489+AR1489)/2)</f>
        <v>0</v>
      </c>
      <c r="AT1489">
        <f>IF(COUNT($G$1470:$G$1489)&lt;20,"",STDEV($G$1470:$G$1489)*SQRT(252))</f>
        <v>0</v>
      </c>
      <c r="AU1489">
        <f>IF(COUNT($E$2:$E1489)&lt;9,"",(MAX($C$1481:$C$1489)+MIN($D$1481:$D$1489))/2)</f>
        <v>0</v>
      </c>
      <c r="AV1489">
        <f>IF(COUNT($E$2:$E1489)&lt;26,"",(MAX($C$1464:$C$1489)+MIN($D$1464:$D$1489))/2)</f>
        <v>0</v>
      </c>
      <c r="AW1489">
        <f>IF(OR(AU1489="",AV1489=""),"",(AU1489+AV1489)/2)</f>
        <v>0</v>
      </c>
      <c r="AX1489">
        <f>IF(COUNT($E$2:$E1489)&lt;52,"",(MAX($C$1438:$C$1489)+MIN($D$1438:$D$1489))/2)</f>
        <v>0</v>
      </c>
      <c r="AY1489">
        <f>IF(COUNT($E$2:$E1489)&lt;20,"",MAX($C$1390:$C$1489))</f>
        <v>0</v>
      </c>
      <c r="AZ1489">
        <f>IF(COUNT($E$2:$E1489)&lt;20,"",MIN($D$1390:$D$1489))</f>
        <v>0</v>
      </c>
      <c r="BA1489">
        <f>IF(COUNT($E$2:$E1489)&lt;20,"",SLOPE($E$1390:$E$1489,$F$1390:$F$1489))</f>
        <v>0</v>
      </c>
      <c r="BB1489">
        <f>IF(COUNT($E$2:$E1489)&lt;20,"",INTERCEPT($E$1390:$E$1489,$F$1390:$F$1489))</f>
        <v>0</v>
      </c>
      <c r="BC1489">
        <f>IF(OR(BA1489="",BB1489=""),"",BB1489+BA1489*F1489)</f>
        <v>0</v>
      </c>
      <c r="BD1489">
        <f>IF(COUNT($E$2:$E1489)&lt;20,"",STEYX($E$1390:$E$1489,$F$1390:$F$1489))</f>
        <v>0</v>
      </c>
      <c r="BE1489">
        <f>IF($E1489="","",IF(AND(COUNT($E$1490:$E$1493)&gt;=4,$C1489=MAX($C$1485:$C$1493)),$C1489,""))</f>
        <v>0</v>
      </c>
      <c r="BF1489">
        <f>IF($E1489="","",IF(AND(COUNT($E$1490:$E$1493)&gt;=4,$D1489=MIN($D$1485:$D$1493)),$D1489,""))</f>
        <v>0</v>
      </c>
      <c r="BG1489">
        <f>IF($A1489="","",$A1489-WEEKDAY($A1489,2)+1)</f>
        <v>0</v>
      </c>
      <c r="BH1489">
        <f>IF($A1489="","",IF($A1488="",1,IF(BG1489&lt;&gt;BG1488,1,0)))</f>
        <v>0</v>
      </c>
      <c r="BI1489">
        <f>IF($A1489="","",IF($A1490="",1,IF(BG1490&lt;&gt;BG1489,1,0)))</f>
        <v>0</v>
      </c>
      <c r="BJ1489">
        <f>IF($A1489="","",IF(BH1489=1,$B1489,BJ1488))</f>
        <v>0</v>
      </c>
      <c r="BK1489">
        <f>IF($A1489="","",IF(BH1489=1,$C1489,MAX($C1489,BK1488)))</f>
        <v>0</v>
      </c>
      <c r="BL1489">
        <f>IF($A1489="","",IF(BH1489=1,$D1489,MIN($D1489,BL1488)))</f>
        <v>0</v>
      </c>
      <c r="BM1489">
        <f>IF($A1489="","",IF(BI1489=1,F1489,""))</f>
        <v>0</v>
      </c>
      <c r="BN1489">
        <f>IF($A1489="","",DATE(YEAR($A1489),MONTH($A1489),1))</f>
        <v>0</v>
      </c>
      <c r="BO1489">
        <f>IF($A1489="","",IF($A1488="",1,IF(BN1489&lt;&gt;BN1488,1,0)))</f>
        <v>0</v>
      </c>
      <c r="BP1489">
        <f>IF($A1489="","",IF($A1490="",1,IF(BN1490&lt;&gt;BN1489,1,0)))</f>
        <v>0</v>
      </c>
      <c r="BQ1489">
        <f>IF($A1489="","",IF(BO1489=1,$B1489,BQ1488))</f>
        <v>0</v>
      </c>
      <c r="BR1489">
        <f>IF($A1489="","",IF(BO1489=1,$C1489,MAX($C1489,BR1488)))</f>
        <v>0</v>
      </c>
      <c r="BS1489">
        <f>IF($A1489="","",IF(BO1489=1,$D1489,MIN($D1489,BS1488)))</f>
        <v>0</v>
      </c>
      <c r="BT1489">
        <f>IF($A1489="","",IF(BP1489=1,F1489,""))</f>
        <v>0</v>
      </c>
    </row>
    <row r="1490" spans="1:72">
      <c r="A1490" s="27">
        <f>IF(Data!$A1490="","",Data!$A1490)</f>
        <v>0</v>
      </c>
      <c r="B1490">
        <f>IF(Data!$B1490="","",Data!$B1490)</f>
        <v>0</v>
      </c>
      <c r="C1490">
        <f>IF(Data!$C1490="","",Data!$C1490)</f>
        <v>0</v>
      </c>
      <c r="D1490">
        <f>IF(Data!$D1490="","",Data!$D1490)</f>
        <v>0</v>
      </c>
      <c r="E1490">
        <f>IF(Data!$E1490="","",Data!$E1490)</f>
        <v>0</v>
      </c>
      <c r="F1490">
        <f>IF($E1490="","",N(F1489)+1)</f>
        <v>0</v>
      </c>
      <c r="G1490">
        <f>IF(OR($E1490="",$E1489=""),"",LN($E1490/$E1489))</f>
        <v>0</v>
      </c>
      <c r="H1490">
        <f>IF($E1490="","",IF($E1489="",$E1490,$E1490*0.0952380952+H1489*0.9047619048))</f>
        <v>0</v>
      </c>
      <c r="I1490">
        <f>IF($E1490="","",IF($E1489="",$E1490,$E1490*0.0392156863+I1489*0.9607843137))</f>
        <v>0</v>
      </c>
      <c r="J1490">
        <f>IF($E1490="","",IF($E1489="",$E1490,$E1490*0.0198019802+J1489*0.9801980198))</f>
        <v>0</v>
      </c>
      <c r="K1490">
        <f>IF($E1490="","",IF($E1489="",$E1490,$E1490*0.0099502488+K1489*0.9900497512))</f>
        <v>0</v>
      </c>
      <c r="L1490">
        <f>IF(OR($E1490="",$E1489=""),"",MAX($E1490-$E1489,0))</f>
        <v>0</v>
      </c>
      <c r="M1490">
        <f>IF(OR($E1490="",$E1489=""),"",MAX($E1489-$E1490,0))</f>
        <v>0</v>
      </c>
      <c r="N1490">
        <f>IF(COUNT($E$2:$E1490)&lt;15,"",IF(AVERAGE($M$1477:$M$1490)=0,100,100-100/(1+AVERAGE($L$1477:$L$1490)/AVERAGE($M$1477:$M$1490))))</f>
        <v>0</v>
      </c>
      <c r="O1490">
        <f>IF($E1490="","",IF($E1489="",$E1490,$E1490*0.1538461538+O1489*0.8461538462))</f>
        <v>0</v>
      </c>
      <c r="P1490">
        <f>IF($E1490="","",IF($E1489="",$E1490,$E1490*0.0740740741+P1489*0.9259259259))</f>
        <v>0</v>
      </c>
      <c r="Q1490">
        <f>IF(OR(O1490="",P1490=""),"",O1490-P1490)</f>
        <v>0</v>
      </c>
      <c r="R1490">
        <f>IF(Q1490="","",IF(R1489="",Q1490,Q1490*0.2000000000+R1489*0.8000000000))</f>
        <v>0</v>
      </c>
      <c r="S1490">
        <f>IF(OR(Q1490="",R1490=""),"",Q1490-R1490)</f>
        <v>0</v>
      </c>
      <c r="T1490">
        <f>IF(COUNT($E$2:$E1490)&lt;14,"",MAX($C$1477:$C$1490))</f>
        <v>0</v>
      </c>
      <c r="U1490">
        <f>IF(COUNT($E$2:$E1490)&lt;14,"",MIN($D$1477:$D$1490))</f>
        <v>0</v>
      </c>
      <c r="V1490">
        <f>IF(OR(T1490="",U1490="",T1490=U1490),"",100*($E1490-U1490)/(T1490-U1490))</f>
        <v>0</v>
      </c>
      <c r="W1490">
        <f>IF(COUNT($V$1488:$V$1490)&lt;3,"",AVERAGE($V$1488:$V$1490))</f>
        <v>0</v>
      </c>
      <c r="X1490">
        <f>IF(COUNT($N$1477:$N$1490)&lt;14,"",MIN($N$1477:$N$1490))</f>
        <v>0</v>
      </c>
      <c r="Y1490">
        <f>IF(COUNT($N$1477:$N$1490)&lt;14,"",MAX($N$1477:$N$1490))</f>
        <v>0</v>
      </c>
      <c r="Z1490">
        <f>IF(OR(N1490="",X1490="",Y1490="",Y1490=X1490),"",100*(N1490-X1490)/(Y1490-X1490))</f>
        <v>0</v>
      </c>
      <c r="AA1490">
        <f>IF(COUNT($Z$1488:$Z$1490)&lt;3,"",AVERAGE($Z$1488:$Z$1490))</f>
        <v>0</v>
      </c>
      <c r="AB1490">
        <f>IF(COUNT($AA$1488:$AA$1490)&lt;3,"",AVERAGE($AA$1488:$AA$1490))</f>
        <v>0</v>
      </c>
      <c r="AC1490">
        <f>IF($E1490="","",MAX($C1490-$D1490,ABS($C1490-$E1489),ABS($D1490-$E1489)))</f>
        <v>0</v>
      </c>
      <c r="AD1490">
        <f>IF(COUNT($E$2:$E1490)&lt;15,"",AVERAGE($AC$1477:$AC$1490))</f>
        <v>0</v>
      </c>
      <c r="AE1490">
        <f>IF(OR($E1490="",$E1489=""),"",IF(AND(($C1490-$C1489)&gt;($D1489-$D1490),($C1490-$C1489)&gt;0),$C1490-$C1489,0))</f>
        <v>0</v>
      </c>
      <c r="AF1490">
        <f>IF(OR($E1490="",$E1489=""),"",IF(AND(($D1489-$D1490)&gt;($C1490-$C1489),($D1489-$D1490)&gt;0),$D1489-$D1490,0))</f>
        <v>0</v>
      </c>
      <c r="AG1490">
        <f>IF(COUNT($E$2:$E1490)&lt;15,"",IF(SUM($AC$1477:$AC$1490)=0,0,100*SUM($AE$1477:$AE$1490)/SUM($AC$1477:$AC$1490)))</f>
        <v>0</v>
      </c>
      <c r="AH1490">
        <f>IF(COUNT($E$2:$E1490)&lt;15,"",IF(SUM($AC$1477:$AC$1490)=0,0,100*SUM($AF$1477:$AF$1490)/SUM($AC$1477:$AC$1490)))</f>
        <v>0</v>
      </c>
      <c r="AI1490">
        <f>IF(OR(AG1490="",AH1490=""),"",IF((AG1490+AH1490)=0,0,100*ABS(AG1490-AH1490)/(AG1490+AH1490)))</f>
        <v>0</v>
      </c>
      <c r="AJ1490">
        <f>IF(COUNT($AI$1477:$AI$1490)&lt;14,"",AVERAGE($AI$1477:$AI$1490))</f>
        <v>0</v>
      </c>
      <c r="AK1490">
        <f>IF(COUNT($E$2:$E1490)&lt;20,"",AVERAGE($E$1471:$E$1490))</f>
        <v>0</v>
      </c>
      <c r="AL1490">
        <f>IF(COUNT($E$2:$E1490)&lt;20,"",STDEVP($E$1471:$E$1490))</f>
        <v>0</v>
      </c>
      <c r="AM1490">
        <f>IF(AK1490="","",AK1490+2*AL1490)</f>
        <v>0</v>
      </c>
      <c r="AN1490">
        <f>IF(AK1490="","",AK1490-2*AL1490)</f>
        <v>0</v>
      </c>
      <c r="AO1490">
        <f>IF(OR(AM1490="",AN1490="",AM1490=AN1490),"",($E1490-AN1490)/(AM1490-AN1490))</f>
        <v>0</v>
      </c>
      <c r="AP1490">
        <f>IF(OR(AM1490="",AK1490="",AK1490=0),"",(AM1490-AN1490)/AK1490)</f>
        <v>0</v>
      </c>
      <c r="AQ1490">
        <f>IF(COUNT($E$2:$E1490)&lt;20,"",MAX($C$1471:$C$1490))</f>
        <v>0</v>
      </c>
      <c r="AR1490">
        <f>IF(COUNT($E$2:$E1490)&lt;20,"",MIN($D$1471:$D$1490))</f>
        <v>0</v>
      </c>
      <c r="AS1490">
        <f>IF(OR(AQ1490="",AR1490=""),"",(AQ1490+AR1490)/2)</f>
        <v>0</v>
      </c>
      <c r="AT1490">
        <f>IF(COUNT($G$1471:$G$1490)&lt;20,"",STDEV($G$1471:$G$1490)*SQRT(252))</f>
        <v>0</v>
      </c>
      <c r="AU1490">
        <f>IF(COUNT($E$2:$E1490)&lt;9,"",(MAX($C$1482:$C$1490)+MIN($D$1482:$D$1490))/2)</f>
        <v>0</v>
      </c>
      <c r="AV1490">
        <f>IF(COUNT($E$2:$E1490)&lt;26,"",(MAX($C$1465:$C$1490)+MIN($D$1465:$D$1490))/2)</f>
        <v>0</v>
      </c>
      <c r="AW1490">
        <f>IF(OR(AU1490="",AV1490=""),"",(AU1490+AV1490)/2)</f>
        <v>0</v>
      </c>
      <c r="AX1490">
        <f>IF(COUNT($E$2:$E1490)&lt;52,"",(MAX($C$1439:$C$1490)+MIN($D$1439:$D$1490))/2)</f>
        <v>0</v>
      </c>
      <c r="AY1490">
        <f>IF(COUNT($E$2:$E1490)&lt;20,"",MAX($C$1391:$C$1490))</f>
        <v>0</v>
      </c>
      <c r="AZ1490">
        <f>IF(COUNT($E$2:$E1490)&lt;20,"",MIN($D$1391:$D$1490))</f>
        <v>0</v>
      </c>
      <c r="BA1490">
        <f>IF(COUNT($E$2:$E1490)&lt;20,"",SLOPE($E$1391:$E$1490,$F$1391:$F$1490))</f>
        <v>0</v>
      </c>
      <c r="BB1490">
        <f>IF(COUNT($E$2:$E1490)&lt;20,"",INTERCEPT($E$1391:$E$1490,$F$1391:$F$1490))</f>
        <v>0</v>
      </c>
      <c r="BC1490">
        <f>IF(OR(BA1490="",BB1490=""),"",BB1490+BA1490*F1490)</f>
        <v>0</v>
      </c>
      <c r="BD1490">
        <f>IF(COUNT($E$2:$E1490)&lt;20,"",STEYX($E$1391:$E$1490,$F$1391:$F$1490))</f>
        <v>0</v>
      </c>
      <c r="BE1490">
        <f>IF($E1490="","",IF(AND(COUNT($E$1491:$E$1494)&gt;=4,$C1490=MAX($C$1486:$C$1494)),$C1490,""))</f>
        <v>0</v>
      </c>
      <c r="BF1490">
        <f>IF($E1490="","",IF(AND(COUNT($E$1491:$E$1494)&gt;=4,$D1490=MIN($D$1486:$D$1494)),$D1490,""))</f>
        <v>0</v>
      </c>
      <c r="BG1490">
        <f>IF($A1490="","",$A1490-WEEKDAY($A1490,2)+1)</f>
        <v>0</v>
      </c>
      <c r="BH1490">
        <f>IF($A1490="","",IF($A1489="",1,IF(BG1490&lt;&gt;BG1489,1,0)))</f>
        <v>0</v>
      </c>
      <c r="BI1490">
        <f>IF($A1490="","",IF($A1491="",1,IF(BG1491&lt;&gt;BG1490,1,0)))</f>
        <v>0</v>
      </c>
      <c r="BJ1490">
        <f>IF($A1490="","",IF(BH1490=1,$B1490,BJ1489))</f>
        <v>0</v>
      </c>
      <c r="BK1490">
        <f>IF($A1490="","",IF(BH1490=1,$C1490,MAX($C1490,BK1489)))</f>
        <v>0</v>
      </c>
      <c r="BL1490">
        <f>IF($A1490="","",IF(BH1490=1,$D1490,MIN($D1490,BL1489)))</f>
        <v>0</v>
      </c>
      <c r="BM1490">
        <f>IF($A1490="","",IF(BI1490=1,F1490,""))</f>
        <v>0</v>
      </c>
      <c r="BN1490">
        <f>IF($A1490="","",DATE(YEAR($A1490),MONTH($A1490),1))</f>
        <v>0</v>
      </c>
      <c r="BO1490">
        <f>IF($A1490="","",IF($A1489="",1,IF(BN1490&lt;&gt;BN1489,1,0)))</f>
        <v>0</v>
      </c>
      <c r="BP1490">
        <f>IF($A1490="","",IF($A1491="",1,IF(BN1491&lt;&gt;BN1490,1,0)))</f>
        <v>0</v>
      </c>
      <c r="BQ1490">
        <f>IF($A1490="","",IF(BO1490=1,$B1490,BQ1489))</f>
        <v>0</v>
      </c>
      <c r="BR1490">
        <f>IF($A1490="","",IF(BO1490=1,$C1490,MAX($C1490,BR1489)))</f>
        <v>0</v>
      </c>
      <c r="BS1490">
        <f>IF($A1490="","",IF(BO1490=1,$D1490,MIN($D1490,BS1489)))</f>
        <v>0</v>
      </c>
      <c r="BT1490">
        <f>IF($A1490="","",IF(BP1490=1,F1490,""))</f>
        <v>0</v>
      </c>
    </row>
    <row r="1491" spans="1:72">
      <c r="A1491" s="27">
        <f>IF(Data!$A1491="","",Data!$A1491)</f>
        <v>0</v>
      </c>
      <c r="B1491">
        <f>IF(Data!$B1491="","",Data!$B1491)</f>
        <v>0</v>
      </c>
      <c r="C1491">
        <f>IF(Data!$C1491="","",Data!$C1491)</f>
        <v>0</v>
      </c>
      <c r="D1491">
        <f>IF(Data!$D1491="","",Data!$D1491)</f>
        <v>0</v>
      </c>
      <c r="E1491">
        <f>IF(Data!$E1491="","",Data!$E1491)</f>
        <v>0</v>
      </c>
      <c r="F1491">
        <f>IF($E1491="","",N(F1490)+1)</f>
        <v>0</v>
      </c>
      <c r="G1491">
        <f>IF(OR($E1491="",$E1490=""),"",LN($E1491/$E1490))</f>
        <v>0</v>
      </c>
      <c r="H1491">
        <f>IF($E1491="","",IF($E1490="",$E1491,$E1491*0.0952380952+H1490*0.9047619048))</f>
        <v>0</v>
      </c>
      <c r="I1491">
        <f>IF($E1491="","",IF($E1490="",$E1491,$E1491*0.0392156863+I1490*0.9607843137))</f>
        <v>0</v>
      </c>
      <c r="J1491">
        <f>IF($E1491="","",IF($E1490="",$E1491,$E1491*0.0198019802+J1490*0.9801980198))</f>
        <v>0</v>
      </c>
      <c r="K1491">
        <f>IF($E1491="","",IF($E1490="",$E1491,$E1491*0.0099502488+K1490*0.9900497512))</f>
        <v>0</v>
      </c>
      <c r="L1491">
        <f>IF(OR($E1491="",$E1490=""),"",MAX($E1491-$E1490,0))</f>
        <v>0</v>
      </c>
      <c r="M1491">
        <f>IF(OR($E1491="",$E1490=""),"",MAX($E1490-$E1491,0))</f>
        <v>0</v>
      </c>
      <c r="N1491">
        <f>IF(COUNT($E$2:$E1491)&lt;15,"",IF(AVERAGE($M$1478:$M$1491)=0,100,100-100/(1+AVERAGE($L$1478:$L$1491)/AVERAGE($M$1478:$M$1491))))</f>
        <v>0</v>
      </c>
      <c r="O1491">
        <f>IF($E1491="","",IF($E1490="",$E1491,$E1491*0.1538461538+O1490*0.8461538462))</f>
        <v>0</v>
      </c>
      <c r="P1491">
        <f>IF($E1491="","",IF($E1490="",$E1491,$E1491*0.0740740741+P1490*0.9259259259))</f>
        <v>0</v>
      </c>
      <c r="Q1491">
        <f>IF(OR(O1491="",P1491=""),"",O1491-P1491)</f>
        <v>0</v>
      </c>
      <c r="R1491">
        <f>IF(Q1491="","",IF(R1490="",Q1491,Q1491*0.2000000000+R1490*0.8000000000))</f>
        <v>0</v>
      </c>
      <c r="S1491">
        <f>IF(OR(Q1491="",R1491=""),"",Q1491-R1491)</f>
        <v>0</v>
      </c>
      <c r="T1491">
        <f>IF(COUNT($E$2:$E1491)&lt;14,"",MAX($C$1478:$C$1491))</f>
        <v>0</v>
      </c>
      <c r="U1491">
        <f>IF(COUNT($E$2:$E1491)&lt;14,"",MIN($D$1478:$D$1491))</f>
        <v>0</v>
      </c>
      <c r="V1491">
        <f>IF(OR(T1491="",U1491="",T1491=U1491),"",100*($E1491-U1491)/(T1491-U1491))</f>
        <v>0</v>
      </c>
      <c r="W1491">
        <f>IF(COUNT($V$1489:$V$1491)&lt;3,"",AVERAGE($V$1489:$V$1491))</f>
        <v>0</v>
      </c>
      <c r="X1491">
        <f>IF(COUNT($N$1478:$N$1491)&lt;14,"",MIN($N$1478:$N$1491))</f>
        <v>0</v>
      </c>
      <c r="Y1491">
        <f>IF(COUNT($N$1478:$N$1491)&lt;14,"",MAX($N$1478:$N$1491))</f>
        <v>0</v>
      </c>
      <c r="Z1491">
        <f>IF(OR(N1491="",X1491="",Y1491="",Y1491=X1491),"",100*(N1491-X1491)/(Y1491-X1491))</f>
        <v>0</v>
      </c>
      <c r="AA1491">
        <f>IF(COUNT($Z$1489:$Z$1491)&lt;3,"",AVERAGE($Z$1489:$Z$1491))</f>
        <v>0</v>
      </c>
      <c r="AB1491">
        <f>IF(COUNT($AA$1489:$AA$1491)&lt;3,"",AVERAGE($AA$1489:$AA$1491))</f>
        <v>0</v>
      </c>
      <c r="AC1491">
        <f>IF($E1491="","",MAX($C1491-$D1491,ABS($C1491-$E1490),ABS($D1491-$E1490)))</f>
        <v>0</v>
      </c>
      <c r="AD1491">
        <f>IF(COUNT($E$2:$E1491)&lt;15,"",AVERAGE($AC$1478:$AC$1491))</f>
        <v>0</v>
      </c>
      <c r="AE1491">
        <f>IF(OR($E1491="",$E1490=""),"",IF(AND(($C1491-$C1490)&gt;($D1490-$D1491),($C1491-$C1490)&gt;0),$C1491-$C1490,0))</f>
        <v>0</v>
      </c>
      <c r="AF1491">
        <f>IF(OR($E1491="",$E1490=""),"",IF(AND(($D1490-$D1491)&gt;($C1491-$C1490),($D1490-$D1491)&gt;0),$D1490-$D1491,0))</f>
        <v>0</v>
      </c>
      <c r="AG1491">
        <f>IF(COUNT($E$2:$E1491)&lt;15,"",IF(SUM($AC$1478:$AC$1491)=0,0,100*SUM($AE$1478:$AE$1491)/SUM($AC$1478:$AC$1491)))</f>
        <v>0</v>
      </c>
      <c r="AH1491">
        <f>IF(COUNT($E$2:$E1491)&lt;15,"",IF(SUM($AC$1478:$AC$1491)=0,0,100*SUM($AF$1478:$AF$1491)/SUM($AC$1478:$AC$1491)))</f>
        <v>0</v>
      </c>
      <c r="AI1491">
        <f>IF(OR(AG1491="",AH1491=""),"",IF((AG1491+AH1491)=0,0,100*ABS(AG1491-AH1491)/(AG1491+AH1491)))</f>
        <v>0</v>
      </c>
      <c r="AJ1491">
        <f>IF(COUNT($AI$1478:$AI$1491)&lt;14,"",AVERAGE($AI$1478:$AI$1491))</f>
        <v>0</v>
      </c>
      <c r="AK1491">
        <f>IF(COUNT($E$2:$E1491)&lt;20,"",AVERAGE($E$1472:$E$1491))</f>
        <v>0</v>
      </c>
      <c r="AL1491">
        <f>IF(COUNT($E$2:$E1491)&lt;20,"",STDEVP($E$1472:$E$1491))</f>
        <v>0</v>
      </c>
      <c r="AM1491">
        <f>IF(AK1491="","",AK1491+2*AL1491)</f>
        <v>0</v>
      </c>
      <c r="AN1491">
        <f>IF(AK1491="","",AK1491-2*AL1491)</f>
        <v>0</v>
      </c>
      <c r="AO1491">
        <f>IF(OR(AM1491="",AN1491="",AM1491=AN1491),"",($E1491-AN1491)/(AM1491-AN1491))</f>
        <v>0</v>
      </c>
      <c r="AP1491">
        <f>IF(OR(AM1491="",AK1491="",AK1491=0),"",(AM1491-AN1491)/AK1491)</f>
        <v>0</v>
      </c>
      <c r="AQ1491">
        <f>IF(COUNT($E$2:$E1491)&lt;20,"",MAX($C$1472:$C$1491))</f>
        <v>0</v>
      </c>
      <c r="AR1491">
        <f>IF(COUNT($E$2:$E1491)&lt;20,"",MIN($D$1472:$D$1491))</f>
        <v>0</v>
      </c>
      <c r="AS1491">
        <f>IF(OR(AQ1491="",AR1491=""),"",(AQ1491+AR1491)/2)</f>
        <v>0</v>
      </c>
      <c r="AT1491">
        <f>IF(COUNT($G$1472:$G$1491)&lt;20,"",STDEV($G$1472:$G$1491)*SQRT(252))</f>
        <v>0</v>
      </c>
      <c r="AU1491">
        <f>IF(COUNT($E$2:$E1491)&lt;9,"",(MAX($C$1483:$C$1491)+MIN($D$1483:$D$1491))/2)</f>
        <v>0</v>
      </c>
      <c r="AV1491">
        <f>IF(COUNT($E$2:$E1491)&lt;26,"",(MAX($C$1466:$C$1491)+MIN($D$1466:$D$1491))/2)</f>
        <v>0</v>
      </c>
      <c r="AW1491">
        <f>IF(OR(AU1491="",AV1491=""),"",(AU1491+AV1491)/2)</f>
        <v>0</v>
      </c>
      <c r="AX1491">
        <f>IF(COUNT($E$2:$E1491)&lt;52,"",(MAX($C$1440:$C$1491)+MIN($D$1440:$D$1491))/2)</f>
        <v>0</v>
      </c>
      <c r="AY1491">
        <f>IF(COUNT($E$2:$E1491)&lt;20,"",MAX($C$1392:$C$1491))</f>
        <v>0</v>
      </c>
      <c r="AZ1491">
        <f>IF(COUNT($E$2:$E1491)&lt;20,"",MIN($D$1392:$D$1491))</f>
        <v>0</v>
      </c>
      <c r="BA1491">
        <f>IF(COUNT($E$2:$E1491)&lt;20,"",SLOPE($E$1392:$E$1491,$F$1392:$F$1491))</f>
        <v>0</v>
      </c>
      <c r="BB1491">
        <f>IF(COUNT($E$2:$E1491)&lt;20,"",INTERCEPT($E$1392:$E$1491,$F$1392:$F$1491))</f>
        <v>0</v>
      </c>
      <c r="BC1491">
        <f>IF(OR(BA1491="",BB1491=""),"",BB1491+BA1491*F1491)</f>
        <v>0</v>
      </c>
      <c r="BD1491">
        <f>IF(COUNT($E$2:$E1491)&lt;20,"",STEYX($E$1392:$E$1491,$F$1392:$F$1491))</f>
        <v>0</v>
      </c>
      <c r="BE1491">
        <f>IF($E1491="","",IF(AND(COUNT($E$1492:$E$1495)&gt;=4,$C1491=MAX($C$1487:$C$1495)),$C1491,""))</f>
        <v>0</v>
      </c>
      <c r="BF1491">
        <f>IF($E1491="","",IF(AND(COUNT($E$1492:$E$1495)&gt;=4,$D1491=MIN($D$1487:$D$1495)),$D1491,""))</f>
        <v>0</v>
      </c>
      <c r="BG1491">
        <f>IF($A1491="","",$A1491-WEEKDAY($A1491,2)+1)</f>
        <v>0</v>
      </c>
      <c r="BH1491">
        <f>IF($A1491="","",IF($A1490="",1,IF(BG1491&lt;&gt;BG1490,1,0)))</f>
        <v>0</v>
      </c>
      <c r="BI1491">
        <f>IF($A1491="","",IF($A1492="",1,IF(BG1492&lt;&gt;BG1491,1,0)))</f>
        <v>0</v>
      </c>
      <c r="BJ1491">
        <f>IF($A1491="","",IF(BH1491=1,$B1491,BJ1490))</f>
        <v>0</v>
      </c>
      <c r="BK1491">
        <f>IF($A1491="","",IF(BH1491=1,$C1491,MAX($C1491,BK1490)))</f>
        <v>0</v>
      </c>
      <c r="BL1491">
        <f>IF($A1491="","",IF(BH1491=1,$D1491,MIN($D1491,BL1490)))</f>
        <v>0</v>
      </c>
      <c r="BM1491">
        <f>IF($A1491="","",IF(BI1491=1,F1491,""))</f>
        <v>0</v>
      </c>
      <c r="BN1491">
        <f>IF($A1491="","",DATE(YEAR($A1491),MONTH($A1491),1))</f>
        <v>0</v>
      </c>
      <c r="BO1491">
        <f>IF($A1491="","",IF($A1490="",1,IF(BN1491&lt;&gt;BN1490,1,0)))</f>
        <v>0</v>
      </c>
      <c r="BP1491">
        <f>IF($A1491="","",IF($A1492="",1,IF(BN1492&lt;&gt;BN1491,1,0)))</f>
        <v>0</v>
      </c>
      <c r="BQ1491">
        <f>IF($A1491="","",IF(BO1491=1,$B1491,BQ1490))</f>
        <v>0</v>
      </c>
      <c r="BR1491">
        <f>IF($A1491="","",IF(BO1491=1,$C1491,MAX($C1491,BR1490)))</f>
        <v>0</v>
      </c>
      <c r="BS1491">
        <f>IF($A1491="","",IF(BO1491=1,$D1491,MIN($D1491,BS1490)))</f>
        <v>0</v>
      </c>
      <c r="BT1491">
        <f>IF($A1491="","",IF(BP1491=1,F1491,""))</f>
        <v>0</v>
      </c>
    </row>
    <row r="1492" spans="1:72">
      <c r="A1492" s="27">
        <f>IF(Data!$A1492="","",Data!$A1492)</f>
        <v>0</v>
      </c>
      <c r="B1492">
        <f>IF(Data!$B1492="","",Data!$B1492)</f>
        <v>0</v>
      </c>
      <c r="C1492">
        <f>IF(Data!$C1492="","",Data!$C1492)</f>
        <v>0</v>
      </c>
      <c r="D1492">
        <f>IF(Data!$D1492="","",Data!$D1492)</f>
        <v>0</v>
      </c>
      <c r="E1492">
        <f>IF(Data!$E1492="","",Data!$E1492)</f>
        <v>0</v>
      </c>
      <c r="F1492">
        <f>IF($E1492="","",N(F1491)+1)</f>
        <v>0</v>
      </c>
      <c r="G1492">
        <f>IF(OR($E1492="",$E1491=""),"",LN($E1492/$E1491))</f>
        <v>0</v>
      </c>
      <c r="H1492">
        <f>IF($E1492="","",IF($E1491="",$E1492,$E1492*0.0952380952+H1491*0.9047619048))</f>
        <v>0</v>
      </c>
      <c r="I1492">
        <f>IF($E1492="","",IF($E1491="",$E1492,$E1492*0.0392156863+I1491*0.9607843137))</f>
        <v>0</v>
      </c>
      <c r="J1492">
        <f>IF($E1492="","",IF($E1491="",$E1492,$E1492*0.0198019802+J1491*0.9801980198))</f>
        <v>0</v>
      </c>
      <c r="K1492">
        <f>IF($E1492="","",IF($E1491="",$E1492,$E1492*0.0099502488+K1491*0.9900497512))</f>
        <v>0</v>
      </c>
      <c r="L1492">
        <f>IF(OR($E1492="",$E1491=""),"",MAX($E1492-$E1491,0))</f>
        <v>0</v>
      </c>
      <c r="M1492">
        <f>IF(OR($E1492="",$E1491=""),"",MAX($E1491-$E1492,0))</f>
        <v>0</v>
      </c>
      <c r="N1492">
        <f>IF(COUNT($E$2:$E1492)&lt;15,"",IF(AVERAGE($M$1479:$M$1492)=0,100,100-100/(1+AVERAGE($L$1479:$L$1492)/AVERAGE($M$1479:$M$1492))))</f>
        <v>0</v>
      </c>
      <c r="O1492">
        <f>IF($E1492="","",IF($E1491="",$E1492,$E1492*0.1538461538+O1491*0.8461538462))</f>
        <v>0</v>
      </c>
      <c r="P1492">
        <f>IF($E1492="","",IF($E1491="",$E1492,$E1492*0.0740740741+P1491*0.9259259259))</f>
        <v>0</v>
      </c>
      <c r="Q1492">
        <f>IF(OR(O1492="",P1492=""),"",O1492-P1492)</f>
        <v>0</v>
      </c>
      <c r="R1492">
        <f>IF(Q1492="","",IF(R1491="",Q1492,Q1492*0.2000000000+R1491*0.8000000000))</f>
        <v>0</v>
      </c>
      <c r="S1492">
        <f>IF(OR(Q1492="",R1492=""),"",Q1492-R1492)</f>
        <v>0</v>
      </c>
      <c r="T1492">
        <f>IF(COUNT($E$2:$E1492)&lt;14,"",MAX($C$1479:$C$1492))</f>
        <v>0</v>
      </c>
      <c r="U1492">
        <f>IF(COUNT($E$2:$E1492)&lt;14,"",MIN($D$1479:$D$1492))</f>
        <v>0</v>
      </c>
      <c r="V1492">
        <f>IF(OR(T1492="",U1492="",T1492=U1492),"",100*($E1492-U1492)/(T1492-U1492))</f>
        <v>0</v>
      </c>
      <c r="W1492">
        <f>IF(COUNT($V$1490:$V$1492)&lt;3,"",AVERAGE($V$1490:$V$1492))</f>
        <v>0</v>
      </c>
      <c r="X1492">
        <f>IF(COUNT($N$1479:$N$1492)&lt;14,"",MIN($N$1479:$N$1492))</f>
        <v>0</v>
      </c>
      <c r="Y1492">
        <f>IF(COUNT($N$1479:$N$1492)&lt;14,"",MAX($N$1479:$N$1492))</f>
        <v>0</v>
      </c>
      <c r="Z1492">
        <f>IF(OR(N1492="",X1492="",Y1492="",Y1492=X1492),"",100*(N1492-X1492)/(Y1492-X1492))</f>
        <v>0</v>
      </c>
      <c r="AA1492">
        <f>IF(COUNT($Z$1490:$Z$1492)&lt;3,"",AVERAGE($Z$1490:$Z$1492))</f>
        <v>0</v>
      </c>
      <c r="AB1492">
        <f>IF(COUNT($AA$1490:$AA$1492)&lt;3,"",AVERAGE($AA$1490:$AA$1492))</f>
        <v>0</v>
      </c>
      <c r="AC1492">
        <f>IF($E1492="","",MAX($C1492-$D1492,ABS($C1492-$E1491),ABS($D1492-$E1491)))</f>
        <v>0</v>
      </c>
      <c r="AD1492">
        <f>IF(COUNT($E$2:$E1492)&lt;15,"",AVERAGE($AC$1479:$AC$1492))</f>
        <v>0</v>
      </c>
      <c r="AE1492">
        <f>IF(OR($E1492="",$E1491=""),"",IF(AND(($C1492-$C1491)&gt;($D1491-$D1492),($C1492-$C1491)&gt;0),$C1492-$C1491,0))</f>
        <v>0</v>
      </c>
      <c r="AF1492">
        <f>IF(OR($E1492="",$E1491=""),"",IF(AND(($D1491-$D1492)&gt;($C1492-$C1491),($D1491-$D1492)&gt;0),$D1491-$D1492,0))</f>
        <v>0</v>
      </c>
      <c r="AG1492">
        <f>IF(COUNT($E$2:$E1492)&lt;15,"",IF(SUM($AC$1479:$AC$1492)=0,0,100*SUM($AE$1479:$AE$1492)/SUM($AC$1479:$AC$1492)))</f>
        <v>0</v>
      </c>
      <c r="AH1492">
        <f>IF(COUNT($E$2:$E1492)&lt;15,"",IF(SUM($AC$1479:$AC$1492)=0,0,100*SUM($AF$1479:$AF$1492)/SUM($AC$1479:$AC$1492)))</f>
        <v>0</v>
      </c>
      <c r="AI1492">
        <f>IF(OR(AG1492="",AH1492=""),"",IF((AG1492+AH1492)=0,0,100*ABS(AG1492-AH1492)/(AG1492+AH1492)))</f>
        <v>0</v>
      </c>
      <c r="AJ1492">
        <f>IF(COUNT($AI$1479:$AI$1492)&lt;14,"",AVERAGE($AI$1479:$AI$1492))</f>
        <v>0</v>
      </c>
      <c r="AK1492">
        <f>IF(COUNT($E$2:$E1492)&lt;20,"",AVERAGE($E$1473:$E$1492))</f>
        <v>0</v>
      </c>
      <c r="AL1492">
        <f>IF(COUNT($E$2:$E1492)&lt;20,"",STDEVP($E$1473:$E$1492))</f>
        <v>0</v>
      </c>
      <c r="AM1492">
        <f>IF(AK1492="","",AK1492+2*AL1492)</f>
        <v>0</v>
      </c>
      <c r="AN1492">
        <f>IF(AK1492="","",AK1492-2*AL1492)</f>
        <v>0</v>
      </c>
      <c r="AO1492">
        <f>IF(OR(AM1492="",AN1492="",AM1492=AN1492),"",($E1492-AN1492)/(AM1492-AN1492))</f>
        <v>0</v>
      </c>
      <c r="AP1492">
        <f>IF(OR(AM1492="",AK1492="",AK1492=0),"",(AM1492-AN1492)/AK1492)</f>
        <v>0</v>
      </c>
      <c r="AQ1492">
        <f>IF(COUNT($E$2:$E1492)&lt;20,"",MAX($C$1473:$C$1492))</f>
        <v>0</v>
      </c>
      <c r="AR1492">
        <f>IF(COUNT($E$2:$E1492)&lt;20,"",MIN($D$1473:$D$1492))</f>
        <v>0</v>
      </c>
      <c r="AS1492">
        <f>IF(OR(AQ1492="",AR1492=""),"",(AQ1492+AR1492)/2)</f>
        <v>0</v>
      </c>
      <c r="AT1492">
        <f>IF(COUNT($G$1473:$G$1492)&lt;20,"",STDEV($G$1473:$G$1492)*SQRT(252))</f>
        <v>0</v>
      </c>
      <c r="AU1492">
        <f>IF(COUNT($E$2:$E1492)&lt;9,"",(MAX($C$1484:$C$1492)+MIN($D$1484:$D$1492))/2)</f>
        <v>0</v>
      </c>
      <c r="AV1492">
        <f>IF(COUNT($E$2:$E1492)&lt;26,"",(MAX($C$1467:$C$1492)+MIN($D$1467:$D$1492))/2)</f>
        <v>0</v>
      </c>
      <c r="AW1492">
        <f>IF(OR(AU1492="",AV1492=""),"",(AU1492+AV1492)/2)</f>
        <v>0</v>
      </c>
      <c r="AX1492">
        <f>IF(COUNT($E$2:$E1492)&lt;52,"",(MAX($C$1441:$C$1492)+MIN($D$1441:$D$1492))/2)</f>
        <v>0</v>
      </c>
      <c r="AY1492">
        <f>IF(COUNT($E$2:$E1492)&lt;20,"",MAX($C$1393:$C$1492))</f>
        <v>0</v>
      </c>
      <c r="AZ1492">
        <f>IF(COUNT($E$2:$E1492)&lt;20,"",MIN($D$1393:$D$1492))</f>
        <v>0</v>
      </c>
      <c r="BA1492">
        <f>IF(COUNT($E$2:$E1492)&lt;20,"",SLOPE($E$1393:$E$1492,$F$1393:$F$1492))</f>
        <v>0</v>
      </c>
      <c r="BB1492">
        <f>IF(COUNT($E$2:$E1492)&lt;20,"",INTERCEPT($E$1393:$E$1492,$F$1393:$F$1492))</f>
        <v>0</v>
      </c>
      <c r="BC1492">
        <f>IF(OR(BA1492="",BB1492=""),"",BB1492+BA1492*F1492)</f>
        <v>0</v>
      </c>
      <c r="BD1492">
        <f>IF(COUNT($E$2:$E1492)&lt;20,"",STEYX($E$1393:$E$1492,$F$1393:$F$1492))</f>
        <v>0</v>
      </c>
      <c r="BE1492">
        <f>IF($E1492="","",IF(AND(COUNT($E$1493:$E$1496)&gt;=4,$C1492=MAX($C$1488:$C$1496)),$C1492,""))</f>
        <v>0</v>
      </c>
      <c r="BF1492">
        <f>IF($E1492="","",IF(AND(COUNT($E$1493:$E$1496)&gt;=4,$D1492=MIN($D$1488:$D$1496)),$D1492,""))</f>
        <v>0</v>
      </c>
      <c r="BG1492">
        <f>IF($A1492="","",$A1492-WEEKDAY($A1492,2)+1)</f>
        <v>0</v>
      </c>
      <c r="BH1492">
        <f>IF($A1492="","",IF($A1491="",1,IF(BG1492&lt;&gt;BG1491,1,0)))</f>
        <v>0</v>
      </c>
      <c r="BI1492">
        <f>IF($A1492="","",IF($A1493="",1,IF(BG1493&lt;&gt;BG1492,1,0)))</f>
        <v>0</v>
      </c>
      <c r="BJ1492">
        <f>IF($A1492="","",IF(BH1492=1,$B1492,BJ1491))</f>
        <v>0</v>
      </c>
      <c r="BK1492">
        <f>IF($A1492="","",IF(BH1492=1,$C1492,MAX($C1492,BK1491)))</f>
        <v>0</v>
      </c>
      <c r="BL1492">
        <f>IF($A1492="","",IF(BH1492=1,$D1492,MIN($D1492,BL1491)))</f>
        <v>0</v>
      </c>
      <c r="BM1492">
        <f>IF($A1492="","",IF(BI1492=1,F1492,""))</f>
        <v>0</v>
      </c>
      <c r="BN1492">
        <f>IF($A1492="","",DATE(YEAR($A1492),MONTH($A1492),1))</f>
        <v>0</v>
      </c>
      <c r="BO1492">
        <f>IF($A1492="","",IF($A1491="",1,IF(BN1492&lt;&gt;BN1491,1,0)))</f>
        <v>0</v>
      </c>
      <c r="BP1492">
        <f>IF($A1492="","",IF($A1493="",1,IF(BN1493&lt;&gt;BN1492,1,0)))</f>
        <v>0</v>
      </c>
      <c r="BQ1492">
        <f>IF($A1492="","",IF(BO1492=1,$B1492,BQ1491))</f>
        <v>0</v>
      </c>
      <c r="BR1492">
        <f>IF($A1492="","",IF(BO1492=1,$C1492,MAX($C1492,BR1491)))</f>
        <v>0</v>
      </c>
      <c r="BS1492">
        <f>IF($A1492="","",IF(BO1492=1,$D1492,MIN($D1492,BS1491)))</f>
        <v>0</v>
      </c>
      <c r="BT1492">
        <f>IF($A1492="","",IF(BP1492=1,F1492,""))</f>
        <v>0</v>
      </c>
    </row>
    <row r="1493" spans="1:72">
      <c r="A1493" s="27">
        <f>IF(Data!$A1493="","",Data!$A1493)</f>
        <v>0</v>
      </c>
      <c r="B1493">
        <f>IF(Data!$B1493="","",Data!$B1493)</f>
        <v>0</v>
      </c>
      <c r="C1493">
        <f>IF(Data!$C1493="","",Data!$C1493)</f>
        <v>0</v>
      </c>
      <c r="D1493">
        <f>IF(Data!$D1493="","",Data!$D1493)</f>
        <v>0</v>
      </c>
      <c r="E1493">
        <f>IF(Data!$E1493="","",Data!$E1493)</f>
        <v>0</v>
      </c>
      <c r="F1493">
        <f>IF($E1493="","",N(F1492)+1)</f>
        <v>0</v>
      </c>
      <c r="G1493">
        <f>IF(OR($E1493="",$E1492=""),"",LN($E1493/$E1492))</f>
        <v>0</v>
      </c>
      <c r="H1493">
        <f>IF($E1493="","",IF($E1492="",$E1493,$E1493*0.0952380952+H1492*0.9047619048))</f>
        <v>0</v>
      </c>
      <c r="I1493">
        <f>IF($E1493="","",IF($E1492="",$E1493,$E1493*0.0392156863+I1492*0.9607843137))</f>
        <v>0</v>
      </c>
      <c r="J1493">
        <f>IF($E1493="","",IF($E1492="",$E1493,$E1493*0.0198019802+J1492*0.9801980198))</f>
        <v>0</v>
      </c>
      <c r="K1493">
        <f>IF($E1493="","",IF($E1492="",$E1493,$E1493*0.0099502488+K1492*0.9900497512))</f>
        <v>0</v>
      </c>
      <c r="L1493">
        <f>IF(OR($E1493="",$E1492=""),"",MAX($E1493-$E1492,0))</f>
        <v>0</v>
      </c>
      <c r="M1493">
        <f>IF(OR($E1493="",$E1492=""),"",MAX($E1492-$E1493,0))</f>
        <v>0</v>
      </c>
      <c r="N1493">
        <f>IF(COUNT($E$2:$E1493)&lt;15,"",IF(AVERAGE($M$1480:$M$1493)=0,100,100-100/(1+AVERAGE($L$1480:$L$1493)/AVERAGE($M$1480:$M$1493))))</f>
        <v>0</v>
      </c>
      <c r="O1493">
        <f>IF($E1493="","",IF($E1492="",$E1493,$E1493*0.1538461538+O1492*0.8461538462))</f>
        <v>0</v>
      </c>
      <c r="P1493">
        <f>IF($E1493="","",IF($E1492="",$E1493,$E1493*0.0740740741+P1492*0.9259259259))</f>
        <v>0</v>
      </c>
      <c r="Q1493">
        <f>IF(OR(O1493="",P1493=""),"",O1493-P1493)</f>
        <v>0</v>
      </c>
      <c r="R1493">
        <f>IF(Q1493="","",IF(R1492="",Q1493,Q1493*0.2000000000+R1492*0.8000000000))</f>
        <v>0</v>
      </c>
      <c r="S1493">
        <f>IF(OR(Q1493="",R1493=""),"",Q1493-R1493)</f>
        <v>0</v>
      </c>
      <c r="T1493">
        <f>IF(COUNT($E$2:$E1493)&lt;14,"",MAX($C$1480:$C$1493))</f>
        <v>0</v>
      </c>
      <c r="U1493">
        <f>IF(COUNT($E$2:$E1493)&lt;14,"",MIN($D$1480:$D$1493))</f>
        <v>0</v>
      </c>
      <c r="V1493">
        <f>IF(OR(T1493="",U1493="",T1493=U1493),"",100*($E1493-U1493)/(T1493-U1493))</f>
        <v>0</v>
      </c>
      <c r="W1493">
        <f>IF(COUNT($V$1491:$V$1493)&lt;3,"",AVERAGE($V$1491:$V$1493))</f>
        <v>0</v>
      </c>
      <c r="X1493">
        <f>IF(COUNT($N$1480:$N$1493)&lt;14,"",MIN($N$1480:$N$1493))</f>
        <v>0</v>
      </c>
      <c r="Y1493">
        <f>IF(COUNT($N$1480:$N$1493)&lt;14,"",MAX($N$1480:$N$1493))</f>
        <v>0</v>
      </c>
      <c r="Z1493">
        <f>IF(OR(N1493="",X1493="",Y1493="",Y1493=X1493),"",100*(N1493-X1493)/(Y1493-X1493))</f>
        <v>0</v>
      </c>
      <c r="AA1493">
        <f>IF(COUNT($Z$1491:$Z$1493)&lt;3,"",AVERAGE($Z$1491:$Z$1493))</f>
        <v>0</v>
      </c>
      <c r="AB1493">
        <f>IF(COUNT($AA$1491:$AA$1493)&lt;3,"",AVERAGE($AA$1491:$AA$1493))</f>
        <v>0</v>
      </c>
      <c r="AC1493">
        <f>IF($E1493="","",MAX($C1493-$D1493,ABS($C1493-$E1492),ABS($D1493-$E1492)))</f>
        <v>0</v>
      </c>
      <c r="AD1493">
        <f>IF(COUNT($E$2:$E1493)&lt;15,"",AVERAGE($AC$1480:$AC$1493))</f>
        <v>0</v>
      </c>
      <c r="AE1493">
        <f>IF(OR($E1493="",$E1492=""),"",IF(AND(($C1493-$C1492)&gt;($D1492-$D1493),($C1493-$C1492)&gt;0),$C1493-$C1492,0))</f>
        <v>0</v>
      </c>
      <c r="AF1493">
        <f>IF(OR($E1493="",$E1492=""),"",IF(AND(($D1492-$D1493)&gt;($C1493-$C1492),($D1492-$D1493)&gt;0),$D1492-$D1493,0))</f>
        <v>0</v>
      </c>
      <c r="AG1493">
        <f>IF(COUNT($E$2:$E1493)&lt;15,"",IF(SUM($AC$1480:$AC$1493)=0,0,100*SUM($AE$1480:$AE$1493)/SUM($AC$1480:$AC$1493)))</f>
        <v>0</v>
      </c>
      <c r="AH1493">
        <f>IF(COUNT($E$2:$E1493)&lt;15,"",IF(SUM($AC$1480:$AC$1493)=0,0,100*SUM($AF$1480:$AF$1493)/SUM($AC$1480:$AC$1493)))</f>
        <v>0</v>
      </c>
      <c r="AI1493">
        <f>IF(OR(AG1493="",AH1493=""),"",IF((AG1493+AH1493)=0,0,100*ABS(AG1493-AH1493)/(AG1493+AH1493)))</f>
        <v>0</v>
      </c>
      <c r="AJ1493">
        <f>IF(COUNT($AI$1480:$AI$1493)&lt;14,"",AVERAGE($AI$1480:$AI$1493))</f>
        <v>0</v>
      </c>
      <c r="AK1493">
        <f>IF(COUNT($E$2:$E1493)&lt;20,"",AVERAGE($E$1474:$E$1493))</f>
        <v>0</v>
      </c>
      <c r="AL1493">
        <f>IF(COUNT($E$2:$E1493)&lt;20,"",STDEVP($E$1474:$E$1493))</f>
        <v>0</v>
      </c>
      <c r="AM1493">
        <f>IF(AK1493="","",AK1493+2*AL1493)</f>
        <v>0</v>
      </c>
      <c r="AN1493">
        <f>IF(AK1493="","",AK1493-2*AL1493)</f>
        <v>0</v>
      </c>
      <c r="AO1493">
        <f>IF(OR(AM1493="",AN1493="",AM1493=AN1493),"",($E1493-AN1493)/(AM1493-AN1493))</f>
        <v>0</v>
      </c>
      <c r="AP1493">
        <f>IF(OR(AM1493="",AK1493="",AK1493=0),"",(AM1493-AN1493)/AK1493)</f>
        <v>0</v>
      </c>
      <c r="AQ1493">
        <f>IF(COUNT($E$2:$E1493)&lt;20,"",MAX($C$1474:$C$1493))</f>
        <v>0</v>
      </c>
      <c r="AR1493">
        <f>IF(COUNT($E$2:$E1493)&lt;20,"",MIN($D$1474:$D$1493))</f>
        <v>0</v>
      </c>
      <c r="AS1493">
        <f>IF(OR(AQ1493="",AR1493=""),"",(AQ1493+AR1493)/2)</f>
        <v>0</v>
      </c>
      <c r="AT1493">
        <f>IF(COUNT($G$1474:$G$1493)&lt;20,"",STDEV($G$1474:$G$1493)*SQRT(252))</f>
        <v>0</v>
      </c>
      <c r="AU1493">
        <f>IF(COUNT($E$2:$E1493)&lt;9,"",(MAX($C$1485:$C$1493)+MIN($D$1485:$D$1493))/2)</f>
        <v>0</v>
      </c>
      <c r="AV1493">
        <f>IF(COUNT($E$2:$E1493)&lt;26,"",(MAX($C$1468:$C$1493)+MIN($D$1468:$D$1493))/2)</f>
        <v>0</v>
      </c>
      <c r="AW1493">
        <f>IF(OR(AU1493="",AV1493=""),"",(AU1493+AV1493)/2)</f>
        <v>0</v>
      </c>
      <c r="AX1493">
        <f>IF(COUNT($E$2:$E1493)&lt;52,"",(MAX($C$1442:$C$1493)+MIN($D$1442:$D$1493))/2)</f>
        <v>0</v>
      </c>
      <c r="AY1493">
        <f>IF(COUNT($E$2:$E1493)&lt;20,"",MAX($C$1394:$C$1493))</f>
        <v>0</v>
      </c>
      <c r="AZ1493">
        <f>IF(COUNT($E$2:$E1493)&lt;20,"",MIN($D$1394:$D$1493))</f>
        <v>0</v>
      </c>
      <c r="BA1493">
        <f>IF(COUNT($E$2:$E1493)&lt;20,"",SLOPE($E$1394:$E$1493,$F$1394:$F$1493))</f>
        <v>0</v>
      </c>
      <c r="BB1493">
        <f>IF(COUNT($E$2:$E1493)&lt;20,"",INTERCEPT($E$1394:$E$1493,$F$1394:$F$1493))</f>
        <v>0</v>
      </c>
      <c r="BC1493">
        <f>IF(OR(BA1493="",BB1493=""),"",BB1493+BA1493*F1493)</f>
        <v>0</v>
      </c>
      <c r="BD1493">
        <f>IF(COUNT($E$2:$E1493)&lt;20,"",STEYX($E$1394:$E$1493,$F$1394:$F$1493))</f>
        <v>0</v>
      </c>
      <c r="BE1493">
        <f>IF($E1493="","",IF(AND(COUNT($E$1494:$E$1497)&gt;=4,$C1493=MAX($C$1489:$C$1497)),$C1493,""))</f>
        <v>0</v>
      </c>
      <c r="BF1493">
        <f>IF($E1493="","",IF(AND(COUNT($E$1494:$E$1497)&gt;=4,$D1493=MIN($D$1489:$D$1497)),$D1493,""))</f>
        <v>0</v>
      </c>
      <c r="BG1493">
        <f>IF($A1493="","",$A1493-WEEKDAY($A1493,2)+1)</f>
        <v>0</v>
      </c>
      <c r="BH1493">
        <f>IF($A1493="","",IF($A1492="",1,IF(BG1493&lt;&gt;BG1492,1,0)))</f>
        <v>0</v>
      </c>
      <c r="BI1493">
        <f>IF($A1493="","",IF($A1494="",1,IF(BG1494&lt;&gt;BG1493,1,0)))</f>
        <v>0</v>
      </c>
      <c r="BJ1493">
        <f>IF($A1493="","",IF(BH1493=1,$B1493,BJ1492))</f>
        <v>0</v>
      </c>
      <c r="BK1493">
        <f>IF($A1493="","",IF(BH1493=1,$C1493,MAX($C1493,BK1492)))</f>
        <v>0</v>
      </c>
      <c r="BL1493">
        <f>IF($A1493="","",IF(BH1493=1,$D1493,MIN($D1493,BL1492)))</f>
        <v>0</v>
      </c>
      <c r="BM1493">
        <f>IF($A1493="","",IF(BI1493=1,F1493,""))</f>
        <v>0</v>
      </c>
      <c r="BN1493">
        <f>IF($A1493="","",DATE(YEAR($A1493),MONTH($A1493),1))</f>
        <v>0</v>
      </c>
      <c r="BO1493">
        <f>IF($A1493="","",IF($A1492="",1,IF(BN1493&lt;&gt;BN1492,1,0)))</f>
        <v>0</v>
      </c>
      <c r="BP1493">
        <f>IF($A1493="","",IF($A1494="",1,IF(BN1494&lt;&gt;BN1493,1,0)))</f>
        <v>0</v>
      </c>
      <c r="BQ1493">
        <f>IF($A1493="","",IF(BO1493=1,$B1493,BQ1492))</f>
        <v>0</v>
      </c>
      <c r="BR1493">
        <f>IF($A1493="","",IF(BO1493=1,$C1493,MAX($C1493,BR1492)))</f>
        <v>0</v>
      </c>
      <c r="BS1493">
        <f>IF($A1493="","",IF(BO1493=1,$D1493,MIN($D1493,BS1492)))</f>
        <v>0</v>
      </c>
      <c r="BT1493">
        <f>IF($A1493="","",IF(BP1493=1,F1493,""))</f>
        <v>0</v>
      </c>
    </row>
    <row r="1494" spans="1:72">
      <c r="A1494" s="27">
        <f>IF(Data!$A1494="","",Data!$A1494)</f>
        <v>0</v>
      </c>
      <c r="B1494">
        <f>IF(Data!$B1494="","",Data!$B1494)</f>
        <v>0</v>
      </c>
      <c r="C1494">
        <f>IF(Data!$C1494="","",Data!$C1494)</f>
        <v>0</v>
      </c>
      <c r="D1494">
        <f>IF(Data!$D1494="","",Data!$D1494)</f>
        <v>0</v>
      </c>
      <c r="E1494">
        <f>IF(Data!$E1494="","",Data!$E1494)</f>
        <v>0</v>
      </c>
      <c r="F1494">
        <f>IF($E1494="","",N(F1493)+1)</f>
        <v>0</v>
      </c>
      <c r="G1494">
        <f>IF(OR($E1494="",$E1493=""),"",LN($E1494/$E1493))</f>
        <v>0</v>
      </c>
      <c r="H1494">
        <f>IF($E1494="","",IF($E1493="",$E1494,$E1494*0.0952380952+H1493*0.9047619048))</f>
        <v>0</v>
      </c>
      <c r="I1494">
        <f>IF($E1494="","",IF($E1493="",$E1494,$E1494*0.0392156863+I1493*0.9607843137))</f>
        <v>0</v>
      </c>
      <c r="J1494">
        <f>IF($E1494="","",IF($E1493="",$E1494,$E1494*0.0198019802+J1493*0.9801980198))</f>
        <v>0</v>
      </c>
      <c r="K1494">
        <f>IF($E1494="","",IF($E1493="",$E1494,$E1494*0.0099502488+K1493*0.9900497512))</f>
        <v>0</v>
      </c>
      <c r="L1494">
        <f>IF(OR($E1494="",$E1493=""),"",MAX($E1494-$E1493,0))</f>
        <v>0</v>
      </c>
      <c r="M1494">
        <f>IF(OR($E1494="",$E1493=""),"",MAX($E1493-$E1494,0))</f>
        <v>0</v>
      </c>
      <c r="N1494">
        <f>IF(COUNT($E$2:$E1494)&lt;15,"",IF(AVERAGE($M$1481:$M$1494)=0,100,100-100/(1+AVERAGE($L$1481:$L$1494)/AVERAGE($M$1481:$M$1494))))</f>
        <v>0</v>
      </c>
      <c r="O1494">
        <f>IF($E1494="","",IF($E1493="",$E1494,$E1494*0.1538461538+O1493*0.8461538462))</f>
        <v>0</v>
      </c>
      <c r="P1494">
        <f>IF($E1494="","",IF($E1493="",$E1494,$E1494*0.0740740741+P1493*0.9259259259))</f>
        <v>0</v>
      </c>
      <c r="Q1494">
        <f>IF(OR(O1494="",P1494=""),"",O1494-P1494)</f>
        <v>0</v>
      </c>
      <c r="R1494">
        <f>IF(Q1494="","",IF(R1493="",Q1494,Q1494*0.2000000000+R1493*0.8000000000))</f>
        <v>0</v>
      </c>
      <c r="S1494">
        <f>IF(OR(Q1494="",R1494=""),"",Q1494-R1494)</f>
        <v>0</v>
      </c>
      <c r="T1494">
        <f>IF(COUNT($E$2:$E1494)&lt;14,"",MAX($C$1481:$C$1494))</f>
        <v>0</v>
      </c>
      <c r="U1494">
        <f>IF(COUNT($E$2:$E1494)&lt;14,"",MIN($D$1481:$D$1494))</f>
        <v>0</v>
      </c>
      <c r="V1494">
        <f>IF(OR(T1494="",U1494="",T1494=U1494),"",100*($E1494-U1494)/(T1494-U1494))</f>
        <v>0</v>
      </c>
      <c r="W1494">
        <f>IF(COUNT($V$1492:$V$1494)&lt;3,"",AVERAGE($V$1492:$V$1494))</f>
        <v>0</v>
      </c>
      <c r="X1494">
        <f>IF(COUNT($N$1481:$N$1494)&lt;14,"",MIN($N$1481:$N$1494))</f>
        <v>0</v>
      </c>
      <c r="Y1494">
        <f>IF(COUNT($N$1481:$N$1494)&lt;14,"",MAX($N$1481:$N$1494))</f>
        <v>0</v>
      </c>
      <c r="Z1494">
        <f>IF(OR(N1494="",X1494="",Y1494="",Y1494=X1494),"",100*(N1494-X1494)/(Y1494-X1494))</f>
        <v>0</v>
      </c>
      <c r="AA1494">
        <f>IF(COUNT($Z$1492:$Z$1494)&lt;3,"",AVERAGE($Z$1492:$Z$1494))</f>
        <v>0</v>
      </c>
      <c r="AB1494">
        <f>IF(COUNT($AA$1492:$AA$1494)&lt;3,"",AVERAGE($AA$1492:$AA$1494))</f>
        <v>0</v>
      </c>
      <c r="AC1494">
        <f>IF($E1494="","",MAX($C1494-$D1494,ABS($C1494-$E1493),ABS($D1494-$E1493)))</f>
        <v>0</v>
      </c>
      <c r="AD1494">
        <f>IF(COUNT($E$2:$E1494)&lt;15,"",AVERAGE($AC$1481:$AC$1494))</f>
        <v>0</v>
      </c>
      <c r="AE1494">
        <f>IF(OR($E1494="",$E1493=""),"",IF(AND(($C1494-$C1493)&gt;($D1493-$D1494),($C1494-$C1493)&gt;0),$C1494-$C1493,0))</f>
        <v>0</v>
      </c>
      <c r="AF1494">
        <f>IF(OR($E1494="",$E1493=""),"",IF(AND(($D1493-$D1494)&gt;($C1494-$C1493),($D1493-$D1494)&gt;0),$D1493-$D1494,0))</f>
        <v>0</v>
      </c>
      <c r="AG1494">
        <f>IF(COUNT($E$2:$E1494)&lt;15,"",IF(SUM($AC$1481:$AC$1494)=0,0,100*SUM($AE$1481:$AE$1494)/SUM($AC$1481:$AC$1494)))</f>
        <v>0</v>
      </c>
      <c r="AH1494">
        <f>IF(COUNT($E$2:$E1494)&lt;15,"",IF(SUM($AC$1481:$AC$1494)=0,0,100*SUM($AF$1481:$AF$1494)/SUM($AC$1481:$AC$1494)))</f>
        <v>0</v>
      </c>
      <c r="AI1494">
        <f>IF(OR(AG1494="",AH1494=""),"",IF((AG1494+AH1494)=0,0,100*ABS(AG1494-AH1494)/(AG1494+AH1494)))</f>
        <v>0</v>
      </c>
      <c r="AJ1494">
        <f>IF(COUNT($AI$1481:$AI$1494)&lt;14,"",AVERAGE($AI$1481:$AI$1494))</f>
        <v>0</v>
      </c>
      <c r="AK1494">
        <f>IF(COUNT($E$2:$E1494)&lt;20,"",AVERAGE($E$1475:$E$1494))</f>
        <v>0</v>
      </c>
      <c r="AL1494">
        <f>IF(COUNT($E$2:$E1494)&lt;20,"",STDEVP($E$1475:$E$1494))</f>
        <v>0</v>
      </c>
      <c r="AM1494">
        <f>IF(AK1494="","",AK1494+2*AL1494)</f>
        <v>0</v>
      </c>
      <c r="AN1494">
        <f>IF(AK1494="","",AK1494-2*AL1494)</f>
        <v>0</v>
      </c>
      <c r="AO1494">
        <f>IF(OR(AM1494="",AN1494="",AM1494=AN1494),"",($E1494-AN1494)/(AM1494-AN1494))</f>
        <v>0</v>
      </c>
      <c r="AP1494">
        <f>IF(OR(AM1494="",AK1494="",AK1494=0),"",(AM1494-AN1494)/AK1494)</f>
        <v>0</v>
      </c>
      <c r="AQ1494">
        <f>IF(COUNT($E$2:$E1494)&lt;20,"",MAX($C$1475:$C$1494))</f>
        <v>0</v>
      </c>
      <c r="AR1494">
        <f>IF(COUNT($E$2:$E1494)&lt;20,"",MIN($D$1475:$D$1494))</f>
        <v>0</v>
      </c>
      <c r="AS1494">
        <f>IF(OR(AQ1494="",AR1494=""),"",(AQ1494+AR1494)/2)</f>
        <v>0</v>
      </c>
      <c r="AT1494">
        <f>IF(COUNT($G$1475:$G$1494)&lt;20,"",STDEV($G$1475:$G$1494)*SQRT(252))</f>
        <v>0</v>
      </c>
      <c r="AU1494">
        <f>IF(COUNT($E$2:$E1494)&lt;9,"",(MAX($C$1486:$C$1494)+MIN($D$1486:$D$1494))/2)</f>
        <v>0</v>
      </c>
      <c r="AV1494">
        <f>IF(COUNT($E$2:$E1494)&lt;26,"",(MAX($C$1469:$C$1494)+MIN($D$1469:$D$1494))/2)</f>
        <v>0</v>
      </c>
      <c r="AW1494">
        <f>IF(OR(AU1494="",AV1494=""),"",(AU1494+AV1494)/2)</f>
        <v>0</v>
      </c>
      <c r="AX1494">
        <f>IF(COUNT($E$2:$E1494)&lt;52,"",(MAX($C$1443:$C$1494)+MIN($D$1443:$D$1494))/2)</f>
        <v>0</v>
      </c>
      <c r="AY1494">
        <f>IF(COUNT($E$2:$E1494)&lt;20,"",MAX($C$1395:$C$1494))</f>
        <v>0</v>
      </c>
      <c r="AZ1494">
        <f>IF(COUNT($E$2:$E1494)&lt;20,"",MIN($D$1395:$D$1494))</f>
        <v>0</v>
      </c>
      <c r="BA1494">
        <f>IF(COUNT($E$2:$E1494)&lt;20,"",SLOPE($E$1395:$E$1494,$F$1395:$F$1494))</f>
        <v>0</v>
      </c>
      <c r="BB1494">
        <f>IF(COUNT($E$2:$E1494)&lt;20,"",INTERCEPT($E$1395:$E$1494,$F$1395:$F$1494))</f>
        <v>0</v>
      </c>
      <c r="BC1494">
        <f>IF(OR(BA1494="",BB1494=""),"",BB1494+BA1494*F1494)</f>
        <v>0</v>
      </c>
      <c r="BD1494">
        <f>IF(COUNT($E$2:$E1494)&lt;20,"",STEYX($E$1395:$E$1494,$F$1395:$F$1494))</f>
        <v>0</v>
      </c>
      <c r="BE1494">
        <f>IF($E1494="","",IF(AND(COUNT($E$1495:$E$1498)&gt;=4,$C1494=MAX($C$1490:$C$1498)),$C1494,""))</f>
        <v>0</v>
      </c>
      <c r="BF1494">
        <f>IF($E1494="","",IF(AND(COUNT($E$1495:$E$1498)&gt;=4,$D1494=MIN($D$1490:$D$1498)),$D1494,""))</f>
        <v>0</v>
      </c>
      <c r="BG1494">
        <f>IF($A1494="","",$A1494-WEEKDAY($A1494,2)+1)</f>
        <v>0</v>
      </c>
      <c r="BH1494">
        <f>IF($A1494="","",IF($A1493="",1,IF(BG1494&lt;&gt;BG1493,1,0)))</f>
        <v>0</v>
      </c>
      <c r="BI1494">
        <f>IF($A1494="","",IF($A1495="",1,IF(BG1495&lt;&gt;BG1494,1,0)))</f>
        <v>0</v>
      </c>
      <c r="BJ1494">
        <f>IF($A1494="","",IF(BH1494=1,$B1494,BJ1493))</f>
        <v>0</v>
      </c>
      <c r="BK1494">
        <f>IF($A1494="","",IF(BH1494=1,$C1494,MAX($C1494,BK1493)))</f>
        <v>0</v>
      </c>
      <c r="BL1494">
        <f>IF($A1494="","",IF(BH1494=1,$D1494,MIN($D1494,BL1493)))</f>
        <v>0</v>
      </c>
      <c r="BM1494">
        <f>IF($A1494="","",IF(BI1494=1,F1494,""))</f>
        <v>0</v>
      </c>
      <c r="BN1494">
        <f>IF($A1494="","",DATE(YEAR($A1494),MONTH($A1494),1))</f>
        <v>0</v>
      </c>
      <c r="BO1494">
        <f>IF($A1494="","",IF($A1493="",1,IF(BN1494&lt;&gt;BN1493,1,0)))</f>
        <v>0</v>
      </c>
      <c r="BP1494">
        <f>IF($A1494="","",IF($A1495="",1,IF(BN1495&lt;&gt;BN1494,1,0)))</f>
        <v>0</v>
      </c>
      <c r="BQ1494">
        <f>IF($A1494="","",IF(BO1494=1,$B1494,BQ1493))</f>
        <v>0</v>
      </c>
      <c r="BR1494">
        <f>IF($A1494="","",IF(BO1494=1,$C1494,MAX($C1494,BR1493)))</f>
        <v>0</v>
      </c>
      <c r="BS1494">
        <f>IF($A1494="","",IF(BO1494=1,$D1494,MIN($D1494,BS1493)))</f>
        <v>0</v>
      </c>
      <c r="BT1494">
        <f>IF($A1494="","",IF(BP1494=1,F1494,""))</f>
        <v>0</v>
      </c>
    </row>
    <row r="1495" spans="1:72">
      <c r="A1495" s="27">
        <f>IF(Data!$A1495="","",Data!$A1495)</f>
        <v>0</v>
      </c>
      <c r="B1495">
        <f>IF(Data!$B1495="","",Data!$B1495)</f>
        <v>0</v>
      </c>
      <c r="C1495">
        <f>IF(Data!$C1495="","",Data!$C1495)</f>
        <v>0</v>
      </c>
      <c r="D1495">
        <f>IF(Data!$D1495="","",Data!$D1495)</f>
        <v>0</v>
      </c>
      <c r="E1495">
        <f>IF(Data!$E1495="","",Data!$E1495)</f>
        <v>0</v>
      </c>
      <c r="F1495">
        <f>IF($E1495="","",N(F1494)+1)</f>
        <v>0</v>
      </c>
      <c r="G1495">
        <f>IF(OR($E1495="",$E1494=""),"",LN($E1495/$E1494))</f>
        <v>0</v>
      </c>
      <c r="H1495">
        <f>IF($E1495="","",IF($E1494="",$E1495,$E1495*0.0952380952+H1494*0.9047619048))</f>
        <v>0</v>
      </c>
      <c r="I1495">
        <f>IF($E1495="","",IF($E1494="",$E1495,$E1495*0.0392156863+I1494*0.9607843137))</f>
        <v>0</v>
      </c>
      <c r="J1495">
        <f>IF($E1495="","",IF($E1494="",$E1495,$E1495*0.0198019802+J1494*0.9801980198))</f>
        <v>0</v>
      </c>
      <c r="K1495">
        <f>IF($E1495="","",IF($E1494="",$E1495,$E1495*0.0099502488+K1494*0.9900497512))</f>
        <v>0</v>
      </c>
      <c r="L1495">
        <f>IF(OR($E1495="",$E1494=""),"",MAX($E1495-$E1494,0))</f>
        <v>0</v>
      </c>
      <c r="M1495">
        <f>IF(OR($E1495="",$E1494=""),"",MAX($E1494-$E1495,0))</f>
        <v>0</v>
      </c>
      <c r="N1495">
        <f>IF(COUNT($E$2:$E1495)&lt;15,"",IF(AVERAGE($M$1482:$M$1495)=0,100,100-100/(1+AVERAGE($L$1482:$L$1495)/AVERAGE($M$1482:$M$1495))))</f>
        <v>0</v>
      </c>
      <c r="O1495">
        <f>IF($E1495="","",IF($E1494="",$E1495,$E1495*0.1538461538+O1494*0.8461538462))</f>
        <v>0</v>
      </c>
      <c r="P1495">
        <f>IF($E1495="","",IF($E1494="",$E1495,$E1495*0.0740740741+P1494*0.9259259259))</f>
        <v>0</v>
      </c>
      <c r="Q1495">
        <f>IF(OR(O1495="",P1495=""),"",O1495-P1495)</f>
        <v>0</v>
      </c>
      <c r="R1495">
        <f>IF(Q1495="","",IF(R1494="",Q1495,Q1495*0.2000000000+R1494*0.8000000000))</f>
        <v>0</v>
      </c>
      <c r="S1495">
        <f>IF(OR(Q1495="",R1495=""),"",Q1495-R1495)</f>
        <v>0</v>
      </c>
      <c r="T1495">
        <f>IF(COUNT($E$2:$E1495)&lt;14,"",MAX($C$1482:$C$1495))</f>
        <v>0</v>
      </c>
      <c r="U1495">
        <f>IF(COUNT($E$2:$E1495)&lt;14,"",MIN($D$1482:$D$1495))</f>
        <v>0</v>
      </c>
      <c r="V1495">
        <f>IF(OR(T1495="",U1495="",T1495=U1495),"",100*($E1495-U1495)/(T1495-U1495))</f>
        <v>0</v>
      </c>
      <c r="W1495">
        <f>IF(COUNT($V$1493:$V$1495)&lt;3,"",AVERAGE($V$1493:$V$1495))</f>
        <v>0</v>
      </c>
      <c r="X1495">
        <f>IF(COUNT($N$1482:$N$1495)&lt;14,"",MIN($N$1482:$N$1495))</f>
        <v>0</v>
      </c>
      <c r="Y1495">
        <f>IF(COUNT($N$1482:$N$1495)&lt;14,"",MAX($N$1482:$N$1495))</f>
        <v>0</v>
      </c>
      <c r="Z1495">
        <f>IF(OR(N1495="",X1495="",Y1495="",Y1495=X1495),"",100*(N1495-X1495)/(Y1495-X1495))</f>
        <v>0</v>
      </c>
      <c r="AA1495">
        <f>IF(COUNT($Z$1493:$Z$1495)&lt;3,"",AVERAGE($Z$1493:$Z$1495))</f>
        <v>0</v>
      </c>
      <c r="AB1495">
        <f>IF(COUNT($AA$1493:$AA$1495)&lt;3,"",AVERAGE($AA$1493:$AA$1495))</f>
        <v>0</v>
      </c>
      <c r="AC1495">
        <f>IF($E1495="","",MAX($C1495-$D1495,ABS($C1495-$E1494),ABS($D1495-$E1494)))</f>
        <v>0</v>
      </c>
      <c r="AD1495">
        <f>IF(COUNT($E$2:$E1495)&lt;15,"",AVERAGE($AC$1482:$AC$1495))</f>
        <v>0</v>
      </c>
      <c r="AE1495">
        <f>IF(OR($E1495="",$E1494=""),"",IF(AND(($C1495-$C1494)&gt;($D1494-$D1495),($C1495-$C1494)&gt;0),$C1495-$C1494,0))</f>
        <v>0</v>
      </c>
      <c r="AF1495">
        <f>IF(OR($E1495="",$E1494=""),"",IF(AND(($D1494-$D1495)&gt;($C1495-$C1494),($D1494-$D1495)&gt;0),$D1494-$D1495,0))</f>
        <v>0</v>
      </c>
      <c r="AG1495">
        <f>IF(COUNT($E$2:$E1495)&lt;15,"",IF(SUM($AC$1482:$AC$1495)=0,0,100*SUM($AE$1482:$AE$1495)/SUM($AC$1482:$AC$1495)))</f>
        <v>0</v>
      </c>
      <c r="AH1495">
        <f>IF(COUNT($E$2:$E1495)&lt;15,"",IF(SUM($AC$1482:$AC$1495)=0,0,100*SUM($AF$1482:$AF$1495)/SUM($AC$1482:$AC$1495)))</f>
        <v>0</v>
      </c>
      <c r="AI1495">
        <f>IF(OR(AG1495="",AH1495=""),"",IF((AG1495+AH1495)=0,0,100*ABS(AG1495-AH1495)/(AG1495+AH1495)))</f>
        <v>0</v>
      </c>
      <c r="AJ1495">
        <f>IF(COUNT($AI$1482:$AI$1495)&lt;14,"",AVERAGE($AI$1482:$AI$1495))</f>
        <v>0</v>
      </c>
      <c r="AK1495">
        <f>IF(COUNT($E$2:$E1495)&lt;20,"",AVERAGE($E$1476:$E$1495))</f>
        <v>0</v>
      </c>
      <c r="AL1495">
        <f>IF(COUNT($E$2:$E1495)&lt;20,"",STDEVP($E$1476:$E$1495))</f>
        <v>0</v>
      </c>
      <c r="AM1495">
        <f>IF(AK1495="","",AK1495+2*AL1495)</f>
        <v>0</v>
      </c>
      <c r="AN1495">
        <f>IF(AK1495="","",AK1495-2*AL1495)</f>
        <v>0</v>
      </c>
      <c r="AO1495">
        <f>IF(OR(AM1495="",AN1495="",AM1495=AN1495),"",($E1495-AN1495)/(AM1495-AN1495))</f>
        <v>0</v>
      </c>
      <c r="AP1495">
        <f>IF(OR(AM1495="",AK1495="",AK1495=0),"",(AM1495-AN1495)/AK1495)</f>
        <v>0</v>
      </c>
      <c r="AQ1495">
        <f>IF(COUNT($E$2:$E1495)&lt;20,"",MAX($C$1476:$C$1495))</f>
        <v>0</v>
      </c>
      <c r="AR1495">
        <f>IF(COUNT($E$2:$E1495)&lt;20,"",MIN($D$1476:$D$1495))</f>
        <v>0</v>
      </c>
      <c r="AS1495">
        <f>IF(OR(AQ1495="",AR1495=""),"",(AQ1495+AR1495)/2)</f>
        <v>0</v>
      </c>
      <c r="AT1495">
        <f>IF(COUNT($G$1476:$G$1495)&lt;20,"",STDEV($G$1476:$G$1495)*SQRT(252))</f>
        <v>0</v>
      </c>
      <c r="AU1495">
        <f>IF(COUNT($E$2:$E1495)&lt;9,"",(MAX($C$1487:$C$1495)+MIN($D$1487:$D$1495))/2)</f>
        <v>0</v>
      </c>
      <c r="AV1495">
        <f>IF(COUNT($E$2:$E1495)&lt;26,"",(MAX($C$1470:$C$1495)+MIN($D$1470:$D$1495))/2)</f>
        <v>0</v>
      </c>
      <c r="AW1495">
        <f>IF(OR(AU1495="",AV1495=""),"",(AU1495+AV1495)/2)</f>
        <v>0</v>
      </c>
      <c r="AX1495">
        <f>IF(COUNT($E$2:$E1495)&lt;52,"",(MAX($C$1444:$C$1495)+MIN($D$1444:$D$1495))/2)</f>
        <v>0</v>
      </c>
      <c r="AY1495">
        <f>IF(COUNT($E$2:$E1495)&lt;20,"",MAX($C$1396:$C$1495))</f>
        <v>0</v>
      </c>
      <c r="AZ1495">
        <f>IF(COUNT($E$2:$E1495)&lt;20,"",MIN($D$1396:$D$1495))</f>
        <v>0</v>
      </c>
      <c r="BA1495">
        <f>IF(COUNT($E$2:$E1495)&lt;20,"",SLOPE($E$1396:$E$1495,$F$1396:$F$1495))</f>
        <v>0</v>
      </c>
      <c r="BB1495">
        <f>IF(COUNT($E$2:$E1495)&lt;20,"",INTERCEPT($E$1396:$E$1495,$F$1396:$F$1495))</f>
        <v>0</v>
      </c>
      <c r="BC1495">
        <f>IF(OR(BA1495="",BB1495=""),"",BB1495+BA1495*F1495)</f>
        <v>0</v>
      </c>
      <c r="BD1495">
        <f>IF(COUNT($E$2:$E1495)&lt;20,"",STEYX($E$1396:$E$1495,$F$1396:$F$1495))</f>
        <v>0</v>
      </c>
      <c r="BE1495">
        <f>IF($E1495="","",IF(AND(COUNT($E$1496:$E$1499)&gt;=4,$C1495=MAX($C$1491:$C$1499)),$C1495,""))</f>
        <v>0</v>
      </c>
      <c r="BF1495">
        <f>IF($E1495="","",IF(AND(COUNT($E$1496:$E$1499)&gt;=4,$D1495=MIN($D$1491:$D$1499)),$D1495,""))</f>
        <v>0</v>
      </c>
      <c r="BG1495">
        <f>IF($A1495="","",$A1495-WEEKDAY($A1495,2)+1)</f>
        <v>0</v>
      </c>
      <c r="BH1495">
        <f>IF($A1495="","",IF($A1494="",1,IF(BG1495&lt;&gt;BG1494,1,0)))</f>
        <v>0</v>
      </c>
      <c r="BI1495">
        <f>IF($A1495="","",IF($A1496="",1,IF(BG1496&lt;&gt;BG1495,1,0)))</f>
        <v>0</v>
      </c>
      <c r="BJ1495">
        <f>IF($A1495="","",IF(BH1495=1,$B1495,BJ1494))</f>
        <v>0</v>
      </c>
      <c r="BK1495">
        <f>IF($A1495="","",IF(BH1495=1,$C1495,MAX($C1495,BK1494)))</f>
        <v>0</v>
      </c>
      <c r="BL1495">
        <f>IF($A1495="","",IF(BH1495=1,$D1495,MIN($D1495,BL1494)))</f>
        <v>0</v>
      </c>
      <c r="BM1495">
        <f>IF($A1495="","",IF(BI1495=1,F1495,""))</f>
        <v>0</v>
      </c>
      <c r="BN1495">
        <f>IF($A1495="","",DATE(YEAR($A1495),MONTH($A1495),1))</f>
        <v>0</v>
      </c>
      <c r="BO1495">
        <f>IF($A1495="","",IF($A1494="",1,IF(BN1495&lt;&gt;BN1494,1,0)))</f>
        <v>0</v>
      </c>
      <c r="BP1495">
        <f>IF($A1495="","",IF($A1496="",1,IF(BN1496&lt;&gt;BN1495,1,0)))</f>
        <v>0</v>
      </c>
      <c r="BQ1495">
        <f>IF($A1495="","",IF(BO1495=1,$B1495,BQ1494))</f>
        <v>0</v>
      </c>
      <c r="BR1495">
        <f>IF($A1495="","",IF(BO1495=1,$C1495,MAX($C1495,BR1494)))</f>
        <v>0</v>
      </c>
      <c r="BS1495">
        <f>IF($A1495="","",IF(BO1495=1,$D1495,MIN($D1495,BS1494)))</f>
        <v>0</v>
      </c>
      <c r="BT1495">
        <f>IF($A1495="","",IF(BP1495=1,F1495,""))</f>
        <v>0</v>
      </c>
    </row>
    <row r="1496" spans="1:72">
      <c r="A1496" s="27">
        <f>IF(Data!$A1496="","",Data!$A1496)</f>
        <v>0</v>
      </c>
      <c r="B1496">
        <f>IF(Data!$B1496="","",Data!$B1496)</f>
        <v>0</v>
      </c>
      <c r="C1496">
        <f>IF(Data!$C1496="","",Data!$C1496)</f>
        <v>0</v>
      </c>
      <c r="D1496">
        <f>IF(Data!$D1496="","",Data!$D1496)</f>
        <v>0</v>
      </c>
      <c r="E1496">
        <f>IF(Data!$E1496="","",Data!$E1496)</f>
        <v>0</v>
      </c>
      <c r="F1496">
        <f>IF($E1496="","",N(F1495)+1)</f>
        <v>0</v>
      </c>
      <c r="G1496">
        <f>IF(OR($E1496="",$E1495=""),"",LN($E1496/$E1495))</f>
        <v>0</v>
      </c>
      <c r="H1496">
        <f>IF($E1496="","",IF($E1495="",$E1496,$E1496*0.0952380952+H1495*0.9047619048))</f>
        <v>0</v>
      </c>
      <c r="I1496">
        <f>IF($E1496="","",IF($E1495="",$E1496,$E1496*0.0392156863+I1495*0.9607843137))</f>
        <v>0</v>
      </c>
      <c r="J1496">
        <f>IF($E1496="","",IF($E1495="",$E1496,$E1496*0.0198019802+J1495*0.9801980198))</f>
        <v>0</v>
      </c>
      <c r="K1496">
        <f>IF($E1496="","",IF($E1495="",$E1496,$E1496*0.0099502488+K1495*0.9900497512))</f>
        <v>0</v>
      </c>
      <c r="L1496">
        <f>IF(OR($E1496="",$E1495=""),"",MAX($E1496-$E1495,0))</f>
        <v>0</v>
      </c>
      <c r="M1496">
        <f>IF(OR($E1496="",$E1495=""),"",MAX($E1495-$E1496,0))</f>
        <v>0</v>
      </c>
      <c r="N1496">
        <f>IF(COUNT($E$2:$E1496)&lt;15,"",IF(AVERAGE($M$1483:$M$1496)=0,100,100-100/(1+AVERAGE($L$1483:$L$1496)/AVERAGE($M$1483:$M$1496))))</f>
        <v>0</v>
      </c>
      <c r="O1496">
        <f>IF($E1496="","",IF($E1495="",$E1496,$E1496*0.1538461538+O1495*0.8461538462))</f>
        <v>0</v>
      </c>
      <c r="P1496">
        <f>IF($E1496="","",IF($E1495="",$E1496,$E1496*0.0740740741+P1495*0.9259259259))</f>
        <v>0</v>
      </c>
      <c r="Q1496">
        <f>IF(OR(O1496="",P1496=""),"",O1496-P1496)</f>
        <v>0</v>
      </c>
      <c r="R1496">
        <f>IF(Q1496="","",IF(R1495="",Q1496,Q1496*0.2000000000+R1495*0.8000000000))</f>
        <v>0</v>
      </c>
      <c r="S1496">
        <f>IF(OR(Q1496="",R1496=""),"",Q1496-R1496)</f>
        <v>0</v>
      </c>
      <c r="T1496">
        <f>IF(COUNT($E$2:$E1496)&lt;14,"",MAX($C$1483:$C$1496))</f>
        <v>0</v>
      </c>
      <c r="U1496">
        <f>IF(COUNT($E$2:$E1496)&lt;14,"",MIN($D$1483:$D$1496))</f>
        <v>0</v>
      </c>
      <c r="V1496">
        <f>IF(OR(T1496="",U1496="",T1496=U1496),"",100*($E1496-U1496)/(T1496-U1496))</f>
        <v>0</v>
      </c>
      <c r="W1496">
        <f>IF(COUNT($V$1494:$V$1496)&lt;3,"",AVERAGE($V$1494:$V$1496))</f>
        <v>0</v>
      </c>
      <c r="X1496">
        <f>IF(COUNT($N$1483:$N$1496)&lt;14,"",MIN($N$1483:$N$1496))</f>
        <v>0</v>
      </c>
      <c r="Y1496">
        <f>IF(COUNT($N$1483:$N$1496)&lt;14,"",MAX($N$1483:$N$1496))</f>
        <v>0</v>
      </c>
      <c r="Z1496">
        <f>IF(OR(N1496="",X1496="",Y1496="",Y1496=X1496),"",100*(N1496-X1496)/(Y1496-X1496))</f>
        <v>0</v>
      </c>
      <c r="AA1496">
        <f>IF(COUNT($Z$1494:$Z$1496)&lt;3,"",AVERAGE($Z$1494:$Z$1496))</f>
        <v>0</v>
      </c>
      <c r="AB1496">
        <f>IF(COUNT($AA$1494:$AA$1496)&lt;3,"",AVERAGE($AA$1494:$AA$1496))</f>
        <v>0</v>
      </c>
      <c r="AC1496">
        <f>IF($E1496="","",MAX($C1496-$D1496,ABS($C1496-$E1495),ABS($D1496-$E1495)))</f>
        <v>0</v>
      </c>
      <c r="AD1496">
        <f>IF(COUNT($E$2:$E1496)&lt;15,"",AVERAGE($AC$1483:$AC$1496))</f>
        <v>0</v>
      </c>
      <c r="AE1496">
        <f>IF(OR($E1496="",$E1495=""),"",IF(AND(($C1496-$C1495)&gt;($D1495-$D1496),($C1496-$C1495)&gt;0),$C1496-$C1495,0))</f>
        <v>0</v>
      </c>
      <c r="AF1496">
        <f>IF(OR($E1496="",$E1495=""),"",IF(AND(($D1495-$D1496)&gt;($C1496-$C1495),($D1495-$D1496)&gt;0),$D1495-$D1496,0))</f>
        <v>0</v>
      </c>
      <c r="AG1496">
        <f>IF(COUNT($E$2:$E1496)&lt;15,"",IF(SUM($AC$1483:$AC$1496)=0,0,100*SUM($AE$1483:$AE$1496)/SUM($AC$1483:$AC$1496)))</f>
        <v>0</v>
      </c>
      <c r="AH1496">
        <f>IF(COUNT($E$2:$E1496)&lt;15,"",IF(SUM($AC$1483:$AC$1496)=0,0,100*SUM($AF$1483:$AF$1496)/SUM($AC$1483:$AC$1496)))</f>
        <v>0</v>
      </c>
      <c r="AI1496">
        <f>IF(OR(AG1496="",AH1496=""),"",IF((AG1496+AH1496)=0,0,100*ABS(AG1496-AH1496)/(AG1496+AH1496)))</f>
        <v>0</v>
      </c>
      <c r="AJ1496">
        <f>IF(COUNT($AI$1483:$AI$1496)&lt;14,"",AVERAGE($AI$1483:$AI$1496))</f>
        <v>0</v>
      </c>
      <c r="AK1496">
        <f>IF(COUNT($E$2:$E1496)&lt;20,"",AVERAGE($E$1477:$E$1496))</f>
        <v>0</v>
      </c>
      <c r="AL1496">
        <f>IF(COUNT($E$2:$E1496)&lt;20,"",STDEVP($E$1477:$E$1496))</f>
        <v>0</v>
      </c>
      <c r="AM1496">
        <f>IF(AK1496="","",AK1496+2*AL1496)</f>
        <v>0</v>
      </c>
      <c r="AN1496">
        <f>IF(AK1496="","",AK1496-2*AL1496)</f>
        <v>0</v>
      </c>
      <c r="AO1496">
        <f>IF(OR(AM1496="",AN1496="",AM1496=AN1496),"",($E1496-AN1496)/(AM1496-AN1496))</f>
        <v>0</v>
      </c>
      <c r="AP1496">
        <f>IF(OR(AM1496="",AK1496="",AK1496=0),"",(AM1496-AN1496)/AK1496)</f>
        <v>0</v>
      </c>
      <c r="AQ1496">
        <f>IF(COUNT($E$2:$E1496)&lt;20,"",MAX($C$1477:$C$1496))</f>
        <v>0</v>
      </c>
      <c r="AR1496">
        <f>IF(COUNT($E$2:$E1496)&lt;20,"",MIN($D$1477:$D$1496))</f>
        <v>0</v>
      </c>
      <c r="AS1496">
        <f>IF(OR(AQ1496="",AR1496=""),"",(AQ1496+AR1496)/2)</f>
        <v>0</v>
      </c>
      <c r="AT1496">
        <f>IF(COUNT($G$1477:$G$1496)&lt;20,"",STDEV($G$1477:$G$1496)*SQRT(252))</f>
        <v>0</v>
      </c>
      <c r="AU1496">
        <f>IF(COUNT($E$2:$E1496)&lt;9,"",(MAX($C$1488:$C$1496)+MIN($D$1488:$D$1496))/2)</f>
        <v>0</v>
      </c>
      <c r="AV1496">
        <f>IF(COUNT($E$2:$E1496)&lt;26,"",(MAX($C$1471:$C$1496)+MIN($D$1471:$D$1496))/2)</f>
        <v>0</v>
      </c>
      <c r="AW1496">
        <f>IF(OR(AU1496="",AV1496=""),"",(AU1496+AV1496)/2)</f>
        <v>0</v>
      </c>
      <c r="AX1496">
        <f>IF(COUNT($E$2:$E1496)&lt;52,"",(MAX($C$1445:$C$1496)+MIN($D$1445:$D$1496))/2)</f>
        <v>0</v>
      </c>
      <c r="AY1496">
        <f>IF(COUNT($E$2:$E1496)&lt;20,"",MAX($C$1397:$C$1496))</f>
        <v>0</v>
      </c>
      <c r="AZ1496">
        <f>IF(COUNT($E$2:$E1496)&lt;20,"",MIN($D$1397:$D$1496))</f>
        <v>0</v>
      </c>
      <c r="BA1496">
        <f>IF(COUNT($E$2:$E1496)&lt;20,"",SLOPE($E$1397:$E$1496,$F$1397:$F$1496))</f>
        <v>0</v>
      </c>
      <c r="BB1496">
        <f>IF(COUNT($E$2:$E1496)&lt;20,"",INTERCEPT($E$1397:$E$1496,$F$1397:$F$1496))</f>
        <v>0</v>
      </c>
      <c r="BC1496">
        <f>IF(OR(BA1496="",BB1496=""),"",BB1496+BA1496*F1496)</f>
        <v>0</v>
      </c>
      <c r="BD1496">
        <f>IF(COUNT($E$2:$E1496)&lt;20,"",STEYX($E$1397:$E$1496,$F$1397:$F$1496))</f>
        <v>0</v>
      </c>
      <c r="BE1496">
        <f>IF($E1496="","",IF(AND(COUNT($E$1497:$E$1500)&gt;=4,$C1496=MAX($C$1492:$C$1500)),$C1496,""))</f>
        <v>0</v>
      </c>
      <c r="BF1496">
        <f>IF($E1496="","",IF(AND(COUNT($E$1497:$E$1500)&gt;=4,$D1496=MIN($D$1492:$D$1500)),$D1496,""))</f>
        <v>0</v>
      </c>
      <c r="BG1496">
        <f>IF($A1496="","",$A1496-WEEKDAY($A1496,2)+1)</f>
        <v>0</v>
      </c>
      <c r="BH1496">
        <f>IF($A1496="","",IF($A1495="",1,IF(BG1496&lt;&gt;BG1495,1,0)))</f>
        <v>0</v>
      </c>
      <c r="BI1496">
        <f>IF($A1496="","",IF($A1497="",1,IF(BG1497&lt;&gt;BG1496,1,0)))</f>
        <v>0</v>
      </c>
      <c r="BJ1496">
        <f>IF($A1496="","",IF(BH1496=1,$B1496,BJ1495))</f>
        <v>0</v>
      </c>
      <c r="BK1496">
        <f>IF($A1496="","",IF(BH1496=1,$C1496,MAX($C1496,BK1495)))</f>
        <v>0</v>
      </c>
      <c r="BL1496">
        <f>IF($A1496="","",IF(BH1496=1,$D1496,MIN($D1496,BL1495)))</f>
        <v>0</v>
      </c>
      <c r="BM1496">
        <f>IF($A1496="","",IF(BI1496=1,F1496,""))</f>
        <v>0</v>
      </c>
      <c r="BN1496">
        <f>IF($A1496="","",DATE(YEAR($A1496),MONTH($A1496),1))</f>
        <v>0</v>
      </c>
      <c r="BO1496">
        <f>IF($A1496="","",IF($A1495="",1,IF(BN1496&lt;&gt;BN1495,1,0)))</f>
        <v>0</v>
      </c>
      <c r="BP1496">
        <f>IF($A1496="","",IF($A1497="",1,IF(BN1497&lt;&gt;BN1496,1,0)))</f>
        <v>0</v>
      </c>
      <c r="BQ1496">
        <f>IF($A1496="","",IF(BO1496=1,$B1496,BQ1495))</f>
        <v>0</v>
      </c>
      <c r="BR1496">
        <f>IF($A1496="","",IF(BO1496=1,$C1496,MAX($C1496,BR1495)))</f>
        <v>0</v>
      </c>
      <c r="BS1496">
        <f>IF($A1496="","",IF(BO1496=1,$D1496,MIN($D1496,BS1495)))</f>
        <v>0</v>
      </c>
      <c r="BT1496">
        <f>IF($A1496="","",IF(BP1496=1,F1496,""))</f>
        <v>0</v>
      </c>
    </row>
    <row r="1497" spans="1:72">
      <c r="A1497" s="27">
        <f>IF(Data!$A1497="","",Data!$A1497)</f>
        <v>0</v>
      </c>
      <c r="B1497">
        <f>IF(Data!$B1497="","",Data!$B1497)</f>
        <v>0</v>
      </c>
      <c r="C1497">
        <f>IF(Data!$C1497="","",Data!$C1497)</f>
        <v>0</v>
      </c>
      <c r="D1497">
        <f>IF(Data!$D1497="","",Data!$D1497)</f>
        <v>0</v>
      </c>
      <c r="E1497">
        <f>IF(Data!$E1497="","",Data!$E1497)</f>
        <v>0</v>
      </c>
      <c r="F1497">
        <f>IF($E1497="","",N(F1496)+1)</f>
        <v>0</v>
      </c>
      <c r="G1497">
        <f>IF(OR($E1497="",$E1496=""),"",LN($E1497/$E1496))</f>
        <v>0</v>
      </c>
      <c r="H1497">
        <f>IF($E1497="","",IF($E1496="",$E1497,$E1497*0.0952380952+H1496*0.9047619048))</f>
        <v>0</v>
      </c>
      <c r="I1497">
        <f>IF($E1497="","",IF($E1496="",$E1497,$E1497*0.0392156863+I1496*0.9607843137))</f>
        <v>0</v>
      </c>
      <c r="J1497">
        <f>IF($E1497="","",IF($E1496="",$E1497,$E1497*0.0198019802+J1496*0.9801980198))</f>
        <v>0</v>
      </c>
      <c r="K1497">
        <f>IF($E1497="","",IF($E1496="",$E1497,$E1497*0.0099502488+K1496*0.9900497512))</f>
        <v>0</v>
      </c>
      <c r="L1497">
        <f>IF(OR($E1497="",$E1496=""),"",MAX($E1497-$E1496,0))</f>
        <v>0</v>
      </c>
      <c r="M1497">
        <f>IF(OR($E1497="",$E1496=""),"",MAX($E1496-$E1497,0))</f>
        <v>0</v>
      </c>
      <c r="N1497">
        <f>IF(COUNT($E$2:$E1497)&lt;15,"",IF(AVERAGE($M$1484:$M$1497)=0,100,100-100/(1+AVERAGE($L$1484:$L$1497)/AVERAGE($M$1484:$M$1497))))</f>
        <v>0</v>
      </c>
      <c r="O1497">
        <f>IF($E1497="","",IF($E1496="",$E1497,$E1497*0.1538461538+O1496*0.8461538462))</f>
        <v>0</v>
      </c>
      <c r="P1497">
        <f>IF($E1497="","",IF($E1496="",$E1497,$E1497*0.0740740741+P1496*0.9259259259))</f>
        <v>0</v>
      </c>
      <c r="Q1497">
        <f>IF(OR(O1497="",P1497=""),"",O1497-P1497)</f>
        <v>0</v>
      </c>
      <c r="R1497">
        <f>IF(Q1497="","",IF(R1496="",Q1497,Q1497*0.2000000000+R1496*0.8000000000))</f>
        <v>0</v>
      </c>
      <c r="S1497">
        <f>IF(OR(Q1497="",R1497=""),"",Q1497-R1497)</f>
        <v>0</v>
      </c>
      <c r="T1497">
        <f>IF(COUNT($E$2:$E1497)&lt;14,"",MAX($C$1484:$C$1497))</f>
        <v>0</v>
      </c>
      <c r="U1497">
        <f>IF(COUNT($E$2:$E1497)&lt;14,"",MIN($D$1484:$D$1497))</f>
        <v>0</v>
      </c>
      <c r="V1497">
        <f>IF(OR(T1497="",U1497="",T1497=U1497),"",100*($E1497-U1497)/(T1497-U1497))</f>
        <v>0</v>
      </c>
      <c r="W1497">
        <f>IF(COUNT($V$1495:$V$1497)&lt;3,"",AVERAGE($V$1495:$V$1497))</f>
        <v>0</v>
      </c>
      <c r="X1497">
        <f>IF(COUNT($N$1484:$N$1497)&lt;14,"",MIN($N$1484:$N$1497))</f>
        <v>0</v>
      </c>
      <c r="Y1497">
        <f>IF(COUNT($N$1484:$N$1497)&lt;14,"",MAX($N$1484:$N$1497))</f>
        <v>0</v>
      </c>
      <c r="Z1497">
        <f>IF(OR(N1497="",X1497="",Y1497="",Y1497=X1497),"",100*(N1497-X1497)/(Y1497-X1497))</f>
        <v>0</v>
      </c>
      <c r="AA1497">
        <f>IF(COUNT($Z$1495:$Z$1497)&lt;3,"",AVERAGE($Z$1495:$Z$1497))</f>
        <v>0</v>
      </c>
      <c r="AB1497">
        <f>IF(COUNT($AA$1495:$AA$1497)&lt;3,"",AVERAGE($AA$1495:$AA$1497))</f>
        <v>0</v>
      </c>
      <c r="AC1497">
        <f>IF($E1497="","",MAX($C1497-$D1497,ABS($C1497-$E1496),ABS($D1497-$E1496)))</f>
        <v>0</v>
      </c>
      <c r="AD1497">
        <f>IF(COUNT($E$2:$E1497)&lt;15,"",AVERAGE($AC$1484:$AC$1497))</f>
        <v>0</v>
      </c>
      <c r="AE1497">
        <f>IF(OR($E1497="",$E1496=""),"",IF(AND(($C1497-$C1496)&gt;($D1496-$D1497),($C1497-$C1496)&gt;0),$C1497-$C1496,0))</f>
        <v>0</v>
      </c>
      <c r="AF1497">
        <f>IF(OR($E1497="",$E1496=""),"",IF(AND(($D1496-$D1497)&gt;($C1497-$C1496),($D1496-$D1497)&gt;0),$D1496-$D1497,0))</f>
        <v>0</v>
      </c>
      <c r="AG1497">
        <f>IF(COUNT($E$2:$E1497)&lt;15,"",IF(SUM($AC$1484:$AC$1497)=0,0,100*SUM($AE$1484:$AE$1497)/SUM($AC$1484:$AC$1497)))</f>
        <v>0</v>
      </c>
      <c r="AH1497">
        <f>IF(COUNT($E$2:$E1497)&lt;15,"",IF(SUM($AC$1484:$AC$1497)=0,0,100*SUM($AF$1484:$AF$1497)/SUM($AC$1484:$AC$1497)))</f>
        <v>0</v>
      </c>
      <c r="AI1497">
        <f>IF(OR(AG1497="",AH1497=""),"",IF((AG1497+AH1497)=0,0,100*ABS(AG1497-AH1497)/(AG1497+AH1497)))</f>
        <v>0</v>
      </c>
      <c r="AJ1497">
        <f>IF(COUNT($AI$1484:$AI$1497)&lt;14,"",AVERAGE($AI$1484:$AI$1497))</f>
        <v>0</v>
      </c>
      <c r="AK1497">
        <f>IF(COUNT($E$2:$E1497)&lt;20,"",AVERAGE($E$1478:$E$1497))</f>
        <v>0</v>
      </c>
      <c r="AL1497">
        <f>IF(COUNT($E$2:$E1497)&lt;20,"",STDEVP($E$1478:$E$1497))</f>
        <v>0</v>
      </c>
      <c r="AM1497">
        <f>IF(AK1497="","",AK1497+2*AL1497)</f>
        <v>0</v>
      </c>
      <c r="AN1497">
        <f>IF(AK1497="","",AK1497-2*AL1497)</f>
        <v>0</v>
      </c>
      <c r="AO1497">
        <f>IF(OR(AM1497="",AN1497="",AM1497=AN1497),"",($E1497-AN1497)/(AM1497-AN1497))</f>
        <v>0</v>
      </c>
      <c r="AP1497">
        <f>IF(OR(AM1497="",AK1497="",AK1497=0),"",(AM1497-AN1497)/AK1497)</f>
        <v>0</v>
      </c>
      <c r="AQ1497">
        <f>IF(COUNT($E$2:$E1497)&lt;20,"",MAX($C$1478:$C$1497))</f>
        <v>0</v>
      </c>
      <c r="AR1497">
        <f>IF(COUNT($E$2:$E1497)&lt;20,"",MIN($D$1478:$D$1497))</f>
        <v>0</v>
      </c>
      <c r="AS1497">
        <f>IF(OR(AQ1497="",AR1497=""),"",(AQ1497+AR1497)/2)</f>
        <v>0</v>
      </c>
      <c r="AT1497">
        <f>IF(COUNT($G$1478:$G$1497)&lt;20,"",STDEV($G$1478:$G$1497)*SQRT(252))</f>
        <v>0</v>
      </c>
      <c r="AU1497">
        <f>IF(COUNT($E$2:$E1497)&lt;9,"",(MAX($C$1489:$C$1497)+MIN($D$1489:$D$1497))/2)</f>
        <v>0</v>
      </c>
      <c r="AV1497">
        <f>IF(COUNT($E$2:$E1497)&lt;26,"",(MAX($C$1472:$C$1497)+MIN($D$1472:$D$1497))/2)</f>
        <v>0</v>
      </c>
      <c r="AW1497">
        <f>IF(OR(AU1497="",AV1497=""),"",(AU1497+AV1497)/2)</f>
        <v>0</v>
      </c>
      <c r="AX1497">
        <f>IF(COUNT($E$2:$E1497)&lt;52,"",(MAX($C$1446:$C$1497)+MIN($D$1446:$D$1497))/2)</f>
        <v>0</v>
      </c>
      <c r="AY1497">
        <f>IF(COUNT($E$2:$E1497)&lt;20,"",MAX($C$1398:$C$1497))</f>
        <v>0</v>
      </c>
      <c r="AZ1497">
        <f>IF(COUNT($E$2:$E1497)&lt;20,"",MIN($D$1398:$D$1497))</f>
        <v>0</v>
      </c>
      <c r="BA1497">
        <f>IF(COUNT($E$2:$E1497)&lt;20,"",SLOPE($E$1398:$E$1497,$F$1398:$F$1497))</f>
        <v>0</v>
      </c>
      <c r="BB1497">
        <f>IF(COUNT($E$2:$E1497)&lt;20,"",INTERCEPT($E$1398:$E$1497,$F$1398:$F$1497))</f>
        <v>0</v>
      </c>
      <c r="BC1497">
        <f>IF(OR(BA1497="",BB1497=""),"",BB1497+BA1497*F1497)</f>
        <v>0</v>
      </c>
      <c r="BD1497">
        <f>IF(COUNT($E$2:$E1497)&lt;20,"",STEYX($E$1398:$E$1497,$F$1398:$F$1497))</f>
        <v>0</v>
      </c>
      <c r="BE1497">
        <f>IF($E1497="","",IF(AND(COUNT($E$1498:$E$1501)&gt;=4,$C1497=MAX($C$1493:$C$1501)),$C1497,""))</f>
        <v>0</v>
      </c>
      <c r="BF1497">
        <f>IF($E1497="","",IF(AND(COUNT($E$1498:$E$1501)&gt;=4,$D1497=MIN($D$1493:$D$1501)),$D1497,""))</f>
        <v>0</v>
      </c>
      <c r="BG1497">
        <f>IF($A1497="","",$A1497-WEEKDAY($A1497,2)+1)</f>
        <v>0</v>
      </c>
      <c r="BH1497">
        <f>IF($A1497="","",IF($A1496="",1,IF(BG1497&lt;&gt;BG1496,1,0)))</f>
        <v>0</v>
      </c>
      <c r="BI1497">
        <f>IF($A1497="","",IF($A1498="",1,IF(BG1498&lt;&gt;BG1497,1,0)))</f>
        <v>0</v>
      </c>
      <c r="BJ1497">
        <f>IF($A1497="","",IF(BH1497=1,$B1497,BJ1496))</f>
        <v>0</v>
      </c>
      <c r="BK1497">
        <f>IF($A1497="","",IF(BH1497=1,$C1497,MAX($C1497,BK1496)))</f>
        <v>0</v>
      </c>
      <c r="BL1497">
        <f>IF($A1497="","",IF(BH1497=1,$D1497,MIN($D1497,BL1496)))</f>
        <v>0</v>
      </c>
      <c r="BM1497">
        <f>IF($A1497="","",IF(BI1497=1,F1497,""))</f>
        <v>0</v>
      </c>
      <c r="BN1497">
        <f>IF($A1497="","",DATE(YEAR($A1497),MONTH($A1497),1))</f>
        <v>0</v>
      </c>
      <c r="BO1497">
        <f>IF($A1497="","",IF($A1496="",1,IF(BN1497&lt;&gt;BN1496,1,0)))</f>
        <v>0</v>
      </c>
      <c r="BP1497">
        <f>IF($A1497="","",IF($A1498="",1,IF(BN1498&lt;&gt;BN1497,1,0)))</f>
        <v>0</v>
      </c>
      <c r="BQ1497">
        <f>IF($A1497="","",IF(BO1497=1,$B1497,BQ1496))</f>
        <v>0</v>
      </c>
      <c r="BR1497">
        <f>IF($A1497="","",IF(BO1497=1,$C1497,MAX($C1497,BR1496)))</f>
        <v>0</v>
      </c>
      <c r="BS1497">
        <f>IF($A1497="","",IF(BO1497=1,$D1497,MIN($D1497,BS1496)))</f>
        <v>0</v>
      </c>
      <c r="BT1497">
        <f>IF($A1497="","",IF(BP1497=1,F1497,""))</f>
        <v>0</v>
      </c>
    </row>
    <row r="1498" spans="1:72">
      <c r="A1498" s="27">
        <f>IF(Data!$A1498="","",Data!$A1498)</f>
        <v>0</v>
      </c>
      <c r="B1498">
        <f>IF(Data!$B1498="","",Data!$B1498)</f>
        <v>0</v>
      </c>
      <c r="C1498">
        <f>IF(Data!$C1498="","",Data!$C1498)</f>
        <v>0</v>
      </c>
      <c r="D1498">
        <f>IF(Data!$D1498="","",Data!$D1498)</f>
        <v>0</v>
      </c>
      <c r="E1498">
        <f>IF(Data!$E1498="","",Data!$E1498)</f>
        <v>0</v>
      </c>
      <c r="F1498">
        <f>IF($E1498="","",N(F1497)+1)</f>
        <v>0</v>
      </c>
      <c r="G1498">
        <f>IF(OR($E1498="",$E1497=""),"",LN($E1498/$E1497))</f>
        <v>0</v>
      </c>
      <c r="H1498">
        <f>IF($E1498="","",IF($E1497="",$E1498,$E1498*0.0952380952+H1497*0.9047619048))</f>
        <v>0</v>
      </c>
      <c r="I1498">
        <f>IF($E1498="","",IF($E1497="",$E1498,$E1498*0.0392156863+I1497*0.9607843137))</f>
        <v>0</v>
      </c>
      <c r="J1498">
        <f>IF($E1498="","",IF($E1497="",$E1498,$E1498*0.0198019802+J1497*0.9801980198))</f>
        <v>0</v>
      </c>
      <c r="K1498">
        <f>IF($E1498="","",IF($E1497="",$E1498,$E1498*0.0099502488+K1497*0.9900497512))</f>
        <v>0</v>
      </c>
      <c r="L1498">
        <f>IF(OR($E1498="",$E1497=""),"",MAX($E1498-$E1497,0))</f>
        <v>0</v>
      </c>
      <c r="M1498">
        <f>IF(OR($E1498="",$E1497=""),"",MAX($E1497-$E1498,0))</f>
        <v>0</v>
      </c>
      <c r="N1498">
        <f>IF(COUNT($E$2:$E1498)&lt;15,"",IF(AVERAGE($M$1485:$M$1498)=0,100,100-100/(1+AVERAGE($L$1485:$L$1498)/AVERAGE($M$1485:$M$1498))))</f>
        <v>0</v>
      </c>
      <c r="O1498">
        <f>IF($E1498="","",IF($E1497="",$E1498,$E1498*0.1538461538+O1497*0.8461538462))</f>
        <v>0</v>
      </c>
      <c r="P1498">
        <f>IF($E1498="","",IF($E1497="",$E1498,$E1498*0.0740740741+P1497*0.9259259259))</f>
        <v>0</v>
      </c>
      <c r="Q1498">
        <f>IF(OR(O1498="",P1498=""),"",O1498-P1498)</f>
        <v>0</v>
      </c>
      <c r="R1498">
        <f>IF(Q1498="","",IF(R1497="",Q1498,Q1498*0.2000000000+R1497*0.8000000000))</f>
        <v>0</v>
      </c>
      <c r="S1498">
        <f>IF(OR(Q1498="",R1498=""),"",Q1498-R1498)</f>
        <v>0</v>
      </c>
      <c r="T1498">
        <f>IF(COUNT($E$2:$E1498)&lt;14,"",MAX($C$1485:$C$1498))</f>
        <v>0</v>
      </c>
      <c r="U1498">
        <f>IF(COUNT($E$2:$E1498)&lt;14,"",MIN($D$1485:$D$1498))</f>
        <v>0</v>
      </c>
      <c r="V1498">
        <f>IF(OR(T1498="",U1498="",T1498=U1498),"",100*($E1498-U1498)/(T1498-U1498))</f>
        <v>0</v>
      </c>
      <c r="W1498">
        <f>IF(COUNT($V$1496:$V$1498)&lt;3,"",AVERAGE($V$1496:$V$1498))</f>
        <v>0</v>
      </c>
      <c r="X1498">
        <f>IF(COUNT($N$1485:$N$1498)&lt;14,"",MIN($N$1485:$N$1498))</f>
        <v>0</v>
      </c>
      <c r="Y1498">
        <f>IF(COUNT($N$1485:$N$1498)&lt;14,"",MAX($N$1485:$N$1498))</f>
        <v>0</v>
      </c>
      <c r="Z1498">
        <f>IF(OR(N1498="",X1498="",Y1498="",Y1498=X1498),"",100*(N1498-X1498)/(Y1498-X1498))</f>
        <v>0</v>
      </c>
      <c r="AA1498">
        <f>IF(COUNT($Z$1496:$Z$1498)&lt;3,"",AVERAGE($Z$1496:$Z$1498))</f>
        <v>0</v>
      </c>
      <c r="AB1498">
        <f>IF(COUNT($AA$1496:$AA$1498)&lt;3,"",AVERAGE($AA$1496:$AA$1498))</f>
        <v>0</v>
      </c>
      <c r="AC1498">
        <f>IF($E1498="","",MAX($C1498-$D1498,ABS($C1498-$E1497),ABS($D1498-$E1497)))</f>
        <v>0</v>
      </c>
      <c r="AD1498">
        <f>IF(COUNT($E$2:$E1498)&lt;15,"",AVERAGE($AC$1485:$AC$1498))</f>
        <v>0</v>
      </c>
      <c r="AE1498">
        <f>IF(OR($E1498="",$E1497=""),"",IF(AND(($C1498-$C1497)&gt;($D1497-$D1498),($C1498-$C1497)&gt;0),$C1498-$C1497,0))</f>
        <v>0</v>
      </c>
      <c r="AF1498">
        <f>IF(OR($E1498="",$E1497=""),"",IF(AND(($D1497-$D1498)&gt;($C1498-$C1497),($D1497-$D1498)&gt;0),$D1497-$D1498,0))</f>
        <v>0</v>
      </c>
      <c r="AG1498">
        <f>IF(COUNT($E$2:$E1498)&lt;15,"",IF(SUM($AC$1485:$AC$1498)=0,0,100*SUM($AE$1485:$AE$1498)/SUM($AC$1485:$AC$1498)))</f>
        <v>0</v>
      </c>
      <c r="AH1498">
        <f>IF(COUNT($E$2:$E1498)&lt;15,"",IF(SUM($AC$1485:$AC$1498)=0,0,100*SUM($AF$1485:$AF$1498)/SUM($AC$1485:$AC$1498)))</f>
        <v>0</v>
      </c>
      <c r="AI1498">
        <f>IF(OR(AG1498="",AH1498=""),"",IF((AG1498+AH1498)=0,0,100*ABS(AG1498-AH1498)/(AG1498+AH1498)))</f>
        <v>0</v>
      </c>
      <c r="AJ1498">
        <f>IF(COUNT($AI$1485:$AI$1498)&lt;14,"",AVERAGE($AI$1485:$AI$1498))</f>
        <v>0</v>
      </c>
      <c r="AK1498">
        <f>IF(COUNT($E$2:$E1498)&lt;20,"",AVERAGE($E$1479:$E$1498))</f>
        <v>0</v>
      </c>
      <c r="AL1498">
        <f>IF(COUNT($E$2:$E1498)&lt;20,"",STDEVP($E$1479:$E$1498))</f>
        <v>0</v>
      </c>
      <c r="AM1498">
        <f>IF(AK1498="","",AK1498+2*AL1498)</f>
        <v>0</v>
      </c>
      <c r="AN1498">
        <f>IF(AK1498="","",AK1498-2*AL1498)</f>
        <v>0</v>
      </c>
      <c r="AO1498">
        <f>IF(OR(AM1498="",AN1498="",AM1498=AN1498),"",($E1498-AN1498)/(AM1498-AN1498))</f>
        <v>0</v>
      </c>
      <c r="AP1498">
        <f>IF(OR(AM1498="",AK1498="",AK1498=0),"",(AM1498-AN1498)/AK1498)</f>
        <v>0</v>
      </c>
      <c r="AQ1498">
        <f>IF(COUNT($E$2:$E1498)&lt;20,"",MAX($C$1479:$C$1498))</f>
        <v>0</v>
      </c>
      <c r="AR1498">
        <f>IF(COUNT($E$2:$E1498)&lt;20,"",MIN($D$1479:$D$1498))</f>
        <v>0</v>
      </c>
      <c r="AS1498">
        <f>IF(OR(AQ1498="",AR1498=""),"",(AQ1498+AR1498)/2)</f>
        <v>0</v>
      </c>
      <c r="AT1498">
        <f>IF(COUNT($G$1479:$G$1498)&lt;20,"",STDEV($G$1479:$G$1498)*SQRT(252))</f>
        <v>0</v>
      </c>
      <c r="AU1498">
        <f>IF(COUNT($E$2:$E1498)&lt;9,"",(MAX($C$1490:$C$1498)+MIN($D$1490:$D$1498))/2)</f>
        <v>0</v>
      </c>
      <c r="AV1498">
        <f>IF(COUNT($E$2:$E1498)&lt;26,"",(MAX($C$1473:$C$1498)+MIN($D$1473:$D$1498))/2)</f>
        <v>0</v>
      </c>
      <c r="AW1498">
        <f>IF(OR(AU1498="",AV1498=""),"",(AU1498+AV1498)/2)</f>
        <v>0</v>
      </c>
      <c r="AX1498">
        <f>IF(COUNT($E$2:$E1498)&lt;52,"",(MAX($C$1447:$C$1498)+MIN($D$1447:$D$1498))/2)</f>
        <v>0</v>
      </c>
      <c r="AY1498">
        <f>IF(COUNT($E$2:$E1498)&lt;20,"",MAX($C$1399:$C$1498))</f>
        <v>0</v>
      </c>
      <c r="AZ1498">
        <f>IF(COUNT($E$2:$E1498)&lt;20,"",MIN($D$1399:$D$1498))</f>
        <v>0</v>
      </c>
      <c r="BA1498">
        <f>IF(COUNT($E$2:$E1498)&lt;20,"",SLOPE($E$1399:$E$1498,$F$1399:$F$1498))</f>
        <v>0</v>
      </c>
      <c r="BB1498">
        <f>IF(COUNT($E$2:$E1498)&lt;20,"",INTERCEPT($E$1399:$E$1498,$F$1399:$F$1498))</f>
        <v>0</v>
      </c>
      <c r="BC1498">
        <f>IF(OR(BA1498="",BB1498=""),"",BB1498+BA1498*F1498)</f>
        <v>0</v>
      </c>
      <c r="BD1498">
        <f>IF(COUNT($E$2:$E1498)&lt;20,"",STEYX($E$1399:$E$1498,$F$1399:$F$1498))</f>
        <v>0</v>
      </c>
      <c r="BE1498">
        <f>IF($E1498="","",IF(AND(COUNT($E$1499:$E$1502)&gt;=4,$C1498=MAX($C$1494:$C$1502)),$C1498,""))</f>
        <v>0</v>
      </c>
      <c r="BF1498">
        <f>IF($E1498="","",IF(AND(COUNT($E$1499:$E$1502)&gt;=4,$D1498=MIN($D$1494:$D$1502)),$D1498,""))</f>
        <v>0</v>
      </c>
      <c r="BG1498">
        <f>IF($A1498="","",$A1498-WEEKDAY($A1498,2)+1)</f>
        <v>0</v>
      </c>
      <c r="BH1498">
        <f>IF($A1498="","",IF($A1497="",1,IF(BG1498&lt;&gt;BG1497,1,0)))</f>
        <v>0</v>
      </c>
      <c r="BI1498">
        <f>IF($A1498="","",IF($A1499="",1,IF(BG1499&lt;&gt;BG1498,1,0)))</f>
        <v>0</v>
      </c>
      <c r="BJ1498">
        <f>IF($A1498="","",IF(BH1498=1,$B1498,BJ1497))</f>
        <v>0</v>
      </c>
      <c r="BK1498">
        <f>IF($A1498="","",IF(BH1498=1,$C1498,MAX($C1498,BK1497)))</f>
        <v>0</v>
      </c>
      <c r="BL1498">
        <f>IF($A1498="","",IF(BH1498=1,$D1498,MIN($D1498,BL1497)))</f>
        <v>0</v>
      </c>
      <c r="BM1498">
        <f>IF($A1498="","",IF(BI1498=1,F1498,""))</f>
        <v>0</v>
      </c>
      <c r="BN1498">
        <f>IF($A1498="","",DATE(YEAR($A1498),MONTH($A1498),1))</f>
        <v>0</v>
      </c>
      <c r="BO1498">
        <f>IF($A1498="","",IF($A1497="",1,IF(BN1498&lt;&gt;BN1497,1,0)))</f>
        <v>0</v>
      </c>
      <c r="BP1498">
        <f>IF($A1498="","",IF($A1499="",1,IF(BN1499&lt;&gt;BN1498,1,0)))</f>
        <v>0</v>
      </c>
      <c r="BQ1498">
        <f>IF($A1498="","",IF(BO1498=1,$B1498,BQ1497))</f>
        <v>0</v>
      </c>
      <c r="BR1498">
        <f>IF($A1498="","",IF(BO1498=1,$C1498,MAX($C1498,BR1497)))</f>
        <v>0</v>
      </c>
      <c r="BS1498">
        <f>IF($A1498="","",IF(BO1498=1,$D1498,MIN($D1498,BS1497)))</f>
        <v>0</v>
      </c>
      <c r="BT1498">
        <f>IF($A1498="","",IF(BP1498=1,F1498,""))</f>
        <v>0</v>
      </c>
    </row>
    <row r="1499" spans="1:72">
      <c r="A1499" s="27">
        <f>IF(Data!$A1499="","",Data!$A1499)</f>
        <v>0</v>
      </c>
      <c r="B1499">
        <f>IF(Data!$B1499="","",Data!$B1499)</f>
        <v>0</v>
      </c>
      <c r="C1499">
        <f>IF(Data!$C1499="","",Data!$C1499)</f>
        <v>0</v>
      </c>
      <c r="D1499">
        <f>IF(Data!$D1499="","",Data!$D1499)</f>
        <v>0</v>
      </c>
      <c r="E1499">
        <f>IF(Data!$E1499="","",Data!$E1499)</f>
        <v>0</v>
      </c>
      <c r="F1499">
        <f>IF($E1499="","",N(F1498)+1)</f>
        <v>0</v>
      </c>
      <c r="G1499">
        <f>IF(OR($E1499="",$E1498=""),"",LN($E1499/$E1498))</f>
        <v>0</v>
      </c>
      <c r="H1499">
        <f>IF($E1499="","",IF($E1498="",$E1499,$E1499*0.0952380952+H1498*0.9047619048))</f>
        <v>0</v>
      </c>
      <c r="I1499">
        <f>IF($E1499="","",IF($E1498="",$E1499,$E1499*0.0392156863+I1498*0.9607843137))</f>
        <v>0</v>
      </c>
      <c r="J1499">
        <f>IF($E1499="","",IF($E1498="",$E1499,$E1499*0.0198019802+J1498*0.9801980198))</f>
        <v>0</v>
      </c>
      <c r="K1499">
        <f>IF($E1499="","",IF($E1498="",$E1499,$E1499*0.0099502488+K1498*0.9900497512))</f>
        <v>0</v>
      </c>
      <c r="L1499">
        <f>IF(OR($E1499="",$E1498=""),"",MAX($E1499-$E1498,0))</f>
        <v>0</v>
      </c>
      <c r="M1499">
        <f>IF(OR($E1499="",$E1498=""),"",MAX($E1498-$E1499,0))</f>
        <v>0</v>
      </c>
      <c r="N1499">
        <f>IF(COUNT($E$2:$E1499)&lt;15,"",IF(AVERAGE($M$1486:$M$1499)=0,100,100-100/(1+AVERAGE($L$1486:$L$1499)/AVERAGE($M$1486:$M$1499))))</f>
        <v>0</v>
      </c>
      <c r="O1499">
        <f>IF($E1499="","",IF($E1498="",$E1499,$E1499*0.1538461538+O1498*0.8461538462))</f>
        <v>0</v>
      </c>
      <c r="P1499">
        <f>IF($E1499="","",IF($E1498="",$E1499,$E1499*0.0740740741+P1498*0.9259259259))</f>
        <v>0</v>
      </c>
      <c r="Q1499">
        <f>IF(OR(O1499="",P1499=""),"",O1499-P1499)</f>
        <v>0</v>
      </c>
      <c r="R1499">
        <f>IF(Q1499="","",IF(R1498="",Q1499,Q1499*0.2000000000+R1498*0.8000000000))</f>
        <v>0</v>
      </c>
      <c r="S1499">
        <f>IF(OR(Q1499="",R1499=""),"",Q1499-R1499)</f>
        <v>0</v>
      </c>
      <c r="T1499">
        <f>IF(COUNT($E$2:$E1499)&lt;14,"",MAX($C$1486:$C$1499))</f>
        <v>0</v>
      </c>
      <c r="U1499">
        <f>IF(COUNT($E$2:$E1499)&lt;14,"",MIN($D$1486:$D$1499))</f>
        <v>0</v>
      </c>
      <c r="V1499">
        <f>IF(OR(T1499="",U1499="",T1499=U1499),"",100*($E1499-U1499)/(T1499-U1499))</f>
        <v>0</v>
      </c>
      <c r="W1499">
        <f>IF(COUNT($V$1497:$V$1499)&lt;3,"",AVERAGE($V$1497:$V$1499))</f>
        <v>0</v>
      </c>
      <c r="X1499">
        <f>IF(COUNT($N$1486:$N$1499)&lt;14,"",MIN($N$1486:$N$1499))</f>
        <v>0</v>
      </c>
      <c r="Y1499">
        <f>IF(COUNT($N$1486:$N$1499)&lt;14,"",MAX($N$1486:$N$1499))</f>
        <v>0</v>
      </c>
      <c r="Z1499">
        <f>IF(OR(N1499="",X1499="",Y1499="",Y1499=X1499),"",100*(N1499-X1499)/(Y1499-X1499))</f>
        <v>0</v>
      </c>
      <c r="AA1499">
        <f>IF(COUNT($Z$1497:$Z$1499)&lt;3,"",AVERAGE($Z$1497:$Z$1499))</f>
        <v>0</v>
      </c>
      <c r="AB1499">
        <f>IF(COUNT($AA$1497:$AA$1499)&lt;3,"",AVERAGE($AA$1497:$AA$1499))</f>
        <v>0</v>
      </c>
      <c r="AC1499">
        <f>IF($E1499="","",MAX($C1499-$D1499,ABS($C1499-$E1498),ABS($D1499-$E1498)))</f>
        <v>0</v>
      </c>
      <c r="AD1499">
        <f>IF(COUNT($E$2:$E1499)&lt;15,"",AVERAGE($AC$1486:$AC$1499))</f>
        <v>0</v>
      </c>
      <c r="AE1499">
        <f>IF(OR($E1499="",$E1498=""),"",IF(AND(($C1499-$C1498)&gt;($D1498-$D1499),($C1499-$C1498)&gt;0),$C1499-$C1498,0))</f>
        <v>0</v>
      </c>
      <c r="AF1499">
        <f>IF(OR($E1499="",$E1498=""),"",IF(AND(($D1498-$D1499)&gt;($C1499-$C1498),($D1498-$D1499)&gt;0),$D1498-$D1499,0))</f>
        <v>0</v>
      </c>
      <c r="AG1499">
        <f>IF(COUNT($E$2:$E1499)&lt;15,"",IF(SUM($AC$1486:$AC$1499)=0,0,100*SUM($AE$1486:$AE$1499)/SUM($AC$1486:$AC$1499)))</f>
        <v>0</v>
      </c>
      <c r="AH1499">
        <f>IF(COUNT($E$2:$E1499)&lt;15,"",IF(SUM($AC$1486:$AC$1499)=0,0,100*SUM($AF$1486:$AF$1499)/SUM($AC$1486:$AC$1499)))</f>
        <v>0</v>
      </c>
      <c r="AI1499">
        <f>IF(OR(AG1499="",AH1499=""),"",IF((AG1499+AH1499)=0,0,100*ABS(AG1499-AH1499)/(AG1499+AH1499)))</f>
        <v>0</v>
      </c>
      <c r="AJ1499">
        <f>IF(COUNT($AI$1486:$AI$1499)&lt;14,"",AVERAGE($AI$1486:$AI$1499))</f>
        <v>0</v>
      </c>
      <c r="AK1499">
        <f>IF(COUNT($E$2:$E1499)&lt;20,"",AVERAGE($E$1480:$E$1499))</f>
        <v>0</v>
      </c>
      <c r="AL1499">
        <f>IF(COUNT($E$2:$E1499)&lt;20,"",STDEVP($E$1480:$E$1499))</f>
        <v>0</v>
      </c>
      <c r="AM1499">
        <f>IF(AK1499="","",AK1499+2*AL1499)</f>
        <v>0</v>
      </c>
      <c r="AN1499">
        <f>IF(AK1499="","",AK1499-2*AL1499)</f>
        <v>0</v>
      </c>
      <c r="AO1499">
        <f>IF(OR(AM1499="",AN1499="",AM1499=AN1499),"",($E1499-AN1499)/(AM1499-AN1499))</f>
        <v>0</v>
      </c>
      <c r="AP1499">
        <f>IF(OR(AM1499="",AK1499="",AK1499=0),"",(AM1499-AN1499)/AK1499)</f>
        <v>0</v>
      </c>
      <c r="AQ1499">
        <f>IF(COUNT($E$2:$E1499)&lt;20,"",MAX($C$1480:$C$1499))</f>
        <v>0</v>
      </c>
      <c r="AR1499">
        <f>IF(COUNT($E$2:$E1499)&lt;20,"",MIN($D$1480:$D$1499))</f>
        <v>0</v>
      </c>
      <c r="AS1499">
        <f>IF(OR(AQ1499="",AR1499=""),"",(AQ1499+AR1499)/2)</f>
        <v>0</v>
      </c>
      <c r="AT1499">
        <f>IF(COUNT($G$1480:$G$1499)&lt;20,"",STDEV($G$1480:$G$1499)*SQRT(252))</f>
        <v>0</v>
      </c>
      <c r="AU1499">
        <f>IF(COUNT($E$2:$E1499)&lt;9,"",(MAX($C$1491:$C$1499)+MIN($D$1491:$D$1499))/2)</f>
        <v>0</v>
      </c>
      <c r="AV1499">
        <f>IF(COUNT($E$2:$E1499)&lt;26,"",(MAX($C$1474:$C$1499)+MIN($D$1474:$D$1499))/2)</f>
        <v>0</v>
      </c>
      <c r="AW1499">
        <f>IF(OR(AU1499="",AV1499=""),"",(AU1499+AV1499)/2)</f>
        <v>0</v>
      </c>
      <c r="AX1499">
        <f>IF(COUNT($E$2:$E1499)&lt;52,"",(MAX($C$1448:$C$1499)+MIN($D$1448:$D$1499))/2)</f>
        <v>0</v>
      </c>
      <c r="AY1499">
        <f>IF(COUNT($E$2:$E1499)&lt;20,"",MAX($C$1400:$C$1499))</f>
        <v>0</v>
      </c>
      <c r="AZ1499">
        <f>IF(COUNT($E$2:$E1499)&lt;20,"",MIN($D$1400:$D$1499))</f>
        <v>0</v>
      </c>
      <c r="BA1499">
        <f>IF(COUNT($E$2:$E1499)&lt;20,"",SLOPE($E$1400:$E$1499,$F$1400:$F$1499))</f>
        <v>0</v>
      </c>
      <c r="BB1499">
        <f>IF(COUNT($E$2:$E1499)&lt;20,"",INTERCEPT($E$1400:$E$1499,$F$1400:$F$1499))</f>
        <v>0</v>
      </c>
      <c r="BC1499">
        <f>IF(OR(BA1499="",BB1499=""),"",BB1499+BA1499*F1499)</f>
        <v>0</v>
      </c>
      <c r="BD1499">
        <f>IF(COUNT($E$2:$E1499)&lt;20,"",STEYX($E$1400:$E$1499,$F$1400:$F$1499))</f>
        <v>0</v>
      </c>
      <c r="BE1499">
        <f>IF($E1499="","",IF(AND(COUNT($E$1500:$E$1503)&gt;=4,$C1499=MAX($C$1495:$C$1503)),$C1499,""))</f>
        <v>0</v>
      </c>
      <c r="BF1499">
        <f>IF($E1499="","",IF(AND(COUNT($E$1500:$E$1503)&gt;=4,$D1499=MIN($D$1495:$D$1503)),$D1499,""))</f>
        <v>0</v>
      </c>
      <c r="BG1499">
        <f>IF($A1499="","",$A1499-WEEKDAY($A1499,2)+1)</f>
        <v>0</v>
      </c>
      <c r="BH1499">
        <f>IF($A1499="","",IF($A1498="",1,IF(BG1499&lt;&gt;BG1498,1,0)))</f>
        <v>0</v>
      </c>
      <c r="BI1499">
        <f>IF($A1499="","",IF($A1500="",1,IF(BG1500&lt;&gt;BG1499,1,0)))</f>
        <v>0</v>
      </c>
      <c r="BJ1499">
        <f>IF($A1499="","",IF(BH1499=1,$B1499,BJ1498))</f>
        <v>0</v>
      </c>
      <c r="BK1499">
        <f>IF($A1499="","",IF(BH1499=1,$C1499,MAX($C1499,BK1498)))</f>
        <v>0</v>
      </c>
      <c r="BL1499">
        <f>IF($A1499="","",IF(BH1499=1,$D1499,MIN($D1499,BL1498)))</f>
        <v>0</v>
      </c>
      <c r="BM1499">
        <f>IF($A1499="","",IF(BI1499=1,F1499,""))</f>
        <v>0</v>
      </c>
      <c r="BN1499">
        <f>IF($A1499="","",DATE(YEAR($A1499),MONTH($A1499),1))</f>
        <v>0</v>
      </c>
      <c r="BO1499">
        <f>IF($A1499="","",IF($A1498="",1,IF(BN1499&lt;&gt;BN1498,1,0)))</f>
        <v>0</v>
      </c>
      <c r="BP1499">
        <f>IF($A1499="","",IF($A1500="",1,IF(BN1500&lt;&gt;BN1499,1,0)))</f>
        <v>0</v>
      </c>
      <c r="BQ1499">
        <f>IF($A1499="","",IF(BO1499=1,$B1499,BQ1498))</f>
        <v>0</v>
      </c>
      <c r="BR1499">
        <f>IF($A1499="","",IF(BO1499=1,$C1499,MAX($C1499,BR1498)))</f>
        <v>0</v>
      </c>
      <c r="BS1499">
        <f>IF($A1499="","",IF(BO1499=1,$D1499,MIN($D1499,BS1498)))</f>
        <v>0</v>
      </c>
      <c r="BT1499">
        <f>IF($A1499="","",IF(BP1499=1,F1499,""))</f>
        <v>0</v>
      </c>
    </row>
    <row r="1500" spans="1:72">
      <c r="A1500" s="27">
        <f>IF(Data!$A1500="","",Data!$A1500)</f>
        <v>0</v>
      </c>
      <c r="B1500">
        <f>IF(Data!$B1500="","",Data!$B1500)</f>
        <v>0</v>
      </c>
      <c r="C1500">
        <f>IF(Data!$C1500="","",Data!$C1500)</f>
        <v>0</v>
      </c>
      <c r="D1500">
        <f>IF(Data!$D1500="","",Data!$D1500)</f>
        <v>0</v>
      </c>
      <c r="E1500">
        <f>IF(Data!$E1500="","",Data!$E1500)</f>
        <v>0</v>
      </c>
      <c r="F1500">
        <f>IF($E1500="","",N(F1499)+1)</f>
        <v>0</v>
      </c>
      <c r="G1500">
        <f>IF(OR($E1500="",$E1499=""),"",LN($E1500/$E1499))</f>
        <v>0</v>
      </c>
      <c r="H1500">
        <f>IF($E1500="","",IF($E1499="",$E1500,$E1500*0.0952380952+H1499*0.9047619048))</f>
        <v>0</v>
      </c>
      <c r="I1500">
        <f>IF($E1500="","",IF($E1499="",$E1500,$E1500*0.0392156863+I1499*0.9607843137))</f>
        <v>0</v>
      </c>
      <c r="J1500">
        <f>IF($E1500="","",IF($E1499="",$E1500,$E1500*0.0198019802+J1499*0.9801980198))</f>
        <v>0</v>
      </c>
      <c r="K1500">
        <f>IF($E1500="","",IF($E1499="",$E1500,$E1500*0.0099502488+K1499*0.9900497512))</f>
        <v>0</v>
      </c>
      <c r="L1500">
        <f>IF(OR($E1500="",$E1499=""),"",MAX($E1500-$E1499,0))</f>
        <v>0</v>
      </c>
      <c r="M1500">
        <f>IF(OR($E1500="",$E1499=""),"",MAX($E1499-$E1500,0))</f>
        <v>0</v>
      </c>
      <c r="N1500">
        <f>IF(COUNT($E$2:$E1500)&lt;15,"",IF(AVERAGE($M$1487:$M$1500)=0,100,100-100/(1+AVERAGE($L$1487:$L$1500)/AVERAGE($M$1487:$M$1500))))</f>
        <v>0</v>
      </c>
      <c r="O1500">
        <f>IF($E1500="","",IF($E1499="",$E1500,$E1500*0.1538461538+O1499*0.8461538462))</f>
        <v>0</v>
      </c>
      <c r="P1500">
        <f>IF($E1500="","",IF($E1499="",$E1500,$E1500*0.0740740741+P1499*0.9259259259))</f>
        <v>0</v>
      </c>
      <c r="Q1500">
        <f>IF(OR(O1500="",P1500=""),"",O1500-P1500)</f>
        <v>0</v>
      </c>
      <c r="R1500">
        <f>IF(Q1500="","",IF(R1499="",Q1500,Q1500*0.2000000000+R1499*0.8000000000))</f>
        <v>0</v>
      </c>
      <c r="S1500">
        <f>IF(OR(Q1500="",R1500=""),"",Q1500-R1500)</f>
        <v>0</v>
      </c>
      <c r="T1500">
        <f>IF(COUNT($E$2:$E1500)&lt;14,"",MAX($C$1487:$C$1500))</f>
        <v>0</v>
      </c>
      <c r="U1500">
        <f>IF(COUNT($E$2:$E1500)&lt;14,"",MIN($D$1487:$D$1500))</f>
        <v>0</v>
      </c>
      <c r="V1500">
        <f>IF(OR(T1500="",U1500="",T1500=U1500),"",100*($E1500-U1500)/(T1500-U1500))</f>
        <v>0</v>
      </c>
      <c r="W1500">
        <f>IF(COUNT($V$1498:$V$1500)&lt;3,"",AVERAGE($V$1498:$V$1500))</f>
        <v>0</v>
      </c>
      <c r="X1500">
        <f>IF(COUNT($N$1487:$N$1500)&lt;14,"",MIN($N$1487:$N$1500))</f>
        <v>0</v>
      </c>
      <c r="Y1500">
        <f>IF(COUNT($N$1487:$N$1500)&lt;14,"",MAX($N$1487:$N$1500))</f>
        <v>0</v>
      </c>
      <c r="Z1500">
        <f>IF(OR(N1500="",X1500="",Y1500="",Y1500=X1500),"",100*(N1500-X1500)/(Y1500-X1500))</f>
        <v>0</v>
      </c>
      <c r="AA1500">
        <f>IF(COUNT($Z$1498:$Z$1500)&lt;3,"",AVERAGE($Z$1498:$Z$1500))</f>
        <v>0</v>
      </c>
      <c r="AB1500">
        <f>IF(COUNT($AA$1498:$AA$1500)&lt;3,"",AVERAGE($AA$1498:$AA$1500))</f>
        <v>0</v>
      </c>
      <c r="AC1500">
        <f>IF($E1500="","",MAX($C1500-$D1500,ABS($C1500-$E1499),ABS($D1500-$E1499)))</f>
        <v>0</v>
      </c>
      <c r="AD1500">
        <f>IF(COUNT($E$2:$E1500)&lt;15,"",AVERAGE($AC$1487:$AC$1500))</f>
        <v>0</v>
      </c>
      <c r="AE1500">
        <f>IF(OR($E1500="",$E1499=""),"",IF(AND(($C1500-$C1499)&gt;($D1499-$D1500),($C1500-$C1499)&gt;0),$C1500-$C1499,0))</f>
        <v>0</v>
      </c>
      <c r="AF1500">
        <f>IF(OR($E1500="",$E1499=""),"",IF(AND(($D1499-$D1500)&gt;($C1500-$C1499),($D1499-$D1500)&gt;0),$D1499-$D1500,0))</f>
        <v>0</v>
      </c>
      <c r="AG1500">
        <f>IF(COUNT($E$2:$E1500)&lt;15,"",IF(SUM($AC$1487:$AC$1500)=0,0,100*SUM($AE$1487:$AE$1500)/SUM($AC$1487:$AC$1500)))</f>
        <v>0</v>
      </c>
      <c r="AH1500">
        <f>IF(COUNT($E$2:$E1500)&lt;15,"",IF(SUM($AC$1487:$AC$1500)=0,0,100*SUM($AF$1487:$AF$1500)/SUM($AC$1487:$AC$1500)))</f>
        <v>0</v>
      </c>
      <c r="AI1500">
        <f>IF(OR(AG1500="",AH1500=""),"",IF((AG1500+AH1500)=0,0,100*ABS(AG1500-AH1500)/(AG1500+AH1500)))</f>
        <v>0</v>
      </c>
      <c r="AJ1500">
        <f>IF(COUNT($AI$1487:$AI$1500)&lt;14,"",AVERAGE($AI$1487:$AI$1500))</f>
        <v>0</v>
      </c>
      <c r="AK1500">
        <f>IF(COUNT($E$2:$E1500)&lt;20,"",AVERAGE($E$1481:$E$1500))</f>
        <v>0</v>
      </c>
      <c r="AL1500">
        <f>IF(COUNT($E$2:$E1500)&lt;20,"",STDEVP($E$1481:$E$1500))</f>
        <v>0</v>
      </c>
      <c r="AM1500">
        <f>IF(AK1500="","",AK1500+2*AL1500)</f>
        <v>0</v>
      </c>
      <c r="AN1500">
        <f>IF(AK1500="","",AK1500-2*AL1500)</f>
        <v>0</v>
      </c>
      <c r="AO1500">
        <f>IF(OR(AM1500="",AN1500="",AM1500=AN1500),"",($E1500-AN1500)/(AM1500-AN1500))</f>
        <v>0</v>
      </c>
      <c r="AP1500">
        <f>IF(OR(AM1500="",AK1500="",AK1500=0),"",(AM1500-AN1500)/AK1500)</f>
        <v>0</v>
      </c>
      <c r="AQ1500">
        <f>IF(COUNT($E$2:$E1500)&lt;20,"",MAX($C$1481:$C$1500))</f>
        <v>0</v>
      </c>
      <c r="AR1500">
        <f>IF(COUNT($E$2:$E1500)&lt;20,"",MIN($D$1481:$D$1500))</f>
        <v>0</v>
      </c>
      <c r="AS1500">
        <f>IF(OR(AQ1500="",AR1500=""),"",(AQ1500+AR1500)/2)</f>
        <v>0</v>
      </c>
      <c r="AT1500">
        <f>IF(COUNT($G$1481:$G$1500)&lt;20,"",STDEV($G$1481:$G$1500)*SQRT(252))</f>
        <v>0</v>
      </c>
      <c r="AU1500">
        <f>IF(COUNT($E$2:$E1500)&lt;9,"",(MAX($C$1492:$C$1500)+MIN($D$1492:$D$1500))/2)</f>
        <v>0</v>
      </c>
      <c r="AV1500">
        <f>IF(COUNT($E$2:$E1500)&lt;26,"",(MAX($C$1475:$C$1500)+MIN($D$1475:$D$1500))/2)</f>
        <v>0</v>
      </c>
      <c r="AW1500">
        <f>IF(OR(AU1500="",AV1500=""),"",(AU1500+AV1500)/2)</f>
        <v>0</v>
      </c>
      <c r="AX1500">
        <f>IF(COUNT($E$2:$E1500)&lt;52,"",(MAX($C$1449:$C$1500)+MIN($D$1449:$D$1500))/2)</f>
        <v>0</v>
      </c>
      <c r="AY1500">
        <f>IF(COUNT($E$2:$E1500)&lt;20,"",MAX($C$1401:$C$1500))</f>
        <v>0</v>
      </c>
      <c r="AZ1500">
        <f>IF(COUNT($E$2:$E1500)&lt;20,"",MIN($D$1401:$D$1500))</f>
        <v>0</v>
      </c>
      <c r="BA1500">
        <f>IF(COUNT($E$2:$E1500)&lt;20,"",SLOPE($E$1401:$E$1500,$F$1401:$F$1500))</f>
        <v>0</v>
      </c>
      <c r="BB1500">
        <f>IF(COUNT($E$2:$E1500)&lt;20,"",INTERCEPT($E$1401:$E$1500,$F$1401:$F$1500))</f>
        <v>0</v>
      </c>
      <c r="BC1500">
        <f>IF(OR(BA1500="",BB1500=""),"",BB1500+BA1500*F1500)</f>
        <v>0</v>
      </c>
      <c r="BD1500">
        <f>IF(COUNT($E$2:$E1500)&lt;20,"",STEYX($E$1401:$E$1500,$F$1401:$F$1500))</f>
        <v>0</v>
      </c>
      <c r="BE1500">
        <f>IF($E1500="","",IF(AND(COUNT($E$1501:$E$1504)&gt;=4,$C1500=MAX($C$1496:$C$1504)),$C1500,""))</f>
        <v>0</v>
      </c>
      <c r="BF1500">
        <f>IF($E1500="","",IF(AND(COUNT($E$1501:$E$1504)&gt;=4,$D1500=MIN($D$1496:$D$1504)),$D1500,""))</f>
        <v>0</v>
      </c>
      <c r="BG1500">
        <f>IF($A1500="","",$A1500-WEEKDAY($A1500,2)+1)</f>
        <v>0</v>
      </c>
      <c r="BH1500">
        <f>IF($A1500="","",IF($A1499="",1,IF(BG1500&lt;&gt;BG1499,1,0)))</f>
        <v>0</v>
      </c>
      <c r="BI1500">
        <f>IF($A1500="","",IF($A1501="",1,IF(BG1501&lt;&gt;BG1500,1,0)))</f>
        <v>0</v>
      </c>
      <c r="BJ1500">
        <f>IF($A1500="","",IF(BH1500=1,$B1500,BJ1499))</f>
        <v>0</v>
      </c>
      <c r="BK1500">
        <f>IF($A1500="","",IF(BH1500=1,$C1500,MAX($C1500,BK1499)))</f>
        <v>0</v>
      </c>
      <c r="BL1500">
        <f>IF($A1500="","",IF(BH1500=1,$D1500,MIN($D1500,BL1499)))</f>
        <v>0</v>
      </c>
      <c r="BM1500">
        <f>IF($A1500="","",IF(BI1500=1,F1500,""))</f>
        <v>0</v>
      </c>
      <c r="BN1500">
        <f>IF($A1500="","",DATE(YEAR($A1500),MONTH($A1500),1))</f>
        <v>0</v>
      </c>
      <c r="BO1500">
        <f>IF($A1500="","",IF($A1499="",1,IF(BN1500&lt;&gt;BN1499,1,0)))</f>
        <v>0</v>
      </c>
      <c r="BP1500">
        <f>IF($A1500="","",IF($A1501="",1,IF(BN1501&lt;&gt;BN1500,1,0)))</f>
        <v>0</v>
      </c>
      <c r="BQ1500">
        <f>IF($A1500="","",IF(BO1500=1,$B1500,BQ1499))</f>
        <v>0</v>
      </c>
      <c r="BR1500">
        <f>IF($A1500="","",IF(BO1500=1,$C1500,MAX($C1500,BR1499)))</f>
        <v>0</v>
      </c>
      <c r="BS1500">
        <f>IF($A1500="","",IF(BO1500=1,$D1500,MIN($D1500,BS1499)))</f>
        <v>0</v>
      </c>
      <c r="BT1500">
        <f>IF($A1500="","",IF(BP1500=1,F1500,""))</f>
        <v>0</v>
      </c>
    </row>
    <row r="1501" spans="1:72">
      <c r="A1501" s="27">
        <f>IF(Data!$A1501="","",Data!$A1501)</f>
        <v>0</v>
      </c>
      <c r="B1501">
        <f>IF(Data!$B1501="","",Data!$B1501)</f>
        <v>0</v>
      </c>
      <c r="C1501">
        <f>IF(Data!$C1501="","",Data!$C1501)</f>
        <v>0</v>
      </c>
      <c r="D1501">
        <f>IF(Data!$D1501="","",Data!$D1501)</f>
        <v>0</v>
      </c>
      <c r="E1501">
        <f>IF(Data!$E1501="","",Data!$E1501)</f>
        <v>0</v>
      </c>
      <c r="F1501">
        <f>IF($E1501="","",N(F1500)+1)</f>
        <v>0</v>
      </c>
      <c r="G1501">
        <f>IF(OR($E1501="",$E1500=""),"",LN($E1501/$E1500))</f>
        <v>0</v>
      </c>
      <c r="H1501">
        <f>IF($E1501="","",IF($E1500="",$E1501,$E1501*0.0952380952+H1500*0.9047619048))</f>
        <v>0</v>
      </c>
      <c r="I1501">
        <f>IF($E1501="","",IF($E1500="",$E1501,$E1501*0.0392156863+I1500*0.9607843137))</f>
        <v>0</v>
      </c>
      <c r="J1501">
        <f>IF($E1501="","",IF($E1500="",$E1501,$E1501*0.0198019802+J1500*0.9801980198))</f>
        <v>0</v>
      </c>
      <c r="K1501">
        <f>IF($E1501="","",IF($E1500="",$E1501,$E1501*0.0099502488+K1500*0.9900497512))</f>
        <v>0</v>
      </c>
      <c r="L1501">
        <f>IF(OR($E1501="",$E1500=""),"",MAX($E1501-$E1500,0))</f>
        <v>0</v>
      </c>
      <c r="M1501">
        <f>IF(OR($E1501="",$E1500=""),"",MAX($E1500-$E1501,0))</f>
        <v>0</v>
      </c>
      <c r="N1501">
        <f>IF(COUNT($E$2:$E1501)&lt;15,"",IF(AVERAGE($M$1488:$M$1501)=0,100,100-100/(1+AVERAGE($L$1488:$L$1501)/AVERAGE($M$1488:$M$1501))))</f>
        <v>0</v>
      </c>
      <c r="O1501">
        <f>IF($E1501="","",IF($E1500="",$E1501,$E1501*0.1538461538+O1500*0.8461538462))</f>
        <v>0</v>
      </c>
      <c r="P1501">
        <f>IF($E1501="","",IF($E1500="",$E1501,$E1501*0.0740740741+P1500*0.9259259259))</f>
        <v>0</v>
      </c>
      <c r="Q1501">
        <f>IF(OR(O1501="",P1501=""),"",O1501-P1501)</f>
        <v>0</v>
      </c>
      <c r="R1501">
        <f>IF(Q1501="","",IF(R1500="",Q1501,Q1501*0.2000000000+R1500*0.8000000000))</f>
        <v>0</v>
      </c>
      <c r="S1501">
        <f>IF(OR(Q1501="",R1501=""),"",Q1501-R1501)</f>
        <v>0</v>
      </c>
      <c r="T1501">
        <f>IF(COUNT($E$2:$E1501)&lt;14,"",MAX($C$1488:$C$1501))</f>
        <v>0</v>
      </c>
      <c r="U1501">
        <f>IF(COUNT($E$2:$E1501)&lt;14,"",MIN($D$1488:$D$1501))</f>
        <v>0</v>
      </c>
      <c r="V1501">
        <f>IF(OR(T1501="",U1501="",T1501=U1501),"",100*($E1501-U1501)/(T1501-U1501))</f>
        <v>0</v>
      </c>
      <c r="W1501">
        <f>IF(COUNT($V$1499:$V$1501)&lt;3,"",AVERAGE($V$1499:$V$1501))</f>
        <v>0</v>
      </c>
      <c r="X1501">
        <f>IF(COUNT($N$1488:$N$1501)&lt;14,"",MIN($N$1488:$N$1501))</f>
        <v>0</v>
      </c>
      <c r="Y1501">
        <f>IF(COUNT($N$1488:$N$1501)&lt;14,"",MAX($N$1488:$N$1501))</f>
        <v>0</v>
      </c>
      <c r="Z1501">
        <f>IF(OR(N1501="",X1501="",Y1501="",Y1501=X1501),"",100*(N1501-X1501)/(Y1501-X1501))</f>
        <v>0</v>
      </c>
      <c r="AA1501">
        <f>IF(COUNT($Z$1499:$Z$1501)&lt;3,"",AVERAGE($Z$1499:$Z$1501))</f>
        <v>0</v>
      </c>
      <c r="AB1501">
        <f>IF(COUNT($AA$1499:$AA$1501)&lt;3,"",AVERAGE($AA$1499:$AA$1501))</f>
        <v>0</v>
      </c>
      <c r="AC1501">
        <f>IF($E1501="","",MAX($C1501-$D1501,ABS($C1501-$E1500),ABS($D1501-$E1500)))</f>
        <v>0</v>
      </c>
      <c r="AD1501">
        <f>IF(COUNT($E$2:$E1501)&lt;15,"",AVERAGE($AC$1488:$AC$1501))</f>
        <v>0</v>
      </c>
      <c r="AE1501">
        <f>IF(OR($E1501="",$E1500=""),"",IF(AND(($C1501-$C1500)&gt;($D1500-$D1501),($C1501-$C1500)&gt;0),$C1501-$C1500,0))</f>
        <v>0</v>
      </c>
      <c r="AF1501">
        <f>IF(OR($E1501="",$E1500=""),"",IF(AND(($D1500-$D1501)&gt;($C1501-$C1500),($D1500-$D1501)&gt;0),$D1500-$D1501,0))</f>
        <v>0</v>
      </c>
      <c r="AG1501">
        <f>IF(COUNT($E$2:$E1501)&lt;15,"",IF(SUM($AC$1488:$AC$1501)=0,0,100*SUM($AE$1488:$AE$1501)/SUM($AC$1488:$AC$1501)))</f>
        <v>0</v>
      </c>
      <c r="AH1501">
        <f>IF(COUNT($E$2:$E1501)&lt;15,"",IF(SUM($AC$1488:$AC$1501)=0,0,100*SUM($AF$1488:$AF$1501)/SUM($AC$1488:$AC$1501)))</f>
        <v>0</v>
      </c>
      <c r="AI1501">
        <f>IF(OR(AG1501="",AH1501=""),"",IF((AG1501+AH1501)=0,0,100*ABS(AG1501-AH1501)/(AG1501+AH1501)))</f>
        <v>0</v>
      </c>
      <c r="AJ1501">
        <f>IF(COUNT($AI$1488:$AI$1501)&lt;14,"",AVERAGE($AI$1488:$AI$1501))</f>
        <v>0</v>
      </c>
      <c r="AK1501">
        <f>IF(COUNT($E$2:$E1501)&lt;20,"",AVERAGE($E$1482:$E$1501))</f>
        <v>0</v>
      </c>
      <c r="AL1501">
        <f>IF(COUNT($E$2:$E1501)&lt;20,"",STDEVP($E$1482:$E$1501))</f>
        <v>0</v>
      </c>
      <c r="AM1501">
        <f>IF(AK1501="","",AK1501+2*AL1501)</f>
        <v>0</v>
      </c>
      <c r="AN1501">
        <f>IF(AK1501="","",AK1501-2*AL1501)</f>
        <v>0</v>
      </c>
      <c r="AO1501">
        <f>IF(OR(AM1501="",AN1501="",AM1501=AN1501),"",($E1501-AN1501)/(AM1501-AN1501))</f>
        <v>0</v>
      </c>
      <c r="AP1501">
        <f>IF(OR(AM1501="",AK1501="",AK1501=0),"",(AM1501-AN1501)/AK1501)</f>
        <v>0</v>
      </c>
      <c r="AQ1501">
        <f>IF(COUNT($E$2:$E1501)&lt;20,"",MAX($C$1482:$C$1501))</f>
        <v>0</v>
      </c>
      <c r="AR1501">
        <f>IF(COUNT($E$2:$E1501)&lt;20,"",MIN($D$1482:$D$1501))</f>
        <v>0</v>
      </c>
      <c r="AS1501">
        <f>IF(OR(AQ1501="",AR1501=""),"",(AQ1501+AR1501)/2)</f>
        <v>0</v>
      </c>
      <c r="AT1501">
        <f>IF(COUNT($G$1482:$G$1501)&lt;20,"",STDEV($G$1482:$G$1501)*SQRT(252))</f>
        <v>0</v>
      </c>
      <c r="AU1501">
        <f>IF(COUNT($E$2:$E1501)&lt;9,"",(MAX($C$1493:$C$1501)+MIN($D$1493:$D$1501))/2)</f>
        <v>0</v>
      </c>
      <c r="AV1501">
        <f>IF(COUNT($E$2:$E1501)&lt;26,"",(MAX($C$1476:$C$1501)+MIN($D$1476:$D$1501))/2)</f>
        <v>0</v>
      </c>
      <c r="AW1501">
        <f>IF(OR(AU1501="",AV1501=""),"",(AU1501+AV1501)/2)</f>
        <v>0</v>
      </c>
      <c r="AX1501">
        <f>IF(COUNT($E$2:$E1501)&lt;52,"",(MAX($C$1450:$C$1501)+MIN($D$1450:$D$1501))/2)</f>
        <v>0</v>
      </c>
      <c r="AY1501">
        <f>IF(COUNT($E$2:$E1501)&lt;20,"",MAX($C$1402:$C$1501))</f>
        <v>0</v>
      </c>
      <c r="AZ1501">
        <f>IF(COUNT($E$2:$E1501)&lt;20,"",MIN($D$1402:$D$1501))</f>
        <v>0</v>
      </c>
      <c r="BA1501">
        <f>IF(COUNT($E$2:$E1501)&lt;20,"",SLOPE($E$1402:$E$1501,$F$1402:$F$1501))</f>
        <v>0</v>
      </c>
      <c r="BB1501">
        <f>IF(COUNT($E$2:$E1501)&lt;20,"",INTERCEPT($E$1402:$E$1501,$F$1402:$F$1501))</f>
        <v>0</v>
      </c>
      <c r="BC1501">
        <f>IF(OR(BA1501="",BB1501=""),"",BB1501+BA1501*F1501)</f>
        <v>0</v>
      </c>
      <c r="BD1501">
        <f>IF(COUNT($E$2:$E1501)&lt;20,"",STEYX($E$1402:$E$1501,$F$1402:$F$1501))</f>
        <v>0</v>
      </c>
      <c r="BE1501">
        <f>IF($E1501="","",IF(AND(COUNT($E$1502:$E$1505)&gt;=4,$C1501=MAX($C$1497:$C$1505)),$C1501,""))</f>
        <v>0</v>
      </c>
      <c r="BF1501">
        <f>IF($E1501="","",IF(AND(COUNT($E$1502:$E$1505)&gt;=4,$D1501=MIN($D$1497:$D$1505)),$D1501,""))</f>
        <v>0</v>
      </c>
      <c r="BG1501">
        <f>IF($A1501="","",$A1501-WEEKDAY($A1501,2)+1)</f>
        <v>0</v>
      </c>
      <c r="BH1501">
        <f>IF($A1501="","",IF($A1500="",1,IF(BG1501&lt;&gt;BG1500,1,0)))</f>
        <v>0</v>
      </c>
      <c r="BI1501">
        <f>IF($A1501="","",IF($A1502="",1,IF(BG1502&lt;&gt;BG1501,1,0)))</f>
        <v>0</v>
      </c>
      <c r="BJ1501">
        <f>IF($A1501="","",IF(BH1501=1,$B1501,BJ1500))</f>
        <v>0</v>
      </c>
      <c r="BK1501">
        <f>IF($A1501="","",IF(BH1501=1,$C1501,MAX($C1501,BK1500)))</f>
        <v>0</v>
      </c>
      <c r="BL1501">
        <f>IF($A1501="","",IF(BH1501=1,$D1501,MIN($D1501,BL1500)))</f>
        <v>0</v>
      </c>
      <c r="BM1501">
        <f>IF($A1501="","",IF(BI1501=1,F1501,""))</f>
        <v>0</v>
      </c>
      <c r="BN1501">
        <f>IF($A1501="","",DATE(YEAR($A1501),MONTH($A1501),1))</f>
        <v>0</v>
      </c>
      <c r="BO1501">
        <f>IF($A1501="","",IF($A1500="",1,IF(BN1501&lt;&gt;BN1500,1,0)))</f>
        <v>0</v>
      </c>
      <c r="BP1501">
        <f>IF($A1501="","",IF($A1502="",1,IF(BN1502&lt;&gt;BN1501,1,0)))</f>
        <v>0</v>
      </c>
      <c r="BQ1501">
        <f>IF($A1501="","",IF(BO1501=1,$B1501,BQ1500))</f>
        <v>0</v>
      </c>
      <c r="BR1501">
        <f>IF($A1501="","",IF(BO1501=1,$C1501,MAX($C1501,BR1500)))</f>
        <v>0</v>
      </c>
      <c r="BS1501">
        <f>IF($A1501="","",IF(BO1501=1,$D1501,MIN($D1501,BS1500)))</f>
        <v>0</v>
      </c>
      <c r="BT1501">
        <f>IF($A1501="","",IF(BP1501=1,F1501,""))</f>
        <v>0</v>
      </c>
    </row>
    <row r="1502" spans="1:72">
      <c r="A1502" s="27">
        <f>IF(Data!$A1502="","",Data!$A1502)</f>
        <v>0</v>
      </c>
      <c r="B1502">
        <f>IF(Data!$B1502="","",Data!$B1502)</f>
        <v>0</v>
      </c>
      <c r="C1502">
        <f>IF(Data!$C1502="","",Data!$C1502)</f>
        <v>0</v>
      </c>
      <c r="D1502">
        <f>IF(Data!$D1502="","",Data!$D1502)</f>
        <v>0</v>
      </c>
      <c r="E1502">
        <f>IF(Data!$E1502="","",Data!$E1502)</f>
        <v>0</v>
      </c>
      <c r="F1502">
        <f>IF($E1502="","",N(F1501)+1)</f>
        <v>0</v>
      </c>
      <c r="G1502">
        <f>IF(OR($E1502="",$E1501=""),"",LN($E1502/$E1501))</f>
        <v>0</v>
      </c>
      <c r="H1502">
        <f>IF($E1502="","",IF($E1501="",$E1502,$E1502*0.0952380952+H1501*0.9047619048))</f>
        <v>0</v>
      </c>
      <c r="I1502">
        <f>IF($E1502="","",IF($E1501="",$E1502,$E1502*0.0392156863+I1501*0.9607843137))</f>
        <v>0</v>
      </c>
      <c r="J1502">
        <f>IF($E1502="","",IF($E1501="",$E1502,$E1502*0.0198019802+J1501*0.9801980198))</f>
        <v>0</v>
      </c>
      <c r="K1502">
        <f>IF($E1502="","",IF($E1501="",$E1502,$E1502*0.0099502488+K1501*0.9900497512))</f>
        <v>0</v>
      </c>
      <c r="L1502">
        <f>IF(OR($E1502="",$E1501=""),"",MAX($E1502-$E1501,0))</f>
        <v>0</v>
      </c>
      <c r="M1502">
        <f>IF(OR($E1502="",$E1501=""),"",MAX($E1501-$E1502,0))</f>
        <v>0</v>
      </c>
      <c r="N1502">
        <f>IF(COUNT($E$2:$E1502)&lt;15,"",IF(AVERAGE($M$1489:$M$1502)=0,100,100-100/(1+AVERAGE($L$1489:$L$1502)/AVERAGE($M$1489:$M$1502))))</f>
        <v>0</v>
      </c>
      <c r="O1502">
        <f>IF($E1502="","",IF($E1501="",$E1502,$E1502*0.1538461538+O1501*0.8461538462))</f>
        <v>0</v>
      </c>
      <c r="P1502">
        <f>IF($E1502="","",IF($E1501="",$E1502,$E1502*0.0740740741+P1501*0.9259259259))</f>
        <v>0</v>
      </c>
      <c r="Q1502">
        <f>IF(OR(O1502="",P1502=""),"",O1502-P1502)</f>
        <v>0</v>
      </c>
      <c r="R1502">
        <f>IF(Q1502="","",IF(R1501="",Q1502,Q1502*0.2000000000+R1501*0.8000000000))</f>
        <v>0</v>
      </c>
      <c r="S1502">
        <f>IF(OR(Q1502="",R1502=""),"",Q1502-R1502)</f>
        <v>0</v>
      </c>
      <c r="T1502">
        <f>IF(COUNT($E$2:$E1502)&lt;14,"",MAX($C$1489:$C$1502))</f>
        <v>0</v>
      </c>
      <c r="U1502">
        <f>IF(COUNT($E$2:$E1502)&lt;14,"",MIN($D$1489:$D$1502))</f>
        <v>0</v>
      </c>
      <c r="V1502">
        <f>IF(OR(T1502="",U1502="",T1502=U1502),"",100*($E1502-U1502)/(T1502-U1502))</f>
        <v>0</v>
      </c>
      <c r="W1502">
        <f>IF(COUNT($V$1500:$V$1502)&lt;3,"",AVERAGE($V$1500:$V$1502))</f>
        <v>0</v>
      </c>
      <c r="X1502">
        <f>IF(COUNT($N$1489:$N$1502)&lt;14,"",MIN($N$1489:$N$1502))</f>
        <v>0</v>
      </c>
      <c r="Y1502">
        <f>IF(COUNT($N$1489:$N$1502)&lt;14,"",MAX($N$1489:$N$1502))</f>
        <v>0</v>
      </c>
      <c r="Z1502">
        <f>IF(OR(N1502="",X1502="",Y1502="",Y1502=X1502),"",100*(N1502-X1502)/(Y1502-X1502))</f>
        <v>0</v>
      </c>
      <c r="AA1502">
        <f>IF(COUNT($Z$1500:$Z$1502)&lt;3,"",AVERAGE($Z$1500:$Z$1502))</f>
        <v>0</v>
      </c>
      <c r="AB1502">
        <f>IF(COUNT($AA$1500:$AA$1502)&lt;3,"",AVERAGE($AA$1500:$AA$1502))</f>
        <v>0</v>
      </c>
      <c r="AC1502">
        <f>IF($E1502="","",MAX($C1502-$D1502,ABS($C1502-$E1501),ABS($D1502-$E1501)))</f>
        <v>0</v>
      </c>
      <c r="AD1502">
        <f>IF(COUNT($E$2:$E1502)&lt;15,"",AVERAGE($AC$1489:$AC$1502))</f>
        <v>0</v>
      </c>
      <c r="AE1502">
        <f>IF(OR($E1502="",$E1501=""),"",IF(AND(($C1502-$C1501)&gt;($D1501-$D1502),($C1502-$C1501)&gt;0),$C1502-$C1501,0))</f>
        <v>0</v>
      </c>
      <c r="AF1502">
        <f>IF(OR($E1502="",$E1501=""),"",IF(AND(($D1501-$D1502)&gt;($C1502-$C1501),($D1501-$D1502)&gt;0),$D1501-$D1502,0))</f>
        <v>0</v>
      </c>
      <c r="AG1502">
        <f>IF(COUNT($E$2:$E1502)&lt;15,"",IF(SUM($AC$1489:$AC$1502)=0,0,100*SUM($AE$1489:$AE$1502)/SUM($AC$1489:$AC$1502)))</f>
        <v>0</v>
      </c>
      <c r="AH1502">
        <f>IF(COUNT($E$2:$E1502)&lt;15,"",IF(SUM($AC$1489:$AC$1502)=0,0,100*SUM($AF$1489:$AF$1502)/SUM($AC$1489:$AC$1502)))</f>
        <v>0</v>
      </c>
      <c r="AI1502">
        <f>IF(OR(AG1502="",AH1502=""),"",IF((AG1502+AH1502)=0,0,100*ABS(AG1502-AH1502)/(AG1502+AH1502)))</f>
        <v>0</v>
      </c>
      <c r="AJ1502">
        <f>IF(COUNT($AI$1489:$AI$1502)&lt;14,"",AVERAGE($AI$1489:$AI$1502))</f>
        <v>0</v>
      </c>
      <c r="AK1502">
        <f>IF(COUNT($E$2:$E1502)&lt;20,"",AVERAGE($E$1483:$E$1502))</f>
        <v>0</v>
      </c>
      <c r="AL1502">
        <f>IF(COUNT($E$2:$E1502)&lt;20,"",STDEVP($E$1483:$E$1502))</f>
        <v>0</v>
      </c>
      <c r="AM1502">
        <f>IF(AK1502="","",AK1502+2*AL1502)</f>
        <v>0</v>
      </c>
      <c r="AN1502">
        <f>IF(AK1502="","",AK1502-2*AL1502)</f>
        <v>0</v>
      </c>
      <c r="AO1502">
        <f>IF(OR(AM1502="",AN1502="",AM1502=AN1502),"",($E1502-AN1502)/(AM1502-AN1502))</f>
        <v>0</v>
      </c>
      <c r="AP1502">
        <f>IF(OR(AM1502="",AK1502="",AK1502=0),"",(AM1502-AN1502)/AK1502)</f>
        <v>0</v>
      </c>
      <c r="AQ1502">
        <f>IF(COUNT($E$2:$E1502)&lt;20,"",MAX($C$1483:$C$1502))</f>
        <v>0</v>
      </c>
      <c r="AR1502">
        <f>IF(COUNT($E$2:$E1502)&lt;20,"",MIN($D$1483:$D$1502))</f>
        <v>0</v>
      </c>
      <c r="AS1502">
        <f>IF(OR(AQ1502="",AR1502=""),"",(AQ1502+AR1502)/2)</f>
        <v>0</v>
      </c>
      <c r="AT1502">
        <f>IF(COUNT($G$1483:$G$1502)&lt;20,"",STDEV($G$1483:$G$1502)*SQRT(252))</f>
        <v>0</v>
      </c>
      <c r="AU1502">
        <f>IF(COUNT($E$2:$E1502)&lt;9,"",(MAX($C$1494:$C$1502)+MIN($D$1494:$D$1502))/2)</f>
        <v>0</v>
      </c>
      <c r="AV1502">
        <f>IF(COUNT($E$2:$E1502)&lt;26,"",(MAX($C$1477:$C$1502)+MIN($D$1477:$D$1502))/2)</f>
        <v>0</v>
      </c>
      <c r="AW1502">
        <f>IF(OR(AU1502="",AV1502=""),"",(AU1502+AV1502)/2)</f>
        <v>0</v>
      </c>
      <c r="AX1502">
        <f>IF(COUNT($E$2:$E1502)&lt;52,"",(MAX($C$1451:$C$1502)+MIN($D$1451:$D$1502))/2)</f>
        <v>0</v>
      </c>
      <c r="AY1502">
        <f>IF(COUNT($E$2:$E1502)&lt;20,"",MAX($C$1403:$C$1502))</f>
        <v>0</v>
      </c>
      <c r="AZ1502">
        <f>IF(COUNT($E$2:$E1502)&lt;20,"",MIN($D$1403:$D$1502))</f>
        <v>0</v>
      </c>
      <c r="BA1502">
        <f>IF(COUNT($E$2:$E1502)&lt;20,"",SLOPE($E$1403:$E$1502,$F$1403:$F$1502))</f>
        <v>0</v>
      </c>
      <c r="BB1502">
        <f>IF(COUNT($E$2:$E1502)&lt;20,"",INTERCEPT($E$1403:$E$1502,$F$1403:$F$1502))</f>
        <v>0</v>
      </c>
      <c r="BC1502">
        <f>IF(OR(BA1502="",BB1502=""),"",BB1502+BA1502*F1502)</f>
        <v>0</v>
      </c>
      <c r="BD1502">
        <f>IF(COUNT($E$2:$E1502)&lt;20,"",STEYX($E$1403:$E$1502,$F$1403:$F$1502))</f>
        <v>0</v>
      </c>
      <c r="BE1502">
        <f>IF($E1502="","",IF(AND(COUNT($E$1503:$E$1506)&gt;=4,$C1502=MAX($C$1498:$C$1506)),$C1502,""))</f>
        <v>0</v>
      </c>
      <c r="BF1502">
        <f>IF($E1502="","",IF(AND(COUNT($E$1503:$E$1506)&gt;=4,$D1502=MIN($D$1498:$D$1506)),$D1502,""))</f>
        <v>0</v>
      </c>
      <c r="BG1502">
        <f>IF($A1502="","",$A1502-WEEKDAY($A1502,2)+1)</f>
        <v>0</v>
      </c>
      <c r="BH1502">
        <f>IF($A1502="","",IF($A1501="",1,IF(BG1502&lt;&gt;BG1501,1,0)))</f>
        <v>0</v>
      </c>
      <c r="BI1502">
        <f>IF($A1502="","",IF($A1503="",1,IF(BG1503&lt;&gt;BG1502,1,0)))</f>
        <v>0</v>
      </c>
      <c r="BJ1502">
        <f>IF($A1502="","",IF(BH1502=1,$B1502,BJ1501))</f>
        <v>0</v>
      </c>
      <c r="BK1502">
        <f>IF($A1502="","",IF(BH1502=1,$C1502,MAX($C1502,BK1501)))</f>
        <v>0</v>
      </c>
      <c r="BL1502">
        <f>IF($A1502="","",IF(BH1502=1,$D1502,MIN($D1502,BL1501)))</f>
        <v>0</v>
      </c>
      <c r="BM1502">
        <f>IF($A1502="","",IF(BI1502=1,F1502,""))</f>
        <v>0</v>
      </c>
      <c r="BN1502">
        <f>IF($A1502="","",DATE(YEAR($A1502),MONTH($A1502),1))</f>
        <v>0</v>
      </c>
      <c r="BO1502">
        <f>IF($A1502="","",IF($A1501="",1,IF(BN1502&lt;&gt;BN1501,1,0)))</f>
        <v>0</v>
      </c>
      <c r="BP1502">
        <f>IF($A1502="","",IF($A1503="",1,IF(BN1503&lt;&gt;BN1502,1,0)))</f>
        <v>0</v>
      </c>
      <c r="BQ1502">
        <f>IF($A1502="","",IF(BO1502=1,$B1502,BQ1501))</f>
        <v>0</v>
      </c>
      <c r="BR1502">
        <f>IF($A1502="","",IF(BO1502=1,$C1502,MAX($C1502,BR1501)))</f>
        <v>0</v>
      </c>
      <c r="BS1502">
        <f>IF($A1502="","",IF(BO1502=1,$D1502,MIN($D1502,BS1501)))</f>
        <v>0</v>
      </c>
      <c r="BT1502">
        <f>IF($A1502="","",IF(BP1502=1,F1502,""))</f>
        <v>0</v>
      </c>
    </row>
    <row r="1503" spans="1:72">
      <c r="A1503" s="27">
        <f>IF(Data!$A1503="","",Data!$A1503)</f>
        <v>0</v>
      </c>
      <c r="B1503">
        <f>IF(Data!$B1503="","",Data!$B1503)</f>
        <v>0</v>
      </c>
      <c r="C1503">
        <f>IF(Data!$C1503="","",Data!$C1503)</f>
        <v>0</v>
      </c>
      <c r="D1503">
        <f>IF(Data!$D1503="","",Data!$D1503)</f>
        <v>0</v>
      </c>
      <c r="E1503">
        <f>IF(Data!$E1503="","",Data!$E1503)</f>
        <v>0</v>
      </c>
      <c r="F1503">
        <f>IF($E1503="","",N(F1502)+1)</f>
        <v>0</v>
      </c>
      <c r="G1503">
        <f>IF(OR($E1503="",$E1502=""),"",LN($E1503/$E1502))</f>
        <v>0</v>
      </c>
      <c r="H1503">
        <f>IF($E1503="","",IF($E1502="",$E1503,$E1503*0.0952380952+H1502*0.9047619048))</f>
        <v>0</v>
      </c>
      <c r="I1503">
        <f>IF($E1503="","",IF($E1502="",$E1503,$E1503*0.0392156863+I1502*0.9607843137))</f>
        <v>0</v>
      </c>
      <c r="J1503">
        <f>IF($E1503="","",IF($E1502="",$E1503,$E1503*0.0198019802+J1502*0.9801980198))</f>
        <v>0</v>
      </c>
      <c r="K1503">
        <f>IF($E1503="","",IF($E1502="",$E1503,$E1503*0.0099502488+K1502*0.9900497512))</f>
        <v>0</v>
      </c>
      <c r="L1503">
        <f>IF(OR($E1503="",$E1502=""),"",MAX($E1503-$E1502,0))</f>
        <v>0</v>
      </c>
      <c r="M1503">
        <f>IF(OR($E1503="",$E1502=""),"",MAX($E1502-$E1503,0))</f>
        <v>0</v>
      </c>
      <c r="N1503">
        <f>IF(COUNT($E$2:$E1503)&lt;15,"",IF(AVERAGE($M$1490:$M$1503)=0,100,100-100/(1+AVERAGE($L$1490:$L$1503)/AVERAGE($M$1490:$M$1503))))</f>
        <v>0</v>
      </c>
      <c r="O1503">
        <f>IF($E1503="","",IF($E1502="",$E1503,$E1503*0.1538461538+O1502*0.8461538462))</f>
        <v>0</v>
      </c>
      <c r="P1503">
        <f>IF($E1503="","",IF($E1502="",$E1503,$E1503*0.0740740741+P1502*0.9259259259))</f>
        <v>0</v>
      </c>
      <c r="Q1503">
        <f>IF(OR(O1503="",P1503=""),"",O1503-P1503)</f>
        <v>0</v>
      </c>
      <c r="R1503">
        <f>IF(Q1503="","",IF(R1502="",Q1503,Q1503*0.2000000000+R1502*0.8000000000))</f>
        <v>0</v>
      </c>
      <c r="S1503">
        <f>IF(OR(Q1503="",R1503=""),"",Q1503-R1503)</f>
        <v>0</v>
      </c>
      <c r="T1503">
        <f>IF(COUNT($E$2:$E1503)&lt;14,"",MAX($C$1490:$C$1503))</f>
        <v>0</v>
      </c>
      <c r="U1503">
        <f>IF(COUNT($E$2:$E1503)&lt;14,"",MIN($D$1490:$D$1503))</f>
        <v>0</v>
      </c>
      <c r="V1503">
        <f>IF(OR(T1503="",U1503="",T1503=U1503),"",100*($E1503-U1503)/(T1503-U1503))</f>
        <v>0</v>
      </c>
      <c r="W1503">
        <f>IF(COUNT($V$1501:$V$1503)&lt;3,"",AVERAGE($V$1501:$V$1503))</f>
        <v>0</v>
      </c>
      <c r="X1503">
        <f>IF(COUNT($N$1490:$N$1503)&lt;14,"",MIN($N$1490:$N$1503))</f>
        <v>0</v>
      </c>
      <c r="Y1503">
        <f>IF(COUNT($N$1490:$N$1503)&lt;14,"",MAX($N$1490:$N$1503))</f>
        <v>0</v>
      </c>
      <c r="Z1503">
        <f>IF(OR(N1503="",X1503="",Y1503="",Y1503=X1503),"",100*(N1503-X1503)/(Y1503-X1503))</f>
        <v>0</v>
      </c>
      <c r="AA1503">
        <f>IF(COUNT($Z$1501:$Z$1503)&lt;3,"",AVERAGE($Z$1501:$Z$1503))</f>
        <v>0</v>
      </c>
      <c r="AB1503">
        <f>IF(COUNT($AA$1501:$AA$1503)&lt;3,"",AVERAGE($AA$1501:$AA$1503))</f>
        <v>0</v>
      </c>
      <c r="AC1503">
        <f>IF($E1503="","",MAX($C1503-$D1503,ABS($C1503-$E1502),ABS($D1503-$E1502)))</f>
        <v>0</v>
      </c>
      <c r="AD1503">
        <f>IF(COUNT($E$2:$E1503)&lt;15,"",AVERAGE($AC$1490:$AC$1503))</f>
        <v>0</v>
      </c>
      <c r="AE1503">
        <f>IF(OR($E1503="",$E1502=""),"",IF(AND(($C1503-$C1502)&gt;($D1502-$D1503),($C1503-$C1502)&gt;0),$C1503-$C1502,0))</f>
        <v>0</v>
      </c>
      <c r="AF1503">
        <f>IF(OR($E1503="",$E1502=""),"",IF(AND(($D1502-$D1503)&gt;($C1503-$C1502),($D1502-$D1503)&gt;0),$D1502-$D1503,0))</f>
        <v>0</v>
      </c>
      <c r="AG1503">
        <f>IF(COUNT($E$2:$E1503)&lt;15,"",IF(SUM($AC$1490:$AC$1503)=0,0,100*SUM($AE$1490:$AE$1503)/SUM($AC$1490:$AC$1503)))</f>
        <v>0</v>
      </c>
      <c r="AH1503">
        <f>IF(COUNT($E$2:$E1503)&lt;15,"",IF(SUM($AC$1490:$AC$1503)=0,0,100*SUM($AF$1490:$AF$1503)/SUM($AC$1490:$AC$1503)))</f>
        <v>0</v>
      </c>
      <c r="AI1503">
        <f>IF(OR(AG1503="",AH1503=""),"",IF((AG1503+AH1503)=0,0,100*ABS(AG1503-AH1503)/(AG1503+AH1503)))</f>
        <v>0</v>
      </c>
      <c r="AJ1503">
        <f>IF(COUNT($AI$1490:$AI$1503)&lt;14,"",AVERAGE($AI$1490:$AI$1503))</f>
        <v>0</v>
      </c>
      <c r="AK1503">
        <f>IF(COUNT($E$2:$E1503)&lt;20,"",AVERAGE($E$1484:$E$1503))</f>
        <v>0</v>
      </c>
      <c r="AL1503">
        <f>IF(COUNT($E$2:$E1503)&lt;20,"",STDEVP($E$1484:$E$1503))</f>
        <v>0</v>
      </c>
      <c r="AM1503">
        <f>IF(AK1503="","",AK1503+2*AL1503)</f>
        <v>0</v>
      </c>
      <c r="AN1503">
        <f>IF(AK1503="","",AK1503-2*AL1503)</f>
        <v>0</v>
      </c>
      <c r="AO1503">
        <f>IF(OR(AM1503="",AN1503="",AM1503=AN1503),"",($E1503-AN1503)/(AM1503-AN1503))</f>
        <v>0</v>
      </c>
      <c r="AP1503">
        <f>IF(OR(AM1503="",AK1503="",AK1503=0),"",(AM1503-AN1503)/AK1503)</f>
        <v>0</v>
      </c>
      <c r="AQ1503">
        <f>IF(COUNT($E$2:$E1503)&lt;20,"",MAX($C$1484:$C$1503))</f>
        <v>0</v>
      </c>
      <c r="AR1503">
        <f>IF(COUNT($E$2:$E1503)&lt;20,"",MIN($D$1484:$D$1503))</f>
        <v>0</v>
      </c>
      <c r="AS1503">
        <f>IF(OR(AQ1503="",AR1503=""),"",(AQ1503+AR1503)/2)</f>
        <v>0</v>
      </c>
      <c r="AT1503">
        <f>IF(COUNT($G$1484:$G$1503)&lt;20,"",STDEV($G$1484:$G$1503)*SQRT(252))</f>
        <v>0</v>
      </c>
      <c r="AU1503">
        <f>IF(COUNT($E$2:$E1503)&lt;9,"",(MAX($C$1495:$C$1503)+MIN($D$1495:$D$1503))/2)</f>
        <v>0</v>
      </c>
      <c r="AV1503">
        <f>IF(COUNT($E$2:$E1503)&lt;26,"",(MAX($C$1478:$C$1503)+MIN($D$1478:$D$1503))/2)</f>
        <v>0</v>
      </c>
      <c r="AW1503">
        <f>IF(OR(AU1503="",AV1503=""),"",(AU1503+AV1503)/2)</f>
        <v>0</v>
      </c>
      <c r="AX1503">
        <f>IF(COUNT($E$2:$E1503)&lt;52,"",(MAX($C$1452:$C$1503)+MIN($D$1452:$D$1503))/2)</f>
        <v>0</v>
      </c>
      <c r="AY1503">
        <f>IF(COUNT($E$2:$E1503)&lt;20,"",MAX($C$1404:$C$1503))</f>
        <v>0</v>
      </c>
      <c r="AZ1503">
        <f>IF(COUNT($E$2:$E1503)&lt;20,"",MIN($D$1404:$D$1503))</f>
        <v>0</v>
      </c>
      <c r="BA1503">
        <f>IF(COUNT($E$2:$E1503)&lt;20,"",SLOPE($E$1404:$E$1503,$F$1404:$F$1503))</f>
        <v>0</v>
      </c>
      <c r="BB1503">
        <f>IF(COUNT($E$2:$E1503)&lt;20,"",INTERCEPT($E$1404:$E$1503,$F$1404:$F$1503))</f>
        <v>0</v>
      </c>
      <c r="BC1503">
        <f>IF(OR(BA1503="",BB1503=""),"",BB1503+BA1503*F1503)</f>
        <v>0</v>
      </c>
      <c r="BD1503">
        <f>IF(COUNT($E$2:$E1503)&lt;20,"",STEYX($E$1404:$E$1503,$F$1404:$F$1503))</f>
        <v>0</v>
      </c>
      <c r="BE1503">
        <f>IF($E1503="","",IF(AND(COUNT($E$1504:$E$1507)&gt;=4,$C1503=MAX($C$1499:$C$1507)),$C1503,""))</f>
        <v>0</v>
      </c>
      <c r="BF1503">
        <f>IF($E1503="","",IF(AND(COUNT($E$1504:$E$1507)&gt;=4,$D1503=MIN($D$1499:$D$1507)),$D1503,""))</f>
        <v>0</v>
      </c>
      <c r="BG1503">
        <f>IF($A1503="","",$A1503-WEEKDAY($A1503,2)+1)</f>
        <v>0</v>
      </c>
      <c r="BH1503">
        <f>IF($A1503="","",IF($A1502="",1,IF(BG1503&lt;&gt;BG1502,1,0)))</f>
        <v>0</v>
      </c>
      <c r="BI1503">
        <f>IF($A1503="","",IF($A1504="",1,IF(BG1504&lt;&gt;BG1503,1,0)))</f>
        <v>0</v>
      </c>
      <c r="BJ1503">
        <f>IF($A1503="","",IF(BH1503=1,$B1503,BJ1502))</f>
        <v>0</v>
      </c>
      <c r="BK1503">
        <f>IF($A1503="","",IF(BH1503=1,$C1503,MAX($C1503,BK1502)))</f>
        <v>0</v>
      </c>
      <c r="BL1503">
        <f>IF($A1503="","",IF(BH1503=1,$D1503,MIN($D1503,BL1502)))</f>
        <v>0</v>
      </c>
      <c r="BM1503">
        <f>IF($A1503="","",IF(BI1503=1,F1503,""))</f>
        <v>0</v>
      </c>
      <c r="BN1503">
        <f>IF($A1503="","",DATE(YEAR($A1503),MONTH($A1503),1))</f>
        <v>0</v>
      </c>
      <c r="BO1503">
        <f>IF($A1503="","",IF($A1502="",1,IF(BN1503&lt;&gt;BN1502,1,0)))</f>
        <v>0</v>
      </c>
      <c r="BP1503">
        <f>IF($A1503="","",IF($A1504="",1,IF(BN1504&lt;&gt;BN1503,1,0)))</f>
        <v>0</v>
      </c>
      <c r="BQ1503">
        <f>IF($A1503="","",IF(BO1503=1,$B1503,BQ1502))</f>
        <v>0</v>
      </c>
      <c r="BR1503">
        <f>IF($A1503="","",IF(BO1503=1,$C1503,MAX($C1503,BR1502)))</f>
        <v>0</v>
      </c>
      <c r="BS1503">
        <f>IF($A1503="","",IF(BO1503=1,$D1503,MIN($D1503,BS1502)))</f>
        <v>0</v>
      </c>
      <c r="BT1503">
        <f>IF($A1503="","",IF(BP1503=1,F1503,""))</f>
        <v>0</v>
      </c>
    </row>
    <row r="1504" spans="1:72">
      <c r="A1504" s="27">
        <f>IF(Data!$A1504="","",Data!$A1504)</f>
        <v>0</v>
      </c>
      <c r="B1504">
        <f>IF(Data!$B1504="","",Data!$B1504)</f>
        <v>0</v>
      </c>
      <c r="C1504">
        <f>IF(Data!$C1504="","",Data!$C1504)</f>
        <v>0</v>
      </c>
      <c r="D1504">
        <f>IF(Data!$D1504="","",Data!$D1504)</f>
        <v>0</v>
      </c>
      <c r="E1504">
        <f>IF(Data!$E1504="","",Data!$E1504)</f>
        <v>0</v>
      </c>
      <c r="F1504">
        <f>IF($E1504="","",N(F1503)+1)</f>
        <v>0</v>
      </c>
      <c r="G1504">
        <f>IF(OR($E1504="",$E1503=""),"",LN($E1504/$E1503))</f>
        <v>0</v>
      </c>
      <c r="H1504">
        <f>IF($E1504="","",IF($E1503="",$E1504,$E1504*0.0952380952+H1503*0.9047619048))</f>
        <v>0</v>
      </c>
      <c r="I1504">
        <f>IF($E1504="","",IF($E1503="",$E1504,$E1504*0.0392156863+I1503*0.9607843137))</f>
        <v>0</v>
      </c>
      <c r="J1504">
        <f>IF($E1504="","",IF($E1503="",$E1504,$E1504*0.0198019802+J1503*0.9801980198))</f>
        <v>0</v>
      </c>
      <c r="K1504">
        <f>IF($E1504="","",IF($E1503="",$E1504,$E1504*0.0099502488+K1503*0.9900497512))</f>
        <v>0</v>
      </c>
      <c r="L1504">
        <f>IF(OR($E1504="",$E1503=""),"",MAX($E1504-$E1503,0))</f>
        <v>0</v>
      </c>
      <c r="M1504">
        <f>IF(OR($E1504="",$E1503=""),"",MAX($E1503-$E1504,0))</f>
        <v>0</v>
      </c>
      <c r="N1504">
        <f>IF(COUNT($E$2:$E1504)&lt;15,"",IF(AVERAGE($M$1491:$M$1504)=0,100,100-100/(1+AVERAGE($L$1491:$L$1504)/AVERAGE($M$1491:$M$1504))))</f>
        <v>0</v>
      </c>
      <c r="O1504">
        <f>IF($E1504="","",IF($E1503="",$E1504,$E1504*0.1538461538+O1503*0.8461538462))</f>
        <v>0</v>
      </c>
      <c r="P1504">
        <f>IF($E1504="","",IF($E1503="",$E1504,$E1504*0.0740740741+P1503*0.9259259259))</f>
        <v>0</v>
      </c>
      <c r="Q1504">
        <f>IF(OR(O1504="",P1504=""),"",O1504-P1504)</f>
        <v>0</v>
      </c>
      <c r="R1504">
        <f>IF(Q1504="","",IF(R1503="",Q1504,Q1504*0.2000000000+R1503*0.8000000000))</f>
        <v>0</v>
      </c>
      <c r="S1504">
        <f>IF(OR(Q1504="",R1504=""),"",Q1504-R1504)</f>
        <v>0</v>
      </c>
      <c r="T1504">
        <f>IF(COUNT($E$2:$E1504)&lt;14,"",MAX($C$1491:$C$1504))</f>
        <v>0</v>
      </c>
      <c r="U1504">
        <f>IF(COUNT($E$2:$E1504)&lt;14,"",MIN($D$1491:$D$1504))</f>
        <v>0</v>
      </c>
      <c r="V1504">
        <f>IF(OR(T1504="",U1504="",T1504=U1504),"",100*($E1504-U1504)/(T1504-U1504))</f>
        <v>0</v>
      </c>
      <c r="W1504">
        <f>IF(COUNT($V$1502:$V$1504)&lt;3,"",AVERAGE($V$1502:$V$1504))</f>
        <v>0</v>
      </c>
      <c r="X1504">
        <f>IF(COUNT($N$1491:$N$1504)&lt;14,"",MIN($N$1491:$N$1504))</f>
        <v>0</v>
      </c>
      <c r="Y1504">
        <f>IF(COUNT($N$1491:$N$1504)&lt;14,"",MAX($N$1491:$N$1504))</f>
        <v>0</v>
      </c>
      <c r="Z1504">
        <f>IF(OR(N1504="",X1504="",Y1504="",Y1504=X1504),"",100*(N1504-X1504)/(Y1504-X1504))</f>
        <v>0</v>
      </c>
      <c r="AA1504">
        <f>IF(COUNT($Z$1502:$Z$1504)&lt;3,"",AVERAGE($Z$1502:$Z$1504))</f>
        <v>0</v>
      </c>
      <c r="AB1504">
        <f>IF(COUNT($AA$1502:$AA$1504)&lt;3,"",AVERAGE($AA$1502:$AA$1504))</f>
        <v>0</v>
      </c>
      <c r="AC1504">
        <f>IF($E1504="","",MAX($C1504-$D1504,ABS($C1504-$E1503),ABS($D1504-$E1503)))</f>
        <v>0</v>
      </c>
      <c r="AD1504">
        <f>IF(COUNT($E$2:$E1504)&lt;15,"",AVERAGE($AC$1491:$AC$1504))</f>
        <v>0</v>
      </c>
      <c r="AE1504">
        <f>IF(OR($E1504="",$E1503=""),"",IF(AND(($C1504-$C1503)&gt;($D1503-$D1504),($C1504-$C1503)&gt;0),$C1504-$C1503,0))</f>
        <v>0</v>
      </c>
      <c r="AF1504">
        <f>IF(OR($E1504="",$E1503=""),"",IF(AND(($D1503-$D1504)&gt;($C1504-$C1503),($D1503-$D1504)&gt;0),$D1503-$D1504,0))</f>
        <v>0</v>
      </c>
      <c r="AG1504">
        <f>IF(COUNT($E$2:$E1504)&lt;15,"",IF(SUM($AC$1491:$AC$1504)=0,0,100*SUM($AE$1491:$AE$1504)/SUM($AC$1491:$AC$1504)))</f>
        <v>0</v>
      </c>
      <c r="AH1504">
        <f>IF(COUNT($E$2:$E1504)&lt;15,"",IF(SUM($AC$1491:$AC$1504)=0,0,100*SUM($AF$1491:$AF$1504)/SUM($AC$1491:$AC$1504)))</f>
        <v>0</v>
      </c>
      <c r="AI1504">
        <f>IF(OR(AG1504="",AH1504=""),"",IF((AG1504+AH1504)=0,0,100*ABS(AG1504-AH1504)/(AG1504+AH1504)))</f>
        <v>0</v>
      </c>
      <c r="AJ1504">
        <f>IF(COUNT($AI$1491:$AI$1504)&lt;14,"",AVERAGE($AI$1491:$AI$1504))</f>
        <v>0</v>
      </c>
      <c r="AK1504">
        <f>IF(COUNT($E$2:$E1504)&lt;20,"",AVERAGE($E$1485:$E$1504))</f>
        <v>0</v>
      </c>
      <c r="AL1504">
        <f>IF(COUNT($E$2:$E1504)&lt;20,"",STDEVP($E$1485:$E$1504))</f>
        <v>0</v>
      </c>
      <c r="AM1504">
        <f>IF(AK1504="","",AK1504+2*AL1504)</f>
        <v>0</v>
      </c>
      <c r="AN1504">
        <f>IF(AK1504="","",AK1504-2*AL1504)</f>
        <v>0</v>
      </c>
      <c r="AO1504">
        <f>IF(OR(AM1504="",AN1504="",AM1504=AN1504),"",($E1504-AN1504)/(AM1504-AN1504))</f>
        <v>0</v>
      </c>
      <c r="AP1504">
        <f>IF(OR(AM1504="",AK1504="",AK1504=0),"",(AM1504-AN1504)/AK1504)</f>
        <v>0</v>
      </c>
      <c r="AQ1504">
        <f>IF(COUNT($E$2:$E1504)&lt;20,"",MAX($C$1485:$C$1504))</f>
        <v>0</v>
      </c>
      <c r="AR1504">
        <f>IF(COUNT($E$2:$E1504)&lt;20,"",MIN($D$1485:$D$1504))</f>
        <v>0</v>
      </c>
      <c r="AS1504">
        <f>IF(OR(AQ1504="",AR1504=""),"",(AQ1504+AR1504)/2)</f>
        <v>0</v>
      </c>
      <c r="AT1504">
        <f>IF(COUNT($G$1485:$G$1504)&lt;20,"",STDEV($G$1485:$G$1504)*SQRT(252))</f>
        <v>0</v>
      </c>
      <c r="AU1504">
        <f>IF(COUNT($E$2:$E1504)&lt;9,"",(MAX($C$1496:$C$1504)+MIN($D$1496:$D$1504))/2)</f>
        <v>0</v>
      </c>
      <c r="AV1504">
        <f>IF(COUNT($E$2:$E1504)&lt;26,"",(MAX($C$1479:$C$1504)+MIN($D$1479:$D$1504))/2)</f>
        <v>0</v>
      </c>
      <c r="AW1504">
        <f>IF(OR(AU1504="",AV1504=""),"",(AU1504+AV1504)/2)</f>
        <v>0</v>
      </c>
      <c r="AX1504">
        <f>IF(COUNT($E$2:$E1504)&lt;52,"",(MAX($C$1453:$C$1504)+MIN($D$1453:$D$1504))/2)</f>
        <v>0</v>
      </c>
      <c r="AY1504">
        <f>IF(COUNT($E$2:$E1504)&lt;20,"",MAX($C$1405:$C$1504))</f>
        <v>0</v>
      </c>
      <c r="AZ1504">
        <f>IF(COUNT($E$2:$E1504)&lt;20,"",MIN($D$1405:$D$1504))</f>
        <v>0</v>
      </c>
      <c r="BA1504">
        <f>IF(COUNT($E$2:$E1504)&lt;20,"",SLOPE($E$1405:$E$1504,$F$1405:$F$1504))</f>
        <v>0</v>
      </c>
      <c r="BB1504">
        <f>IF(COUNT($E$2:$E1504)&lt;20,"",INTERCEPT($E$1405:$E$1504,$F$1405:$F$1504))</f>
        <v>0</v>
      </c>
      <c r="BC1504">
        <f>IF(OR(BA1504="",BB1504=""),"",BB1504+BA1504*F1504)</f>
        <v>0</v>
      </c>
      <c r="BD1504">
        <f>IF(COUNT($E$2:$E1504)&lt;20,"",STEYX($E$1405:$E$1504,$F$1405:$F$1504))</f>
        <v>0</v>
      </c>
      <c r="BE1504">
        <f>IF($E1504="","",IF(AND(COUNT($E$1505:$E$1508)&gt;=4,$C1504=MAX($C$1500:$C$1508)),$C1504,""))</f>
        <v>0</v>
      </c>
      <c r="BF1504">
        <f>IF($E1504="","",IF(AND(COUNT($E$1505:$E$1508)&gt;=4,$D1504=MIN($D$1500:$D$1508)),$D1504,""))</f>
        <v>0</v>
      </c>
      <c r="BG1504">
        <f>IF($A1504="","",$A1504-WEEKDAY($A1504,2)+1)</f>
        <v>0</v>
      </c>
      <c r="BH1504">
        <f>IF($A1504="","",IF($A1503="",1,IF(BG1504&lt;&gt;BG1503,1,0)))</f>
        <v>0</v>
      </c>
      <c r="BI1504">
        <f>IF($A1504="","",IF($A1505="",1,IF(BG1505&lt;&gt;BG1504,1,0)))</f>
        <v>0</v>
      </c>
      <c r="BJ1504">
        <f>IF($A1504="","",IF(BH1504=1,$B1504,BJ1503))</f>
        <v>0</v>
      </c>
      <c r="BK1504">
        <f>IF($A1504="","",IF(BH1504=1,$C1504,MAX($C1504,BK1503)))</f>
        <v>0</v>
      </c>
      <c r="BL1504">
        <f>IF($A1504="","",IF(BH1504=1,$D1504,MIN($D1504,BL1503)))</f>
        <v>0</v>
      </c>
      <c r="BM1504">
        <f>IF($A1504="","",IF(BI1504=1,F1504,""))</f>
        <v>0</v>
      </c>
      <c r="BN1504">
        <f>IF($A1504="","",DATE(YEAR($A1504),MONTH($A1504),1))</f>
        <v>0</v>
      </c>
      <c r="BO1504">
        <f>IF($A1504="","",IF($A1503="",1,IF(BN1504&lt;&gt;BN1503,1,0)))</f>
        <v>0</v>
      </c>
      <c r="BP1504">
        <f>IF($A1504="","",IF($A1505="",1,IF(BN1505&lt;&gt;BN1504,1,0)))</f>
        <v>0</v>
      </c>
      <c r="BQ1504">
        <f>IF($A1504="","",IF(BO1504=1,$B1504,BQ1503))</f>
        <v>0</v>
      </c>
      <c r="BR1504">
        <f>IF($A1504="","",IF(BO1504=1,$C1504,MAX($C1504,BR1503)))</f>
        <v>0</v>
      </c>
      <c r="BS1504">
        <f>IF($A1504="","",IF(BO1504=1,$D1504,MIN($D1504,BS1503)))</f>
        <v>0</v>
      </c>
      <c r="BT1504">
        <f>IF($A1504="","",IF(BP1504=1,F1504,""))</f>
        <v>0</v>
      </c>
    </row>
    <row r="1505" spans="1:72">
      <c r="A1505" s="27">
        <f>IF(Data!$A1505="","",Data!$A1505)</f>
        <v>0</v>
      </c>
      <c r="B1505">
        <f>IF(Data!$B1505="","",Data!$B1505)</f>
        <v>0</v>
      </c>
      <c r="C1505">
        <f>IF(Data!$C1505="","",Data!$C1505)</f>
        <v>0</v>
      </c>
      <c r="D1505">
        <f>IF(Data!$D1505="","",Data!$D1505)</f>
        <v>0</v>
      </c>
      <c r="E1505">
        <f>IF(Data!$E1505="","",Data!$E1505)</f>
        <v>0</v>
      </c>
      <c r="F1505">
        <f>IF($E1505="","",N(F1504)+1)</f>
        <v>0</v>
      </c>
      <c r="G1505">
        <f>IF(OR($E1505="",$E1504=""),"",LN($E1505/$E1504))</f>
        <v>0</v>
      </c>
      <c r="H1505">
        <f>IF($E1505="","",IF($E1504="",$E1505,$E1505*0.0952380952+H1504*0.9047619048))</f>
        <v>0</v>
      </c>
      <c r="I1505">
        <f>IF($E1505="","",IF($E1504="",$E1505,$E1505*0.0392156863+I1504*0.9607843137))</f>
        <v>0</v>
      </c>
      <c r="J1505">
        <f>IF($E1505="","",IF($E1504="",$E1505,$E1505*0.0198019802+J1504*0.9801980198))</f>
        <v>0</v>
      </c>
      <c r="K1505">
        <f>IF($E1505="","",IF($E1504="",$E1505,$E1505*0.0099502488+K1504*0.9900497512))</f>
        <v>0</v>
      </c>
      <c r="L1505">
        <f>IF(OR($E1505="",$E1504=""),"",MAX($E1505-$E1504,0))</f>
        <v>0</v>
      </c>
      <c r="M1505">
        <f>IF(OR($E1505="",$E1504=""),"",MAX($E1504-$E1505,0))</f>
        <v>0</v>
      </c>
      <c r="N1505">
        <f>IF(COUNT($E$2:$E1505)&lt;15,"",IF(AVERAGE($M$1492:$M$1505)=0,100,100-100/(1+AVERAGE($L$1492:$L$1505)/AVERAGE($M$1492:$M$1505))))</f>
        <v>0</v>
      </c>
      <c r="O1505">
        <f>IF($E1505="","",IF($E1504="",$E1505,$E1505*0.1538461538+O1504*0.8461538462))</f>
        <v>0</v>
      </c>
      <c r="P1505">
        <f>IF($E1505="","",IF($E1504="",$E1505,$E1505*0.0740740741+P1504*0.9259259259))</f>
        <v>0</v>
      </c>
      <c r="Q1505">
        <f>IF(OR(O1505="",P1505=""),"",O1505-P1505)</f>
        <v>0</v>
      </c>
      <c r="R1505">
        <f>IF(Q1505="","",IF(R1504="",Q1505,Q1505*0.2000000000+R1504*0.8000000000))</f>
        <v>0</v>
      </c>
      <c r="S1505">
        <f>IF(OR(Q1505="",R1505=""),"",Q1505-R1505)</f>
        <v>0</v>
      </c>
      <c r="T1505">
        <f>IF(COUNT($E$2:$E1505)&lt;14,"",MAX($C$1492:$C$1505))</f>
        <v>0</v>
      </c>
      <c r="U1505">
        <f>IF(COUNT($E$2:$E1505)&lt;14,"",MIN($D$1492:$D$1505))</f>
        <v>0</v>
      </c>
      <c r="V1505">
        <f>IF(OR(T1505="",U1505="",T1505=U1505),"",100*($E1505-U1505)/(T1505-U1505))</f>
        <v>0</v>
      </c>
      <c r="W1505">
        <f>IF(COUNT($V$1503:$V$1505)&lt;3,"",AVERAGE($V$1503:$V$1505))</f>
        <v>0</v>
      </c>
      <c r="X1505">
        <f>IF(COUNT($N$1492:$N$1505)&lt;14,"",MIN($N$1492:$N$1505))</f>
        <v>0</v>
      </c>
      <c r="Y1505">
        <f>IF(COUNT($N$1492:$N$1505)&lt;14,"",MAX($N$1492:$N$1505))</f>
        <v>0</v>
      </c>
      <c r="Z1505">
        <f>IF(OR(N1505="",X1505="",Y1505="",Y1505=X1505),"",100*(N1505-X1505)/(Y1505-X1505))</f>
        <v>0</v>
      </c>
      <c r="AA1505">
        <f>IF(COUNT($Z$1503:$Z$1505)&lt;3,"",AVERAGE($Z$1503:$Z$1505))</f>
        <v>0</v>
      </c>
      <c r="AB1505">
        <f>IF(COUNT($AA$1503:$AA$1505)&lt;3,"",AVERAGE($AA$1503:$AA$1505))</f>
        <v>0</v>
      </c>
      <c r="AC1505">
        <f>IF($E1505="","",MAX($C1505-$D1505,ABS($C1505-$E1504),ABS($D1505-$E1504)))</f>
        <v>0</v>
      </c>
      <c r="AD1505">
        <f>IF(COUNT($E$2:$E1505)&lt;15,"",AVERAGE($AC$1492:$AC$1505))</f>
        <v>0</v>
      </c>
      <c r="AE1505">
        <f>IF(OR($E1505="",$E1504=""),"",IF(AND(($C1505-$C1504)&gt;($D1504-$D1505),($C1505-$C1504)&gt;0),$C1505-$C1504,0))</f>
        <v>0</v>
      </c>
      <c r="AF1505">
        <f>IF(OR($E1505="",$E1504=""),"",IF(AND(($D1504-$D1505)&gt;($C1505-$C1504),($D1504-$D1505)&gt;0),$D1504-$D1505,0))</f>
        <v>0</v>
      </c>
      <c r="AG1505">
        <f>IF(COUNT($E$2:$E1505)&lt;15,"",IF(SUM($AC$1492:$AC$1505)=0,0,100*SUM($AE$1492:$AE$1505)/SUM($AC$1492:$AC$1505)))</f>
        <v>0</v>
      </c>
      <c r="AH1505">
        <f>IF(COUNT($E$2:$E1505)&lt;15,"",IF(SUM($AC$1492:$AC$1505)=0,0,100*SUM($AF$1492:$AF$1505)/SUM($AC$1492:$AC$1505)))</f>
        <v>0</v>
      </c>
      <c r="AI1505">
        <f>IF(OR(AG1505="",AH1505=""),"",IF((AG1505+AH1505)=0,0,100*ABS(AG1505-AH1505)/(AG1505+AH1505)))</f>
        <v>0</v>
      </c>
      <c r="AJ1505">
        <f>IF(COUNT($AI$1492:$AI$1505)&lt;14,"",AVERAGE($AI$1492:$AI$1505))</f>
        <v>0</v>
      </c>
      <c r="AK1505">
        <f>IF(COUNT($E$2:$E1505)&lt;20,"",AVERAGE($E$1486:$E$1505))</f>
        <v>0</v>
      </c>
      <c r="AL1505">
        <f>IF(COUNT($E$2:$E1505)&lt;20,"",STDEVP($E$1486:$E$1505))</f>
        <v>0</v>
      </c>
      <c r="AM1505">
        <f>IF(AK1505="","",AK1505+2*AL1505)</f>
        <v>0</v>
      </c>
      <c r="AN1505">
        <f>IF(AK1505="","",AK1505-2*AL1505)</f>
        <v>0</v>
      </c>
      <c r="AO1505">
        <f>IF(OR(AM1505="",AN1505="",AM1505=AN1505),"",($E1505-AN1505)/(AM1505-AN1505))</f>
        <v>0</v>
      </c>
      <c r="AP1505">
        <f>IF(OR(AM1505="",AK1505="",AK1505=0),"",(AM1505-AN1505)/AK1505)</f>
        <v>0</v>
      </c>
      <c r="AQ1505">
        <f>IF(COUNT($E$2:$E1505)&lt;20,"",MAX($C$1486:$C$1505))</f>
        <v>0</v>
      </c>
      <c r="AR1505">
        <f>IF(COUNT($E$2:$E1505)&lt;20,"",MIN($D$1486:$D$1505))</f>
        <v>0</v>
      </c>
      <c r="AS1505">
        <f>IF(OR(AQ1505="",AR1505=""),"",(AQ1505+AR1505)/2)</f>
        <v>0</v>
      </c>
      <c r="AT1505">
        <f>IF(COUNT($G$1486:$G$1505)&lt;20,"",STDEV($G$1486:$G$1505)*SQRT(252))</f>
        <v>0</v>
      </c>
      <c r="AU1505">
        <f>IF(COUNT($E$2:$E1505)&lt;9,"",(MAX($C$1497:$C$1505)+MIN($D$1497:$D$1505))/2)</f>
        <v>0</v>
      </c>
      <c r="AV1505">
        <f>IF(COUNT($E$2:$E1505)&lt;26,"",(MAX($C$1480:$C$1505)+MIN($D$1480:$D$1505))/2)</f>
        <v>0</v>
      </c>
      <c r="AW1505">
        <f>IF(OR(AU1505="",AV1505=""),"",(AU1505+AV1505)/2)</f>
        <v>0</v>
      </c>
      <c r="AX1505">
        <f>IF(COUNT($E$2:$E1505)&lt;52,"",(MAX($C$1454:$C$1505)+MIN($D$1454:$D$1505))/2)</f>
        <v>0</v>
      </c>
      <c r="AY1505">
        <f>IF(COUNT($E$2:$E1505)&lt;20,"",MAX($C$1406:$C$1505))</f>
        <v>0</v>
      </c>
      <c r="AZ1505">
        <f>IF(COUNT($E$2:$E1505)&lt;20,"",MIN($D$1406:$D$1505))</f>
        <v>0</v>
      </c>
      <c r="BA1505">
        <f>IF(COUNT($E$2:$E1505)&lt;20,"",SLOPE($E$1406:$E$1505,$F$1406:$F$1505))</f>
        <v>0</v>
      </c>
      <c r="BB1505">
        <f>IF(COUNT($E$2:$E1505)&lt;20,"",INTERCEPT($E$1406:$E$1505,$F$1406:$F$1505))</f>
        <v>0</v>
      </c>
      <c r="BC1505">
        <f>IF(OR(BA1505="",BB1505=""),"",BB1505+BA1505*F1505)</f>
        <v>0</v>
      </c>
      <c r="BD1505">
        <f>IF(COUNT($E$2:$E1505)&lt;20,"",STEYX($E$1406:$E$1505,$F$1406:$F$1505))</f>
        <v>0</v>
      </c>
      <c r="BE1505">
        <f>IF($E1505="","",IF(AND(COUNT($E$1506:$E$1509)&gt;=4,$C1505=MAX($C$1501:$C$1509)),$C1505,""))</f>
        <v>0</v>
      </c>
      <c r="BF1505">
        <f>IF($E1505="","",IF(AND(COUNT($E$1506:$E$1509)&gt;=4,$D1505=MIN($D$1501:$D$1509)),$D1505,""))</f>
        <v>0</v>
      </c>
      <c r="BG1505">
        <f>IF($A1505="","",$A1505-WEEKDAY($A1505,2)+1)</f>
        <v>0</v>
      </c>
      <c r="BH1505">
        <f>IF($A1505="","",IF($A1504="",1,IF(BG1505&lt;&gt;BG1504,1,0)))</f>
        <v>0</v>
      </c>
      <c r="BI1505">
        <f>IF($A1505="","",IF($A1506="",1,IF(BG1506&lt;&gt;BG1505,1,0)))</f>
        <v>0</v>
      </c>
      <c r="BJ1505">
        <f>IF($A1505="","",IF(BH1505=1,$B1505,BJ1504))</f>
        <v>0</v>
      </c>
      <c r="BK1505">
        <f>IF($A1505="","",IF(BH1505=1,$C1505,MAX($C1505,BK1504)))</f>
        <v>0</v>
      </c>
      <c r="BL1505">
        <f>IF($A1505="","",IF(BH1505=1,$D1505,MIN($D1505,BL1504)))</f>
        <v>0</v>
      </c>
      <c r="BM1505">
        <f>IF($A1505="","",IF(BI1505=1,F1505,""))</f>
        <v>0</v>
      </c>
      <c r="BN1505">
        <f>IF($A1505="","",DATE(YEAR($A1505),MONTH($A1505),1))</f>
        <v>0</v>
      </c>
      <c r="BO1505">
        <f>IF($A1505="","",IF($A1504="",1,IF(BN1505&lt;&gt;BN1504,1,0)))</f>
        <v>0</v>
      </c>
      <c r="BP1505">
        <f>IF($A1505="","",IF($A1506="",1,IF(BN1506&lt;&gt;BN1505,1,0)))</f>
        <v>0</v>
      </c>
      <c r="BQ1505">
        <f>IF($A1505="","",IF(BO1505=1,$B1505,BQ1504))</f>
        <v>0</v>
      </c>
      <c r="BR1505">
        <f>IF($A1505="","",IF(BO1505=1,$C1505,MAX($C1505,BR1504)))</f>
        <v>0</v>
      </c>
      <c r="BS1505">
        <f>IF($A1505="","",IF(BO1505=1,$D1505,MIN($D1505,BS1504)))</f>
        <v>0</v>
      </c>
      <c r="BT1505">
        <f>IF($A1505="","",IF(BP1505=1,F1505,""))</f>
        <v>0</v>
      </c>
    </row>
    <row r="1506" spans="1:72">
      <c r="A1506" s="27">
        <f>IF(Data!$A1506="","",Data!$A1506)</f>
        <v>0</v>
      </c>
      <c r="B1506">
        <f>IF(Data!$B1506="","",Data!$B1506)</f>
        <v>0</v>
      </c>
      <c r="C1506">
        <f>IF(Data!$C1506="","",Data!$C1506)</f>
        <v>0</v>
      </c>
      <c r="D1506">
        <f>IF(Data!$D1506="","",Data!$D1506)</f>
        <v>0</v>
      </c>
      <c r="E1506">
        <f>IF(Data!$E1506="","",Data!$E1506)</f>
        <v>0</v>
      </c>
      <c r="F1506">
        <f>IF($E1506="","",N(F1505)+1)</f>
        <v>0</v>
      </c>
      <c r="G1506">
        <f>IF(OR($E1506="",$E1505=""),"",LN($E1506/$E1505))</f>
        <v>0</v>
      </c>
      <c r="H1506">
        <f>IF($E1506="","",IF($E1505="",$E1506,$E1506*0.0952380952+H1505*0.9047619048))</f>
        <v>0</v>
      </c>
      <c r="I1506">
        <f>IF($E1506="","",IF($E1505="",$E1506,$E1506*0.0392156863+I1505*0.9607843137))</f>
        <v>0</v>
      </c>
      <c r="J1506">
        <f>IF($E1506="","",IF($E1505="",$E1506,$E1506*0.0198019802+J1505*0.9801980198))</f>
        <v>0</v>
      </c>
      <c r="K1506">
        <f>IF($E1506="","",IF($E1505="",$E1506,$E1506*0.0099502488+K1505*0.9900497512))</f>
        <v>0</v>
      </c>
      <c r="L1506">
        <f>IF(OR($E1506="",$E1505=""),"",MAX($E1506-$E1505,0))</f>
        <v>0</v>
      </c>
      <c r="M1506">
        <f>IF(OR($E1506="",$E1505=""),"",MAX($E1505-$E1506,0))</f>
        <v>0</v>
      </c>
      <c r="N1506">
        <f>IF(COUNT($E$2:$E1506)&lt;15,"",IF(AVERAGE($M$1493:$M$1506)=0,100,100-100/(1+AVERAGE($L$1493:$L$1506)/AVERAGE($M$1493:$M$1506))))</f>
        <v>0</v>
      </c>
      <c r="O1506">
        <f>IF($E1506="","",IF($E1505="",$E1506,$E1506*0.1538461538+O1505*0.8461538462))</f>
        <v>0</v>
      </c>
      <c r="P1506">
        <f>IF($E1506="","",IF($E1505="",$E1506,$E1506*0.0740740741+P1505*0.9259259259))</f>
        <v>0</v>
      </c>
      <c r="Q1506">
        <f>IF(OR(O1506="",P1506=""),"",O1506-P1506)</f>
        <v>0</v>
      </c>
      <c r="R1506">
        <f>IF(Q1506="","",IF(R1505="",Q1506,Q1506*0.2000000000+R1505*0.8000000000))</f>
        <v>0</v>
      </c>
      <c r="S1506">
        <f>IF(OR(Q1506="",R1506=""),"",Q1506-R1506)</f>
        <v>0</v>
      </c>
      <c r="T1506">
        <f>IF(COUNT($E$2:$E1506)&lt;14,"",MAX($C$1493:$C$1506))</f>
        <v>0</v>
      </c>
      <c r="U1506">
        <f>IF(COUNT($E$2:$E1506)&lt;14,"",MIN($D$1493:$D$1506))</f>
        <v>0</v>
      </c>
      <c r="V1506">
        <f>IF(OR(T1506="",U1506="",T1506=U1506),"",100*($E1506-U1506)/(T1506-U1506))</f>
        <v>0</v>
      </c>
      <c r="W1506">
        <f>IF(COUNT($V$1504:$V$1506)&lt;3,"",AVERAGE($V$1504:$V$1506))</f>
        <v>0</v>
      </c>
      <c r="X1506">
        <f>IF(COUNT($N$1493:$N$1506)&lt;14,"",MIN($N$1493:$N$1506))</f>
        <v>0</v>
      </c>
      <c r="Y1506">
        <f>IF(COUNT($N$1493:$N$1506)&lt;14,"",MAX($N$1493:$N$1506))</f>
        <v>0</v>
      </c>
      <c r="Z1506">
        <f>IF(OR(N1506="",X1506="",Y1506="",Y1506=X1506),"",100*(N1506-X1506)/(Y1506-X1506))</f>
        <v>0</v>
      </c>
      <c r="AA1506">
        <f>IF(COUNT($Z$1504:$Z$1506)&lt;3,"",AVERAGE($Z$1504:$Z$1506))</f>
        <v>0</v>
      </c>
      <c r="AB1506">
        <f>IF(COUNT($AA$1504:$AA$1506)&lt;3,"",AVERAGE($AA$1504:$AA$1506))</f>
        <v>0</v>
      </c>
      <c r="AC1506">
        <f>IF($E1506="","",MAX($C1506-$D1506,ABS($C1506-$E1505),ABS($D1506-$E1505)))</f>
        <v>0</v>
      </c>
      <c r="AD1506">
        <f>IF(COUNT($E$2:$E1506)&lt;15,"",AVERAGE($AC$1493:$AC$1506))</f>
        <v>0</v>
      </c>
      <c r="AE1506">
        <f>IF(OR($E1506="",$E1505=""),"",IF(AND(($C1506-$C1505)&gt;($D1505-$D1506),($C1506-$C1505)&gt;0),$C1506-$C1505,0))</f>
        <v>0</v>
      </c>
      <c r="AF1506">
        <f>IF(OR($E1506="",$E1505=""),"",IF(AND(($D1505-$D1506)&gt;($C1506-$C1505),($D1505-$D1506)&gt;0),$D1505-$D1506,0))</f>
        <v>0</v>
      </c>
      <c r="AG1506">
        <f>IF(COUNT($E$2:$E1506)&lt;15,"",IF(SUM($AC$1493:$AC$1506)=0,0,100*SUM($AE$1493:$AE$1506)/SUM($AC$1493:$AC$1506)))</f>
        <v>0</v>
      </c>
      <c r="AH1506">
        <f>IF(COUNT($E$2:$E1506)&lt;15,"",IF(SUM($AC$1493:$AC$1506)=0,0,100*SUM($AF$1493:$AF$1506)/SUM($AC$1493:$AC$1506)))</f>
        <v>0</v>
      </c>
      <c r="AI1506">
        <f>IF(OR(AG1506="",AH1506=""),"",IF((AG1506+AH1506)=0,0,100*ABS(AG1506-AH1506)/(AG1506+AH1506)))</f>
        <v>0</v>
      </c>
      <c r="AJ1506">
        <f>IF(COUNT($AI$1493:$AI$1506)&lt;14,"",AVERAGE($AI$1493:$AI$1506))</f>
        <v>0</v>
      </c>
      <c r="AK1506">
        <f>IF(COUNT($E$2:$E1506)&lt;20,"",AVERAGE($E$1487:$E$1506))</f>
        <v>0</v>
      </c>
      <c r="AL1506">
        <f>IF(COUNT($E$2:$E1506)&lt;20,"",STDEVP($E$1487:$E$1506))</f>
        <v>0</v>
      </c>
      <c r="AM1506">
        <f>IF(AK1506="","",AK1506+2*AL1506)</f>
        <v>0</v>
      </c>
      <c r="AN1506">
        <f>IF(AK1506="","",AK1506-2*AL1506)</f>
        <v>0</v>
      </c>
      <c r="AO1506">
        <f>IF(OR(AM1506="",AN1506="",AM1506=AN1506),"",($E1506-AN1506)/(AM1506-AN1506))</f>
        <v>0</v>
      </c>
      <c r="AP1506">
        <f>IF(OR(AM1506="",AK1506="",AK1506=0),"",(AM1506-AN1506)/AK1506)</f>
        <v>0</v>
      </c>
      <c r="AQ1506">
        <f>IF(COUNT($E$2:$E1506)&lt;20,"",MAX($C$1487:$C$1506))</f>
        <v>0</v>
      </c>
      <c r="AR1506">
        <f>IF(COUNT($E$2:$E1506)&lt;20,"",MIN($D$1487:$D$1506))</f>
        <v>0</v>
      </c>
      <c r="AS1506">
        <f>IF(OR(AQ1506="",AR1506=""),"",(AQ1506+AR1506)/2)</f>
        <v>0</v>
      </c>
      <c r="AT1506">
        <f>IF(COUNT($G$1487:$G$1506)&lt;20,"",STDEV($G$1487:$G$1506)*SQRT(252))</f>
        <v>0</v>
      </c>
      <c r="AU1506">
        <f>IF(COUNT($E$2:$E1506)&lt;9,"",(MAX($C$1498:$C$1506)+MIN($D$1498:$D$1506))/2)</f>
        <v>0</v>
      </c>
      <c r="AV1506">
        <f>IF(COUNT($E$2:$E1506)&lt;26,"",(MAX($C$1481:$C$1506)+MIN($D$1481:$D$1506))/2)</f>
        <v>0</v>
      </c>
      <c r="AW1506">
        <f>IF(OR(AU1506="",AV1506=""),"",(AU1506+AV1506)/2)</f>
        <v>0</v>
      </c>
      <c r="AX1506">
        <f>IF(COUNT($E$2:$E1506)&lt;52,"",(MAX($C$1455:$C$1506)+MIN($D$1455:$D$1506))/2)</f>
        <v>0</v>
      </c>
      <c r="AY1506">
        <f>IF(COUNT($E$2:$E1506)&lt;20,"",MAX($C$1407:$C$1506))</f>
        <v>0</v>
      </c>
      <c r="AZ1506">
        <f>IF(COUNT($E$2:$E1506)&lt;20,"",MIN($D$1407:$D$1506))</f>
        <v>0</v>
      </c>
      <c r="BA1506">
        <f>IF(COUNT($E$2:$E1506)&lt;20,"",SLOPE($E$1407:$E$1506,$F$1407:$F$1506))</f>
        <v>0</v>
      </c>
      <c r="BB1506">
        <f>IF(COUNT($E$2:$E1506)&lt;20,"",INTERCEPT($E$1407:$E$1506,$F$1407:$F$1506))</f>
        <v>0</v>
      </c>
      <c r="BC1506">
        <f>IF(OR(BA1506="",BB1506=""),"",BB1506+BA1506*F1506)</f>
        <v>0</v>
      </c>
      <c r="BD1506">
        <f>IF(COUNT($E$2:$E1506)&lt;20,"",STEYX($E$1407:$E$1506,$F$1407:$F$1506))</f>
        <v>0</v>
      </c>
      <c r="BE1506">
        <f>IF($E1506="","",IF(AND(COUNT($E$1507:$E$1510)&gt;=4,$C1506=MAX($C$1502:$C$1510)),$C1506,""))</f>
        <v>0</v>
      </c>
      <c r="BF1506">
        <f>IF($E1506="","",IF(AND(COUNT($E$1507:$E$1510)&gt;=4,$D1506=MIN($D$1502:$D$1510)),$D1506,""))</f>
        <v>0</v>
      </c>
      <c r="BG1506">
        <f>IF($A1506="","",$A1506-WEEKDAY($A1506,2)+1)</f>
        <v>0</v>
      </c>
      <c r="BH1506">
        <f>IF($A1506="","",IF($A1505="",1,IF(BG1506&lt;&gt;BG1505,1,0)))</f>
        <v>0</v>
      </c>
      <c r="BI1506">
        <f>IF($A1506="","",IF($A1507="",1,IF(BG1507&lt;&gt;BG1506,1,0)))</f>
        <v>0</v>
      </c>
      <c r="BJ1506">
        <f>IF($A1506="","",IF(BH1506=1,$B1506,BJ1505))</f>
        <v>0</v>
      </c>
      <c r="BK1506">
        <f>IF($A1506="","",IF(BH1506=1,$C1506,MAX($C1506,BK1505)))</f>
        <v>0</v>
      </c>
      <c r="BL1506">
        <f>IF($A1506="","",IF(BH1506=1,$D1506,MIN($D1506,BL1505)))</f>
        <v>0</v>
      </c>
      <c r="BM1506">
        <f>IF($A1506="","",IF(BI1506=1,F1506,""))</f>
        <v>0</v>
      </c>
      <c r="BN1506">
        <f>IF($A1506="","",DATE(YEAR($A1506),MONTH($A1506),1))</f>
        <v>0</v>
      </c>
      <c r="BO1506">
        <f>IF($A1506="","",IF($A1505="",1,IF(BN1506&lt;&gt;BN1505,1,0)))</f>
        <v>0</v>
      </c>
      <c r="BP1506">
        <f>IF($A1506="","",IF($A1507="",1,IF(BN1507&lt;&gt;BN1506,1,0)))</f>
        <v>0</v>
      </c>
      <c r="BQ1506">
        <f>IF($A1506="","",IF(BO1506=1,$B1506,BQ1505))</f>
        <v>0</v>
      </c>
      <c r="BR1506">
        <f>IF($A1506="","",IF(BO1506=1,$C1506,MAX($C1506,BR1505)))</f>
        <v>0</v>
      </c>
      <c r="BS1506">
        <f>IF($A1506="","",IF(BO1506=1,$D1506,MIN($D1506,BS1505)))</f>
        <v>0</v>
      </c>
      <c r="BT1506">
        <f>IF($A1506="","",IF(BP1506=1,F1506,""))</f>
        <v>0</v>
      </c>
    </row>
    <row r="1507" spans="1:72">
      <c r="A1507" s="27">
        <f>IF(Data!$A1507="","",Data!$A1507)</f>
        <v>0</v>
      </c>
      <c r="B1507">
        <f>IF(Data!$B1507="","",Data!$B1507)</f>
        <v>0</v>
      </c>
      <c r="C1507">
        <f>IF(Data!$C1507="","",Data!$C1507)</f>
        <v>0</v>
      </c>
      <c r="D1507">
        <f>IF(Data!$D1507="","",Data!$D1507)</f>
        <v>0</v>
      </c>
      <c r="E1507">
        <f>IF(Data!$E1507="","",Data!$E1507)</f>
        <v>0</v>
      </c>
      <c r="F1507">
        <f>IF($E1507="","",N(F1506)+1)</f>
        <v>0</v>
      </c>
      <c r="G1507">
        <f>IF(OR($E1507="",$E1506=""),"",LN($E1507/$E1506))</f>
        <v>0</v>
      </c>
      <c r="H1507">
        <f>IF($E1507="","",IF($E1506="",$E1507,$E1507*0.0952380952+H1506*0.9047619048))</f>
        <v>0</v>
      </c>
      <c r="I1507">
        <f>IF($E1507="","",IF($E1506="",$E1507,$E1507*0.0392156863+I1506*0.9607843137))</f>
        <v>0</v>
      </c>
      <c r="J1507">
        <f>IF($E1507="","",IF($E1506="",$E1507,$E1507*0.0198019802+J1506*0.9801980198))</f>
        <v>0</v>
      </c>
      <c r="K1507">
        <f>IF($E1507="","",IF($E1506="",$E1507,$E1507*0.0099502488+K1506*0.9900497512))</f>
        <v>0</v>
      </c>
      <c r="L1507">
        <f>IF(OR($E1507="",$E1506=""),"",MAX($E1507-$E1506,0))</f>
        <v>0</v>
      </c>
      <c r="M1507">
        <f>IF(OR($E1507="",$E1506=""),"",MAX($E1506-$E1507,0))</f>
        <v>0</v>
      </c>
      <c r="N1507">
        <f>IF(COUNT($E$2:$E1507)&lt;15,"",IF(AVERAGE($M$1494:$M$1507)=0,100,100-100/(1+AVERAGE($L$1494:$L$1507)/AVERAGE($M$1494:$M$1507))))</f>
        <v>0</v>
      </c>
      <c r="O1507">
        <f>IF($E1507="","",IF($E1506="",$E1507,$E1507*0.1538461538+O1506*0.8461538462))</f>
        <v>0</v>
      </c>
      <c r="P1507">
        <f>IF($E1507="","",IF($E1506="",$E1507,$E1507*0.0740740741+P1506*0.9259259259))</f>
        <v>0</v>
      </c>
      <c r="Q1507">
        <f>IF(OR(O1507="",P1507=""),"",O1507-P1507)</f>
        <v>0</v>
      </c>
      <c r="R1507">
        <f>IF(Q1507="","",IF(R1506="",Q1507,Q1507*0.2000000000+R1506*0.8000000000))</f>
        <v>0</v>
      </c>
      <c r="S1507">
        <f>IF(OR(Q1507="",R1507=""),"",Q1507-R1507)</f>
        <v>0</v>
      </c>
      <c r="T1507">
        <f>IF(COUNT($E$2:$E1507)&lt;14,"",MAX($C$1494:$C$1507))</f>
        <v>0</v>
      </c>
      <c r="U1507">
        <f>IF(COUNT($E$2:$E1507)&lt;14,"",MIN($D$1494:$D$1507))</f>
        <v>0</v>
      </c>
      <c r="V1507">
        <f>IF(OR(T1507="",U1507="",T1507=U1507),"",100*($E1507-U1507)/(T1507-U1507))</f>
        <v>0</v>
      </c>
      <c r="W1507">
        <f>IF(COUNT($V$1505:$V$1507)&lt;3,"",AVERAGE($V$1505:$V$1507))</f>
        <v>0</v>
      </c>
      <c r="X1507">
        <f>IF(COUNT($N$1494:$N$1507)&lt;14,"",MIN($N$1494:$N$1507))</f>
        <v>0</v>
      </c>
      <c r="Y1507">
        <f>IF(COUNT($N$1494:$N$1507)&lt;14,"",MAX($N$1494:$N$1507))</f>
        <v>0</v>
      </c>
      <c r="Z1507">
        <f>IF(OR(N1507="",X1507="",Y1507="",Y1507=X1507),"",100*(N1507-X1507)/(Y1507-X1507))</f>
        <v>0</v>
      </c>
      <c r="AA1507">
        <f>IF(COUNT($Z$1505:$Z$1507)&lt;3,"",AVERAGE($Z$1505:$Z$1507))</f>
        <v>0</v>
      </c>
      <c r="AB1507">
        <f>IF(COUNT($AA$1505:$AA$1507)&lt;3,"",AVERAGE($AA$1505:$AA$1507))</f>
        <v>0</v>
      </c>
      <c r="AC1507">
        <f>IF($E1507="","",MAX($C1507-$D1507,ABS($C1507-$E1506),ABS($D1507-$E1506)))</f>
        <v>0</v>
      </c>
      <c r="AD1507">
        <f>IF(COUNT($E$2:$E1507)&lt;15,"",AVERAGE($AC$1494:$AC$1507))</f>
        <v>0</v>
      </c>
      <c r="AE1507">
        <f>IF(OR($E1507="",$E1506=""),"",IF(AND(($C1507-$C1506)&gt;($D1506-$D1507),($C1507-$C1506)&gt;0),$C1507-$C1506,0))</f>
        <v>0</v>
      </c>
      <c r="AF1507">
        <f>IF(OR($E1507="",$E1506=""),"",IF(AND(($D1506-$D1507)&gt;($C1507-$C1506),($D1506-$D1507)&gt;0),$D1506-$D1507,0))</f>
        <v>0</v>
      </c>
      <c r="AG1507">
        <f>IF(COUNT($E$2:$E1507)&lt;15,"",IF(SUM($AC$1494:$AC$1507)=0,0,100*SUM($AE$1494:$AE$1507)/SUM($AC$1494:$AC$1507)))</f>
        <v>0</v>
      </c>
      <c r="AH1507">
        <f>IF(COUNT($E$2:$E1507)&lt;15,"",IF(SUM($AC$1494:$AC$1507)=0,0,100*SUM($AF$1494:$AF$1507)/SUM($AC$1494:$AC$1507)))</f>
        <v>0</v>
      </c>
      <c r="AI1507">
        <f>IF(OR(AG1507="",AH1507=""),"",IF((AG1507+AH1507)=0,0,100*ABS(AG1507-AH1507)/(AG1507+AH1507)))</f>
        <v>0</v>
      </c>
      <c r="AJ1507">
        <f>IF(COUNT($AI$1494:$AI$1507)&lt;14,"",AVERAGE($AI$1494:$AI$1507))</f>
        <v>0</v>
      </c>
      <c r="AK1507">
        <f>IF(COUNT($E$2:$E1507)&lt;20,"",AVERAGE($E$1488:$E$1507))</f>
        <v>0</v>
      </c>
      <c r="AL1507">
        <f>IF(COUNT($E$2:$E1507)&lt;20,"",STDEVP($E$1488:$E$1507))</f>
        <v>0</v>
      </c>
      <c r="AM1507">
        <f>IF(AK1507="","",AK1507+2*AL1507)</f>
        <v>0</v>
      </c>
      <c r="AN1507">
        <f>IF(AK1507="","",AK1507-2*AL1507)</f>
        <v>0</v>
      </c>
      <c r="AO1507">
        <f>IF(OR(AM1507="",AN1507="",AM1507=AN1507),"",($E1507-AN1507)/(AM1507-AN1507))</f>
        <v>0</v>
      </c>
      <c r="AP1507">
        <f>IF(OR(AM1507="",AK1507="",AK1507=0),"",(AM1507-AN1507)/AK1507)</f>
        <v>0</v>
      </c>
      <c r="AQ1507">
        <f>IF(COUNT($E$2:$E1507)&lt;20,"",MAX($C$1488:$C$1507))</f>
        <v>0</v>
      </c>
      <c r="AR1507">
        <f>IF(COUNT($E$2:$E1507)&lt;20,"",MIN($D$1488:$D$1507))</f>
        <v>0</v>
      </c>
      <c r="AS1507">
        <f>IF(OR(AQ1507="",AR1507=""),"",(AQ1507+AR1507)/2)</f>
        <v>0</v>
      </c>
      <c r="AT1507">
        <f>IF(COUNT($G$1488:$G$1507)&lt;20,"",STDEV($G$1488:$G$1507)*SQRT(252))</f>
        <v>0</v>
      </c>
      <c r="AU1507">
        <f>IF(COUNT($E$2:$E1507)&lt;9,"",(MAX($C$1499:$C$1507)+MIN($D$1499:$D$1507))/2)</f>
        <v>0</v>
      </c>
      <c r="AV1507">
        <f>IF(COUNT($E$2:$E1507)&lt;26,"",(MAX($C$1482:$C$1507)+MIN($D$1482:$D$1507))/2)</f>
        <v>0</v>
      </c>
      <c r="AW1507">
        <f>IF(OR(AU1507="",AV1507=""),"",(AU1507+AV1507)/2)</f>
        <v>0</v>
      </c>
      <c r="AX1507">
        <f>IF(COUNT($E$2:$E1507)&lt;52,"",(MAX($C$1456:$C$1507)+MIN($D$1456:$D$1507))/2)</f>
        <v>0</v>
      </c>
      <c r="AY1507">
        <f>IF(COUNT($E$2:$E1507)&lt;20,"",MAX($C$1408:$C$1507))</f>
        <v>0</v>
      </c>
      <c r="AZ1507">
        <f>IF(COUNT($E$2:$E1507)&lt;20,"",MIN($D$1408:$D$1507))</f>
        <v>0</v>
      </c>
      <c r="BA1507">
        <f>IF(COUNT($E$2:$E1507)&lt;20,"",SLOPE($E$1408:$E$1507,$F$1408:$F$1507))</f>
        <v>0</v>
      </c>
      <c r="BB1507">
        <f>IF(COUNT($E$2:$E1507)&lt;20,"",INTERCEPT($E$1408:$E$1507,$F$1408:$F$1507))</f>
        <v>0</v>
      </c>
      <c r="BC1507">
        <f>IF(OR(BA1507="",BB1507=""),"",BB1507+BA1507*F1507)</f>
        <v>0</v>
      </c>
      <c r="BD1507">
        <f>IF(COUNT($E$2:$E1507)&lt;20,"",STEYX($E$1408:$E$1507,$F$1408:$F$1507))</f>
        <v>0</v>
      </c>
      <c r="BE1507">
        <f>IF($E1507="","",IF(AND(COUNT($E$1508:$E$1511)&gt;=4,$C1507=MAX($C$1503:$C$1511)),$C1507,""))</f>
        <v>0</v>
      </c>
      <c r="BF1507">
        <f>IF($E1507="","",IF(AND(COUNT($E$1508:$E$1511)&gt;=4,$D1507=MIN($D$1503:$D$1511)),$D1507,""))</f>
        <v>0</v>
      </c>
      <c r="BG1507">
        <f>IF($A1507="","",$A1507-WEEKDAY($A1507,2)+1)</f>
        <v>0</v>
      </c>
      <c r="BH1507">
        <f>IF($A1507="","",IF($A1506="",1,IF(BG1507&lt;&gt;BG1506,1,0)))</f>
        <v>0</v>
      </c>
      <c r="BI1507">
        <f>IF($A1507="","",IF($A1508="",1,IF(BG1508&lt;&gt;BG1507,1,0)))</f>
        <v>0</v>
      </c>
      <c r="BJ1507">
        <f>IF($A1507="","",IF(BH1507=1,$B1507,BJ1506))</f>
        <v>0</v>
      </c>
      <c r="BK1507">
        <f>IF($A1507="","",IF(BH1507=1,$C1507,MAX($C1507,BK1506)))</f>
        <v>0</v>
      </c>
      <c r="BL1507">
        <f>IF($A1507="","",IF(BH1507=1,$D1507,MIN($D1507,BL1506)))</f>
        <v>0</v>
      </c>
      <c r="BM1507">
        <f>IF($A1507="","",IF(BI1507=1,F1507,""))</f>
        <v>0</v>
      </c>
      <c r="BN1507">
        <f>IF($A1507="","",DATE(YEAR($A1507),MONTH($A1507),1))</f>
        <v>0</v>
      </c>
      <c r="BO1507">
        <f>IF($A1507="","",IF($A1506="",1,IF(BN1507&lt;&gt;BN1506,1,0)))</f>
        <v>0</v>
      </c>
      <c r="BP1507">
        <f>IF($A1507="","",IF($A1508="",1,IF(BN1508&lt;&gt;BN1507,1,0)))</f>
        <v>0</v>
      </c>
      <c r="BQ1507">
        <f>IF($A1507="","",IF(BO1507=1,$B1507,BQ1506))</f>
        <v>0</v>
      </c>
      <c r="BR1507">
        <f>IF($A1507="","",IF(BO1507=1,$C1507,MAX($C1507,BR1506)))</f>
        <v>0</v>
      </c>
      <c r="BS1507">
        <f>IF($A1507="","",IF(BO1507=1,$D1507,MIN($D1507,BS1506)))</f>
        <v>0</v>
      </c>
      <c r="BT1507">
        <f>IF($A1507="","",IF(BP1507=1,F1507,""))</f>
        <v>0</v>
      </c>
    </row>
    <row r="1508" spans="1:72">
      <c r="A1508" s="27">
        <f>IF(Data!$A1508="","",Data!$A1508)</f>
        <v>0</v>
      </c>
      <c r="B1508">
        <f>IF(Data!$B1508="","",Data!$B1508)</f>
        <v>0</v>
      </c>
      <c r="C1508">
        <f>IF(Data!$C1508="","",Data!$C1508)</f>
        <v>0</v>
      </c>
      <c r="D1508">
        <f>IF(Data!$D1508="","",Data!$D1508)</f>
        <v>0</v>
      </c>
      <c r="E1508">
        <f>IF(Data!$E1508="","",Data!$E1508)</f>
        <v>0</v>
      </c>
      <c r="F1508">
        <f>IF($E1508="","",N(F1507)+1)</f>
        <v>0</v>
      </c>
      <c r="G1508">
        <f>IF(OR($E1508="",$E1507=""),"",LN($E1508/$E1507))</f>
        <v>0</v>
      </c>
      <c r="H1508">
        <f>IF($E1508="","",IF($E1507="",$E1508,$E1508*0.0952380952+H1507*0.9047619048))</f>
        <v>0</v>
      </c>
      <c r="I1508">
        <f>IF($E1508="","",IF($E1507="",$E1508,$E1508*0.0392156863+I1507*0.9607843137))</f>
        <v>0</v>
      </c>
      <c r="J1508">
        <f>IF($E1508="","",IF($E1507="",$E1508,$E1508*0.0198019802+J1507*0.9801980198))</f>
        <v>0</v>
      </c>
      <c r="K1508">
        <f>IF($E1508="","",IF($E1507="",$E1508,$E1508*0.0099502488+K1507*0.9900497512))</f>
        <v>0</v>
      </c>
      <c r="L1508">
        <f>IF(OR($E1508="",$E1507=""),"",MAX($E1508-$E1507,0))</f>
        <v>0</v>
      </c>
      <c r="M1508">
        <f>IF(OR($E1508="",$E1507=""),"",MAX($E1507-$E1508,0))</f>
        <v>0</v>
      </c>
      <c r="N1508">
        <f>IF(COUNT($E$2:$E1508)&lt;15,"",IF(AVERAGE($M$1495:$M$1508)=0,100,100-100/(1+AVERAGE($L$1495:$L$1508)/AVERAGE($M$1495:$M$1508))))</f>
        <v>0</v>
      </c>
      <c r="O1508">
        <f>IF($E1508="","",IF($E1507="",$E1508,$E1508*0.1538461538+O1507*0.8461538462))</f>
        <v>0</v>
      </c>
      <c r="P1508">
        <f>IF($E1508="","",IF($E1507="",$E1508,$E1508*0.0740740741+P1507*0.9259259259))</f>
        <v>0</v>
      </c>
      <c r="Q1508">
        <f>IF(OR(O1508="",P1508=""),"",O1508-P1508)</f>
        <v>0</v>
      </c>
      <c r="R1508">
        <f>IF(Q1508="","",IF(R1507="",Q1508,Q1508*0.2000000000+R1507*0.8000000000))</f>
        <v>0</v>
      </c>
      <c r="S1508">
        <f>IF(OR(Q1508="",R1508=""),"",Q1508-R1508)</f>
        <v>0</v>
      </c>
      <c r="T1508">
        <f>IF(COUNT($E$2:$E1508)&lt;14,"",MAX($C$1495:$C$1508))</f>
        <v>0</v>
      </c>
      <c r="U1508">
        <f>IF(COUNT($E$2:$E1508)&lt;14,"",MIN($D$1495:$D$1508))</f>
        <v>0</v>
      </c>
      <c r="V1508">
        <f>IF(OR(T1508="",U1508="",T1508=U1508),"",100*($E1508-U1508)/(T1508-U1508))</f>
        <v>0</v>
      </c>
      <c r="W1508">
        <f>IF(COUNT($V$1506:$V$1508)&lt;3,"",AVERAGE($V$1506:$V$1508))</f>
        <v>0</v>
      </c>
      <c r="X1508">
        <f>IF(COUNT($N$1495:$N$1508)&lt;14,"",MIN($N$1495:$N$1508))</f>
        <v>0</v>
      </c>
      <c r="Y1508">
        <f>IF(COUNT($N$1495:$N$1508)&lt;14,"",MAX($N$1495:$N$1508))</f>
        <v>0</v>
      </c>
      <c r="Z1508">
        <f>IF(OR(N1508="",X1508="",Y1508="",Y1508=X1508),"",100*(N1508-X1508)/(Y1508-X1508))</f>
        <v>0</v>
      </c>
      <c r="AA1508">
        <f>IF(COUNT($Z$1506:$Z$1508)&lt;3,"",AVERAGE($Z$1506:$Z$1508))</f>
        <v>0</v>
      </c>
      <c r="AB1508">
        <f>IF(COUNT($AA$1506:$AA$1508)&lt;3,"",AVERAGE($AA$1506:$AA$1508))</f>
        <v>0</v>
      </c>
      <c r="AC1508">
        <f>IF($E1508="","",MAX($C1508-$D1508,ABS($C1508-$E1507),ABS($D1508-$E1507)))</f>
        <v>0</v>
      </c>
      <c r="AD1508">
        <f>IF(COUNT($E$2:$E1508)&lt;15,"",AVERAGE($AC$1495:$AC$1508))</f>
        <v>0</v>
      </c>
      <c r="AE1508">
        <f>IF(OR($E1508="",$E1507=""),"",IF(AND(($C1508-$C1507)&gt;($D1507-$D1508),($C1508-$C1507)&gt;0),$C1508-$C1507,0))</f>
        <v>0</v>
      </c>
      <c r="AF1508">
        <f>IF(OR($E1508="",$E1507=""),"",IF(AND(($D1507-$D1508)&gt;($C1508-$C1507),($D1507-$D1508)&gt;0),$D1507-$D1508,0))</f>
        <v>0</v>
      </c>
      <c r="AG1508">
        <f>IF(COUNT($E$2:$E1508)&lt;15,"",IF(SUM($AC$1495:$AC$1508)=0,0,100*SUM($AE$1495:$AE$1508)/SUM($AC$1495:$AC$1508)))</f>
        <v>0</v>
      </c>
      <c r="AH1508">
        <f>IF(COUNT($E$2:$E1508)&lt;15,"",IF(SUM($AC$1495:$AC$1508)=0,0,100*SUM($AF$1495:$AF$1508)/SUM($AC$1495:$AC$1508)))</f>
        <v>0</v>
      </c>
      <c r="AI1508">
        <f>IF(OR(AG1508="",AH1508=""),"",IF((AG1508+AH1508)=0,0,100*ABS(AG1508-AH1508)/(AG1508+AH1508)))</f>
        <v>0</v>
      </c>
      <c r="AJ1508">
        <f>IF(COUNT($AI$1495:$AI$1508)&lt;14,"",AVERAGE($AI$1495:$AI$1508))</f>
        <v>0</v>
      </c>
      <c r="AK1508">
        <f>IF(COUNT($E$2:$E1508)&lt;20,"",AVERAGE($E$1489:$E$1508))</f>
        <v>0</v>
      </c>
      <c r="AL1508">
        <f>IF(COUNT($E$2:$E1508)&lt;20,"",STDEVP($E$1489:$E$1508))</f>
        <v>0</v>
      </c>
      <c r="AM1508">
        <f>IF(AK1508="","",AK1508+2*AL1508)</f>
        <v>0</v>
      </c>
      <c r="AN1508">
        <f>IF(AK1508="","",AK1508-2*AL1508)</f>
        <v>0</v>
      </c>
      <c r="AO1508">
        <f>IF(OR(AM1508="",AN1508="",AM1508=AN1508),"",($E1508-AN1508)/(AM1508-AN1508))</f>
        <v>0</v>
      </c>
      <c r="AP1508">
        <f>IF(OR(AM1508="",AK1508="",AK1508=0),"",(AM1508-AN1508)/AK1508)</f>
        <v>0</v>
      </c>
      <c r="AQ1508">
        <f>IF(COUNT($E$2:$E1508)&lt;20,"",MAX($C$1489:$C$1508))</f>
        <v>0</v>
      </c>
      <c r="AR1508">
        <f>IF(COUNT($E$2:$E1508)&lt;20,"",MIN($D$1489:$D$1508))</f>
        <v>0</v>
      </c>
      <c r="AS1508">
        <f>IF(OR(AQ1508="",AR1508=""),"",(AQ1508+AR1508)/2)</f>
        <v>0</v>
      </c>
      <c r="AT1508">
        <f>IF(COUNT($G$1489:$G$1508)&lt;20,"",STDEV($G$1489:$G$1508)*SQRT(252))</f>
        <v>0</v>
      </c>
      <c r="AU1508">
        <f>IF(COUNT($E$2:$E1508)&lt;9,"",(MAX($C$1500:$C$1508)+MIN($D$1500:$D$1508))/2)</f>
        <v>0</v>
      </c>
      <c r="AV1508">
        <f>IF(COUNT($E$2:$E1508)&lt;26,"",(MAX($C$1483:$C$1508)+MIN($D$1483:$D$1508))/2)</f>
        <v>0</v>
      </c>
      <c r="AW1508">
        <f>IF(OR(AU1508="",AV1508=""),"",(AU1508+AV1508)/2)</f>
        <v>0</v>
      </c>
      <c r="AX1508">
        <f>IF(COUNT($E$2:$E1508)&lt;52,"",(MAX($C$1457:$C$1508)+MIN($D$1457:$D$1508))/2)</f>
        <v>0</v>
      </c>
      <c r="AY1508">
        <f>IF(COUNT($E$2:$E1508)&lt;20,"",MAX($C$1409:$C$1508))</f>
        <v>0</v>
      </c>
      <c r="AZ1508">
        <f>IF(COUNT($E$2:$E1508)&lt;20,"",MIN($D$1409:$D$1508))</f>
        <v>0</v>
      </c>
      <c r="BA1508">
        <f>IF(COUNT($E$2:$E1508)&lt;20,"",SLOPE($E$1409:$E$1508,$F$1409:$F$1508))</f>
        <v>0</v>
      </c>
      <c r="BB1508">
        <f>IF(COUNT($E$2:$E1508)&lt;20,"",INTERCEPT($E$1409:$E$1508,$F$1409:$F$1508))</f>
        <v>0</v>
      </c>
      <c r="BC1508">
        <f>IF(OR(BA1508="",BB1508=""),"",BB1508+BA1508*F1508)</f>
        <v>0</v>
      </c>
      <c r="BD1508">
        <f>IF(COUNT($E$2:$E1508)&lt;20,"",STEYX($E$1409:$E$1508,$F$1409:$F$1508))</f>
        <v>0</v>
      </c>
      <c r="BE1508">
        <f>IF($E1508="","",IF(AND(COUNT($E$1509:$E$1512)&gt;=4,$C1508=MAX($C$1504:$C$1512)),$C1508,""))</f>
        <v>0</v>
      </c>
      <c r="BF1508">
        <f>IF($E1508="","",IF(AND(COUNT($E$1509:$E$1512)&gt;=4,$D1508=MIN($D$1504:$D$1512)),$D1508,""))</f>
        <v>0</v>
      </c>
      <c r="BG1508">
        <f>IF($A1508="","",$A1508-WEEKDAY($A1508,2)+1)</f>
        <v>0</v>
      </c>
      <c r="BH1508">
        <f>IF($A1508="","",IF($A1507="",1,IF(BG1508&lt;&gt;BG1507,1,0)))</f>
        <v>0</v>
      </c>
      <c r="BI1508">
        <f>IF($A1508="","",IF($A1509="",1,IF(BG1509&lt;&gt;BG1508,1,0)))</f>
        <v>0</v>
      </c>
      <c r="BJ1508">
        <f>IF($A1508="","",IF(BH1508=1,$B1508,BJ1507))</f>
        <v>0</v>
      </c>
      <c r="BK1508">
        <f>IF($A1508="","",IF(BH1508=1,$C1508,MAX($C1508,BK1507)))</f>
        <v>0</v>
      </c>
      <c r="BL1508">
        <f>IF($A1508="","",IF(BH1508=1,$D1508,MIN($D1508,BL1507)))</f>
        <v>0</v>
      </c>
      <c r="BM1508">
        <f>IF($A1508="","",IF(BI1508=1,F1508,""))</f>
        <v>0</v>
      </c>
      <c r="BN1508">
        <f>IF($A1508="","",DATE(YEAR($A1508),MONTH($A1508),1))</f>
        <v>0</v>
      </c>
      <c r="BO1508">
        <f>IF($A1508="","",IF($A1507="",1,IF(BN1508&lt;&gt;BN1507,1,0)))</f>
        <v>0</v>
      </c>
      <c r="BP1508">
        <f>IF($A1508="","",IF($A1509="",1,IF(BN1509&lt;&gt;BN1508,1,0)))</f>
        <v>0</v>
      </c>
      <c r="BQ1508">
        <f>IF($A1508="","",IF(BO1508=1,$B1508,BQ1507))</f>
        <v>0</v>
      </c>
      <c r="BR1508">
        <f>IF($A1508="","",IF(BO1508=1,$C1508,MAX($C1508,BR1507)))</f>
        <v>0</v>
      </c>
      <c r="BS1508">
        <f>IF($A1508="","",IF(BO1508=1,$D1508,MIN($D1508,BS1507)))</f>
        <v>0</v>
      </c>
      <c r="BT1508">
        <f>IF($A1508="","",IF(BP1508=1,F1508,""))</f>
        <v>0</v>
      </c>
    </row>
    <row r="1509" spans="1:72">
      <c r="A1509" s="27">
        <f>IF(Data!$A1509="","",Data!$A1509)</f>
        <v>0</v>
      </c>
      <c r="B1509">
        <f>IF(Data!$B1509="","",Data!$B1509)</f>
        <v>0</v>
      </c>
      <c r="C1509">
        <f>IF(Data!$C1509="","",Data!$C1509)</f>
        <v>0</v>
      </c>
      <c r="D1509">
        <f>IF(Data!$D1509="","",Data!$D1509)</f>
        <v>0</v>
      </c>
      <c r="E1509">
        <f>IF(Data!$E1509="","",Data!$E1509)</f>
        <v>0</v>
      </c>
      <c r="F1509">
        <f>IF($E1509="","",N(F1508)+1)</f>
        <v>0</v>
      </c>
      <c r="G1509">
        <f>IF(OR($E1509="",$E1508=""),"",LN($E1509/$E1508))</f>
        <v>0</v>
      </c>
      <c r="H1509">
        <f>IF($E1509="","",IF($E1508="",$E1509,$E1509*0.0952380952+H1508*0.9047619048))</f>
        <v>0</v>
      </c>
      <c r="I1509">
        <f>IF($E1509="","",IF($E1508="",$E1509,$E1509*0.0392156863+I1508*0.9607843137))</f>
        <v>0</v>
      </c>
      <c r="J1509">
        <f>IF($E1509="","",IF($E1508="",$E1509,$E1509*0.0198019802+J1508*0.9801980198))</f>
        <v>0</v>
      </c>
      <c r="K1509">
        <f>IF($E1509="","",IF($E1508="",$E1509,$E1509*0.0099502488+K1508*0.9900497512))</f>
        <v>0</v>
      </c>
      <c r="L1509">
        <f>IF(OR($E1509="",$E1508=""),"",MAX($E1509-$E1508,0))</f>
        <v>0</v>
      </c>
      <c r="M1509">
        <f>IF(OR($E1509="",$E1508=""),"",MAX($E1508-$E1509,0))</f>
        <v>0</v>
      </c>
      <c r="N1509">
        <f>IF(COUNT($E$2:$E1509)&lt;15,"",IF(AVERAGE($M$1496:$M$1509)=0,100,100-100/(1+AVERAGE($L$1496:$L$1509)/AVERAGE($M$1496:$M$1509))))</f>
        <v>0</v>
      </c>
      <c r="O1509">
        <f>IF($E1509="","",IF($E1508="",$E1509,$E1509*0.1538461538+O1508*0.8461538462))</f>
        <v>0</v>
      </c>
      <c r="P1509">
        <f>IF($E1509="","",IF($E1508="",$E1509,$E1509*0.0740740741+P1508*0.9259259259))</f>
        <v>0</v>
      </c>
      <c r="Q1509">
        <f>IF(OR(O1509="",P1509=""),"",O1509-P1509)</f>
        <v>0</v>
      </c>
      <c r="R1509">
        <f>IF(Q1509="","",IF(R1508="",Q1509,Q1509*0.2000000000+R1508*0.8000000000))</f>
        <v>0</v>
      </c>
      <c r="S1509">
        <f>IF(OR(Q1509="",R1509=""),"",Q1509-R1509)</f>
        <v>0</v>
      </c>
      <c r="T1509">
        <f>IF(COUNT($E$2:$E1509)&lt;14,"",MAX($C$1496:$C$1509))</f>
        <v>0</v>
      </c>
      <c r="U1509">
        <f>IF(COUNT($E$2:$E1509)&lt;14,"",MIN($D$1496:$D$1509))</f>
        <v>0</v>
      </c>
      <c r="V1509">
        <f>IF(OR(T1509="",U1509="",T1509=U1509),"",100*($E1509-U1509)/(T1509-U1509))</f>
        <v>0</v>
      </c>
      <c r="W1509">
        <f>IF(COUNT($V$1507:$V$1509)&lt;3,"",AVERAGE($V$1507:$V$1509))</f>
        <v>0</v>
      </c>
      <c r="X1509">
        <f>IF(COUNT($N$1496:$N$1509)&lt;14,"",MIN($N$1496:$N$1509))</f>
        <v>0</v>
      </c>
      <c r="Y1509">
        <f>IF(COUNT($N$1496:$N$1509)&lt;14,"",MAX($N$1496:$N$1509))</f>
        <v>0</v>
      </c>
      <c r="Z1509">
        <f>IF(OR(N1509="",X1509="",Y1509="",Y1509=X1509),"",100*(N1509-X1509)/(Y1509-X1509))</f>
        <v>0</v>
      </c>
      <c r="AA1509">
        <f>IF(COUNT($Z$1507:$Z$1509)&lt;3,"",AVERAGE($Z$1507:$Z$1509))</f>
        <v>0</v>
      </c>
      <c r="AB1509">
        <f>IF(COUNT($AA$1507:$AA$1509)&lt;3,"",AVERAGE($AA$1507:$AA$1509))</f>
        <v>0</v>
      </c>
      <c r="AC1509">
        <f>IF($E1509="","",MAX($C1509-$D1509,ABS($C1509-$E1508),ABS($D1509-$E1508)))</f>
        <v>0</v>
      </c>
      <c r="AD1509">
        <f>IF(COUNT($E$2:$E1509)&lt;15,"",AVERAGE($AC$1496:$AC$1509))</f>
        <v>0</v>
      </c>
      <c r="AE1509">
        <f>IF(OR($E1509="",$E1508=""),"",IF(AND(($C1509-$C1508)&gt;($D1508-$D1509),($C1509-$C1508)&gt;0),$C1509-$C1508,0))</f>
        <v>0</v>
      </c>
      <c r="AF1509">
        <f>IF(OR($E1509="",$E1508=""),"",IF(AND(($D1508-$D1509)&gt;($C1509-$C1508),($D1508-$D1509)&gt;0),$D1508-$D1509,0))</f>
        <v>0</v>
      </c>
      <c r="AG1509">
        <f>IF(COUNT($E$2:$E1509)&lt;15,"",IF(SUM($AC$1496:$AC$1509)=0,0,100*SUM($AE$1496:$AE$1509)/SUM($AC$1496:$AC$1509)))</f>
        <v>0</v>
      </c>
      <c r="AH1509">
        <f>IF(COUNT($E$2:$E1509)&lt;15,"",IF(SUM($AC$1496:$AC$1509)=0,0,100*SUM($AF$1496:$AF$1509)/SUM($AC$1496:$AC$1509)))</f>
        <v>0</v>
      </c>
      <c r="AI1509">
        <f>IF(OR(AG1509="",AH1509=""),"",IF((AG1509+AH1509)=0,0,100*ABS(AG1509-AH1509)/(AG1509+AH1509)))</f>
        <v>0</v>
      </c>
      <c r="AJ1509">
        <f>IF(COUNT($AI$1496:$AI$1509)&lt;14,"",AVERAGE($AI$1496:$AI$1509))</f>
        <v>0</v>
      </c>
      <c r="AK1509">
        <f>IF(COUNT($E$2:$E1509)&lt;20,"",AVERAGE($E$1490:$E$1509))</f>
        <v>0</v>
      </c>
      <c r="AL1509">
        <f>IF(COUNT($E$2:$E1509)&lt;20,"",STDEVP($E$1490:$E$1509))</f>
        <v>0</v>
      </c>
      <c r="AM1509">
        <f>IF(AK1509="","",AK1509+2*AL1509)</f>
        <v>0</v>
      </c>
      <c r="AN1509">
        <f>IF(AK1509="","",AK1509-2*AL1509)</f>
        <v>0</v>
      </c>
      <c r="AO1509">
        <f>IF(OR(AM1509="",AN1509="",AM1509=AN1509),"",($E1509-AN1509)/(AM1509-AN1509))</f>
        <v>0</v>
      </c>
      <c r="AP1509">
        <f>IF(OR(AM1509="",AK1509="",AK1509=0),"",(AM1509-AN1509)/AK1509)</f>
        <v>0</v>
      </c>
      <c r="AQ1509">
        <f>IF(COUNT($E$2:$E1509)&lt;20,"",MAX($C$1490:$C$1509))</f>
        <v>0</v>
      </c>
      <c r="AR1509">
        <f>IF(COUNT($E$2:$E1509)&lt;20,"",MIN($D$1490:$D$1509))</f>
        <v>0</v>
      </c>
      <c r="AS1509">
        <f>IF(OR(AQ1509="",AR1509=""),"",(AQ1509+AR1509)/2)</f>
        <v>0</v>
      </c>
      <c r="AT1509">
        <f>IF(COUNT($G$1490:$G$1509)&lt;20,"",STDEV($G$1490:$G$1509)*SQRT(252))</f>
        <v>0</v>
      </c>
      <c r="AU1509">
        <f>IF(COUNT($E$2:$E1509)&lt;9,"",(MAX($C$1501:$C$1509)+MIN($D$1501:$D$1509))/2)</f>
        <v>0</v>
      </c>
      <c r="AV1509">
        <f>IF(COUNT($E$2:$E1509)&lt;26,"",(MAX($C$1484:$C$1509)+MIN($D$1484:$D$1509))/2)</f>
        <v>0</v>
      </c>
      <c r="AW1509">
        <f>IF(OR(AU1509="",AV1509=""),"",(AU1509+AV1509)/2)</f>
        <v>0</v>
      </c>
      <c r="AX1509">
        <f>IF(COUNT($E$2:$E1509)&lt;52,"",(MAX($C$1458:$C$1509)+MIN($D$1458:$D$1509))/2)</f>
        <v>0</v>
      </c>
      <c r="AY1509">
        <f>IF(COUNT($E$2:$E1509)&lt;20,"",MAX($C$1410:$C$1509))</f>
        <v>0</v>
      </c>
      <c r="AZ1509">
        <f>IF(COUNT($E$2:$E1509)&lt;20,"",MIN($D$1410:$D$1509))</f>
        <v>0</v>
      </c>
      <c r="BA1509">
        <f>IF(COUNT($E$2:$E1509)&lt;20,"",SLOPE($E$1410:$E$1509,$F$1410:$F$1509))</f>
        <v>0</v>
      </c>
      <c r="BB1509">
        <f>IF(COUNT($E$2:$E1509)&lt;20,"",INTERCEPT($E$1410:$E$1509,$F$1410:$F$1509))</f>
        <v>0</v>
      </c>
      <c r="BC1509">
        <f>IF(OR(BA1509="",BB1509=""),"",BB1509+BA1509*F1509)</f>
        <v>0</v>
      </c>
      <c r="BD1509">
        <f>IF(COUNT($E$2:$E1509)&lt;20,"",STEYX($E$1410:$E$1509,$F$1410:$F$1509))</f>
        <v>0</v>
      </c>
      <c r="BE1509">
        <f>IF($E1509="","",IF(AND(COUNT($E$1510:$E$1513)&gt;=4,$C1509=MAX($C$1505:$C$1513)),$C1509,""))</f>
        <v>0</v>
      </c>
      <c r="BF1509">
        <f>IF($E1509="","",IF(AND(COUNT($E$1510:$E$1513)&gt;=4,$D1509=MIN($D$1505:$D$1513)),$D1509,""))</f>
        <v>0</v>
      </c>
      <c r="BG1509">
        <f>IF($A1509="","",$A1509-WEEKDAY($A1509,2)+1)</f>
        <v>0</v>
      </c>
      <c r="BH1509">
        <f>IF($A1509="","",IF($A1508="",1,IF(BG1509&lt;&gt;BG1508,1,0)))</f>
        <v>0</v>
      </c>
      <c r="BI1509">
        <f>IF($A1509="","",IF($A1510="",1,IF(BG1510&lt;&gt;BG1509,1,0)))</f>
        <v>0</v>
      </c>
      <c r="BJ1509">
        <f>IF($A1509="","",IF(BH1509=1,$B1509,BJ1508))</f>
        <v>0</v>
      </c>
      <c r="BK1509">
        <f>IF($A1509="","",IF(BH1509=1,$C1509,MAX($C1509,BK1508)))</f>
        <v>0</v>
      </c>
      <c r="BL1509">
        <f>IF($A1509="","",IF(BH1509=1,$D1509,MIN($D1509,BL1508)))</f>
        <v>0</v>
      </c>
      <c r="BM1509">
        <f>IF($A1509="","",IF(BI1509=1,F1509,""))</f>
        <v>0</v>
      </c>
      <c r="BN1509">
        <f>IF($A1509="","",DATE(YEAR($A1509),MONTH($A1509),1))</f>
        <v>0</v>
      </c>
      <c r="BO1509">
        <f>IF($A1509="","",IF($A1508="",1,IF(BN1509&lt;&gt;BN1508,1,0)))</f>
        <v>0</v>
      </c>
      <c r="BP1509">
        <f>IF($A1509="","",IF($A1510="",1,IF(BN1510&lt;&gt;BN1509,1,0)))</f>
        <v>0</v>
      </c>
      <c r="BQ1509">
        <f>IF($A1509="","",IF(BO1509=1,$B1509,BQ1508))</f>
        <v>0</v>
      </c>
      <c r="BR1509">
        <f>IF($A1509="","",IF(BO1509=1,$C1509,MAX($C1509,BR1508)))</f>
        <v>0</v>
      </c>
      <c r="BS1509">
        <f>IF($A1509="","",IF(BO1509=1,$D1509,MIN($D1509,BS1508)))</f>
        <v>0</v>
      </c>
      <c r="BT1509">
        <f>IF($A1509="","",IF(BP1509=1,F1509,""))</f>
        <v>0</v>
      </c>
    </row>
    <row r="1510" spans="1:72">
      <c r="A1510" s="27">
        <f>IF(Data!$A1510="","",Data!$A1510)</f>
        <v>0</v>
      </c>
      <c r="B1510">
        <f>IF(Data!$B1510="","",Data!$B1510)</f>
        <v>0</v>
      </c>
      <c r="C1510">
        <f>IF(Data!$C1510="","",Data!$C1510)</f>
        <v>0</v>
      </c>
      <c r="D1510">
        <f>IF(Data!$D1510="","",Data!$D1510)</f>
        <v>0</v>
      </c>
      <c r="E1510">
        <f>IF(Data!$E1510="","",Data!$E1510)</f>
        <v>0</v>
      </c>
      <c r="F1510">
        <f>IF($E1510="","",N(F1509)+1)</f>
        <v>0</v>
      </c>
      <c r="G1510">
        <f>IF(OR($E1510="",$E1509=""),"",LN($E1510/$E1509))</f>
        <v>0</v>
      </c>
      <c r="H1510">
        <f>IF($E1510="","",IF($E1509="",$E1510,$E1510*0.0952380952+H1509*0.9047619048))</f>
        <v>0</v>
      </c>
      <c r="I1510">
        <f>IF($E1510="","",IF($E1509="",$E1510,$E1510*0.0392156863+I1509*0.9607843137))</f>
        <v>0</v>
      </c>
      <c r="J1510">
        <f>IF($E1510="","",IF($E1509="",$E1510,$E1510*0.0198019802+J1509*0.9801980198))</f>
        <v>0</v>
      </c>
      <c r="K1510">
        <f>IF($E1510="","",IF($E1509="",$E1510,$E1510*0.0099502488+K1509*0.9900497512))</f>
        <v>0</v>
      </c>
      <c r="L1510">
        <f>IF(OR($E1510="",$E1509=""),"",MAX($E1510-$E1509,0))</f>
        <v>0</v>
      </c>
      <c r="M1510">
        <f>IF(OR($E1510="",$E1509=""),"",MAX($E1509-$E1510,0))</f>
        <v>0</v>
      </c>
      <c r="N1510">
        <f>IF(COUNT($E$2:$E1510)&lt;15,"",IF(AVERAGE($M$1497:$M$1510)=0,100,100-100/(1+AVERAGE($L$1497:$L$1510)/AVERAGE($M$1497:$M$1510))))</f>
        <v>0</v>
      </c>
      <c r="O1510">
        <f>IF($E1510="","",IF($E1509="",$E1510,$E1510*0.1538461538+O1509*0.8461538462))</f>
        <v>0</v>
      </c>
      <c r="P1510">
        <f>IF($E1510="","",IF($E1509="",$E1510,$E1510*0.0740740741+P1509*0.9259259259))</f>
        <v>0</v>
      </c>
      <c r="Q1510">
        <f>IF(OR(O1510="",P1510=""),"",O1510-P1510)</f>
        <v>0</v>
      </c>
      <c r="R1510">
        <f>IF(Q1510="","",IF(R1509="",Q1510,Q1510*0.2000000000+R1509*0.8000000000))</f>
        <v>0</v>
      </c>
      <c r="S1510">
        <f>IF(OR(Q1510="",R1510=""),"",Q1510-R1510)</f>
        <v>0</v>
      </c>
      <c r="T1510">
        <f>IF(COUNT($E$2:$E1510)&lt;14,"",MAX($C$1497:$C$1510))</f>
        <v>0</v>
      </c>
      <c r="U1510">
        <f>IF(COUNT($E$2:$E1510)&lt;14,"",MIN($D$1497:$D$1510))</f>
        <v>0</v>
      </c>
      <c r="V1510">
        <f>IF(OR(T1510="",U1510="",T1510=U1510),"",100*($E1510-U1510)/(T1510-U1510))</f>
        <v>0</v>
      </c>
      <c r="W1510">
        <f>IF(COUNT($V$1508:$V$1510)&lt;3,"",AVERAGE($V$1508:$V$1510))</f>
        <v>0</v>
      </c>
      <c r="X1510">
        <f>IF(COUNT($N$1497:$N$1510)&lt;14,"",MIN($N$1497:$N$1510))</f>
        <v>0</v>
      </c>
      <c r="Y1510">
        <f>IF(COUNT($N$1497:$N$1510)&lt;14,"",MAX($N$1497:$N$1510))</f>
        <v>0</v>
      </c>
      <c r="Z1510">
        <f>IF(OR(N1510="",X1510="",Y1510="",Y1510=X1510),"",100*(N1510-X1510)/(Y1510-X1510))</f>
        <v>0</v>
      </c>
      <c r="AA1510">
        <f>IF(COUNT($Z$1508:$Z$1510)&lt;3,"",AVERAGE($Z$1508:$Z$1510))</f>
        <v>0</v>
      </c>
      <c r="AB1510">
        <f>IF(COUNT($AA$1508:$AA$1510)&lt;3,"",AVERAGE($AA$1508:$AA$1510))</f>
        <v>0</v>
      </c>
      <c r="AC1510">
        <f>IF($E1510="","",MAX($C1510-$D1510,ABS($C1510-$E1509),ABS($D1510-$E1509)))</f>
        <v>0</v>
      </c>
      <c r="AD1510">
        <f>IF(COUNT($E$2:$E1510)&lt;15,"",AVERAGE($AC$1497:$AC$1510))</f>
        <v>0</v>
      </c>
      <c r="AE1510">
        <f>IF(OR($E1510="",$E1509=""),"",IF(AND(($C1510-$C1509)&gt;($D1509-$D1510),($C1510-$C1509)&gt;0),$C1510-$C1509,0))</f>
        <v>0</v>
      </c>
      <c r="AF1510">
        <f>IF(OR($E1510="",$E1509=""),"",IF(AND(($D1509-$D1510)&gt;($C1510-$C1509),($D1509-$D1510)&gt;0),$D1509-$D1510,0))</f>
        <v>0</v>
      </c>
      <c r="AG1510">
        <f>IF(COUNT($E$2:$E1510)&lt;15,"",IF(SUM($AC$1497:$AC$1510)=0,0,100*SUM($AE$1497:$AE$1510)/SUM($AC$1497:$AC$1510)))</f>
        <v>0</v>
      </c>
      <c r="AH1510">
        <f>IF(COUNT($E$2:$E1510)&lt;15,"",IF(SUM($AC$1497:$AC$1510)=0,0,100*SUM($AF$1497:$AF$1510)/SUM($AC$1497:$AC$1510)))</f>
        <v>0</v>
      </c>
      <c r="AI1510">
        <f>IF(OR(AG1510="",AH1510=""),"",IF((AG1510+AH1510)=0,0,100*ABS(AG1510-AH1510)/(AG1510+AH1510)))</f>
        <v>0</v>
      </c>
      <c r="AJ1510">
        <f>IF(COUNT($AI$1497:$AI$1510)&lt;14,"",AVERAGE($AI$1497:$AI$1510))</f>
        <v>0</v>
      </c>
      <c r="AK1510">
        <f>IF(COUNT($E$2:$E1510)&lt;20,"",AVERAGE($E$1491:$E$1510))</f>
        <v>0</v>
      </c>
      <c r="AL1510">
        <f>IF(COUNT($E$2:$E1510)&lt;20,"",STDEVP($E$1491:$E$1510))</f>
        <v>0</v>
      </c>
      <c r="AM1510">
        <f>IF(AK1510="","",AK1510+2*AL1510)</f>
        <v>0</v>
      </c>
      <c r="AN1510">
        <f>IF(AK1510="","",AK1510-2*AL1510)</f>
        <v>0</v>
      </c>
      <c r="AO1510">
        <f>IF(OR(AM1510="",AN1510="",AM1510=AN1510),"",($E1510-AN1510)/(AM1510-AN1510))</f>
        <v>0</v>
      </c>
      <c r="AP1510">
        <f>IF(OR(AM1510="",AK1510="",AK1510=0),"",(AM1510-AN1510)/AK1510)</f>
        <v>0</v>
      </c>
      <c r="AQ1510">
        <f>IF(COUNT($E$2:$E1510)&lt;20,"",MAX($C$1491:$C$1510))</f>
        <v>0</v>
      </c>
      <c r="AR1510">
        <f>IF(COUNT($E$2:$E1510)&lt;20,"",MIN($D$1491:$D$1510))</f>
        <v>0</v>
      </c>
      <c r="AS1510">
        <f>IF(OR(AQ1510="",AR1510=""),"",(AQ1510+AR1510)/2)</f>
        <v>0</v>
      </c>
      <c r="AT1510">
        <f>IF(COUNT($G$1491:$G$1510)&lt;20,"",STDEV($G$1491:$G$1510)*SQRT(252))</f>
        <v>0</v>
      </c>
      <c r="AU1510">
        <f>IF(COUNT($E$2:$E1510)&lt;9,"",(MAX($C$1502:$C$1510)+MIN($D$1502:$D$1510))/2)</f>
        <v>0</v>
      </c>
      <c r="AV1510">
        <f>IF(COUNT($E$2:$E1510)&lt;26,"",(MAX($C$1485:$C$1510)+MIN($D$1485:$D$1510))/2)</f>
        <v>0</v>
      </c>
      <c r="AW1510">
        <f>IF(OR(AU1510="",AV1510=""),"",(AU1510+AV1510)/2)</f>
        <v>0</v>
      </c>
      <c r="AX1510">
        <f>IF(COUNT($E$2:$E1510)&lt;52,"",(MAX($C$1459:$C$1510)+MIN($D$1459:$D$1510))/2)</f>
        <v>0</v>
      </c>
      <c r="AY1510">
        <f>IF(COUNT($E$2:$E1510)&lt;20,"",MAX($C$1411:$C$1510))</f>
        <v>0</v>
      </c>
      <c r="AZ1510">
        <f>IF(COUNT($E$2:$E1510)&lt;20,"",MIN($D$1411:$D$1510))</f>
        <v>0</v>
      </c>
      <c r="BA1510">
        <f>IF(COUNT($E$2:$E1510)&lt;20,"",SLOPE($E$1411:$E$1510,$F$1411:$F$1510))</f>
        <v>0</v>
      </c>
      <c r="BB1510">
        <f>IF(COUNT($E$2:$E1510)&lt;20,"",INTERCEPT($E$1411:$E$1510,$F$1411:$F$1510))</f>
        <v>0</v>
      </c>
      <c r="BC1510">
        <f>IF(OR(BA1510="",BB1510=""),"",BB1510+BA1510*F1510)</f>
        <v>0</v>
      </c>
      <c r="BD1510">
        <f>IF(COUNT($E$2:$E1510)&lt;20,"",STEYX($E$1411:$E$1510,$F$1411:$F$1510))</f>
        <v>0</v>
      </c>
      <c r="BE1510">
        <f>IF($E1510="","",IF(AND(COUNT($E$1511:$E$1514)&gt;=4,$C1510=MAX($C$1506:$C$1514)),$C1510,""))</f>
        <v>0</v>
      </c>
      <c r="BF1510">
        <f>IF($E1510="","",IF(AND(COUNT($E$1511:$E$1514)&gt;=4,$D1510=MIN($D$1506:$D$1514)),$D1510,""))</f>
        <v>0</v>
      </c>
      <c r="BG1510">
        <f>IF($A1510="","",$A1510-WEEKDAY($A1510,2)+1)</f>
        <v>0</v>
      </c>
      <c r="BH1510">
        <f>IF($A1510="","",IF($A1509="",1,IF(BG1510&lt;&gt;BG1509,1,0)))</f>
        <v>0</v>
      </c>
      <c r="BI1510">
        <f>IF($A1510="","",IF($A1511="",1,IF(BG1511&lt;&gt;BG1510,1,0)))</f>
        <v>0</v>
      </c>
      <c r="BJ1510">
        <f>IF($A1510="","",IF(BH1510=1,$B1510,BJ1509))</f>
        <v>0</v>
      </c>
      <c r="BK1510">
        <f>IF($A1510="","",IF(BH1510=1,$C1510,MAX($C1510,BK1509)))</f>
        <v>0</v>
      </c>
      <c r="BL1510">
        <f>IF($A1510="","",IF(BH1510=1,$D1510,MIN($D1510,BL1509)))</f>
        <v>0</v>
      </c>
      <c r="BM1510">
        <f>IF($A1510="","",IF(BI1510=1,F1510,""))</f>
        <v>0</v>
      </c>
      <c r="BN1510">
        <f>IF($A1510="","",DATE(YEAR($A1510),MONTH($A1510),1))</f>
        <v>0</v>
      </c>
      <c r="BO1510">
        <f>IF($A1510="","",IF($A1509="",1,IF(BN1510&lt;&gt;BN1509,1,0)))</f>
        <v>0</v>
      </c>
      <c r="BP1510">
        <f>IF($A1510="","",IF($A1511="",1,IF(BN1511&lt;&gt;BN1510,1,0)))</f>
        <v>0</v>
      </c>
      <c r="BQ1510">
        <f>IF($A1510="","",IF(BO1510=1,$B1510,BQ1509))</f>
        <v>0</v>
      </c>
      <c r="BR1510">
        <f>IF($A1510="","",IF(BO1510=1,$C1510,MAX($C1510,BR1509)))</f>
        <v>0</v>
      </c>
      <c r="BS1510">
        <f>IF($A1510="","",IF(BO1510=1,$D1510,MIN($D1510,BS1509)))</f>
        <v>0</v>
      </c>
      <c r="BT1510">
        <f>IF($A1510="","",IF(BP1510=1,F1510,""))</f>
        <v>0</v>
      </c>
    </row>
    <row r="1511" spans="1:72">
      <c r="A1511" s="27">
        <f>IF(Data!$A1511="","",Data!$A1511)</f>
        <v>0</v>
      </c>
      <c r="B1511">
        <f>IF(Data!$B1511="","",Data!$B1511)</f>
        <v>0</v>
      </c>
      <c r="C1511">
        <f>IF(Data!$C1511="","",Data!$C1511)</f>
        <v>0</v>
      </c>
      <c r="D1511">
        <f>IF(Data!$D1511="","",Data!$D1511)</f>
        <v>0</v>
      </c>
      <c r="E1511">
        <f>IF(Data!$E1511="","",Data!$E1511)</f>
        <v>0</v>
      </c>
      <c r="F1511">
        <f>IF($E1511="","",N(F1510)+1)</f>
        <v>0</v>
      </c>
      <c r="G1511">
        <f>IF(OR($E1511="",$E1510=""),"",LN($E1511/$E1510))</f>
        <v>0</v>
      </c>
      <c r="H1511">
        <f>IF($E1511="","",IF($E1510="",$E1511,$E1511*0.0952380952+H1510*0.9047619048))</f>
        <v>0</v>
      </c>
      <c r="I1511">
        <f>IF($E1511="","",IF($E1510="",$E1511,$E1511*0.0392156863+I1510*0.9607843137))</f>
        <v>0</v>
      </c>
      <c r="J1511">
        <f>IF($E1511="","",IF($E1510="",$E1511,$E1511*0.0198019802+J1510*0.9801980198))</f>
        <v>0</v>
      </c>
      <c r="K1511">
        <f>IF($E1511="","",IF($E1510="",$E1511,$E1511*0.0099502488+K1510*0.9900497512))</f>
        <v>0</v>
      </c>
      <c r="L1511">
        <f>IF(OR($E1511="",$E1510=""),"",MAX($E1511-$E1510,0))</f>
        <v>0</v>
      </c>
      <c r="M1511">
        <f>IF(OR($E1511="",$E1510=""),"",MAX($E1510-$E1511,0))</f>
        <v>0</v>
      </c>
      <c r="N1511">
        <f>IF(COUNT($E$2:$E1511)&lt;15,"",IF(AVERAGE($M$1498:$M$1511)=0,100,100-100/(1+AVERAGE($L$1498:$L$1511)/AVERAGE($M$1498:$M$1511))))</f>
        <v>0</v>
      </c>
      <c r="O1511">
        <f>IF($E1511="","",IF($E1510="",$E1511,$E1511*0.1538461538+O1510*0.8461538462))</f>
        <v>0</v>
      </c>
      <c r="P1511">
        <f>IF($E1511="","",IF($E1510="",$E1511,$E1511*0.0740740741+P1510*0.9259259259))</f>
        <v>0</v>
      </c>
      <c r="Q1511">
        <f>IF(OR(O1511="",P1511=""),"",O1511-P1511)</f>
        <v>0</v>
      </c>
      <c r="R1511">
        <f>IF(Q1511="","",IF(R1510="",Q1511,Q1511*0.2000000000+R1510*0.8000000000))</f>
        <v>0</v>
      </c>
      <c r="S1511">
        <f>IF(OR(Q1511="",R1511=""),"",Q1511-R1511)</f>
        <v>0</v>
      </c>
      <c r="T1511">
        <f>IF(COUNT($E$2:$E1511)&lt;14,"",MAX($C$1498:$C$1511))</f>
        <v>0</v>
      </c>
      <c r="U1511">
        <f>IF(COUNT($E$2:$E1511)&lt;14,"",MIN($D$1498:$D$1511))</f>
        <v>0</v>
      </c>
      <c r="V1511">
        <f>IF(OR(T1511="",U1511="",T1511=U1511),"",100*($E1511-U1511)/(T1511-U1511))</f>
        <v>0</v>
      </c>
      <c r="W1511">
        <f>IF(COUNT($V$1509:$V$1511)&lt;3,"",AVERAGE($V$1509:$V$1511))</f>
        <v>0</v>
      </c>
      <c r="X1511">
        <f>IF(COUNT($N$1498:$N$1511)&lt;14,"",MIN($N$1498:$N$1511))</f>
        <v>0</v>
      </c>
      <c r="Y1511">
        <f>IF(COUNT($N$1498:$N$1511)&lt;14,"",MAX($N$1498:$N$1511))</f>
        <v>0</v>
      </c>
      <c r="Z1511">
        <f>IF(OR(N1511="",X1511="",Y1511="",Y1511=X1511),"",100*(N1511-X1511)/(Y1511-X1511))</f>
        <v>0</v>
      </c>
      <c r="AA1511">
        <f>IF(COUNT($Z$1509:$Z$1511)&lt;3,"",AVERAGE($Z$1509:$Z$1511))</f>
        <v>0</v>
      </c>
      <c r="AB1511">
        <f>IF(COUNT($AA$1509:$AA$1511)&lt;3,"",AVERAGE($AA$1509:$AA$1511))</f>
        <v>0</v>
      </c>
      <c r="AC1511">
        <f>IF($E1511="","",MAX($C1511-$D1511,ABS($C1511-$E1510),ABS($D1511-$E1510)))</f>
        <v>0</v>
      </c>
      <c r="AD1511">
        <f>IF(COUNT($E$2:$E1511)&lt;15,"",AVERAGE($AC$1498:$AC$1511))</f>
        <v>0</v>
      </c>
      <c r="AE1511">
        <f>IF(OR($E1511="",$E1510=""),"",IF(AND(($C1511-$C1510)&gt;($D1510-$D1511),($C1511-$C1510)&gt;0),$C1511-$C1510,0))</f>
        <v>0</v>
      </c>
      <c r="AF1511">
        <f>IF(OR($E1511="",$E1510=""),"",IF(AND(($D1510-$D1511)&gt;($C1511-$C1510),($D1510-$D1511)&gt;0),$D1510-$D1511,0))</f>
        <v>0</v>
      </c>
      <c r="AG1511">
        <f>IF(COUNT($E$2:$E1511)&lt;15,"",IF(SUM($AC$1498:$AC$1511)=0,0,100*SUM($AE$1498:$AE$1511)/SUM($AC$1498:$AC$1511)))</f>
        <v>0</v>
      </c>
      <c r="AH1511">
        <f>IF(COUNT($E$2:$E1511)&lt;15,"",IF(SUM($AC$1498:$AC$1511)=0,0,100*SUM($AF$1498:$AF$1511)/SUM($AC$1498:$AC$1511)))</f>
        <v>0</v>
      </c>
      <c r="AI1511">
        <f>IF(OR(AG1511="",AH1511=""),"",IF((AG1511+AH1511)=0,0,100*ABS(AG1511-AH1511)/(AG1511+AH1511)))</f>
        <v>0</v>
      </c>
      <c r="AJ1511">
        <f>IF(COUNT($AI$1498:$AI$1511)&lt;14,"",AVERAGE($AI$1498:$AI$1511))</f>
        <v>0</v>
      </c>
      <c r="AK1511">
        <f>IF(COUNT($E$2:$E1511)&lt;20,"",AVERAGE($E$1492:$E$1511))</f>
        <v>0</v>
      </c>
      <c r="AL1511">
        <f>IF(COUNT($E$2:$E1511)&lt;20,"",STDEVP($E$1492:$E$1511))</f>
        <v>0</v>
      </c>
      <c r="AM1511">
        <f>IF(AK1511="","",AK1511+2*AL1511)</f>
        <v>0</v>
      </c>
      <c r="AN1511">
        <f>IF(AK1511="","",AK1511-2*AL1511)</f>
        <v>0</v>
      </c>
      <c r="AO1511">
        <f>IF(OR(AM1511="",AN1511="",AM1511=AN1511),"",($E1511-AN1511)/(AM1511-AN1511))</f>
        <v>0</v>
      </c>
      <c r="AP1511">
        <f>IF(OR(AM1511="",AK1511="",AK1511=0),"",(AM1511-AN1511)/AK1511)</f>
        <v>0</v>
      </c>
      <c r="AQ1511">
        <f>IF(COUNT($E$2:$E1511)&lt;20,"",MAX($C$1492:$C$1511))</f>
        <v>0</v>
      </c>
      <c r="AR1511">
        <f>IF(COUNT($E$2:$E1511)&lt;20,"",MIN($D$1492:$D$1511))</f>
        <v>0</v>
      </c>
      <c r="AS1511">
        <f>IF(OR(AQ1511="",AR1511=""),"",(AQ1511+AR1511)/2)</f>
        <v>0</v>
      </c>
      <c r="AT1511">
        <f>IF(COUNT($G$1492:$G$1511)&lt;20,"",STDEV($G$1492:$G$1511)*SQRT(252))</f>
        <v>0</v>
      </c>
      <c r="AU1511">
        <f>IF(COUNT($E$2:$E1511)&lt;9,"",(MAX($C$1503:$C$1511)+MIN($D$1503:$D$1511))/2)</f>
        <v>0</v>
      </c>
      <c r="AV1511">
        <f>IF(COUNT($E$2:$E1511)&lt;26,"",(MAX($C$1486:$C$1511)+MIN($D$1486:$D$1511))/2)</f>
        <v>0</v>
      </c>
      <c r="AW1511">
        <f>IF(OR(AU1511="",AV1511=""),"",(AU1511+AV1511)/2)</f>
        <v>0</v>
      </c>
      <c r="AX1511">
        <f>IF(COUNT($E$2:$E1511)&lt;52,"",(MAX($C$1460:$C$1511)+MIN($D$1460:$D$1511))/2)</f>
        <v>0</v>
      </c>
      <c r="AY1511">
        <f>IF(COUNT($E$2:$E1511)&lt;20,"",MAX($C$1412:$C$1511))</f>
        <v>0</v>
      </c>
      <c r="AZ1511">
        <f>IF(COUNT($E$2:$E1511)&lt;20,"",MIN($D$1412:$D$1511))</f>
        <v>0</v>
      </c>
      <c r="BA1511">
        <f>IF(COUNT($E$2:$E1511)&lt;20,"",SLOPE($E$1412:$E$1511,$F$1412:$F$1511))</f>
        <v>0</v>
      </c>
      <c r="BB1511">
        <f>IF(COUNT($E$2:$E1511)&lt;20,"",INTERCEPT($E$1412:$E$1511,$F$1412:$F$1511))</f>
        <v>0</v>
      </c>
      <c r="BC1511">
        <f>IF(OR(BA1511="",BB1511=""),"",BB1511+BA1511*F1511)</f>
        <v>0</v>
      </c>
      <c r="BD1511">
        <f>IF(COUNT($E$2:$E1511)&lt;20,"",STEYX($E$1412:$E$1511,$F$1412:$F$1511))</f>
        <v>0</v>
      </c>
      <c r="BE1511">
        <f>IF($E1511="","",IF(AND(COUNT($E$1512:$E$1515)&gt;=4,$C1511=MAX($C$1507:$C$1515)),$C1511,""))</f>
        <v>0</v>
      </c>
      <c r="BF1511">
        <f>IF($E1511="","",IF(AND(COUNT($E$1512:$E$1515)&gt;=4,$D1511=MIN($D$1507:$D$1515)),$D1511,""))</f>
        <v>0</v>
      </c>
      <c r="BG1511">
        <f>IF($A1511="","",$A1511-WEEKDAY($A1511,2)+1)</f>
        <v>0</v>
      </c>
      <c r="BH1511">
        <f>IF($A1511="","",IF($A1510="",1,IF(BG1511&lt;&gt;BG1510,1,0)))</f>
        <v>0</v>
      </c>
      <c r="BI1511">
        <f>IF($A1511="","",IF($A1512="",1,IF(BG1512&lt;&gt;BG1511,1,0)))</f>
        <v>0</v>
      </c>
      <c r="BJ1511">
        <f>IF($A1511="","",IF(BH1511=1,$B1511,BJ1510))</f>
        <v>0</v>
      </c>
      <c r="BK1511">
        <f>IF($A1511="","",IF(BH1511=1,$C1511,MAX($C1511,BK1510)))</f>
        <v>0</v>
      </c>
      <c r="BL1511">
        <f>IF($A1511="","",IF(BH1511=1,$D1511,MIN($D1511,BL1510)))</f>
        <v>0</v>
      </c>
      <c r="BM1511">
        <f>IF($A1511="","",IF(BI1511=1,F1511,""))</f>
        <v>0</v>
      </c>
      <c r="BN1511">
        <f>IF($A1511="","",DATE(YEAR($A1511),MONTH($A1511),1))</f>
        <v>0</v>
      </c>
      <c r="BO1511">
        <f>IF($A1511="","",IF($A1510="",1,IF(BN1511&lt;&gt;BN1510,1,0)))</f>
        <v>0</v>
      </c>
      <c r="BP1511">
        <f>IF($A1511="","",IF($A1512="",1,IF(BN1512&lt;&gt;BN1511,1,0)))</f>
        <v>0</v>
      </c>
      <c r="BQ1511">
        <f>IF($A1511="","",IF(BO1511=1,$B1511,BQ1510))</f>
        <v>0</v>
      </c>
      <c r="BR1511">
        <f>IF($A1511="","",IF(BO1511=1,$C1511,MAX($C1511,BR1510)))</f>
        <v>0</v>
      </c>
      <c r="BS1511">
        <f>IF($A1511="","",IF(BO1511=1,$D1511,MIN($D1511,BS1510)))</f>
        <v>0</v>
      </c>
      <c r="BT1511">
        <f>IF($A1511="","",IF(BP1511=1,F1511,""))</f>
        <v>0</v>
      </c>
    </row>
    <row r="1512" spans="1:72">
      <c r="A1512" s="27">
        <f>IF(Data!$A1512="","",Data!$A1512)</f>
        <v>0</v>
      </c>
      <c r="B1512">
        <f>IF(Data!$B1512="","",Data!$B1512)</f>
        <v>0</v>
      </c>
      <c r="C1512">
        <f>IF(Data!$C1512="","",Data!$C1512)</f>
        <v>0</v>
      </c>
      <c r="D1512">
        <f>IF(Data!$D1512="","",Data!$D1512)</f>
        <v>0</v>
      </c>
      <c r="E1512">
        <f>IF(Data!$E1512="","",Data!$E1512)</f>
        <v>0</v>
      </c>
      <c r="F1512">
        <f>IF($E1512="","",N(F1511)+1)</f>
        <v>0</v>
      </c>
      <c r="G1512">
        <f>IF(OR($E1512="",$E1511=""),"",LN($E1512/$E1511))</f>
        <v>0</v>
      </c>
      <c r="H1512">
        <f>IF($E1512="","",IF($E1511="",$E1512,$E1512*0.0952380952+H1511*0.9047619048))</f>
        <v>0</v>
      </c>
      <c r="I1512">
        <f>IF($E1512="","",IF($E1511="",$E1512,$E1512*0.0392156863+I1511*0.9607843137))</f>
        <v>0</v>
      </c>
      <c r="J1512">
        <f>IF($E1512="","",IF($E1511="",$E1512,$E1512*0.0198019802+J1511*0.9801980198))</f>
        <v>0</v>
      </c>
      <c r="K1512">
        <f>IF($E1512="","",IF($E1511="",$E1512,$E1512*0.0099502488+K1511*0.9900497512))</f>
        <v>0</v>
      </c>
      <c r="L1512">
        <f>IF(OR($E1512="",$E1511=""),"",MAX($E1512-$E1511,0))</f>
        <v>0</v>
      </c>
      <c r="M1512">
        <f>IF(OR($E1512="",$E1511=""),"",MAX($E1511-$E1512,0))</f>
        <v>0</v>
      </c>
      <c r="N1512">
        <f>IF(COUNT($E$2:$E1512)&lt;15,"",IF(AVERAGE($M$1499:$M$1512)=0,100,100-100/(1+AVERAGE($L$1499:$L$1512)/AVERAGE($M$1499:$M$1512))))</f>
        <v>0</v>
      </c>
      <c r="O1512">
        <f>IF($E1512="","",IF($E1511="",$E1512,$E1512*0.1538461538+O1511*0.8461538462))</f>
        <v>0</v>
      </c>
      <c r="P1512">
        <f>IF($E1512="","",IF($E1511="",$E1512,$E1512*0.0740740741+P1511*0.9259259259))</f>
        <v>0</v>
      </c>
      <c r="Q1512">
        <f>IF(OR(O1512="",P1512=""),"",O1512-P1512)</f>
        <v>0</v>
      </c>
      <c r="R1512">
        <f>IF(Q1512="","",IF(R1511="",Q1512,Q1512*0.2000000000+R1511*0.8000000000))</f>
        <v>0</v>
      </c>
      <c r="S1512">
        <f>IF(OR(Q1512="",R1512=""),"",Q1512-R1512)</f>
        <v>0</v>
      </c>
      <c r="T1512">
        <f>IF(COUNT($E$2:$E1512)&lt;14,"",MAX($C$1499:$C$1512))</f>
        <v>0</v>
      </c>
      <c r="U1512">
        <f>IF(COUNT($E$2:$E1512)&lt;14,"",MIN($D$1499:$D$1512))</f>
        <v>0</v>
      </c>
      <c r="V1512">
        <f>IF(OR(T1512="",U1512="",T1512=U1512),"",100*($E1512-U1512)/(T1512-U1512))</f>
        <v>0</v>
      </c>
      <c r="W1512">
        <f>IF(COUNT($V$1510:$V$1512)&lt;3,"",AVERAGE($V$1510:$V$1512))</f>
        <v>0</v>
      </c>
      <c r="X1512">
        <f>IF(COUNT($N$1499:$N$1512)&lt;14,"",MIN($N$1499:$N$1512))</f>
        <v>0</v>
      </c>
      <c r="Y1512">
        <f>IF(COUNT($N$1499:$N$1512)&lt;14,"",MAX($N$1499:$N$1512))</f>
        <v>0</v>
      </c>
      <c r="Z1512">
        <f>IF(OR(N1512="",X1512="",Y1512="",Y1512=X1512),"",100*(N1512-X1512)/(Y1512-X1512))</f>
        <v>0</v>
      </c>
      <c r="AA1512">
        <f>IF(COUNT($Z$1510:$Z$1512)&lt;3,"",AVERAGE($Z$1510:$Z$1512))</f>
        <v>0</v>
      </c>
      <c r="AB1512">
        <f>IF(COUNT($AA$1510:$AA$1512)&lt;3,"",AVERAGE($AA$1510:$AA$1512))</f>
        <v>0</v>
      </c>
      <c r="AC1512">
        <f>IF($E1512="","",MAX($C1512-$D1512,ABS($C1512-$E1511),ABS($D1512-$E1511)))</f>
        <v>0</v>
      </c>
      <c r="AD1512">
        <f>IF(COUNT($E$2:$E1512)&lt;15,"",AVERAGE($AC$1499:$AC$1512))</f>
        <v>0</v>
      </c>
      <c r="AE1512">
        <f>IF(OR($E1512="",$E1511=""),"",IF(AND(($C1512-$C1511)&gt;($D1511-$D1512),($C1512-$C1511)&gt;0),$C1512-$C1511,0))</f>
        <v>0</v>
      </c>
      <c r="AF1512">
        <f>IF(OR($E1512="",$E1511=""),"",IF(AND(($D1511-$D1512)&gt;($C1512-$C1511),($D1511-$D1512)&gt;0),$D1511-$D1512,0))</f>
        <v>0</v>
      </c>
      <c r="AG1512">
        <f>IF(COUNT($E$2:$E1512)&lt;15,"",IF(SUM($AC$1499:$AC$1512)=0,0,100*SUM($AE$1499:$AE$1512)/SUM($AC$1499:$AC$1512)))</f>
        <v>0</v>
      </c>
      <c r="AH1512">
        <f>IF(COUNT($E$2:$E1512)&lt;15,"",IF(SUM($AC$1499:$AC$1512)=0,0,100*SUM($AF$1499:$AF$1512)/SUM($AC$1499:$AC$1512)))</f>
        <v>0</v>
      </c>
      <c r="AI1512">
        <f>IF(OR(AG1512="",AH1512=""),"",IF((AG1512+AH1512)=0,0,100*ABS(AG1512-AH1512)/(AG1512+AH1512)))</f>
        <v>0</v>
      </c>
      <c r="AJ1512">
        <f>IF(COUNT($AI$1499:$AI$1512)&lt;14,"",AVERAGE($AI$1499:$AI$1512))</f>
        <v>0</v>
      </c>
      <c r="AK1512">
        <f>IF(COUNT($E$2:$E1512)&lt;20,"",AVERAGE($E$1493:$E$1512))</f>
        <v>0</v>
      </c>
      <c r="AL1512">
        <f>IF(COUNT($E$2:$E1512)&lt;20,"",STDEVP($E$1493:$E$1512))</f>
        <v>0</v>
      </c>
      <c r="AM1512">
        <f>IF(AK1512="","",AK1512+2*AL1512)</f>
        <v>0</v>
      </c>
      <c r="AN1512">
        <f>IF(AK1512="","",AK1512-2*AL1512)</f>
        <v>0</v>
      </c>
      <c r="AO1512">
        <f>IF(OR(AM1512="",AN1512="",AM1512=AN1512),"",($E1512-AN1512)/(AM1512-AN1512))</f>
        <v>0</v>
      </c>
      <c r="AP1512">
        <f>IF(OR(AM1512="",AK1512="",AK1512=0),"",(AM1512-AN1512)/AK1512)</f>
        <v>0</v>
      </c>
      <c r="AQ1512">
        <f>IF(COUNT($E$2:$E1512)&lt;20,"",MAX($C$1493:$C$1512))</f>
        <v>0</v>
      </c>
      <c r="AR1512">
        <f>IF(COUNT($E$2:$E1512)&lt;20,"",MIN($D$1493:$D$1512))</f>
        <v>0</v>
      </c>
      <c r="AS1512">
        <f>IF(OR(AQ1512="",AR1512=""),"",(AQ1512+AR1512)/2)</f>
        <v>0</v>
      </c>
      <c r="AT1512">
        <f>IF(COUNT($G$1493:$G$1512)&lt;20,"",STDEV($G$1493:$G$1512)*SQRT(252))</f>
        <v>0</v>
      </c>
      <c r="AU1512">
        <f>IF(COUNT($E$2:$E1512)&lt;9,"",(MAX($C$1504:$C$1512)+MIN($D$1504:$D$1512))/2)</f>
        <v>0</v>
      </c>
      <c r="AV1512">
        <f>IF(COUNT($E$2:$E1512)&lt;26,"",(MAX($C$1487:$C$1512)+MIN($D$1487:$D$1512))/2)</f>
        <v>0</v>
      </c>
      <c r="AW1512">
        <f>IF(OR(AU1512="",AV1512=""),"",(AU1512+AV1512)/2)</f>
        <v>0</v>
      </c>
      <c r="AX1512">
        <f>IF(COUNT($E$2:$E1512)&lt;52,"",(MAX($C$1461:$C$1512)+MIN($D$1461:$D$1512))/2)</f>
        <v>0</v>
      </c>
      <c r="AY1512">
        <f>IF(COUNT($E$2:$E1512)&lt;20,"",MAX($C$1413:$C$1512))</f>
        <v>0</v>
      </c>
      <c r="AZ1512">
        <f>IF(COUNT($E$2:$E1512)&lt;20,"",MIN($D$1413:$D$1512))</f>
        <v>0</v>
      </c>
      <c r="BA1512">
        <f>IF(COUNT($E$2:$E1512)&lt;20,"",SLOPE($E$1413:$E$1512,$F$1413:$F$1512))</f>
        <v>0</v>
      </c>
      <c r="BB1512">
        <f>IF(COUNT($E$2:$E1512)&lt;20,"",INTERCEPT($E$1413:$E$1512,$F$1413:$F$1512))</f>
        <v>0</v>
      </c>
      <c r="BC1512">
        <f>IF(OR(BA1512="",BB1512=""),"",BB1512+BA1512*F1512)</f>
        <v>0</v>
      </c>
      <c r="BD1512">
        <f>IF(COUNT($E$2:$E1512)&lt;20,"",STEYX($E$1413:$E$1512,$F$1413:$F$1512))</f>
        <v>0</v>
      </c>
      <c r="BE1512">
        <f>IF($E1512="","",IF(AND(COUNT($E$1513:$E$1516)&gt;=4,$C1512=MAX($C$1508:$C$1516)),$C1512,""))</f>
        <v>0</v>
      </c>
      <c r="BF1512">
        <f>IF($E1512="","",IF(AND(COUNT($E$1513:$E$1516)&gt;=4,$D1512=MIN($D$1508:$D$1516)),$D1512,""))</f>
        <v>0</v>
      </c>
      <c r="BG1512">
        <f>IF($A1512="","",$A1512-WEEKDAY($A1512,2)+1)</f>
        <v>0</v>
      </c>
      <c r="BH1512">
        <f>IF($A1512="","",IF($A1511="",1,IF(BG1512&lt;&gt;BG1511,1,0)))</f>
        <v>0</v>
      </c>
      <c r="BI1512">
        <f>IF($A1512="","",IF($A1513="",1,IF(BG1513&lt;&gt;BG1512,1,0)))</f>
        <v>0</v>
      </c>
      <c r="BJ1512">
        <f>IF($A1512="","",IF(BH1512=1,$B1512,BJ1511))</f>
        <v>0</v>
      </c>
      <c r="BK1512">
        <f>IF($A1512="","",IF(BH1512=1,$C1512,MAX($C1512,BK1511)))</f>
        <v>0</v>
      </c>
      <c r="BL1512">
        <f>IF($A1512="","",IF(BH1512=1,$D1512,MIN($D1512,BL1511)))</f>
        <v>0</v>
      </c>
      <c r="BM1512">
        <f>IF($A1512="","",IF(BI1512=1,F1512,""))</f>
        <v>0</v>
      </c>
      <c r="BN1512">
        <f>IF($A1512="","",DATE(YEAR($A1512),MONTH($A1512),1))</f>
        <v>0</v>
      </c>
      <c r="BO1512">
        <f>IF($A1512="","",IF($A1511="",1,IF(BN1512&lt;&gt;BN1511,1,0)))</f>
        <v>0</v>
      </c>
      <c r="BP1512">
        <f>IF($A1512="","",IF($A1513="",1,IF(BN1513&lt;&gt;BN1512,1,0)))</f>
        <v>0</v>
      </c>
      <c r="BQ1512">
        <f>IF($A1512="","",IF(BO1512=1,$B1512,BQ1511))</f>
        <v>0</v>
      </c>
      <c r="BR1512">
        <f>IF($A1512="","",IF(BO1512=1,$C1512,MAX($C1512,BR1511)))</f>
        <v>0</v>
      </c>
      <c r="BS1512">
        <f>IF($A1512="","",IF(BO1512=1,$D1512,MIN($D1512,BS1511)))</f>
        <v>0</v>
      </c>
      <c r="BT1512">
        <f>IF($A1512="","",IF(BP1512=1,F1512,""))</f>
        <v>0</v>
      </c>
    </row>
    <row r="1513" spans="1:72">
      <c r="A1513" s="27">
        <f>IF(Data!$A1513="","",Data!$A1513)</f>
        <v>0</v>
      </c>
      <c r="B1513">
        <f>IF(Data!$B1513="","",Data!$B1513)</f>
        <v>0</v>
      </c>
      <c r="C1513">
        <f>IF(Data!$C1513="","",Data!$C1513)</f>
        <v>0</v>
      </c>
      <c r="D1513">
        <f>IF(Data!$D1513="","",Data!$D1513)</f>
        <v>0</v>
      </c>
      <c r="E1513">
        <f>IF(Data!$E1513="","",Data!$E1513)</f>
        <v>0</v>
      </c>
      <c r="F1513">
        <f>IF($E1513="","",N(F1512)+1)</f>
        <v>0</v>
      </c>
      <c r="G1513">
        <f>IF(OR($E1513="",$E1512=""),"",LN($E1513/$E1512))</f>
        <v>0</v>
      </c>
      <c r="H1513">
        <f>IF($E1513="","",IF($E1512="",$E1513,$E1513*0.0952380952+H1512*0.9047619048))</f>
        <v>0</v>
      </c>
      <c r="I1513">
        <f>IF($E1513="","",IF($E1512="",$E1513,$E1513*0.0392156863+I1512*0.9607843137))</f>
        <v>0</v>
      </c>
      <c r="J1513">
        <f>IF($E1513="","",IF($E1512="",$E1513,$E1513*0.0198019802+J1512*0.9801980198))</f>
        <v>0</v>
      </c>
      <c r="K1513">
        <f>IF($E1513="","",IF($E1512="",$E1513,$E1513*0.0099502488+K1512*0.9900497512))</f>
        <v>0</v>
      </c>
      <c r="L1513">
        <f>IF(OR($E1513="",$E1512=""),"",MAX($E1513-$E1512,0))</f>
        <v>0</v>
      </c>
      <c r="M1513">
        <f>IF(OR($E1513="",$E1512=""),"",MAX($E1512-$E1513,0))</f>
        <v>0</v>
      </c>
      <c r="N1513">
        <f>IF(COUNT($E$2:$E1513)&lt;15,"",IF(AVERAGE($M$1500:$M$1513)=0,100,100-100/(1+AVERAGE($L$1500:$L$1513)/AVERAGE($M$1500:$M$1513))))</f>
        <v>0</v>
      </c>
      <c r="O1513">
        <f>IF($E1513="","",IF($E1512="",$E1513,$E1513*0.1538461538+O1512*0.8461538462))</f>
        <v>0</v>
      </c>
      <c r="P1513">
        <f>IF($E1513="","",IF($E1512="",$E1513,$E1513*0.0740740741+P1512*0.9259259259))</f>
        <v>0</v>
      </c>
      <c r="Q1513">
        <f>IF(OR(O1513="",P1513=""),"",O1513-P1513)</f>
        <v>0</v>
      </c>
      <c r="R1513">
        <f>IF(Q1513="","",IF(R1512="",Q1513,Q1513*0.2000000000+R1512*0.8000000000))</f>
        <v>0</v>
      </c>
      <c r="S1513">
        <f>IF(OR(Q1513="",R1513=""),"",Q1513-R1513)</f>
        <v>0</v>
      </c>
      <c r="T1513">
        <f>IF(COUNT($E$2:$E1513)&lt;14,"",MAX($C$1500:$C$1513))</f>
        <v>0</v>
      </c>
      <c r="U1513">
        <f>IF(COUNT($E$2:$E1513)&lt;14,"",MIN($D$1500:$D$1513))</f>
        <v>0</v>
      </c>
      <c r="V1513">
        <f>IF(OR(T1513="",U1513="",T1513=U1513),"",100*($E1513-U1513)/(T1513-U1513))</f>
        <v>0</v>
      </c>
      <c r="W1513">
        <f>IF(COUNT($V$1511:$V$1513)&lt;3,"",AVERAGE($V$1511:$V$1513))</f>
        <v>0</v>
      </c>
      <c r="X1513">
        <f>IF(COUNT($N$1500:$N$1513)&lt;14,"",MIN($N$1500:$N$1513))</f>
        <v>0</v>
      </c>
      <c r="Y1513">
        <f>IF(COUNT($N$1500:$N$1513)&lt;14,"",MAX($N$1500:$N$1513))</f>
        <v>0</v>
      </c>
      <c r="Z1513">
        <f>IF(OR(N1513="",X1513="",Y1513="",Y1513=X1513),"",100*(N1513-X1513)/(Y1513-X1513))</f>
        <v>0</v>
      </c>
      <c r="AA1513">
        <f>IF(COUNT($Z$1511:$Z$1513)&lt;3,"",AVERAGE($Z$1511:$Z$1513))</f>
        <v>0</v>
      </c>
      <c r="AB1513">
        <f>IF(COUNT($AA$1511:$AA$1513)&lt;3,"",AVERAGE($AA$1511:$AA$1513))</f>
        <v>0</v>
      </c>
      <c r="AC1513">
        <f>IF($E1513="","",MAX($C1513-$D1513,ABS($C1513-$E1512),ABS($D1513-$E1512)))</f>
        <v>0</v>
      </c>
      <c r="AD1513">
        <f>IF(COUNT($E$2:$E1513)&lt;15,"",AVERAGE($AC$1500:$AC$1513))</f>
        <v>0</v>
      </c>
      <c r="AE1513">
        <f>IF(OR($E1513="",$E1512=""),"",IF(AND(($C1513-$C1512)&gt;($D1512-$D1513),($C1513-$C1512)&gt;0),$C1513-$C1512,0))</f>
        <v>0</v>
      </c>
      <c r="AF1513">
        <f>IF(OR($E1513="",$E1512=""),"",IF(AND(($D1512-$D1513)&gt;($C1513-$C1512),($D1512-$D1513)&gt;0),$D1512-$D1513,0))</f>
        <v>0</v>
      </c>
      <c r="AG1513">
        <f>IF(COUNT($E$2:$E1513)&lt;15,"",IF(SUM($AC$1500:$AC$1513)=0,0,100*SUM($AE$1500:$AE$1513)/SUM($AC$1500:$AC$1513)))</f>
        <v>0</v>
      </c>
      <c r="AH1513">
        <f>IF(COUNT($E$2:$E1513)&lt;15,"",IF(SUM($AC$1500:$AC$1513)=0,0,100*SUM($AF$1500:$AF$1513)/SUM($AC$1500:$AC$1513)))</f>
        <v>0</v>
      </c>
      <c r="AI1513">
        <f>IF(OR(AG1513="",AH1513=""),"",IF((AG1513+AH1513)=0,0,100*ABS(AG1513-AH1513)/(AG1513+AH1513)))</f>
        <v>0</v>
      </c>
      <c r="AJ1513">
        <f>IF(COUNT($AI$1500:$AI$1513)&lt;14,"",AVERAGE($AI$1500:$AI$1513))</f>
        <v>0</v>
      </c>
      <c r="AK1513">
        <f>IF(COUNT($E$2:$E1513)&lt;20,"",AVERAGE($E$1494:$E$1513))</f>
        <v>0</v>
      </c>
      <c r="AL1513">
        <f>IF(COUNT($E$2:$E1513)&lt;20,"",STDEVP($E$1494:$E$1513))</f>
        <v>0</v>
      </c>
      <c r="AM1513">
        <f>IF(AK1513="","",AK1513+2*AL1513)</f>
        <v>0</v>
      </c>
      <c r="AN1513">
        <f>IF(AK1513="","",AK1513-2*AL1513)</f>
        <v>0</v>
      </c>
      <c r="AO1513">
        <f>IF(OR(AM1513="",AN1513="",AM1513=AN1513),"",($E1513-AN1513)/(AM1513-AN1513))</f>
        <v>0</v>
      </c>
      <c r="AP1513">
        <f>IF(OR(AM1513="",AK1513="",AK1513=0),"",(AM1513-AN1513)/AK1513)</f>
        <v>0</v>
      </c>
      <c r="AQ1513">
        <f>IF(COUNT($E$2:$E1513)&lt;20,"",MAX($C$1494:$C$1513))</f>
        <v>0</v>
      </c>
      <c r="AR1513">
        <f>IF(COUNT($E$2:$E1513)&lt;20,"",MIN($D$1494:$D$1513))</f>
        <v>0</v>
      </c>
      <c r="AS1513">
        <f>IF(OR(AQ1513="",AR1513=""),"",(AQ1513+AR1513)/2)</f>
        <v>0</v>
      </c>
      <c r="AT1513">
        <f>IF(COUNT($G$1494:$G$1513)&lt;20,"",STDEV($G$1494:$G$1513)*SQRT(252))</f>
        <v>0</v>
      </c>
      <c r="AU1513">
        <f>IF(COUNT($E$2:$E1513)&lt;9,"",(MAX($C$1505:$C$1513)+MIN($D$1505:$D$1513))/2)</f>
        <v>0</v>
      </c>
      <c r="AV1513">
        <f>IF(COUNT($E$2:$E1513)&lt;26,"",(MAX($C$1488:$C$1513)+MIN($D$1488:$D$1513))/2)</f>
        <v>0</v>
      </c>
      <c r="AW1513">
        <f>IF(OR(AU1513="",AV1513=""),"",(AU1513+AV1513)/2)</f>
        <v>0</v>
      </c>
      <c r="AX1513">
        <f>IF(COUNT($E$2:$E1513)&lt;52,"",(MAX($C$1462:$C$1513)+MIN($D$1462:$D$1513))/2)</f>
        <v>0</v>
      </c>
      <c r="AY1513">
        <f>IF(COUNT($E$2:$E1513)&lt;20,"",MAX($C$1414:$C$1513))</f>
        <v>0</v>
      </c>
      <c r="AZ1513">
        <f>IF(COUNT($E$2:$E1513)&lt;20,"",MIN($D$1414:$D$1513))</f>
        <v>0</v>
      </c>
      <c r="BA1513">
        <f>IF(COUNT($E$2:$E1513)&lt;20,"",SLOPE($E$1414:$E$1513,$F$1414:$F$1513))</f>
        <v>0</v>
      </c>
      <c r="BB1513">
        <f>IF(COUNT($E$2:$E1513)&lt;20,"",INTERCEPT($E$1414:$E$1513,$F$1414:$F$1513))</f>
        <v>0</v>
      </c>
      <c r="BC1513">
        <f>IF(OR(BA1513="",BB1513=""),"",BB1513+BA1513*F1513)</f>
        <v>0</v>
      </c>
      <c r="BD1513">
        <f>IF(COUNT($E$2:$E1513)&lt;20,"",STEYX($E$1414:$E$1513,$F$1414:$F$1513))</f>
        <v>0</v>
      </c>
      <c r="BE1513">
        <f>IF($E1513="","",IF(AND(COUNT($E$1514:$E$1517)&gt;=4,$C1513=MAX($C$1509:$C$1517)),$C1513,""))</f>
        <v>0</v>
      </c>
      <c r="BF1513">
        <f>IF($E1513="","",IF(AND(COUNT($E$1514:$E$1517)&gt;=4,$D1513=MIN($D$1509:$D$1517)),$D1513,""))</f>
        <v>0</v>
      </c>
      <c r="BG1513">
        <f>IF($A1513="","",$A1513-WEEKDAY($A1513,2)+1)</f>
        <v>0</v>
      </c>
      <c r="BH1513">
        <f>IF($A1513="","",IF($A1512="",1,IF(BG1513&lt;&gt;BG1512,1,0)))</f>
        <v>0</v>
      </c>
      <c r="BI1513">
        <f>IF($A1513="","",IF($A1514="",1,IF(BG1514&lt;&gt;BG1513,1,0)))</f>
        <v>0</v>
      </c>
      <c r="BJ1513">
        <f>IF($A1513="","",IF(BH1513=1,$B1513,BJ1512))</f>
        <v>0</v>
      </c>
      <c r="BK1513">
        <f>IF($A1513="","",IF(BH1513=1,$C1513,MAX($C1513,BK1512)))</f>
        <v>0</v>
      </c>
      <c r="BL1513">
        <f>IF($A1513="","",IF(BH1513=1,$D1513,MIN($D1513,BL1512)))</f>
        <v>0</v>
      </c>
      <c r="BM1513">
        <f>IF($A1513="","",IF(BI1513=1,F1513,""))</f>
        <v>0</v>
      </c>
      <c r="BN1513">
        <f>IF($A1513="","",DATE(YEAR($A1513),MONTH($A1513),1))</f>
        <v>0</v>
      </c>
      <c r="BO1513">
        <f>IF($A1513="","",IF($A1512="",1,IF(BN1513&lt;&gt;BN1512,1,0)))</f>
        <v>0</v>
      </c>
      <c r="BP1513">
        <f>IF($A1513="","",IF($A1514="",1,IF(BN1514&lt;&gt;BN1513,1,0)))</f>
        <v>0</v>
      </c>
      <c r="BQ1513">
        <f>IF($A1513="","",IF(BO1513=1,$B1513,BQ1512))</f>
        <v>0</v>
      </c>
      <c r="BR1513">
        <f>IF($A1513="","",IF(BO1513=1,$C1513,MAX($C1513,BR1512)))</f>
        <v>0</v>
      </c>
      <c r="BS1513">
        <f>IF($A1513="","",IF(BO1513=1,$D1513,MIN($D1513,BS1512)))</f>
        <v>0</v>
      </c>
      <c r="BT1513">
        <f>IF($A1513="","",IF(BP1513=1,F1513,""))</f>
        <v>0</v>
      </c>
    </row>
    <row r="1514" spans="1:72">
      <c r="A1514" s="27">
        <f>IF(Data!$A1514="","",Data!$A1514)</f>
        <v>0</v>
      </c>
      <c r="B1514">
        <f>IF(Data!$B1514="","",Data!$B1514)</f>
        <v>0</v>
      </c>
      <c r="C1514">
        <f>IF(Data!$C1514="","",Data!$C1514)</f>
        <v>0</v>
      </c>
      <c r="D1514">
        <f>IF(Data!$D1514="","",Data!$D1514)</f>
        <v>0</v>
      </c>
      <c r="E1514">
        <f>IF(Data!$E1514="","",Data!$E1514)</f>
        <v>0</v>
      </c>
      <c r="F1514">
        <f>IF($E1514="","",N(F1513)+1)</f>
        <v>0</v>
      </c>
      <c r="G1514">
        <f>IF(OR($E1514="",$E1513=""),"",LN($E1514/$E1513))</f>
        <v>0</v>
      </c>
      <c r="H1514">
        <f>IF($E1514="","",IF($E1513="",$E1514,$E1514*0.0952380952+H1513*0.9047619048))</f>
        <v>0</v>
      </c>
      <c r="I1514">
        <f>IF($E1514="","",IF($E1513="",$E1514,$E1514*0.0392156863+I1513*0.9607843137))</f>
        <v>0</v>
      </c>
      <c r="J1514">
        <f>IF($E1514="","",IF($E1513="",$E1514,$E1514*0.0198019802+J1513*0.9801980198))</f>
        <v>0</v>
      </c>
      <c r="K1514">
        <f>IF($E1514="","",IF($E1513="",$E1514,$E1514*0.0099502488+K1513*0.9900497512))</f>
        <v>0</v>
      </c>
      <c r="L1514">
        <f>IF(OR($E1514="",$E1513=""),"",MAX($E1514-$E1513,0))</f>
        <v>0</v>
      </c>
      <c r="M1514">
        <f>IF(OR($E1514="",$E1513=""),"",MAX($E1513-$E1514,0))</f>
        <v>0</v>
      </c>
      <c r="N1514">
        <f>IF(COUNT($E$2:$E1514)&lt;15,"",IF(AVERAGE($M$1501:$M$1514)=0,100,100-100/(1+AVERAGE($L$1501:$L$1514)/AVERAGE($M$1501:$M$1514))))</f>
        <v>0</v>
      </c>
      <c r="O1514">
        <f>IF($E1514="","",IF($E1513="",$E1514,$E1514*0.1538461538+O1513*0.8461538462))</f>
        <v>0</v>
      </c>
      <c r="P1514">
        <f>IF($E1514="","",IF($E1513="",$E1514,$E1514*0.0740740741+P1513*0.9259259259))</f>
        <v>0</v>
      </c>
      <c r="Q1514">
        <f>IF(OR(O1514="",P1514=""),"",O1514-P1514)</f>
        <v>0</v>
      </c>
      <c r="R1514">
        <f>IF(Q1514="","",IF(R1513="",Q1514,Q1514*0.2000000000+R1513*0.8000000000))</f>
        <v>0</v>
      </c>
      <c r="S1514">
        <f>IF(OR(Q1514="",R1514=""),"",Q1514-R1514)</f>
        <v>0</v>
      </c>
      <c r="T1514">
        <f>IF(COUNT($E$2:$E1514)&lt;14,"",MAX($C$1501:$C$1514))</f>
        <v>0</v>
      </c>
      <c r="U1514">
        <f>IF(COUNT($E$2:$E1514)&lt;14,"",MIN($D$1501:$D$1514))</f>
        <v>0</v>
      </c>
      <c r="V1514">
        <f>IF(OR(T1514="",U1514="",T1514=U1514),"",100*($E1514-U1514)/(T1514-U1514))</f>
        <v>0</v>
      </c>
      <c r="W1514">
        <f>IF(COUNT($V$1512:$V$1514)&lt;3,"",AVERAGE($V$1512:$V$1514))</f>
        <v>0</v>
      </c>
      <c r="X1514">
        <f>IF(COUNT($N$1501:$N$1514)&lt;14,"",MIN($N$1501:$N$1514))</f>
        <v>0</v>
      </c>
      <c r="Y1514">
        <f>IF(COUNT($N$1501:$N$1514)&lt;14,"",MAX($N$1501:$N$1514))</f>
        <v>0</v>
      </c>
      <c r="Z1514">
        <f>IF(OR(N1514="",X1514="",Y1514="",Y1514=X1514),"",100*(N1514-X1514)/(Y1514-X1514))</f>
        <v>0</v>
      </c>
      <c r="AA1514">
        <f>IF(COUNT($Z$1512:$Z$1514)&lt;3,"",AVERAGE($Z$1512:$Z$1514))</f>
        <v>0</v>
      </c>
      <c r="AB1514">
        <f>IF(COUNT($AA$1512:$AA$1514)&lt;3,"",AVERAGE($AA$1512:$AA$1514))</f>
        <v>0</v>
      </c>
      <c r="AC1514">
        <f>IF($E1514="","",MAX($C1514-$D1514,ABS($C1514-$E1513),ABS($D1514-$E1513)))</f>
        <v>0</v>
      </c>
      <c r="AD1514">
        <f>IF(COUNT($E$2:$E1514)&lt;15,"",AVERAGE($AC$1501:$AC$1514))</f>
        <v>0</v>
      </c>
      <c r="AE1514">
        <f>IF(OR($E1514="",$E1513=""),"",IF(AND(($C1514-$C1513)&gt;($D1513-$D1514),($C1514-$C1513)&gt;0),$C1514-$C1513,0))</f>
        <v>0</v>
      </c>
      <c r="AF1514">
        <f>IF(OR($E1514="",$E1513=""),"",IF(AND(($D1513-$D1514)&gt;($C1514-$C1513),($D1513-$D1514)&gt;0),$D1513-$D1514,0))</f>
        <v>0</v>
      </c>
      <c r="AG1514">
        <f>IF(COUNT($E$2:$E1514)&lt;15,"",IF(SUM($AC$1501:$AC$1514)=0,0,100*SUM($AE$1501:$AE$1514)/SUM($AC$1501:$AC$1514)))</f>
        <v>0</v>
      </c>
      <c r="AH1514">
        <f>IF(COUNT($E$2:$E1514)&lt;15,"",IF(SUM($AC$1501:$AC$1514)=0,0,100*SUM($AF$1501:$AF$1514)/SUM($AC$1501:$AC$1514)))</f>
        <v>0</v>
      </c>
      <c r="AI1514">
        <f>IF(OR(AG1514="",AH1514=""),"",IF((AG1514+AH1514)=0,0,100*ABS(AG1514-AH1514)/(AG1514+AH1514)))</f>
        <v>0</v>
      </c>
      <c r="AJ1514">
        <f>IF(COUNT($AI$1501:$AI$1514)&lt;14,"",AVERAGE($AI$1501:$AI$1514))</f>
        <v>0</v>
      </c>
      <c r="AK1514">
        <f>IF(COUNT($E$2:$E1514)&lt;20,"",AVERAGE($E$1495:$E$1514))</f>
        <v>0</v>
      </c>
      <c r="AL1514">
        <f>IF(COUNT($E$2:$E1514)&lt;20,"",STDEVP($E$1495:$E$1514))</f>
        <v>0</v>
      </c>
      <c r="AM1514">
        <f>IF(AK1514="","",AK1514+2*AL1514)</f>
        <v>0</v>
      </c>
      <c r="AN1514">
        <f>IF(AK1514="","",AK1514-2*AL1514)</f>
        <v>0</v>
      </c>
      <c r="AO1514">
        <f>IF(OR(AM1514="",AN1514="",AM1514=AN1514),"",($E1514-AN1514)/(AM1514-AN1514))</f>
        <v>0</v>
      </c>
      <c r="AP1514">
        <f>IF(OR(AM1514="",AK1514="",AK1514=0),"",(AM1514-AN1514)/AK1514)</f>
        <v>0</v>
      </c>
      <c r="AQ1514">
        <f>IF(COUNT($E$2:$E1514)&lt;20,"",MAX($C$1495:$C$1514))</f>
        <v>0</v>
      </c>
      <c r="AR1514">
        <f>IF(COUNT($E$2:$E1514)&lt;20,"",MIN($D$1495:$D$1514))</f>
        <v>0</v>
      </c>
      <c r="AS1514">
        <f>IF(OR(AQ1514="",AR1514=""),"",(AQ1514+AR1514)/2)</f>
        <v>0</v>
      </c>
      <c r="AT1514">
        <f>IF(COUNT($G$1495:$G$1514)&lt;20,"",STDEV($G$1495:$G$1514)*SQRT(252))</f>
        <v>0</v>
      </c>
      <c r="AU1514">
        <f>IF(COUNT($E$2:$E1514)&lt;9,"",(MAX($C$1506:$C$1514)+MIN($D$1506:$D$1514))/2)</f>
        <v>0</v>
      </c>
      <c r="AV1514">
        <f>IF(COUNT($E$2:$E1514)&lt;26,"",(MAX($C$1489:$C$1514)+MIN($D$1489:$D$1514))/2)</f>
        <v>0</v>
      </c>
      <c r="AW1514">
        <f>IF(OR(AU1514="",AV1514=""),"",(AU1514+AV1514)/2)</f>
        <v>0</v>
      </c>
      <c r="AX1514">
        <f>IF(COUNT($E$2:$E1514)&lt;52,"",(MAX($C$1463:$C$1514)+MIN($D$1463:$D$1514))/2)</f>
        <v>0</v>
      </c>
      <c r="AY1514">
        <f>IF(COUNT($E$2:$E1514)&lt;20,"",MAX($C$1415:$C$1514))</f>
        <v>0</v>
      </c>
      <c r="AZ1514">
        <f>IF(COUNT($E$2:$E1514)&lt;20,"",MIN($D$1415:$D$1514))</f>
        <v>0</v>
      </c>
      <c r="BA1514">
        <f>IF(COUNT($E$2:$E1514)&lt;20,"",SLOPE($E$1415:$E$1514,$F$1415:$F$1514))</f>
        <v>0</v>
      </c>
      <c r="BB1514">
        <f>IF(COUNT($E$2:$E1514)&lt;20,"",INTERCEPT($E$1415:$E$1514,$F$1415:$F$1514))</f>
        <v>0</v>
      </c>
      <c r="BC1514">
        <f>IF(OR(BA1514="",BB1514=""),"",BB1514+BA1514*F1514)</f>
        <v>0</v>
      </c>
      <c r="BD1514">
        <f>IF(COUNT($E$2:$E1514)&lt;20,"",STEYX($E$1415:$E$1514,$F$1415:$F$1514))</f>
        <v>0</v>
      </c>
      <c r="BE1514">
        <f>IF($E1514="","",IF(AND(COUNT($E$1515:$E$1518)&gt;=4,$C1514=MAX($C$1510:$C$1518)),$C1514,""))</f>
        <v>0</v>
      </c>
      <c r="BF1514">
        <f>IF($E1514="","",IF(AND(COUNT($E$1515:$E$1518)&gt;=4,$D1514=MIN($D$1510:$D$1518)),$D1514,""))</f>
        <v>0</v>
      </c>
      <c r="BG1514">
        <f>IF($A1514="","",$A1514-WEEKDAY($A1514,2)+1)</f>
        <v>0</v>
      </c>
      <c r="BH1514">
        <f>IF($A1514="","",IF($A1513="",1,IF(BG1514&lt;&gt;BG1513,1,0)))</f>
        <v>0</v>
      </c>
      <c r="BI1514">
        <f>IF($A1514="","",IF($A1515="",1,IF(BG1515&lt;&gt;BG1514,1,0)))</f>
        <v>0</v>
      </c>
      <c r="BJ1514">
        <f>IF($A1514="","",IF(BH1514=1,$B1514,BJ1513))</f>
        <v>0</v>
      </c>
      <c r="BK1514">
        <f>IF($A1514="","",IF(BH1514=1,$C1514,MAX($C1514,BK1513)))</f>
        <v>0</v>
      </c>
      <c r="BL1514">
        <f>IF($A1514="","",IF(BH1514=1,$D1514,MIN($D1514,BL1513)))</f>
        <v>0</v>
      </c>
      <c r="BM1514">
        <f>IF($A1514="","",IF(BI1514=1,F1514,""))</f>
        <v>0</v>
      </c>
      <c r="BN1514">
        <f>IF($A1514="","",DATE(YEAR($A1514),MONTH($A1514),1))</f>
        <v>0</v>
      </c>
      <c r="BO1514">
        <f>IF($A1514="","",IF($A1513="",1,IF(BN1514&lt;&gt;BN1513,1,0)))</f>
        <v>0</v>
      </c>
      <c r="BP1514">
        <f>IF($A1514="","",IF($A1515="",1,IF(BN1515&lt;&gt;BN1514,1,0)))</f>
        <v>0</v>
      </c>
      <c r="BQ1514">
        <f>IF($A1514="","",IF(BO1514=1,$B1514,BQ1513))</f>
        <v>0</v>
      </c>
      <c r="BR1514">
        <f>IF($A1514="","",IF(BO1514=1,$C1514,MAX($C1514,BR1513)))</f>
        <v>0</v>
      </c>
      <c r="BS1514">
        <f>IF($A1514="","",IF(BO1514=1,$D1514,MIN($D1514,BS1513)))</f>
        <v>0</v>
      </c>
      <c r="BT1514">
        <f>IF($A1514="","",IF(BP1514=1,F1514,""))</f>
        <v>0</v>
      </c>
    </row>
    <row r="1515" spans="1:72">
      <c r="A1515" s="27">
        <f>IF(Data!$A1515="","",Data!$A1515)</f>
        <v>0</v>
      </c>
      <c r="B1515">
        <f>IF(Data!$B1515="","",Data!$B1515)</f>
        <v>0</v>
      </c>
      <c r="C1515">
        <f>IF(Data!$C1515="","",Data!$C1515)</f>
        <v>0</v>
      </c>
      <c r="D1515">
        <f>IF(Data!$D1515="","",Data!$D1515)</f>
        <v>0</v>
      </c>
      <c r="E1515">
        <f>IF(Data!$E1515="","",Data!$E1515)</f>
        <v>0</v>
      </c>
      <c r="F1515">
        <f>IF($E1515="","",N(F1514)+1)</f>
        <v>0</v>
      </c>
      <c r="G1515">
        <f>IF(OR($E1515="",$E1514=""),"",LN($E1515/$E1514))</f>
        <v>0</v>
      </c>
      <c r="H1515">
        <f>IF($E1515="","",IF($E1514="",$E1515,$E1515*0.0952380952+H1514*0.9047619048))</f>
        <v>0</v>
      </c>
      <c r="I1515">
        <f>IF($E1515="","",IF($E1514="",$E1515,$E1515*0.0392156863+I1514*0.9607843137))</f>
        <v>0</v>
      </c>
      <c r="J1515">
        <f>IF($E1515="","",IF($E1514="",$E1515,$E1515*0.0198019802+J1514*0.9801980198))</f>
        <v>0</v>
      </c>
      <c r="K1515">
        <f>IF($E1515="","",IF($E1514="",$E1515,$E1515*0.0099502488+K1514*0.9900497512))</f>
        <v>0</v>
      </c>
      <c r="L1515">
        <f>IF(OR($E1515="",$E1514=""),"",MAX($E1515-$E1514,0))</f>
        <v>0</v>
      </c>
      <c r="M1515">
        <f>IF(OR($E1515="",$E1514=""),"",MAX($E1514-$E1515,0))</f>
        <v>0</v>
      </c>
      <c r="N1515">
        <f>IF(COUNT($E$2:$E1515)&lt;15,"",IF(AVERAGE($M$1502:$M$1515)=0,100,100-100/(1+AVERAGE($L$1502:$L$1515)/AVERAGE($M$1502:$M$1515))))</f>
        <v>0</v>
      </c>
      <c r="O1515">
        <f>IF($E1515="","",IF($E1514="",$E1515,$E1515*0.1538461538+O1514*0.8461538462))</f>
        <v>0</v>
      </c>
      <c r="P1515">
        <f>IF($E1515="","",IF($E1514="",$E1515,$E1515*0.0740740741+P1514*0.9259259259))</f>
        <v>0</v>
      </c>
      <c r="Q1515">
        <f>IF(OR(O1515="",P1515=""),"",O1515-P1515)</f>
        <v>0</v>
      </c>
      <c r="R1515">
        <f>IF(Q1515="","",IF(R1514="",Q1515,Q1515*0.2000000000+R1514*0.8000000000))</f>
        <v>0</v>
      </c>
      <c r="S1515">
        <f>IF(OR(Q1515="",R1515=""),"",Q1515-R1515)</f>
        <v>0</v>
      </c>
      <c r="T1515">
        <f>IF(COUNT($E$2:$E1515)&lt;14,"",MAX($C$1502:$C$1515))</f>
        <v>0</v>
      </c>
      <c r="U1515">
        <f>IF(COUNT($E$2:$E1515)&lt;14,"",MIN($D$1502:$D$1515))</f>
        <v>0</v>
      </c>
      <c r="V1515">
        <f>IF(OR(T1515="",U1515="",T1515=U1515),"",100*($E1515-U1515)/(T1515-U1515))</f>
        <v>0</v>
      </c>
      <c r="W1515">
        <f>IF(COUNT($V$1513:$V$1515)&lt;3,"",AVERAGE($V$1513:$V$1515))</f>
        <v>0</v>
      </c>
      <c r="X1515">
        <f>IF(COUNT($N$1502:$N$1515)&lt;14,"",MIN($N$1502:$N$1515))</f>
        <v>0</v>
      </c>
      <c r="Y1515">
        <f>IF(COUNT($N$1502:$N$1515)&lt;14,"",MAX($N$1502:$N$1515))</f>
        <v>0</v>
      </c>
      <c r="Z1515">
        <f>IF(OR(N1515="",X1515="",Y1515="",Y1515=X1515),"",100*(N1515-X1515)/(Y1515-X1515))</f>
        <v>0</v>
      </c>
      <c r="AA1515">
        <f>IF(COUNT($Z$1513:$Z$1515)&lt;3,"",AVERAGE($Z$1513:$Z$1515))</f>
        <v>0</v>
      </c>
      <c r="AB1515">
        <f>IF(COUNT($AA$1513:$AA$1515)&lt;3,"",AVERAGE($AA$1513:$AA$1515))</f>
        <v>0</v>
      </c>
      <c r="AC1515">
        <f>IF($E1515="","",MAX($C1515-$D1515,ABS($C1515-$E1514),ABS($D1515-$E1514)))</f>
        <v>0</v>
      </c>
      <c r="AD1515">
        <f>IF(COUNT($E$2:$E1515)&lt;15,"",AVERAGE($AC$1502:$AC$1515))</f>
        <v>0</v>
      </c>
      <c r="AE1515">
        <f>IF(OR($E1515="",$E1514=""),"",IF(AND(($C1515-$C1514)&gt;($D1514-$D1515),($C1515-$C1514)&gt;0),$C1515-$C1514,0))</f>
        <v>0</v>
      </c>
      <c r="AF1515">
        <f>IF(OR($E1515="",$E1514=""),"",IF(AND(($D1514-$D1515)&gt;($C1515-$C1514),($D1514-$D1515)&gt;0),$D1514-$D1515,0))</f>
        <v>0</v>
      </c>
      <c r="AG1515">
        <f>IF(COUNT($E$2:$E1515)&lt;15,"",IF(SUM($AC$1502:$AC$1515)=0,0,100*SUM($AE$1502:$AE$1515)/SUM($AC$1502:$AC$1515)))</f>
        <v>0</v>
      </c>
      <c r="AH1515">
        <f>IF(COUNT($E$2:$E1515)&lt;15,"",IF(SUM($AC$1502:$AC$1515)=0,0,100*SUM($AF$1502:$AF$1515)/SUM($AC$1502:$AC$1515)))</f>
        <v>0</v>
      </c>
      <c r="AI1515">
        <f>IF(OR(AG1515="",AH1515=""),"",IF((AG1515+AH1515)=0,0,100*ABS(AG1515-AH1515)/(AG1515+AH1515)))</f>
        <v>0</v>
      </c>
      <c r="AJ1515">
        <f>IF(COUNT($AI$1502:$AI$1515)&lt;14,"",AVERAGE($AI$1502:$AI$1515))</f>
        <v>0</v>
      </c>
      <c r="AK1515">
        <f>IF(COUNT($E$2:$E1515)&lt;20,"",AVERAGE($E$1496:$E$1515))</f>
        <v>0</v>
      </c>
      <c r="AL1515">
        <f>IF(COUNT($E$2:$E1515)&lt;20,"",STDEVP($E$1496:$E$1515))</f>
        <v>0</v>
      </c>
      <c r="AM1515">
        <f>IF(AK1515="","",AK1515+2*AL1515)</f>
        <v>0</v>
      </c>
      <c r="AN1515">
        <f>IF(AK1515="","",AK1515-2*AL1515)</f>
        <v>0</v>
      </c>
      <c r="AO1515">
        <f>IF(OR(AM1515="",AN1515="",AM1515=AN1515),"",($E1515-AN1515)/(AM1515-AN1515))</f>
        <v>0</v>
      </c>
      <c r="AP1515">
        <f>IF(OR(AM1515="",AK1515="",AK1515=0),"",(AM1515-AN1515)/AK1515)</f>
        <v>0</v>
      </c>
      <c r="AQ1515">
        <f>IF(COUNT($E$2:$E1515)&lt;20,"",MAX($C$1496:$C$1515))</f>
        <v>0</v>
      </c>
      <c r="AR1515">
        <f>IF(COUNT($E$2:$E1515)&lt;20,"",MIN($D$1496:$D$1515))</f>
        <v>0</v>
      </c>
      <c r="AS1515">
        <f>IF(OR(AQ1515="",AR1515=""),"",(AQ1515+AR1515)/2)</f>
        <v>0</v>
      </c>
      <c r="AT1515">
        <f>IF(COUNT($G$1496:$G$1515)&lt;20,"",STDEV($G$1496:$G$1515)*SQRT(252))</f>
        <v>0</v>
      </c>
      <c r="AU1515">
        <f>IF(COUNT($E$2:$E1515)&lt;9,"",(MAX($C$1507:$C$1515)+MIN($D$1507:$D$1515))/2)</f>
        <v>0</v>
      </c>
      <c r="AV1515">
        <f>IF(COUNT($E$2:$E1515)&lt;26,"",(MAX($C$1490:$C$1515)+MIN($D$1490:$D$1515))/2)</f>
        <v>0</v>
      </c>
      <c r="AW1515">
        <f>IF(OR(AU1515="",AV1515=""),"",(AU1515+AV1515)/2)</f>
        <v>0</v>
      </c>
      <c r="AX1515">
        <f>IF(COUNT($E$2:$E1515)&lt;52,"",(MAX($C$1464:$C$1515)+MIN($D$1464:$D$1515))/2)</f>
        <v>0</v>
      </c>
      <c r="AY1515">
        <f>IF(COUNT($E$2:$E1515)&lt;20,"",MAX($C$1416:$C$1515))</f>
        <v>0</v>
      </c>
      <c r="AZ1515">
        <f>IF(COUNT($E$2:$E1515)&lt;20,"",MIN($D$1416:$D$1515))</f>
        <v>0</v>
      </c>
      <c r="BA1515">
        <f>IF(COUNT($E$2:$E1515)&lt;20,"",SLOPE($E$1416:$E$1515,$F$1416:$F$1515))</f>
        <v>0</v>
      </c>
      <c r="BB1515">
        <f>IF(COUNT($E$2:$E1515)&lt;20,"",INTERCEPT($E$1416:$E$1515,$F$1416:$F$1515))</f>
        <v>0</v>
      </c>
      <c r="BC1515">
        <f>IF(OR(BA1515="",BB1515=""),"",BB1515+BA1515*F1515)</f>
        <v>0</v>
      </c>
      <c r="BD1515">
        <f>IF(COUNT($E$2:$E1515)&lt;20,"",STEYX($E$1416:$E$1515,$F$1416:$F$1515))</f>
        <v>0</v>
      </c>
      <c r="BE1515">
        <f>IF($E1515="","",IF(AND(COUNT($E$1516:$E$1519)&gt;=4,$C1515=MAX($C$1511:$C$1519)),$C1515,""))</f>
        <v>0</v>
      </c>
      <c r="BF1515">
        <f>IF($E1515="","",IF(AND(COUNT($E$1516:$E$1519)&gt;=4,$D1515=MIN($D$1511:$D$1519)),$D1515,""))</f>
        <v>0</v>
      </c>
      <c r="BG1515">
        <f>IF($A1515="","",$A1515-WEEKDAY($A1515,2)+1)</f>
        <v>0</v>
      </c>
      <c r="BH1515">
        <f>IF($A1515="","",IF($A1514="",1,IF(BG1515&lt;&gt;BG1514,1,0)))</f>
        <v>0</v>
      </c>
      <c r="BI1515">
        <f>IF($A1515="","",IF($A1516="",1,IF(BG1516&lt;&gt;BG1515,1,0)))</f>
        <v>0</v>
      </c>
      <c r="BJ1515">
        <f>IF($A1515="","",IF(BH1515=1,$B1515,BJ1514))</f>
        <v>0</v>
      </c>
      <c r="BK1515">
        <f>IF($A1515="","",IF(BH1515=1,$C1515,MAX($C1515,BK1514)))</f>
        <v>0</v>
      </c>
      <c r="BL1515">
        <f>IF($A1515="","",IF(BH1515=1,$D1515,MIN($D1515,BL1514)))</f>
        <v>0</v>
      </c>
      <c r="BM1515">
        <f>IF($A1515="","",IF(BI1515=1,F1515,""))</f>
        <v>0</v>
      </c>
      <c r="BN1515">
        <f>IF($A1515="","",DATE(YEAR($A1515),MONTH($A1515),1))</f>
        <v>0</v>
      </c>
      <c r="BO1515">
        <f>IF($A1515="","",IF($A1514="",1,IF(BN1515&lt;&gt;BN1514,1,0)))</f>
        <v>0</v>
      </c>
      <c r="BP1515">
        <f>IF($A1515="","",IF($A1516="",1,IF(BN1516&lt;&gt;BN1515,1,0)))</f>
        <v>0</v>
      </c>
      <c r="BQ1515">
        <f>IF($A1515="","",IF(BO1515=1,$B1515,BQ1514))</f>
        <v>0</v>
      </c>
      <c r="BR1515">
        <f>IF($A1515="","",IF(BO1515=1,$C1515,MAX($C1515,BR1514)))</f>
        <v>0</v>
      </c>
      <c r="BS1515">
        <f>IF($A1515="","",IF(BO1515=1,$D1515,MIN($D1515,BS1514)))</f>
        <v>0</v>
      </c>
      <c r="BT1515">
        <f>IF($A1515="","",IF(BP1515=1,F1515,""))</f>
        <v>0</v>
      </c>
    </row>
    <row r="1516" spans="1:72">
      <c r="A1516" s="27">
        <f>IF(Data!$A1516="","",Data!$A1516)</f>
        <v>0</v>
      </c>
      <c r="B1516">
        <f>IF(Data!$B1516="","",Data!$B1516)</f>
        <v>0</v>
      </c>
      <c r="C1516">
        <f>IF(Data!$C1516="","",Data!$C1516)</f>
        <v>0</v>
      </c>
      <c r="D1516">
        <f>IF(Data!$D1516="","",Data!$D1516)</f>
        <v>0</v>
      </c>
      <c r="E1516">
        <f>IF(Data!$E1516="","",Data!$E1516)</f>
        <v>0</v>
      </c>
      <c r="F1516">
        <f>IF($E1516="","",N(F1515)+1)</f>
        <v>0</v>
      </c>
      <c r="G1516">
        <f>IF(OR($E1516="",$E1515=""),"",LN($E1516/$E1515))</f>
        <v>0</v>
      </c>
      <c r="H1516">
        <f>IF($E1516="","",IF($E1515="",$E1516,$E1516*0.0952380952+H1515*0.9047619048))</f>
        <v>0</v>
      </c>
      <c r="I1516">
        <f>IF($E1516="","",IF($E1515="",$E1516,$E1516*0.0392156863+I1515*0.9607843137))</f>
        <v>0</v>
      </c>
      <c r="J1516">
        <f>IF($E1516="","",IF($E1515="",$E1516,$E1516*0.0198019802+J1515*0.9801980198))</f>
        <v>0</v>
      </c>
      <c r="K1516">
        <f>IF($E1516="","",IF($E1515="",$E1516,$E1516*0.0099502488+K1515*0.9900497512))</f>
        <v>0</v>
      </c>
      <c r="L1516">
        <f>IF(OR($E1516="",$E1515=""),"",MAX($E1516-$E1515,0))</f>
        <v>0</v>
      </c>
      <c r="M1516">
        <f>IF(OR($E1516="",$E1515=""),"",MAX($E1515-$E1516,0))</f>
        <v>0</v>
      </c>
      <c r="N1516">
        <f>IF(COUNT($E$2:$E1516)&lt;15,"",IF(AVERAGE($M$1503:$M$1516)=0,100,100-100/(1+AVERAGE($L$1503:$L$1516)/AVERAGE($M$1503:$M$1516))))</f>
        <v>0</v>
      </c>
      <c r="O1516">
        <f>IF($E1516="","",IF($E1515="",$E1516,$E1516*0.1538461538+O1515*0.8461538462))</f>
        <v>0</v>
      </c>
      <c r="P1516">
        <f>IF($E1516="","",IF($E1515="",$E1516,$E1516*0.0740740741+P1515*0.9259259259))</f>
        <v>0</v>
      </c>
      <c r="Q1516">
        <f>IF(OR(O1516="",P1516=""),"",O1516-P1516)</f>
        <v>0</v>
      </c>
      <c r="R1516">
        <f>IF(Q1516="","",IF(R1515="",Q1516,Q1516*0.2000000000+R1515*0.8000000000))</f>
        <v>0</v>
      </c>
      <c r="S1516">
        <f>IF(OR(Q1516="",R1516=""),"",Q1516-R1516)</f>
        <v>0</v>
      </c>
      <c r="T1516">
        <f>IF(COUNT($E$2:$E1516)&lt;14,"",MAX($C$1503:$C$1516))</f>
        <v>0</v>
      </c>
      <c r="U1516">
        <f>IF(COUNT($E$2:$E1516)&lt;14,"",MIN($D$1503:$D$1516))</f>
        <v>0</v>
      </c>
      <c r="V1516">
        <f>IF(OR(T1516="",U1516="",T1516=U1516),"",100*($E1516-U1516)/(T1516-U1516))</f>
        <v>0</v>
      </c>
      <c r="W1516">
        <f>IF(COUNT($V$1514:$V$1516)&lt;3,"",AVERAGE($V$1514:$V$1516))</f>
        <v>0</v>
      </c>
      <c r="X1516">
        <f>IF(COUNT($N$1503:$N$1516)&lt;14,"",MIN($N$1503:$N$1516))</f>
        <v>0</v>
      </c>
      <c r="Y1516">
        <f>IF(COUNT($N$1503:$N$1516)&lt;14,"",MAX($N$1503:$N$1516))</f>
        <v>0</v>
      </c>
      <c r="Z1516">
        <f>IF(OR(N1516="",X1516="",Y1516="",Y1516=X1516),"",100*(N1516-X1516)/(Y1516-X1516))</f>
        <v>0</v>
      </c>
      <c r="AA1516">
        <f>IF(COUNT($Z$1514:$Z$1516)&lt;3,"",AVERAGE($Z$1514:$Z$1516))</f>
        <v>0</v>
      </c>
      <c r="AB1516">
        <f>IF(COUNT($AA$1514:$AA$1516)&lt;3,"",AVERAGE($AA$1514:$AA$1516))</f>
        <v>0</v>
      </c>
      <c r="AC1516">
        <f>IF($E1516="","",MAX($C1516-$D1516,ABS($C1516-$E1515),ABS($D1516-$E1515)))</f>
        <v>0</v>
      </c>
      <c r="AD1516">
        <f>IF(COUNT($E$2:$E1516)&lt;15,"",AVERAGE($AC$1503:$AC$1516))</f>
        <v>0</v>
      </c>
      <c r="AE1516">
        <f>IF(OR($E1516="",$E1515=""),"",IF(AND(($C1516-$C1515)&gt;($D1515-$D1516),($C1516-$C1515)&gt;0),$C1516-$C1515,0))</f>
        <v>0</v>
      </c>
      <c r="AF1516">
        <f>IF(OR($E1516="",$E1515=""),"",IF(AND(($D1515-$D1516)&gt;($C1516-$C1515),($D1515-$D1516)&gt;0),$D1515-$D1516,0))</f>
        <v>0</v>
      </c>
      <c r="AG1516">
        <f>IF(COUNT($E$2:$E1516)&lt;15,"",IF(SUM($AC$1503:$AC$1516)=0,0,100*SUM($AE$1503:$AE$1516)/SUM($AC$1503:$AC$1516)))</f>
        <v>0</v>
      </c>
      <c r="AH1516">
        <f>IF(COUNT($E$2:$E1516)&lt;15,"",IF(SUM($AC$1503:$AC$1516)=0,0,100*SUM($AF$1503:$AF$1516)/SUM($AC$1503:$AC$1516)))</f>
        <v>0</v>
      </c>
      <c r="AI1516">
        <f>IF(OR(AG1516="",AH1516=""),"",IF((AG1516+AH1516)=0,0,100*ABS(AG1516-AH1516)/(AG1516+AH1516)))</f>
        <v>0</v>
      </c>
      <c r="AJ1516">
        <f>IF(COUNT($AI$1503:$AI$1516)&lt;14,"",AVERAGE($AI$1503:$AI$1516))</f>
        <v>0</v>
      </c>
      <c r="AK1516">
        <f>IF(COUNT($E$2:$E1516)&lt;20,"",AVERAGE($E$1497:$E$1516))</f>
        <v>0</v>
      </c>
      <c r="AL1516">
        <f>IF(COUNT($E$2:$E1516)&lt;20,"",STDEVP($E$1497:$E$1516))</f>
        <v>0</v>
      </c>
      <c r="AM1516">
        <f>IF(AK1516="","",AK1516+2*AL1516)</f>
        <v>0</v>
      </c>
      <c r="AN1516">
        <f>IF(AK1516="","",AK1516-2*AL1516)</f>
        <v>0</v>
      </c>
      <c r="AO1516">
        <f>IF(OR(AM1516="",AN1516="",AM1516=AN1516),"",($E1516-AN1516)/(AM1516-AN1516))</f>
        <v>0</v>
      </c>
      <c r="AP1516">
        <f>IF(OR(AM1516="",AK1516="",AK1516=0),"",(AM1516-AN1516)/AK1516)</f>
        <v>0</v>
      </c>
      <c r="AQ1516">
        <f>IF(COUNT($E$2:$E1516)&lt;20,"",MAX($C$1497:$C$1516))</f>
        <v>0</v>
      </c>
      <c r="AR1516">
        <f>IF(COUNT($E$2:$E1516)&lt;20,"",MIN($D$1497:$D$1516))</f>
        <v>0</v>
      </c>
      <c r="AS1516">
        <f>IF(OR(AQ1516="",AR1516=""),"",(AQ1516+AR1516)/2)</f>
        <v>0</v>
      </c>
      <c r="AT1516">
        <f>IF(COUNT($G$1497:$G$1516)&lt;20,"",STDEV($G$1497:$G$1516)*SQRT(252))</f>
        <v>0</v>
      </c>
      <c r="AU1516">
        <f>IF(COUNT($E$2:$E1516)&lt;9,"",(MAX($C$1508:$C$1516)+MIN($D$1508:$D$1516))/2)</f>
        <v>0</v>
      </c>
      <c r="AV1516">
        <f>IF(COUNT($E$2:$E1516)&lt;26,"",(MAX($C$1491:$C$1516)+MIN($D$1491:$D$1516))/2)</f>
        <v>0</v>
      </c>
      <c r="AW1516">
        <f>IF(OR(AU1516="",AV1516=""),"",(AU1516+AV1516)/2)</f>
        <v>0</v>
      </c>
      <c r="AX1516">
        <f>IF(COUNT($E$2:$E1516)&lt;52,"",(MAX($C$1465:$C$1516)+MIN($D$1465:$D$1516))/2)</f>
        <v>0</v>
      </c>
      <c r="AY1516">
        <f>IF(COUNT($E$2:$E1516)&lt;20,"",MAX($C$1417:$C$1516))</f>
        <v>0</v>
      </c>
      <c r="AZ1516">
        <f>IF(COUNT($E$2:$E1516)&lt;20,"",MIN($D$1417:$D$1516))</f>
        <v>0</v>
      </c>
      <c r="BA1516">
        <f>IF(COUNT($E$2:$E1516)&lt;20,"",SLOPE($E$1417:$E$1516,$F$1417:$F$1516))</f>
        <v>0</v>
      </c>
      <c r="BB1516">
        <f>IF(COUNT($E$2:$E1516)&lt;20,"",INTERCEPT($E$1417:$E$1516,$F$1417:$F$1516))</f>
        <v>0</v>
      </c>
      <c r="BC1516">
        <f>IF(OR(BA1516="",BB1516=""),"",BB1516+BA1516*F1516)</f>
        <v>0</v>
      </c>
      <c r="BD1516">
        <f>IF(COUNT($E$2:$E1516)&lt;20,"",STEYX($E$1417:$E$1516,$F$1417:$F$1516))</f>
        <v>0</v>
      </c>
      <c r="BE1516">
        <f>IF($E1516="","",IF(AND(COUNT($E$1517:$E$1520)&gt;=4,$C1516=MAX($C$1512:$C$1520)),$C1516,""))</f>
        <v>0</v>
      </c>
      <c r="BF1516">
        <f>IF($E1516="","",IF(AND(COUNT($E$1517:$E$1520)&gt;=4,$D1516=MIN($D$1512:$D$1520)),$D1516,""))</f>
        <v>0</v>
      </c>
      <c r="BG1516">
        <f>IF($A1516="","",$A1516-WEEKDAY($A1516,2)+1)</f>
        <v>0</v>
      </c>
      <c r="BH1516">
        <f>IF($A1516="","",IF($A1515="",1,IF(BG1516&lt;&gt;BG1515,1,0)))</f>
        <v>0</v>
      </c>
      <c r="BI1516">
        <f>IF($A1516="","",IF($A1517="",1,IF(BG1517&lt;&gt;BG1516,1,0)))</f>
        <v>0</v>
      </c>
      <c r="BJ1516">
        <f>IF($A1516="","",IF(BH1516=1,$B1516,BJ1515))</f>
        <v>0</v>
      </c>
      <c r="BK1516">
        <f>IF($A1516="","",IF(BH1516=1,$C1516,MAX($C1516,BK1515)))</f>
        <v>0</v>
      </c>
      <c r="BL1516">
        <f>IF($A1516="","",IF(BH1516=1,$D1516,MIN($D1516,BL1515)))</f>
        <v>0</v>
      </c>
      <c r="BM1516">
        <f>IF($A1516="","",IF(BI1516=1,F1516,""))</f>
        <v>0</v>
      </c>
      <c r="BN1516">
        <f>IF($A1516="","",DATE(YEAR($A1516),MONTH($A1516),1))</f>
        <v>0</v>
      </c>
      <c r="BO1516">
        <f>IF($A1516="","",IF($A1515="",1,IF(BN1516&lt;&gt;BN1515,1,0)))</f>
        <v>0</v>
      </c>
      <c r="BP1516">
        <f>IF($A1516="","",IF($A1517="",1,IF(BN1517&lt;&gt;BN1516,1,0)))</f>
        <v>0</v>
      </c>
      <c r="BQ1516">
        <f>IF($A1516="","",IF(BO1516=1,$B1516,BQ1515))</f>
        <v>0</v>
      </c>
      <c r="BR1516">
        <f>IF($A1516="","",IF(BO1516=1,$C1516,MAX($C1516,BR1515)))</f>
        <v>0</v>
      </c>
      <c r="BS1516">
        <f>IF($A1516="","",IF(BO1516=1,$D1516,MIN($D1516,BS1515)))</f>
        <v>0</v>
      </c>
      <c r="BT1516">
        <f>IF($A1516="","",IF(BP1516=1,F1516,""))</f>
        <v>0</v>
      </c>
    </row>
    <row r="1517" spans="1:72">
      <c r="A1517" s="27">
        <f>IF(Data!$A1517="","",Data!$A1517)</f>
        <v>0</v>
      </c>
      <c r="B1517">
        <f>IF(Data!$B1517="","",Data!$B1517)</f>
        <v>0</v>
      </c>
      <c r="C1517">
        <f>IF(Data!$C1517="","",Data!$C1517)</f>
        <v>0</v>
      </c>
      <c r="D1517">
        <f>IF(Data!$D1517="","",Data!$D1517)</f>
        <v>0</v>
      </c>
      <c r="E1517">
        <f>IF(Data!$E1517="","",Data!$E1517)</f>
        <v>0</v>
      </c>
      <c r="F1517">
        <f>IF($E1517="","",N(F1516)+1)</f>
        <v>0</v>
      </c>
      <c r="G1517">
        <f>IF(OR($E1517="",$E1516=""),"",LN($E1517/$E1516))</f>
        <v>0</v>
      </c>
      <c r="H1517">
        <f>IF($E1517="","",IF($E1516="",$E1517,$E1517*0.0952380952+H1516*0.9047619048))</f>
        <v>0</v>
      </c>
      <c r="I1517">
        <f>IF($E1517="","",IF($E1516="",$E1517,$E1517*0.0392156863+I1516*0.9607843137))</f>
        <v>0</v>
      </c>
      <c r="J1517">
        <f>IF($E1517="","",IF($E1516="",$E1517,$E1517*0.0198019802+J1516*0.9801980198))</f>
        <v>0</v>
      </c>
      <c r="K1517">
        <f>IF($E1517="","",IF($E1516="",$E1517,$E1517*0.0099502488+K1516*0.9900497512))</f>
        <v>0</v>
      </c>
      <c r="L1517">
        <f>IF(OR($E1517="",$E1516=""),"",MAX($E1517-$E1516,0))</f>
        <v>0</v>
      </c>
      <c r="M1517">
        <f>IF(OR($E1517="",$E1516=""),"",MAX($E1516-$E1517,0))</f>
        <v>0</v>
      </c>
      <c r="N1517">
        <f>IF(COUNT($E$2:$E1517)&lt;15,"",IF(AVERAGE($M$1504:$M$1517)=0,100,100-100/(1+AVERAGE($L$1504:$L$1517)/AVERAGE($M$1504:$M$1517))))</f>
        <v>0</v>
      </c>
      <c r="O1517">
        <f>IF($E1517="","",IF($E1516="",$E1517,$E1517*0.1538461538+O1516*0.8461538462))</f>
        <v>0</v>
      </c>
      <c r="P1517">
        <f>IF($E1517="","",IF($E1516="",$E1517,$E1517*0.0740740741+P1516*0.9259259259))</f>
        <v>0</v>
      </c>
      <c r="Q1517">
        <f>IF(OR(O1517="",P1517=""),"",O1517-P1517)</f>
        <v>0</v>
      </c>
      <c r="R1517">
        <f>IF(Q1517="","",IF(R1516="",Q1517,Q1517*0.2000000000+R1516*0.8000000000))</f>
        <v>0</v>
      </c>
      <c r="S1517">
        <f>IF(OR(Q1517="",R1517=""),"",Q1517-R1517)</f>
        <v>0</v>
      </c>
      <c r="T1517">
        <f>IF(COUNT($E$2:$E1517)&lt;14,"",MAX($C$1504:$C$1517))</f>
        <v>0</v>
      </c>
      <c r="U1517">
        <f>IF(COUNT($E$2:$E1517)&lt;14,"",MIN($D$1504:$D$1517))</f>
        <v>0</v>
      </c>
      <c r="V1517">
        <f>IF(OR(T1517="",U1517="",T1517=U1517),"",100*($E1517-U1517)/(T1517-U1517))</f>
        <v>0</v>
      </c>
      <c r="W1517">
        <f>IF(COUNT($V$1515:$V$1517)&lt;3,"",AVERAGE($V$1515:$V$1517))</f>
        <v>0</v>
      </c>
      <c r="X1517">
        <f>IF(COUNT($N$1504:$N$1517)&lt;14,"",MIN($N$1504:$N$1517))</f>
        <v>0</v>
      </c>
      <c r="Y1517">
        <f>IF(COUNT($N$1504:$N$1517)&lt;14,"",MAX($N$1504:$N$1517))</f>
        <v>0</v>
      </c>
      <c r="Z1517">
        <f>IF(OR(N1517="",X1517="",Y1517="",Y1517=X1517),"",100*(N1517-X1517)/(Y1517-X1517))</f>
        <v>0</v>
      </c>
      <c r="AA1517">
        <f>IF(COUNT($Z$1515:$Z$1517)&lt;3,"",AVERAGE($Z$1515:$Z$1517))</f>
        <v>0</v>
      </c>
      <c r="AB1517">
        <f>IF(COUNT($AA$1515:$AA$1517)&lt;3,"",AVERAGE($AA$1515:$AA$1517))</f>
        <v>0</v>
      </c>
      <c r="AC1517">
        <f>IF($E1517="","",MAX($C1517-$D1517,ABS($C1517-$E1516),ABS($D1517-$E1516)))</f>
        <v>0</v>
      </c>
      <c r="AD1517">
        <f>IF(COUNT($E$2:$E1517)&lt;15,"",AVERAGE($AC$1504:$AC$1517))</f>
        <v>0</v>
      </c>
      <c r="AE1517">
        <f>IF(OR($E1517="",$E1516=""),"",IF(AND(($C1517-$C1516)&gt;($D1516-$D1517),($C1517-$C1516)&gt;0),$C1517-$C1516,0))</f>
        <v>0</v>
      </c>
      <c r="AF1517">
        <f>IF(OR($E1517="",$E1516=""),"",IF(AND(($D1516-$D1517)&gt;($C1517-$C1516),($D1516-$D1517)&gt;0),$D1516-$D1517,0))</f>
        <v>0</v>
      </c>
      <c r="AG1517">
        <f>IF(COUNT($E$2:$E1517)&lt;15,"",IF(SUM($AC$1504:$AC$1517)=0,0,100*SUM($AE$1504:$AE$1517)/SUM($AC$1504:$AC$1517)))</f>
        <v>0</v>
      </c>
      <c r="AH1517">
        <f>IF(COUNT($E$2:$E1517)&lt;15,"",IF(SUM($AC$1504:$AC$1517)=0,0,100*SUM($AF$1504:$AF$1517)/SUM($AC$1504:$AC$1517)))</f>
        <v>0</v>
      </c>
      <c r="AI1517">
        <f>IF(OR(AG1517="",AH1517=""),"",IF((AG1517+AH1517)=0,0,100*ABS(AG1517-AH1517)/(AG1517+AH1517)))</f>
        <v>0</v>
      </c>
      <c r="AJ1517">
        <f>IF(COUNT($AI$1504:$AI$1517)&lt;14,"",AVERAGE($AI$1504:$AI$1517))</f>
        <v>0</v>
      </c>
      <c r="AK1517">
        <f>IF(COUNT($E$2:$E1517)&lt;20,"",AVERAGE($E$1498:$E$1517))</f>
        <v>0</v>
      </c>
      <c r="AL1517">
        <f>IF(COUNT($E$2:$E1517)&lt;20,"",STDEVP($E$1498:$E$1517))</f>
        <v>0</v>
      </c>
      <c r="AM1517">
        <f>IF(AK1517="","",AK1517+2*AL1517)</f>
        <v>0</v>
      </c>
      <c r="AN1517">
        <f>IF(AK1517="","",AK1517-2*AL1517)</f>
        <v>0</v>
      </c>
      <c r="AO1517">
        <f>IF(OR(AM1517="",AN1517="",AM1517=AN1517),"",($E1517-AN1517)/(AM1517-AN1517))</f>
        <v>0</v>
      </c>
      <c r="AP1517">
        <f>IF(OR(AM1517="",AK1517="",AK1517=0),"",(AM1517-AN1517)/AK1517)</f>
        <v>0</v>
      </c>
      <c r="AQ1517">
        <f>IF(COUNT($E$2:$E1517)&lt;20,"",MAX($C$1498:$C$1517))</f>
        <v>0</v>
      </c>
      <c r="AR1517">
        <f>IF(COUNT($E$2:$E1517)&lt;20,"",MIN($D$1498:$D$1517))</f>
        <v>0</v>
      </c>
      <c r="AS1517">
        <f>IF(OR(AQ1517="",AR1517=""),"",(AQ1517+AR1517)/2)</f>
        <v>0</v>
      </c>
      <c r="AT1517">
        <f>IF(COUNT($G$1498:$G$1517)&lt;20,"",STDEV($G$1498:$G$1517)*SQRT(252))</f>
        <v>0</v>
      </c>
      <c r="AU1517">
        <f>IF(COUNT($E$2:$E1517)&lt;9,"",(MAX($C$1509:$C$1517)+MIN($D$1509:$D$1517))/2)</f>
        <v>0</v>
      </c>
      <c r="AV1517">
        <f>IF(COUNT($E$2:$E1517)&lt;26,"",(MAX($C$1492:$C$1517)+MIN($D$1492:$D$1517))/2)</f>
        <v>0</v>
      </c>
      <c r="AW1517">
        <f>IF(OR(AU1517="",AV1517=""),"",(AU1517+AV1517)/2)</f>
        <v>0</v>
      </c>
      <c r="AX1517">
        <f>IF(COUNT($E$2:$E1517)&lt;52,"",(MAX($C$1466:$C$1517)+MIN($D$1466:$D$1517))/2)</f>
        <v>0</v>
      </c>
      <c r="AY1517">
        <f>IF(COUNT($E$2:$E1517)&lt;20,"",MAX($C$1418:$C$1517))</f>
        <v>0</v>
      </c>
      <c r="AZ1517">
        <f>IF(COUNT($E$2:$E1517)&lt;20,"",MIN($D$1418:$D$1517))</f>
        <v>0</v>
      </c>
      <c r="BA1517">
        <f>IF(COUNT($E$2:$E1517)&lt;20,"",SLOPE($E$1418:$E$1517,$F$1418:$F$1517))</f>
        <v>0</v>
      </c>
      <c r="BB1517">
        <f>IF(COUNT($E$2:$E1517)&lt;20,"",INTERCEPT($E$1418:$E$1517,$F$1418:$F$1517))</f>
        <v>0</v>
      </c>
      <c r="BC1517">
        <f>IF(OR(BA1517="",BB1517=""),"",BB1517+BA1517*F1517)</f>
        <v>0</v>
      </c>
      <c r="BD1517">
        <f>IF(COUNT($E$2:$E1517)&lt;20,"",STEYX($E$1418:$E$1517,$F$1418:$F$1517))</f>
        <v>0</v>
      </c>
      <c r="BE1517">
        <f>IF($E1517="","",IF(AND(COUNT($E$1518:$E$1521)&gt;=4,$C1517=MAX($C$1513:$C$1521)),$C1517,""))</f>
        <v>0</v>
      </c>
      <c r="BF1517">
        <f>IF($E1517="","",IF(AND(COUNT($E$1518:$E$1521)&gt;=4,$D1517=MIN($D$1513:$D$1521)),$D1517,""))</f>
        <v>0</v>
      </c>
      <c r="BG1517">
        <f>IF($A1517="","",$A1517-WEEKDAY($A1517,2)+1)</f>
        <v>0</v>
      </c>
      <c r="BH1517">
        <f>IF($A1517="","",IF($A1516="",1,IF(BG1517&lt;&gt;BG1516,1,0)))</f>
        <v>0</v>
      </c>
      <c r="BI1517">
        <f>IF($A1517="","",IF($A1518="",1,IF(BG1518&lt;&gt;BG1517,1,0)))</f>
        <v>0</v>
      </c>
      <c r="BJ1517">
        <f>IF($A1517="","",IF(BH1517=1,$B1517,BJ1516))</f>
        <v>0</v>
      </c>
      <c r="BK1517">
        <f>IF($A1517="","",IF(BH1517=1,$C1517,MAX($C1517,BK1516)))</f>
        <v>0</v>
      </c>
      <c r="BL1517">
        <f>IF($A1517="","",IF(BH1517=1,$D1517,MIN($D1517,BL1516)))</f>
        <v>0</v>
      </c>
      <c r="BM1517">
        <f>IF($A1517="","",IF(BI1517=1,F1517,""))</f>
        <v>0</v>
      </c>
      <c r="BN1517">
        <f>IF($A1517="","",DATE(YEAR($A1517),MONTH($A1517),1))</f>
        <v>0</v>
      </c>
      <c r="BO1517">
        <f>IF($A1517="","",IF($A1516="",1,IF(BN1517&lt;&gt;BN1516,1,0)))</f>
        <v>0</v>
      </c>
      <c r="BP1517">
        <f>IF($A1517="","",IF($A1518="",1,IF(BN1518&lt;&gt;BN1517,1,0)))</f>
        <v>0</v>
      </c>
      <c r="BQ1517">
        <f>IF($A1517="","",IF(BO1517=1,$B1517,BQ1516))</f>
        <v>0</v>
      </c>
      <c r="BR1517">
        <f>IF($A1517="","",IF(BO1517=1,$C1517,MAX($C1517,BR1516)))</f>
        <v>0</v>
      </c>
      <c r="BS1517">
        <f>IF($A1517="","",IF(BO1517=1,$D1517,MIN($D1517,BS1516)))</f>
        <v>0</v>
      </c>
      <c r="BT1517">
        <f>IF($A1517="","",IF(BP1517=1,F1517,""))</f>
        <v>0</v>
      </c>
    </row>
    <row r="1518" spans="1:72">
      <c r="A1518" s="27">
        <f>IF(Data!$A1518="","",Data!$A1518)</f>
        <v>0</v>
      </c>
      <c r="B1518">
        <f>IF(Data!$B1518="","",Data!$B1518)</f>
        <v>0</v>
      </c>
      <c r="C1518">
        <f>IF(Data!$C1518="","",Data!$C1518)</f>
        <v>0</v>
      </c>
      <c r="D1518">
        <f>IF(Data!$D1518="","",Data!$D1518)</f>
        <v>0</v>
      </c>
      <c r="E1518">
        <f>IF(Data!$E1518="","",Data!$E1518)</f>
        <v>0</v>
      </c>
      <c r="F1518">
        <f>IF($E1518="","",N(F1517)+1)</f>
        <v>0</v>
      </c>
      <c r="G1518">
        <f>IF(OR($E1518="",$E1517=""),"",LN($E1518/$E1517))</f>
        <v>0</v>
      </c>
      <c r="H1518">
        <f>IF($E1518="","",IF($E1517="",$E1518,$E1518*0.0952380952+H1517*0.9047619048))</f>
        <v>0</v>
      </c>
      <c r="I1518">
        <f>IF($E1518="","",IF($E1517="",$E1518,$E1518*0.0392156863+I1517*0.9607843137))</f>
        <v>0</v>
      </c>
      <c r="J1518">
        <f>IF($E1518="","",IF($E1517="",$E1518,$E1518*0.0198019802+J1517*0.9801980198))</f>
        <v>0</v>
      </c>
      <c r="K1518">
        <f>IF($E1518="","",IF($E1517="",$E1518,$E1518*0.0099502488+K1517*0.9900497512))</f>
        <v>0</v>
      </c>
      <c r="L1518">
        <f>IF(OR($E1518="",$E1517=""),"",MAX($E1518-$E1517,0))</f>
        <v>0</v>
      </c>
      <c r="M1518">
        <f>IF(OR($E1518="",$E1517=""),"",MAX($E1517-$E1518,0))</f>
        <v>0</v>
      </c>
      <c r="N1518">
        <f>IF(COUNT($E$2:$E1518)&lt;15,"",IF(AVERAGE($M$1505:$M$1518)=0,100,100-100/(1+AVERAGE($L$1505:$L$1518)/AVERAGE($M$1505:$M$1518))))</f>
        <v>0</v>
      </c>
      <c r="O1518">
        <f>IF($E1518="","",IF($E1517="",$E1518,$E1518*0.1538461538+O1517*0.8461538462))</f>
        <v>0</v>
      </c>
      <c r="P1518">
        <f>IF($E1518="","",IF($E1517="",$E1518,$E1518*0.0740740741+P1517*0.9259259259))</f>
        <v>0</v>
      </c>
      <c r="Q1518">
        <f>IF(OR(O1518="",P1518=""),"",O1518-P1518)</f>
        <v>0</v>
      </c>
      <c r="R1518">
        <f>IF(Q1518="","",IF(R1517="",Q1518,Q1518*0.2000000000+R1517*0.8000000000))</f>
        <v>0</v>
      </c>
      <c r="S1518">
        <f>IF(OR(Q1518="",R1518=""),"",Q1518-R1518)</f>
        <v>0</v>
      </c>
      <c r="T1518">
        <f>IF(COUNT($E$2:$E1518)&lt;14,"",MAX($C$1505:$C$1518))</f>
        <v>0</v>
      </c>
      <c r="U1518">
        <f>IF(COUNT($E$2:$E1518)&lt;14,"",MIN($D$1505:$D$1518))</f>
        <v>0</v>
      </c>
      <c r="V1518">
        <f>IF(OR(T1518="",U1518="",T1518=U1518),"",100*($E1518-U1518)/(T1518-U1518))</f>
        <v>0</v>
      </c>
      <c r="W1518">
        <f>IF(COUNT($V$1516:$V$1518)&lt;3,"",AVERAGE($V$1516:$V$1518))</f>
        <v>0</v>
      </c>
      <c r="X1518">
        <f>IF(COUNT($N$1505:$N$1518)&lt;14,"",MIN($N$1505:$N$1518))</f>
        <v>0</v>
      </c>
      <c r="Y1518">
        <f>IF(COUNT($N$1505:$N$1518)&lt;14,"",MAX($N$1505:$N$1518))</f>
        <v>0</v>
      </c>
      <c r="Z1518">
        <f>IF(OR(N1518="",X1518="",Y1518="",Y1518=X1518),"",100*(N1518-X1518)/(Y1518-X1518))</f>
        <v>0</v>
      </c>
      <c r="AA1518">
        <f>IF(COUNT($Z$1516:$Z$1518)&lt;3,"",AVERAGE($Z$1516:$Z$1518))</f>
        <v>0</v>
      </c>
      <c r="AB1518">
        <f>IF(COUNT($AA$1516:$AA$1518)&lt;3,"",AVERAGE($AA$1516:$AA$1518))</f>
        <v>0</v>
      </c>
      <c r="AC1518">
        <f>IF($E1518="","",MAX($C1518-$D1518,ABS($C1518-$E1517),ABS($D1518-$E1517)))</f>
        <v>0</v>
      </c>
      <c r="AD1518">
        <f>IF(COUNT($E$2:$E1518)&lt;15,"",AVERAGE($AC$1505:$AC$1518))</f>
        <v>0</v>
      </c>
      <c r="AE1518">
        <f>IF(OR($E1518="",$E1517=""),"",IF(AND(($C1518-$C1517)&gt;($D1517-$D1518),($C1518-$C1517)&gt;0),$C1518-$C1517,0))</f>
        <v>0</v>
      </c>
      <c r="AF1518">
        <f>IF(OR($E1518="",$E1517=""),"",IF(AND(($D1517-$D1518)&gt;($C1518-$C1517),($D1517-$D1518)&gt;0),$D1517-$D1518,0))</f>
        <v>0</v>
      </c>
      <c r="AG1518">
        <f>IF(COUNT($E$2:$E1518)&lt;15,"",IF(SUM($AC$1505:$AC$1518)=0,0,100*SUM($AE$1505:$AE$1518)/SUM($AC$1505:$AC$1518)))</f>
        <v>0</v>
      </c>
      <c r="AH1518">
        <f>IF(COUNT($E$2:$E1518)&lt;15,"",IF(SUM($AC$1505:$AC$1518)=0,0,100*SUM($AF$1505:$AF$1518)/SUM($AC$1505:$AC$1518)))</f>
        <v>0</v>
      </c>
      <c r="AI1518">
        <f>IF(OR(AG1518="",AH1518=""),"",IF((AG1518+AH1518)=0,0,100*ABS(AG1518-AH1518)/(AG1518+AH1518)))</f>
        <v>0</v>
      </c>
      <c r="AJ1518">
        <f>IF(COUNT($AI$1505:$AI$1518)&lt;14,"",AVERAGE($AI$1505:$AI$1518))</f>
        <v>0</v>
      </c>
      <c r="AK1518">
        <f>IF(COUNT($E$2:$E1518)&lt;20,"",AVERAGE($E$1499:$E$1518))</f>
        <v>0</v>
      </c>
      <c r="AL1518">
        <f>IF(COUNT($E$2:$E1518)&lt;20,"",STDEVP($E$1499:$E$1518))</f>
        <v>0</v>
      </c>
      <c r="AM1518">
        <f>IF(AK1518="","",AK1518+2*AL1518)</f>
        <v>0</v>
      </c>
      <c r="AN1518">
        <f>IF(AK1518="","",AK1518-2*AL1518)</f>
        <v>0</v>
      </c>
      <c r="AO1518">
        <f>IF(OR(AM1518="",AN1518="",AM1518=AN1518),"",($E1518-AN1518)/(AM1518-AN1518))</f>
        <v>0</v>
      </c>
      <c r="AP1518">
        <f>IF(OR(AM1518="",AK1518="",AK1518=0),"",(AM1518-AN1518)/AK1518)</f>
        <v>0</v>
      </c>
      <c r="AQ1518">
        <f>IF(COUNT($E$2:$E1518)&lt;20,"",MAX($C$1499:$C$1518))</f>
        <v>0</v>
      </c>
      <c r="AR1518">
        <f>IF(COUNT($E$2:$E1518)&lt;20,"",MIN($D$1499:$D$1518))</f>
        <v>0</v>
      </c>
      <c r="AS1518">
        <f>IF(OR(AQ1518="",AR1518=""),"",(AQ1518+AR1518)/2)</f>
        <v>0</v>
      </c>
      <c r="AT1518">
        <f>IF(COUNT($G$1499:$G$1518)&lt;20,"",STDEV($G$1499:$G$1518)*SQRT(252))</f>
        <v>0</v>
      </c>
      <c r="AU1518">
        <f>IF(COUNT($E$2:$E1518)&lt;9,"",(MAX($C$1510:$C$1518)+MIN($D$1510:$D$1518))/2)</f>
        <v>0</v>
      </c>
      <c r="AV1518">
        <f>IF(COUNT($E$2:$E1518)&lt;26,"",(MAX($C$1493:$C$1518)+MIN($D$1493:$D$1518))/2)</f>
        <v>0</v>
      </c>
      <c r="AW1518">
        <f>IF(OR(AU1518="",AV1518=""),"",(AU1518+AV1518)/2)</f>
        <v>0</v>
      </c>
      <c r="AX1518">
        <f>IF(COUNT($E$2:$E1518)&lt;52,"",(MAX($C$1467:$C$1518)+MIN($D$1467:$D$1518))/2)</f>
        <v>0</v>
      </c>
      <c r="AY1518">
        <f>IF(COUNT($E$2:$E1518)&lt;20,"",MAX($C$1419:$C$1518))</f>
        <v>0</v>
      </c>
      <c r="AZ1518">
        <f>IF(COUNT($E$2:$E1518)&lt;20,"",MIN($D$1419:$D$1518))</f>
        <v>0</v>
      </c>
      <c r="BA1518">
        <f>IF(COUNT($E$2:$E1518)&lt;20,"",SLOPE($E$1419:$E$1518,$F$1419:$F$1518))</f>
        <v>0</v>
      </c>
      <c r="BB1518">
        <f>IF(COUNT($E$2:$E1518)&lt;20,"",INTERCEPT($E$1419:$E$1518,$F$1419:$F$1518))</f>
        <v>0</v>
      </c>
      <c r="BC1518">
        <f>IF(OR(BA1518="",BB1518=""),"",BB1518+BA1518*F1518)</f>
        <v>0</v>
      </c>
      <c r="BD1518">
        <f>IF(COUNT($E$2:$E1518)&lt;20,"",STEYX($E$1419:$E$1518,$F$1419:$F$1518))</f>
        <v>0</v>
      </c>
      <c r="BE1518">
        <f>IF($E1518="","",IF(AND(COUNT($E$1519:$E$1522)&gt;=4,$C1518=MAX($C$1514:$C$1522)),$C1518,""))</f>
        <v>0</v>
      </c>
      <c r="BF1518">
        <f>IF($E1518="","",IF(AND(COUNT($E$1519:$E$1522)&gt;=4,$D1518=MIN($D$1514:$D$1522)),$D1518,""))</f>
        <v>0</v>
      </c>
      <c r="BG1518">
        <f>IF($A1518="","",$A1518-WEEKDAY($A1518,2)+1)</f>
        <v>0</v>
      </c>
      <c r="BH1518">
        <f>IF($A1518="","",IF($A1517="",1,IF(BG1518&lt;&gt;BG1517,1,0)))</f>
        <v>0</v>
      </c>
      <c r="BI1518">
        <f>IF($A1518="","",IF($A1519="",1,IF(BG1519&lt;&gt;BG1518,1,0)))</f>
        <v>0</v>
      </c>
      <c r="BJ1518">
        <f>IF($A1518="","",IF(BH1518=1,$B1518,BJ1517))</f>
        <v>0</v>
      </c>
      <c r="BK1518">
        <f>IF($A1518="","",IF(BH1518=1,$C1518,MAX($C1518,BK1517)))</f>
        <v>0</v>
      </c>
      <c r="BL1518">
        <f>IF($A1518="","",IF(BH1518=1,$D1518,MIN($D1518,BL1517)))</f>
        <v>0</v>
      </c>
      <c r="BM1518">
        <f>IF($A1518="","",IF(BI1518=1,F1518,""))</f>
        <v>0</v>
      </c>
      <c r="BN1518">
        <f>IF($A1518="","",DATE(YEAR($A1518),MONTH($A1518),1))</f>
        <v>0</v>
      </c>
      <c r="BO1518">
        <f>IF($A1518="","",IF($A1517="",1,IF(BN1518&lt;&gt;BN1517,1,0)))</f>
        <v>0</v>
      </c>
      <c r="BP1518">
        <f>IF($A1518="","",IF($A1519="",1,IF(BN1519&lt;&gt;BN1518,1,0)))</f>
        <v>0</v>
      </c>
      <c r="BQ1518">
        <f>IF($A1518="","",IF(BO1518=1,$B1518,BQ1517))</f>
        <v>0</v>
      </c>
      <c r="BR1518">
        <f>IF($A1518="","",IF(BO1518=1,$C1518,MAX($C1518,BR1517)))</f>
        <v>0</v>
      </c>
      <c r="BS1518">
        <f>IF($A1518="","",IF(BO1518=1,$D1518,MIN($D1518,BS1517)))</f>
        <v>0</v>
      </c>
      <c r="BT1518">
        <f>IF($A1518="","",IF(BP1518=1,F1518,""))</f>
        <v>0</v>
      </c>
    </row>
    <row r="1519" spans="1:72">
      <c r="A1519" s="27">
        <f>IF(Data!$A1519="","",Data!$A1519)</f>
        <v>0</v>
      </c>
      <c r="B1519">
        <f>IF(Data!$B1519="","",Data!$B1519)</f>
        <v>0</v>
      </c>
      <c r="C1519">
        <f>IF(Data!$C1519="","",Data!$C1519)</f>
        <v>0</v>
      </c>
      <c r="D1519">
        <f>IF(Data!$D1519="","",Data!$D1519)</f>
        <v>0</v>
      </c>
      <c r="E1519">
        <f>IF(Data!$E1519="","",Data!$E1519)</f>
        <v>0</v>
      </c>
      <c r="F1519">
        <f>IF($E1519="","",N(F1518)+1)</f>
        <v>0</v>
      </c>
      <c r="G1519">
        <f>IF(OR($E1519="",$E1518=""),"",LN($E1519/$E1518))</f>
        <v>0</v>
      </c>
      <c r="H1519">
        <f>IF($E1519="","",IF($E1518="",$E1519,$E1519*0.0952380952+H1518*0.9047619048))</f>
        <v>0</v>
      </c>
      <c r="I1519">
        <f>IF($E1519="","",IF($E1518="",$E1519,$E1519*0.0392156863+I1518*0.9607843137))</f>
        <v>0</v>
      </c>
      <c r="J1519">
        <f>IF($E1519="","",IF($E1518="",$E1519,$E1519*0.0198019802+J1518*0.9801980198))</f>
        <v>0</v>
      </c>
      <c r="K1519">
        <f>IF($E1519="","",IF($E1518="",$E1519,$E1519*0.0099502488+K1518*0.9900497512))</f>
        <v>0</v>
      </c>
      <c r="L1519">
        <f>IF(OR($E1519="",$E1518=""),"",MAX($E1519-$E1518,0))</f>
        <v>0</v>
      </c>
      <c r="M1519">
        <f>IF(OR($E1519="",$E1518=""),"",MAX($E1518-$E1519,0))</f>
        <v>0</v>
      </c>
      <c r="N1519">
        <f>IF(COUNT($E$2:$E1519)&lt;15,"",IF(AVERAGE($M$1506:$M$1519)=0,100,100-100/(1+AVERAGE($L$1506:$L$1519)/AVERAGE($M$1506:$M$1519))))</f>
        <v>0</v>
      </c>
      <c r="O1519">
        <f>IF($E1519="","",IF($E1518="",$E1519,$E1519*0.1538461538+O1518*0.8461538462))</f>
        <v>0</v>
      </c>
      <c r="P1519">
        <f>IF($E1519="","",IF($E1518="",$E1519,$E1519*0.0740740741+P1518*0.9259259259))</f>
        <v>0</v>
      </c>
      <c r="Q1519">
        <f>IF(OR(O1519="",P1519=""),"",O1519-P1519)</f>
        <v>0</v>
      </c>
      <c r="R1519">
        <f>IF(Q1519="","",IF(R1518="",Q1519,Q1519*0.2000000000+R1518*0.8000000000))</f>
        <v>0</v>
      </c>
      <c r="S1519">
        <f>IF(OR(Q1519="",R1519=""),"",Q1519-R1519)</f>
        <v>0</v>
      </c>
      <c r="T1519">
        <f>IF(COUNT($E$2:$E1519)&lt;14,"",MAX($C$1506:$C$1519))</f>
        <v>0</v>
      </c>
      <c r="U1519">
        <f>IF(COUNT($E$2:$E1519)&lt;14,"",MIN($D$1506:$D$1519))</f>
        <v>0</v>
      </c>
      <c r="V1519">
        <f>IF(OR(T1519="",U1519="",T1519=U1519),"",100*($E1519-U1519)/(T1519-U1519))</f>
        <v>0</v>
      </c>
      <c r="W1519">
        <f>IF(COUNT($V$1517:$V$1519)&lt;3,"",AVERAGE($V$1517:$V$1519))</f>
        <v>0</v>
      </c>
      <c r="X1519">
        <f>IF(COUNT($N$1506:$N$1519)&lt;14,"",MIN($N$1506:$N$1519))</f>
        <v>0</v>
      </c>
      <c r="Y1519">
        <f>IF(COUNT($N$1506:$N$1519)&lt;14,"",MAX($N$1506:$N$1519))</f>
        <v>0</v>
      </c>
      <c r="Z1519">
        <f>IF(OR(N1519="",X1519="",Y1519="",Y1519=X1519),"",100*(N1519-X1519)/(Y1519-X1519))</f>
        <v>0</v>
      </c>
      <c r="AA1519">
        <f>IF(COUNT($Z$1517:$Z$1519)&lt;3,"",AVERAGE($Z$1517:$Z$1519))</f>
        <v>0</v>
      </c>
      <c r="AB1519">
        <f>IF(COUNT($AA$1517:$AA$1519)&lt;3,"",AVERAGE($AA$1517:$AA$1519))</f>
        <v>0</v>
      </c>
      <c r="AC1519">
        <f>IF($E1519="","",MAX($C1519-$D1519,ABS($C1519-$E1518),ABS($D1519-$E1518)))</f>
        <v>0</v>
      </c>
      <c r="AD1519">
        <f>IF(COUNT($E$2:$E1519)&lt;15,"",AVERAGE($AC$1506:$AC$1519))</f>
        <v>0</v>
      </c>
      <c r="AE1519">
        <f>IF(OR($E1519="",$E1518=""),"",IF(AND(($C1519-$C1518)&gt;($D1518-$D1519),($C1519-$C1518)&gt;0),$C1519-$C1518,0))</f>
        <v>0</v>
      </c>
      <c r="AF1519">
        <f>IF(OR($E1519="",$E1518=""),"",IF(AND(($D1518-$D1519)&gt;($C1519-$C1518),($D1518-$D1519)&gt;0),$D1518-$D1519,0))</f>
        <v>0</v>
      </c>
      <c r="AG1519">
        <f>IF(COUNT($E$2:$E1519)&lt;15,"",IF(SUM($AC$1506:$AC$1519)=0,0,100*SUM($AE$1506:$AE$1519)/SUM($AC$1506:$AC$1519)))</f>
        <v>0</v>
      </c>
      <c r="AH1519">
        <f>IF(COUNT($E$2:$E1519)&lt;15,"",IF(SUM($AC$1506:$AC$1519)=0,0,100*SUM($AF$1506:$AF$1519)/SUM($AC$1506:$AC$1519)))</f>
        <v>0</v>
      </c>
      <c r="AI1519">
        <f>IF(OR(AG1519="",AH1519=""),"",IF((AG1519+AH1519)=0,0,100*ABS(AG1519-AH1519)/(AG1519+AH1519)))</f>
        <v>0</v>
      </c>
      <c r="AJ1519">
        <f>IF(COUNT($AI$1506:$AI$1519)&lt;14,"",AVERAGE($AI$1506:$AI$1519))</f>
        <v>0</v>
      </c>
      <c r="AK1519">
        <f>IF(COUNT($E$2:$E1519)&lt;20,"",AVERAGE($E$1500:$E$1519))</f>
        <v>0</v>
      </c>
      <c r="AL1519">
        <f>IF(COUNT($E$2:$E1519)&lt;20,"",STDEVP($E$1500:$E$1519))</f>
        <v>0</v>
      </c>
      <c r="AM1519">
        <f>IF(AK1519="","",AK1519+2*AL1519)</f>
        <v>0</v>
      </c>
      <c r="AN1519">
        <f>IF(AK1519="","",AK1519-2*AL1519)</f>
        <v>0</v>
      </c>
      <c r="AO1519">
        <f>IF(OR(AM1519="",AN1519="",AM1519=AN1519),"",($E1519-AN1519)/(AM1519-AN1519))</f>
        <v>0</v>
      </c>
      <c r="AP1519">
        <f>IF(OR(AM1519="",AK1519="",AK1519=0),"",(AM1519-AN1519)/AK1519)</f>
        <v>0</v>
      </c>
      <c r="AQ1519">
        <f>IF(COUNT($E$2:$E1519)&lt;20,"",MAX($C$1500:$C$1519))</f>
        <v>0</v>
      </c>
      <c r="AR1519">
        <f>IF(COUNT($E$2:$E1519)&lt;20,"",MIN($D$1500:$D$1519))</f>
        <v>0</v>
      </c>
      <c r="AS1519">
        <f>IF(OR(AQ1519="",AR1519=""),"",(AQ1519+AR1519)/2)</f>
        <v>0</v>
      </c>
      <c r="AT1519">
        <f>IF(COUNT($G$1500:$G$1519)&lt;20,"",STDEV($G$1500:$G$1519)*SQRT(252))</f>
        <v>0</v>
      </c>
      <c r="AU1519">
        <f>IF(COUNT($E$2:$E1519)&lt;9,"",(MAX($C$1511:$C$1519)+MIN($D$1511:$D$1519))/2)</f>
        <v>0</v>
      </c>
      <c r="AV1519">
        <f>IF(COUNT($E$2:$E1519)&lt;26,"",(MAX($C$1494:$C$1519)+MIN($D$1494:$D$1519))/2)</f>
        <v>0</v>
      </c>
      <c r="AW1519">
        <f>IF(OR(AU1519="",AV1519=""),"",(AU1519+AV1519)/2)</f>
        <v>0</v>
      </c>
      <c r="AX1519">
        <f>IF(COUNT($E$2:$E1519)&lt;52,"",(MAX($C$1468:$C$1519)+MIN($D$1468:$D$1519))/2)</f>
        <v>0</v>
      </c>
      <c r="AY1519">
        <f>IF(COUNT($E$2:$E1519)&lt;20,"",MAX($C$1420:$C$1519))</f>
        <v>0</v>
      </c>
      <c r="AZ1519">
        <f>IF(COUNT($E$2:$E1519)&lt;20,"",MIN($D$1420:$D$1519))</f>
        <v>0</v>
      </c>
      <c r="BA1519">
        <f>IF(COUNT($E$2:$E1519)&lt;20,"",SLOPE($E$1420:$E$1519,$F$1420:$F$1519))</f>
        <v>0</v>
      </c>
      <c r="BB1519">
        <f>IF(COUNT($E$2:$E1519)&lt;20,"",INTERCEPT($E$1420:$E$1519,$F$1420:$F$1519))</f>
        <v>0</v>
      </c>
      <c r="BC1519">
        <f>IF(OR(BA1519="",BB1519=""),"",BB1519+BA1519*F1519)</f>
        <v>0</v>
      </c>
      <c r="BD1519">
        <f>IF(COUNT($E$2:$E1519)&lt;20,"",STEYX($E$1420:$E$1519,$F$1420:$F$1519))</f>
        <v>0</v>
      </c>
      <c r="BE1519">
        <f>IF($E1519="","",IF(AND(COUNT($E$1520:$E$1523)&gt;=4,$C1519=MAX($C$1515:$C$1523)),$C1519,""))</f>
        <v>0</v>
      </c>
      <c r="BF1519">
        <f>IF($E1519="","",IF(AND(COUNT($E$1520:$E$1523)&gt;=4,$D1519=MIN($D$1515:$D$1523)),$D1519,""))</f>
        <v>0</v>
      </c>
      <c r="BG1519">
        <f>IF($A1519="","",$A1519-WEEKDAY($A1519,2)+1)</f>
        <v>0</v>
      </c>
      <c r="BH1519">
        <f>IF($A1519="","",IF($A1518="",1,IF(BG1519&lt;&gt;BG1518,1,0)))</f>
        <v>0</v>
      </c>
      <c r="BI1519">
        <f>IF($A1519="","",IF($A1520="",1,IF(BG1520&lt;&gt;BG1519,1,0)))</f>
        <v>0</v>
      </c>
      <c r="BJ1519">
        <f>IF($A1519="","",IF(BH1519=1,$B1519,BJ1518))</f>
        <v>0</v>
      </c>
      <c r="BK1519">
        <f>IF($A1519="","",IF(BH1519=1,$C1519,MAX($C1519,BK1518)))</f>
        <v>0</v>
      </c>
      <c r="BL1519">
        <f>IF($A1519="","",IF(BH1519=1,$D1519,MIN($D1519,BL1518)))</f>
        <v>0</v>
      </c>
      <c r="BM1519">
        <f>IF($A1519="","",IF(BI1519=1,F1519,""))</f>
        <v>0</v>
      </c>
      <c r="BN1519">
        <f>IF($A1519="","",DATE(YEAR($A1519),MONTH($A1519),1))</f>
        <v>0</v>
      </c>
      <c r="BO1519">
        <f>IF($A1519="","",IF($A1518="",1,IF(BN1519&lt;&gt;BN1518,1,0)))</f>
        <v>0</v>
      </c>
      <c r="BP1519">
        <f>IF($A1519="","",IF($A1520="",1,IF(BN1520&lt;&gt;BN1519,1,0)))</f>
        <v>0</v>
      </c>
      <c r="BQ1519">
        <f>IF($A1519="","",IF(BO1519=1,$B1519,BQ1518))</f>
        <v>0</v>
      </c>
      <c r="BR1519">
        <f>IF($A1519="","",IF(BO1519=1,$C1519,MAX($C1519,BR1518)))</f>
        <v>0</v>
      </c>
      <c r="BS1519">
        <f>IF($A1519="","",IF(BO1519=1,$D1519,MIN($D1519,BS1518)))</f>
        <v>0</v>
      </c>
      <c r="BT1519">
        <f>IF($A1519="","",IF(BP1519=1,F1519,""))</f>
        <v>0</v>
      </c>
    </row>
    <row r="1520" spans="1:72">
      <c r="A1520" s="27">
        <f>IF(Data!$A1520="","",Data!$A1520)</f>
        <v>0</v>
      </c>
      <c r="B1520">
        <f>IF(Data!$B1520="","",Data!$B1520)</f>
        <v>0</v>
      </c>
      <c r="C1520">
        <f>IF(Data!$C1520="","",Data!$C1520)</f>
        <v>0</v>
      </c>
      <c r="D1520">
        <f>IF(Data!$D1520="","",Data!$D1520)</f>
        <v>0</v>
      </c>
      <c r="E1520">
        <f>IF(Data!$E1520="","",Data!$E1520)</f>
        <v>0</v>
      </c>
      <c r="F1520">
        <f>IF($E1520="","",N(F1519)+1)</f>
        <v>0</v>
      </c>
      <c r="G1520">
        <f>IF(OR($E1520="",$E1519=""),"",LN($E1520/$E1519))</f>
        <v>0</v>
      </c>
      <c r="H1520">
        <f>IF($E1520="","",IF($E1519="",$E1520,$E1520*0.0952380952+H1519*0.9047619048))</f>
        <v>0</v>
      </c>
      <c r="I1520">
        <f>IF($E1520="","",IF($E1519="",$E1520,$E1520*0.0392156863+I1519*0.9607843137))</f>
        <v>0</v>
      </c>
      <c r="J1520">
        <f>IF($E1520="","",IF($E1519="",$E1520,$E1520*0.0198019802+J1519*0.9801980198))</f>
        <v>0</v>
      </c>
      <c r="K1520">
        <f>IF($E1520="","",IF($E1519="",$E1520,$E1520*0.0099502488+K1519*0.9900497512))</f>
        <v>0</v>
      </c>
      <c r="L1520">
        <f>IF(OR($E1520="",$E1519=""),"",MAX($E1520-$E1519,0))</f>
        <v>0</v>
      </c>
      <c r="M1520">
        <f>IF(OR($E1520="",$E1519=""),"",MAX($E1519-$E1520,0))</f>
        <v>0</v>
      </c>
      <c r="N1520">
        <f>IF(COUNT($E$2:$E1520)&lt;15,"",IF(AVERAGE($M$1507:$M$1520)=0,100,100-100/(1+AVERAGE($L$1507:$L$1520)/AVERAGE($M$1507:$M$1520))))</f>
        <v>0</v>
      </c>
      <c r="O1520">
        <f>IF($E1520="","",IF($E1519="",$E1520,$E1520*0.1538461538+O1519*0.8461538462))</f>
        <v>0</v>
      </c>
      <c r="P1520">
        <f>IF($E1520="","",IF($E1519="",$E1520,$E1520*0.0740740741+P1519*0.9259259259))</f>
        <v>0</v>
      </c>
      <c r="Q1520">
        <f>IF(OR(O1520="",P1520=""),"",O1520-P1520)</f>
        <v>0</v>
      </c>
      <c r="R1520">
        <f>IF(Q1520="","",IF(R1519="",Q1520,Q1520*0.2000000000+R1519*0.8000000000))</f>
        <v>0</v>
      </c>
      <c r="S1520">
        <f>IF(OR(Q1520="",R1520=""),"",Q1520-R1520)</f>
        <v>0</v>
      </c>
      <c r="T1520">
        <f>IF(COUNT($E$2:$E1520)&lt;14,"",MAX($C$1507:$C$1520))</f>
        <v>0</v>
      </c>
      <c r="U1520">
        <f>IF(COUNT($E$2:$E1520)&lt;14,"",MIN($D$1507:$D$1520))</f>
        <v>0</v>
      </c>
      <c r="V1520">
        <f>IF(OR(T1520="",U1520="",T1520=U1520),"",100*($E1520-U1520)/(T1520-U1520))</f>
        <v>0</v>
      </c>
      <c r="W1520">
        <f>IF(COUNT($V$1518:$V$1520)&lt;3,"",AVERAGE($V$1518:$V$1520))</f>
        <v>0</v>
      </c>
      <c r="X1520">
        <f>IF(COUNT($N$1507:$N$1520)&lt;14,"",MIN($N$1507:$N$1520))</f>
        <v>0</v>
      </c>
      <c r="Y1520">
        <f>IF(COUNT($N$1507:$N$1520)&lt;14,"",MAX($N$1507:$N$1520))</f>
        <v>0</v>
      </c>
      <c r="Z1520">
        <f>IF(OR(N1520="",X1520="",Y1520="",Y1520=X1520),"",100*(N1520-X1520)/(Y1520-X1520))</f>
        <v>0</v>
      </c>
      <c r="AA1520">
        <f>IF(COUNT($Z$1518:$Z$1520)&lt;3,"",AVERAGE($Z$1518:$Z$1520))</f>
        <v>0</v>
      </c>
      <c r="AB1520">
        <f>IF(COUNT($AA$1518:$AA$1520)&lt;3,"",AVERAGE($AA$1518:$AA$1520))</f>
        <v>0</v>
      </c>
      <c r="AC1520">
        <f>IF($E1520="","",MAX($C1520-$D1520,ABS($C1520-$E1519),ABS($D1520-$E1519)))</f>
        <v>0</v>
      </c>
      <c r="AD1520">
        <f>IF(COUNT($E$2:$E1520)&lt;15,"",AVERAGE($AC$1507:$AC$1520))</f>
        <v>0</v>
      </c>
      <c r="AE1520">
        <f>IF(OR($E1520="",$E1519=""),"",IF(AND(($C1520-$C1519)&gt;($D1519-$D1520),($C1520-$C1519)&gt;0),$C1520-$C1519,0))</f>
        <v>0</v>
      </c>
      <c r="AF1520">
        <f>IF(OR($E1520="",$E1519=""),"",IF(AND(($D1519-$D1520)&gt;($C1520-$C1519),($D1519-$D1520)&gt;0),$D1519-$D1520,0))</f>
        <v>0</v>
      </c>
      <c r="AG1520">
        <f>IF(COUNT($E$2:$E1520)&lt;15,"",IF(SUM($AC$1507:$AC$1520)=0,0,100*SUM($AE$1507:$AE$1520)/SUM($AC$1507:$AC$1520)))</f>
        <v>0</v>
      </c>
      <c r="AH1520">
        <f>IF(COUNT($E$2:$E1520)&lt;15,"",IF(SUM($AC$1507:$AC$1520)=0,0,100*SUM($AF$1507:$AF$1520)/SUM($AC$1507:$AC$1520)))</f>
        <v>0</v>
      </c>
      <c r="AI1520">
        <f>IF(OR(AG1520="",AH1520=""),"",IF((AG1520+AH1520)=0,0,100*ABS(AG1520-AH1520)/(AG1520+AH1520)))</f>
        <v>0</v>
      </c>
      <c r="AJ1520">
        <f>IF(COUNT($AI$1507:$AI$1520)&lt;14,"",AVERAGE($AI$1507:$AI$1520))</f>
        <v>0</v>
      </c>
      <c r="AK1520">
        <f>IF(COUNT($E$2:$E1520)&lt;20,"",AVERAGE($E$1501:$E$1520))</f>
        <v>0</v>
      </c>
      <c r="AL1520">
        <f>IF(COUNT($E$2:$E1520)&lt;20,"",STDEVP($E$1501:$E$1520))</f>
        <v>0</v>
      </c>
      <c r="AM1520">
        <f>IF(AK1520="","",AK1520+2*AL1520)</f>
        <v>0</v>
      </c>
      <c r="AN1520">
        <f>IF(AK1520="","",AK1520-2*AL1520)</f>
        <v>0</v>
      </c>
      <c r="AO1520">
        <f>IF(OR(AM1520="",AN1520="",AM1520=AN1520),"",($E1520-AN1520)/(AM1520-AN1520))</f>
        <v>0</v>
      </c>
      <c r="AP1520">
        <f>IF(OR(AM1520="",AK1520="",AK1520=0),"",(AM1520-AN1520)/AK1520)</f>
        <v>0</v>
      </c>
      <c r="AQ1520">
        <f>IF(COUNT($E$2:$E1520)&lt;20,"",MAX($C$1501:$C$1520))</f>
        <v>0</v>
      </c>
      <c r="AR1520">
        <f>IF(COUNT($E$2:$E1520)&lt;20,"",MIN($D$1501:$D$1520))</f>
        <v>0</v>
      </c>
      <c r="AS1520">
        <f>IF(OR(AQ1520="",AR1520=""),"",(AQ1520+AR1520)/2)</f>
        <v>0</v>
      </c>
      <c r="AT1520">
        <f>IF(COUNT($G$1501:$G$1520)&lt;20,"",STDEV($G$1501:$G$1520)*SQRT(252))</f>
        <v>0</v>
      </c>
      <c r="AU1520">
        <f>IF(COUNT($E$2:$E1520)&lt;9,"",(MAX($C$1512:$C$1520)+MIN($D$1512:$D$1520))/2)</f>
        <v>0</v>
      </c>
      <c r="AV1520">
        <f>IF(COUNT($E$2:$E1520)&lt;26,"",(MAX($C$1495:$C$1520)+MIN($D$1495:$D$1520))/2)</f>
        <v>0</v>
      </c>
      <c r="AW1520">
        <f>IF(OR(AU1520="",AV1520=""),"",(AU1520+AV1520)/2)</f>
        <v>0</v>
      </c>
      <c r="AX1520">
        <f>IF(COUNT($E$2:$E1520)&lt;52,"",(MAX($C$1469:$C$1520)+MIN($D$1469:$D$1520))/2)</f>
        <v>0</v>
      </c>
      <c r="AY1520">
        <f>IF(COUNT($E$2:$E1520)&lt;20,"",MAX($C$1421:$C$1520))</f>
        <v>0</v>
      </c>
      <c r="AZ1520">
        <f>IF(COUNT($E$2:$E1520)&lt;20,"",MIN($D$1421:$D$1520))</f>
        <v>0</v>
      </c>
      <c r="BA1520">
        <f>IF(COUNT($E$2:$E1520)&lt;20,"",SLOPE($E$1421:$E$1520,$F$1421:$F$1520))</f>
        <v>0</v>
      </c>
      <c r="BB1520">
        <f>IF(COUNT($E$2:$E1520)&lt;20,"",INTERCEPT($E$1421:$E$1520,$F$1421:$F$1520))</f>
        <v>0</v>
      </c>
      <c r="BC1520">
        <f>IF(OR(BA1520="",BB1520=""),"",BB1520+BA1520*F1520)</f>
        <v>0</v>
      </c>
      <c r="BD1520">
        <f>IF(COUNT($E$2:$E1520)&lt;20,"",STEYX($E$1421:$E$1520,$F$1421:$F$1520))</f>
        <v>0</v>
      </c>
      <c r="BE1520">
        <f>IF($E1520="","",IF(AND(COUNT($E$1521:$E$1524)&gt;=4,$C1520=MAX($C$1516:$C$1524)),$C1520,""))</f>
        <v>0</v>
      </c>
      <c r="BF1520">
        <f>IF($E1520="","",IF(AND(COUNT($E$1521:$E$1524)&gt;=4,$D1520=MIN($D$1516:$D$1524)),$D1520,""))</f>
        <v>0</v>
      </c>
      <c r="BG1520">
        <f>IF($A1520="","",$A1520-WEEKDAY($A1520,2)+1)</f>
        <v>0</v>
      </c>
      <c r="BH1520">
        <f>IF($A1520="","",IF($A1519="",1,IF(BG1520&lt;&gt;BG1519,1,0)))</f>
        <v>0</v>
      </c>
      <c r="BI1520">
        <f>IF($A1520="","",IF($A1521="",1,IF(BG1521&lt;&gt;BG1520,1,0)))</f>
        <v>0</v>
      </c>
      <c r="BJ1520">
        <f>IF($A1520="","",IF(BH1520=1,$B1520,BJ1519))</f>
        <v>0</v>
      </c>
      <c r="BK1520">
        <f>IF($A1520="","",IF(BH1520=1,$C1520,MAX($C1520,BK1519)))</f>
        <v>0</v>
      </c>
      <c r="BL1520">
        <f>IF($A1520="","",IF(BH1520=1,$D1520,MIN($D1520,BL1519)))</f>
        <v>0</v>
      </c>
      <c r="BM1520">
        <f>IF($A1520="","",IF(BI1520=1,F1520,""))</f>
        <v>0</v>
      </c>
      <c r="BN1520">
        <f>IF($A1520="","",DATE(YEAR($A1520),MONTH($A1520),1))</f>
        <v>0</v>
      </c>
      <c r="BO1520">
        <f>IF($A1520="","",IF($A1519="",1,IF(BN1520&lt;&gt;BN1519,1,0)))</f>
        <v>0</v>
      </c>
      <c r="BP1520">
        <f>IF($A1520="","",IF($A1521="",1,IF(BN1521&lt;&gt;BN1520,1,0)))</f>
        <v>0</v>
      </c>
      <c r="BQ1520">
        <f>IF($A1520="","",IF(BO1520=1,$B1520,BQ1519))</f>
        <v>0</v>
      </c>
      <c r="BR1520">
        <f>IF($A1520="","",IF(BO1520=1,$C1520,MAX($C1520,BR1519)))</f>
        <v>0</v>
      </c>
      <c r="BS1520">
        <f>IF($A1520="","",IF(BO1520=1,$D1520,MIN($D1520,BS1519)))</f>
        <v>0</v>
      </c>
      <c r="BT1520">
        <f>IF($A1520="","",IF(BP1520=1,F1520,""))</f>
        <v>0</v>
      </c>
    </row>
    <row r="1521" spans="1:72">
      <c r="A1521" s="27">
        <f>IF(Data!$A1521="","",Data!$A1521)</f>
        <v>0</v>
      </c>
      <c r="B1521">
        <f>IF(Data!$B1521="","",Data!$B1521)</f>
        <v>0</v>
      </c>
      <c r="C1521">
        <f>IF(Data!$C1521="","",Data!$C1521)</f>
        <v>0</v>
      </c>
      <c r="D1521">
        <f>IF(Data!$D1521="","",Data!$D1521)</f>
        <v>0</v>
      </c>
      <c r="E1521">
        <f>IF(Data!$E1521="","",Data!$E1521)</f>
        <v>0</v>
      </c>
      <c r="F1521">
        <f>IF($E1521="","",N(F1520)+1)</f>
        <v>0</v>
      </c>
      <c r="G1521">
        <f>IF(OR($E1521="",$E1520=""),"",LN($E1521/$E1520))</f>
        <v>0</v>
      </c>
      <c r="H1521">
        <f>IF($E1521="","",IF($E1520="",$E1521,$E1521*0.0952380952+H1520*0.9047619048))</f>
        <v>0</v>
      </c>
      <c r="I1521">
        <f>IF($E1521="","",IF($E1520="",$E1521,$E1521*0.0392156863+I1520*0.9607843137))</f>
        <v>0</v>
      </c>
      <c r="J1521">
        <f>IF($E1521="","",IF($E1520="",$E1521,$E1521*0.0198019802+J1520*0.9801980198))</f>
        <v>0</v>
      </c>
      <c r="K1521">
        <f>IF($E1521="","",IF($E1520="",$E1521,$E1521*0.0099502488+K1520*0.9900497512))</f>
        <v>0</v>
      </c>
      <c r="L1521">
        <f>IF(OR($E1521="",$E1520=""),"",MAX($E1521-$E1520,0))</f>
        <v>0</v>
      </c>
      <c r="M1521">
        <f>IF(OR($E1521="",$E1520=""),"",MAX($E1520-$E1521,0))</f>
        <v>0</v>
      </c>
      <c r="N1521">
        <f>IF(COUNT($E$2:$E1521)&lt;15,"",IF(AVERAGE($M$1508:$M$1521)=0,100,100-100/(1+AVERAGE($L$1508:$L$1521)/AVERAGE($M$1508:$M$1521))))</f>
        <v>0</v>
      </c>
      <c r="O1521">
        <f>IF($E1521="","",IF($E1520="",$E1521,$E1521*0.1538461538+O1520*0.8461538462))</f>
        <v>0</v>
      </c>
      <c r="P1521">
        <f>IF($E1521="","",IF($E1520="",$E1521,$E1521*0.0740740741+P1520*0.9259259259))</f>
        <v>0</v>
      </c>
      <c r="Q1521">
        <f>IF(OR(O1521="",P1521=""),"",O1521-P1521)</f>
        <v>0</v>
      </c>
      <c r="R1521">
        <f>IF(Q1521="","",IF(R1520="",Q1521,Q1521*0.2000000000+R1520*0.8000000000))</f>
        <v>0</v>
      </c>
      <c r="S1521">
        <f>IF(OR(Q1521="",R1521=""),"",Q1521-R1521)</f>
        <v>0</v>
      </c>
      <c r="T1521">
        <f>IF(COUNT($E$2:$E1521)&lt;14,"",MAX($C$1508:$C$1521))</f>
        <v>0</v>
      </c>
      <c r="U1521">
        <f>IF(COUNT($E$2:$E1521)&lt;14,"",MIN($D$1508:$D$1521))</f>
        <v>0</v>
      </c>
      <c r="V1521">
        <f>IF(OR(T1521="",U1521="",T1521=U1521),"",100*($E1521-U1521)/(T1521-U1521))</f>
        <v>0</v>
      </c>
      <c r="W1521">
        <f>IF(COUNT($V$1519:$V$1521)&lt;3,"",AVERAGE($V$1519:$V$1521))</f>
        <v>0</v>
      </c>
      <c r="X1521">
        <f>IF(COUNT($N$1508:$N$1521)&lt;14,"",MIN($N$1508:$N$1521))</f>
        <v>0</v>
      </c>
      <c r="Y1521">
        <f>IF(COUNT($N$1508:$N$1521)&lt;14,"",MAX($N$1508:$N$1521))</f>
        <v>0</v>
      </c>
      <c r="Z1521">
        <f>IF(OR(N1521="",X1521="",Y1521="",Y1521=X1521),"",100*(N1521-X1521)/(Y1521-X1521))</f>
        <v>0</v>
      </c>
      <c r="AA1521">
        <f>IF(COUNT($Z$1519:$Z$1521)&lt;3,"",AVERAGE($Z$1519:$Z$1521))</f>
        <v>0</v>
      </c>
      <c r="AB1521">
        <f>IF(COUNT($AA$1519:$AA$1521)&lt;3,"",AVERAGE($AA$1519:$AA$1521))</f>
        <v>0</v>
      </c>
      <c r="AC1521">
        <f>IF($E1521="","",MAX($C1521-$D1521,ABS($C1521-$E1520),ABS($D1521-$E1520)))</f>
        <v>0</v>
      </c>
      <c r="AD1521">
        <f>IF(COUNT($E$2:$E1521)&lt;15,"",AVERAGE($AC$1508:$AC$1521))</f>
        <v>0</v>
      </c>
      <c r="AE1521">
        <f>IF(OR($E1521="",$E1520=""),"",IF(AND(($C1521-$C1520)&gt;($D1520-$D1521),($C1521-$C1520)&gt;0),$C1521-$C1520,0))</f>
        <v>0</v>
      </c>
      <c r="AF1521">
        <f>IF(OR($E1521="",$E1520=""),"",IF(AND(($D1520-$D1521)&gt;($C1521-$C1520),($D1520-$D1521)&gt;0),$D1520-$D1521,0))</f>
        <v>0</v>
      </c>
      <c r="AG1521">
        <f>IF(COUNT($E$2:$E1521)&lt;15,"",IF(SUM($AC$1508:$AC$1521)=0,0,100*SUM($AE$1508:$AE$1521)/SUM($AC$1508:$AC$1521)))</f>
        <v>0</v>
      </c>
      <c r="AH1521">
        <f>IF(COUNT($E$2:$E1521)&lt;15,"",IF(SUM($AC$1508:$AC$1521)=0,0,100*SUM($AF$1508:$AF$1521)/SUM($AC$1508:$AC$1521)))</f>
        <v>0</v>
      </c>
      <c r="AI1521">
        <f>IF(OR(AG1521="",AH1521=""),"",IF((AG1521+AH1521)=0,0,100*ABS(AG1521-AH1521)/(AG1521+AH1521)))</f>
        <v>0</v>
      </c>
      <c r="AJ1521">
        <f>IF(COUNT($AI$1508:$AI$1521)&lt;14,"",AVERAGE($AI$1508:$AI$1521))</f>
        <v>0</v>
      </c>
      <c r="AK1521">
        <f>IF(COUNT($E$2:$E1521)&lt;20,"",AVERAGE($E$1502:$E$1521))</f>
        <v>0</v>
      </c>
      <c r="AL1521">
        <f>IF(COUNT($E$2:$E1521)&lt;20,"",STDEVP($E$1502:$E$1521))</f>
        <v>0</v>
      </c>
      <c r="AM1521">
        <f>IF(AK1521="","",AK1521+2*AL1521)</f>
        <v>0</v>
      </c>
      <c r="AN1521">
        <f>IF(AK1521="","",AK1521-2*AL1521)</f>
        <v>0</v>
      </c>
      <c r="AO1521">
        <f>IF(OR(AM1521="",AN1521="",AM1521=AN1521),"",($E1521-AN1521)/(AM1521-AN1521))</f>
        <v>0</v>
      </c>
      <c r="AP1521">
        <f>IF(OR(AM1521="",AK1521="",AK1521=0),"",(AM1521-AN1521)/AK1521)</f>
        <v>0</v>
      </c>
      <c r="AQ1521">
        <f>IF(COUNT($E$2:$E1521)&lt;20,"",MAX($C$1502:$C$1521))</f>
        <v>0</v>
      </c>
      <c r="AR1521">
        <f>IF(COUNT($E$2:$E1521)&lt;20,"",MIN($D$1502:$D$1521))</f>
        <v>0</v>
      </c>
      <c r="AS1521">
        <f>IF(OR(AQ1521="",AR1521=""),"",(AQ1521+AR1521)/2)</f>
        <v>0</v>
      </c>
      <c r="AT1521">
        <f>IF(COUNT($G$1502:$G$1521)&lt;20,"",STDEV($G$1502:$G$1521)*SQRT(252))</f>
        <v>0</v>
      </c>
      <c r="AU1521">
        <f>IF(COUNT($E$2:$E1521)&lt;9,"",(MAX($C$1513:$C$1521)+MIN($D$1513:$D$1521))/2)</f>
        <v>0</v>
      </c>
      <c r="AV1521">
        <f>IF(COUNT($E$2:$E1521)&lt;26,"",(MAX($C$1496:$C$1521)+MIN($D$1496:$D$1521))/2)</f>
        <v>0</v>
      </c>
      <c r="AW1521">
        <f>IF(OR(AU1521="",AV1521=""),"",(AU1521+AV1521)/2)</f>
        <v>0</v>
      </c>
      <c r="AX1521">
        <f>IF(COUNT($E$2:$E1521)&lt;52,"",(MAX($C$1470:$C$1521)+MIN($D$1470:$D$1521))/2)</f>
        <v>0</v>
      </c>
      <c r="AY1521">
        <f>IF(COUNT($E$2:$E1521)&lt;20,"",MAX($C$1422:$C$1521))</f>
        <v>0</v>
      </c>
      <c r="AZ1521">
        <f>IF(COUNT($E$2:$E1521)&lt;20,"",MIN($D$1422:$D$1521))</f>
        <v>0</v>
      </c>
      <c r="BA1521">
        <f>IF(COUNT($E$2:$E1521)&lt;20,"",SLOPE($E$1422:$E$1521,$F$1422:$F$1521))</f>
        <v>0</v>
      </c>
      <c r="BB1521">
        <f>IF(COUNT($E$2:$E1521)&lt;20,"",INTERCEPT($E$1422:$E$1521,$F$1422:$F$1521))</f>
        <v>0</v>
      </c>
      <c r="BC1521">
        <f>IF(OR(BA1521="",BB1521=""),"",BB1521+BA1521*F1521)</f>
        <v>0</v>
      </c>
      <c r="BD1521">
        <f>IF(COUNT($E$2:$E1521)&lt;20,"",STEYX($E$1422:$E$1521,$F$1422:$F$1521))</f>
        <v>0</v>
      </c>
      <c r="BE1521">
        <f>IF($E1521="","",IF(AND(COUNT($E$1522:$E$1525)&gt;=4,$C1521=MAX($C$1517:$C$1525)),$C1521,""))</f>
        <v>0</v>
      </c>
      <c r="BF1521">
        <f>IF($E1521="","",IF(AND(COUNT($E$1522:$E$1525)&gt;=4,$D1521=MIN($D$1517:$D$1525)),$D1521,""))</f>
        <v>0</v>
      </c>
      <c r="BG1521">
        <f>IF($A1521="","",$A1521-WEEKDAY($A1521,2)+1)</f>
        <v>0</v>
      </c>
      <c r="BH1521">
        <f>IF($A1521="","",IF($A1520="",1,IF(BG1521&lt;&gt;BG1520,1,0)))</f>
        <v>0</v>
      </c>
      <c r="BI1521">
        <f>IF($A1521="","",IF($A1522="",1,IF(BG1522&lt;&gt;BG1521,1,0)))</f>
        <v>0</v>
      </c>
      <c r="BJ1521">
        <f>IF($A1521="","",IF(BH1521=1,$B1521,BJ1520))</f>
        <v>0</v>
      </c>
      <c r="BK1521">
        <f>IF($A1521="","",IF(BH1521=1,$C1521,MAX($C1521,BK1520)))</f>
        <v>0</v>
      </c>
      <c r="BL1521">
        <f>IF($A1521="","",IF(BH1521=1,$D1521,MIN($D1521,BL1520)))</f>
        <v>0</v>
      </c>
      <c r="BM1521">
        <f>IF($A1521="","",IF(BI1521=1,F1521,""))</f>
        <v>0</v>
      </c>
      <c r="BN1521">
        <f>IF($A1521="","",DATE(YEAR($A1521),MONTH($A1521),1))</f>
        <v>0</v>
      </c>
      <c r="BO1521">
        <f>IF($A1521="","",IF($A1520="",1,IF(BN1521&lt;&gt;BN1520,1,0)))</f>
        <v>0</v>
      </c>
      <c r="BP1521">
        <f>IF($A1521="","",IF($A1522="",1,IF(BN1522&lt;&gt;BN1521,1,0)))</f>
        <v>0</v>
      </c>
      <c r="BQ1521">
        <f>IF($A1521="","",IF(BO1521=1,$B1521,BQ1520))</f>
        <v>0</v>
      </c>
      <c r="BR1521">
        <f>IF($A1521="","",IF(BO1521=1,$C1521,MAX($C1521,BR1520)))</f>
        <v>0</v>
      </c>
      <c r="BS1521">
        <f>IF($A1521="","",IF(BO1521=1,$D1521,MIN($D1521,BS1520)))</f>
        <v>0</v>
      </c>
      <c r="BT1521">
        <f>IF($A1521="","",IF(BP1521=1,F1521,""))</f>
        <v>0</v>
      </c>
    </row>
    <row r="1522" spans="1:72">
      <c r="A1522" s="27">
        <f>IF(Data!$A1522="","",Data!$A1522)</f>
        <v>0</v>
      </c>
      <c r="B1522">
        <f>IF(Data!$B1522="","",Data!$B1522)</f>
        <v>0</v>
      </c>
      <c r="C1522">
        <f>IF(Data!$C1522="","",Data!$C1522)</f>
        <v>0</v>
      </c>
      <c r="D1522">
        <f>IF(Data!$D1522="","",Data!$D1522)</f>
        <v>0</v>
      </c>
      <c r="E1522">
        <f>IF(Data!$E1522="","",Data!$E1522)</f>
        <v>0</v>
      </c>
      <c r="F1522">
        <f>IF($E1522="","",N(F1521)+1)</f>
        <v>0</v>
      </c>
      <c r="G1522">
        <f>IF(OR($E1522="",$E1521=""),"",LN($E1522/$E1521))</f>
        <v>0</v>
      </c>
      <c r="H1522">
        <f>IF($E1522="","",IF($E1521="",$E1522,$E1522*0.0952380952+H1521*0.9047619048))</f>
        <v>0</v>
      </c>
      <c r="I1522">
        <f>IF($E1522="","",IF($E1521="",$E1522,$E1522*0.0392156863+I1521*0.9607843137))</f>
        <v>0</v>
      </c>
      <c r="J1522">
        <f>IF($E1522="","",IF($E1521="",$E1522,$E1522*0.0198019802+J1521*0.9801980198))</f>
        <v>0</v>
      </c>
      <c r="K1522">
        <f>IF($E1522="","",IF($E1521="",$E1522,$E1522*0.0099502488+K1521*0.9900497512))</f>
        <v>0</v>
      </c>
      <c r="L1522">
        <f>IF(OR($E1522="",$E1521=""),"",MAX($E1522-$E1521,0))</f>
        <v>0</v>
      </c>
      <c r="M1522">
        <f>IF(OR($E1522="",$E1521=""),"",MAX($E1521-$E1522,0))</f>
        <v>0</v>
      </c>
      <c r="N1522">
        <f>IF(COUNT($E$2:$E1522)&lt;15,"",IF(AVERAGE($M$1509:$M$1522)=0,100,100-100/(1+AVERAGE($L$1509:$L$1522)/AVERAGE($M$1509:$M$1522))))</f>
        <v>0</v>
      </c>
      <c r="O1522">
        <f>IF($E1522="","",IF($E1521="",$E1522,$E1522*0.1538461538+O1521*0.8461538462))</f>
        <v>0</v>
      </c>
      <c r="P1522">
        <f>IF($E1522="","",IF($E1521="",$E1522,$E1522*0.0740740741+P1521*0.9259259259))</f>
        <v>0</v>
      </c>
      <c r="Q1522">
        <f>IF(OR(O1522="",P1522=""),"",O1522-P1522)</f>
        <v>0</v>
      </c>
      <c r="R1522">
        <f>IF(Q1522="","",IF(R1521="",Q1522,Q1522*0.2000000000+R1521*0.8000000000))</f>
        <v>0</v>
      </c>
      <c r="S1522">
        <f>IF(OR(Q1522="",R1522=""),"",Q1522-R1522)</f>
        <v>0</v>
      </c>
      <c r="T1522">
        <f>IF(COUNT($E$2:$E1522)&lt;14,"",MAX($C$1509:$C$1522))</f>
        <v>0</v>
      </c>
      <c r="U1522">
        <f>IF(COUNT($E$2:$E1522)&lt;14,"",MIN($D$1509:$D$1522))</f>
        <v>0</v>
      </c>
      <c r="V1522">
        <f>IF(OR(T1522="",U1522="",T1522=U1522),"",100*($E1522-U1522)/(T1522-U1522))</f>
        <v>0</v>
      </c>
      <c r="W1522">
        <f>IF(COUNT($V$1520:$V$1522)&lt;3,"",AVERAGE($V$1520:$V$1522))</f>
        <v>0</v>
      </c>
      <c r="X1522">
        <f>IF(COUNT($N$1509:$N$1522)&lt;14,"",MIN($N$1509:$N$1522))</f>
        <v>0</v>
      </c>
      <c r="Y1522">
        <f>IF(COUNT($N$1509:$N$1522)&lt;14,"",MAX($N$1509:$N$1522))</f>
        <v>0</v>
      </c>
      <c r="Z1522">
        <f>IF(OR(N1522="",X1522="",Y1522="",Y1522=X1522),"",100*(N1522-X1522)/(Y1522-X1522))</f>
        <v>0</v>
      </c>
      <c r="AA1522">
        <f>IF(COUNT($Z$1520:$Z$1522)&lt;3,"",AVERAGE($Z$1520:$Z$1522))</f>
        <v>0</v>
      </c>
      <c r="AB1522">
        <f>IF(COUNT($AA$1520:$AA$1522)&lt;3,"",AVERAGE($AA$1520:$AA$1522))</f>
        <v>0</v>
      </c>
      <c r="AC1522">
        <f>IF($E1522="","",MAX($C1522-$D1522,ABS($C1522-$E1521),ABS($D1522-$E1521)))</f>
        <v>0</v>
      </c>
      <c r="AD1522">
        <f>IF(COUNT($E$2:$E1522)&lt;15,"",AVERAGE($AC$1509:$AC$1522))</f>
        <v>0</v>
      </c>
      <c r="AE1522">
        <f>IF(OR($E1522="",$E1521=""),"",IF(AND(($C1522-$C1521)&gt;($D1521-$D1522),($C1522-$C1521)&gt;0),$C1522-$C1521,0))</f>
        <v>0</v>
      </c>
      <c r="AF1522">
        <f>IF(OR($E1522="",$E1521=""),"",IF(AND(($D1521-$D1522)&gt;($C1522-$C1521),($D1521-$D1522)&gt;0),$D1521-$D1522,0))</f>
        <v>0</v>
      </c>
      <c r="AG1522">
        <f>IF(COUNT($E$2:$E1522)&lt;15,"",IF(SUM($AC$1509:$AC$1522)=0,0,100*SUM($AE$1509:$AE$1522)/SUM($AC$1509:$AC$1522)))</f>
        <v>0</v>
      </c>
      <c r="AH1522">
        <f>IF(COUNT($E$2:$E1522)&lt;15,"",IF(SUM($AC$1509:$AC$1522)=0,0,100*SUM($AF$1509:$AF$1522)/SUM($AC$1509:$AC$1522)))</f>
        <v>0</v>
      </c>
      <c r="AI1522">
        <f>IF(OR(AG1522="",AH1522=""),"",IF((AG1522+AH1522)=0,0,100*ABS(AG1522-AH1522)/(AG1522+AH1522)))</f>
        <v>0</v>
      </c>
      <c r="AJ1522">
        <f>IF(COUNT($AI$1509:$AI$1522)&lt;14,"",AVERAGE($AI$1509:$AI$1522))</f>
        <v>0</v>
      </c>
      <c r="AK1522">
        <f>IF(COUNT($E$2:$E1522)&lt;20,"",AVERAGE($E$1503:$E$1522))</f>
        <v>0</v>
      </c>
      <c r="AL1522">
        <f>IF(COUNT($E$2:$E1522)&lt;20,"",STDEVP($E$1503:$E$1522))</f>
        <v>0</v>
      </c>
      <c r="AM1522">
        <f>IF(AK1522="","",AK1522+2*AL1522)</f>
        <v>0</v>
      </c>
      <c r="AN1522">
        <f>IF(AK1522="","",AK1522-2*AL1522)</f>
        <v>0</v>
      </c>
      <c r="AO1522">
        <f>IF(OR(AM1522="",AN1522="",AM1522=AN1522),"",($E1522-AN1522)/(AM1522-AN1522))</f>
        <v>0</v>
      </c>
      <c r="AP1522">
        <f>IF(OR(AM1522="",AK1522="",AK1522=0),"",(AM1522-AN1522)/AK1522)</f>
        <v>0</v>
      </c>
      <c r="AQ1522">
        <f>IF(COUNT($E$2:$E1522)&lt;20,"",MAX($C$1503:$C$1522))</f>
        <v>0</v>
      </c>
      <c r="AR1522">
        <f>IF(COUNT($E$2:$E1522)&lt;20,"",MIN($D$1503:$D$1522))</f>
        <v>0</v>
      </c>
      <c r="AS1522">
        <f>IF(OR(AQ1522="",AR1522=""),"",(AQ1522+AR1522)/2)</f>
        <v>0</v>
      </c>
      <c r="AT1522">
        <f>IF(COUNT($G$1503:$G$1522)&lt;20,"",STDEV($G$1503:$G$1522)*SQRT(252))</f>
        <v>0</v>
      </c>
      <c r="AU1522">
        <f>IF(COUNT($E$2:$E1522)&lt;9,"",(MAX($C$1514:$C$1522)+MIN($D$1514:$D$1522))/2)</f>
        <v>0</v>
      </c>
      <c r="AV1522">
        <f>IF(COUNT($E$2:$E1522)&lt;26,"",(MAX($C$1497:$C$1522)+MIN($D$1497:$D$1522))/2)</f>
        <v>0</v>
      </c>
      <c r="AW1522">
        <f>IF(OR(AU1522="",AV1522=""),"",(AU1522+AV1522)/2)</f>
        <v>0</v>
      </c>
      <c r="AX1522">
        <f>IF(COUNT($E$2:$E1522)&lt;52,"",(MAX($C$1471:$C$1522)+MIN($D$1471:$D$1522))/2)</f>
        <v>0</v>
      </c>
      <c r="AY1522">
        <f>IF(COUNT($E$2:$E1522)&lt;20,"",MAX($C$1423:$C$1522))</f>
        <v>0</v>
      </c>
      <c r="AZ1522">
        <f>IF(COUNT($E$2:$E1522)&lt;20,"",MIN($D$1423:$D$1522))</f>
        <v>0</v>
      </c>
      <c r="BA1522">
        <f>IF(COUNT($E$2:$E1522)&lt;20,"",SLOPE($E$1423:$E$1522,$F$1423:$F$1522))</f>
        <v>0</v>
      </c>
      <c r="BB1522">
        <f>IF(COUNT($E$2:$E1522)&lt;20,"",INTERCEPT($E$1423:$E$1522,$F$1423:$F$1522))</f>
        <v>0</v>
      </c>
      <c r="BC1522">
        <f>IF(OR(BA1522="",BB1522=""),"",BB1522+BA1522*F1522)</f>
        <v>0</v>
      </c>
      <c r="BD1522">
        <f>IF(COUNT($E$2:$E1522)&lt;20,"",STEYX($E$1423:$E$1522,$F$1423:$F$1522))</f>
        <v>0</v>
      </c>
      <c r="BE1522">
        <f>IF($E1522="","",IF(AND(COUNT($E$1523:$E$1526)&gt;=4,$C1522=MAX($C$1518:$C$1526)),$C1522,""))</f>
        <v>0</v>
      </c>
      <c r="BF1522">
        <f>IF($E1522="","",IF(AND(COUNT($E$1523:$E$1526)&gt;=4,$D1522=MIN($D$1518:$D$1526)),$D1522,""))</f>
        <v>0</v>
      </c>
      <c r="BG1522">
        <f>IF($A1522="","",$A1522-WEEKDAY($A1522,2)+1)</f>
        <v>0</v>
      </c>
      <c r="BH1522">
        <f>IF($A1522="","",IF($A1521="",1,IF(BG1522&lt;&gt;BG1521,1,0)))</f>
        <v>0</v>
      </c>
      <c r="BI1522">
        <f>IF($A1522="","",IF($A1523="",1,IF(BG1523&lt;&gt;BG1522,1,0)))</f>
        <v>0</v>
      </c>
      <c r="BJ1522">
        <f>IF($A1522="","",IF(BH1522=1,$B1522,BJ1521))</f>
        <v>0</v>
      </c>
      <c r="BK1522">
        <f>IF($A1522="","",IF(BH1522=1,$C1522,MAX($C1522,BK1521)))</f>
        <v>0</v>
      </c>
      <c r="BL1522">
        <f>IF($A1522="","",IF(BH1522=1,$D1522,MIN($D1522,BL1521)))</f>
        <v>0</v>
      </c>
      <c r="BM1522">
        <f>IF($A1522="","",IF(BI1522=1,F1522,""))</f>
        <v>0</v>
      </c>
      <c r="BN1522">
        <f>IF($A1522="","",DATE(YEAR($A1522),MONTH($A1522),1))</f>
        <v>0</v>
      </c>
      <c r="BO1522">
        <f>IF($A1522="","",IF($A1521="",1,IF(BN1522&lt;&gt;BN1521,1,0)))</f>
        <v>0</v>
      </c>
      <c r="BP1522">
        <f>IF($A1522="","",IF($A1523="",1,IF(BN1523&lt;&gt;BN1522,1,0)))</f>
        <v>0</v>
      </c>
      <c r="BQ1522">
        <f>IF($A1522="","",IF(BO1522=1,$B1522,BQ1521))</f>
        <v>0</v>
      </c>
      <c r="BR1522">
        <f>IF($A1522="","",IF(BO1522=1,$C1522,MAX($C1522,BR1521)))</f>
        <v>0</v>
      </c>
      <c r="BS1522">
        <f>IF($A1522="","",IF(BO1522=1,$D1522,MIN($D1522,BS1521)))</f>
        <v>0</v>
      </c>
      <c r="BT1522">
        <f>IF($A1522="","",IF(BP1522=1,F1522,""))</f>
        <v>0</v>
      </c>
    </row>
    <row r="1523" spans="1:72">
      <c r="A1523" s="27">
        <f>IF(Data!$A1523="","",Data!$A1523)</f>
        <v>0</v>
      </c>
      <c r="B1523">
        <f>IF(Data!$B1523="","",Data!$B1523)</f>
        <v>0</v>
      </c>
      <c r="C1523">
        <f>IF(Data!$C1523="","",Data!$C1523)</f>
        <v>0</v>
      </c>
      <c r="D1523">
        <f>IF(Data!$D1523="","",Data!$D1523)</f>
        <v>0</v>
      </c>
      <c r="E1523">
        <f>IF(Data!$E1523="","",Data!$E1523)</f>
        <v>0</v>
      </c>
      <c r="F1523">
        <f>IF($E1523="","",N(F1522)+1)</f>
        <v>0</v>
      </c>
      <c r="G1523">
        <f>IF(OR($E1523="",$E1522=""),"",LN($E1523/$E1522))</f>
        <v>0</v>
      </c>
      <c r="H1523">
        <f>IF($E1523="","",IF($E1522="",$E1523,$E1523*0.0952380952+H1522*0.9047619048))</f>
        <v>0</v>
      </c>
      <c r="I1523">
        <f>IF($E1523="","",IF($E1522="",$E1523,$E1523*0.0392156863+I1522*0.9607843137))</f>
        <v>0</v>
      </c>
      <c r="J1523">
        <f>IF($E1523="","",IF($E1522="",$E1523,$E1523*0.0198019802+J1522*0.9801980198))</f>
        <v>0</v>
      </c>
      <c r="K1523">
        <f>IF($E1523="","",IF($E1522="",$E1523,$E1523*0.0099502488+K1522*0.9900497512))</f>
        <v>0</v>
      </c>
      <c r="L1523">
        <f>IF(OR($E1523="",$E1522=""),"",MAX($E1523-$E1522,0))</f>
        <v>0</v>
      </c>
      <c r="M1523">
        <f>IF(OR($E1523="",$E1522=""),"",MAX($E1522-$E1523,0))</f>
        <v>0</v>
      </c>
      <c r="N1523">
        <f>IF(COUNT($E$2:$E1523)&lt;15,"",IF(AVERAGE($M$1510:$M$1523)=0,100,100-100/(1+AVERAGE($L$1510:$L$1523)/AVERAGE($M$1510:$M$1523))))</f>
        <v>0</v>
      </c>
      <c r="O1523">
        <f>IF($E1523="","",IF($E1522="",$E1523,$E1523*0.1538461538+O1522*0.8461538462))</f>
        <v>0</v>
      </c>
      <c r="P1523">
        <f>IF($E1523="","",IF($E1522="",$E1523,$E1523*0.0740740741+P1522*0.9259259259))</f>
        <v>0</v>
      </c>
      <c r="Q1523">
        <f>IF(OR(O1523="",P1523=""),"",O1523-P1523)</f>
        <v>0</v>
      </c>
      <c r="R1523">
        <f>IF(Q1523="","",IF(R1522="",Q1523,Q1523*0.2000000000+R1522*0.8000000000))</f>
        <v>0</v>
      </c>
      <c r="S1523">
        <f>IF(OR(Q1523="",R1523=""),"",Q1523-R1523)</f>
        <v>0</v>
      </c>
      <c r="T1523">
        <f>IF(COUNT($E$2:$E1523)&lt;14,"",MAX($C$1510:$C$1523))</f>
        <v>0</v>
      </c>
      <c r="U1523">
        <f>IF(COUNT($E$2:$E1523)&lt;14,"",MIN($D$1510:$D$1523))</f>
        <v>0</v>
      </c>
      <c r="V1523">
        <f>IF(OR(T1523="",U1523="",T1523=U1523),"",100*($E1523-U1523)/(T1523-U1523))</f>
        <v>0</v>
      </c>
      <c r="W1523">
        <f>IF(COUNT($V$1521:$V$1523)&lt;3,"",AVERAGE($V$1521:$V$1523))</f>
        <v>0</v>
      </c>
      <c r="X1523">
        <f>IF(COUNT($N$1510:$N$1523)&lt;14,"",MIN($N$1510:$N$1523))</f>
        <v>0</v>
      </c>
      <c r="Y1523">
        <f>IF(COUNT($N$1510:$N$1523)&lt;14,"",MAX($N$1510:$N$1523))</f>
        <v>0</v>
      </c>
      <c r="Z1523">
        <f>IF(OR(N1523="",X1523="",Y1523="",Y1523=X1523),"",100*(N1523-X1523)/(Y1523-X1523))</f>
        <v>0</v>
      </c>
      <c r="AA1523">
        <f>IF(COUNT($Z$1521:$Z$1523)&lt;3,"",AVERAGE($Z$1521:$Z$1523))</f>
        <v>0</v>
      </c>
      <c r="AB1523">
        <f>IF(COUNT($AA$1521:$AA$1523)&lt;3,"",AVERAGE($AA$1521:$AA$1523))</f>
        <v>0</v>
      </c>
      <c r="AC1523">
        <f>IF($E1523="","",MAX($C1523-$D1523,ABS($C1523-$E1522),ABS($D1523-$E1522)))</f>
        <v>0</v>
      </c>
      <c r="AD1523">
        <f>IF(COUNT($E$2:$E1523)&lt;15,"",AVERAGE($AC$1510:$AC$1523))</f>
        <v>0</v>
      </c>
      <c r="AE1523">
        <f>IF(OR($E1523="",$E1522=""),"",IF(AND(($C1523-$C1522)&gt;($D1522-$D1523),($C1523-$C1522)&gt;0),$C1523-$C1522,0))</f>
        <v>0</v>
      </c>
      <c r="AF1523">
        <f>IF(OR($E1523="",$E1522=""),"",IF(AND(($D1522-$D1523)&gt;($C1523-$C1522),($D1522-$D1523)&gt;0),$D1522-$D1523,0))</f>
        <v>0</v>
      </c>
      <c r="AG1523">
        <f>IF(COUNT($E$2:$E1523)&lt;15,"",IF(SUM($AC$1510:$AC$1523)=0,0,100*SUM($AE$1510:$AE$1523)/SUM($AC$1510:$AC$1523)))</f>
        <v>0</v>
      </c>
      <c r="AH1523">
        <f>IF(COUNT($E$2:$E1523)&lt;15,"",IF(SUM($AC$1510:$AC$1523)=0,0,100*SUM($AF$1510:$AF$1523)/SUM($AC$1510:$AC$1523)))</f>
        <v>0</v>
      </c>
      <c r="AI1523">
        <f>IF(OR(AG1523="",AH1523=""),"",IF((AG1523+AH1523)=0,0,100*ABS(AG1523-AH1523)/(AG1523+AH1523)))</f>
        <v>0</v>
      </c>
      <c r="AJ1523">
        <f>IF(COUNT($AI$1510:$AI$1523)&lt;14,"",AVERAGE($AI$1510:$AI$1523))</f>
        <v>0</v>
      </c>
      <c r="AK1523">
        <f>IF(COUNT($E$2:$E1523)&lt;20,"",AVERAGE($E$1504:$E$1523))</f>
        <v>0</v>
      </c>
      <c r="AL1523">
        <f>IF(COUNT($E$2:$E1523)&lt;20,"",STDEVP($E$1504:$E$1523))</f>
        <v>0</v>
      </c>
      <c r="AM1523">
        <f>IF(AK1523="","",AK1523+2*AL1523)</f>
        <v>0</v>
      </c>
      <c r="AN1523">
        <f>IF(AK1523="","",AK1523-2*AL1523)</f>
        <v>0</v>
      </c>
      <c r="AO1523">
        <f>IF(OR(AM1523="",AN1523="",AM1523=AN1523),"",($E1523-AN1523)/(AM1523-AN1523))</f>
        <v>0</v>
      </c>
      <c r="AP1523">
        <f>IF(OR(AM1523="",AK1523="",AK1523=0),"",(AM1523-AN1523)/AK1523)</f>
        <v>0</v>
      </c>
      <c r="AQ1523">
        <f>IF(COUNT($E$2:$E1523)&lt;20,"",MAX($C$1504:$C$1523))</f>
        <v>0</v>
      </c>
      <c r="AR1523">
        <f>IF(COUNT($E$2:$E1523)&lt;20,"",MIN($D$1504:$D$1523))</f>
        <v>0</v>
      </c>
      <c r="AS1523">
        <f>IF(OR(AQ1523="",AR1523=""),"",(AQ1523+AR1523)/2)</f>
        <v>0</v>
      </c>
      <c r="AT1523">
        <f>IF(COUNT($G$1504:$G$1523)&lt;20,"",STDEV($G$1504:$G$1523)*SQRT(252))</f>
        <v>0</v>
      </c>
      <c r="AU1523">
        <f>IF(COUNT($E$2:$E1523)&lt;9,"",(MAX($C$1515:$C$1523)+MIN($D$1515:$D$1523))/2)</f>
        <v>0</v>
      </c>
      <c r="AV1523">
        <f>IF(COUNT($E$2:$E1523)&lt;26,"",(MAX($C$1498:$C$1523)+MIN($D$1498:$D$1523))/2)</f>
        <v>0</v>
      </c>
      <c r="AW1523">
        <f>IF(OR(AU1523="",AV1523=""),"",(AU1523+AV1523)/2)</f>
        <v>0</v>
      </c>
      <c r="AX1523">
        <f>IF(COUNT($E$2:$E1523)&lt;52,"",(MAX($C$1472:$C$1523)+MIN($D$1472:$D$1523))/2)</f>
        <v>0</v>
      </c>
      <c r="AY1523">
        <f>IF(COUNT($E$2:$E1523)&lt;20,"",MAX($C$1424:$C$1523))</f>
        <v>0</v>
      </c>
      <c r="AZ1523">
        <f>IF(COUNT($E$2:$E1523)&lt;20,"",MIN($D$1424:$D$1523))</f>
        <v>0</v>
      </c>
      <c r="BA1523">
        <f>IF(COUNT($E$2:$E1523)&lt;20,"",SLOPE($E$1424:$E$1523,$F$1424:$F$1523))</f>
        <v>0</v>
      </c>
      <c r="BB1523">
        <f>IF(COUNT($E$2:$E1523)&lt;20,"",INTERCEPT($E$1424:$E$1523,$F$1424:$F$1523))</f>
        <v>0</v>
      </c>
      <c r="BC1523">
        <f>IF(OR(BA1523="",BB1523=""),"",BB1523+BA1523*F1523)</f>
        <v>0</v>
      </c>
      <c r="BD1523">
        <f>IF(COUNT($E$2:$E1523)&lt;20,"",STEYX($E$1424:$E$1523,$F$1424:$F$1523))</f>
        <v>0</v>
      </c>
      <c r="BE1523">
        <f>IF($E1523="","",IF(AND(COUNT($E$1524:$E$1527)&gt;=4,$C1523=MAX($C$1519:$C$1527)),$C1523,""))</f>
        <v>0</v>
      </c>
      <c r="BF1523">
        <f>IF($E1523="","",IF(AND(COUNT($E$1524:$E$1527)&gt;=4,$D1523=MIN($D$1519:$D$1527)),$D1523,""))</f>
        <v>0</v>
      </c>
      <c r="BG1523">
        <f>IF($A1523="","",$A1523-WEEKDAY($A1523,2)+1)</f>
        <v>0</v>
      </c>
      <c r="BH1523">
        <f>IF($A1523="","",IF($A1522="",1,IF(BG1523&lt;&gt;BG1522,1,0)))</f>
        <v>0</v>
      </c>
      <c r="BI1523">
        <f>IF($A1523="","",IF($A1524="",1,IF(BG1524&lt;&gt;BG1523,1,0)))</f>
        <v>0</v>
      </c>
      <c r="BJ1523">
        <f>IF($A1523="","",IF(BH1523=1,$B1523,BJ1522))</f>
        <v>0</v>
      </c>
      <c r="BK1523">
        <f>IF($A1523="","",IF(BH1523=1,$C1523,MAX($C1523,BK1522)))</f>
        <v>0</v>
      </c>
      <c r="BL1523">
        <f>IF($A1523="","",IF(BH1523=1,$D1523,MIN($D1523,BL1522)))</f>
        <v>0</v>
      </c>
      <c r="BM1523">
        <f>IF($A1523="","",IF(BI1523=1,F1523,""))</f>
        <v>0</v>
      </c>
      <c r="BN1523">
        <f>IF($A1523="","",DATE(YEAR($A1523),MONTH($A1523),1))</f>
        <v>0</v>
      </c>
      <c r="BO1523">
        <f>IF($A1523="","",IF($A1522="",1,IF(BN1523&lt;&gt;BN1522,1,0)))</f>
        <v>0</v>
      </c>
      <c r="BP1523">
        <f>IF($A1523="","",IF($A1524="",1,IF(BN1524&lt;&gt;BN1523,1,0)))</f>
        <v>0</v>
      </c>
      <c r="BQ1523">
        <f>IF($A1523="","",IF(BO1523=1,$B1523,BQ1522))</f>
        <v>0</v>
      </c>
      <c r="BR1523">
        <f>IF($A1523="","",IF(BO1523=1,$C1523,MAX($C1523,BR1522)))</f>
        <v>0</v>
      </c>
      <c r="BS1523">
        <f>IF($A1523="","",IF(BO1523=1,$D1523,MIN($D1523,BS1522)))</f>
        <v>0</v>
      </c>
      <c r="BT1523">
        <f>IF($A1523="","",IF(BP1523=1,F1523,""))</f>
        <v>0</v>
      </c>
    </row>
    <row r="1524" spans="1:72">
      <c r="A1524" s="27">
        <f>IF(Data!$A1524="","",Data!$A1524)</f>
        <v>0</v>
      </c>
      <c r="B1524">
        <f>IF(Data!$B1524="","",Data!$B1524)</f>
        <v>0</v>
      </c>
      <c r="C1524">
        <f>IF(Data!$C1524="","",Data!$C1524)</f>
        <v>0</v>
      </c>
      <c r="D1524">
        <f>IF(Data!$D1524="","",Data!$D1524)</f>
        <v>0</v>
      </c>
      <c r="E1524">
        <f>IF(Data!$E1524="","",Data!$E1524)</f>
        <v>0</v>
      </c>
      <c r="F1524">
        <f>IF($E1524="","",N(F1523)+1)</f>
        <v>0</v>
      </c>
      <c r="G1524">
        <f>IF(OR($E1524="",$E1523=""),"",LN($E1524/$E1523))</f>
        <v>0</v>
      </c>
      <c r="H1524">
        <f>IF($E1524="","",IF($E1523="",$E1524,$E1524*0.0952380952+H1523*0.9047619048))</f>
        <v>0</v>
      </c>
      <c r="I1524">
        <f>IF($E1524="","",IF($E1523="",$E1524,$E1524*0.0392156863+I1523*0.9607843137))</f>
        <v>0</v>
      </c>
      <c r="J1524">
        <f>IF($E1524="","",IF($E1523="",$E1524,$E1524*0.0198019802+J1523*0.9801980198))</f>
        <v>0</v>
      </c>
      <c r="K1524">
        <f>IF($E1524="","",IF($E1523="",$E1524,$E1524*0.0099502488+K1523*0.9900497512))</f>
        <v>0</v>
      </c>
      <c r="L1524">
        <f>IF(OR($E1524="",$E1523=""),"",MAX($E1524-$E1523,0))</f>
        <v>0</v>
      </c>
      <c r="M1524">
        <f>IF(OR($E1524="",$E1523=""),"",MAX($E1523-$E1524,0))</f>
        <v>0</v>
      </c>
      <c r="N1524">
        <f>IF(COUNT($E$2:$E1524)&lt;15,"",IF(AVERAGE($M$1511:$M$1524)=0,100,100-100/(1+AVERAGE($L$1511:$L$1524)/AVERAGE($M$1511:$M$1524))))</f>
        <v>0</v>
      </c>
      <c r="O1524">
        <f>IF($E1524="","",IF($E1523="",$E1524,$E1524*0.1538461538+O1523*0.8461538462))</f>
        <v>0</v>
      </c>
      <c r="P1524">
        <f>IF($E1524="","",IF($E1523="",$E1524,$E1524*0.0740740741+P1523*0.9259259259))</f>
        <v>0</v>
      </c>
      <c r="Q1524">
        <f>IF(OR(O1524="",P1524=""),"",O1524-P1524)</f>
        <v>0</v>
      </c>
      <c r="R1524">
        <f>IF(Q1524="","",IF(R1523="",Q1524,Q1524*0.2000000000+R1523*0.8000000000))</f>
        <v>0</v>
      </c>
      <c r="S1524">
        <f>IF(OR(Q1524="",R1524=""),"",Q1524-R1524)</f>
        <v>0</v>
      </c>
      <c r="T1524">
        <f>IF(COUNT($E$2:$E1524)&lt;14,"",MAX($C$1511:$C$1524))</f>
        <v>0</v>
      </c>
      <c r="U1524">
        <f>IF(COUNT($E$2:$E1524)&lt;14,"",MIN($D$1511:$D$1524))</f>
        <v>0</v>
      </c>
      <c r="V1524">
        <f>IF(OR(T1524="",U1524="",T1524=U1524),"",100*($E1524-U1524)/(T1524-U1524))</f>
        <v>0</v>
      </c>
      <c r="W1524">
        <f>IF(COUNT($V$1522:$V$1524)&lt;3,"",AVERAGE($V$1522:$V$1524))</f>
        <v>0</v>
      </c>
      <c r="X1524">
        <f>IF(COUNT($N$1511:$N$1524)&lt;14,"",MIN($N$1511:$N$1524))</f>
        <v>0</v>
      </c>
      <c r="Y1524">
        <f>IF(COUNT($N$1511:$N$1524)&lt;14,"",MAX($N$1511:$N$1524))</f>
        <v>0</v>
      </c>
      <c r="Z1524">
        <f>IF(OR(N1524="",X1524="",Y1524="",Y1524=X1524),"",100*(N1524-X1524)/(Y1524-X1524))</f>
        <v>0</v>
      </c>
      <c r="AA1524">
        <f>IF(COUNT($Z$1522:$Z$1524)&lt;3,"",AVERAGE($Z$1522:$Z$1524))</f>
        <v>0</v>
      </c>
      <c r="AB1524">
        <f>IF(COUNT($AA$1522:$AA$1524)&lt;3,"",AVERAGE($AA$1522:$AA$1524))</f>
        <v>0</v>
      </c>
      <c r="AC1524">
        <f>IF($E1524="","",MAX($C1524-$D1524,ABS($C1524-$E1523),ABS($D1524-$E1523)))</f>
        <v>0</v>
      </c>
      <c r="AD1524">
        <f>IF(COUNT($E$2:$E1524)&lt;15,"",AVERAGE($AC$1511:$AC$1524))</f>
        <v>0</v>
      </c>
      <c r="AE1524">
        <f>IF(OR($E1524="",$E1523=""),"",IF(AND(($C1524-$C1523)&gt;($D1523-$D1524),($C1524-$C1523)&gt;0),$C1524-$C1523,0))</f>
        <v>0</v>
      </c>
      <c r="AF1524">
        <f>IF(OR($E1524="",$E1523=""),"",IF(AND(($D1523-$D1524)&gt;($C1524-$C1523),($D1523-$D1524)&gt;0),$D1523-$D1524,0))</f>
        <v>0</v>
      </c>
      <c r="AG1524">
        <f>IF(COUNT($E$2:$E1524)&lt;15,"",IF(SUM($AC$1511:$AC$1524)=0,0,100*SUM($AE$1511:$AE$1524)/SUM($AC$1511:$AC$1524)))</f>
        <v>0</v>
      </c>
      <c r="AH1524">
        <f>IF(COUNT($E$2:$E1524)&lt;15,"",IF(SUM($AC$1511:$AC$1524)=0,0,100*SUM($AF$1511:$AF$1524)/SUM($AC$1511:$AC$1524)))</f>
        <v>0</v>
      </c>
      <c r="AI1524">
        <f>IF(OR(AG1524="",AH1524=""),"",IF((AG1524+AH1524)=0,0,100*ABS(AG1524-AH1524)/(AG1524+AH1524)))</f>
        <v>0</v>
      </c>
      <c r="AJ1524">
        <f>IF(COUNT($AI$1511:$AI$1524)&lt;14,"",AVERAGE($AI$1511:$AI$1524))</f>
        <v>0</v>
      </c>
      <c r="AK1524">
        <f>IF(COUNT($E$2:$E1524)&lt;20,"",AVERAGE($E$1505:$E$1524))</f>
        <v>0</v>
      </c>
      <c r="AL1524">
        <f>IF(COUNT($E$2:$E1524)&lt;20,"",STDEVP($E$1505:$E$1524))</f>
        <v>0</v>
      </c>
      <c r="AM1524">
        <f>IF(AK1524="","",AK1524+2*AL1524)</f>
        <v>0</v>
      </c>
      <c r="AN1524">
        <f>IF(AK1524="","",AK1524-2*AL1524)</f>
        <v>0</v>
      </c>
      <c r="AO1524">
        <f>IF(OR(AM1524="",AN1524="",AM1524=AN1524),"",($E1524-AN1524)/(AM1524-AN1524))</f>
        <v>0</v>
      </c>
      <c r="AP1524">
        <f>IF(OR(AM1524="",AK1524="",AK1524=0),"",(AM1524-AN1524)/AK1524)</f>
        <v>0</v>
      </c>
      <c r="AQ1524">
        <f>IF(COUNT($E$2:$E1524)&lt;20,"",MAX($C$1505:$C$1524))</f>
        <v>0</v>
      </c>
      <c r="AR1524">
        <f>IF(COUNT($E$2:$E1524)&lt;20,"",MIN($D$1505:$D$1524))</f>
        <v>0</v>
      </c>
      <c r="AS1524">
        <f>IF(OR(AQ1524="",AR1524=""),"",(AQ1524+AR1524)/2)</f>
        <v>0</v>
      </c>
      <c r="AT1524">
        <f>IF(COUNT($G$1505:$G$1524)&lt;20,"",STDEV($G$1505:$G$1524)*SQRT(252))</f>
        <v>0</v>
      </c>
      <c r="AU1524">
        <f>IF(COUNT($E$2:$E1524)&lt;9,"",(MAX($C$1516:$C$1524)+MIN($D$1516:$D$1524))/2)</f>
        <v>0</v>
      </c>
      <c r="AV1524">
        <f>IF(COUNT($E$2:$E1524)&lt;26,"",(MAX($C$1499:$C$1524)+MIN($D$1499:$D$1524))/2)</f>
        <v>0</v>
      </c>
      <c r="AW1524">
        <f>IF(OR(AU1524="",AV1524=""),"",(AU1524+AV1524)/2)</f>
        <v>0</v>
      </c>
      <c r="AX1524">
        <f>IF(COUNT($E$2:$E1524)&lt;52,"",(MAX($C$1473:$C$1524)+MIN($D$1473:$D$1524))/2)</f>
        <v>0</v>
      </c>
      <c r="AY1524">
        <f>IF(COUNT($E$2:$E1524)&lt;20,"",MAX($C$1425:$C$1524))</f>
        <v>0</v>
      </c>
      <c r="AZ1524">
        <f>IF(COUNT($E$2:$E1524)&lt;20,"",MIN($D$1425:$D$1524))</f>
        <v>0</v>
      </c>
      <c r="BA1524">
        <f>IF(COUNT($E$2:$E1524)&lt;20,"",SLOPE($E$1425:$E$1524,$F$1425:$F$1524))</f>
        <v>0</v>
      </c>
      <c r="BB1524">
        <f>IF(COUNT($E$2:$E1524)&lt;20,"",INTERCEPT($E$1425:$E$1524,$F$1425:$F$1524))</f>
        <v>0</v>
      </c>
      <c r="BC1524">
        <f>IF(OR(BA1524="",BB1524=""),"",BB1524+BA1524*F1524)</f>
        <v>0</v>
      </c>
      <c r="BD1524">
        <f>IF(COUNT($E$2:$E1524)&lt;20,"",STEYX($E$1425:$E$1524,$F$1425:$F$1524))</f>
        <v>0</v>
      </c>
      <c r="BE1524">
        <f>IF($E1524="","",IF(AND(COUNT($E$1525:$E$1528)&gt;=4,$C1524=MAX($C$1520:$C$1528)),$C1524,""))</f>
        <v>0</v>
      </c>
      <c r="BF1524">
        <f>IF($E1524="","",IF(AND(COUNT($E$1525:$E$1528)&gt;=4,$D1524=MIN($D$1520:$D$1528)),$D1524,""))</f>
        <v>0</v>
      </c>
      <c r="BG1524">
        <f>IF($A1524="","",$A1524-WEEKDAY($A1524,2)+1)</f>
        <v>0</v>
      </c>
      <c r="BH1524">
        <f>IF($A1524="","",IF($A1523="",1,IF(BG1524&lt;&gt;BG1523,1,0)))</f>
        <v>0</v>
      </c>
      <c r="BI1524">
        <f>IF($A1524="","",IF($A1525="",1,IF(BG1525&lt;&gt;BG1524,1,0)))</f>
        <v>0</v>
      </c>
      <c r="BJ1524">
        <f>IF($A1524="","",IF(BH1524=1,$B1524,BJ1523))</f>
        <v>0</v>
      </c>
      <c r="BK1524">
        <f>IF($A1524="","",IF(BH1524=1,$C1524,MAX($C1524,BK1523)))</f>
        <v>0</v>
      </c>
      <c r="BL1524">
        <f>IF($A1524="","",IF(BH1524=1,$D1524,MIN($D1524,BL1523)))</f>
        <v>0</v>
      </c>
      <c r="BM1524">
        <f>IF($A1524="","",IF(BI1524=1,F1524,""))</f>
        <v>0</v>
      </c>
      <c r="BN1524">
        <f>IF($A1524="","",DATE(YEAR($A1524),MONTH($A1524),1))</f>
        <v>0</v>
      </c>
      <c r="BO1524">
        <f>IF($A1524="","",IF($A1523="",1,IF(BN1524&lt;&gt;BN1523,1,0)))</f>
        <v>0</v>
      </c>
      <c r="BP1524">
        <f>IF($A1524="","",IF($A1525="",1,IF(BN1525&lt;&gt;BN1524,1,0)))</f>
        <v>0</v>
      </c>
      <c r="BQ1524">
        <f>IF($A1524="","",IF(BO1524=1,$B1524,BQ1523))</f>
        <v>0</v>
      </c>
      <c r="BR1524">
        <f>IF($A1524="","",IF(BO1524=1,$C1524,MAX($C1524,BR1523)))</f>
        <v>0</v>
      </c>
      <c r="BS1524">
        <f>IF($A1524="","",IF(BO1524=1,$D1524,MIN($D1524,BS1523)))</f>
        <v>0</v>
      </c>
      <c r="BT1524">
        <f>IF($A1524="","",IF(BP1524=1,F1524,""))</f>
        <v>0</v>
      </c>
    </row>
    <row r="1525" spans="1:72">
      <c r="A1525" s="27">
        <f>IF(Data!$A1525="","",Data!$A1525)</f>
        <v>0</v>
      </c>
      <c r="B1525">
        <f>IF(Data!$B1525="","",Data!$B1525)</f>
        <v>0</v>
      </c>
      <c r="C1525">
        <f>IF(Data!$C1525="","",Data!$C1525)</f>
        <v>0</v>
      </c>
      <c r="D1525">
        <f>IF(Data!$D1525="","",Data!$D1525)</f>
        <v>0</v>
      </c>
      <c r="E1525">
        <f>IF(Data!$E1525="","",Data!$E1525)</f>
        <v>0</v>
      </c>
      <c r="F1525">
        <f>IF($E1525="","",N(F1524)+1)</f>
        <v>0</v>
      </c>
      <c r="G1525">
        <f>IF(OR($E1525="",$E1524=""),"",LN($E1525/$E1524))</f>
        <v>0</v>
      </c>
      <c r="H1525">
        <f>IF($E1525="","",IF($E1524="",$E1525,$E1525*0.0952380952+H1524*0.9047619048))</f>
        <v>0</v>
      </c>
      <c r="I1525">
        <f>IF($E1525="","",IF($E1524="",$E1525,$E1525*0.0392156863+I1524*0.9607843137))</f>
        <v>0</v>
      </c>
      <c r="J1525">
        <f>IF($E1525="","",IF($E1524="",$E1525,$E1525*0.0198019802+J1524*0.9801980198))</f>
        <v>0</v>
      </c>
      <c r="K1525">
        <f>IF($E1525="","",IF($E1524="",$E1525,$E1525*0.0099502488+K1524*0.9900497512))</f>
        <v>0</v>
      </c>
      <c r="L1525">
        <f>IF(OR($E1525="",$E1524=""),"",MAX($E1525-$E1524,0))</f>
        <v>0</v>
      </c>
      <c r="M1525">
        <f>IF(OR($E1525="",$E1524=""),"",MAX($E1524-$E1525,0))</f>
        <v>0</v>
      </c>
      <c r="N1525">
        <f>IF(COUNT($E$2:$E1525)&lt;15,"",IF(AVERAGE($M$1512:$M$1525)=0,100,100-100/(1+AVERAGE($L$1512:$L$1525)/AVERAGE($M$1512:$M$1525))))</f>
        <v>0</v>
      </c>
      <c r="O1525">
        <f>IF($E1525="","",IF($E1524="",$E1525,$E1525*0.1538461538+O1524*0.8461538462))</f>
        <v>0</v>
      </c>
      <c r="P1525">
        <f>IF($E1525="","",IF($E1524="",$E1525,$E1525*0.0740740741+P1524*0.9259259259))</f>
        <v>0</v>
      </c>
      <c r="Q1525">
        <f>IF(OR(O1525="",P1525=""),"",O1525-P1525)</f>
        <v>0</v>
      </c>
      <c r="R1525">
        <f>IF(Q1525="","",IF(R1524="",Q1525,Q1525*0.2000000000+R1524*0.8000000000))</f>
        <v>0</v>
      </c>
      <c r="S1525">
        <f>IF(OR(Q1525="",R1525=""),"",Q1525-R1525)</f>
        <v>0</v>
      </c>
      <c r="T1525">
        <f>IF(COUNT($E$2:$E1525)&lt;14,"",MAX($C$1512:$C$1525))</f>
        <v>0</v>
      </c>
      <c r="U1525">
        <f>IF(COUNT($E$2:$E1525)&lt;14,"",MIN($D$1512:$D$1525))</f>
        <v>0</v>
      </c>
      <c r="V1525">
        <f>IF(OR(T1525="",U1525="",T1525=U1525),"",100*($E1525-U1525)/(T1525-U1525))</f>
        <v>0</v>
      </c>
      <c r="W1525">
        <f>IF(COUNT($V$1523:$V$1525)&lt;3,"",AVERAGE($V$1523:$V$1525))</f>
        <v>0</v>
      </c>
      <c r="X1525">
        <f>IF(COUNT($N$1512:$N$1525)&lt;14,"",MIN($N$1512:$N$1525))</f>
        <v>0</v>
      </c>
      <c r="Y1525">
        <f>IF(COUNT($N$1512:$N$1525)&lt;14,"",MAX($N$1512:$N$1525))</f>
        <v>0</v>
      </c>
      <c r="Z1525">
        <f>IF(OR(N1525="",X1525="",Y1525="",Y1525=X1525),"",100*(N1525-X1525)/(Y1525-X1525))</f>
        <v>0</v>
      </c>
      <c r="AA1525">
        <f>IF(COUNT($Z$1523:$Z$1525)&lt;3,"",AVERAGE($Z$1523:$Z$1525))</f>
        <v>0</v>
      </c>
      <c r="AB1525">
        <f>IF(COUNT($AA$1523:$AA$1525)&lt;3,"",AVERAGE($AA$1523:$AA$1525))</f>
        <v>0</v>
      </c>
      <c r="AC1525">
        <f>IF($E1525="","",MAX($C1525-$D1525,ABS($C1525-$E1524),ABS($D1525-$E1524)))</f>
        <v>0</v>
      </c>
      <c r="AD1525">
        <f>IF(COUNT($E$2:$E1525)&lt;15,"",AVERAGE($AC$1512:$AC$1525))</f>
        <v>0</v>
      </c>
      <c r="AE1525">
        <f>IF(OR($E1525="",$E1524=""),"",IF(AND(($C1525-$C1524)&gt;($D1524-$D1525),($C1525-$C1524)&gt;0),$C1525-$C1524,0))</f>
        <v>0</v>
      </c>
      <c r="AF1525">
        <f>IF(OR($E1525="",$E1524=""),"",IF(AND(($D1524-$D1525)&gt;($C1525-$C1524),($D1524-$D1525)&gt;0),$D1524-$D1525,0))</f>
        <v>0</v>
      </c>
      <c r="AG1525">
        <f>IF(COUNT($E$2:$E1525)&lt;15,"",IF(SUM($AC$1512:$AC$1525)=0,0,100*SUM($AE$1512:$AE$1525)/SUM($AC$1512:$AC$1525)))</f>
        <v>0</v>
      </c>
      <c r="AH1525">
        <f>IF(COUNT($E$2:$E1525)&lt;15,"",IF(SUM($AC$1512:$AC$1525)=0,0,100*SUM($AF$1512:$AF$1525)/SUM($AC$1512:$AC$1525)))</f>
        <v>0</v>
      </c>
      <c r="AI1525">
        <f>IF(OR(AG1525="",AH1525=""),"",IF((AG1525+AH1525)=0,0,100*ABS(AG1525-AH1525)/(AG1525+AH1525)))</f>
        <v>0</v>
      </c>
      <c r="AJ1525">
        <f>IF(COUNT($AI$1512:$AI$1525)&lt;14,"",AVERAGE($AI$1512:$AI$1525))</f>
        <v>0</v>
      </c>
      <c r="AK1525">
        <f>IF(COUNT($E$2:$E1525)&lt;20,"",AVERAGE($E$1506:$E$1525))</f>
        <v>0</v>
      </c>
      <c r="AL1525">
        <f>IF(COUNT($E$2:$E1525)&lt;20,"",STDEVP($E$1506:$E$1525))</f>
        <v>0</v>
      </c>
      <c r="AM1525">
        <f>IF(AK1525="","",AK1525+2*AL1525)</f>
        <v>0</v>
      </c>
      <c r="AN1525">
        <f>IF(AK1525="","",AK1525-2*AL1525)</f>
        <v>0</v>
      </c>
      <c r="AO1525">
        <f>IF(OR(AM1525="",AN1525="",AM1525=AN1525),"",($E1525-AN1525)/(AM1525-AN1525))</f>
        <v>0</v>
      </c>
      <c r="AP1525">
        <f>IF(OR(AM1525="",AK1525="",AK1525=0),"",(AM1525-AN1525)/AK1525)</f>
        <v>0</v>
      </c>
      <c r="AQ1525">
        <f>IF(COUNT($E$2:$E1525)&lt;20,"",MAX($C$1506:$C$1525))</f>
        <v>0</v>
      </c>
      <c r="AR1525">
        <f>IF(COUNT($E$2:$E1525)&lt;20,"",MIN($D$1506:$D$1525))</f>
        <v>0</v>
      </c>
      <c r="AS1525">
        <f>IF(OR(AQ1525="",AR1525=""),"",(AQ1525+AR1525)/2)</f>
        <v>0</v>
      </c>
      <c r="AT1525">
        <f>IF(COUNT($G$1506:$G$1525)&lt;20,"",STDEV($G$1506:$G$1525)*SQRT(252))</f>
        <v>0</v>
      </c>
      <c r="AU1525">
        <f>IF(COUNT($E$2:$E1525)&lt;9,"",(MAX($C$1517:$C$1525)+MIN($D$1517:$D$1525))/2)</f>
        <v>0</v>
      </c>
      <c r="AV1525">
        <f>IF(COUNT($E$2:$E1525)&lt;26,"",(MAX($C$1500:$C$1525)+MIN($D$1500:$D$1525))/2)</f>
        <v>0</v>
      </c>
      <c r="AW1525">
        <f>IF(OR(AU1525="",AV1525=""),"",(AU1525+AV1525)/2)</f>
        <v>0</v>
      </c>
      <c r="AX1525">
        <f>IF(COUNT($E$2:$E1525)&lt;52,"",(MAX($C$1474:$C$1525)+MIN($D$1474:$D$1525))/2)</f>
        <v>0</v>
      </c>
      <c r="AY1525">
        <f>IF(COUNT($E$2:$E1525)&lt;20,"",MAX($C$1426:$C$1525))</f>
        <v>0</v>
      </c>
      <c r="AZ1525">
        <f>IF(COUNT($E$2:$E1525)&lt;20,"",MIN($D$1426:$D$1525))</f>
        <v>0</v>
      </c>
      <c r="BA1525">
        <f>IF(COUNT($E$2:$E1525)&lt;20,"",SLOPE($E$1426:$E$1525,$F$1426:$F$1525))</f>
        <v>0</v>
      </c>
      <c r="BB1525">
        <f>IF(COUNT($E$2:$E1525)&lt;20,"",INTERCEPT($E$1426:$E$1525,$F$1426:$F$1525))</f>
        <v>0</v>
      </c>
      <c r="BC1525">
        <f>IF(OR(BA1525="",BB1525=""),"",BB1525+BA1525*F1525)</f>
        <v>0</v>
      </c>
      <c r="BD1525">
        <f>IF(COUNT($E$2:$E1525)&lt;20,"",STEYX($E$1426:$E$1525,$F$1426:$F$1525))</f>
        <v>0</v>
      </c>
      <c r="BE1525">
        <f>IF($E1525="","",IF(AND(COUNT($E$1526:$E$1529)&gt;=4,$C1525=MAX($C$1521:$C$1529)),$C1525,""))</f>
        <v>0</v>
      </c>
      <c r="BF1525">
        <f>IF($E1525="","",IF(AND(COUNT($E$1526:$E$1529)&gt;=4,$D1525=MIN($D$1521:$D$1529)),$D1525,""))</f>
        <v>0</v>
      </c>
      <c r="BG1525">
        <f>IF($A1525="","",$A1525-WEEKDAY($A1525,2)+1)</f>
        <v>0</v>
      </c>
      <c r="BH1525">
        <f>IF($A1525="","",IF($A1524="",1,IF(BG1525&lt;&gt;BG1524,1,0)))</f>
        <v>0</v>
      </c>
      <c r="BI1525">
        <f>IF($A1525="","",IF($A1526="",1,IF(BG1526&lt;&gt;BG1525,1,0)))</f>
        <v>0</v>
      </c>
      <c r="BJ1525">
        <f>IF($A1525="","",IF(BH1525=1,$B1525,BJ1524))</f>
        <v>0</v>
      </c>
      <c r="BK1525">
        <f>IF($A1525="","",IF(BH1525=1,$C1525,MAX($C1525,BK1524)))</f>
        <v>0</v>
      </c>
      <c r="BL1525">
        <f>IF($A1525="","",IF(BH1525=1,$D1525,MIN($D1525,BL1524)))</f>
        <v>0</v>
      </c>
      <c r="BM1525">
        <f>IF($A1525="","",IF(BI1525=1,F1525,""))</f>
        <v>0</v>
      </c>
      <c r="BN1525">
        <f>IF($A1525="","",DATE(YEAR($A1525),MONTH($A1525),1))</f>
        <v>0</v>
      </c>
      <c r="BO1525">
        <f>IF($A1525="","",IF($A1524="",1,IF(BN1525&lt;&gt;BN1524,1,0)))</f>
        <v>0</v>
      </c>
      <c r="BP1525">
        <f>IF($A1525="","",IF($A1526="",1,IF(BN1526&lt;&gt;BN1525,1,0)))</f>
        <v>0</v>
      </c>
      <c r="BQ1525">
        <f>IF($A1525="","",IF(BO1525=1,$B1525,BQ1524))</f>
        <v>0</v>
      </c>
      <c r="BR1525">
        <f>IF($A1525="","",IF(BO1525=1,$C1525,MAX($C1525,BR1524)))</f>
        <v>0</v>
      </c>
      <c r="BS1525">
        <f>IF($A1525="","",IF(BO1525=1,$D1525,MIN($D1525,BS1524)))</f>
        <v>0</v>
      </c>
      <c r="BT1525">
        <f>IF($A1525="","",IF(BP1525=1,F1525,""))</f>
        <v>0</v>
      </c>
    </row>
    <row r="1526" spans="1:72">
      <c r="A1526" s="27">
        <f>IF(Data!$A1526="","",Data!$A1526)</f>
        <v>0</v>
      </c>
      <c r="B1526">
        <f>IF(Data!$B1526="","",Data!$B1526)</f>
        <v>0</v>
      </c>
      <c r="C1526">
        <f>IF(Data!$C1526="","",Data!$C1526)</f>
        <v>0</v>
      </c>
      <c r="D1526">
        <f>IF(Data!$D1526="","",Data!$D1526)</f>
        <v>0</v>
      </c>
      <c r="E1526">
        <f>IF(Data!$E1526="","",Data!$E1526)</f>
        <v>0</v>
      </c>
      <c r="F1526">
        <f>IF($E1526="","",N(F1525)+1)</f>
        <v>0</v>
      </c>
      <c r="G1526">
        <f>IF(OR($E1526="",$E1525=""),"",LN($E1526/$E1525))</f>
        <v>0</v>
      </c>
      <c r="H1526">
        <f>IF($E1526="","",IF($E1525="",$E1526,$E1526*0.0952380952+H1525*0.9047619048))</f>
        <v>0</v>
      </c>
      <c r="I1526">
        <f>IF($E1526="","",IF($E1525="",$E1526,$E1526*0.0392156863+I1525*0.9607843137))</f>
        <v>0</v>
      </c>
      <c r="J1526">
        <f>IF($E1526="","",IF($E1525="",$E1526,$E1526*0.0198019802+J1525*0.9801980198))</f>
        <v>0</v>
      </c>
      <c r="K1526">
        <f>IF($E1526="","",IF($E1525="",$E1526,$E1526*0.0099502488+K1525*0.9900497512))</f>
        <v>0</v>
      </c>
      <c r="L1526">
        <f>IF(OR($E1526="",$E1525=""),"",MAX($E1526-$E1525,0))</f>
        <v>0</v>
      </c>
      <c r="M1526">
        <f>IF(OR($E1526="",$E1525=""),"",MAX($E1525-$E1526,0))</f>
        <v>0</v>
      </c>
      <c r="N1526">
        <f>IF(COUNT($E$2:$E1526)&lt;15,"",IF(AVERAGE($M$1513:$M$1526)=0,100,100-100/(1+AVERAGE($L$1513:$L$1526)/AVERAGE($M$1513:$M$1526))))</f>
        <v>0</v>
      </c>
      <c r="O1526">
        <f>IF($E1526="","",IF($E1525="",$E1526,$E1526*0.1538461538+O1525*0.8461538462))</f>
        <v>0</v>
      </c>
      <c r="P1526">
        <f>IF($E1526="","",IF($E1525="",$E1526,$E1526*0.0740740741+P1525*0.9259259259))</f>
        <v>0</v>
      </c>
      <c r="Q1526">
        <f>IF(OR(O1526="",P1526=""),"",O1526-P1526)</f>
        <v>0</v>
      </c>
      <c r="R1526">
        <f>IF(Q1526="","",IF(R1525="",Q1526,Q1526*0.2000000000+R1525*0.8000000000))</f>
        <v>0</v>
      </c>
      <c r="S1526">
        <f>IF(OR(Q1526="",R1526=""),"",Q1526-R1526)</f>
        <v>0</v>
      </c>
      <c r="T1526">
        <f>IF(COUNT($E$2:$E1526)&lt;14,"",MAX($C$1513:$C$1526))</f>
        <v>0</v>
      </c>
      <c r="U1526">
        <f>IF(COUNT($E$2:$E1526)&lt;14,"",MIN($D$1513:$D$1526))</f>
        <v>0</v>
      </c>
      <c r="V1526">
        <f>IF(OR(T1526="",U1526="",T1526=U1526),"",100*($E1526-U1526)/(T1526-U1526))</f>
        <v>0</v>
      </c>
      <c r="W1526">
        <f>IF(COUNT($V$1524:$V$1526)&lt;3,"",AVERAGE($V$1524:$V$1526))</f>
        <v>0</v>
      </c>
      <c r="X1526">
        <f>IF(COUNT($N$1513:$N$1526)&lt;14,"",MIN($N$1513:$N$1526))</f>
        <v>0</v>
      </c>
      <c r="Y1526">
        <f>IF(COUNT($N$1513:$N$1526)&lt;14,"",MAX($N$1513:$N$1526))</f>
        <v>0</v>
      </c>
      <c r="Z1526">
        <f>IF(OR(N1526="",X1526="",Y1526="",Y1526=X1526),"",100*(N1526-X1526)/(Y1526-X1526))</f>
        <v>0</v>
      </c>
      <c r="AA1526">
        <f>IF(COUNT($Z$1524:$Z$1526)&lt;3,"",AVERAGE($Z$1524:$Z$1526))</f>
        <v>0</v>
      </c>
      <c r="AB1526">
        <f>IF(COUNT($AA$1524:$AA$1526)&lt;3,"",AVERAGE($AA$1524:$AA$1526))</f>
        <v>0</v>
      </c>
      <c r="AC1526">
        <f>IF($E1526="","",MAX($C1526-$D1526,ABS($C1526-$E1525),ABS($D1526-$E1525)))</f>
        <v>0</v>
      </c>
      <c r="AD1526">
        <f>IF(COUNT($E$2:$E1526)&lt;15,"",AVERAGE($AC$1513:$AC$1526))</f>
        <v>0</v>
      </c>
      <c r="AE1526">
        <f>IF(OR($E1526="",$E1525=""),"",IF(AND(($C1526-$C1525)&gt;($D1525-$D1526),($C1526-$C1525)&gt;0),$C1526-$C1525,0))</f>
        <v>0</v>
      </c>
      <c r="AF1526">
        <f>IF(OR($E1526="",$E1525=""),"",IF(AND(($D1525-$D1526)&gt;($C1526-$C1525),($D1525-$D1526)&gt;0),$D1525-$D1526,0))</f>
        <v>0</v>
      </c>
      <c r="AG1526">
        <f>IF(COUNT($E$2:$E1526)&lt;15,"",IF(SUM($AC$1513:$AC$1526)=0,0,100*SUM($AE$1513:$AE$1526)/SUM($AC$1513:$AC$1526)))</f>
        <v>0</v>
      </c>
      <c r="AH1526">
        <f>IF(COUNT($E$2:$E1526)&lt;15,"",IF(SUM($AC$1513:$AC$1526)=0,0,100*SUM($AF$1513:$AF$1526)/SUM($AC$1513:$AC$1526)))</f>
        <v>0</v>
      </c>
      <c r="AI1526">
        <f>IF(OR(AG1526="",AH1526=""),"",IF((AG1526+AH1526)=0,0,100*ABS(AG1526-AH1526)/(AG1526+AH1526)))</f>
        <v>0</v>
      </c>
      <c r="AJ1526">
        <f>IF(COUNT($AI$1513:$AI$1526)&lt;14,"",AVERAGE($AI$1513:$AI$1526))</f>
        <v>0</v>
      </c>
      <c r="AK1526">
        <f>IF(COUNT($E$2:$E1526)&lt;20,"",AVERAGE($E$1507:$E$1526))</f>
        <v>0</v>
      </c>
      <c r="AL1526">
        <f>IF(COUNT($E$2:$E1526)&lt;20,"",STDEVP($E$1507:$E$1526))</f>
        <v>0</v>
      </c>
      <c r="AM1526">
        <f>IF(AK1526="","",AK1526+2*AL1526)</f>
        <v>0</v>
      </c>
      <c r="AN1526">
        <f>IF(AK1526="","",AK1526-2*AL1526)</f>
        <v>0</v>
      </c>
      <c r="AO1526">
        <f>IF(OR(AM1526="",AN1526="",AM1526=AN1526),"",($E1526-AN1526)/(AM1526-AN1526))</f>
        <v>0</v>
      </c>
      <c r="AP1526">
        <f>IF(OR(AM1526="",AK1526="",AK1526=0),"",(AM1526-AN1526)/AK1526)</f>
        <v>0</v>
      </c>
      <c r="AQ1526">
        <f>IF(COUNT($E$2:$E1526)&lt;20,"",MAX($C$1507:$C$1526))</f>
        <v>0</v>
      </c>
      <c r="AR1526">
        <f>IF(COUNT($E$2:$E1526)&lt;20,"",MIN($D$1507:$D$1526))</f>
        <v>0</v>
      </c>
      <c r="AS1526">
        <f>IF(OR(AQ1526="",AR1526=""),"",(AQ1526+AR1526)/2)</f>
        <v>0</v>
      </c>
      <c r="AT1526">
        <f>IF(COUNT($G$1507:$G$1526)&lt;20,"",STDEV($G$1507:$G$1526)*SQRT(252))</f>
        <v>0</v>
      </c>
      <c r="AU1526">
        <f>IF(COUNT($E$2:$E1526)&lt;9,"",(MAX($C$1518:$C$1526)+MIN($D$1518:$D$1526))/2)</f>
        <v>0</v>
      </c>
      <c r="AV1526">
        <f>IF(COUNT($E$2:$E1526)&lt;26,"",(MAX($C$1501:$C$1526)+MIN($D$1501:$D$1526))/2)</f>
        <v>0</v>
      </c>
      <c r="AW1526">
        <f>IF(OR(AU1526="",AV1526=""),"",(AU1526+AV1526)/2)</f>
        <v>0</v>
      </c>
      <c r="AX1526">
        <f>IF(COUNT($E$2:$E1526)&lt;52,"",(MAX($C$1475:$C$1526)+MIN($D$1475:$D$1526))/2)</f>
        <v>0</v>
      </c>
      <c r="AY1526">
        <f>IF(COUNT($E$2:$E1526)&lt;20,"",MAX($C$1427:$C$1526))</f>
        <v>0</v>
      </c>
      <c r="AZ1526">
        <f>IF(COUNT($E$2:$E1526)&lt;20,"",MIN($D$1427:$D$1526))</f>
        <v>0</v>
      </c>
      <c r="BA1526">
        <f>IF(COUNT($E$2:$E1526)&lt;20,"",SLOPE($E$1427:$E$1526,$F$1427:$F$1526))</f>
        <v>0</v>
      </c>
      <c r="BB1526">
        <f>IF(COUNT($E$2:$E1526)&lt;20,"",INTERCEPT($E$1427:$E$1526,$F$1427:$F$1526))</f>
        <v>0</v>
      </c>
      <c r="BC1526">
        <f>IF(OR(BA1526="",BB1526=""),"",BB1526+BA1526*F1526)</f>
        <v>0</v>
      </c>
      <c r="BD1526">
        <f>IF(COUNT($E$2:$E1526)&lt;20,"",STEYX($E$1427:$E$1526,$F$1427:$F$1526))</f>
        <v>0</v>
      </c>
      <c r="BE1526">
        <f>IF($E1526="","",IF(AND(COUNT($E$1527:$E$1530)&gt;=4,$C1526=MAX($C$1522:$C$1530)),$C1526,""))</f>
        <v>0</v>
      </c>
      <c r="BF1526">
        <f>IF($E1526="","",IF(AND(COUNT($E$1527:$E$1530)&gt;=4,$D1526=MIN($D$1522:$D$1530)),$D1526,""))</f>
        <v>0</v>
      </c>
      <c r="BG1526">
        <f>IF($A1526="","",$A1526-WEEKDAY($A1526,2)+1)</f>
        <v>0</v>
      </c>
      <c r="BH1526">
        <f>IF($A1526="","",IF($A1525="",1,IF(BG1526&lt;&gt;BG1525,1,0)))</f>
        <v>0</v>
      </c>
      <c r="BI1526">
        <f>IF($A1526="","",IF($A1527="",1,IF(BG1527&lt;&gt;BG1526,1,0)))</f>
        <v>0</v>
      </c>
      <c r="BJ1526">
        <f>IF($A1526="","",IF(BH1526=1,$B1526,BJ1525))</f>
        <v>0</v>
      </c>
      <c r="BK1526">
        <f>IF($A1526="","",IF(BH1526=1,$C1526,MAX($C1526,BK1525)))</f>
        <v>0</v>
      </c>
      <c r="BL1526">
        <f>IF($A1526="","",IF(BH1526=1,$D1526,MIN($D1526,BL1525)))</f>
        <v>0</v>
      </c>
      <c r="BM1526">
        <f>IF($A1526="","",IF(BI1526=1,F1526,""))</f>
        <v>0</v>
      </c>
      <c r="BN1526">
        <f>IF($A1526="","",DATE(YEAR($A1526),MONTH($A1526),1))</f>
        <v>0</v>
      </c>
      <c r="BO1526">
        <f>IF($A1526="","",IF($A1525="",1,IF(BN1526&lt;&gt;BN1525,1,0)))</f>
        <v>0</v>
      </c>
      <c r="BP1526">
        <f>IF($A1526="","",IF($A1527="",1,IF(BN1527&lt;&gt;BN1526,1,0)))</f>
        <v>0</v>
      </c>
      <c r="BQ1526">
        <f>IF($A1526="","",IF(BO1526=1,$B1526,BQ1525))</f>
        <v>0</v>
      </c>
      <c r="BR1526">
        <f>IF($A1526="","",IF(BO1526=1,$C1526,MAX($C1526,BR1525)))</f>
        <v>0</v>
      </c>
      <c r="BS1526">
        <f>IF($A1526="","",IF(BO1526=1,$D1526,MIN($D1526,BS1525)))</f>
        <v>0</v>
      </c>
      <c r="BT1526">
        <f>IF($A1526="","",IF(BP1526=1,F1526,""))</f>
        <v>0</v>
      </c>
    </row>
    <row r="1527" spans="1:72">
      <c r="A1527" s="27">
        <f>IF(Data!$A1527="","",Data!$A1527)</f>
        <v>0</v>
      </c>
      <c r="B1527">
        <f>IF(Data!$B1527="","",Data!$B1527)</f>
        <v>0</v>
      </c>
      <c r="C1527">
        <f>IF(Data!$C1527="","",Data!$C1527)</f>
        <v>0</v>
      </c>
      <c r="D1527">
        <f>IF(Data!$D1527="","",Data!$D1527)</f>
        <v>0</v>
      </c>
      <c r="E1527">
        <f>IF(Data!$E1527="","",Data!$E1527)</f>
        <v>0</v>
      </c>
      <c r="F1527">
        <f>IF($E1527="","",N(F1526)+1)</f>
        <v>0</v>
      </c>
      <c r="G1527">
        <f>IF(OR($E1527="",$E1526=""),"",LN($E1527/$E1526))</f>
        <v>0</v>
      </c>
      <c r="H1527">
        <f>IF($E1527="","",IF($E1526="",$E1527,$E1527*0.0952380952+H1526*0.9047619048))</f>
        <v>0</v>
      </c>
      <c r="I1527">
        <f>IF($E1527="","",IF($E1526="",$E1527,$E1527*0.0392156863+I1526*0.9607843137))</f>
        <v>0</v>
      </c>
      <c r="J1527">
        <f>IF($E1527="","",IF($E1526="",$E1527,$E1527*0.0198019802+J1526*0.9801980198))</f>
        <v>0</v>
      </c>
      <c r="K1527">
        <f>IF($E1527="","",IF($E1526="",$E1527,$E1527*0.0099502488+K1526*0.9900497512))</f>
        <v>0</v>
      </c>
      <c r="L1527">
        <f>IF(OR($E1527="",$E1526=""),"",MAX($E1527-$E1526,0))</f>
        <v>0</v>
      </c>
      <c r="M1527">
        <f>IF(OR($E1527="",$E1526=""),"",MAX($E1526-$E1527,0))</f>
        <v>0</v>
      </c>
      <c r="N1527">
        <f>IF(COUNT($E$2:$E1527)&lt;15,"",IF(AVERAGE($M$1514:$M$1527)=0,100,100-100/(1+AVERAGE($L$1514:$L$1527)/AVERAGE($M$1514:$M$1527))))</f>
        <v>0</v>
      </c>
      <c r="O1527">
        <f>IF($E1527="","",IF($E1526="",$E1527,$E1527*0.1538461538+O1526*0.8461538462))</f>
        <v>0</v>
      </c>
      <c r="P1527">
        <f>IF($E1527="","",IF($E1526="",$E1527,$E1527*0.0740740741+P1526*0.9259259259))</f>
        <v>0</v>
      </c>
      <c r="Q1527">
        <f>IF(OR(O1527="",P1527=""),"",O1527-P1527)</f>
        <v>0</v>
      </c>
      <c r="R1527">
        <f>IF(Q1527="","",IF(R1526="",Q1527,Q1527*0.2000000000+R1526*0.8000000000))</f>
        <v>0</v>
      </c>
      <c r="S1527">
        <f>IF(OR(Q1527="",R1527=""),"",Q1527-R1527)</f>
        <v>0</v>
      </c>
      <c r="T1527">
        <f>IF(COUNT($E$2:$E1527)&lt;14,"",MAX($C$1514:$C$1527))</f>
        <v>0</v>
      </c>
      <c r="U1527">
        <f>IF(COUNT($E$2:$E1527)&lt;14,"",MIN($D$1514:$D$1527))</f>
        <v>0</v>
      </c>
      <c r="V1527">
        <f>IF(OR(T1527="",U1527="",T1527=U1527),"",100*($E1527-U1527)/(T1527-U1527))</f>
        <v>0</v>
      </c>
      <c r="W1527">
        <f>IF(COUNT($V$1525:$V$1527)&lt;3,"",AVERAGE($V$1525:$V$1527))</f>
        <v>0</v>
      </c>
      <c r="X1527">
        <f>IF(COUNT($N$1514:$N$1527)&lt;14,"",MIN($N$1514:$N$1527))</f>
        <v>0</v>
      </c>
      <c r="Y1527">
        <f>IF(COUNT($N$1514:$N$1527)&lt;14,"",MAX($N$1514:$N$1527))</f>
        <v>0</v>
      </c>
      <c r="Z1527">
        <f>IF(OR(N1527="",X1527="",Y1527="",Y1527=X1527),"",100*(N1527-X1527)/(Y1527-X1527))</f>
        <v>0</v>
      </c>
      <c r="AA1527">
        <f>IF(COUNT($Z$1525:$Z$1527)&lt;3,"",AVERAGE($Z$1525:$Z$1527))</f>
        <v>0</v>
      </c>
      <c r="AB1527">
        <f>IF(COUNT($AA$1525:$AA$1527)&lt;3,"",AVERAGE($AA$1525:$AA$1527))</f>
        <v>0</v>
      </c>
      <c r="AC1527">
        <f>IF($E1527="","",MAX($C1527-$D1527,ABS($C1527-$E1526),ABS($D1527-$E1526)))</f>
        <v>0</v>
      </c>
      <c r="AD1527">
        <f>IF(COUNT($E$2:$E1527)&lt;15,"",AVERAGE($AC$1514:$AC$1527))</f>
        <v>0</v>
      </c>
      <c r="AE1527">
        <f>IF(OR($E1527="",$E1526=""),"",IF(AND(($C1527-$C1526)&gt;($D1526-$D1527),($C1527-$C1526)&gt;0),$C1527-$C1526,0))</f>
        <v>0</v>
      </c>
      <c r="AF1527">
        <f>IF(OR($E1527="",$E1526=""),"",IF(AND(($D1526-$D1527)&gt;($C1527-$C1526),($D1526-$D1527)&gt;0),$D1526-$D1527,0))</f>
        <v>0</v>
      </c>
      <c r="AG1527">
        <f>IF(COUNT($E$2:$E1527)&lt;15,"",IF(SUM($AC$1514:$AC$1527)=0,0,100*SUM($AE$1514:$AE$1527)/SUM($AC$1514:$AC$1527)))</f>
        <v>0</v>
      </c>
      <c r="AH1527">
        <f>IF(COUNT($E$2:$E1527)&lt;15,"",IF(SUM($AC$1514:$AC$1527)=0,0,100*SUM($AF$1514:$AF$1527)/SUM($AC$1514:$AC$1527)))</f>
        <v>0</v>
      </c>
      <c r="AI1527">
        <f>IF(OR(AG1527="",AH1527=""),"",IF((AG1527+AH1527)=0,0,100*ABS(AG1527-AH1527)/(AG1527+AH1527)))</f>
        <v>0</v>
      </c>
      <c r="AJ1527">
        <f>IF(COUNT($AI$1514:$AI$1527)&lt;14,"",AVERAGE($AI$1514:$AI$1527))</f>
        <v>0</v>
      </c>
      <c r="AK1527">
        <f>IF(COUNT($E$2:$E1527)&lt;20,"",AVERAGE($E$1508:$E$1527))</f>
        <v>0</v>
      </c>
      <c r="AL1527">
        <f>IF(COUNT($E$2:$E1527)&lt;20,"",STDEVP($E$1508:$E$1527))</f>
        <v>0</v>
      </c>
      <c r="AM1527">
        <f>IF(AK1527="","",AK1527+2*AL1527)</f>
        <v>0</v>
      </c>
      <c r="AN1527">
        <f>IF(AK1527="","",AK1527-2*AL1527)</f>
        <v>0</v>
      </c>
      <c r="AO1527">
        <f>IF(OR(AM1527="",AN1527="",AM1527=AN1527),"",($E1527-AN1527)/(AM1527-AN1527))</f>
        <v>0</v>
      </c>
      <c r="AP1527">
        <f>IF(OR(AM1527="",AK1527="",AK1527=0),"",(AM1527-AN1527)/AK1527)</f>
        <v>0</v>
      </c>
      <c r="AQ1527">
        <f>IF(COUNT($E$2:$E1527)&lt;20,"",MAX($C$1508:$C$1527))</f>
        <v>0</v>
      </c>
      <c r="AR1527">
        <f>IF(COUNT($E$2:$E1527)&lt;20,"",MIN($D$1508:$D$1527))</f>
        <v>0</v>
      </c>
      <c r="AS1527">
        <f>IF(OR(AQ1527="",AR1527=""),"",(AQ1527+AR1527)/2)</f>
        <v>0</v>
      </c>
      <c r="AT1527">
        <f>IF(COUNT($G$1508:$G$1527)&lt;20,"",STDEV($G$1508:$G$1527)*SQRT(252))</f>
        <v>0</v>
      </c>
      <c r="AU1527">
        <f>IF(COUNT($E$2:$E1527)&lt;9,"",(MAX($C$1519:$C$1527)+MIN($D$1519:$D$1527))/2)</f>
        <v>0</v>
      </c>
      <c r="AV1527">
        <f>IF(COUNT($E$2:$E1527)&lt;26,"",(MAX($C$1502:$C$1527)+MIN($D$1502:$D$1527))/2)</f>
        <v>0</v>
      </c>
      <c r="AW1527">
        <f>IF(OR(AU1527="",AV1527=""),"",(AU1527+AV1527)/2)</f>
        <v>0</v>
      </c>
      <c r="AX1527">
        <f>IF(COUNT($E$2:$E1527)&lt;52,"",(MAX($C$1476:$C$1527)+MIN($D$1476:$D$1527))/2)</f>
        <v>0</v>
      </c>
      <c r="AY1527">
        <f>IF(COUNT($E$2:$E1527)&lt;20,"",MAX($C$1428:$C$1527))</f>
        <v>0</v>
      </c>
      <c r="AZ1527">
        <f>IF(COUNT($E$2:$E1527)&lt;20,"",MIN($D$1428:$D$1527))</f>
        <v>0</v>
      </c>
      <c r="BA1527">
        <f>IF(COUNT($E$2:$E1527)&lt;20,"",SLOPE($E$1428:$E$1527,$F$1428:$F$1527))</f>
        <v>0</v>
      </c>
      <c r="BB1527">
        <f>IF(COUNT($E$2:$E1527)&lt;20,"",INTERCEPT($E$1428:$E$1527,$F$1428:$F$1527))</f>
        <v>0</v>
      </c>
      <c r="BC1527">
        <f>IF(OR(BA1527="",BB1527=""),"",BB1527+BA1527*F1527)</f>
        <v>0</v>
      </c>
      <c r="BD1527">
        <f>IF(COUNT($E$2:$E1527)&lt;20,"",STEYX($E$1428:$E$1527,$F$1428:$F$1527))</f>
        <v>0</v>
      </c>
      <c r="BE1527">
        <f>IF($E1527="","",IF(AND(COUNT($E$1528:$E$1531)&gt;=4,$C1527=MAX($C$1523:$C$1531)),$C1527,""))</f>
        <v>0</v>
      </c>
      <c r="BF1527">
        <f>IF($E1527="","",IF(AND(COUNT($E$1528:$E$1531)&gt;=4,$D1527=MIN($D$1523:$D$1531)),$D1527,""))</f>
        <v>0</v>
      </c>
      <c r="BG1527">
        <f>IF($A1527="","",$A1527-WEEKDAY($A1527,2)+1)</f>
        <v>0</v>
      </c>
      <c r="BH1527">
        <f>IF($A1527="","",IF($A1526="",1,IF(BG1527&lt;&gt;BG1526,1,0)))</f>
        <v>0</v>
      </c>
      <c r="BI1527">
        <f>IF($A1527="","",IF($A1528="",1,IF(BG1528&lt;&gt;BG1527,1,0)))</f>
        <v>0</v>
      </c>
      <c r="BJ1527">
        <f>IF($A1527="","",IF(BH1527=1,$B1527,BJ1526))</f>
        <v>0</v>
      </c>
      <c r="BK1527">
        <f>IF($A1527="","",IF(BH1527=1,$C1527,MAX($C1527,BK1526)))</f>
        <v>0</v>
      </c>
      <c r="BL1527">
        <f>IF($A1527="","",IF(BH1527=1,$D1527,MIN($D1527,BL1526)))</f>
        <v>0</v>
      </c>
      <c r="BM1527">
        <f>IF($A1527="","",IF(BI1527=1,F1527,""))</f>
        <v>0</v>
      </c>
      <c r="BN1527">
        <f>IF($A1527="","",DATE(YEAR($A1527),MONTH($A1527),1))</f>
        <v>0</v>
      </c>
      <c r="BO1527">
        <f>IF($A1527="","",IF($A1526="",1,IF(BN1527&lt;&gt;BN1526,1,0)))</f>
        <v>0</v>
      </c>
      <c r="BP1527">
        <f>IF($A1527="","",IF($A1528="",1,IF(BN1528&lt;&gt;BN1527,1,0)))</f>
        <v>0</v>
      </c>
      <c r="BQ1527">
        <f>IF($A1527="","",IF(BO1527=1,$B1527,BQ1526))</f>
        <v>0</v>
      </c>
      <c r="BR1527">
        <f>IF($A1527="","",IF(BO1527=1,$C1527,MAX($C1527,BR1526)))</f>
        <v>0</v>
      </c>
      <c r="BS1527">
        <f>IF($A1527="","",IF(BO1527=1,$D1527,MIN($D1527,BS1526)))</f>
        <v>0</v>
      </c>
      <c r="BT1527">
        <f>IF($A1527="","",IF(BP1527=1,F1527,""))</f>
        <v>0</v>
      </c>
    </row>
    <row r="1528" spans="1:72">
      <c r="A1528" s="27">
        <f>IF(Data!$A1528="","",Data!$A1528)</f>
        <v>0</v>
      </c>
      <c r="B1528">
        <f>IF(Data!$B1528="","",Data!$B1528)</f>
        <v>0</v>
      </c>
      <c r="C1528">
        <f>IF(Data!$C1528="","",Data!$C1528)</f>
        <v>0</v>
      </c>
      <c r="D1528">
        <f>IF(Data!$D1528="","",Data!$D1528)</f>
        <v>0</v>
      </c>
      <c r="E1528">
        <f>IF(Data!$E1528="","",Data!$E1528)</f>
        <v>0</v>
      </c>
      <c r="F1528">
        <f>IF($E1528="","",N(F1527)+1)</f>
        <v>0</v>
      </c>
      <c r="G1528">
        <f>IF(OR($E1528="",$E1527=""),"",LN($E1528/$E1527))</f>
        <v>0</v>
      </c>
      <c r="H1528">
        <f>IF($E1528="","",IF($E1527="",$E1528,$E1528*0.0952380952+H1527*0.9047619048))</f>
        <v>0</v>
      </c>
      <c r="I1528">
        <f>IF($E1528="","",IF($E1527="",$E1528,$E1528*0.0392156863+I1527*0.9607843137))</f>
        <v>0</v>
      </c>
      <c r="J1528">
        <f>IF($E1528="","",IF($E1527="",$E1528,$E1528*0.0198019802+J1527*0.9801980198))</f>
        <v>0</v>
      </c>
      <c r="K1528">
        <f>IF($E1528="","",IF($E1527="",$E1528,$E1528*0.0099502488+K1527*0.9900497512))</f>
        <v>0</v>
      </c>
      <c r="L1528">
        <f>IF(OR($E1528="",$E1527=""),"",MAX($E1528-$E1527,0))</f>
        <v>0</v>
      </c>
      <c r="M1528">
        <f>IF(OR($E1528="",$E1527=""),"",MAX($E1527-$E1528,0))</f>
        <v>0</v>
      </c>
      <c r="N1528">
        <f>IF(COUNT($E$2:$E1528)&lt;15,"",IF(AVERAGE($M$1515:$M$1528)=0,100,100-100/(1+AVERAGE($L$1515:$L$1528)/AVERAGE($M$1515:$M$1528))))</f>
        <v>0</v>
      </c>
      <c r="O1528">
        <f>IF($E1528="","",IF($E1527="",$E1528,$E1528*0.1538461538+O1527*0.8461538462))</f>
        <v>0</v>
      </c>
      <c r="P1528">
        <f>IF($E1528="","",IF($E1527="",$E1528,$E1528*0.0740740741+P1527*0.9259259259))</f>
        <v>0</v>
      </c>
      <c r="Q1528">
        <f>IF(OR(O1528="",P1528=""),"",O1528-P1528)</f>
        <v>0</v>
      </c>
      <c r="R1528">
        <f>IF(Q1528="","",IF(R1527="",Q1528,Q1528*0.2000000000+R1527*0.8000000000))</f>
        <v>0</v>
      </c>
      <c r="S1528">
        <f>IF(OR(Q1528="",R1528=""),"",Q1528-R1528)</f>
        <v>0</v>
      </c>
      <c r="T1528">
        <f>IF(COUNT($E$2:$E1528)&lt;14,"",MAX($C$1515:$C$1528))</f>
        <v>0</v>
      </c>
      <c r="U1528">
        <f>IF(COUNT($E$2:$E1528)&lt;14,"",MIN($D$1515:$D$1528))</f>
        <v>0</v>
      </c>
      <c r="V1528">
        <f>IF(OR(T1528="",U1528="",T1528=U1528),"",100*($E1528-U1528)/(T1528-U1528))</f>
        <v>0</v>
      </c>
      <c r="W1528">
        <f>IF(COUNT($V$1526:$V$1528)&lt;3,"",AVERAGE($V$1526:$V$1528))</f>
        <v>0</v>
      </c>
      <c r="X1528">
        <f>IF(COUNT($N$1515:$N$1528)&lt;14,"",MIN($N$1515:$N$1528))</f>
        <v>0</v>
      </c>
      <c r="Y1528">
        <f>IF(COUNT($N$1515:$N$1528)&lt;14,"",MAX($N$1515:$N$1528))</f>
        <v>0</v>
      </c>
      <c r="Z1528">
        <f>IF(OR(N1528="",X1528="",Y1528="",Y1528=X1528),"",100*(N1528-X1528)/(Y1528-X1528))</f>
        <v>0</v>
      </c>
      <c r="AA1528">
        <f>IF(COUNT($Z$1526:$Z$1528)&lt;3,"",AVERAGE($Z$1526:$Z$1528))</f>
        <v>0</v>
      </c>
      <c r="AB1528">
        <f>IF(COUNT($AA$1526:$AA$1528)&lt;3,"",AVERAGE($AA$1526:$AA$1528))</f>
        <v>0</v>
      </c>
      <c r="AC1528">
        <f>IF($E1528="","",MAX($C1528-$D1528,ABS($C1528-$E1527),ABS($D1528-$E1527)))</f>
        <v>0</v>
      </c>
      <c r="AD1528">
        <f>IF(COUNT($E$2:$E1528)&lt;15,"",AVERAGE($AC$1515:$AC$1528))</f>
        <v>0</v>
      </c>
      <c r="AE1528">
        <f>IF(OR($E1528="",$E1527=""),"",IF(AND(($C1528-$C1527)&gt;($D1527-$D1528),($C1528-$C1527)&gt;0),$C1528-$C1527,0))</f>
        <v>0</v>
      </c>
      <c r="AF1528">
        <f>IF(OR($E1528="",$E1527=""),"",IF(AND(($D1527-$D1528)&gt;($C1528-$C1527),($D1527-$D1528)&gt;0),$D1527-$D1528,0))</f>
        <v>0</v>
      </c>
      <c r="AG1528">
        <f>IF(COUNT($E$2:$E1528)&lt;15,"",IF(SUM($AC$1515:$AC$1528)=0,0,100*SUM($AE$1515:$AE$1528)/SUM($AC$1515:$AC$1528)))</f>
        <v>0</v>
      </c>
      <c r="AH1528">
        <f>IF(COUNT($E$2:$E1528)&lt;15,"",IF(SUM($AC$1515:$AC$1528)=0,0,100*SUM($AF$1515:$AF$1528)/SUM($AC$1515:$AC$1528)))</f>
        <v>0</v>
      </c>
      <c r="AI1528">
        <f>IF(OR(AG1528="",AH1528=""),"",IF((AG1528+AH1528)=0,0,100*ABS(AG1528-AH1528)/(AG1528+AH1528)))</f>
        <v>0</v>
      </c>
      <c r="AJ1528">
        <f>IF(COUNT($AI$1515:$AI$1528)&lt;14,"",AVERAGE($AI$1515:$AI$1528))</f>
        <v>0</v>
      </c>
      <c r="AK1528">
        <f>IF(COUNT($E$2:$E1528)&lt;20,"",AVERAGE($E$1509:$E$1528))</f>
        <v>0</v>
      </c>
      <c r="AL1528">
        <f>IF(COUNT($E$2:$E1528)&lt;20,"",STDEVP($E$1509:$E$1528))</f>
        <v>0</v>
      </c>
      <c r="AM1528">
        <f>IF(AK1528="","",AK1528+2*AL1528)</f>
        <v>0</v>
      </c>
      <c r="AN1528">
        <f>IF(AK1528="","",AK1528-2*AL1528)</f>
        <v>0</v>
      </c>
      <c r="AO1528">
        <f>IF(OR(AM1528="",AN1528="",AM1528=AN1528),"",($E1528-AN1528)/(AM1528-AN1528))</f>
        <v>0</v>
      </c>
      <c r="AP1528">
        <f>IF(OR(AM1528="",AK1528="",AK1528=0),"",(AM1528-AN1528)/AK1528)</f>
        <v>0</v>
      </c>
      <c r="AQ1528">
        <f>IF(COUNT($E$2:$E1528)&lt;20,"",MAX($C$1509:$C$1528))</f>
        <v>0</v>
      </c>
      <c r="AR1528">
        <f>IF(COUNT($E$2:$E1528)&lt;20,"",MIN($D$1509:$D$1528))</f>
        <v>0</v>
      </c>
      <c r="AS1528">
        <f>IF(OR(AQ1528="",AR1528=""),"",(AQ1528+AR1528)/2)</f>
        <v>0</v>
      </c>
      <c r="AT1528">
        <f>IF(COUNT($G$1509:$G$1528)&lt;20,"",STDEV($G$1509:$G$1528)*SQRT(252))</f>
        <v>0</v>
      </c>
      <c r="AU1528">
        <f>IF(COUNT($E$2:$E1528)&lt;9,"",(MAX($C$1520:$C$1528)+MIN($D$1520:$D$1528))/2)</f>
        <v>0</v>
      </c>
      <c r="AV1528">
        <f>IF(COUNT($E$2:$E1528)&lt;26,"",(MAX($C$1503:$C$1528)+MIN($D$1503:$D$1528))/2)</f>
        <v>0</v>
      </c>
      <c r="AW1528">
        <f>IF(OR(AU1528="",AV1528=""),"",(AU1528+AV1528)/2)</f>
        <v>0</v>
      </c>
      <c r="AX1528">
        <f>IF(COUNT($E$2:$E1528)&lt;52,"",(MAX($C$1477:$C$1528)+MIN($D$1477:$D$1528))/2)</f>
        <v>0</v>
      </c>
      <c r="AY1528">
        <f>IF(COUNT($E$2:$E1528)&lt;20,"",MAX($C$1429:$C$1528))</f>
        <v>0</v>
      </c>
      <c r="AZ1528">
        <f>IF(COUNT($E$2:$E1528)&lt;20,"",MIN($D$1429:$D$1528))</f>
        <v>0</v>
      </c>
      <c r="BA1528">
        <f>IF(COUNT($E$2:$E1528)&lt;20,"",SLOPE($E$1429:$E$1528,$F$1429:$F$1528))</f>
        <v>0</v>
      </c>
      <c r="BB1528">
        <f>IF(COUNT($E$2:$E1528)&lt;20,"",INTERCEPT($E$1429:$E$1528,$F$1429:$F$1528))</f>
        <v>0</v>
      </c>
      <c r="BC1528">
        <f>IF(OR(BA1528="",BB1528=""),"",BB1528+BA1528*F1528)</f>
        <v>0</v>
      </c>
      <c r="BD1528">
        <f>IF(COUNT($E$2:$E1528)&lt;20,"",STEYX($E$1429:$E$1528,$F$1429:$F$1528))</f>
        <v>0</v>
      </c>
      <c r="BE1528">
        <f>IF($E1528="","",IF(AND(COUNT($E$1529:$E$1532)&gt;=4,$C1528=MAX($C$1524:$C$1532)),$C1528,""))</f>
        <v>0</v>
      </c>
      <c r="BF1528">
        <f>IF($E1528="","",IF(AND(COUNT($E$1529:$E$1532)&gt;=4,$D1528=MIN($D$1524:$D$1532)),$D1528,""))</f>
        <v>0</v>
      </c>
      <c r="BG1528">
        <f>IF($A1528="","",$A1528-WEEKDAY($A1528,2)+1)</f>
        <v>0</v>
      </c>
      <c r="BH1528">
        <f>IF($A1528="","",IF($A1527="",1,IF(BG1528&lt;&gt;BG1527,1,0)))</f>
        <v>0</v>
      </c>
      <c r="BI1528">
        <f>IF($A1528="","",IF($A1529="",1,IF(BG1529&lt;&gt;BG1528,1,0)))</f>
        <v>0</v>
      </c>
      <c r="BJ1528">
        <f>IF($A1528="","",IF(BH1528=1,$B1528,BJ1527))</f>
        <v>0</v>
      </c>
      <c r="BK1528">
        <f>IF($A1528="","",IF(BH1528=1,$C1528,MAX($C1528,BK1527)))</f>
        <v>0</v>
      </c>
      <c r="BL1528">
        <f>IF($A1528="","",IF(BH1528=1,$D1528,MIN($D1528,BL1527)))</f>
        <v>0</v>
      </c>
      <c r="BM1528">
        <f>IF($A1528="","",IF(BI1528=1,F1528,""))</f>
        <v>0</v>
      </c>
      <c r="BN1528">
        <f>IF($A1528="","",DATE(YEAR($A1528),MONTH($A1528),1))</f>
        <v>0</v>
      </c>
      <c r="BO1528">
        <f>IF($A1528="","",IF($A1527="",1,IF(BN1528&lt;&gt;BN1527,1,0)))</f>
        <v>0</v>
      </c>
      <c r="BP1528">
        <f>IF($A1528="","",IF($A1529="",1,IF(BN1529&lt;&gt;BN1528,1,0)))</f>
        <v>0</v>
      </c>
      <c r="BQ1528">
        <f>IF($A1528="","",IF(BO1528=1,$B1528,BQ1527))</f>
        <v>0</v>
      </c>
      <c r="BR1528">
        <f>IF($A1528="","",IF(BO1528=1,$C1528,MAX($C1528,BR1527)))</f>
        <v>0</v>
      </c>
      <c r="BS1528">
        <f>IF($A1528="","",IF(BO1528=1,$D1528,MIN($D1528,BS1527)))</f>
        <v>0</v>
      </c>
      <c r="BT1528">
        <f>IF($A1528="","",IF(BP1528=1,F1528,""))</f>
        <v>0</v>
      </c>
    </row>
    <row r="1529" spans="1:72">
      <c r="A1529" s="27">
        <f>IF(Data!$A1529="","",Data!$A1529)</f>
        <v>0</v>
      </c>
      <c r="B1529">
        <f>IF(Data!$B1529="","",Data!$B1529)</f>
        <v>0</v>
      </c>
      <c r="C1529">
        <f>IF(Data!$C1529="","",Data!$C1529)</f>
        <v>0</v>
      </c>
      <c r="D1529">
        <f>IF(Data!$D1529="","",Data!$D1529)</f>
        <v>0</v>
      </c>
      <c r="E1529">
        <f>IF(Data!$E1529="","",Data!$E1529)</f>
        <v>0</v>
      </c>
      <c r="F1529">
        <f>IF($E1529="","",N(F1528)+1)</f>
        <v>0</v>
      </c>
      <c r="G1529">
        <f>IF(OR($E1529="",$E1528=""),"",LN($E1529/$E1528))</f>
        <v>0</v>
      </c>
      <c r="H1529">
        <f>IF($E1529="","",IF($E1528="",$E1529,$E1529*0.0952380952+H1528*0.9047619048))</f>
        <v>0</v>
      </c>
      <c r="I1529">
        <f>IF($E1529="","",IF($E1528="",$E1529,$E1529*0.0392156863+I1528*0.9607843137))</f>
        <v>0</v>
      </c>
      <c r="J1529">
        <f>IF($E1529="","",IF($E1528="",$E1529,$E1529*0.0198019802+J1528*0.9801980198))</f>
        <v>0</v>
      </c>
      <c r="K1529">
        <f>IF($E1529="","",IF($E1528="",$E1529,$E1529*0.0099502488+K1528*0.9900497512))</f>
        <v>0</v>
      </c>
      <c r="L1529">
        <f>IF(OR($E1529="",$E1528=""),"",MAX($E1529-$E1528,0))</f>
        <v>0</v>
      </c>
      <c r="M1529">
        <f>IF(OR($E1529="",$E1528=""),"",MAX($E1528-$E1529,0))</f>
        <v>0</v>
      </c>
      <c r="N1529">
        <f>IF(COUNT($E$2:$E1529)&lt;15,"",IF(AVERAGE($M$1516:$M$1529)=0,100,100-100/(1+AVERAGE($L$1516:$L$1529)/AVERAGE($M$1516:$M$1529))))</f>
        <v>0</v>
      </c>
      <c r="O1529">
        <f>IF($E1529="","",IF($E1528="",$E1529,$E1529*0.1538461538+O1528*0.8461538462))</f>
        <v>0</v>
      </c>
      <c r="P1529">
        <f>IF($E1529="","",IF($E1528="",$E1529,$E1529*0.0740740741+P1528*0.9259259259))</f>
        <v>0</v>
      </c>
      <c r="Q1529">
        <f>IF(OR(O1529="",P1529=""),"",O1529-P1529)</f>
        <v>0</v>
      </c>
      <c r="R1529">
        <f>IF(Q1529="","",IF(R1528="",Q1529,Q1529*0.2000000000+R1528*0.8000000000))</f>
        <v>0</v>
      </c>
      <c r="S1529">
        <f>IF(OR(Q1529="",R1529=""),"",Q1529-R1529)</f>
        <v>0</v>
      </c>
      <c r="T1529">
        <f>IF(COUNT($E$2:$E1529)&lt;14,"",MAX($C$1516:$C$1529))</f>
        <v>0</v>
      </c>
      <c r="U1529">
        <f>IF(COUNT($E$2:$E1529)&lt;14,"",MIN($D$1516:$D$1529))</f>
        <v>0</v>
      </c>
      <c r="V1529">
        <f>IF(OR(T1529="",U1529="",T1529=U1529),"",100*($E1529-U1529)/(T1529-U1529))</f>
        <v>0</v>
      </c>
      <c r="W1529">
        <f>IF(COUNT($V$1527:$V$1529)&lt;3,"",AVERAGE($V$1527:$V$1529))</f>
        <v>0</v>
      </c>
      <c r="X1529">
        <f>IF(COUNT($N$1516:$N$1529)&lt;14,"",MIN($N$1516:$N$1529))</f>
        <v>0</v>
      </c>
      <c r="Y1529">
        <f>IF(COUNT($N$1516:$N$1529)&lt;14,"",MAX($N$1516:$N$1529))</f>
        <v>0</v>
      </c>
      <c r="Z1529">
        <f>IF(OR(N1529="",X1529="",Y1529="",Y1529=X1529),"",100*(N1529-X1529)/(Y1529-X1529))</f>
        <v>0</v>
      </c>
      <c r="AA1529">
        <f>IF(COUNT($Z$1527:$Z$1529)&lt;3,"",AVERAGE($Z$1527:$Z$1529))</f>
        <v>0</v>
      </c>
      <c r="AB1529">
        <f>IF(COUNT($AA$1527:$AA$1529)&lt;3,"",AVERAGE($AA$1527:$AA$1529))</f>
        <v>0</v>
      </c>
      <c r="AC1529">
        <f>IF($E1529="","",MAX($C1529-$D1529,ABS($C1529-$E1528),ABS($D1529-$E1528)))</f>
        <v>0</v>
      </c>
      <c r="AD1529">
        <f>IF(COUNT($E$2:$E1529)&lt;15,"",AVERAGE($AC$1516:$AC$1529))</f>
        <v>0</v>
      </c>
      <c r="AE1529">
        <f>IF(OR($E1529="",$E1528=""),"",IF(AND(($C1529-$C1528)&gt;($D1528-$D1529),($C1529-$C1528)&gt;0),$C1529-$C1528,0))</f>
        <v>0</v>
      </c>
      <c r="AF1529">
        <f>IF(OR($E1529="",$E1528=""),"",IF(AND(($D1528-$D1529)&gt;($C1529-$C1528),($D1528-$D1529)&gt;0),$D1528-$D1529,0))</f>
        <v>0</v>
      </c>
      <c r="AG1529">
        <f>IF(COUNT($E$2:$E1529)&lt;15,"",IF(SUM($AC$1516:$AC$1529)=0,0,100*SUM($AE$1516:$AE$1529)/SUM($AC$1516:$AC$1529)))</f>
        <v>0</v>
      </c>
      <c r="AH1529">
        <f>IF(COUNT($E$2:$E1529)&lt;15,"",IF(SUM($AC$1516:$AC$1529)=0,0,100*SUM($AF$1516:$AF$1529)/SUM($AC$1516:$AC$1529)))</f>
        <v>0</v>
      </c>
      <c r="AI1529">
        <f>IF(OR(AG1529="",AH1529=""),"",IF((AG1529+AH1529)=0,0,100*ABS(AG1529-AH1529)/(AG1529+AH1529)))</f>
        <v>0</v>
      </c>
      <c r="AJ1529">
        <f>IF(COUNT($AI$1516:$AI$1529)&lt;14,"",AVERAGE($AI$1516:$AI$1529))</f>
        <v>0</v>
      </c>
      <c r="AK1529">
        <f>IF(COUNT($E$2:$E1529)&lt;20,"",AVERAGE($E$1510:$E$1529))</f>
        <v>0</v>
      </c>
      <c r="AL1529">
        <f>IF(COUNT($E$2:$E1529)&lt;20,"",STDEVP($E$1510:$E$1529))</f>
        <v>0</v>
      </c>
      <c r="AM1529">
        <f>IF(AK1529="","",AK1529+2*AL1529)</f>
        <v>0</v>
      </c>
      <c r="AN1529">
        <f>IF(AK1529="","",AK1529-2*AL1529)</f>
        <v>0</v>
      </c>
      <c r="AO1529">
        <f>IF(OR(AM1529="",AN1529="",AM1529=AN1529),"",($E1529-AN1529)/(AM1529-AN1529))</f>
        <v>0</v>
      </c>
      <c r="AP1529">
        <f>IF(OR(AM1529="",AK1529="",AK1529=0),"",(AM1529-AN1529)/AK1529)</f>
        <v>0</v>
      </c>
      <c r="AQ1529">
        <f>IF(COUNT($E$2:$E1529)&lt;20,"",MAX($C$1510:$C$1529))</f>
        <v>0</v>
      </c>
      <c r="AR1529">
        <f>IF(COUNT($E$2:$E1529)&lt;20,"",MIN($D$1510:$D$1529))</f>
        <v>0</v>
      </c>
      <c r="AS1529">
        <f>IF(OR(AQ1529="",AR1529=""),"",(AQ1529+AR1529)/2)</f>
        <v>0</v>
      </c>
      <c r="AT1529">
        <f>IF(COUNT($G$1510:$G$1529)&lt;20,"",STDEV($G$1510:$G$1529)*SQRT(252))</f>
        <v>0</v>
      </c>
      <c r="AU1529">
        <f>IF(COUNT($E$2:$E1529)&lt;9,"",(MAX($C$1521:$C$1529)+MIN($D$1521:$D$1529))/2)</f>
        <v>0</v>
      </c>
      <c r="AV1529">
        <f>IF(COUNT($E$2:$E1529)&lt;26,"",(MAX($C$1504:$C$1529)+MIN($D$1504:$D$1529))/2)</f>
        <v>0</v>
      </c>
      <c r="AW1529">
        <f>IF(OR(AU1529="",AV1529=""),"",(AU1529+AV1529)/2)</f>
        <v>0</v>
      </c>
      <c r="AX1529">
        <f>IF(COUNT($E$2:$E1529)&lt;52,"",(MAX($C$1478:$C$1529)+MIN($D$1478:$D$1529))/2)</f>
        <v>0</v>
      </c>
      <c r="AY1529">
        <f>IF(COUNT($E$2:$E1529)&lt;20,"",MAX($C$1430:$C$1529))</f>
        <v>0</v>
      </c>
      <c r="AZ1529">
        <f>IF(COUNT($E$2:$E1529)&lt;20,"",MIN($D$1430:$D$1529))</f>
        <v>0</v>
      </c>
      <c r="BA1529">
        <f>IF(COUNT($E$2:$E1529)&lt;20,"",SLOPE($E$1430:$E$1529,$F$1430:$F$1529))</f>
        <v>0</v>
      </c>
      <c r="BB1529">
        <f>IF(COUNT($E$2:$E1529)&lt;20,"",INTERCEPT($E$1430:$E$1529,$F$1430:$F$1529))</f>
        <v>0</v>
      </c>
      <c r="BC1529">
        <f>IF(OR(BA1529="",BB1529=""),"",BB1529+BA1529*F1529)</f>
        <v>0</v>
      </c>
      <c r="BD1529">
        <f>IF(COUNT($E$2:$E1529)&lt;20,"",STEYX($E$1430:$E$1529,$F$1430:$F$1529))</f>
        <v>0</v>
      </c>
      <c r="BE1529">
        <f>IF($E1529="","",IF(AND(COUNT($E$1530:$E$1533)&gt;=4,$C1529=MAX($C$1525:$C$1533)),$C1529,""))</f>
        <v>0</v>
      </c>
      <c r="BF1529">
        <f>IF($E1529="","",IF(AND(COUNT($E$1530:$E$1533)&gt;=4,$D1529=MIN($D$1525:$D$1533)),$D1529,""))</f>
        <v>0</v>
      </c>
      <c r="BG1529">
        <f>IF($A1529="","",$A1529-WEEKDAY($A1529,2)+1)</f>
        <v>0</v>
      </c>
      <c r="BH1529">
        <f>IF($A1529="","",IF($A1528="",1,IF(BG1529&lt;&gt;BG1528,1,0)))</f>
        <v>0</v>
      </c>
      <c r="BI1529">
        <f>IF($A1529="","",IF($A1530="",1,IF(BG1530&lt;&gt;BG1529,1,0)))</f>
        <v>0</v>
      </c>
      <c r="BJ1529">
        <f>IF($A1529="","",IF(BH1529=1,$B1529,BJ1528))</f>
        <v>0</v>
      </c>
      <c r="BK1529">
        <f>IF($A1529="","",IF(BH1529=1,$C1529,MAX($C1529,BK1528)))</f>
        <v>0</v>
      </c>
      <c r="BL1529">
        <f>IF($A1529="","",IF(BH1529=1,$D1529,MIN($D1529,BL1528)))</f>
        <v>0</v>
      </c>
      <c r="BM1529">
        <f>IF($A1529="","",IF(BI1529=1,F1529,""))</f>
        <v>0</v>
      </c>
      <c r="BN1529">
        <f>IF($A1529="","",DATE(YEAR($A1529),MONTH($A1529),1))</f>
        <v>0</v>
      </c>
      <c r="BO1529">
        <f>IF($A1529="","",IF($A1528="",1,IF(BN1529&lt;&gt;BN1528,1,0)))</f>
        <v>0</v>
      </c>
      <c r="BP1529">
        <f>IF($A1529="","",IF($A1530="",1,IF(BN1530&lt;&gt;BN1529,1,0)))</f>
        <v>0</v>
      </c>
      <c r="BQ1529">
        <f>IF($A1529="","",IF(BO1529=1,$B1529,BQ1528))</f>
        <v>0</v>
      </c>
      <c r="BR1529">
        <f>IF($A1529="","",IF(BO1529=1,$C1529,MAX($C1529,BR1528)))</f>
        <v>0</v>
      </c>
      <c r="BS1529">
        <f>IF($A1529="","",IF(BO1529=1,$D1529,MIN($D1529,BS1528)))</f>
        <v>0</v>
      </c>
      <c r="BT1529">
        <f>IF($A1529="","",IF(BP1529=1,F1529,""))</f>
        <v>0</v>
      </c>
    </row>
    <row r="1530" spans="1:72">
      <c r="A1530" s="27">
        <f>IF(Data!$A1530="","",Data!$A1530)</f>
        <v>0</v>
      </c>
      <c r="B1530">
        <f>IF(Data!$B1530="","",Data!$B1530)</f>
        <v>0</v>
      </c>
      <c r="C1530">
        <f>IF(Data!$C1530="","",Data!$C1530)</f>
        <v>0</v>
      </c>
      <c r="D1530">
        <f>IF(Data!$D1530="","",Data!$D1530)</f>
        <v>0</v>
      </c>
      <c r="E1530">
        <f>IF(Data!$E1530="","",Data!$E1530)</f>
        <v>0</v>
      </c>
      <c r="F1530">
        <f>IF($E1530="","",N(F1529)+1)</f>
        <v>0</v>
      </c>
      <c r="G1530">
        <f>IF(OR($E1530="",$E1529=""),"",LN($E1530/$E1529))</f>
        <v>0</v>
      </c>
      <c r="H1530">
        <f>IF($E1530="","",IF($E1529="",$E1530,$E1530*0.0952380952+H1529*0.9047619048))</f>
        <v>0</v>
      </c>
      <c r="I1530">
        <f>IF($E1530="","",IF($E1529="",$E1530,$E1530*0.0392156863+I1529*0.9607843137))</f>
        <v>0</v>
      </c>
      <c r="J1530">
        <f>IF($E1530="","",IF($E1529="",$E1530,$E1530*0.0198019802+J1529*0.9801980198))</f>
        <v>0</v>
      </c>
      <c r="K1530">
        <f>IF($E1530="","",IF($E1529="",$E1530,$E1530*0.0099502488+K1529*0.9900497512))</f>
        <v>0</v>
      </c>
      <c r="L1530">
        <f>IF(OR($E1530="",$E1529=""),"",MAX($E1530-$E1529,0))</f>
        <v>0</v>
      </c>
      <c r="M1530">
        <f>IF(OR($E1530="",$E1529=""),"",MAX($E1529-$E1530,0))</f>
        <v>0</v>
      </c>
      <c r="N1530">
        <f>IF(COUNT($E$2:$E1530)&lt;15,"",IF(AVERAGE($M$1517:$M$1530)=0,100,100-100/(1+AVERAGE($L$1517:$L$1530)/AVERAGE($M$1517:$M$1530))))</f>
        <v>0</v>
      </c>
      <c r="O1530">
        <f>IF($E1530="","",IF($E1529="",$E1530,$E1530*0.1538461538+O1529*0.8461538462))</f>
        <v>0</v>
      </c>
      <c r="P1530">
        <f>IF($E1530="","",IF($E1529="",$E1530,$E1530*0.0740740741+P1529*0.9259259259))</f>
        <v>0</v>
      </c>
      <c r="Q1530">
        <f>IF(OR(O1530="",P1530=""),"",O1530-P1530)</f>
        <v>0</v>
      </c>
      <c r="R1530">
        <f>IF(Q1530="","",IF(R1529="",Q1530,Q1530*0.2000000000+R1529*0.8000000000))</f>
        <v>0</v>
      </c>
      <c r="S1530">
        <f>IF(OR(Q1530="",R1530=""),"",Q1530-R1530)</f>
        <v>0</v>
      </c>
      <c r="T1530">
        <f>IF(COUNT($E$2:$E1530)&lt;14,"",MAX($C$1517:$C$1530))</f>
        <v>0</v>
      </c>
      <c r="U1530">
        <f>IF(COUNT($E$2:$E1530)&lt;14,"",MIN($D$1517:$D$1530))</f>
        <v>0</v>
      </c>
      <c r="V1530">
        <f>IF(OR(T1530="",U1530="",T1530=U1530),"",100*($E1530-U1530)/(T1530-U1530))</f>
        <v>0</v>
      </c>
      <c r="W1530">
        <f>IF(COUNT($V$1528:$V$1530)&lt;3,"",AVERAGE($V$1528:$V$1530))</f>
        <v>0</v>
      </c>
      <c r="X1530">
        <f>IF(COUNT($N$1517:$N$1530)&lt;14,"",MIN($N$1517:$N$1530))</f>
        <v>0</v>
      </c>
      <c r="Y1530">
        <f>IF(COUNT($N$1517:$N$1530)&lt;14,"",MAX($N$1517:$N$1530))</f>
        <v>0</v>
      </c>
      <c r="Z1530">
        <f>IF(OR(N1530="",X1530="",Y1530="",Y1530=X1530),"",100*(N1530-X1530)/(Y1530-X1530))</f>
        <v>0</v>
      </c>
      <c r="AA1530">
        <f>IF(COUNT($Z$1528:$Z$1530)&lt;3,"",AVERAGE($Z$1528:$Z$1530))</f>
        <v>0</v>
      </c>
      <c r="AB1530">
        <f>IF(COUNT($AA$1528:$AA$1530)&lt;3,"",AVERAGE($AA$1528:$AA$1530))</f>
        <v>0</v>
      </c>
      <c r="AC1530">
        <f>IF($E1530="","",MAX($C1530-$D1530,ABS($C1530-$E1529),ABS($D1530-$E1529)))</f>
        <v>0</v>
      </c>
      <c r="AD1530">
        <f>IF(COUNT($E$2:$E1530)&lt;15,"",AVERAGE($AC$1517:$AC$1530))</f>
        <v>0</v>
      </c>
      <c r="AE1530">
        <f>IF(OR($E1530="",$E1529=""),"",IF(AND(($C1530-$C1529)&gt;($D1529-$D1530),($C1530-$C1529)&gt;0),$C1530-$C1529,0))</f>
        <v>0</v>
      </c>
      <c r="AF1530">
        <f>IF(OR($E1530="",$E1529=""),"",IF(AND(($D1529-$D1530)&gt;($C1530-$C1529),($D1529-$D1530)&gt;0),$D1529-$D1530,0))</f>
        <v>0</v>
      </c>
      <c r="AG1530">
        <f>IF(COUNT($E$2:$E1530)&lt;15,"",IF(SUM($AC$1517:$AC$1530)=0,0,100*SUM($AE$1517:$AE$1530)/SUM($AC$1517:$AC$1530)))</f>
        <v>0</v>
      </c>
      <c r="AH1530">
        <f>IF(COUNT($E$2:$E1530)&lt;15,"",IF(SUM($AC$1517:$AC$1530)=0,0,100*SUM($AF$1517:$AF$1530)/SUM($AC$1517:$AC$1530)))</f>
        <v>0</v>
      </c>
      <c r="AI1530">
        <f>IF(OR(AG1530="",AH1530=""),"",IF((AG1530+AH1530)=0,0,100*ABS(AG1530-AH1530)/(AG1530+AH1530)))</f>
        <v>0</v>
      </c>
      <c r="AJ1530">
        <f>IF(COUNT($AI$1517:$AI$1530)&lt;14,"",AVERAGE($AI$1517:$AI$1530))</f>
        <v>0</v>
      </c>
      <c r="AK1530">
        <f>IF(COUNT($E$2:$E1530)&lt;20,"",AVERAGE($E$1511:$E$1530))</f>
        <v>0</v>
      </c>
      <c r="AL1530">
        <f>IF(COUNT($E$2:$E1530)&lt;20,"",STDEVP($E$1511:$E$1530))</f>
        <v>0</v>
      </c>
      <c r="AM1530">
        <f>IF(AK1530="","",AK1530+2*AL1530)</f>
        <v>0</v>
      </c>
      <c r="AN1530">
        <f>IF(AK1530="","",AK1530-2*AL1530)</f>
        <v>0</v>
      </c>
      <c r="AO1530">
        <f>IF(OR(AM1530="",AN1530="",AM1530=AN1530),"",($E1530-AN1530)/(AM1530-AN1530))</f>
        <v>0</v>
      </c>
      <c r="AP1530">
        <f>IF(OR(AM1530="",AK1530="",AK1530=0),"",(AM1530-AN1530)/AK1530)</f>
        <v>0</v>
      </c>
      <c r="AQ1530">
        <f>IF(COUNT($E$2:$E1530)&lt;20,"",MAX($C$1511:$C$1530))</f>
        <v>0</v>
      </c>
      <c r="AR1530">
        <f>IF(COUNT($E$2:$E1530)&lt;20,"",MIN($D$1511:$D$1530))</f>
        <v>0</v>
      </c>
      <c r="AS1530">
        <f>IF(OR(AQ1530="",AR1530=""),"",(AQ1530+AR1530)/2)</f>
        <v>0</v>
      </c>
      <c r="AT1530">
        <f>IF(COUNT($G$1511:$G$1530)&lt;20,"",STDEV($G$1511:$G$1530)*SQRT(252))</f>
        <v>0</v>
      </c>
      <c r="AU1530">
        <f>IF(COUNT($E$2:$E1530)&lt;9,"",(MAX($C$1522:$C$1530)+MIN($D$1522:$D$1530))/2)</f>
        <v>0</v>
      </c>
      <c r="AV1530">
        <f>IF(COUNT($E$2:$E1530)&lt;26,"",(MAX($C$1505:$C$1530)+MIN($D$1505:$D$1530))/2)</f>
        <v>0</v>
      </c>
      <c r="AW1530">
        <f>IF(OR(AU1530="",AV1530=""),"",(AU1530+AV1530)/2)</f>
        <v>0</v>
      </c>
      <c r="AX1530">
        <f>IF(COUNT($E$2:$E1530)&lt;52,"",(MAX($C$1479:$C$1530)+MIN($D$1479:$D$1530))/2)</f>
        <v>0</v>
      </c>
      <c r="AY1530">
        <f>IF(COUNT($E$2:$E1530)&lt;20,"",MAX($C$1431:$C$1530))</f>
        <v>0</v>
      </c>
      <c r="AZ1530">
        <f>IF(COUNT($E$2:$E1530)&lt;20,"",MIN($D$1431:$D$1530))</f>
        <v>0</v>
      </c>
      <c r="BA1530">
        <f>IF(COUNT($E$2:$E1530)&lt;20,"",SLOPE($E$1431:$E$1530,$F$1431:$F$1530))</f>
        <v>0</v>
      </c>
      <c r="BB1530">
        <f>IF(COUNT($E$2:$E1530)&lt;20,"",INTERCEPT($E$1431:$E$1530,$F$1431:$F$1530))</f>
        <v>0</v>
      </c>
      <c r="BC1530">
        <f>IF(OR(BA1530="",BB1530=""),"",BB1530+BA1530*F1530)</f>
        <v>0</v>
      </c>
      <c r="BD1530">
        <f>IF(COUNT($E$2:$E1530)&lt;20,"",STEYX($E$1431:$E$1530,$F$1431:$F$1530))</f>
        <v>0</v>
      </c>
      <c r="BE1530">
        <f>IF($E1530="","",IF(AND(COUNT($E$1531:$E$1534)&gt;=4,$C1530=MAX($C$1526:$C$1534)),$C1530,""))</f>
        <v>0</v>
      </c>
      <c r="BF1530">
        <f>IF($E1530="","",IF(AND(COUNT($E$1531:$E$1534)&gt;=4,$D1530=MIN($D$1526:$D$1534)),$D1530,""))</f>
        <v>0</v>
      </c>
      <c r="BG1530">
        <f>IF($A1530="","",$A1530-WEEKDAY($A1530,2)+1)</f>
        <v>0</v>
      </c>
      <c r="BH1530">
        <f>IF($A1530="","",IF($A1529="",1,IF(BG1530&lt;&gt;BG1529,1,0)))</f>
        <v>0</v>
      </c>
      <c r="BI1530">
        <f>IF($A1530="","",IF($A1531="",1,IF(BG1531&lt;&gt;BG1530,1,0)))</f>
        <v>0</v>
      </c>
      <c r="BJ1530">
        <f>IF($A1530="","",IF(BH1530=1,$B1530,BJ1529))</f>
        <v>0</v>
      </c>
      <c r="BK1530">
        <f>IF($A1530="","",IF(BH1530=1,$C1530,MAX($C1530,BK1529)))</f>
        <v>0</v>
      </c>
      <c r="BL1530">
        <f>IF($A1530="","",IF(BH1530=1,$D1530,MIN($D1530,BL1529)))</f>
        <v>0</v>
      </c>
      <c r="BM1530">
        <f>IF($A1530="","",IF(BI1530=1,F1530,""))</f>
        <v>0</v>
      </c>
      <c r="BN1530">
        <f>IF($A1530="","",DATE(YEAR($A1530),MONTH($A1530),1))</f>
        <v>0</v>
      </c>
      <c r="BO1530">
        <f>IF($A1530="","",IF($A1529="",1,IF(BN1530&lt;&gt;BN1529,1,0)))</f>
        <v>0</v>
      </c>
      <c r="BP1530">
        <f>IF($A1530="","",IF($A1531="",1,IF(BN1531&lt;&gt;BN1530,1,0)))</f>
        <v>0</v>
      </c>
      <c r="BQ1530">
        <f>IF($A1530="","",IF(BO1530=1,$B1530,BQ1529))</f>
        <v>0</v>
      </c>
      <c r="BR1530">
        <f>IF($A1530="","",IF(BO1530=1,$C1530,MAX($C1530,BR1529)))</f>
        <v>0</v>
      </c>
      <c r="BS1530">
        <f>IF($A1530="","",IF(BO1530=1,$D1530,MIN($D1530,BS1529)))</f>
        <v>0</v>
      </c>
      <c r="BT1530">
        <f>IF($A1530="","",IF(BP1530=1,F1530,""))</f>
        <v>0</v>
      </c>
    </row>
    <row r="1531" spans="1:72">
      <c r="A1531" s="27">
        <f>IF(Data!$A1531="","",Data!$A1531)</f>
        <v>0</v>
      </c>
      <c r="B1531">
        <f>IF(Data!$B1531="","",Data!$B1531)</f>
        <v>0</v>
      </c>
      <c r="C1531">
        <f>IF(Data!$C1531="","",Data!$C1531)</f>
        <v>0</v>
      </c>
      <c r="D1531">
        <f>IF(Data!$D1531="","",Data!$D1531)</f>
        <v>0</v>
      </c>
      <c r="E1531">
        <f>IF(Data!$E1531="","",Data!$E1531)</f>
        <v>0</v>
      </c>
      <c r="F1531">
        <f>IF($E1531="","",N(F1530)+1)</f>
        <v>0</v>
      </c>
      <c r="G1531">
        <f>IF(OR($E1531="",$E1530=""),"",LN($E1531/$E1530))</f>
        <v>0</v>
      </c>
      <c r="H1531">
        <f>IF($E1531="","",IF($E1530="",$E1531,$E1531*0.0952380952+H1530*0.9047619048))</f>
        <v>0</v>
      </c>
      <c r="I1531">
        <f>IF($E1531="","",IF($E1530="",$E1531,$E1531*0.0392156863+I1530*0.9607843137))</f>
        <v>0</v>
      </c>
      <c r="J1531">
        <f>IF($E1531="","",IF($E1530="",$E1531,$E1531*0.0198019802+J1530*0.9801980198))</f>
        <v>0</v>
      </c>
      <c r="K1531">
        <f>IF($E1531="","",IF($E1530="",$E1531,$E1531*0.0099502488+K1530*0.9900497512))</f>
        <v>0</v>
      </c>
      <c r="L1531">
        <f>IF(OR($E1531="",$E1530=""),"",MAX($E1531-$E1530,0))</f>
        <v>0</v>
      </c>
      <c r="M1531">
        <f>IF(OR($E1531="",$E1530=""),"",MAX($E1530-$E1531,0))</f>
        <v>0</v>
      </c>
      <c r="N1531">
        <f>IF(COUNT($E$2:$E1531)&lt;15,"",IF(AVERAGE($M$1518:$M$1531)=0,100,100-100/(1+AVERAGE($L$1518:$L$1531)/AVERAGE($M$1518:$M$1531))))</f>
        <v>0</v>
      </c>
      <c r="O1531">
        <f>IF($E1531="","",IF($E1530="",$E1531,$E1531*0.1538461538+O1530*0.8461538462))</f>
        <v>0</v>
      </c>
      <c r="P1531">
        <f>IF($E1531="","",IF($E1530="",$E1531,$E1531*0.0740740741+P1530*0.9259259259))</f>
        <v>0</v>
      </c>
      <c r="Q1531">
        <f>IF(OR(O1531="",P1531=""),"",O1531-P1531)</f>
        <v>0</v>
      </c>
      <c r="R1531">
        <f>IF(Q1531="","",IF(R1530="",Q1531,Q1531*0.2000000000+R1530*0.8000000000))</f>
        <v>0</v>
      </c>
      <c r="S1531">
        <f>IF(OR(Q1531="",R1531=""),"",Q1531-R1531)</f>
        <v>0</v>
      </c>
      <c r="T1531">
        <f>IF(COUNT($E$2:$E1531)&lt;14,"",MAX($C$1518:$C$1531))</f>
        <v>0</v>
      </c>
      <c r="U1531">
        <f>IF(COUNT($E$2:$E1531)&lt;14,"",MIN($D$1518:$D$1531))</f>
        <v>0</v>
      </c>
      <c r="V1531">
        <f>IF(OR(T1531="",U1531="",T1531=U1531),"",100*($E1531-U1531)/(T1531-U1531))</f>
        <v>0</v>
      </c>
      <c r="W1531">
        <f>IF(COUNT($V$1529:$V$1531)&lt;3,"",AVERAGE($V$1529:$V$1531))</f>
        <v>0</v>
      </c>
      <c r="X1531">
        <f>IF(COUNT($N$1518:$N$1531)&lt;14,"",MIN($N$1518:$N$1531))</f>
        <v>0</v>
      </c>
      <c r="Y1531">
        <f>IF(COUNT($N$1518:$N$1531)&lt;14,"",MAX($N$1518:$N$1531))</f>
        <v>0</v>
      </c>
      <c r="Z1531">
        <f>IF(OR(N1531="",X1531="",Y1531="",Y1531=X1531),"",100*(N1531-X1531)/(Y1531-X1531))</f>
        <v>0</v>
      </c>
      <c r="AA1531">
        <f>IF(COUNT($Z$1529:$Z$1531)&lt;3,"",AVERAGE($Z$1529:$Z$1531))</f>
        <v>0</v>
      </c>
      <c r="AB1531">
        <f>IF(COUNT($AA$1529:$AA$1531)&lt;3,"",AVERAGE($AA$1529:$AA$1531))</f>
        <v>0</v>
      </c>
      <c r="AC1531">
        <f>IF($E1531="","",MAX($C1531-$D1531,ABS($C1531-$E1530),ABS($D1531-$E1530)))</f>
        <v>0</v>
      </c>
      <c r="AD1531">
        <f>IF(COUNT($E$2:$E1531)&lt;15,"",AVERAGE($AC$1518:$AC$1531))</f>
        <v>0</v>
      </c>
      <c r="AE1531">
        <f>IF(OR($E1531="",$E1530=""),"",IF(AND(($C1531-$C1530)&gt;($D1530-$D1531),($C1531-$C1530)&gt;0),$C1531-$C1530,0))</f>
        <v>0</v>
      </c>
      <c r="AF1531">
        <f>IF(OR($E1531="",$E1530=""),"",IF(AND(($D1530-$D1531)&gt;($C1531-$C1530),($D1530-$D1531)&gt;0),$D1530-$D1531,0))</f>
        <v>0</v>
      </c>
      <c r="AG1531">
        <f>IF(COUNT($E$2:$E1531)&lt;15,"",IF(SUM($AC$1518:$AC$1531)=0,0,100*SUM($AE$1518:$AE$1531)/SUM($AC$1518:$AC$1531)))</f>
        <v>0</v>
      </c>
      <c r="AH1531">
        <f>IF(COUNT($E$2:$E1531)&lt;15,"",IF(SUM($AC$1518:$AC$1531)=0,0,100*SUM($AF$1518:$AF$1531)/SUM($AC$1518:$AC$1531)))</f>
        <v>0</v>
      </c>
      <c r="AI1531">
        <f>IF(OR(AG1531="",AH1531=""),"",IF((AG1531+AH1531)=0,0,100*ABS(AG1531-AH1531)/(AG1531+AH1531)))</f>
        <v>0</v>
      </c>
      <c r="AJ1531">
        <f>IF(COUNT($AI$1518:$AI$1531)&lt;14,"",AVERAGE($AI$1518:$AI$1531))</f>
        <v>0</v>
      </c>
      <c r="AK1531">
        <f>IF(COUNT($E$2:$E1531)&lt;20,"",AVERAGE($E$1512:$E$1531))</f>
        <v>0</v>
      </c>
      <c r="AL1531">
        <f>IF(COUNT($E$2:$E1531)&lt;20,"",STDEVP($E$1512:$E$1531))</f>
        <v>0</v>
      </c>
      <c r="AM1531">
        <f>IF(AK1531="","",AK1531+2*AL1531)</f>
        <v>0</v>
      </c>
      <c r="AN1531">
        <f>IF(AK1531="","",AK1531-2*AL1531)</f>
        <v>0</v>
      </c>
      <c r="AO1531">
        <f>IF(OR(AM1531="",AN1531="",AM1531=AN1531),"",($E1531-AN1531)/(AM1531-AN1531))</f>
        <v>0</v>
      </c>
      <c r="AP1531">
        <f>IF(OR(AM1531="",AK1531="",AK1531=0),"",(AM1531-AN1531)/AK1531)</f>
        <v>0</v>
      </c>
      <c r="AQ1531">
        <f>IF(COUNT($E$2:$E1531)&lt;20,"",MAX($C$1512:$C$1531))</f>
        <v>0</v>
      </c>
      <c r="AR1531">
        <f>IF(COUNT($E$2:$E1531)&lt;20,"",MIN($D$1512:$D$1531))</f>
        <v>0</v>
      </c>
      <c r="AS1531">
        <f>IF(OR(AQ1531="",AR1531=""),"",(AQ1531+AR1531)/2)</f>
        <v>0</v>
      </c>
      <c r="AT1531">
        <f>IF(COUNT($G$1512:$G$1531)&lt;20,"",STDEV($G$1512:$G$1531)*SQRT(252))</f>
        <v>0</v>
      </c>
      <c r="AU1531">
        <f>IF(COUNT($E$2:$E1531)&lt;9,"",(MAX($C$1523:$C$1531)+MIN($D$1523:$D$1531))/2)</f>
        <v>0</v>
      </c>
      <c r="AV1531">
        <f>IF(COUNT($E$2:$E1531)&lt;26,"",(MAX($C$1506:$C$1531)+MIN($D$1506:$D$1531))/2)</f>
        <v>0</v>
      </c>
      <c r="AW1531">
        <f>IF(OR(AU1531="",AV1531=""),"",(AU1531+AV1531)/2)</f>
        <v>0</v>
      </c>
      <c r="AX1531">
        <f>IF(COUNT($E$2:$E1531)&lt;52,"",(MAX($C$1480:$C$1531)+MIN($D$1480:$D$1531))/2)</f>
        <v>0</v>
      </c>
      <c r="AY1531">
        <f>IF(COUNT($E$2:$E1531)&lt;20,"",MAX($C$1432:$C$1531))</f>
        <v>0</v>
      </c>
      <c r="AZ1531">
        <f>IF(COUNT($E$2:$E1531)&lt;20,"",MIN($D$1432:$D$1531))</f>
        <v>0</v>
      </c>
      <c r="BA1531">
        <f>IF(COUNT($E$2:$E1531)&lt;20,"",SLOPE($E$1432:$E$1531,$F$1432:$F$1531))</f>
        <v>0</v>
      </c>
      <c r="BB1531">
        <f>IF(COUNT($E$2:$E1531)&lt;20,"",INTERCEPT($E$1432:$E$1531,$F$1432:$F$1531))</f>
        <v>0</v>
      </c>
      <c r="BC1531">
        <f>IF(OR(BA1531="",BB1531=""),"",BB1531+BA1531*F1531)</f>
        <v>0</v>
      </c>
      <c r="BD1531">
        <f>IF(COUNT($E$2:$E1531)&lt;20,"",STEYX($E$1432:$E$1531,$F$1432:$F$1531))</f>
        <v>0</v>
      </c>
      <c r="BE1531">
        <f>IF($E1531="","",IF(AND(COUNT($E$1532:$E$1535)&gt;=4,$C1531=MAX($C$1527:$C$1535)),$C1531,""))</f>
        <v>0</v>
      </c>
      <c r="BF1531">
        <f>IF($E1531="","",IF(AND(COUNT($E$1532:$E$1535)&gt;=4,$D1531=MIN($D$1527:$D$1535)),$D1531,""))</f>
        <v>0</v>
      </c>
      <c r="BG1531">
        <f>IF($A1531="","",$A1531-WEEKDAY($A1531,2)+1)</f>
        <v>0</v>
      </c>
      <c r="BH1531">
        <f>IF($A1531="","",IF($A1530="",1,IF(BG1531&lt;&gt;BG1530,1,0)))</f>
        <v>0</v>
      </c>
      <c r="BI1531">
        <f>IF($A1531="","",IF($A1532="",1,IF(BG1532&lt;&gt;BG1531,1,0)))</f>
        <v>0</v>
      </c>
      <c r="BJ1531">
        <f>IF($A1531="","",IF(BH1531=1,$B1531,BJ1530))</f>
        <v>0</v>
      </c>
      <c r="BK1531">
        <f>IF($A1531="","",IF(BH1531=1,$C1531,MAX($C1531,BK1530)))</f>
        <v>0</v>
      </c>
      <c r="BL1531">
        <f>IF($A1531="","",IF(BH1531=1,$D1531,MIN($D1531,BL1530)))</f>
        <v>0</v>
      </c>
      <c r="BM1531">
        <f>IF($A1531="","",IF(BI1531=1,F1531,""))</f>
        <v>0</v>
      </c>
      <c r="BN1531">
        <f>IF($A1531="","",DATE(YEAR($A1531),MONTH($A1531),1))</f>
        <v>0</v>
      </c>
      <c r="BO1531">
        <f>IF($A1531="","",IF($A1530="",1,IF(BN1531&lt;&gt;BN1530,1,0)))</f>
        <v>0</v>
      </c>
      <c r="BP1531">
        <f>IF($A1531="","",IF($A1532="",1,IF(BN1532&lt;&gt;BN1531,1,0)))</f>
        <v>0</v>
      </c>
      <c r="BQ1531">
        <f>IF($A1531="","",IF(BO1531=1,$B1531,BQ1530))</f>
        <v>0</v>
      </c>
      <c r="BR1531">
        <f>IF($A1531="","",IF(BO1531=1,$C1531,MAX($C1531,BR1530)))</f>
        <v>0</v>
      </c>
      <c r="BS1531">
        <f>IF($A1531="","",IF(BO1531=1,$D1531,MIN($D1531,BS1530)))</f>
        <v>0</v>
      </c>
      <c r="BT1531">
        <f>IF($A1531="","",IF(BP1531=1,F1531,""))</f>
        <v>0</v>
      </c>
    </row>
    <row r="1532" spans="1:72">
      <c r="A1532" s="27">
        <f>IF(Data!$A1532="","",Data!$A1532)</f>
        <v>0</v>
      </c>
      <c r="B1532">
        <f>IF(Data!$B1532="","",Data!$B1532)</f>
        <v>0</v>
      </c>
      <c r="C1532">
        <f>IF(Data!$C1532="","",Data!$C1532)</f>
        <v>0</v>
      </c>
      <c r="D1532">
        <f>IF(Data!$D1532="","",Data!$D1532)</f>
        <v>0</v>
      </c>
      <c r="E1532">
        <f>IF(Data!$E1532="","",Data!$E1532)</f>
        <v>0</v>
      </c>
      <c r="F1532">
        <f>IF($E1532="","",N(F1531)+1)</f>
        <v>0</v>
      </c>
      <c r="G1532">
        <f>IF(OR($E1532="",$E1531=""),"",LN($E1532/$E1531))</f>
        <v>0</v>
      </c>
      <c r="H1532">
        <f>IF($E1532="","",IF($E1531="",$E1532,$E1532*0.0952380952+H1531*0.9047619048))</f>
        <v>0</v>
      </c>
      <c r="I1532">
        <f>IF($E1532="","",IF($E1531="",$E1532,$E1532*0.0392156863+I1531*0.9607843137))</f>
        <v>0</v>
      </c>
      <c r="J1532">
        <f>IF($E1532="","",IF($E1531="",$E1532,$E1532*0.0198019802+J1531*0.9801980198))</f>
        <v>0</v>
      </c>
      <c r="K1532">
        <f>IF($E1532="","",IF($E1531="",$E1532,$E1532*0.0099502488+K1531*0.9900497512))</f>
        <v>0</v>
      </c>
      <c r="L1532">
        <f>IF(OR($E1532="",$E1531=""),"",MAX($E1532-$E1531,0))</f>
        <v>0</v>
      </c>
      <c r="M1532">
        <f>IF(OR($E1532="",$E1531=""),"",MAX($E1531-$E1532,0))</f>
        <v>0</v>
      </c>
      <c r="N1532">
        <f>IF(COUNT($E$2:$E1532)&lt;15,"",IF(AVERAGE($M$1519:$M$1532)=0,100,100-100/(1+AVERAGE($L$1519:$L$1532)/AVERAGE($M$1519:$M$1532))))</f>
        <v>0</v>
      </c>
      <c r="O1532">
        <f>IF($E1532="","",IF($E1531="",$E1532,$E1532*0.1538461538+O1531*0.8461538462))</f>
        <v>0</v>
      </c>
      <c r="P1532">
        <f>IF($E1532="","",IF($E1531="",$E1532,$E1532*0.0740740741+P1531*0.9259259259))</f>
        <v>0</v>
      </c>
      <c r="Q1532">
        <f>IF(OR(O1532="",P1532=""),"",O1532-P1532)</f>
        <v>0</v>
      </c>
      <c r="R1532">
        <f>IF(Q1532="","",IF(R1531="",Q1532,Q1532*0.2000000000+R1531*0.8000000000))</f>
        <v>0</v>
      </c>
      <c r="S1532">
        <f>IF(OR(Q1532="",R1532=""),"",Q1532-R1532)</f>
        <v>0</v>
      </c>
      <c r="T1532">
        <f>IF(COUNT($E$2:$E1532)&lt;14,"",MAX($C$1519:$C$1532))</f>
        <v>0</v>
      </c>
      <c r="U1532">
        <f>IF(COUNT($E$2:$E1532)&lt;14,"",MIN($D$1519:$D$1532))</f>
        <v>0</v>
      </c>
      <c r="V1532">
        <f>IF(OR(T1532="",U1532="",T1532=U1532),"",100*($E1532-U1532)/(T1532-U1532))</f>
        <v>0</v>
      </c>
      <c r="W1532">
        <f>IF(COUNT($V$1530:$V$1532)&lt;3,"",AVERAGE($V$1530:$V$1532))</f>
        <v>0</v>
      </c>
      <c r="X1532">
        <f>IF(COUNT($N$1519:$N$1532)&lt;14,"",MIN($N$1519:$N$1532))</f>
        <v>0</v>
      </c>
      <c r="Y1532">
        <f>IF(COUNT($N$1519:$N$1532)&lt;14,"",MAX($N$1519:$N$1532))</f>
        <v>0</v>
      </c>
      <c r="Z1532">
        <f>IF(OR(N1532="",X1532="",Y1532="",Y1532=X1532),"",100*(N1532-X1532)/(Y1532-X1532))</f>
        <v>0</v>
      </c>
      <c r="AA1532">
        <f>IF(COUNT($Z$1530:$Z$1532)&lt;3,"",AVERAGE($Z$1530:$Z$1532))</f>
        <v>0</v>
      </c>
      <c r="AB1532">
        <f>IF(COUNT($AA$1530:$AA$1532)&lt;3,"",AVERAGE($AA$1530:$AA$1532))</f>
        <v>0</v>
      </c>
      <c r="AC1532">
        <f>IF($E1532="","",MAX($C1532-$D1532,ABS($C1532-$E1531),ABS($D1532-$E1531)))</f>
        <v>0</v>
      </c>
      <c r="AD1532">
        <f>IF(COUNT($E$2:$E1532)&lt;15,"",AVERAGE($AC$1519:$AC$1532))</f>
        <v>0</v>
      </c>
      <c r="AE1532">
        <f>IF(OR($E1532="",$E1531=""),"",IF(AND(($C1532-$C1531)&gt;($D1531-$D1532),($C1532-$C1531)&gt;0),$C1532-$C1531,0))</f>
        <v>0</v>
      </c>
      <c r="AF1532">
        <f>IF(OR($E1532="",$E1531=""),"",IF(AND(($D1531-$D1532)&gt;($C1532-$C1531),($D1531-$D1532)&gt;0),$D1531-$D1532,0))</f>
        <v>0</v>
      </c>
      <c r="AG1532">
        <f>IF(COUNT($E$2:$E1532)&lt;15,"",IF(SUM($AC$1519:$AC$1532)=0,0,100*SUM($AE$1519:$AE$1532)/SUM($AC$1519:$AC$1532)))</f>
        <v>0</v>
      </c>
      <c r="AH1532">
        <f>IF(COUNT($E$2:$E1532)&lt;15,"",IF(SUM($AC$1519:$AC$1532)=0,0,100*SUM($AF$1519:$AF$1532)/SUM($AC$1519:$AC$1532)))</f>
        <v>0</v>
      </c>
      <c r="AI1532">
        <f>IF(OR(AG1532="",AH1532=""),"",IF((AG1532+AH1532)=0,0,100*ABS(AG1532-AH1532)/(AG1532+AH1532)))</f>
        <v>0</v>
      </c>
      <c r="AJ1532">
        <f>IF(COUNT($AI$1519:$AI$1532)&lt;14,"",AVERAGE($AI$1519:$AI$1532))</f>
        <v>0</v>
      </c>
      <c r="AK1532">
        <f>IF(COUNT($E$2:$E1532)&lt;20,"",AVERAGE($E$1513:$E$1532))</f>
        <v>0</v>
      </c>
      <c r="AL1532">
        <f>IF(COUNT($E$2:$E1532)&lt;20,"",STDEVP($E$1513:$E$1532))</f>
        <v>0</v>
      </c>
      <c r="AM1532">
        <f>IF(AK1532="","",AK1532+2*AL1532)</f>
        <v>0</v>
      </c>
      <c r="AN1532">
        <f>IF(AK1532="","",AK1532-2*AL1532)</f>
        <v>0</v>
      </c>
      <c r="AO1532">
        <f>IF(OR(AM1532="",AN1532="",AM1532=AN1532),"",($E1532-AN1532)/(AM1532-AN1532))</f>
        <v>0</v>
      </c>
      <c r="AP1532">
        <f>IF(OR(AM1532="",AK1532="",AK1532=0),"",(AM1532-AN1532)/AK1532)</f>
        <v>0</v>
      </c>
      <c r="AQ1532">
        <f>IF(COUNT($E$2:$E1532)&lt;20,"",MAX($C$1513:$C$1532))</f>
        <v>0</v>
      </c>
      <c r="AR1532">
        <f>IF(COUNT($E$2:$E1532)&lt;20,"",MIN($D$1513:$D$1532))</f>
        <v>0</v>
      </c>
      <c r="AS1532">
        <f>IF(OR(AQ1532="",AR1532=""),"",(AQ1532+AR1532)/2)</f>
        <v>0</v>
      </c>
      <c r="AT1532">
        <f>IF(COUNT($G$1513:$G$1532)&lt;20,"",STDEV($G$1513:$G$1532)*SQRT(252))</f>
        <v>0</v>
      </c>
      <c r="AU1532">
        <f>IF(COUNT($E$2:$E1532)&lt;9,"",(MAX($C$1524:$C$1532)+MIN($D$1524:$D$1532))/2)</f>
        <v>0</v>
      </c>
      <c r="AV1532">
        <f>IF(COUNT($E$2:$E1532)&lt;26,"",(MAX($C$1507:$C$1532)+MIN($D$1507:$D$1532))/2)</f>
        <v>0</v>
      </c>
      <c r="AW1532">
        <f>IF(OR(AU1532="",AV1532=""),"",(AU1532+AV1532)/2)</f>
        <v>0</v>
      </c>
      <c r="AX1532">
        <f>IF(COUNT($E$2:$E1532)&lt;52,"",(MAX($C$1481:$C$1532)+MIN($D$1481:$D$1532))/2)</f>
        <v>0</v>
      </c>
      <c r="AY1532">
        <f>IF(COUNT($E$2:$E1532)&lt;20,"",MAX($C$1433:$C$1532))</f>
        <v>0</v>
      </c>
      <c r="AZ1532">
        <f>IF(COUNT($E$2:$E1532)&lt;20,"",MIN($D$1433:$D$1532))</f>
        <v>0</v>
      </c>
      <c r="BA1532">
        <f>IF(COUNT($E$2:$E1532)&lt;20,"",SLOPE($E$1433:$E$1532,$F$1433:$F$1532))</f>
        <v>0</v>
      </c>
      <c r="BB1532">
        <f>IF(COUNT($E$2:$E1532)&lt;20,"",INTERCEPT($E$1433:$E$1532,$F$1433:$F$1532))</f>
        <v>0</v>
      </c>
      <c r="BC1532">
        <f>IF(OR(BA1532="",BB1532=""),"",BB1532+BA1532*F1532)</f>
        <v>0</v>
      </c>
      <c r="BD1532">
        <f>IF(COUNT($E$2:$E1532)&lt;20,"",STEYX($E$1433:$E$1532,$F$1433:$F$1532))</f>
        <v>0</v>
      </c>
      <c r="BE1532">
        <f>IF($E1532="","",IF(AND(COUNT($E$1533:$E$1536)&gt;=4,$C1532=MAX($C$1528:$C$1536)),$C1532,""))</f>
        <v>0</v>
      </c>
      <c r="BF1532">
        <f>IF($E1532="","",IF(AND(COUNT($E$1533:$E$1536)&gt;=4,$D1532=MIN($D$1528:$D$1536)),$D1532,""))</f>
        <v>0</v>
      </c>
      <c r="BG1532">
        <f>IF($A1532="","",$A1532-WEEKDAY($A1532,2)+1)</f>
        <v>0</v>
      </c>
      <c r="BH1532">
        <f>IF($A1532="","",IF($A1531="",1,IF(BG1532&lt;&gt;BG1531,1,0)))</f>
        <v>0</v>
      </c>
      <c r="BI1532">
        <f>IF($A1532="","",IF($A1533="",1,IF(BG1533&lt;&gt;BG1532,1,0)))</f>
        <v>0</v>
      </c>
      <c r="BJ1532">
        <f>IF($A1532="","",IF(BH1532=1,$B1532,BJ1531))</f>
        <v>0</v>
      </c>
      <c r="BK1532">
        <f>IF($A1532="","",IF(BH1532=1,$C1532,MAX($C1532,BK1531)))</f>
        <v>0</v>
      </c>
      <c r="BL1532">
        <f>IF($A1532="","",IF(BH1532=1,$D1532,MIN($D1532,BL1531)))</f>
        <v>0</v>
      </c>
      <c r="BM1532">
        <f>IF($A1532="","",IF(BI1532=1,F1532,""))</f>
        <v>0</v>
      </c>
      <c r="BN1532">
        <f>IF($A1532="","",DATE(YEAR($A1532),MONTH($A1532),1))</f>
        <v>0</v>
      </c>
      <c r="BO1532">
        <f>IF($A1532="","",IF($A1531="",1,IF(BN1532&lt;&gt;BN1531,1,0)))</f>
        <v>0</v>
      </c>
      <c r="BP1532">
        <f>IF($A1532="","",IF($A1533="",1,IF(BN1533&lt;&gt;BN1532,1,0)))</f>
        <v>0</v>
      </c>
      <c r="BQ1532">
        <f>IF($A1532="","",IF(BO1532=1,$B1532,BQ1531))</f>
        <v>0</v>
      </c>
      <c r="BR1532">
        <f>IF($A1532="","",IF(BO1532=1,$C1532,MAX($C1532,BR1531)))</f>
        <v>0</v>
      </c>
      <c r="BS1532">
        <f>IF($A1532="","",IF(BO1532=1,$D1532,MIN($D1532,BS1531)))</f>
        <v>0</v>
      </c>
      <c r="BT1532">
        <f>IF($A1532="","",IF(BP1532=1,F1532,""))</f>
        <v>0</v>
      </c>
    </row>
    <row r="1533" spans="1:72">
      <c r="A1533" s="27">
        <f>IF(Data!$A1533="","",Data!$A1533)</f>
        <v>0</v>
      </c>
      <c r="B1533">
        <f>IF(Data!$B1533="","",Data!$B1533)</f>
        <v>0</v>
      </c>
      <c r="C1533">
        <f>IF(Data!$C1533="","",Data!$C1533)</f>
        <v>0</v>
      </c>
      <c r="D1533">
        <f>IF(Data!$D1533="","",Data!$D1533)</f>
        <v>0</v>
      </c>
      <c r="E1533">
        <f>IF(Data!$E1533="","",Data!$E1533)</f>
        <v>0</v>
      </c>
      <c r="F1533">
        <f>IF($E1533="","",N(F1532)+1)</f>
        <v>0</v>
      </c>
      <c r="G1533">
        <f>IF(OR($E1533="",$E1532=""),"",LN($E1533/$E1532))</f>
        <v>0</v>
      </c>
      <c r="H1533">
        <f>IF($E1533="","",IF($E1532="",$E1533,$E1533*0.0952380952+H1532*0.9047619048))</f>
        <v>0</v>
      </c>
      <c r="I1533">
        <f>IF($E1533="","",IF($E1532="",$E1533,$E1533*0.0392156863+I1532*0.9607843137))</f>
        <v>0</v>
      </c>
      <c r="J1533">
        <f>IF($E1533="","",IF($E1532="",$E1533,$E1533*0.0198019802+J1532*0.9801980198))</f>
        <v>0</v>
      </c>
      <c r="K1533">
        <f>IF($E1533="","",IF($E1532="",$E1533,$E1533*0.0099502488+K1532*0.9900497512))</f>
        <v>0</v>
      </c>
      <c r="L1533">
        <f>IF(OR($E1533="",$E1532=""),"",MAX($E1533-$E1532,0))</f>
        <v>0</v>
      </c>
      <c r="M1533">
        <f>IF(OR($E1533="",$E1532=""),"",MAX($E1532-$E1533,0))</f>
        <v>0</v>
      </c>
      <c r="N1533">
        <f>IF(COUNT($E$2:$E1533)&lt;15,"",IF(AVERAGE($M$1520:$M$1533)=0,100,100-100/(1+AVERAGE($L$1520:$L$1533)/AVERAGE($M$1520:$M$1533))))</f>
        <v>0</v>
      </c>
      <c r="O1533">
        <f>IF($E1533="","",IF($E1532="",$E1533,$E1533*0.1538461538+O1532*0.8461538462))</f>
        <v>0</v>
      </c>
      <c r="P1533">
        <f>IF($E1533="","",IF($E1532="",$E1533,$E1533*0.0740740741+P1532*0.9259259259))</f>
        <v>0</v>
      </c>
      <c r="Q1533">
        <f>IF(OR(O1533="",P1533=""),"",O1533-P1533)</f>
        <v>0</v>
      </c>
      <c r="R1533">
        <f>IF(Q1533="","",IF(R1532="",Q1533,Q1533*0.2000000000+R1532*0.8000000000))</f>
        <v>0</v>
      </c>
      <c r="S1533">
        <f>IF(OR(Q1533="",R1533=""),"",Q1533-R1533)</f>
        <v>0</v>
      </c>
      <c r="T1533">
        <f>IF(COUNT($E$2:$E1533)&lt;14,"",MAX($C$1520:$C$1533))</f>
        <v>0</v>
      </c>
      <c r="U1533">
        <f>IF(COUNT($E$2:$E1533)&lt;14,"",MIN($D$1520:$D$1533))</f>
        <v>0</v>
      </c>
      <c r="V1533">
        <f>IF(OR(T1533="",U1533="",T1533=U1533),"",100*($E1533-U1533)/(T1533-U1533))</f>
        <v>0</v>
      </c>
      <c r="W1533">
        <f>IF(COUNT($V$1531:$V$1533)&lt;3,"",AVERAGE($V$1531:$V$1533))</f>
        <v>0</v>
      </c>
      <c r="X1533">
        <f>IF(COUNT($N$1520:$N$1533)&lt;14,"",MIN($N$1520:$N$1533))</f>
        <v>0</v>
      </c>
      <c r="Y1533">
        <f>IF(COUNT($N$1520:$N$1533)&lt;14,"",MAX($N$1520:$N$1533))</f>
        <v>0</v>
      </c>
      <c r="Z1533">
        <f>IF(OR(N1533="",X1533="",Y1533="",Y1533=X1533),"",100*(N1533-X1533)/(Y1533-X1533))</f>
        <v>0</v>
      </c>
      <c r="AA1533">
        <f>IF(COUNT($Z$1531:$Z$1533)&lt;3,"",AVERAGE($Z$1531:$Z$1533))</f>
        <v>0</v>
      </c>
      <c r="AB1533">
        <f>IF(COUNT($AA$1531:$AA$1533)&lt;3,"",AVERAGE($AA$1531:$AA$1533))</f>
        <v>0</v>
      </c>
      <c r="AC1533">
        <f>IF($E1533="","",MAX($C1533-$D1533,ABS($C1533-$E1532),ABS($D1533-$E1532)))</f>
        <v>0</v>
      </c>
      <c r="AD1533">
        <f>IF(COUNT($E$2:$E1533)&lt;15,"",AVERAGE($AC$1520:$AC$1533))</f>
        <v>0</v>
      </c>
      <c r="AE1533">
        <f>IF(OR($E1533="",$E1532=""),"",IF(AND(($C1533-$C1532)&gt;($D1532-$D1533),($C1533-$C1532)&gt;0),$C1533-$C1532,0))</f>
        <v>0</v>
      </c>
      <c r="AF1533">
        <f>IF(OR($E1533="",$E1532=""),"",IF(AND(($D1532-$D1533)&gt;($C1533-$C1532),($D1532-$D1533)&gt;0),$D1532-$D1533,0))</f>
        <v>0</v>
      </c>
      <c r="AG1533">
        <f>IF(COUNT($E$2:$E1533)&lt;15,"",IF(SUM($AC$1520:$AC$1533)=0,0,100*SUM($AE$1520:$AE$1533)/SUM($AC$1520:$AC$1533)))</f>
        <v>0</v>
      </c>
      <c r="AH1533">
        <f>IF(COUNT($E$2:$E1533)&lt;15,"",IF(SUM($AC$1520:$AC$1533)=0,0,100*SUM($AF$1520:$AF$1533)/SUM($AC$1520:$AC$1533)))</f>
        <v>0</v>
      </c>
      <c r="AI1533">
        <f>IF(OR(AG1533="",AH1533=""),"",IF((AG1533+AH1533)=0,0,100*ABS(AG1533-AH1533)/(AG1533+AH1533)))</f>
        <v>0</v>
      </c>
      <c r="AJ1533">
        <f>IF(COUNT($AI$1520:$AI$1533)&lt;14,"",AVERAGE($AI$1520:$AI$1533))</f>
        <v>0</v>
      </c>
      <c r="AK1533">
        <f>IF(COUNT($E$2:$E1533)&lt;20,"",AVERAGE($E$1514:$E$1533))</f>
        <v>0</v>
      </c>
      <c r="AL1533">
        <f>IF(COUNT($E$2:$E1533)&lt;20,"",STDEVP($E$1514:$E$1533))</f>
        <v>0</v>
      </c>
      <c r="AM1533">
        <f>IF(AK1533="","",AK1533+2*AL1533)</f>
        <v>0</v>
      </c>
      <c r="AN1533">
        <f>IF(AK1533="","",AK1533-2*AL1533)</f>
        <v>0</v>
      </c>
      <c r="AO1533">
        <f>IF(OR(AM1533="",AN1533="",AM1533=AN1533),"",($E1533-AN1533)/(AM1533-AN1533))</f>
        <v>0</v>
      </c>
      <c r="AP1533">
        <f>IF(OR(AM1533="",AK1533="",AK1533=0),"",(AM1533-AN1533)/AK1533)</f>
        <v>0</v>
      </c>
      <c r="AQ1533">
        <f>IF(COUNT($E$2:$E1533)&lt;20,"",MAX($C$1514:$C$1533))</f>
        <v>0</v>
      </c>
      <c r="AR1533">
        <f>IF(COUNT($E$2:$E1533)&lt;20,"",MIN($D$1514:$D$1533))</f>
        <v>0</v>
      </c>
      <c r="AS1533">
        <f>IF(OR(AQ1533="",AR1533=""),"",(AQ1533+AR1533)/2)</f>
        <v>0</v>
      </c>
      <c r="AT1533">
        <f>IF(COUNT($G$1514:$G$1533)&lt;20,"",STDEV($G$1514:$G$1533)*SQRT(252))</f>
        <v>0</v>
      </c>
      <c r="AU1533">
        <f>IF(COUNT($E$2:$E1533)&lt;9,"",(MAX($C$1525:$C$1533)+MIN($D$1525:$D$1533))/2)</f>
        <v>0</v>
      </c>
      <c r="AV1533">
        <f>IF(COUNT($E$2:$E1533)&lt;26,"",(MAX($C$1508:$C$1533)+MIN($D$1508:$D$1533))/2)</f>
        <v>0</v>
      </c>
      <c r="AW1533">
        <f>IF(OR(AU1533="",AV1533=""),"",(AU1533+AV1533)/2)</f>
        <v>0</v>
      </c>
      <c r="AX1533">
        <f>IF(COUNT($E$2:$E1533)&lt;52,"",(MAX($C$1482:$C$1533)+MIN($D$1482:$D$1533))/2)</f>
        <v>0</v>
      </c>
      <c r="AY1533">
        <f>IF(COUNT($E$2:$E1533)&lt;20,"",MAX($C$1434:$C$1533))</f>
        <v>0</v>
      </c>
      <c r="AZ1533">
        <f>IF(COUNT($E$2:$E1533)&lt;20,"",MIN($D$1434:$D$1533))</f>
        <v>0</v>
      </c>
      <c r="BA1533">
        <f>IF(COUNT($E$2:$E1533)&lt;20,"",SLOPE($E$1434:$E$1533,$F$1434:$F$1533))</f>
        <v>0</v>
      </c>
      <c r="BB1533">
        <f>IF(COUNT($E$2:$E1533)&lt;20,"",INTERCEPT($E$1434:$E$1533,$F$1434:$F$1533))</f>
        <v>0</v>
      </c>
      <c r="BC1533">
        <f>IF(OR(BA1533="",BB1533=""),"",BB1533+BA1533*F1533)</f>
        <v>0</v>
      </c>
      <c r="BD1533">
        <f>IF(COUNT($E$2:$E1533)&lt;20,"",STEYX($E$1434:$E$1533,$F$1434:$F$1533))</f>
        <v>0</v>
      </c>
      <c r="BE1533">
        <f>IF($E1533="","",IF(AND(COUNT($E$1534:$E$1537)&gt;=4,$C1533=MAX($C$1529:$C$1537)),$C1533,""))</f>
        <v>0</v>
      </c>
      <c r="BF1533">
        <f>IF($E1533="","",IF(AND(COUNT($E$1534:$E$1537)&gt;=4,$D1533=MIN($D$1529:$D$1537)),$D1533,""))</f>
        <v>0</v>
      </c>
      <c r="BG1533">
        <f>IF($A1533="","",$A1533-WEEKDAY($A1533,2)+1)</f>
        <v>0</v>
      </c>
      <c r="BH1533">
        <f>IF($A1533="","",IF($A1532="",1,IF(BG1533&lt;&gt;BG1532,1,0)))</f>
        <v>0</v>
      </c>
      <c r="BI1533">
        <f>IF($A1533="","",IF($A1534="",1,IF(BG1534&lt;&gt;BG1533,1,0)))</f>
        <v>0</v>
      </c>
      <c r="BJ1533">
        <f>IF($A1533="","",IF(BH1533=1,$B1533,BJ1532))</f>
        <v>0</v>
      </c>
      <c r="BK1533">
        <f>IF($A1533="","",IF(BH1533=1,$C1533,MAX($C1533,BK1532)))</f>
        <v>0</v>
      </c>
      <c r="BL1533">
        <f>IF($A1533="","",IF(BH1533=1,$D1533,MIN($D1533,BL1532)))</f>
        <v>0</v>
      </c>
      <c r="BM1533">
        <f>IF($A1533="","",IF(BI1533=1,F1533,""))</f>
        <v>0</v>
      </c>
      <c r="BN1533">
        <f>IF($A1533="","",DATE(YEAR($A1533),MONTH($A1533),1))</f>
        <v>0</v>
      </c>
      <c r="BO1533">
        <f>IF($A1533="","",IF($A1532="",1,IF(BN1533&lt;&gt;BN1532,1,0)))</f>
        <v>0</v>
      </c>
      <c r="BP1533">
        <f>IF($A1533="","",IF($A1534="",1,IF(BN1534&lt;&gt;BN1533,1,0)))</f>
        <v>0</v>
      </c>
      <c r="BQ1533">
        <f>IF($A1533="","",IF(BO1533=1,$B1533,BQ1532))</f>
        <v>0</v>
      </c>
      <c r="BR1533">
        <f>IF($A1533="","",IF(BO1533=1,$C1533,MAX($C1533,BR1532)))</f>
        <v>0</v>
      </c>
      <c r="BS1533">
        <f>IF($A1533="","",IF(BO1533=1,$D1533,MIN($D1533,BS1532)))</f>
        <v>0</v>
      </c>
      <c r="BT1533">
        <f>IF($A1533="","",IF(BP1533=1,F1533,""))</f>
        <v>0</v>
      </c>
    </row>
    <row r="1534" spans="1:72">
      <c r="A1534" s="27">
        <f>IF(Data!$A1534="","",Data!$A1534)</f>
        <v>0</v>
      </c>
      <c r="B1534">
        <f>IF(Data!$B1534="","",Data!$B1534)</f>
        <v>0</v>
      </c>
      <c r="C1534">
        <f>IF(Data!$C1534="","",Data!$C1534)</f>
        <v>0</v>
      </c>
      <c r="D1534">
        <f>IF(Data!$D1534="","",Data!$D1534)</f>
        <v>0</v>
      </c>
      <c r="E1534">
        <f>IF(Data!$E1534="","",Data!$E1534)</f>
        <v>0</v>
      </c>
      <c r="F1534">
        <f>IF($E1534="","",N(F1533)+1)</f>
        <v>0</v>
      </c>
      <c r="G1534">
        <f>IF(OR($E1534="",$E1533=""),"",LN($E1534/$E1533))</f>
        <v>0</v>
      </c>
      <c r="H1534">
        <f>IF($E1534="","",IF($E1533="",$E1534,$E1534*0.0952380952+H1533*0.9047619048))</f>
        <v>0</v>
      </c>
      <c r="I1534">
        <f>IF($E1534="","",IF($E1533="",$E1534,$E1534*0.0392156863+I1533*0.9607843137))</f>
        <v>0</v>
      </c>
      <c r="J1534">
        <f>IF($E1534="","",IF($E1533="",$E1534,$E1534*0.0198019802+J1533*0.9801980198))</f>
        <v>0</v>
      </c>
      <c r="K1534">
        <f>IF($E1534="","",IF($E1533="",$E1534,$E1534*0.0099502488+K1533*0.9900497512))</f>
        <v>0</v>
      </c>
      <c r="L1534">
        <f>IF(OR($E1534="",$E1533=""),"",MAX($E1534-$E1533,0))</f>
        <v>0</v>
      </c>
      <c r="M1534">
        <f>IF(OR($E1534="",$E1533=""),"",MAX($E1533-$E1534,0))</f>
        <v>0</v>
      </c>
      <c r="N1534">
        <f>IF(COUNT($E$2:$E1534)&lt;15,"",IF(AVERAGE($M$1521:$M$1534)=0,100,100-100/(1+AVERAGE($L$1521:$L$1534)/AVERAGE($M$1521:$M$1534))))</f>
        <v>0</v>
      </c>
      <c r="O1534">
        <f>IF($E1534="","",IF($E1533="",$E1534,$E1534*0.1538461538+O1533*0.8461538462))</f>
        <v>0</v>
      </c>
      <c r="P1534">
        <f>IF($E1534="","",IF($E1533="",$E1534,$E1534*0.0740740741+P1533*0.9259259259))</f>
        <v>0</v>
      </c>
      <c r="Q1534">
        <f>IF(OR(O1534="",P1534=""),"",O1534-P1534)</f>
        <v>0</v>
      </c>
      <c r="R1534">
        <f>IF(Q1534="","",IF(R1533="",Q1534,Q1534*0.2000000000+R1533*0.8000000000))</f>
        <v>0</v>
      </c>
      <c r="S1534">
        <f>IF(OR(Q1534="",R1534=""),"",Q1534-R1534)</f>
        <v>0</v>
      </c>
      <c r="T1534">
        <f>IF(COUNT($E$2:$E1534)&lt;14,"",MAX($C$1521:$C$1534))</f>
        <v>0</v>
      </c>
      <c r="U1534">
        <f>IF(COUNT($E$2:$E1534)&lt;14,"",MIN($D$1521:$D$1534))</f>
        <v>0</v>
      </c>
      <c r="V1534">
        <f>IF(OR(T1534="",U1534="",T1534=U1534),"",100*($E1534-U1534)/(T1534-U1534))</f>
        <v>0</v>
      </c>
      <c r="W1534">
        <f>IF(COUNT($V$1532:$V$1534)&lt;3,"",AVERAGE($V$1532:$V$1534))</f>
        <v>0</v>
      </c>
      <c r="X1534">
        <f>IF(COUNT($N$1521:$N$1534)&lt;14,"",MIN($N$1521:$N$1534))</f>
        <v>0</v>
      </c>
      <c r="Y1534">
        <f>IF(COUNT($N$1521:$N$1534)&lt;14,"",MAX($N$1521:$N$1534))</f>
        <v>0</v>
      </c>
      <c r="Z1534">
        <f>IF(OR(N1534="",X1534="",Y1534="",Y1534=X1534),"",100*(N1534-X1534)/(Y1534-X1534))</f>
        <v>0</v>
      </c>
      <c r="AA1534">
        <f>IF(COUNT($Z$1532:$Z$1534)&lt;3,"",AVERAGE($Z$1532:$Z$1534))</f>
        <v>0</v>
      </c>
      <c r="AB1534">
        <f>IF(COUNT($AA$1532:$AA$1534)&lt;3,"",AVERAGE($AA$1532:$AA$1534))</f>
        <v>0</v>
      </c>
      <c r="AC1534">
        <f>IF($E1534="","",MAX($C1534-$D1534,ABS($C1534-$E1533),ABS($D1534-$E1533)))</f>
        <v>0</v>
      </c>
      <c r="AD1534">
        <f>IF(COUNT($E$2:$E1534)&lt;15,"",AVERAGE($AC$1521:$AC$1534))</f>
        <v>0</v>
      </c>
      <c r="AE1534">
        <f>IF(OR($E1534="",$E1533=""),"",IF(AND(($C1534-$C1533)&gt;($D1533-$D1534),($C1534-$C1533)&gt;0),$C1534-$C1533,0))</f>
        <v>0</v>
      </c>
      <c r="AF1534">
        <f>IF(OR($E1534="",$E1533=""),"",IF(AND(($D1533-$D1534)&gt;($C1534-$C1533),($D1533-$D1534)&gt;0),$D1533-$D1534,0))</f>
        <v>0</v>
      </c>
      <c r="AG1534">
        <f>IF(COUNT($E$2:$E1534)&lt;15,"",IF(SUM($AC$1521:$AC$1534)=0,0,100*SUM($AE$1521:$AE$1534)/SUM($AC$1521:$AC$1534)))</f>
        <v>0</v>
      </c>
      <c r="AH1534">
        <f>IF(COUNT($E$2:$E1534)&lt;15,"",IF(SUM($AC$1521:$AC$1534)=0,0,100*SUM($AF$1521:$AF$1534)/SUM($AC$1521:$AC$1534)))</f>
        <v>0</v>
      </c>
      <c r="AI1534">
        <f>IF(OR(AG1534="",AH1534=""),"",IF((AG1534+AH1534)=0,0,100*ABS(AG1534-AH1534)/(AG1534+AH1534)))</f>
        <v>0</v>
      </c>
      <c r="AJ1534">
        <f>IF(COUNT($AI$1521:$AI$1534)&lt;14,"",AVERAGE($AI$1521:$AI$1534))</f>
        <v>0</v>
      </c>
      <c r="AK1534">
        <f>IF(COUNT($E$2:$E1534)&lt;20,"",AVERAGE($E$1515:$E$1534))</f>
        <v>0</v>
      </c>
      <c r="AL1534">
        <f>IF(COUNT($E$2:$E1534)&lt;20,"",STDEVP($E$1515:$E$1534))</f>
        <v>0</v>
      </c>
      <c r="AM1534">
        <f>IF(AK1534="","",AK1534+2*AL1534)</f>
        <v>0</v>
      </c>
      <c r="AN1534">
        <f>IF(AK1534="","",AK1534-2*AL1534)</f>
        <v>0</v>
      </c>
      <c r="AO1534">
        <f>IF(OR(AM1534="",AN1534="",AM1534=AN1534),"",($E1534-AN1534)/(AM1534-AN1534))</f>
        <v>0</v>
      </c>
      <c r="AP1534">
        <f>IF(OR(AM1534="",AK1534="",AK1534=0),"",(AM1534-AN1534)/AK1534)</f>
        <v>0</v>
      </c>
      <c r="AQ1534">
        <f>IF(COUNT($E$2:$E1534)&lt;20,"",MAX($C$1515:$C$1534))</f>
        <v>0</v>
      </c>
      <c r="AR1534">
        <f>IF(COUNT($E$2:$E1534)&lt;20,"",MIN($D$1515:$D$1534))</f>
        <v>0</v>
      </c>
      <c r="AS1534">
        <f>IF(OR(AQ1534="",AR1534=""),"",(AQ1534+AR1534)/2)</f>
        <v>0</v>
      </c>
      <c r="AT1534">
        <f>IF(COUNT($G$1515:$G$1534)&lt;20,"",STDEV($G$1515:$G$1534)*SQRT(252))</f>
        <v>0</v>
      </c>
      <c r="AU1534">
        <f>IF(COUNT($E$2:$E1534)&lt;9,"",(MAX($C$1526:$C$1534)+MIN($D$1526:$D$1534))/2)</f>
        <v>0</v>
      </c>
      <c r="AV1534">
        <f>IF(COUNT($E$2:$E1534)&lt;26,"",(MAX($C$1509:$C$1534)+MIN($D$1509:$D$1534))/2)</f>
        <v>0</v>
      </c>
      <c r="AW1534">
        <f>IF(OR(AU1534="",AV1534=""),"",(AU1534+AV1534)/2)</f>
        <v>0</v>
      </c>
      <c r="AX1534">
        <f>IF(COUNT($E$2:$E1534)&lt;52,"",(MAX($C$1483:$C$1534)+MIN($D$1483:$D$1534))/2)</f>
        <v>0</v>
      </c>
      <c r="AY1534">
        <f>IF(COUNT($E$2:$E1534)&lt;20,"",MAX($C$1435:$C$1534))</f>
        <v>0</v>
      </c>
      <c r="AZ1534">
        <f>IF(COUNT($E$2:$E1534)&lt;20,"",MIN($D$1435:$D$1534))</f>
        <v>0</v>
      </c>
      <c r="BA1534">
        <f>IF(COUNT($E$2:$E1534)&lt;20,"",SLOPE($E$1435:$E$1534,$F$1435:$F$1534))</f>
        <v>0</v>
      </c>
      <c r="BB1534">
        <f>IF(COUNT($E$2:$E1534)&lt;20,"",INTERCEPT($E$1435:$E$1534,$F$1435:$F$1534))</f>
        <v>0</v>
      </c>
      <c r="BC1534">
        <f>IF(OR(BA1534="",BB1534=""),"",BB1534+BA1534*F1534)</f>
        <v>0</v>
      </c>
      <c r="BD1534">
        <f>IF(COUNT($E$2:$E1534)&lt;20,"",STEYX($E$1435:$E$1534,$F$1435:$F$1534))</f>
        <v>0</v>
      </c>
      <c r="BE1534">
        <f>IF($E1534="","",IF(AND(COUNT($E$1535:$E$1538)&gt;=4,$C1534=MAX($C$1530:$C$1538)),$C1534,""))</f>
        <v>0</v>
      </c>
      <c r="BF1534">
        <f>IF($E1534="","",IF(AND(COUNT($E$1535:$E$1538)&gt;=4,$D1534=MIN($D$1530:$D$1538)),$D1534,""))</f>
        <v>0</v>
      </c>
      <c r="BG1534">
        <f>IF($A1534="","",$A1534-WEEKDAY($A1534,2)+1)</f>
        <v>0</v>
      </c>
      <c r="BH1534">
        <f>IF($A1534="","",IF($A1533="",1,IF(BG1534&lt;&gt;BG1533,1,0)))</f>
        <v>0</v>
      </c>
      <c r="BI1534">
        <f>IF($A1534="","",IF($A1535="",1,IF(BG1535&lt;&gt;BG1534,1,0)))</f>
        <v>0</v>
      </c>
      <c r="BJ1534">
        <f>IF($A1534="","",IF(BH1534=1,$B1534,BJ1533))</f>
        <v>0</v>
      </c>
      <c r="BK1534">
        <f>IF($A1534="","",IF(BH1534=1,$C1534,MAX($C1534,BK1533)))</f>
        <v>0</v>
      </c>
      <c r="BL1534">
        <f>IF($A1534="","",IF(BH1534=1,$D1534,MIN($D1534,BL1533)))</f>
        <v>0</v>
      </c>
      <c r="BM1534">
        <f>IF($A1534="","",IF(BI1534=1,F1534,""))</f>
        <v>0</v>
      </c>
      <c r="BN1534">
        <f>IF($A1534="","",DATE(YEAR($A1534),MONTH($A1534),1))</f>
        <v>0</v>
      </c>
      <c r="BO1534">
        <f>IF($A1534="","",IF($A1533="",1,IF(BN1534&lt;&gt;BN1533,1,0)))</f>
        <v>0</v>
      </c>
      <c r="BP1534">
        <f>IF($A1534="","",IF($A1535="",1,IF(BN1535&lt;&gt;BN1534,1,0)))</f>
        <v>0</v>
      </c>
      <c r="BQ1534">
        <f>IF($A1534="","",IF(BO1534=1,$B1534,BQ1533))</f>
        <v>0</v>
      </c>
      <c r="BR1534">
        <f>IF($A1534="","",IF(BO1534=1,$C1534,MAX($C1534,BR1533)))</f>
        <v>0</v>
      </c>
      <c r="BS1534">
        <f>IF($A1534="","",IF(BO1534=1,$D1534,MIN($D1534,BS1533)))</f>
        <v>0</v>
      </c>
      <c r="BT1534">
        <f>IF($A1534="","",IF(BP1534=1,F1534,""))</f>
        <v>0</v>
      </c>
    </row>
    <row r="1535" spans="1:72">
      <c r="A1535" s="27">
        <f>IF(Data!$A1535="","",Data!$A1535)</f>
        <v>0</v>
      </c>
      <c r="B1535">
        <f>IF(Data!$B1535="","",Data!$B1535)</f>
        <v>0</v>
      </c>
      <c r="C1535">
        <f>IF(Data!$C1535="","",Data!$C1535)</f>
        <v>0</v>
      </c>
      <c r="D1535">
        <f>IF(Data!$D1535="","",Data!$D1535)</f>
        <v>0</v>
      </c>
      <c r="E1535">
        <f>IF(Data!$E1535="","",Data!$E1535)</f>
        <v>0</v>
      </c>
      <c r="F1535">
        <f>IF($E1535="","",N(F1534)+1)</f>
        <v>0</v>
      </c>
      <c r="G1535">
        <f>IF(OR($E1535="",$E1534=""),"",LN($E1535/$E1534))</f>
        <v>0</v>
      </c>
      <c r="H1535">
        <f>IF($E1535="","",IF($E1534="",$E1535,$E1535*0.0952380952+H1534*0.9047619048))</f>
        <v>0</v>
      </c>
      <c r="I1535">
        <f>IF($E1535="","",IF($E1534="",$E1535,$E1535*0.0392156863+I1534*0.9607843137))</f>
        <v>0</v>
      </c>
      <c r="J1535">
        <f>IF($E1535="","",IF($E1534="",$E1535,$E1535*0.0198019802+J1534*0.9801980198))</f>
        <v>0</v>
      </c>
      <c r="K1535">
        <f>IF($E1535="","",IF($E1534="",$E1535,$E1535*0.0099502488+K1534*0.9900497512))</f>
        <v>0</v>
      </c>
      <c r="L1535">
        <f>IF(OR($E1535="",$E1534=""),"",MAX($E1535-$E1534,0))</f>
        <v>0</v>
      </c>
      <c r="M1535">
        <f>IF(OR($E1535="",$E1534=""),"",MAX($E1534-$E1535,0))</f>
        <v>0</v>
      </c>
      <c r="N1535">
        <f>IF(COUNT($E$2:$E1535)&lt;15,"",IF(AVERAGE($M$1522:$M$1535)=0,100,100-100/(1+AVERAGE($L$1522:$L$1535)/AVERAGE($M$1522:$M$1535))))</f>
        <v>0</v>
      </c>
      <c r="O1535">
        <f>IF($E1535="","",IF($E1534="",$E1535,$E1535*0.1538461538+O1534*0.8461538462))</f>
        <v>0</v>
      </c>
      <c r="P1535">
        <f>IF($E1535="","",IF($E1534="",$E1535,$E1535*0.0740740741+P1534*0.9259259259))</f>
        <v>0</v>
      </c>
      <c r="Q1535">
        <f>IF(OR(O1535="",P1535=""),"",O1535-P1535)</f>
        <v>0</v>
      </c>
      <c r="R1535">
        <f>IF(Q1535="","",IF(R1534="",Q1535,Q1535*0.2000000000+R1534*0.8000000000))</f>
        <v>0</v>
      </c>
      <c r="S1535">
        <f>IF(OR(Q1535="",R1535=""),"",Q1535-R1535)</f>
        <v>0</v>
      </c>
      <c r="T1535">
        <f>IF(COUNT($E$2:$E1535)&lt;14,"",MAX($C$1522:$C$1535))</f>
        <v>0</v>
      </c>
      <c r="U1535">
        <f>IF(COUNT($E$2:$E1535)&lt;14,"",MIN($D$1522:$D$1535))</f>
        <v>0</v>
      </c>
      <c r="V1535">
        <f>IF(OR(T1535="",U1535="",T1535=U1535),"",100*($E1535-U1535)/(T1535-U1535))</f>
        <v>0</v>
      </c>
      <c r="W1535">
        <f>IF(COUNT($V$1533:$V$1535)&lt;3,"",AVERAGE($V$1533:$V$1535))</f>
        <v>0</v>
      </c>
      <c r="X1535">
        <f>IF(COUNT($N$1522:$N$1535)&lt;14,"",MIN($N$1522:$N$1535))</f>
        <v>0</v>
      </c>
      <c r="Y1535">
        <f>IF(COUNT($N$1522:$N$1535)&lt;14,"",MAX($N$1522:$N$1535))</f>
        <v>0</v>
      </c>
      <c r="Z1535">
        <f>IF(OR(N1535="",X1535="",Y1535="",Y1535=X1535),"",100*(N1535-X1535)/(Y1535-X1535))</f>
        <v>0</v>
      </c>
      <c r="AA1535">
        <f>IF(COUNT($Z$1533:$Z$1535)&lt;3,"",AVERAGE($Z$1533:$Z$1535))</f>
        <v>0</v>
      </c>
      <c r="AB1535">
        <f>IF(COUNT($AA$1533:$AA$1535)&lt;3,"",AVERAGE($AA$1533:$AA$1535))</f>
        <v>0</v>
      </c>
      <c r="AC1535">
        <f>IF($E1535="","",MAX($C1535-$D1535,ABS($C1535-$E1534),ABS($D1535-$E1534)))</f>
        <v>0</v>
      </c>
      <c r="AD1535">
        <f>IF(COUNT($E$2:$E1535)&lt;15,"",AVERAGE($AC$1522:$AC$1535))</f>
        <v>0</v>
      </c>
      <c r="AE1535">
        <f>IF(OR($E1535="",$E1534=""),"",IF(AND(($C1535-$C1534)&gt;($D1534-$D1535),($C1535-$C1534)&gt;0),$C1535-$C1534,0))</f>
        <v>0</v>
      </c>
      <c r="AF1535">
        <f>IF(OR($E1535="",$E1534=""),"",IF(AND(($D1534-$D1535)&gt;($C1535-$C1534),($D1534-$D1535)&gt;0),$D1534-$D1535,0))</f>
        <v>0</v>
      </c>
      <c r="AG1535">
        <f>IF(COUNT($E$2:$E1535)&lt;15,"",IF(SUM($AC$1522:$AC$1535)=0,0,100*SUM($AE$1522:$AE$1535)/SUM($AC$1522:$AC$1535)))</f>
        <v>0</v>
      </c>
      <c r="AH1535">
        <f>IF(COUNT($E$2:$E1535)&lt;15,"",IF(SUM($AC$1522:$AC$1535)=0,0,100*SUM($AF$1522:$AF$1535)/SUM($AC$1522:$AC$1535)))</f>
        <v>0</v>
      </c>
      <c r="AI1535">
        <f>IF(OR(AG1535="",AH1535=""),"",IF((AG1535+AH1535)=0,0,100*ABS(AG1535-AH1535)/(AG1535+AH1535)))</f>
        <v>0</v>
      </c>
      <c r="AJ1535">
        <f>IF(COUNT($AI$1522:$AI$1535)&lt;14,"",AVERAGE($AI$1522:$AI$1535))</f>
        <v>0</v>
      </c>
      <c r="AK1535">
        <f>IF(COUNT($E$2:$E1535)&lt;20,"",AVERAGE($E$1516:$E$1535))</f>
        <v>0</v>
      </c>
      <c r="AL1535">
        <f>IF(COUNT($E$2:$E1535)&lt;20,"",STDEVP($E$1516:$E$1535))</f>
        <v>0</v>
      </c>
      <c r="AM1535">
        <f>IF(AK1535="","",AK1535+2*AL1535)</f>
        <v>0</v>
      </c>
      <c r="AN1535">
        <f>IF(AK1535="","",AK1535-2*AL1535)</f>
        <v>0</v>
      </c>
      <c r="AO1535">
        <f>IF(OR(AM1535="",AN1535="",AM1535=AN1535),"",($E1535-AN1535)/(AM1535-AN1535))</f>
        <v>0</v>
      </c>
      <c r="AP1535">
        <f>IF(OR(AM1535="",AK1535="",AK1535=0),"",(AM1535-AN1535)/AK1535)</f>
        <v>0</v>
      </c>
      <c r="AQ1535">
        <f>IF(COUNT($E$2:$E1535)&lt;20,"",MAX($C$1516:$C$1535))</f>
        <v>0</v>
      </c>
      <c r="AR1535">
        <f>IF(COUNT($E$2:$E1535)&lt;20,"",MIN($D$1516:$D$1535))</f>
        <v>0</v>
      </c>
      <c r="AS1535">
        <f>IF(OR(AQ1535="",AR1535=""),"",(AQ1535+AR1535)/2)</f>
        <v>0</v>
      </c>
      <c r="AT1535">
        <f>IF(COUNT($G$1516:$G$1535)&lt;20,"",STDEV($G$1516:$G$1535)*SQRT(252))</f>
        <v>0</v>
      </c>
      <c r="AU1535">
        <f>IF(COUNT($E$2:$E1535)&lt;9,"",(MAX($C$1527:$C$1535)+MIN($D$1527:$D$1535))/2)</f>
        <v>0</v>
      </c>
      <c r="AV1535">
        <f>IF(COUNT($E$2:$E1535)&lt;26,"",(MAX($C$1510:$C$1535)+MIN($D$1510:$D$1535))/2)</f>
        <v>0</v>
      </c>
      <c r="AW1535">
        <f>IF(OR(AU1535="",AV1535=""),"",(AU1535+AV1535)/2)</f>
        <v>0</v>
      </c>
      <c r="AX1535">
        <f>IF(COUNT($E$2:$E1535)&lt;52,"",(MAX($C$1484:$C$1535)+MIN($D$1484:$D$1535))/2)</f>
        <v>0</v>
      </c>
      <c r="AY1535">
        <f>IF(COUNT($E$2:$E1535)&lt;20,"",MAX($C$1436:$C$1535))</f>
        <v>0</v>
      </c>
      <c r="AZ1535">
        <f>IF(COUNT($E$2:$E1535)&lt;20,"",MIN($D$1436:$D$1535))</f>
        <v>0</v>
      </c>
      <c r="BA1535">
        <f>IF(COUNT($E$2:$E1535)&lt;20,"",SLOPE($E$1436:$E$1535,$F$1436:$F$1535))</f>
        <v>0</v>
      </c>
      <c r="BB1535">
        <f>IF(COUNT($E$2:$E1535)&lt;20,"",INTERCEPT($E$1436:$E$1535,$F$1436:$F$1535))</f>
        <v>0</v>
      </c>
      <c r="BC1535">
        <f>IF(OR(BA1535="",BB1535=""),"",BB1535+BA1535*F1535)</f>
        <v>0</v>
      </c>
      <c r="BD1535">
        <f>IF(COUNT($E$2:$E1535)&lt;20,"",STEYX($E$1436:$E$1535,$F$1436:$F$1535))</f>
        <v>0</v>
      </c>
      <c r="BE1535">
        <f>IF($E1535="","",IF(AND(COUNT($E$1536:$E$1539)&gt;=4,$C1535=MAX($C$1531:$C$1539)),$C1535,""))</f>
        <v>0</v>
      </c>
      <c r="BF1535">
        <f>IF($E1535="","",IF(AND(COUNT($E$1536:$E$1539)&gt;=4,$D1535=MIN($D$1531:$D$1539)),$D1535,""))</f>
        <v>0</v>
      </c>
      <c r="BG1535">
        <f>IF($A1535="","",$A1535-WEEKDAY($A1535,2)+1)</f>
        <v>0</v>
      </c>
      <c r="BH1535">
        <f>IF($A1535="","",IF($A1534="",1,IF(BG1535&lt;&gt;BG1534,1,0)))</f>
        <v>0</v>
      </c>
      <c r="BI1535">
        <f>IF($A1535="","",IF($A1536="",1,IF(BG1536&lt;&gt;BG1535,1,0)))</f>
        <v>0</v>
      </c>
      <c r="BJ1535">
        <f>IF($A1535="","",IF(BH1535=1,$B1535,BJ1534))</f>
        <v>0</v>
      </c>
      <c r="BK1535">
        <f>IF($A1535="","",IF(BH1535=1,$C1535,MAX($C1535,BK1534)))</f>
        <v>0</v>
      </c>
      <c r="BL1535">
        <f>IF($A1535="","",IF(BH1535=1,$D1535,MIN($D1535,BL1534)))</f>
        <v>0</v>
      </c>
      <c r="BM1535">
        <f>IF($A1535="","",IF(BI1535=1,F1535,""))</f>
        <v>0</v>
      </c>
      <c r="BN1535">
        <f>IF($A1535="","",DATE(YEAR($A1535),MONTH($A1535),1))</f>
        <v>0</v>
      </c>
      <c r="BO1535">
        <f>IF($A1535="","",IF($A1534="",1,IF(BN1535&lt;&gt;BN1534,1,0)))</f>
        <v>0</v>
      </c>
      <c r="BP1535">
        <f>IF($A1535="","",IF($A1536="",1,IF(BN1536&lt;&gt;BN1535,1,0)))</f>
        <v>0</v>
      </c>
      <c r="BQ1535">
        <f>IF($A1535="","",IF(BO1535=1,$B1535,BQ1534))</f>
        <v>0</v>
      </c>
      <c r="BR1535">
        <f>IF($A1535="","",IF(BO1535=1,$C1535,MAX($C1535,BR1534)))</f>
        <v>0</v>
      </c>
      <c r="BS1535">
        <f>IF($A1535="","",IF(BO1535=1,$D1535,MIN($D1535,BS1534)))</f>
        <v>0</v>
      </c>
      <c r="BT1535">
        <f>IF($A1535="","",IF(BP1535=1,F1535,""))</f>
        <v>0</v>
      </c>
    </row>
    <row r="1536" spans="1:72">
      <c r="A1536" s="27">
        <f>IF(Data!$A1536="","",Data!$A1536)</f>
        <v>0</v>
      </c>
      <c r="B1536">
        <f>IF(Data!$B1536="","",Data!$B1536)</f>
        <v>0</v>
      </c>
      <c r="C1536">
        <f>IF(Data!$C1536="","",Data!$C1536)</f>
        <v>0</v>
      </c>
      <c r="D1536">
        <f>IF(Data!$D1536="","",Data!$D1536)</f>
        <v>0</v>
      </c>
      <c r="E1536">
        <f>IF(Data!$E1536="","",Data!$E1536)</f>
        <v>0</v>
      </c>
      <c r="F1536">
        <f>IF($E1536="","",N(F1535)+1)</f>
        <v>0</v>
      </c>
      <c r="G1536">
        <f>IF(OR($E1536="",$E1535=""),"",LN($E1536/$E1535))</f>
        <v>0</v>
      </c>
      <c r="H1536">
        <f>IF($E1536="","",IF($E1535="",$E1536,$E1536*0.0952380952+H1535*0.9047619048))</f>
        <v>0</v>
      </c>
      <c r="I1536">
        <f>IF($E1536="","",IF($E1535="",$E1536,$E1536*0.0392156863+I1535*0.9607843137))</f>
        <v>0</v>
      </c>
      <c r="J1536">
        <f>IF($E1536="","",IF($E1535="",$E1536,$E1536*0.0198019802+J1535*0.9801980198))</f>
        <v>0</v>
      </c>
      <c r="K1536">
        <f>IF($E1536="","",IF($E1535="",$E1536,$E1536*0.0099502488+K1535*0.9900497512))</f>
        <v>0</v>
      </c>
      <c r="L1536">
        <f>IF(OR($E1536="",$E1535=""),"",MAX($E1536-$E1535,0))</f>
        <v>0</v>
      </c>
      <c r="M1536">
        <f>IF(OR($E1536="",$E1535=""),"",MAX($E1535-$E1536,0))</f>
        <v>0</v>
      </c>
      <c r="N1536">
        <f>IF(COUNT($E$2:$E1536)&lt;15,"",IF(AVERAGE($M$1523:$M$1536)=0,100,100-100/(1+AVERAGE($L$1523:$L$1536)/AVERAGE($M$1523:$M$1536))))</f>
        <v>0</v>
      </c>
      <c r="O1536">
        <f>IF($E1536="","",IF($E1535="",$E1536,$E1536*0.1538461538+O1535*0.8461538462))</f>
        <v>0</v>
      </c>
      <c r="P1536">
        <f>IF($E1536="","",IF($E1535="",$E1536,$E1536*0.0740740741+P1535*0.9259259259))</f>
        <v>0</v>
      </c>
      <c r="Q1536">
        <f>IF(OR(O1536="",P1536=""),"",O1536-P1536)</f>
        <v>0</v>
      </c>
      <c r="R1536">
        <f>IF(Q1536="","",IF(R1535="",Q1536,Q1536*0.2000000000+R1535*0.8000000000))</f>
        <v>0</v>
      </c>
      <c r="S1536">
        <f>IF(OR(Q1536="",R1536=""),"",Q1536-R1536)</f>
        <v>0</v>
      </c>
      <c r="T1536">
        <f>IF(COUNT($E$2:$E1536)&lt;14,"",MAX($C$1523:$C$1536))</f>
        <v>0</v>
      </c>
      <c r="U1536">
        <f>IF(COUNT($E$2:$E1536)&lt;14,"",MIN($D$1523:$D$1536))</f>
        <v>0</v>
      </c>
      <c r="V1536">
        <f>IF(OR(T1536="",U1536="",T1536=U1536),"",100*($E1536-U1536)/(T1536-U1536))</f>
        <v>0</v>
      </c>
      <c r="W1536">
        <f>IF(COUNT($V$1534:$V$1536)&lt;3,"",AVERAGE($V$1534:$V$1536))</f>
        <v>0</v>
      </c>
      <c r="X1536">
        <f>IF(COUNT($N$1523:$N$1536)&lt;14,"",MIN($N$1523:$N$1536))</f>
        <v>0</v>
      </c>
      <c r="Y1536">
        <f>IF(COUNT($N$1523:$N$1536)&lt;14,"",MAX($N$1523:$N$1536))</f>
        <v>0</v>
      </c>
      <c r="Z1536">
        <f>IF(OR(N1536="",X1536="",Y1536="",Y1536=X1536),"",100*(N1536-X1536)/(Y1536-X1536))</f>
        <v>0</v>
      </c>
      <c r="AA1536">
        <f>IF(COUNT($Z$1534:$Z$1536)&lt;3,"",AVERAGE($Z$1534:$Z$1536))</f>
        <v>0</v>
      </c>
      <c r="AB1536">
        <f>IF(COUNT($AA$1534:$AA$1536)&lt;3,"",AVERAGE($AA$1534:$AA$1536))</f>
        <v>0</v>
      </c>
      <c r="AC1536">
        <f>IF($E1536="","",MAX($C1536-$D1536,ABS($C1536-$E1535),ABS($D1536-$E1535)))</f>
        <v>0</v>
      </c>
      <c r="AD1536">
        <f>IF(COUNT($E$2:$E1536)&lt;15,"",AVERAGE($AC$1523:$AC$1536))</f>
        <v>0</v>
      </c>
      <c r="AE1536">
        <f>IF(OR($E1536="",$E1535=""),"",IF(AND(($C1536-$C1535)&gt;($D1535-$D1536),($C1536-$C1535)&gt;0),$C1536-$C1535,0))</f>
        <v>0</v>
      </c>
      <c r="AF1536">
        <f>IF(OR($E1536="",$E1535=""),"",IF(AND(($D1535-$D1536)&gt;($C1536-$C1535),($D1535-$D1536)&gt;0),$D1535-$D1536,0))</f>
        <v>0</v>
      </c>
      <c r="AG1536">
        <f>IF(COUNT($E$2:$E1536)&lt;15,"",IF(SUM($AC$1523:$AC$1536)=0,0,100*SUM($AE$1523:$AE$1536)/SUM($AC$1523:$AC$1536)))</f>
        <v>0</v>
      </c>
      <c r="AH1536">
        <f>IF(COUNT($E$2:$E1536)&lt;15,"",IF(SUM($AC$1523:$AC$1536)=0,0,100*SUM($AF$1523:$AF$1536)/SUM($AC$1523:$AC$1536)))</f>
        <v>0</v>
      </c>
      <c r="AI1536">
        <f>IF(OR(AG1536="",AH1536=""),"",IF((AG1536+AH1536)=0,0,100*ABS(AG1536-AH1536)/(AG1536+AH1536)))</f>
        <v>0</v>
      </c>
      <c r="AJ1536">
        <f>IF(COUNT($AI$1523:$AI$1536)&lt;14,"",AVERAGE($AI$1523:$AI$1536))</f>
        <v>0</v>
      </c>
      <c r="AK1536">
        <f>IF(COUNT($E$2:$E1536)&lt;20,"",AVERAGE($E$1517:$E$1536))</f>
        <v>0</v>
      </c>
      <c r="AL1536">
        <f>IF(COUNT($E$2:$E1536)&lt;20,"",STDEVP($E$1517:$E$1536))</f>
        <v>0</v>
      </c>
      <c r="AM1536">
        <f>IF(AK1536="","",AK1536+2*AL1536)</f>
        <v>0</v>
      </c>
      <c r="AN1536">
        <f>IF(AK1536="","",AK1536-2*AL1536)</f>
        <v>0</v>
      </c>
      <c r="AO1536">
        <f>IF(OR(AM1536="",AN1536="",AM1536=AN1536),"",($E1536-AN1536)/(AM1536-AN1536))</f>
        <v>0</v>
      </c>
      <c r="AP1536">
        <f>IF(OR(AM1536="",AK1536="",AK1536=0),"",(AM1536-AN1536)/AK1536)</f>
        <v>0</v>
      </c>
      <c r="AQ1536">
        <f>IF(COUNT($E$2:$E1536)&lt;20,"",MAX($C$1517:$C$1536))</f>
        <v>0</v>
      </c>
      <c r="AR1536">
        <f>IF(COUNT($E$2:$E1536)&lt;20,"",MIN($D$1517:$D$1536))</f>
        <v>0</v>
      </c>
      <c r="AS1536">
        <f>IF(OR(AQ1536="",AR1536=""),"",(AQ1536+AR1536)/2)</f>
        <v>0</v>
      </c>
      <c r="AT1536">
        <f>IF(COUNT($G$1517:$G$1536)&lt;20,"",STDEV($G$1517:$G$1536)*SQRT(252))</f>
        <v>0</v>
      </c>
      <c r="AU1536">
        <f>IF(COUNT($E$2:$E1536)&lt;9,"",(MAX($C$1528:$C$1536)+MIN($D$1528:$D$1536))/2)</f>
        <v>0</v>
      </c>
      <c r="AV1536">
        <f>IF(COUNT($E$2:$E1536)&lt;26,"",(MAX($C$1511:$C$1536)+MIN($D$1511:$D$1536))/2)</f>
        <v>0</v>
      </c>
      <c r="AW1536">
        <f>IF(OR(AU1536="",AV1536=""),"",(AU1536+AV1536)/2)</f>
        <v>0</v>
      </c>
      <c r="AX1536">
        <f>IF(COUNT($E$2:$E1536)&lt;52,"",(MAX($C$1485:$C$1536)+MIN($D$1485:$D$1536))/2)</f>
        <v>0</v>
      </c>
      <c r="AY1536">
        <f>IF(COUNT($E$2:$E1536)&lt;20,"",MAX($C$1437:$C$1536))</f>
        <v>0</v>
      </c>
      <c r="AZ1536">
        <f>IF(COUNT($E$2:$E1536)&lt;20,"",MIN($D$1437:$D$1536))</f>
        <v>0</v>
      </c>
      <c r="BA1536">
        <f>IF(COUNT($E$2:$E1536)&lt;20,"",SLOPE($E$1437:$E$1536,$F$1437:$F$1536))</f>
        <v>0</v>
      </c>
      <c r="BB1536">
        <f>IF(COUNT($E$2:$E1536)&lt;20,"",INTERCEPT($E$1437:$E$1536,$F$1437:$F$1536))</f>
        <v>0</v>
      </c>
      <c r="BC1536">
        <f>IF(OR(BA1536="",BB1536=""),"",BB1536+BA1536*F1536)</f>
        <v>0</v>
      </c>
      <c r="BD1536">
        <f>IF(COUNT($E$2:$E1536)&lt;20,"",STEYX($E$1437:$E$1536,$F$1437:$F$1536))</f>
        <v>0</v>
      </c>
      <c r="BE1536">
        <f>IF($E1536="","",IF(AND(COUNT($E$1537:$E$1540)&gt;=4,$C1536=MAX($C$1532:$C$1540)),$C1536,""))</f>
        <v>0</v>
      </c>
      <c r="BF1536">
        <f>IF($E1536="","",IF(AND(COUNT($E$1537:$E$1540)&gt;=4,$D1536=MIN($D$1532:$D$1540)),$D1536,""))</f>
        <v>0</v>
      </c>
      <c r="BG1536">
        <f>IF($A1536="","",$A1536-WEEKDAY($A1536,2)+1)</f>
        <v>0</v>
      </c>
      <c r="BH1536">
        <f>IF($A1536="","",IF($A1535="",1,IF(BG1536&lt;&gt;BG1535,1,0)))</f>
        <v>0</v>
      </c>
      <c r="BI1536">
        <f>IF($A1536="","",IF($A1537="",1,IF(BG1537&lt;&gt;BG1536,1,0)))</f>
        <v>0</v>
      </c>
      <c r="BJ1536">
        <f>IF($A1536="","",IF(BH1536=1,$B1536,BJ1535))</f>
        <v>0</v>
      </c>
      <c r="BK1536">
        <f>IF($A1536="","",IF(BH1536=1,$C1536,MAX($C1536,BK1535)))</f>
        <v>0</v>
      </c>
      <c r="BL1536">
        <f>IF($A1536="","",IF(BH1536=1,$D1536,MIN($D1536,BL1535)))</f>
        <v>0</v>
      </c>
      <c r="BM1536">
        <f>IF($A1536="","",IF(BI1536=1,F1536,""))</f>
        <v>0</v>
      </c>
      <c r="BN1536">
        <f>IF($A1536="","",DATE(YEAR($A1536),MONTH($A1536),1))</f>
        <v>0</v>
      </c>
      <c r="BO1536">
        <f>IF($A1536="","",IF($A1535="",1,IF(BN1536&lt;&gt;BN1535,1,0)))</f>
        <v>0</v>
      </c>
      <c r="BP1536">
        <f>IF($A1536="","",IF($A1537="",1,IF(BN1537&lt;&gt;BN1536,1,0)))</f>
        <v>0</v>
      </c>
      <c r="BQ1536">
        <f>IF($A1536="","",IF(BO1536=1,$B1536,BQ1535))</f>
        <v>0</v>
      </c>
      <c r="BR1536">
        <f>IF($A1536="","",IF(BO1536=1,$C1536,MAX($C1536,BR1535)))</f>
        <v>0</v>
      </c>
      <c r="BS1536">
        <f>IF($A1536="","",IF(BO1536=1,$D1536,MIN($D1536,BS1535)))</f>
        <v>0</v>
      </c>
      <c r="BT1536">
        <f>IF($A1536="","",IF(BP1536=1,F1536,""))</f>
        <v>0</v>
      </c>
    </row>
    <row r="1537" spans="1:72">
      <c r="A1537" s="27">
        <f>IF(Data!$A1537="","",Data!$A1537)</f>
        <v>0</v>
      </c>
      <c r="B1537">
        <f>IF(Data!$B1537="","",Data!$B1537)</f>
        <v>0</v>
      </c>
      <c r="C1537">
        <f>IF(Data!$C1537="","",Data!$C1537)</f>
        <v>0</v>
      </c>
      <c r="D1537">
        <f>IF(Data!$D1537="","",Data!$D1537)</f>
        <v>0</v>
      </c>
      <c r="E1537">
        <f>IF(Data!$E1537="","",Data!$E1537)</f>
        <v>0</v>
      </c>
      <c r="F1537">
        <f>IF($E1537="","",N(F1536)+1)</f>
        <v>0</v>
      </c>
      <c r="G1537">
        <f>IF(OR($E1537="",$E1536=""),"",LN($E1537/$E1536))</f>
        <v>0</v>
      </c>
      <c r="H1537">
        <f>IF($E1537="","",IF($E1536="",$E1537,$E1537*0.0952380952+H1536*0.9047619048))</f>
        <v>0</v>
      </c>
      <c r="I1537">
        <f>IF($E1537="","",IF($E1536="",$E1537,$E1537*0.0392156863+I1536*0.9607843137))</f>
        <v>0</v>
      </c>
      <c r="J1537">
        <f>IF($E1537="","",IF($E1536="",$E1537,$E1537*0.0198019802+J1536*0.9801980198))</f>
        <v>0</v>
      </c>
      <c r="K1537">
        <f>IF($E1537="","",IF($E1536="",$E1537,$E1537*0.0099502488+K1536*0.9900497512))</f>
        <v>0</v>
      </c>
      <c r="L1537">
        <f>IF(OR($E1537="",$E1536=""),"",MAX($E1537-$E1536,0))</f>
        <v>0</v>
      </c>
      <c r="M1537">
        <f>IF(OR($E1537="",$E1536=""),"",MAX($E1536-$E1537,0))</f>
        <v>0</v>
      </c>
      <c r="N1537">
        <f>IF(COUNT($E$2:$E1537)&lt;15,"",IF(AVERAGE($M$1524:$M$1537)=0,100,100-100/(1+AVERAGE($L$1524:$L$1537)/AVERAGE($M$1524:$M$1537))))</f>
        <v>0</v>
      </c>
      <c r="O1537">
        <f>IF($E1537="","",IF($E1536="",$E1537,$E1537*0.1538461538+O1536*0.8461538462))</f>
        <v>0</v>
      </c>
      <c r="P1537">
        <f>IF($E1537="","",IF($E1536="",$E1537,$E1537*0.0740740741+P1536*0.9259259259))</f>
        <v>0</v>
      </c>
      <c r="Q1537">
        <f>IF(OR(O1537="",P1537=""),"",O1537-P1537)</f>
        <v>0</v>
      </c>
      <c r="R1537">
        <f>IF(Q1537="","",IF(R1536="",Q1537,Q1537*0.2000000000+R1536*0.8000000000))</f>
        <v>0</v>
      </c>
      <c r="S1537">
        <f>IF(OR(Q1537="",R1537=""),"",Q1537-R1537)</f>
        <v>0</v>
      </c>
      <c r="T1537">
        <f>IF(COUNT($E$2:$E1537)&lt;14,"",MAX($C$1524:$C$1537))</f>
        <v>0</v>
      </c>
      <c r="U1537">
        <f>IF(COUNT($E$2:$E1537)&lt;14,"",MIN($D$1524:$D$1537))</f>
        <v>0</v>
      </c>
      <c r="V1537">
        <f>IF(OR(T1537="",U1537="",T1537=U1537),"",100*($E1537-U1537)/(T1537-U1537))</f>
        <v>0</v>
      </c>
      <c r="W1537">
        <f>IF(COUNT($V$1535:$V$1537)&lt;3,"",AVERAGE($V$1535:$V$1537))</f>
        <v>0</v>
      </c>
      <c r="X1537">
        <f>IF(COUNT($N$1524:$N$1537)&lt;14,"",MIN($N$1524:$N$1537))</f>
        <v>0</v>
      </c>
      <c r="Y1537">
        <f>IF(COUNT($N$1524:$N$1537)&lt;14,"",MAX($N$1524:$N$1537))</f>
        <v>0</v>
      </c>
      <c r="Z1537">
        <f>IF(OR(N1537="",X1537="",Y1537="",Y1537=X1537),"",100*(N1537-X1537)/(Y1537-X1537))</f>
        <v>0</v>
      </c>
      <c r="AA1537">
        <f>IF(COUNT($Z$1535:$Z$1537)&lt;3,"",AVERAGE($Z$1535:$Z$1537))</f>
        <v>0</v>
      </c>
      <c r="AB1537">
        <f>IF(COUNT($AA$1535:$AA$1537)&lt;3,"",AVERAGE($AA$1535:$AA$1537))</f>
        <v>0</v>
      </c>
      <c r="AC1537">
        <f>IF($E1537="","",MAX($C1537-$D1537,ABS($C1537-$E1536),ABS($D1537-$E1536)))</f>
        <v>0</v>
      </c>
      <c r="AD1537">
        <f>IF(COUNT($E$2:$E1537)&lt;15,"",AVERAGE($AC$1524:$AC$1537))</f>
        <v>0</v>
      </c>
      <c r="AE1537">
        <f>IF(OR($E1537="",$E1536=""),"",IF(AND(($C1537-$C1536)&gt;($D1536-$D1537),($C1537-$C1536)&gt;0),$C1537-$C1536,0))</f>
        <v>0</v>
      </c>
      <c r="AF1537">
        <f>IF(OR($E1537="",$E1536=""),"",IF(AND(($D1536-$D1537)&gt;($C1537-$C1536),($D1536-$D1537)&gt;0),$D1536-$D1537,0))</f>
        <v>0</v>
      </c>
      <c r="AG1537">
        <f>IF(COUNT($E$2:$E1537)&lt;15,"",IF(SUM($AC$1524:$AC$1537)=0,0,100*SUM($AE$1524:$AE$1537)/SUM($AC$1524:$AC$1537)))</f>
        <v>0</v>
      </c>
      <c r="AH1537">
        <f>IF(COUNT($E$2:$E1537)&lt;15,"",IF(SUM($AC$1524:$AC$1537)=0,0,100*SUM($AF$1524:$AF$1537)/SUM($AC$1524:$AC$1537)))</f>
        <v>0</v>
      </c>
      <c r="AI1537">
        <f>IF(OR(AG1537="",AH1537=""),"",IF((AG1537+AH1537)=0,0,100*ABS(AG1537-AH1537)/(AG1537+AH1537)))</f>
        <v>0</v>
      </c>
      <c r="AJ1537">
        <f>IF(COUNT($AI$1524:$AI$1537)&lt;14,"",AVERAGE($AI$1524:$AI$1537))</f>
        <v>0</v>
      </c>
      <c r="AK1537">
        <f>IF(COUNT($E$2:$E1537)&lt;20,"",AVERAGE($E$1518:$E$1537))</f>
        <v>0</v>
      </c>
      <c r="AL1537">
        <f>IF(COUNT($E$2:$E1537)&lt;20,"",STDEVP($E$1518:$E$1537))</f>
        <v>0</v>
      </c>
      <c r="AM1537">
        <f>IF(AK1537="","",AK1537+2*AL1537)</f>
        <v>0</v>
      </c>
      <c r="AN1537">
        <f>IF(AK1537="","",AK1537-2*AL1537)</f>
        <v>0</v>
      </c>
      <c r="AO1537">
        <f>IF(OR(AM1537="",AN1537="",AM1537=AN1537),"",($E1537-AN1537)/(AM1537-AN1537))</f>
        <v>0</v>
      </c>
      <c r="AP1537">
        <f>IF(OR(AM1537="",AK1537="",AK1537=0),"",(AM1537-AN1537)/AK1537)</f>
        <v>0</v>
      </c>
      <c r="AQ1537">
        <f>IF(COUNT($E$2:$E1537)&lt;20,"",MAX($C$1518:$C$1537))</f>
        <v>0</v>
      </c>
      <c r="AR1537">
        <f>IF(COUNT($E$2:$E1537)&lt;20,"",MIN($D$1518:$D$1537))</f>
        <v>0</v>
      </c>
      <c r="AS1537">
        <f>IF(OR(AQ1537="",AR1537=""),"",(AQ1537+AR1537)/2)</f>
        <v>0</v>
      </c>
      <c r="AT1537">
        <f>IF(COUNT($G$1518:$G$1537)&lt;20,"",STDEV($G$1518:$G$1537)*SQRT(252))</f>
        <v>0</v>
      </c>
      <c r="AU1537">
        <f>IF(COUNT($E$2:$E1537)&lt;9,"",(MAX($C$1529:$C$1537)+MIN($D$1529:$D$1537))/2)</f>
        <v>0</v>
      </c>
      <c r="AV1537">
        <f>IF(COUNT($E$2:$E1537)&lt;26,"",(MAX($C$1512:$C$1537)+MIN($D$1512:$D$1537))/2)</f>
        <v>0</v>
      </c>
      <c r="AW1537">
        <f>IF(OR(AU1537="",AV1537=""),"",(AU1537+AV1537)/2)</f>
        <v>0</v>
      </c>
      <c r="AX1537">
        <f>IF(COUNT($E$2:$E1537)&lt;52,"",(MAX($C$1486:$C$1537)+MIN($D$1486:$D$1537))/2)</f>
        <v>0</v>
      </c>
      <c r="AY1537">
        <f>IF(COUNT($E$2:$E1537)&lt;20,"",MAX($C$1438:$C$1537))</f>
        <v>0</v>
      </c>
      <c r="AZ1537">
        <f>IF(COUNT($E$2:$E1537)&lt;20,"",MIN($D$1438:$D$1537))</f>
        <v>0</v>
      </c>
      <c r="BA1537">
        <f>IF(COUNT($E$2:$E1537)&lt;20,"",SLOPE($E$1438:$E$1537,$F$1438:$F$1537))</f>
        <v>0</v>
      </c>
      <c r="BB1537">
        <f>IF(COUNT($E$2:$E1537)&lt;20,"",INTERCEPT($E$1438:$E$1537,$F$1438:$F$1537))</f>
        <v>0</v>
      </c>
      <c r="BC1537">
        <f>IF(OR(BA1537="",BB1537=""),"",BB1537+BA1537*F1537)</f>
        <v>0</v>
      </c>
      <c r="BD1537">
        <f>IF(COUNT($E$2:$E1537)&lt;20,"",STEYX($E$1438:$E$1537,$F$1438:$F$1537))</f>
        <v>0</v>
      </c>
      <c r="BE1537">
        <f>IF($E1537="","",IF(AND(COUNT($E$1538:$E$1541)&gt;=4,$C1537=MAX($C$1533:$C$1541)),$C1537,""))</f>
        <v>0</v>
      </c>
      <c r="BF1537">
        <f>IF($E1537="","",IF(AND(COUNT($E$1538:$E$1541)&gt;=4,$D1537=MIN($D$1533:$D$1541)),$D1537,""))</f>
        <v>0</v>
      </c>
      <c r="BG1537">
        <f>IF($A1537="","",$A1537-WEEKDAY($A1537,2)+1)</f>
        <v>0</v>
      </c>
      <c r="BH1537">
        <f>IF($A1537="","",IF($A1536="",1,IF(BG1537&lt;&gt;BG1536,1,0)))</f>
        <v>0</v>
      </c>
      <c r="BI1537">
        <f>IF($A1537="","",IF($A1538="",1,IF(BG1538&lt;&gt;BG1537,1,0)))</f>
        <v>0</v>
      </c>
      <c r="BJ1537">
        <f>IF($A1537="","",IF(BH1537=1,$B1537,BJ1536))</f>
        <v>0</v>
      </c>
      <c r="BK1537">
        <f>IF($A1537="","",IF(BH1537=1,$C1537,MAX($C1537,BK1536)))</f>
        <v>0</v>
      </c>
      <c r="BL1537">
        <f>IF($A1537="","",IF(BH1537=1,$D1537,MIN($D1537,BL1536)))</f>
        <v>0</v>
      </c>
      <c r="BM1537">
        <f>IF($A1537="","",IF(BI1537=1,F1537,""))</f>
        <v>0</v>
      </c>
      <c r="BN1537">
        <f>IF($A1537="","",DATE(YEAR($A1537),MONTH($A1537),1))</f>
        <v>0</v>
      </c>
      <c r="BO1537">
        <f>IF($A1537="","",IF($A1536="",1,IF(BN1537&lt;&gt;BN1536,1,0)))</f>
        <v>0</v>
      </c>
      <c r="BP1537">
        <f>IF($A1537="","",IF($A1538="",1,IF(BN1538&lt;&gt;BN1537,1,0)))</f>
        <v>0</v>
      </c>
      <c r="BQ1537">
        <f>IF($A1537="","",IF(BO1537=1,$B1537,BQ1536))</f>
        <v>0</v>
      </c>
      <c r="BR1537">
        <f>IF($A1537="","",IF(BO1537=1,$C1537,MAX($C1537,BR1536)))</f>
        <v>0</v>
      </c>
      <c r="BS1537">
        <f>IF($A1537="","",IF(BO1537=1,$D1537,MIN($D1537,BS1536)))</f>
        <v>0</v>
      </c>
      <c r="BT1537">
        <f>IF($A1537="","",IF(BP1537=1,F1537,""))</f>
        <v>0</v>
      </c>
    </row>
    <row r="1538" spans="1:72">
      <c r="A1538" s="27">
        <f>IF(Data!$A1538="","",Data!$A1538)</f>
        <v>0</v>
      </c>
      <c r="B1538">
        <f>IF(Data!$B1538="","",Data!$B1538)</f>
        <v>0</v>
      </c>
      <c r="C1538">
        <f>IF(Data!$C1538="","",Data!$C1538)</f>
        <v>0</v>
      </c>
      <c r="D1538">
        <f>IF(Data!$D1538="","",Data!$D1538)</f>
        <v>0</v>
      </c>
      <c r="E1538">
        <f>IF(Data!$E1538="","",Data!$E1538)</f>
        <v>0</v>
      </c>
      <c r="F1538">
        <f>IF($E1538="","",N(F1537)+1)</f>
        <v>0</v>
      </c>
      <c r="G1538">
        <f>IF(OR($E1538="",$E1537=""),"",LN($E1538/$E1537))</f>
        <v>0</v>
      </c>
      <c r="H1538">
        <f>IF($E1538="","",IF($E1537="",$E1538,$E1538*0.0952380952+H1537*0.9047619048))</f>
        <v>0</v>
      </c>
      <c r="I1538">
        <f>IF($E1538="","",IF($E1537="",$E1538,$E1538*0.0392156863+I1537*0.9607843137))</f>
        <v>0</v>
      </c>
      <c r="J1538">
        <f>IF($E1538="","",IF($E1537="",$E1538,$E1538*0.0198019802+J1537*0.9801980198))</f>
        <v>0</v>
      </c>
      <c r="K1538">
        <f>IF($E1538="","",IF($E1537="",$E1538,$E1538*0.0099502488+K1537*0.9900497512))</f>
        <v>0</v>
      </c>
      <c r="L1538">
        <f>IF(OR($E1538="",$E1537=""),"",MAX($E1538-$E1537,0))</f>
        <v>0</v>
      </c>
      <c r="M1538">
        <f>IF(OR($E1538="",$E1537=""),"",MAX($E1537-$E1538,0))</f>
        <v>0</v>
      </c>
      <c r="N1538">
        <f>IF(COUNT($E$2:$E1538)&lt;15,"",IF(AVERAGE($M$1525:$M$1538)=0,100,100-100/(1+AVERAGE($L$1525:$L$1538)/AVERAGE($M$1525:$M$1538))))</f>
        <v>0</v>
      </c>
      <c r="O1538">
        <f>IF($E1538="","",IF($E1537="",$E1538,$E1538*0.1538461538+O1537*0.8461538462))</f>
        <v>0</v>
      </c>
      <c r="P1538">
        <f>IF($E1538="","",IF($E1537="",$E1538,$E1538*0.0740740741+P1537*0.9259259259))</f>
        <v>0</v>
      </c>
      <c r="Q1538">
        <f>IF(OR(O1538="",P1538=""),"",O1538-P1538)</f>
        <v>0</v>
      </c>
      <c r="R1538">
        <f>IF(Q1538="","",IF(R1537="",Q1538,Q1538*0.2000000000+R1537*0.8000000000))</f>
        <v>0</v>
      </c>
      <c r="S1538">
        <f>IF(OR(Q1538="",R1538=""),"",Q1538-R1538)</f>
        <v>0</v>
      </c>
      <c r="T1538">
        <f>IF(COUNT($E$2:$E1538)&lt;14,"",MAX($C$1525:$C$1538))</f>
        <v>0</v>
      </c>
      <c r="U1538">
        <f>IF(COUNT($E$2:$E1538)&lt;14,"",MIN($D$1525:$D$1538))</f>
        <v>0</v>
      </c>
      <c r="V1538">
        <f>IF(OR(T1538="",U1538="",T1538=U1538),"",100*($E1538-U1538)/(T1538-U1538))</f>
        <v>0</v>
      </c>
      <c r="W1538">
        <f>IF(COUNT($V$1536:$V$1538)&lt;3,"",AVERAGE($V$1536:$V$1538))</f>
        <v>0</v>
      </c>
      <c r="X1538">
        <f>IF(COUNT($N$1525:$N$1538)&lt;14,"",MIN($N$1525:$N$1538))</f>
        <v>0</v>
      </c>
      <c r="Y1538">
        <f>IF(COUNT($N$1525:$N$1538)&lt;14,"",MAX($N$1525:$N$1538))</f>
        <v>0</v>
      </c>
      <c r="Z1538">
        <f>IF(OR(N1538="",X1538="",Y1538="",Y1538=X1538),"",100*(N1538-X1538)/(Y1538-X1538))</f>
        <v>0</v>
      </c>
      <c r="AA1538">
        <f>IF(COUNT($Z$1536:$Z$1538)&lt;3,"",AVERAGE($Z$1536:$Z$1538))</f>
        <v>0</v>
      </c>
      <c r="AB1538">
        <f>IF(COUNT($AA$1536:$AA$1538)&lt;3,"",AVERAGE($AA$1536:$AA$1538))</f>
        <v>0</v>
      </c>
      <c r="AC1538">
        <f>IF($E1538="","",MAX($C1538-$D1538,ABS($C1538-$E1537),ABS($D1538-$E1537)))</f>
        <v>0</v>
      </c>
      <c r="AD1538">
        <f>IF(COUNT($E$2:$E1538)&lt;15,"",AVERAGE($AC$1525:$AC$1538))</f>
        <v>0</v>
      </c>
      <c r="AE1538">
        <f>IF(OR($E1538="",$E1537=""),"",IF(AND(($C1538-$C1537)&gt;($D1537-$D1538),($C1538-$C1537)&gt;0),$C1538-$C1537,0))</f>
        <v>0</v>
      </c>
      <c r="AF1538">
        <f>IF(OR($E1538="",$E1537=""),"",IF(AND(($D1537-$D1538)&gt;($C1538-$C1537),($D1537-$D1538)&gt;0),$D1537-$D1538,0))</f>
        <v>0</v>
      </c>
      <c r="AG1538">
        <f>IF(COUNT($E$2:$E1538)&lt;15,"",IF(SUM($AC$1525:$AC$1538)=0,0,100*SUM($AE$1525:$AE$1538)/SUM($AC$1525:$AC$1538)))</f>
        <v>0</v>
      </c>
      <c r="AH1538">
        <f>IF(COUNT($E$2:$E1538)&lt;15,"",IF(SUM($AC$1525:$AC$1538)=0,0,100*SUM($AF$1525:$AF$1538)/SUM($AC$1525:$AC$1538)))</f>
        <v>0</v>
      </c>
      <c r="AI1538">
        <f>IF(OR(AG1538="",AH1538=""),"",IF((AG1538+AH1538)=0,0,100*ABS(AG1538-AH1538)/(AG1538+AH1538)))</f>
        <v>0</v>
      </c>
      <c r="AJ1538">
        <f>IF(COUNT($AI$1525:$AI$1538)&lt;14,"",AVERAGE($AI$1525:$AI$1538))</f>
        <v>0</v>
      </c>
      <c r="AK1538">
        <f>IF(COUNT($E$2:$E1538)&lt;20,"",AVERAGE($E$1519:$E$1538))</f>
        <v>0</v>
      </c>
      <c r="AL1538">
        <f>IF(COUNT($E$2:$E1538)&lt;20,"",STDEVP($E$1519:$E$1538))</f>
        <v>0</v>
      </c>
      <c r="AM1538">
        <f>IF(AK1538="","",AK1538+2*AL1538)</f>
        <v>0</v>
      </c>
      <c r="AN1538">
        <f>IF(AK1538="","",AK1538-2*AL1538)</f>
        <v>0</v>
      </c>
      <c r="AO1538">
        <f>IF(OR(AM1538="",AN1538="",AM1538=AN1538),"",($E1538-AN1538)/(AM1538-AN1538))</f>
        <v>0</v>
      </c>
      <c r="AP1538">
        <f>IF(OR(AM1538="",AK1538="",AK1538=0),"",(AM1538-AN1538)/AK1538)</f>
        <v>0</v>
      </c>
      <c r="AQ1538">
        <f>IF(COUNT($E$2:$E1538)&lt;20,"",MAX($C$1519:$C$1538))</f>
        <v>0</v>
      </c>
      <c r="AR1538">
        <f>IF(COUNT($E$2:$E1538)&lt;20,"",MIN($D$1519:$D$1538))</f>
        <v>0</v>
      </c>
      <c r="AS1538">
        <f>IF(OR(AQ1538="",AR1538=""),"",(AQ1538+AR1538)/2)</f>
        <v>0</v>
      </c>
      <c r="AT1538">
        <f>IF(COUNT($G$1519:$G$1538)&lt;20,"",STDEV($G$1519:$G$1538)*SQRT(252))</f>
        <v>0</v>
      </c>
      <c r="AU1538">
        <f>IF(COUNT($E$2:$E1538)&lt;9,"",(MAX($C$1530:$C$1538)+MIN($D$1530:$D$1538))/2)</f>
        <v>0</v>
      </c>
      <c r="AV1538">
        <f>IF(COUNT($E$2:$E1538)&lt;26,"",(MAX($C$1513:$C$1538)+MIN($D$1513:$D$1538))/2)</f>
        <v>0</v>
      </c>
      <c r="AW1538">
        <f>IF(OR(AU1538="",AV1538=""),"",(AU1538+AV1538)/2)</f>
        <v>0</v>
      </c>
      <c r="AX1538">
        <f>IF(COUNT($E$2:$E1538)&lt;52,"",(MAX($C$1487:$C$1538)+MIN($D$1487:$D$1538))/2)</f>
        <v>0</v>
      </c>
      <c r="AY1538">
        <f>IF(COUNT($E$2:$E1538)&lt;20,"",MAX($C$1439:$C$1538))</f>
        <v>0</v>
      </c>
      <c r="AZ1538">
        <f>IF(COUNT($E$2:$E1538)&lt;20,"",MIN($D$1439:$D$1538))</f>
        <v>0</v>
      </c>
      <c r="BA1538">
        <f>IF(COUNT($E$2:$E1538)&lt;20,"",SLOPE($E$1439:$E$1538,$F$1439:$F$1538))</f>
        <v>0</v>
      </c>
      <c r="BB1538">
        <f>IF(COUNT($E$2:$E1538)&lt;20,"",INTERCEPT($E$1439:$E$1538,$F$1439:$F$1538))</f>
        <v>0</v>
      </c>
      <c r="BC1538">
        <f>IF(OR(BA1538="",BB1538=""),"",BB1538+BA1538*F1538)</f>
        <v>0</v>
      </c>
      <c r="BD1538">
        <f>IF(COUNT($E$2:$E1538)&lt;20,"",STEYX($E$1439:$E$1538,$F$1439:$F$1538))</f>
        <v>0</v>
      </c>
      <c r="BE1538">
        <f>IF($E1538="","",IF(AND(COUNT($E$1539:$E$1542)&gt;=4,$C1538=MAX($C$1534:$C$1542)),$C1538,""))</f>
        <v>0</v>
      </c>
      <c r="BF1538">
        <f>IF($E1538="","",IF(AND(COUNT($E$1539:$E$1542)&gt;=4,$D1538=MIN($D$1534:$D$1542)),$D1538,""))</f>
        <v>0</v>
      </c>
      <c r="BG1538">
        <f>IF($A1538="","",$A1538-WEEKDAY($A1538,2)+1)</f>
        <v>0</v>
      </c>
      <c r="BH1538">
        <f>IF($A1538="","",IF($A1537="",1,IF(BG1538&lt;&gt;BG1537,1,0)))</f>
        <v>0</v>
      </c>
      <c r="BI1538">
        <f>IF($A1538="","",IF($A1539="",1,IF(BG1539&lt;&gt;BG1538,1,0)))</f>
        <v>0</v>
      </c>
      <c r="BJ1538">
        <f>IF($A1538="","",IF(BH1538=1,$B1538,BJ1537))</f>
        <v>0</v>
      </c>
      <c r="BK1538">
        <f>IF($A1538="","",IF(BH1538=1,$C1538,MAX($C1538,BK1537)))</f>
        <v>0</v>
      </c>
      <c r="BL1538">
        <f>IF($A1538="","",IF(BH1538=1,$D1538,MIN($D1538,BL1537)))</f>
        <v>0</v>
      </c>
      <c r="BM1538">
        <f>IF($A1538="","",IF(BI1538=1,F1538,""))</f>
        <v>0</v>
      </c>
      <c r="BN1538">
        <f>IF($A1538="","",DATE(YEAR($A1538),MONTH($A1538),1))</f>
        <v>0</v>
      </c>
      <c r="BO1538">
        <f>IF($A1538="","",IF($A1537="",1,IF(BN1538&lt;&gt;BN1537,1,0)))</f>
        <v>0</v>
      </c>
      <c r="BP1538">
        <f>IF($A1538="","",IF($A1539="",1,IF(BN1539&lt;&gt;BN1538,1,0)))</f>
        <v>0</v>
      </c>
      <c r="BQ1538">
        <f>IF($A1538="","",IF(BO1538=1,$B1538,BQ1537))</f>
        <v>0</v>
      </c>
      <c r="BR1538">
        <f>IF($A1538="","",IF(BO1538=1,$C1538,MAX($C1538,BR1537)))</f>
        <v>0</v>
      </c>
      <c r="BS1538">
        <f>IF($A1538="","",IF(BO1538=1,$D1538,MIN($D1538,BS1537)))</f>
        <v>0</v>
      </c>
      <c r="BT1538">
        <f>IF($A1538="","",IF(BP1538=1,F1538,""))</f>
        <v>0</v>
      </c>
    </row>
    <row r="1539" spans="1:72">
      <c r="A1539" s="27">
        <f>IF(Data!$A1539="","",Data!$A1539)</f>
        <v>0</v>
      </c>
      <c r="B1539">
        <f>IF(Data!$B1539="","",Data!$B1539)</f>
        <v>0</v>
      </c>
      <c r="C1539">
        <f>IF(Data!$C1539="","",Data!$C1539)</f>
        <v>0</v>
      </c>
      <c r="D1539">
        <f>IF(Data!$D1539="","",Data!$D1539)</f>
        <v>0</v>
      </c>
      <c r="E1539">
        <f>IF(Data!$E1539="","",Data!$E1539)</f>
        <v>0</v>
      </c>
      <c r="F1539">
        <f>IF($E1539="","",N(F1538)+1)</f>
        <v>0</v>
      </c>
      <c r="G1539">
        <f>IF(OR($E1539="",$E1538=""),"",LN($E1539/$E1538))</f>
        <v>0</v>
      </c>
      <c r="H1539">
        <f>IF($E1539="","",IF($E1538="",$E1539,$E1539*0.0952380952+H1538*0.9047619048))</f>
        <v>0</v>
      </c>
      <c r="I1539">
        <f>IF($E1539="","",IF($E1538="",$E1539,$E1539*0.0392156863+I1538*0.9607843137))</f>
        <v>0</v>
      </c>
      <c r="J1539">
        <f>IF($E1539="","",IF($E1538="",$E1539,$E1539*0.0198019802+J1538*0.9801980198))</f>
        <v>0</v>
      </c>
      <c r="K1539">
        <f>IF($E1539="","",IF($E1538="",$E1539,$E1539*0.0099502488+K1538*0.9900497512))</f>
        <v>0</v>
      </c>
      <c r="L1539">
        <f>IF(OR($E1539="",$E1538=""),"",MAX($E1539-$E1538,0))</f>
        <v>0</v>
      </c>
      <c r="M1539">
        <f>IF(OR($E1539="",$E1538=""),"",MAX($E1538-$E1539,0))</f>
        <v>0</v>
      </c>
      <c r="N1539">
        <f>IF(COUNT($E$2:$E1539)&lt;15,"",IF(AVERAGE($M$1526:$M$1539)=0,100,100-100/(1+AVERAGE($L$1526:$L$1539)/AVERAGE($M$1526:$M$1539))))</f>
        <v>0</v>
      </c>
      <c r="O1539">
        <f>IF($E1539="","",IF($E1538="",$E1539,$E1539*0.1538461538+O1538*0.8461538462))</f>
        <v>0</v>
      </c>
      <c r="P1539">
        <f>IF($E1539="","",IF($E1538="",$E1539,$E1539*0.0740740741+P1538*0.9259259259))</f>
        <v>0</v>
      </c>
      <c r="Q1539">
        <f>IF(OR(O1539="",P1539=""),"",O1539-P1539)</f>
        <v>0</v>
      </c>
      <c r="R1539">
        <f>IF(Q1539="","",IF(R1538="",Q1539,Q1539*0.2000000000+R1538*0.8000000000))</f>
        <v>0</v>
      </c>
      <c r="S1539">
        <f>IF(OR(Q1539="",R1539=""),"",Q1539-R1539)</f>
        <v>0</v>
      </c>
      <c r="T1539">
        <f>IF(COUNT($E$2:$E1539)&lt;14,"",MAX($C$1526:$C$1539))</f>
        <v>0</v>
      </c>
      <c r="U1539">
        <f>IF(COUNT($E$2:$E1539)&lt;14,"",MIN($D$1526:$D$1539))</f>
        <v>0</v>
      </c>
      <c r="V1539">
        <f>IF(OR(T1539="",U1539="",T1539=U1539),"",100*($E1539-U1539)/(T1539-U1539))</f>
        <v>0</v>
      </c>
      <c r="W1539">
        <f>IF(COUNT($V$1537:$V$1539)&lt;3,"",AVERAGE($V$1537:$V$1539))</f>
        <v>0</v>
      </c>
      <c r="X1539">
        <f>IF(COUNT($N$1526:$N$1539)&lt;14,"",MIN($N$1526:$N$1539))</f>
        <v>0</v>
      </c>
      <c r="Y1539">
        <f>IF(COUNT($N$1526:$N$1539)&lt;14,"",MAX($N$1526:$N$1539))</f>
        <v>0</v>
      </c>
      <c r="Z1539">
        <f>IF(OR(N1539="",X1539="",Y1539="",Y1539=X1539),"",100*(N1539-X1539)/(Y1539-X1539))</f>
        <v>0</v>
      </c>
      <c r="AA1539">
        <f>IF(COUNT($Z$1537:$Z$1539)&lt;3,"",AVERAGE($Z$1537:$Z$1539))</f>
        <v>0</v>
      </c>
      <c r="AB1539">
        <f>IF(COUNT($AA$1537:$AA$1539)&lt;3,"",AVERAGE($AA$1537:$AA$1539))</f>
        <v>0</v>
      </c>
      <c r="AC1539">
        <f>IF($E1539="","",MAX($C1539-$D1539,ABS($C1539-$E1538),ABS($D1539-$E1538)))</f>
        <v>0</v>
      </c>
      <c r="AD1539">
        <f>IF(COUNT($E$2:$E1539)&lt;15,"",AVERAGE($AC$1526:$AC$1539))</f>
        <v>0</v>
      </c>
      <c r="AE1539">
        <f>IF(OR($E1539="",$E1538=""),"",IF(AND(($C1539-$C1538)&gt;($D1538-$D1539),($C1539-$C1538)&gt;0),$C1539-$C1538,0))</f>
        <v>0</v>
      </c>
      <c r="AF1539">
        <f>IF(OR($E1539="",$E1538=""),"",IF(AND(($D1538-$D1539)&gt;($C1539-$C1538),($D1538-$D1539)&gt;0),$D1538-$D1539,0))</f>
        <v>0</v>
      </c>
      <c r="AG1539">
        <f>IF(COUNT($E$2:$E1539)&lt;15,"",IF(SUM($AC$1526:$AC$1539)=0,0,100*SUM($AE$1526:$AE$1539)/SUM($AC$1526:$AC$1539)))</f>
        <v>0</v>
      </c>
      <c r="AH1539">
        <f>IF(COUNT($E$2:$E1539)&lt;15,"",IF(SUM($AC$1526:$AC$1539)=0,0,100*SUM($AF$1526:$AF$1539)/SUM($AC$1526:$AC$1539)))</f>
        <v>0</v>
      </c>
      <c r="AI1539">
        <f>IF(OR(AG1539="",AH1539=""),"",IF((AG1539+AH1539)=0,0,100*ABS(AG1539-AH1539)/(AG1539+AH1539)))</f>
        <v>0</v>
      </c>
      <c r="AJ1539">
        <f>IF(COUNT($AI$1526:$AI$1539)&lt;14,"",AVERAGE($AI$1526:$AI$1539))</f>
        <v>0</v>
      </c>
      <c r="AK1539">
        <f>IF(COUNT($E$2:$E1539)&lt;20,"",AVERAGE($E$1520:$E$1539))</f>
        <v>0</v>
      </c>
      <c r="AL1539">
        <f>IF(COUNT($E$2:$E1539)&lt;20,"",STDEVP($E$1520:$E$1539))</f>
        <v>0</v>
      </c>
      <c r="AM1539">
        <f>IF(AK1539="","",AK1539+2*AL1539)</f>
        <v>0</v>
      </c>
      <c r="AN1539">
        <f>IF(AK1539="","",AK1539-2*AL1539)</f>
        <v>0</v>
      </c>
      <c r="AO1539">
        <f>IF(OR(AM1539="",AN1539="",AM1539=AN1539),"",($E1539-AN1539)/(AM1539-AN1539))</f>
        <v>0</v>
      </c>
      <c r="AP1539">
        <f>IF(OR(AM1539="",AK1539="",AK1539=0),"",(AM1539-AN1539)/AK1539)</f>
        <v>0</v>
      </c>
      <c r="AQ1539">
        <f>IF(COUNT($E$2:$E1539)&lt;20,"",MAX($C$1520:$C$1539))</f>
        <v>0</v>
      </c>
      <c r="AR1539">
        <f>IF(COUNT($E$2:$E1539)&lt;20,"",MIN($D$1520:$D$1539))</f>
        <v>0</v>
      </c>
      <c r="AS1539">
        <f>IF(OR(AQ1539="",AR1539=""),"",(AQ1539+AR1539)/2)</f>
        <v>0</v>
      </c>
      <c r="AT1539">
        <f>IF(COUNT($G$1520:$G$1539)&lt;20,"",STDEV($G$1520:$G$1539)*SQRT(252))</f>
        <v>0</v>
      </c>
      <c r="AU1539">
        <f>IF(COUNT($E$2:$E1539)&lt;9,"",(MAX($C$1531:$C$1539)+MIN($D$1531:$D$1539))/2)</f>
        <v>0</v>
      </c>
      <c r="AV1539">
        <f>IF(COUNT($E$2:$E1539)&lt;26,"",(MAX($C$1514:$C$1539)+MIN($D$1514:$D$1539))/2)</f>
        <v>0</v>
      </c>
      <c r="AW1539">
        <f>IF(OR(AU1539="",AV1539=""),"",(AU1539+AV1539)/2)</f>
        <v>0</v>
      </c>
      <c r="AX1539">
        <f>IF(COUNT($E$2:$E1539)&lt;52,"",(MAX($C$1488:$C$1539)+MIN($D$1488:$D$1539))/2)</f>
        <v>0</v>
      </c>
      <c r="AY1539">
        <f>IF(COUNT($E$2:$E1539)&lt;20,"",MAX($C$1440:$C$1539))</f>
        <v>0</v>
      </c>
      <c r="AZ1539">
        <f>IF(COUNT($E$2:$E1539)&lt;20,"",MIN($D$1440:$D$1539))</f>
        <v>0</v>
      </c>
      <c r="BA1539">
        <f>IF(COUNT($E$2:$E1539)&lt;20,"",SLOPE($E$1440:$E$1539,$F$1440:$F$1539))</f>
        <v>0</v>
      </c>
      <c r="BB1539">
        <f>IF(COUNT($E$2:$E1539)&lt;20,"",INTERCEPT($E$1440:$E$1539,$F$1440:$F$1539))</f>
        <v>0</v>
      </c>
      <c r="BC1539">
        <f>IF(OR(BA1539="",BB1539=""),"",BB1539+BA1539*F1539)</f>
        <v>0</v>
      </c>
      <c r="BD1539">
        <f>IF(COUNT($E$2:$E1539)&lt;20,"",STEYX($E$1440:$E$1539,$F$1440:$F$1539))</f>
        <v>0</v>
      </c>
      <c r="BE1539">
        <f>IF($E1539="","",IF(AND(COUNT($E$1540:$E$1543)&gt;=4,$C1539=MAX($C$1535:$C$1543)),$C1539,""))</f>
        <v>0</v>
      </c>
      <c r="BF1539">
        <f>IF($E1539="","",IF(AND(COUNT($E$1540:$E$1543)&gt;=4,$D1539=MIN($D$1535:$D$1543)),$D1539,""))</f>
        <v>0</v>
      </c>
      <c r="BG1539">
        <f>IF($A1539="","",$A1539-WEEKDAY($A1539,2)+1)</f>
        <v>0</v>
      </c>
      <c r="BH1539">
        <f>IF($A1539="","",IF($A1538="",1,IF(BG1539&lt;&gt;BG1538,1,0)))</f>
        <v>0</v>
      </c>
      <c r="BI1539">
        <f>IF($A1539="","",IF($A1540="",1,IF(BG1540&lt;&gt;BG1539,1,0)))</f>
        <v>0</v>
      </c>
      <c r="BJ1539">
        <f>IF($A1539="","",IF(BH1539=1,$B1539,BJ1538))</f>
        <v>0</v>
      </c>
      <c r="BK1539">
        <f>IF($A1539="","",IF(BH1539=1,$C1539,MAX($C1539,BK1538)))</f>
        <v>0</v>
      </c>
      <c r="BL1539">
        <f>IF($A1539="","",IF(BH1539=1,$D1539,MIN($D1539,BL1538)))</f>
        <v>0</v>
      </c>
      <c r="BM1539">
        <f>IF($A1539="","",IF(BI1539=1,F1539,""))</f>
        <v>0</v>
      </c>
      <c r="BN1539">
        <f>IF($A1539="","",DATE(YEAR($A1539),MONTH($A1539),1))</f>
        <v>0</v>
      </c>
      <c r="BO1539">
        <f>IF($A1539="","",IF($A1538="",1,IF(BN1539&lt;&gt;BN1538,1,0)))</f>
        <v>0</v>
      </c>
      <c r="BP1539">
        <f>IF($A1539="","",IF($A1540="",1,IF(BN1540&lt;&gt;BN1539,1,0)))</f>
        <v>0</v>
      </c>
      <c r="BQ1539">
        <f>IF($A1539="","",IF(BO1539=1,$B1539,BQ1538))</f>
        <v>0</v>
      </c>
      <c r="BR1539">
        <f>IF($A1539="","",IF(BO1539=1,$C1539,MAX($C1539,BR1538)))</f>
        <v>0</v>
      </c>
      <c r="BS1539">
        <f>IF($A1539="","",IF(BO1539=1,$D1539,MIN($D1539,BS1538)))</f>
        <v>0</v>
      </c>
      <c r="BT1539">
        <f>IF($A1539="","",IF(BP1539=1,F1539,""))</f>
        <v>0</v>
      </c>
    </row>
    <row r="1540" spans="1:72">
      <c r="A1540" s="27">
        <f>IF(Data!$A1540="","",Data!$A1540)</f>
        <v>0</v>
      </c>
      <c r="B1540">
        <f>IF(Data!$B1540="","",Data!$B1540)</f>
        <v>0</v>
      </c>
      <c r="C1540">
        <f>IF(Data!$C1540="","",Data!$C1540)</f>
        <v>0</v>
      </c>
      <c r="D1540">
        <f>IF(Data!$D1540="","",Data!$D1540)</f>
        <v>0</v>
      </c>
      <c r="E1540">
        <f>IF(Data!$E1540="","",Data!$E1540)</f>
        <v>0</v>
      </c>
      <c r="F1540">
        <f>IF($E1540="","",N(F1539)+1)</f>
        <v>0</v>
      </c>
      <c r="G1540">
        <f>IF(OR($E1540="",$E1539=""),"",LN($E1540/$E1539))</f>
        <v>0</v>
      </c>
      <c r="H1540">
        <f>IF($E1540="","",IF($E1539="",$E1540,$E1540*0.0952380952+H1539*0.9047619048))</f>
        <v>0</v>
      </c>
      <c r="I1540">
        <f>IF($E1540="","",IF($E1539="",$E1540,$E1540*0.0392156863+I1539*0.9607843137))</f>
        <v>0</v>
      </c>
      <c r="J1540">
        <f>IF($E1540="","",IF($E1539="",$E1540,$E1540*0.0198019802+J1539*0.9801980198))</f>
        <v>0</v>
      </c>
      <c r="K1540">
        <f>IF($E1540="","",IF($E1539="",$E1540,$E1540*0.0099502488+K1539*0.9900497512))</f>
        <v>0</v>
      </c>
      <c r="L1540">
        <f>IF(OR($E1540="",$E1539=""),"",MAX($E1540-$E1539,0))</f>
        <v>0</v>
      </c>
      <c r="M1540">
        <f>IF(OR($E1540="",$E1539=""),"",MAX($E1539-$E1540,0))</f>
        <v>0</v>
      </c>
      <c r="N1540">
        <f>IF(COUNT($E$2:$E1540)&lt;15,"",IF(AVERAGE($M$1527:$M$1540)=0,100,100-100/(1+AVERAGE($L$1527:$L$1540)/AVERAGE($M$1527:$M$1540))))</f>
        <v>0</v>
      </c>
      <c r="O1540">
        <f>IF($E1540="","",IF($E1539="",$E1540,$E1540*0.1538461538+O1539*0.8461538462))</f>
        <v>0</v>
      </c>
      <c r="P1540">
        <f>IF($E1540="","",IF($E1539="",$E1540,$E1540*0.0740740741+P1539*0.9259259259))</f>
        <v>0</v>
      </c>
      <c r="Q1540">
        <f>IF(OR(O1540="",P1540=""),"",O1540-P1540)</f>
        <v>0</v>
      </c>
      <c r="R1540">
        <f>IF(Q1540="","",IF(R1539="",Q1540,Q1540*0.2000000000+R1539*0.8000000000))</f>
        <v>0</v>
      </c>
      <c r="S1540">
        <f>IF(OR(Q1540="",R1540=""),"",Q1540-R1540)</f>
        <v>0</v>
      </c>
      <c r="T1540">
        <f>IF(COUNT($E$2:$E1540)&lt;14,"",MAX($C$1527:$C$1540))</f>
        <v>0</v>
      </c>
      <c r="U1540">
        <f>IF(COUNT($E$2:$E1540)&lt;14,"",MIN($D$1527:$D$1540))</f>
        <v>0</v>
      </c>
      <c r="V1540">
        <f>IF(OR(T1540="",U1540="",T1540=U1540),"",100*($E1540-U1540)/(T1540-U1540))</f>
        <v>0</v>
      </c>
      <c r="W1540">
        <f>IF(COUNT($V$1538:$V$1540)&lt;3,"",AVERAGE($V$1538:$V$1540))</f>
        <v>0</v>
      </c>
      <c r="X1540">
        <f>IF(COUNT($N$1527:$N$1540)&lt;14,"",MIN($N$1527:$N$1540))</f>
        <v>0</v>
      </c>
      <c r="Y1540">
        <f>IF(COUNT($N$1527:$N$1540)&lt;14,"",MAX($N$1527:$N$1540))</f>
        <v>0</v>
      </c>
      <c r="Z1540">
        <f>IF(OR(N1540="",X1540="",Y1540="",Y1540=X1540),"",100*(N1540-X1540)/(Y1540-X1540))</f>
        <v>0</v>
      </c>
      <c r="AA1540">
        <f>IF(COUNT($Z$1538:$Z$1540)&lt;3,"",AVERAGE($Z$1538:$Z$1540))</f>
        <v>0</v>
      </c>
      <c r="AB1540">
        <f>IF(COUNT($AA$1538:$AA$1540)&lt;3,"",AVERAGE($AA$1538:$AA$1540))</f>
        <v>0</v>
      </c>
      <c r="AC1540">
        <f>IF($E1540="","",MAX($C1540-$D1540,ABS($C1540-$E1539),ABS($D1540-$E1539)))</f>
        <v>0</v>
      </c>
      <c r="AD1540">
        <f>IF(COUNT($E$2:$E1540)&lt;15,"",AVERAGE($AC$1527:$AC$1540))</f>
        <v>0</v>
      </c>
      <c r="AE1540">
        <f>IF(OR($E1540="",$E1539=""),"",IF(AND(($C1540-$C1539)&gt;($D1539-$D1540),($C1540-$C1539)&gt;0),$C1540-$C1539,0))</f>
        <v>0</v>
      </c>
      <c r="AF1540">
        <f>IF(OR($E1540="",$E1539=""),"",IF(AND(($D1539-$D1540)&gt;($C1540-$C1539),($D1539-$D1540)&gt;0),$D1539-$D1540,0))</f>
        <v>0</v>
      </c>
      <c r="AG1540">
        <f>IF(COUNT($E$2:$E1540)&lt;15,"",IF(SUM($AC$1527:$AC$1540)=0,0,100*SUM($AE$1527:$AE$1540)/SUM($AC$1527:$AC$1540)))</f>
        <v>0</v>
      </c>
      <c r="AH1540">
        <f>IF(COUNT($E$2:$E1540)&lt;15,"",IF(SUM($AC$1527:$AC$1540)=0,0,100*SUM($AF$1527:$AF$1540)/SUM($AC$1527:$AC$1540)))</f>
        <v>0</v>
      </c>
      <c r="AI1540">
        <f>IF(OR(AG1540="",AH1540=""),"",IF((AG1540+AH1540)=0,0,100*ABS(AG1540-AH1540)/(AG1540+AH1540)))</f>
        <v>0</v>
      </c>
      <c r="AJ1540">
        <f>IF(COUNT($AI$1527:$AI$1540)&lt;14,"",AVERAGE($AI$1527:$AI$1540))</f>
        <v>0</v>
      </c>
      <c r="AK1540">
        <f>IF(COUNT($E$2:$E1540)&lt;20,"",AVERAGE($E$1521:$E$1540))</f>
        <v>0</v>
      </c>
      <c r="AL1540">
        <f>IF(COUNT($E$2:$E1540)&lt;20,"",STDEVP($E$1521:$E$1540))</f>
        <v>0</v>
      </c>
      <c r="AM1540">
        <f>IF(AK1540="","",AK1540+2*AL1540)</f>
        <v>0</v>
      </c>
      <c r="AN1540">
        <f>IF(AK1540="","",AK1540-2*AL1540)</f>
        <v>0</v>
      </c>
      <c r="AO1540">
        <f>IF(OR(AM1540="",AN1540="",AM1540=AN1540),"",($E1540-AN1540)/(AM1540-AN1540))</f>
        <v>0</v>
      </c>
      <c r="AP1540">
        <f>IF(OR(AM1540="",AK1540="",AK1540=0),"",(AM1540-AN1540)/AK1540)</f>
        <v>0</v>
      </c>
      <c r="AQ1540">
        <f>IF(COUNT($E$2:$E1540)&lt;20,"",MAX($C$1521:$C$1540))</f>
        <v>0</v>
      </c>
      <c r="AR1540">
        <f>IF(COUNT($E$2:$E1540)&lt;20,"",MIN($D$1521:$D$1540))</f>
        <v>0</v>
      </c>
      <c r="AS1540">
        <f>IF(OR(AQ1540="",AR1540=""),"",(AQ1540+AR1540)/2)</f>
        <v>0</v>
      </c>
      <c r="AT1540">
        <f>IF(COUNT($G$1521:$G$1540)&lt;20,"",STDEV($G$1521:$G$1540)*SQRT(252))</f>
        <v>0</v>
      </c>
      <c r="AU1540">
        <f>IF(COUNT($E$2:$E1540)&lt;9,"",(MAX($C$1532:$C$1540)+MIN($D$1532:$D$1540))/2)</f>
        <v>0</v>
      </c>
      <c r="AV1540">
        <f>IF(COUNT($E$2:$E1540)&lt;26,"",(MAX($C$1515:$C$1540)+MIN($D$1515:$D$1540))/2)</f>
        <v>0</v>
      </c>
      <c r="AW1540">
        <f>IF(OR(AU1540="",AV1540=""),"",(AU1540+AV1540)/2)</f>
        <v>0</v>
      </c>
      <c r="AX1540">
        <f>IF(COUNT($E$2:$E1540)&lt;52,"",(MAX($C$1489:$C$1540)+MIN($D$1489:$D$1540))/2)</f>
        <v>0</v>
      </c>
      <c r="AY1540">
        <f>IF(COUNT($E$2:$E1540)&lt;20,"",MAX($C$1441:$C$1540))</f>
        <v>0</v>
      </c>
      <c r="AZ1540">
        <f>IF(COUNT($E$2:$E1540)&lt;20,"",MIN($D$1441:$D$1540))</f>
        <v>0</v>
      </c>
      <c r="BA1540">
        <f>IF(COUNT($E$2:$E1540)&lt;20,"",SLOPE($E$1441:$E$1540,$F$1441:$F$1540))</f>
        <v>0</v>
      </c>
      <c r="BB1540">
        <f>IF(COUNT($E$2:$E1540)&lt;20,"",INTERCEPT($E$1441:$E$1540,$F$1441:$F$1540))</f>
        <v>0</v>
      </c>
      <c r="BC1540">
        <f>IF(OR(BA1540="",BB1540=""),"",BB1540+BA1540*F1540)</f>
        <v>0</v>
      </c>
      <c r="BD1540">
        <f>IF(COUNT($E$2:$E1540)&lt;20,"",STEYX($E$1441:$E$1540,$F$1441:$F$1540))</f>
        <v>0</v>
      </c>
      <c r="BE1540">
        <f>IF($E1540="","",IF(AND(COUNT($E$1541:$E$1544)&gt;=4,$C1540=MAX($C$1536:$C$1544)),$C1540,""))</f>
        <v>0</v>
      </c>
      <c r="BF1540">
        <f>IF($E1540="","",IF(AND(COUNT($E$1541:$E$1544)&gt;=4,$D1540=MIN($D$1536:$D$1544)),$D1540,""))</f>
        <v>0</v>
      </c>
      <c r="BG1540">
        <f>IF($A1540="","",$A1540-WEEKDAY($A1540,2)+1)</f>
        <v>0</v>
      </c>
      <c r="BH1540">
        <f>IF($A1540="","",IF($A1539="",1,IF(BG1540&lt;&gt;BG1539,1,0)))</f>
        <v>0</v>
      </c>
      <c r="BI1540">
        <f>IF($A1540="","",IF($A1541="",1,IF(BG1541&lt;&gt;BG1540,1,0)))</f>
        <v>0</v>
      </c>
      <c r="BJ1540">
        <f>IF($A1540="","",IF(BH1540=1,$B1540,BJ1539))</f>
        <v>0</v>
      </c>
      <c r="BK1540">
        <f>IF($A1540="","",IF(BH1540=1,$C1540,MAX($C1540,BK1539)))</f>
        <v>0</v>
      </c>
      <c r="BL1540">
        <f>IF($A1540="","",IF(BH1540=1,$D1540,MIN($D1540,BL1539)))</f>
        <v>0</v>
      </c>
      <c r="BM1540">
        <f>IF($A1540="","",IF(BI1540=1,F1540,""))</f>
        <v>0</v>
      </c>
      <c r="BN1540">
        <f>IF($A1540="","",DATE(YEAR($A1540),MONTH($A1540),1))</f>
        <v>0</v>
      </c>
      <c r="BO1540">
        <f>IF($A1540="","",IF($A1539="",1,IF(BN1540&lt;&gt;BN1539,1,0)))</f>
        <v>0</v>
      </c>
      <c r="BP1540">
        <f>IF($A1540="","",IF($A1541="",1,IF(BN1541&lt;&gt;BN1540,1,0)))</f>
        <v>0</v>
      </c>
      <c r="BQ1540">
        <f>IF($A1540="","",IF(BO1540=1,$B1540,BQ1539))</f>
        <v>0</v>
      </c>
      <c r="BR1540">
        <f>IF($A1540="","",IF(BO1540=1,$C1540,MAX($C1540,BR1539)))</f>
        <v>0</v>
      </c>
      <c r="BS1540">
        <f>IF($A1540="","",IF(BO1540=1,$D1540,MIN($D1540,BS1539)))</f>
        <v>0</v>
      </c>
      <c r="BT1540">
        <f>IF($A1540="","",IF(BP1540=1,F1540,""))</f>
        <v>0</v>
      </c>
    </row>
    <row r="1541" spans="1:72">
      <c r="A1541" s="27">
        <f>IF(Data!$A1541="","",Data!$A1541)</f>
        <v>0</v>
      </c>
      <c r="B1541">
        <f>IF(Data!$B1541="","",Data!$B1541)</f>
        <v>0</v>
      </c>
      <c r="C1541">
        <f>IF(Data!$C1541="","",Data!$C1541)</f>
        <v>0</v>
      </c>
      <c r="D1541">
        <f>IF(Data!$D1541="","",Data!$D1541)</f>
        <v>0</v>
      </c>
      <c r="E1541">
        <f>IF(Data!$E1541="","",Data!$E1541)</f>
        <v>0</v>
      </c>
      <c r="F1541">
        <f>IF($E1541="","",N(F1540)+1)</f>
        <v>0</v>
      </c>
      <c r="G1541">
        <f>IF(OR($E1541="",$E1540=""),"",LN($E1541/$E1540))</f>
        <v>0</v>
      </c>
      <c r="H1541">
        <f>IF($E1541="","",IF($E1540="",$E1541,$E1541*0.0952380952+H1540*0.9047619048))</f>
        <v>0</v>
      </c>
      <c r="I1541">
        <f>IF($E1541="","",IF($E1540="",$E1541,$E1541*0.0392156863+I1540*0.9607843137))</f>
        <v>0</v>
      </c>
      <c r="J1541">
        <f>IF($E1541="","",IF($E1540="",$E1541,$E1541*0.0198019802+J1540*0.9801980198))</f>
        <v>0</v>
      </c>
      <c r="K1541">
        <f>IF($E1541="","",IF($E1540="",$E1541,$E1541*0.0099502488+K1540*0.9900497512))</f>
        <v>0</v>
      </c>
      <c r="L1541">
        <f>IF(OR($E1541="",$E1540=""),"",MAX($E1541-$E1540,0))</f>
        <v>0</v>
      </c>
      <c r="M1541">
        <f>IF(OR($E1541="",$E1540=""),"",MAX($E1540-$E1541,0))</f>
        <v>0</v>
      </c>
      <c r="N1541">
        <f>IF(COUNT($E$2:$E1541)&lt;15,"",IF(AVERAGE($M$1528:$M$1541)=0,100,100-100/(1+AVERAGE($L$1528:$L$1541)/AVERAGE($M$1528:$M$1541))))</f>
        <v>0</v>
      </c>
      <c r="O1541">
        <f>IF($E1541="","",IF($E1540="",$E1541,$E1541*0.1538461538+O1540*0.8461538462))</f>
        <v>0</v>
      </c>
      <c r="P1541">
        <f>IF($E1541="","",IF($E1540="",$E1541,$E1541*0.0740740741+P1540*0.9259259259))</f>
        <v>0</v>
      </c>
      <c r="Q1541">
        <f>IF(OR(O1541="",P1541=""),"",O1541-P1541)</f>
        <v>0</v>
      </c>
      <c r="R1541">
        <f>IF(Q1541="","",IF(R1540="",Q1541,Q1541*0.2000000000+R1540*0.8000000000))</f>
        <v>0</v>
      </c>
      <c r="S1541">
        <f>IF(OR(Q1541="",R1541=""),"",Q1541-R1541)</f>
        <v>0</v>
      </c>
      <c r="T1541">
        <f>IF(COUNT($E$2:$E1541)&lt;14,"",MAX($C$1528:$C$1541))</f>
        <v>0</v>
      </c>
      <c r="U1541">
        <f>IF(COUNT($E$2:$E1541)&lt;14,"",MIN($D$1528:$D$1541))</f>
        <v>0</v>
      </c>
      <c r="V1541">
        <f>IF(OR(T1541="",U1541="",T1541=U1541),"",100*($E1541-U1541)/(T1541-U1541))</f>
        <v>0</v>
      </c>
      <c r="W1541">
        <f>IF(COUNT($V$1539:$V$1541)&lt;3,"",AVERAGE($V$1539:$V$1541))</f>
        <v>0</v>
      </c>
      <c r="X1541">
        <f>IF(COUNT($N$1528:$N$1541)&lt;14,"",MIN($N$1528:$N$1541))</f>
        <v>0</v>
      </c>
      <c r="Y1541">
        <f>IF(COUNT($N$1528:$N$1541)&lt;14,"",MAX($N$1528:$N$1541))</f>
        <v>0</v>
      </c>
      <c r="Z1541">
        <f>IF(OR(N1541="",X1541="",Y1541="",Y1541=X1541),"",100*(N1541-X1541)/(Y1541-X1541))</f>
        <v>0</v>
      </c>
      <c r="AA1541">
        <f>IF(COUNT($Z$1539:$Z$1541)&lt;3,"",AVERAGE($Z$1539:$Z$1541))</f>
        <v>0</v>
      </c>
      <c r="AB1541">
        <f>IF(COUNT($AA$1539:$AA$1541)&lt;3,"",AVERAGE($AA$1539:$AA$1541))</f>
        <v>0</v>
      </c>
      <c r="AC1541">
        <f>IF($E1541="","",MAX($C1541-$D1541,ABS($C1541-$E1540),ABS($D1541-$E1540)))</f>
        <v>0</v>
      </c>
      <c r="AD1541">
        <f>IF(COUNT($E$2:$E1541)&lt;15,"",AVERAGE($AC$1528:$AC$1541))</f>
        <v>0</v>
      </c>
      <c r="AE1541">
        <f>IF(OR($E1541="",$E1540=""),"",IF(AND(($C1541-$C1540)&gt;($D1540-$D1541),($C1541-$C1540)&gt;0),$C1541-$C1540,0))</f>
        <v>0</v>
      </c>
      <c r="AF1541">
        <f>IF(OR($E1541="",$E1540=""),"",IF(AND(($D1540-$D1541)&gt;($C1541-$C1540),($D1540-$D1541)&gt;0),$D1540-$D1541,0))</f>
        <v>0</v>
      </c>
      <c r="AG1541">
        <f>IF(COUNT($E$2:$E1541)&lt;15,"",IF(SUM($AC$1528:$AC$1541)=0,0,100*SUM($AE$1528:$AE$1541)/SUM($AC$1528:$AC$1541)))</f>
        <v>0</v>
      </c>
      <c r="AH1541">
        <f>IF(COUNT($E$2:$E1541)&lt;15,"",IF(SUM($AC$1528:$AC$1541)=0,0,100*SUM($AF$1528:$AF$1541)/SUM($AC$1528:$AC$1541)))</f>
        <v>0</v>
      </c>
      <c r="AI1541">
        <f>IF(OR(AG1541="",AH1541=""),"",IF((AG1541+AH1541)=0,0,100*ABS(AG1541-AH1541)/(AG1541+AH1541)))</f>
        <v>0</v>
      </c>
      <c r="AJ1541">
        <f>IF(COUNT($AI$1528:$AI$1541)&lt;14,"",AVERAGE($AI$1528:$AI$1541))</f>
        <v>0</v>
      </c>
      <c r="AK1541">
        <f>IF(COUNT($E$2:$E1541)&lt;20,"",AVERAGE($E$1522:$E$1541))</f>
        <v>0</v>
      </c>
      <c r="AL1541">
        <f>IF(COUNT($E$2:$E1541)&lt;20,"",STDEVP($E$1522:$E$1541))</f>
        <v>0</v>
      </c>
      <c r="AM1541">
        <f>IF(AK1541="","",AK1541+2*AL1541)</f>
        <v>0</v>
      </c>
      <c r="AN1541">
        <f>IF(AK1541="","",AK1541-2*AL1541)</f>
        <v>0</v>
      </c>
      <c r="AO1541">
        <f>IF(OR(AM1541="",AN1541="",AM1541=AN1541),"",($E1541-AN1541)/(AM1541-AN1541))</f>
        <v>0</v>
      </c>
      <c r="AP1541">
        <f>IF(OR(AM1541="",AK1541="",AK1541=0),"",(AM1541-AN1541)/AK1541)</f>
        <v>0</v>
      </c>
      <c r="AQ1541">
        <f>IF(COUNT($E$2:$E1541)&lt;20,"",MAX($C$1522:$C$1541))</f>
        <v>0</v>
      </c>
      <c r="AR1541">
        <f>IF(COUNT($E$2:$E1541)&lt;20,"",MIN($D$1522:$D$1541))</f>
        <v>0</v>
      </c>
      <c r="AS1541">
        <f>IF(OR(AQ1541="",AR1541=""),"",(AQ1541+AR1541)/2)</f>
        <v>0</v>
      </c>
      <c r="AT1541">
        <f>IF(COUNT($G$1522:$G$1541)&lt;20,"",STDEV($G$1522:$G$1541)*SQRT(252))</f>
        <v>0</v>
      </c>
      <c r="AU1541">
        <f>IF(COUNT($E$2:$E1541)&lt;9,"",(MAX($C$1533:$C$1541)+MIN($D$1533:$D$1541))/2)</f>
        <v>0</v>
      </c>
      <c r="AV1541">
        <f>IF(COUNT($E$2:$E1541)&lt;26,"",(MAX($C$1516:$C$1541)+MIN($D$1516:$D$1541))/2)</f>
        <v>0</v>
      </c>
      <c r="AW1541">
        <f>IF(OR(AU1541="",AV1541=""),"",(AU1541+AV1541)/2)</f>
        <v>0</v>
      </c>
      <c r="AX1541">
        <f>IF(COUNT($E$2:$E1541)&lt;52,"",(MAX($C$1490:$C$1541)+MIN($D$1490:$D$1541))/2)</f>
        <v>0</v>
      </c>
      <c r="AY1541">
        <f>IF(COUNT($E$2:$E1541)&lt;20,"",MAX($C$1442:$C$1541))</f>
        <v>0</v>
      </c>
      <c r="AZ1541">
        <f>IF(COUNT($E$2:$E1541)&lt;20,"",MIN($D$1442:$D$1541))</f>
        <v>0</v>
      </c>
      <c r="BA1541">
        <f>IF(COUNT($E$2:$E1541)&lt;20,"",SLOPE($E$1442:$E$1541,$F$1442:$F$1541))</f>
        <v>0</v>
      </c>
      <c r="BB1541">
        <f>IF(COUNT($E$2:$E1541)&lt;20,"",INTERCEPT($E$1442:$E$1541,$F$1442:$F$1541))</f>
        <v>0</v>
      </c>
      <c r="BC1541">
        <f>IF(OR(BA1541="",BB1541=""),"",BB1541+BA1541*F1541)</f>
        <v>0</v>
      </c>
      <c r="BD1541">
        <f>IF(COUNT($E$2:$E1541)&lt;20,"",STEYX($E$1442:$E$1541,$F$1442:$F$1541))</f>
        <v>0</v>
      </c>
      <c r="BE1541">
        <f>IF($E1541="","",IF(AND(COUNT($E$1542:$E$1545)&gt;=4,$C1541=MAX($C$1537:$C$1545)),$C1541,""))</f>
        <v>0</v>
      </c>
      <c r="BF1541">
        <f>IF($E1541="","",IF(AND(COUNT($E$1542:$E$1545)&gt;=4,$D1541=MIN($D$1537:$D$1545)),$D1541,""))</f>
        <v>0</v>
      </c>
      <c r="BG1541">
        <f>IF($A1541="","",$A1541-WEEKDAY($A1541,2)+1)</f>
        <v>0</v>
      </c>
      <c r="BH1541">
        <f>IF($A1541="","",IF($A1540="",1,IF(BG1541&lt;&gt;BG1540,1,0)))</f>
        <v>0</v>
      </c>
      <c r="BI1541">
        <f>IF($A1541="","",IF($A1542="",1,IF(BG1542&lt;&gt;BG1541,1,0)))</f>
        <v>0</v>
      </c>
      <c r="BJ1541">
        <f>IF($A1541="","",IF(BH1541=1,$B1541,BJ1540))</f>
        <v>0</v>
      </c>
      <c r="BK1541">
        <f>IF($A1541="","",IF(BH1541=1,$C1541,MAX($C1541,BK1540)))</f>
        <v>0</v>
      </c>
      <c r="BL1541">
        <f>IF($A1541="","",IF(BH1541=1,$D1541,MIN($D1541,BL1540)))</f>
        <v>0</v>
      </c>
      <c r="BM1541">
        <f>IF($A1541="","",IF(BI1541=1,F1541,""))</f>
        <v>0</v>
      </c>
      <c r="BN1541">
        <f>IF($A1541="","",DATE(YEAR($A1541),MONTH($A1541),1))</f>
        <v>0</v>
      </c>
      <c r="BO1541">
        <f>IF($A1541="","",IF($A1540="",1,IF(BN1541&lt;&gt;BN1540,1,0)))</f>
        <v>0</v>
      </c>
      <c r="BP1541">
        <f>IF($A1541="","",IF($A1542="",1,IF(BN1542&lt;&gt;BN1541,1,0)))</f>
        <v>0</v>
      </c>
      <c r="BQ1541">
        <f>IF($A1541="","",IF(BO1541=1,$B1541,BQ1540))</f>
        <v>0</v>
      </c>
      <c r="BR1541">
        <f>IF($A1541="","",IF(BO1541=1,$C1541,MAX($C1541,BR1540)))</f>
        <v>0</v>
      </c>
      <c r="BS1541">
        <f>IF($A1541="","",IF(BO1541=1,$D1541,MIN($D1541,BS1540)))</f>
        <v>0</v>
      </c>
      <c r="BT1541">
        <f>IF($A1541="","",IF(BP1541=1,F1541,""))</f>
        <v>0</v>
      </c>
    </row>
    <row r="1542" spans="1:72">
      <c r="A1542" s="27">
        <f>IF(Data!$A1542="","",Data!$A1542)</f>
        <v>0</v>
      </c>
      <c r="B1542">
        <f>IF(Data!$B1542="","",Data!$B1542)</f>
        <v>0</v>
      </c>
      <c r="C1542">
        <f>IF(Data!$C1542="","",Data!$C1542)</f>
        <v>0</v>
      </c>
      <c r="D1542">
        <f>IF(Data!$D1542="","",Data!$D1542)</f>
        <v>0</v>
      </c>
      <c r="E1542">
        <f>IF(Data!$E1542="","",Data!$E1542)</f>
        <v>0</v>
      </c>
      <c r="F1542">
        <f>IF($E1542="","",N(F1541)+1)</f>
        <v>0</v>
      </c>
      <c r="G1542">
        <f>IF(OR($E1542="",$E1541=""),"",LN($E1542/$E1541))</f>
        <v>0</v>
      </c>
      <c r="H1542">
        <f>IF($E1542="","",IF($E1541="",$E1542,$E1542*0.0952380952+H1541*0.9047619048))</f>
        <v>0</v>
      </c>
      <c r="I1542">
        <f>IF($E1542="","",IF($E1541="",$E1542,$E1542*0.0392156863+I1541*0.9607843137))</f>
        <v>0</v>
      </c>
      <c r="J1542">
        <f>IF($E1542="","",IF($E1541="",$E1542,$E1542*0.0198019802+J1541*0.9801980198))</f>
        <v>0</v>
      </c>
      <c r="K1542">
        <f>IF($E1542="","",IF($E1541="",$E1542,$E1542*0.0099502488+K1541*0.9900497512))</f>
        <v>0</v>
      </c>
      <c r="L1542">
        <f>IF(OR($E1542="",$E1541=""),"",MAX($E1542-$E1541,0))</f>
        <v>0</v>
      </c>
      <c r="M1542">
        <f>IF(OR($E1542="",$E1541=""),"",MAX($E1541-$E1542,0))</f>
        <v>0</v>
      </c>
      <c r="N1542">
        <f>IF(COUNT($E$2:$E1542)&lt;15,"",IF(AVERAGE($M$1529:$M$1542)=0,100,100-100/(1+AVERAGE($L$1529:$L$1542)/AVERAGE($M$1529:$M$1542))))</f>
        <v>0</v>
      </c>
      <c r="O1542">
        <f>IF($E1542="","",IF($E1541="",$E1542,$E1542*0.1538461538+O1541*0.8461538462))</f>
        <v>0</v>
      </c>
      <c r="P1542">
        <f>IF($E1542="","",IF($E1541="",$E1542,$E1542*0.0740740741+P1541*0.9259259259))</f>
        <v>0</v>
      </c>
      <c r="Q1542">
        <f>IF(OR(O1542="",P1542=""),"",O1542-P1542)</f>
        <v>0</v>
      </c>
      <c r="R1542">
        <f>IF(Q1542="","",IF(R1541="",Q1542,Q1542*0.2000000000+R1541*0.8000000000))</f>
        <v>0</v>
      </c>
      <c r="S1542">
        <f>IF(OR(Q1542="",R1542=""),"",Q1542-R1542)</f>
        <v>0</v>
      </c>
      <c r="T1542">
        <f>IF(COUNT($E$2:$E1542)&lt;14,"",MAX($C$1529:$C$1542))</f>
        <v>0</v>
      </c>
      <c r="U1542">
        <f>IF(COUNT($E$2:$E1542)&lt;14,"",MIN($D$1529:$D$1542))</f>
        <v>0</v>
      </c>
      <c r="V1542">
        <f>IF(OR(T1542="",U1542="",T1542=U1542),"",100*($E1542-U1542)/(T1542-U1542))</f>
        <v>0</v>
      </c>
      <c r="W1542">
        <f>IF(COUNT($V$1540:$V$1542)&lt;3,"",AVERAGE($V$1540:$V$1542))</f>
        <v>0</v>
      </c>
      <c r="X1542">
        <f>IF(COUNT($N$1529:$N$1542)&lt;14,"",MIN($N$1529:$N$1542))</f>
        <v>0</v>
      </c>
      <c r="Y1542">
        <f>IF(COUNT($N$1529:$N$1542)&lt;14,"",MAX($N$1529:$N$1542))</f>
        <v>0</v>
      </c>
      <c r="Z1542">
        <f>IF(OR(N1542="",X1542="",Y1542="",Y1542=X1542),"",100*(N1542-X1542)/(Y1542-X1542))</f>
        <v>0</v>
      </c>
      <c r="AA1542">
        <f>IF(COUNT($Z$1540:$Z$1542)&lt;3,"",AVERAGE($Z$1540:$Z$1542))</f>
        <v>0</v>
      </c>
      <c r="AB1542">
        <f>IF(COUNT($AA$1540:$AA$1542)&lt;3,"",AVERAGE($AA$1540:$AA$1542))</f>
        <v>0</v>
      </c>
      <c r="AC1542">
        <f>IF($E1542="","",MAX($C1542-$D1542,ABS($C1542-$E1541),ABS($D1542-$E1541)))</f>
        <v>0</v>
      </c>
      <c r="AD1542">
        <f>IF(COUNT($E$2:$E1542)&lt;15,"",AVERAGE($AC$1529:$AC$1542))</f>
        <v>0</v>
      </c>
      <c r="AE1542">
        <f>IF(OR($E1542="",$E1541=""),"",IF(AND(($C1542-$C1541)&gt;($D1541-$D1542),($C1542-$C1541)&gt;0),$C1542-$C1541,0))</f>
        <v>0</v>
      </c>
      <c r="AF1542">
        <f>IF(OR($E1542="",$E1541=""),"",IF(AND(($D1541-$D1542)&gt;($C1542-$C1541),($D1541-$D1542)&gt;0),$D1541-$D1542,0))</f>
        <v>0</v>
      </c>
      <c r="AG1542">
        <f>IF(COUNT($E$2:$E1542)&lt;15,"",IF(SUM($AC$1529:$AC$1542)=0,0,100*SUM($AE$1529:$AE$1542)/SUM($AC$1529:$AC$1542)))</f>
        <v>0</v>
      </c>
      <c r="AH1542">
        <f>IF(COUNT($E$2:$E1542)&lt;15,"",IF(SUM($AC$1529:$AC$1542)=0,0,100*SUM($AF$1529:$AF$1542)/SUM($AC$1529:$AC$1542)))</f>
        <v>0</v>
      </c>
      <c r="AI1542">
        <f>IF(OR(AG1542="",AH1542=""),"",IF((AG1542+AH1542)=0,0,100*ABS(AG1542-AH1542)/(AG1542+AH1542)))</f>
        <v>0</v>
      </c>
      <c r="AJ1542">
        <f>IF(COUNT($AI$1529:$AI$1542)&lt;14,"",AVERAGE($AI$1529:$AI$1542))</f>
        <v>0</v>
      </c>
      <c r="AK1542">
        <f>IF(COUNT($E$2:$E1542)&lt;20,"",AVERAGE($E$1523:$E$1542))</f>
        <v>0</v>
      </c>
      <c r="AL1542">
        <f>IF(COUNT($E$2:$E1542)&lt;20,"",STDEVP($E$1523:$E$1542))</f>
        <v>0</v>
      </c>
      <c r="AM1542">
        <f>IF(AK1542="","",AK1542+2*AL1542)</f>
        <v>0</v>
      </c>
      <c r="AN1542">
        <f>IF(AK1542="","",AK1542-2*AL1542)</f>
        <v>0</v>
      </c>
      <c r="AO1542">
        <f>IF(OR(AM1542="",AN1542="",AM1542=AN1542),"",($E1542-AN1542)/(AM1542-AN1542))</f>
        <v>0</v>
      </c>
      <c r="AP1542">
        <f>IF(OR(AM1542="",AK1542="",AK1542=0),"",(AM1542-AN1542)/AK1542)</f>
        <v>0</v>
      </c>
      <c r="AQ1542">
        <f>IF(COUNT($E$2:$E1542)&lt;20,"",MAX($C$1523:$C$1542))</f>
        <v>0</v>
      </c>
      <c r="AR1542">
        <f>IF(COUNT($E$2:$E1542)&lt;20,"",MIN($D$1523:$D$1542))</f>
        <v>0</v>
      </c>
      <c r="AS1542">
        <f>IF(OR(AQ1542="",AR1542=""),"",(AQ1542+AR1542)/2)</f>
        <v>0</v>
      </c>
      <c r="AT1542">
        <f>IF(COUNT($G$1523:$G$1542)&lt;20,"",STDEV($G$1523:$G$1542)*SQRT(252))</f>
        <v>0</v>
      </c>
      <c r="AU1542">
        <f>IF(COUNT($E$2:$E1542)&lt;9,"",(MAX($C$1534:$C$1542)+MIN($D$1534:$D$1542))/2)</f>
        <v>0</v>
      </c>
      <c r="AV1542">
        <f>IF(COUNT($E$2:$E1542)&lt;26,"",(MAX($C$1517:$C$1542)+MIN($D$1517:$D$1542))/2)</f>
        <v>0</v>
      </c>
      <c r="AW1542">
        <f>IF(OR(AU1542="",AV1542=""),"",(AU1542+AV1542)/2)</f>
        <v>0</v>
      </c>
      <c r="AX1542">
        <f>IF(COUNT($E$2:$E1542)&lt;52,"",(MAX($C$1491:$C$1542)+MIN($D$1491:$D$1542))/2)</f>
        <v>0</v>
      </c>
      <c r="AY1542">
        <f>IF(COUNT($E$2:$E1542)&lt;20,"",MAX($C$1443:$C$1542))</f>
        <v>0</v>
      </c>
      <c r="AZ1542">
        <f>IF(COUNT($E$2:$E1542)&lt;20,"",MIN($D$1443:$D$1542))</f>
        <v>0</v>
      </c>
      <c r="BA1542">
        <f>IF(COUNT($E$2:$E1542)&lt;20,"",SLOPE($E$1443:$E$1542,$F$1443:$F$1542))</f>
        <v>0</v>
      </c>
      <c r="BB1542">
        <f>IF(COUNT($E$2:$E1542)&lt;20,"",INTERCEPT($E$1443:$E$1542,$F$1443:$F$1542))</f>
        <v>0</v>
      </c>
      <c r="BC1542">
        <f>IF(OR(BA1542="",BB1542=""),"",BB1542+BA1542*F1542)</f>
        <v>0</v>
      </c>
      <c r="BD1542">
        <f>IF(COUNT($E$2:$E1542)&lt;20,"",STEYX($E$1443:$E$1542,$F$1443:$F$1542))</f>
        <v>0</v>
      </c>
      <c r="BE1542">
        <f>IF($E1542="","",IF(AND(COUNT($E$1543:$E$1546)&gt;=4,$C1542=MAX($C$1538:$C$1546)),$C1542,""))</f>
        <v>0</v>
      </c>
      <c r="BF1542">
        <f>IF($E1542="","",IF(AND(COUNT($E$1543:$E$1546)&gt;=4,$D1542=MIN($D$1538:$D$1546)),$D1542,""))</f>
        <v>0</v>
      </c>
      <c r="BG1542">
        <f>IF($A1542="","",$A1542-WEEKDAY($A1542,2)+1)</f>
        <v>0</v>
      </c>
      <c r="BH1542">
        <f>IF($A1542="","",IF($A1541="",1,IF(BG1542&lt;&gt;BG1541,1,0)))</f>
        <v>0</v>
      </c>
      <c r="BI1542">
        <f>IF($A1542="","",IF($A1543="",1,IF(BG1543&lt;&gt;BG1542,1,0)))</f>
        <v>0</v>
      </c>
      <c r="BJ1542">
        <f>IF($A1542="","",IF(BH1542=1,$B1542,BJ1541))</f>
        <v>0</v>
      </c>
      <c r="BK1542">
        <f>IF($A1542="","",IF(BH1542=1,$C1542,MAX($C1542,BK1541)))</f>
        <v>0</v>
      </c>
      <c r="BL1542">
        <f>IF($A1542="","",IF(BH1542=1,$D1542,MIN($D1542,BL1541)))</f>
        <v>0</v>
      </c>
      <c r="BM1542">
        <f>IF($A1542="","",IF(BI1542=1,F1542,""))</f>
        <v>0</v>
      </c>
      <c r="BN1542">
        <f>IF($A1542="","",DATE(YEAR($A1542),MONTH($A1542),1))</f>
        <v>0</v>
      </c>
      <c r="BO1542">
        <f>IF($A1542="","",IF($A1541="",1,IF(BN1542&lt;&gt;BN1541,1,0)))</f>
        <v>0</v>
      </c>
      <c r="BP1542">
        <f>IF($A1542="","",IF($A1543="",1,IF(BN1543&lt;&gt;BN1542,1,0)))</f>
        <v>0</v>
      </c>
      <c r="BQ1542">
        <f>IF($A1542="","",IF(BO1542=1,$B1542,BQ1541))</f>
        <v>0</v>
      </c>
      <c r="BR1542">
        <f>IF($A1542="","",IF(BO1542=1,$C1542,MAX($C1542,BR1541)))</f>
        <v>0</v>
      </c>
      <c r="BS1542">
        <f>IF($A1542="","",IF(BO1542=1,$D1542,MIN($D1542,BS1541)))</f>
        <v>0</v>
      </c>
      <c r="BT1542">
        <f>IF($A1542="","",IF(BP1542=1,F1542,""))</f>
        <v>0</v>
      </c>
    </row>
    <row r="1543" spans="1:72">
      <c r="A1543" s="27">
        <f>IF(Data!$A1543="","",Data!$A1543)</f>
        <v>0</v>
      </c>
      <c r="B1543">
        <f>IF(Data!$B1543="","",Data!$B1543)</f>
        <v>0</v>
      </c>
      <c r="C1543">
        <f>IF(Data!$C1543="","",Data!$C1543)</f>
        <v>0</v>
      </c>
      <c r="D1543">
        <f>IF(Data!$D1543="","",Data!$D1543)</f>
        <v>0</v>
      </c>
      <c r="E1543">
        <f>IF(Data!$E1543="","",Data!$E1543)</f>
        <v>0</v>
      </c>
      <c r="F1543">
        <f>IF($E1543="","",N(F1542)+1)</f>
        <v>0</v>
      </c>
      <c r="G1543">
        <f>IF(OR($E1543="",$E1542=""),"",LN($E1543/$E1542))</f>
        <v>0</v>
      </c>
      <c r="H1543">
        <f>IF($E1543="","",IF($E1542="",$E1543,$E1543*0.0952380952+H1542*0.9047619048))</f>
        <v>0</v>
      </c>
      <c r="I1543">
        <f>IF($E1543="","",IF($E1542="",$E1543,$E1543*0.0392156863+I1542*0.9607843137))</f>
        <v>0</v>
      </c>
      <c r="J1543">
        <f>IF($E1543="","",IF($E1542="",$E1543,$E1543*0.0198019802+J1542*0.9801980198))</f>
        <v>0</v>
      </c>
      <c r="K1543">
        <f>IF($E1543="","",IF($E1542="",$E1543,$E1543*0.0099502488+K1542*0.9900497512))</f>
        <v>0</v>
      </c>
      <c r="L1543">
        <f>IF(OR($E1543="",$E1542=""),"",MAX($E1543-$E1542,0))</f>
        <v>0</v>
      </c>
      <c r="M1543">
        <f>IF(OR($E1543="",$E1542=""),"",MAX($E1542-$E1543,0))</f>
        <v>0</v>
      </c>
      <c r="N1543">
        <f>IF(COUNT($E$2:$E1543)&lt;15,"",IF(AVERAGE($M$1530:$M$1543)=0,100,100-100/(1+AVERAGE($L$1530:$L$1543)/AVERAGE($M$1530:$M$1543))))</f>
        <v>0</v>
      </c>
      <c r="O1543">
        <f>IF($E1543="","",IF($E1542="",$E1543,$E1543*0.1538461538+O1542*0.8461538462))</f>
        <v>0</v>
      </c>
      <c r="P1543">
        <f>IF($E1543="","",IF($E1542="",$E1543,$E1543*0.0740740741+P1542*0.9259259259))</f>
        <v>0</v>
      </c>
      <c r="Q1543">
        <f>IF(OR(O1543="",P1543=""),"",O1543-P1543)</f>
        <v>0</v>
      </c>
      <c r="R1543">
        <f>IF(Q1543="","",IF(R1542="",Q1543,Q1543*0.2000000000+R1542*0.8000000000))</f>
        <v>0</v>
      </c>
      <c r="S1543">
        <f>IF(OR(Q1543="",R1543=""),"",Q1543-R1543)</f>
        <v>0</v>
      </c>
      <c r="T1543">
        <f>IF(COUNT($E$2:$E1543)&lt;14,"",MAX($C$1530:$C$1543))</f>
        <v>0</v>
      </c>
      <c r="U1543">
        <f>IF(COUNT($E$2:$E1543)&lt;14,"",MIN($D$1530:$D$1543))</f>
        <v>0</v>
      </c>
      <c r="V1543">
        <f>IF(OR(T1543="",U1543="",T1543=U1543),"",100*($E1543-U1543)/(T1543-U1543))</f>
        <v>0</v>
      </c>
      <c r="W1543">
        <f>IF(COUNT($V$1541:$V$1543)&lt;3,"",AVERAGE($V$1541:$V$1543))</f>
        <v>0</v>
      </c>
      <c r="X1543">
        <f>IF(COUNT($N$1530:$N$1543)&lt;14,"",MIN($N$1530:$N$1543))</f>
        <v>0</v>
      </c>
      <c r="Y1543">
        <f>IF(COUNT($N$1530:$N$1543)&lt;14,"",MAX($N$1530:$N$1543))</f>
        <v>0</v>
      </c>
      <c r="Z1543">
        <f>IF(OR(N1543="",X1543="",Y1543="",Y1543=X1543),"",100*(N1543-X1543)/(Y1543-X1543))</f>
        <v>0</v>
      </c>
      <c r="AA1543">
        <f>IF(COUNT($Z$1541:$Z$1543)&lt;3,"",AVERAGE($Z$1541:$Z$1543))</f>
        <v>0</v>
      </c>
      <c r="AB1543">
        <f>IF(COUNT($AA$1541:$AA$1543)&lt;3,"",AVERAGE($AA$1541:$AA$1543))</f>
        <v>0</v>
      </c>
      <c r="AC1543">
        <f>IF($E1543="","",MAX($C1543-$D1543,ABS($C1543-$E1542),ABS($D1543-$E1542)))</f>
        <v>0</v>
      </c>
      <c r="AD1543">
        <f>IF(COUNT($E$2:$E1543)&lt;15,"",AVERAGE($AC$1530:$AC$1543))</f>
        <v>0</v>
      </c>
      <c r="AE1543">
        <f>IF(OR($E1543="",$E1542=""),"",IF(AND(($C1543-$C1542)&gt;($D1542-$D1543),($C1543-$C1542)&gt;0),$C1543-$C1542,0))</f>
        <v>0</v>
      </c>
      <c r="AF1543">
        <f>IF(OR($E1543="",$E1542=""),"",IF(AND(($D1542-$D1543)&gt;($C1543-$C1542),($D1542-$D1543)&gt;0),$D1542-$D1543,0))</f>
        <v>0</v>
      </c>
      <c r="AG1543">
        <f>IF(COUNT($E$2:$E1543)&lt;15,"",IF(SUM($AC$1530:$AC$1543)=0,0,100*SUM($AE$1530:$AE$1543)/SUM($AC$1530:$AC$1543)))</f>
        <v>0</v>
      </c>
      <c r="AH1543">
        <f>IF(COUNT($E$2:$E1543)&lt;15,"",IF(SUM($AC$1530:$AC$1543)=0,0,100*SUM($AF$1530:$AF$1543)/SUM($AC$1530:$AC$1543)))</f>
        <v>0</v>
      </c>
      <c r="AI1543">
        <f>IF(OR(AG1543="",AH1543=""),"",IF((AG1543+AH1543)=0,0,100*ABS(AG1543-AH1543)/(AG1543+AH1543)))</f>
        <v>0</v>
      </c>
      <c r="AJ1543">
        <f>IF(COUNT($AI$1530:$AI$1543)&lt;14,"",AVERAGE($AI$1530:$AI$1543))</f>
        <v>0</v>
      </c>
      <c r="AK1543">
        <f>IF(COUNT($E$2:$E1543)&lt;20,"",AVERAGE($E$1524:$E$1543))</f>
        <v>0</v>
      </c>
      <c r="AL1543">
        <f>IF(COUNT($E$2:$E1543)&lt;20,"",STDEVP($E$1524:$E$1543))</f>
        <v>0</v>
      </c>
      <c r="AM1543">
        <f>IF(AK1543="","",AK1543+2*AL1543)</f>
        <v>0</v>
      </c>
      <c r="AN1543">
        <f>IF(AK1543="","",AK1543-2*AL1543)</f>
        <v>0</v>
      </c>
      <c r="AO1543">
        <f>IF(OR(AM1543="",AN1543="",AM1543=AN1543),"",($E1543-AN1543)/(AM1543-AN1543))</f>
        <v>0</v>
      </c>
      <c r="AP1543">
        <f>IF(OR(AM1543="",AK1543="",AK1543=0),"",(AM1543-AN1543)/AK1543)</f>
        <v>0</v>
      </c>
      <c r="AQ1543">
        <f>IF(COUNT($E$2:$E1543)&lt;20,"",MAX($C$1524:$C$1543))</f>
        <v>0</v>
      </c>
      <c r="AR1543">
        <f>IF(COUNT($E$2:$E1543)&lt;20,"",MIN($D$1524:$D$1543))</f>
        <v>0</v>
      </c>
      <c r="AS1543">
        <f>IF(OR(AQ1543="",AR1543=""),"",(AQ1543+AR1543)/2)</f>
        <v>0</v>
      </c>
      <c r="AT1543">
        <f>IF(COUNT($G$1524:$G$1543)&lt;20,"",STDEV($G$1524:$G$1543)*SQRT(252))</f>
        <v>0</v>
      </c>
      <c r="AU1543">
        <f>IF(COUNT($E$2:$E1543)&lt;9,"",(MAX($C$1535:$C$1543)+MIN($D$1535:$D$1543))/2)</f>
        <v>0</v>
      </c>
      <c r="AV1543">
        <f>IF(COUNT($E$2:$E1543)&lt;26,"",(MAX($C$1518:$C$1543)+MIN($D$1518:$D$1543))/2)</f>
        <v>0</v>
      </c>
      <c r="AW1543">
        <f>IF(OR(AU1543="",AV1543=""),"",(AU1543+AV1543)/2)</f>
        <v>0</v>
      </c>
      <c r="AX1543">
        <f>IF(COUNT($E$2:$E1543)&lt;52,"",(MAX($C$1492:$C$1543)+MIN($D$1492:$D$1543))/2)</f>
        <v>0</v>
      </c>
      <c r="AY1543">
        <f>IF(COUNT($E$2:$E1543)&lt;20,"",MAX($C$1444:$C$1543))</f>
        <v>0</v>
      </c>
      <c r="AZ1543">
        <f>IF(COUNT($E$2:$E1543)&lt;20,"",MIN($D$1444:$D$1543))</f>
        <v>0</v>
      </c>
      <c r="BA1543">
        <f>IF(COUNT($E$2:$E1543)&lt;20,"",SLOPE($E$1444:$E$1543,$F$1444:$F$1543))</f>
        <v>0</v>
      </c>
      <c r="BB1543">
        <f>IF(COUNT($E$2:$E1543)&lt;20,"",INTERCEPT($E$1444:$E$1543,$F$1444:$F$1543))</f>
        <v>0</v>
      </c>
      <c r="BC1543">
        <f>IF(OR(BA1543="",BB1543=""),"",BB1543+BA1543*F1543)</f>
        <v>0</v>
      </c>
      <c r="BD1543">
        <f>IF(COUNT($E$2:$E1543)&lt;20,"",STEYX($E$1444:$E$1543,$F$1444:$F$1543))</f>
        <v>0</v>
      </c>
      <c r="BE1543">
        <f>IF($E1543="","",IF(AND(COUNT($E$1544:$E$1547)&gt;=4,$C1543=MAX($C$1539:$C$1547)),$C1543,""))</f>
        <v>0</v>
      </c>
      <c r="BF1543">
        <f>IF($E1543="","",IF(AND(COUNT($E$1544:$E$1547)&gt;=4,$D1543=MIN($D$1539:$D$1547)),$D1543,""))</f>
        <v>0</v>
      </c>
      <c r="BG1543">
        <f>IF($A1543="","",$A1543-WEEKDAY($A1543,2)+1)</f>
        <v>0</v>
      </c>
      <c r="BH1543">
        <f>IF($A1543="","",IF($A1542="",1,IF(BG1543&lt;&gt;BG1542,1,0)))</f>
        <v>0</v>
      </c>
      <c r="BI1543">
        <f>IF($A1543="","",IF($A1544="",1,IF(BG1544&lt;&gt;BG1543,1,0)))</f>
        <v>0</v>
      </c>
      <c r="BJ1543">
        <f>IF($A1543="","",IF(BH1543=1,$B1543,BJ1542))</f>
        <v>0</v>
      </c>
      <c r="BK1543">
        <f>IF($A1543="","",IF(BH1543=1,$C1543,MAX($C1543,BK1542)))</f>
        <v>0</v>
      </c>
      <c r="BL1543">
        <f>IF($A1543="","",IF(BH1543=1,$D1543,MIN($D1543,BL1542)))</f>
        <v>0</v>
      </c>
      <c r="BM1543">
        <f>IF($A1543="","",IF(BI1543=1,F1543,""))</f>
        <v>0</v>
      </c>
      <c r="BN1543">
        <f>IF($A1543="","",DATE(YEAR($A1543),MONTH($A1543),1))</f>
        <v>0</v>
      </c>
      <c r="BO1543">
        <f>IF($A1543="","",IF($A1542="",1,IF(BN1543&lt;&gt;BN1542,1,0)))</f>
        <v>0</v>
      </c>
      <c r="BP1543">
        <f>IF($A1543="","",IF($A1544="",1,IF(BN1544&lt;&gt;BN1543,1,0)))</f>
        <v>0</v>
      </c>
      <c r="BQ1543">
        <f>IF($A1543="","",IF(BO1543=1,$B1543,BQ1542))</f>
        <v>0</v>
      </c>
      <c r="BR1543">
        <f>IF($A1543="","",IF(BO1543=1,$C1543,MAX($C1543,BR1542)))</f>
        <v>0</v>
      </c>
      <c r="BS1543">
        <f>IF($A1543="","",IF(BO1543=1,$D1543,MIN($D1543,BS1542)))</f>
        <v>0</v>
      </c>
      <c r="BT1543">
        <f>IF($A1543="","",IF(BP1543=1,F1543,""))</f>
        <v>0</v>
      </c>
    </row>
    <row r="1544" spans="1:72">
      <c r="A1544" s="27">
        <f>IF(Data!$A1544="","",Data!$A1544)</f>
        <v>0</v>
      </c>
      <c r="B1544">
        <f>IF(Data!$B1544="","",Data!$B1544)</f>
        <v>0</v>
      </c>
      <c r="C1544">
        <f>IF(Data!$C1544="","",Data!$C1544)</f>
        <v>0</v>
      </c>
      <c r="D1544">
        <f>IF(Data!$D1544="","",Data!$D1544)</f>
        <v>0</v>
      </c>
      <c r="E1544">
        <f>IF(Data!$E1544="","",Data!$E1544)</f>
        <v>0</v>
      </c>
      <c r="F1544">
        <f>IF($E1544="","",N(F1543)+1)</f>
        <v>0</v>
      </c>
      <c r="G1544">
        <f>IF(OR($E1544="",$E1543=""),"",LN($E1544/$E1543))</f>
        <v>0</v>
      </c>
      <c r="H1544">
        <f>IF($E1544="","",IF($E1543="",$E1544,$E1544*0.0952380952+H1543*0.9047619048))</f>
        <v>0</v>
      </c>
      <c r="I1544">
        <f>IF($E1544="","",IF($E1543="",$E1544,$E1544*0.0392156863+I1543*0.9607843137))</f>
        <v>0</v>
      </c>
      <c r="J1544">
        <f>IF($E1544="","",IF($E1543="",$E1544,$E1544*0.0198019802+J1543*0.9801980198))</f>
        <v>0</v>
      </c>
      <c r="K1544">
        <f>IF($E1544="","",IF($E1543="",$E1544,$E1544*0.0099502488+K1543*0.9900497512))</f>
        <v>0</v>
      </c>
      <c r="L1544">
        <f>IF(OR($E1544="",$E1543=""),"",MAX($E1544-$E1543,0))</f>
        <v>0</v>
      </c>
      <c r="M1544">
        <f>IF(OR($E1544="",$E1543=""),"",MAX($E1543-$E1544,0))</f>
        <v>0</v>
      </c>
      <c r="N1544">
        <f>IF(COUNT($E$2:$E1544)&lt;15,"",IF(AVERAGE($M$1531:$M$1544)=0,100,100-100/(1+AVERAGE($L$1531:$L$1544)/AVERAGE($M$1531:$M$1544))))</f>
        <v>0</v>
      </c>
      <c r="O1544">
        <f>IF($E1544="","",IF($E1543="",$E1544,$E1544*0.1538461538+O1543*0.8461538462))</f>
        <v>0</v>
      </c>
      <c r="P1544">
        <f>IF($E1544="","",IF($E1543="",$E1544,$E1544*0.0740740741+P1543*0.9259259259))</f>
        <v>0</v>
      </c>
      <c r="Q1544">
        <f>IF(OR(O1544="",P1544=""),"",O1544-P1544)</f>
        <v>0</v>
      </c>
      <c r="R1544">
        <f>IF(Q1544="","",IF(R1543="",Q1544,Q1544*0.2000000000+R1543*0.8000000000))</f>
        <v>0</v>
      </c>
      <c r="S1544">
        <f>IF(OR(Q1544="",R1544=""),"",Q1544-R1544)</f>
        <v>0</v>
      </c>
      <c r="T1544">
        <f>IF(COUNT($E$2:$E1544)&lt;14,"",MAX($C$1531:$C$1544))</f>
        <v>0</v>
      </c>
      <c r="U1544">
        <f>IF(COUNT($E$2:$E1544)&lt;14,"",MIN($D$1531:$D$1544))</f>
        <v>0</v>
      </c>
      <c r="V1544">
        <f>IF(OR(T1544="",U1544="",T1544=U1544),"",100*($E1544-U1544)/(T1544-U1544))</f>
        <v>0</v>
      </c>
      <c r="W1544">
        <f>IF(COUNT($V$1542:$V$1544)&lt;3,"",AVERAGE($V$1542:$V$1544))</f>
        <v>0</v>
      </c>
      <c r="X1544">
        <f>IF(COUNT($N$1531:$N$1544)&lt;14,"",MIN($N$1531:$N$1544))</f>
        <v>0</v>
      </c>
      <c r="Y1544">
        <f>IF(COUNT($N$1531:$N$1544)&lt;14,"",MAX($N$1531:$N$1544))</f>
        <v>0</v>
      </c>
      <c r="Z1544">
        <f>IF(OR(N1544="",X1544="",Y1544="",Y1544=X1544),"",100*(N1544-X1544)/(Y1544-X1544))</f>
        <v>0</v>
      </c>
      <c r="AA1544">
        <f>IF(COUNT($Z$1542:$Z$1544)&lt;3,"",AVERAGE($Z$1542:$Z$1544))</f>
        <v>0</v>
      </c>
      <c r="AB1544">
        <f>IF(COUNT($AA$1542:$AA$1544)&lt;3,"",AVERAGE($AA$1542:$AA$1544))</f>
        <v>0</v>
      </c>
      <c r="AC1544">
        <f>IF($E1544="","",MAX($C1544-$D1544,ABS($C1544-$E1543),ABS($D1544-$E1543)))</f>
        <v>0</v>
      </c>
      <c r="AD1544">
        <f>IF(COUNT($E$2:$E1544)&lt;15,"",AVERAGE($AC$1531:$AC$1544))</f>
        <v>0</v>
      </c>
      <c r="AE1544">
        <f>IF(OR($E1544="",$E1543=""),"",IF(AND(($C1544-$C1543)&gt;($D1543-$D1544),($C1544-$C1543)&gt;0),$C1544-$C1543,0))</f>
        <v>0</v>
      </c>
      <c r="AF1544">
        <f>IF(OR($E1544="",$E1543=""),"",IF(AND(($D1543-$D1544)&gt;($C1544-$C1543),($D1543-$D1544)&gt;0),$D1543-$D1544,0))</f>
        <v>0</v>
      </c>
      <c r="AG1544">
        <f>IF(COUNT($E$2:$E1544)&lt;15,"",IF(SUM($AC$1531:$AC$1544)=0,0,100*SUM($AE$1531:$AE$1544)/SUM($AC$1531:$AC$1544)))</f>
        <v>0</v>
      </c>
      <c r="AH1544">
        <f>IF(COUNT($E$2:$E1544)&lt;15,"",IF(SUM($AC$1531:$AC$1544)=0,0,100*SUM($AF$1531:$AF$1544)/SUM($AC$1531:$AC$1544)))</f>
        <v>0</v>
      </c>
      <c r="AI1544">
        <f>IF(OR(AG1544="",AH1544=""),"",IF((AG1544+AH1544)=0,0,100*ABS(AG1544-AH1544)/(AG1544+AH1544)))</f>
        <v>0</v>
      </c>
      <c r="AJ1544">
        <f>IF(COUNT($AI$1531:$AI$1544)&lt;14,"",AVERAGE($AI$1531:$AI$1544))</f>
        <v>0</v>
      </c>
      <c r="AK1544">
        <f>IF(COUNT($E$2:$E1544)&lt;20,"",AVERAGE($E$1525:$E$1544))</f>
        <v>0</v>
      </c>
      <c r="AL1544">
        <f>IF(COUNT($E$2:$E1544)&lt;20,"",STDEVP($E$1525:$E$1544))</f>
        <v>0</v>
      </c>
      <c r="AM1544">
        <f>IF(AK1544="","",AK1544+2*AL1544)</f>
        <v>0</v>
      </c>
      <c r="AN1544">
        <f>IF(AK1544="","",AK1544-2*AL1544)</f>
        <v>0</v>
      </c>
      <c r="AO1544">
        <f>IF(OR(AM1544="",AN1544="",AM1544=AN1544),"",($E1544-AN1544)/(AM1544-AN1544))</f>
        <v>0</v>
      </c>
      <c r="AP1544">
        <f>IF(OR(AM1544="",AK1544="",AK1544=0),"",(AM1544-AN1544)/AK1544)</f>
        <v>0</v>
      </c>
      <c r="AQ1544">
        <f>IF(COUNT($E$2:$E1544)&lt;20,"",MAX($C$1525:$C$1544))</f>
        <v>0</v>
      </c>
      <c r="AR1544">
        <f>IF(COUNT($E$2:$E1544)&lt;20,"",MIN($D$1525:$D$1544))</f>
        <v>0</v>
      </c>
      <c r="AS1544">
        <f>IF(OR(AQ1544="",AR1544=""),"",(AQ1544+AR1544)/2)</f>
        <v>0</v>
      </c>
      <c r="AT1544">
        <f>IF(COUNT($G$1525:$G$1544)&lt;20,"",STDEV($G$1525:$G$1544)*SQRT(252))</f>
        <v>0</v>
      </c>
      <c r="AU1544">
        <f>IF(COUNT($E$2:$E1544)&lt;9,"",(MAX($C$1536:$C$1544)+MIN($D$1536:$D$1544))/2)</f>
        <v>0</v>
      </c>
      <c r="AV1544">
        <f>IF(COUNT($E$2:$E1544)&lt;26,"",(MAX($C$1519:$C$1544)+MIN($D$1519:$D$1544))/2)</f>
        <v>0</v>
      </c>
      <c r="AW1544">
        <f>IF(OR(AU1544="",AV1544=""),"",(AU1544+AV1544)/2)</f>
        <v>0</v>
      </c>
      <c r="AX1544">
        <f>IF(COUNT($E$2:$E1544)&lt;52,"",(MAX($C$1493:$C$1544)+MIN($D$1493:$D$1544))/2)</f>
        <v>0</v>
      </c>
      <c r="AY1544">
        <f>IF(COUNT($E$2:$E1544)&lt;20,"",MAX($C$1445:$C$1544))</f>
        <v>0</v>
      </c>
      <c r="AZ1544">
        <f>IF(COUNT($E$2:$E1544)&lt;20,"",MIN($D$1445:$D$1544))</f>
        <v>0</v>
      </c>
      <c r="BA1544">
        <f>IF(COUNT($E$2:$E1544)&lt;20,"",SLOPE($E$1445:$E$1544,$F$1445:$F$1544))</f>
        <v>0</v>
      </c>
      <c r="BB1544">
        <f>IF(COUNT($E$2:$E1544)&lt;20,"",INTERCEPT($E$1445:$E$1544,$F$1445:$F$1544))</f>
        <v>0</v>
      </c>
      <c r="BC1544">
        <f>IF(OR(BA1544="",BB1544=""),"",BB1544+BA1544*F1544)</f>
        <v>0</v>
      </c>
      <c r="BD1544">
        <f>IF(COUNT($E$2:$E1544)&lt;20,"",STEYX($E$1445:$E$1544,$F$1445:$F$1544))</f>
        <v>0</v>
      </c>
      <c r="BE1544">
        <f>IF($E1544="","",IF(AND(COUNT($E$1545:$E$1548)&gt;=4,$C1544=MAX($C$1540:$C$1548)),$C1544,""))</f>
        <v>0</v>
      </c>
      <c r="BF1544">
        <f>IF($E1544="","",IF(AND(COUNT($E$1545:$E$1548)&gt;=4,$D1544=MIN($D$1540:$D$1548)),$D1544,""))</f>
        <v>0</v>
      </c>
      <c r="BG1544">
        <f>IF($A1544="","",$A1544-WEEKDAY($A1544,2)+1)</f>
        <v>0</v>
      </c>
      <c r="BH1544">
        <f>IF($A1544="","",IF($A1543="",1,IF(BG1544&lt;&gt;BG1543,1,0)))</f>
        <v>0</v>
      </c>
      <c r="BI1544">
        <f>IF($A1544="","",IF($A1545="",1,IF(BG1545&lt;&gt;BG1544,1,0)))</f>
        <v>0</v>
      </c>
      <c r="BJ1544">
        <f>IF($A1544="","",IF(BH1544=1,$B1544,BJ1543))</f>
        <v>0</v>
      </c>
      <c r="BK1544">
        <f>IF($A1544="","",IF(BH1544=1,$C1544,MAX($C1544,BK1543)))</f>
        <v>0</v>
      </c>
      <c r="BL1544">
        <f>IF($A1544="","",IF(BH1544=1,$D1544,MIN($D1544,BL1543)))</f>
        <v>0</v>
      </c>
      <c r="BM1544">
        <f>IF($A1544="","",IF(BI1544=1,F1544,""))</f>
        <v>0</v>
      </c>
      <c r="BN1544">
        <f>IF($A1544="","",DATE(YEAR($A1544),MONTH($A1544),1))</f>
        <v>0</v>
      </c>
      <c r="BO1544">
        <f>IF($A1544="","",IF($A1543="",1,IF(BN1544&lt;&gt;BN1543,1,0)))</f>
        <v>0</v>
      </c>
      <c r="BP1544">
        <f>IF($A1544="","",IF($A1545="",1,IF(BN1545&lt;&gt;BN1544,1,0)))</f>
        <v>0</v>
      </c>
      <c r="BQ1544">
        <f>IF($A1544="","",IF(BO1544=1,$B1544,BQ1543))</f>
        <v>0</v>
      </c>
      <c r="BR1544">
        <f>IF($A1544="","",IF(BO1544=1,$C1544,MAX($C1544,BR1543)))</f>
        <v>0</v>
      </c>
      <c r="BS1544">
        <f>IF($A1544="","",IF(BO1544=1,$D1544,MIN($D1544,BS1543)))</f>
        <v>0</v>
      </c>
      <c r="BT1544">
        <f>IF($A1544="","",IF(BP1544=1,F1544,""))</f>
        <v>0</v>
      </c>
    </row>
    <row r="1545" spans="1:72">
      <c r="A1545" s="27">
        <f>IF(Data!$A1545="","",Data!$A1545)</f>
        <v>0</v>
      </c>
      <c r="B1545">
        <f>IF(Data!$B1545="","",Data!$B1545)</f>
        <v>0</v>
      </c>
      <c r="C1545">
        <f>IF(Data!$C1545="","",Data!$C1545)</f>
        <v>0</v>
      </c>
      <c r="D1545">
        <f>IF(Data!$D1545="","",Data!$D1545)</f>
        <v>0</v>
      </c>
      <c r="E1545">
        <f>IF(Data!$E1545="","",Data!$E1545)</f>
        <v>0</v>
      </c>
      <c r="F1545">
        <f>IF($E1545="","",N(F1544)+1)</f>
        <v>0</v>
      </c>
      <c r="G1545">
        <f>IF(OR($E1545="",$E1544=""),"",LN($E1545/$E1544))</f>
        <v>0</v>
      </c>
      <c r="H1545">
        <f>IF($E1545="","",IF($E1544="",$E1545,$E1545*0.0952380952+H1544*0.9047619048))</f>
        <v>0</v>
      </c>
      <c r="I1545">
        <f>IF($E1545="","",IF($E1544="",$E1545,$E1545*0.0392156863+I1544*0.9607843137))</f>
        <v>0</v>
      </c>
      <c r="J1545">
        <f>IF($E1545="","",IF($E1544="",$E1545,$E1545*0.0198019802+J1544*0.9801980198))</f>
        <v>0</v>
      </c>
      <c r="K1545">
        <f>IF($E1545="","",IF($E1544="",$E1545,$E1545*0.0099502488+K1544*0.9900497512))</f>
        <v>0</v>
      </c>
      <c r="L1545">
        <f>IF(OR($E1545="",$E1544=""),"",MAX($E1545-$E1544,0))</f>
        <v>0</v>
      </c>
      <c r="M1545">
        <f>IF(OR($E1545="",$E1544=""),"",MAX($E1544-$E1545,0))</f>
        <v>0</v>
      </c>
      <c r="N1545">
        <f>IF(COUNT($E$2:$E1545)&lt;15,"",IF(AVERAGE($M$1532:$M$1545)=0,100,100-100/(1+AVERAGE($L$1532:$L$1545)/AVERAGE($M$1532:$M$1545))))</f>
        <v>0</v>
      </c>
      <c r="O1545">
        <f>IF($E1545="","",IF($E1544="",$E1545,$E1545*0.1538461538+O1544*0.8461538462))</f>
        <v>0</v>
      </c>
      <c r="P1545">
        <f>IF($E1545="","",IF($E1544="",$E1545,$E1545*0.0740740741+P1544*0.9259259259))</f>
        <v>0</v>
      </c>
      <c r="Q1545">
        <f>IF(OR(O1545="",P1545=""),"",O1545-P1545)</f>
        <v>0</v>
      </c>
      <c r="R1545">
        <f>IF(Q1545="","",IF(R1544="",Q1545,Q1545*0.2000000000+R1544*0.8000000000))</f>
        <v>0</v>
      </c>
      <c r="S1545">
        <f>IF(OR(Q1545="",R1545=""),"",Q1545-R1545)</f>
        <v>0</v>
      </c>
      <c r="T1545">
        <f>IF(COUNT($E$2:$E1545)&lt;14,"",MAX($C$1532:$C$1545))</f>
        <v>0</v>
      </c>
      <c r="U1545">
        <f>IF(COUNT($E$2:$E1545)&lt;14,"",MIN($D$1532:$D$1545))</f>
        <v>0</v>
      </c>
      <c r="V1545">
        <f>IF(OR(T1545="",U1545="",T1545=U1545),"",100*($E1545-U1545)/(T1545-U1545))</f>
        <v>0</v>
      </c>
      <c r="W1545">
        <f>IF(COUNT($V$1543:$V$1545)&lt;3,"",AVERAGE($V$1543:$V$1545))</f>
        <v>0</v>
      </c>
      <c r="X1545">
        <f>IF(COUNT($N$1532:$N$1545)&lt;14,"",MIN($N$1532:$N$1545))</f>
        <v>0</v>
      </c>
      <c r="Y1545">
        <f>IF(COUNT($N$1532:$N$1545)&lt;14,"",MAX($N$1532:$N$1545))</f>
        <v>0</v>
      </c>
      <c r="Z1545">
        <f>IF(OR(N1545="",X1545="",Y1545="",Y1545=X1545),"",100*(N1545-X1545)/(Y1545-X1545))</f>
        <v>0</v>
      </c>
      <c r="AA1545">
        <f>IF(COUNT($Z$1543:$Z$1545)&lt;3,"",AVERAGE($Z$1543:$Z$1545))</f>
        <v>0</v>
      </c>
      <c r="AB1545">
        <f>IF(COUNT($AA$1543:$AA$1545)&lt;3,"",AVERAGE($AA$1543:$AA$1545))</f>
        <v>0</v>
      </c>
      <c r="AC1545">
        <f>IF($E1545="","",MAX($C1545-$D1545,ABS($C1545-$E1544),ABS($D1545-$E1544)))</f>
        <v>0</v>
      </c>
      <c r="AD1545">
        <f>IF(COUNT($E$2:$E1545)&lt;15,"",AVERAGE($AC$1532:$AC$1545))</f>
        <v>0</v>
      </c>
      <c r="AE1545">
        <f>IF(OR($E1545="",$E1544=""),"",IF(AND(($C1545-$C1544)&gt;($D1544-$D1545),($C1545-$C1544)&gt;0),$C1545-$C1544,0))</f>
        <v>0</v>
      </c>
      <c r="AF1545">
        <f>IF(OR($E1545="",$E1544=""),"",IF(AND(($D1544-$D1545)&gt;($C1545-$C1544),($D1544-$D1545)&gt;0),$D1544-$D1545,0))</f>
        <v>0</v>
      </c>
      <c r="AG1545">
        <f>IF(COUNT($E$2:$E1545)&lt;15,"",IF(SUM($AC$1532:$AC$1545)=0,0,100*SUM($AE$1532:$AE$1545)/SUM($AC$1532:$AC$1545)))</f>
        <v>0</v>
      </c>
      <c r="AH1545">
        <f>IF(COUNT($E$2:$E1545)&lt;15,"",IF(SUM($AC$1532:$AC$1545)=0,0,100*SUM($AF$1532:$AF$1545)/SUM($AC$1532:$AC$1545)))</f>
        <v>0</v>
      </c>
      <c r="AI1545">
        <f>IF(OR(AG1545="",AH1545=""),"",IF((AG1545+AH1545)=0,0,100*ABS(AG1545-AH1545)/(AG1545+AH1545)))</f>
        <v>0</v>
      </c>
      <c r="AJ1545">
        <f>IF(COUNT($AI$1532:$AI$1545)&lt;14,"",AVERAGE($AI$1532:$AI$1545))</f>
        <v>0</v>
      </c>
      <c r="AK1545">
        <f>IF(COUNT($E$2:$E1545)&lt;20,"",AVERAGE($E$1526:$E$1545))</f>
        <v>0</v>
      </c>
      <c r="AL1545">
        <f>IF(COUNT($E$2:$E1545)&lt;20,"",STDEVP($E$1526:$E$1545))</f>
        <v>0</v>
      </c>
      <c r="AM1545">
        <f>IF(AK1545="","",AK1545+2*AL1545)</f>
        <v>0</v>
      </c>
      <c r="AN1545">
        <f>IF(AK1545="","",AK1545-2*AL1545)</f>
        <v>0</v>
      </c>
      <c r="AO1545">
        <f>IF(OR(AM1545="",AN1545="",AM1545=AN1545),"",($E1545-AN1545)/(AM1545-AN1545))</f>
        <v>0</v>
      </c>
      <c r="AP1545">
        <f>IF(OR(AM1545="",AK1545="",AK1545=0),"",(AM1545-AN1545)/AK1545)</f>
        <v>0</v>
      </c>
      <c r="AQ1545">
        <f>IF(COUNT($E$2:$E1545)&lt;20,"",MAX($C$1526:$C$1545))</f>
        <v>0</v>
      </c>
      <c r="AR1545">
        <f>IF(COUNT($E$2:$E1545)&lt;20,"",MIN($D$1526:$D$1545))</f>
        <v>0</v>
      </c>
      <c r="AS1545">
        <f>IF(OR(AQ1545="",AR1545=""),"",(AQ1545+AR1545)/2)</f>
        <v>0</v>
      </c>
      <c r="AT1545">
        <f>IF(COUNT($G$1526:$G$1545)&lt;20,"",STDEV($G$1526:$G$1545)*SQRT(252))</f>
        <v>0</v>
      </c>
      <c r="AU1545">
        <f>IF(COUNT($E$2:$E1545)&lt;9,"",(MAX($C$1537:$C$1545)+MIN($D$1537:$D$1545))/2)</f>
        <v>0</v>
      </c>
      <c r="AV1545">
        <f>IF(COUNT($E$2:$E1545)&lt;26,"",(MAX($C$1520:$C$1545)+MIN($D$1520:$D$1545))/2)</f>
        <v>0</v>
      </c>
      <c r="AW1545">
        <f>IF(OR(AU1545="",AV1545=""),"",(AU1545+AV1545)/2)</f>
        <v>0</v>
      </c>
      <c r="AX1545">
        <f>IF(COUNT($E$2:$E1545)&lt;52,"",(MAX($C$1494:$C$1545)+MIN($D$1494:$D$1545))/2)</f>
        <v>0</v>
      </c>
      <c r="AY1545">
        <f>IF(COUNT($E$2:$E1545)&lt;20,"",MAX($C$1446:$C$1545))</f>
        <v>0</v>
      </c>
      <c r="AZ1545">
        <f>IF(COUNT($E$2:$E1545)&lt;20,"",MIN($D$1446:$D$1545))</f>
        <v>0</v>
      </c>
      <c r="BA1545">
        <f>IF(COUNT($E$2:$E1545)&lt;20,"",SLOPE($E$1446:$E$1545,$F$1446:$F$1545))</f>
        <v>0</v>
      </c>
      <c r="BB1545">
        <f>IF(COUNT($E$2:$E1545)&lt;20,"",INTERCEPT($E$1446:$E$1545,$F$1446:$F$1545))</f>
        <v>0</v>
      </c>
      <c r="BC1545">
        <f>IF(OR(BA1545="",BB1545=""),"",BB1545+BA1545*F1545)</f>
        <v>0</v>
      </c>
      <c r="BD1545">
        <f>IF(COUNT($E$2:$E1545)&lt;20,"",STEYX($E$1446:$E$1545,$F$1446:$F$1545))</f>
        <v>0</v>
      </c>
      <c r="BE1545">
        <f>IF($E1545="","",IF(AND(COUNT($E$1546:$E$1549)&gt;=4,$C1545=MAX($C$1541:$C$1549)),$C1545,""))</f>
        <v>0</v>
      </c>
      <c r="BF1545">
        <f>IF($E1545="","",IF(AND(COUNT($E$1546:$E$1549)&gt;=4,$D1545=MIN($D$1541:$D$1549)),$D1545,""))</f>
        <v>0</v>
      </c>
      <c r="BG1545">
        <f>IF($A1545="","",$A1545-WEEKDAY($A1545,2)+1)</f>
        <v>0</v>
      </c>
      <c r="BH1545">
        <f>IF($A1545="","",IF($A1544="",1,IF(BG1545&lt;&gt;BG1544,1,0)))</f>
        <v>0</v>
      </c>
      <c r="BI1545">
        <f>IF($A1545="","",IF($A1546="",1,IF(BG1546&lt;&gt;BG1545,1,0)))</f>
        <v>0</v>
      </c>
      <c r="BJ1545">
        <f>IF($A1545="","",IF(BH1545=1,$B1545,BJ1544))</f>
        <v>0</v>
      </c>
      <c r="BK1545">
        <f>IF($A1545="","",IF(BH1545=1,$C1545,MAX($C1545,BK1544)))</f>
        <v>0</v>
      </c>
      <c r="BL1545">
        <f>IF($A1545="","",IF(BH1545=1,$D1545,MIN($D1545,BL1544)))</f>
        <v>0</v>
      </c>
      <c r="BM1545">
        <f>IF($A1545="","",IF(BI1545=1,F1545,""))</f>
        <v>0</v>
      </c>
      <c r="BN1545">
        <f>IF($A1545="","",DATE(YEAR($A1545),MONTH($A1545),1))</f>
        <v>0</v>
      </c>
      <c r="BO1545">
        <f>IF($A1545="","",IF($A1544="",1,IF(BN1545&lt;&gt;BN1544,1,0)))</f>
        <v>0</v>
      </c>
      <c r="BP1545">
        <f>IF($A1545="","",IF($A1546="",1,IF(BN1546&lt;&gt;BN1545,1,0)))</f>
        <v>0</v>
      </c>
      <c r="BQ1545">
        <f>IF($A1545="","",IF(BO1545=1,$B1545,BQ1544))</f>
        <v>0</v>
      </c>
      <c r="BR1545">
        <f>IF($A1545="","",IF(BO1545=1,$C1545,MAX($C1545,BR1544)))</f>
        <v>0</v>
      </c>
      <c r="BS1545">
        <f>IF($A1545="","",IF(BO1545=1,$D1545,MIN($D1545,BS1544)))</f>
        <v>0</v>
      </c>
      <c r="BT1545">
        <f>IF($A1545="","",IF(BP1545=1,F1545,""))</f>
        <v>0</v>
      </c>
    </row>
    <row r="1546" spans="1:72">
      <c r="A1546" s="27">
        <f>IF(Data!$A1546="","",Data!$A1546)</f>
        <v>0</v>
      </c>
      <c r="B1546">
        <f>IF(Data!$B1546="","",Data!$B1546)</f>
        <v>0</v>
      </c>
      <c r="C1546">
        <f>IF(Data!$C1546="","",Data!$C1546)</f>
        <v>0</v>
      </c>
      <c r="D1546">
        <f>IF(Data!$D1546="","",Data!$D1546)</f>
        <v>0</v>
      </c>
      <c r="E1546">
        <f>IF(Data!$E1546="","",Data!$E1546)</f>
        <v>0</v>
      </c>
      <c r="F1546">
        <f>IF($E1546="","",N(F1545)+1)</f>
        <v>0</v>
      </c>
      <c r="G1546">
        <f>IF(OR($E1546="",$E1545=""),"",LN($E1546/$E1545))</f>
        <v>0</v>
      </c>
      <c r="H1546">
        <f>IF($E1546="","",IF($E1545="",$E1546,$E1546*0.0952380952+H1545*0.9047619048))</f>
        <v>0</v>
      </c>
      <c r="I1546">
        <f>IF($E1546="","",IF($E1545="",$E1546,$E1546*0.0392156863+I1545*0.9607843137))</f>
        <v>0</v>
      </c>
      <c r="J1546">
        <f>IF($E1546="","",IF($E1545="",$E1546,$E1546*0.0198019802+J1545*0.9801980198))</f>
        <v>0</v>
      </c>
      <c r="K1546">
        <f>IF($E1546="","",IF($E1545="",$E1546,$E1546*0.0099502488+K1545*0.9900497512))</f>
        <v>0</v>
      </c>
      <c r="L1546">
        <f>IF(OR($E1546="",$E1545=""),"",MAX($E1546-$E1545,0))</f>
        <v>0</v>
      </c>
      <c r="M1546">
        <f>IF(OR($E1546="",$E1545=""),"",MAX($E1545-$E1546,0))</f>
        <v>0</v>
      </c>
      <c r="N1546">
        <f>IF(COUNT($E$2:$E1546)&lt;15,"",IF(AVERAGE($M$1533:$M$1546)=0,100,100-100/(1+AVERAGE($L$1533:$L$1546)/AVERAGE($M$1533:$M$1546))))</f>
        <v>0</v>
      </c>
      <c r="O1546">
        <f>IF($E1546="","",IF($E1545="",$E1546,$E1546*0.1538461538+O1545*0.8461538462))</f>
        <v>0</v>
      </c>
      <c r="P1546">
        <f>IF($E1546="","",IF($E1545="",$E1546,$E1546*0.0740740741+P1545*0.9259259259))</f>
        <v>0</v>
      </c>
      <c r="Q1546">
        <f>IF(OR(O1546="",P1546=""),"",O1546-P1546)</f>
        <v>0</v>
      </c>
      <c r="R1546">
        <f>IF(Q1546="","",IF(R1545="",Q1546,Q1546*0.2000000000+R1545*0.8000000000))</f>
        <v>0</v>
      </c>
      <c r="S1546">
        <f>IF(OR(Q1546="",R1546=""),"",Q1546-R1546)</f>
        <v>0</v>
      </c>
      <c r="T1546">
        <f>IF(COUNT($E$2:$E1546)&lt;14,"",MAX($C$1533:$C$1546))</f>
        <v>0</v>
      </c>
      <c r="U1546">
        <f>IF(COUNT($E$2:$E1546)&lt;14,"",MIN($D$1533:$D$1546))</f>
        <v>0</v>
      </c>
      <c r="V1546">
        <f>IF(OR(T1546="",U1546="",T1546=U1546),"",100*($E1546-U1546)/(T1546-U1546))</f>
        <v>0</v>
      </c>
      <c r="W1546">
        <f>IF(COUNT($V$1544:$V$1546)&lt;3,"",AVERAGE($V$1544:$V$1546))</f>
        <v>0</v>
      </c>
      <c r="X1546">
        <f>IF(COUNT($N$1533:$N$1546)&lt;14,"",MIN($N$1533:$N$1546))</f>
        <v>0</v>
      </c>
      <c r="Y1546">
        <f>IF(COUNT($N$1533:$N$1546)&lt;14,"",MAX($N$1533:$N$1546))</f>
        <v>0</v>
      </c>
      <c r="Z1546">
        <f>IF(OR(N1546="",X1546="",Y1546="",Y1546=X1546),"",100*(N1546-X1546)/(Y1546-X1546))</f>
        <v>0</v>
      </c>
      <c r="AA1546">
        <f>IF(COUNT($Z$1544:$Z$1546)&lt;3,"",AVERAGE($Z$1544:$Z$1546))</f>
        <v>0</v>
      </c>
      <c r="AB1546">
        <f>IF(COUNT($AA$1544:$AA$1546)&lt;3,"",AVERAGE($AA$1544:$AA$1546))</f>
        <v>0</v>
      </c>
      <c r="AC1546">
        <f>IF($E1546="","",MAX($C1546-$D1546,ABS($C1546-$E1545),ABS($D1546-$E1545)))</f>
        <v>0</v>
      </c>
      <c r="AD1546">
        <f>IF(COUNT($E$2:$E1546)&lt;15,"",AVERAGE($AC$1533:$AC$1546))</f>
        <v>0</v>
      </c>
      <c r="AE1546">
        <f>IF(OR($E1546="",$E1545=""),"",IF(AND(($C1546-$C1545)&gt;($D1545-$D1546),($C1546-$C1545)&gt;0),$C1546-$C1545,0))</f>
        <v>0</v>
      </c>
      <c r="AF1546">
        <f>IF(OR($E1546="",$E1545=""),"",IF(AND(($D1545-$D1546)&gt;($C1546-$C1545),($D1545-$D1546)&gt;0),$D1545-$D1546,0))</f>
        <v>0</v>
      </c>
      <c r="AG1546">
        <f>IF(COUNT($E$2:$E1546)&lt;15,"",IF(SUM($AC$1533:$AC$1546)=0,0,100*SUM($AE$1533:$AE$1546)/SUM($AC$1533:$AC$1546)))</f>
        <v>0</v>
      </c>
      <c r="AH1546">
        <f>IF(COUNT($E$2:$E1546)&lt;15,"",IF(SUM($AC$1533:$AC$1546)=0,0,100*SUM($AF$1533:$AF$1546)/SUM($AC$1533:$AC$1546)))</f>
        <v>0</v>
      </c>
      <c r="AI1546">
        <f>IF(OR(AG1546="",AH1546=""),"",IF((AG1546+AH1546)=0,0,100*ABS(AG1546-AH1546)/(AG1546+AH1546)))</f>
        <v>0</v>
      </c>
      <c r="AJ1546">
        <f>IF(COUNT($AI$1533:$AI$1546)&lt;14,"",AVERAGE($AI$1533:$AI$1546))</f>
        <v>0</v>
      </c>
      <c r="AK1546">
        <f>IF(COUNT($E$2:$E1546)&lt;20,"",AVERAGE($E$1527:$E$1546))</f>
        <v>0</v>
      </c>
      <c r="AL1546">
        <f>IF(COUNT($E$2:$E1546)&lt;20,"",STDEVP($E$1527:$E$1546))</f>
        <v>0</v>
      </c>
      <c r="AM1546">
        <f>IF(AK1546="","",AK1546+2*AL1546)</f>
        <v>0</v>
      </c>
      <c r="AN1546">
        <f>IF(AK1546="","",AK1546-2*AL1546)</f>
        <v>0</v>
      </c>
      <c r="AO1546">
        <f>IF(OR(AM1546="",AN1546="",AM1546=AN1546),"",($E1546-AN1546)/(AM1546-AN1546))</f>
        <v>0</v>
      </c>
      <c r="AP1546">
        <f>IF(OR(AM1546="",AK1546="",AK1546=0),"",(AM1546-AN1546)/AK1546)</f>
        <v>0</v>
      </c>
      <c r="AQ1546">
        <f>IF(COUNT($E$2:$E1546)&lt;20,"",MAX($C$1527:$C$1546))</f>
        <v>0</v>
      </c>
      <c r="AR1546">
        <f>IF(COUNT($E$2:$E1546)&lt;20,"",MIN($D$1527:$D$1546))</f>
        <v>0</v>
      </c>
      <c r="AS1546">
        <f>IF(OR(AQ1546="",AR1546=""),"",(AQ1546+AR1546)/2)</f>
        <v>0</v>
      </c>
      <c r="AT1546">
        <f>IF(COUNT($G$1527:$G$1546)&lt;20,"",STDEV($G$1527:$G$1546)*SQRT(252))</f>
        <v>0</v>
      </c>
      <c r="AU1546">
        <f>IF(COUNT($E$2:$E1546)&lt;9,"",(MAX($C$1538:$C$1546)+MIN($D$1538:$D$1546))/2)</f>
        <v>0</v>
      </c>
      <c r="AV1546">
        <f>IF(COUNT($E$2:$E1546)&lt;26,"",(MAX($C$1521:$C$1546)+MIN($D$1521:$D$1546))/2)</f>
        <v>0</v>
      </c>
      <c r="AW1546">
        <f>IF(OR(AU1546="",AV1546=""),"",(AU1546+AV1546)/2)</f>
        <v>0</v>
      </c>
      <c r="AX1546">
        <f>IF(COUNT($E$2:$E1546)&lt;52,"",(MAX($C$1495:$C$1546)+MIN($D$1495:$D$1546))/2)</f>
        <v>0</v>
      </c>
      <c r="AY1546">
        <f>IF(COUNT($E$2:$E1546)&lt;20,"",MAX($C$1447:$C$1546))</f>
        <v>0</v>
      </c>
      <c r="AZ1546">
        <f>IF(COUNT($E$2:$E1546)&lt;20,"",MIN($D$1447:$D$1546))</f>
        <v>0</v>
      </c>
      <c r="BA1546">
        <f>IF(COUNT($E$2:$E1546)&lt;20,"",SLOPE($E$1447:$E$1546,$F$1447:$F$1546))</f>
        <v>0</v>
      </c>
      <c r="BB1546">
        <f>IF(COUNT($E$2:$E1546)&lt;20,"",INTERCEPT($E$1447:$E$1546,$F$1447:$F$1546))</f>
        <v>0</v>
      </c>
      <c r="BC1546">
        <f>IF(OR(BA1546="",BB1546=""),"",BB1546+BA1546*F1546)</f>
        <v>0</v>
      </c>
      <c r="BD1546">
        <f>IF(COUNT($E$2:$E1546)&lt;20,"",STEYX($E$1447:$E$1546,$F$1447:$F$1546))</f>
        <v>0</v>
      </c>
      <c r="BE1546">
        <f>IF($E1546="","",IF(AND(COUNT($E$1547:$E$1550)&gt;=4,$C1546=MAX($C$1542:$C$1550)),$C1546,""))</f>
        <v>0</v>
      </c>
      <c r="BF1546">
        <f>IF($E1546="","",IF(AND(COUNT($E$1547:$E$1550)&gt;=4,$D1546=MIN($D$1542:$D$1550)),$D1546,""))</f>
        <v>0</v>
      </c>
      <c r="BG1546">
        <f>IF($A1546="","",$A1546-WEEKDAY($A1546,2)+1)</f>
        <v>0</v>
      </c>
      <c r="BH1546">
        <f>IF($A1546="","",IF($A1545="",1,IF(BG1546&lt;&gt;BG1545,1,0)))</f>
        <v>0</v>
      </c>
      <c r="BI1546">
        <f>IF($A1546="","",IF($A1547="",1,IF(BG1547&lt;&gt;BG1546,1,0)))</f>
        <v>0</v>
      </c>
      <c r="BJ1546">
        <f>IF($A1546="","",IF(BH1546=1,$B1546,BJ1545))</f>
        <v>0</v>
      </c>
      <c r="BK1546">
        <f>IF($A1546="","",IF(BH1546=1,$C1546,MAX($C1546,BK1545)))</f>
        <v>0</v>
      </c>
      <c r="BL1546">
        <f>IF($A1546="","",IF(BH1546=1,$D1546,MIN($D1546,BL1545)))</f>
        <v>0</v>
      </c>
      <c r="BM1546">
        <f>IF($A1546="","",IF(BI1546=1,F1546,""))</f>
        <v>0</v>
      </c>
      <c r="BN1546">
        <f>IF($A1546="","",DATE(YEAR($A1546),MONTH($A1546),1))</f>
        <v>0</v>
      </c>
      <c r="BO1546">
        <f>IF($A1546="","",IF($A1545="",1,IF(BN1546&lt;&gt;BN1545,1,0)))</f>
        <v>0</v>
      </c>
      <c r="BP1546">
        <f>IF($A1546="","",IF($A1547="",1,IF(BN1547&lt;&gt;BN1546,1,0)))</f>
        <v>0</v>
      </c>
      <c r="BQ1546">
        <f>IF($A1546="","",IF(BO1546=1,$B1546,BQ1545))</f>
        <v>0</v>
      </c>
      <c r="BR1546">
        <f>IF($A1546="","",IF(BO1546=1,$C1546,MAX($C1546,BR1545)))</f>
        <v>0</v>
      </c>
      <c r="BS1546">
        <f>IF($A1546="","",IF(BO1546=1,$D1546,MIN($D1546,BS1545)))</f>
        <v>0</v>
      </c>
      <c r="BT1546">
        <f>IF($A1546="","",IF(BP1546=1,F1546,""))</f>
        <v>0</v>
      </c>
    </row>
    <row r="1547" spans="1:72">
      <c r="A1547" s="27">
        <f>IF(Data!$A1547="","",Data!$A1547)</f>
        <v>0</v>
      </c>
      <c r="B1547">
        <f>IF(Data!$B1547="","",Data!$B1547)</f>
        <v>0</v>
      </c>
      <c r="C1547">
        <f>IF(Data!$C1547="","",Data!$C1547)</f>
        <v>0</v>
      </c>
      <c r="D1547">
        <f>IF(Data!$D1547="","",Data!$D1547)</f>
        <v>0</v>
      </c>
      <c r="E1547">
        <f>IF(Data!$E1547="","",Data!$E1547)</f>
        <v>0</v>
      </c>
      <c r="F1547">
        <f>IF($E1547="","",N(F1546)+1)</f>
        <v>0</v>
      </c>
      <c r="G1547">
        <f>IF(OR($E1547="",$E1546=""),"",LN($E1547/$E1546))</f>
        <v>0</v>
      </c>
      <c r="H1547">
        <f>IF($E1547="","",IF($E1546="",$E1547,$E1547*0.0952380952+H1546*0.9047619048))</f>
        <v>0</v>
      </c>
      <c r="I1547">
        <f>IF($E1547="","",IF($E1546="",$E1547,$E1547*0.0392156863+I1546*0.9607843137))</f>
        <v>0</v>
      </c>
      <c r="J1547">
        <f>IF($E1547="","",IF($E1546="",$E1547,$E1547*0.0198019802+J1546*0.9801980198))</f>
        <v>0</v>
      </c>
      <c r="K1547">
        <f>IF($E1547="","",IF($E1546="",$E1547,$E1547*0.0099502488+K1546*0.9900497512))</f>
        <v>0</v>
      </c>
      <c r="L1547">
        <f>IF(OR($E1547="",$E1546=""),"",MAX($E1547-$E1546,0))</f>
        <v>0</v>
      </c>
      <c r="M1547">
        <f>IF(OR($E1547="",$E1546=""),"",MAX($E1546-$E1547,0))</f>
        <v>0</v>
      </c>
      <c r="N1547">
        <f>IF(COUNT($E$2:$E1547)&lt;15,"",IF(AVERAGE($M$1534:$M$1547)=0,100,100-100/(1+AVERAGE($L$1534:$L$1547)/AVERAGE($M$1534:$M$1547))))</f>
        <v>0</v>
      </c>
      <c r="O1547">
        <f>IF($E1547="","",IF($E1546="",$E1547,$E1547*0.1538461538+O1546*0.8461538462))</f>
        <v>0</v>
      </c>
      <c r="P1547">
        <f>IF($E1547="","",IF($E1546="",$E1547,$E1547*0.0740740741+P1546*0.9259259259))</f>
        <v>0</v>
      </c>
      <c r="Q1547">
        <f>IF(OR(O1547="",P1547=""),"",O1547-P1547)</f>
        <v>0</v>
      </c>
      <c r="R1547">
        <f>IF(Q1547="","",IF(R1546="",Q1547,Q1547*0.2000000000+R1546*0.8000000000))</f>
        <v>0</v>
      </c>
      <c r="S1547">
        <f>IF(OR(Q1547="",R1547=""),"",Q1547-R1547)</f>
        <v>0</v>
      </c>
      <c r="T1547">
        <f>IF(COUNT($E$2:$E1547)&lt;14,"",MAX($C$1534:$C$1547))</f>
        <v>0</v>
      </c>
      <c r="U1547">
        <f>IF(COUNT($E$2:$E1547)&lt;14,"",MIN($D$1534:$D$1547))</f>
        <v>0</v>
      </c>
      <c r="V1547">
        <f>IF(OR(T1547="",U1547="",T1547=U1547),"",100*($E1547-U1547)/(T1547-U1547))</f>
        <v>0</v>
      </c>
      <c r="W1547">
        <f>IF(COUNT($V$1545:$V$1547)&lt;3,"",AVERAGE($V$1545:$V$1547))</f>
        <v>0</v>
      </c>
      <c r="X1547">
        <f>IF(COUNT($N$1534:$N$1547)&lt;14,"",MIN($N$1534:$N$1547))</f>
        <v>0</v>
      </c>
      <c r="Y1547">
        <f>IF(COUNT($N$1534:$N$1547)&lt;14,"",MAX($N$1534:$N$1547))</f>
        <v>0</v>
      </c>
      <c r="Z1547">
        <f>IF(OR(N1547="",X1547="",Y1547="",Y1547=X1547),"",100*(N1547-X1547)/(Y1547-X1547))</f>
        <v>0</v>
      </c>
      <c r="AA1547">
        <f>IF(COUNT($Z$1545:$Z$1547)&lt;3,"",AVERAGE($Z$1545:$Z$1547))</f>
        <v>0</v>
      </c>
      <c r="AB1547">
        <f>IF(COUNT($AA$1545:$AA$1547)&lt;3,"",AVERAGE($AA$1545:$AA$1547))</f>
        <v>0</v>
      </c>
      <c r="AC1547">
        <f>IF($E1547="","",MAX($C1547-$D1547,ABS($C1547-$E1546),ABS($D1547-$E1546)))</f>
        <v>0</v>
      </c>
      <c r="AD1547">
        <f>IF(COUNT($E$2:$E1547)&lt;15,"",AVERAGE($AC$1534:$AC$1547))</f>
        <v>0</v>
      </c>
      <c r="AE1547">
        <f>IF(OR($E1547="",$E1546=""),"",IF(AND(($C1547-$C1546)&gt;($D1546-$D1547),($C1547-$C1546)&gt;0),$C1547-$C1546,0))</f>
        <v>0</v>
      </c>
      <c r="AF1547">
        <f>IF(OR($E1547="",$E1546=""),"",IF(AND(($D1546-$D1547)&gt;($C1547-$C1546),($D1546-$D1547)&gt;0),$D1546-$D1547,0))</f>
        <v>0</v>
      </c>
      <c r="AG1547">
        <f>IF(COUNT($E$2:$E1547)&lt;15,"",IF(SUM($AC$1534:$AC$1547)=0,0,100*SUM($AE$1534:$AE$1547)/SUM($AC$1534:$AC$1547)))</f>
        <v>0</v>
      </c>
      <c r="AH1547">
        <f>IF(COUNT($E$2:$E1547)&lt;15,"",IF(SUM($AC$1534:$AC$1547)=0,0,100*SUM($AF$1534:$AF$1547)/SUM($AC$1534:$AC$1547)))</f>
        <v>0</v>
      </c>
      <c r="AI1547">
        <f>IF(OR(AG1547="",AH1547=""),"",IF((AG1547+AH1547)=0,0,100*ABS(AG1547-AH1547)/(AG1547+AH1547)))</f>
        <v>0</v>
      </c>
      <c r="AJ1547">
        <f>IF(COUNT($AI$1534:$AI$1547)&lt;14,"",AVERAGE($AI$1534:$AI$1547))</f>
        <v>0</v>
      </c>
      <c r="AK1547">
        <f>IF(COUNT($E$2:$E1547)&lt;20,"",AVERAGE($E$1528:$E$1547))</f>
        <v>0</v>
      </c>
      <c r="AL1547">
        <f>IF(COUNT($E$2:$E1547)&lt;20,"",STDEVP($E$1528:$E$1547))</f>
        <v>0</v>
      </c>
      <c r="AM1547">
        <f>IF(AK1547="","",AK1547+2*AL1547)</f>
        <v>0</v>
      </c>
      <c r="AN1547">
        <f>IF(AK1547="","",AK1547-2*AL1547)</f>
        <v>0</v>
      </c>
      <c r="AO1547">
        <f>IF(OR(AM1547="",AN1547="",AM1547=AN1547),"",($E1547-AN1547)/(AM1547-AN1547))</f>
        <v>0</v>
      </c>
      <c r="AP1547">
        <f>IF(OR(AM1547="",AK1547="",AK1547=0),"",(AM1547-AN1547)/AK1547)</f>
        <v>0</v>
      </c>
      <c r="AQ1547">
        <f>IF(COUNT($E$2:$E1547)&lt;20,"",MAX($C$1528:$C$1547))</f>
        <v>0</v>
      </c>
      <c r="AR1547">
        <f>IF(COUNT($E$2:$E1547)&lt;20,"",MIN($D$1528:$D$1547))</f>
        <v>0</v>
      </c>
      <c r="AS1547">
        <f>IF(OR(AQ1547="",AR1547=""),"",(AQ1547+AR1547)/2)</f>
        <v>0</v>
      </c>
      <c r="AT1547">
        <f>IF(COUNT($G$1528:$G$1547)&lt;20,"",STDEV($G$1528:$G$1547)*SQRT(252))</f>
        <v>0</v>
      </c>
      <c r="AU1547">
        <f>IF(COUNT($E$2:$E1547)&lt;9,"",(MAX($C$1539:$C$1547)+MIN($D$1539:$D$1547))/2)</f>
        <v>0</v>
      </c>
      <c r="AV1547">
        <f>IF(COUNT($E$2:$E1547)&lt;26,"",(MAX($C$1522:$C$1547)+MIN($D$1522:$D$1547))/2)</f>
        <v>0</v>
      </c>
      <c r="AW1547">
        <f>IF(OR(AU1547="",AV1547=""),"",(AU1547+AV1547)/2)</f>
        <v>0</v>
      </c>
      <c r="AX1547">
        <f>IF(COUNT($E$2:$E1547)&lt;52,"",(MAX($C$1496:$C$1547)+MIN($D$1496:$D$1547))/2)</f>
        <v>0</v>
      </c>
      <c r="AY1547">
        <f>IF(COUNT($E$2:$E1547)&lt;20,"",MAX($C$1448:$C$1547))</f>
        <v>0</v>
      </c>
      <c r="AZ1547">
        <f>IF(COUNT($E$2:$E1547)&lt;20,"",MIN($D$1448:$D$1547))</f>
        <v>0</v>
      </c>
      <c r="BA1547">
        <f>IF(COUNT($E$2:$E1547)&lt;20,"",SLOPE($E$1448:$E$1547,$F$1448:$F$1547))</f>
        <v>0</v>
      </c>
      <c r="BB1547">
        <f>IF(COUNT($E$2:$E1547)&lt;20,"",INTERCEPT($E$1448:$E$1547,$F$1448:$F$1547))</f>
        <v>0</v>
      </c>
      <c r="BC1547">
        <f>IF(OR(BA1547="",BB1547=""),"",BB1547+BA1547*F1547)</f>
        <v>0</v>
      </c>
      <c r="BD1547">
        <f>IF(COUNT($E$2:$E1547)&lt;20,"",STEYX($E$1448:$E$1547,$F$1448:$F$1547))</f>
        <v>0</v>
      </c>
      <c r="BE1547">
        <f>IF($E1547="","",IF(AND(COUNT($E$1548:$E$1551)&gt;=4,$C1547=MAX($C$1543:$C$1551)),$C1547,""))</f>
        <v>0</v>
      </c>
      <c r="BF1547">
        <f>IF($E1547="","",IF(AND(COUNT($E$1548:$E$1551)&gt;=4,$D1547=MIN($D$1543:$D$1551)),$D1547,""))</f>
        <v>0</v>
      </c>
      <c r="BG1547">
        <f>IF($A1547="","",$A1547-WEEKDAY($A1547,2)+1)</f>
        <v>0</v>
      </c>
      <c r="BH1547">
        <f>IF($A1547="","",IF($A1546="",1,IF(BG1547&lt;&gt;BG1546,1,0)))</f>
        <v>0</v>
      </c>
      <c r="BI1547">
        <f>IF($A1547="","",IF($A1548="",1,IF(BG1548&lt;&gt;BG1547,1,0)))</f>
        <v>0</v>
      </c>
      <c r="BJ1547">
        <f>IF($A1547="","",IF(BH1547=1,$B1547,BJ1546))</f>
        <v>0</v>
      </c>
      <c r="BK1547">
        <f>IF($A1547="","",IF(BH1547=1,$C1547,MAX($C1547,BK1546)))</f>
        <v>0</v>
      </c>
      <c r="BL1547">
        <f>IF($A1547="","",IF(BH1547=1,$D1547,MIN($D1547,BL1546)))</f>
        <v>0</v>
      </c>
      <c r="BM1547">
        <f>IF($A1547="","",IF(BI1547=1,F1547,""))</f>
        <v>0</v>
      </c>
      <c r="BN1547">
        <f>IF($A1547="","",DATE(YEAR($A1547),MONTH($A1547),1))</f>
        <v>0</v>
      </c>
      <c r="BO1547">
        <f>IF($A1547="","",IF($A1546="",1,IF(BN1547&lt;&gt;BN1546,1,0)))</f>
        <v>0</v>
      </c>
      <c r="BP1547">
        <f>IF($A1547="","",IF($A1548="",1,IF(BN1548&lt;&gt;BN1547,1,0)))</f>
        <v>0</v>
      </c>
      <c r="BQ1547">
        <f>IF($A1547="","",IF(BO1547=1,$B1547,BQ1546))</f>
        <v>0</v>
      </c>
      <c r="BR1547">
        <f>IF($A1547="","",IF(BO1547=1,$C1547,MAX($C1547,BR1546)))</f>
        <v>0</v>
      </c>
      <c r="BS1547">
        <f>IF($A1547="","",IF(BO1547=1,$D1547,MIN($D1547,BS1546)))</f>
        <v>0</v>
      </c>
      <c r="BT1547">
        <f>IF($A1547="","",IF(BP1547=1,F1547,""))</f>
        <v>0</v>
      </c>
    </row>
    <row r="1548" spans="1:72">
      <c r="A1548" s="27">
        <f>IF(Data!$A1548="","",Data!$A1548)</f>
        <v>0</v>
      </c>
      <c r="B1548">
        <f>IF(Data!$B1548="","",Data!$B1548)</f>
        <v>0</v>
      </c>
      <c r="C1548">
        <f>IF(Data!$C1548="","",Data!$C1548)</f>
        <v>0</v>
      </c>
      <c r="D1548">
        <f>IF(Data!$D1548="","",Data!$D1548)</f>
        <v>0</v>
      </c>
      <c r="E1548">
        <f>IF(Data!$E1548="","",Data!$E1548)</f>
        <v>0</v>
      </c>
      <c r="F1548">
        <f>IF($E1548="","",N(F1547)+1)</f>
        <v>0</v>
      </c>
      <c r="G1548">
        <f>IF(OR($E1548="",$E1547=""),"",LN($E1548/$E1547))</f>
        <v>0</v>
      </c>
      <c r="H1548">
        <f>IF($E1548="","",IF($E1547="",$E1548,$E1548*0.0952380952+H1547*0.9047619048))</f>
        <v>0</v>
      </c>
      <c r="I1548">
        <f>IF($E1548="","",IF($E1547="",$E1548,$E1548*0.0392156863+I1547*0.9607843137))</f>
        <v>0</v>
      </c>
      <c r="J1548">
        <f>IF($E1548="","",IF($E1547="",$E1548,$E1548*0.0198019802+J1547*0.9801980198))</f>
        <v>0</v>
      </c>
      <c r="K1548">
        <f>IF($E1548="","",IF($E1547="",$E1548,$E1548*0.0099502488+K1547*0.9900497512))</f>
        <v>0</v>
      </c>
      <c r="L1548">
        <f>IF(OR($E1548="",$E1547=""),"",MAX($E1548-$E1547,0))</f>
        <v>0</v>
      </c>
      <c r="M1548">
        <f>IF(OR($E1548="",$E1547=""),"",MAX($E1547-$E1548,0))</f>
        <v>0</v>
      </c>
      <c r="N1548">
        <f>IF(COUNT($E$2:$E1548)&lt;15,"",IF(AVERAGE($M$1535:$M$1548)=0,100,100-100/(1+AVERAGE($L$1535:$L$1548)/AVERAGE($M$1535:$M$1548))))</f>
        <v>0</v>
      </c>
      <c r="O1548">
        <f>IF($E1548="","",IF($E1547="",$E1548,$E1548*0.1538461538+O1547*0.8461538462))</f>
        <v>0</v>
      </c>
      <c r="P1548">
        <f>IF($E1548="","",IF($E1547="",$E1548,$E1548*0.0740740741+P1547*0.9259259259))</f>
        <v>0</v>
      </c>
      <c r="Q1548">
        <f>IF(OR(O1548="",P1548=""),"",O1548-P1548)</f>
        <v>0</v>
      </c>
      <c r="R1548">
        <f>IF(Q1548="","",IF(R1547="",Q1548,Q1548*0.2000000000+R1547*0.8000000000))</f>
        <v>0</v>
      </c>
      <c r="S1548">
        <f>IF(OR(Q1548="",R1548=""),"",Q1548-R1548)</f>
        <v>0</v>
      </c>
      <c r="T1548">
        <f>IF(COUNT($E$2:$E1548)&lt;14,"",MAX($C$1535:$C$1548))</f>
        <v>0</v>
      </c>
      <c r="U1548">
        <f>IF(COUNT($E$2:$E1548)&lt;14,"",MIN($D$1535:$D$1548))</f>
        <v>0</v>
      </c>
      <c r="V1548">
        <f>IF(OR(T1548="",U1548="",T1548=U1548),"",100*($E1548-U1548)/(T1548-U1548))</f>
        <v>0</v>
      </c>
      <c r="W1548">
        <f>IF(COUNT($V$1546:$V$1548)&lt;3,"",AVERAGE($V$1546:$V$1548))</f>
        <v>0</v>
      </c>
      <c r="X1548">
        <f>IF(COUNT($N$1535:$N$1548)&lt;14,"",MIN($N$1535:$N$1548))</f>
        <v>0</v>
      </c>
      <c r="Y1548">
        <f>IF(COUNT($N$1535:$N$1548)&lt;14,"",MAX($N$1535:$N$1548))</f>
        <v>0</v>
      </c>
      <c r="Z1548">
        <f>IF(OR(N1548="",X1548="",Y1548="",Y1548=X1548),"",100*(N1548-X1548)/(Y1548-X1548))</f>
        <v>0</v>
      </c>
      <c r="AA1548">
        <f>IF(COUNT($Z$1546:$Z$1548)&lt;3,"",AVERAGE($Z$1546:$Z$1548))</f>
        <v>0</v>
      </c>
      <c r="AB1548">
        <f>IF(COUNT($AA$1546:$AA$1548)&lt;3,"",AVERAGE($AA$1546:$AA$1548))</f>
        <v>0</v>
      </c>
      <c r="AC1548">
        <f>IF($E1548="","",MAX($C1548-$D1548,ABS($C1548-$E1547),ABS($D1548-$E1547)))</f>
        <v>0</v>
      </c>
      <c r="AD1548">
        <f>IF(COUNT($E$2:$E1548)&lt;15,"",AVERAGE($AC$1535:$AC$1548))</f>
        <v>0</v>
      </c>
      <c r="AE1548">
        <f>IF(OR($E1548="",$E1547=""),"",IF(AND(($C1548-$C1547)&gt;($D1547-$D1548),($C1548-$C1547)&gt;0),$C1548-$C1547,0))</f>
        <v>0</v>
      </c>
      <c r="AF1548">
        <f>IF(OR($E1548="",$E1547=""),"",IF(AND(($D1547-$D1548)&gt;($C1548-$C1547),($D1547-$D1548)&gt;0),$D1547-$D1548,0))</f>
        <v>0</v>
      </c>
      <c r="AG1548">
        <f>IF(COUNT($E$2:$E1548)&lt;15,"",IF(SUM($AC$1535:$AC$1548)=0,0,100*SUM($AE$1535:$AE$1548)/SUM($AC$1535:$AC$1548)))</f>
        <v>0</v>
      </c>
      <c r="AH1548">
        <f>IF(COUNT($E$2:$E1548)&lt;15,"",IF(SUM($AC$1535:$AC$1548)=0,0,100*SUM($AF$1535:$AF$1548)/SUM($AC$1535:$AC$1548)))</f>
        <v>0</v>
      </c>
      <c r="AI1548">
        <f>IF(OR(AG1548="",AH1548=""),"",IF((AG1548+AH1548)=0,0,100*ABS(AG1548-AH1548)/(AG1548+AH1548)))</f>
        <v>0</v>
      </c>
      <c r="AJ1548">
        <f>IF(COUNT($AI$1535:$AI$1548)&lt;14,"",AVERAGE($AI$1535:$AI$1548))</f>
        <v>0</v>
      </c>
      <c r="AK1548">
        <f>IF(COUNT($E$2:$E1548)&lt;20,"",AVERAGE($E$1529:$E$1548))</f>
        <v>0</v>
      </c>
      <c r="AL1548">
        <f>IF(COUNT($E$2:$E1548)&lt;20,"",STDEVP($E$1529:$E$1548))</f>
        <v>0</v>
      </c>
      <c r="AM1548">
        <f>IF(AK1548="","",AK1548+2*AL1548)</f>
        <v>0</v>
      </c>
      <c r="AN1548">
        <f>IF(AK1548="","",AK1548-2*AL1548)</f>
        <v>0</v>
      </c>
      <c r="AO1548">
        <f>IF(OR(AM1548="",AN1548="",AM1548=AN1548),"",($E1548-AN1548)/(AM1548-AN1548))</f>
        <v>0</v>
      </c>
      <c r="AP1548">
        <f>IF(OR(AM1548="",AK1548="",AK1548=0),"",(AM1548-AN1548)/AK1548)</f>
        <v>0</v>
      </c>
      <c r="AQ1548">
        <f>IF(COUNT($E$2:$E1548)&lt;20,"",MAX($C$1529:$C$1548))</f>
        <v>0</v>
      </c>
      <c r="AR1548">
        <f>IF(COUNT($E$2:$E1548)&lt;20,"",MIN($D$1529:$D$1548))</f>
        <v>0</v>
      </c>
      <c r="AS1548">
        <f>IF(OR(AQ1548="",AR1548=""),"",(AQ1548+AR1548)/2)</f>
        <v>0</v>
      </c>
      <c r="AT1548">
        <f>IF(COUNT($G$1529:$G$1548)&lt;20,"",STDEV($G$1529:$G$1548)*SQRT(252))</f>
        <v>0</v>
      </c>
      <c r="AU1548">
        <f>IF(COUNT($E$2:$E1548)&lt;9,"",(MAX($C$1540:$C$1548)+MIN($D$1540:$D$1548))/2)</f>
        <v>0</v>
      </c>
      <c r="AV1548">
        <f>IF(COUNT($E$2:$E1548)&lt;26,"",(MAX($C$1523:$C$1548)+MIN($D$1523:$D$1548))/2)</f>
        <v>0</v>
      </c>
      <c r="AW1548">
        <f>IF(OR(AU1548="",AV1548=""),"",(AU1548+AV1548)/2)</f>
        <v>0</v>
      </c>
      <c r="AX1548">
        <f>IF(COUNT($E$2:$E1548)&lt;52,"",(MAX($C$1497:$C$1548)+MIN($D$1497:$D$1548))/2)</f>
        <v>0</v>
      </c>
      <c r="AY1548">
        <f>IF(COUNT($E$2:$E1548)&lt;20,"",MAX($C$1449:$C$1548))</f>
        <v>0</v>
      </c>
      <c r="AZ1548">
        <f>IF(COUNT($E$2:$E1548)&lt;20,"",MIN($D$1449:$D$1548))</f>
        <v>0</v>
      </c>
      <c r="BA1548">
        <f>IF(COUNT($E$2:$E1548)&lt;20,"",SLOPE($E$1449:$E$1548,$F$1449:$F$1548))</f>
        <v>0</v>
      </c>
      <c r="BB1548">
        <f>IF(COUNT($E$2:$E1548)&lt;20,"",INTERCEPT($E$1449:$E$1548,$F$1449:$F$1548))</f>
        <v>0</v>
      </c>
      <c r="BC1548">
        <f>IF(OR(BA1548="",BB1548=""),"",BB1548+BA1548*F1548)</f>
        <v>0</v>
      </c>
      <c r="BD1548">
        <f>IF(COUNT($E$2:$E1548)&lt;20,"",STEYX($E$1449:$E$1548,$F$1449:$F$1548))</f>
        <v>0</v>
      </c>
      <c r="BE1548">
        <f>IF($E1548="","",IF(AND(COUNT($E$1549:$E$1552)&gt;=4,$C1548=MAX($C$1544:$C$1552)),$C1548,""))</f>
        <v>0</v>
      </c>
      <c r="BF1548">
        <f>IF($E1548="","",IF(AND(COUNT($E$1549:$E$1552)&gt;=4,$D1548=MIN($D$1544:$D$1552)),$D1548,""))</f>
        <v>0</v>
      </c>
      <c r="BG1548">
        <f>IF($A1548="","",$A1548-WEEKDAY($A1548,2)+1)</f>
        <v>0</v>
      </c>
      <c r="BH1548">
        <f>IF($A1548="","",IF($A1547="",1,IF(BG1548&lt;&gt;BG1547,1,0)))</f>
        <v>0</v>
      </c>
      <c r="BI1548">
        <f>IF($A1548="","",IF($A1549="",1,IF(BG1549&lt;&gt;BG1548,1,0)))</f>
        <v>0</v>
      </c>
      <c r="BJ1548">
        <f>IF($A1548="","",IF(BH1548=1,$B1548,BJ1547))</f>
        <v>0</v>
      </c>
      <c r="BK1548">
        <f>IF($A1548="","",IF(BH1548=1,$C1548,MAX($C1548,BK1547)))</f>
        <v>0</v>
      </c>
      <c r="BL1548">
        <f>IF($A1548="","",IF(BH1548=1,$D1548,MIN($D1548,BL1547)))</f>
        <v>0</v>
      </c>
      <c r="BM1548">
        <f>IF($A1548="","",IF(BI1548=1,F1548,""))</f>
        <v>0</v>
      </c>
      <c r="BN1548">
        <f>IF($A1548="","",DATE(YEAR($A1548),MONTH($A1548),1))</f>
        <v>0</v>
      </c>
      <c r="BO1548">
        <f>IF($A1548="","",IF($A1547="",1,IF(BN1548&lt;&gt;BN1547,1,0)))</f>
        <v>0</v>
      </c>
      <c r="BP1548">
        <f>IF($A1548="","",IF($A1549="",1,IF(BN1549&lt;&gt;BN1548,1,0)))</f>
        <v>0</v>
      </c>
      <c r="BQ1548">
        <f>IF($A1548="","",IF(BO1548=1,$B1548,BQ1547))</f>
        <v>0</v>
      </c>
      <c r="BR1548">
        <f>IF($A1548="","",IF(BO1548=1,$C1548,MAX($C1548,BR1547)))</f>
        <v>0</v>
      </c>
      <c r="BS1548">
        <f>IF($A1548="","",IF(BO1548=1,$D1548,MIN($D1548,BS1547)))</f>
        <v>0</v>
      </c>
      <c r="BT1548">
        <f>IF($A1548="","",IF(BP1548=1,F1548,""))</f>
        <v>0</v>
      </c>
    </row>
    <row r="1549" spans="1:72">
      <c r="A1549" s="27">
        <f>IF(Data!$A1549="","",Data!$A1549)</f>
        <v>0</v>
      </c>
      <c r="B1549">
        <f>IF(Data!$B1549="","",Data!$B1549)</f>
        <v>0</v>
      </c>
      <c r="C1549">
        <f>IF(Data!$C1549="","",Data!$C1549)</f>
        <v>0</v>
      </c>
      <c r="D1549">
        <f>IF(Data!$D1549="","",Data!$D1549)</f>
        <v>0</v>
      </c>
      <c r="E1549">
        <f>IF(Data!$E1549="","",Data!$E1549)</f>
        <v>0</v>
      </c>
      <c r="F1549">
        <f>IF($E1549="","",N(F1548)+1)</f>
        <v>0</v>
      </c>
      <c r="G1549">
        <f>IF(OR($E1549="",$E1548=""),"",LN($E1549/$E1548))</f>
        <v>0</v>
      </c>
      <c r="H1549">
        <f>IF($E1549="","",IF($E1548="",$E1549,$E1549*0.0952380952+H1548*0.9047619048))</f>
        <v>0</v>
      </c>
      <c r="I1549">
        <f>IF($E1549="","",IF($E1548="",$E1549,$E1549*0.0392156863+I1548*0.9607843137))</f>
        <v>0</v>
      </c>
      <c r="J1549">
        <f>IF($E1549="","",IF($E1548="",$E1549,$E1549*0.0198019802+J1548*0.9801980198))</f>
        <v>0</v>
      </c>
      <c r="K1549">
        <f>IF($E1549="","",IF($E1548="",$E1549,$E1549*0.0099502488+K1548*0.9900497512))</f>
        <v>0</v>
      </c>
      <c r="L1549">
        <f>IF(OR($E1549="",$E1548=""),"",MAX($E1549-$E1548,0))</f>
        <v>0</v>
      </c>
      <c r="M1549">
        <f>IF(OR($E1549="",$E1548=""),"",MAX($E1548-$E1549,0))</f>
        <v>0</v>
      </c>
      <c r="N1549">
        <f>IF(COUNT($E$2:$E1549)&lt;15,"",IF(AVERAGE($M$1536:$M$1549)=0,100,100-100/(1+AVERAGE($L$1536:$L$1549)/AVERAGE($M$1536:$M$1549))))</f>
        <v>0</v>
      </c>
      <c r="O1549">
        <f>IF($E1549="","",IF($E1548="",$E1549,$E1549*0.1538461538+O1548*0.8461538462))</f>
        <v>0</v>
      </c>
      <c r="P1549">
        <f>IF($E1549="","",IF($E1548="",$E1549,$E1549*0.0740740741+P1548*0.9259259259))</f>
        <v>0</v>
      </c>
      <c r="Q1549">
        <f>IF(OR(O1549="",P1549=""),"",O1549-P1549)</f>
        <v>0</v>
      </c>
      <c r="R1549">
        <f>IF(Q1549="","",IF(R1548="",Q1549,Q1549*0.2000000000+R1548*0.8000000000))</f>
        <v>0</v>
      </c>
      <c r="S1549">
        <f>IF(OR(Q1549="",R1549=""),"",Q1549-R1549)</f>
        <v>0</v>
      </c>
      <c r="T1549">
        <f>IF(COUNT($E$2:$E1549)&lt;14,"",MAX($C$1536:$C$1549))</f>
        <v>0</v>
      </c>
      <c r="U1549">
        <f>IF(COUNT($E$2:$E1549)&lt;14,"",MIN($D$1536:$D$1549))</f>
        <v>0</v>
      </c>
      <c r="V1549">
        <f>IF(OR(T1549="",U1549="",T1549=U1549),"",100*($E1549-U1549)/(T1549-U1549))</f>
        <v>0</v>
      </c>
      <c r="W1549">
        <f>IF(COUNT($V$1547:$V$1549)&lt;3,"",AVERAGE($V$1547:$V$1549))</f>
        <v>0</v>
      </c>
      <c r="X1549">
        <f>IF(COUNT($N$1536:$N$1549)&lt;14,"",MIN($N$1536:$N$1549))</f>
        <v>0</v>
      </c>
      <c r="Y1549">
        <f>IF(COUNT($N$1536:$N$1549)&lt;14,"",MAX($N$1536:$N$1549))</f>
        <v>0</v>
      </c>
      <c r="Z1549">
        <f>IF(OR(N1549="",X1549="",Y1549="",Y1549=X1549),"",100*(N1549-X1549)/(Y1549-X1549))</f>
        <v>0</v>
      </c>
      <c r="AA1549">
        <f>IF(COUNT($Z$1547:$Z$1549)&lt;3,"",AVERAGE($Z$1547:$Z$1549))</f>
        <v>0</v>
      </c>
      <c r="AB1549">
        <f>IF(COUNT($AA$1547:$AA$1549)&lt;3,"",AVERAGE($AA$1547:$AA$1549))</f>
        <v>0</v>
      </c>
      <c r="AC1549">
        <f>IF($E1549="","",MAX($C1549-$D1549,ABS($C1549-$E1548),ABS($D1549-$E1548)))</f>
        <v>0</v>
      </c>
      <c r="AD1549">
        <f>IF(COUNT($E$2:$E1549)&lt;15,"",AVERAGE($AC$1536:$AC$1549))</f>
        <v>0</v>
      </c>
      <c r="AE1549">
        <f>IF(OR($E1549="",$E1548=""),"",IF(AND(($C1549-$C1548)&gt;($D1548-$D1549),($C1549-$C1548)&gt;0),$C1549-$C1548,0))</f>
        <v>0</v>
      </c>
      <c r="AF1549">
        <f>IF(OR($E1549="",$E1548=""),"",IF(AND(($D1548-$D1549)&gt;($C1549-$C1548),($D1548-$D1549)&gt;0),$D1548-$D1549,0))</f>
        <v>0</v>
      </c>
      <c r="AG1549">
        <f>IF(COUNT($E$2:$E1549)&lt;15,"",IF(SUM($AC$1536:$AC$1549)=0,0,100*SUM($AE$1536:$AE$1549)/SUM($AC$1536:$AC$1549)))</f>
        <v>0</v>
      </c>
      <c r="AH1549">
        <f>IF(COUNT($E$2:$E1549)&lt;15,"",IF(SUM($AC$1536:$AC$1549)=0,0,100*SUM($AF$1536:$AF$1549)/SUM($AC$1536:$AC$1549)))</f>
        <v>0</v>
      </c>
      <c r="AI1549">
        <f>IF(OR(AG1549="",AH1549=""),"",IF((AG1549+AH1549)=0,0,100*ABS(AG1549-AH1549)/(AG1549+AH1549)))</f>
        <v>0</v>
      </c>
      <c r="AJ1549">
        <f>IF(COUNT($AI$1536:$AI$1549)&lt;14,"",AVERAGE($AI$1536:$AI$1549))</f>
        <v>0</v>
      </c>
      <c r="AK1549">
        <f>IF(COUNT($E$2:$E1549)&lt;20,"",AVERAGE($E$1530:$E$1549))</f>
        <v>0</v>
      </c>
      <c r="AL1549">
        <f>IF(COUNT($E$2:$E1549)&lt;20,"",STDEVP($E$1530:$E$1549))</f>
        <v>0</v>
      </c>
      <c r="AM1549">
        <f>IF(AK1549="","",AK1549+2*AL1549)</f>
        <v>0</v>
      </c>
      <c r="AN1549">
        <f>IF(AK1549="","",AK1549-2*AL1549)</f>
        <v>0</v>
      </c>
      <c r="AO1549">
        <f>IF(OR(AM1549="",AN1549="",AM1549=AN1549),"",($E1549-AN1549)/(AM1549-AN1549))</f>
        <v>0</v>
      </c>
      <c r="AP1549">
        <f>IF(OR(AM1549="",AK1549="",AK1549=0),"",(AM1549-AN1549)/AK1549)</f>
        <v>0</v>
      </c>
      <c r="AQ1549">
        <f>IF(COUNT($E$2:$E1549)&lt;20,"",MAX($C$1530:$C$1549))</f>
        <v>0</v>
      </c>
      <c r="AR1549">
        <f>IF(COUNT($E$2:$E1549)&lt;20,"",MIN($D$1530:$D$1549))</f>
        <v>0</v>
      </c>
      <c r="AS1549">
        <f>IF(OR(AQ1549="",AR1549=""),"",(AQ1549+AR1549)/2)</f>
        <v>0</v>
      </c>
      <c r="AT1549">
        <f>IF(COUNT($G$1530:$G$1549)&lt;20,"",STDEV($G$1530:$G$1549)*SQRT(252))</f>
        <v>0</v>
      </c>
      <c r="AU1549">
        <f>IF(COUNT($E$2:$E1549)&lt;9,"",(MAX($C$1541:$C$1549)+MIN($D$1541:$D$1549))/2)</f>
        <v>0</v>
      </c>
      <c r="AV1549">
        <f>IF(COUNT($E$2:$E1549)&lt;26,"",(MAX($C$1524:$C$1549)+MIN($D$1524:$D$1549))/2)</f>
        <v>0</v>
      </c>
      <c r="AW1549">
        <f>IF(OR(AU1549="",AV1549=""),"",(AU1549+AV1549)/2)</f>
        <v>0</v>
      </c>
      <c r="AX1549">
        <f>IF(COUNT($E$2:$E1549)&lt;52,"",(MAX($C$1498:$C$1549)+MIN($D$1498:$D$1549))/2)</f>
        <v>0</v>
      </c>
      <c r="AY1549">
        <f>IF(COUNT($E$2:$E1549)&lt;20,"",MAX($C$1450:$C$1549))</f>
        <v>0</v>
      </c>
      <c r="AZ1549">
        <f>IF(COUNT($E$2:$E1549)&lt;20,"",MIN($D$1450:$D$1549))</f>
        <v>0</v>
      </c>
      <c r="BA1549">
        <f>IF(COUNT($E$2:$E1549)&lt;20,"",SLOPE($E$1450:$E$1549,$F$1450:$F$1549))</f>
        <v>0</v>
      </c>
      <c r="BB1549">
        <f>IF(COUNT($E$2:$E1549)&lt;20,"",INTERCEPT($E$1450:$E$1549,$F$1450:$F$1549))</f>
        <v>0</v>
      </c>
      <c r="BC1549">
        <f>IF(OR(BA1549="",BB1549=""),"",BB1549+BA1549*F1549)</f>
        <v>0</v>
      </c>
      <c r="BD1549">
        <f>IF(COUNT($E$2:$E1549)&lt;20,"",STEYX($E$1450:$E$1549,$F$1450:$F$1549))</f>
        <v>0</v>
      </c>
      <c r="BE1549">
        <f>IF($E1549="","",IF(AND(COUNT($E$1550:$E$1553)&gt;=4,$C1549=MAX($C$1545:$C$1553)),$C1549,""))</f>
        <v>0</v>
      </c>
      <c r="BF1549">
        <f>IF($E1549="","",IF(AND(COUNT($E$1550:$E$1553)&gt;=4,$D1549=MIN($D$1545:$D$1553)),$D1549,""))</f>
        <v>0</v>
      </c>
      <c r="BG1549">
        <f>IF($A1549="","",$A1549-WEEKDAY($A1549,2)+1)</f>
        <v>0</v>
      </c>
      <c r="BH1549">
        <f>IF($A1549="","",IF($A1548="",1,IF(BG1549&lt;&gt;BG1548,1,0)))</f>
        <v>0</v>
      </c>
      <c r="BI1549">
        <f>IF($A1549="","",IF($A1550="",1,IF(BG1550&lt;&gt;BG1549,1,0)))</f>
        <v>0</v>
      </c>
      <c r="BJ1549">
        <f>IF($A1549="","",IF(BH1549=1,$B1549,BJ1548))</f>
        <v>0</v>
      </c>
      <c r="BK1549">
        <f>IF($A1549="","",IF(BH1549=1,$C1549,MAX($C1549,BK1548)))</f>
        <v>0</v>
      </c>
      <c r="BL1549">
        <f>IF($A1549="","",IF(BH1549=1,$D1549,MIN($D1549,BL1548)))</f>
        <v>0</v>
      </c>
      <c r="BM1549">
        <f>IF($A1549="","",IF(BI1549=1,F1549,""))</f>
        <v>0</v>
      </c>
      <c r="BN1549">
        <f>IF($A1549="","",DATE(YEAR($A1549),MONTH($A1549),1))</f>
        <v>0</v>
      </c>
      <c r="BO1549">
        <f>IF($A1549="","",IF($A1548="",1,IF(BN1549&lt;&gt;BN1548,1,0)))</f>
        <v>0</v>
      </c>
      <c r="BP1549">
        <f>IF($A1549="","",IF($A1550="",1,IF(BN1550&lt;&gt;BN1549,1,0)))</f>
        <v>0</v>
      </c>
      <c r="BQ1549">
        <f>IF($A1549="","",IF(BO1549=1,$B1549,BQ1548))</f>
        <v>0</v>
      </c>
      <c r="BR1549">
        <f>IF($A1549="","",IF(BO1549=1,$C1549,MAX($C1549,BR1548)))</f>
        <v>0</v>
      </c>
      <c r="BS1549">
        <f>IF($A1549="","",IF(BO1549=1,$D1549,MIN($D1549,BS1548)))</f>
        <v>0</v>
      </c>
      <c r="BT1549">
        <f>IF($A1549="","",IF(BP1549=1,F1549,""))</f>
        <v>0</v>
      </c>
    </row>
    <row r="1550" spans="1:72">
      <c r="A1550" s="27">
        <f>IF(Data!$A1550="","",Data!$A1550)</f>
        <v>0</v>
      </c>
      <c r="B1550">
        <f>IF(Data!$B1550="","",Data!$B1550)</f>
        <v>0</v>
      </c>
      <c r="C1550">
        <f>IF(Data!$C1550="","",Data!$C1550)</f>
        <v>0</v>
      </c>
      <c r="D1550">
        <f>IF(Data!$D1550="","",Data!$D1550)</f>
        <v>0</v>
      </c>
      <c r="E1550">
        <f>IF(Data!$E1550="","",Data!$E1550)</f>
        <v>0</v>
      </c>
      <c r="F1550">
        <f>IF($E1550="","",N(F1549)+1)</f>
        <v>0</v>
      </c>
      <c r="G1550">
        <f>IF(OR($E1550="",$E1549=""),"",LN($E1550/$E1549))</f>
        <v>0</v>
      </c>
      <c r="H1550">
        <f>IF($E1550="","",IF($E1549="",$E1550,$E1550*0.0952380952+H1549*0.9047619048))</f>
        <v>0</v>
      </c>
      <c r="I1550">
        <f>IF($E1550="","",IF($E1549="",$E1550,$E1550*0.0392156863+I1549*0.9607843137))</f>
        <v>0</v>
      </c>
      <c r="J1550">
        <f>IF($E1550="","",IF($E1549="",$E1550,$E1550*0.0198019802+J1549*0.9801980198))</f>
        <v>0</v>
      </c>
      <c r="K1550">
        <f>IF($E1550="","",IF($E1549="",$E1550,$E1550*0.0099502488+K1549*0.9900497512))</f>
        <v>0</v>
      </c>
      <c r="L1550">
        <f>IF(OR($E1550="",$E1549=""),"",MAX($E1550-$E1549,0))</f>
        <v>0</v>
      </c>
      <c r="M1550">
        <f>IF(OR($E1550="",$E1549=""),"",MAX($E1549-$E1550,0))</f>
        <v>0</v>
      </c>
      <c r="N1550">
        <f>IF(COUNT($E$2:$E1550)&lt;15,"",IF(AVERAGE($M$1537:$M$1550)=0,100,100-100/(1+AVERAGE($L$1537:$L$1550)/AVERAGE($M$1537:$M$1550))))</f>
        <v>0</v>
      </c>
      <c r="O1550">
        <f>IF($E1550="","",IF($E1549="",$E1550,$E1550*0.1538461538+O1549*0.8461538462))</f>
        <v>0</v>
      </c>
      <c r="P1550">
        <f>IF($E1550="","",IF($E1549="",$E1550,$E1550*0.0740740741+P1549*0.9259259259))</f>
        <v>0</v>
      </c>
      <c r="Q1550">
        <f>IF(OR(O1550="",P1550=""),"",O1550-P1550)</f>
        <v>0</v>
      </c>
      <c r="R1550">
        <f>IF(Q1550="","",IF(R1549="",Q1550,Q1550*0.2000000000+R1549*0.8000000000))</f>
        <v>0</v>
      </c>
      <c r="S1550">
        <f>IF(OR(Q1550="",R1550=""),"",Q1550-R1550)</f>
        <v>0</v>
      </c>
      <c r="T1550">
        <f>IF(COUNT($E$2:$E1550)&lt;14,"",MAX($C$1537:$C$1550))</f>
        <v>0</v>
      </c>
      <c r="U1550">
        <f>IF(COUNT($E$2:$E1550)&lt;14,"",MIN($D$1537:$D$1550))</f>
        <v>0</v>
      </c>
      <c r="V1550">
        <f>IF(OR(T1550="",U1550="",T1550=U1550),"",100*($E1550-U1550)/(T1550-U1550))</f>
        <v>0</v>
      </c>
      <c r="W1550">
        <f>IF(COUNT($V$1548:$V$1550)&lt;3,"",AVERAGE($V$1548:$V$1550))</f>
        <v>0</v>
      </c>
      <c r="X1550">
        <f>IF(COUNT($N$1537:$N$1550)&lt;14,"",MIN($N$1537:$N$1550))</f>
        <v>0</v>
      </c>
      <c r="Y1550">
        <f>IF(COUNT($N$1537:$N$1550)&lt;14,"",MAX($N$1537:$N$1550))</f>
        <v>0</v>
      </c>
      <c r="Z1550">
        <f>IF(OR(N1550="",X1550="",Y1550="",Y1550=X1550),"",100*(N1550-X1550)/(Y1550-X1550))</f>
        <v>0</v>
      </c>
      <c r="AA1550">
        <f>IF(COUNT($Z$1548:$Z$1550)&lt;3,"",AVERAGE($Z$1548:$Z$1550))</f>
        <v>0</v>
      </c>
      <c r="AB1550">
        <f>IF(COUNT($AA$1548:$AA$1550)&lt;3,"",AVERAGE($AA$1548:$AA$1550))</f>
        <v>0</v>
      </c>
      <c r="AC1550">
        <f>IF($E1550="","",MAX($C1550-$D1550,ABS($C1550-$E1549),ABS($D1550-$E1549)))</f>
        <v>0</v>
      </c>
      <c r="AD1550">
        <f>IF(COUNT($E$2:$E1550)&lt;15,"",AVERAGE($AC$1537:$AC$1550))</f>
        <v>0</v>
      </c>
      <c r="AE1550">
        <f>IF(OR($E1550="",$E1549=""),"",IF(AND(($C1550-$C1549)&gt;($D1549-$D1550),($C1550-$C1549)&gt;0),$C1550-$C1549,0))</f>
        <v>0</v>
      </c>
      <c r="AF1550">
        <f>IF(OR($E1550="",$E1549=""),"",IF(AND(($D1549-$D1550)&gt;($C1550-$C1549),($D1549-$D1550)&gt;0),$D1549-$D1550,0))</f>
        <v>0</v>
      </c>
      <c r="AG1550">
        <f>IF(COUNT($E$2:$E1550)&lt;15,"",IF(SUM($AC$1537:$AC$1550)=0,0,100*SUM($AE$1537:$AE$1550)/SUM($AC$1537:$AC$1550)))</f>
        <v>0</v>
      </c>
      <c r="AH1550">
        <f>IF(COUNT($E$2:$E1550)&lt;15,"",IF(SUM($AC$1537:$AC$1550)=0,0,100*SUM($AF$1537:$AF$1550)/SUM($AC$1537:$AC$1550)))</f>
        <v>0</v>
      </c>
      <c r="AI1550">
        <f>IF(OR(AG1550="",AH1550=""),"",IF((AG1550+AH1550)=0,0,100*ABS(AG1550-AH1550)/(AG1550+AH1550)))</f>
        <v>0</v>
      </c>
      <c r="AJ1550">
        <f>IF(COUNT($AI$1537:$AI$1550)&lt;14,"",AVERAGE($AI$1537:$AI$1550))</f>
        <v>0</v>
      </c>
      <c r="AK1550">
        <f>IF(COUNT($E$2:$E1550)&lt;20,"",AVERAGE($E$1531:$E$1550))</f>
        <v>0</v>
      </c>
      <c r="AL1550">
        <f>IF(COUNT($E$2:$E1550)&lt;20,"",STDEVP($E$1531:$E$1550))</f>
        <v>0</v>
      </c>
      <c r="AM1550">
        <f>IF(AK1550="","",AK1550+2*AL1550)</f>
        <v>0</v>
      </c>
      <c r="AN1550">
        <f>IF(AK1550="","",AK1550-2*AL1550)</f>
        <v>0</v>
      </c>
      <c r="AO1550">
        <f>IF(OR(AM1550="",AN1550="",AM1550=AN1550),"",($E1550-AN1550)/(AM1550-AN1550))</f>
        <v>0</v>
      </c>
      <c r="AP1550">
        <f>IF(OR(AM1550="",AK1550="",AK1550=0),"",(AM1550-AN1550)/AK1550)</f>
        <v>0</v>
      </c>
      <c r="AQ1550">
        <f>IF(COUNT($E$2:$E1550)&lt;20,"",MAX($C$1531:$C$1550))</f>
        <v>0</v>
      </c>
      <c r="AR1550">
        <f>IF(COUNT($E$2:$E1550)&lt;20,"",MIN($D$1531:$D$1550))</f>
        <v>0</v>
      </c>
      <c r="AS1550">
        <f>IF(OR(AQ1550="",AR1550=""),"",(AQ1550+AR1550)/2)</f>
        <v>0</v>
      </c>
      <c r="AT1550">
        <f>IF(COUNT($G$1531:$G$1550)&lt;20,"",STDEV($G$1531:$G$1550)*SQRT(252))</f>
        <v>0</v>
      </c>
      <c r="AU1550">
        <f>IF(COUNT($E$2:$E1550)&lt;9,"",(MAX($C$1542:$C$1550)+MIN($D$1542:$D$1550))/2)</f>
        <v>0</v>
      </c>
      <c r="AV1550">
        <f>IF(COUNT($E$2:$E1550)&lt;26,"",(MAX($C$1525:$C$1550)+MIN($D$1525:$D$1550))/2)</f>
        <v>0</v>
      </c>
      <c r="AW1550">
        <f>IF(OR(AU1550="",AV1550=""),"",(AU1550+AV1550)/2)</f>
        <v>0</v>
      </c>
      <c r="AX1550">
        <f>IF(COUNT($E$2:$E1550)&lt;52,"",(MAX($C$1499:$C$1550)+MIN($D$1499:$D$1550))/2)</f>
        <v>0</v>
      </c>
      <c r="AY1550">
        <f>IF(COUNT($E$2:$E1550)&lt;20,"",MAX($C$1451:$C$1550))</f>
        <v>0</v>
      </c>
      <c r="AZ1550">
        <f>IF(COUNT($E$2:$E1550)&lt;20,"",MIN($D$1451:$D$1550))</f>
        <v>0</v>
      </c>
      <c r="BA1550">
        <f>IF(COUNT($E$2:$E1550)&lt;20,"",SLOPE($E$1451:$E$1550,$F$1451:$F$1550))</f>
        <v>0</v>
      </c>
      <c r="BB1550">
        <f>IF(COUNT($E$2:$E1550)&lt;20,"",INTERCEPT($E$1451:$E$1550,$F$1451:$F$1550))</f>
        <v>0</v>
      </c>
      <c r="BC1550">
        <f>IF(OR(BA1550="",BB1550=""),"",BB1550+BA1550*F1550)</f>
        <v>0</v>
      </c>
      <c r="BD1550">
        <f>IF(COUNT($E$2:$E1550)&lt;20,"",STEYX($E$1451:$E$1550,$F$1451:$F$1550))</f>
        <v>0</v>
      </c>
      <c r="BE1550">
        <f>IF($E1550="","",IF(AND(COUNT($E$1551:$E$1554)&gt;=4,$C1550=MAX($C$1546:$C$1554)),$C1550,""))</f>
        <v>0</v>
      </c>
      <c r="BF1550">
        <f>IF($E1550="","",IF(AND(COUNT($E$1551:$E$1554)&gt;=4,$D1550=MIN($D$1546:$D$1554)),$D1550,""))</f>
        <v>0</v>
      </c>
      <c r="BG1550">
        <f>IF($A1550="","",$A1550-WEEKDAY($A1550,2)+1)</f>
        <v>0</v>
      </c>
      <c r="BH1550">
        <f>IF($A1550="","",IF($A1549="",1,IF(BG1550&lt;&gt;BG1549,1,0)))</f>
        <v>0</v>
      </c>
      <c r="BI1550">
        <f>IF($A1550="","",IF($A1551="",1,IF(BG1551&lt;&gt;BG1550,1,0)))</f>
        <v>0</v>
      </c>
      <c r="BJ1550">
        <f>IF($A1550="","",IF(BH1550=1,$B1550,BJ1549))</f>
        <v>0</v>
      </c>
      <c r="BK1550">
        <f>IF($A1550="","",IF(BH1550=1,$C1550,MAX($C1550,BK1549)))</f>
        <v>0</v>
      </c>
      <c r="BL1550">
        <f>IF($A1550="","",IF(BH1550=1,$D1550,MIN($D1550,BL1549)))</f>
        <v>0</v>
      </c>
      <c r="BM1550">
        <f>IF($A1550="","",IF(BI1550=1,F1550,""))</f>
        <v>0</v>
      </c>
      <c r="BN1550">
        <f>IF($A1550="","",DATE(YEAR($A1550),MONTH($A1550),1))</f>
        <v>0</v>
      </c>
      <c r="BO1550">
        <f>IF($A1550="","",IF($A1549="",1,IF(BN1550&lt;&gt;BN1549,1,0)))</f>
        <v>0</v>
      </c>
      <c r="BP1550">
        <f>IF($A1550="","",IF($A1551="",1,IF(BN1551&lt;&gt;BN1550,1,0)))</f>
        <v>0</v>
      </c>
      <c r="BQ1550">
        <f>IF($A1550="","",IF(BO1550=1,$B1550,BQ1549))</f>
        <v>0</v>
      </c>
      <c r="BR1550">
        <f>IF($A1550="","",IF(BO1550=1,$C1550,MAX($C1550,BR1549)))</f>
        <v>0</v>
      </c>
      <c r="BS1550">
        <f>IF($A1550="","",IF(BO1550=1,$D1550,MIN($D1550,BS1549)))</f>
        <v>0</v>
      </c>
      <c r="BT1550">
        <f>IF($A1550="","",IF(BP1550=1,F1550,""))</f>
        <v>0</v>
      </c>
    </row>
    <row r="1551" spans="1:72">
      <c r="A1551" s="27">
        <f>IF(Data!$A1551="","",Data!$A1551)</f>
        <v>0</v>
      </c>
      <c r="B1551">
        <f>IF(Data!$B1551="","",Data!$B1551)</f>
        <v>0</v>
      </c>
      <c r="C1551">
        <f>IF(Data!$C1551="","",Data!$C1551)</f>
        <v>0</v>
      </c>
      <c r="D1551">
        <f>IF(Data!$D1551="","",Data!$D1551)</f>
        <v>0</v>
      </c>
      <c r="E1551">
        <f>IF(Data!$E1551="","",Data!$E1551)</f>
        <v>0</v>
      </c>
      <c r="F1551">
        <f>IF($E1551="","",N(F1550)+1)</f>
        <v>0</v>
      </c>
      <c r="G1551">
        <f>IF(OR($E1551="",$E1550=""),"",LN($E1551/$E1550))</f>
        <v>0</v>
      </c>
      <c r="H1551">
        <f>IF($E1551="","",IF($E1550="",$E1551,$E1551*0.0952380952+H1550*0.9047619048))</f>
        <v>0</v>
      </c>
      <c r="I1551">
        <f>IF($E1551="","",IF($E1550="",$E1551,$E1551*0.0392156863+I1550*0.9607843137))</f>
        <v>0</v>
      </c>
      <c r="J1551">
        <f>IF($E1551="","",IF($E1550="",$E1551,$E1551*0.0198019802+J1550*0.9801980198))</f>
        <v>0</v>
      </c>
      <c r="K1551">
        <f>IF($E1551="","",IF($E1550="",$E1551,$E1551*0.0099502488+K1550*0.9900497512))</f>
        <v>0</v>
      </c>
      <c r="L1551">
        <f>IF(OR($E1551="",$E1550=""),"",MAX($E1551-$E1550,0))</f>
        <v>0</v>
      </c>
      <c r="M1551">
        <f>IF(OR($E1551="",$E1550=""),"",MAX($E1550-$E1551,0))</f>
        <v>0</v>
      </c>
      <c r="N1551">
        <f>IF(COUNT($E$2:$E1551)&lt;15,"",IF(AVERAGE($M$1538:$M$1551)=0,100,100-100/(1+AVERAGE($L$1538:$L$1551)/AVERAGE($M$1538:$M$1551))))</f>
        <v>0</v>
      </c>
      <c r="O1551">
        <f>IF($E1551="","",IF($E1550="",$E1551,$E1551*0.1538461538+O1550*0.8461538462))</f>
        <v>0</v>
      </c>
      <c r="P1551">
        <f>IF($E1551="","",IF($E1550="",$E1551,$E1551*0.0740740741+P1550*0.9259259259))</f>
        <v>0</v>
      </c>
      <c r="Q1551">
        <f>IF(OR(O1551="",P1551=""),"",O1551-P1551)</f>
        <v>0</v>
      </c>
      <c r="R1551">
        <f>IF(Q1551="","",IF(R1550="",Q1551,Q1551*0.2000000000+R1550*0.8000000000))</f>
        <v>0</v>
      </c>
      <c r="S1551">
        <f>IF(OR(Q1551="",R1551=""),"",Q1551-R1551)</f>
        <v>0</v>
      </c>
      <c r="T1551">
        <f>IF(COUNT($E$2:$E1551)&lt;14,"",MAX($C$1538:$C$1551))</f>
        <v>0</v>
      </c>
      <c r="U1551">
        <f>IF(COUNT($E$2:$E1551)&lt;14,"",MIN($D$1538:$D$1551))</f>
        <v>0</v>
      </c>
      <c r="V1551">
        <f>IF(OR(T1551="",U1551="",T1551=U1551),"",100*($E1551-U1551)/(T1551-U1551))</f>
        <v>0</v>
      </c>
      <c r="W1551">
        <f>IF(COUNT($V$1549:$V$1551)&lt;3,"",AVERAGE($V$1549:$V$1551))</f>
        <v>0</v>
      </c>
      <c r="X1551">
        <f>IF(COUNT($N$1538:$N$1551)&lt;14,"",MIN($N$1538:$N$1551))</f>
        <v>0</v>
      </c>
      <c r="Y1551">
        <f>IF(COUNT($N$1538:$N$1551)&lt;14,"",MAX($N$1538:$N$1551))</f>
        <v>0</v>
      </c>
      <c r="Z1551">
        <f>IF(OR(N1551="",X1551="",Y1551="",Y1551=X1551),"",100*(N1551-X1551)/(Y1551-X1551))</f>
        <v>0</v>
      </c>
      <c r="AA1551">
        <f>IF(COUNT($Z$1549:$Z$1551)&lt;3,"",AVERAGE($Z$1549:$Z$1551))</f>
        <v>0</v>
      </c>
      <c r="AB1551">
        <f>IF(COUNT($AA$1549:$AA$1551)&lt;3,"",AVERAGE($AA$1549:$AA$1551))</f>
        <v>0</v>
      </c>
      <c r="AC1551">
        <f>IF($E1551="","",MAX($C1551-$D1551,ABS($C1551-$E1550),ABS($D1551-$E1550)))</f>
        <v>0</v>
      </c>
      <c r="AD1551">
        <f>IF(COUNT($E$2:$E1551)&lt;15,"",AVERAGE($AC$1538:$AC$1551))</f>
        <v>0</v>
      </c>
      <c r="AE1551">
        <f>IF(OR($E1551="",$E1550=""),"",IF(AND(($C1551-$C1550)&gt;($D1550-$D1551),($C1551-$C1550)&gt;0),$C1551-$C1550,0))</f>
        <v>0</v>
      </c>
      <c r="AF1551">
        <f>IF(OR($E1551="",$E1550=""),"",IF(AND(($D1550-$D1551)&gt;($C1551-$C1550),($D1550-$D1551)&gt;0),$D1550-$D1551,0))</f>
        <v>0</v>
      </c>
      <c r="AG1551">
        <f>IF(COUNT($E$2:$E1551)&lt;15,"",IF(SUM($AC$1538:$AC$1551)=0,0,100*SUM($AE$1538:$AE$1551)/SUM($AC$1538:$AC$1551)))</f>
        <v>0</v>
      </c>
      <c r="AH1551">
        <f>IF(COUNT($E$2:$E1551)&lt;15,"",IF(SUM($AC$1538:$AC$1551)=0,0,100*SUM($AF$1538:$AF$1551)/SUM($AC$1538:$AC$1551)))</f>
        <v>0</v>
      </c>
      <c r="AI1551">
        <f>IF(OR(AG1551="",AH1551=""),"",IF((AG1551+AH1551)=0,0,100*ABS(AG1551-AH1551)/(AG1551+AH1551)))</f>
        <v>0</v>
      </c>
      <c r="AJ1551">
        <f>IF(COUNT($AI$1538:$AI$1551)&lt;14,"",AVERAGE($AI$1538:$AI$1551))</f>
        <v>0</v>
      </c>
      <c r="AK1551">
        <f>IF(COUNT($E$2:$E1551)&lt;20,"",AVERAGE($E$1532:$E$1551))</f>
        <v>0</v>
      </c>
      <c r="AL1551">
        <f>IF(COUNT($E$2:$E1551)&lt;20,"",STDEVP($E$1532:$E$1551))</f>
        <v>0</v>
      </c>
      <c r="AM1551">
        <f>IF(AK1551="","",AK1551+2*AL1551)</f>
        <v>0</v>
      </c>
      <c r="AN1551">
        <f>IF(AK1551="","",AK1551-2*AL1551)</f>
        <v>0</v>
      </c>
      <c r="AO1551">
        <f>IF(OR(AM1551="",AN1551="",AM1551=AN1551),"",($E1551-AN1551)/(AM1551-AN1551))</f>
        <v>0</v>
      </c>
      <c r="AP1551">
        <f>IF(OR(AM1551="",AK1551="",AK1551=0),"",(AM1551-AN1551)/AK1551)</f>
        <v>0</v>
      </c>
      <c r="AQ1551">
        <f>IF(COUNT($E$2:$E1551)&lt;20,"",MAX($C$1532:$C$1551))</f>
        <v>0</v>
      </c>
      <c r="AR1551">
        <f>IF(COUNT($E$2:$E1551)&lt;20,"",MIN($D$1532:$D$1551))</f>
        <v>0</v>
      </c>
      <c r="AS1551">
        <f>IF(OR(AQ1551="",AR1551=""),"",(AQ1551+AR1551)/2)</f>
        <v>0</v>
      </c>
      <c r="AT1551">
        <f>IF(COUNT($G$1532:$G$1551)&lt;20,"",STDEV($G$1532:$G$1551)*SQRT(252))</f>
        <v>0</v>
      </c>
      <c r="AU1551">
        <f>IF(COUNT($E$2:$E1551)&lt;9,"",(MAX($C$1543:$C$1551)+MIN($D$1543:$D$1551))/2)</f>
        <v>0</v>
      </c>
      <c r="AV1551">
        <f>IF(COUNT($E$2:$E1551)&lt;26,"",(MAX($C$1526:$C$1551)+MIN($D$1526:$D$1551))/2)</f>
        <v>0</v>
      </c>
      <c r="AW1551">
        <f>IF(OR(AU1551="",AV1551=""),"",(AU1551+AV1551)/2)</f>
        <v>0</v>
      </c>
      <c r="AX1551">
        <f>IF(COUNT($E$2:$E1551)&lt;52,"",(MAX($C$1500:$C$1551)+MIN($D$1500:$D$1551))/2)</f>
        <v>0</v>
      </c>
      <c r="AY1551">
        <f>IF(COUNT($E$2:$E1551)&lt;20,"",MAX($C$1452:$C$1551))</f>
        <v>0</v>
      </c>
      <c r="AZ1551">
        <f>IF(COUNT($E$2:$E1551)&lt;20,"",MIN($D$1452:$D$1551))</f>
        <v>0</v>
      </c>
      <c r="BA1551">
        <f>IF(COUNT($E$2:$E1551)&lt;20,"",SLOPE($E$1452:$E$1551,$F$1452:$F$1551))</f>
        <v>0</v>
      </c>
      <c r="BB1551">
        <f>IF(COUNT($E$2:$E1551)&lt;20,"",INTERCEPT($E$1452:$E$1551,$F$1452:$F$1551))</f>
        <v>0</v>
      </c>
      <c r="BC1551">
        <f>IF(OR(BA1551="",BB1551=""),"",BB1551+BA1551*F1551)</f>
        <v>0</v>
      </c>
      <c r="BD1551">
        <f>IF(COUNT($E$2:$E1551)&lt;20,"",STEYX($E$1452:$E$1551,$F$1452:$F$1551))</f>
        <v>0</v>
      </c>
      <c r="BE1551">
        <f>IF($E1551="","",IF(AND(COUNT($E$1552:$E$1555)&gt;=4,$C1551=MAX($C$1547:$C$1555)),$C1551,""))</f>
        <v>0</v>
      </c>
      <c r="BF1551">
        <f>IF($E1551="","",IF(AND(COUNT($E$1552:$E$1555)&gt;=4,$D1551=MIN($D$1547:$D$1555)),$D1551,""))</f>
        <v>0</v>
      </c>
      <c r="BG1551">
        <f>IF($A1551="","",$A1551-WEEKDAY($A1551,2)+1)</f>
        <v>0</v>
      </c>
      <c r="BH1551">
        <f>IF($A1551="","",IF($A1550="",1,IF(BG1551&lt;&gt;BG1550,1,0)))</f>
        <v>0</v>
      </c>
      <c r="BI1551">
        <f>IF($A1551="","",IF($A1552="",1,IF(BG1552&lt;&gt;BG1551,1,0)))</f>
        <v>0</v>
      </c>
      <c r="BJ1551">
        <f>IF($A1551="","",IF(BH1551=1,$B1551,BJ1550))</f>
        <v>0</v>
      </c>
      <c r="BK1551">
        <f>IF($A1551="","",IF(BH1551=1,$C1551,MAX($C1551,BK1550)))</f>
        <v>0</v>
      </c>
      <c r="BL1551">
        <f>IF($A1551="","",IF(BH1551=1,$D1551,MIN($D1551,BL1550)))</f>
        <v>0</v>
      </c>
      <c r="BM1551">
        <f>IF($A1551="","",IF(BI1551=1,F1551,""))</f>
        <v>0</v>
      </c>
      <c r="BN1551">
        <f>IF($A1551="","",DATE(YEAR($A1551),MONTH($A1551),1))</f>
        <v>0</v>
      </c>
      <c r="BO1551">
        <f>IF($A1551="","",IF($A1550="",1,IF(BN1551&lt;&gt;BN1550,1,0)))</f>
        <v>0</v>
      </c>
      <c r="BP1551">
        <f>IF($A1551="","",IF($A1552="",1,IF(BN1552&lt;&gt;BN1551,1,0)))</f>
        <v>0</v>
      </c>
      <c r="BQ1551">
        <f>IF($A1551="","",IF(BO1551=1,$B1551,BQ1550))</f>
        <v>0</v>
      </c>
      <c r="BR1551">
        <f>IF($A1551="","",IF(BO1551=1,$C1551,MAX($C1551,BR1550)))</f>
        <v>0</v>
      </c>
      <c r="BS1551">
        <f>IF($A1551="","",IF(BO1551=1,$D1551,MIN($D1551,BS1550)))</f>
        <v>0</v>
      </c>
      <c r="BT1551">
        <f>IF($A1551="","",IF(BP1551=1,F1551,""))</f>
        <v>0</v>
      </c>
    </row>
    <row r="1552" spans="1:72">
      <c r="A1552" s="27">
        <f>IF(Data!$A1552="","",Data!$A1552)</f>
        <v>0</v>
      </c>
      <c r="B1552">
        <f>IF(Data!$B1552="","",Data!$B1552)</f>
        <v>0</v>
      </c>
      <c r="C1552">
        <f>IF(Data!$C1552="","",Data!$C1552)</f>
        <v>0</v>
      </c>
      <c r="D1552">
        <f>IF(Data!$D1552="","",Data!$D1552)</f>
        <v>0</v>
      </c>
      <c r="E1552">
        <f>IF(Data!$E1552="","",Data!$E1552)</f>
        <v>0</v>
      </c>
      <c r="F1552">
        <f>IF($E1552="","",N(F1551)+1)</f>
        <v>0</v>
      </c>
      <c r="G1552">
        <f>IF(OR($E1552="",$E1551=""),"",LN($E1552/$E1551))</f>
        <v>0</v>
      </c>
      <c r="H1552">
        <f>IF($E1552="","",IF($E1551="",$E1552,$E1552*0.0952380952+H1551*0.9047619048))</f>
        <v>0</v>
      </c>
      <c r="I1552">
        <f>IF($E1552="","",IF($E1551="",$E1552,$E1552*0.0392156863+I1551*0.9607843137))</f>
        <v>0</v>
      </c>
      <c r="J1552">
        <f>IF($E1552="","",IF($E1551="",$E1552,$E1552*0.0198019802+J1551*0.9801980198))</f>
        <v>0</v>
      </c>
      <c r="K1552">
        <f>IF($E1552="","",IF($E1551="",$E1552,$E1552*0.0099502488+K1551*0.9900497512))</f>
        <v>0</v>
      </c>
      <c r="L1552">
        <f>IF(OR($E1552="",$E1551=""),"",MAX($E1552-$E1551,0))</f>
        <v>0</v>
      </c>
      <c r="M1552">
        <f>IF(OR($E1552="",$E1551=""),"",MAX($E1551-$E1552,0))</f>
        <v>0</v>
      </c>
      <c r="N1552">
        <f>IF(COUNT($E$2:$E1552)&lt;15,"",IF(AVERAGE($M$1539:$M$1552)=0,100,100-100/(1+AVERAGE($L$1539:$L$1552)/AVERAGE($M$1539:$M$1552))))</f>
        <v>0</v>
      </c>
      <c r="O1552">
        <f>IF($E1552="","",IF($E1551="",$E1552,$E1552*0.1538461538+O1551*0.8461538462))</f>
        <v>0</v>
      </c>
      <c r="P1552">
        <f>IF($E1552="","",IF($E1551="",$E1552,$E1552*0.0740740741+P1551*0.9259259259))</f>
        <v>0</v>
      </c>
      <c r="Q1552">
        <f>IF(OR(O1552="",P1552=""),"",O1552-P1552)</f>
        <v>0</v>
      </c>
      <c r="R1552">
        <f>IF(Q1552="","",IF(R1551="",Q1552,Q1552*0.2000000000+R1551*0.8000000000))</f>
        <v>0</v>
      </c>
      <c r="S1552">
        <f>IF(OR(Q1552="",R1552=""),"",Q1552-R1552)</f>
        <v>0</v>
      </c>
      <c r="T1552">
        <f>IF(COUNT($E$2:$E1552)&lt;14,"",MAX($C$1539:$C$1552))</f>
        <v>0</v>
      </c>
      <c r="U1552">
        <f>IF(COUNT($E$2:$E1552)&lt;14,"",MIN($D$1539:$D$1552))</f>
        <v>0</v>
      </c>
      <c r="V1552">
        <f>IF(OR(T1552="",U1552="",T1552=U1552),"",100*($E1552-U1552)/(T1552-U1552))</f>
        <v>0</v>
      </c>
      <c r="W1552">
        <f>IF(COUNT($V$1550:$V$1552)&lt;3,"",AVERAGE($V$1550:$V$1552))</f>
        <v>0</v>
      </c>
      <c r="X1552">
        <f>IF(COUNT($N$1539:$N$1552)&lt;14,"",MIN($N$1539:$N$1552))</f>
        <v>0</v>
      </c>
      <c r="Y1552">
        <f>IF(COUNT($N$1539:$N$1552)&lt;14,"",MAX($N$1539:$N$1552))</f>
        <v>0</v>
      </c>
      <c r="Z1552">
        <f>IF(OR(N1552="",X1552="",Y1552="",Y1552=X1552),"",100*(N1552-X1552)/(Y1552-X1552))</f>
        <v>0</v>
      </c>
      <c r="AA1552">
        <f>IF(COUNT($Z$1550:$Z$1552)&lt;3,"",AVERAGE($Z$1550:$Z$1552))</f>
        <v>0</v>
      </c>
      <c r="AB1552">
        <f>IF(COUNT($AA$1550:$AA$1552)&lt;3,"",AVERAGE($AA$1550:$AA$1552))</f>
        <v>0</v>
      </c>
      <c r="AC1552">
        <f>IF($E1552="","",MAX($C1552-$D1552,ABS($C1552-$E1551),ABS($D1552-$E1551)))</f>
        <v>0</v>
      </c>
      <c r="AD1552">
        <f>IF(COUNT($E$2:$E1552)&lt;15,"",AVERAGE($AC$1539:$AC$1552))</f>
        <v>0</v>
      </c>
      <c r="AE1552">
        <f>IF(OR($E1552="",$E1551=""),"",IF(AND(($C1552-$C1551)&gt;($D1551-$D1552),($C1552-$C1551)&gt;0),$C1552-$C1551,0))</f>
        <v>0</v>
      </c>
      <c r="AF1552">
        <f>IF(OR($E1552="",$E1551=""),"",IF(AND(($D1551-$D1552)&gt;($C1552-$C1551),($D1551-$D1552)&gt;0),$D1551-$D1552,0))</f>
        <v>0</v>
      </c>
      <c r="AG1552">
        <f>IF(COUNT($E$2:$E1552)&lt;15,"",IF(SUM($AC$1539:$AC$1552)=0,0,100*SUM($AE$1539:$AE$1552)/SUM($AC$1539:$AC$1552)))</f>
        <v>0</v>
      </c>
      <c r="AH1552">
        <f>IF(COUNT($E$2:$E1552)&lt;15,"",IF(SUM($AC$1539:$AC$1552)=0,0,100*SUM($AF$1539:$AF$1552)/SUM($AC$1539:$AC$1552)))</f>
        <v>0</v>
      </c>
      <c r="AI1552">
        <f>IF(OR(AG1552="",AH1552=""),"",IF((AG1552+AH1552)=0,0,100*ABS(AG1552-AH1552)/(AG1552+AH1552)))</f>
        <v>0</v>
      </c>
      <c r="AJ1552">
        <f>IF(COUNT($AI$1539:$AI$1552)&lt;14,"",AVERAGE($AI$1539:$AI$1552))</f>
        <v>0</v>
      </c>
      <c r="AK1552">
        <f>IF(COUNT($E$2:$E1552)&lt;20,"",AVERAGE($E$1533:$E$1552))</f>
        <v>0</v>
      </c>
      <c r="AL1552">
        <f>IF(COUNT($E$2:$E1552)&lt;20,"",STDEVP($E$1533:$E$1552))</f>
        <v>0</v>
      </c>
      <c r="AM1552">
        <f>IF(AK1552="","",AK1552+2*AL1552)</f>
        <v>0</v>
      </c>
      <c r="AN1552">
        <f>IF(AK1552="","",AK1552-2*AL1552)</f>
        <v>0</v>
      </c>
      <c r="AO1552">
        <f>IF(OR(AM1552="",AN1552="",AM1552=AN1552),"",($E1552-AN1552)/(AM1552-AN1552))</f>
        <v>0</v>
      </c>
      <c r="AP1552">
        <f>IF(OR(AM1552="",AK1552="",AK1552=0),"",(AM1552-AN1552)/AK1552)</f>
        <v>0</v>
      </c>
      <c r="AQ1552">
        <f>IF(COUNT($E$2:$E1552)&lt;20,"",MAX($C$1533:$C$1552))</f>
        <v>0</v>
      </c>
      <c r="AR1552">
        <f>IF(COUNT($E$2:$E1552)&lt;20,"",MIN($D$1533:$D$1552))</f>
        <v>0</v>
      </c>
      <c r="AS1552">
        <f>IF(OR(AQ1552="",AR1552=""),"",(AQ1552+AR1552)/2)</f>
        <v>0</v>
      </c>
      <c r="AT1552">
        <f>IF(COUNT($G$1533:$G$1552)&lt;20,"",STDEV($G$1533:$G$1552)*SQRT(252))</f>
        <v>0</v>
      </c>
      <c r="AU1552">
        <f>IF(COUNT($E$2:$E1552)&lt;9,"",(MAX($C$1544:$C$1552)+MIN($D$1544:$D$1552))/2)</f>
        <v>0</v>
      </c>
      <c r="AV1552">
        <f>IF(COUNT($E$2:$E1552)&lt;26,"",(MAX($C$1527:$C$1552)+MIN($D$1527:$D$1552))/2)</f>
        <v>0</v>
      </c>
      <c r="AW1552">
        <f>IF(OR(AU1552="",AV1552=""),"",(AU1552+AV1552)/2)</f>
        <v>0</v>
      </c>
      <c r="AX1552">
        <f>IF(COUNT($E$2:$E1552)&lt;52,"",(MAX($C$1501:$C$1552)+MIN($D$1501:$D$1552))/2)</f>
        <v>0</v>
      </c>
      <c r="AY1552">
        <f>IF(COUNT($E$2:$E1552)&lt;20,"",MAX($C$1453:$C$1552))</f>
        <v>0</v>
      </c>
      <c r="AZ1552">
        <f>IF(COUNT($E$2:$E1552)&lt;20,"",MIN($D$1453:$D$1552))</f>
        <v>0</v>
      </c>
      <c r="BA1552">
        <f>IF(COUNT($E$2:$E1552)&lt;20,"",SLOPE($E$1453:$E$1552,$F$1453:$F$1552))</f>
        <v>0</v>
      </c>
      <c r="BB1552">
        <f>IF(COUNT($E$2:$E1552)&lt;20,"",INTERCEPT($E$1453:$E$1552,$F$1453:$F$1552))</f>
        <v>0</v>
      </c>
      <c r="BC1552">
        <f>IF(OR(BA1552="",BB1552=""),"",BB1552+BA1552*F1552)</f>
        <v>0</v>
      </c>
      <c r="BD1552">
        <f>IF(COUNT($E$2:$E1552)&lt;20,"",STEYX($E$1453:$E$1552,$F$1453:$F$1552))</f>
        <v>0</v>
      </c>
      <c r="BE1552">
        <f>IF($E1552="","",IF(AND(COUNT($E$1553:$E$1556)&gt;=4,$C1552=MAX($C$1548:$C$1556)),$C1552,""))</f>
        <v>0</v>
      </c>
      <c r="BF1552">
        <f>IF($E1552="","",IF(AND(COUNT($E$1553:$E$1556)&gt;=4,$D1552=MIN($D$1548:$D$1556)),$D1552,""))</f>
        <v>0</v>
      </c>
      <c r="BG1552">
        <f>IF($A1552="","",$A1552-WEEKDAY($A1552,2)+1)</f>
        <v>0</v>
      </c>
      <c r="BH1552">
        <f>IF($A1552="","",IF($A1551="",1,IF(BG1552&lt;&gt;BG1551,1,0)))</f>
        <v>0</v>
      </c>
      <c r="BI1552">
        <f>IF($A1552="","",IF($A1553="",1,IF(BG1553&lt;&gt;BG1552,1,0)))</f>
        <v>0</v>
      </c>
      <c r="BJ1552">
        <f>IF($A1552="","",IF(BH1552=1,$B1552,BJ1551))</f>
        <v>0</v>
      </c>
      <c r="BK1552">
        <f>IF($A1552="","",IF(BH1552=1,$C1552,MAX($C1552,BK1551)))</f>
        <v>0</v>
      </c>
      <c r="BL1552">
        <f>IF($A1552="","",IF(BH1552=1,$D1552,MIN($D1552,BL1551)))</f>
        <v>0</v>
      </c>
      <c r="BM1552">
        <f>IF($A1552="","",IF(BI1552=1,F1552,""))</f>
        <v>0</v>
      </c>
      <c r="BN1552">
        <f>IF($A1552="","",DATE(YEAR($A1552),MONTH($A1552),1))</f>
        <v>0</v>
      </c>
      <c r="BO1552">
        <f>IF($A1552="","",IF($A1551="",1,IF(BN1552&lt;&gt;BN1551,1,0)))</f>
        <v>0</v>
      </c>
      <c r="BP1552">
        <f>IF($A1552="","",IF($A1553="",1,IF(BN1553&lt;&gt;BN1552,1,0)))</f>
        <v>0</v>
      </c>
      <c r="BQ1552">
        <f>IF($A1552="","",IF(BO1552=1,$B1552,BQ1551))</f>
        <v>0</v>
      </c>
      <c r="BR1552">
        <f>IF($A1552="","",IF(BO1552=1,$C1552,MAX($C1552,BR1551)))</f>
        <v>0</v>
      </c>
      <c r="BS1552">
        <f>IF($A1552="","",IF(BO1552=1,$D1552,MIN($D1552,BS1551)))</f>
        <v>0</v>
      </c>
      <c r="BT1552">
        <f>IF($A1552="","",IF(BP1552=1,F1552,""))</f>
        <v>0</v>
      </c>
    </row>
    <row r="1553" spans="1:72">
      <c r="A1553" s="27">
        <f>IF(Data!$A1553="","",Data!$A1553)</f>
        <v>0</v>
      </c>
      <c r="B1553">
        <f>IF(Data!$B1553="","",Data!$B1553)</f>
        <v>0</v>
      </c>
      <c r="C1553">
        <f>IF(Data!$C1553="","",Data!$C1553)</f>
        <v>0</v>
      </c>
      <c r="D1553">
        <f>IF(Data!$D1553="","",Data!$D1553)</f>
        <v>0</v>
      </c>
      <c r="E1553">
        <f>IF(Data!$E1553="","",Data!$E1553)</f>
        <v>0</v>
      </c>
      <c r="F1553">
        <f>IF($E1553="","",N(F1552)+1)</f>
        <v>0</v>
      </c>
      <c r="G1553">
        <f>IF(OR($E1553="",$E1552=""),"",LN($E1553/$E1552))</f>
        <v>0</v>
      </c>
      <c r="H1553">
        <f>IF($E1553="","",IF($E1552="",$E1553,$E1553*0.0952380952+H1552*0.9047619048))</f>
        <v>0</v>
      </c>
      <c r="I1553">
        <f>IF($E1553="","",IF($E1552="",$E1553,$E1553*0.0392156863+I1552*0.9607843137))</f>
        <v>0</v>
      </c>
      <c r="J1553">
        <f>IF($E1553="","",IF($E1552="",$E1553,$E1553*0.0198019802+J1552*0.9801980198))</f>
        <v>0</v>
      </c>
      <c r="K1553">
        <f>IF($E1553="","",IF($E1552="",$E1553,$E1553*0.0099502488+K1552*0.9900497512))</f>
        <v>0</v>
      </c>
      <c r="L1553">
        <f>IF(OR($E1553="",$E1552=""),"",MAX($E1553-$E1552,0))</f>
        <v>0</v>
      </c>
      <c r="M1553">
        <f>IF(OR($E1553="",$E1552=""),"",MAX($E1552-$E1553,0))</f>
        <v>0</v>
      </c>
      <c r="N1553">
        <f>IF(COUNT($E$2:$E1553)&lt;15,"",IF(AVERAGE($M$1540:$M$1553)=0,100,100-100/(1+AVERAGE($L$1540:$L$1553)/AVERAGE($M$1540:$M$1553))))</f>
        <v>0</v>
      </c>
      <c r="O1553">
        <f>IF($E1553="","",IF($E1552="",$E1553,$E1553*0.1538461538+O1552*0.8461538462))</f>
        <v>0</v>
      </c>
      <c r="P1553">
        <f>IF($E1553="","",IF($E1552="",$E1553,$E1553*0.0740740741+P1552*0.9259259259))</f>
        <v>0</v>
      </c>
      <c r="Q1553">
        <f>IF(OR(O1553="",P1553=""),"",O1553-P1553)</f>
        <v>0</v>
      </c>
      <c r="R1553">
        <f>IF(Q1553="","",IF(R1552="",Q1553,Q1553*0.2000000000+R1552*0.8000000000))</f>
        <v>0</v>
      </c>
      <c r="S1553">
        <f>IF(OR(Q1553="",R1553=""),"",Q1553-R1553)</f>
        <v>0</v>
      </c>
      <c r="T1553">
        <f>IF(COUNT($E$2:$E1553)&lt;14,"",MAX($C$1540:$C$1553))</f>
        <v>0</v>
      </c>
      <c r="U1553">
        <f>IF(COUNT($E$2:$E1553)&lt;14,"",MIN($D$1540:$D$1553))</f>
        <v>0</v>
      </c>
      <c r="V1553">
        <f>IF(OR(T1553="",U1553="",T1553=U1553),"",100*($E1553-U1553)/(T1553-U1553))</f>
        <v>0</v>
      </c>
      <c r="W1553">
        <f>IF(COUNT($V$1551:$V$1553)&lt;3,"",AVERAGE($V$1551:$V$1553))</f>
        <v>0</v>
      </c>
      <c r="X1553">
        <f>IF(COUNT($N$1540:$N$1553)&lt;14,"",MIN($N$1540:$N$1553))</f>
        <v>0</v>
      </c>
      <c r="Y1553">
        <f>IF(COUNT($N$1540:$N$1553)&lt;14,"",MAX($N$1540:$N$1553))</f>
        <v>0</v>
      </c>
      <c r="Z1553">
        <f>IF(OR(N1553="",X1553="",Y1553="",Y1553=X1553),"",100*(N1553-X1553)/(Y1553-X1553))</f>
        <v>0</v>
      </c>
      <c r="AA1553">
        <f>IF(COUNT($Z$1551:$Z$1553)&lt;3,"",AVERAGE($Z$1551:$Z$1553))</f>
        <v>0</v>
      </c>
      <c r="AB1553">
        <f>IF(COUNT($AA$1551:$AA$1553)&lt;3,"",AVERAGE($AA$1551:$AA$1553))</f>
        <v>0</v>
      </c>
      <c r="AC1553">
        <f>IF($E1553="","",MAX($C1553-$D1553,ABS($C1553-$E1552),ABS($D1553-$E1552)))</f>
        <v>0</v>
      </c>
      <c r="AD1553">
        <f>IF(COUNT($E$2:$E1553)&lt;15,"",AVERAGE($AC$1540:$AC$1553))</f>
        <v>0</v>
      </c>
      <c r="AE1553">
        <f>IF(OR($E1553="",$E1552=""),"",IF(AND(($C1553-$C1552)&gt;($D1552-$D1553),($C1553-$C1552)&gt;0),$C1553-$C1552,0))</f>
        <v>0</v>
      </c>
      <c r="AF1553">
        <f>IF(OR($E1553="",$E1552=""),"",IF(AND(($D1552-$D1553)&gt;($C1553-$C1552),($D1552-$D1553)&gt;0),$D1552-$D1553,0))</f>
        <v>0</v>
      </c>
      <c r="AG1553">
        <f>IF(COUNT($E$2:$E1553)&lt;15,"",IF(SUM($AC$1540:$AC$1553)=0,0,100*SUM($AE$1540:$AE$1553)/SUM($AC$1540:$AC$1553)))</f>
        <v>0</v>
      </c>
      <c r="AH1553">
        <f>IF(COUNT($E$2:$E1553)&lt;15,"",IF(SUM($AC$1540:$AC$1553)=0,0,100*SUM($AF$1540:$AF$1553)/SUM($AC$1540:$AC$1553)))</f>
        <v>0</v>
      </c>
      <c r="AI1553">
        <f>IF(OR(AG1553="",AH1553=""),"",IF((AG1553+AH1553)=0,0,100*ABS(AG1553-AH1553)/(AG1553+AH1553)))</f>
        <v>0</v>
      </c>
      <c r="AJ1553">
        <f>IF(COUNT($AI$1540:$AI$1553)&lt;14,"",AVERAGE($AI$1540:$AI$1553))</f>
        <v>0</v>
      </c>
      <c r="AK1553">
        <f>IF(COUNT($E$2:$E1553)&lt;20,"",AVERAGE($E$1534:$E$1553))</f>
        <v>0</v>
      </c>
      <c r="AL1553">
        <f>IF(COUNT($E$2:$E1553)&lt;20,"",STDEVP($E$1534:$E$1553))</f>
        <v>0</v>
      </c>
      <c r="AM1553">
        <f>IF(AK1553="","",AK1553+2*AL1553)</f>
        <v>0</v>
      </c>
      <c r="AN1553">
        <f>IF(AK1553="","",AK1553-2*AL1553)</f>
        <v>0</v>
      </c>
      <c r="AO1553">
        <f>IF(OR(AM1553="",AN1553="",AM1553=AN1553),"",($E1553-AN1553)/(AM1553-AN1553))</f>
        <v>0</v>
      </c>
      <c r="AP1553">
        <f>IF(OR(AM1553="",AK1553="",AK1553=0),"",(AM1553-AN1553)/AK1553)</f>
        <v>0</v>
      </c>
      <c r="AQ1553">
        <f>IF(COUNT($E$2:$E1553)&lt;20,"",MAX($C$1534:$C$1553))</f>
        <v>0</v>
      </c>
      <c r="AR1553">
        <f>IF(COUNT($E$2:$E1553)&lt;20,"",MIN($D$1534:$D$1553))</f>
        <v>0</v>
      </c>
      <c r="AS1553">
        <f>IF(OR(AQ1553="",AR1553=""),"",(AQ1553+AR1553)/2)</f>
        <v>0</v>
      </c>
      <c r="AT1553">
        <f>IF(COUNT($G$1534:$G$1553)&lt;20,"",STDEV($G$1534:$G$1553)*SQRT(252))</f>
        <v>0</v>
      </c>
      <c r="AU1553">
        <f>IF(COUNT($E$2:$E1553)&lt;9,"",(MAX($C$1545:$C$1553)+MIN($D$1545:$D$1553))/2)</f>
        <v>0</v>
      </c>
      <c r="AV1553">
        <f>IF(COUNT($E$2:$E1553)&lt;26,"",(MAX($C$1528:$C$1553)+MIN($D$1528:$D$1553))/2)</f>
        <v>0</v>
      </c>
      <c r="AW1553">
        <f>IF(OR(AU1553="",AV1553=""),"",(AU1553+AV1553)/2)</f>
        <v>0</v>
      </c>
      <c r="AX1553">
        <f>IF(COUNT($E$2:$E1553)&lt;52,"",(MAX($C$1502:$C$1553)+MIN($D$1502:$D$1553))/2)</f>
        <v>0</v>
      </c>
      <c r="AY1553">
        <f>IF(COUNT($E$2:$E1553)&lt;20,"",MAX($C$1454:$C$1553))</f>
        <v>0</v>
      </c>
      <c r="AZ1553">
        <f>IF(COUNT($E$2:$E1553)&lt;20,"",MIN($D$1454:$D$1553))</f>
        <v>0</v>
      </c>
      <c r="BA1553">
        <f>IF(COUNT($E$2:$E1553)&lt;20,"",SLOPE($E$1454:$E$1553,$F$1454:$F$1553))</f>
        <v>0</v>
      </c>
      <c r="BB1553">
        <f>IF(COUNT($E$2:$E1553)&lt;20,"",INTERCEPT($E$1454:$E$1553,$F$1454:$F$1553))</f>
        <v>0</v>
      </c>
      <c r="BC1553">
        <f>IF(OR(BA1553="",BB1553=""),"",BB1553+BA1553*F1553)</f>
        <v>0</v>
      </c>
      <c r="BD1553">
        <f>IF(COUNT($E$2:$E1553)&lt;20,"",STEYX($E$1454:$E$1553,$F$1454:$F$1553))</f>
        <v>0</v>
      </c>
      <c r="BE1553">
        <f>IF($E1553="","",IF(AND(COUNT($E$1554:$E$1557)&gt;=4,$C1553=MAX($C$1549:$C$1557)),$C1553,""))</f>
        <v>0</v>
      </c>
      <c r="BF1553">
        <f>IF($E1553="","",IF(AND(COUNT($E$1554:$E$1557)&gt;=4,$D1553=MIN($D$1549:$D$1557)),$D1553,""))</f>
        <v>0</v>
      </c>
      <c r="BG1553">
        <f>IF($A1553="","",$A1553-WEEKDAY($A1553,2)+1)</f>
        <v>0</v>
      </c>
      <c r="BH1553">
        <f>IF($A1553="","",IF($A1552="",1,IF(BG1553&lt;&gt;BG1552,1,0)))</f>
        <v>0</v>
      </c>
      <c r="BI1553">
        <f>IF($A1553="","",IF($A1554="",1,IF(BG1554&lt;&gt;BG1553,1,0)))</f>
        <v>0</v>
      </c>
      <c r="BJ1553">
        <f>IF($A1553="","",IF(BH1553=1,$B1553,BJ1552))</f>
        <v>0</v>
      </c>
      <c r="BK1553">
        <f>IF($A1553="","",IF(BH1553=1,$C1553,MAX($C1553,BK1552)))</f>
        <v>0</v>
      </c>
      <c r="BL1553">
        <f>IF($A1553="","",IF(BH1553=1,$D1553,MIN($D1553,BL1552)))</f>
        <v>0</v>
      </c>
      <c r="BM1553">
        <f>IF($A1553="","",IF(BI1553=1,F1553,""))</f>
        <v>0</v>
      </c>
      <c r="BN1553">
        <f>IF($A1553="","",DATE(YEAR($A1553),MONTH($A1553),1))</f>
        <v>0</v>
      </c>
      <c r="BO1553">
        <f>IF($A1553="","",IF($A1552="",1,IF(BN1553&lt;&gt;BN1552,1,0)))</f>
        <v>0</v>
      </c>
      <c r="BP1553">
        <f>IF($A1553="","",IF($A1554="",1,IF(BN1554&lt;&gt;BN1553,1,0)))</f>
        <v>0</v>
      </c>
      <c r="BQ1553">
        <f>IF($A1553="","",IF(BO1553=1,$B1553,BQ1552))</f>
        <v>0</v>
      </c>
      <c r="BR1553">
        <f>IF($A1553="","",IF(BO1553=1,$C1553,MAX($C1553,BR1552)))</f>
        <v>0</v>
      </c>
      <c r="BS1553">
        <f>IF($A1553="","",IF(BO1553=1,$D1553,MIN($D1553,BS1552)))</f>
        <v>0</v>
      </c>
      <c r="BT1553">
        <f>IF($A1553="","",IF(BP1553=1,F1553,""))</f>
        <v>0</v>
      </c>
    </row>
    <row r="1554" spans="1:72">
      <c r="A1554" s="27">
        <f>IF(Data!$A1554="","",Data!$A1554)</f>
        <v>0</v>
      </c>
      <c r="B1554">
        <f>IF(Data!$B1554="","",Data!$B1554)</f>
        <v>0</v>
      </c>
      <c r="C1554">
        <f>IF(Data!$C1554="","",Data!$C1554)</f>
        <v>0</v>
      </c>
      <c r="D1554">
        <f>IF(Data!$D1554="","",Data!$D1554)</f>
        <v>0</v>
      </c>
      <c r="E1554">
        <f>IF(Data!$E1554="","",Data!$E1554)</f>
        <v>0</v>
      </c>
      <c r="F1554">
        <f>IF($E1554="","",N(F1553)+1)</f>
        <v>0</v>
      </c>
      <c r="G1554">
        <f>IF(OR($E1554="",$E1553=""),"",LN($E1554/$E1553))</f>
        <v>0</v>
      </c>
      <c r="H1554">
        <f>IF($E1554="","",IF($E1553="",$E1554,$E1554*0.0952380952+H1553*0.9047619048))</f>
        <v>0</v>
      </c>
      <c r="I1554">
        <f>IF($E1554="","",IF($E1553="",$E1554,$E1554*0.0392156863+I1553*0.9607843137))</f>
        <v>0</v>
      </c>
      <c r="J1554">
        <f>IF($E1554="","",IF($E1553="",$E1554,$E1554*0.0198019802+J1553*0.9801980198))</f>
        <v>0</v>
      </c>
      <c r="K1554">
        <f>IF($E1554="","",IF($E1553="",$E1554,$E1554*0.0099502488+K1553*0.9900497512))</f>
        <v>0</v>
      </c>
      <c r="L1554">
        <f>IF(OR($E1554="",$E1553=""),"",MAX($E1554-$E1553,0))</f>
        <v>0</v>
      </c>
      <c r="M1554">
        <f>IF(OR($E1554="",$E1553=""),"",MAX($E1553-$E1554,0))</f>
        <v>0</v>
      </c>
      <c r="N1554">
        <f>IF(COUNT($E$2:$E1554)&lt;15,"",IF(AVERAGE($M$1541:$M$1554)=0,100,100-100/(1+AVERAGE($L$1541:$L$1554)/AVERAGE($M$1541:$M$1554))))</f>
        <v>0</v>
      </c>
      <c r="O1554">
        <f>IF($E1554="","",IF($E1553="",$E1554,$E1554*0.1538461538+O1553*0.8461538462))</f>
        <v>0</v>
      </c>
      <c r="P1554">
        <f>IF($E1554="","",IF($E1553="",$E1554,$E1554*0.0740740741+P1553*0.9259259259))</f>
        <v>0</v>
      </c>
      <c r="Q1554">
        <f>IF(OR(O1554="",P1554=""),"",O1554-P1554)</f>
        <v>0</v>
      </c>
      <c r="R1554">
        <f>IF(Q1554="","",IF(R1553="",Q1554,Q1554*0.2000000000+R1553*0.8000000000))</f>
        <v>0</v>
      </c>
      <c r="S1554">
        <f>IF(OR(Q1554="",R1554=""),"",Q1554-R1554)</f>
        <v>0</v>
      </c>
      <c r="T1554">
        <f>IF(COUNT($E$2:$E1554)&lt;14,"",MAX($C$1541:$C$1554))</f>
        <v>0</v>
      </c>
      <c r="U1554">
        <f>IF(COUNT($E$2:$E1554)&lt;14,"",MIN($D$1541:$D$1554))</f>
        <v>0</v>
      </c>
      <c r="V1554">
        <f>IF(OR(T1554="",U1554="",T1554=U1554),"",100*($E1554-U1554)/(T1554-U1554))</f>
        <v>0</v>
      </c>
      <c r="W1554">
        <f>IF(COUNT($V$1552:$V$1554)&lt;3,"",AVERAGE($V$1552:$V$1554))</f>
        <v>0</v>
      </c>
      <c r="X1554">
        <f>IF(COUNT($N$1541:$N$1554)&lt;14,"",MIN($N$1541:$N$1554))</f>
        <v>0</v>
      </c>
      <c r="Y1554">
        <f>IF(COUNT($N$1541:$N$1554)&lt;14,"",MAX($N$1541:$N$1554))</f>
        <v>0</v>
      </c>
      <c r="Z1554">
        <f>IF(OR(N1554="",X1554="",Y1554="",Y1554=X1554),"",100*(N1554-X1554)/(Y1554-X1554))</f>
        <v>0</v>
      </c>
      <c r="AA1554">
        <f>IF(COUNT($Z$1552:$Z$1554)&lt;3,"",AVERAGE($Z$1552:$Z$1554))</f>
        <v>0</v>
      </c>
      <c r="AB1554">
        <f>IF(COUNT($AA$1552:$AA$1554)&lt;3,"",AVERAGE($AA$1552:$AA$1554))</f>
        <v>0</v>
      </c>
      <c r="AC1554">
        <f>IF($E1554="","",MAX($C1554-$D1554,ABS($C1554-$E1553),ABS($D1554-$E1553)))</f>
        <v>0</v>
      </c>
      <c r="AD1554">
        <f>IF(COUNT($E$2:$E1554)&lt;15,"",AVERAGE($AC$1541:$AC$1554))</f>
        <v>0</v>
      </c>
      <c r="AE1554">
        <f>IF(OR($E1554="",$E1553=""),"",IF(AND(($C1554-$C1553)&gt;($D1553-$D1554),($C1554-$C1553)&gt;0),$C1554-$C1553,0))</f>
        <v>0</v>
      </c>
      <c r="AF1554">
        <f>IF(OR($E1554="",$E1553=""),"",IF(AND(($D1553-$D1554)&gt;($C1554-$C1553),($D1553-$D1554)&gt;0),$D1553-$D1554,0))</f>
        <v>0</v>
      </c>
      <c r="AG1554">
        <f>IF(COUNT($E$2:$E1554)&lt;15,"",IF(SUM($AC$1541:$AC$1554)=0,0,100*SUM($AE$1541:$AE$1554)/SUM($AC$1541:$AC$1554)))</f>
        <v>0</v>
      </c>
      <c r="AH1554">
        <f>IF(COUNT($E$2:$E1554)&lt;15,"",IF(SUM($AC$1541:$AC$1554)=0,0,100*SUM($AF$1541:$AF$1554)/SUM($AC$1541:$AC$1554)))</f>
        <v>0</v>
      </c>
      <c r="AI1554">
        <f>IF(OR(AG1554="",AH1554=""),"",IF((AG1554+AH1554)=0,0,100*ABS(AG1554-AH1554)/(AG1554+AH1554)))</f>
        <v>0</v>
      </c>
      <c r="AJ1554">
        <f>IF(COUNT($AI$1541:$AI$1554)&lt;14,"",AVERAGE($AI$1541:$AI$1554))</f>
        <v>0</v>
      </c>
      <c r="AK1554">
        <f>IF(COUNT($E$2:$E1554)&lt;20,"",AVERAGE($E$1535:$E$1554))</f>
        <v>0</v>
      </c>
      <c r="AL1554">
        <f>IF(COUNT($E$2:$E1554)&lt;20,"",STDEVP($E$1535:$E$1554))</f>
        <v>0</v>
      </c>
      <c r="AM1554">
        <f>IF(AK1554="","",AK1554+2*AL1554)</f>
        <v>0</v>
      </c>
      <c r="AN1554">
        <f>IF(AK1554="","",AK1554-2*AL1554)</f>
        <v>0</v>
      </c>
      <c r="AO1554">
        <f>IF(OR(AM1554="",AN1554="",AM1554=AN1554),"",($E1554-AN1554)/(AM1554-AN1554))</f>
        <v>0</v>
      </c>
      <c r="AP1554">
        <f>IF(OR(AM1554="",AK1554="",AK1554=0),"",(AM1554-AN1554)/AK1554)</f>
        <v>0</v>
      </c>
      <c r="AQ1554">
        <f>IF(COUNT($E$2:$E1554)&lt;20,"",MAX($C$1535:$C$1554))</f>
        <v>0</v>
      </c>
      <c r="AR1554">
        <f>IF(COUNT($E$2:$E1554)&lt;20,"",MIN($D$1535:$D$1554))</f>
        <v>0</v>
      </c>
      <c r="AS1554">
        <f>IF(OR(AQ1554="",AR1554=""),"",(AQ1554+AR1554)/2)</f>
        <v>0</v>
      </c>
      <c r="AT1554">
        <f>IF(COUNT($G$1535:$G$1554)&lt;20,"",STDEV($G$1535:$G$1554)*SQRT(252))</f>
        <v>0</v>
      </c>
      <c r="AU1554">
        <f>IF(COUNT($E$2:$E1554)&lt;9,"",(MAX($C$1546:$C$1554)+MIN($D$1546:$D$1554))/2)</f>
        <v>0</v>
      </c>
      <c r="AV1554">
        <f>IF(COUNT($E$2:$E1554)&lt;26,"",(MAX($C$1529:$C$1554)+MIN($D$1529:$D$1554))/2)</f>
        <v>0</v>
      </c>
      <c r="AW1554">
        <f>IF(OR(AU1554="",AV1554=""),"",(AU1554+AV1554)/2)</f>
        <v>0</v>
      </c>
      <c r="AX1554">
        <f>IF(COUNT($E$2:$E1554)&lt;52,"",(MAX($C$1503:$C$1554)+MIN($D$1503:$D$1554))/2)</f>
        <v>0</v>
      </c>
      <c r="AY1554">
        <f>IF(COUNT($E$2:$E1554)&lt;20,"",MAX($C$1455:$C$1554))</f>
        <v>0</v>
      </c>
      <c r="AZ1554">
        <f>IF(COUNT($E$2:$E1554)&lt;20,"",MIN($D$1455:$D$1554))</f>
        <v>0</v>
      </c>
      <c r="BA1554">
        <f>IF(COUNT($E$2:$E1554)&lt;20,"",SLOPE($E$1455:$E$1554,$F$1455:$F$1554))</f>
        <v>0</v>
      </c>
      <c r="BB1554">
        <f>IF(COUNT($E$2:$E1554)&lt;20,"",INTERCEPT($E$1455:$E$1554,$F$1455:$F$1554))</f>
        <v>0</v>
      </c>
      <c r="BC1554">
        <f>IF(OR(BA1554="",BB1554=""),"",BB1554+BA1554*F1554)</f>
        <v>0</v>
      </c>
      <c r="BD1554">
        <f>IF(COUNT($E$2:$E1554)&lt;20,"",STEYX($E$1455:$E$1554,$F$1455:$F$1554))</f>
        <v>0</v>
      </c>
      <c r="BE1554">
        <f>IF($E1554="","",IF(AND(COUNT($E$1555:$E$1558)&gt;=4,$C1554=MAX($C$1550:$C$1558)),$C1554,""))</f>
        <v>0</v>
      </c>
      <c r="BF1554">
        <f>IF($E1554="","",IF(AND(COUNT($E$1555:$E$1558)&gt;=4,$D1554=MIN($D$1550:$D$1558)),$D1554,""))</f>
        <v>0</v>
      </c>
      <c r="BG1554">
        <f>IF($A1554="","",$A1554-WEEKDAY($A1554,2)+1)</f>
        <v>0</v>
      </c>
      <c r="BH1554">
        <f>IF($A1554="","",IF($A1553="",1,IF(BG1554&lt;&gt;BG1553,1,0)))</f>
        <v>0</v>
      </c>
      <c r="BI1554">
        <f>IF($A1554="","",IF($A1555="",1,IF(BG1555&lt;&gt;BG1554,1,0)))</f>
        <v>0</v>
      </c>
      <c r="BJ1554">
        <f>IF($A1554="","",IF(BH1554=1,$B1554,BJ1553))</f>
        <v>0</v>
      </c>
      <c r="BK1554">
        <f>IF($A1554="","",IF(BH1554=1,$C1554,MAX($C1554,BK1553)))</f>
        <v>0</v>
      </c>
      <c r="BL1554">
        <f>IF($A1554="","",IF(BH1554=1,$D1554,MIN($D1554,BL1553)))</f>
        <v>0</v>
      </c>
      <c r="BM1554">
        <f>IF($A1554="","",IF(BI1554=1,F1554,""))</f>
        <v>0</v>
      </c>
      <c r="BN1554">
        <f>IF($A1554="","",DATE(YEAR($A1554),MONTH($A1554),1))</f>
        <v>0</v>
      </c>
      <c r="BO1554">
        <f>IF($A1554="","",IF($A1553="",1,IF(BN1554&lt;&gt;BN1553,1,0)))</f>
        <v>0</v>
      </c>
      <c r="BP1554">
        <f>IF($A1554="","",IF($A1555="",1,IF(BN1555&lt;&gt;BN1554,1,0)))</f>
        <v>0</v>
      </c>
      <c r="BQ1554">
        <f>IF($A1554="","",IF(BO1554=1,$B1554,BQ1553))</f>
        <v>0</v>
      </c>
      <c r="BR1554">
        <f>IF($A1554="","",IF(BO1554=1,$C1554,MAX($C1554,BR1553)))</f>
        <v>0</v>
      </c>
      <c r="BS1554">
        <f>IF($A1554="","",IF(BO1554=1,$D1554,MIN($D1554,BS1553)))</f>
        <v>0</v>
      </c>
      <c r="BT1554">
        <f>IF($A1554="","",IF(BP1554=1,F1554,""))</f>
        <v>0</v>
      </c>
    </row>
    <row r="1555" spans="1:72">
      <c r="A1555" s="27">
        <f>IF(Data!$A1555="","",Data!$A1555)</f>
        <v>0</v>
      </c>
      <c r="B1555">
        <f>IF(Data!$B1555="","",Data!$B1555)</f>
        <v>0</v>
      </c>
      <c r="C1555">
        <f>IF(Data!$C1555="","",Data!$C1555)</f>
        <v>0</v>
      </c>
      <c r="D1555">
        <f>IF(Data!$D1555="","",Data!$D1555)</f>
        <v>0</v>
      </c>
      <c r="E1555">
        <f>IF(Data!$E1555="","",Data!$E1555)</f>
        <v>0</v>
      </c>
      <c r="F1555">
        <f>IF($E1555="","",N(F1554)+1)</f>
        <v>0</v>
      </c>
      <c r="G1555">
        <f>IF(OR($E1555="",$E1554=""),"",LN($E1555/$E1554))</f>
        <v>0</v>
      </c>
      <c r="H1555">
        <f>IF($E1555="","",IF($E1554="",$E1555,$E1555*0.0952380952+H1554*0.9047619048))</f>
        <v>0</v>
      </c>
      <c r="I1555">
        <f>IF($E1555="","",IF($E1554="",$E1555,$E1555*0.0392156863+I1554*0.9607843137))</f>
        <v>0</v>
      </c>
      <c r="J1555">
        <f>IF($E1555="","",IF($E1554="",$E1555,$E1555*0.0198019802+J1554*0.9801980198))</f>
        <v>0</v>
      </c>
      <c r="K1555">
        <f>IF($E1555="","",IF($E1554="",$E1555,$E1555*0.0099502488+K1554*0.9900497512))</f>
        <v>0</v>
      </c>
      <c r="L1555">
        <f>IF(OR($E1555="",$E1554=""),"",MAX($E1555-$E1554,0))</f>
        <v>0</v>
      </c>
      <c r="M1555">
        <f>IF(OR($E1555="",$E1554=""),"",MAX($E1554-$E1555,0))</f>
        <v>0</v>
      </c>
      <c r="N1555">
        <f>IF(COUNT($E$2:$E1555)&lt;15,"",IF(AVERAGE($M$1542:$M$1555)=0,100,100-100/(1+AVERAGE($L$1542:$L$1555)/AVERAGE($M$1542:$M$1555))))</f>
        <v>0</v>
      </c>
      <c r="O1555">
        <f>IF($E1555="","",IF($E1554="",$E1555,$E1555*0.1538461538+O1554*0.8461538462))</f>
        <v>0</v>
      </c>
      <c r="P1555">
        <f>IF($E1555="","",IF($E1554="",$E1555,$E1555*0.0740740741+P1554*0.9259259259))</f>
        <v>0</v>
      </c>
      <c r="Q1555">
        <f>IF(OR(O1555="",P1555=""),"",O1555-P1555)</f>
        <v>0</v>
      </c>
      <c r="R1555">
        <f>IF(Q1555="","",IF(R1554="",Q1555,Q1555*0.2000000000+R1554*0.8000000000))</f>
        <v>0</v>
      </c>
      <c r="S1555">
        <f>IF(OR(Q1555="",R1555=""),"",Q1555-R1555)</f>
        <v>0</v>
      </c>
      <c r="T1555">
        <f>IF(COUNT($E$2:$E1555)&lt;14,"",MAX($C$1542:$C$1555))</f>
        <v>0</v>
      </c>
      <c r="U1555">
        <f>IF(COUNT($E$2:$E1555)&lt;14,"",MIN($D$1542:$D$1555))</f>
        <v>0</v>
      </c>
      <c r="V1555">
        <f>IF(OR(T1555="",U1555="",T1555=U1555),"",100*($E1555-U1555)/(T1555-U1555))</f>
        <v>0</v>
      </c>
      <c r="W1555">
        <f>IF(COUNT($V$1553:$V$1555)&lt;3,"",AVERAGE($V$1553:$V$1555))</f>
        <v>0</v>
      </c>
      <c r="X1555">
        <f>IF(COUNT($N$1542:$N$1555)&lt;14,"",MIN($N$1542:$N$1555))</f>
        <v>0</v>
      </c>
      <c r="Y1555">
        <f>IF(COUNT($N$1542:$N$1555)&lt;14,"",MAX($N$1542:$N$1555))</f>
        <v>0</v>
      </c>
      <c r="Z1555">
        <f>IF(OR(N1555="",X1555="",Y1555="",Y1555=X1555),"",100*(N1555-X1555)/(Y1555-X1555))</f>
        <v>0</v>
      </c>
      <c r="AA1555">
        <f>IF(COUNT($Z$1553:$Z$1555)&lt;3,"",AVERAGE($Z$1553:$Z$1555))</f>
        <v>0</v>
      </c>
      <c r="AB1555">
        <f>IF(COUNT($AA$1553:$AA$1555)&lt;3,"",AVERAGE($AA$1553:$AA$1555))</f>
        <v>0</v>
      </c>
      <c r="AC1555">
        <f>IF($E1555="","",MAX($C1555-$D1555,ABS($C1555-$E1554),ABS($D1555-$E1554)))</f>
        <v>0</v>
      </c>
      <c r="AD1555">
        <f>IF(COUNT($E$2:$E1555)&lt;15,"",AVERAGE($AC$1542:$AC$1555))</f>
        <v>0</v>
      </c>
      <c r="AE1555">
        <f>IF(OR($E1555="",$E1554=""),"",IF(AND(($C1555-$C1554)&gt;($D1554-$D1555),($C1555-$C1554)&gt;0),$C1555-$C1554,0))</f>
        <v>0</v>
      </c>
      <c r="AF1555">
        <f>IF(OR($E1555="",$E1554=""),"",IF(AND(($D1554-$D1555)&gt;($C1555-$C1554),($D1554-$D1555)&gt;0),$D1554-$D1555,0))</f>
        <v>0</v>
      </c>
      <c r="AG1555">
        <f>IF(COUNT($E$2:$E1555)&lt;15,"",IF(SUM($AC$1542:$AC$1555)=0,0,100*SUM($AE$1542:$AE$1555)/SUM($AC$1542:$AC$1555)))</f>
        <v>0</v>
      </c>
      <c r="AH1555">
        <f>IF(COUNT($E$2:$E1555)&lt;15,"",IF(SUM($AC$1542:$AC$1555)=0,0,100*SUM($AF$1542:$AF$1555)/SUM($AC$1542:$AC$1555)))</f>
        <v>0</v>
      </c>
      <c r="AI1555">
        <f>IF(OR(AG1555="",AH1555=""),"",IF((AG1555+AH1555)=0,0,100*ABS(AG1555-AH1555)/(AG1555+AH1555)))</f>
        <v>0</v>
      </c>
      <c r="AJ1555">
        <f>IF(COUNT($AI$1542:$AI$1555)&lt;14,"",AVERAGE($AI$1542:$AI$1555))</f>
        <v>0</v>
      </c>
      <c r="AK1555">
        <f>IF(COUNT($E$2:$E1555)&lt;20,"",AVERAGE($E$1536:$E$1555))</f>
        <v>0</v>
      </c>
      <c r="AL1555">
        <f>IF(COUNT($E$2:$E1555)&lt;20,"",STDEVP($E$1536:$E$1555))</f>
        <v>0</v>
      </c>
      <c r="AM1555">
        <f>IF(AK1555="","",AK1555+2*AL1555)</f>
        <v>0</v>
      </c>
      <c r="AN1555">
        <f>IF(AK1555="","",AK1555-2*AL1555)</f>
        <v>0</v>
      </c>
      <c r="AO1555">
        <f>IF(OR(AM1555="",AN1555="",AM1555=AN1555),"",($E1555-AN1555)/(AM1555-AN1555))</f>
        <v>0</v>
      </c>
      <c r="AP1555">
        <f>IF(OR(AM1555="",AK1555="",AK1555=0),"",(AM1555-AN1555)/AK1555)</f>
        <v>0</v>
      </c>
      <c r="AQ1555">
        <f>IF(COUNT($E$2:$E1555)&lt;20,"",MAX($C$1536:$C$1555))</f>
        <v>0</v>
      </c>
      <c r="AR1555">
        <f>IF(COUNT($E$2:$E1555)&lt;20,"",MIN($D$1536:$D$1555))</f>
        <v>0</v>
      </c>
      <c r="AS1555">
        <f>IF(OR(AQ1555="",AR1555=""),"",(AQ1555+AR1555)/2)</f>
        <v>0</v>
      </c>
      <c r="AT1555">
        <f>IF(COUNT($G$1536:$G$1555)&lt;20,"",STDEV($G$1536:$G$1555)*SQRT(252))</f>
        <v>0</v>
      </c>
      <c r="AU1555">
        <f>IF(COUNT($E$2:$E1555)&lt;9,"",(MAX($C$1547:$C$1555)+MIN($D$1547:$D$1555))/2)</f>
        <v>0</v>
      </c>
      <c r="AV1555">
        <f>IF(COUNT($E$2:$E1555)&lt;26,"",(MAX($C$1530:$C$1555)+MIN($D$1530:$D$1555))/2)</f>
        <v>0</v>
      </c>
      <c r="AW1555">
        <f>IF(OR(AU1555="",AV1555=""),"",(AU1555+AV1555)/2)</f>
        <v>0</v>
      </c>
      <c r="AX1555">
        <f>IF(COUNT($E$2:$E1555)&lt;52,"",(MAX($C$1504:$C$1555)+MIN($D$1504:$D$1555))/2)</f>
        <v>0</v>
      </c>
      <c r="AY1555">
        <f>IF(COUNT($E$2:$E1555)&lt;20,"",MAX($C$1456:$C$1555))</f>
        <v>0</v>
      </c>
      <c r="AZ1555">
        <f>IF(COUNT($E$2:$E1555)&lt;20,"",MIN($D$1456:$D$1555))</f>
        <v>0</v>
      </c>
      <c r="BA1555">
        <f>IF(COUNT($E$2:$E1555)&lt;20,"",SLOPE($E$1456:$E$1555,$F$1456:$F$1555))</f>
        <v>0</v>
      </c>
      <c r="BB1555">
        <f>IF(COUNT($E$2:$E1555)&lt;20,"",INTERCEPT($E$1456:$E$1555,$F$1456:$F$1555))</f>
        <v>0</v>
      </c>
      <c r="BC1555">
        <f>IF(OR(BA1555="",BB1555=""),"",BB1555+BA1555*F1555)</f>
        <v>0</v>
      </c>
      <c r="BD1555">
        <f>IF(COUNT($E$2:$E1555)&lt;20,"",STEYX($E$1456:$E$1555,$F$1456:$F$1555))</f>
        <v>0</v>
      </c>
      <c r="BE1555">
        <f>IF($E1555="","",IF(AND(COUNT($E$1556:$E$1559)&gt;=4,$C1555=MAX($C$1551:$C$1559)),$C1555,""))</f>
        <v>0</v>
      </c>
      <c r="BF1555">
        <f>IF($E1555="","",IF(AND(COUNT($E$1556:$E$1559)&gt;=4,$D1555=MIN($D$1551:$D$1559)),$D1555,""))</f>
        <v>0</v>
      </c>
      <c r="BG1555">
        <f>IF($A1555="","",$A1555-WEEKDAY($A1555,2)+1)</f>
        <v>0</v>
      </c>
      <c r="BH1555">
        <f>IF($A1555="","",IF($A1554="",1,IF(BG1555&lt;&gt;BG1554,1,0)))</f>
        <v>0</v>
      </c>
      <c r="BI1555">
        <f>IF($A1555="","",IF($A1556="",1,IF(BG1556&lt;&gt;BG1555,1,0)))</f>
        <v>0</v>
      </c>
      <c r="BJ1555">
        <f>IF($A1555="","",IF(BH1555=1,$B1555,BJ1554))</f>
        <v>0</v>
      </c>
      <c r="BK1555">
        <f>IF($A1555="","",IF(BH1555=1,$C1555,MAX($C1555,BK1554)))</f>
        <v>0</v>
      </c>
      <c r="BL1555">
        <f>IF($A1555="","",IF(BH1555=1,$D1555,MIN($D1555,BL1554)))</f>
        <v>0</v>
      </c>
      <c r="BM1555">
        <f>IF($A1555="","",IF(BI1555=1,F1555,""))</f>
        <v>0</v>
      </c>
      <c r="BN1555">
        <f>IF($A1555="","",DATE(YEAR($A1555),MONTH($A1555),1))</f>
        <v>0</v>
      </c>
      <c r="BO1555">
        <f>IF($A1555="","",IF($A1554="",1,IF(BN1555&lt;&gt;BN1554,1,0)))</f>
        <v>0</v>
      </c>
      <c r="BP1555">
        <f>IF($A1555="","",IF($A1556="",1,IF(BN1556&lt;&gt;BN1555,1,0)))</f>
        <v>0</v>
      </c>
      <c r="BQ1555">
        <f>IF($A1555="","",IF(BO1555=1,$B1555,BQ1554))</f>
        <v>0</v>
      </c>
      <c r="BR1555">
        <f>IF($A1555="","",IF(BO1555=1,$C1555,MAX($C1555,BR1554)))</f>
        <v>0</v>
      </c>
      <c r="BS1555">
        <f>IF($A1555="","",IF(BO1555=1,$D1555,MIN($D1555,BS1554)))</f>
        <v>0</v>
      </c>
      <c r="BT1555">
        <f>IF($A1555="","",IF(BP1555=1,F1555,""))</f>
        <v>0</v>
      </c>
    </row>
    <row r="1556" spans="1:72">
      <c r="A1556" s="27">
        <f>IF(Data!$A1556="","",Data!$A1556)</f>
        <v>0</v>
      </c>
      <c r="B1556">
        <f>IF(Data!$B1556="","",Data!$B1556)</f>
        <v>0</v>
      </c>
      <c r="C1556">
        <f>IF(Data!$C1556="","",Data!$C1556)</f>
        <v>0</v>
      </c>
      <c r="D1556">
        <f>IF(Data!$D1556="","",Data!$D1556)</f>
        <v>0</v>
      </c>
      <c r="E1556">
        <f>IF(Data!$E1556="","",Data!$E1556)</f>
        <v>0</v>
      </c>
      <c r="F1556">
        <f>IF($E1556="","",N(F1555)+1)</f>
        <v>0</v>
      </c>
      <c r="G1556">
        <f>IF(OR($E1556="",$E1555=""),"",LN($E1556/$E1555))</f>
        <v>0</v>
      </c>
      <c r="H1556">
        <f>IF($E1556="","",IF($E1555="",$E1556,$E1556*0.0952380952+H1555*0.9047619048))</f>
        <v>0</v>
      </c>
      <c r="I1556">
        <f>IF($E1556="","",IF($E1555="",$E1556,$E1556*0.0392156863+I1555*0.9607843137))</f>
        <v>0</v>
      </c>
      <c r="J1556">
        <f>IF($E1556="","",IF($E1555="",$E1556,$E1556*0.0198019802+J1555*0.9801980198))</f>
        <v>0</v>
      </c>
      <c r="K1556">
        <f>IF($E1556="","",IF($E1555="",$E1556,$E1556*0.0099502488+K1555*0.9900497512))</f>
        <v>0</v>
      </c>
      <c r="L1556">
        <f>IF(OR($E1556="",$E1555=""),"",MAX($E1556-$E1555,0))</f>
        <v>0</v>
      </c>
      <c r="M1556">
        <f>IF(OR($E1556="",$E1555=""),"",MAX($E1555-$E1556,0))</f>
        <v>0</v>
      </c>
      <c r="N1556">
        <f>IF(COUNT($E$2:$E1556)&lt;15,"",IF(AVERAGE($M$1543:$M$1556)=0,100,100-100/(1+AVERAGE($L$1543:$L$1556)/AVERAGE($M$1543:$M$1556))))</f>
        <v>0</v>
      </c>
      <c r="O1556">
        <f>IF($E1556="","",IF($E1555="",$E1556,$E1556*0.1538461538+O1555*0.8461538462))</f>
        <v>0</v>
      </c>
      <c r="P1556">
        <f>IF($E1556="","",IF($E1555="",$E1556,$E1556*0.0740740741+P1555*0.9259259259))</f>
        <v>0</v>
      </c>
      <c r="Q1556">
        <f>IF(OR(O1556="",P1556=""),"",O1556-P1556)</f>
        <v>0</v>
      </c>
      <c r="R1556">
        <f>IF(Q1556="","",IF(R1555="",Q1556,Q1556*0.2000000000+R1555*0.8000000000))</f>
        <v>0</v>
      </c>
      <c r="S1556">
        <f>IF(OR(Q1556="",R1556=""),"",Q1556-R1556)</f>
        <v>0</v>
      </c>
      <c r="T1556">
        <f>IF(COUNT($E$2:$E1556)&lt;14,"",MAX($C$1543:$C$1556))</f>
        <v>0</v>
      </c>
      <c r="U1556">
        <f>IF(COUNT($E$2:$E1556)&lt;14,"",MIN($D$1543:$D$1556))</f>
        <v>0</v>
      </c>
      <c r="V1556">
        <f>IF(OR(T1556="",U1556="",T1556=U1556),"",100*($E1556-U1556)/(T1556-U1556))</f>
        <v>0</v>
      </c>
      <c r="W1556">
        <f>IF(COUNT($V$1554:$V$1556)&lt;3,"",AVERAGE($V$1554:$V$1556))</f>
        <v>0</v>
      </c>
      <c r="X1556">
        <f>IF(COUNT($N$1543:$N$1556)&lt;14,"",MIN($N$1543:$N$1556))</f>
        <v>0</v>
      </c>
      <c r="Y1556">
        <f>IF(COUNT($N$1543:$N$1556)&lt;14,"",MAX($N$1543:$N$1556))</f>
        <v>0</v>
      </c>
      <c r="Z1556">
        <f>IF(OR(N1556="",X1556="",Y1556="",Y1556=X1556),"",100*(N1556-X1556)/(Y1556-X1556))</f>
        <v>0</v>
      </c>
      <c r="AA1556">
        <f>IF(COUNT($Z$1554:$Z$1556)&lt;3,"",AVERAGE($Z$1554:$Z$1556))</f>
        <v>0</v>
      </c>
      <c r="AB1556">
        <f>IF(COUNT($AA$1554:$AA$1556)&lt;3,"",AVERAGE($AA$1554:$AA$1556))</f>
        <v>0</v>
      </c>
      <c r="AC1556">
        <f>IF($E1556="","",MAX($C1556-$D1556,ABS($C1556-$E1555),ABS($D1556-$E1555)))</f>
        <v>0</v>
      </c>
      <c r="AD1556">
        <f>IF(COUNT($E$2:$E1556)&lt;15,"",AVERAGE($AC$1543:$AC$1556))</f>
        <v>0</v>
      </c>
      <c r="AE1556">
        <f>IF(OR($E1556="",$E1555=""),"",IF(AND(($C1556-$C1555)&gt;($D1555-$D1556),($C1556-$C1555)&gt;0),$C1556-$C1555,0))</f>
        <v>0</v>
      </c>
      <c r="AF1556">
        <f>IF(OR($E1556="",$E1555=""),"",IF(AND(($D1555-$D1556)&gt;($C1556-$C1555),($D1555-$D1556)&gt;0),$D1555-$D1556,0))</f>
        <v>0</v>
      </c>
      <c r="AG1556">
        <f>IF(COUNT($E$2:$E1556)&lt;15,"",IF(SUM($AC$1543:$AC$1556)=0,0,100*SUM($AE$1543:$AE$1556)/SUM($AC$1543:$AC$1556)))</f>
        <v>0</v>
      </c>
      <c r="AH1556">
        <f>IF(COUNT($E$2:$E1556)&lt;15,"",IF(SUM($AC$1543:$AC$1556)=0,0,100*SUM($AF$1543:$AF$1556)/SUM($AC$1543:$AC$1556)))</f>
        <v>0</v>
      </c>
      <c r="AI1556">
        <f>IF(OR(AG1556="",AH1556=""),"",IF((AG1556+AH1556)=0,0,100*ABS(AG1556-AH1556)/(AG1556+AH1556)))</f>
        <v>0</v>
      </c>
      <c r="AJ1556">
        <f>IF(COUNT($AI$1543:$AI$1556)&lt;14,"",AVERAGE($AI$1543:$AI$1556))</f>
        <v>0</v>
      </c>
      <c r="AK1556">
        <f>IF(COUNT($E$2:$E1556)&lt;20,"",AVERAGE($E$1537:$E$1556))</f>
        <v>0</v>
      </c>
      <c r="AL1556">
        <f>IF(COUNT($E$2:$E1556)&lt;20,"",STDEVP($E$1537:$E$1556))</f>
        <v>0</v>
      </c>
      <c r="AM1556">
        <f>IF(AK1556="","",AK1556+2*AL1556)</f>
        <v>0</v>
      </c>
      <c r="AN1556">
        <f>IF(AK1556="","",AK1556-2*AL1556)</f>
        <v>0</v>
      </c>
      <c r="AO1556">
        <f>IF(OR(AM1556="",AN1556="",AM1556=AN1556),"",($E1556-AN1556)/(AM1556-AN1556))</f>
        <v>0</v>
      </c>
      <c r="AP1556">
        <f>IF(OR(AM1556="",AK1556="",AK1556=0),"",(AM1556-AN1556)/AK1556)</f>
        <v>0</v>
      </c>
      <c r="AQ1556">
        <f>IF(COUNT($E$2:$E1556)&lt;20,"",MAX($C$1537:$C$1556))</f>
        <v>0</v>
      </c>
      <c r="AR1556">
        <f>IF(COUNT($E$2:$E1556)&lt;20,"",MIN($D$1537:$D$1556))</f>
        <v>0</v>
      </c>
      <c r="AS1556">
        <f>IF(OR(AQ1556="",AR1556=""),"",(AQ1556+AR1556)/2)</f>
        <v>0</v>
      </c>
      <c r="AT1556">
        <f>IF(COUNT($G$1537:$G$1556)&lt;20,"",STDEV($G$1537:$G$1556)*SQRT(252))</f>
        <v>0</v>
      </c>
      <c r="AU1556">
        <f>IF(COUNT($E$2:$E1556)&lt;9,"",(MAX($C$1548:$C$1556)+MIN($D$1548:$D$1556))/2)</f>
        <v>0</v>
      </c>
      <c r="AV1556">
        <f>IF(COUNT($E$2:$E1556)&lt;26,"",(MAX($C$1531:$C$1556)+MIN($D$1531:$D$1556))/2)</f>
        <v>0</v>
      </c>
      <c r="AW1556">
        <f>IF(OR(AU1556="",AV1556=""),"",(AU1556+AV1556)/2)</f>
        <v>0</v>
      </c>
      <c r="AX1556">
        <f>IF(COUNT($E$2:$E1556)&lt;52,"",(MAX($C$1505:$C$1556)+MIN($D$1505:$D$1556))/2)</f>
        <v>0</v>
      </c>
      <c r="AY1556">
        <f>IF(COUNT($E$2:$E1556)&lt;20,"",MAX($C$1457:$C$1556))</f>
        <v>0</v>
      </c>
      <c r="AZ1556">
        <f>IF(COUNT($E$2:$E1556)&lt;20,"",MIN($D$1457:$D$1556))</f>
        <v>0</v>
      </c>
      <c r="BA1556">
        <f>IF(COUNT($E$2:$E1556)&lt;20,"",SLOPE($E$1457:$E$1556,$F$1457:$F$1556))</f>
        <v>0</v>
      </c>
      <c r="BB1556">
        <f>IF(COUNT($E$2:$E1556)&lt;20,"",INTERCEPT($E$1457:$E$1556,$F$1457:$F$1556))</f>
        <v>0</v>
      </c>
      <c r="BC1556">
        <f>IF(OR(BA1556="",BB1556=""),"",BB1556+BA1556*F1556)</f>
        <v>0</v>
      </c>
      <c r="BD1556">
        <f>IF(COUNT($E$2:$E1556)&lt;20,"",STEYX($E$1457:$E$1556,$F$1457:$F$1556))</f>
        <v>0</v>
      </c>
      <c r="BE1556">
        <f>IF($E1556="","",IF(AND(COUNT($E$1557:$E$1560)&gt;=4,$C1556=MAX($C$1552:$C$1560)),$C1556,""))</f>
        <v>0</v>
      </c>
      <c r="BF1556">
        <f>IF($E1556="","",IF(AND(COUNT($E$1557:$E$1560)&gt;=4,$D1556=MIN($D$1552:$D$1560)),$D1556,""))</f>
        <v>0</v>
      </c>
      <c r="BG1556">
        <f>IF($A1556="","",$A1556-WEEKDAY($A1556,2)+1)</f>
        <v>0</v>
      </c>
      <c r="BH1556">
        <f>IF($A1556="","",IF($A1555="",1,IF(BG1556&lt;&gt;BG1555,1,0)))</f>
        <v>0</v>
      </c>
      <c r="BI1556">
        <f>IF($A1556="","",IF($A1557="",1,IF(BG1557&lt;&gt;BG1556,1,0)))</f>
        <v>0</v>
      </c>
      <c r="BJ1556">
        <f>IF($A1556="","",IF(BH1556=1,$B1556,BJ1555))</f>
        <v>0</v>
      </c>
      <c r="BK1556">
        <f>IF($A1556="","",IF(BH1556=1,$C1556,MAX($C1556,BK1555)))</f>
        <v>0</v>
      </c>
      <c r="BL1556">
        <f>IF($A1556="","",IF(BH1556=1,$D1556,MIN($D1556,BL1555)))</f>
        <v>0</v>
      </c>
      <c r="BM1556">
        <f>IF($A1556="","",IF(BI1556=1,F1556,""))</f>
        <v>0</v>
      </c>
      <c r="BN1556">
        <f>IF($A1556="","",DATE(YEAR($A1556),MONTH($A1556),1))</f>
        <v>0</v>
      </c>
      <c r="BO1556">
        <f>IF($A1556="","",IF($A1555="",1,IF(BN1556&lt;&gt;BN1555,1,0)))</f>
        <v>0</v>
      </c>
      <c r="BP1556">
        <f>IF($A1556="","",IF($A1557="",1,IF(BN1557&lt;&gt;BN1556,1,0)))</f>
        <v>0</v>
      </c>
      <c r="BQ1556">
        <f>IF($A1556="","",IF(BO1556=1,$B1556,BQ1555))</f>
        <v>0</v>
      </c>
      <c r="BR1556">
        <f>IF($A1556="","",IF(BO1556=1,$C1556,MAX($C1556,BR1555)))</f>
        <v>0</v>
      </c>
      <c r="BS1556">
        <f>IF($A1556="","",IF(BO1556=1,$D1556,MIN($D1556,BS1555)))</f>
        <v>0</v>
      </c>
      <c r="BT1556">
        <f>IF($A1556="","",IF(BP1556=1,F1556,""))</f>
        <v>0</v>
      </c>
    </row>
    <row r="1557" spans="1:72">
      <c r="A1557" s="27">
        <f>IF(Data!$A1557="","",Data!$A1557)</f>
        <v>0</v>
      </c>
      <c r="B1557">
        <f>IF(Data!$B1557="","",Data!$B1557)</f>
        <v>0</v>
      </c>
      <c r="C1557">
        <f>IF(Data!$C1557="","",Data!$C1557)</f>
        <v>0</v>
      </c>
      <c r="D1557">
        <f>IF(Data!$D1557="","",Data!$D1557)</f>
        <v>0</v>
      </c>
      <c r="E1557">
        <f>IF(Data!$E1557="","",Data!$E1557)</f>
        <v>0</v>
      </c>
      <c r="F1557">
        <f>IF($E1557="","",N(F1556)+1)</f>
        <v>0</v>
      </c>
      <c r="G1557">
        <f>IF(OR($E1557="",$E1556=""),"",LN($E1557/$E1556))</f>
        <v>0</v>
      </c>
      <c r="H1557">
        <f>IF($E1557="","",IF($E1556="",$E1557,$E1557*0.0952380952+H1556*0.9047619048))</f>
        <v>0</v>
      </c>
      <c r="I1557">
        <f>IF($E1557="","",IF($E1556="",$E1557,$E1557*0.0392156863+I1556*0.9607843137))</f>
        <v>0</v>
      </c>
      <c r="J1557">
        <f>IF($E1557="","",IF($E1556="",$E1557,$E1557*0.0198019802+J1556*0.9801980198))</f>
        <v>0</v>
      </c>
      <c r="K1557">
        <f>IF($E1557="","",IF($E1556="",$E1557,$E1557*0.0099502488+K1556*0.9900497512))</f>
        <v>0</v>
      </c>
      <c r="L1557">
        <f>IF(OR($E1557="",$E1556=""),"",MAX($E1557-$E1556,0))</f>
        <v>0</v>
      </c>
      <c r="M1557">
        <f>IF(OR($E1557="",$E1556=""),"",MAX($E1556-$E1557,0))</f>
        <v>0</v>
      </c>
      <c r="N1557">
        <f>IF(COUNT($E$2:$E1557)&lt;15,"",IF(AVERAGE($M$1544:$M$1557)=0,100,100-100/(1+AVERAGE($L$1544:$L$1557)/AVERAGE($M$1544:$M$1557))))</f>
        <v>0</v>
      </c>
      <c r="O1557">
        <f>IF($E1557="","",IF($E1556="",$E1557,$E1557*0.1538461538+O1556*0.8461538462))</f>
        <v>0</v>
      </c>
      <c r="P1557">
        <f>IF($E1557="","",IF($E1556="",$E1557,$E1557*0.0740740741+P1556*0.9259259259))</f>
        <v>0</v>
      </c>
      <c r="Q1557">
        <f>IF(OR(O1557="",P1557=""),"",O1557-P1557)</f>
        <v>0</v>
      </c>
      <c r="R1557">
        <f>IF(Q1557="","",IF(R1556="",Q1557,Q1557*0.2000000000+R1556*0.8000000000))</f>
        <v>0</v>
      </c>
      <c r="S1557">
        <f>IF(OR(Q1557="",R1557=""),"",Q1557-R1557)</f>
        <v>0</v>
      </c>
      <c r="T1557">
        <f>IF(COUNT($E$2:$E1557)&lt;14,"",MAX($C$1544:$C$1557))</f>
        <v>0</v>
      </c>
      <c r="U1557">
        <f>IF(COUNT($E$2:$E1557)&lt;14,"",MIN($D$1544:$D$1557))</f>
        <v>0</v>
      </c>
      <c r="V1557">
        <f>IF(OR(T1557="",U1557="",T1557=U1557),"",100*($E1557-U1557)/(T1557-U1557))</f>
        <v>0</v>
      </c>
      <c r="W1557">
        <f>IF(COUNT($V$1555:$V$1557)&lt;3,"",AVERAGE($V$1555:$V$1557))</f>
        <v>0</v>
      </c>
      <c r="X1557">
        <f>IF(COUNT($N$1544:$N$1557)&lt;14,"",MIN($N$1544:$N$1557))</f>
        <v>0</v>
      </c>
      <c r="Y1557">
        <f>IF(COUNT($N$1544:$N$1557)&lt;14,"",MAX($N$1544:$N$1557))</f>
        <v>0</v>
      </c>
      <c r="Z1557">
        <f>IF(OR(N1557="",X1557="",Y1557="",Y1557=X1557),"",100*(N1557-X1557)/(Y1557-X1557))</f>
        <v>0</v>
      </c>
      <c r="AA1557">
        <f>IF(COUNT($Z$1555:$Z$1557)&lt;3,"",AVERAGE($Z$1555:$Z$1557))</f>
        <v>0</v>
      </c>
      <c r="AB1557">
        <f>IF(COUNT($AA$1555:$AA$1557)&lt;3,"",AVERAGE($AA$1555:$AA$1557))</f>
        <v>0</v>
      </c>
      <c r="AC1557">
        <f>IF($E1557="","",MAX($C1557-$D1557,ABS($C1557-$E1556),ABS($D1557-$E1556)))</f>
        <v>0</v>
      </c>
      <c r="AD1557">
        <f>IF(COUNT($E$2:$E1557)&lt;15,"",AVERAGE($AC$1544:$AC$1557))</f>
        <v>0</v>
      </c>
      <c r="AE1557">
        <f>IF(OR($E1557="",$E1556=""),"",IF(AND(($C1557-$C1556)&gt;($D1556-$D1557),($C1557-$C1556)&gt;0),$C1557-$C1556,0))</f>
        <v>0</v>
      </c>
      <c r="AF1557">
        <f>IF(OR($E1557="",$E1556=""),"",IF(AND(($D1556-$D1557)&gt;($C1557-$C1556),($D1556-$D1557)&gt;0),$D1556-$D1557,0))</f>
        <v>0</v>
      </c>
      <c r="AG1557">
        <f>IF(COUNT($E$2:$E1557)&lt;15,"",IF(SUM($AC$1544:$AC$1557)=0,0,100*SUM($AE$1544:$AE$1557)/SUM($AC$1544:$AC$1557)))</f>
        <v>0</v>
      </c>
      <c r="AH1557">
        <f>IF(COUNT($E$2:$E1557)&lt;15,"",IF(SUM($AC$1544:$AC$1557)=0,0,100*SUM($AF$1544:$AF$1557)/SUM($AC$1544:$AC$1557)))</f>
        <v>0</v>
      </c>
      <c r="AI1557">
        <f>IF(OR(AG1557="",AH1557=""),"",IF((AG1557+AH1557)=0,0,100*ABS(AG1557-AH1557)/(AG1557+AH1557)))</f>
        <v>0</v>
      </c>
      <c r="AJ1557">
        <f>IF(COUNT($AI$1544:$AI$1557)&lt;14,"",AVERAGE($AI$1544:$AI$1557))</f>
        <v>0</v>
      </c>
      <c r="AK1557">
        <f>IF(COUNT($E$2:$E1557)&lt;20,"",AVERAGE($E$1538:$E$1557))</f>
        <v>0</v>
      </c>
      <c r="AL1557">
        <f>IF(COUNT($E$2:$E1557)&lt;20,"",STDEVP($E$1538:$E$1557))</f>
        <v>0</v>
      </c>
      <c r="AM1557">
        <f>IF(AK1557="","",AK1557+2*AL1557)</f>
        <v>0</v>
      </c>
      <c r="AN1557">
        <f>IF(AK1557="","",AK1557-2*AL1557)</f>
        <v>0</v>
      </c>
      <c r="AO1557">
        <f>IF(OR(AM1557="",AN1557="",AM1557=AN1557),"",($E1557-AN1557)/(AM1557-AN1557))</f>
        <v>0</v>
      </c>
      <c r="AP1557">
        <f>IF(OR(AM1557="",AK1557="",AK1557=0),"",(AM1557-AN1557)/AK1557)</f>
        <v>0</v>
      </c>
      <c r="AQ1557">
        <f>IF(COUNT($E$2:$E1557)&lt;20,"",MAX($C$1538:$C$1557))</f>
        <v>0</v>
      </c>
      <c r="AR1557">
        <f>IF(COUNT($E$2:$E1557)&lt;20,"",MIN($D$1538:$D$1557))</f>
        <v>0</v>
      </c>
      <c r="AS1557">
        <f>IF(OR(AQ1557="",AR1557=""),"",(AQ1557+AR1557)/2)</f>
        <v>0</v>
      </c>
      <c r="AT1557">
        <f>IF(COUNT($G$1538:$G$1557)&lt;20,"",STDEV($G$1538:$G$1557)*SQRT(252))</f>
        <v>0</v>
      </c>
      <c r="AU1557">
        <f>IF(COUNT($E$2:$E1557)&lt;9,"",(MAX($C$1549:$C$1557)+MIN($D$1549:$D$1557))/2)</f>
        <v>0</v>
      </c>
      <c r="AV1557">
        <f>IF(COUNT($E$2:$E1557)&lt;26,"",(MAX($C$1532:$C$1557)+MIN($D$1532:$D$1557))/2)</f>
        <v>0</v>
      </c>
      <c r="AW1557">
        <f>IF(OR(AU1557="",AV1557=""),"",(AU1557+AV1557)/2)</f>
        <v>0</v>
      </c>
      <c r="AX1557">
        <f>IF(COUNT($E$2:$E1557)&lt;52,"",(MAX($C$1506:$C$1557)+MIN($D$1506:$D$1557))/2)</f>
        <v>0</v>
      </c>
      <c r="AY1557">
        <f>IF(COUNT($E$2:$E1557)&lt;20,"",MAX($C$1458:$C$1557))</f>
        <v>0</v>
      </c>
      <c r="AZ1557">
        <f>IF(COUNT($E$2:$E1557)&lt;20,"",MIN($D$1458:$D$1557))</f>
        <v>0</v>
      </c>
      <c r="BA1557">
        <f>IF(COUNT($E$2:$E1557)&lt;20,"",SLOPE($E$1458:$E$1557,$F$1458:$F$1557))</f>
        <v>0</v>
      </c>
      <c r="BB1557">
        <f>IF(COUNT($E$2:$E1557)&lt;20,"",INTERCEPT($E$1458:$E$1557,$F$1458:$F$1557))</f>
        <v>0</v>
      </c>
      <c r="BC1557">
        <f>IF(OR(BA1557="",BB1557=""),"",BB1557+BA1557*F1557)</f>
        <v>0</v>
      </c>
      <c r="BD1557">
        <f>IF(COUNT($E$2:$E1557)&lt;20,"",STEYX($E$1458:$E$1557,$F$1458:$F$1557))</f>
        <v>0</v>
      </c>
      <c r="BE1557">
        <f>IF($E1557="","",IF(AND(COUNT($E$1558:$E$1561)&gt;=4,$C1557=MAX($C$1553:$C$1561)),$C1557,""))</f>
        <v>0</v>
      </c>
      <c r="BF1557">
        <f>IF($E1557="","",IF(AND(COUNT($E$1558:$E$1561)&gt;=4,$D1557=MIN($D$1553:$D$1561)),$D1557,""))</f>
        <v>0</v>
      </c>
      <c r="BG1557">
        <f>IF($A1557="","",$A1557-WEEKDAY($A1557,2)+1)</f>
        <v>0</v>
      </c>
      <c r="BH1557">
        <f>IF($A1557="","",IF($A1556="",1,IF(BG1557&lt;&gt;BG1556,1,0)))</f>
        <v>0</v>
      </c>
      <c r="BI1557">
        <f>IF($A1557="","",IF($A1558="",1,IF(BG1558&lt;&gt;BG1557,1,0)))</f>
        <v>0</v>
      </c>
      <c r="BJ1557">
        <f>IF($A1557="","",IF(BH1557=1,$B1557,BJ1556))</f>
        <v>0</v>
      </c>
      <c r="BK1557">
        <f>IF($A1557="","",IF(BH1557=1,$C1557,MAX($C1557,BK1556)))</f>
        <v>0</v>
      </c>
      <c r="BL1557">
        <f>IF($A1557="","",IF(BH1557=1,$D1557,MIN($D1557,BL1556)))</f>
        <v>0</v>
      </c>
      <c r="BM1557">
        <f>IF($A1557="","",IF(BI1557=1,F1557,""))</f>
        <v>0</v>
      </c>
      <c r="BN1557">
        <f>IF($A1557="","",DATE(YEAR($A1557),MONTH($A1557),1))</f>
        <v>0</v>
      </c>
      <c r="BO1557">
        <f>IF($A1557="","",IF($A1556="",1,IF(BN1557&lt;&gt;BN1556,1,0)))</f>
        <v>0</v>
      </c>
      <c r="BP1557">
        <f>IF($A1557="","",IF($A1558="",1,IF(BN1558&lt;&gt;BN1557,1,0)))</f>
        <v>0</v>
      </c>
      <c r="BQ1557">
        <f>IF($A1557="","",IF(BO1557=1,$B1557,BQ1556))</f>
        <v>0</v>
      </c>
      <c r="BR1557">
        <f>IF($A1557="","",IF(BO1557=1,$C1557,MAX($C1557,BR1556)))</f>
        <v>0</v>
      </c>
      <c r="BS1557">
        <f>IF($A1557="","",IF(BO1557=1,$D1557,MIN($D1557,BS1556)))</f>
        <v>0</v>
      </c>
      <c r="BT1557">
        <f>IF($A1557="","",IF(BP1557=1,F1557,""))</f>
        <v>0</v>
      </c>
    </row>
    <row r="1558" spans="1:72">
      <c r="A1558" s="27">
        <f>IF(Data!$A1558="","",Data!$A1558)</f>
        <v>0</v>
      </c>
      <c r="B1558">
        <f>IF(Data!$B1558="","",Data!$B1558)</f>
        <v>0</v>
      </c>
      <c r="C1558">
        <f>IF(Data!$C1558="","",Data!$C1558)</f>
        <v>0</v>
      </c>
      <c r="D1558">
        <f>IF(Data!$D1558="","",Data!$D1558)</f>
        <v>0</v>
      </c>
      <c r="E1558">
        <f>IF(Data!$E1558="","",Data!$E1558)</f>
        <v>0</v>
      </c>
      <c r="F1558">
        <f>IF($E1558="","",N(F1557)+1)</f>
        <v>0</v>
      </c>
      <c r="G1558">
        <f>IF(OR($E1558="",$E1557=""),"",LN($E1558/$E1557))</f>
        <v>0</v>
      </c>
      <c r="H1558">
        <f>IF($E1558="","",IF($E1557="",$E1558,$E1558*0.0952380952+H1557*0.9047619048))</f>
        <v>0</v>
      </c>
      <c r="I1558">
        <f>IF($E1558="","",IF($E1557="",$E1558,$E1558*0.0392156863+I1557*0.9607843137))</f>
        <v>0</v>
      </c>
      <c r="J1558">
        <f>IF($E1558="","",IF($E1557="",$E1558,$E1558*0.0198019802+J1557*0.9801980198))</f>
        <v>0</v>
      </c>
      <c r="K1558">
        <f>IF($E1558="","",IF($E1557="",$E1558,$E1558*0.0099502488+K1557*0.9900497512))</f>
        <v>0</v>
      </c>
      <c r="L1558">
        <f>IF(OR($E1558="",$E1557=""),"",MAX($E1558-$E1557,0))</f>
        <v>0</v>
      </c>
      <c r="M1558">
        <f>IF(OR($E1558="",$E1557=""),"",MAX($E1557-$E1558,0))</f>
        <v>0</v>
      </c>
      <c r="N1558">
        <f>IF(COUNT($E$2:$E1558)&lt;15,"",IF(AVERAGE($M$1545:$M$1558)=0,100,100-100/(1+AVERAGE($L$1545:$L$1558)/AVERAGE($M$1545:$M$1558))))</f>
        <v>0</v>
      </c>
      <c r="O1558">
        <f>IF($E1558="","",IF($E1557="",$E1558,$E1558*0.1538461538+O1557*0.8461538462))</f>
        <v>0</v>
      </c>
      <c r="P1558">
        <f>IF($E1558="","",IF($E1557="",$E1558,$E1558*0.0740740741+P1557*0.9259259259))</f>
        <v>0</v>
      </c>
      <c r="Q1558">
        <f>IF(OR(O1558="",P1558=""),"",O1558-P1558)</f>
        <v>0</v>
      </c>
      <c r="R1558">
        <f>IF(Q1558="","",IF(R1557="",Q1558,Q1558*0.2000000000+R1557*0.8000000000))</f>
        <v>0</v>
      </c>
      <c r="S1558">
        <f>IF(OR(Q1558="",R1558=""),"",Q1558-R1558)</f>
        <v>0</v>
      </c>
      <c r="T1558">
        <f>IF(COUNT($E$2:$E1558)&lt;14,"",MAX($C$1545:$C$1558))</f>
        <v>0</v>
      </c>
      <c r="U1558">
        <f>IF(COUNT($E$2:$E1558)&lt;14,"",MIN($D$1545:$D$1558))</f>
        <v>0</v>
      </c>
      <c r="V1558">
        <f>IF(OR(T1558="",U1558="",T1558=U1558),"",100*($E1558-U1558)/(T1558-U1558))</f>
        <v>0</v>
      </c>
      <c r="W1558">
        <f>IF(COUNT($V$1556:$V$1558)&lt;3,"",AVERAGE($V$1556:$V$1558))</f>
        <v>0</v>
      </c>
      <c r="X1558">
        <f>IF(COUNT($N$1545:$N$1558)&lt;14,"",MIN($N$1545:$N$1558))</f>
        <v>0</v>
      </c>
      <c r="Y1558">
        <f>IF(COUNT($N$1545:$N$1558)&lt;14,"",MAX($N$1545:$N$1558))</f>
        <v>0</v>
      </c>
      <c r="Z1558">
        <f>IF(OR(N1558="",X1558="",Y1558="",Y1558=X1558),"",100*(N1558-X1558)/(Y1558-X1558))</f>
        <v>0</v>
      </c>
      <c r="AA1558">
        <f>IF(COUNT($Z$1556:$Z$1558)&lt;3,"",AVERAGE($Z$1556:$Z$1558))</f>
        <v>0</v>
      </c>
      <c r="AB1558">
        <f>IF(COUNT($AA$1556:$AA$1558)&lt;3,"",AVERAGE($AA$1556:$AA$1558))</f>
        <v>0</v>
      </c>
      <c r="AC1558">
        <f>IF($E1558="","",MAX($C1558-$D1558,ABS($C1558-$E1557),ABS($D1558-$E1557)))</f>
        <v>0</v>
      </c>
      <c r="AD1558">
        <f>IF(COUNT($E$2:$E1558)&lt;15,"",AVERAGE($AC$1545:$AC$1558))</f>
        <v>0</v>
      </c>
      <c r="AE1558">
        <f>IF(OR($E1558="",$E1557=""),"",IF(AND(($C1558-$C1557)&gt;($D1557-$D1558),($C1558-$C1557)&gt;0),$C1558-$C1557,0))</f>
        <v>0</v>
      </c>
      <c r="AF1558">
        <f>IF(OR($E1558="",$E1557=""),"",IF(AND(($D1557-$D1558)&gt;($C1558-$C1557),($D1557-$D1558)&gt;0),$D1557-$D1558,0))</f>
        <v>0</v>
      </c>
      <c r="AG1558">
        <f>IF(COUNT($E$2:$E1558)&lt;15,"",IF(SUM($AC$1545:$AC$1558)=0,0,100*SUM($AE$1545:$AE$1558)/SUM($AC$1545:$AC$1558)))</f>
        <v>0</v>
      </c>
      <c r="AH1558">
        <f>IF(COUNT($E$2:$E1558)&lt;15,"",IF(SUM($AC$1545:$AC$1558)=0,0,100*SUM($AF$1545:$AF$1558)/SUM($AC$1545:$AC$1558)))</f>
        <v>0</v>
      </c>
      <c r="AI1558">
        <f>IF(OR(AG1558="",AH1558=""),"",IF((AG1558+AH1558)=0,0,100*ABS(AG1558-AH1558)/(AG1558+AH1558)))</f>
        <v>0</v>
      </c>
      <c r="AJ1558">
        <f>IF(COUNT($AI$1545:$AI$1558)&lt;14,"",AVERAGE($AI$1545:$AI$1558))</f>
        <v>0</v>
      </c>
      <c r="AK1558">
        <f>IF(COUNT($E$2:$E1558)&lt;20,"",AVERAGE($E$1539:$E$1558))</f>
        <v>0</v>
      </c>
      <c r="AL1558">
        <f>IF(COUNT($E$2:$E1558)&lt;20,"",STDEVP($E$1539:$E$1558))</f>
        <v>0</v>
      </c>
      <c r="AM1558">
        <f>IF(AK1558="","",AK1558+2*AL1558)</f>
        <v>0</v>
      </c>
      <c r="AN1558">
        <f>IF(AK1558="","",AK1558-2*AL1558)</f>
        <v>0</v>
      </c>
      <c r="AO1558">
        <f>IF(OR(AM1558="",AN1558="",AM1558=AN1558),"",($E1558-AN1558)/(AM1558-AN1558))</f>
        <v>0</v>
      </c>
      <c r="AP1558">
        <f>IF(OR(AM1558="",AK1558="",AK1558=0),"",(AM1558-AN1558)/AK1558)</f>
        <v>0</v>
      </c>
      <c r="AQ1558">
        <f>IF(COUNT($E$2:$E1558)&lt;20,"",MAX($C$1539:$C$1558))</f>
        <v>0</v>
      </c>
      <c r="AR1558">
        <f>IF(COUNT($E$2:$E1558)&lt;20,"",MIN($D$1539:$D$1558))</f>
        <v>0</v>
      </c>
      <c r="AS1558">
        <f>IF(OR(AQ1558="",AR1558=""),"",(AQ1558+AR1558)/2)</f>
        <v>0</v>
      </c>
      <c r="AT1558">
        <f>IF(COUNT($G$1539:$G$1558)&lt;20,"",STDEV($G$1539:$G$1558)*SQRT(252))</f>
        <v>0</v>
      </c>
      <c r="AU1558">
        <f>IF(COUNT($E$2:$E1558)&lt;9,"",(MAX($C$1550:$C$1558)+MIN($D$1550:$D$1558))/2)</f>
        <v>0</v>
      </c>
      <c r="AV1558">
        <f>IF(COUNT($E$2:$E1558)&lt;26,"",(MAX($C$1533:$C$1558)+MIN($D$1533:$D$1558))/2)</f>
        <v>0</v>
      </c>
      <c r="AW1558">
        <f>IF(OR(AU1558="",AV1558=""),"",(AU1558+AV1558)/2)</f>
        <v>0</v>
      </c>
      <c r="AX1558">
        <f>IF(COUNT($E$2:$E1558)&lt;52,"",(MAX($C$1507:$C$1558)+MIN($D$1507:$D$1558))/2)</f>
        <v>0</v>
      </c>
      <c r="AY1558">
        <f>IF(COUNT($E$2:$E1558)&lt;20,"",MAX($C$1459:$C$1558))</f>
        <v>0</v>
      </c>
      <c r="AZ1558">
        <f>IF(COUNT($E$2:$E1558)&lt;20,"",MIN($D$1459:$D$1558))</f>
        <v>0</v>
      </c>
      <c r="BA1558">
        <f>IF(COUNT($E$2:$E1558)&lt;20,"",SLOPE($E$1459:$E$1558,$F$1459:$F$1558))</f>
        <v>0</v>
      </c>
      <c r="BB1558">
        <f>IF(COUNT($E$2:$E1558)&lt;20,"",INTERCEPT($E$1459:$E$1558,$F$1459:$F$1558))</f>
        <v>0</v>
      </c>
      <c r="BC1558">
        <f>IF(OR(BA1558="",BB1558=""),"",BB1558+BA1558*F1558)</f>
        <v>0</v>
      </c>
      <c r="BD1558">
        <f>IF(COUNT($E$2:$E1558)&lt;20,"",STEYX($E$1459:$E$1558,$F$1459:$F$1558))</f>
        <v>0</v>
      </c>
      <c r="BE1558">
        <f>IF($E1558="","",IF(AND(COUNT($E$1559:$E$1562)&gt;=4,$C1558=MAX($C$1554:$C$1562)),$C1558,""))</f>
        <v>0</v>
      </c>
      <c r="BF1558">
        <f>IF($E1558="","",IF(AND(COUNT($E$1559:$E$1562)&gt;=4,$D1558=MIN($D$1554:$D$1562)),$D1558,""))</f>
        <v>0</v>
      </c>
      <c r="BG1558">
        <f>IF($A1558="","",$A1558-WEEKDAY($A1558,2)+1)</f>
        <v>0</v>
      </c>
      <c r="BH1558">
        <f>IF($A1558="","",IF($A1557="",1,IF(BG1558&lt;&gt;BG1557,1,0)))</f>
        <v>0</v>
      </c>
      <c r="BI1558">
        <f>IF($A1558="","",IF($A1559="",1,IF(BG1559&lt;&gt;BG1558,1,0)))</f>
        <v>0</v>
      </c>
      <c r="BJ1558">
        <f>IF($A1558="","",IF(BH1558=1,$B1558,BJ1557))</f>
        <v>0</v>
      </c>
      <c r="BK1558">
        <f>IF($A1558="","",IF(BH1558=1,$C1558,MAX($C1558,BK1557)))</f>
        <v>0</v>
      </c>
      <c r="BL1558">
        <f>IF($A1558="","",IF(BH1558=1,$D1558,MIN($D1558,BL1557)))</f>
        <v>0</v>
      </c>
      <c r="BM1558">
        <f>IF($A1558="","",IF(BI1558=1,F1558,""))</f>
        <v>0</v>
      </c>
      <c r="BN1558">
        <f>IF($A1558="","",DATE(YEAR($A1558),MONTH($A1558),1))</f>
        <v>0</v>
      </c>
      <c r="BO1558">
        <f>IF($A1558="","",IF($A1557="",1,IF(BN1558&lt;&gt;BN1557,1,0)))</f>
        <v>0</v>
      </c>
      <c r="BP1558">
        <f>IF($A1558="","",IF($A1559="",1,IF(BN1559&lt;&gt;BN1558,1,0)))</f>
        <v>0</v>
      </c>
      <c r="BQ1558">
        <f>IF($A1558="","",IF(BO1558=1,$B1558,BQ1557))</f>
        <v>0</v>
      </c>
      <c r="BR1558">
        <f>IF($A1558="","",IF(BO1558=1,$C1558,MAX($C1558,BR1557)))</f>
        <v>0</v>
      </c>
      <c r="BS1558">
        <f>IF($A1558="","",IF(BO1558=1,$D1558,MIN($D1558,BS1557)))</f>
        <v>0</v>
      </c>
      <c r="BT1558">
        <f>IF($A1558="","",IF(BP1558=1,F1558,""))</f>
        <v>0</v>
      </c>
    </row>
    <row r="1559" spans="1:72">
      <c r="A1559" s="27">
        <f>IF(Data!$A1559="","",Data!$A1559)</f>
        <v>0</v>
      </c>
      <c r="B1559">
        <f>IF(Data!$B1559="","",Data!$B1559)</f>
        <v>0</v>
      </c>
      <c r="C1559">
        <f>IF(Data!$C1559="","",Data!$C1559)</f>
        <v>0</v>
      </c>
      <c r="D1559">
        <f>IF(Data!$D1559="","",Data!$D1559)</f>
        <v>0</v>
      </c>
      <c r="E1559">
        <f>IF(Data!$E1559="","",Data!$E1559)</f>
        <v>0</v>
      </c>
      <c r="F1559">
        <f>IF($E1559="","",N(F1558)+1)</f>
        <v>0</v>
      </c>
      <c r="G1559">
        <f>IF(OR($E1559="",$E1558=""),"",LN($E1559/$E1558))</f>
        <v>0</v>
      </c>
      <c r="H1559">
        <f>IF($E1559="","",IF($E1558="",$E1559,$E1559*0.0952380952+H1558*0.9047619048))</f>
        <v>0</v>
      </c>
      <c r="I1559">
        <f>IF($E1559="","",IF($E1558="",$E1559,$E1559*0.0392156863+I1558*0.9607843137))</f>
        <v>0</v>
      </c>
      <c r="J1559">
        <f>IF($E1559="","",IF($E1558="",$E1559,$E1559*0.0198019802+J1558*0.9801980198))</f>
        <v>0</v>
      </c>
      <c r="K1559">
        <f>IF($E1559="","",IF($E1558="",$E1559,$E1559*0.0099502488+K1558*0.9900497512))</f>
        <v>0</v>
      </c>
      <c r="L1559">
        <f>IF(OR($E1559="",$E1558=""),"",MAX($E1559-$E1558,0))</f>
        <v>0</v>
      </c>
      <c r="M1559">
        <f>IF(OR($E1559="",$E1558=""),"",MAX($E1558-$E1559,0))</f>
        <v>0</v>
      </c>
      <c r="N1559">
        <f>IF(COUNT($E$2:$E1559)&lt;15,"",IF(AVERAGE($M$1546:$M$1559)=0,100,100-100/(1+AVERAGE($L$1546:$L$1559)/AVERAGE($M$1546:$M$1559))))</f>
        <v>0</v>
      </c>
      <c r="O1559">
        <f>IF($E1559="","",IF($E1558="",$E1559,$E1559*0.1538461538+O1558*0.8461538462))</f>
        <v>0</v>
      </c>
      <c r="P1559">
        <f>IF($E1559="","",IF($E1558="",$E1559,$E1559*0.0740740741+P1558*0.9259259259))</f>
        <v>0</v>
      </c>
      <c r="Q1559">
        <f>IF(OR(O1559="",P1559=""),"",O1559-P1559)</f>
        <v>0</v>
      </c>
      <c r="R1559">
        <f>IF(Q1559="","",IF(R1558="",Q1559,Q1559*0.2000000000+R1558*0.8000000000))</f>
        <v>0</v>
      </c>
      <c r="S1559">
        <f>IF(OR(Q1559="",R1559=""),"",Q1559-R1559)</f>
        <v>0</v>
      </c>
      <c r="T1559">
        <f>IF(COUNT($E$2:$E1559)&lt;14,"",MAX($C$1546:$C$1559))</f>
        <v>0</v>
      </c>
      <c r="U1559">
        <f>IF(COUNT($E$2:$E1559)&lt;14,"",MIN($D$1546:$D$1559))</f>
        <v>0</v>
      </c>
      <c r="V1559">
        <f>IF(OR(T1559="",U1559="",T1559=U1559),"",100*($E1559-U1559)/(T1559-U1559))</f>
        <v>0</v>
      </c>
      <c r="W1559">
        <f>IF(COUNT($V$1557:$V$1559)&lt;3,"",AVERAGE($V$1557:$V$1559))</f>
        <v>0</v>
      </c>
      <c r="X1559">
        <f>IF(COUNT($N$1546:$N$1559)&lt;14,"",MIN($N$1546:$N$1559))</f>
        <v>0</v>
      </c>
      <c r="Y1559">
        <f>IF(COUNT($N$1546:$N$1559)&lt;14,"",MAX($N$1546:$N$1559))</f>
        <v>0</v>
      </c>
      <c r="Z1559">
        <f>IF(OR(N1559="",X1559="",Y1559="",Y1559=X1559),"",100*(N1559-X1559)/(Y1559-X1559))</f>
        <v>0</v>
      </c>
      <c r="AA1559">
        <f>IF(COUNT($Z$1557:$Z$1559)&lt;3,"",AVERAGE($Z$1557:$Z$1559))</f>
        <v>0</v>
      </c>
      <c r="AB1559">
        <f>IF(COUNT($AA$1557:$AA$1559)&lt;3,"",AVERAGE($AA$1557:$AA$1559))</f>
        <v>0</v>
      </c>
      <c r="AC1559">
        <f>IF($E1559="","",MAX($C1559-$D1559,ABS($C1559-$E1558),ABS($D1559-$E1558)))</f>
        <v>0</v>
      </c>
      <c r="AD1559">
        <f>IF(COUNT($E$2:$E1559)&lt;15,"",AVERAGE($AC$1546:$AC$1559))</f>
        <v>0</v>
      </c>
      <c r="AE1559">
        <f>IF(OR($E1559="",$E1558=""),"",IF(AND(($C1559-$C1558)&gt;($D1558-$D1559),($C1559-$C1558)&gt;0),$C1559-$C1558,0))</f>
        <v>0</v>
      </c>
      <c r="AF1559">
        <f>IF(OR($E1559="",$E1558=""),"",IF(AND(($D1558-$D1559)&gt;($C1559-$C1558),($D1558-$D1559)&gt;0),$D1558-$D1559,0))</f>
        <v>0</v>
      </c>
      <c r="AG1559">
        <f>IF(COUNT($E$2:$E1559)&lt;15,"",IF(SUM($AC$1546:$AC$1559)=0,0,100*SUM($AE$1546:$AE$1559)/SUM($AC$1546:$AC$1559)))</f>
        <v>0</v>
      </c>
      <c r="AH1559">
        <f>IF(COUNT($E$2:$E1559)&lt;15,"",IF(SUM($AC$1546:$AC$1559)=0,0,100*SUM($AF$1546:$AF$1559)/SUM($AC$1546:$AC$1559)))</f>
        <v>0</v>
      </c>
      <c r="AI1559">
        <f>IF(OR(AG1559="",AH1559=""),"",IF((AG1559+AH1559)=0,0,100*ABS(AG1559-AH1559)/(AG1559+AH1559)))</f>
        <v>0</v>
      </c>
      <c r="AJ1559">
        <f>IF(COUNT($AI$1546:$AI$1559)&lt;14,"",AVERAGE($AI$1546:$AI$1559))</f>
        <v>0</v>
      </c>
      <c r="AK1559">
        <f>IF(COUNT($E$2:$E1559)&lt;20,"",AVERAGE($E$1540:$E$1559))</f>
        <v>0</v>
      </c>
      <c r="AL1559">
        <f>IF(COUNT($E$2:$E1559)&lt;20,"",STDEVP($E$1540:$E$1559))</f>
        <v>0</v>
      </c>
      <c r="AM1559">
        <f>IF(AK1559="","",AK1559+2*AL1559)</f>
        <v>0</v>
      </c>
      <c r="AN1559">
        <f>IF(AK1559="","",AK1559-2*AL1559)</f>
        <v>0</v>
      </c>
      <c r="AO1559">
        <f>IF(OR(AM1559="",AN1559="",AM1559=AN1559),"",($E1559-AN1559)/(AM1559-AN1559))</f>
        <v>0</v>
      </c>
      <c r="AP1559">
        <f>IF(OR(AM1559="",AK1559="",AK1559=0),"",(AM1559-AN1559)/AK1559)</f>
        <v>0</v>
      </c>
      <c r="AQ1559">
        <f>IF(COUNT($E$2:$E1559)&lt;20,"",MAX($C$1540:$C$1559))</f>
        <v>0</v>
      </c>
      <c r="AR1559">
        <f>IF(COUNT($E$2:$E1559)&lt;20,"",MIN($D$1540:$D$1559))</f>
        <v>0</v>
      </c>
      <c r="AS1559">
        <f>IF(OR(AQ1559="",AR1559=""),"",(AQ1559+AR1559)/2)</f>
        <v>0</v>
      </c>
      <c r="AT1559">
        <f>IF(COUNT($G$1540:$G$1559)&lt;20,"",STDEV($G$1540:$G$1559)*SQRT(252))</f>
        <v>0</v>
      </c>
      <c r="AU1559">
        <f>IF(COUNT($E$2:$E1559)&lt;9,"",(MAX($C$1551:$C$1559)+MIN($D$1551:$D$1559))/2)</f>
        <v>0</v>
      </c>
      <c r="AV1559">
        <f>IF(COUNT($E$2:$E1559)&lt;26,"",(MAX($C$1534:$C$1559)+MIN($D$1534:$D$1559))/2)</f>
        <v>0</v>
      </c>
      <c r="AW1559">
        <f>IF(OR(AU1559="",AV1559=""),"",(AU1559+AV1559)/2)</f>
        <v>0</v>
      </c>
      <c r="AX1559">
        <f>IF(COUNT($E$2:$E1559)&lt;52,"",(MAX($C$1508:$C$1559)+MIN($D$1508:$D$1559))/2)</f>
        <v>0</v>
      </c>
      <c r="AY1559">
        <f>IF(COUNT($E$2:$E1559)&lt;20,"",MAX($C$1460:$C$1559))</f>
        <v>0</v>
      </c>
      <c r="AZ1559">
        <f>IF(COUNT($E$2:$E1559)&lt;20,"",MIN($D$1460:$D$1559))</f>
        <v>0</v>
      </c>
      <c r="BA1559">
        <f>IF(COUNT($E$2:$E1559)&lt;20,"",SLOPE($E$1460:$E$1559,$F$1460:$F$1559))</f>
        <v>0</v>
      </c>
      <c r="BB1559">
        <f>IF(COUNT($E$2:$E1559)&lt;20,"",INTERCEPT($E$1460:$E$1559,$F$1460:$F$1559))</f>
        <v>0</v>
      </c>
      <c r="BC1559">
        <f>IF(OR(BA1559="",BB1559=""),"",BB1559+BA1559*F1559)</f>
        <v>0</v>
      </c>
      <c r="BD1559">
        <f>IF(COUNT($E$2:$E1559)&lt;20,"",STEYX($E$1460:$E$1559,$F$1460:$F$1559))</f>
        <v>0</v>
      </c>
      <c r="BE1559">
        <f>IF($E1559="","",IF(AND(COUNT($E$1560:$E$1563)&gt;=4,$C1559=MAX($C$1555:$C$1563)),$C1559,""))</f>
        <v>0</v>
      </c>
      <c r="BF1559">
        <f>IF($E1559="","",IF(AND(COUNT($E$1560:$E$1563)&gt;=4,$D1559=MIN($D$1555:$D$1563)),$D1559,""))</f>
        <v>0</v>
      </c>
      <c r="BG1559">
        <f>IF($A1559="","",$A1559-WEEKDAY($A1559,2)+1)</f>
        <v>0</v>
      </c>
      <c r="BH1559">
        <f>IF($A1559="","",IF($A1558="",1,IF(BG1559&lt;&gt;BG1558,1,0)))</f>
        <v>0</v>
      </c>
      <c r="BI1559">
        <f>IF($A1559="","",IF($A1560="",1,IF(BG1560&lt;&gt;BG1559,1,0)))</f>
        <v>0</v>
      </c>
      <c r="BJ1559">
        <f>IF($A1559="","",IF(BH1559=1,$B1559,BJ1558))</f>
        <v>0</v>
      </c>
      <c r="BK1559">
        <f>IF($A1559="","",IF(BH1559=1,$C1559,MAX($C1559,BK1558)))</f>
        <v>0</v>
      </c>
      <c r="BL1559">
        <f>IF($A1559="","",IF(BH1559=1,$D1559,MIN($D1559,BL1558)))</f>
        <v>0</v>
      </c>
      <c r="BM1559">
        <f>IF($A1559="","",IF(BI1559=1,F1559,""))</f>
        <v>0</v>
      </c>
      <c r="BN1559">
        <f>IF($A1559="","",DATE(YEAR($A1559),MONTH($A1559),1))</f>
        <v>0</v>
      </c>
      <c r="BO1559">
        <f>IF($A1559="","",IF($A1558="",1,IF(BN1559&lt;&gt;BN1558,1,0)))</f>
        <v>0</v>
      </c>
      <c r="BP1559">
        <f>IF($A1559="","",IF($A1560="",1,IF(BN1560&lt;&gt;BN1559,1,0)))</f>
        <v>0</v>
      </c>
      <c r="BQ1559">
        <f>IF($A1559="","",IF(BO1559=1,$B1559,BQ1558))</f>
        <v>0</v>
      </c>
      <c r="BR1559">
        <f>IF($A1559="","",IF(BO1559=1,$C1559,MAX($C1559,BR1558)))</f>
        <v>0</v>
      </c>
      <c r="BS1559">
        <f>IF($A1559="","",IF(BO1559=1,$D1559,MIN($D1559,BS1558)))</f>
        <v>0</v>
      </c>
      <c r="BT1559">
        <f>IF($A1559="","",IF(BP1559=1,F1559,""))</f>
        <v>0</v>
      </c>
    </row>
    <row r="1560" spans="1:72">
      <c r="A1560" s="27">
        <f>IF(Data!$A1560="","",Data!$A1560)</f>
        <v>0</v>
      </c>
      <c r="B1560">
        <f>IF(Data!$B1560="","",Data!$B1560)</f>
        <v>0</v>
      </c>
      <c r="C1560">
        <f>IF(Data!$C1560="","",Data!$C1560)</f>
        <v>0</v>
      </c>
      <c r="D1560">
        <f>IF(Data!$D1560="","",Data!$D1560)</f>
        <v>0</v>
      </c>
      <c r="E1560">
        <f>IF(Data!$E1560="","",Data!$E1560)</f>
        <v>0</v>
      </c>
      <c r="F1560">
        <f>IF($E1560="","",N(F1559)+1)</f>
        <v>0</v>
      </c>
      <c r="G1560">
        <f>IF(OR($E1560="",$E1559=""),"",LN($E1560/$E1559))</f>
        <v>0</v>
      </c>
      <c r="H1560">
        <f>IF($E1560="","",IF($E1559="",$E1560,$E1560*0.0952380952+H1559*0.9047619048))</f>
        <v>0</v>
      </c>
      <c r="I1560">
        <f>IF($E1560="","",IF($E1559="",$E1560,$E1560*0.0392156863+I1559*0.9607843137))</f>
        <v>0</v>
      </c>
      <c r="J1560">
        <f>IF($E1560="","",IF($E1559="",$E1560,$E1560*0.0198019802+J1559*0.9801980198))</f>
        <v>0</v>
      </c>
      <c r="K1560">
        <f>IF($E1560="","",IF($E1559="",$E1560,$E1560*0.0099502488+K1559*0.9900497512))</f>
        <v>0</v>
      </c>
      <c r="L1560">
        <f>IF(OR($E1560="",$E1559=""),"",MAX($E1560-$E1559,0))</f>
        <v>0</v>
      </c>
      <c r="M1560">
        <f>IF(OR($E1560="",$E1559=""),"",MAX($E1559-$E1560,0))</f>
        <v>0</v>
      </c>
      <c r="N1560">
        <f>IF(COUNT($E$2:$E1560)&lt;15,"",IF(AVERAGE($M$1547:$M$1560)=0,100,100-100/(1+AVERAGE($L$1547:$L$1560)/AVERAGE($M$1547:$M$1560))))</f>
        <v>0</v>
      </c>
      <c r="O1560">
        <f>IF($E1560="","",IF($E1559="",$E1560,$E1560*0.1538461538+O1559*0.8461538462))</f>
        <v>0</v>
      </c>
      <c r="P1560">
        <f>IF($E1560="","",IF($E1559="",$E1560,$E1560*0.0740740741+P1559*0.9259259259))</f>
        <v>0</v>
      </c>
      <c r="Q1560">
        <f>IF(OR(O1560="",P1560=""),"",O1560-P1560)</f>
        <v>0</v>
      </c>
      <c r="R1560">
        <f>IF(Q1560="","",IF(R1559="",Q1560,Q1560*0.2000000000+R1559*0.8000000000))</f>
        <v>0</v>
      </c>
      <c r="S1560">
        <f>IF(OR(Q1560="",R1560=""),"",Q1560-R1560)</f>
        <v>0</v>
      </c>
      <c r="T1560">
        <f>IF(COUNT($E$2:$E1560)&lt;14,"",MAX($C$1547:$C$1560))</f>
        <v>0</v>
      </c>
      <c r="U1560">
        <f>IF(COUNT($E$2:$E1560)&lt;14,"",MIN($D$1547:$D$1560))</f>
        <v>0</v>
      </c>
      <c r="V1560">
        <f>IF(OR(T1560="",U1560="",T1560=U1560),"",100*($E1560-U1560)/(T1560-U1560))</f>
        <v>0</v>
      </c>
      <c r="W1560">
        <f>IF(COUNT($V$1558:$V$1560)&lt;3,"",AVERAGE($V$1558:$V$1560))</f>
        <v>0</v>
      </c>
      <c r="X1560">
        <f>IF(COUNT($N$1547:$N$1560)&lt;14,"",MIN($N$1547:$N$1560))</f>
        <v>0</v>
      </c>
      <c r="Y1560">
        <f>IF(COUNT($N$1547:$N$1560)&lt;14,"",MAX($N$1547:$N$1560))</f>
        <v>0</v>
      </c>
      <c r="Z1560">
        <f>IF(OR(N1560="",X1560="",Y1560="",Y1560=X1560),"",100*(N1560-X1560)/(Y1560-X1560))</f>
        <v>0</v>
      </c>
      <c r="AA1560">
        <f>IF(COUNT($Z$1558:$Z$1560)&lt;3,"",AVERAGE($Z$1558:$Z$1560))</f>
        <v>0</v>
      </c>
      <c r="AB1560">
        <f>IF(COUNT($AA$1558:$AA$1560)&lt;3,"",AVERAGE($AA$1558:$AA$1560))</f>
        <v>0</v>
      </c>
      <c r="AC1560">
        <f>IF($E1560="","",MAX($C1560-$D1560,ABS($C1560-$E1559),ABS($D1560-$E1559)))</f>
        <v>0</v>
      </c>
      <c r="AD1560">
        <f>IF(COUNT($E$2:$E1560)&lt;15,"",AVERAGE($AC$1547:$AC$1560))</f>
        <v>0</v>
      </c>
      <c r="AE1560">
        <f>IF(OR($E1560="",$E1559=""),"",IF(AND(($C1560-$C1559)&gt;($D1559-$D1560),($C1560-$C1559)&gt;0),$C1560-$C1559,0))</f>
        <v>0</v>
      </c>
      <c r="AF1560">
        <f>IF(OR($E1560="",$E1559=""),"",IF(AND(($D1559-$D1560)&gt;($C1560-$C1559),($D1559-$D1560)&gt;0),$D1559-$D1560,0))</f>
        <v>0</v>
      </c>
      <c r="AG1560">
        <f>IF(COUNT($E$2:$E1560)&lt;15,"",IF(SUM($AC$1547:$AC$1560)=0,0,100*SUM($AE$1547:$AE$1560)/SUM($AC$1547:$AC$1560)))</f>
        <v>0</v>
      </c>
      <c r="AH1560">
        <f>IF(COUNT($E$2:$E1560)&lt;15,"",IF(SUM($AC$1547:$AC$1560)=0,0,100*SUM($AF$1547:$AF$1560)/SUM($AC$1547:$AC$1560)))</f>
        <v>0</v>
      </c>
      <c r="AI1560">
        <f>IF(OR(AG1560="",AH1560=""),"",IF((AG1560+AH1560)=0,0,100*ABS(AG1560-AH1560)/(AG1560+AH1560)))</f>
        <v>0</v>
      </c>
      <c r="AJ1560">
        <f>IF(COUNT($AI$1547:$AI$1560)&lt;14,"",AVERAGE($AI$1547:$AI$1560))</f>
        <v>0</v>
      </c>
      <c r="AK1560">
        <f>IF(COUNT($E$2:$E1560)&lt;20,"",AVERAGE($E$1541:$E$1560))</f>
        <v>0</v>
      </c>
      <c r="AL1560">
        <f>IF(COUNT($E$2:$E1560)&lt;20,"",STDEVP($E$1541:$E$1560))</f>
        <v>0</v>
      </c>
      <c r="AM1560">
        <f>IF(AK1560="","",AK1560+2*AL1560)</f>
        <v>0</v>
      </c>
      <c r="AN1560">
        <f>IF(AK1560="","",AK1560-2*AL1560)</f>
        <v>0</v>
      </c>
      <c r="AO1560">
        <f>IF(OR(AM1560="",AN1560="",AM1560=AN1560),"",($E1560-AN1560)/(AM1560-AN1560))</f>
        <v>0</v>
      </c>
      <c r="AP1560">
        <f>IF(OR(AM1560="",AK1560="",AK1560=0),"",(AM1560-AN1560)/AK1560)</f>
        <v>0</v>
      </c>
      <c r="AQ1560">
        <f>IF(COUNT($E$2:$E1560)&lt;20,"",MAX($C$1541:$C$1560))</f>
        <v>0</v>
      </c>
      <c r="AR1560">
        <f>IF(COUNT($E$2:$E1560)&lt;20,"",MIN($D$1541:$D$1560))</f>
        <v>0</v>
      </c>
      <c r="AS1560">
        <f>IF(OR(AQ1560="",AR1560=""),"",(AQ1560+AR1560)/2)</f>
        <v>0</v>
      </c>
      <c r="AT1560">
        <f>IF(COUNT($G$1541:$G$1560)&lt;20,"",STDEV($G$1541:$G$1560)*SQRT(252))</f>
        <v>0</v>
      </c>
      <c r="AU1560">
        <f>IF(COUNT($E$2:$E1560)&lt;9,"",(MAX($C$1552:$C$1560)+MIN($D$1552:$D$1560))/2)</f>
        <v>0</v>
      </c>
      <c r="AV1560">
        <f>IF(COUNT($E$2:$E1560)&lt;26,"",(MAX($C$1535:$C$1560)+MIN($D$1535:$D$1560))/2)</f>
        <v>0</v>
      </c>
      <c r="AW1560">
        <f>IF(OR(AU1560="",AV1560=""),"",(AU1560+AV1560)/2)</f>
        <v>0</v>
      </c>
      <c r="AX1560">
        <f>IF(COUNT($E$2:$E1560)&lt;52,"",(MAX($C$1509:$C$1560)+MIN($D$1509:$D$1560))/2)</f>
        <v>0</v>
      </c>
      <c r="AY1560">
        <f>IF(COUNT($E$2:$E1560)&lt;20,"",MAX($C$1461:$C$1560))</f>
        <v>0</v>
      </c>
      <c r="AZ1560">
        <f>IF(COUNT($E$2:$E1560)&lt;20,"",MIN($D$1461:$D$1560))</f>
        <v>0</v>
      </c>
      <c r="BA1560">
        <f>IF(COUNT($E$2:$E1560)&lt;20,"",SLOPE($E$1461:$E$1560,$F$1461:$F$1560))</f>
        <v>0</v>
      </c>
      <c r="BB1560">
        <f>IF(COUNT($E$2:$E1560)&lt;20,"",INTERCEPT($E$1461:$E$1560,$F$1461:$F$1560))</f>
        <v>0</v>
      </c>
      <c r="BC1560">
        <f>IF(OR(BA1560="",BB1560=""),"",BB1560+BA1560*F1560)</f>
        <v>0</v>
      </c>
      <c r="BD1560">
        <f>IF(COUNT($E$2:$E1560)&lt;20,"",STEYX($E$1461:$E$1560,$F$1461:$F$1560))</f>
        <v>0</v>
      </c>
      <c r="BE1560">
        <f>IF($E1560="","",IF(AND(COUNT($E$1561:$E$1564)&gt;=4,$C1560=MAX($C$1556:$C$1564)),$C1560,""))</f>
        <v>0</v>
      </c>
      <c r="BF1560">
        <f>IF($E1560="","",IF(AND(COUNT($E$1561:$E$1564)&gt;=4,$D1560=MIN($D$1556:$D$1564)),$D1560,""))</f>
        <v>0</v>
      </c>
      <c r="BG1560">
        <f>IF($A1560="","",$A1560-WEEKDAY($A1560,2)+1)</f>
        <v>0</v>
      </c>
      <c r="BH1560">
        <f>IF($A1560="","",IF($A1559="",1,IF(BG1560&lt;&gt;BG1559,1,0)))</f>
        <v>0</v>
      </c>
      <c r="BI1560">
        <f>IF($A1560="","",IF($A1561="",1,IF(BG1561&lt;&gt;BG1560,1,0)))</f>
        <v>0</v>
      </c>
      <c r="BJ1560">
        <f>IF($A1560="","",IF(BH1560=1,$B1560,BJ1559))</f>
        <v>0</v>
      </c>
      <c r="BK1560">
        <f>IF($A1560="","",IF(BH1560=1,$C1560,MAX($C1560,BK1559)))</f>
        <v>0</v>
      </c>
      <c r="BL1560">
        <f>IF($A1560="","",IF(BH1560=1,$D1560,MIN($D1560,BL1559)))</f>
        <v>0</v>
      </c>
      <c r="BM1560">
        <f>IF($A1560="","",IF(BI1560=1,F1560,""))</f>
        <v>0</v>
      </c>
      <c r="BN1560">
        <f>IF($A1560="","",DATE(YEAR($A1560),MONTH($A1560),1))</f>
        <v>0</v>
      </c>
      <c r="BO1560">
        <f>IF($A1560="","",IF($A1559="",1,IF(BN1560&lt;&gt;BN1559,1,0)))</f>
        <v>0</v>
      </c>
      <c r="BP1560">
        <f>IF($A1560="","",IF($A1561="",1,IF(BN1561&lt;&gt;BN1560,1,0)))</f>
        <v>0</v>
      </c>
      <c r="BQ1560">
        <f>IF($A1560="","",IF(BO1560=1,$B1560,BQ1559))</f>
        <v>0</v>
      </c>
      <c r="BR1560">
        <f>IF($A1560="","",IF(BO1560=1,$C1560,MAX($C1560,BR1559)))</f>
        <v>0</v>
      </c>
      <c r="BS1560">
        <f>IF($A1560="","",IF(BO1560=1,$D1560,MIN($D1560,BS1559)))</f>
        <v>0</v>
      </c>
      <c r="BT1560">
        <f>IF($A1560="","",IF(BP1560=1,F1560,""))</f>
        <v>0</v>
      </c>
    </row>
    <row r="1561" spans="1:72">
      <c r="A1561" s="27">
        <f>IF(Data!$A1561="","",Data!$A1561)</f>
        <v>0</v>
      </c>
      <c r="B1561">
        <f>IF(Data!$B1561="","",Data!$B1561)</f>
        <v>0</v>
      </c>
      <c r="C1561">
        <f>IF(Data!$C1561="","",Data!$C1561)</f>
        <v>0</v>
      </c>
      <c r="D1561">
        <f>IF(Data!$D1561="","",Data!$D1561)</f>
        <v>0</v>
      </c>
      <c r="E1561">
        <f>IF(Data!$E1561="","",Data!$E1561)</f>
        <v>0</v>
      </c>
      <c r="F1561">
        <f>IF($E1561="","",N(F1560)+1)</f>
        <v>0</v>
      </c>
      <c r="G1561">
        <f>IF(OR($E1561="",$E1560=""),"",LN($E1561/$E1560))</f>
        <v>0</v>
      </c>
      <c r="H1561">
        <f>IF($E1561="","",IF($E1560="",$E1561,$E1561*0.0952380952+H1560*0.9047619048))</f>
        <v>0</v>
      </c>
      <c r="I1561">
        <f>IF($E1561="","",IF($E1560="",$E1561,$E1561*0.0392156863+I1560*0.9607843137))</f>
        <v>0</v>
      </c>
      <c r="J1561">
        <f>IF($E1561="","",IF($E1560="",$E1561,$E1561*0.0198019802+J1560*0.9801980198))</f>
        <v>0</v>
      </c>
      <c r="K1561">
        <f>IF($E1561="","",IF($E1560="",$E1561,$E1561*0.0099502488+K1560*0.9900497512))</f>
        <v>0</v>
      </c>
      <c r="L1561">
        <f>IF(OR($E1561="",$E1560=""),"",MAX($E1561-$E1560,0))</f>
        <v>0</v>
      </c>
      <c r="M1561">
        <f>IF(OR($E1561="",$E1560=""),"",MAX($E1560-$E1561,0))</f>
        <v>0</v>
      </c>
      <c r="N1561">
        <f>IF(COUNT($E$2:$E1561)&lt;15,"",IF(AVERAGE($M$1548:$M$1561)=0,100,100-100/(1+AVERAGE($L$1548:$L$1561)/AVERAGE($M$1548:$M$1561))))</f>
        <v>0</v>
      </c>
      <c r="O1561">
        <f>IF($E1561="","",IF($E1560="",$E1561,$E1561*0.1538461538+O1560*0.8461538462))</f>
        <v>0</v>
      </c>
      <c r="P1561">
        <f>IF($E1561="","",IF($E1560="",$E1561,$E1561*0.0740740741+P1560*0.9259259259))</f>
        <v>0</v>
      </c>
      <c r="Q1561">
        <f>IF(OR(O1561="",P1561=""),"",O1561-P1561)</f>
        <v>0</v>
      </c>
      <c r="R1561">
        <f>IF(Q1561="","",IF(R1560="",Q1561,Q1561*0.2000000000+R1560*0.8000000000))</f>
        <v>0</v>
      </c>
      <c r="S1561">
        <f>IF(OR(Q1561="",R1561=""),"",Q1561-R1561)</f>
        <v>0</v>
      </c>
      <c r="T1561">
        <f>IF(COUNT($E$2:$E1561)&lt;14,"",MAX($C$1548:$C$1561))</f>
        <v>0</v>
      </c>
      <c r="U1561">
        <f>IF(COUNT($E$2:$E1561)&lt;14,"",MIN($D$1548:$D$1561))</f>
        <v>0</v>
      </c>
      <c r="V1561">
        <f>IF(OR(T1561="",U1561="",T1561=U1561),"",100*($E1561-U1561)/(T1561-U1561))</f>
        <v>0</v>
      </c>
      <c r="W1561">
        <f>IF(COUNT($V$1559:$V$1561)&lt;3,"",AVERAGE($V$1559:$V$1561))</f>
        <v>0</v>
      </c>
      <c r="X1561">
        <f>IF(COUNT($N$1548:$N$1561)&lt;14,"",MIN($N$1548:$N$1561))</f>
        <v>0</v>
      </c>
      <c r="Y1561">
        <f>IF(COUNT($N$1548:$N$1561)&lt;14,"",MAX($N$1548:$N$1561))</f>
        <v>0</v>
      </c>
      <c r="Z1561">
        <f>IF(OR(N1561="",X1561="",Y1561="",Y1561=X1561),"",100*(N1561-X1561)/(Y1561-X1561))</f>
        <v>0</v>
      </c>
      <c r="AA1561">
        <f>IF(COUNT($Z$1559:$Z$1561)&lt;3,"",AVERAGE($Z$1559:$Z$1561))</f>
        <v>0</v>
      </c>
      <c r="AB1561">
        <f>IF(COUNT($AA$1559:$AA$1561)&lt;3,"",AVERAGE($AA$1559:$AA$1561))</f>
        <v>0</v>
      </c>
      <c r="AC1561">
        <f>IF($E1561="","",MAX($C1561-$D1561,ABS($C1561-$E1560),ABS($D1561-$E1560)))</f>
        <v>0</v>
      </c>
      <c r="AD1561">
        <f>IF(COUNT($E$2:$E1561)&lt;15,"",AVERAGE($AC$1548:$AC$1561))</f>
        <v>0</v>
      </c>
      <c r="AE1561">
        <f>IF(OR($E1561="",$E1560=""),"",IF(AND(($C1561-$C1560)&gt;($D1560-$D1561),($C1561-$C1560)&gt;0),$C1561-$C1560,0))</f>
        <v>0</v>
      </c>
      <c r="AF1561">
        <f>IF(OR($E1561="",$E1560=""),"",IF(AND(($D1560-$D1561)&gt;($C1561-$C1560),($D1560-$D1561)&gt;0),$D1560-$D1561,0))</f>
        <v>0</v>
      </c>
      <c r="AG1561">
        <f>IF(COUNT($E$2:$E1561)&lt;15,"",IF(SUM($AC$1548:$AC$1561)=0,0,100*SUM($AE$1548:$AE$1561)/SUM($AC$1548:$AC$1561)))</f>
        <v>0</v>
      </c>
      <c r="AH1561">
        <f>IF(COUNT($E$2:$E1561)&lt;15,"",IF(SUM($AC$1548:$AC$1561)=0,0,100*SUM($AF$1548:$AF$1561)/SUM($AC$1548:$AC$1561)))</f>
        <v>0</v>
      </c>
      <c r="AI1561">
        <f>IF(OR(AG1561="",AH1561=""),"",IF((AG1561+AH1561)=0,0,100*ABS(AG1561-AH1561)/(AG1561+AH1561)))</f>
        <v>0</v>
      </c>
      <c r="AJ1561">
        <f>IF(COUNT($AI$1548:$AI$1561)&lt;14,"",AVERAGE($AI$1548:$AI$1561))</f>
        <v>0</v>
      </c>
      <c r="AK1561">
        <f>IF(COUNT($E$2:$E1561)&lt;20,"",AVERAGE($E$1542:$E$1561))</f>
        <v>0</v>
      </c>
      <c r="AL1561">
        <f>IF(COUNT($E$2:$E1561)&lt;20,"",STDEVP($E$1542:$E$1561))</f>
        <v>0</v>
      </c>
      <c r="AM1561">
        <f>IF(AK1561="","",AK1561+2*AL1561)</f>
        <v>0</v>
      </c>
      <c r="AN1561">
        <f>IF(AK1561="","",AK1561-2*AL1561)</f>
        <v>0</v>
      </c>
      <c r="AO1561">
        <f>IF(OR(AM1561="",AN1561="",AM1561=AN1561),"",($E1561-AN1561)/(AM1561-AN1561))</f>
        <v>0</v>
      </c>
      <c r="AP1561">
        <f>IF(OR(AM1561="",AK1561="",AK1561=0),"",(AM1561-AN1561)/AK1561)</f>
        <v>0</v>
      </c>
      <c r="AQ1561">
        <f>IF(COUNT($E$2:$E1561)&lt;20,"",MAX($C$1542:$C$1561))</f>
        <v>0</v>
      </c>
      <c r="AR1561">
        <f>IF(COUNT($E$2:$E1561)&lt;20,"",MIN($D$1542:$D$1561))</f>
        <v>0</v>
      </c>
      <c r="AS1561">
        <f>IF(OR(AQ1561="",AR1561=""),"",(AQ1561+AR1561)/2)</f>
        <v>0</v>
      </c>
      <c r="AT1561">
        <f>IF(COUNT($G$1542:$G$1561)&lt;20,"",STDEV($G$1542:$G$1561)*SQRT(252))</f>
        <v>0</v>
      </c>
      <c r="AU1561">
        <f>IF(COUNT($E$2:$E1561)&lt;9,"",(MAX($C$1553:$C$1561)+MIN($D$1553:$D$1561))/2)</f>
        <v>0</v>
      </c>
      <c r="AV1561">
        <f>IF(COUNT($E$2:$E1561)&lt;26,"",(MAX($C$1536:$C$1561)+MIN($D$1536:$D$1561))/2)</f>
        <v>0</v>
      </c>
      <c r="AW1561">
        <f>IF(OR(AU1561="",AV1561=""),"",(AU1561+AV1561)/2)</f>
        <v>0</v>
      </c>
      <c r="AX1561">
        <f>IF(COUNT($E$2:$E1561)&lt;52,"",(MAX($C$1510:$C$1561)+MIN($D$1510:$D$1561))/2)</f>
        <v>0</v>
      </c>
      <c r="AY1561">
        <f>IF(COUNT($E$2:$E1561)&lt;20,"",MAX($C$1462:$C$1561))</f>
        <v>0</v>
      </c>
      <c r="AZ1561">
        <f>IF(COUNT($E$2:$E1561)&lt;20,"",MIN($D$1462:$D$1561))</f>
        <v>0</v>
      </c>
      <c r="BA1561">
        <f>IF(COUNT($E$2:$E1561)&lt;20,"",SLOPE($E$1462:$E$1561,$F$1462:$F$1561))</f>
        <v>0</v>
      </c>
      <c r="BB1561">
        <f>IF(COUNT($E$2:$E1561)&lt;20,"",INTERCEPT($E$1462:$E$1561,$F$1462:$F$1561))</f>
        <v>0</v>
      </c>
      <c r="BC1561">
        <f>IF(OR(BA1561="",BB1561=""),"",BB1561+BA1561*F1561)</f>
        <v>0</v>
      </c>
      <c r="BD1561">
        <f>IF(COUNT($E$2:$E1561)&lt;20,"",STEYX($E$1462:$E$1561,$F$1462:$F$1561))</f>
        <v>0</v>
      </c>
      <c r="BE1561">
        <f>IF($E1561="","",IF(AND(COUNT($E$1562:$E$1565)&gt;=4,$C1561=MAX($C$1557:$C$1565)),$C1561,""))</f>
        <v>0</v>
      </c>
      <c r="BF1561">
        <f>IF($E1561="","",IF(AND(COUNT($E$1562:$E$1565)&gt;=4,$D1561=MIN($D$1557:$D$1565)),$D1561,""))</f>
        <v>0</v>
      </c>
      <c r="BG1561">
        <f>IF($A1561="","",$A1561-WEEKDAY($A1561,2)+1)</f>
        <v>0</v>
      </c>
      <c r="BH1561">
        <f>IF($A1561="","",IF($A1560="",1,IF(BG1561&lt;&gt;BG1560,1,0)))</f>
        <v>0</v>
      </c>
      <c r="BI1561">
        <f>IF($A1561="","",IF($A1562="",1,IF(BG1562&lt;&gt;BG1561,1,0)))</f>
        <v>0</v>
      </c>
      <c r="BJ1561">
        <f>IF($A1561="","",IF(BH1561=1,$B1561,BJ1560))</f>
        <v>0</v>
      </c>
      <c r="BK1561">
        <f>IF($A1561="","",IF(BH1561=1,$C1561,MAX($C1561,BK1560)))</f>
        <v>0</v>
      </c>
      <c r="BL1561">
        <f>IF($A1561="","",IF(BH1561=1,$D1561,MIN($D1561,BL1560)))</f>
        <v>0</v>
      </c>
      <c r="BM1561">
        <f>IF($A1561="","",IF(BI1561=1,F1561,""))</f>
        <v>0</v>
      </c>
      <c r="BN1561">
        <f>IF($A1561="","",DATE(YEAR($A1561),MONTH($A1561),1))</f>
        <v>0</v>
      </c>
      <c r="BO1561">
        <f>IF($A1561="","",IF($A1560="",1,IF(BN1561&lt;&gt;BN1560,1,0)))</f>
        <v>0</v>
      </c>
      <c r="BP1561">
        <f>IF($A1561="","",IF($A1562="",1,IF(BN1562&lt;&gt;BN1561,1,0)))</f>
        <v>0</v>
      </c>
      <c r="BQ1561">
        <f>IF($A1561="","",IF(BO1561=1,$B1561,BQ1560))</f>
        <v>0</v>
      </c>
      <c r="BR1561">
        <f>IF($A1561="","",IF(BO1561=1,$C1561,MAX($C1561,BR1560)))</f>
        <v>0</v>
      </c>
      <c r="BS1561">
        <f>IF($A1561="","",IF(BO1561=1,$D1561,MIN($D1561,BS1560)))</f>
        <v>0</v>
      </c>
      <c r="BT1561">
        <f>IF($A1561="","",IF(BP1561=1,F1561,""))</f>
        <v>0</v>
      </c>
    </row>
    <row r="1562" spans="1:72">
      <c r="A1562" s="27">
        <f>IF(Data!$A1562="","",Data!$A1562)</f>
        <v>0</v>
      </c>
      <c r="B1562">
        <f>IF(Data!$B1562="","",Data!$B1562)</f>
        <v>0</v>
      </c>
      <c r="C1562">
        <f>IF(Data!$C1562="","",Data!$C1562)</f>
        <v>0</v>
      </c>
      <c r="D1562">
        <f>IF(Data!$D1562="","",Data!$D1562)</f>
        <v>0</v>
      </c>
      <c r="E1562">
        <f>IF(Data!$E1562="","",Data!$E1562)</f>
        <v>0</v>
      </c>
      <c r="F1562">
        <f>IF($E1562="","",N(F1561)+1)</f>
        <v>0</v>
      </c>
      <c r="G1562">
        <f>IF(OR($E1562="",$E1561=""),"",LN($E1562/$E1561))</f>
        <v>0</v>
      </c>
      <c r="H1562">
        <f>IF($E1562="","",IF($E1561="",$E1562,$E1562*0.0952380952+H1561*0.9047619048))</f>
        <v>0</v>
      </c>
      <c r="I1562">
        <f>IF($E1562="","",IF($E1561="",$E1562,$E1562*0.0392156863+I1561*0.9607843137))</f>
        <v>0</v>
      </c>
      <c r="J1562">
        <f>IF($E1562="","",IF($E1561="",$E1562,$E1562*0.0198019802+J1561*0.9801980198))</f>
        <v>0</v>
      </c>
      <c r="K1562">
        <f>IF($E1562="","",IF($E1561="",$E1562,$E1562*0.0099502488+K1561*0.9900497512))</f>
        <v>0</v>
      </c>
      <c r="L1562">
        <f>IF(OR($E1562="",$E1561=""),"",MAX($E1562-$E1561,0))</f>
        <v>0</v>
      </c>
      <c r="M1562">
        <f>IF(OR($E1562="",$E1561=""),"",MAX($E1561-$E1562,0))</f>
        <v>0</v>
      </c>
      <c r="N1562">
        <f>IF(COUNT($E$2:$E1562)&lt;15,"",IF(AVERAGE($M$1549:$M$1562)=0,100,100-100/(1+AVERAGE($L$1549:$L$1562)/AVERAGE($M$1549:$M$1562))))</f>
        <v>0</v>
      </c>
      <c r="O1562">
        <f>IF($E1562="","",IF($E1561="",$E1562,$E1562*0.1538461538+O1561*0.8461538462))</f>
        <v>0</v>
      </c>
      <c r="P1562">
        <f>IF($E1562="","",IF($E1561="",$E1562,$E1562*0.0740740741+P1561*0.9259259259))</f>
        <v>0</v>
      </c>
      <c r="Q1562">
        <f>IF(OR(O1562="",P1562=""),"",O1562-P1562)</f>
        <v>0</v>
      </c>
      <c r="R1562">
        <f>IF(Q1562="","",IF(R1561="",Q1562,Q1562*0.2000000000+R1561*0.8000000000))</f>
        <v>0</v>
      </c>
      <c r="S1562">
        <f>IF(OR(Q1562="",R1562=""),"",Q1562-R1562)</f>
        <v>0</v>
      </c>
      <c r="T1562">
        <f>IF(COUNT($E$2:$E1562)&lt;14,"",MAX($C$1549:$C$1562))</f>
        <v>0</v>
      </c>
      <c r="U1562">
        <f>IF(COUNT($E$2:$E1562)&lt;14,"",MIN($D$1549:$D$1562))</f>
        <v>0</v>
      </c>
      <c r="V1562">
        <f>IF(OR(T1562="",U1562="",T1562=U1562),"",100*($E1562-U1562)/(T1562-U1562))</f>
        <v>0</v>
      </c>
      <c r="W1562">
        <f>IF(COUNT($V$1560:$V$1562)&lt;3,"",AVERAGE($V$1560:$V$1562))</f>
        <v>0</v>
      </c>
      <c r="X1562">
        <f>IF(COUNT($N$1549:$N$1562)&lt;14,"",MIN($N$1549:$N$1562))</f>
        <v>0</v>
      </c>
      <c r="Y1562">
        <f>IF(COUNT($N$1549:$N$1562)&lt;14,"",MAX($N$1549:$N$1562))</f>
        <v>0</v>
      </c>
      <c r="Z1562">
        <f>IF(OR(N1562="",X1562="",Y1562="",Y1562=X1562),"",100*(N1562-X1562)/(Y1562-X1562))</f>
        <v>0</v>
      </c>
      <c r="AA1562">
        <f>IF(COUNT($Z$1560:$Z$1562)&lt;3,"",AVERAGE($Z$1560:$Z$1562))</f>
        <v>0</v>
      </c>
      <c r="AB1562">
        <f>IF(COUNT($AA$1560:$AA$1562)&lt;3,"",AVERAGE($AA$1560:$AA$1562))</f>
        <v>0</v>
      </c>
      <c r="AC1562">
        <f>IF($E1562="","",MAX($C1562-$D1562,ABS($C1562-$E1561),ABS($D1562-$E1561)))</f>
        <v>0</v>
      </c>
      <c r="AD1562">
        <f>IF(COUNT($E$2:$E1562)&lt;15,"",AVERAGE($AC$1549:$AC$1562))</f>
        <v>0</v>
      </c>
      <c r="AE1562">
        <f>IF(OR($E1562="",$E1561=""),"",IF(AND(($C1562-$C1561)&gt;($D1561-$D1562),($C1562-$C1561)&gt;0),$C1562-$C1561,0))</f>
        <v>0</v>
      </c>
      <c r="AF1562">
        <f>IF(OR($E1562="",$E1561=""),"",IF(AND(($D1561-$D1562)&gt;($C1562-$C1561),($D1561-$D1562)&gt;0),$D1561-$D1562,0))</f>
        <v>0</v>
      </c>
      <c r="AG1562">
        <f>IF(COUNT($E$2:$E1562)&lt;15,"",IF(SUM($AC$1549:$AC$1562)=0,0,100*SUM($AE$1549:$AE$1562)/SUM($AC$1549:$AC$1562)))</f>
        <v>0</v>
      </c>
      <c r="AH1562">
        <f>IF(COUNT($E$2:$E1562)&lt;15,"",IF(SUM($AC$1549:$AC$1562)=0,0,100*SUM($AF$1549:$AF$1562)/SUM($AC$1549:$AC$1562)))</f>
        <v>0</v>
      </c>
      <c r="AI1562">
        <f>IF(OR(AG1562="",AH1562=""),"",IF((AG1562+AH1562)=0,0,100*ABS(AG1562-AH1562)/(AG1562+AH1562)))</f>
        <v>0</v>
      </c>
      <c r="AJ1562">
        <f>IF(COUNT($AI$1549:$AI$1562)&lt;14,"",AVERAGE($AI$1549:$AI$1562))</f>
        <v>0</v>
      </c>
      <c r="AK1562">
        <f>IF(COUNT($E$2:$E1562)&lt;20,"",AVERAGE($E$1543:$E$1562))</f>
        <v>0</v>
      </c>
      <c r="AL1562">
        <f>IF(COUNT($E$2:$E1562)&lt;20,"",STDEVP($E$1543:$E$1562))</f>
        <v>0</v>
      </c>
      <c r="AM1562">
        <f>IF(AK1562="","",AK1562+2*AL1562)</f>
        <v>0</v>
      </c>
      <c r="AN1562">
        <f>IF(AK1562="","",AK1562-2*AL1562)</f>
        <v>0</v>
      </c>
      <c r="AO1562">
        <f>IF(OR(AM1562="",AN1562="",AM1562=AN1562),"",($E1562-AN1562)/(AM1562-AN1562))</f>
        <v>0</v>
      </c>
      <c r="AP1562">
        <f>IF(OR(AM1562="",AK1562="",AK1562=0),"",(AM1562-AN1562)/AK1562)</f>
        <v>0</v>
      </c>
      <c r="AQ1562">
        <f>IF(COUNT($E$2:$E1562)&lt;20,"",MAX($C$1543:$C$1562))</f>
        <v>0</v>
      </c>
      <c r="AR1562">
        <f>IF(COUNT($E$2:$E1562)&lt;20,"",MIN($D$1543:$D$1562))</f>
        <v>0</v>
      </c>
      <c r="AS1562">
        <f>IF(OR(AQ1562="",AR1562=""),"",(AQ1562+AR1562)/2)</f>
        <v>0</v>
      </c>
      <c r="AT1562">
        <f>IF(COUNT($G$1543:$G$1562)&lt;20,"",STDEV($G$1543:$G$1562)*SQRT(252))</f>
        <v>0</v>
      </c>
      <c r="AU1562">
        <f>IF(COUNT($E$2:$E1562)&lt;9,"",(MAX($C$1554:$C$1562)+MIN($D$1554:$D$1562))/2)</f>
        <v>0</v>
      </c>
      <c r="AV1562">
        <f>IF(COUNT($E$2:$E1562)&lt;26,"",(MAX($C$1537:$C$1562)+MIN($D$1537:$D$1562))/2)</f>
        <v>0</v>
      </c>
      <c r="AW1562">
        <f>IF(OR(AU1562="",AV1562=""),"",(AU1562+AV1562)/2)</f>
        <v>0</v>
      </c>
      <c r="AX1562">
        <f>IF(COUNT($E$2:$E1562)&lt;52,"",(MAX($C$1511:$C$1562)+MIN($D$1511:$D$1562))/2)</f>
        <v>0</v>
      </c>
      <c r="AY1562">
        <f>IF(COUNT($E$2:$E1562)&lt;20,"",MAX($C$1463:$C$1562))</f>
        <v>0</v>
      </c>
      <c r="AZ1562">
        <f>IF(COUNT($E$2:$E1562)&lt;20,"",MIN($D$1463:$D$1562))</f>
        <v>0</v>
      </c>
      <c r="BA1562">
        <f>IF(COUNT($E$2:$E1562)&lt;20,"",SLOPE($E$1463:$E$1562,$F$1463:$F$1562))</f>
        <v>0</v>
      </c>
      <c r="BB1562">
        <f>IF(COUNT($E$2:$E1562)&lt;20,"",INTERCEPT($E$1463:$E$1562,$F$1463:$F$1562))</f>
        <v>0</v>
      </c>
      <c r="BC1562">
        <f>IF(OR(BA1562="",BB1562=""),"",BB1562+BA1562*F1562)</f>
        <v>0</v>
      </c>
      <c r="BD1562">
        <f>IF(COUNT($E$2:$E1562)&lt;20,"",STEYX($E$1463:$E$1562,$F$1463:$F$1562))</f>
        <v>0</v>
      </c>
      <c r="BE1562">
        <f>IF($E1562="","",IF(AND(COUNT($E$1563:$E$1566)&gt;=4,$C1562=MAX($C$1558:$C$1566)),$C1562,""))</f>
        <v>0</v>
      </c>
      <c r="BF1562">
        <f>IF($E1562="","",IF(AND(COUNT($E$1563:$E$1566)&gt;=4,$D1562=MIN($D$1558:$D$1566)),$D1562,""))</f>
        <v>0</v>
      </c>
      <c r="BG1562">
        <f>IF($A1562="","",$A1562-WEEKDAY($A1562,2)+1)</f>
        <v>0</v>
      </c>
      <c r="BH1562">
        <f>IF($A1562="","",IF($A1561="",1,IF(BG1562&lt;&gt;BG1561,1,0)))</f>
        <v>0</v>
      </c>
      <c r="BI1562">
        <f>IF($A1562="","",IF($A1563="",1,IF(BG1563&lt;&gt;BG1562,1,0)))</f>
        <v>0</v>
      </c>
      <c r="BJ1562">
        <f>IF($A1562="","",IF(BH1562=1,$B1562,BJ1561))</f>
        <v>0</v>
      </c>
      <c r="BK1562">
        <f>IF($A1562="","",IF(BH1562=1,$C1562,MAX($C1562,BK1561)))</f>
        <v>0</v>
      </c>
      <c r="BL1562">
        <f>IF($A1562="","",IF(BH1562=1,$D1562,MIN($D1562,BL1561)))</f>
        <v>0</v>
      </c>
      <c r="BM1562">
        <f>IF($A1562="","",IF(BI1562=1,F1562,""))</f>
        <v>0</v>
      </c>
      <c r="BN1562">
        <f>IF($A1562="","",DATE(YEAR($A1562),MONTH($A1562),1))</f>
        <v>0</v>
      </c>
      <c r="BO1562">
        <f>IF($A1562="","",IF($A1561="",1,IF(BN1562&lt;&gt;BN1561,1,0)))</f>
        <v>0</v>
      </c>
      <c r="BP1562">
        <f>IF($A1562="","",IF($A1563="",1,IF(BN1563&lt;&gt;BN1562,1,0)))</f>
        <v>0</v>
      </c>
      <c r="BQ1562">
        <f>IF($A1562="","",IF(BO1562=1,$B1562,BQ1561))</f>
        <v>0</v>
      </c>
      <c r="BR1562">
        <f>IF($A1562="","",IF(BO1562=1,$C1562,MAX($C1562,BR1561)))</f>
        <v>0</v>
      </c>
      <c r="BS1562">
        <f>IF($A1562="","",IF(BO1562=1,$D1562,MIN($D1562,BS1561)))</f>
        <v>0</v>
      </c>
      <c r="BT1562">
        <f>IF($A1562="","",IF(BP1562=1,F1562,""))</f>
        <v>0</v>
      </c>
    </row>
    <row r="1563" spans="1:72">
      <c r="A1563" s="27">
        <f>IF(Data!$A1563="","",Data!$A1563)</f>
        <v>0</v>
      </c>
      <c r="B1563">
        <f>IF(Data!$B1563="","",Data!$B1563)</f>
        <v>0</v>
      </c>
      <c r="C1563">
        <f>IF(Data!$C1563="","",Data!$C1563)</f>
        <v>0</v>
      </c>
      <c r="D1563">
        <f>IF(Data!$D1563="","",Data!$D1563)</f>
        <v>0</v>
      </c>
      <c r="E1563">
        <f>IF(Data!$E1563="","",Data!$E1563)</f>
        <v>0</v>
      </c>
      <c r="F1563">
        <f>IF($E1563="","",N(F1562)+1)</f>
        <v>0</v>
      </c>
      <c r="G1563">
        <f>IF(OR($E1563="",$E1562=""),"",LN($E1563/$E1562))</f>
        <v>0</v>
      </c>
      <c r="H1563">
        <f>IF($E1563="","",IF($E1562="",$E1563,$E1563*0.0952380952+H1562*0.9047619048))</f>
        <v>0</v>
      </c>
      <c r="I1563">
        <f>IF($E1563="","",IF($E1562="",$E1563,$E1563*0.0392156863+I1562*0.9607843137))</f>
        <v>0</v>
      </c>
      <c r="J1563">
        <f>IF($E1563="","",IF($E1562="",$E1563,$E1563*0.0198019802+J1562*0.9801980198))</f>
        <v>0</v>
      </c>
      <c r="K1563">
        <f>IF($E1563="","",IF($E1562="",$E1563,$E1563*0.0099502488+K1562*0.9900497512))</f>
        <v>0</v>
      </c>
      <c r="L1563">
        <f>IF(OR($E1563="",$E1562=""),"",MAX($E1563-$E1562,0))</f>
        <v>0</v>
      </c>
      <c r="M1563">
        <f>IF(OR($E1563="",$E1562=""),"",MAX($E1562-$E1563,0))</f>
        <v>0</v>
      </c>
      <c r="N1563">
        <f>IF(COUNT($E$2:$E1563)&lt;15,"",IF(AVERAGE($M$1550:$M$1563)=0,100,100-100/(1+AVERAGE($L$1550:$L$1563)/AVERAGE($M$1550:$M$1563))))</f>
        <v>0</v>
      </c>
      <c r="O1563">
        <f>IF($E1563="","",IF($E1562="",$E1563,$E1563*0.1538461538+O1562*0.8461538462))</f>
        <v>0</v>
      </c>
      <c r="P1563">
        <f>IF($E1563="","",IF($E1562="",$E1563,$E1563*0.0740740741+P1562*0.9259259259))</f>
        <v>0</v>
      </c>
      <c r="Q1563">
        <f>IF(OR(O1563="",P1563=""),"",O1563-P1563)</f>
        <v>0</v>
      </c>
      <c r="R1563">
        <f>IF(Q1563="","",IF(R1562="",Q1563,Q1563*0.2000000000+R1562*0.8000000000))</f>
        <v>0</v>
      </c>
      <c r="S1563">
        <f>IF(OR(Q1563="",R1563=""),"",Q1563-R1563)</f>
        <v>0</v>
      </c>
      <c r="T1563">
        <f>IF(COUNT($E$2:$E1563)&lt;14,"",MAX($C$1550:$C$1563))</f>
        <v>0</v>
      </c>
      <c r="U1563">
        <f>IF(COUNT($E$2:$E1563)&lt;14,"",MIN($D$1550:$D$1563))</f>
        <v>0</v>
      </c>
      <c r="V1563">
        <f>IF(OR(T1563="",U1563="",T1563=U1563),"",100*($E1563-U1563)/(T1563-U1563))</f>
        <v>0</v>
      </c>
      <c r="W1563">
        <f>IF(COUNT($V$1561:$V$1563)&lt;3,"",AVERAGE($V$1561:$V$1563))</f>
        <v>0</v>
      </c>
      <c r="X1563">
        <f>IF(COUNT($N$1550:$N$1563)&lt;14,"",MIN($N$1550:$N$1563))</f>
        <v>0</v>
      </c>
      <c r="Y1563">
        <f>IF(COUNT($N$1550:$N$1563)&lt;14,"",MAX($N$1550:$N$1563))</f>
        <v>0</v>
      </c>
      <c r="Z1563">
        <f>IF(OR(N1563="",X1563="",Y1563="",Y1563=X1563),"",100*(N1563-X1563)/(Y1563-X1563))</f>
        <v>0</v>
      </c>
      <c r="AA1563">
        <f>IF(COUNT($Z$1561:$Z$1563)&lt;3,"",AVERAGE($Z$1561:$Z$1563))</f>
        <v>0</v>
      </c>
      <c r="AB1563">
        <f>IF(COUNT($AA$1561:$AA$1563)&lt;3,"",AVERAGE($AA$1561:$AA$1563))</f>
        <v>0</v>
      </c>
      <c r="AC1563">
        <f>IF($E1563="","",MAX($C1563-$D1563,ABS($C1563-$E1562),ABS($D1563-$E1562)))</f>
        <v>0</v>
      </c>
      <c r="AD1563">
        <f>IF(COUNT($E$2:$E1563)&lt;15,"",AVERAGE($AC$1550:$AC$1563))</f>
        <v>0</v>
      </c>
      <c r="AE1563">
        <f>IF(OR($E1563="",$E1562=""),"",IF(AND(($C1563-$C1562)&gt;($D1562-$D1563),($C1563-$C1562)&gt;0),$C1563-$C1562,0))</f>
        <v>0</v>
      </c>
      <c r="AF1563">
        <f>IF(OR($E1563="",$E1562=""),"",IF(AND(($D1562-$D1563)&gt;($C1563-$C1562),($D1562-$D1563)&gt;0),$D1562-$D1563,0))</f>
        <v>0</v>
      </c>
      <c r="AG1563">
        <f>IF(COUNT($E$2:$E1563)&lt;15,"",IF(SUM($AC$1550:$AC$1563)=0,0,100*SUM($AE$1550:$AE$1563)/SUM($AC$1550:$AC$1563)))</f>
        <v>0</v>
      </c>
      <c r="AH1563">
        <f>IF(COUNT($E$2:$E1563)&lt;15,"",IF(SUM($AC$1550:$AC$1563)=0,0,100*SUM($AF$1550:$AF$1563)/SUM($AC$1550:$AC$1563)))</f>
        <v>0</v>
      </c>
      <c r="AI1563">
        <f>IF(OR(AG1563="",AH1563=""),"",IF((AG1563+AH1563)=0,0,100*ABS(AG1563-AH1563)/(AG1563+AH1563)))</f>
        <v>0</v>
      </c>
      <c r="AJ1563">
        <f>IF(COUNT($AI$1550:$AI$1563)&lt;14,"",AVERAGE($AI$1550:$AI$1563))</f>
        <v>0</v>
      </c>
      <c r="AK1563">
        <f>IF(COUNT($E$2:$E1563)&lt;20,"",AVERAGE($E$1544:$E$1563))</f>
        <v>0</v>
      </c>
      <c r="AL1563">
        <f>IF(COUNT($E$2:$E1563)&lt;20,"",STDEVP($E$1544:$E$1563))</f>
        <v>0</v>
      </c>
      <c r="AM1563">
        <f>IF(AK1563="","",AK1563+2*AL1563)</f>
        <v>0</v>
      </c>
      <c r="AN1563">
        <f>IF(AK1563="","",AK1563-2*AL1563)</f>
        <v>0</v>
      </c>
      <c r="AO1563">
        <f>IF(OR(AM1563="",AN1563="",AM1563=AN1563),"",($E1563-AN1563)/(AM1563-AN1563))</f>
        <v>0</v>
      </c>
      <c r="AP1563">
        <f>IF(OR(AM1563="",AK1563="",AK1563=0),"",(AM1563-AN1563)/AK1563)</f>
        <v>0</v>
      </c>
      <c r="AQ1563">
        <f>IF(COUNT($E$2:$E1563)&lt;20,"",MAX($C$1544:$C$1563))</f>
        <v>0</v>
      </c>
      <c r="AR1563">
        <f>IF(COUNT($E$2:$E1563)&lt;20,"",MIN($D$1544:$D$1563))</f>
        <v>0</v>
      </c>
      <c r="AS1563">
        <f>IF(OR(AQ1563="",AR1563=""),"",(AQ1563+AR1563)/2)</f>
        <v>0</v>
      </c>
      <c r="AT1563">
        <f>IF(COUNT($G$1544:$G$1563)&lt;20,"",STDEV($G$1544:$G$1563)*SQRT(252))</f>
        <v>0</v>
      </c>
      <c r="AU1563">
        <f>IF(COUNT($E$2:$E1563)&lt;9,"",(MAX($C$1555:$C$1563)+MIN($D$1555:$D$1563))/2)</f>
        <v>0</v>
      </c>
      <c r="AV1563">
        <f>IF(COUNT($E$2:$E1563)&lt;26,"",(MAX($C$1538:$C$1563)+MIN($D$1538:$D$1563))/2)</f>
        <v>0</v>
      </c>
      <c r="AW1563">
        <f>IF(OR(AU1563="",AV1563=""),"",(AU1563+AV1563)/2)</f>
        <v>0</v>
      </c>
      <c r="AX1563">
        <f>IF(COUNT($E$2:$E1563)&lt;52,"",(MAX($C$1512:$C$1563)+MIN($D$1512:$D$1563))/2)</f>
        <v>0</v>
      </c>
      <c r="AY1563">
        <f>IF(COUNT($E$2:$E1563)&lt;20,"",MAX($C$1464:$C$1563))</f>
        <v>0</v>
      </c>
      <c r="AZ1563">
        <f>IF(COUNT($E$2:$E1563)&lt;20,"",MIN($D$1464:$D$1563))</f>
        <v>0</v>
      </c>
      <c r="BA1563">
        <f>IF(COUNT($E$2:$E1563)&lt;20,"",SLOPE($E$1464:$E$1563,$F$1464:$F$1563))</f>
        <v>0</v>
      </c>
      <c r="BB1563">
        <f>IF(COUNT($E$2:$E1563)&lt;20,"",INTERCEPT($E$1464:$E$1563,$F$1464:$F$1563))</f>
        <v>0</v>
      </c>
      <c r="BC1563">
        <f>IF(OR(BA1563="",BB1563=""),"",BB1563+BA1563*F1563)</f>
        <v>0</v>
      </c>
      <c r="BD1563">
        <f>IF(COUNT($E$2:$E1563)&lt;20,"",STEYX($E$1464:$E$1563,$F$1464:$F$1563))</f>
        <v>0</v>
      </c>
      <c r="BE1563">
        <f>IF($E1563="","",IF(AND(COUNT($E$1564:$E$1567)&gt;=4,$C1563=MAX($C$1559:$C$1567)),$C1563,""))</f>
        <v>0</v>
      </c>
      <c r="BF1563">
        <f>IF($E1563="","",IF(AND(COUNT($E$1564:$E$1567)&gt;=4,$D1563=MIN($D$1559:$D$1567)),$D1563,""))</f>
        <v>0</v>
      </c>
      <c r="BG1563">
        <f>IF($A1563="","",$A1563-WEEKDAY($A1563,2)+1)</f>
        <v>0</v>
      </c>
      <c r="BH1563">
        <f>IF($A1563="","",IF($A1562="",1,IF(BG1563&lt;&gt;BG1562,1,0)))</f>
        <v>0</v>
      </c>
      <c r="BI1563">
        <f>IF($A1563="","",IF($A1564="",1,IF(BG1564&lt;&gt;BG1563,1,0)))</f>
        <v>0</v>
      </c>
      <c r="BJ1563">
        <f>IF($A1563="","",IF(BH1563=1,$B1563,BJ1562))</f>
        <v>0</v>
      </c>
      <c r="BK1563">
        <f>IF($A1563="","",IF(BH1563=1,$C1563,MAX($C1563,BK1562)))</f>
        <v>0</v>
      </c>
      <c r="BL1563">
        <f>IF($A1563="","",IF(BH1563=1,$D1563,MIN($D1563,BL1562)))</f>
        <v>0</v>
      </c>
      <c r="BM1563">
        <f>IF($A1563="","",IF(BI1563=1,F1563,""))</f>
        <v>0</v>
      </c>
      <c r="BN1563">
        <f>IF($A1563="","",DATE(YEAR($A1563),MONTH($A1563),1))</f>
        <v>0</v>
      </c>
      <c r="BO1563">
        <f>IF($A1563="","",IF($A1562="",1,IF(BN1563&lt;&gt;BN1562,1,0)))</f>
        <v>0</v>
      </c>
      <c r="BP1563">
        <f>IF($A1563="","",IF($A1564="",1,IF(BN1564&lt;&gt;BN1563,1,0)))</f>
        <v>0</v>
      </c>
      <c r="BQ1563">
        <f>IF($A1563="","",IF(BO1563=1,$B1563,BQ1562))</f>
        <v>0</v>
      </c>
      <c r="BR1563">
        <f>IF($A1563="","",IF(BO1563=1,$C1563,MAX($C1563,BR1562)))</f>
        <v>0</v>
      </c>
      <c r="BS1563">
        <f>IF($A1563="","",IF(BO1563=1,$D1563,MIN($D1563,BS1562)))</f>
        <v>0</v>
      </c>
      <c r="BT1563">
        <f>IF($A1563="","",IF(BP1563=1,F1563,""))</f>
        <v>0</v>
      </c>
    </row>
    <row r="1564" spans="1:72">
      <c r="A1564" s="27">
        <f>IF(Data!$A1564="","",Data!$A1564)</f>
        <v>0</v>
      </c>
      <c r="B1564">
        <f>IF(Data!$B1564="","",Data!$B1564)</f>
        <v>0</v>
      </c>
      <c r="C1564">
        <f>IF(Data!$C1564="","",Data!$C1564)</f>
        <v>0</v>
      </c>
      <c r="D1564">
        <f>IF(Data!$D1564="","",Data!$D1564)</f>
        <v>0</v>
      </c>
      <c r="E1564">
        <f>IF(Data!$E1564="","",Data!$E1564)</f>
        <v>0</v>
      </c>
      <c r="F1564">
        <f>IF($E1564="","",N(F1563)+1)</f>
        <v>0</v>
      </c>
      <c r="G1564">
        <f>IF(OR($E1564="",$E1563=""),"",LN($E1564/$E1563))</f>
        <v>0</v>
      </c>
      <c r="H1564">
        <f>IF($E1564="","",IF($E1563="",$E1564,$E1564*0.0952380952+H1563*0.9047619048))</f>
        <v>0</v>
      </c>
      <c r="I1564">
        <f>IF($E1564="","",IF($E1563="",$E1564,$E1564*0.0392156863+I1563*0.9607843137))</f>
        <v>0</v>
      </c>
      <c r="J1564">
        <f>IF($E1564="","",IF($E1563="",$E1564,$E1564*0.0198019802+J1563*0.9801980198))</f>
        <v>0</v>
      </c>
      <c r="K1564">
        <f>IF($E1564="","",IF($E1563="",$E1564,$E1564*0.0099502488+K1563*0.9900497512))</f>
        <v>0</v>
      </c>
      <c r="L1564">
        <f>IF(OR($E1564="",$E1563=""),"",MAX($E1564-$E1563,0))</f>
        <v>0</v>
      </c>
      <c r="M1564">
        <f>IF(OR($E1564="",$E1563=""),"",MAX($E1563-$E1564,0))</f>
        <v>0</v>
      </c>
      <c r="N1564">
        <f>IF(COUNT($E$2:$E1564)&lt;15,"",IF(AVERAGE($M$1551:$M$1564)=0,100,100-100/(1+AVERAGE($L$1551:$L$1564)/AVERAGE($M$1551:$M$1564))))</f>
        <v>0</v>
      </c>
      <c r="O1564">
        <f>IF($E1564="","",IF($E1563="",$E1564,$E1564*0.1538461538+O1563*0.8461538462))</f>
        <v>0</v>
      </c>
      <c r="P1564">
        <f>IF($E1564="","",IF($E1563="",$E1564,$E1564*0.0740740741+P1563*0.9259259259))</f>
        <v>0</v>
      </c>
      <c r="Q1564">
        <f>IF(OR(O1564="",P1564=""),"",O1564-P1564)</f>
        <v>0</v>
      </c>
      <c r="R1564">
        <f>IF(Q1564="","",IF(R1563="",Q1564,Q1564*0.2000000000+R1563*0.8000000000))</f>
        <v>0</v>
      </c>
      <c r="S1564">
        <f>IF(OR(Q1564="",R1564=""),"",Q1564-R1564)</f>
        <v>0</v>
      </c>
      <c r="T1564">
        <f>IF(COUNT($E$2:$E1564)&lt;14,"",MAX($C$1551:$C$1564))</f>
        <v>0</v>
      </c>
      <c r="U1564">
        <f>IF(COUNT($E$2:$E1564)&lt;14,"",MIN($D$1551:$D$1564))</f>
        <v>0</v>
      </c>
      <c r="V1564">
        <f>IF(OR(T1564="",U1564="",T1564=U1564),"",100*($E1564-U1564)/(T1564-U1564))</f>
        <v>0</v>
      </c>
      <c r="W1564">
        <f>IF(COUNT($V$1562:$V$1564)&lt;3,"",AVERAGE($V$1562:$V$1564))</f>
        <v>0</v>
      </c>
      <c r="X1564">
        <f>IF(COUNT($N$1551:$N$1564)&lt;14,"",MIN($N$1551:$N$1564))</f>
        <v>0</v>
      </c>
      <c r="Y1564">
        <f>IF(COUNT($N$1551:$N$1564)&lt;14,"",MAX($N$1551:$N$1564))</f>
        <v>0</v>
      </c>
      <c r="Z1564">
        <f>IF(OR(N1564="",X1564="",Y1564="",Y1564=X1564),"",100*(N1564-X1564)/(Y1564-X1564))</f>
        <v>0</v>
      </c>
      <c r="AA1564">
        <f>IF(COUNT($Z$1562:$Z$1564)&lt;3,"",AVERAGE($Z$1562:$Z$1564))</f>
        <v>0</v>
      </c>
      <c r="AB1564">
        <f>IF(COUNT($AA$1562:$AA$1564)&lt;3,"",AVERAGE($AA$1562:$AA$1564))</f>
        <v>0</v>
      </c>
      <c r="AC1564">
        <f>IF($E1564="","",MAX($C1564-$D1564,ABS($C1564-$E1563),ABS($D1564-$E1563)))</f>
        <v>0</v>
      </c>
      <c r="AD1564">
        <f>IF(COUNT($E$2:$E1564)&lt;15,"",AVERAGE($AC$1551:$AC$1564))</f>
        <v>0</v>
      </c>
      <c r="AE1564">
        <f>IF(OR($E1564="",$E1563=""),"",IF(AND(($C1564-$C1563)&gt;($D1563-$D1564),($C1564-$C1563)&gt;0),$C1564-$C1563,0))</f>
        <v>0</v>
      </c>
      <c r="AF1564">
        <f>IF(OR($E1564="",$E1563=""),"",IF(AND(($D1563-$D1564)&gt;($C1564-$C1563),($D1563-$D1564)&gt;0),$D1563-$D1564,0))</f>
        <v>0</v>
      </c>
      <c r="AG1564">
        <f>IF(COUNT($E$2:$E1564)&lt;15,"",IF(SUM($AC$1551:$AC$1564)=0,0,100*SUM($AE$1551:$AE$1564)/SUM($AC$1551:$AC$1564)))</f>
        <v>0</v>
      </c>
      <c r="AH1564">
        <f>IF(COUNT($E$2:$E1564)&lt;15,"",IF(SUM($AC$1551:$AC$1564)=0,0,100*SUM($AF$1551:$AF$1564)/SUM($AC$1551:$AC$1564)))</f>
        <v>0</v>
      </c>
      <c r="AI1564">
        <f>IF(OR(AG1564="",AH1564=""),"",IF((AG1564+AH1564)=0,0,100*ABS(AG1564-AH1564)/(AG1564+AH1564)))</f>
        <v>0</v>
      </c>
      <c r="AJ1564">
        <f>IF(COUNT($AI$1551:$AI$1564)&lt;14,"",AVERAGE($AI$1551:$AI$1564))</f>
        <v>0</v>
      </c>
      <c r="AK1564">
        <f>IF(COUNT($E$2:$E1564)&lt;20,"",AVERAGE($E$1545:$E$1564))</f>
        <v>0</v>
      </c>
      <c r="AL1564">
        <f>IF(COUNT($E$2:$E1564)&lt;20,"",STDEVP($E$1545:$E$1564))</f>
        <v>0</v>
      </c>
      <c r="AM1564">
        <f>IF(AK1564="","",AK1564+2*AL1564)</f>
        <v>0</v>
      </c>
      <c r="AN1564">
        <f>IF(AK1564="","",AK1564-2*AL1564)</f>
        <v>0</v>
      </c>
      <c r="AO1564">
        <f>IF(OR(AM1564="",AN1564="",AM1564=AN1564),"",($E1564-AN1564)/(AM1564-AN1564))</f>
        <v>0</v>
      </c>
      <c r="AP1564">
        <f>IF(OR(AM1564="",AK1564="",AK1564=0),"",(AM1564-AN1564)/AK1564)</f>
        <v>0</v>
      </c>
      <c r="AQ1564">
        <f>IF(COUNT($E$2:$E1564)&lt;20,"",MAX($C$1545:$C$1564))</f>
        <v>0</v>
      </c>
      <c r="AR1564">
        <f>IF(COUNT($E$2:$E1564)&lt;20,"",MIN($D$1545:$D$1564))</f>
        <v>0</v>
      </c>
      <c r="AS1564">
        <f>IF(OR(AQ1564="",AR1564=""),"",(AQ1564+AR1564)/2)</f>
        <v>0</v>
      </c>
      <c r="AT1564">
        <f>IF(COUNT($G$1545:$G$1564)&lt;20,"",STDEV($G$1545:$G$1564)*SQRT(252))</f>
        <v>0</v>
      </c>
      <c r="AU1564">
        <f>IF(COUNT($E$2:$E1564)&lt;9,"",(MAX($C$1556:$C$1564)+MIN($D$1556:$D$1564))/2)</f>
        <v>0</v>
      </c>
      <c r="AV1564">
        <f>IF(COUNT($E$2:$E1564)&lt;26,"",(MAX($C$1539:$C$1564)+MIN($D$1539:$D$1564))/2)</f>
        <v>0</v>
      </c>
      <c r="AW1564">
        <f>IF(OR(AU1564="",AV1564=""),"",(AU1564+AV1564)/2)</f>
        <v>0</v>
      </c>
      <c r="AX1564">
        <f>IF(COUNT($E$2:$E1564)&lt;52,"",(MAX($C$1513:$C$1564)+MIN($D$1513:$D$1564))/2)</f>
        <v>0</v>
      </c>
      <c r="AY1564">
        <f>IF(COUNT($E$2:$E1564)&lt;20,"",MAX($C$1465:$C$1564))</f>
        <v>0</v>
      </c>
      <c r="AZ1564">
        <f>IF(COUNT($E$2:$E1564)&lt;20,"",MIN($D$1465:$D$1564))</f>
        <v>0</v>
      </c>
      <c r="BA1564">
        <f>IF(COUNT($E$2:$E1564)&lt;20,"",SLOPE($E$1465:$E$1564,$F$1465:$F$1564))</f>
        <v>0</v>
      </c>
      <c r="BB1564">
        <f>IF(COUNT($E$2:$E1564)&lt;20,"",INTERCEPT($E$1465:$E$1564,$F$1465:$F$1564))</f>
        <v>0</v>
      </c>
      <c r="BC1564">
        <f>IF(OR(BA1564="",BB1564=""),"",BB1564+BA1564*F1564)</f>
        <v>0</v>
      </c>
      <c r="BD1564">
        <f>IF(COUNT($E$2:$E1564)&lt;20,"",STEYX($E$1465:$E$1564,$F$1465:$F$1564))</f>
        <v>0</v>
      </c>
      <c r="BE1564">
        <f>IF($E1564="","",IF(AND(COUNT($E$1565:$E$1568)&gt;=4,$C1564=MAX($C$1560:$C$1568)),$C1564,""))</f>
        <v>0</v>
      </c>
      <c r="BF1564">
        <f>IF($E1564="","",IF(AND(COUNT($E$1565:$E$1568)&gt;=4,$D1564=MIN($D$1560:$D$1568)),$D1564,""))</f>
        <v>0</v>
      </c>
      <c r="BG1564">
        <f>IF($A1564="","",$A1564-WEEKDAY($A1564,2)+1)</f>
        <v>0</v>
      </c>
      <c r="BH1564">
        <f>IF($A1564="","",IF($A1563="",1,IF(BG1564&lt;&gt;BG1563,1,0)))</f>
        <v>0</v>
      </c>
      <c r="BI1564">
        <f>IF($A1564="","",IF($A1565="",1,IF(BG1565&lt;&gt;BG1564,1,0)))</f>
        <v>0</v>
      </c>
      <c r="BJ1564">
        <f>IF($A1564="","",IF(BH1564=1,$B1564,BJ1563))</f>
        <v>0</v>
      </c>
      <c r="BK1564">
        <f>IF($A1564="","",IF(BH1564=1,$C1564,MAX($C1564,BK1563)))</f>
        <v>0</v>
      </c>
      <c r="BL1564">
        <f>IF($A1564="","",IF(BH1564=1,$D1564,MIN($D1564,BL1563)))</f>
        <v>0</v>
      </c>
      <c r="BM1564">
        <f>IF($A1564="","",IF(BI1564=1,F1564,""))</f>
        <v>0</v>
      </c>
      <c r="BN1564">
        <f>IF($A1564="","",DATE(YEAR($A1564),MONTH($A1564),1))</f>
        <v>0</v>
      </c>
      <c r="BO1564">
        <f>IF($A1564="","",IF($A1563="",1,IF(BN1564&lt;&gt;BN1563,1,0)))</f>
        <v>0</v>
      </c>
      <c r="BP1564">
        <f>IF($A1564="","",IF($A1565="",1,IF(BN1565&lt;&gt;BN1564,1,0)))</f>
        <v>0</v>
      </c>
      <c r="BQ1564">
        <f>IF($A1564="","",IF(BO1564=1,$B1564,BQ1563))</f>
        <v>0</v>
      </c>
      <c r="BR1564">
        <f>IF($A1564="","",IF(BO1564=1,$C1564,MAX($C1564,BR1563)))</f>
        <v>0</v>
      </c>
      <c r="BS1564">
        <f>IF($A1564="","",IF(BO1564=1,$D1564,MIN($D1564,BS1563)))</f>
        <v>0</v>
      </c>
      <c r="BT1564">
        <f>IF($A1564="","",IF(BP1564=1,F1564,""))</f>
        <v>0</v>
      </c>
    </row>
    <row r="1565" spans="1:72">
      <c r="A1565" s="27">
        <f>IF(Data!$A1565="","",Data!$A1565)</f>
        <v>0</v>
      </c>
      <c r="B1565">
        <f>IF(Data!$B1565="","",Data!$B1565)</f>
        <v>0</v>
      </c>
      <c r="C1565">
        <f>IF(Data!$C1565="","",Data!$C1565)</f>
        <v>0</v>
      </c>
      <c r="D1565">
        <f>IF(Data!$D1565="","",Data!$D1565)</f>
        <v>0</v>
      </c>
      <c r="E1565">
        <f>IF(Data!$E1565="","",Data!$E1565)</f>
        <v>0</v>
      </c>
      <c r="F1565">
        <f>IF($E1565="","",N(F1564)+1)</f>
        <v>0</v>
      </c>
      <c r="G1565">
        <f>IF(OR($E1565="",$E1564=""),"",LN($E1565/$E1564))</f>
        <v>0</v>
      </c>
      <c r="H1565">
        <f>IF($E1565="","",IF($E1564="",$E1565,$E1565*0.0952380952+H1564*0.9047619048))</f>
        <v>0</v>
      </c>
      <c r="I1565">
        <f>IF($E1565="","",IF($E1564="",$E1565,$E1565*0.0392156863+I1564*0.9607843137))</f>
        <v>0</v>
      </c>
      <c r="J1565">
        <f>IF($E1565="","",IF($E1564="",$E1565,$E1565*0.0198019802+J1564*0.9801980198))</f>
        <v>0</v>
      </c>
      <c r="K1565">
        <f>IF($E1565="","",IF($E1564="",$E1565,$E1565*0.0099502488+K1564*0.9900497512))</f>
        <v>0</v>
      </c>
      <c r="L1565">
        <f>IF(OR($E1565="",$E1564=""),"",MAX($E1565-$E1564,0))</f>
        <v>0</v>
      </c>
      <c r="M1565">
        <f>IF(OR($E1565="",$E1564=""),"",MAX($E1564-$E1565,0))</f>
        <v>0</v>
      </c>
      <c r="N1565">
        <f>IF(COUNT($E$2:$E1565)&lt;15,"",IF(AVERAGE($M$1552:$M$1565)=0,100,100-100/(1+AVERAGE($L$1552:$L$1565)/AVERAGE($M$1552:$M$1565))))</f>
        <v>0</v>
      </c>
      <c r="O1565">
        <f>IF($E1565="","",IF($E1564="",$E1565,$E1565*0.1538461538+O1564*0.8461538462))</f>
        <v>0</v>
      </c>
      <c r="P1565">
        <f>IF($E1565="","",IF($E1564="",$E1565,$E1565*0.0740740741+P1564*0.9259259259))</f>
        <v>0</v>
      </c>
      <c r="Q1565">
        <f>IF(OR(O1565="",P1565=""),"",O1565-P1565)</f>
        <v>0</v>
      </c>
      <c r="R1565">
        <f>IF(Q1565="","",IF(R1564="",Q1565,Q1565*0.2000000000+R1564*0.8000000000))</f>
        <v>0</v>
      </c>
      <c r="S1565">
        <f>IF(OR(Q1565="",R1565=""),"",Q1565-R1565)</f>
        <v>0</v>
      </c>
      <c r="T1565">
        <f>IF(COUNT($E$2:$E1565)&lt;14,"",MAX($C$1552:$C$1565))</f>
        <v>0</v>
      </c>
      <c r="U1565">
        <f>IF(COUNT($E$2:$E1565)&lt;14,"",MIN($D$1552:$D$1565))</f>
        <v>0</v>
      </c>
      <c r="V1565">
        <f>IF(OR(T1565="",U1565="",T1565=U1565),"",100*($E1565-U1565)/(T1565-U1565))</f>
        <v>0</v>
      </c>
      <c r="W1565">
        <f>IF(COUNT($V$1563:$V$1565)&lt;3,"",AVERAGE($V$1563:$V$1565))</f>
        <v>0</v>
      </c>
      <c r="X1565">
        <f>IF(COUNT($N$1552:$N$1565)&lt;14,"",MIN($N$1552:$N$1565))</f>
        <v>0</v>
      </c>
      <c r="Y1565">
        <f>IF(COUNT($N$1552:$N$1565)&lt;14,"",MAX($N$1552:$N$1565))</f>
        <v>0</v>
      </c>
      <c r="Z1565">
        <f>IF(OR(N1565="",X1565="",Y1565="",Y1565=X1565),"",100*(N1565-X1565)/(Y1565-X1565))</f>
        <v>0</v>
      </c>
      <c r="AA1565">
        <f>IF(COUNT($Z$1563:$Z$1565)&lt;3,"",AVERAGE($Z$1563:$Z$1565))</f>
        <v>0</v>
      </c>
      <c r="AB1565">
        <f>IF(COUNT($AA$1563:$AA$1565)&lt;3,"",AVERAGE($AA$1563:$AA$1565))</f>
        <v>0</v>
      </c>
      <c r="AC1565">
        <f>IF($E1565="","",MAX($C1565-$D1565,ABS($C1565-$E1564),ABS($D1565-$E1564)))</f>
        <v>0</v>
      </c>
      <c r="AD1565">
        <f>IF(COUNT($E$2:$E1565)&lt;15,"",AVERAGE($AC$1552:$AC$1565))</f>
        <v>0</v>
      </c>
      <c r="AE1565">
        <f>IF(OR($E1565="",$E1564=""),"",IF(AND(($C1565-$C1564)&gt;($D1564-$D1565),($C1565-$C1564)&gt;0),$C1565-$C1564,0))</f>
        <v>0</v>
      </c>
      <c r="AF1565">
        <f>IF(OR($E1565="",$E1564=""),"",IF(AND(($D1564-$D1565)&gt;($C1565-$C1564),($D1564-$D1565)&gt;0),$D1564-$D1565,0))</f>
        <v>0</v>
      </c>
      <c r="AG1565">
        <f>IF(COUNT($E$2:$E1565)&lt;15,"",IF(SUM($AC$1552:$AC$1565)=0,0,100*SUM($AE$1552:$AE$1565)/SUM($AC$1552:$AC$1565)))</f>
        <v>0</v>
      </c>
      <c r="AH1565">
        <f>IF(COUNT($E$2:$E1565)&lt;15,"",IF(SUM($AC$1552:$AC$1565)=0,0,100*SUM($AF$1552:$AF$1565)/SUM($AC$1552:$AC$1565)))</f>
        <v>0</v>
      </c>
      <c r="AI1565">
        <f>IF(OR(AG1565="",AH1565=""),"",IF((AG1565+AH1565)=0,0,100*ABS(AG1565-AH1565)/(AG1565+AH1565)))</f>
        <v>0</v>
      </c>
      <c r="AJ1565">
        <f>IF(COUNT($AI$1552:$AI$1565)&lt;14,"",AVERAGE($AI$1552:$AI$1565))</f>
        <v>0</v>
      </c>
      <c r="AK1565">
        <f>IF(COUNT($E$2:$E1565)&lt;20,"",AVERAGE($E$1546:$E$1565))</f>
        <v>0</v>
      </c>
      <c r="AL1565">
        <f>IF(COUNT($E$2:$E1565)&lt;20,"",STDEVP($E$1546:$E$1565))</f>
        <v>0</v>
      </c>
      <c r="AM1565">
        <f>IF(AK1565="","",AK1565+2*AL1565)</f>
        <v>0</v>
      </c>
      <c r="AN1565">
        <f>IF(AK1565="","",AK1565-2*AL1565)</f>
        <v>0</v>
      </c>
      <c r="AO1565">
        <f>IF(OR(AM1565="",AN1565="",AM1565=AN1565),"",($E1565-AN1565)/(AM1565-AN1565))</f>
        <v>0</v>
      </c>
      <c r="AP1565">
        <f>IF(OR(AM1565="",AK1565="",AK1565=0),"",(AM1565-AN1565)/AK1565)</f>
        <v>0</v>
      </c>
      <c r="AQ1565">
        <f>IF(COUNT($E$2:$E1565)&lt;20,"",MAX($C$1546:$C$1565))</f>
        <v>0</v>
      </c>
      <c r="AR1565">
        <f>IF(COUNT($E$2:$E1565)&lt;20,"",MIN($D$1546:$D$1565))</f>
        <v>0</v>
      </c>
      <c r="AS1565">
        <f>IF(OR(AQ1565="",AR1565=""),"",(AQ1565+AR1565)/2)</f>
        <v>0</v>
      </c>
      <c r="AT1565">
        <f>IF(COUNT($G$1546:$G$1565)&lt;20,"",STDEV($G$1546:$G$1565)*SQRT(252))</f>
        <v>0</v>
      </c>
      <c r="AU1565">
        <f>IF(COUNT($E$2:$E1565)&lt;9,"",(MAX($C$1557:$C$1565)+MIN($D$1557:$D$1565))/2)</f>
        <v>0</v>
      </c>
      <c r="AV1565">
        <f>IF(COUNT($E$2:$E1565)&lt;26,"",(MAX($C$1540:$C$1565)+MIN($D$1540:$D$1565))/2)</f>
        <v>0</v>
      </c>
      <c r="AW1565">
        <f>IF(OR(AU1565="",AV1565=""),"",(AU1565+AV1565)/2)</f>
        <v>0</v>
      </c>
      <c r="AX1565">
        <f>IF(COUNT($E$2:$E1565)&lt;52,"",(MAX($C$1514:$C$1565)+MIN($D$1514:$D$1565))/2)</f>
        <v>0</v>
      </c>
      <c r="AY1565">
        <f>IF(COUNT($E$2:$E1565)&lt;20,"",MAX($C$1466:$C$1565))</f>
        <v>0</v>
      </c>
      <c r="AZ1565">
        <f>IF(COUNT($E$2:$E1565)&lt;20,"",MIN($D$1466:$D$1565))</f>
        <v>0</v>
      </c>
      <c r="BA1565">
        <f>IF(COUNT($E$2:$E1565)&lt;20,"",SLOPE($E$1466:$E$1565,$F$1466:$F$1565))</f>
        <v>0</v>
      </c>
      <c r="BB1565">
        <f>IF(COUNT($E$2:$E1565)&lt;20,"",INTERCEPT($E$1466:$E$1565,$F$1466:$F$1565))</f>
        <v>0</v>
      </c>
      <c r="BC1565">
        <f>IF(OR(BA1565="",BB1565=""),"",BB1565+BA1565*F1565)</f>
        <v>0</v>
      </c>
      <c r="BD1565">
        <f>IF(COUNT($E$2:$E1565)&lt;20,"",STEYX($E$1466:$E$1565,$F$1466:$F$1565))</f>
        <v>0</v>
      </c>
      <c r="BE1565">
        <f>IF($E1565="","",IF(AND(COUNT($E$1566:$E$1569)&gt;=4,$C1565=MAX($C$1561:$C$1569)),$C1565,""))</f>
        <v>0</v>
      </c>
      <c r="BF1565">
        <f>IF($E1565="","",IF(AND(COUNT($E$1566:$E$1569)&gt;=4,$D1565=MIN($D$1561:$D$1569)),$D1565,""))</f>
        <v>0</v>
      </c>
      <c r="BG1565">
        <f>IF($A1565="","",$A1565-WEEKDAY($A1565,2)+1)</f>
        <v>0</v>
      </c>
      <c r="BH1565">
        <f>IF($A1565="","",IF($A1564="",1,IF(BG1565&lt;&gt;BG1564,1,0)))</f>
        <v>0</v>
      </c>
      <c r="BI1565">
        <f>IF($A1565="","",IF($A1566="",1,IF(BG1566&lt;&gt;BG1565,1,0)))</f>
        <v>0</v>
      </c>
      <c r="BJ1565">
        <f>IF($A1565="","",IF(BH1565=1,$B1565,BJ1564))</f>
        <v>0</v>
      </c>
      <c r="BK1565">
        <f>IF($A1565="","",IF(BH1565=1,$C1565,MAX($C1565,BK1564)))</f>
        <v>0</v>
      </c>
      <c r="BL1565">
        <f>IF($A1565="","",IF(BH1565=1,$D1565,MIN($D1565,BL1564)))</f>
        <v>0</v>
      </c>
      <c r="BM1565">
        <f>IF($A1565="","",IF(BI1565=1,F1565,""))</f>
        <v>0</v>
      </c>
      <c r="BN1565">
        <f>IF($A1565="","",DATE(YEAR($A1565),MONTH($A1565),1))</f>
        <v>0</v>
      </c>
      <c r="BO1565">
        <f>IF($A1565="","",IF($A1564="",1,IF(BN1565&lt;&gt;BN1564,1,0)))</f>
        <v>0</v>
      </c>
      <c r="BP1565">
        <f>IF($A1565="","",IF($A1566="",1,IF(BN1566&lt;&gt;BN1565,1,0)))</f>
        <v>0</v>
      </c>
      <c r="BQ1565">
        <f>IF($A1565="","",IF(BO1565=1,$B1565,BQ1564))</f>
        <v>0</v>
      </c>
      <c r="BR1565">
        <f>IF($A1565="","",IF(BO1565=1,$C1565,MAX($C1565,BR1564)))</f>
        <v>0</v>
      </c>
      <c r="BS1565">
        <f>IF($A1565="","",IF(BO1565=1,$D1565,MIN($D1565,BS1564)))</f>
        <v>0</v>
      </c>
      <c r="BT1565">
        <f>IF($A1565="","",IF(BP1565=1,F1565,""))</f>
        <v>0</v>
      </c>
    </row>
    <row r="1566" spans="1:72">
      <c r="A1566" s="27">
        <f>IF(Data!$A1566="","",Data!$A1566)</f>
        <v>0</v>
      </c>
      <c r="B1566">
        <f>IF(Data!$B1566="","",Data!$B1566)</f>
        <v>0</v>
      </c>
      <c r="C1566">
        <f>IF(Data!$C1566="","",Data!$C1566)</f>
        <v>0</v>
      </c>
      <c r="D1566">
        <f>IF(Data!$D1566="","",Data!$D1566)</f>
        <v>0</v>
      </c>
      <c r="E1566">
        <f>IF(Data!$E1566="","",Data!$E1566)</f>
        <v>0</v>
      </c>
      <c r="F1566">
        <f>IF($E1566="","",N(F1565)+1)</f>
        <v>0</v>
      </c>
      <c r="G1566">
        <f>IF(OR($E1566="",$E1565=""),"",LN($E1566/$E1565))</f>
        <v>0</v>
      </c>
      <c r="H1566">
        <f>IF($E1566="","",IF($E1565="",$E1566,$E1566*0.0952380952+H1565*0.9047619048))</f>
        <v>0</v>
      </c>
      <c r="I1566">
        <f>IF($E1566="","",IF($E1565="",$E1566,$E1566*0.0392156863+I1565*0.9607843137))</f>
        <v>0</v>
      </c>
      <c r="J1566">
        <f>IF($E1566="","",IF($E1565="",$E1566,$E1566*0.0198019802+J1565*0.9801980198))</f>
        <v>0</v>
      </c>
      <c r="K1566">
        <f>IF($E1566="","",IF($E1565="",$E1566,$E1566*0.0099502488+K1565*0.9900497512))</f>
        <v>0</v>
      </c>
      <c r="L1566">
        <f>IF(OR($E1566="",$E1565=""),"",MAX($E1566-$E1565,0))</f>
        <v>0</v>
      </c>
      <c r="M1566">
        <f>IF(OR($E1566="",$E1565=""),"",MAX($E1565-$E1566,0))</f>
        <v>0</v>
      </c>
      <c r="N1566">
        <f>IF(COUNT($E$2:$E1566)&lt;15,"",IF(AVERAGE($M$1553:$M$1566)=0,100,100-100/(1+AVERAGE($L$1553:$L$1566)/AVERAGE($M$1553:$M$1566))))</f>
        <v>0</v>
      </c>
      <c r="O1566">
        <f>IF($E1566="","",IF($E1565="",$E1566,$E1566*0.1538461538+O1565*0.8461538462))</f>
        <v>0</v>
      </c>
      <c r="P1566">
        <f>IF($E1566="","",IF($E1565="",$E1566,$E1566*0.0740740741+P1565*0.9259259259))</f>
        <v>0</v>
      </c>
      <c r="Q1566">
        <f>IF(OR(O1566="",P1566=""),"",O1566-P1566)</f>
        <v>0</v>
      </c>
      <c r="R1566">
        <f>IF(Q1566="","",IF(R1565="",Q1566,Q1566*0.2000000000+R1565*0.8000000000))</f>
        <v>0</v>
      </c>
      <c r="S1566">
        <f>IF(OR(Q1566="",R1566=""),"",Q1566-R1566)</f>
        <v>0</v>
      </c>
      <c r="T1566">
        <f>IF(COUNT($E$2:$E1566)&lt;14,"",MAX($C$1553:$C$1566))</f>
        <v>0</v>
      </c>
      <c r="U1566">
        <f>IF(COUNT($E$2:$E1566)&lt;14,"",MIN($D$1553:$D$1566))</f>
        <v>0</v>
      </c>
      <c r="V1566">
        <f>IF(OR(T1566="",U1566="",T1566=U1566),"",100*($E1566-U1566)/(T1566-U1566))</f>
        <v>0</v>
      </c>
      <c r="W1566">
        <f>IF(COUNT($V$1564:$V$1566)&lt;3,"",AVERAGE($V$1564:$V$1566))</f>
        <v>0</v>
      </c>
      <c r="X1566">
        <f>IF(COUNT($N$1553:$N$1566)&lt;14,"",MIN($N$1553:$N$1566))</f>
        <v>0</v>
      </c>
      <c r="Y1566">
        <f>IF(COUNT($N$1553:$N$1566)&lt;14,"",MAX($N$1553:$N$1566))</f>
        <v>0</v>
      </c>
      <c r="Z1566">
        <f>IF(OR(N1566="",X1566="",Y1566="",Y1566=X1566),"",100*(N1566-X1566)/(Y1566-X1566))</f>
        <v>0</v>
      </c>
      <c r="AA1566">
        <f>IF(COUNT($Z$1564:$Z$1566)&lt;3,"",AVERAGE($Z$1564:$Z$1566))</f>
        <v>0</v>
      </c>
      <c r="AB1566">
        <f>IF(COUNT($AA$1564:$AA$1566)&lt;3,"",AVERAGE($AA$1564:$AA$1566))</f>
        <v>0</v>
      </c>
      <c r="AC1566">
        <f>IF($E1566="","",MAX($C1566-$D1566,ABS($C1566-$E1565),ABS($D1566-$E1565)))</f>
        <v>0</v>
      </c>
      <c r="AD1566">
        <f>IF(COUNT($E$2:$E1566)&lt;15,"",AVERAGE($AC$1553:$AC$1566))</f>
        <v>0</v>
      </c>
      <c r="AE1566">
        <f>IF(OR($E1566="",$E1565=""),"",IF(AND(($C1566-$C1565)&gt;($D1565-$D1566),($C1566-$C1565)&gt;0),$C1566-$C1565,0))</f>
        <v>0</v>
      </c>
      <c r="AF1566">
        <f>IF(OR($E1566="",$E1565=""),"",IF(AND(($D1565-$D1566)&gt;($C1566-$C1565),($D1565-$D1566)&gt;0),$D1565-$D1566,0))</f>
        <v>0</v>
      </c>
      <c r="AG1566">
        <f>IF(COUNT($E$2:$E1566)&lt;15,"",IF(SUM($AC$1553:$AC$1566)=0,0,100*SUM($AE$1553:$AE$1566)/SUM($AC$1553:$AC$1566)))</f>
        <v>0</v>
      </c>
      <c r="AH1566">
        <f>IF(COUNT($E$2:$E1566)&lt;15,"",IF(SUM($AC$1553:$AC$1566)=0,0,100*SUM($AF$1553:$AF$1566)/SUM($AC$1553:$AC$1566)))</f>
        <v>0</v>
      </c>
      <c r="AI1566">
        <f>IF(OR(AG1566="",AH1566=""),"",IF((AG1566+AH1566)=0,0,100*ABS(AG1566-AH1566)/(AG1566+AH1566)))</f>
        <v>0</v>
      </c>
      <c r="AJ1566">
        <f>IF(COUNT($AI$1553:$AI$1566)&lt;14,"",AVERAGE($AI$1553:$AI$1566))</f>
        <v>0</v>
      </c>
      <c r="AK1566">
        <f>IF(COUNT($E$2:$E1566)&lt;20,"",AVERAGE($E$1547:$E$1566))</f>
        <v>0</v>
      </c>
      <c r="AL1566">
        <f>IF(COUNT($E$2:$E1566)&lt;20,"",STDEVP($E$1547:$E$1566))</f>
        <v>0</v>
      </c>
      <c r="AM1566">
        <f>IF(AK1566="","",AK1566+2*AL1566)</f>
        <v>0</v>
      </c>
      <c r="AN1566">
        <f>IF(AK1566="","",AK1566-2*AL1566)</f>
        <v>0</v>
      </c>
      <c r="AO1566">
        <f>IF(OR(AM1566="",AN1566="",AM1566=AN1566),"",($E1566-AN1566)/(AM1566-AN1566))</f>
        <v>0</v>
      </c>
      <c r="AP1566">
        <f>IF(OR(AM1566="",AK1566="",AK1566=0),"",(AM1566-AN1566)/AK1566)</f>
        <v>0</v>
      </c>
      <c r="AQ1566">
        <f>IF(COUNT($E$2:$E1566)&lt;20,"",MAX($C$1547:$C$1566))</f>
        <v>0</v>
      </c>
      <c r="AR1566">
        <f>IF(COUNT($E$2:$E1566)&lt;20,"",MIN($D$1547:$D$1566))</f>
        <v>0</v>
      </c>
      <c r="AS1566">
        <f>IF(OR(AQ1566="",AR1566=""),"",(AQ1566+AR1566)/2)</f>
        <v>0</v>
      </c>
      <c r="AT1566">
        <f>IF(COUNT($G$1547:$G$1566)&lt;20,"",STDEV($G$1547:$G$1566)*SQRT(252))</f>
        <v>0</v>
      </c>
      <c r="AU1566">
        <f>IF(COUNT($E$2:$E1566)&lt;9,"",(MAX($C$1558:$C$1566)+MIN($D$1558:$D$1566))/2)</f>
        <v>0</v>
      </c>
      <c r="AV1566">
        <f>IF(COUNT($E$2:$E1566)&lt;26,"",(MAX($C$1541:$C$1566)+MIN($D$1541:$D$1566))/2)</f>
        <v>0</v>
      </c>
      <c r="AW1566">
        <f>IF(OR(AU1566="",AV1566=""),"",(AU1566+AV1566)/2)</f>
        <v>0</v>
      </c>
      <c r="AX1566">
        <f>IF(COUNT($E$2:$E1566)&lt;52,"",(MAX($C$1515:$C$1566)+MIN($D$1515:$D$1566))/2)</f>
        <v>0</v>
      </c>
      <c r="AY1566">
        <f>IF(COUNT($E$2:$E1566)&lt;20,"",MAX($C$1467:$C$1566))</f>
        <v>0</v>
      </c>
      <c r="AZ1566">
        <f>IF(COUNT($E$2:$E1566)&lt;20,"",MIN($D$1467:$D$1566))</f>
        <v>0</v>
      </c>
      <c r="BA1566">
        <f>IF(COUNT($E$2:$E1566)&lt;20,"",SLOPE($E$1467:$E$1566,$F$1467:$F$1566))</f>
        <v>0</v>
      </c>
      <c r="BB1566">
        <f>IF(COUNT($E$2:$E1566)&lt;20,"",INTERCEPT($E$1467:$E$1566,$F$1467:$F$1566))</f>
        <v>0</v>
      </c>
      <c r="BC1566">
        <f>IF(OR(BA1566="",BB1566=""),"",BB1566+BA1566*F1566)</f>
        <v>0</v>
      </c>
      <c r="BD1566">
        <f>IF(COUNT($E$2:$E1566)&lt;20,"",STEYX($E$1467:$E$1566,$F$1467:$F$1566))</f>
        <v>0</v>
      </c>
      <c r="BE1566">
        <f>IF($E1566="","",IF(AND(COUNT($E$1567:$E$1570)&gt;=4,$C1566=MAX($C$1562:$C$1570)),$C1566,""))</f>
        <v>0</v>
      </c>
      <c r="BF1566">
        <f>IF($E1566="","",IF(AND(COUNT($E$1567:$E$1570)&gt;=4,$D1566=MIN($D$1562:$D$1570)),$D1566,""))</f>
        <v>0</v>
      </c>
      <c r="BG1566">
        <f>IF($A1566="","",$A1566-WEEKDAY($A1566,2)+1)</f>
        <v>0</v>
      </c>
      <c r="BH1566">
        <f>IF($A1566="","",IF($A1565="",1,IF(BG1566&lt;&gt;BG1565,1,0)))</f>
        <v>0</v>
      </c>
      <c r="BI1566">
        <f>IF($A1566="","",IF($A1567="",1,IF(BG1567&lt;&gt;BG1566,1,0)))</f>
        <v>0</v>
      </c>
      <c r="BJ1566">
        <f>IF($A1566="","",IF(BH1566=1,$B1566,BJ1565))</f>
        <v>0</v>
      </c>
      <c r="BK1566">
        <f>IF($A1566="","",IF(BH1566=1,$C1566,MAX($C1566,BK1565)))</f>
        <v>0</v>
      </c>
      <c r="BL1566">
        <f>IF($A1566="","",IF(BH1566=1,$D1566,MIN($D1566,BL1565)))</f>
        <v>0</v>
      </c>
      <c r="BM1566">
        <f>IF($A1566="","",IF(BI1566=1,F1566,""))</f>
        <v>0</v>
      </c>
      <c r="BN1566">
        <f>IF($A1566="","",DATE(YEAR($A1566),MONTH($A1566),1))</f>
        <v>0</v>
      </c>
      <c r="BO1566">
        <f>IF($A1566="","",IF($A1565="",1,IF(BN1566&lt;&gt;BN1565,1,0)))</f>
        <v>0</v>
      </c>
      <c r="BP1566">
        <f>IF($A1566="","",IF($A1567="",1,IF(BN1567&lt;&gt;BN1566,1,0)))</f>
        <v>0</v>
      </c>
      <c r="BQ1566">
        <f>IF($A1566="","",IF(BO1566=1,$B1566,BQ1565))</f>
        <v>0</v>
      </c>
      <c r="BR1566">
        <f>IF($A1566="","",IF(BO1566=1,$C1566,MAX($C1566,BR1565)))</f>
        <v>0</v>
      </c>
      <c r="BS1566">
        <f>IF($A1566="","",IF(BO1566=1,$D1566,MIN($D1566,BS1565)))</f>
        <v>0</v>
      </c>
      <c r="BT1566">
        <f>IF($A1566="","",IF(BP1566=1,F1566,""))</f>
        <v>0</v>
      </c>
    </row>
    <row r="1567" spans="1:72">
      <c r="A1567" s="27">
        <f>IF(Data!$A1567="","",Data!$A1567)</f>
        <v>0</v>
      </c>
      <c r="B1567">
        <f>IF(Data!$B1567="","",Data!$B1567)</f>
        <v>0</v>
      </c>
      <c r="C1567">
        <f>IF(Data!$C1567="","",Data!$C1567)</f>
        <v>0</v>
      </c>
      <c r="D1567">
        <f>IF(Data!$D1567="","",Data!$D1567)</f>
        <v>0</v>
      </c>
      <c r="E1567">
        <f>IF(Data!$E1567="","",Data!$E1567)</f>
        <v>0</v>
      </c>
      <c r="F1567">
        <f>IF($E1567="","",N(F1566)+1)</f>
        <v>0</v>
      </c>
      <c r="G1567">
        <f>IF(OR($E1567="",$E1566=""),"",LN($E1567/$E1566))</f>
        <v>0</v>
      </c>
      <c r="H1567">
        <f>IF($E1567="","",IF($E1566="",$E1567,$E1567*0.0952380952+H1566*0.9047619048))</f>
        <v>0</v>
      </c>
      <c r="I1567">
        <f>IF($E1567="","",IF($E1566="",$E1567,$E1567*0.0392156863+I1566*0.9607843137))</f>
        <v>0</v>
      </c>
      <c r="J1567">
        <f>IF($E1567="","",IF($E1566="",$E1567,$E1567*0.0198019802+J1566*0.9801980198))</f>
        <v>0</v>
      </c>
      <c r="K1567">
        <f>IF($E1567="","",IF($E1566="",$E1567,$E1567*0.0099502488+K1566*0.9900497512))</f>
        <v>0</v>
      </c>
      <c r="L1567">
        <f>IF(OR($E1567="",$E1566=""),"",MAX($E1567-$E1566,0))</f>
        <v>0</v>
      </c>
      <c r="M1567">
        <f>IF(OR($E1567="",$E1566=""),"",MAX($E1566-$E1567,0))</f>
        <v>0</v>
      </c>
      <c r="N1567">
        <f>IF(COUNT($E$2:$E1567)&lt;15,"",IF(AVERAGE($M$1554:$M$1567)=0,100,100-100/(1+AVERAGE($L$1554:$L$1567)/AVERAGE($M$1554:$M$1567))))</f>
        <v>0</v>
      </c>
      <c r="O1567">
        <f>IF($E1567="","",IF($E1566="",$E1567,$E1567*0.1538461538+O1566*0.8461538462))</f>
        <v>0</v>
      </c>
      <c r="P1567">
        <f>IF($E1567="","",IF($E1566="",$E1567,$E1567*0.0740740741+P1566*0.9259259259))</f>
        <v>0</v>
      </c>
      <c r="Q1567">
        <f>IF(OR(O1567="",P1567=""),"",O1567-P1567)</f>
        <v>0</v>
      </c>
      <c r="R1567">
        <f>IF(Q1567="","",IF(R1566="",Q1567,Q1567*0.2000000000+R1566*0.8000000000))</f>
        <v>0</v>
      </c>
      <c r="S1567">
        <f>IF(OR(Q1567="",R1567=""),"",Q1567-R1567)</f>
        <v>0</v>
      </c>
      <c r="T1567">
        <f>IF(COUNT($E$2:$E1567)&lt;14,"",MAX($C$1554:$C$1567))</f>
        <v>0</v>
      </c>
      <c r="U1567">
        <f>IF(COUNT($E$2:$E1567)&lt;14,"",MIN($D$1554:$D$1567))</f>
        <v>0</v>
      </c>
      <c r="V1567">
        <f>IF(OR(T1567="",U1567="",T1567=U1567),"",100*($E1567-U1567)/(T1567-U1567))</f>
        <v>0</v>
      </c>
      <c r="W1567">
        <f>IF(COUNT($V$1565:$V$1567)&lt;3,"",AVERAGE($V$1565:$V$1567))</f>
        <v>0</v>
      </c>
      <c r="X1567">
        <f>IF(COUNT($N$1554:$N$1567)&lt;14,"",MIN($N$1554:$N$1567))</f>
        <v>0</v>
      </c>
      <c r="Y1567">
        <f>IF(COUNT($N$1554:$N$1567)&lt;14,"",MAX($N$1554:$N$1567))</f>
        <v>0</v>
      </c>
      <c r="Z1567">
        <f>IF(OR(N1567="",X1567="",Y1567="",Y1567=X1567),"",100*(N1567-X1567)/(Y1567-X1567))</f>
        <v>0</v>
      </c>
      <c r="AA1567">
        <f>IF(COUNT($Z$1565:$Z$1567)&lt;3,"",AVERAGE($Z$1565:$Z$1567))</f>
        <v>0</v>
      </c>
      <c r="AB1567">
        <f>IF(COUNT($AA$1565:$AA$1567)&lt;3,"",AVERAGE($AA$1565:$AA$1567))</f>
        <v>0</v>
      </c>
      <c r="AC1567">
        <f>IF($E1567="","",MAX($C1567-$D1567,ABS($C1567-$E1566),ABS($D1567-$E1566)))</f>
        <v>0</v>
      </c>
      <c r="AD1567">
        <f>IF(COUNT($E$2:$E1567)&lt;15,"",AVERAGE($AC$1554:$AC$1567))</f>
        <v>0</v>
      </c>
      <c r="AE1567">
        <f>IF(OR($E1567="",$E1566=""),"",IF(AND(($C1567-$C1566)&gt;($D1566-$D1567),($C1567-$C1566)&gt;0),$C1567-$C1566,0))</f>
        <v>0</v>
      </c>
      <c r="AF1567">
        <f>IF(OR($E1567="",$E1566=""),"",IF(AND(($D1566-$D1567)&gt;($C1567-$C1566),($D1566-$D1567)&gt;0),$D1566-$D1567,0))</f>
        <v>0</v>
      </c>
      <c r="AG1567">
        <f>IF(COUNT($E$2:$E1567)&lt;15,"",IF(SUM($AC$1554:$AC$1567)=0,0,100*SUM($AE$1554:$AE$1567)/SUM($AC$1554:$AC$1567)))</f>
        <v>0</v>
      </c>
      <c r="AH1567">
        <f>IF(COUNT($E$2:$E1567)&lt;15,"",IF(SUM($AC$1554:$AC$1567)=0,0,100*SUM($AF$1554:$AF$1567)/SUM($AC$1554:$AC$1567)))</f>
        <v>0</v>
      </c>
      <c r="AI1567">
        <f>IF(OR(AG1567="",AH1567=""),"",IF((AG1567+AH1567)=0,0,100*ABS(AG1567-AH1567)/(AG1567+AH1567)))</f>
        <v>0</v>
      </c>
      <c r="AJ1567">
        <f>IF(COUNT($AI$1554:$AI$1567)&lt;14,"",AVERAGE($AI$1554:$AI$1567))</f>
        <v>0</v>
      </c>
      <c r="AK1567">
        <f>IF(COUNT($E$2:$E1567)&lt;20,"",AVERAGE($E$1548:$E$1567))</f>
        <v>0</v>
      </c>
      <c r="AL1567">
        <f>IF(COUNT($E$2:$E1567)&lt;20,"",STDEVP($E$1548:$E$1567))</f>
        <v>0</v>
      </c>
      <c r="AM1567">
        <f>IF(AK1567="","",AK1567+2*AL1567)</f>
        <v>0</v>
      </c>
      <c r="AN1567">
        <f>IF(AK1567="","",AK1567-2*AL1567)</f>
        <v>0</v>
      </c>
      <c r="AO1567">
        <f>IF(OR(AM1567="",AN1567="",AM1567=AN1567),"",($E1567-AN1567)/(AM1567-AN1567))</f>
        <v>0</v>
      </c>
      <c r="AP1567">
        <f>IF(OR(AM1567="",AK1567="",AK1567=0),"",(AM1567-AN1567)/AK1567)</f>
        <v>0</v>
      </c>
      <c r="AQ1567">
        <f>IF(COUNT($E$2:$E1567)&lt;20,"",MAX($C$1548:$C$1567))</f>
        <v>0</v>
      </c>
      <c r="AR1567">
        <f>IF(COUNT($E$2:$E1567)&lt;20,"",MIN($D$1548:$D$1567))</f>
        <v>0</v>
      </c>
      <c r="AS1567">
        <f>IF(OR(AQ1567="",AR1567=""),"",(AQ1567+AR1567)/2)</f>
        <v>0</v>
      </c>
      <c r="AT1567">
        <f>IF(COUNT($G$1548:$G$1567)&lt;20,"",STDEV($G$1548:$G$1567)*SQRT(252))</f>
        <v>0</v>
      </c>
      <c r="AU1567">
        <f>IF(COUNT($E$2:$E1567)&lt;9,"",(MAX($C$1559:$C$1567)+MIN($D$1559:$D$1567))/2)</f>
        <v>0</v>
      </c>
      <c r="AV1567">
        <f>IF(COUNT($E$2:$E1567)&lt;26,"",(MAX($C$1542:$C$1567)+MIN($D$1542:$D$1567))/2)</f>
        <v>0</v>
      </c>
      <c r="AW1567">
        <f>IF(OR(AU1567="",AV1567=""),"",(AU1567+AV1567)/2)</f>
        <v>0</v>
      </c>
      <c r="AX1567">
        <f>IF(COUNT($E$2:$E1567)&lt;52,"",(MAX($C$1516:$C$1567)+MIN($D$1516:$D$1567))/2)</f>
        <v>0</v>
      </c>
      <c r="AY1567">
        <f>IF(COUNT($E$2:$E1567)&lt;20,"",MAX($C$1468:$C$1567))</f>
        <v>0</v>
      </c>
      <c r="AZ1567">
        <f>IF(COUNT($E$2:$E1567)&lt;20,"",MIN($D$1468:$D$1567))</f>
        <v>0</v>
      </c>
      <c r="BA1567">
        <f>IF(COUNT($E$2:$E1567)&lt;20,"",SLOPE($E$1468:$E$1567,$F$1468:$F$1567))</f>
        <v>0</v>
      </c>
      <c r="BB1567">
        <f>IF(COUNT($E$2:$E1567)&lt;20,"",INTERCEPT($E$1468:$E$1567,$F$1468:$F$1567))</f>
        <v>0</v>
      </c>
      <c r="BC1567">
        <f>IF(OR(BA1567="",BB1567=""),"",BB1567+BA1567*F1567)</f>
        <v>0</v>
      </c>
      <c r="BD1567">
        <f>IF(COUNT($E$2:$E1567)&lt;20,"",STEYX($E$1468:$E$1567,$F$1468:$F$1567))</f>
        <v>0</v>
      </c>
      <c r="BE1567">
        <f>IF($E1567="","",IF(AND(COUNT($E$1568:$E$1571)&gt;=4,$C1567=MAX($C$1563:$C$1571)),$C1567,""))</f>
        <v>0</v>
      </c>
      <c r="BF1567">
        <f>IF($E1567="","",IF(AND(COUNT($E$1568:$E$1571)&gt;=4,$D1567=MIN($D$1563:$D$1571)),$D1567,""))</f>
        <v>0</v>
      </c>
      <c r="BG1567">
        <f>IF($A1567="","",$A1567-WEEKDAY($A1567,2)+1)</f>
        <v>0</v>
      </c>
      <c r="BH1567">
        <f>IF($A1567="","",IF($A1566="",1,IF(BG1567&lt;&gt;BG1566,1,0)))</f>
        <v>0</v>
      </c>
      <c r="BI1567">
        <f>IF($A1567="","",IF($A1568="",1,IF(BG1568&lt;&gt;BG1567,1,0)))</f>
        <v>0</v>
      </c>
      <c r="BJ1567">
        <f>IF($A1567="","",IF(BH1567=1,$B1567,BJ1566))</f>
        <v>0</v>
      </c>
      <c r="BK1567">
        <f>IF($A1567="","",IF(BH1567=1,$C1567,MAX($C1567,BK1566)))</f>
        <v>0</v>
      </c>
      <c r="BL1567">
        <f>IF($A1567="","",IF(BH1567=1,$D1567,MIN($D1567,BL1566)))</f>
        <v>0</v>
      </c>
      <c r="BM1567">
        <f>IF($A1567="","",IF(BI1567=1,F1567,""))</f>
        <v>0</v>
      </c>
      <c r="BN1567">
        <f>IF($A1567="","",DATE(YEAR($A1567),MONTH($A1567),1))</f>
        <v>0</v>
      </c>
      <c r="BO1567">
        <f>IF($A1567="","",IF($A1566="",1,IF(BN1567&lt;&gt;BN1566,1,0)))</f>
        <v>0</v>
      </c>
      <c r="BP1567">
        <f>IF($A1567="","",IF($A1568="",1,IF(BN1568&lt;&gt;BN1567,1,0)))</f>
        <v>0</v>
      </c>
      <c r="BQ1567">
        <f>IF($A1567="","",IF(BO1567=1,$B1567,BQ1566))</f>
        <v>0</v>
      </c>
      <c r="BR1567">
        <f>IF($A1567="","",IF(BO1567=1,$C1567,MAX($C1567,BR1566)))</f>
        <v>0</v>
      </c>
      <c r="BS1567">
        <f>IF($A1567="","",IF(BO1567=1,$D1567,MIN($D1567,BS1566)))</f>
        <v>0</v>
      </c>
      <c r="BT1567">
        <f>IF($A1567="","",IF(BP1567=1,F1567,""))</f>
        <v>0</v>
      </c>
    </row>
    <row r="1568" spans="1:72">
      <c r="A1568" s="27">
        <f>IF(Data!$A1568="","",Data!$A1568)</f>
        <v>0</v>
      </c>
      <c r="B1568">
        <f>IF(Data!$B1568="","",Data!$B1568)</f>
        <v>0</v>
      </c>
      <c r="C1568">
        <f>IF(Data!$C1568="","",Data!$C1568)</f>
        <v>0</v>
      </c>
      <c r="D1568">
        <f>IF(Data!$D1568="","",Data!$D1568)</f>
        <v>0</v>
      </c>
      <c r="E1568">
        <f>IF(Data!$E1568="","",Data!$E1568)</f>
        <v>0</v>
      </c>
      <c r="F1568">
        <f>IF($E1568="","",N(F1567)+1)</f>
        <v>0</v>
      </c>
      <c r="G1568">
        <f>IF(OR($E1568="",$E1567=""),"",LN($E1568/$E1567))</f>
        <v>0</v>
      </c>
      <c r="H1568">
        <f>IF($E1568="","",IF($E1567="",$E1568,$E1568*0.0952380952+H1567*0.9047619048))</f>
        <v>0</v>
      </c>
      <c r="I1568">
        <f>IF($E1568="","",IF($E1567="",$E1568,$E1568*0.0392156863+I1567*0.9607843137))</f>
        <v>0</v>
      </c>
      <c r="J1568">
        <f>IF($E1568="","",IF($E1567="",$E1568,$E1568*0.0198019802+J1567*0.9801980198))</f>
        <v>0</v>
      </c>
      <c r="K1568">
        <f>IF($E1568="","",IF($E1567="",$E1568,$E1568*0.0099502488+K1567*0.9900497512))</f>
        <v>0</v>
      </c>
      <c r="L1568">
        <f>IF(OR($E1568="",$E1567=""),"",MAX($E1568-$E1567,0))</f>
        <v>0</v>
      </c>
      <c r="M1568">
        <f>IF(OR($E1568="",$E1567=""),"",MAX($E1567-$E1568,0))</f>
        <v>0</v>
      </c>
      <c r="N1568">
        <f>IF(COUNT($E$2:$E1568)&lt;15,"",IF(AVERAGE($M$1555:$M$1568)=0,100,100-100/(1+AVERAGE($L$1555:$L$1568)/AVERAGE($M$1555:$M$1568))))</f>
        <v>0</v>
      </c>
      <c r="O1568">
        <f>IF($E1568="","",IF($E1567="",$E1568,$E1568*0.1538461538+O1567*0.8461538462))</f>
        <v>0</v>
      </c>
      <c r="P1568">
        <f>IF($E1568="","",IF($E1567="",$E1568,$E1568*0.0740740741+P1567*0.9259259259))</f>
        <v>0</v>
      </c>
      <c r="Q1568">
        <f>IF(OR(O1568="",P1568=""),"",O1568-P1568)</f>
        <v>0</v>
      </c>
      <c r="R1568">
        <f>IF(Q1568="","",IF(R1567="",Q1568,Q1568*0.2000000000+R1567*0.8000000000))</f>
        <v>0</v>
      </c>
      <c r="S1568">
        <f>IF(OR(Q1568="",R1568=""),"",Q1568-R1568)</f>
        <v>0</v>
      </c>
      <c r="T1568">
        <f>IF(COUNT($E$2:$E1568)&lt;14,"",MAX($C$1555:$C$1568))</f>
        <v>0</v>
      </c>
      <c r="U1568">
        <f>IF(COUNT($E$2:$E1568)&lt;14,"",MIN($D$1555:$D$1568))</f>
        <v>0</v>
      </c>
      <c r="V1568">
        <f>IF(OR(T1568="",U1568="",T1568=U1568),"",100*($E1568-U1568)/(T1568-U1568))</f>
        <v>0</v>
      </c>
      <c r="W1568">
        <f>IF(COUNT($V$1566:$V$1568)&lt;3,"",AVERAGE($V$1566:$V$1568))</f>
        <v>0</v>
      </c>
      <c r="X1568">
        <f>IF(COUNT($N$1555:$N$1568)&lt;14,"",MIN($N$1555:$N$1568))</f>
        <v>0</v>
      </c>
      <c r="Y1568">
        <f>IF(COUNT($N$1555:$N$1568)&lt;14,"",MAX($N$1555:$N$1568))</f>
        <v>0</v>
      </c>
      <c r="Z1568">
        <f>IF(OR(N1568="",X1568="",Y1568="",Y1568=X1568),"",100*(N1568-X1568)/(Y1568-X1568))</f>
        <v>0</v>
      </c>
      <c r="AA1568">
        <f>IF(COUNT($Z$1566:$Z$1568)&lt;3,"",AVERAGE($Z$1566:$Z$1568))</f>
        <v>0</v>
      </c>
      <c r="AB1568">
        <f>IF(COUNT($AA$1566:$AA$1568)&lt;3,"",AVERAGE($AA$1566:$AA$1568))</f>
        <v>0</v>
      </c>
      <c r="AC1568">
        <f>IF($E1568="","",MAX($C1568-$D1568,ABS($C1568-$E1567),ABS($D1568-$E1567)))</f>
        <v>0</v>
      </c>
      <c r="AD1568">
        <f>IF(COUNT($E$2:$E1568)&lt;15,"",AVERAGE($AC$1555:$AC$1568))</f>
        <v>0</v>
      </c>
      <c r="AE1568">
        <f>IF(OR($E1568="",$E1567=""),"",IF(AND(($C1568-$C1567)&gt;($D1567-$D1568),($C1568-$C1567)&gt;0),$C1568-$C1567,0))</f>
        <v>0</v>
      </c>
      <c r="AF1568">
        <f>IF(OR($E1568="",$E1567=""),"",IF(AND(($D1567-$D1568)&gt;($C1568-$C1567),($D1567-$D1568)&gt;0),$D1567-$D1568,0))</f>
        <v>0</v>
      </c>
      <c r="AG1568">
        <f>IF(COUNT($E$2:$E1568)&lt;15,"",IF(SUM($AC$1555:$AC$1568)=0,0,100*SUM($AE$1555:$AE$1568)/SUM($AC$1555:$AC$1568)))</f>
        <v>0</v>
      </c>
      <c r="AH1568">
        <f>IF(COUNT($E$2:$E1568)&lt;15,"",IF(SUM($AC$1555:$AC$1568)=0,0,100*SUM($AF$1555:$AF$1568)/SUM($AC$1555:$AC$1568)))</f>
        <v>0</v>
      </c>
      <c r="AI1568">
        <f>IF(OR(AG1568="",AH1568=""),"",IF((AG1568+AH1568)=0,0,100*ABS(AG1568-AH1568)/(AG1568+AH1568)))</f>
        <v>0</v>
      </c>
      <c r="AJ1568">
        <f>IF(COUNT($AI$1555:$AI$1568)&lt;14,"",AVERAGE($AI$1555:$AI$1568))</f>
        <v>0</v>
      </c>
      <c r="AK1568">
        <f>IF(COUNT($E$2:$E1568)&lt;20,"",AVERAGE($E$1549:$E$1568))</f>
        <v>0</v>
      </c>
      <c r="AL1568">
        <f>IF(COUNT($E$2:$E1568)&lt;20,"",STDEVP($E$1549:$E$1568))</f>
        <v>0</v>
      </c>
      <c r="AM1568">
        <f>IF(AK1568="","",AK1568+2*AL1568)</f>
        <v>0</v>
      </c>
      <c r="AN1568">
        <f>IF(AK1568="","",AK1568-2*AL1568)</f>
        <v>0</v>
      </c>
      <c r="AO1568">
        <f>IF(OR(AM1568="",AN1568="",AM1568=AN1568),"",($E1568-AN1568)/(AM1568-AN1568))</f>
        <v>0</v>
      </c>
      <c r="AP1568">
        <f>IF(OR(AM1568="",AK1568="",AK1568=0),"",(AM1568-AN1568)/AK1568)</f>
        <v>0</v>
      </c>
      <c r="AQ1568">
        <f>IF(COUNT($E$2:$E1568)&lt;20,"",MAX($C$1549:$C$1568))</f>
        <v>0</v>
      </c>
      <c r="AR1568">
        <f>IF(COUNT($E$2:$E1568)&lt;20,"",MIN($D$1549:$D$1568))</f>
        <v>0</v>
      </c>
      <c r="AS1568">
        <f>IF(OR(AQ1568="",AR1568=""),"",(AQ1568+AR1568)/2)</f>
        <v>0</v>
      </c>
      <c r="AT1568">
        <f>IF(COUNT($G$1549:$G$1568)&lt;20,"",STDEV($G$1549:$G$1568)*SQRT(252))</f>
        <v>0</v>
      </c>
      <c r="AU1568">
        <f>IF(COUNT($E$2:$E1568)&lt;9,"",(MAX($C$1560:$C$1568)+MIN($D$1560:$D$1568))/2)</f>
        <v>0</v>
      </c>
      <c r="AV1568">
        <f>IF(COUNT($E$2:$E1568)&lt;26,"",(MAX($C$1543:$C$1568)+MIN($D$1543:$D$1568))/2)</f>
        <v>0</v>
      </c>
      <c r="AW1568">
        <f>IF(OR(AU1568="",AV1568=""),"",(AU1568+AV1568)/2)</f>
        <v>0</v>
      </c>
      <c r="AX1568">
        <f>IF(COUNT($E$2:$E1568)&lt;52,"",(MAX($C$1517:$C$1568)+MIN($D$1517:$D$1568))/2)</f>
        <v>0</v>
      </c>
      <c r="AY1568">
        <f>IF(COUNT($E$2:$E1568)&lt;20,"",MAX($C$1469:$C$1568))</f>
        <v>0</v>
      </c>
      <c r="AZ1568">
        <f>IF(COUNT($E$2:$E1568)&lt;20,"",MIN($D$1469:$D$1568))</f>
        <v>0</v>
      </c>
      <c r="BA1568">
        <f>IF(COUNT($E$2:$E1568)&lt;20,"",SLOPE($E$1469:$E$1568,$F$1469:$F$1568))</f>
        <v>0</v>
      </c>
      <c r="BB1568">
        <f>IF(COUNT($E$2:$E1568)&lt;20,"",INTERCEPT($E$1469:$E$1568,$F$1469:$F$1568))</f>
        <v>0</v>
      </c>
      <c r="BC1568">
        <f>IF(OR(BA1568="",BB1568=""),"",BB1568+BA1568*F1568)</f>
        <v>0</v>
      </c>
      <c r="BD1568">
        <f>IF(COUNT($E$2:$E1568)&lt;20,"",STEYX($E$1469:$E$1568,$F$1469:$F$1568))</f>
        <v>0</v>
      </c>
      <c r="BE1568">
        <f>IF($E1568="","",IF(AND(COUNT($E$1569:$E$1572)&gt;=4,$C1568=MAX($C$1564:$C$1572)),$C1568,""))</f>
        <v>0</v>
      </c>
      <c r="BF1568">
        <f>IF($E1568="","",IF(AND(COUNT($E$1569:$E$1572)&gt;=4,$D1568=MIN($D$1564:$D$1572)),$D1568,""))</f>
        <v>0</v>
      </c>
      <c r="BG1568">
        <f>IF($A1568="","",$A1568-WEEKDAY($A1568,2)+1)</f>
        <v>0</v>
      </c>
      <c r="BH1568">
        <f>IF($A1568="","",IF($A1567="",1,IF(BG1568&lt;&gt;BG1567,1,0)))</f>
        <v>0</v>
      </c>
      <c r="BI1568">
        <f>IF($A1568="","",IF($A1569="",1,IF(BG1569&lt;&gt;BG1568,1,0)))</f>
        <v>0</v>
      </c>
      <c r="BJ1568">
        <f>IF($A1568="","",IF(BH1568=1,$B1568,BJ1567))</f>
        <v>0</v>
      </c>
      <c r="BK1568">
        <f>IF($A1568="","",IF(BH1568=1,$C1568,MAX($C1568,BK1567)))</f>
        <v>0</v>
      </c>
      <c r="BL1568">
        <f>IF($A1568="","",IF(BH1568=1,$D1568,MIN($D1568,BL1567)))</f>
        <v>0</v>
      </c>
      <c r="BM1568">
        <f>IF($A1568="","",IF(BI1568=1,F1568,""))</f>
        <v>0</v>
      </c>
      <c r="BN1568">
        <f>IF($A1568="","",DATE(YEAR($A1568),MONTH($A1568),1))</f>
        <v>0</v>
      </c>
      <c r="BO1568">
        <f>IF($A1568="","",IF($A1567="",1,IF(BN1568&lt;&gt;BN1567,1,0)))</f>
        <v>0</v>
      </c>
      <c r="BP1568">
        <f>IF($A1568="","",IF($A1569="",1,IF(BN1569&lt;&gt;BN1568,1,0)))</f>
        <v>0</v>
      </c>
      <c r="BQ1568">
        <f>IF($A1568="","",IF(BO1568=1,$B1568,BQ1567))</f>
        <v>0</v>
      </c>
      <c r="BR1568">
        <f>IF($A1568="","",IF(BO1568=1,$C1568,MAX($C1568,BR1567)))</f>
        <v>0</v>
      </c>
      <c r="BS1568">
        <f>IF($A1568="","",IF(BO1568=1,$D1568,MIN($D1568,BS1567)))</f>
        <v>0</v>
      </c>
      <c r="BT1568">
        <f>IF($A1568="","",IF(BP1568=1,F1568,""))</f>
        <v>0</v>
      </c>
    </row>
    <row r="1569" spans="1:72">
      <c r="A1569" s="27">
        <f>IF(Data!$A1569="","",Data!$A1569)</f>
        <v>0</v>
      </c>
      <c r="B1569">
        <f>IF(Data!$B1569="","",Data!$B1569)</f>
        <v>0</v>
      </c>
      <c r="C1569">
        <f>IF(Data!$C1569="","",Data!$C1569)</f>
        <v>0</v>
      </c>
      <c r="D1569">
        <f>IF(Data!$D1569="","",Data!$D1569)</f>
        <v>0</v>
      </c>
      <c r="E1569">
        <f>IF(Data!$E1569="","",Data!$E1569)</f>
        <v>0</v>
      </c>
      <c r="F1569">
        <f>IF($E1569="","",N(F1568)+1)</f>
        <v>0</v>
      </c>
      <c r="G1569">
        <f>IF(OR($E1569="",$E1568=""),"",LN($E1569/$E1568))</f>
        <v>0</v>
      </c>
      <c r="H1569">
        <f>IF($E1569="","",IF($E1568="",$E1569,$E1569*0.0952380952+H1568*0.9047619048))</f>
        <v>0</v>
      </c>
      <c r="I1569">
        <f>IF($E1569="","",IF($E1568="",$E1569,$E1569*0.0392156863+I1568*0.9607843137))</f>
        <v>0</v>
      </c>
      <c r="J1569">
        <f>IF($E1569="","",IF($E1568="",$E1569,$E1569*0.0198019802+J1568*0.9801980198))</f>
        <v>0</v>
      </c>
      <c r="K1569">
        <f>IF($E1569="","",IF($E1568="",$E1569,$E1569*0.0099502488+K1568*0.9900497512))</f>
        <v>0</v>
      </c>
      <c r="L1569">
        <f>IF(OR($E1569="",$E1568=""),"",MAX($E1569-$E1568,0))</f>
        <v>0</v>
      </c>
      <c r="M1569">
        <f>IF(OR($E1569="",$E1568=""),"",MAX($E1568-$E1569,0))</f>
        <v>0</v>
      </c>
      <c r="N1569">
        <f>IF(COUNT($E$2:$E1569)&lt;15,"",IF(AVERAGE($M$1556:$M$1569)=0,100,100-100/(1+AVERAGE($L$1556:$L$1569)/AVERAGE($M$1556:$M$1569))))</f>
        <v>0</v>
      </c>
      <c r="O1569">
        <f>IF($E1569="","",IF($E1568="",$E1569,$E1569*0.1538461538+O1568*0.8461538462))</f>
        <v>0</v>
      </c>
      <c r="P1569">
        <f>IF($E1569="","",IF($E1568="",$E1569,$E1569*0.0740740741+P1568*0.9259259259))</f>
        <v>0</v>
      </c>
      <c r="Q1569">
        <f>IF(OR(O1569="",P1569=""),"",O1569-P1569)</f>
        <v>0</v>
      </c>
      <c r="R1569">
        <f>IF(Q1569="","",IF(R1568="",Q1569,Q1569*0.2000000000+R1568*0.8000000000))</f>
        <v>0</v>
      </c>
      <c r="S1569">
        <f>IF(OR(Q1569="",R1569=""),"",Q1569-R1569)</f>
        <v>0</v>
      </c>
      <c r="T1569">
        <f>IF(COUNT($E$2:$E1569)&lt;14,"",MAX($C$1556:$C$1569))</f>
        <v>0</v>
      </c>
      <c r="U1569">
        <f>IF(COUNT($E$2:$E1569)&lt;14,"",MIN($D$1556:$D$1569))</f>
        <v>0</v>
      </c>
      <c r="V1569">
        <f>IF(OR(T1569="",U1569="",T1569=U1569),"",100*($E1569-U1569)/(T1569-U1569))</f>
        <v>0</v>
      </c>
      <c r="W1569">
        <f>IF(COUNT($V$1567:$V$1569)&lt;3,"",AVERAGE($V$1567:$V$1569))</f>
        <v>0</v>
      </c>
      <c r="X1569">
        <f>IF(COUNT($N$1556:$N$1569)&lt;14,"",MIN($N$1556:$N$1569))</f>
        <v>0</v>
      </c>
      <c r="Y1569">
        <f>IF(COUNT($N$1556:$N$1569)&lt;14,"",MAX($N$1556:$N$1569))</f>
        <v>0</v>
      </c>
      <c r="Z1569">
        <f>IF(OR(N1569="",X1569="",Y1569="",Y1569=X1569),"",100*(N1569-X1569)/(Y1569-X1569))</f>
        <v>0</v>
      </c>
      <c r="AA1569">
        <f>IF(COUNT($Z$1567:$Z$1569)&lt;3,"",AVERAGE($Z$1567:$Z$1569))</f>
        <v>0</v>
      </c>
      <c r="AB1569">
        <f>IF(COUNT($AA$1567:$AA$1569)&lt;3,"",AVERAGE($AA$1567:$AA$1569))</f>
        <v>0</v>
      </c>
      <c r="AC1569">
        <f>IF($E1569="","",MAX($C1569-$D1569,ABS($C1569-$E1568),ABS($D1569-$E1568)))</f>
        <v>0</v>
      </c>
      <c r="AD1569">
        <f>IF(COUNT($E$2:$E1569)&lt;15,"",AVERAGE($AC$1556:$AC$1569))</f>
        <v>0</v>
      </c>
      <c r="AE1569">
        <f>IF(OR($E1569="",$E1568=""),"",IF(AND(($C1569-$C1568)&gt;($D1568-$D1569),($C1569-$C1568)&gt;0),$C1569-$C1568,0))</f>
        <v>0</v>
      </c>
      <c r="AF1569">
        <f>IF(OR($E1569="",$E1568=""),"",IF(AND(($D1568-$D1569)&gt;($C1569-$C1568),($D1568-$D1569)&gt;0),$D1568-$D1569,0))</f>
        <v>0</v>
      </c>
      <c r="AG1569">
        <f>IF(COUNT($E$2:$E1569)&lt;15,"",IF(SUM($AC$1556:$AC$1569)=0,0,100*SUM($AE$1556:$AE$1569)/SUM($AC$1556:$AC$1569)))</f>
        <v>0</v>
      </c>
      <c r="AH1569">
        <f>IF(COUNT($E$2:$E1569)&lt;15,"",IF(SUM($AC$1556:$AC$1569)=0,0,100*SUM($AF$1556:$AF$1569)/SUM($AC$1556:$AC$1569)))</f>
        <v>0</v>
      </c>
      <c r="AI1569">
        <f>IF(OR(AG1569="",AH1569=""),"",IF((AG1569+AH1569)=0,0,100*ABS(AG1569-AH1569)/(AG1569+AH1569)))</f>
        <v>0</v>
      </c>
      <c r="AJ1569">
        <f>IF(COUNT($AI$1556:$AI$1569)&lt;14,"",AVERAGE($AI$1556:$AI$1569))</f>
        <v>0</v>
      </c>
      <c r="AK1569">
        <f>IF(COUNT($E$2:$E1569)&lt;20,"",AVERAGE($E$1550:$E$1569))</f>
        <v>0</v>
      </c>
      <c r="AL1569">
        <f>IF(COUNT($E$2:$E1569)&lt;20,"",STDEVP($E$1550:$E$1569))</f>
        <v>0</v>
      </c>
      <c r="AM1569">
        <f>IF(AK1569="","",AK1569+2*AL1569)</f>
        <v>0</v>
      </c>
      <c r="AN1569">
        <f>IF(AK1569="","",AK1569-2*AL1569)</f>
        <v>0</v>
      </c>
      <c r="AO1569">
        <f>IF(OR(AM1569="",AN1569="",AM1569=AN1569),"",($E1569-AN1569)/(AM1569-AN1569))</f>
        <v>0</v>
      </c>
      <c r="AP1569">
        <f>IF(OR(AM1569="",AK1569="",AK1569=0),"",(AM1569-AN1569)/AK1569)</f>
        <v>0</v>
      </c>
      <c r="AQ1569">
        <f>IF(COUNT($E$2:$E1569)&lt;20,"",MAX($C$1550:$C$1569))</f>
        <v>0</v>
      </c>
      <c r="AR1569">
        <f>IF(COUNT($E$2:$E1569)&lt;20,"",MIN($D$1550:$D$1569))</f>
        <v>0</v>
      </c>
      <c r="AS1569">
        <f>IF(OR(AQ1569="",AR1569=""),"",(AQ1569+AR1569)/2)</f>
        <v>0</v>
      </c>
      <c r="AT1569">
        <f>IF(COUNT($G$1550:$G$1569)&lt;20,"",STDEV($G$1550:$G$1569)*SQRT(252))</f>
        <v>0</v>
      </c>
      <c r="AU1569">
        <f>IF(COUNT($E$2:$E1569)&lt;9,"",(MAX($C$1561:$C$1569)+MIN($D$1561:$D$1569))/2)</f>
        <v>0</v>
      </c>
      <c r="AV1569">
        <f>IF(COUNT($E$2:$E1569)&lt;26,"",(MAX($C$1544:$C$1569)+MIN($D$1544:$D$1569))/2)</f>
        <v>0</v>
      </c>
      <c r="AW1569">
        <f>IF(OR(AU1569="",AV1569=""),"",(AU1569+AV1569)/2)</f>
        <v>0</v>
      </c>
      <c r="AX1569">
        <f>IF(COUNT($E$2:$E1569)&lt;52,"",(MAX($C$1518:$C$1569)+MIN($D$1518:$D$1569))/2)</f>
        <v>0</v>
      </c>
      <c r="AY1569">
        <f>IF(COUNT($E$2:$E1569)&lt;20,"",MAX($C$1470:$C$1569))</f>
        <v>0</v>
      </c>
      <c r="AZ1569">
        <f>IF(COUNT($E$2:$E1569)&lt;20,"",MIN($D$1470:$D$1569))</f>
        <v>0</v>
      </c>
      <c r="BA1569">
        <f>IF(COUNT($E$2:$E1569)&lt;20,"",SLOPE($E$1470:$E$1569,$F$1470:$F$1569))</f>
        <v>0</v>
      </c>
      <c r="BB1569">
        <f>IF(COUNT($E$2:$E1569)&lt;20,"",INTERCEPT($E$1470:$E$1569,$F$1470:$F$1569))</f>
        <v>0</v>
      </c>
      <c r="BC1569">
        <f>IF(OR(BA1569="",BB1569=""),"",BB1569+BA1569*F1569)</f>
        <v>0</v>
      </c>
      <c r="BD1569">
        <f>IF(COUNT($E$2:$E1569)&lt;20,"",STEYX($E$1470:$E$1569,$F$1470:$F$1569))</f>
        <v>0</v>
      </c>
      <c r="BE1569">
        <f>IF($E1569="","",IF(AND(COUNT($E$1570:$E$1573)&gt;=4,$C1569=MAX($C$1565:$C$1573)),$C1569,""))</f>
        <v>0</v>
      </c>
      <c r="BF1569">
        <f>IF($E1569="","",IF(AND(COUNT($E$1570:$E$1573)&gt;=4,$D1569=MIN($D$1565:$D$1573)),$D1569,""))</f>
        <v>0</v>
      </c>
      <c r="BG1569">
        <f>IF($A1569="","",$A1569-WEEKDAY($A1569,2)+1)</f>
        <v>0</v>
      </c>
      <c r="BH1569">
        <f>IF($A1569="","",IF($A1568="",1,IF(BG1569&lt;&gt;BG1568,1,0)))</f>
        <v>0</v>
      </c>
      <c r="BI1569">
        <f>IF($A1569="","",IF($A1570="",1,IF(BG1570&lt;&gt;BG1569,1,0)))</f>
        <v>0</v>
      </c>
      <c r="BJ1569">
        <f>IF($A1569="","",IF(BH1569=1,$B1569,BJ1568))</f>
        <v>0</v>
      </c>
      <c r="BK1569">
        <f>IF($A1569="","",IF(BH1569=1,$C1569,MAX($C1569,BK1568)))</f>
        <v>0</v>
      </c>
      <c r="BL1569">
        <f>IF($A1569="","",IF(BH1569=1,$D1569,MIN($D1569,BL1568)))</f>
        <v>0</v>
      </c>
      <c r="BM1569">
        <f>IF($A1569="","",IF(BI1569=1,F1569,""))</f>
        <v>0</v>
      </c>
      <c r="BN1569">
        <f>IF($A1569="","",DATE(YEAR($A1569),MONTH($A1569),1))</f>
        <v>0</v>
      </c>
      <c r="BO1569">
        <f>IF($A1569="","",IF($A1568="",1,IF(BN1569&lt;&gt;BN1568,1,0)))</f>
        <v>0</v>
      </c>
      <c r="BP1569">
        <f>IF($A1569="","",IF($A1570="",1,IF(BN1570&lt;&gt;BN1569,1,0)))</f>
        <v>0</v>
      </c>
      <c r="BQ1569">
        <f>IF($A1569="","",IF(BO1569=1,$B1569,BQ1568))</f>
        <v>0</v>
      </c>
      <c r="BR1569">
        <f>IF($A1569="","",IF(BO1569=1,$C1569,MAX($C1569,BR1568)))</f>
        <v>0</v>
      </c>
      <c r="BS1569">
        <f>IF($A1569="","",IF(BO1569=1,$D1569,MIN($D1569,BS1568)))</f>
        <v>0</v>
      </c>
      <c r="BT1569">
        <f>IF($A1569="","",IF(BP1569=1,F1569,""))</f>
        <v>0</v>
      </c>
    </row>
    <row r="1570" spans="1:72">
      <c r="A1570" s="27">
        <f>IF(Data!$A1570="","",Data!$A1570)</f>
        <v>0</v>
      </c>
      <c r="B1570">
        <f>IF(Data!$B1570="","",Data!$B1570)</f>
        <v>0</v>
      </c>
      <c r="C1570">
        <f>IF(Data!$C1570="","",Data!$C1570)</f>
        <v>0</v>
      </c>
      <c r="D1570">
        <f>IF(Data!$D1570="","",Data!$D1570)</f>
        <v>0</v>
      </c>
      <c r="E1570">
        <f>IF(Data!$E1570="","",Data!$E1570)</f>
        <v>0</v>
      </c>
      <c r="F1570">
        <f>IF($E1570="","",N(F1569)+1)</f>
        <v>0</v>
      </c>
      <c r="G1570">
        <f>IF(OR($E1570="",$E1569=""),"",LN($E1570/$E1569))</f>
        <v>0</v>
      </c>
      <c r="H1570">
        <f>IF($E1570="","",IF($E1569="",$E1570,$E1570*0.0952380952+H1569*0.9047619048))</f>
        <v>0</v>
      </c>
      <c r="I1570">
        <f>IF($E1570="","",IF($E1569="",$E1570,$E1570*0.0392156863+I1569*0.9607843137))</f>
        <v>0</v>
      </c>
      <c r="J1570">
        <f>IF($E1570="","",IF($E1569="",$E1570,$E1570*0.0198019802+J1569*0.9801980198))</f>
        <v>0</v>
      </c>
      <c r="K1570">
        <f>IF($E1570="","",IF($E1569="",$E1570,$E1570*0.0099502488+K1569*0.9900497512))</f>
        <v>0</v>
      </c>
      <c r="L1570">
        <f>IF(OR($E1570="",$E1569=""),"",MAX($E1570-$E1569,0))</f>
        <v>0</v>
      </c>
      <c r="M1570">
        <f>IF(OR($E1570="",$E1569=""),"",MAX($E1569-$E1570,0))</f>
        <v>0</v>
      </c>
      <c r="N1570">
        <f>IF(COUNT($E$2:$E1570)&lt;15,"",IF(AVERAGE($M$1557:$M$1570)=0,100,100-100/(1+AVERAGE($L$1557:$L$1570)/AVERAGE($M$1557:$M$1570))))</f>
        <v>0</v>
      </c>
      <c r="O1570">
        <f>IF($E1570="","",IF($E1569="",$E1570,$E1570*0.1538461538+O1569*0.8461538462))</f>
        <v>0</v>
      </c>
      <c r="P1570">
        <f>IF($E1570="","",IF($E1569="",$E1570,$E1570*0.0740740741+P1569*0.9259259259))</f>
        <v>0</v>
      </c>
      <c r="Q1570">
        <f>IF(OR(O1570="",P1570=""),"",O1570-P1570)</f>
        <v>0</v>
      </c>
      <c r="R1570">
        <f>IF(Q1570="","",IF(R1569="",Q1570,Q1570*0.2000000000+R1569*0.8000000000))</f>
        <v>0</v>
      </c>
      <c r="S1570">
        <f>IF(OR(Q1570="",R1570=""),"",Q1570-R1570)</f>
        <v>0</v>
      </c>
      <c r="T1570">
        <f>IF(COUNT($E$2:$E1570)&lt;14,"",MAX($C$1557:$C$1570))</f>
        <v>0</v>
      </c>
      <c r="U1570">
        <f>IF(COUNT($E$2:$E1570)&lt;14,"",MIN($D$1557:$D$1570))</f>
        <v>0</v>
      </c>
      <c r="V1570">
        <f>IF(OR(T1570="",U1570="",T1570=U1570),"",100*($E1570-U1570)/(T1570-U1570))</f>
        <v>0</v>
      </c>
      <c r="W1570">
        <f>IF(COUNT($V$1568:$V$1570)&lt;3,"",AVERAGE($V$1568:$V$1570))</f>
        <v>0</v>
      </c>
      <c r="X1570">
        <f>IF(COUNT($N$1557:$N$1570)&lt;14,"",MIN($N$1557:$N$1570))</f>
        <v>0</v>
      </c>
      <c r="Y1570">
        <f>IF(COUNT($N$1557:$N$1570)&lt;14,"",MAX($N$1557:$N$1570))</f>
        <v>0</v>
      </c>
      <c r="Z1570">
        <f>IF(OR(N1570="",X1570="",Y1570="",Y1570=X1570),"",100*(N1570-X1570)/(Y1570-X1570))</f>
        <v>0</v>
      </c>
      <c r="AA1570">
        <f>IF(COUNT($Z$1568:$Z$1570)&lt;3,"",AVERAGE($Z$1568:$Z$1570))</f>
        <v>0</v>
      </c>
      <c r="AB1570">
        <f>IF(COUNT($AA$1568:$AA$1570)&lt;3,"",AVERAGE($AA$1568:$AA$1570))</f>
        <v>0</v>
      </c>
      <c r="AC1570">
        <f>IF($E1570="","",MAX($C1570-$D1570,ABS($C1570-$E1569),ABS($D1570-$E1569)))</f>
        <v>0</v>
      </c>
      <c r="AD1570">
        <f>IF(COUNT($E$2:$E1570)&lt;15,"",AVERAGE($AC$1557:$AC$1570))</f>
        <v>0</v>
      </c>
      <c r="AE1570">
        <f>IF(OR($E1570="",$E1569=""),"",IF(AND(($C1570-$C1569)&gt;($D1569-$D1570),($C1570-$C1569)&gt;0),$C1570-$C1569,0))</f>
        <v>0</v>
      </c>
      <c r="AF1570">
        <f>IF(OR($E1570="",$E1569=""),"",IF(AND(($D1569-$D1570)&gt;($C1570-$C1569),($D1569-$D1570)&gt;0),$D1569-$D1570,0))</f>
        <v>0</v>
      </c>
      <c r="AG1570">
        <f>IF(COUNT($E$2:$E1570)&lt;15,"",IF(SUM($AC$1557:$AC$1570)=0,0,100*SUM($AE$1557:$AE$1570)/SUM($AC$1557:$AC$1570)))</f>
        <v>0</v>
      </c>
      <c r="AH1570">
        <f>IF(COUNT($E$2:$E1570)&lt;15,"",IF(SUM($AC$1557:$AC$1570)=0,0,100*SUM($AF$1557:$AF$1570)/SUM($AC$1557:$AC$1570)))</f>
        <v>0</v>
      </c>
      <c r="AI1570">
        <f>IF(OR(AG1570="",AH1570=""),"",IF((AG1570+AH1570)=0,0,100*ABS(AG1570-AH1570)/(AG1570+AH1570)))</f>
        <v>0</v>
      </c>
      <c r="AJ1570">
        <f>IF(COUNT($AI$1557:$AI$1570)&lt;14,"",AVERAGE($AI$1557:$AI$1570))</f>
        <v>0</v>
      </c>
      <c r="AK1570">
        <f>IF(COUNT($E$2:$E1570)&lt;20,"",AVERAGE($E$1551:$E$1570))</f>
        <v>0</v>
      </c>
      <c r="AL1570">
        <f>IF(COUNT($E$2:$E1570)&lt;20,"",STDEVP($E$1551:$E$1570))</f>
        <v>0</v>
      </c>
      <c r="AM1570">
        <f>IF(AK1570="","",AK1570+2*AL1570)</f>
        <v>0</v>
      </c>
      <c r="AN1570">
        <f>IF(AK1570="","",AK1570-2*AL1570)</f>
        <v>0</v>
      </c>
      <c r="AO1570">
        <f>IF(OR(AM1570="",AN1570="",AM1570=AN1570),"",($E1570-AN1570)/(AM1570-AN1570))</f>
        <v>0</v>
      </c>
      <c r="AP1570">
        <f>IF(OR(AM1570="",AK1570="",AK1570=0),"",(AM1570-AN1570)/AK1570)</f>
        <v>0</v>
      </c>
      <c r="AQ1570">
        <f>IF(COUNT($E$2:$E1570)&lt;20,"",MAX($C$1551:$C$1570))</f>
        <v>0</v>
      </c>
      <c r="AR1570">
        <f>IF(COUNT($E$2:$E1570)&lt;20,"",MIN($D$1551:$D$1570))</f>
        <v>0</v>
      </c>
      <c r="AS1570">
        <f>IF(OR(AQ1570="",AR1570=""),"",(AQ1570+AR1570)/2)</f>
        <v>0</v>
      </c>
      <c r="AT1570">
        <f>IF(COUNT($G$1551:$G$1570)&lt;20,"",STDEV($G$1551:$G$1570)*SQRT(252))</f>
        <v>0</v>
      </c>
      <c r="AU1570">
        <f>IF(COUNT($E$2:$E1570)&lt;9,"",(MAX($C$1562:$C$1570)+MIN($D$1562:$D$1570))/2)</f>
        <v>0</v>
      </c>
      <c r="AV1570">
        <f>IF(COUNT($E$2:$E1570)&lt;26,"",(MAX($C$1545:$C$1570)+MIN($D$1545:$D$1570))/2)</f>
        <v>0</v>
      </c>
      <c r="AW1570">
        <f>IF(OR(AU1570="",AV1570=""),"",(AU1570+AV1570)/2)</f>
        <v>0</v>
      </c>
      <c r="AX1570">
        <f>IF(COUNT($E$2:$E1570)&lt;52,"",(MAX($C$1519:$C$1570)+MIN($D$1519:$D$1570))/2)</f>
        <v>0</v>
      </c>
      <c r="AY1570">
        <f>IF(COUNT($E$2:$E1570)&lt;20,"",MAX($C$1471:$C$1570))</f>
        <v>0</v>
      </c>
      <c r="AZ1570">
        <f>IF(COUNT($E$2:$E1570)&lt;20,"",MIN($D$1471:$D$1570))</f>
        <v>0</v>
      </c>
      <c r="BA1570">
        <f>IF(COUNT($E$2:$E1570)&lt;20,"",SLOPE($E$1471:$E$1570,$F$1471:$F$1570))</f>
        <v>0</v>
      </c>
      <c r="BB1570">
        <f>IF(COUNT($E$2:$E1570)&lt;20,"",INTERCEPT($E$1471:$E$1570,$F$1471:$F$1570))</f>
        <v>0</v>
      </c>
      <c r="BC1570">
        <f>IF(OR(BA1570="",BB1570=""),"",BB1570+BA1570*F1570)</f>
        <v>0</v>
      </c>
      <c r="BD1570">
        <f>IF(COUNT($E$2:$E1570)&lt;20,"",STEYX($E$1471:$E$1570,$F$1471:$F$1570))</f>
        <v>0</v>
      </c>
      <c r="BE1570">
        <f>IF($E1570="","",IF(AND(COUNT($E$1571:$E$1574)&gt;=4,$C1570=MAX($C$1566:$C$1574)),$C1570,""))</f>
        <v>0</v>
      </c>
      <c r="BF1570">
        <f>IF($E1570="","",IF(AND(COUNT($E$1571:$E$1574)&gt;=4,$D1570=MIN($D$1566:$D$1574)),$D1570,""))</f>
        <v>0</v>
      </c>
      <c r="BG1570">
        <f>IF($A1570="","",$A1570-WEEKDAY($A1570,2)+1)</f>
        <v>0</v>
      </c>
      <c r="BH1570">
        <f>IF($A1570="","",IF($A1569="",1,IF(BG1570&lt;&gt;BG1569,1,0)))</f>
        <v>0</v>
      </c>
      <c r="BI1570">
        <f>IF($A1570="","",IF($A1571="",1,IF(BG1571&lt;&gt;BG1570,1,0)))</f>
        <v>0</v>
      </c>
      <c r="BJ1570">
        <f>IF($A1570="","",IF(BH1570=1,$B1570,BJ1569))</f>
        <v>0</v>
      </c>
      <c r="BK1570">
        <f>IF($A1570="","",IF(BH1570=1,$C1570,MAX($C1570,BK1569)))</f>
        <v>0</v>
      </c>
      <c r="BL1570">
        <f>IF($A1570="","",IF(BH1570=1,$D1570,MIN($D1570,BL1569)))</f>
        <v>0</v>
      </c>
      <c r="BM1570">
        <f>IF($A1570="","",IF(BI1570=1,F1570,""))</f>
        <v>0</v>
      </c>
      <c r="BN1570">
        <f>IF($A1570="","",DATE(YEAR($A1570),MONTH($A1570),1))</f>
        <v>0</v>
      </c>
      <c r="BO1570">
        <f>IF($A1570="","",IF($A1569="",1,IF(BN1570&lt;&gt;BN1569,1,0)))</f>
        <v>0</v>
      </c>
      <c r="BP1570">
        <f>IF($A1570="","",IF($A1571="",1,IF(BN1571&lt;&gt;BN1570,1,0)))</f>
        <v>0</v>
      </c>
      <c r="BQ1570">
        <f>IF($A1570="","",IF(BO1570=1,$B1570,BQ1569))</f>
        <v>0</v>
      </c>
      <c r="BR1570">
        <f>IF($A1570="","",IF(BO1570=1,$C1570,MAX($C1570,BR1569)))</f>
        <v>0</v>
      </c>
      <c r="BS1570">
        <f>IF($A1570="","",IF(BO1570=1,$D1570,MIN($D1570,BS1569)))</f>
        <v>0</v>
      </c>
      <c r="BT1570">
        <f>IF($A1570="","",IF(BP1570=1,F1570,""))</f>
        <v>0</v>
      </c>
    </row>
    <row r="1571" spans="1:72">
      <c r="A1571" s="27">
        <f>IF(Data!$A1571="","",Data!$A1571)</f>
        <v>0</v>
      </c>
      <c r="B1571">
        <f>IF(Data!$B1571="","",Data!$B1571)</f>
        <v>0</v>
      </c>
      <c r="C1571">
        <f>IF(Data!$C1571="","",Data!$C1571)</f>
        <v>0</v>
      </c>
      <c r="D1571">
        <f>IF(Data!$D1571="","",Data!$D1571)</f>
        <v>0</v>
      </c>
      <c r="E1571">
        <f>IF(Data!$E1571="","",Data!$E1571)</f>
        <v>0</v>
      </c>
      <c r="F1571">
        <f>IF($E1571="","",N(F1570)+1)</f>
        <v>0</v>
      </c>
      <c r="G1571">
        <f>IF(OR($E1571="",$E1570=""),"",LN($E1571/$E1570))</f>
        <v>0</v>
      </c>
      <c r="H1571">
        <f>IF($E1571="","",IF($E1570="",$E1571,$E1571*0.0952380952+H1570*0.9047619048))</f>
        <v>0</v>
      </c>
      <c r="I1571">
        <f>IF($E1571="","",IF($E1570="",$E1571,$E1571*0.0392156863+I1570*0.9607843137))</f>
        <v>0</v>
      </c>
      <c r="J1571">
        <f>IF($E1571="","",IF($E1570="",$E1571,$E1571*0.0198019802+J1570*0.9801980198))</f>
        <v>0</v>
      </c>
      <c r="K1571">
        <f>IF($E1571="","",IF($E1570="",$E1571,$E1571*0.0099502488+K1570*0.9900497512))</f>
        <v>0</v>
      </c>
      <c r="L1571">
        <f>IF(OR($E1571="",$E1570=""),"",MAX($E1571-$E1570,0))</f>
        <v>0</v>
      </c>
      <c r="M1571">
        <f>IF(OR($E1571="",$E1570=""),"",MAX($E1570-$E1571,0))</f>
        <v>0</v>
      </c>
      <c r="N1571">
        <f>IF(COUNT($E$2:$E1571)&lt;15,"",IF(AVERAGE($M$1558:$M$1571)=0,100,100-100/(1+AVERAGE($L$1558:$L$1571)/AVERAGE($M$1558:$M$1571))))</f>
        <v>0</v>
      </c>
      <c r="O1571">
        <f>IF($E1571="","",IF($E1570="",$E1571,$E1571*0.1538461538+O1570*0.8461538462))</f>
        <v>0</v>
      </c>
      <c r="P1571">
        <f>IF($E1571="","",IF($E1570="",$E1571,$E1571*0.0740740741+P1570*0.9259259259))</f>
        <v>0</v>
      </c>
      <c r="Q1571">
        <f>IF(OR(O1571="",P1571=""),"",O1571-P1571)</f>
        <v>0</v>
      </c>
      <c r="R1571">
        <f>IF(Q1571="","",IF(R1570="",Q1571,Q1571*0.2000000000+R1570*0.8000000000))</f>
        <v>0</v>
      </c>
      <c r="S1571">
        <f>IF(OR(Q1571="",R1571=""),"",Q1571-R1571)</f>
        <v>0</v>
      </c>
      <c r="T1571">
        <f>IF(COUNT($E$2:$E1571)&lt;14,"",MAX($C$1558:$C$1571))</f>
        <v>0</v>
      </c>
      <c r="U1571">
        <f>IF(COUNT($E$2:$E1571)&lt;14,"",MIN($D$1558:$D$1571))</f>
        <v>0</v>
      </c>
      <c r="V1571">
        <f>IF(OR(T1571="",U1571="",T1571=U1571),"",100*($E1571-U1571)/(T1571-U1571))</f>
        <v>0</v>
      </c>
      <c r="W1571">
        <f>IF(COUNT($V$1569:$V$1571)&lt;3,"",AVERAGE($V$1569:$V$1571))</f>
        <v>0</v>
      </c>
      <c r="X1571">
        <f>IF(COUNT($N$1558:$N$1571)&lt;14,"",MIN($N$1558:$N$1571))</f>
        <v>0</v>
      </c>
      <c r="Y1571">
        <f>IF(COUNT($N$1558:$N$1571)&lt;14,"",MAX($N$1558:$N$1571))</f>
        <v>0</v>
      </c>
      <c r="Z1571">
        <f>IF(OR(N1571="",X1571="",Y1571="",Y1571=X1571),"",100*(N1571-X1571)/(Y1571-X1571))</f>
        <v>0</v>
      </c>
      <c r="AA1571">
        <f>IF(COUNT($Z$1569:$Z$1571)&lt;3,"",AVERAGE($Z$1569:$Z$1571))</f>
        <v>0</v>
      </c>
      <c r="AB1571">
        <f>IF(COUNT($AA$1569:$AA$1571)&lt;3,"",AVERAGE($AA$1569:$AA$1571))</f>
        <v>0</v>
      </c>
      <c r="AC1571">
        <f>IF($E1571="","",MAX($C1571-$D1571,ABS($C1571-$E1570),ABS($D1571-$E1570)))</f>
        <v>0</v>
      </c>
      <c r="AD1571">
        <f>IF(COUNT($E$2:$E1571)&lt;15,"",AVERAGE($AC$1558:$AC$1571))</f>
        <v>0</v>
      </c>
      <c r="AE1571">
        <f>IF(OR($E1571="",$E1570=""),"",IF(AND(($C1571-$C1570)&gt;($D1570-$D1571),($C1571-$C1570)&gt;0),$C1571-$C1570,0))</f>
        <v>0</v>
      </c>
      <c r="AF1571">
        <f>IF(OR($E1571="",$E1570=""),"",IF(AND(($D1570-$D1571)&gt;($C1571-$C1570),($D1570-$D1571)&gt;0),$D1570-$D1571,0))</f>
        <v>0</v>
      </c>
      <c r="AG1571">
        <f>IF(COUNT($E$2:$E1571)&lt;15,"",IF(SUM($AC$1558:$AC$1571)=0,0,100*SUM($AE$1558:$AE$1571)/SUM($AC$1558:$AC$1571)))</f>
        <v>0</v>
      </c>
      <c r="AH1571">
        <f>IF(COUNT($E$2:$E1571)&lt;15,"",IF(SUM($AC$1558:$AC$1571)=0,0,100*SUM($AF$1558:$AF$1571)/SUM($AC$1558:$AC$1571)))</f>
        <v>0</v>
      </c>
      <c r="AI1571">
        <f>IF(OR(AG1571="",AH1571=""),"",IF((AG1571+AH1571)=0,0,100*ABS(AG1571-AH1571)/(AG1571+AH1571)))</f>
        <v>0</v>
      </c>
      <c r="AJ1571">
        <f>IF(COUNT($AI$1558:$AI$1571)&lt;14,"",AVERAGE($AI$1558:$AI$1571))</f>
        <v>0</v>
      </c>
      <c r="AK1571">
        <f>IF(COUNT($E$2:$E1571)&lt;20,"",AVERAGE($E$1552:$E$1571))</f>
        <v>0</v>
      </c>
      <c r="AL1571">
        <f>IF(COUNT($E$2:$E1571)&lt;20,"",STDEVP($E$1552:$E$1571))</f>
        <v>0</v>
      </c>
      <c r="AM1571">
        <f>IF(AK1571="","",AK1571+2*AL1571)</f>
        <v>0</v>
      </c>
      <c r="AN1571">
        <f>IF(AK1571="","",AK1571-2*AL1571)</f>
        <v>0</v>
      </c>
      <c r="AO1571">
        <f>IF(OR(AM1571="",AN1571="",AM1571=AN1571),"",($E1571-AN1571)/(AM1571-AN1571))</f>
        <v>0</v>
      </c>
      <c r="AP1571">
        <f>IF(OR(AM1571="",AK1571="",AK1571=0),"",(AM1571-AN1571)/AK1571)</f>
        <v>0</v>
      </c>
      <c r="AQ1571">
        <f>IF(COUNT($E$2:$E1571)&lt;20,"",MAX($C$1552:$C$1571))</f>
        <v>0</v>
      </c>
      <c r="AR1571">
        <f>IF(COUNT($E$2:$E1571)&lt;20,"",MIN($D$1552:$D$1571))</f>
        <v>0</v>
      </c>
      <c r="AS1571">
        <f>IF(OR(AQ1571="",AR1571=""),"",(AQ1571+AR1571)/2)</f>
        <v>0</v>
      </c>
      <c r="AT1571">
        <f>IF(COUNT($G$1552:$G$1571)&lt;20,"",STDEV($G$1552:$G$1571)*SQRT(252))</f>
        <v>0</v>
      </c>
      <c r="AU1571">
        <f>IF(COUNT($E$2:$E1571)&lt;9,"",(MAX($C$1563:$C$1571)+MIN($D$1563:$D$1571))/2)</f>
        <v>0</v>
      </c>
      <c r="AV1571">
        <f>IF(COUNT($E$2:$E1571)&lt;26,"",(MAX($C$1546:$C$1571)+MIN($D$1546:$D$1571))/2)</f>
        <v>0</v>
      </c>
      <c r="AW1571">
        <f>IF(OR(AU1571="",AV1571=""),"",(AU1571+AV1571)/2)</f>
        <v>0</v>
      </c>
      <c r="AX1571">
        <f>IF(COUNT($E$2:$E1571)&lt;52,"",(MAX($C$1520:$C$1571)+MIN($D$1520:$D$1571))/2)</f>
        <v>0</v>
      </c>
      <c r="AY1571">
        <f>IF(COUNT($E$2:$E1571)&lt;20,"",MAX($C$1472:$C$1571))</f>
        <v>0</v>
      </c>
      <c r="AZ1571">
        <f>IF(COUNT($E$2:$E1571)&lt;20,"",MIN($D$1472:$D$1571))</f>
        <v>0</v>
      </c>
      <c r="BA1571">
        <f>IF(COUNT($E$2:$E1571)&lt;20,"",SLOPE($E$1472:$E$1571,$F$1472:$F$1571))</f>
        <v>0</v>
      </c>
      <c r="BB1571">
        <f>IF(COUNT($E$2:$E1571)&lt;20,"",INTERCEPT($E$1472:$E$1571,$F$1472:$F$1571))</f>
        <v>0</v>
      </c>
      <c r="BC1571">
        <f>IF(OR(BA1571="",BB1571=""),"",BB1571+BA1571*F1571)</f>
        <v>0</v>
      </c>
      <c r="BD1571">
        <f>IF(COUNT($E$2:$E1571)&lt;20,"",STEYX($E$1472:$E$1571,$F$1472:$F$1571))</f>
        <v>0</v>
      </c>
      <c r="BE1571">
        <f>IF($E1571="","",IF(AND(COUNT($E$1572:$E$1575)&gt;=4,$C1571=MAX($C$1567:$C$1575)),$C1571,""))</f>
        <v>0</v>
      </c>
      <c r="BF1571">
        <f>IF($E1571="","",IF(AND(COUNT($E$1572:$E$1575)&gt;=4,$D1571=MIN($D$1567:$D$1575)),$D1571,""))</f>
        <v>0</v>
      </c>
      <c r="BG1571">
        <f>IF($A1571="","",$A1571-WEEKDAY($A1571,2)+1)</f>
        <v>0</v>
      </c>
      <c r="BH1571">
        <f>IF($A1571="","",IF($A1570="",1,IF(BG1571&lt;&gt;BG1570,1,0)))</f>
        <v>0</v>
      </c>
      <c r="BI1571">
        <f>IF($A1571="","",IF($A1572="",1,IF(BG1572&lt;&gt;BG1571,1,0)))</f>
        <v>0</v>
      </c>
      <c r="BJ1571">
        <f>IF($A1571="","",IF(BH1571=1,$B1571,BJ1570))</f>
        <v>0</v>
      </c>
      <c r="BK1571">
        <f>IF($A1571="","",IF(BH1571=1,$C1571,MAX($C1571,BK1570)))</f>
        <v>0</v>
      </c>
      <c r="BL1571">
        <f>IF($A1571="","",IF(BH1571=1,$D1571,MIN($D1571,BL1570)))</f>
        <v>0</v>
      </c>
      <c r="BM1571">
        <f>IF($A1571="","",IF(BI1571=1,F1571,""))</f>
        <v>0</v>
      </c>
      <c r="BN1571">
        <f>IF($A1571="","",DATE(YEAR($A1571),MONTH($A1571),1))</f>
        <v>0</v>
      </c>
      <c r="BO1571">
        <f>IF($A1571="","",IF($A1570="",1,IF(BN1571&lt;&gt;BN1570,1,0)))</f>
        <v>0</v>
      </c>
      <c r="BP1571">
        <f>IF($A1571="","",IF($A1572="",1,IF(BN1572&lt;&gt;BN1571,1,0)))</f>
        <v>0</v>
      </c>
      <c r="BQ1571">
        <f>IF($A1571="","",IF(BO1571=1,$B1571,BQ1570))</f>
        <v>0</v>
      </c>
      <c r="BR1571">
        <f>IF($A1571="","",IF(BO1571=1,$C1571,MAX($C1571,BR1570)))</f>
        <v>0</v>
      </c>
      <c r="BS1571">
        <f>IF($A1571="","",IF(BO1571=1,$D1571,MIN($D1571,BS1570)))</f>
        <v>0</v>
      </c>
      <c r="BT1571">
        <f>IF($A1571="","",IF(BP1571=1,F1571,""))</f>
        <v>0</v>
      </c>
    </row>
    <row r="1572" spans="1:72">
      <c r="A1572" s="27">
        <f>IF(Data!$A1572="","",Data!$A1572)</f>
        <v>0</v>
      </c>
      <c r="B1572">
        <f>IF(Data!$B1572="","",Data!$B1572)</f>
        <v>0</v>
      </c>
      <c r="C1572">
        <f>IF(Data!$C1572="","",Data!$C1572)</f>
        <v>0</v>
      </c>
      <c r="D1572">
        <f>IF(Data!$D1572="","",Data!$D1572)</f>
        <v>0</v>
      </c>
      <c r="E1572">
        <f>IF(Data!$E1572="","",Data!$E1572)</f>
        <v>0</v>
      </c>
      <c r="F1572">
        <f>IF($E1572="","",N(F1571)+1)</f>
        <v>0</v>
      </c>
      <c r="G1572">
        <f>IF(OR($E1572="",$E1571=""),"",LN($E1572/$E1571))</f>
        <v>0</v>
      </c>
      <c r="H1572">
        <f>IF($E1572="","",IF($E1571="",$E1572,$E1572*0.0952380952+H1571*0.9047619048))</f>
        <v>0</v>
      </c>
      <c r="I1572">
        <f>IF($E1572="","",IF($E1571="",$E1572,$E1572*0.0392156863+I1571*0.9607843137))</f>
        <v>0</v>
      </c>
      <c r="J1572">
        <f>IF($E1572="","",IF($E1571="",$E1572,$E1572*0.0198019802+J1571*0.9801980198))</f>
        <v>0</v>
      </c>
      <c r="K1572">
        <f>IF($E1572="","",IF($E1571="",$E1572,$E1572*0.0099502488+K1571*0.9900497512))</f>
        <v>0</v>
      </c>
      <c r="L1572">
        <f>IF(OR($E1572="",$E1571=""),"",MAX($E1572-$E1571,0))</f>
        <v>0</v>
      </c>
      <c r="M1572">
        <f>IF(OR($E1572="",$E1571=""),"",MAX($E1571-$E1572,0))</f>
        <v>0</v>
      </c>
      <c r="N1572">
        <f>IF(COUNT($E$2:$E1572)&lt;15,"",IF(AVERAGE($M$1559:$M$1572)=0,100,100-100/(1+AVERAGE($L$1559:$L$1572)/AVERAGE($M$1559:$M$1572))))</f>
        <v>0</v>
      </c>
      <c r="O1572">
        <f>IF($E1572="","",IF($E1571="",$E1572,$E1572*0.1538461538+O1571*0.8461538462))</f>
        <v>0</v>
      </c>
      <c r="P1572">
        <f>IF($E1572="","",IF($E1571="",$E1572,$E1572*0.0740740741+P1571*0.9259259259))</f>
        <v>0</v>
      </c>
      <c r="Q1572">
        <f>IF(OR(O1572="",P1572=""),"",O1572-P1572)</f>
        <v>0</v>
      </c>
      <c r="R1572">
        <f>IF(Q1572="","",IF(R1571="",Q1572,Q1572*0.2000000000+R1571*0.8000000000))</f>
        <v>0</v>
      </c>
      <c r="S1572">
        <f>IF(OR(Q1572="",R1572=""),"",Q1572-R1572)</f>
        <v>0</v>
      </c>
      <c r="T1572">
        <f>IF(COUNT($E$2:$E1572)&lt;14,"",MAX($C$1559:$C$1572))</f>
        <v>0</v>
      </c>
      <c r="U1572">
        <f>IF(COUNT($E$2:$E1572)&lt;14,"",MIN($D$1559:$D$1572))</f>
        <v>0</v>
      </c>
      <c r="V1572">
        <f>IF(OR(T1572="",U1572="",T1572=U1572),"",100*($E1572-U1572)/(T1572-U1572))</f>
        <v>0</v>
      </c>
      <c r="W1572">
        <f>IF(COUNT($V$1570:$V$1572)&lt;3,"",AVERAGE($V$1570:$V$1572))</f>
        <v>0</v>
      </c>
      <c r="X1572">
        <f>IF(COUNT($N$1559:$N$1572)&lt;14,"",MIN($N$1559:$N$1572))</f>
        <v>0</v>
      </c>
      <c r="Y1572">
        <f>IF(COUNT($N$1559:$N$1572)&lt;14,"",MAX($N$1559:$N$1572))</f>
        <v>0</v>
      </c>
      <c r="Z1572">
        <f>IF(OR(N1572="",X1572="",Y1572="",Y1572=X1572),"",100*(N1572-X1572)/(Y1572-X1572))</f>
        <v>0</v>
      </c>
      <c r="AA1572">
        <f>IF(COUNT($Z$1570:$Z$1572)&lt;3,"",AVERAGE($Z$1570:$Z$1572))</f>
        <v>0</v>
      </c>
      <c r="AB1572">
        <f>IF(COUNT($AA$1570:$AA$1572)&lt;3,"",AVERAGE($AA$1570:$AA$1572))</f>
        <v>0</v>
      </c>
      <c r="AC1572">
        <f>IF($E1572="","",MAX($C1572-$D1572,ABS($C1572-$E1571),ABS($D1572-$E1571)))</f>
        <v>0</v>
      </c>
      <c r="AD1572">
        <f>IF(COUNT($E$2:$E1572)&lt;15,"",AVERAGE($AC$1559:$AC$1572))</f>
        <v>0</v>
      </c>
      <c r="AE1572">
        <f>IF(OR($E1572="",$E1571=""),"",IF(AND(($C1572-$C1571)&gt;($D1571-$D1572),($C1572-$C1571)&gt;0),$C1572-$C1571,0))</f>
        <v>0</v>
      </c>
      <c r="AF1572">
        <f>IF(OR($E1572="",$E1571=""),"",IF(AND(($D1571-$D1572)&gt;($C1572-$C1571),($D1571-$D1572)&gt;0),$D1571-$D1572,0))</f>
        <v>0</v>
      </c>
      <c r="AG1572">
        <f>IF(COUNT($E$2:$E1572)&lt;15,"",IF(SUM($AC$1559:$AC$1572)=0,0,100*SUM($AE$1559:$AE$1572)/SUM($AC$1559:$AC$1572)))</f>
        <v>0</v>
      </c>
      <c r="AH1572">
        <f>IF(COUNT($E$2:$E1572)&lt;15,"",IF(SUM($AC$1559:$AC$1572)=0,0,100*SUM($AF$1559:$AF$1572)/SUM($AC$1559:$AC$1572)))</f>
        <v>0</v>
      </c>
      <c r="AI1572">
        <f>IF(OR(AG1572="",AH1572=""),"",IF((AG1572+AH1572)=0,0,100*ABS(AG1572-AH1572)/(AG1572+AH1572)))</f>
        <v>0</v>
      </c>
      <c r="AJ1572">
        <f>IF(COUNT($AI$1559:$AI$1572)&lt;14,"",AVERAGE($AI$1559:$AI$1572))</f>
        <v>0</v>
      </c>
      <c r="AK1572">
        <f>IF(COUNT($E$2:$E1572)&lt;20,"",AVERAGE($E$1553:$E$1572))</f>
        <v>0</v>
      </c>
      <c r="AL1572">
        <f>IF(COUNT($E$2:$E1572)&lt;20,"",STDEVP($E$1553:$E$1572))</f>
        <v>0</v>
      </c>
      <c r="AM1572">
        <f>IF(AK1572="","",AK1572+2*AL1572)</f>
        <v>0</v>
      </c>
      <c r="AN1572">
        <f>IF(AK1572="","",AK1572-2*AL1572)</f>
        <v>0</v>
      </c>
      <c r="AO1572">
        <f>IF(OR(AM1572="",AN1572="",AM1572=AN1572),"",($E1572-AN1572)/(AM1572-AN1572))</f>
        <v>0</v>
      </c>
      <c r="AP1572">
        <f>IF(OR(AM1572="",AK1572="",AK1572=0),"",(AM1572-AN1572)/AK1572)</f>
        <v>0</v>
      </c>
      <c r="AQ1572">
        <f>IF(COUNT($E$2:$E1572)&lt;20,"",MAX($C$1553:$C$1572))</f>
        <v>0</v>
      </c>
      <c r="AR1572">
        <f>IF(COUNT($E$2:$E1572)&lt;20,"",MIN($D$1553:$D$1572))</f>
        <v>0</v>
      </c>
      <c r="AS1572">
        <f>IF(OR(AQ1572="",AR1572=""),"",(AQ1572+AR1572)/2)</f>
        <v>0</v>
      </c>
      <c r="AT1572">
        <f>IF(COUNT($G$1553:$G$1572)&lt;20,"",STDEV($G$1553:$G$1572)*SQRT(252))</f>
        <v>0</v>
      </c>
      <c r="AU1572">
        <f>IF(COUNT($E$2:$E1572)&lt;9,"",(MAX($C$1564:$C$1572)+MIN($D$1564:$D$1572))/2)</f>
        <v>0</v>
      </c>
      <c r="AV1572">
        <f>IF(COUNT($E$2:$E1572)&lt;26,"",(MAX($C$1547:$C$1572)+MIN($D$1547:$D$1572))/2)</f>
        <v>0</v>
      </c>
      <c r="AW1572">
        <f>IF(OR(AU1572="",AV1572=""),"",(AU1572+AV1572)/2)</f>
        <v>0</v>
      </c>
      <c r="AX1572">
        <f>IF(COUNT($E$2:$E1572)&lt;52,"",(MAX($C$1521:$C$1572)+MIN($D$1521:$D$1572))/2)</f>
        <v>0</v>
      </c>
      <c r="AY1572">
        <f>IF(COUNT($E$2:$E1572)&lt;20,"",MAX($C$1473:$C$1572))</f>
        <v>0</v>
      </c>
      <c r="AZ1572">
        <f>IF(COUNT($E$2:$E1572)&lt;20,"",MIN($D$1473:$D$1572))</f>
        <v>0</v>
      </c>
      <c r="BA1572">
        <f>IF(COUNT($E$2:$E1572)&lt;20,"",SLOPE($E$1473:$E$1572,$F$1473:$F$1572))</f>
        <v>0</v>
      </c>
      <c r="BB1572">
        <f>IF(COUNT($E$2:$E1572)&lt;20,"",INTERCEPT($E$1473:$E$1572,$F$1473:$F$1572))</f>
        <v>0</v>
      </c>
      <c r="BC1572">
        <f>IF(OR(BA1572="",BB1572=""),"",BB1572+BA1572*F1572)</f>
        <v>0</v>
      </c>
      <c r="BD1572">
        <f>IF(COUNT($E$2:$E1572)&lt;20,"",STEYX($E$1473:$E$1572,$F$1473:$F$1572))</f>
        <v>0</v>
      </c>
      <c r="BE1572">
        <f>IF($E1572="","",IF(AND(COUNT($E$1573:$E$1576)&gt;=4,$C1572=MAX($C$1568:$C$1576)),$C1572,""))</f>
        <v>0</v>
      </c>
      <c r="BF1572">
        <f>IF($E1572="","",IF(AND(COUNT($E$1573:$E$1576)&gt;=4,$D1572=MIN($D$1568:$D$1576)),$D1572,""))</f>
        <v>0</v>
      </c>
      <c r="BG1572">
        <f>IF($A1572="","",$A1572-WEEKDAY($A1572,2)+1)</f>
        <v>0</v>
      </c>
      <c r="BH1572">
        <f>IF($A1572="","",IF($A1571="",1,IF(BG1572&lt;&gt;BG1571,1,0)))</f>
        <v>0</v>
      </c>
      <c r="BI1572">
        <f>IF($A1572="","",IF($A1573="",1,IF(BG1573&lt;&gt;BG1572,1,0)))</f>
        <v>0</v>
      </c>
      <c r="BJ1572">
        <f>IF($A1572="","",IF(BH1572=1,$B1572,BJ1571))</f>
        <v>0</v>
      </c>
      <c r="BK1572">
        <f>IF($A1572="","",IF(BH1572=1,$C1572,MAX($C1572,BK1571)))</f>
        <v>0</v>
      </c>
      <c r="BL1572">
        <f>IF($A1572="","",IF(BH1572=1,$D1572,MIN($D1572,BL1571)))</f>
        <v>0</v>
      </c>
      <c r="BM1572">
        <f>IF($A1572="","",IF(BI1572=1,F1572,""))</f>
        <v>0</v>
      </c>
      <c r="BN1572">
        <f>IF($A1572="","",DATE(YEAR($A1572),MONTH($A1572),1))</f>
        <v>0</v>
      </c>
      <c r="BO1572">
        <f>IF($A1572="","",IF($A1571="",1,IF(BN1572&lt;&gt;BN1571,1,0)))</f>
        <v>0</v>
      </c>
      <c r="BP1572">
        <f>IF($A1572="","",IF($A1573="",1,IF(BN1573&lt;&gt;BN1572,1,0)))</f>
        <v>0</v>
      </c>
      <c r="BQ1572">
        <f>IF($A1572="","",IF(BO1572=1,$B1572,BQ1571))</f>
        <v>0</v>
      </c>
      <c r="BR1572">
        <f>IF($A1572="","",IF(BO1572=1,$C1572,MAX($C1572,BR1571)))</f>
        <v>0</v>
      </c>
      <c r="BS1572">
        <f>IF($A1572="","",IF(BO1572=1,$D1572,MIN($D1572,BS1571)))</f>
        <v>0</v>
      </c>
      <c r="BT1572">
        <f>IF($A1572="","",IF(BP1572=1,F1572,""))</f>
        <v>0</v>
      </c>
    </row>
    <row r="1573" spans="1:72">
      <c r="A1573" s="27">
        <f>IF(Data!$A1573="","",Data!$A1573)</f>
        <v>0</v>
      </c>
      <c r="B1573">
        <f>IF(Data!$B1573="","",Data!$B1573)</f>
        <v>0</v>
      </c>
      <c r="C1573">
        <f>IF(Data!$C1573="","",Data!$C1573)</f>
        <v>0</v>
      </c>
      <c r="D1573">
        <f>IF(Data!$D1573="","",Data!$D1573)</f>
        <v>0</v>
      </c>
      <c r="E1573">
        <f>IF(Data!$E1573="","",Data!$E1573)</f>
        <v>0</v>
      </c>
      <c r="F1573">
        <f>IF($E1573="","",N(F1572)+1)</f>
        <v>0</v>
      </c>
      <c r="G1573">
        <f>IF(OR($E1573="",$E1572=""),"",LN($E1573/$E1572))</f>
        <v>0</v>
      </c>
      <c r="H1573">
        <f>IF($E1573="","",IF($E1572="",$E1573,$E1573*0.0952380952+H1572*0.9047619048))</f>
        <v>0</v>
      </c>
      <c r="I1573">
        <f>IF($E1573="","",IF($E1572="",$E1573,$E1573*0.0392156863+I1572*0.9607843137))</f>
        <v>0</v>
      </c>
      <c r="J1573">
        <f>IF($E1573="","",IF($E1572="",$E1573,$E1573*0.0198019802+J1572*0.9801980198))</f>
        <v>0</v>
      </c>
      <c r="K1573">
        <f>IF($E1573="","",IF($E1572="",$E1573,$E1573*0.0099502488+K1572*0.9900497512))</f>
        <v>0</v>
      </c>
      <c r="L1573">
        <f>IF(OR($E1573="",$E1572=""),"",MAX($E1573-$E1572,0))</f>
        <v>0</v>
      </c>
      <c r="M1573">
        <f>IF(OR($E1573="",$E1572=""),"",MAX($E1572-$E1573,0))</f>
        <v>0</v>
      </c>
      <c r="N1573">
        <f>IF(COUNT($E$2:$E1573)&lt;15,"",IF(AVERAGE($M$1560:$M$1573)=0,100,100-100/(1+AVERAGE($L$1560:$L$1573)/AVERAGE($M$1560:$M$1573))))</f>
        <v>0</v>
      </c>
      <c r="O1573">
        <f>IF($E1573="","",IF($E1572="",$E1573,$E1573*0.1538461538+O1572*0.8461538462))</f>
        <v>0</v>
      </c>
      <c r="P1573">
        <f>IF($E1573="","",IF($E1572="",$E1573,$E1573*0.0740740741+P1572*0.9259259259))</f>
        <v>0</v>
      </c>
      <c r="Q1573">
        <f>IF(OR(O1573="",P1573=""),"",O1573-P1573)</f>
        <v>0</v>
      </c>
      <c r="R1573">
        <f>IF(Q1573="","",IF(R1572="",Q1573,Q1573*0.2000000000+R1572*0.8000000000))</f>
        <v>0</v>
      </c>
      <c r="S1573">
        <f>IF(OR(Q1573="",R1573=""),"",Q1573-R1573)</f>
        <v>0</v>
      </c>
      <c r="T1573">
        <f>IF(COUNT($E$2:$E1573)&lt;14,"",MAX($C$1560:$C$1573))</f>
        <v>0</v>
      </c>
      <c r="U1573">
        <f>IF(COUNT($E$2:$E1573)&lt;14,"",MIN($D$1560:$D$1573))</f>
        <v>0</v>
      </c>
      <c r="V1573">
        <f>IF(OR(T1573="",U1573="",T1573=U1573),"",100*($E1573-U1573)/(T1573-U1573))</f>
        <v>0</v>
      </c>
      <c r="W1573">
        <f>IF(COUNT($V$1571:$V$1573)&lt;3,"",AVERAGE($V$1571:$V$1573))</f>
        <v>0</v>
      </c>
      <c r="X1573">
        <f>IF(COUNT($N$1560:$N$1573)&lt;14,"",MIN($N$1560:$N$1573))</f>
        <v>0</v>
      </c>
      <c r="Y1573">
        <f>IF(COUNT($N$1560:$N$1573)&lt;14,"",MAX($N$1560:$N$1573))</f>
        <v>0</v>
      </c>
      <c r="Z1573">
        <f>IF(OR(N1573="",X1573="",Y1573="",Y1573=X1573),"",100*(N1573-X1573)/(Y1573-X1573))</f>
        <v>0</v>
      </c>
      <c r="AA1573">
        <f>IF(COUNT($Z$1571:$Z$1573)&lt;3,"",AVERAGE($Z$1571:$Z$1573))</f>
        <v>0</v>
      </c>
      <c r="AB1573">
        <f>IF(COUNT($AA$1571:$AA$1573)&lt;3,"",AVERAGE($AA$1571:$AA$1573))</f>
        <v>0</v>
      </c>
      <c r="AC1573">
        <f>IF($E1573="","",MAX($C1573-$D1573,ABS($C1573-$E1572),ABS($D1573-$E1572)))</f>
        <v>0</v>
      </c>
      <c r="AD1573">
        <f>IF(COUNT($E$2:$E1573)&lt;15,"",AVERAGE($AC$1560:$AC$1573))</f>
        <v>0</v>
      </c>
      <c r="AE1573">
        <f>IF(OR($E1573="",$E1572=""),"",IF(AND(($C1573-$C1572)&gt;($D1572-$D1573),($C1573-$C1572)&gt;0),$C1573-$C1572,0))</f>
        <v>0</v>
      </c>
      <c r="AF1573">
        <f>IF(OR($E1573="",$E1572=""),"",IF(AND(($D1572-$D1573)&gt;($C1573-$C1572),($D1572-$D1573)&gt;0),$D1572-$D1573,0))</f>
        <v>0</v>
      </c>
      <c r="AG1573">
        <f>IF(COUNT($E$2:$E1573)&lt;15,"",IF(SUM($AC$1560:$AC$1573)=0,0,100*SUM($AE$1560:$AE$1573)/SUM($AC$1560:$AC$1573)))</f>
        <v>0</v>
      </c>
      <c r="AH1573">
        <f>IF(COUNT($E$2:$E1573)&lt;15,"",IF(SUM($AC$1560:$AC$1573)=0,0,100*SUM($AF$1560:$AF$1573)/SUM($AC$1560:$AC$1573)))</f>
        <v>0</v>
      </c>
      <c r="AI1573">
        <f>IF(OR(AG1573="",AH1573=""),"",IF((AG1573+AH1573)=0,0,100*ABS(AG1573-AH1573)/(AG1573+AH1573)))</f>
        <v>0</v>
      </c>
      <c r="AJ1573">
        <f>IF(COUNT($AI$1560:$AI$1573)&lt;14,"",AVERAGE($AI$1560:$AI$1573))</f>
        <v>0</v>
      </c>
      <c r="AK1573">
        <f>IF(COUNT($E$2:$E1573)&lt;20,"",AVERAGE($E$1554:$E$1573))</f>
        <v>0</v>
      </c>
      <c r="AL1573">
        <f>IF(COUNT($E$2:$E1573)&lt;20,"",STDEVP($E$1554:$E$1573))</f>
        <v>0</v>
      </c>
      <c r="AM1573">
        <f>IF(AK1573="","",AK1573+2*AL1573)</f>
        <v>0</v>
      </c>
      <c r="AN1573">
        <f>IF(AK1573="","",AK1573-2*AL1573)</f>
        <v>0</v>
      </c>
      <c r="AO1573">
        <f>IF(OR(AM1573="",AN1573="",AM1573=AN1573),"",($E1573-AN1573)/(AM1573-AN1573))</f>
        <v>0</v>
      </c>
      <c r="AP1573">
        <f>IF(OR(AM1573="",AK1573="",AK1573=0),"",(AM1573-AN1573)/AK1573)</f>
        <v>0</v>
      </c>
      <c r="AQ1573">
        <f>IF(COUNT($E$2:$E1573)&lt;20,"",MAX($C$1554:$C$1573))</f>
        <v>0</v>
      </c>
      <c r="AR1573">
        <f>IF(COUNT($E$2:$E1573)&lt;20,"",MIN($D$1554:$D$1573))</f>
        <v>0</v>
      </c>
      <c r="AS1573">
        <f>IF(OR(AQ1573="",AR1573=""),"",(AQ1573+AR1573)/2)</f>
        <v>0</v>
      </c>
      <c r="AT1573">
        <f>IF(COUNT($G$1554:$G$1573)&lt;20,"",STDEV($G$1554:$G$1573)*SQRT(252))</f>
        <v>0</v>
      </c>
      <c r="AU1573">
        <f>IF(COUNT($E$2:$E1573)&lt;9,"",(MAX($C$1565:$C$1573)+MIN($D$1565:$D$1573))/2)</f>
        <v>0</v>
      </c>
      <c r="AV1573">
        <f>IF(COUNT($E$2:$E1573)&lt;26,"",(MAX($C$1548:$C$1573)+MIN($D$1548:$D$1573))/2)</f>
        <v>0</v>
      </c>
      <c r="AW1573">
        <f>IF(OR(AU1573="",AV1573=""),"",(AU1573+AV1573)/2)</f>
        <v>0</v>
      </c>
      <c r="AX1573">
        <f>IF(COUNT($E$2:$E1573)&lt;52,"",(MAX($C$1522:$C$1573)+MIN($D$1522:$D$1573))/2)</f>
        <v>0</v>
      </c>
      <c r="AY1573">
        <f>IF(COUNT($E$2:$E1573)&lt;20,"",MAX($C$1474:$C$1573))</f>
        <v>0</v>
      </c>
      <c r="AZ1573">
        <f>IF(COUNT($E$2:$E1573)&lt;20,"",MIN($D$1474:$D$1573))</f>
        <v>0</v>
      </c>
      <c r="BA1573">
        <f>IF(COUNT($E$2:$E1573)&lt;20,"",SLOPE($E$1474:$E$1573,$F$1474:$F$1573))</f>
        <v>0</v>
      </c>
      <c r="BB1573">
        <f>IF(COUNT($E$2:$E1573)&lt;20,"",INTERCEPT($E$1474:$E$1573,$F$1474:$F$1573))</f>
        <v>0</v>
      </c>
      <c r="BC1573">
        <f>IF(OR(BA1573="",BB1573=""),"",BB1573+BA1573*F1573)</f>
        <v>0</v>
      </c>
      <c r="BD1573">
        <f>IF(COUNT($E$2:$E1573)&lt;20,"",STEYX($E$1474:$E$1573,$F$1474:$F$1573))</f>
        <v>0</v>
      </c>
      <c r="BE1573">
        <f>IF($E1573="","",IF(AND(COUNT($E$1574:$E$1577)&gt;=4,$C1573=MAX($C$1569:$C$1577)),$C1573,""))</f>
        <v>0</v>
      </c>
      <c r="BF1573">
        <f>IF($E1573="","",IF(AND(COUNT($E$1574:$E$1577)&gt;=4,$D1573=MIN($D$1569:$D$1577)),$D1573,""))</f>
        <v>0</v>
      </c>
      <c r="BG1573">
        <f>IF($A1573="","",$A1573-WEEKDAY($A1573,2)+1)</f>
        <v>0</v>
      </c>
      <c r="BH1573">
        <f>IF($A1573="","",IF($A1572="",1,IF(BG1573&lt;&gt;BG1572,1,0)))</f>
        <v>0</v>
      </c>
      <c r="BI1573">
        <f>IF($A1573="","",IF($A1574="",1,IF(BG1574&lt;&gt;BG1573,1,0)))</f>
        <v>0</v>
      </c>
      <c r="BJ1573">
        <f>IF($A1573="","",IF(BH1573=1,$B1573,BJ1572))</f>
        <v>0</v>
      </c>
      <c r="BK1573">
        <f>IF($A1573="","",IF(BH1573=1,$C1573,MAX($C1573,BK1572)))</f>
        <v>0</v>
      </c>
      <c r="BL1573">
        <f>IF($A1573="","",IF(BH1573=1,$D1573,MIN($D1573,BL1572)))</f>
        <v>0</v>
      </c>
      <c r="BM1573">
        <f>IF($A1573="","",IF(BI1573=1,F1573,""))</f>
        <v>0</v>
      </c>
      <c r="BN1573">
        <f>IF($A1573="","",DATE(YEAR($A1573),MONTH($A1573),1))</f>
        <v>0</v>
      </c>
      <c r="BO1573">
        <f>IF($A1573="","",IF($A1572="",1,IF(BN1573&lt;&gt;BN1572,1,0)))</f>
        <v>0</v>
      </c>
      <c r="BP1573">
        <f>IF($A1573="","",IF($A1574="",1,IF(BN1574&lt;&gt;BN1573,1,0)))</f>
        <v>0</v>
      </c>
      <c r="BQ1573">
        <f>IF($A1573="","",IF(BO1573=1,$B1573,BQ1572))</f>
        <v>0</v>
      </c>
      <c r="BR1573">
        <f>IF($A1573="","",IF(BO1573=1,$C1573,MAX($C1573,BR1572)))</f>
        <v>0</v>
      </c>
      <c r="BS1573">
        <f>IF($A1573="","",IF(BO1573=1,$D1573,MIN($D1573,BS1572)))</f>
        <v>0</v>
      </c>
      <c r="BT1573">
        <f>IF($A1573="","",IF(BP1573=1,F1573,""))</f>
        <v>0</v>
      </c>
    </row>
    <row r="1574" spans="1:72">
      <c r="A1574" s="27">
        <f>IF(Data!$A1574="","",Data!$A1574)</f>
        <v>0</v>
      </c>
      <c r="B1574">
        <f>IF(Data!$B1574="","",Data!$B1574)</f>
        <v>0</v>
      </c>
      <c r="C1574">
        <f>IF(Data!$C1574="","",Data!$C1574)</f>
        <v>0</v>
      </c>
      <c r="D1574">
        <f>IF(Data!$D1574="","",Data!$D1574)</f>
        <v>0</v>
      </c>
      <c r="E1574">
        <f>IF(Data!$E1574="","",Data!$E1574)</f>
        <v>0</v>
      </c>
      <c r="F1574">
        <f>IF($E1574="","",N(F1573)+1)</f>
        <v>0</v>
      </c>
      <c r="G1574">
        <f>IF(OR($E1574="",$E1573=""),"",LN($E1574/$E1573))</f>
        <v>0</v>
      </c>
      <c r="H1574">
        <f>IF($E1574="","",IF($E1573="",$E1574,$E1574*0.0952380952+H1573*0.9047619048))</f>
        <v>0</v>
      </c>
      <c r="I1574">
        <f>IF($E1574="","",IF($E1573="",$E1574,$E1574*0.0392156863+I1573*0.9607843137))</f>
        <v>0</v>
      </c>
      <c r="J1574">
        <f>IF($E1574="","",IF($E1573="",$E1574,$E1574*0.0198019802+J1573*0.9801980198))</f>
        <v>0</v>
      </c>
      <c r="K1574">
        <f>IF($E1574="","",IF($E1573="",$E1574,$E1574*0.0099502488+K1573*0.9900497512))</f>
        <v>0</v>
      </c>
      <c r="L1574">
        <f>IF(OR($E1574="",$E1573=""),"",MAX($E1574-$E1573,0))</f>
        <v>0</v>
      </c>
      <c r="M1574">
        <f>IF(OR($E1574="",$E1573=""),"",MAX($E1573-$E1574,0))</f>
        <v>0</v>
      </c>
      <c r="N1574">
        <f>IF(COUNT($E$2:$E1574)&lt;15,"",IF(AVERAGE($M$1561:$M$1574)=0,100,100-100/(1+AVERAGE($L$1561:$L$1574)/AVERAGE($M$1561:$M$1574))))</f>
        <v>0</v>
      </c>
      <c r="O1574">
        <f>IF($E1574="","",IF($E1573="",$E1574,$E1574*0.1538461538+O1573*0.8461538462))</f>
        <v>0</v>
      </c>
      <c r="P1574">
        <f>IF($E1574="","",IF($E1573="",$E1574,$E1574*0.0740740741+P1573*0.9259259259))</f>
        <v>0</v>
      </c>
      <c r="Q1574">
        <f>IF(OR(O1574="",P1574=""),"",O1574-P1574)</f>
        <v>0</v>
      </c>
      <c r="R1574">
        <f>IF(Q1574="","",IF(R1573="",Q1574,Q1574*0.2000000000+R1573*0.8000000000))</f>
        <v>0</v>
      </c>
      <c r="S1574">
        <f>IF(OR(Q1574="",R1574=""),"",Q1574-R1574)</f>
        <v>0</v>
      </c>
      <c r="T1574">
        <f>IF(COUNT($E$2:$E1574)&lt;14,"",MAX($C$1561:$C$1574))</f>
        <v>0</v>
      </c>
      <c r="U1574">
        <f>IF(COUNT($E$2:$E1574)&lt;14,"",MIN($D$1561:$D$1574))</f>
        <v>0</v>
      </c>
      <c r="V1574">
        <f>IF(OR(T1574="",U1574="",T1574=U1574),"",100*($E1574-U1574)/(T1574-U1574))</f>
        <v>0</v>
      </c>
      <c r="W1574">
        <f>IF(COUNT($V$1572:$V$1574)&lt;3,"",AVERAGE($V$1572:$V$1574))</f>
        <v>0</v>
      </c>
      <c r="X1574">
        <f>IF(COUNT($N$1561:$N$1574)&lt;14,"",MIN($N$1561:$N$1574))</f>
        <v>0</v>
      </c>
      <c r="Y1574">
        <f>IF(COUNT($N$1561:$N$1574)&lt;14,"",MAX($N$1561:$N$1574))</f>
        <v>0</v>
      </c>
      <c r="Z1574">
        <f>IF(OR(N1574="",X1574="",Y1574="",Y1574=X1574),"",100*(N1574-X1574)/(Y1574-X1574))</f>
        <v>0</v>
      </c>
      <c r="AA1574">
        <f>IF(COUNT($Z$1572:$Z$1574)&lt;3,"",AVERAGE($Z$1572:$Z$1574))</f>
        <v>0</v>
      </c>
      <c r="AB1574">
        <f>IF(COUNT($AA$1572:$AA$1574)&lt;3,"",AVERAGE($AA$1572:$AA$1574))</f>
        <v>0</v>
      </c>
      <c r="AC1574">
        <f>IF($E1574="","",MAX($C1574-$D1574,ABS($C1574-$E1573),ABS($D1574-$E1573)))</f>
        <v>0</v>
      </c>
      <c r="AD1574">
        <f>IF(COUNT($E$2:$E1574)&lt;15,"",AVERAGE($AC$1561:$AC$1574))</f>
        <v>0</v>
      </c>
      <c r="AE1574">
        <f>IF(OR($E1574="",$E1573=""),"",IF(AND(($C1574-$C1573)&gt;($D1573-$D1574),($C1574-$C1573)&gt;0),$C1574-$C1573,0))</f>
        <v>0</v>
      </c>
      <c r="AF1574">
        <f>IF(OR($E1574="",$E1573=""),"",IF(AND(($D1573-$D1574)&gt;($C1574-$C1573),($D1573-$D1574)&gt;0),$D1573-$D1574,0))</f>
        <v>0</v>
      </c>
      <c r="AG1574">
        <f>IF(COUNT($E$2:$E1574)&lt;15,"",IF(SUM($AC$1561:$AC$1574)=0,0,100*SUM($AE$1561:$AE$1574)/SUM($AC$1561:$AC$1574)))</f>
        <v>0</v>
      </c>
      <c r="AH1574">
        <f>IF(COUNT($E$2:$E1574)&lt;15,"",IF(SUM($AC$1561:$AC$1574)=0,0,100*SUM($AF$1561:$AF$1574)/SUM($AC$1561:$AC$1574)))</f>
        <v>0</v>
      </c>
      <c r="AI1574">
        <f>IF(OR(AG1574="",AH1574=""),"",IF((AG1574+AH1574)=0,0,100*ABS(AG1574-AH1574)/(AG1574+AH1574)))</f>
        <v>0</v>
      </c>
      <c r="AJ1574">
        <f>IF(COUNT($AI$1561:$AI$1574)&lt;14,"",AVERAGE($AI$1561:$AI$1574))</f>
        <v>0</v>
      </c>
      <c r="AK1574">
        <f>IF(COUNT($E$2:$E1574)&lt;20,"",AVERAGE($E$1555:$E$1574))</f>
        <v>0</v>
      </c>
      <c r="AL1574">
        <f>IF(COUNT($E$2:$E1574)&lt;20,"",STDEVP($E$1555:$E$1574))</f>
        <v>0</v>
      </c>
      <c r="AM1574">
        <f>IF(AK1574="","",AK1574+2*AL1574)</f>
        <v>0</v>
      </c>
      <c r="AN1574">
        <f>IF(AK1574="","",AK1574-2*AL1574)</f>
        <v>0</v>
      </c>
      <c r="AO1574">
        <f>IF(OR(AM1574="",AN1574="",AM1574=AN1574),"",($E1574-AN1574)/(AM1574-AN1574))</f>
        <v>0</v>
      </c>
      <c r="AP1574">
        <f>IF(OR(AM1574="",AK1574="",AK1574=0),"",(AM1574-AN1574)/AK1574)</f>
        <v>0</v>
      </c>
      <c r="AQ1574">
        <f>IF(COUNT($E$2:$E1574)&lt;20,"",MAX($C$1555:$C$1574))</f>
        <v>0</v>
      </c>
      <c r="AR1574">
        <f>IF(COUNT($E$2:$E1574)&lt;20,"",MIN($D$1555:$D$1574))</f>
        <v>0</v>
      </c>
      <c r="AS1574">
        <f>IF(OR(AQ1574="",AR1574=""),"",(AQ1574+AR1574)/2)</f>
        <v>0</v>
      </c>
      <c r="AT1574">
        <f>IF(COUNT($G$1555:$G$1574)&lt;20,"",STDEV($G$1555:$G$1574)*SQRT(252))</f>
        <v>0</v>
      </c>
      <c r="AU1574">
        <f>IF(COUNT($E$2:$E1574)&lt;9,"",(MAX($C$1566:$C$1574)+MIN($D$1566:$D$1574))/2)</f>
        <v>0</v>
      </c>
      <c r="AV1574">
        <f>IF(COUNT($E$2:$E1574)&lt;26,"",(MAX($C$1549:$C$1574)+MIN($D$1549:$D$1574))/2)</f>
        <v>0</v>
      </c>
      <c r="AW1574">
        <f>IF(OR(AU1574="",AV1574=""),"",(AU1574+AV1574)/2)</f>
        <v>0</v>
      </c>
      <c r="AX1574">
        <f>IF(COUNT($E$2:$E1574)&lt;52,"",(MAX($C$1523:$C$1574)+MIN($D$1523:$D$1574))/2)</f>
        <v>0</v>
      </c>
      <c r="AY1574">
        <f>IF(COUNT($E$2:$E1574)&lt;20,"",MAX($C$1475:$C$1574))</f>
        <v>0</v>
      </c>
      <c r="AZ1574">
        <f>IF(COUNT($E$2:$E1574)&lt;20,"",MIN($D$1475:$D$1574))</f>
        <v>0</v>
      </c>
      <c r="BA1574">
        <f>IF(COUNT($E$2:$E1574)&lt;20,"",SLOPE($E$1475:$E$1574,$F$1475:$F$1574))</f>
        <v>0</v>
      </c>
      <c r="BB1574">
        <f>IF(COUNT($E$2:$E1574)&lt;20,"",INTERCEPT($E$1475:$E$1574,$F$1475:$F$1574))</f>
        <v>0</v>
      </c>
      <c r="BC1574">
        <f>IF(OR(BA1574="",BB1574=""),"",BB1574+BA1574*F1574)</f>
        <v>0</v>
      </c>
      <c r="BD1574">
        <f>IF(COUNT($E$2:$E1574)&lt;20,"",STEYX($E$1475:$E$1574,$F$1475:$F$1574))</f>
        <v>0</v>
      </c>
      <c r="BE1574">
        <f>IF($E1574="","",IF(AND(COUNT($E$1575:$E$1578)&gt;=4,$C1574=MAX($C$1570:$C$1578)),$C1574,""))</f>
        <v>0</v>
      </c>
      <c r="BF1574">
        <f>IF($E1574="","",IF(AND(COUNT($E$1575:$E$1578)&gt;=4,$D1574=MIN($D$1570:$D$1578)),$D1574,""))</f>
        <v>0</v>
      </c>
      <c r="BG1574">
        <f>IF($A1574="","",$A1574-WEEKDAY($A1574,2)+1)</f>
        <v>0</v>
      </c>
      <c r="BH1574">
        <f>IF($A1574="","",IF($A1573="",1,IF(BG1574&lt;&gt;BG1573,1,0)))</f>
        <v>0</v>
      </c>
      <c r="BI1574">
        <f>IF($A1574="","",IF($A1575="",1,IF(BG1575&lt;&gt;BG1574,1,0)))</f>
        <v>0</v>
      </c>
      <c r="BJ1574">
        <f>IF($A1574="","",IF(BH1574=1,$B1574,BJ1573))</f>
        <v>0</v>
      </c>
      <c r="BK1574">
        <f>IF($A1574="","",IF(BH1574=1,$C1574,MAX($C1574,BK1573)))</f>
        <v>0</v>
      </c>
      <c r="BL1574">
        <f>IF($A1574="","",IF(BH1574=1,$D1574,MIN($D1574,BL1573)))</f>
        <v>0</v>
      </c>
      <c r="BM1574">
        <f>IF($A1574="","",IF(BI1574=1,F1574,""))</f>
        <v>0</v>
      </c>
      <c r="BN1574">
        <f>IF($A1574="","",DATE(YEAR($A1574),MONTH($A1574),1))</f>
        <v>0</v>
      </c>
      <c r="BO1574">
        <f>IF($A1574="","",IF($A1573="",1,IF(BN1574&lt;&gt;BN1573,1,0)))</f>
        <v>0</v>
      </c>
      <c r="BP1574">
        <f>IF($A1574="","",IF($A1575="",1,IF(BN1575&lt;&gt;BN1574,1,0)))</f>
        <v>0</v>
      </c>
      <c r="BQ1574">
        <f>IF($A1574="","",IF(BO1574=1,$B1574,BQ1573))</f>
        <v>0</v>
      </c>
      <c r="BR1574">
        <f>IF($A1574="","",IF(BO1574=1,$C1574,MAX($C1574,BR1573)))</f>
        <v>0</v>
      </c>
      <c r="BS1574">
        <f>IF($A1574="","",IF(BO1574=1,$D1574,MIN($D1574,BS1573)))</f>
        <v>0</v>
      </c>
      <c r="BT1574">
        <f>IF($A1574="","",IF(BP1574=1,F1574,""))</f>
        <v>0</v>
      </c>
    </row>
    <row r="1575" spans="1:72">
      <c r="A1575" s="27">
        <f>IF(Data!$A1575="","",Data!$A1575)</f>
        <v>0</v>
      </c>
      <c r="B1575">
        <f>IF(Data!$B1575="","",Data!$B1575)</f>
        <v>0</v>
      </c>
      <c r="C1575">
        <f>IF(Data!$C1575="","",Data!$C1575)</f>
        <v>0</v>
      </c>
      <c r="D1575">
        <f>IF(Data!$D1575="","",Data!$D1575)</f>
        <v>0</v>
      </c>
      <c r="E1575">
        <f>IF(Data!$E1575="","",Data!$E1575)</f>
        <v>0</v>
      </c>
      <c r="F1575">
        <f>IF($E1575="","",N(F1574)+1)</f>
        <v>0</v>
      </c>
      <c r="G1575">
        <f>IF(OR($E1575="",$E1574=""),"",LN($E1575/$E1574))</f>
        <v>0</v>
      </c>
      <c r="H1575">
        <f>IF($E1575="","",IF($E1574="",$E1575,$E1575*0.0952380952+H1574*0.9047619048))</f>
        <v>0</v>
      </c>
      <c r="I1575">
        <f>IF($E1575="","",IF($E1574="",$E1575,$E1575*0.0392156863+I1574*0.9607843137))</f>
        <v>0</v>
      </c>
      <c r="J1575">
        <f>IF($E1575="","",IF($E1574="",$E1575,$E1575*0.0198019802+J1574*0.9801980198))</f>
        <v>0</v>
      </c>
      <c r="K1575">
        <f>IF($E1575="","",IF($E1574="",$E1575,$E1575*0.0099502488+K1574*0.9900497512))</f>
        <v>0</v>
      </c>
      <c r="L1575">
        <f>IF(OR($E1575="",$E1574=""),"",MAX($E1575-$E1574,0))</f>
        <v>0</v>
      </c>
      <c r="M1575">
        <f>IF(OR($E1575="",$E1574=""),"",MAX($E1574-$E1575,0))</f>
        <v>0</v>
      </c>
      <c r="N1575">
        <f>IF(COUNT($E$2:$E1575)&lt;15,"",IF(AVERAGE($M$1562:$M$1575)=0,100,100-100/(1+AVERAGE($L$1562:$L$1575)/AVERAGE($M$1562:$M$1575))))</f>
        <v>0</v>
      </c>
      <c r="O1575">
        <f>IF($E1575="","",IF($E1574="",$E1575,$E1575*0.1538461538+O1574*0.8461538462))</f>
        <v>0</v>
      </c>
      <c r="P1575">
        <f>IF($E1575="","",IF($E1574="",$E1575,$E1575*0.0740740741+P1574*0.9259259259))</f>
        <v>0</v>
      </c>
      <c r="Q1575">
        <f>IF(OR(O1575="",P1575=""),"",O1575-P1575)</f>
        <v>0</v>
      </c>
      <c r="R1575">
        <f>IF(Q1575="","",IF(R1574="",Q1575,Q1575*0.2000000000+R1574*0.8000000000))</f>
        <v>0</v>
      </c>
      <c r="S1575">
        <f>IF(OR(Q1575="",R1575=""),"",Q1575-R1575)</f>
        <v>0</v>
      </c>
      <c r="T1575">
        <f>IF(COUNT($E$2:$E1575)&lt;14,"",MAX($C$1562:$C$1575))</f>
        <v>0</v>
      </c>
      <c r="U1575">
        <f>IF(COUNT($E$2:$E1575)&lt;14,"",MIN($D$1562:$D$1575))</f>
        <v>0</v>
      </c>
      <c r="V1575">
        <f>IF(OR(T1575="",U1575="",T1575=U1575),"",100*($E1575-U1575)/(T1575-U1575))</f>
        <v>0</v>
      </c>
      <c r="W1575">
        <f>IF(COUNT($V$1573:$V$1575)&lt;3,"",AVERAGE($V$1573:$V$1575))</f>
        <v>0</v>
      </c>
      <c r="X1575">
        <f>IF(COUNT($N$1562:$N$1575)&lt;14,"",MIN($N$1562:$N$1575))</f>
        <v>0</v>
      </c>
      <c r="Y1575">
        <f>IF(COUNT($N$1562:$N$1575)&lt;14,"",MAX($N$1562:$N$1575))</f>
        <v>0</v>
      </c>
      <c r="Z1575">
        <f>IF(OR(N1575="",X1575="",Y1575="",Y1575=X1575),"",100*(N1575-X1575)/(Y1575-X1575))</f>
        <v>0</v>
      </c>
      <c r="AA1575">
        <f>IF(COUNT($Z$1573:$Z$1575)&lt;3,"",AVERAGE($Z$1573:$Z$1575))</f>
        <v>0</v>
      </c>
      <c r="AB1575">
        <f>IF(COUNT($AA$1573:$AA$1575)&lt;3,"",AVERAGE($AA$1573:$AA$1575))</f>
        <v>0</v>
      </c>
      <c r="AC1575">
        <f>IF($E1575="","",MAX($C1575-$D1575,ABS($C1575-$E1574),ABS($D1575-$E1574)))</f>
        <v>0</v>
      </c>
      <c r="AD1575">
        <f>IF(COUNT($E$2:$E1575)&lt;15,"",AVERAGE($AC$1562:$AC$1575))</f>
        <v>0</v>
      </c>
      <c r="AE1575">
        <f>IF(OR($E1575="",$E1574=""),"",IF(AND(($C1575-$C1574)&gt;($D1574-$D1575),($C1575-$C1574)&gt;0),$C1575-$C1574,0))</f>
        <v>0</v>
      </c>
      <c r="AF1575">
        <f>IF(OR($E1575="",$E1574=""),"",IF(AND(($D1574-$D1575)&gt;($C1575-$C1574),($D1574-$D1575)&gt;0),$D1574-$D1575,0))</f>
        <v>0</v>
      </c>
      <c r="AG1575">
        <f>IF(COUNT($E$2:$E1575)&lt;15,"",IF(SUM($AC$1562:$AC$1575)=0,0,100*SUM($AE$1562:$AE$1575)/SUM($AC$1562:$AC$1575)))</f>
        <v>0</v>
      </c>
      <c r="AH1575">
        <f>IF(COUNT($E$2:$E1575)&lt;15,"",IF(SUM($AC$1562:$AC$1575)=0,0,100*SUM($AF$1562:$AF$1575)/SUM($AC$1562:$AC$1575)))</f>
        <v>0</v>
      </c>
      <c r="AI1575">
        <f>IF(OR(AG1575="",AH1575=""),"",IF((AG1575+AH1575)=0,0,100*ABS(AG1575-AH1575)/(AG1575+AH1575)))</f>
        <v>0</v>
      </c>
      <c r="AJ1575">
        <f>IF(COUNT($AI$1562:$AI$1575)&lt;14,"",AVERAGE($AI$1562:$AI$1575))</f>
        <v>0</v>
      </c>
      <c r="AK1575">
        <f>IF(COUNT($E$2:$E1575)&lt;20,"",AVERAGE($E$1556:$E$1575))</f>
        <v>0</v>
      </c>
      <c r="AL1575">
        <f>IF(COUNT($E$2:$E1575)&lt;20,"",STDEVP($E$1556:$E$1575))</f>
        <v>0</v>
      </c>
      <c r="AM1575">
        <f>IF(AK1575="","",AK1575+2*AL1575)</f>
        <v>0</v>
      </c>
      <c r="AN1575">
        <f>IF(AK1575="","",AK1575-2*AL1575)</f>
        <v>0</v>
      </c>
      <c r="AO1575">
        <f>IF(OR(AM1575="",AN1575="",AM1575=AN1575),"",($E1575-AN1575)/(AM1575-AN1575))</f>
        <v>0</v>
      </c>
      <c r="AP1575">
        <f>IF(OR(AM1575="",AK1575="",AK1575=0),"",(AM1575-AN1575)/AK1575)</f>
        <v>0</v>
      </c>
      <c r="AQ1575">
        <f>IF(COUNT($E$2:$E1575)&lt;20,"",MAX($C$1556:$C$1575))</f>
        <v>0</v>
      </c>
      <c r="AR1575">
        <f>IF(COUNT($E$2:$E1575)&lt;20,"",MIN($D$1556:$D$1575))</f>
        <v>0</v>
      </c>
      <c r="AS1575">
        <f>IF(OR(AQ1575="",AR1575=""),"",(AQ1575+AR1575)/2)</f>
        <v>0</v>
      </c>
      <c r="AT1575">
        <f>IF(COUNT($G$1556:$G$1575)&lt;20,"",STDEV($G$1556:$G$1575)*SQRT(252))</f>
        <v>0</v>
      </c>
      <c r="AU1575">
        <f>IF(COUNT($E$2:$E1575)&lt;9,"",(MAX($C$1567:$C$1575)+MIN($D$1567:$D$1575))/2)</f>
        <v>0</v>
      </c>
      <c r="AV1575">
        <f>IF(COUNT($E$2:$E1575)&lt;26,"",(MAX($C$1550:$C$1575)+MIN($D$1550:$D$1575))/2)</f>
        <v>0</v>
      </c>
      <c r="AW1575">
        <f>IF(OR(AU1575="",AV1575=""),"",(AU1575+AV1575)/2)</f>
        <v>0</v>
      </c>
      <c r="AX1575">
        <f>IF(COUNT($E$2:$E1575)&lt;52,"",(MAX($C$1524:$C$1575)+MIN($D$1524:$D$1575))/2)</f>
        <v>0</v>
      </c>
      <c r="AY1575">
        <f>IF(COUNT($E$2:$E1575)&lt;20,"",MAX($C$1476:$C$1575))</f>
        <v>0</v>
      </c>
      <c r="AZ1575">
        <f>IF(COUNT($E$2:$E1575)&lt;20,"",MIN($D$1476:$D$1575))</f>
        <v>0</v>
      </c>
      <c r="BA1575">
        <f>IF(COUNT($E$2:$E1575)&lt;20,"",SLOPE($E$1476:$E$1575,$F$1476:$F$1575))</f>
        <v>0</v>
      </c>
      <c r="BB1575">
        <f>IF(COUNT($E$2:$E1575)&lt;20,"",INTERCEPT($E$1476:$E$1575,$F$1476:$F$1575))</f>
        <v>0</v>
      </c>
      <c r="BC1575">
        <f>IF(OR(BA1575="",BB1575=""),"",BB1575+BA1575*F1575)</f>
        <v>0</v>
      </c>
      <c r="BD1575">
        <f>IF(COUNT($E$2:$E1575)&lt;20,"",STEYX($E$1476:$E$1575,$F$1476:$F$1575))</f>
        <v>0</v>
      </c>
      <c r="BE1575">
        <f>IF($E1575="","",IF(AND(COUNT($E$1576:$E$1579)&gt;=4,$C1575=MAX($C$1571:$C$1579)),$C1575,""))</f>
        <v>0</v>
      </c>
      <c r="BF1575">
        <f>IF($E1575="","",IF(AND(COUNT($E$1576:$E$1579)&gt;=4,$D1575=MIN($D$1571:$D$1579)),$D1575,""))</f>
        <v>0</v>
      </c>
      <c r="BG1575">
        <f>IF($A1575="","",$A1575-WEEKDAY($A1575,2)+1)</f>
        <v>0</v>
      </c>
      <c r="BH1575">
        <f>IF($A1575="","",IF($A1574="",1,IF(BG1575&lt;&gt;BG1574,1,0)))</f>
        <v>0</v>
      </c>
      <c r="BI1575">
        <f>IF($A1575="","",IF($A1576="",1,IF(BG1576&lt;&gt;BG1575,1,0)))</f>
        <v>0</v>
      </c>
      <c r="BJ1575">
        <f>IF($A1575="","",IF(BH1575=1,$B1575,BJ1574))</f>
        <v>0</v>
      </c>
      <c r="BK1575">
        <f>IF($A1575="","",IF(BH1575=1,$C1575,MAX($C1575,BK1574)))</f>
        <v>0</v>
      </c>
      <c r="BL1575">
        <f>IF($A1575="","",IF(BH1575=1,$D1575,MIN($D1575,BL1574)))</f>
        <v>0</v>
      </c>
      <c r="BM1575">
        <f>IF($A1575="","",IF(BI1575=1,F1575,""))</f>
        <v>0</v>
      </c>
      <c r="BN1575">
        <f>IF($A1575="","",DATE(YEAR($A1575),MONTH($A1575),1))</f>
        <v>0</v>
      </c>
      <c r="BO1575">
        <f>IF($A1575="","",IF($A1574="",1,IF(BN1575&lt;&gt;BN1574,1,0)))</f>
        <v>0</v>
      </c>
      <c r="BP1575">
        <f>IF($A1575="","",IF($A1576="",1,IF(BN1576&lt;&gt;BN1575,1,0)))</f>
        <v>0</v>
      </c>
      <c r="BQ1575">
        <f>IF($A1575="","",IF(BO1575=1,$B1575,BQ1574))</f>
        <v>0</v>
      </c>
      <c r="BR1575">
        <f>IF($A1575="","",IF(BO1575=1,$C1575,MAX($C1575,BR1574)))</f>
        <v>0</v>
      </c>
      <c r="BS1575">
        <f>IF($A1575="","",IF(BO1575=1,$D1575,MIN($D1575,BS1574)))</f>
        <v>0</v>
      </c>
      <c r="BT1575">
        <f>IF($A1575="","",IF(BP1575=1,F1575,""))</f>
        <v>0</v>
      </c>
    </row>
    <row r="1576" spans="1:72">
      <c r="A1576" s="27">
        <f>IF(Data!$A1576="","",Data!$A1576)</f>
        <v>0</v>
      </c>
      <c r="B1576">
        <f>IF(Data!$B1576="","",Data!$B1576)</f>
        <v>0</v>
      </c>
      <c r="C1576">
        <f>IF(Data!$C1576="","",Data!$C1576)</f>
        <v>0</v>
      </c>
      <c r="D1576">
        <f>IF(Data!$D1576="","",Data!$D1576)</f>
        <v>0</v>
      </c>
      <c r="E1576">
        <f>IF(Data!$E1576="","",Data!$E1576)</f>
        <v>0</v>
      </c>
      <c r="F1576">
        <f>IF($E1576="","",N(F1575)+1)</f>
        <v>0</v>
      </c>
      <c r="G1576">
        <f>IF(OR($E1576="",$E1575=""),"",LN($E1576/$E1575))</f>
        <v>0</v>
      </c>
      <c r="H1576">
        <f>IF($E1576="","",IF($E1575="",$E1576,$E1576*0.0952380952+H1575*0.9047619048))</f>
        <v>0</v>
      </c>
      <c r="I1576">
        <f>IF($E1576="","",IF($E1575="",$E1576,$E1576*0.0392156863+I1575*0.9607843137))</f>
        <v>0</v>
      </c>
      <c r="J1576">
        <f>IF($E1576="","",IF($E1575="",$E1576,$E1576*0.0198019802+J1575*0.9801980198))</f>
        <v>0</v>
      </c>
      <c r="K1576">
        <f>IF($E1576="","",IF($E1575="",$E1576,$E1576*0.0099502488+K1575*0.9900497512))</f>
        <v>0</v>
      </c>
      <c r="L1576">
        <f>IF(OR($E1576="",$E1575=""),"",MAX($E1576-$E1575,0))</f>
        <v>0</v>
      </c>
      <c r="M1576">
        <f>IF(OR($E1576="",$E1575=""),"",MAX($E1575-$E1576,0))</f>
        <v>0</v>
      </c>
      <c r="N1576">
        <f>IF(COUNT($E$2:$E1576)&lt;15,"",IF(AVERAGE($M$1563:$M$1576)=0,100,100-100/(1+AVERAGE($L$1563:$L$1576)/AVERAGE($M$1563:$M$1576))))</f>
        <v>0</v>
      </c>
      <c r="O1576">
        <f>IF($E1576="","",IF($E1575="",$E1576,$E1576*0.1538461538+O1575*0.8461538462))</f>
        <v>0</v>
      </c>
      <c r="P1576">
        <f>IF($E1576="","",IF($E1575="",$E1576,$E1576*0.0740740741+P1575*0.9259259259))</f>
        <v>0</v>
      </c>
      <c r="Q1576">
        <f>IF(OR(O1576="",P1576=""),"",O1576-P1576)</f>
        <v>0</v>
      </c>
      <c r="R1576">
        <f>IF(Q1576="","",IF(R1575="",Q1576,Q1576*0.2000000000+R1575*0.8000000000))</f>
        <v>0</v>
      </c>
      <c r="S1576">
        <f>IF(OR(Q1576="",R1576=""),"",Q1576-R1576)</f>
        <v>0</v>
      </c>
      <c r="T1576">
        <f>IF(COUNT($E$2:$E1576)&lt;14,"",MAX($C$1563:$C$1576))</f>
        <v>0</v>
      </c>
      <c r="U1576">
        <f>IF(COUNT($E$2:$E1576)&lt;14,"",MIN($D$1563:$D$1576))</f>
        <v>0</v>
      </c>
      <c r="V1576">
        <f>IF(OR(T1576="",U1576="",T1576=U1576),"",100*($E1576-U1576)/(T1576-U1576))</f>
        <v>0</v>
      </c>
      <c r="W1576">
        <f>IF(COUNT($V$1574:$V$1576)&lt;3,"",AVERAGE($V$1574:$V$1576))</f>
        <v>0</v>
      </c>
      <c r="X1576">
        <f>IF(COUNT($N$1563:$N$1576)&lt;14,"",MIN($N$1563:$N$1576))</f>
        <v>0</v>
      </c>
      <c r="Y1576">
        <f>IF(COUNT($N$1563:$N$1576)&lt;14,"",MAX($N$1563:$N$1576))</f>
        <v>0</v>
      </c>
      <c r="Z1576">
        <f>IF(OR(N1576="",X1576="",Y1576="",Y1576=X1576),"",100*(N1576-X1576)/(Y1576-X1576))</f>
        <v>0</v>
      </c>
      <c r="AA1576">
        <f>IF(COUNT($Z$1574:$Z$1576)&lt;3,"",AVERAGE($Z$1574:$Z$1576))</f>
        <v>0</v>
      </c>
      <c r="AB1576">
        <f>IF(COUNT($AA$1574:$AA$1576)&lt;3,"",AVERAGE($AA$1574:$AA$1576))</f>
        <v>0</v>
      </c>
      <c r="AC1576">
        <f>IF($E1576="","",MAX($C1576-$D1576,ABS($C1576-$E1575),ABS($D1576-$E1575)))</f>
        <v>0</v>
      </c>
      <c r="AD1576">
        <f>IF(COUNT($E$2:$E1576)&lt;15,"",AVERAGE($AC$1563:$AC$1576))</f>
        <v>0</v>
      </c>
      <c r="AE1576">
        <f>IF(OR($E1576="",$E1575=""),"",IF(AND(($C1576-$C1575)&gt;($D1575-$D1576),($C1576-$C1575)&gt;0),$C1576-$C1575,0))</f>
        <v>0</v>
      </c>
      <c r="AF1576">
        <f>IF(OR($E1576="",$E1575=""),"",IF(AND(($D1575-$D1576)&gt;($C1576-$C1575),($D1575-$D1576)&gt;0),$D1575-$D1576,0))</f>
        <v>0</v>
      </c>
      <c r="AG1576">
        <f>IF(COUNT($E$2:$E1576)&lt;15,"",IF(SUM($AC$1563:$AC$1576)=0,0,100*SUM($AE$1563:$AE$1576)/SUM($AC$1563:$AC$1576)))</f>
        <v>0</v>
      </c>
      <c r="AH1576">
        <f>IF(COUNT($E$2:$E1576)&lt;15,"",IF(SUM($AC$1563:$AC$1576)=0,0,100*SUM($AF$1563:$AF$1576)/SUM($AC$1563:$AC$1576)))</f>
        <v>0</v>
      </c>
      <c r="AI1576">
        <f>IF(OR(AG1576="",AH1576=""),"",IF((AG1576+AH1576)=0,0,100*ABS(AG1576-AH1576)/(AG1576+AH1576)))</f>
        <v>0</v>
      </c>
      <c r="AJ1576">
        <f>IF(COUNT($AI$1563:$AI$1576)&lt;14,"",AVERAGE($AI$1563:$AI$1576))</f>
        <v>0</v>
      </c>
      <c r="AK1576">
        <f>IF(COUNT($E$2:$E1576)&lt;20,"",AVERAGE($E$1557:$E$1576))</f>
        <v>0</v>
      </c>
      <c r="AL1576">
        <f>IF(COUNT($E$2:$E1576)&lt;20,"",STDEVP($E$1557:$E$1576))</f>
        <v>0</v>
      </c>
      <c r="AM1576">
        <f>IF(AK1576="","",AK1576+2*AL1576)</f>
        <v>0</v>
      </c>
      <c r="AN1576">
        <f>IF(AK1576="","",AK1576-2*AL1576)</f>
        <v>0</v>
      </c>
      <c r="AO1576">
        <f>IF(OR(AM1576="",AN1576="",AM1576=AN1576),"",($E1576-AN1576)/(AM1576-AN1576))</f>
        <v>0</v>
      </c>
      <c r="AP1576">
        <f>IF(OR(AM1576="",AK1576="",AK1576=0),"",(AM1576-AN1576)/AK1576)</f>
        <v>0</v>
      </c>
      <c r="AQ1576">
        <f>IF(COUNT($E$2:$E1576)&lt;20,"",MAX($C$1557:$C$1576))</f>
        <v>0</v>
      </c>
      <c r="AR1576">
        <f>IF(COUNT($E$2:$E1576)&lt;20,"",MIN($D$1557:$D$1576))</f>
        <v>0</v>
      </c>
      <c r="AS1576">
        <f>IF(OR(AQ1576="",AR1576=""),"",(AQ1576+AR1576)/2)</f>
        <v>0</v>
      </c>
      <c r="AT1576">
        <f>IF(COUNT($G$1557:$G$1576)&lt;20,"",STDEV($G$1557:$G$1576)*SQRT(252))</f>
        <v>0</v>
      </c>
      <c r="AU1576">
        <f>IF(COUNT($E$2:$E1576)&lt;9,"",(MAX($C$1568:$C$1576)+MIN($D$1568:$D$1576))/2)</f>
        <v>0</v>
      </c>
      <c r="AV1576">
        <f>IF(COUNT($E$2:$E1576)&lt;26,"",(MAX($C$1551:$C$1576)+MIN($D$1551:$D$1576))/2)</f>
        <v>0</v>
      </c>
      <c r="AW1576">
        <f>IF(OR(AU1576="",AV1576=""),"",(AU1576+AV1576)/2)</f>
        <v>0</v>
      </c>
      <c r="AX1576">
        <f>IF(COUNT($E$2:$E1576)&lt;52,"",(MAX($C$1525:$C$1576)+MIN($D$1525:$D$1576))/2)</f>
        <v>0</v>
      </c>
      <c r="AY1576">
        <f>IF(COUNT($E$2:$E1576)&lt;20,"",MAX($C$1477:$C$1576))</f>
        <v>0</v>
      </c>
      <c r="AZ1576">
        <f>IF(COUNT($E$2:$E1576)&lt;20,"",MIN($D$1477:$D$1576))</f>
        <v>0</v>
      </c>
      <c r="BA1576">
        <f>IF(COUNT($E$2:$E1576)&lt;20,"",SLOPE($E$1477:$E$1576,$F$1477:$F$1576))</f>
        <v>0</v>
      </c>
      <c r="BB1576">
        <f>IF(COUNT($E$2:$E1576)&lt;20,"",INTERCEPT($E$1477:$E$1576,$F$1477:$F$1576))</f>
        <v>0</v>
      </c>
      <c r="BC1576">
        <f>IF(OR(BA1576="",BB1576=""),"",BB1576+BA1576*F1576)</f>
        <v>0</v>
      </c>
      <c r="BD1576">
        <f>IF(COUNT($E$2:$E1576)&lt;20,"",STEYX($E$1477:$E$1576,$F$1477:$F$1576))</f>
        <v>0</v>
      </c>
      <c r="BE1576">
        <f>IF($E1576="","",IF(AND(COUNT($E$1577:$E$1580)&gt;=4,$C1576=MAX($C$1572:$C$1580)),$C1576,""))</f>
        <v>0</v>
      </c>
      <c r="BF1576">
        <f>IF($E1576="","",IF(AND(COUNT($E$1577:$E$1580)&gt;=4,$D1576=MIN($D$1572:$D$1580)),$D1576,""))</f>
        <v>0</v>
      </c>
      <c r="BG1576">
        <f>IF($A1576="","",$A1576-WEEKDAY($A1576,2)+1)</f>
        <v>0</v>
      </c>
      <c r="BH1576">
        <f>IF($A1576="","",IF($A1575="",1,IF(BG1576&lt;&gt;BG1575,1,0)))</f>
        <v>0</v>
      </c>
      <c r="BI1576">
        <f>IF($A1576="","",IF($A1577="",1,IF(BG1577&lt;&gt;BG1576,1,0)))</f>
        <v>0</v>
      </c>
      <c r="BJ1576">
        <f>IF($A1576="","",IF(BH1576=1,$B1576,BJ1575))</f>
        <v>0</v>
      </c>
      <c r="BK1576">
        <f>IF($A1576="","",IF(BH1576=1,$C1576,MAX($C1576,BK1575)))</f>
        <v>0</v>
      </c>
      <c r="BL1576">
        <f>IF($A1576="","",IF(BH1576=1,$D1576,MIN($D1576,BL1575)))</f>
        <v>0</v>
      </c>
      <c r="BM1576">
        <f>IF($A1576="","",IF(BI1576=1,F1576,""))</f>
        <v>0</v>
      </c>
      <c r="BN1576">
        <f>IF($A1576="","",DATE(YEAR($A1576),MONTH($A1576),1))</f>
        <v>0</v>
      </c>
      <c r="BO1576">
        <f>IF($A1576="","",IF($A1575="",1,IF(BN1576&lt;&gt;BN1575,1,0)))</f>
        <v>0</v>
      </c>
      <c r="BP1576">
        <f>IF($A1576="","",IF($A1577="",1,IF(BN1577&lt;&gt;BN1576,1,0)))</f>
        <v>0</v>
      </c>
      <c r="BQ1576">
        <f>IF($A1576="","",IF(BO1576=1,$B1576,BQ1575))</f>
        <v>0</v>
      </c>
      <c r="BR1576">
        <f>IF($A1576="","",IF(BO1576=1,$C1576,MAX($C1576,BR1575)))</f>
        <v>0</v>
      </c>
      <c r="BS1576">
        <f>IF($A1576="","",IF(BO1576=1,$D1576,MIN($D1576,BS1575)))</f>
        <v>0</v>
      </c>
      <c r="BT1576">
        <f>IF($A1576="","",IF(BP1576=1,F1576,""))</f>
        <v>0</v>
      </c>
    </row>
    <row r="1577" spans="1:72">
      <c r="A1577" s="27">
        <f>IF(Data!$A1577="","",Data!$A1577)</f>
        <v>0</v>
      </c>
      <c r="B1577">
        <f>IF(Data!$B1577="","",Data!$B1577)</f>
        <v>0</v>
      </c>
      <c r="C1577">
        <f>IF(Data!$C1577="","",Data!$C1577)</f>
        <v>0</v>
      </c>
      <c r="D1577">
        <f>IF(Data!$D1577="","",Data!$D1577)</f>
        <v>0</v>
      </c>
      <c r="E1577">
        <f>IF(Data!$E1577="","",Data!$E1577)</f>
        <v>0</v>
      </c>
      <c r="F1577">
        <f>IF($E1577="","",N(F1576)+1)</f>
        <v>0</v>
      </c>
      <c r="G1577">
        <f>IF(OR($E1577="",$E1576=""),"",LN($E1577/$E1576))</f>
        <v>0</v>
      </c>
      <c r="H1577">
        <f>IF($E1577="","",IF($E1576="",$E1577,$E1577*0.0952380952+H1576*0.9047619048))</f>
        <v>0</v>
      </c>
      <c r="I1577">
        <f>IF($E1577="","",IF($E1576="",$E1577,$E1577*0.0392156863+I1576*0.9607843137))</f>
        <v>0</v>
      </c>
      <c r="J1577">
        <f>IF($E1577="","",IF($E1576="",$E1577,$E1577*0.0198019802+J1576*0.9801980198))</f>
        <v>0</v>
      </c>
      <c r="K1577">
        <f>IF($E1577="","",IF($E1576="",$E1577,$E1577*0.0099502488+K1576*0.9900497512))</f>
        <v>0</v>
      </c>
      <c r="L1577">
        <f>IF(OR($E1577="",$E1576=""),"",MAX($E1577-$E1576,0))</f>
        <v>0</v>
      </c>
      <c r="M1577">
        <f>IF(OR($E1577="",$E1576=""),"",MAX($E1576-$E1577,0))</f>
        <v>0</v>
      </c>
      <c r="N1577">
        <f>IF(COUNT($E$2:$E1577)&lt;15,"",IF(AVERAGE($M$1564:$M$1577)=0,100,100-100/(1+AVERAGE($L$1564:$L$1577)/AVERAGE($M$1564:$M$1577))))</f>
        <v>0</v>
      </c>
      <c r="O1577">
        <f>IF($E1577="","",IF($E1576="",$E1577,$E1577*0.1538461538+O1576*0.8461538462))</f>
        <v>0</v>
      </c>
      <c r="P1577">
        <f>IF($E1577="","",IF($E1576="",$E1577,$E1577*0.0740740741+P1576*0.9259259259))</f>
        <v>0</v>
      </c>
      <c r="Q1577">
        <f>IF(OR(O1577="",P1577=""),"",O1577-P1577)</f>
        <v>0</v>
      </c>
      <c r="R1577">
        <f>IF(Q1577="","",IF(R1576="",Q1577,Q1577*0.2000000000+R1576*0.8000000000))</f>
        <v>0</v>
      </c>
      <c r="S1577">
        <f>IF(OR(Q1577="",R1577=""),"",Q1577-R1577)</f>
        <v>0</v>
      </c>
      <c r="T1577">
        <f>IF(COUNT($E$2:$E1577)&lt;14,"",MAX($C$1564:$C$1577))</f>
        <v>0</v>
      </c>
      <c r="U1577">
        <f>IF(COUNT($E$2:$E1577)&lt;14,"",MIN($D$1564:$D$1577))</f>
        <v>0</v>
      </c>
      <c r="V1577">
        <f>IF(OR(T1577="",U1577="",T1577=U1577),"",100*($E1577-U1577)/(T1577-U1577))</f>
        <v>0</v>
      </c>
      <c r="W1577">
        <f>IF(COUNT($V$1575:$V$1577)&lt;3,"",AVERAGE($V$1575:$V$1577))</f>
        <v>0</v>
      </c>
      <c r="X1577">
        <f>IF(COUNT($N$1564:$N$1577)&lt;14,"",MIN($N$1564:$N$1577))</f>
        <v>0</v>
      </c>
      <c r="Y1577">
        <f>IF(COUNT($N$1564:$N$1577)&lt;14,"",MAX($N$1564:$N$1577))</f>
        <v>0</v>
      </c>
      <c r="Z1577">
        <f>IF(OR(N1577="",X1577="",Y1577="",Y1577=X1577),"",100*(N1577-X1577)/(Y1577-X1577))</f>
        <v>0</v>
      </c>
      <c r="AA1577">
        <f>IF(COUNT($Z$1575:$Z$1577)&lt;3,"",AVERAGE($Z$1575:$Z$1577))</f>
        <v>0</v>
      </c>
      <c r="AB1577">
        <f>IF(COUNT($AA$1575:$AA$1577)&lt;3,"",AVERAGE($AA$1575:$AA$1577))</f>
        <v>0</v>
      </c>
      <c r="AC1577">
        <f>IF($E1577="","",MAX($C1577-$D1577,ABS($C1577-$E1576),ABS($D1577-$E1576)))</f>
        <v>0</v>
      </c>
      <c r="AD1577">
        <f>IF(COUNT($E$2:$E1577)&lt;15,"",AVERAGE($AC$1564:$AC$1577))</f>
        <v>0</v>
      </c>
      <c r="AE1577">
        <f>IF(OR($E1577="",$E1576=""),"",IF(AND(($C1577-$C1576)&gt;($D1576-$D1577),($C1577-$C1576)&gt;0),$C1577-$C1576,0))</f>
        <v>0</v>
      </c>
      <c r="AF1577">
        <f>IF(OR($E1577="",$E1576=""),"",IF(AND(($D1576-$D1577)&gt;($C1577-$C1576),($D1576-$D1577)&gt;0),$D1576-$D1577,0))</f>
        <v>0</v>
      </c>
      <c r="AG1577">
        <f>IF(COUNT($E$2:$E1577)&lt;15,"",IF(SUM($AC$1564:$AC$1577)=0,0,100*SUM($AE$1564:$AE$1577)/SUM($AC$1564:$AC$1577)))</f>
        <v>0</v>
      </c>
      <c r="AH1577">
        <f>IF(COUNT($E$2:$E1577)&lt;15,"",IF(SUM($AC$1564:$AC$1577)=0,0,100*SUM($AF$1564:$AF$1577)/SUM($AC$1564:$AC$1577)))</f>
        <v>0</v>
      </c>
      <c r="AI1577">
        <f>IF(OR(AG1577="",AH1577=""),"",IF((AG1577+AH1577)=0,0,100*ABS(AG1577-AH1577)/(AG1577+AH1577)))</f>
        <v>0</v>
      </c>
      <c r="AJ1577">
        <f>IF(COUNT($AI$1564:$AI$1577)&lt;14,"",AVERAGE($AI$1564:$AI$1577))</f>
        <v>0</v>
      </c>
      <c r="AK1577">
        <f>IF(COUNT($E$2:$E1577)&lt;20,"",AVERAGE($E$1558:$E$1577))</f>
        <v>0</v>
      </c>
      <c r="AL1577">
        <f>IF(COUNT($E$2:$E1577)&lt;20,"",STDEVP($E$1558:$E$1577))</f>
        <v>0</v>
      </c>
      <c r="AM1577">
        <f>IF(AK1577="","",AK1577+2*AL1577)</f>
        <v>0</v>
      </c>
      <c r="AN1577">
        <f>IF(AK1577="","",AK1577-2*AL1577)</f>
        <v>0</v>
      </c>
      <c r="AO1577">
        <f>IF(OR(AM1577="",AN1577="",AM1577=AN1577),"",($E1577-AN1577)/(AM1577-AN1577))</f>
        <v>0</v>
      </c>
      <c r="AP1577">
        <f>IF(OR(AM1577="",AK1577="",AK1577=0),"",(AM1577-AN1577)/AK1577)</f>
        <v>0</v>
      </c>
      <c r="AQ1577">
        <f>IF(COUNT($E$2:$E1577)&lt;20,"",MAX($C$1558:$C$1577))</f>
        <v>0</v>
      </c>
      <c r="AR1577">
        <f>IF(COUNT($E$2:$E1577)&lt;20,"",MIN($D$1558:$D$1577))</f>
        <v>0</v>
      </c>
      <c r="AS1577">
        <f>IF(OR(AQ1577="",AR1577=""),"",(AQ1577+AR1577)/2)</f>
        <v>0</v>
      </c>
      <c r="AT1577">
        <f>IF(COUNT($G$1558:$G$1577)&lt;20,"",STDEV($G$1558:$G$1577)*SQRT(252))</f>
        <v>0</v>
      </c>
      <c r="AU1577">
        <f>IF(COUNT($E$2:$E1577)&lt;9,"",(MAX($C$1569:$C$1577)+MIN($D$1569:$D$1577))/2)</f>
        <v>0</v>
      </c>
      <c r="AV1577">
        <f>IF(COUNT($E$2:$E1577)&lt;26,"",(MAX($C$1552:$C$1577)+MIN($D$1552:$D$1577))/2)</f>
        <v>0</v>
      </c>
      <c r="AW1577">
        <f>IF(OR(AU1577="",AV1577=""),"",(AU1577+AV1577)/2)</f>
        <v>0</v>
      </c>
      <c r="AX1577">
        <f>IF(COUNT($E$2:$E1577)&lt;52,"",(MAX($C$1526:$C$1577)+MIN($D$1526:$D$1577))/2)</f>
        <v>0</v>
      </c>
      <c r="AY1577">
        <f>IF(COUNT($E$2:$E1577)&lt;20,"",MAX($C$1478:$C$1577))</f>
        <v>0</v>
      </c>
      <c r="AZ1577">
        <f>IF(COUNT($E$2:$E1577)&lt;20,"",MIN($D$1478:$D$1577))</f>
        <v>0</v>
      </c>
      <c r="BA1577">
        <f>IF(COUNT($E$2:$E1577)&lt;20,"",SLOPE($E$1478:$E$1577,$F$1478:$F$1577))</f>
        <v>0</v>
      </c>
      <c r="BB1577">
        <f>IF(COUNT($E$2:$E1577)&lt;20,"",INTERCEPT($E$1478:$E$1577,$F$1478:$F$1577))</f>
        <v>0</v>
      </c>
      <c r="BC1577">
        <f>IF(OR(BA1577="",BB1577=""),"",BB1577+BA1577*F1577)</f>
        <v>0</v>
      </c>
      <c r="BD1577">
        <f>IF(COUNT($E$2:$E1577)&lt;20,"",STEYX($E$1478:$E$1577,$F$1478:$F$1577))</f>
        <v>0</v>
      </c>
      <c r="BE1577">
        <f>IF($E1577="","",IF(AND(COUNT($E$1578:$E$1581)&gt;=4,$C1577=MAX($C$1573:$C$1581)),$C1577,""))</f>
        <v>0</v>
      </c>
      <c r="BF1577">
        <f>IF($E1577="","",IF(AND(COUNT($E$1578:$E$1581)&gt;=4,$D1577=MIN($D$1573:$D$1581)),$D1577,""))</f>
        <v>0</v>
      </c>
      <c r="BG1577">
        <f>IF($A1577="","",$A1577-WEEKDAY($A1577,2)+1)</f>
        <v>0</v>
      </c>
      <c r="BH1577">
        <f>IF($A1577="","",IF($A1576="",1,IF(BG1577&lt;&gt;BG1576,1,0)))</f>
        <v>0</v>
      </c>
      <c r="BI1577">
        <f>IF($A1577="","",IF($A1578="",1,IF(BG1578&lt;&gt;BG1577,1,0)))</f>
        <v>0</v>
      </c>
      <c r="BJ1577">
        <f>IF($A1577="","",IF(BH1577=1,$B1577,BJ1576))</f>
        <v>0</v>
      </c>
      <c r="BK1577">
        <f>IF($A1577="","",IF(BH1577=1,$C1577,MAX($C1577,BK1576)))</f>
        <v>0</v>
      </c>
      <c r="BL1577">
        <f>IF($A1577="","",IF(BH1577=1,$D1577,MIN($D1577,BL1576)))</f>
        <v>0</v>
      </c>
      <c r="BM1577">
        <f>IF($A1577="","",IF(BI1577=1,F1577,""))</f>
        <v>0</v>
      </c>
      <c r="BN1577">
        <f>IF($A1577="","",DATE(YEAR($A1577),MONTH($A1577),1))</f>
        <v>0</v>
      </c>
      <c r="BO1577">
        <f>IF($A1577="","",IF($A1576="",1,IF(BN1577&lt;&gt;BN1576,1,0)))</f>
        <v>0</v>
      </c>
      <c r="BP1577">
        <f>IF($A1577="","",IF($A1578="",1,IF(BN1578&lt;&gt;BN1577,1,0)))</f>
        <v>0</v>
      </c>
      <c r="BQ1577">
        <f>IF($A1577="","",IF(BO1577=1,$B1577,BQ1576))</f>
        <v>0</v>
      </c>
      <c r="BR1577">
        <f>IF($A1577="","",IF(BO1577=1,$C1577,MAX($C1577,BR1576)))</f>
        <v>0</v>
      </c>
      <c r="BS1577">
        <f>IF($A1577="","",IF(BO1577=1,$D1577,MIN($D1577,BS1576)))</f>
        <v>0</v>
      </c>
      <c r="BT1577">
        <f>IF($A1577="","",IF(BP1577=1,F1577,""))</f>
        <v>0</v>
      </c>
    </row>
    <row r="1578" spans="1:72">
      <c r="A1578" s="27">
        <f>IF(Data!$A1578="","",Data!$A1578)</f>
        <v>0</v>
      </c>
      <c r="B1578">
        <f>IF(Data!$B1578="","",Data!$B1578)</f>
        <v>0</v>
      </c>
      <c r="C1578">
        <f>IF(Data!$C1578="","",Data!$C1578)</f>
        <v>0</v>
      </c>
      <c r="D1578">
        <f>IF(Data!$D1578="","",Data!$D1578)</f>
        <v>0</v>
      </c>
      <c r="E1578">
        <f>IF(Data!$E1578="","",Data!$E1578)</f>
        <v>0</v>
      </c>
      <c r="F1578">
        <f>IF($E1578="","",N(F1577)+1)</f>
        <v>0</v>
      </c>
      <c r="G1578">
        <f>IF(OR($E1578="",$E1577=""),"",LN($E1578/$E1577))</f>
        <v>0</v>
      </c>
      <c r="H1578">
        <f>IF($E1578="","",IF($E1577="",$E1578,$E1578*0.0952380952+H1577*0.9047619048))</f>
        <v>0</v>
      </c>
      <c r="I1578">
        <f>IF($E1578="","",IF($E1577="",$E1578,$E1578*0.0392156863+I1577*0.9607843137))</f>
        <v>0</v>
      </c>
      <c r="J1578">
        <f>IF($E1578="","",IF($E1577="",$E1578,$E1578*0.0198019802+J1577*0.9801980198))</f>
        <v>0</v>
      </c>
      <c r="K1578">
        <f>IF($E1578="","",IF($E1577="",$E1578,$E1578*0.0099502488+K1577*0.9900497512))</f>
        <v>0</v>
      </c>
      <c r="L1578">
        <f>IF(OR($E1578="",$E1577=""),"",MAX($E1578-$E1577,0))</f>
        <v>0</v>
      </c>
      <c r="M1578">
        <f>IF(OR($E1578="",$E1577=""),"",MAX($E1577-$E1578,0))</f>
        <v>0</v>
      </c>
      <c r="N1578">
        <f>IF(COUNT($E$2:$E1578)&lt;15,"",IF(AVERAGE($M$1565:$M$1578)=0,100,100-100/(1+AVERAGE($L$1565:$L$1578)/AVERAGE($M$1565:$M$1578))))</f>
        <v>0</v>
      </c>
      <c r="O1578">
        <f>IF($E1578="","",IF($E1577="",$E1578,$E1578*0.1538461538+O1577*0.8461538462))</f>
        <v>0</v>
      </c>
      <c r="P1578">
        <f>IF($E1578="","",IF($E1577="",$E1578,$E1578*0.0740740741+P1577*0.9259259259))</f>
        <v>0</v>
      </c>
      <c r="Q1578">
        <f>IF(OR(O1578="",P1578=""),"",O1578-P1578)</f>
        <v>0</v>
      </c>
      <c r="R1578">
        <f>IF(Q1578="","",IF(R1577="",Q1578,Q1578*0.2000000000+R1577*0.8000000000))</f>
        <v>0</v>
      </c>
      <c r="S1578">
        <f>IF(OR(Q1578="",R1578=""),"",Q1578-R1578)</f>
        <v>0</v>
      </c>
      <c r="T1578">
        <f>IF(COUNT($E$2:$E1578)&lt;14,"",MAX($C$1565:$C$1578))</f>
        <v>0</v>
      </c>
      <c r="U1578">
        <f>IF(COUNT($E$2:$E1578)&lt;14,"",MIN($D$1565:$D$1578))</f>
        <v>0</v>
      </c>
      <c r="V1578">
        <f>IF(OR(T1578="",U1578="",T1578=U1578),"",100*($E1578-U1578)/(T1578-U1578))</f>
        <v>0</v>
      </c>
      <c r="W1578">
        <f>IF(COUNT($V$1576:$V$1578)&lt;3,"",AVERAGE($V$1576:$V$1578))</f>
        <v>0</v>
      </c>
      <c r="X1578">
        <f>IF(COUNT($N$1565:$N$1578)&lt;14,"",MIN($N$1565:$N$1578))</f>
        <v>0</v>
      </c>
      <c r="Y1578">
        <f>IF(COUNT($N$1565:$N$1578)&lt;14,"",MAX($N$1565:$N$1578))</f>
        <v>0</v>
      </c>
      <c r="Z1578">
        <f>IF(OR(N1578="",X1578="",Y1578="",Y1578=X1578),"",100*(N1578-X1578)/(Y1578-X1578))</f>
        <v>0</v>
      </c>
      <c r="AA1578">
        <f>IF(COUNT($Z$1576:$Z$1578)&lt;3,"",AVERAGE($Z$1576:$Z$1578))</f>
        <v>0</v>
      </c>
      <c r="AB1578">
        <f>IF(COUNT($AA$1576:$AA$1578)&lt;3,"",AVERAGE($AA$1576:$AA$1578))</f>
        <v>0</v>
      </c>
      <c r="AC1578">
        <f>IF($E1578="","",MAX($C1578-$D1578,ABS($C1578-$E1577),ABS($D1578-$E1577)))</f>
        <v>0</v>
      </c>
      <c r="AD1578">
        <f>IF(COUNT($E$2:$E1578)&lt;15,"",AVERAGE($AC$1565:$AC$1578))</f>
        <v>0</v>
      </c>
      <c r="AE1578">
        <f>IF(OR($E1578="",$E1577=""),"",IF(AND(($C1578-$C1577)&gt;($D1577-$D1578),($C1578-$C1577)&gt;0),$C1578-$C1577,0))</f>
        <v>0</v>
      </c>
      <c r="AF1578">
        <f>IF(OR($E1578="",$E1577=""),"",IF(AND(($D1577-$D1578)&gt;($C1578-$C1577),($D1577-$D1578)&gt;0),$D1577-$D1578,0))</f>
        <v>0</v>
      </c>
      <c r="AG1578">
        <f>IF(COUNT($E$2:$E1578)&lt;15,"",IF(SUM($AC$1565:$AC$1578)=0,0,100*SUM($AE$1565:$AE$1578)/SUM($AC$1565:$AC$1578)))</f>
        <v>0</v>
      </c>
      <c r="AH1578">
        <f>IF(COUNT($E$2:$E1578)&lt;15,"",IF(SUM($AC$1565:$AC$1578)=0,0,100*SUM($AF$1565:$AF$1578)/SUM($AC$1565:$AC$1578)))</f>
        <v>0</v>
      </c>
      <c r="AI1578">
        <f>IF(OR(AG1578="",AH1578=""),"",IF((AG1578+AH1578)=0,0,100*ABS(AG1578-AH1578)/(AG1578+AH1578)))</f>
        <v>0</v>
      </c>
      <c r="AJ1578">
        <f>IF(COUNT($AI$1565:$AI$1578)&lt;14,"",AVERAGE($AI$1565:$AI$1578))</f>
        <v>0</v>
      </c>
      <c r="AK1578">
        <f>IF(COUNT($E$2:$E1578)&lt;20,"",AVERAGE($E$1559:$E$1578))</f>
        <v>0</v>
      </c>
      <c r="AL1578">
        <f>IF(COUNT($E$2:$E1578)&lt;20,"",STDEVP($E$1559:$E$1578))</f>
        <v>0</v>
      </c>
      <c r="AM1578">
        <f>IF(AK1578="","",AK1578+2*AL1578)</f>
        <v>0</v>
      </c>
      <c r="AN1578">
        <f>IF(AK1578="","",AK1578-2*AL1578)</f>
        <v>0</v>
      </c>
      <c r="AO1578">
        <f>IF(OR(AM1578="",AN1578="",AM1578=AN1578),"",($E1578-AN1578)/(AM1578-AN1578))</f>
        <v>0</v>
      </c>
      <c r="AP1578">
        <f>IF(OR(AM1578="",AK1578="",AK1578=0),"",(AM1578-AN1578)/AK1578)</f>
        <v>0</v>
      </c>
      <c r="AQ1578">
        <f>IF(COUNT($E$2:$E1578)&lt;20,"",MAX($C$1559:$C$1578))</f>
        <v>0</v>
      </c>
      <c r="AR1578">
        <f>IF(COUNT($E$2:$E1578)&lt;20,"",MIN($D$1559:$D$1578))</f>
        <v>0</v>
      </c>
      <c r="AS1578">
        <f>IF(OR(AQ1578="",AR1578=""),"",(AQ1578+AR1578)/2)</f>
        <v>0</v>
      </c>
      <c r="AT1578">
        <f>IF(COUNT($G$1559:$G$1578)&lt;20,"",STDEV($G$1559:$G$1578)*SQRT(252))</f>
        <v>0</v>
      </c>
      <c r="AU1578">
        <f>IF(COUNT($E$2:$E1578)&lt;9,"",(MAX($C$1570:$C$1578)+MIN($D$1570:$D$1578))/2)</f>
        <v>0</v>
      </c>
      <c r="AV1578">
        <f>IF(COUNT($E$2:$E1578)&lt;26,"",(MAX($C$1553:$C$1578)+MIN($D$1553:$D$1578))/2)</f>
        <v>0</v>
      </c>
      <c r="AW1578">
        <f>IF(OR(AU1578="",AV1578=""),"",(AU1578+AV1578)/2)</f>
        <v>0</v>
      </c>
      <c r="AX1578">
        <f>IF(COUNT($E$2:$E1578)&lt;52,"",(MAX($C$1527:$C$1578)+MIN($D$1527:$D$1578))/2)</f>
        <v>0</v>
      </c>
      <c r="AY1578">
        <f>IF(COUNT($E$2:$E1578)&lt;20,"",MAX($C$1479:$C$1578))</f>
        <v>0</v>
      </c>
      <c r="AZ1578">
        <f>IF(COUNT($E$2:$E1578)&lt;20,"",MIN($D$1479:$D$1578))</f>
        <v>0</v>
      </c>
      <c r="BA1578">
        <f>IF(COUNT($E$2:$E1578)&lt;20,"",SLOPE($E$1479:$E$1578,$F$1479:$F$1578))</f>
        <v>0</v>
      </c>
      <c r="BB1578">
        <f>IF(COUNT($E$2:$E1578)&lt;20,"",INTERCEPT($E$1479:$E$1578,$F$1479:$F$1578))</f>
        <v>0</v>
      </c>
      <c r="BC1578">
        <f>IF(OR(BA1578="",BB1578=""),"",BB1578+BA1578*F1578)</f>
        <v>0</v>
      </c>
      <c r="BD1578">
        <f>IF(COUNT($E$2:$E1578)&lt;20,"",STEYX($E$1479:$E$1578,$F$1479:$F$1578))</f>
        <v>0</v>
      </c>
      <c r="BE1578">
        <f>IF($E1578="","",IF(AND(COUNT($E$1579:$E$1582)&gt;=4,$C1578=MAX($C$1574:$C$1582)),$C1578,""))</f>
        <v>0</v>
      </c>
      <c r="BF1578">
        <f>IF($E1578="","",IF(AND(COUNT($E$1579:$E$1582)&gt;=4,$D1578=MIN($D$1574:$D$1582)),$D1578,""))</f>
        <v>0</v>
      </c>
      <c r="BG1578">
        <f>IF($A1578="","",$A1578-WEEKDAY($A1578,2)+1)</f>
        <v>0</v>
      </c>
      <c r="BH1578">
        <f>IF($A1578="","",IF($A1577="",1,IF(BG1578&lt;&gt;BG1577,1,0)))</f>
        <v>0</v>
      </c>
      <c r="BI1578">
        <f>IF($A1578="","",IF($A1579="",1,IF(BG1579&lt;&gt;BG1578,1,0)))</f>
        <v>0</v>
      </c>
      <c r="BJ1578">
        <f>IF($A1578="","",IF(BH1578=1,$B1578,BJ1577))</f>
        <v>0</v>
      </c>
      <c r="BK1578">
        <f>IF($A1578="","",IF(BH1578=1,$C1578,MAX($C1578,BK1577)))</f>
        <v>0</v>
      </c>
      <c r="BL1578">
        <f>IF($A1578="","",IF(BH1578=1,$D1578,MIN($D1578,BL1577)))</f>
        <v>0</v>
      </c>
      <c r="BM1578">
        <f>IF($A1578="","",IF(BI1578=1,F1578,""))</f>
        <v>0</v>
      </c>
      <c r="BN1578">
        <f>IF($A1578="","",DATE(YEAR($A1578),MONTH($A1578),1))</f>
        <v>0</v>
      </c>
      <c r="BO1578">
        <f>IF($A1578="","",IF($A1577="",1,IF(BN1578&lt;&gt;BN1577,1,0)))</f>
        <v>0</v>
      </c>
      <c r="BP1578">
        <f>IF($A1578="","",IF($A1579="",1,IF(BN1579&lt;&gt;BN1578,1,0)))</f>
        <v>0</v>
      </c>
      <c r="BQ1578">
        <f>IF($A1578="","",IF(BO1578=1,$B1578,BQ1577))</f>
        <v>0</v>
      </c>
      <c r="BR1578">
        <f>IF($A1578="","",IF(BO1578=1,$C1578,MAX($C1578,BR1577)))</f>
        <v>0</v>
      </c>
      <c r="BS1578">
        <f>IF($A1578="","",IF(BO1578=1,$D1578,MIN($D1578,BS1577)))</f>
        <v>0</v>
      </c>
      <c r="BT1578">
        <f>IF($A1578="","",IF(BP1578=1,F1578,""))</f>
        <v>0</v>
      </c>
    </row>
    <row r="1579" spans="1:72">
      <c r="A1579" s="27">
        <f>IF(Data!$A1579="","",Data!$A1579)</f>
        <v>0</v>
      </c>
      <c r="B1579">
        <f>IF(Data!$B1579="","",Data!$B1579)</f>
        <v>0</v>
      </c>
      <c r="C1579">
        <f>IF(Data!$C1579="","",Data!$C1579)</f>
        <v>0</v>
      </c>
      <c r="D1579">
        <f>IF(Data!$D1579="","",Data!$D1579)</f>
        <v>0</v>
      </c>
      <c r="E1579">
        <f>IF(Data!$E1579="","",Data!$E1579)</f>
        <v>0</v>
      </c>
      <c r="F1579">
        <f>IF($E1579="","",N(F1578)+1)</f>
        <v>0</v>
      </c>
      <c r="G1579">
        <f>IF(OR($E1579="",$E1578=""),"",LN($E1579/$E1578))</f>
        <v>0</v>
      </c>
      <c r="H1579">
        <f>IF($E1579="","",IF($E1578="",$E1579,$E1579*0.0952380952+H1578*0.9047619048))</f>
        <v>0</v>
      </c>
      <c r="I1579">
        <f>IF($E1579="","",IF($E1578="",$E1579,$E1579*0.0392156863+I1578*0.9607843137))</f>
        <v>0</v>
      </c>
      <c r="J1579">
        <f>IF($E1579="","",IF($E1578="",$E1579,$E1579*0.0198019802+J1578*0.9801980198))</f>
        <v>0</v>
      </c>
      <c r="K1579">
        <f>IF($E1579="","",IF($E1578="",$E1579,$E1579*0.0099502488+K1578*0.9900497512))</f>
        <v>0</v>
      </c>
      <c r="L1579">
        <f>IF(OR($E1579="",$E1578=""),"",MAX($E1579-$E1578,0))</f>
        <v>0</v>
      </c>
      <c r="M1579">
        <f>IF(OR($E1579="",$E1578=""),"",MAX($E1578-$E1579,0))</f>
        <v>0</v>
      </c>
      <c r="N1579">
        <f>IF(COUNT($E$2:$E1579)&lt;15,"",IF(AVERAGE($M$1566:$M$1579)=0,100,100-100/(1+AVERAGE($L$1566:$L$1579)/AVERAGE($M$1566:$M$1579))))</f>
        <v>0</v>
      </c>
      <c r="O1579">
        <f>IF($E1579="","",IF($E1578="",$E1579,$E1579*0.1538461538+O1578*0.8461538462))</f>
        <v>0</v>
      </c>
      <c r="P1579">
        <f>IF($E1579="","",IF($E1578="",$E1579,$E1579*0.0740740741+P1578*0.9259259259))</f>
        <v>0</v>
      </c>
      <c r="Q1579">
        <f>IF(OR(O1579="",P1579=""),"",O1579-P1579)</f>
        <v>0</v>
      </c>
      <c r="R1579">
        <f>IF(Q1579="","",IF(R1578="",Q1579,Q1579*0.2000000000+R1578*0.8000000000))</f>
        <v>0</v>
      </c>
      <c r="S1579">
        <f>IF(OR(Q1579="",R1579=""),"",Q1579-R1579)</f>
        <v>0</v>
      </c>
      <c r="T1579">
        <f>IF(COUNT($E$2:$E1579)&lt;14,"",MAX($C$1566:$C$1579))</f>
        <v>0</v>
      </c>
      <c r="U1579">
        <f>IF(COUNT($E$2:$E1579)&lt;14,"",MIN($D$1566:$D$1579))</f>
        <v>0</v>
      </c>
      <c r="V1579">
        <f>IF(OR(T1579="",U1579="",T1579=U1579),"",100*($E1579-U1579)/(T1579-U1579))</f>
        <v>0</v>
      </c>
      <c r="W1579">
        <f>IF(COUNT($V$1577:$V$1579)&lt;3,"",AVERAGE($V$1577:$V$1579))</f>
        <v>0</v>
      </c>
      <c r="X1579">
        <f>IF(COUNT($N$1566:$N$1579)&lt;14,"",MIN($N$1566:$N$1579))</f>
        <v>0</v>
      </c>
      <c r="Y1579">
        <f>IF(COUNT($N$1566:$N$1579)&lt;14,"",MAX($N$1566:$N$1579))</f>
        <v>0</v>
      </c>
      <c r="Z1579">
        <f>IF(OR(N1579="",X1579="",Y1579="",Y1579=X1579),"",100*(N1579-X1579)/(Y1579-X1579))</f>
        <v>0</v>
      </c>
      <c r="AA1579">
        <f>IF(COUNT($Z$1577:$Z$1579)&lt;3,"",AVERAGE($Z$1577:$Z$1579))</f>
        <v>0</v>
      </c>
      <c r="AB1579">
        <f>IF(COUNT($AA$1577:$AA$1579)&lt;3,"",AVERAGE($AA$1577:$AA$1579))</f>
        <v>0</v>
      </c>
      <c r="AC1579">
        <f>IF($E1579="","",MAX($C1579-$D1579,ABS($C1579-$E1578),ABS($D1579-$E1578)))</f>
        <v>0</v>
      </c>
      <c r="AD1579">
        <f>IF(COUNT($E$2:$E1579)&lt;15,"",AVERAGE($AC$1566:$AC$1579))</f>
        <v>0</v>
      </c>
      <c r="AE1579">
        <f>IF(OR($E1579="",$E1578=""),"",IF(AND(($C1579-$C1578)&gt;($D1578-$D1579),($C1579-$C1578)&gt;0),$C1579-$C1578,0))</f>
        <v>0</v>
      </c>
      <c r="AF1579">
        <f>IF(OR($E1579="",$E1578=""),"",IF(AND(($D1578-$D1579)&gt;($C1579-$C1578),($D1578-$D1579)&gt;0),$D1578-$D1579,0))</f>
        <v>0</v>
      </c>
      <c r="AG1579">
        <f>IF(COUNT($E$2:$E1579)&lt;15,"",IF(SUM($AC$1566:$AC$1579)=0,0,100*SUM($AE$1566:$AE$1579)/SUM($AC$1566:$AC$1579)))</f>
        <v>0</v>
      </c>
      <c r="AH1579">
        <f>IF(COUNT($E$2:$E1579)&lt;15,"",IF(SUM($AC$1566:$AC$1579)=0,0,100*SUM($AF$1566:$AF$1579)/SUM($AC$1566:$AC$1579)))</f>
        <v>0</v>
      </c>
      <c r="AI1579">
        <f>IF(OR(AG1579="",AH1579=""),"",IF((AG1579+AH1579)=0,0,100*ABS(AG1579-AH1579)/(AG1579+AH1579)))</f>
        <v>0</v>
      </c>
      <c r="AJ1579">
        <f>IF(COUNT($AI$1566:$AI$1579)&lt;14,"",AVERAGE($AI$1566:$AI$1579))</f>
        <v>0</v>
      </c>
      <c r="AK1579">
        <f>IF(COUNT($E$2:$E1579)&lt;20,"",AVERAGE($E$1560:$E$1579))</f>
        <v>0</v>
      </c>
      <c r="AL1579">
        <f>IF(COUNT($E$2:$E1579)&lt;20,"",STDEVP($E$1560:$E$1579))</f>
        <v>0</v>
      </c>
      <c r="AM1579">
        <f>IF(AK1579="","",AK1579+2*AL1579)</f>
        <v>0</v>
      </c>
      <c r="AN1579">
        <f>IF(AK1579="","",AK1579-2*AL1579)</f>
        <v>0</v>
      </c>
      <c r="AO1579">
        <f>IF(OR(AM1579="",AN1579="",AM1579=AN1579),"",($E1579-AN1579)/(AM1579-AN1579))</f>
        <v>0</v>
      </c>
      <c r="AP1579">
        <f>IF(OR(AM1579="",AK1579="",AK1579=0),"",(AM1579-AN1579)/AK1579)</f>
        <v>0</v>
      </c>
      <c r="AQ1579">
        <f>IF(COUNT($E$2:$E1579)&lt;20,"",MAX($C$1560:$C$1579))</f>
        <v>0</v>
      </c>
      <c r="AR1579">
        <f>IF(COUNT($E$2:$E1579)&lt;20,"",MIN($D$1560:$D$1579))</f>
        <v>0</v>
      </c>
      <c r="AS1579">
        <f>IF(OR(AQ1579="",AR1579=""),"",(AQ1579+AR1579)/2)</f>
        <v>0</v>
      </c>
      <c r="AT1579">
        <f>IF(COUNT($G$1560:$G$1579)&lt;20,"",STDEV($G$1560:$G$1579)*SQRT(252))</f>
        <v>0</v>
      </c>
      <c r="AU1579">
        <f>IF(COUNT($E$2:$E1579)&lt;9,"",(MAX($C$1571:$C$1579)+MIN($D$1571:$D$1579))/2)</f>
        <v>0</v>
      </c>
      <c r="AV1579">
        <f>IF(COUNT($E$2:$E1579)&lt;26,"",(MAX($C$1554:$C$1579)+MIN($D$1554:$D$1579))/2)</f>
        <v>0</v>
      </c>
      <c r="AW1579">
        <f>IF(OR(AU1579="",AV1579=""),"",(AU1579+AV1579)/2)</f>
        <v>0</v>
      </c>
      <c r="AX1579">
        <f>IF(COUNT($E$2:$E1579)&lt;52,"",(MAX($C$1528:$C$1579)+MIN($D$1528:$D$1579))/2)</f>
        <v>0</v>
      </c>
      <c r="AY1579">
        <f>IF(COUNT($E$2:$E1579)&lt;20,"",MAX($C$1480:$C$1579))</f>
        <v>0</v>
      </c>
      <c r="AZ1579">
        <f>IF(COUNT($E$2:$E1579)&lt;20,"",MIN($D$1480:$D$1579))</f>
        <v>0</v>
      </c>
      <c r="BA1579">
        <f>IF(COUNT($E$2:$E1579)&lt;20,"",SLOPE($E$1480:$E$1579,$F$1480:$F$1579))</f>
        <v>0</v>
      </c>
      <c r="BB1579">
        <f>IF(COUNT($E$2:$E1579)&lt;20,"",INTERCEPT($E$1480:$E$1579,$F$1480:$F$1579))</f>
        <v>0</v>
      </c>
      <c r="BC1579">
        <f>IF(OR(BA1579="",BB1579=""),"",BB1579+BA1579*F1579)</f>
        <v>0</v>
      </c>
      <c r="BD1579">
        <f>IF(COUNT($E$2:$E1579)&lt;20,"",STEYX($E$1480:$E$1579,$F$1480:$F$1579))</f>
        <v>0</v>
      </c>
      <c r="BE1579">
        <f>IF($E1579="","",IF(AND(COUNT($E$1580:$E$1583)&gt;=4,$C1579=MAX($C$1575:$C$1583)),$C1579,""))</f>
        <v>0</v>
      </c>
      <c r="BF1579">
        <f>IF($E1579="","",IF(AND(COUNT($E$1580:$E$1583)&gt;=4,$D1579=MIN($D$1575:$D$1583)),$D1579,""))</f>
        <v>0</v>
      </c>
      <c r="BG1579">
        <f>IF($A1579="","",$A1579-WEEKDAY($A1579,2)+1)</f>
        <v>0</v>
      </c>
      <c r="BH1579">
        <f>IF($A1579="","",IF($A1578="",1,IF(BG1579&lt;&gt;BG1578,1,0)))</f>
        <v>0</v>
      </c>
      <c r="BI1579">
        <f>IF($A1579="","",IF($A1580="",1,IF(BG1580&lt;&gt;BG1579,1,0)))</f>
        <v>0</v>
      </c>
      <c r="BJ1579">
        <f>IF($A1579="","",IF(BH1579=1,$B1579,BJ1578))</f>
        <v>0</v>
      </c>
      <c r="BK1579">
        <f>IF($A1579="","",IF(BH1579=1,$C1579,MAX($C1579,BK1578)))</f>
        <v>0</v>
      </c>
      <c r="BL1579">
        <f>IF($A1579="","",IF(BH1579=1,$D1579,MIN($D1579,BL1578)))</f>
        <v>0</v>
      </c>
      <c r="BM1579">
        <f>IF($A1579="","",IF(BI1579=1,F1579,""))</f>
        <v>0</v>
      </c>
      <c r="BN1579">
        <f>IF($A1579="","",DATE(YEAR($A1579),MONTH($A1579),1))</f>
        <v>0</v>
      </c>
      <c r="BO1579">
        <f>IF($A1579="","",IF($A1578="",1,IF(BN1579&lt;&gt;BN1578,1,0)))</f>
        <v>0</v>
      </c>
      <c r="BP1579">
        <f>IF($A1579="","",IF($A1580="",1,IF(BN1580&lt;&gt;BN1579,1,0)))</f>
        <v>0</v>
      </c>
      <c r="BQ1579">
        <f>IF($A1579="","",IF(BO1579=1,$B1579,BQ1578))</f>
        <v>0</v>
      </c>
      <c r="BR1579">
        <f>IF($A1579="","",IF(BO1579=1,$C1579,MAX($C1579,BR1578)))</f>
        <v>0</v>
      </c>
      <c r="BS1579">
        <f>IF($A1579="","",IF(BO1579=1,$D1579,MIN($D1579,BS1578)))</f>
        <v>0</v>
      </c>
      <c r="BT1579">
        <f>IF($A1579="","",IF(BP1579=1,F1579,""))</f>
        <v>0</v>
      </c>
    </row>
    <row r="1580" spans="1:72">
      <c r="A1580" s="27">
        <f>IF(Data!$A1580="","",Data!$A1580)</f>
        <v>0</v>
      </c>
      <c r="B1580">
        <f>IF(Data!$B1580="","",Data!$B1580)</f>
        <v>0</v>
      </c>
      <c r="C1580">
        <f>IF(Data!$C1580="","",Data!$C1580)</f>
        <v>0</v>
      </c>
      <c r="D1580">
        <f>IF(Data!$D1580="","",Data!$D1580)</f>
        <v>0</v>
      </c>
      <c r="E1580">
        <f>IF(Data!$E1580="","",Data!$E1580)</f>
        <v>0</v>
      </c>
      <c r="F1580">
        <f>IF($E1580="","",N(F1579)+1)</f>
        <v>0</v>
      </c>
      <c r="G1580">
        <f>IF(OR($E1580="",$E1579=""),"",LN($E1580/$E1579))</f>
        <v>0</v>
      </c>
      <c r="H1580">
        <f>IF($E1580="","",IF($E1579="",$E1580,$E1580*0.0952380952+H1579*0.9047619048))</f>
        <v>0</v>
      </c>
      <c r="I1580">
        <f>IF($E1580="","",IF($E1579="",$E1580,$E1580*0.0392156863+I1579*0.9607843137))</f>
        <v>0</v>
      </c>
      <c r="J1580">
        <f>IF($E1580="","",IF($E1579="",$E1580,$E1580*0.0198019802+J1579*0.9801980198))</f>
        <v>0</v>
      </c>
      <c r="K1580">
        <f>IF($E1580="","",IF($E1579="",$E1580,$E1580*0.0099502488+K1579*0.9900497512))</f>
        <v>0</v>
      </c>
      <c r="L1580">
        <f>IF(OR($E1580="",$E1579=""),"",MAX($E1580-$E1579,0))</f>
        <v>0</v>
      </c>
      <c r="M1580">
        <f>IF(OR($E1580="",$E1579=""),"",MAX($E1579-$E1580,0))</f>
        <v>0</v>
      </c>
      <c r="N1580">
        <f>IF(COUNT($E$2:$E1580)&lt;15,"",IF(AVERAGE($M$1567:$M$1580)=0,100,100-100/(1+AVERAGE($L$1567:$L$1580)/AVERAGE($M$1567:$M$1580))))</f>
        <v>0</v>
      </c>
      <c r="O1580">
        <f>IF($E1580="","",IF($E1579="",$E1580,$E1580*0.1538461538+O1579*0.8461538462))</f>
        <v>0</v>
      </c>
      <c r="P1580">
        <f>IF($E1580="","",IF($E1579="",$E1580,$E1580*0.0740740741+P1579*0.9259259259))</f>
        <v>0</v>
      </c>
      <c r="Q1580">
        <f>IF(OR(O1580="",P1580=""),"",O1580-P1580)</f>
        <v>0</v>
      </c>
      <c r="R1580">
        <f>IF(Q1580="","",IF(R1579="",Q1580,Q1580*0.2000000000+R1579*0.8000000000))</f>
        <v>0</v>
      </c>
      <c r="S1580">
        <f>IF(OR(Q1580="",R1580=""),"",Q1580-R1580)</f>
        <v>0</v>
      </c>
      <c r="T1580">
        <f>IF(COUNT($E$2:$E1580)&lt;14,"",MAX($C$1567:$C$1580))</f>
        <v>0</v>
      </c>
      <c r="U1580">
        <f>IF(COUNT($E$2:$E1580)&lt;14,"",MIN($D$1567:$D$1580))</f>
        <v>0</v>
      </c>
      <c r="V1580">
        <f>IF(OR(T1580="",U1580="",T1580=U1580),"",100*($E1580-U1580)/(T1580-U1580))</f>
        <v>0</v>
      </c>
      <c r="W1580">
        <f>IF(COUNT($V$1578:$V$1580)&lt;3,"",AVERAGE($V$1578:$V$1580))</f>
        <v>0</v>
      </c>
      <c r="X1580">
        <f>IF(COUNT($N$1567:$N$1580)&lt;14,"",MIN($N$1567:$N$1580))</f>
        <v>0</v>
      </c>
      <c r="Y1580">
        <f>IF(COUNT($N$1567:$N$1580)&lt;14,"",MAX($N$1567:$N$1580))</f>
        <v>0</v>
      </c>
      <c r="Z1580">
        <f>IF(OR(N1580="",X1580="",Y1580="",Y1580=X1580),"",100*(N1580-X1580)/(Y1580-X1580))</f>
        <v>0</v>
      </c>
      <c r="AA1580">
        <f>IF(COUNT($Z$1578:$Z$1580)&lt;3,"",AVERAGE($Z$1578:$Z$1580))</f>
        <v>0</v>
      </c>
      <c r="AB1580">
        <f>IF(COUNT($AA$1578:$AA$1580)&lt;3,"",AVERAGE($AA$1578:$AA$1580))</f>
        <v>0</v>
      </c>
      <c r="AC1580">
        <f>IF($E1580="","",MAX($C1580-$D1580,ABS($C1580-$E1579),ABS($D1580-$E1579)))</f>
        <v>0</v>
      </c>
      <c r="AD1580">
        <f>IF(COUNT($E$2:$E1580)&lt;15,"",AVERAGE($AC$1567:$AC$1580))</f>
        <v>0</v>
      </c>
      <c r="AE1580">
        <f>IF(OR($E1580="",$E1579=""),"",IF(AND(($C1580-$C1579)&gt;($D1579-$D1580),($C1580-$C1579)&gt;0),$C1580-$C1579,0))</f>
        <v>0</v>
      </c>
      <c r="AF1580">
        <f>IF(OR($E1580="",$E1579=""),"",IF(AND(($D1579-$D1580)&gt;($C1580-$C1579),($D1579-$D1580)&gt;0),$D1579-$D1580,0))</f>
        <v>0</v>
      </c>
      <c r="AG1580">
        <f>IF(COUNT($E$2:$E1580)&lt;15,"",IF(SUM($AC$1567:$AC$1580)=0,0,100*SUM($AE$1567:$AE$1580)/SUM($AC$1567:$AC$1580)))</f>
        <v>0</v>
      </c>
      <c r="AH1580">
        <f>IF(COUNT($E$2:$E1580)&lt;15,"",IF(SUM($AC$1567:$AC$1580)=0,0,100*SUM($AF$1567:$AF$1580)/SUM($AC$1567:$AC$1580)))</f>
        <v>0</v>
      </c>
      <c r="AI1580">
        <f>IF(OR(AG1580="",AH1580=""),"",IF((AG1580+AH1580)=0,0,100*ABS(AG1580-AH1580)/(AG1580+AH1580)))</f>
        <v>0</v>
      </c>
      <c r="AJ1580">
        <f>IF(COUNT($AI$1567:$AI$1580)&lt;14,"",AVERAGE($AI$1567:$AI$1580))</f>
        <v>0</v>
      </c>
      <c r="AK1580">
        <f>IF(COUNT($E$2:$E1580)&lt;20,"",AVERAGE($E$1561:$E$1580))</f>
        <v>0</v>
      </c>
      <c r="AL1580">
        <f>IF(COUNT($E$2:$E1580)&lt;20,"",STDEVP($E$1561:$E$1580))</f>
        <v>0</v>
      </c>
      <c r="AM1580">
        <f>IF(AK1580="","",AK1580+2*AL1580)</f>
        <v>0</v>
      </c>
      <c r="AN1580">
        <f>IF(AK1580="","",AK1580-2*AL1580)</f>
        <v>0</v>
      </c>
      <c r="AO1580">
        <f>IF(OR(AM1580="",AN1580="",AM1580=AN1580),"",($E1580-AN1580)/(AM1580-AN1580))</f>
        <v>0</v>
      </c>
      <c r="AP1580">
        <f>IF(OR(AM1580="",AK1580="",AK1580=0),"",(AM1580-AN1580)/AK1580)</f>
        <v>0</v>
      </c>
      <c r="AQ1580">
        <f>IF(COUNT($E$2:$E1580)&lt;20,"",MAX($C$1561:$C$1580))</f>
        <v>0</v>
      </c>
      <c r="AR1580">
        <f>IF(COUNT($E$2:$E1580)&lt;20,"",MIN($D$1561:$D$1580))</f>
        <v>0</v>
      </c>
      <c r="AS1580">
        <f>IF(OR(AQ1580="",AR1580=""),"",(AQ1580+AR1580)/2)</f>
        <v>0</v>
      </c>
      <c r="AT1580">
        <f>IF(COUNT($G$1561:$G$1580)&lt;20,"",STDEV($G$1561:$G$1580)*SQRT(252))</f>
        <v>0</v>
      </c>
      <c r="AU1580">
        <f>IF(COUNT($E$2:$E1580)&lt;9,"",(MAX($C$1572:$C$1580)+MIN($D$1572:$D$1580))/2)</f>
        <v>0</v>
      </c>
      <c r="AV1580">
        <f>IF(COUNT($E$2:$E1580)&lt;26,"",(MAX($C$1555:$C$1580)+MIN($D$1555:$D$1580))/2)</f>
        <v>0</v>
      </c>
      <c r="AW1580">
        <f>IF(OR(AU1580="",AV1580=""),"",(AU1580+AV1580)/2)</f>
        <v>0</v>
      </c>
      <c r="AX1580">
        <f>IF(COUNT($E$2:$E1580)&lt;52,"",(MAX($C$1529:$C$1580)+MIN($D$1529:$D$1580))/2)</f>
        <v>0</v>
      </c>
      <c r="AY1580">
        <f>IF(COUNT($E$2:$E1580)&lt;20,"",MAX($C$1481:$C$1580))</f>
        <v>0</v>
      </c>
      <c r="AZ1580">
        <f>IF(COUNT($E$2:$E1580)&lt;20,"",MIN($D$1481:$D$1580))</f>
        <v>0</v>
      </c>
      <c r="BA1580">
        <f>IF(COUNT($E$2:$E1580)&lt;20,"",SLOPE($E$1481:$E$1580,$F$1481:$F$1580))</f>
        <v>0</v>
      </c>
      <c r="BB1580">
        <f>IF(COUNT($E$2:$E1580)&lt;20,"",INTERCEPT($E$1481:$E$1580,$F$1481:$F$1580))</f>
        <v>0</v>
      </c>
      <c r="BC1580">
        <f>IF(OR(BA1580="",BB1580=""),"",BB1580+BA1580*F1580)</f>
        <v>0</v>
      </c>
      <c r="BD1580">
        <f>IF(COUNT($E$2:$E1580)&lt;20,"",STEYX($E$1481:$E$1580,$F$1481:$F$1580))</f>
        <v>0</v>
      </c>
      <c r="BE1580">
        <f>IF($E1580="","",IF(AND(COUNT($E$1581:$E$1584)&gt;=4,$C1580=MAX($C$1576:$C$1584)),$C1580,""))</f>
        <v>0</v>
      </c>
      <c r="BF1580">
        <f>IF($E1580="","",IF(AND(COUNT($E$1581:$E$1584)&gt;=4,$D1580=MIN($D$1576:$D$1584)),$D1580,""))</f>
        <v>0</v>
      </c>
      <c r="BG1580">
        <f>IF($A1580="","",$A1580-WEEKDAY($A1580,2)+1)</f>
        <v>0</v>
      </c>
      <c r="BH1580">
        <f>IF($A1580="","",IF($A1579="",1,IF(BG1580&lt;&gt;BG1579,1,0)))</f>
        <v>0</v>
      </c>
      <c r="BI1580">
        <f>IF($A1580="","",IF($A1581="",1,IF(BG1581&lt;&gt;BG1580,1,0)))</f>
        <v>0</v>
      </c>
      <c r="BJ1580">
        <f>IF($A1580="","",IF(BH1580=1,$B1580,BJ1579))</f>
        <v>0</v>
      </c>
      <c r="BK1580">
        <f>IF($A1580="","",IF(BH1580=1,$C1580,MAX($C1580,BK1579)))</f>
        <v>0</v>
      </c>
      <c r="BL1580">
        <f>IF($A1580="","",IF(BH1580=1,$D1580,MIN($D1580,BL1579)))</f>
        <v>0</v>
      </c>
      <c r="BM1580">
        <f>IF($A1580="","",IF(BI1580=1,F1580,""))</f>
        <v>0</v>
      </c>
      <c r="BN1580">
        <f>IF($A1580="","",DATE(YEAR($A1580),MONTH($A1580),1))</f>
        <v>0</v>
      </c>
      <c r="BO1580">
        <f>IF($A1580="","",IF($A1579="",1,IF(BN1580&lt;&gt;BN1579,1,0)))</f>
        <v>0</v>
      </c>
      <c r="BP1580">
        <f>IF($A1580="","",IF($A1581="",1,IF(BN1581&lt;&gt;BN1580,1,0)))</f>
        <v>0</v>
      </c>
      <c r="BQ1580">
        <f>IF($A1580="","",IF(BO1580=1,$B1580,BQ1579))</f>
        <v>0</v>
      </c>
      <c r="BR1580">
        <f>IF($A1580="","",IF(BO1580=1,$C1580,MAX($C1580,BR1579)))</f>
        <v>0</v>
      </c>
      <c r="BS1580">
        <f>IF($A1580="","",IF(BO1580=1,$D1580,MIN($D1580,BS1579)))</f>
        <v>0</v>
      </c>
      <c r="BT1580">
        <f>IF($A1580="","",IF(BP1580=1,F1580,""))</f>
        <v>0</v>
      </c>
    </row>
    <row r="1581" spans="1:72">
      <c r="A1581" s="27">
        <f>IF(Data!$A1581="","",Data!$A1581)</f>
        <v>0</v>
      </c>
      <c r="B1581">
        <f>IF(Data!$B1581="","",Data!$B1581)</f>
        <v>0</v>
      </c>
      <c r="C1581">
        <f>IF(Data!$C1581="","",Data!$C1581)</f>
        <v>0</v>
      </c>
      <c r="D1581">
        <f>IF(Data!$D1581="","",Data!$D1581)</f>
        <v>0</v>
      </c>
      <c r="E1581">
        <f>IF(Data!$E1581="","",Data!$E1581)</f>
        <v>0</v>
      </c>
      <c r="F1581">
        <f>IF($E1581="","",N(F1580)+1)</f>
        <v>0</v>
      </c>
      <c r="G1581">
        <f>IF(OR($E1581="",$E1580=""),"",LN($E1581/$E1580))</f>
        <v>0</v>
      </c>
      <c r="H1581">
        <f>IF($E1581="","",IF($E1580="",$E1581,$E1581*0.0952380952+H1580*0.9047619048))</f>
        <v>0</v>
      </c>
      <c r="I1581">
        <f>IF($E1581="","",IF($E1580="",$E1581,$E1581*0.0392156863+I1580*0.9607843137))</f>
        <v>0</v>
      </c>
      <c r="J1581">
        <f>IF($E1581="","",IF($E1580="",$E1581,$E1581*0.0198019802+J1580*0.9801980198))</f>
        <v>0</v>
      </c>
      <c r="K1581">
        <f>IF($E1581="","",IF($E1580="",$E1581,$E1581*0.0099502488+K1580*0.9900497512))</f>
        <v>0</v>
      </c>
      <c r="L1581">
        <f>IF(OR($E1581="",$E1580=""),"",MAX($E1581-$E1580,0))</f>
        <v>0</v>
      </c>
      <c r="M1581">
        <f>IF(OR($E1581="",$E1580=""),"",MAX($E1580-$E1581,0))</f>
        <v>0</v>
      </c>
      <c r="N1581">
        <f>IF(COUNT($E$2:$E1581)&lt;15,"",IF(AVERAGE($M$1568:$M$1581)=0,100,100-100/(1+AVERAGE($L$1568:$L$1581)/AVERAGE($M$1568:$M$1581))))</f>
        <v>0</v>
      </c>
      <c r="O1581">
        <f>IF($E1581="","",IF($E1580="",$E1581,$E1581*0.1538461538+O1580*0.8461538462))</f>
        <v>0</v>
      </c>
      <c r="P1581">
        <f>IF($E1581="","",IF($E1580="",$E1581,$E1581*0.0740740741+P1580*0.9259259259))</f>
        <v>0</v>
      </c>
      <c r="Q1581">
        <f>IF(OR(O1581="",P1581=""),"",O1581-P1581)</f>
        <v>0</v>
      </c>
      <c r="R1581">
        <f>IF(Q1581="","",IF(R1580="",Q1581,Q1581*0.2000000000+R1580*0.8000000000))</f>
        <v>0</v>
      </c>
      <c r="S1581">
        <f>IF(OR(Q1581="",R1581=""),"",Q1581-R1581)</f>
        <v>0</v>
      </c>
      <c r="T1581">
        <f>IF(COUNT($E$2:$E1581)&lt;14,"",MAX($C$1568:$C$1581))</f>
        <v>0</v>
      </c>
      <c r="U1581">
        <f>IF(COUNT($E$2:$E1581)&lt;14,"",MIN($D$1568:$D$1581))</f>
        <v>0</v>
      </c>
      <c r="V1581">
        <f>IF(OR(T1581="",U1581="",T1581=U1581),"",100*($E1581-U1581)/(T1581-U1581))</f>
        <v>0</v>
      </c>
      <c r="W1581">
        <f>IF(COUNT($V$1579:$V$1581)&lt;3,"",AVERAGE($V$1579:$V$1581))</f>
        <v>0</v>
      </c>
      <c r="X1581">
        <f>IF(COUNT($N$1568:$N$1581)&lt;14,"",MIN($N$1568:$N$1581))</f>
        <v>0</v>
      </c>
      <c r="Y1581">
        <f>IF(COUNT($N$1568:$N$1581)&lt;14,"",MAX($N$1568:$N$1581))</f>
        <v>0</v>
      </c>
      <c r="Z1581">
        <f>IF(OR(N1581="",X1581="",Y1581="",Y1581=X1581),"",100*(N1581-X1581)/(Y1581-X1581))</f>
        <v>0</v>
      </c>
      <c r="AA1581">
        <f>IF(COUNT($Z$1579:$Z$1581)&lt;3,"",AVERAGE($Z$1579:$Z$1581))</f>
        <v>0</v>
      </c>
      <c r="AB1581">
        <f>IF(COUNT($AA$1579:$AA$1581)&lt;3,"",AVERAGE($AA$1579:$AA$1581))</f>
        <v>0</v>
      </c>
      <c r="AC1581">
        <f>IF($E1581="","",MAX($C1581-$D1581,ABS($C1581-$E1580),ABS($D1581-$E1580)))</f>
        <v>0</v>
      </c>
      <c r="AD1581">
        <f>IF(COUNT($E$2:$E1581)&lt;15,"",AVERAGE($AC$1568:$AC$1581))</f>
        <v>0</v>
      </c>
      <c r="AE1581">
        <f>IF(OR($E1581="",$E1580=""),"",IF(AND(($C1581-$C1580)&gt;($D1580-$D1581),($C1581-$C1580)&gt;0),$C1581-$C1580,0))</f>
        <v>0</v>
      </c>
      <c r="AF1581">
        <f>IF(OR($E1581="",$E1580=""),"",IF(AND(($D1580-$D1581)&gt;($C1581-$C1580),($D1580-$D1581)&gt;0),$D1580-$D1581,0))</f>
        <v>0</v>
      </c>
      <c r="AG1581">
        <f>IF(COUNT($E$2:$E1581)&lt;15,"",IF(SUM($AC$1568:$AC$1581)=0,0,100*SUM($AE$1568:$AE$1581)/SUM($AC$1568:$AC$1581)))</f>
        <v>0</v>
      </c>
      <c r="AH1581">
        <f>IF(COUNT($E$2:$E1581)&lt;15,"",IF(SUM($AC$1568:$AC$1581)=0,0,100*SUM($AF$1568:$AF$1581)/SUM($AC$1568:$AC$1581)))</f>
        <v>0</v>
      </c>
      <c r="AI1581">
        <f>IF(OR(AG1581="",AH1581=""),"",IF((AG1581+AH1581)=0,0,100*ABS(AG1581-AH1581)/(AG1581+AH1581)))</f>
        <v>0</v>
      </c>
      <c r="AJ1581">
        <f>IF(COUNT($AI$1568:$AI$1581)&lt;14,"",AVERAGE($AI$1568:$AI$1581))</f>
        <v>0</v>
      </c>
      <c r="AK1581">
        <f>IF(COUNT($E$2:$E1581)&lt;20,"",AVERAGE($E$1562:$E$1581))</f>
        <v>0</v>
      </c>
      <c r="AL1581">
        <f>IF(COUNT($E$2:$E1581)&lt;20,"",STDEVP($E$1562:$E$1581))</f>
        <v>0</v>
      </c>
      <c r="AM1581">
        <f>IF(AK1581="","",AK1581+2*AL1581)</f>
        <v>0</v>
      </c>
      <c r="AN1581">
        <f>IF(AK1581="","",AK1581-2*AL1581)</f>
        <v>0</v>
      </c>
      <c r="AO1581">
        <f>IF(OR(AM1581="",AN1581="",AM1581=AN1581),"",($E1581-AN1581)/(AM1581-AN1581))</f>
        <v>0</v>
      </c>
      <c r="AP1581">
        <f>IF(OR(AM1581="",AK1581="",AK1581=0),"",(AM1581-AN1581)/AK1581)</f>
        <v>0</v>
      </c>
      <c r="AQ1581">
        <f>IF(COUNT($E$2:$E1581)&lt;20,"",MAX($C$1562:$C$1581))</f>
        <v>0</v>
      </c>
      <c r="AR1581">
        <f>IF(COUNT($E$2:$E1581)&lt;20,"",MIN($D$1562:$D$1581))</f>
        <v>0</v>
      </c>
      <c r="AS1581">
        <f>IF(OR(AQ1581="",AR1581=""),"",(AQ1581+AR1581)/2)</f>
        <v>0</v>
      </c>
      <c r="AT1581">
        <f>IF(COUNT($G$1562:$G$1581)&lt;20,"",STDEV($G$1562:$G$1581)*SQRT(252))</f>
        <v>0</v>
      </c>
      <c r="AU1581">
        <f>IF(COUNT($E$2:$E1581)&lt;9,"",(MAX($C$1573:$C$1581)+MIN($D$1573:$D$1581))/2)</f>
        <v>0</v>
      </c>
      <c r="AV1581">
        <f>IF(COUNT($E$2:$E1581)&lt;26,"",(MAX($C$1556:$C$1581)+MIN($D$1556:$D$1581))/2)</f>
        <v>0</v>
      </c>
      <c r="AW1581">
        <f>IF(OR(AU1581="",AV1581=""),"",(AU1581+AV1581)/2)</f>
        <v>0</v>
      </c>
      <c r="AX1581">
        <f>IF(COUNT($E$2:$E1581)&lt;52,"",(MAX($C$1530:$C$1581)+MIN($D$1530:$D$1581))/2)</f>
        <v>0</v>
      </c>
      <c r="AY1581">
        <f>IF(COUNT($E$2:$E1581)&lt;20,"",MAX($C$1482:$C$1581))</f>
        <v>0</v>
      </c>
      <c r="AZ1581">
        <f>IF(COUNT($E$2:$E1581)&lt;20,"",MIN($D$1482:$D$1581))</f>
        <v>0</v>
      </c>
      <c r="BA1581">
        <f>IF(COUNT($E$2:$E1581)&lt;20,"",SLOPE($E$1482:$E$1581,$F$1482:$F$1581))</f>
        <v>0</v>
      </c>
      <c r="BB1581">
        <f>IF(COUNT($E$2:$E1581)&lt;20,"",INTERCEPT($E$1482:$E$1581,$F$1482:$F$1581))</f>
        <v>0</v>
      </c>
      <c r="BC1581">
        <f>IF(OR(BA1581="",BB1581=""),"",BB1581+BA1581*F1581)</f>
        <v>0</v>
      </c>
      <c r="BD1581">
        <f>IF(COUNT($E$2:$E1581)&lt;20,"",STEYX($E$1482:$E$1581,$F$1482:$F$1581))</f>
        <v>0</v>
      </c>
      <c r="BE1581">
        <f>IF($E1581="","",IF(AND(COUNT($E$1582:$E$1585)&gt;=4,$C1581=MAX($C$1577:$C$1585)),$C1581,""))</f>
        <v>0</v>
      </c>
      <c r="BF1581">
        <f>IF($E1581="","",IF(AND(COUNT($E$1582:$E$1585)&gt;=4,$D1581=MIN($D$1577:$D$1585)),$D1581,""))</f>
        <v>0</v>
      </c>
      <c r="BG1581">
        <f>IF($A1581="","",$A1581-WEEKDAY($A1581,2)+1)</f>
        <v>0</v>
      </c>
      <c r="BH1581">
        <f>IF($A1581="","",IF($A1580="",1,IF(BG1581&lt;&gt;BG1580,1,0)))</f>
        <v>0</v>
      </c>
      <c r="BI1581">
        <f>IF($A1581="","",IF($A1582="",1,IF(BG1582&lt;&gt;BG1581,1,0)))</f>
        <v>0</v>
      </c>
      <c r="BJ1581">
        <f>IF($A1581="","",IF(BH1581=1,$B1581,BJ1580))</f>
        <v>0</v>
      </c>
      <c r="BK1581">
        <f>IF($A1581="","",IF(BH1581=1,$C1581,MAX($C1581,BK1580)))</f>
        <v>0</v>
      </c>
      <c r="BL1581">
        <f>IF($A1581="","",IF(BH1581=1,$D1581,MIN($D1581,BL1580)))</f>
        <v>0</v>
      </c>
      <c r="BM1581">
        <f>IF($A1581="","",IF(BI1581=1,F1581,""))</f>
        <v>0</v>
      </c>
      <c r="BN1581">
        <f>IF($A1581="","",DATE(YEAR($A1581),MONTH($A1581),1))</f>
        <v>0</v>
      </c>
      <c r="BO1581">
        <f>IF($A1581="","",IF($A1580="",1,IF(BN1581&lt;&gt;BN1580,1,0)))</f>
        <v>0</v>
      </c>
      <c r="BP1581">
        <f>IF($A1581="","",IF($A1582="",1,IF(BN1582&lt;&gt;BN1581,1,0)))</f>
        <v>0</v>
      </c>
      <c r="BQ1581">
        <f>IF($A1581="","",IF(BO1581=1,$B1581,BQ1580))</f>
        <v>0</v>
      </c>
      <c r="BR1581">
        <f>IF($A1581="","",IF(BO1581=1,$C1581,MAX($C1581,BR1580)))</f>
        <v>0</v>
      </c>
      <c r="BS1581">
        <f>IF($A1581="","",IF(BO1581=1,$D1581,MIN($D1581,BS1580)))</f>
        <v>0</v>
      </c>
      <c r="BT1581">
        <f>IF($A1581="","",IF(BP1581=1,F1581,""))</f>
        <v>0</v>
      </c>
    </row>
    <row r="1582" spans="1:72">
      <c r="A1582" s="27">
        <f>IF(Data!$A1582="","",Data!$A1582)</f>
        <v>0</v>
      </c>
      <c r="B1582">
        <f>IF(Data!$B1582="","",Data!$B1582)</f>
        <v>0</v>
      </c>
      <c r="C1582">
        <f>IF(Data!$C1582="","",Data!$C1582)</f>
        <v>0</v>
      </c>
      <c r="D1582">
        <f>IF(Data!$D1582="","",Data!$D1582)</f>
        <v>0</v>
      </c>
      <c r="E1582">
        <f>IF(Data!$E1582="","",Data!$E1582)</f>
        <v>0</v>
      </c>
      <c r="F1582">
        <f>IF($E1582="","",N(F1581)+1)</f>
        <v>0</v>
      </c>
      <c r="G1582">
        <f>IF(OR($E1582="",$E1581=""),"",LN($E1582/$E1581))</f>
        <v>0</v>
      </c>
      <c r="H1582">
        <f>IF($E1582="","",IF($E1581="",$E1582,$E1582*0.0952380952+H1581*0.9047619048))</f>
        <v>0</v>
      </c>
      <c r="I1582">
        <f>IF($E1582="","",IF($E1581="",$E1582,$E1582*0.0392156863+I1581*0.9607843137))</f>
        <v>0</v>
      </c>
      <c r="J1582">
        <f>IF($E1582="","",IF($E1581="",$E1582,$E1582*0.0198019802+J1581*0.9801980198))</f>
        <v>0</v>
      </c>
      <c r="K1582">
        <f>IF($E1582="","",IF($E1581="",$E1582,$E1582*0.0099502488+K1581*0.9900497512))</f>
        <v>0</v>
      </c>
      <c r="L1582">
        <f>IF(OR($E1582="",$E1581=""),"",MAX($E1582-$E1581,0))</f>
        <v>0</v>
      </c>
      <c r="M1582">
        <f>IF(OR($E1582="",$E1581=""),"",MAX($E1581-$E1582,0))</f>
        <v>0</v>
      </c>
      <c r="N1582">
        <f>IF(COUNT($E$2:$E1582)&lt;15,"",IF(AVERAGE($M$1569:$M$1582)=0,100,100-100/(1+AVERAGE($L$1569:$L$1582)/AVERAGE($M$1569:$M$1582))))</f>
        <v>0</v>
      </c>
      <c r="O1582">
        <f>IF($E1582="","",IF($E1581="",$E1582,$E1582*0.1538461538+O1581*0.8461538462))</f>
        <v>0</v>
      </c>
      <c r="P1582">
        <f>IF($E1582="","",IF($E1581="",$E1582,$E1582*0.0740740741+P1581*0.9259259259))</f>
        <v>0</v>
      </c>
      <c r="Q1582">
        <f>IF(OR(O1582="",P1582=""),"",O1582-P1582)</f>
        <v>0</v>
      </c>
      <c r="R1582">
        <f>IF(Q1582="","",IF(R1581="",Q1582,Q1582*0.2000000000+R1581*0.8000000000))</f>
        <v>0</v>
      </c>
      <c r="S1582">
        <f>IF(OR(Q1582="",R1582=""),"",Q1582-R1582)</f>
        <v>0</v>
      </c>
      <c r="T1582">
        <f>IF(COUNT($E$2:$E1582)&lt;14,"",MAX($C$1569:$C$1582))</f>
        <v>0</v>
      </c>
      <c r="U1582">
        <f>IF(COUNT($E$2:$E1582)&lt;14,"",MIN($D$1569:$D$1582))</f>
        <v>0</v>
      </c>
      <c r="V1582">
        <f>IF(OR(T1582="",U1582="",T1582=U1582),"",100*($E1582-U1582)/(T1582-U1582))</f>
        <v>0</v>
      </c>
      <c r="W1582">
        <f>IF(COUNT($V$1580:$V$1582)&lt;3,"",AVERAGE($V$1580:$V$1582))</f>
        <v>0</v>
      </c>
      <c r="X1582">
        <f>IF(COUNT($N$1569:$N$1582)&lt;14,"",MIN($N$1569:$N$1582))</f>
        <v>0</v>
      </c>
      <c r="Y1582">
        <f>IF(COUNT($N$1569:$N$1582)&lt;14,"",MAX($N$1569:$N$1582))</f>
        <v>0</v>
      </c>
      <c r="Z1582">
        <f>IF(OR(N1582="",X1582="",Y1582="",Y1582=X1582),"",100*(N1582-X1582)/(Y1582-X1582))</f>
        <v>0</v>
      </c>
      <c r="AA1582">
        <f>IF(COUNT($Z$1580:$Z$1582)&lt;3,"",AVERAGE($Z$1580:$Z$1582))</f>
        <v>0</v>
      </c>
      <c r="AB1582">
        <f>IF(COUNT($AA$1580:$AA$1582)&lt;3,"",AVERAGE($AA$1580:$AA$1582))</f>
        <v>0</v>
      </c>
      <c r="AC1582">
        <f>IF($E1582="","",MAX($C1582-$D1582,ABS($C1582-$E1581),ABS($D1582-$E1581)))</f>
        <v>0</v>
      </c>
      <c r="AD1582">
        <f>IF(COUNT($E$2:$E1582)&lt;15,"",AVERAGE($AC$1569:$AC$1582))</f>
        <v>0</v>
      </c>
      <c r="AE1582">
        <f>IF(OR($E1582="",$E1581=""),"",IF(AND(($C1582-$C1581)&gt;($D1581-$D1582),($C1582-$C1581)&gt;0),$C1582-$C1581,0))</f>
        <v>0</v>
      </c>
      <c r="AF1582">
        <f>IF(OR($E1582="",$E1581=""),"",IF(AND(($D1581-$D1582)&gt;($C1582-$C1581),($D1581-$D1582)&gt;0),$D1581-$D1582,0))</f>
        <v>0</v>
      </c>
      <c r="AG1582">
        <f>IF(COUNT($E$2:$E1582)&lt;15,"",IF(SUM($AC$1569:$AC$1582)=0,0,100*SUM($AE$1569:$AE$1582)/SUM($AC$1569:$AC$1582)))</f>
        <v>0</v>
      </c>
      <c r="AH1582">
        <f>IF(COUNT($E$2:$E1582)&lt;15,"",IF(SUM($AC$1569:$AC$1582)=0,0,100*SUM($AF$1569:$AF$1582)/SUM($AC$1569:$AC$1582)))</f>
        <v>0</v>
      </c>
      <c r="AI1582">
        <f>IF(OR(AG1582="",AH1582=""),"",IF((AG1582+AH1582)=0,0,100*ABS(AG1582-AH1582)/(AG1582+AH1582)))</f>
        <v>0</v>
      </c>
      <c r="AJ1582">
        <f>IF(COUNT($AI$1569:$AI$1582)&lt;14,"",AVERAGE($AI$1569:$AI$1582))</f>
        <v>0</v>
      </c>
      <c r="AK1582">
        <f>IF(COUNT($E$2:$E1582)&lt;20,"",AVERAGE($E$1563:$E$1582))</f>
        <v>0</v>
      </c>
      <c r="AL1582">
        <f>IF(COUNT($E$2:$E1582)&lt;20,"",STDEVP($E$1563:$E$1582))</f>
        <v>0</v>
      </c>
      <c r="AM1582">
        <f>IF(AK1582="","",AK1582+2*AL1582)</f>
        <v>0</v>
      </c>
      <c r="AN1582">
        <f>IF(AK1582="","",AK1582-2*AL1582)</f>
        <v>0</v>
      </c>
      <c r="AO1582">
        <f>IF(OR(AM1582="",AN1582="",AM1582=AN1582),"",($E1582-AN1582)/(AM1582-AN1582))</f>
        <v>0</v>
      </c>
      <c r="AP1582">
        <f>IF(OR(AM1582="",AK1582="",AK1582=0),"",(AM1582-AN1582)/AK1582)</f>
        <v>0</v>
      </c>
      <c r="AQ1582">
        <f>IF(COUNT($E$2:$E1582)&lt;20,"",MAX($C$1563:$C$1582))</f>
        <v>0</v>
      </c>
      <c r="AR1582">
        <f>IF(COUNT($E$2:$E1582)&lt;20,"",MIN($D$1563:$D$1582))</f>
        <v>0</v>
      </c>
      <c r="AS1582">
        <f>IF(OR(AQ1582="",AR1582=""),"",(AQ1582+AR1582)/2)</f>
        <v>0</v>
      </c>
      <c r="AT1582">
        <f>IF(COUNT($G$1563:$G$1582)&lt;20,"",STDEV($G$1563:$G$1582)*SQRT(252))</f>
        <v>0</v>
      </c>
      <c r="AU1582">
        <f>IF(COUNT($E$2:$E1582)&lt;9,"",(MAX($C$1574:$C$1582)+MIN($D$1574:$D$1582))/2)</f>
        <v>0</v>
      </c>
      <c r="AV1582">
        <f>IF(COUNT($E$2:$E1582)&lt;26,"",(MAX($C$1557:$C$1582)+MIN($D$1557:$D$1582))/2)</f>
        <v>0</v>
      </c>
      <c r="AW1582">
        <f>IF(OR(AU1582="",AV1582=""),"",(AU1582+AV1582)/2)</f>
        <v>0</v>
      </c>
      <c r="AX1582">
        <f>IF(COUNT($E$2:$E1582)&lt;52,"",(MAX($C$1531:$C$1582)+MIN($D$1531:$D$1582))/2)</f>
        <v>0</v>
      </c>
      <c r="AY1582">
        <f>IF(COUNT($E$2:$E1582)&lt;20,"",MAX($C$1483:$C$1582))</f>
        <v>0</v>
      </c>
      <c r="AZ1582">
        <f>IF(COUNT($E$2:$E1582)&lt;20,"",MIN($D$1483:$D$1582))</f>
        <v>0</v>
      </c>
      <c r="BA1582">
        <f>IF(COUNT($E$2:$E1582)&lt;20,"",SLOPE($E$1483:$E$1582,$F$1483:$F$1582))</f>
        <v>0</v>
      </c>
      <c r="BB1582">
        <f>IF(COUNT($E$2:$E1582)&lt;20,"",INTERCEPT($E$1483:$E$1582,$F$1483:$F$1582))</f>
        <v>0</v>
      </c>
      <c r="BC1582">
        <f>IF(OR(BA1582="",BB1582=""),"",BB1582+BA1582*F1582)</f>
        <v>0</v>
      </c>
      <c r="BD1582">
        <f>IF(COUNT($E$2:$E1582)&lt;20,"",STEYX($E$1483:$E$1582,$F$1483:$F$1582))</f>
        <v>0</v>
      </c>
      <c r="BE1582">
        <f>IF($E1582="","",IF(AND(COUNT($E$1583:$E$1586)&gt;=4,$C1582=MAX($C$1578:$C$1586)),$C1582,""))</f>
        <v>0</v>
      </c>
      <c r="BF1582">
        <f>IF($E1582="","",IF(AND(COUNT($E$1583:$E$1586)&gt;=4,$D1582=MIN($D$1578:$D$1586)),$D1582,""))</f>
        <v>0</v>
      </c>
      <c r="BG1582">
        <f>IF($A1582="","",$A1582-WEEKDAY($A1582,2)+1)</f>
        <v>0</v>
      </c>
      <c r="BH1582">
        <f>IF($A1582="","",IF($A1581="",1,IF(BG1582&lt;&gt;BG1581,1,0)))</f>
        <v>0</v>
      </c>
      <c r="BI1582">
        <f>IF($A1582="","",IF($A1583="",1,IF(BG1583&lt;&gt;BG1582,1,0)))</f>
        <v>0</v>
      </c>
      <c r="BJ1582">
        <f>IF($A1582="","",IF(BH1582=1,$B1582,BJ1581))</f>
        <v>0</v>
      </c>
      <c r="BK1582">
        <f>IF($A1582="","",IF(BH1582=1,$C1582,MAX($C1582,BK1581)))</f>
        <v>0</v>
      </c>
      <c r="BL1582">
        <f>IF($A1582="","",IF(BH1582=1,$D1582,MIN($D1582,BL1581)))</f>
        <v>0</v>
      </c>
      <c r="BM1582">
        <f>IF($A1582="","",IF(BI1582=1,F1582,""))</f>
        <v>0</v>
      </c>
      <c r="BN1582">
        <f>IF($A1582="","",DATE(YEAR($A1582),MONTH($A1582),1))</f>
        <v>0</v>
      </c>
      <c r="BO1582">
        <f>IF($A1582="","",IF($A1581="",1,IF(BN1582&lt;&gt;BN1581,1,0)))</f>
        <v>0</v>
      </c>
      <c r="BP1582">
        <f>IF($A1582="","",IF($A1583="",1,IF(BN1583&lt;&gt;BN1582,1,0)))</f>
        <v>0</v>
      </c>
      <c r="BQ1582">
        <f>IF($A1582="","",IF(BO1582=1,$B1582,BQ1581))</f>
        <v>0</v>
      </c>
      <c r="BR1582">
        <f>IF($A1582="","",IF(BO1582=1,$C1582,MAX($C1582,BR1581)))</f>
        <v>0</v>
      </c>
      <c r="BS1582">
        <f>IF($A1582="","",IF(BO1582=1,$D1582,MIN($D1582,BS1581)))</f>
        <v>0</v>
      </c>
      <c r="BT1582">
        <f>IF($A1582="","",IF(BP1582=1,F1582,""))</f>
        <v>0</v>
      </c>
    </row>
    <row r="1583" spans="1:72">
      <c r="A1583" s="27">
        <f>IF(Data!$A1583="","",Data!$A1583)</f>
        <v>0</v>
      </c>
      <c r="B1583">
        <f>IF(Data!$B1583="","",Data!$B1583)</f>
        <v>0</v>
      </c>
      <c r="C1583">
        <f>IF(Data!$C1583="","",Data!$C1583)</f>
        <v>0</v>
      </c>
      <c r="D1583">
        <f>IF(Data!$D1583="","",Data!$D1583)</f>
        <v>0</v>
      </c>
      <c r="E1583">
        <f>IF(Data!$E1583="","",Data!$E1583)</f>
        <v>0</v>
      </c>
      <c r="F1583">
        <f>IF($E1583="","",N(F1582)+1)</f>
        <v>0</v>
      </c>
      <c r="G1583">
        <f>IF(OR($E1583="",$E1582=""),"",LN($E1583/$E1582))</f>
        <v>0</v>
      </c>
      <c r="H1583">
        <f>IF($E1583="","",IF($E1582="",$E1583,$E1583*0.0952380952+H1582*0.9047619048))</f>
        <v>0</v>
      </c>
      <c r="I1583">
        <f>IF($E1583="","",IF($E1582="",$E1583,$E1583*0.0392156863+I1582*0.9607843137))</f>
        <v>0</v>
      </c>
      <c r="J1583">
        <f>IF($E1583="","",IF($E1582="",$E1583,$E1583*0.0198019802+J1582*0.9801980198))</f>
        <v>0</v>
      </c>
      <c r="K1583">
        <f>IF($E1583="","",IF($E1582="",$E1583,$E1583*0.0099502488+K1582*0.9900497512))</f>
        <v>0</v>
      </c>
      <c r="L1583">
        <f>IF(OR($E1583="",$E1582=""),"",MAX($E1583-$E1582,0))</f>
        <v>0</v>
      </c>
      <c r="M1583">
        <f>IF(OR($E1583="",$E1582=""),"",MAX($E1582-$E1583,0))</f>
        <v>0</v>
      </c>
      <c r="N1583">
        <f>IF(COUNT($E$2:$E1583)&lt;15,"",IF(AVERAGE($M$1570:$M$1583)=0,100,100-100/(1+AVERAGE($L$1570:$L$1583)/AVERAGE($M$1570:$M$1583))))</f>
        <v>0</v>
      </c>
      <c r="O1583">
        <f>IF($E1583="","",IF($E1582="",$E1583,$E1583*0.1538461538+O1582*0.8461538462))</f>
        <v>0</v>
      </c>
      <c r="P1583">
        <f>IF($E1583="","",IF($E1582="",$E1583,$E1583*0.0740740741+P1582*0.9259259259))</f>
        <v>0</v>
      </c>
      <c r="Q1583">
        <f>IF(OR(O1583="",P1583=""),"",O1583-P1583)</f>
        <v>0</v>
      </c>
      <c r="R1583">
        <f>IF(Q1583="","",IF(R1582="",Q1583,Q1583*0.2000000000+R1582*0.8000000000))</f>
        <v>0</v>
      </c>
      <c r="S1583">
        <f>IF(OR(Q1583="",R1583=""),"",Q1583-R1583)</f>
        <v>0</v>
      </c>
      <c r="T1583">
        <f>IF(COUNT($E$2:$E1583)&lt;14,"",MAX($C$1570:$C$1583))</f>
        <v>0</v>
      </c>
      <c r="U1583">
        <f>IF(COUNT($E$2:$E1583)&lt;14,"",MIN($D$1570:$D$1583))</f>
        <v>0</v>
      </c>
      <c r="V1583">
        <f>IF(OR(T1583="",U1583="",T1583=U1583),"",100*($E1583-U1583)/(T1583-U1583))</f>
        <v>0</v>
      </c>
      <c r="W1583">
        <f>IF(COUNT($V$1581:$V$1583)&lt;3,"",AVERAGE($V$1581:$V$1583))</f>
        <v>0</v>
      </c>
      <c r="X1583">
        <f>IF(COUNT($N$1570:$N$1583)&lt;14,"",MIN($N$1570:$N$1583))</f>
        <v>0</v>
      </c>
      <c r="Y1583">
        <f>IF(COUNT($N$1570:$N$1583)&lt;14,"",MAX($N$1570:$N$1583))</f>
        <v>0</v>
      </c>
      <c r="Z1583">
        <f>IF(OR(N1583="",X1583="",Y1583="",Y1583=X1583),"",100*(N1583-X1583)/(Y1583-X1583))</f>
        <v>0</v>
      </c>
      <c r="AA1583">
        <f>IF(COUNT($Z$1581:$Z$1583)&lt;3,"",AVERAGE($Z$1581:$Z$1583))</f>
        <v>0</v>
      </c>
      <c r="AB1583">
        <f>IF(COUNT($AA$1581:$AA$1583)&lt;3,"",AVERAGE($AA$1581:$AA$1583))</f>
        <v>0</v>
      </c>
      <c r="AC1583">
        <f>IF($E1583="","",MAX($C1583-$D1583,ABS($C1583-$E1582),ABS($D1583-$E1582)))</f>
        <v>0</v>
      </c>
      <c r="AD1583">
        <f>IF(COUNT($E$2:$E1583)&lt;15,"",AVERAGE($AC$1570:$AC$1583))</f>
        <v>0</v>
      </c>
      <c r="AE1583">
        <f>IF(OR($E1583="",$E1582=""),"",IF(AND(($C1583-$C1582)&gt;($D1582-$D1583),($C1583-$C1582)&gt;0),$C1583-$C1582,0))</f>
        <v>0</v>
      </c>
      <c r="AF1583">
        <f>IF(OR($E1583="",$E1582=""),"",IF(AND(($D1582-$D1583)&gt;($C1583-$C1582),($D1582-$D1583)&gt;0),$D1582-$D1583,0))</f>
        <v>0</v>
      </c>
      <c r="AG1583">
        <f>IF(COUNT($E$2:$E1583)&lt;15,"",IF(SUM($AC$1570:$AC$1583)=0,0,100*SUM($AE$1570:$AE$1583)/SUM($AC$1570:$AC$1583)))</f>
        <v>0</v>
      </c>
      <c r="AH1583">
        <f>IF(COUNT($E$2:$E1583)&lt;15,"",IF(SUM($AC$1570:$AC$1583)=0,0,100*SUM($AF$1570:$AF$1583)/SUM($AC$1570:$AC$1583)))</f>
        <v>0</v>
      </c>
      <c r="AI1583">
        <f>IF(OR(AG1583="",AH1583=""),"",IF((AG1583+AH1583)=0,0,100*ABS(AG1583-AH1583)/(AG1583+AH1583)))</f>
        <v>0</v>
      </c>
      <c r="AJ1583">
        <f>IF(COUNT($AI$1570:$AI$1583)&lt;14,"",AVERAGE($AI$1570:$AI$1583))</f>
        <v>0</v>
      </c>
      <c r="AK1583">
        <f>IF(COUNT($E$2:$E1583)&lt;20,"",AVERAGE($E$1564:$E$1583))</f>
        <v>0</v>
      </c>
      <c r="AL1583">
        <f>IF(COUNT($E$2:$E1583)&lt;20,"",STDEVP($E$1564:$E$1583))</f>
        <v>0</v>
      </c>
      <c r="AM1583">
        <f>IF(AK1583="","",AK1583+2*AL1583)</f>
        <v>0</v>
      </c>
      <c r="AN1583">
        <f>IF(AK1583="","",AK1583-2*AL1583)</f>
        <v>0</v>
      </c>
      <c r="AO1583">
        <f>IF(OR(AM1583="",AN1583="",AM1583=AN1583),"",($E1583-AN1583)/(AM1583-AN1583))</f>
        <v>0</v>
      </c>
      <c r="AP1583">
        <f>IF(OR(AM1583="",AK1583="",AK1583=0),"",(AM1583-AN1583)/AK1583)</f>
        <v>0</v>
      </c>
      <c r="AQ1583">
        <f>IF(COUNT($E$2:$E1583)&lt;20,"",MAX($C$1564:$C$1583))</f>
        <v>0</v>
      </c>
      <c r="AR1583">
        <f>IF(COUNT($E$2:$E1583)&lt;20,"",MIN($D$1564:$D$1583))</f>
        <v>0</v>
      </c>
      <c r="AS1583">
        <f>IF(OR(AQ1583="",AR1583=""),"",(AQ1583+AR1583)/2)</f>
        <v>0</v>
      </c>
      <c r="AT1583">
        <f>IF(COUNT($G$1564:$G$1583)&lt;20,"",STDEV($G$1564:$G$1583)*SQRT(252))</f>
        <v>0</v>
      </c>
      <c r="AU1583">
        <f>IF(COUNT($E$2:$E1583)&lt;9,"",(MAX($C$1575:$C$1583)+MIN($D$1575:$D$1583))/2)</f>
        <v>0</v>
      </c>
      <c r="AV1583">
        <f>IF(COUNT($E$2:$E1583)&lt;26,"",(MAX($C$1558:$C$1583)+MIN($D$1558:$D$1583))/2)</f>
        <v>0</v>
      </c>
      <c r="AW1583">
        <f>IF(OR(AU1583="",AV1583=""),"",(AU1583+AV1583)/2)</f>
        <v>0</v>
      </c>
      <c r="AX1583">
        <f>IF(COUNT($E$2:$E1583)&lt;52,"",(MAX($C$1532:$C$1583)+MIN($D$1532:$D$1583))/2)</f>
        <v>0</v>
      </c>
      <c r="AY1583">
        <f>IF(COUNT($E$2:$E1583)&lt;20,"",MAX($C$1484:$C$1583))</f>
        <v>0</v>
      </c>
      <c r="AZ1583">
        <f>IF(COUNT($E$2:$E1583)&lt;20,"",MIN($D$1484:$D$1583))</f>
        <v>0</v>
      </c>
      <c r="BA1583">
        <f>IF(COUNT($E$2:$E1583)&lt;20,"",SLOPE($E$1484:$E$1583,$F$1484:$F$1583))</f>
        <v>0</v>
      </c>
      <c r="BB1583">
        <f>IF(COUNT($E$2:$E1583)&lt;20,"",INTERCEPT($E$1484:$E$1583,$F$1484:$F$1583))</f>
        <v>0</v>
      </c>
      <c r="BC1583">
        <f>IF(OR(BA1583="",BB1583=""),"",BB1583+BA1583*F1583)</f>
        <v>0</v>
      </c>
      <c r="BD1583">
        <f>IF(COUNT($E$2:$E1583)&lt;20,"",STEYX($E$1484:$E$1583,$F$1484:$F$1583))</f>
        <v>0</v>
      </c>
      <c r="BE1583">
        <f>IF($E1583="","",IF(AND(COUNT($E$1584:$E$1587)&gt;=4,$C1583=MAX($C$1579:$C$1587)),$C1583,""))</f>
        <v>0</v>
      </c>
      <c r="BF1583">
        <f>IF($E1583="","",IF(AND(COUNT($E$1584:$E$1587)&gt;=4,$D1583=MIN($D$1579:$D$1587)),$D1583,""))</f>
        <v>0</v>
      </c>
      <c r="BG1583">
        <f>IF($A1583="","",$A1583-WEEKDAY($A1583,2)+1)</f>
        <v>0</v>
      </c>
      <c r="BH1583">
        <f>IF($A1583="","",IF($A1582="",1,IF(BG1583&lt;&gt;BG1582,1,0)))</f>
        <v>0</v>
      </c>
      <c r="BI1583">
        <f>IF($A1583="","",IF($A1584="",1,IF(BG1584&lt;&gt;BG1583,1,0)))</f>
        <v>0</v>
      </c>
      <c r="BJ1583">
        <f>IF($A1583="","",IF(BH1583=1,$B1583,BJ1582))</f>
        <v>0</v>
      </c>
      <c r="BK1583">
        <f>IF($A1583="","",IF(BH1583=1,$C1583,MAX($C1583,BK1582)))</f>
        <v>0</v>
      </c>
      <c r="BL1583">
        <f>IF($A1583="","",IF(BH1583=1,$D1583,MIN($D1583,BL1582)))</f>
        <v>0</v>
      </c>
      <c r="BM1583">
        <f>IF($A1583="","",IF(BI1583=1,F1583,""))</f>
        <v>0</v>
      </c>
      <c r="BN1583">
        <f>IF($A1583="","",DATE(YEAR($A1583),MONTH($A1583),1))</f>
        <v>0</v>
      </c>
      <c r="BO1583">
        <f>IF($A1583="","",IF($A1582="",1,IF(BN1583&lt;&gt;BN1582,1,0)))</f>
        <v>0</v>
      </c>
      <c r="BP1583">
        <f>IF($A1583="","",IF($A1584="",1,IF(BN1584&lt;&gt;BN1583,1,0)))</f>
        <v>0</v>
      </c>
      <c r="BQ1583">
        <f>IF($A1583="","",IF(BO1583=1,$B1583,BQ1582))</f>
        <v>0</v>
      </c>
      <c r="BR1583">
        <f>IF($A1583="","",IF(BO1583=1,$C1583,MAX($C1583,BR1582)))</f>
        <v>0</v>
      </c>
      <c r="BS1583">
        <f>IF($A1583="","",IF(BO1583=1,$D1583,MIN($D1583,BS1582)))</f>
        <v>0</v>
      </c>
      <c r="BT1583">
        <f>IF($A1583="","",IF(BP1583=1,F1583,""))</f>
        <v>0</v>
      </c>
    </row>
    <row r="1584" spans="1:72">
      <c r="A1584" s="27">
        <f>IF(Data!$A1584="","",Data!$A1584)</f>
        <v>0</v>
      </c>
      <c r="B1584">
        <f>IF(Data!$B1584="","",Data!$B1584)</f>
        <v>0</v>
      </c>
      <c r="C1584">
        <f>IF(Data!$C1584="","",Data!$C1584)</f>
        <v>0</v>
      </c>
      <c r="D1584">
        <f>IF(Data!$D1584="","",Data!$D1584)</f>
        <v>0</v>
      </c>
      <c r="E1584">
        <f>IF(Data!$E1584="","",Data!$E1584)</f>
        <v>0</v>
      </c>
      <c r="F1584">
        <f>IF($E1584="","",N(F1583)+1)</f>
        <v>0</v>
      </c>
      <c r="G1584">
        <f>IF(OR($E1584="",$E1583=""),"",LN($E1584/$E1583))</f>
        <v>0</v>
      </c>
      <c r="H1584">
        <f>IF($E1584="","",IF($E1583="",$E1584,$E1584*0.0952380952+H1583*0.9047619048))</f>
        <v>0</v>
      </c>
      <c r="I1584">
        <f>IF($E1584="","",IF($E1583="",$E1584,$E1584*0.0392156863+I1583*0.9607843137))</f>
        <v>0</v>
      </c>
      <c r="J1584">
        <f>IF($E1584="","",IF($E1583="",$E1584,$E1584*0.0198019802+J1583*0.9801980198))</f>
        <v>0</v>
      </c>
      <c r="K1584">
        <f>IF($E1584="","",IF($E1583="",$E1584,$E1584*0.0099502488+K1583*0.9900497512))</f>
        <v>0</v>
      </c>
      <c r="L1584">
        <f>IF(OR($E1584="",$E1583=""),"",MAX($E1584-$E1583,0))</f>
        <v>0</v>
      </c>
      <c r="M1584">
        <f>IF(OR($E1584="",$E1583=""),"",MAX($E1583-$E1584,0))</f>
        <v>0</v>
      </c>
      <c r="N1584">
        <f>IF(COUNT($E$2:$E1584)&lt;15,"",IF(AVERAGE($M$1571:$M$1584)=0,100,100-100/(1+AVERAGE($L$1571:$L$1584)/AVERAGE($M$1571:$M$1584))))</f>
        <v>0</v>
      </c>
      <c r="O1584">
        <f>IF($E1584="","",IF($E1583="",$E1584,$E1584*0.1538461538+O1583*0.8461538462))</f>
        <v>0</v>
      </c>
      <c r="P1584">
        <f>IF($E1584="","",IF($E1583="",$E1584,$E1584*0.0740740741+P1583*0.9259259259))</f>
        <v>0</v>
      </c>
      <c r="Q1584">
        <f>IF(OR(O1584="",P1584=""),"",O1584-P1584)</f>
        <v>0</v>
      </c>
      <c r="R1584">
        <f>IF(Q1584="","",IF(R1583="",Q1584,Q1584*0.2000000000+R1583*0.8000000000))</f>
        <v>0</v>
      </c>
      <c r="S1584">
        <f>IF(OR(Q1584="",R1584=""),"",Q1584-R1584)</f>
        <v>0</v>
      </c>
      <c r="T1584">
        <f>IF(COUNT($E$2:$E1584)&lt;14,"",MAX($C$1571:$C$1584))</f>
        <v>0</v>
      </c>
      <c r="U1584">
        <f>IF(COUNT($E$2:$E1584)&lt;14,"",MIN($D$1571:$D$1584))</f>
        <v>0</v>
      </c>
      <c r="V1584">
        <f>IF(OR(T1584="",U1584="",T1584=U1584),"",100*($E1584-U1584)/(T1584-U1584))</f>
        <v>0</v>
      </c>
      <c r="W1584">
        <f>IF(COUNT($V$1582:$V$1584)&lt;3,"",AVERAGE($V$1582:$V$1584))</f>
        <v>0</v>
      </c>
      <c r="X1584">
        <f>IF(COUNT($N$1571:$N$1584)&lt;14,"",MIN($N$1571:$N$1584))</f>
        <v>0</v>
      </c>
      <c r="Y1584">
        <f>IF(COUNT($N$1571:$N$1584)&lt;14,"",MAX($N$1571:$N$1584))</f>
        <v>0</v>
      </c>
      <c r="Z1584">
        <f>IF(OR(N1584="",X1584="",Y1584="",Y1584=X1584),"",100*(N1584-X1584)/(Y1584-X1584))</f>
        <v>0</v>
      </c>
      <c r="AA1584">
        <f>IF(COUNT($Z$1582:$Z$1584)&lt;3,"",AVERAGE($Z$1582:$Z$1584))</f>
        <v>0</v>
      </c>
      <c r="AB1584">
        <f>IF(COUNT($AA$1582:$AA$1584)&lt;3,"",AVERAGE($AA$1582:$AA$1584))</f>
        <v>0</v>
      </c>
      <c r="AC1584">
        <f>IF($E1584="","",MAX($C1584-$D1584,ABS($C1584-$E1583),ABS($D1584-$E1583)))</f>
        <v>0</v>
      </c>
      <c r="AD1584">
        <f>IF(COUNT($E$2:$E1584)&lt;15,"",AVERAGE($AC$1571:$AC$1584))</f>
        <v>0</v>
      </c>
      <c r="AE1584">
        <f>IF(OR($E1584="",$E1583=""),"",IF(AND(($C1584-$C1583)&gt;($D1583-$D1584),($C1584-$C1583)&gt;0),$C1584-$C1583,0))</f>
        <v>0</v>
      </c>
      <c r="AF1584">
        <f>IF(OR($E1584="",$E1583=""),"",IF(AND(($D1583-$D1584)&gt;($C1584-$C1583),($D1583-$D1584)&gt;0),$D1583-$D1584,0))</f>
        <v>0</v>
      </c>
      <c r="AG1584">
        <f>IF(COUNT($E$2:$E1584)&lt;15,"",IF(SUM($AC$1571:$AC$1584)=0,0,100*SUM($AE$1571:$AE$1584)/SUM($AC$1571:$AC$1584)))</f>
        <v>0</v>
      </c>
      <c r="AH1584">
        <f>IF(COUNT($E$2:$E1584)&lt;15,"",IF(SUM($AC$1571:$AC$1584)=0,0,100*SUM($AF$1571:$AF$1584)/SUM($AC$1571:$AC$1584)))</f>
        <v>0</v>
      </c>
      <c r="AI1584">
        <f>IF(OR(AG1584="",AH1584=""),"",IF((AG1584+AH1584)=0,0,100*ABS(AG1584-AH1584)/(AG1584+AH1584)))</f>
        <v>0</v>
      </c>
      <c r="AJ1584">
        <f>IF(COUNT($AI$1571:$AI$1584)&lt;14,"",AVERAGE($AI$1571:$AI$1584))</f>
        <v>0</v>
      </c>
      <c r="AK1584">
        <f>IF(COUNT($E$2:$E1584)&lt;20,"",AVERAGE($E$1565:$E$1584))</f>
        <v>0</v>
      </c>
      <c r="AL1584">
        <f>IF(COUNT($E$2:$E1584)&lt;20,"",STDEVP($E$1565:$E$1584))</f>
        <v>0</v>
      </c>
      <c r="AM1584">
        <f>IF(AK1584="","",AK1584+2*AL1584)</f>
        <v>0</v>
      </c>
      <c r="AN1584">
        <f>IF(AK1584="","",AK1584-2*AL1584)</f>
        <v>0</v>
      </c>
      <c r="AO1584">
        <f>IF(OR(AM1584="",AN1584="",AM1584=AN1584),"",($E1584-AN1584)/(AM1584-AN1584))</f>
        <v>0</v>
      </c>
      <c r="AP1584">
        <f>IF(OR(AM1584="",AK1584="",AK1584=0),"",(AM1584-AN1584)/AK1584)</f>
        <v>0</v>
      </c>
      <c r="AQ1584">
        <f>IF(COUNT($E$2:$E1584)&lt;20,"",MAX($C$1565:$C$1584))</f>
        <v>0</v>
      </c>
      <c r="AR1584">
        <f>IF(COUNT($E$2:$E1584)&lt;20,"",MIN($D$1565:$D$1584))</f>
        <v>0</v>
      </c>
      <c r="AS1584">
        <f>IF(OR(AQ1584="",AR1584=""),"",(AQ1584+AR1584)/2)</f>
        <v>0</v>
      </c>
      <c r="AT1584">
        <f>IF(COUNT($G$1565:$G$1584)&lt;20,"",STDEV($G$1565:$G$1584)*SQRT(252))</f>
        <v>0</v>
      </c>
      <c r="AU1584">
        <f>IF(COUNT($E$2:$E1584)&lt;9,"",(MAX($C$1576:$C$1584)+MIN($D$1576:$D$1584))/2)</f>
        <v>0</v>
      </c>
      <c r="AV1584">
        <f>IF(COUNT($E$2:$E1584)&lt;26,"",(MAX($C$1559:$C$1584)+MIN($D$1559:$D$1584))/2)</f>
        <v>0</v>
      </c>
      <c r="AW1584">
        <f>IF(OR(AU1584="",AV1584=""),"",(AU1584+AV1584)/2)</f>
        <v>0</v>
      </c>
      <c r="AX1584">
        <f>IF(COUNT($E$2:$E1584)&lt;52,"",(MAX($C$1533:$C$1584)+MIN($D$1533:$D$1584))/2)</f>
        <v>0</v>
      </c>
      <c r="AY1584">
        <f>IF(COUNT($E$2:$E1584)&lt;20,"",MAX($C$1485:$C$1584))</f>
        <v>0</v>
      </c>
      <c r="AZ1584">
        <f>IF(COUNT($E$2:$E1584)&lt;20,"",MIN($D$1485:$D$1584))</f>
        <v>0</v>
      </c>
      <c r="BA1584">
        <f>IF(COUNT($E$2:$E1584)&lt;20,"",SLOPE($E$1485:$E$1584,$F$1485:$F$1584))</f>
        <v>0</v>
      </c>
      <c r="BB1584">
        <f>IF(COUNT($E$2:$E1584)&lt;20,"",INTERCEPT($E$1485:$E$1584,$F$1485:$F$1584))</f>
        <v>0</v>
      </c>
      <c r="BC1584">
        <f>IF(OR(BA1584="",BB1584=""),"",BB1584+BA1584*F1584)</f>
        <v>0</v>
      </c>
      <c r="BD1584">
        <f>IF(COUNT($E$2:$E1584)&lt;20,"",STEYX($E$1485:$E$1584,$F$1485:$F$1584))</f>
        <v>0</v>
      </c>
      <c r="BE1584">
        <f>IF($E1584="","",IF(AND(COUNT($E$1585:$E$1588)&gt;=4,$C1584=MAX($C$1580:$C$1588)),$C1584,""))</f>
        <v>0</v>
      </c>
      <c r="BF1584">
        <f>IF($E1584="","",IF(AND(COUNT($E$1585:$E$1588)&gt;=4,$D1584=MIN($D$1580:$D$1588)),$D1584,""))</f>
        <v>0</v>
      </c>
      <c r="BG1584">
        <f>IF($A1584="","",$A1584-WEEKDAY($A1584,2)+1)</f>
        <v>0</v>
      </c>
      <c r="BH1584">
        <f>IF($A1584="","",IF($A1583="",1,IF(BG1584&lt;&gt;BG1583,1,0)))</f>
        <v>0</v>
      </c>
      <c r="BI1584">
        <f>IF($A1584="","",IF($A1585="",1,IF(BG1585&lt;&gt;BG1584,1,0)))</f>
        <v>0</v>
      </c>
      <c r="BJ1584">
        <f>IF($A1584="","",IF(BH1584=1,$B1584,BJ1583))</f>
        <v>0</v>
      </c>
      <c r="BK1584">
        <f>IF($A1584="","",IF(BH1584=1,$C1584,MAX($C1584,BK1583)))</f>
        <v>0</v>
      </c>
      <c r="BL1584">
        <f>IF($A1584="","",IF(BH1584=1,$D1584,MIN($D1584,BL1583)))</f>
        <v>0</v>
      </c>
      <c r="BM1584">
        <f>IF($A1584="","",IF(BI1584=1,F1584,""))</f>
        <v>0</v>
      </c>
      <c r="BN1584">
        <f>IF($A1584="","",DATE(YEAR($A1584),MONTH($A1584),1))</f>
        <v>0</v>
      </c>
      <c r="BO1584">
        <f>IF($A1584="","",IF($A1583="",1,IF(BN1584&lt;&gt;BN1583,1,0)))</f>
        <v>0</v>
      </c>
      <c r="BP1584">
        <f>IF($A1584="","",IF($A1585="",1,IF(BN1585&lt;&gt;BN1584,1,0)))</f>
        <v>0</v>
      </c>
      <c r="BQ1584">
        <f>IF($A1584="","",IF(BO1584=1,$B1584,BQ1583))</f>
        <v>0</v>
      </c>
      <c r="BR1584">
        <f>IF($A1584="","",IF(BO1584=1,$C1584,MAX($C1584,BR1583)))</f>
        <v>0</v>
      </c>
      <c r="BS1584">
        <f>IF($A1584="","",IF(BO1584=1,$D1584,MIN($D1584,BS1583)))</f>
        <v>0</v>
      </c>
      <c r="BT1584">
        <f>IF($A1584="","",IF(BP1584=1,F1584,""))</f>
        <v>0</v>
      </c>
    </row>
    <row r="1585" spans="1:72">
      <c r="A1585" s="27">
        <f>IF(Data!$A1585="","",Data!$A1585)</f>
        <v>0</v>
      </c>
      <c r="B1585">
        <f>IF(Data!$B1585="","",Data!$B1585)</f>
        <v>0</v>
      </c>
      <c r="C1585">
        <f>IF(Data!$C1585="","",Data!$C1585)</f>
        <v>0</v>
      </c>
      <c r="D1585">
        <f>IF(Data!$D1585="","",Data!$D1585)</f>
        <v>0</v>
      </c>
      <c r="E1585">
        <f>IF(Data!$E1585="","",Data!$E1585)</f>
        <v>0</v>
      </c>
      <c r="F1585">
        <f>IF($E1585="","",N(F1584)+1)</f>
        <v>0</v>
      </c>
      <c r="G1585">
        <f>IF(OR($E1585="",$E1584=""),"",LN($E1585/$E1584))</f>
        <v>0</v>
      </c>
      <c r="H1585">
        <f>IF($E1585="","",IF($E1584="",$E1585,$E1585*0.0952380952+H1584*0.9047619048))</f>
        <v>0</v>
      </c>
      <c r="I1585">
        <f>IF($E1585="","",IF($E1584="",$E1585,$E1585*0.0392156863+I1584*0.9607843137))</f>
        <v>0</v>
      </c>
      <c r="J1585">
        <f>IF($E1585="","",IF($E1584="",$E1585,$E1585*0.0198019802+J1584*0.9801980198))</f>
        <v>0</v>
      </c>
      <c r="K1585">
        <f>IF($E1585="","",IF($E1584="",$E1585,$E1585*0.0099502488+K1584*0.9900497512))</f>
        <v>0</v>
      </c>
      <c r="L1585">
        <f>IF(OR($E1585="",$E1584=""),"",MAX($E1585-$E1584,0))</f>
        <v>0</v>
      </c>
      <c r="M1585">
        <f>IF(OR($E1585="",$E1584=""),"",MAX($E1584-$E1585,0))</f>
        <v>0</v>
      </c>
      <c r="N1585">
        <f>IF(COUNT($E$2:$E1585)&lt;15,"",IF(AVERAGE($M$1572:$M$1585)=0,100,100-100/(1+AVERAGE($L$1572:$L$1585)/AVERAGE($M$1572:$M$1585))))</f>
        <v>0</v>
      </c>
      <c r="O1585">
        <f>IF($E1585="","",IF($E1584="",$E1585,$E1585*0.1538461538+O1584*0.8461538462))</f>
        <v>0</v>
      </c>
      <c r="P1585">
        <f>IF($E1585="","",IF($E1584="",$E1585,$E1585*0.0740740741+P1584*0.9259259259))</f>
        <v>0</v>
      </c>
      <c r="Q1585">
        <f>IF(OR(O1585="",P1585=""),"",O1585-P1585)</f>
        <v>0</v>
      </c>
      <c r="R1585">
        <f>IF(Q1585="","",IF(R1584="",Q1585,Q1585*0.2000000000+R1584*0.8000000000))</f>
        <v>0</v>
      </c>
      <c r="S1585">
        <f>IF(OR(Q1585="",R1585=""),"",Q1585-R1585)</f>
        <v>0</v>
      </c>
      <c r="T1585">
        <f>IF(COUNT($E$2:$E1585)&lt;14,"",MAX($C$1572:$C$1585))</f>
        <v>0</v>
      </c>
      <c r="U1585">
        <f>IF(COUNT($E$2:$E1585)&lt;14,"",MIN($D$1572:$D$1585))</f>
        <v>0</v>
      </c>
      <c r="V1585">
        <f>IF(OR(T1585="",U1585="",T1585=U1585),"",100*($E1585-U1585)/(T1585-U1585))</f>
        <v>0</v>
      </c>
      <c r="W1585">
        <f>IF(COUNT($V$1583:$V$1585)&lt;3,"",AVERAGE($V$1583:$V$1585))</f>
        <v>0</v>
      </c>
      <c r="X1585">
        <f>IF(COUNT($N$1572:$N$1585)&lt;14,"",MIN($N$1572:$N$1585))</f>
        <v>0</v>
      </c>
      <c r="Y1585">
        <f>IF(COUNT($N$1572:$N$1585)&lt;14,"",MAX($N$1572:$N$1585))</f>
        <v>0</v>
      </c>
      <c r="Z1585">
        <f>IF(OR(N1585="",X1585="",Y1585="",Y1585=X1585),"",100*(N1585-X1585)/(Y1585-X1585))</f>
        <v>0</v>
      </c>
      <c r="AA1585">
        <f>IF(COUNT($Z$1583:$Z$1585)&lt;3,"",AVERAGE($Z$1583:$Z$1585))</f>
        <v>0</v>
      </c>
      <c r="AB1585">
        <f>IF(COUNT($AA$1583:$AA$1585)&lt;3,"",AVERAGE($AA$1583:$AA$1585))</f>
        <v>0</v>
      </c>
      <c r="AC1585">
        <f>IF($E1585="","",MAX($C1585-$D1585,ABS($C1585-$E1584),ABS($D1585-$E1584)))</f>
        <v>0</v>
      </c>
      <c r="AD1585">
        <f>IF(COUNT($E$2:$E1585)&lt;15,"",AVERAGE($AC$1572:$AC$1585))</f>
        <v>0</v>
      </c>
      <c r="AE1585">
        <f>IF(OR($E1585="",$E1584=""),"",IF(AND(($C1585-$C1584)&gt;($D1584-$D1585),($C1585-$C1584)&gt;0),$C1585-$C1584,0))</f>
        <v>0</v>
      </c>
      <c r="AF1585">
        <f>IF(OR($E1585="",$E1584=""),"",IF(AND(($D1584-$D1585)&gt;($C1585-$C1584),($D1584-$D1585)&gt;0),$D1584-$D1585,0))</f>
        <v>0</v>
      </c>
      <c r="AG1585">
        <f>IF(COUNT($E$2:$E1585)&lt;15,"",IF(SUM($AC$1572:$AC$1585)=0,0,100*SUM($AE$1572:$AE$1585)/SUM($AC$1572:$AC$1585)))</f>
        <v>0</v>
      </c>
      <c r="AH1585">
        <f>IF(COUNT($E$2:$E1585)&lt;15,"",IF(SUM($AC$1572:$AC$1585)=0,0,100*SUM($AF$1572:$AF$1585)/SUM($AC$1572:$AC$1585)))</f>
        <v>0</v>
      </c>
      <c r="AI1585">
        <f>IF(OR(AG1585="",AH1585=""),"",IF((AG1585+AH1585)=0,0,100*ABS(AG1585-AH1585)/(AG1585+AH1585)))</f>
        <v>0</v>
      </c>
      <c r="AJ1585">
        <f>IF(COUNT($AI$1572:$AI$1585)&lt;14,"",AVERAGE($AI$1572:$AI$1585))</f>
        <v>0</v>
      </c>
      <c r="AK1585">
        <f>IF(COUNT($E$2:$E1585)&lt;20,"",AVERAGE($E$1566:$E$1585))</f>
        <v>0</v>
      </c>
      <c r="AL1585">
        <f>IF(COUNT($E$2:$E1585)&lt;20,"",STDEVP($E$1566:$E$1585))</f>
        <v>0</v>
      </c>
      <c r="AM1585">
        <f>IF(AK1585="","",AK1585+2*AL1585)</f>
        <v>0</v>
      </c>
      <c r="AN1585">
        <f>IF(AK1585="","",AK1585-2*AL1585)</f>
        <v>0</v>
      </c>
      <c r="AO1585">
        <f>IF(OR(AM1585="",AN1585="",AM1585=AN1585),"",($E1585-AN1585)/(AM1585-AN1585))</f>
        <v>0</v>
      </c>
      <c r="AP1585">
        <f>IF(OR(AM1585="",AK1585="",AK1585=0),"",(AM1585-AN1585)/AK1585)</f>
        <v>0</v>
      </c>
      <c r="AQ1585">
        <f>IF(COUNT($E$2:$E1585)&lt;20,"",MAX($C$1566:$C$1585))</f>
        <v>0</v>
      </c>
      <c r="AR1585">
        <f>IF(COUNT($E$2:$E1585)&lt;20,"",MIN($D$1566:$D$1585))</f>
        <v>0</v>
      </c>
      <c r="AS1585">
        <f>IF(OR(AQ1585="",AR1585=""),"",(AQ1585+AR1585)/2)</f>
        <v>0</v>
      </c>
      <c r="AT1585">
        <f>IF(COUNT($G$1566:$G$1585)&lt;20,"",STDEV($G$1566:$G$1585)*SQRT(252))</f>
        <v>0</v>
      </c>
      <c r="AU1585">
        <f>IF(COUNT($E$2:$E1585)&lt;9,"",(MAX($C$1577:$C$1585)+MIN($D$1577:$D$1585))/2)</f>
        <v>0</v>
      </c>
      <c r="AV1585">
        <f>IF(COUNT($E$2:$E1585)&lt;26,"",(MAX($C$1560:$C$1585)+MIN($D$1560:$D$1585))/2)</f>
        <v>0</v>
      </c>
      <c r="AW1585">
        <f>IF(OR(AU1585="",AV1585=""),"",(AU1585+AV1585)/2)</f>
        <v>0</v>
      </c>
      <c r="AX1585">
        <f>IF(COUNT($E$2:$E1585)&lt;52,"",(MAX($C$1534:$C$1585)+MIN($D$1534:$D$1585))/2)</f>
        <v>0</v>
      </c>
      <c r="AY1585">
        <f>IF(COUNT($E$2:$E1585)&lt;20,"",MAX($C$1486:$C$1585))</f>
        <v>0</v>
      </c>
      <c r="AZ1585">
        <f>IF(COUNT($E$2:$E1585)&lt;20,"",MIN($D$1486:$D$1585))</f>
        <v>0</v>
      </c>
      <c r="BA1585">
        <f>IF(COUNT($E$2:$E1585)&lt;20,"",SLOPE($E$1486:$E$1585,$F$1486:$F$1585))</f>
        <v>0</v>
      </c>
      <c r="BB1585">
        <f>IF(COUNT($E$2:$E1585)&lt;20,"",INTERCEPT($E$1486:$E$1585,$F$1486:$F$1585))</f>
        <v>0</v>
      </c>
      <c r="BC1585">
        <f>IF(OR(BA1585="",BB1585=""),"",BB1585+BA1585*F1585)</f>
        <v>0</v>
      </c>
      <c r="BD1585">
        <f>IF(COUNT($E$2:$E1585)&lt;20,"",STEYX($E$1486:$E$1585,$F$1486:$F$1585))</f>
        <v>0</v>
      </c>
      <c r="BE1585">
        <f>IF($E1585="","",IF(AND(COUNT($E$1586:$E$1589)&gt;=4,$C1585=MAX($C$1581:$C$1589)),$C1585,""))</f>
        <v>0</v>
      </c>
      <c r="BF1585">
        <f>IF($E1585="","",IF(AND(COUNT($E$1586:$E$1589)&gt;=4,$D1585=MIN($D$1581:$D$1589)),$D1585,""))</f>
        <v>0</v>
      </c>
      <c r="BG1585">
        <f>IF($A1585="","",$A1585-WEEKDAY($A1585,2)+1)</f>
        <v>0</v>
      </c>
      <c r="BH1585">
        <f>IF($A1585="","",IF($A1584="",1,IF(BG1585&lt;&gt;BG1584,1,0)))</f>
        <v>0</v>
      </c>
      <c r="BI1585">
        <f>IF($A1585="","",IF($A1586="",1,IF(BG1586&lt;&gt;BG1585,1,0)))</f>
        <v>0</v>
      </c>
      <c r="BJ1585">
        <f>IF($A1585="","",IF(BH1585=1,$B1585,BJ1584))</f>
        <v>0</v>
      </c>
      <c r="BK1585">
        <f>IF($A1585="","",IF(BH1585=1,$C1585,MAX($C1585,BK1584)))</f>
        <v>0</v>
      </c>
      <c r="BL1585">
        <f>IF($A1585="","",IF(BH1585=1,$D1585,MIN($D1585,BL1584)))</f>
        <v>0</v>
      </c>
      <c r="BM1585">
        <f>IF($A1585="","",IF(BI1585=1,F1585,""))</f>
        <v>0</v>
      </c>
      <c r="BN1585">
        <f>IF($A1585="","",DATE(YEAR($A1585),MONTH($A1585),1))</f>
        <v>0</v>
      </c>
      <c r="BO1585">
        <f>IF($A1585="","",IF($A1584="",1,IF(BN1585&lt;&gt;BN1584,1,0)))</f>
        <v>0</v>
      </c>
      <c r="BP1585">
        <f>IF($A1585="","",IF($A1586="",1,IF(BN1586&lt;&gt;BN1585,1,0)))</f>
        <v>0</v>
      </c>
      <c r="BQ1585">
        <f>IF($A1585="","",IF(BO1585=1,$B1585,BQ1584))</f>
        <v>0</v>
      </c>
      <c r="BR1585">
        <f>IF($A1585="","",IF(BO1585=1,$C1585,MAX($C1585,BR1584)))</f>
        <v>0</v>
      </c>
      <c r="BS1585">
        <f>IF($A1585="","",IF(BO1585=1,$D1585,MIN($D1585,BS1584)))</f>
        <v>0</v>
      </c>
      <c r="BT1585">
        <f>IF($A1585="","",IF(BP1585=1,F1585,""))</f>
        <v>0</v>
      </c>
    </row>
    <row r="1586" spans="1:72">
      <c r="A1586" s="27">
        <f>IF(Data!$A1586="","",Data!$A1586)</f>
        <v>0</v>
      </c>
      <c r="B1586">
        <f>IF(Data!$B1586="","",Data!$B1586)</f>
        <v>0</v>
      </c>
      <c r="C1586">
        <f>IF(Data!$C1586="","",Data!$C1586)</f>
        <v>0</v>
      </c>
      <c r="D1586">
        <f>IF(Data!$D1586="","",Data!$D1586)</f>
        <v>0</v>
      </c>
      <c r="E1586">
        <f>IF(Data!$E1586="","",Data!$E1586)</f>
        <v>0</v>
      </c>
      <c r="F1586">
        <f>IF($E1586="","",N(F1585)+1)</f>
        <v>0</v>
      </c>
      <c r="G1586">
        <f>IF(OR($E1586="",$E1585=""),"",LN($E1586/$E1585))</f>
        <v>0</v>
      </c>
      <c r="H1586">
        <f>IF($E1586="","",IF($E1585="",$E1586,$E1586*0.0952380952+H1585*0.9047619048))</f>
        <v>0</v>
      </c>
      <c r="I1586">
        <f>IF($E1586="","",IF($E1585="",$E1586,$E1586*0.0392156863+I1585*0.9607843137))</f>
        <v>0</v>
      </c>
      <c r="J1586">
        <f>IF($E1586="","",IF($E1585="",$E1586,$E1586*0.0198019802+J1585*0.9801980198))</f>
        <v>0</v>
      </c>
      <c r="K1586">
        <f>IF($E1586="","",IF($E1585="",$E1586,$E1586*0.0099502488+K1585*0.9900497512))</f>
        <v>0</v>
      </c>
      <c r="L1586">
        <f>IF(OR($E1586="",$E1585=""),"",MAX($E1586-$E1585,0))</f>
        <v>0</v>
      </c>
      <c r="M1586">
        <f>IF(OR($E1586="",$E1585=""),"",MAX($E1585-$E1586,0))</f>
        <v>0</v>
      </c>
      <c r="N1586">
        <f>IF(COUNT($E$2:$E1586)&lt;15,"",IF(AVERAGE($M$1573:$M$1586)=0,100,100-100/(1+AVERAGE($L$1573:$L$1586)/AVERAGE($M$1573:$M$1586))))</f>
        <v>0</v>
      </c>
      <c r="O1586">
        <f>IF($E1586="","",IF($E1585="",$E1586,$E1586*0.1538461538+O1585*0.8461538462))</f>
        <v>0</v>
      </c>
      <c r="P1586">
        <f>IF($E1586="","",IF($E1585="",$E1586,$E1586*0.0740740741+P1585*0.9259259259))</f>
        <v>0</v>
      </c>
      <c r="Q1586">
        <f>IF(OR(O1586="",P1586=""),"",O1586-P1586)</f>
        <v>0</v>
      </c>
      <c r="R1586">
        <f>IF(Q1586="","",IF(R1585="",Q1586,Q1586*0.2000000000+R1585*0.8000000000))</f>
        <v>0</v>
      </c>
      <c r="S1586">
        <f>IF(OR(Q1586="",R1586=""),"",Q1586-R1586)</f>
        <v>0</v>
      </c>
      <c r="T1586">
        <f>IF(COUNT($E$2:$E1586)&lt;14,"",MAX($C$1573:$C$1586))</f>
        <v>0</v>
      </c>
      <c r="U1586">
        <f>IF(COUNT($E$2:$E1586)&lt;14,"",MIN($D$1573:$D$1586))</f>
        <v>0</v>
      </c>
      <c r="V1586">
        <f>IF(OR(T1586="",U1586="",T1586=U1586),"",100*($E1586-U1586)/(T1586-U1586))</f>
        <v>0</v>
      </c>
      <c r="W1586">
        <f>IF(COUNT($V$1584:$V$1586)&lt;3,"",AVERAGE($V$1584:$V$1586))</f>
        <v>0</v>
      </c>
      <c r="X1586">
        <f>IF(COUNT($N$1573:$N$1586)&lt;14,"",MIN($N$1573:$N$1586))</f>
        <v>0</v>
      </c>
      <c r="Y1586">
        <f>IF(COUNT($N$1573:$N$1586)&lt;14,"",MAX($N$1573:$N$1586))</f>
        <v>0</v>
      </c>
      <c r="Z1586">
        <f>IF(OR(N1586="",X1586="",Y1586="",Y1586=X1586),"",100*(N1586-X1586)/(Y1586-X1586))</f>
        <v>0</v>
      </c>
      <c r="AA1586">
        <f>IF(COUNT($Z$1584:$Z$1586)&lt;3,"",AVERAGE($Z$1584:$Z$1586))</f>
        <v>0</v>
      </c>
      <c r="AB1586">
        <f>IF(COUNT($AA$1584:$AA$1586)&lt;3,"",AVERAGE($AA$1584:$AA$1586))</f>
        <v>0</v>
      </c>
      <c r="AC1586">
        <f>IF($E1586="","",MAX($C1586-$D1586,ABS($C1586-$E1585),ABS($D1586-$E1585)))</f>
        <v>0</v>
      </c>
      <c r="AD1586">
        <f>IF(COUNT($E$2:$E1586)&lt;15,"",AVERAGE($AC$1573:$AC$1586))</f>
        <v>0</v>
      </c>
      <c r="AE1586">
        <f>IF(OR($E1586="",$E1585=""),"",IF(AND(($C1586-$C1585)&gt;($D1585-$D1586),($C1586-$C1585)&gt;0),$C1586-$C1585,0))</f>
        <v>0</v>
      </c>
      <c r="AF1586">
        <f>IF(OR($E1586="",$E1585=""),"",IF(AND(($D1585-$D1586)&gt;($C1586-$C1585),($D1585-$D1586)&gt;0),$D1585-$D1586,0))</f>
        <v>0</v>
      </c>
      <c r="AG1586">
        <f>IF(COUNT($E$2:$E1586)&lt;15,"",IF(SUM($AC$1573:$AC$1586)=0,0,100*SUM($AE$1573:$AE$1586)/SUM($AC$1573:$AC$1586)))</f>
        <v>0</v>
      </c>
      <c r="AH1586">
        <f>IF(COUNT($E$2:$E1586)&lt;15,"",IF(SUM($AC$1573:$AC$1586)=0,0,100*SUM($AF$1573:$AF$1586)/SUM($AC$1573:$AC$1586)))</f>
        <v>0</v>
      </c>
      <c r="AI1586">
        <f>IF(OR(AG1586="",AH1586=""),"",IF((AG1586+AH1586)=0,0,100*ABS(AG1586-AH1586)/(AG1586+AH1586)))</f>
        <v>0</v>
      </c>
      <c r="AJ1586">
        <f>IF(COUNT($AI$1573:$AI$1586)&lt;14,"",AVERAGE($AI$1573:$AI$1586))</f>
        <v>0</v>
      </c>
      <c r="AK1586">
        <f>IF(COUNT($E$2:$E1586)&lt;20,"",AVERAGE($E$1567:$E$1586))</f>
        <v>0</v>
      </c>
      <c r="AL1586">
        <f>IF(COUNT($E$2:$E1586)&lt;20,"",STDEVP($E$1567:$E$1586))</f>
        <v>0</v>
      </c>
      <c r="AM1586">
        <f>IF(AK1586="","",AK1586+2*AL1586)</f>
        <v>0</v>
      </c>
      <c r="AN1586">
        <f>IF(AK1586="","",AK1586-2*AL1586)</f>
        <v>0</v>
      </c>
      <c r="AO1586">
        <f>IF(OR(AM1586="",AN1586="",AM1586=AN1586),"",($E1586-AN1586)/(AM1586-AN1586))</f>
        <v>0</v>
      </c>
      <c r="AP1586">
        <f>IF(OR(AM1586="",AK1586="",AK1586=0),"",(AM1586-AN1586)/AK1586)</f>
        <v>0</v>
      </c>
      <c r="AQ1586">
        <f>IF(COUNT($E$2:$E1586)&lt;20,"",MAX($C$1567:$C$1586))</f>
        <v>0</v>
      </c>
      <c r="AR1586">
        <f>IF(COUNT($E$2:$E1586)&lt;20,"",MIN($D$1567:$D$1586))</f>
        <v>0</v>
      </c>
      <c r="AS1586">
        <f>IF(OR(AQ1586="",AR1586=""),"",(AQ1586+AR1586)/2)</f>
        <v>0</v>
      </c>
      <c r="AT1586">
        <f>IF(COUNT($G$1567:$G$1586)&lt;20,"",STDEV($G$1567:$G$1586)*SQRT(252))</f>
        <v>0</v>
      </c>
      <c r="AU1586">
        <f>IF(COUNT($E$2:$E1586)&lt;9,"",(MAX($C$1578:$C$1586)+MIN($D$1578:$D$1586))/2)</f>
        <v>0</v>
      </c>
      <c r="AV1586">
        <f>IF(COUNT($E$2:$E1586)&lt;26,"",(MAX($C$1561:$C$1586)+MIN($D$1561:$D$1586))/2)</f>
        <v>0</v>
      </c>
      <c r="AW1586">
        <f>IF(OR(AU1586="",AV1586=""),"",(AU1586+AV1586)/2)</f>
        <v>0</v>
      </c>
      <c r="AX1586">
        <f>IF(COUNT($E$2:$E1586)&lt;52,"",(MAX($C$1535:$C$1586)+MIN($D$1535:$D$1586))/2)</f>
        <v>0</v>
      </c>
      <c r="AY1586">
        <f>IF(COUNT($E$2:$E1586)&lt;20,"",MAX($C$1487:$C$1586))</f>
        <v>0</v>
      </c>
      <c r="AZ1586">
        <f>IF(COUNT($E$2:$E1586)&lt;20,"",MIN($D$1487:$D$1586))</f>
        <v>0</v>
      </c>
      <c r="BA1586">
        <f>IF(COUNT($E$2:$E1586)&lt;20,"",SLOPE($E$1487:$E$1586,$F$1487:$F$1586))</f>
        <v>0</v>
      </c>
      <c r="BB1586">
        <f>IF(COUNT($E$2:$E1586)&lt;20,"",INTERCEPT($E$1487:$E$1586,$F$1487:$F$1586))</f>
        <v>0</v>
      </c>
      <c r="BC1586">
        <f>IF(OR(BA1586="",BB1586=""),"",BB1586+BA1586*F1586)</f>
        <v>0</v>
      </c>
      <c r="BD1586">
        <f>IF(COUNT($E$2:$E1586)&lt;20,"",STEYX($E$1487:$E$1586,$F$1487:$F$1586))</f>
        <v>0</v>
      </c>
      <c r="BE1586">
        <f>IF($E1586="","",IF(AND(COUNT($E$1587:$E$1590)&gt;=4,$C1586=MAX($C$1582:$C$1590)),$C1586,""))</f>
        <v>0</v>
      </c>
      <c r="BF1586">
        <f>IF($E1586="","",IF(AND(COUNT($E$1587:$E$1590)&gt;=4,$D1586=MIN($D$1582:$D$1590)),$D1586,""))</f>
        <v>0</v>
      </c>
      <c r="BG1586">
        <f>IF($A1586="","",$A1586-WEEKDAY($A1586,2)+1)</f>
        <v>0</v>
      </c>
      <c r="BH1586">
        <f>IF($A1586="","",IF($A1585="",1,IF(BG1586&lt;&gt;BG1585,1,0)))</f>
        <v>0</v>
      </c>
      <c r="BI1586">
        <f>IF($A1586="","",IF($A1587="",1,IF(BG1587&lt;&gt;BG1586,1,0)))</f>
        <v>0</v>
      </c>
      <c r="BJ1586">
        <f>IF($A1586="","",IF(BH1586=1,$B1586,BJ1585))</f>
        <v>0</v>
      </c>
      <c r="BK1586">
        <f>IF($A1586="","",IF(BH1586=1,$C1586,MAX($C1586,BK1585)))</f>
        <v>0</v>
      </c>
      <c r="BL1586">
        <f>IF($A1586="","",IF(BH1586=1,$D1586,MIN($D1586,BL1585)))</f>
        <v>0</v>
      </c>
      <c r="BM1586">
        <f>IF($A1586="","",IF(BI1586=1,F1586,""))</f>
        <v>0</v>
      </c>
      <c r="BN1586">
        <f>IF($A1586="","",DATE(YEAR($A1586),MONTH($A1586),1))</f>
        <v>0</v>
      </c>
      <c r="BO1586">
        <f>IF($A1586="","",IF($A1585="",1,IF(BN1586&lt;&gt;BN1585,1,0)))</f>
        <v>0</v>
      </c>
      <c r="BP1586">
        <f>IF($A1586="","",IF($A1587="",1,IF(BN1587&lt;&gt;BN1586,1,0)))</f>
        <v>0</v>
      </c>
      <c r="BQ1586">
        <f>IF($A1586="","",IF(BO1586=1,$B1586,BQ1585))</f>
        <v>0</v>
      </c>
      <c r="BR1586">
        <f>IF($A1586="","",IF(BO1586=1,$C1586,MAX($C1586,BR1585)))</f>
        <v>0</v>
      </c>
      <c r="BS1586">
        <f>IF($A1586="","",IF(BO1586=1,$D1586,MIN($D1586,BS1585)))</f>
        <v>0</v>
      </c>
      <c r="BT1586">
        <f>IF($A1586="","",IF(BP1586=1,F1586,""))</f>
        <v>0</v>
      </c>
    </row>
    <row r="1587" spans="1:72">
      <c r="A1587" s="27">
        <f>IF(Data!$A1587="","",Data!$A1587)</f>
        <v>0</v>
      </c>
      <c r="B1587">
        <f>IF(Data!$B1587="","",Data!$B1587)</f>
        <v>0</v>
      </c>
      <c r="C1587">
        <f>IF(Data!$C1587="","",Data!$C1587)</f>
        <v>0</v>
      </c>
      <c r="D1587">
        <f>IF(Data!$D1587="","",Data!$D1587)</f>
        <v>0</v>
      </c>
      <c r="E1587">
        <f>IF(Data!$E1587="","",Data!$E1587)</f>
        <v>0</v>
      </c>
      <c r="F1587">
        <f>IF($E1587="","",N(F1586)+1)</f>
        <v>0</v>
      </c>
      <c r="G1587">
        <f>IF(OR($E1587="",$E1586=""),"",LN($E1587/$E1586))</f>
        <v>0</v>
      </c>
      <c r="H1587">
        <f>IF($E1587="","",IF($E1586="",$E1587,$E1587*0.0952380952+H1586*0.9047619048))</f>
        <v>0</v>
      </c>
      <c r="I1587">
        <f>IF($E1587="","",IF($E1586="",$E1587,$E1587*0.0392156863+I1586*0.9607843137))</f>
        <v>0</v>
      </c>
      <c r="J1587">
        <f>IF($E1587="","",IF($E1586="",$E1587,$E1587*0.0198019802+J1586*0.9801980198))</f>
        <v>0</v>
      </c>
      <c r="K1587">
        <f>IF($E1587="","",IF($E1586="",$E1587,$E1587*0.0099502488+K1586*0.9900497512))</f>
        <v>0</v>
      </c>
      <c r="L1587">
        <f>IF(OR($E1587="",$E1586=""),"",MAX($E1587-$E1586,0))</f>
        <v>0</v>
      </c>
      <c r="M1587">
        <f>IF(OR($E1587="",$E1586=""),"",MAX($E1586-$E1587,0))</f>
        <v>0</v>
      </c>
      <c r="N1587">
        <f>IF(COUNT($E$2:$E1587)&lt;15,"",IF(AVERAGE($M$1574:$M$1587)=0,100,100-100/(1+AVERAGE($L$1574:$L$1587)/AVERAGE($M$1574:$M$1587))))</f>
        <v>0</v>
      </c>
      <c r="O1587">
        <f>IF($E1587="","",IF($E1586="",$E1587,$E1587*0.1538461538+O1586*0.8461538462))</f>
        <v>0</v>
      </c>
      <c r="P1587">
        <f>IF($E1587="","",IF($E1586="",$E1587,$E1587*0.0740740741+P1586*0.9259259259))</f>
        <v>0</v>
      </c>
      <c r="Q1587">
        <f>IF(OR(O1587="",P1587=""),"",O1587-P1587)</f>
        <v>0</v>
      </c>
      <c r="R1587">
        <f>IF(Q1587="","",IF(R1586="",Q1587,Q1587*0.2000000000+R1586*0.8000000000))</f>
        <v>0</v>
      </c>
      <c r="S1587">
        <f>IF(OR(Q1587="",R1587=""),"",Q1587-R1587)</f>
        <v>0</v>
      </c>
      <c r="T1587">
        <f>IF(COUNT($E$2:$E1587)&lt;14,"",MAX($C$1574:$C$1587))</f>
        <v>0</v>
      </c>
      <c r="U1587">
        <f>IF(COUNT($E$2:$E1587)&lt;14,"",MIN($D$1574:$D$1587))</f>
        <v>0</v>
      </c>
      <c r="V1587">
        <f>IF(OR(T1587="",U1587="",T1587=U1587),"",100*($E1587-U1587)/(T1587-U1587))</f>
        <v>0</v>
      </c>
      <c r="W1587">
        <f>IF(COUNT($V$1585:$V$1587)&lt;3,"",AVERAGE($V$1585:$V$1587))</f>
        <v>0</v>
      </c>
      <c r="X1587">
        <f>IF(COUNT($N$1574:$N$1587)&lt;14,"",MIN($N$1574:$N$1587))</f>
        <v>0</v>
      </c>
      <c r="Y1587">
        <f>IF(COUNT($N$1574:$N$1587)&lt;14,"",MAX($N$1574:$N$1587))</f>
        <v>0</v>
      </c>
      <c r="Z1587">
        <f>IF(OR(N1587="",X1587="",Y1587="",Y1587=X1587),"",100*(N1587-X1587)/(Y1587-X1587))</f>
        <v>0</v>
      </c>
      <c r="AA1587">
        <f>IF(COUNT($Z$1585:$Z$1587)&lt;3,"",AVERAGE($Z$1585:$Z$1587))</f>
        <v>0</v>
      </c>
      <c r="AB1587">
        <f>IF(COUNT($AA$1585:$AA$1587)&lt;3,"",AVERAGE($AA$1585:$AA$1587))</f>
        <v>0</v>
      </c>
      <c r="AC1587">
        <f>IF($E1587="","",MAX($C1587-$D1587,ABS($C1587-$E1586),ABS($D1587-$E1586)))</f>
        <v>0</v>
      </c>
      <c r="AD1587">
        <f>IF(COUNT($E$2:$E1587)&lt;15,"",AVERAGE($AC$1574:$AC$1587))</f>
        <v>0</v>
      </c>
      <c r="AE1587">
        <f>IF(OR($E1587="",$E1586=""),"",IF(AND(($C1587-$C1586)&gt;($D1586-$D1587),($C1587-$C1586)&gt;0),$C1587-$C1586,0))</f>
        <v>0</v>
      </c>
      <c r="AF1587">
        <f>IF(OR($E1587="",$E1586=""),"",IF(AND(($D1586-$D1587)&gt;($C1587-$C1586),($D1586-$D1587)&gt;0),$D1586-$D1587,0))</f>
        <v>0</v>
      </c>
      <c r="AG1587">
        <f>IF(COUNT($E$2:$E1587)&lt;15,"",IF(SUM($AC$1574:$AC$1587)=0,0,100*SUM($AE$1574:$AE$1587)/SUM($AC$1574:$AC$1587)))</f>
        <v>0</v>
      </c>
      <c r="AH1587">
        <f>IF(COUNT($E$2:$E1587)&lt;15,"",IF(SUM($AC$1574:$AC$1587)=0,0,100*SUM($AF$1574:$AF$1587)/SUM($AC$1574:$AC$1587)))</f>
        <v>0</v>
      </c>
      <c r="AI1587">
        <f>IF(OR(AG1587="",AH1587=""),"",IF((AG1587+AH1587)=0,0,100*ABS(AG1587-AH1587)/(AG1587+AH1587)))</f>
        <v>0</v>
      </c>
      <c r="AJ1587">
        <f>IF(COUNT($AI$1574:$AI$1587)&lt;14,"",AVERAGE($AI$1574:$AI$1587))</f>
        <v>0</v>
      </c>
      <c r="AK1587">
        <f>IF(COUNT($E$2:$E1587)&lt;20,"",AVERAGE($E$1568:$E$1587))</f>
        <v>0</v>
      </c>
      <c r="AL1587">
        <f>IF(COUNT($E$2:$E1587)&lt;20,"",STDEVP($E$1568:$E$1587))</f>
        <v>0</v>
      </c>
      <c r="AM1587">
        <f>IF(AK1587="","",AK1587+2*AL1587)</f>
        <v>0</v>
      </c>
      <c r="AN1587">
        <f>IF(AK1587="","",AK1587-2*AL1587)</f>
        <v>0</v>
      </c>
      <c r="AO1587">
        <f>IF(OR(AM1587="",AN1587="",AM1587=AN1587),"",($E1587-AN1587)/(AM1587-AN1587))</f>
        <v>0</v>
      </c>
      <c r="AP1587">
        <f>IF(OR(AM1587="",AK1587="",AK1587=0),"",(AM1587-AN1587)/AK1587)</f>
        <v>0</v>
      </c>
      <c r="AQ1587">
        <f>IF(COUNT($E$2:$E1587)&lt;20,"",MAX($C$1568:$C$1587))</f>
        <v>0</v>
      </c>
      <c r="AR1587">
        <f>IF(COUNT($E$2:$E1587)&lt;20,"",MIN($D$1568:$D$1587))</f>
        <v>0</v>
      </c>
      <c r="AS1587">
        <f>IF(OR(AQ1587="",AR1587=""),"",(AQ1587+AR1587)/2)</f>
        <v>0</v>
      </c>
      <c r="AT1587">
        <f>IF(COUNT($G$1568:$G$1587)&lt;20,"",STDEV($G$1568:$G$1587)*SQRT(252))</f>
        <v>0</v>
      </c>
      <c r="AU1587">
        <f>IF(COUNT($E$2:$E1587)&lt;9,"",(MAX($C$1579:$C$1587)+MIN($D$1579:$D$1587))/2)</f>
        <v>0</v>
      </c>
      <c r="AV1587">
        <f>IF(COUNT($E$2:$E1587)&lt;26,"",(MAX($C$1562:$C$1587)+MIN($D$1562:$D$1587))/2)</f>
        <v>0</v>
      </c>
      <c r="AW1587">
        <f>IF(OR(AU1587="",AV1587=""),"",(AU1587+AV1587)/2)</f>
        <v>0</v>
      </c>
      <c r="AX1587">
        <f>IF(COUNT($E$2:$E1587)&lt;52,"",(MAX($C$1536:$C$1587)+MIN($D$1536:$D$1587))/2)</f>
        <v>0</v>
      </c>
      <c r="AY1587">
        <f>IF(COUNT($E$2:$E1587)&lt;20,"",MAX($C$1488:$C$1587))</f>
        <v>0</v>
      </c>
      <c r="AZ1587">
        <f>IF(COUNT($E$2:$E1587)&lt;20,"",MIN($D$1488:$D$1587))</f>
        <v>0</v>
      </c>
      <c r="BA1587">
        <f>IF(COUNT($E$2:$E1587)&lt;20,"",SLOPE($E$1488:$E$1587,$F$1488:$F$1587))</f>
        <v>0</v>
      </c>
      <c r="BB1587">
        <f>IF(COUNT($E$2:$E1587)&lt;20,"",INTERCEPT($E$1488:$E$1587,$F$1488:$F$1587))</f>
        <v>0</v>
      </c>
      <c r="BC1587">
        <f>IF(OR(BA1587="",BB1587=""),"",BB1587+BA1587*F1587)</f>
        <v>0</v>
      </c>
      <c r="BD1587">
        <f>IF(COUNT($E$2:$E1587)&lt;20,"",STEYX($E$1488:$E$1587,$F$1488:$F$1587))</f>
        <v>0</v>
      </c>
      <c r="BE1587">
        <f>IF($E1587="","",IF(AND(COUNT($E$1588:$E$1591)&gt;=4,$C1587=MAX($C$1583:$C$1591)),$C1587,""))</f>
        <v>0</v>
      </c>
      <c r="BF1587">
        <f>IF($E1587="","",IF(AND(COUNT($E$1588:$E$1591)&gt;=4,$D1587=MIN($D$1583:$D$1591)),$D1587,""))</f>
        <v>0</v>
      </c>
      <c r="BG1587">
        <f>IF($A1587="","",$A1587-WEEKDAY($A1587,2)+1)</f>
        <v>0</v>
      </c>
      <c r="BH1587">
        <f>IF($A1587="","",IF($A1586="",1,IF(BG1587&lt;&gt;BG1586,1,0)))</f>
        <v>0</v>
      </c>
      <c r="BI1587">
        <f>IF($A1587="","",IF($A1588="",1,IF(BG1588&lt;&gt;BG1587,1,0)))</f>
        <v>0</v>
      </c>
      <c r="BJ1587">
        <f>IF($A1587="","",IF(BH1587=1,$B1587,BJ1586))</f>
        <v>0</v>
      </c>
      <c r="BK1587">
        <f>IF($A1587="","",IF(BH1587=1,$C1587,MAX($C1587,BK1586)))</f>
        <v>0</v>
      </c>
      <c r="BL1587">
        <f>IF($A1587="","",IF(BH1587=1,$D1587,MIN($D1587,BL1586)))</f>
        <v>0</v>
      </c>
      <c r="BM1587">
        <f>IF($A1587="","",IF(BI1587=1,F1587,""))</f>
        <v>0</v>
      </c>
      <c r="BN1587">
        <f>IF($A1587="","",DATE(YEAR($A1587),MONTH($A1587),1))</f>
        <v>0</v>
      </c>
      <c r="BO1587">
        <f>IF($A1587="","",IF($A1586="",1,IF(BN1587&lt;&gt;BN1586,1,0)))</f>
        <v>0</v>
      </c>
      <c r="BP1587">
        <f>IF($A1587="","",IF($A1588="",1,IF(BN1588&lt;&gt;BN1587,1,0)))</f>
        <v>0</v>
      </c>
      <c r="BQ1587">
        <f>IF($A1587="","",IF(BO1587=1,$B1587,BQ1586))</f>
        <v>0</v>
      </c>
      <c r="BR1587">
        <f>IF($A1587="","",IF(BO1587=1,$C1587,MAX($C1587,BR1586)))</f>
        <v>0</v>
      </c>
      <c r="BS1587">
        <f>IF($A1587="","",IF(BO1587=1,$D1587,MIN($D1587,BS1586)))</f>
        <v>0</v>
      </c>
      <c r="BT1587">
        <f>IF($A1587="","",IF(BP1587=1,F1587,""))</f>
        <v>0</v>
      </c>
    </row>
    <row r="1588" spans="1:72">
      <c r="A1588" s="27">
        <f>IF(Data!$A1588="","",Data!$A1588)</f>
        <v>0</v>
      </c>
      <c r="B1588">
        <f>IF(Data!$B1588="","",Data!$B1588)</f>
        <v>0</v>
      </c>
      <c r="C1588">
        <f>IF(Data!$C1588="","",Data!$C1588)</f>
        <v>0</v>
      </c>
      <c r="D1588">
        <f>IF(Data!$D1588="","",Data!$D1588)</f>
        <v>0</v>
      </c>
      <c r="E1588">
        <f>IF(Data!$E1588="","",Data!$E1588)</f>
        <v>0</v>
      </c>
      <c r="F1588">
        <f>IF($E1588="","",N(F1587)+1)</f>
        <v>0</v>
      </c>
      <c r="G1588">
        <f>IF(OR($E1588="",$E1587=""),"",LN($E1588/$E1587))</f>
        <v>0</v>
      </c>
      <c r="H1588">
        <f>IF($E1588="","",IF($E1587="",$E1588,$E1588*0.0952380952+H1587*0.9047619048))</f>
        <v>0</v>
      </c>
      <c r="I1588">
        <f>IF($E1588="","",IF($E1587="",$E1588,$E1588*0.0392156863+I1587*0.9607843137))</f>
        <v>0</v>
      </c>
      <c r="J1588">
        <f>IF($E1588="","",IF($E1587="",$E1588,$E1588*0.0198019802+J1587*0.9801980198))</f>
        <v>0</v>
      </c>
      <c r="K1588">
        <f>IF($E1588="","",IF($E1587="",$E1588,$E1588*0.0099502488+K1587*0.9900497512))</f>
        <v>0</v>
      </c>
      <c r="L1588">
        <f>IF(OR($E1588="",$E1587=""),"",MAX($E1588-$E1587,0))</f>
        <v>0</v>
      </c>
      <c r="M1588">
        <f>IF(OR($E1588="",$E1587=""),"",MAX($E1587-$E1588,0))</f>
        <v>0</v>
      </c>
      <c r="N1588">
        <f>IF(COUNT($E$2:$E1588)&lt;15,"",IF(AVERAGE($M$1575:$M$1588)=0,100,100-100/(1+AVERAGE($L$1575:$L$1588)/AVERAGE($M$1575:$M$1588))))</f>
        <v>0</v>
      </c>
      <c r="O1588">
        <f>IF($E1588="","",IF($E1587="",$E1588,$E1588*0.1538461538+O1587*0.8461538462))</f>
        <v>0</v>
      </c>
      <c r="P1588">
        <f>IF($E1588="","",IF($E1587="",$E1588,$E1588*0.0740740741+P1587*0.9259259259))</f>
        <v>0</v>
      </c>
      <c r="Q1588">
        <f>IF(OR(O1588="",P1588=""),"",O1588-P1588)</f>
        <v>0</v>
      </c>
      <c r="R1588">
        <f>IF(Q1588="","",IF(R1587="",Q1588,Q1588*0.2000000000+R1587*0.8000000000))</f>
        <v>0</v>
      </c>
      <c r="S1588">
        <f>IF(OR(Q1588="",R1588=""),"",Q1588-R1588)</f>
        <v>0</v>
      </c>
      <c r="T1588">
        <f>IF(COUNT($E$2:$E1588)&lt;14,"",MAX($C$1575:$C$1588))</f>
        <v>0</v>
      </c>
      <c r="U1588">
        <f>IF(COUNT($E$2:$E1588)&lt;14,"",MIN($D$1575:$D$1588))</f>
        <v>0</v>
      </c>
      <c r="V1588">
        <f>IF(OR(T1588="",U1588="",T1588=U1588),"",100*($E1588-U1588)/(T1588-U1588))</f>
        <v>0</v>
      </c>
      <c r="W1588">
        <f>IF(COUNT($V$1586:$V$1588)&lt;3,"",AVERAGE($V$1586:$V$1588))</f>
        <v>0</v>
      </c>
      <c r="X1588">
        <f>IF(COUNT($N$1575:$N$1588)&lt;14,"",MIN($N$1575:$N$1588))</f>
        <v>0</v>
      </c>
      <c r="Y1588">
        <f>IF(COUNT($N$1575:$N$1588)&lt;14,"",MAX($N$1575:$N$1588))</f>
        <v>0</v>
      </c>
      <c r="Z1588">
        <f>IF(OR(N1588="",X1588="",Y1588="",Y1588=X1588),"",100*(N1588-X1588)/(Y1588-X1588))</f>
        <v>0</v>
      </c>
      <c r="AA1588">
        <f>IF(COUNT($Z$1586:$Z$1588)&lt;3,"",AVERAGE($Z$1586:$Z$1588))</f>
        <v>0</v>
      </c>
      <c r="AB1588">
        <f>IF(COUNT($AA$1586:$AA$1588)&lt;3,"",AVERAGE($AA$1586:$AA$1588))</f>
        <v>0</v>
      </c>
      <c r="AC1588">
        <f>IF($E1588="","",MAX($C1588-$D1588,ABS($C1588-$E1587),ABS($D1588-$E1587)))</f>
        <v>0</v>
      </c>
      <c r="AD1588">
        <f>IF(COUNT($E$2:$E1588)&lt;15,"",AVERAGE($AC$1575:$AC$1588))</f>
        <v>0</v>
      </c>
      <c r="AE1588">
        <f>IF(OR($E1588="",$E1587=""),"",IF(AND(($C1588-$C1587)&gt;($D1587-$D1588),($C1588-$C1587)&gt;0),$C1588-$C1587,0))</f>
        <v>0</v>
      </c>
      <c r="AF1588">
        <f>IF(OR($E1588="",$E1587=""),"",IF(AND(($D1587-$D1588)&gt;($C1588-$C1587),($D1587-$D1588)&gt;0),$D1587-$D1588,0))</f>
        <v>0</v>
      </c>
      <c r="AG1588">
        <f>IF(COUNT($E$2:$E1588)&lt;15,"",IF(SUM($AC$1575:$AC$1588)=0,0,100*SUM($AE$1575:$AE$1588)/SUM($AC$1575:$AC$1588)))</f>
        <v>0</v>
      </c>
      <c r="AH1588">
        <f>IF(COUNT($E$2:$E1588)&lt;15,"",IF(SUM($AC$1575:$AC$1588)=0,0,100*SUM($AF$1575:$AF$1588)/SUM($AC$1575:$AC$1588)))</f>
        <v>0</v>
      </c>
      <c r="AI1588">
        <f>IF(OR(AG1588="",AH1588=""),"",IF((AG1588+AH1588)=0,0,100*ABS(AG1588-AH1588)/(AG1588+AH1588)))</f>
        <v>0</v>
      </c>
      <c r="AJ1588">
        <f>IF(COUNT($AI$1575:$AI$1588)&lt;14,"",AVERAGE($AI$1575:$AI$1588))</f>
        <v>0</v>
      </c>
      <c r="AK1588">
        <f>IF(COUNT($E$2:$E1588)&lt;20,"",AVERAGE($E$1569:$E$1588))</f>
        <v>0</v>
      </c>
      <c r="AL1588">
        <f>IF(COUNT($E$2:$E1588)&lt;20,"",STDEVP($E$1569:$E$1588))</f>
        <v>0</v>
      </c>
      <c r="AM1588">
        <f>IF(AK1588="","",AK1588+2*AL1588)</f>
        <v>0</v>
      </c>
      <c r="AN1588">
        <f>IF(AK1588="","",AK1588-2*AL1588)</f>
        <v>0</v>
      </c>
      <c r="AO1588">
        <f>IF(OR(AM1588="",AN1588="",AM1588=AN1588),"",($E1588-AN1588)/(AM1588-AN1588))</f>
        <v>0</v>
      </c>
      <c r="AP1588">
        <f>IF(OR(AM1588="",AK1588="",AK1588=0),"",(AM1588-AN1588)/AK1588)</f>
        <v>0</v>
      </c>
      <c r="AQ1588">
        <f>IF(COUNT($E$2:$E1588)&lt;20,"",MAX($C$1569:$C$1588))</f>
        <v>0</v>
      </c>
      <c r="AR1588">
        <f>IF(COUNT($E$2:$E1588)&lt;20,"",MIN($D$1569:$D$1588))</f>
        <v>0</v>
      </c>
      <c r="AS1588">
        <f>IF(OR(AQ1588="",AR1588=""),"",(AQ1588+AR1588)/2)</f>
        <v>0</v>
      </c>
      <c r="AT1588">
        <f>IF(COUNT($G$1569:$G$1588)&lt;20,"",STDEV($G$1569:$G$1588)*SQRT(252))</f>
        <v>0</v>
      </c>
      <c r="AU1588">
        <f>IF(COUNT($E$2:$E1588)&lt;9,"",(MAX($C$1580:$C$1588)+MIN($D$1580:$D$1588))/2)</f>
        <v>0</v>
      </c>
      <c r="AV1588">
        <f>IF(COUNT($E$2:$E1588)&lt;26,"",(MAX($C$1563:$C$1588)+MIN($D$1563:$D$1588))/2)</f>
        <v>0</v>
      </c>
      <c r="AW1588">
        <f>IF(OR(AU1588="",AV1588=""),"",(AU1588+AV1588)/2)</f>
        <v>0</v>
      </c>
      <c r="AX1588">
        <f>IF(COUNT($E$2:$E1588)&lt;52,"",(MAX($C$1537:$C$1588)+MIN($D$1537:$D$1588))/2)</f>
        <v>0</v>
      </c>
      <c r="AY1588">
        <f>IF(COUNT($E$2:$E1588)&lt;20,"",MAX($C$1489:$C$1588))</f>
        <v>0</v>
      </c>
      <c r="AZ1588">
        <f>IF(COUNT($E$2:$E1588)&lt;20,"",MIN($D$1489:$D$1588))</f>
        <v>0</v>
      </c>
      <c r="BA1588">
        <f>IF(COUNT($E$2:$E1588)&lt;20,"",SLOPE($E$1489:$E$1588,$F$1489:$F$1588))</f>
        <v>0</v>
      </c>
      <c r="BB1588">
        <f>IF(COUNT($E$2:$E1588)&lt;20,"",INTERCEPT($E$1489:$E$1588,$F$1489:$F$1588))</f>
        <v>0</v>
      </c>
      <c r="BC1588">
        <f>IF(OR(BA1588="",BB1588=""),"",BB1588+BA1588*F1588)</f>
        <v>0</v>
      </c>
      <c r="BD1588">
        <f>IF(COUNT($E$2:$E1588)&lt;20,"",STEYX($E$1489:$E$1588,$F$1489:$F$1588))</f>
        <v>0</v>
      </c>
      <c r="BE1588">
        <f>IF($E1588="","",IF(AND(COUNT($E$1589:$E$1592)&gt;=4,$C1588=MAX($C$1584:$C$1592)),$C1588,""))</f>
        <v>0</v>
      </c>
      <c r="BF1588">
        <f>IF($E1588="","",IF(AND(COUNT($E$1589:$E$1592)&gt;=4,$D1588=MIN($D$1584:$D$1592)),$D1588,""))</f>
        <v>0</v>
      </c>
      <c r="BG1588">
        <f>IF($A1588="","",$A1588-WEEKDAY($A1588,2)+1)</f>
        <v>0</v>
      </c>
      <c r="BH1588">
        <f>IF($A1588="","",IF($A1587="",1,IF(BG1588&lt;&gt;BG1587,1,0)))</f>
        <v>0</v>
      </c>
      <c r="BI1588">
        <f>IF($A1588="","",IF($A1589="",1,IF(BG1589&lt;&gt;BG1588,1,0)))</f>
        <v>0</v>
      </c>
      <c r="BJ1588">
        <f>IF($A1588="","",IF(BH1588=1,$B1588,BJ1587))</f>
        <v>0</v>
      </c>
      <c r="BK1588">
        <f>IF($A1588="","",IF(BH1588=1,$C1588,MAX($C1588,BK1587)))</f>
        <v>0</v>
      </c>
      <c r="BL1588">
        <f>IF($A1588="","",IF(BH1588=1,$D1588,MIN($D1588,BL1587)))</f>
        <v>0</v>
      </c>
      <c r="BM1588">
        <f>IF($A1588="","",IF(BI1588=1,F1588,""))</f>
        <v>0</v>
      </c>
      <c r="BN1588">
        <f>IF($A1588="","",DATE(YEAR($A1588),MONTH($A1588),1))</f>
        <v>0</v>
      </c>
      <c r="BO1588">
        <f>IF($A1588="","",IF($A1587="",1,IF(BN1588&lt;&gt;BN1587,1,0)))</f>
        <v>0</v>
      </c>
      <c r="BP1588">
        <f>IF($A1588="","",IF($A1589="",1,IF(BN1589&lt;&gt;BN1588,1,0)))</f>
        <v>0</v>
      </c>
      <c r="BQ1588">
        <f>IF($A1588="","",IF(BO1588=1,$B1588,BQ1587))</f>
        <v>0</v>
      </c>
      <c r="BR1588">
        <f>IF($A1588="","",IF(BO1588=1,$C1588,MAX($C1588,BR1587)))</f>
        <v>0</v>
      </c>
      <c r="BS1588">
        <f>IF($A1588="","",IF(BO1588=1,$D1588,MIN($D1588,BS1587)))</f>
        <v>0</v>
      </c>
      <c r="BT1588">
        <f>IF($A1588="","",IF(BP1588=1,F1588,""))</f>
        <v>0</v>
      </c>
    </row>
    <row r="1589" spans="1:72">
      <c r="A1589" s="27">
        <f>IF(Data!$A1589="","",Data!$A1589)</f>
        <v>0</v>
      </c>
      <c r="B1589">
        <f>IF(Data!$B1589="","",Data!$B1589)</f>
        <v>0</v>
      </c>
      <c r="C1589">
        <f>IF(Data!$C1589="","",Data!$C1589)</f>
        <v>0</v>
      </c>
      <c r="D1589">
        <f>IF(Data!$D1589="","",Data!$D1589)</f>
        <v>0</v>
      </c>
      <c r="E1589">
        <f>IF(Data!$E1589="","",Data!$E1589)</f>
        <v>0</v>
      </c>
      <c r="F1589">
        <f>IF($E1589="","",N(F1588)+1)</f>
        <v>0</v>
      </c>
      <c r="G1589">
        <f>IF(OR($E1589="",$E1588=""),"",LN($E1589/$E1588))</f>
        <v>0</v>
      </c>
      <c r="H1589">
        <f>IF($E1589="","",IF($E1588="",$E1589,$E1589*0.0952380952+H1588*0.9047619048))</f>
        <v>0</v>
      </c>
      <c r="I1589">
        <f>IF($E1589="","",IF($E1588="",$E1589,$E1589*0.0392156863+I1588*0.9607843137))</f>
        <v>0</v>
      </c>
      <c r="J1589">
        <f>IF($E1589="","",IF($E1588="",$E1589,$E1589*0.0198019802+J1588*0.9801980198))</f>
        <v>0</v>
      </c>
      <c r="K1589">
        <f>IF($E1589="","",IF($E1588="",$E1589,$E1589*0.0099502488+K1588*0.9900497512))</f>
        <v>0</v>
      </c>
      <c r="L1589">
        <f>IF(OR($E1589="",$E1588=""),"",MAX($E1589-$E1588,0))</f>
        <v>0</v>
      </c>
      <c r="M1589">
        <f>IF(OR($E1589="",$E1588=""),"",MAX($E1588-$E1589,0))</f>
        <v>0</v>
      </c>
      <c r="N1589">
        <f>IF(COUNT($E$2:$E1589)&lt;15,"",IF(AVERAGE($M$1576:$M$1589)=0,100,100-100/(1+AVERAGE($L$1576:$L$1589)/AVERAGE($M$1576:$M$1589))))</f>
        <v>0</v>
      </c>
      <c r="O1589">
        <f>IF($E1589="","",IF($E1588="",$E1589,$E1589*0.1538461538+O1588*0.8461538462))</f>
        <v>0</v>
      </c>
      <c r="P1589">
        <f>IF($E1589="","",IF($E1588="",$E1589,$E1589*0.0740740741+P1588*0.9259259259))</f>
        <v>0</v>
      </c>
      <c r="Q1589">
        <f>IF(OR(O1589="",P1589=""),"",O1589-P1589)</f>
        <v>0</v>
      </c>
      <c r="R1589">
        <f>IF(Q1589="","",IF(R1588="",Q1589,Q1589*0.2000000000+R1588*0.8000000000))</f>
        <v>0</v>
      </c>
      <c r="S1589">
        <f>IF(OR(Q1589="",R1589=""),"",Q1589-R1589)</f>
        <v>0</v>
      </c>
      <c r="T1589">
        <f>IF(COUNT($E$2:$E1589)&lt;14,"",MAX($C$1576:$C$1589))</f>
        <v>0</v>
      </c>
      <c r="U1589">
        <f>IF(COUNT($E$2:$E1589)&lt;14,"",MIN($D$1576:$D$1589))</f>
        <v>0</v>
      </c>
      <c r="V1589">
        <f>IF(OR(T1589="",U1589="",T1589=U1589),"",100*($E1589-U1589)/(T1589-U1589))</f>
        <v>0</v>
      </c>
      <c r="W1589">
        <f>IF(COUNT($V$1587:$V$1589)&lt;3,"",AVERAGE($V$1587:$V$1589))</f>
        <v>0</v>
      </c>
      <c r="X1589">
        <f>IF(COUNT($N$1576:$N$1589)&lt;14,"",MIN($N$1576:$N$1589))</f>
        <v>0</v>
      </c>
      <c r="Y1589">
        <f>IF(COUNT($N$1576:$N$1589)&lt;14,"",MAX($N$1576:$N$1589))</f>
        <v>0</v>
      </c>
      <c r="Z1589">
        <f>IF(OR(N1589="",X1589="",Y1589="",Y1589=X1589),"",100*(N1589-X1589)/(Y1589-X1589))</f>
        <v>0</v>
      </c>
      <c r="AA1589">
        <f>IF(COUNT($Z$1587:$Z$1589)&lt;3,"",AVERAGE($Z$1587:$Z$1589))</f>
        <v>0</v>
      </c>
      <c r="AB1589">
        <f>IF(COUNT($AA$1587:$AA$1589)&lt;3,"",AVERAGE($AA$1587:$AA$1589))</f>
        <v>0</v>
      </c>
      <c r="AC1589">
        <f>IF($E1589="","",MAX($C1589-$D1589,ABS($C1589-$E1588),ABS($D1589-$E1588)))</f>
        <v>0</v>
      </c>
      <c r="AD1589">
        <f>IF(COUNT($E$2:$E1589)&lt;15,"",AVERAGE($AC$1576:$AC$1589))</f>
        <v>0</v>
      </c>
      <c r="AE1589">
        <f>IF(OR($E1589="",$E1588=""),"",IF(AND(($C1589-$C1588)&gt;($D1588-$D1589),($C1589-$C1588)&gt;0),$C1589-$C1588,0))</f>
        <v>0</v>
      </c>
      <c r="AF1589">
        <f>IF(OR($E1589="",$E1588=""),"",IF(AND(($D1588-$D1589)&gt;($C1589-$C1588),($D1588-$D1589)&gt;0),$D1588-$D1589,0))</f>
        <v>0</v>
      </c>
      <c r="AG1589">
        <f>IF(COUNT($E$2:$E1589)&lt;15,"",IF(SUM($AC$1576:$AC$1589)=0,0,100*SUM($AE$1576:$AE$1589)/SUM($AC$1576:$AC$1589)))</f>
        <v>0</v>
      </c>
      <c r="AH1589">
        <f>IF(COUNT($E$2:$E1589)&lt;15,"",IF(SUM($AC$1576:$AC$1589)=0,0,100*SUM($AF$1576:$AF$1589)/SUM($AC$1576:$AC$1589)))</f>
        <v>0</v>
      </c>
      <c r="AI1589">
        <f>IF(OR(AG1589="",AH1589=""),"",IF((AG1589+AH1589)=0,0,100*ABS(AG1589-AH1589)/(AG1589+AH1589)))</f>
        <v>0</v>
      </c>
      <c r="AJ1589">
        <f>IF(COUNT($AI$1576:$AI$1589)&lt;14,"",AVERAGE($AI$1576:$AI$1589))</f>
        <v>0</v>
      </c>
      <c r="AK1589">
        <f>IF(COUNT($E$2:$E1589)&lt;20,"",AVERAGE($E$1570:$E$1589))</f>
        <v>0</v>
      </c>
      <c r="AL1589">
        <f>IF(COUNT($E$2:$E1589)&lt;20,"",STDEVP($E$1570:$E$1589))</f>
        <v>0</v>
      </c>
      <c r="AM1589">
        <f>IF(AK1589="","",AK1589+2*AL1589)</f>
        <v>0</v>
      </c>
      <c r="AN1589">
        <f>IF(AK1589="","",AK1589-2*AL1589)</f>
        <v>0</v>
      </c>
      <c r="AO1589">
        <f>IF(OR(AM1589="",AN1589="",AM1589=AN1589),"",($E1589-AN1589)/(AM1589-AN1589))</f>
        <v>0</v>
      </c>
      <c r="AP1589">
        <f>IF(OR(AM1589="",AK1589="",AK1589=0),"",(AM1589-AN1589)/AK1589)</f>
        <v>0</v>
      </c>
      <c r="AQ1589">
        <f>IF(COUNT($E$2:$E1589)&lt;20,"",MAX($C$1570:$C$1589))</f>
        <v>0</v>
      </c>
      <c r="AR1589">
        <f>IF(COUNT($E$2:$E1589)&lt;20,"",MIN($D$1570:$D$1589))</f>
        <v>0</v>
      </c>
      <c r="AS1589">
        <f>IF(OR(AQ1589="",AR1589=""),"",(AQ1589+AR1589)/2)</f>
        <v>0</v>
      </c>
      <c r="AT1589">
        <f>IF(COUNT($G$1570:$G$1589)&lt;20,"",STDEV($G$1570:$G$1589)*SQRT(252))</f>
        <v>0</v>
      </c>
      <c r="AU1589">
        <f>IF(COUNT($E$2:$E1589)&lt;9,"",(MAX($C$1581:$C$1589)+MIN($D$1581:$D$1589))/2)</f>
        <v>0</v>
      </c>
      <c r="AV1589">
        <f>IF(COUNT($E$2:$E1589)&lt;26,"",(MAX($C$1564:$C$1589)+MIN($D$1564:$D$1589))/2)</f>
        <v>0</v>
      </c>
      <c r="AW1589">
        <f>IF(OR(AU1589="",AV1589=""),"",(AU1589+AV1589)/2)</f>
        <v>0</v>
      </c>
      <c r="AX1589">
        <f>IF(COUNT($E$2:$E1589)&lt;52,"",(MAX($C$1538:$C$1589)+MIN($D$1538:$D$1589))/2)</f>
        <v>0</v>
      </c>
      <c r="AY1589">
        <f>IF(COUNT($E$2:$E1589)&lt;20,"",MAX($C$1490:$C$1589))</f>
        <v>0</v>
      </c>
      <c r="AZ1589">
        <f>IF(COUNT($E$2:$E1589)&lt;20,"",MIN($D$1490:$D$1589))</f>
        <v>0</v>
      </c>
      <c r="BA1589">
        <f>IF(COUNT($E$2:$E1589)&lt;20,"",SLOPE($E$1490:$E$1589,$F$1490:$F$1589))</f>
        <v>0</v>
      </c>
      <c r="BB1589">
        <f>IF(COUNT($E$2:$E1589)&lt;20,"",INTERCEPT($E$1490:$E$1589,$F$1490:$F$1589))</f>
        <v>0</v>
      </c>
      <c r="BC1589">
        <f>IF(OR(BA1589="",BB1589=""),"",BB1589+BA1589*F1589)</f>
        <v>0</v>
      </c>
      <c r="BD1589">
        <f>IF(COUNT($E$2:$E1589)&lt;20,"",STEYX($E$1490:$E$1589,$F$1490:$F$1589))</f>
        <v>0</v>
      </c>
      <c r="BE1589">
        <f>IF($E1589="","",IF(AND(COUNT($E$1590:$E$1593)&gt;=4,$C1589=MAX($C$1585:$C$1593)),$C1589,""))</f>
        <v>0</v>
      </c>
      <c r="BF1589">
        <f>IF($E1589="","",IF(AND(COUNT($E$1590:$E$1593)&gt;=4,$D1589=MIN($D$1585:$D$1593)),$D1589,""))</f>
        <v>0</v>
      </c>
      <c r="BG1589">
        <f>IF($A1589="","",$A1589-WEEKDAY($A1589,2)+1)</f>
        <v>0</v>
      </c>
      <c r="BH1589">
        <f>IF($A1589="","",IF($A1588="",1,IF(BG1589&lt;&gt;BG1588,1,0)))</f>
        <v>0</v>
      </c>
      <c r="BI1589">
        <f>IF($A1589="","",IF($A1590="",1,IF(BG1590&lt;&gt;BG1589,1,0)))</f>
        <v>0</v>
      </c>
      <c r="BJ1589">
        <f>IF($A1589="","",IF(BH1589=1,$B1589,BJ1588))</f>
        <v>0</v>
      </c>
      <c r="BK1589">
        <f>IF($A1589="","",IF(BH1589=1,$C1589,MAX($C1589,BK1588)))</f>
        <v>0</v>
      </c>
      <c r="BL1589">
        <f>IF($A1589="","",IF(BH1589=1,$D1589,MIN($D1589,BL1588)))</f>
        <v>0</v>
      </c>
      <c r="BM1589">
        <f>IF($A1589="","",IF(BI1589=1,F1589,""))</f>
        <v>0</v>
      </c>
      <c r="BN1589">
        <f>IF($A1589="","",DATE(YEAR($A1589),MONTH($A1589),1))</f>
        <v>0</v>
      </c>
      <c r="BO1589">
        <f>IF($A1589="","",IF($A1588="",1,IF(BN1589&lt;&gt;BN1588,1,0)))</f>
        <v>0</v>
      </c>
      <c r="BP1589">
        <f>IF($A1589="","",IF($A1590="",1,IF(BN1590&lt;&gt;BN1589,1,0)))</f>
        <v>0</v>
      </c>
      <c r="BQ1589">
        <f>IF($A1589="","",IF(BO1589=1,$B1589,BQ1588))</f>
        <v>0</v>
      </c>
      <c r="BR1589">
        <f>IF($A1589="","",IF(BO1589=1,$C1589,MAX($C1589,BR1588)))</f>
        <v>0</v>
      </c>
      <c r="BS1589">
        <f>IF($A1589="","",IF(BO1589=1,$D1589,MIN($D1589,BS1588)))</f>
        <v>0</v>
      </c>
      <c r="BT1589">
        <f>IF($A1589="","",IF(BP1589=1,F1589,""))</f>
        <v>0</v>
      </c>
    </row>
    <row r="1590" spans="1:72">
      <c r="A1590" s="27">
        <f>IF(Data!$A1590="","",Data!$A1590)</f>
        <v>0</v>
      </c>
      <c r="B1590">
        <f>IF(Data!$B1590="","",Data!$B1590)</f>
        <v>0</v>
      </c>
      <c r="C1590">
        <f>IF(Data!$C1590="","",Data!$C1590)</f>
        <v>0</v>
      </c>
      <c r="D1590">
        <f>IF(Data!$D1590="","",Data!$D1590)</f>
        <v>0</v>
      </c>
      <c r="E1590">
        <f>IF(Data!$E1590="","",Data!$E1590)</f>
        <v>0</v>
      </c>
      <c r="F1590">
        <f>IF($E1590="","",N(F1589)+1)</f>
        <v>0</v>
      </c>
      <c r="G1590">
        <f>IF(OR($E1590="",$E1589=""),"",LN($E1590/$E1589))</f>
        <v>0</v>
      </c>
      <c r="H1590">
        <f>IF($E1590="","",IF($E1589="",$E1590,$E1590*0.0952380952+H1589*0.9047619048))</f>
        <v>0</v>
      </c>
      <c r="I1590">
        <f>IF($E1590="","",IF($E1589="",$E1590,$E1590*0.0392156863+I1589*0.9607843137))</f>
        <v>0</v>
      </c>
      <c r="J1590">
        <f>IF($E1590="","",IF($E1589="",$E1590,$E1590*0.0198019802+J1589*0.9801980198))</f>
        <v>0</v>
      </c>
      <c r="K1590">
        <f>IF($E1590="","",IF($E1589="",$E1590,$E1590*0.0099502488+K1589*0.9900497512))</f>
        <v>0</v>
      </c>
      <c r="L1590">
        <f>IF(OR($E1590="",$E1589=""),"",MAX($E1590-$E1589,0))</f>
        <v>0</v>
      </c>
      <c r="M1590">
        <f>IF(OR($E1590="",$E1589=""),"",MAX($E1589-$E1590,0))</f>
        <v>0</v>
      </c>
      <c r="N1590">
        <f>IF(COUNT($E$2:$E1590)&lt;15,"",IF(AVERAGE($M$1577:$M$1590)=0,100,100-100/(1+AVERAGE($L$1577:$L$1590)/AVERAGE($M$1577:$M$1590))))</f>
        <v>0</v>
      </c>
      <c r="O1590">
        <f>IF($E1590="","",IF($E1589="",$E1590,$E1590*0.1538461538+O1589*0.8461538462))</f>
        <v>0</v>
      </c>
      <c r="P1590">
        <f>IF($E1590="","",IF($E1589="",$E1590,$E1590*0.0740740741+P1589*0.9259259259))</f>
        <v>0</v>
      </c>
      <c r="Q1590">
        <f>IF(OR(O1590="",P1590=""),"",O1590-P1590)</f>
        <v>0</v>
      </c>
      <c r="R1590">
        <f>IF(Q1590="","",IF(R1589="",Q1590,Q1590*0.2000000000+R1589*0.8000000000))</f>
        <v>0</v>
      </c>
      <c r="S1590">
        <f>IF(OR(Q1590="",R1590=""),"",Q1590-R1590)</f>
        <v>0</v>
      </c>
      <c r="T1590">
        <f>IF(COUNT($E$2:$E1590)&lt;14,"",MAX($C$1577:$C$1590))</f>
        <v>0</v>
      </c>
      <c r="U1590">
        <f>IF(COUNT($E$2:$E1590)&lt;14,"",MIN($D$1577:$D$1590))</f>
        <v>0</v>
      </c>
      <c r="V1590">
        <f>IF(OR(T1590="",U1590="",T1590=U1590),"",100*($E1590-U1590)/(T1590-U1590))</f>
        <v>0</v>
      </c>
      <c r="W1590">
        <f>IF(COUNT($V$1588:$V$1590)&lt;3,"",AVERAGE($V$1588:$V$1590))</f>
        <v>0</v>
      </c>
      <c r="X1590">
        <f>IF(COUNT($N$1577:$N$1590)&lt;14,"",MIN($N$1577:$N$1590))</f>
        <v>0</v>
      </c>
      <c r="Y1590">
        <f>IF(COUNT($N$1577:$N$1590)&lt;14,"",MAX($N$1577:$N$1590))</f>
        <v>0</v>
      </c>
      <c r="Z1590">
        <f>IF(OR(N1590="",X1590="",Y1590="",Y1590=X1590),"",100*(N1590-X1590)/(Y1590-X1590))</f>
        <v>0</v>
      </c>
      <c r="AA1590">
        <f>IF(COUNT($Z$1588:$Z$1590)&lt;3,"",AVERAGE($Z$1588:$Z$1590))</f>
        <v>0</v>
      </c>
      <c r="AB1590">
        <f>IF(COUNT($AA$1588:$AA$1590)&lt;3,"",AVERAGE($AA$1588:$AA$1590))</f>
        <v>0</v>
      </c>
      <c r="AC1590">
        <f>IF($E1590="","",MAX($C1590-$D1590,ABS($C1590-$E1589),ABS($D1590-$E1589)))</f>
        <v>0</v>
      </c>
      <c r="AD1590">
        <f>IF(COUNT($E$2:$E1590)&lt;15,"",AVERAGE($AC$1577:$AC$1590))</f>
        <v>0</v>
      </c>
      <c r="AE1590">
        <f>IF(OR($E1590="",$E1589=""),"",IF(AND(($C1590-$C1589)&gt;($D1589-$D1590),($C1590-$C1589)&gt;0),$C1590-$C1589,0))</f>
        <v>0</v>
      </c>
      <c r="AF1590">
        <f>IF(OR($E1590="",$E1589=""),"",IF(AND(($D1589-$D1590)&gt;($C1590-$C1589),($D1589-$D1590)&gt;0),$D1589-$D1590,0))</f>
        <v>0</v>
      </c>
      <c r="AG1590">
        <f>IF(COUNT($E$2:$E1590)&lt;15,"",IF(SUM($AC$1577:$AC$1590)=0,0,100*SUM($AE$1577:$AE$1590)/SUM($AC$1577:$AC$1590)))</f>
        <v>0</v>
      </c>
      <c r="AH1590">
        <f>IF(COUNT($E$2:$E1590)&lt;15,"",IF(SUM($AC$1577:$AC$1590)=0,0,100*SUM($AF$1577:$AF$1590)/SUM($AC$1577:$AC$1590)))</f>
        <v>0</v>
      </c>
      <c r="AI1590">
        <f>IF(OR(AG1590="",AH1590=""),"",IF((AG1590+AH1590)=0,0,100*ABS(AG1590-AH1590)/(AG1590+AH1590)))</f>
        <v>0</v>
      </c>
      <c r="AJ1590">
        <f>IF(COUNT($AI$1577:$AI$1590)&lt;14,"",AVERAGE($AI$1577:$AI$1590))</f>
        <v>0</v>
      </c>
      <c r="AK1590">
        <f>IF(COUNT($E$2:$E1590)&lt;20,"",AVERAGE($E$1571:$E$1590))</f>
        <v>0</v>
      </c>
      <c r="AL1590">
        <f>IF(COUNT($E$2:$E1590)&lt;20,"",STDEVP($E$1571:$E$1590))</f>
        <v>0</v>
      </c>
      <c r="AM1590">
        <f>IF(AK1590="","",AK1590+2*AL1590)</f>
        <v>0</v>
      </c>
      <c r="AN1590">
        <f>IF(AK1590="","",AK1590-2*AL1590)</f>
        <v>0</v>
      </c>
      <c r="AO1590">
        <f>IF(OR(AM1590="",AN1590="",AM1590=AN1590),"",($E1590-AN1590)/(AM1590-AN1590))</f>
        <v>0</v>
      </c>
      <c r="AP1590">
        <f>IF(OR(AM1590="",AK1590="",AK1590=0),"",(AM1590-AN1590)/AK1590)</f>
        <v>0</v>
      </c>
      <c r="AQ1590">
        <f>IF(COUNT($E$2:$E1590)&lt;20,"",MAX($C$1571:$C$1590))</f>
        <v>0</v>
      </c>
      <c r="AR1590">
        <f>IF(COUNT($E$2:$E1590)&lt;20,"",MIN($D$1571:$D$1590))</f>
        <v>0</v>
      </c>
      <c r="AS1590">
        <f>IF(OR(AQ1590="",AR1590=""),"",(AQ1590+AR1590)/2)</f>
        <v>0</v>
      </c>
      <c r="AT1590">
        <f>IF(COUNT($G$1571:$G$1590)&lt;20,"",STDEV($G$1571:$G$1590)*SQRT(252))</f>
        <v>0</v>
      </c>
      <c r="AU1590">
        <f>IF(COUNT($E$2:$E1590)&lt;9,"",(MAX($C$1582:$C$1590)+MIN($D$1582:$D$1590))/2)</f>
        <v>0</v>
      </c>
      <c r="AV1590">
        <f>IF(COUNT($E$2:$E1590)&lt;26,"",(MAX($C$1565:$C$1590)+MIN($D$1565:$D$1590))/2)</f>
        <v>0</v>
      </c>
      <c r="AW1590">
        <f>IF(OR(AU1590="",AV1590=""),"",(AU1590+AV1590)/2)</f>
        <v>0</v>
      </c>
      <c r="AX1590">
        <f>IF(COUNT($E$2:$E1590)&lt;52,"",(MAX($C$1539:$C$1590)+MIN($D$1539:$D$1590))/2)</f>
        <v>0</v>
      </c>
      <c r="AY1590">
        <f>IF(COUNT($E$2:$E1590)&lt;20,"",MAX($C$1491:$C$1590))</f>
        <v>0</v>
      </c>
      <c r="AZ1590">
        <f>IF(COUNT($E$2:$E1590)&lt;20,"",MIN($D$1491:$D$1590))</f>
        <v>0</v>
      </c>
      <c r="BA1590">
        <f>IF(COUNT($E$2:$E1590)&lt;20,"",SLOPE($E$1491:$E$1590,$F$1491:$F$1590))</f>
        <v>0</v>
      </c>
      <c r="BB1590">
        <f>IF(COUNT($E$2:$E1590)&lt;20,"",INTERCEPT($E$1491:$E$1590,$F$1491:$F$1590))</f>
        <v>0</v>
      </c>
      <c r="BC1590">
        <f>IF(OR(BA1590="",BB1590=""),"",BB1590+BA1590*F1590)</f>
        <v>0</v>
      </c>
      <c r="BD1590">
        <f>IF(COUNT($E$2:$E1590)&lt;20,"",STEYX($E$1491:$E$1590,$F$1491:$F$1590))</f>
        <v>0</v>
      </c>
      <c r="BE1590">
        <f>IF($E1590="","",IF(AND(COUNT($E$1591:$E$1594)&gt;=4,$C1590=MAX($C$1586:$C$1594)),$C1590,""))</f>
        <v>0</v>
      </c>
      <c r="BF1590">
        <f>IF($E1590="","",IF(AND(COUNT($E$1591:$E$1594)&gt;=4,$D1590=MIN($D$1586:$D$1594)),$D1590,""))</f>
        <v>0</v>
      </c>
      <c r="BG1590">
        <f>IF($A1590="","",$A1590-WEEKDAY($A1590,2)+1)</f>
        <v>0</v>
      </c>
      <c r="BH1590">
        <f>IF($A1590="","",IF($A1589="",1,IF(BG1590&lt;&gt;BG1589,1,0)))</f>
        <v>0</v>
      </c>
      <c r="BI1590">
        <f>IF($A1590="","",IF($A1591="",1,IF(BG1591&lt;&gt;BG1590,1,0)))</f>
        <v>0</v>
      </c>
      <c r="BJ1590">
        <f>IF($A1590="","",IF(BH1590=1,$B1590,BJ1589))</f>
        <v>0</v>
      </c>
      <c r="BK1590">
        <f>IF($A1590="","",IF(BH1590=1,$C1590,MAX($C1590,BK1589)))</f>
        <v>0</v>
      </c>
      <c r="BL1590">
        <f>IF($A1590="","",IF(BH1590=1,$D1590,MIN($D1590,BL1589)))</f>
        <v>0</v>
      </c>
      <c r="BM1590">
        <f>IF($A1590="","",IF(BI1590=1,F1590,""))</f>
        <v>0</v>
      </c>
      <c r="BN1590">
        <f>IF($A1590="","",DATE(YEAR($A1590),MONTH($A1590),1))</f>
        <v>0</v>
      </c>
      <c r="BO1590">
        <f>IF($A1590="","",IF($A1589="",1,IF(BN1590&lt;&gt;BN1589,1,0)))</f>
        <v>0</v>
      </c>
      <c r="BP1590">
        <f>IF($A1590="","",IF($A1591="",1,IF(BN1591&lt;&gt;BN1590,1,0)))</f>
        <v>0</v>
      </c>
      <c r="BQ1590">
        <f>IF($A1590="","",IF(BO1590=1,$B1590,BQ1589))</f>
        <v>0</v>
      </c>
      <c r="BR1590">
        <f>IF($A1590="","",IF(BO1590=1,$C1590,MAX($C1590,BR1589)))</f>
        <v>0</v>
      </c>
      <c r="BS1590">
        <f>IF($A1590="","",IF(BO1590=1,$D1590,MIN($D1590,BS1589)))</f>
        <v>0</v>
      </c>
      <c r="BT1590">
        <f>IF($A1590="","",IF(BP1590=1,F1590,""))</f>
        <v>0</v>
      </c>
    </row>
    <row r="1591" spans="1:72">
      <c r="A1591" s="27">
        <f>IF(Data!$A1591="","",Data!$A1591)</f>
        <v>0</v>
      </c>
      <c r="B1591">
        <f>IF(Data!$B1591="","",Data!$B1591)</f>
        <v>0</v>
      </c>
      <c r="C1591">
        <f>IF(Data!$C1591="","",Data!$C1591)</f>
        <v>0</v>
      </c>
      <c r="D1591">
        <f>IF(Data!$D1591="","",Data!$D1591)</f>
        <v>0</v>
      </c>
      <c r="E1591">
        <f>IF(Data!$E1591="","",Data!$E1591)</f>
        <v>0</v>
      </c>
      <c r="F1591">
        <f>IF($E1591="","",N(F1590)+1)</f>
        <v>0</v>
      </c>
      <c r="G1591">
        <f>IF(OR($E1591="",$E1590=""),"",LN($E1591/$E1590))</f>
        <v>0</v>
      </c>
      <c r="H1591">
        <f>IF($E1591="","",IF($E1590="",$E1591,$E1591*0.0952380952+H1590*0.9047619048))</f>
        <v>0</v>
      </c>
      <c r="I1591">
        <f>IF($E1591="","",IF($E1590="",$E1591,$E1591*0.0392156863+I1590*0.9607843137))</f>
        <v>0</v>
      </c>
      <c r="J1591">
        <f>IF($E1591="","",IF($E1590="",$E1591,$E1591*0.0198019802+J1590*0.9801980198))</f>
        <v>0</v>
      </c>
      <c r="K1591">
        <f>IF($E1591="","",IF($E1590="",$E1591,$E1591*0.0099502488+K1590*0.9900497512))</f>
        <v>0</v>
      </c>
      <c r="L1591">
        <f>IF(OR($E1591="",$E1590=""),"",MAX($E1591-$E1590,0))</f>
        <v>0</v>
      </c>
      <c r="M1591">
        <f>IF(OR($E1591="",$E1590=""),"",MAX($E1590-$E1591,0))</f>
        <v>0</v>
      </c>
      <c r="N1591">
        <f>IF(COUNT($E$2:$E1591)&lt;15,"",IF(AVERAGE($M$1578:$M$1591)=0,100,100-100/(1+AVERAGE($L$1578:$L$1591)/AVERAGE($M$1578:$M$1591))))</f>
        <v>0</v>
      </c>
      <c r="O1591">
        <f>IF($E1591="","",IF($E1590="",$E1591,$E1591*0.1538461538+O1590*0.8461538462))</f>
        <v>0</v>
      </c>
      <c r="P1591">
        <f>IF($E1591="","",IF($E1590="",$E1591,$E1591*0.0740740741+P1590*0.9259259259))</f>
        <v>0</v>
      </c>
      <c r="Q1591">
        <f>IF(OR(O1591="",P1591=""),"",O1591-P1591)</f>
        <v>0</v>
      </c>
      <c r="R1591">
        <f>IF(Q1591="","",IF(R1590="",Q1591,Q1591*0.2000000000+R1590*0.8000000000))</f>
        <v>0</v>
      </c>
      <c r="S1591">
        <f>IF(OR(Q1591="",R1591=""),"",Q1591-R1591)</f>
        <v>0</v>
      </c>
      <c r="T1591">
        <f>IF(COUNT($E$2:$E1591)&lt;14,"",MAX($C$1578:$C$1591))</f>
        <v>0</v>
      </c>
      <c r="U1591">
        <f>IF(COUNT($E$2:$E1591)&lt;14,"",MIN($D$1578:$D$1591))</f>
        <v>0</v>
      </c>
      <c r="V1591">
        <f>IF(OR(T1591="",U1591="",T1591=U1591),"",100*($E1591-U1591)/(T1591-U1591))</f>
        <v>0</v>
      </c>
      <c r="W1591">
        <f>IF(COUNT($V$1589:$V$1591)&lt;3,"",AVERAGE($V$1589:$V$1591))</f>
        <v>0</v>
      </c>
      <c r="X1591">
        <f>IF(COUNT($N$1578:$N$1591)&lt;14,"",MIN($N$1578:$N$1591))</f>
        <v>0</v>
      </c>
      <c r="Y1591">
        <f>IF(COUNT($N$1578:$N$1591)&lt;14,"",MAX($N$1578:$N$1591))</f>
        <v>0</v>
      </c>
      <c r="Z1591">
        <f>IF(OR(N1591="",X1591="",Y1591="",Y1591=X1591),"",100*(N1591-X1591)/(Y1591-X1591))</f>
        <v>0</v>
      </c>
      <c r="AA1591">
        <f>IF(COUNT($Z$1589:$Z$1591)&lt;3,"",AVERAGE($Z$1589:$Z$1591))</f>
        <v>0</v>
      </c>
      <c r="AB1591">
        <f>IF(COUNT($AA$1589:$AA$1591)&lt;3,"",AVERAGE($AA$1589:$AA$1591))</f>
        <v>0</v>
      </c>
      <c r="AC1591">
        <f>IF($E1591="","",MAX($C1591-$D1591,ABS($C1591-$E1590),ABS($D1591-$E1590)))</f>
        <v>0</v>
      </c>
      <c r="AD1591">
        <f>IF(COUNT($E$2:$E1591)&lt;15,"",AVERAGE($AC$1578:$AC$1591))</f>
        <v>0</v>
      </c>
      <c r="AE1591">
        <f>IF(OR($E1591="",$E1590=""),"",IF(AND(($C1591-$C1590)&gt;($D1590-$D1591),($C1591-$C1590)&gt;0),$C1591-$C1590,0))</f>
        <v>0</v>
      </c>
      <c r="AF1591">
        <f>IF(OR($E1591="",$E1590=""),"",IF(AND(($D1590-$D1591)&gt;($C1591-$C1590),($D1590-$D1591)&gt;0),$D1590-$D1591,0))</f>
        <v>0</v>
      </c>
      <c r="AG1591">
        <f>IF(COUNT($E$2:$E1591)&lt;15,"",IF(SUM($AC$1578:$AC$1591)=0,0,100*SUM($AE$1578:$AE$1591)/SUM($AC$1578:$AC$1591)))</f>
        <v>0</v>
      </c>
      <c r="AH1591">
        <f>IF(COUNT($E$2:$E1591)&lt;15,"",IF(SUM($AC$1578:$AC$1591)=0,0,100*SUM($AF$1578:$AF$1591)/SUM($AC$1578:$AC$1591)))</f>
        <v>0</v>
      </c>
      <c r="AI1591">
        <f>IF(OR(AG1591="",AH1591=""),"",IF((AG1591+AH1591)=0,0,100*ABS(AG1591-AH1591)/(AG1591+AH1591)))</f>
        <v>0</v>
      </c>
      <c r="AJ1591">
        <f>IF(COUNT($AI$1578:$AI$1591)&lt;14,"",AVERAGE($AI$1578:$AI$1591))</f>
        <v>0</v>
      </c>
      <c r="AK1591">
        <f>IF(COUNT($E$2:$E1591)&lt;20,"",AVERAGE($E$1572:$E$1591))</f>
        <v>0</v>
      </c>
      <c r="AL1591">
        <f>IF(COUNT($E$2:$E1591)&lt;20,"",STDEVP($E$1572:$E$1591))</f>
        <v>0</v>
      </c>
      <c r="AM1591">
        <f>IF(AK1591="","",AK1591+2*AL1591)</f>
        <v>0</v>
      </c>
      <c r="AN1591">
        <f>IF(AK1591="","",AK1591-2*AL1591)</f>
        <v>0</v>
      </c>
      <c r="AO1591">
        <f>IF(OR(AM1591="",AN1591="",AM1591=AN1591),"",($E1591-AN1591)/(AM1591-AN1591))</f>
        <v>0</v>
      </c>
      <c r="AP1591">
        <f>IF(OR(AM1591="",AK1591="",AK1591=0),"",(AM1591-AN1591)/AK1591)</f>
        <v>0</v>
      </c>
      <c r="AQ1591">
        <f>IF(COUNT($E$2:$E1591)&lt;20,"",MAX($C$1572:$C$1591))</f>
        <v>0</v>
      </c>
      <c r="AR1591">
        <f>IF(COUNT($E$2:$E1591)&lt;20,"",MIN($D$1572:$D$1591))</f>
        <v>0</v>
      </c>
      <c r="AS1591">
        <f>IF(OR(AQ1591="",AR1591=""),"",(AQ1591+AR1591)/2)</f>
        <v>0</v>
      </c>
      <c r="AT1591">
        <f>IF(COUNT($G$1572:$G$1591)&lt;20,"",STDEV($G$1572:$G$1591)*SQRT(252))</f>
        <v>0</v>
      </c>
      <c r="AU1591">
        <f>IF(COUNT($E$2:$E1591)&lt;9,"",(MAX($C$1583:$C$1591)+MIN($D$1583:$D$1591))/2)</f>
        <v>0</v>
      </c>
      <c r="AV1591">
        <f>IF(COUNT($E$2:$E1591)&lt;26,"",(MAX($C$1566:$C$1591)+MIN($D$1566:$D$1591))/2)</f>
        <v>0</v>
      </c>
      <c r="AW1591">
        <f>IF(OR(AU1591="",AV1591=""),"",(AU1591+AV1591)/2)</f>
        <v>0</v>
      </c>
      <c r="AX1591">
        <f>IF(COUNT($E$2:$E1591)&lt;52,"",(MAX($C$1540:$C$1591)+MIN($D$1540:$D$1591))/2)</f>
        <v>0</v>
      </c>
      <c r="AY1591">
        <f>IF(COUNT($E$2:$E1591)&lt;20,"",MAX($C$1492:$C$1591))</f>
        <v>0</v>
      </c>
      <c r="AZ1591">
        <f>IF(COUNT($E$2:$E1591)&lt;20,"",MIN($D$1492:$D$1591))</f>
        <v>0</v>
      </c>
      <c r="BA1591">
        <f>IF(COUNT($E$2:$E1591)&lt;20,"",SLOPE($E$1492:$E$1591,$F$1492:$F$1591))</f>
        <v>0</v>
      </c>
      <c r="BB1591">
        <f>IF(COUNT($E$2:$E1591)&lt;20,"",INTERCEPT($E$1492:$E$1591,$F$1492:$F$1591))</f>
        <v>0</v>
      </c>
      <c r="BC1591">
        <f>IF(OR(BA1591="",BB1591=""),"",BB1591+BA1591*F1591)</f>
        <v>0</v>
      </c>
      <c r="BD1591">
        <f>IF(COUNT($E$2:$E1591)&lt;20,"",STEYX($E$1492:$E$1591,$F$1492:$F$1591))</f>
        <v>0</v>
      </c>
      <c r="BE1591">
        <f>IF($E1591="","",IF(AND(COUNT($E$1592:$E$1595)&gt;=4,$C1591=MAX($C$1587:$C$1595)),$C1591,""))</f>
        <v>0</v>
      </c>
      <c r="BF1591">
        <f>IF($E1591="","",IF(AND(COUNT($E$1592:$E$1595)&gt;=4,$D1591=MIN($D$1587:$D$1595)),$D1591,""))</f>
        <v>0</v>
      </c>
      <c r="BG1591">
        <f>IF($A1591="","",$A1591-WEEKDAY($A1591,2)+1)</f>
        <v>0</v>
      </c>
      <c r="BH1591">
        <f>IF($A1591="","",IF($A1590="",1,IF(BG1591&lt;&gt;BG1590,1,0)))</f>
        <v>0</v>
      </c>
      <c r="BI1591">
        <f>IF($A1591="","",IF($A1592="",1,IF(BG1592&lt;&gt;BG1591,1,0)))</f>
        <v>0</v>
      </c>
      <c r="BJ1591">
        <f>IF($A1591="","",IF(BH1591=1,$B1591,BJ1590))</f>
        <v>0</v>
      </c>
      <c r="BK1591">
        <f>IF($A1591="","",IF(BH1591=1,$C1591,MAX($C1591,BK1590)))</f>
        <v>0</v>
      </c>
      <c r="BL1591">
        <f>IF($A1591="","",IF(BH1591=1,$D1591,MIN($D1591,BL1590)))</f>
        <v>0</v>
      </c>
      <c r="BM1591">
        <f>IF($A1591="","",IF(BI1591=1,F1591,""))</f>
        <v>0</v>
      </c>
      <c r="BN1591">
        <f>IF($A1591="","",DATE(YEAR($A1591),MONTH($A1591),1))</f>
        <v>0</v>
      </c>
      <c r="BO1591">
        <f>IF($A1591="","",IF($A1590="",1,IF(BN1591&lt;&gt;BN1590,1,0)))</f>
        <v>0</v>
      </c>
      <c r="BP1591">
        <f>IF($A1591="","",IF($A1592="",1,IF(BN1592&lt;&gt;BN1591,1,0)))</f>
        <v>0</v>
      </c>
      <c r="BQ1591">
        <f>IF($A1591="","",IF(BO1591=1,$B1591,BQ1590))</f>
        <v>0</v>
      </c>
      <c r="BR1591">
        <f>IF($A1591="","",IF(BO1591=1,$C1591,MAX($C1591,BR1590)))</f>
        <v>0</v>
      </c>
      <c r="BS1591">
        <f>IF($A1591="","",IF(BO1591=1,$D1591,MIN($D1591,BS1590)))</f>
        <v>0</v>
      </c>
      <c r="BT1591">
        <f>IF($A1591="","",IF(BP1591=1,F1591,""))</f>
        <v>0</v>
      </c>
    </row>
    <row r="1592" spans="1:72">
      <c r="A1592" s="27">
        <f>IF(Data!$A1592="","",Data!$A1592)</f>
        <v>0</v>
      </c>
      <c r="B1592">
        <f>IF(Data!$B1592="","",Data!$B1592)</f>
        <v>0</v>
      </c>
      <c r="C1592">
        <f>IF(Data!$C1592="","",Data!$C1592)</f>
        <v>0</v>
      </c>
      <c r="D1592">
        <f>IF(Data!$D1592="","",Data!$D1592)</f>
        <v>0</v>
      </c>
      <c r="E1592">
        <f>IF(Data!$E1592="","",Data!$E1592)</f>
        <v>0</v>
      </c>
      <c r="F1592">
        <f>IF($E1592="","",N(F1591)+1)</f>
        <v>0</v>
      </c>
      <c r="G1592">
        <f>IF(OR($E1592="",$E1591=""),"",LN($E1592/$E1591))</f>
        <v>0</v>
      </c>
      <c r="H1592">
        <f>IF($E1592="","",IF($E1591="",$E1592,$E1592*0.0952380952+H1591*0.9047619048))</f>
        <v>0</v>
      </c>
      <c r="I1592">
        <f>IF($E1592="","",IF($E1591="",$E1592,$E1592*0.0392156863+I1591*0.9607843137))</f>
        <v>0</v>
      </c>
      <c r="J1592">
        <f>IF($E1592="","",IF($E1591="",$E1592,$E1592*0.0198019802+J1591*0.9801980198))</f>
        <v>0</v>
      </c>
      <c r="K1592">
        <f>IF($E1592="","",IF($E1591="",$E1592,$E1592*0.0099502488+K1591*0.9900497512))</f>
        <v>0</v>
      </c>
      <c r="L1592">
        <f>IF(OR($E1592="",$E1591=""),"",MAX($E1592-$E1591,0))</f>
        <v>0</v>
      </c>
      <c r="M1592">
        <f>IF(OR($E1592="",$E1591=""),"",MAX($E1591-$E1592,0))</f>
        <v>0</v>
      </c>
      <c r="N1592">
        <f>IF(COUNT($E$2:$E1592)&lt;15,"",IF(AVERAGE($M$1579:$M$1592)=0,100,100-100/(1+AVERAGE($L$1579:$L$1592)/AVERAGE($M$1579:$M$1592))))</f>
        <v>0</v>
      </c>
      <c r="O1592">
        <f>IF($E1592="","",IF($E1591="",$E1592,$E1592*0.1538461538+O1591*0.8461538462))</f>
        <v>0</v>
      </c>
      <c r="P1592">
        <f>IF($E1592="","",IF($E1591="",$E1592,$E1592*0.0740740741+P1591*0.9259259259))</f>
        <v>0</v>
      </c>
      <c r="Q1592">
        <f>IF(OR(O1592="",P1592=""),"",O1592-P1592)</f>
        <v>0</v>
      </c>
      <c r="R1592">
        <f>IF(Q1592="","",IF(R1591="",Q1592,Q1592*0.2000000000+R1591*0.8000000000))</f>
        <v>0</v>
      </c>
      <c r="S1592">
        <f>IF(OR(Q1592="",R1592=""),"",Q1592-R1592)</f>
        <v>0</v>
      </c>
      <c r="T1592">
        <f>IF(COUNT($E$2:$E1592)&lt;14,"",MAX($C$1579:$C$1592))</f>
        <v>0</v>
      </c>
      <c r="U1592">
        <f>IF(COUNT($E$2:$E1592)&lt;14,"",MIN($D$1579:$D$1592))</f>
        <v>0</v>
      </c>
      <c r="V1592">
        <f>IF(OR(T1592="",U1592="",T1592=U1592),"",100*($E1592-U1592)/(T1592-U1592))</f>
        <v>0</v>
      </c>
      <c r="W1592">
        <f>IF(COUNT($V$1590:$V$1592)&lt;3,"",AVERAGE($V$1590:$V$1592))</f>
        <v>0</v>
      </c>
      <c r="X1592">
        <f>IF(COUNT($N$1579:$N$1592)&lt;14,"",MIN($N$1579:$N$1592))</f>
        <v>0</v>
      </c>
      <c r="Y1592">
        <f>IF(COUNT($N$1579:$N$1592)&lt;14,"",MAX($N$1579:$N$1592))</f>
        <v>0</v>
      </c>
      <c r="Z1592">
        <f>IF(OR(N1592="",X1592="",Y1592="",Y1592=X1592),"",100*(N1592-X1592)/(Y1592-X1592))</f>
        <v>0</v>
      </c>
      <c r="AA1592">
        <f>IF(COUNT($Z$1590:$Z$1592)&lt;3,"",AVERAGE($Z$1590:$Z$1592))</f>
        <v>0</v>
      </c>
      <c r="AB1592">
        <f>IF(COUNT($AA$1590:$AA$1592)&lt;3,"",AVERAGE($AA$1590:$AA$1592))</f>
        <v>0</v>
      </c>
      <c r="AC1592">
        <f>IF($E1592="","",MAX($C1592-$D1592,ABS($C1592-$E1591),ABS($D1592-$E1591)))</f>
        <v>0</v>
      </c>
      <c r="AD1592">
        <f>IF(COUNT($E$2:$E1592)&lt;15,"",AVERAGE($AC$1579:$AC$1592))</f>
        <v>0</v>
      </c>
      <c r="AE1592">
        <f>IF(OR($E1592="",$E1591=""),"",IF(AND(($C1592-$C1591)&gt;($D1591-$D1592),($C1592-$C1591)&gt;0),$C1592-$C1591,0))</f>
        <v>0</v>
      </c>
      <c r="AF1592">
        <f>IF(OR($E1592="",$E1591=""),"",IF(AND(($D1591-$D1592)&gt;($C1592-$C1591),($D1591-$D1592)&gt;0),$D1591-$D1592,0))</f>
        <v>0</v>
      </c>
      <c r="AG1592">
        <f>IF(COUNT($E$2:$E1592)&lt;15,"",IF(SUM($AC$1579:$AC$1592)=0,0,100*SUM($AE$1579:$AE$1592)/SUM($AC$1579:$AC$1592)))</f>
        <v>0</v>
      </c>
      <c r="AH1592">
        <f>IF(COUNT($E$2:$E1592)&lt;15,"",IF(SUM($AC$1579:$AC$1592)=0,0,100*SUM($AF$1579:$AF$1592)/SUM($AC$1579:$AC$1592)))</f>
        <v>0</v>
      </c>
      <c r="AI1592">
        <f>IF(OR(AG1592="",AH1592=""),"",IF((AG1592+AH1592)=0,0,100*ABS(AG1592-AH1592)/(AG1592+AH1592)))</f>
        <v>0</v>
      </c>
      <c r="AJ1592">
        <f>IF(COUNT($AI$1579:$AI$1592)&lt;14,"",AVERAGE($AI$1579:$AI$1592))</f>
        <v>0</v>
      </c>
      <c r="AK1592">
        <f>IF(COUNT($E$2:$E1592)&lt;20,"",AVERAGE($E$1573:$E$1592))</f>
        <v>0</v>
      </c>
      <c r="AL1592">
        <f>IF(COUNT($E$2:$E1592)&lt;20,"",STDEVP($E$1573:$E$1592))</f>
        <v>0</v>
      </c>
      <c r="AM1592">
        <f>IF(AK1592="","",AK1592+2*AL1592)</f>
        <v>0</v>
      </c>
      <c r="AN1592">
        <f>IF(AK1592="","",AK1592-2*AL1592)</f>
        <v>0</v>
      </c>
      <c r="AO1592">
        <f>IF(OR(AM1592="",AN1592="",AM1592=AN1592),"",($E1592-AN1592)/(AM1592-AN1592))</f>
        <v>0</v>
      </c>
      <c r="AP1592">
        <f>IF(OR(AM1592="",AK1592="",AK1592=0),"",(AM1592-AN1592)/AK1592)</f>
        <v>0</v>
      </c>
      <c r="AQ1592">
        <f>IF(COUNT($E$2:$E1592)&lt;20,"",MAX($C$1573:$C$1592))</f>
        <v>0</v>
      </c>
      <c r="AR1592">
        <f>IF(COUNT($E$2:$E1592)&lt;20,"",MIN($D$1573:$D$1592))</f>
        <v>0</v>
      </c>
      <c r="AS1592">
        <f>IF(OR(AQ1592="",AR1592=""),"",(AQ1592+AR1592)/2)</f>
        <v>0</v>
      </c>
      <c r="AT1592">
        <f>IF(COUNT($G$1573:$G$1592)&lt;20,"",STDEV($G$1573:$G$1592)*SQRT(252))</f>
        <v>0</v>
      </c>
      <c r="AU1592">
        <f>IF(COUNT($E$2:$E1592)&lt;9,"",(MAX($C$1584:$C$1592)+MIN($D$1584:$D$1592))/2)</f>
        <v>0</v>
      </c>
      <c r="AV1592">
        <f>IF(COUNT($E$2:$E1592)&lt;26,"",(MAX($C$1567:$C$1592)+MIN($D$1567:$D$1592))/2)</f>
        <v>0</v>
      </c>
      <c r="AW1592">
        <f>IF(OR(AU1592="",AV1592=""),"",(AU1592+AV1592)/2)</f>
        <v>0</v>
      </c>
      <c r="AX1592">
        <f>IF(COUNT($E$2:$E1592)&lt;52,"",(MAX($C$1541:$C$1592)+MIN($D$1541:$D$1592))/2)</f>
        <v>0</v>
      </c>
      <c r="AY1592">
        <f>IF(COUNT($E$2:$E1592)&lt;20,"",MAX($C$1493:$C$1592))</f>
        <v>0</v>
      </c>
      <c r="AZ1592">
        <f>IF(COUNT($E$2:$E1592)&lt;20,"",MIN($D$1493:$D$1592))</f>
        <v>0</v>
      </c>
      <c r="BA1592">
        <f>IF(COUNT($E$2:$E1592)&lt;20,"",SLOPE($E$1493:$E$1592,$F$1493:$F$1592))</f>
        <v>0</v>
      </c>
      <c r="BB1592">
        <f>IF(COUNT($E$2:$E1592)&lt;20,"",INTERCEPT($E$1493:$E$1592,$F$1493:$F$1592))</f>
        <v>0</v>
      </c>
      <c r="BC1592">
        <f>IF(OR(BA1592="",BB1592=""),"",BB1592+BA1592*F1592)</f>
        <v>0</v>
      </c>
      <c r="BD1592">
        <f>IF(COUNT($E$2:$E1592)&lt;20,"",STEYX($E$1493:$E$1592,$F$1493:$F$1592))</f>
        <v>0</v>
      </c>
      <c r="BE1592">
        <f>IF($E1592="","",IF(AND(COUNT($E$1593:$E$1596)&gt;=4,$C1592=MAX($C$1588:$C$1596)),$C1592,""))</f>
        <v>0</v>
      </c>
      <c r="BF1592">
        <f>IF($E1592="","",IF(AND(COUNT($E$1593:$E$1596)&gt;=4,$D1592=MIN($D$1588:$D$1596)),$D1592,""))</f>
        <v>0</v>
      </c>
      <c r="BG1592">
        <f>IF($A1592="","",$A1592-WEEKDAY($A1592,2)+1)</f>
        <v>0</v>
      </c>
      <c r="BH1592">
        <f>IF($A1592="","",IF($A1591="",1,IF(BG1592&lt;&gt;BG1591,1,0)))</f>
        <v>0</v>
      </c>
      <c r="BI1592">
        <f>IF($A1592="","",IF($A1593="",1,IF(BG1593&lt;&gt;BG1592,1,0)))</f>
        <v>0</v>
      </c>
      <c r="BJ1592">
        <f>IF($A1592="","",IF(BH1592=1,$B1592,BJ1591))</f>
        <v>0</v>
      </c>
      <c r="BK1592">
        <f>IF($A1592="","",IF(BH1592=1,$C1592,MAX($C1592,BK1591)))</f>
        <v>0</v>
      </c>
      <c r="BL1592">
        <f>IF($A1592="","",IF(BH1592=1,$D1592,MIN($D1592,BL1591)))</f>
        <v>0</v>
      </c>
      <c r="BM1592">
        <f>IF($A1592="","",IF(BI1592=1,F1592,""))</f>
        <v>0</v>
      </c>
      <c r="BN1592">
        <f>IF($A1592="","",DATE(YEAR($A1592),MONTH($A1592),1))</f>
        <v>0</v>
      </c>
      <c r="BO1592">
        <f>IF($A1592="","",IF($A1591="",1,IF(BN1592&lt;&gt;BN1591,1,0)))</f>
        <v>0</v>
      </c>
      <c r="BP1592">
        <f>IF($A1592="","",IF($A1593="",1,IF(BN1593&lt;&gt;BN1592,1,0)))</f>
        <v>0</v>
      </c>
      <c r="BQ1592">
        <f>IF($A1592="","",IF(BO1592=1,$B1592,BQ1591))</f>
        <v>0</v>
      </c>
      <c r="BR1592">
        <f>IF($A1592="","",IF(BO1592=1,$C1592,MAX($C1592,BR1591)))</f>
        <v>0</v>
      </c>
      <c r="BS1592">
        <f>IF($A1592="","",IF(BO1592=1,$D1592,MIN($D1592,BS1591)))</f>
        <v>0</v>
      </c>
      <c r="BT1592">
        <f>IF($A1592="","",IF(BP1592=1,F1592,""))</f>
        <v>0</v>
      </c>
    </row>
    <row r="1593" spans="1:72">
      <c r="A1593" s="27">
        <f>IF(Data!$A1593="","",Data!$A1593)</f>
        <v>0</v>
      </c>
      <c r="B1593">
        <f>IF(Data!$B1593="","",Data!$B1593)</f>
        <v>0</v>
      </c>
      <c r="C1593">
        <f>IF(Data!$C1593="","",Data!$C1593)</f>
        <v>0</v>
      </c>
      <c r="D1593">
        <f>IF(Data!$D1593="","",Data!$D1593)</f>
        <v>0</v>
      </c>
      <c r="E1593">
        <f>IF(Data!$E1593="","",Data!$E1593)</f>
        <v>0</v>
      </c>
      <c r="F1593">
        <f>IF($E1593="","",N(F1592)+1)</f>
        <v>0</v>
      </c>
      <c r="G1593">
        <f>IF(OR($E1593="",$E1592=""),"",LN($E1593/$E1592))</f>
        <v>0</v>
      </c>
      <c r="H1593">
        <f>IF($E1593="","",IF($E1592="",$E1593,$E1593*0.0952380952+H1592*0.9047619048))</f>
        <v>0</v>
      </c>
      <c r="I1593">
        <f>IF($E1593="","",IF($E1592="",$E1593,$E1593*0.0392156863+I1592*0.9607843137))</f>
        <v>0</v>
      </c>
      <c r="J1593">
        <f>IF($E1593="","",IF($E1592="",$E1593,$E1593*0.0198019802+J1592*0.9801980198))</f>
        <v>0</v>
      </c>
      <c r="K1593">
        <f>IF($E1593="","",IF($E1592="",$E1593,$E1593*0.0099502488+K1592*0.9900497512))</f>
        <v>0</v>
      </c>
      <c r="L1593">
        <f>IF(OR($E1593="",$E1592=""),"",MAX($E1593-$E1592,0))</f>
        <v>0</v>
      </c>
      <c r="M1593">
        <f>IF(OR($E1593="",$E1592=""),"",MAX($E1592-$E1593,0))</f>
        <v>0</v>
      </c>
      <c r="N1593">
        <f>IF(COUNT($E$2:$E1593)&lt;15,"",IF(AVERAGE($M$1580:$M$1593)=0,100,100-100/(1+AVERAGE($L$1580:$L$1593)/AVERAGE($M$1580:$M$1593))))</f>
        <v>0</v>
      </c>
      <c r="O1593">
        <f>IF($E1593="","",IF($E1592="",$E1593,$E1593*0.1538461538+O1592*0.8461538462))</f>
        <v>0</v>
      </c>
      <c r="P1593">
        <f>IF($E1593="","",IF($E1592="",$E1593,$E1593*0.0740740741+P1592*0.9259259259))</f>
        <v>0</v>
      </c>
      <c r="Q1593">
        <f>IF(OR(O1593="",P1593=""),"",O1593-P1593)</f>
        <v>0</v>
      </c>
      <c r="R1593">
        <f>IF(Q1593="","",IF(R1592="",Q1593,Q1593*0.2000000000+R1592*0.8000000000))</f>
        <v>0</v>
      </c>
      <c r="S1593">
        <f>IF(OR(Q1593="",R1593=""),"",Q1593-R1593)</f>
        <v>0</v>
      </c>
      <c r="T1593">
        <f>IF(COUNT($E$2:$E1593)&lt;14,"",MAX($C$1580:$C$1593))</f>
        <v>0</v>
      </c>
      <c r="U1593">
        <f>IF(COUNT($E$2:$E1593)&lt;14,"",MIN($D$1580:$D$1593))</f>
        <v>0</v>
      </c>
      <c r="V1593">
        <f>IF(OR(T1593="",U1593="",T1593=U1593),"",100*($E1593-U1593)/(T1593-U1593))</f>
        <v>0</v>
      </c>
      <c r="W1593">
        <f>IF(COUNT($V$1591:$V$1593)&lt;3,"",AVERAGE($V$1591:$V$1593))</f>
        <v>0</v>
      </c>
      <c r="X1593">
        <f>IF(COUNT($N$1580:$N$1593)&lt;14,"",MIN($N$1580:$N$1593))</f>
        <v>0</v>
      </c>
      <c r="Y1593">
        <f>IF(COUNT($N$1580:$N$1593)&lt;14,"",MAX($N$1580:$N$1593))</f>
        <v>0</v>
      </c>
      <c r="Z1593">
        <f>IF(OR(N1593="",X1593="",Y1593="",Y1593=X1593),"",100*(N1593-X1593)/(Y1593-X1593))</f>
        <v>0</v>
      </c>
      <c r="AA1593">
        <f>IF(COUNT($Z$1591:$Z$1593)&lt;3,"",AVERAGE($Z$1591:$Z$1593))</f>
        <v>0</v>
      </c>
      <c r="AB1593">
        <f>IF(COUNT($AA$1591:$AA$1593)&lt;3,"",AVERAGE($AA$1591:$AA$1593))</f>
        <v>0</v>
      </c>
      <c r="AC1593">
        <f>IF($E1593="","",MAX($C1593-$D1593,ABS($C1593-$E1592),ABS($D1593-$E1592)))</f>
        <v>0</v>
      </c>
      <c r="AD1593">
        <f>IF(COUNT($E$2:$E1593)&lt;15,"",AVERAGE($AC$1580:$AC$1593))</f>
        <v>0</v>
      </c>
      <c r="AE1593">
        <f>IF(OR($E1593="",$E1592=""),"",IF(AND(($C1593-$C1592)&gt;($D1592-$D1593),($C1593-$C1592)&gt;0),$C1593-$C1592,0))</f>
        <v>0</v>
      </c>
      <c r="AF1593">
        <f>IF(OR($E1593="",$E1592=""),"",IF(AND(($D1592-$D1593)&gt;($C1593-$C1592),($D1592-$D1593)&gt;0),$D1592-$D1593,0))</f>
        <v>0</v>
      </c>
      <c r="AG1593">
        <f>IF(COUNT($E$2:$E1593)&lt;15,"",IF(SUM($AC$1580:$AC$1593)=0,0,100*SUM($AE$1580:$AE$1593)/SUM($AC$1580:$AC$1593)))</f>
        <v>0</v>
      </c>
      <c r="AH1593">
        <f>IF(COUNT($E$2:$E1593)&lt;15,"",IF(SUM($AC$1580:$AC$1593)=0,0,100*SUM($AF$1580:$AF$1593)/SUM($AC$1580:$AC$1593)))</f>
        <v>0</v>
      </c>
      <c r="AI1593">
        <f>IF(OR(AG1593="",AH1593=""),"",IF((AG1593+AH1593)=0,0,100*ABS(AG1593-AH1593)/(AG1593+AH1593)))</f>
        <v>0</v>
      </c>
      <c r="AJ1593">
        <f>IF(COUNT($AI$1580:$AI$1593)&lt;14,"",AVERAGE($AI$1580:$AI$1593))</f>
        <v>0</v>
      </c>
      <c r="AK1593">
        <f>IF(COUNT($E$2:$E1593)&lt;20,"",AVERAGE($E$1574:$E$1593))</f>
        <v>0</v>
      </c>
      <c r="AL1593">
        <f>IF(COUNT($E$2:$E1593)&lt;20,"",STDEVP($E$1574:$E$1593))</f>
        <v>0</v>
      </c>
      <c r="AM1593">
        <f>IF(AK1593="","",AK1593+2*AL1593)</f>
        <v>0</v>
      </c>
      <c r="AN1593">
        <f>IF(AK1593="","",AK1593-2*AL1593)</f>
        <v>0</v>
      </c>
      <c r="AO1593">
        <f>IF(OR(AM1593="",AN1593="",AM1593=AN1593),"",($E1593-AN1593)/(AM1593-AN1593))</f>
        <v>0</v>
      </c>
      <c r="AP1593">
        <f>IF(OR(AM1593="",AK1593="",AK1593=0),"",(AM1593-AN1593)/AK1593)</f>
        <v>0</v>
      </c>
      <c r="AQ1593">
        <f>IF(COUNT($E$2:$E1593)&lt;20,"",MAX($C$1574:$C$1593))</f>
        <v>0</v>
      </c>
      <c r="AR1593">
        <f>IF(COUNT($E$2:$E1593)&lt;20,"",MIN($D$1574:$D$1593))</f>
        <v>0</v>
      </c>
      <c r="AS1593">
        <f>IF(OR(AQ1593="",AR1593=""),"",(AQ1593+AR1593)/2)</f>
        <v>0</v>
      </c>
      <c r="AT1593">
        <f>IF(COUNT($G$1574:$G$1593)&lt;20,"",STDEV($G$1574:$G$1593)*SQRT(252))</f>
        <v>0</v>
      </c>
      <c r="AU1593">
        <f>IF(COUNT($E$2:$E1593)&lt;9,"",(MAX($C$1585:$C$1593)+MIN($D$1585:$D$1593))/2)</f>
        <v>0</v>
      </c>
      <c r="AV1593">
        <f>IF(COUNT($E$2:$E1593)&lt;26,"",(MAX($C$1568:$C$1593)+MIN($D$1568:$D$1593))/2)</f>
        <v>0</v>
      </c>
      <c r="AW1593">
        <f>IF(OR(AU1593="",AV1593=""),"",(AU1593+AV1593)/2)</f>
        <v>0</v>
      </c>
      <c r="AX1593">
        <f>IF(COUNT($E$2:$E1593)&lt;52,"",(MAX($C$1542:$C$1593)+MIN($D$1542:$D$1593))/2)</f>
        <v>0</v>
      </c>
      <c r="AY1593">
        <f>IF(COUNT($E$2:$E1593)&lt;20,"",MAX($C$1494:$C$1593))</f>
        <v>0</v>
      </c>
      <c r="AZ1593">
        <f>IF(COUNT($E$2:$E1593)&lt;20,"",MIN($D$1494:$D$1593))</f>
        <v>0</v>
      </c>
      <c r="BA1593">
        <f>IF(COUNT($E$2:$E1593)&lt;20,"",SLOPE($E$1494:$E$1593,$F$1494:$F$1593))</f>
        <v>0</v>
      </c>
      <c r="BB1593">
        <f>IF(COUNT($E$2:$E1593)&lt;20,"",INTERCEPT($E$1494:$E$1593,$F$1494:$F$1593))</f>
        <v>0</v>
      </c>
      <c r="BC1593">
        <f>IF(OR(BA1593="",BB1593=""),"",BB1593+BA1593*F1593)</f>
        <v>0</v>
      </c>
      <c r="BD1593">
        <f>IF(COUNT($E$2:$E1593)&lt;20,"",STEYX($E$1494:$E$1593,$F$1494:$F$1593))</f>
        <v>0</v>
      </c>
      <c r="BE1593">
        <f>IF($E1593="","",IF(AND(COUNT($E$1594:$E$1597)&gt;=4,$C1593=MAX($C$1589:$C$1597)),$C1593,""))</f>
        <v>0</v>
      </c>
      <c r="BF1593">
        <f>IF($E1593="","",IF(AND(COUNT($E$1594:$E$1597)&gt;=4,$D1593=MIN($D$1589:$D$1597)),$D1593,""))</f>
        <v>0</v>
      </c>
      <c r="BG1593">
        <f>IF($A1593="","",$A1593-WEEKDAY($A1593,2)+1)</f>
        <v>0</v>
      </c>
      <c r="BH1593">
        <f>IF($A1593="","",IF($A1592="",1,IF(BG1593&lt;&gt;BG1592,1,0)))</f>
        <v>0</v>
      </c>
      <c r="BI1593">
        <f>IF($A1593="","",IF($A1594="",1,IF(BG1594&lt;&gt;BG1593,1,0)))</f>
        <v>0</v>
      </c>
      <c r="BJ1593">
        <f>IF($A1593="","",IF(BH1593=1,$B1593,BJ1592))</f>
        <v>0</v>
      </c>
      <c r="BK1593">
        <f>IF($A1593="","",IF(BH1593=1,$C1593,MAX($C1593,BK1592)))</f>
        <v>0</v>
      </c>
      <c r="BL1593">
        <f>IF($A1593="","",IF(BH1593=1,$D1593,MIN($D1593,BL1592)))</f>
        <v>0</v>
      </c>
      <c r="BM1593">
        <f>IF($A1593="","",IF(BI1593=1,F1593,""))</f>
        <v>0</v>
      </c>
      <c r="BN1593">
        <f>IF($A1593="","",DATE(YEAR($A1593),MONTH($A1593),1))</f>
        <v>0</v>
      </c>
      <c r="BO1593">
        <f>IF($A1593="","",IF($A1592="",1,IF(BN1593&lt;&gt;BN1592,1,0)))</f>
        <v>0</v>
      </c>
      <c r="BP1593">
        <f>IF($A1593="","",IF($A1594="",1,IF(BN1594&lt;&gt;BN1593,1,0)))</f>
        <v>0</v>
      </c>
      <c r="BQ1593">
        <f>IF($A1593="","",IF(BO1593=1,$B1593,BQ1592))</f>
        <v>0</v>
      </c>
      <c r="BR1593">
        <f>IF($A1593="","",IF(BO1593=1,$C1593,MAX($C1593,BR1592)))</f>
        <v>0</v>
      </c>
      <c r="BS1593">
        <f>IF($A1593="","",IF(BO1593=1,$D1593,MIN($D1593,BS1592)))</f>
        <v>0</v>
      </c>
      <c r="BT1593">
        <f>IF($A1593="","",IF(BP1593=1,F1593,""))</f>
        <v>0</v>
      </c>
    </row>
    <row r="1594" spans="1:72">
      <c r="A1594" s="27">
        <f>IF(Data!$A1594="","",Data!$A1594)</f>
        <v>0</v>
      </c>
      <c r="B1594">
        <f>IF(Data!$B1594="","",Data!$B1594)</f>
        <v>0</v>
      </c>
      <c r="C1594">
        <f>IF(Data!$C1594="","",Data!$C1594)</f>
        <v>0</v>
      </c>
      <c r="D1594">
        <f>IF(Data!$D1594="","",Data!$D1594)</f>
        <v>0</v>
      </c>
      <c r="E1594">
        <f>IF(Data!$E1594="","",Data!$E1594)</f>
        <v>0</v>
      </c>
      <c r="F1594">
        <f>IF($E1594="","",N(F1593)+1)</f>
        <v>0</v>
      </c>
      <c r="G1594">
        <f>IF(OR($E1594="",$E1593=""),"",LN($E1594/$E1593))</f>
        <v>0</v>
      </c>
      <c r="H1594">
        <f>IF($E1594="","",IF($E1593="",$E1594,$E1594*0.0952380952+H1593*0.9047619048))</f>
        <v>0</v>
      </c>
      <c r="I1594">
        <f>IF($E1594="","",IF($E1593="",$E1594,$E1594*0.0392156863+I1593*0.9607843137))</f>
        <v>0</v>
      </c>
      <c r="J1594">
        <f>IF($E1594="","",IF($E1593="",$E1594,$E1594*0.0198019802+J1593*0.9801980198))</f>
        <v>0</v>
      </c>
      <c r="K1594">
        <f>IF($E1594="","",IF($E1593="",$E1594,$E1594*0.0099502488+K1593*0.9900497512))</f>
        <v>0</v>
      </c>
      <c r="L1594">
        <f>IF(OR($E1594="",$E1593=""),"",MAX($E1594-$E1593,0))</f>
        <v>0</v>
      </c>
      <c r="M1594">
        <f>IF(OR($E1594="",$E1593=""),"",MAX($E1593-$E1594,0))</f>
        <v>0</v>
      </c>
      <c r="N1594">
        <f>IF(COUNT($E$2:$E1594)&lt;15,"",IF(AVERAGE($M$1581:$M$1594)=0,100,100-100/(1+AVERAGE($L$1581:$L$1594)/AVERAGE($M$1581:$M$1594))))</f>
        <v>0</v>
      </c>
      <c r="O1594">
        <f>IF($E1594="","",IF($E1593="",$E1594,$E1594*0.1538461538+O1593*0.8461538462))</f>
        <v>0</v>
      </c>
      <c r="P1594">
        <f>IF($E1594="","",IF($E1593="",$E1594,$E1594*0.0740740741+P1593*0.9259259259))</f>
        <v>0</v>
      </c>
      <c r="Q1594">
        <f>IF(OR(O1594="",P1594=""),"",O1594-P1594)</f>
        <v>0</v>
      </c>
      <c r="R1594">
        <f>IF(Q1594="","",IF(R1593="",Q1594,Q1594*0.2000000000+R1593*0.8000000000))</f>
        <v>0</v>
      </c>
      <c r="S1594">
        <f>IF(OR(Q1594="",R1594=""),"",Q1594-R1594)</f>
        <v>0</v>
      </c>
      <c r="T1594">
        <f>IF(COUNT($E$2:$E1594)&lt;14,"",MAX($C$1581:$C$1594))</f>
        <v>0</v>
      </c>
      <c r="U1594">
        <f>IF(COUNT($E$2:$E1594)&lt;14,"",MIN($D$1581:$D$1594))</f>
        <v>0</v>
      </c>
      <c r="V1594">
        <f>IF(OR(T1594="",U1594="",T1594=U1594),"",100*($E1594-U1594)/(T1594-U1594))</f>
        <v>0</v>
      </c>
      <c r="W1594">
        <f>IF(COUNT($V$1592:$V$1594)&lt;3,"",AVERAGE($V$1592:$V$1594))</f>
        <v>0</v>
      </c>
      <c r="X1594">
        <f>IF(COUNT($N$1581:$N$1594)&lt;14,"",MIN($N$1581:$N$1594))</f>
        <v>0</v>
      </c>
      <c r="Y1594">
        <f>IF(COUNT($N$1581:$N$1594)&lt;14,"",MAX($N$1581:$N$1594))</f>
        <v>0</v>
      </c>
      <c r="Z1594">
        <f>IF(OR(N1594="",X1594="",Y1594="",Y1594=X1594),"",100*(N1594-X1594)/(Y1594-X1594))</f>
        <v>0</v>
      </c>
      <c r="AA1594">
        <f>IF(COUNT($Z$1592:$Z$1594)&lt;3,"",AVERAGE($Z$1592:$Z$1594))</f>
        <v>0</v>
      </c>
      <c r="AB1594">
        <f>IF(COUNT($AA$1592:$AA$1594)&lt;3,"",AVERAGE($AA$1592:$AA$1594))</f>
        <v>0</v>
      </c>
      <c r="AC1594">
        <f>IF($E1594="","",MAX($C1594-$D1594,ABS($C1594-$E1593),ABS($D1594-$E1593)))</f>
        <v>0</v>
      </c>
      <c r="AD1594">
        <f>IF(COUNT($E$2:$E1594)&lt;15,"",AVERAGE($AC$1581:$AC$1594))</f>
        <v>0</v>
      </c>
      <c r="AE1594">
        <f>IF(OR($E1594="",$E1593=""),"",IF(AND(($C1594-$C1593)&gt;($D1593-$D1594),($C1594-$C1593)&gt;0),$C1594-$C1593,0))</f>
        <v>0</v>
      </c>
      <c r="AF1594">
        <f>IF(OR($E1594="",$E1593=""),"",IF(AND(($D1593-$D1594)&gt;($C1594-$C1593),($D1593-$D1594)&gt;0),$D1593-$D1594,0))</f>
        <v>0</v>
      </c>
      <c r="AG1594">
        <f>IF(COUNT($E$2:$E1594)&lt;15,"",IF(SUM($AC$1581:$AC$1594)=0,0,100*SUM($AE$1581:$AE$1594)/SUM($AC$1581:$AC$1594)))</f>
        <v>0</v>
      </c>
      <c r="AH1594">
        <f>IF(COUNT($E$2:$E1594)&lt;15,"",IF(SUM($AC$1581:$AC$1594)=0,0,100*SUM($AF$1581:$AF$1594)/SUM($AC$1581:$AC$1594)))</f>
        <v>0</v>
      </c>
      <c r="AI1594">
        <f>IF(OR(AG1594="",AH1594=""),"",IF((AG1594+AH1594)=0,0,100*ABS(AG1594-AH1594)/(AG1594+AH1594)))</f>
        <v>0</v>
      </c>
      <c r="AJ1594">
        <f>IF(COUNT($AI$1581:$AI$1594)&lt;14,"",AVERAGE($AI$1581:$AI$1594))</f>
        <v>0</v>
      </c>
      <c r="AK1594">
        <f>IF(COUNT($E$2:$E1594)&lt;20,"",AVERAGE($E$1575:$E$1594))</f>
        <v>0</v>
      </c>
      <c r="AL1594">
        <f>IF(COUNT($E$2:$E1594)&lt;20,"",STDEVP($E$1575:$E$1594))</f>
        <v>0</v>
      </c>
      <c r="AM1594">
        <f>IF(AK1594="","",AK1594+2*AL1594)</f>
        <v>0</v>
      </c>
      <c r="AN1594">
        <f>IF(AK1594="","",AK1594-2*AL1594)</f>
        <v>0</v>
      </c>
      <c r="AO1594">
        <f>IF(OR(AM1594="",AN1594="",AM1594=AN1594),"",($E1594-AN1594)/(AM1594-AN1594))</f>
        <v>0</v>
      </c>
      <c r="AP1594">
        <f>IF(OR(AM1594="",AK1594="",AK1594=0),"",(AM1594-AN1594)/AK1594)</f>
        <v>0</v>
      </c>
      <c r="AQ1594">
        <f>IF(COUNT($E$2:$E1594)&lt;20,"",MAX($C$1575:$C$1594))</f>
        <v>0</v>
      </c>
      <c r="AR1594">
        <f>IF(COUNT($E$2:$E1594)&lt;20,"",MIN($D$1575:$D$1594))</f>
        <v>0</v>
      </c>
      <c r="AS1594">
        <f>IF(OR(AQ1594="",AR1594=""),"",(AQ1594+AR1594)/2)</f>
        <v>0</v>
      </c>
      <c r="AT1594">
        <f>IF(COUNT($G$1575:$G$1594)&lt;20,"",STDEV($G$1575:$G$1594)*SQRT(252))</f>
        <v>0</v>
      </c>
      <c r="AU1594">
        <f>IF(COUNT($E$2:$E1594)&lt;9,"",(MAX($C$1586:$C$1594)+MIN($D$1586:$D$1594))/2)</f>
        <v>0</v>
      </c>
      <c r="AV1594">
        <f>IF(COUNT($E$2:$E1594)&lt;26,"",(MAX($C$1569:$C$1594)+MIN($D$1569:$D$1594))/2)</f>
        <v>0</v>
      </c>
      <c r="AW1594">
        <f>IF(OR(AU1594="",AV1594=""),"",(AU1594+AV1594)/2)</f>
        <v>0</v>
      </c>
      <c r="AX1594">
        <f>IF(COUNT($E$2:$E1594)&lt;52,"",(MAX($C$1543:$C$1594)+MIN($D$1543:$D$1594))/2)</f>
        <v>0</v>
      </c>
      <c r="AY1594">
        <f>IF(COUNT($E$2:$E1594)&lt;20,"",MAX($C$1495:$C$1594))</f>
        <v>0</v>
      </c>
      <c r="AZ1594">
        <f>IF(COUNT($E$2:$E1594)&lt;20,"",MIN($D$1495:$D$1594))</f>
        <v>0</v>
      </c>
      <c r="BA1594">
        <f>IF(COUNT($E$2:$E1594)&lt;20,"",SLOPE($E$1495:$E$1594,$F$1495:$F$1594))</f>
        <v>0</v>
      </c>
      <c r="BB1594">
        <f>IF(COUNT($E$2:$E1594)&lt;20,"",INTERCEPT($E$1495:$E$1594,$F$1495:$F$1594))</f>
        <v>0</v>
      </c>
      <c r="BC1594">
        <f>IF(OR(BA1594="",BB1594=""),"",BB1594+BA1594*F1594)</f>
        <v>0</v>
      </c>
      <c r="BD1594">
        <f>IF(COUNT($E$2:$E1594)&lt;20,"",STEYX($E$1495:$E$1594,$F$1495:$F$1594))</f>
        <v>0</v>
      </c>
      <c r="BE1594">
        <f>IF($E1594="","",IF(AND(COUNT($E$1595:$E$1598)&gt;=4,$C1594=MAX($C$1590:$C$1598)),$C1594,""))</f>
        <v>0</v>
      </c>
      <c r="BF1594">
        <f>IF($E1594="","",IF(AND(COUNT($E$1595:$E$1598)&gt;=4,$D1594=MIN($D$1590:$D$1598)),$D1594,""))</f>
        <v>0</v>
      </c>
      <c r="BG1594">
        <f>IF($A1594="","",$A1594-WEEKDAY($A1594,2)+1)</f>
        <v>0</v>
      </c>
      <c r="BH1594">
        <f>IF($A1594="","",IF($A1593="",1,IF(BG1594&lt;&gt;BG1593,1,0)))</f>
        <v>0</v>
      </c>
      <c r="BI1594">
        <f>IF($A1594="","",IF($A1595="",1,IF(BG1595&lt;&gt;BG1594,1,0)))</f>
        <v>0</v>
      </c>
      <c r="BJ1594">
        <f>IF($A1594="","",IF(BH1594=1,$B1594,BJ1593))</f>
        <v>0</v>
      </c>
      <c r="BK1594">
        <f>IF($A1594="","",IF(BH1594=1,$C1594,MAX($C1594,BK1593)))</f>
        <v>0</v>
      </c>
      <c r="BL1594">
        <f>IF($A1594="","",IF(BH1594=1,$D1594,MIN($D1594,BL1593)))</f>
        <v>0</v>
      </c>
      <c r="BM1594">
        <f>IF($A1594="","",IF(BI1594=1,F1594,""))</f>
        <v>0</v>
      </c>
      <c r="BN1594">
        <f>IF($A1594="","",DATE(YEAR($A1594),MONTH($A1594),1))</f>
        <v>0</v>
      </c>
      <c r="BO1594">
        <f>IF($A1594="","",IF($A1593="",1,IF(BN1594&lt;&gt;BN1593,1,0)))</f>
        <v>0</v>
      </c>
      <c r="BP1594">
        <f>IF($A1594="","",IF($A1595="",1,IF(BN1595&lt;&gt;BN1594,1,0)))</f>
        <v>0</v>
      </c>
      <c r="BQ1594">
        <f>IF($A1594="","",IF(BO1594=1,$B1594,BQ1593))</f>
        <v>0</v>
      </c>
      <c r="BR1594">
        <f>IF($A1594="","",IF(BO1594=1,$C1594,MAX($C1594,BR1593)))</f>
        <v>0</v>
      </c>
      <c r="BS1594">
        <f>IF($A1594="","",IF(BO1594=1,$D1594,MIN($D1594,BS1593)))</f>
        <v>0</v>
      </c>
      <c r="BT1594">
        <f>IF($A1594="","",IF(BP1594=1,F1594,""))</f>
        <v>0</v>
      </c>
    </row>
    <row r="1595" spans="1:72">
      <c r="A1595" s="27">
        <f>IF(Data!$A1595="","",Data!$A1595)</f>
        <v>0</v>
      </c>
      <c r="B1595">
        <f>IF(Data!$B1595="","",Data!$B1595)</f>
        <v>0</v>
      </c>
      <c r="C1595">
        <f>IF(Data!$C1595="","",Data!$C1595)</f>
        <v>0</v>
      </c>
      <c r="D1595">
        <f>IF(Data!$D1595="","",Data!$D1595)</f>
        <v>0</v>
      </c>
      <c r="E1595">
        <f>IF(Data!$E1595="","",Data!$E1595)</f>
        <v>0</v>
      </c>
      <c r="F1595">
        <f>IF($E1595="","",N(F1594)+1)</f>
        <v>0</v>
      </c>
      <c r="G1595">
        <f>IF(OR($E1595="",$E1594=""),"",LN($E1595/$E1594))</f>
        <v>0</v>
      </c>
      <c r="H1595">
        <f>IF($E1595="","",IF($E1594="",$E1595,$E1595*0.0952380952+H1594*0.9047619048))</f>
        <v>0</v>
      </c>
      <c r="I1595">
        <f>IF($E1595="","",IF($E1594="",$E1595,$E1595*0.0392156863+I1594*0.9607843137))</f>
        <v>0</v>
      </c>
      <c r="J1595">
        <f>IF($E1595="","",IF($E1594="",$E1595,$E1595*0.0198019802+J1594*0.9801980198))</f>
        <v>0</v>
      </c>
      <c r="K1595">
        <f>IF($E1595="","",IF($E1594="",$E1595,$E1595*0.0099502488+K1594*0.9900497512))</f>
        <v>0</v>
      </c>
      <c r="L1595">
        <f>IF(OR($E1595="",$E1594=""),"",MAX($E1595-$E1594,0))</f>
        <v>0</v>
      </c>
      <c r="M1595">
        <f>IF(OR($E1595="",$E1594=""),"",MAX($E1594-$E1595,0))</f>
        <v>0</v>
      </c>
      <c r="N1595">
        <f>IF(COUNT($E$2:$E1595)&lt;15,"",IF(AVERAGE($M$1582:$M$1595)=0,100,100-100/(1+AVERAGE($L$1582:$L$1595)/AVERAGE($M$1582:$M$1595))))</f>
        <v>0</v>
      </c>
      <c r="O1595">
        <f>IF($E1595="","",IF($E1594="",$E1595,$E1595*0.1538461538+O1594*0.8461538462))</f>
        <v>0</v>
      </c>
      <c r="P1595">
        <f>IF($E1595="","",IF($E1594="",$E1595,$E1595*0.0740740741+P1594*0.9259259259))</f>
        <v>0</v>
      </c>
      <c r="Q1595">
        <f>IF(OR(O1595="",P1595=""),"",O1595-P1595)</f>
        <v>0</v>
      </c>
      <c r="R1595">
        <f>IF(Q1595="","",IF(R1594="",Q1595,Q1595*0.2000000000+R1594*0.8000000000))</f>
        <v>0</v>
      </c>
      <c r="S1595">
        <f>IF(OR(Q1595="",R1595=""),"",Q1595-R1595)</f>
        <v>0</v>
      </c>
      <c r="T1595">
        <f>IF(COUNT($E$2:$E1595)&lt;14,"",MAX($C$1582:$C$1595))</f>
        <v>0</v>
      </c>
      <c r="U1595">
        <f>IF(COUNT($E$2:$E1595)&lt;14,"",MIN($D$1582:$D$1595))</f>
        <v>0</v>
      </c>
      <c r="V1595">
        <f>IF(OR(T1595="",U1595="",T1595=U1595),"",100*($E1595-U1595)/(T1595-U1595))</f>
        <v>0</v>
      </c>
      <c r="W1595">
        <f>IF(COUNT($V$1593:$V$1595)&lt;3,"",AVERAGE($V$1593:$V$1595))</f>
        <v>0</v>
      </c>
      <c r="X1595">
        <f>IF(COUNT($N$1582:$N$1595)&lt;14,"",MIN($N$1582:$N$1595))</f>
        <v>0</v>
      </c>
      <c r="Y1595">
        <f>IF(COUNT($N$1582:$N$1595)&lt;14,"",MAX($N$1582:$N$1595))</f>
        <v>0</v>
      </c>
      <c r="Z1595">
        <f>IF(OR(N1595="",X1595="",Y1595="",Y1595=X1595),"",100*(N1595-X1595)/(Y1595-X1595))</f>
        <v>0</v>
      </c>
      <c r="AA1595">
        <f>IF(COUNT($Z$1593:$Z$1595)&lt;3,"",AVERAGE($Z$1593:$Z$1595))</f>
        <v>0</v>
      </c>
      <c r="AB1595">
        <f>IF(COUNT($AA$1593:$AA$1595)&lt;3,"",AVERAGE($AA$1593:$AA$1595))</f>
        <v>0</v>
      </c>
      <c r="AC1595">
        <f>IF($E1595="","",MAX($C1595-$D1595,ABS($C1595-$E1594),ABS($D1595-$E1594)))</f>
        <v>0</v>
      </c>
      <c r="AD1595">
        <f>IF(COUNT($E$2:$E1595)&lt;15,"",AVERAGE($AC$1582:$AC$1595))</f>
        <v>0</v>
      </c>
      <c r="AE1595">
        <f>IF(OR($E1595="",$E1594=""),"",IF(AND(($C1595-$C1594)&gt;($D1594-$D1595),($C1595-$C1594)&gt;0),$C1595-$C1594,0))</f>
        <v>0</v>
      </c>
      <c r="AF1595">
        <f>IF(OR($E1595="",$E1594=""),"",IF(AND(($D1594-$D1595)&gt;($C1595-$C1594),($D1594-$D1595)&gt;0),$D1594-$D1595,0))</f>
        <v>0</v>
      </c>
      <c r="AG1595">
        <f>IF(COUNT($E$2:$E1595)&lt;15,"",IF(SUM($AC$1582:$AC$1595)=0,0,100*SUM($AE$1582:$AE$1595)/SUM($AC$1582:$AC$1595)))</f>
        <v>0</v>
      </c>
      <c r="AH1595">
        <f>IF(COUNT($E$2:$E1595)&lt;15,"",IF(SUM($AC$1582:$AC$1595)=0,0,100*SUM($AF$1582:$AF$1595)/SUM($AC$1582:$AC$1595)))</f>
        <v>0</v>
      </c>
      <c r="AI1595">
        <f>IF(OR(AG1595="",AH1595=""),"",IF((AG1595+AH1595)=0,0,100*ABS(AG1595-AH1595)/(AG1595+AH1595)))</f>
        <v>0</v>
      </c>
      <c r="AJ1595">
        <f>IF(COUNT($AI$1582:$AI$1595)&lt;14,"",AVERAGE($AI$1582:$AI$1595))</f>
        <v>0</v>
      </c>
      <c r="AK1595">
        <f>IF(COUNT($E$2:$E1595)&lt;20,"",AVERAGE($E$1576:$E$1595))</f>
        <v>0</v>
      </c>
      <c r="AL1595">
        <f>IF(COUNT($E$2:$E1595)&lt;20,"",STDEVP($E$1576:$E$1595))</f>
        <v>0</v>
      </c>
      <c r="AM1595">
        <f>IF(AK1595="","",AK1595+2*AL1595)</f>
        <v>0</v>
      </c>
      <c r="AN1595">
        <f>IF(AK1595="","",AK1595-2*AL1595)</f>
        <v>0</v>
      </c>
      <c r="AO1595">
        <f>IF(OR(AM1595="",AN1595="",AM1595=AN1595),"",($E1595-AN1595)/(AM1595-AN1595))</f>
        <v>0</v>
      </c>
      <c r="AP1595">
        <f>IF(OR(AM1595="",AK1595="",AK1595=0),"",(AM1595-AN1595)/AK1595)</f>
        <v>0</v>
      </c>
      <c r="AQ1595">
        <f>IF(COUNT($E$2:$E1595)&lt;20,"",MAX($C$1576:$C$1595))</f>
        <v>0</v>
      </c>
      <c r="AR1595">
        <f>IF(COUNT($E$2:$E1595)&lt;20,"",MIN($D$1576:$D$1595))</f>
        <v>0</v>
      </c>
      <c r="AS1595">
        <f>IF(OR(AQ1595="",AR1595=""),"",(AQ1595+AR1595)/2)</f>
        <v>0</v>
      </c>
      <c r="AT1595">
        <f>IF(COUNT($G$1576:$G$1595)&lt;20,"",STDEV($G$1576:$G$1595)*SQRT(252))</f>
        <v>0</v>
      </c>
      <c r="AU1595">
        <f>IF(COUNT($E$2:$E1595)&lt;9,"",(MAX($C$1587:$C$1595)+MIN($D$1587:$D$1595))/2)</f>
        <v>0</v>
      </c>
      <c r="AV1595">
        <f>IF(COUNT($E$2:$E1595)&lt;26,"",(MAX($C$1570:$C$1595)+MIN($D$1570:$D$1595))/2)</f>
        <v>0</v>
      </c>
      <c r="AW1595">
        <f>IF(OR(AU1595="",AV1595=""),"",(AU1595+AV1595)/2)</f>
        <v>0</v>
      </c>
      <c r="AX1595">
        <f>IF(COUNT($E$2:$E1595)&lt;52,"",(MAX($C$1544:$C$1595)+MIN($D$1544:$D$1595))/2)</f>
        <v>0</v>
      </c>
      <c r="AY1595">
        <f>IF(COUNT($E$2:$E1595)&lt;20,"",MAX($C$1496:$C$1595))</f>
        <v>0</v>
      </c>
      <c r="AZ1595">
        <f>IF(COUNT($E$2:$E1595)&lt;20,"",MIN($D$1496:$D$1595))</f>
        <v>0</v>
      </c>
      <c r="BA1595">
        <f>IF(COUNT($E$2:$E1595)&lt;20,"",SLOPE($E$1496:$E$1595,$F$1496:$F$1595))</f>
        <v>0</v>
      </c>
      <c r="BB1595">
        <f>IF(COUNT($E$2:$E1595)&lt;20,"",INTERCEPT($E$1496:$E$1595,$F$1496:$F$1595))</f>
        <v>0</v>
      </c>
      <c r="BC1595">
        <f>IF(OR(BA1595="",BB1595=""),"",BB1595+BA1595*F1595)</f>
        <v>0</v>
      </c>
      <c r="BD1595">
        <f>IF(COUNT($E$2:$E1595)&lt;20,"",STEYX($E$1496:$E$1595,$F$1496:$F$1595))</f>
        <v>0</v>
      </c>
      <c r="BE1595">
        <f>IF($E1595="","",IF(AND(COUNT($E$1596:$E$1599)&gt;=4,$C1595=MAX($C$1591:$C$1599)),$C1595,""))</f>
        <v>0</v>
      </c>
      <c r="BF1595">
        <f>IF($E1595="","",IF(AND(COUNT($E$1596:$E$1599)&gt;=4,$D1595=MIN($D$1591:$D$1599)),$D1595,""))</f>
        <v>0</v>
      </c>
      <c r="BG1595">
        <f>IF($A1595="","",$A1595-WEEKDAY($A1595,2)+1)</f>
        <v>0</v>
      </c>
      <c r="BH1595">
        <f>IF($A1595="","",IF($A1594="",1,IF(BG1595&lt;&gt;BG1594,1,0)))</f>
        <v>0</v>
      </c>
      <c r="BI1595">
        <f>IF($A1595="","",IF($A1596="",1,IF(BG1596&lt;&gt;BG1595,1,0)))</f>
        <v>0</v>
      </c>
      <c r="BJ1595">
        <f>IF($A1595="","",IF(BH1595=1,$B1595,BJ1594))</f>
        <v>0</v>
      </c>
      <c r="BK1595">
        <f>IF($A1595="","",IF(BH1595=1,$C1595,MAX($C1595,BK1594)))</f>
        <v>0</v>
      </c>
      <c r="BL1595">
        <f>IF($A1595="","",IF(BH1595=1,$D1595,MIN($D1595,BL1594)))</f>
        <v>0</v>
      </c>
      <c r="BM1595">
        <f>IF($A1595="","",IF(BI1595=1,F1595,""))</f>
        <v>0</v>
      </c>
      <c r="BN1595">
        <f>IF($A1595="","",DATE(YEAR($A1595),MONTH($A1595),1))</f>
        <v>0</v>
      </c>
      <c r="BO1595">
        <f>IF($A1595="","",IF($A1594="",1,IF(BN1595&lt;&gt;BN1594,1,0)))</f>
        <v>0</v>
      </c>
      <c r="BP1595">
        <f>IF($A1595="","",IF($A1596="",1,IF(BN1596&lt;&gt;BN1595,1,0)))</f>
        <v>0</v>
      </c>
      <c r="BQ1595">
        <f>IF($A1595="","",IF(BO1595=1,$B1595,BQ1594))</f>
        <v>0</v>
      </c>
      <c r="BR1595">
        <f>IF($A1595="","",IF(BO1595=1,$C1595,MAX($C1595,BR1594)))</f>
        <v>0</v>
      </c>
      <c r="BS1595">
        <f>IF($A1595="","",IF(BO1595=1,$D1595,MIN($D1595,BS1594)))</f>
        <v>0</v>
      </c>
      <c r="BT1595">
        <f>IF($A1595="","",IF(BP1595=1,F1595,""))</f>
        <v>0</v>
      </c>
    </row>
    <row r="1596" spans="1:72">
      <c r="A1596" s="27">
        <f>IF(Data!$A1596="","",Data!$A1596)</f>
        <v>0</v>
      </c>
      <c r="B1596">
        <f>IF(Data!$B1596="","",Data!$B1596)</f>
        <v>0</v>
      </c>
      <c r="C1596">
        <f>IF(Data!$C1596="","",Data!$C1596)</f>
        <v>0</v>
      </c>
      <c r="D1596">
        <f>IF(Data!$D1596="","",Data!$D1596)</f>
        <v>0</v>
      </c>
      <c r="E1596">
        <f>IF(Data!$E1596="","",Data!$E1596)</f>
        <v>0</v>
      </c>
      <c r="F1596">
        <f>IF($E1596="","",N(F1595)+1)</f>
        <v>0</v>
      </c>
      <c r="G1596">
        <f>IF(OR($E1596="",$E1595=""),"",LN($E1596/$E1595))</f>
        <v>0</v>
      </c>
      <c r="H1596">
        <f>IF($E1596="","",IF($E1595="",$E1596,$E1596*0.0952380952+H1595*0.9047619048))</f>
        <v>0</v>
      </c>
      <c r="I1596">
        <f>IF($E1596="","",IF($E1595="",$E1596,$E1596*0.0392156863+I1595*0.9607843137))</f>
        <v>0</v>
      </c>
      <c r="J1596">
        <f>IF($E1596="","",IF($E1595="",$E1596,$E1596*0.0198019802+J1595*0.9801980198))</f>
        <v>0</v>
      </c>
      <c r="K1596">
        <f>IF($E1596="","",IF($E1595="",$E1596,$E1596*0.0099502488+K1595*0.9900497512))</f>
        <v>0</v>
      </c>
      <c r="L1596">
        <f>IF(OR($E1596="",$E1595=""),"",MAX($E1596-$E1595,0))</f>
        <v>0</v>
      </c>
      <c r="M1596">
        <f>IF(OR($E1596="",$E1595=""),"",MAX($E1595-$E1596,0))</f>
        <v>0</v>
      </c>
      <c r="N1596">
        <f>IF(COUNT($E$2:$E1596)&lt;15,"",IF(AVERAGE($M$1583:$M$1596)=0,100,100-100/(1+AVERAGE($L$1583:$L$1596)/AVERAGE($M$1583:$M$1596))))</f>
        <v>0</v>
      </c>
      <c r="O1596">
        <f>IF($E1596="","",IF($E1595="",$E1596,$E1596*0.1538461538+O1595*0.8461538462))</f>
        <v>0</v>
      </c>
      <c r="P1596">
        <f>IF($E1596="","",IF($E1595="",$E1596,$E1596*0.0740740741+P1595*0.9259259259))</f>
        <v>0</v>
      </c>
      <c r="Q1596">
        <f>IF(OR(O1596="",P1596=""),"",O1596-P1596)</f>
        <v>0</v>
      </c>
      <c r="R1596">
        <f>IF(Q1596="","",IF(R1595="",Q1596,Q1596*0.2000000000+R1595*0.8000000000))</f>
        <v>0</v>
      </c>
      <c r="S1596">
        <f>IF(OR(Q1596="",R1596=""),"",Q1596-R1596)</f>
        <v>0</v>
      </c>
      <c r="T1596">
        <f>IF(COUNT($E$2:$E1596)&lt;14,"",MAX($C$1583:$C$1596))</f>
        <v>0</v>
      </c>
      <c r="U1596">
        <f>IF(COUNT($E$2:$E1596)&lt;14,"",MIN($D$1583:$D$1596))</f>
        <v>0</v>
      </c>
      <c r="V1596">
        <f>IF(OR(T1596="",U1596="",T1596=U1596),"",100*($E1596-U1596)/(T1596-U1596))</f>
        <v>0</v>
      </c>
      <c r="W1596">
        <f>IF(COUNT($V$1594:$V$1596)&lt;3,"",AVERAGE($V$1594:$V$1596))</f>
        <v>0</v>
      </c>
      <c r="X1596">
        <f>IF(COUNT($N$1583:$N$1596)&lt;14,"",MIN($N$1583:$N$1596))</f>
        <v>0</v>
      </c>
      <c r="Y1596">
        <f>IF(COUNT($N$1583:$N$1596)&lt;14,"",MAX($N$1583:$N$1596))</f>
        <v>0</v>
      </c>
      <c r="Z1596">
        <f>IF(OR(N1596="",X1596="",Y1596="",Y1596=X1596),"",100*(N1596-X1596)/(Y1596-X1596))</f>
        <v>0</v>
      </c>
      <c r="AA1596">
        <f>IF(COUNT($Z$1594:$Z$1596)&lt;3,"",AVERAGE($Z$1594:$Z$1596))</f>
        <v>0</v>
      </c>
      <c r="AB1596">
        <f>IF(COUNT($AA$1594:$AA$1596)&lt;3,"",AVERAGE($AA$1594:$AA$1596))</f>
        <v>0</v>
      </c>
      <c r="AC1596">
        <f>IF($E1596="","",MAX($C1596-$D1596,ABS($C1596-$E1595),ABS($D1596-$E1595)))</f>
        <v>0</v>
      </c>
      <c r="AD1596">
        <f>IF(COUNT($E$2:$E1596)&lt;15,"",AVERAGE($AC$1583:$AC$1596))</f>
        <v>0</v>
      </c>
      <c r="AE1596">
        <f>IF(OR($E1596="",$E1595=""),"",IF(AND(($C1596-$C1595)&gt;($D1595-$D1596),($C1596-$C1595)&gt;0),$C1596-$C1595,0))</f>
        <v>0</v>
      </c>
      <c r="AF1596">
        <f>IF(OR($E1596="",$E1595=""),"",IF(AND(($D1595-$D1596)&gt;($C1596-$C1595),($D1595-$D1596)&gt;0),$D1595-$D1596,0))</f>
        <v>0</v>
      </c>
      <c r="AG1596">
        <f>IF(COUNT($E$2:$E1596)&lt;15,"",IF(SUM($AC$1583:$AC$1596)=0,0,100*SUM($AE$1583:$AE$1596)/SUM($AC$1583:$AC$1596)))</f>
        <v>0</v>
      </c>
      <c r="AH1596">
        <f>IF(COUNT($E$2:$E1596)&lt;15,"",IF(SUM($AC$1583:$AC$1596)=0,0,100*SUM($AF$1583:$AF$1596)/SUM($AC$1583:$AC$1596)))</f>
        <v>0</v>
      </c>
      <c r="AI1596">
        <f>IF(OR(AG1596="",AH1596=""),"",IF((AG1596+AH1596)=0,0,100*ABS(AG1596-AH1596)/(AG1596+AH1596)))</f>
        <v>0</v>
      </c>
      <c r="AJ1596">
        <f>IF(COUNT($AI$1583:$AI$1596)&lt;14,"",AVERAGE($AI$1583:$AI$1596))</f>
        <v>0</v>
      </c>
      <c r="AK1596">
        <f>IF(COUNT($E$2:$E1596)&lt;20,"",AVERAGE($E$1577:$E$1596))</f>
        <v>0</v>
      </c>
      <c r="AL1596">
        <f>IF(COUNT($E$2:$E1596)&lt;20,"",STDEVP($E$1577:$E$1596))</f>
        <v>0</v>
      </c>
      <c r="AM1596">
        <f>IF(AK1596="","",AK1596+2*AL1596)</f>
        <v>0</v>
      </c>
      <c r="AN1596">
        <f>IF(AK1596="","",AK1596-2*AL1596)</f>
        <v>0</v>
      </c>
      <c r="AO1596">
        <f>IF(OR(AM1596="",AN1596="",AM1596=AN1596),"",($E1596-AN1596)/(AM1596-AN1596))</f>
        <v>0</v>
      </c>
      <c r="AP1596">
        <f>IF(OR(AM1596="",AK1596="",AK1596=0),"",(AM1596-AN1596)/AK1596)</f>
        <v>0</v>
      </c>
      <c r="AQ1596">
        <f>IF(COUNT($E$2:$E1596)&lt;20,"",MAX($C$1577:$C$1596))</f>
        <v>0</v>
      </c>
      <c r="AR1596">
        <f>IF(COUNT($E$2:$E1596)&lt;20,"",MIN($D$1577:$D$1596))</f>
        <v>0</v>
      </c>
      <c r="AS1596">
        <f>IF(OR(AQ1596="",AR1596=""),"",(AQ1596+AR1596)/2)</f>
        <v>0</v>
      </c>
      <c r="AT1596">
        <f>IF(COUNT($G$1577:$G$1596)&lt;20,"",STDEV($G$1577:$G$1596)*SQRT(252))</f>
        <v>0</v>
      </c>
      <c r="AU1596">
        <f>IF(COUNT($E$2:$E1596)&lt;9,"",(MAX($C$1588:$C$1596)+MIN($D$1588:$D$1596))/2)</f>
        <v>0</v>
      </c>
      <c r="AV1596">
        <f>IF(COUNT($E$2:$E1596)&lt;26,"",(MAX($C$1571:$C$1596)+MIN($D$1571:$D$1596))/2)</f>
        <v>0</v>
      </c>
      <c r="AW1596">
        <f>IF(OR(AU1596="",AV1596=""),"",(AU1596+AV1596)/2)</f>
        <v>0</v>
      </c>
      <c r="AX1596">
        <f>IF(COUNT($E$2:$E1596)&lt;52,"",(MAX($C$1545:$C$1596)+MIN($D$1545:$D$1596))/2)</f>
        <v>0</v>
      </c>
      <c r="AY1596">
        <f>IF(COUNT($E$2:$E1596)&lt;20,"",MAX($C$1497:$C$1596))</f>
        <v>0</v>
      </c>
      <c r="AZ1596">
        <f>IF(COUNT($E$2:$E1596)&lt;20,"",MIN($D$1497:$D$1596))</f>
        <v>0</v>
      </c>
      <c r="BA1596">
        <f>IF(COUNT($E$2:$E1596)&lt;20,"",SLOPE($E$1497:$E$1596,$F$1497:$F$1596))</f>
        <v>0</v>
      </c>
      <c r="BB1596">
        <f>IF(COUNT($E$2:$E1596)&lt;20,"",INTERCEPT($E$1497:$E$1596,$F$1497:$F$1596))</f>
        <v>0</v>
      </c>
      <c r="BC1596">
        <f>IF(OR(BA1596="",BB1596=""),"",BB1596+BA1596*F1596)</f>
        <v>0</v>
      </c>
      <c r="BD1596">
        <f>IF(COUNT($E$2:$E1596)&lt;20,"",STEYX($E$1497:$E$1596,$F$1497:$F$1596))</f>
        <v>0</v>
      </c>
      <c r="BE1596">
        <f>IF($E1596="","",IF(AND(COUNT($E$1597:$E$1600)&gt;=4,$C1596=MAX($C$1592:$C$1600)),$C1596,""))</f>
        <v>0</v>
      </c>
      <c r="BF1596">
        <f>IF($E1596="","",IF(AND(COUNT($E$1597:$E$1600)&gt;=4,$D1596=MIN($D$1592:$D$1600)),$D1596,""))</f>
        <v>0</v>
      </c>
      <c r="BG1596">
        <f>IF($A1596="","",$A1596-WEEKDAY($A1596,2)+1)</f>
        <v>0</v>
      </c>
      <c r="BH1596">
        <f>IF($A1596="","",IF($A1595="",1,IF(BG1596&lt;&gt;BG1595,1,0)))</f>
        <v>0</v>
      </c>
      <c r="BI1596">
        <f>IF($A1596="","",IF($A1597="",1,IF(BG1597&lt;&gt;BG1596,1,0)))</f>
        <v>0</v>
      </c>
      <c r="BJ1596">
        <f>IF($A1596="","",IF(BH1596=1,$B1596,BJ1595))</f>
        <v>0</v>
      </c>
      <c r="BK1596">
        <f>IF($A1596="","",IF(BH1596=1,$C1596,MAX($C1596,BK1595)))</f>
        <v>0</v>
      </c>
      <c r="BL1596">
        <f>IF($A1596="","",IF(BH1596=1,$D1596,MIN($D1596,BL1595)))</f>
        <v>0</v>
      </c>
      <c r="BM1596">
        <f>IF($A1596="","",IF(BI1596=1,F1596,""))</f>
        <v>0</v>
      </c>
      <c r="BN1596">
        <f>IF($A1596="","",DATE(YEAR($A1596),MONTH($A1596),1))</f>
        <v>0</v>
      </c>
      <c r="BO1596">
        <f>IF($A1596="","",IF($A1595="",1,IF(BN1596&lt;&gt;BN1595,1,0)))</f>
        <v>0</v>
      </c>
      <c r="BP1596">
        <f>IF($A1596="","",IF($A1597="",1,IF(BN1597&lt;&gt;BN1596,1,0)))</f>
        <v>0</v>
      </c>
      <c r="BQ1596">
        <f>IF($A1596="","",IF(BO1596=1,$B1596,BQ1595))</f>
        <v>0</v>
      </c>
      <c r="BR1596">
        <f>IF($A1596="","",IF(BO1596=1,$C1596,MAX($C1596,BR1595)))</f>
        <v>0</v>
      </c>
      <c r="BS1596">
        <f>IF($A1596="","",IF(BO1596=1,$D1596,MIN($D1596,BS1595)))</f>
        <v>0</v>
      </c>
      <c r="BT1596">
        <f>IF($A1596="","",IF(BP1596=1,F1596,""))</f>
        <v>0</v>
      </c>
    </row>
    <row r="1597" spans="1:72">
      <c r="A1597" s="27">
        <f>IF(Data!$A1597="","",Data!$A1597)</f>
        <v>0</v>
      </c>
      <c r="B1597">
        <f>IF(Data!$B1597="","",Data!$B1597)</f>
        <v>0</v>
      </c>
      <c r="C1597">
        <f>IF(Data!$C1597="","",Data!$C1597)</f>
        <v>0</v>
      </c>
      <c r="D1597">
        <f>IF(Data!$D1597="","",Data!$D1597)</f>
        <v>0</v>
      </c>
      <c r="E1597">
        <f>IF(Data!$E1597="","",Data!$E1597)</f>
        <v>0</v>
      </c>
      <c r="F1597">
        <f>IF($E1597="","",N(F1596)+1)</f>
        <v>0</v>
      </c>
      <c r="G1597">
        <f>IF(OR($E1597="",$E1596=""),"",LN($E1597/$E1596))</f>
        <v>0</v>
      </c>
      <c r="H1597">
        <f>IF($E1597="","",IF($E1596="",$E1597,$E1597*0.0952380952+H1596*0.9047619048))</f>
        <v>0</v>
      </c>
      <c r="I1597">
        <f>IF($E1597="","",IF($E1596="",$E1597,$E1597*0.0392156863+I1596*0.9607843137))</f>
        <v>0</v>
      </c>
      <c r="J1597">
        <f>IF($E1597="","",IF($E1596="",$E1597,$E1597*0.0198019802+J1596*0.9801980198))</f>
        <v>0</v>
      </c>
      <c r="K1597">
        <f>IF($E1597="","",IF($E1596="",$E1597,$E1597*0.0099502488+K1596*0.9900497512))</f>
        <v>0</v>
      </c>
      <c r="L1597">
        <f>IF(OR($E1597="",$E1596=""),"",MAX($E1597-$E1596,0))</f>
        <v>0</v>
      </c>
      <c r="M1597">
        <f>IF(OR($E1597="",$E1596=""),"",MAX($E1596-$E1597,0))</f>
        <v>0</v>
      </c>
      <c r="N1597">
        <f>IF(COUNT($E$2:$E1597)&lt;15,"",IF(AVERAGE($M$1584:$M$1597)=0,100,100-100/(1+AVERAGE($L$1584:$L$1597)/AVERAGE($M$1584:$M$1597))))</f>
        <v>0</v>
      </c>
      <c r="O1597">
        <f>IF($E1597="","",IF($E1596="",$E1597,$E1597*0.1538461538+O1596*0.8461538462))</f>
        <v>0</v>
      </c>
      <c r="P1597">
        <f>IF($E1597="","",IF($E1596="",$E1597,$E1597*0.0740740741+P1596*0.9259259259))</f>
        <v>0</v>
      </c>
      <c r="Q1597">
        <f>IF(OR(O1597="",P1597=""),"",O1597-P1597)</f>
        <v>0</v>
      </c>
      <c r="R1597">
        <f>IF(Q1597="","",IF(R1596="",Q1597,Q1597*0.2000000000+R1596*0.8000000000))</f>
        <v>0</v>
      </c>
      <c r="S1597">
        <f>IF(OR(Q1597="",R1597=""),"",Q1597-R1597)</f>
        <v>0</v>
      </c>
      <c r="T1597">
        <f>IF(COUNT($E$2:$E1597)&lt;14,"",MAX($C$1584:$C$1597))</f>
        <v>0</v>
      </c>
      <c r="U1597">
        <f>IF(COUNT($E$2:$E1597)&lt;14,"",MIN($D$1584:$D$1597))</f>
        <v>0</v>
      </c>
      <c r="V1597">
        <f>IF(OR(T1597="",U1597="",T1597=U1597),"",100*($E1597-U1597)/(T1597-U1597))</f>
        <v>0</v>
      </c>
      <c r="W1597">
        <f>IF(COUNT($V$1595:$V$1597)&lt;3,"",AVERAGE($V$1595:$V$1597))</f>
        <v>0</v>
      </c>
      <c r="X1597">
        <f>IF(COUNT($N$1584:$N$1597)&lt;14,"",MIN($N$1584:$N$1597))</f>
        <v>0</v>
      </c>
      <c r="Y1597">
        <f>IF(COUNT($N$1584:$N$1597)&lt;14,"",MAX($N$1584:$N$1597))</f>
        <v>0</v>
      </c>
      <c r="Z1597">
        <f>IF(OR(N1597="",X1597="",Y1597="",Y1597=X1597),"",100*(N1597-X1597)/(Y1597-X1597))</f>
        <v>0</v>
      </c>
      <c r="AA1597">
        <f>IF(COUNT($Z$1595:$Z$1597)&lt;3,"",AVERAGE($Z$1595:$Z$1597))</f>
        <v>0</v>
      </c>
      <c r="AB1597">
        <f>IF(COUNT($AA$1595:$AA$1597)&lt;3,"",AVERAGE($AA$1595:$AA$1597))</f>
        <v>0</v>
      </c>
      <c r="AC1597">
        <f>IF($E1597="","",MAX($C1597-$D1597,ABS($C1597-$E1596),ABS($D1597-$E1596)))</f>
        <v>0</v>
      </c>
      <c r="AD1597">
        <f>IF(COUNT($E$2:$E1597)&lt;15,"",AVERAGE($AC$1584:$AC$1597))</f>
        <v>0</v>
      </c>
      <c r="AE1597">
        <f>IF(OR($E1597="",$E1596=""),"",IF(AND(($C1597-$C1596)&gt;($D1596-$D1597),($C1597-$C1596)&gt;0),$C1597-$C1596,0))</f>
        <v>0</v>
      </c>
      <c r="AF1597">
        <f>IF(OR($E1597="",$E1596=""),"",IF(AND(($D1596-$D1597)&gt;($C1597-$C1596),($D1596-$D1597)&gt;0),$D1596-$D1597,0))</f>
        <v>0</v>
      </c>
      <c r="AG1597">
        <f>IF(COUNT($E$2:$E1597)&lt;15,"",IF(SUM($AC$1584:$AC$1597)=0,0,100*SUM($AE$1584:$AE$1597)/SUM($AC$1584:$AC$1597)))</f>
        <v>0</v>
      </c>
      <c r="AH1597">
        <f>IF(COUNT($E$2:$E1597)&lt;15,"",IF(SUM($AC$1584:$AC$1597)=0,0,100*SUM($AF$1584:$AF$1597)/SUM($AC$1584:$AC$1597)))</f>
        <v>0</v>
      </c>
      <c r="AI1597">
        <f>IF(OR(AG1597="",AH1597=""),"",IF((AG1597+AH1597)=0,0,100*ABS(AG1597-AH1597)/(AG1597+AH1597)))</f>
        <v>0</v>
      </c>
      <c r="AJ1597">
        <f>IF(COUNT($AI$1584:$AI$1597)&lt;14,"",AVERAGE($AI$1584:$AI$1597))</f>
        <v>0</v>
      </c>
      <c r="AK1597">
        <f>IF(COUNT($E$2:$E1597)&lt;20,"",AVERAGE($E$1578:$E$1597))</f>
        <v>0</v>
      </c>
      <c r="AL1597">
        <f>IF(COUNT($E$2:$E1597)&lt;20,"",STDEVP($E$1578:$E$1597))</f>
        <v>0</v>
      </c>
      <c r="AM1597">
        <f>IF(AK1597="","",AK1597+2*AL1597)</f>
        <v>0</v>
      </c>
      <c r="AN1597">
        <f>IF(AK1597="","",AK1597-2*AL1597)</f>
        <v>0</v>
      </c>
      <c r="AO1597">
        <f>IF(OR(AM1597="",AN1597="",AM1597=AN1597),"",($E1597-AN1597)/(AM1597-AN1597))</f>
        <v>0</v>
      </c>
      <c r="AP1597">
        <f>IF(OR(AM1597="",AK1597="",AK1597=0),"",(AM1597-AN1597)/AK1597)</f>
        <v>0</v>
      </c>
      <c r="AQ1597">
        <f>IF(COUNT($E$2:$E1597)&lt;20,"",MAX($C$1578:$C$1597))</f>
        <v>0</v>
      </c>
      <c r="AR1597">
        <f>IF(COUNT($E$2:$E1597)&lt;20,"",MIN($D$1578:$D$1597))</f>
        <v>0</v>
      </c>
      <c r="AS1597">
        <f>IF(OR(AQ1597="",AR1597=""),"",(AQ1597+AR1597)/2)</f>
        <v>0</v>
      </c>
      <c r="AT1597">
        <f>IF(COUNT($G$1578:$G$1597)&lt;20,"",STDEV($G$1578:$G$1597)*SQRT(252))</f>
        <v>0</v>
      </c>
      <c r="AU1597">
        <f>IF(COUNT($E$2:$E1597)&lt;9,"",(MAX($C$1589:$C$1597)+MIN($D$1589:$D$1597))/2)</f>
        <v>0</v>
      </c>
      <c r="AV1597">
        <f>IF(COUNT($E$2:$E1597)&lt;26,"",(MAX($C$1572:$C$1597)+MIN($D$1572:$D$1597))/2)</f>
        <v>0</v>
      </c>
      <c r="AW1597">
        <f>IF(OR(AU1597="",AV1597=""),"",(AU1597+AV1597)/2)</f>
        <v>0</v>
      </c>
      <c r="AX1597">
        <f>IF(COUNT($E$2:$E1597)&lt;52,"",(MAX($C$1546:$C$1597)+MIN($D$1546:$D$1597))/2)</f>
        <v>0</v>
      </c>
      <c r="AY1597">
        <f>IF(COUNT($E$2:$E1597)&lt;20,"",MAX($C$1498:$C$1597))</f>
        <v>0</v>
      </c>
      <c r="AZ1597">
        <f>IF(COUNT($E$2:$E1597)&lt;20,"",MIN($D$1498:$D$1597))</f>
        <v>0</v>
      </c>
      <c r="BA1597">
        <f>IF(COUNT($E$2:$E1597)&lt;20,"",SLOPE($E$1498:$E$1597,$F$1498:$F$1597))</f>
        <v>0</v>
      </c>
      <c r="BB1597">
        <f>IF(COUNT($E$2:$E1597)&lt;20,"",INTERCEPT($E$1498:$E$1597,$F$1498:$F$1597))</f>
        <v>0</v>
      </c>
      <c r="BC1597">
        <f>IF(OR(BA1597="",BB1597=""),"",BB1597+BA1597*F1597)</f>
        <v>0</v>
      </c>
      <c r="BD1597">
        <f>IF(COUNT($E$2:$E1597)&lt;20,"",STEYX($E$1498:$E$1597,$F$1498:$F$1597))</f>
        <v>0</v>
      </c>
      <c r="BE1597">
        <f>IF($E1597="","",IF(AND(COUNT($E$1598:$E$1601)&gt;=4,$C1597=MAX($C$1593:$C$1601)),$C1597,""))</f>
        <v>0</v>
      </c>
      <c r="BF1597">
        <f>IF($E1597="","",IF(AND(COUNT($E$1598:$E$1601)&gt;=4,$D1597=MIN($D$1593:$D$1601)),$D1597,""))</f>
        <v>0</v>
      </c>
      <c r="BG1597">
        <f>IF($A1597="","",$A1597-WEEKDAY($A1597,2)+1)</f>
        <v>0</v>
      </c>
      <c r="BH1597">
        <f>IF($A1597="","",IF($A1596="",1,IF(BG1597&lt;&gt;BG1596,1,0)))</f>
        <v>0</v>
      </c>
      <c r="BI1597">
        <f>IF($A1597="","",IF($A1598="",1,IF(BG1598&lt;&gt;BG1597,1,0)))</f>
        <v>0</v>
      </c>
      <c r="BJ1597">
        <f>IF($A1597="","",IF(BH1597=1,$B1597,BJ1596))</f>
        <v>0</v>
      </c>
      <c r="BK1597">
        <f>IF($A1597="","",IF(BH1597=1,$C1597,MAX($C1597,BK1596)))</f>
        <v>0</v>
      </c>
      <c r="BL1597">
        <f>IF($A1597="","",IF(BH1597=1,$D1597,MIN($D1597,BL1596)))</f>
        <v>0</v>
      </c>
      <c r="BM1597">
        <f>IF($A1597="","",IF(BI1597=1,F1597,""))</f>
        <v>0</v>
      </c>
      <c r="BN1597">
        <f>IF($A1597="","",DATE(YEAR($A1597),MONTH($A1597),1))</f>
        <v>0</v>
      </c>
      <c r="BO1597">
        <f>IF($A1597="","",IF($A1596="",1,IF(BN1597&lt;&gt;BN1596,1,0)))</f>
        <v>0</v>
      </c>
      <c r="BP1597">
        <f>IF($A1597="","",IF($A1598="",1,IF(BN1598&lt;&gt;BN1597,1,0)))</f>
        <v>0</v>
      </c>
      <c r="BQ1597">
        <f>IF($A1597="","",IF(BO1597=1,$B1597,BQ1596))</f>
        <v>0</v>
      </c>
      <c r="BR1597">
        <f>IF($A1597="","",IF(BO1597=1,$C1597,MAX($C1597,BR1596)))</f>
        <v>0</v>
      </c>
      <c r="BS1597">
        <f>IF($A1597="","",IF(BO1597=1,$D1597,MIN($D1597,BS1596)))</f>
        <v>0</v>
      </c>
      <c r="BT1597">
        <f>IF($A1597="","",IF(BP1597=1,F1597,""))</f>
        <v>0</v>
      </c>
    </row>
    <row r="1598" spans="1:72">
      <c r="A1598" s="27">
        <f>IF(Data!$A1598="","",Data!$A1598)</f>
        <v>0</v>
      </c>
      <c r="B1598">
        <f>IF(Data!$B1598="","",Data!$B1598)</f>
        <v>0</v>
      </c>
      <c r="C1598">
        <f>IF(Data!$C1598="","",Data!$C1598)</f>
        <v>0</v>
      </c>
      <c r="D1598">
        <f>IF(Data!$D1598="","",Data!$D1598)</f>
        <v>0</v>
      </c>
      <c r="E1598">
        <f>IF(Data!$E1598="","",Data!$E1598)</f>
        <v>0</v>
      </c>
      <c r="F1598">
        <f>IF($E1598="","",N(F1597)+1)</f>
        <v>0</v>
      </c>
      <c r="G1598">
        <f>IF(OR($E1598="",$E1597=""),"",LN($E1598/$E1597))</f>
        <v>0</v>
      </c>
      <c r="H1598">
        <f>IF($E1598="","",IF($E1597="",$E1598,$E1598*0.0952380952+H1597*0.9047619048))</f>
        <v>0</v>
      </c>
      <c r="I1598">
        <f>IF($E1598="","",IF($E1597="",$E1598,$E1598*0.0392156863+I1597*0.9607843137))</f>
        <v>0</v>
      </c>
      <c r="J1598">
        <f>IF($E1598="","",IF($E1597="",$E1598,$E1598*0.0198019802+J1597*0.9801980198))</f>
        <v>0</v>
      </c>
      <c r="K1598">
        <f>IF($E1598="","",IF($E1597="",$E1598,$E1598*0.0099502488+K1597*0.9900497512))</f>
        <v>0</v>
      </c>
      <c r="L1598">
        <f>IF(OR($E1598="",$E1597=""),"",MAX($E1598-$E1597,0))</f>
        <v>0</v>
      </c>
      <c r="M1598">
        <f>IF(OR($E1598="",$E1597=""),"",MAX($E1597-$E1598,0))</f>
        <v>0</v>
      </c>
      <c r="N1598">
        <f>IF(COUNT($E$2:$E1598)&lt;15,"",IF(AVERAGE($M$1585:$M$1598)=0,100,100-100/(1+AVERAGE($L$1585:$L$1598)/AVERAGE($M$1585:$M$1598))))</f>
        <v>0</v>
      </c>
      <c r="O1598">
        <f>IF($E1598="","",IF($E1597="",$E1598,$E1598*0.1538461538+O1597*0.8461538462))</f>
        <v>0</v>
      </c>
      <c r="P1598">
        <f>IF($E1598="","",IF($E1597="",$E1598,$E1598*0.0740740741+P1597*0.9259259259))</f>
        <v>0</v>
      </c>
      <c r="Q1598">
        <f>IF(OR(O1598="",P1598=""),"",O1598-P1598)</f>
        <v>0</v>
      </c>
      <c r="R1598">
        <f>IF(Q1598="","",IF(R1597="",Q1598,Q1598*0.2000000000+R1597*0.8000000000))</f>
        <v>0</v>
      </c>
      <c r="S1598">
        <f>IF(OR(Q1598="",R1598=""),"",Q1598-R1598)</f>
        <v>0</v>
      </c>
      <c r="T1598">
        <f>IF(COUNT($E$2:$E1598)&lt;14,"",MAX($C$1585:$C$1598))</f>
        <v>0</v>
      </c>
      <c r="U1598">
        <f>IF(COUNT($E$2:$E1598)&lt;14,"",MIN($D$1585:$D$1598))</f>
        <v>0</v>
      </c>
      <c r="V1598">
        <f>IF(OR(T1598="",U1598="",T1598=U1598),"",100*($E1598-U1598)/(T1598-U1598))</f>
        <v>0</v>
      </c>
      <c r="W1598">
        <f>IF(COUNT($V$1596:$V$1598)&lt;3,"",AVERAGE($V$1596:$V$1598))</f>
        <v>0</v>
      </c>
      <c r="X1598">
        <f>IF(COUNT($N$1585:$N$1598)&lt;14,"",MIN($N$1585:$N$1598))</f>
        <v>0</v>
      </c>
      <c r="Y1598">
        <f>IF(COUNT($N$1585:$N$1598)&lt;14,"",MAX($N$1585:$N$1598))</f>
        <v>0</v>
      </c>
      <c r="Z1598">
        <f>IF(OR(N1598="",X1598="",Y1598="",Y1598=X1598),"",100*(N1598-X1598)/(Y1598-X1598))</f>
        <v>0</v>
      </c>
      <c r="AA1598">
        <f>IF(COUNT($Z$1596:$Z$1598)&lt;3,"",AVERAGE($Z$1596:$Z$1598))</f>
        <v>0</v>
      </c>
      <c r="AB1598">
        <f>IF(COUNT($AA$1596:$AA$1598)&lt;3,"",AVERAGE($AA$1596:$AA$1598))</f>
        <v>0</v>
      </c>
      <c r="AC1598">
        <f>IF($E1598="","",MAX($C1598-$D1598,ABS($C1598-$E1597),ABS($D1598-$E1597)))</f>
        <v>0</v>
      </c>
      <c r="AD1598">
        <f>IF(COUNT($E$2:$E1598)&lt;15,"",AVERAGE($AC$1585:$AC$1598))</f>
        <v>0</v>
      </c>
      <c r="AE1598">
        <f>IF(OR($E1598="",$E1597=""),"",IF(AND(($C1598-$C1597)&gt;($D1597-$D1598),($C1598-$C1597)&gt;0),$C1598-$C1597,0))</f>
        <v>0</v>
      </c>
      <c r="AF1598">
        <f>IF(OR($E1598="",$E1597=""),"",IF(AND(($D1597-$D1598)&gt;($C1598-$C1597),($D1597-$D1598)&gt;0),$D1597-$D1598,0))</f>
        <v>0</v>
      </c>
      <c r="AG1598">
        <f>IF(COUNT($E$2:$E1598)&lt;15,"",IF(SUM($AC$1585:$AC$1598)=0,0,100*SUM($AE$1585:$AE$1598)/SUM($AC$1585:$AC$1598)))</f>
        <v>0</v>
      </c>
      <c r="AH1598">
        <f>IF(COUNT($E$2:$E1598)&lt;15,"",IF(SUM($AC$1585:$AC$1598)=0,0,100*SUM($AF$1585:$AF$1598)/SUM($AC$1585:$AC$1598)))</f>
        <v>0</v>
      </c>
      <c r="AI1598">
        <f>IF(OR(AG1598="",AH1598=""),"",IF((AG1598+AH1598)=0,0,100*ABS(AG1598-AH1598)/(AG1598+AH1598)))</f>
        <v>0</v>
      </c>
      <c r="AJ1598">
        <f>IF(COUNT($AI$1585:$AI$1598)&lt;14,"",AVERAGE($AI$1585:$AI$1598))</f>
        <v>0</v>
      </c>
      <c r="AK1598">
        <f>IF(COUNT($E$2:$E1598)&lt;20,"",AVERAGE($E$1579:$E$1598))</f>
        <v>0</v>
      </c>
      <c r="AL1598">
        <f>IF(COUNT($E$2:$E1598)&lt;20,"",STDEVP($E$1579:$E$1598))</f>
        <v>0</v>
      </c>
      <c r="AM1598">
        <f>IF(AK1598="","",AK1598+2*AL1598)</f>
        <v>0</v>
      </c>
      <c r="AN1598">
        <f>IF(AK1598="","",AK1598-2*AL1598)</f>
        <v>0</v>
      </c>
      <c r="AO1598">
        <f>IF(OR(AM1598="",AN1598="",AM1598=AN1598),"",($E1598-AN1598)/(AM1598-AN1598))</f>
        <v>0</v>
      </c>
      <c r="AP1598">
        <f>IF(OR(AM1598="",AK1598="",AK1598=0),"",(AM1598-AN1598)/AK1598)</f>
        <v>0</v>
      </c>
      <c r="AQ1598">
        <f>IF(COUNT($E$2:$E1598)&lt;20,"",MAX($C$1579:$C$1598))</f>
        <v>0</v>
      </c>
      <c r="AR1598">
        <f>IF(COUNT($E$2:$E1598)&lt;20,"",MIN($D$1579:$D$1598))</f>
        <v>0</v>
      </c>
      <c r="AS1598">
        <f>IF(OR(AQ1598="",AR1598=""),"",(AQ1598+AR1598)/2)</f>
        <v>0</v>
      </c>
      <c r="AT1598">
        <f>IF(COUNT($G$1579:$G$1598)&lt;20,"",STDEV($G$1579:$G$1598)*SQRT(252))</f>
        <v>0</v>
      </c>
      <c r="AU1598">
        <f>IF(COUNT($E$2:$E1598)&lt;9,"",(MAX($C$1590:$C$1598)+MIN($D$1590:$D$1598))/2)</f>
        <v>0</v>
      </c>
      <c r="AV1598">
        <f>IF(COUNT($E$2:$E1598)&lt;26,"",(MAX($C$1573:$C$1598)+MIN($D$1573:$D$1598))/2)</f>
        <v>0</v>
      </c>
      <c r="AW1598">
        <f>IF(OR(AU1598="",AV1598=""),"",(AU1598+AV1598)/2)</f>
        <v>0</v>
      </c>
      <c r="AX1598">
        <f>IF(COUNT($E$2:$E1598)&lt;52,"",(MAX($C$1547:$C$1598)+MIN($D$1547:$D$1598))/2)</f>
        <v>0</v>
      </c>
      <c r="AY1598">
        <f>IF(COUNT($E$2:$E1598)&lt;20,"",MAX($C$1499:$C$1598))</f>
        <v>0</v>
      </c>
      <c r="AZ1598">
        <f>IF(COUNT($E$2:$E1598)&lt;20,"",MIN($D$1499:$D$1598))</f>
        <v>0</v>
      </c>
      <c r="BA1598">
        <f>IF(COUNT($E$2:$E1598)&lt;20,"",SLOPE($E$1499:$E$1598,$F$1499:$F$1598))</f>
        <v>0</v>
      </c>
      <c r="BB1598">
        <f>IF(COUNT($E$2:$E1598)&lt;20,"",INTERCEPT($E$1499:$E$1598,$F$1499:$F$1598))</f>
        <v>0</v>
      </c>
      <c r="BC1598">
        <f>IF(OR(BA1598="",BB1598=""),"",BB1598+BA1598*F1598)</f>
        <v>0</v>
      </c>
      <c r="BD1598">
        <f>IF(COUNT($E$2:$E1598)&lt;20,"",STEYX($E$1499:$E$1598,$F$1499:$F$1598))</f>
        <v>0</v>
      </c>
      <c r="BE1598">
        <f>IF($E1598="","",IF(AND(COUNT($E$1599:$E$1602)&gt;=4,$C1598=MAX($C$1594:$C$1602)),$C1598,""))</f>
        <v>0</v>
      </c>
      <c r="BF1598">
        <f>IF($E1598="","",IF(AND(COUNT($E$1599:$E$1602)&gt;=4,$D1598=MIN($D$1594:$D$1602)),$D1598,""))</f>
        <v>0</v>
      </c>
      <c r="BG1598">
        <f>IF($A1598="","",$A1598-WEEKDAY($A1598,2)+1)</f>
        <v>0</v>
      </c>
      <c r="BH1598">
        <f>IF($A1598="","",IF($A1597="",1,IF(BG1598&lt;&gt;BG1597,1,0)))</f>
        <v>0</v>
      </c>
      <c r="BI1598">
        <f>IF($A1598="","",IF($A1599="",1,IF(BG1599&lt;&gt;BG1598,1,0)))</f>
        <v>0</v>
      </c>
      <c r="BJ1598">
        <f>IF($A1598="","",IF(BH1598=1,$B1598,BJ1597))</f>
        <v>0</v>
      </c>
      <c r="BK1598">
        <f>IF($A1598="","",IF(BH1598=1,$C1598,MAX($C1598,BK1597)))</f>
        <v>0</v>
      </c>
      <c r="BL1598">
        <f>IF($A1598="","",IF(BH1598=1,$D1598,MIN($D1598,BL1597)))</f>
        <v>0</v>
      </c>
      <c r="BM1598">
        <f>IF($A1598="","",IF(BI1598=1,F1598,""))</f>
        <v>0</v>
      </c>
      <c r="BN1598">
        <f>IF($A1598="","",DATE(YEAR($A1598),MONTH($A1598),1))</f>
        <v>0</v>
      </c>
      <c r="BO1598">
        <f>IF($A1598="","",IF($A1597="",1,IF(BN1598&lt;&gt;BN1597,1,0)))</f>
        <v>0</v>
      </c>
      <c r="BP1598">
        <f>IF($A1598="","",IF($A1599="",1,IF(BN1599&lt;&gt;BN1598,1,0)))</f>
        <v>0</v>
      </c>
      <c r="BQ1598">
        <f>IF($A1598="","",IF(BO1598=1,$B1598,BQ1597))</f>
        <v>0</v>
      </c>
      <c r="BR1598">
        <f>IF($A1598="","",IF(BO1598=1,$C1598,MAX($C1598,BR1597)))</f>
        <v>0</v>
      </c>
      <c r="BS1598">
        <f>IF($A1598="","",IF(BO1598=1,$D1598,MIN($D1598,BS1597)))</f>
        <v>0</v>
      </c>
      <c r="BT1598">
        <f>IF($A1598="","",IF(BP1598=1,F1598,""))</f>
        <v>0</v>
      </c>
    </row>
    <row r="1599" spans="1:72">
      <c r="A1599" s="27">
        <f>IF(Data!$A1599="","",Data!$A1599)</f>
        <v>0</v>
      </c>
      <c r="B1599">
        <f>IF(Data!$B1599="","",Data!$B1599)</f>
        <v>0</v>
      </c>
      <c r="C1599">
        <f>IF(Data!$C1599="","",Data!$C1599)</f>
        <v>0</v>
      </c>
      <c r="D1599">
        <f>IF(Data!$D1599="","",Data!$D1599)</f>
        <v>0</v>
      </c>
      <c r="E1599">
        <f>IF(Data!$E1599="","",Data!$E1599)</f>
        <v>0</v>
      </c>
      <c r="F1599">
        <f>IF($E1599="","",N(F1598)+1)</f>
        <v>0</v>
      </c>
      <c r="G1599">
        <f>IF(OR($E1599="",$E1598=""),"",LN($E1599/$E1598))</f>
        <v>0</v>
      </c>
      <c r="H1599">
        <f>IF($E1599="","",IF($E1598="",$E1599,$E1599*0.0952380952+H1598*0.9047619048))</f>
        <v>0</v>
      </c>
      <c r="I1599">
        <f>IF($E1599="","",IF($E1598="",$E1599,$E1599*0.0392156863+I1598*0.9607843137))</f>
        <v>0</v>
      </c>
      <c r="J1599">
        <f>IF($E1599="","",IF($E1598="",$E1599,$E1599*0.0198019802+J1598*0.9801980198))</f>
        <v>0</v>
      </c>
      <c r="K1599">
        <f>IF($E1599="","",IF($E1598="",$E1599,$E1599*0.0099502488+K1598*0.9900497512))</f>
        <v>0</v>
      </c>
      <c r="L1599">
        <f>IF(OR($E1599="",$E1598=""),"",MAX($E1599-$E1598,0))</f>
        <v>0</v>
      </c>
      <c r="M1599">
        <f>IF(OR($E1599="",$E1598=""),"",MAX($E1598-$E1599,0))</f>
        <v>0</v>
      </c>
      <c r="N1599">
        <f>IF(COUNT($E$2:$E1599)&lt;15,"",IF(AVERAGE($M$1586:$M$1599)=0,100,100-100/(1+AVERAGE($L$1586:$L$1599)/AVERAGE($M$1586:$M$1599))))</f>
        <v>0</v>
      </c>
      <c r="O1599">
        <f>IF($E1599="","",IF($E1598="",$E1599,$E1599*0.1538461538+O1598*0.8461538462))</f>
        <v>0</v>
      </c>
      <c r="P1599">
        <f>IF($E1599="","",IF($E1598="",$E1599,$E1599*0.0740740741+P1598*0.9259259259))</f>
        <v>0</v>
      </c>
      <c r="Q1599">
        <f>IF(OR(O1599="",P1599=""),"",O1599-P1599)</f>
        <v>0</v>
      </c>
      <c r="R1599">
        <f>IF(Q1599="","",IF(R1598="",Q1599,Q1599*0.2000000000+R1598*0.8000000000))</f>
        <v>0</v>
      </c>
      <c r="S1599">
        <f>IF(OR(Q1599="",R1599=""),"",Q1599-R1599)</f>
        <v>0</v>
      </c>
      <c r="T1599">
        <f>IF(COUNT($E$2:$E1599)&lt;14,"",MAX($C$1586:$C$1599))</f>
        <v>0</v>
      </c>
      <c r="U1599">
        <f>IF(COUNT($E$2:$E1599)&lt;14,"",MIN($D$1586:$D$1599))</f>
        <v>0</v>
      </c>
      <c r="V1599">
        <f>IF(OR(T1599="",U1599="",T1599=U1599),"",100*($E1599-U1599)/(T1599-U1599))</f>
        <v>0</v>
      </c>
      <c r="W1599">
        <f>IF(COUNT($V$1597:$V$1599)&lt;3,"",AVERAGE($V$1597:$V$1599))</f>
        <v>0</v>
      </c>
      <c r="X1599">
        <f>IF(COUNT($N$1586:$N$1599)&lt;14,"",MIN($N$1586:$N$1599))</f>
        <v>0</v>
      </c>
      <c r="Y1599">
        <f>IF(COUNT($N$1586:$N$1599)&lt;14,"",MAX($N$1586:$N$1599))</f>
        <v>0</v>
      </c>
      <c r="Z1599">
        <f>IF(OR(N1599="",X1599="",Y1599="",Y1599=X1599),"",100*(N1599-X1599)/(Y1599-X1599))</f>
        <v>0</v>
      </c>
      <c r="AA1599">
        <f>IF(COUNT($Z$1597:$Z$1599)&lt;3,"",AVERAGE($Z$1597:$Z$1599))</f>
        <v>0</v>
      </c>
      <c r="AB1599">
        <f>IF(COUNT($AA$1597:$AA$1599)&lt;3,"",AVERAGE($AA$1597:$AA$1599))</f>
        <v>0</v>
      </c>
      <c r="AC1599">
        <f>IF($E1599="","",MAX($C1599-$D1599,ABS($C1599-$E1598),ABS($D1599-$E1598)))</f>
        <v>0</v>
      </c>
      <c r="AD1599">
        <f>IF(COUNT($E$2:$E1599)&lt;15,"",AVERAGE($AC$1586:$AC$1599))</f>
        <v>0</v>
      </c>
      <c r="AE1599">
        <f>IF(OR($E1599="",$E1598=""),"",IF(AND(($C1599-$C1598)&gt;($D1598-$D1599),($C1599-$C1598)&gt;0),$C1599-$C1598,0))</f>
        <v>0</v>
      </c>
      <c r="AF1599">
        <f>IF(OR($E1599="",$E1598=""),"",IF(AND(($D1598-$D1599)&gt;($C1599-$C1598),($D1598-$D1599)&gt;0),$D1598-$D1599,0))</f>
        <v>0</v>
      </c>
      <c r="AG1599">
        <f>IF(COUNT($E$2:$E1599)&lt;15,"",IF(SUM($AC$1586:$AC$1599)=0,0,100*SUM($AE$1586:$AE$1599)/SUM($AC$1586:$AC$1599)))</f>
        <v>0</v>
      </c>
      <c r="AH1599">
        <f>IF(COUNT($E$2:$E1599)&lt;15,"",IF(SUM($AC$1586:$AC$1599)=0,0,100*SUM($AF$1586:$AF$1599)/SUM($AC$1586:$AC$1599)))</f>
        <v>0</v>
      </c>
      <c r="AI1599">
        <f>IF(OR(AG1599="",AH1599=""),"",IF((AG1599+AH1599)=0,0,100*ABS(AG1599-AH1599)/(AG1599+AH1599)))</f>
        <v>0</v>
      </c>
      <c r="AJ1599">
        <f>IF(COUNT($AI$1586:$AI$1599)&lt;14,"",AVERAGE($AI$1586:$AI$1599))</f>
        <v>0</v>
      </c>
      <c r="AK1599">
        <f>IF(COUNT($E$2:$E1599)&lt;20,"",AVERAGE($E$1580:$E$1599))</f>
        <v>0</v>
      </c>
      <c r="AL1599">
        <f>IF(COUNT($E$2:$E1599)&lt;20,"",STDEVP($E$1580:$E$1599))</f>
        <v>0</v>
      </c>
      <c r="AM1599">
        <f>IF(AK1599="","",AK1599+2*AL1599)</f>
        <v>0</v>
      </c>
      <c r="AN1599">
        <f>IF(AK1599="","",AK1599-2*AL1599)</f>
        <v>0</v>
      </c>
      <c r="AO1599">
        <f>IF(OR(AM1599="",AN1599="",AM1599=AN1599),"",($E1599-AN1599)/(AM1599-AN1599))</f>
        <v>0</v>
      </c>
      <c r="AP1599">
        <f>IF(OR(AM1599="",AK1599="",AK1599=0),"",(AM1599-AN1599)/AK1599)</f>
        <v>0</v>
      </c>
      <c r="AQ1599">
        <f>IF(COUNT($E$2:$E1599)&lt;20,"",MAX($C$1580:$C$1599))</f>
        <v>0</v>
      </c>
      <c r="AR1599">
        <f>IF(COUNT($E$2:$E1599)&lt;20,"",MIN($D$1580:$D$1599))</f>
        <v>0</v>
      </c>
      <c r="AS1599">
        <f>IF(OR(AQ1599="",AR1599=""),"",(AQ1599+AR1599)/2)</f>
        <v>0</v>
      </c>
      <c r="AT1599">
        <f>IF(COUNT($G$1580:$G$1599)&lt;20,"",STDEV($G$1580:$G$1599)*SQRT(252))</f>
        <v>0</v>
      </c>
      <c r="AU1599">
        <f>IF(COUNT($E$2:$E1599)&lt;9,"",(MAX($C$1591:$C$1599)+MIN($D$1591:$D$1599))/2)</f>
        <v>0</v>
      </c>
      <c r="AV1599">
        <f>IF(COUNT($E$2:$E1599)&lt;26,"",(MAX($C$1574:$C$1599)+MIN($D$1574:$D$1599))/2)</f>
        <v>0</v>
      </c>
      <c r="AW1599">
        <f>IF(OR(AU1599="",AV1599=""),"",(AU1599+AV1599)/2)</f>
        <v>0</v>
      </c>
      <c r="AX1599">
        <f>IF(COUNT($E$2:$E1599)&lt;52,"",(MAX($C$1548:$C$1599)+MIN($D$1548:$D$1599))/2)</f>
        <v>0</v>
      </c>
      <c r="AY1599">
        <f>IF(COUNT($E$2:$E1599)&lt;20,"",MAX($C$1500:$C$1599))</f>
        <v>0</v>
      </c>
      <c r="AZ1599">
        <f>IF(COUNT($E$2:$E1599)&lt;20,"",MIN($D$1500:$D$1599))</f>
        <v>0</v>
      </c>
      <c r="BA1599">
        <f>IF(COUNT($E$2:$E1599)&lt;20,"",SLOPE($E$1500:$E$1599,$F$1500:$F$1599))</f>
        <v>0</v>
      </c>
      <c r="BB1599">
        <f>IF(COUNT($E$2:$E1599)&lt;20,"",INTERCEPT($E$1500:$E$1599,$F$1500:$F$1599))</f>
        <v>0</v>
      </c>
      <c r="BC1599">
        <f>IF(OR(BA1599="",BB1599=""),"",BB1599+BA1599*F1599)</f>
        <v>0</v>
      </c>
      <c r="BD1599">
        <f>IF(COUNT($E$2:$E1599)&lt;20,"",STEYX($E$1500:$E$1599,$F$1500:$F$1599))</f>
        <v>0</v>
      </c>
      <c r="BE1599">
        <f>IF($E1599="","",IF(AND(COUNT($E$1600:$E$1603)&gt;=4,$C1599=MAX($C$1595:$C$1603)),$C1599,""))</f>
        <v>0</v>
      </c>
      <c r="BF1599">
        <f>IF($E1599="","",IF(AND(COUNT($E$1600:$E$1603)&gt;=4,$D1599=MIN($D$1595:$D$1603)),$D1599,""))</f>
        <v>0</v>
      </c>
      <c r="BG1599">
        <f>IF($A1599="","",$A1599-WEEKDAY($A1599,2)+1)</f>
        <v>0</v>
      </c>
      <c r="BH1599">
        <f>IF($A1599="","",IF($A1598="",1,IF(BG1599&lt;&gt;BG1598,1,0)))</f>
        <v>0</v>
      </c>
      <c r="BI1599">
        <f>IF($A1599="","",IF($A1600="",1,IF(BG1600&lt;&gt;BG1599,1,0)))</f>
        <v>0</v>
      </c>
      <c r="BJ1599">
        <f>IF($A1599="","",IF(BH1599=1,$B1599,BJ1598))</f>
        <v>0</v>
      </c>
      <c r="BK1599">
        <f>IF($A1599="","",IF(BH1599=1,$C1599,MAX($C1599,BK1598)))</f>
        <v>0</v>
      </c>
      <c r="BL1599">
        <f>IF($A1599="","",IF(BH1599=1,$D1599,MIN($D1599,BL1598)))</f>
        <v>0</v>
      </c>
      <c r="BM1599">
        <f>IF($A1599="","",IF(BI1599=1,F1599,""))</f>
        <v>0</v>
      </c>
      <c r="BN1599">
        <f>IF($A1599="","",DATE(YEAR($A1599),MONTH($A1599),1))</f>
        <v>0</v>
      </c>
      <c r="BO1599">
        <f>IF($A1599="","",IF($A1598="",1,IF(BN1599&lt;&gt;BN1598,1,0)))</f>
        <v>0</v>
      </c>
      <c r="BP1599">
        <f>IF($A1599="","",IF($A1600="",1,IF(BN1600&lt;&gt;BN1599,1,0)))</f>
        <v>0</v>
      </c>
      <c r="BQ1599">
        <f>IF($A1599="","",IF(BO1599=1,$B1599,BQ1598))</f>
        <v>0</v>
      </c>
      <c r="BR1599">
        <f>IF($A1599="","",IF(BO1599=1,$C1599,MAX($C1599,BR1598)))</f>
        <v>0</v>
      </c>
      <c r="BS1599">
        <f>IF($A1599="","",IF(BO1599=1,$D1599,MIN($D1599,BS1598)))</f>
        <v>0</v>
      </c>
      <c r="BT1599">
        <f>IF($A1599="","",IF(BP1599=1,F1599,""))</f>
        <v>0</v>
      </c>
    </row>
    <row r="1600" spans="1:72">
      <c r="A1600" s="27">
        <f>IF(Data!$A1600="","",Data!$A1600)</f>
        <v>0</v>
      </c>
      <c r="B1600">
        <f>IF(Data!$B1600="","",Data!$B1600)</f>
        <v>0</v>
      </c>
      <c r="C1600">
        <f>IF(Data!$C1600="","",Data!$C1600)</f>
        <v>0</v>
      </c>
      <c r="D1600">
        <f>IF(Data!$D1600="","",Data!$D1600)</f>
        <v>0</v>
      </c>
      <c r="E1600">
        <f>IF(Data!$E1600="","",Data!$E1600)</f>
        <v>0</v>
      </c>
      <c r="F1600">
        <f>IF($E1600="","",N(F1599)+1)</f>
        <v>0</v>
      </c>
      <c r="G1600">
        <f>IF(OR($E1600="",$E1599=""),"",LN($E1600/$E1599))</f>
        <v>0</v>
      </c>
      <c r="H1600">
        <f>IF($E1600="","",IF($E1599="",$E1600,$E1600*0.0952380952+H1599*0.9047619048))</f>
        <v>0</v>
      </c>
      <c r="I1600">
        <f>IF($E1600="","",IF($E1599="",$E1600,$E1600*0.0392156863+I1599*0.9607843137))</f>
        <v>0</v>
      </c>
      <c r="J1600">
        <f>IF($E1600="","",IF($E1599="",$E1600,$E1600*0.0198019802+J1599*0.9801980198))</f>
        <v>0</v>
      </c>
      <c r="K1600">
        <f>IF($E1600="","",IF($E1599="",$E1600,$E1600*0.0099502488+K1599*0.9900497512))</f>
        <v>0</v>
      </c>
      <c r="L1600">
        <f>IF(OR($E1600="",$E1599=""),"",MAX($E1600-$E1599,0))</f>
        <v>0</v>
      </c>
      <c r="M1600">
        <f>IF(OR($E1600="",$E1599=""),"",MAX($E1599-$E1600,0))</f>
        <v>0</v>
      </c>
      <c r="N1600">
        <f>IF(COUNT($E$2:$E1600)&lt;15,"",IF(AVERAGE($M$1587:$M$1600)=0,100,100-100/(1+AVERAGE($L$1587:$L$1600)/AVERAGE($M$1587:$M$1600))))</f>
        <v>0</v>
      </c>
      <c r="O1600">
        <f>IF($E1600="","",IF($E1599="",$E1600,$E1600*0.1538461538+O1599*0.8461538462))</f>
        <v>0</v>
      </c>
      <c r="P1600">
        <f>IF($E1600="","",IF($E1599="",$E1600,$E1600*0.0740740741+P1599*0.9259259259))</f>
        <v>0</v>
      </c>
      <c r="Q1600">
        <f>IF(OR(O1600="",P1600=""),"",O1600-P1600)</f>
        <v>0</v>
      </c>
      <c r="R1600">
        <f>IF(Q1600="","",IF(R1599="",Q1600,Q1600*0.2000000000+R1599*0.8000000000))</f>
        <v>0</v>
      </c>
      <c r="S1600">
        <f>IF(OR(Q1600="",R1600=""),"",Q1600-R1600)</f>
        <v>0</v>
      </c>
      <c r="T1600">
        <f>IF(COUNT($E$2:$E1600)&lt;14,"",MAX($C$1587:$C$1600))</f>
        <v>0</v>
      </c>
      <c r="U1600">
        <f>IF(COUNT($E$2:$E1600)&lt;14,"",MIN($D$1587:$D$1600))</f>
        <v>0</v>
      </c>
      <c r="V1600">
        <f>IF(OR(T1600="",U1600="",T1600=U1600),"",100*($E1600-U1600)/(T1600-U1600))</f>
        <v>0</v>
      </c>
      <c r="W1600">
        <f>IF(COUNT($V$1598:$V$1600)&lt;3,"",AVERAGE($V$1598:$V$1600))</f>
        <v>0</v>
      </c>
      <c r="X1600">
        <f>IF(COUNT($N$1587:$N$1600)&lt;14,"",MIN($N$1587:$N$1600))</f>
        <v>0</v>
      </c>
      <c r="Y1600">
        <f>IF(COUNT($N$1587:$N$1600)&lt;14,"",MAX($N$1587:$N$1600))</f>
        <v>0</v>
      </c>
      <c r="Z1600">
        <f>IF(OR(N1600="",X1600="",Y1600="",Y1600=X1600),"",100*(N1600-X1600)/(Y1600-X1600))</f>
        <v>0</v>
      </c>
      <c r="AA1600">
        <f>IF(COUNT($Z$1598:$Z$1600)&lt;3,"",AVERAGE($Z$1598:$Z$1600))</f>
        <v>0</v>
      </c>
      <c r="AB1600">
        <f>IF(COUNT($AA$1598:$AA$1600)&lt;3,"",AVERAGE($AA$1598:$AA$1600))</f>
        <v>0</v>
      </c>
      <c r="AC1600">
        <f>IF($E1600="","",MAX($C1600-$D1600,ABS($C1600-$E1599),ABS($D1600-$E1599)))</f>
        <v>0</v>
      </c>
      <c r="AD1600">
        <f>IF(COUNT($E$2:$E1600)&lt;15,"",AVERAGE($AC$1587:$AC$1600))</f>
        <v>0</v>
      </c>
      <c r="AE1600">
        <f>IF(OR($E1600="",$E1599=""),"",IF(AND(($C1600-$C1599)&gt;($D1599-$D1600),($C1600-$C1599)&gt;0),$C1600-$C1599,0))</f>
        <v>0</v>
      </c>
      <c r="AF1600">
        <f>IF(OR($E1600="",$E1599=""),"",IF(AND(($D1599-$D1600)&gt;($C1600-$C1599),($D1599-$D1600)&gt;0),$D1599-$D1600,0))</f>
        <v>0</v>
      </c>
      <c r="AG1600">
        <f>IF(COUNT($E$2:$E1600)&lt;15,"",IF(SUM($AC$1587:$AC$1600)=0,0,100*SUM($AE$1587:$AE$1600)/SUM($AC$1587:$AC$1600)))</f>
        <v>0</v>
      </c>
      <c r="AH1600">
        <f>IF(COUNT($E$2:$E1600)&lt;15,"",IF(SUM($AC$1587:$AC$1600)=0,0,100*SUM($AF$1587:$AF$1600)/SUM($AC$1587:$AC$1600)))</f>
        <v>0</v>
      </c>
      <c r="AI1600">
        <f>IF(OR(AG1600="",AH1600=""),"",IF((AG1600+AH1600)=0,0,100*ABS(AG1600-AH1600)/(AG1600+AH1600)))</f>
        <v>0</v>
      </c>
      <c r="AJ1600">
        <f>IF(COUNT($AI$1587:$AI$1600)&lt;14,"",AVERAGE($AI$1587:$AI$1600))</f>
        <v>0</v>
      </c>
      <c r="AK1600">
        <f>IF(COUNT($E$2:$E1600)&lt;20,"",AVERAGE($E$1581:$E$1600))</f>
        <v>0</v>
      </c>
      <c r="AL1600">
        <f>IF(COUNT($E$2:$E1600)&lt;20,"",STDEVP($E$1581:$E$1600))</f>
        <v>0</v>
      </c>
      <c r="AM1600">
        <f>IF(AK1600="","",AK1600+2*AL1600)</f>
        <v>0</v>
      </c>
      <c r="AN1600">
        <f>IF(AK1600="","",AK1600-2*AL1600)</f>
        <v>0</v>
      </c>
      <c r="AO1600">
        <f>IF(OR(AM1600="",AN1600="",AM1600=AN1600),"",($E1600-AN1600)/(AM1600-AN1600))</f>
        <v>0</v>
      </c>
      <c r="AP1600">
        <f>IF(OR(AM1600="",AK1600="",AK1600=0),"",(AM1600-AN1600)/AK1600)</f>
        <v>0</v>
      </c>
      <c r="AQ1600">
        <f>IF(COUNT($E$2:$E1600)&lt;20,"",MAX($C$1581:$C$1600))</f>
        <v>0</v>
      </c>
      <c r="AR1600">
        <f>IF(COUNT($E$2:$E1600)&lt;20,"",MIN($D$1581:$D$1600))</f>
        <v>0</v>
      </c>
      <c r="AS1600">
        <f>IF(OR(AQ1600="",AR1600=""),"",(AQ1600+AR1600)/2)</f>
        <v>0</v>
      </c>
      <c r="AT1600">
        <f>IF(COUNT($G$1581:$G$1600)&lt;20,"",STDEV($G$1581:$G$1600)*SQRT(252))</f>
        <v>0</v>
      </c>
      <c r="AU1600">
        <f>IF(COUNT($E$2:$E1600)&lt;9,"",(MAX($C$1592:$C$1600)+MIN($D$1592:$D$1600))/2)</f>
        <v>0</v>
      </c>
      <c r="AV1600">
        <f>IF(COUNT($E$2:$E1600)&lt;26,"",(MAX($C$1575:$C$1600)+MIN($D$1575:$D$1600))/2)</f>
        <v>0</v>
      </c>
      <c r="AW1600">
        <f>IF(OR(AU1600="",AV1600=""),"",(AU1600+AV1600)/2)</f>
        <v>0</v>
      </c>
      <c r="AX1600">
        <f>IF(COUNT($E$2:$E1600)&lt;52,"",(MAX($C$1549:$C$1600)+MIN($D$1549:$D$1600))/2)</f>
        <v>0</v>
      </c>
      <c r="AY1600">
        <f>IF(COUNT($E$2:$E1600)&lt;20,"",MAX($C$1501:$C$1600))</f>
        <v>0</v>
      </c>
      <c r="AZ1600">
        <f>IF(COUNT($E$2:$E1600)&lt;20,"",MIN($D$1501:$D$1600))</f>
        <v>0</v>
      </c>
      <c r="BA1600">
        <f>IF(COUNT($E$2:$E1600)&lt;20,"",SLOPE($E$1501:$E$1600,$F$1501:$F$1600))</f>
        <v>0</v>
      </c>
      <c r="BB1600">
        <f>IF(COUNT($E$2:$E1600)&lt;20,"",INTERCEPT($E$1501:$E$1600,$F$1501:$F$1600))</f>
        <v>0</v>
      </c>
      <c r="BC1600">
        <f>IF(OR(BA1600="",BB1600=""),"",BB1600+BA1600*F1600)</f>
        <v>0</v>
      </c>
      <c r="BD1600">
        <f>IF(COUNT($E$2:$E1600)&lt;20,"",STEYX($E$1501:$E$1600,$F$1501:$F$1600))</f>
        <v>0</v>
      </c>
      <c r="BE1600">
        <f>IF($E1600="","",IF(AND(COUNT($E$1601:$E$1604)&gt;=4,$C1600=MAX($C$1596:$C$1604)),$C1600,""))</f>
        <v>0</v>
      </c>
      <c r="BF1600">
        <f>IF($E1600="","",IF(AND(COUNT($E$1601:$E$1604)&gt;=4,$D1600=MIN($D$1596:$D$1604)),$D1600,""))</f>
        <v>0</v>
      </c>
      <c r="BG1600">
        <f>IF($A1600="","",$A1600-WEEKDAY($A1600,2)+1)</f>
        <v>0</v>
      </c>
      <c r="BH1600">
        <f>IF($A1600="","",IF($A1599="",1,IF(BG1600&lt;&gt;BG1599,1,0)))</f>
        <v>0</v>
      </c>
      <c r="BI1600">
        <f>IF($A1600="","",IF($A1601="",1,IF(BG1601&lt;&gt;BG1600,1,0)))</f>
        <v>0</v>
      </c>
      <c r="BJ1600">
        <f>IF($A1600="","",IF(BH1600=1,$B1600,BJ1599))</f>
        <v>0</v>
      </c>
      <c r="BK1600">
        <f>IF($A1600="","",IF(BH1600=1,$C1600,MAX($C1600,BK1599)))</f>
        <v>0</v>
      </c>
      <c r="BL1600">
        <f>IF($A1600="","",IF(BH1600=1,$D1600,MIN($D1600,BL1599)))</f>
        <v>0</v>
      </c>
      <c r="BM1600">
        <f>IF($A1600="","",IF(BI1600=1,F1600,""))</f>
        <v>0</v>
      </c>
      <c r="BN1600">
        <f>IF($A1600="","",DATE(YEAR($A1600),MONTH($A1600),1))</f>
        <v>0</v>
      </c>
      <c r="BO1600">
        <f>IF($A1600="","",IF($A1599="",1,IF(BN1600&lt;&gt;BN1599,1,0)))</f>
        <v>0</v>
      </c>
      <c r="BP1600">
        <f>IF($A1600="","",IF($A1601="",1,IF(BN1601&lt;&gt;BN1600,1,0)))</f>
        <v>0</v>
      </c>
      <c r="BQ1600">
        <f>IF($A1600="","",IF(BO1600=1,$B1600,BQ1599))</f>
        <v>0</v>
      </c>
      <c r="BR1600">
        <f>IF($A1600="","",IF(BO1600=1,$C1600,MAX($C1600,BR1599)))</f>
        <v>0</v>
      </c>
      <c r="BS1600">
        <f>IF($A1600="","",IF(BO1600=1,$D1600,MIN($D1600,BS1599)))</f>
        <v>0</v>
      </c>
      <c r="BT1600">
        <f>IF($A1600="","",IF(BP1600=1,F1600,""))</f>
        <v>0</v>
      </c>
    </row>
    <row r="1601" spans="1:72">
      <c r="A1601" s="27">
        <f>IF(Data!$A1601="","",Data!$A1601)</f>
        <v>0</v>
      </c>
      <c r="B1601">
        <f>IF(Data!$B1601="","",Data!$B1601)</f>
        <v>0</v>
      </c>
      <c r="C1601">
        <f>IF(Data!$C1601="","",Data!$C1601)</f>
        <v>0</v>
      </c>
      <c r="D1601">
        <f>IF(Data!$D1601="","",Data!$D1601)</f>
        <v>0</v>
      </c>
      <c r="E1601">
        <f>IF(Data!$E1601="","",Data!$E1601)</f>
        <v>0</v>
      </c>
      <c r="F1601">
        <f>IF($E1601="","",N(F1600)+1)</f>
        <v>0</v>
      </c>
      <c r="G1601">
        <f>IF(OR($E1601="",$E1600=""),"",LN($E1601/$E1600))</f>
        <v>0</v>
      </c>
      <c r="H1601">
        <f>IF($E1601="","",IF($E1600="",$E1601,$E1601*0.0952380952+H1600*0.9047619048))</f>
        <v>0</v>
      </c>
      <c r="I1601">
        <f>IF($E1601="","",IF($E1600="",$E1601,$E1601*0.0392156863+I1600*0.9607843137))</f>
        <v>0</v>
      </c>
      <c r="J1601">
        <f>IF($E1601="","",IF($E1600="",$E1601,$E1601*0.0198019802+J1600*0.9801980198))</f>
        <v>0</v>
      </c>
      <c r="K1601">
        <f>IF($E1601="","",IF($E1600="",$E1601,$E1601*0.0099502488+K1600*0.9900497512))</f>
        <v>0</v>
      </c>
      <c r="L1601">
        <f>IF(OR($E1601="",$E1600=""),"",MAX($E1601-$E1600,0))</f>
        <v>0</v>
      </c>
      <c r="M1601">
        <f>IF(OR($E1601="",$E1600=""),"",MAX($E1600-$E1601,0))</f>
        <v>0</v>
      </c>
      <c r="N1601">
        <f>IF(COUNT($E$2:$E1601)&lt;15,"",IF(AVERAGE($M$1588:$M$1601)=0,100,100-100/(1+AVERAGE($L$1588:$L$1601)/AVERAGE($M$1588:$M$1601))))</f>
        <v>0</v>
      </c>
      <c r="O1601">
        <f>IF($E1601="","",IF($E1600="",$E1601,$E1601*0.1538461538+O1600*0.8461538462))</f>
        <v>0</v>
      </c>
      <c r="P1601">
        <f>IF($E1601="","",IF($E1600="",$E1601,$E1601*0.0740740741+P1600*0.9259259259))</f>
        <v>0</v>
      </c>
      <c r="Q1601">
        <f>IF(OR(O1601="",P1601=""),"",O1601-P1601)</f>
        <v>0</v>
      </c>
      <c r="R1601">
        <f>IF(Q1601="","",IF(R1600="",Q1601,Q1601*0.2000000000+R1600*0.8000000000))</f>
        <v>0</v>
      </c>
      <c r="S1601">
        <f>IF(OR(Q1601="",R1601=""),"",Q1601-R1601)</f>
        <v>0</v>
      </c>
      <c r="T1601">
        <f>IF(COUNT($E$2:$E1601)&lt;14,"",MAX($C$1588:$C$1601))</f>
        <v>0</v>
      </c>
      <c r="U1601">
        <f>IF(COUNT($E$2:$E1601)&lt;14,"",MIN($D$1588:$D$1601))</f>
        <v>0</v>
      </c>
      <c r="V1601">
        <f>IF(OR(T1601="",U1601="",T1601=U1601),"",100*($E1601-U1601)/(T1601-U1601))</f>
        <v>0</v>
      </c>
      <c r="W1601">
        <f>IF(COUNT($V$1599:$V$1601)&lt;3,"",AVERAGE($V$1599:$V$1601))</f>
        <v>0</v>
      </c>
      <c r="X1601">
        <f>IF(COUNT($N$1588:$N$1601)&lt;14,"",MIN($N$1588:$N$1601))</f>
        <v>0</v>
      </c>
      <c r="Y1601">
        <f>IF(COUNT($N$1588:$N$1601)&lt;14,"",MAX($N$1588:$N$1601))</f>
        <v>0</v>
      </c>
      <c r="Z1601">
        <f>IF(OR(N1601="",X1601="",Y1601="",Y1601=X1601),"",100*(N1601-X1601)/(Y1601-X1601))</f>
        <v>0</v>
      </c>
      <c r="AA1601">
        <f>IF(COUNT($Z$1599:$Z$1601)&lt;3,"",AVERAGE($Z$1599:$Z$1601))</f>
        <v>0</v>
      </c>
      <c r="AB1601">
        <f>IF(COUNT($AA$1599:$AA$1601)&lt;3,"",AVERAGE($AA$1599:$AA$1601))</f>
        <v>0</v>
      </c>
      <c r="AC1601">
        <f>IF($E1601="","",MAX($C1601-$D1601,ABS($C1601-$E1600),ABS($D1601-$E1600)))</f>
        <v>0</v>
      </c>
      <c r="AD1601">
        <f>IF(COUNT($E$2:$E1601)&lt;15,"",AVERAGE($AC$1588:$AC$1601))</f>
        <v>0</v>
      </c>
      <c r="AE1601">
        <f>IF(OR($E1601="",$E1600=""),"",IF(AND(($C1601-$C1600)&gt;($D1600-$D1601),($C1601-$C1600)&gt;0),$C1601-$C1600,0))</f>
        <v>0</v>
      </c>
      <c r="AF1601">
        <f>IF(OR($E1601="",$E1600=""),"",IF(AND(($D1600-$D1601)&gt;($C1601-$C1600),($D1600-$D1601)&gt;0),$D1600-$D1601,0))</f>
        <v>0</v>
      </c>
      <c r="AG1601">
        <f>IF(COUNT($E$2:$E1601)&lt;15,"",IF(SUM($AC$1588:$AC$1601)=0,0,100*SUM($AE$1588:$AE$1601)/SUM($AC$1588:$AC$1601)))</f>
        <v>0</v>
      </c>
      <c r="AH1601">
        <f>IF(COUNT($E$2:$E1601)&lt;15,"",IF(SUM($AC$1588:$AC$1601)=0,0,100*SUM($AF$1588:$AF$1601)/SUM($AC$1588:$AC$1601)))</f>
        <v>0</v>
      </c>
      <c r="AI1601">
        <f>IF(OR(AG1601="",AH1601=""),"",IF((AG1601+AH1601)=0,0,100*ABS(AG1601-AH1601)/(AG1601+AH1601)))</f>
        <v>0</v>
      </c>
      <c r="AJ1601">
        <f>IF(COUNT($AI$1588:$AI$1601)&lt;14,"",AVERAGE($AI$1588:$AI$1601))</f>
        <v>0</v>
      </c>
      <c r="AK1601">
        <f>IF(COUNT($E$2:$E1601)&lt;20,"",AVERAGE($E$1582:$E$1601))</f>
        <v>0</v>
      </c>
      <c r="AL1601">
        <f>IF(COUNT($E$2:$E1601)&lt;20,"",STDEVP($E$1582:$E$1601))</f>
        <v>0</v>
      </c>
      <c r="AM1601">
        <f>IF(AK1601="","",AK1601+2*AL1601)</f>
        <v>0</v>
      </c>
      <c r="AN1601">
        <f>IF(AK1601="","",AK1601-2*AL1601)</f>
        <v>0</v>
      </c>
      <c r="AO1601">
        <f>IF(OR(AM1601="",AN1601="",AM1601=AN1601),"",($E1601-AN1601)/(AM1601-AN1601))</f>
        <v>0</v>
      </c>
      <c r="AP1601">
        <f>IF(OR(AM1601="",AK1601="",AK1601=0),"",(AM1601-AN1601)/AK1601)</f>
        <v>0</v>
      </c>
      <c r="AQ1601">
        <f>IF(COUNT($E$2:$E1601)&lt;20,"",MAX($C$1582:$C$1601))</f>
        <v>0</v>
      </c>
      <c r="AR1601">
        <f>IF(COUNT($E$2:$E1601)&lt;20,"",MIN($D$1582:$D$1601))</f>
        <v>0</v>
      </c>
      <c r="AS1601">
        <f>IF(OR(AQ1601="",AR1601=""),"",(AQ1601+AR1601)/2)</f>
        <v>0</v>
      </c>
      <c r="AT1601">
        <f>IF(COUNT($G$1582:$G$1601)&lt;20,"",STDEV($G$1582:$G$1601)*SQRT(252))</f>
        <v>0</v>
      </c>
      <c r="AU1601">
        <f>IF(COUNT($E$2:$E1601)&lt;9,"",(MAX($C$1593:$C$1601)+MIN($D$1593:$D$1601))/2)</f>
        <v>0</v>
      </c>
      <c r="AV1601">
        <f>IF(COUNT($E$2:$E1601)&lt;26,"",(MAX($C$1576:$C$1601)+MIN($D$1576:$D$1601))/2)</f>
        <v>0</v>
      </c>
      <c r="AW1601">
        <f>IF(OR(AU1601="",AV1601=""),"",(AU1601+AV1601)/2)</f>
        <v>0</v>
      </c>
      <c r="AX1601">
        <f>IF(COUNT($E$2:$E1601)&lt;52,"",(MAX($C$1550:$C$1601)+MIN($D$1550:$D$1601))/2)</f>
        <v>0</v>
      </c>
      <c r="AY1601">
        <f>IF(COUNT($E$2:$E1601)&lt;20,"",MAX($C$1502:$C$1601))</f>
        <v>0</v>
      </c>
      <c r="AZ1601">
        <f>IF(COUNT($E$2:$E1601)&lt;20,"",MIN($D$1502:$D$1601))</f>
        <v>0</v>
      </c>
      <c r="BA1601">
        <f>IF(COUNT($E$2:$E1601)&lt;20,"",SLOPE($E$1502:$E$1601,$F$1502:$F$1601))</f>
        <v>0</v>
      </c>
      <c r="BB1601">
        <f>IF(COUNT($E$2:$E1601)&lt;20,"",INTERCEPT($E$1502:$E$1601,$F$1502:$F$1601))</f>
        <v>0</v>
      </c>
      <c r="BC1601">
        <f>IF(OR(BA1601="",BB1601=""),"",BB1601+BA1601*F1601)</f>
        <v>0</v>
      </c>
      <c r="BD1601">
        <f>IF(COUNT($E$2:$E1601)&lt;20,"",STEYX($E$1502:$E$1601,$F$1502:$F$1601))</f>
        <v>0</v>
      </c>
      <c r="BE1601">
        <f>IF($E1601="","",IF(AND(COUNT($E$1602:$E$1605)&gt;=4,$C1601=MAX($C$1597:$C$1605)),$C1601,""))</f>
        <v>0</v>
      </c>
      <c r="BF1601">
        <f>IF($E1601="","",IF(AND(COUNT($E$1602:$E$1605)&gt;=4,$D1601=MIN($D$1597:$D$1605)),$D1601,""))</f>
        <v>0</v>
      </c>
      <c r="BG1601">
        <f>IF($A1601="","",$A1601-WEEKDAY($A1601,2)+1)</f>
        <v>0</v>
      </c>
      <c r="BH1601">
        <f>IF($A1601="","",IF($A1600="",1,IF(BG1601&lt;&gt;BG1600,1,0)))</f>
        <v>0</v>
      </c>
      <c r="BI1601">
        <f>IF($A1601="","",IF($A1602="",1,IF(BG1602&lt;&gt;BG1601,1,0)))</f>
        <v>0</v>
      </c>
      <c r="BJ1601">
        <f>IF($A1601="","",IF(BH1601=1,$B1601,BJ1600))</f>
        <v>0</v>
      </c>
      <c r="BK1601">
        <f>IF($A1601="","",IF(BH1601=1,$C1601,MAX($C1601,BK1600)))</f>
        <v>0</v>
      </c>
      <c r="BL1601">
        <f>IF($A1601="","",IF(BH1601=1,$D1601,MIN($D1601,BL1600)))</f>
        <v>0</v>
      </c>
      <c r="BM1601">
        <f>IF($A1601="","",IF(BI1601=1,F1601,""))</f>
        <v>0</v>
      </c>
      <c r="BN1601">
        <f>IF($A1601="","",DATE(YEAR($A1601),MONTH($A1601),1))</f>
        <v>0</v>
      </c>
      <c r="BO1601">
        <f>IF($A1601="","",IF($A1600="",1,IF(BN1601&lt;&gt;BN1600,1,0)))</f>
        <v>0</v>
      </c>
      <c r="BP1601">
        <f>IF($A1601="","",IF($A1602="",1,IF(BN1602&lt;&gt;BN1601,1,0)))</f>
        <v>0</v>
      </c>
      <c r="BQ1601">
        <f>IF($A1601="","",IF(BO1601=1,$B1601,BQ1600))</f>
        <v>0</v>
      </c>
      <c r="BR1601">
        <f>IF($A1601="","",IF(BO1601=1,$C1601,MAX($C1601,BR1600)))</f>
        <v>0</v>
      </c>
      <c r="BS1601">
        <f>IF($A1601="","",IF(BO1601=1,$D1601,MIN($D1601,BS1600)))</f>
        <v>0</v>
      </c>
      <c r="BT1601">
        <f>IF($A1601="","",IF(BP1601=1,F1601,""))</f>
        <v>0</v>
      </c>
    </row>
    <row r="1602" spans="1:72">
      <c r="A1602" s="27">
        <f>IF(Data!$A1602="","",Data!$A1602)</f>
        <v>0</v>
      </c>
      <c r="B1602">
        <f>IF(Data!$B1602="","",Data!$B1602)</f>
        <v>0</v>
      </c>
      <c r="C1602">
        <f>IF(Data!$C1602="","",Data!$C1602)</f>
        <v>0</v>
      </c>
      <c r="D1602">
        <f>IF(Data!$D1602="","",Data!$D1602)</f>
        <v>0</v>
      </c>
      <c r="E1602">
        <f>IF(Data!$E1602="","",Data!$E1602)</f>
        <v>0</v>
      </c>
      <c r="F1602">
        <f>IF($E1602="","",N(F1601)+1)</f>
        <v>0</v>
      </c>
      <c r="G1602">
        <f>IF(OR($E1602="",$E1601=""),"",LN($E1602/$E1601))</f>
        <v>0</v>
      </c>
      <c r="H1602">
        <f>IF($E1602="","",IF($E1601="",$E1602,$E1602*0.0952380952+H1601*0.9047619048))</f>
        <v>0</v>
      </c>
      <c r="I1602">
        <f>IF($E1602="","",IF($E1601="",$E1602,$E1602*0.0392156863+I1601*0.9607843137))</f>
        <v>0</v>
      </c>
      <c r="J1602">
        <f>IF($E1602="","",IF($E1601="",$E1602,$E1602*0.0198019802+J1601*0.9801980198))</f>
        <v>0</v>
      </c>
      <c r="K1602">
        <f>IF($E1602="","",IF($E1601="",$E1602,$E1602*0.0099502488+K1601*0.9900497512))</f>
        <v>0</v>
      </c>
      <c r="L1602">
        <f>IF(OR($E1602="",$E1601=""),"",MAX($E1602-$E1601,0))</f>
        <v>0</v>
      </c>
      <c r="M1602">
        <f>IF(OR($E1602="",$E1601=""),"",MAX($E1601-$E1602,0))</f>
        <v>0</v>
      </c>
      <c r="N1602">
        <f>IF(COUNT($E$2:$E1602)&lt;15,"",IF(AVERAGE($M$1589:$M$1602)=0,100,100-100/(1+AVERAGE($L$1589:$L$1602)/AVERAGE($M$1589:$M$1602))))</f>
        <v>0</v>
      </c>
      <c r="O1602">
        <f>IF($E1602="","",IF($E1601="",$E1602,$E1602*0.1538461538+O1601*0.8461538462))</f>
        <v>0</v>
      </c>
      <c r="P1602">
        <f>IF($E1602="","",IF($E1601="",$E1602,$E1602*0.0740740741+P1601*0.9259259259))</f>
        <v>0</v>
      </c>
      <c r="Q1602">
        <f>IF(OR(O1602="",P1602=""),"",O1602-P1602)</f>
        <v>0</v>
      </c>
      <c r="R1602">
        <f>IF(Q1602="","",IF(R1601="",Q1602,Q1602*0.2000000000+R1601*0.8000000000))</f>
        <v>0</v>
      </c>
      <c r="S1602">
        <f>IF(OR(Q1602="",R1602=""),"",Q1602-R1602)</f>
        <v>0</v>
      </c>
      <c r="T1602">
        <f>IF(COUNT($E$2:$E1602)&lt;14,"",MAX($C$1589:$C$1602))</f>
        <v>0</v>
      </c>
      <c r="U1602">
        <f>IF(COUNT($E$2:$E1602)&lt;14,"",MIN($D$1589:$D$1602))</f>
        <v>0</v>
      </c>
      <c r="V1602">
        <f>IF(OR(T1602="",U1602="",T1602=U1602),"",100*($E1602-U1602)/(T1602-U1602))</f>
        <v>0</v>
      </c>
      <c r="W1602">
        <f>IF(COUNT($V$1600:$V$1602)&lt;3,"",AVERAGE($V$1600:$V$1602))</f>
        <v>0</v>
      </c>
      <c r="X1602">
        <f>IF(COUNT($N$1589:$N$1602)&lt;14,"",MIN($N$1589:$N$1602))</f>
        <v>0</v>
      </c>
      <c r="Y1602">
        <f>IF(COUNT($N$1589:$N$1602)&lt;14,"",MAX($N$1589:$N$1602))</f>
        <v>0</v>
      </c>
      <c r="Z1602">
        <f>IF(OR(N1602="",X1602="",Y1602="",Y1602=X1602),"",100*(N1602-X1602)/(Y1602-X1602))</f>
        <v>0</v>
      </c>
      <c r="AA1602">
        <f>IF(COUNT($Z$1600:$Z$1602)&lt;3,"",AVERAGE($Z$1600:$Z$1602))</f>
        <v>0</v>
      </c>
      <c r="AB1602">
        <f>IF(COUNT($AA$1600:$AA$1602)&lt;3,"",AVERAGE($AA$1600:$AA$1602))</f>
        <v>0</v>
      </c>
      <c r="AC1602">
        <f>IF($E1602="","",MAX($C1602-$D1602,ABS($C1602-$E1601),ABS($D1602-$E1601)))</f>
        <v>0</v>
      </c>
      <c r="AD1602">
        <f>IF(COUNT($E$2:$E1602)&lt;15,"",AVERAGE($AC$1589:$AC$1602))</f>
        <v>0</v>
      </c>
      <c r="AE1602">
        <f>IF(OR($E1602="",$E1601=""),"",IF(AND(($C1602-$C1601)&gt;($D1601-$D1602),($C1602-$C1601)&gt;0),$C1602-$C1601,0))</f>
        <v>0</v>
      </c>
      <c r="AF1602">
        <f>IF(OR($E1602="",$E1601=""),"",IF(AND(($D1601-$D1602)&gt;($C1602-$C1601),($D1601-$D1602)&gt;0),$D1601-$D1602,0))</f>
        <v>0</v>
      </c>
      <c r="AG1602">
        <f>IF(COUNT($E$2:$E1602)&lt;15,"",IF(SUM($AC$1589:$AC$1602)=0,0,100*SUM($AE$1589:$AE$1602)/SUM($AC$1589:$AC$1602)))</f>
        <v>0</v>
      </c>
      <c r="AH1602">
        <f>IF(COUNT($E$2:$E1602)&lt;15,"",IF(SUM($AC$1589:$AC$1602)=0,0,100*SUM($AF$1589:$AF$1602)/SUM($AC$1589:$AC$1602)))</f>
        <v>0</v>
      </c>
      <c r="AI1602">
        <f>IF(OR(AG1602="",AH1602=""),"",IF((AG1602+AH1602)=0,0,100*ABS(AG1602-AH1602)/(AG1602+AH1602)))</f>
        <v>0</v>
      </c>
      <c r="AJ1602">
        <f>IF(COUNT($AI$1589:$AI$1602)&lt;14,"",AVERAGE($AI$1589:$AI$1602))</f>
        <v>0</v>
      </c>
      <c r="AK1602">
        <f>IF(COUNT($E$2:$E1602)&lt;20,"",AVERAGE($E$1583:$E$1602))</f>
        <v>0</v>
      </c>
      <c r="AL1602">
        <f>IF(COUNT($E$2:$E1602)&lt;20,"",STDEVP($E$1583:$E$1602))</f>
        <v>0</v>
      </c>
      <c r="AM1602">
        <f>IF(AK1602="","",AK1602+2*AL1602)</f>
        <v>0</v>
      </c>
      <c r="AN1602">
        <f>IF(AK1602="","",AK1602-2*AL1602)</f>
        <v>0</v>
      </c>
      <c r="AO1602">
        <f>IF(OR(AM1602="",AN1602="",AM1602=AN1602),"",($E1602-AN1602)/(AM1602-AN1602))</f>
        <v>0</v>
      </c>
      <c r="AP1602">
        <f>IF(OR(AM1602="",AK1602="",AK1602=0),"",(AM1602-AN1602)/AK1602)</f>
        <v>0</v>
      </c>
      <c r="AQ1602">
        <f>IF(COUNT($E$2:$E1602)&lt;20,"",MAX($C$1583:$C$1602))</f>
        <v>0</v>
      </c>
      <c r="AR1602">
        <f>IF(COUNT($E$2:$E1602)&lt;20,"",MIN($D$1583:$D$1602))</f>
        <v>0</v>
      </c>
      <c r="AS1602">
        <f>IF(OR(AQ1602="",AR1602=""),"",(AQ1602+AR1602)/2)</f>
        <v>0</v>
      </c>
      <c r="AT1602">
        <f>IF(COUNT($G$1583:$G$1602)&lt;20,"",STDEV($G$1583:$G$1602)*SQRT(252))</f>
        <v>0</v>
      </c>
      <c r="AU1602">
        <f>IF(COUNT($E$2:$E1602)&lt;9,"",(MAX($C$1594:$C$1602)+MIN($D$1594:$D$1602))/2)</f>
        <v>0</v>
      </c>
      <c r="AV1602">
        <f>IF(COUNT($E$2:$E1602)&lt;26,"",(MAX($C$1577:$C$1602)+MIN($D$1577:$D$1602))/2)</f>
        <v>0</v>
      </c>
      <c r="AW1602">
        <f>IF(OR(AU1602="",AV1602=""),"",(AU1602+AV1602)/2)</f>
        <v>0</v>
      </c>
      <c r="AX1602">
        <f>IF(COUNT($E$2:$E1602)&lt;52,"",(MAX($C$1551:$C$1602)+MIN($D$1551:$D$1602))/2)</f>
        <v>0</v>
      </c>
      <c r="AY1602">
        <f>IF(COUNT($E$2:$E1602)&lt;20,"",MAX($C$1503:$C$1602))</f>
        <v>0</v>
      </c>
      <c r="AZ1602">
        <f>IF(COUNT($E$2:$E1602)&lt;20,"",MIN($D$1503:$D$1602))</f>
        <v>0</v>
      </c>
      <c r="BA1602">
        <f>IF(COUNT($E$2:$E1602)&lt;20,"",SLOPE($E$1503:$E$1602,$F$1503:$F$1602))</f>
        <v>0</v>
      </c>
      <c r="BB1602">
        <f>IF(COUNT($E$2:$E1602)&lt;20,"",INTERCEPT($E$1503:$E$1602,$F$1503:$F$1602))</f>
        <v>0</v>
      </c>
      <c r="BC1602">
        <f>IF(OR(BA1602="",BB1602=""),"",BB1602+BA1602*F1602)</f>
        <v>0</v>
      </c>
      <c r="BD1602">
        <f>IF(COUNT($E$2:$E1602)&lt;20,"",STEYX($E$1503:$E$1602,$F$1503:$F$1602))</f>
        <v>0</v>
      </c>
      <c r="BE1602">
        <f>IF($E1602="","",IF(AND(COUNT($E$1603:$E$1606)&gt;=4,$C1602=MAX($C$1598:$C$1606)),$C1602,""))</f>
        <v>0</v>
      </c>
      <c r="BF1602">
        <f>IF($E1602="","",IF(AND(COUNT($E$1603:$E$1606)&gt;=4,$D1602=MIN($D$1598:$D$1606)),$D1602,""))</f>
        <v>0</v>
      </c>
      <c r="BG1602">
        <f>IF($A1602="","",$A1602-WEEKDAY($A1602,2)+1)</f>
        <v>0</v>
      </c>
      <c r="BH1602">
        <f>IF($A1602="","",IF($A1601="",1,IF(BG1602&lt;&gt;BG1601,1,0)))</f>
        <v>0</v>
      </c>
      <c r="BI1602">
        <f>IF($A1602="","",IF($A1603="",1,IF(BG1603&lt;&gt;BG1602,1,0)))</f>
        <v>0</v>
      </c>
      <c r="BJ1602">
        <f>IF($A1602="","",IF(BH1602=1,$B1602,BJ1601))</f>
        <v>0</v>
      </c>
      <c r="BK1602">
        <f>IF($A1602="","",IF(BH1602=1,$C1602,MAX($C1602,BK1601)))</f>
        <v>0</v>
      </c>
      <c r="BL1602">
        <f>IF($A1602="","",IF(BH1602=1,$D1602,MIN($D1602,BL1601)))</f>
        <v>0</v>
      </c>
      <c r="BM1602">
        <f>IF($A1602="","",IF(BI1602=1,F1602,""))</f>
        <v>0</v>
      </c>
      <c r="BN1602">
        <f>IF($A1602="","",DATE(YEAR($A1602),MONTH($A1602),1))</f>
        <v>0</v>
      </c>
      <c r="BO1602">
        <f>IF($A1602="","",IF($A1601="",1,IF(BN1602&lt;&gt;BN1601,1,0)))</f>
        <v>0</v>
      </c>
      <c r="BP1602">
        <f>IF($A1602="","",IF($A1603="",1,IF(BN1603&lt;&gt;BN1602,1,0)))</f>
        <v>0</v>
      </c>
      <c r="BQ1602">
        <f>IF($A1602="","",IF(BO1602=1,$B1602,BQ1601))</f>
        <v>0</v>
      </c>
      <c r="BR1602">
        <f>IF($A1602="","",IF(BO1602=1,$C1602,MAX($C1602,BR1601)))</f>
        <v>0</v>
      </c>
      <c r="BS1602">
        <f>IF($A1602="","",IF(BO1602=1,$D1602,MIN($D1602,BS1601)))</f>
        <v>0</v>
      </c>
      <c r="BT1602">
        <f>IF($A1602="","",IF(BP1602=1,F1602,""))</f>
        <v>0</v>
      </c>
    </row>
    <row r="1603" spans="1:72">
      <c r="A1603" s="27">
        <f>IF(Data!$A1603="","",Data!$A1603)</f>
        <v>0</v>
      </c>
      <c r="B1603">
        <f>IF(Data!$B1603="","",Data!$B1603)</f>
        <v>0</v>
      </c>
      <c r="C1603">
        <f>IF(Data!$C1603="","",Data!$C1603)</f>
        <v>0</v>
      </c>
      <c r="D1603">
        <f>IF(Data!$D1603="","",Data!$D1603)</f>
        <v>0</v>
      </c>
      <c r="E1603">
        <f>IF(Data!$E1603="","",Data!$E1603)</f>
        <v>0</v>
      </c>
      <c r="F1603">
        <f>IF($E1603="","",N(F1602)+1)</f>
        <v>0</v>
      </c>
      <c r="G1603">
        <f>IF(OR($E1603="",$E1602=""),"",LN($E1603/$E1602))</f>
        <v>0</v>
      </c>
      <c r="H1603">
        <f>IF($E1603="","",IF($E1602="",$E1603,$E1603*0.0952380952+H1602*0.9047619048))</f>
        <v>0</v>
      </c>
      <c r="I1603">
        <f>IF($E1603="","",IF($E1602="",$E1603,$E1603*0.0392156863+I1602*0.9607843137))</f>
        <v>0</v>
      </c>
      <c r="J1603">
        <f>IF($E1603="","",IF($E1602="",$E1603,$E1603*0.0198019802+J1602*0.9801980198))</f>
        <v>0</v>
      </c>
      <c r="K1603">
        <f>IF($E1603="","",IF($E1602="",$E1603,$E1603*0.0099502488+K1602*0.9900497512))</f>
        <v>0</v>
      </c>
      <c r="L1603">
        <f>IF(OR($E1603="",$E1602=""),"",MAX($E1603-$E1602,0))</f>
        <v>0</v>
      </c>
      <c r="M1603">
        <f>IF(OR($E1603="",$E1602=""),"",MAX($E1602-$E1603,0))</f>
        <v>0</v>
      </c>
      <c r="N1603">
        <f>IF(COUNT($E$2:$E1603)&lt;15,"",IF(AVERAGE($M$1590:$M$1603)=0,100,100-100/(1+AVERAGE($L$1590:$L$1603)/AVERAGE($M$1590:$M$1603))))</f>
        <v>0</v>
      </c>
      <c r="O1603">
        <f>IF($E1603="","",IF($E1602="",$E1603,$E1603*0.1538461538+O1602*0.8461538462))</f>
        <v>0</v>
      </c>
      <c r="P1603">
        <f>IF($E1603="","",IF($E1602="",$E1603,$E1603*0.0740740741+P1602*0.9259259259))</f>
        <v>0</v>
      </c>
      <c r="Q1603">
        <f>IF(OR(O1603="",P1603=""),"",O1603-P1603)</f>
        <v>0</v>
      </c>
      <c r="R1603">
        <f>IF(Q1603="","",IF(R1602="",Q1603,Q1603*0.2000000000+R1602*0.8000000000))</f>
        <v>0</v>
      </c>
      <c r="S1603">
        <f>IF(OR(Q1603="",R1603=""),"",Q1603-R1603)</f>
        <v>0</v>
      </c>
      <c r="T1603">
        <f>IF(COUNT($E$2:$E1603)&lt;14,"",MAX($C$1590:$C$1603))</f>
        <v>0</v>
      </c>
      <c r="U1603">
        <f>IF(COUNT($E$2:$E1603)&lt;14,"",MIN($D$1590:$D$1603))</f>
        <v>0</v>
      </c>
      <c r="V1603">
        <f>IF(OR(T1603="",U1603="",T1603=U1603),"",100*($E1603-U1603)/(T1603-U1603))</f>
        <v>0</v>
      </c>
      <c r="W1603">
        <f>IF(COUNT($V$1601:$V$1603)&lt;3,"",AVERAGE($V$1601:$V$1603))</f>
        <v>0</v>
      </c>
      <c r="X1603">
        <f>IF(COUNT($N$1590:$N$1603)&lt;14,"",MIN($N$1590:$N$1603))</f>
        <v>0</v>
      </c>
      <c r="Y1603">
        <f>IF(COUNT($N$1590:$N$1603)&lt;14,"",MAX($N$1590:$N$1603))</f>
        <v>0</v>
      </c>
      <c r="Z1603">
        <f>IF(OR(N1603="",X1603="",Y1603="",Y1603=X1603),"",100*(N1603-X1603)/(Y1603-X1603))</f>
        <v>0</v>
      </c>
      <c r="AA1603">
        <f>IF(COUNT($Z$1601:$Z$1603)&lt;3,"",AVERAGE($Z$1601:$Z$1603))</f>
        <v>0</v>
      </c>
      <c r="AB1603">
        <f>IF(COUNT($AA$1601:$AA$1603)&lt;3,"",AVERAGE($AA$1601:$AA$1603))</f>
        <v>0</v>
      </c>
      <c r="AC1603">
        <f>IF($E1603="","",MAX($C1603-$D1603,ABS($C1603-$E1602),ABS($D1603-$E1602)))</f>
        <v>0</v>
      </c>
      <c r="AD1603">
        <f>IF(COUNT($E$2:$E1603)&lt;15,"",AVERAGE($AC$1590:$AC$1603))</f>
        <v>0</v>
      </c>
      <c r="AE1603">
        <f>IF(OR($E1603="",$E1602=""),"",IF(AND(($C1603-$C1602)&gt;($D1602-$D1603),($C1603-$C1602)&gt;0),$C1603-$C1602,0))</f>
        <v>0</v>
      </c>
      <c r="AF1603">
        <f>IF(OR($E1603="",$E1602=""),"",IF(AND(($D1602-$D1603)&gt;($C1603-$C1602),($D1602-$D1603)&gt;0),$D1602-$D1603,0))</f>
        <v>0</v>
      </c>
      <c r="AG1603">
        <f>IF(COUNT($E$2:$E1603)&lt;15,"",IF(SUM($AC$1590:$AC$1603)=0,0,100*SUM($AE$1590:$AE$1603)/SUM($AC$1590:$AC$1603)))</f>
        <v>0</v>
      </c>
      <c r="AH1603">
        <f>IF(COUNT($E$2:$E1603)&lt;15,"",IF(SUM($AC$1590:$AC$1603)=0,0,100*SUM($AF$1590:$AF$1603)/SUM($AC$1590:$AC$1603)))</f>
        <v>0</v>
      </c>
      <c r="AI1603">
        <f>IF(OR(AG1603="",AH1603=""),"",IF((AG1603+AH1603)=0,0,100*ABS(AG1603-AH1603)/(AG1603+AH1603)))</f>
        <v>0</v>
      </c>
      <c r="AJ1603">
        <f>IF(COUNT($AI$1590:$AI$1603)&lt;14,"",AVERAGE($AI$1590:$AI$1603))</f>
        <v>0</v>
      </c>
      <c r="AK1603">
        <f>IF(COUNT($E$2:$E1603)&lt;20,"",AVERAGE($E$1584:$E$1603))</f>
        <v>0</v>
      </c>
      <c r="AL1603">
        <f>IF(COUNT($E$2:$E1603)&lt;20,"",STDEVP($E$1584:$E$1603))</f>
        <v>0</v>
      </c>
      <c r="AM1603">
        <f>IF(AK1603="","",AK1603+2*AL1603)</f>
        <v>0</v>
      </c>
      <c r="AN1603">
        <f>IF(AK1603="","",AK1603-2*AL1603)</f>
        <v>0</v>
      </c>
      <c r="AO1603">
        <f>IF(OR(AM1603="",AN1603="",AM1603=AN1603),"",($E1603-AN1603)/(AM1603-AN1603))</f>
        <v>0</v>
      </c>
      <c r="AP1603">
        <f>IF(OR(AM1603="",AK1603="",AK1603=0),"",(AM1603-AN1603)/AK1603)</f>
        <v>0</v>
      </c>
      <c r="AQ1603">
        <f>IF(COUNT($E$2:$E1603)&lt;20,"",MAX($C$1584:$C$1603))</f>
        <v>0</v>
      </c>
      <c r="AR1603">
        <f>IF(COUNT($E$2:$E1603)&lt;20,"",MIN($D$1584:$D$1603))</f>
        <v>0</v>
      </c>
      <c r="AS1603">
        <f>IF(OR(AQ1603="",AR1603=""),"",(AQ1603+AR1603)/2)</f>
        <v>0</v>
      </c>
      <c r="AT1603">
        <f>IF(COUNT($G$1584:$G$1603)&lt;20,"",STDEV($G$1584:$G$1603)*SQRT(252))</f>
        <v>0</v>
      </c>
      <c r="AU1603">
        <f>IF(COUNT($E$2:$E1603)&lt;9,"",(MAX($C$1595:$C$1603)+MIN($D$1595:$D$1603))/2)</f>
        <v>0</v>
      </c>
      <c r="AV1603">
        <f>IF(COUNT($E$2:$E1603)&lt;26,"",(MAX($C$1578:$C$1603)+MIN($D$1578:$D$1603))/2)</f>
        <v>0</v>
      </c>
      <c r="AW1603">
        <f>IF(OR(AU1603="",AV1603=""),"",(AU1603+AV1603)/2)</f>
        <v>0</v>
      </c>
      <c r="AX1603">
        <f>IF(COUNT($E$2:$E1603)&lt;52,"",(MAX($C$1552:$C$1603)+MIN($D$1552:$D$1603))/2)</f>
        <v>0</v>
      </c>
      <c r="AY1603">
        <f>IF(COUNT($E$2:$E1603)&lt;20,"",MAX($C$1504:$C$1603))</f>
        <v>0</v>
      </c>
      <c r="AZ1603">
        <f>IF(COUNT($E$2:$E1603)&lt;20,"",MIN($D$1504:$D$1603))</f>
        <v>0</v>
      </c>
      <c r="BA1603">
        <f>IF(COUNT($E$2:$E1603)&lt;20,"",SLOPE($E$1504:$E$1603,$F$1504:$F$1603))</f>
        <v>0</v>
      </c>
      <c r="BB1603">
        <f>IF(COUNT($E$2:$E1603)&lt;20,"",INTERCEPT($E$1504:$E$1603,$F$1504:$F$1603))</f>
        <v>0</v>
      </c>
      <c r="BC1603">
        <f>IF(OR(BA1603="",BB1603=""),"",BB1603+BA1603*F1603)</f>
        <v>0</v>
      </c>
      <c r="BD1603">
        <f>IF(COUNT($E$2:$E1603)&lt;20,"",STEYX($E$1504:$E$1603,$F$1504:$F$1603))</f>
        <v>0</v>
      </c>
      <c r="BE1603">
        <f>IF($E1603="","",IF(AND(COUNT($E$1604:$E$1607)&gt;=4,$C1603=MAX($C$1599:$C$1607)),$C1603,""))</f>
        <v>0</v>
      </c>
      <c r="BF1603">
        <f>IF($E1603="","",IF(AND(COUNT($E$1604:$E$1607)&gt;=4,$D1603=MIN($D$1599:$D$1607)),$D1603,""))</f>
        <v>0</v>
      </c>
      <c r="BG1603">
        <f>IF($A1603="","",$A1603-WEEKDAY($A1603,2)+1)</f>
        <v>0</v>
      </c>
      <c r="BH1603">
        <f>IF($A1603="","",IF($A1602="",1,IF(BG1603&lt;&gt;BG1602,1,0)))</f>
        <v>0</v>
      </c>
      <c r="BI1603">
        <f>IF($A1603="","",IF($A1604="",1,IF(BG1604&lt;&gt;BG1603,1,0)))</f>
        <v>0</v>
      </c>
      <c r="BJ1603">
        <f>IF($A1603="","",IF(BH1603=1,$B1603,BJ1602))</f>
        <v>0</v>
      </c>
      <c r="BK1603">
        <f>IF($A1603="","",IF(BH1603=1,$C1603,MAX($C1603,BK1602)))</f>
        <v>0</v>
      </c>
      <c r="BL1603">
        <f>IF($A1603="","",IF(BH1603=1,$D1603,MIN($D1603,BL1602)))</f>
        <v>0</v>
      </c>
      <c r="BM1603">
        <f>IF($A1603="","",IF(BI1603=1,F1603,""))</f>
        <v>0</v>
      </c>
      <c r="BN1603">
        <f>IF($A1603="","",DATE(YEAR($A1603),MONTH($A1603),1))</f>
        <v>0</v>
      </c>
      <c r="BO1603">
        <f>IF($A1603="","",IF($A1602="",1,IF(BN1603&lt;&gt;BN1602,1,0)))</f>
        <v>0</v>
      </c>
      <c r="BP1603">
        <f>IF($A1603="","",IF($A1604="",1,IF(BN1604&lt;&gt;BN1603,1,0)))</f>
        <v>0</v>
      </c>
      <c r="BQ1603">
        <f>IF($A1603="","",IF(BO1603=1,$B1603,BQ1602))</f>
        <v>0</v>
      </c>
      <c r="BR1603">
        <f>IF($A1603="","",IF(BO1603=1,$C1603,MAX($C1603,BR1602)))</f>
        <v>0</v>
      </c>
      <c r="BS1603">
        <f>IF($A1603="","",IF(BO1603=1,$D1603,MIN($D1603,BS1602)))</f>
        <v>0</v>
      </c>
      <c r="BT1603">
        <f>IF($A1603="","",IF(BP1603=1,F1603,""))</f>
        <v>0</v>
      </c>
    </row>
    <row r="1604" spans="1:72">
      <c r="A1604" s="27">
        <f>IF(Data!$A1604="","",Data!$A1604)</f>
        <v>0</v>
      </c>
      <c r="B1604">
        <f>IF(Data!$B1604="","",Data!$B1604)</f>
        <v>0</v>
      </c>
      <c r="C1604">
        <f>IF(Data!$C1604="","",Data!$C1604)</f>
        <v>0</v>
      </c>
      <c r="D1604">
        <f>IF(Data!$D1604="","",Data!$D1604)</f>
        <v>0</v>
      </c>
      <c r="E1604">
        <f>IF(Data!$E1604="","",Data!$E1604)</f>
        <v>0</v>
      </c>
      <c r="F1604">
        <f>IF($E1604="","",N(F1603)+1)</f>
        <v>0</v>
      </c>
      <c r="G1604">
        <f>IF(OR($E1604="",$E1603=""),"",LN($E1604/$E1603))</f>
        <v>0</v>
      </c>
      <c r="H1604">
        <f>IF($E1604="","",IF($E1603="",$E1604,$E1604*0.0952380952+H1603*0.9047619048))</f>
        <v>0</v>
      </c>
      <c r="I1604">
        <f>IF($E1604="","",IF($E1603="",$E1604,$E1604*0.0392156863+I1603*0.9607843137))</f>
        <v>0</v>
      </c>
      <c r="J1604">
        <f>IF($E1604="","",IF($E1603="",$E1604,$E1604*0.0198019802+J1603*0.9801980198))</f>
        <v>0</v>
      </c>
      <c r="K1604">
        <f>IF($E1604="","",IF($E1603="",$E1604,$E1604*0.0099502488+K1603*0.9900497512))</f>
        <v>0</v>
      </c>
      <c r="L1604">
        <f>IF(OR($E1604="",$E1603=""),"",MAX($E1604-$E1603,0))</f>
        <v>0</v>
      </c>
      <c r="M1604">
        <f>IF(OR($E1604="",$E1603=""),"",MAX($E1603-$E1604,0))</f>
        <v>0</v>
      </c>
      <c r="N1604">
        <f>IF(COUNT($E$2:$E1604)&lt;15,"",IF(AVERAGE($M$1591:$M$1604)=0,100,100-100/(1+AVERAGE($L$1591:$L$1604)/AVERAGE($M$1591:$M$1604))))</f>
        <v>0</v>
      </c>
      <c r="O1604">
        <f>IF($E1604="","",IF($E1603="",$E1604,$E1604*0.1538461538+O1603*0.8461538462))</f>
        <v>0</v>
      </c>
      <c r="P1604">
        <f>IF($E1604="","",IF($E1603="",$E1604,$E1604*0.0740740741+P1603*0.9259259259))</f>
        <v>0</v>
      </c>
      <c r="Q1604">
        <f>IF(OR(O1604="",P1604=""),"",O1604-P1604)</f>
        <v>0</v>
      </c>
      <c r="R1604">
        <f>IF(Q1604="","",IF(R1603="",Q1604,Q1604*0.2000000000+R1603*0.8000000000))</f>
        <v>0</v>
      </c>
      <c r="S1604">
        <f>IF(OR(Q1604="",R1604=""),"",Q1604-R1604)</f>
        <v>0</v>
      </c>
      <c r="T1604">
        <f>IF(COUNT($E$2:$E1604)&lt;14,"",MAX($C$1591:$C$1604))</f>
        <v>0</v>
      </c>
      <c r="U1604">
        <f>IF(COUNT($E$2:$E1604)&lt;14,"",MIN($D$1591:$D$1604))</f>
        <v>0</v>
      </c>
      <c r="V1604">
        <f>IF(OR(T1604="",U1604="",T1604=U1604),"",100*($E1604-U1604)/(T1604-U1604))</f>
        <v>0</v>
      </c>
      <c r="W1604">
        <f>IF(COUNT($V$1602:$V$1604)&lt;3,"",AVERAGE($V$1602:$V$1604))</f>
        <v>0</v>
      </c>
      <c r="X1604">
        <f>IF(COUNT($N$1591:$N$1604)&lt;14,"",MIN($N$1591:$N$1604))</f>
        <v>0</v>
      </c>
      <c r="Y1604">
        <f>IF(COUNT($N$1591:$N$1604)&lt;14,"",MAX($N$1591:$N$1604))</f>
        <v>0</v>
      </c>
      <c r="Z1604">
        <f>IF(OR(N1604="",X1604="",Y1604="",Y1604=X1604),"",100*(N1604-X1604)/(Y1604-X1604))</f>
        <v>0</v>
      </c>
      <c r="AA1604">
        <f>IF(COUNT($Z$1602:$Z$1604)&lt;3,"",AVERAGE($Z$1602:$Z$1604))</f>
        <v>0</v>
      </c>
      <c r="AB1604">
        <f>IF(COUNT($AA$1602:$AA$1604)&lt;3,"",AVERAGE($AA$1602:$AA$1604))</f>
        <v>0</v>
      </c>
      <c r="AC1604">
        <f>IF($E1604="","",MAX($C1604-$D1604,ABS($C1604-$E1603),ABS($D1604-$E1603)))</f>
        <v>0</v>
      </c>
      <c r="AD1604">
        <f>IF(COUNT($E$2:$E1604)&lt;15,"",AVERAGE($AC$1591:$AC$1604))</f>
        <v>0</v>
      </c>
      <c r="AE1604">
        <f>IF(OR($E1604="",$E1603=""),"",IF(AND(($C1604-$C1603)&gt;($D1603-$D1604),($C1604-$C1603)&gt;0),$C1604-$C1603,0))</f>
        <v>0</v>
      </c>
      <c r="AF1604">
        <f>IF(OR($E1604="",$E1603=""),"",IF(AND(($D1603-$D1604)&gt;($C1604-$C1603),($D1603-$D1604)&gt;0),$D1603-$D1604,0))</f>
        <v>0</v>
      </c>
      <c r="AG1604">
        <f>IF(COUNT($E$2:$E1604)&lt;15,"",IF(SUM($AC$1591:$AC$1604)=0,0,100*SUM($AE$1591:$AE$1604)/SUM($AC$1591:$AC$1604)))</f>
        <v>0</v>
      </c>
      <c r="AH1604">
        <f>IF(COUNT($E$2:$E1604)&lt;15,"",IF(SUM($AC$1591:$AC$1604)=0,0,100*SUM($AF$1591:$AF$1604)/SUM($AC$1591:$AC$1604)))</f>
        <v>0</v>
      </c>
      <c r="AI1604">
        <f>IF(OR(AG1604="",AH1604=""),"",IF((AG1604+AH1604)=0,0,100*ABS(AG1604-AH1604)/(AG1604+AH1604)))</f>
        <v>0</v>
      </c>
      <c r="AJ1604">
        <f>IF(COUNT($AI$1591:$AI$1604)&lt;14,"",AVERAGE($AI$1591:$AI$1604))</f>
        <v>0</v>
      </c>
      <c r="AK1604">
        <f>IF(COUNT($E$2:$E1604)&lt;20,"",AVERAGE($E$1585:$E$1604))</f>
        <v>0</v>
      </c>
      <c r="AL1604">
        <f>IF(COUNT($E$2:$E1604)&lt;20,"",STDEVP($E$1585:$E$1604))</f>
        <v>0</v>
      </c>
      <c r="AM1604">
        <f>IF(AK1604="","",AK1604+2*AL1604)</f>
        <v>0</v>
      </c>
      <c r="AN1604">
        <f>IF(AK1604="","",AK1604-2*AL1604)</f>
        <v>0</v>
      </c>
      <c r="AO1604">
        <f>IF(OR(AM1604="",AN1604="",AM1604=AN1604),"",($E1604-AN1604)/(AM1604-AN1604))</f>
        <v>0</v>
      </c>
      <c r="AP1604">
        <f>IF(OR(AM1604="",AK1604="",AK1604=0),"",(AM1604-AN1604)/AK1604)</f>
        <v>0</v>
      </c>
      <c r="AQ1604">
        <f>IF(COUNT($E$2:$E1604)&lt;20,"",MAX($C$1585:$C$1604))</f>
        <v>0</v>
      </c>
      <c r="AR1604">
        <f>IF(COUNT($E$2:$E1604)&lt;20,"",MIN($D$1585:$D$1604))</f>
        <v>0</v>
      </c>
      <c r="AS1604">
        <f>IF(OR(AQ1604="",AR1604=""),"",(AQ1604+AR1604)/2)</f>
        <v>0</v>
      </c>
      <c r="AT1604">
        <f>IF(COUNT($G$1585:$G$1604)&lt;20,"",STDEV($G$1585:$G$1604)*SQRT(252))</f>
        <v>0</v>
      </c>
      <c r="AU1604">
        <f>IF(COUNT($E$2:$E1604)&lt;9,"",(MAX($C$1596:$C$1604)+MIN($D$1596:$D$1604))/2)</f>
        <v>0</v>
      </c>
      <c r="AV1604">
        <f>IF(COUNT($E$2:$E1604)&lt;26,"",(MAX($C$1579:$C$1604)+MIN($D$1579:$D$1604))/2)</f>
        <v>0</v>
      </c>
      <c r="AW1604">
        <f>IF(OR(AU1604="",AV1604=""),"",(AU1604+AV1604)/2)</f>
        <v>0</v>
      </c>
      <c r="AX1604">
        <f>IF(COUNT($E$2:$E1604)&lt;52,"",(MAX($C$1553:$C$1604)+MIN($D$1553:$D$1604))/2)</f>
        <v>0</v>
      </c>
      <c r="AY1604">
        <f>IF(COUNT($E$2:$E1604)&lt;20,"",MAX($C$1505:$C$1604))</f>
        <v>0</v>
      </c>
      <c r="AZ1604">
        <f>IF(COUNT($E$2:$E1604)&lt;20,"",MIN($D$1505:$D$1604))</f>
        <v>0</v>
      </c>
      <c r="BA1604">
        <f>IF(COUNT($E$2:$E1604)&lt;20,"",SLOPE($E$1505:$E$1604,$F$1505:$F$1604))</f>
        <v>0</v>
      </c>
      <c r="BB1604">
        <f>IF(COUNT($E$2:$E1604)&lt;20,"",INTERCEPT($E$1505:$E$1604,$F$1505:$F$1604))</f>
        <v>0</v>
      </c>
      <c r="BC1604">
        <f>IF(OR(BA1604="",BB1604=""),"",BB1604+BA1604*F1604)</f>
        <v>0</v>
      </c>
      <c r="BD1604">
        <f>IF(COUNT($E$2:$E1604)&lt;20,"",STEYX($E$1505:$E$1604,$F$1505:$F$1604))</f>
        <v>0</v>
      </c>
      <c r="BE1604">
        <f>IF($E1604="","",IF(AND(COUNT($E$1605:$E$1608)&gt;=4,$C1604=MAX($C$1600:$C$1608)),$C1604,""))</f>
        <v>0</v>
      </c>
      <c r="BF1604">
        <f>IF($E1604="","",IF(AND(COUNT($E$1605:$E$1608)&gt;=4,$D1604=MIN($D$1600:$D$1608)),$D1604,""))</f>
        <v>0</v>
      </c>
      <c r="BG1604">
        <f>IF($A1604="","",$A1604-WEEKDAY($A1604,2)+1)</f>
        <v>0</v>
      </c>
      <c r="BH1604">
        <f>IF($A1604="","",IF($A1603="",1,IF(BG1604&lt;&gt;BG1603,1,0)))</f>
        <v>0</v>
      </c>
      <c r="BI1604">
        <f>IF($A1604="","",IF($A1605="",1,IF(BG1605&lt;&gt;BG1604,1,0)))</f>
        <v>0</v>
      </c>
      <c r="BJ1604">
        <f>IF($A1604="","",IF(BH1604=1,$B1604,BJ1603))</f>
        <v>0</v>
      </c>
      <c r="BK1604">
        <f>IF($A1604="","",IF(BH1604=1,$C1604,MAX($C1604,BK1603)))</f>
        <v>0</v>
      </c>
      <c r="BL1604">
        <f>IF($A1604="","",IF(BH1604=1,$D1604,MIN($D1604,BL1603)))</f>
        <v>0</v>
      </c>
      <c r="BM1604">
        <f>IF($A1604="","",IF(BI1604=1,F1604,""))</f>
        <v>0</v>
      </c>
      <c r="BN1604">
        <f>IF($A1604="","",DATE(YEAR($A1604),MONTH($A1604),1))</f>
        <v>0</v>
      </c>
      <c r="BO1604">
        <f>IF($A1604="","",IF($A1603="",1,IF(BN1604&lt;&gt;BN1603,1,0)))</f>
        <v>0</v>
      </c>
      <c r="BP1604">
        <f>IF($A1604="","",IF($A1605="",1,IF(BN1605&lt;&gt;BN1604,1,0)))</f>
        <v>0</v>
      </c>
      <c r="BQ1604">
        <f>IF($A1604="","",IF(BO1604=1,$B1604,BQ1603))</f>
        <v>0</v>
      </c>
      <c r="BR1604">
        <f>IF($A1604="","",IF(BO1604=1,$C1604,MAX($C1604,BR1603)))</f>
        <v>0</v>
      </c>
      <c r="BS1604">
        <f>IF($A1604="","",IF(BO1604=1,$D1604,MIN($D1604,BS1603)))</f>
        <v>0</v>
      </c>
      <c r="BT1604">
        <f>IF($A1604="","",IF(BP1604=1,F1604,""))</f>
        <v>0</v>
      </c>
    </row>
    <row r="1605" spans="1:72">
      <c r="A1605" s="27">
        <f>IF(Data!$A1605="","",Data!$A1605)</f>
        <v>0</v>
      </c>
      <c r="B1605">
        <f>IF(Data!$B1605="","",Data!$B1605)</f>
        <v>0</v>
      </c>
      <c r="C1605">
        <f>IF(Data!$C1605="","",Data!$C1605)</f>
        <v>0</v>
      </c>
      <c r="D1605">
        <f>IF(Data!$D1605="","",Data!$D1605)</f>
        <v>0</v>
      </c>
      <c r="E1605">
        <f>IF(Data!$E1605="","",Data!$E1605)</f>
        <v>0</v>
      </c>
      <c r="F1605">
        <f>IF($E1605="","",N(F1604)+1)</f>
        <v>0</v>
      </c>
      <c r="G1605">
        <f>IF(OR($E1605="",$E1604=""),"",LN($E1605/$E1604))</f>
        <v>0</v>
      </c>
      <c r="H1605">
        <f>IF($E1605="","",IF($E1604="",$E1605,$E1605*0.0952380952+H1604*0.9047619048))</f>
        <v>0</v>
      </c>
      <c r="I1605">
        <f>IF($E1605="","",IF($E1604="",$E1605,$E1605*0.0392156863+I1604*0.9607843137))</f>
        <v>0</v>
      </c>
      <c r="J1605">
        <f>IF($E1605="","",IF($E1604="",$E1605,$E1605*0.0198019802+J1604*0.9801980198))</f>
        <v>0</v>
      </c>
      <c r="K1605">
        <f>IF($E1605="","",IF($E1604="",$E1605,$E1605*0.0099502488+K1604*0.9900497512))</f>
        <v>0</v>
      </c>
      <c r="L1605">
        <f>IF(OR($E1605="",$E1604=""),"",MAX($E1605-$E1604,0))</f>
        <v>0</v>
      </c>
      <c r="M1605">
        <f>IF(OR($E1605="",$E1604=""),"",MAX($E1604-$E1605,0))</f>
        <v>0</v>
      </c>
      <c r="N1605">
        <f>IF(COUNT($E$2:$E1605)&lt;15,"",IF(AVERAGE($M$1592:$M$1605)=0,100,100-100/(1+AVERAGE($L$1592:$L$1605)/AVERAGE($M$1592:$M$1605))))</f>
        <v>0</v>
      </c>
      <c r="O1605">
        <f>IF($E1605="","",IF($E1604="",$E1605,$E1605*0.1538461538+O1604*0.8461538462))</f>
        <v>0</v>
      </c>
      <c r="P1605">
        <f>IF($E1605="","",IF($E1604="",$E1605,$E1605*0.0740740741+P1604*0.9259259259))</f>
        <v>0</v>
      </c>
      <c r="Q1605">
        <f>IF(OR(O1605="",P1605=""),"",O1605-P1605)</f>
        <v>0</v>
      </c>
      <c r="R1605">
        <f>IF(Q1605="","",IF(R1604="",Q1605,Q1605*0.2000000000+R1604*0.8000000000))</f>
        <v>0</v>
      </c>
      <c r="S1605">
        <f>IF(OR(Q1605="",R1605=""),"",Q1605-R1605)</f>
        <v>0</v>
      </c>
      <c r="T1605">
        <f>IF(COUNT($E$2:$E1605)&lt;14,"",MAX($C$1592:$C$1605))</f>
        <v>0</v>
      </c>
      <c r="U1605">
        <f>IF(COUNT($E$2:$E1605)&lt;14,"",MIN($D$1592:$D$1605))</f>
        <v>0</v>
      </c>
      <c r="V1605">
        <f>IF(OR(T1605="",U1605="",T1605=U1605),"",100*($E1605-U1605)/(T1605-U1605))</f>
        <v>0</v>
      </c>
      <c r="W1605">
        <f>IF(COUNT($V$1603:$V$1605)&lt;3,"",AVERAGE($V$1603:$V$1605))</f>
        <v>0</v>
      </c>
      <c r="X1605">
        <f>IF(COUNT($N$1592:$N$1605)&lt;14,"",MIN($N$1592:$N$1605))</f>
        <v>0</v>
      </c>
      <c r="Y1605">
        <f>IF(COUNT($N$1592:$N$1605)&lt;14,"",MAX($N$1592:$N$1605))</f>
        <v>0</v>
      </c>
      <c r="Z1605">
        <f>IF(OR(N1605="",X1605="",Y1605="",Y1605=X1605),"",100*(N1605-X1605)/(Y1605-X1605))</f>
        <v>0</v>
      </c>
      <c r="AA1605">
        <f>IF(COUNT($Z$1603:$Z$1605)&lt;3,"",AVERAGE($Z$1603:$Z$1605))</f>
        <v>0</v>
      </c>
      <c r="AB1605">
        <f>IF(COUNT($AA$1603:$AA$1605)&lt;3,"",AVERAGE($AA$1603:$AA$1605))</f>
        <v>0</v>
      </c>
      <c r="AC1605">
        <f>IF($E1605="","",MAX($C1605-$D1605,ABS($C1605-$E1604),ABS($D1605-$E1604)))</f>
        <v>0</v>
      </c>
      <c r="AD1605">
        <f>IF(COUNT($E$2:$E1605)&lt;15,"",AVERAGE($AC$1592:$AC$1605))</f>
        <v>0</v>
      </c>
      <c r="AE1605">
        <f>IF(OR($E1605="",$E1604=""),"",IF(AND(($C1605-$C1604)&gt;($D1604-$D1605),($C1605-$C1604)&gt;0),$C1605-$C1604,0))</f>
        <v>0</v>
      </c>
      <c r="AF1605">
        <f>IF(OR($E1605="",$E1604=""),"",IF(AND(($D1604-$D1605)&gt;($C1605-$C1604),($D1604-$D1605)&gt;0),$D1604-$D1605,0))</f>
        <v>0</v>
      </c>
      <c r="AG1605">
        <f>IF(COUNT($E$2:$E1605)&lt;15,"",IF(SUM($AC$1592:$AC$1605)=0,0,100*SUM($AE$1592:$AE$1605)/SUM($AC$1592:$AC$1605)))</f>
        <v>0</v>
      </c>
      <c r="AH1605">
        <f>IF(COUNT($E$2:$E1605)&lt;15,"",IF(SUM($AC$1592:$AC$1605)=0,0,100*SUM($AF$1592:$AF$1605)/SUM($AC$1592:$AC$1605)))</f>
        <v>0</v>
      </c>
      <c r="AI1605">
        <f>IF(OR(AG1605="",AH1605=""),"",IF((AG1605+AH1605)=0,0,100*ABS(AG1605-AH1605)/(AG1605+AH1605)))</f>
        <v>0</v>
      </c>
      <c r="AJ1605">
        <f>IF(COUNT($AI$1592:$AI$1605)&lt;14,"",AVERAGE($AI$1592:$AI$1605))</f>
        <v>0</v>
      </c>
      <c r="AK1605">
        <f>IF(COUNT($E$2:$E1605)&lt;20,"",AVERAGE($E$1586:$E$1605))</f>
        <v>0</v>
      </c>
      <c r="AL1605">
        <f>IF(COUNT($E$2:$E1605)&lt;20,"",STDEVP($E$1586:$E$1605))</f>
        <v>0</v>
      </c>
      <c r="AM1605">
        <f>IF(AK1605="","",AK1605+2*AL1605)</f>
        <v>0</v>
      </c>
      <c r="AN1605">
        <f>IF(AK1605="","",AK1605-2*AL1605)</f>
        <v>0</v>
      </c>
      <c r="AO1605">
        <f>IF(OR(AM1605="",AN1605="",AM1605=AN1605),"",($E1605-AN1605)/(AM1605-AN1605))</f>
        <v>0</v>
      </c>
      <c r="AP1605">
        <f>IF(OR(AM1605="",AK1605="",AK1605=0),"",(AM1605-AN1605)/AK1605)</f>
        <v>0</v>
      </c>
      <c r="AQ1605">
        <f>IF(COUNT($E$2:$E1605)&lt;20,"",MAX($C$1586:$C$1605))</f>
        <v>0</v>
      </c>
      <c r="AR1605">
        <f>IF(COUNT($E$2:$E1605)&lt;20,"",MIN($D$1586:$D$1605))</f>
        <v>0</v>
      </c>
      <c r="AS1605">
        <f>IF(OR(AQ1605="",AR1605=""),"",(AQ1605+AR1605)/2)</f>
        <v>0</v>
      </c>
      <c r="AT1605">
        <f>IF(COUNT($G$1586:$G$1605)&lt;20,"",STDEV($G$1586:$G$1605)*SQRT(252))</f>
        <v>0</v>
      </c>
      <c r="AU1605">
        <f>IF(COUNT($E$2:$E1605)&lt;9,"",(MAX($C$1597:$C$1605)+MIN($D$1597:$D$1605))/2)</f>
        <v>0</v>
      </c>
      <c r="AV1605">
        <f>IF(COUNT($E$2:$E1605)&lt;26,"",(MAX($C$1580:$C$1605)+MIN($D$1580:$D$1605))/2)</f>
        <v>0</v>
      </c>
      <c r="AW1605">
        <f>IF(OR(AU1605="",AV1605=""),"",(AU1605+AV1605)/2)</f>
        <v>0</v>
      </c>
      <c r="AX1605">
        <f>IF(COUNT($E$2:$E1605)&lt;52,"",(MAX($C$1554:$C$1605)+MIN($D$1554:$D$1605))/2)</f>
        <v>0</v>
      </c>
      <c r="AY1605">
        <f>IF(COUNT($E$2:$E1605)&lt;20,"",MAX($C$1506:$C$1605))</f>
        <v>0</v>
      </c>
      <c r="AZ1605">
        <f>IF(COUNT($E$2:$E1605)&lt;20,"",MIN($D$1506:$D$1605))</f>
        <v>0</v>
      </c>
      <c r="BA1605">
        <f>IF(COUNT($E$2:$E1605)&lt;20,"",SLOPE($E$1506:$E$1605,$F$1506:$F$1605))</f>
        <v>0</v>
      </c>
      <c r="BB1605">
        <f>IF(COUNT($E$2:$E1605)&lt;20,"",INTERCEPT($E$1506:$E$1605,$F$1506:$F$1605))</f>
        <v>0</v>
      </c>
      <c r="BC1605">
        <f>IF(OR(BA1605="",BB1605=""),"",BB1605+BA1605*F1605)</f>
        <v>0</v>
      </c>
      <c r="BD1605">
        <f>IF(COUNT($E$2:$E1605)&lt;20,"",STEYX($E$1506:$E$1605,$F$1506:$F$1605))</f>
        <v>0</v>
      </c>
      <c r="BE1605">
        <f>IF($E1605="","",IF(AND(COUNT($E$1606:$E$1609)&gt;=4,$C1605=MAX($C$1601:$C$1609)),$C1605,""))</f>
        <v>0</v>
      </c>
      <c r="BF1605">
        <f>IF($E1605="","",IF(AND(COUNT($E$1606:$E$1609)&gt;=4,$D1605=MIN($D$1601:$D$1609)),$D1605,""))</f>
        <v>0</v>
      </c>
      <c r="BG1605">
        <f>IF($A1605="","",$A1605-WEEKDAY($A1605,2)+1)</f>
        <v>0</v>
      </c>
      <c r="BH1605">
        <f>IF($A1605="","",IF($A1604="",1,IF(BG1605&lt;&gt;BG1604,1,0)))</f>
        <v>0</v>
      </c>
      <c r="BI1605">
        <f>IF($A1605="","",IF($A1606="",1,IF(BG1606&lt;&gt;BG1605,1,0)))</f>
        <v>0</v>
      </c>
      <c r="BJ1605">
        <f>IF($A1605="","",IF(BH1605=1,$B1605,BJ1604))</f>
        <v>0</v>
      </c>
      <c r="BK1605">
        <f>IF($A1605="","",IF(BH1605=1,$C1605,MAX($C1605,BK1604)))</f>
        <v>0</v>
      </c>
      <c r="BL1605">
        <f>IF($A1605="","",IF(BH1605=1,$D1605,MIN($D1605,BL1604)))</f>
        <v>0</v>
      </c>
      <c r="BM1605">
        <f>IF($A1605="","",IF(BI1605=1,F1605,""))</f>
        <v>0</v>
      </c>
      <c r="BN1605">
        <f>IF($A1605="","",DATE(YEAR($A1605),MONTH($A1605),1))</f>
        <v>0</v>
      </c>
      <c r="BO1605">
        <f>IF($A1605="","",IF($A1604="",1,IF(BN1605&lt;&gt;BN1604,1,0)))</f>
        <v>0</v>
      </c>
      <c r="BP1605">
        <f>IF($A1605="","",IF($A1606="",1,IF(BN1606&lt;&gt;BN1605,1,0)))</f>
        <v>0</v>
      </c>
      <c r="BQ1605">
        <f>IF($A1605="","",IF(BO1605=1,$B1605,BQ1604))</f>
        <v>0</v>
      </c>
      <c r="BR1605">
        <f>IF($A1605="","",IF(BO1605=1,$C1605,MAX($C1605,BR1604)))</f>
        <v>0</v>
      </c>
      <c r="BS1605">
        <f>IF($A1605="","",IF(BO1605=1,$D1605,MIN($D1605,BS1604)))</f>
        <v>0</v>
      </c>
      <c r="BT1605">
        <f>IF($A1605="","",IF(BP1605=1,F1605,""))</f>
        <v>0</v>
      </c>
    </row>
    <row r="1606" spans="1:72">
      <c r="A1606" s="27">
        <f>IF(Data!$A1606="","",Data!$A1606)</f>
        <v>0</v>
      </c>
      <c r="B1606">
        <f>IF(Data!$B1606="","",Data!$B1606)</f>
        <v>0</v>
      </c>
      <c r="C1606">
        <f>IF(Data!$C1606="","",Data!$C1606)</f>
        <v>0</v>
      </c>
      <c r="D1606">
        <f>IF(Data!$D1606="","",Data!$D1606)</f>
        <v>0</v>
      </c>
      <c r="E1606">
        <f>IF(Data!$E1606="","",Data!$E1606)</f>
        <v>0</v>
      </c>
      <c r="F1606">
        <f>IF($E1606="","",N(F1605)+1)</f>
        <v>0</v>
      </c>
      <c r="G1606">
        <f>IF(OR($E1606="",$E1605=""),"",LN($E1606/$E1605))</f>
        <v>0</v>
      </c>
      <c r="H1606">
        <f>IF($E1606="","",IF($E1605="",$E1606,$E1606*0.0952380952+H1605*0.9047619048))</f>
        <v>0</v>
      </c>
      <c r="I1606">
        <f>IF($E1606="","",IF($E1605="",$E1606,$E1606*0.0392156863+I1605*0.9607843137))</f>
        <v>0</v>
      </c>
      <c r="J1606">
        <f>IF($E1606="","",IF($E1605="",$E1606,$E1606*0.0198019802+J1605*0.9801980198))</f>
        <v>0</v>
      </c>
      <c r="K1606">
        <f>IF($E1606="","",IF($E1605="",$E1606,$E1606*0.0099502488+K1605*0.9900497512))</f>
        <v>0</v>
      </c>
      <c r="L1606">
        <f>IF(OR($E1606="",$E1605=""),"",MAX($E1606-$E1605,0))</f>
        <v>0</v>
      </c>
      <c r="M1606">
        <f>IF(OR($E1606="",$E1605=""),"",MAX($E1605-$E1606,0))</f>
        <v>0</v>
      </c>
      <c r="N1606">
        <f>IF(COUNT($E$2:$E1606)&lt;15,"",IF(AVERAGE($M$1593:$M$1606)=0,100,100-100/(1+AVERAGE($L$1593:$L$1606)/AVERAGE($M$1593:$M$1606))))</f>
        <v>0</v>
      </c>
      <c r="O1606">
        <f>IF($E1606="","",IF($E1605="",$E1606,$E1606*0.1538461538+O1605*0.8461538462))</f>
        <v>0</v>
      </c>
      <c r="P1606">
        <f>IF($E1606="","",IF($E1605="",$E1606,$E1606*0.0740740741+P1605*0.9259259259))</f>
        <v>0</v>
      </c>
      <c r="Q1606">
        <f>IF(OR(O1606="",P1606=""),"",O1606-P1606)</f>
        <v>0</v>
      </c>
      <c r="R1606">
        <f>IF(Q1606="","",IF(R1605="",Q1606,Q1606*0.2000000000+R1605*0.8000000000))</f>
        <v>0</v>
      </c>
      <c r="S1606">
        <f>IF(OR(Q1606="",R1606=""),"",Q1606-R1606)</f>
        <v>0</v>
      </c>
      <c r="T1606">
        <f>IF(COUNT($E$2:$E1606)&lt;14,"",MAX($C$1593:$C$1606))</f>
        <v>0</v>
      </c>
      <c r="U1606">
        <f>IF(COUNT($E$2:$E1606)&lt;14,"",MIN($D$1593:$D$1606))</f>
        <v>0</v>
      </c>
      <c r="V1606">
        <f>IF(OR(T1606="",U1606="",T1606=U1606),"",100*($E1606-U1606)/(T1606-U1606))</f>
        <v>0</v>
      </c>
      <c r="W1606">
        <f>IF(COUNT($V$1604:$V$1606)&lt;3,"",AVERAGE($V$1604:$V$1606))</f>
        <v>0</v>
      </c>
      <c r="X1606">
        <f>IF(COUNT($N$1593:$N$1606)&lt;14,"",MIN($N$1593:$N$1606))</f>
        <v>0</v>
      </c>
      <c r="Y1606">
        <f>IF(COUNT($N$1593:$N$1606)&lt;14,"",MAX($N$1593:$N$1606))</f>
        <v>0</v>
      </c>
      <c r="Z1606">
        <f>IF(OR(N1606="",X1606="",Y1606="",Y1606=X1606),"",100*(N1606-X1606)/(Y1606-X1606))</f>
        <v>0</v>
      </c>
      <c r="AA1606">
        <f>IF(COUNT($Z$1604:$Z$1606)&lt;3,"",AVERAGE($Z$1604:$Z$1606))</f>
        <v>0</v>
      </c>
      <c r="AB1606">
        <f>IF(COUNT($AA$1604:$AA$1606)&lt;3,"",AVERAGE($AA$1604:$AA$1606))</f>
        <v>0</v>
      </c>
      <c r="AC1606">
        <f>IF($E1606="","",MAX($C1606-$D1606,ABS($C1606-$E1605),ABS($D1606-$E1605)))</f>
        <v>0</v>
      </c>
      <c r="AD1606">
        <f>IF(COUNT($E$2:$E1606)&lt;15,"",AVERAGE($AC$1593:$AC$1606))</f>
        <v>0</v>
      </c>
      <c r="AE1606">
        <f>IF(OR($E1606="",$E1605=""),"",IF(AND(($C1606-$C1605)&gt;($D1605-$D1606),($C1606-$C1605)&gt;0),$C1606-$C1605,0))</f>
        <v>0</v>
      </c>
      <c r="AF1606">
        <f>IF(OR($E1606="",$E1605=""),"",IF(AND(($D1605-$D1606)&gt;($C1606-$C1605),($D1605-$D1606)&gt;0),$D1605-$D1606,0))</f>
        <v>0</v>
      </c>
      <c r="AG1606">
        <f>IF(COUNT($E$2:$E1606)&lt;15,"",IF(SUM($AC$1593:$AC$1606)=0,0,100*SUM($AE$1593:$AE$1606)/SUM($AC$1593:$AC$1606)))</f>
        <v>0</v>
      </c>
      <c r="AH1606">
        <f>IF(COUNT($E$2:$E1606)&lt;15,"",IF(SUM($AC$1593:$AC$1606)=0,0,100*SUM($AF$1593:$AF$1606)/SUM($AC$1593:$AC$1606)))</f>
        <v>0</v>
      </c>
      <c r="AI1606">
        <f>IF(OR(AG1606="",AH1606=""),"",IF((AG1606+AH1606)=0,0,100*ABS(AG1606-AH1606)/(AG1606+AH1606)))</f>
        <v>0</v>
      </c>
      <c r="AJ1606">
        <f>IF(COUNT($AI$1593:$AI$1606)&lt;14,"",AVERAGE($AI$1593:$AI$1606))</f>
        <v>0</v>
      </c>
      <c r="AK1606">
        <f>IF(COUNT($E$2:$E1606)&lt;20,"",AVERAGE($E$1587:$E$1606))</f>
        <v>0</v>
      </c>
      <c r="AL1606">
        <f>IF(COUNT($E$2:$E1606)&lt;20,"",STDEVP($E$1587:$E$1606))</f>
        <v>0</v>
      </c>
      <c r="AM1606">
        <f>IF(AK1606="","",AK1606+2*AL1606)</f>
        <v>0</v>
      </c>
      <c r="AN1606">
        <f>IF(AK1606="","",AK1606-2*AL1606)</f>
        <v>0</v>
      </c>
      <c r="AO1606">
        <f>IF(OR(AM1606="",AN1606="",AM1606=AN1606),"",($E1606-AN1606)/(AM1606-AN1606))</f>
        <v>0</v>
      </c>
      <c r="AP1606">
        <f>IF(OR(AM1606="",AK1606="",AK1606=0),"",(AM1606-AN1606)/AK1606)</f>
        <v>0</v>
      </c>
      <c r="AQ1606">
        <f>IF(COUNT($E$2:$E1606)&lt;20,"",MAX($C$1587:$C$1606))</f>
        <v>0</v>
      </c>
      <c r="AR1606">
        <f>IF(COUNT($E$2:$E1606)&lt;20,"",MIN($D$1587:$D$1606))</f>
        <v>0</v>
      </c>
      <c r="AS1606">
        <f>IF(OR(AQ1606="",AR1606=""),"",(AQ1606+AR1606)/2)</f>
        <v>0</v>
      </c>
      <c r="AT1606">
        <f>IF(COUNT($G$1587:$G$1606)&lt;20,"",STDEV($G$1587:$G$1606)*SQRT(252))</f>
        <v>0</v>
      </c>
      <c r="AU1606">
        <f>IF(COUNT($E$2:$E1606)&lt;9,"",(MAX($C$1598:$C$1606)+MIN($D$1598:$D$1606))/2)</f>
        <v>0</v>
      </c>
      <c r="AV1606">
        <f>IF(COUNT($E$2:$E1606)&lt;26,"",(MAX($C$1581:$C$1606)+MIN($D$1581:$D$1606))/2)</f>
        <v>0</v>
      </c>
      <c r="AW1606">
        <f>IF(OR(AU1606="",AV1606=""),"",(AU1606+AV1606)/2)</f>
        <v>0</v>
      </c>
      <c r="AX1606">
        <f>IF(COUNT($E$2:$E1606)&lt;52,"",(MAX($C$1555:$C$1606)+MIN($D$1555:$D$1606))/2)</f>
        <v>0</v>
      </c>
      <c r="AY1606">
        <f>IF(COUNT($E$2:$E1606)&lt;20,"",MAX($C$1507:$C$1606))</f>
        <v>0</v>
      </c>
      <c r="AZ1606">
        <f>IF(COUNT($E$2:$E1606)&lt;20,"",MIN($D$1507:$D$1606))</f>
        <v>0</v>
      </c>
      <c r="BA1606">
        <f>IF(COUNT($E$2:$E1606)&lt;20,"",SLOPE($E$1507:$E$1606,$F$1507:$F$1606))</f>
        <v>0</v>
      </c>
      <c r="BB1606">
        <f>IF(COUNT($E$2:$E1606)&lt;20,"",INTERCEPT($E$1507:$E$1606,$F$1507:$F$1606))</f>
        <v>0</v>
      </c>
      <c r="BC1606">
        <f>IF(OR(BA1606="",BB1606=""),"",BB1606+BA1606*F1606)</f>
        <v>0</v>
      </c>
      <c r="BD1606">
        <f>IF(COUNT($E$2:$E1606)&lt;20,"",STEYX($E$1507:$E$1606,$F$1507:$F$1606))</f>
        <v>0</v>
      </c>
      <c r="BE1606">
        <f>IF($E1606="","",IF(AND(COUNT($E$1607:$E$1610)&gt;=4,$C1606=MAX($C$1602:$C$1610)),$C1606,""))</f>
        <v>0</v>
      </c>
      <c r="BF1606">
        <f>IF($E1606="","",IF(AND(COUNT($E$1607:$E$1610)&gt;=4,$D1606=MIN($D$1602:$D$1610)),$D1606,""))</f>
        <v>0</v>
      </c>
      <c r="BG1606">
        <f>IF($A1606="","",$A1606-WEEKDAY($A1606,2)+1)</f>
        <v>0</v>
      </c>
      <c r="BH1606">
        <f>IF($A1606="","",IF($A1605="",1,IF(BG1606&lt;&gt;BG1605,1,0)))</f>
        <v>0</v>
      </c>
      <c r="BI1606">
        <f>IF($A1606="","",IF($A1607="",1,IF(BG1607&lt;&gt;BG1606,1,0)))</f>
        <v>0</v>
      </c>
      <c r="BJ1606">
        <f>IF($A1606="","",IF(BH1606=1,$B1606,BJ1605))</f>
        <v>0</v>
      </c>
      <c r="BK1606">
        <f>IF($A1606="","",IF(BH1606=1,$C1606,MAX($C1606,BK1605)))</f>
        <v>0</v>
      </c>
      <c r="BL1606">
        <f>IF($A1606="","",IF(BH1606=1,$D1606,MIN($D1606,BL1605)))</f>
        <v>0</v>
      </c>
      <c r="BM1606">
        <f>IF($A1606="","",IF(BI1606=1,F1606,""))</f>
        <v>0</v>
      </c>
      <c r="BN1606">
        <f>IF($A1606="","",DATE(YEAR($A1606),MONTH($A1606),1))</f>
        <v>0</v>
      </c>
      <c r="BO1606">
        <f>IF($A1606="","",IF($A1605="",1,IF(BN1606&lt;&gt;BN1605,1,0)))</f>
        <v>0</v>
      </c>
      <c r="BP1606">
        <f>IF($A1606="","",IF($A1607="",1,IF(BN1607&lt;&gt;BN1606,1,0)))</f>
        <v>0</v>
      </c>
      <c r="BQ1606">
        <f>IF($A1606="","",IF(BO1606=1,$B1606,BQ1605))</f>
        <v>0</v>
      </c>
      <c r="BR1606">
        <f>IF($A1606="","",IF(BO1606=1,$C1606,MAX($C1606,BR1605)))</f>
        <v>0</v>
      </c>
      <c r="BS1606">
        <f>IF($A1606="","",IF(BO1606=1,$D1606,MIN($D1606,BS1605)))</f>
        <v>0</v>
      </c>
      <c r="BT1606">
        <f>IF($A1606="","",IF(BP1606=1,F1606,""))</f>
        <v>0</v>
      </c>
    </row>
    <row r="1607" spans="1:72">
      <c r="A1607" s="27">
        <f>IF(Data!$A1607="","",Data!$A1607)</f>
        <v>0</v>
      </c>
      <c r="B1607">
        <f>IF(Data!$B1607="","",Data!$B1607)</f>
        <v>0</v>
      </c>
      <c r="C1607">
        <f>IF(Data!$C1607="","",Data!$C1607)</f>
        <v>0</v>
      </c>
      <c r="D1607">
        <f>IF(Data!$D1607="","",Data!$D1607)</f>
        <v>0</v>
      </c>
      <c r="E1607">
        <f>IF(Data!$E1607="","",Data!$E1607)</f>
        <v>0</v>
      </c>
      <c r="F1607">
        <f>IF($E1607="","",N(F1606)+1)</f>
        <v>0</v>
      </c>
      <c r="G1607">
        <f>IF(OR($E1607="",$E1606=""),"",LN($E1607/$E1606))</f>
        <v>0</v>
      </c>
      <c r="H1607">
        <f>IF($E1607="","",IF($E1606="",$E1607,$E1607*0.0952380952+H1606*0.9047619048))</f>
        <v>0</v>
      </c>
      <c r="I1607">
        <f>IF($E1607="","",IF($E1606="",$E1607,$E1607*0.0392156863+I1606*0.9607843137))</f>
        <v>0</v>
      </c>
      <c r="J1607">
        <f>IF($E1607="","",IF($E1606="",$E1607,$E1607*0.0198019802+J1606*0.9801980198))</f>
        <v>0</v>
      </c>
      <c r="K1607">
        <f>IF($E1607="","",IF($E1606="",$E1607,$E1607*0.0099502488+K1606*0.9900497512))</f>
        <v>0</v>
      </c>
      <c r="L1607">
        <f>IF(OR($E1607="",$E1606=""),"",MAX($E1607-$E1606,0))</f>
        <v>0</v>
      </c>
      <c r="M1607">
        <f>IF(OR($E1607="",$E1606=""),"",MAX($E1606-$E1607,0))</f>
        <v>0</v>
      </c>
      <c r="N1607">
        <f>IF(COUNT($E$2:$E1607)&lt;15,"",IF(AVERAGE($M$1594:$M$1607)=0,100,100-100/(1+AVERAGE($L$1594:$L$1607)/AVERAGE($M$1594:$M$1607))))</f>
        <v>0</v>
      </c>
      <c r="O1607">
        <f>IF($E1607="","",IF($E1606="",$E1607,$E1607*0.1538461538+O1606*0.8461538462))</f>
        <v>0</v>
      </c>
      <c r="P1607">
        <f>IF($E1607="","",IF($E1606="",$E1607,$E1607*0.0740740741+P1606*0.9259259259))</f>
        <v>0</v>
      </c>
      <c r="Q1607">
        <f>IF(OR(O1607="",P1607=""),"",O1607-P1607)</f>
        <v>0</v>
      </c>
      <c r="R1607">
        <f>IF(Q1607="","",IF(R1606="",Q1607,Q1607*0.2000000000+R1606*0.8000000000))</f>
        <v>0</v>
      </c>
      <c r="S1607">
        <f>IF(OR(Q1607="",R1607=""),"",Q1607-R1607)</f>
        <v>0</v>
      </c>
      <c r="T1607">
        <f>IF(COUNT($E$2:$E1607)&lt;14,"",MAX($C$1594:$C$1607))</f>
        <v>0</v>
      </c>
      <c r="U1607">
        <f>IF(COUNT($E$2:$E1607)&lt;14,"",MIN($D$1594:$D$1607))</f>
        <v>0</v>
      </c>
      <c r="V1607">
        <f>IF(OR(T1607="",U1607="",T1607=U1607),"",100*($E1607-U1607)/(T1607-U1607))</f>
        <v>0</v>
      </c>
      <c r="W1607">
        <f>IF(COUNT($V$1605:$V$1607)&lt;3,"",AVERAGE($V$1605:$V$1607))</f>
        <v>0</v>
      </c>
      <c r="X1607">
        <f>IF(COUNT($N$1594:$N$1607)&lt;14,"",MIN($N$1594:$N$1607))</f>
        <v>0</v>
      </c>
      <c r="Y1607">
        <f>IF(COUNT($N$1594:$N$1607)&lt;14,"",MAX($N$1594:$N$1607))</f>
        <v>0</v>
      </c>
      <c r="Z1607">
        <f>IF(OR(N1607="",X1607="",Y1607="",Y1607=X1607),"",100*(N1607-X1607)/(Y1607-X1607))</f>
        <v>0</v>
      </c>
      <c r="AA1607">
        <f>IF(COUNT($Z$1605:$Z$1607)&lt;3,"",AVERAGE($Z$1605:$Z$1607))</f>
        <v>0</v>
      </c>
      <c r="AB1607">
        <f>IF(COUNT($AA$1605:$AA$1607)&lt;3,"",AVERAGE($AA$1605:$AA$1607))</f>
        <v>0</v>
      </c>
      <c r="AC1607">
        <f>IF($E1607="","",MAX($C1607-$D1607,ABS($C1607-$E1606),ABS($D1607-$E1606)))</f>
        <v>0</v>
      </c>
      <c r="AD1607">
        <f>IF(COUNT($E$2:$E1607)&lt;15,"",AVERAGE($AC$1594:$AC$1607))</f>
        <v>0</v>
      </c>
      <c r="AE1607">
        <f>IF(OR($E1607="",$E1606=""),"",IF(AND(($C1607-$C1606)&gt;($D1606-$D1607),($C1607-$C1606)&gt;0),$C1607-$C1606,0))</f>
        <v>0</v>
      </c>
      <c r="AF1607">
        <f>IF(OR($E1607="",$E1606=""),"",IF(AND(($D1606-$D1607)&gt;($C1607-$C1606),($D1606-$D1607)&gt;0),$D1606-$D1607,0))</f>
        <v>0</v>
      </c>
      <c r="AG1607">
        <f>IF(COUNT($E$2:$E1607)&lt;15,"",IF(SUM($AC$1594:$AC$1607)=0,0,100*SUM($AE$1594:$AE$1607)/SUM($AC$1594:$AC$1607)))</f>
        <v>0</v>
      </c>
      <c r="AH1607">
        <f>IF(COUNT($E$2:$E1607)&lt;15,"",IF(SUM($AC$1594:$AC$1607)=0,0,100*SUM($AF$1594:$AF$1607)/SUM($AC$1594:$AC$1607)))</f>
        <v>0</v>
      </c>
      <c r="AI1607">
        <f>IF(OR(AG1607="",AH1607=""),"",IF((AG1607+AH1607)=0,0,100*ABS(AG1607-AH1607)/(AG1607+AH1607)))</f>
        <v>0</v>
      </c>
      <c r="AJ1607">
        <f>IF(COUNT($AI$1594:$AI$1607)&lt;14,"",AVERAGE($AI$1594:$AI$1607))</f>
        <v>0</v>
      </c>
      <c r="AK1607">
        <f>IF(COUNT($E$2:$E1607)&lt;20,"",AVERAGE($E$1588:$E$1607))</f>
        <v>0</v>
      </c>
      <c r="AL1607">
        <f>IF(COUNT($E$2:$E1607)&lt;20,"",STDEVP($E$1588:$E$1607))</f>
        <v>0</v>
      </c>
      <c r="AM1607">
        <f>IF(AK1607="","",AK1607+2*AL1607)</f>
        <v>0</v>
      </c>
      <c r="AN1607">
        <f>IF(AK1607="","",AK1607-2*AL1607)</f>
        <v>0</v>
      </c>
      <c r="AO1607">
        <f>IF(OR(AM1607="",AN1607="",AM1607=AN1607),"",($E1607-AN1607)/(AM1607-AN1607))</f>
        <v>0</v>
      </c>
      <c r="AP1607">
        <f>IF(OR(AM1607="",AK1607="",AK1607=0),"",(AM1607-AN1607)/AK1607)</f>
        <v>0</v>
      </c>
      <c r="AQ1607">
        <f>IF(COUNT($E$2:$E1607)&lt;20,"",MAX($C$1588:$C$1607))</f>
        <v>0</v>
      </c>
      <c r="AR1607">
        <f>IF(COUNT($E$2:$E1607)&lt;20,"",MIN($D$1588:$D$1607))</f>
        <v>0</v>
      </c>
      <c r="AS1607">
        <f>IF(OR(AQ1607="",AR1607=""),"",(AQ1607+AR1607)/2)</f>
        <v>0</v>
      </c>
      <c r="AT1607">
        <f>IF(COUNT($G$1588:$G$1607)&lt;20,"",STDEV($G$1588:$G$1607)*SQRT(252))</f>
        <v>0</v>
      </c>
      <c r="AU1607">
        <f>IF(COUNT($E$2:$E1607)&lt;9,"",(MAX($C$1599:$C$1607)+MIN($D$1599:$D$1607))/2)</f>
        <v>0</v>
      </c>
      <c r="AV1607">
        <f>IF(COUNT($E$2:$E1607)&lt;26,"",(MAX($C$1582:$C$1607)+MIN($D$1582:$D$1607))/2)</f>
        <v>0</v>
      </c>
      <c r="AW1607">
        <f>IF(OR(AU1607="",AV1607=""),"",(AU1607+AV1607)/2)</f>
        <v>0</v>
      </c>
      <c r="AX1607">
        <f>IF(COUNT($E$2:$E1607)&lt;52,"",(MAX($C$1556:$C$1607)+MIN($D$1556:$D$1607))/2)</f>
        <v>0</v>
      </c>
      <c r="AY1607">
        <f>IF(COUNT($E$2:$E1607)&lt;20,"",MAX($C$1508:$C$1607))</f>
        <v>0</v>
      </c>
      <c r="AZ1607">
        <f>IF(COUNT($E$2:$E1607)&lt;20,"",MIN($D$1508:$D$1607))</f>
        <v>0</v>
      </c>
      <c r="BA1607">
        <f>IF(COUNT($E$2:$E1607)&lt;20,"",SLOPE($E$1508:$E$1607,$F$1508:$F$1607))</f>
        <v>0</v>
      </c>
      <c r="BB1607">
        <f>IF(COUNT($E$2:$E1607)&lt;20,"",INTERCEPT($E$1508:$E$1607,$F$1508:$F$1607))</f>
        <v>0</v>
      </c>
      <c r="BC1607">
        <f>IF(OR(BA1607="",BB1607=""),"",BB1607+BA1607*F1607)</f>
        <v>0</v>
      </c>
      <c r="BD1607">
        <f>IF(COUNT($E$2:$E1607)&lt;20,"",STEYX($E$1508:$E$1607,$F$1508:$F$1607))</f>
        <v>0</v>
      </c>
      <c r="BE1607">
        <f>IF($E1607="","",IF(AND(COUNT($E$1608:$E$1611)&gt;=4,$C1607=MAX($C$1603:$C$1611)),$C1607,""))</f>
        <v>0</v>
      </c>
      <c r="BF1607">
        <f>IF($E1607="","",IF(AND(COUNT($E$1608:$E$1611)&gt;=4,$D1607=MIN($D$1603:$D$1611)),$D1607,""))</f>
        <v>0</v>
      </c>
      <c r="BG1607">
        <f>IF($A1607="","",$A1607-WEEKDAY($A1607,2)+1)</f>
        <v>0</v>
      </c>
      <c r="BH1607">
        <f>IF($A1607="","",IF($A1606="",1,IF(BG1607&lt;&gt;BG1606,1,0)))</f>
        <v>0</v>
      </c>
      <c r="BI1607">
        <f>IF($A1607="","",IF($A1608="",1,IF(BG1608&lt;&gt;BG1607,1,0)))</f>
        <v>0</v>
      </c>
      <c r="BJ1607">
        <f>IF($A1607="","",IF(BH1607=1,$B1607,BJ1606))</f>
        <v>0</v>
      </c>
      <c r="BK1607">
        <f>IF($A1607="","",IF(BH1607=1,$C1607,MAX($C1607,BK1606)))</f>
        <v>0</v>
      </c>
      <c r="BL1607">
        <f>IF($A1607="","",IF(BH1607=1,$D1607,MIN($D1607,BL1606)))</f>
        <v>0</v>
      </c>
      <c r="BM1607">
        <f>IF($A1607="","",IF(BI1607=1,F1607,""))</f>
        <v>0</v>
      </c>
      <c r="BN1607">
        <f>IF($A1607="","",DATE(YEAR($A1607),MONTH($A1607),1))</f>
        <v>0</v>
      </c>
      <c r="BO1607">
        <f>IF($A1607="","",IF($A1606="",1,IF(BN1607&lt;&gt;BN1606,1,0)))</f>
        <v>0</v>
      </c>
      <c r="BP1607">
        <f>IF($A1607="","",IF($A1608="",1,IF(BN1608&lt;&gt;BN1607,1,0)))</f>
        <v>0</v>
      </c>
      <c r="BQ1607">
        <f>IF($A1607="","",IF(BO1607=1,$B1607,BQ1606))</f>
        <v>0</v>
      </c>
      <c r="BR1607">
        <f>IF($A1607="","",IF(BO1607=1,$C1607,MAX($C1607,BR1606)))</f>
        <v>0</v>
      </c>
      <c r="BS1607">
        <f>IF($A1607="","",IF(BO1607=1,$D1607,MIN($D1607,BS1606)))</f>
        <v>0</v>
      </c>
      <c r="BT1607">
        <f>IF($A1607="","",IF(BP1607=1,F1607,""))</f>
        <v>0</v>
      </c>
    </row>
    <row r="1608" spans="1:72">
      <c r="A1608" s="27">
        <f>IF(Data!$A1608="","",Data!$A1608)</f>
        <v>0</v>
      </c>
      <c r="B1608">
        <f>IF(Data!$B1608="","",Data!$B1608)</f>
        <v>0</v>
      </c>
      <c r="C1608">
        <f>IF(Data!$C1608="","",Data!$C1608)</f>
        <v>0</v>
      </c>
      <c r="D1608">
        <f>IF(Data!$D1608="","",Data!$D1608)</f>
        <v>0</v>
      </c>
      <c r="E1608">
        <f>IF(Data!$E1608="","",Data!$E1608)</f>
        <v>0</v>
      </c>
      <c r="F1608">
        <f>IF($E1608="","",N(F1607)+1)</f>
        <v>0</v>
      </c>
      <c r="G1608">
        <f>IF(OR($E1608="",$E1607=""),"",LN($E1608/$E1607))</f>
        <v>0</v>
      </c>
      <c r="H1608">
        <f>IF($E1608="","",IF($E1607="",$E1608,$E1608*0.0952380952+H1607*0.9047619048))</f>
        <v>0</v>
      </c>
      <c r="I1608">
        <f>IF($E1608="","",IF($E1607="",$E1608,$E1608*0.0392156863+I1607*0.9607843137))</f>
        <v>0</v>
      </c>
      <c r="J1608">
        <f>IF($E1608="","",IF($E1607="",$E1608,$E1608*0.0198019802+J1607*0.9801980198))</f>
        <v>0</v>
      </c>
      <c r="K1608">
        <f>IF($E1608="","",IF($E1607="",$E1608,$E1608*0.0099502488+K1607*0.9900497512))</f>
        <v>0</v>
      </c>
      <c r="L1608">
        <f>IF(OR($E1608="",$E1607=""),"",MAX($E1608-$E1607,0))</f>
        <v>0</v>
      </c>
      <c r="M1608">
        <f>IF(OR($E1608="",$E1607=""),"",MAX($E1607-$E1608,0))</f>
        <v>0</v>
      </c>
      <c r="N1608">
        <f>IF(COUNT($E$2:$E1608)&lt;15,"",IF(AVERAGE($M$1595:$M$1608)=0,100,100-100/(1+AVERAGE($L$1595:$L$1608)/AVERAGE($M$1595:$M$1608))))</f>
        <v>0</v>
      </c>
      <c r="O1608">
        <f>IF($E1608="","",IF($E1607="",$E1608,$E1608*0.1538461538+O1607*0.8461538462))</f>
        <v>0</v>
      </c>
      <c r="P1608">
        <f>IF($E1608="","",IF($E1607="",$E1608,$E1608*0.0740740741+P1607*0.9259259259))</f>
        <v>0</v>
      </c>
      <c r="Q1608">
        <f>IF(OR(O1608="",P1608=""),"",O1608-P1608)</f>
        <v>0</v>
      </c>
      <c r="R1608">
        <f>IF(Q1608="","",IF(R1607="",Q1608,Q1608*0.2000000000+R1607*0.8000000000))</f>
        <v>0</v>
      </c>
      <c r="S1608">
        <f>IF(OR(Q1608="",R1608=""),"",Q1608-R1608)</f>
        <v>0</v>
      </c>
      <c r="T1608">
        <f>IF(COUNT($E$2:$E1608)&lt;14,"",MAX($C$1595:$C$1608))</f>
        <v>0</v>
      </c>
      <c r="U1608">
        <f>IF(COUNT($E$2:$E1608)&lt;14,"",MIN($D$1595:$D$1608))</f>
        <v>0</v>
      </c>
      <c r="V1608">
        <f>IF(OR(T1608="",U1608="",T1608=U1608),"",100*($E1608-U1608)/(T1608-U1608))</f>
        <v>0</v>
      </c>
      <c r="W1608">
        <f>IF(COUNT($V$1606:$V$1608)&lt;3,"",AVERAGE($V$1606:$V$1608))</f>
        <v>0</v>
      </c>
      <c r="X1608">
        <f>IF(COUNT($N$1595:$N$1608)&lt;14,"",MIN($N$1595:$N$1608))</f>
        <v>0</v>
      </c>
      <c r="Y1608">
        <f>IF(COUNT($N$1595:$N$1608)&lt;14,"",MAX($N$1595:$N$1608))</f>
        <v>0</v>
      </c>
      <c r="Z1608">
        <f>IF(OR(N1608="",X1608="",Y1608="",Y1608=X1608),"",100*(N1608-X1608)/(Y1608-X1608))</f>
        <v>0</v>
      </c>
      <c r="AA1608">
        <f>IF(COUNT($Z$1606:$Z$1608)&lt;3,"",AVERAGE($Z$1606:$Z$1608))</f>
        <v>0</v>
      </c>
      <c r="AB1608">
        <f>IF(COUNT($AA$1606:$AA$1608)&lt;3,"",AVERAGE($AA$1606:$AA$1608))</f>
        <v>0</v>
      </c>
      <c r="AC1608">
        <f>IF($E1608="","",MAX($C1608-$D1608,ABS($C1608-$E1607),ABS($D1608-$E1607)))</f>
        <v>0</v>
      </c>
      <c r="AD1608">
        <f>IF(COUNT($E$2:$E1608)&lt;15,"",AVERAGE($AC$1595:$AC$1608))</f>
        <v>0</v>
      </c>
      <c r="AE1608">
        <f>IF(OR($E1608="",$E1607=""),"",IF(AND(($C1608-$C1607)&gt;($D1607-$D1608),($C1608-$C1607)&gt;0),$C1608-$C1607,0))</f>
        <v>0</v>
      </c>
      <c r="AF1608">
        <f>IF(OR($E1608="",$E1607=""),"",IF(AND(($D1607-$D1608)&gt;($C1608-$C1607),($D1607-$D1608)&gt;0),$D1607-$D1608,0))</f>
        <v>0</v>
      </c>
      <c r="AG1608">
        <f>IF(COUNT($E$2:$E1608)&lt;15,"",IF(SUM($AC$1595:$AC$1608)=0,0,100*SUM($AE$1595:$AE$1608)/SUM($AC$1595:$AC$1608)))</f>
        <v>0</v>
      </c>
      <c r="AH1608">
        <f>IF(COUNT($E$2:$E1608)&lt;15,"",IF(SUM($AC$1595:$AC$1608)=0,0,100*SUM($AF$1595:$AF$1608)/SUM($AC$1595:$AC$1608)))</f>
        <v>0</v>
      </c>
      <c r="AI1608">
        <f>IF(OR(AG1608="",AH1608=""),"",IF((AG1608+AH1608)=0,0,100*ABS(AG1608-AH1608)/(AG1608+AH1608)))</f>
        <v>0</v>
      </c>
      <c r="AJ1608">
        <f>IF(COUNT($AI$1595:$AI$1608)&lt;14,"",AVERAGE($AI$1595:$AI$1608))</f>
        <v>0</v>
      </c>
      <c r="AK1608">
        <f>IF(COUNT($E$2:$E1608)&lt;20,"",AVERAGE($E$1589:$E$1608))</f>
        <v>0</v>
      </c>
      <c r="AL1608">
        <f>IF(COUNT($E$2:$E1608)&lt;20,"",STDEVP($E$1589:$E$1608))</f>
        <v>0</v>
      </c>
      <c r="AM1608">
        <f>IF(AK1608="","",AK1608+2*AL1608)</f>
        <v>0</v>
      </c>
      <c r="AN1608">
        <f>IF(AK1608="","",AK1608-2*AL1608)</f>
        <v>0</v>
      </c>
      <c r="AO1608">
        <f>IF(OR(AM1608="",AN1608="",AM1608=AN1608),"",($E1608-AN1608)/(AM1608-AN1608))</f>
        <v>0</v>
      </c>
      <c r="AP1608">
        <f>IF(OR(AM1608="",AK1608="",AK1608=0),"",(AM1608-AN1608)/AK1608)</f>
        <v>0</v>
      </c>
      <c r="AQ1608">
        <f>IF(COUNT($E$2:$E1608)&lt;20,"",MAX($C$1589:$C$1608))</f>
        <v>0</v>
      </c>
      <c r="AR1608">
        <f>IF(COUNT($E$2:$E1608)&lt;20,"",MIN($D$1589:$D$1608))</f>
        <v>0</v>
      </c>
      <c r="AS1608">
        <f>IF(OR(AQ1608="",AR1608=""),"",(AQ1608+AR1608)/2)</f>
        <v>0</v>
      </c>
      <c r="AT1608">
        <f>IF(COUNT($G$1589:$G$1608)&lt;20,"",STDEV($G$1589:$G$1608)*SQRT(252))</f>
        <v>0</v>
      </c>
      <c r="AU1608">
        <f>IF(COUNT($E$2:$E1608)&lt;9,"",(MAX($C$1600:$C$1608)+MIN($D$1600:$D$1608))/2)</f>
        <v>0</v>
      </c>
      <c r="AV1608">
        <f>IF(COUNT($E$2:$E1608)&lt;26,"",(MAX($C$1583:$C$1608)+MIN($D$1583:$D$1608))/2)</f>
        <v>0</v>
      </c>
      <c r="AW1608">
        <f>IF(OR(AU1608="",AV1608=""),"",(AU1608+AV1608)/2)</f>
        <v>0</v>
      </c>
      <c r="AX1608">
        <f>IF(COUNT($E$2:$E1608)&lt;52,"",(MAX($C$1557:$C$1608)+MIN($D$1557:$D$1608))/2)</f>
        <v>0</v>
      </c>
      <c r="AY1608">
        <f>IF(COUNT($E$2:$E1608)&lt;20,"",MAX($C$1509:$C$1608))</f>
        <v>0</v>
      </c>
      <c r="AZ1608">
        <f>IF(COUNT($E$2:$E1608)&lt;20,"",MIN($D$1509:$D$1608))</f>
        <v>0</v>
      </c>
      <c r="BA1608">
        <f>IF(COUNT($E$2:$E1608)&lt;20,"",SLOPE($E$1509:$E$1608,$F$1509:$F$1608))</f>
        <v>0</v>
      </c>
      <c r="BB1608">
        <f>IF(COUNT($E$2:$E1608)&lt;20,"",INTERCEPT($E$1509:$E$1608,$F$1509:$F$1608))</f>
        <v>0</v>
      </c>
      <c r="BC1608">
        <f>IF(OR(BA1608="",BB1608=""),"",BB1608+BA1608*F1608)</f>
        <v>0</v>
      </c>
      <c r="BD1608">
        <f>IF(COUNT($E$2:$E1608)&lt;20,"",STEYX($E$1509:$E$1608,$F$1509:$F$1608))</f>
        <v>0</v>
      </c>
      <c r="BE1608">
        <f>IF($E1608="","",IF(AND(COUNT($E$1609:$E$1612)&gt;=4,$C1608=MAX($C$1604:$C$1612)),$C1608,""))</f>
        <v>0</v>
      </c>
      <c r="BF1608">
        <f>IF($E1608="","",IF(AND(COUNT($E$1609:$E$1612)&gt;=4,$D1608=MIN($D$1604:$D$1612)),$D1608,""))</f>
        <v>0</v>
      </c>
      <c r="BG1608">
        <f>IF($A1608="","",$A1608-WEEKDAY($A1608,2)+1)</f>
        <v>0</v>
      </c>
      <c r="BH1608">
        <f>IF($A1608="","",IF($A1607="",1,IF(BG1608&lt;&gt;BG1607,1,0)))</f>
        <v>0</v>
      </c>
      <c r="BI1608">
        <f>IF($A1608="","",IF($A1609="",1,IF(BG1609&lt;&gt;BG1608,1,0)))</f>
        <v>0</v>
      </c>
      <c r="BJ1608">
        <f>IF($A1608="","",IF(BH1608=1,$B1608,BJ1607))</f>
        <v>0</v>
      </c>
      <c r="BK1608">
        <f>IF($A1608="","",IF(BH1608=1,$C1608,MAX($C1608,BK1607)))</f>
        <v>0</v>
      </c>
      <c r="BL1608">
        <f>IF($A1608="","",IF(BH1608=1,$D1608,MIN($D1608,BL1607)))</f>
        <v>0</v>
      </c>
      <c r="BM1608">
        <f>IF($A1608="","",IF(BI1608=1,F1608,""))</f>
        <v>0</v>
      </c>
      <c r="BN1608">
        <f>IF($A1608="","",DATE(YEAR($A1608),MONTH($A1608),1))</f>
        <v>0</v>
      </c>
      <c r="BO1608">
        <f>IF($A1608="","",IF($A1607="",1,IF(BN1608&lt;&gt;BN1607,1,0)))</f>
        <v>0</v>
      </c>
      <c r="BP1608">
        <f>IF($A1608="","",IF($A1609="",1,IF(BN1609&lt;&gt;BN1608,1,0)))</f>
        <v>0</v>
      </c>
      <c r="BQ1608">
        <f>IF($A1608="","",IF(BO1608=1,$B1608,BQ1607))</f>
        <v>0</v>
      </c>
      <c r="BR1608">
        <f>IF($A1608="","",IF(BO1608=1,$C1608,MAX($C1608,BR1607)))</f>
        <v>0</v>
      </c>
      <c r="BS1608">
        <f>IF($A1608="","",IF(BO1608=1,$D1608,MIN($D1608,BS1607)))</f>
        <v>0</v>
      </c>
      <c r="BT1608">
        <f>IF($A1608="","",IF(BP1608=1,F1608,""))</f>
        <v>0</v>
      </c>
    </row>
    <row r="1609" spans="1:72">
      <c r="A1609" s="27">
        <f>IF(Data!$A1609="","",Data!$A1609)</f>
        <v>0</v>
      </c>
      <c r="B1609">
        <f>IF(Data!$B1609="","",Data!$B1609)</f>
        <v>0</v>
      </c>
      <c r="C1609">
        <f>IF(Data!$C1609="","",Data!$C1609)</f>
        <v>0</v>
      </c>
      <c r="D1609">
        <f>IF(Data!$D1609="","",Data!$D1609)</f>
        <v>0</v>
      </c>
      <c r="E1609">
        <f>IF(Data!$E1609="","",Data!$E1609)</f>
        <v>0</v>
      </c>
      <c r="F1609">
        <f>IF($E1609="","",N(F1608)+1)</f>
        <v>0</v>
      </c>
      <c r="G1609">
        <f>IF(OR($E1609="",$E1608=""),"",LN($E1609/$E1608))</f>
        <v>0</v>
      </c>
      <c r="H1609">
        <f>IF($E1609="","",IF($E1608="",$E1609,$E1609*0.0952380952+H1608*0.9047619048))</f>
        <v>0</v>
      </c>
      <c r="I1609">
        <f>IF($E1609="","",IF($E1608="",$E1609,$E1609*0.0392156863+I1608*0.9607843137))</f>
        <v>0</v>
      </c>
      <c r="J1609">
        <f>IF($E1609="","",IF($E1608="",$E1609,$E1609*0.0198019802+J1608*0.9801980198))</f>
        <v>0</v>
      </c>
      <c r="K1609">
        <f>IF($E1609="","",IF($E1608="",$E1609,$E1609*0.0099502488+K1608*0.9900497512))</f>
        <v>0</v>
      </c>
      <c r="L1609">
        <f>IF(OR($E1609="",$E1608=""),"",MAX($E1609-$E1608,0))</f>
        <v>0</v>
      </c>
      <c r="M1609">
        <f>IF(OR($E1609="",$E1608=""),"",MAX($E1608-$E1609,0))</f>
        <v>0</v>
      </c>
      <c r="N1609">
        <f>IF(COUNT($E$2:$E1609)&lt;15,"",IF(AVERAGE($M$1596:$M$1609)=0,100,100-100/(1+AVERAGE($L$1596:$L$1609)/AVERAGE($M$1596:$M$1609))))</f>
        <v>0</v>
      </c>
      <c r="O1609">
        <f>IF($E1609="","",IF($E1608="",$E1609,$E1609*0.1538461538+O1608*0.8461538462))</f>
        <v>0</v>
      </c>
      <c r="P1609">
        <f>IF($E1609="","",IF($E1608="",$E1609,$E1609*0.0740740741+P1608*0.9259259259))</f>
        <v>0</v>
      </c>
      <c r="Q1609">
        <f>IF(OR(O1609="",P1609=""),"",O1609-P1609)</f>
        <v>0</v>
      </c>
      <c r="R1609">
        <f>IF(Q1609="","",IF(R1608="",Q1609,Q1609*0.2000000000+R1608*0.8000000000))</f>
        <v>0</v>
      </c>
      <c r="S1609">
        <f>IF(OR(Q1609="",R1609=""),"",Q1609-R1609)</f>
        <v>0</v>
      </c>
      <c r="T1609">
        <f>IF(COUNT($E$2:$E1609)&lt;14,"",MAX($C$1596:$C$1609))</f>
        <v>0</v>
      </c>
      <c r="U1609">
        <f>IF(COUNT($E$2:$E1609)&lt;14,"",MIN($D$1596:$D$1609))</f>
        <v>0</v>
      </c>
      <c r="V1609">
        <f>IF(OR(T1609="",U1609="",T1609=U1609),"",100*($E1609-U1609)/(T1609-U1609))</f>
        <v>0</v>
      </c>
      <c r="W1609">
        <f>IF(COUNT($V$1607:$V$1609)&lt;3,"",AVERAGE($V$1607:$V$1609))</f>
        <v>0</v>
      </c>
      <c r="X1609">
        <f>IF(COUNT($N$1596:$N$1609)&lt;14,"",MIN($N$1596:$N$1609))</f>
        <v>0</v>
      </c>
      <c r="Y1609">
        <f>IF(COUNT($N$1596:$N$1609)&lt;14,"",MAX($N$1596:$N$1609))</f>
        <v>0</v>
      </c>
      <c r="Z1609">
        <f>IF(OR(N1609="",X1609="",Y1609="",Y1609=X1609),"",100*(N1609-X1609)/(Y1609-X1609))</f>
        <v>0</v>
      </c>
      <c r="AA1609">
        <f>IF(COUNT($Z$1607:$Z$1609)&lt;3,"",AVERAGE($Z$1607:$Z$1609))</f>
        <v>0</v>
      </c>
      <c r="AB1609">
        <f>IF(COUNT($AA$1607:$AA$1609)&lt;3,"",AVERAGE($AA$1607:$AA$1609))</f>
        <v>0</v>
      </c>
      <c r="AC1609">
        <f>IF($E1609="","",MAX($C1609-$D1609,ABS($C1609-$E1608),ABS($D1609-$E1608)))</f>
        <v>0</v>
      </c>
      <c r="AD1609">
        <f>IF(COUNT($E$2:$E1609)&lt;15,"",AVERAGE($AC$1596:$AC$1609))</f>
        <v>0</v>
      </c>
      <c r="AE1609">
        <f>IF(OR($E1609="",$E1608=""),"",IF(AND(($C1609-$C1608)&gt;($D1608-$D1609),($C1609-$C1608)&gt;0),$C1609-$C1608,0))</f>
        <v>0</v>
      </c>
      <c r="AF1609">
        <f>IF(OR($E1609="",$E1608=""),"",IF(AND(($D1608-$D1609)&gt;($C1609-$C1608),($D1608-$D1609)&gt;0),$D1608-$D1609,0))</f>
        <v>0</v>
      </c>
      <c r="AG1609">
        <f>IF(COUNT($E$2:$E1609)&lt;15,"",IF(SUM($AC$1596:$AC$1609)=0,0,100*SUM($AE$1596:$AE$1609)/SUM($AC$1596:$AC$1609)))</f>
        <v>0</v>
      </c>
      <c r="AH1609">
        <f>IF(COUNT($E$2:$E1609)&lt;15,"",IF(SUM($AC$1596:$AC$1609)=0,0,100*SUM($AF$1596:$AF$1609)/SUM($AC$1596:$AC$1609)))</f>
        <v>0</v>
      </c>
      <c r="AI1609">
        <f>IF(OR(AG1609="",AH1609=""),"",IF((AG1609+AH1609)=0,0,100*ABS(AG1609-AH1609)/(AG1609+AH1609)))</f>
        <v>0</v>
      </c>
      <c r="AJ1609">
        <f>IF(COUNT($AI$1596:$AI$1609)&lt;14,"",AVERAGE($AI$1596:$AI$1609))</f>
        <v>0</v>
      </c>
      <c r="AK1609">
        <f>IF(COUNT($E$2:$E1609)&lt;20,"",AVERAGE($E$1590:$E$1609))</f>
        <v>0</v>
      </c>
      <c r="AL1609">
        <f>IF(COUNT($E$2:$E1609)&lt;20,"",STDEVP($E$1590:$E$1609))</f>
        <v>0</v>
      </c>
      <c r="AM1609">
        <f>IF(AK1609="","",AK1609+2*AL1609)</f>
        <v>0</v>
      </c>
      <c r="AN1609">
        <f>IF(AK1609="","",AK1609-2*AL1609)</f>
        <v>0</v>
      </c>
      <c r="AO1609">
        <f>IF(OR(AM1609="",AN1609="",AM1609=AN1609),"",($E1609-AN1609)/(AM1609-AN1609))</f>
        <v>0</v>
      </c>
      <c r="AP1609">
        <f>IF(OR(AM1609="",AK1609="",AK1609=0),"",(AM1609-AN1609)/AK1609)</f>
        <v>0</v>
      </c>
      <c r="AQ1609">
        <f>IF(COUNT($E$2:$E1609)&lt;20,"",MAX($C$1590:$C$1609))</f>
        <v>0</v>
      </c>
      <c r="AR1609">
        <f>IF(COUNT($E$2:$E1609)&lt;20,"",MIN($D$1590:$D$1609))</f>
        <v>0</v>
      </c>
      <c r="AS1609">
        <f>IF(OR(AQ1609="",AR1609=""),"",(AQ1609+AR1609)/2)</f>
        <v>0</v>
      </c>
      <c r="AT1609">
        <f>IF(COUNT($G$1590:$G$1609)&lt;20,"",STDEV($G$1590:$G$1609)*SQRT(252))</f>
        <v>0</v>
      </c>
      <c r="AU1609">
        <f>IF(COUNT($E$2:$E1609)&lt;9,"",(MAX($C$1601:$C$1609)+MIN($D$1601:$D$1609))/2)</f>
        <v>0</v>
      </c>
      <c r="AV1609">
        <f>IF(COUNT($E$2:$E1609)&lt;26,"",(MAX($C$1584:$C$1609)+MIN($D$1584:$D$1609))/2)</f>
        <v>0</v>
      </c>
      <c r="AW1609">
        <f>IF(OR(AU1609="",AV1609=""),"",(AU1609+AV1609)/2)</f>
        <v>0</v>
      </c>
      <c r="AX1609">
        <f>IF(COUNT($E$2:$E1609)&lt;52,"",(MAX($C$1558:$C$1609)+MIN($D$1558:$D$1609))/2)</f>
        <v>0</v>
      </c>
      <c r="AY1609">
        <f>IF(COUNT($E$2:$E1609)&lt;20,"",MAX($C$1510:$C$1609))</f>
        <v>0</v>
      </c>
      <c r="AZ1609">
        <f>IF(COUNT($E$2:$E1609)&lt;20,"",MIN($D$1510:$D$1609))</f>
        <v>0</v>
      </c>
      <c r="BA1609">
        <f>IF(COUNT($E$2:$E1609)&lt;20,"",SLOPE($E$1510:$E$1609,$F$1510:$F$1609))</f>
        <v>0</v>
      </c>
      <c r="BB1609">
        <f>IF(COUNT($E$2:$E1609)&lt;20,"",INTERCEPT($E$1510:$E$1609,$F$1510:$F$1609))</f>
        <v>0</v>
      </c>
      <c r="BC1609">
        <f>IF(OR(BA1609="",BB1609=""),"",BB1609+BA1609*F1609)</f>
        <v>0</v>
      </c>
      <c r="BD1609">
        <f>IF(COUNT($E$2:$E1609)&lt;20,"",STEYX($E$1510:$E$1609,$F$1510:$F$1609))</f>
        <v>0</v>
      </c>
      <c r="BE1609">
        <f>IF($E1609="","",IF(AND(COUNT($E$1610:$E$1613)&gt;=4,$C1609=MAX($C$1605:$C$1613)),$C1609,""))</f>
        <v>0</v>
      </c>
      <c r="BF1609">
        <f>IF($E1609="","",IF(AND(COUNT($E$1610:$E$1613)&gt;=4,$D1609=MIN($D$1605:$D$1613)),$D1609,""))</f>
        <v>0</v>
      </c>
      <c r="BG1609">
        <f>IF($A1609="","",$A1609-WEEKDAY($A1609,2)+1)</f>
        <v>0</v>
      </c>
      <c r="BH1609">
        <f>IF($A1609="","",IF($A1608="",1,IF(BG1609&lt;&gt;BG1608,1,0)))</f>
        <v>0</v>
      </c>
      <c r="BI1609">
        <f>IF($A1609="","",IF($A1610="",1,IF(BG1610&lt;&gt;BG1609,1,0)))</f>
        <v>0</v>
      </c>
      <c r="BJ1609">
        <f>IF($A1609="","",IF(BH1609=1,$B1609,BJ1608))</f>
        <v>0</v>
      </c>
      <c r="BK1609">
        <f>IF($A1609="","",IF(BH1609=1,$C1609,MAX($C1609,BK1608)))</f>
        <v>0</v>
      </c>
      <c r="BL1609">
        <f>IF($A1609="","",IF(BH1609=1,$D1609,MIN($D1609,BL1608)))</f>
        <v>0</v>
      </c>
      <c r="BM1609">
        <f>IF($A1609="","",IF(BI1609=1,F1609,""))</f>
        <v>0</v>
      </c>
      <c r="BN1609">
        <f>IF($A1609="","",DATE(YEAR($A1609),MONTH($A1609),1))</f>
        <v>0</v>
      </c>
      <c r="BO1609">
        <f>IF($A1609="","",IF($A1608="",1,IF(BN1609&lt;&gt;BN1608,1,0)))</f>
        <v>0</v>
      </c>
      <c r="BP1609">
        <f>IF($A1609="","",IF($A1610="",1,IF(BN1610&lt;&gt;BN1609,1,0)))</f>
        <v>0</v>
      </c>
      <c r="BQ1609">
        <f>IF($A1609="","",IF(BO1609=1,$B1609,BQ1608))</f>
        <v>0</v>
      </c>
      <c r="BR1609">
        <f>IF($A1609="","",IF(BO1609=1,$C1609,MAX($C1609,BR1608)))</f>
        <v>0</v>
      </c>
      <c r="BS1609">
        <f>IF($A1609="","",IF(BO1609=1,$D1609,MIN($D1609,BS1608)))</f>
        <v>0</v>
      </c>
      <c r="BT1609">
        <f>IF($A1609="","",IF(BP1609=1,F1609,""))</f>
        <v>0</v>
      </c>
    </row>
    <row r="1610" spans="1:72">
      <c r="A1610" s="27">
        <f>IF(Data!$A1610="","",Data!$A1610)</f>
        <v>0</v>
      </c>
      <c r="B1610">
        <f>IF(Data!$B1610="","",Data!$B1610)</f>
        <v>0</v>
      </c>
      <c r="C1610">
        <f>IF(Data!$C1610="","",Data!$C1610)</f>
        <v>0</v>
      </c>
      <c r="D1610">
        <f>IF(Data!$D1610="","",Data!$D1610)</f>
        <v>0</v>
      </c>
      <c r="E1610">
        <f>IF(Data!$E1610="","",Data!$E1610)</f>
        <v>0</v>
      </c>
      <c r="F1610">
        <f>IF($E1610="","",N(F1609)+1)</f>
        <v>0</v>
      </c>
      <c r="G1610">
        <f>IF(OR($E1610="",$E1609=""),"",LN($E1610/$E1609))</f>
        <v>0</v>
      </c>
      <c r="H1610">
        <f>IF($E1610="","",IF($E1609="",$E1610,$E1610*0.0952380952+H1609*0.9047619048))</f>
        <v>0</v>
      </c>
      <c r="I1610">
        <f>IF($E1610="","",IF($E1609="",$E1610,$E1610*0.0392156863+I1609*0.9607843137))</f>
        <v>0</v>
      </c>
      <c r="J1610">
        <f>IF($E1610="","",IF($E1609="",$E1610,$E1610*0.0198019802+J1609*0.9801980198))</f>
        <v>0</v>
      </c>
      <c r="K1610">
        <f>IF($E1610="","",IF($E1609="",$E1610,$E1610*0.0099502488+K1609*0.9900497512))</f>
        <v>0</v>
      </c>
      <c r="L1610">
        <f>IF(OR($E1610="",$E1609=""),"",MAX($E1610-$E1609,0))</f>
        <v>0</v>
      </c>
      <c r="M1610">
        <f>IF(OR($E1610="",$E1609=""),"",MAX($E1609-$E1610,0))</f>
        <v>0</v>
      </c>
      <c r="N1610">
        <f>IF(COUNT($E$2:$E1610)&lt;15,"",IF(AVERAGE($M$1597:$M$1610)=0,100,100-100/(1+AVERAGE($L$1597:$L$1610)/AVERAGE($M$1597:$M$1610))))</f>
        <v>0</v>
      </c>
      <c r="O1610">
        <f>IF($E1610="","",IF($E1609="",$E1610,$E1610*0.1538461538+O1609*0.8461538462))</f>
        <v>0</v>
      </c>
      <c r="P1610">
        <f>IF($E1610="","",IF($E1609="",$E1610,$E1610*0.0740740741+P1609*0.9259259259))</f>
        <v>0</v>
      </c>
      <c r="Q1610">
        <f>IF(OR(O1610="",P1610=""),"",O1610-P1610)</f>
        <v>0</v>
      </c>
      <c r="R1610">
        <f>IF(Q1610="","",IF(R1609="",Q1610,Q1610*0.2000000000+R1609*0.8000000000))</f>
        <v>0</v>
      </c>
      <c r="S1610">
        <f>IF(OR(Q1610="",R1610=""),"",Q1610-R1610)</f>
        <v>0</v>
      </c>
      <c r="T1610">
        <f>IF(COUNT($E$2:$E1610)&lt;14,"",MAX($C$1597:$C$1610))</f>
        <v>0</v>
      </c>
      <c r="U1610">
        <f>IF(COUNT($E$2:$E1610)&lt;14,"",MIN($D$1597:$D$1610))</f>
        <v>0</v>
      </c>
      <c r="V1610">
        <f>IF(OR(T1610="",U1610="",T1610=U1610),"",100*($E1610-U1610)/(T1610-U1610))</f>
        <v>0</v>
      </c>
      <c r="W1610">
        <f>IF(COUNT($V$1608:$V$1610)&lt;3,"",AVERAGE($V$1608:$V$1610))</f>
        <v>0</v>
      </c>
      <c r="X1610">
        <f>IF(COUNT($N$1597:$N$1610)&lt;14,"",MIN($N$1597:$N$1610))</f>
        <v>0</v>
      </c>
      <c r="Y1610">
        <f>IF(COUNT($N$1597:$N$1610)&lt;14,"",MAX($N$1597:$N$1610))</f>
        <v>0</v>
      </c>
      <c r="Z1610">
        <f>IF(OR(N1610="",X1610="",Y1610="",Y1610=X1610),"",100*(N1610-X1610)/(Y1610-X1610))</f>
        <v>0</v>
      </c>
      <c r="AA1610">
        <f>IF(COUNT($Z$1608:$Z$1610)&lt;3,"",AVERAGE($Z$1608:$Z$1610))</f>
        <v>0</v>
      </c>
      <c r="AB1610">
        <f>IF(COUNT($AA$1608:$AA$1610)&lt;3,"",AVERAGE($AA$1608:$AA$1610))</f>
        <v>0</v>
      </c>
      <c r="AC1610">
        <f>IF($E1610="","",MAX($C1610-$D1610,ABS($C1610-$E1609),ABS($D1610-$E1609)))</f>
        <v>0</v>
      </c>
      <c r="AD1610">
        <f>IF(COUNT($E$2:$E1610)&lt;15,"",AVERAGE($AC$1597:$AC$1610))</f>
        <v>0</v>
      </c>
      <c r="AE1610">
        <f>IF(OR($E1610="",$E1609=""),"",IF(AND(($C1610-$C1609)&gt;($D1609-$D1610),($C1610-$C1609)&gt;0),$C1610-$C1609,0))</f>
        <v>0</v>
      </c>
      <c r="AF1610">
        <f>IF(OR($E1610="",$E1609=""),"",IF(AND(($D1609-$D1610)&gt;($C1610-$C1609),($D1609-$D1610)&gt;0),$D1609-$D1610,0))</f>
        <v>0</v>
      </c>
      <c r="AG1610">
        <f>IF(COUNT($E$2:$E1610)&lt;15,"",IF(SUM($AC$1597:$AC$1610)=0,0,100*SUM($AE$1597:$AE$1610)/SUM($AC$1597:$AC$1610)))</f>
        <v>0</v>
      </c>
      <c r="AH1610">
        <f>IF(COUNT($E$2:$E1610)&lt;15,"",IF(SUM($AC$1597:$AC$1610)=0,0,100*SUM($AF$1597:$AF$1610)/SUM($AC$1597:$AC$1610)))</f>
        <v>0</v>
      </c>
      <c r="AI1610">
        <f>IF(OR(AG1610="",AH1610=""),"",IF((AG1610+AH1610)=0,0,100*ABS(AG1610-AH1610)/(AG1610+AH1610)))</f>
        <v>0</v>
      </c>
      <c r="AJ1610">
        <f>IF(COUNT($AI$1597:$AI$1610)&lt;14,"",AVERAGE($AI$1597:$AI$1610))</f>
        <v>0</v>
      </c>
      <c r="AK1610">
        <f>IF(COUNT($E$2:$E1610)&lt;20,"",AVERAGE($E$1591:$E$1610))</f>
        <v>0</v>
      </c>
      <c r="AL1610">
        <f>IF(COUNT($E$2:$E1610)&lt;20,"",STDEVP($E$1591:$E$1610))</f>
        <v>0</v>
      </c>
      <c r="AM1610">
        <f>IF(AK1610="","",AK1610+2*AL1610)</f>
        <v>0</v>
      </c>
      <c r="AN1610">
        <f>IF(AK1610="","",AK1610-2*AL1610)</f>
        <v>0</v>
      </c>
      <c r="AO1610">
        <f>IF(OR(AM1610="",AN1610="",AM1610=AN1610),"",($E1610-AN1610)/(AM1610-AN1610))</f>
        <v>0</v>
      </c>
      <c r="AP1610">
        <f>IF(OR(AM1610="",AK1610="",AK1610=0),"",(AM1610-AN1610)/AK1610)</f>
        <v>0</v>
      </c>
      <c r="AQ1610">
        <f>IF(COUNT($E$2:$E1610)&lt;20,"",MAX($C$1591:$C$1610))</f>
        <v>0</v>
      </c>
      <c r="AR1610">
        <f>IF(COUNT($E$2:$E1610)&lt;20,"",MIN($D$1591:$D$1610))</f>
        <v>0</v>
      </c>
      <c r="AS1610">
        <f>IF(OR(AQ1610="",AR1610=""),"",(AQ1610+AR1610)/2)</f>
        <v>0</v>
      </c>
      <c r="AT1610">
        <f>IF(COUNT($G$1591:$G$1610)&lt;20,"",STDEV($G$1591:$G$1610)*SQRT(252))</f>
        <v>0</v>
      </c>
      <c r="AU1610">
        <f>IF(COUNT($E$2:$E1610)&lt;9,"",(MAX($C$1602:$C$1610)+MIN($D$1602:$D$1610))/2)</f>
        <v>0</v>
      </c>
      <c r="AV1610">
        <f>IF(COUNT($E$2:$E1610)&lt;26,"",(MAX($C$1585:$C$1610)+MIN($D$1585:$D$1610))/2)</f>
        <v>0</v>
      </c>
      <c r="AW1610">
        <f>IF(OR(AU1610="",AV1610=""),"",(AU1610+AV1610)/2)</f>
        <v>0</v>
      </c>
      <c r="AX1610">
        <f>IF(COUNT($E$2:$E1610)&lt;52,"",(MAX($C$1559:$C$1610)+MIN($D$1559:$D$1610))/2)</f>
        <v>0</v>
      </c>
      <c r="AY1610">
        <f>IF(COUNT($E$2:$E1610)&lt;20,"",MAX($C$1511:$C$1610))</f>
        <v>0</v>
      </c>
      <c r="AZ1610">
        <f>IF(COUNT($E$2:$E1610)&lt;20,"",MIN($D$1511:$D$1610))</f>
        <v>0</v>
      </c>
      <c r="BA1610">
        <f>IF(COUNT($E$2:$E1610)&lt;20,"",SLOPE($E$1511:$E$1610,$F$1511:$F$1610))</f>
        <v>0</v>
      </c>
      <c r="BB1610">
        <f>IF(COUNT($E$2:$E1610)&lt;20,"",INTERCEPT($E$1511:$E$1610,$F$1511:$F$1610))</f>
        <v>0</v>
      </c>
      <c r="BC1610">
        <f>IF(OR(BA1610="",BB1610=""),"",BB1610+BA1610*F1610)</f>
        <v>0</v>
      </c>
      <c r="BD1610">
        <f>IF(COUNT($E$2:$E1610)&lt;20,"",STEYX($E$1511:$E$1610,$F$1511:$F$1610))</f>
        <v>0</v>
      </c>
      <c r="BE1610">
        <f>IF($E1610="","",IF(AND(COUNT($E$1611:$E$1614)&gt;=4,$C1610=MAX($C$1606:$C$1614)),$C1610,""))</f>
        <v>0</v>
      </c>
      <c r="BF1610">
        <f>IF($E1610="","",IF(AND(COUNT($E$1611:$E$1614)&gt;=4,$D1610=MIN($D$1606:$D$1614)),$D1610,""))</f>
        <v>0</v>
      </c>
      <c r="BG1610">
        <f>IF($A1610="","",$A1610-WEEKDAY($A1610,2)+1)</f>
        <v>0</v>
      </c>
      <c r="BH1610">
        <f>IF($A1610="","",IF($A1609="",1,IF(BG1610&lt;&gt;BG1609,1,0)))</f>
        <v>0</v>
      </c>
      <c r="BI1610">
        <f>IF($A1610="","",IF($A1611="",1,IF(BG1611&lt;&gt;BG1610,1,0)))</f>
        <v>0</v>
      </c>
      <c r="BJ1610">
        <f>IF($A1610="","",IF(BH1610=1,$B1610,BJ1609))</f>
        <v>0</v>
      </c>
      <c r="BK1610">
        <f>IF($A1610="","",IF(BH1610=1,$C1610,MAX($C1610,BK1609)))</f>
        <v>0</v>
      </c>
      <c r="BL1610">
        <f>IF($A1610="","",IF(BH1610=1,$D1610,MIN($D1610,BL1609)))</f>
        <v>0</v>
      </c>
      <c r="BM1610">
        <f>IF($A1610="","",IF(BI1610=1,F1610,""))</f>
        <v>0</v>
      </c>
      <c r="BN1610">
        <f>IF($A1610="","",DATE(YEAR($A1610),MONTH($A1610),1))</f>
        <v>0</v>
      </c>
      <c r="BO1610">
        <f>IF($A1610="","",IF($A1609="",1,IF(BN1610&lt;&gt;BN1609,1,0)))</f>
        <v>0</v>
      </c>
      <c r="BP1610">
        <f>IF($A1610="","",IF($A1611="",1,IF(BN1611&lt;&gt;BN1610,1,0)))</f>
        <v>0</v>
      </c>
      <c r="BQ1610">
        <f>IF($A1610="","",IF(BO1610=1,$B1610,BQ1609))</f>
        <v>0</v>
      </c>
      <c r="BR1610">
        <f>IF($A1610="","",IF(BO1610=1,$C1610,MAX($C1610,BR1609)))</f>
        <v>0</v>
      </c>
      <c r="BS1610">
        <f>IF($A1610="","",IF(BO1610=1,$D1610,MIN($D1610,BS1609)))</f>
        <v>0</v>
      </c>
      <c r="BT1610">
        <f>IF($A1610="","",IF(BP1610=1,F1610,""))</f>
        <v>0</v>
      </c>
    </row>
    <row r="1611" spans="1:72">
      <c r="A1611" s="27">
        <f>IF(Data!$A1611="","",Data!$A1611)</f>
        <v>0</v>
      </c>
      <c r="B1611">
        <f>IF(Data!$B1611="","",Data!$B1611)</f>
        <v>0</v>
      </c>
      <c r="C1611">
        <f>IF(Data!$C1611="","",Data!$C1611)</f>
        <v>0</v>
      </c>
      <c r="D1611">
        <f>IF(Data!$D1611="","",Data!$D1611)</f>
        <v>0</v>
      </c>
      <c r="E1611">
        <f>IF(Data!$E1611="","",Data!$E1611)</f>
        <v>0</v>
      </c>
      <c r="F1611">
        <f>IF($E1611="","",N(F1610)+1)</f>
        <v>0</v>
      </c>
      <c r="G1611">
        <f>IF(OR($E1611="",$E1610=""),"",LN($E1611/$E1610))</f>
        <v>0</v>
      </c>
      <c r="H1611">
        <f>IF($E1611="","",IF($E1610="",$E1611,$E1611*0.0952380952+H1610*0.9047619048))</f>
        <v>0</v>
      </c>
      <c r="I1611">
        <f>IF($E1611="","",IF($E1610="",$E1611,$E1611*0.0392156863+I1610*0.9607843137))</f>
        <v>0</v>
      </c>
      <c r="J1611">
        <f>IF($E1611="","",IF($E1610="",$E1611,$E1611*0.0198019802+J1610*0.9801980198))</f>
        <v>0</v>
      </c>
      <c r="K1611">
        <f>IF($E1611="","",IF($E1610="",$E1611,$E1611*0.0099502488+K1610*0.9900497512))</f>
        <v>0</v>
      </c>
      <c r="L1611">
        <f>IF(OR($E1611="",$E1610=""),"",MAX($E1611-$E1610,0))</f>
        <v>0</v>
      </c>
      <c r="M1611">
        <f>IF(OR($E1611="",$E1610=""),"",MAX($E1610-$E1611,0))</f>
        <v>0</v>
      </c>
      <c r="N1611">
        <f>IF(COUNT($E$2:$E1611)&lt;15,"",IF(AVERAGE($M$1598:$M$1611)=0,100,100-100/(1+AVERAGE($L$1598:$L$1611)/AVERAGE($M$1598:$M$1611))))</f>
        <v>0</v>
      </c>
      <c r="O1611">
        <f>IF($E1611="","",IF($E1610="",$E1611,$E1611*0.1538461538+O1610*0.8461538462))</f>
        <v>0</v>
      </c>
      <c r="P1611">
        <f>IF($E1611="","",IF($E1610="",$E1611,$E1611*0.0740740741+P1610*0.9259259259))</f>
        <v>0</v>
      </c>
      <c r="Q1611">
        <f>IF(OR(O1611="",P1611=""),"",O1611-P1611)</f>
        <v>0</v>
      </c>
      <c r="R1611">
        <f>IF(Q1611="","",IF(R1610="",Q1611,Q1611*0.2000000000+R1610*0.8000000000))</f>
        <v>0</v>
      </c>
      <c r="S1611">
        <f>IF(OR(Q1611="",R1611=""),"",Q1611-R1611)</f>
        <v>0</v>
      </c>
      <c r="T1611">
        <f>IF(COUNT($E$2:$E1611)&lt;14,"",MAX($C$1598:$C$1611))</f>
        <v>0</v>
      </c>
      <c r="U1611">
        <f>IF(COUNT($E$2:$E1611)&lt;14,"",MIN($D$1598:$D$1611))</f>
        <v>0</v>
      </c>
      <c r="V1611">
        <f>IF(OR(T1611="",U1611="",T1611=U1611),"",100*($E1611-U1611)/(T1611-U1611))</f>
        <v>0</v>
      </c>
      <c r="W1611">
        <f>IF(COUNT($V$1609:$V$1611)&lt;3,"",AVERAGE($V$1609:$V$1611))</f>
        <v>0</v>
      </c>
      <c r="X1611">
        <f>IF(COUNT($N$1598:$N$1611)&lt;14,"",MIN($N$1598:$N$1611))</f>
        <v>0</v>
      </c>
      <c r="Y1611">
        <f>IF(COUNT($N$1598:$N$1611)&lt;14,"",MAX($N$1598:$N$1611))</f>
        <v>0</v>
      </c>
      <c r="Z1611">
        <f>IF(OR(N1611="",X1611="",Y1611="",Y1611=X1611),"",100*(N1611-X1611)/(Y1611-X1611))</f>
        <v>0</v>
      </c>
      <c r="AA1611">
        <f>IF(COUNT($Z$1609:$Z$1611)&lt;3,"",AVERAGE($Z$1609:$Z$1611))</f>
        <v>0</v>
      </c>
      <c r="AB1611">
        <f>IF(COUNT($AA$1609:$AA$1611)&lt;3,"",AVERAGE($AA$1609:$AA$1611))</f>
        <v>0</v>
      </c>
      <c r="AC1611">
        <f>IF($E1611="","",MAX($C1611-$D1611,ABS($C1611-$E1610),ABS($D1611-$E1610)))</f>
        <v>0</v>
      </c>
      <c r="AD1611">
        <f>IF(COUNT($E$2:$E1611)&lt;15,"",AVERAGE($AC$1598:$AC$1611))</f>
        <v>0</v>
      </c>
      <c r="AE1611">
        <f>IF(OR($E1611="",$E1610=""),"",IF(AND(($C1611-$C1610)&gt;($D1610-$D1611),($C1611-$C1610)&gt;0),$C1611-$C1610,0))</f>
        <v>0</v>
      </c>
      <c r="AF1611">
        <f>IF(OR($E1611="",$E1610=""),"",IF(AND(($D1610-$D1611)&gt;($C1611-$C1610),($D1610-$D1611)&gt;0),$D1610-$D1611,0))</f>
        <v>0</v>
      </c>
      <c r="AG1611">
        <f>IF(COUNT($E$2:$E1611)&lt;15,"",IF(SUM($AC$1598:$AC$1611)=0,0,100*SUM($AE$1598:$AE$1611)/SUM($AC$1598:$AC$1611)))</f>
        <v>0</v>
      </c>
      <c r="AH1611">
        <f>IF(COUNT($E$2:$E1611)&lt;15,"",IF(SUM($AC$1598:$AC$1611)=0,0,100*SUM($AF$1598:$AF$1611)/SUM($AC$1598:$AC$1611)))</f>
        <v>0</v>
      </c>
      <c r="AI1611">
        <f>IF(OR(AG1611="",AH1611=""),"",IF((AG1611+AH1611)=0,0,100*ABS(AG1611-AH1611)/(AG1611+AH1611)))</f>
        <v>0</v>
      </c>
      <c r="AJ1611">
        <f>IF(COUNT($AI$1598:$AI$1611)&lt;14,"",AVERAGE($AI$1598:$AI$1611))</f>
        <v>0</v>
      </c>
      <c r="AK1611">
        <f>IF(COUNT($E$2:$E1611)&lt;20,"",AVERAGE($E$1592:$E$1611))</f>
        <v>0</v>
      </c>
      <c r="AL1611">
        <f>IF(COUNT($E$2:$E1611)&lt;20,"",STDEVP($E$1592:$E$1611))</f>
        <v>0</v>
      </c>
      <c r="AM1611">
        <f>IF(AK1611="","",AK1611+2*AL1611)</f>
        <v>0</v>
      </c>
      <c r="AN1611">
        <f>IF(AK1611="","",AK1611-2*AL1611)</f>
        <v>0</v>
      </c>
      <c r="AO1611">
        <f>IF(OR(AM1611="",AN1611="",AM1611=AN1611),"",($E1611-AN1611)/(AM1611-AN1611))</f>
        <v>0</v>
      </c>
      <c r="AP1611">
        <f>IF(OR(AM1611="",AK1611="",AK1611=0),"",(AM1611-AN1611)/AK1611)</f>
        <v>0</v>
      </c>
      <c r="AQ1611">
        <f>IF(COUNT($E$2:$E1611)&lt;20,"",MAX($C$1592:$C$1611))</f>
        <v>0</v>
      </c>
      <c r="AR1611">
        <f>IF(COUNT($E$2:$E1611)&lt;20,"",MIN($D$1592:$D$1611))</f>
        <v>0</v>
      </c>
      <c r="AS1611">
        <f>IF(OR(AQ1611="",AR1611=""),"",(AQ1611+AR1611)/2)</f>
        <v>0</v>
      </c>
      <c r="AT1611">
        <f>IF(COUNT($G$1592:$G$1611)&lt;20,"",STDEV($G$1592:$G$1611)*SQRT(252))</f>
        <v>0</v>
      </c>
      <c r="AU1611">
        <f>IF(COUNT($E$2:$E1611)&lt;9,"",(MAX($C$1603:$C$1611)+MIN($D$1603:$D$1611))/2)</f>
        <v>0</v>
      </c>
      <c r="AV1611">
        <f>IF(COUNT($E$2:$E1611)&lt;26,"",(MAX($C$1586:$C$1611)+MIN($D$1586:$D$1611))/2)</f>
        <v>0</v>
      </c>
      <c r="AW1611">
        <f>IF(OR(AU1611="",AV1611=""),"",(AU1611+AV1611)/2)</f>
        <v>0</v>
      </c>
      <c r="AX1611">
        <f>IF(COUNT($E$2:$E1611)&lt;52,"",(MAX($C$1560:$C$1611)+MIN($D$1560:$D$1611))/2)</f>
        <v>0</v>
      </c>
      <c r="AY1611">
        <f>IF(COUNT($E$2:$E1611)&lt;20,"",MAX($C$1512:$C$1611))</f>
        <v>0</v>
      </c>
      <c r="AZ1611">
        <f>IF(COUNT($E$2:$E1611)&lt;20,"",MIN($D$1512:$D$1611))</f>
        <v>0</v>
      </c>
      <c r="BA1611">
        <f>IF(COUNT($E$2:$E1611)&lt;20,"",SLOPE($E$1512:$E$1611,$F$1512:$F$1611))</f>
        <v>0</v>
      </c>
      <c r="BB1611">
        <f>IF(COUNT($E$2:$E1611)&lt;20,"",INTERCEPT($E$1512:$E$1611,$F$1512:$F$1611))</f>
        <v>0</v>
      </c>
      <c r="BC1611">
        <f>IF(OR(BA1611="",BB1611=""),"",BB1611+BA1611*F1611)</f>
        <v>0</v>
      </c>
      <c r="BD1611">
        <f>IF(COUNT($E$2:$E1611)&lt;20,"",STEYX($E$1512:$E$1611,$F$1512:$F$1611))</f>
        <v>0</v>
      </c>
      <c r="BE1611">
        <f>IF($E1611="","",IF(AND(COUNT($E$1612:$E$1615)&gt;=4,$C1611=MAX($C$1607:$C$1615)),$C1611,""))</f>
        <v>0</v>
      </c>
      <c r="BF1611">
        <f>IF($E1611="","",IF(AND(COUNT($E$1612:$E$1615)&gt;=4,$D1611=MIN($D$1607:$D$1615)),$D1611,""))</f>
        <v>0</v>
      </c>
      <c r="BG1611">
        <f>IF($A1611="","",$A1611-WEEKDAY($A1611,2)+1)</f>
        <v>0</v>
      </c>
      <c r="BH1611">
        <f>IF($A1611="","",IF($A1610="",1,IF(BG1611&lt;&gt;BG1610,1,0)))</f>
        <v>0</v>
      </c>
      <c r="BI1611">
        <f>IF($A1611="","",IF($A1612="",1,IF(BG1612&lt;&gt;BG1611,1,0)))</f>
        <v>0</v>
      </c>
      <c r="BJ1611">
        <f>IF($A1611="","",IF(BH1611=1,$B1611,BJ1610))</f>
        <v>0</v>
      </c>
      <c r="BK1611">
        <f>IF($A1611="","",IF(BH1611=1,$C1611,MAX($C1611,BK1610)))</f>
        <v>0</v>
      </c>
      <c r="BL1611">
        <f>IF($A1611="","",IF(BH1611=1,$D1611,MIN($D1611,BL1610)))</f>
        <v>0</v>
      </c>
      <c r="BM1611">
        <f>IF($A1611="","",IF(BI1611=1,F1611,""))</f>
        <v>0</v>
      </c>
      <c r="BN1611">
        <f>IF($A1611="","",DATE(YEAR($A1611),MONTH($A1611),1))</f>
        <v>0</v>
      </c>
      <c r="BO1611">
        <f>IF($A1611="","",IF($A1610="",1,IF(BN1611&lt;&gt;BN1610,1,0)))</f>
        <v>0</v>
      </c>
      <c r="BP1611">
        <f>IF($A1611="","",IF($A1612="",1,IF(BN1612&lt;&gt;BN1611,1,0)))</f>
        <v>0</v>
      </c>
      <c r="BQ1611">
        <f>IF($A1611="","",IF(BO1611=1,$B1611,BQ1610))</f>
        <v>0</v>
      </c>
      <c r="BR1611">
        <f>IF($A1611="","",IF(BO1611=1,$C1611,MAX($C1611,BR1610)))</f>
        <v>0</v>
      </c>
      <c r="BS1611">
        <f>IF($A1611="","",IF(BO1611=1,$D1611,MIN($D1611,BS1610)))</f>
        <v>0</v>
      </c>
      <c r="BT1611">
        <f>IF($A1611="","",IF(BP1611=1,F1611,""))</f>
        <v>0</v>
      </c>
    </row>
    <row r="1612" spans="1:72">
      <c r="A1612" s="27">
        <f>IF(Data!$A1612="","",Data!$A1612)</f>
        <v>0</v>
      </c>
      <c r="B1612">
        <f>IF(Data!$B1612="","",Data!$B1612)</f>
        <v>0</v>
      </c>
      <c r="C1612">
        <f>IF(Data!$C1612="","",Data!$C1612)</f>
        <v>0</v>
      </c>
      <c r="D1612">
        <f>IF(Data!$D1612="","",Data!$D1612)</f>
        <v>0</v>
      </c>
      <c r="E1612">
        <f>IF(Data!$E1612="","",Data!$E1612)</f>
        <v>0</v>
      </c>
      <c r="F1612">
        <f>IF($E1612="","",N(F1611)+1)</f>
        <v>0</v>
      </c>
      <c r="G1612">
        <f>IF(OR($E1612="",$E1611=""),"",LN($E1612/$E1611))</f>
        <v>0</v>
      </c>
      <c r="H1612">
        <f>IF($E1612="","",IF($E1611="",$E1612,$E1612*0.0952380952+H1611*0.9047619048))</f>
        <v>0</v>
      </c>
      <c r="I1612">
        <f>IF($E1612="","",IF($E1611="",$E1612,$E1612*0.0392156863+I1611*0.9607843137))</f>
        <v>0</v>
      </c>
      <c r="J1612">
        <f>IF($E1612="","",IF($E1611="",$E1612,$E1612*0.0198019802+J1611*0.9801980198))</f>
        <v>0</v>
      </c>
      <c r="K1612">
        <f>IF($E1612="","",IF($E1611="",$E1612,$E1612*0.0099502488+K1611*0.9900497512))</f>
        <v>0</v>
      </c>
      <c r="L1612">
        <f>IF(OR($E1612="",$E1611=""),"",MAX($E1612-$E1611,0))</f>
        <v>0</v>
      </c>
      <c r="M1612">
        <f>IF(OR($E1612="",$E1611=""),"",MAX($E1611-$E1612,0))</f>
        <v>0</v>
      </c>
      <c r="N1612">
        <f>IF(COUNT($E$2:$E1612)&lt;15,"",IF(AVERAGE($M$1599:$M$1612)=0,100,100-100/(1+AVERAGE($L$1599:$L$1612)/AVERAGE($M$1599:$M$1612))))</f>
        <v>0</v>
      </c>
      <c r="O1612">
        <f>IF($E1612="","",IF($E1611="",$E1612,$E1612*0.1538461538+O1611*0.8461538462))</f>
        <v>0</v>
      </c>
      <c r="P1612">
        <f>IF($E1612="","",IF($E1611="",$E1612,$E1612*0.0740740741+P1611*0.9259259259))</f>
        <v>0</v>
      </c>
      <c r="Q1612">
        <f>IF(OR(O1612="",P1612=""),"",O1612-P1612)</f>
        <v>0</v>
      </c>
      <c r="R1612">
        <f>IF(Q1612="","",IF(R1611="",Q1612,Q1612*0.2000000000+R1611*0.8000000000))</f>
        <v>0</v>
      </c>
      <c r="S1612">
        <f>IF(OR(Q1612="",R1612=""),"",Q1612-R1612)</f>
        <v>0</v>
      </c>
      <c r="T1612">
        <f>IF(COUNT($E$2:$E1612)&lt;14,"",MAX($C$1599:$C$1612))</f>
        <v>0</v>
      </c>
      <c r="U1612">
        <f>IF(COUNT($E$2:$E1612)&lt;14,"",MIN($D$1599:$D$1612))</f>
        <v>0</v>
      </c>
      <c r="V1612">
        <f>IF(OR(T1612="",U1612="",T1612=U1612),"",100*($E1612-U1612)/(T1612-U1612))</f>
        <v>0</v>
      </c>
      <c r="W1612">
        <f>IF(COUNT($V$1610:$V$1612)&lt;3,"",AVERAGE($V$1610:$V$1612))</f>
        <v>0</v>
      </c>
      <c r="X1612">
        <f>IF(COUNT($N$1599:$N$1612)&lt;14,"",MIN($N$1599:$N$1612))</f>
        <v>0</v>
      </c>
      <c r="Y1612">
        <f>IF(COUNT($N$1599:$N$1612)&lt;14,"",MAX($N$1599:$N$1612))</f>
        <v>0</v>
      </c>
      <c r="Z1612">
        <f>IF(OR(N1612="",X1612="",Y1612="",Y1612=X1612),"",100*(N1612-X1612)/(Y1612-X1612))</f>
        <v>0</v>
      </c>
      <c r="AA1612">
        <f>IF(COUNT($Z$1610:$Z$1612)&lt;3,"",AVERAGE($Z$1610:$Z$1612))</f>
        <v>0</v>
      </c>
      <c r="AB1612">
        <f>IF(COUNT($AA$1610:$AA$1612)&lt;3,"",AVERAGE($AA$1610:$AA$1612))</f>
        <v>0</v>
      </c>
      <c r="AC1612">
        <f>IF($E1612="","",MAX($C1612-$D1612,ABS($C1612-$E1611),ABS($D1612-$E1611)))</f>
        <v>0</v>
      </c>
      <c r="AD1612">
        <f>IF(COUNT($E$2:$E1612)&lt;15,"",AVERAGE($AC$1599:$AC$1612))</f>
        <v>0</v>
      </c>
      <c r="AE1612">
        <f>IF(OR($E1612="",$E1611=""),"",IF(AND(($C1612-$C1611)&gt;($D1611-$D1612),($C1612-$C1611)&gt;0),$C1612-$C1611,0))</f>
        <v>0</v>
      </c>
      <c r="AF1612">
        <f>IF(OR($E1612="",$E1611=""),"",IF(AND(($D1611-$D1612)&gt;($C1612-$C1611),($D1611-$D1612)&gt;0),$D1611-$D1612,0))</f>
        <v>0</v>
      </c>
      <c r="AG1612">
        <f>IF(COUNT($E$2:$E1612)&lt;15,"",IF(SUM($AC$1599:$AC$1612)=0,0,100*SUM($AE$1599:$AE$1612)/SUM($AC$1599:$AC$1612)))</f>
        <v>0</v>
      </c>
      <c r="AH1612">
        <f>IF(COUNT($E$2:$E1612)&lt;15,"",IF(SUM($AC$1599:$AC$1612)=0,0,100*SUM($AF$1599:$AF$1612)/SUM($AC$1599:$AC$1612)))</f>
        <v>0</v>
      </c>
      <c r="AI1612">
        <f>IF(OR(AG1612="",AH1612=""),"",IF((AG1612+AH1612)=0,0,100*ABS(AG1612-AH1612)/(AG1612+AH1612)))</f>
        <v>0</v>
      </c>
      <c r="AJ1612">
        <f>IF(COUNT($AI$1599:$AI$1612)&lt;14,"",AVERAGE($AI$1599:$AI$1612))</f>
        <v>0</v>
      </c>
      <c r="AK1612">
        <f>IF(COUNT($E$2:$E1612)&lt;20,"",AVERAGE($E$1593:$E$1612))</f>
        <v>0</v>
      </c>
      <c r="AL1612">
        <f>IF(COUNT($E$2:$E1612)&lt;20,"",STDEVP($E$1593:$E$1612))</f>
        <v>0</v>
      </c>
      <c r="AM1612">
        <f>IF(AK1612="","",AK1612+2*AL1612)</f>
        <v>0</v>
      </c>
      <c r="AN1612">
        <f>IF(AK1612="","",AK1612-2*AL1612)</f>
        <v>0</v>
      </c>
      <c r="AO1612">
        <f>IF(OR(AM1612="",AN1612="",AM1612=AN1612),"",($E1612-AN1612)/(AM1612-AN1612))</f>
        <v>0</v>
      </c>
      <c r="AP1612">
        <f>IF(OR(AM1612="",AK1612="",AK1612=0),"",(AM1612-AN1612)/AK1612)</f>
        <v>0</v>
      </c>
      <c r="AQ1612">
        <f>IF(COUNT($E$2:$E1612)&lt;20,"",MAX($C$1593:$C$1612))</f>
        <v>0</v>
      </c>
      <c r="AR1612">
        <f>IF(COUNT($E$2:$E1612)&lt;20,"",MIN($D$1593:$D$1612))</f>
        <v>0</v>
      </c>
      <c r="AS1612">
        <f>IF(OR(AQ1612="",AR1612=""),"",(AQ1612+AR1612)/2)</f>
        <v>0</v>
      </c>
      <c r="AT1612">
        <f>IF(COUNT($G$1593:$G$1612)&lt;20,"",STDEV($G$1593:$G$1612)*SQRT(252))</f>
        <v>0</v>
      </c>
      <c r="AU1612">
        <f>IF(COUNT($E$2:$E1612)&lt;9,"",(MAX($C$1604:$C$1612)+MIN($D$1604:$D$1612))/2)</f>
        <v>0</v>
      </c>
      <c r="AV1612">
        <f>IF(COUNT($E$2:$E1612)&lt;26,"",(MAX($C$1587:$C$1612)+MIN($D$1587:$D$1612))/2)</f>
        <v>0</v>
      </c>
      <c r="AW1612">
        <f>IF(OR(AU1612="",AV1612=""),"",(AU1612+AV1612)/2)</f>
        <v>0</v>
      </c>
      <c r="AX1612">
        <f>IF(COUNT($E$2:$E1612)&lt;52,"",(MAX($C$1561:$C$1612)+MIN($D$1561:$D$1612))/2)</f>
        <v>0</v>
      </c>
      <c r="AY1612">
        <f>IF(COUNT($E$2:$E1612)&lt;20,"",MAX($C$1513:$C$1612))</f>
        <v>0</v>
      </c>
      <c r="AZ1612">
        <f>IF(COUNT($E$2:$E1612)&lt;20,"",MIN($D$1513:$D$1612))</f>
        <v>0</v>
      </c>
      <c r="BA1612">
        <f>IF(COUNT($E$2:$E1612)&lt;20,"",SLOPE($E$1513:$E$1612,$F$1513:$F$1612))</f>
        <v>0</v>
      </c>
      <c r="BB1612">
        <f>IF(COUNT($E$2:$E1612)&lt;20,"",INTERCEPT($E$1513:$E$1612,$F$1513:$F$1612))</f>
        <v>0</v>
      </c>
      <c r="BC1612">
        <f>IF(OR(BA1612="",BB1612=""),"",BB1612+BA1612*F1612)</f>
        <v>0</v>
      </c>
      <c r="BD1612">
        <f>IF(COUNT($E$2:$E1612)&lt;20,"",STEYX($E$1513:$E$1612,$F$1513:$F$1612))</f>
        <v>0</v>
      </c>
      <c r="BE1612">
        <f>IF($E1612="","",IF(AND(COUNT($E$1613:$E$1616)&gt;=4,$C1612=MAX($C$1608:$C$1616)),$C1612,""))</f>
        <v>0</v>
      </c>
      <c r="BF1612">
        <f>IF($E1612="","",IF(AND(COUNT($E$1613:$E$1616)&gt;=4,$D1612=MIN($D$1608:$D$1616)),$D1612,""))</f>
        <v>0</v>
      </c>
      <c r="BG1612">
        <f>IF($A1612="","",$A1612-WEEKDAY($A1612,2)+1)</f>
        <v>0</v>
      </c>
      <c r="BH1612">
        <f>IF($A1612="","",IF($A1611="",1,IF(BG1612&lt;&gt;BG1611,1,0)))</f>
        <v>0</v>
      </c>
      <c r="BI1612">
        <f>IF($A1612="","",IF($A1613="",1,IF(BG1613&lt;&gt;BG1612,1,0)))</f>
        <v>0</v>
      </c>
      <c r="BJ1612">
        <f>IF($A1612="","",IF(BH1612=1,$B1612,BJ1611))</f>
        <v>0</v>
      </c>
      <c r="BK1612">
        <f>IF($A1612="","",IF(BH1612=1,$C1612,MAX($C1612,BK1611)))</f>
        <v>0</v>
      </c>
      <c r="BL1612">
        <f>IF($A1612="","",IF(BH1612=1,$D1612,MIN($D1612,BL1611)))</f>
        <v>0</v>
      </c>
      <c r="BM1612">
        <f>IF($A1612="","",IF(BI1612=1,F1612,""))</f>
        <v>0</v>
      </c>
      <c r="BN1612">
        <f>IF($A1612="","",DATE(YEAR($A1612),MONTH($A1612),1))</f>
        <v>0</v>
      </c>
      <c r="BO1612">
        <f>IF($A1612="","",IF($A1611="",1,IF(BN1612&lt;&gt;BN1611,1,0)))</f>
        <v>0</v>
      </c>
      <c r="BP1612">
        <f>IF($A1612="","",IF($A1613="",1,IF(BN1613&lt;&gt;BN1612,1,0)))</f>
        <v>0</v>
      </c>
      <c r="BQ1612">
        <f>IF($A1612="","",IF(BO1612=1,$B1612,BQ1611))</f>
        <v>0</v>
      </c>
      <c r="BR1612">
        <f>IF($A1612="","",IF(BO1612=1,$C1612,MAX($C1612,BR1611)))</f>
        <v>0</v>
      </c>
      <c r="BS1612">
        <f>IF($A1612="","",IF(BO1612=1,$D1612,MIN($D1612,BS1611)))</f>
        <v>0</v>
      </c>
      <c r="BT1612">
        <f>IF($A1612="","",IF(BP1612=1,F1612,""))</f>
        <v>0</v>
      </c>
    </row>
    <row r="1613" spans="1:72">
      <c r="A1613" s="27">
        <f>IF(Data!$A1613="","",Data!$A1613)</f>
        <v>0</v>
      </c>
      <c r="B1613">
        <f>IF(Data!$B1613="","",Data!$B1613)</f>
        <v>0</v>
      </c>
      <c r="C1613">
        <f>IF(Data!$C1613="","",Data!$C1613)</f>
        <v>0</v>
      </c>
      <c r="D1613">
        <f>IF(Data!$D1613="","",Data!$D1613)</f>
        <v>0</v>
      </c>
      <c r="E1613">
        <f>IF(Data!$E1613="","",Data!$E1613)</f>
        <v>0</v>
      </c>
      <c r="F1613">
        <f>IF($E1613="","",N(F1612)+1)</f>
        <v>0</v>
      </c>
      <c r="G1613">
        <f>IF(OR($E1613="",$E1612=""),"",LN($E1613/$E1612))</f>
        <v>0</v>
      </c>
      <c r="H1613">
        <f>IF($E1613="","",IF($E1612="",$E1613,$E1613*0.0952380952+H1612*0.9047619048))</f>
        <v>0</v>
      </c>
      <c r="I1613">
        <f>IF($E1613="","",IF($E1612="",$E1613,$E1613*0.0392156863+I1612*0.9607843137))</f>
        <v>0</v>
      </c>
      <c r="J1613">
        <f>IF($E1613="","",IF($E1612="",$E1613,$E1613*0.0198019802+J1612*0.9801980198))</f>
        <v>0</v>
      </c>
      <c r="K1613">
        <f>IF($E1613="","",IF($E1612="",$E1613,$E1613*0.0099502488+K1612*0.9900497512))</f>
        <v>0</v>
      </c>
      <c r="L1613">
        <f>IF(OR($E1613="",$E1612=""),"",MAX($E1613-$E1612,0))</f>
        <v>0</v>
      </c>
      <c r="M1613">
        <f>IF(OR($E1613="",$E1612=""),"",MAX($E1612-$E1613,0))</f>
        <v>0</v>
      </c>
      <c r="N1613">
        <f>IF(COUNT($E$2:$E1613)&lt;15,"",IF(AVERAGE($M$1600:$M$1613)=0,100,100-100/(1+AVERAGE($L$1600:$L$1613)/AVERAGE($M$1600:$M$1613))))</f>
        <v>0</v>
      </c>
      <c r="O1613">
        <f>IF($E1613="","",IF($E1612="",$E1613,$E1613*0.1538461538+O1612*0.8461538462))</f>
        <v>0</v>
      </c>
      <c r="P1613">
        <f>IF($E1613="","",IF($E1612="",$E1613,$E1613*0.0740740741+P1612*0.9259259259))</f>
        <v>0</v>
      </c>
      <c r="Q1613">
        <f>IF(OR(O1613="",P1613=""),"",O1613-P1613)</f>
        <v>0</v>
      </c>
      <c r="R1613">
        <f>IF(Q1613="","",IF(R1612="",Q1613,Q1613*0.2000000000+R1612*0.8000000000))</f>
        <v>0</v>
      </c>
      <c r="S1613">
        <f>IF(OR(Q1613="",R1613=""),"",Q1613-R1613)</f>
        <v>0</v>
      </c>
      <c r="T1613">
        <f>IF(COUNT($E$2:$E1613)&lt;14,"",MAX($C$1600:$C$1613))</f>
        <v>0</v>
      </c>
      <c r="U1613">
        <f>IF(COUNT($E$2:$E1613)&lt;14,"",MIN($D$1600:$D$1613))</f>
        <v>0</v>
      </c>
      <c r="V1613">
        <f>IF(OR(T1613="",U1613="",T1613=U1613),"",100*($E1613-U1613)/(T1613-U1613))</f>
        <v>0</v>
      </c>
      <c r="W1613">
        <f>IF(COUNT($V$1611:$V$1613)&lt;3,"",AVERAGE($V$1611:$V$1613))</f>
        <v>0</v>
      </c>
      <c r="X1613">
        <f>IF(COUNT($N$1600:$N$1613)&lt;14,"",MIN($N$1600:$N$1613))</f>
        <v>0</v>
      </c>
      <c r="Y1613">
        <f>IF(COUNT($N$1600:$N$1613)&lt;14,"",MAX($N$1600:$N$1613))</f>
        <v>0</v>
      </c>
      <c r="Z1613">
        <f>IF(OR(N1613="",X1613="",Y1613="",Y1613=X1613),"",100*(N1613-X1613)/(Y1613-X1613))</f>
        <v>0</v>
      </c>
      <c r="AA1613">
        <f>IF(COUNT($Z$1611:$Z$1613)&lt;3,"",AVERAGE($Z$1611:$Z$1613))</f>
        <v>0</v>
      </c>
      <c r="AB1613">
        <f>IF(COUNT($AA$1611:$AA$1613)&lt;3,"",AVERAGE($AA$1611:$AA$1613))</f>
        <v>0</v>
      </c>
      <c r="AC1613">
        <f>IF($E1613="","",MAX($C1613-$D1613,ABS($C1613-$E1612),ABS($D1613-$E1612)))</f>
        <v>0</v>
      </c>
      <c r="AD1613">
        <f>IF(COUNT($E$2:$E1613)&lt;15,"",AVERAGE($AC$1600:$AC$1613))</f>
        <v>0</v>
      </c>
      <c r="AE1613">
        <f>IF(OR($E1613="",$E1612=""),"",IF(AND(($C1613-$C1612)&gt;($D1612-$D1613),($C1613-$C1612)&gt;0),$C1613-$C1612,0))</f>
        <v>0</v>
      </c>
      <c r="AF1613">
        <f>IF(OR($E1613="",$E1612=""),"",IF(AND(($D1612-$D1613)&gt;($C1613-$C1612),($D1612-$D1613)&gt;0),$D1612-$D1613,0))</f>
        <v>0</v>
      </c>
      <c r="AG1613">
        <f>IF(COUNT($E$2:$E1613)&lt;15,"",IF(SUM($AC$1600:$AC$1613)=0,0,100*SUM($AE$1600:$AE$1613)/SUM($AC$1600:$AC$1613)))</f>
        <v>0</v>
      </c>
      <c r="AH1613">
        <f>IF(COUNT($E$2:$E1613)&lt;15,"",IF(SUM($AC$1600:$AC$1613)=0,0,100*SUM($AF$1600:$AF$1613)/SUM($AC$1600:$AC$1613)))</f>
        <v>0</v>
      </c>
      <c r="AI1613">
        <f>IF(OR(AG1613="",AH1613=""),"",IF((AG1613+AH1613)=0,0,100*ABS(AG1613-AH1613)/(AG1613+AH1613)))</f>
        <v>0</v>
      </c>
      <c r="AJ1613">
        <f>IF(COUNT($AI$1600:$AI$1613)&lt;14,"",AVERAGE($AI$1600:$AI$1613))</f>
        <v>0</v>
      </c>
      <c r="AK1613">
        <f>IF(COUNT($E$2:$E1613)&lt;20,"",AVERAGE($E$1594:$E$1613))</f>
        <v>0</v>
      </c>
      <c r="AL1613">
        <f>IF(COUNT($E$2:$E1613)&lt;20,"",STDEVP($E$1594:$E$1613))</f>
        <v>0</v>
      </c>
      <c r="AM1613">
        <f>IF(AK1613="","",AK1613+2*AL1613)</f>
        <v>0</v>
      </c>
      <c r="AN1613">
        <f>IF(AK1613="","",AK1613-2*AL1613)</f>
        <v>0</v>
      </c>
      <c r="AO1613">
        <f>IF(OR(AM1613="",AN1613="",AM1613=AN1613),"",($E1613-AN1613)/(AM1613-AN1613))</f>
        <v>0</v>
      </c>
      <c r="AP1613">
        <f>IF(OR(AM1613="",AK1613="",AK1613=0),"",(AM1613-AN1613)/AK1613)</f>
        <v>0</v>
      </c>
      <c r="AQ1613">
        <f>IF(COUNT($E$2:$E1613)&lt;20,"",MAX($C$1594:$C$1613))</f>
        <v>0</v>
      </c>
      <c r="AR1613">
        <f>IF(COUNT($E$2:$E1613)&lt;20,"",MIN($D$1594:$D$1613))</f>
        <v>0</v>
      </c>
      <c r="AS1613">
        <f>IF(OR(AQ1613="",AR1613=""),"",(AQ1613+AR1613)/2)</f>
        <v>0</v>
      </c>
      <c r="AT1613">
        <f>IF(COUNT($G$1594:$G$1613)&lt;20,"",STDEV($G$1594:$G$1613)*SQRT(252))</f>
        <v>0</v>
      </c>
      <c r="AU1613">
        <f>IF(COUNT($E$2:$E1613)&lt;9,"",(MAX($C$1605:$C$1613)+MIN($D$1605:$D$1613))/2)</f>
        <v>0</v>
      </c>
      <c r="AV1613">
        <f>IF(COUNT($E$2:$E1613)&lt;26,"",(MAX($C$1588:$C$1613)+MIN($D$1588:$D$1613))/2)</f>
        <v>0</v>
      </c>
      <c r="AW1613">
        <f>IF(OR(AU1613="",AV1613=""),"",(AU1613+AV1613)/2)</f>
        <v>0</v>
      </c>
      <c r="AX1613">
        <f>IF(COUNT($E$2:$E1613)&lt;52,"",(MAX($C$1562:$C$1613)+MIN($D$1562:$D$1613))/2)</f>
        <v>0</v>
      </c>
      <c r="AY1613">
        <f>IF(COUNT($E$2:$E1613)&lt;20,"",MAX($C$1514:$C$1613))</f>
        <v>0</v>
      </c>
      <c r="AZ1613">
        <f>IF(COUNT($E$2:$E1613)&lt;20,"",MIN($D$1514:$D$1613))</f>
        <v>0</v>
      </c>
      <c r="BA1613">
        <f>IF(COUNT($E$2:$E1613)&lt;20,"",SLOPE($E$1514:$E$1613,$F$1514:$F$1613))</f>
        <v>0</v>
      </c>
      <c r="BB1613">
        <f>IF(COUNT($E$2:$E1613)&lt;20,"",INTERCEPT($E$1514:$E$1613,$F$1514:$F$1613))</f>
        <v>0</v>
      </c>
      <c r="BC1613">
        <f>IF(OR(BA1613="",BB1613=""),"",BB1613+BA1613*F1613)</f>
        <v>0</v>
      </c>
      <c r="BD1613">
        <f>IF(COUNT($E$2:$E1613)&lt;20,"",STEYX($E$1514:$E$1613,$F$1514:$F$1613))</f>
        <v>0</v>
      </c>
      <c r="BE1613">
        <f>IF($E1613="","",IF(AND(COUNT($E$1614:$E$1617)&gt;=4,$C1613=MAX($C$1609:$C$1617)),$C1613,""))</f>
        <v>0</v>
      </c>
      <c r="BF1613">
        <f>IF($E1613="","",IF(AND(COUNT($E$1614:$E$1617)&gt;=4,$D1613=MIN($D$1609:$D$1617)),$D1613,""))</f>
        <v>0</v>
      </c>
      <c r="BG1613">
        <f>IF($A1613="","",$A1613-WEEKDAY($A1613,2)+1)</f>
        <v>0</v>
      </c>
      <c r="BH1613">
        <f>IF($A1613="","",IF($A1612="",1,IF(BG1613&lt;&gt;BG1612,1,0)))</f>
        <v>0</v>
      </c>
      <c r="BI1613">
        <f>IF($A1613="","",IF($A1614="",1,IF(BG1614&lt;&gt;BG1613,1,0)))</f>
        <v>0</v>
      </c>
      <c r="BJ1613">
        <f>IF($A1613="","",IF(BH1613=1,$B1613,BJ1612))</f>
        <v>0</v>
      </c>
      <c r="BK1613">
        <f>IF($A1613="","",IF(BH1613=1,$C1613,MAX($C1613,BK1612)))</f>
        <v>0</v>
      </c>
      <c r="BL1613">
        <f>IF($A1613="","",IF(BH1613=1,$D1613,MIN($D1613,BL1612)))</f>
        <v>0</v>
      </c>
      <c r="BM1613">
        <f>IF($A1613="","",IF(BI1613=1,F1613,""))</f>
        <v>0</v>
      </c>
      <c r="BN1613">
        <f>IF($A1613="","",DATE(YEAR($A1613),MONTH($A1613),1))</f>
        <v>0</v>
      </c>
      <c r="BO1613">
        <f>IF($A1613="","",IF($A1612="",1,IF(BN1613&lt;&gt;BN1612,1,0)))</f>
        <v>0</v>
      </c>
      <c r="BP1613">
        <f>IF($A1613="","",IF($A1614="",1,IF(BN1614&lt;&gt;BN1613,1,0)))</f>
        <v>0</v>
      </c>
      <c r="BQ1613">
        <f>IF($A1613="","",IF(BO1613=1,$B1613,BQ1612))</f>
        <v>0</v>
      </c>
      <c r="BR1613">
        <f>IF($A1613="","",IF(BO1613=1,$C1613,MAX($C1613,BR1612)))</f>
        <v>0</v>
      </c>
      <c r="BS1613">
        <f>IF($A1613="","",IF(BO1613=1,$D1613,MIN($D1613,BS1612)))</f>
        <v>0</v>
      </c>
      <c r="BT1613">
        <f>IF($A1613="","",IF(BP1613=1,F1613,""))</f>
        <v>0</v>
      </c>
    </row>
    <row r="1614" spans="1:72">
      <c r="A1614" s="27">
        <f>IF(Data!$A1614="","",Data!$A1614)</f>
        <v>0</v>
      </c>
      <c r="B1614">
        <f>IF(Data!$B1614="","",Data!$B1614)</f>
        <v>0</v>
      </c>
      <c r="C1614">
        <f>IF(Data!$C1614="","",Data!$C1614)</f>
        <v>0</v>
      </c>
      <c r="D1614">
        <f>IF(Data!$D1614="","",Data!$D1614)</f>
        <v>0</v>
      </c>
      <c r="E1614">
        <f>IF(Data!$E1614="","",Data!$E1614)</f>
        <v>0</v>
      </c>
      <c r="F1614">
        <f>IF($E1614="","",N(F1613)+1)</f>
        <v>0</v>
      </c>
      <c r="G1614">
        <f>IF(OR($E1614="",$E1613=""),"",LN($E1614/$E1613))</f>
        <v>0</v>
      </c>
      <c r="H1614">
        <f>IF($E1614="","",IF($E1613="",$E1614,$E1614*0.0952380952+H1613*0.9047619048))</f>
        <v>0</v>
      </c>
      <c r="I1614">
        <f>IF($E1614="","",IF($E1613="",$E1614,$E1614*0.0392156863+I1613*0.9607843137))</f>
        <v>0</v>
      </c>
      <c r="J1614">
        <f>IF($E1614="","",IF($E1613="",$E1614,$E1614*0.0198019802+J1613*0.9801980198))</f>
        <v>0</v>
      </c>
      <c r="K1614">
        <f>IF($E1614="","",IF($E1613="",$E1614,$E1614*0.0099502488+K1613*0.9900497512))</f>
        <v>0</v>
      </c>
      <c r="L1614">
        <f>IF(OR($E1614="",$E1613=""),"",MAX($E1614-$E1613,0))</f>
        <v>0</v>
      </c>
      <c r="M1614">
        <f>IF(OR($E1614="",$E1613=""),"",MAX($E1613-$E1614,0))</f>
        <v>0</v>
      </c>
      <c r="N1614">
        <f>IF(COUNT($E$2:$E1614)&lt;15,"",IF(AVERAGE($M$1601:$M$1614)=0,100,100-100/(1+AVERAGE($L$1601:$L$1614)/AVERAGE($M$1601:$M$1614))))</f>
        <v>0</v>
      </c>
      <c r="O1614">
        <f>IF($E1614="","",IF($E1613="",$E1614,$E1614*0.1538461538+O1613*0.8461538462))</f>
        <v>0</v>
      </c>
      <c r="P1614">
        <f>IF($E1614="","",IF($E1613="",$E1614,$E1614*0.0740740741+P1613*0.9259259259))</f>
        <v>0</v>
      </c>
      <c r="Q1614">
        <f>IF(OR(O1614="",P1614=""),"",O1614-P1614)</f>
        <v>0</v>
      </c>
      <c r="R1614">
        <f>IF(Q1614="","",IF(R1613="",Q1614,Q1614*0.2000000000+R1613*0.8000000000))</f>
        <v>0</v>
      </c>
      <c r="S1614">
        <f>IF(OR(Q1614="",R1614=""),"",Q1614-R1614)</f>
        <v>0</v>
      </c>
      <c r="T1614">
        <f>IF(COUNT($E$2:$E1614)&lt;14,"",MAX($C$1601:$C$1614))</f>
        <v>0</v>
      </c>
      <c r="U1614">
        <f>IF(COUNT($E$2:$E1614)&lt;14,"",MIN($D$1601:$D$1614))</f>
        <v>0</v>
      </c>
      <c r="V1614">
        <f>IF(OR(T1614="",U1614="",T1614=U1614),"",100*($E1614-U1614)/(T1614-U1614))</f>
        <v>0</v>
      </c>
      <c r="W1614">
        <f>IF(COUNT($V$1612:$V$1614)&lt;3,"",AVERAGE($V$1612:$V$1614))</f>
        <v>0</v>
      </c>
      <c r="X1614">
        <f>IF(COUNT($N$1601:$N$1614)&lt;14,"",MIN($N$1601:$N$1614))</f>
        <v>0</v>
      </c>
      <c r="Y1614">
        <f>IF(COUNT($N$1601:$N$1614)&lt;14,"",MAX($N$1601:$N$1614))</f>
        <v>0</v>
      </c>
      <c r="Z1614">
        <f>IF(OR(N1614="",X1614="",Y1614="",Y1614=X1614),"",100*(N1614-X1614)/(Y1614-X1614))</f>
        <v>0</v>
      </c>
      <c r="AA1614">
        <f>IF(COUNT($Z$1612:$Z$1614)&lt;3,"",AVERAGE($Z$1612:$Z$1614))</f>
        <v>0</v>
      </c>
      <c r="AB1614">
        <f>IF(COUNT($AA$1612:$AA$1614)&lt;3,"",AVERAGE($AA$1612:$AA$1614))</f>
        <v>0</v>
      </c>
      <c r="AC1614">
        <f>IF($E1614="","",MAX($C1614-$D1614,ABS($C1614-$E1613),ABS($D1614-$E1613)))</f>
        <v>0</v>
      </c>
      <c r="AD1614">
        <f>IF(COUNT($E$2:$E1614)&lt;15,"",AVERAGE($AC$1601:$AC$1614))</f>
        <v>0</v>
      </c>
      <c r="AE1614">
        <f>IF(OR($E1614="",$E1613=""),"",IF(AND(($C1614-$C1613)&gt;($D1613-$D1614),($C1614-$C1613)&gt;0),$C1614-$C1613,0))</f>
        <v>0</v>
      </c>
      <c r="AF1614">
        <f>IF(OR($E1614="",$E1613=""),"",IF(AND(($D1613-$D1614)&gt;($C1614-$C1613),($D1613-$D1614)&gt;0),$D1613-$D1614,0))</f>
        <v>0</v>
      </c>
      <c r="AG1614">
        <f>IF(COUNT($E$2:$E1614)&lt;15,"",IF(SUM($AC$1601:$AC$1614)=0,0,100*SUM($AE$1601:$AE$1614)/SUM($AC$1601:$AC$1614)))</f>
        <v>0</v>
      </c>
      <c r="AH1614">
        <f>IF(COUNT($E$2:$E1614)&lt;15,"",IF(SUM($AC$1601:$AC$1614)=0,0,100*SUM($AF$1601:$AF$1614)/SUM($AC$1601:$AC$1614)))</f>
        <v>0</v>
      </c>
      <c r="AI1614">
        <f>IF(OR(AG1614="",AH1614=""),"",IF((AG1614+AH1614)=0,0,100*ABS(AG1614-AH1614)/(AG1614+AH1614)))</f>
        <v>0</v>
      </c>
      <c r="AJ1614">
        <f>IF(COUNT($AI$1601:$AI$1614)&lt;14,"",AVERAGE($AI$1601:$AI$1614))</f>
        <v>0</v>
      </c>
      <c r="AK1614">
        <f>IF(COUNT($E$2:$E1614)&lt;20,"",AVERAGE($E$1595:$E$1614))</f>
        <v>0</v>
      </c>
      <c r="AL1614">
        <f>IF(COUNT($E$2:$E1614)&lt;20,"",STDEVP($E$1595:$E$1614))</f>
        <v>0</v>
      </c>
      <c r="AM1614">
        <f>IF(AK1614="","",AK1614+2*AL1614)</f>
        <v>0</v>
      </c>
      <c r="AN1614">
        <f>IF(AK1614="","",AK1614-2*AL1614)</f>
        <v>0</v>
      </c>
      <c r="AO1614">
        <f>IF(OR(AM1614="",AN1614="",AM1614=AN1614),"",($E1614-AN1614)/(AM1614-AN1614))</f>
        <v>0</v>
      </c>
      <c r="AP1614">
        <f>IF(OR(AM1614="",AK1614="",AK1614=0),"",(AM1614-AN1614)/AK1614)</f>
        <v>0</v>
      </c>
      <c r="AQ1614">
        <f>IF(COUNT($E$2:$E1614)&lt;20,"",MAX($C$1595:$C$1614))</f>
        <v>0</v>
      </c>
      <c r="AR1614">
        <f>IF(COUNT($E$2:$E1614)&lt;20,"",MIN($D$1595:$D$1614))</f>
        <v>0</v>
      </c>
      <c r="AS1614">
        <f>IF(OR(AQ1614="",AR1614=""),"",(AQ1614+AR1614)/2)</f>
        <v>0</v>
      </c>
      <c r="AT1614">
        <f>IF(COUNT($G$1595:$G$1614)&lt;20,"",STDEV($G$1595:$G$1614)*SQRT(252))</f>
        <v>0</v>
      </c>
      <c r="AU1614">
        <f>IF(COUNT($E$2:$E1614)&lt;9,"",(MAX($C$1606:$C$1614)+MIN($D$1606:$D$1614))/2)</f>
        <v>0</v>
      </c>
      <c r="AV1614">
        <f>IF(COUNT($E$2:$E1614)&lt;26,"",(MAX($C$1589:$C$1614)+MIN($D$1589:$D$1614))/2)</f>
        <v>0</v>
      </c>
      <c r="AW1614">
        <f>IF(OR(AU1614="",AV1614=""),"",(AU1614+AV1614)/2)</f>
        <v>0</v>
      </c>
      <c r="AX1614">
        <f>IF(COUNT($E$2:$E1614)&lt;52,"",(MAX($C$1563:$C$1614)+MIN($D$1563:$D$1614))/2)</f>
        <v>0</v>
      </c>
      <c r="AY1614">
        <f>IF(COUNT($E$2:$E1614)&lt;20,"",MAX($C$1515:$C$1614))</f>
        <v>0</v>
      </c>
      <c r="AZ1614">
        <f>IF(COUNT($E$2:$E1614)&lt;20,"",MIN($D$1515:$D$1614))</f>
        <v>0</v>
      </c>
      <c r="BA1614">
        <f>IF(COUNT($E$2:$E1614)&lt;20,"",SLOPE($E$1515:$E$1614,$F$1515:$F$1614))</f>
        <v>0</v>
      </c>
      <c r="BB1614">
        <f>IF(COUNT($E$2:$E1614)&lt;20,"",INTERCEPT($E$1515:$E$1614,$F$1515:$F$1614))</f>
        <v>0</v>
      </c>
      <c r="BC1614">
        <f>IF(OR(BA1614="",BB1614=""),"",BB1614+BA1614*F1614)</f>
        <v>0</v>
      </c>
      <c r="BD1614">
        <f>IF(COUNT($E$2:$E1614)&lt;20,"",STEYX($E$1515:$E$1614,$F$1515:$F$1614))</f>
        <v>0</v>
      </c>
      <c r="BE1614">
        <f>IF($E1614="","",IF(AND(COUNT($E$1615:$E$1618)&gt;=4,$C1614=MAX($C$1610:$C$1618)),$C1614,""))</f>
        <v>0</v>
      </c>
      <c r="BF1614">
        <f>IF($E1614="","",IF(AND(COUNT($E$1615:$E$1618)&gt;=4,$D1614=MIN($D$1610:$D$1618)),$D1614,""))</f>
        <v>0</v>
      </c>
      <c r="BG1614">
        <f>IF($A1614="","",$A1614-WEEKDAY($A1614,2)+1)</f>
        <v>0</v>
      </c>
      <c r="BH1614">
        <f>IF($A1614="","",IF($A1613="",1,IF(BG1614&lt;&gt;BG1613,1,0)))</f>
        <v>0</v>
      </c>
      <c r="BI1614">
        <f>IF($A1614="","",IF($A1615="",1,IF(BG1615&lt;&gt;BG1614,1,0)))</f>
        <v>0</v>
      </c>
      <c r="BJ1614">
        <f>IF($A1614="","",IF(BH1614=1,$B1614,BJ1613))</f>
        <v>0</v>
      </c>
      <c r="BK1614">
        <f>IF($A1614="","",IF(BH1614=1,$C1614,MAX($C1614,BK1613)))</f>
        <v>0</v>
      </c>
      <c r="BL1614">
        <f>IF($A1614="","",IF(BH1614=1,$D1614,MIN($D1614,BL1613)))</f>
        <v>0</v>
      </c>
      <c r="BM1614">
        <f>IF($A1614="","",IF(BI1614=1,F1614,""))</f>
        <v>0</v>
      </c>
      <c r="BN1614">
        <f>IF($A1614="","",DATE(YEAR($A1614),MONTH($A1614),1))</f>
        <v>0</v>
      </c>
      <c r="BO1614">
        <f>IF($A1614="","",IF($A1613="",1,IF(BN1614&lt;&gt;BN1613,1,0)))</f>
        <v>0</v>
      </c>
      <c r="BP1614">
        <f>IF($A1614="","",IF($A1615="",1,IF(BN1615&lt;&gt;BN1614,1,0)))</f>
        <v>0</v>
      </c>
      <c r="BQ1614">
        <f>IF($A1614="","",IF(BO1614=1,$B1614,BQ1613))</f>
        <v>0</v>
      </c>
      <c r="BR1614">
        <f>IF($A1614="","",IF(BO1614=1,$C1614,MAX($C1614,BR1613)))</f>
        <v>0</v>
      </c>
      <c r="BS1614">
        <f>IF($A1614="","",IF(BO1614=1,$D1614,MIN($D1614,BS1613)))</f>
        <v>0</v>
      </c>
      <c r="BT1614">
        <f>IF($A1614="","",IF(BP1614=1,F1614,""))</f>
        <v>0</v>
      </c>
    </row>
    <row r="1615" spans="1:72">
      <c r="A1615" s="27">
        <f>IF(Data!$A1615="","",Data!$A1615)</f>
        <v>0</v>
      </c>
      <c r="B1615">
        <f>IF(Data!$B1615="","",Data!$B1615)</f>
        <v>0</v>
      </c>
      <c r="C1615">
        <f>IF(Data!$C1615="","",Data!$C1615)</f>
        <v>0</v>
      </c>
      <c r="D1615">
        <f>IF(Data!$D1615="","",Data!$D1615)</f>
        <v>0</v>
      </c>
      <c r="E1615">
        <f>IF(Data!$E1615="","",Data!$E1615)</f>
        <v>0</v>
      </c>
      <c r="F1615">
        <f>IF($E1615="","",N(F1614)+1)</f>
        <v>0</v>
      </c>
      <c r="G1615">
        <f>IF(OR($E1615="",$E1614=""),"",LN($E1615/$E1614))</f>
        <v>0</v>
      </c>
      <c r="H1615">
        <f>IF($E1615="","",IF($E1614="",$E1615,$E1615*0.0952380952+H1614*0.9047619048))</f>
        <v>0</v>
      </c>
      <c r="I1615">
        <f>IF($E1615="","",IF($E1614="",$E1615,$E1615*0.0392156863+I1614*0.9607843137))</f>
        <v>0</v>
      </c>
      <c r="J1615">
        <f>IF($E1615="","",IF($E1614="",$E1615,$E1615*0.0198019802+J1614*0.9801980198))</f>
        <v>0</v>
      </c>
      <c r="K1615">
        <f>IF($E1615="","",IF($E1614="",$E1615,$E1615*0.0099502488+K1614*0.9900497512))</f>
        <v>0</v>
      </c>
      <c r="L1615">
        <f>IF(OR($E1615="",$E1614=""),"",MAX($E1615-$E1614,0))</f>
        <v>0</v>
      </c>
      <c r="M1615">
        <f>IF(OR($E1615="",$E1614=""),"",MAX($E1614-$E1615,0))</f>
        <v>0</v>
      </c>
      <c r="N1615">
        <f>IF(COUNT($E$2:$E1615)&lt;15,"",IF(AVERAGE($M$1602:$M$1615)=0,100,100-100/(1+AVERAGE($L$1602:$L$1615)/AVERAGE($M$1602:$M$1615))))</f>
        <v>0</v>
      </c>
      <c r="O1615">
        <f>IF($E1615="","",IF($E1614="",$E1615,$E1615*0.1538461538+O1614*0.8461538462))</f>
        <v>0</v>
      </c>
      <c r="P1615">
        <f>IF($E1615="","",IF($E1614="",$E1615,$E1615*0.0740740741+P1614*0.9259259259))</f>
        <v>0</v>
      </c>
      <c r="Q1615">
        <f>IF(OR(O1615="",P1615=""),"",O1615-P1615)</f>
        <v>0</v>
      </c>
      <c r="R1615">
        <f>IF(Q1615="","",IF(R1614="",Q1615,Q1615*0.2000000000+R1614*0.8000000000))</f>
        <v>0</v>
      </c>
      <c r="S1615">
        <f>IF(OR(Q1615="",R1615=""),"",Q1615-R1615)</f>
        <v>0</v>
      </c>
      <c r="T1615">
        <f>IF(COUNT($E$2:$E1615)&lt;14,"",MAX($C$1602:$C$1615))</f>
        <v>0</v>
      </c>
      <c r="U1615">
        <f>IF(COUNT($E$2:$E1615)&lt;14,"",MIN($D$1602:$D$1615))</f>
        <v>0</v>
      </c>
      <c r="V1615">
        <f>IF(OR(T1615="",U1615="",T1615=U1615),"",100*($E1615-U1615)/(T1615-U1615))</f>
        <v>0</v>
      </c>
      <c r="W1615">
        <f>IF(COUNT($V$1613:$V$1615)&lt;3,"",AVERAGE($V$1613:$V$1615))</f>
        <v>0</v>
      </c>
      <c r="X1615">
        <f>IF(COUNT($N$1602:$N$1615)&lt;14,"",MIN($N$1602:$N$1615))</f>
        <v>0</v>
      </c>
      <c r="Y1615">
        <f>IF(COUNT($N$1602:$N$1615)&lt;14,"",MAX($N$1602:$N$1615))</f>
        <v>0</v>
      </c>
      <c r="Z1615">
        <f>IF(OR(N1615="",X1615="",Y1615="",Y1615=X1615),"",100*(N1615-X1615)/(Y1615-X1615))</f>
        <v>0</v>
      </c>
      <c r="AA1615">
        <f>IF(COUNT($Z$1613:$Z$1615)&lt;3,"",AVERAGE($Z$1613:$Z$1615))</f>
        <v>0</v>
      </c>
      <c r="AB1615">
        <f>IF(COUNT($AA$1613:$AA$1615)&lt;3,"",AVERAGE($AA$1613:$AA$1615))</f>
        <v>0</v>
      </c>
      <c r="AC1615">
        <f>IF($E1615="","",MAX($C1615-$D1615,ABS($C1615-$E1614),ABS($D1615-$E1614)))</f>
        <v>0</v>
      </c>
      <c r="AD1615">
        <f>IF(COUNT($E$2:$E1615)&lt;15,"",AVERAGE($AC$1602:$AC$1615))</f>
        <v>0</v>
      </c>
      <c r="AE1615">
        <f>IF(OR($E1615="",$E1614=""),"",IF(AND(($C1615-$C1614)&gt;($D1614-$D1615),($C1615-$C1614)&gt;0),$C1615-$C1614,0))</f>
        <v>0</v>
      </c>
      <c r="AF1615">
        <f>IF(OR($E1615="",$E1614=""),"",IF(AND(($D1614-$D1615)&gt;($C1615-$C1614),($D1614-$D1615)&gt;0),$D1614-$D1615,0))</f>
        <v>0</v>
      </c>
      <c r="AG1615">
        <f>IF(COUNT($E$2:$E1615)&lt;15,"",IF(SUM($AC$1602:$AC$1615)=0,0,100*SUM($AE$1602:$AE$1615)/SUM($AC$1602:$AC$1615)))</f>
        <v>0</v>
      </c>
      <c r="AH1615">
        <f>IF(COUNT($E$2:$E1615)&lt;15,"",IF(SUM($AC$1602:$AC$1615)=0,0,100*SUM($AF$1602:$AF$1615)/SUM($AC$1602:$AC$1615)))</f>
        <v>0</v>
      </c>
      <c r="AI1615">
        <f>IF(OR(AG1615="",AH1615=""),"",IF((AG1615+AH1615)=0,0,100*ABS(AG1615-AH1615)/(AG1615+AH1615)))</f>
        <v>0</v>
      </c>
      <c r="AJ1615">
        <f>IF(COUNT($AI$1602:$AI$1615)&lt;14,"",AVERAGE($AI$1602:$AI$1615))</f>
        <v>0</v>
      </c>
      <c r="AK1615">
        <f>IF(COUNT($E$2:$E1615)&lt;20,"",AVERAGE($E$1596:$E$1615))</f>
        <v>0</v>
      </c>
      <c r="AL1615">
        <f>IF(COUNT($E$2:$E1615)&lt;20,"",STDEVP($E$1596:$E$1615))</f>
        <v>0</v>
      </c>
      <c r="AM1615">
        <f>IF(AK1615="","",AK1615+2*AL1615)</f>
        <v>0</v>
      </c>
      <c r="AN1615">
        <f>IF(AK1615="","",AK1615-2*AL1615)</f>
        <v>0</v>
      </c>
      <c r="AO1615">
        <f>IF(OR(AM1615="",AN1615="",AM1615=AN1615),"",($E1615-AN1615)/(AM1615-AN1615))</f>
        <v>0</v>
      </c>
      <c r="AP1615">
        <f>IF(OR(AM1615="",AK1615="",AK1615=0),"",(AM1615-AN1615)/AK1615)</f>
        <v>0</v>
      </c>
      <c r="AQ1615">
        <f>IF(COUNT($E$2:$E1615)&lt;20,"",MAX($C$1596:$C$1615))</f>
        <v>0</v>
      </c>
      <c r="AR1615">
        <f>IF(COUNT($E$2:$E1615)&lt;20,"",MIN($D$1596:$D$1615))</f>
        <v>0</v>
      </c>
      <c r="AS1615">
        <f>IF(OR(AQ1615="",AR1615=""),"",(AQ1615+AR1615)/2)</f>
        <v>0</v>
      </c>
      <c r="AT1615">
        <f>IF(COUNT($G$1596:$G$1615)&lt;20,"",STDEV($G$1596:$G$1615)*SQRT(252))</f>
        <v>0</v>
      </c>
      <c r="AU1615">
        <f>IF(COUNT($E$2:$E1615)&lt;9,"",(MAX($C$1607:$C$1615)+MIN($D$1607:$D$1615))/2)</f>
        <v>0</v>
      </c>
      <c r="AV1615">
        <f>IF(COUNT($E$2:$E1615)&lt;26,"",(MAX($C$1590:$C$1615)+MIN($D$1590:$D$1615))/2)</f>
        <v>0</v>
      </c>
      <c r="AW1615">
        <f>IF(OR(AU1615="",AV1615=""),"",(AU1615+AV1615)/2)</f>
        <v>0</v>
      </c>
      <c r="AX1615">
        <f>IF(COUNT($E$2:$E1615)&lt;52,"",(MAX($C$1564:$C$1615)+MIN($D$1564:$D$1615))/2)</f>
        <v>0</v>
      </c>
      <c r="AY1615">
        <f>IF(COUNT($E$2:$E1615)&lt;20,"",MAX($C$1516:$C$1615))</f>
        <v>0</v>
      </c>
      <c r="AZ1615">
        <f>IF(COUNT($E$2:$E1615)&lt;20,"",MIN($D$1516:$D$1615))</f>
        <v>0</v>
      </c>
      <c r="BA1615">
        <f>IF(COUNT($E$2:$E1615)&lt;20,"",SLOPE($E$1516:$E$1615,$F$1516:$F$1615))</f>
        <v>0</v>
      </c>
      <c r="BB1615">
        <f>IF(COUNT($E$2:$E1615)&lt;20,"",INTERCEPT($E$1516:$E$1615,$F$1516:$F$1615))</f>
        <v>0</v>
      </c>
      <c r="BC1615">
        <f>IF(OR(BA1615="",BB1615=""),"",BB1615+BA1615*F1615)</f>
        <v>0</v>
      </c>
      <c r="BD1615">
        <f>IF(COUNT($E$2:$E1615)&lt;20,"",STEYX($E$1516:$E$1615,$F$1516:$F$1615))</f>
        <v>0</v>
      </c>
      <c r="BE1615">
        <f>IF($E1615="","",IF(AND(COUNT($E$1616:$E$1619)&gt;=4,$C1615=MAX($C$1611:$C$1619)),$C1615,""))</f>
        <v>0</v>
      </c>
      <c r="BF1615">
        <f>IF($E1615="","",IF(AND(COUNT($E$1616:$E$1619)&gt;=4,$D1615=MIN($D$1611:$D$1619)),$D1615,""))</f>
        <v>0</v>
      </c>
      <c r="BG1615">
        <f>IF($A1615="","",$A1615-WEEKDAY($A1615,2)+1)</f>
        <v>0</v>
      </c>
      <c r="BH1615">
        <f>IF($A1615="","",IF($A1614="",1,IF(BG1615&lt;&gt;BG1614,1,0)))</f>
        <v>0</v>
      </c>
      <c r="BI1615">
        <f>IF($A1615="","",IF($A1616="",1,IF(BG1616&lt;&gt;BG1615,1,0)))</f>
        <v>0</v>
      </c>
      <c r="BJ1615">
        <f>IF($A1615="","",IF(BH1615=1,$B1615,BJ1614))</f>
        <v>0</v>
      </c>
      <c r="BK1615">
        <f>IF($A1615="","",IF(BH1615=1,$C1615,MAX($C1615,BK1614)))</f>
        <v>0</v>
      </c>
      <c r="BL1615">
        <f>IF($A1615="","",IF(BH1615=1,$D1615,MIN($D1615,BL1614)))</f>
        <v>0</v>
      </c>
      <c r="BM1615">
        <f>IF($A1615="","",IF(BI1615=1,F1615,""))</f>
        <v>0</v>
      </c>
      <c r="BN1615">
        <f>IF($A1615="","",DATE(YEAR($A1615),MONTH($A1615),1))</f>
        <v>0</v>
      </c>
      <c r="BO1615">
        <f>IF($A1615="","",IF($A1614="",1,IF(BN1615&lt;&gt;BN1614,1,0)))</f>
        <v>0</v>
      </c>
      <c r="BP1615">
        <f>IF($A1615="","",IF($A1616="",1,IF(BN1616&lt;&gt;BN1615,1,0)))</f>
        <v>0</v>
      </c>
      <c r="BQ1615">
        <f>IF($A1615="","",IF(BO1615=1,$B1615,BQ1614))</f>
        <v>0</v>
      </c>
      <c r="BR1615">
        <f>IF($A1615="","",IF(BO1615=1,$C1615,MAX($C1615,BR1614)))</f>
        <v>0</v>
      </c>
      <c r="BS1615">
        <f>IF($A1615="","",IF(BO1615=1,$D1615,MIN($D1615,BS1614)))</f>
        <v>0</v>
      </c>
      <c r="BT1615">
        <f>IF($A1615="","",IF(BP1615=1,F1615,""))</f>
        <v>0</v>
      </c>
    </row>
    <row r="1616" spans="1:72">
      <c r="A1616" s="27">
        <f>IF(Data!$A1616="","",Data!$A1616)</f>
        <v>0</v>
      </c>
      <c r="B1616">
        <f>IF(Data!$B1616="","",Data!$B1616)</f>
        <v>0</v>
      </c>
      <c r="C1616">
        <f>IF(Data!$C1616="","",Data!$C1616)</f>
        <v>0</v>
      </c>
      <c r="D1616">
        <f>IF(Data!$D1616="","",Data!$D1616)</f>
        <v>0</v>
      </c>
      <c r="E1616">
        <f>IF(Data!$E1616="","",Data!$E1616)</f>
        <v>0</v>
      </c>
      <c r="F1616">
        <f>IF($E1616="","",N(F1615)+1)</f>
        <v>0</v>
      </c>
      <c r="G1616">
        <f>IF(OR($E1616="",$E1615=""),"",LN($E1616/$E1615))</f>
        <v>0</v>
      </c>
      <c r="H1616">
        <f>IF($E1616="","",IF($E1615="",$E1616,$E1616*0.0952380952+H1615*0.9047619048))</f>
        <v>0</v>
      </c>
      <c r="I1616">
        <f>IF($E1616="","",IF($E1615="",$E1616,$E1616*0.0392156863+I1615*0.9607843137))</f>
        <v>0</v>
      </c>
      <c r="J1616">
        <f>IF($E1616="","",IF($E1615="",$E1616,$E1616*0.0198019802+J1615*0.9801980198))</f>
        <v>0</v>
      </c>
      <c r="K1616">
        <f>IF($E1616="","",IF($E1615="",$E1616,$E1616*0.0099502488+K1615*0.9900497512))</f>
        <v>0</v>
      </c>
      <c r="L1616">
        <f>IF(OR($E1616="",$E1615=""),"",MAX($E1616-$E1615,0))</f>
        <v>0</v>
      </c>
      <c r="M1616">
        <f>IF(OR($E1616="",$E1615=""),"",MAX($E1615-$E1616,0))</f>
        <v>0</v>
      </c>
      <c r="N1616">
        <f>IF(COUNT($E$2:$E1616)&lt;15,"",IF(AVERAGE($M$1603:$M$1616)=0,100,100-100/(1+AVERAGE($L$1603:$L$1616)/AVERAGE($M$1603:$M$1616))))</f>
        <v>0</v>
      </c>
      <c r="O1616">
        <f>IF($E1616="","",IF($E1615="",$E1616,$E1616*0.1538461538+O1615*0.8461538462))</f>
        <v>0</v>
      </c>
      <c r="P1616">
        <f>IF($E1616="","",IF($E1615="",$E1616,$E1616*0.0740740741+P1615*0.9259259259))</f>
        <v>0</v>
      </c>
      <c r="Q1616">
        <f>IF(OR(O1616="",P1616=""),"",O1616-P1616)</f>
        <v>0</v>
      </c>
      <c r="R1616">
        <f>IF(Q1616="","",IF(R1615="",Q1616,Q1616*0.2000000000+R1615*0.8000000000))</f>
        <v>0</v>
      </c>
      <c r="S1616">
        <f>IF(OR(Q1616="",R1616=""),"",Q1616-R1616)</f>
        <v>0</v>
      </c>
      <c r="T1616">
        <f>IF(COUNT($E$2:$E1616)&lt;14,"",MAX($C$1603:$C$1616))</f>
        <v>0</v>
      </c>
      <c r="U1616">
        <f>IF(COUNT($E$2:$E1616)&lt;14,"",MIN($D$1603:$D$1616))</f>
        <v>0</v>
      </c>
      <c r="V1616">
        <f>IF(OR(T1616="",U1616="",T1616=U1616),"",100*($E1616-U1616)/(T1616-U1616))</f>
        <v>0</v>
      </c>
      <c r="W1616">
        <f>IF(COUNT($V$1614:$V$1616)&lt;3,"",AVERAGE($V$1614:$V$1616))</f>
        <v>0</v>
      </c>
      <c r="X1616">
        <f>IF(COUNT($N$1603:$N$1616)&lt;14,"",MIN($N$1603:$N$1616))</f>
        <v>0</v>
      </c>
      <c r="Y1616">
        <f>IF(COUNT($N$1603:$N$1616)&lt;14,"",MAX($N$1603:$N$1616))</f>
        <v>0</v>
      </c>
      <c r="Z1616">
        <f>IF(OR(N1616="",X1616="",Y1616="",Y1616=X1616),"",100*(N1616-X1616)/(Y1616-X1616))</f>
        <v>0</v>
      </c>
      <c r="AA1616">
        <f>IF(COUNT($Z$1614:$Z$1616)&lt;3,"",AVERAGE($Z$1614:$Z$1616))</f>
        <v>0</v>
      </c>
      <c r="AB1616">
        <f>IF(COUNT($AA$1614:$AA$1616)&lt;3,"",AVERAGE($AA$1614:$AA$1616))</f>
        <v>0</v>
      </c>
      <c r="AC1616">
        <f>IF($E1616="","",MAX($C1616-$D1616,ABS($C1616-$E1615),ABS($D1616-$E1615)))</f>
        <v>0</v>
      </c>
      <c r="AD1616">
        <f>IF(COUNT($E$2:$E1616)&lt;15,"",AVERAGE($AC$1603:$AC$1616))</f>
        <v>0</v>
      </c>
      <c r="AE1616">
        <f>IF(OR($E1616="",$E1615=""),"",IF(AND(($C1616-$C1615)&gt;($D1615-$D1616),($C1616-$C1615)&gt;0),$C1616-$C1615,0))</f>
        <v>0</v>
      </c>
      <c r="AF1616">
        <f>IF(OR($E1616="",$E1615=""),"",IF(AND(($D1615-$D1616)&gt;($C1616-$C1615),($D1615-$D1616)&gt;0),$D1615-$D1616,0))</f>
        <v>0</v>
      </c>
      <c r="AG1616">
        <f>IF(COUNT($E$2:$E1616)&lt;15,"",IF(SUM($AC$1603:$AC$1616)=0,0,100*SUM($AE$1603:$AE$1616)/SUM($AC$1603:$AC$1616)))</f>
        <v>0</v>
      </c>
      <c r="AH1616">
        <f>IF(COUNT($E$2:$E1616)&lt;15,"",IF(SUM($AC$1603:$AC$1616)=0,0,100*SUM($AF$1603:$AF$1616)/SUM($AC$1603:$AC$1616)))</f>
        <v>0</v>
      </c>
      <c r="AI1616">
        <f>IF(OR(AG1616="",AH1616=""),"",IF((AG1616+AH1616)=0,0,100*ABS(AG1616-AH1616)/(AG1616+AH1616)))</f>
        <v>0</v>
      </c>
      <c r="AJ1616">
        <f>IF(COUNT($AI$1603:$AI$1616)&lt;14,"",AVERAGE($AI$1603:$AI$1616))</f>
        <v>0</v>
      </c>
      <c r="AK1616">
        <f>IF(COUNT($E$2:$E1616)&lt;20,"",AVERAGE($E$1597:$E$1616))</f>
        <v>0</v>
      </c>
      <c r="AL1616">
        <f>IF(COUNT($E$2:$E1616)&lt;20,"",STDEVP($E$1597:$E$1616))</f>
        <v>0</v>
      </c>
      <c r="AM1616">
        <f>IF(AK1616="","",AK1616+2*AL1616)</f>
        <v>0</v>
      </c>
      <c r="AN1616">
        <f>IF(AK1616="","",AK1616-2*AL1616)</f>
        <v>0</v>
      </c>
      <c r="AO1616">
        <f>IF(OR(AM1616="",AN1616="",AM1616=AN1616),"",($E1616-AN1616)/(AM1616-AN1616))</f>
        <v>0</v>
      </c>
      <c r="AP1616">
        <f>IF(OR(AM1616="",AK1616="",AK1616=0),"",(AM1616-AN1616)/AK1616)</f>
        <v>0</v>
      </c>
      <c r="AQ1616">
        <f>IF(COUNT($E$2:$E1616)&lt;20,"",MAX($C$1597:$C$1616))</f>
        <v>0</v>
      </c>
      <c r="AR1616">
        <f>IF(COUNT($E$2:$E1616)&lt;20,"",MIN($D$1597:$D$1616))</f>
        <v>0</v>
      </c>
      <c r="AS1616">
        <f>IF(OR(AQ1616="",AR1616=""),"",(AQ1616+AR1616)/2)</f>
        <v>0</v>
      </c>
      <c r="AT1616">
        <f>IF(COUNT($G$1597:$G$1616)&lt;20,"",STDEV($G$1597:$G$1616)*SQRT(252))</f>
        <v>0</v>
      </c>
      <c r="AU1616">
        <f>IF(COUNT($E$2:$E1616)&lt;9,"",(MAX($C$1608:$C$1616)+MIN($D$1608:$D$1616))/2)</f>
        <v>0</v>
      </c>
      <c r="AV1616">
        <f>IF(COUNT($E$2:$E1616)&lt;26,"",(MAX($C$1591:$C$1616)+MIN($D$1591:$D$1616))/2)</f>
        <v>0</v>
      </c>
      <c r="AW1616">
        <f>IF(OR(AU1616="",AV1616=""),"",(AU1616+AV1616)/2)</f>
        <v>0</v>
      </c>
      <c r="AX1616">
        <f>IF(COUNT($E$2:$E1616)&lt;52,"",(MAX($C$1565:$C$1616)+MIN($D$1565:$D$1616))/2)</f>
        <v>0</v>
      </c>
      <c r="AY1616">
        <f>IF(COUNT($E$2:$E1616)&lt;20,"",MAX($C$1517:$C$1616))</f>
        <v>0</v>
      </c>
      <c r="AZ1616">
        <f>IF(COUNT($E$2:$E1616)&lt;20,"",MIN($D$1517:$D$1616))</f>
        <v>0</v>
      </c>
      <c r="BA1616">
        <f>IF(COUNT($E$2:$E1616)&lt;20,"",SLOPE($E$1517:$E$1616,$F$1517:$F$1616))</f>
        <v>0</v>
      </c>
      <c r="BB1616">
        <f>IF(COUNT($E$2:$E1616)&lt;20,"",INTERCEPT($E$1517:$E$1616,$F$1517:$F$1616))</f>
        <v>0</v>
      </c>
      <c r="BC1616">
        <f>IF(OR(BA1616="",BB1616=""),"",BB1616+BA1616*F1616)</f>
        <v>0</v>
      </c>
      <c r="BD1616">
        <f>IF(COUNT($E$2:$E1616)&lt;20,"",STEYX($E$1517:$E$1616,$F$1517:$F$1616))</f>
        <v>0</v>
      </c>
      <c r="BE1616">
        <f>IF($E1616="","",IF(AND(COUNT($E$1617:$E$1620)&gt;=4,$C1616=MAX($C$1612:$C$1620)),$C1616,""))</f>
        <v>0</v>
      </c>
      <c r="BF1616">
        <f>IF($E1616="","",IF(AND(COUNT($E$1617:$E$1620)&gt;=4,$D1616=MIN($D$1612:$D$1620)),$D1616,""))</f>
        <v>0</v>
      </c>
      <c r="BG1616">
        <f>IF($A1616="","",$A1616-WEEKDAY($A1616,2)+1)</f>
        <v>0</v>
      </c>
      <c r="BH1616">
        <f>IF($A1616="","",IF($A1615="",1,IF(BG1616&lt;&gt;BG1615,1,0)))</f>
        <v>0</v>
      </c>
      <c r="BI1616">
        <f>IF($A1616="","",IF($A1617="",1,IF(BG1617&lt;&gt;BG1616,1,0)))</f>
        <v>0</v>
      </c>
      <c r="BJ1616">
        <f>IF($A1616="","",IF(BH1616=1,$B1616,BJ1615))</f>
        <v>0</v>
      </c>
      <c r="BK1616">
        <f>IF($A1616="","",IF(BH1616=1,$C1616,MAX($C1616,BK1615)))</f>
        <v>0</v>
      </c>
      <c r="BL1616">
        <f>IF($A1616="","",IF(BH1616=1,$D1616,MIN($D1616,BL1615)))</f>
        <v>0</v>
      </c>
      <c r="BM1616">
        <f>IF($A1616="","",IF(BI1616=1,F1616,""))</f>
        <v>0</v>
      </c>
      <c r="BN1616">
        <f>IF($A1616="","",DATE(YEAR($A1616),MONTH($A1616),1))</f>
        <v>0</v>
      </c>
      <c r="BO1616">
        <f>IF($A1616="","",IF($A1615="",1,IF(BN1616&lt;&gt;BN1615,1,0)))</f>
        <v>0</v>
      </c>
      <c r="BP1616">
        <f>IF($A1616="","",IF($A1617="",1,IF(BN1617&lt;&gt;BN1616,1,0)))</f>
        <v>0</v>
      </c>
      <c r="BQ1616">
        <f>IF($A1616="","",IF(BO1616=1,$B1616,BQ1615))</f>
        <v>0</v>
      </c>
      <c r="BR1616">
        <f>IF($A1616="","",IF(BO1616=1,$C1616,MAX($C1616,BR1615)))</f>
        <v>0</v>
      </c>
      <c r="BS1616">
        <f>IF($A1616="","",IF(BO1616=1,$D1616,MIN($D1616,BS1615)))</f>
        <v>0</v>
      </c>
      <c r="BT1616">
        <f>IF($A1616="","",IF(BP1616=1,F1616,""))</f>
        <v>0</v>
      </c>
    </row>
    <row r="1617" spans="1:72">
      <c r="A1617" s="27">
        <f>IF(Data!$A1617="","",Data!$A1617)</f>
        <v>0</v>
      </c>
      <c r="B1617">
        <f>IF(Data!$B1617="","",Data!$B1617)</f>
        <v>0</v>
      </c>
      <c r="C1617">
        <f>IF(Data!$C1617="","",Data!$C1617)</f>
        <v>0</v>
      </c>
      <c r="D1617">
        <f>IF(Data!$D1617="","",Data!$D1617)</f>
        <v>0</v>
      </c>
      <c r="E1617">
        <f>IF(Data!$E1617="","",Data!$E1617)</f>
        <v>0</v>
      </c>
      <c r="F1617">
        <f>IF($E1617="","",N(F1616)+1)</f>
        <v>0</v>
      </c>
      <c r="G1617">
        <f>IF(OR($E1617="",$E1616=""),"",LN($E1617/$E1616))</f>
        <v>0</v>
      </c>
      <c r="H1617">
        <f>IF($E1617="","",IF($E1616="",$E1617,$E1617*0.0952380952+H1616*0.9047619048))</f>
        <v>0</v>
      </c>
      <c r="I1617">
        <f>IF($E1617="","",IF($E1616="",$E1617,$E1617*0.0392156863+I1616*0.9607843137))</f>
        <v>0</v>
      </c>
      <c r="J1617">
        <f>IF($E1617="","",IF($E1616="",$E1617,$E1617*0.0198019802+J1616*0.9801980198))</f>
        <v>0</v>
      </c>
      <c r="K1617">
        <f>IF($E1617="","",IF($E1616="",$E1617,$E1617*0.0099502488+K1616*0.9900497512))</f>
        <v>0</v>
      </c>
      <c r="L1617">
        <f>IF(OR($E1617="",$E1616=""),"",MAX($E1617-$E1616,0))</f>
        <v>0</v>
      </c>
      <c r="M1617">
        <f>IF(OR($E1617="",$E1616=""),"",MAX($E1616-$E1617,0))</f>
        <v>0</v>
      </c>
      <c r="N1617">
        <f>IF(COUNT($E$2:$E1617)&lt;15,"",IF(AVERAGE($M$1604:$M$1617)=0,100,100-100/(1+AVERAGE($L$1604:$L$1617)/AVERAGE($M$1604:$M$1617))))</f>
        <v>0</v>
      </c>
      <c r="O1617">
        <f>IF($E1617="","",IF($E1616="",$E1617,$E1617*0.1538461538+O1616*0.8461538462))</f>
        <v>0</v>
      </c>
      <c r="P1617">
        <f>IF($E1617="","",IF($E1616="",$E1617,$E1617*0.0740740741+P1616*0.9259259259))</f>
        <v>0</v>
      </c>
      <c r="Q1617">
        <f>IF(OR(O1617="",P1617=""),"",O1617-P1617)</f>
        <v>0</v>
      </c>
      <c r="R1617">
        <f>IF(Q1617="","",IF(R1616="",Q1617,Q1617*0.2000000000+R1616*0.8000000000))</f>
        <v>0</v>
      </c>
      <c r="S1617">
        <f>IF(OR(Q1617="",R1617=""),"",Q1617-R1617)</f>
        <v>0</v>
      </c>
      <c r="T1617">
        <f>IF(COUNT($E$2:$E1617)&lt;14,"",MAX($C$1604:$C$1617))</f>
        <v>0</v>
      </c>
      <c r="U1617">
        <f>IF(COUNT($E$2:$E1617)&lt;14,"",MIN($D$1604:$D$1617))</f>
        <v>0</v>
      </c>
      <c r="V1617">
        <f>IF(OR(T1617="",U1617="",T1617=U1617),"",100*($E1617-U1617)/(T1617-U1617))</f>
        <v>0</v>
      </c>
      <c r="W1617">
        <f>IF(COUNT($V$1615:$V$1617)&lt;3,"",AVERAGE($V$1615:$V$1617))</f>
        <v>0</v>
      </c>
      <c r="X1617">
        <f>IF(COUNT($N$1604:$N$1617)&lt;14,"",MIN($N$1604:$N$1617))</f>
        <v>0</v>
      </c>
      <c r="Y1617">
        <f>IF(COUNT($N$1604:$N$1617)&lt;14,"",MAX($N$1604:$N$1617))</f>
        <v>0</v>
      </c>
      <c r="Z1617">
        <f>IF(OR(N1617="",X1617="",Y1617="",Y1617=X1617),"",100*(N1617-X1617)/(Y1617-X1617))</f>
        <v>0</v>
      </c>
      <c r="AA1617">
        <f>IF(COUNT($Z$1615:$Z$1617)&lt;3,"",AVERAGE($Z$1615:$Z$1617))</f>
        <v>0</v>
      </c>
      <c r="AB1617">
        <f>IF(COUNT($AA$1615:$AA$1617)&lt;3,"",AVERAGE($AA$1615:$AA$1617))</f>
        <v>0</v>
      </c>
      <c r="AC1617">
        <f>IF($E1617="","",MAX($C1617-$D1617,ABS($C1617-$E1616),ABS($D1617-$E1616)))</f>
        <v>0</v>
      </c>
      <c r="AD1617">
        <f>IF(COUNT($E$2:$E1617)&lt;15,"",AVERAGE($AC$1604:$AC$1617))</f>
        <v>0</v>
      </c>
      <c r="AE1617">
        <f>IF(OR($E1617="",$E1616=""),"",IF(AND(($C1617-$C1616)&gt;($D1616-$D1617),($C1617-$C1616)&gt;0),$C1617-$C1616,0))</f>
        <v>0</v>
      </c>
      <c r="AF1617">
        <f>IF(OR($E1617="",$E1616=""),"",IF(AND(($D1616-$D1617)&gt;($C1617-$C1616),($D1616-$D1617)&gt;0),$D1616-$D1617,0))</f>
        <v>0</v>
      </c>
      <c r="AG1617">
        <f>IF(COUNT($E$2:$E1617)&lt;15,"",IF(SUM($AC$1604:$AC$1617)=0,0,100*SUM($AE$1604:$AE$1617)/SUM($AC$1604:$AC$1617)))</f>
        <v>0</v>
      </c>
      <c r="AH1617">
        <f>IF(COUNT($E$2:$E1617)&lt;15,"",IF(SUM($AC$1604:$AC$1617)=0,0,100*SUM($AF$1604:$AF$1617)/SUM($AC$1604:$AC$1617)))</f>
        <v>0</v>
      </c>
      <c r="AI1617">
        <f>IF(OR(AG1617="",AH1617=""),"",IF((AG1617+AH1617)=0,0,100*ABS(AG1617-AH1617)/(AG1617+AH1617)))</f>
        <v>0</v>
      </c>
      <c r="AJ1617">
        <f>IF(COUNT($AI$1604:$AI$1617)&lt;14,"",AVERAGE($AI$1604:$AI$1617))</f>
        <v>0</v>
      </c>
      <c r="AK1617">
        <f>IF(COUNT($E$2:$E1617)&lt;20,"",AVERAGE($E$1598:$E$1617))</f>
        <v>0</v>
      </c>
      <c r="AL1617">
        <f>IF(COUNT($E$2:$E1617)&lt;20,"",STDEVP($E$1598:$E$1617))</f>
        <v>0</v>
      </c>
      <c r="AM1617">
        <f>IF(AK1617="","",AK1617+2*AL1617)</f>
        <v>0</v>
      </c>
      <c r="AN1617">
        <f>IF(AK1617="","",AK1617-2*AL1617)</f>
        <v>0</v>
      </c>
      <c r="AO1617">
        <f>IF(OR(AM1617="",AN1617="",AM1617=AN1617),"",($E1617-AN1617)/(AM1617-AN1617))</f>
        <v>0</v>
      </c>
      <c r="AP1617">
        <f>IF(OR(AM1617="",AK1617="",AK1617=0),"",(AM1617-AN1617)/AK1617)</f>
        <v>0</v>
      </c>
      <c r="AQ1617">
        <f>IF(COUNT($E$2:$E1617)&lt;20,"",MAX($C$1598:$C$1617))</f>
        <v>0</v>
      </c>
      <c r="AR1617">
        <f>IF(COUNT($E$2:$E1617)&lt;20,"",MIN($D$1598:$D$1617))</f>
        <v>0</v>
      </c>
      <c r="AS1617">
        <f>IF(OR(AQ1617="",AR1617=""),"",(AQ1617+AR1617)/2)</f>
        <v>0</v>
      </c>
      <c r="AT1617">
        <f>IF(COUNT($G$1598:$G$1617)&lt;20,"",STDEV($G$1598:$G$1617)*SQRT(252))</f>
        <v>0</v>
      </c>
      <c r="AU1617">
        <f>IF(COUNT($E$2:$E1617)&lt;9,"",(MAX($C$1609:$C$1617)+MIN($D$1609:$D$1617))/2)</f>
        <v>0</v>
      </c>
      <c r="AV1617">
        <f>IF(COUNT($E$2:$E1617)&lt;26,"",(MAX($C$1592:$C$1617)+MIN($D$1592:$D$1617))/2)</f>
        <v>0</v>
      </c>
      <c r="AW1617">
        <f>IF(OR(AU1617="",AV1617=""),"",(AU1617+AV1617)/2)</f>
        <v>0</v>
      </c>
      <c r="AX1617">
        <f>IF(COUNT($E$2:$E1617)&lt;52,"",(MAX($C$1566:$C$1617)+MIN($D$1566:$D$1617))/2)</f>
        <v>0</v>
      </c>
      <c r="AY1617">
        <f>IF(COUNT($E$2:$E1617)&lt;20,"",MAX($C$1518:$C$1617))</f>
        <v>0</v>
      </c>
      <c r="AZ1617">
        <f>IF(COUNT($E$2:$E1617)&lt;20,"",MIN($D$1518:$D$1617))</f>
        <v>0</v>
      </c>
      <c r="BA1617">
        <f>IF(COUNT($E$2:$E1617)&lt;20,"",SLOPE($E$1518:$E$1617,$F$1518:$F$1617))</f>
        <v>0</v>
      </c>
      <c r="BB1617">
        <f>IF(COUNT($E$2:$E1617)&lt;20,"",INTERCEPT($E$1518:$E$1617,$F$1518:$F$1617))</f>
        <v>0</v>
      </c>
      <c r="BC1617">
        <f>IF(OR(BA1617="",BB1617=""),"",BB1617+BA1617*F1617)</f>
        <v>0</v>
      </c>
      <c r="BD1617">
        <f>IF(COUNT($E$2:$E1617)&lt;20,"",STEYX($E$1518:$E$1617,$F$1518:$F$1617))</f>
        <v>0</v>
      </c>
      <c r="BE1617">
        <f>IF($E1617="","",IF(AND(COUNT($E$1618:$E$1621)&gt;=4,$C1617=MAX($C$1613:$C$1621)),$C1617,""))</f>
        <v>0</v>
      </c>
      <c r="BF1617">
        <f>IF($E1617="","",IF(AND(COUNT($E$1618:$E$1621)&gt;=4,$D1617=MIN($D$1613:$D$1621)),$D1617,""))</f>
        <v>0</v>
      </c>
      <c r="BG1617">
        <f>IF($A1617="","",$A1617-WEEKDAY($A1617,2)+1)</f>
        <v>0</v>
      </c>
      <c r="BH1617">
        <f>IF($A1617="","",IF($A1616="",1,IF(BG1617&lt;&gt;BG1616,1,0)))</f>
        <v>0</v>
      </c>
      <c r="BI1617">
        <f>IF($A1617="","",IF($A1618="",1,IF(BG1618&lt;&gt;BG1617,1,0)))</f>
        <v>0</v>
      </c>
      <c r="BJ1617">
        <f>IF($A1617="","",IF(BH1617=1,$B1617,BJ1616))</f>
        <v>0</v>
      </c>
      <c r="BK1617">
        <f>IF($A1617="","",IF(BH1617=1,$C1617,MAX($C1617,BK1616)))</f>
        <v>0</v>
      </c>
      <c r="BL1617">
        <f>IF($A1617="","",IF(BH1617=1,$D1617,MIN($D1617,BL1616)))</f>
        <v>0</v>
      </c>
      <c r="BM1617">
        <f>IF($A1617="","",IF(BI1617=1,F1617,""))</f>
        <v>0</v>
      </c>
      <c r="BN1617">
        <f>IF($A1617="","",DATE(YEAR($A1617),MONTH($A1617),1))</f>
        <v>0</v>
      </c>
      <c r="BO1617">
        <f>IF($A1617="","",IF($A1616="",1,IF(BN1617&lt;&gt;BN1616,1,0)))</f>
        <v>0</v>
      </c>
      <c r="BP1617">
        <f>IF($A1617="","",IF($A1618="",1,IF(BN1618&lt;&gt;BN1617,1,0)))</f>
        <v>0</v>
      </c>
      <c r="BQ1617">
        <f>IF($A1617="","",IF(BO1617=1,$B1617,BQ1616))</f>
        <v>0</v>
      </c>
      <c r="BR1617">
        <f>IF($A1617="","",IF(BO1617=1,$C1617,MAX($C1617,BR1616)))</f>
        <v>0</v>
      </c>
      <c r="BS1617">
        <f>IF($A1617="","",IF(BO1617=1,$D1617,MIN($D1617,BS1616)))</f>
        <v>0</v>
      </c>
      <c r="BT1617">
        <f>IF($A1617="","",IF(BP1617=1,F1617,""))</f>
        <v>0</v>
      </c>
    </row>
    <row r="1618" spans="1:72">
      <c r="A1618" s="27">
        <f>IF(Data!$A1618="","",Data!$A1618)</f>
        <v>0</v>
      </c>
      <c r="B1618">
        <f>IF(Data!$B1618="","",Data!$B1618)</f>
        <v>0</v>
      </c>
      <c r="C1618">
        <f>IF(Data!$C1618="","",Data!$C1618)</f>
        <v>0</v>
      </c>
      <c r="D1618">
        <f>IF(Data!$D1618="","",Data!$D1618)</f>
        <v>0</v>
      </c>
      <c r="E1618">
        <f>IF(Data!$E1618="","",Data!$E1618)</f>
        <v>0</v>
      </c>
      <c r="F1618">
        <f>IF($E1618="","",N(F1617)+1)</f>
        <v>0</v>
      </c>
      <c r="G1618">
        <f>IF(OR($E1618="",$E1617=""),"",LN($E1618/$E1617))</f>
        <v>0</v>
      </c>
      <c r="H1618">
        <f>IF($E1618="","",IF($E1617="",$E1618,$E1618*0.0952380952+H1617*0.9047619048))</f>
        <v>0</v>
      </c>
      <c r="I1618">
        <f>IF($E1618="","",IF($E1617="",$E1618,$E1618*0.0392156863+I1617*0.9607843137))</f>
        <v>0</v>
      </c>
      <c r="J1618">
        <f>IF($E1618="","",IF($E1617="",$E1618,$E1618*0.0198019802+J1617*0.9801980198))</f>
        <v>0</v>
      </c>
      <c r="K1618">
        <f>IF($E1618="","",IF($E1617="",$E1618,$E1618*0.0099502488+K1617*0.9900497512))</f>
        <v>0</v>
      </c>
      <c r="L1618">
        <f>IF(OR($E1618="",$E1617=""),"",MAX($E1618-$E1617,0))</f>
        <v>0</v>
      </c>
      <c r="M1618">
        <f>IF(OR($E1618="",$E1617=""),"",MAX($E1617-$E1618,0))</f>
        <v>0</v>
      </c>
      <c r="N1618">
        <f>IF(COUNT($E$2:$E1618)&lt;15,"",IF(AVERAGE($M$1605:$M$1618)=0,100,100-100/(1+AVERAGE($L$1605:$L$1618)/AVERAGE($M$1605:$M$1618))))</f>
        <v>0</v>
      </c>
      <c r="O1618">
        <f>IF($E1618="","",IF($E1617="",$E1618,$E1618*0.1538461538+O1617*0.8461538462))</f>
        <v>0</v>
      </c>
      <c r="P1618">
        <f>IF($E1618="","",IF($E1617="",$E1618,$E1618*0.0740740741+P1617*0.9259259259))</f>
        <v>0</v>
      </c>
      <c r="Q1618">
        <f>IF(OR(O1618="",P1618=""),"",O1618-P1618)</f>
        <v>0</v>
      </c>
      <c r="R1618">
        <f>IF(Q1618="","",IF(R1617="",Q1618,Q1618*0.2000000000+R1617*0.8000000000))</f>
        <v>0</v>
      </c>
      <c r="S1618">
        <f>IF(OR(Q1618="",R1618=""),"",Q1618-R1618)</f>
        <v>0</v>
      </c>
      <c r="T1618">
        <f>IF(COUNT($E$2:$E1618)&lt;14,"",MAX($C$1605:$C$1618))</f>
        <v>0</v>
      </c>
      <c r="U1618">
        <f>IF(COUNT($E$2:$E1618)&lt;14,"",MIN($D$1605:$D$1618))</f>
        <v>0</v>
      </c>
      <c r="V1618">
        <f>IF(OR(T1618="",U1618="",T1618=U1618),"",100*($E1618-U1618)/(T1618-U1618))</f>
        <v>0</v>
      </c>
      <c r="W1618">
        <f>IF(COUNT($V$1616:$V$1618)&lt;3,"",AVERAGE($V$1616:$V$1618))</f>
        <v>0</v>
      </c>
      <c r="X1618">
        <f>IF(COUNT($N$1605:$N$1618)&lt;14,"",MIN($N$1605:$N$1618))</f>
        <v>0</v>
      </c>
      <c r="Y1618">
        <f>IF(COUNT($N$1605:$N$1618)&lt;14,"",MAX($N$1605:$N$1618))</f>
        <v>0</v>
      </c>
      <c r="Z1618">
        <f>IF(OR(N1618="",X1618="",Y1618="",Y1618=X1618),"",100*(N1618-X1618)/(Y1618-X1618))</f>
        <v>0</v>
      </c>
      <c r="AA1618">
        <f>IF(COUNT($Z$1616:$Z$1618)&lt;3,"",AVERAGE($Z$1616:$Z$1618))</f>
        <v>0</v>
      </c>
      <c r="AB1618">
        <f>IF(COUNT($AA$1616:$AA$1618)&lt;3,"",AVERAGE($AA$1616:$AA$1618))</f>
        <v>0</v>
      </c>
      <c r="AC1618">
        <f>IF($E1618="","",MAX($C1618-$D1618,ABS($C1618-$E1617),ABS($D1618-$E1617)))</f>
        <v>0</v>
      </c>
      <c r="AD1618">
        <f>IF(COUNT($E$2:$E1618)&lt;15,"",AVERAGE($AC$1605:$AC$1618))</f>
        <v>0</v>
      </c>
      <c r="AE1618">
        <f>IF(OR($E1618="",$E1617=""),"",IF(AND(($C1618-$C1617)&gt;($D1617-$D1618),($C1618-$C1617)&gt;0),$C1618-$C1617,0))</f>
        <v>0</v>
      </c>
      <c r="AF1618">
        <f>IF(OR($E1618="",$E1617=""),"",IF(AND(($D1617-$D1618)&gt;($C1618-$C1617),($D1617-$D1618)&gt;0),$D1617-$D1618,0))</f>
        <v>0</v>
      </c>
      <c r="AG1618">
        <f>IF(COUNT($E$2:$E1618)&lt;15,"",IF(SUM($AC$1605:$AC$1618)=0,0,100*SUM($AE$1605:$AE$1618)/SUM($AC$1605:$AC$1618)))</f>
        <v>0</v>
      </c>
      <c r="AH1618">
        <f>IF(COUNT($E$2:$E1618)&lt;15,"",IF(SUM($AC$1605:$AC$1618)=0,0,100*SUM($AF$1605:$AF$1618)/SUM($AC$1605:$AC$1618)))</f>
        <v>0</v>
      </c>
      <c r="AI1618">
        <f>IF(OR(AG1618="",AH1618=""),"",IF((AG1618+AH1618)=0,0,100*ABS(AG1618-AH1618)/(AG1618+AH1618)))</f>
        <v>0</v>
      </c>
      <c r="AJ1618">
        <f>IF(COUNT($AI$1605:$AI$1618)&lt;14,"",AVERAGE($AI$1605:$AI$1618))</f>
        <v>0</v>
      </c>
      <c r="AK1618">
        <f>IF(COUNT($E$2:$E1618)&lt;20,"",AVERAGE($E$1599:$E$1618))</f>
        <v>0</v>
      </c>
      <c r="AL1618">
        <f>IF(COUNT($E$2:$E1618)&lt;20,"",STDEVP($E$1599:$E$1618))</f>
        <v>0</v>
      </c>
      <c r="AM1618">
        <f>IF(AK1618="","",AK1618+2*AL1618)</f>
        <v>0</v>
      </c>
      <c r="AN1618">
        <f>IF(AK1618="","",AK1618-2*AL1618)</f>
        <v>0</v>
      </c>
      <c r="AO1618">
        <f>IF(OR(AM1618="",AN1618="",AM1618=AN1618),"",($E1618-AN1618)/(AM1618-AN1618))</f>
        <v>0</v>
      </c>
      <c r="AP1618">
        <f>IF(OR(AM1618="",AK1618="",AK1618=0),"",(AM1618-AN1618)/AK1618)</f>
        <v>0</v>
      </c>
      <c r="AQ1618">
        <f>IF(COUNT($E$2:$E1618)&lt;20,"",MAX($C$1599:$C$1618))</f>
        <v>0</v>
      </c>
      <c r="AR1618">
        <f>IF(COUNT($E$2:$E1618)&lt;20,"",MIN($D$1599:$D$1618))</f>
        <v>0</v>
      </c>
      <c r="AS1618">
        <f>IF(OR(AQ1618="",AR1618=""),"",(AQ1618+AR1618)/2)</f>
        <v>0</v>
      </c>
      <c r="AT1618">
        <f>IF(COUNT($G$1599:$G$1618)&lt;20,"",STDEV($G$1599:$G$1618)*SQRT(252))</f>
        <v>0</v>
      </c>
      <c r="AU1618">
        <f>IF(COUNT($E$2:$E1618)&lt;9,"",(MAX($C$1610:$C$1618)+MIN($D$1610:$D$1618))/2)</f>
        <v>0</v>
      </c>
      <c r="AV1618">
        <f>IF(COUNT($E$2:$E1618)&lt;26,"",(MAX($C$1593:$C$1618)+MIN($D$1593:$D$1618))/2)</f>
        <v>0</v>
      </c>
      <c r="AW1618">
        <f>IF(OR(AU1618="",AV1618=""),"",(AU1618+AV1618)/2)</f>
        <v>0</v>
      </c>
      <c r="AX1618">
        <f>IF(COUNT($E$2:$E1618)&lt;52,"",(MAX($C$1567:$C$1618)+MIN($D$1567:$D$1618))/2)</f>
        <v>0</v>
      </c>
      <c r="AY1618">
        <f>IF(COUNT($E$2:$E1618)&lt;20,"",MAX($C$1519:$C$1618))</f>
        <v>0</v>
      </c>
      <c r="AZ1618">
        <f>IF(COUNT($E$2:$E1618)&lt;20,"",MIN($D$1519:$D$1618))</f>
        <v>0</v>
      </c>
      <c r="BA1618">
        <f>IF(COUNT($E$2:$E1618)&lt;20,"",SLOPE($E$1519:$E$1618,$F$1519:$F$1618))</f>
        <v>0</v>
      </c>
      <c r="BB1618">
        <f>IF(COUNT($E$2:$E1618)&lt;20,"",INTERCEPT($E$1519:$E$1618,$F$1519:$F$1618))</f>
        <v>0</v>
      </c>
      <c r="BC1618">
        <f>IF(OR(BA1618="",BB1618=""),"",BB1618+BA1618*F1618)</f>
        <v>0</v>
      </c>
      <c r="BD1618">
        <f>IF(COUNT($E$2:$E1618)&lt;20,"",STEYX($E$1519:$E$1618,$F$1519:$F$1618))</f>
        <v>0</v>
      </c>
      <c r="BE1618">
        <f>IF($E1618="","",IF(AND(COUNT($E$1619:$E$1622)&gt;=4,$C1618=MAX($C$1614:$C$1622)),$C1618,""))</f>
        <v>0</v>
      </c>
      <c r="BF1618">
        <f>IF($E1618="","",IF(AND(COUNT($E$1619:$E$1622)&gt;=4,$D1618=MIN($D$1614:$D$1622)),$D1618,""))</f>
        <v>0</v>
      </c>
      <c r="BG1618">
        <f>IF($A1618="","",$A1618-WEEKDAY($A1618,2)+1)</f>
        <v>0</v>
      </c>
      <c r="BH1618">
        <f>IF($A1618="","",IF($A1617="",1,IF(BG1618&lt;&gt;BG1617,1,0)))</f>
        <v>0</v>
      </c>
      <c r="BI1618">
        <f>IF($A1618="","",IF($A1619="",1,IF(BG1619&lt;&gt;BG1618,1,0)))</f>
        <v>0</v>
      </c>
      <c r="BJ1618">
        <f>IF($A1618="","",IF(BH1618=1,$B1618,BJ1617))</f>
        <v>0</v>
      </c>
      <c r="BK1618">
        <f>IF($A1618="","",IF(BH1618=1,$C1618,MAX($C1618,BK1617)))</f>
        <v>0</v>
      </c>
      <c r="BL1618">
        <f>IF($A1618="","",IF(BH1618=1,$D1618,MIN($D1618,BL1617)))</f>
        <v>0</v>
      </c>
      <c r="BM1618">
        <f>IF($A1618="","",IF(BI1618=1,F1618,""))</f>
        <v>0</v>
      </c>
      <c r="BN1618">
        <f>IF($A1618="","",DATE(YEAR($A1618),MONTH($A1618),1))</f>
        <v>0</v>
      </c>
      <c r="BO1618">
        <f>IF($A1618="","",IF($A1617="",1,IF(BN1618&lt;&gt;BN1617,1,0)))</f>
        <v>0</v>
      </c>
      <c r="BP1618">
        <f>IF($A1618="","",IF($A1619="",1,IF(BN1619&lt;&gt;BN1618,1,0)))</f>
        <v>0</v>
      </c>
      <c r="BQ1618">
        <f>IF($A1618="","",IF(BO1618=1,$B1618,BQ1617))</f>
        <v>0</v>
      </c>
      <c r="BR1618">
        <f>IF($A1618="","",IF(BO1618=1,$C1618,MAX($C1618,BR1617)))</f>
        <v>0</v>
      </c>
      <c r="BS1618">
        <f>IF($A1618="","",IF(BO1618=1,$D1618,MIN($D1618,BS1617)))</f>
        <v>0</v>
      </c>
      <c r="BT1618">
        <f>IF($A1618="","",IF(BP1618=1,F1618,""))</f>
        <v>0</v>
      </c>
    </row>
    <row r="1619" spans="1:72">
      <c r="A1619" s="27">
        <f>IF(Data!$A1619="","",Data!$A1619)</f>
        <v>0</v>
      </c>
      <c r="B1619">
        <f>IF(Data!$B1619="","",Data!$B1619)</f>
        <v>0</v>
      </c>
      <c r="C1619">
        <f>IF(Data!$C1619="","",Data!$C1619)</f>
        <v>0</v>
      </c>
      <c r="D1619">
        <f>IF(Data!$D1619="","",Data!$D1619)</f>
        <v>0</v>
      </c>
      <c r="E1619">
        <f>IF(Data!$E1619="","",Data!$E1619)</f>
        <v>0</v>
      </c>
      <c r="F1619">
        <f>IF($E1619="","",N(F1618)+1)</f>
        <v>0</v>
      </c>
      <c r="G1619">
        <f>IF(OR($E1619="",$E1618=""),"",LN($E1619/$E1618))</f>
        <v>0</v>
      </c>
      <c r="H1619">
        <f>IF($E1619="","",IF($E1618="",$E1619,$E1619*0.0952380952+H1618*0.9047619048))</f>
        <v>0</v>
      </c>
      <c r="I1619">
        <f>IF($E1619="","",IF($E1618="",$E1619,$E1619*0.0392156863+I1618*0.9607843137))</f>
        <v>0</v>
      </c>
      <c r="J1619">
        <f>IF($E1619="","",IF($E1618="",$E1619,$E1619*0.0198019802+J1618*0.9801980198))</f>
        <v>0</v>
      </c>
      <c r="K1619">
        <f>IF($E1619="","",IF($E1618="",$E1619,$E1619*0.0099502488+K1618*0.9900497512))</f>
        <v>0</v>
      </c>
      <c r="L1619">
        <f>IF(OR($E1619="",$E1618=""),"",MAX($E1619-$E1618,0))</f>
        <v>0</v>
      </c>
      <c r="M1619">
        <f>IF(OR($E1619="",$E1618=""),"",MAX($E1618-$E1619,0))</f>
        <v>0</v>
      </c>
      <c r="N1619">
        <f>IF(COUNT($E$2:$E1619)&lt;15,"",IF(AVERAGE($M$1606:$M$1619)=0,100,100-100/(1+AVERAGE($L$1606:$L$1619)/AVERAGE($M$1606:$M$1619))))</f>
        <v>0</v>
      </c>
      <c r="O1619">
        <f>IF($E1619="","",IF($E1618="",$E1619,$E1619*0.1538461538+O1618*0.8461538462))</f>
        <v>0</v>
      </c>
      <c r="P1619">
        <f>IF($E1619="","",IF($E1618="",$E1619,$E1619*0.0740740741+P1618*0.9259259259))</f>
        <v>0</v>
      </c>
      <c r="Q1619">
        <f>IF(OR(O1619="",P1619=""),"",O1619-P1619)</f>
        <v>0</v>
      </c>
      <c r="R1619">
        <f>IF(Q1619="","",IF(R1618="",Q1619,Q1619*0.2000000000+R1618*0.8000000000))</f>
        <v>0</v>
      </c>
      <c r="S1619">
        <f>IF(OR(Q1619="",R1619=""),"",Q1619-R1619)</f>
        <v>0</v>
      </c>
      <c r="T1619">
        <f>IF(COUNT($E$2:$E1619)&lt;14,"",MAX($C$1606:$C$1619))</f>
        <v>0</v>
      </c>
      <c r="U1619">
        <f>IF(COUNT($E$2:$E1619)&lt;14,"",MIN($D$1606:$D$1619))</f>
        <v>0</v>
      </c>
      <c r="V1619">
        <f>IF(OR(T1619="",U1619="",T1619=U1619),"",100*($E1619-U1619)/(T1619-U1619))</f>
        <v>0</v>
      </c>
      <c r="W1619">
        <f>IF(COUNT($V$1617:$V$1619)&lt;3,"",AVERAGE($V$1617:$V$1619))</f>
        <v>0</v>
      </c>
      <c r="X1619">
        <f>IF(COUNT($N$1606:$N$1619)&lt;14,"",MIN($N$1606:$N$1619))</f>
        <v>0</v>
      </c>
      <c r="Y1619">
        <f>IF(COUNT($N$1606:$N$1619)&lt;14,"",MAX($N$1606:$N$1619))</f>
        <v>0</v>
      </c>
      <c r="Z1619">
        <f>IF(OR(N1619="",X1619="",Y1619="",Y1619=X1619),"",100*(N1619-X1619)/(Y1619-X1619))</f>
        <v>0</v>
      </c>
      <c r="AA1619">
        <f>IF(COUNT($Z$1617:$Z$1619)&lt;3,"",AVERAGE($Z$1617:$Z$1619))</f>
        <v>0</v>
      </c>
      <c r="AB1619">
        <f>IF(COUNT($AA$1617:$AA$1619)&lt;3,"",AVERAGE($AA$1617:$AA$1619))</f>
        <v>0</v>
      </c>
      <c r="AC1619">
        <f>IF($E1619="","",MAX($C1619-$D1619,ABS($C1619-$E1618),ABS($D1619-$E1618)))</f>
        <v>0</v>
      </c>
      <c r="AD1619">
        <f>IF(COUNT($E$2:$E1619)&lt;15,"",AVERAGE($AC$1606:$AC$1619))</f>
        <v>0</v>
      </c>
      <c r="AE1619">
        <f>IF(OR($E1619="",$E1618=""),"",IF(AND(($C1619-$C1618)&gt;($D1618-$D1619),($C1619-$C1618)&gt;0),$C1619-$C1618,0))</f>
        <v>0</v>
      </c>
      <c r="AF1619">
        <f>IF(OR($E1619="",$E1618=""),"",IF(AND(($D1618-$D1619)&gt;($C1619-$C1618),($D1618-$D1619)&gt;0),$D1618-$D1619,0))</f>
        <v>0</v>
      </c>
      <c r="AG1619">
        <f>IF(COUNT($E$2:$E1619)&lt;15,"",IF(SUM($AC$1606:$AC$1619)=0,0,100*SUM($AE$1606:$AE$1619)/SUM($AC$1606:$AC$1619)))</f>
        <v>0</v>
      </c>
      <c r="AH1619">
        <f>IF(COUNT($E$2:$E1619)&lt;15,"",IF(SUM($AC$1606:$AC$1619)=0,0,100*SUM($AF$1606:$AF$1619)/SUM($AC$1606:$AC$1619)))</f>
        <v>0</v>
      </c>
      <c r="AI1619">
        <f>IF(OR(AG1619="",AH1619=""),"",IF((AG1619+AH1619)=0,0,100*ABS(AG1619-AH1619)/(AG1619+AH1619)))</f>
        <v>0</v>
      </c>
      <c r="AJ1619">
        <f>IF(COUNT($AI$1606:$AI$1619)&lt;14,"",AVERAGE($AI$1606:$AI$1619))</f>
        <v>0</v>
      </c>
      <c r="AK1619">
        <f>IF(COUNT($E$2:$E1619)&lt;20,"",AVERAGE($E$1600:$E$1619))</f>
        <v>0</v>
      </c>
      <c r="AL1619">
        <f>IF(COUNT($E$2:$E1619)&lt;20,"",STDEVP($E$1600:$E$1619))</f>
        <v>0</v>
      </c>
      <c r="AM1619">
        <f>IF(AK1619="","",AK1619+2*AL1619)</f>
        <v>0</v>
      </c>
      <c r="AN1619">
        <f>IF(AK1619="","",AK1619-2*AL1619)</f>
        <v>0</v>
      </c>
      <c r="AO1619">
        <f>IF(OR(AM1619="",AN1619="",AM1619=AN1619),"",($E1619-AN1619)/(AM1619-AN1619))</f>
        <v>0</v>
      </c>
      <c r="AP1619">
        <f>IF(OR(AM1619="",AK1619="",AK1619=0),"",(AM1619-AN1619)/AK1619)</f>
        <v>0</v>
      </c>
      <c r="AQ1619">
        <f>IF(COUNT($E$2:$E1619)&lt;20,"",MAX($C$1600:$C$1619))</f>
        <v>0</v>
      </c>
      <c r="AR1619">
        <f>IF(COUNT($E$2:$E1619)&lt;20,"",MIN($D$1600:$D$1619))</f>
        <v>0</v>
      </c>
      <c r="AS1619">
        <f>IF(OR(AQ1619="",AR1619=""),"",(AQ1619+AR1619)/2)</f>
        <v>0</v>
      </c>
      <c r="AT1619">
        <f>IF(COUNT($G$1600:$G$1619)&lt;20,"",STDEV($G$1600:$G$1619)*SQRT(252))</f>
        <v>0</v>
      </c>
      <c r="AU1619">
        <f>IF(COUNT($E$2:$E1619)&lt;9,"",(MAX($C$1611:$C$1619)+MIN($D$1611:$D$1619))/2)</f>
        <v>0</v>
      </c>
      <c r="AV1619">
        <f>IF(COUNT($E$2:$E1619)&lt;26,"",(MAX($C$1594:$C$1619)+MIN($D$1594:$D$1619))/2)</f>
        <v>0</v>
      </c>
      <c r="AW1619">
        <f>IF(OR(AU1619="",AV1619=""),"",(AU1619+AV1619)/2)</f>
        <v>0</v>
      </c>
      <c r="AX1619">
        <f>IF(COUNT($E$2:$E1619)&lt;52,"",(MAX($C$1568:$C$1619)+MIN($D$1568:$D$1619))/2)</f>
        <v>0</v>
      </c>
      <c r="AY1619">
        <f>IF(COUNT($E$2:$E1619)&lt;20,"",MAX($C$1520:$C$1619))</f>
        <v>0</v>
      </c>
      <c r="AZ1619">
        <f>IF(COUNT($E$2:$E1619)&lt;20,"",MIN($D$1520:$D$1619))</f>
        <v>0</v>
      </c>
      <c r="BA1619">
        <f>IF(COUNT($E$2:$E1619)&lt;20,"",SLOPE($E$1520:$E$1619,$F$1520:$F$1619))</f>
        <v>0</v>
      </c>
      <c r="BB1619">
        <f>IF(COUNT($E$2:$E1619)&lt;20,"",INTERCEPT($E$1520:$E$1619,$F$1520:$F$1619))</f>
        <v>0</v>
      </c>
      <c r="BC1619">
        <f>IF(OR(BA1619="",BB1619=""),"",BB1619+BA1619*F1619)</f>
        <v>0</v>
      </c>
      <c r="BD1619">
        <f>IF(COUNT($E$2:$E1619)&lt;20,"",STEYX($E$1520:$E$1619,$F$1520:$F$1619))</f>
        <v>0</v>
      </c>
      <c r="BE1619">
        <f>IF($E1619="","",IF(AND(COUNT($E$1620:$E$1623)&gt;=4,$C1619=MAX($C$1615:$C$1623)),$C1619,""))</f>
        <v>0</v>
      </c>
      <c r="BF1619">
        <f>IF($E1619="","",IF(AND(COUNT($E$1620:$E$1623)&gt;=4,$D1619=MIN($D$1615:$D$1623)),$D1619,""))</f>
        <v>0</v>
      </c>
      <c r="BG1619">
        <f>IF($A1619="","",$A1619-WEEKDAY($A1619,2)+1)</f>
        <v>0</v>
      </c>
      <c r="BH1619">
        <f>IF($A1619="","",IF($A1618="",1,IF(BG1619&lt;&gt;BG1618,1,0)))</f>
        <v>0</v>
      </c>
      <c r="BI1619">
        <f>IF($A1619="","",IF($A1620="",1,IF(BG1620&lt;&gt;BG1619,1,0)))</f>
        <v>0</v>
      </c>
      <c r="BJ1619">
        <f>IF($A1619="","",IF(BH1619=1,$B1619,BJ1618))</f>
        <v>0</v>
      </c>
      <c r="BK1619">
        <f>IF($A1619="","",IF(BH1619=1,$C1619,MAX($C1619,BK1618)))</f>
        <v>0</v>
      </c>
      <c r="BL1619">
        <f>IF($A1619="","",IF(BH1619=1,$D1619,MIN($D1619,BL1618)))</f>
        <v>0</v>
      </c>
      <c r="BM1619">
        <f>IF($A1619="","",IF(BI1619=1,F1619,""))</f>
        <v>0</v>
      </c>
      <c r="BN1619">
        <f>IF($A1619="","",DATE(YEAR($A1619),MONTH($A1619),1))</f>
        <v>0</v>
      </c>
      <c r="BO1619">
        <f>IF($A1619="","",IF($A1618="",1,IF(BN1619&lt;&gt;BN1618,1,0)))</f>
        <v>0</v>
      </c>
      <c r="BP1619">
        <f>IF($A1619="","",IF($A1620="",1,IF(BN1620&lt;&gt;BN1619,1,0)))</f>
        <v>0</v>
      </c>
      <c r="BQ1619">
        <f>IF($A1619="","",IF(BO1619=1,$B1619,BQ1618))</f>
        <v>0</v>
      </c>
      <c r="BR1619">
        <f>IF($A1619="","",IF(BO1619=1,$C1619,MAX($C1619,BR1618)))</f>
        <v>0</v>
      </c>
      <c r="BS1619">
        <f>IF($A1619="","",IF(BO1619=1,$D1619,MIN($D1619,BS1618)))</f>
        <v>0</v>
      </c>
      <c r="BT1619">
        <f>IF($A1619="","",IF(BP1619=1,F1619,""))</f>
        <v>0</v>
      </c>
    </row>
    <row r="1620" spans="1:72">
      <c r="A1620" s="27">
        <f>IF(Data!$A1620="","",Data!$A1620)</f>
        <v>0</v>
      </c>
      <c r="B1620">
        <f>IF(Data!$B1620="","",Data!$B1620)</f>
        <v>0</v>
      </c>
      <c r="C1620">
        <f>IF(Data!$C1620="","",Data!$C1620)</f>
        <v>0</v>
      </c>
      <c r="D1620">
        <f>IF(Data!$D1620="","",Data!$D1620)</f>
        <v>0</v>
      </c>
      <c r="E1620">
        <f>IF(Data!$E1620="","",Data!$E1620)</f>
        <v>0</v>
      </c>
      <c r="F1620">
        <f>IF($E1620="","",N(F1619)+1)</f>
        <v>0</v>
      </c>
      <c r="G1620">
        <f>IF(OR($E1620="",$E1619=""),"",LN($E1620/$E1619))</f>
        <v>0</v>
      </c>
      <c r="H1620">
        <f>IF($E1620="","",IF($E1619="",$E1620,$E1620*0.0952380952+H1619*0.9047619048))</f>
        <v>0</v>
      </c>
      <c r="I1620">
        <f>IF($E1620="","",IF($E1619="",$E1620,$E1620*0.0392156863+I1619*0.9607843137))</f>
        <v>0</v>
      </c>
      <c r="J1620">
        <f>IF($E1620="","",IF($E1619="",$E1620,$E1620*0.0198019802+J1619*0.9801980198))</f>
        <v>0</v>
      </c>
      <c r="K1620">
        <f>IF($E1620="","",IF($E1619="",$E1620,$E1620*0.0099502488+K1619*0.9900497512))</f>
        <v>0</v>
      </c>
      <c r="L1620">
        <f>IF(OR($E1620="",$E1619=""),"",MAX($E1620-$E1619,0))</f>
        <v>0</v>
      </c>
      <c r="M1620">
        <f>IF(OR($E1620="",$E1619=""),"",MAX($E1619-$E1620,0))</f>
        <v>0</v>
      </c>
      <c r="N1620">
        <f>IF(COUNT($E$2:$E1620)&lt;15,"",IF(AVERAGE($M$1607:$M$1620)=0,100,100-100/(1+AVERAGE($L$1607:$L$1620)/AVERAGE($M$1607:$M$1620))))</f>
        <v>0</v>
      </c>
      <c r="O1620">
        <f>IF($E1620="","",IF($E1619="",$E1620,$E1620*0.1538461538+O1619*0.8461538462))</f>
        <v>0</v>
      </c>
      <c r="P1620">
        <f>IF($E1620="","",IF($E1619="",$E1620,$E1620*0.0740740741+P1619*0.9259259259))</f>
        <v>0</v>
      </c>
      <c r="Q1620">
        <f>IF(OR(O1620="",P1620=""),"",O1620-P1620)</f>
        <v>0</v>
      </c>
      <c r="R1620">
        <f>IF(Q1620="","",IF(R1619="",Q1620,Q1620*0.2000000000+R1619*0.8000000000))</f>
        <v>0</v>
      </c>
      <c r="S1620">
        <f>IF(OR(Q1620="",R1620=""),"",Q1620-R1620)</f>
        <v>0</v>
      </c>
      <c r="T1620">
        <f>IF(COUNT($E$2:$E1620)&lt;14,"",MAX($C$1607:$C$1620))</f>
        <v>0</v>
      </c>
      <c r="U1620">
        <f>IF(COUNT($E$2:$E1620)&lt;14,"",MIN($D$1607:$D$1620))</f>
        <v>0</v>
      </c>
      <c r="V1620">
        <f>IF(OR(T1620="",U1620="",T1620=U1620),"",100*($E1620-U1620)/(T1620-U1620))</f>
        <v>0</v>
      </c>
      <c r="W1620">
        <f>IF(COUNT($V$1618:$V$1620)&lt;3,"",AVERAGE($V$1618:$V$1620))</f>
        <v>0</v>
      </c>
      <c r="X1620">
        <f>IF(COUNT($N$1607:$N$1620)&lt;14,"",MIN($N$1607:$N$1620))</f>
        <v>0</v>
      </c>
      <c r="Y1620">
        <f>IF(COUNT($N$1607:$N$1620)&lt;14,"",MAX($N$1607:$N$1620))</f>
        <v>0</v>
      </c>
      <c r="Z1620">
        <f>IF(OR(N1620="",X1620="",Y1620="",Y1620=X1620),"",100*(N1620-X1620)/(Y1620-X1620))</f>
        <v>0</v>
      </c>
      <c r="AA1620">
        <f>IF(COUNT($Z$1618:$Z$1620)&lt;3,"",AVERAGE($Z$1618:$Z$1620))</f>
        <v>0</v>
      </c>
      <c r="AB1620">
        <f>IF(COUNT($AA$1618:$AA$1620)&lt;3,"",AVERAGE($AA$1618:$AA$1620))</f>
        <v>0</v>
      </c>
      <c r="AC1620">
        <f>IF($E1620="","",MAX($C1620-$D1620,ABS($C1620-$E1619),ABS($D1620-$E1619)))</f>
        <v>0</v>
      </c>
      <c r="AD1620">
        <f>IF(COUNT($E$2:$E1620)&lt;15,"",AVERAGE($AC$1607:$AC$1620))</f>
        <v>0</v>
      </c>
      <c r="AE1620">
        <f>IF(OR($E1620="",$E1619=""),"",IF(AND(($C1620-$C1619)&gt;($D1619-$D1620),($C1620-$C1619)&gt;0),$C1620-$C1619,0))</f>
        <v>0</v>
      </c>
      <c r="AF1620">
        <f>IF(OR($E1620="",$E1619=""),"",IF(AND(($D1619-$D1620)&gt;($C1620-$C1619),($D1619-$D1620)&gt;0),$D1619-$D1620,0))</f>
        <v>0</v>
      </c>
      <c r="AG1620">
        <f>IF(COUNT($E$2:$E1620)&lt;15,"",IF(SUM($AC$1607:$AC$1620)=0,0,100*SUM($AE$1607:$AE$1620)/SUM($AC$1607:$AC$1620)))</f>
        <v>0</v>
      </c>
      <c r="AH1620">
        <f>IF(COUNT($E$2:$E1620)&lt;15,"",IF(SUM($AC$1607:$AC$1620)=0,0,100*SUM($AF$1607:$AF$1620)/SUM($AC$1607:$AC$1620)))</f>
        <v>0</v>
      </c>
      <c r="AI1620">
        <f>IF(OR(AG1620="",AH1620=""),"",IF((AG1620+AH1620)=0,0,100*ABS(AG1620-AH1620)/(AG1620+AH1620)))</f>
        <v>0</v>
      </c>
      <c r="AJ1620">
        <f>IF(COUNT($AI$1607:$AI$1620)&lt;14,"",AVERAGE($AI$1607:$AI$1620))</f>
        <v>0</v>
      </c>
      <c r="AK1620">
        <f>IF(COUNT($E$2:$E1620)&lt;20,"",AVERAGE($E$1601:$E$1620))</f>
        <v>0</v>
      </c>
      <c r="AL1620">
        <f>IF(COUNT($E$2:$E1620)&lt;20,"",STDEVP($E$1601:$E$1620))</f>
        <v>0</v>
      </c>
      <c r="AM1620">
        <f>IF(AK1620="","",AK1620+2*AL1620)</f>
        <v>0</v>
      </c>
      <c r="AN1620">
        <f>IF(AK1620="","",AK1620-2*AL1620)</f>
        <v>0</v>
      </c>
      <c r="AO1620">
        <f>IF(OR(AM1620="",AN1620="",AM1620=AN1620),"",($E1620-AN1620)/(AM1620-AN1620))</f>
        <v>0</v>
      </c>
      <c r="AP1620">
        <f>IF(OR(AM1620="",AK1620="",AK1620=0),"",(AM1620-AN1620)/AK1620)</f>
        <v>0</v>
      </c>
      <c r="AQ1620">
        <f>IF(COUNT($E$2:$E1620)&lt;20,"",MAX($C$1601:$C$1620))</f>
        <v>0</v>
      </c>
      <c r="AR1620">
        <f>IF(COUNT($E$2:$E1620)&lt;20,"",MIN($D$1601:$D$1620))</f>
        <v>0</v>
      </c>
      <c r="AS1620">
        <f>IF(OR(AQ1620="",AR1620=""),"",(AQ1620+AR1620)/2)</f>
        <v>0</v>
      </c>
      <c r="AT1620">
        <f>IF(COUNT($G$1601:$G$1620)&lt;20,"",STDEV($G$1601:$G$1620)*SQRT(252))</f>
        <v>0</v>
      </c>
      <c r="AU1620">
        <f>IF(COUNT($E$2:$E1620)&lt;9,"",(MAX($C$1612:$C$1620)+MIN($D$1612:$D$1620))/2)</f>
        <v>0</v>
      </c>
      <c r="AV1620">
        <f>IF(COUNT($E$2:$E1620)&lt;26,"",(MAX($C$1595:$C$1620)+MIN($D$1595:$D$1620))/2)</f>
        <v>0</v>
      </c>
      <c r="AW1620">
        <f>IF(OR(AU1620="",AV1620=""),"",(AU1620+AV1620)/2)</f>
        <v>0</v>
      </c>
      <c r="AX1620">
        <f>IF(COUNT($E$2:$E1620)&lt;52,"",(MAX($C$1569:$C$1620)+MIN($D$1569:$D$1620))/2)</f>
        <v>0</v>
      </c>
      <c r="AY1620">
        <f>IF(COUNT($E$2:$E1620)&lt;20,"",MAX($C$1521:$C$1620))</f>
        <v>0</v>
      </c>
      <c r="AZ1620">
        <f>IF(COUNT($E$2:$E1620)&lt;20,"",MIN($D$1521:$D$1620))</f>
        <v>0</v>
      </c>
      <c r="BA1620">
        <f>IF(COUNT($E$2:$E1620)&lt;20,"",SLOPE($E$1521:$E$1620,$F$1521:$F$1620))</f>
        <v>0</v>
      </c>
      <c r="BB1620">
        <f>IF(COUNT($E$2:$E1620)&lt;20,"",INTERCEPT($E$1521:$E$1620,$F$1521:$F$1620))</f>
        <v>0</v>
      </c>
      <c r="BC1620">
        <f>IF(OR(BA1620="",BB1620=""),"",BB1620+BA1620*F1620)</f>
        <v>0</v>
      </c>
      <c r="BD1620">
        <f>IF(COUNT($E$2:$E1620)&lt;20,"",STEYX($E$1521:$E$1620,$F$1521:$F$1620))</f>
        <v>0</v>
      </c>
      <c r="BE1620">
        <f>IF($E1620="","",IF(AND(COUNT($E$1621:$E$1624)&gt;=4,$C1620=MAX($C$1616:$C$1624)),$C1620,""))</f>
        <v>0</v>
      </c>
      <c r="BF1620">
        <f>IF($E1620="","",IF(AND(COUNT($E$1621:$E$1624)&gt;=4,$D1620=MIN($D$1616:$D$1624)),$D1620,""))</f>
        <v>0</v>
      </c>
      <c r="BG1620">
        <f>IF($A1620="","",$A1620-WEEKDAY($A1620,2)+1)</f>
        <v>0</v>
      </c>
      <c r="BH1620">
        <f>IF($A1620="","",IF($A1619="",1,IF(BG1620&lt;&gt;BG1619,1,0)))</f>
        <v>0</v>
      </c>
      <c r="BI1620">
        <f>IF($A1620="","",IF($A1621="",1,IF(BG1621&lt;&gt;BG1620,1,0)))</f>
        <v>0</v>
      </c>
      <c r="BJ1620">
        <f>IF($A1620="","",IF(BH1620=1,$B1620,BJ1619))</f>
        <v>0</v>
      </c>
      <c r="BK1620">
        <f>IF($A1620="","",IF(BH1620=1,$C1620,MAX($C1620,BK1619)))</f>
        <v>0</v>
      </c>
      <c r="BL1620">
        <f>IF($A1620="","",IF(BH1620=1,$D1620,MIN($D1620,BL1619)))</f>
        <v>0</v>
      </c>
      <c r="BM1620">
        <f>IF($A1620="","",IF(BI1620=1,F1620,""))</f>
        <v>0</v>
      </c>
      <c r="BN1620">
        <f>IF($A1620="","",DATE(YEAR($A1620),MONTH($A1620),1))</f>
        <v>0</v>
      </c>
      <c r="BO1620">
        <f>IF($A1620="","",IF($A1619="",1,IF(BN1620&lt;&gt;BN1619,1,0)))</f>
        <v>0</v>
      </c>
      <c r="BP1620">
        <f>IF($A1620="","",IF($A1621="",1,IF(BN1621&lt;&gt;BN1620,1,0)))</f>
        <v>0</v>
      </c>
      <c r="BQ1620">
        <f>IF($A1620="","",IF(BO1620=1,$B1620,BQ1619))</f>
        <v>0</v>
      </c>
      <c r="BR1620">
        <f>IF($A1620="","",IF(BO1620=1,$C1620,MAX($C1620,BR1619)))</f>
        <v>0</v>
      </c>
      <c r="BS1620">
        <f>IF($A1620="","",IF(BO1620=1,$D1620,MIN($D1620,BS1619)))</f>
        <v>0</v>
      </c>
      <c r="BT1620">
        <f>IF($A1620="","",IF(BP1620=1,F1620,""))</f>
        <v>0</v>
      </c>
    </row>
    <row r="1621" spans="1:72">
      <c r="A1621" s="27">
        <f>IF(Data!$A1621="","",Data!$A1621)</f>
        <v>0</v>
      </c>
      <c r="B1621">
        <f>IF(Data!$B1621="","",Data!$B1621)</f>
        <v>0</v>
      </c>
      <c r="C1621">
        <f>IF(Data!$C1621="","",Data!$C1621)</f>
        <v>0</v>
      </c>
      <c r="D1621">
        <f>IF(Data!$D1621="","",Data!$D1621)</f>
        <v>0</v>
      </c>
      <c r="E1621">
        <f>IF(Data!$E1621="","",Data!$E1621)</f>
        <v>0</v>
      </c>
      <c r="F1621">
        <f>IF($E1621="","",N(F1620)+1)</f>
        <v>0</v>
      </c>
      <c r="G1621">
        <f>IF(OR($E1621="",$E1620=""),"",LN($E1621/$E1620))</f>
        <v>0</v>
      </c>
      <c r="H1621">
        <f>IF($E1621="","",IF($E1620="",$E1621,$E1621*0.0952380952+H1620*0.9047619048))</f>
        <v>0</v>
      </c>
      <c r="I1621">
        <f>IF($E1621="","",IF($E1620="",$E1621,$E1621*0.0392156863+I1620*0.9607843137))</f>
        <v>0</v>
      </c>
      <c r="J1621">
        <f>IF($E1621="","",IF($E1620="",$E1621,$E1621*0.0198019802+J1620*0.9801980198))</f>
        <v>0</v>
      </c>
      <c r="K1621">
        <f>IF($E1621="","",IF($E1620="",$E1621,$E1621*0.0099502488+K1620*0.9900497512))</f>
        <v>0</v>
      </c>
      <c r="L1621">
        <f>IF(OR($E1621="",$E1620=""),"",MAX($E1621-$E1620,0))</f>
        <v>0</v>
      </c>
      <c r="M1621">
        <f>IF(OR($E1621="",$E1620=""),"",MAX($E1620-$E1621,0))</f>
        <v>0</v>
      </c>
      <c r="N1621">
        <f>IF(COUNT($E$2:$E1621)&lt;15,"",IF(AVERAGE($M$1608:$M$1621)=0,100,100-100/(1+AVERAGE($L$1608:$L$1621)/AVERAGE($M$1608:$M$1621))))</f>
        <v>0</v>
      </c>
      <c r="O1621">
        <f>IF($E1621="","",IF($E1620="",$E1621,$E1621*0.1538461538+O1620*0.8461538462))</f>
        <v>0</v>
      </c>
      <c r="P1621">
        <f>IF($E1621="","",IF($E1620="",$E1621,$E1621*0.0740740741+P1620*0.9259259259))</f>
        <v>0</v>
      </c>
      <c r="Q1621">
        <f>IF(OR(O1621="",P1621=""),"",O1621-P1621)</f>
        <v>0</v>
      </c>
      <c r="R1621">
        <f>IF(Q1621="","",IF(R1620="",Q1621,Q1621*0.2000000000+R1620*0.8000000000))</f>
        <v>0</v>
      </c>
      <c r="S1621">
        <f>IF(OR(Q1621="",R1621=""),"",Q1621-R1621)</f>
        <v>0</v>
      </c>
      <c r="T1621">
        <f>IF(COUNT($E$2:$E1621)&lt;14,"",MAX($C$1608:$C$1621))</f>
        <v>0</v>
      </c>
      <c r="U1621">
        <f>IF(COUNT($E$2:$E1621)&lt;14,"",MIN($D$1608:$D$1621))</f>
        <v>0</v>
      </c>
      <c r="V1621">
        <f>IF(OR(T1621="",U1621="",T1621=U1621),"",100*($E1621-U1621)/(T1621-U1621))</f>
        <v>0</v>
      </c>
      <c r="W1621">
        <f>IF(COUNT($V$1619:$V$1621)&lt;3,"",AVERAGE($V$1619:$V$1621))</f>
        <v>0</v>
      </c>
      <c r="X1621">
        <f>IF(COUNT($N$1608:$N$1621)&lt;14,"",MIN($N$1608:$N$1621))</f>
        <v>0</v>
      </c>
      <c r="Y1621">
        <f>IF(COUNT($N$1608:$N$1621)&lt;14,"",MAX($N$1608:$N$1621))</f>
        <v>0</v>
      </c>
      <c r="Z1621">
        <f>IF(OR(N1621="",X1621="",Y1621="",Y1621=X1621),"",100*(N1621-X1621)/(Y1621-X1621))</f>
        <v>0</v>
      </c>
      <c r="AA1621">
        <f>IF(COUNT($Z$1619:$Z$1621)&lt;3,"",AVERAGE($Z$1619:$Z$1621))</f>
        <v>0</v>
      </c>
      <c r="AB1621">
        <f>IF(COUNT($AA$1619:$AA$1621)&lt;3,"",AVERAGE($AA$1619:$AA$1621))</f>
        <v>0</v>
      </c>
      <c r="AC1621">
        <f>IF($E1621="","",MAX($C1621-$D1621,ABS($C1621-$E1620),ABS($D1621-$E1620)))</f>
        <v>0</v>
      </c>
      <c r="AD1621">
        <f>IF(COUNT($E$2:$E1621)&lt;15,"",AVERAGE($AC$1608:$AC$1621))</f>
        <v>0</v>
      </c>
      <c r="AE1621">
        <f>IF(OR($E1621="",$E1620=""),"",IF(AND(($C1621-$C1620)&gt;($D1620-$D1621),($C1621-$C1620)&gt;0),$C1621-$C1620,0))</f>
        <v>0</v>
      </c>
      <c r="AF1621">
        <f>IF(OR($E1621="",$E1620=""),"",IF(AND(($D1620-$D1621)&gt;($C1621-$C1620),($D1620-$D1621)&gt;0),$D1620-$D1621,0))</f>
        <v>0</v>
      </c>
      <c r="AG1621">
        <f>IF(COUNT($E$2:$E1621)&lt;15,"",IF(SUM($AC$1608:$AC$1621)=0,0,100*SUM($AE$1608:$AE$1621)/SUM($AC$1608:$AC$1621)))</f>
        <v>0</v>
      </c>
      <c r="AH1621">
        <f>IF(COUNT($E$2:$E1621)&lt;15,"",IF(SUM($AC$1608:$AC$1621)=0,0,100*SUM($AF$1608:$AF$1621)/SUM($AC$1608:$AC$1621)))</f>
        <v>0</v>
      </c>
      <c r="AI1621">
        <f>IF(OR(AG1621="",AH1621=""),"",IF((AG1621+AH1621)=0,0,100*ABS(AG1621-AH1621)/(AG1621+AH1621)))</f>
        <v>0</v>
      </c>
      <c r="AJ1621">
        <f>IF(COUNT($AI$1608:$AI$1621)&lt;14,"",AVERAGE($AI$1608:$AI$1621))</f>
        <v>0</v>
      </c>
      <c r="AK1621">
        <f>IF(COUNT($E$2:$E1621)&lt;20,"",AVERAGE($E$1602:$E$1621))</f>
        <v>0</v>
      </c>
      <c r="AL1621">
        <f>IF(COUNT($E$2:$E1621)&lt;20,"",STDEVP($E$1602:$E$1621))</f>
        <v>0</v>
      </c>
      <c r="AM1621">
        <f>IF(AK1621="","",AK1621+2*AL1621)</f>
        <v>0</v>
      </c>
      <c r="AN1621">
        <f>IF(AK1621="","",AK1621-2*AL1621)</f>
        <v>0</v>
      </c>
      <c r="AO1621">
        <f>IF(OR(AM1621="",AN1621="",AM1621=AN1621),"",($E1621-AN1621)/(AM1621-AN1621))</f>
        <v>0</v>
      </c>
      <c r="AP1621">
        <f>IF(OR(AM1621="",AK1621="",AK1621=0),"",(AM1621-AN1621)/AK1621)</f>
        <v>0</v>
      </c>
      <c r="AQ1621">
        <f>IF(COUNT($E$2:$E1621)&lt;20,"",MAX($C$1602:$C$1621))</f>
        <v>0</v>
      </c>
      <c r="AR1621">
        <f>IF(COUNT($E$2:$E1621)&lt;20,"",MIN($D$1602:$D$1621))</f>
        <v>0</v>
      </c>
      <c r="AS1621">
        <f>IF(OR(AQ1621="",AR1621=""),"",(AQ1621+AR1621)/2)</f>
        <v>0</v>
      </c>
      <c r="AT1621">
        <f>IF(COUNT($G$1602:$G$1621)&lt;20,"",STDEV($G$1602:$G$1621)*SQRT(252))</f>
        <v>0</v>
      </c>
      <c r="AU1621">
        <f>IF(COUNT($E$2:$E1621)&lt;9,"",(MAX($C$1613:$C$1621)+MIN($D$1613:$D$1621))/2)</f>
        <v>0</v>
      </c>
      <c r="AV1621">
        <f>IF(COUNT($E$2:$E1621)&lt;26,"",(MAX($C$1596:$C$1621)+MIN($D$1596:$D$1621))/2)</f>
        <v>0</v>
      </c>
      <c r="AW1621">
        <f>IF(OR(AU1621="",AV1621=""),"",(AU1621+AV1621)/2)</f>
        <v>0</v>
      </c>
      <c r="AX1621">
        <f>IF(COUNT($E$2:$E1621)&lt;52,"",(MAX($C$1570:$C$1621)+MIN($D$1570:$D$1621))/2)</f>
        <v>0</v>
      </c>
      <c r="AY1621">
        <f>IF(COUNT($E$2:$E1621)&lt;20,"",MAX($C$1522:$C$1621))</f>
        <v>0</v>
      </c>
      <c r="AZ1621">
        <f>IF(COUNT($E$2:$E1621)&lt;20,"",MIN($D$1522:$D$1621))</f>
        <v>0</v>
      </c>
      <c r="BA1621">
        <f>IF(COUNT($E$2:$E1621)&lt;20,"",SLOPE($E$1522:$E$1621,$F$1522:$F$1621))</f>
        <v>0</v>
      </c>
      <c r="BB1621">
        <f>IF(COUNT($E$2:$E1621)&lt;20,"",INTERCEPT($E$1522:$E$1621,$F$1522:$F$1621))</f>
        <v>0</v>
      </c>
      <c r="BC1621">
        <f>IF(OR(BA1621="",BB1621=""),"",BB1621+BA1621*F1621)</f>
        <v>0</v>
      </c>
      <c r="BD1621">
        <f>IF(COUNT($E$2:$E1621)&lt;20,"",STEYX($E$1522:$E$1621,$F$1522:$F$1621))</f>
        <v>0</v>
      </c>
      <c r="BE1621">
        <f>IF($E1621="","",IF(AND(COUNT($E$1622:$E$1625)&gt;=4,$C1621=MAX($C$1617:$C$1625)),$C1621,""))</f>
        <v>0</v>
      </c>
      <c r="BF1621">
        <f>IF($E1621="","",IF(AND(COUNT($E$1622:$E$1625)&gt;=4,$D1621=MIN($D$1617:$D$1625)),$D1621,""))</f>
        <v>0</v>
      </c>
      <c r="BG1621">
        <f>IF($A1621="","",$A1621-WEEKDAY($A1621,2)+1)</f>
        <v>0</v>
      </c>
      <c r="BH1621">
        <f>IF($A1621="","",IF($A1620="",1,IF(BG1621&lt;&gt;BG1620,1,0)))</f>
        <v>0</v>
      </c>
      <c r="BI1621">
        <f>IF($A1621="","",IF($A1622="",1,IF(BG1622&lt;&gt;BG1621,1,0)))</f>
        <v>0</v>
      </c>
      <c r="BJ1621">
        <f>IF($A1621="","",IF(BH1621=1,$B1621,BJ1620))</f>
        <v>0</v>
      </c>
      <c r="BK1621">
        <f>IF($A1621="","",IF(BH1621=1,$C1621,MAX($C1621,BK1620)))</f>
        <v>0</v>
      </c>
      <c r="BL1621">
        <f>IF($A1621="","",IF(BH1621=1,$D1621,MIN($D1621,BL1620)))</f>
        <v>0</v>
      </c>
      <c r="BM1621">
        <f>IF($A1621="","",IF(BI1621=1,F1621,""))</f>
        <v>0</v>
      </c>
      <c r="BN1621">
        <f>IF($A1621="","",DATE(YEAR($A1621),MONTH($A1621),1))</f>
        <v>0</v>
      </c>
      <c r="BO1621">
        <f>IF($A1621="","",IF($A1620="",1,IF(BN1621&lt;&gt;BN1620,1,0)))</f>
        <v>0</v>
      </c>
      <c r="BP1621">
        <f>IF($A1621="","",IF($A1622="",1,IF(BN1622&lt;&gt;BN1621,1,0)))</f>
        <v>0</v>
      </c>
      <c r="BQ1621">
        <f>IF($A1621="","",IF(BO1621=1,$B1621,BQ1620))</f>
        <v>0</v>
      </c>
      <c r="BR1621">
        <f>IF($A1621="","",IF(BO1621=1,$C1621,MAX($C1621,BR1620)))</f>
        <v>0</v>
      </c>
      <c r="BS1621">
        <f>IF($A1621="","",IF(BO1621=1,$D1621,MIN($D1621,BS1620)))</f>
        <v>0</v>
      </c>
      <c r="BT1621">
        <f>IF($A1621="","",IF(BP1621=1,F1621,""))</f>
        <v>0</v>
      </c>
    </row>
    <row r="1622" spans="1:72">
      <c r="A1622" s="27">
        <f>IF(Data!$A1622="","",Data!$A1622)</f>
        <v>0</v>
      </c>
      <c r="B1622">
        <f>IF(Data!$B1622="","",Data!$B1622)</f>
        <v>0</v>
      </c>
      <c r="C1622">
        <f>IF(Data!$C1622="","",Data!$C1622)</f>
        <v>0</v>
      </c>
      <c r="D1622">
        <f>IF(Data!$D1622="","",Data!$D1622)</f>
        <v>0</v>
      </c>
      <c r="E1622">
        <f>IF(Data!$E1622="","",Data!$E1622)</f>
        <v>0</v>
      </c>
      <c r="F1622">
        <f>IF($E1622="","",N(F1621)+1)</f>
        <v>0</v>
      </c>
      <c r="G1622">
        <f>IF(OR($E1622="",$E1621=""),"",LN($E1622/$E1621))</f>
        <v>0</v>
      </c>
      <c r="H1622">
        <f>IF($E1622="","",IF($E1621="",$E1622,$E1622*0.0952380952+H1621*0.9047619048))</f>
        <v>0</v>
      </c>
      <c r="I1622">
        <f>IF($E1622="","",IF($E1621="",$E1622,$E1622*0.0392156863+I1621*0.9607843137))</f>
        <v>0</v>
      </c>
      <c r="J1622">
        <f>IF($E1622="","",IF($E1621="",$E1622,$E1622*0.0198019802+J1621*0.9801980198))</f>
        <v>0</v>
      </c>
      <c r="K1622">
        <f>IF($E1622="","",IF($E1621="",$E1622,$E1622*0.0099502488+K1621*0.9900497512))</f>
        <v>0</v>
      </c>
      <c r="L1622">
        <f>IF(OR($E1622="",$E1621=""),"",MAX($E1622-$E1621,0))</f>
        <v>0</v>
      </c>
      <c r="M1622">
        <f>IF(OR($E1622="",$E1621=""),"",MAX($E1621-$E1622,0))</f>
        <v>0</v>
      </c>
      <c r="N1622">
        <f>IF(COUNT($E$2:$E1622)&lt;15,"",IF(AVERAGE($M$1609:$M$1622)=0,100,100-100/(1+AVERAGE($L$1609:$L$1622)/AVERAGE($M$1609:$M$1622))))</f>
        <v>0</v>
      </c>
      <c r="O1622">
        <f>IF($E1622="","",IF($E1621="",$E1622,$E1622*0.1538461538+O1621*0.8461538462))</f>
        <v>0</v>
      </c>
      <c r="P1622">
        <f>IF($E1622="","",IF($E1621="",$E1622,$E1622*0.0740740741+P1621*0.9259259259))</f>
        <v>0</v>
      </c>
      <c r="Q1622">
        <f>IF(OR(O1622="",P1622=""),"",O1622-P1622)</f>
        <v>0</v>
      </c>
      <c r="R1622">
        <f>IF(Q1622="","",IF(R1621="",Q1622,Q1622*0.2000000000+R1621*0.8000000000))</f>
        <v>0</v>
      </c>
      <c r="S1622">
        <f>IF(OR(Q1622="",R1622=""),"",Q1622-R1622)</f>
        <v>0</v>
      </c>
      <c r="T1622">
        <f>IF(COUNT($E$2:$E1622)&lt;14,"",MAX($C$1609:$C$1622))</f>
        <v>0</v>
      </c>
      <c r="U1622">
        <f>IF(COUNT($E$2:$E1622)&lt;14,"",MIN($D$1609:$D$1622))</f>
        <v>0</v>
      </c>
      <c r="V1622">
        <f>IF(OR(T1622="",U1622="",T1622=U1622),"",100*($E1622-U1622)/(T1622-U1622))</f>
        <v>0</v>
      </c>
      <c r="W1622">
        <f>IF(COUNT($V$1620:$V$1622)&lt;3,"",AVERAGE($V$1620:$V$1622))</f>
        <v>0</v>
      </c>
      <c r="X1622">
        <f>IF(COUNT($N$1609:$N$1622)&lt;14,"",MIN($N$1609:$N$1622))</f>
        <v>0</v>
      </c>
      <c r="Y1622">
        <f>IF(COUNT($N$1609:$N$1622)&lt;14,"",MAX($N$1609:$N$1622))</f>
        <v>0</v>
      </c>
      <c r="Z1622">
        <f>IF(OR(N1622="",X1622="",Y1622="",Y1622=X1622),"",100*(N1622-X1622)/(Y1622-X1622))</f>
        <v>0</v>
      </c>
      <c r="AA1622">
        <f>IF(COUNT($Z$1620:$Z$1622)&lt;3,"",AVERAGE($Z$1620:$Z$1622))</f>
        <v>0</v>
      </c>
      <c r="AB1622">
        <f>IF(COUNT($AA$1620:$AA$1622)&lt;3,"",AVERAGE($AA$1620:$AA$1622))</f>
        <v>0</v>
      </c>
      <c r="AC1622">
        <f>IF($E1622="","",MAX($C1622-$D1622,ABS($C1622-$E1621),ABS($D1622-$E1621)))</f>
        <v>0</v>
      </c>
      <c r="AD1622">
        <f>IF(COUNT($E$2:$E1622)&lt;15,"",AVERAGE($AC$1609:$AC$1622))</f>
        <v>0</v>
      </c>
      <c r="AE1622">
        <f>IF(OR($E1622="",$E1621=""),"",IF(AND(($C1622-$C1621)&gt;($D1621-$D1622),($C1622-$C1621)&gt;0),$C1622-$C1621,0))</f>
        <v>0</v>
      </c>
      <c r="AF1622">
        <f>IF(OR($E1622="",$E1621=""),"",IF(AND(($D1621-$D1622)&gt;($C1622-$C1621),($D1621-$D1622)&gt;0),$D1621-$D1622,0))</f>
        <v>0</v>
      </c>
      <c r="AG1622">
        <f>IF(COUNT($E$2:$E1622)&lt;15,"",IF(SUM($AC$1609:$AC$1622)=0,0,100*SUM($AE$1609:$AE$1622)/SUM($AC$1609:$AC$1622)))</f>
        <v>0</v>
      </c>
      <c r="AH1622">
        <f>IF(COUNT($E$2:$E1622)&lt;15,"",IF(SUM($AC$1609:$AC$1622)=0,0,100*SUM($AF$1609:$AF$1622)/SUM($AC$1609:$AC$1622)))</f>
        <v>0</v>
      </c>
      <c r="AI1622">
        <f>IF(OR(AG1622="",AH1622=""),"",IF((AG1622+AH1622)=0,0,100*ABS(AG1622-AH1622)/(AG1622+AH1622)))</f>
        <v>0</v>
      </c>
      <c r="AJ1622">
        <f>IF(COUNT($AI$1609:$AI$1622)&lt;14,"",AVERAGE($AI$1609:$AI$1622))</f>
        <v>0</v>
      </c>
      <c r="AK1622">
        <f>IF(COUNT($E$2:$E1622)&lt;20,"",AVERAGE($E$1603:$E$1622))</f>
        <v>0</v>
      </c>
      <c r="AL1622">
        <f>IF(COUNT($E$2:$E1622)&lt;20,"",STDEVP($E$1603:$E$1622))</f>
        <v>0</v>
      </c>
      <c r="AM1622">
        <f>IF(AK1622="","",AK1622+2*AL1622)</f>
        <v>0</v>
      </c>
      <c r="AN1622">
        <f>IF(AK1622="","",AK1622-2*AL1622)</f>
        <v>0</v>
      </c>
      <c r="AO1622">
        <f>IF(OR(AM1622="",AN1622="",AM1622=AN1622),"",($E1622-AN1622)/(AM1622-AN1622))</f>
        <v>0</v>
      </c>
      <c r="AP1622">
        <f>IF(OR(AM1622="",AK1622="",AK1622=0),"",(AM1622-AN1622)/AK1622)</f>
        <v>0</v>
      </c>
      <c r="AQ1622">
        <f>IF(COUNT($E$2:$E1622)&lt;20,"",MAX($C$1603:$C$1622))</f>
        <v>0</v>
      </c>
      <c r="AR1622">
        <f>IF(COUNT($E$2:$E1622)&lt;20,"",MIN($D$1603:$D$1622))</f>
        <v>0</v>
      </c>
      <c r="AS1622">
        <f>IF(OR(AQ1622="",AR1622=""),"",(AQ1622+AR1622)/2)</f>
        <v>0</v>
      </c>
      <c r="AT1622">
        <f>IF(COUNT($G$1603:$G$1622)&lt;20,"",STDEV($G$1603:$G$1622)*SQRT(252))</f>
        <v>0</v>
      </c>
      <c r="AU1622">
        <f>IF(COUNT($E$2:$E1622)&lt;9,"",(MAX($C$1614:$C$1622)+MIN($D$1614:$D$1622))/2)</f>
        <v>0</v>
      </c>
      <c r="AV1622">
        <f>IF(COUNT($E$2:$E1622)&lt;26,"",(MAX($C$1597:$C$1622)+MIN($D$1597:$D$1622))/2)</f>
        <v>0</v>
      </c>
      <c r="AW1622">
        <f>IF(OR(AU1622="",AV1622=""),"",(AU1622+AV1622)/2)</f>
        <v>0</v>
      </c>
      <c r="AX1622">
        <f>IF(COUNT($E$2:$E1622)&lt;52,"",(MAX($C$1571:$C$1622)+MIN($D$1571:$D$1622))/2)</f>
        <v>0</v>
      </c>
      <c r="AY1622">
        <f>IF(COUNT($E$2:$E1622)&lt;20,"",MAX($C$1523:$C$1622))</f>
        <v>0</v>
      </c>
      <c r="AZ1622">
        <f>IF(COUNT($E$2:$E1622)&lt;20,"",MIN($D$1523:$D$1622))</f>
        <v>0</v>
      </c>
      <c r="BA1622">
        <f>IF(COUNT($E$2:$E1622)&lt;20,"",SLOPE($E$1523:$E$1622,$F$1523:$F$1622))</f>
        <v>0</v>
      </c>
      <c r="BB1622">
        <f>IF(COUNT($E$2:$E1622)&lt;20,"",INTERCEPT($E$1523:$E$1622,$F$1523:$F$1622))</f>
        <v>0</v>
      </c>
      <c r="BC1622">
        <f>IF(OR(BA1622="",BB1622=""),"",BB1622+BA1622*F1622)</f>
        <v>0</v>
      </c>
      <c r="BD1622">
        <f>IF(COUNT($E$2:$E1622)&lt;20,"",STEYX($E$1523:$E$1622,$F$1523:$F$1622))</f>
        <v>0</v>
      </c>
      <c r="BE1622">
        <f>IF($E1622="","",IF(AND(COUNT($E$1623:$E$1626)&gt;=4,$C1622=MAX($C$1618:$C$1626)),$C1622,""))</f>
        <v>0</v>
      </c>
      <c r="BF1622">
        <f>IF($E1622="","",IF(AND(COUNT($E$1623:$E$1626)&gt;=4,$D1622=MIN($D$1618:$D$1626)),$D1622,""))</f>
        <v>0</v>
      </c>
      <c r="BG1622">
        <f>IF($A1622="","",$A1622-WEEKDAY($A1622,2)+1)</f>
        <v>0</v>
      </c>
      <c r="BH1622">
        <f>IF($A1622="","",IF($A1621="",1,IF(BG1622&lt;&gt;BG1621,1,0)))</f>
        <v>0</v>
      </c>
      <c r="BI1622">
        <f>IF($A1622="","",IF($A1623="",1,IF(BG1623&lt;&gt;BG1622,1,0)))</f>
        <v>0</v>
      </c>
      <c r="BJ1622">
        <f>IF($A1622="","",IF(BH1622=1,$B1622,BJ1621))</f>
        <v>0</v>
      </c>
      <c r="BK1622">
        <f>IF($A1622="","",IF(BH1622=1,$C1622,MAX($C1622,BK1621)))</f>
        <v>0</v>
      </c>
      <c r="BL1622">
        <f>IF($A1622="","",IF(BH1622=1,$D1622,MIN($D1622,BL1621)))</f>
        <v>0</v>
      </c>
      <c r="BM1622">
        <f>IF($A1622="","",IF(BI1622=1,F1622,""))</f>
        <v>0</v>
      </c>
      <c r="BN1622">
        <f>IF($A1622="","",DATE(YEAR($A1622),MONTH($A1622),1))</f>
        <v>0</v>
      </c>
      <c r="BO1622">
        <f>IF($A1622="","",IF($A1621="",1,IF(BN1622&lt;&gt;BN1621,1,0)))</f>
        <v>0</v>
      </c>
      <c r="BP1622">
        <f>IF($A1622="","",IF($A1623="",1,IF(BN1623&lt;&gt;BN1622,1,0)))</f>
        <v>0</v>
      </c>
      <c r="BQ1622">
        <f>IF($A1622="","",IF(BO1622=1,$B1622,BQ1621))</f>
        <v>0</v>
      </c>
      <c r="BR1622">
        <f>IF($A1622="","",IF(BO1622=1,$C1622,MAX($C1622,BR1621)))</f>
        <v>0</v>
      </c>
      <c r="BS1622">
        <f>IF($A1622="","",IF(BO1622=1,$D1622,MIN($D1622,BS1621)))</f>
        <v>0</v>
      </c>
      <c r="BT1622">
        <f>IF($A1622="","",IF(BP1622=1,F1622,""))</f>
        <v>0</v>
      </c>
    </row>
    <row r="1623" spans="1:72">
      <c r="A1623" s="27">
        <f>IF(Data!$A1623="","",Data!$A1623)</f>
        <v>0</v>
      </c>
      <c r="B1623">
        <f>IF(Data!$B1623="","",Data!$B1623)</f>
        <v>0</v>
      </c>
      <c r="C1623">
        <f>IF(Data!$C1623="","",Data!$C1623)</f>
        <v>0</v>
      </c>
      <c r="D1623">
        <f>IF(Data!$D1623="","",Data!$D1623)</f>
        <v>0</v>
      </c>
      <c r="E1623">
        <f>IF(Data!$E1623="","",Data!$E1623)</f>
        <v>0</v>
      </c>
      <c r="F1623">
        <f>IF($E1623="","",N(F1622)+1)</f>
        <v>0</v>
      </c>
      <c r="G1623">
        <f>IF(OR($E1623="",$E1622=""),"",LN($E1623/$E1622))</f>
        <v>0</v>
      </c>
      <c r="H1623">
        <f>IF($E1623="","",IF($E1622="",$E1623,$E1623*0.0952380952+H1622*0.9047619048))</f>
        <v>0</v>
      </c>
      <c r="I1623">
        <f>IF($E1623="","",IF($E1622="",$E1623,$E1623*0.0392156863+I1622*0.9607843137))</f>
        <v>0</v>
      </c>
      <c r="J1623">
        <f>IF($E1623="","",IF($E1622="",$E1623,$E1623*0.0198019802+J1622*0.9801980198))</f>
        <v>0</v>
      </c>
      <c r="K1623">
        <f>IF($E1623="","",IF($E1622="",$E1623,$E1623*0.0099502488+K1622*0.9900497512))</f>
        <v>0</v>
      </c>
      <c r="L1623">
        <f>IF(OR($E1623="",$E1622=""),"",MAX($E1623-$E1622,0))</f>
        <v>0</v>
      </c>
      <c r="M1623">
        <f>IF(OR($E1623="",$E1622=""),"",MAX($E1622-$E1623,0))</f>
        <v>0</v>
      </c>
      <c r="N1623">
        <f>IF(COUNT($E$2:$E1623)&lt;15,"",IF(AVERAGE($M$1610:$M$1623)=0,100,100-100/(1+AVERAGE($L$1610:$L$1623)/AVERAGE($M$1610:$M$1623))))</f>
        <v>0</v>
      </c>
      <c r="O1623">
        <f>IF($E1623="","",IF($E1622="",$E1623,$E1623*0.1538461538+O1622*0.8461538462))</f>
        <v>0</v>
      </c>
      <c r="P1623">
        <f>IF($E1623="","",IF($E1622="",$E1623,$E1623*0.0740740741+P1622*0.9259259259))</f>
        <v>0</v>
      </c>
      <c r="Q1623">
        <f>IF(OR(O1623="",P1623=""),"",O1623-P1623)</f>
        <v>0</v>
      </c>
      <c r="R1623">
        <f>IF(Q1623="","",IF(R1622="",Q1623,Q1623*0.2000000000+R1622*0.8000000000))</f>
        <v>0</v>
      </c>
      <c r="S1623">
        <f>IF(OR(Q1623="",R1623=""),"",Q1623-R1623)</f>
        <v>0</v>
      </c>
      <c r="T1623">
        <f>IF(COUNT($E$2:$E1623)&lt;14,"",MAX($C$1610:$C$1623))</f>
        <v>0</v>
      </c>
      <c r="U1623">
        <f>IF(COUNT($E$2:$E1623)&lt;14,"",MIN($D$1610:$D$1623))</f>
        <v>0</v>
      </c>
      <c r="V1623">
        <f>IF(OR(T1623="",U1623="",T1623=U1623),"",100*($E1623-U1623)/(T1623-U1623))</f>
        <v>0</v>
      </c>
      <c r="W1623">
        <f>IF(COUNT($V$1621:$V$1623)&lt;3,"",AVERAGE($V$1621:$V$1623))</f>
        <v>0</v>
      </c>
      <c r="X1623">
        <f>IF(COUNT($N$1610:$N$1623)&lt;14,"",MIN($N$1610:$N$1623))</f>
        <v>0</v>
      </c>
      <c r="Y1623">
        <f>IF(COUNT($N$1610:$N$1623)&lt;14,"",MAX($N$1610:$N$1623))</f>
        <v>0</v>
      </c>
      <c r="Z1623">
        <f>IF(OR(N1623="",X1623="",Y1623="",Y1623=X1623),"",100*(N1623-X1623)/(Y1623-X1623))</f>
        <v>0</v>
      </c>
      <c r="AA1623">
        <f>IF(COUNT($Z$1621:$Z$1623)&lt;3,"",AVERAGE($Z$1621:$Z$1623))</f>
        <v>0</v>
      </c>
      <c r="AB1623">
        <f>IF(COUNT($AA$1621:$AA$1623)&lt;3,"",AVERAGE($AA$1621:$AA$1623))</f>
        <v>0</v>
      </c>
      <c r="AC1623">
        <f>IF($E1623="","",MAX($C1623-$D1623,ABS($C1623-$E1622),ABS($D1623-$E1622)))</f>
        <v>0</v>
      </c>
      <c r="AD1623">
        <f>IF(COUNT($E$2:$E1623)&lt;15,"",AVERAGE($AC$1610:$AC$1623))</f>
        <v>0</v>
      </c>
      <c r="AE1623">
        <f>IF(OR($E1623="",$E1622=""),"",IF(AND(($C1623-$C1622)&gt;($D1622-$D1623),($C1623-$C1622)&gt;0),$C1623-$C1622,0))</f>
        <v>0</v>
      </c>
      <c r="AF1623">
        <f>IF(OR($E1623="",$E1622=""),"",IF(AND(($D1622-$D1623)&gt;($C1623-$C1622),($D1622-$D1623)&gt;0),$D1622-$D1623,0))</f>
        <v>0</v>
      </c>
      <c r="AG1623">
        <f>IF(COUNT($E$2:$E1623)&lt;15,"",IF(SUM($AC$1610:$AC$1623)=0,0,100*SUM($AE$1610:$AE$1623)/SUM($AC$1610:$AC$1623)))</f>
        <v>0</v>
      </c>
      <c r="AH1623">
        <f>IF(COUNT($E$2:$E1623)&lt;15,"",IF(SUM($AC$1610:$AC$1623)=0,0,100*SUM($AF$1610:$AF$1623)/SUM($AC$1610:$AC$1623)))</f>
        <v>0</v>
      </c>
      <c r="AI1623">
        <f>IF(OR(AG1623="",AH1623=""),"",IF((AG1623+AH1623)=0,0,100*ABS(AG1623-AH1623)/(AG1623+AH1623)))</f>
        <v>0</v>
      </c>
      <c r="AJ1623">
        <f>IF(COUNT($AI$1610:$AI$1623)&lt;14,"",AVERAGE($AI$1610:$AI$1623))</f>
        <v>0</v>
      </c>
      <c r="AK1623">
        <f>IF(COUNT($E$2:$E1623)&lt;20,"",AVERAGE($E$1604:$E$1623))</f>
        <v>0</v>
      </c>
      <c r="AL1623">
        <f>IF(COUNT($E$2:$E1623)&lt;20,"",STDEVP($E$1604:$E$1623))</f>
        <v>0</v>
      </c>
      <c r="AM1623">
        <f>IF(AK1623="","",AK1623+2*AL1623)</f>
        <v>0</v>
      </c>
      <c r="AN1623">
        <f>IF(AK1623="","",AK1623-2*AL1623)</f>
        <v>0</v>
      </c>
      <c r="AO1623">
        <f>IF(OR(AM1623="",AN1623="",AM1623=AN1623),"",($E1623-AN1623)/(AM1623-AN1623))</f>
        <v>0</v>
      </c>
      <c r="AP1623">
        <f>IF(OR(AM1623="",AK1623="",AK1623=0),"",(AM1623-AN1623)/AK1623)</f>
        <v>0</v>
      </c>
      <c r="AQ1623">
        <f>IF(COUNT($E$2:$E1623)&lt;20,"",MAX($C$1604:$C$1623))</f>
        <v>0</v>
      </c>
      <c r="AR1623">
        <f>IF(COUNT($E$2:$E1623)&lt;20,"",MIN($D$1604:$D$1623))</f>
        <v>0</v>
      </c>
      <c r="AS1623">
        <f>IF(OR(AQ1623="",AR1623=""),"",(AQ1623+AR1623)/2)</f>
        <v>0</v>
      </c>
      <c r="AT1623">
        <f>IF(COUNT($G$1604:$G$1623)&lt;20,"",STDEV($G$1604:$G$1623)*SQRT(252))</f>
        <v>0</v>
      </c>
      <c r="AU1623">
        <f>IF(COUNT($E$2:$E1623)&lt;9,"",(MAX($C$1615:$C$1623)+MIN($D$1615:$D$1623))/2)</f>
        <v>0</v>
      </c>
      <c r="AV1623">
        <f>IF(COUNT($E$2:$E1623)&lt;26,"",(MAX($C$1598:$C$1623)+MIN($D$1598:$D$1623))/2)</f>
        <v>0</v>
      </c>
      <c r="AW1623">
        <f>IF(OR(AU1623="",AV1623=""),"",(AU1623+AV1623)/2)</f>
        <v>0</v>
      </c>
      <c r="AX1623">
        <f>IF(COUNT($E$2:$E1623)&lt;52,"",(MAX($C$1572:$C$1623)+MIN($D$1572:$D$1623))/2)</f>
        <v>0</v>
      </c>
      <c r="AY1623">
        <f>IF(COUNT($E$2:$E1623)&lt;20,"",MAX($C$1524:$C$1623))</f>
        <v>0</v>
      </c>
      <c r="AZ1623">
        <f>IF(COUNT($E$2:$E1623)&lt;20,"",MIN($D$1524:$D$1623))</f>
        <v>0</v>
      </c>
      <c r="BA1623">
        <f>IF(COUNT($E$2:$E1623)&lt;20,"",SLOPE($E$1524:$E$1623,$F$1524:$F$1623))</f>
        <v>0</v>
      </c>
      <c r="BB1623">
        <f>IF(COUNT($E$2:$E1623)&lt;20,"",INTERCEPT($E$1524:$E$1623,$F$1524:$F$1623))</f>
        <v>0</v>
      </c>
      <c r="BC1623">
        <f>IF(OR(BA1623="",BB1623=""),"",BB1623+BA1623*F1623)</f>
        <v>0</v>
      </c>
      <c r="BD1623">
        <f>IF(COUNT($E$2:$E1623)&lt;20,"",STEYX($E$1524:$E$1623,$F$1524:$F$1623))</f>
        <v>0</v>
      </c>
      <c r="BE1623">
        <f>IF($E1623="","",IF(AND(COUNT($E$1624:$E$1627)&gt;=4,$C1623=MAX($C$1619:$C$1627)),$C1623,""))</f>
        <v>0</v>
      </c>
      <c r="BF1623">
        <f>IF($E1623="","",IF(AND(COUNT($E$1624:$E$1627)&gt;=4,$D1623=MIN($D$1619:$D$1627)),$D1623,""))</f>
        <v>0</v>
      </c>
      <c r="BG1623">
        <f>IF($A1623="","",$A1623-WEEKDAY($A1623,2)+1)</f>
        <v>0</v>
      </c>
      <c r="BH1623">
        <f>IF($A1623="","",IF($A1622="",1,IF(BG1623&lt;&gt;BG1622,1,0)))</f>
        <v>0</v>
      </c>
      <c r="BI1623">
        <f>IF($A1623="","",IF($A1624="",1,IF(BG1624&lt;&gt;BG1623,1,0)))</f>
        <v>0</v>
      </c>
      <c r="BJ1623">
        <f>IF($A1623="","",IF(BH1623=1,$B1623,BJ1622))</f>
        <v>0</v>
      </c>
      <c r="BK1623">
        <f>IF($A1623="","",IF(BH1623=1,$C1623,MAX($C1623,BK1622)))</f>
        <v>0</v>
      </c>
      <c r="BL1623">
        <f>IF($A1623="","",IF(BH1623=1,$D1623,MIN($D1623,BL1622)))</f>
        <v>0</v>
      </c>
      <c r="BM1623">
        <f>IF($A1623="","",IF(BI1623=1,F1623,""))</f>
        <v>0</v>
      </c>
      <c r="BN1623">
        <f>IF($A1623="","",DATE(YEAR($A1623),MONTH($A1623),1))</f>
        <v>0</v>
      </c>
      <c r="BO1623">
        <f>IF($A1623="","",IF($A1622="",1,IF(BN1623&lt;&gt;BN1622,1,0)))</f>
        <v>0</v>
      </c>
      <c r="BP1623">
        <f>IF($A1623="","",IF($A1624="",1,IF(BN1624&lt;&gt;BN1623,1,0)))</f>
        <v>0</v>
      </c>
      <c r="BQ1623">
        <f>IF($A1623="","",IF(BO1623=1,$B1623,BQ1622))</f>
        <v>0</v>
      </c>
      <c r="BR1623">
        <f>IF($A1623="","",IF(BO1623=1,$C1623,MAX($C1623,BR1622)))</f>
        <v>0</v>
      </c>
      <c r="BS1623">
        <f>IF($A1623="","",IF(BO1623=1,$D1623,MIN($D1623,BS1622)))</f>
        <v>0</v>
      </c>
      <c r="BT1623">
        <f>IF($A1623="","",IF(BP1623=1,F1623,""))</f>
        <v>0</v>
      </c>
    </row>
    <row r="1624" spans="1:72">
      <c r="A1624" s="27">
        <f>IF(Data!$A1624="","",Data!$A1624)</f>
        <v>0</v>
      </c>
      <c r="B1624">
        <f>IF(Data!$B1624="","",Data!$B1624)</f>
        <v>0</v>
      </c>
      <c r="C1624">
        <f>IF(Data!$C1624="","",Data!$C1624)</f>
        <v>0</v>
      </c>
      <c r="D1624">
        <f>IF(Data!$D1624="","",Data!$D1624)</f>
        <v>0</v>
      </c>
      <c r="E1624">
        <f>IF(Data!$E1624="","",Data!$E1624)</f>
        <v>0</v>
      </c>
      <c r="F1624">
        <f>IF($E1624="","",N(F1623)+1)</f>
        <v>0</v>
      </c>
      <c r="G1624">
        <f>IF(OR($E1624="",$E1623=""),"",LN($E1624/$E1623))</f>
        <v>0</v>
      </c>
      <c r="H1624">
        <f>IF($E1624="","",IF($E1623="",$E1624,$E1624*0.0952380952+H1623*0.9047619048))</f>
        <v>0</v>
      </c>
      <c r="I1624">
        <f>IF($E1624="","",IF($E1623="",$E1624,$E1624*0.0392156863+I1623*0.9607843137))</f>
        <v>0</v>
      </c>
      <c r="J1624">
        <f>IF($E1624="","",IF($E1623="",$E1624,$E1624*0.0198019802+J1623*0.9801980198))</f>
        <v>0</v>
      </c>
      <c r="K1624">
        <f>IF($E1624="","",IF($E1623="",$E1624,$E1624*0.0099502488+K1623*0.9900497512))</f>
        <v>0</v>
      </c>
      <c r="L1624">
        <f>IF(OR($E1624="",$E1623=""),"",MAX($E1624-$E1623,0))</f>
        <v>0</v>
      </c>
      <c r="M1624">
        <f>IF(OR($E1624="",$E1623=""),"",MAX($E1623-$E1624,0))</f>
        <v>0</v>
      </c>
      <c r="N1624">
        <f>IF(COUNT($E$2:$E1624)&lt;15,"",IF(AVERAGE($M$1611:$M$1624)=0,100,100-100/(1+AVERAGE($L$1611:$L$1624)/AVERAGE($M$1611:$M$1624))))</f>
        <v>0</v>
      </c>
      <c r="O1624">
        <f>IF($E1624="","",IF($E1623="",$E1624,$E1624*0.1538461538+O1623*0.8461538462))</f>
        <v>0</v>
      </c>
      <c r="P1624">
        <f>IF($E1624="","",IF($E1623="",$E1624,$E1624*0.0740740741+P1623*0.9259259259))</f>
        <v>0</v>
      </c>
      <c r="Q1624">
        <f>IF(OR(O1624="",P1624=""),"",O1624-P1624)</f>
        <v>0</v>
      </c>
      <c r="R1624">
        <f>IF(Q1624="","",IF(R1623="",Q1624,Q1624*0.2000000000+R1623*0.8000000000))</f>
        <v>0</v>
      </c>
      <c r="S1624">
        <f>IF(OR(Q1624="",R1624=""),"",Q1624-R1624)</f>
        <v>0</v>
      </c>
      <c r="T1624">
        <f>IF(COUNT($E$2:$E1624)&lt;14,"",MAX($C$1611:$C$1624))</f>
        <v>0</v>
      </c>
      <c r="U1624">
        <f>IF(COUNT($E$2:$E1624)&lt;14,"",MIN($D$1611:$D$1624))</f>
        <v>0</v>
      </c>
      <c r="V1624">
        <f>IF(OR(T1624="",U1624="",T1624=U1624),"",100*($E1624-U1624)/(T1624-U1624))</f>
        <v>0</v>
      </c>
      <c r="W1624">
        <f>IF(COUNT($V$1622:$V$1624)&lt;3,"",AVERAGE($V$1622:$V$1624))</f>
        <v>0</v>
      </c>
      <c r="X1624">
        <f>IF(COUNT($N$1611:$N$1624)&lt;14,"",MIN($N$1611:$N$1624))</f>
        <v>0</v>
      </c>
      <c r="Y1624">
        <f>IF(COUNT($N$1611:$N$1624)&lt;14,"",MAX($N$1611:$N$1624))</f>
        <v>0</v>
      </c>
      <c r="Z1624">
        <f>IF(OR(N1624="",X1624="",Y1624="",Y1624=X1624),"",100*(N1624-X1624)/(Y1624-X1624))</f>
        <v>0</v>
      </c>
      <c r="AA1624">
        <f>IF(COUNT($Z$1622:$Z$1624)&lt;3,"",AVERAGE($Z$1622:$Z$1624))</f>
        <v>0</v>
      </c>
      <c r="AB1624">
        <f>IF(COUNT($AA$1622:$AA$1624)&lt;3,"",AVERAGE($AA$1622:$AA$1624))</f>
        <v>0</v>
      </c>
      <c r="AC1624">
        <f>IF($E1624="","",MAX($C1624-$D1624,ABS($C1624-$E1623),ABS($D1624-$E1623)))</f>
        <v>0</v>
      </c>
      <c r="AD1624">
        <f>IF(COUNT($E$2:$E1624)&lt;15,"",AVERAGE($AC$1611:$AC$1624))</f>
        <v>0</v>
      </c>
      <c r="AE1624">
        <f>IF(OR($E1624="",$E1623=""),"",IF(AND(($C1624-$C1623)&gt;($D1623-$D1624),($C1624-$C1623)&gt;0),$C1624-$C1623,0))</f>
        <v>0</v>
      </c>
      <c r="AF1624">
        <f>IF(OR($E1624="",$E1623=""),"",IF(AND(($D1623-$D1624)&gt;($C1624-$C1623),($D1623-$D1624)&gt;0),$D1623-$D1624,0))</f>
        <v>0</v>
      </c>
      <c r="AG1624">
        <f>IF(COUNT($E$2:$E1624)&lt;15,"",IF(SUM($AC$1611:$AC$1624)=0,0,100*SUM($AE$1611:$AE$1624)/SUM($AC$1611:$AC$1624)))</f>
        <v>0</v>
      </c>
      <c r="AH1624">
        <f>IF(COUNT($E$2:$E1624)&lt;15,"",IF(SUM($AC$1611:$AC$1624)=0,0,100*SUM($AF$1611:$AF$1624)/SUM($AC$1611:$AC$1624)))</f>
        <v>0</v>
      </c>
      <c r="AI1624">
        <f>IF(OR(AG1624="",AH1624=""),"",IF((AG1624+AH1624)=0,0,100*ABS(AG1624-AH1624)/(AG1624+AH1624)))</f>
        <v>0</v>
      </c>
      <c r="AJ1624">
        <f>IF(COUNT($AI$1611:$AI$1624)&lt;14,"",AVERAGE($AI$1611:$AI$1624))</f>
        <v>0</v>
      </c>
      <c r="AK1624">
        <f>IF(COUNT($E$2:$E1624)&lt;20,"",AVERAGE($E$1605:$E$1624))</f>
        <v>0</v>
      </c>
      <c r="AL1624">
        <f>IF(COUNT($E$2:$E1624)&lt;20,"",STDEVP($E$1605:$E$1624))</f>
        <v>0</v>
      </c>
      <c r="AM1624">
        <f>IF(AK1624="","",AK1624+2*AL1624)</f>
        <v>0</v>
      </c>
      <c r="AN1624">
        <f>IF(AK1624="","",AK1624-2*AL1624)</f>
        <v>0</v>
      </c>
      <c r="AO1624">
        <f>IF(OR(AM1624="",AN1624="",AM1624=AN1624),"",($E1624-AN1624)/(AM1624-AN1624))</f>
        <v>0</v>
      </c>
      <c r="AP1624">
        <f>IF(OR(AM1624="",AK1624="",AK1624=0),"",(AM1624-AN1624)/AK1624)</f>
        <v>0</v>
      </c>
      <c r="AQ1624">
        <f>IF(COUNT($E$2:$E1624)&lt;20,"",MAX($C$1605:$C$1624))</f>
        <v>0</v>
      </c>
      <c r="AR1624">
        <f>IF(COUNT($E$2:$E1624)&lt;20,"",MIN($D$1605:$D$1624))</f>
        <v>0</v>
      </c>
      <c r="AS1624">
        <f>IF(OR(AQ1624="",AR1624=""),"",(AQ1624+AR1624)/2)</f>
        <v>0</v>
      </c>
      <c r="AT1624">
        <f>IF(COUNT($G$1605:$G$1624)&lt;20,"",STDEV($G$1605:$G$1624)*SQRT(252))</f>
        <v>0</v>
      </c>
      <c r="AU1624">
        <f>IF(COUNT($E$2:$E1624)&lt;9,"",(MAX($C$1616:$C$1624)+MIN($D$1616:$D$1624))/2)</f>
        <v>0</v>
      </c>
      <c r="AV1624">
        <f>IF(COUNT($E$2:$E1624)&lt;26,"",(MAX($C$1599:$C$1624)+MIN($D$1599:$D$1624))/2)</f>
        <v>0</v>
      </c>
      <c r="AW1624">
        <f>IF(OR(AU1624="",AV1624=""),"",(AU1624+AV1624)/2)</f>
        <v>0</v>
      </c>
      <c r="AX1624">
        <f>IF(COUNT($E$2:$E1624)&lt;52,"",(MAX($C$1573:$C$1624)+MIN($D$1573:$D$1624))/2)</f>
        <v>0</v>
      </c>
      <c r="AY1624">
        <f>IF(COUNT($E$2:$E1624)&lt;20,"",MAX($C$1525:$C$1624))</f>
        <v>0</v>
      </c>
      <c r="AZ1624">
        <f>IF(COUNT($E$2:$E1624)&lt;20,"",MIN($D$1525:$D$1624))</f>
        <v>0</v>
      </c>
      <c r="BA1624">
        <f>IF(COUNT($E$2:$E1624)&lt;20,"",SLOPE($E$1525:$E$1624,$F$1525:$F$1624))</f>
        <v>0</v>
      </c>
      <c r="BB1624">
        <f>IF(COUNT($E$2:$E1624)&lt;20,"",INTERCEPT($E$1525:$E$1624,$F$1525:$F$1624))</f>
        <v>0</v>
      </c>
      <c r="BC1624">
        <f>IF(OR(BA1624="",BB1624=""),"",BB1624+BA1624*F1624)</f>
        <v>0</v>
      </c>
      <c r="BD1624">
        <f>IF(COUNT($E$2:$E1624)&lt;20,"",STEYX($E$1525:$E$1624,$F$1525:$F$1624))</f>
        <v>0</v>
      </c>
      <c r="BE1624">
        <f>IF($E1624="","",IF(AND(COUNT($E$1625:$E$1628)&gt;=4,$C1624=MAX($C$1620:$C$1628)),$C1624,""))</f>
        <v>0</v>
      </c>
      <c r="BF1624">
        <f>IF($E1624="","",IF(AND(COUNT($E$1625:$E$1628)&gt;=4,$D1624=MIN($D$1620:$D$1628)),$D1624,""))</f>
        <v>0</v>
      </c>
      <c r="BG1624">
        <f>IF($A1624="","",$A1624-WEEKDAY($A1624,2)+1)</f>
        <v>0</v>
      </c>
      <c r="BH1624">
        <f>IF($A1624="","",IF($A1623="",1,IF(BG1624&lt;&gt;BG1623,1,0)))</f>
        <v>0</v>
      </c>
      <c r="BI1624">
        <f>IF($A1624="","",IF($A1625="",1,IF(BG1625&lt;&gt;BG1624,1,0)))</f>
        <v>0</v>
      </c>
      <c r="BJ1624">
        <f>IF($A1624="","",IF(BH1624=1,$B1624,BJ1623))</f>
        <v>0</v>
      </c>
      <c r="BK1624">
        <f>IF($A1624="","",IF(BH1624=1,$C1624,MAX($C1624,BK1623)))</f>
        <v>0</v>
      </c>
      <c r="BL1624">
        <f>IF($A1624="","",IF(BH1624=1,$D1624,MIN($D1624,BL1623)))</f>
        <v>0</v>
      </c>
      <c r="BM1624">
        <f>IF($A1624="","",IF(BI1624=1,F1624,""))</f>
        <v>0</v>
      </c>
      <c r="BN1624">
        <f>IF($A1624="","",DATE(YEAR($A1624),MONTH($A1624),1))</f>
        <v>0</v>
      </c>
      <c r="BO1624">
        <f>IF($A1624="","",IF($A1623="",1,IF(BN1624&lt;&gt;BN1623,1,0)))</f>
        <v>0</v>
      </c>
      <c r="BP1624">
        <f>IF($A1624="","",IF($A1625="",1,IF(BN1625&lt;&gt;BN1624,1,0)))</f>
        <v>0</v>
      </c>
      <c r="BQ1624">
        <f>IF($A1624="","",IF(BO1624=1,$B1624,BQ1623))</f>
        <v>0</v>
      </c>
      <c r="BR1624">
        <f>IF($A1624="","",IF(BO1624=1,$C1624,MAX($C1624,BR1623)))</f>
        <v>0</v>
      </c>
      <c r="BS1624">
        <f>IF($A1624="","",IF(BO1624=1,$D1624,MIN($D1624,BS1623)))</f>
        <v>0</v>
      </c>
      <c r="BT1624">
        <f>IF($A1624="","",IF(BP1624=1,F1624,""))</f>
        <v>0</v>
      </c>
    </row>
    <row r="1625" spans="1:72">
      <c r="A1625" s="27">
        <f>IF(Data!$A1625="","",Data!$A1625)</f>
        <v>0</v>
      </c>
      <c r="B1625">
        <f>IF(Data!$B1625="","",Data!$B1625)</f>
        <v>0</v>
      </c>
      <c r="C1625">
        <f>IF(Data!$C1625="","",Data!$C1625)</f>
        <v>0</v>
      </c>
      <c r="D1625">
        <f>IF(Data!$D1625="","",Data!$D1625)</f>
        <v>0</v>
      </c>
      <c r="E1625">
        <f>IF(Data!$E1625="","",Data!$E1625)</f>
        <v>0</v>
      </c>
      <c r="F1625">
        <f>IF($E1625="","",N(F1624)+1)</f>
        <v>0</v>
      </c>
      <c r="G1625">
        <f>IF(OR($E1625="",$E1624=""),"",LN($E1625/$E1624))</f>
        <v>0</v>
      </c>
      <c r="H1625">
        <f>IF($E1625="","",IF($E1624="",$E1625,$E1625*0.0952380952+H1624*0.9047619048))</f>
        <v>0</v>
      </c>
      <c r="I1625">
        <f>IF($E1625="","",IF($E1624="",$E1625,$E1625*0.0392156863+I1624*0.9607843137))</f>
        <v>0</v>
      </c>
      <c r="J1625">
        <f>IF($E1625="","",IF($E1624="",$E1625,$E1625*0.0198019802+J1624*0.9801980198))</f>
        <v>0</v>
      </c>
      <c r="K1625">
        <f>IF($E1625="","",IF($E1624="",$E1625,$E1625*0.0099502488+K1624*0.9900497512))</f>
        <v>0</v>
      </c>
      <c r="L1625">
        <f>IF(OR($E1625="",$E1624=""),"",MAX($E1625-$E1624,0))</f>
        <v>0</v>
      </c>
      <c r="M1625">
        <f>IF(OR($E1625="",$E1624=""),"",MAX($E1624-$E1625,0))</f>
        <v>0</v>
      </c>
      <c r="N1625">
        <f>IF(COUNT($E$2:$E1625)&lt;15,"",IF(AVERAGE($M$1612:$M$1625)=0,100,100-100/(1+AVERAGE($L$1612:$L$1625)/AVERAGE($M$1612:$M$1625))))</f>
        <v>0</v>
      </c>
      <c r="O1625">
        <f>IF($E1625="","",IF($E1624="",$E1625,$E1625*0.1538461538+O1624*0.8461538462))</f>
        <v>0</v>
      </c>
      <c r="P1625">
        <f>IF($E1625="","",IF($E1624="",$E1625,$E1625*0.0740740741+P1624*0.9259259259))</f>
        <v>0</v>
      </c>
      <c r="Q1625">
        <f>IF(OR(O1625="",P1625=""),"",O1625-P1625)</f>
        <v>0</v>
      </c>
      <c r="R1625">
        <f>IF(Q1625="","",IF(R1624="",Q1625,Q1625*0.2000000000+R1624*0.8000000000))</f>
        <v>0</v>
      </c>
      <c r="S1625">
        <f>IF(OR(Q1625="",R1625=""),"",Q1625-R1625)</f>
        <v>0</v>
      </c>
      <c r="T1625">
        <f>IF(COUNT($E$2:$E1625)&lt;14,"",MAX($C$1612:$C$1625))</f>
        <v>0</v>
      </c>
      <c r="U1625">
        <f>IF(COUNT($E$2:$E1625)&lt;14,"",MIN($D$1612:$D$1625))</f>
        <v>0</v>
      </c>
      <c r="V1625">
        <f>IF(OR(T1625="",U1625="",T1625=U1625),"",100*($E1625-U1625)/(T1625-U1625))</f>
        <v>0</v>
      </c>
      <c r="W1625">
        <f>IF(COUNT($V$1623:$V$1625)&lt;3,"",AVERAGE($V$1623:$V$1625))</f>
        <v>0</v>
      </c>
      <c r="X1625">
        <f>IF(COUNT($N$1612:$N$1625)&lt;14,"",MIN($N$1612:$N$1625))</f>
        <v>0</v>
      </c>
      <c r="Y1625">
        <f>IF(COUNT($N$1612:$N$1625)&lt;14,"",MAX($N$1612:$N$1625))</f>
        <v>0</v>
      </c>
      <c r="Z1625">
        <f>IF(OR(N1625="",X1625="",Y1625="",Y1625=X1625),"",100*(N1625-X1625)/(Y1625-X1625))</f>
        <v>0</v>
      </c>
      <c r="AA1625">
        <f>IF(COUNT($Z$1623:$Z$1625)&lt;3,"",AVERAGE($Z$1623:$Z$1625))</f>
        <v>0</v>
      </c>
      <c r="AB1625">
        <f>IF(COUNT($AA$1623:$AA$1625)&lt;3,"",AVERAGE($AA$1623:$AA$1625))</f>
        <v>0</v>
      </c>
      <c r="AC1625">
        <f>IF($E1625="","",MAX($C1625-$D1625,ABS($C1625-$E1624),ABS($D1625-$E1624)))</f>
        <v>0</v>
      </c>
      <c r="AD1625">
        <f>IF(COUNT($E$2:$E1625)&lt;15,"",AVERAGE($AC$1612:$AC$1625))</f>
        <v>0</v>
      </c>
      <c r="AE1625">
        <f>IF(OR($E1625="",$E1624=""),"",IF(AND(($C1625-$C1624)&gt;($D1624-$D1625),($C1625-$C1624)&gt;0),$C1625-$C1624,0))</f>
        <v>0</v>
      </c>
      <c r="AF1625">
        <f>IF(OR($E1625="",$E1624=""),"",IF(AND(($D1624-$D1625)&gt;($C1625-$C1624),($D1624-$D1625)&gt;0),$D1624-$D1625,0))</f>
        <v>0</v>
      </c>
      <c r="AG1625">
        <f>IF(COUNT($E$2:$E1625)&lt;15,"",IF(SUM($AC$1612:$AC$1625)=0,0,100*SUM($AE$1612:$AE$1625)/SUM($AC$1612:$AC$1625)))</f>
        <v>0</v>
      </c>
      <c r="AH1625">
        <f>IF(COUNT($E$2:$E1625)&lt;15,"",IF(SUM($AC$1612:$AC$1625)=0,0,100*SUM($AF$1612:$AF$1625)/SUM($AC$1612:$AC$1625)))</f>
        <v>0</v>
      </c>
      <c r="AI1625">
        <f>IF(OR(AG1625="",AH1625=""),"",IF((AG1625+AH1625)=0,0,100*ABS(AG1625-AH1625)/(AG1625+AH1625)))</f>
        <v>0</v>
      </c>
      <c r="AJ1625">
        <f>IF(COUNT($AI$1612:$AI$1625)&lt;14,"",AVERAGE($AI$1612:$AI$1625))</f>
        <v>0</v>
      </c>
      <c r="AK1625">
        <f>IF(COUNT($E$2:$E1625)&lt;20,"",AVERAGE($E$1606:$E$1625))</f>
        <v>0</v>
      </c>
      <c r="AL1625">
        <f>IF(COUNT($E$2:$E1625)&lt;20,"",STDEVP($E$1606:$E$1625))</f>
        <v>0</v>
      </c>
      <c r="AM1625">
        <f>IF(AK1625="","",AK1625+2*AL1625)</f>
        <v>0</v>
      </c>
      <c r="AN1625">
        <f>IF(AK1625="","",AK1625-2*AL1625)</f>
        <v>0</v>
      </c>
      <c r="AO1625">
        <f>IF(OR(AM1625="",AN1625="",AM1625=AN1625),"",($E1625-AN1625)/(AM1625-AN1625))</f>
        <v>0</v>
      </c>
      <c r="AP1625">
        <f>IF(OR(AM1625="",AK1625="",AK1625=0),"",(AM1625-AN1625)/AK1625)</f>
        <v>0</v>
      </c>
      <c r="AQ1625">
        <f>IF(COUNT($E$2:$E1625)&lt;20,"",MAX($C$1606:$C$1625))</f>
        <v>0</v>
      </c>
      <c r="AR1625">
        <f>IF(COUNT($E$2:$E1625)&lt;20,"",MIN($D$1606:$D$1625))</f>
        <v>0</v>
      </c>
      <c r="AS1625">
        <f>IF(OR(AQ1625="",AR1625=""),"",(AQ1625+AR1625)/2)</f>
        <v>0</v>
      </c>
      <c r="AT1625">
        <f>IF(COUNT($G$1606:$G$1625)&lt;20,"",STDEV($G$1606:$G$1625)*SQRT(252))</f>
        <v>0</v>
      </c>
      <c r="AU1625">
        <f>IF(COUNT($E$2:$E1625)&lt;9,"",(MAX($C$1617:$C$1625)+MIN($D$1617:$D$1625))/2)</f>
        <v>0</v>
      </c>
      <c r="AV1625">
        <f>IF(COUNT($E$2:$E1625)&lt;26,"",(MAX($C$1600:$C$1625)+MIN($D$1600:$D$1625))/2)</f>
        <v>0</v>
      </c>
      <c r="AW1625">
        <f>IF(OR(AU1625="",AV1625=""),"",(AU1625+AV1625)/2)</f>
        <v>0</v>
      </c>
      <c r="AX1625">
        <f>IF(COUNT($E$2:$E1625)&lt;52,"",(MAX($C$1574:$C$1625)+MIN($D$1574:$D$1625))/2)</f>
        <v>0</v>
      </c>
      <c r="AY1625">
        <f>IF(COUNT($E$2:$E1625)&lt;20,"",MAX($C$1526:$C$1625))</f>
        <v>0</v>
      </c>
      <c r="AZ1625">
        <f>IF(COUNT($E$2:$E1625)&lt;20,"",MIN($D$1526:$D$1625))</f>
        <v>0</v>
      </c>
      <c r="BA1625">
        <f>IF(COUNT($E$2:$E1625)&lt;20,"",SLOPE($E$1526:$E$1625,$F$1526:$F$1625))</f>
        <v>0</v>
      </c>
      <c r="BB1625">
        <f>IF(COUNT($E$2:$E1625)&lt;20,"",INTERCEPT($E$1526:$E$1625,$F$1526:$F$1625))</f>
        <v>0</v>
      </c>
      <c r="BC1625">
        <f>IF(OR(BA1625="",BB1625=""),"",BB1625+BA1625*F1625)</f>
        <v>0</v>
      </c>
      <c r="BD1625">
        <f>IF(COUNT($E$2:$E1625)&lt;20,"",STEYX($E$1526:$E$1625,$F$1526:$F$1625))</f>
        <v>0</v>
      </c>
      <c r="BE1625">
        <f>IF($E1625="","",IF(AND(COUNT($E$1626:$E$1629)&gt;=4,$C1625=MAX($C$1621:$C$1629)),$C1625,""))</f>
        <v>0</v>
      </c>
      <c r="BF1625">
        <f>IF($E1625="","",IF(AND(COUNT($E$1626:$E$1629)&gt;=4,$D1625=MIN($D$1621:$D$1629)),$D1625,""))</f>
        <v>0</v>
      </c>
      <c r="BG1625">
        <f>IF($A1625="","",$A1625-WEEKDAY($A1625,2)+1)</f>
        <v>0</v>
      </c>
      <c r="BH1625">
        <f>IF($A1625="","",IF($A1624="",1,IF(BG1625&lt;&gt;BG1624,1,0)))</f>
        <v>0</v>
      </c>
      <c r="BI1625">
        <f>IF($A1625="","",IF($A1626="",1,IF(BG1626&lt;&gt;BG1625,1,0)))</f>
        <v>0</v>
      </c>
      <c r="BJ1625">
        <f>IF($A1625="","",IF(BH1625=1,$B1625,BJ1624))</f>
        <v>0</v>
      </c>
      <c r="BK1625">
        <f>IF($A1625="","",IF(BH1625=1,$C1625,MAX($C1625,BK1624)))</f>
        <v>0</v>
      </c>
      <c r="BL1625">
        <f>IF($A1625="","",IF(BH1625=1,$D1625,MIN($D1625,BL1624)))</f>
        <v>0</v>
      </c>
      <c r="BM1625">
        <f>IF($A1625="","",IF(BI1625=1,F1625,""))</f>
        <v>0</v>
      </c>
      <c r="BN1625">
        <f>IF($A1625="","",DATE(YEAR($A1625),MONTH($A1625),1))</f>
        <v>0</v>
      </c>
      <c r="BO1625">
        <f>IF($A1625="","",IF($A1624="",1,IF(BN1625&lt;&gt;BN1624,1,0)))</f>
        <v>0</v>
      </c>
      <c r="BP1625">
        <f>IF($A1625="","",IF($A1626="",1,IF(BN1626&lt;&gt;BN1625,1,0)))</f>
        <v>0</v>
      </c>
      <c r="BQ1625">
        <f>IF($A1625="","",IF(BO1625=1,$B1625,BQ1624))</f>
        <v>0</v>
      </c>
      <c r="BR1625">
        <f>IF($A1625="","",IF(BO1625=1,$C1625,MAX($C1625,BR1624)))</f>
        <v>0</v>
      </c>
      <c r="BS1625">
        <f>IF($A1625="","",IF(BO1625=1,$D1625,MIN($D1625,BS1624)))</f>
        <v>0</v>
      </c>
      <c r="BT1625">
        <f>IF($A1625="","",IF(BP1625=1,F1625,""))</f>
        <v>0</v>
      </c>
    </row>
    <row r="1626" spans="1:72">
      <c r="A1626" s="27">
        <f>IF(Data!$A1626="","",Data!$A1626)</f>
        <v>0</v>
      </c>
      <c r="B1626">
        <f>IF(Data!$B1626="","",Data!$B1626)</f>
        <v>0</v>
      </c>
      <c r="C1626">
        <f>IF(Data!$C1626="","",Data!$C1626)</f>
        <v>0</v>
      </c>
      <c r="D1626">
        <f>IF(Data!$D1626="","",Data!$D1626)</f>
        <v>0</v>
      </c>
      <c r="E1626">
        <f>IF(Data!$E1626="","",Data!$E1626)</f>
        <v>0</v>
      </c>
      <c r="F1626">
        <f>IF($E1626="","",N(F1625)+1)</f>
        <v>0</v>
      </c>
      <c r="G1626">
        <f>IF(OR($E1626="",$E1625=""),"",LN($E1626/$E1625))</f>
        <v>0</v>
      </c>
      <c r="H1626">
        <f>IF($E1626="","",IF($E1625="",$E1626,$E1626*0.0952380952+H1625*0.9047619048))</f>
        <v>0</v>
      </c>
      <c r="I1626">
        <f>IF($E1626="","",IF($E1625="",$E1626,$E1626*0.0392156863+I1625*0.9607843137))</f>
        <v>0</v>
      </c>
      <c r="J1626">
        <f>IF($E1626="","",IF($E1625="",$E1626,$E1626*0.0198019802+J1625*0.9801980198))</f>
        <v>0</v>
      </c>
      <c r="K1626">
        <f>IF($E1626="","",IF($E1625="",$E1626,$E1626*0.0099502488+K1625*0.9900497512))</f>
        <v>0</v>
      </c>
      <c r="L1626">
        <f>IF(OR($E1626="",$E1625=""),"",MAX($E1626-$E1625,0))</f>
        <v>0</v>
      </c>
      <c r="M1626">
        <f>IF(OR($E1626="",$E1625=""),"",MAX($E1625-$E1626,0))</f>
        <v>0</v>
      </c>
      <c r="N1626">
        <f>IF(COUNT($E$2:$E1626)&lt;15,"",IF(AVERAGE($M$1613:$M$1626)=0,100,100-100/(1+AVERAGE($L$1613:$L$1626)/AVERAGE($M$1613:$M$1626))))</f>
        <v>0</v>
      </c>
      <c r="O1626">
        <f>IF($E1626="","",IF($E1625="",$E1626,$E1626*0.1538461538+O1625*0.8461538462))</f>
        <v>0</v>
      </c>
      <c r="P1626">
        <f>IF($E1626="","",IF($E1625="",$E1626,$E1626*0.0740740741+P1625*0.9259259259))</f>
        <v>0</v>
      </c>
      <c r="Q1626">
        <f>IF(OR(O1626="",P1626=""),"",O1626-P1626)</f>
        <v>0</v>
      </c>
      <c r="R1626">
        <f>IF(Q1626="","",IF(R1625="",Q1626,Q1626*0.2000000000+R1625*0.8000000000))</f>
        <v>0</v>
      </c>
      <c r="S1626">
        <f>IF(OR(Q1626="",R1626=""),"",Q1626-R1626)</f>
        <v>0</v>
      </c>
      <c r="T1626">
        <f>IF(COUNT($E$2:$E1626)&lt;14,"",MAX($C$1613:$C$1626))</f>
        <v>0</v>
      </c>
      <c r="U1626">
        <f>IF(COUNT($E$2:$E1626)&lt;14,"",MIN($D$1613:$D$1626))</f>
        <v>0</v>
      </c>
      <c r="V1626">
        <f>IF(OR(T1626="",U1626="",T1626=U1626),"",100*($E1626-U1626)/(T1626-U1626))</f>
        <v>0</v>
      </c>
      <c r="W1626">
        <f>IF(COUNT($V$1624:$V$1626)&lt;3,"",AVERAGE($V$1624:$V$1626))</f>
        <v>0</v>
      </c>
      <c r="X1626">
        <f>IF(COUNT($N$1613:$N$1626)&lt;14,"",MIN($N$1613:$N$1626))</f>
        <v>0</v>
      </c>
      <c r="Y1626">
        <f>IF(COUNT($N$1613:$N$1626)&lt;14,"",MAX($N$1613:$N$1626))</f>
        <v>0</v>
      </c>
      <c r="Z1626">
        <f>IF(OR(N1626="",X1626="",Y1626="",Y1626=X1626),"",100*(N1626-X1626)/(Y1626-X1626))</f>
        <v>0</v>
      </c>
      <c r="AA1626">
        <f>IF(COUNT($Z$1624:$Z$1626)&lt;3,"",AVERAGE($Z$1624:$Z$1626))</f>
        <v>0</v>
      </c>
      <c r="AB1626">
        <f>IF(COUNT($AA$1624:$AA$1626)&lt;3,"",AVERAGE($AA$1624:$AA$1626))</f>
        <v>0</v>
      </c>
      <c r="AC1626">
        <f>IF($E1626="","",MAX($C1626-$D1626,ABS($C1626-$E1625),ABS($D1626-$E1625)))</f>
        <v>0</v>
      </c>
      <c r="AD1626">
        <f>IF(COUNT($E$2:$E1626)&lt;15,"",AVERAGE($AC$1613:$AC$1626))</f>
        <v>0</v>
      </c>
      <c r="AE1626">
        <f>IF(OR($E1626="",$E1625=""),"",IF(AND(($C1626-$C1625)&gt;($D1625-$D1626),($C1626-$C1625)&gt;0),$C1626-$C1625,0))</f>
        <v>0</v>
      </c>
      <c r="AF1626">
        <f>IF(OR($E1626="",$E1625=""),"",IF(AND(($D1625-$D1626)&gt;($C1626-$C1625),($D1625-$D1626)&gt;0),$D1625-$D1626,0))</f>
        <v>0</v>
      </c>
      <c r="AG1626">
        <f>IF(COUNT($E$2:$E1626)&lt;15,"",IF(SUM($AC$1613:$AC$1626)=0,0,100*SUM($AE$1613:$AE$1626)/SUM($AC$1613:$AC$1626)))</f>
        <v>0</v>
      </c>
      <c r="AH1626">
        <f>IF(COUNT($E$2:$E1626)&lt;15,"",IF(SUM($AC$1613:$AC$1626)=0,0,100*SUM($AF$1613:$AF$1626)/SUM($AC$1613:$AC$1626)))</f>
        <v>0</v>
      </c>
      <c r="AI1626">
        <f>IF(OR(AG1626="",AH1626=""),"",IF((AG1626+AH1626)=0,0,100*ABS(AG1626-AH1626)/(AG1626+AH1626)))</f>
        <v>0</v>
      </c>
      <c r="AJ1626">
        <f>IF(COUNT($AI$1613:$AI$1626)&lt;14,"",AVERAGE($AI$1613:$AI$1626))</f>
        <v>0</v>
      </c>
      <c r="AK1626">
        <f>IF(COUNT($E$2:$E1626)&lt;20,"",AVERAGE($E$1607:$E$1626))</f>
        <v>0</v>
      </c>
      <c r="AL1626">
        <f>IF(COUNT($E$2:$E1626)&lt;20,"",STDEVP($E$1607:$E$1626))</f>
        <v>0</v>
      </c>
      <c r="AM1626">
        <f>IF(AK1626="","",AK1626+2*AL1626)</f>
        <v>0</v>
      </c>
      <c r="AN1626">
        <f>IF(AK1626="","",AK1626-2*AL1626)</f>
        <v>0</v>
      </c>
      <c r="AO1626">
        <f>IF(OR(AM1626="",AN1626="",AM1626=AN1626),"",($E1626-AN1626)/(AM1626-AN1626))</f>
        <v>0</v>
      </c>
      <c r="AP1626">
        <f>IF(OR(AM1626="",AK1626="",AK1626=0),"",(AM1626-AN1626)/AK1626)</f>
        <v>0</v>
      </c>
      <c r="AQ1626">
        <f>IF(COUNT($E$2:$E1626)&lt;20,"",MAX($C$1607:$C$1626))</f>
        <v>0</v>
      </c>
      <c r="AR1626">
        <f>IF(COUNT($E$2:$E1626)&lt;20,"",MIN($D$1607:$D$1626))</f>
        <v>0</v>
      </c>
      <c r="AS1626">
        <f>IF(OR(AQ1626="",AR1626=""),"",(AQ1626+AR1626)/2)</f>
        <v>0</v>
      </c>
      <c r="AT1626">
        <f>IF(COUNT($G$1607:$G$1626)&lt;20,"",STDEV($G$1607:$G$1626)*SQRT(252))</f>
        <v>0</v>
      </c>
      <c r="AU1626">
        <f>IF(COUNT($E$2:$E1626)&lt;9,"",(MAX($C$1618:$C$1626)+MIN($D$1618:$D$1626))/2)</f>
        <v>0</v>
      </c>
      <c r="AV1626">
        <f>IF(COUNT($E$2:$E1626)&lt;26,"",(MAX($C$1601:$C$1626)+MIN($D$1601:$D$1626))/2)</f>
        <v>0</v>
      </c>
      <c r="AW1626">
        <f>IF(OR(AU1626="",AV1626=""),"",(AU1626+AV1626)/2)</f>
        <v>0</v>
      </c>
      <c r="AX1626">
        <f>IF(COUNT($E$2:$E1626)&lt;52,"",(MAX($C$1575:$C$1626)+MIN($D$1575:$D$1626))/2)</f>
        <v>0</v>
      </c>
      <c r="AY1626">
        <f>IF(COUNT($E$2:$E1626)&lt;20,"",MAX($C$1527:$C$1626))</f>
        <v>0</v>
      </c>
      <c r="AZ1626">
        <f>IF(COUNT($E$2:$E1626)&lt;20,"",MIN($D$1527:$D$1626))</f>
        <v>0</v>
      </c>
      <c r="BA1626">
        <f>IF(COUNT($E$2:$E1626)&lt;20,"",SLOPE($E$1527:$E$1626,$F$1527:$F$1626))</f>
        <v>0</v>
      </c>
      <c r="BB1626">
        <f>IF(COUNT($E$2:$E1626)&lt;20,"",INTERCEPT($E$1527:$E$1626,$F$1527:$F$1626))</f>
        <v>0</v>
      </c>
      <c r="BC1626">
        <f>IF(OR(BA1626="",BB1626=""),"",BB1626+BA1626*F1626)</f>
        <v>0</v>
      </c>
      <c r="BD1626">
        <f>IF(COUNT($E$2:$E1626)&lt;20,"",STEYX($E$1527:$E$1626,$F$1527:$F$1626))</f>
        <v>0</v>
      </c>
      <c r="BE1626">
        <f>IF($E1626="","",IF(AND(COUNT($E$1627:$E$1630)&gt;=4,$C1626=MAX($C$1622:$C$1630)),$C1626,""))</f>
        <v>0</v>
      </c>
      <c r="BF1626">
        <f>IF($E1626="","",IF(AND(COUNT($E$1627:$E$1630)&gt;=4,$D1626=MIN($D$1622:$D$1630)),$D1626,""))</f>
        <v>0</v>
      </c>
      <c r="BG1626">
        <f>IF($A1626="","",$A1626-WEEKDAY($A1626,2)+1)</f>
        <v>0</v>
      </c>
      <c r="BH1626">
        <f>IF($A1626="","",IF($A1625="",1,IF(BG1626&lt;&gt;BG1625,1,0)))</f>
        <v>0</v>
      </c>
      <c r="BI1626">
        <f>IF($A1626="","",IF($A1627="",1,IF(BG1627&lt;&gt;BG1626,1,0)))</f>
        <v>0</v>
      </c>
      <c r="BJ1626">
        <f>IF($A1626="","",IF(BH1626=1,$B1626,BJ1625))</f>
        <v>0</v>
      </c>
      <c r="BK1626">
        <f>IF($A1626="","",IF(BH1626=1,$C1626,MAX($C1626,BK1625)))</f>
        <v>0</v>
      </c>
      <c r="BL1626">
        <f>IF($A1626="","",IF(BH1626=1,$D1626,MIN($D1626,BL1625)))</f>
        <v>0</v>
      </c>
      <c r="BM1626">
        <f>IF($A1626="","",IF(BI1626=1,F1626,""))</f>
        <v>0</v>
      </c>
      <c r="BN1626">
        <f>IF($A1626="","",DATE(YEAR($A1626),MONTH($A1626),1))</f>
        <v>0</v>
      </c>
      <c r="BO1626">
        <f>IF($A1626="","",IF($A1625="",1,IF(BN1626&lt;&gt;BN1625,1,0)))</f>
        <v>0</v>
      </c>
      <c r="BP1626">
        <f>IF($A1626="","",IF($A1627="",1,IF(BN1627&lt;&gt;BN1626,1,0)))</f>
        <v>0</v>
      </c>
      <c r="BQ1626">
        <f>IF($A1626="","",IF(BO1626=1,$B1626,BQ1625))</f>
        <v>0</v>
      </c>
      <c r="BR1626">
        <f>IF($A1626="","",IF(BO1626=1,$C1626,MAX($C1626,BR1625)))</f>
        <v>0</v>
      </c>
      <c r="BS1626">
        <f>IF($A1626="","",IF(BO1626=1,$D1626,MIN($D1626,BS1625)))</f>
        <v>0</v>
      </c>
      <c r="BT1626">
        <f>IF($A1626="","",IF(BP1626=1,F1626,""))</f>
        <v>0</v>
      </c>
    </row>
    <row r="1627" spans="1:72">
      <c r="A1627" s="27">
        <f>IF(Data!$A1627="","",Data!$A1627)</f>
        <v>0</v>
      </c>
      <c r="B1627">
        <f>IF(Data!$B1627="","",Data!$B1627)</f>
        <v>0</v>
      </c>
      <c r="C1627">
        <f>IF(Data!$C1627="","",Data!$C1627)</f>
        <v>0</v>
      </c>
      <c r="D1627">
        <f>IF(Data!$D1627="","",Data!$D1627)</f>
        <v>0</v>
      </c>
      <c r="E1627">
        <f>IF(Data!$E1627="","",Data!$E1627)</f>
        <v>0</v>
      </c>
      <c r="F1627">
        <f>IF($E1627="","",N(F1626)+1)</f>
        <v>0</v>
      </c>
      <c r="G1627">
        <f>IF(OR($E1627="",$E1626=""),"",LN($E1627/$E1626))</f>
        <v>0</v>
      </c>
      <c r="H1627">
        <f>IF($E1627="","",IF($E1626="",$E1627,$E1627*0.0952380952+H1626*0.9047619048))</f>
        <v>0</v>
      </c>
      <c r="I1627">
        <f>IF($E1627="","",IF($E1626="",$E1627,$E1627*0.0392156863+I1626*0.9607843137))</f>
        <v>0</v>
      </c>
      <c r="J1627">
        <f>IF($E1627="","",IF($E1626="",$E1627,$E1627*0.0198019802+J1626*0.9801980198))</f>
        <v>0</v>
      </c>
      <c r="K1627">
        <f>IF($E1627="","",IF($E1626="",$E1627,$E1627*0.0099502488+K1626*0.9900497512))</f>
        <v>0</v>
      </c>
      <c r="L1627">
        <f>IF(OR($E1627="",$E1626=""),"",MAX($E1627-$E1626,0))</f>
        <v>0</v>
      </c>
      <c r="M1627">
        <f>IF(OR($E1627="",$E1626=""),"",MAX($E1626-$E1627,0))</f>
        <v>0</v>
      </c>
      <c r="N1627">
        <f>IF(COUNT($E$2:$E1627)&lt;15,"",IF(AVERAGE($M$1614:$M$1627)=0,100,100-100/(1+AVERAGE($L$1614:$L$1627)/AVERAGE($M$1614:$M$1627))))</f>
        <v>0</v>
      </c>
      <c r="O1627">
        <f>IF($E1627="","",IF($E1626="",$E1627,$E1627*0.1538461538+O1626*0.8461538462))</f>
        <v>0</v>
      </c>
      <c r="P1627">
        <f>IF($E1627="","",IF($E1626="",$E1627,$E1627*0.0740740741+P1626*0.9259259259))</f>
        <v>0</v>
      </c>
      <c r="Q1627">
        <f>IF(OR(O1627="",P1627=""),"",O1627-P1627)</f>
        <v>0</v>
      </c>
      <c r="R1627">
        <f>IF(Q1627="","",IF(R1626="",Q1627,Q1627*0.2000000000+R1626*0.8000000000))</f>
        <v>0</v>
      </c>
      <c r="S1627">
        <f>IF(OR(Q1627="",R1627=""),"",Q1627-R1627)</f>
        <v>0</v>
      </c>
      <c r="T1627">
        <f>IF(COUNT($E$2:$E1627)&lt;14,"",MAX($C$1614:$C$1627))</f>
        <v>0</v>
      </c>
      <c r="U1627">
        <f>IF(COUNT($E$2:$E1627)&lt;14,"",MIN($D$1614:$D$1627))</f>
        <v>0</v>
      </c>
      <c r="V1627">
        <f>IF(OR(T1627="",U1627="",T1627=U1627),"",100*($E1627-U1627)/(T1627-U1627))</f>
        <v>0</v>
      </c>
      <c r="W1627">
        <f>IF(COUNT($V$1625:$V$1627)&lt;3,"",AVERAGE($V$1625:$V$1627))</f>
        <v>0</v>
      </c>
      <c r="X1627">
        <f>IF(COUNT($N$1614:$N$1627)&lt;14,"",MIN($N$1614:$N$1627))</f>
        <v>0</v>
      </c>
      <c r="Y1627">
        <f>IF(COUNT($N$1614:$N$1627)&lt;14,"",MAX($N$1614:$N$1627))</f>
        <v>0</v>
      </c>
      <c r="Z1627">
        <f>IF(OR(N1627="",X1627="",Y1627="",Y1627=X1627),"",100*(N1627-X1627)/(Y1627-X1627))</f>
        <v>0</v>
      </c>
      <c r="AA1627">
        <f>IF(COUNT($Z$1625:$Z$1627)&lt;3,"",AVERAGE($Z$1625:$Z$1627))</f>
        <v>0</v>
      </c>
      <c r="AB1627">
        <f>IF(COUNT($AA$1625:$AA$1627)&lt;3,"",AVERAGE($AA$1625:$AA$1627))</f>
        <v>0</v>
      </c>
      <c r="AC1627">
        <f>IF($E1627="","",MAX($C1627-$D1627,ABS($C1627-$E1626),ABS($D1627-$E1626)))</f>
        <v>0</v>
      </c>
      <c r="AD1627">
        <f>IF(COUNT($E$2:$E1627)&lt;15,"",AVERAGE($AC$1614:$AC$1627))</f>
        <v>0</v>
      </c>
      <c r="AE1627">
        <f>IF(OR($E1627="",$E1626=""),"",IF(AND(($C1627-$C1626)&gt;($D1626-$D1627),($C1627-$C1626)&gt;0),$C1627-$C1626,0))</f>
        <v>0</v>
      </c>
      <c r="AF1627">
        <f>IF(OR($E1627="",$E1626=""),"",IF(AND(($D1626-$D1627)&gt;($C1627-$C1626),($D1626-$D1627)&gt;0),$D1626-$D1627,0))</f>
        <v>0</v>
      </c>
      <c r="AG1627">
        <f>IF(COUNT($E$2:$E1627)&lt;15,"",IF(SUM($AC$1614:$AC$1627)=0,0,100*SUM($AE$1614:$AE$1627)/SUM($AC$1614:$AC$1627)))</f>
        <v>0</v>
      </c>
      <c r="AH1627">
        <f>IF(COUNT($E$2:$E1627)&lt;15,"",IF(SUM($AC$1614:$AC$1627)=0,0,100*SUM($AF$1614:$AF$1627)/SUM($AC$1614:$AC$1627)))</f>
        <v>0</v>
      </c>
      <c r="AI1627">
        <f>IF(OR(AG1627="",AH1627=""),"",IF((AG1627+AH1627)=0,0,100*ABS(AG1627-AH1627)/(AG1627+AH1627)))</f>
        <v>0</v>
      </c>
      <c r="AJ1627">
        <f>IF(COUNT($AI$1614:$AI$1627)&lt;14,"",AVERAGE($AI$1614:$AI$1627))</f>
        <v>0</v>
      </c>
      <c r="AK1627">
        <f>IF(COUNT($E$2:$E1627)&lt;20,"",AVERAGE($E$1608:$E$1627))</f>
        <v>0</v>
      </c>
      <c r="AL1627">
        <f>IF(COUNT($E$2:$E1627)&lt;20,"",STDEVP($E$1608:$E$1627))</f>
        <v>0</v>
      </c>
      <c r="AM1627">
        <f>IF(AK1627="","",AK1627+2*AL1627)</f>
        <v>0</v>
      </c>
      <c r="AN1627">
        <f>IF(AK1627="","",AK1627-2*AL1627)</f>
        <v>0</v>
      </c>
      <c r="AO1627">
        <f>IF(OR(AM1627="",AN1627="",AM1627=AN1627),"",($E1627-AN1627)/(AM1627-AN1627))</f>
        <v>0</v>
      </c>
      <c r="AP1627">
        <f>IF(OR(AM1627="",AK1627="",AK1627=0),"",(AM1627-AN1627)/AK1627)</f>
        <v>0</v>
      </c>
      <c r="AQ1627">
        <f>IF(COUNT($E$2:$E1627)&lt;20,"",MAX($C$1608:$C$1627))</f>
        <v>0</v>
      </c>
      <c r="AR1627">
        <f>IF(COUNT($E$2:$E1627)&lt;20,"",MIN($D$1608:$D$1627))</f>
        <v>0</v>
      </c>
      <c r="AS1627">
        <f>IF(OR(AQ1627="",AR1627=""),"",(AQ1627+AR1627)/2)</f>
        <v>0</v>
      </c>
      <c r="AT1627">
        <f>IF(COUNT($G$1608:$G$1627)&lt;20,"",STDEV($G$1608:$G$1627)*SQRT(252))</f>
        <v>0</v>
      </c>
      <c r="AU1627">
        <f>IF(COUNT($E$2:$E1627)&lt;9,"",(MAX($C$1619:$C$1627)+MIN($D$1619:$D$1627))/2)</f>
        <v>0</v>
      </c>
      <c r="AV1627">
        <f>IF(COUNT($E$2:$E1627)&lt;26,"",(MAX($C$1602:$C$1627)+MIN($D$1602:$D$1627))/2)</f>
        <v>0</v>
      </c>
      <c r="AW1627">
        <f>IF(OR(AU1627="",AV1627=""),"",(AU1627+AV1627)/2)</f>
        <v>0</v>
      </c>
      <c r="AX1627">
        <f>IF(COUNT($E$2:$E1627)&lt;52,"",(MAX($C$1576:$C$1627)+MIN($D$1576:$D$1627))/2)</f>
        <v>0</v>
      </c>
      <c r="AY1627">
        <f>IF(COUNT($E$2:$E1627)&lt;20,"",MAX($C$1528:$C$1627))</f>
        <v>0</v>
      </c>
      <c r="AZ1627">
        <f>IF(COUNT($E$2:$E1627)&lt;20,"",MIN($D$1528:$D$1627))</f>
        <v>0</v>
      </c>
      <c r="BA1627">
        <f>IF(COUNT($E$2:$E1627)&lt;20,"",SLOPE($E$1528:$E$1627,$F$1528:$F$1627))</f>
        <v>0</v>
      </c>
      <c r="BB1627">
        <f>IF(COUNT($E$2:$E1627)&lt;20,"",INTERCEPT($E$1528:$E$1627,$F$1528:$F$1627))</f>
        <v>0</v>
      </c>
      <c r="BC1627">
        <f>IF(OR(BA1627="",BB1627=""),"",BB1627+BA1627*F1627)</f>
        <v>0</v>
      </c>
      <c r="BD1627">
        <f>IF(COUNT($E$2:$E1627)&lt;20,"",STEYX($E$1528:$E$1627,$F$1528:$F$1627))</f>
        <v>0</v>
      </c>
      <c r="BE1627">
        <f>IF($E1627="","",IF(AND(COUNT($E$1628:$E$1631)&gt;=4,$C1627=MAX($C$1623:$C$1631)),$C1627,""))</f>
        <v>0</v>
      </c>
      <c r="BF1627">
        <f>IF($E1627="","",IF(AND(COUNT($E$1628:$E$1631)&gt;=4,$D1627=MIN($D$1623:$D$1631)),$D1627,""))</f>
        <v>0</v>
      </c>
      <c r="BG1627">
        <f>IF($A1627="","",$A1627-WEEKDAY($A1627,2)+1)</f>
        <v>0</v>
      </c>
      <c r="BH1627">
        <f>IF($A1627="","",IF($A1626="",1,IF(BG1627&lt;&gt;BG1626,1,0)))</f>
        <v>0</v>
      </c>
      <c r="BI1627">
        <f>IF($A1627="","",IF($A1628="",1,IF(BG1628&lt;&gt;BG1627,1,0)))</f>
        <v>0</v>
      </c>
      <c r="BJ1627">
        <f>IF($A1627="","",IF(BH1627=1,$B1627,BJ1626))</f>
        <v>0</v>
      </c>
      <c r="BK1627">
        <f>IF($A1627="","",IF(BH1627=1,$C1627,MAX($C1627,BK1626)))</f>
        <v>0</v>
      </c>
      <c r="BL1627">
        <f>IF($A1627="","",IF(BH1627=1,$D1627,MIN($D1627,BL1626)))</f>
        <v>0</v>
      </c>
      <c r="BM1627">
        <f>IF($A1627="","",IF(BI1627=1,F1627,""))</f>
        <v>0</v>
      </c>
      <c r="BN1627">
        <f>IF($A1627="","",DATE(YEAR($A1627),MONTH($A1627),1))</f>
        <v>0</v>
      </c>
      <c r="BO1627">
        <f>IF($A1627="","",IF($A1626="",1,IF(BN1627&lt;&gt;BN1626,1,0)))</f>
        <v>0</v>
      </c>
      <c r="BP1627">
        <f>IF($A1627="","",IF($A1628="",1,IF(BN1628&lt;&gt;BN1627,1,0)))</f>
        <v>0</v>
      </c>
      <c r="BQ1627">
        <f>IF($A1627="","",IF(BO1627=1,$B1627,BQ1626))</f>
        <v>0</v>
      </c>
      <c r="BR1627">
        <f>IF($A1627="","",IF(BO1627=1,$C1627,MAX($C1627,BR1626)))</f>
        <v>0</v>
      </c>
      <c r="BS1627">
        <f>IF($A1627="","",IF(BO1627=1,$D1627,MIN($D1627,BS1626)))</f>
        <v>0</v>
      </c>
      <c r="BT1627">
        <f>IF($A1627="","",IF(BP1627=1,F1627,""))</f>
        <v>0</v>
      </c>
    </row>
    <row r="1628" spans="1:72">
      <c r="A1628" s="27">
        <f>IF(Data!$A1628="","",Data!$A1628)</f>
        <v>0</v>
      </c>
      <c r="B1628">
        <f>IF(Data!$B1628="","",Data!$B1628)</f>
        <v>0</v>
      </c>
      <c r="C1628">
        <f>IF(Data!$C1628="","",Data!$C1628)</f>
        <v>0</v>
      </c>
      <c r="D1628">
        <f>IF(Data!$D1628="","",Data!$D1628)</f>
        <v>0</v>
      </c>
      <c r="E1628">
        <f>IF(Data!$E1628="","",Data!$E1628)</f>
        <v>0</v>
      </c>
      <c r="F1628">
        <f>IF($E1628="","",N(F1627)+1)</f>
        <v>0</v>
      </c>
      <c r="G1628">
        <f>IF(OR($E1628="",$E1627=""),"",LN($E1628/$E1627))</f>
        <v>0</v>
      </c>
      <c r="H1628">
        <f>IF($E1628="","",IF($E1627="",$E1628,$E1628*0.0952380952+H1627*0.9047619048))</f>
        <v>0</v>
      </c>
      <c r="I1628">
        <f>IF($E1628="","",IF($E1627="",$E1628,$E1628*0.0392156863+I1627*0.9607843137))</f>
        <v>0</v>
      </c>
      <c r="J1628">
        <f>IF($E1628="","",IF($E1627="",$E1628,$E1628*0.0198019802+J1627*0.9801980198))</f>
        <v>0</v>
      </c>
      <c r="K1628">
        <f>IF($E1628="","",IF($E1627="",$E1628,$E1628*0.0099502488+K1627*0.9900497512))</f>
        <v>0</v>
      </c>
      <c r="L1628">
        <f>IF(OR($E1628="",$E1627=""),"",MAX($E1628-$E1627,0))</f>
        <v>0</v>
      </c>
      <c r="M1628">
        <f>IF(OR($E1628="",$E1627=""),"",MAX($E1627-$E1628,0))</f>
        <v>0</v>
      </c>
      <c r="N1628">
        <f>IF(COUNT($E$2:$E1628)&lt;15,"",IF(AVERAGE($M$1615:$M$1628)=0,100,100-100/(1+AVERAGE($L$1615:$L$1628)/AVERAGE($M$1615:$M$1628))))</f>
        <v>0</v>
      </c>
      <c r="O1628">
        <f>IF($E1628="","",IF($E1627="",$E1628,$E1628*0.1538461538+O1627*0.8461538462))</f>
        <v>0</v>
      </c>
      <c r="P1628">
        <f>IF($E1628="","",IF($E1627="",$E1628,$E1628*0.0740740741+P1627*0.9259259259))</f>
        <v>0</v>
      </c>
      <c r="Q1628">
        <f>IF(OR(O1628="",P1628=""),"",O1628-P1628)</f>
        <v>0</v>
      </c>
      <c r="R1628">
        <f>IF(Q1628="","",IF(R1627="",Q1628,Q1628*0.2000000000+R1627*0.8000000000))</f>
        <v>0</v>
      </c>
      <c r="S1628">
        <f>IF(OR(Q1628="",R1628=""),"",Q1628-R1628)</f>
        <v>0</v>
      </c>
      <c r="T1628">
        <f>IF(COUNT($E$2:$E1628)&lt;14,"",MAX($C$1615:$C$1628))</f>
        <v>0</v>
      </c>
      <c r="U1628">
        <f>IF(COUNT($E$2:$E1628)&lt;14,"",MIN($D$1615:$D$1628))</f>
        <v>0</v>
      </c>
      <c r="V1628">
        <f>IF(OR(T1628="",U1628="",T1628=U1628),"",100*($E1628-U1628)/(T1628-U1628))</f>
        <v>0</v>
      </c>
      <c r="W1628">
        <f>IF(COUNT($V$1626:$V$1628)&lt;3,"",AVERAGE($V$1626:$V$1628))</f>
        <v>0</v>
      </c>
      <c r="X1628">
        <f>IF(COUNT($N$1615:$N$1628)&lt;14,"",MIN($N$1615:$N$1628))</f>
        <v>0</v>
      </c>
      <c r="Y1628">
        <f>IF(COUNT($N$1615:$N$1628)&lt;14,"",MAX($N$1615:$N$1628))</f>
        <v>0</v>
      </c>
      <c r="Z1628">
        <f>IF(OR(N1628="",X1628="",Y1628="",Y1628=X1628),"",100*(N1628-X1628)/(Y1628-X1628))</f>
        <v>0</v>
      </c>
      <c r="AA1628">
        <f>IF(COUNT($Z$1626:$Z$1628)&lt;3,"",AVERAGE($Z$1626:$Z$1628))</f>
        <v>0</v>
      </c>
      <c r="AB1628">
        <f>IF(COUNT($AA$1626:$AA$1628)&lt;3,"",AVERAGE($AA$1626:$AA$1628))</f>
        <v>0</v>
      </c>
      <c r="AC1628">
        <f>IF($E1628="","",MAX($C1628-$D1628,ABS($C1628-$E1627),ABS($D1628-$E1627)))</f>
        <v>0</v>
      </c>
      <c r="AD1628">
        <f>IF(COUNT($E$2:$E1628)&lt;15,"",AVERAGE($AC$1615:$AC$1628))</f>
        <v>0</v>
      </c>
      <c r="AE1628">
        <f>IF(OR($E1628="",$E1627=""),"",IF(AND(($C1628-$C1627)&gt;($D1627-$D1628),($C1628-$C1627)&gt;0),$C1628-$C1627,0))</f>
        <v>0</v>
      </c>
      <c r="AF1628">
        <f>IF(OR($E1628="",$E1627=""),"",IF(AND(($D1627-$D1628)&gt;($C1628-$C1627),($D1627-$D1628)&gt;0),$D1627-$D1628,0))</f>
        <v>0</v>
      </c>
      <c r="AG1628">
        <f>IF(COUNT($E$2:$E1628)&lt;15,"",IF(SUM($AC$1615:$AC$1628)=0,0,100*SUM($AE$1615:$AE$1628)/SUM($AC$1615:$AC$1628)))</f>
        <v>0</v>
      </c>
      <c r="AH1628">
        <f>IF(COUNT($E$2:$E1628)&lt;15,"",IF(SUM($AC$1615:$AC$1628)=0,0,100*SUM($AF$1615:$AF$1628)/SUM($AC$1615:$AC$1628)))</f>
        <v>0</v>
      </c>
      <c r="AI1628">
        <f>IF(OR(AG1628="",AH1628=""),"",IF((AG1628+AH1628)=0,0,100*ABS(AG1628-AH1628)/(AG1628+AH1628)))</f>
        <v>0</v>
      </c>
      <c r="AJ1628">
        <f>IF(COUNT($AI$1615:$AI$1628)&lt;14,"",AVERAGE($AI$1615:$AI$1628))</f>
        <v>0</v>
      </c>
      <c r="AK1628">
        <f>IF(COUNT($E$2:$E1628)&lt;20,"",AVERAGE($E$1609:$E$1628))</f>
        <v>0</v>
      </c>
      <c r="AL1628">
        <f>IF(COUNT($E$2:$E1628)&lt;20,"",STDEVP($E$1609:$E$1628))</f>
        <v>0</v>
      </c>
      <c r="AM1628">
        <f>IF(AK1628="","",AK1628+2*AL1628)</f>
        <v>0</v>
      </c>
      <c r="AN1628">
        <f>IF(AK1628="","",AK1628-2*AL1628)</f>
        <v>0</v>
      </c>
      <c r="AO1628">
        <f>IF(OR(AM1628="",AN1628="",AM1628=AN1628),"",($E1628-AN1628)/(AM1628-AN1628))</f>
        <v>0</v>
      </c>
      <c r="AP1628">
        <f>IF(OR(AM1628="",AK1628="",AK1628=0),"",(AM1628-AN1628)/AK1628)</f>
        <v>0</v>
      </c>
      <c r="AQ1628">
        <f>IF(COUNT($E$2:$E1628)&lt;20,"",MAX($C$1609:$C$1628))</f>
        <v>0</v>
      </c>
      <c r="AR1628">
        <f>IF(COUNT($E$2:$E1628)&lt;20,"",MIN($D$1609:$D$1628))</f>
        <v>0</v>
      </c>
      <c r="AS1628">
        <f>IF(OR(AQ1628="",AR1628=""),"",(AQ1628+AR1628)/2)</f>
        <v>0</v>
      </c>
      <c r="AT1628">
        <f>IF(COUNT($G$1609:$G$1628)&lt;20,"",STDEV($G$1609:$G$1628)*SQRT(252))</f>
        <v>0</v>
      </c>
      <c r="AU1628">
        <f>IF(COUNT($E$2:$E1628)&lt;9,"",(MAX($C$1620:$C$1628)+MIN($D$1620:$D$1628))/2)</f>
        <v>0</v>
      </c>
      <c r="AV1628">
        <f>IF(COUNT($E$2:$E1628)&lt;26,"",(MAX($C$1603:$C$1628)+MIN($D$1603:$D$1628))/2)</f>
        <v>0</v>
      </c>
      <c r="AW1628">
        <f>IF(OR(AU1628="",AV1628=""),"",(AU1628+AV1628)/2)</f>
        <v>0</v>
      </c>
      <c r="AX1628">
        <f>IF(COUNT($E$2:$E1628)&lt;52,"",(MAX($C$1577:$C$1628)+MIN($D$1577:$D$1628))/2)</f>
        <v>0</v>
      </c>
      <c r="AY1628">
        <f>IF(COUNT($E$2:$E1628)&lt;20,"",MAX($C$1529:$C$1628))</f>
        <v>0</v>
      </c>
      <c r="AZ1628">
        <f>IF(COUNT($E$2:$E1628)&lt;20,"",MIN($D$1529:$D$1628))</f>
        <v>0</v>
      </c>
      <c r="BA1628">
        <f>IF(COUNT($E$2:$E1628)&lt;20,"",SLOPE($E$1529:$E$1628,$F$1529:$F$1628))</f>
        <v>0</v>
      </c>
      <c r="BB1628">
        <f>IF(COUNT($E$2:$E1628)&lt;20,"",INTERCEPT($E$1529:$E$1628,$F$1529:$F$1628))</f>
        <v>0</v>
      </c>
      <c r="BC1628">
        <f>IF(OR(BA1628="",BB1628=""),"",BB1628+BA1628*F1628)</f>
        <v>0</v>
      </c>
      <c r="BD1628">
        <f>IF(COUNT($E$2:$E1628)&lt;20,"",STEYX($E$1529:$E$1628,$F$1529:$F$1628))</f>
        <v>0</v>
      </c>
      <c r="BE1628">
        <f>IF($E1628="","",IF(AND(COUNT($E$1629:$E$1632)&gt;=4,$C1628=MAX($C$1624:$C$1632)),$C1628,""))</f>
        <v>0</v>
      </c>
      <c r="BF1628">
        <f>IF($E1628="","",IF(AND(COUNT($E$1629:$E$1632)&gt;=4,$D1628=MIN($D$1624:$D$1632)),$D1628,""))</f>
        <v>0</v>
      </c>
      <c r="BG1628">
        <f>IF($A1628="","",$A1628-WEEKDAY($A1628,2)+1)</f>
        <v>0</v>
      </c>
      <c r="BH1628">
        <f>IF($A1628="","",IF($A1627="",1,IF(BG1628&lt;&gt;BG1627,1,0)))</f>
        <v>0</v>
      </c>
      <c r="BI1628">
        <f>IF($A1628="","",IF($A1629="",1,IF(BG1629&lt;&gt;BG1628,1,0)))</f>
        <v>0</v>
      </c>
      <c r="BJ1628">
        <f>IF($A1628="","",IF(BH1628=1,$B1628,BJ1627))</f>
        <v>0</v>
      </c>
      <c r="BK1628">
        <f>IF($A1628="","",IF(BH1628=1,$C1628,MAX($C1628,BK1627)))</f>
        <v>0</v>
      </c>
      <c r="BL1628">
        <f>IF($A1628="","",IF(BH1628=1,$D1628,MIN($D1628,BL1627)))</f>
        <v>0</v>
      </c>
      <c r="BM1628">
        <f>IF($A1628="","",IF(BI1628=1,F1628,""))</f>
        <v>0</v>
      </c>
      <c r="BN1628">
        <f>IF($A1628="","",DATE(YEAR($A1628),MONTH($A1628),1))</f>
        <v>0</v>
      </c>
      <c r="BO1628">
        <f>IF($A1628="","",IF($A1627="",1,IF(BN1628&lt;&gt;BN1627,1,0)))</f>
        <v>0</v>
      </c>
      <c r="BP1628">
        <f>IF($A1628="","",IF($A1629="",1,IF(BN1629&lt;&gt;BN1628,1,0)))</f>
        <v>0</v>
      </c>
      <c r="BQ1628">
        <f>IF($A1628="","",IF(BO1628=1,$B1628,BQ1627))</f>
        <v>0</v>
      </c>
      <c r="BR1628">
        <f>IF($A1628="","",IF(BO1628=1,$C1628,MAX($C1628,BR1627)))</f>
        <v>0</v>
      </c>
      <c r="BS1628">
        <f>IF($A1628="","",IF(BO1628=1,$D1628,MIN($D1628,BS1627)))</f>
        <v>0</v>
      </c>
      <c r="BT1628">
        <f>IF($A1628="","",IF(BP1628=1,F1628,""))</f>
        <v>0</v>
      </c>
    </row>
    <row r="1629" spans="1:72">
      <c r="A1629" s="27">
        <f>IF(Data!$A1629="","",Data!$A1629)</f>
        <v>0</v>
      </c>
      <c r="B1629">
        <f>IF(Data!$B1629="","",Data!$B1629)</f>
        <v>0</v>
      </c>
      <c r="C1629">
        <f>IF(Data!$C1629="","",Data!$C1629)</f>
        <v>0</v>
      </c>
      <c r="D1629">
        <f>IF(Data!$D1629="","",Data!$D1629)</f>
        <v>0</v>
      </c>
      <c r="E1629">
        <f>IF(Data!$E1629="","",Data!$E1629)</f>
        <v>0</v>
      </c>
      <c r="F1629">
        <f>IF($E1629="","",N(F1628)+1)</f>
        <v>0</v>
      </c>
      <c r="G1629">
        <f>IF(OR($E1629="",$E1628=""),"",LN($E1629/$E1628))</f>
        <v>0</v>
      </c>
      <c r="H1629">
        <f>IF($E1629="","",IF($E1628="",$E1629,$E1629*0.0952380952+H1628*0.9047619048))</f>
        <v>0</v>
      </c>
      <c r="I1629">
        <f>IF($E1629="","",IF($E1628="",$E1629,$E1629*0.0392156863+I1628*0.9607843137))</f>
        <v>0</v>
      </c>
      <c r="J1629">
        <f>IF($E1629="","",IF($E1628="",$E1629,$E1629*0.0198019802+J1628*0.9801980198))</f>
        <v>0</v>
      </c>
      <c r="K1629">
        <f>IF($E1629="","",IF($E1628="",$E1629,$E1629*0.0099502488+K1628*0.9900497512))</f>
        <v>0</v>
      </c>
      <c r="L1629">
        <f>IF(OR($E1629="",$E1628=""),"",MAX($E1629-$E1628,0))</f>
        <v>0</v>
      </c>
      <c r="M1629">
        <f>IF(OR($E1629="",$E1628=""),"",MAX($E1628-$E1629,0))</f>
        <v>0</v>
      </c>
      <c r="N1629">
        <f>IF(COUNT($E$2:$E1629)&lt;15,"",IF(AVERAGE($M$1616:$M$1629)=0,100,100-100/(1+AVERAGE($L$1616:$L$1629)/AVERAGE($M$1616:$M$1629))))</f>
        <v>0</v>
      </c>
      <c r="O1629">
        <f>IF($E1629="","",IF($E1628="",$E1629,$E1629*0.1538461538+O1628*0.8461538462))</f>
        <v>0</v>
      </c>
      <c r="P1629">
        <f>IF($E1629="","",IF($E1628="",$E1629,$E1629*0.0740740741+P1628*0.9259259259))</f>
        <v>0</v>
      </c>
      <c r="Q1629">
        <f>IF(OR(O1629="",P1629=""),"",O1629-P1629)</f>
        <v>0</v>
      </c>
      <c r="R1629">
        <f>IF(Q1629="","",IF(R1628="",Q1629,Q1629*0.2000000000+R1628*0.8000000000))</f>
        <v>0</v>
      </c>
      <c r="S1629">
        <f>IF(OR(Q1629="",R1629=""),"",Q1629-R1629)</f>
        <v>0</v>
      </c>
      <c r="T1629">
        <f>IF(COUNT($E$2:$E1629)&lt;14,"",MAX($C$1616:$C$1629))</f>
        <v>0</v>
      </c>
      <c r="U1629">
        <f>IF(COUNT($E$2:$E1629)&lt;14,"",MIN($D$1616:$D$1629))</f>
        <v>0</v>
      </c>
      <c r="V1629">
        <f>IF(OR(T1629="",U1629="",T1629=U1629),"",100*($E1629-U1629)/(T1629-U1629))</f>
        <v>0</v>
      </c>
      <c r="W1629">
        <f>IF(COUNT($V$1627:$V$1629)&lt;3,"",AVERAGE($V$1627:$V$1629))</f>
        <v>0</v>
      </c>
      <c r="X1629">
        <f>IF(COUNT($N$1616:$N$1629)&lt;14,"",MIN($N$1616:$N$1629))</f>
        <v>0</v>
      </c>
      <c r="Y1629">
        <f>IF(COUNT($N$1616:$N$1629)&lt;14,"",MAX($N$1616:$N$1629))</f>
        <v>0</v>
      </c>
      <c r="Z1629">
        <f>IF(OR(N1629="",X1629="",Y1629="",Y1629=X1629),"",100*(N1629-X1629)/(Y1629-X1629))</f>
        <v>0</v>
      </c>
      <c r="AA1629">
        <f>IF(COUNT($Z$1627:$Z$1629)&lt;3,"",AVERAGE($Z$1627:$Z$1629))</f>
        <v>0</v>
      </c>
      <c r="AB1629">
        <f>IF(COUNT($AA$1627:$AA$1629)&lt;3,"",AVERAGE($AA$1627:$AA$1629))</f>
        <v>0</v>
      </c>
      <c r="AC1629">
        <f>IF($E1629="","",MAX($C1629-$D1629,ABS($C1629-$E1628),ABS($D1629-$E1628)))</f>
        <v>0</v>
      </c>
      <c r="AD1629">
        <f>IF(COUNT($E$2:$E1629)&lt;15,"",AVERAGE($AC$1616:$AC$1629))</f>
        <v>0</v>
      </c>
      <c r="AE1629">
        <f>IF(OR($E1629="",$E1628=""),"",IF(AND(($C1629-$C1628)&gt;($D1628-$D1629),($C1629-$C1628)&gt;0),$C1629-$C1628,0))</f>
        <v>0</v>
      </c>
      <c r="AF1629">
        <f>IF(OR($E1629="",$E1628=""),"",IF(AND(($D1628-$D1629)&gt;($C1629-$C1628),($D1628-$D1629)&gt;0),$D1628-$D1629,0))</f>
        <v>0</v>
      </c>
      <c r="AG1629">
        <f>IF(COUNT($E$2:$E1629)&lt;15,"",IF(SUM($AC$1616:$AC$1629)=0,0,100*SUM($AE$1616:$AE$1629)/SUM($AC$1616:$AC$1629)))</f>
        <v>0</v>
      </c>
      <c r="AH1629">
        <f>IF(COUNT($E$2:$E1629)&lt;15,"",IF(SUM($AC$1616:$AC$1629)=0,0,100*SUM($AF$1616:$AF$1629)/SUM($AC$1616:$AC$1629)))</f>
        <v>0</v>
      </c>
      <c r="AI1629">
        <f>IF(OR(AG1629="",AH1629=""),"",IF((AG1629+AH1629)=0,0,100*ABS(AG1629-AH1629)/(AG1629+AH1629)))</f>
        <v>0</v>
      </c>
      <c r="AJ1629">
        <f>IF(COUNT($AI$1616:$AI$1629)&lt;14,"",AVERAGE($AI$1616:$AI$1629))</f>
        <v>0</v>
      </c>
      <c r="AK1629">
        <f>IF(COUNT($E$2:$E1629)&lt;20,"",AVERAGE($E$1610:$E$1629))</f>
        <v>0</v>
      </c>
      <c r="AL1629">
        <f>IF(COUNT($E$2:$E1629)&lt;20,"",STDEVP($E$1610:$E$1629))</f>
        <v>0</v>
      </c>
      <c r="AM1629">
        <f>IF(AK1629="","",AK1629+2*AL1629)</f>
        <v>0</v>
      </c>
      <c r="AN1629">
        <f>IF(AK1629="","",AK1629-2*AL1629)</f>
        <v>0</v>
      </c>
      <c r="AO1629">
        <f>IF(OR(AM1629="",AN1629="",AM1629=AN1629),"",($E1629-AN1629)/(AM1629-AN1629))</f>
        <v>0</v>
      </c>
      <c r="AP1629">
        <f>IF(OR(AM1629="",AK1629="",AK1629=0),"",(AM1629-AN1629)/AK1629)</f>
        <v>0</v>
      </c>
      <c r="AQ1629">
        <f>IF(COUNT($E$2:$E1629)&lt;20,"",MAX($C$1610:$C$1629))</f>
        <v>0</v>
      </c>
      <c r="AR1629">
        <f>IF(COUNT($E$2:$E1629)&lt;20,"",MIN($D$1610:$D$1629))</f>
        <v>0</v>
      </c>
      <c r="AS1629">
        <f>IF(OR(AQ1629="",AR1629=""),"",(AQ1629+AR1629)/2)</f>
        <v>0</v>
      </c>
      <c r="AT1629">
        <f>IF(COUNT($G$1610:$G$1629)&lt;20,"",STDEV($G$1610:$G$1629)*SQRT(252))</f>
        <v>0</v>
      </c>
      <c r="AU1629">
        <f>IF(COUNT($E$2:$E1629)&lt;9,"",(MAX($C$1621:$C$1629)+MIN($D$1621:$D$1629))/2)</f>
        <v>0</v>
      </c>
      <c r="AV1629">
        <f>IF(COUNT($E$2:$E1629)&lt;26,"",(MAX($C$1604:$C$1629)+MIN($D$1604:$D$1629))/2)</f>
        <v>0</v>
      </c>
      <c r="AW1629">
        <f>IF(OR(AU1629="",AV1629=""),"",(AU1629+AV1629)/2)</f>
        <v>0</v>
      </c>
      <c r="AX1629">
        <f>IF(COUNT($E$2:$E1629)&lt;52,"",(MAX($C$1578:$C$1629)+MIN($D$1578:$D$1629))/2)</f>
        <v>0</v>
      </c>
      <c r="AY1629">
        <f>IF(COUNT($E$2:$E1629)&lt;20,"",MAX($C$1530:$C$1629))</f>
        <v>0</v>
      </c>
      <c r="AZ1629">
        <f>IF(COUNT($E$2:$E1629)&lt;20,"",MIN($D$1530:$D$1629))</f>
        <v>0</v>
      </c>
      <c r="BA1629">
        <f>IF(COUNT($E$2:$E1629)&lt;20,"",SLOPE($E$1530:$E$1629,$F$1530:$F$1629))</f>
        <v>0</v>
      </c>
      <c r="BB1629">
        <f>IF(COUNT($E$2:$E1629)&lt;20,"",INTERCEPT($E$1530:$E$1629,$F$1530:$F$1629))</f>
        <v>0</v>
      </c>
      <c r="BC1629">
        <f>IF(OR(BA1629="",BB1629=""),"",BB1629+BA1629*F1629)</f>
        <v>0</v>
      </c>
      <c r="BD1629">
        <f>IF(COUNT($E$2:$E1629)&lt;20,"",STEYX($E$1530:$E$1629,$F$1530:$F$1629))</f>
        <v>0</v>
      </c>
      <c r="BE1629">
        <f>IF($E1629="","",IF(AND(COUNT($E$1630:$E$1633)&gt;=4,$C1629=MAX($C$1625:$C$1633)),$C1629,""))</f>
        <v>0</v>
      </c>
      <c r="BF1629">
        <f>IF($E1629="","",IF(AND(COUNT($E$1630:$E$1633)&gt;=4,$D1629=MIN($D$1625:$D$1633)),$D1629,""))</f>
        <v>0</v>
      </c>
      <c r="BG1629">
        <f>IF($A1629="","",$A1629-WEEKDAY($A1629,2)+1)</f>
        <v>0</v>
      </c>
      <c r="BH1629">
        <f>IF($A1629="","",IF($A1628="",1,IF(BG1629&lt;&gt;BG1628,1,0)))</f>
        <v>0</v>
      </c>
      <c r="BI1629">
        <f>IF($A1629="","",IF($A1630="",1,IF(BG1630&lt;&gt;BG1629,1,0)))</f>
        <v>0</v>
      </c>
      <c r="BJ1629">
        <f>IF($A1629="","",IF(BH1629=1,$B1629,BJ1628))</f>
        <v>0</v>
      </c>
      <c r="BK1629">
        <f>IF($A1629="","",IF(BH1629=1,$C1629,MAX($C1629,BK1628)))</f>
        <v>0</v>
      </c>
      <c r="BL1629">
        <f>IF($A1629="","",IF(BH1629=1,$D1629,MIN($D1629,BL1628)))</f>
        <v>0</v>
      </c>
      <c r="BM1629">
        <f>IF($A1629="","",IF(BI1629=1,F1629,""))</f>
        <v>0</v>
      </c>
      <c r="BN1629">
        <f>IF($A1629="","",DATE(YEAR($A1629),MONTH($A1629),1))</f>
        <v>0</v>
      </c>
      <c r="BO1629">
        <f>IF($A1629="","",IF($A1628="",1,IF(BN1629&lt;&gt;BN1628,1,0)))</f>
        <v>0</v>
      </c>
      <c r="BP1629">
        <f>IF($A1629="","",IF($A1630="",1,IF(BN1630&lt;&gt;BN1629,1,0)))</f>
        <v>0</v>
      </c>
      <c r="BQ1629">
        <f>IF($A1629="","",IF(BO1629=1,$B1629,BQ1628))</f>
        <v>0</v>
      </c>
      <c r="BR1629">
        <f>IF($A1629="","",IF(BO1629=1,$C1629,MAX($C1629,BR1628)))</f>
        <v>0</v>
      </c>
      <c r="BS1629">
        <f>IF($A1629="","",IF(BO1629=1,$D1629,MIN($D1629,BS1628)))</f>
        <v>0</v>
      </c>
      <c r="BT1629">
        <f>IF($A1629="","",IF(BP1629=1,F1629,""))</f>
        <v>0</v>
      </c>
    </row>
    <row r="1630" spans="1:72">
      <c r="A1630" s="27">
        <f>IF(Data!$A1630="","",Data!$A1630)</f>
        <v>0</v>
      </c>
      <c r="B1630">
        <f>IF(Data!$B1630="","",Data!$B1630)</f>
        <v>0</v>
      </c>
      <c r="C1630">
        <f>IF(Data!$C1630="","",Data!$C1630)</f>
        <v>0</v>
      </c>
      <c r="D1630">
        <f>IF(Data!$D1630="","",Data!$D1630)</f>
        <v>0</v>
      </c>
      <c r="E1630">
        <f>IF(Data!$E1630="","",Data!$E1630)</f>
        <v>0</v>
      </c>
      <c r="F1630">
        <f>IF($E1630="","",N(F1629)+1)</f>
        <v>0</v>
      </c>
      <c r="G1630">
        <f>IF(OR($E1630="",$E1629=""),"",LN($E1630/$E1629))</f>
        <v>0</v>
      </c>
      <c r="H1630">
        <f>IF($E1630="","",IF($E1629="",$E1630,$E1630*0.0952380952+H1629*0.9047619048))</f>
        <v>0</v>
      </c>
      <c r="I1630">
        <f>IF($E1630="","",IF($E1629="",$E1630,$E1630*0.0392156863+I1629*0.9607843137))</f>
        <v>0</v>
      </c>
      <c r="J1630">
        <f>IF($E1630="","",IF($E1629="",$E1630,$E1630*0.0198019802+J1629*0.9801980198))</f>
        <v>0</v>
      </c>
      <c r="K1630">
        <f>IF($E1630="","",IF($E1629="",$E1630,$E1630*0.0099502488+K1629*0.9900497512))</f>
        <v>0</v>
      </c>
      <c r="L1630">
        <f>IF(OR($E1630="",$E1629=""),"",MAX($E1630-$E1629,0))</f>
        <v>0</v>
      </c>
      <c r="M1630">
        <f>IF(OR($E1630="",$E1629=""),"",MAX($E1629-$E1630,0))</f>
        <v>0</v>
      </c>
      <c r="N1630">
        <f>IF(COUNT($E$2:$E1630)&lt;15,"",IF(AVERAGE($M$1617:$M$1630)=0,100,100-100/(1+AVERAGE($L$1617:$L$1630)/AVERAGE($M$1617:$M$1630))))</f>
        <v>0</v>
      </c>
      <c r="O1630">
        <f>IF($E1630="","",IF($E1629="",$E1630,$E1630*0.1538461538+O1629*0.8461538462))</f>
        <v>0</v>
      </c>
      <c r="P1630">
        <f>IF($E1630="","",IF($E1629="",$E1630,$E1630*0.0740740741+P1629*0.9259259259))</f>
        <v>0</v>
      </c>
      <c r="Q1630">
        <f>IF(OR(O1630="",P1630=""),"",O1630-P1630)</f>
        <v>0</v>
      </c>
      <c r="R1630">
        <f>IF(Q1630="","",IF(R1629="",Q1630,Q1630*0.2000000000+R1629*0.8000000000))</f>
        <v>0</v>
      </c>
      <c r="S1630">
        <f>IF(OR(Q1630="",R1630=""),"",Q1630-R1630)</f>
        <v>0</v>
      </c>
      <c r="T1630">
        <f>IF(COUNT($E$2:$E1630)&lt;14,"",MAX($C$1617:$C$1630))</f>
        <v>0</v>
      </c>
      <c r="U1630">
        <f>IF(COUNT($E$2:$E1630)&lt;14,"",MIN($D$1617:$D$1630))</f>
        <v>0</v>
      </c>
      <c r="V1630">
        <f>IF(OR(T1630="",U1630="",T1630=U1630),"",100*($E1630-U1630)/(T1630-U1630))</f>
        <v>0</v>
      </c>
      <c r="W1630">
        <f>IF(COUNT($V$1628:$V$1630)&lt;3,"",AVERAGE($V$1628:$V$1630))</f>
        <v>0</v>
      </c>
      <c r="X1630">
        <f>IF(COUNT($N$1617:$N$1630)&lt;14,"",MIN($N$1617:$N$1630))</f>
        <v>0</v>
      </c>
      <c r="Y1630">
        <f>IF(COUNT($N$1617:$N$1630)&lt;14,"",MAX($N$1617:$N$1630))</f>
        <v>0</v>
      </c>
      <c r="Z1630">
        <f>IF(OR(N1630="",X1630="",Y1630="",Y1630=X1630),"",100*(N1630-X1630)/(Y1630-X1630))</f>
        <v>0</v>
      </c>
      <c r="AA1630">
        <f>IF(COUNT($Z$1628:$Z$1630)&lt;3,"",AVERAGE($Z$1628:$Z$1630))</f>
        <v>0</v>
      </c>
      <c r="AB1630">
        <f>IF(COUNT($AA$1628:$AA$1630)&lt;3,"",AVERAGE($AA$1628:$AA$1630))</f>
        <v>0</v>
      </c>
      <c r="AC1630">
        <f>IF($E1630="","",MAX($C1630-$D1630,ABS($C1630-$E1629),ABS($D1630-$E1629)))</f>
        <v>0</v>
      </c>
      <c r="AD1630">
        <f>IF(COUNT($E$2:$E1630)&lt;15,"",AVERAGE($AC$1617:$AC$1630))</f>
        <v>0</v>
      </c>
      <c r="AE1630">
        <f>IF(OR($E1630="",$E1629=""),"",IF(AND(($C1630-$C1629)&gt;($D1629-$D1630),($C1630-$C1629)&gt;0),$C1630-$C1629,0))</f>
        <v>0</v>
      </c>
      <c r="AF1630">
        <f>IF(OR($E1630="",$E1629=""),"",IF(AND(($D1629-$D1630)&gt;($C1630-$C1629),($D1629-$D1630)&gt;0),$D1629-$D1630,0))</f>
        <v>0</v>
      </c>
      <c r="AG1630">
        <f>IF(COUNT($E$2:$E1630)&lt;15,"",IF(SUM($AC$1617:$AC$1630)=0,0,100*SUM($AE$1617:$AE$1630)/SUM($AC$1617:$AC$1630)))</f>
        <v>0</v>
      </c>
      <c r="AH1630">
        <f>IF(COUNT($E$2:$E1630)&lt;15,"",IF(SUM($AC$1617:$AC$1630)=0,0,100*SUM($AF$1617:$AF$1630)/SUM($AC$1617:$AC$1630)))</f>
        <v>0</v>
      </c>
      <c r="AI1630">
        <f>IF(OR(AG1630="",AH1630=""),"",IF((AG1630+AH1630)=0,0,100*ABS(AG1630-AH1630)/(AG1630+AH1630)))</f>
        <v>0</v>
      </c>
      <c r="AJ1630">
        <f>IF(COUNT($AI$1617:$AI$1630)&lt;14,"",AVERAGE($AI$1617:$AI$1630))</f>
        <v>0</v>
      </c>
      <c r="AK1630">
        <f>IF(COUNT($E$2:$E1630)&lt;20,"",AVERAGE($E$1611:$E$1630))</f>
        <v>0</v>
      </c>
      <c r="AL1630">
        <f>IF(COUNT($E$2:$E1630)&lt;20,"",STDEVP($E$1611:$E$1630))</f>
        <v>0</v>
      </c>
      <c r="AM1630">
        <f>IF(AK1630="","",AK1630+2*AL1630)</f>
        <v>0</v>
      </c>
      <c r="AN1630">
        <f>IF(AK1630="","",AK1630-2*AL1630)</f>
        <v>0</v>
      </c>
      <c r="AO1630">
        <f>IF(OR(AM1630="",AN1630="",AM1630=AN1630),"",($E1630-AN1630)/(AM1630-AN1630))</f>
        <v>0</v>
      </c>
      <c r="AP1630">
        <f>IF(OR(AM1630="",AK1630="",AK1630=0),"",(AM1630-AN1630)/AK1630)</f>
        <v>0</v>
      </c>
      <c r="AQ1630">
        <f>IF(COUNT($E$2:$E1630)&lt;20,"",MAX($C$1611:$C$1630))</f>
        <v>0</v>
      </c>
      <c r="AR1630">
        <f>IF(COUNT($E$2:$E1630)&lt;20,"",MIN($D$1611:$D$1630))</f>
        <v>0</v>
      </c>
      <c r="AS1630">
        <f>IF(OR(AQ1630="",AR1630=""),"",(AQ1630+AR1630)/2)</f>
        <v>0</v>
      </c>
      <c r="AT1630">
        <f>IF(COUNT($G$1611:$G$1630)&lt;20,"",STDEV($G$1611:$G$1630)*SQRT(252))</f>
        <v>0</v>
      </c>
      <c r="AU1630">
        <f>IF(COUNT($E$2:$E1630)&lt;9,"",(MAX($C$1622:$C$1630)+MIN($D$1622:$D$1630))/2)</f>
        <v>0</v>
      </c>
      <c r="AV1630">
        <f>IF(COUNT($E$2:$E1630)&lt;26,"",(MAX($C$1605:$C$1630)+MIN($D$1605:$D$1630))/2)</f>
        <v>0</v>
      </c>
      <c r="AW1630">
        <f>IF(OR(AU1630="",AV1630=""),"",(AU1630+AV1630)/2)</f>
        <v>0</v>
      </c>
      <c r="AX1630">
        <f>IF(COUNT($E$2:$E1630)&lt;52,"",(MAX($C$1579:$C$1630)+MIN($D$1579:$D$1630))/2)</f>
        <v>0</v>
      </c>
      <c r="AY1630">
        <f>IF(COUNT($E$2:$E1630)&lt;20,"",MAX($C$1531:$C$1630))</f>
        <v>0</v>
      </c>
      <c r="AZ1630">
        <f>IF(COUNT($E$2:$E1630)&lt;20,"",MIN($D$1531:$D$1630))</f>
        <v>0</v>
      </c>
      <c r="BA1630">
        <f>IF(COUNT($E$2:$E1630)&lt;20,"",SLOPE($E$1531:$E$1630,$F$1531:$F$1630))</f>
        <v>0</v>
      </c>
      <c r="BB1630">
        <f>IF(COUNT($E$2:$E1630)&lt;20,"",INTERCEPT($E$1531:$E$1630,$F$1531:$F$1630))</f>
        <v>0</v>
      </c>
      <c r="BC1630">
        <f>IF(OR(BA1630="",BB1630=""),"",BB1630+BA1630*F1630)</f>
        <v>0</v>
      </c>
      <c r="BD1630">
        <f>IF(COUNT($E$2:$E1630)&lt;20,"",STEYX($E$1531:$E$1630,$F$1531:$F$1630))</f>
        <v>0</v>
      </c>
      <c r="BE1630">
        <f>IF($E1630="","",IF(AND(COUNT($E$1631:$E$1634)&gt;=4,$C1630=MAX($C$1626:$C$1634)),$C1630,""))</f>
        <v>0</v>
      </c>
      <c r="BF1630">
        <f>IF($E1630="","",IF(AND(COUNT($E$1631:$E$1634)&gt;=4,$D1630=MIN($D$1626:$D$1634)),$D1630,""))</f>
        <v>0</v>
      </c>
      <c r="BG1630">
        <f>IF($A1630="","",$A1630-WEEKDAY($A1630,2)+1)</f>
        <v>0</v>
      </c>
      <c r="BH1630">
        <f>IF($A1630="","",IF($A1629="",1,IF(BG1630&lt;&gt;BG1629,1,0)))</f>
        <v>0</v>
      </c>
      <c r="BI1630">
        <f>IF($A1630="","",IF($A1631="",1,IF(BG1631&lt;&gt;BG1630,1,0)))</f>
        <v>0</v>
      </c>
      <c r="BJ1630">
        <f>IF($A1630="","",IF(BH1630=1,$B1630,BJ1629))</f>
        <v>0</v>
      </c>
      <c r="BK1630">
        <f>IF($A1630="","",IF(BH1630=1,$C1630,MAX($C1630,BK1629)))</f>
        <v>0</v>
      </c>
      <c r="BL1630">
        <f>IF($A1630="","",IF(BH1630=1,$D1630,MIN($D1630,BL1629)))</f>
        <v>0</v>
      </c>
      <c r="BM1630">
        <f>IF($A1630="","",IF(BI1630=1,F1630,""))</f>
        <v>0</v>
      </c>
      <c r="BN1630">
        <f>IF($A1630="","",DATE(YEAR($A1630),MONTH($A1630),1))</f>
        <v>0</v>
      </c>
      <c r="BO1630">
        <f>IF($A1630="","",IF($A1629="",1,IF(BN1630&lt;&gt;BN1629,1,0)))</f>
        <v>0</v>
      </c>
      <c r="BP1630">
        <f>IF($A1630="","",IF($A1631="",1,IF(BN1631&lt;&gt;BN1630,1,0)))</f>
        <v>0</v>
      </c>
      <c r="BQ1630">
        <f>IF($A1630="","",IF(BO1630=1,$B1630,BQ1629))</f>
        <v>0</v>
      </c>
      <c r="BR1630">
        <f>IF($A1630="","",IF(BO1630=1,$C1630,MAX($C1630,BR1629)))</f>
        <v>0</v>
      </c>
      <c r="BS1630">
        <f>IF($A1630="","",IF(BO1630=1,$D1630,MIN($D1630,BS1629)))</f>
        <v>0</v>
      </c>
      <c r="BT1630">
        <f>IF($A1630="","",IF(BP1630=1,F1630,""))</f>
        <v>0</v>
      </c>
    </row>
    <row r="1631" spans="1:72">
      <c r="A1631" s="27">
        <f>IF(Data!$A1631="","",Data!$A1631)</f>
        <v>0</v>
      </c>
      <c r="B1631">
        <f>IF(Data!$B1631="","",Data!$B1631)</f>
        <v>0</v>
      </c>
      <c r="C1631">
        <f>IF(Data!$C1631="","",Data!$C1631)</f>
        <v>0</v>
      </c>
      <c r="D1631">
        <f>IF(Data!$D1631="","",Data!$D1631)</f>
        <v>0</v>
      </c>
      <c r="E1631">
        <f>IF(Data!$E1631="","",Data!$E1631)</f>
        <v>0</v>
      </c>
      <c r="F1631">
        <f>IF($E1631="","",N(F1630)+1)</f>
        <v>0</v>
      </c>
      <c r="G1631">
        <f>IF(OR($E1631="",$E1630=""),"",LN($E1631/$E1630))</f>
        <v>0</v>
      </c>
      <c r="H1631">
        <f>IF($E1631="","",IF($E1630="",$E1631,$E1631*0.0952380952+H1630*0.9047619048))</f>
        <v>0</v>
      </c>
      <c r="I1631">
        <f>IF($E1631="","",IF($E1630="",$E1631,$E1631*0.0392156863+I1630*0.9607843137))</f>
        <v>0</v>
      </c>
      <c r="J1631">
        <f>IF($E1631="","",IF($E1630="",$E1631,$E1631*0.0198019802+J1630*0.9801980198))</f>
        <v>0</v>
      </c>
      <c r="K1631">
        <f>IF($E1631="","",IF($E1630="",$E1631,$E1631*0.0099502488+K1630*0.9900497512))</f>
        <v>0</v>
      </c>
      <c r="L1631">
        <f>IF(OR($E1631="",$E1630=""),"",MAX($E1631-$E1630,0))</f>
        <v>0</v>
      </c>
      <c r="M1631">
        <f>IF(OR($E1631="",$E1630=""),"",MAX($E1630-$E1631,0))</f>
        <v>0</v>
      </c>
      <c r="N1631">
        <f>IF(COUNT($E$2:$E1631)&lt;15,"",IF(AVERAGE($M$1618:$M$1631)=0,100,100-100/(1+AVERAGE($L$1618:$L$1631)/AVERAGE($M$1618:$M$1631))))</f>
        <v>0</v>
      </c>
      <c r="O1631">
        <f>IF($E1631="","",IF($E1630="",$E1631,$E1631*0.1538461538+O1630*0.8461538462))</f>
        <v>0</v>
      </c>
      <c r="P1631">
        <f>IF($E1631="","",IF($E1630="",$E1631,$E1631*0.0740740741+P1630*0.9259259259))</f>
        <v>0</v>
      </c>
      <c r="Q1631">
        <f>IF(OR(O1631="",P1631=""),"",O1631-P1631)</f>
        <v>0</v>
      </c>
      <c r="R1631">
        <f>IF(Q1631="","",IF(R1630="",Q1631,Q1631*0.2000000000+R1630*0.8000000000))</f>
        <v>0</v>
      </c>
      <c r="S1631">
        <f>IF(OR(Q1631="",R1631=""),"",Q1631-R1631)</f>
        <v>0</v>
      </c>
      <c r="T1631">
        <f>IF(COUNT($E$2:$E1631)&lt;14,"",MAX($C$1618:$C$1631))</f>
        <v>0</v>
      </c>
      <c r="U1631">
        <f>IF(COUNT($E$2:$E1631)&lt;14,"",MIN($D$1618:$D$1631))</f>
        <v>0</v>
      </c>
      <c r="V1631">
        <f>IF(OR(T1631="",U1631="",T1631=U1631),"",100*($E1631-U1631)/(T1631-U1631))</f>
        <v>0</v>
      </c>
      <c r="W1631">
        <f>IF(COUNT($V$1629:$V$1631)&lt;3,"",AVERAGE($V$1629:$V$1631))</f>
        <v>0</v>
      </c>
      <c r="X1631">
        <f>IF(COUNT($N$1618:$N$1631)&lt;14,"",MIN($N$1618:$N$1631))</f>
        <v>0</v>
      </c>
      <c r="Y1631">
        <f>IF(COUNT($N$1618:$N$1631)&lt;14,"",MAX($N$1618:$N$1631))</f>
        <v>0</v>
      </c>
      <c r="Z1631">
        <f>IF(OR(N1631="",X1631="",Y1631="",Y1631=X1631),"",100*(N1631-X1631)/(Y1631-X1631))</f>
        <v>0</v>
      </c>
      <c r="AA1631">
        <f>IF(COUNT($Z$1629:$Z$1631)&lt;3,"",AVERAGE($Z$1629:$Z$1631))</f>
        <v>0</v>
      </c>
      <c r="AB1631">
        <f>IF(COUNT($AA$1629:$AA$1631)&lt;3,"",AVERAGE($AA$1629:$AA$1631))</f>
        <v>0</v>
      </c>
      <c r="AC1631">
        <f>IF($E1631="","",MAX($C1631-$D1631,ABS($C1631-$E1630),ABS($D1631-$E1630)))</f>
        <v>0</v>
      </c>
      <c r="AD1631">
        <f>IF(COUNT($E$2:$E1631)&lt;15,"",AVERAGE($AC$1618:$AC$1631))</f>
        <v>0</v>
      </c>
      <c r="AE1631">
        <f>IF(OR($E1631="",$E1630=""),"",IF(AND(($C1631-$C1630)&gt;($D1630-$D1631),($C1631-$C1630)&gt;0),$C1631-$C1630,0))</f>
        <v>0</v>
      </c>
      <c r="AF1631">
        <f>IF(OR($E1631="",$E1630=""),"",IF(AND(($D1630-$D1631)&gt;($C1631-$C1630),($D1630-$D1631)&gt;0),$D1630-$D1631,0))</f>
        <v>0</v>
      </c>
      <c r="AG1631">
        <f>IF(COUNT($E$2:$E1631)&lt;15,"",IF(SUM($AC$1618:$AC$1631)=0,0,100*SUM($AE$1618:$AE$1631)/SUM($AC$1618:$AC$1631)))</f>
        <v>0</v>
      </c>
      <c r="AH1631">
        <f>IF(COUNT($E$2:$E1631)&lt;15,"",IF(SUM($AC$1618:$AC$1631)=0,0,100*SUM($AF$1618:$AF$1631)/SUM($AC$1618:$AC$1631)))</f>
        <v>0</v>
      </c>
      <c r="AI1631">
        <f>IF(OR(AG1631="",AH1631=""),"",IF((AG1631+AH1631)=0,0,100*ABS(AG1631-AH1631)/(AG1631+AH1631)))</f>
        <v>0</v>
      </c>
      <c r="AJ1631">
        <f>IF(COUNT($AI$1618:$AI$1631)&lt;14,"",AVERAGE($AI$1618:$AI$1631))</f>
        <v>0</v>
      </c>
      <c r="AK1631">
        <f>IF(COUNT($E$2:$E1631)&lt;20,"",AVERAGE($E$1612:$E$1631))</f>
        <v>0</v>
      </c>
      <c r="AL1631">
        <f>IF(COUNT($E$2:$E1631)&lt;20,"",STDEVP($E$1612:$E$1631))</f>
        <v>0</v>
      </c>
      <c r="AM1631">
        <f>IF(AK1631="","",AK1631+2*AL1631)</f>
        <v>0</v>
      </c>
      <c r="AN1631">
        <f>IF(AK1631="","",AK1631-2*AL1631)</f>
        <v>0</v>
      </c>
      <c r="AO1631">
        <f>IF(OR(AM1631="",AN1631="",AM1631=AN1631),"",($E1631-AN1631)/(AM1631-AN1631))</f>
        <v>0</v>
      </c>
      <c r="AP1631">
        <f>IF(OR(AM1631="",AK1631="",AK1631=0),"",(AM1631-AN1631)/AK1631)</f>
        <v>0</v>
      </c>
      <c r="AQ1631">
        <f>IF(COUNT($E$2:$E1631)&lt;20,"",MAX($C$1612:$C$1631))</f>
        <v>0</v>
      </c>
      <c r="AR1631">
        <f>IF(COUNT($E$2:$E1631)&lt;20,"",MIN($D$1612:$D$1631))</f>
        <v>0</v>
      </c>
      <c r="AS1631">
        <f>IF(OR(AQ1631="",AR1631=""),"",(AQ1631+AR1631)/2)</f>
        <v>0</v>
      </c>
      <c r="AT1631">
        <f>IF(COUNT($G$1612:$G$1631)&lt;20,"",STDEV($G$1612:$G$1631)*SQRT(252))</f>
        <v>0</v>
      </c>
      <c r="AU1631">
        <f>IF(COUNT($E$2:$E1631)&lt;9,"",(MAX($C$1623:$C$1631)+MIN($D$1623:$D$1631))/2)</f>
        <v>0</v>
      </c>
      <c r="AV1631">
        <f>IF(COUNT($E$2:$E1631)&lt;26,"",(MAX($C$1606:$C$1631)+MIN($D$1606:$D$1631))/2)</f>
        <v>0</v>
      </c>
      <c r="AW1631">
        <f>IF(OR(AU1631="",AV1631=""),"",(AU1631+AV1631)/2)</f>
        <v>0</v>
      </c>
      <c r="AX1631">
        <f>IF(COUNT($E$2:$E1631)&lt;52,"",(MAX($C$1580:$C$1631)+MIN($D$1580:$D$1631))/2)</f>
        <v>0</v>
      </c>
      <c r="AY1631">
        <f>IF(COUNT($E$2:$E1631)&lt;20,"",MAX($C$1532:$C$1631))</f>
        <v>0</v>
      </c>
      <c r="AZ1631">
        <f>IF(COUNT($E$2:$E1631)&lt;20,"",MIN($D$1532:$D$1631))</f>
        <v>0</v>
      </c>
      <c r="BA1631">
        <f>IF(COUNT($E$2:$E1631)&lt;20,"",SLOPE($E$1532:$E$1631,$F$1532:$F$1631))</f>
        <v>0</v>
      </c>
      <c r="BB1631">
        <f>IF(COUNT($E$2:$E1631)&lt;20,"",INTERCEPT($E$1532:$E$1631,$F$1532:$F$1631))</f>
        <v>0</v>
      </c>
      <c r="BC1631">
        <f>IF(OR(BA1631="",BB1631=""),"",BB1631+BA1631*F1631)</f>
        <v>0</v>
      </c>
      <c r="BD1631">
        <f>IF(COUNT($E$2:$E1631)&lt;20,"",STEYX($E$1532:$E$1631,$F$1532:$F$1631))</f>
        <v>0</v>
      </c>
      <c r="BE1631">
        <f>IF($E1631="","",IF(AND(COUNT($E$1632:$E$1635)&gt;=4,$C1631=MAX($C$1627:$C$1635)),$C1631,""))</f>
        <v>0</v>
      </c>
      <c r="BF1631">
        <f>IF($E1631="","",IF(AND(COUNT($E$1632:$E$1635)&gt;=4,$D1631=MIN($D$1627:$D$1635)),$D1631,""))</f>
        <v>0</v>
      </c>
      <c r="BG1631">
        <f>IF($A1631="","",$A1631-WEEKDAY($A1631,2)+1)</f>
        <v>0</v>
      </c>
      <c r="BH1631">
        <f>IF($A1631="","",IF($A1630="",1,IF(BG1631&lt;&gt;BG1630,1,0)))</f>
        <v>0</v>
      </c>
      <c r="BI1631">
        <f>IF($A1631="","",IF($A1632="",1,IF(BG1632&lt;&gt;BG1631,1,0)))</f>
        <v>0</v>
      </c>
      <c r="BJ1631">
        <f>IF($A1631="","",IF(BH1631=1,$B1631,BJ1630))</f>
        <v>0</v>
      </c>
      <c r="BK1631">
        <f>IF($A1631="","",IF(BH1631=1,$C1631,MAX($C1631,BK1630)))</f>
        <v>0</v>
      </c>
      <c r="BL1631">
        <f>IF($A1631="","",IF(BH1631=1,$D1631,MIN($D1631,BL1630)))</f>
        <v>0</v>
      </c>
      <c r="BM1631">
        <f>IF($A1631="","",IF(BI1631=1,F1631,""))</f>
        <v>0</v>
      </c>
      <c r="BN1631">
        <f>IF($A1631="","",DATE(YEAR($A1631),MONTH($A1631),1))</f>
        <v>0</v>
      </c>
      <c r="BO1631">
        <f>IF($A1631="","",IF($A1630="",1,IF(BN1631&lt;&gt;BN1630,1,0)))</f>
        <v>0</v>
      </c>
      <c r="BP1631">
        <f>IF($A1631="","",IF($A1632="",1,IF(BN1632&lt;&gt;BN1631,1,0)))</f>
        <v>0</v>
      </c>
      <c r="BQ1631">
        <f>IF($A1631="","",IF(BO1631=1,$B1631,BQ1630))</f>
        <v>0</v>
      </c>
      <c r="BR1631">
        <f>IF($A1631="","",IF(BO1631=1,$C1631,MAX($C1631,BR1630)))</f>
        <v>0</v>
      </c>
      <c r="BS1631">
        <f>IF($A1631="","",IF(BO1631=1,$D1631,MIN($D1631,BS1630)))</f>
        <v>0</v>
      </c>
      <c r="BT1631">
        <f>IF($A1631="","",IF(BP1631=1,F1631,""))</f>
        <v>0</v>
      </c>
    </row>
    <row r="1632" spans="1:72">
      <c r="A1632" s="27">
        <f>IF(Data!$A1632="","",Data!$A1632)</f>
        <v>0</v>
      </c>
      <c r="B1632">
        <f>IF(Data!$B1632="","",Data!$B1632)</f>
        <v>0</v>
      </c>
      <c r="C1632">
        <f>IF(Data!$C1632="","",Data!$C1632)</f>
        <v>0</v>
      </c>
      <c r="D1632">
        <f>IF(Data!$D1632="","",Data!$D1632)</f>
        <v>0</v>
      </c>
      <c r="E1632">
        <f>IF(Data!$E1632="","",Data!$E1632)</f>
        <v>0</v>
      </c>
      <c r="F1632">
        <f>IF($E1632="","",N(F1631)+1)</f>
        <v>0</v>
      </c>
      <c r="G1632">
        <f>IF(OR($E1632="",$E1631=""),"",LN($E1632/$E1631))</f>
        <v>0</v>
      </c>
      <c r="H1632">
        <f>IF($E1632="","",IF($E1631="",$E1632,$E1632*0.0952380952+H1631*0.9047619048))</f>
        <v>0</v>
      </c>
      <c r="I1632">
        <f>IF($E1632="","",IF($E1631="",$E1632,$E1632*0.0392156863+I1631*0.9607843137))</f>
        <v>0</v>
      </c>
      <c r="J1632">
        <f>IF($E1632="","",IF($E1631="",$E1632,$E1632*0.0198019802+J1631*0.9801980198))</f>
        <v>0</v>
      </c>
      <c r="K1632">
        <f>IF($E1632="","",IF($E1631="",$E1632,$E1632*0.0099502488+K1631*0.9900497512))</f>
        <v>0</v>
      </c>
      <c r="L1632">
        <f>IF(OR($E1632="",$E1631=""),"",MAX($E1632-$E1631,0))</f>
        <v>0</v>
      </c>
      <c r="M1632">
        <f>IF(OR($E1632="",$E1631=""),"",MAX($E1631-$E1632,0))</f>
        <v>0</v>
      </c>
      <c r="N1632">
        <f>IF(COUNT($E$2:$E1632)&lt;15,"",IF(AVERAGE($M$1619:$M$1632)=0,100,100-100/(1+AVERAGE($L$1619:$L$1632)/AVERAGE($M$1619:$M$1632))))</f>
        <v>0</v>
      </c>
      <c r="O1632">
        <f>IF($E1632="","",IF($E1631="",$E1632,$E1632*0.1538461538+O1631*0.8461538462))</f>
        <v>0</v>
      </c>
      <c r="P1632">
        <f>IF($E1632="","",IF($E1631="",$E1632,$E1632*0.0740740741+P1631*0.9259259259))</f>
        <v>0</v>
      </c>
      <c r="Q1632">
        <f>IF(OR(O1632="",P1632=""),"",O1632-P1632)</f>
        <v>0</v>
      </c>
      <c r="R1632">
        <f>IF(Q1632="","",IF(R1631="",Q1632,Q1632*0.2000000000+R1631*0.8000000000))</f>
        <v>0</v>
      </c>
      <c r="S1632">
        <f>IF(OR(Q1632="",R1632=""),"",Q1632-R1632)</f>
        <v>0</v>
      </c>
      <c r="T1632">
        <f>IF(COUNT($E$2:$E1632)&lt;14,"",MAX($C$1619:$C$1632))</f>
        <v>0</v>
      </c>
      <c r="U1632">
        <f>IF(COUNT($E$2:$E1632)&lt;14,"",MIN($D$1619:$D$1632))</f>
        <v>0</v>
      </c>
      <c r="V1632">
        <f>IF(OR(T1632="",U1632="",T1632=U1632),"",100*($E1632-U1632)/(T1632-U1632))</f>
        <v>0</v>
      </c>
      <c r="W1632">
        <f>IF(COUNT($V$1630:$V$1632)&lt;3,"",AVERAGE($V$1630:$V$1632))</f>
        <v>0</v>
      </c>
      <c r="X1632">
        <f>IF(COUNT($N$1619:$N$1632)&lt;14,"",MIN($N$1619:$N$1632))</f>
        <v>0</v>
      </c>
      <c r="Y1632">
        <f>IF(COUNT($N$1619:$N$1632)&lt;14,"",MAX($N$1619:$N$1632))</f>
        <v>0</v>
      </c>
      <c r="Z1632">
        <f>IF(OR(N1632="",X1632="",Y1632="",Y1632=X1632),"",100*(N1632-X1632)/(Y1632-X1632))</f>
        <v>0</v>
      </c>
      <c r="AA1632">
        <f>IF(COUNT($Z$1630:$Z$1632)&lt;3,"",AVERAGE($Z$1630:$Z$1632))</f>
        <v>0</v>
      </c>
      <c r="AB1632">
        <f>IF(COUNT($AA$1630:$AA$1632)&lt;3,"",AVERAGE($AA$1630:$AA$1632))</f>
        <v>0</v>
      </c>
      <c r="AC1632">
        <f>IF($E1632="","",MAX($C1632-$D1632,ABS($C1632-$E1631),ABS($D1632-$E1631)))</f>
        <v>0</v>
      </c>
      <c r="AD1632">
        <f>IF(COUNT($E$2:$E1632)&lt;15,"",AVERAGE($AC$1619:$AC$1632))</f>
        <v>0</v>
      </c>
      <c r="AE1632">
        <f>IF(OR($E1632="",$E1631=""),"",IF(AND(($C1632-$C1631)&gt;($D1631-$D1632),($C1632-$C1631)&gt;0),$C1632-$C1631,0))</f>
        <v>0</v>
      </c>
      <c r="AF1632">
        <f>IF(OR($E1632="",$E1631=""),"",IF(AND(($D1631-$D1632)&gt;($C1632-$C1631),($D1631-$D1632)&gt;0),$D1631-$D1632,0))</f>
        <v>0</v>
      </c>
      <c r="AG1632">
        <f>IF(COUNT($E$2:$E1632)&lt;15,"",IF(SUM($AC$1619:$AC$1632)=0,0,100*SUM($AE$1619:$AE$1632)/SUM($AC$1619:$AC$1632)))</f>
        <v>0</v>
      </c>
      <c r="AH1632">
        <f>IF(COUNT($E$2:$E1632)&lt;15,"",IF(SUM($AC$1619:$AC$1632)=0,0,100*SUM($AF$1619:$AF$1632)/SUM($AC$1619:$AC$1632)))</f>
        <v>0</v>
      </c>
      <c r="AI1632">
        <f>IF(OR(AG1632="",AH1632=""),"",IF((AG1632+AH1632)=0,0,100*ABS(AG1632-AH1632)/(AG1632+AH1632)))</f>
        <v>0</v>
      </c>
      <c r="AJ1632">
        <f>IF(COUNT($AI$1619:$AI$1632)&lt;14,"",AVERAGE($AI$1619:$AI$1632))</f>
        <v>0</v>
      </c>
      <c r="AK1632">
        <f>IF(COUNT($E$2:$E1632)&lt;20,"",AVERAGE($E$1613:$E$1632))</f>
        <v>0</v>
      </c>
      <c r="AL1632">
        <f>IF(COUNT($E$2:$E1632)&lt;20,"",STDEVP($E$1613:$E$1632))</f>
        <v>0</v>
      </c>
      <c r="AM1632">
        <f>IF(AK1632="","",AK1632+2*AL1632)</f>
        <v>0</v>
      </c>
      <c r="AN1632">
        <f>IF(AK1632="","",AK1632-2*AL1632)</f>
        <v>0</v>
      </c>
      <c r="AO1632">
        <f>IF(OR(AM1632="",AN1632="",AM1632=AN1632),"",($E1632-AN1632)/(AM1632-AN1632))</f>
        <v>0</v>
      </c>
      <c r="AP1632">
        <f>IF(OR(AM1632="",AK1632="",AK1632=0),"",(AM1632-AN1632)/AK1632)</f>
        <v>0</v>
      </c>
      <c r="AQ1632">
        <f>IF(COUNT($E$2:$E1632)&lt;20,"",MAX($C$1613:$C$1632))</f>
        <v>0</v>
      </c>
      <c r="AR1632">
        <f>IF(COUNT($E$2:$E1632)&lt;20,"",MIN($D$1613:$D$1632))</f>
        <v>0</v>
      </c>
      <c r="AS1632">
        <f>IF(OR(AQ1632="",AR1632=""),"",(AQ1632+AR1632)/2)</f>
        <v>0</v>
      </c>
      <c r="AT1632">
        <f>IF(COUNT($G$1613:$G$1632)&lt;20,"",STDEV($G$1613:$G$1632)*SQRT(252))</f>
        <v>0</v>
      </c>
      <c r="AU1632">
        <f>IF(COUNT($E$2:$E1632)&lt;9,"",(MAX($C$1624:$C$1632)+MIN($D$1624:$D$1632))/2)</f>
        <v>0</v>
      </c>
      <c r="AV1632">
        <f>IF(COUNT($E$2:$E1632)&lt;26,"",(MAX($C$1607:$C$1632)+MIN($D$1607:$D$1632))/2)</f>
        <v>0</v>
      </c>
      <c r="AW1632">
        <f>IF(OR(AU1632="",AV1632=""),"",(AU1632+AV1632)/2)</f>
        <v>0</v>
      </c>
      <c r="AX1632">
        <f>IF(COUNT($E$2:$E1632)&lt;52,"",(MAX($C$1581:$C$1632)+MIN($D$1581:$D$1632))/2)</f>
        <v>0</v>
      </c>
      <c r="AY1632">
        <f>IF(COUNT($E$2:$E1632)&lt;20,"",MAX($C$1533:$C$1632))</f>
        <v>0</v>
      </c>
      <c r="AZ1632">
        <f>IF(COUNT($E$2:$E1632)&lt;20,"",MIN($D$1533:$D$1632))</f>
        <v>0</v>
      </c>
      <c r="BA1632">
        <f>IF(COUNT($E$2:$E1632)&lt;20,"",SLOPE($E$1533:$E$1632,$F$1533:$F$1632))</f>
        <v>0</v>
      </c>
      <c r="BB1632">
        <f>IF(COUNT($E$2:$E1632)&lt;20,"",INTERCEPT($E$1533:$E$1632,$F$1533:$F$1632))</f>
        <v>0</v>
      </c>
      <c r="BC1632">
        <f>IF(OR(BA1632="",BB1632=""),"",BB1632+BA1632*F1632)</f>
        <v>0</v>
      </c>
      <c r="BD1632">
        <f>IF(COUNT($E$2:$E1632)&lt;20,"",STEYX($E$1533:$E$1632,$F$1533:$F$1632))</f>
        <v>0</v>
      </c>
      <c r="BE1632">
        <f>IF($E1632="","",IF(AND(COUNT($E$1633:$E$1636)&gt;=4,$C1632=MAX($C$1628:$C$1636)),$C1632,""))</f>
        <v>0</v>
      </c>
      <c r="BF1632">
        <f>IF($E1632="","",IF(AND(COUNT($E$1633:$E$1636)&gt;=4,$D1632=MIN($D$1628:$D$1636)),$D1632,""))</f>
        <v>0</v>
      </c>
      <c r="BG1632">
        <f>IF($A1632="","",$A1632-WEEKDAY($A1632,2)+1)</f>
        <v>0</v>
      </c>
      <c r="BH1632">
        <f>IF($A1632="","",IF($A1631="",1,IF(BG1632&lt;&gt;BG1631,1,0)))</f>
        <v>0</v>
      </c>
      <c r="BI1632">
        <f>IF($A1632="","",IF($A1633="",1,IF(BG1633&lt;&gt;BG1632,1,0)))</f>
        <v>0</v>
      </c>
      <c r="BJ1632">
        <f>IF($A1632="","",IF(BH1632=1,$B1632,BJ1631))</f>
        <v>0</v>
      </c>
      <c r="BK1632">
        <f>IF($A1632="","",IF(BH1632=1,$C1632,MAX($C1632,BK1631)))</f>
        <v>0</v>
      </c>
      <c r="BL1632">
        <f>IF($A1632="","",IF(BH1632=1,$D1632,MIN($D1632,BL1631)))</f>
        <v>0</v>
      </c>
      <c r="BM1632">
        <f>IF($A1632="","",IF(BI1632=1,F1632,""))</f>
        <v>0</v>
      </c>
      <c r="BN1632">
        <f>IF($A1632="","",DATE(YEAR($A1632),MONTH($A1632),1))</f>
        <v>0</v>
      </c>
      <c r="BO1632">
        <f>IF($A1632="","",IF($A1631="",1,IF(BN1632&lt;&gt;BN1631,1,0)))</f>
        <v>0</v>
      </c>
      <c r="BP1632">
        <f>IF($A1632="","",IF($A1633="",1,IF(BN1633&lt;&gt;BN1632,1,0)))</f>
        <v>0</v>
      </c>
      <c r="BQ1632">
        <f>IF($A1632="","",IF(BO1632=1,$B1632,BQ1631))</f>
        <v>0</v>
      </c>
      <c r="BR1632">
        <f>IF($A1632="","",IF(BO1632=1,$C1632,MAX($C1632,BR1631)))</f>
        <v>0</v>
      </c>
      <c r="BS1632">
        <f>IF($A1632="","",IF(BO1632=1,$D1632,MIN($D1632,BS1631)))</f>
        <v>0</v>
      </c>
      <c r="BT1632">
        <f>IF($A1632="","",IF(BP1632=1,F1632,""))</f>
        <v>0</v>
      </c>
    </row>
    <row r="1633" spans="1:72">
      <c r="A1633" s="27">
        <f>IF(Data!$A1633="","",Data!$A1633)</f>
        <v>0</v>
      </c>
      <c r="B1633">
        <f>IF(Data!$B1633="","",Data!$B1633)</f>
        <v>0</v>
      </c>
      <c r="C1633">
        <f>IF(Data!$C1633="","",Data!$C1633)</f>
        <v>0</v>
      </c>
      <c r="D1633">
        <f>IF(Data!$D1633="","",Data!$D1633)</f>
        <v>0</v>
      </c>
      <c r="E1633">
        <f>IF(Data!$E1633="","",Data!$E1633)</f>
        <v>0</v>
      </c>
      <c r="F1633">
        <f>IF($E1633="","",N(F1632)+1)</f>
        <v>0</v>
      </c>
      <c r="G1633">
        <f>IF(OR($E1633="",$E1632=""),"",LN($E1633/$E1632))</f>
        <v>0</v>
      </c>
      <c r="H1633">
        <f>IF($E1633="","",IF($E1632="",$E1633,$E1633*0.0952380952+H1632*0.9047619048))</f>
        <v>0</v>
      </c>
      <c r="I1633">
        <f>IF($E1633="","",IF($E1632="",$E1633,$E1633*0.0392156863+I1632*0.9607843137))</f>
        <v>0</v>
      </c>
      <c r="J1633">
        <f>IF($E1633="","",IF($E1632="",$E1633,$E1633*0.0198019802+J1632*0.9801980198))</f>
        <v>0</v>
      </c>
      <c r="K1633">
        <f>IF($E1633="","",IF($E1632="",$E1633,$E1633*0.0099502488+K1632*0.9900497512))</f>
        <v>0</v>
      </c>
      <c r="L1633">
        <f>IF(OR($E1633="",$E1632=""),"",MAX($E1633-$E1632,0))</f>
        <v>0</v>
      </c>
      <c r="M1633">
        <f>IF(OR($E1633="",$E1632=""),"",MAX($E1632-$E1633,0))</f>
        <v>0</v>
      </c>
      <c r="N1633">
        <f>IF(COUNT($E$2:$E1633)&lt;15,"",IF(AVERAGE($M$1620:$M$1633)=0,100,100-100/(1+AVERAGE($L$1620:$L$1633)/AVERAGE($M$1620:$M$1633))))</f>
        <v>0</v>
      </c>
      <c r="O1633">
        <f>IF($E1633="","",IF($E1632="",$E1633,$E1633*0.1538461538+O1632*0.8461538462))</f>
        <v>0</v>
      </c>
      <c r="P1633">
        <f>IF($E1633="","",IF($E1632="",$E1633,$E1633*0.0740740741+P1632*0.9259259259))</f>
        <v>0</v>
      </c>
      <c r="Q1633">
        <f>IF(OR(O1633="",P1633=""),"",O1633-P1633)</f>
        <v>0</v>
      </c>
      <c r="R1633">
        <f>IF(Q1633="","",IF(R1632="",Q1633,Q1633*0.2000000000+R1632*0.8000000000))</f>
        <v>0</v>
      </c>
      <c r="S1633">
        <f>IF(OR(Q1633="",R1633=""),"",Q1633-R1633)</f>
        <v>0</v>
      </c>
      <c r="T1633">
        <f>IF(COUNT($E$2:$E1633)&lt;14,"",MAX($C$1620:$C$1633))</f>
        <v>0</v>
      </c>
      <c r="U1633">
        <f>IF(COUNT($E$2:$E1633)&lt;14,"",MIN($D$1620:$D$1633))</f>
        <v>0</v>
      </c>
      <c r="V1633">
        <f>IF(OR(T1633="",U1633="",T1633=U1633),"",100*($E1633-U1633)/(T1633-U1633))</f>
        <v>0</v>
      </c>
      <c r="W1633">
        <f>IF(COUNT($V$1631:$V$1633)&lt;3,"",AVERAGE($V$1631:$V$1633))</f>
        <v>0</v>
      </c>
      <c r="X1633">
        <f>IF(COUNT($N$1620:$N$1633)&lt;14,"",MIN($N$1620:$N$1633))</f>
        <v>0</v>
      </c>
      <c r="Y1633">
        <f>IF(COUNT($N$1620:$N$1633)&lt;14,"",MAX($N$1620:$N$1633))</f>
        <v>0</v>
      </c>
      <c r="Z1633">
        <f>IF(OR(N1633="",X1633="",Y1633="",Y1633=X1633),"",100*(N1633-X1633)/(Y1633-X1633))</f>
        <v>0</v>
      </c>
      <c r="AA1633">
        <f>IF(COUNT($Z$1631:$Z$1633)&lt;3,"",AVERAGE($Z$1631:$Z$1633))</f>
        <v>0</v>
      </c>
      <c r="AB1633">
        <f>IF(COUNT($AA$1631:$AA$1633)&lt;3,"",AVERAGE($AA$1631:$AA$1633))</f>
        <v>0</v>
      </c>
      <c r="AC1633">
        <f>IF($E1633="","",MAX($C1633-$D1633,ABS($C1633-$E1632),ABS($D1633-$E1632)))</f>
        <v>0</v>
      </c>
      <c r="AD1633">
        <f>IF(COUNT($E$2:$E1633)&lt;15,"",AVERAGE($AC$1620:$AC$1633))</f>
        <v>0</v>
      </c>
      <c r="AE1633">
        <f>IF(OR($E1633="",$E1632=""),"",IF(AND(($C1633-$C1632)&gt;($D1632-$D1633),($C1633-$C1632)&gt;0),$C1633-$C1632,0))</f>
        <v>0</v>
      </c>
      <c r="AF1633">
        <f>IF(OR($E1633="",$E1632=""),"",IF(AND(($D1632-$D1633)&gt;($C1633-$C1632),($D1632-$D1633)&gt;0),$D1632-$D1633,0))</f>
        <v>0</v>
      </c>
      <c r="AG1633">
        <f>IF(COUNT($E$2:$E1633)&lt;15,"",IF(SUM($AC$1620:$AC$1633)=0,0,100*SUM($AE$1620:$AE$1633)/SUM($AC$1620:$AC$1633)))</f>
        <v>0</v>
      </c>
      <c r="AH1633">
        <f>IF(COUNT($E$2:$E1633)&lt;15,"",IF(SUM($AC$1620:$AC$1633)=0,0,100*SUM($AF$1620:$AF$1633)/SUM($AC$1620:$AC$1633)))</f>
        <v>0</v>
      </c>
      <c r="AI1633">
        <f>IF(OR(AG1633="",AH1633=""),"",IF((AG1633+AH1633)=0,0,100*ABS(AG1633-AH1633)/(AG1633+AH1633)))</f>
        <v>0</v>
      </c>
      <c r="AJ1633">
        <f>IF(COUNT($AI$1620:$AI$1633)&lt;14,"",AVERAGE($AI$1620:$AI$1633))</f>
        <v>0</v>
      </c>
      <c r="AK1633">
        <f>IF(COUNT($E$2:$E1633)&lt;20,"",AVERAGE($E$1614:$E$1633))</f>
        <v>0</v>
      </c>
      <c r="AL1633">
        <f>IF(COUNT($E$2:$E1633)&lt;20,"",STDEVP($E$1614:$E$1633))</f>
        <v>0</v>
      </c>
      <c r="AM1633">
        <f>IF(AK1633="","",AK1633+2*AL1633)</f>
        <v>0</v>
      </c>
      <c r="AN1633">
        <f>IF(AK1633="","",AK1633-2*AL1633)</f>
        <v>0</v>
      </c>
      <c r="AO1633">
        <f>IF(OR(AM1633="",AN1633="",AM1633=AN1633),"",($E1633-AN1633)/(AM1633-AN1633))</f>
        <v>0</v>
      </c>
      <c r="AP1633">
        <f>IF(OR(AM1633="",AK1633="",AK1633=0),"",(AM1633-AN1633)/AK1633)</f>
        <v>0</v>
      </c>
      <c r="AQ1633">
        <f>IF(COUNT($E$2:$E1633)&lt;20,"",MAX($C$1614:$C$1633))</f>
        <v>0</v>
      </c>
      <c r="AR1633">
        <f>IF(COUNT($E$2:$E1633)&lt;20,"",MIN($D$1614:$D$1633))</f>
        <v>0</v>
      </c>
      <c r="AS1633">
        <f>IF(OR(AQ1633="",AR1633=""),"",(AQ1633+AR1633)/2)</f>
        <v>0</v>
      </c>
      <c r="AT1633">
        <f>IF(COUNT($G$1614:$G$1633)&lt;20,"",STDEV($G$1614:$G$1633)*SQRT(252))</f>
        <v>0</v>
      </c>
      <c r="AU1633">
        <f>IF(COUNT($E$2:$E1633)&lt;9,"",(MAX($C$1625:$C$1633)+MIN($D$1625:$D$1633))/2)</f>
        <v>0</v>
      </c>
      <c r="AV1633">
        <f>IF(COUNT($E$2:$E1633)&lt;26,"",(MAX($C$1608:$C$1633)+MIN($D$1608:$D$1633))/2)</f>
        <v>0</v>
      </c>
      <c r="AW1633">
        <f>IF(OR(AU1633="",AV1633=""),"",(AU1633+AV1633)/2)</f>
        <v>0</v>
      </c>
      <c r="AX1633">
        <f>IF(COUNT($E$2:$E1633)&lt;52,"",(MAX($C$1582:$C$1633)+MIN($D$1582:$D$1633))/2)</f>
        <v>0</v>
      </c>
      <c r="AY1633">
        <f>IF(COUNT($E$2:$E1633)&lt;20,"",MAX($C$1534:$C$1633))</f>
        <v>0</v>
      </c>
      <c r="AZ1633">
        <f>IF(COUNT($E$2:$E1633)&lt;20,"",MIN($D$1534:$D$1633))</f>
        <v>0</v>
      </c>
      <c r="BA1633">
        <f>IF(COUNT($E$2:$E1633)&lt;20,"",SLOPE($E$1534:$E$1633,$F$1534:$F$1633))</f>
        <v>0</v>
      </c>
      <c r="BB1633">
        <f>IF(COUNT($E$2:$E1633)&lt;20,"",INTERCEPT($E$1534:$E$1633,$F$1534:$F$1633))</f>
        <v>0</v>
      </c>
      <c r="BC1633">
        <f>IF(OR(BA1633="",BB1633=""),"",BB1633+BA1633*F1633)</f>
        <v>0</v>
      </c>
      <c r="BD1633">
        <f>IF(COUNT($E$2:$E1633)&lt;20,"",STEYX($E$1534:$E$1633,$F$1534:$F$1633))</f>
        <v>0</v>
      </c>
      <c r="BE1633">
        <f>IF($E1633="","",IF(AND(COUNT($E$1634:$E$1637)&gt;=4,$C1633=MAX($C$1629:$C$1637)),$C1633,""))</f>
        <v>0</v>
      </c>
      <c r="BF1633">
        <f>IF($E1633="","",IF(AND(COUNT($E$1634:$E$1637)&gt;=4,$D1633=MIN($D$1629:$D$1637)),$D1633,""))</f>
        <v>0</v>
      </c>
      <c r="BG1633">
        <f>IF($A1633="","",$A1633-WEEKDAY($A1633,2)+1)</f>
        <v>0</v>
      </c>
      <c r="BH1633">
        <f>IF($A1633="","",IF($A1632="",1,IF(BG1633&lt;&gt;BG1632,1,0)))</f>
        <v>0</v>
      </c>
      <c r="BI1633">
        <f>IF($A1633="","",IF($A1634="",1,IF(BG1634&lt;&gt;BG1633,1,0)))</f>
        <v>0</v>
      </c>
      <c r="BJ1633">
        <f>IF($A1633="","",IF(BH1633=1,$B1633,BJ1632))</f>
        <v>0</v>
      </c>
      <c r="BK1633">
        <f>IF($A1633="","",IF(BH1633=1,$C1633,MAX($C1633,BK1632)))</f>
        <v>0</v>
      </c>
      <c r="BL1633">
        <f>IF($A1633="","",IF(BH1633=1,$D1633,MIN($D1633,BL1632)))</f>
        <v>0</v>
      </c>
      <c r="BM1633">
        <f>IF($A1633="","",IF(BI1633=1,F1633,""))</f>
        <v>0</v>
      </c>
      <c r="BN1633">
        <f>IF($A1633="","",DATE(YEAR($A1633),MONTH($A1633),1))</f>
        <v>0</v>
      </c>
      <c r="BO1633">
        <f>IF($A1633="","",IF($A1632="",1,IF(BN1633&lt;&gt;BN1632,1,0)))</f>
        <v>0</v>
      </c>
      <c r="BP1633">
        <f>IF($A1633="","",IF($A1634="",1,IF(BN1634&lt;&gt;BN1633,1,0)))</f>
        <v>0</v>
      </c>
      <c r="BQ1633">
        <f>IF($A1633="","",IF(BO1633=1,$B1633,BQ1632))</f>
        <v>0</v>
      </c>
      <c r="BR1633">
        <f>IF($A1633="","",IF(BO1633=1,$C1633,MAX($C1633,BR1632)))</f>
        <v>0</v>
      </c>
      <c r="BS1633">
        <f>IF($A1633="","",IF(BO1633=1,$D1633,MIN($D1633,BS1632)))</f>
        <v>0</v>
      </c>
      <c r="BT1633">
        <f>IF($A1633="","",IF(BP1633=1,F1633,""))</f>
        <v>0</v>
      </c>
    </row>
    <row r="1634" spans="1:72">
      <c r="A1634" s="27">
        <f>IF(Data!$A1634="","",Data!$A1634)</f>
        <v>0</v>
      </c>
      <c r="B1634">
        <f>IF(Data!$B1634="","",Data!$B1634)</f>
        <v>0</v>
      </c>
      <c r="C1634">
        <f>IF(Data!$C1634="","",Data!$C1634)</f>
        <v>0</v>
      </c>
      <c r="D1634">
        <f>IF(Data!$D1634="","",Data!$D1634)</f>
        <v>0</v>
      </c>
      <c r="E1634">
        <f>IF(Data!$E1634="","",Data!$E1634)</f>
        <v>0</v>
      </c>
      <c r="F1634">
        <f>IF($E1634="","",N(F1633)+1)</f>
        <v>0</v>
      </c>
      <c r="G1634">
        <f>IF(OR($E1634="",$E1633=""),"",LN($E1634/$E1633))</f>
        <v>0</v>
      </c>
      <c r="H1634">
        <f>IF($E1634="","",IF($E1633="",$E1634,$E1634*0.0952380952+H1633*0.9047619048))</f>
        <v>0</v>
      </c>
      <c r="I1634">
        <f>IF($E1634="","",IF($E1633="",$E1634,$E1634*0.0392156863+I1633*0.9607843137))</f>
        <v>0</v>
      </c>
      <c r="J1634">
        <f>IF($E1634="","",IF($E1633="",$E1634,$E1634*0.0198019802+J1633*0.9801980198))</f>
        <v>0</v>
      </c>
      <c r="K1634">
        <f>IF($E1634="","",IF($E1633="",$E1634,$E1634*0.0099502488+K1633*0.9900497512))</f>
        <v>0</v>
      </c>
      <c r="L1634">
        <f>IF(OR($E1634="",$E1633=""),"",MAX($E1634-$E1633,0))</f>
        <v>0</v>
      </c>
      <c r="M1634">
        <f>IF(OR($E1634="",$E1633=""),"",MAX($E1633-$E1634,0))</f>
        <v>0</v>
      </c>
      <c r="N1634">
        <f>IF(COUNT($E$2:$E1634)&lt;15,"",IF(AVERAGE($M$1621:$M$1634)=0,100,100-100/(1+AVERAGE($L$1621:$L$1634)/AVERAGE($M$1621:$M$1634))))</f>
        <v>0</v>
      </c>
      <c r="O1634">
        <f>IF($E1634="","",IF($E1633="",$E1634,$E1634*0.1538461538+O1633*0.8461538462))</f>
        <v>0</v>
      </c>
      <c r="P1634">
        <f>IF($E1634="","",IF($E1633="",$E1634,$E1634*0.0740740741+P1633*0.9259259259))</f>
        <v>0</v>
      </c>
      <c r="Q1634">
        <f>IF(OR(O1634="",P1634=""),"",O1634-P1634)</f>
        <v>0</v>
      </c>
      <c r="R1634">
        <f>IF(Q1634="","",IF(R1633="",Q1634,Q1634*0.2000000000+R1633*0.8000000000))</f>
        <v>0</v>
      </c>
      <c r="S1634">
        <f>IF(OR(Q1634="",R1634=""),"",Q1634-R1634)</f>
        <v>0</v>
      </c>
      <c r="T1634">
        <f>IF(COUNT($E$2:$E1634)&lt;14,"",MAX($C$1621:$C$1634))</f>
        <v>0</v>
      </c>
      <c r="U1634">
        <f>IF(COUNT($E$2:$E1634)&lt;14,"",MIN($D$1621:$D$1634))</f>
        <v>0</v>
      </c>
      <c r="V1634">
        <f>IF(OR(T1634="",U1634="",T1634=U1634),"",100*($E1634-U1634)/(T1634-U1634))</f>
        <v>0</v>
      </c>
      <c r="W1634">
        <f>IF(COUNT($V$1632:$V$1634)&lt;3,"",AVERAGE($V$1632:$V$1634))</f>
        <v>0</v>
      </c>
      <c r="X1634">
        <f>IF(COUNT($N$1621:$N$1634)&lt;14,"",MIN($N$1621:$N$1634))</f>
        <v>0</v>
      </c>
      <c r="Y1634">
        <f>IF(COUNT($N$1621:$N$1634)&lt;14,"",MAX($N$1621:$N$1634))</f>
        <v>0</v>
      </c>
      <c r="Z1634">
        <f>IF(OR(N1634="",X1634="",Y1634="",Y1634=X1634),"",100*(N1634-X1634)/(Y1634-X1634))</f>
        <v>0</v>
      </c>
      <c r="AA1634">
        <f>IF(COUNT($Z$1632:$Z$1634)&lt;3,"",AVERAGE($Z$1632:$Z$1634))</f>
        <v>0</v>
      </c>
      <c r="AB1634">
        <f>IF(COUNT($AA$1632:$AA$1634)&lt;3,"",AVERAGE($AA$1632:$AA$1634))</f>
        <v>0</v>
      </c>
      <c r="AC1634">
        <f>IF($E1634="","",MAX($C1634-$D1634,ABS($C1634-$E1633),ABS($D1634-$E1633)))</f>
        <v>0</v>
      </c>
      <c r="AD1634">
        <f>IF(COUNT($E$2:$E1634)&lt;15,"",AVERAGE($AC$1621:$AC$1634))</f>
        <v>0</v>
      </c>
      <c r="AE1634">
        <f>IF(OR($E1634="",$E1633=""),"",IF(AND(($C1634-$C1633)&gt;($D1633-$D1634),($C1634-$C1633)&gt;0),$C1634-$C1633,0))</f>
        <v>0</v>
      </c>
      <c r="AF1634">
        <f>IF(OR($E1634="",$E1633=""),"",IF(AND(($D1633-$D1634)&gt;($C1634-$C1633),($D1633-$D1634)&gt;0),$D1633-$D1634,0))</f>
        <v>0</v>
      </c>
      <c r="AG1634">
        <f>IF(COUNT($E$2:$E1634)&lt;15,"",IF(SUM($AC$1621:$AC$1634)=0,0,100*SUM($AE$1621:$AE$1634)/SUM($AC$1621:$AC$1634)))</f>
        <v>0</v>
      </c>
      <c r="AH1634">
        <f>IF(COUNT($E$2:$E1634)&lt;15,"",IF(SUM($AC$1621:$AC$1634)=0,0,100*SUM($AF$1621:$AF$1634)/SUM($AC$1621:$AC$1634)))</f>
        <v>0</v>
      </c>
      <c r="AI1634">
        <f>IF(OR(AG1634="",AH1634=""),"",IF((AG1634+AH1634)=0,0,100*ABS(AG1634-AH1634)/(AG1634+AH1634)))</f>
        <v>0</v>
      </c>
      <c r="AJ1634">
        <f>IF(COUNT($AI$1621:$AI$1634)&lt;14,"",AVERAGE($AI$1621:$AI$1634))</f>
        <v>0</v>
      </c>
      <c r="AK1634">
        <f>IF(COUNT($E$2:$E1634)&lt;20,"",AVERAGE($E$1615:$E$1634))</f>
        <v>0</v>
      </c>
      <c r="AL1634">
        <f>IF(COUNT($E$2:$E1634)&lt;20,"",STDEVP($E$1615:$E$1634))</f>
        <v>0</v>
      </c>
      <c r="AM1634">
        <f>IF(AK1634="","",AK1634+2*AL1634)</f>
        <v>0</v>
      </c>
      <c r="AN1634">
        <f>IF(AK1634="","",AK1634-2*AL1634)</f>
        <v>0</v>
      </c>
      <c r="AO1634">
        <f>IF(OR(AM1634="",AN1634="",AM1634=AN1634),"",($E1634-AN1634)/(AM1634-AN1634))</f>
        <v>0</v>
      </c>
      <c r="AP1634">
        <f>IF(OR(AM1634="",AK1634="",AK1634=0),"",(AM1634-AN1634)/AK1634)</f>
        <v>0</v>
      </c>
      <c r="AQ1634">
        <f>IF(COUNT($E$2:$E1634)&lt;20,"",MAX($C$1615:$C$1634))</f>
        <v>0</v>
      </c>
      <c r="AR1634">
        <f>IF(COUNT($E$2:$E1634)&lt;20,"",MIN($D$1615:$D$1634))</f>
        <v>0</v>
      </c>
      <c r="AS1634">
        <f>IF(OR(AQ1634="",AR1634=""),"",(AQ1634+AR1634)/2)</f>
        <v>0</v>
      </c>
      <c r="AT1634">
        <f>IF(COUNT($G$1615:$G$1634)&lt;20,"",STDEV($G$1615:$G$1634)*SQRT(252))</f>
        <v>0</v>
      </c>
      <c r="AU1634">
        <f>IF(COUNT($E$2:$E1634)&lt;9,"",(MAX($C$1626:$C$1634)+MIN($D$1626:$D$1634))/2)</f>
        <v>0</v>
      </c>
      <c r="AV1634">
        <f>IF(COUNT($E$2:$E1634)&lt;26,"",(MAX($C$1609:$C$1634)+MIN($D$1609:$D$1634))/2)</f>
        <v>0</v>
      </c>
      <c r="AW1634">
        <f>IF(OR(AU1634="",AV1634=""),"",(AU1634+AV1634)/2)</f>
        <v>0</v>
      </c>
      <c r="AX1634">
        <f>IF(COUNT($E$2:$E1634)&lt;52,"",(MAX($C$1583:$C$1634)+MIN($D$1583:$D$1634))/2)</f>
        <v>0</v>
      </c>
      <c r="AY1634">
        <f>IF(COUNT($E$2:$E1634)&lt;20,"",MAX($C$1535:$C$1634))</f>
        <v>0</v>
      </c>
      <c r="AZ1634">
        <f>IF(COUNT($E$2:$E1634)&lt;20,"",MIN($D$1535:$D$1634))</f>
        <v>0</v>
      </c>
      <c r="BA1634">
        <f>IF(COUNT($E$2:$E1634)&lt;20,"",SLOPE($E$1535:$E$1634,$F$1535:$F$1634))</f>
        <v>0</v>
      </c>
      <c r="BB1634">
        <f>IF(COUNT($E$2:$E1634)&lt;20,"",INTERCEPT($E$1535:$E$1634,$F$1535:$F$1634))</f>
        <v>0</v>
      </c>
      <c r="BC1634">
        <f>IF(OR(BA1634="",BB1634=""),"",BB1634+BA1634*F1634)</f>
        <v>0</v>
      </c>
      <c r="BD1634">
        <f>IF(COUNT($E$2:$E1634)&lt;20,"",STEYX($E$1535:$E$1634,$F$1535:$F$1634))</f>
        <v>0</v>
      </c>
      <c r="BE1634">
        <f>IF($E1634="","",IF(AND(COUNT($E$1635:$E$1638)&gt;=4,$C1634=MAX($C$1630:$C$1638)),$C1634,""))</f>
        <v>0</v>
      </c>
      <c r="BF1634">
        <f>IF($E1634="","",IF(AND(COUNT($E$1635:$E$1638)&gt;=4,$D1634=MIN($D$1630:$D$1638)),$D1634,""))</f>
        <v>0</v>
      </c>
      <c r="BG1634">
        <f>IF($A1634="","",$A1634-WEEKDAY($A1634,2)+1)</f>
        <v>0</v>
      </c>
      <c r="BH1634">
        <f>IF($A1634="","",IF($A1633="",1,IF(BG1634&lt;&gt;BG1633,1,0)))</f>
        <v>0</v>
      </c>
      <c r="BI1634">
        <f>IF($A1634="","",IF($A1635="",1,IF(BG1635&lt;&gt;BG1634,1,0)))</f>
        <v>0</v>
      </c>
      <c r="BJ1634">
        <f>IF($A1634="","",IF(BH1634=1,$B1634,BJ1633))</f>
        <v>0</v>
      </c>
      <c r="BK1634">
        <f>IF($A1634="","",IF(BH1634=1,$C1634,MAX($C1634,BK1633)))</f>
        <v>0</v>
      </c>
      <c r="BL1634">
        <f>IF($A1634="","",IF(BH1634=1,$D1634,MIN($D1634,BL1633)))</f>
        <v>0</v>
      </c>
      <c r="BM1634">
        <f>IF($A1634="","",IF(BI1634=1,F1634,""))</f>
        <v>0</v>
      </c>
      <c r="BN1634">
        <f>IF($A1634="","",DATE(YEAR($A1634),MONTH($A1634),1))</f>
        <v>0</v>
      </c>
      <c r="BO1634">
        <f>IF($A1634="","",IF($A1633="",1,IF(BN1634&lt;&gt;BN1633,1,0)))</f>
        <v>0</v>
      </c>
      <c r="BP1634">
        <f>IF($A1634="","",IF($A1635="",1,IF(BN1635&lt;&gt;BN1634,1,0)))</f>
        <v>0</v>
      </c>
      <c r="BQ1634">
        <f>IF($A1634="","",IF(BO1634=1,$B1634,BQ1633))</f>
        <v>0</v>
      </c>
      <c r="BR1634">
        <f>IF($A1634="","",IF(BO1634=1,$C1634,MAX($C1634,BR1633)))</f>
        <v>0</v>
      </c>
      <c r="BS1634">
        <f>IF($A1634="","",IF(BO1634=1,$D1634,MIN($D1634,BS1633)))</f>
        <v>0</v>
      </c>
      <c r="BT1634">
        <f>IF($A1634="","",IF(BP1634=1,F1634,""))</f>
        <v>0</v>
      </c>
    </row>
    <row r="1635" spans="1:72">
      <c r="A1635" s="27">
        <f>IF(Data!$A1635="","",Data!$A1635)</f>
        <v>0</v>
      </c>
      <c r="B1635">
        <f>IF(Data!$B1635="","",Data!$B1635)</f>
        <v>0</v>
      </c>
      <c r="C1635">
        <f>IF(Data!$C1635="","",Data!$C1635)</f>
        <v>0</v>
      </c>
      <c r="D1635">
        <f>IF(Data!$D1635="","",Data!$D1635)</f>
        <v>0</v>
      </c>
      <c r="E1635">
        <f>IF(Data!$E1635="","",Data!$E1635)</f>
        <v>0</v>
      </c>
      <c r="F1635">
        <f>IF($E1635="","",N(F1634)+1)</f>
        <v>0</v>
      </c>
      <c r="G1635">
        <f>IF(OR($E1635="",$E1634=""),"",LN($E1635/$E1634))</f>
        <v>0</v>
      </c>
      <c r="H1635">
        <f>IF($E1635="","",IF($E1634="",$E1635,$E1635*0.0952380952+H1634*0.9047619048))</f>
        <v>0</v>
      </c>
      <c r="I1635">
        <f>IF($E1635="","",IF($E1634="",$E1635,$E1635*0.0392156863+I1634*0.9607843137))</f>
        <v>0</v>
      </c>
      <c r="J1635">
        <f>IF($E1635="","",IF($E1634="",$E1635,$E1635*0.0198019802+J1634*0.9801980198))</f>
        <v>0</v>
      </c>
      <c r="K1635">
        <f>IF($E1635="","",IF($E1634="",$E1635,$E1635*0.0099502488+K1634*0.9900497512))</f>
        <v>0</v>
      </c>
      <c r="L1635">
        <f>IF(OR($E1635="",$E1634=""),"",MAX($E1635-$E1634,0))</f>
        <v>0</v>
      </c>
      <c r="M1635">
        <f>IF(OR($E1635="",$E1634=""),"",MAX($E1634-$E1635,0))</f>
        <v>0</v>
      </c>
      <c r="N1635">
        <f>IF(COUNT($E$2:$E1635)&lt;15,"",IF(AVERAGE($M$1622:$M$1635)=0,100,100-100/(1+AVERAGE($L$1622:$L$1635)/AVERAGE($M$1622:$M$1635))))</f>
        <v>0</v>
      </c>
      <c r="O1635">
        <f>IF($E1635="","",IF($E1634="",$E1635,$E1635*0.1538461538+O1634*0.8461538462))</f>
        <v>0</v>
      </c>
      <c r="P1635">
        <f>IF($E1635="","",IF($E1634="",$E1635,$E1635*0.0740740741+P1634*0.9259259259))</f>
        <v>0</v>
      </c>
      <c r="Q1635">
        <f>IF(OR(O1635="",P1635=""),"",O1635-P1635)</f>
        <v>0</v>
      </c>
      <c r="R1635">
        <f>IF(Q1635="","",IF(R1634="",Q1635,Q1635*0.2000000000+R1634*0.8000000000))</f>
        <v>0</v>
      </c>
      <c r="S1635">
        <f>IF(OR(Q1635="",R1635=""),"",Q1635-R1635)</f>
        <v>0</v>
      </c>
      <c r="T1635">
        <f>IF(COUNT($E$2:$E1635)&lt;14,"",MAX($C$1622:$C$1635))</f>
        <v>0</v>
      </c>
      <c r="U1635">
        <f>IF(COUNT($E$2:$E1635)&lt;14,"",MIN($D$1622:$D$1635))</f>
        <v>0</v>
      </c>
      <c r="V1635">
        <f>IF(OR(T1635="",U1635="",T1635=U1635),"",100*($E1635-U1635)/(T1635-U1635))</f>
        <v>0</v>
      </c>
      <c r="W1635">
        <f>IF(COUNT($V$1633:$V$1635)&lt;3,"",AVERAGE($V$1633:$V$1635))</f>
        <v>0</v>
      </c>
      <c r="X1635">
        <f>IF(COUNT($N$1622:$N$1635)&lt;14,"",MIN($N$1622:$N$1635))</f>
        <v>0</v>
      </c>
      <c r="Y1635">
        <f>IF(COUNT($N$1622:$N$1635)&lt;14,"",MAX($N$1622:$N$1635))</f>
        <v>0</v>
      </c>
      <c r="Z1635">
        <f>IF(OR(N1635="",X1635="",Y1635="",Y1635=X1635),"",100*(N1635-X1635)/(Y1635-X1635))</f>
        <v>0</v>
      </c>
      <c r="AA1635">
        <f>IF(COUNT($Z$1633:$Z$1635)&lt;3,"",AVERAGE($Z$1633:$Z$1635))</f>
        <v>0</v>
      </c>
      <c r="AB1635">
        <f>IF(COUNT($AA$1633:$AA$1635)&lt;3,"",AVERAGE($AA$1633:$AA$1635))</f>
        <v>0</v>
      </c>
      <c r="AC1635">
        <f>IF($E1635="","",MAX($C1635-$D1635,ABS($C1635-$E1634),ABS($D1635-$E1634)))</f>
        <v>0</v>
      </c>
      <c r="AD1635">
        <f>IF(COUNT($E$2:$E1635)&lt;15,"",AVERAGE($AC$1622:$AC$1635))</f>
        <v>0</v>
      </c>
      <c r="AE1635">
        <f>IF(OR($E1635="",$E1634=""),"",IF(AND(($C1635-$C1634)&gt;($D1634-$D1635),($C1635-$C1634)&gt;0),$C1635-$C1634,0))</f>
        <v>0</v>
      </c>
      <c r="AF1635">
        <f>IF(OR($E1635="",$E1634=""),"",IF(AND(($D1634-$D1635)&gt;($C1635-$C1634),($D1634-$D1635)&gt;0),$D1634-$D1635,0))</f>
        <v>0</v>
      </c>
      <c r="AG1635">
        <f>IF(COUNT($E$2:$E1635)&lt;15,"",IF(SUM($AC$1622:$AC$1635)=0,0,100*SUM($AE$1622:$AE$1635)/SUM($AC$1622:$AC$1635)))</f>
        <v>0</v>
      </c>
      <c r="AH1635">
        <f>IF(COUNT($E$2:$E1635)&lt;15,"",IF(SUM($AC$1622:$AC$1635)=0,0,100*SUM($AF$1622:$AF$1635)/SUM($AC$1622:$AC$1635)))</f>
        <v>0</v>
      </c>
      <c r="AI1635">
        <f>IF(OR(AG1635="",AH1635=""),"",IF((AG1635+AH1635)=0,0,100*ABS(AG1635-AH1635)/(AG1635+AH1635)))</f>
        <v>0</v>
      </c>
      <c r="AJ1635">
        <f>IF(COUNT($AI$1622:$AI$1635)&lt;14,"",AVERAGE($AI$1622:$AI$1635))</f>
        <v>0</v>
      </c>
      <c r="AK1635">
        <f>IF(COUNT($E$2:$E1635)&lt;20,"",AVERAGE($E$1616:$E$1635))</f>
        <v>0</v>
      </c>
      <c r="AL1635">
        <f>IF(COUNT($E$2:$E1635)&lt;20,"",STDEVP($E$1616:$E$1635))</f>
        <v>0</v>
      </c>
      <c r="AM1635">
        <f>IF(AK1635="","",AK1635+2*AL1635)</f>
        <v>0</v>
      </c>
      <c r="AN1635">
        <f>IF(AK1635="","",AK1635-2*AL1635)</f>
        <v>0</v>
      </c>
      <c r="AO1635">
        <f>IF(OR(AM1635="",AN1635="",AM1635=AN1635),"",($E1635-AN1635)/(AM1635-AN1635))</f>
        <v>0</v>
      </c>
      <c r="AP1635">
        <f>IF(OR(AM1635="",AK1635="",AK1635=0),"",(AM1635-AN1635)/AK1635)</f>
        <v>0</v>
      </c>
      <c r="AQ1635">
        <f>IF(COUNT($E$2:$E1635)&lt;20,"",MAX($C$1616:$C$1635))</f>
        <v>0</v>
      </c>
      <c r="AR1635">
        <f>IF(COUNT($E$2:$E1635)&lt;20,"",MIN($D$1616:$D$1635))</f>
        <v>0</v>
      </c>
      <c r="AS1635">
        <f>IF(OR(AQ1635="",AR1635=""),"",(AQ1635+AR1635)/2)</f>
        <v>0</v>
      </c>
      <c r="AT1635">
        <f>IF(COUNT($G$1616:$G$1635)&lt;20,"",STDEV($G$1616:$G$1635)*SQRT(252))</f>
        <v>0</v>
      </c>
      <c r="AU1635">
        <f>IF(COUNT($E$2:$E1635)&lt;9,"",(MAX($C$1627:$C$1635)+MIN($D$1627:$D$1635))/2)</f>
        <v>0</v>
      </c>
      <c r="AV1635">
        <f>IF(COUNT($E$2:$E1635)&lt;26,"",(MAX($C$1610:$C$1635)+MIN($D$1610:$D$1635))/2)</f>
        <v>0</v>
      </c>
      <c r="AW1635">
        <f>IF(OR(AU1635="",AV1635=""),"",(AU1635+AV1635)/2)</f>
        <v>0</v>
      </c>
      <c r="AX1635">
        <f>IF(COUNT($E$2:$E1635)&lt;52,"",(MAX($C$1584:$C$1635)+MIN($D$1584:$D$1635))/2)</f>
        <v>0</v>
      </c>
      <c r="AY1635">
        <f>IF(COUNT($E$2:$E1635)&lt;20,"",MAX($C$1536:$C$1635))</f>
        <v>0</v>
      </c>
      <c r="AZ1635">
        <f>IF(COUNT($E$2:$E1635)&lt;20,"",MIN($D$1536:$D$1635))</f>
        <v>0</v>
      </c>
      <c r="BA1635">
        <f>IF(COUNT($E$2:$E1635)&lt;20,"",SLOPE($E$1536:$E$1635,$F$1536:$F$1635))</f>
        <v>0</v>
      </c>
      <c r="BB1635">
        <f>IF(COUNT($E$2:$E1635)&lt;20,"",INTERCEPT($E$1536:$E$1635,$F$1536:$F$1635))</f>
        <v>0</v>
      </c>
      <c r="BC1635">
        <f>IF(OR(BA1635="",BB1635=""),"",BB1635+BA1635*F1635)</f>
        <v>0</v>
      </c>
      <c r="BD1635">
        <f>IF(COUNT($E$2:$E1635)&lt;20,"",STEYX($E$1536:$E$1635,$F$1536:$F$1635))</f>
        <v>0</v>
      </c>
      <c r="BE1635">
        <f>IF($E1635="","",IF(AND(COUNT($E$1636:$E$1639)&gt;=4,$C1635=MAX($C$1631:$C$1639)),$C1635,""))</f>
        <v>0</v>
      </c>
      <c r="BF1635">
        <f>IF($E1635="","",IF(AND(COUNT($E$1636:$E$1639)&gt;=4,$D1635=MIN($D$1631:$D$1639)),$D1635,""))</f>
        <v>0</v>
      </c>
      <c r="BG1635">
        <f>IF($A1635="","",$A1635-WEEKDAY($A1635,2)+1)</f>
        <v>0</v>
      </c>
      <c r="BH1635">
        <f>IF($A1635="","",IF($A1634="",1,IF(BG1635&lt;&gt;BG1634,1,0)))</f>
        <v>0</v>
      </c>
      <c r="BI1635">
        <f>IF($A1635="","",IF($A1636="",1,IF(BG1636&lt;&gt;BG1635,1,0)))</f>
        <v>0</v>
      </c>
      <c r="BJ1635">
        <f>IF($A1635="","",IF(BH1635=1,$B1635,BJ1634))</f>
        <v>0</v>
      </c>
      <c r="BK1635">
        <f>IF($A1635="","",IF(BH1635=1,$C1635,MAX($C1635,BK1634)))</f>
        <v>0</v>
      </c>
      <c r="BL1635">
        <f>IF($A1635="","",IF(BH1635=1,$D1635,MIN($D1635,BL1634)))</f>
        <v>0</v>
      </c>
      <c r="BM1635">
        <f>IF($A1635="","",IF(BI1635=1,F1635,""))</f>
        <v>0</v>
      </c>
      <c r="BN1635">
        <f>IF($A1635="","",DATE(YEAR($A1635),MONTH($A1635),1))</f>
        <v>0</v>
      </c>
      <c r="BO1635">
        <f>IF($A1635="","",IF($A1634="",1,IF(BN1635&lt;&gt;BN1634,1,0)))</f>
        <v>0</v>
      </c>
      <c r="BP1635">
        <f>IF($A1635="","",IF($A1636="",1,IF(BN1636&lt;&gt;BN1635,1,0)))</f>
        <v>0</v>
      </c>
      <c r="BQ1635">
        <f>IF($A1635="","",IF(BO1635=1,$B1635,BQ1634))</f>
        <v>0</v>
      </c>
      <c r="BR1635">
        <f>IF($A1635="","",IF(BO1635=1,$C1635,MAX($C1635,BR1634)))</f>
        <v>0</v>
      </c>
      <c r="BS1635">
        <f>IF($A1635="","",IF(BO1635=1,$D1635,MIN($D1635,BS1634)))</f>
        <v>0</v>
      </c>
      <c r="BT1635">
        <f>IF($A1635="","",IF(BP1635=1,F1635,""))</f>
        <v>0</v>
      </c>
    </row>
    <row r="1636" spans="1:72">
      <c r="A1636" s="27">
        <f>IF(Data!$A1636="","",Data!$A1636)</f>
        <v>0</v>
      </c>
      <c r="B1636">
        <f>IF(Data!$B1636="","",Data!$B1636)</f>
        <v>0</v>
      </c>
      <c r="C1636">
        <f>IF(Data!$C1636="","",Data!$C1636)</f>
        <v>0</v>
      </c>
      <c r="D1636">
        <f>IF(Data!$D1636="","",Data!$D1636)</f>
        <v>0</v>
      </c>
      <c r="E1636">
        <f>IF(Data!$E1636="","",Data!$E1636)</f>
        <v>0</v>
      </c>
      <c r="F1636">
        <f>IF($E1636="","",N(F1635)+1)</f>
        <v>0</v>
      </c>
      <c r="G1636">
        <f>IF(OR($E1636="",$E1635=""),"",LN($E1636/$E1635))</f>
        <v>0</v>
      </c>
      <c r="H1636">
        <f>IF($E1636="","",IF($E1635="",$E1636,$E1636*0.0952380952+H1635*0.9047619048))</f>
        <v>0</v>
      </c>
      <c r="I1636">
        <f>IF($E1636="","",IF($E1635="",$E1636,$E1636*0.0392156863+I1635*0.9607843137))</f>
        <v>0</v>
      </c>
      <c r="J1636">
        <f>IF($E1636="","",IF($E1635="",$E1636,$E1636*0.0198019802+J1635*0.9801980198))</f>
        <v>0</v>
      </c>
      <c r="K1636">
        <f>IF($E1636="","",IF($E1635="",$E1636,$E1636*0.0099502488+K1635*0.9900497512))</f>
        <v>0</v>
      </c>
      <c r="L1636">
        <f>IF(OR($E1636="",$E1635=""),"",MAX($E1636-$E1635,0))</f>
        <v>0</v>
      </c>
      <c r="M1636">
        <f>IF(OR($E1636="",$E1635=""),"",MAX($E1635-$E1636,0))</f>
        <v>0</v>
      </c>
      <c r="N1636">
        <f>IF(COUNT($E$2:$E1636)&lt;15,"",IF(AVERAGE($M$1623:$M$1636)=0,100,100-100/(1+AVERAGE($L$1623:$L$1636)/AVERAGE($M$1623:$M$1636))))</f>
        <v>0</v>
      </c>
      <c r="O1636">
        <f>IF($E1636="","",IF($E1635="",$E1636,$E1636*0.1538461538+O1635*0.8461538462))</f>
        <v>0</v>
      </c>
      <c r="P1636">
        <f>IF($E1636="","",IF($E1635="",$E1636,$E1636*0.0740740741+P1635*0.9259259259))</f>
        <v>0</v>
      </c>
      <c r="Q1636">
        <f>IF(OR(O1636="",P1636=""),"",O1636-P1636)</f>
        <v>0</v>
      </c>
      <c r="R1636">
        <f>IF(Q1636="","",IF(R1635="",Q1636,Q1636*0.2000000000+R1635*0.8000000000))</f>
        <v>0</v>
      </c>
      <c r="S1636">
        <f>IF(OR(Q1636="",R1636=""),"",Q1636-R1636)</f>
        <v>0</v>
      </c>
      <c r="T1636">
        <f>IF(COUNT($E$2:$E1636)&lt;14,"",MAX($C$1623:$C$1636))</f>
        <v>0</v>
      </c>
      <c r="U1636">
        <f>IF(COUNT($E$2:$E1636)&lt;14,"",MIN($D$1623:$D$1636))</f>
        <v>0</v>
      </c>
      <c r="V1636">
        <f>IF(OR(T1636="",U1636="",T1636=U1636),"",100*($E1636-U1636)/(T1636-U1636))</f>
        <v>0</v>
      </c>
      <c r="W1636">
        <f>IF(COUNT($V$1634:$V$1636)&lt;3,"",AVERAGE($V$1634:$V$1636))</f>
        <v>0</v>
      </c>
      <c r="X1636">
        <f>IF(COUNT($N$1623:$N$1636)&lt;14,"",MIN($N$1623:$N$1636))</f>
        <v>0</v>
      </c>
      <c r="Y1636">
        <f>IF(COUNT($N$1623:$N$1636)&lt;14,"",MAX($N$1623:$N$1636))</f>
        <v>0</v>
      </c>
      <c r="Z1636">
        <f>IF(OR(N1636="",X1636="",Y1636="",Y1636=X1636),"",100*(N1636-X1636)/(Y1636-X1636))</f>
        <v>0</v>
      </c>
      <c r="AA1636">
        <f>IF(COUNT($Z$1634:$Z$1636)&lt;3,"",AVERAGE($Z$1634:$Z$1636))</f>
        <v>0</v>
      </c>
      <c r="AB1636">
        <f>IF(COUNT($AA$1634:$AA$1636)&lt;3,"",AVERAGE($AA$1634:$AA$1636))</f>
        <v>0</v>
      </c>
      <c r="AC1636">
        <f>IF($E1636="","",MAX($C1636-$D1636,ABS($C1636-$E1635),ABS($D1636-$E1635)))</f>
        <v>0</v>
      </c>
      <c r="AD1636">
        <f>IF(COUNT($E$2:$E1636)&lt;15,"",AVERAGE($AC$1623:$AC$1636))</f>
        <v>0</v>
      </c>
      <c r="AE1636">
        <f>IF(OR($E1636="",$E1635=""),"",IF(AND(($C1636-$C1635)&gt;($D1635-$D1636),($C1636-$C1635)&gt;0),$C1636-$C1635,0))</f>
        <v>0</v>
      </c>
      <c r="AF1636">
        <f>IF(OR($E1636="",$E1635=""),"",IF(AND(($D1635-$D1636)&gt;($C1636-$C1635),($D1635-$D1636)&gt;0),$D1635-$D1636,0))</f>
        <v>0</v>
      </c>
      <c r="AG1636">
        <f>IF(COUNT($E$2:$E1636)&lt;15,"",IF(SUM($AC$1623:$AC$1636)=0,0,100*SUM($AE$1623:$AE$1636)/SUM($AC$1623:$AC$1636)))</f>
        <v>0</v>
      </c>
      <c r="AH1636">
        <f>IF(COUNT($E$2:$E1636)&lt;15,"",IF(SUM($AC$1623:$AC$1636)=0,0,100*SUM($AF$1623:$AF$1636)/SUM($AC$1623:$AC$1636)))</f>
        <v>0</v>
      </c>
      <c r="AI1636">
        <f>IF(OR(AG1636="",AH1636=""),"",IF((AG1636+AH1636)=0,0,100*ABS(AG1636-AH1636)/(AG1636+AH1636)))</f>
        <v>0</v>
      </c>
      <c r="AJ1636">
        <f>IF(COUNT($AI$1623:$AI$1636)&lt;14,"",AVERAGE($AI$1623:$AI$1636))</f>
        <v>0</v>
      </c>
      <c r="AK1636">
        <f>IF(COUNT($E$2:$E1636)&lt;20,"",AVERAGE($E$1617:$E$1636))</f>
        <v>0</v>
      </c>
      <c r="AL1636">
        <f>IF(COUNT($E$2:$E1636)&lt;20,"",STDEVP($E$1617:$E$1636))</f>
        <v>0</v>
      </c>
      <c r="AM1636">
        <f>IF(AK1636="","",AK1636+2*AL1636)</f>
        <v>0</v>
      </c>
      <c r="AN1636">
        <f>IF(AK1636="","",AK1636-2*AL1636)</f>
        <v>0</v>
      </c>
      <c r="AO1636">
        <f>IF(OR(AM1636="",AN1636="",AM1636=AN1636),"",($E1636-AN1636)/(AM1636-AN1636))</f>
        <v>0</v>
      </c>
      <c r="AP1636">
        <f>IF(OR(AM1636="",AK1636="",AK1636=0),"",(AM1636-AN1636)/AK1636)</f>
        <v>0</v>
      </c>
      <c r="AQ1636">
        <f>IF(COUNT($E$2:$E1636)&lt;20,"",MAX($C$1617:$C$1636))</f>
        <v>0</v>
      </c>
      <c r="AR1636">
        <f>IF(COUNT($E$2:$E1636)&lt;20,"",MIN($D$1617:$D$1636))</f>
        <v>0</v>
      </c>
      <c r="AS1636">
        <f>IF(OR(AQ1636="",AR1636=""),"",(AQ1636+AR1636)/2)</f>
        <v>0</v>
      </c>
      <c r="AT1636">
        <f>IF(COUNT($G$1617:$G$1636)&lt;20,"",STDEV($G$1617:$G$1636)*SQRT(252))</f>
        <v>0</v>
      </c>
      <c r="AU1636">
        <f>IF(COUNT($E$2:$E1636)&lt;9,"",(MAX($C$1628:$C$1636)+MIN($D$1628:$D$1636))/2)</f>
        <v>0</v>
      </c>
      <c r="AV1636">
        <f>IF(COUNT($E$2:$E1636)&lt;26,"",(MAX($C$1611:$C$1636)+MIN($D$1611:$D$1636))/2)</f>
        <v>0</v>
      </c>
      <c r="AW1636">
        <f>IF(OR(AU1636="",AV1636=""),"",(AU1636+AV1636)/2)</f>
        <v>0</v>
      </c>
      <c r="AX1636">
        <f>IF(COUNT($E$2:$E1636)&lt;52,"",(MAX($C$1585:$C$1636)+MIN($D$1585:$D$1636))/2)</f>
        <v>0</v>
      </c>
      <c r="AY1636">
        <f>IF(COUNT($E$2:$E1636)&lt;20,"",MAX($C$1537:$C$1636))</f>
        <v>0</v>
      </c>
      <c r="AZ1636">
        <f>IF(COUNT($E$2:$E1636)&lt;20,"",MIN($D$1537:$D$1636))</f>
        <v>0</v>
      </c>
      <c r="BA1636">
        <f>IF(COUNT($E$2:$E1636)&lt;20,"",SLOPE($E$1537:$E$1636,$F$1537:$F$1636))</f>
        <v>0</v>
      </c>
      <c r="BB1636">
        <f>IF(COUNT($E$2:$E1636)&lt;20,"",INTERCEPT($E$1537:$E$1636,$F$1537:$F$1636))</f>
        <v>0</v>
      </c>
      <c r="BC1636">
        <f>IF(OR(BA1636="",BB1636=""),"",BB1636+BA1636*F1636)</f>
        <v>0</v>
      </c>
      <c r="BD1636">
        <f>IF(COUNT($E$2:$E1636)&lt;20,"",STEYX($E$1537:$E$1636,$F$1537:$F$1636))</f>
        <v>0</v>
      </c>
      <c r="BE1636">
        <f>IF($E1636="","",IF(AND(COUNT($E$1637:$E$1640)&gt;=4,$C1636=MAX($C$1632:$C$1640)),$C1636,""))</f>
        <v>0</v>
      </c>
      <c r="BF1636">
        <f>IF($E1636="","",IF(AND(COUNT($E$1637:$E$1640)&gt;=4,$D1636=MIN($D$1632:$D$1640)),$D1636,""))</f>
        <v>0</v>
      </c>
      <c r="BG1636">
        <f>IF($A1636="","",$A1636-WEEKDAY($A1636,2)+1)</f>
        <v>0</v>
      </c>
      <c r="BH1636">
        <f>IF($A1636="","",IF($A1635="",1,IF(BG1636&lt;&gt;BG1635,1,0)))</f>
        <v>0</v>
      </c>
      <c r="BI1636">
        <f>IF($A1636="","",IF($A1637="",1,IF(BG1637&lt;&gt;BG1636,1,0)))</f>
        <v>0</v>
      </c>
      <c r="BJ1636">
        <f>IF($A1636="","",IF(BH1636=1,$B1636,BJ1635))</f>
        <v>0</v>
      </c>
      <c r="BK1636">
        <f>IF($A1636="","",IF(BH1636=1,$C1636,MAX($C1636,BK1635)))</f>
        <v>0</v>
      </c>
      <c r="BL1636">
        <f>IF($A1636="","",IF(BH1636=1,$D1636,MIN($D1636,BL1635)))</f>
        <v>0</v>
      </c>
      <c r="BM1636">
        <f>IF($A1636="","",IF(BI1636=1,F1636,""))</f>
        <v>0</v>
      </c>
      <c r="BN1636">
        <f>IF($A1636="","",DATE(YEAR($A1636),MONTH($A1636),1))</f>
        <v>0</v>
      </c>
      <c r="BO1636">
        <f>IF($A1636="","",IF($A1635="",1,IF(BN1636&lt;&gt;BN1635,1,0)))</f>
        <v>0</v>
      </c>
      <c r="BP1636">
        <f>IF($A1636="","",IF($A1637="",1,IF(BN1637&lt;&gt;BN1636,1,0)))</f>
        <v>0</v>
      </c>
      <c r="BQ1636">
        <f>IF($A1636="","",IF(BO1636=1,$B1636,BQ1635))</f>
        <v>0</v>
      </c>
      <c r="BR1636">
        <f>IF($A1636="","",IF(BO1636=1,$C1636,MAX($C1636,BR1635)))</f>
        <v>0</v>
      </c>
      <c r="BS1636">
        <f>IF($A1636="","",IF(BO1636=1,$D1636,MIN($D1636,BS1635)))</f>
        <v>0</v>
      </c>
      <c r="BT1636">
        <f>IF($A1636="","",IF(BP1636=1,F1636,""))</f>
        <v>0</v>
      </c>
    </row>
    <row r="1637" spans="1:72">
      <c r="A1637" s="27">
        <f>IF(Data!$A1637="","",Data!$A1637)</f>
        <v>0</v>
      </c>
      <c r="B1637">
        <f>IF(Data!$B1637="","",Data!$B1637)</f>
        <v>0</v>
      </c>
      <c r="C1637">
        <f>IF(Data!$C1637="","",Data!$C1637)</f>
        <v>0</v>
      </c>
      <c r="D1637">
        <f>IF(Data!$D1637="","",Data!$D1637)</f>
        <v>0</v>
      </c>
      <c r="E1637">
        <f>IF(Data!$E1637="","",Data!$E1637)</f>
        <v>0</v>
      </c>
      <c r="F1637">
        <f>IF($E1637="","",N(F1636)+1)</f>
        <v>0</v>
      </c>
      <c r="G1637">
        <f>IF(OR($E1637="",$E1636=""),"",LN($E1637/$E1636))</f>
        <v>0</v>
      </c>
      <c r="H1637">
        <f>IF($E1637="","",IF($E1636="",$E1637,$E1637*0.0952380952+H1636*0.9047619048))</f>
        <v>0</v>
      </c>
      <c r="I1637">
        <f>IF($E1637="","",IF($E1636="",$E1637,$E1637*0.0392156863+I1636*0.9607843137))</f>
        <v>0</v>
      </c>
      <c r="J1637">
        <f>IF($E1637="","",IF($E1636="",$E1637,$E1637*0.0198019802+J1636*0.9801980198))</f>
        <v>0</v>
      </c>
      <c r="K1637">
        <f>IF($E1637="","",IF($E1636="",$E1637,$E1637*0.0099502488+K1636*0.9900497512))</f>
        <v>0</v>
      </c>
      <c r="L1637">
        <f>IF(OR($E1637="",$E1636=""),"",MAX($E1637-$E1636,0))</f>
        <v>0</v>
      </c>
      <c r="M1637">
        <f>IF(OR($E1637="",$E1636=""),"",MAX($E1636-$E1637,0))</f>
        <v>0</v>
      </c>
      <c r="N1637">
        <f>IF(COUNT($E$2:$E1637)&lt;15,"",IF(AVERAGE($M$1624:$M$1637)=0,100,100-100/(1+AVERAGE($L$1624:$L$1637)/AVERAGE($M$1624:$M$1637))))</f>
        <v>0</v>
      </c>
      <c r="O1637">
        <f>IF($E1637="","",IF($E1636="",$E1637,$E1637*0.1538461538+O1636*0.8461538462))</f>
        <v>0</v>
      </c>
      <c r="P1637">
        <f>IF($E1637="","",IF($E1636="",$E1637,$E1637*0.0740740741+P1636*0.9259259259))</f>
        <v>0</v>
      </c>
      <c r="Q1637">
        <f>IF(OR(O1637="",P1637=""),"",O1637-P1637)</f>
        <v>0</v>
      </c>
      <c r="R1637">
        <f>IF(Q1637="","",IF(R1636="",Q1637,Q1637*0.2000000000+R1636*0.8000000000))</f>
        <v>0</v>
      </c>
      <c r="S1637">
        <f>IF(OR(Q1637="",R1637=""),"",Q1637-R1637)</f>
        <v>0</v>
      </c>
      <c r="T1637">
        <f>IF(COUNT($E$2:$E1637)&lt;14,"",MAX($C$1624:$C$1637))</f>
        <v>0</v>
      </c>
      <c r="U1637">
        <f>IF(COUNT($E$2:$E1637)&lt;14,"",MIN($D$1624:$D$1637))</f>
        <v>0</v>
      </c>
      <c r="V1637">
        <f>IF(OR(T1637="",U1637="",T1637=U1637),"",100*($E1637-U1637)/(T1637-U1637))</f>
        <v>0</v>
      </c>
      <c r="W1637">
        <f>IF(COUNT($V$1635:$V$1637)&lt;3,"",AVERAGE($V$1635:$V$1637))</f>
        <v>0</v>
      </c>
      <c r="X1637">
        <f>IF(COUNT($N$1624:$N$1637)&lt;14,"",MIN($N$1624:$N$1637))</f>
        <v>0</v>
      </c>
      <c r="Y1637">
        <f>IF(COUNT($N$1624:$N$1637)&lt;14,"",MAX($N$1624:$N$1637))</f>
        <v>0</v>
      </c>
      <c r="Z1637">
        <f>IF(OR(N1637="",X1637="",Y1637="",Y1637=X1637),"",100*(N1637-X1637)/(Y1637-X1637))</f>
        <v>0</v>
      </c>
      <c r="AA1637">
        <f>IF(COUNT($Z$1635:$Z$1637)&lt;3,"",AVERAGE($Z$1635:$Z$1637))</f>
        <v>0</v>
      </c>
      <c r="AB1637">
        <f>IF(COUNT($AA$1635:$AA$1637)&lt;3,"",AVERAGE($AA$1635:$AA$1637))</f>
        <v>0</v>
      </c>
      <c r="AC1637">
        <f>IF($E1637="","",MAX($C1637-$D1637,ABS($C1637-$E1636),ABS($D1637-$E1636)))</f>
        <v>0</v>
      </c>
      <c r="AD1637">
        <f>IF(COUNT($E$2:$E1637)&lt;15,"",AVERAGE($AC$1624:$AC$1637))</f>
        <v>0</v>
      </c>
      <c r="AE1637">
        <f>IF(OR($E1637="",$E1636=""),"",IF(AND(($C1637-$C1636)&gt;($D1636-$D1637),($C1637-$C1636)&gt;0),$C1637-$C1636,0))</f>
        <v>0</v>
      </c>
      <c r="AF1637">
        <f>IF(OR($E1637="",$E1636=""),"",IF(AND(($D1636-$D1637)&gt;($C1637-$C1636),($D1636-$D1637)&gt;0),$D1636-$D1637,0))</f>
        <v>0</v>
      </c>
      <c r="AG1637">
        <f>IF(COUNT($E$2:$E1637)&lt;15,"",IF(SUM($AC$1624:$AC$1637)=0,0,100*SUM($AE$1624:$AE$1637)/SUM($AC$1624:$AC$1637)))</f>
        <v>0</v>
      </c>
      <c r="AH1637">
        <f>IF(COUNT($E$2:$E1637)&lt;15,"",IF(SUM($AC$1624:$AC$1637)=0,0,100*SUM($AF$1624:$AF$1637)/SUM($AC$1624:$AC$1637)))</f>
        <v>0</v>
      </c>
      <c r="AI1637">
        <f>IF(OR(AG1637="",AH1637=""),"",IF((AG1637+AH1637)=0,0,100*ABS(AG1637-AH1637)/(AG1637+AH1637)))</f>
        <v>0</v>
      </c>
      <c r="AJ1637">
        <f>IF(COUNT($AI$1624:$AI$1637)&lt;14,"",AVERAGE($AI$1624:$AI$1637))</f>
        <v>0</v>
      </c>
      <c r="AK1637">
        <f>IF(COUNT($E$2:$E1637)&lt;20,"",AVERAGE($E$1618:$E$1637))</f>
        <v>0</v>
      </c>
      <c r="AL1637">
        <f>IF(COUNT($E$2:$E1637)&lt;20,"",STDEVP($E$1618:$E$1637))</f>
        <v>0</v>
      </c>
      <c r="AM1637">
        <f>IF(AK1637="","",AK1637+2*AL1637)</f>
        <v>0</v>
      </c>
      <c r="AN1637">
        <f>IF(AK1637="","",AK1637-2*AL1637)</f>
        <v>0</v>
      </c>
      <c r="AO1637">
        <f>IF(OR(AM1637="",AN1637="",AM1637=AN1637),"",($E1637-AN1637)/(AM1637-AN1637))</f>
        <v>0</v>
      </c>
      <c r="AP1637">
        <f>IF(OR(AM1637="",AK1637="",AK1637=0),"",(AM1637-AN1637)/AK1637)</f>
        <v>0</v>
      </c>
      <c r="AQ1637">
        <f>IF(COUNT($E$2:$E1637)&lt;20,"",MAX($C$1618:$C$1637))</f>
        <v>0</v>
      </c>
      <c r="AR1637">
        <f>IF(COUNT($E$2:$E1637)&lt;20,"",MIN($D$1618:$D$1637))</f>
        <v>0</v>
      </c>
      <c r="AS1637">
        <f>IF(OR(AQ1637="",AR1637=""),"",(AQ1637+AR1637)/2)</f>
        <v>0</v>
      </c>
      <c r="AT1637">
        <f>IF(COUNT($G$1618:$G$1637)&lt;20,"",STDEV($G$1618:$G$1637)*SQRT(252))</f>
        <v>0</v>
      </c>
      <c r="AU1637">
        <f>IF(COUNT($E$2:$E1637)&lt;9,"",(MAX($C$1629:$C$1637)+MIN($D$1629:$D$1637))/2)</f>
        <v>0</v>
      </c>
      <c r="AV1637">
        <f>IF(COUNT($E$2:$E1637)&lt;26,"",(MAX($C$1612:$C$1637)+MIN($D$1612:$D$1637))/2)</f>
        <v>0</v>
      </c>
      <c r="AW1637">
        <f>IF(OR(AU1637="",AV1637=""),"",(AU1637+AV1637)/2)</f>
        <v>0</v>
      </c>
      <c r="AX1637">
        <f>IF(COUNT($E$2:$E1637)&lt;52,"",(MAX($C$1586:$C$1637)+MIN($D$1586:$D$1637))/2)</f>
        <v>0</v>
      </c>
      <c r="AY1637">
        <f>IF(COUNT($E$2:$E1637)&lt;20,"",MAX($C$1538:$C$1637))</f>
        <v>0</v>
      </c>
      <c r="AZ1637">
        <f>IF(COUNT($E$2:$E1637)&lt;20,"",MIN($D$1538:$D$1637))</f>
        <v>0</v>
      </c>
      <c r="BA1637">
        <f>IF(COUNT($E$2:$E1637)&lt;20,"",SLOPE($E$1538:$E$1637,$F$1538:$F$1637))</f>
        <v>0</v>
      </c>
      <c r="BB1637">
        <f>IF(COUNT($E$2:$E1637)&lt;20,"",INTERCEPT($E$1538:$E$1637,$F$1538:$F$1637))</f>
        <v>0</v>
      </c>
      <c r="BC1637">
        <f>IF(OR(BA1637="",BB1637=""),"",BB1637+BA1637*F1637)</f>
        <v>0</v>
      </c>
      <c r="BD1637">
        <f>IF(COUNT($E$2:$E1637)&lt;20,"",STEYX($E$1538:$E$1637,$F$1538:$F$1637))</f>
        <v>0</v>
      </c>
      <c r="BE1637">
        <f>IF($E1637="","",IF(AND(COUNT($E$1638:$E$1641)&gt;=4,$C1637=MAX($C$1633:$C$1641)),$C1637,""))</f>
        <v>0</v>
      </c>
      <c r="BF1637">
        <f>IF($E1637="","",IF(AND(COUNT($E$1638:$E$1641)&gt;=4,$D1637=MIN($D$1633:$D$1641)),$D1637,""))</f>
        <v>0</v>
      </c>
      <c r="BG1637">
        <f>IF($A1637="","",$A1637-WEEKDAY($A1637,2)+1)</f>
        <v>0</v>
      </c>
      <c r="BH1637">
        <f>IF($A1637="","",IF($A1636="",1,IF(BG1637&lt;&gt;BG1636,1,0)))</f>
        <v>0</v>
      </c>
      <c r="BI1637">
        <f>IF($A1637="","",IF($A1638="",1,IF(BG1638&lt;&gt;BG1637,1,0)))</f>
        <v>0</v>
      </c>
      <c r="BJ1637">
        <f>IF($A1637="","",IF(BH1637=1,$B1637,BJ1636))</f>
        <v>0</v>
      </c>
      <c r="BK1637">
        <f>IF($A1637="","",IF(BH1637=1,$C1637,MAX($C1637,BK1636)))</f>
        <v>0</v>
      </c>
      <c r="BL1637">
        <f>IF($A1637="","",IF(BH1637=1,$D1637,MIN($D1637,BL1636)))</f>
        <v>0</v>
      </c>
      <c r="BM1637">
        <f>IF($A1637="","",IF(BI1637=1,F1637,""))</f>
        <v>0</v>
      </c>
      <c r="BN1637">
        <f>IF($A1637="","",DATE(YEAR($A1637),MONTH($A1637),1))</f>
        <v>0</v>
      </c>
      <c r="BO1637">
        <f>IF($A1637="","",IF($A1636="",1,IF(BN1637&lt;&gt;BN1636,1,0)))</f>
        <v>0</v>
      </c>
      <c r="BP1637">
        <f>IF($A1637="","",IF($A1638="",1,IF(BN1638&lt;&gt;BN1637,1,0)))</f>
        <v>0</v>
      </c>
      <c r="BQ1637">
        <f>IF($A1637="","",IF(BO1637=1,$B1637,BQ1636))</f>
        <v>0</v>
      </c>
      <c r="BR1637">
        <f>IF($A1637="","",IF(BO1637=1,$C1637,MAX($C1637,BR1636)))</f>
        <v>0</v>
      </c>
      <c r="BS1637">
        <f>IF($A1637="","",IF(BO1637=1,$D1637,MIN($D1637,BS1636)))</f>
        <v>0</v>
      </c>
      <c r="BT1637">
        <f>IF($A1637="","",IF(BP1637=1,F1637,""))</f>
        <v>0</v>
      </c>
    </row>
    <row r="1638" spans="1:72">
      <c r="A1638" s="27">
        <f>IF(Data!$A1638="","",Data!$A1638)</f>
        <v>0</v>
      </c>
      <c r="B1638">
        <f>IF(Data!$B1638="","",Data!$B1638)</f>
        <v>0</v>
      </c>
      <c r="C1638">
        <f>IF(Data!$C1638="","",Data!$C1638)</f>
        <v>0</v>
      </c>
      <c r="D1638">
        <f>IF(Data!$D1638="","",Data!$D1638)</f>
        <v>0</v>
      </c>
      <c r="E1638">
        <f>IF(Data!$E1638="","",Data!$E1638)</f>
        <v>0</v>
      </c>
      <c r="F1638">
        <f>IF($E1638="","",N(F1637)+1)</f>
        <v>0</v>
      </c>
      <c r="G1638">
        <f>IF(OR($E1638="",$E1637=""),"",LN($E1638/$E1637))</f>
        <v>0</v>
      </c>
      <c r="H1638">
        <f>IF($E1638="","",IF($E1637="",$E1638,$E1638*0.0952380952+H1637*0.9047619048))</f>
        <v>0</v>
      </c>
      <c r="I1638">
        <f>IF($E1638="","",IF($E1637="",$E1638,$E1638*0.0392156863+I1637*0.9607843137))</f>
        <v>0</v>
      </c>
      <c r="J1638">
        <f>IF($E1638="","",IF($E1637="",$E1638,$E1638*0.0198019802+J1637*0.9801980198))</f>
        <v>0</v>
      </c>
      <c r="K1638">
        <f>IF($E1638="","",IF($E1637="",$E1638,$E1638*0.0099502488+K1637*0.9900497512))</f>
        <v>0</v>
      </c>
      <c r="L1638">
        <f>IF(OR($E1638="",$E1637=""),"",MAX($E1638-$E1637,0))</f>
        <v>0</v>
      </c>
      <c r="M1638">
        <f>IF(OR($E1638="",$E1637=""),"",MAX($E1637-$E1638,0))</f>
        <v>0</v>
      </c>
      <c r="N1638">
        <f>IF(COUNT($E$2:$E1638)&lt;15,"",IF(AVERAGE($M$1625:$M$1638)=0,100,100-100/(1+AVERAGE($L$1625:$L$1638)/AVERAGE($M$1625:$M$1638))))</f>
        <v>0</v>
      </c>
      <c r="O1638">
        <f>IF($E1638="","",IF($E1637="",$E1638,$E1638*0.1538461538+O1637*0.8461538462))</f>
        <v>0</v>
      </c>
      <c r="P1638">
        <f>IF($E1638="","",IF($E1637="",$E1638,$E1638*0.0740740741+P1637*0.9259259259))</f>
        <v>0</v>
      </c>
      <c r="Q1638">
        <f>IF(OR(O1638="",P1638=""),"",O1638-P1638)</f>
        <v>0</v>
      </c>
      <c r="R1638">
        <f>IF(Q1638="","",IF(R1637="",Q1638,Q1638*0.2000000000+R1637*0.8000000000))</f>
        <v>0</v>
      </c>
      <c r="S1638">
        <f>IF(OR(Q1638="",R1638=""),"",Q1638-R1638)</f>
        <v>0</v>
      </c>
      <c r="T1638">
        <f>IF(COUNT($E$2:$E1638)&lt;14,"",MAX($C$1625:$C$1638))</f>
        <v>0</v>
      </c>
      <c r="U1638">
        <f>IF(COUNT($E$2:$E1638)&lt;14,"",MIN($D$1625:$D$1638))</f>
        <v>0</v>
      </c>
      <c r="V1638">
        <f>IF(OR(T1638="",U1638="",T1638=U1638),"",100*($E1638-U1638)/(T1638-U1638))</f>
        <v>0</v>
      </c>
      <c r="W1638">
        <f>IF(COUNT($V$1636:$V$1638)&lt;3,"",AVERAGE($V$1636:$V$1638))</f>
        <v>0</v>
      </c>
      <c r="X1638">
        <f>IF(COUNT($N$1625:$N$1638)&lt;14,"",MIN($N$1625:$N$1638))</f>
        <v>0</v>
      </c>
      <c r="Y1638">
        <f>IF(COUNT($N$1625:$N$1638)&lt;14,"",MAX($N$1625:$N$1638))</f>
        <v>0</v>
      </c>
      <c r="Z1638">
        <f>IF(OR(N1638="",X1638="",Y1638="",Y1638=X1638),"",100*(N1638-X1638)/(Y1638-X1638))</f>
        <v>0</v>
      </c>
      <c r="AA1638">
        <f>IF(COUNT($Z$1636:$Z$1638)&lt;3,"",AVERAGE($Z$1636:$Z$1638))</f>
        <v>0</v>
      </c>
      <c r="AB1638">
        <f>IF(COUNT($AA$1636:$AA$1638)&lt;3,"",AVERAGE($AA$1636:$AA$1638))</f>
        <v>0</v>
      </c>
      <c r="AC1638">
        <f>IF($E1638="","",MAX($C1638-$D1638,ABS($C1638-$E1637),ABS($D1638-$E1637)))</f>
        <v>0</v>
      </c>
      <c r="AD1638">
        <f>IF(COUNT($E$2:$E1638)&lt;15,"",AVERAGE($AC$1625:$AC$1638))</f>
        <v>0</v>
      </c>
      <c r="AE1638">
        <f>IF(OR($E1638="",$E1637=""),"",IF(AND(($C1638-$C1637)&gt;($D1637-$D1638),($C1638-$C1637)&gt;0),$C1638-$C1637,0))</f>
        <v>0</v>
      </c>
      <c r="AF1638">
        <f>IF(OR($E1638="",$E1637=""),"",IF(AND(($D1637-$D1638)&gt;($C1638-$C1637),($D1637-$D1638)&gt;0),$D1637-$D1638,0))</f>
        <v>0</v>
      </c>
      <c r="AG1638">
        <f>IF(COUNT($E$2:$E1638)&lt;15,"",IF(SUM($AC$1625:$AC$1638)=0,0,100*SUM($AE$1625:$AE$1638)/SUM($AC$1625:$AC$1638)))</f>
        <v>0</v>
      </c>
      <c r="AH1638">
        <f>IF(COUNT($E$2:$E1638)&lt;15,"",IF(SUM($AC$1625:$AC$1638)=0,0,100*SUM($AF$1625:$AF$1638)/SUM($AC$1625:$AC$1638)))</f>
        <v>0</v>
      </c>
      <c r="AI1638">
        <f>IF(OR(AG1638="",AH1638=""),"",IF((AG1638+AH1638)=0,0,100*ABS(AG1638-AH1638)/(AG1638+AH1638)))</f>
        <v>0</v>
      </c>
      <c r="AJ1638">
        <f>IF(COUNT($AI$1625:$AI$1638)&lt;14,"",AVERAGE($AI$1625:$AI$1638))</f>
        <v>0</v>
      </c>
      <c r="AK1638">
        <f>IF(COUNT($E$2:$E1638)&lt;20,"",AVERAGE($E$1619:$E$1638))</f>
        <v>0</v>
      </c>
      <c r="AL1638">
        <f>IF(COUNT($E$2:$E1638)&lt;20,"",STDEVP($E$1619:$E$1638))</f>
        <v>0</v>
      </c>
      <c r="AM1638">
        <f>IF(AK1638="","",AK1638+2*AL1638)</f>
        <v>0</v>
      </c>
      <c r="AN1638">
        <f>IF(AK1638="","",AK1638-2*AL1638)</f>
        <v>0</v>
      </c>
      <c r="AO1638">
        <f>IF(OR(AM1638="",AN1638="",AM1638=AN1638),"",($E1638-AN1638)/(AM1638-AN1638))</f>
        <v>0</v>
      </c>
      <c r="AP1638">
        <f>IF(OR(AM1638="",AK1638="",AK1638=0),"",(AM1638-AN1638)/AK1638)</f>
        <v>0</v>
      </c>
      <c r="AQ1638">
        <f>IF(COUNT($E$2:$E1638)&lt;20,"",MAX($C$1619:$C$1638))</f>
        <v>0</v>
      </c>
      <c r="AR1638">
        <f>IF(COUNT($E$2:$E1638)&lt;20,"",MIN($D$1619:$D$1638))</f>
        <v>0</v>
      </c>
      <c r="AS1638">
        <f>IF(OR(AQ1638="",AR1638=""),"",(AQ1638+AR1638)/2)</f>
        <v>0</v>
      </c>
      <c r="AT1638">
        <f>IF(COUNT($G$1619:$G$1638)&lt;20,"",STDEV($G$1619:$G$1638)*SQRT(252))</f>
        <v>0</v>
      </c>
      <c r="AU1638">
        <f>IF(COUNT($E$2:$E1638)&lt;9,"",(MAX($C$1630:$C$1638)+MIN($D$1630:$D$1638))/2)</f>
        <v>0</v>
      </c>
      <c r="AV1638">
        <f>IF(COUNT($E$2:$E1638)&lt;26,"",(MAX($C$1613:$C$1638)+MIN($D$1613:$D$1638))/2)</f>
        <v>0</v>
      </c>
      <c r="AW1638">
        <f>IF(OR(AU1638="",AV1638=""),"",(AU1638+AV1638)/2)</f>
        <v>0</v>
      </c>
      <c r="AX1638">
        <f>IF(COUNT($E$2:$E1638)&lt;52,"",(MAX($C$1587:$C$1638)+MIN($D$1587:$D$1638))/2)</f>
        <v>0</v>
      </c>
      <c r="AY1638">
        <f>IF(COUNT($E$2:$E1638)&lt;20,"",MAX($C$1539:$C$1638))</f>
        <v>0</v>
      </c>
      <c r="AZ1638">
        <f>IF(COUNT($E$2:$E1638)&lt;20,"",MIN($D$1539:$D$1638))</f>
        <v>0</v>
      </c>
      <c r="BA1638">
        <f>IF(COUNT($E$2:$E1638)&lt;20,"",SLOPE($E$1539:$E$1638,$F$1539:$F$1638))</f>
        <v>0</v>
      </c>
      <c r="BB1638">
        <f>IF(COUNT($E$2:$E1638)&lt;20,"",INTERCEPT($E$1539:$E$1638,$F$1539:$F$1638))</f>
        <v>0</v>
      </c>
      <c r="BC1638">
        <f>IF(OR(BA1638="",BB1638=""),"",BB1638+BA1638*F1638)</f>
        <v>0</v>
      </c>
      <c r="BD1638">
        <f>IF(COUNT($E$2:$E1638)&lt;20,"",STEYX($E$1539:$E$1638,$F$1539:$F$1638))</f>
        <v>0</v>
      </c>
      <c r="BE1638">
        <f>IF($E1638="","",IF(AND(COUNT($E$1639:$E$1642)&gt;=4,$C1638=MAX($C$1634:$C$1642)),$C1638,""))</f>
        <v>0</v>
      </c>
      <c r="BF1638">
        <f>IF($E1638="","",IF(AND(COUNT($E$1639:$E$1642)&gt;=4,$D1638=MIN($D$1634:$D$1642)),$D1638,""))</f>
        <v>0</v>
      </c>
      <c r="BG1638">
        <f>IF($A1638="","",$A1638-WEEKDAY($A1638,2)+1)</f>
        <v>0</v>
      </c>
      <c r="BH1638">
        <f>IF($A1638="","",IF($A1637="",1,IF(BG1638&lt;&gt;BG1637,1,0)))</f>
        <v>0</v>
      </c>
      <c r="BI1638">
        <f>IF($A1638="","",IF($A1639="",1,IF(BG1639&lt;&gt;BG1638,1,0)))</f>
        <v>0</v>
      </c>
      <c r="BJ1638">
        <f>IF($A1638="","",IF(BH1638=1,$B1638,BJ1637))</f>
        <v>0</v>
      </c>
      <c r="BK1638">
        <f>IF($A1638="","",IF(BH1638=1,$C1638,MAX($C1638,BK1637)))</f>
        <v>0</v>
      </c>
      <c r="BL1638">
        <f>IF($A1638="","",IF(BH1638=1,$D1638,MIN($D1638,BL1637)))</f>
        <v>0</v>
      </c>
      <c r="BM1638">
        <f>IF($A1638="","",IF(BI1638=1,F1638,""))</f>
        <v>0</v>
      </c>
      <c r="BN1638">
        <f>IF($A1638="","",DATE(YEAR($A1638),MONTH($A1638),1))</f>
        <v>0</v>
      </c>
      <c r="BO1638">
        <f>IF($A1638="","",IF($A1637="",1,IF(BN1638&lt;&gt;BN1637,1,0)))</f>
        <v>0</v>
      </c>
      <c r="BP1638">
        <f>IF($A1638="","",IF($A1639="",1,IF(BN1639&lt;&gt;BN1638,1,0)))</f>
        <v>0</v>
      </c>
      <c r="BQ1638">
        <f>IF($A1638="","",IF(BO1638=1,$B1638,BQ1637))</f>
        <v>0</v>
      </c>
      <c r="BR1638">
        <f>IF($A1638="","",IF(BO1638=1,$C1638,MAX($C1638,BR1637)))</f>
        <v>0</v>
      </c>
      <c r="BS1638">
        <f>IF($A1638="","",IF(BO1638=1,$D1638,MIN($D1638,BS1637)))</f>
        <v>0</v>
      </c>
      <c r="BT1638">
        <f>IF($A1638="","",IF(BP1638=1,F1638,""))</f>
        <v>0</v>
      </c>
    </row>
    <row r="1639" spans="1:72">
      <c r="A1639" s="27">
        <f>IF(Data!$A1639="","",Data!$A1639)</f>
        <v>0</v>
      </c>
      <c r="B1639">
        <f>IF(Data!$B1639="","",Data!$B1639)</f>
        <v>0</v>
      </c>
      <c r="C1639">
        <f>IF(Data!$C1639="","",Data!$C1639)</f>
        <v>0</v>
      </c>
      <c r="D1639">
        <f>IF(Data!$D1639="","",Data!$D1639)</f>
        <v>0</v>
      </c>
      <c r="E1639">
        <f>IF(Data!$E1639="","",Data!$E1639)</f>
        <v>0</v>
      </c>
      <c r="F1639">
        <f>IF($E1639="","",N(F1638)+1)</f>
        <v>0</v>
      </c>
      <c r="G1639">
        <f>IF(OR($E1639="",$E1638=""),"",LN($E1639/$E1638))</f>
        <v>0</v>
      </c>
      <c r="H1639">
        <f>IF($E1639="","",IF($E1638="",$E1639,$E1639*0.0952380952+H1638*0.9047619048))</f>
        <v>0</v>
      </c>
      <c r="I1639">
        <f>IF($E1639="","",IF($E1638="",$E1639,$E1639*0.0392156863+I1638*0.9607843137))</f>
        <v>0</v>
      </c>
      <c r="J1639">
        <f>IF($E1639="","",IF($E1638="",$E1639,$E1639*0.0198019802+J1638*0.9801980198))</f>
        <v>0</v>
      </c>
      <c r="K1639">
        <f>IF($E1639="","",IF($E1638="",$E1639,$E1639*0.0099502488+K1638*0.9900497512))</f>
        <v>0</v>
      </c>
      <c r="L1639">
        <f>IF(OR($E1639="",$E1638=""),"",MAX($E1639-$E1638,0))</f>
        <v>0</v>
      </c>
      <c r="M1639">
        <f>IF(OR($E1639="",$E1638=""),"",MAX($E1638-$E1639,0))</f>
        <v>0</v>
      </c>
      <c r="N1639">
        <f>IF(COUNT($E$2:$E1639)&lt;15,"",IF(AVERAGE($M$1626:$M$1639)=0,100,100-100/(1+AVERAGE($L$1626:$L$1639)/AVERAGE($M$1626:$M$1639))))</f>
        <v>0</v>
      </c>
      <c r="O1639">
        <f>IF($E1639="","",IF($E1638="",$E1639,$E1639*0.1538461538+O1638*0.8461538462))</f>
        <v>0</v>
      </c>
      <c r="P1639">
        <f>IF($E1639="","",IF($E1638="",$E1639,$E1639*0.0740740741+P1638*0.9259259259))</f>
        <v>0</v>
      </c>
      <c r="Q1639">
        <f>IF(OR(O1639="",P1639=""),"",O1639-P1639)</f>
        <v>0</v>
      </c>
      <c r="R1639">
        <f>IF(Q1639="","",IF(R1638="",Q1639,Q1639*0.2000000000+R1638*0.8000000000))</f>
        <v>0</v>
      </c>
      <c r="S1639">
        <f>IF(OR(Q1639="",R1639=""),"",Q1639-R1639)</f>
        <v>0</v>
      </c>
      <c r="T1639">
        <f>IF(COUNT($E$2:$E1639)&lt;14,"",MAX($C$1626:$C$1639))</f>
        <v>0</v>
      </c>
      <c r="U1639">
        <f>IF(COUNT($E$2:$E1639)&lt;14,"",MIN($D$1626:$D$1639))</f>
        <v>0</v>
      </c>
      <c r="V1639">
        <f>IF(OR(T1639="",U1639="",T1639=U1639),"",100*($E1639-U1639)/(T1639-U1639))</f>
        <v>0</v>
      </c>
      <c r="W1639">
        <f>IF(COUNT($V$1637:$V$1639)&lt;3,"",AVERAGE($V$1637:$V$1639))</f>
        <v>0</v>
      </c>
      <c r="X1639">
        <f>IF(COUNT($N$1626:$N$1639)&lt;14,"",MIN($N$1626:$N$1639))</f>
        <v>0</v>
      </c>
      <c r="Y1639">
        <f>IF(COUNT($N$1626:$N$1639)&lt;14,"",MAX($N$1626:$N$1639))</f>
        <v>0</v>
      </c>
      <c r="Z1639">
        <f>IF(OR(N1639="",X1639="",Y1639="",Y1639=X1639),"",100*(N1639-X1639)/(Y1639-X1639))</f>
        <v>0</v>
      </c>
      <c r="AA1639">
        <f>IF(COUNT($Z$1637:$Z$1639)&lt;3,"",AVERAGE($Z$1637:$Z$1639))</f>
        <v>0</v>
      </c>
      <c r="AB1639">
        <f>IF(COUNT($AA$1637:$AA$1639)&lt;3,"",AVERAGE($AA$1637:$AA$1639))</f>
        <v>0</v>
      </c>
      <c r="AC1639">
        <f>IF($E1639="","",MAX($C1639-$D1639,ABS($C1639-$E1638),ABS($D1639-$E1638)))</f>
        <v>0</v>
      </c>
      <c r="AD1639">
        <f>IF(COUNT($E$2:$E1639)&lt;15,"",AVERAGE($AC$1626:$AC$1639))</f>
        <v>0</v>
      </c>
      <c r="AE1639">
        <f>IF(OR($E1639="",$E1638=""),"",IF(AND(($C1639-$C1638)&gt;($D1638-$D1639),($C1639-$C1638)&gt;0),$C1639-$C1638,0))</f>
        <v>0</v>
      </c>
      <c r="AF1639">
        <f>IF(OR($E1639="",$E1638=""),"",IF(AND(($D1638-$D1639)&gt;($C1639-$C1638),($D1638-$D1639)&gt;0),$D1638-$D1639,0))</f>
        <v>0</v>
      </c>
      <c r="AG1639">
        <f>IF(COUNT($E$2:$E1639)&lt;15,"",IF(SUM($AC$1626:$AC$1639)=0,0,100*SUM($AE$1626:$AE$1639)/SUM($AC$1626:$AC$1639)))</f>
        <v>0</v>
      </c>
      <c r="AH1639">
        <f>IF(COUNT($E$2:$E1639)&lt;15,"",IF(SUM($AC$1626:$AC$1639)=0,0,100*SUM($AF$1626:$AF$1639)/SUM($AC$1626:$AC$1639)))</f>
        <v>0</v>
      </c>
      <c r="AI1639">
        <f>IF(OR(AG1639="",AH1639=""),"",IF((AG1639+AH1639)=0,0,100*ABS(AG1639-AH1639)/(AG1639+AH1639)))</f>
        <v>0</v>
      </c>
      <c r="AJ1639">
        <f>IF(COUNT($AI$1626:$AI$1639)&lt;14,"",AVERAGE($AI$1626:$AI$1639))</f>
        <v>0</v>
      </c>
      <c r="AK1639">
        <f>IF(COUNT($E$2:$E1639)&lt;20,"",AVERAGE($E$1620:$E$1639))</f>
        <v>0</v>
      </c>
      <c r="AL1639">
        <f>IF(COUNT($E$2:$E1639)&lt;20,"",STDEVP($E$1620:$E$1639))</f>
        <v>0</v>
      </c>
      <c r="AM1639">
        <f>IF(AK1639="","",AK1639+2*AL1639)</f>
        <v>0</v>
      </c>
      <c r="AN1639">
        <f>IF(AK1639="","",AK1639-2*AL1639)</f>
        <v>0</v>
      </c>
      <c r="AO1639">
        <f>IF(OR(AM1639="",AN1639="",AM1639=AN1639),"",($E1639-AN1639)/(AM1639-AN1639))</f>
        <v>0</v>
      </c>
      <c r="AP1639">
        <f>IF(OR(AM1639="",AK1639="",AK1639=0),"",(AM1639-AN1639)/AK1639)</f>
        <v>0</v>
      </c>
      <c r="AQ1639">
        <f>IF(COUNT($E$2:$E1639)&lt;20,"",MAX($C$1620:$C$1639))</f>
        <v>0</v>
      </c>
      <c r="AR1639">
        <f>IF(COUNT($E$2:$E1639)&lt;20,"",MIN($D$1620:$D$1639))</f>
        <v>0</v>
      </c>
      <c r="AS1639">
        <f>IF(OR(AQ1639="",AR1639=""),"",(AQ1639+AR1639)/2)</f>
        <v>0</v>
      </c>
      <c r="AT1639">
        <f>IF(COUNT($G$1620:$G$1639)&lt;20,"",STDEV($G$1620:$G$1639)*SQRT(252))</f>
        <v>0</v>
      </c>
      <c r="AU1639">
        <f>IF(COUNT($E$2:$E1639)&lt;9,"",(MAX($C$1631:$C$1639)+MIN($D$1631:$D$1639))/2)</f>
        <v>0</v>
      </c>
      <c r="AV1639">
        <f>IF(COUNT($E$2:$E1639)&lt;26,"",(MAX($C$1614:$C$1639)+MIN($D$1614:$D$1639))/2)</f>
        <v>0</v>
      </c>
      <c r="AW1639">
        <f>IF(OR(AU1639="",AV1639=""),"",(AU1639+AV1639)/2)</f>
        <v>0</v>
      </c>
      <c r="AX1639">
        <f>IF(COUNT($E$2:$E1639)&lt;52,"",(MAX($C$1588:$C$1639)+MIN($D$1588:$D$1639))/2)</f>
        <v>0</v>
      </c>
      <c r="AY1639">
        <f>IF(COUNT($E$2:$E1639)&lt;20,"",MAX($C$1540:$C$1639))</f>
        <v>0</v>
      </c>
      <c r="AZ1639">
        <f>IF(COUNT($E$2:$E1639)&lt;20,"",MIN($D$1540:$D$1639))</f>
        <v>0</v>
      </c>
      <c r="BA1639">
        <f>IF(COUNT($E$2:$E1639)&lt;20,"",SLOPE($E$1540:$E$1639,$F$1540:$F$1639))</f>
        <v>0</v>
      </c>
      <c r="BB1639">
        <f>IF(COUNT($E$2:$E1639)&lt;20,"",INTERCEPT($E$1540:$E$1639,$F$1540:$F$1639))</f>
        <v>0</v>
      </c>
      <c r="BC1639">
        <f>IF(OR(BA1639="",BB1639=""),"",BB1639+BA1639*F1639)</f>
        <v>0</v>
      </c>
      <c r="BD1639">
        <f>IF(COUNT($E$2:$E1639)&lt;20,"",STEYX($E$1540:$E$1639,$F$1540:$F$1639))</f>
        <v>0</v>
      </c>
      <c r="BE1639">
        <f>IF($E1639="","",IF(AND(COUNT($E$1640:$E$1643)&gt;=4,$C1639=MAX($C$1635:$C$1643)),$C1639,""))</f>
        <v>0</v>
      </c>
      <c r="BF1639">
        <f>IF($E1639="","",IF(AND(COUNT($E$1640:$E$1643)&gt;=4,$D1639=MIN($D$1635:$D$1643)),$D1639,""))</f>
        <v>0</v>
      </c>
      <c r="BG1639">
        <f>IF($A1639="","",$A1639-WEEKDAY($A1639,2)+1)</f>
        <v>0</v>
      </c>
      <c r="BH1639">
        <f>IF($A1639="","",IF($A1638="",1,IF(BG1639&lt;&gt;BG1638,1,0)))</f>
        <v>0</v>
      </c>
      <c r="BI1639">
        <f>IF($A1639="","",IF($A1640="",1,IF(BG1640&lt;&gt;BG1639,1,0)))</f>
        <v>0</v>
      </c>
      <c r="BJ1639">
        <f>IF($A1639="","",IF(BH1639=1,$B1639,BJ1638))</f>
        <v>0</v>
      </c>
      <c r="BK1639">
        <f>IF($A1639="","",IF(BH1639=1,$C1639,MAX($C1639,BK1638)))</f>
        <v>0</v>
      </c>
      <c r="BL1639">
        <f>IF($A1639="","",IF(BH1639=1,$D1639,MIN($D1639,BL1638)))</f>
        <v>0</v>
      </c>
      <c r="BM1639">
        <f>IF($A1639="","",IF(BI1639=1,F1639,""))</f>
        <v>0</v>
      </c>
      <c r="BN1639">
        <f>IF($A1639="","",DATE(YEAR($A1639),MONTH($A1639),1))</f>
        <v>0</v>
      </c>
      <c r="BO1639">
        <f>IF($A1639="","",IF($A1638="",1,IF(BN1639&lt;&gt;BN1638,1,0)))</f>
        <v>0</v>
      </c>
      <c r="BP1639">
        <f>IF($A1639="","",IF($A1640="",1,IF(BN1640&lt;&gt;BN1639,1,0)))</f>
        <v>0</v>
      </c>
      <c r="BQ1639">
        <f>IF($A1639="","",IF(BO1639=1,$B1639,BQ1638))</f>
        <v>0</v>
      </c>
      <c r="BR1639">
        <f>IF($A1639="","",IF(BO1639=1,$C1639,MAX($C1639,BR1638)))</f>
        <v>0</v>
      </c>
      <c r="BS1639">
        <f>IF($A1639="","",IF(BO1639=1,$D1639,MIN($D1639,BS1638)))</f>
        <v>0</v>
      </c>
      <c r="BT1639">
        <f>IF($A1639="","",IF(BP1639=1,F1639,""))</f>
        <v>0</v>
      </c>
    </row>
    <row r="1640" spans="1:72">
      <c r="A1640" s="27">
        <f>IF(Data!$A1640="","",Data!$A1640)</f>
        <v>0</v>
      </c>
      <c r="B1640">
        <f>IF(Data!$B1640="","",Data!$B1640)</f>
        <v>0</v>
      </c>
      <c r="C1640">
        <f>IF(Data!$C1640="","",Data!$C1640)</f>
        <v>0</v>
      </c>
      <c r="D1640">
        <f>IF(Data!$D1640="","",Data!$D1640)</f>
        <v>0</v>
      </c>
      <c r="E1640">
        <f>IF(Data!$E1640="","",Data!$E1640)</f>
        <v>0</v>
      </c>
      <c r="F1640">
        <f>IF($E1640="","",N(F1639)+1)</f>
        <v>0</v>
      </c>
      <c r="G1640">
        <f>IF(OR($E1640="",$E1639=""),"",LN($E1640/$E1639))</f>
        <v>0</v>
      </c>
      <c r="H1640">
        <f>IF($E1640="","",IF($E1639="",$E1640,$E1640*0.0952380952+H1639*0.9047619048))</f>
        <v>0</v>
      </c>
      <c r="I1640">
        <f>IF($E1640="","",IF($E1639="",$E1640,$E1640*0.0392156863+I1639*0.9607843137))</f>
        <v>0</v>
      </c>
      <c r="J1640">
        <f>IF($E1640="","",IF($E1639="",$E1640,$E1640*0.0198019802+J1639*0.9801980198))</f>
        <v>0</v>
      </c>
      <c r="K1640">
        <f>IF($E1640="","",IF($E1639="",$E1640,$E1640*0.0099502488+K1639*0.9900497512))</f>
        <v>0</v>
      </c>
      <c r="L1640">
        <f>IF(OR($E1640="",$E1639=""),"",MAX($E1640-$E1639,0))</f>
        <v>0</v>
      </c>
      <c r="M1640">
        <f>IF(OR($E1640="",$E1639=""),"",MAX($E1639-$E1640,0))</f>
        <v>0</v>
      </c>
      <c r="N1640">
        <f>IF(COUNT($E$2:$E1640)&lt;15,"",IF(AVERAGE($M$1627:$M$1640)=0,100,100-100/(1+AVERAGE($L$1627:$L$1640)/AVERAGE($M$1627:$M$1640))))</f>
        <v>0</v>
      </c>
      <c r="O1640">
        <f>IF($E1640="","",IF($E1639="",$E1640,$E1640*0.1538461538+O1639*0.8461538462))</f>
        <v>0</v>
      </c>
      <c r="P1640">
        <f>IF($E1640="","",IF($E1639="",$E1640,$E1640*0.0740740741+P1639*0.9259259259))</f>
        <v>0</v>
      </c>
      <c r="Q1640">
        <f>IF(OR(O1640="",P1640=""),"",O1640-P1640)</f>
        <v>0</v>
      </c>
      <c r="R1640">
        <f>IF(Q1640="","",IF(R1639="",Q1640,Q1640*0.2000000000+R1639*0.8000000000))</f>
        <v>0</v>
      </c>
      <c r="S1640">
        <f>IF(OR(Q1640="",R1640=""),"",Q1640-R1640)</f>
        <v>0</v>
      </c>
      <c r="T1640">
        <f>IF(COUNT($E$2:$E1640)&lt;14,"",MAX($C$1627:$C$1640))</f>
        <v>0</v>
      </c>
      <c r="U1640">
        <f>IF(COUNT($E$2:$E1640)&lt;14,"",MIN($D$1627:$D$1640))</f>
        <v>0</v>
      </c>
      <c r="V1640">
        <f>IF(OR(T1640="",U1640="",T1640=U1640),"",100*($E1640-U1640)/(T1640-U1640))</f>
        <v>0</v>
      </c>
      <c r="W1640">
        <f>IF(COUNT($V$1638:$V$1640)&lt;3,"",AVERAGE($V$1638:$V$1640))</f>
        <v>0</v>
      </c>
      <c r="X1640">
        <f>IF(COUNT($N$1627:$N$1640)&lt;14,"",MIN($N$1627:$N$1640))</f>
        <v>0</v>
      </c>
      <c r="Y1640">
        <f>IF(COUNT($N$1627:$N$1640)&lt;14,"",MAX($N$1627:$N$1640))</f>
        <v>0</v>
      </c>
      <c r="Z1640">
        <f>IF(OR(N1640="",X1640="",Y1640="",Y1640=X1640),"",100*(N1640-X1640)/(Y1640-X1640))</f>
        <v>0</v>
      </c>
      <c r="AA1640">
        <f>IF(COUNT($Z$1638:$Z$1640)&lt;3,"",AVERAGE($Z$1638:$Z$1640))</f>
        <v>0</v>
      </c>
      <c r="AB1640">
        <f>IF(COUNT($AA$1638:$AA$1640)&lt;3,"",AVERAGE($AA$1638:$AA$1640))</f>
        <v>0</v>
      </c>
      <c r="AC1640">
        <f>IF($E1640="","",MAX($C1640-$D1640,ABS($C1640-$E1639),ABS($D1640-$E1639)))</f>
        <v>0</v>
      </c>
      <c r="AD1640">
        <f>IF(COUNT($E$2:$E1640)&lt;15,"",AVERAGE($AC$1627:$AC$1640))</f>
        <v>0</v>
      </c>
      <c r="AE1640">
        <f>IF(OR($E1640="",$E1639=""),"",IF(AND(($C1640-$C1639)&gt;($D1639-$D1640),($C1640-$C1639)&gt;0),$C1640-$C1639,0))</f>
        <v>0</v>
      </c>
      <c r="AF1640">
        <f>IF(OR($E1640="",$E1639=""),"",IF(AND(($D1639-$D1640)&gt;($C1640-$C1639),($D1639-$D1640)&gt;0),$D1639-$D1640,0))</f>
        <v>0</v>
      </c>
      <c r="AG1640">
        <f>IF(COUNT($E$2:$E1640)&lt;15,"",IF(SUM($AC$1627:$AC$1640)=0,0,100*SUM($AE$1627:$AE$1640)/SUM($AC$1627:$AC$1640)))</f>
        <v>0</v>
      </c>
      <c r="AH1640">
        <f>IF(COUNT($E$2:$E1640)&lt;15,"",IF(SUM($AC$1627:$AC$1640)=0,0,100*SUM($AF$1627:$AF$1640)/SUM($AC$1627:$AC$1640)))</f>
        <v>0</v>
      </c>
      <c r="AI1640">
        <f>IF(OR(AG1640="",AH1640=""),"",IF((AG1640+AH1640)=0,0,100*ABS(AG1640-AH1640)/(AG1640+AH1640)))</f>
        <v>0</v>
      </c>
      <c r="AJ1640">
        <f>IF(COUNT($AI$1627:$AI$1640)&lt;14,"",AVERAGE($AI$1627:$AI$1640))</f>
        <v>0</v>
      </c>
      <c r="AK1640">
        <f>IF(COUNT($E$2:$E1640)&lt;20,"",AVERAGE($E$1621:$E$1640))</f>
        <v>0</v>
      </c>
      <c r="AL1640">
        <f>IF(COUNT($E$2:$E1640)&lt;20,"",STDEVP($E$1621:$E$1640))</f>
        <v>0</v>
      </c>
      <c r="AM1640">
        <f>IF(AK1640="","",AK1640+2*AL1640)</f>
        <v>0</v>
      </c>
      <c r="AN1640">
        <f>IF(AK1640="","",AK1640-2*AL1640)</f>
        <v>0</v>
      </c>
      <c r="AO1640">
        <f>IF(OR(AM1640="",AN1640="",AM1640=AN1640),"",($E1640-AN1640)/(AM1640-AN1640))</f>
        <v>0</v>
      </c>
      <c r="AP1640">
        <f>IF(OR(AM1640="",AK1640="",AK1640=0),"",(AM1640-AN1640)/AK1640)</f>
        <v>0</v>
      </c>
      <c r="AQ1640">
        <f>IF(COUNT($E$2:$E1640)&lt;20,"",MAX($C$1621:$C$1640))</f>
        <v>0</v>
      </c>
      <c r="AR1640">
        <f>IF(COUNT($E$2:$E1640)&lt;20,"",MIN($D$1621:$D$1640))</f>
        <v>0</v>
      </c>
      <c r="AS1640">
        <f>IF(OR(AQ1640="",AR1640=""),"",(AQ1640+AR1640)/2)</f>
        <v>0</v>
      </c>
      <c r="AT1640">
        <f>IF(COUNT($G$1621:$G$1640)&lt;20,"",STDEV($G$1621:$G$1640)*SQRT(252))</f>
        <v>0</v>
      </c>
      <c r="AU1640">
        <f>IF(COUNT($E$2:$E1640)&lt;9,"",(MAX($C$1632:$C$1640)+MIN($D$1632:$D$1640))/2)</f>
        <v>0</v>
      </c>
      <c r="AV1640">
        <f>IF(COUNT($E$2:$E1640)&lt;26,"",(MAX($C$1615:$C$1640)+MIN($D$1615:$D$1640))/2)</f>
        <v>0</v>
      </c>
      <c r="AW1640">
        <f>IF(OR(AU1640="",AV1640=""),"",(AU1640+AV1640)/2)</f>
        <v>0</v>
      </c>
      <c r="AX1640">
        <f>IF(COUNT($E$2:$E1640)&lt;52,"",(MAX($C$1589:$C$1640)+MIN($D$1589:$D$1640))/2)</f>
        <v>0</v>
      </c>
      <c r="AY1640">
        <f>IF(COUNT($E$2:$E1640)&lt;20,"",MAX($C$1541:$C$1640))</f>
        <v>0</v>
      </c>
      <c r="AZ1640">
        <f>IF(COUNT($E$2:$E1640)&lt;20,"",MIN($D$1541:$D$1640))</f>
        <v>0</v>
      </c>
      <c r="BA1640">
        <f>IF(COUNT($E$2:$E1640)&lt;20,"",SLOPE($E$1541:$E$1640,$F$1541:$F$1640))</f>
        <v>0</v>
      </c>
      <c r="BB1640">
        <f>IF(COUNT($E$2:$E1640)&lt;20,"",INTERCEPT($E$1541:$E$1640,$F$1541:$F$1640))</f>
        <v>0</v>
      </c>
      <c r="BC1640">
        <f>IF(OR(BA1640="",BB1640=""),"",BB1640+BA1640*F1640)</f>
        <v>0</v>
      </c>
      <c r="BD1640">
        <f>IF(COUNT($E$2:$E1640)&lt;20,"",STEYX($E$1541:$E$1640,$F$1541:$F$1640))</f>
        <v>0</v>
      </c>
      <c r="BE1640">
        <f>IF($E1640="","",IF(AND(COUNT($E$1641:$E$1644)&gt;=4,$C1640=MAX($C$1636:$C$1644)),$C1640,""))</f>
        <v>0</v>
      </c>
      <c r="BF1640">
        <f>IF($E1640="","",IF(AND(COUNT($E$1641:$E$1644)&gt;=4,$D1640=MIN($D$1636:$D$1644)),$D1640,""))</f>
        <v>0</v>
      </c>
      <c r="BG1640">
        <f>IF($A1640="","",$A1640-WEEKDAY($A1640,2)+1)</f>
        <v>0</v>
      </c>
      <c r="BH1640">
        <f>IF($A1640="","",IF($A1639="",1,IF(BG1640&lt;&gt;BG1639,1,0)))</f>
        <v>0</v>
      </c>
      <c r="BI1640">
        <f>IF($A1640="","",IF($A1641="",1,IF(BG1641&lt;&gt;BG1640,1,0)))</f>
        <v>0</v>
      </c>
      <c r="BJ1640">
        <f>IF($A1640="","",IF(BH1640=1,$B1640,BJ1639))</f>
        <v>0</v>
      </c>
      <c r="BK1640">
        <f>IF($A1640="","",IF(BH1640=1,$C1640,MAX($C1640,BK1639)))</f>
        <v>0</v>
      </c>
      <c r="BL1640">
        <f>IF($A1640="","",IF(BH1640=1,$D1640,MIN($D1640,BL1639)))</f>
        <v>0</v>
      </c>
      <c r="BM1640">
        <f>IF($A1640="","",IF(BI1640=1,F1640,""))</f>
        <v>0</v>
      </c>
      <c r="BN1640">
        <f>IF($A1640="","",DATE(YEAR($A1640),MONTH($A1640),1))</f>
        <v>0</v>
      </c>
      <c r="BO1640">
        <f>IF($A1640="","",IF($A1639="",1,IF(BN1640&lt;&gt;BN1639,1,0)))</f>
        <v>0</v>
      </c>
      <c r="BP1640">
        <f>IF($A1640="","",IF($A1641="",1,IF(BN1641&lt;&gt;BN1640,1,0)))</f>
        <v>0</v>
      </c>
      <c r="BQ1640">
        <f>IF($A1640="","",IF(BO1640=1,$B1640,BQ1639))</f>
        <v>0</v>
      </c>
      <c r="BR1640">
        <f>IF($A1640="","",IF(BO1640=1,$C1640,MAX($C1640,BR1639)))</f>
        <v>0</v>
      </c>
      <c r="BS1640">
        <f>IF($A1640="","",IF(BO1640=1,$D1640,MIN($D1640,BS1639)))</f>
        <v>0</v>
      </c>
      <c r="BT1640">
        <f>IF($A1640="","",IF(BP1640=1,F1640,""))</f>
        <v>0</v>
      </c>
    </row>
    <row r="1641" spans="1:72">
      <c r="A1641" s="27">
        <f>IF(Data!$A1641="","",Data!$A1641)</f>
        <v>0</v>
      </c>
      <c r="B1641">
        <f>IF(Data!$B1641="","",Data!$B1641)</f>
        <v>0</v>
      </c>
      <c r="C1641">
        <f>IF(Data!$C1641="","",Data!$C1641)</f>
        <v>0</v>
      </c>
      <c r="D1641">
        <f>IF(Data!$D1641="","",Data!$D1641)</f>
        <v>0</v>
      </c>
      <c r="E1641">
        <f>IF(Data!$E1641="","",Data!$E1641)</f>
        <v>0</v>
      </c>
      <c r="F1641">
        <f>IF($E1641="","",N(F1640)+1)</f>
        <v>0</v>
      </c>
      <c r="G1641">
        <f>IF(OR($E1641="",$E1640=""),"",LN($E1641/$E1640))</f>
        <v>0</v>
      </c>
      <c r="H1641">
        <f>IF($E1641="","",IF($E1640="",$E1641,$E1641*0.0952380952+H1640*0.9047619048))</f>
        <v>0</v>
      </c>
      <c r="I1641">
        <f>IF($E1641="","",IF($E1640="",$E1641,$E1641*0.0392156863+I1640*0.9607843137))</f>
        <v>0</v>
      </c>
      <c r="J1641">
        <f>IF($E1641="","",IF($E1640="",$E1641,$E1641*0.0198019802+J1640*0.9801980198))</f>
        <v>0</v>
      </c>
      <c r="K1641">
        <f>IF($E1641="","",IF($E1640="",$E1641,$E1641*0.0099502488+K1640*0.9900497512))</f>
        <v>0</v>
      </c>
      <c r="L1641">
        <f>IF(OR($E1641="",$E1640=""),"",MAX($E1641-$E1640,0))</f>
        <v>0</v>
      </c>
      <c r="M1641">
        <f>IF(OR($E1641="",$E1640=""),"",MAX($E1640-$E1641,0))</f>
        <v>0</v>
      </c>
      <c r="N1641">
        <f>IF(COUNT($E$2:$E1641)&lt;15,"",IF(AVERAGE($M$1628:$M$1641)=0,100,100-100/(1+AVERAGE($L$1628:$L$1641)/AVERAGE($M$1628:$M$1641))))</f>
        <v>0</v>
      </c>
      <c r="O1641">
        <f>IF($E1641="","",IF($E1640="",$E1641,$E1641*0.1538461538+O1640*0.8461538462))</f>
        <v>0</v>
      </c>
      <c r="P1641">
        <f>IF($E1641="","",IF($E1640="",$E1641,$E1641*0.0740740741+P1640*0.9259259259))</f>
        <v>0</v>
      </c>
      <c r="Q1641">
        <f>IF(OR(O1641="",P1641=""),"",O1641-P1641)</f>
        <v>0</v>
      </c>
      <c r="R1641">
        <f>IF(Q1641="","",IF(R1640="",Q1641,Q1641*0.2000000000+R1640*0.8000000000))</f>
        <v>0</v>
      </c>
      <c r="S1641">
        <f>IF(OR(Q1641="",R1641=""),"",Q1641-R1641)</f>
        <v>0</v>
      </c>
      <c r="T1641">
        <f>IF(COUNT($E$2:$E1641)&lt;14,"",MAX($C$1628:$C$1641))</f>
        <v>0</v>
      </c>
      <c r="U1641">
        <f>IF(COUNT($E$2:$E1641)&lt;14,"",MIN($D$1628:$D$1641))</f>
        <v>0</v>
      </c>
      <c r="V1641">
        <f>IF(OR(T1641="",U1641="",T1641=U1641),"",100*($E1641-U1641)/(T1641-U1641))</f>
        <v>0</v>
      </c>
      <c r="W1641">
        <f>IF(COUNT($V$1639:$V$1641)&lt;3,"",AVERAGE($V$1639:$V$1641))</f>
        <v>0</v>
      </c>
      <c r="X1641">
        <f>IF(COUNT($N$1628:$N$1641)&lt;14,"",MIN($N$1628:$N$1641))</f>
        <v>0</v>
      </c>
      <c r="Y1641">
        <f>IF(COUNT($N$1628:$N$1641)&lt;14,"",MAX($N$1628:$N$1641))</f>
        <v>0</v>
      </c>
      <c r="Z1641">
        <f>IF(OR(N1641="",X1641="",Y1641="",Y1641=X1641),"",100*(N1641-X1641)/(Y1641-X1641))</f>
        <v>0</v>
      </c>
      <c r="AA1641">
        <f>IF(COUNT($Z$1639:$Z$1641)&lt;3,"",AVERAGE($Z$1639:$Z$1641))</f>
        <v>0</v>
      </c>
      <c r="AB1641">
        <f>IF(COUNT($AA$1639:$AA$1641)&lt;3,"",AVERAGE($AA$1639:$AA$1641))</f>
        <v>0</v>
      </c>
      <c r="AC1641">
        <f>IF($E1641="","",MAX($C1641-$D1641,ABS($C1641-$E1640),ABS($D1641-$E1640)))</f>
        <v>0</v>
      </c>
      <c r="AD1641">
        <f>IF(COUNT($E$2:$E1641)&lt;15,"",AVERAGE($AC$1628:$AC$1641))</f>
        <v>0</v>
      </c>
      <c r="AE1641">
        <f>IF(OR($E1641="",$E1640=""),"",IF(AND(($C1641-$C1640)&gt;($D1640-$D1641),($C1641-$C1640)&gt;0),$C1641-$C1640,0))</f>
        <v>0</v>
      </c>
      <c r="AF1641">
        <f>IF(OR($E1641="",$E1640=""),"",IF(AND(($D1640-$D1641)&gt;($C1641-$C1640),($D1640-$D1641)&gt;0),$D1640-$D1641,0))</f>
        <v>0</v>
      </c>
      <c r="AG1641">
        <f>IF(COUNT($E$2:$E1641)&lt;15,"",IF(SUM($AC$1628:$AC$1641)=0,0,100*SUM($AE$1628:$AE$1641)/SUM($AC$1628:$AC$1641)))</f>
        <v>0</v>
      </c>
      <c r="AH1641">
        <f>IF(COUNT($E$2:$E1641)&lt;15,"",IF(SUM($AC$1628:$AC$1641)=0,0,100*SUM($AF$1628:$AF$1641)/SUM($AC$1628:$AC$1641)))</f>
        <v>0</v>
      </c>
      <c r="AI1641">
        <f>IF(OR(AG1641="",AH1641=""),"",IF((AG1641+AH1641)=0,0,100*ABS(AG1641-AH1641)/(AG1641+AH1641)))</f>
        <v>0</v>
      </c>
      <c r="AJ1641">
        <f>IF(COUNT($AI$1628:$AI$1641)&lt;14,"",AVERAGE($AI$1628:$AI$1641))</f>
        <v>0</v>
      </c>
      <c r="AK1641">
        <f>IF(COUNT($E$2:$E1641)&lt;20,"",AVERAGE($E$1622:$E$1641))</f>
        <v>0</v>
      </c>
      <c r="AL1641">
        <f>IF(COUNT($E$2:$E1641)&lt;20,"",STDEVP($E$1622:$E$1641))</f>
        <v>0</v>
      </c>
      <c r="AM1641">
        <f>IF(AK1641="","",AK1641+2*AL1641)</f>
        <v>0</v>
      </c>
      <c r="AN1641">
        <f>IF(AK1641="","",AK1641-2*AL1641)</f>
        <v>0</v>
      </c>
      <c r="AO1641">
        <f>IF(OR(AM1641="",AN1641="",AM1641=AN1641),"",($E1641-AN1641)/(AM1641-AN1641))</f>
        <v>0</v>
      </c>
      <c r="AP1641">
        <f>IF(OR(AM1641="",AK1641="",AK1641=0),"",(AM1641-AN1641)/AK1641)</f>
        <v>0</v>
      </c>
      <c r="AQ1641">
        <f>IF(COUNT($E$2:$E1641)&lt;20,"",MAX($C$1622:$C$1641))</f>
        <v>0</v>
      </c>
      <c r="AR1641">
        <f>IF(COUNT($E$2:$E1641)&lt;20,"",MIN($D$1622:$D$1641))</f>
        <v>0</v>
      </c>
      <c r="AS1641">
        <f>IF(OR(AQ1641="",AR1641=""),"",(AQ1641+AR1641)/2)</f>
        <v>0</v>
      </c>
      <c r="AT1641">
        <f>IF(COUNT($G$1622:$G$1641)&lt;20,"",STDEV($G$1622:$G$1641)*SQRT(252))</f>
        <v>0</v>
      </c>
      <c r="AU1641">
        <f>IF(COUNT($E$2:$E1641)&lt;9,"",(MAX($C$1633:$C$1641)+MIN($D$1633:$D$1641))/2)</f>
        <v>0</v>
      </c>
      <c r="AV1641">
        <f>IF(COUNT($E$2:$E1641)&lt;26,"",(MAX($C$1616:$C$1641)+MIN($D$1616:$D$1641))/2)</f>
        <v>0</v>
      </c>
      <c r="AW1641">
        <f>IF(OR(AU1641="",AV1641=""),"",(AU1641+AV1641)/2)</f>
        <v>0</v>
      </c>
      <c r="AX1641">
        <f>IF(COUNT($E$2:$E1641)&lt;52,"",(MAX($C$1590:$C$1641)+MIN($D$1590:$D$1641))/2)</f>
        <v>0</v>
      </c>
      <c r="AY1641">
        <f>IF(COUNT($E$2:$E1641)&lt;20,"",MAX($C$1542:$C$1641))</f>
        <v>0</v>
      </c>
      <c r="AZ1641">
        <f>IF(COUNT($E$2:$E1641)&lt;20,"",MIN($D$1542:$D$1641))</f>
        <v>0</v>
      </c>
      <c r="BA1641">
        <f>IF(COUNT($E$2:$E1641)&lt;20,"",SLOPE($E$1542:$E$1641,$F$1542:$F$1641))</f>
        <v>0</v>
      </c>
      <c r="BB1641">
        <f>IF(COUNT($E$2:$E1641)&lt;20,"",INTERCEPT($E$1542:$E$1641,$F$1542:$F$1641))</f>
        <v>0</v>
      </c>
      <c r="BC1641">
        <f>IF(OR(BA1641="",BB1641=""),"",BB1641+BA1641*F1641)</f>
        <v>0</v>
      </c>
      <c r="BD1641">
        <f>IF(COUNT($E$2:$E1641)&lt;20,"",STEYX($E$1542:$E$1641,$F$1542:$F$1641))</f>
        <v>0</v>
      </c>
      <c r="BE1641">
        <f>IF($E1641="","",IF(AND(COUNT($E$1642:$E$1645)&gt;=4,$C1641=MAX($C$1637:$C$1645)),$C1641,""))</f>
        <v>0</v>
      </c>
      <c r="BF1641">
        <f>IF($E1641="","",IF(AND(COUNT($E$1642:$E$1645)&gt;=4,$D1641=MIN($D$1637:$D$1645)),$D1641,""))</f>
        <v>0</v>
      </c>
      <c r="BG1641">
        <f>IF($A1641="","",$A1641-WEEKDAY($A1641,2)+1)</f>
        <v>0</v>
      </c>
      <c r="BH1641">
        <f>IF($A1641="","",IF($A1640="",1,IF(BG1641&lt;&gt;BG1640,1,0)))</f>
        <v>0</v>
      </c>
      <c r="BI1641">
        <f>IF($A1641="","",IF($A1642="",1,IF(BG1642&lt;&gt;BG1641,1,0)))</f>
        <v>0</v>
      </c>
      <c r="BJ1641">
        <f>IF($A1641="","",IF(BH1641=1,$B1641,BJ1640))</f>
        <v>0</v>
      </c>
      <c r="BK1641">
        <f>IF($A1641="","",IF(BH1641=1,$C1641,MAX($C1641,BK1640)))</f>
        <v>0</v>
      </c>
      <c r="BL1641">
        <f>IF($A1641="","",IF(BH1641=1,$D1641,MIN($D1641,BL1640)))</f>
        <v>0</v>
      </c>
      <c r="BM1641">
        <f>IF($A1641="","",IF(BI1641=1,F1641,""))</f>
        <v>0</v>
      </c>
      <c r="BN1641">
        <f>IF($A1641="","",DATE(YEAR($A1641),MONTH($A1641),1))</f>
        <v>0</v>
      </c>
      <c r="BO1641">
        <f>IF($A1641="","",IF($A1640="",1,IF(BN1641&lt;&gt;BN1640,1,0)))</f>
        <v>0</v>
      </c>
      <c r="BP1641">
        <f>IF($A1641="","",IF($A1642="",1,IF(BN1642&lt;&gt;BN1641,1,0)))</f>
        <v>0</v>
      </c>
      <c r="BQ1641">
        <f>IF($A1641="","",IF(BO1641=1,$B1641,BQ1640))</f>
        <v>0</v>
      </c>
      <c r="BR1641">
        <f>IF($A1641="","",IF(BO1641=1,$C1641,MAX($C1641,BR1640)))</f>
        <v>0</v>
      </c>
      <c r="BS1641">
        <f>IF($A1641="","",IF(BO1641=1,$D1641,MIN($D1641,BS1640)))</f>
        <v>0</v>
      </c>
      <c r="BT1641">
        <f>IF($A1641="","",IF(BP1641=1,F1641,""))</f>
        <v>0</v>
      </c>
    </row>
    <row r="1642" spans="1:72">
      <c r="A1642" s="27">
        <f>IF(Data!$A1642="","",Data!$A1642)</f>
        <v>0</v>
      </c>
      <c r="B1642">
        <f>IF(Data!$B1642="","",Data!$B1642)</f>
        <v>0</v>
      </c>
      <c r="C1642">
        <f>IF(Data!$C1642="","",Data!$C1642)</f>
        <v>0</v>
      </c>
      <c r="D1642">
        <f>IF(Data!$D1642="","",Data!$D1642)</f>
        <v>0</v>
      </c>
      <c r="E1642">
        <f>IF(Data!$E1642="","",Data!$E1642)</f>
        <v>0</v>
      </c>
      <c r="F1642">
        <f>IF($E1642="","",N(F1641)+1)</f>
        <v>0</v>
      </c>
      <c r="G1642">
        <f>IF(OR($E1642="",$E1641=""),"",LN($E1642/$E1641))</f>
        <v>0</v>
      </c>
      <c r="H1642">
        <f>IF($E1642="","",IF($E1641="",$E1642,$E1642*0.0952380952+H1641*0.9047619048))</f>
        <v>0</v>
      </c>
      <c r="I1642">
        <f>IF($E1642="","",IF($E1641="",$E1642,$E1642*0.0392156863+I1641*0.9607843137))</f>
        <v>0</v>
      </c>
      <c r="J1642">
        <f>IF($E1642="","",IF($E1641="",$E1642,$E1642*0.0198019802+J1641*0.9801980198))</f>
        <v>0</v>
      </c>
      <c r="K1642">
        <f>IF($E1642="","",IF($E1641="",$E1642,$E1642*0.0099502488+K1641*0.9900497512))</f>
        <v>0</v>
      </c>
      <c r="L1642">
        <f>IF(OR($E1642="",$E1641=""),"",MAX($E1642-$E1641,0))</f>
        <v>0</v>
      </c>
      <c r="M1642">
        <f>IF(OR($E1642="",$E1641=""),"",MAX($E1641-$E1642,0))</f>
        <v>0</v>
      </c>
      <c r="N1642">
        <f>IF(COUNT($E$2:$E1642)&lt;15,"",IF(AVERAGE($M$1629:$M$1642)=0,100,100-100/(1+AVERAGE($L$1629:$L$1642)/AVERAGE($M$1629:$M$1642))))</f>
        <v>0</v>
      </c>
      <c r="O1642">
        <f>IF($E1642="","",IF($E1641="",$E1642,$E1642*0.1538461538+O1641*0.8461538462))</f>
        <v>0</v>
      </c>
      <c r="P1642">
        <f>IF($E1642="","",IF($E1641="",$E1642,$E1642*0.0740740741+P1641*0.9259259259))</f>
        <v>0</v>
      </c>
      <c r="Q1642">
        <f>IF(OR(O1642="",P1642=""),"",O1642-P1642)</f>
        <v>0</v>
      </c>
      <c r="R1642">
        <f>IF(Q1642="","",IF(R1641="",Q1642,Q1642*0.2000000000+R1641*0.8000000000))</f>
        <v>0</v>
      </c>
      <c r="S1642">
        <f>IF(OR(Q1642="",R1642=""),"",Q1642-R1642)</f>
        <v>0</v>
      </c>
      <c r="T1642">
        <f>IF(COUNT($E$2:$E1642)&lt;14,"",MAX($C$1629:$C$1642))</f>
        <v>0</v>
      </c>
      <c r="U1642">
        <f>IF(COUNT($E$2:$E1642)&lt;14,"",MIN($D$1629:$D$1642))</f>
        <v>0</v>
      </c>
      <c r="V1642">
        <f>IF(OR(T1642="",U1642="",T1642=U1642),"",100*($E1642-U1642)/(T1642-U1642))</f>
        <v>0</v>
      </c>
      <c r="W1642">
        <f>IF(COUNT($V$1640:$V$1642)&lt;3,"",AVERAGE($V$1640:$V$1642))</f>
        <v>0</v>
      </c>
      <c r="X1642">
        <f>IF(COUNT($N$1629:$N$1642)&lt;14,"",MIN($N$1629:$N$1642))</f>
        <v>0</v>
      </c>
      <c r="Y1642">
        <f>IF(COUNT($N$1629:$N$1642)&lt;14,"",MAX($N$1629:$N$1642))</f>
        <v>0</v>
      </c>
      <c r="Z1642">
        <f>IF(OR(N1642="",X1642="",Y1642="",Y1642=X1642),"",100*(N1642-X1642)/(Y1642-X1642))</f>
        <v>0</v>
      </c>
      <c r="AA1642">
        <f>IF(COUNT($Z$1640:$Z$1642)&lt;3,"",AVERAGE($Z$1640:$Z$1642))</f>
        <v>0</v>
      </c>
      <c r="AB1642">
        <f>IF(COUNT($AA$1640:$AA$1642)&lt;3,"",AVERAGE($AA$1640:$AA$1642))</f>
        <v>0</v>
      </c>
      <c r="AC1642">
        <f>IF($E1642="","",MAX($C1642-$D1642,ABS($C1642-$E1641),ABS($D1642-$E1641)))</f>
        <v>0</v>
      </c>
      <c r="AD1642">
        <f>IF(COUNT($E$2:$E1642)&lt;15,"",AVERAGE($AC$1629:$AC$1642))</f>
        <v>0</v>
      </c>
      <c r="AE1642">
        <f>IF(OR($E1642="",$E1641=""),"",IF(AND(($C1642-$C1641)&gt;($D1641-$D1642),($C1642-$C1641)&gt;0),$C1642-$C1641,0))</f>
        <v>0</v>
      </c>
      <c r="AF1642">
        <f>IF(OR($E1642="",$E1641=""),"",IF(AND(($D1641-$D1642)&gt;($C1642-$C1641),($D1641-$D1642)&gt;0),$D1641-$D1642,0))</f>
        <v>0</v>
      </c>
      <c r="AG1642">
        <f>IF(COUNT($E$2:$E1642)&lt;15,"",IF(SUM($AC$1629:$AC$1642)=0,0,100*SUM($AE$1629:$AE$1642)/SUM($AC$1629:$AC$1642)))</f>
        <v>0</v>
      </c>
      <c r="AH1642">
        <f>IF(COUNT($E$2:$E1642)&lt;15,"",IF(SUM($AC$1629:$AC$1642)=0,0,100*SUM($AF$1629:$AF$1642)/SUM($AC$1629:$AC$1642)))</f>
        <v>0</v>
      </c>
      <c r="AI1642">
        <f>IF(OR(AG1642="",AH1642=""),"",IF((AG1642+AH1642)=0,0,100*ABS(AG1642-AH1642)/(AG1642+AH1642)))</f>
        <v>0</v>
      </c>
      <c r="AJ1642">
        <f>IF(COUNT($AI$1629:$AI$1642)&lt;14,"",AVERAGE($AI$1629:$AI$1642))</f>
        <v>0</v>
      </c>
      <c r="AK1642">
        <f>IF(COUNT($E$2:$E1642)&lt;20,"",AVERAGE($E$1623:$E$1642))</f>
        <v>0</v>
      </c>
      <c r="AL1642">
        <f>IF(COUNT($E$2:$E1642)&lt;20,"",STDEVP($E$1623:$E$1642))</f>
        <v>0</v>
      </c>
      <c r="AM1642">
        <f>IF(AK1642="","",AK1642+2*AL1642)</f>
        <v>0</v>
      </c>
      <c r="AN1642">
        <f>IF(AK1642="","",AK1642-2*AL1642)</f>
        <v>0</v>
      </c>
      <c r="AO1642">
        <f>IF(OR(AM1642="",AN1642="",AM1642=AN1642),"",($E1642-AN1642)/(AM1642-AN1642))</f>
        <v>0</v>
      </c>
      <c r="AP1642">
        <f>IF(OR(AM1642="",AK1642="",AK1642=0),"",(AM1642-AN1642)/AK1642)</f>
        <v>0</v>
      </c>
      <c r="AQ1642">
        <f>IF(COUNT($E$2:$E1642)&lt;20,"",MAX($C$1623:$C$1642))</f>
        <v>0</v>
      </c>
      <c r="AR1642">
        <f>IF(COUNT($E$2:$E1642)&lt;20,"",MIN($D$1623:$D$1642))</f>
        <v>0</v>
      </c>
      <c r="AS1642">
        <f>IF(OR(AQ1642="",AR1642=""),"",(AQ1642+AR1642)/2)</f>
        <v>0</v>
      </c>
      <c r="AT1642">
        <f>IF(COUNT($G$1623:$G$1642)&lt;20,"",STDEV($G$1623:$G$1642)*SQRT(252))</f>
        <v>0</v>
      </c>
      <c r="AU1642">
        <f>IF(COUNT($E$2:$E1642)&lt;9,"",(MAX($C$1634:$C$1642)+MIN($D$1634:$D$1642))/2)</f>
        <v>0</v>
      </c>
      <c r="AV1642">
        <f>IF(COUNT($E$2:$E1642)&lt;26,"",(MAX($C$1617:$C$1642)+MIN($D$1617:$D$1642))/2)</f>
        <v>0</v>
      </c>
      <c r="AW1642">
        <f>IF(OR(AU1642="",AV1642=""),"",(AU1642+AV1642)/2)</f>
        <v>0</v>
      </c>
      <c r="AX1642">
        <f>IF(COUNT($E$2:$E1642)&lt;52,"",(MAX($C$1591:$C$1642)+MIN($D$1591:$D$1642))/2)</f>
        <v>0</v>
      </c>
      <c r="AY1642">
        <f>IF(COUNT($E$2:$E1642)&lt;20,"",MAX($C$1543:$C$1642))</f>
        <v>0</v>
      </c>
      <c r="AZ1642">
        <f>IF(COUNT($E$2:$E1642)&lt;20,"",MIN($D$1543:$D$1642))</f>
        <v>0</v>
      </c>
      <c r="BA1642">
        <f>IF(COUNT($E$2:$E1642)&lt;20,"",SLOPE($E$1543:$E$1642,$F$1543:$F$1642))</f>
        <v>0</v>
      </c>
      <c r="BB1642">
        <f>IF(COUNT($E$2:$E1642)&lt;20,"",INTERCEPT($E$1543:$E$1642,$F$1543:$F$1642))</f>
        <v>0</v>
      </c>
      <c r="BC1642">
        <f>IF(OR(BA1642="",BB1642=""),"",BB1642+BA1642*F1642)</f>
        <v>0</v>
      </c>
      <c r="BD1642">
        <f>IF(COUNT($E$2:$E1642)&lt;20,"",STEYX($E$1543:$E$1642,$F$1543:$F$1642))</f>
        <v>0</v>
      </c>
      <c r="BE1642">
        <f>IF($E1642="","",IF(AND(COUNT($E$1643:$E$1646)&gt;=4,$C1642=MAX($C$1638:$C$1646)),$C1642,""))</f>
        <v>0</v>
      </c>
      <c r="BF1642">
        <f>IF($E1642="","",IF(AND(COUNT($E$1643:$E$1646)&gt;=4,$D1642=MIN($D$1638:$D$1646)),$D1642,""))</f>
        <v>0</v>
      </c>
      <c r="BG1642">
        <f>IF($A1642="","",$A1642-WEEKDAY($A1642,2)+1)</f>
        <v>0</v>
      </c>
      <c r="BH1642">
        <f>IF($A1642="","",IF($A1641="",1,IF(BG1642&lt;&gt;BG1641,1,0)))</f>
        <v>0</v>
      </c>
      <c r="BI1642">
        <f>IF($A1642="","",IF($A1643="",1,IF(BG1643&lt;&gt;BG1642,1,0)))</f>
        <v>0</v>
      </c>
      <c r="BJ1642">
        <f>IF($A1642="","",IF(BH1642=1,$B1642,BJ1641))</f>
        <v>0</v>
      </c>
      <c r="BK1642">
        <f>IF($A1642="","",IF(BH1642=1,$C1642,MAX($C1642,BK1641)))</f>
        <v>0</v>
      </c>
      <c r="BL1642">
        <f>IF($A1642="","",IF(BH1642=1,$D1642,MIN($D1642,BL1641)))</f>
        <v>0</v>
      </c>
      <c r="BM1642">
        <f>IF($A1642="","",IF(BI1642=1,F1642,""))</f>
        <v>0</v>
      </c>
      <c r="BN1642">
        <f>IF($A1642="","",DATE(YEAR($A1642),MONTH($A1642),1))</f>
        <v>0</v>
      </c>
      <c r="BO1642">
        <f>IF($A1642="","",IF($A1641="",1,IF(BN1642&lt;&gt;BN1641,1,0)))</f>
        <v>0</v>
      </c>
      <c r="BP1642">
        <f>IF($A1642="","",IF($A1643="",1,IF(BN1643&lt;&gt;BN1642,1,0)))</f>
        <v>0</v>
      </c>
      <c r="BQ1642">
        <f>IF($A1642="","",IF(BO1642=1,$B1642,BQ1641))</f>
        <v>0</v>
      </c>
      <c r="BR1642">
        <f>IF($A1642="","",IF(BO1642=1,$C1642,MAX($C1642,BR1641)))</f>
        <v>0</v>
      </c>
      <c r="BS1642">
        <f>IF($A1642="","",IF(BO1642=1,$D1642,MIN($D1642,BS1641)))</f>
        <v>0</v>
      </c>
      <c r="BT1642">
        <f>IF($A1642="","",IF(BP1642=1,F1642,""))</f>
        <v>0</v>
      </c>
    </row>
    <row r="1643" spans="1:72">
      <c r="A1643" s="27">
        <f>IF(Data!$A1643="","",Data!$A1643)</f>
        <v>0</v>
      </c>
      <c r="B1643">
        <f>IF(Data!$B1643="","",Data!$B1643)</f>
        <v>0</v>
      </c>
      <c r="C1643">
        <f>IF(Data!$C1643="","",Data!$C1643)</f>
        <v>0</v>
      </c>
      <c r="D1643">
        <f>IF(Data!$D1643="","",Data!$D1643)</f>
        <v>0</v>
      </c>
      <c r="E1643">
        <f>IF(Data!$E1643="","",Data!$E1643)</f>
        <v>0</v>
      </c>
      <c r="F1643">
        <f>IF($E1643="","",N(F1642)+1)</f>
        <v>0</v>
      </c>
      <c r="G1643">
        <f>IF(OR($E1643="",$E1642=""),"",LN($E1643/$E1642))</f>
        <v>0</v>
      </c>
      <c r="H1643">
        <f>IF($E1643="","",IF($E1642="",$E1643,$E1643*0.0952380952+H1642*0.9047619048))</f>
        <v>0</v>
      </c>
      <c r="I1643">
        <f>IF($E1643="","",IF($E1642="",$E1643,$E1643*0.0392156863+I1642*0.9607843137))</f>
        <v>0</v>
      </c>
      <c r="J1643">
        <f>IF($E1643="","",IF($E1642="",$E1643,$E1643*0.0198019802+J1642*0.9801980198))</f>
        <v>0</v>
      </c>
      <c r="K1643">
        <f>IF($E1643="","",IF($E1642="",$E1643,$E1643*0.0099502488+K1642*0.9900497512))</f>
        <v>0</v>
      </c>
      <c r="L1643">
        <f>IF(OR($E1643="",$E1642=""),"",MAX($E1643-$E1642,0))</f>
        <v>0</v>
      </c>
      <c r="M1643">
        <f>IF(OR($E1643="",$E1642=""),"",MAX($E1642-$E1643,0))</f>
        <v>0</v>
      </c>
      <c r="N1643">
        <f>IF(COUNT($E$2:$E1643)&lt;15,"",IF(AVERAGE($M$1630:$M$1643)=0,100,100-100/(1+AVERAGE($L$1630:$L$1643)/AVERAGE($M$1630:$M$1643))))</f>
        <v>0</v>
      </c>
      <c r="O1643">
        <f>IF($E1643="","",IF($E1642="",$E1643,$E1643*0.1538461538+O1642*0.8461538462))</f>
        <v>0</v>
      </c>
      <c r="P1643">
        <f>IF($E1643="","",IF($E1642="",$E1643,$E1643*0.0740740741+P1642*0.9259259259))</f>
        <v>0</v>
      </c>
      <c r="Q1643">
        <f>IF(OR(O1643="",P1643=""),"",O1643-P1643)</f>
        <v>0</v>
      </c>
      <c r="R1643">
        <f>IF(Q1643="","",IF(R1642="",Q1643,Q1643*0.2000000000+R1642*0.8000000000))</f>
        <v>0</v>
      </c>
      <c r="S1643">
        <f>IF(OR(Q1643="",R1643=""),"",Q1643-R1643)</f>
        <v>0</v>
      </c>
      <c r="T1643">
        <f>IF(COUNT($E$2:$E1643)&lt;14,"",MAX($C$1630:$C$1643))</f>
        <v>0</v>
      </c>
      <c r="U1643">
        <f>IF(COUNT($E$2:$E1643)&lt;14,"",MIN($D$1630:$D$1643))</f>
        <v>0</v>
      </c>
      <c r="V1643">
        <f>IF(OR(T1643="",U1643="",T1643=U1643),"",100*($E1643-U1643)/(T1643-U1643))</f>
        <v>0</v>
      </c>
      <c r="W1643">
        <f>IF(COUNT($V$1641:$V$1643)&lt;3,"",AVERAGE($V$1641:$V$1643))</f>
        <v>0</v>
      </c>
      <c r="X1643">
        <f>IF(COUNT($N$1630:$N$1643)&lt;14,"",MIN($N$1630:$N$1643))</f>
        <v>0</v>
      </c>
      <c r="Y1643">
        <f>IF(COUNT($N$1630:$N$1643)&lt;14,"",MAX($N$1630:$N$1643))</f>
        <v>0</v>
      </c>
      <c r="Z1643">
        <f>IF(OR(N1643="",X1643="",Y1643="",Y1643=X1643),"",100*(N1643-X1643)/(Y1643-X1643))</f>
        <v>0</v>
      </c>
      <c r="AA1643">
        <f>IF(COUNT($Z$1641:$Z$1643)&lt;3,"",AVERAGE($Z$1641:$Z$1643))</f>
        <v>0</v>
      </c>
      <c r="AB1643">
        <f>IF(COUNT($AA$1641:$AA$1643)&lt;3,"",AVERAGE($AA$1641:$AA$1643))</f>
        <v>0</v>
      </c>
      <c r="AC1643">
        <f>IF($E1643="","",MAX($C1643-$D1643,ABS($C1643-$E1642),ABS($D1643-$E1642)))</f>
        <v>0</v>
      </c>
      <c r="AD1643">
        <f>IF(COUNT($E$2:$E1643)&lt;15,"",AVERAGE($AC$1630:$AC$1643))</f>
        <v>0</v>
      </c>
      <c r="AE1643">
        <f>IF(OR($E1643="",$E1642=""),"",IF(AND(($C1643-$C1642)&gt;($D1642-$D1643),($C1643-$C1642)&gt;0),$C1643-$C1642,0))</f>
        <v>0</v>
      </c>
      <c r="AF1643">
        <f>IF(OR($E1643="",$E1642=""),"",IF(AND(($D1642-$D1643)&gt;($C1643-$C1642),($D1642-$D1643)&gt;0),$D1642-$D1643,0))</f>
        <v>0</v>
      </c>
      <c r="AG1643">
        <f>IF(COUNT($E$2:$E1643)&lt;15,"",IF(SUM($AC$1630:$AC$1643)=0,0,100*SUM($AE$1630:$AE$1643)/SUM($AC$1630:$AC$1643)))</f>
        <v>0</v>
      </c>
      <c r="AH1643">
        <f>IF(COUNT($E$2:$E1643)&lt;15,"",IF(SUM($AC$1630:$AC$1643)=0,0,100*SUM($AF$1630:$AF$1643)/SUM($AC$1630:$AC$1643)))</f>
        <v>0</v>
      </c>
      <c r="AI1643">
        <f>IF(OR(AG1643="",AH1643=""),"",IF((AG1643+AH1643)=0,0,100*ABS(AG1643-AH1643)/(AG1643+AH1643)))</f>
        <v>0</v>
      </c>
      <c r="AJ1643">
        <f>IF(COUNT($AI$1630:$AI$1643)&lt;14,"",AVERAGE($AI$1630:$AI$1643))</f>
        <v>0</v>
      </c>
      <c r="AK1643">
        <f>IF(COUNT($E$2:$E1643)&lt;20,"",AVERAGE($E$1624:$E$1643))</f>
        <v>0</v>
      </c>
      <c r="AL1643">
        <f>IF(COUNT($E$2:$E1643)&lt;20,"",STDEVP($E$1624:$E$1643))</f>
        <v>0</v>
      </c>
      <c r="AM1643">
        <f>IF(AK1643="","",AK1643+2*AL1643)</f>
        <v>0</v>
      </c>
      <c r="AN1643">
        <f>IF(AK1643="","",AK1643-2*AL1643)</f>
        <v>0</v>
      </c>
      <c r="AO1643">
        <f>IF(OR(AM1643="",AN1643="",AM1643=AN1643),"",($E1643-AN1643)/(AM1643-AN1643))</f>
        <v>0</v>
      </c>
      <c r="AP1643">
        <f>IF(OR(AM1643="",AK1643="",AK1643=0),"",(AM1643-AN1643)/AK1643)</f>
        <v>0</v>
      </c>
      <c r="AQ1643">
        <f>IF(COUNT($E$2:$E1643)&lt;20,"",MAX($C$1624:$C$1643))</f>
        <v>0</v>
      </c>
      <c r="AR1643">
        <f>IF(COUNT($E$2:$E1643)&lt;20,"",MIN($D$1624:$D$1643))</f>
        <v>0</v>
      </c>
      <c r="AS1643">
        <f>IF(OR(AQ1643="",AR1643=""),"",(AQ1643+AR1643)/2)</f>
        <v>0</v>
      </c>
      <c r="AT1643">
        <f>IF(COUNT($G$1624:$G$1643)&lt;20,"",STDEV($G$1624:$G$1643)*SQRT(252))</f>
        <v>0</v>
      </c>
      <c r="AU1643">
        <f>IF(COUNT($E$2:$E1643)&lt;9,"",(MAX($C$1635:$C$1643)+MIN($D$1635:$D$1643))/2)</f>
        <v>0</v>
      </c>
      <c r="AV1643">
        <f>IF(COUNT($E$2:$E1643)&lt;26,"",(MAX($C$1618:$C$1643)+MIN($D$1618:$D$1643))/2)</f>
        <v>0</v>
      </c>
      <c r="AW1643">
        <f>IF(OR(AU1643="",AV1643=""),"",(AU1643+AV1643)/2)</f>
        <v>0</v>
      </c>
      <c r="AX1643">
        <f>IF(COUNT($E$2:$E1643)&lt;52,"",(MAX($C$1592:$C$1643)+MIN($D$1592:$D$1643))/2)</f>
        <v>0</v>
      </c>
      <c r="AY1643">
        <f>IF(COUNT($E$2:$E1643)&lt;20,"",MAX($C$1544:$C$1643))</f>
        <v>0</v>
      </c>
      <c r="AZ1643">
        <f>IF(COUNT($E$2:$E1643)&lt;20,"",MIN($D$1544:$D$1643))</f>
        <v>0</v>
      </c>
      <c r="BA1643">
        <f>IF(COUNT($E$2:$E1643)&lt;20,"",SLOPE($E$1544:$E$1643,$F$1544:$F$1643))</f>
        <v>0</v>
      </c>
      <c r="BB1643">
        <f>IF(COUNT($E$2:$E1643)&lt;20,"",INTERCEPT($E$1544:$E$1643,$F$1544:$F$1643))</f>
        <v>0</v>
      </c>
      <c r="BC1643">
        <f>IF(OR(BA1643="",BB1643=""),"",BB1643+BA1643*F1643)</f>
        <v>0</v>
      </c>
      <c r="BD1643">
        <f>IF(COUNT($E$2:$E1643)&lt;20,"",STEYX($E$1544:$E$1643,$F$1544:$F$1643))</f>
        <v>0</v>
      </c>
      <c r="BE1643">
        <f>IF($E1643="","",IF(AND(COUNT($E$1644:$E$1647)&gt;=4,$C1643=MAX($C$1639:$C$1647)),$C1643,""))</f>
        <v>0</v>
      </c>
      <c r="BF1643">
        <f>IF($E1643="","",IF(AND(COUNT($E$1644:$E$1647)&gt;=4,$D1643=MIN($D$1639:$D$1647)),$D1643,""))</f>
        <v>0</v>
      </c>
      <c r="BG1643">
        <f>IF($A1643="","",$A1643-WEEKDAY($A1643,2)+1)</f>
        <v>0</v>
      </c>
      <c r="BH1643">
        <f>IF($A1643="","",IF($A1642="",1,IF(BG1643&lt;&gt;BG1642,1,0)))</f>
        <v>0</v>
      </c>
      <c r="BI1643">
        <f>IF($A1643="","",IF($A1644="",1,IF(BG1644&lt;&gt;BG1643,1,0)))</f>
        <v>0</v>
      </c>
      <c r="BJ1643">
        <f>IF($A1643="","",IF(BH1643=1,$B1643,BJ1642))</f>
        <v>0</v>
      </c>
      <c r="BK1643">
        <f>IF($A1643="","",IF(BH1643=1,$C1643,MAX($C1643,BK1642)))</f>
        <v>0</v>
      </c>
      <c r="BL1643">
        <f>IF($A1643="","",IF(BH1643=1,$D1643,MIN($D1643,BL1642)))</f>
        <v>0</v>
      </c>
      <c r="BM1643">
        <f>IF($A1643="","",IF(BI1643=1,F1643,""))</f>
        <v>0</v>
      </c>
      <c r="BN1643">
        <f>IF($A1643="","",DATE(YEAR($A1643),MONTH($A1643),1))</f>
        <v>0</v>
      </c>
      <c r="BO1643">
        <f>IF($A1643="","",IF($A1642="",1,IF(BN1643&lt;&gt;BN1642,1,0)))</f>
        <v>0</v>
      </c>
      <c r="BP1643">
        <f>IF($A1643="","",IF($A1644="",1,IF(BN1644&lt;&gt;BN1643,1,0)))</f>
        <v>0</v>
      </c>
      <c r="BQ1643">
        <f>IF($A1643="","",IF(BO1643=1,$B1643,BQ1642))</f>
        <v>0</v>
      </c>
      <c r="BR1643">
        <f>IF($A1643="","",IF(BO1643=1,$C1643,MAX($C1643,BR1642)))</f>
        <v>0</v>
      </c>
      <c r="BS1643">
        <f>IF($A1643="","",IF(BO1643=1,$D1643,MIN($D1643,BS1642)))</f>
        <v>0</v>
      </c>
      <c r="BT1643">
        <f>IF($A1643="","",IF(BP1643=1,F1643,""))</f>
        <v>0</v>
      </c>
    </row>
    <row r="1644" spans="1:72">
      <c r="A1644" s="27">
        <f>IF(Data!$A1644="","",Data!$A1644)</f>
        <v>0</v>
      </c>
      <c r="B1644">
        <f>IF(Data!$B1644="","",Data!$B1644)</f>
        <v>0</v>
      </c>
      <c r="C1644">
        <f>IF(Data!$C1644="","",Data!$C1644)</f>
        <v>0</v>
      </c>
      <c r="D1644">
        <f>IF(Data!$D1644="","",Data!$D1644)</f>
        <v>0</v>
      </c>
      <c r="E1644">
        <f>IF(Data!$E1644="","",Data!$E1644)</f>
        <v>0</v>
      </c>
      <c r="F1644">
        <f>IF($E1644="","",N(F1643)+1)</f>
        <v>0</v>
      </c>
      <c r="G1644">
        <f>IF(OR($E1644="",$E1643=""),"",LN($E1644/$E1643))</f>
        <v>0</v>
      </c>
      <c r="H1644">
        <f>IF($E1644="","",IF($E1643="",$E1644,$E1644*0.0952380952+H1643*0.9047619048))</f>
        <v>0</v>
      </c>
      <c r="I1644">
        <f>IF($E1644="","",IF($E1643="",$E1644,$E1644*0.0392156863+I1643*0.9607843137))</f>
        <v>0</v>
      </c>
      <c r="J1644">
        <f>IF($E1644="","",IF($E1643="",$E1644,$E1644*0.0198019802+J1643*0.9801980198))</f>
        <v>0</v>
      </c>
      <c r="K1644">
        <f>IF($E1644="","",IF($E1643="",$E1644,$E1644*0.0099502488+K1643*0.9900497512))</f>
        <v>0</v>
      </c>
      <c r="L1644">
        <f>IF(OR($E1644="",$E1643=""),"",MAX($E1644-$E1643,0))</f>
        <v>0</v>
      </c>
      <c r="M1644">
        <f>IF(OR($E1644="",$E1643=""),"",MAX($E1643-$E1644,0))</f>
        <v>0</v>
      </c>
      <c r="N1644">
        <f>IF(COUNT($E$2:$E1644)&lt;15,"",IF(AVERAGE($M$1631:$M$1644)=0,100,100-100/(1+AVERAGE($L$1631:$L$1644)/AVERAGE($M$1631:$M$1644))))</f>
        <v>0</v>
      </c>
      <c r="O1644">
        <f>IF($E1644="","",IF($E1643="",$E1644,$E1644*0.1538461538+O1643*0.8461538462))</f>
        <v>0</v>
      </c>
      <c r="P1644">
        <f>IF($E1644="","",IF($E1643="",$E1644,$E1644*0.0740740741+P1643*0.9259259259))</f>
        <v>0</v>
      </c>
      <c r="Q1644">
        <f>IF(OR(O1644="",P1644=""),"",O1644-P1644)</f>
        <v>0</v>
      </c>
      <c r="R1644">
        <f>IF(Q1644="","",IF(R1643="",Q1644,Q1644*0.2000000000+R1643*0.8000000000))</f>
        <v>0</v>
      </c>
      <c r="S1644">
        <f>IF(OR(Q1644="",R1644=""),"",Q1644-R1644)</f>
        <v>0</v>
      </c>
      <c r="T1644">
        <f>IF(COUNT($E$2:$E1644)&lt;14,"",MAX($C$1631:$C$1644))</f>
        <v>0</v>
      </c>
      <c r="U1644">
        <f>IF(COUNT($E$2:$E1644)&lt;14,"",MIN($D$1631:$D$1644))</f>
        <v>0</v>
      </c>
      <c r="V1644">
        <f>IF(OR(T1644="",U1644="",T1644=U1644),"",100*($E1644-U1644)/(T1644-U1644))</f>
        <v>0</v>
      </c>
      <c r="W1644">
        <f>IF(COUNT($V$1642:$V$1644)&lt;3,"",AVERAGE($V$1642:$V$1644))</f>
        <v>0</v>
      </c>
      <c r="X1644">
        <f>IF(COUNT($N$1631:$N$1644)&lt;14,"",MIN($N$1631:$N$1644))</f>
        <v>0</v>
      </c>
      <c r="Y1644">
        <f>IF(COUNT($N$1631:$N$1644)&lt;14,"",MAX($N$1631:$N$1644))</f>
        <v>0</v>
      </c>
      <c r="Z1644">
        <f>IF(OR(N1644="",X1644="",Y1644="",Y1644=X1644),"",100*(N1644-X1644)/(Y1644-X1644))</f>
        <v>0</v>
      </c>
      <c r="AA1644">
        <f>IF(COUNT($Z$1642:$Z$1644)&lt;3,"",AVERAGE($Z$1642:$Z$1644))</f>
        <v>0</v>
      </c>
      <c r="AB1644">
        <f>IF(COUNT($AA$1642:$AA$1644)&lt;3,"",AVERAGE($AA$1642:$AA$1644))</f>
        <v>0</v>
      </c>
      <c r="AC1644">
        <f>IF($E1644="","",MAX($C1644-$D1644,ABS($C1644-$E1643),ABS($D1644-$E1643)))</f>
        <v>0</v>
      </c>
      <c r="AD1644">
        <f>IF(COUNT($E$2:$E1644)&lt;15,"",AVERAGE($AC$1631:$AC$1644))</f>
        <v>0</v>
      </c>
      <c r="AE1644">
        <f>IF(OR($E1644="",$E1643=""),"",IF(AND(($C1644-$C1643)&gt;($D1643-$D1644),($C1644-$C1643)&gt;0),$C1644-$C1643,0))</f>
        <v>0</v>
      </c>
      <c r="AF1644">
        <f>IF(OR($E1644="",$E1643=""),"",IF(AND(($D1643-$D1644)&gt;($C1644-$C1643),($D1643-$D1644)&gt;0),$D1643-$D1644,0))</f>
        <v>0</v>
      </c>
      <c r="AG1644">
        <f>IF(COUNT($E$2:$E1644)&lt;15,"",IF(SUM($AC$1631:$AC$1644)=0,0,100*SUM($AE$1631:$AE$1644)/SUM($AC$1631:$AC$1644)))</f>
        <v>0</v>
      </c>
      <c r="AH1644">
        <f>IF(COUNT($E$2:$E1644)&lt;15,"",IF(SUM($AC$1631:$AC$1644)=0,0,100*SUM($AF$1631:$AF$1644)/SUM($AC$1631:$AC$1644)))</f>
        <v>0</v>
      </c>
      <c r="AI1644">
        <f>IF(OR(AG1644="",AH1644=""),"",IF((AG1644+AH1644)=0,0,100*ABS(AG1644-AH1644)/(AG1644+AH1644)))</f>
        <v>0</v>
      </c>
      <c r="AJ1644">
        <f>IF(COUNT($AI$1631:$AI$1644)&lt;14,"",AVERAGE($AI$1631:$AI$1644))</f>
        <v>0</v>
      </c>
      <c r="AK1644">
        <f>IF(COUNT($E$2:$E1644)&lt;20,"",AVERAGE($E$1625:$E$1644))</f>
        <v>0</v>
      </c>
      <c r="AL1644">
        <f>IF(COUNT($E$2:$E1644)&lt;20,"",STDEVP($E$1625:$E$1644))</f>
        <v>0</v>
      </c>
      <c r="AM1644">
        <f>IF(AK1644="","",AK1644+2*AL1644)</f>
        <v>0</v>
      </c>
      <c r="AN1644">
        <f>IF(AK1644="","",AK1644-2*AL1644)</f>
        <v>0</v>
      </c>
      <c r="AO1644">
        <f>IF(OR(AM1644="",AN1644="",AM1644=AN1644),"",($E1644-AN1644)/(AM1644-AN1644))</f>
        <v>0</v>
      </c>
      <c r="AP1644">
        <f>IF(OR(AM1644="",AK1644="",AK1644=0),"",(AM1644-AN1644)/AK1644)</f>
        <v>0</v>
      </c>
      <c r="AQ1644">
        <f>IF(COUNT($E$2:$E1644)&lt;20,"",MAX($C$1625:$C$1644))</f>
        <v>0</v>
      </c>
      <c r="AR1644">
        <f>IF(COUNT($E$2:$E1644)&lt;20,"",MIN($D$1625:$D$1644))</f>
        <v>0</v>
      </c>
      <c r="AS1644">
        <f>IF(OR(AQ1644="",AR1644=""),"",(AQ1644+AR1644)/2)</f>
        <v>0</v>
      </c>
      <c r="AT1644">
        <f>IF(COUNT($G$1625:$G$1644)&lt;20,"",STDEV($G$1625:$G$1644)*SQRT(252))</f>
        <v>0</v>
      </c>
      <c r="AU1644">
        <f>IF(COUNT($E$2:$E1644)&lt;9,"",(MAX($C$1636:$C$1644)+MIN($D$1636:$D$1644))/2)</f>
        <v>0</v>
      </c>
      <c r="AV1644">
        <f>IF(COUNT($E$2:$E1644)&lt;26,"",(MAX($C$1619:$C$1644)+MIN($D$1619:$D$1644))/2)</f>
        <v>0</v>
      </c>
      <c r="AW1644">
        <f>IF(OR(AU1644="",AV1644=""),"",(AU1644+AV1644)/2)</f>
        <v>0</v>
      </c>
      <c r="AX1644">
        <f>IF(COUNT($E$2:$E1644)&lt;52,"",(MAX($C$1593:$C$1644)+MIN($D$1593:$D$1644))/2)</f>
        <v>0</v>
      </c>
      <c r="AY1644">
        <f>IF(COUNT($E$2:$E1644)&lt;20,"",MAX($C$1545:$C$1644))</f>
        <v>0</v>
      </c>
      <c r="AZ1644">
        <f>IF(COUNT($E$2:$E1644)&lt;20,"",MIN($D$1545:$D$1644))</f>
        <v>0</v>
      </c>
      <c r="BA1644">
        <f>IF(COUNT($E$2:$E1644)&lt;20,"",SLOPE($E$1545:$E$1644,$F$1545:$F$1644))</f>
        <v>0</v>
      </c>
      <c r="BB1644">
        <f>IF(COUNT($E$2:$E1644)&lt;20,"",INTERCEPT($E$1545:$E$1644,$F$1545:$F$1644))</f>
        <v>0</v>
      </c>
      <c r="BC1644">
        <f>IF(OR(BA1644="",BB1644=""),"",BB1644+BA1644*F1644)</f>
        <v>0</v>
      </c>
      <c r="BD1644">
        <f>IF(COUNT($E$2:$E1644)&lt;20,"",STEYX($E$1545:$E$1644,$F$1545:$F$1644))</f>
        <v>0</v>
      </c>
      <c r="BE1644">
        <f>IF($E1644="","",IF(AND(COUNT($E$1645:$E$1648)&gt;=4,$C1644=MAX($C$1640:$C$1648)),$C1644,""))</f>
        <v>0</v>
      </c>
      <c r="BF1644">
        <f>IF($E1644="","",IF(AND(COUNT($E$1645:$E$1648)&gt;=4,$D1644=MIN($D$1640:$D$1648)),$D1644,""))</f>
        <v>0</v>
      </c>
      <c r="BG1644">
        <f>IF($A1644="","",$A1644-WEEKDAY($A1644,2)+1)</f>
        <v>0</v>
      </c>
      <c r="BH1644">
        <f>IF($A1644="","",IF($A1643="",1,IF(BG1644&lt;&gt;BG1643,1,0)))</f>
        <v>0</v>
      </c>
      <c r="BI1644">
        <f>IF($A1644="","",IF($A1645="",1,IF(BG1645&lt;&gt;BG1644,1,0)))</f>
        <v>0</v>
      </c>
      <c r="BJ1644">
        <f>IF($A1644="","",IF(BH1644=1,$B1644,BJ1643))</f>
        <v>0</v>
      </c>
      <c r="BK1644">
        <f>IF($A1644="","",IF(BH1644=1,$C1644,MAX($C1644,BK1643)))</f>
        <v>0</v>
      </c>
      <c r="BL1644">
        <f>IF($A1644="","",IF(BH1644=1,$D1644,MIN($D1644,BL1643)))</f>
        <v>0</v>
      </c>
      <c r="BM1644">
        <f>IF($A1644="","",IF(BI1644=1,F1644,""))</f>
        <v>0</v>
      </c>
      <c r="BN1644">
        <f>IF($A1644="","",DATE(YEAR($A1644),MONTH($A1644),1))</f>
        <v>0</v>
      </c>
      <c r="BO1644">
        <f>IF($A1644="","",IF($A1643="",1,IF(BN1644&lt;&gt;BN1643,1,0)))</f>
        <v>0</v>
      </c>
      <c r="BP1644">
        <f>IF($A1644="","",IF($A1645="",1,IF(BN1645&lt;&gt;BN1644,1,0)))</f>
        <v>0</v>
      </c>
      <c r="BQ1644">
        <f>IF($A1644="","",IF(BO1644=1,$B1644,BQ1643))</f>
        <v>0</v>
      </c>
      <c r="BR1644">
        <f>IF($A1644="","",IF(BO1644=1,$C1644,MAX($C1644,BR1643)))</f>
        <v>0</v>
      </c>
      <c r="BS1644">
        <f>IF($A1644="","",IF(BO1644=1,$D1644,MIN($D1644,BS1643)))</f>
        <v>0</v>
      </c>
      <c r="BT1644">
        <f>IF($A1644="","",IF(BP1644=1,F1644,""))</f>
        <v>0</v>
      </c>
    </row>
    <row r="1645" spans="1:72">
      <c r="A1645" s="27">
        <f>IF(Data!$A1645="","",Data!$A1645)</f>
        <v>0</v>
      </c>
      <c r="B1645">
        <f>IF(Data!$B1645="","",Data!$B1645)</f>
        <v>0</v>
      </c>
      <c r="C1645">
        <f>IF(Data!$C1645="","",Data!$C1645)</f>
        <v>0</v>
      </c>
      <c r="D1645">
        <f>IF(Data!$D1645="","",Data!$D1645)</f>
        <v>0</v>
      </c>
      <c r="E1645">
        <f>IF(Data!$E1645="","",Data!$E1645)</f>
        <v>0</v>
      </c>
      <c r="F1645">
        <f>IF($E1645="","",N(F1644)+1)</f>
        <v>0</v>
      </c>
      <c r="G1645">
        <f>IF(OR($E1645="",$E1644=""),"",LN($E1645/$E1644))</f>
        <v>0</v>
      </c>
      <c r="H1645">
        <f>IF($E1645="","",IF($E1644="",$E1645,$E1645*0.0952380952+H1644*0.9047619048))</f>
        <v>0</v>
      </c>
      <c r="I1645">
        <f>IF($E1645="","",IF($E1644="",$E1645,$E1645*0.0392156863+I1644*0.9607843137))</f>
        <v>0</v>
      </c>
      <c r="J1645">
        <f>IF($E1645="","",IF($E1644="",$E1645,$E1645*0.0198019802+J1644*0.9801980198))</f>
        <v>0</v>
      </c>
      <c r="K1645">
        <f>IF($E1645="","",IF($E1644="",$E1645,$E1645*0.0099502488+K1644*0.9900497512))</f>
        <v>0</v>
      </c>
      <c r="L1645">
        <f>IF(OR($E1645="",$E1644=""),"",MAX($E1645-$E1644,0))</f>
        <v>0</v>
      </c>
      <c r="M1645">
        <f>IF(OR($E1645="",$E1644=""),"",MAX($E1644-$E1645,0))</f>
        <v>0</v>
      </c>
      <c r="N1645">
        <f>IF(COUNT($E$2:$E1645)&lt;15,"",IF(AVERAGE($M$1632:$M$1645)=0,100,100-100/(1+AVERAGE($L$1632:$L$1645)/AVERAGE($M$1632:$M$1645))))</f>
        <v>0</v>
      </c>
      <c r="O1645">
        <f>IF($E1645="","",IF($E1644="",$E1645,$E1645*0.1538461538+O1644*0.8461538462))</f>
        <v>0</v>
      </c>
      <c r="P1645">
        <f>IF($E1645="","",IF($E1644="",$E1645,$E1645*0.0740740741+P1644*0.9259259259))</f>
        <v>0</v>
      </c>
      <c r="Q1645">
        <f>IF(OR(O1645="",P1645=""),"",O1645-P1645)</f>
        <v>0</v>
      </c>
      <c r="R1645">
        <f>IF(Q1645="","",IF(R1644="",Q1645,Q1645*0.2000000000+R1644*0.8000000000))</f>
        <v>0</v>
      </c>
      <c r="S1645">
        <f>IF(OR(Q1645="",R1645=""),"",Q1645-R1645)</f>
        <v>0</v>
      </c>
      <c r="T1645">
        <f>IF(COUNT($E$2:$E1645)&lt;14,"",MAX($C$1632:$C$1645))</f>
        <v>0</v>
      </c>
      <c r="U1645">
        <f>IF(COUNT($E$2:$E1645)&lt;14,"",MIN($D$1632:$D$1645))</f>
        <v>0</v>
      </c>
      <c r="V1645">
        <f>IF(OR(T1645="",U1645="",T1645=U1645),"",100*($E1645-U1645)/(T1645-U1645))</f>
        <v>0</v>
      </c>
      <c r="W1645">
        <f>IF(COUNT($V$1643:$V$1645)&lt;3,"",AVERAGE($V$1643:$V$1645))</f>
        <v>0</v>
      </c>
      <c r="X1645">
        <f>IF(COUNT($N$1632:$N$1645)&lt;14,"",MIN($N$1632:$N$1645))</f>
        <v>0</v>
      </c>
      <c r="Y1645">
        <f>IF(COUNT($N$1632:$N$1645)&lt;14,"",MAX($N$1632:$N$1645))</f>
        <v>0</v>
      </c>
      <c r="Z1645">
        <f>IF(OR(N1645="",X1645="",Y1645="",Y1645=X1645),"",100*(N1645-X1645)/(Y1645-X1645))</f>
        <v>0</v>
      </c>
      <c r="AA1645">
        <f>IF(COUNT($Z$1643:$Z$1645)&lt;3,"",AVERAGE($Z$1643:$Z$1645))</f>
        <v>0</v>
      </c>
      <c r="AB1645">
        <f>IF(COUNT($AA$1643:$AA$1645)&lt;3,"",AVERAGE($AA$1643:$AA$1645))</f>
        <v>0</v>
      </c>
      <c r="AC1645">
        <f>IF($E1645="","",MAX($C1645-$D1645,ABS($C1645-$E1644),ABS($D1645-$E1644)))</f>
        <v>0</v>
      </c>
      <c r="AD1645">
        <f>IF(COUNT($E$2:$E1645)&lt;15,"",AVERAGE($AC$1632:$AC$1645))</f>
        <v>0</v>
      </c>
      <c r="AE1645">
        <f>IF(OR($E1645="",$E1644=""),"",IF(AND(($C1645-$C1644)&gt;($D1644-$D1645),($C1645-$C1644)&gt;0),$C1645-$C1644,0))</f>
        <v>0</v>
      </c>
      <c r="AF1645">
        <f>IF(OR($E1645="",$E1644=""),"",IF(AND(($D1644-$D1645)&gt;($C1645-$C1644),($D1644-$D1645)&gt;0),$D1644-$D1645,0))</f>
        <v>0</v>
      </c>
      <c r="AG1645">
        <f>IF(COUNT($E$2:$E1645)&lt;15,"",IF(SUM($AC$1632:$AC$1645)=0,0,100*SUM($AE$1632:$AE$1645)/SUM($AC$1632:$AC$1645)))</f>
        <v>0</v>
      </c>
      <c r="AH1645">
        <f>IF(COUNT($E$2:$E1645)&lt;15,"",IF(SUM($AC$1632:$AC$1645)=0,0,100*SUM($AF$1632:$AF$1645)/SUM($AC$1632:$AC$1645)))</f>
        <v>0</v>
      </c>
      <c r="AI1645">
        <f>IF(OR(AG1645="",AH1645=""),"",IF((AG1645+AH1645)=0,0,100*ABS(AG1645-AH1645)/(AG1645+AH1645)))</f>
        <v>0</v>
      </c>
      <c r="AJ1645">
        <f>IF(COUNT($AI$1632:$AI$1645)&lt;14,"",AVERAGE($AI$1632:$AI$1645))</f>
        <v>0</v>
      </c>
      <c r="AK1645">
        <f>IF(COUNT($E$2:$E1645)&lt;20,"",AVERAGE($E$1626:$E$1645))</f>
        <v>0</v>
      </c>
      <c r="AL1645">
        <f>IF(COUNT($E$2:$E1645)&lt;20,"",STDEVP($E$1626:$E$1645))</f>
        <v>0</v>
      </c>
      <c r="AM1645">
        <f>IF(AK1645="","",AK1645+2*AL1645)</f>
        <v>0</v>
      </c>
      <c r="AN1645">
        <f>IF(AK1645="","",AK1645-2*AL1645)</f>
        <v>0</v>
      </c>
      <c r="AO1645">
        <f>IF(OR(AM1645="",AN1645="",AM1645=AN1645),"",($E1645-AN1645)/(AM1645-AN1645))</f>
        <v>0</v>
      </c>
      <c r="AP1645">
        <f>IF(OR(AM1645="",AK1645="",AK1645=0),"",(AM1645-AN1645)/AK1645)</f>
        <v>0</v>
      </c>
      <c r="AQ1645">
        <f>IF(COUNT($E$2:$E1645)&lt;20,"",MAX($C$1626:$C$1645))</f>
        <v>0</v>
      </c>
      <c r="AR1645">
        <f>IF(COUNT($E$2:$E1645)&lt;20,"",MIN($D$1626:$D$1645))</f>
        <v>0</v>
      </c>
      <c r="AS1645">
        <f>IF(OR(AQ1645="",AR1645=""),"",(AQ1645+AR1645)/2)</f>
        <v>0</v>
      </c>
      <c r="AT1645">
        <f>IF(COUNT($G$1626:$G$1645)&lt;20,"",STDEV($G$1626:$G$1645)*SQRT(252))</f>
        <v>0</v>
      </c>
      <c r="AU1645">
        <f>IF(COUNT($E$2:$E1645)&lt;9,"",(MAX($C$1637:$C$1645)+MIN($D$1637:$D$1645))/2)</f>
        <v>0</v>
      </c>
      <c r="AV1645">
        <f>IF(COUNT($E$2:$E1645)&lt;26,"",(MAX($C$1620:$C$1645)+MIN($D$1620:$D$1645))/2)</f>
        <v>0</v>
      </c>
      <c r="AW1645">
        <f>IF(OR(AU1645="",AV1645=""),"",(AU1645+AV1645)/2)</f>
        <v>0</v>
      </c>
      <c r="AX1645">
        <f>IF(COUNT($E$2:$E1645)&lt;52,"",(MAX($C$1594:$C$1645)+MIN($D$1594:$D$1645))/2)</f>
        <v>0</v>
      </c>
      <c r="AY1645">
        <f>IF(COUNT($E$2:$E1645)&lt;20,"",MAX($C$1546:$C$1645))</f>
        <v>0</v>
      </c>
      <c r="AZ1645">
        <f>IF(COUNT($E$2:$E1645)&lt;20,"",MIN($D$1546:$D$1645))</f>
        <v>0</v>
      </c>
      <c r="BA1645">
        <f>IF(COUNT($E$2:$E1645)&lt;20,"",SLOPE($E$1546:$E$1645,$F$1546:$F$1645))</f>
        <v>0</v>
      </c>
      <c r="BB1645">
        <f>IF(COUNT($E$2:$E1645)&lt;20,"",INTERCEPT($E$1546:$E$1645,$F$1546:$F$1645))</f>
        <v>0</v>
      </c>
      <c r="BC1645">
        <f>IF(OR(BA1645="",BB1645=""),"",BB1645+BA1645*F1645)</f>
        <v>0</v>
      </c>
      <c r="BD1645">
        <f>IF(COUNT($E$2:$E1645)&lt;20,"",STEYX($E$1546:$E$1645,$F$1546:$F$1645))</f>
        <v>0</v>
      </c>
      <c r="BE1645">
        <f>IF($E1645="","",IF(AND(COUNT($E$1646:$E$1649)&gt;=4,$C1645=MAX($C$1641:$C$1649)),$C1645,""))</f>
        <v>0</v>
      </c>
      <c r="BF1645">
        <f>IF($E1645="","",IF(AND(COUNT($E$1646:$E$1649)&gt;=4,$D1645=MIN($D$1641:$D$1649)),$D1645,""))</f>
        <v>0</v>
      </c>
      <c r="BG1645">
        <f>IF($A1645="","",$A1645-WEEKDAY($A1645,2)+1)</f>
        <v>0</v>
      </c>
      <c r="BH1645">
        <f>IF($A1645="","",IF($A1644="",1,IF(BG1645&lt;&gt;BG1644,1,0)))</f>
        <v>0</v>
      </c>
      <c r="BI1645">
        <f>IF($A1645="","",IF($A1646="",1,IF(BG1646&lt;&gt;BG1645,1,0)))</f>
        <v>0</v>
      </c>
      <c r="BJ1645">
        <f>IF($A1645="","",IF(BH1645=1,$B1645,BJ1644))</f>
        <v>0</v>
      </c>
      <c r="BK1645">
        <f>IF($A1645="","",IF(BH1645=1,$C1645,MAX($C1645,BK1644)))</f>
        <v>0</v>
      </c>
      <c r="BL1645">
        <f>IF($A1645="","",IF(BH1645=1,$D1645,MIN($D1645,BL1644)))</f>
        <v>0</v>
      </c>
      <c r="BM1645">
        <f>IF($A1645="","",IF(BI1645=1,F1645,""))</f>
        <v>0</v>
      </c>
      <c r="BN1645">
        <f>IF($A1645="","",DATE(YEAR($A1645),MONTH($A1645),1))</f>
        <v>0</v>
      </c>
      <c r="BO1645">
        <f>IF($A1645="","",IF($A1644="",1,IF(BN1645&lt;&gt;BN1644,1,0)))</f>
        <v>0</v>
      </c>
      <c r="BP1645">
        <f>IF($A1645="","",IF($A1646="",1,IF(BN1646&lt;&gt;BN1645,1,0)))</f>
        <v>0</v>
      </c>
      <c r="BQ1645">
        <f>IF($A1645="","",IF(BO1645=1,$B1645,BQ1644))</f>
        <v>0</v>
      </c>
      <c r="BR1645">
        <f>IF($A1645="","",IF(BO1645=1,$C1645,MAX($C1645,BR1644)))</f>
        <v>0</v>
      </c>
      <c r="BS1645">
        <f>IF($A1645="","",IF(BO1645=1,$D1645,MIN($D1645,BS1644)))</f>
        <v>0</v>
      </c>
      <c r="BT1645">
        <f>IF($A1645="","",IF(BP1645=1,F1645,""))</f>
        <v>0</v>
      </c>
    </row>
    <row r="1646" spans="1:72">
      <c r="A1646" s="27">
        <f>IF(Data!$A1646="","",Data!$A1646)</f>
        <v>0</v>
      </c>
      <c r="B1646">
        <f>IF(Data!$B1646="","",Data!$B1646)</f>
        <v>0</v>
      </c>
      <c r="C1646">
        <f>IF(Data!$C1646="","",Data!$C1646)</f>
        <v>0</v>
      </c>
      <c r="D1646">
        <f>IF(Data!$D1646="","",Data!$D1646)</f>
        <v>0</v>
      </c>
      <c r="E1646">
        <f>IF(Data!$E1646="","",Data!$E1646)</f>
        <v>0</v>
      </c>
      <c r="F1646">
        <f>IF($E1646="","",N(F1645)+1)</f>
        <v>0</v>
      </c>
      <c r="G1646">
        <f>IF(OR($E1646="",$E1645=""),"",LN($E1646/$E1645))</f>
        <v>0</v>
      </c>
      <c r="H1646">
        <f>IF($E1646="","",IF($E1645="",$E1646,$E1646*0.0952380952+H1645*0.9047619048))</f>
        <v>0</v>
      </c>
      <c r="I1646">
        <f>IF($E1646="","",IF($E1645="",$E1646,$E1646*0.0392156863+I1645*0.9607843137))</f>
        <v>0</v>
      </c>
      <c r="J1646">
        <f>IF($E1646="","",IF($E1645="",$E1646,$E1646*0.0198019802+J1645*0.9801980198))</f>
        <v>0</v>
      </c>
      <c r="K1646">
        <f>IF($E1646="","",IF($E1645="",$E1646,$E1646*0.0099502488+K1645*0.9900497512))</f>
        <v>0</v>
      </c>
      <c r="L1646">
        <f>IF(OR($E1646="",$E1645=""),"",MAX($E1646-$E1645,0))</f>
        <v>0</v>
      </c>
      <c r="M1646">
        <f>IF(OR($E1646="",$E1645=""),"",MAX($E1645-$E1646,0))</f>
        <v>0</v>
      </c>
      <c r="N1646">
        <f>IF(COUNT($E$2:$E1646)&lt;15,"",IF(AVERAGE($M$1633:$M$1646)=0,100,100-100/(1+AVERAGE($L$1633:$L$1646)/AVERAGE($M$1633:$M$1646))))</f>
        <v>0</v>
      </c>
      <c r="O1646">
        <f>IF($E1646="","",IF($E1645="",$E1646,$E1646*0.1538461538+O1645*0.8461538462))</f>
        <v>0</v>
      </c>
      <c r="P1646">
        <f>IF($E1646="","",IF($E1645="",$E1646,$E1646*0.0740740741+P1645*0.9259259259))</f>
        <v>0</v>
      </c>
      <c r="Q1646">
        <f>IF(OR(O1646="",P1646=""),"",O1646-P1646)</f>
        <v>0</v>
      </c>
      <c r="R1646">
        <f>IF(Q1646="","",IF(R1645="",Q1646,Q1646*0.2000000000+R1645*0.8000000000))</f>
        <v>0</v>
      </c>
      <c r="S1646">
        <f>IF(OR(Q1646="",R1646=""),"",Q1646-R1646)</f>
        <v>0</v>
      </c>
      <c r="T1646">
        <f>IF(COUNT($E$2:$E1646)&lt;14,"",MAX($C$1633:$C$1646))</f>
        <v>0</v>
      </c>
      <c r="U1646">
        <f>IF(COUNT($E$2:$E1646)&lt;14,"",MIN($D$1633:$D$1646))</f>
        <v>0</v>
      </c>
      <c r="V1646">
        <f>IF(OR(T1646="",U1646="",T1646=U1646),"",100*($E1646-U1646)/(T1646-U1646))</f>
        <v>0</v>
      </c>
      <c r="W1646">
        <f>IF(COUNT($V$1644:$V$1646)&lt;3,"",AVERAGE($V$1644:$V$1646))</f>
        <v>0</v>
      </c>
      <c r="X1646">
        <f>IF(COUNT($N$1633:$N$1646)&lt;14,"",MIN($N$1633:$N$1646))</f>
        <v>0</v>
      </c>
      <c r="Y1646">
        <f>IF(COUNT($N$1633:$N$1646)&lt;14,"",MAX($N$1633:$N$1646))</f>
        <v>0</v>
      </c>
      <c r="Z1646">
        <f>IF(OR(N1646="",X1646="",Y1646="",Y1646=X1646),"",100*(N1646-X1646)/(Y1646-X1646))</f>
        <v>0</v>
      </c>
      <c r="AA1646">
        <f>IF(COUNT($Z$1644:$Z$1646)&lt;3,"",AVERAGE($Z$1644:$Z$1646))</f>
        <v>0</v>
      </c>
      <c r="AB1646">
        <f>IF(COUNT($AA$1644:$AA$1646)&lt;3,"",AVERAGE($AA$1644:$AA$1646))</f>
        <v>0</v>
      </c>
      <c r="AC1646">
        <f>IF($E1646="","",MAX($C1646-$D1646,ABS($C1646-$E1645),ABS($D1646-$E1645)))</f>
        <v>0</v>
      </c>
      <c r="AD1646">
        <f>IF(COUNT($E$2:$E1646)&lt;15,"",AVERAGE($AC$1633:$AC$1646))</f>
        <v>0</v>
      </c>
      <c r="AE1646">
        <f>IF(OR($E1646="",$E1645=""),"",IF(AND(($C1646-$C1645)&gt;($D1645-$D1646),($C1646-$C1645)&gt;0),$C1646-$C1645,0))</f>
        <v>0</v>
      </c>
      <c r="AF1646">
        <f>IF(OR($E1646="",$E1645=""),"",IF(AND(($D1645-$D1646)&gt;($C1646-$C1645),($D1645-$D1646)&gt;0),$D1645-$D1646,0))</f>
        <v>0</v>
      </c>
      <c r="AG1646">
        <f>IF(COUNT($E$2:$E1646)&lt;15,"",IF(SUM($AC$1633:$AC$1646)=0,0,100*SUM($AE$1633:$AE$1646)/SUM($AC$1633:$AC$1646)))</f>
        <v>0</v>
      </c>
      <c r="AH1646">
        <f>IF(COUNT($E$2:$E1646)&lt;15,"",IF(SUM($AC$1633:$AC$1646)=0,0,100*SUM($AF$1633:$AF$1646)/SUM($AC$1633:$AC$1646)))</f>
        <v>0</v>
      </c>
      <c r="AI1646">
        <f>IF(OR(AG1646="",AH1646=""),"",IF((AG1646+AH1646)=0,0,100*ABS(AG1646-AH1646)/(AG1646+AH1646)))</f>
        <v>0</v>
      </c>
      <c r="AJ1646">
        <f>IF(COUNT($AI$1633:$AI$1646)&lt;14,"",AVERAGE($AI$1633:$AI$1646))</f>
        <v>0</v>
      </c>
      <c r="AK1646">
        <f>IF(COUNT($E$2:$E1646)&lt;20,"",AVERAGE($E$1627:$E$1646))</f>
        <v>0</v>
      </c>
      <c r="AL1646">
        <f>IF(COUNT($E$2:$E1646)&lt;20,"",STDEVP($E$1627:$E$1646))</f>
        <v>0</v>
      </c>
      <c r="AM1646">
        <f>IF(AK1646="","",AK1646+2*AL1646)</f>
        <v>0</v>
      </c>
      <c r="AN1646">
        <f>IF(AK1646="","",AK1646-2*AL1646)</f>
        <v>0</v>
      </c>
      <c r="AO1646">
        <f>IF(OR(AM1646="",AN1646="",AM1646=AN1646),"",($E1646-AN1646)/(AM1646-AN1646))</f>
        <v>0</v>
      </c>
      <c r="AP1646">
        <f>IF(OR(AM1646="",AK1646="",AK1646=0),"",(AM1646-AN1646)/AK1646)</f>
        <v>0</v>
      </c>
      <c r="AQ1646">
        <f>IF(COUNT($E$2:$E1646)&lt;20,"",MAX($C$1627:$C$1646))</f>
        <v>0</v>
      </c>
      <c r="AR1646">
        <f>IF(COUNT($E$2:$E1646)&lt;20,"",MIN($D$1627:$D$1646))</f>
        <v>0</v>
      </c>
      <c r="AS1646">
        <f>IF(OR(AQ1646="",AR1646=""),"",(AQ1646+AR1646)/2)</f>
        <v>0</v>
      </c>
      <c r="AT1646">
        <f>IF(COUNT($G$1627:$G$1646)&lt;20,"",STDEV($G$1627:$G$1646)*SQRT(252))</f>
        <v>0</v>
      </c>
      <c r="AU1646">
        <f>IF(COUNT($E$2:$E1646)&lt;9,"",(MAX($C$1638:$C$1646)+MIN($D$1638:$D$1646))/2)</f>
        <v>0</v>
      </c>
      <c r="AV1646">
        <f>IF(COUNT($E$2:$E1646)&lt;26,"",(MAX($C$1621:$C$1646)+MIN($D$1621:$D$1646))/2)</f>
        <v>0</v>
      </c>
      <c r="AW1646">
        <f>IF(OR(AU1646="",AV1646=""),"",(AU1646+AV1646)/2)</f>
        <v>0</v>
      </c>
      <c r="AX1646">
        <f>IF(COUNT($E$2:$E1646)&lt;52,"",(MAX($C$1595:$C$1646)+MIN($D$1595:$D$1646))/2)</f>
        <v>0</v>
      </c>
      <c r="AY1646">
        <f>IF(COUNT($E$2:$E1646)&lt;20,"",MAX($C$1547:$C$1646))</f>
        <v>0</v>
      </c>
      <c r="AZ1646">
        <f>IF(COUNT($E$2:$E1646)&lt;20,"",MIN($D$1547:$D$1646))</f>
        <v>0</v>
      </c>
      <c r="BA1646">
        <f>IF(COUNT($E$2:$E1646)&lt;20,"",SLOPE($E$1547:$E$1646,$F$1547:$F$1646))</f>
        <v>0</v>
      </c>
      <c r="BB1646">
        <f>IF(COUNT($E$2:$E1646)&lt;20,"",INTERCEPT($E$1547:$E$1646,$F$1547:$F$1646))</f>
        <v>0</v>
      </c>
      <c r="BC1646">
        <f>IF(OR(BA1646="",BB1646=""),"",BB1646+BA1646*F1646)</f>
        <v>0</v>
      </c>
      <c r="BD1646">
        <f>IF(COUNT($E$2:$E1646)&lt;20,"",STEYX($E$1547:$E$1646,$F$1547:$F$1646))</f>
        <v>0</v>
      </c>
      <c r="BE1646">
        <f>IF($E1646="","",IF(AND(COUNT($E$1647:$E$1650)&gt;=4,$C1646=MAX($C$1642:$C$1650)),$C1646,""))</f>
        <v>0</v>
      </c>
      <c r="BF1646">
        <f>IF($E1646="","",IF(AND(COUNT($E$1647:$E$1650)&gt;=4,$D1646=MIN($D$1642:$D$1650)),$D1646,""))</f>
        <v>0</v>
      </c>
      <c r="BG1646">
        <f>IF($A1646="","",$A1646-WEEKDAY($A1646,2)+1)</f>
        <v>0</v>
      </c>
      <c r="BH1646">
        <f>IF($A1646="","",IF($A1645="",1,IF(BG1646&lt;&gt;BG1645,1,0)))</f>
        <v>0</v>
      </c>
      <c r="BI1646">
        <f>IF($A1646="","",IF($A1647="",1,IF(BG1647&lt;&gt;BG1646,1,0)))</f>
        <v>0</v>
      </c>
      <c r="BJ1646">
        <f>IF($A1646="","",IF(BH1646=1,$B1646,BJ1645))</f>
        <v>0</v>
      </c>
      <c r="BK1646">
        <f>IF($A1646="","",IF(BH1646=1,$C1646,MAX($C1646,BK1645)))</f>
        <v>0</v>
      </c>
      <c r="BL1646">
        <f>IF($A1646="","",IF(BH1646=1,$D1646,MIN($D1646,BL1645)))</f>
        <v>0</v>
      </c>
      <c r="BM1646">
        <f>IF($A1646="","",IF(BI1646=1,F1646,""))</f>
        <v>0</v>
      </c>
      <c r="BN1646">
        <f>IF($A1646="","",DATE(YEAR($A1646),MONTH($A1646),1))</f>
        <v>0</v>
      </c>
      <c r="BO1646">
        <f>IF($A1646="","",IF($A1645="",1,IF(BN1646&lt;&gt;BN1645,1,0)))</f>
        <v>0</v>
      </c>
      <c r="BP1646">
        <f>IF($A1646="","",IF($A1647="",1,IF(BN1647&lt;&gt;BN1646,1,0)))</f>
        <v>0</v>
      </c>
      <c r="BQ1646">
        <f>IF($A1646="","",IF(BO1646=1,$B1646,BQ1645))</f>
        <v>0</v>
      </c>
      <c r="BR1646">
        <f>IF($A1646="","",IF(BO1646=1,$C1646,MAX($C1646,BR1645)))</f>
        <v>0</v>
      </c>
      <c r="BS1646">
        <f>IF($A1646="","",IF(BO1646=1,$D1646,MIN($D1646,BS1645)))</f>
        <v>0</v>
      </c>
      <c r="BT1646">
        <f>IF($A1646="","",IF(BP1646=1,F1646,""))</f>
        <v>0</v>
      </c>
    </row>
    <row r="1647" spans="1:72">
      <c r="A1647" s="27">
        <f>IF(Data!$A1647="","",Data!$A1647)</f>
        <v>0</v>
      </c>
      <c r="B1647">
        <f>IF(Data!$B1647="","",Data!$B1647)</f>
        <v>0</v>
      </c>
      <c r="C1647">
        <f>IF(Data!$C1647="","",Data!$C1647)</f>
        <v>0</v>
      </c>
      <c r="D1647">
        <f>IF(Data!$D1647="","",Data!$D1647)</f>
        <v>0</v>
      </c>
      <c r="E1647">
        <f>IF(Data!$E1647="","",Data!$E1647)</f>
        <v>0</v>
      </c>
      <c r="F1647">
        <f>IF($E1647="","",N(F1646)+1)</f>
        <v>0</v>
      </c>
      <c r="G1647">
        <f>IF(OR($E1647="",$E1646=""),"",LN($E1647/$E1646))</f>
        <v>0</v>
      </c>
      <c r="H1647">
        <f>IF($E1647="","",IF($E1646="",$E1647,$E1647*0.0952380952+H1646*0.9047619048))</f>
        <v>0</v>
      </c>
      <c r="I1647">
        <f>IF($E1647="","",IF($E1646="",$E1647,$E1647*0.0392156863+I1646*0.9607843137))</f>
        <v>0</v>
      </c>
      <c r="J1647">
        <f>IF($E1647="","",IF($E1646="",$E1647,$E1647*0.0198019802+J1646*0.9801980198))</f>
        <v>0</v>
      </c>
      <c r="K1647">
        <f>IF($E1647="","",IF($E1646="",$E1647,$E1647*0.0099502488+K1646*0.9900497512))</f>
        <v>0</v>
      </c>
      <c r="L1647">
        <f>IF(OR($E1647="",$E1646=""),"",MAX($E1647-$E1646,0))</f>
        <v>0</v>
      </c>
      <c r="M1647">
        <f>IF(OR($E1647="",$E1646=""),"",MAX($E1646-$E1647,0))</f>
        <v>0</v>
      </c>
      <c r="N1647">
        <f>IF(COUNT($E$2:$E1647)&lt;15,"",IF(AVERAGE($M$1634:$M$1647)=0,100,100-100/(1+AVERAGE($L$1634:$L$1647)/AVERAGE($M$1634:$M$1647))))</f>
        <v>0</v>
      </c>
      <c r="O1647">
        <f>IF($E1647="","",IF($E1646="",$E1647,$E1647*0.1538461538+O1646*0.8461538462))</f>
        <v>0</v>
      </c>
      <c r="P1647">
        <f>IF($E1647="","",IF($E1646="",$E1647,$E1647*0.0740740741+P1646*0.9259259259))</f>
        <v>0</v>
      </c>
      <c r="Q1647">
        <f>IF(OR(O1647="",P1647=""),"",O1647-P1647)</f>
        <v>0</v>
      </c>
      <c r="R1647">
        <f>IF(Q1647="","",IF(R1646="",Q1647,Q1647*0.2000000000+R1646*0.8000000000))</f>
        <v>0</v>
      </c>
      <c r="S1647">
        <f>IF(OR(Q1647="",R1647=""),"",Q1647-R1647)</f>
        <v>0</v>
      </c>
      <c r="T1647">
        <f>IF(COUNT($E$2:$E1647)&lt;14,"",MAX($C$1634:$C$1647))</f>
        <v>0</v>
      </c>
      <c r="U1647">
        <f>IF(COUNT($E$2:$E1647)&lt;14,"",MIN($D$1634:$D$1647))</f>
        <v>0</v>
      </c>
      <c r="V1647">
        <f>IF(OR(T1647="",U1647="",T1647=U1647),"",100*($E1647-U1647)/(T1647-U1647))</f>
        <v>0</v>
      </c>
      <c r="W1647">
        <f>IF(COUNT($V$1645:$V$1647)&lt;3,"",AVERAGE($V$1645:$V$1647))</f>
        <v>0</v>
      </c>
      <c r="X1647">
        <f>IF(COUNT($N$1634:$N$1647)&lt;14,"",MIN($N$1634:$N$1647))</f>
        <v>0</v>
      </c>
      <c r="Y1647">
        <f>IF(COUNT($N$1634:$N$1647)&lt;14,"",MAX($N$1634:$N$1647))</f>
        <v>0</v>
      </c>
      <c r="Z1647">
        <f>IF(OR(N1647="",X1647="",Y1647="",Y1647=X1647),"",100*(N1647-X1647)/(Y1647-X1647))</f>
        <v>0</v>
      </c>
      <c r="AA1647">
        <f>IF(COUNT($Z$1645:$Z$1647)&lt;3,"",AVERAGE($Z$1645:$Z$1647))</f>
        <v>0</v>
      </c>
      <c r="AB1647">
        <f>IF(COUNT($AA$1645:$AA$1647)&lt;3,"",AVERAGE($AA$1645:$AA$1647))</f>
        <v>0</v>
      </c>
      <c r="AC1647">
        <f>IF($E1647="","",MAX($C1647-$D1647,ABS($C1647-$E1646),ABS($D1647-$E1646)))</f>
        <v>0</v>
      </c>
      <c r="AD1647">
        <f>IF(COUNT($E$2:$E1647)&lt;15,"",AVERAGE($AC$1634:$AC$1647))</f>
        <v>0</v>
      </c>
      <c r="AE1647">
        <f>IF(OR($E1647="",$E1646=""),"",IF(AND(($C1647-$C1646)&gt;($D1646-$D1647),($C1647-$C1646)&gt;0),$C1647-$C1646,0))</f>
        <v>0</v>
      </c>
      <c r="AF1647">
        <f>IF(OR($E1647="",$E1646=""),"",IF(AND(($D1646-$D1647)&gt;($C1647-$C1646),($D1646-$D1647)&gt;0),$D1646-$D1647,0))</f>
        <v>0</v>
      </c>
      <c r="AG1647">
        <f>IF(COUNT($E$2:$E1647)&lt;15,"",IF(SUM($AC$1634:$AC$1647)=0,0,100*SUM($AE$1634:$AE$1647)/SUM($AC$1634:$AC$1647)))</f>
        <v>0</v>
      </c>
      <c r="AH1647">
        <f>IF(COUNT($E$2:$E1647)&lt;15,"",IF(SUM($AC$1634:$AC$1647)=0,0,100*SUM($AF$1634:$AF$1647)/SUM($AC$1634:$AC$1647)))</f>
        <v>0</v>
      </c>
      <c r="AI1647">
        <f>IF(OR(AG1647="",AH1647=""),"",IF((AG1647+AH1647)=0,0,100*ABS(AG1647-AH1647)/(AG1647+AH1647)))</f>
        <v>0</v>
      </c>
      <c r="AJ1647">
        <f>IF(COUNT($AI$1634:$AI$1647)&lt;14,"",AVERAGE($AI$1634:$AI$1647))</f>
        <v>0</v>
      </c>
      <c r="AK1647">
        <f>IF(COUNT($E$2:$E1647)&lt;20,"",AVERAGE($E$1628:$E$1647))</f>
        <v>0</v>
      </c>
      <c r="AL1647">
        <f>IF(COUNT($E$2:$E1647)&lt;20,"",STDEVP($E$1628:$E$1647))</f>
        <v>0</v>
      </c>
      <c r="AM1647">
        <f>IF(AK1647="","",AK1647+2*AL1647)</f>
        <v>0</v>
      </c>
      <c r="AN1647">
        <f>IF(AK1647="","",AK1647-2*AL1647)</f>
        <v>0</v>
      </c>
      <c r="AO1647">
        <f>IF(OR(AM1647="",AN1647="",AM1647=AN1647),"",($E1647-AN1647)/(AM1647-AN1647))</f>
        <v>0</v>
      </c>
      <c r="AP1647">
        <f>IF(OR(AM1647="",AK1647="",AK1647=0),"",(AM1647-AN1647)/AK1647)</f>
        <v>0</v>
      </c>
      <c r="AQ1647">
        <f>IF(COUNT($E$2:$E1647)&lt;20,"",MAX($C$1628:$C$1647))</f>
        <v>0</v>
      </c>
      <c r="AR1647">
        <f>IF(COUNT($E$2:$E1647)&lt;20,"",MIN($D$1628:$D$1647))</f>
        <v>0</v>
      </c>
      <c r="AS1647">
        <f>IF(OR(AQ1647="",AR1647=""),"",(AQ1647+AR1647)/2)</f>
        <v>0</v>
      </c>
      <c r="AT1647">
        <f>IF(COUNT($G$1628:$G$1647)&lt;20,"",STDEV($G$1628:$G$1647)*SQRT(252))</f>
        <v>0</v>
      </c>
      <c r="AU1647">
        <f>IF(COUNT($E$2:$E1647)&lt;9,"",(MAX($C$1639:$C$1647)+MIN($D$1639:$D$1647))/2)</f>
        <v>0</v>
      </c>
      <c r="AV1647">
        <f>IF(COUNT($E$2:$E1647)&lt;26,"",(MAX($C$1622:$C$1647)+MIN($D$1622:$D$1647))/2)</f>
        <v>0</v>
      </c>
      <c r="AW1647">
        <f>IF(OR(AU1647="",AV1647=""),"",(AU1647+AV1647)/2)</f>
        <v>0</v>
      </c>
      <c r="AX1647">
        <f>IF(COUNT($E$2:$E1647)&lt;52,"",(MAX($C$1596:$C$1647)+MIN($D$1596:$D$1647))/2)</f>
        <v>0</v>
      </c>
      <c r="AY1647">
        <f>IF(COUNT($E$2:$E1647)&lt;20,"",MAX($C$1548:$C$1647))</f>
        <v>0</v>
      </c>
      <c r="AZ1647">
        <f>IF(COUNT($E$2:$E1647)&lt;20,"",MIN($D$1548:$D$1647))</f>
        <v>0</v>
      </c>
      <c r="BA1647">
        <f>IF(COUNT($E$2:$E1647)&lt;20,"",SLOPE($E$1548:$E$1647,$F$1548:$F$1647))</f>
        <v>0</v>
      </c>
      <c r="BB1647">
        <f>IF(COUNT($E$2:$E1647)&lt;20,"",INTERCEPT($E$1548:$E$1647,$F$1548:$F$1647))</f>
        <v>0</v>
      </c>
      <c r="BC1647">
        <f>IF(OR(BA1647="",BB1647=""),"",BB1647+BA1647*F1647)</f>
        <v>0</v>
      </c>
      <c r="BD1647">
        <f>IF(COUNT($E$2:$E1647)&lt;20,"",STEYX($E$1548:$E$1647,$F$1548:$F$1647))</f>
        <v>0</v>
      </c>
      <c r="BE1647">
        <f>IF($E1647="","",IF(AND(COUNT($E$1648:$E$1651)&gt;=4,$C1647=MAX($C$1643:$C$1651)),$C1647,""))</f>
        <v>0</v>
      </c>
      <c r="BF1647">
        <f>IF($E1647="","",IF(AND(COUNT($E$1648:$E$1651)&gt;=4,$D1647=MIN($D$1643:$D$1651)),$D1647,""))</f>
        <v>0</v>
      </c>
      <c r="BG1647">
        <f>IF($A1647="","",$A1647-WEEKDAY($A1647,2)+1)</f>
        <v>0</v>
      </c>
      <c r="BH1647">
        <f>IF($A1647="","",IF($A1646="",1,IF(BG1647&lt;&gt;BG1646,1,0)))</f>
        <v>0</v>
      </c>
      <c r="BI1647">
        <f>IF($A1647="","",IF($A1648="",1,IF(BG1648&lt;&gt;BG1647,1,0)))</f>
        <v>0</v>
      </c>
      <c r="BJ1647">
        <f>IF($A1647="","",IF(BH1647=1,$B1647,BJ1646))</f>
        <v>0</v>
      </c>
      <c r="BK1647">
        <f>IF($A1647="","",IF(BH1647=1,$C1647,MAX($C1647,BK1646)))</f>
        <v>0</v>
      </c>
      <c r="BL1647">
        <f>IF($A1647="","",IF(BH1647=1,$D1647,MIN($D1647,BL1646)))</f>
        <v>0</v>
      </c>
      <c r="BM1647">
        <f>IF($A1647="","",IF(BI1647=1,F1647,""))</f>
        <v>0</v>
      </c>
      <c r="BN1647">
        <f>IF($A1647="","",DATE(YEAR($A1647),MONTH($A1647),1))</f>
        <v>0</v>
      </c>
      <c r="BO1647">
        <f>IF($A1647="","",IF($A1646="",1,IF(BN1647&lt;&gt;BN1646,1,0)))</f>
        <v>0</v>
      </c>
      <c r="BP1647">
        <f>IF($A1647="","",IF($A1648="",1,IF(BN1648&lt;&gt;BN1647,1,0)))</f>
        <v>0</v>
      </c>
      <c r="BQ1647">
        <f>IF($A1647="","",IF(BO1647=1,$B1647,BQ1646))</f>
        <v>0</v>
      </c>
      <c r="BR1647">
        <f>IF($A1647="","",IF(BO1647=1,$C1647,MAX($C1647,BR1646)))</f>
        <v>0</v>
      </c>
      <c r="BS1647">
        <f>IF($A1647="","",IF(BO1647=1,$D1647,MIN($D1647,BS1646)))</f>
        <v>0</v>
      </c>
      <c r="BT1647">
        <f>IF($A1647="","",IF(BP1647=1,F1647,""))</f>
        <v>0</v>
      </c>
    </row>
    <row r="1648" spans="1:72">
      <c r="A1648" s="27">
        <f>IF(Data!$A1648="","",Data!$A1648)</f>
        <v>0</v>
      </c>
      <c r="B1648">
        <f>IF(Data!$B1648="","",Data!$B1648)</f>
        <v>0</v>
      </c>
      <c r="C1648">
        <f>IF(Data!$C1648="","",Data!$C1648)</f>
        <v>0</v>
      </c>
      <c r="D1648">
        <f>IF(Data!$D1648="","",Data!$D1648)</f>
        <v>0</v>
      </c>
      <c r="E1648">
        <f>IF(Data!$E1648="","",Data!$E1648)</f>
        <v>0</v>
      </c>
      <c r="F1648">
        <f>IF($E1648="","",N(F1647)+1)</f>
        <v>0</v>
      </c>
      <c r="G1648">
        <f>IF(OR($E1648="",$E1647=""),"",LN($E1648/$E1647))</f>
        <v>0</v>
      </c>
      <c r="H1648">
        <f>IF($E1648="","",IF($E1647="",$E1648,$E1648*0.0952380952+H1647*0.9047619048))</f>
        <v>0</v>
      </c>
      <c r="I1648">
        <f>IF($E1648="","",IF($E1647="",$E1648,$E1648*0.0392156863+I1647*0.9607843137))</f>
        <v>0</v>
      </c>
      <c r="J1648">
        <f>IF($E1648="","",IF($E1647="",$E1648,$E1648*0.0198019802+J1647*0.9801980198))</f>
        <v>0</v>
      </c>
      <c r="K1648">
        <f>IF($E1648="","",IF($E1647="",$E1648,$E1648*0.0099502488+K1647*0.9900497512))</f>
        <v>0</v>
      </c>
      <c r="L1648">
        <f>IF(OR($E1648="",$E1647=""),"",MAX($E1648-$E1647,0))</f>
        <v>0</v>
      </c>
      <c r="M1648">
        <f>IF(OR($E1648="",$E1647=""),"",MAX($E1647-$E1648,0))</f>
        <v>0</v>
      </c>
      <c r="N1648">
        <f>IF(COUNT($E$2:$E1648)&lt;15,"",IF(AVERAGE($M$1635:$M$1648)=0,100,100-100/(1+AVERAGE($L$1635:$L$1648)/AVERAGE($M$1635:$M$1648))))</f>
        <v>0</v>
      </c>
      <c r="O1648">
        <f>IF($E1648="","",IF($E1647="",$E1648,$E1648*0.1538461538+O1647*0.8461538462))</f>
        <v>0</v>
      </c>
      <c r="P1648">
        <f>IF($E1648="","",IF($E1647="",$E1648,$E1648*0.0740740741+P1647*0.9259259259))</f>
        <v>0</v>
      </c>
      <c r="Q1648">
        <f>IF(OR(O1648="",P1648=""),"",O1648-P1648)</f>
        <v>0</v>
      </c>
      <c r="R1648">
        <f>IF(Q1648="","",IF(R1647="",Q1648,Q1648*0.2000000000+R1647*0.8000000000))</f>
        <v>0</v>
      </c>
      <c r="S1648">
        <f>IF(OR(Q1648="",R1648=""),"",Q1648-R1648)</f>
        <v>0</v>
      </c>
      <c r="T1648">
        <f>IF(COUNT($E$2:$E1648)&lt;14,"",MAX($C$1635:$C$1648))</f>
        <v>0</v>
      </c>
      <c r="U1648">
        <f>IF(COUNT($E$2:$E1648)&lt;14,"",MIN($D$1635:$D$1648))</f>
        <v>0</v>
      </c>
      <c r="V1648">
        <f>IF(OR(T1648="",U1648="",T1648=U1648),"",100*($E1648-U1648)/(T1648-U1648))</f>
        <v>0</v>
      </c>
      <c r="W1648">
        <f>IF(COUNT($V$1646:$V$1648)&lt;3,"",AVERAGE($V$1646:$V$1648))</f>
        <v>0</v>
      </c>
      <c r="X1648">
        <f>IF(COUNT($N$1635:$N$1648)&lt;14,"",MIN($N$1635:$N$1648))</f>
        <v>0</v>
      </c>
      <c r="Y1648">
        <f>IF(COUNT($N$1635:$N$1648)&lt;14,"",MAX($N$1635:$N$1648))</f>
        <v>0</v>
      </c>
      <c r="Z1648">
        <f>IF(OR(N1648="",X1648="",Y1648="",Y1648=X1648),"",100*(N1648-X1648)/(Y1648-X1648))</f>
        <v>0</v>
      </c>
      <c r="AA1648">
        <f>IF(COUNT($Z$1646:$Z$1648)&lt;3,"",AVERAGE($Z$1646:$Z$1648))</f>
        <v>0</v>
      </c>
      <c r="AB1648">
        <f>IF(COUNT($AA$1646:$AA$1648)&lt;3,"",AVERAGE($AA$1646:$AA$1648))</f>
        <v>0</v>
      </c>
      <c r="AC1648">
        <f>IF($E1648="","",MAX($C1648-$D1648,ABS($C1648-$E1647),ABS($D1648-$E1647)))</f>
        <v>0</v>
      </c>
      <c r="AD1648">
        <f>IF(COUNT($E$2:$E1648)&lt;15,"",AVERAGE($AC$1635:$AC$1648))</f>
        <v>0</v>
      </c>
      <c r="AE1648">
        <f>IF(OR($E1648="",$E1647=""),"",IF(AND(($C1648-$C1647)&gt;($D1647-$D1648),($C1648-$C1647)&gt;0),$C1648-$C1647,0))</f>
        <v>0</v>
      </c>
      <c r="AF1648">
        <f>IF(OR($E1648="",$E1647=""),"",IF(AND(($D1647-$D1648)&gt;($C1648-$C1647),($D1647-$D1648)&gt;0),$D1647-$D1648,0))</f>
        <v>0</v>
      </c>
      <c r="AG1648">
        <f>IF(COUNT($E$2:$E1648)&lt;15,"",IF(SUM($AC$1635:$AC$1648)=0,0,100*SUM($AE$1635:$AE$1648)/SUM($AC$1635:$AC$1648)))</f>
        <v>0</v>
      </c>
      <c r="AH1648">
        <f>IF(COUNT($E$2:$E1648)&lt;15,"",IF(SUM($AC$1635:$AC$1648)=0,0,100*SUM($AF$1635:$AF$1648)/SUM($AC$1635:$AC$1648)))</f>
        <v>0</v>
      </c>
      <c r="AI1648">
        <f>IF(OR(AG1648="",AH1648=""),"",IF((AG1648+AH1648)=0,0,100*ABS(AG1648-AH1648)/(AG1648+AH1648)))</f>
        <v>0</v>
      </c>
      <c r="AJ1648">
        <f>IF(COUNT($AI$1635:$AI$1648)&lt;14,"",AVERAGE($AI$1635:$AI$1648))</f>
        <v>0</v>
      </c>
      <c r="AK1648">
        <f>IF(COUNT($E$2:$E1648)&lt;20,"",AVERAGE($E$1629:$E$1648))</f>
        <v>0</v>
      </c>
      <c r="AL1648">
        <f>IF(COUNT($E$2:$E1648)&lt;20,"",STDEVP($E$1629:$E$1648))</f>
        <v>0</v>
      </c>
      <c r="AM1648">
        <f>IF(AK1648="","",AK1648+2*AL1648)</f>
        <v>0</v>
      </c>
      <c r="AN1648">
        <f>IF(AK1648="","",AK1648-2*AL1648)</f>
        <v>0</v>
      </c>
      <c r="AO1648">
        <f>IF(OR(AM1648="",AN1648="",AM1648=AN1648),"",($E1648-AN1648)/(AM1648-AN1648))</f>
        <v>0</v>
      </c>
      <c r="AP1648">
        <f>IF(OR(AM1648="",AK1648="",AK1648=0),"",(AM1648-AN1648)/AK1648)</f>
        <v>0</v>
      </c>
      <c r="AQ1648">
        <f>IF(COUNT($E$2:$E1648)&lt;20,"",MAX($C$1629:$C$1648))</f>
        <v>0</v>
      </c>
      <c r="AR1648">
        <f>IF(COUNT($E$2:$E1648)&lt;20,"",MIN($D$1629:$D$1648))</f>
        <v>0</v>
      </c>
      <c r="AS1648">
        <f>IF(OR(AQ1648="",AR1648=""),"",(AQ1648+AR1648)/2)</f>
        <v>0</v>
      </c>
      <c r="AT1648">
        <f>IF(COUNT($G$1629:$G$1648)&lt;20,"",STDEV($G$1629:$G$1648)*SQRT(252))</f>
        <v>0</v>
      </c>
      <c r="AU1648">
        <f>IF(COUNT($E$2:$E1648)&lt;9,"",(MAX($C$1640:$C$1648)+MIN($D$1640:$D$1648))/2)</f>
        <v>0</v>
      </c>
      <c r="AV1648">
        <f>IF(COUNT($E$2:$E1648)&lt;26,"",(MAX($C$1623:$C$1648)+MIN($D$1623:$D$1648))/2)</f>
        <v>0</v>
      </c>
      <c r="AW1648">
        <f>IF(OR(AU1648="",AV1648=""),"",(AU1648+AV1648)/2)</f>
        <v>0</v>
      </c>
      <c r="AX1648">
        <f>IF(COUNT($E$2:$E1648)&lt;52,"",(MAX($C$1597:$C$1648)+MIN($D$1597:$D$1648))/2)</f>
        <v>0</v>
      </c>
      <c r="AY1648">
        <f>IF(COUNT($E$2:$E1648)&lt;20,"",MAX($C$1549:$C$1648))</f>
        <v>0</v>
      </c>
      <c r="AZ1648">
        <f>IF(COUNT($E$2:$E1648)&lt;20,"",MIN($D$1549:$D$1648))</f>
        <v>0</v>
      </c>
      <c r="BA1648">
        <f>IF(COUNT($E$2:$E1648)&lt;20,"",SLOPE($E$1549:$E$1648,$F$1549:$F$1648))</f>
        <v>0</v>
      </c>
      <c r="BB1648">
        <f>IF(COUNT($E$2:$E1648)&lt;20,"",INTERCEPT($E$1549:$E$1648,$F$1549:$F$1648))</f>
        <v>0</v>
      </c>
      <c r="BC1648">
        <f>IF(OR(BA1648="",BB1648=""),"",BB1648+BA1648*F1648)</f>
        <v>0</v>
      </c>
      <c r="BD1648">
        <f>IF(COUNT($E$2:$E1648)&lt;20,"",STEYX($E$1549:$E$1648,$F$1549:$F$1648))</f>
        <v>0</v>
      </c>
      <c r="BE1648">
        <f>IF($E1648="","",IF(AND(COUNT($E$1649:$E$1652)&gt;=4,$C1648=MAX($C$1644:$C$1652)),$C1648,""))</f>
        <v>0</v>
      </c>
      <c r="BF1648">
        <f>IF($E1648="","",IF(AND(COUNT($E$1649:$E$1652)&gt;=4,$D1648=MIN($D$1644:$D$1652)),$D1648,""))</f>
        <v>0</v>
      </c>
      <c r="BG1648">
        <f>IF($A1648="","",$A1648-WEEKDAY($A1648,2)+1)</f>
        <v>0</v>
      </c>
      <c r="BH1648">
        <f>IF($A1648="","",IF($A1647="",1,IF(BG1648&lt;&gt;BG1647,1,0)))</f>
        <v>0</v>
      </c>
      <c r="BI1648">
        <f>IF($A1648="","",IF($A1649="",1,IF(BG1649&lt;&gt;BG1648,1,0)))</f>
        <v>0</v>
      </c>
      <c r="BJ1648">
        <f>IF($A1648="","",IF(BH1648=1,$B1648,BJ1647))</f>
        <v>0</v>
      </c>
      <c r="BK1648">
        <f>IF($A1648="","",IF(BH1648=1,$C1648,MAX($C1648,BK1647)))</f>
        <v>0</v>
      </c>
      <c r="BL1648">
        <f>IF($A1648="","",IF(BH1648=1,$D1648,MIN($D1648,BL1647)))</f>
        <v>0</v>
      </c>
      <c r="BM1648">
        <f>IF($A1648="","",IF(BI1648=1,F1648,""))</f>
        <v>0</v>
      </c>
      <c r="BN1648">
        <f>IF($A1648="","",DATE(YEAR($A1648),MONTH($A1648),1))</f>
        <v>0</v>
      </c>
      <c r="BO1648">
        <f>IF($A1648="","",IF($A1647="",1,IF(BN1648&lt;&gt;BN1647,1,0)))</f>
        <v>0</v>
      </c>
      <c r="BP1648">
        <f>IF($A1648="","",IF($A1649="",1,IF(BN1649&lt;&gt;BN1648,1,0)))</f>
        <v>0</v>
      </c>
      <c r="BQ1648">
        <f>IF($A1648="","",IF(BO1648=1,$B1648,BQ1647))</f>
        <v>0</v>
      </c>
      <c r="BR1648">
        <f>IF($A1648="","",IF(BO1648=1,$C1648,MAX($C1648,BR1647)))</f>
        <v>0</v>
      </c>
      <c r="BS1648">
        <f>IF($A1648="","",IF(BO1648=1,$D1648,MIN($D1648,BS1647)))</f>
        <v>0</v>
      </c>
      <c r="BT1648">
        <f>IF($A1648="","",IF(BP1648=1,F1648,""))</f>
        <v>0</v>
      </c>
    </row>
    <row r="1649" spans="1:72">
      <c r="A1649" s="27">
        <f>IF(Data!$A1649="","",Data!$A1649)</f>
        <v>0</v>
      </c>
      <c r="B1649">
        <f>IF(Data!$B1649="","",Data!$B1649)</f>
        <v>0</v>
      </c>
      <c r="C1649">
        <f>IF(Data!$C1649="","",Data!$C1649)</f>
        <v>0</v>
      </c>
      <c r="D1649">
        <f>IF(Data!$D1649="","",Data!$D1649)</f>
        <v>0</v>
      </c>
      <c r="E1649">
        <f>IF(Data!$E1649="","",Data!$E1649)</f>
        <v>0</v>
      </c>
      <c r="F1649">
        <f>IF($E1649="","",N(F1648)+1)</f>
        <v>0</v>
      </c>
      <c r="G1649">
        <f>IF(OR($E1649="",$E1648=""),"",LN($E1649/$E1648))</f>
        <v>0</v>
      </c>
      <c r="H1649">
        <f>IF($E1649="","",IF($E1648="",$E1649,$E1649*0.0952380952+H1648*0.9047619048))</f>
        <v>0</v>
      </c>
      <c r="I1649">
        <f>IF($E1649="","",IF($E1648="",$E1649,$E1649*0.0392156863+I1648*0.9607843137))</f>
        <v>0</v>
      </c>
      <c r="J1649">
        <f>IF($E1649="","",IF($E1648="",$E1649,$E1649*0.0198019802+J1648*0.9801980198))</f>
        <v>0</v>
      </c>
      <c r="K1649">
        <f>IF($E1649="","",IF($E1648="",$E1649,$E1649*0.0099502488+K1648*0.9900497512))</f>
        <v>0</v>
      </c>
      <c r="L1649">
        <f>IF(OR($E1649="",$E1648=""),"",MAX($E1649-$E1648,0))</f>
        <v>0</v>
      </c>
      <c r="M1649">
        <f>IF(OR($E1649="",$E1648=""),"",MAX($E1648-$E1649,0))</f>
        <v>0</v>
      </c>
      <c r="N1649">
        <f>IF(COUNT($E$2:$E1649)&lt;15,"",IF(AVERAGE($M$1636:$M$1649)=0,100,100-100/(1+AVERAGE($L$1636:$L$1649)/AVERAGE($M$1636:$M$1649))))</f>
        <v>0</v>
      </c>
      <c r="O1649">
        <f>IF($E1649="","",IF($E1648="",$E1649,$E1649*0.1538461538+O1648*0.8461538462))</f>
        <v>0</v>
      </c>
      <c r="P1649">
        <f>IF($E1649="","",IF($E1648="",$E1649,$E1649*0.0740740741+P1648*0.9259259259))</f>
        <v>0</v>
      </c>
      <c r="Q1649">
        <f>IF(OR(O1649="",P1649=""),"",O1649-P1649)</f>
        <v>0</v>
      </c>
      <c r="R1649">
        <f>IF(Q1649="","",IF(R1648="",Q1649,Q1649*0.2000000000+R1648*0.8000000000))</f>
        <v>0</v>
      </c>
      <c r="S1649">
        <f>IF(OR(Q1649="",R1649=""),"",Q1649-R1649)</f>
        <v>0</v>
      </c>
      <c r="T1649">
        <f>IF(COUNT($E$2:$E1649)&lt;14,"",MAX($C$1636:$C$1649))</f>
        <v>0</v>
      </c>
      <c r="U1649">
        <f>IF(COUNT($E$2:$E1649)&lt;14,"",MIN($D$1636:$D$1649))</f>
        <v>0</v>
      </c>
      <c r="V1649">
        <f>IF(OR(T1649="",U1649="",T1649=U1649),"",100*($E1649-U1649)/(T1649-U1649))</f>
        <v>0</v>
      </c>
      <c r="W1649">
        <f>IF(COUNT($V$1647:$V$1649)&lt;3,"",AVERAGE($V$1647:$V$1649))</f>
        <v>0</v>
      </c>
      <c r="X1649">
        <f>IF(COUNT($N$1636:$N$1649)&lt;14,"",MIN($N$1636:$N$1649))</f>
        <v>0</v>
      </c>
      <c r="Y1649">
        <f>IF(COUNT($N$1636:$N$1649)&lt;14,"",MAX($N$1636:$N$1649))</f>
        <v>0</v>
      </c>
      <c r="Z1649">
        <f>IF(OR(N1649="",X1649="",Y1649="",Y1649=X1649),"",100*(N1649-X1649)/(Y1649-X1649))</f>
        <v>0</v>
      </c>
      <c r="AA1649">
        <f>IF(COUNT($Z$1647:$Z$1649)&lt;3,"",AVERAGE($Z$1647:$Z$1649))</f>
        <v>0</v>
      </c>
      <c r="AB1649">
        <f>IF(COUNT($AA$1647:$AA$1649)&lt;3,"",AVERAGE($AA$1647:$AA$1649))</f>
        <v>0</v>
      </c>
      <c r="AC1649">
        <f>IF($E1649="","",MAX($C1649-$D1649,ABS($C1649-$E1648),ABS($D1649-$E1648)))</f>
        <v>0</v>
      </c>
      <c r="AD1649">
        <f>IF(COUNT($E$2:$E1649)&lt;15,"",AVERAGE($AC$1636:$AC$1649))</f>
        <v>0</v>
      </c>
      <c r="AE1649">
        <f>IF(OR($E1649="",$E1648=""),"",IF(AND(($C1649-$C1648)&gt;($D1648-$D1649),($C1649-$C1648)&gt;0),$C1649-$C1648,0))</f>
        <v>0</v>
      </c>
      <c r="AF1649">
        <f>IF(OR($E1649="",$E1648=""),"",IF(AND(($D1648-$D1649)&gt;($C1649-$C1648),($D1648-$D1649)&gt;0),$D1648-$D1649,0))</f>
        <v>0</v>
      </c>
      <c r="AG1649">
        <f>IF(COUNT($E$2:$E1649)&lt;15,"",IF(SUM($AC$1636:$AC$1649)=0,0,100*SUM($AE$1636:$AE$1649)/SUM($AC$1636:$AC$1649)))</f>
        <v>0</v>
      </c>
      <c r="AH1649">
        <f>IF(COUNT($E$2:$E1649)&lt;15,"",IF(SUM($AC$1636:$AC$1649)=0,0,100*SUM($AF$1636:$AF$1649)/SUM($AC$1636:$AC$1649)))</f>
        <v>0</v>
      </c>
      <c r="AI1649">
        <f>IF(OR(AG1649="",AH1649=""),"",IF((AG1649+AH1649)=0,0,100*ABS(AG1649-AH1649)/(AG1649+AH1649)))</f>
        <v>0</v>
      </c>
      <c r="AJ1649">
        <f>IF(COUNT($AI$1636:$AI$1649)&lt;14,"",AVERAGE($AI$1636:$AI$1649))</f>
        <v>0</v>
      </c>
      <c r="AK1649">
        <f>IF(COUNT($E$2:$E1649)&lt;20,"",AVERAGE($E$1630:$E$1649))</f>
        <v>0</v>
      </c>
      <c r="AL1649">
        <f>IF(COUNT($E$2:$E1649)&lt;20,"",STDEVP($E$1630:$E$1649))</f>
        <v>0</v>
      </c>
      <c r="AM1649">
        <f>IF(AK1649="","",AK1649+2*AL1649)</f>
        <v>0</v>
      </c>
      <c r="AN1649">
        <f>IF(AK1649="","",AK1649-2*AL1649)</f>
        <v>0</v>
      </c>
      <c r="AO1649">
        <f>IF(OR(AM1649="",AN1649="",AM1649=AN1649),"",($E1649-AN1649)/(AM1649-AN1649))</f>
        <v>0</v>
      </c>
      <c r="AP1649">
        <f>IF(OR(AM1649="",AK1649="",AK1649=0),"",(AM1649-AN1649)/AK1649)</f>
        <v>0</v>
      </c>
      <c r="AQ1649">
        <f>IF(COUNT($E$2:$E1649)&lt;20,"",MAX($C$1630:$C$1649))</f>
        <v>0</v>
      </c>
      <c r="AR1649">
        <f>IF(COUNT($E$2:$E1649)&lt;20,"",MIN($D$1630:$D$1649))</f>
        <v>0</v>
      </c>
      <c r="AS1649">
        <f>IF(OR(AQ1649="",AR1649=""),"",(AQ1649+AR1649)/2)</f>
        <v>0</v>
      </c>
      <c r="AT1649">
        <f>IF(COUNT($G$1630:$G$1649)&lt;20,"",STDEV($G$1630:$G$1649)*SQRT(252))</f>
        <v>0</v>
      </c>
      <c r="AU1649">
        <f>IF(COUNT($E$2:$E1649)&lt;9,"",(MAX($C$1641:$C$1649)+MIN($D$1641:$D$1649))/2)</f>
        <v>0</v>
      </c>
      <c r="AV1649">
        <f>IF(COUNT($E$2:$E1649)&lt;26,"",(MAX($C$1624:$C$1649)+MIN($D$1624:$D$1649))/2)</f>
        <v>0</v>
      </c>
      <c r="AW1649">
        <f>IF(OR(AU1649="",AV1649=""),"",(AU1649+AV1649)/2)</f>
        <v>0</v>
      </c>
      <c r="AX1649">
        <f>IF(COUNT($E$2:$E1649)&lt;52,"",(MAX($C$1598:$C$1649)+MIN($D$1598:$D$1649))/2)</f>
        <v>0</v>
      </c>
      <c r="AY1649">
        <f>IF(COUNT($E$2:$E1649)&lt;20,"",MAX($C$1550:$C$1649))</f>
        <v>0</v>
      </c>
      <c r="AZ1649">
        <f>IF(COUNT($E$2:$E1649)&lt;20,"",MIN($D$1550:$D$1649))</f>
        <v>0</v>
      </c>
      <c r="BA1649">
        <f>IF(COUNT($E$2:$E1649)&lt;20,"",SLOPE($E$1550:$E$1649,$F$1550:$F$1649))</f>
        <v>0</v>
      </c>
      <c r="BB1649">
        <f>IF(COUNT($E$2:$E1649)&lt;20,"",INTERCEPT($E$1550:$E$1649,$F$1550:$F$1649))</f>
        <v>0</v>
      </c>
      <c r="BC1649">
        <f>IF(OR(BA1649="",BB1649=""),"",BB1649+BA1649*F1649)</f>
        <v>0</v>
      </c>
      <c r="BD1649">
        <f>IF(COUNT($E$2:$E1649)&lt;20,"",STEYX($E$1550:$E$1649,$F$1550:$F$1649))</f>
        <v>0</v>
      </c>
      <c r="BE1649">
        <f>IF($E1649="","",IF(AND(COUNT($E$1650:$E$1653)&gt;=4,$C1649=MAX($C$1645:$C$1653)),$C1649,""))</f>
        <v>0</v>
      </c>
      <c r="BF1649">
        <f>IF($E1649="","",IF(AND(COUNT($E$1650:$E$1653)&gt;=4,$D1649=MIN($D$1645:$D$1653)),$D1649,""))</f>
        <v>0</v>
      </c>
      <c r="BG1649">
        <f>IF($A1649="","",$A1649-WEEKDAY($A1649,2)+1)</f>
        <v>0</v>
      </c>
      <c r="BH1649">
        <f>IF($A1649="","",IF($A1648="",1,IF(BG1649&lt;&gt;BG1648,1,0)))</f>
        <v>0</v>
      </c>
      <c r="BI1649">
        <f>IF($A1649="","",IF($A1650="",1,IF(BG1650&lt;&gt;BG1649,1,0)))</f>
        <v>0</v>
      </c>
      <c r="BJ1649">
        <f>IF($A1649="","",IF(BH1649=1,$B1649,BJ1648))</f>
        <v>0</v>
      </c>
      <c r="BK1649">
        <f>IF($A1649="","",IF(BH1649=1,$C1649,MAX($C1649,BK1648)))</f>
        <v>0</v>
      </c>
      <c r="BL1649">
        <f>IF($A1649="","",IF(BH1649=1,$D1649,MIN($D1649,BL1648)))</f>
        <v>0</v>
      </c>
      <c r="BM1649">
        <f>IF($A1649="","",IF(BI1649=1,F1649,""))</f>
        <v>0</v>
      </c>
      <c r="BN1649">
        <f>IF($A1649="","",DATE(YEAR($A1649),MONTH($A1649),1))</f>
        <v>0</v>
      </c>
      <c r="BO1649">
        <f>IF($A1649="","",IF($A1648="",1,IF(BN1649&lt;&gt;BN1648,1,0)))</f>
        <v>0</v>
      </c>
      <c r="BP1649">
        <f>IF($A1649="","",IF($A1650="",1,IF(BN1650&lt;&gt;BN1649,1,0)))</f>
        <v>0</v>
      </c>
      <c r="BQ1649">
        <f>IF($A1649="","",IF(BO1649=1,$B1649,BQ1648))</f>
        <v>0</v>
      </c>
      <c r="BR1649">
        <f>IF($A1649="","",IF(BO1649=1,$C1649,MAX($C1649,BR1648)))</f>
        <v>0</v>
      </c>
      <c r="BS1649">
        <f>IF($A1649="","",IF(BO1649=1,$D1649,MIN($D1649,BS1648)))</f>
        <v>0</v>
      </c>
      <c r="BT1649">
        <f>IF($A1649="","",IF(BP1649=1,F1649,""))</f>
        <v>0</v>
      </c>
    </row>
    <row r="1650" spans="1:72">
      <c r="A1650" s="27">
        <f>IF(Data!$A1650="","",Data!$A1650)</f>
        <v>0</v>
      </c>
      <c r="B1650">
        <f>IF(Data!$B1650="","",Data!$B1650)</f>
        <v>0</v>
      </c>
      <c r="C1650">
        <f>IF(Data!$C1650="","",Data!$C1650)</f>
        <v>0</v>
      </c>
      <c r="D1650">
        <f>IF(Data!$D1650="","",Data!$D1650)</f>
        <v>0</v>
      </c>
      <c r="E1650">
        <f>IF(Data!$E1650="","",Data!$E1650)</f>
        <v>0</v>
      </c>
      <c r="F1650">
        <f>IF($E1650="","",N(F1649)+1)</f>
        <v>0</v>
      </c>
      <c r="G1650">
        <f>IF(OR($E1650="",$E1649=""),"",LN($E1650/$E1649))</f>
        <v>0</v>
      </c>
      <c r="H1650">
        <f>IF($E1650="","",IF($E1649="",$E1650,$E1650*0.0952380952+H1649*0.9047619048))</f>
        <v>0</v>
      </c>
      <c r="I1650">
        <f>IF($E1650="","",IF($E1649="",$E1650,$E1650*0.0392156863+I1649*0.9607843137))</f>
        <v>0</v>
      </c>
      <c r="J1650">
        <f>IF($E1650="","",IF($E1649="",$E1650,$E1650*0.0198019802+J1649*0.9801980198))</f>
        <v>0</v>
      </c>
      <c r="K1650">
        <f>IF($E1650="","",IF($E1649="",$E1650,$E1650*0.0099502488+K1649*0.9900497512))</f>
        <v>0</v>
      </c>
      <c r="L1650">
        <f>IF(OR($E1650="",$E1649=""),"",MAX($E1650-$E1649,0))</f>
        <v>0</v>
      </c>
      <c r="M1650">
        <f>IF(OR($E1650="",$E1649=""),"",MAX($E1649-$E1650,0))</f>
        <v>0</v>
      </c>
      <c r="N1650">
        <f>IF(COUNT($E$2:$E1650)&lt;15,"",IF(AVERAGE($M$1637:$M$1650)=0,100,100-100/(1+AVERAGE($L$1637:$L$1650)/AVERAGE($M$1637:$M$1650))))</f>
        <v>0</v>
      </c>
      <c r="O1650">
        <f>IF($E1650="","",IF($E1649="",$E1650,$E1650*0.1538461538+O1649*0.8461538462))</f>
        <v>0</v>
      </c>
      <c r="P1650">
        <f>IF($E1650="","",IF($E1649="",$E1650,$E1650*0.0740740741+P1649*0.9259259259))</f>
        <v>0</v>
      </c>
      <c r="Q1650">
        <f>IF(OR(O1650="",P1650=""),"",O1650-P1650)</f>
        <v>0</v>
      </c>
      <c r="R1650">
        <f>IF(Q1650="","",IF(R1649="",Q1650,Q1650*0.2000000000+R1649*0.8000000000))</f>
        <v>0</v>
      </c>
      <c r="S1650">
        <f>IF(OR(Q1650="",R1650=""),"",Q1650-R1650)</f>
        <v>0</v>
      </c>
      <c r="T1650">
        <f>IF(COUNT($E$2:$E1650)&lt;14,"",MAX($C$1637:$C$1650))</f>
        <v>0</v>
      </c>
      <c r="U1650">
        <f>IF(COUNT($E$2:$E1650)&lt;14,"",MIN($D$1637:$D$1650))</f>
        <v>0</v>
      </c>
      <c r="V1650">
        <f>IF(OR(T1650="",U1650="",T1650=U1650),"",100*($E1650-U1650)/(T1650-U1650))</f>
        <v>0</v>
      </c>
      <c r="W1650">
        <f>IF(COUNT($V$1648:$V$1650)&lt;3,"",AVERAGE($V$1648:$V$1650))</f>
        <v>0</v>
      </c>
      <c r="X1650">
        <f>IF(COUNT($N$1637:$N$1650)&lt;14,"",MIN($N$1637:$N$1650))</f>
        <v>0</v>
      </c>
      <c r="Y1650">
        <f>IF(COUNT($N$1637:$N$1650)&lt;14,"",MAX($N$1637:$N$1650))</f>
        <v>0</v>
      </c>
      <c r="Z1650">
        <f>IF(OR(N1650="",X1650="",Y1650="",Y1650=X1650),"",100*(N1650-X1650)/(Y1650-X1650))</f>
        <v>0</v>
      </c>
      <c r="AA1650">
        <f>IF(COUNT($Z$1648:$Z$1650)&lt;3,"",AVERAGE($Z$1648:$Z$1650))</f>
        <v>0</v>
      </c>
      <c r="AB1650">
        <f>IF(COUNT($AA$1648:$AA$1650)&lt;3,"",AVERAGE($AA$1648:$AA$1650))</f>
        <v>0</v>
      </c>
      <c r="AC1650">
        <f>IF($E1650="","",MAX($C1650-$D1650,ABS($C1650-$E1649),ABS($D1650-$E1649)))</f>
        <v>0</v>
      </c>
      <c r="AD1650">
        <f>IF(COUNT($E$2:$E1650)&lt;15,"",AVERAGE($AC$1637:$AC$1650))</f>
        <v>0</v>
      </c>
      <c r="AE1650">
        <f>IF(OR($E1650="",$E1649=""),"",IF(AND(($C1650-$C1649)&gt;($D1649-$D1650),($C1650-$C1649)&gt;0),$C1650-$C1649,0))</f>
        <v>0</v>
      </c>
      <c r="AF1650">
        <f>IF(OR($E1650="",$E1649=""),"",IF(AND(($D1649-$D1650)&gt;($C1650-$C1649),($D1649-$D1650)&gt;0),$D1649-$D1650,0))</f>
        <v>0</v>
      </c>
      <c r="AG1650">
        <f>IF(COUNT($E$2:$E1650)&lt;15,"",IF(SUM($AC$1637:$AC$1650)=0,0,100*SUM($AE$1637:$AE$1650)/SUM($AC$1637:$AC$1650)))</f>
        <v>0</v>
      </c>
      <c r="AH1650">
        <f>IF(COUNT($E$2:$E1650)&lt;15,"",IF(SUM($AC$1637:$AC$1650)=0,0,100*SUM($AF$1637:$AF$1650)/SUM($AC$1637:$AC$1650)))</f>
        <v>0</v>
      </c>
      <c r="AI1650">
        <f>IF(OR(AG1650="",AH1650=""),"",IF((AG1650+AH1650)=0,0,100*ABS(AG1650-AH1650)/(AG1650+AH1650)))</f>
        <v>0</v>
      </c>
      <c r="AJ1650">
        <f>IF(COUNT($AI$1637:$AI$1650)&lt;14,"",AVERAGE($AI$1637:$AI$1650))</f>
        <v>0</v>
      </c>
      <c r="AK1650">
        <f>IF(COUNT($E$2:$E1650)&lt;20,"",AVERAGE($E$1631:$E$1650))</f>
        <v>0</v>
      </c>
      <c r="AL1650">
        <f>IF(COUNT($E$2:$E1650)&lt;20,"",STDEVP($E$1631:$E$1650))</f>
        <v>0</v>
      </c>
      <c r="AM1650">
        <f>IF(AK1650="","",AK1650+2*AL1650)</f>
        <v>0</v>
      </c>
      <c r="AN1650">
        <f>IF(AK1650="","",AK1650-2*AL1650)</f>
        <v>0</v>
      </c>
      <c r="AO1650">
        <f>IF(OR(AM1650="",AN1650="",AM1650=AN1650),"",($E1650-AN1650)/(AM1650-AN1650))</f>
        <v>0</v>
      </c>
      <c r="AP1650">
        <f>IF(OR(AM1650="",AK1650="",AK1650=0),"",(AM1650-AN1650)/AK1650)</f>
        <v>0</v>
      </c>
      <c r="AQ1650">
        <f>IF(COUNT($E$2:$E1650)&lt;20,"",MAX($C$1631:$C$1650))</f>
        <v>0</v>
      </c>
      <c r="AR1650">
        <f>IF(COUNT($E$2:$E1650)&lt;20,"",MIN($D$1631:$D$1650))</f>
        <v>0</v>
      </c>
      <c r="AS1650">
        <f>IF(OR(AQ1650="",AR1650=""),"",(AQ1650+AR1650)/2)</f>
        <v>0</v>
      </c>
      <c r="AT1650">
        <f>IF(COUNT($G$1631:$G$1650)&lt;20,"",STDEV($G$1631:$G$1650)*SQRT(252))</f>
        <v>0</v>
      </c>
      <c r="AU1650">
        <f>IF(COUNT($E$2:$E1650)&lt;9,"",(MAX($C$1642:$C$1650)+MIN($D$1642:$D$1650))/2)</f>
        <v>0</v>
      </c>
      <c r="AV1650">
        <f>IF(COUNT($E$2:$E1650)&lt;26,"",(MAX($C$1625:$C$1650)+MIN($D$1625:$D$1650))/2)</f>
        <v>0</v>
      </c>
      <c r="AW1650">
        <f>IF(OR(AU1650="",AV1650=""),"",(AU1650+AV1650)/2)</f>
        <v>0</v>
      </c>
      <c r="AX1650">
        <f>IF(COUNT($E$2:$E1650)&lt;52,"",(MAX($C$1599:$C$1650)+MIN($D$1599:$D$1650))/2)</f>
        <v>0</v>
      </c>
      <c r="AY1650">
        <f>IF(COUNT($E$2:$E1650)&lt;20,"",MAX($C$1551:$C$1650))</f>
        <v>0</v>
      </c>
      <c r="AZ1650">
        <f>IF(COUNT($E$2:$E1650)&lt;20,"",MIN($D$1551:$D$1650))</f>
        <v>0</v>
      </c>
      <c r="BA1650">
        <f>IF(COUNT($E$2:$E1650)&lt;20,"",SLOPE($E$1551:$E$1650,$F$1551:$F$1650))</f>
        <v>0</v>
      </c>
      <c r="BB1650">
        <f>IF(COUNT($E$2:$E1650)&lt;20,"",INTERCEPT($E$1551:$E$1650,$F$1551:$F$1650))</f>
        <v>0</v>
      </c>
      <c r="BC1650">
        <f>IF(OR(BA1650="",BB1650=""),"",BB1650+BA1650*F1650)</f>
        <v>0</v>
      </c>
      <c r="BD1650">
        <f>IF(COUNT($E$2:$E1650)&lt;20,"",STEYX($E$1551:$E$1650,$F$1551:$F$1650))</f>
        <v>0</v>
      </c>
      <c r="BE1650">
        <f>IF($E1650="","",IF(AND(COUNT($E$1651:$E$1654)&gt;=4,$C1650=MAX($C$1646:$C$1654)),$C1650,""))</f>
        <v>0</v>
      </c>
      <c r="BF1650">
        <f>IF($E1650="","",IF(AND(COUNT($E$1651:$E$1654)&gt;=4,$D1650=MIN($D$1646:$D$1654)),$D1650,""))</f>
        <v>0</v>
      </c>
      <c r="BG1650">
        <f>IF($A1650="","",$A1650-WEEKDAY($A1650,2)+1)</f>
        <v>0</v>
      </c>
      <c r="BH1650">
        <f>IF($A1650="","",IF($A1649="",1,IF(BG1650&lt;&gt;BG1649,1,0)))</f>
        <v>0</v>
      </c>
      <c r="BI1650">
        <f>IF($A1650="","",IF($A1651="",1,IF(BG1651&lt;&gt;BG1650,1,0)))</f>
        <v>0</v>
      </c>
      <c r="BJ1650">
        <f>IF($A1650="","",IF(BH1650=1,$B1650,BJ1649))</f>
        <v>0</v>
      </c>
      <c r="BK1650">
        <f>IF($A1650="","",IF(BH1650=1,$C1650,MAX($C1650,BK1649)))</f>
        <v>0</v>
      </c>
      <c r="BL1650">
        <f>IF($A1650="","",IF(BH1650=1,$D1650,MIN($D1650,BL1649)))</f>
        <v>0</v>
      </c>
      <c r="BM1650">
        <f>IF($A1650="","",IF(BI1650=1,F1650,""))</f>
        <v>0</v>
      </c>
      <c r="BN1650">
        <f>IF($A1650="","",DATE(YEAR($A1650),MONTH($A1650),1))</f>
        <v>0</v>
      </c>
      <c r="BO1650">
        <f>IF($A1650="","",IF($A1649="",1,IF(BN1650&lt;&gt;BN1649,1,0)))</f>
        <v>0</v>
      </c>
      <c r="BP1650">
        <f>IF($A1650="","",IF($A1651="",1,IF(BN1651&lt;&gt;BN1650,1,0)))</f>
        <v>0</v>
      </c>
      <c r="BQ1650">
        <f>IF($A1650="","",IF(BO1650=1,$B1650,BQ1649))</f>
        <v>0</v>
      </c>
      <c r="BR1650">
        <f>IF($A1650="","",IF(BO1650=1,$C1650,MAX($C1650,BR1649)))</f>
        <v>0</v>
      </c>
      <c r="BS1650">
        <f>IF($A1650="","",IF(BO1650=1,$D1650,MIN($D1650,BS1649)))</f>
        <v>0</v>
      </c>
      <c r="BT1650">
        <f>IF($A1650="","",IF(BP1650=1,F1650,""))</f>
        <v>0</v>
      </c>
    </row>
    <row r="1651" spans="1:72">
      <c r="A1651" s="27">
        <f>IF(Data!$A1651="","",Data!$A1651)</f>
        <v>0</v>
      </c>
      <c r="B1651">
        <f>IF(Data!$B1651="","",Data!$B1651)</f>
        <v>0</v>
      </c>
      <c r="C1651">
        <f>IF(Data!$C1651="","",Data!$C1651)</f>
        <v>0</v>
      </c>
      <c r="D1651">
        <f>IF(Data!$D1651="","",Data!$D1651)</f>
        <v>0</v>
      </c>
      <c r="E1651">
        <f>IF(Data!$E1651="","",Data!$E1651)</f>
        <v>0</v>
      </c>
      <c r="F1651">
        <f>IF($E1651="","",N(F1650)+1)</f>
        <v>0</v>
      </c>
      <c r="G1651">
        <f>IF(OR($E1651="",$E1650=""),"",LN($E1651/$E1650))</f>
        <v>0</v>
      </c>
      <c r="H1651">
        <f>IF($E1651="","",IF($E1650="",$E1651,$E1651*0.0952380952+H1650*0.9047619048))</f>
        <v>0</v>
      </c>
      <c r="I1651">
        <f>IF($E1651="","",IF($E1650="",$E1651,$E1651*0.0392156863+I1650*0.9607843137))</f>
        <v>0</v>
      </c>
      <c r="J1651">
        <f>IF($E1651="","",IF($E1650="",$E1651,$E1651*0.0198019802+J1650*0.9801980198))</f>
        <v>0</v>
      </c>
      <c r="K1651">
        <f>IF($E1651="","",IF($E1650="",$E1651,$E1651*0.0099502488+K1650*0.9900497512))</f>
        <v>0</v>
      </c>
      <c r="L1651">
        <f>IF(OR($E1651="",$E1650=""),"",MAX($E1651-$E1650,0))</f>
        <v>0</v>
      </c>
      <c r="M1651">
        <f>IF(OR($E1651="",$E1650=""),"",MAX($E1650-$E1651,0))</f>
        <v>0</v>
      </c>
      <c r="N1651">
        <f>IF(COUNT($E$2:$E1651)&lt;15,"",IF(AVERAGE($M$1638:$M$1651)=0,100,100-100/(1+AVERAGE($L$1638:$L$1651)/AVERAGE($M$1638:$M$1651))))</f>
        <v>0</v>
      </c>
      <c r="O1651">
        <f>IF($E1651="","",IF($E1650="",$E1651,$E1651*0.1538461538+O1650*0.8461538462))</f>
        <v>0</v>
      </c>
      <c r="P1651">
        <f>IF($E1651="","",IF($E1650="",$E1651,$E1651*0.0740740741+P1650*0.9259259259))</f>
        <v>0</v>
      </c>
      <c r="Q1651">
        <f>IF(OR(O1651="",P1651=""),"",O1651-P1651)</f>
        <v>0</v>
      </c>
      <c r="R1651">
        <f>IF(Q1651="","",IF(R1650="",Q1651,Q1651*0.2000000000+R1650*0.8000000000))</f>
        <v>0</v>
      </c>
      <c r="S1651">
        <f>IF(OR(Q1651="",R1651=""),"",Q1651-R1651)</f>
        <v>0</v>
      </c>
      <c r="T1651">
        <f>IF(COUNT($E$2:$E1651)&lt;14,"",MAX($C$1638:$C$1651))</f>
        <v>0</v>
      </c>
      <c r="U1651">
        <f>IF(COUNT($E$2:$E1651)&lt;14,"",MIN($D$1638:$D$1651))</f>
        <v>0</v>
      </c>
      <c r="V1651">
        <f>IF(OR(T1651="",U1651="",T1651=U1651),"",100*($E1651-U1651)/(T1651-U1651))</f>
        <v>0</v>
      </c>
      <c r="W1651">
        <f>IF(COUNT($V$1649:$V$1651)&lt;3,"",AVERAGE($V$1649:$V$1651))</f>
        <v>0</v>
      </c>
      <c r="X1651">
        <f>IF(COUNT($N$1638:$N$1651)&lt;14,"",MIN($N$1638:$N$1651))</f>
        <v>0</v>
      </c>
      <c r="Y1651">
        <f>IF(COUNT($N$1638:$N$1651)&lt;14,"",MAX($N$1638:$N$1651))</f>
        <v>0</v>
      </c>
      <c r="Z1651">
        <f>IF(OR(N1651="",X1651="",Y1651="",Y1651=X1651),"",100*(N1651-X1651)/(Y1651-X1651))</f>
        <v>0</v>
      </c>
      <c r="AA1651">
        <f>IF(COUNT($Z$1649:$Z$1651)&lt;3,"",AVERAGE($Z$1649:$Z$1651))</f>
        <v>0</v>
      </c>
      <c r="AB1651">
        <f>IF(COUNT($AA$1649:$AA$1651)&lt;3,"",AVERAGE($AA$1649:$AA$1651))</f>
        <v>0</v>
      </c>
      <c r="AC1651">
        <f>IF($E1651="","",MAX($C1651-$D1651,ABS($C1651-$E1650),ABS($D1651-$E1650)))</f>
        <v>0</v>
      </c>
      <c r="AD1651">
        <f>IF(COUNT($E$2:$E1651)&lt;15,"",AVERAGE($AC$1638:$AC$1651))</f>
        <v>0</v>
      </c>
      <c r="AE1651">
        <f>IF(OR($E1651="",$E1650=""),"",IF(AND(($C1651-$C1650)&gt;($D1650-$D1651),($C1651-$C1650)&gt;0),$C1651-$C1650,0))</f>
        <v>0</v>
      </c>
      <c r="AF1651">
        <f>IF(OR($E1651="",$E1650=""),"",IF(AND(($D1650-$D1651)&gt;($C1651-$C1650),($D1650-$D1651)&gt;0),$D1650-$D1651,0))</f>
        <v>0</v>
      </c>
      <c r="AG1651">
        <f>IF(COUNT($E$2:$E1651)&lt;15,"",IF(SUM($AC$1638:$AC$1651)=0,0,100*SUM($AE$1638:$AE$1651)/SUM($AC$1638:$AC$1651)))</f>
        <v>0</v>
      </c>
      <c r="AH1651">
        <f>IF(COUNT($E$2:$E1651)&lt;15,"",IF(SUM($AC$1638:$AC$1651)=0,0,100*SUM($AF$1638:$AF$1651)/SUM($AC$1638:$AC$1651)))</f>
        <v>0</v>
      </c>
      <c r="AI1651">
        <f>IF(OR(AG1651="",AH1651=""),"",IF((AG1651+AH1651)=0,0,100*ABS(AG1651-AH1651)/(AG1651+AH1651)))</f>
        <v>0</v>
      </c>
      <c r="AJ1651">
        <f>IF(COUNT($AI$1638:$AI$1651)&lt;14,"",AVERAGE($AI$1638:$AI$1651))</f>
        <v>0</v>
      </c>
      <c r="AK1651">
        <f>IF(COUNT($E$2:$E1651)&lt;20,"",AVERAGE($E$1632:$E$1651))</f>
        <v>0</v>
      </c>
      <c r="AL1651">
        <f>IF(COUNT($E$2:$E1651)&lt;20,"",STDEVP($E$1632:$E$1651))</f>
        <v>0</v>
      </c>
      <c r="AM1651">
        <f>IF(AK1651="","",AK1651+2*AL1651)</f>
        <v>0</v>
      </c>
      <c r="AN1651">
        <f>IF(AK1651="","",AK1651-2*AL1651)</f>
        <v>0</v>
      </c>
      <c r="AO1651">
        <f>IF(OR(AM1651="",AN1651="",AM1651=AN1651),"",($E1651-AN1651)/(AM1651-AN1651))</f>
        <v>0</v>
      </c>
      <c r="AP1651">
        <f>IF(OR(AM1651="",AK1651="",AK1651=0),"",(AM1651-AN1651)/AK1651)</f>
        <v>0</v>
      </c>
      <c r="AQ1651">
        <f>IF(COUNT($E$2:$E1651)&lt;20,"",MAX($C$1632:$C$1651))</f>
        <v>0</v>
      </c>
      <c r="AR1651">
        <f>IF(COUNT($E$2:$E1651)&lt;20,"",MIN($D$1632:$D$1651))</f>
        <v>0</v>
      </c>
      <c r="AS1651">
        <f>IF(OR(AQ1651="",AR1651=""),"",(AQ1651+AR1651)/2)</f>
        <v>0</v>
      </c>
      <c r="AT1651">
        <f>IF(COUNT($G$1632:$G$1651)&lt;20,"",STDEV($G$1632:$G$1651)*SQRT(252))</f>
        <v>0</v>
      </c>
      <c r="AU1651">
        <f>IF(COUNT($E$2:$E1651)&lt;9,"",(MAX($C$1643:$C$1651)+MIN($D$1643:$D$1651))/2)</f>
        <v>0</v>
      </c>
      <c r="AV1651">
        <f>IF(COUNT($E$2:$E1651)&lt;26,"",(MAX($C$1626:$C$1651)+MIN($D$1626:$D$1651))/2)</f>
        <v>0</v>
      </c>
      <c r="AW1651">
        <f>IF(OR(AU1651="",AV1651=""),"",(AU1651+AV1651)/2)</f>
        <v>0</v>
      </c>
      <c r="AX1651">
        <f>IF(COUNT($E$2:$E1651)&lt;52,"",(MAX($C$1600:$C$1651)+MIN($D$1600:$D$1651))/2)</f>
        <v>0</v>
      </c>
      <c r="AY1651">
        <f>IF(COUNT($E$2:$E1651)&lt;20,"",MAX($C$1552:$C$1651))</f>
        <v>0</v>
      </c>
      <c r="AZ1651">
        <f>IF(COUNT($E$2:$E1651)&lt;20,"",MIN($D$1552:$D$1651))</f>
        <v>0</v>
      </c>
      <c r="BA1651">
        <f>IF(COUNT($E$2:$E1651)&lt;20,"",SLOPE($E$1552:$E$1651,$F$1552:$F$1651))</f>
        <v>0</v>
      </c>
      <c r="BB1651">
        <f>IF(COUNT($E$2:$E1651)&lt;20,"",INTERCEPT($E$1552:$E$1651,$F$1552:$F$1651))</f>
        <v>0</v>
      </c>
      <c r="BC1651">
        <f>IF(OR(BA1651="",BB1651=""),"",BB1651+BA1651*F1651)</f>
        <v>0</v>
      </c>
      <c r="BD1651">
        <f>IF(COUNT($E$2:$E1651)&lt;20,"",STEYX($E$1552:$E$1651,$F$1552:$F$1651))</f>
        <v>0</v>
      </c>
      <c r="BE1651">
        <f>IF($E1651="","",IF(AND(COUNT($E$1652:$E$1655)&gt;=4,$C1651=MAX($C$1647:$C$1655)),$C1651,""))</f>
        <v>0</v>
      </c>
      <c r="BF1651">
        <f>IF($E1651="","",IF(AND(COUNT($E$1652:$E$1655)&gt;=4,$D1651=MIN($D$1647:$D$1655)),$D1651,""))</f>
        <v>0</v>
      </c>
      <c r="BG1651">
        <f>IF($A1651="","",$A1651-WEEKDAY($A1651,2)+1)</f>
        <v>0</v>
      </c>
      <c r="BH1651">
        <f>IF($A1651="","",IF($A1650="",1,IF(BG1651&lt;&gt;BG1650,1,0)))</f>
        <v>0</v>
      </c>
      <c r="BI1651">
        <f>IF($A1651="","",IF($A1652="",1,IF(BG1652&lt;&gt;BG1651,1,0)))</f>
        <v>0</v>
      </c>
      <c r="BJ1651">
        <f>IF($A1651="","",IF(BH1651=1,$B1651,BJ1650))</f>
        <v>0</v>
      </c>
      <c r="BK1651">
        <f>IF($A1651="","",IF(BH1651=1,$C1651,MAX($C1651,BK1650)))</f>
        <v>0</v>
      </c>
      <c r="BL1651">
        <f>IF($A1651="","",IF(BH1651=1,$D1651,MIN($D1651,BL1650)))</f>
        <v>0</v>
      </c>
      <c r="BM1651">
        <f>IF($A1651="","",IF(BI1651=1,F1651,""))</f>
        <v>0</v>
      </c>
      <c r="BN1651">
        <f>IF($A1651="","",DATE(YEAR($A1651),MONTH($A1651),1))</f>
        <v>0</v>
      </c>
      <c r="BO1651">
        <f>IF($A1651="","",IF($A1650="",1,IF(BN1651&lt;&gt;BN1650,1,0)))</f>
        <v>0</v>
      </c>
      <c r="BP1651">
        <f>IF($A1651="","",IF($A1652="",1,IF(BN1652&lt;&gt;BN1651,1,0)))</f>
        <v>0</v>
      </c>
      <c r="BQ1651">
        <f>IF($A1651="","",IF(BO1651=1,$B1651,BQ1650))</f>
        <v>0</v>
      </c>
      <c r="BR1651">
        <f>IF($A1651="","",IF(BO1651=1,$C1651,MAX($C1651,BR1650)))</f>
        <v>0</v>
      </c>
      <c r="BS1651">
        <f>IF($A1651="","",IF(BO1651=1,$D1651,MIN($D1651,BS1650)))</f>
        <v>0</v>
      </c>
      <c r="BT1651">
        <f>IF($A1651="","",IF(BP1651=1,F1651,""))</f>
        <v>0</v>
      </c>
    </row>
    <row r="1652" spans="1:72">
      <c r="A1652" s="27">
        <f>IF(Data!$A1652="","",Data!$A1652)</f>
        <v>0</v>
      </c>
      <c r="B1652">
        <f>IF(Data!$B1652="","",Data!$B1652)</f>
        <v>0</v>
      </c>
      <c r="C1652">
        <f>IF(Data!$C1652="","",Data!$C1652)</f>
        <v>0</v>
      </c>
      <c r="D1652">
        <f>IF(Data!$D1652="","",Data!$D1652)</f>
        <v>0</v>
      </c>
      <c r="E1652">
        <f>IF(Data!$E1652="","",Data!$E1652)</f>
        <v>0</v>
      </c>
      <c r="F1652">
        <f>IF($E1652="","",N(F1651)+1)</f>
        <v>0</v>
      </c>
      <c r="G1652">
        <f>IF(OR($E1652="",$E1651=""),"",LN($E1652/$E1651))</f>
        <v>0</v>
      </c>
      <c r="H1652">
        <f>IF($E1652="","",IF($E1651="",$E1652,$E1652*0.0952380952+H1651*0.9047619048))</f>
        <v>0</v>
      </c>
      <c r="I1652">
        <f>IF($E1652="","",IF($E1651="",$E1652,$E1652*0.0392156863+I1651*0.9607843137))</f>
        <v>0</v>
      </c>
      <c r="J1652">
        <f>IF($E1652="","",IF($E1651="",$E1652,$E1652*0.0198019802+J1651*0.9801980198))</f>
        <v>0</v>
      </c>
      <c r="K1652">
        <f>IF($E1652="","",IF($E1651="",$E1652,$E1652*0.0099502488+K1651*0.9900497512))</f>
        <v>0</v>
      </c>
      <c r="L1652">
        <f>IF(OR($E1652="",$E1651=""),"",MAX($E1652-$E1651,0))</f>
        <v>0</v>
      </c>
      <c r="M1652">
        <f>IF(OR($E1652="",$E1651=""),"",MAX($E1651-$E1652,0))</f>
        <v>0</v>
      </c>
      <c r="N1652">
        <f>IF(COUNT($E$2:$E1652)&lt;15,"",IF(AVERAGE($M$1639:$M$1652)=0,100,100-100/(1+AVERAGE($L$1639:$L$1652)/AVERAGE($M$1639:$M$1652))))</f>
        <v>0</v>
      </c>
      <c r="O1652">
        <f>IF($E1652="","",IF($E1651="",$E1652,$E1652*0.1538461538+O1651*0.8461538462))</f>
        <v>0</v>
      </c>
      <c r="P1652">
        <f>IF($E1652="","",IF($E1651="",$E1652,$E1652*0.0740740741+P1651*0.9259259259))</f>
        <v>0</v>
      </c>
      <c r="Q1652">
        <f>IF(OR(O1652="",P1652=""),"",O1652-P1652)</f>
        <v>0</v>
      </c>
      <c r="R1652">
        <f>IF(Q1652="","",IF(R1651="",Q1652,Q1652*0.2000000000+R1651*0.8000000000))</f>
        <v>0</v>
      </c>
      <c r="S1652">
        <f>IF(OR(Q1652="",R1652=""),"",Q1652-R1652)</f>
        <v>0</v>
      </c>
      <c r="T1652">
        <f>IF(COUNT($E$2:$E1652)&lt;14,"",MAX($C$1639:$C$1652))</f>
        <v>0</v>
      </c>
      <c r="U1652">
        <f>IF(COUNT($E$2:$E1652)&lt;14,"",MIN($D$1639:$D$1652))</f>
        <v>0</v>
      </c>
      <c r="V1652">
        <f>IF(OR(T1652="",U1652="",T1652=U1652),"",100*($E1652-U1652)/(T1652-U1652))</f>
        <v>0</v>
      </c>
      <c r="W1652">
        <f>IF(COUNT($V$1650:$V$1652)&lt;3,"",AVERAGE($V$1650:$V$1652))</f>
        <v>0</v>
      </c>
      <c r="X1652">
        <f>IF(COUNT($N$1639:$N$1652)&lt;14,"",MIN($N$1639:$N$1652))</f>
        <v>0</v>
      </c>
      <c r="Y1652">
        <f>IF(COUNT($N$1639:$N$1652)&lt;14,"",MAX($N$1639:$N$1652))</f>
        <v>0</v>
      </c>
      <c r="Z1652">
        <f>IF(OR(N1652="",X1652="",Y1652="",Y1652=X1652),"",100*(N1652-X1652)/(Y1652-X1652))</f>
        <v>0</v>
      </c>
      <c r="AA1652">
        <f>IF(COUNT($Z$1650:$Z$1652)&lt;3,"",AVERAGE($Z$1650:$Z$1652))</f>
        <v>0</v>
      </c>
      <c r="AB1652">
        <f>IF(COUNT($AA$1650:$AA$1652)&lt;3,"",AVERAGE($AA$1650:$AA$1652))</f>
        <v>0</v>
      </c>
      <c r="AC1652">
        <f>IF($E1652="","",MAX($C1652-$D1652,ABS($C1652-$E1651),ABS($D1652-$E1651)))</f>
        <v>0</v>
      </c>
      <c r="AD1652">
        <f>IF(COUNT($E$2:$E1652)&lt;15,"",AVERAGE($AC$1639:$AC$1652))</f>
        <v>0</v>
      </c>
      <c r="AE1652">
        <f>IF(OR($E1652="",$E1651=""),"",IF(AND(($C1652-$C1651)&gt;($D1651-$D1652),($C1652-$C1651)&gt;0),$C1652-$C1651,0))</f>
        <v>0</v>
      </c>
      <c r="AF1652">
        <f>IF(OR($E1652="",$E1651=""),"",IF(AND(($D1651-$D1652)&gt;($C1652-$C1651),($D1651-$D1652)&gt;0),$D1651-$D1652,0))</f>
        <v>0</v>
      </c>
      <c r="AG1652">
        <f>IF(COUNT($E$2:$E1652)&lt;15,"",IF(SUM($AC$1639:$AC$1652)=0,0,100*SUM($AE$1639:$AE$1652)/SUM($AC$1639:$AC$1652)))</f>
        <v>0</v>
      </c>
      <c r="AH1652">
        <f>IF(COUNT($E$2:$E1652)&lt;15,"",IF(SUM($AC$1639:$AC$1652)=0,0,100*SUM($AF$1639:$AF$1652)/SUM($AC$1639:$AC$1652)))</f>
        <v>0</v>
      </c>
      <c r="AI1652">
        <f>IF(OR(AG1652="",AH1652=""),"",IF((AG1652+AH1652)=0,0,100*ABS(AG1652-AH1652)/(AG1652+AH1652)))</f>
        <v>0</v>
      </c>
      <c r="AJ1652">
        <f>IF(COUNT($AI$1639:$AI$1652)&lt;14,"",AVERAGE($AI$1639:$AI$1652))</f>
        <v>0</v>
      </c>
      <c r="AK1652">
        <f>IF(COUNT($E$2:$E1652)&lt;20,"",AVERAGE($E$1633:$E$1652))</f>
        <v>0</v>
      </c>
      <c r="AL1652">
        <f>IF(COUNT($E$2:$E1652)&lt;20,"",STDEVP($E$1633:$E$1652))</f>
        <v>0</v>
      </c>
      <c r="AM1652">
        <f>IF(AK1652="","",AK1652+2*AL1652)</f>
        <v>0</v>
      </c>
      <c r="AN1652">
        <f>IF(AK1652="","",AK1652-2*AL1652)</f>
        <v>0</v>
      </c>
      <c r="AO1652">
        <f>IF(OR(AM1652="",AN1652="",AM1652=AN1652),"",($E1652-AN1652)/(AM1652-AN1652))</f>
        <v>0</v>
      </c>
      <c r="AP1652">
        <f>IF(OR(AM1652="",AK1652="",AK1652=0),"",(AM1652-AN1652)/AK1652)</f>
        <v>0</v>
      </c>
      <c r="AQ1652">
        <f>IF(COUNT($E$2:$E1652)&lt;20,"",MAX($C$1633:$C$1652))</f>
        <v>0</v>
      </c>
      <c r="AR1652">
        <f>IF(COUNT($E$2:$E1652)&lt;20,"",MIN($D$1633:$D$1652))</f>
        <v>0</v>
      </c>
      <c r="AS1652">
        <f>IF(OR(AQ1652="",AR1652=""),"",(AQ1652+AR1652)/2)</f>
        <v>0</v>
      </c>
      <c r="AT1652">
        <f>IF(COUNT($G$1633:$G$1652)&lt;20,"",STDEV($G$1633:$G$1652)*SQRT(252))</f>
        <v>0</v>
      </c>
      <c r="AU1652">
        <f>IF(COUNT($E$2:$E1652)&lt;9,"",(MAX($C$1644:$C$1652)+MIN($D$1644:$D$1652))/2)</f>
        <v>0</v>
      </c>
      <c r="AV1652">
        <f>IF(COUNT($E$2:$E1652)&lt;26,"",(MAX($C$1627:$C$1652)+MIN($D$1627:$D$1652))/2)</f>
        <v>0</v>
      </c>
      <c r="AW1652">
        <f>IF(OR(AU1652="",AV1652=""),"",(AU1652+AV1652)/2)</f>
        <v>0</v>
      </c>
      <c r="AX1652">
        <f>IF(COUNT($E$2:$E1652)&lt;52,"",(MAX($C$1601:$C$1652)+MIN($D$1601:$D$1652))/2)</f>
        <v>0</v>
      </c>
      <c r="AY1652">
        <f>IF(COUNT($E$2:$E1652)&lt;20,"",MAX($C$1553:$C$1652))</f>
        <v>0</v>
      </c>
      <c r="AZ1652">
        <f>IF(COUNT($E$2:$E1652)&lt;20,"",MIN($D$1553:$D$1652))</f>
        <v>0</v>
      </c>
      <c r="BA1652">
        <f>IF(COUNT($E$2:$E1652)&lt;20,"",SLOPE($E$1553:$E$1652,$F$1553:$F$1652))</f>
        <v>0</v>
      </c>
      <c r="BB1652">
        <f>IF(COUNT($E$2:$E1652)&lt;20,"",INTERCEPT($E$1553:$E$1652,$F$1553:$F$1652))</f>
        <v>0</v>
      </c>
      <c r="BC1652">
        <f>IF(OR(BA1652="",BB1652=""),"",BB1652+BA1652*F1652)</f>
        <v>0</v>
      </c>
      <c r="BD1652">
        <f>IF(COUNT($E$2:$E1652)&lt;20,"",STEYX($E$1553:$E$1652,$F$1553:$F$1652))</f>
        <v>0</v>
      </c>
      <c r="BE1652">
        <f>IF($E1652="","",IF(AND(COUNT($E$1653:$E$1656)&gt;=4,$C1652=MAX($C$1648:$C$1656)),$C1652,""))</f>
        <v>0</v>
      </c>
      <c r="BF1652">
        <f>IF($E1652="","",IF(AND(COUNT($E$1653:$E$1656)&gt;=4,$D1652=MIN($D$1648:$D$1656)),$D1652,""))</f>
        <v>0</v>
      </c>
      <c r="BG1652">
        <f>IF($A1652="","",$A1652-WEEKDAY($A1652,2)+1)</f>
        <v>0</v>
      </c>
      <c r="BH1652">
        <f>IF($A1652="","",IF($A1651="",1,IF(BG1652&lt;&gt;BG1651,1,0)))</f>
        <v>0</v>
      </c>
      <c r="BI1652">
        <f>IF($A1652="","",IF($A1653="",1,IF(BG1653&lt;&gt;BG1652,1,0)))</f>
        <v>0</v>
      </c>
      <c r="BJ1652">
        <f>IF($A1652="","",IF(BH1652=1,$B1652,BJ1651))</f>
        <v>0</v>
      </c>
      <c r="BK1652">
        <f>IF($A1652="","",IF(BH1652=1,$C1652,MAX($C1652,BK1651)))</f>
        <v>0</v>
      </c>
      <c r="BL1652">
        <f>IF($A1652="","",IF(BH1652=1,$D1652,MIN($D1652,BL1651)))</f>
        <v>0</v>
      </c>
      <c r="BM1652">
        <f>IF($A1652="","",IF(BI1652=1,F1652,""))</f>
        <v>0</v>
      </c>
      <c r="BN1652">
        <f>IF($A1652="","",DATE(YEAR($A1652),MONTH($A1652),1))</f>
        <v>0</v>
      </c>
      <c r="BO1652">
        <f>IF($A1652="","",IF($A1651="",1,IF(BN1652&lt;&gt;BN1651,1,0)))</f>
        <v>0</v>
      </c>
      <c r="BP1652">
        <f>IF($A1652="","",IF($A1653="",1,IF(BN1653&lt;&gt;BN1652,1,0)))</f>
        <v>0</v>
      </c>
      <c r="BQ1652">
        <f>IF($A1652="","",IF(BO1652=1,$B1652,BQ1651))</f>
        <v>0</v>
      </c>
      <c r="BR1652">
        <f>IF($A1652="","",IF(BO1652=1,$C1652,MAX($C1652,BR1651)))</f>
        <v>0</v>
      </c>
      <c r="BS1652">
        <f>IF($A1652="","",IF(BO1652=1,$D1652,MIN($D1652,BS1651)))</f>
        <v>0</v>
      </c>
      <c r="BT1652">
        <f>IF($A1652="","",IF(BP1652=1,F1652,""))</f>
        <v>0</v>
      </c>
    </row>
    <row r="1653" spans="1:72">
      <c r="A1653" s="27">
        <f>IF(Data!$A1653="","",Data!$A1653)</f>
        <v>0</v>
      </c>
      <c r="B1653">
        <f>IF(Data!$B1653="","",Data!$B1653)</f>
        <v>0</v>
      </c>
      <c r="C1653">
        <f>IF(Data!$C1653="","",Data!$C1653)</f>
        <v>0</v>
      </c>
      <c r="D1653">
        <f>IF(Data!$D1653="","",Data!$D1653)</f>
        <v>0</v>
      </c>
      <c r="E1653">
        <f>IF(Data!$E1653="","",Data!$E1653)</f>
        <v>0</v>
      </c>
      <c r="F1653">
        <f>IF($E1653="","",N(F1652)+1)</f>
        <v>0</v>
      </c>
      <c r="G1653">
        <f>IF(OR($E1653="",$E1652=""),"",LN($E1653/$E1652))</f>
        <v>0</v>
      </c>
      <c r="H1653">
        <f>IF($E1653="","",IF($E1652="",$E1653,$E1653*0.0952380952+H1652*0.9047619048))</f>
        <v>0</v>
      </c>
      <c r="I1653">
        <f>IF($E1653="","",IF($E1652="",$E1653,$E1653*0.0392156863+I1652*0.9607843137))</f>
        <v>0</v>
      </c>
      <c r="J1653">
        <f>IF($E1653="","",IF($E1652="",$E1653,$E1653*0.0198019802+J1652*0.9801980198))</f>
        <v>0</v>
      </c>
      <c r="K1653">
        <f>IF($E1653="","",IF($E1652="",$E1653,$E1653*0.0099502488+K1652*0.9900497512))</f>
        <v>0</v>
      </c>
      <c r="L1653">
        <f>IF(OR($E1653="",$E1652=""),"",MAX($E1653-$E1652,0))</f>
        <v>0</v>
      </c>
      <c r="M1653">
        <f>IF(OR($E1653="",$E1652=""),"",MAX($E1652-$E1653,0))</f>
        <v>0</v>
      </c>
      <c r="N1653">
        <f>IF(COUNT($E$2:$E1653)&lt;15,"",IF(AVERAGE($M$1640:$M$1653)=0,100,100-100/(1+AVERAGE($L$1640:$L$1653)/AVERAGE($M$1640:$M$1653))))</f>
        <v>0</v>
      </c>
      <c r="O1653">
        <f>IF($E1653="","",IF($E1652="",$E1653,$E1653*0.1538461538+O1652*0.8461538462))</f>
        <v>0</v>
      </c>
      <c r="P1653">
        <f>IF($E1653="","",IF($E1652="",$E1653,$E1653*0.0740740741+P1652*0.9259259259))</f>
        <v>0</v>
      </c>
      <c r="Q1653">
        <f>IF(OR(O1653="",P1653=""),"",O1653-P1653)</f>
        <v>0</v>
      </c>
      <c r="R1653">
        <f>IF(Q1653="","",IF(R1652="",Q1653,Q1653*0.2000000000+R1652*0.8000000000))</f>
        <v>0</v>
      </c>
      <c r="S1653">
        <f>IF(OR(Q1653="",R1653=""),"",Q1653-R1653)</f>
        <v>0</v>
      </c>
      <c r="T1653">
        <f>IF(COUNT($E$2:$E1653)&lt;14,"",MAX($C$1640:$C$1653))</f>
        <v>0</v>
      </c>
      <c r="U1653">
        <f>IF(COUNT($E$2:$E1653)&lt;14,"",MIN($D$1640:$D$1653))</f>
        <v>0</v>
      </c>
      <c r="V1653">
        <f>IF(OR(T1653="",U1653="",T1653=U1653),"",100*($E1653-U1653)/(T1653-U1653))</f>
        <v>0</v>
      </c>
      <c r="W1653">
        <f>IF(COUNT($V$1651:$V$1653)&lt;3,"",AVERAGE($V$1651:$V$1653))</f>
        <v>0</v>
      </c>
      <c r="X1653">
        <f>IF(COUNT($N$1640:$N$1653)&lt;14,"",MIN($N$1640:$N$1653))</f>
        <v>0</v>
      </c>
      <c r="Y1653">
        <f>IF(COUNT($N$1640:$N$1653)&lt;14,"",MAX($N$1640:$N$1653))</f>
        <v>0</v>
      </c>
      <c r="Z1653">
        <f>IF(OR(N1653="",X1653="",Y1653="",Y1653=X1653),"",100*(N1653-X1653)/(Y1653-X1653))</f>
        <v>0</v>
      </c>
      <c r="AA1653">
        <f>IF(COUNT($Z$1651:$Z$1653)&lt;3,"",AVERAGE($Z$1651:$Z$1653))</f>
        <v>0</v>
      </c>
      <c r="AB1653">
        <f>IF(COUNT($AA$1651:$AA$1653)&lt;3,"",AVERAGE($AA$1651:$AA$1653))</f>
        <v>0</v>
      </c>
      <c r="AC1653">
        <f>IF($E1653="","",MAX($C1653-$D1653,ABS($C1653-$E1652),ABS($D1653-$E1652)))</f>
        <v>0</v>
      </c>
      <c r="AD1653">
        <f>IF(COUNT($E$2:$E1653)&lt;15,"",AVERAGE($AC$1640:$AC$1653))</f>
        <v>0</v>
      </c>
      <c r="AE1653">
        <f>IF(OR($E1653="",$E1652=""),"",IF(AND(($C1653-$C1652)&gt;($D1652-$D1653),($C1653-$C1652)&gt;0),$C1653-$C1652,0))</f>
        <v>0</v>
      </c>
      <c r="AF1653">
        <f>IF(OR($E1653="",$E1652=""),"",IF(AND(($D1652-$D1653)&gt;($C1653-$C1652),($D1652-$D1653)&gt;0),$D1652-$D1653,0))</f>
        <v>0</v>
      </c>
      <c r="AG1653">
        <f>IF(COUNT($E$2:$E1653)&lt;15,"",IF(SUM($AC$1640:$AC$1653)=0,0,100*SUM($AE$1640:$AE$1653)/SUM($AC$1640:$AC$1653)))</f>
        <v>0</v>
      </c>
      <c r="AH1653">
        <f>IF(COUNT($E$2:$E1653)&lt;15,"",IF(SUM($AC$1640:$AC$1653)=0,0,100*SUM($AF$1640:$AF$1653)/SUM($AC$1640:$AC$1653)))</f>
        <v>0</v>
      </c>
      <c r="AI1653">
        <f>IF(OR(AG1653="",AH1653=""),"",IF((AG1653+AH1653)=0,0,100*ABS(AG1653-AH1653)/(AG1653+AH1653)))</f>
        <v>0</v>
      </c>
      <c r="AJ1653">
        <f>IF(COUNT($AI$1640:$AI$1653)&lt;14,"",AVERAGE($AI$1640:$AI$1653))</f>
        <v>0</v>
      </c>
      <c r="AK1653">
        <f>IF(COUNT($E$2:$E1653)&lt;20,"",AVERAGE($E$1634:$E$1653))</f>
        <v>0</v>
      </c>
      <c r="AL1653">
        <f>IF(COUNT($E$2:$E1653)&lt;20,"",STDEVP($E$1634:$E$1653))</f>
        <v>0</v>
      </c>
      <c r="AM1653">
        <f>IF(AK1653="","",AK1653+2*AL1653)</f>
        <v>0</v>
      </c>
      <c r="AN1653">
        <f>IF(AK1653="","",AK1653-2*AL1653)</f>
        <v>0</v>
      </c>
      <c r="AO1653">
        <f>IF(OR(AM1653="",AN1653="",AM1653=AN1653),"",($E1653-AN1653)/(AM1653-AN1653))</f>
        <v>0</v>
      </c>
      <c r="AP1653">
        <f>IF(OR(AM1653="",AK1653="",AK1653=0),"",(AM1653-AN1653)/AK1653)</f>
        <v>0</v>
      </c>
      <c r="AQ1653">
        <f>IF(COUNT($E$2:$E1653)&lt;20,"",MAX($C$1634:$C$1653))</f>
        <v>0</v>
      </c>
      <c r="AR1653">
        <f>IF(COUNT($E$2:$E1653)&lt;20,"",MIN($D$1634:$D$1653))</f>
        <v>0</v>
      </c>
      <c r="AS1653">
        <f>IF(OR(AQ1653="",AR1653=""),"",(AQ1653+AR1653)/2)</f>
        <v>0</v>
      </c>
      <c r="AT1653">
        <f>IF(COUNT($G$1634:$G$1653)&lt;20,"",STDEV($G$1634:$G$1653)*SQRT(252))</f>
        <v>0</v>
      </c>
      <c r="AU1653">
        <f>IF(COUNT($E$2:$E1653)&lt;9,"",(MAX($C$1645:$C$1653)+MIN($D$1645:$D$1653))/2)</f>
        <v>0</v>
      </c>
      <c r="AV1653">
        <f>IF(COUNT($E$2:$E1653)&lt;26,"",(MAX($C$1628:$C$1653)+MIN($D$1628:$D$1653))/2)</f>
        <v>0</v>
      </c>
      <c r="AW1653">
        <f>IF(OR(AU1653="",AV1653=""),"",(AU1653+AV1653)/2)</f>
        <v>0</v>
      </c>
      <c r="AX1653">
        <f>IF(COUNT($E$2:$E1653)&lt;52,"",(MAX($C$1602:$C$1653)+MIN($D$1602:$D$1653))/2)</f>
        <v>0</v>
      </c>
      <c r="AY1653">
        <f>IF(COUNT($E$2:$E1653)&lt;20,"",MAX($C$1554:$C$1653))</f>
        <v>0</v>
      </c>
      <c r="AZ1653">
        <f>IF(COUNT($E$2:$E1653)&lt;20,"",MIN($D$1554:$D$1653))</f>
        <v>0</v>
      </c>
      <c r="BA1653">
        <f>IF(COUNT($E$2:$E1653)&lt;20,"",SLOPE($E$1554:$E$1653,$F$1554:$F$1653))</f>
        <v>0</v>
      </c>
      <c r="BB1653">
        <f>IF(COUNT($E$2:$E1653)&lt;20,"",INTERCEPT($E$1554:$E$1653,$F$1554:$F$1653))</f>
        <v>0</v>
      </c>
      <c r="BC1653">
        <f>IF(OR(BA1653="",BB1653=""),"",BB1653+BA1653*F1653)</f>
        <v>0</v>
      </c>
      <c r="BD1653">
        <f>IF(COUNT($E$2:$E1653)&lt;20,"",STEYX($E$1554:$E$1653,$F$1554:$F$1653))</f>
        <v>0</v>
      </c>
      <c r="BE1653">
        <f>IF($E1653="","",IF(AND(COUNT($E$1654:$E$1657)&gt;=4,$C1653=MAX($C$1649:$C$1657)),$C1653,""))</f>
        <v>0</v>
      </c>
      <c r="BF1653">
        <f>IF($E1653="","",IF(AND(COUNT($E$1654:$E$1657)&gt;=4,$D1653=MIN($D$1649:$D$1657)),$D1653,""))</f>
        <v>0</v>
      </c>
      <c r="BG1653">
        <f>IF($A1653="","",$A1653-WEEKDAY($A1653,2)+1)</f>
        <v>0</v>
      </c>
      <c r="BH1653">
        <f>IF($A1653="","",IF($A1652="",1,IF(BG1653&lt;&gt;BG1652,1,0)))</f>
        <v>0</v>
      </c>
      <c r="BI1653">
        <f>IF($A1653="","",IF($A1654="",1,IF(BG1654&lt;&gt;BG1653,1,0)))</f>
        <v>0</v>
      </c>
      <c r="BJ1653">
        <f>IF($A1653="","",IF(BH1653=1,$B1653,BJ1652))</f>
        <v>0</v>
      </c>
      <c r="BK1653">
        <f>IF($A1653="","",IF(BH1653=1,$C1653,MAX($C1653,BK1652)))</f>
        <v>0</v>
      </c>
      <c r="BL1653">
        <f>IF($A1653="","",IF(BH1653=1,$D1653,MIN($D1653,BL1652)))</f>
        <v>0</v>
      </c>
      <c r="BM1653">
        <f>IF($A1653="","",IF(BI1653=1,F1653,""))</f>
        <v>0</v>
      </c>
      <c r="BN1653">
        <f>IF($A1653="","",DATE(YEAR($A1653),MONTH($A1653),1))</f>
        <v>0</v>
      </c>
      <c r="BO1653">
        <f>IF($A1653="","",IF($A1652="",1,IF(BN1653&lt;&gt;BN1652,1,0)))</f>
        <v>0</v>
      </c>
      <c r="BP1653">
        <f>IF($A1653="","",IF($A1654="",1,IF(BN1654&lt;&gt;BN1653,1,0)))</f>
        <v>0</v>
      </c>
      <c r="BQ1653">
        <f>IF($A1653="","",IF(BO1653=1,$B1653,BQ1652))</f>
        <v>0</v>
      </c>
      <c r="BR1653">
        <f>IF($A1653="","",IF(BO1653=1,$C1653,MAX($C1653,BR1652)))</f>
        <v>0</v>
      </c>
      <c r="BS1653">
        <f>IF($A1653="","",IF(BO1653=1,$D1653,MIN($D1653,BS1652)))</f>
        <v>0</v>
      </c>
      <c r="BT1653">
        <f>IF($A1653="","",IF(BP1653=1,F1653,""))</f>
        <v>0</v>
      </c>
    </row>
    <row r="1654" spans="1:72">
      <c r="A1654" s="27">
        <f>IF(Data!$A1654="","",Data!$A1654)</f>
        <v>0</v>
      </c>
      <c r="B1654">
        <f>IF(Data!$B1654="","",Data!$B1654)</f>
        <v>0</v>
      </c>
      <c r="C1654">
        <f>IF(Data!$C1654="","",Data!$C1654)</f>
        <v>0</v>
      </c>
      <c r="D1654">
        <f>IF(Data!$D1654="","",Data!$D1654)</f>
        <v>0</v>
      </c>
      <c r="E1654">
        <f>IF(Data!$E1654="","",Data!$E1654)</f>
        <v>0</v>
      </c>
      <c r="F1654">
        <f>IF($E1654="","",N(F1653)+1)</f>
        <v>0</v>
      </c>
      <c r="G1654">
        <f>IF(OR($E1654="",$E1653=""),"",LN($E1654/$E1653))</f>
        <v>0</v>
      </c>
      <c r="H1654">
        <f>IF($E1654="","",IF($E1653="",$E1654,$E1654*0.0952380952+H1653*0.9047619048))</f>
        <v>0</v>
      </c>
      <c r="I1654">
        <f>IF($E1654="","",IF($E1653="",$E1654,$E1654*0.0392156863+I1653*0.9607843137))</f>
        <v>0</v>
      </c>
      <c r="J1654">
        <f>IF($E1654="","",IF($E1653="",$E1654,$E1654*0.0198019802+J1653*0.9801980198))</f>
        <v>0</v>
      </c>
      <c r="K1654">
        <f>IF($E1654="","",IF($E1653="",$E1654,$E1654*0.0099502488+K1653*0.9900497512))</f>
        <v>0</v>
      </c>
      <c r="L1654">
        <f>IF(OR($E1654="",$E1653=""),"",MAX($E1654-$E1653,0))</f>
        <v>0</v>
      </c>
      <c r="M1654">
        <f>IF(OR($E1654="",$E1653=""),"",MAX($E1653-$E1654,0))</f>
        <v>0</v>
      </c>
      <c r="N1654">
        <f>IF(COUNT($E$2:$E1654)&lt;15,"",IF(AVERAGE($M$1641:$M$1654)=0,100,100-100/(1+AVERAGE($L$1641:$L$1654)/AVERAGE($M$1641:$M$1654))))</f>
        <v>0</v>
      </c>
      <c r="O1654">
        <f>IF($E1654="","",IF($E1653="",$E1654,$E1654*0.1538461538+O1653*0.8461538462))</f>
        <v>0</v>
      </c>
      <c r="P1654">
        <f>IF($E1654="","",IF($E1653="",$E1654,$E1654*0.0740740741+P1653*0.9259259259))</f>
        <v>0</v>
      </c>
      <c r="Q1654">
        <f>IF(OR(O1654="",P1654=""),"",O1654-P1654)</f>
        <v>0</v>
      </c>
      <c r="R1654">
        <f>IF(Q1654="","",IF(R1653="",Q1654,Q1654*0.2000000000+R1653*0.8000000000))</f>
        <v>0</v>
      </c>
      <c r="S1654">
        <f>IF(OR(Q1654="",R1654=""),"",Q1654-R1654)</f>
        <v>0</v>
      </c>
      <c r="T1654">
        <f>IF(COUNT($E$2:$E1654)&lt;14,"",MAX($C$1641:$C$1654))</f>
        <v>0</v>
      </c>
      <c r="U1654">
        <f>IF(COUNT($E$2:$E1654)&lt;14,"",MIN($D$1641:$D$1654))</f>
        <v>0</v>
      </c>
      <c r="V1654">
        <f>IF(OR(T1654="",U1654="",T1654=U1654),"",100*($E1654-U1654)/(T1654-U1654))</f>
        <v>0</v>
      </c>
      <c r="W1654">
        <f>IF(COUNT($V$1652:$V$1654)&lt;3,"",AVERAGE($V$1652:$V$1654))</f>
        <v>0</v>
      </c>
      <c r="X1654">
        <f>IF(COUNT($N$1641:$N$1654)&lt;14,"",MIN($N$1641:$N$1654))</f>
        <v>0</v>
      </c>
      <c r="Y1654">
        <f>IF(COUNT($N$1641:$N$1654)&lt;14,"",MAX($N$1641:$N$1654))</f>
        <v>0</v>
      </c>
      <c r="Z1654">
        <f>IF(OR(N1654="",X1654="",Y1654="",Y1654=X1654),"",100*(N1654-X1654)/(Y1654-X1654))</f>
        <v>0</v>
      </c>
      <c r="AA1654">
        <f>IF(COUNT($Z$1652:$Z$1654)&lt;3,"",AVERAGE($Z$1652:$Z$1654))</f>
        <v>0</v>
      </c>
      <c r="AB1654">
        <f>IF(COUNT($AA$1652:$AA$1654)&lt;3,"",AVERAGE($AA$1652:$AA$1654))</f>
        <v>0</v>
      </c>
      <c r="AC1654">
        <f>IF($E1654="","",MAX($C1654-$D1654,ABS($C1654-$E1653),ABS($D1654-$E1653)))</f>
        <v>0</v>
      </c>
      <c r="AD1654">
        <f>IF(COUNT($E$2:$E1654)&lt;15,"",AVERAGE($AC$1641:$AC$1654))</f>
        <v>0</v>
      </c>
      <c r="AE1654">
        <f>IF(OR($E1654="",$E1653=""),"",IF(AND(($C1654-$C1653)&gt;($D1653-$D1654),($C1654-$C1653)&gt;0),$C1654-$C1653,0))</f>
        <v>0</v>
      </c>
      <c r="AF1654">
        <f>IF(OR($E1654="",$E1653=""),"",IF(AND(($D1653-$D1654)&gt;($C1654-$C1653),($D1653-$D1654)&gt;0),$D1653-$D1654,0))</f>
        <v>0</v>
      </c>
      <c r="AG1654">
        <f>IF(COUNT($E$2:$E1654)&lt;15,"",IF(SUM($AC$1641:$AC$1654)=0,0,100*SUM($AE$1641:$AE$1654)/SUM($AC$1641:$AC$1654)))</f>
        <v>0</v>
      </c>
      <c r="AH1654">
        <f>IF(COUNT($E$2:$E1654)&lt;15,"",IF(SUM($AC$1641:$AC$1654)=0,0,100*SUM($AF$1641:$AF$1654)/SUM($AC$1641:$AC$1654)))</f>
        <v>0</v>
      </c>
      <c r="AI1654">
        <f>IF(OR(AG1654="",AH1654=""),"",IF((AG1654+AH1654)=0,0,100*ABS(AG1654-AH1654)/(AG1654+AH1654)))</f>
        <v>0</v>
      </c>
      <c r="AJ1654">
        <f>IF(COUNT($AI$1641:$AI$1654)&lt;14,"",AVERAGE($AI$1641:$AI$1654))</f>
        <v>0</v>
      </c>
      <c r="AK1654">
        <f>IF(COUNT($E$2:$E1654)&lt;20,"",AVERAGE($E$1635:$E$1654))</f>
        <v>0</v>
      </c>
      <c r="AL1654">
        <f>IF(COUNT($E$2:$E1654)&lt;20,"",STDEVP($E$1635:$E$1654))</f>
        <v>0</v>
      </c>
      <c r="AM1654">
        <f>IF(AK1654="","",AK1654+2*AL1654)</f>
        <v>0</v>
      </c>
      <c r="AN1654">
        <f>IF(AK1654="","",AK1654-2*AL1654)</f>
        <v>0</v>
      </c>
      <c r="AO1654">
        <f>IF(OR(AM1654="",AN1654="",AM1654=AN1654),"",($E1654-AN1654)/(AM1654-AN1654))</f>
        <v>0</v>
      </c>
      <c r="AP1654">
        <f>IF(OR(AM1654="",AK1654="",AK1654=0),"",(AM1654-AN1654)/AK1654)</f>
        <v>0</v>
      </c>
      <c r="AQ1654">
        <f>IF(COUNT($E$2:$E1654)&lt;20,"",MAX($C$1635:$C$1654))</f>
        <v>0</v>
      </c>
      <c r="AR1654">
        <f>IF(COUNT($E$2:$E1654)&lt;20,"",MIN($D$1635:$D$1654))</f>
        <v>0</v>
      </c>
      <c r="AS1654">
        <f>IF(OR(AQ1654="",AR1654=""),"",(AQ1654+AR1654)/2)</f>
        <v>0</v>
      </c>
      <c r="AT1654">
        <f>IF(COUNT($G$1635:$G$1654)&lt;20,"",STDEV($G$1635:$G$1654)*SQRT(252))</f>
        <v>0</v>
      </c>
      <c r="AU1654">
        <f>IF(COUNT($E$2:$E1654)&lt;9,"",(MAX($C$1646:$C$1654)+MIN($D$1646:$D$1654))/2)</f>
        <v>0</v>
      </c>
      <c r="AV1654">
        <f>IF(COUNT($E$2:$E1654)&lt;26,"",(MAX($C$1629:$C$1654)+MIN($D$1629:$D$1654))/2)</f>
        <v>0</v>
      </c>
      <c r="AW1654">
        <f>IF(OR(AU1654="",AV1654=""),"",(AU1654+AV1654)/2)</f>
        <v>0</v>
      </c>
      <c r="AX1654">
        <f>IF(COUNT($E$2:$E1654)&lt;52,"",(MAX($C$1603:$C$1654)+MIN($D$1603:$D$1654))/2)</f>
        <v>0</v>
      </c>
      <c r="AY1654">
        <f>IF(COUNT($E$2:$E1654)&lt;20,"",MAX($C$1555:$C$1654))</f>
        <v>0</v>
      </c>
      <c r="AZ1654">
        <f>IF(COUNT($E$2:$E1654)&lt;20,"",MIN($D$1555:$D$1654))</f>
        <v>0</v>
      </c>
      <c r="BA1654">
        <f>IF(COUNT($E$2:$E1654)&lt;20,"",SLOPE($E$1555:$E$1654,$F$1555:$F$1654))</f>
        <v>0</v>
      </c>
      <c r="BB1654">
        <f>IF(COUNT($E$2:$E1654)&lt;20,"",INTERCEPT($E$1555:$E$1654,$F$1555:$F$1654))</f>
        <v>0</v>
      </c>
      <c r="BC1654">
        <f>IF(OR(BA1654="",BB1654=""),"",BB1654+BA1654*F1654)</f>
        <v>0</v>
      </c>
      <c r="BD1654">
        <f>IF(COUNT($E$2:$E1654)&lt;20,"",STEYX($E$1555:$E$1654,$F$1555:$F$1654))</f>
        <v>0</v>
      </c>
      <c r="BE1654">
        <f>IF($E1654="","",IF(AND(COUNT($E$1655:$E$1658)&gt;=4,$C1654=MAX($C$1650:$C$1658)),$C1654,""))</f>
        <v>0</v>
      </c>
      <c r="BF1654">
        <f>IF($E1654="","",IF(AND(COUNT($E$1655:$E$1658)&gt;=4,$D1654=MIN($D$1650:$D$1658)),$D1654,""))</f>
        <v>0</v>
      </c>
      <c r="BG1654">
        <f>IF($A1654="","",$A1654-WEEKDAY($A1654,2)+1)</f>
        <v>0</v>
      </c>
      <c r="BH1654">
        <f>IF($A1654="","",IF($A1653="",1,IF(BG1654&lt;&gt;BG1653,1,0)))</f>
        <v>0</v>
      </c>
      <c r="BI1654">
        <f>IF($A1654="","",IF($A1655="",1,IF(BG1655&lt;&gt;BG1654,1,0)))</f>
        <v>0</v>
      </c>
      <c r="BJ1654">
        <f>IF($A1654="","",IF(BH1654=1,$B1654,BJ1653))</f>
        <v>0</v>
      </c>
      <c r="BK1654">
        <f>IF($A1654="","",IF(BH1654=1,$C1654,MAX($C1654,BK1653)))</f>
        <v>0</v>
      </c>
      <c r="BL1654">
        <f>IF($A1654="","",IF(BH1654=1,$D1654,MIN($D1654,BL1653)))</f>
        <v>0</v>
      </c>
      <c r="BM1654">
        <f>IF($A1654="","",IF(BI1654=1,F1654,""))</f>
        <v>0</v>
      </c>
      <c r="BN1654">
        <f>IF($A1654="","",DATE(YEAR($A1654),MONTH($A1654),1))</f>
        <v>0</v>
      </c>
      <c r="BO1654">
        <f>IF($A1654="","",IF($A1653="",1,IF(BN1654&lt;&gt;BN1653,1,0)))</f>
        <v>0</v>
      </c>
      <c r="BP1654">
        <f>IF($A1654="","",IF($A1655="",1,IF(BN1655&lt;&gt;BN1654,1,0)))</f>
        <v>0</v>
      </c>
      <c r="BQ1654">
        <f>IF($A1654="","",IF(BO1654=1,$B1654,BQ1653))</f>
        <v>0</v>
      </c>
      <c r="BR1654">
        <f>IF($A1654="","",IF(BO1654=1,$C1654,MAX($C1654,BR1653)))</f>
        <v>0</v>
      </c>
      <c r="BS1654">
        <f>IF($A1654="","",IF(BO1654=1,$D1654,MIN($D1654,BS1653)))</f>
        <v>0</v>
      </c>
      <c r="BT1654">
        <f>IF($A1654="","",IF(BP1654=1,F1654,""))</f>
        <v>0</v>
      </c>
    </row>
    <row r="1655" spans="1:72">
      <c r="A1655" s="27">
        <f>IF(Data!$A1655="","",Data!$A1655)</f>
        <v>0</v>
      </c>
      <c r="B1655">
        <f>IF(Data!$B1655="","",Data!$B1655)</f>
        <v>0</v>
      </c>
      <c r="C1655">
        <f>IF(Data!$C1655="","",Data!$C1655)</f>
        <v>0</v>
      </c>
      <c r="D1655">
        <f>IF(Data!$D1655="","",Data!$D1655)</f>
        <v>0</v>
      </c>
      <c r="E1655">
        <f>IF(Data!$E1655="","",Data!$E1655)</f>
        <v>0</v>
      </c>
      <c r="F1655">
        <f>IF($E1655="","",N(F1654)+1)</f>
        <v>0</v>
      </c>
      <c r="G1655">
        <f>IF(OR($E1655="",$E1654=""),"",LN($E1655/$E1654))</f>
        <v>0</v>
      </c>
      <c r="H1655">
        <f>IF($E1655="","",IF($E1654="",$E1655,$E1655*0.0952380952+H1654*0.9047619048))</f>
        <v>0</v>
      </c>
      <c r="I1655">
        <f>IF($E1655="","",IF($E1654="",$E1655,$E1655*0.0392156863+I1654*0.9607843137))</f>
        <v>0</v>
      </c>
      <c r="J1655">
        <f>IF($E1655="","",IF($E1654="",$E1655,$E1655*0.0198019802+J1654*0.9801980198))</f>
        <v>0</v>
      </c>
      <c r="K1655">
        <f>IF($E1655="","",IF($E1654="",$E1655,$E1655*0.0099502488+K1654*0.9900497512))</f>
        <v>0</v>
      </c>
      <c r="L1655">
        <f>IF(OR($E1655="",$E1654=""),"",MAX($E1655-$E1654,0))</f>
        <v>0</v>
      </c>
      <c r="M1655">
        <f>IF(OR($E1655="",$E1654=""),"",MAX($E1654-$E1655,0))</f>
        <v>0</v>
      </c>
      <c r="N1655">
        <f>IF(COUNT($E$2:$E1655)&lt;15,"",IF(AVERAGE($M$1642:$M$1655)=0,100,100-100/(1+AVERAGE($L$1642:$L$1655)/AVERAGE($M$1642:$M$1655))))</f>
        <v>0</v>
      </c>
      <c r="O1655">
        <f>IF($E1655="","",IF($E1654="",$E1655,$E1655*0.1538461538+O1654*0.8461538462))</f>
        <v>0</v>
      </c>
      <c r="P1655">
        <f>IF($E1655="","",IF($E1654="",$E1655,$E1655*0.0740740741+P1654*0.9259259259))</f>
        <v>0</v>
      </c>
      <c r="Q1655">
        <f>IF(OR(O1655="",P1655=""),"",O1655-P1655)</f>
        <v>0</v>
      </c>
      <c r="R1655">
        <f>IF(Q1655="","",IF(R1654="",Q1655,Q1655*0.2000000000+R1654*0.8000000000))</f>
        <v>0</v>
      </c>
      <c r="S1655">
        <f>IF(OR(Q1655="",R1655=""),"",Q1655-R1655)</f>
        <v>0</v>
      </c>
      <c r="T1655">
        <f>IF(COUNT($E$2:$E1655)&lt;14,"",MAX($C$1642:$C$1655))</f>
        <v>0</v>
      </c>
      <c r="U1655">
        <f>IF(COUNT($E$2:$E1655)&lt;14,"",MIN($D$1642:$D$1655))</f>
        <v>0</v>
      </c>
      <c r="V1655">
        <f>IF(OR(T1655="",U1655="",T1655=U1655),"",100*($E1655-U1655)/(T1655-U1655))</f>
        <v>0</v>
      </c>
      <c r="W1655">
        <f>IF(COUNT($V$1653:$V$1655)&lt;3,"",AVERAGE($V$1653:$V$1655))</f>
        <v>0</v>
      </c>
      <c r="X1655">
        <f>IF(COUNT($N$1642:$N$1655)&lt;14,"",MIN($N$1642:$N$1655))</f>
        <v>0</v>
      </c>
      <c r="Y1655">
        <f>IF(COUNT($N$1642:$N$1655)&lt;14,"",MAX($N$1642:$N$1655))</f>
        <v>0</v>
      </c>
      <c r="Z1655">
        <f>IF(OR(N1655="",X1655="",Y1655="",Y1655=X1655),"",100*(N1655-X1655)/(Y1655-X1655))</f>
        <v>0</v>
      </c>
      <c r="AA1655">
        <f>IF(COUNT($Z$1653:$Z$1655)&lt;3,"",AVERAGE($Z$1653:$Z$1655))</f>
        <v>0</v>
      </c>
      <c r="AB1655">
        <f>IF(COUNT($AA$1653:$AA$1655)&lt;3,"",AVERAGE($AA$1653:$AA$1655))</f>
        <v>0</v>
      </c>
      <c r="AC1655">
        <f>IF($E1655="","",MAX($C1655-$D1655,ABS($C1655-$E1654),ABS($D1655-$E1654)))</f>
        <v>0</v>
      </c>
      <c r="AD1655">
        <f>IF(COUNT($E$2:$E1655)&lt;15,"",AVERAGE($AC$1642:$AC$1655))</f>
        <v>0</v>
      </c>
      <c r="AE1655">
        <f>IF(OR($E1655="",$E1654=""),"",IF(AND(($C1655-$C1654)&gt;($D1654-$D1655),($C1655-$C1654)&gt;0),$C1655-$C1654,0))</f>
        <v>0</v>
      </c>
      <c r="AF1655">
        <f>IF(OR($E1655="",$E1654=""),"",IF(AND(($D1654-$D1655)&gt;($C1655-$C1654),($D1654-$D1655)&gt;0),$D1654-$D1655,0))</f>
        <v>0</v>
      </c>
      <c r="AG1655">
        <f>IF(COUNT($E$2:$E1655)&lt;15,"",IF(SUM($AC$1642:$AC$1655)=0,0,100*SUM($AE$1642:$AE$1655)/SUM($AC$1642:$AC$1655)))</f>
        <v>0</v>
      </c>
      <c r="AH1655">
        <f>IF(COUNT($E$2:$E1655)&lt;15,"",IF(SUM($AC$1642:$AC$1655)=0,0,100*SUM($AF$1642:$AF$1655)/SUM($AC$1642:$AC$1655)))</f>
        <v>0</v>
      </c>
      <c r="AI1655">
        <f>IF(OR(AG1655="",AH1655=""),"",IF((AG1655+AH1655)=0,0,100*ABS(AG1655-AH1655)/(AG1655+AH1655)))</f>
        <v>0</v>
      </c>
      <c r="AJ1655">
        <f>IF(COUNT($AI$1642:$AI$1655)&lt;14,"",AVERAGE($AI$1642:$AI$1655))</f>
        <v>0</v>
      </c>
      <c r="AK1655">
        <f>IF(COUNT($E$2:$E1655)&lt;20,"",AVERAGE($E$1636:$E$1655))</f>
        <v>0</v>
      </c>
      <c r="AL1655">
        <f>IF(COUNT($E$2:$E1655)&lt;20,"",STDEVP($E$1636:$E$1655))</f>
        <v>0</v>
      </c>
      <c r="AM1655">
        <f>IF(AK1655="","",AK1655+2*AL1655)</f>
        <v>0</v>
      </c>
      <c r="AN1655">
        <f>IF(AK1655="","",AK1655-2*AL1655)</f>
        <v>0</v>
      </c>
      <c r="AO1655">
        <f>IF(OR(AM1655="",AN1655="",AM1655=AN1655),"",($E1655-AN1655)/(AM1655-AN1655))</f>
        <v>0</v>
      </c>
      <c r="AP1655">
        <f>IF(OR(AM1655="",AK1655="",AK1655=0),"",(AM1655-AN1655)/AK1655)</f>
        <v>0</v>
      </c>
      <c r="AQ1655">
        <f>IF(COUNT($E$2:$E1655)&lt;20,"",MAX($C$1636:$C$1655))</f>
        <v>0</v>
      </c>
      <c r="AR1655">
        <f>IF(COUNT($E$2:$E1655)&lt;20,"",MIN($D$1636:$D$1655))</f>
        <v>0</v>
      </c>
      <c r="AS1655">
        <f>IF(OR(AQ1655="",AR1655=""),"",(AQ1655+AR1655)/2)</f>
        <v>0</v>
      </c>
      <c r="AT1655">
        <f>IF(COUNT($G$1636:$G$1655)&lt;20,"",STDEV($G$1636:$G$1655)*SQRT(252))</f>
        <v>0</v>
      </c>
      <c r="AU1655">
        <f>IF(COUNT($E$2:$E1655)&lt;9,"",(MAX($C$1647:$C$1655)+MIN($D$1647:$D$1655))/2)</f>
        <v>0</v>
      </c>
      <c r="AV1655">
        <f>IF(COUNT($E$2:$E1655)&lt;26,"",(MAX($C$1630:$C$1655)+MIN($D$1630:$D$1655))/2)</f>
        <v>0</v>
      </c>
      <c r="AW1655">
        <f>IF(OR(AU1655="",AV1655=""),"",(AU1655+AV1655)/2)</f>
        <v>0</v>
      </c>
      <c r="AX1655">
        <f>IF(COUNT($E$2:$E1655)&lt;52,"",(MAX($C$1604:$C$1655)+MIN($D$1604:$D$1655))/2)</f>
        <v>0</v>
      </c>
      <c r="AY1655">
        <f>IF(COUNT($E$2:$E1655)&lt;20,"",MAX($C$1556:$C$1655))</f>
        <v>0</v>
      </c>
      <c r="AZ1655">
        <f>IF(COUNT($E$2:$E1655)&lt;20,"",MIN($D$1556:$D$1655))</f>
        <v>0</v>
      </c>
      <c r="BA1655">
        <f>IF(COUNT($E$2:$E1655)&lt;20,"",SLOPE($E$1556:$E$1655,$F$1556:$F$1655))</f>
        <v>0</v>
      </c>
      <c r="BB1655">
        <f>IF(COUNT($E$2:$E1655)&lt;20,"",INTERCEPT($E$1556:$E$1655,$F$1556:$F$1655))</f>
        <v>0</v>
      </c>
      <c r="BC1655">
        <f>IF(OR(BA1655="",BB1655=""),"",BB1655+BA1655*F1655)</f>
        <v>0</v>
      </c>
      <c r="BD1655">
        <f>IF(COUNT($E$2:$E1655)&lt;20,"",STEYX($E$1556:$E$1655,$F$1556:$F$1655))</f>
        <v>0</v>
      </c>
      <c r="BE1655">
        <f>IF($E1655="","",IF(AND(COUNT($E$1656:$E$1659)&gt;=4,$C1655=MAX($C$1651:$C$1659)),$C1655,""))</f>
        <v>0</v>
      </c>
      <c r="BF1655">
        <f>IF($E1655="","",IF(AND(COUNT($E$1656:$E$1659)&gt;=4,$D1655=MIN($D$1651:$D$1659)),$D1655,""))</f>
        <v>0</v>
      </c>
      <c r="BG1655">
        <f>IF($A1655="","",$A1655-WEEKDAY($A1655,2)+1)</f>
        <v>0</v>
      </c>
      <c r="BH1655">
        <f>IF($A1655="","",IF($A1654="",1,IF(BG1655&lt;&gt;BG1654,1,0)))</f>
        <v>0</v>
      </c>
      <c r="BI1655">
        <f>IF($A1655="","",IF($A1656="",1,IF(BG1656&lt;&gt;BG1655,1,0)))</f>
        <v>0</v>
      </c>
      <c r="BJ1655">
        <f>IF($A1655="","",IF(BH1655=1,$B1655,BJ1654))</f>
        <v>0</v>
      </c>
      <c r="BK1655">
        <f>IF($A1655="","",IF(BH1655=1,$C1655,MAX($C1655,BK1654)))</f>
        <v>0</v>
      </c>
      <c r="BL1655">
        <f>IF($A1655="","",IF(BH1655=1,$D1655,MIN($D1655,BL1654)))</f>
        <v>0</v>
      </c>
      <c r="BM1655">
        <f>IF($A1655="","",IF(BI1655=1,F1655,""))</f>
        <v>0</v>
      </c>
      <c r="BN1655">
        <f>IF($A1655="","",DATE(YEAR($A1655),MONTH($A1655),1))</f>
        <v>0</v>
      </c>
      <c r="BO1655">
        <f>IF($A1655="","",IF($A1654="",1,IF(BN1655&lt;&gt;BN1654,1,0)))</f>
        <v>0</v>
      </c>
      <c r="BP1655">
        <f>IF($A1655="","",IF($A1656="",1,IF(BN1656&lt;&gt;BN1655,1,0)))</f>
        <v>0</v>
      </c>
      <c r="BQ1655">
        <f>IF($A1655="","",IF(BO1655=1,$B1655,BQ1654))</f>
        <v>0</v>
      </c>
      <c r="BR1655">
        <f>IF($A1655="","",IF(BO1655=1,$C1655,MAX($C1655,BR1654)))</f>
        <v>0</v>
      </c>
      <c r="BS1655">
        <f>IF($A1655="","",IF(BO1655=1,$D1655,MIN($D1655,BS1654)))</f>
        <v>0</v>
      </c>
      <c r="BT1655">
        <f>IF($A1655="","",IF(BP1655=1,F1655,""))</f>
        <v>0</v>
      </c>
    </row>
    <row r="1656" spans="1:72">
      <c r="A1656" s="27">
        <f>IF(Data!$A1656="","",Data!$A1656)</f>
        <v>0</v>
      </c>
      <c r="B1656">
        <f>IF(Data!$B1656="","",Data!$B1656)</f>
        <v>0</v>
      </c>
      <c r="C1656">
        <f>IF(Data!$C1656="","",Data!$C1656)</f>
        <v>0</v>
      </c>
      <c r="D1656">
        <f>IF(Data!$D1656="","",Data!$D1656)</f>
        <v>0</v>
      </c>
      <c r="E1656">
        <f>IF(Data!$E1656="","",Data!$E1656)</f>
        <v>0</v>
      </c>
      <c r="F1656">
        <f>IF($E1656="","",N(F1655)+1)</f>
        <v>0</v>
      </c>
      <c r="G1656">
        <f>IF(OR($E1656="",$E1655=""),"",LN($E1656/$E1655))</f>
        <v>0</v>
      </c>
      <c r="H1656">
        <f>IF($E1656="","",IF($E1655="",$E1656,$E1656*0.0952380952+H1655*0.9047619048))</f>
        <v>0</v>
      </c>
      <c r="I1656">
        <f>IF($E1656="","",IF($E1655="",$E1656,$E1656*0.0392156863+I1655*0.9607843137))</f>
        <v>0</v>
      </c>
      <c r="J1656">
        <f>IF($E1656="","",IF($E1655="",$E1656,$E1656*0.0198019802+J1655*0.9801980198))</f>
        <v>0</v>
      </c>
      <c r="K1656">
        <f>IF($E1656="","",IF($E1655="",$E1656,$E1656*0.0099502488+K1655*0.9900497512))</f>
        <v>0</v>
      </c>
      <c r="L1656">
        <f>IF(OR($E1656="",$E1655=""),"",MAX($E1656-$E1655,0))</f>
        <v>0</v>
      </c>
      <c r="M1656">
        <f>IF(OR($E1656="",$E1655=""),"",MAX($E1655-$E1656,0))</f>
        <v>0</v>
      </c>
      <c r="N1656">
        <f>IF(COUNT($E$2:$E1656)&lt;15,"",IF(AVERAGE($M$1643:$M$1656)=0,100,100-100/(1+AVERAGE($L$1643:$L$1656)/AVERAGE($M$1643:$M$1656))))</f>
        <v>0</v>
      </c>
      <c r="O1656">
        <f>IF($E1656="","",IF($E1655="",$E1656,$E1656*0.1538461538+O1655*0.8461538462))</f>
        <v>0</v>
      </c>
      <c r="P1656">
        <f>IF($E1656="","",IF($E1655="",$E1656,$E1656*0.0740740741+P1655*0.9259259259))</f>
        <v>0</v>
      </c>
      <c r="Q1656">
        <f>IF(OR(O1656="",P1656=""),"",O1656-P1656)</f>
        <v>0</v>
      </c>
      <c r="R1656">
        <f>IF(Q1656="","",IF(R1655="",Q1656,Q1656*0.2000000000+R1655*0.8000000000))</f>
        <v>0</v>
      </c>
      <c r="S1656">
        <f>IF(OR(Q1656="",R1656=""),"",Q1656-R1656)</f>
        <v>0</v>
      </c>
      <c r="T1656">
        <f>IF(COUNT($E$2:$E1656)&lt;14,"",MAX($C$1643:$C$1656))</f>
        <v>0</v>
      </c>
      <c r="U1656">
        <f>IF(COUNT($E$2:$E1656)&lt;14,"",MIN($D$1643:$D$1656))</f>
        <v>0</v>
      </c>
      <c r="V1656">
        <f>IF(OR(T1656="",U1656="",T1656=U1656),"",100*($E1656-U1656)/(T1656-U1656))</f>
        <v>0</v>
      </c>
      <c r="W1656">
        <f>IF(COUNT($V$1654:$V$1656)&lt;3,"",AVERAGE($V$1654:$V$1656))</f>
        <v>0</v>
      </c>
      <c r="X1656">
        <f>IF(COUNT($N$1643:$N$1656)&lt;14,"",MIN($N$1643:$N$1656))</f>
        <v>0</v>
      </c>
      <c r="Y1656">
        <f>IF(COUNT($N$1643:$N$1656)&lt;14,"",MAX($N$1643:$N$1656))</f>
        <v>0</v>
      </c>
      <c r="Z1656">
        <f>IF(OR(N1656="",X1656="",Y1656="",Y1656=X1656),"",100*(N1656-X1656)/(Y1656-X1656))</f>
        <v>0</v>
      </c>
      <c r="AA1656">
        <f>IF(COUNT($Z$1654:$Z$1656)&lt;3,"",AVERAGE($Z$1654:$Z$1656))</f>
        <v>0</v>
      </c>
      <c r="AB1656">
        <f>IF(COUNT($AA$1654:$AA$1656)&lt;3,"",AVERAGE($AA$1654:$AA$1656))</f>
        <v>0</v>
      </c>
      <c r="AC1656">
        <f>IF($E1656="","",MAX($C1656-$D1656,ABS($C1656-$E1655),ABS($D1656-$E1655)))</f>
        <v>0</v>
      </c>
      <c r="AD1656">
        <f>IF(COUNT($E$2:$E1656)&lt;15,"",AVERAGE($AC$1643:$AC$1656))</f>
        <v>0</v>
      </c>
      <c r="AE1656">
        <f>IF(OR($E1656="",$E1655=""),"",IF(AND(($C1656-$C1655)&gt;($D1655-$D1656),($C1656-$C1655)&gt;0),$C1656-$C1655,0))</f>
        <v>0</v>
      </c>
      <c r="AF1656">
        <f>IF(OR($E1656="",$E1655=""),"",IF(AND(($D1655-$D1656)&gt;($C1656-$C1655),($D1655-$D1656)&gt;0),$D1655-$D1656,0))</f>
        <v>0</v>
      </c>
      <c r="AG1656">
        <f>IF(COUNT($E$2:$E1656)&lt;15,"",IF(SUM($AC$1643:$AC$1656)=0,0,100*SUM($AE$1643:$AE$1656)/SUM($AC$1643:$AC$1656)))</f>
        <v>0</v>
      </c>
      <c r="AH1656">
        <f>IF(COUNT($E$2:$E1656)&lt;15,"",IF(SUM($AC$1643:$AC$1656)=0,0,100*SUM($AF$1643:$AF$1656)/SUM($AC$1643:$AC$1656)))</f>
        <v>0</v>
      </c>
      <c r="AI1656">
        <f>IF(OR(AG1656="",AH1656=""),"",IF((AG1656+AH1656)=0,0,100*ABS(AG1656-AH1656)/(AG1656+AH1656)))</f>
        <v>0</v>
      </c>
      <c r="AJ1656">
        <f>IF(COUNT($AI$1643:$AI$1656)&lt;14,"",AVERAGE($AI$1643:$AI$1656))</f>
        <v>0</v>
      </c>
      <c r="AK1656">
        <f>IF(COUNT($E$2:$E1656)&lt;20,"",AVERAGE($E$1637:$E$1656))</f>
        <v>0</v>
      </c>
      <c r="AL1656">
        <f>IF(COUNT($E$2:$E1656)&lt;20,"",STDEVP($E$1637:$E$1656))</f>
        <v>0</v>
      </c>
      <c r="AM1656">
        <f>IF(AK1656="","",AK1656+2*AL1656)</f>
        <v>0</v>
      </c>
      <c r="AN1656">
        <f>IF(AK1656="","",AK1656-2*AL1656)</f>
        <v>0</v>
      </c>
      <c r="AO1656">
        <f>IF(OR(AM1656="",AN1656="",AM1656=AN1656),"",($E1656-AN1656)/(AM1656-AN1656))</f>
        <v>0</v>
      </c>
      <c r="AP1656">
        <f>IF(OR(AM1656="",AK1656="",AK1656=0),"",(AM1656-AN1656)/AK1656)</f>
        <v>0</v>
      </c>
      <c r="AQ1656">
        <f>IF(COUNT($E$2:$E1656)&lt;20,"",MAX($C$1637:$C$1656))</f>
        <v>0</v>
      </c>
      <c r="AR1656">
        <f>IF(COUNT($E$2:$E1656)&lt;20,"",MIN($D$1637:$D$1656))</f>
        <v>0</v>
      </c>
      <c r="AS1656">
        <f>IF(OR(AQ1656="",AR1656=""),"",(AQ1656+AR1656)/2)</f>
        <v>0</v>
      </c>
      <c r="AT1656">
        <f>IF(COUNT($G$1637:$G$1656)&lt;20,"",STDEV($G$1637:$G$1656)*SQRT(252))</f>
        <v>0</v>
      </c>
      <c r="AU1656">
        <f>IF(COUNT($E$2:$E1656)&lt;9,"",(MAX($C$1648:$C$1656)+MIN($D$1648:$D$1656))/2)</f>
        <v>0</v>
      </c>
      <c r="AV1656">
        <f>IF(COUNT($E$2:$E1656)&lt;26,"",(MAX($C$1631:$C$1656)+MIN($D$1631:$D$1656))/2)</f>
        <v>0</v>
      </c>
      <c r="AW1656">
        <f>IF(OR(AU1656="",AV1656=""),"",(AU1656+AV1656)/2)</f>
        <v>0</v>
      </c>
      <c r="AX1656">
        <f>IF(COUNT($E$2:$E1656)&lt;52,"",(MAX($C$1605:$C$1656)+MIN($D$1605:$D$1656))/2)</f>
        <v>0</v>
      </c>
      <c r="AY1656">
        <f>IF(COUNT($E$2:$E1656)&lt;20,"",MAX($C$1557:$C$1656))</f>
        <v>0</v>
      </c>
      <c r="AZ1656">
        <f>IF(COUNT($E$2:$E1656)&lt;20,"",MIN($D$1557:$D$1656))</f>
        <v>0</v>
      </c>
      <c r="BA1656">
        <f>IF(COUNT($E$2:$E1656)&lt;20,"",SLOPE($E$1557:$E$1656,$F$1557:$F$1656))</f>
        <v>0</v>
      </c>
      <c r="BB1656">
        <f>IF(COUNT($E$2:$E1656)&lt;20,"",INTERCEPT($E$1557:$E$1656,$F$1557:$F$1656))</f>
        <v>0</v>
      </c>
      <c r="BC1656">
        <f>IF(OR(BA1656="",BB1656=""),"",BB1656+BA1656*F1656)</f>
        <v>0</v>
      </c>
      <c r="BD1656">
        <f>IF(COUNT($E$2:$E1656)&lt;20,"",STEYX($E$1557:$E$1656,$F$1557:$F$1656))</f>
        <v>0</v>
      </c>
      <c r="BE1656">
        <f>IF($E1656="","",IF(AND(COUNT($E$1657:$E$1660)&gt;=4,$C1656=MAX($C$1652:$C$1660)),$C1656,""))</f>
        <v>0</v>
      </c>
      <c r="BF1656">
        <f>IF($E1656="","",IF(AND(COUNT($E$1657:$E$1660)&gt;=4,$D1656=MIN($D$1652:$D$1660)),$D1656,""))</f>
        <v>0</v>
      </c>
      <c r="BG1656">
        <f>IF($A1656="","",$A1656-WEEKDAY($A1656,2)+1)</f>
        <v>0</v>
      </c>
      <c r="BH1656">
        <f>IF($A1656="","",IF($A1655="",1,IF(BG1656&lt;&gt;BG1655,1,0)))</f>
        <v>0</v>
      </c>
      <c r="BI1656">
        <f>IF($A1656="","",IF($A1657="",1,IF(BG1657&lt;&gt;BG1656,1,0)))</f>
        <v>0</v>
      </c>
      <c r="BJ1656">
        <f>IF($A1656="","",IF(BH1656=1,$B1656,BJ1655))</f>
        <v>0</v>
      </c>
      <c r="BK1656">
        <f>IF($A1656="","",IF(BH1656=1,$C1656,MAX($C1656,BK1655)))</f>
        <v>0</v>
      </c>
      <c r="BL1656">
        <f>IF($A1656="","",IF(BH1656=1,$D1656,MIN($D1656,BL1655)))</f>
        <v>0</v>
      </c>
      <c r="BM1656">
        <f>IF($A1656="","",IF(BI1656=1,F1656,""))</f>
        <v>0</v>
      </c>
      <c r="BN1656">
        <f>IF($A1656="","",DATE(YEAR($A1656),MONTH($A1656),1))</f>
        <v>0</v>
      </c>
      <c r="BO1656">
        <f>IF($A1656="","",IF($A1655="",1,IF(BN1656&lt;&gt;BN1655,1,0)))</f>
        <v>0</v>
      </c>
      <c r="BP1656">
        <f>IF($A1656="","",IF($A1657="",1,IF(BN1657&lt;&gt;BN1656,1,0)))</f>
        <v>0</v>
      </c>
      <c r="BQ1656">
        <f>IF($A1656="","",IF(BO1656=1,$B1656,BQ1655))</f>
        <v>0</v>
      </c>
      <c r="BR1656">
        <f>IF($A1656="","",IF(BO1656=1,$C1656,MAX($C1656,BR1655)))</f>
        <v>0</v>
      </c>
      <c r="BS1656">
        <f>IF($A1656="","",IF(BO1656=1,$D1656,MIN($D1656,BS1655)))</f>
        <v>0</v>
      </c>
      <c r="BT1656">
        <f>IF($A1656="","",IF(BP1656=1,F1656,""))</f>
        <v>0</v>
      </c>
    </row>
    <row r="1657" spans="1:72">
      <c r="A1657" s="27">
        <f>IF(Data!$A1657="","",Data!$A1657)</f>
        <v>0</v>
      </c>
      <c r="B1657">
        <f>IF(Data!$B1657="","",Data!$B1657)</f>
        <v>0</v>
      </c>
      <c r="C1657">
        <f>IF(Data!$C1657="","",Data!$C1657)</f>
        <v>0</v>
      </c>
      <c r="D1657">
        <f>IF(Data!$D1657="","",Data!$D1657)</f>
        <v>0</v>
      </c>
      <c r="E1657">
        <f>IF(Data!$E1657="","",Data!$E1657)</f>
        <v>0</v>
      </c>
      <c r="F1657">
        <f>IF($E1657="","",N(F1656)+1)</f>
        <v>0</v>
      </c>
      <c r="G1657">
        <f>IF(OR($E1657="",$E1656=""),"",LN($E1657/$E1656))</f>
        <v>0</v>
      </c>
      <c r="H1657">
        <f>IF($E1657="","",IF($E1656="",$E1657,$E1657*0.0952380952+H1656*0.9047619048))</f>
        <v>0</v>
      </c>
      <c r="I1657">
        <f>IF($E1657="","",IF($E1656="",$E1657,$E1657*0.0392156863+I1656*0.9607843137))</f>
        <v>0</v>
      </c>
      <c r="J1657">
        <f>IF($E1657="","",IF($E1656="",$E1657,$E1657*0.0198019802+J1656*0.9801980198))</f>
        <v>0</v>
      </c>
      <c r="K1657">
        <f>IF($E1657="","",IF($E1656="",$E1657,$E1657*0.0099502488+K1656*0.9900497512))</f>
        <v>0</v>
      </c>
      <c r="L1657">
        <f>IF(OR($E1657="",$E1656=""),"",MAX($E1657-$E1656,0))</f>
        <v>0</v>
      </c>
      <c r="M1657">
        <f>IF(OR($E1657="",$E1656=""),"",MAX($E1656-$E1657,0))</f>
        <v>0</v>
      </c>
      <c r="N1657">
        <f>IF(COUNT($E$2:$E1657)&lt;15,"",IF(AVERAGE($M$1644:$M$1657)=0,100,100-100/(1+AVERAGE($L$1644:$L$1657)/AVERAGE($M$1644:$M$1657))))</f>
        <v>0</v>
      </c>
      <c r="O1657">
        <f>IF($E1657="","",IF($E1656="",$E1657,$E1657*0.1538461538+O1656*0.8461538462))</f>
        <v>0</v>
      </c>
      <c r="P1657">
        <f>IF($E1657="","",IF($E1656="",$E1657,$E1657*0.0740740741+P1656*0.9259259259))</f>
        <v>0</v>
      </c>
      <c r="Q1657">
        <f>IF(OR(O1657="",P1657=""),"",O1657-P1657)</f>
        <v>0</v>
      </c>
      <c r="R1657">
        <f>IF(Q1657="","",IF(R1656="",Q1657,Q1657*0.2000000000+R1656*0.8000000000))</f>
        <v>0</v>
      </c>
      <c r="S1657">
        <f>IF(OR(Q1657="",R1657=""),"",Q1657-R1657)</f>
        <v>0</v>
      </c>
      <c r="T1657">
        <f>IF(COUNT($E$2:$E1657)&lt;14,"",MAX($C$1644:$C$1657))</f>
        <v>0</v>
      </c>
      <c r="U1657">
        <f>IF(COUNT($E$2:$E1657)&lt;14,"",MIN($D$1644:$D$1657))</f>
        <v>0</v>
      </c>
      <c r="V1657">
        <f>IF(OR(T1657="",U1657="",T1657=U1657),"",100*($E1657-U1657)/(T1657-U1657))</f>
        <v>0</v>
      </c>
      <c r="W1657">
        <f>IF(COUNT($V$1655:$V$1657)&lt;3,"",AVERAGE($V$1655:$V$1657))</f>
        <v>0</v>
      </c>
      <c r="X1657">
        <f>IF(COUNT($N$1644:$N$1657)&lt;14,"",MIN($N$1644:$N$1657))</f>
        <v>0</v>
      </c>
      <c r="Y1657">
        <f>IF(COUNT($N$1644:$N$1657)&lt;14,"",MAX($N$1644:$N$1657))</f>
        <v>0</v>
      </c>
      <c r="Z1657">
        <f>IF(OR(N1657="",X1657="",Y1657="",Y1657=X1657),"",100*(N1657-X1657)/(Y1657-X1657))</f>
        <v>0</v>
      </c>
      <c r="AA1657">
        <f>IF(COUNT($Z$1655:$Z$1657)&lt;3,"",AVERAGE($Z$1655:$Z$1657))</f>
        <v>0</v>
      </c>
      <c r="AB1657">
        <f>IF(COUNT($AA$1655:$AA$1657)&lt;3,"",AVERAGE($AA$1655:$AA$1657))</f>
        <v>0</v>
      </c>
      <c r="AC1657">
        <f>IF($E1657="","",MAX($C1657-$D1657,ABS($C1657-$E1656),ABS($D1657-$E1656)))</f>
        <v>0</v>
      </c>
      <c r="AD1657">
        <f>IF(COUNT($E$2:$E1657)&lt;15,"",AVERAGE($AC$1644:$AC$1657))</f>
        <v>0</v>
      </c>
      <c r="AE1657">
        <f>IF(OR($E1657="",$E1656=""),"",IF(AND(($C1657-$C1656)&gt;($D1656-$D1657),($C1657-$C1656)&gt;0),$C1657-$C1656,0))</f>
        <v>0</v>
      </c>
      <c r="AF1657">
        <f>IF(OR($E1657="",$E1656=""),"",IF(AND(($D1656-$D1657)&gt;($C1657-$C1656),($D1656-$D1657)&gt;0),$D1656-$D1657,0))</f>
        <v>0</v>
      </c>
      <c r="AG1657">
        <f>IF(COUNT($E$2:$E1657)&lt;15,"",IF(SUM($AC$1644:$AC$1657)=0,0,100*SUM($AE$1644:$AE$1657)/SUM($AC$1644:$AC$1657)))</f>
        <v>0</v>
      </c>
      <c r="AH1657">
        <f>IF(COUNT($E$2:$E1657)&lt;15,"",IF(SUM($AC$1644:$AC$1657)=0,0,100*SUM($AF$1644:$AF$1657)/SUM($AC$1644:$AC$1657)))</f>
        <v>0</v>
      </c>
      <c r="AI1657">
        <f>IF(OR(AG1657="",AH1657=""),"",IF((AG1657+AH1657)=0,0,100*ABS(AG1657-AH1657)/(AG1657+AH1657)))</f>
        <v>0</v>
      </c>
      <c r="AJ1657">
        <f>IF(COUNT($AI$1644:$AI$1657)&lt;14,"",AVERAGE($AI$1644:$AI$1657))</f>
        <v>0</v>
      </c>
      <c r="AK1657">
        <f>IF(COUNT($E$2:$E1657)&lt;20,"",AVERAGE($E$1638:$E$1657))</f>
        <v>0</v>
      </c>
      <c r="AL1657">
        <f>IF(COUNT($E$2:$E1657)&lt;20,"",STDEVP($E$1638:$E$1657))</f>
        <v>0</v>
      </c>
      <c r="AM1657">
        <f>IF(AK1657="","",AK1657+2*AL1657)</f>
        <v>0</v>
      </c>
      <c r="AN1657">
        <f>IF(AK1657="","",AK1657-2*AL1657)</f>
        <v>0</v>
      </c>
      <c r="AO1657">
        <f>IF(OR(AM1657="",AN1657="",AM1657=AN1657),"",($E1657-AN1657)/(AM1657-AN1657))</f>
        <v>0</v>
      </c>
      <c r="AP1657">
        <f>IF(OR(AM1657="",AK1657="",AK1657=0),"",(AM1657-AN1657)/AK1657)</f>
        <v>0</v>
      </c>
      <c r="AQ1657">
        <f>IF(COUNT($E$2:$E1657)&lt;20,"",MAX($C$1638:$C$1657))</f>
        <v>0</v>
      </c>
      <c r="AR1657">
        <f>IF(COUNT($E$2:$E1657)&lt;20,"",MIN($D$1638:$D$1657))</f>
        <v>0</v>
      </c>
      <c r="AS1657">
        <f>IF(OR(AQ1657="",AR1657=""),"",(AQ1657+AR1657)/2)</f>
        <v>0</v>
      </c>
      <c r="AT1657">
        <f>IF(COUNT($G$1638:$G$1657)&lt;20,"",STDEV($G$1638:$G$1657)*SQRT(252))</f>
        <v>0</v>
      </c>
      <c r="AU1657">
        <f>IF(COUNT($E$2:$E1657)&lt;9,"",(MAX($C$1649:$C$1657)+MIN($D$1649:$D$1657))/2)</f>
        <v>0</v>
      </c>
      <c r="AV1657">
        <f>IF(COUNT($E$2:$E1657)&lt;26,"",(MAX($C$1632:$C$1657)+MIN($D$1632:$D$1657))/2)</f>
        <v>0</v>
      </c>
      <c r="AW1657">
        <f>IF(OR(AU1657="",AV1657=""),"",(AU1657+AV1657)/2)</f>
        <v>0</v>
      </c>
      <c r="AX1657">
        <f>IF(COUNT($E$2:$E1657)&lt;52,"",(MAX($C$1606:$C$1657)+MIN($D$1606:$D$1657))/2)</f>
        <v>0</v>
      </c>
      <c r="AY1657">
        <f>IF(COUNT($E$2:$E1657)&lt;20,"",MAX($C$1558:$C$1657))</f>
        <v>0</v>
      </c>
      <c r="AZ1657">
        <f>IF(COUNT($E$2:$E1657)&lt;20,"",MIN($D$1558:$D$1657))</f>
        <v>0</v>
      </c>
      <c r="BA1657">
        <f>IF(COUNT($E$2:$E1657)&lt;20,"",SLOPE($E$1558:$E$1657,$F$1558:$F$1657))</f>
        <v>0</v>
      </c>
      <c r="BB1657">
        <f>IF(COUNT($E$2:$E1657)&lt;20,"",INTERCEPT($E$1558:$E$1657,$F$1558:$F$1657))</f>
        <v>0</v>
      </c>
      <c r="BC1657">
        <f>IF(OR(BA1657="",BB1657=""),"",BB1657+BA1657*F1657)</f>
        <v>0</v>
      </c>
      <c r="BD1657">
        <f>IF(COUNT($E$2:$E1657)&lt;20,"",STEYX($E$1558:$E$1657,$F$1558:$F$1657))</f>
        <v>0</v>
      </c>
      <c r="BE1657">
        <f>IF($E1657="","",IF(AND(COUNT($E$1658:$E$1661)&gt;=4,$C1657=MAX($C$1653:$C$1661)),$C1657,""))</f>
        <v>0</v>
      </c>
      <c r="BF1657">
        <f>IF($E1657="","",IF(AND(COUNT($E$1658:$E$1661)&gt;=4,$D1657=MIN($D$1653:$D$1661)),$D1657,""))</f>
        <v>0</v>
      </c>
      <c r="BG1657">
        <f>IF($A1657="","",$A1657-WEEKDAY($A1657,2)+1)</f>
        <v>0</v>
      </c>
      <c r="BH1657">
        <f>IF($A1657="","",IF($A1656="",1,IF(BG1657&lt;&gt;BG1656,1,0)))</f>
        <v>0</v>
      </c>
      <c r="BI1657">
        <f>IF($A1657="","",IF($A1658="",1,IF(BG1658&lt;&gt;BG1657,1,0)))</f>
        <v>0</v>
      </c>
      <c r="BJ1657">
        <f>IF($A1657="","",IF(BH1657=1,$B1657,BJ1656))</f>
        <v>0</v>
      </c>
      <c r="BK1657">
        <f>IF($A1657="","",IF(BH1657=1,$C1657,MAX($C1657,BK1656)))</f>
        <v>0</v>
      </c>
      <c r="BL1657">
        <f>IF($A1657="","",IF(BH1657=1,$D1657,MIN($D1657,BL1656)))</f>
        <v>0</v>
      </c>
      <c r="BM1657">
        <f>IF($A1657="","",IF(BI1657=1,F1657,""))</f>
        <v>0</v>
      </c>
      <c r="BN1657">
        <f>IF($A1657="","",DATE(YEAR($A1657),MONTH($A1657),1))</f>
        <v>0</v>
      </c>
      <c r="BO1657">
        <f>IF($A1657="","",IF($A1656="",1,IF(BN1657&lt;&gt;BN1656,1,0)))</f>
        <v>0</v>
      </c>
      <c r="BP1657">
        <f>IF($A1657="","",IF($A1658="",1,IF(BN1658&lt;&gt;BN1657,1,0)))</f>
        <v>0</v>
      </c>
      <c r="BQ1657">
        <f>IF($A1657="","",IF(BO1657=1,$B1657,BQ1656))</f>
        <v>0</v>
      </c>
      <c r="BR1657">
        <f>IF($A1657="","",IF(BO1657=1,$C1657,MAX($C1657,BR1656)))</f>
        <v>0</v>
      </c>
      <c r="BS1657">
        <f>IF($A1657="","",IF(BO1657=1,$D1657,MIN($D1657,BS1656)))</f>
        <v>0</v>
      </c>
      <c r="BT1657">
        <f>IF($A1657="","",IF(BP1657=1,F1657,""))</f>
        <v>0</v>
      </c>
    </row>
    <row r="1658" spans="1:72">
      <c r="A1658" s="27">
        <f>IF(Data!$A1658="","",Data!$A1658)</f>
        <v>0</v>
      </c>
      <c r="B1658">
        <f>IF(Data!$B1658="","",Data!$B1658)</f>
        <v>0</v>
      </c>
      <c r="C1658">
        <f>IF(Data!$C1658="","",Data!$C1658)</f>
        <v>0</v>
      </c>
      <c r="D1658">
        <f>IF(Data!$D1658="","",Data!$D1658)</f>
        <v>0</v>
      </c>
      <c r="E1658">
        <f>IF(Data!$E1658="","",Data!$E1658)</f>
        <v>0</v>
      </c>
      <c r="F1658">
        <f>IF($E1658="","",N(F1657)+1)</f>
        <v>0</v>
      </c>
      <c r="G1658">
        <f>IF(OR($E1658="",$E1657=""),"",LN($E1658/$E1657))</f>
        <v>0</v>
      </c>
      <c r="H1658">
        <f>IF($E1658="","",IF($E1657="",$E1658,$E1658*0.0952380952+H1657*0.9047619048))</f>
        <v>0</v>
      </c>
      <c r="I1658">
        <f>IF($E1658="","",IF($E1657="",$E1658,$E1658*0.0392156863+I1657*0.9607843137))</f>
        <v>0</v>
      </c>
      <c r="J1658">
        <f>IF($E1658="","",IF($E1657="",$E1658,$E1658*0.0198019802+J1657*0.9801980198))</f>
        <v>0</v>
      </c>
      <c r="K1658">
        <f>IF($E1658="","",IF($E1657="",$E1658,$E1658*0.0099502488+K1657*0.9900497512))</f>
        <v>0</v>
      </c>
      <c r="L1658">
        <f>IF(OR($E1658="",$E1657=""),"",MAX($E1658-$E1657,0))</f>
        <v>0</v>
      </c>
      <c r="M1658">
        <f>IF(OR($E1658="",$E1657=""),"",MAX($E1657-$E1658,0))</f>
        <v>0</v>
      </c>
      <c r="N1658">
        <f>IF(COUNT($E$2:$E1658)&lt;15,"",IF(AVERAGE($M$1645:$M$1658)=0,100,100-100/(1+AVERAGE($L$1645:$L$1658)/AVERAGE($M$1645:$M$1658))))</f>
        <v>0</v>
      </c>
      <c r="O1658">
        <f>IF($E1658="","",IF($E1657="",$E1658,$E1658*0.1538461538+O1657*0.8461538462))</f>
        <v>0</v>
      </c>
      <c r="P1658">
        <f>IF($E1658="","",IF($E1657="",$E1658,$E1658*0.0740740741+P1657*0.9259259259))</f>
        <v>0</v>
      </c>
      <c r="Q1658">
        <f>IF(OR(O1658="",P1658=""),"",O1658-P1658)</f>
        <v>0</v>
      </c>
      <c r="R1658">
        <f>IF(Q1658="","",IF(R1657="",Q1658,Q1658*0.2000000000+R1657*0.8000000000))</f>
        <v>0</v>
      </c>
      <c r="S1658">
        <f>IF(OR(Q1658="",R1658=""),"",Q1658-R1658)</f>
        <v>0</v>
      </c>
      <c r="T1658">
        <f>IF(COUNT($E$2:$E1658)&lt;14,"",MAX($C$1645:$C$1658))</f>
        <v>0</v>
      </c>
      <c r="U1658">
        <f>IF(COUNT($E$2:$E1658)&lt;14,"",MIN($D$1645:$D$1658))</f>
        <v>0</v>
      </c>
      <c r="V1658">
        <f>IF(OR(T1658="",U1658="",T1658=U1658),"",100*($E1658-U1658)/(T1658-U1658))</f>
        <v>0</v>
      </c>
      <c r="W1658">
        <f>IF(COUNT($V$1656:$V$1658)&lt;3,"",AVERAGE($V$1656:$V$1658))</f>
        <v>0</v>
      </c>
      <c r="X1658">
        <f>IF(COUNT($N$1645:$N$1658)&lt;14,"",MIN($N$1645:$N$1658))</f>
        <v>0</v>
      </c>
      <c r="Y1658">
        <f>IF(COUNT($N$1645:$N$1658)&lt;14,"",MAX($N$1645:$N$1658))</f>
        <v>0</v>
      </c>
      <c r="Z1658">
        <f>IF(OR(N1658="",X1658="",Y1658="",Y1658=X1658),"",100*(N1658-X1658)/(Y1658-X1658))</f>
        <v>0</v>
      </c>
      <c r="AA1658">
        <f>IF(COUNT($Z$1656:$Z$1658)&lt;3,"",AVERAGE($Z$1656:$Z$1658))</f>
        <v>0</v>
      </c>
      <c r="AB1658">
        <f>IF(COUNT($AA$1656:$AA$1658)&lt;3,"",AVERAGE($AA$1656:$AA$1658))</f>
        <v>0</v>
      </c>
      <c r="AC1658">
        <f>IF($E1658="","",MAX($C1658-$D1658,ABS($C1658-$E1657),ABS($D1658-$E1657)))</f>
        <v>0</v>
      </c>
      <c r="AD1658">
        <f>IF(COUNT($E$2:$E1658)&lt;15,"",AVERAGE($AC$1645:$AC$1658))</f>
        <v>0</v>
      </c>
      <c r="AE1658">
        <f>IF(OR($E1658="",$E1657=""),"",IF(AND(($C1658-$C1657)&gt;($D1657-$D1658),($C1658-$C1657)&gt;0),$C1658-$C1657,0))</f>
        <v>0</v>
      </c>
      <c r="AF1658">
        <f>IF(OR($E1658="",$E1657=""),"",IF(AND(($D1657-$D1658)&gt;($C1658-$C1657),($D1657-$D1658)&gt;0),$D1657-$D1658,0))</f>
        <v>0</v>
      </c>
      <c r="AG1658">
        <f>IF(COUNT($E$2:$E1658)&lt;15,"",IF(SUM($AC$1645:$AC$1658)=0,0,100*SUM($AE$1645:$AE$1658)/SUM($AC$1645:$AC$1658)))</f>
        <v>0</v>
      </c>
      <c r="AH1658">
        <f>IF(COUNT($E$2:$E1658)&lt;15,"",IF(SUM($AC$1645:$AC$1658)=0,0,100*SUM($AF$1645:$AF$1658)/SUM($AC$1645:$AC$1658)))</f>
        <v>0</v>
      </c>
      <c r="AI1658">
        <f>IF(OR(AG1658="",AH1658=""),"",IF((AG1658+AH1658)=0,0,100*ABS(AG1658-AH1658)/(AG1658+AH1658)))</f>
        <v>0</v>
      </c>
      <c r="AJ1658">
        <f>IF(COUNT($AI$1645:$AI$1658)&lt;14,"",AVERAGE($AI$1645:$AI$1658))</f>
        <v>0</v>
      </c>
      <c r="AK1658">
        <f>IF(COUNT($E$2:$E1658)&lt;20,"",AVERAGE($E$1639:$E$1658))</f>
        <v>0</v>
      </c>
      <c r="AL1658">
        <f>IF(COUNT($E$2:$E1658)&lt;20,"",STDEVP($E$1639:$E$1658))</f>
        <v>0</v>
      </c>
      <c r="AM1658">
        <f>IF(AK1658="","",AK1658+2*AL1658)</f>
        <v>0</v>
      </c>
      <c r="AN1658">
        <f>IF(AK1658="","",AK1658-2*AL1658)</f>
        <v>0</v>
      </c>
      <c r="AO1658">
        <f>IF(OR(AM1658="",AN1658="",AM1658=AN1658),"",($E1658-AN1658)/(AM1658-AN1658))</f>
        <v>0</v>
      </c>
      <c r="AP1658">
        <f>IF(OR(AM1658="",AK1658="",AK1658=0),"",(AM1658-AN1658)/AK1658)</f>
        <v>0</v>
      </c>
      <c r="AQ1658">
        <f>IF(COUNT($E$2:$E1658)&lt;20,"",MAX($C$1639:$C$1658))</f>
        <v>0</v>
      </c>
      <c r="AR1658">
        <f>IF(COUNT($E$2:$E1658)&lt;20,"",MIN($D$1639:$D$1658))</f>
        <v>0</v>
      </c>
      <c r="AS1658">
        <f>IF(OR(AQ1658="",AR1658=""),"",(AQ1658+AR1658)/2)</f>
        <v>0</v>
      </c>
      <c r="AT1658">
        <f>IF(COUNT($G$1639:$G$1658)&lt;20,"",STDEV($G$1639:$G$1658)*SQRT(252))</f>
        <v>0</v>
      </c>
      <c r="AU1658">
        <f>IF(COUNT($E$2:$E1658)&lt;9,"",(MAX($C$1650:$C$1658)+MIN($D$1650:$D$1658))/2)</f>
        <v>0</v>
      </c>
      <c r="AV1658">
        <f>IF(COUNT($E$2:$E1658)&lt;26,"",(MAX($C$1633:$C$1658)+MIN($D$1633:$D$1658))/2)</f>
        <v>0</v>
      </c>
      <c r="AW1658">
        <f>IF(OR(AU1658="",AV1658=""),"",(AU1658+AV1658)/2)</f>
        <v>0</v>
      </c>
      <c r="AX1658">
        <f>IF(COUNT($E$2:$E1658)&lt;52,"",(MAX($C$1607:$C$1658)+MIN($D$1607:$D$1658))/2)</f>
        <v>0</v>
      </c>
      <c r="AY1658">
        <f>IF(COUNT($E$2:$E1658)&lt;20,"",MAX($C$1559:$C$1658))</f>
        <v>0</v>
      </c>
      <c r="AZ1658">
        <f>IF(COUNT($E$2:$E1658)&lt;20,"",MIN($D$1559:$D$1658))</f>
        <v>0</v>
      </c>
      <c r="BA1658">
        <f>IF(COUNT($E$2:$E1658)&lt;20,"",SLOPE($E$1559:$E$1658,$F$1559:$F$1658))</f>
        <v>0</v>
      </c>
      <c r="BB1658">
        <f>IF(COUNT($E$2:$E1658)&lt;20,"",INTERCEPT($E$1559:$E$1658,$F$1559:$F$1658))</f>
        <v>0</v>
      </c>
      <c r="BC1658">
        <f>IF(OR(BA1658="",BB1658=""),"",BB1658+BA1658*F1658)</f>
        <v>0</v>
      </c>
      <c r="BD1658">
        <f>IF(COUNT($E$2:$E1658)&lt;20,"",STEYX($E$1559:$E$1658,$F$1559:$F$1658))</f>
        <v>0</v>
      </c>
      <c r="BE1658">
        <f>IF($E1658="","",IF(AND(COUNT($E$1659:$E$1662)&gt;=4,$C1658=MAX($C$1654:$C$1662)),$C1658,""))</f>
        <v>0</v>
      </c>
      <c r="BF1658">
        <f>IF($E1658="","",IF(AND(COUNT($E$1659:$E$1662)&gt;=4,$D1658=MIN($D$1654:$D$1662)),$D1658,""))</f>
        <v>0</v>
      </c>
      <c r="BG1658">
        <f>IF($A1658="","",$A1658-WEEKDAY($A1658,2)+1)</f>
        <v>0</v>
      </c>
      <c r="BH1658">
        <f>IF($A1658="","",IF($A1657="",1,IF(BG1658&lt;&gt;BG1657,1,0)))</f>
        <v>0</v>
      </c>
      <c r="BI1658">
        <f>IF($A1658="","",IF($A1659="",1,IF(BG1659&lt;&gt;BG1658,1,0)))</f>
        <v>0</v>
      </c>
      <c r="BJ1658">
        <f>IF($A1658="","",IF(BH1658=1,$B1658,BJ1657))</f>
        <v>0</v>
      </c>
      <c r="BK1658">
        <f>IF($A1658="","",IF(BH1658=1,$C1658,MAX($C1658,BK1657)))</f>
        <v>0</v>
      </c>
      <c r="BL1658">
        <f>IF($A1658="","",IF(BH1658=1,$D1658,MIN($D1658,BL1657)))</f>
        <v>0</v>
      </c>
      <c r="BM1658">
        <f>IF($A1658="","",IF(BI1658=1,F1658,""))</f>
        <v>0</v>
      </c>
      <c r="BN1658">
        <f>IF($A1658="","",DATE(YEAR($A1658),MONTH($A1658),1))</f>
        <v>0</v>
      </c>
      <c r="BO1658">
        <f>IF($A1658="","",IF($A1657="",1,IF(BN1658&lt;&gt;BN1657,1,0)))</f>
        <v>0</v>
      </c>
      <c r="BP1658">
        <f>IF($A1658="","",IF($A1659="",1,IF(BN1659&lt;&gt;BN1658,1,0)))</f>
        <v>0</v>
      </c>
      <c r="BQ1658">
        <f>IF($A1658="","",IF(BO1658=1,$B1658,BQ1657))</f>
        <v>0</v>
      </c>
      <c r="BR1658">
        <f>IF($A1658="","",IF(BO1658=1,$C1658,MAX($C1658,BR1657)))</f>
        <v>0</v>
      </c>
      <c r="BS1658">
        <f>IF($A1658="","",IF(BO1658=1,$D1658,MIN($D1658,BS1657)))</f>
        <v>0</v>
      </c>
      <c r="BT1658">
        <f>IF($A1658="","",IF(BP1658=1,F1658,""))</f>
        <v>0</v>
      </c>
    </row>
    <row r="1659" spans="1:72">
      <c r="A1659" s="27">
        <f>IF(Data!$A1659="","",Data!$A1659)</f>
        <v>0</v>
      </c>
      <c r="B1659">
        <f>IF(Data!$B1659="","",Data!$B1659)</f>
        <v>0</v>
      </c>
      <c r="C1659">
        <f>IF(Data!$C1659="","",Data!$C1659)</f>
        <v>0</v>
      </c>
      <c r="D1659">
        <f>IF(Data!$D1659="","",Data!$D1659)</f>
        <v>0</v>
      </c>
      <c r="E1659">
        <f>IF(Data!$E1659="","",Data!$E1659)</f>
        <v>0</v>
      </c>
      <c r="F1659">
        <f>IF($E1659="","",N(F1658)+1)</f>
        <v>0</v>
      </c>
      <c r="G1659">
        <f>IF(OR($E1659="",$E1658=""),"",LN($E1659/$E1658))</f>
        <v>0</v>
      </c>
      <c r="H1659">
        <f>IF($E1659="","",IF($E1658="",$E1659,$E1659*0.0952380952+H1658*0.9047619048))</f>
        <v>0</v>
      </c>
      <c r="I1659">
        <f>IF($E1659="","",IF($E1658="",$E1659,$E1659*0.0392156863+I1658*0.9607843137))</f>
        <v>0</v>
      </c>
      <c r="J1659">
        <f>IF($E1659="","",IF($E1658="",$E1659,$E1659*0.0198019802+J1658*0.9801980198))</f>
        <v>0</v>
      </c>
      <c r="K1659">
        <f>IF($E1659="","",IF($E1658="",$E1659,$E1659*0.0099502488+K1658*0.9900497512))</f>
        <v>0</v>
      </c>
      <c r="L1659">
        <f>IF(OR($E1659="",$E1658=""),"",MAX($E1659-$E1658,0))</f>
        <v>0</v>
      </c>
      <c r="M1659">
        <f>IF(OR($E1659="",$E1658=""),"",MAX($E1658-$E1659,0))</f>
        <v>0</v>
      </c>
      <c r="N1659">
        <f>IF(COUNT($E$2:$E1659)&lt;15,"",IF(AVERAGE($M$1646:$M$1659)=0,100,100-100/(1+AVERAGE($L$1646:$L$1659)/AVERAGE($M$1646:$M$1659))))</f>
        <v>0</v>
      </c>
      <c r="O1659">
        <f>IF($E1659="","",IF($E1658="",$E1659,$E1659*0.1538461538+O1658*0.8461538462))</f>
        <v>0</v>
      </c>
      <c r="P1659">
        <f>IF($E1659="","",IF($E1658="",$E1659,$E1659*0.0740740741+P1658*0.9259259259))</f>
        <v>0</v>
      </c>
      <c r="Q1659">
        <f>IF(OR(O1659="",P1659=""),"",O1659-P1659)</f>
        <v>0</v>
      </c>
      <c r="R1659">
        <f>IF(Q1659="","",IF(R1658="",Q1659,Q1659*0.2000000000+R1658*0.8000000000))</f>
        <v>0</v>
      </c>
      <c r="S1659">
        <f>IF(OR(Q1659="",R1659=""),"",Q1659-R1659)</f>
        <v>0</v>
      </c>
      <c r="T1659">
        <f>IF(COUNT($E$2:$E1659)&lt;14,"",MAX($C$1646:$C$1659))</f>
        <v>0</v>
      </c>
      <c r="U1659">
        <f>IF(COUNT($E$2:$E1659)&lt;14,"",MIN($D$1646:$D$1659))</f>
        <v>0</v>
      </c>
      <c r="V1659">
        <f>IF(OR(T1659="",U1659="",T1659=U1659),"",100*($E1659-U1659)/(T1659-U1659))</f>
        <v>0</v>
      </c>
      <c r="W1659">
        <f>IF(COUNT($V$1657:$V$1659)&lt;3,"",AVERAGE($V$1657:$V$1659))</f>
        <v>0</v>
      </c>
      <c r="X1659">
        <f>IF(COUNT($N$1646:$N$1659)&lt;14,"",MIN($N$1646:$N$1659))</f>
        <v>0</v>
      </c>
      <c r="Y1659">
        <f>IF(COUNT($N$1646:$N$1659)&lt;14,"",MAX($N$1646:$N$1659))</f>
        <v>0</v>
      </c>
      <c r="Z1659">
        <f>IF(OR(N1659="",X1659="",Y1659="",Y1659=X1659),"",100*(N1659-X1659)/(Y1659-X1659))</f>
        <v>0</v>
      </c>
      <c r="AA1659">
        <f>IF(COUNT($Z$1657:$Z$1659)&lt;3,"",AVERAGE($Z$1657:$Z$1659))</f>
        <v>0</v>
      </c>
      <c r="AB1659">
        <f>IF(COUNT($AA$1657:$AA$1659)&lt;3,"",AVERAGE($AA$1657:$AA$1659))</f>
        <v>0</v>
      </c>
      <c r="AC1659">
        <f>IF($E1659="","",MAX($C1659-$D1659,ABS($C1659-$E1658),ABS($D1659-$E1658)))</f>
        <v>0</v>
      </c>
      <c r="AD1659">
        <f>IF(COUNT($E$2:$E1659)&lt;15,"",AVERAGE($AC$1646:$AC$1659))</f>
        <v>0</v>
      </c>
      <c r="AE1659">
        <f>IF(OR($E1659="",$E1658=""),"",IF(AND(($C1659-$C1658)&gt;($D1658-$D1659),($C1659-$C1658)&gt;0),$C1659-$C1658,0))</f>
        <v>0</v>
      </c>
      <c r="AF1659">
        <f>IF(OR($E1659="",$E1658=""),"",IF(AND(($D1658-$D1659)&gt;($C1659-$C1658),($D1658-$D1659)&gt;0),$D1658-$D1659,0))</f>
        <v>0</v>
      </c>
      <c r="AG1659">
        <f>IF(COUNT($E$2:$E1659)&lt;15,"",IF(SUM($AC$1646:$AC$1659)=0,0,100*SUM($AE$1646:$AE$1659)/SUM($AC$1646:$AC$1659)))</f>
        <v>0</v>
      </c>
      <c r="AH1659">
        <f>IF(COUNT($E$2:$E1659)&lt;15,"",IF(SUM($AC$1646:$AC$1659)=0,0,100*SUM($AF$1646:$AF$1659)/SUM($AC$1646:$AC$1659)))</f>
        <v>0</v>
      </c>
      <c r="AI1659">
        <f>IF(OR(AG1659="",AH1659=""),"",IF((AG1659+AH1659)=0,0,100*ABS(AG1659-AH1659)/(AG1659+AH1659)))</f>
        <v>0</v>
      </c>
      <c r="AJ1659">
        <f>IF(COUNT($AI$1646:$AI$1659)&lt;14,"",AVERAGE($AI$1646:$AI$1659))</f>
        <v>0</v>
      </c>
      <c r="AK1659">
        <f>IF(COUNT($E$2:$E1659)&lt;20,"",AVERAGE($E$1640:$E$1659))</f>
        <v>0</v>
      </c>
      <c r="AL1659">
        <f>IF(COUNT($E$2:$E1659)&lt;20,"",STDEVP($E$1640:$E$1659))</f>
        <v>0</v>
      </c>
      <c r="AM1659">
        <f>IF(AK1659="","",AK1659+2*AL1659)</f>
        <v>0</v>
      </c>
      <c r="AN1659">
        <f>IF(AK1659="","",AK1659-2*AL1659)</f>
        <v>0</v>
      </c>
      <c r="AO1659">
        <f>IF(OR(AM1659="",AN1659="",AM1659=AN1659),"",($E1659-AN1659)/(AM1659-AN1659))</f>
        <v>0</v>
      </c>
      <c r="AP1659">
        <f>IF(OR(AM1659="",AK1659="",AK1659=0),"",(AM1659-AN1659)/AK1659)</f>
        <v>0</v>
      </c>
      <c r="AQ1659">
        <f>IF(COUNT($E$2:$E1659)&lt;20,"",MAX($C$1640:$C$1659))</f>
        <v>0</v>
      </c>
      <c r="AR1659">
        <f>IF(COUNT($E$2:$E1659)&lt;20,"",MIN($D$1640:$D$1659))</f>
        <v>0</v>
      </c>
      <c r="AS1659">
        <f>IF(OR(AQ1659="",AR1659=""),"",(AQ1659+AR1659)/2)</f>
        <v>0</v>
      </c>
      <c r="AT1659">
        <f>IF(COUNT($G$1640:$G$1659)&lt;20,"",STDEV($G$1640:$G$1659)*SQRT(252))</f>
        <v>0</v>
      </c>
      <c r="AU1659">
        <f>IF(COUNT($E$2:$E1659)&lt;9,"",(MAX($C$1651:$C$1659)+MIN($D$1651:$D$1659))/2)</f>
        <v>0</v>
      </c>
      <c r="AV1659">
        <f>IF(COUNT($E$2:$E1659)&lt;26,"",(MAX($C$1634:$C$1659)+MIN($D$1634:$D$1659))/2)</f>
        <v>0</v>
      </c>
      <c r="AW1659">
        <f>IF(OR(AU1659="",AV1659=""),"",(AU1659+AV1659)/2)</f>
        <v>0</v>
      </c>
      <c r="AX1659">
        <f>IF(COUNT($E$2:$E1659)&lt;52,"",(MAX($C$1608:$C$1659)+MIN($D$1608:$D$1659))/2)</f>
        <v>0</v>
      </c>
      <c r="AY1659">
        <f>IF(COUNT($E$2:$E1659)&lt;20,"",MAX($C$1560:$C$1659))</f>
        <v>0</v>
      </c>
      <c r="AZ1659">
        <f>IF(COUNT($E$2:$E1659)&lt;20,"",MIN($D$1560:$D$1659))</f>
        <v>0</v>
      </c>
      <c r="BA1659">
        <f>IF(COUNT($E$2:$E1659)&lt;20,"",SLOPE($E$1560:$E$1659,$F$1560:$F$1659))</f>
        <v>0</v>
      </c>
      <c r="BB1659">
        <f>IF(COUNT($E$2:$E1659)&lt;20,"",INTERCEPT($E$1560:$E$1659,$F$1560:$F$1659))</f>
        <v>0</v>
      </c>
      <c r="BC1659">
        <f>IF(OR(BA1659="",BB1659=""),"",BB1659+BA1659*F1659)</f>
        <v>0</v>
      </c>
      <c r="BD1659">
        <f>IF(COUNT($E$2:$E1659)&lt;20,"",STEYX($E$1560:$E$1659,$F$1560:$F$1659))</f>
        <v>0</v>
      </c>
      <c r="BE1659">
        <f>IF($E1659="","",IF(AND(COUNT($E$1660:$E$1663)&gt;=4,$C1659=MAX($C$1655:$C$1663)),$C1659,""))</f>
        <v>0</v>
      </c>
      <c r="BF1659">
        <f>IF($E1659="","",IF(AND(COUNT($E$1660:$E$1663)&gt;=4,$D1659=MIN($D$1655:$D$1663)),$D1659,""))</f>
        <v>0</v>
      </c>
      <c r="BG1659">
        <f>IF($A1659="","",$A1659-WEEKDAY($A1659,2)+1)</f>
        <v>0</v>
      </c>
      <c r="BH1659">
        <f>IF($A1659="","",IF($A1658="",1,IF(BG1659&lt;&gt;BG1658,1,0)))</f>
        <v>0</v>
      </c>
      <c r="BI1659">
        <f>IF($A1659="","",IF($A1660="",1,IF(BG1660&lt;&gt;BG1659,1,0)))</f>
        <v>0</v>
      </c>
      <c r="BJ1659">
        <f>IF($A1659="","",IF(BH1659=1,$B1659,BJ1658))</f>
        <v>0</v>
      </c>
      <c r="BK1659">
        <f>IF($A1659="","",IF(BH1659=1,$C1659,MAX($C1659,BK1658)))</f>
        <v>0</v>
      </c>
      <c r="BL1659">
        <f>IF($A1659="","",IF(BH1659=1,$D1659,MIN($D1659,BL1658)))</f>
        <v>0</v>
      </c>
      <c r="BM1659">
        <f>IF($A1659="","",IF(BI1659=1,F1659,""))</f>
        <v>0</v>
      </c>
      <c r="BN1659">
        <f>IF($A1659="","",DATE(YEAR($A1659),MONTH($A1659),1))</f>
        <v>0</v>
      </c>
      <c r="BO1659">
        <f>IF($A1659="","",IF($A1658="",1,IF(BN1659&lt;&gt;BN1658,1,0)))</f>
        <v>0</v>
      </c>
      <c r="BP1659">
        <f>IF($A1659="","",IF($A1660="",1,IF(BN1660&lt;&gt;BN1659,1,0)))</f>
        <v>0</v>
      </c>
      <c r="BQ1659">
        <f>IF($A1659="","",IF(BO1659=1,$B1659,BQ1658))</f>
        <v>0</v>
      </c>
      <c r="BR1659">
        <f>IF($A1659="","",IF(BO1659=1,$C1659,MAX($C1659,BR1658)))</f>
        <v>0</v>
      </c>
      <c r="BS1659">
        <f>IF($A1659="","",IF(BO1659=1,$D1659,MIN($D1659,BS1658)))</f>
        <v>0</v>
      </c>
      <c r="BT1659">
        <f>IF($A1659="","",IF(BP1659=1,F1659,""))</f>
        <v>0</v>
      </c>
    </row>
    <row r="1660" spans="1:72">
      <c r="A1660" s="27">
        <f>IF(Data!$A1660="","",Data!$A1660)</f>
        <v>0</v>
      </c>
      <c r="B1660">
        <f>IF(Data!$B1660="","",Data!$B1660)</f>
        <v>0</v>
      </c>
      <c r="C1660">
        <f>IF(Data!$C1660="","",Data!$C1660)</f>
        <v>0</v>
      </c>
      <c r="D1660">
        <f>IF(Data!$D1660="","",Data!$D1660)</f>
        <v>0</v>
      </c>
      <c r="E1660">
        <f>IF(Data!$E1660="","",Data!$E1660)</f>
        <v>0</v>
      </c>
      <c r="F1660">
        <f>IF($E1660="","",N(F1659)+1)</f>
        <v>0</v>
      </c>
      <c r="G1660">
        <f>IF(OR($E1660="",$E1659=""),"",LN($E1660/$E1659))</f>
        <v>0</v>
      </c>
      <c r="H1660">
        <f>IF($E1660="","",IF($E1659="",$E1660,$E1660*0.0952380952+H1659*0.9047619048))</f>
        <v>0</v>
      </c>
      <c r="I1660">
        <f>IF($E1660="","",IF($E1659="",$E1660,$E1660*0.0392156863+I1659*0.9607843137))</f>
        <v>0</v>
      </c>
      <c r="J1660">
        <f>IF($E1660="","",IF($E1659="",$E1660,$E1660*0.0198019802+J1659*0.9801980198))</f>
        <v>0</v>
      </c>
      <c r="K1660">
        <f>IF($E1660="","",IF($E1659="",$E1660,$E1660*0.0099502488+K1659*0.9900497512))</f>
        <v>0</v>
      </c>
      <c r="L1660">
        <f>IF(OR($E1660="",$E1659=""),"",MAX($E1660-$E1659,0))</f>
        <v>0</v>
      </c>
      <c r="M1660">
        <f>IF(OR($E1660="",$E1659=""),"",MAX($E1659-$E1660,0))</f>
        <v>0</v>
      </c>
      <c r="N1660">
        <f>IF(COUNT($E$2:$E1660)&lt;15,"",IF(AVERAGE($M$1647:$M$1660)=0,100,100-100/(1+AVERAGE($L$1647:$L$1660)/AVERAGE($M$1647:$M$1660))))</f>
        <v>0</v>
      </c>
      <c r="O1660">
        <f>IF($E1660="","",IF($E1659="",$E1660,$E1660*0.1538461538+O1659*0.8461538462))</f>
        <v>0</v>
      </c>
      <c r="P1660">
        <f>IF($E1660="","",IF($E1659="",$E1660,$E1660*0.0740740741+P1659*0.9259259259))</f>
        <v>0</v>
      </c>
      <c r="Q1660">
        <f>IF(OR(O1660="",P1660=""),"",O1660-P1660)</f>
        <v>0</v>
      </c>
      <c r="R1660">
        <f>IF(Q1660="","",IF(R1659="",Q1660,Q1660*0.2000000000+R1659*0.8000000000))</f>
        <v>0</v>
      </c>
      <c r="S1660">
        <f>IF(OR(Q1660="",R1660=""),"",Q1660-R1660)</f>
        <v>0</v>
      </c>
      <c r="T1660">
        <f>IF(COUNT($E$2:$E1660)&lt;14,"",MAX($C$1647:$C$1660))</f>
        <v>0</v>
      </c>
      <c r="U1660">
        <f>IF(COUNT($E$2:$E1660)&lt;14,"",MIN($D$1647:$D$1660))</f>
        <v>0</v>
      </c>
      <c r="V1660">
        <f>IF(OR(T1660="",U1660="",T1660=U1660),"",100*($E1660-U1660)/(T1660-U1660))</f>
        <v>0</v>
      </c>
      <c r="W1660">
        <f>IF(COUNT($V$1658:$V$1660)&lt;3,"",AVERAGE($V$1658:$V$1660))</f>
        <v>0</v>
      </c>
      <c r="X1660">
        <f>IF(COUNT($N$1647:$N$1660)&lt;14,"",MIN($N$1647:$N$1660))</f>
        <v>0</v>
      </c>
      <c r="Y1660">
        <f>IF(COUNT($N$1647:$N$1660)&lt;14,"",MAX($N$1647:$N$1660))</f>
        <v>0</v>
      </c>
      <c r="Z1660">
        <f>IF(OR(N1660="",X1660="",Y1660="",Y1660=X1660),"",100*(N1660-X1660)/(Y1660-X1660))</f>
        <v>0</v>
      </c>
      <c r="AA1660">
        <f>IF(COUNT($Z$1658:$Z$1660)&lt;3,"",AVERAGE($Z$1658:$Z$1660))</f>
        <v>0</v>
      </c>
      <c r="AB1660">
        <f>IF(COUNT($AA$1658:$AA$1660)&lt;3,"",AVERAGE($AA$1658:$AA$1660))</f>
        <v>0</v>
      </c>
      <c r="AC1660">
        <f>IF($E1660="","",MAX($C1660-$D1660,ABS($C1660-$E1659),ABS($D1660-$E1659)))</f>
        <v>0</v>
      </c>
      <c r="AD1660">
        <f>IF(COUNT($E$2:$E1660)&lt;15,"",AVERAGE($AC$1647:$AC$1660))</f>
        <v>0</v>
      </c>
      <c r="AE1660">
        <f>IF(OR($E1660="",$E1659=""),"",IF(AND(($C1660-$C1659)&gt;($D1659-$D1660),($C1660-$C1659)&gt;0),$C1660-$C1659,0))</f>
        <v>0</v>
      </c>
      <c r="AF1660">
        <f>IF(OR($E1660="",$E1659=""),"",IF(AND(($D1659-$D1660)&gt;($C1660-$C1659),($D1659-$D1660)&gt;0),$D1659-$D1660,0))</f>
        <v>0</v>
      </c>
      <c r="AG1660">
        <f>IF(COUNT($E$2:$E1660)&lt;15,"",IF(SUM($AC$1647:$AC$1660)=0,0,100*SUM($AE$1647:$AE$1660)/SUM($AC$1647:$AC$1660)))</f>
        <v>0</v>
      </c>
      <c r="AH1660">
        <f>IF(COUNT($E$2:$E1660)&lt;15,"",IF(SUM($AC$1647:$AC$1660)=0,0,100*SUM($AF$1647:$AF$1660)/SUM($AC$1647:$AC$1660)))</f>
        <v>0</v>
      </c>
      <c r="AI1660">
        <f>IF(OR(AG1660="",AH1660=""),"",IF((AG1660+AH1660)=0,0,100*ABS(AG1660-AH1660)/(AG1660+AH1660)))</f>
        <v>0</v>
      </c>
      <c r="AJ1660">
        <f>IF(COUNT($AI$1647:$AI$1660)&lt;14,"",AVERAGE($AI$1647:$AI$1660))</f>
        <v>0</v>
      </c>
      <c r="AK1660">
        <f>IF(COUNT($E$2:$E1660)&lt;20,"",AVERAGE($E$1641:$E$1660))</f>
        <v>0</v>
      </c>
      <c r="AL1660">
        <f>IF(COUNT($E$2:$E1660)&lt;20,"",STDEVP($E$1641:$E$1660))</f>
        <v>0</v>
      </c>
      <c r="AM1660">
        <f>IF(AK1660="","",AK1660+2*AL1660)</f>
        <v>0</v>
      </c>
      <c r="AN1660">
        <f>IF(AK1660="","",AK1660-2*AL1660)</f>
        <v>0</v>
      </c>
      <c r="AO1660">
        <f>IF(OR(AM1660="",AN1660="",AM1660=AN1660),"",($E1660-AN1660)/(AM1660-AN1660))</f>
        <v>0</v>
      </c>
      <c r="AP1660">
        <f>IF(OR(AM1660="",AK1660="",AK1660=0),"",(AM1660-AN1660)/AK1660)</f>
        <v>0</v>
      </c>
      <c r="AQ1660">
        <f>IF(COUNT($E$2:$E1660)&lt;20,"",MAX($C$1641:$C$1660))</f>
        <v>0</v>
      </c>
      <c r="AR1660">
        <f>IF(COUNT($E$2:$E1660)&lt;20,"",MIN($D$1641:$D$1660))</f>
        <v>0</v>
      </c>
      <c r="AS1660">
        <f>IF(OR(AQ1660="",AR1660=""),"",(AQ1660+AR1660)/2)</f>
        <v>0</v>
      </c>
      <c r="AT1660">
        <f>IF(COUNT($G$1641:$G$1660)&lt;20,"",STDEV($G$1641:$G$1660)*SQRT(252))</f>
        <v>0</v>
      </c>
      <c r="AU1660">
        <f>IF(COUNT($E$2:$E1660)&lt;9,"",(MAX($C$1652:$C$1660)+MIN($D$1652:$D$1660))/2)</f>
        <v>0</v>
      </c>
      <c r="AV1660">
        <f>IF(COUNT($E$2:$E1660)&lt;26,"",(MAX($C$1635:$C$1660)+MIN($D$1635:$D$1660))/2)</f>
        <v>0</v>
      </c>
      <c r="AW1660">
        <f>IF(OR(AU1660="",AV1660=""),"",(AU1660+AV1660)/2)</f>
        <v>0</v>
      </c>
      <c r="AX1660">
        <f>IF(COUNT($E$2:$E1660)&lt;52,"",(MAX($C$1609:$C$1660)+MIN($D$1609:$D$1660))/2)</f>
        <v>0</v>
      </c>
      <c r="AY1660">
        <f>IF(COUNT($E$2:$E1660)&lt;20,"",MAX($C$1561:$C$1660))</f>
        <v>0</v>
      </c>
      <c r="AZ1660">
        <f>IF(COUNT($E$2:$E1660)&lt;20,"",MIN($D$1561:$D$1660))</f>
        <v>0</v>
      </c>
      <c r="BA1660">
        <f>IF(COUNT($E$2:$E1660)&lt;20,"",SLOPE($E$1561:$E$1660,$F$1561:$F$1660))</f>
        <v>0</v>
      </c>
      <c r="BB1660">
        <f>IF(COUNT($E$2:$E1660)&lt;20,"",INTERCEPT($E$1561:$E$1660,$F$1561:$F$1660))</f>
        <v>0</v>
      </c>
      <c r="BC1660">
        <f>IF(OR(BA1660="",BB1660=""),"",BB1660+BA1660*F1660)</f>
        <v>0</v>
      </c>
      <c r="BD1660">
        <f>IF(COUNT($E$2:$E1660)&lt;20,"",STEYX($E$1561:$E$1660,$F$1561:$F$1660))</f>
        <v>0</v>
      </c>
      <c r="BE1660">
        <f>IF($E1660="","",IF(AND(COUNT($E$1661:$E$1664)&gt;=4,$C1660=MAX($C$1656:$C$1664)),$C1660,""))</f>
        <v>0</v>
      </c>
      <c r="BF1660">
        <f>IF($E1660="","",IF(AND(COUNT($E$1661:$E$1664)&gt;=4,$D1660=MIN($D$1656:$D$1664)),$D1660,""))</f>
        <v>0</v>
      </c>
      <c r="BG1660">
        <f>IF($A1660="","",$A1660-WEEKDAY($A1660,2)+1)</f>
        <v>0</v>
      </c>
      <c r="BH1660">
        <f>IF($A1660="","",IF($A1659="",1,IF(BG1660&lt;&gt;BG1659,1,0)))</f>
        <v>0</v>
      </c>
      <c r="BI1660">
        <f>IF($A1660="","",IF($A1661="",1,IF(BG1661&lt;&gt;BG1660,1,0)))</f>
        <v>0</v>
      </c>
      <c r="BJ1660">
        <f>IF($A1660="","",IF(BH1660=1,$B1660,BJ1659))</f>
        <v>0</v>
      </c>
      <c r="BK1660">
        <f>IF($A1660="","",IF(BH1660=1,$C1660,MAX($C1660,BK1659)))</f>
        <v>0</v>
      </c>
      <c r="BL1660">
        <f>IF($A1660="","",IF(BH1660=1,$D1660,MIN($D1660,BL1659)))</f>
        <v>0</v>
      </c>
      <c r="BM1660">
        <f>IF($A1660="","",IF(BI1660=1,F1660,""))</f>
        <v>0</v>
      </c>
      <c r="BN1660">
        <f>IF($A1660="","",DATE(YEAR($A1660),MONTH($A1660),1))</f>
        <v>0</v>
      </c>
      <c r="BO1660">
        <f>IF($A1660="","",IF($A1659="",1,IF(BN1660&lt;&gt;BN1659,1,0)))</f>
        <v>0</v>
      </c>
      <c r="BP1660">
        <f>IF($A1660="","",IF($A1661="",1,IF(BN1661&lt;&gt;BN1660,1,0)))</f>
        <v>0</v>
      </c>
      <c r="BQ1660">
        <f>IF($A1660="","",IF(BO1660=1,$B1660,BQ1659))</f>
        <v>0</v>
      </c>
      <c r="BR1660">
        <f>IF($A1660="","",IF(BO1660=1,$C1660,MAX($C1660,BR1659)))</f>
        <v>0</v>
      </c>
      <c r="BS1660">
        <f>IF($A1660="","",IF(BO1660=1,$D1660,MIN($D1660,BS1659)))</f>
        <v>0</v>
      </c>
      <c r="BT1660">
        <f>IF($A1660="","",IF(BP1660=1,F1660,""))</f>
        <v>0</v>
      </c>
    </row>
    <row r="1661" spans="1:72">
      <c r="A1661" s="27">
        <f>IF(Data!$A1661="","",Data!$A1661)</f>
        <v>0</v>
      </c>
      <c r="B1661">
        <f>IF(Data!$B1661="","",Data!$B1661)</f>
        <v>0</v>
      </c>
      <c r="C1661">
        <f>IF(Data!$C1661="","",Data!$C1661)</f>
        <v>0</v>
      </c>
      <c r="D1661">
        <f>IF(Data!$D1661="","",Data!$D1661)</f>
        <v>0</v>
      </c>
      <c r="E1661">
        <f>IF(Data!$E1661="","",Data!$E1661)</f>
        <v>0</v>
      </c>
      <c r="F1661">
        <f>IF($E1661="","",N(F1660)+1)</f>
        <v>0</v>
      </c>
      <c r="G1661">
        <f>IF(OR($E1661="",$E1660=""),"",LN($E1661/$E1660))</f>
        <v>0</v>
      </c>
      <c r="H1661">
        <f>IF($E1661="","",IF($E1660="",$E1661,$E1661*0.0952380952+H1660*0.9047619048))</f>
        <v>0</v>
      </c>
      <c r="I1661">
        <f>IF($E1661="","",IF($E1660="",$E1661,$E1661*0.0392156863+I1660*0.9607843137))</f>
        <v>0</v>
      </c>
      <c r="J1661">
        <f>IF($E1661="","",IF($E1660="",$E1661,$E1661*0.0198019802+J1660*0.9801980198))</f>
        <v>0</v>
      </c>
      <c r="K1661">
        <f>IF($E1661="","",IF($E1660="",$E1661,$E1661*0.0099502488+K1660*0.9900497512))</f>
        <v>0</v>
      </c>
      <c r="L1661">
        <f>IF(OR($E1661="",$E1660=""),"",MAX($E1661-$E1660,0))</f>
        <v>0</v>
      </c>
      <c r="M1661">
        <f>IF(OR($E1661="",$E1660=""),"",MAX($E1660-$E1661,0))</f>
        <v>0</v>
      </c>
      <c r="N1661">
        <f>IF(COUNT($E$2:$E1661)&lt;15,"",IF(AVERAGE($M$1648:$M$1661)=0,100,100-100/(1+AVERAGE($L$1648:$L$1661)/AVERAGE($M$1648:$M$1661))))</f>
        <v>0</v>
      </c>
      <c r="O1661">
        <f>IF($E1661="","",IF($E1660="",$E1661,$E1661*0.1538461538+O1660*0.8461538462))</f>
        <v>0</v>
      </c>
      <c r="P1661">
        <f>IF($E1661="","",IF($E1660="",$E1661,$E1661*0.0740740741+P1660*0.9259259259))</f>
        <v>0</v>
      </c>
      <c r="Q1661">
        <f>IF(OR(O1661="",P1661=""),"",O1661-P1661)</f>
        <v>0</v>
      </c>
      <c r="R1661">
        <f>IF(Q1661="","",IF(R1660="",Q1661,Q1661*0.2000000000+R1660*0.8000000000))</f>
        <v>0</v>
      </c>
      <c r="S1661">
        <f>IF(OR(Q1661="",R1661=""),"",Q1661-R1661)</f>
        <v>0</v>
      </c>
      <c r="T1661">
        <f>IF(COUNT($E$2:$E1661)&lt;14,"",MAX($C$1648:$C$1661))</f>
        <v>0</v>
      </c>
      <c r="U1661">
        <f>IF(COUNT($E$2:$E1661)&lt;14,"",MIN($D$1648:$D$1661))</f>
        <v>0</v>
      </c>
      <c r="V1661">
        <f>IF(OR(T1661="",U1661="",T1661=U1661),"",100*($E1661-U1661)/(T1661-U1661))</f>
        <v>0</v>
      </c>
      <c r="W1661">
        <f>IF(COUNT($V$1659:$V$1661)&lt;3,"",AVERAGE($V$1659:$V$1661))</f>
        <v>0</v>
      </c>
      <c r="X1661">
        <f>IF(COUNT($N$1648:$N$1661)&lt;14,"",MIN($N$1648:$N$1661))</f>
        <v>0</v>
      </c>
      <c r="Y1661">
        <f>IF(COUNT($N$1648:$N$1661)&lt;14,"",MAX($N$1648:$N$1661))</f>
        <v>0</v>
      </c>
      <c r="Z1661">
        <f>IF(OR(N1661="",X1661="",Y1661="",Y1661=X1661),"",100*(N1661-X1661)/(Y1661-X1661))</f>
        <v>0</v>
      </c>
      <c r="AA1661">
        <f>IF(COUNT($Z$1659:$Z$1661)&lt;3,"",AVERAGE($Z$1659:$Z$1661))</f>
        <v>0</v>
      </c>
      <c r="AB1661">
        <f>IF(COUNT($AA$1659:$AA$1661)&lt;3,"",AVERAGE($AA$1659:$AA$1661))</f>
        <v>0</v>
      </c>
      <c r="AC1661">
        <f>IF($E1661="","",MAX($C1661-$D1661,ABS($C1661-$E1660),ABS($D1661-$E1660)))</f>
        <v>0</v>
      </c>
      <c r="AD1661">
        <f>IF(COUNT($E$2:$E1661)&lt;15,"",AVERAGE($AC$1648:$AC$1661))</f>
        <v>0</v>
      </c>
      <c r="AE1661">
        <f>IF(OR($E1661="",$E1660=""),"",IF(AND(($C1661-$C1660)&gt;($D1660-$D1661),($C1661-$C1660)&gt;0),$C1661-$C1660,0))</f>
        <v>0</v>
      </c>
      <c r="AF1661">
        <f>IF(OR($E1661="",$E1660=""),"",IF(AND(($D1660-$D1661)&gt;($C1661-$C1660),($D1660-$D1661)&gt;0),$D1660-$D1661,0))</f>
        <v>0</v>
      </c>
      <c r="AG1661">
        <f>IF(COUNT($E$2:$E1661)&lt;15,"",IF(SUM($AC$1648:$AC$1661)=0,0,100*SUM($AE$1648:$AE$1661)/SUM($AC$1648:$AC$1661)))</f>
        <v>0</v>
      </c>
      <c r="AH1661">
        <f>IF(COUNT($E$2:$E1661)&lt;15,"",IF(SUM($AC$1648:$AC$1661)=0,0,100*SUM($AF$1648:$AF$1661)/SUM($AC$1648:$AC$1661)))</f>
        <v>0</v>
      </c>
      <c r="AI1661">
        <f>IF(OR(AG1661="",AH1661=""),"",IF((AG1661+AH1661)=0,0,100*ABS(AG1661-AH1661)/(AG1661+AH1661)))</f>
        <v>0</v>
      </c>
      <c r="AJ1661">
        <f>IF(COUNT($AI$1648:$AI$1661)&lt;14,"",AVERAGE($AI$1648:$AI$1661))</f>
        <v>0</v>
      </c>
      <c r="AK1661">
        <f>IF(COUNT($E$2:$E1661)&lt;20,"",AVERAGE($E$1642:$E$1661))</f>
        <v>0</v>
      </c>
      <c r="AL1661">
        <f>IF(COUNT($E$2:$E1661)&lt;20,"",STDEVP($E$1642:$E$1661))</f>
        <v>0</v>
      </c>
      <c r="AM1661">
        <f>IF(AK1661="","",AK1661+2*AL1661)</f>
        <v>0</v>
      </c>
      <c r="AN1661">
        <f>IF(AK1661="","",AK1661-2*AL1661)</f>
        <v>0</v>
      </c>
      <c r="AO1661">
        <f>IF(OR(AM1661="",AN1661="",AM1661=AN1661),"",($E1661-AN1661)/(AM1661-AN1661))</f>
        <v>0</v>
      </c>
      <c r="AP1661">
        <f>IF(OR(AM1661="",AK1661="",AK1661=0),"",(AM1661-AN1661)/AK1661)</f>
        <v>0</v>
      </c>
      <c r="AQ1661">
        <f>IF(COUNT($E$2:$E1661)&lt;20,"",MAX($C$1642:$C$1661))</f>
        <v>0</v>
      </c>
      <c r="AR1661">
        <f>IF(COUNT($E$2:$E1661)&lt;20,"",MIN($D$1642:$D$1661))</f>
        <v>0</v>
      </c>
      <c r="AS1661">
        <f>IF(OR(AQ1661="",AR1661=""),"",(AQ1661+AR1661)/2)</f>
        <v>0</v>
      </c>
      <c r="AT1661">
        <f>IF(COUNT($G$1642:$G$1661)&lt;20,"",STDEV($G$1642:$G$1661)*SQRT(252))</f>
        <v>0</v>
      </c>
      <c r="AU1661">
        <f>IF(COUNT($E$2:$E1661)&lt;9,"",(MAX($C$1653:$C$1661)+MIN($D$1653:$D$1661))/2)</f>
        <v>0</v>
      </c>
      <c r="AV1661">
        <f>IF(COUNT($E$2:$E1661)&lt;26,"",(MAX($C$1636:$C$1661)+MIN($D$1636:$D$1661))/2)</f>
        <v>0</v>
      </c>
      <c r="AW1661">
        <f>IF(OR(AU1661="",AV1661=""),"",(AU1661+AV1661)/2)</f>
        <v>0</v>
      </c>
      <c r="AX1661">
        <f>IF(COUNT($E$2:$E1661)&lt;52,"",(MAX($C$1610:$C$1661)+MIN($D$1610:$D$1661))/2)</f>
        <v>0</v>
      </c>
      <c r="AY1661">
        <f>IF(COUNT($E$2:$E1661)&lt;20,"",MAX($C$1562:$C$1661))</f>
        <v>0</v>
      </c>
      <c r="AZ1661">
        <f>IF(COUNT($E$2:$E1661)&lt;20,"",MIN($D$1562:$D$1661))</f>
        <v>0</v>
      </c>
      <c r="BA1661">
        <f>IF(COUNT($E$2:$E1661)&lt;20,"",SLOPE($E$1562:$E$1661,$F$1562:$F$1661))</f>
        <v>0</v>
      </c>
      <c r="BB1661">
        <f>IF(COUNT($E$2:$E1661)&lt;20,"",INTERCEPT($E$1562:$E$1661,$F$1562:$F$1661))</f>
        <v>0</v>
      </c>
      <c r="BC1661">
        <f>IF(OR(BA1661="",BB1661=""),"",BB1661+BA1661*F1661)</f>
        <v>0</v>
      </c>
      <c r="BD1661">
        <f>IF(COUNT($E$2:$E1661)&lt;20,"",STEYX($E$1562:$E$1661,$F$1562:$F$1661))</f>
        <v>0</v>
      </c>
      <c r="BE1661">
        <f>IF($E1661="","",IF(AND(COUNT($E$1662:$E$1665)&gt;=4,$C1661=MAX($C$1657:$C$1665)),$C1661,""))</f>
        <v>0</v>
      </c>
      <c r="BF1661">
        <f>IF($E1661="","",IF(AND(COUNT($E$1662:$E$1665)&gt;=4,$D1661=MIN($D$1657:$D$1665)),$D1661,""))</f>
        <v>0</v>
      </c>
      <c r="BG1661">
        <f>IF($A1661="","",$A1661-WEEKDAY($A1661,2)+1)</f>
        <v>0</v>
      </c>
      <c r="BH1661">
        <f>IF($A1661="","",IF($A1660="",1,IF(BG1661&lt;&gt;BG1660,1,0)))</f>
        <v>0</v>
      </c>
      <c r="BI1661">
        <f>IF($A1661="","",IF($A1662="",1,IF(BG1662&lt;&gt;BG1661,1,0)))</f>
        <v>0</v>
      </c>
      <c r="BJ1661">
        <f>IF($A1661="","",IF(BH1661=1,$B1661,BJ1660))</f>
        <v>0</v>
      </c>
      <c r="BK1661">
        <f>IF($A1661="","",IF(BH1661=1,$C1661,MAX($C1661,BK1660)))</f>
        <v>0</v>
      </c>
      <c r="BL1661">
        <f>IF($A1661="","",IF(BH1661=1,$D1661,MIN($D1661,BL1660)))</f>
        <v>0</v>
      </c>
      <c r="BM1661">
        <f>IF($A1661="","",IF(BI1661=1,F1661,""))</f>
        <v>0</v>
      </c>
      <c r="BN1661">
        <f>IF($A1661="","",DATE(YEAR($A1661),MONTH($A1661),1))</f>
        <v>0</v>
      </c>
      <c r="BO1661">
        <f>IF($A1661="","",IF($A1660="",1,IF(BN1661&lt;&gt;BN1660,1,0)))</f>
        <v>0</v>
      </c>
      <c r="BP1661">
        <f>IF($A1661="","",IF($A1662="",1,IF(BN1662&lt;&gt;BN1661,1,0)))</f>
        <v>0</v>
      </c>
      <c r="BQ1661">
        <f>IF($A1661="","",IF(BO1661=1,$B1661,BQ1660))</f>
        <v>0</v>
      </c>
      <c r="BR1661">
        <f>IF($A1661="","",IF(BO1661=1,$C1661,MAX($C1661,BR1660)))</f>
        <v>0</v>
      </c>
      <c r="BS1661">
        <f>IF($A1661="","",IF(BO1661=1,$D1661,MIN($D1661,BS1660)))</f>
        <v>0</v>
      </c>
      <c r="BT1661">
        <f>IF($A1661="","",IF(BP1661=1,F1661,""))</f>
        <v>0</v>
      </c>
    </row>
    <row r="1662" spans="1:72">
      <c r="A1662" s="27">
        <f>IF(Data!$A1662="","",Data!$A1662)</f>
        <v>0</v>
      </c>
      <c r="B1662">
        <f>IF(Data!$B1662="","",Data!$B1662)</f>
        <v>0</v>
      </c>
      <c r="C1662">
        <f>IF(Data!$C1662="","",Data!$C1662)</f>
        <v>0</v>
      </c>
      <c r="D1662">
        <f>IF(Data!$D1662="","",Data!$D1662)</f>
        <v>0</v>
      </c>
      <c r="E1662">
        <f>IF(Data!$E1662="","",Data!$E1662)</f>
        <v>0</v>
      </c>
      <c r="F1662">
        <f>IF($E1662="","",N(F1661)+1)</f>
        <v>0</v>
      </c>
      <c r="G1662">
        <f>IF(OR($E1662="",$E1661=""),"",LN($E1662/$E1661))</f>
        <v>0</v>
      </c>
      <c r="H1662">
        <f>IF($E1662="","",IF($E1661="",$E1662,$E1662*0.0952380952+H1661*0.9047619048))</f>
        <v>0</v>
      </c>
      <c r="I1662">
        <f>IF($E1662="","",IF($E1661="",$E1662,$E1662*0.0392156863+I1661*0.9607843137))</f>
        <v>0</v>
      </c>
      <c r="J1662">
        <f>IF($E1662="","",IF($E1661="",$E1662,$E1662*0.0198019802+J1661*0.9801980198))</f>
        <v>0</v>
      </c>
      <c r="K1662">
        <f>IF($E1662="","",IF($E1661="",$E1662,$E1662*0.0099502488+K1661*0.9900497512))</f>
        <v>0</v>
      </c>
      <c r="L1662">
        <f>IF(OR($E1662="",$E1661=""),"",MAX($E1662-$E1661,0))</f>
        <v>0</v>
      </c>
      <c r="M1662">
        <f>IF(OR($E1662="",$E1661=""),"",MAX($E1661-$E1662,0))</f>
        <v>0</v>
      </c>
      <c r="N1662">
        <f>IF(COUNT($E$2:$E1662)&lt;15,"",IF(AVERAGE($M$1649:$M$1662)=0,100,100-100/(1+AVERAGE($L$1649:$L$1662)/AVERAGE($M$1649:$M$1662))))</f>
        <v>0</v>
      </c>
      <c r="O1662">
        <f>IF($E1662="","",IF($E1661="",$E1662,$E1662*0.1538461538+O1661*0.8461538462))</f>
        <v>0</v>
      </c>
      <c r="P1662">
        <f>IF($E1662="","",IF($E1661="",$E1662,$E1662*0.0740740741+P1661*0.9259259259))</f>
        <v>0</v>
      </c>
      <c r="Q1662">
        <f>IF(OR(O1662="",P1662=""),"",O1662-P1662)</f>
        <v>0</v>
      </c>
      <c r="R1662">
        <f>IF(Q1662="","",IF(R1661="",Q1662,Q1662*0.2000000000+R1661*0.8000000000))</f>
        <v>0</v>
      </c>
      <c r="S1662">
        <f>IF(OR(Q1662="",R1662=""),"",Q1662-R1662)</f>
        <v>0</v>
      </c>
      <c r="T1662">
        <f>IF(COUNT($E$2:$E1662)&lt;14,"",MAX($C$1649:$C$1662))</f>
        <v>0</v>
      </c>
      <c r="U1662">
        <f>IF(COUNT($E$2:$E1662)&lt;14,"",MIN($D$1649:$D$1662))</f>
        <v>0</v>
      </c>
      <c r="V1662">
        <f>IF(OR(T1662="",U1662="",T1662=U1662),"",100*($E1662-U1662)/(T1662-U1662))</f>
        <v>0</v>
      </c>
      <c r="W1662">
        <f>IF(COUNT($V$1660:$V$1662)&lt;3,"",AVERAGE($V$1660:$V$1662))</f>
        <v>0</v>
      </c>
      <c r="X1662">
        <f>IF(COUNT($N$1649:$N$1662)&lt;14,"",MIN($N$1649:$N$1662))</f>
        <v>0</v>
      </c>
      <c r="Y1662">
        <f>IF(COUNT($N$1649:$N$1662)&lt;14,"",MAX($N$1649:$N$1662))</f>
        <v>0</v>
      </c>
      <c r="Z1662">
        <f>IF(OR(N1662="",X1662="",Y1662="",Y1662=X1662),"",100*(N1662-X1662)/(Y1662-X1662))</f>
        <v>0</v>
      </c>
      <c r="AA1662">
        <f>IF(COUNT($Z$1660:$Z$1662)&lt;3,"",AVERAGE($Z$1660:$Z$1662))</f>
        <v>0</v>
      </c>
      <c r="AB1662">
        <f>IF(COUNT($AA$1660:$AA$1662)&lt;3,"",AVERAGE($AA$1660:$AA$1662))</f>
        <v>0</v>
      </c>
      <c r="AC1662">
        <f>IF($E1662="","",MAX($C1662-$D1662,ABS($C1662-$E1661),ABS($D1662-$E1661)))</f>
        <v>0</v>
      </c>
      <c r="AD1662">
        <f>IF(COUNT($E$2:$E1662)&lt;15,"",AVERAGE($AC$1649:$AC$1662))</f>
        <v>0</v>
      </c>
      <c r="AE1662">
        <f>IF(OR($E1662="",$E1661=""),"",IF(AND(($C1662-$C1661)&gt;($D1661-$D1662),($C1662-$C1661)&gt;0),$C1662-$C1661,0))</f>
        <v>0</v>
      </c>
      <c r="AF1662">
        <f>IF(OR($E1662="",$E1661=""),"",IF(AND(($D1661-$D1662)&gt;($C1662-$C1661),($D1661-$D1662)&gt;0),$D1661-$D1662,0))</f>
        <v>0</v>
      </c>
      <c r="AG1662">
        <f>IF(COUNT($E$2:$E1662)&lt;15,"",IF(SUM($AC$1649:$AC$1662)=0,0,100*SUM($AE$1649:$AE$1662)/SUM($AC$1649:$AC$1662)))</f>
        <v>0</v>
      </c>
      <c r="AH1662">
        <f>IF(COUNT($E$2:$E1662)&lt;15,"",IF(SUM($AC$1649:$AC$1662)=0,0,100*SUM($AF$1649:$AF$1662)/SUM($AC$1649:$AC$1662)))</f>
        <v>0</v>
      </c>
      <c r="AI1662">
        <f>IF(OR(AG1662="",AH1662=""),"",IF((AG1662+AH1662)=0,0,100*ABS(AG1662-AH1662)/(AG1662+AH1662)))</f>
        <v>0</v>
      </c>
      <c r="AJ1662">
        <f>IF(COUNT($AI$1649:$AI$1662)&lt;14,"",AVERAGE($AI$1649:$AI$1662))</f>
        <v>0</v>
      </c>
      <c r="AK1662">
        <f>IF(COUNT($E$2:$E1662)&lt;20,"",AVERAGE($E$1643:$E$1662))</f>
        <v>0</v>
      </c>
      <c r="AL1662">
        <f>IF(COUNT($E$2:$E1662)&lt;20,"",STDEVP($E$1643:$E$1662))</f>
        <v>0</v>
      </c>
      <c r="AM1662">
        <f>IF(AK1662="","",AK1662+2*AL1662)</f>
        <v>0</v>
      </c>
      <c r="AN1662">
        <f>IF(AK1662="","",AK1662-2*AL1662)</f>
        <v>0</v>
      </c>
      <c r="AO1662">
        <f>IF(OR(AM1662="",AN1662="",AM1662=AN1662),"",($E1662-AN1662)/(AM1662-AN1662))</f>
        <v>0</v>
      </c>
      <c r="AP1662">
        <f>IF(OR(AM1662="",AK1662="",AK1662=0),"",(AM1662-AN1662)/AK1662)</f>
        <v>0</v>
      </c>
      <c r="AQ1662">
        <f>IF(COUNT($E$2:$E1662)&lt;20,"",MAX($C$1643:$C$1662))</f>
        <v>0</v>
      </c>
      <c r="AR1662">
        <f>IF(COUNT($E$2:$E1662)&lt;20,"",MIN($D$1643:$D$1662))</f>
        <v>0</v>
      </c>
      <c r="AS1662">
        <f>IF(OR(AQ1662="",AR1662=""),"",(AQ1662+AR1662)/2)</f>
        <v>0</v>
      </c>
      <c r="AT1662">
        <f>IF(COUNT($G$1643:$G$1662)&lt;20,"",STDEV($G$1643:$G$1662)*SQRT(252))</f>
        <v>0</v>
      </c>
      <c r="AU1662">
        <f>IF(COUNT($E$2:$E1662)&lt;9,"",(MAX($C$1654:$C$1662)+MIN($D$1654:$D$1662))/2)</f>
        <v>0</v>
      </c>
      <c r="AV1662">
        <f>IF(COUNT($E$2:$E1662)&lt;26,"",(MAX($C$1637:$C$1662)+MIN($D$1637:$D$1662))/2)</f>
        <v>0</v>
      </c>
      <c r="AW1662">
        <f>IF(OR(AU1662="",AV1662=""),"",(AU1662+AV1662)/2)</f>
        <v>0</v>
      </c>
      <c r="AX1662">
        <f>IF(COUNT($E$2:$E1662)&lt;52,"",(MAX($C$1611:$C$1662)+MIN($D$1611:$D$1662))/2)</f>
        <v>0</v>
      </c>
      <c r="AY1662">
        <f>IF(COUNT($E$2:$E1662)&lt;20,"",MAX($C$1563:$C$1662))</f>
        <v>0</v>
      </c>
      <c r="AZ1662">
        <f>IF(COUNT($E$2:$E1662)&lt;20,"",MIN($D$1563:$D$1662))</f>
        <v>0</v>
      </c>
      <c r="BA1662">
        <f>IF(COUNT($E$2:$E1662)&lt;20,"",SLOPE($E$1563:$E$1662,$F$1563:$F$1662))</f>
        <v>0</v>
      </c>
      <c r="BB1662">
        <f>IF(COUNT($E$2:$E1662)&lt;20,"",INTERCEPT($E$1563:$E$1662,$F$1563:$F$1662))</f>
        <v>0</v>
      </c>
      <c r="BC1662">
        <f>IF(OR(BA1662="",BB1662=""),"",BB1662+BA1662*F1662)</f>
        <v>0</v>
      </c>
      <c r="BD1662">
        <f>IF(COUNT($E$2:$E1662)&lt;20,"",STEYX($E$1563:$E$1662,$F$1563:$F$1662))</f>
        <v>0</v>
      </c>
      <c r="BE1662">
        <f>IF($E1662="","",IF(AND(COUNT($E$1663:$E$1666)&gt;=4,$C1662=MAX($C$1658:$C$1666)),$C1662,""))</f>
        <v>0</v>
      </c>
      <c r="BF1662">
        <f>IF($E1662="","",IF(AND(COUNT($E$1663:$E$1666)&gt;=4,$D1662=MIN($D$1658:$D$1666)),$D1662,""))</f>
        <v>0</v>
      </c>
      <c r="BG1662">
        <f>IF($A1662="","",$A1662-WEEKDAY($A1662,2)+1)</f>
        <v>0</v>
      </c>
      <c r="BH1662">
        <f>IF($A1662="","",IF($A1661="",1,IF(BG1662&lt;&gt;BG1661,1,0)))</f>
        <v>0</v>
      </c>
      <c r="BI1662">
        <f>IF($A1662="","",IF($A1663="",1,IF(BG1663&lt;&gt;BG1662,1,0)))</f>
        <v>0</v>
      </c>
      <c r="BJ1662">
        <f>IF($A1662="","",IF(BH1662=1,$B1662,BJ1661))</f>
        <v>0</v>
      </c>
      <c r="BK1662">
        <f>IF($A1662="","",IF(BH1662=1,$C1662,MAX($C1662,BK1661)))</f>
        <v>0</v>
      </c>
      <c r="BL1662">
        <f>IF($A1662="","",IF(BH1662=1,$D1662,MIN($D1662,BL1661)))</f>
        <v>0</v>
      </c>
      <c r="BM1662">
        <f>IF($A1662="","",IF(BI1662=1,F1662,""))</f>
        <v>0</v>
      </c>
      <c r="BN1662">
        <f>IF($A1662="","",DATE(YEAR($A1662),MONTH($A1662),1))</f>
        <v>0</v>
      </c>
      <c r="BO1662">
        <f>IF($A1662="","",IF($A1661="",1,IF(BN1662&lt;&gt;BN1661,1,0)))</f>
        <v>0</v>
      </c>
      <c r="BP1662">
        <f>IF($A1662="","",IF($A1663="",1,IF(BN1663&lt;&gt;BN1662,1,0)))</f>
        <v>0</v>
      </c>
      <c r="BQ1662">
        <f>IF($A1662="","",IF(BO1662=1,$B1662,BQ1661))</f>
        <v>0</v>
      </c>
      <c r="BR1662">
        <f>IF($A1662="","",IF(BO1662=1,$C1662,MAX($C1662,BR1661)))</f>
        <v>0</v>
      </c>
      <c r="BS1662">
        <f>IF($A1662="","",IF(BO1662=1,$D1662,MIN($D1662,BS1661)))</f>
        <v>0</v>
      </c>
      <c r="BT1662">
        <f>IF($A1662="","",IF(BP1662=1,F1662,""))</f>
        <v>0</v>
      </c>
    </row>
    <row r="1663" spans="1:72">
      <c r="A1663" s="27">
        <f>IF(Data!$A1663="","",Data!$A1663)</f>
        <v>0</v>
      </c>
      <c r="B1663">
        <f>IF(Data!$B1663="","",Data!$B1663)</f>
        <v>0</v>
      </c>
      <c r="C1663">
        <f>IF(Data!$C1663="","",Data!$C1663)</f>
        <v>0</v>
      </c>
      <c r="D1663">
        <f>IF(Data!$D1663="","",Data!$D1663)</f>
        <v>0</v>
      </c>
      <c r="E1663">
        <f>IF(Data!$E1663="","",Data!$E1663)</f>
        <v>0</v>
      </c>
      <c r="F1663">
        <f>IF($E1663="","",N(F1662)+1)</f>
        <v>0</v>
      </c>
      <c r="G1663">
        <f>IF(OR($E1663="",$E1662=""),"",LN($E1663/$E1662))</f>
        <v>0</v>
      </c>
      <c r="H1663">
        <f>IF($E1663="","",IF($E1662="",$E1663,$E1663*0.0952380952+H1662*0.9047619048))</f>
        <v>0</v>
      </c>
      <c r="I1663">
        <f>IF($E1663="","",IF($E1662="",$E1663,$E1663*0.0392156863+I1662*0.9607843137))</f>
        <v>0</v>
      </c>
      <c r="J1663">
        <f>IF($E1663="","",IF($E1662="",$E1663,$E1663*0.0198019802+J1662*0.9801980198))</f>
        <v>0</v>
      </c>
      <c r="K1663">
        <f>IF($E1663="","",IF($E1662="",$E1663,$E1663*0.0099502488+K1662*0.9900497512))</f>
        <v>0</v>
      </c>
      <c r="L1663">
        <f>IF(OR($E1663="",$E1662=""),"",MAX($E1663-$E1662,0))</f>
        <v>0</v>
      </c>
      <c r="M1663">
        <f>IF(OR($E1663="",$E1662=""),"",MAX($E1662-$E1663,0))</f>
        <v>0</v>
      </c>
      <c r="N1663">
        <f>IF(COUNT($E$2:$E1663)&lt;15,"",IF(AVERAGE($M$1650:$M$1663)=0,100,100-100/(1+AVERAGE($L$1650:$L$1663)/AVERAGE($M$1650:$M$1663))))</f>
        <v>0</v>
      </c>
      <c r="O1663">
        <f>IF($E1663="","",IF($E1662="",$E1663,$E1663*0.1538461538+O1662*0.8461538462))</f>
        <v>0</v>
      </c>
      <c r="P1663">
        <f>IF($E1663="","",IF($E1662="",$E1663,$E1663*0.0740740741+P1662*0.9259259259))</f>
        <v>0</v>
      </c>
      <c r="Q1663">
        <f>IF(OR(O1663="",P1663=""),"",O1663-P1663)</f>
        <v>0</v>
      </c>
      <c r="R1663">
        <f>IF(Q1663="","",IF(R1662="",Q1663,Q1663*0.2000000000+R1662*0.8000000000))</f>
        <v>0</v>
      </c>
      <c r="S1663">
        <f>IF(OR(Q1663="",R1663=""),"",Q1663-R1663)</f>
        <v>0</v>
      </c>
      <c r="T1663">
        <f>IF(COUNT($E$2:$E1663)&lt;14,"",MAX($C$1650:$C$1663))</f>
        <v>0</v>
      </c>
      <c r="U1663">
        <f>IF(COUNT($E$2:$E1663)&lt;14,"",MIN($D$1650:$D$1663))</f>
        <v>0</v>
      </c>
      <c r="V1663">
        <f>IF(OR(T1663="",U1663="",T1663=U1663),"",100*($E1663-U1663)/(T1663-U1663))</f>
        <v>0</v>
      </c>
      <c r="W1663">
        <f>IF(COUNT($V$1661:$V$1663)&lt;3,"",AVERAGE($V$1661:$V$1663))</f>
        <v>0</v>
      </c>
      <c r="X1663">
        <f>IF(COUNT($N$1650:$N$1663)&lt;14,"",MIN($N$1650:$N$1663))</f>
        <v>0</v>
      </c>
      <c r="Y1663">
        <f>IF(COUNT($N$1650:$N$1663)&lt;14,"",MAX($N$1650:$N$1663))</f>
        <v>0</v>
      </c>
      <c r="Z1663">
        <f>IF(OR(N1663="",X1663="",Y1663="",Y1663=X1663),"",100*(N1663-X1663)/(Y1663-X1663))</f>
        <v>0</v>
      </c>
      <c r="AA1663">
        <f>IF(COUNT($Z$1661:$Z$1663)&lt;3,"",AVERAGE($Z$1661:$Z$1663))</f>
        <v>0</v>
      </c>
      <c r="AB1663">
        <f>IF(COUNT($AA$1661:$AA$1663)&lt;3,"",AVERAGE($AA$1661:$AA$1663))</f>
        <v>0</v>
      </c>
      <c r="AC1663">
        <f>IF($E1663="","",MAX($C1663-$D1663,ABS($C1663-$E1662),ABS($D1663-$E1662)))</f>
        <v>0</v>
      </c>
      <c r="AD1663">
        <f>IF(COUNT($E$2:$E1663)&lt;15,"",AVERAGE($AC$1650:$AC$1663))</f>
        <v>0</v>
      </c>
      <c r="AE1663">
        <f>IF(OR($E1663="",$E1662=""),"",IF(AND(($C1663-$C1662)&gt;($D1662-$D1663),($C1663-$C1662)&gt;0),$C1663-$C1662,0))</f>
        <v>0</v>
      </c>
      <c r="AF1663">
        <f>IF(OR($E1663="",$E1662=""),"",IF(AND(($D1662-$D1663)&gt;($C1663-$C1662),($D1662-$D1663)&gt;0),$D1662-$D1663,0))</f>
        <v>0</v>
      </c>
      <c r="AG1663">
        <f>IF(COUNT($E$2:$E1663)&lt;15,"",IF(SUM($AC$1650:$AC$1663)=0,0,100*SUM($AE$1650:$AE$1663)/SUM($AC$1650:$AC$1663)))</f>
        <v>0</v>
      </c>
      <c r="AH1663">
        <f>IF(COUNT($E$2:$E1663)&lt;15,"",IF(SUM($AC$1650:$AC$1663)=0,0,100*SUM($AF$1650:$AF$1663)/SUM($AC$1650:$AC$1663)))</f>
        <v>0</v>
      </c>
      <c r="AI1663">
        <f>IF(OR(AG1663="",AH1663=""),"",IF((AG1663+AH1663)=0,0,100*ABS(AG1663-AH1663)/(AG1663+AH1663)))</f>
        <v>0</v>
      </c>
      <c r="AJ1663">
        <f>IF(COUNT($AI$1650:$AI$1663)&lt;14,"",AVERAGE($AI$1650:$AI$1663))</f>
        <v>0</v>
      </c>
      <c r="AK1663">
        <f>IF(COUNT($E$2:$E1663)&lt;20,"",AVERAGE($E$1644:$E$1663))</f>
        <v>0</v>
      </c>
      <c r="AL1663">
        <f>IF(COUNT($E$2:$E1663)&lt;20,"",STDEVP($E$1644:$E$1663))</f>
        <v>0</v>
      </c>
      <c r="AM1663">
        <f>IF(AK1663="","",AK1663+2*AL1663)</f>
        <v>0</v>
      </c>
      <c r="AN1663">
        <f>IF(AK1663="","",AK1663-2*AL1663)</f>
        <v>0</v>
      </c>
      <c r="AO1663">
        <f>IF(OR(AM1663="",AN1663="",AM1663=AN1663),"",($E1663-AN1663)/(AM1663-AN1663))</f>
        <v>0</v>
      </c>
      <c r="AP1663">
        <f>IF(OR(AM1663="",AK1663="",AK1663=0),"",(AM1663-AN1663)/AK1663)</f>
        <v>0</v>
      </c>
      <c r="AQ1663">
        <f>IF(COUNT($E$2:$E1663)&lt;20,"",MAX($C$1644:$C$1663))</f>
        <v>0</v>
      </c>
      <c r="AR1663">
        <f>IF(COUNT($E$2:$E1663)&lt;20,"",MIN($D$1644:$D$1663))</f>
        <v>0</v>
      </c>
      <c r="AS1663">
        <f>IF(OR(AQ1663="",AR1663=""),"",(AQ1663+AR1663)/2)</f>
        <v>0</v>
      </c>
      <c r="AT1663">
        <f>IF(COUNT($G$1644:$G$1663)&lt;20,"",STDEV($G$1644:$G$1663)*SQRT(252))</f>
        <v>0</v>
      </c>
      <c r="AU1663">
        <f>IF(COUNT($E$2:$E1663)&lt;9,"",(MAX($C$1655:$C$1663)+MIN($D$1655:$D$1663))/2)</f>
        <v>0</v>
      </c>
      <c r="AV1663">
        <f>IF(COUNT($E$2:$E1663)&lt;26,"",(MAX($C$1638:$C$1663)+MIN($D$1638:$D$1663))/2)</f>
        <v>0</v>
      </c>
      <c r="AW1663">
        <f>IF(OR(AU1663="",AV1663=""),"",(AU1663+AV1663)/2)</f>
        <v>0</v>
      </c>
      <c r="AX1663">
        <f>IF(COUNT($E$2:$E1663)&lt;52,"",(MAX($C$1612:$C$1663)+MIN($D$1612:$D$1663))/2)</f>
        <v>0</v>
      </c>
      <c r="AY1663">
        <f>IF(COUNT($E$2:$E1663)&lt;20,"",MAX($C$1564:$C$1663))</f>
        <v>0</v>
      </c>
      <c r="AZ1663">
        <f>IF(COUNT($E$2:$E1663)&lt;20,"",MIN($D$1564:$D$1663))</f>
        <v>0</v>
      </c>
      <c r="BA1663">
        <f>IF(COUNT($E$2:$E1663)&lt;20,"",SLOPE($E$1564:$E$1663,$F$1564:$F$1663))</f>
        <v>0</v>
      </c>
      <c r="BB1663">
        <f>IF(COUNT($E$2:$E1663)&lt;20,"",INTERCEPT($E$1564:$E$1663,$F$1564:$F$1663))</f>
        <v>0</v>
      </c>
      <c r="BC1663">
        <f>IF(OR(BA1663="",BB1663=""),"",BB1663+BA1663*F1663)</f>
        <v>0</v>
      </c>
      <c r="BD1663">
        <f>IF(COUNT($E$2:$E1663)&lt;20,"",STEYX($E$1564:$E$1663,$F$1564:$F$1663))</f>
        <v>0</v>
      </c>
      <c r="BE1663">
        <f>IF($E1663="","",IF(AND(COUNT($E$1664:$E$1667)&gt;=4,$C1663=MAX($C$1659:$C$1667)),$C1663,""))</f>
        <v>0</v>
      </c>
      <c r="BF1663">
        <f>IF($E1663="","",IF(AND(COUNT($E$1664:$E$1667)&gt;=4,$D1663=MIN($D$1659:$D$1667)),$D1663,""))</f>
        <v>0</v>
      </c>
      <c r="BG1663">
        <f>IF($A1663="","",$A1663-WEEKDAY($A1663,2)+1)</f>
        <v>0</v>
      </c>
      <c r="BH1663">
        <f>IF($A1663="","",IF($A1662="",1,IF(BG1663&lt;&gt;BG1662,1,0)))</f>
        <v>0</v>
      </c>
      <c r="BI1663">
        <f>IF($A1663="","",IF($A1664="",1,IF(BG1664&lt;&gt;BG1663,1,0)))</f>
        <v>0</v>
      </c>
      <c r="BJ1663">
        <f>IF($A1663="","",IF(BH1663=1,$B1663,BJ1662))</f>
        <v>0</v>
      </c>
      <c r="BK1663">
        <f>IF($A1663="","",IF(BH1663=1,$C1663,MAX($C1663,BK1662)))</f>
        <v>0</v>
      </c>
      <c r="BL1663">
        <f>IF($A1663="","",IF(BH1663=1,$D1663,MIN($D1663,BL1662)))</f>
        <v>0</v>
      </c>
      <c r="BM1663">
        <f>IF($A1663="","",IF(BI1663=1,F1663,""))</f>
        <v>0</v>
      </c>
      <c r="BN1663">
        <f>IF($A1663="","",DATE(YEAR($A1663),MONTH($A1663),1))</f>
        <v>0</v>
      </c>
      <c r="BO1663">
        <f>IF($A1663="","",IF($A1662="",1,IF(BN1663&lt;&gt;BN1662,1,0)))</f>
        <v>0</v>
      </c>
      <c r="BP1663">
        <f>IF($A1663="","",IF($A1664="",1,IF(BN1664&lt;&gt;BN1663,1,0)))</f>
        <v>0</v>
      </c>
      <c r="BQ1663">
        <f>IF($A1663="","",IF(BO1663=1,$B1663,BQ1662))</f>
        <v>0</v>
      </c>
      <c r="BR1663">
        <f>IF($A1663="","",IF(BO1663=1,$C1663,MAX($C1663,BR1662)))</f>
        <v>0</v>
      </c>
      <c r="BS1663">
        <f>IF($A1663="","",IF(BO1663=1,$D1663,MIN($D1663,BS1662)))</f>
        <v>0</v>
      </c>
      <c r="BT1663">
        <f>IF($A1663="","",IF(BP1663=1,F1663,""))</f>
        <v>0</v>
      </c>
    </row>
    <row r="1664" spans="1:72">
      <c r="A1664" s="27">
        <f>IF(Data!$A1664="","",Data!$A1664)</f>
        <v>0</v>
      </c>
      <c r="B1664">
        <f>IF(Data!$B1664="","",Data!$B1664)</f>
        <v>0</v>
      </c>
      <c r="C1664">
        <f>IF(Data!$C1664="","",Data!$C1664)</f>
        <v>0</v>
      </c>
      <c r="D1664">
        <f>IF(Data!$D1664="","",Data!$D1664)</f>
        <v>0</v>
      </c>
      <c r="E1664">
        <f>IF(Data!$E1664="","",Data!$E1664)</f>
        <v>0</v>
      </c>
      <c r="F1664">
        <f>IF($E1664="","",N(F1663)+1)</f>
        <v>0</v>
      </c>
      <c r="G1664">
        <f>IF(OR($E1664="",$E1663=""),"",LN($E1664/$E1663))</f>
        <v>0</v>
      </c>
      <c r="H1664">
        <f>IF($E1664="","",IF($E1663="",$E1664,$E1664*0.0952380952+H1663*0.9047619048))</f>
        <v>0</v>
      </c>
      <c r="I1664">
        <f>IF($E1664="","",IF($E1663="",$E1664,$E1664*0.0392156863+I1663*0.9607843137))</f>
        <v>0</v>
      </c>
      <c r="J1664">
        <f>IF($E1664="","",IF($E1663="",$E1664,$E1664*0.0198019802+J1663*0.9801980198))</f>
        <v>0</v>
      </c>
      <c r="K1664">
        <f>IF($E1664="","",IF($E1663="",$E1664,$E1664*0.0099502488+K1663*0.9900497512))</f>
        <v>0</v>
      </c>
      <c r="L1664">
        <f>IF(OR($E1664="",$E1663=""),"",MAX($E1664-$E1663,0))</f>
        <v>0</v>
      </c>
      <c r="M1664">
        <f>IF(OR($E1664="",$E1663=""),"",MAX($E1663-$E1664,0))</f>
        <v>0</v>
      </c>
      <c r="N1664">
        <f>IF(COUNT($E$2:$E1664)&lt;15,"",IF(AVERAGE($M$1651:$M$1664)=0,100,100-100/(1+AVERAGE($L$1651:$L$1664)/AVERAGE($M$1651:$M$1664))))</f>
        <v>0</v>
      </c>
      <c r="O1664">
        <f>IF($E1664="","",IF($E1663="",$E1664,$E1664*0.1538461538+O1663*0.8461538462))</f>
        <v>0</v>
      </c>
      <c r="P1664">
        <f>IF($E1664="","",IF($E1663="",$E1664,$E1664*0.0740740741+P1663*0.9259259259))</f>
        <v>0</v>
      </c>
      <c r="Q1664">
        <f>IF(OR(O1664="",P1664=""),"",O1664-P1664)</f>
        <v>0</v>
      </c>
      <c r="R1664">
        <f>IF(Q1664="","",IF(R1663="",Q1664,Q1664*0.2000000000+R1663*0.8000000000))</f>
        <v>0</v>
      </c>
      <c r="S1664">
        <f>IF(OR(Q1664="",R1664=""),"",Q1664-R1664)</f>
        <v>0</v>
      </c>
      <c r="T1664">
        <f>IF(COUNT($E$2:$E1664)&lt;14,"",MAX($C$1651:$C$1664))</f>
        <v>0</v>
      </c>
      <c r="U1664">
        <f>IF(COUNT($E$2:$E1664)&lt;14,"",MIN($D$1651:$D$1664))</f>
        <v>0</v>
      </c>
      <c r="V1664">
        <f>IF(OR(T1664="",U1664="",T1664=U1664),"",100*($E1664-U1664)/(T1664-U1664))</f>
        <v>0</v>
      </c>
      <c r="W1664">
        <f>IF(COUNT($V$1662:$V$1664)&lt;3,"",AVERAGE($V$1662:$V$1664))</f>
        <v>0</v>
      </c>
      <c r="X1664">
        <f>IF(COUNT($N$1651:$N$1664)&lt;14,"",MIN($N$1651:$N$1664))</f>
        <v>0</v>
      </c>
      <c r="Y1664">
        <f>IF(COUNT($N$1651:$N$1664)&lt;14,"",MAX($N$1651:$N$1664))</f>
        <v>0</v>
      </c>
      <c r="Z1664">
        <f>IF(OR(N1664="",X1664="",Y1664="",Y1664=X1664),"",100*(N1664-X1664)/(Y1664-X1664))</f>
        <v>0</v>
      </c>
      <c r="AA1664">
        <f>IF(COUNT($Z$1662:$Z$1664)&lt;3,"",AVERAGE($Z$1662:$Z$1664))</f>
        <v>0</v>
      </c>
      <c r="AB1664">
        <f>IF(COUNT($AA$1662:$AA$1664)&lt;3,"",AVERAGE($AA$1662:$AA$1664))</f>
        <v>0</v>
      </c>
      <c r="AC1664">
        <f>IF($E1664="","",MAX($C1664-$D1664,ABS($C1664-$E1663),ABS($D1664-$E1663)))</f>
        <v>0</v>
      </c>
      <c r="AD1664">
        <f>IF(COUNT($E$2:$E1664)&lt;15,"",AVERAGE($AC$1651:$AC$1664))</f>
        <v>0</v>
      </c>
      <c r="AE1664">
        <f>IF(OR($E1664="",$E1663=""),"",IF(AND(($C1664-$C1663)&gt;($D1663-$D1664),($C1664-$C1663)&gt;0),$C1664-$C1663,0))</f>
        <v>0</v>
      </c>
      <c r="AF1664">
        <f>IF(OR($E1664="",$E1663=""),"",IF(AND(($D1663-$D1664)&gt;($C1664-$C1663),($D1663-$D1664)&gt;0),$D1663-$D1664,0))</f>
        <v>0</v>
      </c>
      <c r="AG1664">
        <f>IF(COUNT($E$2:$E1664)&lt;15,"",IF(SUM($AC$1651:$AC$1664)=0,0,100*SUM($AE$1651:$AE$1664)/SUM($AC$1651:$AC$1664)))</f>
        <v>0</v>
      </c>
      <c r="AH1664">
        <f>IF(COUNT($E$2:$E1664)&lt;15,"",IF(SUM($AC$1651:$AC$1664)=0,0,100*SUM($AF$1651:$AF$1664)/SUM($AC$1651:$AC$1664)))</f>
        <v>0</v>
      </c>
      <c r="AI1664">
        <f>IF(OR(AG1664="",AH1664=""),"",IF((AG1664+AH1664)=0,0,100*ABS(AG1664-AH1664)/(AG1664+AH1664)))</f>
        <v>0</v>
      </c>
      <c r="AJ1664">
        <f>IF(COUNT($AI$1651:$AI$1664)&lt;14,"",AVERAGE($AI$1651:$AI$1664))</f>
        <v>0</v>
      </c>
      <c r="AK1664">
        <f>IF(COUNT($E$2:$E1664)&lt;20,"",AVERAGE($E$1645:$E$1664))</f>
        <v>0</v>
      </c>
      <c r="AL1664">
        <f>IF(COUNT($E$2:$E1664)&lt;20,"",STDEVP($E$1645:$E$1664))</f>
        <v>0</v>
      </c>
      <c r="AM1664">
        <f>IF(AK1664="","",AK1664+2*AL1664)</f>
        <v>0</v>
      </c>
      <c r="AN1664">
        <f>IF(AK1664="","",AK1664-2*AL1664)</f>
        <v>0</v>
      </c>
      <c r="AO1664">
        <f>IF(OR(AM1664="",AN1664="",AM1664=AN1664),"",($E1664-AN1664)/(AM1664-AN1664))</f>
        <v>0</v>
      </c>
      <c r="AP1664">
        <f>IF(OR(AM1664="",AK1664="",AK1664=0),"",(AM1664-AN1664)/AK1664)</f>
        <v>0</v>
      </c>
      <c r="AQ1664">
        <f>IF(COUNT($E$2:$E1664)&lt;20,"",MAX($C$1645:$C$1664))</f>
        <v>0</v>
      </c>
      <c r="AR1664">
        <f>IF(COUNT($E$2:$E1664)&lt;20,"",MIN($D$1645:$D$1664))</f>
        <v>0</v>
      </c>
      <c r="AS1664">
        <f>IF(OR(AQ1664="",AR1664=""),"",(AQ1664+AR1664)/2)</f>
        <v>0</v>
      </c>
      <c r="AT1664">
        <f>IF(COUNT($G$1645:$G$1664)&lt;20,"",STDEV($G$1645:$G$1664)*SQRT(252))</f>
        <v>0</v>
      </c>
      <c r="AU1664">
        <f>IF(COUNT($E$2:$E1664)&lt;9,"",(MAX($C$1656:$C$1664)+MIN($D$1656:$D$1664))/2)</f>
        <v>0</v>
      </c>
      <c r="AV1664">
        <f>IF(COUNT($E$2:$E1664)&lt;26,"",(MAX($C$1639:$C$1664)+MIN($D$1639:$D$1664))/2)</f>
        <v>0</v>
      </c>
      <c r="AW1664">
        <f>IF(OR(AU1664="",AV1664=""),"",(AU1664+AV1664)/2)</f>
        <v>0</v>
      </c>
      <c r="AX1664">
        <f>IF(COUNT($E$2:$E1664)&lt;52,"",(MAX($C$1613:$C$1664)+MIN($D$1613:$D$1664))/2)</f>
        <v>0</v>
      </c>
      <c r="AY1664">
        <f>IF(COUNT($E$2:$E1664)&lt;20,"",MAX($C$1565:$C$1664))</f>
        <v>0</v>
      </c>
      <c r="AZ1664">
        <f>IF(COUNT($E$2:$E1664)&lt;20,"",MIN($D$1565:$D$1664))</f>
        <v>0</v>
      </c>
      <c r="BA1664">
        <f>IF(COUNT($E$2:$E1664)&lt;20,"",SLOPE($E$1565:$E$1664,$F$1565:$F$1664))</f>
        <v>0</v>
      </c>
      <c r="BB1664">
        <f>IF(COUNT($E$2:$E1664)&lt;20,"",INTERCEPT($E$1565:$E$1664,$F$1565:$F$1664))</f>
        <v>0</v>
      </c>
      <c r="BC1664">
        <f>IF(OR(BA1664="",BB1664=""),"",BB1664+BA1664*F1664)</f>
        <v>0</v>
      </c>
      <c r="BD1664">
        <f>IF(COUNT($E$2:$E1664)&lt;20,"",STEYX($E$1565:$E$1664,$F$1565:$F$1664))</f>
        <v>0</v>
      </c>
      <c r="BE1664">
        <f>IF($E1664="","",IF(AND(COUNT($E$1665:$E$1668)&gt;=4,$C1664=MAX($C$1660:$C$1668)),$C1664,""))</f>
        <v>0</v>
      </c>
      <c r="BF1664">
        <f>IF($E1664="","",IF(AND(COUNT($E$1665:$E$1668)&gt;=4,$D1664=MIN($D$1660:$D$1668)),$D1664,""))</f>
        <v>0</v>
      </c>
      <c r="BG1664">
        <f>IF($A1664="","",$A1664-WEEKDAY($A1664,2)+1)</f>
        <v>0</v>
      </c>
      <c r="BH1664">
        <f>IF($A1664="","",IF($A1663="",1,IF(BG1664&lt;&gt;BG1663,1,0)))</f>
        <v>0</v>
      </c>
      <c r="BI1664">
        <f>IF($A1664="","",IF($A1665="",1,IF(BG1665&lt;&gt;BG1664,1,0)))</f>
        <v>0</v>
      </c>
      <c r="BJ1664">
        <f>IF($A1664="","",IF(BH1664=1,$B1664,BJ1663))</f>
        <v>0</v>
      </c>
      <c r="BK1664">
        <f>IF($A1664="","",IF(BH1664=1,$C1664,MAX($C1664,BK1663)))</f>
        <v>0</v>
      </c>
      <c r="BL1664">
        <f>IF($A1664="","",IF(BH1664=1,$D1664,MIN($D1664,BL1663)))</f>
        <v>0</v>
      </c>
      <c r="BM1664">
        <f>IF($A1664="","",IF(BI1664=1,F1664,""))</f>
        <v>0</v>
      </c>
      <c r="BN1664">
        <f>IF($A1664="","",DATE(YEAR($A1664),MONTH($A1664),1))</f>
        <v>0</v>
      </c>
      <c r="BO1664">
        <f>IF($A1664="","",IF($A1663="",1,IF(BN1664&lt;&gt;BN1663,1,0)))</f>
        <v>0</v>
      </c>
      <c r="BP1664">
        <f>IF($A1664="","",IF($A1665="",1,IF(BN1665&lt;&gt;BN1664,1,0)))</f>
        <v>0</v>
      </c>
      <c r="BQ1664">
        <f>IF($A1664="","",IF(BO1664=1,$B1664,BQ1663))</f>
        <v>0</v>
      </c>
      <c r="BR1664">
        <f>IF($A1664="","",IF(BO1664=1,$C1664,MAX($C1664,BR1663)))</f>
        <v>0</v>
      </c>
      <c r="BS1664">
        <f>IF($A1664="","",IF(BO1664=1,$D1664,MIN($D1664,BS1663)))</f>
        <v>0</v>
      </c>
      <c r="BT1664">
        <f>IF($A1664="","",IF(BP1664=1,F1664,""))</f>
        <v>0</v>
      </c>
    </row>
    <row r="1665" spans="1:72">
      <c r="A1665" s="27">
        <f>IF(Data!$A1665="","",Data!$A1665)</f>
        <v>0</v>
      </c>
      <c r="B1665">
        <f>IF(Data!$B1665="","",Data!$B1665)</f>
        <v>0</v>
      </c>
      <c r="C1665">
        <f>IF(Data!$C1665="","",Data!$C1665)</f>
        <v>0</v>
      </c>
      <c r="D1665">
        <f>IF(Data!$D1665="","",Data!$D1665)</f>
        <v>0</v>
      </c>
      <c r="E1665">
        <f>IF(Data!$E1665="","",Data!$E1665)</f>
        <v>0</v>
      </c>
      <c r="F1665">
        <f>IF($E1665="","",N(F1664)+1)</f>
        <v>0</v>
      </c>
      <c r="G1665">
        <f>IF(OR($E1665="",$E1664=""),"",LN($E1665/$E1664))</f>
        <v>0</v>
      </c>
      <c r="H1665">
        <f>IF($E1665="","",IF($E1664="",$E1665,$E1665*0.0952380952+H1664*0.9047619048))</f>
        <v>0</v>
      </c>
      <c r="I1665">
        <f>IF($E1665="","",IF($E1664="",$E1665,$E1665*0.0392156863+I1664*0.9607843137))</f>
        <v>0</v>
      </c>
      <c r="J1665">
        <f>IF($E1665="","",IF($E1664="",$E1665,$E1665*0.0198019802+J1664*0.9801980198))</f>
        <v>0</v>
      </c>
      <c r="K1665">
        <f>IF($E1665="","",IF($E1664="",$E1665,$E1665*0.0099502488+K1664*0.9900497512))</f>
        <v>0</v>
      </c>
      <c r="L1665">
        <f>IF(OR($E1665="",$E1664=""),"",MAX($E1665-$E1664,0))</f>
        <v>0</v>
      </c>
      <c r="M1665">
        <f>IF(OR($E1665="",$E1664=""),"",MAX($E1664-$E1665,0))</f>
        <v>0</v>
      </c>
      <c r="N1665">
        <f>IF(COUNT($E$2:$E1665)&lt;15,"",IF(AVERAGE($M$1652:$M$1665)=0,100,100-100/(1+AVERAGE($L$1652:$L$1665)/AVERAGE($M$1652:$M$1665))))</f>
        <v>0</v>
      </c>
      <c r="O1665">
        <f>IF($E1665="","",IF($E1664="",$E1665,$E1665*0.1538461538+O1664*0.8461538462))</f>
        <v>0</v>
      </c>
      <c r="P1665">
        <f>IF($E1665="","",IF($E1664="",$E1665,$E1665*0.0740740741+P1664*0.9259259259))</f>
        <v>0</v>
      </c>
      <c r="Q1665">
        <f>IF(OR(O1665="",P1665=""),"",O1665-P1665)</f>
        <v>0</v>
      </c>
      <c r="R1665">
        <f>IF(Q1665="","",IF(R1664="",Q1665,Q1665*0.2000000000+R1664*0.8000000000))</f>
        <v>0</v>
      </c>
      <c r="S1665">
        <f>IF(OR(Q1665="",R1665=""),"",Q1665-R1665)</f>
        <v>0</v>
      </c>
      <c r="T1665">
        <f>IF(COUNT($E$2:$E1665)&lt;14,"",MAX($C$1652:$C$1665))</f>
        <v>0</v>
      </c>
      <c r="U1665">
        <f>IF(COUNT($E$2:$E1665)&lt;14,"",MIN($D$1652:$D$1665))</f>
        <v>0</v>
      </c>
      <c r="V1665">
        <f>IF(OR(T1665="",U1665="",T1665=U1665),"",100*($E1665-U1665)/(T1665-U1665))</f>
        <v>0</v>
      </c>
      <c r="W1665">
        <f>IF(COUNT($V$1663:$V$1665)&lt;3,"",AVERAGE($V$1663:$V$1665))</f>
        <v>0</v>
      </c>
      <c r="X1665">
        <f>IF(COUNT($N$1652:$N$1665)&lt;14,"",MIN($N$1652:$N$1665))</f>
        <v>0</v>
      </c>
      <c r="Y1665">
        <f>IF(COUNT($N$1652:$N$1665)&lt;14,"",MAX($N$1652:$N$1665))</f>
        <v>0</v>
      </c>
      <c r="Z1665">
        <f>IF(OR(N1665="",X1665="",Y1665="",Y1665=X1665),"",100*(N1665-X1665)/(Y1665-X1665))</f>
        <v>0</v>
      </c>
      <c r="AA1665">
        <f>IF(COUNT($Z$1663:$Z$1665)&lt;3,"",AVERAGE($Z$1663:$Z$1665))</f>
        <v>0</v>
      </c>
      <c r="AB1665">
        <f>IF(COUNT($AA$1663:$AA$1665)&lt;3,"",AVERAGE($AA$1663:$AA$1665))</f>
        <v>0</v>
      </c>
      <c r="AC1665">
        <f>IF($E1665="","",MAX($C1665-$D1665,ABS($C1665-$E1664),ABS($D1665-$E1664)))</f>
        <v>0</v>
      </c>
      <c r="AD1665">
        <f>IF(COUNT($E$2:$E1665)&lt;15,"",AVERAGE($AC$1652:$AC$1665))</f>
        <v>0</v>
      </c>
      <c r="AE1665">
        <f>IF(OR($E1665="",$E1664=""),"",IF(AND(($C1665-$C1664)&gt;($D1664-$D1665),($C1665-$C1664)&gt;0),$C1665-$C1664,0))</f>
        <v>0</v>
      </c>
      <c r="AF1665">
        <f>IF(OR($E1665="",$E1664=""),"",IF(AND(($D1664-$D1665)&gt;($C1665-$C1664),($D1664-$D1665)&gt;0),$D1664-$D1665,0))</f>
        <v>0</v>
      </c>
      <c r="AG1665">
        <f>IF(COUNT($E$2:$E1665)&lt;15,"",IF(SUM($AC$1652:$AC$1665)=0,0,100*SUM($AE$1652:$AE$1665)/SUM($AC$1652:$AC$1665)))</f>
        <v>0</v>
      </c>
      <c r="AH1665">
        <f>IF(COUNT($E$2:$E1665)&lt;15,"",IF(SUM($AC$1652:$AC$1665)=0,0,100*SUM($AF$1652:$AF$1665)/SUM($AC$1652:$AC$1665)))</f>
        <v>0</v>
      </c>
      <c r="AI1665">
        <f>IF(OR(AG1665="",AH1665=""),"",IF((AG1665+AH1665)=0,0,100*ABS(AG1665-AH1665)/(AG1665+AH1665)))</f>
        <v>0</v>
      </c>
      <c r="AJ1665">
        <f>IF(COUNT($AI$1652:$AI$1665)&lt;14,"",AVERAGE($AI$1652:$AI$1665))</f>
        <v>0</v>
      </c>
      <c r="AK1665">
        <f>IF(COUNT($E$2:$E1665)&lt;20,"",AVERAGE($E$1646:$E$1665))</f>
        <v>0</v>
      </c>
      <c r="AL1665">
        <f>IF(COUNT($E$2:$E1665)&lt;20,"",STDEVP($E$1646:$E$1665))</f>
        <v>0</v>
      </c>
      <c r="AM1665">
        <f>IF(AK1665="","",AK1665+2*AL1665)</f>
        <v>0</v>
      </c>
      <c r="AN1665">
        <f>IF(AK1665="","",AK1665-2*AL1665)</f>
        <v>0</v>
      </c>
      <c r="AO1665">
        <f>IF(OR(AM1665="",AN1665="",AM1665=AN1665),"",($E1665-AN1665)/(AM1665-AN1665))</f>
        <v>0</v>
      </c>
      <c r="AP1665">
        <f>IF(OR(AM1665="",AK1665="",AK1665=0),"",(AM1665-AN1665)/AK1665)</f>
        <v>0</v>
      </c>
      <c r="AQ1665">
        <f>IF(COUNT($E$2:$E1665)&lt;20,"",MAX($C$1646:$C$1665))</f>
        <v>0</v>
      </c>
      <c r="AR1665">
        <f>IF(COUNT($E$2:$E1665)&lt;20,"",MIN($D$1646:$D$1665))</f>
        <v>0</v>
      </c>
      <c r="AS1665">
        <f>IF(OR(AQ1665="",AR1665=""),"",(AQ1665+AR1665)/2)</f>
        <v>0</v>
      </c>
      <c r="AT1665">
        <f>IF(COUNT($G$1646:$G$1665)&lt;20,"",STDEV($G$1646:$G$1665)*SQRT(252))</f>
        <v>0</v>
      </c>
      <c r="AU1665">
        <f>IF(COUNT($E$2:$E1665)&lt;9,"",(MAX($C$1657:$C$1665)+MIN($D$1657:$D$1665))/2)</f>
        <v>0</v>
      </c>
      <c r="AV1665">
        <f>IF(COUNT($E$2:$E1665)&lt;26,"",(MAX($C$1640:$C$1665)+MIN($D$1640:$D$1665))/2)</f>
        <v>0</v>
      </c>
      <c r="AW1665">
        <f>IF(OR(AU1665="",AV1665=""),"",(AU1665+AV1665)/2)</f>
        <v>0</v>
      </c>
      <c r="AX1665">
        <f>IF(COUNT($E$2:$E1665)&lt;52,"",(MAX($C$1614:$C$1665)+MIN($D$1614:$D$1665))/2)</f>
        <v>0</v>
      </c>
      <c r="AY1665">
        <f>IF(COUNT($E$2:$E1665)&lt;20,"",MAX($C$1566:$C$1665))</f>
        <v>0</v>
      </c>
      <c r="AZ1665">
        <f>IF(COUNT($E$2:$E1665)&lt;20,"",MIN($D$1566:$D$1665))</f>
        <v>0</v>
      </c>
      <c r="BA1665">
        <f>IF(COUNT($E$2:$E1665)&lt;20,"",SLOPE($E$1566:$E$1665,$F$1566:$F$1665))</f>
        <v>0</v>
      </c>
      <c r="BB1665">
        <f>IF(COUNT($E$2:$E1665)&lt;20,"",INTERCEPT($E$1566:$E$1665,$F$1566:$F$1665))</f>
        <v>0</v>
      </c>
      <c r="BC1665">
        <f>IF(OR(BA1665="",BB1665=""),"",BB1665+BA1665*F1665)</f>
        <v>0</v>
      </c>
      <c r="BD1665">
        <f>IF(COUNT($E$2:$E1665)&lt;20,"",STEYX($E$1566:$E$1665,$F$1566:$F$1665))</f>
        <v>0</v>
      </c>
      <c r="BE1665">
        <f>IF($E1665="","",IF(AND(COUNT($E$1666:$E$1669)&gt;=4,$C1665=MAX($C$1661:$C$1669)),$C1665,""))</f>
        <v>0</v>
      </c>
      <c r="BF1665">
        <f>IF($E1665="","",IF(AND(COUNT($E$1666:$E$1669)&gt;=4,$D1665=MIN($D$1661:$D$1669)),$D1665,""))</f>
        <v>0</v>
      </c>
      <c r="BG1665">
        <f>IF($A1665="","",$A1665-WEEKDAY($A1665,2)+1)</f>
        <v>0</v>
      </c>
      <c r="BH1665">
        <f>IF($A1665="","",IF($A1664="",1,IF(BG1665&lt;&gt;BG1664,1,0)))</f>
        <v>0</v>
      </c>
      <c r="BI1665">
        <f>IF($A1665="","",IF($A1666="",1,IF(BG1666&lt;&gt;BG1665,1,0)))</f>
        <v>0</v>
      </c>
      <c r="BJ1665">
        <f>IF($A1665="","",IF(BH1665=1,$B1665,BJ1664))</f>
        <v>0</v>
      </c>
      <c r="BK1665">
        <f>IF($A1665="","",IF(BH1665=1,$C1665,MAX($C1665,BK1664)))</f>
        <v>0</v>
      </c>
      <c r="BL1665">
        <f>IF($A1665="","",IF(BH1665=1,$D1665,MIN($D1665,BL1664)))</f>
        <v>0</v>
      </c>
      <c r="BM1665">
        <f>IF($A1665="","",IF(BI1665=1,F1665,""))</f>
        <v>0</v>
      </c>
      <c r="BN1665">
        <f>IF($A1665="","",DATE(YEAR($A1665),MONTH($A1665),1))</f>
        <v>0</v>
      </c>
      <c r="BO1665">
        <f>IF($A1665="","",IF($A1664="",1,IF(BN1665&lt;&gt;BN1664,1,0)))</f>
        <v>0</v>
      </c>
      <c r="BP1665">
        <f>IF($A1665="","",IF($A1666="",1,IF(BN1666&lt;&gt;BN1665,1,0)))</f>
        <v>0</v>
      </c>
      <c r="BQ1665">
        <f>IF($A1665="","",IF(BO1665=1,$B1665,BQ1664))</f>
        <v>0</v>
      </c>
      <c r="BR1665">
        <f>IF($A1665="","",IF(BO1665=1,$C1665,MAX($C1665,BR1664)))</f>
        <v>0</v>
      </c>
      <c r="BS1665">
        <f>IF($A1665="","",IF(BO1665=1,$D1665,MIN($D1665,BS1664)))</f>
        <v>0</v>
      </c>
      <c r="BT1665">
        <f>IF($A1665="","",IF(BP1665=1,F1665,""))</f>
        <v>0</v>
      </c>
    </row>
    <row r="1666" spans="1:72">
      <c r="A1666" s="27">
        <f>IF(Data!$A1666="","",Data!$A1666)</f>
        <v>0</v>
      </c>
      <c r="B1666">
        <f>IF(Data!$B1666="","",Data!$B1666)</f>
        <v>0</v>
      </c>
      <c r="C1666">
        <f>IF(Data!$C1666="","",Data!$C1666)</f>
        <v>0</v>
      </c>
      <c r="D1666">
        <f>IF(Data!$D1666="","",Data!$D1666)</f>
        <v>0</v>
      </c>
      <c r="E1666">
        <f>IF(Data!$E1666="","",Data!$E1666)</f>
        <v>0</v>
      </c>
      <c r="F1666">
        <f>IF($E1666="","",N(F1665)+1)</f>
        <v>0</v>
      </c>
      <c r="G1666">
        <f>IF(OR($E1666="",$E1665=""),"",LN($E1666/$E1665))</f>
        <v>0</v>
      </c>
      <c r="H1666">
        <f>IF($E1666="","",IF($E1665="",$E1666,$E1666*0.0952380952+H1665*0.9047619048))</f>
        <v>0</v>
      </c>
      <c r="I1666">
        <f>IF($E1666="","",IF($E1665="",$E1666,$E1666*0.0392156863+I1665*0.9607843137))</f>
        <v>0</v>
      </c>
      <c r="J1666">
        <f>IF($E1666="","",IF($E1665="",$E1666,$E1666*0.0198019802+J1665*0.9801980198))</f>
        <v>0</v>
      </c>
      <c r="K1666">
        <f>IF($E1666="","",IF($E1665="",$E1666,$E1666*0.0099502488+K1665*0.9900497512))</f>
        <v>0</v>
      </c>
      <c r="L1666">
        <f>IF(OR($E1666="",$E1665=""),"",MAX($E1666-$E1665,0))</f>
        <v>0</v>
      </c>
      <c r="M1666">
        <f>IF(OR($E1666="",$E1665=""),"",MAX($E1665-$E1666,0))</f>
        <v>0</v>
      </c>
      <c r="N1666">
        <f>IF(COUNT($E$2:$E1666)&lt;15,"",IF(AVERAGE($M$1653:$M$1666)=0,100,100-100/(1+AVERAGE($L$1653:$L$1666)/AVERAGE($M$1653:$M$1666))))</f>
        <v>0</v>
      </c>
      <c r="O1666">
        <f>IF($E1666="","",IF($E1665="",$E1666,$E1666*0.1538461538+O1665*0.8461538462))</f>
        <v>0</v>
      </c>
      <c r="P1666">
        <f>IF($E1666="","",IF($E1665="",$E1666,$E1666*0.0740740741+P1665*0.9259259259))</f>
        <v>0</v>
      </c>
      <c r="Q1666">
        <f>IF(OR(O1666="",P1666=""),"",O1666-P1666)</f>
        <v>0</v>
      </c>
      <c r="R1666">
        <f>IF(Q1666="","",IF(R1665="",Q1666,Q1666*0.2000000000+R1665*0.8000000000))</f>
        <v>0</v>
      </c>
      <c r="S1666">
        <f>IF(OR(Q1666="",R1666=""),"",Q1666-R1666)</f>
        <v>0</v>
      </c>
      <c r="T1666">
        <f>IF(COUNT($E$2:$E1666)&lt;14,"",MAX($C$1653:$C$1666))</f>
        <v>0</v>
      </c>
      <c r="U1666">
        <f>IF(COUNT($E$2:$E1666)&lt;14,"",MIN($D$1653:$D$1666))</f>
        <v>0</v>
      </c>
      <c r="V1666">
        <f>IF(OR(T1666="",U1666="",T1666=U1666),"",100*($E1666-U1666)/(T1666-U1666))</f>
        <v>0</v>
      </c>
      <c r="W1666">
        <f>IF(COUNT($V$1664:$V$1666)&lt;3,"",AVERAGE($V$1664:$V$1666))</f>
        <v>0</v>
      </c>
      <c r="X1666">
        <f>IF(COUNT($N$1653:$N$1666)&lt;14,"",MIN($N$1653:$N$1666))</f>
        <v>0</v>
      </c>
      <c r="Y1666">
        <f>IF(COUNT($N$1653:$N$1666)&lt;14,"",MAX($N$1653:$N$1666))</f>
        <v>0</v>
      </c>
      <c r="Z1666">
        <f>IF(OR(N1666="",X1666="",Y1666="",Y1666=X1666),"",100*(N1666-X1666)/(Y1666-X1666))</f>
        <v>0</v>
      </c>
      <c r="AA1666">
        <f>IF(COUNT($Z$1664:$Z$1666)&lt;3,"",AVERAGE($Z$1664:$Z$1666))</f>
        <v>0</v>
      </c>
      <c r="AB1666">
        <f>IF(COUNT($AA$1664:$AA$1666)&lt;3,"",AVERAGE($AA$1664:$AA$1666))</f>
        <v>0</v>
      </c>
      <c r="AC1666">
        <f>IF($E1666="","",MAX($C1666-$D1666,ABS($C1666-$E1665),ABS($D1666-$E1665)))</f>
        <v>0</v>
      </c>
      <c r="AD1666">
        <f>IF(COUNT($E$2:$E1666)&lt;15,"",AVERAGE($AC$1653:$AC$1666))</f>
        <v>0</v>
      </c>
      <c r="AE1666">
        <f>IF(OR($E1666="",$E1665=""),"",IF(AND(($C1666-$C1665)&gt;($D1665-$D1666),($C1666-$C1665)&gt;0),$C1666-$C1665,0))</f>
        <v>0</v>
      </c>
      <c r="AF1666">
        <f>IF(OR($E1666="",$E1665=""),"",IF(AND(($D1665-$D1666)&gt;($C1666-$C1665),($D1665-$D1666)&gt;0),$D1665-$D1666,0))</f>
        <v>0</v>
      </c>
      <c r="AG1666">
        <f>IF(COUNT($E$2:$E1666)&lt;15,"",IF(SUM($AC$1653:$AC$1666)=0,0,100*SUM($AE$1653:$AE$1666)/SUM($AC$1653:$AC$1666)))</f>
        <v>0</v>
      </c>
      <c r="AH1666">
        <f>IF(COUNT($E$2:$E1666)&lt;15,"",IF(SUM($AC$1653:$AC$1666)=0,0,100*SUM($AF$1653:$AF$1666)/SUM($AC$1653:$AC$1666)))</f>
        <v>0</v>
      </c>
      <c r="AI1666">
        <f>IF(OR(AG1666="",AH1666=""),"",IF((AG1666+AH1666)=0,0,100*ABS(AG1666-AH1666)/(AG1666+AH1666)))</f>
        <v>0</v>
      </c>
      <c r="AJ1666">
        <f>IF(COUNT($AI$1653:$AI$1666)&lt;14,"",AVERAGE($AI$1653:$AI$1666))</f>
        <v>0</v>
      </c>
      <c r="AK1666">
        <f>IF(COUNT($E$2:$E1666)&lt;20,"",AVERAGE($E$1647:$E$1666))</f>
        <v>0</v>
      </c>
      <c r="AL1666">
        <f>IF(COUNT($E$2:$E1666)&lt;20,"",STDEVP($E$1647:$E$1666))</f>
        <v>0</v>
      </c>
      <c r="AM1666">
        <f>IF(AK1666="","",AK1666+2*AL1666)</f>
        <v>0</v>
      </c>
      <c r="AN1666">
        <f>IF(AK1666="","",AK1666-2*AL1666)</f>
        <v>0</v>
      </c>
      <c r="AO1666">
        <f>IF(OR(AM1666="",AN1666="",AM1666=AN1666),"",($E1666-AN1666)/(AM1666-AN1666))</f>
        <v>0</v>
      </c>
      <c r="AP1666">
        <f>IF(OR(AM1666="",AK1666="",AK1666=0),"",(AM1666-AN1666)/AK1666)</f>
        <v>0</v>
      </c>
      <c r="AQ1666">
        <f>IF(COUNT($E$2:$E1666)&lt;20,"",MAX($C$1647:$C$1666))</f>
        <v>0</v>
      </c>
      <c r="AR1666">
        <f>IF(COUNT($E$2:$E1666)&lt;20,"",MIN($D$1647:$D$1666))</f>
        <v>0</v>
      </c>
      <c r="AS1666">
        <f>IF(OR(AQ1666="",AR1666=""),"",(AQ1666+AR1666)/2)</f>
        <v>0</v>
      </c>
      <c r="AT1666">
        <f>IF(COUNT($G$1647:$G$1666)&lt;20,"",STDEV($G$1647:$G$1666)*SQRT(252))</f>
        <v>0</v>
      </c>
      <c r="AU1666">
        <f>IF(COUNT($E$2:$E1666)&lt;9,"",(MAX($C$1658:$C$1666)+MIN($D$1658:$D$1666))/2)</f>
        <v>0</v>
      </c>
      <c r="AV1666">
        <f>IF(COUNT($E$2:$E1666)&lt;26,"",(MAX($C$1641:$C$1666)+MIN($D$1641:$D$1666))/2)</f>
        <v>0</v>
      </c>
      <c r="AW1666">
        <f>IF(OR(AU1666="",AV1666=""),"",(AU1666+AV1666)/2)</f>
        <v>0</v>
      </c>
      <c r="AX1666">
        <f>IF(COUNT($E$2:$E1666)&lt;52,"",(MAX($C$1615:$C$1666)+MIN($D$1615:$D$1666))/2)</f>
        <v>0</v>
      </c>
      <c r="AY1666">
        <f>IF(COUNT($E$2:$E1666)&lt;20,"",MAX($C$1567:$C$1666))</f>
        <v>0</v>
      </c>
      <c r="AZ1666">
        <f>IF(COUNT($E$2:$E1666)&lt;20,"",MIN($D$1567:$D$1666))</f>
        <v>0</v>
      </c>
      <c r="BA1666">
        <f>IF(COUNT($E$2:$E1666)&lt;20,"",SLOPE($E$1567:$E$1666,$F$1567:$F$1666))</f>
        <v>0</v>
      </c>
      <c r="BB1666">
        <f>IF(COUNT($E$2:$E1666)&lt;20,"",INTERCEPT($E$1567:$E$1666,$F$1567:$F$1666))</f>
        <v>0</v>
      </c>
      <c r="BC1666">
        <f>IF(OR(BA1666="",BB1666=""),"",BB1666+BA1666*F1666)</f>
        <v>0</v>
      </c>
      <c r="BD1666">
        <f>IF(COUNT($E$2:$E1666)&lt;20,"",STEYX($E$1567:$E$1666,$F$1567:$F$1666))</f>
        <v>0</v>
      </c>
      <c r="BE1666">
        <f>IF($E1666="","",IF(AND(COUNT($E$1667:$E$1670)&gt;=4,$C1666=MAX($C$1662:$C$1670)),$C1666,""))</f>
        <v>0</v>
      </c>
      <c r="BF1666">
        <f>IF($E1666="","",IF(AND(COUNT($E$1667:$E$1670)&gt;=4,$D1666=MIN($D$1662:$D$1670)),$D1666,""))</f>
        <v>0</v>
      </c>
      <c r="BG1666">
        <f>IF($A1666="","",$A1666-WEEKDAY($A1666,2)+1)</f>
        <v>0</v>
      </c>
      <c r="BH1666">
        <f>IF($A1666="","",IF($A1665="",1,IF(BG1666&lt;&gt;BG1665,1,0)))</f>
        <v>0</v>
      </c>
      <c r="BI1666">
        <f>IF($A1666="","",IF($A1667="",1,IF(BG1667&lt;&gt;BG1666,1,0)))</f>
        <v>0</v>
      </c>
      <c r="BJ1666">
        <f>IF($A1666="","",IF(BH1666=1,$B1666,BJ1665))</f>
        <v>0</v>
      </c>
      <c r="BK1666">
        <f>IF($A1666="","",IF(BH1666=1,$C1666,MAX($C1666,BK1665)))</f>
        <v>0</v>
      </c>
      <c r="BL1666">
        <f>IF($A1666="","",IF(BH1666=1,$D1666,MIN($D1666,BL1665)))</f>
        <v>0</v>
      </c>
      <c r="BM1666">
        <f>IF($A1666="","",IF(BI1666=1,F1666,""))</f>
        <v>0</v>
      </c>
      <c r="BN1666">
        <f>IF($A1666="","",DATE(YEAR($A1666),MONTH($A1666),1))</f>
        <v>0</v>
      </c>
      <c r="BO1666">
        <f>IF($A1666="","",IF($A1665="",1,IF(BN1666&lt;&gt;BN1665,1,0)))</f>
        <v>0</v>
      </c>
      <c r="BP1666">
        <f>IF($A1666="","",IF($A1667="",1,IF(BN1667&lt;&gt;BN1666,1,0)))</f>
        <v>0</v>
      </c>
      <c r="BQ1666">
        <f>IF($A1666="","",IF(BO1666=1,$B1666,BQ1665))</f>
        <v>0</v>
      </c>
      <c r="BR1666">
        <f>IF($A1666="","",IF(BO1666=1,$C1666,MAX($C1666,BR1665)))</f>
        <v>0</v>
      </c>
      <c r="BS1666">
        <f>IF($A1666="","",IF(BO1666=1,$D1666,MIN($D1666,BS1665)))</f>
        <v>0</v>
      </c>
      <c r="BT1666">
        <f>IF($A1666="","",IF(BP1666=1,F1666,""))</f>
        <v>0</v>
      </c>
    </row>
    <row r="1667" spans="1:72">
      <c r="A1667" s="27">
        <f>IF(Data!$A1667="","",Data!$A1667)</f>
        <v>0</v>
      </c>
      <c r="B1667">
        <f>IF(Data!$B1667="","",Data!$B1667)</f>
        <v>0</v>
      </c>
      <c r="C1667">
        <f>IF(Data!$C1667="","",Data!$C1667)</f>
        <v>0</v>
      </c>
      <c r="D1667">
        <f>IF(Data!$D1667="","",Data!$D1667)</f>
        <v>0</v>
      </c>
      <c r="E1667">
        <f>IF(Data!$E1667="","",Data!$E1667)</f>
        <v>0</v>
      </c>
      <c r="F1667">
        <f>IF($E1667="","",N(F1666)+1)</f>
        <v>0</v>
      </c>
      <c r="G1667">
        <f>IF(OR($E1667="",$E1666=""),"",LN($E1667/$E1666))</f>
        <v>0</v>
      </c>
      <c r="H1667">
        <f>IF($E1667="","",IF($E1666="",$E1667,$E1667*0.0952380952+H1666*0.9047619048))</f>
        <v>0</v>
      </c>
      <c r="I1667">
        <f>IF($E1667="","",IF($E1666="",$E1667,$E1667*0.0392156863+I1666*0.9607843137))</f>
        <v>0</v>
      </c>
      <c r="J1667">
        <f>IF($E1667="","",IF($E1666="",$E1667,$E1667*0.0198019802+J1666*0.9801980198))</f>
        <v>0</v>
      </c>
      <c r="K1667">
        <f>IF($E1667="","",IF($E1666="",$E1667,$E1667*0.0099502488+K1666*0.9900497512))</f>
        <v>0</v>
      </c>
      <c r="L1667">
        <f>IF(OR($E1667="",$E1666=""),"",MAX($E1667-$E1666,0))</f>
        <v>0</v>
      </c>
      <c r="M1667">
        <f>IF(OR($E1667="",$E1666=""),"",MAX($E1666-$E1667,0))</f>
        <v>0</v>
      </c>
      <c r="N1667">
        <f>IF(COUNT($E$2:$E1667)&lt;15,"",IF(AVERAGE($M$1654:$M$1667)=0,100,100-100/(1+AVERAGE($L$1654:$L$1667)/AVERAGE($M$1654:$M$1667))))</f>
        <v>0</v>
      </c>
      <c r="O1667">
        <f>IF($E1667="","",IF($E1666="",$E1667,$E1667*0.1538461538+O1666*0.8461538462))</f>
        <v>0</v>
      </c>
      <c r="P1667">
        <f>IF($E1667="","",IF($E1666="",$E1667,$E1667*0.0740740741+P1666*0.9259259259))</f>
        <v>0</v>
      </c>
      <c r="Q1667">
        <f>IF(OR(O1667="",P1667=""),"",O1667-P1667)</f>
        <v>0</v>
      </c>
      <c r="R1667">
        <f>IF(Q1667="","",IF(R1666="",Q1667,Q1667*0.2000000000+R1666*0.8000000000))</f>
        <v>0</v>
      </c>
      <c r="S1667">
        <f>IF(OR(Q1667="",R1667=""),"",Q1667-R1667)</f>
        <v>0</v>
      </c>
      <c r="T1667">
        <f>IF(COUNT($E$2:$E1667)&lt;14,"",MAX($C$1654:$C$1667))</f>
        <v>0</v>
      </c>
      <c r="U1667">
        <f>IF(COUNT($E$2:$E1667)&lt;14,"",MIN($D$1654:$D$1667))</f>
        <v>0</v>
      </c>
      <c r="V1667">
        <f>IF(OR(T1667="",U1667="",T1667=U1667),"",100*($E1667-U1667)/(T1667-U1667))</f>
        <v>0</v>
      </c>
      <c r="W1667">
        <f>IF(COUNT($V$1665:$V$1667)&lt;3,"",AVERAGE($V$1665:$V$1667))</f>
        <v>0</v>
      </c>
      <c r="X1667">
        <f>IF(COUNT($N$1654:$N$1667)&lt;14,"",MIN($N$1654:$N$1667))</f>
        <v>0</v>
      </c>
      <c r="Y1667">
        <f>IF(COUNT($N$1654:$N$1667)&lt;14,"",MAX($N$1654:$N$1667))</f>
        <v>0</v>
      </c>
      <c r="Z1667">
        <f>IF(OR(N1667="",X1667="",Y1667="",Y1667=X1667),"",100*(N1667-X1667)/(Y1667-X1667))</f>
        <v>0</v>
      </c>
      <c r="AA1667">
        <f>IF(COUNT($Z$1665:$Z$1667)&lt;3,"",AVERAGE($Z$1665:$Z$1667))</f>
        <v>0</v>
      </c>
      <c r="AB1667">
        <f>IF(COUNT($AA$1665:$AA$1667)&lt;3,"",AVERAGE($AA$1665:$AA$1667))</f>
        <v>0</v>
      </c>
      <c r="AC1667">
        <f>IF($E1667="","",MAX($C1667-$D1667,ABS($C1667-$E1666),ABS($D1667-$E1666)))</f>
        <v>0</v>
      </c>
      <c r="AD1667">
        <f>IF(COUNT($E$2:$E1667)&lt;15,"",AVERAGE($AC$1654:$AC$1667))</f>
        <v>0</v>
      </c>
      <c r="AE1667">
        <f>IF(OR($E1667="",$E1666=""),"",IF(AND(($C1667-$C1666)&gt;($D1666-$D1667),($C1667-$C1666)&gt;0),$C1667-$C1666,0))</f>
        <v>0</v>
      </c>
      <c r="AF1667">
        <f>IF(OR($E1667="",$E1666=""),"",IF(AND(($D1666-$D1667)&gt;($C1667-$C1666),($D1666-$D1667)&gt;0),$D1666-$D1667,0))</f>
        <v>0</v>
      </c>
      <c r="AG1667">
        <f>IF(COUNT($E$2:$E1667)&lt;15,"",IF(SUM($AC$1654:$AC$1667)=0,0,100*SUM($AE$1654:$AE$1667)/SUM($AC$1654:$AC$1667)))</f>
        <v>0</v>
      </c>
      <c r="AH1667">
        <f>IF(COUNT($E$2:$E1667)&lt;15,"",IF(SUM($AC$1654:$AC$1667)=0,0,100*SUM($AF$1654:$AF$1667)/SUM($AC$1654:$AC$1667)))</f>
        <v>0</v>
      </c>
      <c r="AI1667">
        <f>IF(OR(AG1667="",AH1667=""),"",IF((AG1667+AH1667)=0,0,100*ABS(AG1667-AH1667)/(AG1667+AH1667)))</f>
        <v>0</v>
      </c>
      <c r="AJ1667">
        <f>IF(COUNT($AI$1654:$AI$1667)&lt;14,"",AVERAGE($AI$1654:$AI$1667))</f>
        <v>0</v>
      </c>
      <c r="AK1667">
        <f>IF(COUNT($E$2:$E1667)&lt;20,"",AVERAGE($E$1648:$E$1667))</f>
        <v>0</v>
      </c>
      <c r="AL1667">
        <f>IF(COUNT($E$2:$E1667)&lt;20,"",STDEVP($E$1648:$E$1667))</f>
        <v>0</v>
      </c>
      <c r="AM1667">
        <f>IF(AK1667="","",AK1667+2*AL1667)</f>
        <v>0</v>
      </c>
      <c r="AN1667">
        <f>IF(AK1667="","",AK1667-2*AL1667)</f>
        <v>0</v>
      </c>
      <c r="AO1667">
        <f>IF(OR(AM1667="",AN1667="",AM1667=AN1667),"",($E1667-AN1667)/(AM1667-AN1667))</f>
        <v>0</v>
      </c>
      <c r="AP1667">
        <f>IF(OR(AM1667="",AK1667="",AK1667=0),"",(AM1667-AN1667)/AK1667)</f>
        <v>0</v>
      </c>
      <c r="AQ1667">
        <f>IF(COUNT($E$2:$E1667)&lt;20,"",MAX($C$1648:$C$1667))</f>
        <v>0</v>
      </c>
      <c r="AR1667">
        <f>IF(COUNT($E$2:$E1667)&lt;20,"",MIN($D$1648:$D$1667))</f>
        <v>0</v>
      </c>
      <c r="AS1667">
        <f>IF(OR(AQ1667="",AR1667=""),"",(AQ1667+AR1667)/2)</f>
        <v>0</v>
      </c>
      <c r="AT1667">
        <f>IF(COUNT($G$1648:$G$1667)&lt;20,"",STDEV($G$1648:$G$1667)*SQRT(252))</f>
        <v>0</v>
      </c>
      <c r="AU1667">
        <f>IF(COUNT($E$2:$E1667)&lt;9,"",(MAX($C$1659:$C$1667)+MIN($D$1659:$D$1667))/2)</f>
        <v>0</v>
      </c>
      <c r="AV1667">
        <f>IF(COUNT($E$2:$E1667)&lt;26,"",(MAX($C$1642:$C$1667)+MIN($D$1642:$D$1667))/2)</f>
        <v>0</v>
      </c>
      <c r="AW1667">
        <f>IF(OR(AU1667="",AV1667=""),"",(AU1667+AV1667)/2)</f>
        <v>0</v>
      </c>
      <c r="AX1667">
        <f>IF(COUNT($E$2:$E1667)&lt;52,"",(MAX($C$1616:$C$1667)+MIN($D$1616:$D$1667))/2)</f>
        <v>0</v>
      </c>
      <c r="AY1667">
        <f>IF(COUNT($E$2:$E1667)&lt;20,"",MAX($C$1568:$C$1667))</f>
        <v>0</v>
      </c>
      <c r="AZ1667">
        <f>IF(COUNT($E$2:$E1667)&lt;20,"",MIN($D$1568:$D$1667))</f>
        <v>0</v>
      </c>
      <c r="BA1667">
        <f>IF(COUNT($E$2:$E1667)&lt;20,"",SLOPE($E$1568:$E$1667,$F$1568:$F$1667))</f>
        <v>0</v>
      </c>
      <c r="BB1667">
        <f>IF(COUNT($E$2:$E1667)&lt;20,"",INTERCEPT($E$1568:$E$1667,$F$1568:$F$1667))</f>
        <v>0</v>
      </c>
      <c r="BC1667">
        <f>IF(OR(BA1667="",BB1667=""),"",BB1667+BA1667*F1667)</f>
        <v>0</v>
      </c>
      <c r="BD1667">
        <f>IF(COUNT($E$2:$E1667)&lt;20,"",STEYX($E$1568:$E$1667,$F$1568:$F$1667))</f>
        <v>0</v>
      </c>
      <c r="BE1667">
        <f>IF($E1667="","",IF(AND(COUNT($E$1668:$E$1671)&gt;=4,$C1667=MAX($C$1663:$C$1671)),$C1667,""))</f>
        <v>0</v>
      </c>
      <c r="BF1667">
        <f>IF($E1667="","",IF(AND(COUNT($E$1668:$E$1671)&gt;=4,$D1667=MIN($D$1663:$D$1671)),$D1667,""))</f>
        <v>0</v>
      </c>
      <c r="BG1667">
        <f>IF($A1667="","",$A1667-WEEKDAY($A1667,2)+1)</f>
        <v>0</v>
      </c>
      <c r="BH1667">
        <f>IF($A1667="","",IF($A1666="",1,IF(BG1667&lt;&gt;BG1666,1,0)))</f>
        <v>0</v>
      </c>
      <c r="BI1667">
        <f>IF($A1667="","",IF($A1668="",1,IF(BG1668&lt;&gt;BG1667,1,0)))</f>
        <v>0</v>
      </c>
      <c r="BJ1667">
        <f>IF($A1667="","",IF(BH1667=1,$B1667,BJ1666))</f>
        <v>0</v>
      </c>
      <c r="BK1667">
        <f>IF($A1667="","",IF(BH1667=1,$C1667,MAX($C1667,BK1666)))</f>
        <v>0</v>
      </c>
      <c r="BL1667">
        <f>IF($A1667="","",IF(BH1667=1,$D1667,MIN($D1667,BL1666)))</f>
        <v>0</v>
      </c>
      <c r="BM1667">
        <f>IF($A1667="","",IF(BI1667=1,F1667,""))</f>
        <v>0</v>
      </c>
      <c r="BN1667">
        <f>IF($A1667="","",DATE(YEAR($A1667),MONTH($A1667),1))</f>
        <v>0</v>
      </c>
      <c r="BO1667">
        <f>IF($A1667="","",IF($A1666="",1,IF(BN1667&lt;&gt;BN1666,1,0)))</f>
        <v>0</v>
      </c>
      <c r="BP1667">
        <f>IF($A1667="","",IF($A1668="",1,IF(BN1668&lt;&gt;BN1667,1,0)))</f>
        <v>0</v>
      </c>
      <c r="BQ1667">
        <f>IF($A1667="","",IF(BO1667=1,$B1667,BQ1666))</f>
        <v>0</v>
      </c>
      <c r="BR1667">
        <f>IF($A1667="","",IF(BO1667=1,$C1667,MAX($C1667,BR1666)))</f>
        <v>0</v>
      </c>
      <c r="BS1667">
        <f>IF($A1667="","",IF(BO1667=1,$D1667,MIN($D1667,BS1666)))</f>
        <v>0</v>
      </c>
      <c r="BT1667">
        <f>IF($A1667="","",IF(BP1667=1,F1667,""))</f>
        <v>0</v>
      </c>
    </row>
    <row r="1668" spans="1:72">
      <c r="A1668" s="27">
        <f>IF(Data!$A1668="","",Data!$A1668)</f>
        <v>0</v>
      </c>
      <c r="B1668">
        <f>IF(Data!$B1668="","",Data!$B1668)</f>
        <v>0</v>
      </c>
      <c r="C1668">
        <f>IF(Data!$C1668="","",Data!$C1668)</f>
        <v>0</v>
      </c>
      <c r="D1668">
        <f>IF(Data!$D1668="","",Data!$D1668)</f>
        <v>0</v>
      </c>
      <c r="E1668">
        <f>IF(Data!$E1668="","",Data!$E1668)</f>
        <v>0</v>
      </c>
      <c r="F1668">
        <f>IF($E1668="","",N(F1667)+1)</f>
        <v>0</v>
      </c>
      <c r="G1668">
        <f>IF(OR($E1668="",$E1667=""),"",LN($E1668/$E1667))</f>
        <v>0</v>
      </c>
      <c r="H1668">
        <f>IF($E1668="","",IF($E1667="",$E1668,$E1668*0.0952380952+H1667*0.9047619048))</f>
        <v>0</v>
      </c>
      <c r="I1668">
        <f>IF($E1668="","",IF($E1667="",$E1668,$E1668*0.0392156863+I1667*0.9607843137))</f>
        <v>0</v>
      </c>
      <c r="J1668">
        <f>IF($E1668="","",IF($E1667="",$E1668,$E1668*0.0198019802+J1667*0.9801980198))</f>
        <v>0</v>
      </c>
      <c r="K1668">
        <f>IF($E1668="","",IF($E1667="",$E1668,$E1668*0.0099502488+K1667*0.9900497512))</f>
        <v>0</v>
      </c>
      <c r="L1668">
        <f>IF(OR($E1668="",$E1667=""),"",MAX($E1668-$E1667,0))</f>
        <v>0</v>
      </c>
      <c r="M1668">
        <f>IF(OR($E1668="",$E1667=""),"",MAX($E1667-$E1668,0))</f>
        <v>0</v>
      </c>
      <c r="N1668">
        <f>IF(COUNT($E$2:$E1668)&lt;15,"",IF(AVERAGE($M$1655:$M$1668)=0,100,100-100/(1+AVERAGE($L$1655:$L$1668)/AVERAGE($M$1655:$M$1668))))</f>
        <v>0</v>
      </c>
      <c r="O1668">
        <f>IF($E1668="","",IF($E1667="",$E1668,$E1668*0.1538461538+O1667*0.8461538462))</f>
        <v>0</v>
      </c>
      <c r="P1668">
        <f>IF($E1668="","",IF($E1667="",$E1668,$E1668*0.0740740741+P1667*0.9259259259))</f>
        <v>0</v>
      </c>
      <c r="Q1668">
        <f>IF(OR(O1668="",P1668=""),"",O1668-P1668)</f>
        <v>0</v>
      </c>
      <c r="R1668">
        <f>IF(Q1668="","",IF(R1667="",Q1668,Q1668*0.2000000000+R1667*0.8000000000))</f>
        <v>0</v>
      </c>
      <c r="S1668">
        <f>IF(OR(Q1668="",R1668=""),"",Q1668-R1668)</f>
        <v>0</v>
      </c>
      <c r="T1668">
        <f>IF(COUNT($E$2:$E1668)&lt;14,"",MAX($C$1655:$C$1668))</f>
        <v>0</v>
      </c>
      <c r="U1668">
        <f>IF(COUNT($E$2:$E1668)&lt;14,"",MIN($D$1655:$D$1668))</f>
        <v>0</v>
      </c>
      <c r="V1668">
        <f>IF(OR(T1668="",U1668="",T1668=U1668),"",100*($E1668-U1668)/(T1668-U1668))</f>
        <v>0</v>
      </c>
      <c r="W1668">
        <f>IF(COUNT($V$1666:$V$1668)&lt;3,"",AVERAGE($V$1666:$V$1668))</f>
        <v>0</v>
      </c>
      <c r="X1668">
        <f>IF(COUNT($N$1655:$N$1668)&lt;14,"",MIN($N$1655:$N$1668))</f>
        <v>0</v>
      </c>
      <c r="Y1668">
        <f>IF(COUNT($N$1655:$N$1668)&lt;14,"",MAX($N$1655:$N$1668))</f>
        <v>0</v>
      </c>
      <c r="Z1668">
        <f>IF(OR(N1668="",X1668="",Y1668="",Y1668=X1668),"",100*(N1668-X1668)/(Y1668-X1668))</f>
        <v>0</v>
      </c>
      <c r="AA1668">
        <f>IF(COUNT($Z$1666:$Z$1668)&lt;3,"",AVERAGE($Z$1666:$Z$1668))</f>
        <v>0</v>
      </c>
      <c r="AB1668">
        <f>IF(COUNT($AA$1666:$AA$1668)&lt;3,"",AVERAGE($AA$1666:$AA$1668))</f>
        <v>0</v>
      </c>
      <c r="AC1668">
        <f>IF($E1668="","",MAX($C1668-$D1668,ABS($C1668-$E1667),ABS($D1668-$E1667)))</f>
        <v>0</v>
      </c>
      <c r="AD1668">
        <f>IF(COUNT($E$2:$E1668)&lt;15,"",AVERAGE($AC$1655:$AC$1668))</f>
        <v>0</v>
      </c>
      <c r="AE1668">
        <f>IF(OR($E1668="",$E1667=""),"",IF(AND(($C1668-$C1667)&gt;($D1667-$D1668),($C1668-$C1667)&gt;0),$C1668-$C1667,0))</f>
        <v>0</v>
      </c>
      <c r="AF1668">
        <f>IF(OR($E1668="",$E1667=""),"",IF(AND(($D1667-$D1668)&gt;($C1668-$C1667),($D1667-$D1668)&gt;0),$D1667-$D1668,0))</f>
        <v>0</v>
      </c>
      <c r="AG1668">
        <f>IF(COUNT($E$2:$E1668)&lt;15,"",IF(SUM($AC$1655:$AC$1668)=0,0,100*SUM($AE$1655:$AE$1668)/SUM($AC$1655:$AC$1668)))</f>
        <v>0</v>
      </c>
      <c r="AH1668">
        <f>IF(COUNT($E$2:$E1668)&lt;15,"",IF(SUM($AC$1655:$AC$1668)=0,0,100*SUM($AF$1655:$AF$1668)/SUM($AC$1655:$AC$1668)))</f>
        <v>0</v>
      </c>
      <c r="AI1668">
        <f>IF(OR(AG1668="",AH1668=""),"",IF((AG1668+AH1668)=0,0,100*ABS(AG1668-AH1668)/(AG1668+AH1668)))</f>
        <v>0</v>
      </c>
      <c r="AJ1668">
        <f>IF(COUNT($AI$1655:$AI$1668)&lt;14,"",AVERAGE($AI$1655:$AI$1668))</f>
        <v>0</v>
      </c>
      <c r="AK1668">
        <f>IF(COUNT($E$2:$E1668)&lt;20,"",AVERAGE($E$1649:$E$1668))</f>
        <v>0</v>
      </c>
      <c r="AL1668">
        <f>IF(COUNT($E$2:$E1668)&lt;20,"",STDEVP($E$1649:$E$1668))</f>
        <v>0</v>
      </c>
      <c r="AM1668">
        <f>IF(AK1668="","",AK1668+2*AL1668)</f>
        <v>0</v>
      </c>
      <c r="AN1668">
        <f>IF(AK1668="","",AK1668-2*AL1668)</f>
        <v>0</v>
      </c>
      <c r="AO1668">
        <f>IF(OR(AM1668="",AN1668="",AM1668=AN1668),"",($E1668-AN1668)/(AM1668-AN1668))</f>
        <v>0</v>
      </c>
      <c r="AP1668">
        <f>IF(OR(AM1668="",AK1668="",AK1668=0),"",(AM1668-AN1668)/AK1668)</f>
        <v>0</v>
      </c>
      <c r="AQ1668">
        <f>IF(COUNT($E$2:$E1668)&lt;20,"",MAX($C$1649:$C$1668))</f>
        <v>0</v>
      </c>
      <c r="AR1668">
        <f>IF(COUNT($E$2:$E1668)&lt;20,"",MIN($D$1649:$D$1668))</f>
        <v>0</v>
      </c>
      <c r="AS1668">
        <f>IF(OR(AQ1668="",AR1668=""),"",(AQ1668+AR1668)/2)</f>
        <v>0</v>
      </c>
      <c r="AT1668">
        <f>IF(COUNT($G$1649:$G$1668)&lt;20,"",STDEV($G$1649:$G$1668)*SQRT(252))</f>
        <v>0</v>
      </c>
      <c r="AU1668">
        <f>IF(COUNT($E$2:$E1668)&lt;9,"",(MAX($C$1660:$C$1668)+MIN($D$1660:$D$1668))/2)</f>
        <v>0</v>
      </c>
      <c r="AV1668">
        <f>IF(COUNT($E$2:$E1668)&lt;26,"",(MAX($C$1643:$C$1668)+MIN($D$1643:$D$1668))/2)</f>
        <v>0</v>
      </c>
      <c r="AW1668">
        <f>IF(OR(AU1668="",AV1668=""),"",(AU1668+AV1668)/2)</f>
        <v>0</v>
      </c>
      <c r="AX1668">
        <f>IF(COUNT($E$2:$E1668)&lt;52,"",(MAX($C$1617:$C$1668)+MIN($D$1617:$D$1668))/2)</f>
        <v>0</v>
      </c>
      <c r="AY1668">
        <f>IF(COUNT($E$2:$E1668)&lt;20,"",MAX($C$1569:$C$1668))</f>
        <v>0</v>
      </c>
      <c r="AZ1668">
        <f>IF(COUNT($E$2:$E1668)&lt;20,"",MIN($D$1569:$D$1668))</f>
        <v>0</v>
      </c>
      <c r="BA1668">
        <f>IF(COUNT($E$2:$E1668)&lt;20,"",SLOPE($E$1569:$E$1668,$F$1569:$F$1668))</f>
        <v>0</v>
      </c>
      <c r="BB1668">
        <f>IF(COUNT($E$2:$E1668)&lt;20,"",INTERCEPT($E$1569:$E$1668,$F$1569:$F$1668))</f>
        <v>0</v>
      </c>
      <c r="BC1668">
        <f>IF(OR(BA1668="",BB1668=""),"",BB1668+BA1668*F1668)</f>
        <v>0</v>
      </c>
      <c r="BD1668">
        <f>IF(COUNT($E$2:$E1668)&lt;20,"",STEYX($E$1569:$E$1668,$F$1569:$F$1668))</f>
        <v>0</v>
      </c>
      <c r="BE1668">
        <f>IF($E1668="","",IF(AND(COUNT($E$1669:$E$1672)&gt;=4,$C1668=MAX($C$1664:$C$1672)),$C1668,""))</f>
        <v>0</v>
      </c>
      <c r="BF1668">
        <f>IF($E1668="","",IF(AND(COUNT($E$1669:$E$1672)&gt;=4,$D1668=MIN($D$1664:$D$1672)),$D1668,""))</f>
        <v>0</v>
      </c>
      <c r="BG1668">
        <f>IF($A1668="","",$A1668-WEEKDAY($A1668,2)+1)</f>
        <v>0</v>
      </c>
      <c r="BH1668">
        <f>IF($A1668="","",IF($A1667="",1,IF(BG1668&lt;&gt;BG1667,1,0)))</f>
        <v>0</v>
      </c>
      <c r="BI1668">
        <f>IF($A1668="","",IF($A1669="",1,IF(BG1669&lt;&gt;BG1668,1,0)))</f>
        <v>0</v>
      </c>
      <c r="BJ1668">
        <f>IF($A1668="","",IF(BH1668=1,$B1668,BJ1667))</f>
        <v>0</v>
      </c>
      <c r="BK1668">
        <f>IF($A1668="","",IF(BH1668=1,$C1668,MAX($C1668,BK1667)))</f>
        <v>0</v>
      </c>
      <c r="BL1668">
        <f>IF($A1668="","",IF(BH1668=1,$D1668,MIN($D1668,BL1667)))</f>
        <v>0</v>
      </c>
      <c r="BM1668">
        <f>IF($A1668="","",IF(BI1668=1,F1668,""))</f>
        <v>0</v>
      </c>
      <c r="BN1668">
        <f>IF($A1668="","",DATE(YEAR($A1668),MONTH($A1668),1))</f>
        <v>0</v>
      </c>
      <c r="BO1668">
        <f>IF($A1668="","",IF($A1667="",1,IF(BN1668&lt;&gt;BN1667,1,0)))</f>
        <v>0</v>
      </c>
      <c r="BP1668">
        <f>IF($A1668="","",IF($A1669="",1,IF(BN1669&lt;&gt;BN1668,1,0)))</f>
        <v>0</v>
      </c>
      <c r="BQ1668">
        <f>IF($A1668="","",IF(BO1668=1,$B1668,BQ1667))</f>
        <v>0</v>
      </c>
      <c r="BR1668">
        <f>IF($A1668="","",IF(BO1668=1,$C1668,MAX($C1668,BR1667)))</f>
        <v>0</v>
      </c>
      <c r="BS1668">
        <f>IF($A1668="","",IF(BO1668=1,$D1668,MIN($D1668,BS1667)))</f>
        <v>0</v>
      </c>
      <c r="BT1668">
        <f>IF($A1668="","",IF(BP1668=1,F1668,""))</f>
        <v>0</v>
      </c>
    </row>
    <row r="1669" spans="1:72">
      <c r="A1669" s="27">
        <f>IF(Data!$A1669="","",Data!$A1669)</f>
        <v>0</v>
      </c>
      <c r="B1669">
        <f>IF(Data!$B1669="","",Data!$B1669)</f>
        <v>0</v>
      </c>
      <c r="C1669">
        <f>IF(Data!$C1669="","",Data!$C1669)</f>
        <v>0</v>
      </c>
      <c r="D1669">
        <f>IF(Data!$D1669="","",Data!$D1669)</f>
        <v>0</v>
      </c>
      <c r="E1669">
        <f>IF(Data!$E1669="","",Data!$E1669)</f>
        <v>0</v>
      </c>
      <c r="F1669">
        <f>IF($E1669="","",N(F1668)+1)</f>
        <v>0</v>
      </c>
      <c r="G1669">
        <f>IF(OR($E1669="",$E1668=""),"",LN($E1669/$E1668))</f>
        <v>0</v>
      </c>
      <c r="H1669">
        <f>IF($E1669="","",IF($E1668="",$E1669,$E1669*0.0952380952+H1668*0.9047619048))</f>
        <v>0</v>
      </c>
      <c r="I1669">
        <f>IF($E1669="","",IF($E1668="",$E1669,$E1669*0.0392156863+I1668*0.9607843137))</f>
        <v>0</v>
      </c>
      <c r="J1669">
        <f>IF($E1669="","",IF($E1668="",$E1669,$E1669*0.0198019802+J1668*0.9801980198))</f>
        <v>0</v>
      </c>
      <c r="K1669">
        <f>IF($E1669="","",IF($E1668="",$E1669,$E1669*0.0099502488+K1668*0.9900497512))</f>
        <v>0</v>
      </c>
      <c r="L1669">
        <f>IF(OR($E1669="",$E1668=""),"",MAX($E1669-$E1668,0))</f>
        <v>0</v>
      </c>
      <c r="M1669">
        <f>IF(OR($E1669="",$E1668=""),"",MAX($E1668-$E1669,0))</f>
        <v>0</v>
      </c>
      <c r="N1669">
        <f>IF(COUNT($E$2:$E1669)&lt;15,"",IF(AVERAGE($M$1656:$M$1669)=0,100,100-100/(1+AVERAGE($L$1656:$L$1669)/AVERAGE($M$1656:$M$1669))))</f>
        <v>0</v>
      </c>
      <c r="O1669">
        <f>IF($E1669="","",IF($E1668="",$E1669,$E1669*0.1538461538+O1668*0.8461538462))</f>
        <v>0</v>
      </c>
      <c r="P1669">
        <f>IF($E1669="","",IF($E1668="",$E1669,$E1669*0.0740740741+P1668*0.9259259259))</f>
        <v>0</v>
      </c>
      <c r="Q1669">
        <f>IF(OR(O1669="",P1669=""),"",O1669-P1669)</f>
        <v>0</v>
      </c>
      <c r="R1669">
        <f>IF(Q1669="","",IF(R1668="",Q1669,Q1669*0.2000000000+R1668*0.8000000000))</f>
        <v>0</v>
      </c>
      <c r="S1669">
        <f>IF(OR(Q1669="",R1669=""),"",Q1669-R1669)</f>
        <v>0</v>
      </c>
      <c r="T1669">
        <f>IF(COUNT($E$2:$E1669)&lt;14,"",MAX($C$1656:$C$1669))</f>
        <v>0</v>
      </c>
      <c r="U1669">
        <f>IF(COUNT($E$2:$E1669)&lt;14,"",MIN($D$1656:$D$1669))</f>
        <v>0</v>
      </c>
      <c r="V1669">
        <f>IF(OR(T1669="",U1669="",T1669=U1669),"",100*($E1669-U1669)/(T1669-U1669))</f>
        <v>0</v>
      </c>
      <c r="W1669">
        <f>IF(COUNT($V$1667:$V$1669)&lt;3,"",AVERAGE($V$1667:$V$1669))</f>
        <v>0</v>
      </c>
      <c r="X1669">
        <f>IF(COUNT($N$1656:$N$1669)&lt;14,"",MIN($N$1656:$N$1669))</f>
        <v>0</v>
      </c>
      <c r="Y1669">
        <f>IF(COUNT($N$1656:$N$1669)&lt;14,"",MAX($N$1656:$N$1669))</f>
        <v>0</v>
      </c>
      <c r="Z1669">
        <f>IF(OR(N1669="",X1669="",Y1669="",Y1669=X1669),"",100*(N1669-X1669)/(Y1669-X1669))</f>
        <v>0</v>
      </c>
      <c r="AA1669">
        <f>IF(COUNT($Z$1667:$Z$1669)&lt;3,"",AVERAGE($Z$1667:$Z$1669))</f>
        <v>0</v>
      </c>
      <c r="AB1669">
        <f>IF(COUNT($AA$1667:$AA$1669)&lt;3,"",AVERAGE($AA$1667:$AA$1669))</f>
        <v>0</v>
      </c>
      <c r="AC1669">
        <f>IF($E1669="","",MAX($C1669-$D1669,ABS($C1669-$E1668),ABS($D1669-$E1668)))</f>
        <v>0</v>
      </c>
      <c r="AD1669">
        <f>IF(COUNT($E$2:$E1669)&lt;15,"",AVERAGE($AC$1656:$AC$1669))</f>
        <v>0</v>
      </c>
      <c r="AE1669">
        <f>IF(OR($E1669="",$E1668=""),"",IF(AND(($C1669-$C1668)&gt;($D1668-$D1669),($C1669-$C1668)&gt;0),$C1669-$C1668,0))</f>
        <v>0</v>
      </c>
      <c r="AF1669">
        <f>IF(OR($E1669="",$E1668=""),"",IF(AND(($D1668-$D1669)&gt;($C1669-$C1668),($D1668-$D1669)&gt;0),$D1668-$D1669,0))</f>
        <v>0</v>
      </c>
      <c r="AG1669">
        <f>IF(COUNT($E$2:$E1669)&lt;15,"",IF(SUM($AC$1656:$AC$1669)=0,0,100*SUM($AE$1656:$AE$1669)/SUM($AC$1656:$AC$1669)))</f>
        <v>0</v>
      </c>
      <c r="AH1669">
        <f>IF(COUNT($E$2:$E1669)&lt;15,"",IF(SUM($AC$1656:$AC$1669)=0,0,100*SUM($AF$1656:$AF$1669)/SUM($AC$1656:$AC$1669)))</f>
        <v>0</v>
      </c>
      <c r="AI1669">
        <f>IF(OR(AG1669="",AH1669=""),"",IF((AG1669+AH1669)=0,0,100*ABS(AG1669-AH1669)/(AG1669+AH1669)))</f>
        <v>0</v>
      </c>
      <c r="AJ1669">
        <f>IF(COUNT($AI$1656:$AI$1669)&lt;14,"",AVERAGE($AI$1656:$AI$1669))</f>
        <v>0</v>
      </c>
      <c r="AK1669">
        <f>IF(COUNT($E$2:$E1669)&lt;20,"",AVERAGE($E$1650:$E$1669))</f>
        <v>0</v>
      </c>
      <c r="AL1669">
        <f>IF(COUNT($E$2:$E1669)&lt;20,"",STDEVP($E$1650:$E$1669))</f>
        <v>0</v>
      </c>
      <c r="AM1669">
        <f>IF(AK1669="","",AK1669+2*AL1669)</f>
        <v>0</v>
      </c>
      <c r="AN1669">
        <f>IF(AK1669="","",AK1669-2*AL1669)</f>
        <v>0</v>
      </c>
      <c r="AO1669">
        <f>IF(OR(AM1669="",AN1669="",AM1669=AN1669),"",($E1669-AN1669)/(AM1669-AN1669))</f>
        <v>0</v>
      </c>
      <c r="AP1669">
        <f>IF(OR(AM1669="",AK1669="",AK1669=0),"",(AM1669-AN1669)/AK1669)</f>
        <v>0</v>
      </c>
      <c r="AQ1669">
        <f>IF(COUNT($E$2:$E1669)&lt;20,"",MAX($C$1650:$C$1669))</f>
        <v>0</v>
      </c>
      <c r="AR1669">
        <f>IF(COUNT($E$2:$E1669)&lt;20,"",MIN($D$1650:$D$1669))</f>
        <v>0</v>
      </c>
      <c r="AS1669">
        <f>IF(OR(AQ1669="",AR1669=""),"",(AQ1669+AR1669)/2)</f>
        <v>0</v>
      </c>
      <c r="AT1669">
        <f>IF(COUNT($G$1650:$G$1669)&lt;20,"",STDEV($G$1650:$G$1669)*SQRT(252))</f>
        <v>0</v>
      </c>
      <c r="AU1669">
        <f>IF(COUNT($E$2:$E1669)&lt;9,"",(MAX($C$1661:$C$1669)+MIN($D$1661:$D$1669))/2)</f>
        <v>0</v>
      </c>
      <c r="AV1669">
        <f>IF(COUNT($E$2:$E1669)&lt;26,"",(MAX($C$1644:$C$1669)+MIN($D$1644:$D$1669))/2)</f>
        <v>0</v>
      </c>
      <c r="AW1669">
        <f>IF(OR(AU1669="",AV1669=""),"",(AU1669+AV1669)/2)</f>
        <v>0</v>
      </c>
      <c r="AX1669">
        <f>IF(COUNT($E$2:$E1669)&lt;52,"",(MAX($C$1618:$C$1669)+MIN($D$1618:$D$1669))/2)</f>
        <v>0</v>
      </c>
      <c r="AY1669">
        <f>IF(COUNT($E$2:$E1669)&lt;20,"",MAX($C$1570:$C$1669))</f>
        <v>0</v>
      </c>
      <c r="AZ1669">
        <f>IF(COUNT($E$2:$E1669)&lt;20,"",MIN($D$1570:$D$1669))</f>
        <v>0</v>
      </c>
      <c r="BA1669">
        <f>IF(COUNT($E$2:$E1669)&lt;20,"",SLOPE($E$1570:$E$1669,$F$1570:$F$1669))</f>
        <v>0</v>
      </c>
      <c r="BB1669">
        <f>IF(COUNT($E$2:$E1669)&lt;20,"",INTERCEPT($E$1570:$E$1669,$F$1570:$F$1669))</f>
        <v>0</v>
      </c>
      <c r="BC1669">
        <f>IF(OR(BA1669="",BB1669=""),"",BB1669+BA1669*F1669)</f>
        <v>0</v>
      </c>
      <c r="BD1669">
        <f>IF(COUNT($E$2:$E1669)&lt;20,"",STEYX($E$1570:$E$1669,$F$1570:$F$1669))</f>
        <v>0</v>
      </c>
      <c r="BE1669">
        <f>IF($E1669="","",IF(AND(COUNT($E$1670:$E$1673)&gt;=4,$C1669=MAX($C$1665:$C$1673)),$C1669,""))</f>
        <v>0</v>
      </c>
      <c r="BF1669">
        <f>IF($E1669="","",IF(AND(COUNT($E$1670:$E$1673)&gt;=4,$D1669=MIN($D$1665:$D$1673)),$D1669,""))</f>
        <v>0</v>
      </c>
      <c r="BG1669">
        <f>IF($A1669="","",$A1669-WEEKDAY($A1669,2)+1)</f>
        <v>0</v>
      </c>
      <c r="BH1669">
        <f>IF($A1669="","",IF($A1668="",1,IF(BG1669&lt;&gt;BG1668,1,0)))</f>
        <v>0</v>
      </c>
      <c r="BI1669">
        <f>IF($A1669="","",IF($A1670="",1,IF(BG1670&lt;&gt;BG1669,1,0)))</f>
        <v>0</v>
      </c>
      <c r="BJ1669">
        <f>IF($A1669="","",IF(BH1669=1,$B1669,BJ1668))</f>
        <v>0</v>
      </c>
      <c r="BK1669">
        <f>IF($A1669="","",IF(BH1669=1,$C1669,MAX($C1669,BK1668)))</f>
        <v>0</v>
      </c>
      <c r="BL1669">
        <f>IF($A1669="","",IF(BH1669=1,$D1669,MIN($D1669,BL1668)))</f>
        <v>0</v>
      </c>
      <c r="BM1669">
        <f>IF($A1669="","",IF(BI1669=1,F1669,""))</f>
        <v>0</v>
      </c>
      <c r="BN1669">
        <f>IF($A1669="","",DATE(YEAR($A1669),MONTH($A1669),1))</f>
        <v>0</v>
      </c>
      <c r="BO1669">
        <f>IF($A1669="","",IF($A1668="",1,IF(BN1669&lt;&gt;BN1668,1,0)))</f>
        <v>0</v>
      </c>
      <c r="BP1669">
        <f>IF($A1669="","",IF($A1670="",1,IF(BN1670&lt;&gt;BN1669,1,0)))</f>
        <v>0</v>
      </c>
      <c r="BQ1669">
        <f>IF($A1669="","",IF(BO1669=1,$B1669,BQ1668))</f>
        <v>0</v>
      </c>
      <c r="BR1669">
        <f>IF($A1669="","",IF(BO1669=1,$C1669,MAX($C1669,BR1668)))</f>
        <v>0</v>
      </c>
      <c r="BS1669">
        <f>IF($A1669="","",IF(BO1669=1,$D1669,MIN($D1669,BS1668)))</f>
        <v>0</v>
      </c>
      <c r="BT1669">
        <f>IF($A1669="","",IF(BP1669=1,F1669,""))</f>
        <v>0</v>
      </c>
    </row>
    <row r="1670" spans="1:72">
      <c r="A1670" s="27">
        <f>IF(Data!$A1670="","",Data!$A1670)</f>
        <v>0</v>
      </c>
      <c r="B1670">
        <f>IF(Data!$B1670="","",Data!$B1670)</f>
        <v>0</v>
      </c>
      <c r="C1670">
        <f>IF(Data!$C1670="","",Data!$C1670)</f>
        <v>0</v>
      </c>
      <c r="D1670">
        <f>IF(Data!$D1670="","",Data!$D1670)</f>
        <v>0</v>
      </c>
      <c r="E1670">
        <f>IF(Data!$E1670="","",Data!$E1670)</f>
        <v>0</v>
      </c>
      <c r="F1670">
        <f>IF($E1670="","",N(F1669)+1)</f>
        <v>0</v>
      </c>
      <c r="G1670">
        <f>IF(OR($E1670="",$E1669=""),"",LN($E1670/$E1669))</f>
        <v>0</v>
      </c>
      <c r="H1670">
        <f>IF($E1670="","",IF($E1669="",$E1670,$E1670*0.0952380952+H1669*0.9047619048))</f>
        <v>0</v>
      </c>
      <c r="I1670">
        <f>IF($E1670="","",IF($E1669="",$E1670,$E1670*0.0392156863+I1669*0.9607843137))</f>
        <v>0</v>
      </c>
      <c r="J1670">
        <f>IF($E1670="","",IF($E1669="",$E1670,$E1670*0.0198019802+J1669*0.9801980198))</f>
        <v>0</v>
      </c>
      <c r="K1670">
        <f>IF($E1670="","",IF($E1669="",$E1670,$E1670*0.0099502488+K1669*0.9900497512))</f>
        <v>0</v>
      </c>
      <c r="L1670">
        <f>IF(OR($E1670="",$E1669=""),"",MAX($E1670-$E1669,0))</f>
        <v>0</v>
      </c>
      <c r="M1670">
        <f>IF(OR($E1670="",$E1669=""),"",MAX($E1669-$E1670,0))</f>
        <v>0</v>
      </c>
      <c r="N1670">
        <f>IF(COUNT($E$2:$E1670)&lt;15,"",IF(AVERAGE($M$1657:$M$1670)=0,100,100-100/(1+AVERAGE($L$1657:$L$1670)/AVERAGE($M$1657:$M$1670))))</f>
        <v>0</v>
      </c>
      <c r="O1670">
        <f>IF($E1670="","",IF($E1669="",$E1670,$E1670*0.1538461538+O1669*0.8461538462))</f>
        <v>0</v>
      </c>
      <c r="P1670">
        <f>IF($E1670="","",IF($E1669="",$E1670,$E1670*0.0740740741+P1669*0.9259259259))</f>
        <v>0</v>
      </c>
      <c r="Q1670">
        <f>IF(OR(O1670="",P1670=""),"",O1670-P1670)</f>
        <v>0</v>
      </c>
      <c r="R1670">
        <f>IF(Q1670="","",IF(R1669="",Q1670,Q1670*0.2000000000+R1669*0.8000000000))</f>
        <v>0</v>
      </c>
      <c r="S1670">
        <f>IF(OR(Q1670="",R1670=""),"",Q1670-R1670)</f>
        <v>0</v>
      </c>
      <c r="T1670">
        <f>IF(COUNT($E$2:$E1670)&lt;14,"",MAX($C$1657:$C$1670))</f>
        <v>0</v>
      </c>
      <c r="U1670">
        <f>IF(COUNT($E$2:$E1670)&lt;14,"",MIN($D$1657:$D$1670))</f>
        <v>0</v>
      </c>
      <c r="V1670">
        <f>IF(OR(T1670="",U1670="",T1670=U1670),"",100*($E1670-U1670)/(T1670-U1670))</f>
        <v>0</v>
      </c>
      <c r="W1670">
        <f>IF(COUNT($V$1668:$V$1670)&lt;3,"",AVERAGE($V$1668:$V$1670))</f>
        <v>0</v>
      </c>
      <c r="X1670">
        <f>IF(COUNT($N$1657:$N$1670)&lt;14,"",MIN($N$1657:$N$1670))</f>
        <v>0</v>
      </c>
      <c r="Y1670">
        <f>IF(COUNT($N$1657:$N$1670)&lt;14,"",MAX($N$1657:$N$1670))</f>
        <v>0</v>
      </c>
      <c r="Z1670">
        <f>IF(OR(N1670="",X1670="",Y1670="",Y1670=X1670),"",100*(N1670-X1670)/(Y1670-X1670))</f>
        <v>0</v>
      </c>
      <c r="AA1670">
        <f>IF(COUNT($Z$1668:$Z$1670)&lt;3,"",AVERAGE($Z$1668:$Z$1670))</f>
        <v>0</v>
      </c>
      <c r="AB1670">
        <f>IF(COUNT($AA$1668:$AA$1670)&lt;3,"",AVERAGE($AA$1668:$AA$1670))</f>
        <v>0</v>
      </c>
      <c r="AC1670">
        <f>IF($E1670="","",MAX($C1670-$D1670,ABS($C1670-$E1669),ABS($D1670-$E1669)))</f>
        <v>0</v>
      </c>
      <c r="AD1670">
        <f>IF(COUNT($E$2:$E1670)&lt;15,"",AVERAGE($AC$1657:$AC$1670))</f>
        <v>0</v>
      </c>
      <c r="AE1670">
        <f>IF(OR($E1670="",$E1669=""),"",IF(AND(($C1670-$C1669)&gt;($D1669-$D1670),($C1670-$C1669)&gt;0),$C1670-$C1669,0))</f>
        <v>0</v>
      </c>
      <c r="AF1670">
        <f>IF(OR($E1670="",$E1669=""),"",IF(AND(($D1669-$D1670)&gt;($C1670-$C1669),($D1669-$D1670)&gt;0),$D1669-$D1670,0))</f>
        <v>0</v>
      </c>
      <c r="AG1670">
        <f>IF(COUNT($E$2:$E1670)&lt;15,"",IF(SUM($AC$1657:$AC$1670)=0,0,100*SUM($AE$1657:$AE$1670)/SUM($AC$1657:$AC$1670)))</f>
        <v>0</v>
      </c>
      <c r="AH1670">
        <f>IF(COUNT($E$2:$E1670)&lt;15,"",IF(SUM($AC$1657:$AC$1670)=0,0,100*SUM($AF$1657:$AF$1670)/SUM($AC$1657:$AC$1670)))</f>
        <v>0</v>
      </c>
      <c r="AI1670">
        <f>IF(OR(AG1670="",AH1670=""),"",IF((AG1670+AH1670)=0,0,100*ABS(AG1670-AH1670)/(AG1670+AH1670)))</f>
        <v>0</v>
      </c>
      <c r="AJ1670">
        <f>IF(COUNT($AI$1657:$AI$1670)&lt;14,"",AVERAGE($AI$1657:$AI$1670))</f>
        <v>0</v>
      </c>
      <c r="AK1670">
        <f>IF(COUNT($E$2:$E1670)&lt;20,"",AVERAGE($E$1651:$E$1670))</f>
        <v>0</v>
      </c>
      <c r="AL1670">
        <f>IF(COUNT($E$2:$E1670)&lt;20,"",STDEVP($E$1651:$E$1670))</f>
        <v>0</v>
      </c>
      <c r="AM1670">
        <f>IF(AK1670="","",AK1670+2*AL1670)</f>
        <v>0</v>
      </c>
      <c r="AN1670">
        <f>IF(AK1670="","",AK1670-2*AL1670)</f>
        <v>0</v>
      </c>
      <c r="AO1670">
        <f>IF(OR(AM1670="",AN1670="",AM1670=AN1670),"",($E1670-AN1670)/(AM1670-AN1670))</f>
        <v>0</v>
      </c>
      <c r="AP1670">
        <f>IF(OR(AM1670="",AK1670="",AK1670=0),"",(AM1670-AN1670)/AK1670)</f>
        <v>0</v>
      </c>
      <c r="AQ1670">
        <f>IF(COUNT($E$2:$E1670)&lt;20,"",MAX($C$1651:$C$1670))</f>
        <v>0</v>
      </c>
      <c r="AR1670">
        <f>IF(COUNT($E$2:$E1670)&lt;20,"",MIN($D$1651:$D$1670))</f>
        <v>0</v>
      </c>
      <c r="AS1670">
        <f>IF(OR(AQ1670="",AR1670=""),"",(AQ1670+AR1670)/2)</f>
        <v>0</v>
      </c>
      <c r="AT1670">
        <f>IF(COUNT($G$1651:$G$1670)&lt;20,"",STDEV($G$1651:$G$1670)*SQRT(252))</f>
        <v>0</v>
      </c>
      <c r="AU1670">
        <f>IF(COUNT($E$2:$E1670)&lt;9,"",(MAX($C$1662:$C$1670)+MIN($D$1662:$D$1670))/2)</f>
        <v>0</v>
      </c>
      <c r="AV1670">
        <f>IF(COUNT($E$2:$E1670)&lt;26,"",(MAX($C$1645:$C$1670)+MIN($D$1645:$D$1670))/2)</f>
        <v>0</v>
      </c>
      <c r="AW1670">
        <f>IF(OR(AU1670="",AV1670=""),"",(AU1670+AV1670)/2)</f>
        <v>0</v>
      </c>
      <c r="AX1670">
        <f>IF(COUNT($E$2:$E1670)&lt;52,"",(MAX($C$1619:$C$1670)+MIN($D$1619:$D$1670))/2)</f>
        <v>0</v>
      </c>
      <c r="AY1670">
        <f>IF(COUNT($E$2:$E1670)&lt;20,"",MAX($C$1571:$C$1670))</f>
        <v>0</v>
      </c>
      <c r="AZ1670">
        <f>IF(COUNT($E$2:$E1670)&lt;20,"",MIN($D$1571:$D$1670))</f>
        <v>0</v>
      </c>
      <c r="BA1670">
        <f>IF(COUNT($E$2:$E1670)&lt;20,"",SLOPE($E$1571:$E$1670,$F$1571:$F$1670))</f>
        <v>0</v>
      </c>
      <c r="BB1670">
        <f>IF(COUNT($E$2:$E1670)&lt;20,"",INTERCEPT($E$1571:$E$1670,$F$1571:$F$1670))</f>
        <v>0</v>
      </c>
      <c r="BC1670">
        <f>IF(OR(BA1670="",BB1670=""),"",BB1670+BA1670*F1670)</f>
        <v>0</v>
      </c>
      <c r="BD1670">
        <f>IF(COUNT($E$2:$E1670)&lt;20,"",STEYX($E$1571:$E$1670,$F$1571:$F$1670))</f>
        <v>0</v>
      </c>
      <c r="BE1670">
        <f>IF($E1670="","",IF(AND(COUNT($E$1671:$E$1674)&gt;=4,$C1670=MAX($C$1666:$C$1674)),$C1670,""))</f>
        <v>0</v>
      </c>
      <c r="BF1670">
        <f>IF($E1670="","",IF(AND(COUNT($E$1671:$E$1674)&gt;=4,$D1670=MIN($D$1666:$D$1674)),$D1670,""))</f>
        <v>0</v>
      </c>
      <c r="BG1670">
        <f>IF($A1670="","",$A1670-WEEKDAY($A1670,2)+1)</f>
        <v>0</v>
      </c>
      <c r="BH1670">
        <f>IF($A1670="","",IF($A1669="",1,IF(BG1670&lt;&gt;BG1669,1,0)))</f>
        <v>0</v>
      </c>
      <c r="BI1670">
        <f>IF($A1670="","",IF($A1671="",1,IF(BG1671&lt;&gt;BG1670,1,0)))</f>
        <v>0</v>
      </c>
      <c r="BJ1670">
        <f>IF($A1670="","",IF(BH1670=1,$B1670,BJ1669))</f>
        <v>0</v>
      </c>
      <c r="BK1670">
        <f>IF($A1670="","",IF(BH1670=1,$C1670,MAX($C1670,BK1669)))</f>
        <v>0</v>
      </c>
      <c r="BL1670">
        <f>IF($A1670="","",IF(BH1670=1,$D1670,MIN($D1670,BL1669)))</f>
        <v>0</v>
      </c>
      <c r="BM1670">
        <f>IF($A1670="","",IF(BI1670=1,F1670,""))</f>
        <v>0</v>
      </c>
      <c r="BN1670">
        <f>IF($A1670="","",DATE(YEAR($A1670),MONTH($A1670),1))</f>
        <v>0</v>
      </c>
      <c r="BO1670">
        <f>IF($A1670="","",IF($A1669="",1,IF(BN1670&lt;&gt;BN1669,1,0)))</f>
        <v>0</v>
      </c>
      <c r="BP1670">
        <f>IF($A1670="","",IF($A1671="",1,IF(BN1671&lt;&gt;BN1670,1,0)))</f>
        <v>0</v>
      </c>
      <c r="BQ1670">
        <f>IF($A1670="","",IF(BO1670=1,$B1670,BQ1669))</f>
        <v>0</v>
      </c>
      <c r="BR1670">
        <f>IF($A1670="","",IF(BO1670=1,$C1670,MAX($C1670,BR1669)))</f>
        <v>0</v>
      </c>
      <c r="BS1670">
        <f>IF($A1670="","",IF(BO1670=1,$D1670,MIN($D1670,BS1669)))</f>
        <v>0</v>
      </c>
      <c r="BT1670">
        <f>IF($A1670="","",IF(BP1670=1,F1670,""))</f>
        <v>0</v>
      </c>
    </row>
    <row r="1671" spans="1:72">
      <c r="A1671" s="27">
        <f>IF(Data!$A1671="","",Data!$A1671)</f>
        <v>0</v>
      </c>
      <c r="B1671">
        <f>IF(Data!$B1671="","",Data!$B1671)</f>
        <v>0</v>
      </c>
      <c r="C1671">
        <f>IF(Data!$C1671="","",Data!$C1671)</f>
        <v>0</v>
      </c>
      <c r="D1671">
        <f>IF(Data!$D1671="","",Data!$D1671)</f>
        <v>0</v>
      </c>
      <c r="E1671">
        <f>IF(Data!$E1671="","",Data!$E1671)</f>
        <v>0</v>
      </c>
      <c r="F1671">
        <f>IF($E1671="","",N(F1670)+1)</f>
        <v>0</v>
      </c>
      <c r="G1671">
        <f>IF(OR($E1671="",$E1670=""),"",LN($E1671/$E1670))</f>
        <v>0</v>
      </c>
      <c r="H1671">
        <f>IF($E1671="","",IF($E1670="",$E1671,$E1671*0.0952380952+H1670*0.9047619048))</f>
        <v>0</v>
      </c>
      <c r="I1671">
        <f>IF($E1671="","",IF($E1670="",$E1671,$E1671*0.0392156863+I1670*0.9607843137))</f>
        <v>0</v>
      </c>
      <c r="J1671">
        <f>IF($E1671="","",IF($E1670="",$E1671,$E1671*0.0198019802+J1670*0.9801980198))</f>
        <v>0</v>
      </c>
      <c r="K1671">
        <f>IF($E1671="","",IF($E1670="",$E1671,$E1671*0.0099502488+K1670*0.9900497512))</f>
        <v>0</v>
      </c>
      <c r="L1671">
        <f>IF(OR($E1671="",$E1670=""),"",MAX($E1671-$E1670,0))</f>
        <v>0</v>
      </c>
      <c r="M1671">
        <f>IF(OR($E1671="",$E1670=""),"",MAX($E1670-$E1671,0))</f>
        <v>0</v>
      </c>
      <c r="N1671">
        <f>IF(COUNT($E$2:$E1671)&lt;15,"",IF(AVERAGE($M$1658:$M$1671)=0,100,100-100/(1+AVERAGE($L$1658:$L$1671)/AVERAGE($M$1658:$M$1671))))</f>
        <v>0</v>
      </c>
      <c r="O1671">
        <f>IF($E1671="","",IF($E1670="",$E1671,$E1671*0.1538461538+O1670*0.8461538462))</f>
        <v>0</v>
      </c>
      <c r="P1671">
        <f>IF($E1671="","",IF($E1670="",$E1671,$E1671*0.0740740741+P1670*0.9259259259))</f>
        <v>0</v>
      </c>
      <c r="Q1671">
        <f>IF(OR(O1671="",P1671=""),"",O1671-P1671)</f>
        <v>0</v>
      </c>
      <c r="R1671">
        <f>IF(Q1671="","",IF(R1670="",Q1671,Q1671*0.2000000000+R1670*0.8000000000))</f>
        <v>0</v>
      </c>
      <c r="S1671">
        <f>IF(OR(Q1671="",R1671=""),"",Q1671-R1671)</f>
        <v>0</v>
      </c>
      <c r="T1671">
        <f>IF(COUNT($E$2:$E1671)&lt;14,"",MAX($C$1658:$C$1671))</f>
        <v>0</v>
      </c>
      <c r="U1671">
        <f>IF(COUNT($E$2:$E1671)&lt;14,"",MIN($D$1658:$D$1671))</f>
        <v>0</v>
      </c>
      <c r="V1671">
        <f>IF(OR(T1671="",U1671="",T1671=U1671),"",100*($E1671-U1671)/(T1671-U1671))</f>
        <v>0</v>
      </c>
      <c r="W1671">
        <f>IF(COUNT($V$1669:$V$1671)&lt;3,"",AVERAGE($V$1669:$V$1671))</f>
        <v>0</v>
      </c>
      <c r="X1671">
        <f>IF(COUNT($N$1658:$N$1671)&lt;14,"",MIN($N$1658:$N$1671))</f>
        <v>0</v>
      </c>
      <c r="Y1671">
        <f>IF(COUNT($N$1658:$N$1671)&lt;14,"",MAX($N$1658:$N$1671))</f>
        <v>0</v>
      </c>
      <c r="Z1671">
        <f>IF(OR(N1671="",X1671="",Y1671="",Y1671=X1671),"",100*(N1671-X1671)/(Y1671-X1671))</f>
        <v>0</v>
      </c>
      <c r="AA1671">
        <f>IF(COUNT($Z$1669:$Z$1671)&lt;3,"",AVERAGE($Z$1669:$Z$1671))</f>
        <v>0</v>
      </c>
      <c r="AB1671">
        <f>IF(COUNT($AA$1669:$AA$1671)&lt;3,"",AVERAGE($AA$1669:$AA$1671))</f>
        <v>0</v>
      </c>
      <c r="AC1671">
        <f>IF($E1671="","",MAX($C1671-$D1671,ABS($C1671-$E1670),ABS($D1671-$E1670)))</f>
        <v>0</v>
      </c>
      <c r="AD1671">
        <f>IF(COUNT($E$2:$E1671)&lt;15,"",AVERAGE($AC$1658:$AC$1671))</f>
        <v>0</v>
      </c>
      <c r="AE1671">
        <f>IF(OR($E1671="",$E1670=""),"",IF(AND(($C1671-$C1670)&gt;($D1670-$D1671),($C1671-$C1670)&gt;0),$C1671-$C1670,0))</f>
        <v>0</v>
      </c>
      <c r="AF1671">
        <f>IF(OR($E1671="",$E1670=""),"",IF(AND(($D1670-$D1671)&gt;($C1671-$C1670),($D1670-$D1671)&gt;0),$D1670-$D1671,0))</f>
        <v>0</v>
      </c>
      <c r="AG1671">
        <f>IF(COUNT($E$2:$E1671)&lt;15,"",IF(SUM($AC$1658:$AC$1671)=0,0,100*SUM($AE$1658:$AE$1671)/SUM($AC$1658:$AC$1671)))</f>
        <v>0</v>
      </c>
      <c r="AH1671">
        <f>IF(COUNT($E$2:$E1671)&lt;15,"",IF(SUM($AC$1658:$AC$1671)=0,0,100*SUM($AF$1658:$AF$1671)/SUM($AC$1658:$AC$1671)))</f>
        <v>0</v>
      </c>
      <c r="AI1671">
        <f>IF(OR(AG1671="",AH1671=""),"",IF((AG1671+AH1671)=0,0,100*ABS(AG1671-AH1671)/(AG1671+AH1671)))</f>
        <v>0</v>
      </c>
      <c r="AJ1671">
        <f>IF(COUNT($AI$1658:$AI$1671)&lt;14,"",AVERAGE($AI$1658:$AI$1671))</f>
        <v>0</v>
      </c>
      <c r="AK1671">
        <f>IF(COUNT($E$2:$E1671)&lt;20,"",AVERAGE($E$1652:$E$1671))</f>
        <v>0</v>
      </c>
      <c r="AL1671">
        <f>IF(COUNT($E$2:$E1671)&lt;20,"",STDEVP($E$1652:$E$1671))</f>
        <v>0</v>
      </c>
      <c r="AM1671">
        <f>IF(AK1671="","",AK1671+2*AL1671)</f>
        <v>0</v>
      </c>
      <c r="AN1671">
        <f>IF(AK1671="","",AK1671-2*AL1671)</f>
        <v>0</v>
      </c>
      <c r="AO1671">
        <f>IF(OR(AM1671="",AN1671="",AM1671=AN1671),"",($E1671-AN1671)/(AM1671-AN1671))</f>
        <v>0</v>
      </c>
      <c r="AP1671">
        <f>IF(OR(AM1671="",AK1671="",AK1671=0),"",(AM1671-AN1671)/AK1671)</f>
        <v>0</v>
      </c>
      <c r="AQ1671">
        <f>IF(COUNT($E$2:$E1671)&lt;20,"",MAX($C$1652:$C$1671))</f>
        <v>0</v>
      </c>
      <c r="AR1671">
        <f>IF(COUNT($E$2:$E1671)&lt;20,"",MIN($D$1652:$D$1671))</f>
        <v>0</v>
      </c>
      <c r="AS1671">
        <f>IF(OR(AQ1671="",AR1671=""),"",(AQ1671+AR1671)/2)</f>
        <v>0</v>
      </c>
      <c r="AT1671">
        <f>IF(COUNT($G$1652:$G$1671)&lt;20,"",STDEV($G$1652:$G$1671)*SQRT(252))</f>
        <v>0</v>
      </c>
      <c r="AU1671">
        <f>IF(COUNT($E$2:$E1671)&lt;9,"",(MAX($C$1663:$C$1671)+MIN($D$1663:$D$1671))/2)</f>
        <v>0</v>
      </c>
      <c r="AV1671">
        <f>IF(COUNT($E$2:$E1671)&lt;26,"",(MAX($C$1646:$C$1671)+MIN($D$1646:$D$1671))/2)</f>
        <v>0</v>
      </c>
      <c r="AW1671">
        <f>IF(OR(AU1671="",AV1671=""),"",(AU1671+AV1671)/2)</f>
        <v>0</v>
      </c>
      <c r="AX1671">
        <f>IF(COUNT($E$2:$E1671)&lt;52,"",(MAX($C$1620:$C$1671)+MIN($D$1620:$D$1671))/2)</f>
        <v>0</v>
      </c>
      <c r="AY1671">
        <f>IF(COUNT($E$2:$E1671)&lt;20,"",MAX($C$1572:$C$1671))</f>
        <v>0</v>
      </c>
      <c r="AZ1671">
        <f>IF(COUNT($E$2:$E1671)&lt;20,"",MIN($D$1572:$D$1671))</f>
        <v>0</v>
      </c>
      <c r="BA1671">
        <f>IF(COUNT($E$2:$E1671)&lt;20,"",SLOPE($E$1572:$E$1671,$F$1572:$F$1671))</f>
        <v>0</v>
      </c>
      <c r="BB1671">
        <f>IF(COUNT($E$2:$E1671)&lt;20,"",INTERCEPT($E$1572:$E$1671,$F$1572:$F$1671))</f>
        <v>0</v>
      </c>
      <c r="BC1671">
        <f>IF(OR(BA1671="",BB1671=""),"",BB1671+BA1671*F1671)</f>
        <v>0</v>
      </c>
      <c r="BD1671">
        <f>IF(COUNT($E$2:$E1671)&lt;20,"",STEYX($E$1572:$E$1671,$F$1572:$F$1671))</f>
        <v>0</v>
      </c>
      <c r="BE1671">
        <f>IF($E1671="","",IF(AND(COUNT($E$1672:$E$1675)&gt;=4,$C1671=MAX($C$1667:$C$1675)),$C1671,""))</f>
        <v>0</v>
      </c>
      <c r="BF1671">
        <f>IF($E1671="","",IF(AND(COUNT($E$1672:$E$1675)&gt;=4,$D1671=MIN($D$1667:$D$1675)),$D1671,""))</f>
        <v>0</v>
      </c>
      <c r="BG1671">
        <f>IF($A1671="","",$A1671-WEEKDAY($A1671,2)+1)</f>
        <v>0</v>
      </c>
      <c r="BH1671">
        <f>IF($A1671="","",IF($A1670="",1,IF(BG1671&lt;&gt;BG1670,1,0)))</f>
        <v>0</v>
      </c>
      <c r="BI1671">
        <f>IF($A1671="","",IF($A1672="",1,IF(BG1672&lt;&gt;BG1671,1,0)))</f>
        <v>0</v>
      </c>
      <c r="BJ1671">
        <f>IF($A1671="","",IF(BH1671=1,$B1671,BJ1670))</f>
        <v>0</v>
      </c>
      <c r="BK1671">
        <f>IF($A1671="","",IF(BH1671=1,$C1671,MAX($C1671,BK1670)))</f>
        <v>0</v>
      </c>
      <c r="BL1671">
        <f>IF($A1671="","",IF(BH1671=1,$D1671,MIN($D1671,BL1670)))</f>
        <v>0</v>
      </c>
      <c r="BM1671">
        <f>IF($A1671="","",IF(BI1671=1,F1671,""))</f>
        <v>0</v>
      </c>
      <c r="BN1671">
        <f>IF($A1671="","",DATE(YEAR($A1671),MONTH($A1671),1))</f>
        <v>0</v>
      </c>
      <c r="BO1671">
        <f>IF($A1671="","",IF($A1670="",1,IF(BN1671&lt;&gt;BN1670,1,0)))</f>
        <v>0</v>
      </c>
      <c r="BP1671">
        <f>IF($A1671="","",IF($A1672="",1,IF(BN1672&lt;&gt;BN1671,1,0)))</f>
        <v>0</v>
      </c>
      <c r="BQ1671">
        <f>IF($A1671="","",IF(BO1671=1,$B1671,BQ1670))</f>
        <v>0</v>
      </c>
      <c r="BR1671">
        <f>IF($A1671="","",IF(BO1671=1,$C1671,MAX($C1671,BR1670)))</f>
        <v>0</v>
      </c>
      <c r="BS1671">
        <f>IF($A1671="","",IF(BO1671=1,$D1671,MIN($D1671,BS1670)))</f>
        <v>0</v>
      </c>
      <c r="BT1671">
        <f>IF($A1671="","",IF(BP1671=1,F1671,""))</f>
        <v>0</v>
      </c>
    </row>
    <row r="1672" spans="1:72">
      <c r="A1672" s="27">
        <f>IF(Data!$A1672="","",Data!$A1672)</f>
        <v>0</v>
      </c>
      <c r="B1672">
        <f>IF(Data!$B1672="","",Data!$B1672)</f>
        <v>0</v>
      </c>
      <c r="C1672">
        <f>IF(Data!$C1672="","",Data!$C1672)</f>
        <v>0</v>
      </c>
      <c r="D1672">
        <f>IF(Data!$D1672="","",Data!$D1672)</f>
        <v>0</v>
      </c>
      <c r="E1672">
        <f>IF(Data!$E1672="","",Data!$E1672)</f>
        <v>0</v>
      </c>
      <c r="F1672">
        <f>IF($E1672="","",N(F1671)+1)</f>
        <v>0</v>
      </c>
      <c r="G1672">
        <f>IF(OR($E1672="",$E1671=""),"",LN($E1672/$E1671))</f>
        <v>0</v>
      </c>
      <c r="H1672">
        <f>IF($E1672="","",IF($E1671="",$E1672,$E1672*0.0952380952+H1671*0.9047619048))</f>
        <v>0</v>
      </c>
      <c r="I1672">
        <f>IF($E1672="","",IF($E1671="",$E1672,$E1672*0.0392156863+I1671*0.9607843137))</f>
        <v>0</v>
      </c>
      <c r="J1672">
        <f>IF($E1672="","",IF($E1671="",$E1672,$E1672*0.0198019802+J1671*0.9801980198))</f>
        <v>0</v>
      </c>
      <c r="K1672">
        <f>IF($E1672="","",IF($E1671="",$E1672,$E1672*0.0099502488+K1671*0.9900497512))</f>
        <v>0</v>
      </c>
      <c r="L1672">
        <f>IF(OR($E1672="",$E1671=""),"",MAX($E1672-$E1671,0))</f>
        <v>0</v>
      </c>
      <c r="M1672">
        <f>IF(OR($E1672="",$E1671=""),"",MAX($E1671-$E1672,0))</f>
        <v>0</v>
      </c>
      <c r="N1672">
        <f>IF(COUNT($E$2:$E1672)&lt;15,"",IF(AVERAGE($M$1659:$M$1672)=0,100,100-100/(1+AVERAGE($L$1659:$L$1672)/AVERAGE($M$1659:$M$1672))))</f>
        <v>0</v>
      </c>
      <c r="O1672">
        <f>IF($E1672="","",IF($E1671="",$E1672,$E1672*0.1538461538+O1671*0.8461538462))</f>
        <v>0</v>
      </c>
      <c r="P1672">
        <f>IF($E1672="","",IF($E1671="",$E1672,$E1672*0.0740740741+P1671*0.9259259259))</f>
        <v>0</v>
      </c>
      <c r="Q1672">
        <f>IF(OR(O1672="",P1672=""),"",O1672-P1672)</f>
        <v>0</v>
      </c>
      <c r="R1672">
        <f>IF(Q1672="","",IF(R1671="",Q1672,Q1672*0.2000000000+R1671*0.8000000000))</f>
        <v>0</v>
      </c>
      <c r="S1672">
        <f>IF(OR(Q1672="",R1672=""),"",Q1672-R1672)</f>
        <v>0</v>
      </c>
      <c r="T1672">
        <f>IF(COUNT($E$2:$E1672)&lt;14,"",MAX($C$1659:$C$1672))</f>
        <v>0</v>
      </c>
      <c r="U1672">
        <f>IF(COUNT($E$2:$E1672)&lt;14,"",MIN($D$1659:$D$1672))</f>
        <v>0</v>
      </c>
      <c r="V1672">
        <f>IF(OR(T1672="",U1672="",T1672=U1672),"",100*($E1672-U1672)/(T1672-U1672))</f>
        <v>0</v>
      </c>
      <c r="W1672">
        <f>IF(COUNT($V$1670:$V$1672)&lt;3,"",AVERAGE($V$1670:$V$1672))</f>
        <v>0</v>
      </c>
      <c r="X1672">
        <f>IF(COUNT($N$1659:$N$1672)&lt;14,"",MIN($N$1659:$N$1672))</f>
        <v>0</v>
      </c>
      <c r="Y1672">
        <f>IF(COUNT($N$1659:$N$1672)&lt;14,"",MAX($N$1659:$N$1672))</f>
        <v>0</v>
      </c>
      <c r="Z1672">
        <f>IF(OR(N1672="",X1672="",Y1672="",Y1672=X1672),"",100*(N1672-X1672)/(Y1672-X1672))</f>
        <v>0</v>
      </c>
      <c r="AA1672">
        <f>IF(COUNT($Z$1670:$Z$1672)&lt;3,"",AVERAGE($Z$1670:$Z$1672))</f>
        <v>0</v>
      </c>
      <c r="AB1672">
        <f>IF(COUNT($AA$1670:$AA$1672)&lt;3,"",AVERAGE($AA$1670:$AA$1672))</f>
        <v>0</v>
      </c>
      <c r="AC1672">
        <f>IF($E1672="","",MAX($C1672-$D1672,ABS($C1672-$E1671),ABS($D1672-$E1671)))</f>
        <v>0</v>
      </c>
      <c r="AD1672">
        <f>IF(COUNT($E$2:$E1672)&lt;15,"",AVERAGE($AC$1659:$AC$1672))</f>
        <v>0</v>
      </c>
      <c r="AE1672">
        <f>IF(OR($E1672="",$E1671=""),"",IF(AND(($C1672-$C1671)&gt;($D1671-$D1672),($C1672-$C1671)&gt;0),$C1672-$C1671,0))</f>
        <v>0</v>
      </c>
      <c r="AF1672">
        <f>IF(OR($E1672="",$E1671=""),"",IF(AND(($D1671-$D1672)&gt;($C1672-$C1671),($D1671-$D1672)&gt;0),$D1671-$D1672,0))</f>
        <v>0</v>
      </c>
      <c r="AG1672">
        <f>IF(COUNT($E$2:$E1672)&lt;15,"",IF(SUM($AC$1659:$AC$1672)=0,0,100*SUM($AE$1659:$AE$1672)/SUM($AC$1659:$AC$1672)))</f>
        <v>0</v>
      </c>
      <c r="AH1672">
        <f>IF(COUNT($E$2:$E1672)&lt;15,"",IF(SUM($AC$1659:$AC$1672)=0,0,100*SUM($AF$1659:$AF$1672)/SUM($AC$1659:$AC$1672)))</f>
        <v>0</v>
      </c>
      <c r="AI1672">
        <f>IF(OR(AG1672="",AH1672=""),"",IF((AG1672+AH1672)=0,0,100*ABS(AG1672-AH1672)/(AG1672+AH1672)))</f>
        <v>0</v>
      </c>
      <c r="AJ1672">
        <f>IF(COUNT($AI$1659:$AI$1672)&lt;14,"",AVERAGE($AI$1659:$AI$1672))</f>
        <v>0</v>
      </c>
      <c r="AK1672">
        <f>IF(COUNT($E$2:$E1672)&lt;20,"",AVERAGE($E$1653:$E$1672))</f>
        <v>0</v>
      </c>
      <c r="AL1672">
        <f>IF(COUNT($E$2:$E1672)&lt;20,"",STDEVP($E$1653:$E$1672))</f>
        <v>0</v>
      </c>
      <c r="AM1672">
        <f>IF(AK1672="","",AK1672+2*AL1672)</f>
        <v>0</v>
      </c>
      <c r="AN1672">
        <f>IF(AK1672="","",AK1672-2*AL1672)</f>
        <v>0</v>
      </c>
      <c r="AO1672">
        <f>IF(OR(AM1672="",AN1672="",AM1672=AN1672),"",($E1672-AN1672)/(AM1672-AN1672))</f>
        <v>0</v>
      </c>
      <c r="AP1672">
        <f>IF(OR(AM1672="",AK1672="",AK1672=0),"",(AM1672-AN1672)/AK1672)</f>
        <v>0</v>
      </c>
      <c r="AQ1672">
        <f>IF(COUNT($E$2:$E1672)&lt;20,"",MAX($C$1653:$C$1672))</f>
        <v>0</v>
      </c>
      <c r="AR1672">
        <f>IF(COUNT($E$2:$E1672)&lt;20,"",MIN($D$1653:$D$1672))</f>
        <v>0</v>
      </c>
      <c r="AS1672">
        <f>IF(OR(AQ1672="",AR1672=""),"",(AQ1672+AR1672)/2)</f>
        <v>0</v>
      </c>
      <c r="AT1672">
        <f>IF(COUNT($G$1653:$G$1672)&lt;20,"",STDEV($G$1653:$G$1672)*SQRT(252))</f>
        <v>0</v>
      </c>
      <c r="AU1672">
        <f>IF(COUNT($E$2:$E1672)&lt;9,"",(MAX($C$1664:$C$1672)+MIN($D$1664:$D$1672))/2)</f>
        <v>0</v>
      </c>
      <c r="AV1672">
        <f>IF(COUNT($E$2:$E1672)&lt;26,"",(MAX($C$1647:$C$1672)+MIN($D$1647:$D$1672))/2)</f>
        <v>0</v>
      </c>
      <c r="AW1672">
        <f>IF(OR(AU1672="",AV1672=""),"",(AU1672+AV1672)/2)</f>
        <v>0</v>
      </c>
      <c r="AX1672">
        <f>IF(COUNT($E$2:$E1672)&lt;52,"",(MAX($C$1621:$C$1672)+MIN($D$1621:$D$1672))/2)</f>
        <v>0</v>
      </c>
      <c r="AY1672">
        <f>IF(COUNT($E$2:$E1672)&lt;20,"",MAX($C$1573:$C$1672))</f>
        <v>0</v>
      </c>
      <c r="AZ1672">
        <f>IF(COUNT($E$2:$E1672)&lt;20,"",MIN($D$1573:$D$1672))</f>
        <v>0</v>
      </c>
      <c r="BA1672">
        <f>IF(COUNT($E$2:$E1672)&lt;20,"",SLOPE($E$1573:$E$1672,$F$1573:$F$1672))</f>
        <v>0</v>
      </c>
      <c r="BB1672">
        <f>IF(COUNT($E$2:$E1672)&lt;20,"",INTERCEPT($E$1573:$E$1672,$F$1573:$F$1672))</f>
        <v>0</v>
      </c>
      <c r="BC1672">
        <f>IF(OR(BA1672="",BB1672=""),"",BB1672+BA1672*F1672)</f>
        <v>0</v>
      </c>
      <c r="BD1672">
        <f>IF(COUNT($E$2:$E1672)&lt;20,"",STEYX($E$1573:$E$1672,$F$1573:$F$1672))</f>
        <v>0</v>
      </c>
      <c r="BE1672">
        <f>IF($E1672="","",IF(AND(COUNT($E$1673:$E$1676)&gt;=4,$C1672=MAX($C$1668:$C$1676)),$C1672,""))</f>
        <v>0</v>
      </c>
      <c r="BF1672">
        <f>IF($E1672="","",IF(AND(COUNT($E$1673:$E$1676)&gt;=4,$D1672=MIN($D$1668:$D$1676)),$D1672,""))</f>
        <v>0</v>
      </c>
      <c r="BG1672">
        <f>IF($A1672="","",$A1672-WEEKDAY($A1672,2)+1)</f>
        <v>0</v>
      </c>
      <c r="BH1672">
        <f>IF($A1672="","",IF($A1671="",1,IF(BG1672&lt;&gt;BG1671,1,0)))</f>
        <v>0</v>
      </c>
      <c r="BI1672">
        <f>IF($A1672="","",IF($A1673="",1,IF(BG1673&lt;&gt;BG1672,1,0)))</f>
        <v>0</v>
      </c>
      <c r="BJ1672">
        <f>IF($A1672="","",IF(BH1672=1,$B1672,BJ1671))</f>
        <v>0</v>
      </c>
      <c r="BK1672">
        <f>IF($A1672="","",IF(BH1672=1,$C1672,MAX($C1672,BK1671)))</f>
        <v>0</v>
      </c>
      <c r="BL1672">
        <f>IF($A1672="","",IF(BH1672=1,$D1672,MIN($D1672,BL1671)))</f>
        <v>0</v>
      </c>
      <c r="BM1672">
        <f>IF($A1672="","",IF(BI1672=1,F1672,""))</f>
        <v>0</v>
      </c>
      <c r="BN1672">
        <f>IF($A1672="","",DATE(YEAR($A1672),MONTH($A1672),1))</f>
        <v>0</v>
      </c>
      <c r="BO1672">
        <f>IF($A1672="","",IF($A1671="",1,IF(BN1672&lt;&gt;BN1671,1,0)))</f>
        <v>0</v>
      </c>
      <c r="BP1672">
        <f>IF($A1672="","",IF($A1673="",1,IF(BN1673&lt;&gt;BN1672,1,0)))</f>
        <v>0</v>
      </c>
      <c r="BQ1672">
        <f>IF($A1672="","",IF(BO1672=1,$B1672,BQ1671))</f>
        <v>0</v>
      </c>
      <c r="BR1672">
        <f>IF($A1672="","",IF(BO1672=1,$C1672,MAX($C1672,BR1671)))</f>
        <v>0</v>
      </c>
      <c r="BS1672">
        <f>IF($A1672="","",IF(BO1672=1,$D1672,MIN($D1672,BS1671)))</f>
        <v>0</v>
      </c>
      <c r="BT1672">
        <f>IF($A1672="","",IF(BP1672=1,F1672,""))</f>
        <v>0</v>
      </c>
    </row>
    <row r="1673" spans="1:72">
      <c r="A1673" s="27">
        <f>IF(Data!$A1673="","",Data!$A1673)</f>
        <v>0</v>
      </c>
      <c r="B1673">
        <f>IF(Data!$B1673="","",Data!$B1673)</f>
        <v>0</v>
      </c>
      <c r="C1673">
        <f>IF(Data!$C1673="","",Data!$C1673)</f>
        <v>0</v>
      </c>
      <c r="D1673">
        <f>IF(Data!$D1673="","",Data!$D1673)</f>
        <v>0</v>
      </c>
      <c r="E1673">
        <f>IF(Data!$E1673="","",Data!$E1673)</f>
        <v>0</v>
      </c>
      <c r="F1673">
        <f>IF($E1673="","",N(F1672)+1)</f>
        <v>0</v>
      </c>
      <c r="G1673">
        <f>IF(OR($E1673="",$E1672=""),"",LN($E1673/$E1672))</f>
        <v>0</v>
      </c>
      <c r="H1673">
        <f>IF($E1673="","",IF($E1672="",$E1673,$E1673*0.0952380952+H1672*0.9047619048))</f>
        <v>0</v>
      </c>
      <c r="I1673">
        <f>IF($E1673="","",IF($E1672="",$E1673,$E1673*0.0392156863+I1672*0.9607843137))</f>
        <v>0</v>
      </c>
      <c r="J1673">
        <f>IF($E1673="","",IF($E1672="",$E1673,$E1673*0.0198019802+J1672*0.9801980198))</f>
        <v>0</v>
      </c>
      <c r="K1673">
        <f>IF($E1673="","",IF($E1672="",$E1673,$E1673*0.0099502488+K1672*0.9900497512))</f>
        <v>0</v>
      </c>
      <c r="L1673">
        <f>IF(OR($E1673="",$E1672=""),"",MAX($E1673-$E1672,0))</f>
        <v>0</v>
      </c>
      <c r="M1673">
        <f>IF(OR($E1673="",$E1672=""),"",MAX($E1672-$E1673,0))</f>
        <v>0</v>
      </c>
      <c r="N1673">
        <f>IF(COUNT($E$2:$E1673)&lt;15,"",IF(AVERAGE($M$1660:$M$1673)=0,100,100-100/(1+AVERAGE($L$1660:$L$1673)/AVERAGE($M$1660:$M$1673))))</f>
        <v>0</v>
      </c>
      <c r="O1673">
        <f>IF($E1673="","",IF($E1672="",$E1673,$E1673*0.1538461538+O1672*0.8461538462))</f>
        <v>0</v>
      </c>
      <c r="P1673">
        <f>IF($E1673="","",IF($E1672="",$E1673,$E1673*0.0740740741+P1672*0.9259259259))</f>
        <v>0</v>
      </c>
      <c r="Q1673">
        <f>IF(OR(O1673="",P1673=""),"",O1673-P1673)</f>
        <v>0</v>
      </c>
      <c r="R1673">
        <f>IF(Q1673="","",IF(R1672="",Q1673,Q1673*0.2000000000+R1672*0.8000000000))</f>
        <v>0</v>
      </c>
      <c r="S1673">
        <f>IF(OR(Q1673="",R1673=""),"",Q1673-R1673)</f>
        <v>0</v>
      </c>
      <c r="T1673">
        <f>IF(COUNT($E$2:$E1673)&lt;14,"",MAX($C$1660:$C$1673))</f>
        <v>0</v>
      </c>
      <c r="U1673">
        <f>IF(COUNT($E$2:$E1673)&lt;14,"",MIN($D$1660:$D$1673))</f>
        <v>0</v>
      </c>
      <c r="V1673">
        <f>IF(OR(T1673="",U1673="",T1673=U1673),"",100*($E1673-U1673)/(T1673-U1673))</f>
        <v>0</v>
      </c>
      <c r="W1673">
        <f>IF(COUNT($V$1671:$V$1673)&lt;3,"",AVERAGE($V$1671:$V$1673))</f>
        <v>0</v>
      </c>
      <c r="X1673">
        <f>IF(COUNT($N$1660:$N$1673)&lt;14,"",MIN($N$1660:$N$1673))</f>
        <v>0</v>
      </c>
      <c r="Y1673">
        <f>IF(COUNT($N$1660:$N$1673)&lt;14,"",MAX($N$1660:$N$1673))</f>
        <v>0</v>
      </c>
      <c r="Z1673">
        <f>IF(OR(N1673="",X1673="",Y1673="",Y1673=X1673),"",100*(N1673-X1673)/(Y1673-X1673))</f>
        <v>0</v>
      </c>
      <c r="AA1673">
        <f>IF(COUNT($Z$1671:$Z$1673)&lt;3,"",AVERAGE($Z$1671:$Z$1673))</f>
        <v>0</v>
      </c>
      <c r="AB1673">
        <f>IF(COUNT($AA$1671:$AA$1673)&lt;3,"",AVERAGE($AA$1671:$AA$1673))</f>
        <v>0</v>
      </c>
      <c r="AC1673">
        <f>IF($E1673="","",MAX($C1673-$D1673,ABS($C1673-$E1672),ABS($D1673-$E1672)))</f>
        <v>0</v>
      </c>
      <c r="AD1673">
        <f>IF(COUNT($E$2:$E1673)&lt;15,"",AVERAGE($AC$1660:$AC$1673))</f>
        <v>0</v>
      </c>
      <c r="AE1673">
        <f>IF(OR($E1673="",$E1672=""),"",IF(AND(($C1673-$C1672)&gt;($D1672-$D1673),($C1673-$C1672)&gt;0),$C1673-$C1672,0))</f>
        <v>0</v>
      </c>
      <c r="AF1673">
        <f>IF(OR($E1673="",$E1672=""),"",IF(AND(($D1672-$D1673)&gt;($C1673-$C1672),($D1672-$D1673)&gt;0),$D1672-$D1673,0))</f>
        <v>0</v>
      </c>
      <c r="AG1673">
        <f>IF(COUNT($E$2:$E1673)&lt;15,"",IF(SUM($AC$1660:$AC$1673)=0,0,100*SUM($AE$1660:$AE$1673)/SUM($AC$1660:$AC$1673)))</f>
        <v>0</v>
      </c>
      <c r="AH1673">
        <f>IF(COUNT($E$2:$E1673)&lt;15,"",IF(SUM($AC$1660:$AC$1673)=0,0,100*SUM($AF$1660:$AF$1673)/SUM($AC$1660:$AC$1673)))</f>
        <v>0</v>
      </c>
      <c r="AI1673">
        <f>IF(OR(AG1673="",AH1673=""),"",IF((AG1673+AH1673)=0,0,100*ABS(AG1673-AH1673)/(AG1673+AH1673)))</f>
        <v>0</v>
      </c>
      <c r="AJ1673">
        <f>IF(COUNT($AI$1660:$AI$1673)&lt;14,"",AVERAGE($AI$1660:$AI$1673))</f>
        <v>0</v>
      </c>
      <c r="AK1673">
        <f>IF(COUNT($E$2:$E1673)&lt;20,"",AVERAGE($E$1654:$E$1673))</f>
        <v>0</v>
      </c>
      <c r="AL1673">
        <f>IF(COUNT($E$2:$E1673)&lt;20,"",STDEVP($E$1654:$E$1673))</f>
        <v>0</v>
      </c>
      <c r="AM1673">
        <f>IF(AK1673="","",AK1673+2*AL1673)</f>
        <v>0</v>
      </c>
      <c r="AN1673">
        <f>IF(AK1673="","",AK1673-2*AL1673)</f>
        <v>0</v>
      </c>
      <c r="AO1673">
        <f>IF(OR(AM1673="",AN1673="",AM1673=AN1673),"",($E1673-AN1673)/(AM1673-AN1673))</f>
        <v>0</v>
      </c>
      <c r="AP1673">
        <f>IF(OR(AM1673="",AK1673="",AK1673=0),"",(AM1673-AN1673)/AK1673)</f>
        <v>0</v>
      </c>
      <c r="AQ1673">
        <f>IF(COUNT($E$2:$E1673)&lt;20,"",MAX($C$1654:$C$1673))</f>
        <v>0</v>
      </c>
      <c r="AR1673">
        <f>IF(COUNT($E$2:$E1673)&lt;20,"",MIN($D$1654:$D$1673))</f>
        <v>0</v>
      </c>
      <c r="AS1673">
        <f>IF(OR(AQ1673="",AR1673=""),"",(AQ1673+AR1673)/2)</f>
        <v>0</v>
      </c>
      <c r="AT1673">
        <f>IF(COUNT($G$1654:$G$1673)&lt;20,"",STDEV($G$1654:$G$1673)*SQRT(252))</f>
        <v>0</v>
      </c>
      <c r="AU1673">
        <f>IF(COUNT($E$2:$E1673)&lt;9,"",(MAX($C$1665:$C$1673)+MIN($D$1665:$D$1673))/2)</f>
        <v>0</v>
      </c>
      <c r="AV1673">
        <f>IF(COUNT($E$2:$E1673)&lt;26,"",(MAX($C$1648:$C$1673)+MIN($D$1648:$D$1673))/2)</f>
        <v>0</v>
      </c>
      <c r="AW1673">
        <f>IF(OR(AU1673="",AV1673=""),"",(AU1673+AV1673)/2)</f>
        <v>0</v>
      </c>
      <c r="AX1673">
        <f>IF(COUNT($E$2:$E1673)&lt;52,"",(MAX($C$1622:$C$1673)+MIN($D$1622:$D$1673))/2)</f>
        <v>0</v>
      </c>
      <c r="AY1673">
        <f>IF(COUNT($E$2:$E1673)&lt;20,"",MAX($C$1574:$C$1673))</f>
        <v>0</v>
      </c>
      <c r="AZ1673">
        <f>IF(COUNT($E$2:$E1673)&lt;20,"",MIN($D$1574:$D$1673))</f>
        <v>0</v>
      </c>
      <c r="BA1673">
        <f>IF(COUNT($E$2:$E1673)&lt;20,"",SLOPE($E$1574:$E$1673,$F$1574:$F$1673))</f>
        <v>0</v>
      </c>
      <c r="BB1673">
        <f>IF(COUNT($E$2:$E1673)&lt;20,"",INTERCEPT($E$1574:$E$1673,$F$1574:$F$1673))</f>
        <v>0</v>
      </c>
      <c r="BC1673">
        <f>IF(OR(BA1673="",BB1673=""),"",BB1673+BA1673*F1673)</f>
        <v>0</v>
      </c>
      <c r="BD1673">
        <f>IF(COUNT($E$2:$E1673)&lt;20,"",STEYX($E$1574:$E$1673,$F$1574:$F$1673))</f>
        <v>0</v>
      </c>
      <c r="BE1673">
        <f>IF($E1673="","",IF(AND(COUNT($E$1674:$E$1677)&gt;=4,$C1673=MAX($C$1669:$C$1677)),$C1673,""))</f>
        <v>0</v>
      </c>
      <c r="BF1673">
        <f>IF($E1673="","",IF(AND(COUNT($E$1674:$E$1677)&gt;=4,$D1673=MIN($D$1669:$D$1677)),$D1673,""))</f>
        <v>0</v>
      </c>
      <c r="BG1673">
        <f>IF($A1673="","",$A1673-WEEKDAY($A1673,2)+1)</f>
        <v>0</v>
      </c>
      <c r="BH1673">
        <f>IF($A1673="","",IF($A1672="",1,IF(BG1673&lt;&gt;BG1672,1,0)))</f>
        <v>0</v>
      </c>
      <c r="BI1673">
        <f>IF($A1673="","",IF($A1674="",1,IF(BG1674&lt;&gt;BG1673,1,0)))</f>
        <v>0</v>
      </c>
      <c r="BJ1673">
        <f>IF($A1673="","",IF(BH1673=1,$B1673,BJ1672))</f>
        <v>0</v>
      </c>
      <c r="BK1673">
        <f>IF($A1673="","",IF(BH1673=1,$C1673,MAX($C1673,BK1672)))</f>
        <v>0</v>
      </c>
      <c r="BL1673">
        <f>IF($A1673="","",IF(BH1673=1,$D1673,MIN($D1673,BL1672)))</f>
        <v>0</v>
      </c>
      <c r="BM1673">
        <f>IF($A1673="","",IF(BI1673=1,F1673,""))</f>
        <v>0</v>
      </c>
      <c r="BN1673">
        <f>IF($A1673="","",DATE(YEAR($A1673),MONTH($A1673),1))</f>
        <v>0</v>
      </c>
      <c r="BO1673">
        <f>IF($A1673="","",IF($A1672="",1,IF(BN1673&lt;&gt;BN1672,1,0)))</f>
        <v>0</v>
      </c>
      <c r="BP1673">
        <f>IF($A1673="","",IF($A1674="",1,IF(BN1674&lt;&gt;BN1673,1,0)))</f>
        <v>0</v>
      </c>
      <c r="BQ1673">
        <f>IF($A1673="","",IF(BO1673=1,$B1673,BQ1672))</f>
        <v>0</v>
      </c>
      <c r="BR1673">
        <f>IF($A1673="","",IF(BO1673=1,$C1673,MAX($C1673,BR1672)))</f>
        <v>0</v>
      </c>
      <c r="BS1673">
        <f>IF($A1673="","",IF(BO1673=1,$D1673,MIN($D1673,BS1672)))</f>
        <v>0</v>
      </c>
      <c r="BT1673">
        <f>IF($A1673="","",IF(BP1673=1,F1673,""))</f>
        <v>0</v>
      </c>
    </row>
    <row r="1674" spans="1:72">
      <c r="A1674" s="27">
        <f>IF(Data!$A1674="","",Data!$A1674)</f>
        <v>0</v>
      </c>
      <c r="B1674">
        <f>IF(Data!$B1674="","",Data!$B1674)</f>
        <v>0</v>
      </c>
      <c r="C1674">
        <f>IF(Data!$C1674="","",Data!$C1674)</f>
        <v>0</v>
      </c>
      <c r="D1674">
        <f>IF(Data!$D1674="","",Data!$D1674)</f>
        <v>0</v>
      </c>
      <c r="E1674">
        <f>IF(Data!$E1674="","",Data!$E1674)</f>
        <v>0</v>
      </c>
      <c r="F1674">
        <f>IF($E1674="","",N(F1673)+1)</f>
        <v>0</v>
      </c>
      <c r="G1674">
        <f>IF(OR($E1674="",$E1673=""),"",LN($E1674/$E1673))</f>
        <v>0</v>
      </c>
      <c r="H1674">
        <f>IF($E1674="","",IF($E1673="",$E1674,$E1674*0.0952380952+H1673*0.9047619048))</f>
        <v>0</v>
      </c>
      <c r="I1674">
        <f>IF($E1674="","",IF($E1673="",$E1674,$E1674*0.0392156863+I1673*0.9607843137))</f>
        <v>0</v>
      </c>
      <c r="J1674">
        <f>IF($E1674="","",IF($E1673="",$E1674,$E1674*0.0198019802+J1673*0.9801980198))</f>
        <v>0</v>
      </c>
      <c r="K1674">
        <f>IF($E1674="","",IF($E1673="",$E1674,$E1674*0.0099502488+K1673*0.9900497512))</f>
        <v>0</v>
      </c>
      <c r="L1674">
        <f>IF(OR($E1674="",$E1673=""),"",MAX($E1674-$E1673,0))</f>
        <v>0</v>
      </c>
      <c r="M1674">
        <f>IF(OR($E1674="",$E1673=""),"",MAX($E1673-$E1674,0))</f>
        <v>0</v>
      </c>
      <c r="N1674">
        <f>IF(COUNT($E$2:$E1674)&lt;15,"",IF(AVERAGE($M$1661:$M$1674)=0,100,100-100/(1+AVERAGE($L$1661:$L$1674)/AVERAGE($M$1661:$M$1674))))</f>
        <v>0</v>
      </c>
      <c r="O1674">
        <f>IF($E1674="","",IF($E1673="",$E1674,$E1674*0.1538461538+O1673*0.8461538462))</f>
        <v>0</v>
      </c>
      <c r="P1674">
        <f>IF($E1674="","",IF($E1673="",$E1674,$E1674*0.0740740741+P1673*0.9259259259))</f>
        <v>0</v>
      </c>
      <c r="Q1674">
        <f>IF(OR(O1674="",P1674=""),"",O1674-P1674)</f>
        <v>0</v>
      </c>
      <c r="R1674">
        <f>IF(Q1674="","",IF(R1673="",Q1674,Q1674*0.2000000000+R1673*0.8000000000))</f>
        <v>0</v>
      </c>
      <c r="S1674">
        <f>IF(OR(Q1674="",R1674=""),"",Q1674-R1674)</f>
        <v>0</v>
      </c>
      <c r="T1674">
        <f>IF(COUNT($E$2:$E1674)&lt;14,"",MAX($C$1661:$C$1674))</f>
        <v>0</v>
      </c>
      <c r="U1674">
        <f>IF(COUNT($E$2:$E1674)&lt;14,"",MIN($D$1661:$D$1674))</f>
        <v>0</v>
      </c>
      <c r="V1674">
        <f>IF(OR(T1674="",U1674="",T1674=U1674),"",100*($E1674-U1674)/(T1674-U1674))</f>
        <v>0</v>
      </c>
      <c r="W1674">
        <f>IF(COUNT($V$1672:$V$1674)&lt;3,"",AVERAGE($V$1672:$V$1674))</f>
        <v>0</v>
      </c>
      <c r="X1674">
        <f>IF(COUNT($N$1661:$N$1674)&lt;14,"",MIN($N$1661:$N$1674))</f>
        <v>0</v>
      </c>
      <c r="Y1674">
        <f>IF(COUNT($N$1661:$N$1674)&lt;14,"",MAX($N$1661:$N$1674))</f>
        <v>0</v>
      </c>
      <c r="Z1674">
        <f>IF(OR(N1674="",X1674="",Y1674="",Y1674=X1674),"",100*(N1674-X1674)/(Y1674-X1674))</f>
        <v>0</v>
      </c>
      <c r="AA1674">
        <f>IF(COUNT($Z$1672:$Z$1674)&lt;3,"",AVERAGE($Z$1672:$Z$1674))</f>
        <v>0</v>
      </c>
      <c r="AB1674">
        <f>IF(COUNT($AA$1672:$AA$1674)&lt;3,"",AVERAGE($AA$1672:$AA$1674))</f>
        <v>0</v>
      </c>
      <c r="AC1674">
        <f>IF($E1674="","",MAX($C1674-$D1674,ABS($C1674-$E1673),ABS($D1674-$E1673)))</f>
        <v>0</v>
      </c>
      <c r="AD1674">
        <f>IF(COUNT($E$2:$E1674)&lt;15,"",AVERAGE($AC$1661:$AC$1674))</f>
        <v>0</v>
      </c>
      <c r="AE1674">
        <f>IF(OR($E1674="",$E1673=""),"",IF(AND(($C1674-$C1673)&gt;($D1673-$D1674),($C1674-$C1673)&gt;0),$C1674-$C1673,0))</f>
        <v>0</v>
      </c>
      <c r="AF1674">
        <f>IF(OR($E1674="",$E1673=""),"",IF(AND(($D1673-$D1674)&gt;($C1674-$C1673),($D1673-$D1674)&gt;0),$D1673-$D1674,0))</f>
        <v>0</v>
      </c>
      <c r="AG1674">
        <f>IF(COUNT($E$2:$E1674)&lt;15,"",IF(SUM($AC$1661:$AC$1674)=0,0,100*SUM($AE$1661:$AE$1674)/SUM($AC$1661:$AC$1674)))</f>
        <v>0</v>
      </c>
      <c r="AH1674">
        <f>IF(COUNT($E$2:$E1674)&lt;15,"",IF(SUM($AC$1661:$AC$1674)=0,0,100*SUM($AF$1661:$AF$1674)/SUM($AC$1661:$AC$1674)))</f>
        <v>0</v>
      </c>
      <c r="AI1674">
        <f>IF(OR(AG1674="",AH1674=""),"",IF((AG1674+AH1674)=0,0,100*ABS(AG1674-AH1674)/(AG1674+AH1674)))</f>
        <v>0</v>
      </c>
      <c r="AJ1674">
        <f>IF(COUNT($AI$1661:$AI$1674)&lt;14,"",AVERAGE($AI$1661:$AI$1674))</f>
        <v>0</v>
      </c>
      <c r="AK1674">
        <f>IF(COUNT($E$2:$E1674)&lt;20,"",AVERAGE($E$1655:$E$1674))</f>
        <v>0</v>
      </c>
      <c r="AL1674">
        <f>IF(COUNT($E$2:$E1674)&lt;20,"",STDEVP($E$1655:$E$1674))</f>
        <v>0</v>
      </c>
      <c r="AM1674">
        <f>IF(AK1674="","",AK1674+2*AL1674)</f>
        <v>0</v>
      </c>
      <c r="AN1674">
        <f>IF(AK1674="","",AK1674-2*AL1674)</f>
        <v>0</v>
      </c>
      <c r="AO1674">
        <f>IF(OR(AM1674="",AN1674="",AM1674=AN1674),"",($E1674-AN1674)/(AM1674-AN1674))</f>
        <v>0</v>
      </c>
      <c r="AP1674">
        <f>IF(OR(AM1674="",AK1674="",AK1674=0),"",(AM1674-AN1674)/AK1674)</f>
        <v>0</v>
      </c>
      <c r="AQ1674">
        <f>IF(COUNT($E$2:$E1674)&lt;20,"",MAX($C$1655:$C$1674))</f>
        <v>0</v>
      </c>
      <c r="AR1674">
        <f>IF(COUNT($E$2:$E1674)&lt;20,"",MIN($D$1655:$D$1674))</f>
        <v>0</v>
      </c>
      <c r="AS1674">
        <f>IF(OR(AQ1674="",AR1674=""),"",(AQ1674+AR1674)/2)</f>
        <v>0</v>
      </c>
      <c r="AT1674">
        <f>IF(COUNT($G$1655:$G$1674)&lt;20,"",STDEV($G$1655:$G$1674)*SQRT(252))</f>
        <v>0</v>
      </c>
      <c r="AU1674">
        <f>IF(COUNT($E$2:$E1674)&lt;9,"",(MAX($C$1666:$C$1674)+MIN($D$1666:$D$1674))/2)</f>
        <v>0</v>
      </c>
      <c r="AV1674">
        <f>IF(COUNT($E$2:$E1674)&lt;26,"",(MAX($C$1649:$C$1674)+MIN($D$1649:$D$1674))/2)</f>
        <v>0</v>
      </c>
      <c r="AW1674">
        <f>IF(OR(AU1674="",AV1674=""),"",(AU1674+AV1674)/2)</f>
        <v>0</v>
      </c>
      <c r="AX1674">
        <f>IF(COUNT($E$2:$E1674)&lt;52,"",(MAX($C$1623:$C$1674)+MIN($D$1623:$D$1674))/2)</f>
        <v>0</v>
      </c>
      <c r="AY1674">
        <f>IF(COUNT($E$2:$E1674)&lt;20,"",MAX($C$1575:$C$1674))</f>
        <v>0</v>
      </c>
      <c r="AZ1674">
        <f>IF(COUNT($E$2:$E1674)&lt;20,"",MIN($D$1575:$D$1674))</f>
        <v>0</v>
      </c>
      <c r="BA1674">
        <f>IF(COUNT($E$2:$E1674)&lt;20,"",SLOPE($E$1575:$E$1674,$F$1575:$F$1674))</f>
        <v>0</v>
      </c>
      <c r="BB1674">
        <f>IF(COUNT($E$2:$E1674)&lt;20,"",INTERCEPT($E$1575:$E$1674,$F$1575:$F$1674))</f>
        <v>0</v>
      </c>
      <c r="BC1674">
        <f>IF(OR(BA1674="",BB1674=""),"",BB1674+BA1674*F1674)</f>
        <v>0</v>
      </c>
      <c r="BD1674">
        <f>IF(COUNT($E$2:$E1674)&lt;20,"",STEYX($E$1575:$E$1674,$F$1575:$F$1674))</f>
        <v>0</v>
      </c>
      <c r="BE1674">
        <f>IF($E1674="","",IF(AND(COUNT($E$1675:$E$1678)&gt;=4,$C1674=MAX($C$1670:$C$1678)),$C1674,""))</f>
        <v>0</v>
      </c>
      <c r="BF1674">
        <f>IF($E1674="","",IF(AND(COUNT($E$1675:$E$1678)&gt;=4,$D1674=MIN($D$1670:$D$1678)),$D1674,""))</f>
        <v>0</v>
      </c>
      <c r="BG1674">
        <f>IF($A1674="","",$A1674-WEEKDAY($A1674,2)+1)</f>
        <v>0</v>
      </c>
      <c r="BH1674">
        <f>IF($A1674="","",IF($A1673="",1,IF(BG1674&lt;&gt;BG1673,1,0)))</f>
        <v>0</v>
      </c>
      <c r="BI1674">
        <f>IF($A1674="","",IF($A1675="",1,IF(BG1675&lt;&gt;BG1674,1,0)))</f>
        <v>0</v>
      </c>
      <c r="BJ1674">
        <f>IF($A1674="","",IF(BH1674=1,$B1674,BJ1673))</f>
        <v>0</v>
      </c>
      <c r="BK1674">
        <f>IF($A1674="","",IF(BH1674=1,$C1674,MAX($C1674,BK1673)))</f>
        <v>0</v>
      </c>
      <c r="BL1674">
        <f>IF($A1674="","",IF(BH1674=1,$D1674,MIN($D1674,BL1673)))</f>
        <v>0</v>
      </c>
      <c r="BM1674">
        <f>IF($A1674="","",IF(BI1674=1,F1674,""))</f>
        <v>0</v>
      </c>
      <c r="BN1674">
        <f>IF($A1674="","",DATE(YEAR($A1674),MONTH($A1674),1))</f>
        <v>0</v>
      </c>
      <c r="BO1674">
        <f>IF($A1674="","",IF($A1673="",1,IF(BN1674&lt;&gt;BN1673,1,0)))</f>
        <v>0</v>
      </c>
      <c r="BP1674">
        <f>IF($A1674="","",IF($A1675="",1,IF(BN1675&lt;&gt;BN1674,1,0)))</f>
        <v>0</v>
      </c>
      <c r="BQ1674">
        <f>IF($A1674="","",IF(BO1674=1,$B1674,BQ1673))</f>
        <v>0</v>
      </c>
      <c r="BR1674">
        <f>IF($A1674="","",IF(BO1674=1,$C1674,MAX($C1674,BR1673)))</f>
        <v>0</v>
      </c>
      <c r="BS1674">
        <f>IF($A1674="","",IF(BO1674=1,$D1674,MIN($D1674,BS1673)))</f>
        <v>0</v>
      </c>
      <c r="BT1674">
        <f>IF($A1674="","",IF(BP1674=1,F1674,""))</f>
        <v>0</v>
      </c>
    </row>
    <row r="1675" spans="1:72">
      <c r="A1675" s="27">
        <f>IF(Data!$A1675="","",Data!$A1675)</f>
        <v>0</v>
      </c>
      <c r="B1675">
        <f>IF(Data!$B1675="","",Data!$B1675)</f>
        <v>0</v>
      </c>
      <c r="C1675">
        <f>IF(Data!$C1675="","",Data!$C1675)</f>
        <v>0</v>
      </c>
      <c r="D1675">
        <f>IF(Data!$D1675="","",Data!$D1675)</f>
        <v>0</v>
      </c>
      <c r="E1675">
        <f>IF(Data!$E1675="","",Data!$E1675)</f>
        <v>0</v>
      </c>
      <c r="F1675">
        <f>IF($E1675="","",N(F1674)+1)</f>
        <v>0</v>
      </c>
      <c r="G1675">
        <f>IF(OR($E1675="",$E1674=""),"",LN($E1675/$E1674))</f>
        <v>0</v>
      </c>
      <c r="H1675">
        <f>IF($E1675="","",IF($E1674="",$E1675,$E1675*0.0952380952+H1674*0.9047619048))</f>
        <v>0</v>
      </c>
      <c r="I1675">
        <f>IF($E1675="","",IF($E1674="",$E1675,$E1675*0.0392156863+I1674*0.9607843137))</f>
        <v>0</v>
      </c>
      <c r="J1675">
        <f>IF($E1675="","",IF($E1674="",$E1675,$E1675*0.0198019802+J1674*0.9801980198))</f>
        <v>0</v>
      </c>
      <c r="K1675">
        <f>IF($E1675="","",IF($E1674="",$E1675,$E1675*0.0099502488+K1674*0.9900497512))</f>
        <v>0</v>
      </c>
      <c r="L1675">
        <f>IF(OR($E1675="",$E1674=""),"",MAX($E1675-$E1674,0))</f>
        <v>0</v>
      </c>
      <c r="M1675">
        <f>IF(OR($E1675="",$E1674=""),"",MAX($E1674-$E1675,0))</f>
        <v>0</v>
      </c>
      <c r="N1675">
        <f>IF(COUNT($E$2:$E1675)&lt;15,"",IF(AVERAGE($M$1662:$M$1675)=0,100,100-100/(1+AVERAGE($L$1662:$L$1675)/AVERAGE($M$1662:$M$1675))))</f>
        <v>0</v>
      </c>
      <c r="O1675">
        <f>IF($E1675="","",IF($E1674="",$E1675,$E1675*0.1538461538+O1674*0.8461538462))</f>
        <v>0</v>
      </c>
      <c r="P1675">
        <f>IF($E1675="","",IF($E1674="",$E1675,$E1675*0.0740740741+P1674*0.9259259259))</f>
        <v>0</v>
      </c>
      <c r="Q1675">
        <f>IF(OR(O1675="",P1675=""),"",O1675-P1675)</f>
        <v>0</v>
      </c>
      <c r="R1675">
        <f>IF(Q1675="","",IF(R1674="",Q1675,Q1675*0.2000000000+R1674*0.8000000000))</f>
        <v>0</v>
      </c>
      <c r="S1675">
        <f>IF(OR(Q1675="",R1675=""),"",Q1675-R1675)</f>
        <v>0</v>
      </c>
      <c r="T1675">
        <f>IF(COUNT($E$2:$E1675)&lt;14,"",MAX($C$1662:$C$1675))</f>
        <v>0</v>
      </c>
      <c r="U1675">
        <f>IF(COUNT($E$2:$E1675)&lt;14,"",MIN($D$1662:$D$1675))</f>
        <v>0</v>
      </c>
      <c r="V1675">
        <f>IF(OR(T1675="",U1675="",T1675=U1675),"",100*($E1675-U1675)/(T1675-U1675))</f>
        <v>0</v>
      </c>
      <c r="W1675">
        <f>IF(COUNT($V$1673:$V$1675)&lt;3,"",AVERAGE($V$1673:$V$1675))</f>
        <v>0</v>
      </c>
      <c r="X1675">
        <f>IF(COUNT($N$1662:$N$1675)&lt;14,"",MIN($N$1662:$N$1675))</f>
        <v>0</v>
      </c>
      <c r="Y1675">
        <f>IF(COUNT($N$1662:$N$1675)&lt;14,"",MAX($N$1662:$N$1675))</f>
        <v>0</v>
      </c>
      <c r="Z1675">
        <f>IF(OR(N1675="",X1675="",Y1675="",Y1675=X1675),"",100*(N1675-X1675)/(Y1675-X1675))</f>
        <v>0</v>
      </c>
      <c r="AA1675">
        <f>IF(COUNT($Z$1673:$Z$1675)&lt;3,"",AVERAGE($Z$1673:$Z$1675))</f>
        <v>0</v>
      </c>
      <c r="AB1675">
        <f>IF(COUNT($AA$1673:$AA$1675)&lt;3,"",AVERAGE($AA$1673:$AA$1675))</f>
        <v>0</v>
      </c>
      <c r="AC1675">
        <f>IF($E1675="","",MAX($C1675-$D1675,ABS($C1675-$E1674),ABS($D1675-$E1674)))</f>
        <v>0</v>
      </c>
      <c r="AD1675">
        <f>IF(COUNT($E$2:$E1675)&lt;15,"",AVERAGE($AC$1662:$AC$1675))</f>
        <v>0</v>
      </c>
      <c r="AE1675">
        <f>IF(OR($E1675="",$E1674=""),"",IF(AND(($C1675-$C1674)&gt;($D1674-$D1675),($C1675-$C1674)&gt;0),$C1675-$C1674,0))</f>
        <v>0</v>
      </c>
      <c r="AF1675">
        <f>IF(OR($E1675="",$E1674=""),"",IF(AND(($D1674-$D1675)&gt;($C1675-$C1674),($D1674-$D1675)&gt;0),$D1674-$D1675,0))</f>
        <v>0</v>
      </c>
      <c r="AG1675">
        <f>IF(COUNT($E$2:$E1675)&lt;15,"",IF(SUM($AC$1662:$AC$1675)=0,0,100*SUM($AE$1662:$AE$1675)/SUM($AC$1662:$AC$1675)))</f>
        <v>0</v>
      </c>
      <c r="AH1675">
        <f>IF(COUNT($E$2:$E1675)&lt;15,"",IF(SUM($AC$1662:$AC$1675)=0,0,100*SUM($AF$1662:$AF$1675)/SUM($AC$1662:$AC$1675)))</f>
        <v>0</v>
      </c>
      <c r="AI1675">
        <f>IF(OR(AG1675="",AH1675=""),"",IF((AG1675+AH1675)=0,0,100*ABS(AG1675-AH1675)/(AG1675+AH1675)))</f>
        <v>0</v>
      </c>
      <c r="AJ1675">
        <f>IF(COUNT($AI$1662:$AI$1675)&lt;14,"",AVERAGE($AI$1662:$AI$1675))</f>
        <v>0</v>
      </c>
      <c r="AK1675">
        <f>IF(COUNT($E$2:$E1675)&lt;20,"",AVERAGE($E$1656:$E$1675))</f>
        <v>0</v>
      </c>
      <c r="AL1675">
        <f>IF(COUNT($E$2:$E1675)&lt;20,"",STDEVP($E$1656:$E$1675))</f>
        <v>0</v>
      </c>
      <c r="AM1675">
        <f>IF(AK1675="","",AK1675+2*AL1675)</f>
        <v>0</v>
      </c>
      <c r="AN1675">
        <f>IF(AK1675="","",AK1675-2*AL1675)</f>
        <v>0</v>
      </c>
      <c r="AO1675">
        <f>IF(OR(AM1675="",AN1675="",AM1675=AN1675),"",($E1675-AN1675)/(AM1675-AN1675))</f>
        <v>0</v>
      </c>
      <c r="AP1675">
        <f>IF(OR(AM1675="",AK1675="",AK1675=0),"",(AM1675-AN1675)/AK1675)</f>
        <v>0</v>
      </c>
      <c r="AQ1675">
        <f>IF(COUNT($E$2:$E1675)&lt;20,"",MAX($C$1656:$C$1675))</f>
        <v>0</v>
      </c>
      <c r="AR1675">
        <f>IF(COUNT($E$2:$E1675)&lt;20,"",MIN($D$1656:$D$1675))</f>
        <v>0</v>
      </c>
      <c r="AS1675">
        <f>IF(OR(AQ1675="",AR1675=""),"",(AQ1675+AR1675)/2)</f>
        <v>0</v>
      </c>
      <c r="AT1675">
        <f>IF(COUNT($G$1656:$G$1675)&lt;20,"",STDEV($G$1656:$G$1675)*SQRT(252))</f>
        <v>0</v>
      </c>
      <c r="AU1675">
        <f>IF(COUNT($E$2:$E1675)&lt;9,"",(MAX($C$1667:$C$1675)+MIN($D$1667:$D$1675))/2)</f>
        <v>0</v>
      </c>
      <c r="AV1675">
        <f>IF(COUNT($E$2:$E1675)&lt;26,"",(MAX($C$1650:$C$1675)+MIN($D$1650:$D$1675))/2)</f>
        <v>0</v>
      </c>
      <c r="AW1675">
        <f>IF(OR(AU1675="",AV1675=""),"",(AU1675+AV1675)/2)</f>
        <v>0</v>
      </c>
      <c r="AX1675">
        <f>IF(COUNT($E$2:$E1675)&lt;52,"",(MAX($C$1624:$C$1675)+MIN($D$1624:$D$1675))/2)</f>
        <v>0</v>
      </c>
      <c r="AY1675">
        <f>IF(COUNT($E$2:$E1675)&lt;20,"",MAX($C$1576:$C$1675))</f>
        <v>0</v>
      </c>
      <c r="AZ1675">
        <f>IF(COUNT($E$2:$E1675)&lt;20,"",MIN($D$1576:$D$1675))</f>
        <v>0</v>
      </c>
      <c r="BA1675">
        <f>IF(COUNT($E$2:$E1675)&lt;20,"",SLOPE($E$1576:$E$1675,$F$1576:$F$1675))</f>
        <v>0</v>
      </c>
      <c r="BB1675">
        <f>IF(COUNT($E$2:$E1675)&lt;20,"",INTERCEPT($E$1576:$E$1675,$F$1576:$F$1675))</f>
        <v>0</v>
      </c>
      <c r="BC1675">
        <f>IF(OR(BA1675="",BB1675=""),"",BB1675+BA1675*F1675)</f>
        <v>0</v>
      </c>
      <c r="BD1675">
        <f>IF(COUNT($E$2:$E1675)&lt;20,"",STEYX($E$1576:$E$1675,$F$1576:$F$1675))</f>
        <v>0</v>
      </c>
      <c r="BE1675">
        <f>IF($E1675="","",IF(AND(COUNT($E$1676:$E$1679)&gt;=4,$C1675=MAX($C$1671:$C$1679)),$C1675,""))</f>
        <v>0</v>
      </c>
      <c r="BF1675">
        <f>IF($E1675="","",IF(AND(COUNT($E$1676:$E$1679)&gt;=4,$D1675=MIN($D$1671:$D$1679)),$D1675,""))</f>
        <v>0</v>
      </c>
      <c r="BG1675">
        <f>IF($A1675="","",$A1675-WEEKDAY($A1675,2)+1)</f>
        <v>0</v>
      </c>
      <c r="BH1675">
        <f>IF($A1675="","",IF($A1674="",1,IF(BG1675&lt;&gt;BG1674,1,0)))</f>
        <v>0</v>
      </c>
      <c r="BI1675">
        <f>IF($A1675="","",IF($A1676="",1,IF(BG1676&lt;&gt;BG1675,1,0)))</f>
        <v>0</v>
      </c>
      <c r="BJ1675">
        <f>IF($A1675="","",IF(BH1675=1,$B1675,BJ1674))</f>
        <v>0</v>
      </c>
      <c r="BK1675">
        <f>IF($A1675="","",IF(BH1675=1,$C1675,MAX($C1675,BK1674)))</f>
        <v>0</v>
      </c>
      <c r="BL1675">
        <f>IF($A1675="","",IF(BH1675=1,$D1675,MIN($D1675,BL1674)))</f>
        <v>0</v>
      </c>
      <c r="BM1675">
        <f>IF($A1675="","",IF(BI1675=1,F1675,""))</f>
        <v>0</v>
      </c>
      <c r="BN1675">
        <f>IF($A1675="","",DATE(YEAR($A1675),MONTH($A1675),1))</f>
        <v>0</v>
      </c>
      <c r="BO1675">
        <f>IF($A1675="","",IF($A1674="",1,IF(BN1675&lt;&gt;BN1674,1,0)))</f>
        <v>0</v>
      </c>
      <c r="BP1675">
        <f>IF($A1675="","",IF($A1676="",1,IF(BN1676&lt;&gt;BN1675,1,0)))</f>
        <v>0</v>
      </c>
      <c r="BQ1675">
        <f>IF($A1675="","",IF(BO1675=1,$B1675,BQ1674))</f>
        <v>0</v>
      </c>
      <c r="BR1675">
        <f>IF($A1675="","",IF(BO1675=1,$C1675,MAX($C1675,BR1674)))</f>
        <v>0</v>
      </c>
      <c r="BS1675">
        <f>IF($A1675="","",IF(BO1675=1,$D1675,MIN($D1675,BS1674)))</f>
        <v>0</v>
      </c>
      <c r="BT1675">
        <f>IF($A1675="","",IF(BP1675=1,F1675,""))</f>
        <v>0</v>
      </c>
    </row>
    <row r="1676" spans="1:72">
      <c r="A1676" s="27">
        <f>IF(Data!$A1676="","",Data!$A1676)</f>
        <v>0</v>
      </c>
      <c r="B1676">
        <f>IF(Data!$B1676="","",Data!$B1676)</f>
        <v>0</v>
      </c>
      <c r="C1676">
        <f>IF(Data!$C1676="","",Data!$C1676)</f>
        <v>0</v>
      </c>
      <c r="D1676">
        <f>IF(Data!$D1676="","",Data!$D1676)</f>
        <v>0</v>
      </c>
      <c r="E1676">
        <f>IF(Data!$E1676="","",Data!$E1676)</f>
        <v>0</v>
      </c>
      <c r="F1676">
        <f>IF($E1676="","",N(F1675)+1)</f>
        <v>0</v>
      </c>
      <c r="G1676">
        <f>IF(OR($E1676="",$E1675=""),"",LN($E1676/$E1675))</f>
        <v>0</v>
      </c>
      <c r="H1676">
        <f>IF($E1676="","",IF($E1675="",$E1676,$E1676*0.0952380952+H1675*0.9047619048))</f>
        <v>0</v>
      </c>
      <c r="I1676">
        <f>IF($E1676="","",IF($E1675="",$E1676,$E1676*0.0392156863+I1675*0.9607843137))</f>
        <v>0</v>
      </c>
      <c r="J1676">
        <f>IF($E1676="","",IF($E1675="",$E1676,$E1676*0.0198019802+J1675*0.9801980198))</f>
        <v>0</v>
      </c>
      <c r="K1676">
        <f>IF($E1676="","",IF($E1675="",$E1676,$E1676*0.0099502488+K1675*0.9900497512))</f>
        <v>0</v>
      </c>
      <c r="L1676">
        <f>IF(OR($E1676="",$E1675=""),"",MAX($E1676-$E1675,0))</f>
        <v>0</v>
      </c>
      <c r="M1676">
        <f>IF(OR($E1676="",$E1675=""),"",MAX($E1675-$E1676,0))</f>
        <v>0</v>
      </c>
      <c r="N1676">
        <f>IF(COUNT($E$2:$E1676)&lt;15,"",IF(AVERAGE($M$1663:$M$1676)=0,100,100-100/(1+AVERAGE($L$1663:$L$1676)/AVERAGE($M$1663:$M$1676))))</f>
        <v>0</v>
      </c>
      <c r="O1676">
        <f>IF($E1676="","",IF($E1675="",$E1676,$E1676*0.1538461538+O1675*0.8461538462))</f>
        <v>0</v>
      </c>
      <c r="P1676">
        <f>IF($E1676="","",IF($E1675="",$E1676,$E1676*0.0740740741+P1675*0.9259259259))</f>
        <v>0</v>
      </c>
      <c r="Q1676">
        <f>IF(OR(O1676="",P1676=""),"",O1676-P1676)</f>
        <v>0</v>
      </c>
      <c r="R1676">
        <f>IF(Q1676="","",IF(R1675="",Q1676,Q1676*0.2000000000+R1675*0.8000000000))</f>
        <v>0</v>
      </c>
      <c r="S1676">
        <f>IF(OR(Q1676="",R1676=""),"",Q1676-R1676)</f>
        <v>0</v>
      </c>
      <c r="T1676">
        <f>IF(COUNT($E$2:$E1676)&lt;14,"",MAX($C$1663:$C$1676))</f>
        <v>0</v>
      </c>
      <c r="U1676">
        <f>IF(COUNT($E$2:$E1676)&lt;14,"",MIN($D$1663:$D$1676))</f>
        <v>0</v>
      </c>
      <c r="V1676">
        <f>IF(OR(T1676="",U1676="",T1676=U1676),"",100*($E1676-U1676)/(T1676-U1676))</f>
        <v>0</v>
      </c>
      <c r="W1676">
        <f>IF(COUNT($V$1674:$V$1676)&lt;3,"",AVERAGE($V$1674:$V$1676))</f>
        <v>0</v>
      </c>
      <c r="X1676">
        <f>IF(COUNT($N$1663:$N$1676)&lt;14,"",MIN($N$1663:$N$1676))</f>
        <v>0</v>
      </c>
      <c r="Y1676">
        <f>IF(COUNT($N$1663:$N$1676)&lt;14,"",MAX($N$1663:$N$1676))</f>
        <v>0</v>
      </c>
      <c r="Z1676">
        <f>IF(OR(N1676="",X1676="",Y1676="",Y1676=X1676),"",100*(N1676-X1676)/(Y1676-X1676))</f>
        <v>0</v>
      </c>
      <c r="AA1676">
        <f>IF(COUNT($Z$1674:$Z$1676)&lt;3,"",AVERAGE($Z$1674:$Z$1676))</f>
        <v>0</v>
      </c>
      <c r="AB1676">
        <f>IF(COUNT($AA$1674:$AA$1676)&lt;3,"",AVERAGE($AA$1674:$AA$1676))</f>
        <v>0</v>
      </c>
      <c r="AC1676">
        <f>IF($E1676="","",MAX($C1676-$D1676,ABS($C1676-$E1675),ABS($D1676-$E1675)))</f>
        <v>0</v>
      </c>
      <c r="AD1676">
        <f>IF(COUNT($E$2:$E1676)&lt;15,"",AVERAGE($AC$1663:$AC$1676))</f>
        <v>0</v>
      </c>
      <c r="AE1676">
        <f>IF(OR($E1676="",$E1675=""),"",IF(AND(($C1676-$C1675)&gt;($D1675-$D1676),($C1676-$C1675)&gt;0),$C1676-$C1675,0))</f>
        <v>0</v>
      </c>
      <c r="AF1676">
        <f>IF(OR($E1676="",$E1675=""),"",IF(AND(($D1675-$D1676)&gt;($C1676-$C1675),($D1675-$D1676)&gt;0),$D1675-$D1676,0))</f>
        <v>0</v>
      </c>
      <c r="AG1676">
        <f>IF(COUNT($E$2:$E1676)&lt;15,"",IF(SUM($AC$1663:$AC$1676)=0,0,100*SUM($AE$1663:$AE$1676)/SUM($AC$1663:$AC$1676)))</f>
        <v>0</v>
      </c>
      <c r="AH1676">
        <f>IF(COUNT($E$2:$E1676)&lt;15,"",IF(SUM($AC$1663:$AC$1676)=0,0,100*SUM($AF$1663:$AF$1676)/SUM($AC$1663:$AC$1676)))</f>
        <v>0</v>
      </c>
      <c r="AI1676">
        <f>IF(OR(AG1676="",AH1676=""),"",IF((AG1676+AH1676)=0,0,100*ABS(AG1676-AH1676)/(AG1676+AH1676)))</f>
        <v>0</v>
      </c>
      <c r="AJ1676">
        <f>IF(COUNT($AI$1663:$AI$1676)&lt;14,"",AVERAGE($AI$1663:$AI$1676))</f>
        <v>0</v>
      </c>
      <c r="AK1676">
        <f>IF(COUNT($E$2:$E1676)&lt;20,"",AVERAGE($E$1657:$E$1676))</f>
        <v>0</v>
      </c>
      <c r="AL1676">
        <f>IF(COUNT($E$2:$E1676)&lt;20,"",STDEVP($E$1657:$E$1676))</f>
        <v>0</v>
      </c>
      <c r="AM1676">
        <f>IF(AK1676="","",AK1676+2*AL1676)</f>
        <v>0</v>
      </c>
      <c r="AN1676">
        <f>IF(AK1676="","",AK1676-2*AL1676)</f>
        <v>0</v>
      </c>
      <c r="AO1676">
        <f>IF(OR(AM1676="",AN1676="",AM1676=AN1676),"",($E1676-AN1676)/(AM1676-AN1676))</f>
        <v>0</v>
      </c>
      <c r="AP1676">
        <f>IF(OR(AM1676="",AK1676="",AK1676=0),"",(AM1676-AN1676)/AK1676)</f>
        <v>0</v>
      </c>
      <c r="AQ1676">
        <f>IF(COUNT($E$2:$E1676)&lt;20,"",MAX($C$1657:$C$1676))</f>
        <v>0</v>
      </c>
      <c r="AR1676">
        <f>IF(COUNT($E$2:$E1676)&lt;20,"",MIN($D$1657:$D$1676))</f>
        <v>0</v>
      </c>
      <c r="AS1676">
        <f>IF(OR(AQ1676="",AR1676=""),"",(AQ1676+AR1676)/2)</f>
        <v>0</v>
      </c>
      <c r="AT1676">
        <f>IF(COUNT($G$1657:$G$1676)&lt;20,"",STDEV($G$1657:$G$1676)*SQRT(252))</f>
        <v>0</v>
      </c>
      <c r="AU1676">
        <f>IF(COUNT($E$2:$E1676)&lt;9,"",(MAX($C$1668:$C$1676)+MIN($D$1668:$D$1676))/2)</f>
        <v>0</v>
      </c>
      <c r="AV1676">
        <f>IF(COUNT($E$2:$E1676)&lt;26,"",(MAX($C$1651:$C$1676)+MIN($D$1651:$D$1676))/2)</f>
        <v>0</v>
      </c>
      <c r="AW1676">
        <f>IF(OR(AU1676="",AV1676=""),"",(AU1676+AV1676)/2)</f>
        <v>0</v>
      </c>
      <c r="AX1676">
        <f>IF(COUNT($E$2:$E1676)&lt;52,"",(MAX($C$1625:$C$1676)+MIN($D$1625:$D$1676))/2)</f>
        <v>0</v>
      </c>
      <c r="AY1676">
        <f>IF(COUNT($E$2:$E1676)&lt;20,"",MAX($C$1577:$C$1676))</f>
        <v>0</v>
      </c>
      <c r="AZ1676">
        <f>IF(COUNT($E$2:$E1676)&lt;20,"",MIN($D$1577:$D$1676))</f>
        <v>0</v>
      </c>
      <c r="BA1676">
        <f>IF(COUNT($E$2:$E1676)&lt;20,"",SLOPE($E$1577:$E$1676,$F$1577:$F$1676))</f>
        <v>0</v>
      </c>
      <c r="BB1676">
        <f>IF(COUNT($E$2:$E1676)&lt;20,"",INTERCEPT($E$1577:$E$1676,$F$1577:$F$1676))</f>
        <v>0</v>
      </c>
      <c r="BC1676">
        <f>IF(OR(BA1676="",BB1676=""),"",BB1676+BA1676*F1676)</f>
        <v>0</v>
      </c>
      <c r="BD1676">
        <f>IF(COUNT($E$2:$E1676)&lt;20,"",STEYX($E$1577:$E$1676,$F$1577:$F$1676))</f>
        <v>0</v>
      </c>
      <c r="BE1676">
        <f>IF($E1676="","",IF(AND(COUNT($E$1677:$E$1680)&gt;=4,$C1676=MAX($C$1672:$C$1680)),$C1676,""))</f>
        <v>0</v>
      </c>
      <c r="BF1676">
        <f>IF($E1676="","",IF(AND(COUNT($E$1677:$E$1680)&gt;=4,$D1676=MIN($D$1672:$D$1680)),$D1676,""))</f>
        <v>0</v>
      </c>
      <c r="BG1676">
        <f>IF($A1676="","",$A1676-WEEKDAY($A1676,2)+1)</f>
        <v>0</v>
      </c>
      <c r="BH1676">
        <f>IF($A1676="","",IF($A1675="",1,IF(BG1676&lt;&gt;BG1675,1,0)))</f>
        <v>0</v>
      </c>
      <c r="BI1676">
        <f>IF($A1676="","",IF($A1677="",1,IF(BG1677&lt;&gt;BG1676,1,0)))</f>
        <v>0</v>
      </c>
      <c r="BJ1676">
        <f>IF($A1676="","",IF(BH1676=1,$B1676,BJ1675))</f>
        <v>0</v>
      </c>
      <c r="BK1676">
        <f>IF($A1676="","",IF(BH1676=1,$C1676,MAX($C1676,BK1675)))</f>
        <v>0</v>
      </c>
      <c r="BL1676">
        <f>IF($A1676="","",IF(BH1676=1,$D1676,MIN($D1676,BL1675)))</f>
        <v>0</v>
      </c>
      <c r="BM1676">
        <f>IF($A1676="","",IF(BI1676=1,F1676,""))</f>
        <v>0</v>
      </c>
      <c r="BN1676">
        <f>IF($A1676="","",DATE(YEAR($A1676),MONTH($A1676),1))</f>
        <v>0</v>
      </c>
      <c r="BO1676">
        <f>IF($A1676="","",IF($A1675="",1,IF(BN1676&lt;&gt;BN1675,1,0)))</f>
        <v>0</v>
      </c>
      <c r="BP1676">
        <f>IF($A1676="","",IF($A1677="",1,IF(BN1677&lt;&gt;BN1676,1,0)))</f>
        <v>0</v>
      </c>
      <c r="BQ1676">
        <f>IF($A1676="","",IF(BO1676=1,$B1676,BQ1675))</f>
        <v>0</v>
      </c>
      <c r="BR1676">
        <f>IF($A1676="","",IF(BO1676=1,$C1676,MAX($C1676,BR1675)))</f>
        <v>0</v>
      </c>
      <c r="BS1676">
        <f>IF($A1676="","",IF(BO1676=1,$D1676,MIN($D1676,BS1675)))</f>
        <v>0</v>
      </c>
      <c r="BT1676">
        <f>IF($A1676="","",IF(BP1676=1,F1676,""))</f>
        <v>0</v>
      </c>
    </row>
    <row r="1677" spans="1:72">
      <c r="A1677" s="27">
        <f>IF(Data!$A1677="","",Data!$A1677)</f>
        <v>0</v>
      </c>
      <c r="B1677">
        <f>IF(Data!$B1677="","",Data!$B1677)</f>
        <v>0</v>
      </c>
      <c r="C1677">
        <f>IF(Data!$C1677="","",Data!$C1677)</f>
        <v>0</v>
      </c>
      <c r="D1677">
        <f>IF(Data!$D1677="","",Data!$D1677)</f>
        <v>0</v>
      </c>
      <c r="E1677">
        <f>IF(Data!$E1677="","",Data!$E1677)</f>
        <v>0</v>
      </c>
      <c r="F1677">
        <f>IF($E1677="","",N(F1676)+1)</f>
        <v>0</v>
      </c>
      <c r="G1677">
        <f>IF(OR($E1677="",$E1676=""),"",LN($E1677/$E1676))</f>
        <v>0</v>
      </c>
      <c r="H1677">
        <f>IF($E1677="","",IF($E1676="",$E1677,$E1677*0.0952380952+H1676*0.9047619048))</f>
        <v>0</v>
      </c>
      <c r="I1677">
        <f>IF($E1677="","",IF($E1676="",$E1677,$E1677*0.0392156863+I1676*0.9607843137))</f>
        <v>0</v>
      </c>
      <c r="J1677">
        <f>IF($E1677="","",IF($E1676="",$E1677,$E1677*0.0198019802+J1676*0.9801980198))</f>
        <v>0</v>
      </c>
      <c r="K1677">
        <f>IF($E1677="","",IF($E1676="",$E1677,$E1677*0.0099502488+K1676*0.9900497512))</f>
        <v>0</v>
      </c>
      <c r="L1677">
        <f>IF(OR($E1677="",$E1676=""),"",MAX($E1677-$E1676,0))</f>
        <v>0</v>
      </c>
      <c r="M1677">
        <f>IF(OR($E1677="",$E1676=""),"",MAX($E1676-$E1677,0))</f>
        <v>0</v>
      </c>
      <c r="N1677">
        <f>IF(COUNT($E$2:$E1677)&lt;15,"",IF(AVERAGE($M$1664:$M$1677)=0,100,100-100/(1+AVERAGE($L$1664:$L$1677)/AVERAGE($M$1664:$M$1677))))</f>
        <v>0</v>
      </c>
      <c r="O1677">
        <f>IF($E1677="","",IF($E1676="",$E1677,$E1677*0.1538461538+O1676*0.8461538462))</f>
        <v>0</v>
      </c>
      <c r="P1677">
        <f>IF($E1677="","",IF($E1676="",$E1677,$E1677*0.0740740741+P1676*0.9259259259))</f>
        <v>0</v>
      </c>
      <c r="Q1677">
        <f>IF(OR(O1677="",P1677=""),"",O1677-P1677)</f>
        <v>0</v>
      </c>
      <c r="R1677">
        <f>IF(Q1677="","",IF(R1676="",Q1677,Q1677*0.2000000000+R1676*0.8000000000))</f>
        <v>0</v>
      </c>
      <c r="S1677">
        <f>IF(OR(Q1677="",R1677=""),"",Q1677-R1677)</f>
        <v>0</v>
      </c>
      <c r="T1677">
        <f>IF(COUNT($E$2:$E1677)&lt;14,"",MAX($C$1664:$C$1677))</f>
        <v>0</v>
      </c>
      <c r="U1677">
        <f>IF(COUNT($E$2:$E1677)&lt;14,"",MIN($D$1664:$D$1677))</f>
        <v>0</v>
      </c>
      <c r="V1677">
        <f>IF(OR(T1677="",U1677="",T1677=U1677),"",100*($E1677-U1677)/(T1677-U1677))</f>
        <v>0</v>
      </c>
      <c r="W1677">
        <f>IF(COUNT($V$1675:$V$1677)&lt;3,"",AVERAGE($V$1675:$V$1677))</f>
        <v>0</v>
      </c>
      <c r="X1677">
        <f>IF(COUNT($N$1664:$N$1677)&lt;14,"",MIN($N$1664:$N$1677))</f>
        <v>0</v>
      </c>
      <c r="Y1677">
        <f>IF(COUNT($N$1664:$N$1677)&lt;14,"",MAX($N$1664:$N$1677))</f>
        <v>0</v>
      </c>
      <c r="Z1677">
        <f>IF(OR(N1677="",X1677="",Y1677="",Y1677=X1677),"",100*(N1677-X1677)/(Y1677-X1677))</f>
        <v>0</v>
      </c>
      <c r="AA1677">
        <f>IF(COUNT($Z$1675:$Z$1677)&lt;3,"",AVERAGE($Z$1675:$Z$1677))</f>
        <v>0</v>
      </c>
      <c r="AB1677">
        <f>IF(COUNT($AA$1675:$AA$1677)&lt;3,"",AVERAGE($AA$1675:$AA$1677))</f>
        <v>0</v>
      </c>
      <c r="AC1677">
        <f>IF($E1677="","",MAX($C1677-$D1677,ABS($C1677-$E1676),ABS($D1677-$E1676)))</f>
        <v>0</v>
      </c>
      <c r="AD1677">
        <f>IF(COUNT($E$2:$E1677)&lt;15,"",AVERAGE($AC$1664:$AC$1677))</f>
        <v>0</v>
      </c>
      <c r="AE1677">
        <f>IF(OR($E1677="",$E1676=""),"",IF(AND(($C1677-$C1676)&gt;($D1676-$D1677),($C1677-$C1676)&gt;0),$C1677-$C1676,0))</f>
        <v>0</v>
      </c>
      <c r="AF1677">
        <f>IF(OR($E1677="",$E1676=""),"",IF(AND(($D1676-$D1677)&gt;($C1677-$C1676),($D1676-$D1677)&gt;0),$D1676-$D1677,0))</f>
        <v>0</v>
      </c>
      <c r="AG1677">
        <f>IF(COUNT($E$2:$E1677)&lt;15,"",IF(SUM($AC$1664:$AC$1677)=0,0,100*SUM($AE$1664:$AE$1677)/SUM($AC$1664:$AC$1677)))</f>
        <v>0</v>
      </c>
      <c r="AH1677">
        <f>IF(COUNT($E$2:$E1677)&lt;15,"",IF(SUM($AC$1664:$AC$1677)=0,0,100*SUM($AF$1664:$AF$1677)/SUM($AC$1664:$AC$1677)))</f>
        <v>0</v>
      </c>
      <c r="AI1677">
        <f>IF(OR(AG1677="",AH1677=""),"",IF((AG1677+AH1677)=0,0,100*ABS(AG1677-AH1677)/(AG1677+AH1677)))</f>
        <v>0</v>
      </c>
      <c r="AJ1677">
        <f>IF(COUNT($AI$1664:$AI$1677)&lt;14,"",AVERAGE($AI$1664:$AI$1677))</f>
        <v>0</v>
      </c>
      <c r="AK1677">
        <f>IF(COUNT($E$2:$E1677)&lt;20,"",AVERAGE($E$1658:$E$1677))</f>
        <v>0</v>
      </c>
      <c r="AL1677">
        <f>IF(COUNT($E$2:$E1677)&lt;20,"",STDEVP($E$1658:$E$1677))</f>
        <v>0</v>
      </c>
      <c r="AM1677">
        <f>IF(AK1677="","",AK1677+2*AL1677)</f>
        <v>0</v>
      </c>
      <c r="AN1677">
        <f>IF(AK1677="","",AK1677-2*AL1677)</f>
        <v>0</v>
      </c>
      <c r="AO1677">
        <f>IF(OR(AM1677="",AN1677="",AM1677=AN1677),"",($E1677-AN1677)/(AM1677-AN1677))</f>
        <v>0</v>
      </c>
      <c r="AP1677">
        <f>IF(OR(AM1677="",AK1677="",AK1677=0),"",(AM1677-AN1677)/AK1677)</f>
        <v>0</v>
      </c>
      <c r="AQ1677">
        <f>IF(COUNT($E$2:$E1677)&lt;20,"",MAX($C$1658:$C$1677))</f>
        <v>0</v>
      </c>
      <c r="AR1677">
        <f>IF(COUNT($E$2:$E1677)&lt;20,"",MIN($D$1658:$D$1677))</f>
        <v>0</v>
      </c>
      <c r="AS1677">
        <f>IF(OR(AQ1677="",AR1677=""),"",(AQ1677+AR1677)/2)</f>
        <v>0</v>
      </c>
      <c r="AT1677">
        <f>IF(COUNT($G$1658:$G$1677)&lt;20,"",STDEV($G$1658:$G$1677)*SQRT(252))</f>
        <v>0</v>
      </c>
      <c r="AU1677">
        <f>IF(COUNT($E$2:$E1677)&lt;9,"",(MAX($C$1669:$C$1677)+MIN($D$1669:$D$1677))/2)</f>
        <v>0</v>
      </c>
      <c r="AV1677">
        <f>IF(COUNT($E$2:$E1677)&lt;26,"",(MAX($C$1652:$C$1677)+MIN($D$1652:$D$1677))/2)</f>
        <v>0</v>
      </c>
      <c r="AW1677">
        <f>IF(OR(AU1677="",AV1677=""),"",(AU1677+AV1677)/2)</f>
        <v>0</v>
      </c>
      <c r="AX1677">
        <f>IF(COUNT($E$2:$E1677)&lt;52,"",(MAX($C$1626:$C$1677)+MIN($D$1626:$D$1677))/2)</f>
        <v>0</v>
      </c>
      <c r="AY1677">
        <f>IF(COUNT($E$2:$E1677)&lt;20,"",MAX($C$1578:$C$1677))</f>
        <v>0</v>
      </c>
      <c r="AZ1677">
        <f>IF(COUNT($E$2:$E1677)&lt;20,"",MIN($D$1578:$D$1677))</f>
        <v>0</v>
      </c>
      <c r="BA1677">
        <f>IF(COUNT($E$2:$E1677)&lt;20,"",SLOPE($E$1578:$E$1677,$F$1578:$F$1677))</f>
        <v>0</v>
      </c>
      <c r="BB1677">
        <f>IF(COUNT($E$2:$E1677)&lt;20,"",INTERCEPT($E$1578:$E$1677,$F$1578:$F$1677))</f>
        <v>0</v>
      </c>
      <c r="BC1677">
        <f>IF(OR(BA1677="",BB1677=""),"",BB1677+BA1677*F1677)</f>
        <v>0</v>
      </c>
      <c r="BD1677">
        <f>IF(COUNT($E$2:$E1677)&lt;20,"",STEYX($E$1578:$E$1677,$F$1578:$F$1677))</f>
        <v>0</v>
      </c>
      <c r="BE1677">
        <f>IF($E1677="","",IF(AND(COUNT($E$1678:$E$1681)&gt;=4,$C1677=MAX($C$1673:$C$1681)),$C1677,""))</f>
        <v>0</v>
      </c>
      <c r="BF1677">
        <f>IF($E1677="","",IF(AND(COUNT($E$1678:$E$1681)&gt;=4,$D1677=MIN($D$1673:$D$1681)),$D1677,""))</f>
        <v>0</v>
      </c>
      <c r="BG1677">
        <f>IF($A1677="","",$A1677-WEEKDAY($A1677,2)+1)</f>
        <v>0</v>
      </c>
      <c r="BH1677">
        <f>IF($A1677="","",IF($A1676="",1,IF(BG1677&lt;&gt;BG1676,1,0)))</f>
        <v>0</v>
      </c>
      <c r="BI1677">
        <f>IF($A1677="","",IF($A1678="",1,IF(BG1678&lt;&gt;BG1677,1,0)))</f>
        <v>0</v>
      </c>
      <c r="BJ1677">
        <f>IF($A1677="","",IF(BH1677=1,$B1677,BJ1676))</f>
        <v>0</v>
      </c>
      <c r="BK1677">
        <f>IF($A1677="","",IF(BH1677=1,$C1677,MAX($C1677,BK1676)))</f>
        <v>0</v>
      </c>
      <c r="BL1677">
        <f>IF($A1677="","",IF(BH1677=1,$D1677,MIN($D1677,BL1676)))</f>
        <v>0</v>
      </c>
      <c r="BM1677">
        <f>IF($A1677="","",IF(BI1677=1,F1677,""))</f>
        <v>0</v>
      </c>
      <c r="BN1677">
        <f>IF($A1677="","",DATE(YEAR($A1677),MONTH($A1677),1))</f>
        <v>0</v>
      </c>
      <c r="BO1677">
        <f>IF($A1677="","",IF($A1676="",1,IF(BN1677&lt;&gt;BN1676,1,0)))</f>
        <v>0</v>
      </c>
      <c r="BP1677">
        <f>IF($A1677="","",IF($A1678="",1,IF(BN1678&lt;&gt;BN1677,1,0)))</f>
        <v>0</v>
      </c>
      <c r="BQ1677">
        <f>IF($A1677="","",IF(BO1677=1,$B1677,BQ1676))</f>
        <v>0</v>
      </c>
      <c r="BR1677">
        <f>IF($A1677="","",IF(BO1677=1,$C1677,MAX($C1677,BR1676)))</f>
        <v>0</v>
      </c>
      <c r="BS1677">
        <f>IF($A1677="","",IF(BO1677=1,$D1677,MIN($D1677,BS1676)))</f>
        <v>0</v>
      </c>
      <c r="BT1677">
        <f>IF($A1677="","",IF(BP1677=1,F1677,""))</f>
        <v>0</v>
      </c>
    </row>
    <row r="1678" spans="1:72">
      <c r="A1678" s="27">
        <f>IF(Data!$A1678="","",Data!$A1678)</f>
        <v>0</v>
      </c>
      <c r="B1678">
        <f>IF(Data!$B1678="","",Data!$B1678)</f>
        <v>0</v>
      </c>
      <c r="C1678">
        <f>IF(Data!$C1678="","",Data!$C1678)</f>
        <v>0</v>
      </c>
      <c r="D1678">
        <f>IF(Data!$D1678="","",Data!$D1678)</f>
        <v>0</v>
      </c>
      <c r="E1678">
        <f>IF(Data!$E1678="","",Data!$E1678)</f>
        <v>0</v>
      </c>
      <c r="F1678">
        <f>IF($E1678="","",N(F1677)+1)</f>
        <v>0</v>
      </c>
      <c r="G1678">
        <f>IF(OR($E1678="",$E1677=""),"",LN($E1678/$E1677))</f>
        <v>0</v>
      </c>
      <c r="H1678">
        <f>IF($E1678="","",IF($E1677="",$E1678,$E1678*0.0952380952+H1677*0.9047619048))</f>
        <v>0</v>
      </c>
      <c r="I1678">
        <f>IF($E1678="","",IF($E1677="",$E1678,$E1678*0.0392156863+I1677*0.9607843137))</f>
        <v>0</v>
      </c>
      <c r="J1678">
        <f>IF($E1678="","",IF($E1677="",$E1678,$E1678*0.0198019802+J1677*0.9801980198))</f>
        <v>0</v>
      </c>
      <c r="K1678">
        <f>IF($E1678="","",IF($E1677="",$E1678,$E1678*0.0099502488+K1677*0.9900497512))</f>
        <v>0</v>
      </c>
      <c r="L1678">
        <f>IF(OR($E1678="",$E1677=""),"",MAX($E1678-$E1677,0))</f>
        <v>0</v>
      </c>
      <c r="M1678">
        <f>IF(OR($E1678="",$E1677=""),"",MAX($E1677-$E1678,0))</f>
        <v>0</v>
      </c>
      <c r="N1678">
        <f>IF(COUNT($E$2:$E1678)&lt;15,"",IF(AVERAGE($M$1665:$M$1678)=0,100,100-100/(1+AVERAGE($L$1665:$L$1678)/AVERAGE($M$1665:$M$1678))))</f>
        <v>0</v>
      </c>
      <c r="O1678">
        <f>IF($E1678="","",IF($E1677="",$E1678,$E1678*0.1538461538+O1677*0.8461538462))</f>
        <v>0</v>
      </c>
      <c r="P1678">
        <f>IF($E1678="","",IF($E1677="",$E1678,$E1678*0.0740740741+P1677*0.9259259259))</f>
        <v>0</v>
      </c>
      <c r="Q1678">
        <f>IF(OR(O1678="",P1678=""),"",O1678-P1678)</f>
        <v>0</v>
      </c>
      <c r="R1678">
        <f>IF(Q1678="","",IF(R1677="",Q1678,Q1678*0.2000000000+R1677*0.8000000000))</f>
        <v>0</v>
      </c>
      <c r="S1678">
        <f>IF(OR(Q1678="",R1678=""),"",Q1678-R1678)</f>
        <v>0</v>
      </c>
      <c r="T1678">
        <f>IF(COUNT($E$2:$E1678)&lt;14,"",MAX($C$1665:$C$1678))</f>
        <v>0</v>
      </c>
      <c r="U1678">
        <f>IF(COUNT($E$2:$E1678)&lt;14,"",MIN($D$1665:$D$1678))</f>
        <v>0</v>
      </c>
      <c r="V1678">
        <f>IF(OR(T1678="",U1678="",T1678=U1678),"",100*($E1678-U1678)/(T1678-U1678))</f>
        <v>0</v>
      </c>
      <c r="W1678">
        <f>IF(COUNT($V$1676:$V$1678)&lt;3,"",AVERAGE($V$1676:$V$1678))</f>
        <v>0</v>
      </c>
      <c r="X1678">
        <f>IF(COUNT($N$1665:$N$1678)&lt;14,"",MIN($N$1665:$N$1678))</f>
        <v>0</v>
      </c>
      <c r="Y1678">
        <f>IF(COUNT($N$1665:$N$1678)&lt;14,"",MAX($N$1665:$N$1678))</f>
        <v>0</v>
      </c>
      <c r="Z1678">
        <f>IF(OR(N1678="",X1678="",Y1678="",Y1678=X1678),"",100*(N1678-X1678)/(Y1678-X1678))</f>
        <v>0</v>
      </c>
      <c r="AA1678">
        <f>IF(COUNT($Z$1676:$Z$1678)&lt;3,"",AVERAGE($Z$1676:$Z$1678))</f>
        <v>0</v>
      </c>
      <c r="AB1678">
        <f>IF(COUNT($AA$1676:$AA$1678)&lt;3,"",AVERAGE($AA$1676:$AA$1678))</f>
        <v>0</v>
      </c>
      <c r="AC1678">
        <f>IF($E1678="","",MAX($C1678-$D1678,ABS($C1678-$E1677),ABS($D1678-$E1677)))</f>
        <v>0</v>
      </c>
      <c r="AD1678">
        <f>IF(COUNT($E$2:$E1678)&lt;15,"",AVERAGE($AC$1665:$AC$1678))</f>
        <v>0</v>
      </c>
      <c r="AE1678">
        <f>IF(OR($E1678="",$E1677=""),"",IF(AND(($C1678-$C1677)&gt;($D1677-$D1678),($C1678-$C1677)&gt;0),$C1678-$C1677,0))</f>
        <v>0</v>
      </c>
      <c r="AF1678">
        <f>IF(OR($E1678="",$E1677=""),"",IF(AND(($D1677-$D1678)&gt;($C1678-$C1677),($D1677-$D1678)&gt;0),$D1677-$D1678,0))</f>
        <v>0</v>
      </c>
      <c r="AG1678">
        <f>IF(COUNT($E$2:$E1678)&lt;15,"",IF(SUM($AC$1665:$AC$1678)=0,0,100*SUM($AE$1665:$AE$1678)/SUM($AC$1665:$AC$1678)))</f>
        <v>0</v>
      </c>
      <c r="AH1678">
        <f>IF(COUNT($E$2:$E1678)&lt;15,"",IF(SUM($AC$1665:$AC$1678)=0,0,100*SUM($AF$1665:$AF$1678)/SUM($AC$1665:$AC$1678)))</f>
        <v>0</v>
      </c>
      <c r="AI1678">
        <f>IF(OR(AG1678="",AH1678=""),"",IF((AG1678+AH1678)=0,0,100*ABS(AG1678-AH1678)/(AG1678+AH1678)))</f>
        <v>0</v>
      </c>
      <c r="AJ1678">
        <f>IF(COUNT($AI$1665:$AI$1678)&lt;14,"",AVERAGE($AI$1665:$AI$1678))</f>
        <v>0</v>
      </c>
      <c r="AK1678">
        <f>IF(COUNT($E$2:$E1678)&lt;20,"",AVERAGE($E$1659:$E$1678))</f>
        <v>0</v>
      </c>
      <c r="AL1678">
        <f>IF(COUNT($E$2:$E1678)&lt;20,"",STDEVP($E$1659:$E$1678))</f>
        <v>0</v>
      </c>
      <c r="AM1678">
        <f>IF(AK1678="","",AK1678+2*AL1678)</f>
        <v>0</v>
      </c>
      <c r="AN1678">
        <f>IF(AK1678="","",AK1678-2*AL1678)</f>
        <v>0</v>
      </c>
      <c r="AO1678">
        <f>IF(OR(AM1678="",AN1678="",AM1678=AN1678),"",($E1678-AN1678)/(AM1678-AN1678))</f>
        <v>0</v>
      </c>
      <c r="AP1678">
        <f>IF(OR(AM1678="",AK1678="",AK1678=0),"",(AM1678-AN1678)/AK1678)</f>
        <v>0</v>
      </c>
      <c r="AQ1678">
        <f>IF(COUNT($E$2:$E1678)&lt;20,"",MAX($C$1659:$C$1678))</f>
        <v>0</v>
      </c>
      <c r="AR1678">
        <f>IF(COUNT($E$2:$E1678)&lt;20,"",MIN($D$1659:$D$1678))</f>
        <v>0</v>
      </c>
      <c r="AS1678">
        <f>IF(OR(AQ1678="",AR1678=""),"",(AQ1678+AR1678)/2)</f>
        <v>0</v>
      </c>
      <c r="AT1678">
        <f>IF(COUNT($G$1659:$G$1678)&lt;20,"",STDEV($G$1659:$G$1678)*SQRT(252))</f>
        <v>0</v>
      </c>
      <c r="AU1678">
        <f>IF(COUNT($E$2:$E1678)&lt;9,"",(MAX($C$1670:$C$1678)+MIN($D$1670:$D$1678))/2)</f>
        <v>0</v>
      </c>
      <c r="AV1678">
        <f>IF(COUNT($E$2:$E1678)&lt;26,"",(MAX($C$1653:$C$1678)+MIN($D$1653:$D$1678))/2)</f>
        <v>0</v>
      </c>
      <c r="AW1678">
        <f>IF(OR(AU1678="",AV1678=""),"",(AU1678+AV1678)/2)</f>
        <v>0</v>
      </c>
      <c r="AX1678">
        <f>IF(COUNT($E$2:$E1678)&lt;52,"",(MAX($C$1627:$C$1678)+MIN($D$1627:$D$1678))/2)</f>
        <v>0</v>
      </c>
      <c r="AY1678">
        <f>IF(COUNT($E$2:$E1678)&lt;20,"",MAX($C$1579:$C$1678))</f>
        <v>0</v>
      </c>
      <c r="AZ1678">
        <f>IF(COUNT($E$2:$E1678)&lt;20,"",MIN($D$1579:$D$1678))</f>
        <v>0</v>
      </c>
      <c r="BA1678">
        <f>IF(COUNT($E$2:$E1678)&lt;20,"",SLOPE($E$1579:$E$1678,$F$1579:$F$1678))</f>
        <v>0</v>
      </c>
      <c r="BB1678">
        <f>IF(COUNT($E$2:$E1678)&lt;20,"",INTERCEPT($E$1579:$E$1678,$F$1579:$F$1678))</f>
        <v>0</v>
      </c>
      <c r="BC1678">
        <f>IF(OR(BA1678="",BB1678=""),"",BB1678+BA1678*F1678)</f>
        <v>0</v>
      </c>
      <c r="BD1678">
        <f>IF(COUNT($E$2:$E1678)&lt;20,"",STEYX($E$1579:$E$1678,$F$1579:$F$1678))</f>
        <v>0</v>
      </c>
      <c r="BE1678">
        <f>IF($E1678="","",IF(AND(COUNT($E$1679:$E$1682)&gt;=4,$C1678=MAX($C$1674:$C$1682)),$C1678,""))</f>
        <v>0</v>
      </c>
      <c r="BF1678">
        <f>IF($E1678="","",IF(AND(COUNT($E$1679:$E$1682)&gt;=4,$D1678=MIN($D$1674:$D$1682)),$D1678,""))</f>
        <v>0</v>
      </c>
      <c r="BG1678">
        <f>IF($A1678="","",$A1678-WEEKDAY($A1678,2)+1)</f>
        <v>0</v>
      </c>
      <c r="BH1678">
        <f>IF($A1678="","",IF($A1677="",1,IF(BG1678&lt;&gt;BG1677,1,0)))</f>
        <v>0</v>
      </c>
      <c r="BI1678">
        <f>IF($A1678="","",IF($A1679="",1,IF(BG1679&lt;&gt;BG1678,1,0)))</f>
        <v>0</v>
      </c>
      <c r="BJ1678">
        <f>IF($A1678="","",IF(BH1678=1,$B1678,BJ1677))</f>
        <v>0</v>
      </c>
      <c r="BK1678">
        <f>IF($A1678="","",IF(BH1678=1,$C1678,MAX($C1678,BK1677)))</f>
        <v>0</v>
      </c>
      <c r="BL1678">
        <f>IF($A1678="","",IF(BH1678=1,$D1678,MIN($D1678,BL1677)))</f>
        <v>0</v>
      </c>
      <c r="BM1678">
        <f>IF($A1678="","",IF(BI1678=1,F1678,""))</f>
        <v>0</v>
      </c>
      <c r="BN1678">
        <f>IF($A1678="","",DATE(YEAR($A1678),MONTH($A1678),1))</f>
        <v>0</v>
      </c>
      <c r="BO1678">
        <f>IF($A1678="","",IF($A1677="",1,IF(BN1678&lt;&gt;BN1677,1,0)))</f>
        <v>0</v>
      </c>
      <c r="BP1678">
        <f>IF($A1678="","",IF($A1679="",1,IF(BN1679&lt;&gt;BN1678,1,0)))</f>
        <v>0</v>
      </c>
      <c r="BQ1678">
        <f>IF($A1678="","",IF(BO1678=1,$B1678,BQ1677))</f>
        <v>0</v>
      </c>
      <c r="BR1678">
        <f>IF($A1678="","",IF(BO1678=1,$C1678,MAX($C1678,BR1677)))</f>
        <v>0</v>
      </c>
      <c r="BS1678">
        <f>IF($A1678="","",IF(BO1678=1,$D1678,MIN($D1678,BS1677)))</f>
        <v>0</v>
      </c>
      <c r="BT1678">
        <f>IF($A1678="","",IF(BP1678=1,F1678,""))</f>
        <v>0</v>
      </c>
    </row>
    <row r="1679" spans="1:72">
      <c r="A1679" s="27">
        <f>IF(Data!$A1679="","",Data!$A1679)</f>
        <v>0</v>
      </c>
      <c r="B1679">
        <f>IF(Data!$B1679="","",Data!$B1679)</f>
        <v>0</v>
      </c>
      <c r="C1679">
        <f>IF(Data!$C1679="","",Data!$C1679)</f>
        <v>0</v>
      </c>
      <c r="D1679">
        <f>IF(Data!$D1679="","",Data!$D1679)</f>
        <v>0</v>
      </c>
      <c r="E1679">
        <f>IF(Data!$E1679="","",Data!$E1679)</f>
        <v>0</v>
      </c>
      <c r="F1679">
        <f>IF($E1679="","",N(F1678)+1)</f>
        <v>0</v>
      </c>
      <c r="G1679">
        <f>IF(OR($E1679="",$E1678=""),"",LN($E1679/$E1678))</f>
        <v>0</v>
      </c>
      <c r="H1679">
        <f>IF($E1679="","",IF($E1678="",$E1679,$E1679*0.0952380952+H1678*0.9047619048))</f>
        <v>0</v>
      </c>
      <c r="I1679">
        <f>IF($E1679="","",IF($E1678="",$E1679,$E1679*0.0392156863+I1678*0.9607843137))</f>
        <v>0</v>
      </c>
      <c r="J1679">
        <f>IF($E1679="","",IF($E1678="",$E1679,$E1679*0.0198019802+J1678*0.9801980198))</f>
        <v>0</v>
      </c>
      <c r="K1679">
        <f>IF($E1679="","",IF($E1678="",$E1679,$E1679*0.0099502488+K1678*0.9900497512))</f>
        <v>0</v>
      </c>
      <c r="L1679">
        <f>IF(OR($E1679="",$E1678=""),"",MAX($E1679-$E1678,0))</f>
        <v>0</v>
      </c>
      <c r="M1679">
        <f>IF(OR($E1679="",$E1678=""),"",MAX($E1678-$E1679,0))</f>
        <v>0</v>
      </c>
      <c r="N1679">
        <f>IF(COUNT($E$2:$E1679)&lt;15,"",IF(AVERAGE($M$1666:$M$1679)=0,100,100-100/(1+AVERAGE($L$1666:$L$1679)/AVERAGE($M$1666:$M$1679))))</f>
        <v>0</v>
      </c>
      <c r="O1679">
        <f>IF($E1679="","",IF($E1678="",$E1679,$E1679*0.1538461538+O1678*0.8461538462))</f>
        <v>0</v>
      </c>
      <c r="P1679">
        <f>IF($E1679="","",IF($E1678="",$E1679,$E1679*0.0740740741+P1678*0.9259259259))</f>
        <v>0</v>
      </c>
      <c r="Q1679">
        <f>IF(OR(O1679="",P1679=""),"",O1679-P1679)</f>
        <v>0</v>
      </c>
      <c r="R1679">
        <f>IF(Q1679="","",IF(R1678="",Q1679,Q1679*0.2000000000+R1678*0.8000000000))</f>
        <v>0</v>
      </c>
      <c r="S1679">
        <f>IF(OR(Q1679="",R1679=""),"",Q1679-R1679)</f>
        <v>0</v>
      </c>
      <c r="T1679">
        <f>IF(COUNT($E$2:$E1679)&lt;14,"",MAX($C$1666:$C$1679))</f>
        <v>0</v>
      </c>
      <c r="U1679">
        <f>IF(COUNT($E$2:$E1679)&lt;14,"",MIN($D$1666:$D$1679))</f>
        <v>0</v>
      </c>
      <c r="V1679">
        <f>IF(OR(T1679="",U1679="",T1679=U1679),"",100*($E1679-U1679)/(T1679-U1679))</f>
        <v>0</v>
      </c>
      <c r="W1679">
        <f>IF(COUNT($V$1677:$V$1679)&lt;3,"",AVERAGE($V$1677:$V$1679))</f>
        <v>0</v>
      </c>
      <c r="X1679">
        <f>IF(COUNT($N$1666:$N$1679)&lt;14,"",MIN($N$1666:$N$1679))</f>
        <v>0</v>
      </c>
      <c r="Y1679">
        <f>IF(COUNT($N$1666:$N$1679)&lt;14,"",MAX($N$1666:$N$1679))</f>
        <v>0</v>
      </c>
      <c r="Z1679">
        <f>IF(OR(N1679="",X1679="",Y1679="",Y1679=X1679),"",100*(N1679-X1679)/(Y1679-X1679))</f>
        <v>0</v>
      </c>
      <c r="AA1679">
        <f>IF(COUNT($Z$1677:$Z$1679)&lt;3,"",AVERAGE($Z$1677:$Z$1679))</f>
        <v>0</v>
      </c>
      <c r="AB1679">
        <f>IF(COUNT($AA$1677:$AA$1679)&lt;3,"",AVERAGE($AA$1677:$AA$1679))</f>
        <v>0</v>
      </c>
      <c r="AC1679">
        <f>IF($E1679="","",MAX($C1679-$D1679,ABS($C1679-$E1678),ABS($D1679-$E1678)))</f>
        <v>0</v>
      </c>
      <c r="AD1679">
        <f>IF(COUNT($E$2:$E1679)&lt;15,"",AVERAGE($AC$1666:$AC$1679))</f>
        <v>0</v>
      </c>
      <c r="AE1679">
        <f>IF(OR($E1679="",$E1678=""),"",IF(AND(($C1679-$C1678)&gt;($D1678-$D1679),($C1679-$C1678)&gt;0),$C1679-$C1678,0))</f>
        <v>0</v>
      </c>
      <c r="AF1679">
        <f>IF(OR($E1679="",$E1678=""),"",IF(AND(($D1678-$D1679)&gt;($C1679-$C1678),($D1678-$D1679)&gt;0),$D1678-$D1679,0))</f>
        <v>0</v>
      </c>
      <c r="AG1679">
        <f>IF(COUNT($E$2:$E1679)&lt;15,"",IF(SUM($AC$1666:$AC$1679)=0,0,100*SUM($AE$1666:$AE$1679)/SUM($AC$1666:$AC$1679)))</f>
        <v>0</v>
      </c>
      <c r="AH1679">
        <f>IF(COUNT($E$2:$E1679)&lt;15,"",IF(SUM($AC$1666:$AC$1679)=0,0,100*SUM($AF$1666:$AF$1679)/SUM($AC$1666:$AC$1679)))</f>
        <v>0</v>
      </c>
      <c r="AI1679">
        <f>IF(OR(AG1679="",AH1679=""),"",IF((AG1679+AH1679)=0,0,100*ABS(AG1679-AH1679)/(AG1679+AH1679)))</f>
        <v>0</v>
      </c>
      <c r="AJ1679">
        <f>IF(COUNT($AI$1666:$AI$1679)&lt;14,"",AVERAGE($AI$1666:$AI$1679))</f>
        <v>0</v>
      </c>
      <c r="AK1679">
        <f>IF(COUNT($E$2:$E1679)&lt;20,"",AVERAGE($E$1660:$E$1679))</f>
        <v>0</v>
      </c>
      <c r="AL1679">
        <f>IF(COUNT($E$2:$E1679)&lt;20,"",STDEVP($E$1660:$E$1679))</f>
        <v>0</v>
      </c>
      <c r="AM1679">
        <f>IF(AK1679="","",AK1679+2*AL1679)</f>
        <v>0</v>
      </c>
      <c r="AN1679">
        <f>IF(AK1679="","",AK1679-2*AL1679)</f>
        <v>0</v>
      </c>
      <c r="AO1679">
        <f>IF(OR(AM1679="",AN1679="",AM1679=AN1679),"",($E1679-AN1679)/(AM1679-AN1679))</f>
        <v>0</v>
      </c>
      <c r="AP1679">
        <f>IF(OR(AM1679="",AK1679="",AK1679=0),"",(AM1679-AN1679)/AK1679)</f>
        <v>0</v>
      </c>
      <c r="AQ1679">
        <f>IF(COUNT($E$2:$E1679)&lt;20,"",MAX($C$1660:$C$1679))</f>
        <v>0</v>
      </c>
      <c r="AR1679">
        <f>IF(COUNT($E$2:$E1679)&lt;20,"",MIN($D$1660:$D$1679))</f>
        <v>0</v>
      </c>
      <c r="AS1679">
        <f>IF(OR(AQ1679="",AR1679=""),"",(AQ1679+AR1679)/2)</f>
        <v>0</v>
      </c>
      <c r="AT1679">
        <f>IF(COUNT($G$1660:$G$1679)&lt;20,"",STDEV($G$1660:$G$1679)*SQRT(252))</f>
        <v>0</v>
      </c>
      <c r="AU1679">
        <f>IF(COUNT($E$2:$E1679)&lt;9,"",(MAX($C$1671:$C$1679)+MIN($D$1671:$D$1679))/2)</f>
        <v>0</v>
      </c>
      <c r="AV1679">
        <f>IF(COUNT($E$2:$E1679)&lt;26,"",(MAX($C$1654:$C$1679)+MIN($D$1654:$D$1679))/2)</f>
        <v>0</v>
      </c>
      <c r="AW1679">
        <f>IF(OR(AU1679="",AV1679=""),"",(AU1679+AV1679)/2)</f>
        <v>0</v>
      </c>
      <c r="AX1679">
        <f>IF(COUNT($E$2:$E1679)&lt;52,"",(MAX($C$1628:$C$1679)+MIN($D$1628:$D$1679))/2)</f>
        <v>0</v>
      </c>
      <c r="AY1679">
        <f>IF(COUNT($E$2:$E1679)&lt;20,"",MAX($C$1580:$C$1679))</f>
        <v>0</v>
      </c>
      <c r="AZ1679">
        <f>IF(COUNT($E$2:$E1679)&lt;20,"",MIN($D$1580:$D$1679))</f>
        <v>0</v>
      </c>
      <c r="BA1679">
        <f>IF(COUNT($E$2:$E1679)&lt;20,"",SLOPE($E$1580:$E$1679,$F$1580:$F$1679))</f>
        <v>0</v>
      </c>
      <c r="BB1679">
        <f>IF(COUNT($E$2:$E1679)&lt;20,"",INTERCEPT($E$1580:$E$1679,$F$1580:$F$1679))</f>
        <v>0</v>
      </c>
      <c r="BC1679">
        <f>IF(OR(BA1679="",BB1679=""),"",BB1679+BA1679*F1679)</f>
        <v>0</v>
      </c>
      <c r="BD1679">
        <f>IF(COUNT($E$2:$E1679)&lt;20,"",STEYX($E$1580:$E$1679,$F$1580:$F$1679))</f>
        <v>0</v>
      </c>
      <c r="BE1679">
        <f>IF($E1679="","",IF(AND(COUNT($E$1680:$E$1683)&gt;=4,$C1679=MAX($C$1675:$C$1683)),$C1679,""))</f>
        <v>0</v>
      </c>
      <c r="BF1679">
        <f>IF($E1679="","",IF(AND(COUNT($E$1680:$E$1683)&gt;=4,$D1679=MIN($D$1675:$D$1683)),$D1679,""))</f>
        <v>0</v>
      </c>
      <c r="BG1679">
        <f>IF($A1679="","",$A1679-WEEKDAY($A1679,2)+1)</f>
        <v>0</v>
      </c>
      <c r="BH1679">
        <f>IF($A1679="","",IF($A1678="",1,IF(BG1679&lt;&gt;BG1678,1,0)))</f>
        <v>0</v>
      </c>
      <c r="BI1679">
        <f>IF($A1679="","",IF($A1680="",1,IF(BG1680&lt;&gt;BG1679,1,0)))</f>
        <v>0</v>
      </c>
      <c r="BJ1679">
        <f>IF($A1679="","",IF(BH1679=1,$B1679,BJ1678))</f>
        <v>0</v>
      </c>
      <c r="BK1679">
        <f>IF($A1679="","",IF(BH1679=1,$C1679,MAX($C1679,BK1678)))</f>
        <v>0</v>
      </c>
      <c r="BL1679">
        <f>IF($A1679="","",IF(BH1679=1,$D1679,MIN($D1679,BL1678)))</f>
        <v>0</v>
      </c>
      <c r="BM1679">
        <f>IF($A1679="","",IF(BI1679=1,F1679,""))</f>
        <v>0</v>
      </c>
      <c r="BN1679">
        <f>IF($A1679="","",DATE(YEAR($A1679),MONTH($A1679),1))</f>
        <v>0</v>
      </c>
      <c r="BO1679">
        <f>IF($A1679="","",IF($A1678="",1,IF(BN1679&lt;&gt;BN1678,1,0)))</f>
        <v>0</v>
      </c>
      <c r="BP1679">
        <f>IF($A1679="","",IF($A1680="",1,IF(BN1680&lt;&gt;BN1679,1,0)))</f>
        <v>0</v>
      </c>
      <c r="BQ1679">
        <f>IF($A1679="","",IF(BO1679=1,$B1679,BQ1678))</f>
        <v>0</v>
      </c>
      <c r="BR1679">
        <f>IF($A1679="","",IF(BO1679=1,$C1679,MAX($C1679,BR1678)))</f>
        <v>0</v>
      </c>
      <c r="BS1679">
        <f>IF($A1679="","",IF(BO1679=1,$D1679,MIN($D1679,BS1678)))</f>
        <v>0</v>
      </c>
      <c r="BT1679">
        <f>IF($A1679="","",IF(BP1679=1,F1679,""))</f>
        <v>0</v>
      </c>
    </row>
    <row r="1680" spans="1:72">
      <c r="A1680" s="27">
        <f>IF(Data!$A1680="","",Data!$A1680)</f>
        <v>0</v>
      </c>
      <c r="B1680">
        <f>IF(Data!$B1680="","",Data!$B1680)</f>
        <v>0</v>
      </c>
      <c r="C1680">
        <f>IF(Data!$C1680="","",Data!$C1680)</f>
        <v>0</v>
      </c>
      <c r="D1680">
        <f>IF(Data!$D1680="","",Data!$D1680)</f>
        <v>0</v>
      </c>
      <c r="E1680">
        <f>IF(Data!$E1680="","",Data!$E1680)</f>
        <v>0</v>
      </c>
      <c r="F1680">
        <f>IF($E1680="","",N(F1679)+1)</f>
        <v>0</v>
      </c>
      <c r="G1680">
        <f>IF(OR($E1680="",$E1679=""),"",LN($E1680/$E1679))</f>
        <v>0</v>
      </c>
      <c r="H1680">
        <f>IF($E1680="","",IF($E1679="",$E1680,$E1680*0.0952380952+H1679*0.9047619048))</f>
        <v>0</v>
      </c>
      <c r="I1680">
        <f>IF($E1680="","",IF($E1679="",$E1680,$E1680*0.0392156863+I1679*0.9607843137))</f>
        <v>0</v>
      </c>
      <c r="J1680">
        <f>IF($E1680="","",IF($E1679="",$E1680,$E1680*0.0198019802+J1679*0.9801980198))</f>
        <v>0</v>
      </c>
      <c r="K1680">
        <f>IF($E1680="","",IF($E1679="",$E1680,$E1680*0.0099502488+K1679*0.9900497512))</f>
        <v>0</v>
      </c>
      <c r="L1680">
        <f>IF(OR($E1680="",$E1679=""),"",MAX($E1680-$E1679,0))</f>
        <v>0</v>
      </c>
      <c r="M1680">
        <f>IF(OR($E1680="",$E1679=""),"",MAX($E1679-$E1680,0))</f>
        <v>0</v>
      </c>
      <c r="N1680">
        <f>IF(COUNT($E$2:$E1680)&lt;15,"",IF(AVERAGE($M$1667:$M$1680)=0,100,100-100/(1+AVERAGE($L$1667:$L$1680)/AVERAGE($M$1667:$M$1680))))</f>
        <v>0</v>
      </c>
      <c r="O1680">
        <f>IF($E1680="","",IF($E1679="",$E1680,$E1680*0.1538461538+O1679*0.8461538462))</f>
        <v>0</v>
      </c>
      <c r="P1680">
        <f>IF($E1680="","",IF($E1679="",$E1680,$E1680*0.0740740741+P1679*0.9259259259))</f>
        <v>0</v>
      </c>
      <c r="Q1680">
        <f>IF(OR(O1680="",P1680=""),"",O1680-P1680)</f>
        <v>0</v>
      </c>
      <c r="R1680">
        <f>IF(Q1680="","",IF(R1679="",Q1680,Q1680*0.2000000000+R1679*0.8000000000))</f>
        <v>0</v>
      </c>
      <c r="S1680">
        <f>IF(OR(Q1680="",R1680=""),"",Q1680-R1680)</f>
        <v>0</v>
      </c>
      <c r="T1680">
        <f>IF(COUNT($E$2:$E1680)&lt;14,"",MAX($C$1667:$C$1680))</f>
        <v>0</v>
      </c>
      <c r="U1680">
        <f>IF(COUNT($E$2:$E1680)&lt;14,"",MIN($D$1667:$D$1680))</f>
        <v>0</v>
      </c>
      <c r="V1680">
        <f>IF(OR(T1680="",U1680="",T1680=U1680),"",100*($E1680-U1680)/(T1680-U1680))</f>
        <v>0</v>
      </c>
      <c r="W1680">
        <f>IF(COUNT($V$1678:$V$1680)&lt;3,"",AVERAGE($V$1678:$V$1680))</f>
        <v>0</v>
      </c>
      <c r="X1680">
        <f>IF(COUNT($N$1667:$N$1680)&lt;14,"",MIN($N$1667:$N$1680))</f>
        <v>0</v>
      </c>
      <c r="Y1680">
        <f>IF(COUNT($N$1667:$N$1680)&lt;14,"",MAX($N$1667:$N$1680))</f>
        <v>0</v>
      </c>
      <c r="Z1680">
        <f>IF(OR(N1680="",X1680="",Y1680="",Y1680=X1680),"",100*(N1680-X1680)/(Y1680-X1680))</f>
        <v>0</v>
      </c>
      <c r="AA1680">
        <f>IF(COUNT($Z$1678:$Z$1680)&lt;3,"",AVERAGE($Z$1678:$Z$1680))</f>
        <v>0</v>
      </c>
      <c r="AB1680">
        <f>IF(COUNT($AA$1678:$AA$1680)&lt;3,"",AVERAGE($AA$1678:$AA$1680))</f>
        <v>0</v>
      </c>
      <c r="AC1680">
        <f>IF($E1680="","",MAX($C1680-$D1680,ABS($C1680-$E1679),ABS($D1680-$E1679)))</f>
        <v>0</v>
      </c>
      <c r="AD1680">
        <f>IF(COUNT($E$2:$E1680)&lt;15,"",AVERAGE($AC$1667:$AC$1680))</f>
        <v>0</v>
      </c>
      <c r="AE1680">
        <f>IF(OR($E1680="",$E1679=""),"",IF(AND(($C1680-$C1679)&gt;($D1679-$D1680),($C1680-$C1679)&gt;0),$C1680-$C1679,0))</f>
        <v>0</v>
      </c>
      <c r="AF1680">
        <f>IF(OR($E1680="",$E1679=""),"",IF(AND(($D1679-$D1680)&gt;($C1680-$C1679),($D1679-$D1680)&gt;0),$D1679-$D1680,0))</f>
        <v>0</v>
      </c>
      <c r="AG1680">
        <f>IF(COUNT($E$2:$E1680)&lt;15,"",IF(SUM($AC$1667:$AC$1680)=0,0,100*SUM($AE$1667:$AE$1680)/SUM($AC$1667:$AC$1680)))</f>
        <v>0</v>
      </c>
      <c r="AH1680">
        <f>IF(COUNT($E$2:$E1680)&lt;15,"",IF(SUM($AC$1667:$AC$1680)=0,0,100*SUM($AF$1667:$AF$1680)/SUM($AC$1667:$AC$1680)))</f>
        <v>0</v>
      </c>
      <c r="AI1680">
        <f>IF(OR(AG1680="",AH1680=""),"",IF((AG1680+AH1680)=0,0,100*ABS(AG1680-AH1680)/(AG1680+AH1680)))</f>
        <v>0</v>
      </c>
      <c r="AJ1680">
        <f>IF(COUNT($AI$1667:$AI$1680)&lt;14,"",AVERAGE($AI$1667:$AI$1680))</f>
        <v>0</v>
      </c>
      <c r="AK1680">
        <f>IF(COUNT($E$2:$E1680)&lt;20,"",AVERAGE($E$1661:$E$1680))</f>
        <v>0</v>
      </c>
      <c r="AL1680">
        <f>IF(COUNT($E$2:$E1680)&lt;20,"",STDEVP($E$1661:$E$1680))</f>
        <v>0</v>
      </c>
      <c r="AM1680">
        <f>IF(AK1680="","",AK1680+2*AL1680)</f>
        <v>0</v>
      </c>
      <c r="AN1680">
        <f>IF(AK1680="","",AK1680-2*AL1680)</f>
        <v>0</v>
      </c>
      <c r="AO1680">
        <f>IF(OR(AM1680="",AN1680="",AM1680=AN1680),"",($E1680-AN1680)/(AM1680-AN1680))</f>
        <v>0</v>
      </c>
      <c r="AP1680">
        <f>IF(OR(AM1680="",AK1680="",AK1680=0),"",(AM1680-AN1680)/AK1680)</f>
        <v>0</v>
      </c>
      <c r="AQ1680">
        <f>IF(COUNT($E$2:$E1680)&lt;20,"",MAX($C$1661:$C$1680))</f>
        <v>0</v>
      </c>
      <c r="AR1680">
        <f>IF(COUNT($E$2:$E1680)&lt;20,"",MIN($D$1661:$D$1680))</f>
        <v>0</v>
      </c>
      <c r="AS1680">
        <f>IF(OR(AQ1680="",AR1680=""),"",(AQ1680+AR1680)/2)</f>
        <v>0</v>
      </c>
      <c r="AT1680">
        <f>IF(COUNT($G$1661:$G$1680)&lt;20,"",STDEV($G$1661:$G$1680)*SQRT(252))</f>
        <v>0</v>
      </c>
      <c r="AU1680">
        <f>IF(COUNT($E$2:$E1680)&lt;9,"",(MAX($C$1672:$C$1680)+MIN($D$1672:$D$1680))/2)</f>
        <v>0</v>
      </c>
      <c r="AV1680">
        <f>IF(COUNT($E$2:$E1680)&lt;26,"",(MAX($C$1655:$C$1680)+MIN($D$1655:$D$1680))/2)</f>
        <v>0</v>
      </c>
      <c r="AW1680">
        <f>IF(OR(AU1680="",AV1680=""),"",(AU1680+AV1680)/2)</f>
        <v>0</v>
      </c>
      <c r="AX1680">
        <f>IF(COUNT($E$2:$E1680)&lt;52,"",(MAX($C$1629:$C$1680)+MIN($D$1629:$D$1680))/2)</f>
        <v>0</v>
      </c>
      <c r="AY1680">
        <f>IF(COUNT($E$2:$E1680)&lt;20,"",MAX($C$1581:$C$1680))</f>
        <v>0</v>
      </c>
      <c r="AZ1680">
        <f>IF(COUNT($E$2:$E1680)&lt;20,"",MIN($D$1581:$D$1680))</f>
        <v>0</v>
      </c>
      <c r="BA1680">
        <f>IF(COUNT($E$2:$E1680)&lt;20,"",SLOPE($E$1581:$E$1680,$F$1581:$F$1680))</f>
        <v>0</v>
      </c>
      <c r="BB1680">
        <f>IF(COUNT($E$2:$E1680)&lt;20,"",INTERCEPT($E$1581:$E$1680,$F$1581:$F$1680))</f>
        <v>0</v>
      </c>
      <c r="BC1680">
        <f>IF(OR(BA1680="",BB1680=""),"",BB1680+BA1680*F1680)</f>
        <v>0</v>
      </c>
      <c r="BD1680">
        <f>IF(COUNT($E$2:$E1680)&lt;20,"",STEYX($E$1581:$E$1680,$F$1581:$F$1680))</f>
        <v>0</v>
      </c>
      <c r="BE1680">
        <f>IF($E1680="","",IF(AND(COUNT($E$1681:$E$1684)&gt;=4,$C1680=MAX($C$1676:$C$1684)),$C1680,""))</f>
        <v>0</v>
      </c>
      <c r="BF1680">
        <f>IF($E1680="","",IF(AND(COUNT($E$1681:$E$1684)&gt;=4,$D1680=MIN($D$1676:$D$1684)),$D1680,""))</f>
        <v>0</v>
      </c>
      <c r="BG1680">
        <f>IF($A1680="","",$A1680-WEEKDAY($A1680,2)+1)</f>
        <v>0</v>
      </c>
      <c r="BH1680">
        <f>IF($A1680="","",IF($A1679="",1,IF(BG1680&lt;&gt;BG1679,1,0)))</f>
        <v>0</v>
      </c>
      <c r="BI1680">
        <f>IF($A1680="","",IF($A1681="",1,IF(BG1681&lt;&gt;BG1680,1,0)))</f>
        <v>0</v>
      </c>
      <c r="BJ1680">
        <f>IF($A1680="","",IF(BH1680=1,$B1680,BJ1679))</f>
        <v>0</v>
      </c>
      <c r="BK1680">
        <f>IF($A1680="","",IF(BH1680=1,$C1680,MAX($C1680,BK1679)))</f>
        <v>0</v>
      </c>
      <c r="BL1680">
        <f>IF($A1680="","",IF(BH1680=1,$D1680,MIN($D1680,BL1679)))</f>
        <v>0</v>
      </c>
      <c r="BM1680">
        <f>IF($A1680="","",IF(BI1680=1,F1680,""))</f>
        <v>0</v>
      </c>
      <c r="BN1680">
        <f>IF($A1680="","",DATE(YEAR($A1680),MONTH($A1680),1))</f>
        <v>0</v>
      </c>
      <c r="BO1680">
        <f>IF($A1680="","",IF($A1679="",1,IF(BN1680&lt;&gt;BN1679,1,0)))</f>
        <v>0</v>
      </c>
      <c r="BP1680">
        <f>IF($A1680="","",IF($A1681="",1,IF(BN1681&lt;&gt;BN1680,1,0)))</f>
        <v>0</v>
      </c>
      <c r="BQ1680">
        <f>IF($A1680="","",IF(BO1680=1,$B1680,BQ1679))</f>
        <v>0</v>
      </c>
      <c r="BR1680">
        <f>IF($A1680="","",IF(BO1680=1,$C1680,MAX($C1680,BR1679)))</f>
        <v>0</v>
      </c>
      <c r="BS1680">
        <f>IF($A1680="","",IF(BO1680=1,$D1680,MIN($D1680,BS1679)))</f>
        <v>0</v>
      </c>
      <c r="BT1680">
        <f>IF($A1680="","",IF(BP1680=1,F1680,""))</f>
        <v>0</v>
      </c>
    </row>
    <row r="1681" spans="1:72">
      <c r="A1681" s="27">
        <f>IF(Data!$A1681="","",Data!$A1681)</f>
        <v>0</v>
      </c>
      <c r="B1681">
        <f>IF(Data!$B1681="","",Data!$B1681)</f>
        <v>0</v>
      </c>
      <c r="C1681">
        <f>IF(Data!$C1681="","",Data!$C1681)</f>
        <v>0</v>
      </c>
      <c r="D1681">
        <f>IF(Data!$D1681="","",Data!$D1681)</f>
        <v>0</v>
      </c>
      <c r="E1681">
        <f>IF(Data!$E1681="","",Data!$E1681)</f>
        <v>0</v>
      </c>
      <c r="F1681">
        <f>IF($E1681="","",N(F1680)+1)</f>
        <v>0</v>
      </c>
      <c r="G1681">
        <f>IF(OR($E1681="",$E1680=""),"",LN($E1681/$E1680))</f>
        <v>0</v>
      </c>
      <c r="H1681">
        <f>IF($E1681="","",IF($E1680="",$E1681,$E1681*0.0952380952+H1680*0.9047619048))</f>
        <v>0</v>
      </c>
      <c r="I1681">
        <f>IF($E1681="","",IF($E1680="",$E1681,$E1681*0.0392156863+I1680*0.9607843137))</f>
        <v>0</v>
      </c>
      <c r="J1681">
        <f>IF($E1681="","",IF($E1680="",$E1681,$E1681*0.0198019802+J1680*0.9801980198))</f>
        <v>0</v>
      </c>
      <c r="K1681">
        <f>IF($E1681="","",IF($E1680="",$E1681,$E1681*0.0099502488+K1680*0.9900497512))</f>
        <v>0</v>
      </c>
      <c r="L1681">
        <f>IF(OR($E1681="",$E1680=""),"",MAX($E1681-$E1680,0))</f>
        <v>0</v>
      </c>
      <c r="M1681">
        <f>IF(OR($E1681="",$E1680=""),"",MAX($E1680-$E1681,0))</f>
        <v>0</v>
      </c>
      <c r="N1681">
        <f>IF(COUNT($E$2:$E1681)&lt;15,"",IF(AVERAGE($M$1668:$M$1681)=0,100,100-100/(1+AVERAGE($L$1668:$L$1681)/AVERAGE($M$1668:$M$1681))))</f>
        <v>0</v>
      </c>
      <c r="O1681">
        <f>IF($E1681="","",IF($E1680="",$E1681,$E1681*0.1538461538+O1680*0.8461538462))</f>
        <v>0</v>
      </c>
      <c r="P1681">
        <f>IF($E1681="","",IF($E1680="",$E1681,$E1681*0.0740740741+P1680*0.9259259259))</f>
        <v>0</v>
      </c>
      <c r="Q1681">
        <f>IF(OR(O1681="",P1681=""),"",O1681-P1681)</f>
        <v>0</v>
      </c>
      <c r="R1681">
        <f>IF(Q1681="","",IF(R1680="",Q1681,Q1681*0.2000000000+R1680*0.8000000000))</f>
        <v>0</v>
      </c>
      <c r="S1681">
        <f>IF(OR(Q1681="",R1681=""),"",Q1681-R1681)</f>
        <v>0</v>
      </c>
      <c r="T1681">
        <f>IF(COUNT($E$2:$E1681)&lt;14,"",MAX($C$1668:$C$1681))</f>
        <v>0</v>
      </c>
      <c r="U1681">
        <f>IF(COUNT($E$2:$E1681)&lt;14,"",MIN($D$1668:$D$1681))</f>
        <v>0</v>
      </c>
      <c r="V1681">
        <f>IF(OR(T1681="",U1681="",T1681=U1681),"",100*($E1681-U1681)/(T1681-U1681))</f>
        <v>0</v>
      </c>
      <c r="W1681">
        <f>IF(COUNT($V$1679:$V$1681)&lt;3,"",AVERAGE($V$1679:$V$1681))</f>
        <v>0</v>
      </c>
      <c r="X1681">
        <f>IF(COUNT($N$1668:$N$1681)&lt;14,"",MIN($N$1668:$N$1681))</f>
        <v>0</v>
      </c>
      <c r="Y1681">
        <f>IF(COUNT($N$1668:$N$1681)&lt;14,"",MAX($N$1668:$N$1681))</f>
        <v>0</v>
      </c>
      <c r="Z1681">
        <f>IF(OR(N1681="",X1681="",Y1681="",Y1681=X1681),"",100*(N1681-X1681)/(Y1681-X1681))</f>
        <v>0</v>
      </c>
      <c r="AA1681">
        <f>IF(COUNT($Z$1679:$Z$1681)&lt;3,"",AVERAGE($Z$1679:$Z$1681))</f>
        <v>0</v>
      </c>
      <c r="AB1681">
        <f>IF(COUNT($AA$1679:$AA$1681)&lt;3,"",AVERAGE($AA$1679:$AA$1681))</f>
        <v>0</v>
      </c>
      <c r="AC1681">
        <f>IF($E1681="","",MAX($C1681-$D1681,ABS($C1681-$E1680),ABS($D1681-$E1680)))</f>
        <v>0</v>
      </c>
      <c r="AD1681">
        <f>IF(COUNT($E$2:$E1681)&lt;15,"",AVERAGE($AC$1668:$AC$1681))</f>
        <v>0</v>
      </c>
      <c r="AE1681">
        <f>IF(OR($E1681="",$E1680=""),"",IF(AND(($C1681-$C1680)&gt;($D1680-$D1681),($C1681-$C1680)&gt;0),$C1681-$C1680,0))</f>
        <v>0</v>
      </c>
      <c r="AF1681">
        <f>IF(OR($E1681="",$E1680=""),"",IF(AND(($D1680-$D1681)&gt;($C1681-$C1680),($D1680-$D1681)&gt;0),$D1680-$D1681,0))</f>
        <v>0</v>
      </c>
      <c r="AG1681">
        <f>IF(COUNT($E$2:$E1681)&lt;15,"",IF(SUM($AC$1668:$AC$1681)=0,0,100*SUM($AE$1668:$AE$1681)/SUM($AC$1668:$AC$1681)))</f>
        <v>0</v>
      </c>
      <c r="AH1681">
        <f>IF(COUNT($E$2:$E1681)&lt;15,"",IF(SUM($AC$1668:$AC$1681)=0,0,100*SUM($AF$1668:$AF$1681)/SUM($AC$1668:$AC$1681)))</f>
        <v>0</v>
      </c>
      <c r="AI1681">
        <f>IF(OR(AG1681="",AH1681=""),"",IF((AG1681+AH1681)=0,0,100*ABS(AG1681-AH1681)/(AG1681+AH1681)))</f>
        <v>0</v>
      </c>
      <c r="AJ1681">
        <f>IF(COUNT($AI$1668:$AI$1681)&lt;14,"",AVERAGE($AI$1668:$AI$1681))</f>
        <v>0</v>
      </c>
      <c r="AK1681">
        <f>IF(COUNT($E$2:$E1681)&lt;20,"",AVERAGE($E$1662:$E$1681))</f>
        <v>0</v>
      </c>
      <c r="AL1681">
        <f>IF(COUNT($E$2:$E1681)&lt;20,"",STDEVP($E$1662:$E$1681))</f>
        <v>0</v>
      </c>
      <c r="AM1681">
        <f>IF(AK1681="","",AK1681+2*AL1681)</f>
        <v>0</v>
      </c>
      <c r="AN1681">
        <f>IF(AK1681="","",AK1681-2*AL1681)</f>
        <v>0</v>
      </c>
      <c r="AO1681">
        <f>IF(OR(AM1681="",AN1681="",AM1681=AN1681),"",($E1681-AN1681)/(AM1681-AN1681))</f>
        <v>0</v>
      </c>
      <c r="AP1681">
        <f>IF(OR(AM1681="",AK1681="",AK1681=0),"",(AM1681-AN1681)/AK1681)</f>
        <v>0</v>
      </c>
      <c r="AQ1681">
        <f>IF(COUNT($E$2:$E1681)&lt;20,"",MAX($C$1662:$C$1681))</f>
        <v>0</v>
      </c>
      <c r="AR1681">
        <f>IF(COUNT($E$2:$E1681)&lt;20,"",MIN($D$1662:$D$1681))</f>
        <v>0</v>
      </c>
      <c r="AS1681">
        <f>IF(OR(AQ1681="",AR1681=""),"",(AQ1681+AR1681)/2)</f>
        <v>0</v>
      </c>
      <c r="AT1681">
        <f>IF(COUNT($G$1662:$G$1681)&lt;20,"",STDEV($G$1662:$G$1681)*SQRT(252))</f>
        <v>0</v>
      </c>
      <c r="AU1681">
        <f>IF(COUNT($E$2:$E1681)&lt;9,"",(MAX($C$1673:$C$1681)+MIN($D$1673:$D$1681))/2)</f>
        <v>0</v>
      </c>
      <c r="AV1681">
        <f>IF(COUNT($E$2:$E1681)&lt;26,"",(MAX($C$1656:$C$1681)+MIN($D$1656:$D$1681))/2)</f>
        <v>0</v>
      </c>
      <c r="AW1681">
        <f>IF(OR(AU1681="",AV1681=""),"",(AU1681+AV1681)/2)</f>
        <v>0</v>
      </c>
      <c r="AX1681">
        <f>IF(COUNT($E$2:$E1681)&lt;52,"",(MAX($C$1630:$C$1681)+MIN($D$1630:$D$1681))/2)</f>
        <v>0</v>
      </c>
      <c r="AY1681">
        <f>IF(COUNT($E$2:$E1681)&lt;20,"",MAX($C$1582:$C$1681))</f>
        <v>0</v>
      </c>
      <c r="AZ1681">
        <f>IF(COUNT($E$2:$E1681)&lt;20,"",MIN($D$1582:$D$1681))</f>
        <v>0</v>
      </c>
      <c r="BA1681">
        <f>IF(COUNT($E$2:$E1681)&lt;20,"",SLOPE($E$1582:$E$1681,$F$1582:$F$1681))</f>
        <v>0</v>
      </c>
      <c r="BB1681">
        <f>IF(COUNT($E$2:$E1681)&lt;20,"",INTERCEPT($E$1582:$E$1681,$F$1582:$F$1681))</f>
        <v>0</v>
      </c>
      <c r="BC1681">
        <f>IF(OR(BA1681="",BB1681=""),"",BB1681+BA1681*F1681)</f>
        <v>0</v>
      </c>
      <c r="BD1681">
        <f>IF(COUNT($E$2:$E1681)&lt;20,"",STEYX($E$1582:$E$1681,$F$1582:$F$1681))</f>
        <v>0</v>
      </c>
      <c r="BE1681">
        <f>IF($E1681="","",IF(AND(COUNT($E$1682:$E$1685)&gt;=4,$C1681=MAX($C$1677:$C$1685)),$C1681,""))</f>
        <v>0</v>
      </c>
      <c r="BF1681">
        <f>IF($E1681="","",IF(AND(COUNT($E$1682:$E$1685)&gt;=4,$D1681=MIN($D$1677:$D$1685)),$D1681,""))</f>
        <v>0</v>
      </c>
      <c r="BG1681">
        <f>IF($A1681="","",$A1681-WEEKDAY($A1681,2)+1)</f>
        <v>0</v>
      </c>
      <c r="BH1681">
        <f>IF($A1681="","",IF($A1680="",1,IF(BG1681&lt;&gt;BG1680,1,0)))</f>
        <v>0</v>
      </c>
      <c r="BI1681">
        <f>IF($A1681="","",IF($A1682="",1,IF(BG1682&lt;&gt;BG1681,1,0)))</f>
        <v>0</v>
      </c>
      <c r="BJ1681">
        <f>IF($A1681="","",IF(BH1681=1,$B1681,BJ1680))</f>
        <v>0</v>
      </c>
      <c r="BK1681">
        <f>IF($A1681="","",IF(BH1681=1,$C1681,MAX($C1681,BK1680)))</f>
        <v>0</v>
      </c>
      <c r="BL1681">
        <f>IF($A1681="","",IF(BH1681=1,$D1681,MIN($D1681,BL1680)))</f>
        <v>0</v>
      </c>
      <c r="BM1681">
        <f>IF($A1681="","",IF(BI1681=1,F1681,""))</f>
        <v>0</v>
      </c>
      <c r="BN1681">
        <f>IF($A1681="","",DATE(YEAR($A1681),MONTH($A1681),1))</f>
        <v>0</v>
      </c>
      <c r="BO1681">
        <f>IF($A1681="","",IF($A1680="",1,IF(BN1681&lt;&gt;BN1680,1,0)))</f>
        <v>0</v>
      </c>
      <c r="BP1681">
        <f>IF($A1681="","",IF($A1682="",1,IF(BN1682&lt;&gt;BN1681,1,0)))</f>
        <v>0</v>
      </c>
      <c r="BQ1681">
        <f>IF($A1681="","",IF(BO1681=1,$B1681,BQ1680))</f>
        <v>0</v>
      </c>
      <c r="BR1681">
        <f>IF($A1681="","",IF(BO1681=1,$C1681,MAX($C1681,BR1680)))</f>
        <v>0</v>
      </c>
      <c r="BS1681">
        <f>IF($A1681="","",IF(BO1681=1,$D1681,MIN($D1681,BS1680)))</f>
        <v>0</v>
      </c>
      <c r="BT1681">
        <f>IF($A1681="","",IF(BP1681=1,F1681,""))</f>
        <v>0</v>
      </c>
    </row>
    <row r="1682" spans="1:72">
      <c r="A1682" s="27">
        <f>IF(Data!$A1682="","",Data!$A1682)</f>
        <v>0</v>
      </c>
      <c r="B1682">
        <f>IF(Data!$B1682="","",Data!$B1682)</f>
        <v>0</v>
      </c>
      <c r="C1682">
        <f>IF(Data!$C1682="","",Data!$C1682)</f>
        <v>0</v>
      </c>
      <c r="D1682">
        <f>IF(Data!$D1682="","",Data!$D1682)</f>
        <v>0</v>
      </c>
      <c r="E1682">
        <f>IF(Data!$E1682="","",Data!$E1682)</f>
        <v>0</v>
      </c>
      <c r="F1682">
        <f>IF($E1682="","",N(F1681)+1)</f>
        <v>0</v>
      </c>
      <c r="G1682">
        <f>IF(OR($E1682="",$E1681=""),"",LN($E1682/$E1681))</f>
        <v>0</v>
      </c>
      <c r="H1682">
        <f>IF($E1682="","",IF($E1681="",$E1682,$E1682*0.0952380952+H1681*0.9047619048))</f>
        <v>0</v>
      </c>
      <c r="I1682">
        <f>IF($E1682="","",IF($E1681="",$E1682,$E1682*0.0392156863+I1681*0.9607843137))</f>
        <v>0</v>
      </c>
      <c r="J1682">
        <f>IF($E1682="","",IF($E1681="",$E1682,$E1682*0.0198019802+J1681*0.9801980198))</f>
        <v>0</v>
      </c>
      <c r="K1682">
        <f>IF($E1682="","",IF($E1681="",$E1682,$E1682*0.0099502488+K1681*0.9900497512))</f>
        <v>0</v>
      </c>
      <c r="L1682">
        <f>IF(OR($E1682="",$E1681=""),"",MAX($E1682-$E1681,0))</f>
        <v>0</v>
      </c>
      <c r="M1682">
        <f>IF(OR($E1682="",$E1681=""),"",MAX($E1681-$E1682,0))</f>
        <v>0</v>
      </c>
      <c r="N1682">
        <f>IF(COUNT($E$2:$E1682)&lt;15,"",IF(AVERAGE($M$1669:$M$1682)=0,100,100-100/(1+AVERAGE($L$1669:$L$1682)/AVERAGE($M$1669:$M$1682))))</f>
        <v>0</v>
      </c>
      <c r="O1682">
        <f>IF($E1682="","",IF($E1681="",$E1682,$E1682*0.1538461538+O1681*0.8461538462))</f>
        <v>0</v>
      </c>
      <c r="P1682">
        <f>IF($E1682="","",IF($E1681="",$E1682,$E1682*0.0740740741+P1681*0.9259259259))</f>
        <v>0</v>
      </c>
      <c r="Q1682">
        <f>IF(OR(O1682="",P1682=""),"",O1682-P1682)</f>
        <v>0</v>
      </c>
      <c r="R1682">
        <f>IF(Q1682="","",IF(R1681="",Q1682,Q1682*0.2000000000+R1681*0.8000000000))</f>
        <v>0</v>
      </c>
      <c r="S1682">
        <f>IF(OR(Q1682="",R1682=""),"",Q1682-R1682)</f>
        <v>0</v>
      </c>
      <c r="T1682">
        <f>IF(COUNT($E$2:$E1682)&lt;14,"",MAX($C$1669:$C$1682))</f>
        <v>0</v>
      </c>
      <c r="U1682">
        <f>IF(COUNT($E$2:$E1682)&lt;14,"",MIN($D$1669:$D$1682))</f>
        <v>0</v>
      </c>
      <c r="V1682">
        <f>IF(OR(T1682="",U1682="",T1682=U1682),"",100*($E1682-U1682)/(T1682-U1682))</f>
        <v>0</v>
      </c>
      <c r="W1682">
        <f>IF(COUNT($V$1680:$V$1682)&lt;3,"",AVERAGE($V$1680:$V$1682))</f>
        <v>0</v>
      </c>
      <c r="X1682">
        <f>IF(COUNT($N$1669:$N$1682)&lt;14,"",MIN($N$1669:$N$1682))</f>
        <v>0</v>
      </c>
      <c r="Y1682">
        <f>IF(COUNT($N$1669:$N$1682)&lt;14,"",MAX($N$1669:$N$1682))</f>
        <v>0</v>
      </c>
      <c r="Z1682">
        <f>IF(OR(N1682="",X1682="",Y1682="",Y1682=X1682),"",100*(N1682-X1682)/(Y1682-X1682))</f>
        <v>0</v>
      </c>
      <c r="AA1682">
        <f>IF(COUNT($Z$1680:$Z$1682)&lt;3,"",AVERAGE($Z$1680:$Z$1682))</f>
        <v>0</v>
      </c>
      <c r="AB1682">
        <f>IF(COUNT($AA$1680:$AA$1682)&lt;3,"",AVERAGE($AA$1680:$AA$1682))</f>
        <v>0</v>
      </c>
      <c r="AC1682">
        <f>IF($E1682="","",MAX($C1682-$D1682,ABS($C1682-$E1681),ABS($D1682-$E1681)))</f>
        <v>0</v>
      </c>
      <c r="AD1682">
        <f>IF(COUNT($E$2:$E1682)&lt;15,"",AVERAGE($AC$1669:$AC$1682))</f>
        <v>0</v>
      </c>
      <c r="AE1682">
        <f>IF(OR($E1682="",$E1681=""),"",IF(AND(($C1682-$C1681)&gt;($D1681-$D1682),($C1682-$C1681)&gt;0),$C1682-$C1681,0))</f>
        <v>0</v>
      </c>
      <c r="AF1682">
        <f>IF(OR($E1682="",$E1681=""),"",IF(AND(($D1681-$D1682)&gt;($C1682-$C1681),($D1681-$D1682)&gt;0),$D1681-$D1682,0))</f>
        <v>0</v>
      </c>
      <c r="AG1682">
        <f>IF(COUNT($E$2:$E1682)&lt;15,"",IF(SUM($AC$1669:$AC$1682)=0,0,100*SUM($AE$1669:$AE$1682)/SUM($AC$1669:$AC$1682)))</f>
        <v>0</v>
      </c>
      <c r="AH1682">
        <f>IF(COUNT($E$2:$E1682)&lt;15,"",IF(SUM($AC$1669:$AC$1682)=0,0,100*SUM($AF$1669:$AF$1682)/SUM($AC$1669:$AC$1682)))</f>
        <v>0</v>
      </c>
      <c r="AI1682">
        <f>IF(OR(AG1682="",AH1682=""),"",IF((AG1682+AH1682)=0,0,100*ABS(AG1682-AH1682)/(AG1682+AH1682)))</f>
        <v>0</v>
      </c>
      <c r="AJ1682">
        <f>IF(COUNT($AI$1669:$AI$1682)&lt;14,"",AVERAGE($AI$1669:$AI$1682))</f>
        <v>0</v>
      </c>
      <c r="AK1682">
        <f>IF(COUNT($E$2:$E1682)&lt;20,"",AVERAGE($E$1663:$E$1682))</f>
        <v>0</v>
      </c>
      <c r="AL1682">
        <f>IF(COUNT($E$2:$E1682)&lt;20,"",STDEVP($E$1663:$E$1682))</f>
        <v>0</v>
      </c>
      <c r="AM1682">
        <f>IF(AK1682="","",AK1682+2*AL1682)</f>
        <v>0</v>
      </c>
      <c r="AN1682">
        <f>IF(AK1682="","",AK1682-2*AL1682)</f>
        <v>0</v>
      </c>
      <c r="AO1682">
        <f>IF(OR(AM1682="",AN1682="",AM1682=AN1682),"",($E1682-AN1682)/(AM1682-AN1682))</f>
        <v>0</v>
      </c>
      <c r="AP1682">
        <f>IF(OR(AM1682="",AK1682="",AK1682=0),"",(AM1682-AN1682)/AK1682)</f>
        <v>0</v>
      </c>
      <c r="AQ1682">
        <f>IF(COUNT($E$2:$E1682)&lt;20,"",MAX($C$1663:$C$1682))</f>
        <v>0</v>
      </c>
      <c r="AR1682">
        <f>IF(COUNT($E$2:$E1682)&lt;20,"",MIN($D$1663:$D$1682))</f>
        <v>0</v>
      </c>
      <c r="AS1682">
        <f>IF(OR(AQ1682="",AR1682=""),"",(AQ1682+AR1682)/2)</f>
        <v>0</v>
      </c>
      <c r="AT1682">
        <f>IF(COUNT($G$1663:$G$1682)&lt;20,"",STDEV($G$1663:$G$1682)*SQRT(252))</f>
        <v>0</v>
      </c>
      <c r="AU1682">
        <f>IF(COUNT($E$2:$E1682)&lt;9,"",(MAX($C$1674:$C$1682)+MIN($D$1674:$D$1682))/2)</f>
        <v>0</v>
      </c>
      <c r="AV1682">
        <f>IF(COUNT($E$2:$E1682)&lt;26,"",(MAX($C$1657:$C$1682)+MIN($D$1657:$D$1682))/2)</f>
        <v>0</v>
      </c>
      <c r="AW1682">
        <f>IF(OR(AU1682="",AV1682=""),"",(AU1682+AV1682)/2)</f>
        <v>0</v>
      </c>
      <c r="AX1682">
        <f>IF(COUNT($E$2:$E1682)&lt;52,"",(MAX($C$1631:$C$1682)+MIN($D$1631:$D$1682))/2)</f>
        <v>0</v>
      </c>
      <c r="AY1682">
        <f>IF(COUNT($E$2:$E1682)&lt;20,"",MAX($C$1583:$C$1682))</f>
        <v>0</v>
      </c>
      <c r="AZ1682">
        <f>IF(COUNT($E$2:$E1682)&lt;20,"",MIN($D$1583:$D$1682))</f>
        <v>0</v>
      </c>
      <c r="BA1682">
        <f>IF(COUNT($E$2:$E1682)&lt;20,"",SLOPE($E$1583:$E$1682,$F$1583:$F$1682))</f>
        <v>0</v>
      </c>
      <c r="BB1682">
        <f>IF(COUNT($E$2:$E1682)&lt;20,"",INTERCEPT($E$1583:$E$1682,$F$1583:$F$1682))</f>
        <v>0</v>
      </c>
      <c r="BC1682">
        <f>IF(OR(BA1682="",BB1682=""),"",BB1682+BA1682*F1682)</f>
        <v>0</v>
      </c>
      <c r="BD1682">
        <f>IF(COUNT($E$2:$E1682)&lt;20,"",STEYX($E$1583:$E$1682,$F$1583:$F$1682))</f>
        <v>0</v>
      </c>
      <c r="BE1682">
        <f>IF($E1682="","",IF(AND(COUNT($E$1683:$E$1686)&gt;=4,$C1682=MAX($C$1678:$C$1686)),$C1682,""))</f>
        <v>0</v>
      </c>
      <c r="BF1682">
        <f>IF($E1682="","",IF(AND(COUNT($E$1683:$E$1686)&gt;=4,$D1682=MIN($D$1678:$D$1686)),$D1682,""))</f>
        <v>0</v>
      </c>
      <c r="BG1682">
        <f>IF($A1682="","",$A1682-WEEKDAY($A1682,2)+1)</f>
        <v>0</v>
      </c>
      <c r="BH1682">
        <f>IF($A1682="","",IF($A1681="",1,IF(BG1682&lt;&gt;BG1681,1,0)))</f>
        <v>0</v>
      </c>
      <c r="BI1682">
        <f>IF($A1682="","",IF($A1683="",1,IF(BG1683&lt;&gt;BG1682,1,0)))</f>
        <v>0</v>
      </c>
      <c r="BJ1682">
        <f>IF($A1682="","",IF(BH1682=1,$B1682,BJ1681))</f>
        <v>0</v>
      </c>
      <c r="BK1682">
        <f>IF($A1682="","",IF(BH1682=1,$C1682,MAX($C1682,BK1681)))</f>
        <v>0</v>
      </c>
      <c r="BL1682">
        <f>IF($A1682="","",IF(BH1682=1,$D1682,MIN($D1682,BL1681)))</f>
        <v>0</v>
      </c>
      <c r="BM1682">
        <f>IF($A1682="","",IF(BI1682=1,F1682,""))</f>
        <v>0</v>
      </c>
      <c r="BN1682">
        <f>IF($A1682="","",DATE(YEAR($A1682),MONTH($A1682),1))</f>
        <v>0</v>
      </c>
      <c r="BO1682">
        <f>IF($A1682="","",IF($A1681="",1,IF(BN1682&lt;&gt;BN1681,1,0)))</f>
        <v>0</v>
      </c>
      <c r="BP1682">
        <f>IF($A1682="","",IF($A1683="",1,IF(BN1683&lt;&gt;BN1682,1,0)))</f>
        <v>0</v>
      </c>
      <c r="BQ1682">
        <f>IF($A1682="","",IF(BO1682=1,$B1682,BQ1681))</f>
        <v>0</v>
      </c>
      <c r="BR1682">
        <f>IF($A1682="","",IF(BO1682=1,$C1682,MAX($C1682,BR1681)))</f>
        <v>0</v>
      </c>
      <c r="BS1682">
        <f>IF($A1682="","",IF(BO1682=1,$D1682,MIN($D1682,BS1681)))</f>
        <v>0</v>
      </c>
      <c r="BT1682">
        <f>IF($A1682="","",IF(BP1682=1,F1682,""))</f>
        <v>0</v>
      </c>
    </row>
    <row r="1683" spans="1:72">
      <c r="A1683" s="27">
        <f>IF(Data!$A1683="","",Data!$A1683)</f>
        <v>0</v>
      </c>
      <c r="B1683">
        <f>IF(Data!$B1683="","",Data!$B1683)</f>
        <v>0</v>
      </c>
      <c r="C1683">
        <f>IF(Data!$C1683="","",Data!$C1683)</f>
        <v>0</v>
      </c>
      <c r="D1683">
        <f>IF(Data!$D1683="","",Data!$D1683)</f>
        <v>0</v>
      </c>
      <c r="E1683">
        <f>IF(Data!$E1683="","",Data!$E1683)</f>
        <v>0</v>
      </c>
      <c r="F1683">
        <f>IF($E1683="","",N(F1682)+1)</f>
        <v>0</v>
      </c>
      <c r="G1683">
        <f>IF(OR($E1683="",$E1682=""),"",LN($E1683/$E1682))</f>
        <v>0</v>
      </c>
      <c r="H1683">
        <f>IF($E1683="","",IF($E1682="",$E1683,$E1683*0.0952380952+H1682*0.9047619048))</f>
        <v>0</v>
      </c>
      <c r="I1683">
        <f>IF($E1683="","",IF($E1682="",$E1683,$E1683*0.0392156863+I1682*0.9607843137))</f>
        <v>0</v>
      </c>
      <c r="J1683">
        <f>IF($E1683="","",IF($E1682="",$E1683,$E1683*0.0198019802+J1682*0.9801980198))</f>
        <v>0</v>
      </c>
      <c r="K1683">
        <f>IF($E1683="","",IF($E1682="",$E1683,$E1683*0.0099502488+K1682*0.9900497512))</f>
        <v>0</v>
      </c>
      <c r="L1683">
        <f>IF(OR($E1683="",$E1682=""),"",MAX($E1683-$E1682,0))</f>
        <v>0</v>
      </c>
      <c r="M1683">
        <f>IF(OR($E1683="",$E1682=""),"",MAX($E1682-$E1683,0))</f>
        <v>0</v>
      </c>
      <c r="N1683">
        <f>IF(COUNT($E$2:$E1683)&lt;15,"",IF(AVERAGE($M$1670:$M$1683)=0,100,100-100/(1+AVERAGE($L$1670:$L$1683)/AVERAGE($M$1670:$M$1683))))</f>
        <v>0</v>
      </c>
      <c r="O1683">
        <f>IF($E1683="","",IF($E1682="",$E1683,$E1683*0.1538461538+O1682*0.8461538462))</f>
        <v>0</v>
      </c>
      <c r="P1683">
        <f>IF($E1683="","",IF($E1682="",$E1683,$E1683*0.0740740741+P1682*0.9259259259))</f>
        <v>0</v>
      </c>
      <c r="Q1683">
        <f>IF(OR(O1683="",P1683=""),"",O1683-P1683)</f>
        <v>0</v>
      </c>
      <c r="R1683">
        <f>IF(Q1683="","",IF(R1682="",Q1683,Q1683*0.2000000000+R1682*0.8000000000))</f>
        <v>0</v>
      </c>
      <c r="S1683">
        <f>IF(OR(Q1683="",R1683=""),"",Q1683-R1683)</f>
        <v>0</v>
      </c>
      <c r="T1683">
        <f>IF(COUNT($E$2:$E1683)&lt;14,"",MAX($C$1670:$C$1683))</f>
        <v>0</v>
      </c>
      <c r="U1683">
        <f>IF(COUNT($E$2:$E1683)&lt;14,"",MIN($D$1670:$D$1683))</f>
        <v>0</v>
      </c>
      <c r="V1683">
        <f>IF(OR(T1683="",U1683="",T1683=U1683),"",100*($E1683-U1683)/(T1683-U1683))</f>
        <v>0</v>
      </c>
      <c r="W1683">
        <f>IF(COUNT($V$1681:$V$1683)&lt;3,"",AVERAGE($V$1681:$V$1683))</f>
        <v>0</v>
      </c>
      <c r="X1683">
        <f>IF(COUNT($N$1670:$N$1683)&lt;14,"",MIN($N$1670:$N$1683))</f>
        <v>0</v>
      </c>
      <c r="Y1683">
        <f>IF(COUNT($N$1670:$N$1683)&lt;14,"",MAX($N$1670:$N$1683))</f>
        <v>0</v>
      </c>
      <c r="Z1683">
        <f>IF(OR(N1683="",X1683="",Y1683="",Y1683=X1683),"",100*(N1683-X1683)/(Y1683-X1683))</f>
        <v>0</v>
      </c>
      <c r="AA1683">
        <f>IF(COUNT($Z$1681:$Z$1683)&lt;3,"",AVERAGE($Z$1681:$Z$1683))</f>
        <v>0</v>
      </c>
      <c r="AB1683">
        <f>IF(COUNT($AA$1681:$AA$1683)&lt;3,"",AVERAGE($AA$1681:$AA$1683))</f>
        <v>0</v>
      </c>
      <c r="AC1683">
        <f>IF($E1683="","",MAX($C1683-$D1683,ABS($C1683-$E1682),ABS($D1683-$E1682)))</f>
        <v>0</v>
      </c>
      <c r="AD1683">
        <f>IF(COUNT($E$2:$E1683)&lt;15,"",AVERAGE($AC$1670:$AC$1683))</f>
        <v>0</v>
      </c>
      <c r="AE1683">
        <f>IF(OR($E1683="",$E1682=""),"",IF(AND(($C1683-$C1682)&gt;($D1682-$D1683),($C1683-$C1682)&gt;0),$C1683-$C1682,0))</f>
        <v>0</v>
      </c>
      <c r="AF1683">
        <f>IF(OR($E1683="",$E1682=""),"",IF(AND(($D1682-$D1683)&gt;($C1683-$C1682),($D1682-$D1683)&gt;0),$D1682-$D1683,0))</f>
        <v>0</v>
      </c>
      <c r="AG1683">
        <f>IF(COUNT($E$2:$E1683)&lt;15,"",IF(SUM($AC$1670:$AC$1683)=0,0,100*SUM($AE$1670:$AE$1683)/SUM($AC$1670:$AC$1683)))</f>
        <v>0</v>
      </c>
      <c r="AH1683">
        <f>IF(COUNT($E$2:$E1683)&lt;15,"",IF(SUM($AC$1670:$AC$1683)=0,0,100*SUM($AF$1670:$AF$1683)/SUM($AC$1670:$AC$1683)))</f>
        <v>0</v>
      </c>
      <c r="AI1683">
        <f>IF(OR(AG1683="",AH1683=""),"",IF((AG1683+AH1683)=0,0,100*ABS(AG1683-AH1683)/(AG1683+AH1683)))</f>
        <v>0</v>
      </c>
      <c r="AJ1683">
        <f>IF(COUNT($AI$1670:$AI$1683)&lt;14,"",AVERAGE($AI$1670:$AI$1683))</f>
        <v>0</v>
      </c>
      <c r="AK1683">
        <f>IF(COUNT($E$2:$E1683)&lt;20,"",AVERAGE($E$1664:$E$1683))</f>
        <v>0</v>
      </c>
      <c r="AL1683">
        <f>IF(COUNT($E$2:$E1683)&lt;20,"",STDEVP($E$1664:$E$1683))</f>
        <v>0</v>
      </c>
      <c r="AM1683">
        <f>IF(AK1683="","",AK1683+2*AL1683)</f>
        <v>0</v>
      </c>
      <c r="AN1683">
        <f>IF(AK1683="","",AK1683-2*AL1683)</f>
        <v>0</v>
      </c>
      <c r="AO1683">
        <f>IF(OR(AM1683="",AN1683="",AM1683=AN1683),"",($E1683-AN1683)/(AM1683-AN1683))</f>
        <v>0</v>
      </c>
      <c r="AP1683">
        <f>IF(OR(AM1683="",AK1683="",AK1683=0),"",(AM1683-AN1683)/AK1683)</f>
        <v>0</v>
      </c>
      <c r="AQ1683">
        <f>IF(COUNT($E$2:$E1683)&lt;20,"",MAX($C$1664:$C$1683))</f>
        <v>0</v>
      </c>
      <c r="AR1683">
        <f>IF(COUNT($E$2:$E1683)&lt;20,"",MIN($D$1664:$D$1683))</f>
        <v>0</v>
      </c>
      <c r="AS1683">
        <f>IF(OR(AQ1683="",AR1683=""),"",(AQ1683+AR1683)/2)</f>
        <v>0</v>
      </c>
      <c r="AT1683">
        <f>IF(COUNT($G$1664:$G$1683)&lt;20,"",STDEV($G$1664:$G$1683)*SQRT(252))</f>
        <v>0</v>
      </c>
      <c r="AU1683">
        <f>IF(COUNT($E$2:$E1683)&lt;9,"",(MAX($C$1675:$C$1683)+MIN($D$1675:$D$1683))/2)</f>
        <v>0</v>
      </c>
      <c r="AV1683">
        <f>IF(COUNT($E$2:$E1683)&lt;26,"",(MAX($C$1658:$C$1683)+MIN($D$1658:$D$1683))/2)</f>
        <v>0</v>
      </c>
      <c r="AW1683">
        <f>IF(OR(AU1683="",AV1683=""),"",(AU1683+AV1683)/2)</f>
        <v>0</v>
      </c>
      <c r="AX1683">
        <f>IF(COUNT($E$2:$E1683)&lt;52,"",(MAX($C$1632:$C$1683)+MIN($D$1632:$D$1683))/2)</f>
        <v>0</v>
      </c>
      <c r="AY1683">
        <f>IF(COUNT($E$2:$E1683)&lt;20,"",MAX($C$1584:$C$1683))</f>
        <v>0</v>
      </c>
      <c r="AZ1683">
        <f>IF(COUNT($E$2:$E1683)&lt;20,"",MIN($D$1584:$D$1683))</f>
        <v>0</v>
      </c>
      <c r="BA1683">
        <f>IF(COUNT($E$2:$E1683)&lt;20,"",SLOPE($E$1584:$E$1683,$F$1584:$F$1683))</f>
        <v>0</v>
      </c>
      <c r="BB1683">
        <f>IF(COUNT($E$2:$E1683)&lt;20,"",INTERCEPT($E$1584:$E$1683,$F$1584:$F$1683))</f>
        <v>0</v>
      </c>
      <c r="BC1683">
        <f>IF(OR(BA1683="",BB1683=""),"",BB1683+BA1683*F1683)</f>
        <v>0</v>
      </c>
      <c r="BD1683">
        <f>IF(COUNT($E$2:$E1683)&lt;20,"",STEYX($E$1584:$E$1683,$F$1584:$F$1683))</f>
        <v>0</v>
      </c>
      <c r="BE1683">
        <f>IF($E1683="","",IF(AND(COUNT($E$1684:$E$1687)&gt;=4,$C1683=MAX($C$1679:$C$1687)),$C1683,""))</f>
        <v>0</v>
      </c>
      <c r="BF1683">
        <f>IF($E1683="","",IF(AND(COUNT($E$1684:$E$1687)&gt;=4,$D1683=MIN($D$1679:$D$1687)),$D1683,""))</f>
        <v>0</v>
      </c>
      <c r="BG1683">
        <f>IF($A1683="","",$A1683-WEEKDAY($A1683,2)+1)</f>
        <v>0</v>
      </c>
      <c r="BH1683">
        <f>IF($A1683="","",IF($A1682="",1,IF(BG1683&lt;&gt;BG1682,1,0)))</f>
        <v>0</v>
      </c>
      <c r="BI1683">
        <f>IF($A1683="","",IF($A1684="",1,IF(BG1684&lt;&gt;BG1683,1,0)))</f>
        <v>0</v>
      </c>
      <c r="BJ1683">
        <f>IF($A1683="","",IF(BH1683=1,$B1683,BJ1682))</f>
        <v>0</v>
      </c>
      <c r="BK1683">
        <f>IF($A1683="","",IF(BH1683=1,$C1683,MAX($C1683,BK1682)))</f>
        <v>0</v>
      </c>
      <c r="BL1683">
        <f>IF($A1683="","",IF(BH1683=1,$D1683,MIN($D1683,BL1682)))</f>
        <v>0</v>
      </c>
      <c r="BM1683">
        <f>IF($A1683="","",IF(BI1683=1,F1683,""))</f>
        <v>0</v>
      </c>
      <c r="BN1683">
        <f>IF($A1683="","",DATE(YEAR($A1683),MONTH($A1683),1))</f>
        <v>0</v>
      </c>
      <c r="BO1683">
        <f>IF($A1683="","",IF($A1682="",1,IF(BN1683&lt;&gt;BN1682,1,0)))</f>
        <v>0</v>
      </c>
      <c r="BP1683">
        <f>IF($A1683="","",IF($A1684="",1,IF(BN1684&lt;&gt;BN1683,1,0)))</f>
        <v>0</v>
      </c>
      <c r="BQ1683">
        <f>IF($A1683="","",IF(BO1683=1,$B1683,BQ1682))</f>
        <v>0</v>
      </c>
      <c r="BR1683">
        <f>IF($A1683="","",IF(BO1683=1,$C1683,MAX($C1683,BR1682)))</f>
        <v>0</v>
      </c>
      <c r="BS1683">
        <f>IF($A1683="","",IF(BO1683=1,$D1683,MIN($D1683,BS1682)))</f>
        <v>0</v>
      </c>
      <c r="BT1683">
        <f>IF($A1683="","",IF(BP1683=1,F1683,""))</f>
        <v>0</v>
      </c>
    </row>
    <row r="1684" spans="1:72">
      <c r="A1684" s="27">
        <f>IF(Data!$A1684="","",Data!$A1684)</f>
        <v>0</v>
      </c>
      <c r="B1684">
        <f>IF(Data!$B1684="","",Data!$B1684)</f>
        <v>0</v>
      </c>
      <c r="C1684">
        <f>IF(Data!$C1684="","",Data!$C1684)</f>
        <v>0</v>
      </c>
      <c r="D1684">
        <f>IF(Data!$D1684="","",Data!$D1684)</f>
        <v>0</v>
      </c>
      <c r="E1684">
        <f>IF(Data!$E1684="","",Data!$E1684)</f>
        <v>0</v>
      </c>
      <c r="F1684">
        <f>IF($E1684="","",N(F1683)+1)</f>
        <v>0</v>
      </c>
      <c r="G1684">
        <f>IF(OR($E1684="",$E1683=""),"",LN($E1684/$E1683))</f>
        <v>0</v>
      </c>
      <c r="H1684">
        <f>IF($E1684="","",IF($E1683="",$E1684,$E1684*0.0952380952+H1683*0.9047619048))</f>
        <v>0</v>
      </c>
      <c r="I1684">
        <f>IF($E1684="","",IF($E1683="",$E1684,$E1684*0.0392156863+I1683*0.9607843137))</f>
        <v>0</v>
      </c>
      <c r="J1684">
        <f>IF($E1684="","",IF($E1683="",$E1684,$E1684*0.0198019802+J1683*0.9801980198))</f>
        <v>0</v>
      </c>
      <c r="K1684">
        <f>IF($E1684="","",IF($E1683="",$E1684,$E1684*0.0099502488+K1683*0.9900497512))</f>
        <v>0</v>
      </c>
      <c r="L1684">
        <f>IF(OR($E1684="",$E1683=""),"",MAX($E1684-$E1683,0))</f>
        <v>0</v>
      </c>
      <c r="M1684">
        <f>IF(OR($E1684="",$E1683=""),"",MAX($E1683-$E1684,0))</f>
        <v>0</v>
      </c>
      <c r="N1684">
        <f>IF(COUNT($E$2:$E1684)&lt;15,"",IF(AVERAGE($M$1671:$M$1684)=0,100,100-100/(1+AVERAGE($L$1671:$L$1684)/AVERAGE($M$1671:$M$1684))))</f>
        <v>0</v>
      </c>
      <c r="O1684">
        <f>IF($E1684="","",IF($E1683="",$E1684,$E1684*0.1538461538+O1683*0.8461538462))</f>
        <v>0</v>
      </c>
      <c r="P1684">
        <f>IF($E1684="","",IF($E1683="",$E1684,$E1684*0.0740740741+P1683*0.9259259259))</f>
        <v>0</v>
      </c>
      <c r="Q1684">
        <f>IF(OR(O1684="",P1684=""),"",O1684-P1684)</f>
        <v>0</v>
      </c>
      <c r="R1684">
        <f>IF(Q1684="","",IF(R1683="",Q1684,Q1684*0.2000000000+R1683*0.8000000000))</f>
        <v>0</v>
      </c>
      <c r="S1684">
        <f>IF(OR(Q1684="",R1684=""),"",Q1684-R1684)</f>
        <v>0</v>
      </c>
      <c r="T1684">
        <f>IF(COUNT($E$2:$E1684)&lt;14,"",MAX($C$1671:$C$1684))</f>
        <v>0</v>
      </c>
      <c r="U1684">
        <f>IF(COUNT($E$2:$E1684)&lt;14,"",MIN($D$1671:$D$1684))</f>
        <v>0</v>
      </c>
      <c r="V1684">
        <f>IF(OR(T1684="",U1684="",T1684=U1684),"",100*($E1684-U1684)/(T1684-U1684))</f>
        <v>0</v>
      </c>
      <c r="W1684">
        <f>IF(COUNT($V$1682:$V$1684)&lt;3,"",AVERAGE($V$1682:$V$1684))</f>
        <v>0</v>
      </c>
      <c r="X1684">
        <f>IF(COUNT($N$1671:$N$1684)&lt;14,"",MIN($N$1671:$N$1684))</f>
        <v>0</v>
      </c>
      <c r="Y1684">
        <f>IF(COUNT($N$1671:$N$1684)&lt;14,"",MAX($N$1671:$N$1684))</f>
        <v>0</v>
      </c>
      <c r="Z1684">
        <f>IF(OR(N1684="",X1684="",Y1684="",Y1684=X1684),"",100*(N1684-X1684)/(Y1684-X1684))</f>
        <v>0</v>
      </c>
      <c r="AA1684">
        <f>IF(COUNT($Z$1682:$Z$1684)&lt;3,"",AVERAGE($Z$1682:$Z$1684))</f>
        <v>0</v>
      </c>
      <c r="AB1684">
        <f>IF(COUNT($AA$1682:$AA$1684)&lt;3,"",AVERAGE($AA$1682:$AA$1684))</f>
        <v>0</v>
      </c>
      <c r="AC1684">
        <f>IF($E1684="","",MAX($C1684-$D1684,ABS($C1684-$E1683),ABS($D1684-$E1683)))</f>
        <v>0</v>
      </c>
      <c r="AD1684">
        <f>IF(COUNT($E$2:$E1684)&lt;15,"",AVERAGE($AC$1671:$AC$1684))</f>
        <v>0</v>
      </c>
      <c r="AE1684">
        <f>IF(OR($E1684="",$E1683=""),"",IF(AND(($C1684-$C1683)&gt;($D1683-$D1684),($C1684-$C1683)&gt;0),$C1684-$C1683,0))</f>
        <v>0</v>
      </c>
      <c r="AF1684">
        <f>IF(OR($E1684="",$E1683=""),"",IF(AND(($D1683-$D1684)&gt;($C1684-$C1683),($D1683-$D1684)&gt;0),$D1683-$D1684,0))</f>
        <v>0</v>
      </c>
      <c r="AG1684">
        <f>IF(COUNT($E$2:$E1684)&lt;15,"",IF(SUM($AC$1671:$AC$1684)=0,0,100*SUM($AE$1671:$AE$1684)/SUM($AC$1671:$AC$1684)))</f>
        <v>0</v>
      </c>
      <c r="AH1684">
        <f>IF(COUNT($E$2:$E1684)&lt;15,"",IF(SUM($AC$1671:$AC$1684)=0,0,100*SUM($AF$1671:$AF$1684)/SUM($AC$1671:$AC$1684)))</f>
        <v>0</v>
      </c>
      <c r="AI1684">
        <f>IF(OR(AG1684="",AH1684=""),"",IF((AG1684+AH1684)=0,0,100*ABS(AG1684-AH1684)/(AG1684+AH1684)))</f>
        <v>0</v>
      </c>
      <c r="AJ1684">
        <f>IF(COUNT($AI$1671:$AI$1684)&lt;14,"",AVERAGE($AI$1671:$AI$1684))</f>
        <v>0</v>
      </c>
      <c r="AK1684">
        <f>IF(COUNT($E$2:$E1684)&lt;20,"",AVERAGE($E$1665:$E$1684))</f>
        <v>0</v>
      </c>
      <c r="AL1684">
        <f>IF(COUNT($E$2:$E1684)&lt;20,"",STDEVP($E$1665:$E$1684))</f>
        <v>0</v>
      </c>
      <c r="AM1684">
        <f>IF(AK1684="","",AK1684+2*AL1684)</f>
        <v>0</v>
      </c>
      <c r="AN1684">
        <f>IF(AK1684="","",AK1684-2*AL1684)</f>
        <v>0</v>
      </c>
      <c r="AO1684">
        <f>IF(OR(AM1684="",AN1684="",AM1684=AN1684),"",($E1684-AN1684)/(AM1684-AN1684))</f>
        <v>0</v>
      </c>
      <c r="AP1684">
        <f>IF(OR(AM1684="",AK1684="",AK1684=0),"",(AM1684-AN1684)/AK1684)</f>
        <v>0</v>
      </c>
      <c r="AQ1684">
        <f>IF(COUNT($E$2:$E1684)&lt;20,"",MAX($C$1665:$C$1684))</f>
        <v>0</v>
      </c>
      <c r="AR1684">
        <f>IF(COUNT($E$2:$E1684)&lt;20,"",MIN($D$1665:$D$1684))</f>
        <v>0</v>
      </c>
      <c r="AS1684">
        <f>IF(OR(AQ1684="",AR1684=""),"",(AQ1684+AR1684)/2)</f>
        <v>0</v>
      </c>
      <c r="AT1684">
        <f>IF(COUNT($G$1665:$G$1684)&lt;20,"",STDEV($G$1665:$G$1684)*SQRT(252))</f>
        <v>0</v>
      </c>
      <c r="AU1684">
        <f>IF(COUNT($E$2:$E1684)&lt;9,"",(MAX($C$1676:$C$1684)+MIN($D$1676:$D$1684))/2)</f>
        <v>0</v>
      </c>
      <c r="AV1684">
        <f>IF(COUNT($E$2:$E1684)&lt;26,"",(MAX($C$1659:$C$1684)+MIN($D$1659:$D$1684))/2)</f>
        <v>0</v>
      </c>
      <c r="AW1684">
        <f>IF(OR(AU1684="",AV1684=""),"",(AU1684+AV1684)/2)</f>
        <v>0</v>
      </c>
      <c r="AX1684">
        <f>IF(COUNT($E$2:$E1684)&lt;52,"",(MAX($C$1633:$C$1684)+MIN($D$1633:$D$1684))/2)</f>
        <v>0</v>
      </c>
      <c r="AY1684">
        <f>IF(COUNT($E$2:$E1684)&lt;20,"",MAX($C$1585:$C$1684))</f>
        <v>0</v>
      </c>
      <c r="AZ1684">
        <f>IF(COUNT($E$2:$E1684)&lt;20,"",MIN($D$1585:$D$1684))</f>
        <v>0</v>
      </c>
      <c r="BA1684">
        <f>IF(COUNT($E$2:$E1684)&lt;20,"",SLOPE($E$1585:$E$1684,$F$1585:$F$1684))</f>
        <v>0</v>
      </c>
      <c r="BB1684">
        <f>IF(COUNT($E$2:$E1684)&lt;20,"",INTERCEPT($E$1585:$E$1684,$F$1585:$F$1684))</f>
        <v>0</v>
      </c>
      <c r="BC1684">
        <f>IF(OR(BA1684="",BB1684=""),"",BB1684+BA1684*F1684)</f>
        <v>0</v>
      </c>
      <c r="BD1684">
        <f>IF(COUNT($E$2:$E1684)&lt;20,"",STEYX($E$1585:$E$1684,$F$1585:$F$1684))</f>
        <v>0</v>
      </c>
      <c r="BE1684">
        <f>IF($E1684="","",IF(AND(COUNT($E$1685:$E$1688)&gt;=4,$C1684=MAX($C$1680:$C$1688)),$C1684,""))</f>
        <v>0</v>
      </c>
      <c r="BF1684">
        <f>IF($E1684="","",IF(AND(COUNT($E$1685:$E$1688)&gt;=4,$D1684=MIN($D$1680:$D$1688)),$D1684,""))</f>
        <v>0</v>
      </c>
      <c r="BG1684">
        <f>IF($A1684="","",$A1684-WEEKDAY($A1684,2)+1)</f>
        <v>0</v>
      </c>
      <c r="BH1684">
        <f>IF($A1684="","",IF($A1683="",1,IF(BG1684&lt;&gt;BG1683,1,0)))</f>
        <v>0</v>
      </c>
      <c r="BI1684">
        <f>IF($A1684="","",IF($A1685="",1,IF(BG1685&lt;&gt;BG1684,1,0)))</f>
        <v>0</v>
      </c>
      <c r="BJ1684">
        <f>IF($A1684="","",IF(BH1684=1,$B1684,BJ1683))</f>
        <v>0</v>
      </c>
      <c r="BK1684">
        <f>IF($A1684="","",IF(BH1684=1,$C1684,MAX($C1684,BK1683)))</f>
        <v>0</v>
      </c>
      <c r="BL1684">
        <f>IF($A1684="","",IF(BH1684=1,$D1684,MIN($D1684,BL1683)))</f>
        <v>0</v>
      </c>
      <c r="BM1684">
        <f>IF($A1684="","",IF(BI1684=1,F1684,""))</f>
        <v>0</v>
      </c>
      <c r="BN1684">
        <f>IF($A1684="","",DATE(YEAR($A1684),MONTH($A1684),1))</f>
        <v>0</v>
      </c>
      <c r="BO1684">
        <f>IF($A1684="","",IF($A1683="",1,IF(BN1684&lt;&gt;BN1683,1,0)))</f>
        <v>0</v>
      </c>
      <c r="BP1684">
        <f>IF($A1684="","",IF($A1685="",1,IF(BN1685&lt;&gt;BN1684,1,0)))</f>
        <v>0</v>
      </c>
      <c r="BQ1684">
        <f>IF($A1684="","",IF(BO1684=1,$B1684,BQ1683))</f>
        <v>0</v>
      </c>
      <c r="BR1684">
        <f>IF($A1684="","",IF(BO1684=1,$C1684,MAX($C1684,BR1683)))</f>
        <v>0</v>
      </c>
      <c r="BS1684">
        <f>IF($A1684="","",IF(BO1684=1,$D1684,MIN($D1684,BS1683)))</f>
        <v>0</v>
      </c>
      <c r="BT1684">
        <f>IF($A1684="","",IF(BP1684=1,F1684,""))</f>
        <v>0</v>
      </c>
    </row>
    <row r="1685" spans="1:72">
      <c r="A1685" s="27">
        <f>IF(Data!$A1685="","",Data!$A1685)</f>
        <v>0</v>
      </c>
      <c r="B1685">
        <f>IF(Data!$B1685="","",Data!$B1685)</f>
        <v>0</v>
      </c>
      <c r="C1685">
        <f>IF(Data!$C1685="","",Data!$C1685)</f>
        <v>0</v>
      </c>
      <c r="D1685">
        <f>IF(Data!$D1685="","",Data!$D1685)</f>
        <v>0</v>
      </c>
      <c r="E1685">
        <f>IF(Data!$E1685="","",Data!$E1685)</f>
        <v>0</v>
      </c>
      <c r="F1685">
        <f>IF($E1685="","",N(F1684)+1)</f>
        <v>0</v>
      </c>
      <c r="G1685">
        <f>IF(OR($E1685="",$E1684=""),"",LN($E1685/$E1684))</f>
        <v>0</v>
      </c>
      <c r="H1685">
        <f>IF($E1685="","",IF($E1684="",$E1685,$E1685*0.0952380952+H1684*0.9047619048))</f>
        <v>0</v>
      </c>
      <c r="I1685">
        <f>IF($E1685="","",IF($E1684="",$E1685,$E1685*0.0392156863+I1684*0.9607843137))</f>
        <v>0</v>
      </c>
      <c r="J1685">
        <f>IF($E1685="","",IF($E1684="",$E1685,$E1685*0.0198019802+J1684*0.9801980198))</f>
        <v>0</v>
      </c>
      <c r="K1685">
        <f>IF($E1685="","",IF($E1684="",$E1685,$E1685*0.0099502488+K1684*0.9900497512))</f>
        <v>0</v>
      </c>
      <c r="L1685">
        <f>IF(OR($E1685="",$E1684=""),"",MAX($E1685-$E1684,0))</f>
        <v>0</v>
      </c>
      <c r="M1685">
        <f>IF(OR($E1685="",$E1684=""),"",MAX($E1684-$E1685,0))</f>
        <v>0</v>
      </c>
      <c r="N1685">
        <f>IF(COUNT($E$2:$E1685)&lt;15,"",IF(AVERAGE($M$1672:$M$1685)=0,100,100-100/(1+AVERAGE($L$1672:$L$1685)/AVERAGE($M$1672:$M$1685))))</f>
        <v>0</v>
      </c>
      <c r="O1685">
        <f>IF($E1685="","",IF($E1684="",$E1685,$E1685*0.1538461538+O1684*0.8461538462))</f>
        <v>0</v>
      </c>
      <c r="P1685">
        <f>IF($E1685="","",IF($E1684="",$E1685,$E1685*0.0740740741+P1684*0.9259259259))</f>
        <v>0</v>
      </c>
      <c r="Q1685">
        <f>IF(OR(O1685="",P1685=""),"",O1685-P1685)</f>
        <v>0</v>
      </c>
      <c r="R1685">
        <f>IF(Q1685="","",IF(R1684="",Q1685,Q1685*0.2000000000+R1684*0.8000000000))</f>
        <v>0</v>
      </c>
      <c r="S1685">
        <f>IF(OR(Q1685="",R1685=""),"",Q1685-R1685)</f>
        <v>0</v>
      </c>
      <c r="T1685">
        <f>IF(COUNT($E$2:$E1685)&lt;14,"",MAX($C$1672:$C$1685))</f>
        <v>0</v>
      </c>
      <c r="U1685">
        <f>IF(COUNT($E$2:$E1685)&lt;14,"",MIN($D$1672:$D$1685))</f>
        <v>0</v>
      </c>
      <c r="V1685">
        <f>IF(OR(T1685="",U1685="",T1685=U1685),"",100*($E1685-U1685)/(T1685-U1685))</f>
        <v>0</v>
      </c>
      <c r="W1685">
        <f>IF(COUNT($V$1683:$V$1685)&lt;3,"",AVERAGE($V$1683:$V$1685))</f>
        <v>0</v>
      </c>
      <c r="X1685">
        <f>IF(COUNT($N$1672:$N$1685)&lt;14,"",MIN($N$1672:$N$1685))</f>
        <v>0</v>
      </c>
      <c r="Y1685">
        <f>IF(COUNT($N$1672:$N$1685)&lt;14,"",MAX($N$1672:$N$1685))</f>
        <v>0</v>
      </c>
      <c r="Z1685">
        <f>IF(OR(N1685="",X1685="",Y1685="",Y1685=X1685),"",100*(N1685-X1685)/(Y1685-X1685))</f>
        <v>0</v>
      </c>
      <c r="AA1685">
        <f>IF(COUNT($Z$1683:$Z$1685)&lt;3,"",AVERAGE($Z$1683:$Z$1685))</f>
        <v>0</v>
      </c>
      <c r="AB1685">
        <f>IF(COUNT($AA$1683:$AA$1685)&lt;3,"",AVERAGE($AA$1683:$AA$1685))</f>
        <v>0</v>
      </c>
      <c r="AC1685">
        <f>IF($E1685="","",MAX($C1685-$D1685,ABS($C1685-$E1684),ABS($D1685-$E1684)))</f>
        <v>0</v>
      </c>
      <c r="AD1685">
        <f>IF(COUNT($E$2:$E1685)&lt;15,"",AVERAGE($AC$1672:$AC$1685))</f>
        <v>0</v>
      </c>
      <c r="AE1685">
        <f>IF(OR($E1685="",$E1684=""),"",IF(AND(($C1685-$C1684)&gt;($D1684-$D1685),($C1685-$C1684)&gt;0),$C1685-$C1684,0))</f>
        <v>0</v>
      </c>
      <c r="AF1685">
        <f>IF(OR($E1685="",$E1684=""),"",IF(AND(($D1684-$D1685)&gt;($C1685-$C1684),($D1684-$D1685)&gt;0),$D1684-$D1685,0))</f>
        <v>0</v>
      </c>
      <c r="AG1685">
        <f>IF(COUNT($E$2:$E1685)&lt;15,"",IF(SUM($AC$1672:$AC$1685)=0,0,100*SUM($AE$1672:$AE$1685)/SUM($AC$1672:$AC$1685)))</f>
        <v>0</v>
      </c>
      <c r="AH1685">
        <f>IF(COUNT($E$2:$E1685)&lt;15,"",IF(SUM($AC$1672:$AC$1685)=0,0,100*SUM($AF$1672:$AF$1685)/SUM($AC$1672:$AC$1685)))</f>
        <v>0</v>
      </c>
      <c r="AI1685">
        <f>IF(OR(AG1685="",AH1685=""),"",IF((AG1685+AH1685)=0,0,100*ABS(AG1685-AH1685)/(AG1685+AH1685)))</f>
        <v>0</v>
      </c>
      <c r="AJ1685">
        <f>IF(COUNT($AI$1672:$AI$1685)&lt;14,"",AVERAGE($AI$1672:$AI$1685))</f>
        <v>0</v>
      </c>
      <c r="AK1685">
        <f>IF(COUNT($E$2:$E1685)&lt;20,"",AVERAGE($E$1666:$E$1685))</f>
        <v>0</v>
      </c>
      <c r="AL1685">
        <f>IF(COUNT($E$2:$E1685)&lt;20,"",STDEVP($E$1666:$E$1685))</f>
        <v>0</v>
      </c>
      <c r="AM1685">
        <f>IF(AK1685="","",AK1685+2*AL1685)</f>
        <v>0</v>
      </c>
      <c r="AN1685">
        <f>IF(AK1685="","",AK1685-2*AL1685)</f>
        <v>0</v>
      </c>
      <c r="AO1685">
        <f>IF(OR(AM1685="",AN1685="",AM1685=AN1685),"",($E1685-AN1685)/(AM1685-AN1685))</f>
        <v>0</v>
      </c>
      <c r="AP1685">
        <f>IF(OR(AM1685="",AK1685="",AK1685=0),"",(AM1685-AN1685)/AK1685)</f>
        <v>0</v>
      </c>
      <c r="AQ1685">
        <f>IF(COUNT($E$2:$E1685)&lt;20,"",MAX($C$1666:$C$1685))</f>
        <v>0</v>
      </c>
      <c r="AR1685">
        <f>IF(COUNT($E$2:$E1685)&lt;20,"",MIN($D$1666:$D$1685))</f>
        <v>0</v>
      </c>
      <c r="AS1685">
        <f>IF(OR(AQ1685="",AR1685=""),"",(AQ1685+AR1685)/2)</f>
        <v>0</v>
      </c>
      <c r="AT1685">
        <f>IF(COUNT($G$1666:$G$1685)&lt;20,"",STDEV($G$1666:$G$1685)*SQRT(252))</f>
        <v>0</v>
      </c>
      <c r="AU1685">
        <f>IF(COUNT($E$2:$E1685)&lt;9,"",(MAX($C$1677:$C$1685)+MIN($D$1677:$D$1685))/2)</f>
        <v>0</v>
      </c>
      <c r="AV1685">
        <f>IF(COUNT($E$2:$E1685)&lt;26,"",(MAX($C$1660:$C$1685)+MIN($D$1660:$D$1685))/2)</f>
        <v>0</v>
      </c>
      <c r="AW1685">
        <f>IF(OR(AU1685="",AV1685=""),"",(AU1685+AV1685)/2)</f>
        <v>0</v>
      </c>
      <c r="AX1685">
        <f>IF(COUNT($E$2:$E1685)&lt;52,"",(MAX($C$1634:$C$1685)+MIN($D$1634:$D$1685))/2)</f>
        <v>0</v>
      </c>
      <c r="AY1685">
        <f>IF(COUNT($E$2:$E1685)&lt;20,"",MAX($C$1586:$C$1685))</f>
        <v>0</v>
      </c>
      <c r="AZ1685">
        <f>IF(COUNT($E$2:$E1685)&lt;20,"",MIN($D$1586:$D$1685))</f>
        <v>0</v>
      </c>
      <c r="BA1685">
        <f>IF(COUNT($E$2:$E1685)&lt;20,"",SLOPE($E$1586:$E$1685,$F$1586:$F$1685))</f>
        <v>0</v>
      </c>
      <c r="BB1685">
        <f>IF(COUNT($E$2:$E1685)&lt;20,"",INTERCEPT($E$1586:$E$1685,$F$1586:$F$1685))</f>
        <v>0</v>
      </c>
      <c r="BC1685">
        <f>IF(OR(BA1685="",BB1685=""),"",BB1685+BA1685*F1685)</f>
        <v>0</v>
      </c>
      <c r="BD1685">
        <f>IF(COUNT($E$2:$E1685)&lt;20,"",STEYX($E$1586:$E$1685,$F$1586:$F$1685))</f>
        <v>0</v>
      </c>
      <c r="BE1685">
        <f>IF($E1685="","",IF(AND(COUNT($E$1686:$E$1689)&gt;=4,$C1685=MAX($C$1681:$C$1689)),$C1685,""))</f>
        <v>0</v>
      </c>
      <c r="BF1685">
        <f>IF($E1685="","",IF(AND(COUNT($E$1686:$E$1689)&gt;=4,$D1685=MIN($D$1681:$D$1689)),$D1685,""))</f>
        <v>0</v>
      </c>
      <c r="BG1685">
        <f>IF($A1685="","",$A1685-WEEKDAY($A1685,2)+1)</f>
        <v>0</v>
      </c>
      <c r="BH1685">
        <f>IF($A1685="","",IF($A1684="",1,IF(BG1685&lt;&gt;BG1684,1,0)))</f>
        <v>0</v>
      </c>
      <c r="BI1685">
        <f>IF($A1685="","",IF($A1686="",1,IF(BG1686&lt;&gt;BG1685,1,0)))</f>
        <v>0</v>
      </c>
      <c r="BJ1685">
        <f>IF($A1685="","",IF(BH1685=1,$B1685,BJ1684))</f>
        <v>0</v>
      </c>
      <c r="BK1685">
        <f>IF($A1685="","",IF(BH1685=1,$C1685,MAX($C1685,BK1684)))</f>
        <v>0</v>
      </c>
      <c r="BL1685">
        <f>IF($A1685="","",IF(BH1685=1,$D1685,MIN($D1685,BL1684)))</f>
        <v>0</v>
      </c>
      <c r="BM1685">
        <f>IF($A1685="","",IF(BI1685=1,F1685,""))</f>
        <v>0</v>
      </c>
      <c r="BN1685">
        <f>IF($A1685="","",DATE(YEAR($A1685),MONTH($A1685),1))</f>
        <v>0</v>
      </c>
      <c r="BO1685">
        <f>IF($A1685="","",IF($A1684="",1,IF(BN1685&lt;&gt;BN1684,1,0)))</f>
        <v>0</v>
      </c>
      <c r="BP1685">
        <f>IF($A1685="","",IF($A1686="",1,IF(BN1686&lt;&gt;BN1685,1,0)))</f>
        <v>0</v>
      </c>
      <c r="BQ1685">
        <f>IF($A1685="","",IF(BO1685=1,$B1685,BQ1684))</f>
        <v>0</v>
      </c>
      <c r="BR1685">
        <f>IF($A1685="","",IF(BO1685=1,$C1685,MAX($C1685,BR1684)))</f>
        <v>0</v>
      </c>
      <c r="BS1685">
        <f>IF($A1685="","",IF(BO1685=1,$D1685,MIN($D1685,BS1684)))</f>
        <v>0</v>
      </c>
      <c r="BT1685">
        <f>IF($A1685="","",IF(BP1685=1,F1685,""))</f>
        <v>0</v>
      </c>
    </row>
    <row r="1686" spans="1:72">
      <c r="A1686" s="27">
        <f>IF(Data!$A1686="","",Data!$A1686)</f>
        <v>0</v>
      </c>
      <c r="B1686">
        <f>IF(Data!$B1686="","",Data!$B1686)</f>
        <v>0</v>
      </c>
      <c r="C1686">
        <f>IF(Data!$C1686="","",Data!$C1686)</f>
        <v>0</v>
      </c>
      <c r="D1686">
        <f>IF(Data!$D1686="","",Data!$D1686)</f>
        <v>0</v>
      </c>
      <c r="E1686">
        <f>IF(Data!$E1686="","",Data!$E1686)</f>
        <v>0</v>
      </c>
      <c r="F1686">
        <f>IF($E1686="","",N(F1685)+1)</f>
        <v>0</v>
      </c>
      <c r="G1686">
        <f>IF(OR($E1686="",$E1685=""),"",LN($E1686/$E1685))</f>
        <v>0</v>
      </c>
      <c r="H1686">
        <f>IF($E1686="","",IF($E1685="",$E1686,$E1686*0.0952380952+H1685*0.9047619048))</f>
        <v>0</v>
      </c>
      <c r="I1686">
        <f>IF($E1686="","",IF($E1685="",$E1686,$E1686*0.0392156863+I1685*0.9607843137))</f>
        <v>0</v>
      </c>
      <c r="J1686">
        <f>IF($E1686="","",IF($E1685="",$E1686,$E1686*0.0198019802+J1685*0.9801980198))</f>
        <v>0</v>
      </c>
      <c r="K1686">
        <f>IF($E1686="","",IF($E1685="",$E1686,$E1686*0.0099502488+K1685*0.9900497512))</f>
        <v>0</v>
      </c>
      <c r="L1686">
        <f>IF(OR($E1686="",$E1685=""),"",MAX($E1686-$E1685,0))</f>
        <v>0</v>
      </c>
      <c r="M1686">
        <f>IF(OR($E1686="",$E1685=""),"",MAX($E1685-$E1686,0))</f>
        <v>0</v>
      </c>
      <c r="N1686">
        <f>IF(COUNT($E$2:$E1686)&lt;15,"",IF(AVERAGE($M$1673:$M$1686)=0,100,100-100/(1+AVERAGE($L$1673:$L$1686)/AVERAGE($M$1673:$M$1686))))</f>
        <v>0</v>
      </c>
      <c r="O1686">
        <f>IF($E1686="","",IF($E1685="",$E1686,$E1686*0.1538461538+O1685*0.8461538462))</f>
        <v>0</v>
      </c>
      <c r="P1686">
        <f>IF($E1686="","",IF($E1685="",$E1686,$E1686*0.0740740741+P1685*0.9259259259))</f>
        <v>0</v>
      </c>
      <c r="Q1686">
        <f>IF(OR(O1686="",P1686=""),"",O1686-P1686)</f>
        <v>0</v>
      </c>
      <c r="R1686">
        <f>IF(Q1686="","",IF(R1685="",Q1686,Q1686*0.2000000000+R1685*0.8000000000))</f>
        <v>0</v>
      </c>
      <c r="S1686">
        <f>IF(OR(Q1686="",R1686=""),"",Q1686-R1686)</f>
        <v>0</v>
      </c>
      <c r="T1686">
        <f>IF(COUNT($E$2:$E1686)&lt;14,"",MAX($C$1673:$C$1686))</f>
        <v>0</v>
      </c>
      <c r="U1686">
        <f>IF(COUNT($E$2:$E1686)&lt;14,"",MIN($D$1673:$D$1686))</f>
        <v>0</v>
      </c>
      <c r="V1686">
        <f>IF(OR(T1686="",U1686="",T1686=U1686),"",100*($E1686-U1686)/(T1686-U1686))</f>
        <v>0</v>
      </c>
      <c r="W1686">
        <f>IF(COUNT($V$1684:$V$1686)&lt;3,"",AVERAGE($V$1684:$V$1686))</f>
        <v>0</v>
      </c>
      <c r="X1686">
        <f>IF(COUNT($N$1673:$N$1686)&lt;14,"",MIN($N$1673:$N$1686))</f>
        <v>0</v>
      </c>
      <c r="Y1686">
        <f>IF(COUNT($N$1673:$N$1686)&lt;14,"",MAX($N$1673:$N$1686))</f>
        <v>0</v>
      </c>
      <c r="Z1686">
        <f>IF(OR(N1686="",X1686="",Y1686="",Y1686=X1686),"",100*(N1686-X1686)/(Y1686-X1686))</f>
        <v>0</v>
      </c>
      <c r="AA1686">
        <f>IF(COUNT($Z$1684:$Z$1686)&lt;3,"",AVERAGE($Z$1684:$Z$1686))</f>
        <v>0</v>
      </c>
      <c r="AB1686">
        <f>IF(COUNT($AA$1684:$AA$1686)&lt;3,"",AVERAGE($AA$1684:$AA$1686))</f>
        <v>0</v>
      </c>
      <c r="AC1686">
        <f>IF($E1686="","",MAX($C1686-$D1686,ABS($C1686-$E1685),ABS($D1686-$E1685)))</f>
        <v>0</v>
      </c>
      <c r="AD1686">
        <f>IF(COUNT($E$2:$E1686)&lt;15,"",AVERAGE($AC$1673:$AC$1686))</f>
        <v>0</v>
      </c>
      <c r="AE1686">
        <f>IF(OR($E1686="",$E1685=""),"",IF(AND(($C1686-$C1685)&gt;($D1685-$D1686),($C1686-$C1685)&gt;0),$C1686-$C1685,0))</f>
        <v>0</v>
      </c>
      <c r="AF1686">
        <f>IF(OR($E1686="",$E1685=""),"",IF(AND(($D1685-$D1686)&gt;($C1686-$C1685),($D1685-$D1686)&gt;0),$D1685-$D1686,0))</f>
        <v>0</v>
      </c>
      <c r="AG1686">
        <f>IF(COUNT($E$2:$E1686)&lt;15,"",IF(SUM($AC$1673:$AC$1686)=0,0,100*SUM($AE$1673:$AE$1686)/SUM($AC$1673:$AC$1686)))</f>
        <v>0</v>
      </c>
      <c r="AH1686">
        <f>IF(COUNT($E$2:$E1686)&lt;15,"",IF(SUM($AC$1673:$AC$1686)=0,0,100*SUM($AF$1673:$AF$1686)/SUM($AC$1673:$AC$1686)))</f>
        <v>0</v>
      </c>
      <c r="AI1686">
        <f>IF(OR(AG1686="",AH1686=""),"",IF((AG1686+AH1686)=0,0,100*ABS(AG1686-AH1686)/(AG1686+AH1686)))</f>
        <v>0</v>
      </c>
      <c r="AJ1686">
        <f>IF(COUNT($AI$1673:$AI$1686)&lt;14,"",AVERAGE($AI$1673:$AI$1686))</f>
        <v>0</v>
      </c>
      <c r="AK1686">
        <f>IF(COUNT($E$2:$E1686)&lt;20,"",AVERAGE($E$1667:$E$1686))</f>
        <v>0</v>
      </c>
      <c r="AL1686">
        <f>IF(COUNT($E$2:$E1686)&lt;20,"",STDEVP($E$1667:$E$1686))</f>
        <v>0</v>
      </c>
      <c r="AM1686">
        <f>IF(AK1686="","",AK1686+2*AL1686)</f>
        <v>0</v>
      </c>
      <c r="AN1686">
        <f>IF(AK1686="","",AK1686-2*AL1686)</f>
        <v>0</v>
      </c>
      <c r="AO1686">
        <f>IF(OR(AM1686="",AN1686="",AM1686=AN1686),"",($E1686-AN1686)/(AM1686-AN1686))</f>
        <v>0</v>
      </c>
      <c r="AP1686">
        <f>IF(OR(AM1686="",AK1686="",AK1686=0),"",(AM1686-AN1686)/AK1686)</f>
        <v>0</v>
      </c>
      <c r="AQ1686">
        <f>IF(COUNT($E$2:$E1686)&lt;20,"",MAX($C$1667:$C$1686))</f>
        <v>0</v>
      </c>
      <c r="AR1686">
        <f>IF(COUNT($E$2:$E1686)&lt;20,"",MIN($D$1667:$D$1686))</f>
        <v>0</v>
      </c>
      <c r="AS1686">
        <f>IF(OR(AQ1686="",AR1686=""),"",(AQ1686+AR1686)/2)</f>
        <v>0</v>
      </c>
      <c r="AT1686">
        <f>IF(COUNT($G$1667:$G$1686)&lt;20,"",STDEV($G$1667:$G$1686)*SQRT(252))</f>
        <v>0</v>
      </c>
      <c r="AU1686">
        <f>IF(COUNT($E$2:$E1686)&lt;9,"",(MAX($C$1678:$C$1686)+MIN($D$1678:$D$1686))/2)</f>
        <v>0</v>
      </c>
      <c r="AV1686">
        <f>IF(COUNT($E$2:$E1686)&lt;26,"",(MAX($C$1661:$C$1686)+MIN($D$1661:$D$1686))/2)</f>
        <v>0</v>
      </c>
      <c r="AW1686">
        <f>IF(OR(AU1686="",AV1686=""),"",(AU1686+AV1686)/2)</f>
        <v>0</v>
      </c>
      <c r="AX1686">
        <f>IF(COUNT($E$2:$E1686)&lt;52,"",(MAX($C$1635:$C$1686)+MIN($D$1635:$D$1686))/2)</f>
        <v>0</v>
      </c>
      <c r="AY1686">
        <f>IF(COUNT($E$2:$E1686)&lt;20,"",MAX($C$1587:$C$1686))</f>
        <v>0</v>
      </c>
      <c r="AZ1686">
        <f>IF(COUNT($E$2:$E1686)&lt;20,"",MIN($D$1587:$D$1686))</f>
        <v>0</v>
      </c>
      <c r="BA1686">
        <f>IF(COUNT($E$2:$E1686)&lt;20,"",SLOPE($E$1587:$E$1686,$F$1587:$F$1686))</f>
        <v>0</v>
      </c>
      <c r="BB1686">
        <f>IF(COUNT($E$2:$E1686)&lt;20,"",INTERCEPT($E$1587:$E$1686,$F$1587:$F$1686))</f>
        <v>0</v>
      </c>
      <c r="BC1686">
        <f>IF(OR(BA1686="",BB1686=""),"",BB1686+BA1686*F1686)</f>
        <v>0</v>
      </c>
      <c r="BD1686">
        <f>IF(COUNT($E$2:$E1686)&lt;20,"",STEYX($E$1587:$E$1686,$F$1587:$F$1686))</f>
        <v>0</v>
      </c>
      <c r="BE1686">
        <f>IF($E1686="","",IF(AND(COUNT($E$1687:$E$1690)&gt;=4,$C1686=MAX($C$1682:$C$1690)),$C1686,""))</f>
        <v>0</v>
      </c>
      <c r="BF1686">
        <f>IF($E1686="","",IF(AND(COUNT($E$1687:$E$1690)&gt;=4,$D1686=MIN($D$1682:$D$1690)),$D1686,""))</f>
        <v>0</v>
      </c>
      <c r="BG1686">
        <f>IF($A1686="","",$A1686-WEEKDAY($A1686,2)+1)</f>
        <v>0</v>
      </c>
      <c r="BH1686">
        <f>IF($A1686="","",IF($A1685="",1,IF(BG1686&lt;&gt;BG1685,1,0)))</f>
        <v>0</v>
      </c>
      <c r="BI1686">
        <f>IF($A1686="","",IF($A1687="",1,IF(BG1687&lt;&gt;BG1686,1,0)))</f>
        <v>0</v>
      </c>
      <c r="BJ1686">
        <f>IF($A1686="","",IF(BH1686=1,$B1686,BJ1685))</f>
        <v>0</v>
      </c>
      <c r="BK1686">
        <f>IF($A1686="","",IF(BH1686=1,$C1686,MAX($C1686,BK1685)))</f>
        <v>0</v>
      </c>
      <c r="BL1686">
        <f>IF($A1686="","",IF(BH1686=1,$D1686,MIN($D1686,BL1685)))</f>
        <v>0</v>
      </c>
      <c r="BM1686">
        <f>IF($A1686="","",IF(BI1686=1,F1686,""))</f>
        <v>0</v>
      </c>
      <c r="BN1686">
        <f>IF($A1686="","",DATE(YEAR($A1686),MONTH($A1686),1))</f>
        <v>0</v>
      </c>
      <c r="BO1686">
        <f>IF($A1686="","",IF($A1685="",1,IF(BN1686&lt;&gt;BN1685,1,0)))</f>
        <v>0</v>
      </c>
      <c r="BP1686">
        <f>IF($A1686="","",IF($A1687="",1,IF(BN1687&lt;&gt;BN1686,1,0)))</f>
        <v>0</v>
      </c>
      <c r="BQ1686">
        <f>IF($A1686="","",IF(BO1686=1,$B1686,BQ1685))</f>
        <v>0</v>
      </c>
      <c r="BR1686">
        <f>IF($A1686="","",IF(BO1686=1,$C1686,MAX($C1686,BR1685)))</f>
        <v>0</v>
      </c>
      <c r="BS1686">
        <f>IF($A1686="","",IF(BO1686=1,$D1686,MIN($D1686,BS1685)))</f>
        <v>0</v>
      </c>
      <c r="BT1686">
        <f>IF($A1686="","",IF(BP1686=1,F1686,""))</f>
        <v>0</v>
      </c>
    </row>
    <row r="1687" spans="1:72">
      <c r="A1687" s="27">
        <f>IF(Data!$A1687="","",Data!$A1687)</f>
        <v>0</v>
      </c>
      <c r="B1687">
        <f>IF(Data!$B1687="","",Data!$B1687)</f>
        <v>0</v>
      </c>
      <c r="C1687">
        <f>IF(Data!$C1687="","",Data!$C1687)</f>
        <v>0</v>
      </c>
      <c r="D1687">
        <f>IF(Data!$D1687="","",Data!$D1687)</f>
        <v>0</v>
      </c>
      <c r="E1687">
        <f>IF(Data!$E1687="","",Data!$E1687)</f>
        <v>0</v>
      </c>
      <c r="F1687">
        <f>IF($E1687="","",N(F1686)+1)</f>
        <v>0</v>
      </c>
      <c r="G1687">
        <f>IF(OR($E1687="",$E1686=""),"",LN($E1687/$E1686))</f>
        <v>0</v>
      </c>
      <c r="H1687">
        <f>IF($E1687="","",IF($E1686="",$E1687,$E1687*0.0952380952+H1686*0.9047619048))</f>
        <v>0</v>
      </c>
      <c r="I1687">
        <f>IF($E1687="","",IF($E1686="",$E1687,$E1687*0.0392156863+I1686*0.9607843137))</f>
        <v>0</v>
      </c>
      <c r="J1687">
        <f>IF($E1687="","",IF($E1686="",$E1687,$E1687*0.0198019802+J1686*0.9801980198))</f>
        <v>0</v>
      </c>
      <c r="K1687">
        <f>IF($E1687="","",IF($E1686="",$E1687,$E1687*0.0099502488+K1686*0.9900497512))</f>
        <v>0</v>
      </c>
      <c r="L1687">
        <f>IF(OR($E1687="",$E1686=""),"",MAX($E1687-$E1686,0))</f>
        <v>0</v>
      </c>
      <c r="M1687">
        <f>IF(OR($E1687="",$E1686=""),"",MAX($E1686-$E1687,0))</f>
        <v>0</v>
      </c>
      <c r="N1687">
        <f>IF(COUNT($E$2:$E1687)&lt;15,"",IF(AVERAGE($M$1674:$M$1687)=0,100,100-100/(1+AVERAGE($L$1674:$L$1687)/AVERAGE($M$1674:$M$1687))))</f>
        <v>0</v>
      </c>
      <c r="O1687">
        <f>IF($E1687="","",IF($E1686="",$E1687,$E1687*0.1538461538+O1686*0.8461538462))</f>
        <v>0</v>
      </c>
      <c r="P1687">
        <f>IF($E1687="","",IF($E1686="",$E1687,$E1687*0.0740740741+P1686*0.9259259259))</f>
        <v>0</v>
      </c>
      <c r="Q1687">
        <f>IF(OR(O1687="",P1687=""),"",O1687-P1687)</f>
        <v>0</v>
      </c>
      <c r="R1687">
        <f>IF(Q1687="","",IF(R1686="",Q1687,Q1687*0.2000000000+R1686*0.8000000000))</f>
        <v>0</v>
      </c>
      <c r="S1687">
        <f>IF(OR(Q1687="",R1687=""),"",Q1687-R1687)</f>
        <v>0</v>
      </c>
      <c r="T1687">
        <f>IF(COUNT($E$2:$E1687)&lt;14,"",MAX($C$1674:$C$1687))</f>
        <v>0</v>
      </c>
      <c r="U1687">
        <f>IF(COUNT($E$2:$E1687)&lt;14,"",MIN($D$1674:$D$1687))</f>
        <v>0</v>
      </c>
      <c r="V1687">
        <f>IF(OR(T1687="",U1687="",T1687=U1687),"",100*($E1687-U1687)/(T1687-U1687))</f>
        <v>0</v>
      </c>
      <c r="W1687">
        <f>IF(COUNT($V$1685:$V$1687)&lt;3,"",AVERAGE($V$1685:$V$1687))</f>
        <v>0</v>
      </c>
      <c r="X1687">
        <f>IF(COUNT($N$1674:$N$1687)&lt;14,"",MIN($N$1674:$N$1687))</f>
        <v>0</v>
      </c>
      <c r="Y1687">
        <f>IF(COUNT($N$1674:$N$1687)&lt;14,"",MAX($N$1674:$N$1687))</f>
        <v>0</v>
      </c>
      <c r="Z1687">
        <f>IF(OR(N1687="",X1687="",Y1687="",Y1687=X1687),"",100*(N1687-X1687)/(Y1687-X1687))</f>
        <v>0</v>
      </c>
      <c r="AA1687">
        <f>IF(COUNT($Z$1685:$Z$1687)&lt;3,"",AVERAGE($Z$1685:$Z$1687))</f>
        <v>0</v>
      </c>
      <c r="AB1687">
        <f>IF(COUNT($AA$1685:$AA$1687)&lt;3,"",AVERAGE($AA$1685:$AA$1687))</f>
        <v>0</v>
      </c>
      <c r="AC1687">
        <f>IF($E1687="","",MAX($C1687-$D1687,ABS($C1687-$E1686),ABS($D1687-$E1686)))</f>
        <v>0</v>
      </c>
      <c r="AD1687">
        <f>IF(COUNT($E$2:$E1687)&lt;15,"",AVERAGE($AC$1674:$AC$1687))</f>
        <v>0</v>
      </c>
      <c r="AE1687">
        <f>IF(OR($E1687="",$E1686=""),"",IF(AND(($C1687-$C1686)&gt;($D1686-$D1687),($C1687-$C1686)&gt;0),$C1687-$C1686,0))</f>
        <v>0</v>
      </c>
      <c r="AF1687">
        <f>IF(OR($E1687="",$E1686=""),"",IF(AND(($D1686-$D1687)&gt;($C1687-$C1686),($D1686-$D1687)&gt;0),$D1686-$D1687,0))</f>
        <v>0</v>
      </c>
      <c r="AG1687">
        <f>IF(COUNT($E$2:$E1687)&lt;15,"",IF(SUM($AC$1674:$AC$1687)=0,0,100*SUM($AE$1674:$AE$1687)/SUM($AC$1674:$AC$1687)))</f>
        <v>0</v>
      </c>
      <c r="AH1687">
        <f>IF(COUNT($E$2:$E1687)&lt;15,"",IF(SUM($AC$1674:$AC$1687)=0,0,100*SUM($AF$1674:$AF$1687)/SUM($AC$1674:$AC$1687)))</f>
        <v>0</v>
      </c>
      <c r="AI1687">
        <f>IF(OR(AG1687="",AH1687=""),"",IF((AG1687+AH1687)=0,0,100*ABS(AG1687-AH1687)/(AG1687+AH1687)))</f>
        <v>0</v>
      </c>
      <c r="AJ1687">
        <f>IF(COUNT($AI$1674:$AI$1687)&lt;14,"",AVERAGE($AI$1674:$AI$1687))</f>
        <v>0</v>
      </c>
      <c r="AK1687">
        <f>IF(COUNT($E$2:$E1687)&lt;20,"",AVERAGE($E$1668:$E$1687))</f>
        <v>0</v>
      </c>
      <c r="AL1687">
        <f>IF(COUNT($E$2:$E1687)&lt;20,"",STDEVP($E$1668:$E$1687))</f>
        <v>0</v>
      </c>
      <c r="AM1687">
        <f>IF(AK1687="","",AK1687+2*AL1687)</f>
        <v>0</v>
      </c>
      <c r="AN1687">
        <f>IF(AK1687="","",AK1687-2*AL1687)</f>
        <v>0</v>
      </c>
      <c r="AO1687">
        <f>IF(OR(AM1687="",AN1687="",AM1687=AN1687),"",($E1687-AN1687)/(AM1687-AN1687))</f>
        <v>0</v>
      </c>
      <c r="AP1687">
        <f>IF(OR(AM1687="",AK1687="",AK1687=0),"",(AM1687-AN1687)/AK1687)</f>
        <v>0</v>
      </c>
      <c r="AQ1687">
        <f>IF(COUNT($E$2:$E1687)&lt;20,"",MAX($C$1668:$C$1687))</f>
        <v>0</v>
      </c>
      <c r="AR1687">
        <f>IF(COUNT($E$2:$E1687)&lt;20,"",MIN($D$1668:$D$1687))</f>
        <v>0</v>
      </c>
      <c r="AS1687">
        <f>IF(OR(AQ1687="",AR1687=""),"",(AQ1687+AR1687)/2)</f>
        <v>0</v>
      </c>
      <c r="AT1687">
        <f>IF(COUNT($G$1668:$G$1687)&lt;20,"",STDEV($G$1668:$G$1687)*SQRT(252))</f>
        <v>0</v>
      </c>
      <c r="AU1687">
        <f>IF(COUNT($E$2:$E1687)&lt;9,"",(MAX($C$1679:$C$1687)+MIN($D$1679:$D$1687))/2)</f>
        <v>0</v>
      </c>
      <c r="AV1687">
        <f>IF(COUNT($E$2:$E1687)&lt;26,"",(MAX($C$1662:$C$1687)+MIN($D$1662:$D$1687))/2)</f>
        <v>0</v>
      </c>
      <c r="AW1687">
        <f>IF(OR(AU1687="",AV1687=""),"",(AU1687+AV1687)/2)</f>
        <v>0</v>
      </c>
      <c r="AX1687">
        <f>IF(COUNT($E$2:$E1687)&lt;52,"",(MAX($C$1636:$C$1687)+MIN($D$1636:$D$1687))/2)</f>
        <v>0</v>
      </c>
      <c r="AY1687">
        <f>IF(COUNT($E$2:$E1687)&lt;20,"",MAX($C$1588:$C$1687))</f>
        <v>0</v>
      </c>
      <c r="AZ1687">
        <f>IF(COUNT($E$2:$E1687)&lt;20,"",MIN($D$1588:$D$1687))</f>
        <v>0</v>
      </c>
      <c r="BA1687">
        <f>IF(COUNT($E$2:$E1687)&lt;20,"",SLOPE($E$1588:$E$1687,$F$1588:$F$1687))</f>
        <v>0</v>
      </c>
      <c r="BB1687">
        <f>IF(COUNT($E$2:$E1687)&lt;20,"",INTERCEPT($E$1588:$E$1687,$F$1588:$F$1687))</f>
        <v>0</v>
      </c>
      <c r="BC1687">
        <f>IF(OR(BA1687="",BB1687=""),"",BB1687+BA1687*F1687)</f>
        <v>0</v>
      </c>
      <c r="BD1687">
        <f>IF(COUNT($E$2:$E1687)&lt;20,"",STEYX($E$1588:$E$1687,$F$1588:$F$1687))</f>
        <v>0</v>
      </c>
      <c r="BE1687">
        <f>IF($E1687="","",IF(AND(COUNT($E$1688:$E$1691)&gt;=4,$C1687=MAX($C$1683:$C$1691)),$C1687,""))</f>
        <v>0</v>
      </c>
      <c r="BF1687">
        <f>IF($E1687="","",IF(AND(COUNT($E$1688:$E$1691)&gt;=4,$D1687=MIN($D$1683:$D$1691)),$D1687,""))</f>
        <v>0</v>
      </c>
      <c r="BG1687">
        <f>IF($A1687="","",$A1687-WEEKDAY($A1687,2)+1)</f>
        <v>0</v>
      </c>
      <c r="BH1687">
        <f>IF($A1687="","",IF($A1686="",1,IF(BG1687&lt;&gt;BG1686,1,0)))</f>
        <v>0</v>
      </c>
      <c r="BI1687">
        <f>IF($A1687="","",IF($A1688="",1,IF(BG1688&lt;&gt;BG1687,1,0)))</f>
        <v>0</v>
      </c>
      <c r="BJ1687">
        <f>IF($A1687="","",IF(BH1687=1,$B1687,BJ1686))</f>
        <v>0</v>
      </c>
      <c r="BK1687">
        <f>IF($A1687="","",IF(BH1687=1,$C1687,MAX($C1687,BK1686)))</f>
        <v>0</v>
      </c>
      <c r="BL1687">
        <f>IF($A1687="","",IF(BH1687=1,$D1687,MIN($D1687,BL1686)))</f>
        <v>0</v>
      </c>
      <c r="BM1687">
        <f>IF($A1687="","",IF(BI1687=1,F1687,""))</f>
        <v>0</v>
      </c>
      <c r="BN1687">
        <f>IF($A1687="","",DATE(YEAR($A1687),MONTH($A1687),1))</f>
        <v>0</v>
      </c>
      <c r="BO1687">
        <f>IF($A1687="","",IF($A1686="",1,IF(BN1687&lt;&gt;BN1686,1,0)))</f>
        <v>0</v>
      </c>
      <c r="BP1687">
        <f>IF($A1687="","",IF($A1688="",1,IF(BN1688&lt;&gt;BN1687,1,0)))</f>
        <v>0</v>
      </c>
      <c r="BQ1687">
        <f>IF($A1687="","",IF(BO1687=1,$B1687,BQ1686))</f>
        <v>0</v>
      </c>
      <c r="BR1687">
        <f>IF($A1687="","",IF(BO1687=1,$C1687,MAX($C1687,BR1686)))</f>
        <v>0</v>
      </c>
      <c r="BS1687">
        <f>IF($A1687="","",IF(BO1687=1,$D1687,MIN($D1687,BS1686)))</f>
        <v>0</v>
      </c>
      <c r="BT1687">
        <f>IF($A1687="","",IF(BP1687=1,F1687,""))</f>
        <v>0</v>
      </c>
    </row>
    <row r="1688" spans="1:72">
      <c r="A1688" s="27">
        <f>IF(Data!$A1688="","",Data!$A1688)</f>
        <v>0</v>
      </c>
      <c r="B1688">
        <f>IF(Data!$B1688="","",Data!$B1688)</f>
        <v>0</v>
      </c>
      <c r="C1688">
        <f>IF(Data!$C1688="","",Data!$C1688)</f>
        <v>0</v>
      </c>
      <c r="D1688">
        <f>IF(Data!$D1688="","",Data!$D1688)</f>
        <v>0</v>
      </c>
      <c r="E1688">
        <f>IF(Data!$E1688="","",Data!$E1688)</f>
        <v>0</v>
      </c>
      <c r="F1688">
        <f>IF($E1688="","",N(F1687)+1)</f>
        <v>0</v>
      </c>
      <c r="G1688">
        <f>IF(OR($E1688="",$E1687=""),"",LN($E1688/$E1687))</f>
        <v>0</v>
      </c>
      <c r="H1688">
        <f>IF($E1688="","",IF($E1687="",$E1688,$E1688*0.0952380952+H1687*0.9047619048))</f>
        <v>0</v>
      </c>
      <c r="I1688">
        <f>IF($E1688="","",IF($E1687="",$E1688,$E1688*0.0392156863+I1687*0.9607843137))</f>
        <v>0</v>
      </c>
      <c r="J1688">
        <f>IF($E1688="","",IF($E1687="",$E1688,$E1688*0.0198019802+J1687*0.9801980198))</f>
        <v>0</v>
      </c>
      <c r="K1688">
        <f>IF($E1688="","",IF($E1687="",$E1688,$E1688*0.0099502488+K1687*0.9900497512))</f>
        <v>0</v>
      </c>
      <c r="L1688">
        <f>IF(OR($E1688="",$E1687=""),"",MAX($E1688-$E1687,0))</f>
        <v>0</v>
      </c>
      <c r="M1688">
        <f>IF(OR($E1688="",$E1687=""),"",MAX($E1687-$E1688,0))</f>
        <v>0</v>
      </c>
      <c r="N1688">
        <f>IF(COUNT($E$2:$E1688)&lt;15,"",IF(AVERAGE($M$1675:$M$1688)=0,100,100-100/(1+AVERAGE($L$1675:$L$1688)/AVERAGE($M$1675:$M$1688))))</f>
        <v>0</v>
      </c>
      <c r="O1688">
        <f>IF($E1688="","",IF($E1687="",$E1688,$E1688*0.1538461538+O1687*0.8461538462))</f>
        <v>0</v>
      </c>
      <c r="P1688">
        <f>IF($E1688="","",IF($E1687="",$E1688,$E1688*0.0740740741+P1687*0.9259259259))</f>
        <v>0</v>
      </c>
      <c r="Q1688">
        <f>IF(OR(O1688="",P1688=""),"",O1688-P1688)</f>
        <v>0</v>
      </c>
      <c r="R1688">
        <f>IF(Q1688="","",IF(R1687="",Q1688,Q1688*0.2000000000+R1687*0.8000000000))</f>
        <v>0</v>
      </c>
      <c r="S1688">
        <f>IF(OR(Q1688="",R1688=""),"",Q1688-R1688)</f>
        <v>0</v>
      </c>
      <c r="T1688">
        <f>IF(COUNT($E$2:$E1688)&lt;14,"",MAX($C$1675:$C$1688))</f>
        <v>0</v>
      </c>
      <c r="U1688">
        <f>IF(COUNT($E$2:$E1688)&lt;14,"",MIN($D$1675:$D$1688))</f>
        <v>0</v>
      </c>
      <c r="V1688">
        <f>IF(OR(T1688="",U1688="",T1688=U1688),"",100*($E1688-U1688)/(T1688-U1688))</f>
        <v>0</v>
      </c>
      <c r="W1688">
        <f>IF(COUNT($V$1686:$V$1688)&lt;3,"",AVERAGE($V$1686:$V$1688))</f>
        <v>0</v>
      </c>
      <c r="X1688">
        <f>IF(COUNT($N$1675:$N$1688)&lt;14,"",MIN($N$1675:$N$1688))</f>
        <v>0</v>
      </c>
      <c r="Y1688">
        <f>IF(COUNT($N$1675:$N$1688)&lt;14,"",MAX($N$1675:$N$1688))</f>
        <v>0</v>
      </c>
      <c r="Z1688">
        <f>IF(OR(N1688="",X1688="",Y1688="",Y1688=X1688),"",100*(N1688-X1688)/(Y1688-X1688))</f>
        <v>0</v>
      </c>
      <c r="AA1688">
        <f>IF(COUNT($Z$1686:$Z$1688)&lt;3,"",AVERAGE($Z$1686:$Z$1688))</f>
        <v>0</v>
      </c>
      <c r="AB1688">
        <f>IF(COUNT($AA$1686:$AA$1688)&lt;3,"",AVERAGE($AA$1686:$AA$1688))</f>
        <v>0</v>
      </c>
      <c r="AC1688">
        <f>IF($E1688="","",MAX($C1688-$D1688,ABS($C1688-$E1687),ABS($D1688-$E1687)))</f>
        <v>0</v>
      </c>
      <c r="AD1688">
        <f>IF(COUNT($E$2:$E1688)&lt;15,"",AVERAGE($AC$1675:$AC$1688))</f>
        <v>0</v>
      </c>
      <c r="AE1688">
        <f>IF(OR($E1688="",$E1687=""),"",IF(AND(($C1688-$C1687)&gt;($D1687-$D1688),($C1688-$C1687)&gt;0),$C1688-$C1687,0))</f>
        <v>0</v>
      </c>
      <c r="AF1688">
        <f>IF(OR($E1688="",$E1687=""),"",IF(AND(($D1687-$D1688)&gt;($C1688-$C1687),($D1687-$D1688)&gt;0),$D1687-$D1688,0))</f>
        <v>0</v>
      </c>
      <c r="AG1688">
        <f>IF(COUNT($E$2:$E1688)&lt;15,"",IF(SUM($AC$1675:$AC$1688)=0,0,100*SUM($AE$1675:$AE$1688)/SUM($AC$1675:$AC$1688)))</f>
        <v>0</v>
      </c>
      <c r="AH1688">
        <f>IF(COUNT($E$2:$E1688)&lt;15,"",IF(SUM($AC$1675:$AC$1688)=0,0,100*SUM($AF$1675:$AF$1688)/SUM($AC$1675:$AC$1688)))</f>
        <v>0</v>
      </c>
      <c r="AI1688">
        <f>IF(OR(AG1688="",AH1688=""),"",IF((AG1688+AH1688)=0,0,100*ABS(AG1688-AH1688)/(AG1688+AH1688)))</f>
        <v>0</v>
      </c>
      <c r="AJ1688">
        <f>IF(COUNT($AI$1675:$AI$1688)&lt;14,"",AVERAGE($AI$1675:$AI$1688))</f>
        <v>0</v>
      </c>
      <c r="AK1688">
        <f>IF(COUNT($E$2:$E1688)&lt;20,"",AVERAGE($E$1669:$E$1688))</f>
        <v>0</v>
      </c>
      <c r="AL1688">
        <f>IF(COUNT($E$2:$E1688)&lt;20,"",STDEVP($E$1669:$E$1688))</f>
        <v>0</v>
      </c>
      <c r="AM1688">
        <f>IF(AK1688="","",AK1688+2*AL1688)</f>
        <v>0</v>
      </c>
      <c r="AN1688">
        <f>IF(AK1688="","",AK1688-2*AL1688)</f>
        <v>0</v>
      </c>
      <c r="AO1688">
        <f>IF(OR(AM1688="",AN1688="",AM1688=AN1688),"",($E1688-AN1688)/(AM1688-AN1688))</f>
        <v>0</v>
      </c>
      <c r="AP1688">
        <f>IF(OR(AM1688="",AK1688="",AK1688=0),"",(AM1688-AN1688)/AK1688)</f>
        <v>0</v>
      </c>
      <c r="AQ1688">
        <f>IF(COUNT($E$2:$E1688)&lt;20,"",MAX($C$1669:$C$1688))</f>
        <v>0</v>
      </c>
      <c r="AR1688">
        <f>IF(COUNT($E$2:$E1688)&lt;20,"",MIN($D$1669:$D$1688))</f>
        <v>0</v>
      </c>
      <c r="AS1688">
        <f>IF(OR(AQ1688="",AR1688=""),"",(AQ1688+AR1688)/2)</f>
        <v>0</v>
      </c>
      <c r="AT1688">
        <f>IF(COUNT($G$1669:$G$1688)&lt;20,"",STDEV($G$1669:$G$1688)*SQRT(252))</f>
        <v>0</v>
      </c>
      <c r="AU1688">
        <f>IF(COUNT($E$2:$E1688)&lt;9,"",(MAX($C$1680:$C$1688)+MIN($D$1680:$D$1688))/2)</f>
        <v>0</v>
      </c>
      <c r="AV1688">
        <f>IF(COUNT($E$2:$E1688)&lt;26,"",(MAX($C$1663:$C$1688)+MIN($D$1663:$D$1688))/2)</f>
        <v>0</v>
      </c>
      <c r="AW1688">
        <f>IF(OR(AU1688="",AV1688=""),"",(AU1688+AV1688)/2)</f>
        <v>0</v>
      </c>
      <c r="AX1688">
        <f>IF(COUNT($E$2:$E1688)&lt;52,"",(MAX($C$1637:$C$1688)+MIN($D$1637:$D$1688))/2)</f>
        <v>0</v>
      </c>
      <c r="AY1688">
        <f>IF(COUNT($E$2:$E1688)&lt;20,"",MAX($C$1589:$C$1688))</f>
        <v>0</v>
      </c>
      <c r="AZ1688">
        <f>IF(COUNT($E$2:$E1688)&lt;20,"",MIN($D$1589:$D$1688))</f>
        <v>0</v>
      </c>
      <c r="BA1688">
        <f>IF(COUNT($E$2:$E1688)&lt;20,"",SLOPE($E$1589:$E$1688,$F$1589:$F$1688))</f>
        <v>0</v>
      </c>
      <c r="BB1688">
        <f>IF(COUNT($E$2:$E1688)&lt;20,"",INTERCEPT($E$1589:$E$1688,$F$1589:$F$1688))</f>
        <v>0</v>
      </c>
      <c r="BC1688">
        <f>IF(OR(BA1688="",BB1688=""),"",BB1688+BA1688*F1688)</f>
        <v>0</v>
      </c>
      <c r="BD1688">
        <f>IF(COUNT($E$2:$E1688)&lt;20,"",STEYX($E$1589:$E$1688,$F$1589:$F$1688))</f>
        <v>0</v>
      </c>
      <c r="BE1688">
        <f>IF($E1688="","",IF(AND(COUNT($E$1689:$E$1692)&gt;=4,$C1688=MAX($C$1684:$C$1692)),$C1688,""))</f>
        <v>0</v>
      </c>
      <c r="BF1688">
        <f>IF($E1688="","",IF(AND(COUNT($E$1689:$E$1692)&gt;=4,$D1688=MIN($D$1684:$D$1692)),$D1688,""))</f>
        <v>0</v>
      </c>
      <c r="BG1688">
        <f>IF($A1688="","",$A1688-WEEKDAY($A1688,2)+1)</f>
        <v>0</v>
      </c>
      <c r="BH1688">
        <f>IF($A1688="","",IF($A1687="",1,IF(BG1688&lt;&gt;BG1687,1,0)))</f>
        <v>0</v>
      </c>
      <c r="BI1688">
        <f>IF($A1688="","",IF($A1689="",1,IF(BG1689&lt;&gt;BG1688,1,0)))</f>
        <v>0</v>
      </c>
      <c r="BJ1688">
        <f>IF($A1688="","",IF(BH1688=1,$B1688,BJ1687))</f>
        <v>0</v>
      </c>
      <c r="BK1688">
        <f>IF($A1688="","",IF(BH1688=1,$C1688,MAX($C1688,BK1687)))</f>
        <v>0</v>
      </c>
      <c r="BL1688">
        <f>IF($A1688="","",IF(BH1688=1,$D1688,MIN($D1688,BL1687)))</f>
        <v>0</v>
      </c>
      <c r="BM1688">
        <f>IF($A1688="","",IF(BI1688=1,F1688,""))</f>
        <v>0</v>
      </c>
      <c r="BN1688">
        <f>IF($A1688="","",DATE(YEAR($A1688),MONTH($A1688),1))</f>
        <v>0</v>
      </c>
      <c r="BO1688">
        <f>IF($A1688="","",IF($A1687="",1,IF(BN1688&lt;&gt;BN1687,1,0)))</f>
        <v>0</v>
      </c>
      <c r="BP1688">
        <f>IF($A1688="","",IF($A1689="",1,IF(BN1689&lt;&gt;BN1688,1,0)))</f>
        <v>0</v>
      </c>
      <c r="BQ1688">
        <f>IF($A1688="","",IF(BO1688=1,$B1688,BQ1687))</f>
        <v>0</v>
      </c>
      <c r="BR1688">
        <f>IF($A1688="","",IF(BO1688=1,$C1688,MAX($C1688,BR1687)))</f>
        <v>0</v>
      </c>
      <c r="BS1688">
        <f>IF($A1688="","",IF(BO1688=1,$D1688,MIN($D1688,BS1687)))</f>
        <v>0</v>
      </c>
      <c r="BT1688">
        <f>IF($A1688="","",IF(BP1688=1,F1688,""))</f>
        <v>0</v>
      </c>
    </row>
    <row r="1689" spans="1:72">
      <c r="A1689" s="27">
        <f>IF(Data!$A1689="","",Data!$A1689)</f>
        <v>0</v>
      </c>
      <c r="B1689">
        <f>IF(Data!$B1689="","",Data!$B1689)</f>
        <v>0</v>
      </c>
      <c r="C1689">
        <f>IF(Data!$C1689="","",Data!$C1689)</f>
        <v>0</v>
      </c>
      <c r="D1689">
        <f>IF(Data!$D1689="","",Data!$D1689)</f>
        <v>0</v>
      </c>
      <c r="E1689">
        <f>IF(Data!$E1689="","",Data!$E1689)</f>
        <v>0</v>
      </c>
      <c r="F1689">
        <f>IF($E1689="","",N(F1688)+1)</f>
        <v>0</v>
      </c>
      <c r="G1689">
        <f>IF(OR($E1689="",$E1688=""),"",LN($E1689/$E1688))</f>
        <v>0</v>
      </c>
      <c r="H1689">
        <f>IF($E1689="","",IF($E1688="",$E1689,$E1689*0.0952380952+H1688*0.9047619048))</f>
        <v>0</v>
      </c>
      <c r="I1689">
        <f>IF($E1689="","",IF($E1688="",$E1689,$E1689*0.0392156863+I1688*0.9607843137))</f>
        <v>0</v>
      </c>
      <c r="J1689">
        <f>IF($E1689="","",IF($E1688="",$E1689,$E1689*0.0198019802+J1688*0.9801980198))</f>
        <v>0</v>
      </c>
      <c r="K1689">
        <f>IF($E1689="","",IF($E1688="",$E1689,$E1689*0.0099502488+K1688*0.9900497512))</f>
        <v>0</v>
      </c>
      <c r="L1689">
        <f>IF(OR($E1689="",$E1688=""),"",MAX($E1689-$E1688,0))</f>
        <v>0</v>
      </c>
      <c r="M1689">
        <f>IF(OR($E1689="",$E1688=""),"",MAX($E1688-$E1689,0))</f>
        <v>0</v>
      </c>
      <c r="N1689">
        <f>IF(COUNT($E$2:$E1689)&lt;15,"",IF(AVERAGE($M$1676:$M$1689)=0,100,100-100/(1+AVERAGE($L$1676:$L$1689)/AVERAGE($M$1676:$M$1689))))</f>
        <v>0</v>
      </c>
      <c r="O1689">
        <f>IF($E1689="","",IF($E1688="",$E1689,$E1689*0.1538461538+O1688*0.8461538462))</f>
        <v>0</v>
      </c>
      <c r="P1689">
        <f>IF($E1689="","",IF($E1688="",$E1689,$E1689*0.0740740741+P1688*0.9259259259))</f>
        <v>0</v>
      </c>
      <c r="Q1689">
        <f>IF(OR(O1689="",P1689=""),"",O1689-P1689)</f>
        <v>0</v>
      </c>
      <c r="R1689">
        <f>IF(Q1689="","",IF(R1688="",Q1689,Q1689*0.2000000000+R1688*0.8000000000))</f>
        <v>0</v>
      </c>
      <c r="S1689">
        <f>IF(OR(Q1689="",R1689=""),"",Q1689-R1689)</f>
        <v>0</v>
      </c>
      <c r="T1689">
        <f>IF(COUNT($E$2:$E1689)&lt;14,"",MAX($C$1676:$C$1689))</f>
        <v>0</v>
      </c>
      <c r="U1689">
        <f>IF(COUNT($E$2:$E1689)&lt;14,"",MIN($D$1676:$D$1689))</f>
        <v>0</v>
      </c>
      <c r="V1689">
        <f>IF(OR(T1689="",U1689="",T1689=U1689),"",100*($E1689-U1689)/(T1689-U1689))</f>
        <v>0</v>
      </c>
      <c r="W1689">
        <f>IF(COUNT($V$1687:$V$1689)&lt;3,"",AVERAGE($V$1687:$V$1689))</f>
        <v>0</v>
      </c>
      <c r="X1689">
        <f>IF(COUNT($N$1676:$N$1689)&lt;14,"",MIN($N$1676:$N$1689))</f>
        <v>0</v>
      </c>
      <c r="Y1689">
        <f>IF(COUNT($N$1676:$N$1689)&lt;14,"",MAX($N$1676:$N$1689))</f>
        <v>0</v>
      </c>
      <c r="Z1689">
        <f>IF(OR(N1689="",X1689="",Y1689="",Y1689=X1689),"",100*(N1689-X1689)/(Y1689-X1689))</f>
        <v>0</v>
      </c>
      <c r="AA1689">
        <f>IF(COUNT($Z$1687:$Z$1689)&lt;3,"",AVERAGE($Z$1687:$Z$1689))</f>
        <v>0</v>
      </c>
      <c r="AB1689">
        <f>IF(COUNT($AA$1687:$AA$1689)&lt;3,"",AVERAGE($AA$1687:$AA$1689))</f>
        <v>0</v>
      </c>
      <c r="AC1689">
        <f>IF($E1689="","",MAX($C1689-$D1689,ABS($C1689-$E1688),ABS($D1689-$E1688)))</f>
        <v>0</v>
      </c>
      <c r="AD1689">
        <f>IF(COUNT($E$2:$E1689)&lt;15,"",AVERAGE($AC$1676:$AC$1689))</f>
        <v>0</v>
      </c>
      <c r="AE1689">
        <f>IF(OR($E1689="",$E1688=""),"",IF(AND(($C1689-$C1688)&gt;($D1688-$D1689),($C1689-$C1688)&gt;0),$C1689-$C1688,0))</f>
        <v>0</v>
      </c>
      <c r="AF1689">
        <f>IF(OR($E1689="",$E1688=""),"",IF(AND(($D1688-$D1689)&gt;($C1689-$C1688),($D1688-$D1689)&gt;0),$D1688-$D1689,0))</f>
        <v>0</v>
      </c>
      <c r="AG1689">
        <f>IF(COUNT($E$2:$E1689)&lt;15,"",IF(SUM($AC$1676:$AC$1689)=0,0,100*SUM($AE$1676:$AE$1689)/SUM($AC$1676:$AC$1689)))</f>
        <v>0</v>
      </c>
      <c r="AH1689">
        <f>IF(COUNT($E$2:$E1689)&lt;15,"",IF(SUM($AC$1676:$AC$1689)=0,0,100*SUM($AF$1676:$AF$1689)/SUM($AC$1676:$AC$1689)))</f>
        <v>0</v>
      </c>
      <c r="AI1689">
        <f>IF(OR(AG1689="",AH1689=""),"",IF((AG1689+AH1689)=0,0,100*ABS(AG1689-AH1689)/(AG1689+AH1689)))</f>
        <v>0</v>
      </c>
      <c r="AJ1689">
        <f>IF(COUNT($AI$1676:$AI$1689)&lt;14,"",AVERAGE($AI$1676:$AI$1689))</f>
        <v>0</v>
      </c>
      <c r="AK1689">
        <f>IF(COUNT($E$2:$E1689)&lt;20,"",AVERAGE($E$1670:$E$1689))</f>
        <v>0</v>
      </c>
      <c r="AL1689">
        <f>IF(COUNT($E$2:$E1689)&lt;20,"",STDEVP($E$1670:$E$1689))</f>
        <v>0</v>
      </c>
      <c r="AM1689">
        <f>IF(AK1689="","",AK1689+2*AL1689)</f>
        <v>0</v>
      </c>
      <c r="AN1689">
        <f>IF(AK1689="","",AK1689-2*AL1689)</f>
        <v>0</v>
      </c>
      <c r="AO1689">
        <f>IF(OR(AM1689="",AN1689="",AM1689=AN1689),"",($E1689-AN1689)/(AM1689-AN1689))</f>
        <v>0</v>
      </c>
      <c r="AP1689">
        <f>IF(OR(AM1689="",AK1689="",AK1689=0),"",(AM1689-AN1689)/AK1689)</f>
        <v>0</v>
      </c>
      <c r="AQ1689">
        <f>IF(COUNT($E$2:$E1689)&lt;20,"",MAX($C$1670:$C$1689))</f>
        <v>0</v>
      </c>
      <c r="AR1689">
        <f>IF(COUNT($E$2:$E1689)&lt;20,"",MIN($D$1670:$D$1689))</f>
        <v>0</v>
      </c>
      <c r="AS1689">
        <f>IF(OR(AQ1689="",AR1689=""),"",(AQ1689+AR1689)/2)</f>
        <v>0</v>
      </c>
      <c r="AT1689">
        <f>IF(COUNT($G$1670:$G$1689)&lt;20,"",STDEV($G$1670:$G$1689)*SQRT(252))</f>
        <v>0</v>
      </c>
      <c r="AU1689">
        <f>IF(COUNT($E$2:$E1689)&lt;9,"",(MAX($C$1681:$C$1689)+MIN($D$1681:$D$1689))/2)</f>
        <v>0</v>
      </c>
      <c r="AV1689">
        <f>IF(COUNT($E$2:$E1689)&lt;26,"",(MAX($C$1664:$C$1689)+MIN($D$1664:$D$1689))/2)</f>
        <v>0</v>
      </c>
      <c r="AW1689">
        <f>IF(OR(AU1689="",AV1689=""),"",(AU1689+AV1689)/2)</f>
        <v>0</v>
      </c>
      <c r="AX1689">
        <f>IF(COUNT($E$2:$E1689)&lt;52,"",(MAX($C$1638:$C$1689)+MIN($D$1638:$D$1689))/2)</f>
        <v>0</v>
      </c>
      <c r="AY1689">
        <f>IF(COUNT($E$2:$E1689)&lt;20,"",MAX($C$1590:$C$1689))</f>
        <v>0</v>
      </c>
      <c r="AZ1689">
        <f>IF(COUNT($E$2:$E1689)&lt;20,"",MIN($D$1590:$D$1689))</f>
        <v>0</v>
      </c>
      <c r="BA1689">
        <f>IF(COUNT($E$2:$E1689)&lt;20,"",SLOPE($E$1590:$E$1689,$F$1590:$F$1689))</f>
        <v>0</v>
      </c>
      <c r="BB1689">
        <f>IF(COUNT($E$2:$E1689)&lt;20,"",INTERCEPT($E$1590:$E$1689,$F$1590:$F$1689))</f>
        <v>0</v>
      </c>
      <c r="BC1689">
        <f>IF(OR(BA1689="",BB1689=""),"",BB1689+BA1689*F1689)</f>
        <v>0</v>
      </c>
      <c r="BD1689">
        <f>IF(COUNT($E$2:$E1689)&lt;20,"",STEYX($E$1590:$E$1689,$F$1590:$F$1689))</f>
        <v>0</v>
      </c>
      <c r="BE1689">
        <f>IF($E1689="","",IF(AND(COUNT($E$1690:$E$1693)&gt;=4,$C1689=MAX($C$1685:$C$1693)),$C1689,""))</f>
        <v>0</v>
      </c>
      <c r="BF1689">
        <f>IF($E1689="","",IF(AND(COUNT($E$1690:$E$1693)&gt;=4,$D1689=MIN($D$1685:$D$1693)),$D1689,""))</f>
        <v>0</v>
      </c>
      <c r="BG1689">
        <f>IF($A1689="","",$A1689-WEEKDAY($A1689,2)+1)</f>
        <v>0</v>
      </c>
      <c r="BH1689">
        <f>IF($A1689="","",IF($A1688="",1,IF(BG1689&lt;&gt;BG1688,1,0)))</f>
        <v>0</v>
      </c>
      <c r="BI1689">
        <f>IF($A1689="","",IF($A1690="",1,IF(BG1690&lt;&gt;BG1689,1,0)))</f>
        <v>0</v>
      </c>
      <c r="BJ1689">
        <f>IF($A1689="","",IF(BH1689=1,$B1689,BJ1688))</f>
        <v>0</v>
      </c>
      <c r="BK1689">
        <f>IF($A1689="","",IF(BH1689=1,$C1689,MAX($C1689,BK1688)))</f>
        <v>0</v>
      </c>
      <c r="BL1689">
        <f>IF($A1689="","",IF(BH1689=1,$D1689,MIN($D1689,BL1688)))</f>
        <v>0</v>
      </c>
      <c r="BM1689">
        <f>IF($A1689="","",IF(BI1689=1,F1689,""))</f>
        <v>0</v>
      </c>
      <c r="BN1689">
        <f>IF($A1689="","",DATE(YEAR($A1689),MONTH($A1689),1))</f>
        <v>0</v>
      </c>
      <c r="BO1689">
        <f>IF($A1689="","",IF($A1688="",1,IF(BN1689&lt;&gt;BN1688,1,0)))</f>
        <v>0</v>
      </c>
      <c r="BP1689">
        <f>IF($A1689="","",IF($A1690="",1,IF(BN1690&lt;&gt;BN1689,1,0)))</f>
        <v>0</v>
      </c>
      <c r="BQ1689">
        <f>IF($A1689="","",IF(BO1689=1,$B1689,BQ1688))</f>
        <v>0</v>
      </c>
      <c r="BR1689">
        <f>IF($A1689="","",IF(BO1689=1,$C1689,MAX($C1689,BR1688)))</f>
        <v>0</v>
      </c>
      <c r="BS1689">
        <f>IF($A1689="","",IF(BO1689=1,$D1689,MIN($D1689,BS1688)))</f>
        <v>0</v>
      </c>
      <c r="BT1689">
        <f>IF($A1689="","",IF(BP1689=1,F1689,""))</f>
        <v>0</v>
      </c>
    </row>
    <row r="1690" spans="1:72">
      <c r="A1690" s="27">
        <f>IF(Data!$A1690="","",Data!$A1690)</f>
        <v>0</v>
      </c>
      <c r="B1690">
        <f>IF(Data!$B1690="","",Data!$B1690)</f>
        <v>0</v>
      </c>
      <c r="C1690">
        <f>IF(Data!$C1690="","",Data!$C1690)</f>
        <v>0</v>
      </c>
      <c r="D1690">
        <f>IF(Data!$D1690="","",Data!$D1690)</f>
        <v>0</v>
      </c>
      <c r="E1690">
        <f>IF(Data!$E1690="","",Data!$E1690)</f>
        <v>0</v>
      </c>
      <c r="F1690">
        <f>IF($E1690="","",N(F1689)+1)</f>
        <v>0</v>
      </c>
      <c r="G1690">
        <f>IF(OR($E1690="",$E1689=""),"",LN($E1690/$E1689))</f>
        <v>0</v>
      </c>
      <c r="H1690">
        <f>IF($E1690="","",IF($E1689="",$E1690,$E1690*0.0952380952+H1689*0.9047619048))</f>
        <v>0</v>
      </c>
      <c r="I1690">
        <f>IF($E1690="","",IF($E1689="",$E1690,$E1690*0.0392156863+I1689*0.9607843137))</f>
        <v>0</v>
      </c>
      <c r="J1690">
        <f>IF($E1690="","",IF($E1689="",$E1690,$E1690*0.0198019802+J1689*0.9801980198))</f>
        <v>0</v>
      </c>
      <c r="K1690">
        <f>IF($E1690="","",IF($E1689="",$E1690,$E1690*0.0099502488+K1689*0.9900497512))</f>
        <v>0</v>
      </c>
      <c r="L1690">
        <f>IF(OR($E1690="",$E1689=""),"",MAX($E1690-$E1689,0))</f>
        <v>0</v>
      </c>
      <c r="M1690">
        <f>IF(OR($E1690="",$E1689=""),"",MAX($E1689-$E1690,0))</f>
        <v>0</v>
      </c>
      <c r="N1690">
        <f>IF(COUNT($E$2:$E1690)&lt;15,"",IF(AVERAGE($M$1677:$M$1690)=0,100,100-100/(1+AVERAGE($L$1677:$L$1690)/AVERAGE($M$1677:$M$1690))))</f>
        <v>0</v>
      </c>
      <c r="O1690">
        <f>IF($E1690="","",IF($E1689="",$E1690,$E1690*0.1538461538+O1689*0.8461538462))</f>
        <v>0</v>
      </c>
      <c r="P1690">
        <f>IF($E1690="","",IF($E1689="",$E1690,$E1690*0.0740740741+P1689*0.9259259259))</f>
        <v>0</v>
      </c>
      <c r="Q1690">
        <f>IF(OR(O1690="",P1690=""),"",O1690-P1690)</f>
        <v>0</v>
      </c>
      <c r="R1690">
        <f>IF(Q1690="","",IF(R1689="",Q1690,Q1690*0.2000000000+R1689*0.8000000000))</f>
        <v>0</v>
      </c>
      <c r="S1690">
        <f>IF(OR(Q1690="",R1690=""),"",Q1690-R1690)</f>
        <v>0</v>
      </c>
      <c r="T1690">
        <f>IF(COUNT($E$2:$E1690)&lt;14,"",MAX($C$1677:$C$1690))</f>
        <v>0</v>
      </c>
      <c r="U1690">
        <f>IF(COUNT($E$2:$E1690)&lt;14,"",MIN($D$1677:$D$1690))</f>
        <v>0</v>
      </c>
      <c r="V1690">
        <f>IF(OR(T1690="",U1690="",T1690=U1690),"",100*($E1690-U1690)/(T1690-U1690))</f>
        <v>0</v>
      </c>
      <c r="W1690">
        <f>IF(COUNT($V$1688:$V$1690)&lt;3,"",AVERAGE($V$1688:$V$1690))</f>
        <v>0</v>
      </c>
      <c r="X1690">
        <f>IF(COUNT($N$1677:$N$1690)&lt;14,"",MIN($N$1677:$N$1690))</f>
        <v>0</v>
      </c>
      <c r="Y1690">
        <f>IF(COUNT($N$1677:$N$1690)&lt;14,"",MAX($N$1677:$N$1690))</f>
        <v>0</v>
      </c>
      <c r="Z1690">
        <f>IF(OR(N1690="",X1690="",Y1690="",Y1690=X1690),"",100*(N1690-X1690)/(Y1690-X1690))</f>
        <v>0</v>
      </c>
      <c r="AA1690">
        <f>IF(COUNT($Z$1688:$Z$1690)&lt;3,"",AVERAGE($Z$1688:$Z$1690))</f>
        <v>0</v>
      </c>
      <c r="AB1690">
        <f>IF(COUNT($AA$1688:$AA$1690)&lt;3,"",AVERAGE($AA$1688:$AA$1690))</f>
        <v>0</v>
      </c>
      <c r="AC1690">
        <f>IF($E1690="","",MAX($C1690-$D1690,ABS($C1690-$E1689),ABS($D1690-$E1689)))</f>
        <v>0</v>
      </c>
      <c r="AD1690">
        <f>IF(COUNT($E$2:$E1690)&lt;15,"",AVERAGE($AC$1677:$AC$1690))</f>
        <v>0</v>
      </c>
      <c r="AE1690">
        <f>IF(OR($E1690="",$E1689=""),"",IF(AND(($C1690-$C1689)&gt;($D1689-$D1690),($C1690-$C1689)&gt;0),$C1690-$C1689,0))</f>
        <v>0</v>
      </c>
      <c r="AF1690">
        <f>IF(OR($E1690="",$E1689=""),"",IF(AND(($D1689-$D1690)&gt;($C1690-$C1689),($D1689-$D1690)&gt;0),$D1689-$D1690,0))</f>
        <v>0</v>
      </c>
      <c r="AG1690">
        <f>IF(COUNT($E$2:$E1690)&lt;15,"",IF(SUM($AC$1677:$AC$1690)=0,0,100*SUM($AE$1677:$AE$1690)/SUM($AC$1677:$AC$1690)))</f>
        <v>0</v>
      </c>
      <c r="AH1690">
        <f>IF(COUNT($E$2:$E1690)&lt;15,"",IF(SUM($AC$1677:$AC$1690)=0,0,100*SUM($AF$1677:$AF$1690)/SUM($AC$1677:$AC$1690)))</f>
        <v>0</v>
      </c>
      <c r="AI1690">
        <f>IF(OR(AG1690="",AH1690=""),"",IF((AG1690+AH1690)=0,0,100*ABS(AG1690-AH1690)/(AG1690+AH1690)))</f>
        <v>0</v>
      </c>
      <c r="AJ1690">
        <f>IF(COUNT($AI$1677:$AI$1690)&lt;14,"",AVERAGE($AI$1677:$AI$1690))</f>
        <v>0</v>
      </c>
      <c r="AK1690">
        <f>IF(COUNT($E$2:$E1690)&lt;20,"",AVERAGE($E$1671:$E$1690))</f>
        <v>0</v>
      </c>
      <c r="AL1690">
        <f>IF(COUNT($E$2:$E1690)&lt;20,"",STDEVP($E$1671:$E$1690))</f>
        <v>0</v>
      </c>
      <c r="AM1690">
        <f>IF(AK1690="","",AK1690+2*AL1690)</f>
        <v>0</v>
      </c>
      <c r="AN1690">
        <f>IF(AK1690="","",AK1690-2*AL1690)</f>
        <v>0</v>
      </c>
      <c r="AO1690">
        <f>IF(OR(AM1690="",AN1690="",AM1690=AN1690),"",($E1690-AN1690)/(AM1690-AN1690))</f>
        <v>0</v>
      </c>
      <c r="AP1690">
        <f>IF(OR(AM1690="",AK1690="",AK1690=0),"",(AM1690-AN1690)/AK1690)</f>
        <v>0</v>
      </c>
      <c r="AQ1690">
        <f>IF(COUNT($E$2:$E1690)&lt;20,"",MAX($C$1671:$C$1690))</f>
        <v>0</v>
      </c>
      <c r="AR1690">
        <f>IF(COUNT($E$2:$E1690)&lt;20,"",MIN($D$1671:$D$1690))</f>
        <v>0</v>
      </c>
      <c r="AS1690">
        <f>IF(OR(AQ1690="",AR1690=""),"",(AQ1690+AR1690)/2)</f>
        <v>0</v>
      </c>
      <c r="AT1690">
        <f>IF(COUNT($G$1671:$G$1690)&lt;20,"",STDEV($G$1671:$G$1690)*SQRT(252))</f>
        <v>0</v>
      </c>
      <c r="AU1690">
        <f>IF(COUNT($E$2:$E1690)&lt;9,"",(MAX($C$1682:$C$1690)+MIN($D$1682:$D$1690))/2)</f>
        <v>0</v>
      </c>
      <c r="AV1690">
        <f>IF(COUNT($E$2:$E1690)&lt;26,"",(MAX($C$1665:$C$1690)+MIN($D$1665:$D$1690))/2)</f>
        <v>0</v>
      </c>
      <c r="AW1690">
        <f>IF(OR(AU1690="",AV1690=""),"",(AU1690+AV1690)/2)</f>
        <v>0</v>
      </c>
      <c r="AX1690">
        <f>IF(COUNT($E$2:$E1690)&lt;52,"",(MAX($C$1639:$C$1690)+MIN($D$1639:$D$1690))/2)</f>
        <v>0</v>
      </c>
      <c r="AY1690">
        <f>IF(COUNT($E$2:$E1690)&lt;20,"",MAX($C$1591:$C$1690))</f>
        <v>0</v>
      </c>
      <c r="AZ1690">
        <f>IF(COUNT($E$2:$E1690)&lt;20,"",MIN($D$1591:$D$1690))</f>
        <v>0</v>
      </c>
      <c r="BA1690">
        <f>IF(COUNT($E$2:$E1690)&lt;20,"",SLOPE($E$1591:$E$1690,$F$1591:$F$1690))</f>
        <v>0</v>
      </c>
      <c r="BB1690">
        <f>IF(COUNT($E$2:$E1690)&lt;20,"",INTERCEPT($E$1591:$E$1690,$F$1591:$F$1690))</f>
        <v>0</v>
      </c>
      <c r="BC1690">
        <f>IF(OR(BA1690="",BB1690=""),"",BB1690+BA1690*F1690)</f>
        <v>0</v>
      </c>
      <c r="BD1690">
        <f>IF(COUNT($E$2:$E1690)&lt;20,"",STEYX($E$1591:$E$1690,$F$1591:$F$1690))</f>
        <v>0</v>
      </c>
      <c r="BE1690">
        <f>IF($E1690="","",IF(AND(COUNT($E$1691:$E$1694)&gt;=4,$C1690=MAX($C$1686:$C$1694)),$C1690,""))</f>
        <v>0</v>
      </c>
      <c r="BF1690">
        <f>IF($E1690="","",IF(AND(COUNT($E$1691:$E$1694)&gt;=4,$D1690=MIN($D$1686:$D$1694)),$D1690,""))</f>
        <v>0</v>
      </c>
      <c r="BG1690">
        <f>IF($A1690="","",$A1690-WEEKDAY($A1690,2)+1)</f>
        <v>0</v>
      </c>
      <c r="BH1690">
        <f>IF($A1690="","",IF($A1689="",1,IF(BG1690&lt;&gt;BG1689,1,0)))</f>
        <v>0</v>
      </c>
      <c r="BI1690">
        <f>IF($A1690="","",IF($A1691="",1,IF(BG1691&lt;&gt;BG1690,1,0)))</f>
        <v>0</v>
      </c>
      <c r="BJ1690">
        <f>IF($A1690="","",IF(BH1690=1,$B1690,BJ1689))</f>
        <v>0</v>
      </c>
      <c r="BK1690">
        <f>IF($A1690="","",IF(BH1690=1,$C1690,MAX($C1690,BK1689)))</f>
        <v>0</v>
      </c>
      <c r="BL1690">
        <f>IF($A1690="","",IF(BH1690=1,$D1690,MIN($D1690,BL1689)))</f>
        <v>0</v>
      </c>
      <c r="BM1690">
        <f>IF($A1690="","",IF(BI1690=1,F1690,""))</f>
        <v>0</v>
      </c>
      <c r="BN1690">
        <f>IF($A1690="","",DATE(YEAR($A1690),MONTH($A1690),1))</f>
        <v>0</v>
      </c>
      <c r="BO1690">
        <f>IF($A1690="","",IF($A1689="",1,IF(BN1690&lt;&gt;BN1689,1,0)))</f>
        <v>0</v>
      </c>
      <c r="BP1690">
        <f>IF($A1690="","",IF($A1691="",1,IF(BN1691&lt;&gt;BN1690,1,0)))</f>
        <v>0</v>
      </c>
      <c r="BQ1690">
        <f>IF($A1690="","",IF(BO1690=1,$B1690,BQ1689))</f>
        <v>0</v>
      </c>
      <c r="BR1690">
        <f>IF($A1690="","",IF(BO1690=1,$C1690,MAX($C1690,BR1689)))</f>
        <v>0</v>
      </c>
      <c r="BS1690">
        <f>IF($A1690="","",IF(BO1690=1,$D1690,MIN($D1690,BS1689)))</f>
        <v>0</v>
      </c>
      <c r="BT1690">
        <f>IF($A1690="","",IF(BP1690=1,F1690,""))</f>
        <v>0</v>
      </c>
    </row>
    <row r="1691" spans="1:72">
      <c r="A1691" s="27">
        <f>IF(Data!$A1691="","",Data!$A1691)</f>
        <v>0</v>
      </c>
      <c r="B1691">
        <f>IF(Data!$B1691="","",Data!$B1691)</f>
        <v>0</v>
      </c>
      <c r="C1691">
        <f>IF(Data!$C1691="","",Data!$C1691)</f>
        <v>0</v>
      </c>
      <c r="D1691">
        <f>IF(Data!$D1691="","",Data!$D1691)</f>
        <v>0</v>
      </c>
      <c r="E1691">
        <f>IF(Data!$E1691="","",Data!$E1691)</f>
        <v>0</v>
      </c>
      <c r="F1691">
        <f>IF($E1691="","",N(F1690)+1)</f>
        <v>0</v>
      </c>
      <c r="G1691">
        <f>IF(OR($E1691="",$E1690=""),"",LN($E1691/$E1690))</f>
        <v>0</v>
      </c>
      <c r="H1691">
        <f>IF($E1691="","",IF($E1690="",$E1691,$E1691*0.0952380952+H1690*0.9047619048))</f>
        <v>0</v>
      </c>
      <c r="I1691">
        <f>IF($E1691="","",IF($E1690="",$E1691,$E1691*0.0392156863+I1690*0.9607843137))</f>
        <v>0</v>
      </c>
      <c r="J1691">
        <f>IF($E1691="","",IF($E1690="",$E1691,$E1691*0.0198019802+J1690*0.9801980198))</f>
        <v>0</v>
      </c>
      <c r="K1691">
        <f>IF($E1691="","",IF($E1690="",$E1691,$E1691*0.0099502488+K1690*0.9900497512))</f>
        <v>0</v>
      </c>
      <c r="L1691">
        <f>IF(OR($E1691="",$E1690=""),"",MAX($E1691-$E1690,0))</f>
        <v>0</v>
      </c>
      <c r="M1691">
        <f>IF(OR($E1691="",$E1690=""),"",MAX($E1690-$E1691,0))</f>
        <v>0</v>
      </c>
      <c r="N1691">
        <f>IF(COUNT($E$2:$E1691)&lt;15,"",IF(AVERAGE($M$1678:$M$1691)=0,100,100-100/(1+AVERAGE($L$1678:$L$1691)/AVERAGE($M$1678:$M$1691))))</f>
        <v>0</v>
      </c>
      <c r="O1691">
        <f>IF($E1691="","",IF($E1690="",$E1691,$E1691*0.1538461538+O1690*0.8461538462))</f>
        <v>0</v>
      </c>
      <c r="P1691">
        <f>IF($E1691="","",IF($E1690="",$E1691,$E1691*0.0740740741+P1690*0.9259259259))</f>
        <v>0</v>
      </c>
      <c r="Q1691">
        <f>IF(OR(O1691="",P1691=""),"",O1691-P1691)</f>
        <v>0</v>
      </c>
      <c r="R1691">
        <f>IF(Q1691="","",IF(R1690="",Q1691,Q1691*0.2000000000+R1690*0.8000000000))</f>
        <v>0</v>
      </c>
      <c r="S1691">
        <f>IF(OR(Q1691="",R1691=""),"",Q1691-R1691)</f>
        <v>0</v>
      </c>
      <c r="T1691">
        <f>IF(COUNT($E$2:$E1691)&lt;14,"",MAX($C$1678:$C$1691))</f>
        <v>0</v>
      </c>
      <c r="U1691">
        <f>IF(COUNT($E$2:$E1691)&lt;14,"",MIN($D$1678:$D$1691))</f>
        <v>0</v>
      </c>
      <c r="V1691">
        <f>IF(OR(T1691="",U1691="",T1691=U1691),"",100*($E1691-U1691)/(T1691-U1691))</f>
        <v>0</v>
      </c>
      <c r="W1691">
        <f>IF(COUNT($V$1689:$V$1691)&lt;3,"",AVERAGE($V$1689:$V$1691))</f>
        <v>0</v>
      </c>
      <c r="X1691">
        <f>IF(COUNT($N$1678:$N$1691)&lt;14,"",MIN($N$1678:$N$1691))</f>
        <v>0</v>
      </c>
      <c r="Y1691">
        <f>IF(COUNT($N$1678:$N$1691)&lt;14,"",MAX($N$1678:$N$1691))</f>
        <v>0</v>
      </c>
      <c r="Z1691">
        <f>IF(OR(N1691="",X1691="",Y1691="",Y1691=X1691),"",100*(N1691-X1691)/(Y1691-X1691))</f>
        <v>0</v>
      </c>
      <c r="AA1691">
        <f>IF(COUNT($Z$1689:$Z$1691)&lt;3,"",AVERAGE($Z$1689:$Z$1691))</f>
        <v>0</v>
      </c>
      <c r="AB1691">
        <f>IF(COUNT($AA$1689:$AA$1691)&lt;3,"",AVERAGE($AA$1689:$AA$1691))</f>
        <v>0</v>
      </c>
      <c r="AC1691">
        <f>IF($E1691="","",MAX($C1691-$D1691,ABS($C1691-$E1690),ABS($D1691-$E1690)))</f>
        <v>0</v>
      </c>
      <c r="AD1691">
        <f>IF(COUNT($E$2:$E1691)&lt;15,"",AVERAGE($AC$1678:$AC$1691))</f>
        <v>0</v>
      </c>
      <c r="AE1691">
        <f>IF(OR($E1691="",$E1690=""),"",IF(AND(($C1691-$C1690)&gt;($D1690-$D1691),($C1691-$C1690)&gt;0),$C1691-$C1690,0))</f>
        <v>0</v>
      </c>
      <c r="AF1691">
        <f>IF(OR($E1691="",$E1690=""),"",IF(AND(($D1690-$D1691)&gt;($C1691-$C1690),($D1690-$D1691)&gt;0),$D1690-$D1691,0))</f>
        <v>0</v>
      </c>
      <c r="AG1691">
        <f>IF(COUNT($E$2:$E1691)&lt;15,"",IF(SUM($AC$1678:$AC$1691)=0,0,100*SUM($AE$1678:$AE$1691)/SUM($AC$1678:$AC$1691)))</f>
        <v>0</v>
      </c>
      <c r="AH1691">
        <f>IF(COUNT($E$2:$E1691)&lt;15,"",IF(SUM($AC$1678:$AC$1691)=0,0,100*SUM($AF$1678:$AF$1691)/SUM($AC$1678:$AC$1691)))</f>
        <v>0</v>
      </c>
      <c r="AI1691">
        <f>IF(OR(AG1691="",AH1691=""),"",IF((AG1691+AH1691)=0,0,100*ABS(AG1691-AH1691)/(AG1691+AH1691)))</f>
        <v>0</v>
      </c>
      <c r="AJ1691">
        <f>IF(COUNT($AI$1678:$AI$1691)&lt;14,"",AVERAGE($AI$1678:$AI$1691))</f>
        <v>0</v>
      </c>
      <c r="AK1691">
        <f>IF(COUNT($E$2:$E1691)&lt;20,"",AVERAGE($E$1672:$E$1691))</f>
        <v>0</v>
      </c>
      <c r="AL1691">
        <f>IF(COUNT($E$2:$E1691)&lt;20,"",STDEVP($E$1672:$E$1691))</f>
        <v>0</v>
      </c>
      <c r="AM1691">
        <f>IF(AK1691="","",AK1691+2*AL1691)</f>
        <v>0</v>
      </c>
      <c r="AN1691">
        <f>IF(AK1691="","",AK1691-2*AL1691)</f>
        <v>0</v>
      </c>
      <c r="AO1691">
        <f>IF(OR(AM1691="",AN1691="",AM1691=AN1691),"",($E1691-AN1691)/(AM1691-AN1691))</f>
        <v>0</v>
      </c>
      <c r="AP1691">
        <f>IF(OR(AM1691="",AK1691="",AK1691=0),"",(AM1691-AN1691)/AK1691)</f>
        <v>0</v>
      </c>
      <c r="AQ1691">
        <f>IF(COUNT($E$2:$E1691)&lt;20,"",MAX($C$1672:$C$1691))</f>
        <v>0</v>
      </c>
      <c r="AR1691">
        <f>IF(COUNT($E$2:$E1691)&lt;20,"",MIN($D$1672:$D$1691))</f>
        <v>0</v>
      </c>
      <c r="AS1691">
        <f>IF(OR(AQ1691="",AR1691=""),"",(AQ1691+AR1691)/2)</f>
        <v>0</v>
      </c>
      <c r="AT1691">
        <f>IF(COUNT($G$1672:$G$1691)&lt;20,"",STDEV($G$1672:$G$1691)*SQRT(252))</f>
        <v>0</v>
      </c>
      <c r="AU1691">
        <f>IF(COUNT($E$2:$E1691)&lt;9,"",(MAX($C$1683:$C$1691)+MIN($D$1683:$D$1691))/2)</f>
        <v>0</v>
      </c>
      <c r="AV1691">
        <f>IF(COUNT($E$2:$E1691)&lt;26,"",(MAX($C$1666:$C$1691)+MIN($D$1666:$D$1691))/2)</f>
        <v>0</v>
      </c>
      <c r="AW1691">
        <f>IF(OR(AU1691="",AV1691=""),"",(AU1691+AV1691)/2)</f>
        <v>0</v>
      </c>
      <c r="AX1691">
        <f>IF(COUNT($E$2:$E1691)&lt;52,"",(MAX($C$1640:$C$1691)+MIN($D$1640:$D$1691))/2)</f>
        <v>0</v>
      </c>
      <c r="AY1691">
        <f>IF(COUNT($E$2:$E1691)&lt;20,"",MAX($C$1592:$C$1691))</f>
        <v>0</v>
      </c>
      <c r="AZ1691">
        <f>IF(COUNT($E$2:$E1691)&lt;20,"",MIN($D$1592:$D$1691))</f>
        <v>0</v>
      </c>
      <c r="BA1691">
        <f>IF(COUNT($E$2:$E1691)&lt;20,"",SLOPE($E$1592:$E$1691,$F$1592:$F$1691))</f>
        <v>0</v>
      </c>
      <c r="BB1691">
        <f>IF(COUNT($E$2:$E1691)&lt;20,"",INTERCEPT($E$1592:$E$1691,$F$1592:$F$1691))</f>
        <v>0</v>
      </c>
      <c r="BC1691">
        <f>IF(OR(BA1691="",BB1691=""),"",BB1691+BA1691*F1691)</f>
        <v>0</v>
      </c>
      <c r="BD1691">
        <f>IF(COUNT($E$2:$E1691)&lt;20,"",STEYX($E$1592:$E$1691,$F$1592:$F$1691))</f>
        <v>0</v>
      </c>
      <c r="BE1691">
        <f>IF($E1691="","",IF(AND(COUNT($E$1692:$E$1695)&gt;=4,$C1691=MAX($C$1687:$C$1695)),$C1691,""))</f>
        <v>0</v>
      </c>
      <c r="BF1691">
        <f>IF($E1691="","",IF(AND(COUNT($E$1692:$E$1695)&gt;=4,$D1691=MIN($D$1687:$D$1695)),$D1691,""))</f>
        <v>0</v>
      </c>
      <c r="BG1691">
        <f>IF($A1691="","",$A1691-WEEKDAY($A1691,2)+1)</f>
        <v>0</v>
      </c>
      <c r="BH1691">
        <f>IF($A1691="","",IF($A1690="",1,IF(BG1691&lt;&gt;BG1690,1,0)))</f>
        <v>0</v>
      </c>
      <c r="BI1691">
        <f>IF($A1691="","",IF($A1692="",1,IF(BG1692&lt;&gt;BG1691,1,0)))</f>
        <v>0</v>
      </c>
      <c r="BJ1691">
        <f>IF($A1691="","",IF(BH1691=1,$B1691,BJ1690))</f>
        <v>0</v>
      </c>
      <c r="BK1691">
        <f>IF($A1691="","",IF(BH1691=1,$C1691,MAX($C1691,BK1690)))</f>
        <v>0</v>
      </c>
      <c r="BL1691">
        <f>IF($A1691="","",IF(BH1691=1,$D1691,MIN($D1691,BL1690)))</f>
        <v>0</v>
      </c>
      <c r="BM1691">
        <f>IF($A1691="","",IF(BI1691=1,F1691,""))</f>
        <v>0</v>
      </c>
      <c r="BN1691">
        <f>IF($A1691="","",DATE(YEAR($A1691),MONTH($A1691),1))</f>
        <v>0</v>
      </c>
      <c r="BO1691">
        <f>IF($A1691="","",IF($A1690="",1,IF(BN1691&lt;&gt;BN1690,1,0)))</f>
        <v>0</v>
      </c>
      <c r="BP1691">
        <f>IF($A1691="","",IF($A1692="",1,IF(BN1692&lt;&gt;BN1691,1,0)))</f>
        <v>0</v>
      </c>
      <c r="BQ1691">
        <f>IF($A1691="","",IF(BO1691=1,$B1691,BQ1690))</f>
        <v>0</v>
      </c>
      <c r="BR1691">
        <f>IF($A1691="","",IF(BO1691=1,$C1691,MAX($C1691,BR1690)))</f>
        <v>0</v>
      </c>
      <c r="BS1691">
        <f>IF($A1691="","",IF(BO1691=1,$D1691,MIN($D1691,BS1690)))</f>
        <v>0</v>
      </c>
      <c r="BT1691">
        <f>IF($A1691="","",IF(BP1691=1,F1691,""))</f>
        <v>0</v>
      </c>
    </row>
    <row r="1692" spans="1:72">
      <c r="A1692" s="27">
        <f>IF(Data!$A1692="","",Data!$A1692)</f>
        <v>0</v>
      </c>
      <c r="B1692">
        <f>IF(Data!$B1692="","",Data!$B1692)</f>
        <v>0</v>
      </c>
      <c r="C1692">
        <f>IF(Data!$C1692="","",Data!$C1692)</f>
        <v>0</v>
      </c>
      <c r="D1692">
        <f>IF(Data!$D1692="","",Data!$D1692)</f>
        <v>0</v>
      </c>
      <c r="E1692">
        <f>IF(Data!$E1692="","",Data!$E1692)</f>
        <v>0</v>
      </c>
      <c r="F1692">
        <f>IF($E1692="","",N(F1691)+1)</f>
        <v>0</v>
      </c>
      <c r="G1692">
        <f>IF(OR($E1692="",$E1691=""),"",LN($E1692/$E1691))</f>
        <v>0</v>
      </c>
      <c r="H1692">
        <f>IF($E1692="","",IF($E1691="",$E1692,$E1692*0.0952380952+H1691*0.9047619048))</f>
        <v>0</v>
      </c>
      <c r="I1692">
        <f>IF($E1692="","",IF($E1691="",$E1692,$E1692*0.0392156863+I1691*0.9607843137))</f>
        <v>0</v>
      </c>
      <c r="J1692">
        <f>IF($E1692="","",IF($E1691="",$E1692,$E1692*0.0198019802+J1691*0.9801980198))</f>
        <v>0</v>
      </c>
      <c r="K1692">
        <f>IF($E1692="","",IF($E1691="",$E1692,$E1692*0.0099502488+K1691*0.9900497512))</f>
        <v>0</v>
      </c>
      <c r="L1692">
        <f>IF(OR($E1692="",$E1691=""),"",MAX($E1692-$E1691,0))</f>
        <v>0</v>
      </c>
      <c r="M1692">
        <f>IF(OR($E1692="",$E1691=""),"",MAX($E1691-$E1692,0))</f>
        <v>0</v>
      </c>
      <c r="N1692">
        <f>IF(COUNT($E$2:$E1692)&lt;15,"",IF(AVERAGE($M$1679:$M$1692)=0,100,100-100/(1+AVERAGE($L$1679:$L$1692)/AVERAGE($M$1679:$M$1692))))</f>
        <v>0</v>
      </c>
      <c r="O1692">
        <f>IF($E1692="","",IF($E1691="",$E1692,$E1692*0.1538461538+O1691*0.8461538462))</f>
        <v>0</v>
      </c>
      <c r="P1692">
        <f>IF($E1692="","",IF($E1691="",$E1692,$E1692*0.0740740741+P1691*0.9259259259))</f>
        <v>0</v>
      </c>
      <c r="Q1692">
        <f>IF(OR(O1692="",P1692=""),"",O1692-P1692)</f>
        <v>0</v>
      </c>
      <c r="R1692">
        <f>IF(Q1692="","",IF(R1691="",Q1692,Q1692*0.2000000000+R1691*0.8000000000))</f>
        <v>0</v>
      </c>
      <c r="S1692">
        <f>IF(OR(Q1692="",R1692=""),"",Q1692-R1692)</f>
        <v>0</v>
      </c>
      <c r="T1692">
        <f>IF(COUNT($E$2:$E1692)&lt;14,"",MAX($C$1679:$C$1692))</f>
        <v>0</v>
      </c>
      <c r="U1692">
        <f>IF(COUNT($E$2:$E1692)&lt;14,"",MIN($D$1679:$D$1692))</f>
        <v>0</v>
      </c>
      <c r="V1692">
        <f>IF(OR(T1692="",U1692="",T1692=U1692),"",100*($E1692-U1692)/(T1692-U1692))</f>
        <v>0</v>
      </c>
      <c r="W1692">
        <f>IF(COUNT($V$1690:$V$1692)&lt;3,"",AVERAGE($V$1690:$V$1692))</f>
        <v>0</v>
      </c>
      <c r="X1692">
        <f>IF(COUNT($N$1679:$N$1692)&lt;14,"",MIN($N$1679:$N$1692))</f>
        <v>0</v>
      </c>
      <c r="Y1692">
        <f>IF(COUNT($N$1679:$N$1692)&lt;14,"",MAX($N$1679:$N$1692))</f>
        <v>0</v>
      </c>
      <c r="Z1692">
        <f>IF(OR(N1692="",X1692="",Y1692="",Y1692=X1692),"",100*(N1692-X1692)/(Y1692-X1692))</f>
        <v>0</v>
      </c>
      <c r="AA1692">
        <f>IF(COUNT($Z$1690:$Z$1692)&lt;3,"",AVERAGE($Z$1690:$Z$1692))</f>
        <v>0</v>
      </c>
      <c r="AB1692">
        <f>IF(COUNT($AA$1690:$AA$1692)&lt;3,"",AVERAGE($AA$1690:$AA$1692))</f>
        <v>0</v>
      </c>
      <c r="AC1692">
        <f>IF($E1692="","",MAX($C1692-$D1692,ABS($C1692-$E1691),ABS($D1692-$E1691)))</f>
        <v>0</v>
      </c>
      <c r="AD1692">
        <f>IF(COUNT($E$2:$E1692)&lt;15,"",AVERAGE($AC$1679:$AC$1692))</f>
        <v>0</v>
      </c>
      <c r="AE1692">
        <f>IF(OR($E1692="",$E1691=""),"",IF(AND(($C1692-$C1691)&gt;($D1691-$D1692),($C1692-$C1691)&gt;0),$C1692-$C1691,0))</f>
        <v>0</v>
      </c>
      <c r="AF1692">
        <f>IF(OR($E1692="",$E1691=""),"",IF(AND(($D1691-$D1692)&gt;($C1692-$C1691),($D1691-$D1692)&gt;0),$D1691-$D1692,0))</f>
        <v>0</v>
      </c>
      <c r="AG1692">
        <f>IF(COUNT($E$2:$E1692)&lt;15,"",IF(SUM($AC$1679:$AC$1692)=0,0,100*SUM($AE$1679:$AE$1692)/SUM($AC$1679:$AC$1692)))</f>
        <v>0</v>
      </c>
      <c r="AH1692">
        <f>IF(COUNT($E$2:$E1692)&lt;15,"",IF(SUM($AC$1679:$AC$1692)=0,0,100*SUM($AF$1679:$AF$1692)/SUM($AC$1679:$AC$1692)))</f>
        <v>0</v>
      </c>
      <c r="AI1692">
        <f>IF(OR(AG1692="",AH1692=""),"",IF((AG1692+AH1692)=0,0,100*ABS(AG1692-AH1692)/(AG1692+AH1692)))</f>
        <v>0</v>
      </c>
      <c r="AJ1692">
        <f>IF(COUNT($AI$1679:$AI$1692)&lt;14,"",AVERAGE($AI$1679:$AI$1692))</f>
        <v>0</v>
      </c>
      <c r="AK1692">
        <f>IF(COUNT($E$2:$E1692)&lt;20,"",AVERAGE($E$1673:$E$1692))</f>
        <v>0</v>
      </c>
      <c r="AL1692">
        <f>IF(COUNT($E$2:$E1692)&lt;20,"",STDEVP($E$1673:$E$1692))</f>
        <v>0</v>
      </c>
      <c r="AM1692">
        <f>IF(AK1692="","",AK1692+2*AL1692)</f>
        <v>0</v>
      </c>
      <c r="AN1692">
        <f>IF(AK1692="","",AK1692-2*AL1692)</f>
        <v>0</v>
      </c>
      <c r="AO1692">
        <f>IF(OR(AM1692="",AN1692="",AM1692=AN1692),"",($E1692-AN1692)/(AM1692-AN1692))</f>
        <v>0</v>
      </c>
      <c r="AP1692">
        <f>IF(OR(AM1692="",AK1692="",AK1692=0),"",(AM1692-AN1692)/AK1692)</f>
        <v>0</v>
      </c>
      <c r="AQ1692">
        <f>IF(COUNT($E$2:$E1692)&lt;20,"",MAX($C$1673:$C$1692))</f>
        <v>0</v>
      </c>
      <c r="AR1692">
        <f>IF(COUNT($E$2:$E1692)&lt;20,"",MIN($D$1673:$D$1692))</f>
        <v>0</v>
      </c>
      <c r="AS1692">
        <f>IF(OR(AQ1692="",AR1692=""),"",(AQ1692+AR1692)/2)</f>
        <v>0</v>
      </c>
      <c r="AT1692">
        <f>IF(COUNT($G$1673:$G$1692)&lt;20,"",STDEV($G$1673:$G$1692)*SQRT(252))</f>
        <v>0</v>
      </c>
      <c r="AU1692">
        <f>IF(COUNT($E$2:$E1692)&lt;9,"",(MAX($C$1684:$C$1692)+MIN($D$1684:$D$1692))/2)</f>
        <v>0</v>
      </c>
      <c r="AV1692">
        <f>IF(COUNT($E$2:$E1692)&lt;26,"",(MAX($C$1667:$C$1692)+MIN($D$1667:$D$1692))/2)</f>
        <v>0</v>
      </c>
      <c r="AW1692">
        <f>IF(OR(AU1692="",AV1692=""),"",(AU1692+AV1692)/2)</f>
        <v>0</v>
      </c>
      <c r="AX1692">
        <f>IF(COUNT($E$2:$E1692)&lt;52,"",(MAX($C$1641:$C$1692)+MIN($D$1641:$D$1692))/2)</f>
        <v>0</v>
      </c>
      <c r="AY1692">
        <f>IF(COUNT($E$2:$E1692)&lt;20,"",MAX($C$1593:$C$1692))</f>
        <v>0</v>
      </c>
      <c r="AZ1692">
        <f>IF(COUNT($E$2:$E1692)&lt;20,"",MIN($D$1593:$D$1692))</f>
        <v>0</v>
      </c>
      <c r="BA1692">
        <f>IF(COUNT($E$2:$E1692)&lt;20,"",SLOPE($E$1593:$E$1692,$F$1593:$F$1692))</f>
        <v>0</v>
      </c>
      <c r="BB1692">
        <f>IF(COUNT($E$2:$E1692)&lt;20,"",INTERCEPT($E$1593:$E$1692,$F$1593:$F$1692))</f>
        <v>0</v>
      </c>
      <c r="BC1692">
        <f>IF(OR(BA1692="",BB1692=""),"",BB1692+BA1692*F1692)</f>
        <v>0</v>
      </c>
      <c r="BD1692">
        <f>IF(COUNT($E$2:$E1692)&lt;20,"",STEYX($E$1593:$E$1692,$F$1593:$F$1692))</f>
        <v>0</v>
      </c>
      <c r="BE1692">
        <f>IF($E1692="","",IF(AND(COUNT($E$1693:$E$1696)&gt;=4,$C1692=MAX($C$1688:$C$1696)),$C1692,""))</f>
        <v>0</v>
      </c>
      <c r="BF1692">
        <f>IF($E1692="","",IF(AND(COUNT($E$1693:$E$1696)&gt;=4,$D1692=MIN($D$1688:$D$1696)),$D1692,""))</f>
        <v>0</v>
      </c>
      <c r="BG1692">
        <f>IF($A1692="","",$A1692-WEEKDAY($A1692,2)+1)</f>
        <v>0</v>
      </c>
      <c r="BH1692">
        <f>IF($A1692="","",IF($A1691="",1,IF(BG1692&lt;&gt;BG1691,1,0)))</f>
        <v>0</v>
      </c>
      <c r="BI1692">
        <f>IF($A1692="","",IF($A1693="",1,IF(BG1693&lt;&gt;BG1692,1,0)))</f>
        <v>0</v>
      </c>
      <c r="BJ1692">
        <f>IF($A1692="","",IF(BH1692=1,$B1692,BJ1691))</f>
        <v>0</v>
      </c>
      <c r="BK1692">
        <f>IF($A1692="","",IF(BH1692=1,$C1692,MAX($C1692,BK1691)))</f>
        <v>0</v>
      </c>
      <c r="BL1692">
        <f>IF($A1692="","",IF(BH1692=1,$D1692,MIN($D1692,BL1691)))</f>
        <v>0</v>
      </c>
      <c r="BM1692">
        <f>IF($A1692="","",IF(BI1692=1,F1692,""))</f>
        <v>0</v>
      </c>
      <c r="BN1692">
        <f>IF($A1692="","",DATE(YEAR($A1692),MONTH($A1692),1))</f>
        <v>0</v>
      </c>
      <c r="BO1692">
        <f>IF($A1692="","",IF($A1691="",1,IF(BN1692&lt;&gt;BN1691,1,0)))</f>
        <v>0</v>
      </c>
      <c r="BP1692">
        <f>IF($A1692="","",IF($A1693="",1,IF(BN1693&lt;&gt;BN1692,1,0)))</f>
        <v>0</v>
      </c>
      <c r="BQ1692">
        <f>IF($A1692="","",IF(BO1692=1,$B1692,BQ1691))</f>
        <v>0</v>
      </c>
      <c r="BR1692">
        <f>IF($A1692="","",IF(BO1692=1,$C1692,MAX($C1692,BR1691)))</f>
        <v>0</v>
      </c>
      <c r="BS1692">
        <f>IF($A1692="","",IF(BO1692=1,$D1692,MIN($D1692,BS1691)))</f>
        <v>0</v>
      </c>
      <c r="BT1692">
        <f>IF($A1692="","",IF(BP1692=1,F1692,""))</f>
        <v>0</v>
      </c>
    </row>
    <row r="1693" spans="1:72">
      <c r="A1693" s="27">
        <f>IF(Data!$A1693="","",Data!$A1693)</f>
        <v>0</v>
      </c>
      <c r="B1693">
        <f>IF(Data!$B1693="","",Data!$B1693)</f>
        <v>0</v>
      </c>
      <c r="C1693">
        <f>IF(Data!$C1693="","",Data!$C1693)</f>
        <v>0</v>
      </c>
      <c r="D1693">
        <f>IF(Data!$D1693="","",Data!$D1693)</f>
        <v>0</v>
      </c>
      <c r="E1693">
        <f>IF(Data!$E1693="","",Data!$E1693)</f>
        <v>0</v>
      </c>
      <c r="F1693">
        <f>IF($E1693="","",N(F1692)+1)</f>
        <v>0</v>
      </c>
      <c r="G1693">
        <f>IF(OR($E1693="",$E1692=""),"",LN($E1693/$E1692))</f>
        <v>0</v>
      </c>
      <c r="H1693">
        <f>IF($E1693="","",IF($E1692="",$E1693,$E1693*0.0952380952+H1692*0.9047619048))</f>
        <v>0</v>
      </c>
      <c r="I1693">
        <f>IF($E1693="","",IF($E1692="",$E1693,$E1693*0.0392156863+I1692*0.9607843137))</f>
        <v>0</v>
      </c>
      <c r="J1693">
        <f>IF($E1693="","",IF($E1692="",$E1693,$E1693*0.0198019802+J1692*0.9801980198))</f>
        <v>0</v>
      </c>
      <c r="K1693">
        <f>IF($E1693="","",IF($E1692="",$E1693,$E1693*0.0099502488+K1692*0.9900497512))</f>
        <v>0</v>
      </c>
      <c r="L1693">
        <f>IF(OR($E1693="",$E1692=""),"",MAX($E1693-$E1692,0))</f>
        <v>0</v>
      </c>
      <c r="M1693">
        <f>IF(OR($E1693="",$E1692=""),"",MAX($E1692-$E1693,0))</f>
        <v>0</v>
      </c>
      <c r="N1693">
        <f>IF(COUNT($E$2:$E1693)&lt;15,"",IF(AVERAGE($M$1680:$M$1693)=0,100,100-100/(1+AVERAGE($L$1680:$L$1693)/AVERAGE($M$1680:$M$1693))))</f>
        <v>0</v>
      </c>
      <c r="O1693">
        <f>IF($E1693="","",IF($E1692="",$E1693,$E1693*0.1538461538+O1692*0.8461538462))</f>
        <v>0</v>
      </c>
      <c r="P1693">
        <f>IF($E1693="","",IF($E1692="",$E1693,$E1693*0.0740740741+P1692*0.9259259259))</f>
        <v>0</v>
      </c>
      <c r="Q1693">
        <f>IF(OR(O1693="",P1693=""),"",O1693-P1693)</f>
        <v>0</v>
      </c>
      <c r="R1693">
        <f>IF(Q1693="","",IF(R1692="",Q1693,Q1693*0.2000000000+R1692*0.8000000000))</f>
        <v>0</v>
      </c>
      <c r="S1693">
        <f>IF(OR(Q1693="",R1693=""),"",Q1693-R1693)</f>
        <v>0</v>
      </c>
      <c r="T1693">
        <f>IF(COUNT($E$2:$E1693)&lt;14,"",MAX($C$1680:$C$1693))</f>
        <v>0</v>
      </c>
      <c r="U1693">
        <f>IF(COUNT($E$2:$E1693)&lt;14,"",MIN($D$1680:$D$1693))</f>
        <v>0</v>
      </c>
      <c r="V1693">
        <f>IF(OR(T1693="",U1693="",T1693=U1693),"",100*($E1693-U1693)/(T1693-U1693))</f>
        <v>0</v>
      </c>
      <c r="W1693">
        <f>IF(COUNT($V$1691:$V$1693)&lt;3,"",AVERAGE($V$1691:$V$1693))</f>
        <v>0</v>
      </c>
      <c r="X1693">
        <f>IF(COUNT($N$1680:$N$1693)&lt;14,"",MIN($N$1680:$N$1693))</f>
        <v>0</v>
      </c>
      <c r="Y1693">
        <f>IF(COUNT($N$1680:$N$1693)&lt;14,"",MAX($N$1680:$N$1693))</f>
        <v>0</v>
      </c>
      <c r="Z1693">
        <f>IF(OR(N1693="",X1693="",Y1693="",Y1693=X1693),"",100*(N1693-X1693)/(Y1693-X1693))</f>
        <v>0</v>
      </c>
      <c r="AA1693">
        <f>IF(COUNT($Z$1691:$Z$1693)&lt;3,"",AVERAGE($Z$1691:$Z$1693))</f>
        <v>0</v>
      </c>
      <c r="AB1693">
        <f>IF(COUNT($AA$1691:$AA$1693)&lt;3,"",AVERAGE($AA$1691:$AA$1693))</f>
        <v>0</v>
      </c>
      <c r="AC1693">
        <f>IF($E1693="","",MAX($C1693-$D1693,ABS($C1693-$E1692),ABS($D1693-$E1692)))</f>
        <v>0</v>
      </c>
      <c r="AD1693">
        <f>IF(COUNT($E$2:$E1693)&lt;15,"",AVERAGE($AC$1680:$AC$1693))</f>
        <v>0</v>
      </c>
      <c r="AE1693">
        <f>IF(OR($E1693="",$E1692=""),"",IF(AND(($C1693-$C1692)&gt;($D1692-$D1693),($C1693-$C1692)&gt;0),$C1693-$C1692,0))</f>
        <v>0</v>
      </c>
      <c r="AF1693">
        <f>IF(OR($E1693="",$E1692=""),"",IF(AND(($D1692-$D1693)&gt;($C1693-$C1692),($D1692-$D1693)&gt;0),$D1692-$D1693,0))</f>
        <v>0</v>
      </c>
      <c r="AG1693">
        <f>IF(COUNT($E$2:$E1693)&lt;15,"",IF(SUM($AC$1680:$AC$1693)=0,0,100*SUM($AE$1680:$AE$1693)/SUM($AC$1680:$AC$1693)))</f>
        <v>0</v>
      </c>
      <c r="AH1693">
        <f>IF(COUNT($E$2:$E1693)&lt;15,"",IF(SUM($AC$1680:$AC$1693)=0,0,100*SUM($AF$1680:$AF$1693)/SUM($AC$1680:$AC$1693)))</f>
        <v>0</v>
      </c>
      <c r="AI1693">
        <f>IF(OR(AG1693="",AH1693=""),"",IF((AG1693+AH1693)=0,0,100*ABS(AG1693-AH1693)/(AG1693+AH1693)))</f>
        <v>0</v>
      </c>
      <c r="AJ1693">
        <f>IF(COUNT($AI$1680:$AI$1693)&lt;14,"",AVERAGE($AI$1680:$AI$1693))</f>
        <v>0</v>
      </c>
      <c r="AK1693">
        <f>IF(COUNT($E$2:$E1693)&lt;20,"",AVERAGE($E$1674:$E$1693))</f>
        <v>0</v>
      </c>
      <c r="AL1693">
        <f>IF(COUNT($E$2:$E1693)&lt;20,"",STDEVP($E$1674:$E$1693))</f>
        <v>0</v>
      </c>
      <c r="AM1693">
        <f>IF(AK1693="","",AK1693+2*AL1693)</f>
        <v>0</v>
      </c>
      <c r="AN1693">
        <f>IF(AK1693="","",AK1693-2*AL1693)</f>
        <v>0</v>
      </c>
      <c r="AO1693">
        <f>IF(OR(AM1693="",AN1693="",AM1693=AN1693),"",($E1693-AN1693)/(AM1693-AN1693))</f>
        <v>0</v>
      </c>
      <c r="AP1693">
        <f>IF(OR(AM1693="",AK1693="",AK1693=0),"",(AM1693-AN1693)/AK1693)</f>
        <v>0</v>
      </c>
      <c r="AQ1693">
        <f>IF(COUNT($E$2:$E1693)&lt;20,"",MAX($C$1674:$C$1693))</f>
        <v>0</v>
      </c>
      <c r="AR1693">
        <f>IF(COUNT($E$2:$E1693)&lt;20,"",MIN($D$1674:$D$1693))</f>
        <v>0</v>
      </c>
      <c r="AS1693">
        <f>IF(OR(AQ1693="",AR1693=""),"",(AQ1693+AR1693)/2)</f>
        <v>0</v>
      </c>
      <c r="AT1693">
        <f>IF(COUNT($G$1674:$G$1693)&lt;20,"",STDEV($G$1674:$G$1693)*SQRT(252))</f>
        <v>0</v>
      </c>
      <c r="AU1693">
        <f>IF(COUNT($E$2:$E1693)&lt;9,"",(MAX($C$1685:$C$1693)+MIN($D$1685:$D$1693))/2)</f>
        <v>0</v>
      </c>
      <c r="AV1693">
        <f>IF(COUNT($E$2:$E1693)&lt;26,"",(MAX($C$1668:$C$1693)+MIN($D$1668:$D$1693))/2)</f>
        <v>0</v>
      </c>
      <c r="AW1693">
        <f>IF(OR(AU1693="",AV1693=""),"",(AU1693+AV1693)/2)</f>
        <v>0</v>
      </c>
      <c r="AX1693">
        <f>IF(COUNT($E$2:$E1693)&lt;52,"",(MAX($C$1642:$C$1693)+MIN($D$1642:$D$1693))/2)</f>
        <v>0</v>
      </c>
      <c r="AY1693">
        <f>IF(COUNT($E$2:$E1693)&lt;20,"",MAX($C$1594:$C$1693))</f>
        <v>0</v>
      </c>
      <c r="AZ1693">
        <f>IF(COUNT($E$2:$E1693)&lt;20,"",MIN($D$1594:$D$1693))</f>
        <v>0</v>
      </c>
      <c r="BA1693">
        <f>IF(COUNT($E$2:$E1693)&lt;20,"",SLOPE($E$1594:$E$1693,$F$1594:$F$1693))</f>
        <v>0</v>
      </c>
      <c r="BB1693">
        <f>IF(COUNT($E$2:$E1693)&lt;20,"",INTERCEPT($E$1594:$E$1693,$F$1594:$F$1693))</f>
        <v>0</v>
      </c>
      <c r="BC1693">
        <f>IF(OR(BA1693="",BB1693=""),"",BB1693+BA1693*F1693)</f>
        <v>0</v>
      </c>
      <c r="BD1693">
        <f>IF(COUNT($E$2:$E1693)&lt;20,"",STEYX($E$1594:$E$1693,$F$1594:$F$1693))</f>
        <v>0</v>
      </c>
      <c r="BE1693">
        <f>IF($E1693="","",IF(AND(COUNT($E$1694:$E$1697)&gt;=4,$C1693=MAX($C$1689:$C$1697)),$C1693,""))</f>
        <v>0</v>
      </c>
      <c r="BF1693">
        <f>IF($E1693="","",IF(AND(COUNT($E$1694:$E$1697)&gt;=4,$D1693=MIN($D$1689:$D$1697)),$D1693,""))</f>
        <v>0</v>
      </c>
      <c r="BG1693">
        <f>IF($A1693="","",$A1693-WEEKDAY($A1693,2)+1)</f>
        <v>0</v>
      </c>
      <c r="BH1693">
        <f>IF($A1693="","",IF($A1692="",1,IF(BG1693&lt;&gt;BG1692,1,0)))</f>
        <v>0</v>
      </c>
      <c r="BI1693">
        <f>IF($A1693="","",IF($A1694="",1,IF(BG1694&lt;&gt;BG1693,1,0)))</f>
        <v>0</v>
      </c>
      <c r="BJ1693">
        <f>IF($A1693="","",IF(BH1693=1,$B1693,BJ1692))</f>
        <v>0</v>
      </c>
      <c r="BK1693">
        <f>IF($A1693="","",IF(BH1693=1,$C1693,MAX($C1693,BK1692)))</f>
        <v>0</v>
      </c>
      <c r="BL1693">
        <f>IF($A1693="","",IF(BH1693=1,$D1693,MIN($D1693,BL1692)))</f>
        <v>0</v>
      </c>
      <c r="BM1693">
        <f>IF($A1693="","",IF(BI1693=1,F1693,""))</f>
        <v>0</v>
      </c>
      <c r="BN1693">
        <f>IF($A1693="","",DATE(YEAR($A1693),MONTH($A1693),1))</f>
        <v>0</v>
      </c>
      <c r="BO1693">
        <f>IF($A1693="","",IF($A1692="",1,IF(BN1693&lt;&gt;BN1692,1,0)))</f>
        <v>0</v>
      </c>
      <c r="BP1693">
        <f>IF($A1693="","",IF($A1694="",1,IF(BN1694&lt;&gt;BN1693,1,0)))</f>
        <v>0</v>
      </c>
      <c r="BQ1693">
        <f>IF($A1693="","",IF(BO1693=1,$B1693,BQ1692))</f>
        <v>0</v>
      </c>
      <c r="BR1693">
        <f>IF($A1693="","",IF(BO1693=1,$C1693,MAX($C1693,BR1692)))</f>
        <v>0</v>
      </c>
      <c r="BS1693">
        <f>IF($A1693="","",IF(BO1693=1,$D1693,MIN($D1693,BS1692)))</f>
        <v>0</v>
      </c>
      <c r="BT1693">
        <f>IF($A1693="","",IF(BP1693=1,F1693,""))</f>
        <v>0</v>
      </c>
    </row>
    <row r="1694" spans="1:72">
      <c r="A1694" s="27">
        <f>IF(Data!$A1694="","",Data!$A1694)</f>
        <v>0</v>
      </c>
      <c r="B1694">
        <f>IF(Data!$B1694="","",Data!$B1694)</f>
        <v>0</v>
      </c>
      <c r="C1694">
        <f>IF(Data!$C1694="","",Data!$C1694)</f>
        <v>0</v>
      </c>
      <c r="D1694">
        <f>IF(Data!$D1694="","",Data!$D1694)</f>
        <v>0</v>
      </c>
      <c r="E1694">
        <f>IF(Data!$E1694="","",Data!$E1694)</f>
        <v>0</v>
      </c>
      <c r="F1694">
        <f>IF($E1694="","",N(F1693)+1)</f>
        <v>0</v>
      </c>
      <c r="G1694">
        <f>IF(OR($E1694="",$E1693=""),"",LN($E1694/$E1693))</f>
        <v>0</v>
      </c>
      <c r="H1694">
        <f>IF($E1694="","",IF($E1693="",$E1694,$E1694*0.0952380952+H1693*0.9047619048))</f>
        <v>0</v>
      </c>
      <c r="I1694">
        <f>IF($E1694="","",IF($E1693="",$E1694,$E1694*0.0392156863+I1693*0.9607843137))</f>
        <v>0</v>
      </c>
      <c r="J1694">
        <f>IF($E1694="","",IF($E1693="",$E1694,$E1694*0.0198019802+J1693*0.9801980198))</f>
        <v>0</v>
      </c>
      <c r="K1694">
        <f>IF($E1694="","",IF($E1693="",$E1694,$E1694*0.0099502488+K1693*0.9900497512))</f>
        <v>0</v>
      </c>
      <c r="L1694">
        <f>IF(OR($E1694="",$E1693=""),"",MAX($E1694-$E1693,0))</f>
        <v>0</v>
      </c>
      <c r="M1694">
        <f>IF(OR($E1694="",$E1693=""),"",MAX($E1693-$E1694,0))</f>
        <v>0</v>
      </c>
      <c r="N1694">
        <f>IF(COUNT($E$2:$E1694)&lt;15,"",IF(AVERAGE($M$1681:$M$1694)=0,100,100-100/(1+AVERAGE($L$1681:$L$1694)/AVERAGE($M$1681:$M$1694))))</f>
        <v>0</v>
      </c>
      <c r="O1694">
        <f>IF($E1694="","",IF($E1693="",$E1694,$E1694*0.1538461538+O1693*0.8461538462))</f>
        <v>0</v>
      </c>
      <c r="P1694">
        <f>IF($E1694="","",IF($E1693="",$E1694,$E1694*0.0740740741+P1693*0.9259259259))</f>
        <v>0</v>
      </c>
      <c r="Q1694">
        <f>IF(OR(O1694="",P1694=""),"",O1694-P1694)</f>
        <v>0</v>
      </c>
      <c r="R1694">
        <f>IF(Q1694="","",IF(R1693="",Q1694,Q1694*0.2000000000+R1693*0.8000000000))</f>
        <v>0</v>
      </c>
      <c r="S1694">
        <f>IF(OR(Q1694="",R1694=""),"",Q1694-R1694)</f>
        <v>0</v>
      </c>
      <c r="T1694">
        <f>IF(COUNT($E$2:$E1694)&lt;14,"",MAX($C$1681:$C$1694))</f>
        <v>0</v>
      </c>
      <c r="U1694">
        <f>IF(COUNT($E$2:$E1694)&lt;14,"",MIN($D$1681:$D$1694))</f>
        <v>0</v>
      </c>
      <c r="V1694">
        <f>IF(OR(T1694="",U1694="",T1694=U1694),"",100*($E1694-U1694)/(T1694-U1694))</f>
        <v>0</v>
      </c>
      <c r="W1694">
        <f>IF(COUNT($V$1692:$V$1694)&lt;3,"",AVERAGE($V$1692:$V$1694))</f>
        <v>0</v>
      </c>
      <c r="X1694">
        <f>IF(COUNT($N$1681:$N$1694)&lt;14,"",MIN($N$1681:$N$1694))</f>
        <v>0</v>
      </c>
      <c r="Y1694">
        <f>IF(COUNT($N$1681:$N$1694)&lt;14,"",MAX($N$1681:$N$1694))</f>
        <v>0</v>
      </c>
      <c r="Z1694">
        <f>IF(OR(N1694="",X1694="",Y1694="",Y1694=X1694),"",100*(N1694-X1694)/(Y1694-X1694))</f>
        <v>0</v>
      </c>
      <c r="AA1694">
        <f>IF(COUNT($Z$1692:$Z$1694)&lt;3,"",AVERAGE($Z$1692:$Z$1694))</f>
        <v>0</v>
      </c>
      <c r="AB1694">
        <f>IF(COUNT($AA$1692:$AA$1694)&lt;3,"",AVERAGE($AA$1692:$AA$1694))</f>
        <v>0</v>
      </c>
      <c r="AC1694">
        <f>IF($E1694="","",MAX($C1694-$D1694,ABS($C1694-$E1693),ABS($D1694-$E1693)))</f>
        <v>0</v>
      </c>
      <c r="AD1694">
        <f>IF(COUNT($E$2:$E1694)&lt;15,"",AVERAGE($AC$1681:$AC$1694))</f>
        <v>0</v>
      </c>
      <c r="AE1694">
        <f>IF(OR($E1694="",$E1693=""),"",IF(AND(($C1694-$C1693)&gt;($D1693-$D1694),($C1694-$C1693)&gt;0),$C1694-$C1693,0))</f>
        <v>0</v>
      </c>
      <c r="AF1694">
        <f>IF(OR($E1694="",$E1693=""),"",IF(AND(($D1693-$D1694)&gt;($C1694-$C1693),($D1693-$D1694)&gt;0),$D1693-$D1694,0))</f>
        <v>0</v>
      </c>
      <c r="AG1694">
        <f>IF(COUNT($E$2:$E1694)&lt;15,"",IF(SUM($AC$1681:$AC$1694)=0,0,100*SUM($AE$1681:$AE$1694)/SUM($AC$1681:$AC$1694)))</f>
        <v>0</v>
      </c>
      <c r="AH1694">
        <f>IF(COUNT($E$2:$E1694)&lt;15,"",IF(SUM($AC$1681:$AC$1694)=0,0,100*SUM($AF$1681:$AF$1694)/SUM($AC$1681:$AC$1694)))</f>
        <v>0</v>
      </c>
      <c r="AI1694">
        <f>IF(OR(AG1694="",AH1694=""),"",IF((AG1694+AH1694)=0,0,100*ABS(AG1694-AH1694)/(AG1694+AH1694)))</f>
        <v>0</v>
      </c>
      <c r="AJ1694">
        <f>IF(COUNT($AI$1681:$AI$1694)&lt;14,"",AVERAGE($AI$1681:$AI$1694))</f>
        <v>0</v>
      </c>
      <c r="AK1694">
        <f>IF(COUNT($E$2:$E1694)&lt;20,"",AVERAGE($E$1675:$E$1694))</f>
        <v>0</v>
      </c>
      <c r="AL1694">
        <f>IF(COUNT($E$2:$E1694)&lt;20,"",STDEVP($E$1675:$E$1694))</f>
        <v>0</v>
      </c>
      <c r="AM1694">
        <f>IF(AK1694="","",AK1694+2*AL1694)</f>
        <v>0</v>
      </c>
      <c r="AN1694">
        <f>IF(AK1694="","",AK1694-2*AL1694)</f>
        <v>0</v>
      </c>
      <c r="AO1694">
        <f>IF(OR(AM1694="",AN1694="",AM1694=AN1694),"",($E1694-AN1694)/(AM1694-AN1694))</f>
        <v>0</v>
      </c>
      <c r="AP1694">
        <f>IF(OR(AM1694="",AK1694="",AK1694=0),"",(AM1694-AN1694)/AK1694)</f>
        <v>0</v>
      </c>
      <c r="AQ1694">
        <f>IF(COUNT($E$2:$E1694)&lt;20,"",MAX($C$1675:$C$1694))</f>
        <v>0</v>
      </c>
      <c r="AR1694">
        <f>IF(COUNT($E$2:$E1694)&lt;20,"",MIN($D$1675:$D$1694))</f>
        <v>0</v>
      </c>
      <c r="AS1694">
        <f>IF(OR(AQ1694="",AR1694=""),"",(AQ1694+AR1694)/2)</f>
        <v>0</v>
      </c>
      <c r="AT1694">
        <f>IF(COUNT($G$1675:$G$1694)&lt;20,"",STDEV($G$1675:$G$1694)*SQRT(252))</f>
        <v>0</v>
      </c>
      <c r="AU1694">
        <f>IF(COUNT($E$2:$E1694)&lt;9,"",(MAX($C$1686:$C$1694)+MIN($D$1686:$D$1694))/2)</f>
        <v>0</v>
      </c>
      <c r="AV1694">
        <f>IF(COUNT($E$2:$E1694)&lt;26,"",(MAX($C$1669:$C$1694)+MIN($D$1669:$D$1694))/2)</f>
        <v>0</v>
      </c>
      <c r="AW1694">
        <f>IF(OR(AU1694="",AV1694=""),"",(AU1694+AV1694)/2)</f>
        <v>0</v>
      </c>
      <c r="AX1694">
        <f>IF(COUNT($E$2:$E1694)&lt;52,"",(MAX($C$1643:$C$1694)+MIN($D$1643:$D$1694))/2)</f>
        <v>0</v>
      </c>
      <c r="AY1694">
        <f>IF(COUNT($E$2:$E1694)&lt;20,"",MAX($C$1595:$C$1694))</f>
        <v>0</v>
      </c>
      <c r="AZ1694">
        <f>IF(COUNT($E$2:$E1694)&lt;20,"",MIN($D$1595:$D$1694))</f>
        <v>0</v>
      </c>
      <c r="BA1694">
        <f>IF(COUNT($E$2:$E1694)&lt;20,"",SLOPE($E$1595:$E$1694,$F$1595:$F$1694))</f>
        <v>0</v>
      </c>
      <c r="BB1694">
        <f>IF(COUNT($E$2:$E1694)&lt;20,"",INTERCEPT($E$1595:$E$1694,$F$1595:$F$1694))</f>
        <v>0</v>
      </c>
      <c r="BC1694">
        <f>IF(OR(BA1694="",BB1694=""),"",BB1694+BA1694*F1694)</f>
        <v>0</v>
      </c>
      <c r="BD1694">
        <f>IF(COUNT($E$2:$E1694)&lt;20,"",STEYX($E$1595:$E$1694,$F$1595:$F$1694))</f>
        <v>0</v>
      </c>
      <c r="BE1694">
        <f>IF($E1694="","",IF(AND(COUNT($E$1695:$E$1698)&gt;=4,$C1694=MAX($C$1690:$C$1698)),$C1694,""))</f>
        <v>0</v>
      </c>
      <c r="BF1694">
        <f>IF($E1694="","",IF(AND(COUNT($E$1695:$E$1698)&gt;=4,$D1694=MIN($D$1690:$D$1698)),$D1694,""))</f>
        <v>0</v>
      </c>
      <c r="BG1694">
        <f>IF($A1694="","",$A1694-WEEKDAY($A1694,2)+1)</f>
        <v>0</v>
      </c>
      <c r="BH1694">
        <f>IF($A1694="","",IF($A1693="",1,IF(BG1694&lt;&gt;BG1693,1,0)))</f>
        <v>0</v>
      </c>
      <c r="BI1694">
        <f>IF($A1694="","",IF($A1695="",1,IF(BG1695&lt;&gt;BG1694,1,0)))</f>
        <v>0</v>
      </c>
      <c r="BJ1694">
        <f>IF($A1694="","",IF(BH1694=1,$B1694,BJ1693))</f>
        <v>0</v>
      </c>
      <c r="BK1694">
        <f>IF($A1694="","",IF(BH1694=1,$C1694,MAX($C1694,BK1693)))</f>
        <v>0</v>
      </c>
      <c r="BL1694">
        <f>IF($A1694="","",IF(BH1694=1,$D1694,MIN($D1694,BL1693)))</f>
        <v>0</v>
      </c>
      <c r="BM1694">
        <f>IF($A1694="","",IF(BI1694=1,F1694,""))</f>
        <v>0</v>
      </c>
      <c r="BN1694">
        <f>IF($A1694="","",DATE(YEAR($A1694),MONTH($A1694),1))</f>
        <v>0</v>
      </c>
      <c r="BO1694">
        <f>IF($A1694="","",IF($A1693="",1,IF(BN1694&lt;&gt;BN1693,1,0)))</f>
        <v>0</v>
      </c>
      <c r="BP1694">
        <f>IF($A1694="","",IF($A1695="",1,IF(BN1695&lt;&gt;BN1694,1,0)))</f>
        <v>0</v>
      </c>
      <c r="BQ1694">
        <f>IF($A1694="","",IF(BO1694=1,$B1694,BQ1693))</f>
        <v>0</v>
      </c>
      <c r="BR1694">
        <f>IF($A1694="","",IF(BO1694=1,$C1694,MAX($C1694,BR1693)))</f>
        <v>0</v>
      </c>
      <c r="BS1694">
        <f>IF($A1694="","",IF(BO1694=1,$D1694,MIN($D1694,BS1693)))</f>
        <v>0</v>
      </c>
      <c r="BT1694">
        <f>IF($A1694="","",IF(BP1694=1,F1694,""))</f>
        <v>0</v>
      </c>
    </row>
    <row r="1695" spans="1:72">
      <c r="A1695" s="27">
        <f>IF(Data!$A1695="","",Data!$A1695)</f>
        <v>0</v>
      </c>
      <c r="B1695">
        <f>IF(Data!$B1695="","",Data!$B1695)</f>
        <v>0</v>
      </c>
      <c r="C1695">
        <f>IF(Data!$C1695="","",Data!$C1695)</f>
        <v>0</v>
      </c>
      <c r="D1695">
        <f>IF(Data!$D1695="","",Data!$D1695)</f>
        <v>0</v>
      </c>
      <c r="E1695">
        <f>IF(Data!$E1695="","",Data!$E1695)</f>
        <v>0</v>
      </c>
      <c r="F1695">
        <f>IF($E1695="","",N(F1694)+1)</f>
        <v>0</v>
      </c>
      <c r="G1695">
        <f>IF(OR($E1695="",$E1694=""),"",LN($E1695/$E1694))</f>
        <v>0</v>
      </c>
      <c r="H1695">
        <f>IF($E1695="","",IF($E1694="",$E1695,$E1695*0.0952380952+H1694*0.9047619048))</f>
        <v>0</v>
      </c>
      <c r="I1695">
        <f>IF($E1695="","",IF($E1694="",$E1695,$E1695*0.0392156863+I1694*0.9607843137))</f>
        <v>0</v>
      </c>
      <c r="J1695">
        <f>IF($E1695="","",IF($E1694="",$E1695,$E1695*0.0198019802+J1694*0.9801980198))</f>
        <v>0</v>
      </c>
      <c r="K1695">
        <f>IF($E1695="","",IF($E1694="",$E1695,$E1695*0.0099502488+K1694*0.9900497512))</f>
        <v>0</v>
      </c>
      <c r="L1695">
        <f>IF(OR($E1695="",$E1694=""),"",MAX($E1695-$E1694,0))</f>
        <v>0</v>
      </c>
      <c r="M1695">
        <f>IF(OR($E1695="",$E1694=""),"",MAX($E1694-$E1695,0))</f>
        <v>0</v>
      </c>
      <c r="N1695">
        <f>IF(COUNT($E$2:$E1695)&lt;15,"",IF(AVERAGE($M$1682:$M$1695)=0,100,100-100/(1+AVERAGE($L$1682:$L$1695)/AVERAGE($M$1682:$M$1695))))</f>
        <v>0</v>
      </c>
      <c r="O1695">
        <f>IF($E1695="","",IF($E1694="",$E1695,$E1695*0.1538461538+O1694*0.8461538462))</f>
        <v>0</v>
      </c>
      <c r="P1695">
        <f>IF($E1695="","",IF($E1694="",$E1695,$E1695*0.0740740741+P1694*0.9259259259))</f>
        <v>0</v>
      </c>
      <c r="Q1695">
        <f>IF(OR(O1695="",P1695=""),"",O1695-P1695)</f>
        <v>0</v>
      </c>
      <c r="R1695">
        <f>IF(Q1695="","",IF(R1694="",Q1695,Q1695*0.2000000000+R1694*0.8000000000))</f>
        <v>0</v>
      </c>
      <c r="S1695">
        <f>IF(OR(Q1695="",R1695=""),"",Q1695-R1695)</f>
        <v>0</v>
      </c>
      <c r="T1695">
        <f>IF(COUNT($E$2:$E1695)&lt;14,"",MAX($C$1682:$C$1695))</f>
        <v>0</v>
      </c>
      <c r="U1695">
        <f>IF(COUNT($E$2:$E1695)&lt;14,"",MIN($D$1682:$D$1695))</f>
        <v>0</v>
      </c>
      <c r="V1695">
        <f>IF(OR(T1695="",U1695="",T1695=U1695),"",100*($E1695-U1695)/(T1695-U1695))</f>
        <v>0</v>
      </c>
      <c r="W1695">
        <f>IF(COUNT($V$1693:$V$1695)&lt;3,"",AVERAGE($V$1693:$V$1695))</f>
        <v>0</v>
      </c>
      <c r="X1695">
        <f>IF(COUNT($N$1682:$N$1695)&lt;14,"",MIN($N$1682:$N$1695))</f>
        <v>0</v>
      </c>
      <c r="Y1695">
        <f>IF(COUNT($N$1682:$N$1695)&lt;14,"",MAX($N$1682:$N$1695))</f>
        <v>0</v>
      </c>
      <c r="Z1695">
        <f>IF(OR(N1695="",X1695="",Y1695="",Y1695=X1695),"",100*(N1695-X1695)/(Y1695-X1695))</f>
        <v>0</v>
      </c>
      <c r="AA1695">
        <f>IF(COUNT($Z$1693:$Z$1695)&lt;3,"",AVERAGE($Z$1693:$Z$1695))</f>
        <v>0</v>
      </c>
      <c r="AB1695">
        <f>IF(COUNT($AA$1693:$AA$1695)&lt;3,"",AVERAGE($AA$1693:$AA$1695))</f>
        <v>0</v>
      </c>
      <c r="AC1695">
        <f>IF($E1695="","",MAX($C1695-$D1695,ABS($C1695-$E1694),ABS($D1695-$E1694)))</f>
        <v>0</v>
      </c>
      <c r="AD1695">
        <f>IF(COUNT($E$2:$E1695)&lt;15,"",AVERAGE($AC$1682:$AC$1695))</f>
        <v>0</v>
      </c>
      <c r="AE1695">
        <f>IF(OR($E1695="",$E1694=""),"",IF(AND(($C1695-$C1694)&gt;($D1694-$D1695),($C1695-$C1694)&gt;0),$C1695-$C1694,0))</f>
        <v>0</v>
      </c>
      <c r="AF1695">
        <f>IF(OR($E1695="",$E1694=""),"",IF(AND(($D1694-$D1695)&gt;($C1695-$C1694),($D1694-$D1695)&gt;0),$D1694-$D1695,0))</f>
        <v>0</v>
      </c>
      <c r="AG1695">
        <f>IF(COUNT($E$2:$E1695)&lt;15,"",IF(SUM($AC$1682:$AC$1695)=0,0,100*SUM($AE$1682:$AE$1695)/SUM($AC$1682:$AC$1695)))</f>
        <v>0</v>
      </c>
      <c r="AH1695">
        <f>IF(COUNT($E$2:$E1695)&lt;15,"",IF(SUM($AC$1682:$AC$1695)=0,0,100*SUM($AF$1682:$AF$1695)/SUM($AC$1682:$AC$1695)))</f>
        <v>0</v>
      </c>
      <c r="AI1695">
        <f>IF(OR(AG1695="",AH1695=""),"",IF((AG1695+AH1695)=0,0,100*ABS(AG1695-AH1695)/(AG1695+AH1695)))</f>
        <v>0</v>
      </c>
      <c r="AJ1695">
        <f>IF(COUNT($AI$1682:$AI$1695)&lt;14,"",AVERAGE($AI$1682:$AI$1695))</f>
        <v>0</v>
      </c>
      <c r="AK1695">
        <f>IF(COUNT($E$2:$E1695)&lt;20,"",AVERAGE($E$1676:$E$1695))</f>
        <v>0</v>
      </c>
      <c r="AL1695">
        <f>IF(COUNT($E$2:$E1695)&lt;20,"",STDEVP($E$1676:$E$1695))</f>
        <v>0</v>
      </c>
      <c r="AM1695">
        <f>IF(AK1695="","",AK1695+2*AL1695)</f>
        <v>0</v>
      </c>
      <c r="AN1695">
        <f>IF(AK1695="","",AK1695-2*AL1695)</f>
        <v>0</v>
      </c>
      <c r="AO1695">
        <f>IF(OR(AM1695="",AN1695="",AM1695=AN1695),"",($E1695-AN1695)/(AM1695-AN1695))</f>
        <v>0</v>
      </c>
      <c r="AP1695">
        <f>IF(OR(AM1695="",AK1695="",AK1695=0),"",(AM1695-AN1695)/AK1695)</f>
        <v>0</v>
      </c>
      <c r="AQ1695">
        <f>IF(COUNT($E$2:$E1695)&lt;20,"",MAX($C$1676:$C$1695))</f>
        <v>0</v>
      </c>
      <c r="AR1695">
        <f>IF(COUNT($E$2:$E1695)&lt;20,"",MIN($D$1676:$D$1695))</f>
        <v>0</v>
      </c>
      <c r="AS1695">
        <f>IF(OR(AQ1695="",AR1695=""),"",(AQ1695+AR1695)/2)</f>
        <v>0</v>
      </c>
      <c r="AT1695">
        <f>IF(COUNT($G$1676:$G$1695)&lt;20,"",STDEV($G$1676:$G$1695)*SQRT(252))</f>
        <v>0</v>
      </c>
      <c r="AU1695">
        <f>IF(COUNT($E$2:$E1695)&lt;9,"",(MAX($C$1687:$C$1695)+MIN($D$1687:$D$1695))/2)</f>
        <v>0</v>
      </c>
      <c r="AV1695">
        <f>IF(COUNT($E$2:$E1695)&lt;26,"",(MAX($C$1670:$C$1695)+MIN($D$1670:$D$1695))/2)</f>
        <v>0</v>
      </c>
      <c r="AW1695">
        <f>IF(OR(AU1695="",AV1695=""),"",(AU1695+AV1695)/2)</f>
        <v>0</v>
      </c>
      <c r="AX1695">
        <f>IF(COUNT($E$2:$E1695)&lt;52,"",(MAX($C$1644:$C$1695)+MIN($D$1644:$D$1695))/2)</f>
        <v>0</v>
      </c>
      <c r="AY1695">
        <f>IF(COUNT($E$2:$E1695)&lt;20,"",MAX($C$1596:$C$1695))</f>
        <v>0</v>
      </c>
      <c r="AZ1695">
        <f>IF(COUNT($E$2:$E1695)&lt;20,"",MIN($D$1596:$D$1695))</f>
        <v>0</v>
      </c>
      <c r="BA1695">
        <f>IF(COUNT($E$2:$E1695)&lt;20,"",SLOPE($E$1596:$E$1695,$F$1596:$F$1695))</f>
        <v>0</v>
      </c>
      <c r="BB1695">
        <f>IF(COUNT($E$2:$E1695)&lt;20,"",INTERCEPT($E$1596:$E$1695,$F$1596:$F$1695))</f>
        <v>0</v>
      </c>
      <c r="BC1695">
        <f>IF(OR(BA1695="",BB1695=""),"",BB1695+BA1695*F1695)</f>
        <v>0</v>
      </c>
      <c r="BD1695">
        <f>IF(COUNT($E$2:$E1695)&lt;20,"",STEYX($E$1596:$E$1695,$F$1596:$F$1695))</f>
        <v>0</v>
      </c>
      <c r="BE1695">
        <f>IF($E1695="","",IF(AND(COUNT($E$1696:$E$1699)&gt;=4,$C1695=MAX($C$1691:$C$1699)),$C1695,""))</f>
        <v>0</v>
      </c>
      <c r="BF1695">
        <f>IF($E1695="","",IF(AND(COUNT($E$1696:$E$1699)&gt;=4,$D1695=MIN($D$1691:$D$1699)),$D1695,""))</f>
        <v>0</v>
      </c>
      <c r="BG1695">
        <f>IF($A1695="","",$A1695-WEEKDAY($A1695,2)+1)</f>
        <v>0</v>
      </c>
      <c r="BH1695">
        <f>IF($A1695="","",IF($A1694="",1,IF(BG1695&lt;&gt;BG1694,1,0)))</f>
        <v>0</v>
      </c>
      <c r="BI1695">
        <f>IF($A1695="","",IF($A1696="",1,IF(BG1696&lt;&gt;BG1695,1,0)))</f>
        <v>0</v>
      </c>
      <c r="BJ1695">
        <f>IF($A1695="","",IF(BH1695=1,$B1695,BJ1694))</f>
        <v>0</v>
      </c>
      <c r="BK1695">
        <f>IF($A1695="","",IF(BH1695=1,$C1695,MAX($C1695,BK1694)))</f>
        <v>0</v>
      </c>
      <c r="BL1695">
        <f>IF($A1695="","",IF(BH1695=1,$D1695,MIN($D1695,BL1694)))</f>
        <v>0</v>
      </c>
      <c r="BM1695">
        <f>IF($A1695="","",IF(BI1695=1,F1695,""))</f>
        <v>0</v>
      </c>
      <c r="BN1695">
        <f>IF($A1695="","",DATE(YEAR($A1695),MONTH($A1695),1))</f>
        <v>0</v>
      </c>
      <c r="BO1695">
        <f>IF($A1695="","",IF($A1694="",1,IF(BN1695&lt;&gt;BN1694,1,0)))</f>
        <v>0</v>
      </c>
      <c r="BP1695">
        <f>IF($A1695="","",IF($A1696="",1,IF(BN1696&lt;&gt;BN1695,1,0)))</f>
        <v>0</v>
      </c>
      <c r="BQ1695">
        <f>IF($A1695="","",IF(BO1695=1,$B1695,BQ1694))</f>
        <v>0</v>
      </c>
      <c r="BR1695">
        <f>IF($A1695="","",IF(BO1695=1,$C1695,MAX($C1695,BR1694)))</f>
        <v>0</v>
      </c>
      <c r="BS1695">
        <f>IF($A1695="","",IF(BO1695=1,$D1695,MIN($D1695,BS1694)))</f>
        <v>0</v>
      </c>
      <c r="BT1695">
        <f>IF($A1695="","",IF(BP1695=1,F1695,""))</f>
        <v>0</v>
      </c>
    </row>
    <row r="1696" spans="1:72">
      <c r="A1696" s="27">
        <f>IF(Data!$A1696="","",Data!$A1696)</f>
        <v>0</v>
      </c>
      <c r="B1696">
        <f>IF(Data!$B1696="","",Data!$B1696)</f>
        <v>0</v>
      </c>
      <c r="C1696">
        <f>IF(Data!$C1696="","",Data!$C1696)</f>
        <v>0</v>
      </c>
      <c r="D1696">
        <f>IF(Data!$D1696="","",Data!$D1696)</f>
        <v>0</v>
      </c>
      <c r="E1696">
        <f>IF(Data!$E1696="","",Data!$E1696)</f>
        <v>0</v>
      </c>
      <c r="F1696">
        <f>IF($E1696="","",N(F1695)+1)</f>
        <v>0</v>
      </c>
      <c r="G1696">
        <f>IF(OR($E1696="",$E1695=""),"",LN($E1696/$E1695))</f>
        <v>0</v>
      </c>
      <c r="H1696">
        <f>IF($E1696="","",IF($E1695="",$E1696,$E1696*0.0952380952+H1695*0.9047619048))</f>
        <v>0</v>
      </c>
      <c r="I1696">
        <f>IF($E1696="","",IF($E1695="",$E1696,$E1696*0.0392156863+I1695*0.9607843137))</f>
        <v>0</v>
      </c>
      <c r="J1696">
        <f>IF($E1696="","",IF($E1695="",$E1696,$E1696*0.0198019802+J1695*0.9801980198))</f>
        <v>0</v>
      </c>
      <c r="K1696">
        <f>IF($E1696="","",IF($E1695="",$E1696,$E1696*0.0099502488+K1695*0.9900497512))</f>
        <v>0</v>
      </c>
      <c r="L1696">
        <f>IF(OR($E1696="",$E1695=""),"",MAX($E1696-$E1695,0))</f>
        <v>0</v>
      </c>
      <c r="M1696">
        <f>IF(OR($E1696="",$E1695=""),"",MAX($E1695-$E1696,0))</f>
        <v>0</v>
      </c>
      <c r="N1696">
        <f>IF(COUNT($E$2:$E1696)&lt;15,"",IF(AVERAGE($M$1683:$M$1696)=0,100,100-100/(1+AVERAGE($L$1683:$L$1696)/AVERAGE($M$1683:$M$1696))))</f>
        <v>0</v>
      </c>
      <c r="O1696">
        <f>IF($E1696="","",IF($E1695="",$E1696,$E1696*0.1538461538+O1695*0.8461538462))</f>
        <v>0</v>
      </c>
      <c r="P1696">
        <f>IF($E1696="","",IF($E1695="",$E1696,$E1696*0.0740740741+P1695*0.9259259259))</f>
        <v>0</v>
      </c>
      <c r="Q1696">
        <f>IF(OR(O1696="",P1696=""),"",O1696-P1696)</f>
        <v>0</v>
      </c>
      <c r="R1696">
        <f>IF(Q1696="","",IF(R1695="",Q1696,Q1696*0.2000000000+R1695*0.8000000000))</f>
        <v>0</v>
      </c>
      <c r="S1696">
        <f>IF(OR(Q1696="",R1696=""),"",Q1696-R1696)</f>
        <v>0</v>
      </c>
      <c r="T1696">
        <f>IF(COUNT($E$2:$E1696)&lt;14,"",MAX($C$1683:$C$1696))</f>
        <v>0</v>
      </c>
      <c r="U1696">
        <f>IF(COUNT($E$2:$E1696)&lt;14,"",MIN($D$1683:$D$1696))</f>
        <v>0</v>
      </c>
      <c r="V1696">
        <f>IF(OR(T1696="",U1696="",T1696=U1696),"",100*($E1696-U1696)/(T1696-U1696))</f>
        <v>0</v>
      </c>
      <c r="W1696">
        <f>IF(COUNT($V$1694:$V$1696)&lt;3,"",AVERAGE($V$1694:$V$1696))</f>
        <v>0</v>
      </c>
      <c r="X1696">
        <f>IF(COUNT($N$1683:$N$1696)&lt;14,"",MIN($N$1683:$N$1696))</f>
        <v>0</v>
      </c>
      <c r="Y1696">
        <f>IF(COUNT($N$1683:$N$1696)&lt;14,"",MAX($N$1683:$N$1696))</f>
        <v>0</v>
      </c>
      <c r="Z1696">
        <f>IF(OR(N1696="",X1696="",Y1696="",Y1696=X1696),"",100*(N1696-X1696)/(Y1696-X1696))</f>
        <v>0</v>
      </c>
      <c r="AA1696">
        <f>IF(COUNT($Z$1694:$Z$1696)&lt;3,"",AVERAGE($Z$1694:$Z$1696))</f>
        <v>0</v>
      </c>
      <c r="AB1696">
        <f>IF(COUNT($AA$1694:$AA$1696)&lt;3,"",AVERAGE($AA$1694:$AA$1696))</f>
        <v>0</v>
      </c>
      <c r="AC1696">
        <f>IF($E1696="","",MAX($C1696-$D1696,ABS($C1696-$E1695),ABS($D1696-$E1695)))</f>
        <v>0</v>
      </c>
      <c r="AD1696">
        <f>IF(COUNT($E$2:$E1696)&lt;15,"",AVERAGE($AC$1683:$AC$1696))</f>
        <v>0</v>
      </c>
      <c r="AE1696">
        <f>IF(OR($E1696="",$E1695=""),"",IF(AND(($C1696-$C1695)&gt;($D1695-$D1696),($C1696-$C1695)&gt;0),$C1696-$C1695,0))</f>
        <v>0</v>
      </c>
      <c r="AF1696">
        <f>IF(OR($E1696="",$E1695=""),"",IF(AND(($D1695-$D1696)&gt;($C1696-$C1695),($D1695-$D1696)&gt;0),$D1695-$D1696,0))</f>
        <v>0</v>
      </c>
      <c r="AG1696">
        <f>IF(COUNT($E$2:$E1696)&lt;15,"",IF(SUM($AC$1683:$AC$1696)=0,0,100*SUM($AE$1683:$AE$1696)/SUM($AC$1683:$AC$1696)))</f>
        <v>0</v>
      </c>
      <c r="AH1696">
        <f>IF(COUNT($E$2:$E1696)&lt;15,"",IF(SUM($AC$1683:$AC$1696)=0,0,100*SUM($AF$1683:$AF$1696)/SUM($AC$1683:$AC$1696)))</f>
        <v>0</v>
      </c>
      <c r="AI1696">
        <f>IF(OR(AG1696="",AH1696=""),"",IF((AG1696+AH1696)=0,0,100*ABS(AG1696-AH1696)/(AG1696+AH1696)))</f>
        <v>0</v>
      </c>
      <c r="AJ1696">
        <f>IF(COUNT($AI$1683:$AI$1696)&lt;14,"",AVERAGE($AI$1683:$AI$1696))</f>
        <v>0</v>
      </c>
      <c r="AK1696">
        <f>IF(COUNT($E$2:$E1696)&lt;20,"",AVERAGE($E$1677:$E$1696))</f>
        <v>0</v>
      </c>
      <c r="AL1696">
        <f>IF(COUNT($E$2:$E1696)&lt;20,"",STDEVP($E$1677:$E$1696))</f>
        <v>0</v>
      </c>
      <c r="AM1696">
        <f>IF(AK1696="","",AK1696+2*AL1696)</f>
        <v>0</v>
      </c>
      <c r="AN1696">
        <f>IF(AK1696="","",AK1696-2*AL1696)</f>
        <v>0</v>
      </c>
      <c r="AO1696">
        <f>IF(OR(AM1696="",AN1696="",AM1696=AN1696),"",($E1696-AN1696)/(AM1696-AN1696))</f>
        <v>0</v>
      </c>
      <c r="AP1696">
        <f>IF(OR(AM1696="",AK1696="",AK1696=0),"",(AM1696-AN1696)/AK1696)</f>
        <v>0</v>
      </c>
      <c r="AQ1696">
        <f>IF(COUNT($E$2:$E1696)&lt;20,"",MAX($C$1677:$C$1696))</f>
        <v>0</v>
      </c>
      <c r="AR1696">
        <f>IF(COUNT($E$2:$E1696)&lt;20,"",MIN($D$1677:$D$1696))</f>
        <v>0</v>
      </c>
      <c r="AS1696">
        <f>IF(OR(AQ1696="",AR1696=""),"",(AQ1696+AR1696)/2)</f>
        <v>0</v>
      </c>
      <c r="AT1696">
        <f>IF(COUNT($G$1677:$G$1696)&lt;20,"",STDEV($G$1677:$G$1696)*SQRT(252))</f>
        <v>0</v>
      </c>
      <c r="AU1696">
        <f>IF(COUNT($E$2:$E1696)&lt;9,"",(MAX($C$1688:$C$1696)+MIN($D$1688:$D$1696))/2)</f>
        <v>0</v>
      </c>
      <c r="AV1696">
        <f>IF(COUNT($E$2:$E1696)&lt;26,"",(MAX($C$1671:$C$1696)+MIN($D$1671:$D$1696))/2)</f>
        <v>0</v>
      </c>
      <c r="AW1696">
        <f>IF(OR(AU1696="",AV1696=""),"",(AU1696+AV1696)/2)</f>
        <v>0</v>
      </c>
      <c r="AX1696">
        <f>IF(COUNT($E$2:$E1696)&lt;52,"",(MAX($C$1645:$C$1696)+MIN($D$1645:$D$1696))/2)</f>
        <v>0</v>
      </c>
      <c r="AY1696">
        <f>IF(COUNT($E$2:$E1696)&lt;20,"",MAX($C$1597:$C$1696))</f>
        <v>0</v>
      </c>
      <c r="AZ1696">
        <f>IF(COUNT($E$2:$E1696)&lt;20,"",MIN($D$1597:$D$1696))</f>
        <v>0</v>
      </c>
      <c r="BA1696">
        <f>IF(COUNT($E$2:$E1696)&lt;20,"",SLOPE($E$1597:$E$1696,$F$1597:$F$1696))</f>
        <v>0</v>
      </c>
      <c r="BB1696">
        <f>IF(COUNT($E$2:$E1696)&lt;20,"",INTERCEPT($E$1597:$E$1696,$F$1597:$F$1696))</f>
        <v>0</v>
      </c>
      <c r="BC1696">
        <f>IF(OR(BA1696="",BB1696=""),"",BB1696+BA1696*F1696)</f>
        <v>0</v>
      </c>
      <c r="BD1696">
        <f>IF(COUNT($E$2:$E1696)&lt;20,"",STEYX($E$1597:$E$1696,$F$1597:$F$1696))</f>
        <v>0</v>
      </c>
      <c r="BE1696">
        <f>IF($E1696="","",IF(AND(COUNT($E$1697:$E$1700)&gt;=4,$C1696=MAX($C$1692:$C$1700)),$C1696,""))</f>
        <v>0</v>
      </c>
      <c r="BF1696">
        <f>IF($E1696="","",IF(AND(COUNT($E$1697:$E$1700)&gt;=4,$D1696=MIN($D$1692:$D$1700)),$D1696,""))</f>
        <v>0</v>
      </c>
      <c r="BG1696">
        <f>IF($A1696="","",$A1696-WEEKDAY($A1696,2)+1)</f>
        <v>0</v>
      </c>
      <c r="BH1696">
        <f>IF($A1696="","",IF($A1695="",1,IF(BG1696&lt;&gt;BG1695,1,0)))</f>
        <v>0</v>
      </c>
      <c r="BI1696">
        <f>IF($A1696="","",IF($A1697="",1,IF(BG1697&lt;&gt;BG1696,1,0)))</f>
        <v>0</v>
      </c>
      <c r="BJ1696">
        <f>IF($A1696="","",IF(BH1696=1,$B1696,BJ1695))</f>
        <v>0</v>
      </c>
      <c r="BK1696">
        <f>IF($A1696="","",IF(BH1696=1,$C1696,MAX($C1696,BK1695)))</f>
        <v>0</v>
      </c>
      <c r="BL1696">
        <f>IF($A1696="","",IF(BH1696=1,$D1696,MIN($D1696,BL1695)))</f>
        <v>0</v>
      </c>
      <c r="BM1696">
        <f>IF($A1696="","",IF(BI1696=1,F1696,""))</f>
        <v>0</v>
      </c>
      <c r="BN1696">
        <f>IF($A1696="","",DATE(YEAR($A1696),MONTH($A1696),1))</f>
        <v>0</v>
      </c>
      <c r="BO1696">
        <f>IF($A1696="","",IF($A1695="",1,IF(BN1696&lt;&gt;BN1695,1,0)))</f>
        <v>0</v>
      </c>
      <c r="BP1696">
        <f>IF($A1696="","",IF($A1697="",1,IF(BN1697&lt;&gt;BN1696,1,0)))</f>
        <v>0</v>
      </c>
      <c r="BQ1696">
        <f>IF($A1696="","",IF(BO1696=1,$B1696,BQ1695))</f>
        <v>0</v>
      </c>
      <c r="BR1696">
        <f>IF($A1696="","",IF(BO1696=1,$C1696,MAX($C1696,BR1695)))</f>
        <v>0</v>
      </c>
      <c r="BS1696">
        <f>IF($A1696="","",IF(BO1696=1,$D1696,MIN($D1696,BS1695)))</f>
        <v>0</v>
      </c>
      <c r="BT1696">
        <f>IF($A1696="","",IF(BP1696=1,F1696,""))</f>
        <v>0</v>
      </c>
    </row>
    <row r="1697" spans="1:72">
      <c r="A1697" s="27">
        <f>IF(Data!$A1697="","",Data!$A1697)</f>
        <v>0</v>
      </c>
      <c r="B1697">
        <f>IF(Data!$B1697="","",Data!$B1697)</f>
        <v>0</v>
      </c>
      <c r="C1697">
        <f>IF(Data!$C1697="","",Data!$C1697)</f>
        <v>0</v>
      </c>
      <c r="D1697">
        <f>IF(Data!$D1697="","",Data!$D1697)</f>
        <v>0</v>
      </c>
      <c r="E1697">
        <f>IF(Data!$E1697="","",Data!$E1697)</f>
        <v>0</v>
      </c>
      <c r="F1697">
        <f>IF($E1697="","",N(F1696)+1)</f>
        <v>0</v>
      </c>
      <c r="G1697">
        <f>IF(OR($E1697="",$E1696=""),"",LN($E1697/$E1696))</f>
        <v>0</v>
      </c>
      <c r="H1697">
        <f>IF($E1697="","",IF($E1696="",$E1697,$E1697*0.0952380952+H1696*0.9047619048))</f>
        <v>0</v>
      </c>
      <c r="I1697">
        <f>IF($E1697="","",IF($E1696="",$E1697,$E1697*0.0392156863+I1696*0.9607843137))</f>
        <v>0</v>
      </c>
      <c r="J1697">
        <f>IF($E1697="","",IF($E1696="",$E1697,$E1697*0.0198019802+J1696*0.9801980198))</f>
        <v>0</v>
      </c>
      <c r="K1697">
        <f>IF($E1697="","",IF($E1696="",$E1697,$E1697*0.0099502488+K1696*0.9900497512))</f>
        <v>0</v>
      </c>
      <c r="L1697">
        <f>IF(OR($E1697="",$E1696=""),"",MAX($E1697-$E1696,0))</f>
        <v>0</v>
      </c>
      <c r="M1697">
        <f>IF(OR($E1697="",$E1696=""),"",MAX($E1696-$E1697,0))</f>
        <v>0</v>
      </c>
      <c r="N1697">
        <f>IF(COUNT($E$2:$E1697)&lt;15,"",IF(AVERAGE($M$1684:$M$1697)=0,100,100-100/(1+AVERAGE($L$1684:$L$1697)/AVERAGE($M$1684:$M$1697))))</f>
        <v>0</v>
      </c>
      <c r="O1697">
        <f>IF($E1697="","",IF($E1696="",$E1697,$E1697*0.1538461538+O1696*0.8461538462))</f>
        <v>0</v>
      </c>
      <c r="P1697">
        <f>IF($E1697="","",IF($E1696="",$E1697,$E1697*0.0740740741+P1696*0.9259259259))</f>
        <v>0</v>
      </c>
      <c r="Q1697">
        <f>IF(OR(O1697="",P1697=""),"",O1697-P1697)</f>
        <v>0</v>
      </c>
      <c r="R1697">
        <f>IF(Q1697="","",IF(R1696="",Q1697,Q1697*0.2000000000+R1696*0.8000000000))</f>
        <v>0</v>
      </c>
      <c r="S1697">
        <f>IF(OR(Q1697="",R1697=""),"",Q1697-R1697)</f>
        <v>0</v>
      </c>
      <c r="T1697">
        <f>IF(COUNT($E$2:$E1697)&lt;14,"",MAX($C$1684:$C$1697))</f>
        <v>0</v>
      </c>
      <c r="U1697">
        <f>IF(COUNT($E$2:$E1697)&lt;14,"",MIN($D$1684:$D$1697))</f>
        <v>0</v>
      </c>
      <c r="V1697">
        <f>IF(OR(T1697="",U1697="",T1697=U1697),"",100*($E1697-U1697)/(T1697-U1697))</f>
        <v>0</v>
      </c>
      <c r="W1697">
        <f>IF(COUNT($V$1695:$V$1697)&lt;3,"",AVERAGE($V$1695:$V$1697))</f>
        <v>0</v>
      </c>
      <c r="X1697">
        <f>IF(COUNT($N$1684:$N$1697)&lt;14,"",MIN($N$1684:$N$1697))</f>
        <v>0</v>
      </c>
      <c r="Y1697">
        <f>IF(COUNT($N$1684:$N$1697)&lt;14,"",MAX($N$1684:$N$1697))</f>
        <v>0</v>
      </c>
      <c r="Z1697">
        <f>IF(OR(N1697="",X1697="",Y1697="",Y1697=X1697),"",100*(N1697-X1697)/(Y1697-X1697))</f>
        <v>0</v>
      </c>
      <c r="AA1697">
        <f>IF(COUNT($Z$1695:$Z$1697)&lt;3,"",AVERAGE($Z$1695:$Z$1697))</f>
        <v>0</v>
      </c>
      <c r="AB1697">
        <f>IF(COUNT($AA$1695:$AA$1697)&lt;3,"",AVERAGE($AA$1695:$AA$1697))</f>
        <v>0</v>
      </c>
      <c r="AC1697">
        <f>IF($E1697="","",MAX($C1697-$D1697,ABS($C1697-$E1696),ABS($D1697-$E1696)))</f>
        <v>0</v>
      </c>
      <c r="AD1697">
        <f>IF(COUNT($E$2:$E1697)&lt;15,"",AVERAGE($AC$1684:$AC$1697))</f>
        <v>0</v>
      </c>
      <c r="AE1697">
        <f>IF(OR($E1697="",$E1696=""),"",IF(AND(($C1697-$C1696)&gt;($D1696-$D1697),($C1697-$C1696)&gt;0),$C1697-$C1696,0))</f>
        <v>0</v>
      </c>
      <c r="AF1697">
        <f>IF(OR($E1697="",$E1696=""),"",IF(AND(($D1696-$D1697)&gt;($C1697-$C1696),($D1696-$D1697)&gt;0),$D1696-$D1697,0))</f>
        <v>0</v>
      </c>
      <c r="AG1697">
        <f>IF(COUNT($E$2:$E1697)&lt;15,"",IF(SUM($AC$1684:$AC$1697)=0,0,100*SUM($AE$1684:$AE$1697)/SUM($AC$1684:$AC$1697)))</f>
        <v>0</v>
      </c>
      <c r="AH1697">
        <f>IF(COUNT($E$2:$E1697)&lt;15,"",IF(SUM($AC$1684:$AC$1697)=0,0,100*SUM($AF$1684:$AF$1697)/SUM($AC$1684:$AC$1697)))</f>
        <v>0</v>
      </c>
      <c r="AI1697">
        <f>IF(OR(AG1697="",AH1697=""),"",IF((AG1697+AH1697)=0,0,100*ABS(AG1697-AH1697)/(AG1697+AH1697)))</f>
        <v>0</v>
      </c>
      <c r="AJ1697">
        <f>IF(COUNT($AI$1684:$AI$1697)&lt;14,"",AVERAGE($AI$1684:$AI$1697))</f>
        <v>0</v>
      </c>
      <c r="AK1697">
        <f>IF(COUNT($E$2:$E1697)&lt;20,"",AVERAGE($E$1678:$E$1697))</f>
        <v>0</v>
      </c>
      <c r="AL1697">
        <f>IF(COUNT($E$2:$E1697)&lt;20,"",STDEVP($E$1678:$E$1697))</f>
        <v>0</v>
      </c>
      <c r="AM1697">
        <f>IF(AK1697="","",AK1697+2*AL1697)</f>
        <v>0</v>
      </c>
      <c r="AN1697">
        <f>IF(AK1697="","",AK1697-2*AL1697)</f>
        <v>0</v>
      </c>
      <c r="AO1697">
        <f>IF(OR(AM1697="",AN1697="",AM1697=AN1697),"",($E1697-AN1697)/(AM1697-AN1697))</f>
        <v>0</v>
      </c>
      <c r="AP1697">
        <f>IF(OR(AM1697="",AK1697="",AK1697=0),"",(AM1697-AN1697)/AK1697)</f>
        <v>0</v>
      </c>
      <c r="AQ1697">
        <f>IF(COUNT($E$2:$E1697)&lt;20,"",MAX($C$1678:$C$1697))</f>
        <v>0</v>
      </c>
      <c r="AR1697">
        <f>IF(COUNT($E$2:$E1697)&lt;20,"",MIN($D$1678:$D$1697))</f>
        <v>0</v>
      </c>
      <c r="AS1697">
        <f>IF(OR(AQ1697="",AR1697=""),"",(AQ1697+AR1697)/2)</f>
        <v>0</v>
      </c>
      <c r="AT1697">
        <f>IF(COUNT($G$1678:$G$1697)&lt;20,"",STDEV($G$1678:$G$1697)*SQRT(252))</f>
        <v>0</v>
      </c>
      <c r="AU1697">
        <f>IF(COUNT($E$2:$E1697)&lt;9,"",(MAX($C$1689:$C$1697)+MIN($D$1689:$D$1697))/2)</f>
        <v>0</v>
      </c>
      <c r="AV1697">
        <f>IF(COUNT($E$2:$E1697)&lt;26,"",(MAX($C$1672:$C$1697)+MIN($D$1672:$D$1697))/2)</f>
        <v>0</v>
      </c>
      <c r="AW1697">
        <f>IF(OR(AU1697="",AV1697=""),"",(AU1697+AV1697)/2)</f>
        <v>0</v>
      </c>
      <c r="AX1697">
        <f>IF(COUNT($E$2:$E1697)&lt;52,"",(MAX($C$1646:$C$1697)+MIN($D$1646:$D$1697))/2)</f>
        <v>0</v>
      </c>
      <c r="AY1697">
        <f>IF(COUNT($E$2:$E1697)&lt;20,"",MAX($C$1598:$C$1697))</f>
        <v>0</v>
      </c>
      <c r="AZ1697">
        <f>IF(COUNT($E$2:$E1697)&lt;20,"",MIN($D$1598:$D$1697))</f>
        <v>0</v>
      </c>
      <c r="BA1697">
        <f>IF(COUNT($E$2:$E1697)&lt;20,"",SLOPE($E$1598:$E$1697,$F$1598:$F$1697))</f>
        <v>0</v>
      </c>
      <c r="BB1697">
        <f>IF(COUNT($E$2:$E1697)&lt;20,"",INTERCEPT($E$1598:$E$1697,$F$1598:$F$1697))</f>
        <v>0</v>
      </c>
      <c r="BC1697">
        <f>IF(OR(BA1697="",BB1697=""),"",BB1697+BA1697*F1697)</f>
        <v>0</v>
      </c>
      <c r="BD1697">
        <f>IF(COUNT($E$2:$E1697)&lt;20,"",STEYX($E$1598:$E$1697,$F$1598:$F$1697))</f>
        <v>0</v>
      </c>
      <c r="BE1697">
        <f>IF($E1697="","",IF(AND(COUNT($E$1698:$E$1701)&gt;=4,$C1697=MAX($C$1693:$C$1701)),$C1697,""))</f>
        <v>0</v>
      </c>
      <c r="BF1697">
        <f>IF($E1697="","",IF(AND(COUNT($E$1698:$E$1701)&gt;=4,$D1697=MIN($D$1693:$D$1701)),$D1697,""))</f>
        <v>0</v>
      </c>
      <c r="BG1697">
        <f>IF($A1697="","",$A1697-WEEKDAY($A1697,2)+1)</f>
        <v>0</v>
      </c>
      <c r="BH1697">
        <f>IF($A1697="","",IF($A1696="",1,IF(BG1697&lt;&gt;BG1696,1,0)))</f>
        <v>0</v>
      </c>
      <c r="BI1697">
        <f>IF($A1697="","",IF($A1698="",1,IF(BG1698&lt;&gt;BG1697,1,0)))</f>
        <v>0</v>
      </c>
      <c r="BJ1697">
        <f>IF($A1697="","",IF(BH1697=1,$B1697,BJ1696))</f>
        <v>0</v>
      </c>
      <c r="BK1697">
        <f>IF($A1697="","",IF(BH1697=1,$C1697,MAX($C1697,BK1696)))</f>
        <v>0</v>
      </c>
      <c r="BL1697">
        <f>IF($A1697="","",IF(BH1697=1,$D1697,MIN($D1697,BL1696)))</f>
        <v>0</v>
      </c>
      <c r="BM1697">
        <f>IF($A1697="","",IF(BI1697=1,F1697,""))</f>
        <v>0</v>
      </c>
      <c r="BN1697">
        <f>IF($A1697="","",DATE(YEAR($A1697),MONTH($A1697),1))</f>
        <v>0</v>
      </c>
      <c r="BO1697">
        <f>IF($A1697="","",IF($A1696="",1,IF(BN1697&lt;&gt;BN1696,1,0)))</f>
        <v>0</v>
      </c>
      <c r="BP1697">
        <f>IF($A1697="","",IF($A1698="",1,IF(BN1698&lt;&gt;BN1697,1,0)))</f>
        <v>0</v>
      </c>
      <c r="BQ1697">
        <f>IF($A1697="","",IF(BO1697=1,$B1697,BQ1696))</f>
        <v>0</v>
      </c>
      <c r="BR1697">
        <f>IF($A1697="","",IF(BO1697=1,$C1697,MAX($C1697,BR1696)))</f>
        <v>0</v>
      </c>
      <c r="BS1697">
        <f>IF($A1697="","",IF(BO1697=1,$D1697,MIN($D1697,BS1696)))</f>
        <v>0</v>
      </c>
      <c r="BT1697">
        <f>IF($A1697="","",IF(BP1697=1,F1697,""))</f>
        <v>0</v>
      </c>
    </row>
    <row r="1698" spans="1:72">
      <c r="A1698" s="27">
        <f>IF(Data!$A1698="","",Data!$A1698)</f>
        <v>0</v>
      </c>
      <c r="B1698">
        <f>IF(Data!$B1698="","",Data!$B1698)</f>
        <v>0</v>
      </c>
      <c r="C1698">
        <f>IF(Data!$C1698="","",Data!$C1698)</f>
        <v>0</v>
      </c>
      <c r="D1698">
        <f>IF(Data!$D1698="","",Data!$D1698)</f>
        <v>0</v>
      </c>
      <c r="E1698">
        <f>IF(Data!$E1698="","",Data!$E1698)</f>
        <v>0</v>
      </c>
      <c r="F1698">
        <f>IF($E1698="","",N(F1697)+1)</f>
        <v>0</v>
      </c>
      <c r="G1698">
        <f>IF(OR($E1698="",$E1697=""),"",LN($E1698/$E1697))</f>
        <v>0</v>
      </c>
      <c r="H1698">
        <f>IF($E1698="","",IF($E1697="",$E1698,$E1698*0.0952380952+H1697*0.9047619048))</f>
        <v>0</v>
      </c>
      <c r="I1698">
        <f>IF($E1698="","",IF($E1697="",$E1698,$E1698*0.0392156863+I1697*0.9607843137))</f>
        <v>0</v>
      </c>
      <c r="J1698">
        <f>IF($E1698="","",IF($E1697="",$E1698,$E1698*0.0198019802+J1697*0.9801980198))</f>
        <v>0</v>
      </c>
      <c r="K1698">
        <f>IF($E1698="","",IF($E1697="",$E1698,$E1698*0.0099502488+K1697*0.9900497512))</f>
        <v>0</v>
      </c>
      <c r="L1698">
        <f>IF(OR($E1698="",$E1697=""),"",MAX($E1698-$E1697,0))</f>
        <v>0</v>
      </c>
      <c r="M1698">
        <f>IF(OR($E1698="",$E1697=""),"",MAX($E1697-$E1698,0))</f>
        <v>0</v>
      </c>
      <c r="N1698">
        <f>IF(COUNT($E$2:$E1698)&lt;15,"",IF(AVERAGE($M$1685:$M$1698)=0,100,100-100/(1+AVERAGE($L$1685:$L$1698)/AVERAGE($M$1685:$M$1698))))</f>
        <v>0</v>
      </c>
      <c r="O1698">
        <f>IF($E1698="","",IF($E1697="",$E1698,$E1698*0.1538461538+O1697*0.8461538462))</f>
        <v>0</v>
      </c>
      <c r="P1698">
        <f>IF($E1698="","",IF($E1697="",$E1698,$E1698*0.0740740741+P1697*0.9259259259))</f>
        <v>0</v>
      </c>
      <c r="Q1698">
        <f>IF(OR(O1698="",P1698=""),"",O1698-P1698)</f>
        <v>0</v>
      </c>
      <c r="R1698">
        <f>IF(Q1698="","",IF(R1697="",Q1698,Q1698*0.2000000000+R1697*0.8000000000))</f>
        <v>0</v>
      </c>
      <c r="S1698">
        <f>IF(OR(Q1698="",R1698=""),"",Q1698-R1698)</f>
        <v>0</v>
      </c>
      <c r="T1698">
        <f>IF(COUNT($E$2:$E1698)&lt;14,"",MAX($C$1685:$C$1698))</f>
        <v>0</v>
      </c>
      <c r="U1698">
        <f>IF(COUNT($E$2:$E1698)&lt;14,"",MIN($D$1685:$D$1698))</f>
        <v>0</v>
      </c>
      <c r="V1698">
        <f>IF(OR(T1698="",U1698="",T1698=U1698),"",100*($E1698-U1698)/(T1698-U1698))</f>
        <v>0</v>
      </c>
      <c r="W1698">
        <f>IF(COUNT($V$1696:$V$1698)&lt;3,"",AVERAGE($V$1696:$V$1698))</f>
        <v>0</v>
      </c>
      <c r="X1698">
        <f>IF(COUNT($N$1685:$N$1698)&lt;14,"",MIN($N$1685:$N$1698))</f>
        <v>0</v>
      </c>
      <c r="Y1698">
        <f>IF(COUNT($N$1685:$N$1698)&lt;14,"",MAX($N$1685:$N$1698))</f>
        <v>0</v>
      </c>
      <c r="Z1698">
        <f>IF(OR(N1698="",X1698="",Y1698="",Y1698=X1698),"",100*(N1698-X1698)/(Y1698-X1698))</f>
        <v>0</v>
      </c>
      <c r="AA1698">
        <f>IF(COUNT($Z$1696:$Z$1698)&lt;3,"",AVERAGE($Z$1696:$Z$1698))</f>
        <v>0</v>
      </c>
      <c r="AB1698">
        <f>IF(COUNT($AA$1696:$AA$1698)&lt;3,"",AVERAGE($AA$1696:$AA$1698))</f>
        <v>0</v>
      </c>
      <c r="AC1698">
        <f>IF($E1698="","",MAX($C1698-$D1698,ABS($C1698-$E1697),ABS($D1698-$E1697)))</f>
        <v>0</v>
      </c>
      <c r="AD1698">
        <f>IF(COUNT($E$2:$E1698)&lt;15,"",AVERAGE($AC$1685:$AC$1698))</f>
        <v>0</v>
      </c>
      <c r="AE1698">
        <f>IF(OR($E1698="",$E1697=""),"",IF(AND(($C1698-$C1697)&gt;($D1697-$D1698),($C1698-$C1697)&gt;0),$C1698-$C1697,0))</f>
        <v>0</v>
      </c>
      <c r="AF1698">
        <f>IF(OR($E1698="",$E1697=""),"",IF(AND(($D1697-$D1698)&gt;($C1698-$C1697),($D1697-$D1698)&gt;0),$D1697-$D1698,0))</f>
        <v>0</v>
      </c>
      <c r="AG1698">
        <f>IF(COUNT($E$2:$E1698)&lt;15,"",IF(SUM($AC$1685:$AC$1698)=0,0,100*SUM($AE$1685:$AE$1698)/SUM($AC$1685:$AC$1698)))</f>
        <v>0</v>
      </c>
      <c r="AH1698">
        <f>IF(COUNT($E$2:$E1698)&lt;15,"",IF(SUM($AC$1685:$AC$1698)=0,0,100*SUM($AF$1685:$AF$1698)/SUM($AC$1685:$AC$1698)))</f>
        <v>0</v>
      </c>
      <c r="AI1698">
        <f>IF(OR(AG1698="",AH1698=""),"",IF((AG1698+AH1698)=0,0,100*ABS(AG1698-AH1698)/(AG1698+AH1698)))</f>
        <v>0</v>
      </c>
      <c r="AJ1698">
        <f>IF(COUNT($AI$1685:$AI$1698)&lt;14,"",AVERAGE($AI$1685:$AI$1698))</f>
        <v>0</v>
      </c>
      <c r="AK1698">
        <f>IF(COUNT($E$2:$E1698)&lt;20,"",AVERAGE($E$1679:$E$1698))</f>
        <v>0</v>
      </c>
      <c r="AL1698">
        <f>IF(COUNT($E$2:$E1698)&lt;20,"",STDEVP($E$1679:$E$1698))</f>
        <v>0</v>
      </c>
      <c r="AM1698">
        <f>IF(AK1698="","",AK1698+2*AL1698)</f>
        <v>0</v>
      </c>
      <c r="AN1698">
        <f>IF(AK1698="","",AK1698-2*AL1698)</f>
        <v>0</v>
      </c>
      <c r="AO1698">
        <f>IF(OR(AM1698="",AN1698="",AM1698=AN1698),"",($E1698-AN1698)/(AM1698-AN1698))</f>
        <v>0</v>
      </c>
      <c r="AP1698">
        <f>IF(OR(AM1698="",AK1698="",AK1698=0),"",(AM1698-AN1698)/AK1698)</f>
        <v>0</v>
      </c>
      <c r="AQ1698">
        <f>IF(COUNT($E$2:$E1698)&lt;20,"",MAX($C$1679:$C$1698))</f>
        <v>0</v>
      </c>
      <c r="AR1698">
        <f>IF(COUNT($E$2:$E1698)&lt;20,"",MIN($D$1679:$D$1698))</f>
        <v>0</v>
      </c>
      <c r="AS1698">
        <f>IF(OR(AQ1698="",AR1698=""),"",(AQ1698+AR1698)/2)</f>
        <v>0</v>
      </c>
      <c r="AT1698">
        <f>IF(COUNT($G$1679:$G$1698)&lt;20,"",STDEV($G$1679:$G$1698)*SQRT(252))</f>
        <v>0</v>
      </c>
      <c r="AU1698">
        <f>IF(COUNT($E$2:$E1698)&lt;9,"",(MAX($C$1690:$C$1698)+MIN($D$1690:$D$1698))/2)</f>
        <v>0</v>
      </c>
      <c r="AV1698">
        <f>IF(COUNT($E$2:$E1698)&lt;26,"",(MAX($C$1673:$C$1698)+MIN($D$1673:$D$1698))/2)</f>
        <v>0</v>
      </c>
      <c r="AW1698">
        <f>IF(OR(AU1698="",AV1698=""),"",(AU1698+AV1698)/2)</f>
        <v>0</v>
      </c>
      <c r="AX1698">
        <f>IF(COUNT($E$2:$E1698)&lt;52,"",(MAX($C$1647:$C$1698)+MIN($D$1647:$D$1698))/2)</f>
        <v>0</v>
      </c>
      <c r="AY1698">
        <f>IF(COUNT($E$2:$E1698)&lt;20,"",MAX($C$1599:$C$1698))</f>
        <v>0</v>
      </c>
      <c r="AZ1698">
        <f>IF(COUNT($E$2:$E1698)&lt;20,"",MIN($D$1599:$D$1698))</f>
        <v>0</v>
      </c>
      <c r="BA1698">
        <f>IF(COUNT($E$2:$E1698)&lt;20,"",SLOPE($E$1599:$E$1698,$F$1599:$F$1698))</f>
        <v>0</v>
      </c>
      <c r="BB1698">
        <f>IF(COUNT($E$2:$E1698)&lt;20,"",INTERCEPT($E$1599:$E$1698,$F$1599:$F$1698))</f>
        <v>0</v>
      </c>
      <c r="BC1698">
        <f>IF(OR(BA1698="",BB1698=""),"",BB1698+BA1698*F1698)</f>
        <v>0</v>
      </c>
      <c r="BD1698">
        <f>IF(COUNT($E$2:$E1698)&lt;20,"",STEYX($E$1599:$E$1698,$F$1599:$F$1698))</f>
        <v>0</v>
      </c>
      <c r="BE1698">
        <f>IF($E1698="","",IF(AND(COUNT($E$1699:$E$1702)&gt;=4,$C1698=MAX($C$1694:$C$1702)),$C1698,""))</f>
        <v>0</v>
      </c>
      <c r="BF1698">
        <f>IF($E1698="","",IF(AND(COUNT($E$1699:$E$1702)&gt;=4,$D1698=MIN($D$1694:$D$1702)),$D1698,""))</f>
        <v>0</v>
      </c>
      <c r="BG1698">
        <f>IF($A1698="","",$A1698-WEEKDAY($A1698,2)+1)</f>
        <v>0</v>
      </c>
      <c r="BH1698">
        <f>IF($A1698="","",IF($A1697="",1,IF(BG1698&lt;&gt;BG1697,1,0)))</f>
        <v>0</v>
      </c>
      <c r="BI1698">
        <f>IF($A1698="","",IF($A1699="",1,IF(BG1699&lt;&gt;BG1698,1,0)))</f>
        <v>0</v>
      </c>
      <c r="BJ1698">
        <f>IF($A1698="","",IF(BH1698=1,$B1698,BJ1697))</f>
        <v>0</v>
      </c>
      <c r="BK1698">
        <f>IF($A1698="","",IF(BH1698=1,$C1698,MAX($C1698,BK1697)))</f>
        <v>0</v>
      </c>
      <c r="BL1698">
        <f>IF($A1698="","",IF(BH1698=1,$D1698,MIN($D1698,BL1697)))</f>
        <v>0</v>
      </c>
      <c r="BM1698">
        <f>IF($A1698="","",IF(BI1698=1,F1698,""))</f>
        <v>0</v>
      </c>
      <c r="BN1698">
        <f>IF($A1698="","",DATE(YEAR($A1698),MONTH($A1698),1))</f>
        <v>0</v>
      </c>
      <c r="BO1698">
        <f>IF($A1698="","",IF($A1697="",1,IF(BN1698&lt;&gt;BN1697,1,0)))</f>
        <v>0</v>
      </c>
      <c r="BP1698">
        <f>IF($A1698="","",IF($A1699="",1,IF(BN1699&lt;&gt;BN1698,1,0)))</f>
        <v>0</v>
      </c>
      <c r="BQ1698">
        <f>IF($A1698="","",IF(BO1698=1,$B1698,BQ1697))</f>
        <v>0</v>
      </c>
      <c r="BR1698">
        <f>IF($A1698="","",IF(BO1698=1,$C1698,MAX($C1698,BR1697)))</f>
        <v>0</v>
      </c>
      <c r="BS1698">
        <f>IF($A1698="","",IF(BO1698=1,$D1698,MIN($D1698,BS1697)))</f>
        <v>0</v>
      </c>
      <c r="BT1698">
        <f>IF($A1698="","",IF(BP1698=1,F1698,""))</f>
        <v>0</v>
      </c>
    </row>
    <row r="1699" spans="1:72">
      <c r="A1699" s="27">
        <f>IF(Data!$A1699="","",Data!$A1699)</f>
        <v>0</v>
      </c>
      <c r="B1699">
        <f>IF(Data!$B1699="","",Data!$B1699)</f>
        <v>0</v>
      </c>
      <c r="C1699">
        <f>IF(Data!$C1699="","",Data!$C1699)</f>
        <v>0</v>
      </c>
      <c r="D1699">
        <f>IF(Data!$D1699="","",Data!$D1699)</f>
        <v>0</v>
      </c>
      <c r="E1699">
        <f>IF(Data!$E1699="","",Data!$E1699)</f>
        <v>0</v>
      </c>
      <c r="F1699">
        <f>IF($E1699="","",N(F1698)+1)</f>
        <v>0</v>
      </c>
      <c r="G1699">
        <f>IF(OR($E1699="",$E1698=""),"",LN($E1699/$E1698))</f>
        <v>0</v>
      </c>
      <c r="H1699">
        <f>IF($E1699="","",IF($E1698="",$E1699,$E1699*0.0952380952+H1698*0.9047619048))</f>
        <v>0</v>
      </c>
      <c r="I1699">
        <f>IF($E1699="","",IF($E1698="",$E1699,$E1699*0.0392156863+I1698*0.9607843137))</f>
        <v>0</v>
      </c>
      <c r="J1699">
        <f>IF($E1699="","",IF($E1698="",$E1699,$E1699*0.0198019802+J1698*0.9801980198))</f>
        <v>0</v>
      </c>
      <c r="K1699">
        <f>IF($E1699="","",IF($E1698="",$E1699,$E1699*0.0099502488+K1698*0.9900497512))</f>
        <v>0</v>
      </c>
      <c r="L1699">
        <f>IF(OR($E1699="",$E1698=""),"",MAX($E1699-$E1698,0))</f>
        <v>0</v>
      </c>
      <c r="M1699">
        <f>IF(OR($E1699="",$E1698=""),"",MAX($E1698-$E1699,0))</f>
        <v>0</v>
      </c>
      <c r="N1699">
        <f>IF(COUNT($E$2:$E1699)&lt;15,"",IF(AVERAGE($M$1686:$M$1699)=0,100,100-100/(1+AVERAGE($L$1686:$L$1699)/AVERAGE($M$1686:$M$1699))))</f>
        <v>0</v>
      </c>
      <c r="O1699">
        <f>IF($E1699="","",IF($E1698="",$E1699,$E1699*0.1538461538+O1698*0.8461538462))</f>
        <v>0</v>
      </c>
      <c r="P1699">
        <f>IF($E1699="","",IF($E1698="",$E1699,$E1699*0.0740740741+P1698*0.9259259259))</f>
        <v>0</v>
      </c>
      <c r="Q1699">
        <f>IF(OR(O1699="",P1699=""),"",O1699-P1699)</f>
        <v>0</v>
      </c>
      <c r="R1699">
        <f>IF(Q1699="","",IF(R1698="",Q1699,Q1699*0.2000000000+R1698*0.8000000000))</f>
        <v>0</v>
      </c>
      <c r="S1699">
        <f>IF(OR(Q1699="",R1699=""),"",Q1699-R1699)</f>
        <v>0</v>
      </c>
      <c r="T1699">
        <f>IF(COUNT($E$2:$E1699)&lt;14,"",MAX($C$1686:$C$1699))</f>
        <v>0</v>
      </c>
      <c r="U1699">
        <f>IF(COUNT($E$2:$E1699)&lt;14,"",MIN($D$1686:$D$1699))</f>
        <v>0</v>
      </c>
      <c r="V1699">
        <f>IF(OR(T1699="",U1699="",T1699=U1699),"",100*($E1699-U1699)/(T1699-U1699))</f>
        <v>0</v>
      </c>
      <c r="W1699">
        <f>IF(COUNT($V$1697:$V$1699)&lt;3,"",AVERAGE($V$1697:$V$1699))</f>
        <v>0</v>
      </c>
      <c r="X1699">
        <f>IF(COUNT($N$1686:$N$1699)&lt;14,"",MIN($N$1686:$N$1699))</f>
        <v>0</v>
      </c>
      <c r="Y1699">
        <f>IF(COUNT($N$1686:$N$1699)&lt;14,"",MAX($N$1686:$N$1699))</f>
        <v>0</v>
      </c>
      <c r="Z1699">
        <f>IF(OR(N1699="",X1699="",Y1699="",Y1699=X1699),"",100*(N1699-X1699)/(Y1699-X1699))</f>
        <v>0</v>
      </c>
      <c r="AA1699">
        <f>IF(COUNT($Z$1697:$Z$1699)&lt;3,"",AVERAGE($Z$1697:$Z$1699))</f>
        <v>0</v>
      </c>
      <c r="AB1699">
        <f>IF(COUNT($AA$1697:$AA$1699)&lt;3,"",AVERAGE($AA$1697:$AA$1699))</f>
        <v>0</v>
      </c>
      <c r="AC1699">
        <f>IF($E1699="","",MAX($C1699-$D1699,ABS($C1699-$E1698),ABS($D1699-$E1698)))</f>
        <v>0</v>
      </c>
      <c r="AD1699">
        <f>IF(COUNT($E$2:$E1699)&lt;15,"",AVERAGE($AC$1686:$AC$1699))</f>
        <v>0</v>
      </c>
      <c r="AE1699">
        <f>IF(OR($E1699="",$E1698=""),"",IF(AND(($C1699-$C1698)&gt;($D1698-$D1699),($C1699-$C1698)&gt;0),$C1699-$C1698,0))</f>
        <v>0</v>
      </c>
      <c r="AF1699">
        <f>IF(OR($E1699="",$E1698=""),"",IF(AND(($D1698-$D1699)&gt;($C1699-$C1698),($D1698-$D1699)&gt;0),$D1698-$D1699,0))</f>
        <v>0</v>
      </c>
      <c r="AG1699">
        <f>IF(COUNT($E$2:$E1699)&lt;15,"",IF(SUM($AC$1686:$AC$1699)=0,0,100*SUM($AE$1686:$AE$1699)/SUM($AC$1686:$AC$1699)))</f>
        <v>0</v>
      </c>
      <c r="AH1699">
        <f>IF(COUNT($E$2:$E1699)&lt;15,"",IF(SUM($AC$1686:$AC$1699)=0,0,100*SUM($AF$1686:$AF$1699)/SUM($AC$1686:$AC$1699)))</f>
        <v>0</v>
      </c>
      <c r="AI1699">
        <f>IF(OR(AG1699="",AH1699=""),"",IF((AG1699+AH1699)=0,0,100*ABS(AG1699-AH1699)/(AG1699+AH1699)))</f>
        <v>0</v>
      </c>
      <c r="AJ1699">
        <f>IF(COUNT($AI$1686:$AI$1699)&lt;14,"",AVERAGE($AI$1686:$AI$1699))</f>
        <v>0</v>
      </c>
      <c r="AK1699">
        <f>IF(COUNT($E$2:$E1699)&lt;20,"",AVERAGE($E$1680:$E$1699))</f>
        <v>0</v>
      </c>
      <c r="AL1699">
        <f>IF(COUNT($E$2:$E1699)&lt;20,"",STDEVP($E$1680:$E$1699))</f>
        <v>0</v>
      </c>
      <c r="AM1699">
        <f>IF(AK1699="","",AK1699+2*AL1699)</f>
        <v>0</v>
      </c>
      <c r="AN1699">
        <f>IF(AK1699="","",AK1699-2*AL1699)</f>
        <v>0</v>
      </c>
      <c r="AO1699">
        <f>IF(OR(AM1699="",AN1699="",AM1699=AN1699),"",($E1699-AN1699)/(AM1699-AN1699))</f>
        <v>0</v>
      </c>
      <c r="AP1699">
        <f>IF(OR(AM1699="",AK1699="",AK1699=0),"",(AM1699-AN1699)/AK1699)</f>
        <v>0</v>
      </c>
      <c r="AQ1699">
        <f>IF(COUNT($E$2:$E1699)&lt;20,"",MAX($C$1680:$C$1699))</f>
        <v>0</v>
      </c>
      <c r="AR1699">
        <f>IF(COUNT($E$2:$E1699)&lt;20,"",MIN($D$1680:$D$1699))</f>
        <v>0</v>
      </c>
      <c r="AS1699">
        <f>IF(OR(AQ1699="",AR1699=""),"",(AQ1699+AR1699)/2)</f>
        <v>0</v>
      </c>
      <c r="AT1699">
        <f>IF(COUNT($G$1680:$G$1699)&lt;20,"",STDEV($G$1680:$G$1699)*SQRT(252))</f>
        <v>0</v>
      </c>
      <c r="AU1699">
        <f>IF(COUNT($E$2:$E1699)&lt;9,"",(MAX($C$1691:$C$1699)+MIN($D$1691:$D$1699))/2)</f>
        <v>0</v>
      </c>
      <c r="AV1699">
        <f>IF(COUNT($E$2:$E1699)&lt;26,"",(MAX($C$1674:$C$1699)+MIN($D$1674:$D$1699))/2)</f>
        <v>0</v>
      </c>
      <c r="AW1699">
        <f>IF(OR(AU1699="",AV1699=""),"",(AU1699+AV1699)/2)</f>
        <v>0</v>
      </c>
      <c r="AX1699">
        <f>IF(COUNT($E$2:$E1699)&lt;52,"",(MAX($C$1648:$C$1699)+MIN($D$1648:$D$1699))/2)</f>
        <v>0</v>
      </c>
      <c r="AY1699">
        <f>IF(COUNT($E$2:$E1699)&lt;20,"",MAX($C$1600:$C$1699))</f>
        <v>0</v>
      </c>
      <c r="AZ1699">
        <f>IF(COUNT($E$2:$E1699)&lt;20,"",MIN($D$1600:$D$1699))</f>
        <v>0</v>
      </c>
      <c r="BA1699">
        <f>IF(COUNT($E$2:$E1699)&lt;20,"",SLOPE($E$1600:$E$1699,$F$1600:$F$1699))</f>
        <v>0</v>
      </c>
      <c r="BB1699">
        <f>IF(COUNT($E$2:$E1699)&lt;20,"",INTERCEPT($E$1600:$E$1699,$F$1600:$F$1699))</f>
        <v>0</v>
      </c>
      <c r="BC1699">
        <f>IF(OR(BA1699="",BB1699=""),"",BB1699+BA1699*F1699)</f>
        <v>0</v>
      </c>
      <c r="BD1699">
        <f>IF(COUNT($E$2:$E1699)&lt;20,"",STEYX($E$1600:$E$1699,$F$1600:$F$1699))</f>
        <v>0</v>
      </c>
      <c r="BE1699">
        <f>IF($E1699="","",IF(AND(COUNT($E$1700:$E$1703)&gt;=4,$C1699=MAX($C$1695:$C$1703)),$C1699,""))</f>
        <v>0</v>
      </c>
      <c r="BF1699">
        <f>IF($E1699="","",IF(AND(COUNT($E$1700:$E$1703)&gt;=4,$D1699=MIN($D$1695:$D$1703)),$D1699,""))</f>
        <v>0</v>
      </c>
      <c r="BG1699">
        <f>IF($A1699="","",$A1699-WEEKDAY($A1699,2)+1)</f>
        <v>0</v>
      </c>
      <c r="BH1699">
        <f>IF($A1699="","",IF($A1698="",1,IF(BG1699&lt;&gt;BG1698,1,0)))</f>
        <v>0</v>
      </c>
      <c r="BI1699">
        <f>IF($A1699="","",IF($A1700="",1,IF(BG1700&lt;&gt;BG1699,1,0)))</f>
        <v>0</v>
      </c>
      <c r="BJ1699">
        <f>IF($A1699="","",IF(BH1699=1,$B1699,BJ1698))</f>
        <v>0</v>
      </c>
      <c r="BK1699">
        <f>IF($A1699="","",IF(BH1699=1,$C1699,MAX($C1699,BK1698)))</f>
        <v>0</v>
      </c>
      <c r="BL1699">
        <f>IF($A1699="","",IF(BH1699=1,$D1699,MIN($D1699,BL1698)))</f>
        <v>0</v>
      </c>
      <c r="BM1699">
        <f>IF($A1699="","",IF(BI1699=1,F1699,""))</f>
        <v>0</v>
      </c>
      <c r="BN1699">
        <f>IF($A1699="","",DATE(YEAR($A1699),MONTH($A1699),1))</f>
        <v>0</v>
      </c>
      <c r="BO1699">
        <f>IF($A1699="","",IF($A1698="",1,IF(BN1699&lt;&gt;BN1698,1,0)))</f>
        <v>0</v>
      </c>
      <c r="BP1699">
        <f>IF($A1699="","",IF($A1700="",1,IF(BN1700&lt;&gt;BN1699,1,0)))</f>
        <v>0</v>
      </c>
      <c r="BQ1699">
        <f>IF($A1699="","",IF(BO1699=1,$B1699,BQ1698))</f>
        <v>0</v>
      </c>
      <c r="BR1699">
        <f>IF($A1699="","",IF(BO1699=1,$C1699,MAX($C1699,BR1698)))</f>
        <v>0</v>
      </c>
      <c r="BS1699">
        <f>IF($A1699="","",IF(BO1699=1,$D1699,MIN($D1699,BS1698)))</f>
        <v>0</v>
      </c>
      <c r="BT1699">
        <f>IF($A1699="","",IF(BP1699=1,F1699,""))</f>
        <v>0</v>
      </c>
    </row>
    <row r="1700" spans="1:72">
      <c r="A1700" s="27">
        <f>IF(Data!$A1700="","",Data!$A1700)</f>
        <v>0</v>
      </c>
      <c r="B1700">
        <f>IF(Data!$B1700="","",Data!$B1700)</f>
        <v>0</v>
      </c>
      <c r="C1700">
        <f>IF(Data!$C1700="","",Data!$C1700)</f>
        <v>0</v>
      </c>
      <c r="D1700">
        <f>IF(Data!$D1700="","",Data!$D1700)</f>
        <v>0</v>
      </c>
      <c r="E1700">
        <f>IF(Data!$E1700="","",Data!$E1700)</f>
        <v>0</v>
      </c>
      <c r="F1700">
        <f>IF($E1700="","",N(F1699)+1)</f>
        <v>0</v>
      </c>
      <c r="G1700">
        <f>IF(OR($E1700="",$E1699=""),"",LN($E1700/$E1699))</f>
        <v>0</v>
      </c>
      <c r="H1700">
        <f>IF($E1700="","",IF($E1699="",$E1700,$E1700*0.0952380952+H1699*0.9047619048))</f>
        <v>0</v>
      </c>
      <c r="I1700">
        <f>IF($E1700="","",IF($E1699="",$E1700,$E1700*0.0392156863+I1699*0.9607843137))</f>
        <v>0</v>
      </c>
      <c r="J1700">
        <f>IF($E1700="","",IF($E1699="",$E1700,$E1700*0.0198019802+J1699*0.9801980198))</f>
        <v>0</v>
      </c>
      <c r="K1700">
        <f>IF($E1700="","",IF($E1699="",$E1700,$E1700*0.0099502488+K1699*0.9900497512))</f>
        <v>0</v>
      </c>
      <c r="L1700">
        <f>IF(OR($E1700="",$E1699=""),"",MAX($E1700-$E1699,0))</f>
        <v>0</v>
      </c>
      <c r="M1700">
        <f>IF(OR($E1700="",$E1699=""),"",MAX($E1699-$E1700,0))</f>
        <v>0</v>
      </c>
      <c r="N1700">
        <f>IF(COUNT($E$2:$E1700)&lt;15,"",IF(AVERAGE($M$1687:$M$1700)=0,100,100-100/(1+AVERAGE($L$1687:$L$1700)/AVERAGE($M$1687:$M$1700))))</f>
        <v>0</v>
      </c>
      <c r="O1700">
        <f>IF($E1700="","",IF($E1699="",$E1700,$E1700*0.1538461538+O1699*0.8461538462))</f>
        <v>0</v>
      </c>
      <c r="P1700">
        <f>IF($E1700="","",IF($E1699="",$E1700,$E1700*0.0740740741+P1699*0.9259259259))</f>
        <v>0</v>
      </c>
      <c r="Q1700">
        <f>IF(OR(O1700="",P1700=""),"",O1700-P1700)</f>
        <v>0</v>
      </c>
      <c r="R1700">
        <f>IF(Q1700="","",IF(R1699="",Q1700,Q1700*0.2000000000+R1699*0.8000000000))</f>
        <v>0</v>
      </c>
      <c r="S1700">
        <f>IF(OR(Q1700="",R1700=""),"",Q1700-R1700)</f>
        <v>0</v>
      </c>
      <c r="T1700">
        <f>IF(COUNT($E$2:$E1700)&lt;14,"",MAX($C$1687:$C$1700))</f>
        <v>0</v>
      </c>
      <c r="U1700">
        <f>IF(COUNT($E$2:$E1700)&lt;14,"",MIN($D$1687:$D$1700))</f>
        <v>0</v>
      </c>
      <c r="V1700">
        <f>IF(OR(T1700="",U1700="",T1700=U1700),"",100*($E1700-U1700)/(T1700-U1700))</f>
        <v>0</v>
      </c>
      <c r="W1700">
        <f>IF(COUNT($V$1698:$V$1700)&lt;3,"",AVERAGE($V$1698:$V$1700))</f>
        <v>0</v>
      </c>
      <c r="X1700">
        <f>IF(COUNT($N$1687:$N$1700)&lt;14,"",MIN($N$1687:$N$1700))</f>
        <v>0</v>
      </c>
      <c r="Y1700">
        <f>IF(COUNT($N$1687:$N$1700)&lt;14,"",MAX($N$1687:$N$1700))</f>
        <v>0</v>
      </c>
      <c r="Z1700">
        <f>IF(OR(N1700="",X1700="",Y1700="",Y1700=X1700),"",100*(N1700-X1700)/(Y1700-X1700))</f>
        <v>0</v>
      </c>
      <c r="AA1700">
        <f>IF(COUNT($Z$1698:$Z$1700)&lt;3,"",AVERAGE($Z$1698:$Z$1700))</f>
        <v>0</v>
      </c>
      <c r="AB1700">
        <f>IF(COUNT($AA$1698:$AA$1700)&lt;3,"",AVERAGE($AA$1698:$AA$1700))</f>
        <v>0</v>
      </c>
      <c r="AC1700">
        <f>IF($E1700="","",MAX($C1700-$D1700,ABS($C1700-$E1699),ABS($D1700-$E1699)))</f>
        <v>0</v>
      </c>
      <c r="AD1700">
        <f>IF(COUNT($E$2:$E1700)&lt;15,"",AVERAGE($AC$1687:$AC$1700))</f>
        <v>0</v>
      </c>
      <c r="AE1700">
        <f>IF(OR($E1700="",$E1699=""),"",IF(AND(($C1700-$C1699)&gt;($D1699-$D1700),($C1700-$C1699)&gt;0),$C1700-$C1699,0))</f>
        <v>0</v>
      </c>
      <c r="AF1700">
        <f>IF(OR($E1700="",$E1699=""),"",IF(AND(($D1699-$D1700)&gt;($C1700-$C1699),($D1699-$D1700)&gt;0),$D1699-$D1700,0))</f>
        <v>0</v>
      </c>
      <c r="AG1700">
        <f>IF(COUNT($E$2:$E1700)&lt;15,"",IF(SUM($AC$1687:$AC$1700)=0,0,100*SUM($AE$1687:$AE$1700)/SUM($AC$1687:$AC$1700)))</f>
        <v>0</v>
      </c>
      <c r="AH1700">
        <f>IF(COUNT($E$2:$E1700)&lt;15,"",IF(SUM($AC$1687:$AC$1700)=0,0,100*SUM($AF$1687:$AF$1700)/SUM($AC$1687:$AC$1700)))</f>
        <v>0</v>
      </c>
      <c r="AI1700">
        <f>IF(OR(AG1700="",AH1700=""),"",IF((AG1700+AH1700)=0,0,100*ABS(AG1700-AH1700)/(AG1700+AH1700)))</f>
        <v>0</v>
      </c>
      <c r="AJ1700">
        <f>IF(COUNT($AI$1687:$AI$1700)&lt;14,"",AVERAGE($AI$1687:$AI$1700))</f>
        <v>0</v>
      </c>
      <c r="AK1700">
        <f>IF(COUNT($E$2:$E1700)&lt;20,"",AVERAGE($E$1681:$E$1700))</f>
        <v>0</v>
      </c>
      <c r="AL1700">
        <f>IF(COUNT($E$2:$E1700)&lt;20,"",STDEVP($E$1681:$E$1700))</f>
        <v>0</v>
      </c>
      <c r="AM1700">
        <f>IF(AK1700="","",AK1700+2*AL1700)</f>
        <v>0</v>
      </c>
      <c r="AN1700">
        <f>IF(AK1700="","",AK1700-2*AL1700)</f>
        <v>0</v>
      </c>
      <c r="AO1700">
        <f>IF(OR(AM1700="",AN1700="",AM1700=AN1700),"",($E1700-AN1700)/(AM1700-AN1700))</f>
        <v>0</v>
      </c>
      <c r="AP1700">
        <f>IF(OR(AM1700="",AK1700="",AK1700=0),"",(AM1700-AN1700)/AK1700)</f>
        <v>0</v>
      </c>
      <c r="AQ1700">
        <f>IF(COUNT($E$2:$E1700)&lt;20,"",MAX($C$1681:$C$1700))</f>
        <v>0</v>
      </c>
      <c r="AR1700">
        <f>IF(COUNT($E$2:$E1700)&lt;20,"",MIN($D$1681:$D$1700))</f>
        <v>0</v>
      </c>
      <c r="AS1700">
        <f>IF(OR(AQ1700="",AR1700=""),"",(AQ1700+AR1700)/2)</f>
        <v>0</v>
      </c>
      <c r="AT1700">
        <f>IF(COUNT($G$1681:$G$1700)&lt;20,"",STDEV($G$1681:$G$1700)*SQRT(252))</f>
        <v>0</v>
      </c>
      <c r="AU1700">
        <f>IF(COUNT($E$2:$E1700)&lt;9,"",(MAX($C$1692:$C$1700)+MIN($D$1692:$D$1700))/2)</f>
        <v>0</v>
      </c>
      <c r="AV1700">
        <f>IF(COUNT($E$2:$E1700)&lt;26,"",(MAX($C$1675:$C$1700)+MIN($D$1675:$D$1700))/2)</f>
        <v>0</v>
      </c>
      <c r="AW1700">
        <f>IF(OR(AU1700="",AV1700=""),"",(AU1700+AV1700)/2)</f>
        <v>0</v>
      </c>
      <c r="AX1700">
        <f>IF(COUNT($E$2:$E1700)&lt;52,"",(MAX($C$1649:$C$1700)+MIN($D$1649:$D$1700))/2)</f>
        <v>0</v>
      </c>
      <c r="AY1700">
        <f>IF(COUNT($E$2:$E1700)&lt;20,"",MAX($C$1601:$C$1700))</f>
        <v>0</v>
      </c>
      <c r="AZ1700">
        <f>IF(COUNT($E$2:$E1700)&lt;20,"",MIN($D$1601:$D$1700))</f>
        <v>0</v>
      </c>
      <c r="BA1700">
        <f>IF(COUNT($E$2:$E1700)&lt;20,"",SLOPE($E$1601:$E$1700,$F$1601:$F$1700))</f>
        <v>0</v>
      </c>
      <c r="BB1700">
        <f>IF(COUNT($E$2:$E1700)&lt;20,"",INTERCEPT($E$1601:$E$1700,$F$1601:$F$1700))</f>
        <v>0</v>
      </c>
      <c r="BC1700">
        <f>IF(OR(BA1700="",BB1700=""),"",BB1700+BA1700*F1700)</f>
        <v>0</v>
      </c>
      <c r="BD1700">
        <f>IF(COUNT($E$2:$E1700)&lt;20,"",STEYX($E$1601:$E$1700,$F$1601:$F$1700))</f>
        <v>0</v>
      </c>
      <c r="BE1700">
        <f>IF($E1700="","",IF(AND(COUNT($E$1701:$E$1704)&gt;=4,$C1700=MAX($C$1696:$C$1704)),$C1700,""))</f>
        <v>0</v>
      </c>
      <c r="BF1700">
        <f>IF($E1700="","",IF(AND(COUNT($E$1701:$E$1704)&gt;=4,$D1700=MIN($D$1696:$D$1704)),$D1700,""))</f>
        <v>0</v>
      </c>
      <c r="BG1700">
        <f>IF($A1700="","",$A1700-WEEKDAY($A1700,2)+1)</f>
        <v>0</v>
      </c>
      <c r="BH1700">
        <f>IF($A1700="","",IF($A1699="",1,IF(BG1700&lt;&gt;BG1699,1,0)))</f>
        <v>0</v>
      </c>
      <c r="BI1700">
        <f>IF($A1700="","",IF($A1701="",1,IF(BG1701&lt;&gt;BG1700,1,0)))</f>
        <v>0</v>
      </c>
      <c r="BJ1700">
        <f>IF($A1700="","",IF(BH1700=1,$B1700,BJ1699))</f>
        <v>0</v>
      </c>
      <c r="BK1700">
        <f>IF($A1700="","",IF(BH1700=1,$C1700,MAX($C1700,BK1699)))</f>
        <v>0</v>
      </c>
      <c r="BL1700">
        <f>IF($A1700="","",IF(BH1700=1,$D1700,MIN($D1700,BL1699)))</f>
        <v>0</v>
      </c>
      <c r="BM1700">
        <f>IF($A1700="","",IF(BI1700=1,F1700,""))</f>
        <v>0</v>
      </c>
      <c r="BN1700">
        <f>IF($A1700="","",DATE(YEAR($A1700),MONTH($A1700),1))</f>
        <v>0</v>
      </c>
      <c r="BO1700">
        <f>IF($A1700="","",IF($A1699="",1,IF(BN1700&lt;&gt;BN1699,1,0)))</f>
        <v>0</v>
      </c>
      <c r="BP1700">
        <f>IF($A1700="","",IF($A1701="",1,IF(BN1701&lt;&gt;BN1700,1,0)))</f>
        <v>0</v>
      </c>
      <c r="BQ1700">
        <f>IF($A1700="","",IF(BO1700=1,$B1700,BQ1699))</f>
        <v>0</v>
      </c>
      <c r="BR1700">
        <f>IF($A1700="","",IF(BO1700=1,$C1700,MAX($C1700,BR1699)))</f>
        <v>0</v>
      </c>
      <c r="BS1700">
        <f>IF($A1700="","",IF(BO1700=1,$D1700,MIN($D1700,BS1699)))</f>
        <v>0</v>
      </c>
      <c r="BT1700">
        <f>IF($A1700="","",IF(BP1700=1,F1700,""))</f>
        <v>0</v>
      </c>
    </row>
    <row r="1701" spans="1:72">
      <c r="A1701" s="27">
        <f>IF(Data!$A1701="","",Data!$A1701)</f>
        <v>0</v>
      </c>
      <c r="B1701">
        <f>IF(Data!$B1701="","",Data!$B1701)</f>
        <v>0</v>
      </c>
      <c r="C1701">
        <f>IF(Data!$C1701="","",Data!$C1701)</f>
        <v>0</v>
      </c>
      <c r="D1701">
        <f>IF(Data!$D1701="","",Data!$D1701)</f>
        <v>0</v>
      </c>
      <c r="E1701">
        <f>IF(Data!$E1701="","",Data!$E1701)</f>
        <v>0</v>
      </c>
      <c r="F1701">
        <f>IF($E1701="","",N(F1700)+1)</f>
        <v>0</v>
      </c>
      <c r="G1701">
        <f>IF(OR($E1701="",$E1700=""),"",LN($E1701/$E1700))</f>
        <v>0</v>
      </c>
      <c r="H1701">
        <f>IF($E1701="","",IF($E1700="",$E1701,$E1701*0.0952380952+H1700*0.9047619048))</f>
        <v>0</v>
      </c>
      <c r="I1701">
        <f>IF($E1701="","",IF($E1700="",$E1701,$E1701*0.0392156863+I1700*0.9607843137))</f>
        <v>0</v>
      </c>
      <c r="J1701">
        <f>IF($E1701="","",IF($E1700="",$E1701,$E1701*0.0198019802+J1700*0.9801980198))</f>
        <v>0</v>
      </c>
      <c r="K1701">
        <f>IF($E1701="","",IF($E1700="",$E1701,$E1701*0.0099502488+K1700*0.9900497512))</f>
        <v>0</v>
      </c>
      <c r="L1701">
        <f>IF(OR($E1701="",$E1700=""),"",MAX($E1701-$E1700,0))</f>
        <v>0</v>
      </c>
      <c r="M1701">
        <f>IF(OR($E1701="",$E1700=""),"",MAX($E1700-$E1701,0))</f>
        <v>0</v>
      </c>
      <c r="N1701">
        <f>IF(COUNT($E$2:$E1701)&lt;15,"",IF(AVERAGE($M$1688:$M$1701)=0,100,100-100/(1+AVERAGE($L$1688:$L$1701)/AVERAGE($M$1688:$M$1701))))</f>
        <v>0</v>
      </c>
      <c r="O1701">
        <f>IF($E1701="","",IF($E1700="",$E1701,$E1701*0.1538461538+O1700*0.8461538462))</f>
        <v>0</v>
      </c>
      <c r="P1701">
        <f>IF($E1701="","",IF($E1700="",$E1701,$E1701*0.0740740741+P1700*0.9259259259))</f>
        <v>0</v>
      </c>
      <c r="Q1701">
        <f>IF(OR(O1701="",P1701=""),"",O1701-P1701)</f>
        <v>0</v>
      </c>
      <c r="R1701">
        <f>IF(Q1701="","",IF(R1700="",Q1701,Q1701*0.2000000000+R1700*0.8000000000))</f>
        <v>0</v>
      </c>
      <c r="S1701">
        <f>IF(OR(Q1701="",R1701=""),"",Q1701-R1701)</f>
        <v>0</v>
      </c>
      <c r="T1701">
        <f>IF(COUNT($E$2:$E1701)&lt;14,"",MAX($C$1688:$C$1701))</f>
        <v>0</v>
      </c>
      <c r="U1701">
        <f>IF(COUNT($E$2:$E1701)&lt;14,"",MIN($D$1688:$D$1701))</f>
        <v>0</v>
      </c>
      <c r="V1701">
        <f>IF(OR(T1701="",U1701="",T1701=U1701),"",100*($E1701-U1701)/(T1701-U1701))</f>
        <v>0</v>
      </c>
      <c r="W1701">
        <f>IF(COUNT($V$1699:$V$1701)&lt;3,"",AVERAGE($V$1699:$V$1701))</f>
        <v>0</v>
      </c>
      <c r="X1701">
        <f>IF(COUNT($N$1688:$N$1701)&lt;14,"",MIN($N$1688:$N$1701))</f>
        <v>0</v>
      </c>
      <c r="Y1701">
        <f>IF(COUNT($N$1688:$N$1701)&lt;14,"",MAX($N$1688:$N$1701))</f>
        <v>0</v>
      </c>
      <c r="Z1701">
        <f>IF(OR(N1701="",X1701="",Y1701="",Y1701=X1701),"",100*(N1701-X1701)/(Y1701-X1701))</f>
        <v>0</v>
      </c>
      <c r="AA1701">
        <f>IF(COUNT($Z$1699:$Z$1701)&lt;3,"",AVERAGE($Z$1699:$Z$1701))</f>
        <v>0</v>
      </c>
      <c r="AB1701">
        <f>IF(COUNT($AA$1699:$AA$1701)&lt;3,"",AVERAGE($AA$1699:$AA$1701))</f>
        <v>0</v>
      </c>
      <c r="AC1701">
        <f>IF($E1701="","",MAX($C1701-$D1701,ABS($C1701-$E1700),ABS($D1701-$E1700)))</f>
        <v>0</v>
      </c>
      <c r="AD1701">
        <f>IF(COUNT($E$2:$E1701)&lt;15,"",AVERAGE($AC$1688:$AC$1701))</f>
        <v>0</v>
      </c>
      <c r="AE1701">
        <f>IF(OR($E1701="",$E1700=""),"",IF(AND(($C1701-$C1700)&gt;($D1700-$D1701),($C1701-$C1700)&gt;0),$C1701-$C1700,0))</f>
        <v>0</v>
      </c>
      <c r="AF1701">
        <f>IF(OR($E1701="",$E1700=""),"",IF(AND(($D1700-$D1701)&gt;($C1701-$C1700),($D1700-$D1701)&gt;0),$D1700-$D1701,0))</f>
        <v>0</v>
      </c>
      <c r="AG1701">
        <f>IF(COUNT($E$2:$E1701)&lt;15,"",IF(SUM($AC$1688:$AC$1701)=0,0,100*SUM($AE$1688:$AE$1701)/SUM($AC$1688:$AC$1701)))</f>
        <v>0</v>
      </c>
      <c r="AH1701">
        <f>IF(COUNT($E$2:$E1701)&lt;15,"",IF(SUM($AC$1688:$AC$1701)=0,0,100*SUM($AF$1688:$AF$1701)/SUM($AC$1688:$AC$1701)))</f>
        <v>0</v>
      </c>
      <c r="AI1701">
        <f>IF(OR(AG1701="",AH1701=""),"",IF((AG1701+AH1701)=0,0,100*ABS(AG1701-AH1701)/(AG1701+AH1701)))</f>
        <v>0</v>
      </c>
      <c r="AJ1701">
        <f>IF(COUNT($AI$1688:$AI$1701)&lt;14,"",AVERAGE($AI$1688:$AI$1701))</f>
        <v>0</v>
      </c>
      <c r="AK1701">
        <f>IF(COUNT($E$2:$E1701)&lt;20,"",AVERAGE($E$1682:$E$1701))</f>
        <v>0</v>
      </c>
      <c r="AL1701">
        <f>IF(COUNT($E$2:$E1701)&lt;20,"",STDEVP($E$1682:$E$1701))</f>
        <v>0</v>
      </c>
      <c r="AM1701">
        <f>IF(AK1701="","",AK1701+2*AL1701)</f>
        <v>0</v>
      </c>
      <c r="AN1701">
        <f>IF(AK1701="","",AK1701-2*AL1701)</f>
        <v>0</v>
      </c>
      <c r="AO1701">
        <f>IF(OR(AM1701="",AN1701="",AM1701=AN1701),"",($E1701-AN1701)/(AM1701-AN1701))</f>
        <v>0</v>
      </c>
      <c r="AP1701">
        <f>IF(OR(AM1701="",AK1701="",AK1701=0),"",(AM1701-AN1701)/AK1701)</f>
        <v>0</v>
      </c>
      <c r="AQ1701">
        <f>IF(COUNT($E$2:$E1701)&lt;20,"",MAX($C$1682:$C$1701))</f>
        <v>0</v>
      </c>
      <c r="AR1701">
        <f>IF(COUNT($E$2:$E1701)&lt;20,"",MIN($D$1682:$D$1701))</f>
        <v>0</v>
      </c>
      <c r="AS1701">
        <f>IF(OR(AQ1701="",AR1701=""),"",(AQ1701+AR1701)/2)</f>
        <v>0</v>
      </c>
      <c r="AT1701">
        <f>IF(COUNT($G$1682:$G$1701)&lt;20,"",STDEV($G$1682:$G$1701)*SQRT(252))</f>
        <v>0</v>
      </c>
      <c r="AU1701">
        <f>IF(COUNT($E$2:$E1701)&lt;9,"",(MAX($C$1693:$C$1701)+MIN($D$1693:$D$1701))/2)</f>
        <v>0</v>
      </c>
      <c r="AV1701">
        <f>IF(COUNT($E$2:$E1701)&lt;26,"",(MAX($C$1676:$C$1701)+MIN($D$1676:$D$1701))/2)</f>
        <v>0</v>
      </c>
      <c r="AW1701">
        <f>IF(OR(AU1701="",AV1701=""),"",(AU1701+AV1701)/2)</f>
        <v>0</v>
      </c>
      <c r="AX1701">
        <f>IF(COUNT($E$2:$E1701)&lt;52,"",(MAX($C$1650:$C$1701)+MIN($D$1650:$D$1701))/2)</f>
        <v>0</v>
      </c>
      <c r="AY1701">
        <f>IF(COUNT($E$2:$E1701)&lt;20,"",MAX($C$1602:$C$1701))</f>
        <v>0</v>
      </c>
      <c r="AZ1701">
        <f>IF(COUNT($E$2:$E1701)&lt;20,"",MIN($D$1602:$D$1701))</f>
        <v>0</v>
      </c>
      <c r="BA1701">
        <f>IF(COUNT($E$2:$E1701)&lt;20,"",SLOPE($E$1602:$E$1701,$F$1602:$F$1701))</f>
        <v>0</v>
      </c>
      <c r="BB1701">
        <f>IF(COUNT($E$2:$E1701)&lt;20,"",INTERCEPT($E$1602:$E$1701,$F$1602:$F$1701))</f>
        <v>0</v>
      </c>
      <c r="BC1701">
        <f>IF(OR(BA1701="",BB1701=""),"",BB1701+BA1701*F1701)</f>
        <v>0</v>
      </c>
      <c r="BD1701">
        <f>IF(COUNT($E$2:$E1701)&lt;20,"",STEYX($E$1602:$E$1701,$F$1602:$F$1701))</f>
        <v>0</v>
      </c>
      <c r="BE1701">
        <f>IF($E1701="","",IF(AND(COUNT($E$1702:$E$1705)&gt;=4,$C1701=MAX($C$1697:$C$1705)),$C1701,""))</f>
        <v>0</v>
      </c>
      <c r="BF1701">
        <f>IF($E1701="","",IF(AND(COUNT($E$1702:$E$1705)&gt;=4,$D1701=MIN($D$1697:$D$1705)),$D1701,""))</f>
        <v>0</v>
      </c>
      <c r="BG1701">
        <f>IF($A1701="","",$A1701-WEEKDAY($A1701,2)+1)</f>
        <v>0</v>
      </c>
      <c r="BH1701">
        <f>IF($A1701="","",IF($A1700="",1,IF(BG1701&lt;&gt;BG1700,1,0)))</f>
        <v>0</v>
      </c>
      <c r="BI1701">
        <f>IF($A1701="","",IF($A1702="",1,IF(BG1702&lt;&gt;BG1701,1,0)))</f>
        <v>0</v>
      </c>
      <c r="BJ1701">
        <f>IF($A1701="","",IF(BH1701=1,$B1701,BJ1700))</f>
        <v>0</v>
      </c>
      <c r="BK1701">
        <f>IF($A1701="","",IF(BH1701=1,$C1701,MAX($C1701,BK1700)))</f>
        <v>0</v>
      </c>
      <c r="BL1701">
        <f>IF($A1701="","",IF(BH1701=1,$D1701,MIN($D1701,BL1700)))</f>
        <v>0</v>
      </c>
      <c r="BM1701">
        <f>IF($A1701="","",IF(BI1701=1,F1701,""))</f>
        <v>0</v>
      </c>
      <c r="BN1701">
        <f>IF($A1701="","",DATE(YEAR($A1701),MONTH($A1701),1))</f>
        <v>0</v>
      </c>
      <c r="BO1701">
        <f>IF($A1701="","",IF($A1700="",1,IF(BN1701&lt;&gt;BN1700,1,0)))</f>
        <v>0</v>
      </c>
      <c r="BP1701">
        <f>IF($A1701="","",IF($A1702="",1,IF(BN1702&lt;&gt;BN1701,1,0)))</f>
        <v>0</v>
      </c>
      <c r="BQ1701">
        <f>IF($A1701="","",IF(BO1701=1,$B1701,BQ1700))</f>
        <v>0</v>
      </c>
      <c r="BR1701">
        <f>IF($A1701="","",IF(BO1701=1,$C1701,MAX($C1701,BR1700)))</f>
        <v>0</v>
      </c>
      <c r="BS1701">
        <f>IF($A1701="","",IF(BO1701=1,$D1701,MIN($D1701,BS1700)))</f>
        <v>0</v>
      </c>
      <c r="BT1701">
        <f>IF($A1701="","",IF(BP1701=1,F1701,""))</f>
        <v>0</v>
      </c>
    </row>
    <row r="1702" spans="1:72">
      <c r="A1702" s="27">
        <f>IF(Data!$A1702="","",Data!$A1702)</f>
        <v>0</v>
      </c>
      <c r="B1702">
        <f>IF(Data!$B1702="","",Data!$B1702)</f>
        <v>0</v>
      </c>
      <c r="C1702">
        <f>IF(Data!$C1702="","",Data!$C1702)</f>
        <v>0</v>
      </c>
      <c r="D1702">
        <f>IF(Data!$D1702="","",Data!$D1702)</f>
        <v>0</v>
      </c>
      <c r="E1702">
        <f>IF(Data!$E1702="","",Data!$E1702)</f>
        <v>0</v>
      </c>
      <c r="F1702">
        <f>IF($E1702="","",N(F1701)+1)</f>
        <v>0</v>
      </c>
      <c r="G1702">
        <f>IF(OR($E1702="",$E1701=""),"",LN($E1702/$E1701))</f>
        <v>0</v>
      </c>
      <c r="H1702">
        <f>IF($E1702="","",IF($E1701="",$E1702,$E1702*0.0952380952+H1701*0.9047619048))</f>
        <v>0</v>
      </c>
      <c r="I1702">
        <f>IF($E1702="","",IF($E1701="",$E1702,$E1702*0.0392156863+I1701*0.9607843137))</f>
        <v>0</v>
      </c>
      <c r="J1702">
        <f>IF($E1702="","",IF($E1701="",$E1702,$E1702*0.0198019802+J1701*0.9801980198))</f>
        <v>0</v>
      </c>
      <c r="K1702">
        <f>IF($E1702="","",IF($E1701="",$E1702,$E1702*0.0099502488+K1701*0.9900497512))</f>
        <v>0</v>
      </c>
      <c r="L1702">
        <f>IF(OR($E1702="",$E1701=""),"",MAX($E1702-$E1701,0))</f>
        <v>0</v>
      </c>
      <c r="M1702">
        <f>IF(OR($E1702="",$E1701=""),"",MAX($E1701-$E1702,0))</f>
        <v>0</v>
      </c>
      <c r="N1702">
        <f>IF(COUNT($E$2:$E1702)&lt;15,"",IF(AVERAGE($M$1689:$M$1702)=0,100,100-100/(1+AVERAGE($L$1689:$L$1702)/AVERAGE($M$1689:$M$1702))))</f>
        <v>0</v>
      </c>
      <c r="O1702">
        <f>IF($E1702="","",IF($E1701="",$E1702,$E1702*0.1538461538+O1701*0.8461538462))</f>
        <v>0</v>
      </c>
      <c r="P1702">
        <f>IF($E1702="","",IF($E1701="",$E1702,$E1702*0.0740740741+P1701*0.9259259259))</f>
        <v>0</v>
      </c>
      <c r="Q1702">
        <f>IF(OR(O1702="",P1702=""),"",O1702-P1702)</f>
        <v>0</v>
      </c>
      <c r="R1702">
        <f>IF(Q1702="","",IF(R1701="",Q1702,Q1702*0.2000000000+R1701*0.8000000000))</f>
        <v>0</v>
      </c>
      <c r="S1702">
        <f>IF(OR(Q1702="",R1702=""),"",Q1702-R1702)</f>
        <v>0</v>
      </c>
      <c r="T1702">
        <f>IF(COUNT($E$2:$E1702)&lt;14,"",MAX($C$1689:$C$1702))</f>
        <v>0</v>
      </c>
      <c r="U1702">
        <f>IF(COUNT($E$2:$E1702)&lt;14,"",MIN($D$1689:$D$1702))</f>
        <v>0</v>
      </c>
      <c r="V1702">
        <f>IF(OR(T1702="",U1702="",T1702=U1702),"",100*($E1702-U1702)/(T1702-U1702))</f>
        <v>0</v>
      </c>
      <c r="W1702">
        <f>IF(COUNT($V$1700:$V$1702)&lt;3,"",AVERAGE($V$1700:$V$1702))</f>
        <v>0</v>
      </c>
      <c r="X1702">
        <f>IF(COUNT($N$1689:$N$1702)&lt;14,"",MIN($N$1689:$N$1702))</f>
        <v>0</v>
      </c>
      <c r="Y1702">
        <f>IF(COUNT($N$1689:$N$1702)&lt;14,"",MAX($N$1689:$N$1702))</f>
        <v>0</v>
      </c>
      <c r="Z1702">
        <f>IF(OR(N1702="",X1702="",Y1702="",Y1702=X1702),"",100*(N1702-X1702)/(Y1702-X1702))</f>
        <v>0</v>
      </c>
      <c r="AA1702">
        <f>IF(COUNT($Z$1700:$Z$1702)&lt;3,"",AVERAGE($Z$1700:$Z$1702))</f>
        <v>0</v>
      </c>
      <c r="AB1702">
        <f>IF(COUNT($AA$1700:$AA$1702)&lt;3,"",AVERAGE($AA$1700:$AA$1702))</f>
        <v>0</v>
      </c>
      <c r="AC1702">
        <f>IF($E1702="","",MAX($C1702-$D1702,ABS($C1702-$E1701),ABS($D1702-$E1701)))</f>
        <v>0</v>
      </c>
      <c r="AD1702">
        <f>IF(COUNT($E$2:$E1702)&lt;15,"",AVERAGE($AC$1689:$AC$1702))</f>
        <v>0</v>
      </c>
      <c r="AE1702">
        <f>IF(OR($E1702="",$E1701=""),"",IF(AND(($C1702-$C1701)&gt;($D1701-$D1702),($C1702-$C1701)&gt;0),$C1702-$C1701,0))</f>
        <v>0</v>
      </c>
      <c r="AF1702">
        <f>IF(OR($E1702="",$E1701=""),"",IF(AND(($D1701-$D1702)&gt;($C1702-$C1701),($D1701-$D1702)&gt;0),$D1701-$D1702,0))</f>
        <v>0</v>
      </c>
      <c r="AG1702">
        <f>IF(COUNT($E$2:$E1702)&lt;15,"",IF(SUM($AC$1689:$AC$1702)=0,0,100*SUM($AE$1689:$AE$1702)/SUM($AC$1689:$AC$1702)))</f>
        <v>0</v>
      </c>
      <c r="AH1702">
        <f>IF(COUNT($E$2:$E1702)&lt;15,"",IF(SUM($AC$1689:$AC$1702)=0,0,100*SUM($AF$1689:$AF$1702)/SUM($AC$1689:$AC$1702)))</f>
        <v>0</v>
      </c>
      <c r="AI1702">
        <f>IF(OR(AG1702="",AH1702=""),"",IF((AG1702+AH1702)=0,0,100*ABS(AG1702-AH1702)/(AG1702+AH1702)))</f>
        <v>0</v>
      </c>
      <c r="AJ1702">
        <f>IF(COUNT($AI$1689:$AI$1702)&lt;14,"",AVERAGE($AI$1689:$AI$1702))</f>
        <v>0</v>
      </c>
      <c r="AK1702">
        <f>IF(COUNT($E$2:$E1702)&lt;20,"",AVERAGE($E$1683:$E$1702))</f>
        <v>0</v>
      </c>
      <c r="AL1702">
        <f>IF(COUNT($E$2:$E1702)&lt;20,"",STDEVP($E$1683:$E$1702))</f>
        <v>0</v>
      </c>
      <c r="AM1702">
        <f>IF(AK1702="","",AK1702+2*AL1702)</f>
        <v>0</v>
      </c>
      <c r="AN1702">
        <f>IF(AK1702="","",AK1702-2*AL1702)</f>
        <v>0</v>
      </c>
      <c r="AO1702">
        <f>IF(OR(AM1702="",AN1702="",AM1702=AN1702),"",($E1702-AN1702)/(AM1702-AN1702))</f>
        <v>0</v>
      </c>
      <c r="AP1702">
        <f>IF(OR(AM1702="",AK1702="",AK1702=0),"",(AM1702-AN1702)/AK1702)</f>
        <v>0</v>
      </c>
      <c r="AQ1702">
        <f>IF(COUNT($E$2:$E1702)&lt;20,"",MAX($C$1683:$C$1702))</f>
        <v>0</v>
      </c>
      <c r="AR1702">
        <f>IF(COUNT($E$2:$E1702)&lt;20,"",MIN($D$1683:$D$1702))</f>
        <v>0</v>
      </c>
      <c r="AS1702">
        <f>IF(OR(AQ1702="",AR1702=""),"",(AQ1702+AR1702)/2)</f>
        <v>0</v>
      </c>
      <c r="AT1702">
        <f>IF(COUNT($G$1683:$G$1702)&lt;20,"",STDEV($G$1683:$G$1702)*SQRT(252))</f>
        <v>0</v>
      </c>
      <c r="AU1702">
        <f>IF(COUNT($E$2:$E1702)&lt;9,"",(MAX($C$1694:$C$1702)+MIN($D$1694:$D$1702))/2)</f>
        <v>0</v>
      </c>
      <c r="AV1702">
        <f>IF(COUNT($E$2:$E1702)&lt;26,"",(MAX($C$1677:$C$1702)+MIN($D$1677:$D$1702))/2)</f>
        <v>0</v>
      </c>
      <c r="AW1702">
        <f>IF(OR(AU1702="",AV1702=""),"",(AU1702+AV1702)/2)</f>
        <v>0</v>
      </c>
      <c r="AX1702">
        <f>IF(COUNT($E$2:$E1702)&lt;52,"",(MAX($C$1651:$C$1702)+MIN($D$1651:$D$1702))/2)</f>
        <v>0</v>
      </c>
      <c r="AY1702">
        <f>IF(COUNT($E$2:$E1702)&lt;20,"",MAX($C$1603:$C$1702))</f>
        <v>0</v>
      </c>
      <c r="AZ1702">
        <f>IF(COUNT($E$2:$E1702)&lt;20,"",MIN($D$1603:$D$1702))</f>
        <v>0</v>
      </c>
      <c r="BA1702">
        <f>IF(COUNT($E$2:$E1702)&lt;20,"",SLOPE($E$1603:$E$1702,$F$1603:$F$1702))</f>
        <v>0</v>
      </c>
      <c r="BB1702">
        <f>IF(COUNT($E$2:$E1702)&lt;20,"",INTERCEPT($E$1603:$E$1702,$F$1603:$F$1702))</f>
        <v>0</v>
      </c>
      <c r="BC1702">
        <f>IF(OR(BA1702="",BB1702=""),"",BB1702+BA1702*F1702)</f>
        <v>0</v>
      </c>
      <c r="BD1702">
        <f>IF(COUNT($E$2:$E1702)&lt;20,"",STEYX($E$1603:$E$1702,$F$1603:$F$1702))</f>
        <v>0</v>
      </c>
      <c r="BE1702">
        <f>IF($E1702="","",IF(AND(COUNT($E$1703:$E$1706)&gt;=4,$C1702=MAX($C$1698:$C$1706)),$C1702,""))</f>
        <v>0</v>
      </c>
      <c r="BF1702">
        <f>IF($E1702="","",IF(AND(COUNT($E$1703:$E$1706)&gt;=4,$D1702=MIN($D$1698:$D$1706)),$D1702,""))</f>
        <v>0</v>
      </c>
      <c r="BG1702">
        <f>IF($A1702="","",$A1702-WEEKDAY($A1702,2)+1)</f>
        <v>0</v>
      </c>
      <c r="BH1702">
        <f>IF($A1702="","",IF($A1701="",1,IF(BG1702&lt;&gt;BG1701,1,0)))</f>
        <v>0</v>
      </c>
      <c r="BI1702">
        <f>IF($A1702="","",IF($A1703="",1,IF(BG1703&lt;&gt;BG1702,1,0)))</f>
        <v>0</v>
      </c>
      <c r="BJ1702">
        <f>IF($A1702="","",IF(BH1702=1,$B1702,BJ1701))</f>
        <v>0</v>
      </c>
      <c r="BK1702">
        <f>IF($A1702="","",IF(BH1702=1,$C1702,MAX($C1702,BK1701)))</f>
        <v>0</v>
      </c>
      <c r="BL1702">
        <f>IF($A1702="","",IF(BH1702=1,$D1702,MIN($D1702,BL1701)))</f>
        <v>0</v>
      </c>
      <c r="BM1702">
        <f>IF($A1702="","",IF(BI1702=1,F1702,""))</f>
        <v>0</v>
      </c>
      <c r="BN1702">
        <f>IF($A1702="","",DATE(YEAR($A1702),MONTH($A1702),1))</f>
        <v>0</v>
      </c>
      <c r="BO1702">
        <f>IF($A1702="","",IF($A1701="",1,IF(BN1702&lt;&gt;BN1701,1,0)))</f>
        <v>0</v>
      </c>
      <c r="BP1702">
        <f>IF($A1702="","",IF($A1703="",1,IF(BN1703&lt;&gt;BN1702,1,0)))</f>
        <v>0</v>
      </c>
      <c r="BQ1702">
        <f>IF($A1702="","",IF(BO1702=1,$B1702,BQ1701))</f>
        <v>0</v>
      </c>
      <c r="BR1702">
        <f>IF($A1702="","",IF(BO1702=1,$C1702,MAX($C1702,BR1701)))</f>
        <v>0</v>
      </c>
      <c r="BS1702">
        <f>IF($A1702="","",IF(BO1702=1,$D1702,MIN($D1702,BS1701)))</f>
        <v>0</v>
      </c>
      <c r="BT1702">
        <f>IF($A1702="","",IF(BP1702=1,F1702,""))</f>
        <v>0</v>
      </c>
    </row>
    <row r="1703" spans="1:72">
      <c r="A1703" s="27">
        <f>IF(Data!$A1703="","",Data!$A1703)</f>
        <v>0</v>
      </c>
      <c r="B1703">
        <f>IF(Data!$B1703="","",Data!$B1703)</f>
        <v>0</v>
      </c>
      <c r="C1703">
        <f>IF(Data!$C1703="","",Data!$C1703)</f>
        <v>0</v>
      </c>
      <c r="D1703">
        <f>IF(Data!$D1703="","",Data!$D1703)</f>
        <v>0</v>
      </c>
      <c r="E1703">
        <f>IF(Data!$E1703="","",Data!$E1703)</f>
        <v>0</v>
      </c>
      <c r="F1703">
        <f>IF($E1703="","",N(F1702)+1)</f>
        <v>0</v>
      </c>
      <c r="G1703">
        <f>IF(OR($E1703="",$E1702=""),"",LN($E1703/$E1702))</f>
        <v>0</v>
      </c>
      <c r="H1703">
        <f>IF($E1703="","",IF($E1702="",$E1703,$E1703*0.0952380952+H1702*0.9047619048))</f>
        <v>0</v>
      </c>
      <c r="I1703">
        <f>IF($E1703="","",IF($E1702="",$E1703,$E1703*0.0392156863+I1702*0.9607843137))</f>
        <v>0</v>
      </c>
      <c r="J1703">
        <f>IF($E1703="","",IF($E1702="",$E1703,$E1703*0.0198019802+J1702*0.9801980198))</f>
        <v>0</v>
      </c>
      <c r="K1703">
        <f>IF($E1703="","",IF($E1702="",$E1703,$E1703*0.0099502488+K1702*0.9900497512))</f>
        <v>0</v>
      </c>
      <c r="L1703">
        <f>IF(OR($E1703="",$E1702=""),"",MAX($E1703-$E1702,0))</f>
        <v>0</v>
      </c>
      <c r="M1703">
        <f>IF(OR($E1703="",$E1702=""),"",MAX($E1702-$E1703,0))</f>
        <v>0</v>
      </c>
      <c r="N1703">
        <f>IF(COUNT($E$2:$E1703)&lt;15,"",IF(AVERAGE($M$1690:$M$1703)=0,100,100-100/(1+AVERAGE($L$1690:$L$1703)/AVERAGE($M$1690:$M$1703))))</f>
        <v>0</v>
      </c>
      <c r="O1703">
        <f>IF($E1703="","",IF($E1702="",$E1703,$E1703*0.1538461538+O1702*0.8461538462))</f>
        <v>0</v>
      </c>
      <c r="P1703">
        <f>IF($E1703="","",IF($E1702="",$E1703,$E1703*0.0740740741+P1702*0.9259259259))</f>
        <v>0</v>
      </c>
      <c r="Q1703">
        <f>IF(OR(O1703="",P1703=""),"",O1703-P1703)</f>
        <v>0</v>
      </c>
      <c r="R1703">
        <f>IF(Q1703="","",IF(R1702="",Q1703,Q1703*0.2000000000+R1702*0.8000000000))</f>
        <v>0</v>
      </c>
      <c r="S1703">
        <f>IF(OR(Q1703="",R1703=""),"",Q1703-R1703)</f>
        <v>0</v>
      </c>
      <c r="T1703">
        <f>IF(COUNT($E$2:$E1703)&lt;14,"",MAX($C$1690:$C$1703))</f>
        <v>0</v>
      </c>
      <c r="U1703">
        <f>IF(COUNT($E$2:$E1703)&lt;14,"",MIN($D$1690:$D$1703))</f>
        <v>0</v>
      </c>
      <c r="V1703">
        <f>IF(OR(T1703="",U1703="",T1703=U1703),"",100*($E1703-U1703)/(T1703-U1703))</f>
        <v>0</v>
      </c>
      <c r="W1703">
        <f>IF(COUNT($V$1701:$V$1703)&lt;3,"",AVERAGE($V$1701:$V$1703))</f>
        <v>0</v>
      </c>
      <c r="X1703">
        <f>IF(COUNT($N$1690:$N$1703)&lt;14,"",MIN($N$1690:$N$1703))</f>
        <v>0</v>
      </c>
      <c r="Y1703">
        <f>IF(COUNT($N$1690:$N$1703)&lt;14,"",MAX($N$1690:$N$1703))</f>
        <v>0</v>
      </c>
      <c r="Z1703">
        <f>IF(OR(N1703="",X1703="",Y1703="",Y1703=X1703),"",100*(N1703-X1703)/(Y1703-X1703))</f>
        <v>0</v>
      </c>
      <c r="AA1703">
        <f>IF(COUNT($Z$1701:$Z$1703)&lt;3,"",AVERAGE($Z$1701:$Z$1703))</f>
        <v>0</v>
      </c>
      <c r="AB1703">
        <f>IF(COUNT($AA$1701:$AA$1703)&lt;3,"",AVERAGE($AA$1701:$AA$1703))</f>
        <v>0</v>
      </c>
      <c r="AC1703">
        <f>IF($E1703="","",MAX($C1703-$D1703,ABS($C1703-$E1702),ABS($D1703-$E1702)))</f>
        <v>0</v>
      </c>
      <c r="AD1703">
        <f>IF(COUNT($E$2:$E1703)&lt;15,"",AVERAGE($AC$1690:$AC$1703))</f>
        <v>0</v>
      </c>
      <c r="AE1703">
        <f>IF(OR($E1703="",$E1702=""),"",IF(AND(($C1703-$C1702)&gt;($D1702-$D1703),($C1703-$C1702)&gt;0),$C1703-$C1702,0))</f>
        <v>0</v>
      </c>
      <c r="AF1703">
        <f>IF(OR($E1703="",$E1702=""),"",IF(AND(($D1702-$D1703)&gt;($C1703-$C1702),($D1702-$D1703)&gt;0),$D1702-$D1703,0))</f>
        <v>0</v>
      </c>
      <c r="AG1703">
        <f>IF(COUNT($E$2:$E1703)&lt;15,"",IF(SUM($AC$1690:$AC$1703)=0,0,100*SUM($AE$1690:$AE$1703)/SUM($AC$1690:$AC$1703)))</f>
        <v>0</v>
      </c>
      <c r="AH1703">
        <f>IF(COUNT($E$2:$E1703)&lt;15,"",IF(SUM($AC$1690:$AC$1703)=0,0,100*SUM($AF$1690:$AF$1703)/SUM($AC$1690:$AC$1703)))</f>
        <v>0</v>
      </c>
      <c r="AI1703">
        <f>IF(OR(AG1703="",AH1703=""),"",IF((AG1703+AH1703)=0,0,100*ABS(AG1703-AH1703)/(AG1703+AH1703)))</f>
        <v>0</v>
      </c>
      <c r="AJ1703">
        <f>IF(COUNT($AI$1690:$AI$1703)&lt;14,"",AVERAGE($AI$1690:$AI$1703))</f>
        <v>0</v>
      </c>
      <c r="AK1703">
        <f>IF(COUNT($E$2:$E1703)&lt;20,"",AVERAGE($E$1684:$E$1703))</f>
        <v>0</v>
      </c>
      <c r="AL1703">
        <f>IF(COUNT($E$2:$E1703)&lt;20,"",STDEVP($E$1684:$E$1703))</f>
        <v>0</v>
      </c>
      <c r="AM1703">
        <f>IF(AK1703="","",AK1703+2*AL1703)</f>
        <v>0</v>
      </c>
      <c r="AN1703">
        <f>IF(AK1703="","",AK1703-2*AL1703)</f>
        <v>0</v>
      </c>
      <c r="AO1703">
        <f>IF(OR(AM1703="",AN1703="",AM1703=AN1703),"",($E1703-AN1703)/(AM1703-AN1703))</f>
        <v>0</v>
      </c>
      <c r="AP1703">
        <f>IF(OR(AM1703="",AK1703="",AK1703=0),"",(AM1703-AN1703)/AK1703)</f>
        <v>0</v>
      </c>
      <c r="AQ1703">
        <f>IF(COUNT($E$2:$E1703)&lt;20,"",MAX($C$1684:$C$1703))</f>
        <v>0</v>
      </c>
      <c r="AR1703">
        <f>IF(COUNT($E$2:$E1703)&lt;20,"",MIN($D$1684:$D$1703))</f>
        <v>0</v>
      </c>
      <c r="AS1703">
        <f>IF(OR(AQ1703="",AR1703=""),"",(AQ1703+AR1703)/2)</f>
        <v>0</v>
      </c>
      <c r="AT1703">
        <f>IF(COUNT($G$1684:$G$1703)&lt;20,"",STDEV($G$1684:$G$1703)*SQRT(252))</f>
        <v>0</v>
      </c>
      <c r="AU1703">
        <f>IF(COUNT($E$2:$E1703)&lt;9,"",(MAX($C$1695:$C$1703)+MIN($D$1695:$D$1703))/2)</f>
        <v>0</v>
      </c>
      <c r="AV1703">
        <f>IF(COUNT($E$2:$E1703)&lt;26,"",(MAX($C$1678:$C$1703)+MIN($D$1678:$D$1703))/2)</f>
        <v>0</v>
      </c>
      <c r="AW1703">
        <f>IF(OR(AU1703="",AV1703=""),"",(AU1703+AV1703)/2)</f>
        <v>0</v>
      </c>
      <c r="AX1703">
        <f>IF(COUNT($E$2:$E1703)&lt;52,"",(MAX($C$1652:$C$1703)+MIN($D$1652:$D$1703))/2)</f>
        <v>0</v>
      </c>
      <c r="AY1703">
        <f>IF(COUNT($E$2:$E1703)&lt;20,"",MAX($C$1604:$C$1703))</f>
        <v>0</v>
      </c>
      <c r="AZ1703">
        <f>IF(COUNT($E$2:$E1703)&lt;20,"",MIN($D$1604:$D$1703))</f>
        <v>0</v>
      </c>
      <c r="BA1703">
        <f>IF(COUNT($E$2:$E1703)&lt;20,"",SLOPE($E$1604:$E$1703,$F$1604:$F$1703))</f>
        <v>0</v>
      </c>
      <c r="BB1703">
        <f>IF(COUNT($E$2:$E1703)&lt;20,"",INTERCEPT($E$1604:$E$1703,$F$1604:$F$1703))</f>
        <v>0</v>
      </c>
      <c r="BC1703">
        <f>IF(OR(BA1703="",BB1703=""),"",BB1703+BA1703*F1703)</f>
        <v>0</v>
      </c>
      <c r="BD1703">
        <f>IF(COUNT($E$2:$E1703)&lt;20,"",STEYX($E$1604:$E$1703,$F$1604:$F$1703))</f>
        <v>0</v>
      </c>
      <c r="BE1703">
        <f>IF($E1703="","",IF(AND(COUNT($E$1704:$E$1707)&gt;=4,$C1703=MAX($C$1699:$C$1707)),$C1703,""))</f>
        <v>0</v>
      </c>
      <c r="BF1703">
        <f>IF($E1703="","",IF(AND(COUNT($E$1704:$E$1707)&gt;=4,$D1703=MIN($D$1699:$D$1707)),$D1703,""))</f>
        <v>0</v>
      </c>
      <c r="BG1703">
        <f>IF($A1703="","",$A1703-WEEKDAY($A1703,2)+1)</f>
        <v>0</v>
      </c>
      <c r="BH1703">
        <f>IF($A1703="","",IF($A1702="",1,IF(BG1703&lt;&gt;BG1702,1,0)))</f>
        <v>0</v>
      </c>
      <c r="BI1703">
        <f>IF($A1703="","",IF($A1704="",1,IF(BG1704&lt;&gt;BG1703,1,0)))</f>
        <v>0</v>
      </c>
      <c r="BJ1703">
        <f>IF($A1703="","",IF(BH1703=1,$B1703,BJ1702))</f>
        <v>0</v>
      </c>
      <c r="BK1703">
        <f>IF($A1703="","",IF(BH1703=1,$C1703,MAX($C1703,BK1702)))</f>
        <v>0</v>
      </c>
      <c r="BL1703">
        <f>IF($A1703="","",IF(BH1703=1,$D1703,MIN($D1703,BL1702)))</f>
        <v>0</v>
      </c>
      <c r="BM1703">
        <f>IF($A1703="","",IF(BI1703=1,F1703,""))</f>
        <v>0</v>
      </c>
      <c r="BN1703">
        <f>IF($A1703="","",DATE(YEAR($A1703),MONTH($A1703),1))</f>
        <v>0</v>
      </c>
      <c r="BO1703">
        <f>IF($A1703="","",IF($A1702="",1,IF(BN1703&lt;&gt;BN1702,1,0)))</f>
        <v>0</v>
      </c>
      <c r="BP1703">
        <f>IF($A1703="","",IF($A1704="",1,IF(BN1704&lt;&gt;BN1703,1,0)))</f>
        <v>0</v>
      </c>
      <c r="BQ1703">
        <f>IF($A1703="","",IF(BO1703=1,$B1703,BQ1702))</f>
        <v>0</v>
      </c>
      <c r="BR1703">
        <f>IF($A1703="","",IF(BO1703=1,$C1703,MAX($C1703,BR1702)))</f>
        <v>0</v>
      </c>
      <c r="BS1703">
        <f>IF($A1703="","",IF(BO1703=1,$D1703,MIN($D1703,BS1702)))</f>
        <v>0</v>
      </c>
      <c r="BT1703">
        <f>IF($A1703="","",IF(BP1703=1,F1703,""))</f>
        <v>0</v>
      </c>
    </row>
    <row r="1704" spans="1:72">
      <c r="A1704" s="27">
        <f>IF(Data!$A1704="","",Data!$A1704)</f>
        <v>0</v>
      </c>
      <c r="B1704">
        <f>IF(Data!$B1704="","",Data!$B1704)</f>
        <v>0</v>
      </c>
      <c r="C1704">
        <f>IF(Data!$C1704="","",Data!$C1704)</f>
        <v>0</v>
      </c>
      <c r="D1704">
        <f>IF(Data!$D1704="","",Data!$D1704)</f>
        <v>0</v>
      </c>
      <c r="E1704">
        <f>IF(Data!$E1704="","",Data!$E1704)</f>
        <v>0</v>
      </c>
      <c r="F1704">
        <f>IF($E1704="","",N(F1703)+1)</f>
        <v>0</v>
      </c>
      <c r="G1704">
        <f>IF(OR($E1704="",$E1703=""),"",LN($E1704/$E1703))</f>
        <v>0</v>
      </c>
      <c r="H1704">
        <f>IF($E1704="","",IF($E1703="",$E1704,$E1704*0.0952380952+H1703*0.9047619048))</f>
        <v>0</v>
      </c>
      <c r="I1704">
        <f>IF($E1704="","",IF($E1703="",$E1704,$E1704*0.0392156863+I1703*0.9607843137))</f>
        <v>0</v>
      </c>
      <c r="J1704">
        <f>IF($E1704="","",IF($E1703="",$E1704,$E1704*0.0198019802+J1703*0.9801980198))</f>
        <v>0</v>
      </c>
      <c r="K1704">
        <f>IF($E1704="","",IF($E1703="",$E1704,$E1704*0.0099502488+K1703*0.9900497512))</f>
        <v>0</v>
      </c>
      <c r="L1704">
        <f>IF(OR($E1704="",$E1703=""),"",MAX($E1704-$E1703,0))</f>
        <v>0</v>
      </c>
      <c r="M1704">
        <f>IF(OR($E1704="",$E1703=""),"",MAX($E1703-$E1704,0))</f>
        <v>0</v>
      </c>
      <c r="N1704">
        <f>IF(COUNT($E$2:$E1704)&lt;15,"",IF(AVERAGE($M$1691:$M$1704)=0,100,100-100/(1+AVERAGE($L$1691:$L$1704)/AVERAGE($M$1691:$M$1704))))</f>
        <v>0</v>
      </c>
      <c r="O1704">
        <f>IF($E1704="","",IF($E1703="",$E1704,$E1704*0.1538461538+O1703*0.8461538462))</f>
        <v>0</v>
      </c>
      <c r="P1704">
        <f>IF($E1704="","",IF($E1703="",$E1704,$E1704*0.0740740741+P1703*0.9259259259))</f>
        <v>0</v>
      </c>
      <c r="Q1704">
        <f>IF(OR(O1704="",P1704=""),"",O1704-P1704)</f>
        <v>0</v>
      </c>
      <c r="R1704">
        <f>IF(Q1704="","",IF(R1703="",Q1704,Q1704*0.2000000000+R1703*0.8000000000))</f>
        <v>0</v>
      </c>
      <c r="S1704">
        <f>IF(OR(Q1704="",R1704=""),"",Q1704-R1704)</f>
        <v>0</v>
      </c>
      <c r="T1704">
        <f>IF(COUNT($E$2:$E1704)&lt;14,"",MAX($C$1691:$C$1704))</f>
        <v>0</v>
      </c>
      <c r="U1704">
        <f>IF(COUNT($E$2:$E1704)&lt;14,"",MIN($D$1691:$D$1704))</f>
        <v>0</v>
      </c>
      <c r="V1704">
        <f>IF(OR(T1704="",U1704="",T1704=U1704),"",100*($E1704-U1704)/(T1704-U1704))</f>
        <v>0</v>
      </c>
      <c r="W1704">
        <f>IF(COUNT($V$1702:$V$1704)&lt;3,"",AVERAGE($V$1702:$V$1704))</f>
        <v>0</v>
      </c>
      <c r="X1704">
        <f>IF(COUNT($N$1691:$N$1704)&lt;14,"",MIN($N$1691:$N$1704))</f>
        <v>0</v>
      </c>
      <c r="Y1704">
        <f>IF(COUNT($N$1691:$N$1704)&lt;14,"",MAX($N$1691:$N$1704))</f>
        <v>0</v>
      </c>
      <c r="Z1704">
        <f>IF(OR(N1704="",X1704="",Y1704="",Y1704=X1704),"",100*(N1704-X1704)/(Y1704-X1704))</f>
        <v>0</v>
      </c>
      <c r="AA1704">
        <f>IF(COUNT($Z$1702:$Z$1704)&lt;3,"",AVERAGE($Z$1702:$Z$1704))</f>
        <v>0</v>
      </c>
      <c r="AB1704">
        <f>IF(COUNT($AA$1702:$AA$1704)&lt;3,"",AVERAGE($AA$1702:$AA$1704))</f>
        <v>0</v>
      </c>
      <c r="AC1704">
        <f>IF($E1704="","",MAX($C1704-$D1704,ABS($C1704-$E1703),ABS($D1704-$E1703)))</f>
        <v>0</v>
      </c>
      <c r="AD1704">
        <f>IF(COUNT($E$2:$E1704)&lt;15,"",AVERAGE($AC$1691:$AC$1704))</f>
        <v>0</v>
      </c>
      <c r="AE1704">
        <f>IF(OR($E1704="",$E1703=""),"",IF(AND(($C1704-$C1703)&gt;($D1703-$D1704),($C1704-$C1703)&gt;0),$C1704-$C1703,0))</f>
        <v>0</v>
      </c>
      <c r="AF1704">
        <f>IF(OR($E1704="",$E1703=""),"",IF(AND(($D1703-$D1704)&gt;($C1704-$C1703),($D1703-$D1704)&gt;0),$D1703-$D1704,0))</f>
        <v>0</v>
      </c>
      <c r="AG1704">
        <f>IF(COUNT($E$2:$E1704)&lt;15,"",IF(SUM($AC$1691:$AC$1704)=0,0,100*SUM($AE$1691:$AE$1704)/SUM($AC$1691:$AC$1704)))</f>
        <v>0</v>
      </c>
      <c r="AH1704">
        <f>IF(COUNT($E$2:$E1704)&lt;15,"",IF(SUM($AC$1691:$AC$1704)=0,0,100*SUM($AF$1691:$AF$1704)/SUM($AC$1691:$AC$1704)))</f>
        <v>0</v>
      </c>
      <c r="AI1704">
        <f>IF(OR(AG1704="",AH1704=""),"",IF((AG1704+AH1704)=0,0,100*ABS(AG1704-AH1704)/(AG1704+AH1704)))</f>
        <v>0</v>
      </c>
      <c r="AJ1704">
        <f>IF(COUNT($AI$1691:$AI$1704)&lt;14,"",AVERAGE($AI$1691:$AI$1704))</f>
        <v>0</v>
      </c>
      <c r="AK1704">
        <f>IF(COUNT($E$2:$E1704)&lt;20,"",AVERAGE($E$1685:$E$1704))</f>
        <v>0</v>
      </c>
      <c r="AL1704">
        <f>IF(COUNT($E$2:$E1704)&lt;20,"",STDEVP($E$1685:$E$1704))</f>
        <v>0</v>
      </c>
      <c r="AM1704">
        <f>IF(AK1704="","",AK1704+2*AL1704)</f>
        <v>0</v>
      </c>
      <c r="AN1704">
        <f>IF(AK1704="","",AK1704-2*AL1704)</f>
        <v>0</v>
      </c>
      <c r="AO1704">
        <f>IF(OR(AM1704="",AN1704="",AM1704=AN1704),"",($E1704-AN1704)/(AM1704-AN1704))</f>
        <v>0</v>
      </c>
      <c r="AP1704">
        <f>IF(OR(AM1704="",AK1704="",AK1704=0),"",(AM1704-AN1704)/AK1704)</f>
        <v>0</v>
      </c>
      <c r="AQ1704">
        <f>IF(COUNT($E$2:$E1704)&lt;20,"",MAX($C$1685:$C$1704))</f>
        <v>0</v>
      </c>
      <c r="AR1704">
        <f>IF(COUNT($E$2:$E1704)&lt;20,"",MIN($D$1685:$D$1704))</f>
        <v>0</v>
      </c>
      <c r="AS1704">
        <f>IF(OR(AQ1704="",AR1704=""),"",(AQ1704+AR1704)/2)</f>
        <v>0</v>
      </c>
      <c r="AT1704">
        <f>IF(COUNT($G$1685:$G$1704)&lt;20,"",STDEV($G$1685:$G$1704)*SQRT(252))</f>
        <v>0</v>
      </c>
      <c r="AU1704">
        <f>IF(COUNT($E$2:$E1704)&lt;9,"",(MAX($C$1696:$C$1704)+MIN($D$1696:$D$1704))/2)</f>
        <v>0</v>
      </c>
      <c r="AV1704">
        <f>IF(COUNT($E$2:$E1704)&lt;26,"",(MAX($C$1679:$C$1704)+MIN($D$1679:$D$1704))/2)</f>
        <v>0</v>
      </c>
      <c r="AW1704">
        <f>IF(OR(AU1704="",AV1704=""),"",(AU1704+AV1704)/2)</f>
        <v>0</v>
      </c>
      <c r="AX1704">
        <f>IF(COUNT($E$2:$E1704)&lt;52,"",(MAX($C$1653:$C$1704)+MIN($D$1653:$D$1704))/2)</f>
        <v>0</v>
      </c>
      <c r="AY1704">
        <f>IF(COUNT($E$2:$E1704)&lt;20,"",MAX($C$1605:$C$1704))</f>
        <v>0</v>
      </c>
      <c r="AZ1704">
        <f>IF(COUNT($E$2:$E1704)&lt;20,"",MIN($D$1605:$D$1704))</f>
        <v>0</v>
      </c>
      <c r="BA1704">
        <f>IF(COUNT($E$2:$E1704)&lt;20,"",SLOPE($E$1605:$E$1704,$F$1605:$F$1704))</f>
        <v>0</v>
      </c>
      <c r="BB1704">
        <f>IF(COUNT($E$2:$E1704)&lt;20,"",INTERCEPT($E$1605:$E$1704,$F$1605:$F$1704))</f>
        <v>0</v>
      </c>
      <c r="BC1704">
        <f>IF(OR(BA1704="",BB1704=""),"",BB1704+BA1704*F1704)</f>
        <v>0</v>
      </c>
      <c r="BD1704">
        <f>IF(COUNT($E$2:$E1704)&lt;20,"",STEYX($E$1605:$E$1704,$F$1605:$F$1704))</f>
        <v>0</v>
      </c>
      <c r="BE1704">
        <f>IF($E1704="","",IF(AND(COUNT($E$1705:$E$1708)&gt;=4,$C1704=MAX($C$1700:$C$1708)),$C1704,""))</f>
        <v>0</v>
      </c>
      <c r="BF1704">
        <f>IF($E1704="","",IF(AND(COUNT($E$1705:$E$1708)&gt;=4,$D1704=MIN($D$1700:$D$1708)),$D1704,""))</f>
        <v>0</v>
      </c>
      <c r="BG1704">
        <f>IF($A1704="","",$A1704-WEEKDAY($A1704,2)+1)</f>
        <v>0</v>
      </c>
      <c r="BH1704">
        <f>IF($A1704="","",IF($A1703="",1,IF(BG1704&lt;&gt;BG1703,1,0)))</f>
        <v>0</v>
      </c>
      <c r="BI1704">
        <f>IF($A1704="","",IF($A1705="",1,IF(BG1705&lt;&gt;BG1704,1,0)))</f>
        <v>0</v>
      </c>
      <c r="BJ1704">
        <f>IF($A1704="","",IF(BH1704=1,$B1704,BJ1703))</f>
        <v>0</v>
      </c>
      <c r="BK1704">
        <f>IF($A1704="","",IF(BH1704=1,$C1704,MAX($C1704,BK1703)))</f>
        <v>0</v>
      </c>
      <c r="BL1704">
        <f>IF($A1704="","",IF(BH1704=1,$D1704,MIN($D1704,BL1703)))</f>
        <v>0</v>
      </c>
      <c r="BM1704">
        <f>IF($A1704="","",IF(BI1704=1,F1704,""))</f>
        <v>0</v>
      </c>
      <c r="BN1704">
        <f>IF($A1704="","",DATE(YEAR($A1704),MONTH($A1704),1))</f>
        <v>0</v>
      </c>
      <c r="BO1704">
        <f>IF($A1704="","",IF($A1703="",1,IF(BN1704&lt;&gt;BN1703,1,0)))</f>
        <v>0</v>
      </c>
      <c r="BP1704">
        <f>IF($A1704="","",IF($A1705="",1,IF(BN1705&lt;&gt;BN1704,1,0)))</f>
        <v>0</v>
      </c>
      <c r="BQ1704">
        <f>IF($A1704="","",IF(BO1704=1,$B1704,BQ1703))</f>
        <v>0</v>
      </c>
      <c r="BR1704">
        <f>IF($A1704="","",IF(BO1704=1,$C1704,MAX($C1704,BR1703)))</f>
        <v>0</v>
      </c>
      <c r="BS1704">
        <f>IF($A1704="","",IF(BO1704=1,$D1704,MIN($D1704,BS1703)))</f>
        <v>0</v>
      </c>
      <c r="BT1704">
        <f>IF($A1704="","",IF(BP1704=1,F1704,""))</f>
        <v>0</v>
      </c>
    </row>
    <row r="1705" spans="1:72">
      <c r="A1705" s="27">
        <f>IF(Data!$A1705="","",Data!$A1705)</f>
        <v>0</v>
      </c>
      <c r="B1705">
        <f>IF(Data!$B1705="","",Data!$B1705)</f>
        <v>0</v>
      </c>
      <c r="C1705">
        <f>IF(Data!$C1705="","",Data!$C1705)</f>
        <v>0</v>
      </c>
      <c r="D1705">
        <f>IF(Data!$D1705="","",Data!$D1705)</f>
        <v>0</v>
      </c>
      <c r="E1705">
        <f>IF(Data!$E1705="","",Data!$E1705)</f>
        <v>0</v>
      </c>
      <c r="F1705">
        <f>IF($E1705="","",N(F1704)+1)</f>
        <v>0</v>
      </c>
      <c r="G1705">
        <f>IF(OR($E1705="",$E1704=""),"",LN($E1705/$E1704))</f>
        <v>0</v>
      </c>
      <c r="H1705">
        <f>IF($E1705="","",IF($E1704="",$E1705,$E1705*0.0952380952+H1704*0.9047619048))</f>
        <v>0</v>
      </c>
      <c r="I1705">
        <f>IF($E1705="","",IF($E1704="",$E1705,$E1705*0.0392156863+I1704*0.9607843137))</f>
        <v>0</v>
      </c>
      <c r="J1705">
        <f>IF($E1705="","",IF($E1704="",$E1705,$E1705*0.0198019802+J1704*0.9801980198))</f>
        <v>0</v>
      </c>
      <c r="K1705">
        <f>IF($E1705="","",IF($E1704="",$E1705,$E1705*0.0099502488+K1704*0.9900497512))</f>
        <v>0</v>
      </c>
      <c r="L1705">
        <f>IF(OR($E1705="",$E1704=""),"",MAX($E1705-$E1704,0))</f>
        <v>0</v>
      </c>
      <c r="M1705">
        <f>IF(OR($E1705="",$E1704=""),"",MAX($E1704-$E1705,0))</f>
        <v>0</v>
      </c>
      <c r="N1705">
        <f>IF(COUNT($E$2:$E1705)&lt;15,"",IF(AVERAGE($M$1692:$M$1705)=0,100,100-100/(1+AVERAGE($L$1692:$L$1705)/AVERAGE($M$1692:$M$1705))))</f>
        <v>0</v>
      </c>
      <c r="O1705">
        <f>IF($E1705="","",IF($E1704="",$E1705,$E1705*0.1538461538+O1704*0.8461538462))</f>
        <v>0</v>
      </c>
      <c r="P1705">
        <f>IF($E1705="","",IF($E1704="",$E1705,$E1705*0.0740740741+P1704*0.9259259259))</f>
        <v>0</v>
      </c>
      <c r="Q1705">
        <f>IF(OR(O1705="",P1705=""),"",O1705-P1705)</f>
        <v>0</v>
      </c>
      <c r="R1705">
        <f>IF(Q1705="","",IF(R1704="",Q1705,Q1705*0.2000000000+R1704*0.8000000000))</f>
        <v>0</v>
      </c>
      <c r="S1705">
        <f>IF(OR(Q1705="",R1705=""),"",Q1705-R1705)</f>
        <v>0</v>
      </c>
      <c r="T1705">
        <f>IF(COUNT($E$2:$E1705)&lt;14,"",MAX($C$1692:$C$1705))</f>
        <v>0</v>
      </c>
      <c r="U1705">
        <f>IF(COUNT($E$2:$E1705)&lt;14,"",MIN($D$1692:$D$1705))</f>
        <v>0</v>
      </c>
      <c r="V1705">
        <f>IF(OR(T1705="",U1705="",T1705=U1705),"",100*($E1705-U1705)/(T1705-U1705))</f>
        <v>0</v>
      </c>
      <c r="W1705">
        <f>IF(COUNT($V$1703:$V$1705)&lt;3,"",AVERAGE($V$1703:$V$1705))</f>
        <v>0</v>
      </c>
      <c r="X1705">
        <f>IF(COUNT($N$1692:$N$1705)&lt;14,"",MIN($N$1692:$N$1705))</f>
        <v>0</v>
      </c>
      <c r="Y1705">
        <f>IF(COUNT($N$1692:$N$1705)&lt;14,"",MAX($N$1692:$N$1705))</f>
        <v>0</v>
      </c>
      <c r="Z1705">
        <f>IF(OR(N1705="",X1705="",Y1705="",Y1705=X1705),"",100*(N1705-X1705)/(Y1705-X1705))</f>
        <v>0</v>
      </c>
      <c r="AA1705">
        <f>IF(COUNT($Z$1703:$Z$1705)&lt;3,"",AVERAGE($Z$1703:$Z$1705))</f>
        <v>0</v>
      </c>
      <c r="AB1705">
        <f>IF(COUNT($AA$1703:$AA$1705)&lt;3,"",AVERAGE($AA$1703:$AA$1705))</f>
        <v>0</v>
      </c>
      <c r="AC1705">
        <f>IF($E1705="","",MAX($C1705-$D1705,ABS($C1705-$E1704),ABS($D1705-$E1704)))</f>
        <v>0</v>
      </c>
      <c r="AD1705">
        <f>IF(COUNT($E$2:$E1705)&lt;15,"",AVERAGE($AC$1692:$AC$1705))</f>
        <v>0</v>
      </c>
      <c r="AE1705">
        <f>IF(OR($E1705="",$E1704=""),"",IF(AND(($C1705-$C1704)&gt;($D1704-$D1705),($C1705-$C1704)&gt;0),$C1705-$C1704,0))</f>
        <v>0</v>
      </c>
      <c r="AF1705">
        <f>IF(OR($E1705="",$E1704=""),"",IF(AND(($D1704-$D1705)&gt;($C1705-$C1704),($D1704-$D1705)&gt;0),$D1704-$D1705,0))</f>
        <v>0</v>
      </c>
      <c r="AG1705">
        <f>IF(COUNT($E$2:$E1705)&lt;15,"",IF(SUM($AC$1692:$AC$1705)=0,0,100*SUM($AE$1692:$AE$1705)/SUM($AC$1692:$AC$1705)))</f>
        <v>0</v>
      </c>
      <c r="AH1705">
        <f>IF(COUNT($E$2:$E1705)&lt;15,"",IF(SUM($AC$1692:$AC$1705)=0,0,100*SUM($AF$1692:$AF$1705)/SUM($AC$1692:$AC$1705)))</f>
        <v>0</v>
      </c>
      <c r="AI1705">
        <f>IF(OR(AG1705="",AH1705=""),"",IF((AG1705+AH1705)=0,0,100*ABS(AG1705-AH1705)/(AG1705+AH1705)))</f>
        <v>0</v>
      </c>
      <c r="AJ1705">
        <f>IF(COUNT($AI$1692:$AI$1705)&lt;14,"",AVERAGE($AI$1692:$AI$1705))</f>
        <v>0</v>
      </c>
      <c r="AK1705">
        <f>IF(COUNT($E$2:$E1705)&lt;20,"",AVERAGE($E$1686:$E$1705))</f>
        <v>0</v>
      </c>
      <c r="AL1705">
        <f>IF(COUNT($E$2:$E1705)&lt;20,"",STDEVP($E$1686:$E$1705))</f>
        <v>0</v>
      </c>
      <c r="AM1705">
        <f>IF(AK1705="","",AK1705+2*AL1705)</f>
        <v>0</v>
      </c>
      <c r="AN1705">
        <f>IF(AK1705="","",AK1705-2*AL1705)</f>
        <v>0</v>
      </c>
      <c r="AO1705">
        <f>IF(OR(AM1705="",AN1705="",AM1705=AN1705),"",($E1705-AN1705)/(AM1705-AN1705))</f>
        <v>0</v>
      </c>
      <c r="AP1705">
        <f>IF(OR(AM1705="",AK1705="",AK1705=0),"",(AM1705-AN1705)/AK1705)</f>
        <v>0</v>
      </c>
      <c r="AQ1705">
        <f>IF(COUNT($E$2:$E1705)&lt;20,"",MAX($C$1686:$C$1705))</f>
        <v>0</v>
      </c>
      <c r="AR1705">
        <f>IF(COUNT($E$2:$E1705)&lt;20,"",MIN($D$1686:$D$1705))</f>
        <v>0</v>
      </c>
      <c r="AS1705">
        <f>IF(OR(AQ1705="",AR1705=""),"",(AQ1705+AR1705)/2)</f>
        <v>0</v>
      </c>
      <c r="AT1705">
        <f>IF(COUNT($G$1686:$G$1705)&lt;20,"",STDEV($G$1686:$G$1705)*SQRT(252))</f>
        <v>0</v>
      </c>
      <c r="AU1705">
        <f>IF(COUNT($E$2:$E1705)&lt;9,"",(MAX($C$1697:$C$1705)+MIN($D$1697:$D$1705))/2)</f>
        <v>0</v>
      </c>
      <c r="AV1705">
        <f>IF(COUNT($E$2:$E1705)&lt;26,"",(MAX($C$1680:$C$1705)+MIN($D$1680:$D$1705))/2)</f>
        <v>0</v>
      </c>
      <c r="AW1705">
        <f>IF(OR(AU1705="",AV1705=""),"",(AU1705+AV1705)/2)</f>
        <v>0</v>
      </c>
      <c r="AX1705">
        <f>IF(COUNT($E$2:$E1705)&lt;52,"",(MAX($C$1654:$C$1705)+MIN($D$1654:$D$1705))/2)</f>
        <v>0</v>
      </c>
      <c r="AY1705">
        <f>IF(COUNT($E$2:$E1705)&lt;20,"",MAX($C$1606:$C$1705))</f>
        <v>0</v>
      </c>
      <c r="AZ1705">
        <f>IF(COUNT($E$2:$E1705)&lt;20,"",MIN($D$1606:$D$1705))</f>
        <v>0</v>
      </c>
      <c r="BA1705">
        <f>IF(COUNT($E$2:$E1705)&lt;20,"",SLOPE($E$1606:$E$1705,$F$1606:$F$1705))</f>
        <v>0</v>
      </c>
      <c r="BB1705">
        <f>IF(COUNT($E$2:$E1705)&lt;20,"",INTERCEPT($E$1606:$E$1705,$F$1606:$F$1705))</f>
        <v>0</v>
      </c>
      <c r="BC1705">
        <f>IF(OR(BA1705="",BB1705=""),"",BB1705+BA1705*F1705)</f>
        <v>0</v>
      </c>
      <c r="BD1705">
        <f>IF(COUNT($E$2:$E1705)&lt;20,"",STEYX($E$1606:$E$1705,$F$1606:$F$1705))</f>
        <v>0</v>
      </c>
      <c r="BE1705">
        <f>IF($E1705="","",IF(AND(COUNT($E$1706:$E$1709)&gt;=4,$C1705=MAX($C$1701:$C$1709)),$C1705,""))</f>
        <v>0</v>
      </c>
      <c r="BF1705">
        <f>IF($E1705="","",IF(AND(COUNT($E$1706:$E$1709)&gt;=4,$D1705=MIN($D$1701:$D$1709)),$D1705,""))</f>
        <v>0</v>
      </c>
      <c r="BG1705">
        <f>IF($A1705="","",$A1705-WEEKDAY($A1705,2)+1)</f>
        <v>0</v>
      </c>
      <c r="BH1705">
        <f>IF($A1705="","",IF($A1704="",1,IF(BG1705&lt;&gt;BG1704,1,0)))</f>
        <v>0</v>
      </c>
      <c r="BI1705">
        <f>IF($A1705="","",IF($A1706="",1,IF(BG1706&lt;&gt;BG1705,1,0)))</f>
        <v>0</v>
      </c>
      <c r="BJ1705">
        <f>IF($A1705="","",IF(BH1705=1,$B1705,BJ1704))</f>
        <v>0</v>
      </c>
      <c r="BK1705">
        <f>IF($A1705="","",IF(BH1705=1,$C1705,MAX($C1705,BK1704)))</f>
        <v>0</v>
      </c>
      <c r="BL1705">
        <f>IF($A1705="","",IF(BH1705=1,$D1705,MIN($D1705,BL1704)))</f>
        <v>0</v>
      </c>
      <c r="BM1705">
        <f>IF($A1705="","",IF(BI1705=1,F1705,""))</f>
        <v>0</v>
      </c>
      <c r="BN1705">
        <f>IF($A1705="","",DATE(YEAR($A1705),MONTH($A1705),1))</f>
        <v>0</v>
      </c>
      <c r="BO1705">
        <f>IF($A1705="","",IF($A1704="",1,IF(BN1705&lt;&gt;BN1704,1,0)))</f>
        <v>0</v>
      </c>
      <c r="BP1705">
        <f>IF($A1705="","",IF($A1706="",1,IF(BN1706&lt;&gt;BN1705,1,0)))</f>
        <v>0</v>
      </c>
      <c r="BQ1705">
        <f>IF($A1705="","",IF(BO1705=1,$B1705,BQ1704))</f>
        <v>0</v>
      </c>
      <c r="BR1705">
        <f>IF($A1705="","",IF(BO1705=1,$C1705,MAX($C1705,BR1704)))</f>
        <v>0</v>
      </c>
      <c r="BS1705">
        <f>IF($A1705="","",IF(BO1705=1,$D1705,MIN($D1705,BS1704)))</f>
        <v>0</v>
      </c>
      <c r="BT1705">
        <f>IF($A1705="","",IF(BP1705=1,F1705,""))</f>
        <v>0</v>
      </c>
    </row>
    <row r="1706" spans="1:72">
      <c r="A1706" s="27">
        <f>IF(Data!$A1706="","",Data!$A1706)</f>
        <v>0</v>
      </c>
      <c r="B1706">
        <f>IF(Data!$B1706="","",Data!$B1706)</f>
        <v>0</v>
      </c>
      <c r="C1706">
        <f>IF(Data!$C1706="","",Data!$C1706)</f>
        <v>0</v>
      </c>
      <c r="D1706">
        <f>IF(Data!$D1706="","",Data!$D1706)</f>
        <v>0</v>
      </c>
      <c r="E1706">
        <f>IF(Data!$E1706="","",Data!$E1706)</f>
        <v>0</v>
      </c>
      <c r="F1706">
        <f>IF($E1706="","",N(F1705)+1)</f>
        <v>0</v>
      </c>
      <c r="G1706">
        <f>IF(OR($E1706="",$E1705=""),"",LN($E1706/$E1705))</f>
        <v>0</v>
      </c>
      <c r="H1706">
        <f>IF($E1706="","",IF($E1705="",$E1706,$E1706*0.0952380952+H1705*0.9047619048))</f>
        <v>0</v>
      </c>
      <c r="I1706">
        <f>IF($E1706="","",IF($E1705="",$E1706,$E1706*0.0392156863+I1705*0.9607843137))</f>
        <v>0</v>
      </c>
      <c r="J1706">
        <f>IF($E1706="","",IF($E1705="",$E1706,$E1706*0.0198019802+J1705*0.9801980198))</f>
        <v>0</v>
      </c>
      <c r="K1706">
        <f>IF($E1706="","",IF($E1705="",$E1706,$E1706*0.0099502488+K1705*0.9900497512))</f>
        <v>0</v>
      </c>
      <c r="L1706">
        <f>IF(OR($E1706="",$E1705=""),"",MAX($E1706-$E1705,0))</f>
        <v>0</v>
      </c>
      <c r="M1706">
        <f>IF(OR($E1706="",$E1705=""),"",MAX($E1705-$E1706,0))</f>
        <v>0</v>
      </c>
      <c r="N1706">
        <f>IF(COUNT($E$2:$E1706)&lt;15,"",IF(AVERAGE($M$1693:$M$1706)=0,100,100-100/(1+AVERAGE($L$1693:$L$1706)/AVERAGE($M$1693:$M$1706))))</f>
        <v>0</v>
      </c>
      <c r="O1706">
        <f>IF($E1706="","",IF($E1705="",$E1706,$E1706*0.1538461538+O1705*0.8461538462))</f>
        <v>0</v>
      </c>
      <c r="P1706">
        <f>IF($E1706="","",IF($E1705="",$E1706,$E1706*0.0740740741+P1705*0.9259259259))</f>
        <v>0</v>
      </c>
      <c r="Q1706">
        <f>IF(OR(O1706="",P1706=""),"",O1706-P1706)</f>
        <v>0</v>
      </c>
      <c r="R1706">
        <f>IF(Q1706="","",IF(R1705="",Q1706,Q1706*0.2000000000+R1705*0.8000000000))</f>
        <v>0</v>
      </c>
      <c r="S1706">
        <f>IF(OR(Q1706="",R1706=""),"",Q1706-R1706)</f>
        <v>0</v>
      </c>
      <c r="T1706">
        <f>IF(COUNT($E$2:$E1706)&lt;14,"",MAX($C$1693:$C$1706))</f>
        <v>0</v>
      </c>
      <c r="U1706">
        <f>IF(COUNT($E$2:$E1706)&lt;14,"",MIN($D$1693:$D$1706))</f>
        <v>0</v>
      </c>
      <c r="V1706">
        <f>IF(OR(T1706="",U1706="",T1706=U1706),"",100*($E1706-U1706)/(T1706-U1706))</f>
        <v>0</v>
      </c>
      <c r="W1706">
        <f>IF(COUNT($V$1704:$V$1706)&lt;3,"",AVERAGE($V$1704:$V$1706))</f>
        <v>0</v>
      </c>
      <c r="X1706">
        <f>IF(COUNT($N$1693:$N$1706)&lt;14,"",MIN($N$1693:$N$1706))</f>
        <v>0</v>
      </c>
      <c r="Y1706">
        <f>IF(COUNT($N$1693:$N$1706)&lt;14,"",MAX($N$1693:$N$1706))</f>
        <v>0</v>
      </c>
      <c r="Z1706">
        <f>IF(OR(N1706="",X1706="",Y1706="",Y1706=X1706),"",100*(N1706-X1706)/(Y1706-X1706))</f>
        <v>0</v>
      </c>
      <c r="AA1706">
        <f>IF(COUNT($Z$1704:$Z$1706)&lt;3,"",AVERAGE($Z$1704:$Z$1706))</f>
        <v>0</v>
      </c>
      <c r="AB1706">
        <f>IF(COUNT($AA$1704:$AA$1706)&lt;3,"",AVERAGE($AA$1704:$AA$1706))</f>
        <v>0</v>
      </c>
      <c r="AC1706">
        <f>IF($E1706="","",MAX($C1706-$D1706,ABS($C1706-$E1705),ABS($D1706-$E1705)))</f>
        <v>0</v>
      </c>
      <c r="AD1706">
        <f>IF(COUNT($E$2:$E1706)&lt;15,"",AVERAGE($AC$1693:$AC$1706))</f>
        <v>0</v>
      </c>
      <c r="AE1706">
        <f>IF(OR($E1706="",$E1705=""),"",IF(AND(($C1706-$C1705)&gt;($D1705-$D1706),($C1706-$C1705)&gt;0),$C1706-$C1705,0))</f>
        <v>0</v>
      </c>
      <c r="AF1706">
        <f>IF(OR($E1706="",$E1705=""),"",IF(AND(($D1705-$D1706)&gt;($C1706-$C1705),($D1705-$D1706)&gt;0),$D1705-$D1706,0))</f>
        <v>0</v>
      </c>
      <c r="AG1706">
        <f>IF(COUNT($E$2:$E1706)&lt;15,"",IF(SUM($AC$1693:$AC$1706)=0,0,100*SUM($AE$1693:$AE$1706)/SUM($AC$1693:$AC$1706)))</f>
        <v>0</v>
      </c>
      <c r="AH1706">
        <f>IF(COUNT($E$2:$E1706)&lt;15,"",IF(SUM($AC$1693:$AC$1706)=0,0,100*SUM($AF$1693:$AF$1706)/SUM($AC$1693:$AC$1706)))</f>
        <v>0</v>
      </c>
      <c r="AI1706">
        <f>IF(OR(AG1706="",AH1706=""),"",IF((AG1706+AH1706)=0,0,100*ABS(AG1706-AH1706)/(AG1706+AH1706)))</f>
        <v>0</v>
      </c>
      <c r="AJ1706">
        <f>IF(COUNT($AI$1693:$AI$1706)&lt;14,"",AVERAGE($AI$1693:$AI$1706))</f>
        <v>0</v>
      </c>
      <c r="AK1706">
        <f>IF(COUNT($E$2:$E1706)&lt;20,"",AVERAGE($E$1687:$E$1706))</f>
        <v>0</v>
      </c>
      <c r="AL1706">
        <f>IF(COUNT($E$2:$E1706)&lt;20,"",STDEVP($E$1687:$E$1706))</f>
        <v>0</v>
      </c>
      <c r="AM1706">
        <f>IF(AK1706="","",AK1706+2*AL1706)</f>
        <v>0</v>
      </c>
      <c r="AN1706">
        <f>IF(AK1706="","",AK1706-2*AL1706)</f>
        <v>0</v>
      </c>
      <c r="AO1706">
        <f>IF(OR(AM1706="",AN1706="",AM1706=AN1706),"",($E1706-AN1706)/(AM1706-AN1706))</f>
        <v>0</v>
      </c>
      <c r="AP1706">
        <f>IF(OR(AM1706="",AK1706="",AK1706=0),"",(AM1706-AN1706)/AK1706)</f>
        <v>0</v>
      </c>
      <c r="AQ1706">
        <f>IF(COUNT($E$2:$E1706)&lt;20,"",MAX($C$1687:$C$1706))</f>
        <v>0</v>
      </c>
      <c r="AR1706">
        <f>IF(COUNT($E$2:$E1706)&lt;20,"",MIN($D$1687:$D$1706))</f>
        <v>0</v>
      </c>
      <c r="AS1706">
        <f>IF(OR(AQ1706="",AR1706=""),"",(AQ1706+AR1706)/2)</f>
        <v>0</v>
      </c>
      <c r="AT1706">
        <f>IF(COUNT($G$1687:$G$1706)&lt;20,"",STDEV($G$1687:$G$1706)*SQRT(252))</f>
        <v>0</v>
      </c>
      <c r="AU1706">
        <f>IF(COUNT($E$2:$E1706)&lt;9,"",(MAX($C$1698:$C$1706)+MIN($D$1698:$D$1706))/2)</f>
        <v>0</v>
      </c>
      <c r="AV1706">
        <f>IF(COUNT($E$2:$E1706)&lt;26,"",(MAX($C$1681:$C$1706)+MIN($D$1681:$D$1706))/2)</f>
        <v>0</v>
      </c>
      <c r="AW1706">
        <f>IF(OR(AU1706="",AV1706=""),"",(AU1706+AV1706)/2)</f>
        <v>0</v>
      </c>
      <c r="AX1706">
        <f>IF(COUNT($E$2:$E1706)&lt;52,"",(MAX($C$1655:$C$1706)+MIN($D$1655:$D$1706))/2)</f>
        <v>0</v>
      </c>
      <c r="AY1706">
        <f>IF(COUNT($E$2:$E1706)&lt;20,"",MAX($C$1607:$C$1706))</f>
        <v>0</v>
      </c>
      <c r="AZ1706">
        <f>IF(COUNT($E$2:$E1706)&lt;20,"",MIN($D$1607:$D$1706))</f>
        <v>0</v>
      </c>
      <c r="BA1706">
        <f>IF(COUNT($E$2:$E1706)&lt;20,"",SLOPE($E$1607:$E$1706,$F$1607:$F$1706))</f>
        <v>0</v>
      </c>
      <c r="BB1706">
        <f>IF(COUNT($E$2:$E1706)&lt;20,"",INTERCEPT($E$1607:$E$1706,$F$1607:$F$1706))</f>
        <v>0</v>
      </c>
      <c r="BC1706">
        <f>IF(OR(BA1706="",BB1706=""),"",BB1706+BA1706*F1706)</f>
        <v>0</v>
      </c>
      <c r="BD1706">
        <f>IF(COUNT($E$2:$E1706)&lt;20,"",STEYX($E$1607:$E$1706,$F$1607:$F$1706))</f>
        <v>0</v>
      </c>
      <c r="BE1706">
        <f>IF($E1706="","",IF(AND(COUNT($E$1707:$E$1710)&gt;=4,$C1706=MAX($C$1702:$C$1710)),$C1706,""))</f>
        <v>0</v>
      </c>
      <c r="BF1706">
        <f>IF($E1706="","",IF(AND(COUNT($E$1707:$E$1710)&gt;=4,$D1706=MIN($D$1702:$D$1710)),$D1706,""))</f>
        <v>0</v>
      </c>
      <c r="BG1706">
        <f>IF($A1706="","",$A1706-WEEKDAY($A1706,2)+1)</f>
        <v>0</v>
      </c>
      <c r="BH1706">
        <f>IF($A1706="","",IF($A1705="",1,IF(BG1706&lt;&gt;BG1705,1,0)))</f>
        <v>0</v>
      </c>
      <c r="BI1706">
        <f>IF($A1706="","",IF($A1707="",1,IF(BG1707&lt;&gt;BG1706,1,0)))</f>
        <v>0</v>
      </c>
      <c r="BJ1706">
        <f>IF($A1706="","",IF(BH1706=1,$B1706,BJ1705))</f>
        <v>0</v>
      </c>
      <c r="BK1706">
        <f>IF($A1706="","",IF(BH1706=1,$C1706,MAX($C1706,BK1705)))</f>
        <v>0</v>
      </c>
      <c r="BL1706">
        <f>IF($A1706="","",IF(BH1706=1,$D1706,MIN($D1706,BL1705)))</f>
        <v>0</v>
      </c>
      <c r="BM1706">
        <f>IF($A1706="","",IF(BI1706=1,F1706,""))</f>
        <v>0</v>
      </c>
      <c r="BN1706">
        <f>IF($A1706="","",DATE(YEAR($A1706),MONTH($A1706),1))</f>
        <v>0</v>
      </c>
      <c r="BO1706">
        <f>IF($A1706="","",IF($A1705="",1,IF(BN1706&lt;&gt;BN1705,1,0)))</f>
        <v>0</v>
      </c>
      <c r="BP1706">
        <f>IF($A1706="","",IF($A1707="",1,IF(BN1707&lt;&gt;BN1706,1,0)))</f>
        <v>0</v>
      </c>
      <c r="BQ1706">
        <f>IF($A1706="","",IF(BO1706=1,$B1706,BQ1705))</f>
        <v>0</v>
      </c>
      <c r="BR1706">
        <f>IF($A1706="","",IF(BO1706=1,$C1706,MAX($C1706,BR1705)))</f>
        <v>0</v>
      </c>
      <c r="BS1706">
        <f>IF($A1706="","",IF(BO1706=1,$D1706,MIN($D1706,BS1705)))</f>
        <v>0</v>
      </c>
      <c r="BT1706">
        <f>IF($A1706="","",IF(BP1706=1,F1706,""))</f>
        <v>0</v>
      </c>
    </row>
    <row r="1707" spans="1:72">
      <c r="A1707" s="27">
        <f>IF(Data!$A1707="","",Data!$A1707)</f>
        <v>0</v>
      </c>
      <c r="B1707">
        <f>IF(Data!$B1707="","",Data!$B1707)</f>
        <v>0</v>
      </c>
      <c r="C1707">
        <f>IF(Data!$C1707="","",Data!$C1707)</f>
        <v>0</v>
      </c>
      <c r="D1707">
        <f>IF(Data!$D1707="","",Data!$D1707)</f>
        <v>0</v>
      </c>
      <c r="E1707">
        <f>IF(Data!$E1707="","",Data!$E1707)</f>
        <v>0</v>
      </c>
      <c r="F1707">
        <f>IF($E1707="","",N(F1706)+1)</f>
        <v>0</v>
      </c>
      <c r="G1707">
        <f>IF(OR($E1707="",$E1706=""),"",LN($E1707/$E1706))</f>
        <v>0</v>
      </c>
      <c r="H1707">
        <f>IF($E1707="","",IF($E1706="",$E1707,$E1707*0.0952380952+H1706*0.9047619048))</f>
        <v>0</v>
      </c>
      <c r="I1707">
        <f>IF($E1707="","",IF($E1706="",$E1707,$E1707*0.0392156863+I1706*0.9607843137))</f>
        <v>0</v>
      </c>
      <c r="J1707">
        <f>IF($E1707="","",IF($E1706="",$E1707,$E1707*0.0198019802+J1706*0.9801980198))</f>
        <v>0</v>
      </c>
      <c r="K1707">
        <f>IF($E1707="","",IF($E1706="",$E1707,$E1707*0.0099502488+K1706*0.9900497512))</f>
        <v>0</v>
      </c>
      <c r="L1707">
        <f>IF(OR($E1707="",$E1706=""),"",MAX($E1707-$E1706,0))</f>
        <v>0</v>
      </c>
      <c r="M1707">
        <f>IF(OR($E1707="",$E1706=""),"",MAX($E1706-$E1707,0))</f>
        <v>0</v>
      </c>
      <c r="N1707">
        <f>IF(COUNT($E$2:$E1707)&lt;15,"",IF(AVERAGE($M$1694:$M$1707)=0,100,100-100/(1+AVERAGE($L$1694:$L$1707)/AVERAGE($M$1694:$M$1707))))</f>
        <v>0</v>
      </c>
      <c r="O1707">
        <f>IF($E1707="","",IF($E1706="",$E1707,$E1707*0.1538461538+O1706*0.8461538462))</f>
        <v>0</v>
      </c>
      <c r="P1707">
        <f>IF($E1707="","",IF($E1706="",$E1707,$E1707*0.0740740741+P1706*0.9259259259))</f>
        <v>0</v>
      </c>
      <c r="Q1707">
        <f>IF(OR(O1707="",P1707=""),"",O1707-P1707)</f>
        <v>0</v>
      </c>
      <c r="R1707">
        <f>IF(Q1707="","",IF(R1706="",Q1707,Q1707*0.2000000000+R1706*0.8000000000))</f>
        <v>0</v>
      </c>
      <c r="S1707">
        <f>IF(OR(Q1707="",R1707=""),"",Q1707-R1707)</f>
        <v>0</v>
      </c>
      <c r="T1707">
        <f>IF(COUNT($E$2:$E1707)&lt;14,"",MAX($C$1694:$C$1707))</f>
        <v>0</v>
      </c>
      <c r="U1707">
        <f>IF(COUNT($E$2:$E1707)&lt;14,"",MIN($D$1694:$D$1707))</f>
        <v>0</v>
      </c>
      <c r="V1707">
        <f>IF(OR(T1707="",U1707="",T1707=U1707),"",100*($E1707-U1707)/(T1707-U1707))</f>
        <v>0</v>
      </c>
      <c r="W1707">
        <f>IF(COUNT($V$1705:$V$1707)&lt;3,"",AVERAGE($V$1705:$V$1707))</f>
        <v>0</v>
      </c>
      <c r="X1707">
        <f>IF(COUNT($N$1694:$N$1707)&lt;14,"",MIN($N$1694:$N$1707))</f>
        <v>0</v>
      </c>
      <c r="Y1707">
        <f>IF(COUNT($N$1694:$N$1707)&lt;14,"",MAX($N$1694:$N$1707))</f>
        <v>0</v>
      </c>
      <c r="Z1707">
        <f>IF(OR(N1707="",X1707="",Y1707="",Y1707=X1707),"",100*(N1707-X1707)/(Y1707-X1707))</f>
        <v>0</v>
      </c>
      <c r="AA1707">
        <f>IF(COUNT($Z$1705:$Z$1707)&lt;3,"",AVERAGE($Z$1705:$Z$1707))</f>
        <v>0</v>
      </c>
      <c r="AB1707">
        <f>IF(COUNT($AA$1705:$AA$1707)&lt;3,"",AVERAGE($AA$1705:$AA$1707))</f>
        <v>0</v>
      </c>
      <c r="AC1707">
        <f>IF($E1707="","",MAX($C1707-$D1707,ABS($C1707-$E1706),ABS($D1707-$E1706)))</f>
        <v>0</v>
      </c>
      <c r="AD1707">
        <f>IF(COUNT($E$2:$E1707)&lt;15,"",AVERAGE($AC$1694:$AC$1707))</f>
        <v>0</v>
      </c>
      <c r="AE1707">
        <f>IF(OR($E1707="",$E1706=""),"",IF(AND(($C1707-$C1706)&gt;($D1706-$D1707),($C1707-$C1706)&gt;0),$C1707-$C1706,0))</f>
        <v>0</v>
      </c>
      <c r="AF1707">
        <f>IF(OR($E1707="",$E1706=""),"",IF(AND(($D1706-$D1707)&gt;($C1707-$C1706),($D1706-$D1707)&gt;0),$D1706-$D1707,0))</f>
        <v>0</v>
      </c>
      <c r="AG1707">
        <f>IF(COUNT($E$2:$E1707)&lt;15,"",IF(SUM($AC$1694:$AC$1707)=0,0,100*SUM($AE$1694:$AE$1707)/SUM($AC$1694:$AC$1707)))</f>
        <v>0</v>
      </c>
      <c r="AH1707">
        <f>IF(COUNT($E$2:$E1707)&lt;15,"",IF(SUM($AC$1694:$AC$1707)=0,0,100*SUM($AF$1694:$AF$1707)/SUM($AC$1694:$AC$1707)))</f>
        <v>0</v>
      </c>
      <c r="AI1707">
        <f>IF(OR(AG1707="",AH1707=""),"",IF((AG1707+AH1707)=0,0,100*ABS(AG1707-AH1707)/(AG1707+AH1707)))</f>
        <v>0</v>
      </c>
      <c r="AJ1707">
        <f>IF(COUNT($AI$1694:$AI$1707)&lt;14,"",AVERAGE($AI$1694:$AI$1707))</f>
        <v>0</v>
      </c>
      <c r="AK1707">
        <f>IF(COUNT($E$2:$E1707)&lt;20,"",AVERAGE($E$1688:$E$1707))</f>
        <v>0</v>
      </c>
      <c r="AL1707">
        <f>IF(COUNT($E$2:$E1707)&lt;20,"",STDEVP($E$1688:$E$1707))</f>
        <v>0</v>
      </c>
      <c r="AM1707">
        <f>IF(AK1707="","",AK1707+2*AL1707)</f>
        <v>0</v>
      </c>
      <c r="AN1707">
        <f>IF(AK1707="","",AK1707-2*AL1707)</f>
        <v>0</v>
      </c>
      <c r="AO1707">
        <f>IF(OR(AM1707="",AN1707="",AM1707=AN1707),"",($E1707-AN1707)/(AM1707-AN1707))</f>
        <v>0</v>
      </c>
      <c r="AP1707">
        <f>IF(OR(AM1707="",AK1707="",AK1707=0),"",(AM1707-AN1707)/AK1707)</f>
        <v>0</v>
      </c>
      <c r="AQ1707">
        <f>IF(COUNT($E$2:$E1707)&lt;20,"",MAX($C$1688:$C$1707))</f>
        <v>0</v>
      </c>
      <c r="AR1707">
        <f>IF(COUNT($E$2:$E1707)&lt;20,"",MIN($D$1688:$D$1707))</f>
        <v>0</v>
      </c>
      <c r="AS1707">
        <f>IF(OR(AQ1707="",AR1707=""),"",(AQ1707+AR1707)/2)</f>
        <v>0</v>
      </c>
      <c r="AT1707">
        <f>IF(COUNT($G$1688:$G$1707)&lt;20,"",STDEV($G$1688:$G$1707)*SQRT(252))</f>
        <v>0</v>
      </c>
      <c r="AU1707">
        <f>IF(COUNT($E$2:$E1707)&lt;9,"",(MAX($C$1699:$C$1707)+MIN($D$1699:$D$1707))/2)</f>
        <v>0</v>
      </c>
      <c r="AV1707">
        <f>IF(COUNT($E$2:$E1707)&lt;26,"",(MAX($C$1682:$C$1707)+MIN($D$1682:$D$1707))/2)</f>
        <v>0</v>
      </c>
      <c r="AW1707">
        <f>IF(OR(AU1707="",AV1707=""),"",(AU1707+AV1707)/2)</f>
        <v>0</v>
      </c>
      <c r="AX1707">
        <f>IF(COUNT($E$2:$E1707)&lt;52,"",(MAX($C$1656:$C$1707)+MIN($D$1656:$D$1707))/2)</f>
        <v>0</v>
      </c>
      <c r="AY1707">
        <f>IF(COUNT($E$2:$E1707)&lt;20,"",MAX($C$1608:$C$1707))</f>
        <v>0</v>
      </c>
      <c r="AZ1707">
        <f>IF(COUNT($E$2:$E1707)&lt;20,"",MIN($D$1608:$D$1707))</f>
        <v>0</v>
      </c>
      <c r="BA1707">
        <f>IF(COUNT($E$2:$E1707)&lt;20,"",SLOPE($E$1608:$E$1707,$F$1608:$F$1707))</f>
        <v>0</v>
      </c>
      <c r="BB1707">
        <f>IF(COUNT($E$2:$E1707)&lt;20,"",INTERCEPT($E$1608:$E$1707,$F$1608:$F$1707))</f>
        <v>0</v>
      </c>
      <c r="BC1707">
        <f>IF(OR(BA1707="",BB1707=""),"",BB1707+BA1707*F1707)</f>
        <v>0</v>
      </c>
      <c r="BD1707">
        <f>IF(COUNT($E$2:$E1707)&lt;20,"",STEYX($E$1608:$E$1707,$F$1608:$F$1707))</f>
        <v>0</v>
      </c>
      <c r="BE1707">
        <f>IF($E1707="","",IF(AND(COUNT($E$1708:$E$1711)&gt;=4,$C1707=MAX($C$1703:$C$1711)),$C1707,""))</f>
        <v>0</v>
      </c>
      <c r="BF1707">
        <f>IF($E1707="","",IF(AND(COUNT($E$1708:$E$1711)&gt;=4,$D1707=MIN($D$1703:$D$1711)),$D1707,""))</f>
        <v>0</v>
      </c>
      <c r="BG1707">
        <f>IF($A1707="","",$A1707-WEEKDAY($A1707,2)+1)</f>
        <v>0</v>
      </c>
      <c r="BH1707">
        <f>IF($A1707="","",IF($A1706="",1,IF(BG1707&lt;&gt;BG1706,1,0)))</f>
        <v>0</v>
      </c>
      <c r="BI1707">
        <f>IF($A1707="","",IF($A1708="",1,IF(BG1708&lt;&gt;BG1707,1,0)))</f>
        <v>0</v>
      </c>
      <c r="BJ1707">
        <f>IF($A1707="","",IF(BH1707=1,$B1707,BJ1706))</f>
        <v>0</v>
      </c>
      <c r="BK1707">
        <f>IF($A1707="","",IF(BH1707=1,$C1707,MAX($C1707,BK1706)))</f>
        <v>0</v>
      </c>
      <c r="BL1707">
        <f>IF($A1707="","",IF(BH1707=1,$D1707,MIN($D1707,BL1706)))</f>
        <v>0</v>
      </c>
      <c r="BM1707">
        <f>IF($A1707="","",IF(BI1707=1,F1707,""))</f>
        <v>0</v>
      </c>
      <c r="BN1707">
        <f>IF($A1707="","",DATE(YEAR($A1707),MONTH($A1707),1))</f>
        <v>0</v>
      </c>
      <c r="BO1707">
        <f>IF($A1707="","",IF($A1706="",1,IF(BN1707&lt;&gt;BN1706,1,0)))</f>
        <v>0</v>
      </c>
      <c r="BP1707">
        <f>IF($A1707="","",IF($A1708="",1,IF(BN1708&lt;&gt;BN1707,1,0)))</f>
        <v>0</v>
      </c>
      <c r="BQ1707">
        <f>IF($A1707="","",IF(BO1707=1,$B1707,BQ1706))</f>
        <v>0</v>
      </c>
      <c r="BR1707">
        <f>IF($A1707="","",IF(BO1707=1,$C1707,MAX($C1707,BR1706)))</f>
        <v>0</v>
      </c>
      <c r="BS1707">
        <f>IF($A1707="","",IF(BO1707=1,$D1707,MIN($D1707,BS1706)))</f>
        <v>0</v>
      </c>
      <c r="BT1707">
        <f>IF($A1707="","",IF(BP1707=1,F1707,""))</f>
        <v>0</v>
      </c>
    </row>
    <row r="1708" spans="1:72">
      <c r="A1708" s="27">
        <f>IF(Data!$A1708="","",Data!$A1708)</f>
        <v>0</v>
      </c>
      <c r="B1708">
        <f>IF(Data!$B1708="","",Data!$B1708)</f>
        <v>0</v>
      </c>
      <c r="C1708">
        <f>IF(Data!$C1708="","",Data!$C1708)</f>
        <v>0</v>
      </c>
      <c r="D1708">
        <f>IF(Data!$D1708="","",Data!$D1708)</f>
        <v>0</v>
      </c>
      <c r="E1708">
        <f>IF(Data!$E1708="","",Data!$E1708)</f>
        <v>0</v>
      </c>
      <c r="F1708">
        <f>IF($E1708="","",N(F1707)+1)</f>
        <v>0</v>
      </c>
      <c r="G1708">
        <f>IF(OR($E1708="",$E1707=""),"",LN($E1708/$E1707))</f>
        <v>0</v>
      </c>
      <c r="H1708">
        <f>IF($E1708="","",IF($E1707="",$E1708,$E1708*0.0952380952+H1707*0.9047619048))</f>
        <v>0</v>
      </c>
      <c r="I1708">
        <f>IF($E1708="","",IF($E1707="",$E1708,$E1708*0.0392156863+I1707*0.9607843137))</f>
        <v>0</v>
      </c>
      <c r="J1708">
        <f>IF($E1708="","",IF($E1707="",$E1708,$E1708*0.0198019802+J1707*0.9801980198))</f>
        <v>0</v>
      </c>
      <c r="K1708">
        <f>IF($E1708="","",IF($E1707="",$E1708,$E1708*0.0099502488+K1707*0.9900497512))</f>
        <v>0</v>
      </c>
      <c r="L1708">
        <f>IF(OR($E1708="",$E1707=""),"",MAX($E1708-$E1707,0))</f>
        <v>0</v>
      </c>
      <c r="M1708">
        <f>IF(OR($E1708="",$E1707=""),"",MAX($E1707-$E1708,0))</f>
        <v>0</v>
      </c>
      <c r="N1708">
        <f>IF(COUNT($E$2:$E1708)&lt;15,"",IF(AVERAGE($M$1695:$M$1708)=0,100,100-100/(1+AVERAGE($L$1695:$L$1708)/AVERAGE($M$1695:$M$1708))))</f>
        <v>0</v>
      </c>
      <c r="O1708">
        <f>IF($E1708="","",IF($E1707="",$E1708,$E1708*0.1538461538+O1707*0.8461538462))</f>
        <v>0</v>
      </c>
      <c r="P1708">
        <f>IF($E1708="","",IF($E1707="",$E1708,$E1708*0.0740740741+P1707*0.9259259259))</f>
        <v>0</v>
      </c>
      <c r="Q1708">
        <f>IF(OR(O1708="",P1708=""),"",O1708-P1708)</f>
        <v>0</v>
      </c>
      <c r="R1708">
        <f>IF(Q1708="","",IF(R1707="",Q1708,Q1708*0.2000000000+R1707*0.8000000000))</f>
        <v>0</v>
      </c>
      <c r="S1708">
        <f>IF(OR(Q1708="",R1708=""),"",Q1708-R1708)</f>
        <v>0</v>
      </c>
      <c r="T1708">
        <f>IF(COUNT($E$2:$E1708)&lt;14,"",MAX($C$1695:$C$1708))</f>
        <v>0</v>
      </c>
      <c r="U1708">
        <f>IF(COUNT($E$2:$E1708)&lt;14,"",MIN($D$1695:$D$1708))</f>
        <v>0</v>
      </c>
      <c r="V1708">
        <f>IF(OR(T1708="",U1708="",T1708=U1708),"",100*($E1708-U1708)/(T1708-U1708))</f>
        <v>0</v>
      </c>
      <c r="W1708">
        <f>IF(COUNT($V$1706:$V$1708)&lt;3,"",AVERAGE($V$1706:$V$1708))</f>
        <v>0</v>
      </c>
      <c r="X1708">
        <f>IF(COUNT($N$1695:$N$1708)&lt;14,"",MIN($N$1695:$N$1708))</f>
        <v>0</v>
      </c>
      <c r="Y1708">
        <f>IF(COUNT($N$1695:$N$1708)&lt;14,"",MAX($N$1695:$N$1708))</f>
        <v>0</v>
      </c>
      <c r="Z1708">
        <f>IF(OR(N1708="",X1708="",Y1708="",Y1708=X1708),"",100*(N1708-X1708)/(Y1708-X1708))</f>
        <v>0</v>
      </c>
      <c r="AA1708">
        <f>IF(COUNT($Z$1706:$Z$1708)&lt;3,"",AVERAGE($Z$1706:$Z$1708))</f>
        <v>0</v>
      </c>
      <c r="AB1708">
        <f>IF(COUNT($AA$1706:$AA$1708)&lt;3,"",AVERAGE($AA$1706:$AA$1708))</f>
        <v>0</v>
      </c>
      <c r="AC1708">
        <f>IF($E1708="","",MAX($C1708-$D1708,ABS($C1708-$E1707),ABS($D1708-$E1707)))</f>
        <v>0</v>
      </c>
      <c r="AD1708">
        <f>IF(COUNT($E$2:$E1708)&lt;15,"",AVERAGE($AC$1695:$AC$1708))</f>
        <v>0</v>
      </c>
      <c r="AE1708">
        <f>IF(OR($E1708="",$E1707=""),"",IF(AND(($C1708-$C1707)&gt;($D1707-$D1708),($C1708-$C1707)&gt;0),$C1708-$C1707,0))</f>
        <v>0</v>
      </c>
      <c r="AF1708">
        <f>IF(OR($E1708="",$E1707=""),"",IF(AND(($D1707-$D1708)&gt;($C1708-$C1707),($D1707-$D1708)&gt;0),$D1707-$D1708,0))</f>
        <v>0</v>
      </c>
      <c r="AG1708">
        <f>IF(COUNT($E$2:$E1708)&lt;15,"",IF(SUM($AC$1695:$AC$1708)=0,0,100*SUM($AE$1695:$AE$1708)/SUM($AC$1695:$AC$1708)))</f>
        <v>0</v>
      </c>
      <c r="AH1708">
        <f>IF(COUNT($E$2:$E1708)&lt;15,"",IF(SUM($AC$1695:$AC$1708)=0,0,100*SUM($AF$1695:$AF$1708)/SUM($AC$1695:$AC$1708)))</f>
        <v>0</v>
      </c>
      <c r="AI1708">
        <f>IF(OR(AG1708="",AH1708=""),"",IF((AG1708+AH1708)=0,0,100*ABS(AG1708-AH1708)/(AG1708+AH1708)))</f>
        <v>0</v>
      </c>
      <c r="AJ1708">
        <f>IF(COUNT($AI$1695:$AI$1708)&lt;14,"",AVERAGE($AI$1695:$AI$1708))</f>
        <v>0</v>
      </c>
      <c r="AK1708">
        <f>IF(COUNT($E$2:$E1708)&lt;20,"",AVERAGE($E$1689:$E$1708))</f>
        <v>0</v>
      </c>
      <c r="AL1708">
        <f>IF(COUNT($E$2:$E1708)&lt;20,"",STDEVP($E$1689:$E$1708))</f>
        <v>0</v>
      </c>
      <c r="AM1708">
        <f>IF(AK1708="","",AK1708+2*AL1708)</f>
        <v>0</v>
      </c>
      <c r="AN1708">
        <f>IF(AK1708="","",AK1708-2*AL1708)</f>
        <v>0</v>
      </c>
      <c r="AO1708">
        <f>IF(OR(AM1708="",AN1708="",AM1708=AN1708),"",($E1708-AN1708)/(AM1708-AN1708))</f>
        <v>0</v>
      </c>
      <c r="AP1708">
        <f>IF(OR(AM1708="",AK1708="",AK1708=0),"",(AM1708-AN1708)/AK1708)</f>
        <v>0</v>
      </c>
      <c r="AQ1708">
        <f>IF(COUNT($E$2:$E1708)&lt;20,"",MAX($C$1689:$C$1708))</f>
        <v>0</v>
      </c>
      <c r="AR1708">
        <f>IF(COUNT($E$2:$E1708)&lt;20,"",MIN($D$1689:$D$1708))</f>
        <v>0</v>
      </c>
      <c r="AS1708">
        <f>IF(OR(AQ1708="",AR1708=""),"",(AQ1708+AR1708)/2)</f>
        <v>0</v>
      </c>
      <c r="AT1708">
        <f>IF(COUNT($G$1689:$G$1708)&lt;20,"",STDEV($G$1689:$G$1708)*SQRT(252))</f>
        <v>0</v>
      </c>
      <c r="AU1708">
        <f>IF(COUNT($E$2:$E1708)&lt;9,"",(MAX($C$1700:$C$1708)+MIN($D$1700:$D$1708))/2)</f>
        <v>0</v>
      </c>
      <c r="AV1708">
        <f>IF(COUNT($E$2:$E1708)&lt;26,"",(MAX($C$1683:$C$1708)+MIN($D$1683:$D$1708))/2)</f>
        <v>0</v>
      </c>
      <c r="AW1708">
        <f>IF(OR(AU1708="",AV1708=""),"",(AU1708+AV1708)/2)</f>
        <v>0</v>
      </c>
      <c r="AX1708">
        <f>IF(COUNT($E$2:$E1708)&lt;52,"",(MAX($C$1657:$C$1708)+MIN($D$1657:$D$1708))/2)</f>
        <v>0</v>
      </c>
      <c r="AY1708">
        <f>IF(COUNT($E$2:$E1708)&lt;20,"",MAX($C$1609:$C$1708))</f>
        <v>0</v>
      </c>
      <c r="AZ1708">
        <f>IF(COUNT($E$2:$E1708)&lt;20,"",MIN($D$1609:$D$1708))</f>
        <v>0</v>
      </c>
      <c r="BA1708">
        <f>IF(COUNT($E$2:$E1708)&lt;20,"",SLOPE($E$1609:$E$1708,$F$1609:$F$1708))</f>
        <v>0</v>
      </c>
      <c r="BB1708">
        <f>IF(COUNT($E$2:$E1708)&lt;20,"",INTERCEPT($E$1609:$E$1708,$F$1609:$F$1708))</f>
        <v>0</v>
      </c>
      <c r="BC1708">
        <f>IF(OR(BA1708="",BB1708=""),"",BB1708+BA1708*F1708)</f>
        <v>0</v>
      </c>
      <c r="BD1708">
        <f>IF(COUNT($E$2:$E1708)&lt;20,"",STEYX($E$1609:$E$1708,$F$1609:$F$1708))</f>
        <v>0</v>
      </c>
      <c r="BE1708">
        <f>IF($E1708="","",IF(AND(COUNT($E$1709:$E$1712)&gt;=4,$C1708=MAX($C$1704:$C$1712)),$C1708,""))</f>
        <v>0</v>
      </c>
      <c r="BF1708">
        <f>IF($E1708="","",IF(AND(COUNT($E$1709:$E$1712)&gt;=4,$D1708=MIN($D$1704:$D$1712)),$D1708,""))</f>
        <v>0</v>
      </c>
      <c r="BG1708">
        <f>IF($A1708="","",$A1708-WEEKDAY($A1708,2)+1)</f>
        <v>0</v>
      </c>
      <c r="BH1708">
        <f>IF($A1708="","",IF($A1707="",1,IF(BG1708&lt;&gt;BG1707,1,0)))</f>
        <v>0</v>
      </c>
      <c r="BI1708">
        <f>IF($A1708="","",IF($A1709="",1,IF(BG1709&lt;&gt;BG1708,1,0)))</f>
        <v>0</v>
      </c>
      <c r="BJ1708">
        <f>IF($A1708="","",IF(BH1708=1,$B1708,BJ1707))</f>
        <v>0</v>
      </c>
      <c r="BK1708">
        <f>IF($A1708="","",IF(BH1708=1,$C1708,MAX($C1708,BK1707)))</f>
        <v>0</v>
      </c>
      <c r="BL1708">
        <f>IF($A1708="","",IF(BH1708=1,$D1708,MIN($D1708,BL1707)))</f>
        <v>0</v>
      </c>
      <c r="BM1708">
        <f>IF($A1708="","",IF(BI1708=1,F1708,""))</f>
        <v>0</v>
      </c>
      <c r="BN1708">
        <f>IF($A1708="","",DATE(YEAR($A1708),MONTH($A1708),1))</f>
        <v>0</v>
      </c>
      <c r="BO1708">
        <f>IF($A1708="","",IF($A1707="",1,IF(BN1708&lt;&gt;BN1707,1,0)))</f>
        <v>0</v>
      </c>
      <c r="BP1708">
        <f>IF($A1708="","",IF($A1709="",1,IF(BN1709&lt;&gt;BN1708,1,0)))</f>
        <v>0</v>
      </c>
      <c r="BQ1708">
        <f>IF($A1708="","",IF(BO1708=1,$B1708,BQ1707))</f>
        <v>0</v>
      </c>
      <c r="BR1708">
        <f>IF($A1708="","",IF(BO1708=1,$C1708,MAX($C1708,BR1707)))</f>
        <v>0</v>
      </c>
      <c r="BS1708">
        <f>IF($A1708="","",IF(BO1708=1,$D1708,MIN($D1708,BS1707)))</f>
        <v>0</v>
      </c>
      <c r="BT1708">
        <f>IF($A1708="","",IF(BP1708=1,F1708,""))</f>
        <v>0</v>
      </c>
    </row>
    <row r="1709" spans="1:72">
      <c r="A1709" s="27">
        <f>IF(Data!$A1709="","",Data!$A1709)</f>
        <v>0</v>
      </c>
      <c r="B1709">
        <f>IF(Data!$B1709="","",Data!$B1709)</f>
        <v>0</v>
      </c>
      <c r="C1709">
        <f>IF(Data!$C1709="","",Data!$C1709)</f>
        <v>0</v>
      </c>
      <c r="D1709">
        <f>IF(Data!$D1709="","",Data!$D1709)</f>
        <v>0</v>
      </c>
      <c r="E1709">
        <f>IF(Data!$E1709="","",Data!$E1709)</f>
        <v>0</v>
      </c>
      <c r="F1709">
        <f>IF($E1709="","",N(F1708)+1)</f>
        <v>0</v>
      </c>
      <c r="G1709">
        <f>IF(OR($E1709="",$E1708=""),"",LN($E1709/$E1708))</f>
        <v>0</v>
      </c>
      <c r="H1709">
        <f>IF($E1709="","",IF($E1708="",$E1709,$E1709*0.0952380952+H1708*0.9047619048))</f>
        <v>0</v>
      </c>
      <c r="I1709">
        <f>IF($E1709="","",IF($E1708="",$E1709,$E1709*0.0392156863+I1708*0.9607843137))</f>
        <v>0</v>
      </c>
      <c r="J1709">
        <f>IF($E1709="","",IF($E1708="",$E1709,$E1709*0.0198019802+J1708*0.9801980198))</f>
        <v>0</v>
      </c>
      <c r="K1709">
        <f>IF($E1709="","",IF($E1708="",$E1709,$E1709*0.0099502488+K1708*0.9900497512))</f>
        <v>0</v>
      </c>
      <c r="L1709">
        <f>IF(OR($E1709="",$E1708=""),"",MAX($E1709-$E1708,0))</f>
        <v>0</v>
      </c>
      <c r="M1709">
        <f>IF(OR($E1709="",$E1708=""),"",MAX($E1708-$E1709,0))</f>
        <v>0</v>
      </c>
      <c r="N1709">
        <f>IF(COUNT($E$2:$E1709)&lt;15,"",IF(AVERAGE($M$1696:$M$1709)=0,100,100-100/(1+AVERAGE($L$1696:$L$1709)/AVERAGE($M$1696:$M$1709))))</f>
        <v>0</v>
      </c>
      <c r="O1709">
        <f>IF($E1709="","",IF($E1708="",$E1709,$E1709*0.1538461538+O1708*0.8461538462))</f>
        <v>0</v>
      </c>
      <c r="P1709">
        <f>IF($E1709="","",IF($E1708="",$E1709,$E1709*0.0740740741+P1708*0.9259259259))</f>
        <v>0</v>
      </c>
      <c r="Q1709">
        <f>IF(OR(O1709="",P1709=""),"",O1709-P1709)</f>
        <v>0</v>
      </c>
      <c r="R1709">
        <f>IF(Q1709="","",IF(R1708="",Q1709,Q1709*0.2000000000+R1708*0.8000000000))</f>
        <v>0</v>
      </c>
      <c r="S1709">
        <f>IF(OR(Q1709="",R1709=""),"",Q1709-R1709)</f>
        <v>0</v>
      </c>
      <c r="T1709">
        <f>IF(COUNT($E$2:$E1709)&lt;14,"",MAX($C$1696:$C$1709))</f>
        <v>0</v>
      </c>
      <c r="U1709">
        <f>IF(COUNT($E$2:$E1709)&lt;14,"",MIN($D$1696:$D$1709))</f>
        <v>0</v>
      </c>
      <c r="V1709">
        <f>IF(OR(T1709="",U1709="",T1709=U1709),"",100*($E1709-U1709)/(T1709-U1709))</f>
        <v>0</v>
      </c>
      <c r="W1709">
        <f>IF(COUNT($V$1707:$V$1709)&lt;3,"",AVERAGE($V$1707:$V$1709))</f>
        <v>0</v>
      </c>
      <c r="X1709">
        <f>IF(COUNT($N$1696:$N$1709)&lt;14,"",MIN($N$1696:$N$1709))</f>
        <v>0</v>
      </c>
      <c r="Y1709">
        <f>IF(COUNT($N$1696:$N$1709)&lt;14,"",MAX($N$1696:$N$1709))</f>
        <v>0</v>
      </c>
      <c r="Z1709">
        <f>IF(OR(N1709="",X1709="",Y1709="",Y1709=X1709),"",100*(N1709-X1709)/(Y1709-X1709))</f>
        <v>0</v>
      </c>
      <c r="AA1709">
        <f>IF(COUNT($Z$1707:$Z$1709)&lt;3,"",AVERAGE($Z$1707:$Z$1709))</f>
        <v>0</v>
      </c>
      <c r="AB1709">
        <f>IF(COUNT($AA$1707:$AA$1709)&lt;3,"",AVERAGE($AA$1707:$AA$1709))</f>
        <v>0</v>
      </c>
      <c r="AC1709">
        <f>IF($E1709="","",MAX($C1709-$D1709,ABS($C1709-$E1708),ABS($D1709-$E1708)))</f>
        <v>0</v>
      </c>
      <c r="AD1709">
        <f>IF(COUNT($E$2:$E1709)&lt;15,"",AVERAGE($AC$1696:$AC$1709))</f>
        <v>0</v>
      </c>
      <c r="AE1709">
        <f>IF(OR($E1709="",$E1708=""),"",IF(AND(($C1709-$C1708)&gt;($D1708-$D1709),($C1709-$C1708)&gt;0),$C1709-$C1708,0))</f>
        <v>0</v>
      </c>
      <c r="AF1709">
        <f>IF(OR($E1709="",$E1708=""),"",IF(AND(($D1708-$D1709)&gt;($C1709-$C1708),($D1708-$D1709)&gt;0),$D1708-$D1709,0))</f>
        <v>0</v>
      </c>
      <c r="AG1709">
        <f>IF(COUNT($E$2:$E1709)&lt;15,"",IF(SUM($AC$1696:$AC$1709)=0,0,100*SUM($AE$1696:$AE$1709)/SUM($AC$1696:$AC$1709)))</f>
        <v>0</v>
      </c>
      <c r="AH1709">
        <f>IF(COUNT($E$2:$E1709)&lt;15,"",IF(SUM($AC$1696:$AC$1709)=0,0,100*SUM($AF$1696:$AF$1709)/SUM($AC$1696:$AC$1709)))</f>
        <v>0</v>
      </c>
      <c r="AI1709">
        <f>IF(OR(AG1709="",AH1709=""),"",IF((AG1709+AH1709)=0,0,100*ABS(AG1709-AH1709)/(AG1709+AH1709)))</f>
        <v>0</v>
      </c>
      <c r="AJ1709">
        <f>IF(COUNT($AI$1696:$AI$1709)&lt;14,"",AVERAGE($AI$1696:$AI$1709))</f>
        <v>0</v>
      </c>
      <c r="AK1709">
        <f>IF(COUNT($E$2:$E1709)&lt;20,"",AVERAGE($E$1690:$E$1709))</f>
        <v>0</v>
      </c>
      <c r="AL1709">
        <f>IF(COUNT($E$2:$E1709)&lt;20,"",STDEVP($E$1690:$E$1709))</f>
        <v>0</v>
      </c>
      <c r="AM1709">
        <f>IF(AK1709="","",AK1709+2*AL1709)</f>
        <v>0</v>
      </c>
      <c r="AN1709">
        <f>IF(AK1709="","",AK1709-2*AL1709)</f>
        <v>0</v>
      </c>
      <c r="AO1709">
        <f>IF(OR(AM1709="",AN1709="",AM1709=AN1709),"",($E1709-AN1709)/(AM1709-AN1709))</f>
        <v>0</v>
      </c>
      <c r="AP1709">
        <f>IF(OR(AM1709="",AK1709="",AK1709=0),"",(AM1709-AN1709)/AK1709)</f>
        <v>0</v>
      </c>
      <c r="AQ1709">
        <f>IF(COUNT($E$2:$E1709)&lt;20,"",MAX($C$1690:$C$1709))</f>
        <v>0</v>
      </c>
      <c r="AR1709">
        <f>IF(COUNT($E$2:$E1709)&lt;20,"",MIN($D$1690:$D$1709))</f>
        <v>0</v>
      </c>
      <c r="AS1709">
        <f>IF(OR(AQ1709="",AR1709=""),"",(AQ1709+AR1709)/2)</f>
        <v>0</v>
      </c>
      <c r="AT1709">
        <f>IF(COUNT($G$1690:$G$1709)&lt;20,"",STDEV($G$1690:$G$1709)*SQRT(252))</f>
        <v>0</v>
      </c>
      <c r="AU1709">
        <f>IF(COUNT($E$2:$E1709)&lt;9,"",(MAX($C$1701:$C$1709)+MIN($D$1701:$D$1709))/2)</f>
        <v>0</v>
      </c>
      <c r="AV1709">
        <f>IF(COUNT($E$2:$E1709)&lt;26,"",(MAX($C$1684:$C$1709)+MIN($D$1684:$D$1709))/2)</f>
        <v>0</v>
      </c>
      <c r="AW1709">
        <f>IF(OR(AU1709="",AV1709=""),"",(AU1709+AV1709)/2)</f>
        <v>0</v>
      </c>
      <c r="AX1709">
        <f>IF(COUNT($E$2:$E1709)&lt;52,"",(MAX($C$1658:$C$1709)+MIN($D$1658:$D$1709))/2)</f>
        <v>0</v>
      </c>
      <c r="AY1709">
        <f>IF(COUNT($E$2:$E1709)&lt;20,"",MAX($C$1610:$C$1709))</f>
        <v>0</v>
      </c>
      <c r="AZ1709">
        <f>IF(COUNT($E$2:$E1709)&lt;20,"",MIN($D$1610:$D$1709))</f>
        <v>0</v>
      </c>
      <c r="BA1709">
        <f>IF(COUNT($E$2:$E1709)&lt;20,"",SLOPE($E$1610:$E$1709,$F$1610:$F$1709))</f>
        <v>0</v>
      </c>
      <c r="BB1709">
        <f>IF(COUNT($E$2:$E1709)&lt;20,"",INTERCEPT($E$1610:$E$1709,$F$1610:$F$1709))</f>
        <v>0</v>
      </c>
      <c r="BC1709">
        <f>IF(OR(BA1709="",BB1709=""),"",BB1709+BA1709*F1709)</f>
        <v>0</v>
      </c>
      <c r="BD1709">
        <f>IF(COUNT($E$2:$E1709)&lt;20,"",STEYX($E$1610:$E$1709,$F$1610:$F$1709))</f>
        <v>0</v>
      </c>
      <c r="BE1709">
        <f>IF($E1709="","",IF(AND(COUNT($E$1710:$E$1713)&gt;=4,$C1709=MAX($C$1705:$C$1713)),$C1709,""))</f>
        <v>0</v>
      </c>
      <c r="BF1709">
        <f>IF($E1709="","",IF(AND(COUNT($E$1710:$E$1713)&gt;=4,$D1709=MIN($D$1705:$D$1713)),$D1709,""))</f>
        <v>0</v>
      </c>
      <c r="BG1709">
        <f>IF($A1709="","",$A1709-WEEKDAY($A1709,2)+1)</f>
        <v>0</v>
      </c>
      <c r="BH1709">
        <f>IF($A1709="","",IF($A1708="",1,IF(BG1709&lt;&gt;BG1708,1,0)))</f>
        <v>0</v>
      </c>
      <c r="BI1709">
        <f>IF($A1709="","",IF($A1710="",1,IF(BG1710&lt;&gt;BG1709,1,0)))</f>
        <v>0</v>
      </c>
      <c r="BJ1709">
        <f>IF($A1709="","",IF(BH1709=1,$B1709,BJ1708))</f>
        <v>0</v>
      </c>
      <c r="BK1709">
        <f>IF($A1709="","",IF(BH1709=1,$C1709,MAX($C1709,BK1708)))</f>
        <v>0</v>
      </c>
      <c r="BL1709">
        <f>IF($A1709="","",IF(BH1709=1,$D1709,MIN($D1709,BL1708)))</f>
        <v>0</v>
      </c>
      <c r="BM1709">
        <f>IF($A1709="","",IF(BI1709=1,F1709,""))</f>
        <v>0</v>
      </c>
      <c r="BN1709">
        <f>IF($A1709="","",DATE(YEAR($A1709),MONTH($A1709),1))</f>
        <v>0</v>
      </c>
      <c r="BO1709">
        <f>IF($A1709="","",IF($A1708="",1,IF(BN1709&lt;&gt;BN1708,1,0)))</f>
        <v>0</v>
      </c>
      <c r="BP1709">
        <f>IF($A1709="","",IF($A1710="",1,IF(BN1710&lt;&gt;BN1709,1,0)))</f>
        <v>0</v>
      </c>
      <c r="BQ1709">
        <f>IF($A1709="","",IF(BO1709=1,$B1709,BQ1708))</f>
        <v>0</v>
      </c>
      <c r="BR1709">
        <f>IF($A1709="","",IF(BO1709=1,$C1709,MAX($C1709,BR1708)))</f>
        <v>0</v>
      </c>
      <c r="BS1709">
        <f>IF($A1709="","",IF(BO1709=1,$D1709,MIN($D1709,BS1708)))</f>
        <v>0</v>
      </c>
      <c r="BT1709">
        <f>IF($A1709="","",IF(BP1709=1,F1709,""))</f>
        <v>0</v>
      </c>
    </row>
    <row r="1710" spans="1:72">
      <c r="A1710" s="27">
        <f>IF(Data!$A1710="","",Data!$A1710)</f>
        <v>0</v>
      </c>
      <c r="B1710">
        <f>IF(Data!$B1710="","",Data!$B1710)</f>
        <v>0</v>
      </c>
      <c r="C1710">
        <f>IF(Data!$C1710="","",Data!$C1710)</f>
        <v>0</v>
      </c>
      <c r="D1710">
        <f>IF(Data!$D1710="","",Data!$D1710)</f>
        <v>0</v>
      </c>
      <c r="E1710">
        <f>IF(Data!$E1710="","",Data!$E1710)</f>
        <v>0</v>
      </c>
      <c r="F1710">
        <f>IF($E1710="","",N(F1709)+1)</f>
        <v>0</v>
      </c>
      <c r="G1710">
        <f>IF(OR($E1710="",$E1709=""),"",LN($E1710/$E1709))</f>
        <v>0</v>
      </c>
      <c r="H1710">
        <f>IF($E1710="","",IF($E1709="",$E1710,$E1710*0.0952380952+H1709*0.9047619048))</f>
        <v>0</v>
      </c>
      <c r="I1710">
        <f>IF($E1710="","",IF($E1709="",$E1710,$E1710*0.0392156863+I1709*0.9607843137))</f>
        <v>0</v>
      </c>
      <c r="J1710">
        <f>IF($E1710="","",IF($E1709="",$E1710,$E1710*0.0198019802+J1709*0.9801980198))</f>
        <v>0</v>
      </c>
      <c r="K1710">
        <f>IF($E1710="","",IF($E1709="",$E1710,$E1710*0.0099502488+K1709*0.9900497512))</f>
        <v>0</v>
      </c>
      <c r="L1710">
        <f>IF(OR($E1710="",$E1709=""),"",MAX($E1710-$E1709,0))</f>
        <v>0</v>
      </c>
      <c r="M1710">
        <f>IF(OR($E1710="",$E1709=""),"",MAX($E1709-$E1710,0))</f>
        <v>0</v>
      </c>
      <c r="N1710">
        <f>IF(COUNT($E$2:$E1710)&lt;15,"",IF(AVERAGE($M$1697:$M$1710)=0,100,100-100/(1+AVERAGE($L$1697:$L$1710)/AVERAGE($M$1697:$M$1710))))</f>
        <v>0</v>
      </c>
      <c r="O1710">
        <f>IF($E1710="","",IF($E1709="",$E1710,$E1710*0.1538461538+O1709*0.8461538462))</f>
        <v>0</v>
      </c>
      <c r="P1710">
        <f>IF($E1710="","",IF($E1709="",$E1710,$E1710*0.0740740741+P1709*0.9259259259))</f>
        <v>0</v>
      </c>
      <c r="Q1710">
        <f>IF(OR(O1710="",P1710=""),"",O1710-P1710)</f>
        <v>0</v>
      </c>
      <c r="R1710">
        <f>IF(Q1710="","",IF(R1709="",Q1710,Q1710*0.2000000000+R1709*0.8000000000))</f>
        <v>0</v>
      </c>
      <c r="S1710">
        <f>IF(OR(Q1710="",R1710=""),"",Q1710-R1710)</f>
        <v>0</v>
      </c>
      <c r="T1710">
        <f>IF(COUNT($E$2:$E1710)&lt;14,"",MAX($C$1697:$C$1710))</f>
        <v>0</v>
      </c>
      <c r="U1710">
        <f>IF(COUNT($E$2:$E1710)&lt;14,"",MIN($D$1697:$D$1710))</f>
        <v>0</v>
      </c>
      <c r="V1710">
        <f>IF(OR(T1710="",U1710="",T1710=U1710),"",100*($E1710-U1710)/(T1710-U1710))</f>
        <v>0</v>
      </c>
      <c r="W1710">
        <f>IF(COUNT($V$1708:$V$1710)&lt;3,"",AVERAGE($V$1708:$V$1710))</f>
        <v>0</v>
      </c>
      <c r="X1710">
        <f>IF(COUNT($N$1697:$N$1710)&lt;14,"",MIN($N$1697:$N$1710))</f>
        <v>0</v>
      </c>
      <c r="Y1710">
        <f>IF(COUNT($N$1697:$N$1710)&lt;14,"",MAX($N$1697:$N$1710))</f>
        <v>0</v>
      </c>
      <c r="Z1710">
        <f>IF(OR(N1710="",X1710="",Y1710="",Y1710=X1710),"",100*(N1710-X1710)/(Y1710-X1710))</f>
        <v>0</v>
      </c>
      <c r="AA1710">
        <f>IF(COUNT($Z$1708:$Z$1710)&lt;3,"",AVERAGE($Z$1708:$Z$1710))</f>
        <v>0</v>
      </c>
      <c r="AB1710">
        <f>IF(COUNT($AA$1708:$AA$1710)&lt;3,"",AVERAGE($AA$1708:$AA$1710))</f>
        <v>0</v>
      </c>
      <c r="AC1710">
        <f>IF($E1710="","",MAX($C1710-$D1710,ABS($C1710-$E1709),ABS($D1710-$E1709)))</f>
        <v>0</v>
      </c>
      <c r="AD1710">
        <f>IF(COUNT($E$2:$E1710)&lt;15,"",AVERAGE($AC$1697:$AC$1710))</f>
        <v>0</v>
      </c>
      <c r="AE1710">
        <f>IF(OR($E1710="",$E1709=""),"",IF(AND(($C1710-$C1709)&gt;($D1709-$D1710),($C1710-$C1709)&gt;0),$C1710-$C1709,0))</f>
        <v>0</v>
      </c>
      <c r="AF1710">
        <f>IF(OR($E1710="",$E1709=""),"",IF(AND(($D1709-$D1710)&gt;($C1710-$C1709),($D1709-$D1710)&gt;0),$D1709-$D1710,0))</f>
        <v>0</v>
      </c>
      <c r="AG1710">
        <f>IF(COUNT($E$2:$E1710)&lt;15,"",IF(SUM($AC$1697:$AC$1710)=0,0,100*SUM($AE$1697:$AE$1710)/SUM($AC$1697:$AC$1710)))</f>
        <v>0</v>
      </c>
      <c r="AH1710">
        <f>IF(COUNT($E$2:$E1710)&lt;15,"",IF(SUM($AC$1697:$AC$1710)=0,0,100*SUM($AF$1697:$AF$1710)/SUM($AC$1697:$AC$1710)))</f>
        <v>0</v>
      </c>
      <c r="AI1710">
        <f>IF(OR(AG1710="",AH1710=""),"",IF((AG1710+AH1710)=0,0,100*ABS(AG1710-AH1710)/(AG1710+AH1710)))</f>
        <v>0</v>
      </c>
      <c r="AJ1710">
        <f>IF(COUNT($AI$1697:$AI$1710)&lt;14,"",AVERAGE($AI$1697:$AI$1710))</f>
        <v>0</v>
      </c>
      <c r="AK1710">
        <f>IF(COUNT($E$2:$E1710)&lt;20,"",AVERAGE($E$1691:$E$1710))</f>
        <v>0</v>
      </c>
      <c r="AL1710">
        <f>IF(COUNT($E$2:$E1710)&lt;20,"",STDEVP($E$1691:$E$1710))</f>
        <v>0</v>
      </c>
      <c r="AM1710">
        <f>IF(AK1710="","",AK1710+2*AL1710)</f>
        <v>0</v>
      </c>
      <c r="AN1710">
        <f>IF(AK1710="","",AK1710-2*AL1710)</f>
        <v>0</v>
      </c>
      <c r="AO1710">
        <f>IF(OR(AM1710="",AN1710="",AM1710=AN1710),"",($E1710-AN1710)/(AM1710-AN1710))</f>
        <v>0</v>
      </c>
      <c r="AP1710">
        <f>IF(OR(AM1710="",AK1710="",AK1710=0),"",(AM1710-AN1710)/AK1710)</f>
        <v>0</v>
      </c>
      <c r="AQ1710">
        <f>IF(COUNT($E$2:$E1710)&lt;20,"",MAX($C$1691:$C$1710))</f>
        <v>0</v>
      </c>
      <c r="AR1710">
        <f>IF(COUNT($E$2:$E1710)&lt;20,"",MIN($D$1691:$D$1710))</f>
        <v>0</v>
      </c>
      <c r="AS1710">
        <f>IF(OR(AQ1710="",AR1710=""),"",(AQ1710+AR1710)/2)</f>
        <v>0</v>
      </c>
      <c r="AT1710">
        <f>IF(COUNT($G$1691:$G$1710)&lt;20,"",STDEV($G$1691:$G$1710)*SQRT(252))</f>
        <v>0</v>
      </c>
      <c r="AU1710">
        <f>IF(COUNT($E$2:$E1710)&lt;9,"",(MAX($C$1702:$C$1710)+MIN($D$1702:$D$1710))/2)</f>
        <v>0</v>
      </c>
      <c r="AV1710">
        <f>IF(COUNT($E$2:$E1710)&lt;26,"",(MAX($C$1685:$C$1710)+MIN($D$1685:$D$1710))/2)</f>
        <v>0</v>
      </c>
      <c r="AW1710">
        <f>IF(OR(AU1710="",AV1710=""),"",(AU1710+AV1710)/2)</f>
        <v>0</v>
      </c>
      <c r="AX1710">
        <f>IF(COUNT($E$2:$E1710)&lt;52,"",(MAX($C$1659:$C$1710)+MIN($D$1659:$D$1710))/2)</f>
        <v>0</v>
      </c>
      <c r="AY1710">
        <f>IF(COUNT($E$2:$E1710)&lt;20,"",MAX($C$1611:$C$1710))</f>
        <v>0</v>
      </c>
      <c r="AZ1710">
        <f>IF(COUNT($E$2:$E1710)&lt;20,"",MIN($D$1611:$D$1710))</f>
        <v>0</v>
      </c>
      <c r="BA1710">
        <f>IF(COUNT($E$2:$E1710)&lt;20,"",SLOPE($E$1611:$E$1710,$F$1611:$F$1710))</f>
        <v>0</v>
      </c>
      <c r="BB1710">
        <f>IF(COUNT($E$2:$E1710)&lt;20,"",INTERCEPT($E$1611:$E$1710,$F$1611:$F$1710))</f>
        <v>0</v>
      </c>
      <c r="BC1710">
        <f>IF(OR(BA1710="",BB1710=""),"",BB1710+BA1710*F1710)</f>
        <v>0</v>
      </c>
      <c r="BD1710">
        <f>IF(COUNT($E$2:$E1710)&lt;20,"",STEYX($E$1611:$E$1710,$F$1611:$F$1710))</f>
        <v>0</v>
      </c>
      <c r="BE1710">
        <f>IF($E1710="","",IF(AND(COUNT($E$1711:$E$1714)&gt;=4,$C1710=MAX($C$1706:$C$1714)),$C1710,""))</f>
        <v>0</v>
      </c>
      <c r="BF1710">
        <f>IF($E1710="","",IF(AND(COUNT($E$1711:$E$1714)&gt;=4,$D1710=MIN($D$1706:$D$1714)),$D1710,""))</f>
        <v>0</v>
      </c>
      <c r="BG1710">
        <f>IF($A1710="","",$A1710-WEEKDAY($A1710,2)+1)</f>
        <v>0</v>
      </c>
      <c r="BH1710">
        <f>IF($A1710="","",IF($A1709="",1,IF(BG1710&lt;&gt;BG1709,1,0)))</f>
        <v>0</v>
      </c>
      <c r="BI1710">
        <f>IF($A1710="","",IF($A1711="",1,IF(BG1711&lt;&gt;BG1710,1,0)))</f>
        <v>0</v>
      </c>
      <c r="BJ1710">
        <f>IF($A1710="","",IF(BH1710=1,$B1710,BJ1709))</f>
        <v>0</v>
      </c>
      <c r="BK1710">
        <f>IF($A1710="","",IF(BH1710=1,$C1710,MAX($C1710,BK1709)))</f>
        <v>0</v>
      </c>
      <c r="BL1710">
        <f>IF($A1710="","",IF(BH1710=1,$D1710,MIN($D1710,BL1709)))</f>
        <v>0</v>
      </c>
      <c r="BM1710">
        <f>IF($A1710="","",IF(BI1710=1,F1710,""))</f>
        <v>0</v>
      </c>
      <c r="BN1710">
        <f>IF($A1710="","",DATE(YEAR($A1710),MONTH($A1710),1))</f>
        <v>0</v>
      </c>
      <c r="BO1710">
        <f>IF($A1710="","",IF($A1709="",1,IF(BN1710&lt;&gt;BN1709,1,0)))</f>
        <v>0</v>
      </c>
      <c r="BP1710">
        <f>IF($A1710="","",IF($A1711="",1,IF(BN1711&lt;&gt;BN1710,1,0)))</f>
        <v>0</v>
      </c>
      <c r="BQ1710">
        <f>IF($A1710="","",IF(BO1710=1,$B1710,BQ1709))</f>
        <v>0</v>
      </c>
      <c r="BR1710">
        <f>IF($A1710="","",IF(BO1710=1,$C1710,MAX($C1710,BR1709)))</f>
        <v>0</v>
      </c>
      <c r="BS1710">
        <f>IF($A1710="","",IF(BO1710=1,$D1710,MIN($D1710,BS1709)))</f>
        <v>0</v>
      </c>
      <c r="BT1710">
        <f>IF($A1710="","",IF(BP1710=1,F1710,""))</f>
        <v>0</v>
      </c>
    </row>
    <row r="1711" spans="1:72">
      <c r="A1711" s="27">
        <f>IF(Data!$A1711="","",Data!$A1711)</f>
        <v>0</v>
      </c>
      <c r="B1711">
        <f>IF(Data!$B1711="","",Data!$B1711)</f>
        <v>0</v>
      </c>
      <c r="C1711">
        <f>IF(Data!$C1711="","",Data!$C1711)</f>
        <v>0</v>
      </c>
      <c r="D1711">
        <f>IF(Data!$D1711="","",Data!$D1711)</f>
        <v>0</v>
      </c>
      <c r="E1711">
        <f>IF(Data!$E1711="","",Data!$E1711)</f>
        <v>0</v>
      </c>
      <c r="F1711">
        <f>IF($E1711="","",N(F1710)+1)</f>
        <v>0</v>
      </c>
      <c r="G1711">
        <f>IF(OR($E1711="",$E1710=""),"",LN($E1711/$E1710))</f>
        <v>0</v>
      </c>
      <c r="H1711">
        <f>IF($E1711="","",IF($E1710="",$E1711,$E1711*0.0952380952+H1710*0.9047619048))</f>
        <v>0</v>
      </c>
      <c r="I1711">
        <f>IF($E1711="","",IF($E1710="",$E1711,$E1711*0.0392156863+I1710*0.9607843137))</f>
        <v>0</v>
      </c>
      <c r="J1711">
        <f>IF($E1711="","",IF($E1710="",$E1711,$E1711*0.0198019802+J1710*0.9801980198))</f>
        <v>0</v>
      </c>
      <c r="K1711">
        <f>IF($E1711="","",IF($E1710="",$E1711,$E1711*0.0099502488+K1710*0.9900497512))</f>
        <v>0</v>
      </c>
      <c r="L1711">
        <f>IF(OR($E1711="",$E1710=""),"",MAX($E1711-$E1710,0))</f>
        <v>0</v>
      </c>
      <c r="M1711">
        <f>IF(OR($E1711="",$E1710=""),"",MAX($E1710-$E1711,0))</f>
        <v>0</v>
      </c>
      <c r="N1711">
        <f>IF(COUNT($E$2:$E1711)&lt;15,"",IF(AVERAGE($M$1698:$M$1711)=0,100,100-100/(1+AVERAGE($L$1698:$L$1711)/AVERAGE($M$1698:$M$1711))))</f>
        <v>0</v>
      </c>
      <c r="O1711">
        <f>IF($E1711="","",IF($E1710="",$E1711,$E1711*0.1538461538+O1710*0.8461538462))</f>
        <v>0</v>
      </c>
      <c r="P1711">
        <f>IF($E1711="","",IF($E1710="",$E1711,$E1711*0.0740740741+P1710*0.9259259259))</f>
        <v>0</v>
      </c>
      <c r="Q1711">
        <f>IF(OR(O1711="",P1711=""),"",O1711-P1711)</f>
        <v>0</v>
      </c>
      <c r="R1711">
        <f>IF(Q1711="","",IF(R1710="",Q1711,Q1711*0.2000000000+R1710*0.8000000000))</f>
        <v>0</v>
      </c>
      <c r="S1711">
        <f>IF(OR(Q1711="",R1711=""),"",Q1711-R1711)</f>
        <v>0</v>
      </c>
      <c r="T1711">
        <f>IF(COUNT($E$2:$E1711)&lt;14,"",MAX($C$1698:$C$1711))</f>
        <v>0</v>
      </c>
      <c r="U1711">
        <f>IF(COUNT($E$2:$E1711)&lt;14,"",MIN($D$1698:$D$1711))</f>
        <v>0</v>
      </c>
      <c r="V1711">
        <f>IF(OR(T1711="",U1711="",T1711=U1711),"",100*($E1711-U1711)/(T1711-U1711))</f>
        <v>0</v>
      </c>
      <c r="W1711">
        <f>IF(COUNT($V$1709:$V$1711)&lt;3,"",AVERAGE($V$1709:$V$1711))</f>
        <v>0</v>
      </c>
      <c r="X1711">
        <f>IF(COUNT($N$1698:$N$1711)&lt;14,"",MIN($N$1698:$N$1711))</f>
        <v>0</v>
      </c>
      <c r="Y1711">
        <f>IF(COUNT($N$1698:$N$1711)&lt;14,"",MAX($N$1698:$N$1711))</f>
        <v>0</v>
      </c>
      <c r="Z1711">
        <f>IF(OR(N1711="",X1711="",Y1711="",Y1711=X1711),"",100*(N1711-X1711)/(Y1711-X1711))</f>
        <v>0</v>
      </c>
      <c r="AA1711">
        <f>IF(COUNT($Z$1709:$Z$1711)&lt;3,"",AVERAGE($Z$1709:$Z$1711))</f>
        <v>0</v>
      </c>
      <c r="AB1711">
        <f>IF(COUNT($AA$1709:$AA$1711)&lt;3,"",AVERAGE($AA$1709:$AA$1711))</f>
        <v>0</v>
      </c>
      <c r="AC1711">
        <f>IF($E1711="","",MAX($C1711-$D1711,ABS($C1711-$E1710),ABS($D1711-$E1710)))</f>
        <v>0</v>
      </c>
      <c r="AD1711">
        <f>IF(COUNT($E$2:$E1711)&lt;15,"",AVERAGE($AC$1698:$AC$1711))</f>
        <v>0</v>
      </c>
      <c r="AE1711">
        <f>IF(OR($E1711="",$E1710=""),"",IF(AND(($C1711-$C1710)&gt;($D1710-$D1711),($C1711-$C1710)&gt;0),$C1711-$C1710,0))</f>
        <v>0</v>
      </c>
      <c r="AF1711">
        <f>IF(OR($E1711="",$E1710=""),"",IF(AND(($D1710-$D1711)&gt;($C1711-$C1710),($D1710-$D1711)&gt;0),$D1710-$D1711,0))</f>
        <v>0</v>
      </c>
      <c r="AG1711">
        <f>IF(COUNT($E$2:$E1711)&lt;15,"",IF(SUM($AC$1698:$AC$1711)=0,0,100*SUM($AE$1698:$AE$1711)/SUM($AC$1698:$AC$1711)))</f>
        <v>0</v>
      </c>
      <c r="AH1711">
        <f>IF(COUNT($E$2:$E1711)&lt;15,"",IF(SUM($AC$1698:$AC$1711)=0,0,100*SUM($AF$1698:$AF$1711)/SUM($AC$1698:$AC$1711)))</f>
        <v>0</v>
      </c>
      <c r="AI1711">
        <f>IF(OR(AG1711="",AH1711=""),"",IF((AG1711+AH1711)=0,0,100*ABS(AG1711-AH1711)/(AG1711+AH1711)))</f>
        <v>0</v>
      </c>
      <c r="AJ1711">
        <f>IF(COUNT($AI$1698:$AI$1711)&lt;14,"",AVERAGE($AI$1698:$AI$1711))</f>
        <v>0</v>
      </c>
      <c r="AK1711">
        <f>IF(COUNT($E$2:$E1711)&lt;20,"",AVERAGE($E$1692:$E$1711))</f>
        <v>0</v>
      </c>
      <c r="AL1711">
        <f>IF(COUNT($E$2:$E1711)&lt;20,"",STDEVP($E$1692:$E$1711))</f>
        <v>0</v>
      </c>
      <c r="AM1711">
        <f>IF(AK1711="","",AK1711+2*AL1711)</f>
        <v>0</v>
      </c>
      <c r="AN1711">
        <f>IF(AK1711="","",AK1711-2*AL1711)</f>
        <v>0</v>
      </c>
      <c r="AO1711">
        <f>IF(OR(AM1711="",AN1711="",AM1711=AN1711),"",($E1711-AN1711)/(AM1711-AN1711))</f>
        <v>0</v>
      </c>
      <c r="AP1711">
        <f>IF(OR(AM1711="",AK1711="",AK1711=0),"",(AM1711-AN1711)/AK1711)</f>
        <v>0</v>
      </c>
      <c r="AQ1711">
        <f>IF(COUNT($E$2:$E1711)&lt;20,"",MAX($C$1692:$C$1711))</f>
        <v>0</v>
      </c>
      <c r="AR1711">
        <f>IF(COUNT($E$2:$E1711)&lt;20,"",MIN($D$1692:$D$1711))</f>
        <v>0</v>
      </c>
      <c r="AS1711">
        <f>IF(OR(AQ1711="",AR1711=""),"",(AQ1711+AR1711)/2)</f>
        <v>0</v>
      </c>
      <c r="AT1711">
        <f>IF(COUNT($G$1692:$G$1711)&lt;20,"",STDEV($G$1692:$G$1711)*SQRT(252))</f>
        <v>0</v>
      </c>
      <c r="AU1711">
        <f>IF(COUNT($E$2:$E1711)&lt;9,"",(MAX($C$1703:$C$1711)+MIN($D$1703:$D$1711))/2)</f>
        <v>0</v>
      </c>
      <c r="AV1711">
        <f>IF(COUNT($E$2:$E1711)&lt;26,"",(MAX($C$1686:$C$1711)+MIN($D$1686:$D$1711))/2)</f>
        <v>0</v>
      </c>
      <c r="AW1711">
        <f>IF(OR(AU1711="",AV1711=""),"",(AU1711+AV1711)/2)</f>
        <v>0</v>
      </c>
      <c r="AX1711">
        <f>IF(COUNT($E$2:$E1711)&lt;52,"",(MAX($C$1660:$C$1711)+MIN($D$1660:$D$1711))/2)</f>
        <v>0</v>
      </c>
      <c r="AY1711">
        <f>IF(COUNT($E$2:$E1711)&lt;20,"",MAX($C$1612:$C$1711))</f>
        <v>0</v>
      </c>
      <c r="AZ1711">
        <f>IF(COUNT($E$2:$E1711)&lt;20,"",MIN($D$1612:$D$1711))</f>
        <v>0</v>
      </c>
      <c r="BA1711">
        <f>IF(COUNT($E$2:$E1711)&lt;20,"",SLOPE($E$1612:$E$1711,$F$1612:$F$1711))</f>
        <v>0</v>
      </c>
      <c r="BB1711">
        <f>IF(COUNT($E$2:$E1711)&lt;20,"",INTERCEPT($E$1612:$E$1711,$F$1612:$F$1711))</f>
        <v>0</v>
      </c>
      <c r="BC1711">
        <f>IF(OR(BA1711="",BB1711=""),"",BB1711+BA1711*F1711)</f>
        <v>0</v>
      </c>
      <c r="BD1711">
        <f>IF(COUNT($E$2:$E1711)&lt;20,"",STEYX($E$1612:$E$1711,$F$1612:$F$1711))</f>
        <v>0</v>
      </c>
      <c r="BE1711">
        <f>IF($E1711="","",IF(AND(COUNT($E$1712:$E$1715)&gt;=4,$C1711=MAX($C$1707:$C$1715)),$C1711,""))</f>
        <v>0</v>
      </c>
      <c r="BF1711">
        <f>IF($E1711="","",IF(AND(COUNT($E$1712:$E$1715)&gt;=4,$D1711=MIN($D$1707:$D$1715)),$D1711,""))</f>
        <v>0</v>
      </c>
      <c r="BG1711">
        <f>IF($A1711="","",$A1711-WEEKDAY($A1711,2)+1)</f>
        <v>0</v>
      </c>
      <c r="BH1711">
        <f>IF($A1711="","",IF($A1710="",1,IF(BG1711&lt;&gt;BG1710,1,0)))</f>
        <v>0</v>
      </c>
      <c r="BI1711">
        <f>IF($A1711="","",IF($A1712="",1,IF(BG1712&lt;&gt;BG1711,1,0)))</f>
        <v>0</v>
      </c>
      <c r="BJ1711">
        <f>IF($A1711="","",IF(BH1711=1,$B1711,BJ1710))</f>
        <v>0</v>
      </c>
      <c r="BK1711">
        <f>IF($A1711="","",IF(BH1711=1,$C1711,MAX($C1711,BK1710)))</f>
        <v>0</v>
      </c>
      <c r="BL1711">
        <f>IF($A1711="","",IF(BH1711=1,$D1711,MIN($D1711,BL1710)))</f>
        <v>0</v>
      </c>
      <c r="BM1711">
        <f>IF($A1711="","",IF(BI1711=1,F1711,""))</f>
        <v>0</v>
      </c>
      <c r="BN1711">
        <f>IF($A1711="","",DATE(YEAR($A1711),MONTH($A1711),1))</f>
        <v>0</v>
      </c>
      <c r="BO1711">
        <f>IF($A1711="","",IF($A1710="",1,IF(BN1711&lt;&gt;BN1710,1,0)))</f>
        <v>0</v>
      </c>
      <c r="BP1711">
        <f>IF($A1711="","",IF($A1712="",1,IF(BN1712&lt;&gt;BN1711,1,0)))</f>
        <v>0</v>
      </c>
      <c r="BQ1711">
        <f>IF($A1711="","",IF(BO1711=1,$B1711,BQ1710))</f>
        <v>0</v>
      </c>
      <c r="BR1711">
        <f>IF($A1711="","",IF(BO1711=1,$C1711,MAX($C1711,BR1710)))</f>
        <v>0</v>
      </c>
      <c r="BS1711">
        <f>IF($A1711="","",IF(BO1711=1,$D1711,MIN($D1711,BS1710)))</f>
        <v>0</v>
      </c>
      <c r="BT1711">
        <f>IF($A1711="","",IF(BP1711=1,F1711,""))</f>
        <v>0</v>
      </c>
    </row>
    <row r="1712" spans="1:72">
      <c r="A1712" s="27">
        <f>IF(Data!$A1712="","",Data!$A1712)</f>
        <v>0</v>
      </c>
      <c r="B1712">
        <f>IF(Data!$B1712="","",Data!$B1712)</f>
        <v>0</v>
      </c>
      <c r="C1712">
        <f>IF(Data!$C1712="","",Data!$C1712)</f>
        <v>0</v>
      </c>
      <c r="D1712">
        <f>IF(Data!$D1712="","",Data!$D1712)</f>
        <v>0</v>
      </c>
      <c r="E1712">
        <f>IF(Data!$E1712="","",Data!$E1712)</f>
        <v>0</v>
      </c>
      <c r="F1712">
        <f>IF($E1712="","",N(F1711)+1)</f>
        <v>0</v>
      </c>
      <c r="G1712">
        <f>IF(OR($E1712="",$E1711=""),"",LN($E1712/$E1711))</f>
        <v>0</v>
      </c>
      <c r="H1712">
        <f>IF($E1712="","",IF($E1711="",$E1712,$E1712*0.0952380952+H1711*0.9047619048))</f>
        <v>0</v>
      </c>
      <c r="I1712">
        <f>IF($E1712="","",IF($E1711="",$E1712,$E1712*0.0392156863+I1711*0.9607843137))</f>
        <v>0</v>
      </c>
      <c r="J1712">
        <f>IF($E1712="","",IF($E1711="",$E1712,$E1712*0.0198019802+J1711*0.9801980198))</f>
        <v>0</v>
      </c>
      <c r="K1712">
        <f>IF($E1712="","",IF($E1711="",$E1712,$E1712*0.0099502488+K1711*0.9900497512))</f>
        <v>0</v>
      </c>
      <c r="L1712">
        <f>IF(OR($E1712="",$E1711=""),"",MAX($E1712-$E1711,0))</f>
        <v>0</v>
      </c>
      <c r="M1712">
        <f>IF(OR($E1712="",$E1711=""),"",MAX($E1711-$E1712,0))</f>
        <v>0</v>
      </c>
      <c r="N1712">
        <f>IF(COUNT($E$2:$E1712)&lt;15,"",IF(AVERAGE($M$1699:$M$1712)=0,100,100-100/(1+AVERAGE($L$1699:$L$1712)/AVERAGE($M$1699:$M$1712))))</f>
        <v>0</v>
      </c>
      <c r="O1712">
        <f>IF($E1712="","",IF($E1711="",$E1712,$E1712*0.1538461538+O1711*0.8461538462))</f>
        <v>0</v>
      </c>
      <c r="P1712">
        <f>IF($E1712="","",IF($E1711="",$E1712,$E1712*0.0740740741+P1711*0.9259259259))</f>
        <v>0</v>
      </c>
      <c r="Q1712">
        <f>IF(OR(O1712="",P1712=""),"",O1712-P1712)</f>
        <v>0</v>
      </c>
      <c r="R1712">
        <f>IF(Q1712="","",IF(R1711="",Q1712,Q1712*0.2000000000+R1711*0.8000000000))</f>
        <v>0</v>
      </c>
      <c r="S1712">
        <f>IF(OR(Q1712="",R1712=""),"",Q1712-R1712)</f>
        <v>0</v>
      </c>
      <c r="T1712">
        <f>IF(COUNT($E$2:$E1712)&lt;14,"",MAX($C$1699:$C$1712))</f>
        <v>0</v>
      </c>
      <c r="U1712">
        <f>IF(COUNT($E$2:$E1712)&lt;14,"",MIN($D$1699:$D$1712))</f>
        <v>0</v>
      </c>
      <c r="V1712">
        <f>IF(OR(T1712="",U1712="",T1712=U1712),"",100*($E1712-U1712)/(T1712-U1712))</f>
        <v>0</v>
      </c>
      <c r="W1712">
        <f>IF(COUNT($V$1710:$V$1712)&lt;3,"",AVERAGE($V$1710:$V$1712))</f>
        <v>0</v>
      </c>
      <c r="X1712">
        <f>IF(COUNT($N$1699:$N$1712)&lt;14,"",MIN($N$1699:$N$1712))</f>
        <v>0</v>
      </c>
      <c r="Y1712">
        <f>IF(COUNT($N$1699:$N$1712)&lt;14,"",MAX($N$1699:$N$1712))</f>
        <v>0</v>
      </c>
      <c r="Z1712">
        <f>IF(OR(N1712="",X1712="",Y1712="",Y1712=X1712),"",100*(N1712-X1712)/(Y1712-X1712))</f>
        <v>0</v>
      </c>
      <c r="AA1712">
        <f>IF(COUNT($Z$1710:$Z$1712)&lt;3,"",AVERAGE($Z$1710:$Z$1712))</f>
        <v>0</v>
      </c>
      <c r="AB1712">
        <f>IF(COUNT($AA$1710:$AA$1712)&lt;3,"",AVERAGE($AA$1710:$AA$1712))</f>
        <v>0</v>
      </c>
      <c r="AC1712">
        <f>IF($E1712="","",MAX($C1712-$D1712,ABS($C1712-$E1711),ABS($D1712-$E1711)))</f>
        <v>0</v>
      </c>
      <c r="AD1712">
        <f>IF(COUNT($E$2:$E1712)&lt;15,"",AVERAGE($AC$1699:$AC$1712))</f>
        <v>0</v>
      </c>
      <c r="AE1712">
        <f>IF(OR($E1712="",$E1711=""),"",IF(AND(($C1712-$C1711)&gt;($D1711-$D1712),($C1712-$C1711)&gt;0),$C1712-$C1711,0))</f>
        <v>0</v>
      </c>
      <c r="AF1712">
        <f>IF(OR($E1712="",$E1711=""),"",IF(AND(($D1711-$D1712)&gt;($C1712-$C1711),($D1711-$D1712)&gt;0),$D1711-$D1712,0))</f>
        <v>0</v>
      </c>
      <c r="AG1712">
        <f>IF(COUNT($E$2:$E1712)&lt;15,"",IF(SUM($AC$1699:$AC$1712)=0,0,100*SUM($AE$1699:$AE$1712)/SUM($AC$1699:$AC$1712)))</f>
        <v>0</v>
      </c>
      <c r="AH1712">
        <f>IF(COUNT($E$2:$E1712)&lt;15,"",IF(SUM($AC$1699:$AC$1712)=0,0,100*SUM($AF$1699:$AF$1712)/SUM($AC$1699:$AC$1712)))</f>
        <v>0</v>
      </c>
      <c r="AI1712">
        <f>IF(OR(AG1712="",AH1712=""),"",IF((AG1712+AH1712)=0,0,100*ABS(AG1712-AH1712)/(AG1712+AH1712)))</f>
        <v>0</v>
      </c>
      <c r="AJ1712">
        <f>IF(COUNT($AI$1699:$AI$1712)&lt;14,"",AVERAGE($AI$1699:$AI$1712))</f>
        <v>0</v>
      </c>
      <c r="AK1712">
        <f>IF(COUNT($E$2:$E1712)&lt;20,"",AVERAGE($E$1693:$E$1712))</f>
        <v>0</v>
      </c>
      <c r="AL1712">
        <f>IF(COUNT($E$2:$E1712)&lt;20,"",STDEVP($E$1693:$E$1712))</f>
        <v>0</v>
      </c>
      <c r="AM1712">
        <f>IF(AK1712="","",AK1712+2*AL1712)</f>
        <v>0</v>
      </c>
      <c r="AN1712">
        <f>IF(AK1712="","",AK1712-2*AL1712)</f>
        <v>0</v>
      </c>
      <c r="AO1712">
        <f>IF(OR(AM1712="",AN1712="",AM1712=AN1712),"",($E1712-AN1712)/(AM1712-AN1712))</f>
        <v>0</v>
      </c>
      <c r="AP1712">
        <f>IF(OR(AM1712="",AK1712="",AK1712=0),"",(AM1712-AN1712)/AK1712)</f>
        <v>0</v>
      </c>
      <c r="AQ1712">
        <f>IF(COUNT($E$2:$E1712)&lt;20,"",MAX($C$1693:$C$1712))</f>
        <v>0</v>
      </c>
      <c r="AR1712">
        <f>IF(COUNT($E$2:$E1712)&lt;20,"",MIN($D$1693:$D$1712))</f>
        <v>0</v>
      </c>
      <c r="AS1712">
        <f>IF(OR(AQ1712="",AR1712=""),"",(AQ1712+AR1712)/2)</f>
        <v>0</v>
      </c>
      <c r="AT1712">
        <f>IF(COUNT($G$1693:$G$1712)&lt;20,"",STDEV($G$1693:$G$1712)*SQRT(252))</f>
        <v>0</v>
      </c>
      <c r="AU1712">
        <f>IF(COUNT($E$2:$E1712)&lt;9,"",(MAX($C$1704:$C$1712)+MIN($D$1704:$D$1712))/2)</f>
        <v>0</v>
      </c>
      <c r="AV1712">
        <f>IF(COUNT($E$2:$E1712)&lt;26,"",(MAX($C$1687:$C$1712)+MIN($D$1687:$D$1712))/2)</f>
        <v>0</v>
      </c>
      <c r="AW1712">
        <f>IF(OR(AU1712="",AV1712=""),"",(AU1712+AV1712)/2)</f>
        <v>0</v>
      </c>
      <c r="AX1712">
        <f>IF(COUNT($E$2:$E1712)&lt;52,"",(MAX($C$1661:$C$1712)+MIN($D$1661:$D$1712))/2)</f>
        <v>0</v>
      </c>
      <c r="AY1712">
        <f>IF(COUNT($E$2:$E1712)&lt;20,"",MAX($C$1613:$C$1712))</f>
        <v>0</v>
      </c>
      <c r="AZ1712">
        <f>IF(COUNT($E$2:$E1712)&lt;20,"",MIN($D$1613:$D$1712))</f>
        <v>0</v>
      </c>
      <c r="BA1712">
        <f>IF(COUNT($E$2:$E1712)&lt;20,"",SLOPE($E$1613:$E$1712,$F$1613:$F$1712))</f>
        <v>0</v>
      </c>
      <c r="BB1712">
        <f>IF(COUNT($E$2:$E1712)&lt;20,"",INTERCEPT($E$1613:$E$1712,$F$1613:$F$1712))</f>
        <v>0</v>
      </c>
      <c r="BC1712">
        <f>IF(OR(BA1712="",BB1712=""),"",BB1712+BA1712*F1712)</f>
        <v>0</v>
      </c>
      <c r="BD1712">
        <f>IF(COUNT($E$2:$E1712)&lt;20,"",STEYX($E$1613:$E$1712,$F$1613:$F$1712))</f>
        <v>0</v>
      </c>
      <c r="BE1712">
        <f>IF($E1712="","",IF(AND(COUNT($E$1713:$E$1716)&gt;=4,$C1712=MAX($C$1708:$C$1716)),$C1712,""))</f>
        <v>0</v>
      </c>
      <c r="BF1712">
        <f>IF($E1712="","",IF(AND(COUNT($E$1713:$E$1716)&gt;=4,$D1712=MIN($D$1708:$D$1716)),$D1712,""))</f>
        <v>0</v>
      </c>
      <c r="BG1712">
        <f>IF($A1712="","",$A1712-WEEKDAY($A1712,2)+1)</f>
        <v>0</v>
      </c>
      <c r="BH1712">
        <f>IF($A1712="","",IF($A1711="",1,IF(BG1712&lt;&gt;BG1711,1,0)))</f>
        <v>0</v>
      </c>
      <c r="BI1712">
        <f>IF($A1712="","",IF($A1713="",1,IF(BG1713&lt;&gt;BG1712,1,0)))</f>
        <v>0</v>
      </c>
      <c r="BJ1712">
        <f>IF($A1712="","",IF(BH1712=1,$B1712,BJ1711))</f>
        <v>0</v>
      </c>
      <c r="BK1712">
        <f>IF($A1712="","",IF(BH1712=1,$C1712,MAX($C1712,BK1711)))</f>
        <v>0</v>
      </c>
      <c r="BL1712">
        <f>IF($A1712="","",IF(BH1712=1,$D1712,MIN($D1712,BL1711)))</f>
        <v>0</v>
      </c>
      <c r="BM1712">
        <f>IF($A1712="","",IF(BI1712=1,F1712,""))</f>
        <v>0</v>
      </c>
      <c r="BN1712">
        <f>IF($A1712="","",DATE(YEAR($A1712),MONTH($A1712),1))</f>
        <v>0</v>
      </c>
      <c r="BO1712">
        <f>IF($A1712="","",IF($A1711="",1,IF(BN1712&lt;&gt;BN1711,1,0)))</f>
        <v>0</v>
      </c>
      <c r="BP1712">
        <f>IF($A1712="","",IF($A1713="",1,IF(BN1713&lt;&gt;BN1712,1,0)))</f>
        <v>0</v>
      </c>
      <c r="BQ1712">
        <f>IF($A1712="","",IF(BO1712=1,$B1712,BQ1711))</f>
        <v>0</v>
      </c>
      <c r="BR1712">
        <f>IF($A1712="","",IF(BO1712=1,$C1712,MAX($C1712,BR1711)))</f>
        <v>0</v>
      </c>
      <c r="BS1712">
        <f>IF($A1712="","",IF(BO1712=1,$D1712,MIN($D1712,BS1711)))</f>
        <v>0</v>
      </c>
      <c r="BT1712">
        <f>IF($A1712="","",IF(BP1712=1,F1712,""))</f>
        <v>0</v>
      </c>
    </row>
    <row r="1713" spans="1:72">
      <c r="A1713" s="27">
        <f>IF(Data!$A1713="","",Data!$A1713)</f>
        <v>0</v>
      </c>
      <c r="B1713">
        <f>IF(Data!$B1713="","",Data!$B1713)</f>
        <v>0</v>
      </c>
      <c r="C1713">
        <f>IF(Data!$C1713="","",Data!$C1713)</f>
        <v>0</v>
      </c>
      <c r="D1713">
        <f>IF(Data!$D1713="","",Data!$D1713)</f>
        <v>0</v>
      </c>
      <c r="E1713">
        <f>IF(Data!$E1713="","",Data!$E1713)</f>
        <v>0</v>
      </c>
      <c r="F1713">
        <f>IF($E1713="","",N(F1712)+1)</f>
        <v>0</v>
      </c>
      <c r="G1713">
        <f>IF(OR($E1713="",$E1712=""),"",LN($E1713/$E1712))</f>
        <v>0</v>
      </c>
      <c r="H1713">
        <f>IF($E1713="","",IF($E1712="",$E1713,$E1713*0.0952380952+H1712*0.9047619048))</f>
        <v>0</v>
      </c>
      <c r="I1713">
        <f>IF($E1713="","",IF($E1712="",$E1713,$E1713*0.0392156863+I1712*0.9607843137))</f>
        <v>0</v>
      </c>
      <c r="J1713">
        <f>IF($E1713="","",IF($E1712="",$E1713,$E1713*0.0198019802+J1712*0.9801980198))</f>
        <v>0</v>
      </c>
      <c r="K1713">
        <f>IF($E1713="","",IF($E1712="",$E1713,$E1713*0.0099502488+K1712*0.9900497512))</f>
        <v>0</v>
      </c>
      <c r="L1713">
        <f>IF(OR($E1713="",$E1712=""),"",MAX($E1713-$E1712,0))</f>
        <v>0</v>
      </c>
      <c r="M1713">
        <f>IF(OR($E1713="",$E1712=""),"",MAX($E1712-$E1713,0))</f>
        <v>0</v>
      </c>
      <c r="N1713">
        <f>IF(COUNT($E$2:$E1713)&lt;15,"",IF(AVERAGE($M$1700:$M$1713)=0,100,100-100/(1+AVERAGE($L$1700:$L$1713)/AVERAGE($M$1700:$M$1713))))</f>
        <v>0</v>
      </c>
      <c r="O1713">
        <f>IF($E1713="","",IF($E1712="",$E1713,$E1713*0.1538461538+O1712*0.8461538462))</f>
        <v>0</v>
      </c>
      <c r="P1713">
        <f>IF($E1713="","",IF($E1712="",$E1713,$E1713*0.0740740741+P1712*0.9259259259))</f>
        <v>0</v>
      </c>
      <c r="Q1713">
        <f>IF(OR(O1713="",P1713=""),"",O1713-P1713)</f>
        <v>0</v>
      </c>
      <c r="R1713">
        <f>IF(Q1713="","",IF(R1712="",Q1713,Q1713*0.2000000000+R1712*0.8000000000))</f>
        <v>0</v>
      </c>
      <c r="S1713">
        <f>IF(OR(Q1713="",R1713=""),"",Q1713-R1713)</f>
        <v>0</v>
      </c>
      <c r="T1713">
        <f>IF(COUNT($E$2:$E1713)&lt;14,"",MAX($C$1700:$C$1713))</f>
        <v>0</v>
      </c>
      <c r="U1713">
        <f>IF(COUNT($E$2:$E1713)&lt;14,"",MIN($D$1700:$D$1713))</f>
        <v>0</v>
      </c>
      <c r="V1713">
        <f>IF(OR(T1713="",U1713="",T1713=U1713),"",100*($E1713-U1713)/(T1713-U1713))</f>
        <v>0</v>
      </c>
      <c r="W1713">
        <f>IF(COUNT($V$1711:$V$1713)&lt;3,"",AVERAGE($V$1711:$V$1713))</f>
        <v>0</v>
      </c>
      <c r="X1713">
        <f>IF(COUNT($N$1700:$N$1713)&lt;14,"",MIN($N$1700:$N$1713))</f>
        <v>0</v>
      </c>
      <c r="Y1713">
        <f>IF(COUNT($N$1700:$N$1713)&lt;14,"",MAX($N$1700:$N$1713))</f>
        <v>0</v>
      </c>
      <c r="Z1713">
        <f>IF(OR(N1713="",X1713="",Y1713="",Y1713=X1713),"",100*(N1713-X1713)/(Y1713-X1713))</f>
        <v>0</v>
      </c>
      <c r="AA1713">
        <f>IF(COUNT($Z$1711:$Z$1713)&lt;3,"",AVERAGE($Z$1711:$Z$1713))</f>
        <v>0</v>
      </c>
      <c r="AB1713">
        <f>IF(COUNT($AA$1711:$AA$1713)&lt;3,"",AVERAGE($AA$1711:$AA$1713))</f>
        <v>0</v>
      </c>
      <c r="AC1713">
        <f>IF($E1713="","",MAX($C1713-$D1713,ABS($C1713-$E1712),ABS($D1713-$E1712)))</f>
        <v>0</v>
      </c>
      <c r="AD1713">
        <f>IF(COUNT($E$2:$E1713)&lt;15,"",AVERAGE($AC$1700:$AC$1713))</f>
        <v>0</v>
      </c>
      <c r="AE1713">
        <f>IF(OR($E1713="",$E1712=""),"",IF(AND(($C1713-$C1712)&gt;($D1712-$D1713),($C1713-$C1712)&gt;0),$C1713-$C1712,0))</f>
        <v>0</v>
      </c>
      <c r="AF1713">
        <f>IF(OR($E1713="",$E1712=""),"",IF(AND(($D1712-$D1713)&gt;($C1713-$C1712),($D1712-$D1713)&gt;0),$D1712-$D1713,0))</f>
        <v>0</v>
      </c>
      <c r="AG1713">
        <f>IF(COUNT($E$2:$E1713)&lt;15,"",IF(SUM($AC$1700:$AC$1713)=0,0,100*SUM($AE$1700:$AE$1713)/SUM($AC$1700:$AC$1713)))</f>
        <v>0</v>
      </c>
      <c r="AH1713">
        <f>IF(COUNT($E$2:$E1713)&lt;15,"",IF(SUM($AC$1700:$AC$1713)=0,0,100*SUM($AF$1700:$AF$1713)/SUM($AC$1700:$AC$1713)))</f>
        <v>0</v>
      </c>
      <c r="AI1713">
        <f>IF(OR(AG1713="",AH1713=""),"",IF((AG1713+AH1713)=0,0,100*ABS(AG1713-AH1713)/(AG1713+AH1713)))</f>
        <v>0</v>
      </c>
      <c r="AJ1713">
        <f>IF(COUNT($AI$1700:$AI$1713)&lt;14,"",AVERAGE($AI$1700:$AI$1713))</f>
        <v>0</v>
      </c>
      <c r="AK1713">
        <f>IF(COUNT($E$2:$E1713)&lt;20,"",AVERAGE($E$1694:$E$1713))</f>
        <v>0</v>
      </c>
      <c r="AL1713">
        <f>IF(COUNT($E$2:$E1713)&lt;20,"",STDEVP($E$1694:$E$1713))</f>
        <v>0</v>
      </c>
      <c r="AM1713">
        <f>IF(AK1713="","",AK1713+2*AL1713)</f>
        <v>0</v>
      </c>
      <c r="AN1713">
        <f>IF(AK1713="","",AK1713-2*AL1713)</f>
        <v>0</v>
      </c>
      <c r="AO1713">
        <f>IF(OR(AM1713="",AN1713="",AM1713=AN1713),"",($E1713-AN1713)/(AM1713-AN1713))</f>
        <v>0</v>
      </c>
      <c r="AP1713">
        <f>IF(OR(AM1713="",AK1713="",AK1713=0),"",(AM1713-AN1713)/AK1713)</f>
        <v>0</v>
      </c>
      <c r="AQ1713">
        <f>IF(COUNT($E$2:$E1713)&lt;20,"",MAX($C$1694:$C$1713))</f>
        <v>0</v>
      </c>
      <c r="AR1713">
        <f>IF(COUNT($E$2:$E1713)&lt;20,"",MIN($D$1694:$D$1713))</f>
        <v>0</v>
      </c>
      <c r="AS1713">
        <f>IF(OR(AQ1713="",AR1713=""),"",(AQ1713+AR1713)/2)</f>
        <v>0</v>
      </c>
      <c r="AT1713">
        <f>IF(COUNT($G$1694:$G$1713)&lt;20,"",STDEV($G$1694:$G$1713)*SQRT(252))</f>
        <v>0</v>
      </c>
      <c r="AU1713">
        <f>IF(COUNT($E$2:$E1713)&lt;9,"",(MAX($C$1705:$C$1713)+MIN($D$1705:$D$1713))/2)</f>
        <v>0</v>
      </c>
      <c r="AV1713">
        <f>IF(COUNT($E$2:$E1713)&lt;26,"",(MAX($C$1688:$C$1713)+MIN($D$1688:$D$1713))/2)</f>
        <v>0</v>
      </c>
      <c r="AW1713">
        <f>IF(OR(AU1713="",AV1713=""),"",(AU1713+AV1713)/2)</f>
        <v>0</v>
      </c>
      <c r="AX1713">
        <f>IF(COUNT($E$2:$E1713)&lt;52,"",(MAX($C$1662:$C$1713)+MIN($D$1662:$D$1713))/2)</f>
        <v>0</v>
      </c>
      <c r="AY1713">
        <f>IF(COUNT($E$2:$E1713)&lt;20,"",MAX($C$1614:$C$1713))</f>
        <v>0</v>
      </c>
      <c r="AZ1713">
        <f>IF(COUNT($E$2:$E1713)&lt;20,"",MIN($D$1614:$D$1713))</f>
        <v>0</v>
      </c>
      <c r="BA1713">
        <f>IF(COUNT($E$2:$E1713)&lt;20,"",SLOPE($E$1614:$E$1713,$F$1614:$F$1713))</f>
        <v>0</v>
      </c>
      <c r="BB1713">
        <f>IF(COUNT($E$2:$E1713)&lt;20,"",INTERCEPT($E$1614:$E$1713,$F$1614:$F$1713))</f>
        <v>0</v>
      </c>
      <c r="BC1713">
        <f>IF(OR(BA1713="",BB1713=""),"",BB1713+BA1713*F1713)</f>
        <v>0</v>
      </c>
      <c r="BD1713">
        <f>IF(COUNT($E$2:$E1713)&lt;20,"",STEYX($E$1614:$E$1713,$F$1614:$F$1713))</f>
        <v>0</v>
      </c>
      <c r="BE1713">
        <f>IF($E1713="","",IF(AND(COUNT($E$1714:$E$1717)&gt;=4,$C1713=MAX($C$1709:$C$1717)),$C1713,""))</f>
        <v>0</v>
      </c>
      <c r="BF1713">
        <f>IF($E1713="","",IF(AND(COUNT($E$1714:$E$1717)&gt;=4,$D1713=MIN($D$1709:$D$1717)),$D1713,""))</f>
        <v>0</v>
      </c>
      <c r="BG1713">
        <f>IF($A1713="","",$A1713-WEEKDAY($A1713,2)+1)</f>
        <v>0</v>
      </c>
      <c r="BH1713">
        <f>IF($A1713="","",IF($A1712="",1,IF(BG1713&lt;&gt;BG1712,1,0)))</f>
        <v>0</v>
      </c>
      <c r="BI1713">
        <f>IF($A1713="","",IF($A1714="",1,IF(BG1714&lt;&gt;BG1713,1,0)))</f>
        <v>0</v>
      </c>
      <c r="BJ1713">
        <f>IF($A1713="","",IF(BH1713=1,$B1713,BJ1712))</f>
        <v>0</v>
      </c>
      <c r="BK1713">
        <f>IF($A1713="","",IF(BH1713=1,$C1713,MAX($C1713,BK1712)))</f>
        <v>0</v>
      </c>
      <c r="BL1713">
        <f>IF($A1713="","",IF(BH1713=1,$D1713,MIN($D1713,BL1712)))</f>
        <v>0</v>
      </c>
      <c r="BM1713">
        <f>IF($A1713="","",IF(BI1713=1,F1713,""))</f>
        <v>0</v>
      </c>
      <c r="BN1713">
        <f>IF($A1713="","",DATE(YEAR($A1713),MONTH($A1713),1))</f>
        <v>0</v>
      </c>
      <c r="BO1713">
        <f>IF($A1713="","",IF($A1712="",1,IF(BN1713&lt;&gt;BN1712,1,0)))</f>
        <v>0</v>
      </c>
      <c r="BP1713">
        <f>IF($A1713="","",IF($A1714="",1,IF(BN1714&lt;&gt;BN1713,1,0)))</f>
        <v>0</v>
      </c>
      <c r="BQ1713">
        <f>IF($A1713="","",IF(BO1713=1,$B1713,BQ1712))</f>
        <v>0</v>
      </c>
      <c r="BR1713">
        <f>IF($A1713="","",IF(BO1713=1,$C1713,MAX($C1713,BR1712)))</f>
        <v>0</v>
      </c>
      <c r="BS1713">
        <f>IF($A1713="","",IF(BO1713=1,$D1713,MIN($D1713,BS1712)))</f>
        <v>0</v>
      </c>
      <c r="BT1713">
        <f>IF($A1713="","",IF(BP1713=1,F1713,""))</f>
        <v>0</v>
      </c>
    </row>
    <row r="1714" spans="1:72">
      <c r="A1714" s="27">
        <f>IF(Data!$A1714="","",Data!$A1714)</f>
        <v>0</v>
      </c>
      <c r="B1714">
        <f>IF(Data!$B1714="","",Data!$B1714)</f>
        <v>0</v>
      </c>
      <c r="C1714">
        <f>IF(Data!$C1714="","",Data!$C1714)</f>
        <v>0</v>
      </c>
      <c r="D1714">
        <f>IF(Data!$D1714="","",Data!$D1714)</f>
        <v>0</v>
      </c>
      <c r="E1714">
        <f>IF(Data!$E1714="","",Data!$E1714)</f>
        <v>0</v>
      </c>
      <c r="F1714">
        <f>IF($E1714="","",N(F1713)+1)</f>
        <v>0</v>
      </c>
      <c r="G1714">
        <f>IF(OR($E1714="",$E1713=""),"",LN($E1714/$E1713))</f>
        <v>0</v>
      </c>
      <c r="H1714">
        <f>IF($E1714="","",IF($E1713="",$E1714,$E1714*0.0952380952+H1713*0.9047619048))</f>
        <v>0</v>
      </c>
      <c r="I1714">
        <f>IF($E1714="","",IF($E1713="",$E1714,$E1714*0.0392156863+I1713*0.9607843137))</f>
        <v>0</v>
      </c>
      <c r="J1714">
        <f>IF($E1714="","",IF($E1713="",$E1714,$E1714*0.0198019802+J1713*0.9801980198))</f>
        <v>0</v>
      </c>
      <c r="K1714">
        <f>IF($E1714="","",IF($E1713="",$E1714,$E1714*0.0099502488+K1713*0.9900497512))</f>
        <v>0</v>
      </c>
      <c r="L1714">
        <f>IF(OR($E1714="",$E1713=""),"",MAX($E1714-$E1713,0))</f>
        <v>0</v>
      </c>
      <c r="M1714">
        <f>IF(OR($E1714="",$E1713=""),"",MAX($E1713-$E1714,0))</f>
        <v>0</v>
      </c>
      <c r="N1714">
        <f>IF(COUNT($E$2:$E1714)&lt;15,"",IF(AVERAGE($M$1701:$M$1714)=0,100,100-100/(1+AVERAGE($L$1701:$L$1714)/AVERAGE($M$1701:$M$1714))))</f>
        <v>0</v>
      </c>
      <c r="O1714">
        <f>IF($E1714="","",IF($E1713="",$E1714,$E1714*0.1538461538+O1713*0.8461538462))</f>
        <v>0</v>
      </c>
      <c r="P1714">
        <f>IF($E1714="","",IF($E1713="",$E1714,$E1714*0.0740740741+P1713*0.9259259259))</f>
        <v>0</v>
      </c>
      <c r="Q1714">
        <f>IF(OR(O1714="",P1714=""),"",O1714-P1714)</f>
        <v>0</v>
      </c>
      <c r="R1714">
        <f>IF(Q1714="","",IF(R1713="",Q1714,Q1714*0.2000000000+R1713*0.8000000000))</f>
        <v>0</v>
      </c>
      <c r="S1714">
        <f>IF(OR(Q1714="",R1714=""),"",Q1714-R1714)</f>
        <v>0</v>
      </c>
      <c r="T1714">
        <f>IF(COUNT($E$2:$E1714)&lt;14,"",MAX($C$1701:$C$1714))</f>
        <v>0</v>
      </c>
      <c r="U1714">
        <f>IF(COUNT($E$2:$E1714)&lt;14,"",MIN($D$1701:$D$1714))</f>
        <v>0</v>
      </c>
      <c r="V1714">
        <f>IF(OR(T1714="",U1714="",T1714=U1714),"",100*($E1714-U1714)/(T1714-U1714))</f>
        <v>0</v>
      </c>
      <c r="W1714">
        <f>IF(COUNT($V$1712:$V$1714)&lt;3,"",AVERAGE($V$1712:$V$1714))</f>
        <v>0</v>
      </c>
      <c r="X1714">
        <f>IF(COUNT($N$1701:$N$1714)&lt;14,"",MIN($N$1701:$N$1714))</f>
        <v>0</v>
      </c>
      <c r="Y1714">
        <f>IF(COUNT($N$1701:$N$1714)&lt;14,"",MAX($N$1701:$N$1714))</f>
        <v>0</v>
      </c>
      <c r="Z1714">
        <f>IF(OR(N1714="",X1714="",Y1714="",Y1714=X1714),"",100*(N1714-X1714)/(Y1714-X1714))</f>
        <v>0</v>
      </c>
      <c r="AA1714">
        <f>IF(COUNT($Z$1712:$Z$1714)&lt;3,"",AVERAGE($Z$1712:$Z$1714))</f>
        <v>0</v>
      </c>
      <c r="AB1714">
        <f>IF(COUNT($AA$1712:$AA$1714)&lt;3,"",AVERAGE($AA$1712:$AA$1714))</f>
        <v>0</v>
      </c>
      <c r="AC1714">
        <f>IF($E1714="","",MAX($C1714-$D1714,ABS($C1714-$E1713),ABS($D1714-$E1713)))</f>
        <v>0</v>
      </c>
      <c r="AD1714">
        <f>IF(COUNT($E$2:$E1714)&lt;15,"",AVERAGE($AC$1701:$AC$1714))</f>
        <v>0</v>
      </c>
      <c r="AE1714">
        <f>IF(OR($E1714="",$E1713=""),"",IF(AND(($C1714-$C1713)&gt;($D1713-$D1714),($C1714-$C1713)&gt;0),$C1714-$C1713,0))</f>
        <v>0</v>
      </c>
      <c r="AF1714">
        <f>IF(OR($E1714="",$E1713=""),"",IF(AND(($D1713-$D1714)&gt;($C1714-$C1713),($D1713-$D1714)&gt;0),$D1713-$D1714,0))</f>
        <v>0</v>
      </c>
      <c r="AG1714">
        <f>IF(COUNT($E$2:$E1714)&lt;15,"",IF(SUM($AC$1701:$AC$1714)=0,0,100*SUM($AE$1701:$AE$1714)/SUM($AC$1701:$AC$1714)))</f>
        <v>0</v>
      </c>
      <c r="AH1714">
        <f>IF(COUNT($E$2:$E1714)&lt;15,"",IF(SUM($AC$1701:$AC$1714)=0,0,100*SUM($AF$1701:$AF$1714)/SUM($AC$1701:$AC$1714)))</f>
        <v>0</v>
      </c>
      <c r="AI1714">
        <f>IF(OR(AG1714="",AH1714=""),"",IF((AG1714+AH1714)=0,0,100*ABS(AG1714-AH1714)/(AG1714+AH1714)))</f>
        <v>0</v>
      </c>
      <c r="AJ1714">
        <f>IF(COUNT($AI$1701:$AI$1714)&lt;14,"",AVERAGE($AI$1701:$AI$1714))</f>
        <v>0</v>
      </c>
      <c r="AK1714">
        <f>IF(COUNT($E$2:$E1714)&lt;20,"",AVERAGE($E$1695:$E$1714))</f>
        <v>0</v>
      </c>
      <c r="AL1714">
        <f>IF(COUNT($E$2:$E1714)&lt;20,"",STDEVP($E$1695:$E$1714))</f>
        <v>0</v>
      </c>
      <c r="AM1714">
        <f>IF(AK1714="","",AK1714+2*AL1714)</f>
        <v>0</v>
      </c>
      <c r="AN1714">
        <f>IF(AK1714="","",AK1714-2*AL1714)</f>
        <v>0</v>
      </c>
      <c r="AO1714">
        <f>IF(OR(AM1714="",AN1714="",AM1714=AN1714),"",($E1714-AN1714)/(AM1714-AN1714))</f>
        <v>0</v>
      </c>
      <c r="AP1714">
        <f>IF(OR(AM1714="",AK1714="",AK1714=0),"",(AM1714-AN1714)/AK1714)</f>
        <v>0</v>
      </c>
      <c r="AQ1714">
        <f>IF(COUNT($E$2:$E1714)&lt;20,"",MAX($C$1695:$C$1714))</f>
        <v>0</v>
      </c>
      <c r="AR1714">
        <f>IF(COUNT($E$2:$E1714)&lt;20,"",MIN($D$1695:$D$1714))</f>
        <v>0</v>
      </c>
      <c r="AS1714">
        <f>IF(OR(AQ1714="",AR1714=""),"",(AQ1714+AR1714)/2)</f>
        <v>0</v>
      </c>
      <c r="AT1714">
        <f>IF(COUNT($G$1695:$G$1714)&lt;20,"",STDEV($G$1695:$G$1714)*SQRT(252))</f>
        <v>0</v>
      </c>
      <c r="AU1714">
        <f>IF(COUNT($E$2:$E1714)&lt;9,"",(MAX($C$1706:$C$1714)+MIN($D$1706:$D$1714))/2)</f>
        <v>0</v>
      </c>
      <c r="AV1714">
        <f>IF(COUNT($E$2:$E1714)&lt;26,"",(MAX($C$1689:$C$1714)+MIN($D$1689:$D$1714))/2)</f>
        <v>0</v>
      </c>
      <c r="AW1714">
        <f>IF(OR(AU1714="",AV1714=""),"",(AU1714+AV1714)/2)</f>
        <v>0</v>
      </c>
      <c r="AX1714">
        <f>IF(COUNT($E$2:$E1714)&lt;52,"",(MAX($C$1663:$C$1714)+MIN($D$1663:$D$1714))/2)</f>
        <v>0</v>
      </c>
      <c r="AY1714">
        <f>IF(COUNT($E$2:$E1714)&lt;20,"",MAX($C$1615:$C$1714))</f>
        <v>0</v>
      </c>
      <c r="AZ1714">
        <f>IF(COUNT($E$2:$E1714)&lt;20,"",MIN($D$1615:$D$1714))</f>
        <v>0</v>
      </c>
      <c r="BA1714">
        <f>IF(COUNT($E$2:$E1714)&lt;20,"",SLOPE($E$1615:$E$1714,$F$1615:$F$1714))</f>
        <v>0</v>
      </c>
      <c r="BB1714">
        <f>IF(COUNT($E$2:$E1714)&lt;20,"",INTERCEPT($E$1615:$E$1714,$F$1615:$F$1714))</f>
        <v>0</v>
      </c>
      <c r="BC1714">
        <f>IF(OR(BA1714="",BB1714=""),"",BB1714+BA1714*F1714)</f>
        <v>0</v>
      </c>
      <c r="BD1714">
        <f>IF(COUNT($E$2:$E1714)&lt;20,"",STEYX($E$1615:$E$1714,$F$1615:$F$1714))</f>
        <v>0</v>
      </c>
      <c r="BE1714">
        <f>IF($E1714="","",IF(AND(COUNT($E$1715:$E$1718)&gt;=4,$C1714=MAX($C$1710:$C$1718)),$C1714,""))</f>
        <v>0</v>
      </c>
      <c r="BF1714">
        <f>IF($E1714="","",IF(AND(COUNT($E$1715:$E$1718)&gt;=4,$D1714=MIN($D$1710:$D$1718)),$D1714,""))</f>
        <v>0</v>
      </c>
      <c r="BG1714">
        <f>IF($A1714="","",$A1714-WEEKDAY($A1714,2)+1)</f>
        <v>0</v>
      </c>
      <c r="BH1714">
        <f>IF($A1714="","",IF($A1713="",1,IF(BG1714&lt;&gt;BG1713,1,0)))</f>
        <v>0</v>
      </c>
      <c r="BI1714">
        <f>IF($A1714="","",IF($A1715="",1,IF(BG1715&lt;&gt;BG1714,1,0)))</f>
        <v>0</v>
      </c>
      <c r="BJ1714">
        <f>IF($A1714="","",IF(BH1714=1,$B1714,BJ1713))</f>
        <v>0</v>
      </c>
      <c r="BK1714">
        <f>IF($A1714="","",IF(BH1714=1,$C1714,MAX($C1714,BK1713)))</f>
        <v>0</v>
      </c>
      <c r="BL1714">
        <f>IF($A1714="","",IF(BH1714=1,$D1714,MIN($D1714,BL1713)))</f>
        <v>0</v>
      </c>
      <c r="BM1714">
        <f>IF($A1714="","",IF(BI1714=1,F1714,""))</f>
        <v>0</v>
      </c>
      <c r="BN1714">
        <f>IF($A1714="","",DATE(YEAR($A1714),MONTH($A1714),1))</f>
        <v>0</v>
      </c>
      <c r="BO1714">
        <f>IF($A1714="","",IF($A1713="",1,IF(BN1714&lt;&gt;BN1713,1,0)))</f>
        <v>0</v>
      </c>
      <c r="BP1714">
        <f>IF($A1714="","",IF($A1715="",1,IF(BN1715&lt;&gt;BN1714,1,0)))</f>
        <v>0</v>
      </c>
      <c r="BQ1714">
        <f>IF($A1714="","",IF(BO1714=1,$B1714,BQ1713))</f>
        <v>0</v>
      </c>
      <c r="BR1714">
        <f>IF($A1714="","",IF(BO1714=1,$C1714,MAX($C1714,BR1713)))</f>
        <v>0</v>
      </c>
      <c r="BS1714">
        <f>IF($A1714="","",IF(BO1714=1,$D1714,MIN($D1714,BS1713)))</f>
        <v>0</v>
      </c>
      <c r="BT1714">
        <f>IF($A1714="","",IF(BP1714=1,F1714,""))</f>
        <v>0</v>
      </c>
    </row>
    <row r="1715" spans="1:72">
      <c r="A1715" s="27">
        <f>IF(Data!$A1715="","",Data!$A1715)</f>
        <v>0</v>
      </c>
      <c r="B1715">
        <f>IF(Data!$B1715="","",Data!$B1715)</f>
        <v>0</v>
      </c>
      <c r="C1715">
        <f>IF(Data!$C1715="","",Data!$C1715)</f>
        <v>0</v>
      </c>
      <c r="D1715">
        <f>IF(Data!$D1715="","",Data!$D1715)</f>
        <v>0</v>
      </c>
      <c r="E1715">
        <f>IF(Data!$E1715="","",Data!$E1715)</f>
        <v>0</v>
      </c>
      <c r="F1715">
        <f>IF($E1715="","",N(F1714)+1)</f>
        <v>0</v>
      </c>
      <c r="G1715">
        <f>IF(OR($E1715="",$E1714=""),"",LN($E1715/$E1714))</f>
        <v>0</v>
      </c>
      <c r="H1715">
        <f>IF($E1715="","",IF($E1714="",$E1715,$E1715*0.0952380952+H1714*0.9047619048))</f>
        <v>0</v>
      </c>
      <c r="I1715">
        <f>IF($E1715="","",IF($E1714="",$E1715,$E1715*0.0392156863+I1714*0.9607843137))</f>
        <v>0</v>
      </c>
      <c r="J1715">
        <f>IF($E1715="","",IF($E1714="",$E1715,$E1715*0.0198019802+J1714*0.9801980198))</f>
        <v>0</v>
      </c>
      <c r="K1715">
        <f>IF($E1715="","",IF($E1714="",$E1715,$E1715*0.0099502488+K1714*0.9900497512))</f>
        <v>0</v>
      </c>
      <c r="L1715">
        <f>IF(OR($E1715="",$E1714=""),"",MAX($E1715-$E1714,0))</f>
        <v>0</v>
      </c>
      <c r="M1715">
        <f>IF(OR($E1715="",$E1714=""),"",MAX($E1714-$E1715,0))</f>
        <v>0</v>
      </c>
      <c r="N1715">
        <f>IF(COUNT($E$2:$E1715)&lt;15,"",IF(AVERAGE($M$1702:$M$1715)=0,100,100-100/(1+AVERAGE($L$1702:$L$1715)/AVERAGE($M$1702:$M$1715))))</f>
        <v>0</v>
      </c>
      <c r="O1715">
        <f>IF($E1715="","",IF($E1714="",$E1715,$E1715*0.1538461538+O1714*0.8461538462))</f>
        <v>0</v>
      </c>
      <c r="P1715">
        <f>IF($E1715="","",IF($E1714="",$E1715,$E1715*0.0740740741+P1714*0.9259259259))</f>
        <v>0</v>
      </c>
      <c r="Q1715">
        <f>IF(OR(O1715="",P1715=""),"",O1715-P1715)</f>
        <v>0</v>
      </c>
      <c r="R1715">
        <f>IF(Q1715="","",IF(R1714="",Q1715,Q1715*0.2000000000+R1714*0.8000000000))</f>
        <v>0</v>
      </c>
      <c r="S1715">
        <f>IF(OR(Q1715="",R1715=""),"",Q1715-R1715)</f>
        <v>0</v>
      </c>
      <c r="T1715">
        <f>IF(COUNT($E$2:$E1715)&lt;14,"",MAX($C$1702:$C$1715))</f>
        <v>0</v>
      </c>
      <c r="U1715">
        <f>IF(COUNT($E$2:$E1715)&lt;14,"",MIN($D$1702:$D$1715))</f>
        <v>0</v>
      </c>
      <c r="V1715">
        <f>IF(OR(T1715="",U1715="",T1715=U1715),"",100*($E1715-U1715)/(T1715-U1715))</f>
        <v>0</v>
      </c>
      <c r="W1715">
        <f>IF(COUNT($V$1713:$V$1715)&lt;3,"",AVERAGE($V$1713:$V$1715))</f>
        <v>0</v>
      </c>
      <c r="X1715">
        <f>IF(COUNT($N$1702:$N$1715)&lt;14,"",MIN($N$1702:$N$1715))</f>
        <v>0</v>
      </c>
      <c r="Y1715">
        <f>IF(COUNT($N$1702:$N$1715)&lt;14,"",MAX($N$1702:$N$1715))</f>
        <v>0</v>
      </c>
      <c r="Z1715">
        <f>IF(OR(N1715="",X1715="",Y1715="",Y1715=X1715),"",100*(N1715-X1715)/(Y1715-X1715))</f>
        <v>0</v>
      </c>
      <c r="AA1715">
        <f>IF(COUNT($Z$1713:$Z$1715)&lt;3,"",AVERAGE($Z$1713:$Z$1715))</f>
        <v>0</v>
      </c>
      <c r="AB1715">
        <f>IF(COUNT($AA$1713:$AA$1715)&lt;3,"",AVERAGE($AA$1713:$AA$1715))</f>
        <v>0</v>
      </c>
      <c r="AC1715">
        <f>IF($E1715="","",MAX($C1715-$D1715,ABS($C1715-$E1714),ABS($D1715-$E1714)))</f>
        <v>0</v>
      </c>
      <c r="AD1715">
        <f>IF(COUNT($E$2:$E1715)&lt;15,"",AVERAGE($AC$1702:$AC$1715))</f>
        <v>0</v>
      </c>
      <c r="AE1715">
        <f>IF(OR($E1715="",$E1714=""),"",IF(AND(($C1715-$C1714)&gt;($D1714-$D1715),($C1715-$C1714)&gt;0),$C1715-$C1714,0))</f>
        <v>0</v>
      </c>
      <c r="AF1715">
        <f>IF(OR($E1715="",$E1714=""),"",IF(AND(($D1714-$D1715)&gt;($C1715-$C1714),($D1714-$D1715)&gt;0),$D1714-$D1715,0))</f>
        <v>0</v>
      </c>
      <c r="AG1715">
        <f>IF(COUNT($E$2:$E1715)&lt;15,"",IF(SUM($AC$1702:$AC$1715)=0,0,100*SUM($AE$1702:$AE$1715)/SUM($AC$1702:$AC$1715)))</f>
        <v>0</v>
      </c>
      <c r="AH1715">
        <f>IF(COUNT($E$2:$E1715)&lt;15,"",IF(SUM($AC$1702:$AC$1715)=0,0,100*SUM($AF$1702:$AF$1715)/SUM($AC$1702:$AC$1715)))</f>
        <v>0</v>
      </c>
      <c r="AI1715">
        <f>IF(OR(AG1715="",AH1715=""),"",IF((AG1715+AH1715)=0,0,100*ABS(AG1715-AH1715)/(AG1715+AH1715)))</f>
        <v>0</v>
      </c>
      <c r="AJ1715">
        <f>IF(COUNT($AI$1702:$AI$1715)&lt;14,"",AVERAGE($AI$1702:$AI$1715))</f>
        <v>0</v>
      </c>
      <c r="AK1715">
        <f>IF(COUNT($E$2:$E1715)&lt;20,"",AVERAGE($E$1696:$E$1715))</f>
        <v>0</v>
      </c>
      <c r="AL1715">
        <f>IF(COUNT($E$2:$E1715)&lt;20,"",STDEVP($E$1696:$E$1715))</f>
        <v>0</v>
      </c>
      <c r="AM1715">
        <f>IF(AK1715="","",AK1715+2*AL1715)</f>
        <v>0</v>
      </c>
      <c r="AN1715">
        <f>IF(AK1715="","",AK1715-2*AL1715)</f>
        <v>0</v>
      </c>
      <c r="AO1715">
        <f>IF(OR(AM1715="",AN1715="",AM1715=AN1715),"",($E1715-AN1715)/(AM1715-AN1715))</f>
        <v>0</v>
      </c>
      <c r="AP1715">
        <f>IF(OR(AM1715="",AK1715="",AK1715=0),"",(AM1715-AN1715)/AK1715)</f>
        <v>0</v>
      </c>
      <c r="AQ1715">
        <f>IF(COUNT($E$2:$E1715)&lt;20,"",MAX($C$1696:$C$1715))</f>
        <v>0</v>
      </c>
      <c r="AR1715">
        <f>IF(COUNT($E$2:$E1715)&lt;20,"",MIN($D$1696:$D$1715))</f>
        <v>0</v>
      </c>
      <c r="AS1715">
        <f>IF(OR(AQ1715="",AR1715=""),"",(AQ1715+AR1715)/2)</f>
        <v>0</v>
      </c>
      <c r="AT1715">
        <f>IF(COUNT($G$1696:$G$1715)&lt;20,"",STDEV($G$1696:$G$1715)*SQRT(252))</f>
        <v>0</v>
      </c>
      <c r="AU1715">
        <f>IF(COUNT($E$2:$E1715)&lt;9,"",(MAX($C$1707:$C$1715)+MIN($D$1707:$D$1715))/2)</f>
        <v>0</v>
      </c>
      <c r="AV1715">
        <f>IF(COUNT($E$2:$E1715)&lt;26,"",(MAX($C$1690:$C$1715)+MIN($D$1690:$D$1715))/2)</f>
        <v>0</v>
      </c>
      <c r="AW1715">
        <f>IF(OR(AU1715="",AV1715=""),"",(AU1715+AV1715)/2)</f>
        <v>0</v>
      </c>
      <c r="AX1715">
        <f>IF(COUNT($E$2:$E1715)&lt;52,"",(MAX($C$1664:$C$1715)+MIN($D$1664:$D$1715))/2)</f>
        <v>0</v>
      </c>
      <c r="AY1715">
        <f>IF(COUNT($E$2:$E1715)&lt;20,"",MAX($C$1616:$C$1715))</f>
        <v>0</v>
      </c>
      <c r="AZ1715">
        <f>IF(COUNT($E$2:$E1715)&lt;20,"",MIN($D$1616:$D$1715))</f>
        <v>0</v>
      </c>
      <c r="BA1715">
        <f>IF(COUNT($E$2:$E1715)&lt;20,"",SLOPE($E$1616:$E$1715,$F$1616:$F$1715))</f>
        <v>0</v>
      </c>
      <c r="BB1715">
        <f>IF(COUNT($E$2:$E1715)&lt;20,"",INTERCEPT($E$1616:$E$1715,$F$1616:$F$1715))</f>
        <v>0</v>
      </c>
      <c r="BC1715">
        <f>IF(OR(BA1715="",BB1715=""),"",BB1715+BA1715*F1715)</f>
        <v>0</v>
      </c>
      <c r="BD1715">
        <f>IF(COUNT($E$2:$E1715)&lt;20,"",STEYX($E$1616:$E$1715,$F$1616:$F$1715))</f>
        <v>0</v>
      </c>
      <c r="BE1715">
        <f>IF($E1715="","",IF(AND(COUNT($E$1716:$E$1719)&gt;=4,$C1715=MAX($C$1711:$C$1719)),$C1715,""))</f>
        <v>0</v>
      </c>
      <c r="BF1715">
        <f>IF($E1715="","",IF(AND(COUNT($E$1716:$E$1719)&gt;=4,$D1715=MIN($D$1711:$D$1719)),$D1715,""))</f>
        <v>0</v>
      </c>
      <c r="BG1715">
        <f>IF($A1715="","",$A1715-WEEKDAY($A1715,2)+1)</f>
        <v>0</v>
      </c>
      <c r="BH1715">
        <f>IF($A1715="","",IF($A1714="",1,IF(BG1715&lt;&gt;BG1714,1,0)))</f>
        <v>0</v>
      </c>
      <c r="BI1715">
        <f>IF($A1715="","",IF($A1716="",1,IF(BG1716&lt;&gt;BG1715,1,0)))</f>
        <v>0</v>
      </c>
      <c r="BJ1715">
        <f>IF($A1715="","",IF(BH1715=1,$B1715,BJ1714))</f>
        <v>0</v>
      </c>
      <c r="BK1715">
        <f>IF($A1715="","",IF(BH1715=1,$C1715,MAX($C1715,BK1714)))</f>
        <v>0</v>
      </c>
      <c r="BL1715">
        <f>IF($A1715="","",IF(BH1715=1,$D1715,MIN($D1715,BL1714)))</f>
        <v>0</v>
      </c>
      <c r="BM1715">
        <f>IF($A1715="","",IF(BI1715=1,F1715,""))</f>
        <v>0</v>
      </c>
      <c r="BN1715">
        <f>IF($A1715="","",DATE(YEAR($A1715),MONTH($A1715),1))</f>
        <v>0</v>
      </c>
      <c r="BO1715">
        <f>IF($A1715="","",IF($A1714="",1,IF(BN1715&lt;&gt;BN1714,1,0)))</f>
        <v>0</v>
      </c>
      <c r="BP1715">
        <f>IF($A1715="","",IF($A1716="",1,IF(BN1716&lt;&gt;BN1715,1,0)))</f>
        <v>0</v>
      </c>
      <c r="BQ1715">
        <f>IF($A1715="","",IF(BO1715=1,$B1715,BQ1714))</f>
        <v>0</v>
      </c>
      <c r="BR1715">
        <f>IF($A1715="","",IF(BO1715=1,$C1715,MAX($C1715,BR1714)))</f>
        <v>0</v>
      </c>
      <c r="BS1715">
        <f>IF($A1715="","",IF(BO1715=1,$D1715,MIN($D1715,BS1714)))</f>
        <v>0</v>
      </c>
      <c r="BT1715">
        <f>IF($A1715="","",IF(BP1715=1,F1715,""))</f>
        <v>0</v>
      </c>
    </row>
    <row r="1716" spans="1:72">
      <c r="A1716" s="27">
        <f>IF(Data!$A1716="","",Data!$A1716)</f>
        <v>0</v>
      </c>
      <c r="B1716">
        <f>IF(Data!$B1716="","",Data!$B1716)</f>
        <v>0</v>
      </c>
      <c r="C1716">
        <f>IF(Data!$C1716="","",Data!$C1716)</f>
        <v>0</v>
      </c>
      <c r="D1716">
        <f>IF(Data!$D1716="","",Data!$D1716)</f>
        <v>0</v>
      </c>
      <c r="E1716">
        <f>IF(Data!$E1716="","",Data!$E1716)</f>
        <v>0</v>
      </c>
      <c r="F1716">
        <f>IF($E1716="","",N(F1715)+1)</f>
        <v>0</v>
      </c>
      <c r="G1716">
        <f>IF(OR($E1716="",$E1715=""),"",LN($E1716/$E1715))</f>
        <v>0</v>
      </c>
      <c r="H1716">
        <f>IF($E1716="","",IF($E1715="",$E1716,$E1716*0.0952380952+H1715*0.9047619048))</f>
        <v>0</v>
      </c>
      <c r="I1716">
        <f>IF($E1716="","",IF($E1715="",$E1716,$E1716*0.0392156863+I1715*0.9607843137))</f>
        <v>0</v>
      </c>
      <c r="J1716">
        <f>IF($E1716="","",IF($E1715="",$E1716,$E1716*0.0198019802+J1715*0.9801980198))</f>
        <v>0</v>
      </c>
      <c r="K1716">
        <f>IF($E1716="","",IF($E1715="",$E1716,$E1716*0.0099502488+K1715*0.9900497512))</f>
        <v>0</v>
      </c>
      <c r="L1716">
        <f>IF(OR($E1716="",$E1715=""),"",MAX($E1716-$E1715,0))</f>
        <v>0</v>
      </c>
      <c r="M1716">
        <f>IF(OR($E1716="",$E1715=""),"",MAX($E1715-$E1716,0))</f>
        <v>0</v>
      </c>
      <c r="N1716">
        <f>IF(COUNT($E$2:$E1716)&lt;15,"",IF(AVERAGE($M$1703:$M$1716)=0,100,100-100/(1+AVERAGE($L$1703:$L$1716)/AVERAGE($M$1703:$M$1716))))</f>
        <v>0</v>
      </c>
      <c r="O1716">
        <f>IF($E1716="","",IF($E1715="",$E1716,$E1716*0.1538461538+O1715*0.8461538462))</f>
        <v>0</v>
      </c>
      <c r="P1716">
        <f>IF($E1716="","",IF($E1715="",$E1716,$E1716*0.0740740741+P1715*0.9259259259))</f>
        <v>0</v>
      </c>
      <c r="Q1716">
        <f>IF(OR(O1716="",P1716=""),"",O1716-P1716)</f>
        <v>0</v>
      </c>
      <c r="R1716">
        <f>IF(Q1716="","",IF(R1715="",Q1716,Q1716*0.2000000000+R1715*0.8000000000))</f>
        <v>0</v>
      </c>
      <c r="S1716">
        <f>IF(OR(Q1716="",R1716=""),"",Q1716-R1716)</f>
        <v>0</v>
      </c>
      <c r="T1716">
        <f>IF(COUNT($E$2:$E1716)&lt;14,"",MAX($C$1703:$C$1716))</f>
        <v>0</v>
      </c>
      <c r="U1716">
        <f>IF(COUNT($E$2:$E1716)&lt;14,"",MIN($D$1703:$D$1716))</f>
        <v>0</v>
      </c>
      <c r="V1716">
        <f>IF(OR(T1716="",U1716="",T1716=U1716),"",100*($E1716-U1716)/(T1716-U1716))</f>
        <v>0</v>
      </c>
      <c r="W1716">
        <f>IF(COUNT($V$1714:$V$1716)&lt;3,"",AVERAGE($V$1714:$V$1716))</f>
        <v>0</v>
      </c>
      <c r="X1716">
        <f>IF(COUNT($N$1703:$N$1716)&lt;14,"",MIN($N$1703:$N$1716))</f>
        <v>0</v>
      </c>
      <c r="Y1716">
        <f>IF(COUNT($N$1703:$N$1716)&lt;14,"",MAX($N$1703:$N$1716))</f>
        <v>0</v>
      </c>
      <c r="Z1716">
        <f>IF(OR(N1716="",X1716="",Y1716="",Y1716=X1716),"",100*(N1716-X1716)/(Y1716-X1716))</f>
        <v>0</v>
      </c>
      <c r="AA1716">
        <f>IF(COUNT($Z$1714:$Z$1716)&lt;3,"",AVERAGE($Z$1714:$Z$1716))</f>
        <v>0</v>
      </c>
      <c r="AB1716">
        <f>IF(COUNT($AA$1714:$AA$1716)&lt;3,"",AVERAGE($AA$1714:$AA$1716))</f>
        <v>0</v>
      </c>
      <c r="AC1716">
        <f>IF($E1716="","",MAX($C1716-$D1716,ABS($C1716-$E1715),ABS($D1716-$E1715)))</f>
        <v>0</v>
      </c>
      <c r="AD1716">
        <f>IF(COUNT($E$2:$E1716)&lt;15,"",AVERAGE($AC$1703:$AC$1716))</f>
        <v>0</v>
      </c>
      <c r="AE1716">
        <f>IF(OR($E1716="",$E1715=""),"",IF(AND(($C1716-$C1715)&gt;($D1715-$D1716),($C1716-$C1715)&gt;0),$C1716-$C1715,0))</f>
        <v>0</v>
      </c>
      <c r="AF1716">
        <f>IF(OR($E1716="",$E1715=""),"",IF(AND(($D1715-$D1716)&gt;($C1716-$C1715),($D1715-$D1716)&gt;0),$D1715-$D1716,0))</f>
        <v>0</v>
      </c>
      <c r="AG1716">
        <f>IF(COUNT($E$2:$E1716)&lt;15,"",IF(SUM($AC$1703:$AC$1716)=0,0,100*SUM($AE$1703:$AE$1716)/SUM($AC$1703:$AC$1716)))</f>
        <v>0</v>
      </c>
      <c r="AH1716">
        <f>IF(COUNT($E$2:$E1716)&lt;15,"",IF(SUM($AC$1703:$AC$1716)=0,0,100*SUM($AF$1703:$AF$1716)/SUM($AC$1703:$AC$1716)))</f>
        <v>0</v>
      </c>
      <c r="AI1716">
        <f>IF(OR(AG1716="",AH1716=""),"",IF((AG1716+AH1716)=0,0,100*ABS(AG1716-AH1716)/(AG1716+AH1716)))</f>
        <v>0</v>
      </c>
      <c r="AJ1716">
        <f>IF(COUNT($AI$1703:$AI$1716)&lt;14,"",AVERAGE($AI$1703:$AI$1716))</f>
        <v>0</v>
      </c>
      <c r="AK1716">
        <f>IF(COUNT($E$2:$E1716)&lt;20,"",AVERAGE($E$1697:$E$1716))</f>
        <v>0</v>
      </c>
      <c r="AL1716">
        <f>IF(COUNT($E$2:$E1716)&lt;20,"",STDEVP($E$1697:$E$1716))</f>
        <v>0</v>
      </c>
      <c r="AM1716">
        <f>IF(AK1716="","",AK1716+2*AL1716)</f>
        <v>0</v>
      </c>
      <c r="AN1716">
        <f>IF(AK1716="","",AK1716-2*AL1716)</f>
        <v>0</v>
      </c>
      <c r="AO1716">
        <f>IF(OR(AM1716="",AN1716="",AM1716=AN1716),"",($E1716-AN1716)/(AM1716-AN1716))</f>
        <v>0</v>
      </c>
      <c r="AP1716">
        <f>IF(OR(AM1716="",AK1716="",AK1716=0),"",(AM1716-AN1716)/AK1716)</f>
        <v>0</v>
      </c>
      <c r="AQ1716">
        <f>IF(COUNT($E$2:$E1716)&lt;20,"",MAX($C$1697:$C$1716))</f>
        <v>0</v>
      </c>
      <c r="AR1716">
        <f>IF(COUNT($E$2:$E1716)&lt;20,"",MIN($D$1697:$D$1716))</f>
        <v>0</v>
      </c>
      <c r="AS1716">
        <f>IF(OR(AQ1716="",AR1716=""),"",(AQ1716+AR1716)/2)</f>
        <v>0</v>
      </c>
      <c r="AT1716">
        <f>IF(COUNT($G$1697:$G$1716)&lt;20,"",STDEV($G$1697:$G$1716)*SQRT(252))</f>
        <v>0</v>
      </c>
      <c r="AU1716">
        <f>IF(COUNT($E$2:$E1716)&lt;9,"",(MAX($C$1708:$C$1716)+MIN($D$1708:$D$1716))/2)</f>
        <v>0</v>
      </c>
      <c r="AV1716">
        <f>IF(COUNT($E$2:$E1716)&lt;26,"",(MAX($C$1691:$C$1716)+MIN($D$1691:$D$1716))/2)</f>
        <v>0</v>
      </c>
      <c r="AW1716">
        <f>IF(OR(AU1716="",AV1716=""),"",(AU1716+AV1716)/2)</f>
        <v>0</v>
      </c>
      <c r="AX1716">
        <f>IF(COUNT($E$2:$E1716)&lt;52,"",(MAX($C$1665:$C$1716)+MIN($D$1665:$D$1716))/2)</f>
        <v>0</v>
      </c>
      <c r="AY1716">
        <f>IF(COUNT($E$2:$E1716)&lt;20,"",MAX($C$1617:$C$1716))</f>
        <v>0</v>
      </c>
      <c r="AZ1716">
        <f>IF(COUNT($E$2:$E1716)&lt;20,"",MIN($D$1617:$D$1716))</f>
        <v>0</v>
      </c>
      <c r="BA1716">
        <f>IF(COUNT($E$2:$E1716)&lt;20,"",SLOPE($E$1617:$E$1716,$F$1617:$F$1716))</f>
        <v>0</v>
      </c>
      <c r="BB1716">
        <f>IF(COUNT($E$2:$E1716)&lt;20,"",INTERCEPT($E$1617:$E$1716,$F$1617:$F$1716))</f>
        <v>0</v>
      </c>
      <c r="BC1716">
        <f>IF(OR(BA1716="",BB1716=""),"",BB1716+BA1716*F1716)</f>
        <v>0</v>
      </c>
      <c r="BD1716">
        <f>IF(COUNT($E$2:$E1716)&lt;20,"",STEYX($E$1617:$E$1716,$F$1617:$F$1716))</f>
        <v>0</v>
      </c>
      <c r="BE1716">
        <f>IF($E1716="","",IF(AND(COUNT($E$1717:$E$1720)&gt;=4,$C1716=MAX($C$1712:$C$1720)),$C1716,""))</f>
        <v>0</v>
      </c>
      <c r="BF1716">
        <f>IF($E1716="","",IF(AND(COUNT($E$1717:$E$1720)&gt;=4,$D1716=MIN($D$1712:$D$1720)),$D1716,""))</f>
        <v>0</v>
      </c>
      <c r="BG1716">
        <f>IF($A1716="","",$A1716-WEEKDAY($A1716,2)+1)</f>
        <v>0</v>
      </c>
      <c r="BH1716">
        <f>IF($A1716="","",IF($A1715="",1,IF(BG1716&lt;&gt;BG1715,1,0)))</f>
        <v>0</v>
      </c>
      <c r="BI1716">
        <f>IF($A1716="","",IF($A1717="",1,IF(BG1717&lt;&gt;BG1716,1,0)))</f>
        <v>0</v>
      </c>
      <c r="BJ1716">
        <f>IF($A1716="","",IF(BH1716=1,$B1716,BJ1715))</f>
        <v>0</v>
      </c>
      <c r="BK1716">
        <f>IF($A1716="","",IF(BH1716=1,$C1716,MAX($C1716,BK1715)))</f>
        <v>0</v>
      </c>
      <c r="BL1716">
        <f>IF($A1716="","",IF(BH1716=1,$D1716,MIN($D1716,BL1715)))</f>
        <v>0</v>
      </c>
      <c r="BM1716">
        <f>IF($A1716="","",IF(BI1716=1,F1716,""))</f>
        <v>0</v>
      </c>
      <c r="BN1716">
        <f>IF($A1716="","",DATE(YEAR($A1716),MONTH($A1716),1))</f>
        <v>0</v>
      </c>
      <c r="BO1716">
        <f>IF($A1716="","",IF($A1715="",1,IF(BN1716&lt;&gt;BN1715,1,0)))</f>
        <v>0</v>
      </c>
      <c r="BP1716">
        <f>IF($A1716="","",IF($A1717="",1,IF(BN1717&lt;&gt;BN1716,1,0)))</f>
        <v>0</v>
      </c>
      <c r="BQ1716">
        <f>IF($A1716="","",IF(BO1716=1,$B1716,BQ1715))</f>
        <v>0</v>
      </c>
      <c r="BR1716">
        <f>IF($A1716="","",IF(BO1716=1,$C1716,MAX($C1716,BR1715)))</f>
        <v>0</v>
      </c>
      <c r="BS1716">
        <f>IF($A1716="","",IF(BO1716=1,$D1716,MIN($D1716,BS1715)))</f>
        <v>0</v>
      </c>
      <c r="BT1716">
        <f>IF($A1716="","",IF(BP1716=1,F1716,""))</f>
        <v>0</v>
      </c>
    </row>
    <row r="1717" spans="1:72">
      <c r="A1717" s="27">
        <f>IF(Data!$A1717="","",Data!$A1717)</f>
        <v>0</v>
      </c>
      <c r="B1717">
        <f>IF(Data!$B1717="","",Data!$B1717)</f>
        <v>0</v>
      </c>
      <c r="C1717">
        <f>IF(Data!$C1717="","",Data!$C1717)</f>
        <v>0</v>
      </c>
      <c r="D1717">
        <f>IF(Data!$D1717="","",Data!$D1717)</f>
        <v>0</v>
      </c>
      <c r="E1717">
        <f>IF(Data!$E1717="","",Data!$E1717)</f>
        <v>0</v>
      </c>
      <c r="F1717">
        <f>IF($E1717="","",N(F1716)+1)</f>
        <v>0</v>
      </c>
      <c r="G1717">
        <f>IF(OR($E1717="",$E1716=""),"",LN($E1717/$E1716))</f>
        <v>0</v>
      </c>
      <c r="H1717">
        <f>IF($E1717="","",IF($E1716="",$E1717,$E1717*0.0952380952+H1716*0.9047619048))</f>
        <v>0</v>
      </c>
      <c r="I1717">
        <f>IF($E1717="","",IF($E1716="",$E1717,$E1717*0.0392156863+I1716*0.9607843137))</f>
        <v>0</v>
      </c>
      <c r="J1717">
        <f>IF($E1717="","",IF($E1716="",$E1717,$E1717*0.0198019802+J1716*0.9801980198))</f>
        <v>0</v>
      </c>
      <c r="K1717">
        <f>IF($E1717="","",IF($E1716="",$E1717,$E1717*0.0099502488+K1716*0.9900497512))</f>
        <v>0</v>
      </c>
      <c r="L1717">
        <f>IF(OR($E1717="",$E1716=""),"",MAX($E1717-$E1716,0))</f>
        <v>0</v>
      </c>
      <c r="M1717">
        <f>IF(OR($E1717="",$E1716=""),"",MAX($E1716-$E1717,0))</f>
        <v>0</v>
      </c>
      <c r="N1717">
        <f>IF(COUNT($E$2:$E1717)&lt;15,"",IF(AVERAGE($M$1704:$M$1717)=0,100,100-100/(1+AVERAGE($L$1704:$L$1717)/AVERAGE($M$1704:$M$1717))))</f>
        <v>0</v>
      </c>
      <c r="O1717">
        <f>IF($E1717="","",IF($E1716="",$E1717,$E1717*0.1538461538+O1716*0.8461538462))</f>
        <v>0</v>
      </c>
      <c r="P1717">
        <f>IF($E1717="","",IF($E1716="",$E1717,$E1717*0.0740740741+P1716*0.9259259259))</f>
        <v>0</v>
      </c>
      <c r="Q1717">
        <f>IF(OR(O1717="",P1717=""),"",O1717-P1717)</f>
        <v>0</v>
      </c>
      <c r="R1717">
        <f>IF(Q1717="","",IF(R1716="",Q1717,Q1717*0.2000000000+R1716*0.8000000000))</f>
        <v>0</v>
      </c>
      <c r="S1717">
        <f>IF(OR(Q1717="",R1717=""),"",Q1717-R1717)</f>
        <v>0</v>
      </c>
      <c r="T1717">
        <f>IF(COUNT($E$2:$E1717)&lt;14,"",MAX($C$1704:$C$1717))</f>
        <v>0</v>
      </c>
      <c r="U1717">
        <f>IF(COUNT($E$2:$E1717)&lt;14,"",MIN($D$1704:$D$1717))</f>
        <v>0</v>
      </c>
      <c r="V1717">
        <f>IF(OR(T1717="",U1717="",T1717=U1717),"",100*($E1717-U1717)/(T1717-U1717))</f>
        <v>0</v>
      </c>
      <c r="W1717">
        <f>IF(COUNT($V$1715:$V$1717)&lt;3,"",AVERAGE($V$1715:$V$1717))</f>
        <v>0</v>
      </c>
      <c r="X1717">
        <f>IF(COUNT($N$1704:$N$1717)&lt;14,"",MIN($N$1704:$N$1717))</f>
        <v>0</v>
      </c>
      <c r="Y1717">
        <f>IF(COUNT($N$1704:$N$1717)&lt;14,"",MAX($N$1704:$N$1717))</f>
        <v>0</v>
      </c>
      <c r="Z1717">
        <f>IF(OR(N1717="",X1717="",Y1717="",Y1717=X1717),"",100*(N1717-X1717)/(Y1717-X1717))</f>
        <v>0</v>
      </c>
      <c r="AA1717">
        <f>IF(COUNT($Z$1715:$Z$1717)&lt;3,"",AVERAGE($Z$1715:$Z$1717))</f>
        <v>0</v>
      </c>
      <c r="AB1717">
        <f>IF(COUNT($AA$1715:$AA$1717)&lt;3,"",AVERAGE($AA$1715:$AA$1717))</f>
        <v>0</v>
      </c>
      <c r="AC1717">
        <f>IF($E1717="","",MAX($C1717-$D1717,ABS($C1717-$E1716),ABS($D1717-$E1716)))</f>
        <v>0</v>
      </c>
      <c r="AD1717">
        <f>IF(COUNT($E$2:$E1717)&lt;15,"",AVERAGE($AC$1704:$AC$1717))</f>
        <v>0</v>
      </c>
      <c r="AE1717">
        <f>IF(OR($E1717="",$E1716=""),"",IF(AND(($C1717-$C1716)&gt;($D1716-$D1717),($C1717-$C1716)&gt;0),$C1717-$C1716,0))</f>
        <v>0</v>
      </c>
      <c r="AF1717">
        <f>IF(OR($E1717="",$E1716=""),"",IF(AND(($D1716-$D1717)&gt;($C1717-$C1716),($D1716-$D1717)&gt;0),$D1716-$D1717,0))</f>
        <v>0</v>
      </c>
      <c r="AG1717">
        <f>IF(COUNT($E$2:$E1717)&lt;15,"",IF(SUM($AC$1704:$AC$1717)=0,0,100*SUM($AE$1704:$AE$1717)/SUM($AC$1704:$AC$1717)))</f>
        <v>0</v>
      </c>
      <c r="AH1717">
        <f>IF(COUNT($E$2:$E1717)&lt;15,"",IF(SUM($AC$1704:$AC$1717)=0,0,100*SUM($AF$1704:$AF$1717)/SUM($AC$1704:$AC$1717)))</f>
        <v>0</v>
      </c>
      <c r="AI1717">
        <f>IF(OR(AG1717="",AH1717=""),"",IF((AG1717+AH1717)=0,0,100*ABS(AG1717-AH1717)/(AG1717+AH1717)))</f>
        <v>0</v>
      </c>
      <c r="AJ1717">
        <f>IF(COUNT($AI$1704:$AI$1717)&lt;14,"",AVERAGE($AI$1704:$AI$1717))</f>
        <v>0</v>
      </c>
      <c r="AK1717">
        <f>IF(COUNT($E$2:$E1717)&lt;20,"",AVERAGE($E$1698:$E$1717))</f>
        <v>0</v>
      </c>
      <c r="AL1717">
        <f>IF(COUNT($E$2:$E1717)&lt;20,"",STDEVP($E$1698:$E$1717))</f>
        <v>0</v>
      </c>
      <c r="AM1717">
        <f>IF(AK1717="","",AK1717+2*AL1717)</f>
        <v>0</v>
      </c>
      <c r="AN1717">
        <f>IF(AK1717="","",AK1717-2*AL1717)</f>
        <v>0</v>
      </c>
      <c r="AO1717">
        <f>IF(OR(AM1717="",AN1717="",AM1717=AN1717),"",($E1717-AN1717)/(AM1717-AN1717))</f>
        <v>0</v>
      </c>
      <c r="AP1717">
        <f>IF(OR(AM1717="",AK1717="",AK1717=0),"",(AM1717-AN1717)/AK1717)</f>
        <v>0</v>
      </c>
      <c r="AQ1717">
        <f>IF(COUNT($E$2:$E1717)&lt;20,"",MAX($C$1698:$C$1717))</f>
        <v>0</v>
      </c>
      <c r="AR1717">
        <f>IF(COUNT($E$2:$E1717)&lt;20,"",MIN($D$1698:$D$1717))</f>
        <v>0</v>
      </c>
      <c r="AS1717">
        <f>IF(OR(AQ1717="",AR1717=""),"",(AQ1717+AR1717)/2)</f>
        <v>0</v>
      </c>
      <c r="AT1717">
        <f>IF(COUNT($G$1698:$G$1717)&lt;20,"",STDEV($G$1698:$G$1717)*SQRT(252))</f>
        <v>0</v>
      </c>
      <c r="AU1717">
        <f>IF(COUNT($E$2:$E1717)&lt;9,"",(MAX($C$1709:$C$1717)+MIN($D$1709:$D$1717))/2)</f>
        <v>0</v>
      </c>
      <c r="AV1717">
        <f>IF(COUNT($E$2:$E1717)&lt;26,"",(MAX($C$1692:$C$1717)+MIN($D$1692:$D$1717))/2)</f>
        <v>0</v>
      </c>
      <c r="AW1717">
        <f>IF(OR(AU1717="",AV1717=""),"",(AU1717+AV1717)/2)</f>
        <v>0</v>
      </c>
      <c r="AX1717">
        <f>IF(COUNT($E$2:$E1717)&lt;52,"",(MAX($C$1666:$C$1717)+MIN($D$1666:$D$1717))/2)</f>
        <v>0</v>
      </c>
      <c r="AY1717">
        <f>IF(COUNT($E$2:$E1717)&lt;20,"",MAX($C$1618:$C$1717))</f>
        <v>0</v>
      </c>
      <c r="AZ1717">
        <f>IF(COUNT($E$2:$E1717)&lt;20,"",MIN($D$1618:$D$1717))</f>
        <v>0</v>
      </c>
      <c r="BA1717">
        <f>IF(COUNT($E$2:$E1717)&lt;20,"",SLOPE($E$1618:$E$1717,$F$1618:$F$1717))</f>
        <v>0</v>
      </c>
      <c r="BB1717">
        <f>IF(COUNT($E$2:$E1717)&lt;20,"",INTERCEPT($E$1618:$E$1717,$F$1618:$F$1717))</f>
        <v>0</v>
      </c>
      <c r="BC1717">
        <f>IF(OR(BA1717="",BB1717=""),"",BB1717+BA1717*F1717)</f>
        <v>0</v>
      </c>
      <c r="BD1717">
        <f>IF(COUNT($E$2:$E1717)&lt;20,"",STEYX($E$1618:$E$1717,$F$1618:$F$1717))</f>
        <v>0</v>
      </c>
      <c r="BE1717">
        <f>IF($E1717="","",IF(AND(COUNT($E$1718:$E$1721)&gt;=4,$C1717=MAX($C$1713:$C$1721)),$C1717,""))</f>
        <v>0</v>
      </c>
      <c r="BF1717">
        <f>IF($E1717="","",IF(AND(COUNT($E$1718:$E$1721)&gt;=4,$D1717=MIN($D$1713:$D$1721)),$D1717,""))</f>
        <v>0</v>
      </c>
      <c r="BG1717">
        <f>IF($A1717="","",$A1717-WEEKDAY($A1717,2)+1)</f>
        <v>0</v>
      </c>
      <c r="BH1717">
        <f>IF($A1717="","",IF($A1716="",1,IF(BG1717&lt;&gt;BG1716,1,0)))</f>
        <v>0</v>
      </c>
      <c r="BI1717">
        <f>IF($A1717="","",IF($A1718="",1,IF(BG1718&lt;&gt;BG1717,1,0)))</f>
        <v>0</v>
      </c>
      <c r="BJ1717">
        <f>IF($A1717="","",IF(BH1717=1,$B1717,BJ1716))</f>
        <v>0</v>
      </c>
      <c r="BK1717">
        <f>IF($A1717="","",IF(BH1717=1,$C1717,MAX($C1717,BK1716)))</f>
        <v>0</v>
      </c>
      <c r="BL1717">
        <f>IF($A1717="","",IF(BH1717=1,$D1717,MIN($D1717,BL1716)))</f>
        <v>0</v>
      </c>
      <c r="BM1717">
        <f>IF($A1717="","",IF(BI1717=1,F1717,""))</f>
        <v>0</v>
      </c>
      <c r="BN1717">
        <f>IF($A1717="","",DATE(YEAR($A1717),MONTH($A1717),1))</f>
        <v>0</v>
      </c>
      <c r="BO1717">
        <f>IF($A1717="","",IF($A1716="",1,IF(BN1717&lt;&gt;BN1716,1,0)))</f>
        <v>0</v>
      </c>
      <c r="BP1717">
        <f>IF($A1717="","",IF($A1718="",1,IF(BN1718&lt;&gt;BN1717,1,0)))</f>
        <v>0</v>
      </c>
      <c r="BQ1717">
        <f>IF($A1717="","",IF(BO1717=1,$B1717,BQ1716))</f>
        <v>0</v>
      </c>
      <c r="BR1717">
        <f>IF($A1717="","",IF(BO1717=1,$C1717,MAX($C1717,BR1716)))</f>
        <v>0</v>
      </c>
      <c r="BS1717">
        <f>IF($A1717="","",IF(BO1717=1,$D1717,MIN($D1717,BS1716)))</f>
        <v>0</v>
      </c>
      <c r="BT1717">
        <f>IF($A1717="","",IF(BP1717=1,F1717,""))</f>
        <v>0</v>
      </c>
    </row>
    <row r="1718" spans="1:72">
      <c r="A1718" s="27">
        <f>IF(Data!$A1718="","",Data!$A1718)</f>
        <v>0</v>
      </c>
      <c r="B1718">
        <f>IF(Data!$B1718="","",Data!$B1718)</f>
        <v>0</v>
      </c>
      <c r="C1718">
        <f>IF(Data!$C1718="","",Data!$C1718)</f>
        <v>0</v>
      </c>
      <c r="D1718">
        <f>IF(Data!$D1718="","",Data!$D1718)</f>
        <v>0</v>
      </c>
      <c r="E1718">
        <f>IF(Data!$E1718="","",Data!$E1718)</f>
        <v>0</v>
      </c>
      <c r="F1718">
        <f>IF($E1718="","",N(F1717)+1)</f>
        <v>0</v>
      </c>
      <c r="G1718">
        <f>IF(OR($E1718="",$E1717=""),"",LN($E1718/$E1717))</f>
        <v>0</v>
      </c>
      <c r="H1718">
        <f>IF($E1718="","",IF($E1717="",$E1718,$E1718*0.0952380952+H1717*0.9047619048))</f>
        <v>0</v>
      </c>
      <c r="I1718">
        <f>IF($E1718="","",IF($E1717="",$E1718,$E1718*0.0392156863+I1717*0.9607843137))</f>
        <v>0</v>
      </c>
      <c r="J1718">
        <f>IF($E1718="","",IF($E1717="",$E1718,$E1718*0.0198019802+J1717*0.9801980198))</f>
        <v>0</v>
      </c>
      <c r="K1718">
        <f>IF($E1718="","",IF($E1717="",$E1718,$E1718*0.0099502488+K1717*0.9900497512))</f>
        <v>0</v>
      </c>
      <c r="L1718">
        <f>IF(OR($E1718="",$E1717=""),"",MAX($E1718-$E1717,0))</f>
        <v>0</v>
      </c>
      <c r="M1718">
        <f>IF(OR($E1718="",$E1717=""),"",MAX($E1717-$E1718,0))</f>
        <v>0</v>
      </c>
      <c r="N1718">
        <f>IF(COUNT($E$2:$E1718)&lt;15,"",IF(AVERAGE($M$1705:$M$1718)=0,100,100-100/(1+AVERAGE($L$1705:$L$1718)/AVERAGE($M$1705:$M$1718))))</f>
        <v>0</v>
      </c>
      <c r="O1718">
        <f>IF($E1718="","",IF($E1717="",$E1718,$E1718*0.1538461538+O1717*0.8461538462))</f>
        <v>0</v>
      </c>
      <c r="P1718">
        <f>IF($E1718="","",IF($E1717="",$E1718,$E1718*0.0740740741+P1717*0.9259259259))</f>
        <v>0</v>
      </c>
      <c r="Q1718">
        <f>IF(OR(O1718="",P1718=""),"",O1718-P1718)</f>
        <v>0</v>
      </c>
      <c r="R1718">
        <f>IF(Q1718="","",IF(R1717="",Q1718,Q1718*0.2000000000+R1717*0.8000000000))</f>
        <v>0</v>
      </c>
      <c r="S1718">
        <f>IF(OR(Q1718="",R1718=""),"",Q1718-R1718)</f>
        <v>0</v>
      </c>
      <c r="T1718">
        <f>IF(COUNT($E$2:$E1718)&lt;14,"",MAX($C$1705:$C$1718))</f>
        <v>0</v>
      </c>
      <c r="U1718">
        <f>IF(COUNT($E$2:$E1718)&lt;14,"",MIN($D$1705:$D$1718))</f>
        <v>0</v>
      </c>
      <c r="V1718">
        <f>IF(OR(T1718="",U1718="",T1718=U1718),"",100*($E1718-U1718)/(T1718-U1718))</f>
        <v>0</v>
      </c>
      <c r="W1718">
        <f>IF(COUNT($V$1716:$V$1718)&lt;3,"",AVERAGE($V$1716:$V$1718))</f>
        <v>0</v>
      </c>
      <c r="X1718">
        <f>IF(COUNT($N$1705:$N$1718)&lt;14,"",MIN($N$1705:$N$1718))</f>
        <v>0</v>
      </c>
      <c r="Y1718">
        <f>IF(COUNT($N$1705:$N$1718)&lt;14,"",MAX($N$1705:$N$1718))</f>
        <v>0</v>
      </c>
      <c r="Z1718">
        <f>IF(OR(N1718="",X1718="",Y1718="",Y1718=X1718),"",100*(N1718-X1718)/(Y1718-X1718))</f>
        <v>0</v>
      </c>
      <c r="AA1718">
        <f>IF(COUNT($Z$1716:$Z$1718)&lt;3,"",AVERAGE($Z$1716:$Z$1718))</f>
        <v>0</v>
      </c>
      <c r="AB1718">
        <f>IF(COUNT($AA$1716:$AA$1718)&lt;3,"",AVERAGE($AA$1716:$AA$1718))</f>
        <v>0</v>
      </c>
      <c r="AC1718">
        <f>IF($E1718="","",MAX($C1718-$D1718,ABS($C1718-$E1717),ABS($D1718-$E1717)))</f>
        <v>0</v>
      </c>
      <c r="AD1718">
        <f>IF(COUNT($E$2:$E1718)&lt;15,"",AVERAGE($AC$1705:$AC$1718))</f>
        <v>0</v>
      </c>
      <c r="AE1718">
        <f>IF(OR($E1718="",$E1717=""),"",IF(AND(($C1718-$C1717)&gt;($D1717-$D1718),($C1718-$C1717)&gt;0),$C1718-$C1717,0))</f>
        <v>0</v>
      </c>
      <c r="AF1718">
        <f>IF(OR($E1718="",$E1717=""),"",IF(AND(($D1717-$D1718)&gt;($C1718-$C1717),($D1717-$D1718)&gt;0),$D1717-$D1718,0))</f>
        <v>0</v>
      </c>
      <c r="AG1718">
        <f>IF(COUNT($E$2:$E1718)&lt;15,"",IF(SUM($AC$1705:$AC$1718)=0,0,100*SUM($AE$1705:$AE$1718)/SUM($AC$1705:$AC$1718)))</f>
        <v>0</v>
      </c>
      <c r="AH1718">
        <f>IF(COUNT($E$2:$E1718)&lt;15,"",IF(SUM($AC$1705:$AC$1718)=0,0,100*SUM($AF$1705:$AF$1718)/SUM($AC$1705:$AC$1718)))</f>
        <v>0</v>
      </c>
      <c r="AI1718">
        <f>IF(OR(AG1718="",AH1718=""),"",IF((AG1718+AH1718)=0,0,100*ABS(AG1718-AH1718)/(AG1718+AH1718)))</f>
        <v>0</v>
      </c>
      <c r="AJ1718">
        <f>IF(COUNT($AI$1705:$AI$1718)&lt;14,"",AVERAGE($AI$1705:$AI$1718))</f>
        <v>0</v>
      </c>
      <c r="AK1718">
        <f>IF(COUNT($E$2:$E1718)&lt;20,"",AVERAGE($E$1699:$E$1718))</f>
        <v>0</v>
      </c>
      <c r="AL1718">
        <f>IF(COUNT($E$2:$E1718)&lt;20,"",STDEVP($E$1699:$E$1718))</f>
        <v>0</v>
      </c>
      <c r="AM1718">
        <f>IF(AK1718="","",AK1718+2*AL1718)</f>
        <v>0</v>
      </c>
      <c r="AN1718">
        <f>IF(AK1718="","",AK1718-2*AL1718)</f>
        <v>0</v>
      </c>
      <c r="AO1718">
        <f>IF(OR(AM1718="",AN1718="",AM1718=AN1718),"",($E1718-AN1718)/(AM1718-AN1718))</f>
        <v>0</v>
      </c>
      <c r="AP1718">
        <f>IF(OR(AM1718="",AK1718="",AK1718=0),"",(AM1718-AN1718)/AK1718)</f>
        <v>0</v>
      </c>
      <c r="AQ1718">
        <f>IF(COUNT($E$2:$E1718)&lt;20,"",MAX($C$1699:$C$1718))</f>
        <v>0</v>
      </c>
      <c r="AR1718">
        <f>IF(COUNT($E$2:$E1718)&lt;20,"",MIN($D$1699:$D$1718))</f>
        <v>0</v>
      </c>
      <c r="AS1718">
        <f>IF(OR(AQ1718="",AR1718=""),"",(AQ1718+AR1718)/2)</f>
        <v>0</v>
      </c>
      <c r="AT1718">
        <f>IF(COUNT($G$1699:$G$1718)&lt;20,"",STDEV($G$1699:$G$1718)*SQRT(252))</f>
        <v>0</v>
      </c>
      <c r="AU1718">
        <f>IF(COUNT($E$2:$E1718)&lt;9,"",(MAX($C$1710:$C$1718)+MIN($D$1710:$D$1718))/2)</f>
        <v>0</v>
      </c>
      <c r="AV1718">
        <f>IF(COUNT($E$2:$E1718)&lt;26,"",(MAX($C$1693:$C$1718)+MIN($D$1693:$D$1718))/2)</f>
        <v>0</v>
      </c>
      <c r="AW1718">
        <f>IF(OR(AU1718="",AV1718=""),"",(AU1718+AV1718)/2)</f>
        <v>0</v>
      </c>
      <c r="AX1718">
        <f>IF(COUNT($E$2:$E1718)&lt;52,"",(MAX($C$1667:$C$1718)+MIN($D$1667:$D$1718))/2)</f>
        <v>0</v>
      </c>
      <c r="AY1718">
        <f>IF(COUNT($E$2:$E1718)&lt;20,"",MAX($C$1619:$C$1718))</f>
        <v>0</v>
      </c>
      <c r="AZ1718">
        <f>IF(COUNT($E$2:$E1718)&lt;20,"",MIN($D$1619:$D$1718))</f>
        <v>0</v>
      </c>
      <c r="BA1718">
        <f>IF(COUNT($E$2:$E1718)&lt;20,"",SLOPE($E$1619:$E$1718,$F$1619:$F$1718))</f>
        <v>0</v>
      </c>
      <c r="BB1718">
        <f>IF(COUNT($E$2:$E1718)&lt;20,"",INTERCEPT($E$1619:$E$1718,$F$1619:$F$1718))</f>
        <v>0</v>
      </c>
      <c r="BC1718">
        <f>IF(OR(BA1718="",BB1718=""),"",BB1718+BA1718*F1718)</f>
        <v>0</v>
      </c>
      <c r="BD1718">
        <f>IF(COUNT($E$2:$E1718)&lt;20,"",STEYX($E$1619:$E$1718,$F$1619:$F$1718))</f>
        <v>0</v>
      </c>
      <c r="BE1718">
        <f>IF($E1718="","",IF(AND(COUNT($E$1719:$E$1722)&gt;=4,$C1718=MAX($C$1714:$C$1722)),$C1718,""))</f>
        <v>0</v>
      </c>
      <c r="BF1718">
        <f>IF($E1718="","",IF(AND(COUNT($E$1719:$E$1722)&gt;=4,$D1718=MIN($D$1714:$D$1722)),$D1718,""))</f>
        <v>0</v>
      </c>
      <c r="BG1718">
        <f>IF($A1718="","",$A1718-WEEKDAY($A1718,2)+1)</f>
        <v>0</v>
      </c>
      <c r="BH1718">
        <f>IF($A1718="","",IF($A1717="",1,IF(BG1718&lt;&gt;BG1717,1,0)))</f>
        <v>0</v>
      </c>
      <c r="BI1718">
        <f>IF($A1718="","",IF($A1719="",1,IF(BG1719&lt;&gt;BG1718,1,0)))</f>
        <v>0</v>
      </c>
      <c r="BJ1718">
        <f>IF($A1718="","",IF(BH1718=1,$B1718,BJ1717))</f>
        <v>0</v>
      </c>
      <c r="BK1718">
        <f>IF($A1718="","",IF(BH1718=1,$C1718,MAX($C1718,BK1717)))</f>
        <v>0</v>
      </c>
      <c r="BL1718">
        <f>IF($A1718="","",IF(BH1718=1,$D1718,MIN($D1718,BL1717)))</f>
        <v>0</v>
      </c>
      <c r="BM1718">
        <f>IF($A1718="","",IF(BI1718=1,F1718,""))</f>
        <v>0</v>
      </c>
      <c r="BN1718">
        <f>IF($A1718="","",DATE(YEAR($A1718),MONTH($A1718),1))</f>
        <v>0</v>
      </c>
      <c r="BO1718">
        <f>IF($A1718="","",IF($A1717="",1,IF(BN1718&lt;&gt;BN1717,1,0)))</f>
        <v>0</v>
      </c>
      <c r="BP1718">
        <f>IF($A1718="","",IF($A1719="",1,IF(BN1719&lt;&gt;BN1718,1,0)))</f>
        <v>0</v>
      </c>
      <c r="BQ1718">
        <f>IF($A1718="","",IF(BO1718=1,$B1718,BQ1717))</f>
        <v>0</v>
      </c>
      <c r="BR1718">
        <f>IF($A1718="","",IF(BO1718=1,$C1718,MAX($C1718,BR1717)))</f>
        <v>0</v>
      </c>
      <c r="BS1718">
        <f>IF($A1718="","",IF(BO1718=1,$D1718,MIN($D1718,BS1717)))</f>
        <v>0</v>
      </c>
      <c r="BT1718">
        <f>IF($A1718="","",IF(BP1718=1,F1718,""))</f>
        <v>0</v>
      </c>
    </row>
    <row r="1719" spans="1:72">
      <c r="A1719" s="27">
        <f>IF(Data!$A1719="","",Data!$A1719)</f>
        <v>0</v>
      </c>
      <c r="B1719">
        <f>IF(Data!$B1719="","",Data!$B1719)</f>
        <v>0</v>
      </c>
      <c r="C1719">
        <f>IF(Data!$C1719="","",Data!$C1719)</f>
        <v>0</v>
      </c>
      <c r="D1719">
        <f>IF(Data!$D1719="","",Data!$D1719)</f>
        <v>0</v>
      </c>
      <c r="E1719">
        <f>IF(Data!$E1719="","",Data!$E1719)</f>
        <v>0</v>
      </c>
      <c r="F1719">
        <f>IF($E1719="","",N(F1718)+1)</f>
        <v>0</v>
      </c>
      <c r="G1719">
        <f>IF(OR($E1719="",$E1718=""),"",LN($E1719/$E1718))</f>
        <v>0</v>
      </c>
      <c r="H1719">
        <f>IF($E1719="","",IF($E1718="",$E1719,$E1719*0.0952380952+H1718*0.9047619048))</f>
        <v>0</v>
      </c>
      <c r="I1719">
        <f>IF($E1719="","",IF($E1718="",$E1719,$E1719*0.0392156863+I1718*0.9607843137))</f>
        <v>0</v>
      </c>
      <c r="J1719">
        <f>IF($E1719="","",IF($E1718="",$E1719,$E1719*0.0198019802+J1718*0.9801980198))</f>
        <v>0</v>
      </c>
      <c r="K1719">
        <f>IF($E1719="","",IF($E1718="",$E1719,$E1719*0.0099502488+K1718*0.9900497512))</f>
        <v>0</v>
      </c>
      <c r="L1719">
        <f>IF(OR($E1719="",$E1718=""),"",MAX($E1719-$E1718,0))</f>
        <v>0</v>
      </c>
      <c r="M1719">
        <f>IF(OR($E1719="",$E1718=""),"",MAX($E1718-$E1719,0))</f>
        <v>0</v>
      </c>
      <c r="N1719">
        <f>IF(COUNT($E$2:$E1719)&lt;15,"",IF(AVERAGE($M$1706:$M$1719)=0,100,100-100/(1+AVERAGE($L$1706:$L$1719)/AVERAGE($M$1706:$M$1719))))</f>
        <v>0</v>
      </c>
      <c r="O1719">
        <f>IF($E1719="","",IF($E1718="",$E1719,$E1719*0.1538461538+O1718*0.8461538462))</f>
        <v>0</v>
      </c>
      <c r="P1719">
        <f>IF($E1719="","",IF($E1718="",$E1719,$E1719*0.0740740741+P1718*0.9259259259))</f>
        <v>0</v>
      </c>
      <c r="Q1719">
        <f>IF(OR(O1719="",P1719=""),"",O1719-P1719)</f>
        <v>0</v>
      </c>
      <c r="R1719">
        <f>IF(Q1719="","",IF(R1718="",Q1719,Q1719*0.2000000000+R1718*0.8000000000))</f>
        <v>0</v>
      </c>
      <c r="S1719">
        <f>IF(OR(Q1719="",R1719=""),"",Q1719-R1719)</f>
        <v>0</v>
      </c>
      <c r="T1719">
        <f>IF(COUNT($E$2:$E1719)&lt;14,"",MAX($C$1706:$C$1719))</f>
        <v>0</v>
      </c>
      <c r="U1719">
        <f>IF(COUNT($E$2:$E1719)&lt;14,"",MIN($D$1706:$D$1719))</f>
        <v>0</v>
      </c>
      <c r="V1719">
        <f>IF(OR(T1719="",U1719="",T1719=U1719),"",100*($E1719-U1719)/(T1719-U1719))</f>
        <v>0</v>
      </c>
      <c r="W1719">
        <f>IF(COUNT($V$1717:$V$1719)&lt;3,"",AVERAGE($V$1717:$V$1719))</f>
        <v>0</v>
      </c>
      <c r="X1719">
        <f>IF(COUNT($N$1706:$N$1719)&lt;14,"",MIN($N$1706:$N$1719))</f>
        <v>0</v>
      </c>
      <c r="Y1719">
        <f>IF(COUNT($N$1706:$N$1719)&lt;14,"",MAX($N$1706:$N$1719))</f>
        <v>0</v>
      </c>
      <c r="Z1719">
        <f>IF(OR(N1719="",X1719="",Y1719="",Y1719=X1719),"",100*(N1719-X1719)/(Y1719-X1719))</f>
        <v>0</v>
      </c>
      <c r="AA1719">
        <f>IF(COUNT($Z$1717:$Z$1719)&lt;3,"",AVERAGE($Z$1717:$Z$1719))</f>
        <v>0</v>
      </c>
      <c r="AB1719">
        <f>IF(COUNT($AA$1717:$AA$1719)&lt;3,"",AVERAGE($AA$1717:$AA$1719))</f>
        <v>0</v>
      </c>
      <c r="AC1719">
        <f>IF($E1719="","",MAX($C1719-$D1719,ABS($C1719-$E1718),ABS($D1719-$E1718)))</f>
        <v>0</v>
      </c>
      <c r="AD1719">
        <f>IF(COUNT($E$2:$E1719)&lt;15,"",AVERAGE($AC$1706:$AC$1719))</f>
        <v>0</v>
      </c>
      <c r="AE1719">
        <f>IF(OR($E1719="",$E1718=""),"",IF(AND(($C1719-$C1718)&gt;($D1718-$D1719),($C1719-$C1718)&gt;0),$C1719-$C1718,0))</f>
        <v>0</v>
      </c>
      <c r="AF1719">
        <f>IF(OR($E1719="",$E1718=""),"",IF(AND(($D1718-$D1719)&gt;($C1719-$C1718),($D1718-$D1719)&gt;0),$D1718-$D1719,0))</f>
        <v>0</v>
      </c>
      <c r="AG1719">
        <f>IF(COUNT($E$2:$E1719)&lt;15,"",IF(SUM($AC$1706:$AC$1719)=0,0,100*SUM($AE$1706:$AE$1719)/SUM($AC$1706:$AC$1719)))</f>
        <v>0</v>
      </c>
      <c r="AH1719">
        <f>IF(COUNT($E$2:$E1719)&lt;15,"",IF(SUM($AC$1706:$AC$1719)=0,0,100*SUM($AF$1706:$AF$1719)/SUM($AC$1706:$AC$1719)))</f>
        <v>0</v>
      </c>
      <c r="AI1719">
        <f>IF(OR(AG1719="",AH1719=""),"",IF((AG1719+AH1719)=0,0,100*ABS(AG1719-AH1719)/(AG1719+AH1719)))</f>
        <v>0</v>
      </c>
      <c r="AJ1719">
        <f>IF(COUNT($AI$1706:$AI$1719)&lt;14,"",AVERAGE($AI$1706:$AI$1719))</f>
        <v>0</v>
      </c>
      <c r="AK1719">
        <f>IF(COUNT($E$2:$E1719)&lt;20,"",AVERAGE($E$1700:$E$1719))</f>
        <v>0</v>
      </c>
      <c r="AL1719">
        <f>IF(COUNT($E$2:$E1719)&lt;20,"",STDEVP($E$1700:$E$1719))</f>
        <v>0</v>
      </c>
      <c r="AM1719">
        <f>IF(AK1719="","",AK1719+2*AL1719)</f>
        <v>0</v>
      </c>
      <c r="AN1719">
        <f>IF(AK1719="","",AK1719-2*AL1719)</f>
        <v>0</v>
      </c>
      <c r="AO1719">
        <f>IF(OR(AM1719="",AN1719="",AM1719=AN1719),"",($E1719-AN1719)/(AM1719-AN1719))</f>
        <v>0</v>
      </c>
      <c r="AP1719">
        <f>IF(OR(AM1719="",AK1719="",AK1719=0),"",(AM1719-AN1719)/AK1719)</f>
        <v>0</v>
      </c>
      <c r="AQ1719">
        <f>IF(COUNT($E$2:$E1719)&lt;20,"",MAX($C$1700:$C$1719))</f>
        <v>0</v>
      </c>
      <c r="AR1719">
        <f>IF(COUNT($E$2:$E1719)&lt;20,"",MIN($D$1700:$D$1719))</f>
        <v>0</v>
      </c>
      <c r="AS1719">
        <f>IF(OR(AQ1719="",AR1719=""),"",(AQ1719+AR1719)/2)</f>
        <v>0</v>
      </c>
      <c r="AT1719">
        <f>IF(COUNT($G$1700:$G$1719)&lt;20,"",STDEV($G$1700:$G$1719)*SQRT(252))</f>
        <v>0</v>
      </c>
      <c r="AU1719">
        <f>IF(COUNT($E$2:$E1719)&lt;9,"",(MAX($C$1711:$C$1719)+MIN($D$1711:$D$1719))/2)</f>
        <v>0</v>
      </c>
      <c r="AV1719">
        <f>IF(COUNT($E$2:$E1719)&lt;26,"",(MAX($C$1694:$C$1719)+MIN($D$1694:$D$1719))/2)</f>
        <v>0</v>
      </c>
      <c r="AW1719">
        <f>IF(OR(AU1719="",AV1719=""),"",(AU1719+AV1719)/2)</f>
        <v>0</v>
      </c>
      <c r="AX1719">
        <f>IF(COUNT($E$2:$E1719)&lt;52,"",(MAX($C$1668:$C$1719)+MIN($D$1668:$D$1719))/2)</f>
        <v>0</v>
      </c>
      <c r="AY1719">
        <f>IF(COUNT($E$2:$E1719)&lt;20,"",MAX($C$1620:$C$1719))</f>
        <v>0</v>
      </c>
      <c r="AZ1719">
        <f>IF(COUNT($E$2:$E1719)&lt;20,"",MIN($D$1620:$D$1719))</f>
        <v>0</v>
      </c>
      <c r="BA1719">
        <f>IF(COUNT($E$2:$E1719)&lt;20,"",SLOPE($E$1620:$E$1719,$F$1620:$F$1719))</f>
        <v>0</v>
      </c>
      <c r="BB1719">
        <f>IF(COUNT($E$2:$E1719)&lt;20,"",INTERCEPT($E$1620:$E$1719,$F$1620:$F$1719))</f>
        <v>0</v>
      </c>
      <c r="BC1719">
        <f>IF(OR(BA1719="",BB1719=""),"",BB1719+BA1719*F1719)</f>
        <v>0</v>
      </c>
      <c r="BD1719">
        <f>IF(COUNT($E$2:$E1719)&lt;20,"",STEYX($E$1620:$E$1719,$F$1620:$F$1719))</f>
        <v>0</v>
      </c>
      <c r="BE1719">
        <f>IF($E1719="","",IF(AND(COUNT($E$1720:$E$1723)&gt;=4,$C1719=MAX($C$1715:$C$1723)),$C1719,""))</f>
        <v>0</v>
      </c>
      <c r="BF1719">
        <f>IF($E1719="","",IF(AND(COUNT($E$1720:$E$1723)&gt;=4,$D1719=MIN($D$1715:$D$1723)),$D1719,""))</f>
        <v>0</v>
      </c>
      <c r="BG1719">
        <f>IF($A1719="","",$A1719-WEEKDAY($A1719,2)+1)</f>
        <v>0</v>
      </c>
      <c r="BH1719">
        <f>IF($A1719="","",IF($A1718="",1,IF(BG1719&lt;&gt;BG1718,1,0)))</f>
        <v>0</v>
      </c>
      <c r="BI1719">
        <f>IF($A1719="","",IF($A1720="",1,IF(BG1720&lt;&gt;BG1719,1,0)))</f>
        <v>0</v>
      </c>
      <c r="BJ1719">
        <f>IF($A1719="","",IF(BH1719=1,$B1719,BJ1718))</f>
        <v>0</v>
      </c>
      <c r="BK1719">
        <f>IF($A1719="","",IF(BH1719=1,$C1719,MAX($C1719,BK1718)))</f>
        <v>0</v>
      </c>
      <c r="BL1719">
        <f>IF($A1719="","",IF(BH1719=1,$D1719,MIN($D1719,BL1718)))</f>
        <v>0</v>
      </c>
      <c r="BM1719">
        <f>IF($A1719="","",IF(BI1719=1,F1719,""))</f>
        <v>0</v>
      </c>
      <c r="BN1719">
        <f>IF($A1719="","",DATE(YEAR($A1719),MONTH($A1719),1))</f>
        <v>0</v>
      </c>
      <c r="BO1719">
        <f>IF($A1719="","",IF($A1718="",1,IF(BN1719&lt;&gt;BN1718,1,0)))</f>
        <v>0</v>
      </c>
      <c r="BP1719">
        <f>IF($A1719="","",IF($A1720="",1,IF(BN1720&lt;&gt;BN1719,1,0)))</f>
        <v>0</v>
      </c>
      <c r="BQ1719">
        <f>IF($A1719="","",IF(BO1719=1,$B1719,BQ1718))</f>
        <v>0</v>
      </c>
      <c r="BR1719">
        <f>IF($A1719="","",IF(BO1719=1,$C1719,MAX($C1719,BR1718)))</f>
        <v>0</v>
      </c>
      <c r="BS1719">
        <f>IF($A1719="","",IF(BO1719=1,$D1719,MIN($D1719,BS1718)))</f>
        <v>0</v>
      </c>
      <c r="BT1719">
        <f>IF($A1719="","",IF(BP1719=1,F1719,""))</f>
        <v>0</v>
      </c>
    </row>
    <row r="1720" spans="1:72">
      <c r="A1720" s="27">
        <f>IF(Data!$A1720="","",Data!$A1720)</f>
        <v>0</v>
      </c>
      <c r="B1720">
        <f>IF(Data!$B1720="","",Data!$B1720)</f>
        <v>0</v>
      </c>
      <c r="C1720">
        <f>IF(Data!$C1720="","",Data!$C1720)</f>
        <v>0</v>
      </c>
      <c r="D1720">
        <f>IF(Data!$D1720="","",Data!$D1720)</f>
        <v>0</v>
      </c>
      <c r="E1720">
        <f>IF(Data!$E1720="","",Data!$E1720)</f>
        <v>0</v>
      </c>
      <c r="F1720">
        <f>IF($E1720="","",N(F1719)+1)</f>
        <v>0</v>
      </c>
      <c r="G1720">
        <f>IF(OR($E1720="",$E1719=""),"",LN($E1720/$E1719))</f>
        <v>0</v>
      </c>
      <c r="H1720">
        <f>IF($E1720="","",IF($E1719="",$E1720,$E1720*0.0952380952+H1719*0.9047619048))</f>
        <v>0</v>
      </c>
      <c r="I1720">
        <f>IF($E1720="","",IF($E1719="",$E1720,$E1720*0.0392156863+I1719*0.9607843137))</f>
        <v>0</v>
      </c>
      <c r="J1720">
        <f>IF($E1720="","",IF($E1719="",$E1720,$E1720*0.0198019802+J1719*0.9801980198))</f>
        <v>0</v>
      </c>
      <c r="K1720">
        <f>IF($E1720="","",IF($E1719="",$E1720,$E1720*0.0099502488+K1719*0.9900497512))</f>
        <v>0</v>
      </c>
      <c r="L1720">
        <f>IF(OR($E1720="",$E1719=""),"",MAX($E1720-$E1719,0))</f>
        <v>0</v>
      </c>
      <c r="M1720">
        <f>IF(OR($E1720="",$E1719=""),"",MAX($E1719-$E1720,0))</f>
        <v>0</v>
      </c>
      <c r="N1720">
        <f>IF(COUNT($E$2:$E1720)&lt;15,"",IF(AVERAGE($M$1707:$M$1720)=0,100,100-100/(1+AVERAGE($L$1707:$L$1720)/AVERAGE($M$1707:$M$1720))))</f>
        <v>0</v>
      </c>
      <c r="O1720">
        <f>IF($E1720="","",IF($E1719="",$E1720,$E1720*0.1538461538+O1719*0.8461538462))</f>
        <v>0</v>
      </c>
      <c r="P1720">
        <f>IF($E1720="","",IF($E1719="",$E1720,$E1720*0.0740740741+P1719*0.9259259259))</f>
        <v>0</v>
      </c>
      <c r="Q1720">
        <f>IF(OR(O1720="",P1720=""),"",O1720-P1720)</f>
        <v>0</v>
      </c>
      <c r="R1720">
        <f>IF(Q1720="","",IF(R1719="",Q1720,Q1720*0.2000000000+R1719*0.8000000000))</f>
        <v>0</v>
      </c>
      <c r="S1720">
        <f>IF(OR(Q1720="",R1720=""),"",Q1720-R1720)</f>
        <v>0</v>
      </c>
      <c r="T1720">
        <f>IF(COUNT($E$2:$E1720)&lt;14,"",MAX($C$1707:$C$1720))</f>
        <v>0</v>
      </c>
      <c r="U1720">
        <f>IF(COUNT($E$2:$E1720)&lt;14,"",MIN($D$1707:$D$1720))</f>
        <v>0</v>
      </c>
      <c r="V1720">
        <f>IF(OR(T1720="",U1720="",T1720=U1720),"",100*($E1720-U1720)/(T1720-U1720))</f>
        <v>0</v>
      </c>
      <c r="W1720">
        <f>IF(COUNT($V$1718:$V$1720)&lt;3,"",AVERAGE($V$1718:$V$1720))</f>
        <v>0</v>
      </c>
      <c r="X1720">
        <f>IF(COUNT($N$1707:$N$1720)&lt;14,"",MIN($N$1707:$N$1720))</f>
        <v>0</v>
      </c>
      <c r="Y1720">
        <f>IF(COUNT($N$1707:$N$1720)&lt;14,"",MAX($N$1707:$N$1720))</f>
        <v>0</v>
      </c>
      <c r="Z1720">
        <f>IF(OR(N1720="",X1720="",Y1720="",Y1720=X1720),"",100*(N1720-X1720)/(Y1720-X1720))</f>
        <v>0</v>
      </c>
      <c r="AA1720">
        <f>IF(COUNT($Z$1718:$Z$1720)&lt;3,"",AVERAGE($Z$1718:$Z$1720))</f>
        <v>0</v>
      </c>
      <c r="AB1720">
        <f>IF(COUNT($AA$1718:$AA$1720)&lt;3,"",AVERAGE($AA$1718:$AA$1720))</f>
        <v>0</v>
      </c>
      <c r="AC1720">
        <f>IF($E1720="","",MAX($C1720-$D1720,ABS($C1720-$E1719),ABS($D1720-$E1719)))</f>
        <v>0</v>
      </c>
      <c r="AD1720">
        <f>IF(COUNT($E$2:$E1720)&lt;15,"",AVERAGE($AC$1707:$AC$1720))</f>
        <v>0</v>
      </c>
      <c r="AE1720">
        <f>IF(OR($E1720="",$E1719=""),"",IF(AND(($C1720-$C1719)&gt;($D1719-$D1720),($C1720-$C1719)&gt;0),$C1720-$C1719,0))</f>
        <v>0</v>
      </c>
      <c r="AF1720">
        <f>IF(OR($E1720="",$E1719=""),"",IF(AND(($D1719-$D1720)&gt;($C1720-$C1719),($D1719-$D1720)&gt;0),$D1719-$D1720,0))</f>
        <v>0</v>
      </c>
      <c r="AG1720">
        <f>IF(COUNT($E$2:$E1720)&lt;15,"",IF(SUM($AC$1707:$AC$1720)=0,0,100*SUM($AE$1707:$AE$1720)/SUM($AC$1707:$AC$1720)))</f>
        <v>0</v>
      </c>
      <c r="AH1720">
        <f>IF(COUNT($E$2:$E1720)&lt;15,"",IF(SUM($AC$1707:$AC$1720)=0,0,100*SUM($AF$1707:$AF$1720)/SUM($AC$1707:$AC$1720)))</f>
        <v>0</v>
      </c>
      <c r="AI1720">
        <f>IF(OR(AG1720="",AH1720=""),"",IF((AG1720+AH1720)=0,0,100*ABS(AG1720-AH1720)/(AG1720+AH1720)))</f>
        <v>0</v>
      </c>
      <c r="AJ1720">
        <f>IF(COUNT($AI$1707:$AI$1720)&lt;14,"",AVERAGE($AI$1707:$AI$1720))</f>
        <v>0</v>
      </c>
      <c r="AK1720">
        <f>IF(COUNT($E$2:$E1720)&lt;20,"",AVERAGE($E$1701:$E$1720))</f>
        <v>0</v>
      </c>
      <c r="AL1720">
        <f>IF(COUNT($E$2:$E1720)&lt;20,"",STDEVP($E$1701:$E$1720))</f>
        <v>0</v>
      </c>
      <c r="AM1720">
        <f>IF(AK1720="","",AK1720+2*AL1720)</f>
        <v>0</v>
      </c>
      <c r="AN1720">
        <f>IF(AK1720="","",AK1720-2*AL1720)</f>
        <v>0</v>
      </c>
      <c r="AO1720">
        <f>IF(OR(AM1720="",AN1720="",AM1720=AN1720),"",($E1720-AN1720)/(AM1720-AN1720))</f>
        <v>0</v>
      </c>
      <c r="AP1720">
        <f>IF(OR(AM1720="",AK1720="",AK1720=0),"",(AM1720-AN1720)/AK1720)</f>
        <v>0</v>
      </c>
      <c r="AQ1720">
        <f>IF(COUNT($E$2:$E1720)&lt;20,"",MAX($C$1701:$C$1720))</f>
        <v>0</v>
      </c>
      <c r="AR1720">
        <f>IF(COUNT($E$2:$E1720)&lt;20,"",MIN($D$1701:$D$1720))</f>
        <v>0</v>
      </c>
      <c r="AS1720">
        <f>IF(OR(AQ1720="",AR1720=""),"",(AQ1720+AR1720)/2)</f>
        <v>0</v>
      </c>
      <c r="AT1720">
        <f>IF(COUNT($G$1701:$G$1720)&lt;20,"",STDEV($G$1701:$G$1720)*SQRT(252))</f>
        <v>0</v>
      </c>
      <c r="AU1720">
        <f>IF(COUNT($E$2:$E1720)&lt;9,"",(MAX($C$1712:$C$1720)+MIN($D$1712:$D$1720))/2)</f>
        <v>0</v>
      </c>
      <c r="AV1720">
        <f>IF(COUNT($E$2:$E1720)&lt;26,"",(MAX($C$1695:$C$1720)+MIN($D$1695:$D$1720))/2)</f>
        <v>0</v>
      </c>
      <c r="AW1720">
        <f>IF(OR(AU1720="",AV1720=""),"",(AU1720+AV1720)/2)</f>
        <v>0</v>
      </c>
      <c r="AX1720">
        <f>IF(COUNT($E$2:$E1720)&lt;52,"",(MAX($C$1669:$C$1720)+MIN($D$1669:$D$1720))/2)</f>
        <v>0</v>
      </c>
      <c r="AY1720">
        <f>IF(COUNT($E$2:$E1720)&lt;20,"",MAX($C$1621:$C$1720))</f>
        <v>0</v>
      </c>
      <c r="AZ1720">
        <f>IF(COUNT($E$2:$E1720)&lt;20,"",MIN($D$1621:$D$1720))</f>
        <v>0</v>
      </c>
      <c r="BA1720">
        <f>IF(COUNT($E$2:$E1720)&lt;20,"",SLOPE($E$1621:$E$1720,$F$1621:$F$1720))</f>
        <v>0</v>
      </c>
      <c r="BB1720">
        <f>IF(COUNT($E$2:$E1720)&lt;20,"",INTERCEPT($E$1621:$E$1720,$F$1621:$F$1720))</f>
        <v>0</v>
      </c>
      <c r="BC1720">
        <f>IF(OR(BA1720="",BB1720=""),"",BB1720+BA1720*F1720)</f>
        <v>0</v>
      </c>
      <c r="BD1720">
        <f>IF(COUNT($E$2:$E1720)&lt;20,"",STEYX($E$1621:$E$1720,$F$1621:$F$1720))</f>
        <v>0</v>
      </c>
      <c r="BE1720">
        <f>IF($E1720="","",IF(AND(COUNT($E$1721:$E$1724)&gt;=4,$C1720=MAX($C$1716:$C$1724)),$C1720,""))</f>
        <v>0</v>
      </c>
      <c r="BF1720">
        <f>IF($E1720="","",IF(AND(COUNT($E$1721:$E$1724)&gt;=4,$D1720=MIN($D$1716:$D$1724)),$D1720,""))</f>
        <v>0</v>
      </c>
      <c r="BG1720">
        <f>IF($A1720="","",$A1720-WEEKDAY($A1720,2)+1)</f>
        <v>0</v>
      </c>
      <c r="BH1720">
        <f>IF($A1720="","",IF($A1719="",1,IF(BG1720&lt;&gt;BG1719,1,0)))</f>
        <v>0</v>
      </c>
      <c r="BI1720">
        <f>IF($A1720="","",IF($A1721="",1,IF(BG1721&lt;&gt;BG1720,1,0)))</f>
        <v>0</v>
      </c>
      <c r="BJ1720">
        <f>IF($A1720="","",IF(BH1720=1,$B1720,BJ1719))</f>
        <v>0</v>
      </c>
      <c r="BK1720">
        <f>IF($A1720="","",IF(BH1720=1,$C1720,MAX($C1720,BK1719)))</f>
        <v>0</v>
      </c>
      <c r="BL1720">
        <f>IF($A1720="","",IF(BH1720=1,$D1720,MIN($D1720,BL1719)))</f>
        <v>0</v>
      </c>
      <c r="BM1720">
        <f>IF($A1720="","",IF(BI1720=1,F1720,""))</f>
        <v>0</v>
      </c>
      <c r="BN1720">
        <f>IF($A1720="","",DATE(YEAR($A1720),MONTH($A1720),1))</f>
        <v>0</v>
      </c>
      <c r="BO1720">
        <f>IF($A1720="","",IF($A1719="",1,IF(BN1720&lt;&gt;BN1719,1,0)))</f>
        <v>0</v>
      </c>
      <c r="BP1720">
        <f>IF($A1720="","",IF($A1721="",1,IF(BN1721&lt;&gt;BN1720,1,0)))</f>
        <v>0</v>
      </c>
      <c r="BQ1720">
        <f>IF($A1720="","",IF(BO1720=1,$B1720,BQ1719))</f>
        <v>0</v>
      </c>
      <c r="BR1720">
        <f>IF($A1720="","",IF(BO1720=1,$C1720,MAX($C1720,BR1719)))</f>
        <v>0</v>
      </c>
      <c r="BS1720">
        <f>IF($A1720="","",IF(BO1720=1,$D1720,MIN($D1720,BS1719)))</f>
        <v>0</v>
      </c>
      <c r="BT1720">
        <f>IF($A1720="","",IF(BP1720=1,F1720,""))</f>
        <v>0</v>
      </c>
    </row>
    <row r="1721" spans="1:72">
      <c r="A1721" s="27">
        <f>IF(Data!$A1721="","",Data!$A1721)</f>
        <v>0</v>
      </c>
      <c r="B1721">
        <f>IF(Data!$B1721="","",Data!$B1721)</f>
        <v>0</v>
      </c>
      <c r="C1721">
        <f>IF(Data!$C1721="","",Data!$C1721)</f>
        <v>0</v>
      </c>
      <c r="D1721">
        <f>IF(Data!$D1721="","",Data!$D1721)</f>
        <v>0</v>
      </c>
      <c r="E1721">
        <f>IF(Data!$E1721="","",Data!$E1721)</f>
        <v>0</v>
      </c>
      <c r="F1721">
        <f>IF($E1721="","",N(F1720)+1)</f>
        <v>0</v>
      </c>
      <c r="G1721">
        <f>IF(OR($E1721="",$E1720=""),"",LN($E1721/$E1720))</f>
        <v>0</v>
      </c>
      <c r="H1721">
        <f>IF($E1721="","",IF($E1720="",$E1721,$E1721*0.0952380952+H1720*0.9047619048))</f>
        <v>0</v>
      </c>
      <c r="I1721">
        <f>IF($E1721="","",IF($E1720="",$E1721,$E1721*0.0392156863+I1720*0.9607843137))</f>
        <v>0</v>
      </c>
      <c r="J1721">
        <f>IF($E1721="","",IF($E1720="",$E1721,$E1721*0.0198019802+J1720*0.9801980198))</f>
        <v>0</v>
      </c>
      <c r="K1721">
        <f>IF($E1721="","",IF($E1720="",$E1721,$E1721*0.0099502488+K1720*0.9900497512))</f>
        <v>0</v>
      </c>
      <c r="L1721">
        <f>IF(OR($E1721="",$E1720=""),"",MAX($E1721-$E1720,0))</f>
        <v>0</v>
      </c>
      <c r="M1721">
        <f>IF(OR($E1721="",$E1720=""),"",MAX($E1720-$E1721,0))</f>
        <v>0</v>
      </c>
      <c r="N1721">
        <f>IF(COUNT($E$2:$E1721)&lt;15,"",IF(AVERAGE($M$1708:$M$1721)=0,100,100-100/(1+AVERAGE($L$1708:$L$1721)/AVERAGE($M$1708:$M$1721))))</f>
        <v>0</v>
      </c>
      <c r="O1721">
        <f>IF($E1721="","",IF($E1720="",$E1721,$E1721*0.1538461538+O1720*0.8461538462))</f>
        <v>0</v>
      </c>
      <c r="P1721">
        <f>IF($E1721="","",IF($E1720="",$E1721,$E1721*0.0740740741+P1720*0.9259259259))</f>
        <v>0</v>
      </c>
      <c r="Q1721">
        <f>IF(OR(O1721="",P1721=""),"",O1721-P1721)</f>
        <v>0</v>
      </c>
      <c r="R1721">
        <f>IF(Q1721="","",IF(R1720="",Q1721,Q1721*0.2000000000+R1720*0.8000000000))</f>
        <v>0</v>
      </c>
      <c r="S1721">
        <f>IF(OR(Q1721="",R1721=""),"",Q1721-R1721)</f>
        <v>0</v>
      </c>
      <c r="T1721">
        <f>IF(COUNT($E$2:$E1721)&lt;14,"",MAX($C$1708:$C$1721))</f>
        <v>0</v>
      </c>
      <c r="U1721">
        <f>IF(COUNT($E$2:$E1721)&lt;14,"",MIN($D$1708:$D$1721))</f>
        <v>0</v>
      </c>
      <c r="V1721">
        <f>IF(OR(T1721="",U1721="",T1721=U1721),"",100*($E1721-U1721)/(T1721-U1721))</f>
        <v>0</v>
      </c>
      <c r="W1721">
        <f>IF(COUNT($V$1719:$V$1721)&lt;3,"",AVERAGE($V$1719:$V$1721))</f>
        <v>0</v>
      </c>
      <c r="X1721">
        <f>IF(COUNT($N$1708:$N$1721)&lt;14,"",MIN($N$1708:$N$1721))</f>
        <v>0</v>
      </c>
      <c r="Y1721">
        <f>IF(COUNT($N$1708:$N$1721)&lt;14,"",MAX($N$1708:$N$1721))</f>
        <v>0</v>
      </c>
      <c r="Z1721">
        <f>IF(OR(N1721="",X1721="",Y1721="",Y1721=X1721),"",100*(N1721-X1721)/(Y1721-X1721))</f>
        <v>0</v>
      </c>
      <c r="AA1721">
        <f>IF(COUNT($Z$1719:$Z$1721)&lt;3,"",AVERAGE($Z$1719:$Z$1721))</f>
        <v>0</v>
      </c>
      <c r="AB1721">
        <f>IF(COUNT($AA$1719:$AA$1721)&lt;3,"",AVERAGE($AA$1719:$AA$1721))</f>
        <v>0</v>
      </c>
      <c r="AC1721">
        <f>IF($E1721="","",MAX($C1721-$D1721,ABS($C1721-$E1720),ABS($D1721-$E1720)))</f>
        <v>0</v>
      </c>
      <c r="AD1721">
        <f>IF(COUNT($E$2:$E1721)&lt;15,"",AVERAGE($AC$1708:$AC$1721))</f>
        <v>0</v>
      </c>
      <c r="AE1721">
        <f>IF(OR($E1721="",$E1720=""),"",IF(AND(($C1721-$C1720)&gt;($D1720-$D1721),($C1721-$C1720)&gt;0),$C1721-$C1720,0))</f>
        <v>0</v>
      </c>
      <c r="AF1721">
        <f>IF(OR($E1721="",$E1720=""),"",IF(AND(($D1720-$D1721)&gt;($C1721-$C1720),($D1720-$D1721)&gt;0),$D1720-$D1721,0))</f>
        <v>0</v>
      </c>
      <c r="AG1721">
        <f>IF(COUNT($E$2:$E1721)&lt;15,"",IF(SUM($AC$1708:$AC$1721)=0,0,100*SUM($AE$1708:$AE$1721)/SUM($AC$1708:$AC$1721)))</f>
        <v>0</v>
      </c>
      <c r="AH1721">
        <f>IF(COUNT($E$2:$E1721)&lt;15,"",IF(SUM($AC$1708:$AC$1721)=0,0,100*SUM($AF$1708:$AF$1721)/SUM($AC$1708:$AC$1721)))</f>
        <v>0</v>
      </c>
      <c r="AI1721">
        <f>IF(OR(AG1721="",AH1721=""),"",IF((AG1721+AH1721)=0,0,100*ABS(AG1721-AH1721)/(AG1721+AH1721)))</f>
        <v>0</v>
      </c>
      <c r="AJ1721">
        <f>IF(COUNT($AI$1708:$AI$1721)&lt;14,"",AVERAGE($AI$1708:$AI$1721))</f>
        <v>0</v>
      </c>
      <c r="AK1721">
        <f>IF(COUNT($E$2:$E1721)&lt;20,"",AVERAGE($E$1702:$E$1721))</f>
        <v>0</v>
      </c>
      <c r="AL1721">
        <f>IF(COUNT($E$2:$E1721)&lt;20,"",STDEVP($E$1702:$E$1721))</f>
        <v>0</v>
      </c>
      <c r="AM1721">
        <f>IF(AK1721="","",AK1721+2*AL1721)</f>
        <v>0</v>
      </c>
      <c r="AN1721">
        <f>IF(AK1721="","",AK1721-2*AL1721)</f>
        <v>0</v>
      </c>
      <c r="AO1721">
        <f>IF(OR(AM1721="",AN1721="",AM1721=AN1721),"",($E1721-AN1721)/(AM1721-AN1721))</f>
        <v>0</v>
      </c>
      <c r="AP1721">
        <f>IF(OR(AM1721="",AK1721="",AK1721=0),"",(AM1721-AN1721)/AK1721)</f>
        <v>0</v>
      </c>
      <c r="AQ1721">
        <f>IF(COUNT($E$2:$E1721)&lt;20,"",MAX($C$1702:$C$1721))</f>
        <v>0</v>
      </c>
      <c r="AR1721">
        <f>IF(COUNT($E$2:$E1721)&lt;20,"",MIN($D$1702:$D$1721))</f>
        <v>0</v>
      </c>
      <c r="AS1721">
        <f>IF(OR(AQ1721="",AR1721=""),"",(AQ1721+AR1721)/2)</f>
        <v>0</v>
      </c>
      <c r="AT1721">
        <f>IF(COUNT($G$1702:$G$1721)&lt;20,"",STDEV($G$1702:$G$1721)*SQRT(252))</f>
        <v>0</v>
      </c>
      <c r="AU1721">
        <f>IF(COUNT($E$2:$E1721)&lt;9,"",(MAX($C$1713:$C$1721)+MIN($D$1713:$D$1721))/2)</f>
        <v>0</v>
      </c>
      <c r="AV1721">
        <f>IF(COUNT($E$2:$E1721)&lt;26,"",(MAX($C$1696:$C$1721)+MIN($D$1696:$D$1721))/2)</f>
        <v>0</v>
      </c>
      <c r="AW1721">
        <f>IF(OR(AU1721="",AV1721=""),"",(AU1721+AV1721)/2)</f>
        <v>0</v>
      </c>
      <c r="AX1721">
        <f>IF(COUNT($E$2:$E1721)&lt;52,"",(MAX($C$1670:$C$1721)+MIN($D$1670:$D$1721))/2)</f>
        <v>0</v>
      </c>
      <c r="AY1721">
        <f>IF(COUNT($E$2:$E1721)&lt;20,"",MAX($C$1622:$C$1721))</f>
        <v>0</v>
      </c>
      <c r="AZ1721">
        <f>IF(COUNT($E$2:$E1721)&lt;20,"",MIN($D$1622:$D$1721))</f>
        <v>0</v>
      </c>
      <c r="BA1721">
        <f>IF(COUNT($E$2:$E1721)&lt;20,"",SLOPE($E$1622:$E$1721,$F$1622:$F$1721))</f>
        <v>0</v>
      </c>
      <c r="BB1721">
        <f>IF(COUNT($E$2:$E1721)&lt;20,"",INTERCEPT($E$1622:$E$1721,$F$1622:$F$1721))</f>
        <v>0</v>
      </c>
      <c r="BC1721">
        <f>IF(OR(BA1721="",BB1721=""),"",BB1721+BA1721*F1721)</f>
        <v>0</v>
      </c>
      <c r="BD1721">
        <f>IF(COUNT($E$2:$E1721)&lt;20,"",STEYX($E$1622:$E$1721,$F$1622:$F$1721))</f>
        <v>0</v>
      </c>
      <c r="BE1721">
        <f>IF($E1721="","",IF(AND(COUNT($E$1722:$E$1725)&gt;=4,$C1721=MAX($C$1717:$C$1725)),$C1721,""))</f>
        <v>0</v>
      </c>
      <c r="BF1721">
        <f>IF($E1721="","",IF(AND(COUNT($E$1722:$E$1725)&gt;=4,$D1721=MIN($D$1717:$D$1725)),$D1721,""))</f>
        <v>0</v>
      </c>
      <c r="BG1721">
        <f>IF($A1721="","",$A1721-WEEKDAY($A1721,2)+1)</f>
        <v>0</v>
      </c>
      <c r="BH1721">
        <f>IF($A1721="","",IF($A1720="",1,IF(BG1721&lt;&gt;BG1720,1,0)))</f>
        <v>0</v>
      </c>
      <c r="BI1721">
        <f>IF($A1721="","",IF($A1722="",1,IF(BG1722&lt;&gt;BG1721,1,0)))</f>
        <v>0</v>
      </c>
      <c r="BJ1721">
        <f>IF($A1721="","",IF(BH1721=1,$B1721,BJ1720))</f>
        <v>0</v>
      </c>
      <c r="BK1721">
        <f>IF($A1721="","",IF(BH1721=1,$C1721,MAX($C1721,BK1720)))</f>
        <v>0</v>
      </c>
      <c r="BL1721">
        <f>IF($A1721="","",IF(BH1721=1,$D1721,MIN($D1721,BL1720)))</f>
        <v>0</v>
      </c>
      <c r="BM1721">
        <f>IF($A1721="","",IF(BI1721=1,F1721,""))</f>
        <v>0</v>
      </c>
      <c r="BN1721">
        <f>IF($A1721="","",DATE(YEAR($A1721),MONTH($A1721),1))</f>
        <v>0</v>
      </c>
      <c r="BO1721">
        <f>IF($A1721="","",IF($A1720="",1,IF(BN1721&lt;&gt;BN1720,1,0)))</f>
        <v>0</v>
      </c>
      <c r="BP1721">
        <f>IF($A1721="","",IF($A1722="",1,IF(BN1722&lt;&gt;BN1721,1,0)))</f>
        <v>0</v>
      </c>
      <c r="BQ1721">
        <f>IF($A1721="","",IF(BO1721=1,$B1721,BQ1720))</f>
        <v>0</v>
      </c>
      <c r="BR1721">
        <f>IF($A1721="","",IF(BO1721=1,$C1721,MAX($C1721,BR1720)))</f>
        <v>0</v>
      </c>
      <c r="BS1721">
        <f>IF($A1721="","",IF(BO1721=1,$D1721,MIN($D1721,BS1720)))</f>
        <v>0</v>
      </c>
      <c r="BT1721">
        <f>IF($A1721="","",IF(BP1721=1,F1721,""))</f>
        <v>0</v>
      </c>
    </row>
    <row r="1722" spans="1:72">
      <c r="A1722" s="27">
        <f>IF(Data!$A1722="","",Data!$A1722)</f>
        <v>0</v>
      </c>
      <c r="B1722">
        <f>IF(Data!$B1722="","",Data!$B1722)</f>
        <v>0</v>
      </c>
      <c r="C1722">
        <f>IF(Data!$C1722="","",Data!$C1722)</f>
        <v>0</v>
      </c>
      <c r="D1722">
        <f>IF(Data!$D1722="","",Data!$D1722)</f>
        <v>0</v>
      </c>
      <c r="E1722">
        <f>IF(Data!$E1722="","",Data!$E1722)</f>
        <v>0</v>
      </c>
      <c r="F1722">
        <f>IF($E1722="","",N(F1721)+1)</f>
        <v>0</v>
      </c>
      <c r="G1722">
        <f>IF(OR($E1722="",$E1721=""),"",LN($E1722/$E1721))</f>
        <v>0</v>
      </c>
      <c r="H1722">
        <f>IF($E1722="","",IF($E1721="",$E1722,$E1722*0.0952380952+H1721*0.9047619048))</f>
        <v>0</v>
      </c>
      <c r="I1722">
        <f>IF($E1722="","",IF($E1721="",$E1722,$E1722*0.0392156863+I1721*0.9607843137))</f>
        <v>0</v>
      </c>
      <c r="J1722">
        <f>IF($E1722="","",IF($E1721="",$E1722,$E1722*0.0198019802+J1721*0.9801980198))</f>
        <v>0</v>
      </c>
      <c r="K1722">
        <f>IF($E1722="","",IF($E1721="",$E1722,$E1722*0.0099502488+K1721*0.9900497512))</f>
        <v>0</v>
      </c>
      <c r="L1722">
        <f>IF(OR($E1722="",$E1721=""),"",MAX($E1722-$E1721,0))</f>
        <v>0</v>
      </c>
      <c r="M1722">
        <f>IF(OR($E1722="",$E1721=""),"",MAX($E1721-$E1722,0))</f>
        <v>0</v>
      </c>
      <c r="N1722">
        <f>IF(COUNT($E$2:$E1722)&lt;15,"",IF(AVERAGE($M$1709:$M$1722)=0,100,100-100/(1+AVERAGE($L$1709:$L$1722)/AVERAGE($M$1709:$M$1722))))</f>
        <v>0</v>
      </c>
      <c r="O1722">
        <f>IF($E1722="","",IF($E1721="",$E1722,$E1722*0.1538461538+O1721*0.8461538462))</f>
        <v>0</v>
      </c>
      <c r="P1722">
        <f>IF($E1722="","",IF($E1721="",$E1722,$E1722*0.0740740741+P1721*0.9259259259))</f>
        <v>0</v>
      </c>
      <c r="Q1722">
        <f>IF(OR(O1722="",P1722=""),"",O1722-P1722)</f>
        <v>0</v>
      </c>
      <c r="R1722">
        <f>IF(Q1722="","",IF(R1721="",Q1722,Q1722*0.2000000000+R1721*0.8000000000))</f>
        <v>0</v>
      </c>
      <c r="S1722">
        <f>IF(OR(Q1722="",R1722=""),"",Q1722-R1722)</f>
        <v>0</v>
      </c>
      <c r="T1722">
        <f>IF(COUNT($E$2:$E1722)&lt;14,"",MAX($C$1709:$C$1722))</f>
        <v>0</v>
      </c>
      <c r="U1722">
        <f>IF(COUNT($E$2:$E1722)&lt;14,"",MIN($D$1709:$D$1722))</f>
        <v>0</v>
      </c>
      <c r="V1722">
        <f>IF(OR(T1722="",U1722="",T1722=U1722),"",100*($E1722-U1722)/(T1722-U1722))</f>
        <v>0</v>
      </c>
      <c r="W1722">
        <f>IF(COUNT($V$1720:$V$1722)&lt;3,"",AVERAGE($V$1720:$V$1722))</f>
        <v>0</v>
      </c>
      <c r="X1722">
        <f>IF(COUNT($N$1709:$N$1722)&lt;14,"",MIN($N$1709:$N$1722))</f>
        <v>0</v>
      </c>
      <c r="Y1722">
        <f>IF(COUNT($N$1709:$N$1722)&lt;14,"",MAX($N$1709:$N$1722))</f>
        <v>0</v>
      </c>
      <c r="Z1722">
        <f>IF(OR(N1722="",X1722="",Y1722="",Y1722=X1722),"",100*(N1722-X1722)/(Y1722-X1722))</f>
        <v>0</v>
      </c>
      <c r="AA1722">
        <f>IF(COUNT($Z$1720:$Z$1722)&lt;3,"",AVERAGE($Z$1720:$Z$1722))</f>
        <v>0</v>
      </c>
      <c r="AB1722">
        <f>IF(COUNT($AA$1720:$AA$1722)&lt;3,"",AVERAGE($AA$1720:$AA$1722))</f>
        <v>0</v>
      </c>
      <c r="AC1722">
        <f>IF($E1722="","",MAX($C1722-$D1722,ABS($C1722-$E1721),ABS($D1722-$E1721)))</f>
        <v>0</v>
      </c>
      <c r="AD1722">
        <f>IF(COUNT($E$2:$E1722)&lt;15,"",AVERAGE($AC$1709:$AC$1722))</f>
        <v>0</v>
      </c>
      <c r="AE1722">
        <f>IF(OR($E1722="",$E1721=""),"",IF(AND(($C1722-$C1721)&gt;($D1721-$D1722),($C1722-$C1721)&gt;0),$C1722-$C1721,0))</f>
        <v>0</v>
      </c>
      <c r="AF1722">
        <f>IF(OR($E1722="",$E1721=""),"",IF(AND(($D1721-$D1722)&gt;($C1722-$C1721),($D1721-$D1722)&gt;0),$D1721-$D1722,0))</f>
        <v>0</v>
      </c>
      <c r="AG1722">
        <f>IF(COUNT($E$2:$E1722)&lt;15,"",IF(SUM($AC$1709:$AC$1722)=0,0,100*SUM($AE$1709:$AE$1722)/SUM($AC$1709:$AC$1722)))</f>
        <v>0</v>
      </c>
      <c r="AH1722">
        <f>IF(COUNT($E$2:$E1722)&lt;15,"",IF(SUM($AC$1709:$AC$1722)=0,0,100*SUM($AF$1709:$AF$1722)/SUM($AC$1709:$AC$1722)))</f>
        <v>0</v>
      </c>
      <c r="AI1722">
        <f>IF(OR(AG1722="",AH1722=""),"",IF((AG1722+AH1722)=0,0,100*ABS(AG1722-AH1722)/(AG1722+AH1722)))</f>
        <v>0</v>
      </c>
      <c r="AJ1722">
        <f>IF(COUNT($AI$1709:$AI$1722)&lt;14,"",AVERAGE($AI$1709:$AI$1722))</f>
        <v>0</v>
      </c>
      <c r="AK1722">
        <f>IF(COUNT($E$2:$E1722)&lt;20,"",AVERAGE($E$1703:$E$1722))</f>
        <v>0</v>
      </c>
      <c r="AL1722">
        <f>IF(COUNT($E$2:$E1722)&lt;20,"",STDEVP($E$1703:$E$1722))</f>
        <v>0</v>
      </c>
      <c r="AM1722">
        <f>IF(AK1722="","",AK1722+2*AL1722)</f>
        <v>0</v>
      </c>
      <c r="AN1722">
        <f>IF(AK1722="","",AK1722-2*AL1722)</f>
        <v>0</v>
      </c>
      <c r="AO1722">
        <f>IF(OR(AM1722="",AN1722="",AM1722=AN1722),"",($E1722-AN1722)/(AM1722-AN1722))</f>
        <v>0</v>
      </c>
      <c r="AP1722">
        <f>IF(OR(AM1722="",AK1722="",AK1722=0),"",(AM1722-AN1722)/AK1722)</f>
        <v>0</v>
      </c>
      <c r="AQ1722">
        <f>IF(COUNT($E$2:$E1722)&lt;20,"",MAX($C$1703:$C$1722))</f>
        <v>0</v>
      </c>
      <c r="AR1722">
        <f>IF(COUNT($E$2:$E1722)&lt;20,"",MIN($D$1703:$D$1722))</f>
        <v>0</v>
      </c>
      <c r="AS1722">
        <f>IF(OR(AQ1722="",AR1722=""),"",(AQ1722+AR1722)/2)</f>
        <v>0</v>
      </c>
      <c r="AT1722">
        <f>IF(COUNT($G$1703:$G$1722)&lt;20,"",STDEV($G$1703:$G$1722)*SQRT(252))</f>
        <v>0</v>
      </c>
      <c r="AU1722">
        <f>IF(COUNT($E$2:$E1722)&lt;9,"",(MAX($C$1714:$C$1722)+MIN($D$1714:$D$1722))/2)</f>
        <v>0</v>
      </c>
      <c r="AV1722">
        <f>IF(COUNT($E$2:$E1722)&lt;26,"",(MAX($C$1697:$C$1722)+MIN($D$1697:$D$1722))/2)</f>
        <v>0</v>
      </c>
      <c r="AW1722">
        <f>IF(OR(AU1722="",AV1722=""),"",(AU1722+AV1722)/2)</f>
        <v>0</v>
      </c>
      <c r="AX1722">
        <f>IF(COUNT($E$2:$E1722)&lt;52,"",(MAX($C$1671:$C$1722)+MIN($D$1671:$D$1722))/2)</f>
        <v>0</v>
      </c>
      <c r="AY1722">
        <f>IF(COUNT($E$2:$E1722)&lt;20,"",MAX($C$1623:$C$1722))</f>
        <v>0</v>
      </c>
      <c r="AZ1722">
        <f>IF(COUNT($E$2:$E1722)&lt;20,"",MIN($D$1623:$D$1722))</f>
        <v>0</v>
      </c>
      <c r="BA1722">
        <f>IF(COUNT($E$2:$E1722)&lt;20,"",SLOPE($E$1623:$E$1722,$F$1623:$F$1722))</f>
        <v>0</v>
      </c>
      <c r="BB1722">
        <f>IF(COUNT($E$2:$E1722)&lt;20,"",INTERCEPT($E$1623:$E$1722,$F$1623:$F$1722))</f>
        <v>0</v>
      </c>
      <c r="BC1722">
        <f>IF(OR(BA1722="",BB1722=""),"",BB1722+BA1722*F1722)</f>
        <v>0</v>
      </c>
      <c r="BD1722">
        <f>IF(COUNT($E$2:$E1722)&lt;20,"",STEYX($E$1623:$E$1722,$F$1623:$F$1722))</f>
        <v>0</v>
      </c>
      <c r="BE1722">
        <f>IF($E1722="","",IF(AND(COUNT($E$1723:$E$1726)&gt;=4,$C1722=MAX($C$1718:$C$1726)),$C1722,""))</f>
        <v>0</v>
      </c>
      <c r="BF1722">
        <f>IF($E1722="","",IF(AND(COUNT($E$1723:$E$1726)&gt;=4,$D1722=MIN($D$1718:$D$1726)),$D1722,""))</f>
        <v>0</v>
      </c>
      <c r="BG1722">
        <f>IF($A1722="","",$A1722-WEEKDAY($A1722,2)+1)</f>
        <v>0</v>
      </c>
      <c r="BH1722">
        <f>IF($A1722="","",IF($A1721="",1,IF(BG1722&lt;&gt;BG1721,1,0)))</f>
        <v>0</v>
      </c>
      <c r="BI1722">
        <f>IF($A1722="","",IF($A1723="",1,IF(BG1723&lt;&gt;BG1722,1,0)))</f>
        <v>0</v>
      </c>
      <c r="BJ1722">
        <f>IF($A1722="","",IF(BH1722=1,$B1722,BJ1721))</f>
        <v>0</v>
      </c>
      <c r="BK1722">
        <f>IF($A1722="","",IF(BH1722=1,$C1722,MAX($C1722,BK1721)))</f>
        <v>0</v>
      </c>
      <c r="BL1722">
        <f>IF($A1722="","",IF(BH1722=1,$D1722,MIN($D1722,BL1721)))</f>
        <v>0</v>
      </c>
      <c r="BM1722">
        <f>IF($A1722="","",IF(BI1722=1,F1722,""))</f>
        <v>0</v>
      </c>
      <c r="BN1722">
        <f>IF($A1722="","",DATE(YEAR($A1722),MONTH($A1722),1))</f>
        <v>0</v>
      </c>
      <c r="BO1722">
        <f>IF($A1722="","",IF($A1721="",1,IF(BN1722&lt;&gt;BN1721,1,0)))</f>
        <v>0</v>
      </c>
      <c r="BP1722">
        <f>IF($A1722="","",IF($A1723="",1,IF(BN1723&lt;&gt;BN1722,1,0)))</f>
        <v>0</v>
      </c>
      <c r="BQ1722">
        <f>IF($A1722="","",IF(BO1722=1,$B1722,BQ1721))</f>
        <v>0</v>
      </c>
      <c r="BR1722">
        <f>IF($A1722="","",IF(BO1722=1,$C1722,MAX($C1722,BR1721)))</f>
        <v>0</v>
      </c>
      <c r="BS1722">
        <f>IF($A1722="","",IF(BO1722=1,$D1722,MIN($D1722,BS1721)))</f>
        <v>0</v>
      </c>
      <c r="BT1722">
        <f>IF($A1722="","",IF(BP1722=1,F1722,""))</f>
        <v>0</v>
      </c>
    </row>
    <row r="1723" spans="1:72">
      <c r="A1723" s="27">
        <f>IF(Data!$A1723="","",Data!$A1723)</f>
        <v>0</v>
      </c>
      <c r="B1723">
        <f>IF(Data!$B1723="","",Data!$B1723)</f>
        <v>0</v>
      </c>
      <c r="C1723">
        <f>IF(Data!$C1723="","",Data!$C1723)</f>
        <v>0</v>
      </c>
      <c r="D1723">
        <f>IF(Data!$D1723="","",Data!$D1723)</f>
        <v>0</v>
      </c>
      <c r="E1723">
        <f>IF(Data!$E1723="","",Data!$E1723)</f>
        <v>0</v>
      </c>
      <c r="F1723">
        <f>IF($E1723="","",N(F1722)+1)</f>
        <v>0</v>
      </c>
      <c r="G1723">
        <f>IF(OR($E1723="",$E1722=""),"",LN($E1723/$E1722))</f>
        <v>0</v>
      </c>
      <c r="H1723">
        <f>IF($E1723="","",IF($E1722="",$E1723,$E1723*0.0952380952+H1722*0.9047619048))</f>
        <v>0</v>
      </c>
      <c r="I1723">
        <f>IF($E1723="","",IF($E1722="",$E1723,$E1723*0.0392156863+I1722*0.9607843137))</f>
        <v>0</v>
      </c>
      <c r="J1723">
        <f>IF($E1723="","",IF($E1722="",$E1723,$E1723*0.0198019802+J1722*0.9801980198))</f>
        <v>0</v>
      </c>
      <c r="K1723">
        <f>IF($E1723="","",IF($E1722="",$E1723,$E1723*0.0099502488+K1722*0.9900497512))</f>
        <v>0</v>
      </c>
      <c r="L1723">
        <f>IF(OR($E1723="",$E1722=""),"",MAX($E1723-$E1722,0))</f>
        <v>0</v>
      </c>
      <c r="M1723">
        <f>IF(OR($E1723="",$E1722=""),"",MAX($E1722-$E1723,0))</f>
        <v>0</v>
      </c>
      <c r="N1723">
        <f>IF(COUNT($E$2:$E1723)&lt;15,"",IF(AVERAGE($M$1710:$M$1723)=0,100,100-100/(1+AVERAGE($L$1710:$L$1723)/AVERAGE($M$1710:$M$1723))))</f>
        <v>0</v>
      </c>
      <c r="O1723">
        <f>IF($E1723="","",IF($E1722="",$E1723,$E1723*0.1538461538+O1722*0.8461538462))</f>
        <v>0</v>
      </c>
      <c r="P1723">
        <f>IF($E1723="","",IF($E1722="",$E1723,$E1723*0.0740740741+P1722*0.9259259259))</f>
        <v>0</v>
      </c>
      <c r="Q1723">
        <f>IF(OR(O1723="",P1723=""),"",O1723-P1723)</f>
        <v>0</v>
      </c>
      <c r="R1723">
        <f>IF(Q1723="","",IF(R1722="",Q1723,Q1723*0.2000000000+R1722*0.8000000000))</f>
        <v>0</v>
      </c>
      <c r="S1723">
        <f>IF(OR(Q1723="",R1723=""),"",Q1723-R1723)</f>
        <v>0</v>
      </c>
      <c r="T1723">
        <f>IF(COUNT($E$2:$E1723)&lt;14,"",MAX($C$1710:$C$1723))</f>
        <v>0</v>
      </c>
      <c r="U1723">
        <f>IF(COUNT($E$2:$E1723)&lt;14,"",MIN($D$1710:$D$1723))</f>
        <v>0</v>
      </c>
      <c r="V1723">
        <f>IF(OR(T1723="",U1723="",T1723=U1723),"",100*($E1723-U1723)/(T1723-U1723))</f>
        <v>0</v>
      </c>
      <c r="W1723">
        <f>IF(COUNT($V$1721:$V$1723)&lt;3,"",AVERAGE($V$1721:$V$1723))</f>
        <v>0</v>
      </c>
      <c r="X1723">
        <f>IF(COUNT($N$1710:$N$1723)&lt;14,"",MIN($N$1710:$N$1723))</f>
        <v>0</v>
      </c>
      <c r="Y1723">
        <f>IF(COUNT($N$1710:$N$1723)&lt;14,"",MAX($N$1710:$N$1723))</f>
        <v>0</v>
      </c>
      <c r="Z1723">
        <f>IF(OR(N1723="",X1723="",Y1723="",Y1723=X1723),"",100*(N1723-X1723)/(Y1723-X1723))</f>
        <v>0</v>
      </c>
      <c r="AA1723">
        <f>IF(COUNT($Z$1721:$Z$1723)&lt;3,"",AVERAGE($Z$1721:$Z$1723))</f>
        <v>0</v>
      </c>
      <c r="AB1723">
        <f>IF(COUNT($AA$1721:$AA$1723)&lt;3,"",AVERAGE($AA$1721:$AA$1723))</f>
        <v>0</v>
      </c>
      <c r="AC1723">
        <f>IF($E1723="","",MAX($C1723-$D1723,ABS($C1723-$E1722),ABS($D1723-$E1722)))</f>
        <v>0</v>
      </c>
      <c r="AD1723">
        <f>IF(COUNT($E$2:$E1723)&lt;15,"",AVERAGE($AC$1710:$AC$1723))</f>
        <v>0</v>
      </c>
      <c r="AE1723">
        <f>IF(OR($E1723="",$E1722=""),"",IF(AND(($C1723-$C1722)&gt;($D1722-$D1723),($C1723-$C1722)&gt;0),$C1723-$C1722,0))</f>
        <v>0</v>
      </c>
      <c r="AF1723">
        <f>IF(OR($E1723="",$E1722=""),"",IF(AND(($D1722-$D1723)&gt;($C1723-$C1722),($D1722-$D1723)&gt;0),$D1722-$D1723,0))</f>
        <v>0</v>
      </c>
      <c r="AG1723">
        <f>IF(COUNT($E$2:$E1723)&lt;15,"",IF(SUM($AC$1710:$AC$1723)=0,0,100*SUM($AE$1710:$AE$1723)/SUM($AC$1710:$AC$1723)))</f>
        <v>0</v>
      </c>
      <c r="AH1723">
        <f>IF(COUNT($E$2:$E1723)&lt;15,"",IF(SUM($AC$1710:$AC$1723)=0,0,100*SUM($AF$1710:$AF$1723)/SUM($AC$1710:$AC$1723)))</f>
        <v>0</v>
      </c>
      <c r="AI1723">
        <f>IF(OR(AG1723="",AH1723=""),"",IF((AG1723+AH1723)=0,0,100*ABS(AG1723-AH1723)/(AG1723+AH1723)))</f>
        <v>0</v>
      </c>
      <c r="AJ1723">
        <f>IF(COUNT($AI$1710:$AI$1723)&lt;14,"",AVERAGE($AI$1710:$AI$1723))</f>
        <v>0</v>
      </c>
      <c r="AK1723">
        <f>IF(COUNT($E$2:$E1723)&lt;20,"",AVERAGE($E$1704:$E$1723))</f>
        <v>0</v>
      </c>
      <c r="AL1723">
        <f>IF(COUNT($E$2:$E1723)&lt;20,"",STDEVP($E$1704:$E$1723))</f>
        <v>0</v>
      </c>
      <c r="AM1723">
        <f>IF(AK1723="","",AK1723+2*AL1723)</f>
        <v>0</v>
      </c>
      <c r="AN1723">
        <f>IF(AK1723="","",AK1723-2*AL1723)</f>
        <v>0</v>
      </c>
      <c r="AO1723">
        <f>IF(OR(AM1723="",AN1723="",AM1723=AN1723),"",($E1723-AN1723)/(AM1723-AN1723))</f>
        <v>0</v>
      </c>
      <c r="AP1723">
        <f>IF(OR(AM1723="",AK1723="",AK1723=0),"",(AM1723-AN1723)/AK1723)</f>
        <v>0</v>
      </c>
      <c r="AQ1723">
        <f>IF(COUNT($E$2:$E1723)&lt;20,"",MAX($C$1704:$C$1723))</f>
        <v>0</v>
      </c>
      <c r="AR1723">
        <f>IF(COUNT($E$2:$E1723)&lt;20,"",MIN($D$1704:$D$1723))</f>
        <v>0</v>
      </c>
      <c r="AS1723">
        <f>IF(OR(AQ1723="",AR1723=""),"",(AQ1723+AR1723)/2)</f>
        <v>0</v>
      </c>
      <c r="AT1723">
        <f>IF(COUNT($G$1704:$G$1723)&lt;20,"",STDEV($G$1704:$G$1723)*SQRT(252))</f>
        <v>0</v>
      </c>
      <c r="AU1723">
        <f>IF(COUNT($E$2:$E1723)&lt;9,"",(MAX($C$1715:$C$1723)+MIN($D$1715:$D$1723))/2)</f>
        <v>0</v>
      </c>
      <c r="AV1723">
        <f>IF(COUNT($E$2:$E1723)&lt;26,"",(MAX($C$1698:$C$1723)+MIN($D$1698:$D$1723))/2)</f>
        <v>0</v>
      </c>
      <c r="AW1723">
        <f>IF(OR(AU1723="",AV1723=""),"",(AU1723+AV1723)/2)</f>
        <v>0</v>
      </c>
      <c r="AX1723">
        <f>IF(COUNT($E$2:$E1723)&lt;52,"",(MAX($C$1672:$C$1723)+MIN($D$1672:$D$1723))/2)</f>
        <v>0</v>
      </c>
      <c r="AY1723">
        <f>IF(COUNT($E$2:$E1723)&lt;20,"",MAX($C$1624:$C$1723))</f>
        <v>0</v>
      </c>
      <c r="AZ1723">
        <f>IF(COUNT($E$2:$E1723)&lt;20,"",MIN($D$1624:$D$1723))</f>
        <v>0</v>
      </c>
      <c r="BA1723">
        <f>IF(COUNT($E$2:$E1723)&lt;20,"",SLOPE($E$1624:$E$1723,$F$1624:$F$1723))</f>
        <v>0</v>
      </c>
      <c r="BB1723">
        <f>IF(COUNT($E$2:$E1723)&lt;20,"",INTERCEPT($E$1624:$E$1723,$F$1624:$F$1723))</f>
        <v>0</v>
      </c>
      <c r="BC1723">
        <f>IF(OR(BA1723="",BB1723=""),"",BB1723+BA1723*F1723)</f>
        <v>0</v>
      </c>
      <c r="BD1723">
        <f>IF(COUNT($E$2:$E1723)&lt;20,"",STEYX($E$1624:$E$1723,$F$1624:$F$1723))</f>
        <v>0</v>
      </c>
      <c r="BE1723">
        <f>IF($E1723="","",IF(AND(COUNT($E$1724:$E$1727)&gt;=4,$C1723=MAX($C$1719:$C$1727)),$C1723,""))</f>
        <v>0</v>
      </c>
      <c r="BF1723">
        <f>IF($E1723="","",IF(AND(COUNT($E$1724:$E$1727)&gt;=4,$D1723=MIN($D$1719:$D$1727)),$D1723,""))</f>
        <v>0</v>
      </c>
      <c r="BG1723">
        <f>IF($A1723="","",$A1723-WEEKDAY($A1723,2)+1)</f>
        <v>0</v>
      </c>
      <c r="BH1723">
        <f>IF($A1723="","",IF($A1722="",1,IF(BG1723&lt;&gt;BG1722,1,0)))</f>
        <v>0</v>
      </c>
      <c r="BI1723">
        <f>IF($A1723="","",IF($A1724="",1,IF(BG1724&lt;&gt;BG1723,1,0)))</f>
        <v>0</v>
      </c>
      <c r="BJ1723">
        <f>IF($A1723="","",IF(BH1723=1,$B1723,BJ1722))</f>
        <v>0</v>
      </c>
      <c r="BK1723">
        <f>IF($A1723="","",IF(BH1723=1,$C1723,MAX($C1723,BK1722)))</f>
        <v>0</v>
      </c>
      <c r="BL1723">
        <f>IF($A1723="","",IF(BH1723=1,$D1723,MIN($D1723,BL1722)))</f>
        <v>0</v>
      </c>
      <c r="BM1723">
        <f>IF($A1723="","",IF(BI1723=1,F1723,""))</f>
        <v>0</v>
      </c>
      <c r="BN1723">
        <f>IF($A1723="","",DATE(YEAR($A1723),MONTH($A1723),1))</f>
        <v>0</v>
      </c>
      <c r="BO1723">
        <f>IF($A1723="","",IF($A1722="",1,IF(BN1723&lt;&gt;BN1722,1,0)))</f>
        <v>0</v>
      </c>
      <c r="BP1723">
        <f>IF($A1723="","",IF($A1724="",1,IF(BN1724&lt;&gt;BN1723,1,0)))</f>
        <v>0</v>
      </c>
      <c r="BQ1723">
        <f>IF($A1723="","",IF(BO1723=1,$B1723,BQ1722))</f>
        <v>0</v>
      </c>
      <c r="BR1723">
        <f>IF($A1723="","",IF(BO1723=1,$C1723,MAX($C1723,BR1722)))</f>
        <v>0</v>
      </c>
      <c r="BS1723">
        <f>IF($A1723="","",IF(BO1723=1,$D1723,MIN($D1723,BS1722)))</f>
        <v>0</v>
      </c>
      <c r="BT1723">
        <f>IF($A1723="","",IF(BP1723=1,F1723,""))</f>
        <v>0</v>
      </c>
    </row>
    <row r="1724" spans="1:72">
      <c r="A1724" s="27">
        <f>IF(Data!$A1724="","",Data!$A1724)</f>
        <v>0</v>
      </c>
      <c r="B1724">
        <f>IF(Data!$B1724="","",Data!$B1724)</f>
        <v>0</v>
      </c>
      <c r="C1724">
        <f>IF(Data!$C1724="","",Data!$C1724)</f>
        <v>0</v>
      </c>
      <c r="D1724">
        <f>IF(Data!$D1724="","",Data!$D1724)</f>
        <v>0</v>
      </c>
      <c r="E1724">
        <f>IF(Data!$E1724="","",Data!$E1724)</f>
        <v>0</v>
      </c>
      <c r="F1724">
        <f>IF($E1724="","",N(F1723)+1)</f>
        <v>0</v>
      </c>
      <c r="G1724">
        <f>IF(OR($E1724="",$E1723=""),"",LN($E1724/$E1723))</f>
        <v>0</v>
      </c>
      <c r="H1724">
        <f>IF($E1724="","",IF($E1723="",$E1724,$E1724*0.0952380952+H1723*0.9047619048))</f>
        <v>0</v>
      </c>
      <c r="I1724">
        <f>IF($E1724="","",IF($E1723="",$E1724,$E1724*0.0392156863+I1723*0.9607843137))</f>
        <v>0</v>
      </c>
      <c r="J1724">
        <f>IF($E1724="","",IF($E1723="",$E1724,$E1724*0.0198019802+J1723*0.9801980198))</f>
        <v>0</v>
      </c>
      <c r="K1724">
        <f>IF($E1724="","",IF($E1723="",$E1724,$E1724*0.0099502488+K1723*0.9900497512))</f>
        <v>0</v>
      </c>
      <c r="L1724">
        <f>IF(OR($E1724="",$E1723=""),"",MAX($E1724-$E1723,0))</f>
        <v>0</v>
      </c>
      <c r="M1724">
        <f>IF(OR($E1724="",$E1723=""),"",MAX($E1723-$E1724,0))</f>
        <v>0</v>
      </c>
      <c r="N1724">
        <f>IF(COUNT($E$2:$E1724)&lt;15,"",IF(AVERAGE($M$1711:$M$1724)=0,100,100-100/(1+AVERAGE($L$1711:$L$1724)/AVERAGE($M$1711:$M$1724))))</f>
        <v>0</v>
      </c>
      <c r="O1724">
        <f>IF($E1724="","",IF($E1723="",$E1724,$E1724*0.1538461538+O1723*0.8461538462))</f>
        <v>0</v>
      </c>
      <c r="P1724">
        <f>IF($E1724="","",IF($E1723="",$E1724,$E1724*0.0740740741+P1723*0.9259259259))</f>
        <v>0</v>
      </c>
      <c r="Q1724">
        <f>IF(OR(O1724="",P1724=""),"",O1724-P1724)</f>
        <v>0</v>
      </c>
      <c r="R1724">
        <f>IF(Q1724="","",IF(R1723="",Q1724,Q1724*0.2000000000+R1723*0.8000000000))</f>
        <v>0</v>
      </c>
      <c r="S1724">
        <f>IF(OR(Q1724="",R1724=""),"",Q1724-R1724)</f>
        <v>0</v>
      </c>
      <c r="T1724">
        <f>IF(COUNT($E$2:$E1724)&lt;14,"",MAX($C$1711:$C$1724))</f>
        <v>0</v>
      </c>
      <c r="U1724">
        <f>IF(COUNT($E$2:$E1724)&lt;14,"",MIN($D$1711:$D$1724))</f>
        <v>0</v>
      </c>
      <c r="V1724">
        <f>IF(OR(T1724="",U1724="",T1724=U1724),"",100*($E1724-U1724)/(T1724-U1724))</f>
        <v>0</v>
      </c>
      <c r="W1724">
        <f>IF(COUNT($V$1722:$V$1724)&lt;3,"",AVERAGE($V$1722:$V$1724))</f>
        <v>0</v>
      </c>
      <c r="X1724">
        <f>IF(COUNT($N$1711:$N$1724)&lt;14,"",MIN($N$1711:$N$1724))</f>
        <v>0</v>
      </c>
      <c r="Y1724">
        <f>IF(COUNT($N$1711:$N$1724)&lt;14,"",MAX($N$1711:$N$1724))</f>
        <v>0</v>
      </c>
      <c r="Z1724">
        <f>IF(OR(N1724="",X1724="",Y1724="",Y1724=X1724),"",100*(N1724-X1724)/(Y1724-X1724))</f>
        <v>0</v>
      </c>
      <c r="AA1724">
        <f>IF(COUNT($Z$1722:$Z$1724)&lt;3,"",AVERAGE($Z$1722:$Z$1724))</f>
        <v>0</v>
      </c>
      <c r="AB1724">
        <f>IF(COUNT($AA$1722:$AA$1724)&lt;3,"",AVERAGE($AA$1722:$AA$1724))</f>
        <v>0</v>
      </c>
      <c r="AC1724">
        <f>IF($E1724="","",MAX($C1724-$D1724,ABS($C1724-$E1723),ABS($D1724-$E1723)))</f>
        <v>0</v>
      </c>
      <c r="AD1724">
        <f>IF(COUNT($E$2:$E1724)&lt;15,"",AVERAGE($AC$1711:$AC$1724))</f>
        <v>0</v>
      </c>
      <c r="AE1724">
        <f>IF(OR($E1724="",$E1723=""),"",IF(AND(($C1724-$C1723)&gt;($D1723-$D1724),($C1724-$C1723)&gt;0),$C1724-$C1723,0))</f>
        <v>0</v>
      </c>
      <c r="AF1724">
        <f>IF(OR($E1724="",$E1723=""),"",IF(AND(($D1723-$D1724)&gt;($C1724-$C1723),($D1723-$D1724)&gt;0),$D1723-$D1724,0))</f>
        <v>0</v>
      </c>
      <c r="AG1724">
        <f>IF(COUNT($E$2:$E1724)&lt;15,"",IF(SUM($AC$1711:$AC$1724)=0,0,100*SUM($AE$1711:$AE$1724)/SUM($AC$1711:$AC$1724)))</f>
        <v>0</v>
      </c>
      <c r="AH1724">
        <f>IF(COUNT($E$2:$E1724)&lt;15,"",IF(SUM($AC$1711:$AC$1724)=0,0,100*SUM($AF$1711:$AF$1724)/SUM($AC$1711:$AC$1724)))</f>
        <v>0</v>
      </c>
      <c r="AI1724">
        <f>IF(OR(AG1724="",AH1724=""),"",IF((AG1724+AH1724)=0,0,100*ABS(AG1724-AH1724)/(AG1724+AH1724)))</f>
        <v>0</v>
      </c>
      <c r="AJ1724">
        <f>IF(COUNT($AI$1711:$AI$1724)&lt;14,"",AVERAGE($AI$1711:$AI$1724))</f>
        <v>0</v>
      </c>
      <c r="AK1724">
        <f>IF(COUNT($E$2:$E1724)&lt;20,"",AVERAGE($E$1705:$E$1724))</f>
        <v>0</v>
      </c>
      <c r="AL1724">
        <f>IF(COUNT($E$2:$E1724)&lt;20,"",STDEVP($E$1705:$E$1724))</f>
        <v>0</v>
      </c>
      <c r="AM1724">
        <f>IF(AK1724="","",AK1724+2*AL1724)</f>
        <v>0</v>
      </c>
      <c r="AN1724">
        <f>IF(AK1724="","",AK1724-2*AL1724)</f>
        <v>0</v>
      </c>
      <c r="AO1724">
        <f>IF(OR(AM1724="",AN1724="",AM1724=AN1724),"",($E1724-AN1724)/(AM1724-AN1724))</f>
        <v>0</v>
      </c>
      <c r="AP1724">
        <f>IF(OR(AM1724="",AK1724="",AK1724=0),"",(AM1724-AN1724)/AK1724)</f>
        <v>0</v>
      </c>
      <c r="AQ1724">
        <f>IF(COUNT($E$2:$E1724)&lt;20,"",MAX($C$1705:$C$1724))</f>
        <v>0</v>
      </c>
      <c r="AR1724">
        <f>IF(COUNT($E$2:$E1724)&lt;20,"",MIN($D$1705:$D$1724))</f>
        <v>0</v>
      </c>
      <c r="AS1724">
        <f>IF(OR(AQ1724="",AR1724=""),"",(AQ1724+AR1724)/2)</f>
        <v>0</v>
      </c>
      <c r="AT1724">
        <f>IF(COUNT($G$1705:$G$1724)&lt;20,"",STDEV($G$1705:$G$1724)*SQRT(252))</f>
        <v>0</v>
      </c>
      <c r="AU1724">
        <f>IF(COUNT($E$2:$E1724)&lt;9,"",(MAX($C$1716:$C$1724)+MIN($D$1716:$D$1724))/2)</f>
        <v>0</v>
      </c>
      <c r="AV1724">
        <f>IF(COUNT($E$2:$E1724)&lt;26,"",(MAX($C$1699:$C$1724)+MIN($D$1699:$D$1724))/2)</f>
        <v>0</v>
      </c>
      <c r="AW1724">
        <f>IF(OR(AU1724="",AV1724=""),"",(AU1724+AV1724)/2)</f>
        <v>0</v>
      </c>
      <c r="AX1724">
        <f>IF(COUNT($E$2:$E1724)&lt;52,"",(MAX($C$1673:$C$1724)+MIN($D$1673:$D$1724))/2)</f>
        <v>0</v>
      </c>
      <c r="AY1724">
        <f>IF(COUNT($E$2:$E1724)&lt;20,"",MAX($C$1625:$C$1724))</f>
        <v>0</v>
      </c>
      <c r="AZ1724">
        <f>IF(COUNT($E$2:$E1724)&lt;20,"",MIN($D$1625:$D$1724))</f>
        <v>0</v>
      </c>
      <c r="BA1724">
        <f>IF(COUNT($E$2:$E1724)&lt;20,"",SLOPE($E$1625:$E$1724,$F$1625:$F$1724))</f>
        <v>0</v>
      </c>
      <c r="BB1724">
        <f>IF(COUNT($E$2:$E1724)&lt;20,"",INTERCEPT($E$1625:$E$1724,$F$1625:$F$1724))</f>
        <v>0</v>
      </c>
      <c r="BC1724">
        <f>IF(OR(BA1724="",BB1724=""),"",BB1724+BA1724*F1724)</f>
        <v>0</v>
      </c>
      <c r="BD1724">
        <f>IF(COUNT($E$2:$E1724)&lt;20,"",STEYX($E$1625:$E$1724,$F$1625:$F$1724))</f>
        <v>0</v>
      </c>
      <c r="BE1724">
        <f>IF($E1724="","",IF(AND(COUNT($E$1725:$E$1728)&gt;=4,$C1724=MAX($C$1720:$C$1728)),$C1724,""))</f>
        <v>0</v>
      </c>
      <c r="BF1724">
        <f>IF($E1724="","",IF(AND(COUNT($E$1725:$E$1728)&gt;=4,$D1724=MIN($D$1720:$D$1728)),$D1724,""))</f>
        <v>0</v>
      </c>
      <c r="BG1724">
        <f>IF($A1724="","",$A1724-WEEKDAY($A1724,2)+1)</f>
        <v>0</v>
      </c>
      <c r="BH1724">
        <f>IF($A1724="","",IF($A1723="",1,IF(BG1724&lt;&gt;BG1723,1,0)))</f>
        <v>0</v>
      </c>
      <c r="BI1724">
        <f>IF($A1724="","",IF($A1725="",1,IF(BG1725&lt;&gt;BG1724,1,0)))</f>
        <v>0</v>
      </c>
      <c r="BJ1724">
        <f>IF($A1724="","",IF(BH1724=1,$B1724,BJ1723))</f>
        <v>0</v>
      </c>
      <c r="BK1724">
        <f>IF($A1724="","",IF(BH1724=1,$C1724,MAX($C1724,BK1723)))</f>
        <v>0</v>
      </c>
      <c r="BL1724">
        <f>IF($A1724="","",IF(BH1724=1,$D1724,MIN($D1724,BL1723)))</f>
        <v>0</v>
      </c>
      <c r="BM1724">
        <f>IF($A1724="","",IF(BI1724=1,F1724,""))</f>
        <v>0</v>
      </c>
      <c r="BN1724">
        <f>IF($A1724="","",DATE(YEAR($A1724),MONTH($A1724),1))</f>
        <v>0</v>
      </c>
      <c r="BO1724">
        <f>IF($A1724="","",IF($A1723="",1,IF(BN1724&lt;&gt;BN1723,1,0)))</f>
        <v>0</v>
      </c>
      <c r="BP1724">
        <f>IF($A1724="","",IF($A1725="",1,IF(BN1725&lt;&gt;BN1724,1,0)))</f>
        <v>0</v>
      </c>
      <c r="BQ1724">
        <f>IF($A1724="","",IF(BO1724=1,$B1724,BQ1723))</f>
        <v>0</v>
      </c>
      <c r="BR1724">
        <f>IF($A1724="","",IF(BO1724=1,$C1724,MAX($C1724,BR1723)))</f>
        <v>0</v>
      </c>
      <c r="BS1724">
        <f>IF($A1724="","",IF(BO1724=1,$D1724,MIN($D1724,BS1723)))</f>
        <v>0</v>
      </c>
      <c r="BT1724">
        <f>IF($A1724="","",IF(BP1724=1,F1724,""))</f>
        <v>0</v>
      </c>
    </row>
    <row r="1725" spans="1:72">
      <c r="A1725" s="27">
        <f>IF(Data!$A1725="","",Data!$A1725)</f>
        <v>0</v>
      </c>
      <c r="B1725">
        <f>IF(Data!$B1725="","",Data!$B1725)</f>
        <v>0</v>
      </c>
      <c r="C1725">
        <f>IF(Data!$C1725="","",Data!$C1725)</f>
        <v>0</v>
      </c>
      <c r="D1725">
        <f>IF(Data!$D1725="","",Data!$D1725)</f>
        <v>0</v>
      </c>
      <c r="E1725">
        <f>IF(Data!$E1725="","",Data!$E1725)</f>
        <v>0</v>
      </c>
      <c r="F1725">
        <f>IF($E1725="","",N(F1724)+1)</f>
        <v>0</v>
      </c>
      <c r="G1725">
        <f>IF(OR($E1725="",$E1724=""),"",LN($E1725/$E1724))</f>
        <v>0</v>
      </c>
      <c r="H1725">
        <f>IF($E1725="","",IF($E1724="",$E1725,$E1725*0.0952380952+H1724*0.9047619048))</f>
        <v>0</v>
      </c>
      <c r="I1725">
        <f>IF($E1725="","",IF($E1724="",$E1725,$E1725*0.0392156863+I1724*0.9607843137))</f>
        <v>0</v>
      </c>
      <c r="J1725">
        <f>IF($E1725="","",IF($E1724="",$E1725,$E1725*0.0198019802+J1724*0.9801980198))</f>
        <v>0</v>
      </c>
      <c r="K1725">
        <f>IF($E1725="","",IF($E1724="",$E1725,$E1725*0.0099502488+K1724*0.9900497512))</f>
        <v>0</v>
      </c>
      <c r="L1725">
        <f>IF(OR($E1725="",$E1724=""),"",MAX($E1725-$E1724,0))</f>
        <v>0</v>
      </c>
      <c r="M1725">
        <f>IF(OR($E1725="",$E1724=""),"",MAX($E1724-$E1725,0))</f>
        <v>0</v>
      </c>
      <c r="N1725">
        <f>IF(COUNT($E$2:$E1725)&lt;15,"",IF(AVERAGE($M$1712:$M$1725)=0,100,100-100/(1+AVERAGE($L$1712:$L$1725)/AVERAGE($M$1712:$M$1725))))</f>
        <v>0</v>
      </c>
      <c r="O1725">
        <f>IF($E1725="","",IF($E1724="",$E1725,$E1725*0.1538461538+O1724*0.8461538462))</f>
        <v>0</v>
      </c>
      <c r="P1725">
        <f>IF($E1725="","",IF($E1724="",$E1725,$E1725*0.0740740741+P1724*0.9259259259))</f>
        <v>0</v>
      </c>
      <c r="Q1725">
        <f>IF(OR(O1725="",P1725=""),"",O1725-P1725)</f>
        <v>0</v>
      </c>
      <c r="R1725">
        <f>IF(Q1725="","",IF(R1724="",Q1725,Q1725*0.2000000000+R1724*0.8000000000))</f>
        <v>0</v>
      </c>
      <c r="S1725">
        <f>IF(OR(Q1725="",R1725=""),"",Q1725-R1725)</f>
        <v>0</v>
      </c>
      <c r="T1725">
        <f>IF(COUNT($E$2:$E1725)&lt;14,"",MAX($C$1712:$C$1725))</f>
        <v>0</v>
      </c>
      <c r="U1725">
        <f>IF(COUNT($E$2:$E1725)&lt;14,"",MIN($D$1712:$D$1725))</f>
        <v>0</v>
      </c>
      <c r="V1725">
        <f>IF(OR(T1725="",U1725="",T1725=U1725),"",100*($E1725-U1725)/(T1725-U1725))</f>
        <v>0</v>
      </c>
      <c r="W1725">
        <f>IF(COUNT($V$1723:$V$1725)&lt;3,"",AVERAGE($V$1723:$V$1725))</f>
        <v>0</v>
      </c>
      <c r="X1725">
        <f>IF(COUNT($N$1712:$N$1725)&lt;14,"",MIN($N$1712:$N$1725))</f>
        <v>0</v>
      </c>
      <c r="Y1725">
        <f>IF(COUNT($N$1712:$N$1725)&lt;14,"",MAX($N$1712:$N$1725))</f>
        <v>0</v>
      </c>
      <c r="Z1725">
        <f>IF(OR(N1725="",X1725="",Y1725="",Y1725=X1725),"",100*(N1725-X1725)/(Y1725-X1725))</f>
        <v>0</v>
      </c>
      <c r="AA1725">
        <f>IF(COUNT($Z$1723:$Z$1725)&lt;3,"",AVERAGE($Z$1723:$Z$1725))</f>
        <v>0</v>
      </c>
      <c r="AB1725">
        <f>IF(COUNT($AA$1723:$AA$1725)&lt;3,"",AVERAGE($AA$1723:$AA$1725))</f>
        <v>0</v>
      </c>
      <c r="AC1725">
        <f>IF($E1725="","",MAX($C1725-$D1725,ABS($C1725-$E1724),ABS($D1725-$E1724)))</f>
        <v>0</v>
      </c>
      <c r="AD1725">
        <f>IF(COUNT($E$2:$E1725)&lt;15,"",AVERAGE($AC$1712:$AC$1725))</f>
        <v>0</v>
      </c>
      <c r="AE1725">
        <f>IF(OR($E1725="",$E1724=""),"",IF(AND(($C1725-$C1724)&gt;($D1724-$D1725),($C1725-$C1724)&gt;0),$C1725-$C1724,0))</f>
        <v>0</v>
      </c>
      <c r="AF1725">
        <f>IF(OR($E1725="",$E1724=""),"",IF(AND(($D1724-$D1725)&gt;($C1725-$C1724),($D1724-$D1725)&gt;0),$D1724-$D1725,0))</f>
        <v>0</v>
      </c>
      <c r="AG1725">
        <f>IF(COUNT($E$2:$E1725)&lt;15,"",IF(SUM($AC$1712:$AC$1725)=0,0,100*SUM($AE$1712:$AE$1725)/SUM($AC$1712:$AC$1725)))</f>
        <v>0</v>
      </c>
      <c r="AH1725">
        <f>IF(COUNT($E$2:$E1725)&lt;15,"",IF(SUM($AC$1712:$AC$1725)=0,0,100*SUM($AF$1712:$AF$1725)/SUM($AC$1712:$AC$1725)))</f>
        <v>0</v>
      </c>
      <c r="AI1725">
        <f>IF(OR(AG1725="",AH1725=""),"",IF((AG1725+AH1725)=0,0,100*ABS(AG1725-AH1725)/(AG1725+AH1725)))</f>
        <v>0</v>
      </c>
      <c r="AJ1725">
        <f>IF(COUNT($AI$1712:$AI$1725)&lt;14,"",AVERAGE($AI$1712:$AI$1725))</f>
        <v>0</v>
      </c>
      <c r="AK1725">
        <f>IF(COUNT($E$2:$E1725)&lt;20,"",AVERAGE($E$1706:$E$1725))</f>
        <v>0</v>
      </c>
      <c r="AL1725">
        <f>IF(COUNT($E$2:$E1725)&lt;20,"",STDEVP($E$1706:$E$1725))</f>
        <v>0</v>
      </c>
      <c r="AM1725">
        <f>IF(AK1725="","",AK1725+2*AL1725)</f>
        <v>0</v>
      </c>
      <c r="AN1725">
        <f>IF(AK1725="","",AK1725-2*AL1725)</f>
        <v>0</v>
      </c>
      <c r="AO1725">
        <f>IF(OR(AM1725="",AN1725="",AM1725=AN1725),"",($E1725-AN1725)/(AM1725-AN1725))</f>
        <v>0</v>
      </c>
      <c r="AP1725">
        <f>IF(OR(AM1725="",AK1725="",AK1725=0),"",(AM1725-AN1725)/AK1725)</f>
        <v>0</v>
      </c>
      <c r="AQ1725">
        <f>IF(COUNT($E$2:$E1725)&lt;20,"",MAX($C$1706:$C$1725))</f>
        <v>0</v>
      </c>
      <c r="AR1725">
        <f>IF(COUNT($E$2:$E1725)&lt;20,"",MIN($D$1706:$D$1725))</f>
        <v>0</v>
      </c>
      <c r="AS1725">
        <f>IF(OR(AQ1725="",AR1725=""),"",(AQ1725+AR1725)/2)</f>
        <v>0</v>
      </c>
      <c r="AT1725">
        <f>IF(COUNT($G$1706:$G$1725)&lt;20,"",STDEV($G$1706:$G$1725)*SQRT(252))</f>
        <v>0</v>
      </c>
      <c r="AU1725">
        <f>IF(COUNT($E$2:$E1725)&lt;9,"",(MAX($C$1717:$C$1725)+MIN($D$1717:$D$1725))/2)</f>
        <v>0</v>
      </c>
      <c r="AV1725">
        <f>IF(COUNT($E$2:$E1725)&lt;26,"",(MAX($C$1700:$C$1725)+MIN($D$1700:$D$1725))/2)</f>
        <v>0</v>
      </c>
      <c r="AW1725">
        <f>IF(OR(AU1725="",AV1725=""),"",(AU1725+AV1725)/2)</f>
        <v>0</v>
      </c>
      <c r="AX1725">
        <f>IF(COUNT($E$2:$E1725)&lt;52,"",(MAX($C$1674:$C$1725)+MIN($D$1674:$D$1725))/2)</f>
        <v>0</v>
      </c>
      <c r="AY1725">
        <f>IF(COUNT($E$2:$E1725)&lt;20,"",MAX($C$1626:$C$1725))</f>
        <v>0</v>
      </c>
      <c r="AZ1725">
        <f>IF(COUNT($E$2:$E1725)&lt;20,"",MIN($D$1626:$D$1725))</f>
        <v>0</v>
      </c>
      <c r="BA1725">
        <f>IF(COUNT($E$2:$E1725)&lt;20,"",SLOPE($E$1626:$E$1725,$F$1626:$F$1725))</f>
        <v>0</v>
      </c>
      <c r="BB1725">
        <f>IF(COUNT($E$2:$E1725)&lt;20,"",INTERCEPT($E$1626:$E$1725,$F$1626:$F$1725))</f>
        <v>0</v>
      </c>
      <c r="BC1725">
        <f>IF(OR(BA1725="",BB1725=""),"",BB1725+BA1725*F1725)</f>
        <v>0</v>
      </c>
      <c r="BD1725">
        <f>IF(COUNT($E$2:$E1725)&lt;20,"",STEYX($E$1626:$E$1725,$F$1626:$F$1725))</f>
        <v>0</v>
      </c>
      <c r="BE1725">
        <f>IF($E1725="","",IF(AND(COUNT($E$1726:$E$1729)&gt;=4,$C1725=MAX($C$1721:$C$1729)),$C1725,""))</f>
        <v>0</v>
      </c>
      <c r="BF1725">
        <f>IF($E1725="","",IF(AND(COUNT($E$1726:$E$1729)&gt;=4,$D1725=MIN($D$1721:$D$1729)),$D1725,""))</f>
        <v>0</v>
      </c>
      <c r="BG1725">
        <f>IF($A1725="","",$A1725-WEEKDAY($A1725,2)+1)</f>
        <v>0</v>
      </c>
      <c r="BH1725">
        <f>IF($A1725="","",IF($A1724="",1,IF(BG1725&lt;&gt;BG1724,1,0)))</f>
        <v>0</v>
      </c>
      <c r="BI1725">
        <f>IF($A1725="","",IF($A1726="",1,IF(BG1726&lt;&gt;BG1725,1,0)))</f>
        <v>0</v>
      </c>
      <c r="BJ1725">
        <f>IF($A1725="","",IF(BH1725=1,$B1725,BJ1724))</f>
        <v>0</v>
      </c>
      <c r="BK1725">
        <f>IF($A1725="","",IF(BH1725=1,$C1725,MAX($C1725,BK1724)))</f>
        <v>0</v>
      </c>
      <c r="BL1725">
        <f>IF($A1725="","",IF(BH1725=1,$D1725,MIN($D1725,BL1724)))</f>
        <v>0</v>
      </c>
      <c r="BM1725">
        <f>IF($A1725="","",IF(BI1725=1,F1725,""))</f>
        <v>0</v>
      </c>
      <c r="BN1725">
        <f>IF($A1725="","",DATE(YEAR($A1725),MONTH($A1725),1))</f>
        <v>0</v>
      </c>
      <c r="BO1725">
        <f>IF($A1725="","",IF($A1724="",1,IF(BN1725&lt;&gt;BN1724,1,0)))</f>
        <v>0</v>
      </c>
      <c r="BP1725">
        <f>IF($A1725="","",IF($A1726="",1,IF(BN1726&lt;&gt;BN1725,1,0)))</f>
        <v>0</v>
      </c>
      <c r="BQ1725">
        <f>IF($A1725="","",IF(BO1725=1,$B1725,BQ1724))</f>
        <v>0</v>
      </c>
      <c r="BR1725">
        <f>IF($A1725="","",IF(BO1725=1,$C1725,MAX($C1725,BR1724)))</f>
        <v>0</v>
      </c>
      <c r="BS1725">
        <f>IF($A1725="","",IF(BO1725=1,$D1725,MIN($D1725,BS1724)))</f>
        <v>0</v>
      </c>
      <c r="BT1725">
        <f>IF($A1725="","",IF(BP1725=1,F1725,""))</f>
        <v>0</v>
      </c>
    </row>
    <row r="1726" spans="1:72">
      <c r="A1726" s="27">
        <f>IF(Data!$A1726="","",Data!$A1726)</f>
        <v>0</v>
      </c>
      <c r="B1726">
        <f>IF(Data!$B1726="","",Data!$B1726)</f>
        <v>0</v>
      </c>
      <c r="C1726">
        <f>IF(Data!$C1726="","",Data!$C1726)</f>
        <v>0</v>
      </c>
      <c r="D1726">
        <f>IF(Data!$D1726="","",Data!$D1726)</f>
        <v>0</v>
      </c>
      <c r="E1726">
        <f>IF(Data!$E1726="","",Data!$E1726)</f>
        <v>0</v>
      </c>
      <c r="F1726">
        <f>IF($E1726="","",N(F1725)+1)</f>
        <v>0</v>
      </c>
      <c r="G1726">
        <f>IF(OR($E1726="",$E1725=""),"",LN($E1726/$E1725))</f>
        <v>0</v>
      </c>
      <c r="H1726">
        <f>IF($E1726="","",IF($E1725="",$E1726,$E1726*0.0952380952+H1725*0.9047619048))</f>
        <v>0</v>
      </c>
      <c r="I1726">
        <f>IF($E1726="","",IF($E1725="",$E1726,$E1726*0.0392156863+I1725*0.9607843137))</f>
        <v>0</v>
      </c>
      <c r="J1726">
        <f>IF($E1726="","",IF($E1725="",$E1726,$E1726*0.0198019802+J1725*0.9801980198))</f>
        <v>0</v>
      </c>
      <c r="K1726">
        <f>IF($E1726="","",IF($E1725="",$E1726,$E1726*0.0099502488+K1725*0.9900497512))</f>
        <v>0</v>
      </c>
      <c r="L1726">
        <f>IF(OR($E1726="",$E1725=""),"",MAX($E1726-$E1725,0))</f>
        <v>0</v>
      </c>
      <c r="M1726">
        <f>IF(OR($E1726="",$E1725=""),"",MAX($E1725-$E1726,0))</f>
        <v>0</v>
      </c>
      <c r="N1726">
        <f>IF(COUNT($E$2:$E1726)&lt;15,"",IF(AVERAGE($M$1713:$M$1726)=0,100,100-100/(1+AVERAGE($L$1713:$L$1726)/AVERAGE($M$1713:$M$1726))))</f>
        <v>0</v>
      </c>
      <c r="O1726">
        <f>IF($E1726="","",IF($E1725="",$E1726,$E1726*0.1538461538+O1725*0.8461538462))</f>
        <v>0</v>
      </c>
      <c r="P1726">
        <f>IF($E1726="","",IF($E1725="",$E1726,$E1726*0.0740740741+P1725*0.9259259259))</f>
        <v>0</v>
      </c>
      <c r="Q1726">
        <f>IF(OR(O1726="",P1726=""),"",O1726-P1726)</f>
        <v>0</v>
      </c>
      <c r="R1726">
        <f>IF(Q1726="","",IF(R1725="",Q1726,Q1726*0.2000000000+R1725*0.8000000000))</f>
        <v>0</v>
      </c>
      <c r="S1726">
        <f>IF(OR(Q1726="",R1726=""),"",Q1726-R1726)</f>
        <v>0</v>
      </c>
      <c r="T1726">
        <f>IF(COUNT($E$2:$E1726)&lt;14,"",MAX($C$1713:$C$1726))</f>
        <v>0</v>
      </c>
      <c r="U1726">
        <f>IF(COUNT($E$2:$E1726)&lt;14,"",MIN($D$1713:$D$1726))</f>
        <v>0</v>
      </c>
      <c r="V1726">
        <f>IF(OR(T1726="",U1726="",T1726=U1726),"",100*($E1726-U1726)/(T1726-U1726))</f>
        <v>0</v>
      </c>
      <c r="W1726">
        <f>IF(COUNT($V$1724:$V$1726)&lt;3,"",AVERAGE($V$1724:$V$1726))</f>
        <v>0</v>
      </c>
      <c r="X1726">
        <f>IF(COUNT($N$1713:$N$1726)&lt;14,"",MIN($N$1713:$N$1726))</f>
        <v>0</v>
      </c>
      <c r="Y1726">
        <f>IF(COUNT($N$1713:$N$1726)&lt;14,"",MAX($N$1713:$N$1726))</f>
        <v>0</v>
      </c>
      <c r="Z1726">
        <f>IF(OR(N1726="",X1726="",Y1726="",Y1726=X1726),"",100*(N1726-X1726)/(Y1726-X1726))</f>
        <v>0</v>
      </c>
      <c r="AA1726">
        <f>IF(COUNT($Z$1724:$Z$1726)&lt;3,"",AVERAGE($Z$1724:$Z$1726))</f>
        <v>0</v>
      </c>
      <c r="AB1726">
        <f>IF(COUNT($AA$1724:$AA$1726)&lt;3,"",AVERAGE($AA$1724:$AA$1726))</f>
        <v>0</v>
      </c>
      <c r="AC1726">
        <f>IF($E1726="","",MAX($C1726-$D1726,ABS($C1726-$E1725),ABS($D1726-$E1725)))</f>
        <v>0</v>
      </c>
      <c r="AD1726">
        <f>IF(COUNT($E$2:$E1726)&lt;15,"",AVERAGE($AC$1713:$AC$1726))</f>
        <v>0</v>
      </c>
      <c r="AE1726">
        <f>IF(OR($E1726="",$E1725=""),"",IF(AND(($C1726-$C1725)&gt;($D1725-$D1726),($C1726-$C1725)&gt;0),$C1726-$C1725,0))</f>
        <v>0</v>
      </c>
      <c r="AF1726">
        <f>IF(OR($E1726="",$E1725=""),"",IF(AND(($D1725-$D1726)&gt;($C1726-$C1725),($D1725-$D1726)&gt;0),$D1725-$D1726,0))</f>
        <v>0</v>
      </c>
      <c r="AG1726">
        <f>IF(COUNT($E$2:$E1726)&lt;15,"",IF(SUM($AC$1713:$AC$1726)=0,0,100*SUM($AE$1713:$AE$1726)/SUM($AC$1713:$AC$1726)))</f>
        <v>0</v>
      </c>
      <c r="AH1726">
        <f>IF(COUNT($E$2:$E1726)&lt;15,"",IF(SUM($AC$1713:$AC$1726)=0,0,100*SUM($AF$1713:$AF$1726)/SUM($AC$1713:$AC$1726)))</f>
        <v>0</v>
      </c>
      <c r="AI1726">
        <f>IF(OR(AG1726="",AH1726=""),"",IF((AG1726+AH1726)=0,0,100*ABS(AG1726-AH1726)/(AG1726+AH1726)))</f>
        <v>0</v>
      </c>
      <c r="AJ1726">
        <f>IF(COUNT($AI$1713:$AI$1726)&lt;14,"",AVERAGE($AI$1713:$AI$1726))</f>
        <v>0</v>
      </c>
      <c r="AK1726">
        <f>IF(COUNT($E$2:$E1726)&lt;20,"",AVERAGE($E$1707:$E$1726))</f>
        <v>0</v>
      </c>
      <c r="AL1726">
        <f>IF(COUNT($E$2:$E1726)&lt;20,"",STDEVP($E$1707:$E$1726))</f>
        <v>0</v>
      </c>
      <c r="AM1726">
        <f>IF(AK1726="","",AK1726+2*AL1726)</f>
        <v>0</v>
      </c>
      <c r="AN1726">
        <f>IF(AK1726="","",AK1726-2*AL1726)</f>
        <v>0</v>
      </c>
      <c r="AO1726">
        <f>IF(OR(AM1726="",AN1726="",AM1726=AN1726),"",($E1726-AN1726)/(AM1726-AN1726))</f>
        <v>0</v>
      </c>
      <c r="AP1726">
        <f>IF(OR(AM1726="",AK1726="",AK1726=0),"",(AM1726-AN1726)/AK1726)</f>
        <v>0</v>
      </c>
      <c r="AQ1726">
        <f>IF(COUNT($E$2:$E1726)&lt;20,"",MAX($C$1707:$C$1726))</f>
        <v>0</v>
      </c>
      <c r="AR1726">
        <f>IF(COUNT($E$2:$E1726)&lt;20,"",MIN($D$1707:$D$1726))</f>
        <v>0</v>
      </c>
      <c r="AS1726">
        <f>IF(OR(AQ1726="",AR1726=""),"",(AQ1726+AR1726)/2)</f>
        <v>0</v>
      </c>
      <c r="AT1726">
        <f>IF(COUNT($G$1707:$G$1726)&lt;20,"",STDEV($G$1707:$G$1726)*SQRT(252))</f>
        <v>0</v>
      </c>
      <c r="AU1726">
        <f>IF(COUNT($E$2:$E1726)&lt;9,"",(MAX($C$1718:$C$1726)+MIN($D$1718:$D$1726))/2)</f>
        <v>0</v>
      </c>
      <c r="AV1726">
        <f>IF(COUNT($E$2:$E1726)&lt;26,"",(MAX($C$1701:$C$1726)+MIN($D$1701:$D$1726))/2)</f>
        <v>0</v>
      </c>
      <c r="AW1726">
        <f>IF(OR(AU1726="",AV1726=""),"",(AU1726+AV1726)/2)</f>
        <v>0</v>
      </c>
      <c r="AX1726">
        <f>IF(COUNT($E$2:$E1726)&lt;52,"",(MAX($C$1675:$C$1726)+MIN($D$1675:$D$1726))/2)</f>
        <v>0</v>
      </c>
      <c r="AY1726">
        <f>IF(COUNT($E$2:$E1726)&lt;20,"",MAX($C$1627:$C$1726))</f>
        <v>0</v>
      </c>
      <c r="AZ1726">
        <f>IF(COUNT($E$2:$E1726)&lt;20,"",MIN($D$1627:$D$1726))</f>
        <v>0</v>
      </c>
      <c r="BA1726">
        <f>IF(COUNT($E$2:$E1726)&lt;20,"",SLOPE($E$1627:$E$1726,$F$1627:$F$1726))</f>
        <v>0</v>
      </c>
      <c r="BB1726">
        <f>IF(COUNT($E$2:$E1726)&lt;20,"",INTERCEPT($E$1627:$E$1726,$F$1627:$F$1726))</f>
        <v>0</v>
      </c>
      <c r="BC1726">
        <f>IF(OR(BA1726="",BB1726=""),"",BB1726+BA1726*F1726)</f>
        <v>0</v>
      </c>
      <c r="BD1726">
        <f>IF(COUNT($E$2:$E1726)&lt;20,"",STEYX($E$1627:$E$1726,$F$1627:$F$1726))</f>
        <v>0</v>
      </c>
      <c r="BE1726">
        <f>IF($E1726="","",IF(AND(COUNT($E$1727:$E$1730)&gt;=4,$C1726=MAX($C$1722:$C$1730)),$C1726,""))</f>
        <v>0</v>
      </c>
      <c r="BF1726">
        <f>IF($E1726="","",IF(AND(COUNT($E$1727:$E$1730)&gt;=4,$D1726=MIN($D$1722:$D$1730)),$D1726,""))</f>
        <v>0</v>
      </c>
      <c r="BG1726">
        <f>IF($A1726="","",$A1726-WEEKDAY($A1726,2)+1)</f>
        <v>0</v>
      </c>
      <c r="BH1726">
        <f>IF($A1726="","",IF($A1725="",1,IF(BG1726&lt;&gt;BG1725,1,0)))</f>
        <v>0</v>
      </c>
      <c r="BI1726">
        <f>IF($A1726="","",IF($A1727="",1,IF(BG1727&lt;&gt;BG1726,1,0)))</f>
        <v>0</v>
      </c>
      <c r="BJ1726">
        <f>IF($A1726="","",IF(BH1726=1,$B1726,BJ1725))</f>
        <v>0</v>
      </c>
      <c r="BK1726">
        <f>IF($A1726="","",IF(BH1726=1,$C1726,MAX($C1726,BK1725)))</f>
        <v>0</v>
      </c>
      <c r="BL1726">
        <f>IF($A1726="","",IF(BH1726=1,$D1726,MIN($D1726,BL1725)))</f>
        <v>0</v>
      </c>
      <c r="BM1726">
        <f>IF($A1726="","",IF(BI1726=1,F1726,""))</f>
        <v>0</v>
      </c>
      <c r="BN1726">
        <f>IF($A1726="","",DATE(YEAR($A1726),MONTH($A1726),1))</f>
        <v>0</v>
      </c>
      <c r="BO1726">
        <f>IF($A1726="","",IF($A1725="",1,IF(BN1726&lt;&gt;BN1725,1,0)))</f>
        <v>0</v>
      </c>
      <c r="BP1726">
        <f>IF($A1726="","",IF($A1727="",1,IF(BN1727&lt;&gt;BN1726,1,0)))</f>
        <v>0</v>
      </c>
      <c r="BQ1726">
        <f>IF($A1726="","",IF(BO1726=1,$B1726,BQ1725))</f>
        <v>0</v>
      </c>
      <c r="BR1726">
        <f>IF($A1726="","",IF(BO1726=1,$C1726,MAX($C1726,BR1725)))</f>
        <v>0</v>
      </c>
      <c r="BS1726">
        <f>IF($A1726="","",IF(BO1726=1,$D1726,MIN($D1726,BS1725)))</f>
        <v>0</v>
      </c>
      <c r="BT1726">
        <f>IF($A1726="","",IF(BP1726=1,F1726,""))</f>
        <v>0</v>
      </c>
    </row>
    <row r="1727" spans="1:72">
      <c r="A1727" s="27">
        <f>IF(Data!$A1727="","",Data!$A1727)</f>
        <v>0</v>
      </c>
      <c r="B1727">
        <f>IF(Data!$B1727="","",Data!$B1727)</f>
        <v>0</v>
      </c>
      <c r="C1727">
        <f>IF(Data!$C1727="","",Data!$C1727)</f>
        <v>0</v>
      </c>
      <c r="D1727">
        <f>IF(Data!$D1727="","",Data!$D1727)</f>
        <v>0</v>
      </c>
      <c r="E1727">
        <f>IF(Data!$E1727="","",Data!$E1727)</f>
        <v>0</v>
      </c>
      <c r="F1727">
        <f>IF($E1727="","",N(F1726)+1)</f>
        <v>0</v>
      </c>
      <c r="G1727">
        <f>IF(OR($E1727="",$E1726=""),"",LN($E1727/$E1726))</f>
        <v>0</v>
      </c>
      <c r="H1727">
        <f>IF($E1727="","",IF($E1726="",$E1727,$E1727*0.0952380952+H1726*0.9047619048))</f>
        <v>0</v>
      </c>
      <c r="I1727">
        <f>IF($E1727="","",IF($E1726="",$E1727,$E1727*0.0392156863+I1726*0.9607843137))</f>
        <v>0</v>
      </c>
      <c r="J1727">
        <f>IF($E1727="","",IF($E1726="",$E1727,$E1727*0.0198019802+J1726*0.9801980198))</f>
        <v>0</v>
      </c>
      <c r="K1727">
        <f>IF($E1727="","",IF($E1726="",$E1727,$E1727*0.0099502488+K1726*0.9900497512))</f>
        <v>0</v>
      </c>
      <c r="L1727">
        <f>IF(OR($E1727="",$E1726=""),"",MAX($E1727-$E1726,0))</f>
        <v>0</v>
      </c>
      <c r="M1727">
        <f>IF(OR($E1727="",$E1726=""),"",MAX($E1726-$E1727,0))</f>
        <v>0</v>
      </c>
      <c r="N1727">
        <f>IF(COUNT($E$2:$E1727)&lt;15,"",IF(AVERAGE($M$1714:$M$1727)=0,100,100-100/(1+AVERAGE($L$1714:$L$1727)/AVERAGE($M$1714:$M$1727))))</f>
        <v>0</v>
      </c>
      <c r="O1727">
        <f>IF($E1727="","",IF($E1726="",$E1727,$E1727*0.1538461538+O1726*0.8461538462))</f>
        <v>0</v>
      </c>
      <c r="P1727">
        <f>IF($E1727="","",IF($E1726="",$E1727,$E1727*0.0740740741+P1726*0.9259259259))</f>
        <v>0</v>
      </c>
      <c r="Q1727">
        <f>IF(OR(O1727="",P1727=""),"",O1727-P1727)</f>
        <v>0</v>
      </c>
      <c r="R1727">
        <f>IF(Q1727="","",IF(R1726="",Q1727,Q1727*0.2000000000+R1726*0.8000000000))</f>
        <v>0</v>
      </c>
      <c r="S1727">
        <f>IF(OR(Q1727="",R1727=""),"",Q1727-R1727)</f>
        <v>0</v>
      </c>
      <c r="T1727">
        <f>IF(COUNT($E$2:$E1727)&lt;14,"",MAX($C$1714:$C$1727))</f>
        <v>0</v>
      </c>
      <c r="U1727">
        <f>IF(COUNT($E$2:$E1727)&lt;14,"",MIN($D$1714:$D$1727))</f>
        <v>0</v>
      </c>
      <c r="V1727">
        <f>IF(OR(T1727="",U1727="",T1727=U1727),"",100*($E1727-U1727)/(T1727-U1727))</f>
        <v>0</v>
      </c>
      <c r="W1727">
        <f>IF(COUNT($V$1725:$V$1727)&lt;3,"",AVERAGE($V$1725:$V$1727))</f>
        <v>0</v>
      </c>
      <c r="X1727">
        <f>IF(COUNT($N$1714:$N$1727)&lt;14,"",MIN($N$1714:$N$1727))</f>
        <v>0</v>
      </c>
      <c r="Y1727">
        <f>IF(COUNT($N$1714:$N$1727)&lt;14,"",MAX($N$1714:$N$1727))</f>
        <v>0</v>
      </c>
      <c r="Z1727">
        <f>IF(OR(N1727="",X1727="",Y1727="",Y1727=X1727),"",100*(N1727-X1727)/(Y1727-X1727))</f>
        <v>0</v>
      </c>
      <c r="AA1727">
        <f>IF(COUNT($Z$1725:$Z$1727)&lt;3,"",AVERAGE($Z$1725:$Z$1727))</f>
        <v>0</v>
      </c>
      <c r="AB1727">
        <f>IF(COUNT($AA$1725:$AA$1727)&lt;3,"",AVERAGE($AA$1725:$AA$1727))</f>
        <v>0</v>
      </c>
      <c r="AC1727">
        <f>IF($E1727="","",MAX($C1727-$D1727,ABS($C1727-$E1726),ABS($D1727-$E1726)))</f>
        <v>0</v>
      </c>
      <c r="AD1727">
        <f>IF(COUNT($E$2:$E1727)&lt;15,"",AVERAGE($AC$1714:$AC$1727))</f>
        <v>0</v>
      </c>
      <c r="AE1727">
        <f>IF(OR($E1727="",$E1726=""),"",IF(AND(($C1727-$C1726)&gt;($D1726-$D1727),($C1727-$C1726)&gt;0),$C1727-$C1726,0))</f>
        <v>0</v>
      </c>
      <c r="AF1727">
        <f>IF(OR($E1727="",$E1726=""),"",IF(AND(($D1726-$D1727)&gt;($C1727-$C1726),($D1726-$D1727)&gt;0),$D1726-$D1727,0))</f>
        <v>0</v>
      </c>
      <c r="AG1727">
        <f>IF(COUNT($E$2:$E1727)&lt;15,"",IF(SUM($AC$1714:$AC$1727)=0,0,100*SUM($AE$1714:$AE$1727)/SUM($AC$1714:$AC$1727)))</f>
        <v>0</v>
      </c>
      <c r="AH1727">
        <f>IF(COUNT($E$2:$E1727)&lt;15,"",IF(SUM($AC$1714:$AC$1727)=0,0,100*SUM($AF$1714:$AF$1727)/SUM($AC$1714:$AC$1727)))</f>
        <v>0</v>
      </c>
      <c r="AI1727">
        <f>IF(OR(AG1727="",AH1727=""),"",IF((AG1727+AH1727)=0,0,100*ABS(AG1727-AH1727)/(AG1727+AH1727)))</f>
        <v>0</v>
      </c>
      <c r="AJ1727">
        <f>IF(COUNT($AI$1714:$AI$1727)&lt;14,"",AVERAGE($AI$1714:$AI$1727))</f>
        <v>0</v>
      </c>
      <c r="AK1727">
        <f>IF(COUNT($E$2:$E1727)&lt;20,"",AVERAGE($E$1708:$E$1727))</f>
        <v>0</v>
      </c>
      <c r="AL1727">
        <f>IF(COUNT($E$2:$E1727)&lt;20,"",STDEVP($E$1708:$E$1727))</f>
        <v>0</v>
      </c>
      <c r="AM1727">
        <f>IF(AK1727="","",AK1727+2*AL1727)</f>
        <v>0</v>
      </c>
      <c r="AN1727">
        <f>IF(AK1727="","",AK1727-2*AL1727)</f>
        <v>0</v>
      </c>
      <c r="AO1727">
        <f>IF(OR(AM1727="",AN1727="",AM1727=AN1727),"",($E1727-AN1727)/(AM1727-AN1727))</f>
        <v>0</v>
      </c>
      <c r="AP1727">
        <f>IF(OR(AM1727="",AK1727="",AK1727=0),"",(AM1727-AN1727)/AK1727)</f>
        <v>0</v>
      </c>
      <c r="AQ1727">
        <f>IF(COUNT($E$2:$E1727)&lt;20,"",MAX($C$1708:$C$1727))</f>
        <v>0</v>
      </c>
      <c r="AR1727">
        <f>IF(COUNT($E$2:$E1727)&lt;20,"",MIN($D$1708:$D$1727))</f>
        <v>0</v>
      </c>
      <c r="AS1727">
        <f>IF(OR(AQ1727="",AR1727=""),"",(AQ1727+AR1727)/2)</f>
        <v>0</v>
      </c>
      <c r="AT1727">
        <f>IF(COUNT($G$1708:$G$1727)&lt;20,"",STDEV($G$1708:$G$1727)*SQRT(252))</f>
        <v>0</v>
      </c>
      <c r="AU1727">
        <f>IF(COUNT($E$2:$E1727)&lt;9,"",(MAX($C$1719:$C$1727)+MIN($D$1719:$D$1727))/2)</f>
        <v>0</v>
      </c>
      <c r="AV1727">
        <f>IF(COUNT($E$2:$E1727)&lt;26,"",(MAX($C$1702:$C$1727)+MIN($D$1702:$D$1727))/2)</f>
        <v>0</v>
      </c>
      <c r="AW1727">
        <f>IF(OR(AU1727="",AV1727=""),"",(AU1727+AV1727)/2)</f>
        <v>0</v>
      </c>
      <c r="AX1727">
        <f>IF(COUNT($E$2:$E1727)&lt;52,"",(MAX($C$1676:$C$1727)+MIN($D$1676:$D$1727))/2)</f>
        <v>0</v>
      </c>
      <c r="AY1727">
        <f>IF(COUNT($E$2:$E1727)&lt;20,"",MAX($C$1628:$C$1727))</f>
        <v>0</v>
      </c>
      <c r="AZ1727">
        <f>IF(COUNT($E$2:$E1727)&lt;20,"",MIN($D$1628:$D$1727))</f>
        <v>0</v>
      </c>
      <c r="BA1727">
        <f>IF(COUNT($E$2:$E1727)&lt;20,"",SLOPE($E$1628:$E$1727,$F$1628:$F$1727))</f>
        <v>0</v>
      </c>
      <c r="BB1727">
        <f>IF(COUNT($E$2:$E1727)&lt;20,"",INTERCEPT($E$1628:$E$1727,$F$1628:$F$1727))</f>
        <v>0</v>
      </c>
      <c r="BC1727">
        <f>IF(OR(BA1727="",BB1727=""),"",BB1727+BA1727*F1727)</f>
        <v>0</v>
      </c>
      <c r="BD1727">
        <f>IF(COUNT($E$2:$E1727)&lt;20,"",STEYX($E$1628:$E$1727,$F$1628:$F$1727))</f>
        <v>0</v>
      </c>
      <c r="BE1727">
        <f>IF($E1727="","",IF(AND(COUNT($E$1728:$E$1731)&gt;=4,$C1727=MAX($C$1723:$C$1731)),$C1727,""))</f>
        <v>0</v>
      </c>
      <c r="BF1727">
        <f>IF($E1727="","",IF(AND(COUNT($E$1728:$E$1731)&gt;=4,$D1727=MIN($D$1723:$D$1731)),$D1727,""))</f>
        <v>0</v>
      </c>
      <c r="BG1727">
        <f>IF($A1727="","",$A1727-WEEKDAY($A1727,2)+1)</f>
        <v>0</v>
      </c>
      <c r="BH1727">
        <f>IF($A1727="","",IF($A1726="",1,IF(BG1727&lt;&gt;BG1726,1,0)))</f>
        <v>0</v>
      </c>
      <c r="BI1727">
        <f>IF($A1727="","",IF($A1728="",1,IF(BG1728&lt;&gt;BG1727,1,0)))</f>
        <v>0</v>
      </c>
      <c r="BJ1727">
        <f>IF($A1727="","",IF(BH1727=1,$B1727,BJ1726))</f>
        <v>0</v>
      </c>
      <c r="BK1727">
        <f>IF($A1727="","",IF(BH1727=1,$C1727,MAX($C1727,BK1726)))</f>
        <v>0</v>
      </c>
      <c r="BL1727">
        <f>IF($A1727="","",IF(BH1727=1,$D1727,MIN($D1727,BL1726)))</f>
        <v>0</v>
      </c>
      <c r="BM1727">
        <f>IF($A1727="","",IF(BI1727=1,F1727,""))</f>
        <v>0</v>
      </c>
      <c r="BN1727">
        <f>IF($A1727="","",DATE(YEAR($A1727),MONTH($A1727),1))</f>
        <v>0</v>
      </c>
      <c r="BO1727">
        <f>IF($A1727="","",IF($A1726="",1,IF(BN1727&lt;&gt;BN1726,1,0)))</f>
        <v>0</v>
      </c>
      <c r="BP1727">
        <f>IF($A1727="","",IF($A1728="",1,IF(BN1728&lt;&gt;BN1727,1,0)))</f>
        <v>0</v>
      </c>
      <c r="BQ1727">
        <f>IF($A1727="","",IF(BO1727=1,$B1727,BQ1726))</f>
        <v>0</v>
      </c>
      <c r="BR1727">
        <f>IF($A1727="","",IF(BO1727=1,$C1727,MAX($C1727,BR1726)))</f>
        <v>0</v>
      </c>
      <c r="BS1727">
        <f>IF($A1727="","",IF(BO1727=1,$D1727,MIN($D1727,BS1726)))</f>
        <v>0</v>
      </c>
      <c r="BT1727">
        <f>IF($A1727="","",IF(BP1727=1,F1727,""))</f>
        <v>0</v>
      </c>
    </row>
    <row r="1728" spans="1:72">
      <c r="A1728" s="27">
        <f>IF(Data!$A1728="","",Data!$A1728)</f>
        <v>0</v>
      </c>
      <c r="B1728">
        <f>IF(Data!$B1728="","",Data!$B1728)</f>
        <v>0</v>
      </c>
      <c r="C1728">
        <f>IF(Data!$C1728="","",Data!$C1728)</f>
        <v>0</v>
      </c>
      <c r="D1728">
        <f>IF(Data!$D1728="","",Data!$D1728)</f>
        <v>0</v>
      </c>
      <c r="E1728">
        <f>IF(Data!$E1728="","",Data!$E1728)</f>
        <v>0</v>
      </c>
      <c r="F1728">
        <f>IF($E1728="","",N(F1727)+1)</f>
        <v>0</v>
      </c>
      <c r="G1728">
        <f>IF(OR($E1728="",$E1727=""),"",LN($E1728/$E1727))</f>
        <v>0</v>
      </c>
      <c r="H1728">
        <f>IF($E1728="","",IF($E1727="",$E1728,$E1728*0.0952380952+H1727*0.9047619048))</f>
        <v>0</v>
      </c>
      <c r="I1728">
        <f>IF($E1728="","",IF($E1727="",$E1728,$E1728*0.0392156863+I1727*0.9607843137))</f>
        <v>0</v>
      </c>
      <c r="J1728">
        <f>IF($E1728="","",IF($E1727="",$E1728,$E1728*0.0198019802+J1727*0.9801980198))</f>
        <v>0</v>
      </c>
      <c r="K1728">
        <f>IF($E1728="","",IF($E1727="",$E1728,$E1728*0.0099502488+K1727*0.9900497512))</f>
        <v>0</v>
      </c>
      <c r="L1728">
        <f>IF(OR($E1728="",$E1727=""),"",MAX($E1728-$E1727,0))</f>
        <v>0</v>
      </c>
      <c r="M1728">
        <f>IF(OR($E1728="",$E1727=""),"",MAX($E1727-$E1728,0))</f>
        <v>0</v>
      </c>
      <c r="N1728">
        <f>IF(COUNT($E$2:$E1728)&lt;15,"",IF(AVERAGE($M$1715:$M$1728)=0,100,100-100/(1+AVERAGE($L$1715:$L$1728)/AVERAGE($M$1715:$M$1728))))</f>
        <v>0</v>
      </c>
      <c r="O1728">
        <f>IF($E1728="","",IF($E1727="",$E1728,$E1728*0.1538461538+O1727*0.8461538462))</f>
        <v>0</v>
      </c>
      <c r="P1728">
        <f>IF($E1728="","",IF($E1727="",$E1728,$E1728*0.0740740741+P1727*0.9259259259))</f>
        <v>0</v>
      </c>
      <c r="Q1728">
        <f>IF(OR(O1728="",P1728=""),"",O1728-P1728)</f>
        <v>0</v>
      </c>
      <c r="R1728">
        <f>IF(Q1728="","",IF(R1727="",Q1728,Q1728*0.2000000000+R1727*0.8000000000))</f>
        <v>0</v>
      </c>
      <c r="S1728">
        <f>IF(OR(Q1728="",R1728=""),"",Q1728-R1728)</f>
        <v>0</v>
      </c>
      <c r="T1728">
        <f>IF(COUNT($E$2:$E1728)&lt;14,"",MAX($C$1715:$C$1728))</f>
        <v>0</v>
      </c>
      <c r="U1728">
        <f>IF(COUNT($E$2:$E1728)&lt;14,"",MIN($D$1715:$D$1728))</f>
        <v>0</v>
      </c>
      <c r="V1728">
        <f>IF(OR(T1728="",U1728="",T1728=U1728),"",100*($E1728-U1728)/(T1728-U1728))</f>
        <v>0</v>
      </c>
      <c r="W1728">
        <f>IF(COUNT($V$1726:$V$1728)&lt;3,"",AVERAGE($V$1726:$V$1728))</f>
        <v>0</v>
      </c>
      <c r="X1728">
        <f>IF(COUNT($N$1715:$N$1728)&lt;14,"",MIN($N$1715:$N$1728))</f>
        <v>0</v>
      </c>
      <c r="Y1728">
        <f>IF(COUNT($N$1715:$N$1728)&lt;14,"",MAX($N$1715:$N$1728))</f>
        <v>0</v>
      </c>
      <c r="Z1728">
        <f>IF(OR(N1728="",X1728="",Y1728="",Y1728=X1728),"",100*(N1728-X1728)/(Y1728-X1728))</f>
        <v>0</v>
      </c>
      <c r="AA1728">
        <f>IF(COUNT($Z$1726:$Z$1728)&lt;3,"",AVERAGE($Z$1726:$Z$1728))</f>
        <v>0</v>
      </c>
      <c r="AB1728">
        <f>IF(COUNT($AA$1726:$AA$1728)&lt;3,"",AVERAGE($AA$1726:$AA$1728))</f>
        <v>0</v>
      </c>
      <c r="AC1728">
        <f>IF($E1728="","",MAX($C1728-$D1728,ABS($C1728-$E1727),ABS($D1728-$E1727)))</f>
        <v>0</v>
      </c>
      <c r="AD1728">
        <f>IF(COUNT($E$2:$E1728)&lt;15,"",AVERAGE($AC$1715:$AC$1728))</f>
        <v>0</v>
      </c>
      <c r="AE1728">
        <f>IF(OR($E1728="",$E1727=""),"",IF(AND(($C1728-$C1727)&gt;($D1727-$D1728),($C1728-$C1727)&gt;0),$C1728-$C1727,0))</f>
        <v>0</v>
      </c>
      <c r="AF1728">
        <f>IF(OR($E1728="",$E1727=""),"",IF(AND(($D1727-$D1728)&gt;($C1728-$C1727),($D1727-$D1728)&gt;0),$D1727-$D1728,0))</f>
        <v>0</v>
      </c>
      <c r="AG1728">
        <f>IF(COUNT($E$2:$E1728)&lt;15,"",IF(SUM($AC$1715:$AC$1728)=0,0,100*SUM($AE$1715:$AE$1728)/SUM($AC$1715:$AC$1728)))</f>
        <v>0</v>
      </c>
      <c r="AH1728">
        <f>IF(COUNT($E$2:$E1728)&lt;15,"",IF(SUM($AC$1715:$AC$1728)=0,0,100*SUM($AF$1715:$AF$1728)/SUM($AC$1715:$AC$1728)))</f>
        <v>0</v>
      </c>
      <c r="AI1728">
        <f>IF(OR(AG1728="",AH1728=""),"",IF((AG1728+AH1728)=0,0,100*ABS(AG1728-AH1728)/(AG1728+AH1728)))</f>
        <v>0</v>
      </c>
      <c r="AJ1728">
        <f>IF(COUNT($AI$1715:$AI$1728)&lt;14,"",AVERAGE($AI$1715:$AI$1728))</f>
        <v>0</v>
      </c>
      <c r="AK1728">
        <f>IF(COUNT($E$2:$E1728)&lt;20,"",AVERAGE($E$1709:$E$1728))</f>
        <v>0</v>
      </c>
      <c r="AL1728">
        <f>IF(COUNT($E$2:$E1728)&lt;20,"",STDEVP($E$1709:$E$1728))</f>
        <v>0</v>
      </c>
      <c r="AM1728">
        <f>IF(AK1728="","",AK1728+2*AL1728)</f>
        <v>0</v>
      </c>
      <c r="AN1728">
        <f>IF(AK1728="","",AK1728-2*AL1728)</f>
        <v>0</v>
      </c>
      <c r="AO1728">
        <f>IF(OR(AM1728="",AN1728="",AM1728=AN1728),"",($E1728-AN1728)/(AM1728-AN1728))</f>
        <v>0</v>
      </c>
      <c r="AP1728">
        <f>IF(OR(AM1728="",AK1728="",AK1728=0),"",(AM1728-AN1728)/AK1728)</f>
        <v>0</v>
      </c>
      <c r="AQ1728">
        <f>IF(COUNT($E$2:$E1728)&lt;20,"",MAX($C$1709:$C$1728))</f>
        <v>0</v>
      </c>
      <c r="AR1728">
        <f>IF(COUNT($E$2:$E1728)&lt;20,"",MIN($D$1709:$D$1728))</f>
        <v>0</v>
      </c>
      <c r="AS1728">
        <f>IF(OR(AQ1728="",AR1728=""),"",(AQ1728+AR1728)/2)</f>
        <v>0</v>
      </c>
      <c r="AT1728">
        <f>IF(COUNT($G$1709:$G$1728)&lt;20,"",STDEV($G$1709:$G$1728)*SQRT(252))</f>
        <v>0</v>
      </c>
      <c r="AU1728">
        <f>IF(COUNT($E$2:$E1728)&lt;9,"",(MAX($C$1720:$C$1728)+MIN($D$1720:$D$1728))/2)</f>
        <v>0</v>
      </c>
      <c r="AV1728">
        <f>IF(COUNT($E$2:$E1728)&lt;26,"",(MAX($C$1703:$C$1728)+MIN($D$1703:$D$1728))/2)</f>
        <v>0</v>
      </c>
      <c r="AW1728">
        <f>IF(OR(AU1728="",AV1728=""),"",(AU1728+AV1728)/2)</f>
        <v>0</v>
      </c>
      <c r="AX1728">
        <f>IF(COUNT($E$2:$E1728)&lt;52,"",(MAX($C$1677:$C$1728)+MIN($D$1677:$D$1728))/2)</f>
        <v>0</v>
      </c>
      <c r="AY1728">
        <f>IF(COUNT($E$2:$E1728)&lt;20,"",MAX($C$1629:$C$1728))</f>
        <v>0</v>
      </c>
      <c r="AZ1728">
        <f>IF(COUNT($E$2:$E1728)&lt;20,"",MIN($D$1629:$D$1728))</f>
        <v>0</v>
      </c>
      <c r="BA1728">
        <f>IF(COUNT($E$2:$E1728)&lt;20,"",SLOPE($E$1629:$E$1728,$F$1629:$F$1728))</f>
        <v>0</v>
      </c>
      <c r="BB1728">
        <f>IF(COUNT($E$2:$E1728)&lt;20,"",INTERCEPT($E$1629:$E$1728,$F$1629:$F$1728))</f>
        <v>0</v>
      </c>
      <c r="BC1728">
        <f>IF(OR(BA1728="",BB1728=""),"",BB1728+BA1728*F1728)</f>
        <v>0</v>
      </c>
      <c r="BD1728">
        <f>IF(COUNT($E$2:$E1728)&lt;20,"",STEYX($E$1629:$E$1728,$F$1629:$F$1728))</f>
        <v>0</v>
      </c>
      <c r="BE1728">
        <f>IF($E1728="","",IF(AND(COUNT($E$1729:$E$1732)&gt;=4,$C1728=MAX($C$1724:$C$1732)),$C1728,""))</f>
        <v>0</v>
      </c>
      <c r="BF1728">
        <f>IF($E1728="","",IF(AND(COUNT($E$1729:$E$1732)&gt;=4,$D1728=MIN($D$1724:$D$1732)),$D1728,""))</f>
        <v>0</v>
      </c>
      <c r="BG1728">
        <f>IF($A1728="","",$A1728-WEEKDAY($A1728,2)+1)</f>
        <v>0</v>
      </c>
      <c r="BH1728">
        <f>IF($A1728="","",IF($A1727="",1,IF(BG1728&lt;&gt;BG1727,1,0)))</f>
        <v>0</v>
      </c>
      <c r="BI1728">
        <f>IF($A1728="","",IF($A1729="",1,IF(BG1729&lt;&gt;BG1728,1,0)))</f>
        <v>0</v>
      </c>
      <c r="BJ1728">
        <f>IF($A1728="","",IF(BH1728=1,$B1728,BJ1727))</f>
        <v>0</v>
      </c>
      <c r="BK1728">
        <f>IF($A1728="","",IF(BH1728=1,$C1728,MAX($C1728,BK1727)))</f>
        <v>0</v>
      </c>
      <c r="BL1728">
        <f>IF($A1728="","",IF(BH1728=1,$D1728,MIN($D1728,BL1727)))</f>
        <v>0</v>
      </c>
      <c r="BM1728">
        <f>IF($A1728="","",IF(BI1728=1,F1728,""))</f>
        <v>0</v>
      </c>
      <c r="BN1728">
        <f>IF($A1728="","",DATE(YEAR($A1728),MONTH($A1728),1))</f>
        <v>0</v>
      </c>
      <c r="BO1728">
        <f>IF($A1728="","",IF($A1727="",1,IF(BN1728&lt;&gt;BN1727,1,0)))</f>
        <v>0</v>
      </c>
      <c r="BP1728">
        <f>IF($A1728="","",IF($A1729="",1,IF(BN1729&lt;&gt;BN1728,1,0)))</f>
        <v>0</v>
      </c>
      <c r="BQ1728">
        <f>IF($A1728="","",IF(BO1728=1,$B1728,BQ1727))</f>
        <v>0</v>
      </c>
      <c r="BR1728">
        <f>IF($A1728="","",IF(BO1728=1,$C1728,MAX($C1728,BR1727)))</f>
        <v>0</v>
      </c>
      <c r="BS1728">
        <f>IF($A1728="","",IF(BO1728=1,$D1728,MIN($D1728,BS1727)))</f>
        <v>0</v>
      </c>
      <c r="BT1728">
        <f>IF($A1728="","",IF(BP1728=1,F1728,""))</f>
        <v>0</v>
      </c>
    </row>
    <row r="1729" spans="1:72">
      <c r="A1729" s="27">
        <f>IF(Data!$A1729="","",Data!$A1729)</f>
        <v>0</v>
      </c>
      <c r="B1729">
        <f>IF(Data!$B1729="","",Data!$B1729)</f>
        <v>0</v>
      </c>
      <c r="C1729">
        <f>IF(Data!$C1729="","",Data!$C1729)</f>
        <v>0</v>
      </c>
      <c r="D1729">
        <f>IF(Data!$D1729="","",Data!$D1729)</f>
        <v>0</v>
      </c>
      <c r="E1729">
        <f>IF(Data!$E1729="","",Data!$E1729)</f>
        <v>0</v>
      </c>
      <c r="F1729">
        <f>IF($E1729="","",N(F1728)+1)</f>
        <v>0</v>
      </c>
      <c r="G1729">
        <f>IF(OR($E1729="",$E1728=""),"",LN($E1729/$E1728))</f>
        <v>0</v>
      </c>
      <c r="H1729">
        <f>IF($E1729="","",IF($E1728="",$E1729,$E1729*0.0952380952+H1728*0.9047619048))</f>
        <v>0</v>
      </c>
      <c r="I1729">
        <f>IF($E1729="","",IF($E1728="",$E1729,$E1729*0.0392156863+I1728*0.9607843137))</f>
        <v>0</v>
      </c>
      <c r="J1729">
        <f>IF($E1729="","",IF($E1728="",$E1729,$E1729*0.0198019802+J1728*0.9801980198))</f>
        <v>0</v>
      </c>
      <c r="K1729">
        <f>IF($E1729="","",IF($E1728="",$E1729,$E1729*0.0099502488+K1728*0.9900497512))</f>
        <v>0</v>
      </c>
      <c r="L1729">
        <f>IF(OR($E1729="",$E1728=""),"",MAX($E1729-$E1728,0))</f>
        <v>0</v>
      </c>
      <c r="M1729">
        <f>IF(OR($E1729="",$E1728=""),"",MAX($E1728-$E1729,0))</f>
        <v>0</v>
      </c>
      <c r="N1729">
        <f>IF(COUNT($E$2:$E1729)&lt;15,"",IF(AVERAGE($M$1716:$M$1729)=0,100,100-100/(1+AVERAGE($L$1716:$L$1729)/AVERAGE($M$1716:$M$1729))))</f>
        <v>0</v>
      </c>
      <c r="O1729">
        <f>IF($E1729="","",IF($E1728="",$E1729,$E1729*0.1538461538+O1728*0.8461538462))</f>
        <v>0</v>
      </c>
      <c r="P1729">
        <f>IF($E1729="","",IF($E1728="",$E1729,$E1729*0.0740740741+P1728*0.9259259259))</f>
        <v>0</v>
      </c>
      <c r="Q1729">
        <f>IF(OR(O1729="",P1729=""),"",O1729-P1729)</f>
        <v>0</v>
      </c>
      <c r="R1729">
        <f>IF(Q1729="","",IF(R1728="",Q1729,Q1729*0.2000000000+R1728*0.8000000000))</f>
        <v>0</v>
      </c>
      <c r="S1729">
        <f>IF(OR(Q1729="",R1729=""),"",Q1729-R1729)</f>
        <v>0</v>
      </c>
      <c r="T1729">
        <f>IF(COUNT($E$2:$E1729)&lt;14,"",MAX($C$1716:$C$1729))</f>
        <v>0</v>
      </c>
      <c r="U1729">
        <f>IF(COUNT($E$2:$E1729)&lt;14,"",MIN($D$1716:$D$1729))</f>
        <v>0</v>
      </c>
      <c r="V1729">
        <f>IF(OR(T1729="",U1729="",T1729=U1729),"",100*($E1729-U1729)/(T1729-U1729))</f>
        <v>0</v>
      </c>
      <c r="W1729">
        <f>IF(COUNT($V$1727:$V$1729)&lt;3,"",AVERAGE($V$1727:$V$1729))</f>
        <v>0</v>
      </c>
      <c r="X1729">
        <f>IF(COUNT($N$1716:$N$1729)&lt;14,"",MIN($N$1716:$N$1729))</f>
        <v>0</v>
      </c>
      <c r="Y1729">
        <f>IF(COUNT($N$1716:$N$1729)&lt;14,"",MAX($N$1716:$N$1729))</f>
        <v>0</v>
      </c>
      <c r="Z1729">
        <f>IF(OR(N1729="",X1729="",Y1729="",Y1729=X1729),"",100*(N1729-X1729)/(Y1729-X1729))</f>
        <v>0</v>
      </c>
      <c r="AA1729">
        <f>IF(COUNT($Z$1727:$Z$1729)&lt;3,"",AVERAGE($Z$1727:$Z$1729))</f>
        <v>0</v>
      </c>
      <c r="AB1729">
        <f>IF(COUNT($AA$1727:$AA$1729)&lt;3,"",AVERAGE($AA$1727:$AA$1729))</f>
        <v>0</v>
      </c>
      <c r="AC1729">
        <f>IF($E1729="","",MAX($C1729-$D1729,ABS($C1729-$E1728),ABS($D1729-$E1728)))</f>
        <v>0</v>
      </c>
      <c r="AD1729">
        <f>IF(COUNT($E$2:$E1729)&lt;15,"",AVERAGE($AC$1716:$AC$1729))</f>
        <v>0</v>
      </c>
      <c r="AE1729">
        <f>IF(OR($E1729="",$E1728=""),"",IF(AND(($C1729-$C1728)&gt;($D1728-$D1729),($C1729-$C1728)&gt;0),$C1729-$C1728,0))</f>
        <v>0</v>
      </c>
      <c r="AF1729">
        <f>IF(OR($E1729="",$E1728=""),"",IF(AND(($D1728-$D1729)&gt;($C1729-$C1728),($D1728-$D1729)&gt;0),$D1728-$D1729,0))</f>
        <v>0</v>
      </c>
      <c r="AG1729">
        <f>IF(COUNT($E$2:$E1729)&lt;15,"",IF(SUM($AC$1716:$AC$1729)=0,0,100*SUM($AE$1716:$AE$1729)/SUM($AC$1716:$AC$1729)))</f>
        <v>0</v>
      </c>
      <c r="AH1729">
        <f>IF(COUNT($E$2:$E1729)&lt;15,"",IF(SUM($AC$1716:$AC$1729)=0,0,100*SUM($AF$1716:$AF$1729)/SUM($AC$1716:$AC$1729)))</f>
        <v>0</v>
      </c>
      <c r="AI1729">
        <f>IF(OR(AG1729="",AH1729=""),"",IF((AG1729+AH1729)=0,0,100*ABS(AG1729-AH1729)/(AG1729+AH1729)))</f>
        <v>0</v>
      </c>
      <c r="AJ1729">
        <f>IF(COUNT($AI$1716:$AI$1729)&lt;14,"",AVERAGE($AI$1716:$AI$1729))</f>
        <v>0</v>
      </c>
      <c r="AK1729">
        <f>IF(COUNT($E$2:$E1729)&lt;20,"",AVERAGE($E$1710:$E$1729))</f>
        <v>0</v>
      </c>
      <c r="AL1729">
        <f>IF(COUNT($E$2:$E1729)&lt;20,"",STDEVP($E$1710:$E$1729))</f>
        <v>0</v>
      </c>
      <c r="AM1729">
        <f>IF(AK1729="","",AK1729+2*AL1729)</f>
        <v>0</v>
      </c>
      <c r="AN1729">
        <f>IF(AK1729="","",AK1729-2*AL1729)</f>
        <v>0</v>
      </c>
      <c r="AO1729">
        <f>IF(OR(AM1729="",AN1729="",AM1729=AN1729),"",($E1729-AN1729)/(AM1729-AN1729))</f>
        <v>0</v>
      </c>
      <c r="AP1729">
        <f>IF(OR(AM1729="",AK1729="",AK1729=0),"",(AM1729-AN1729)/AK1729)</f>
        <v>0</v>
      </c>
      <c r="AQ1729">
        <f>IF(COUNT($E$2:$E1729)&lt;20,"",MAX($C$1710:$C$1729))</f>
        <v>0</v>
      </c>
      <c r="AR1729">
        <f>IF(COUNT($E$2:$E1729)&lt;20,"",MIN($D$1710:$D$1729))</f>
        <v>0</v>
      </c>
      <c r="AS1729">
        <f>IF(OR(AQ1729="",AR1729=""),"",(AQ1729+AR1729)/2)</f>
        <v>0</v>
      </c>
      <c r="AT1729">
        <f>IF(COUNT($G$1710:$G$1729)&lt;20,"",STDEV($G$1710:$G$1729)*SQRT(252))</f>
        <v>0</v>
      </c>
      <c r="AU1729">
        <f>IF(COUNT($E$2:$E1729)&lt;9,"",(MAX($C$1721:$C$1729)+MIN($D$1721:$D$1729))/2)</f>
        <v>0</v>
      </c>
      <c r="AV1729">
        <f>IF(COUNT($E$2:$E1729)&lt;26,"",(MAX($C$1704:$C$1729)+MIN($D$1704:$D$1729))/2)</f>
        <v>0</v>
      </c>
      <c r="AW1729">
        <f>IF(OR(AU1729="",AV1729=""),"",(AU1729+AV1729)/2)</f>
        <v>0</v>
      </c>
      <c r="AX1729">
        <f>IF(COUNT($E$2:$E1729)&lt;52,"",(MAX($C$1678:$C$1729)+MIN($D$1678:$D$1729))/2)</f>
        <v>0</v>
      </c>
      <c r="AY1729">
        <f>IF(COUNT($E$2:$E1729)&lt;20,"",MAX($C$1630:$C$1729))</f>
        <v>0</v>
      </c>
      <c r="AZ1729">
        <f>IF(COUNT($E$2:$E1729)&lt;20,"",MIN($D$1630:$D$1729))</f>
        <v>0</v>
      </c>
      <c r="BA1729">
        <f>IF(COUNT($E$2:$E1729)&lt;20,"",SLOPE($E$1630:$E$1729,$F$1630:$F$1729))</f>
        <v>0</v>
      </c>
      <c r="BB1729">
        <f>IF(COUNT($E$2:$E1729)&lt;20,"",INTERCEPT($E$1630:$E$1729,$F$1630:$F$1729))</f>
        <v>0</v>
      </c>
      <c r="BC1729">
        <f>IF(OR(BA1729="",BB1729=""),"",BB1729+BA1729*F1729)</f>
        <v>0</v>
      </c>
      <c r="BD1729">
        <f>IF(COUNT($E$2:$E1729)&lt;20,"",STEYX($E$1630:$E$1729,$F$1630:$F$1729))</f>
        <v>0</v>
      </c>
      <c r="BE1729">
        <f>IF($E1729="","",IF(AND(COUNT($E$1730:$E$1733)&gt;=4,$C1729=MAX($C$1725:$C$1733)),$C1729,""))</f>
        <v>0</v>
      </c>
      <c r="BF1729">
        <f>IF($E1729="","",IF(AND(COUNT($E$1730:$E$1733)&gt;=4,$D1729=MIN($D$1725:$D$1733)),$D1729,""))</f>
        <v>0</v>
      </c>
      <c r="BG1729">
        <f>IF($A1729="","",$A1729-WEEKDAY($A1729,2)+1)</f>
        <v>0</v>
      </c>
      <c r="BH1729">
        <f>IF($A1729="","",IF($A1728="",1,IF(BG1729&lt;&gt;BG1728,1,0)))</f>
        <v>0</v>
      </c>
      <c r="BI1729">
        <f>IF($A1729="","",IF($A1730="",1,IF(BG1730&lt;&gt;BG1729,1,0)))</f>
        <v>0</v>
      </c>
      <c r="BJ1729">
        <f>IF($A1729="","",IF(BH1729=1,$B1729,BJ1728))</f>
        <v>0</v>
      </c>
      <c r="BK1729">
        <f>IF($A1729="","",IF(BH1729=1,$C1729,MAX($C1729,BK1728)))</f>
        <v>0</v>
      </c>
      <c r="BL1729">
        <f>IF($A1729="","",IF(BH1729=1,$D1729,MIN($D1729,BL1728)))</f>
        <v>0</v>
      </c>
      <c r="BM1729">
        <f>IF($A1729="","",IF(BI1729=1,F1729,""))</f>
        <v>0</v>
      </c>
      <c r="BN1729">
        <f>IF($A1729="","",DATE(YEAR($A1729),MONTH($A1729),1))</f>
        <v>0</v>
      </c>
      <c r="BO1729">
        <f>IF($A1729="","",IF($A1728="",1,IF(BN1729&lt;&gt;BN1728,1,0)))</f>
        <v>0</v>
      </c>
      <c r="BP1729">
        <f>IF($A1729="","",IF($A1730="",1,IF(BN1730&lt;&gt;BN1729,1,0)))</f>
        <v>0</v>
      </c>
      <c r="BQ1729">
        <f>IF($A1729="","",IF(BO1729=1,$B1729,BQ1728))</f>
        <v>0</v>
      </c>
      <c r="BR1729">
        <f>IF($A1729="","",IF(BO1729=1,$C1729,MAX($C1729,BR1728)))</f>
        <v>0</v>
      </c>
      <c r="BS1729">
        <f>IF($A1729="","",IF(BO1729=1,$D1729,MIN($D1729,BS1728)))</f>
        <v>0</v>
      </c>
      <c r="BT1729">
        <f>IF($A1729="","",IF(BP1729=1,F1729,""))</f>
        <v>0</v>
      </c>
    </row>
    <row r="1730" spans="1:72">
      <c r="A1730" s="27">
        <f>IF(Data!$A1730="","",Data!$A1730)</f>
        <v>0</v>
      </c>
      <c r="B1730">
        <f>IF(Data!$B1730="","",Data!$B1730)</f>
        <v>0</v>
      </c>
      <c r="C1730">
        <f>IF(Data!$C1730="","",Data!$C1730)</f>
        <v>0</v>
      </c>
      <c r="D1730">
        <f>IF(Data!$D1730="","",Data!$D1730)</f>
        <v>0</v>
      </c>
      <c r="E1730">
        <f>IF(Data!$E1730="","",Data!$E1730)</f>
        <v>0</v>
      </c>
      <c r="F1730">
        <f>IF($E1730="","",N(F1729)+1)</f>
        <v>0</v>
      </c>
      <c r="G1730">
        <f>IF(OR($E1730="",$E1729=""),"",LN($E1730/$E1729))</f>
        <v>0</v>
      </c>
      <c r="H1730">
        <f>IF($E1730="","",IF($E1729="",$E1730,$E1730*0.0952380952+H1729*0.9047619048))</f>
        <v>0</v>
      </c>
      <c r="I1730">
        <f>IF($E1730="","",IF($E1729="",$E1730,$E1730*0.0392156863+I1729*0.9607843137))</f>
        <v>0</v>
      </c>
      <c r="J1730">
        <f>IF($E1730="","",IF($E1729="",$E1730,$E1730*0.0198019802+J1729*0.9801980198))</f>
        <v>0</v>
      </c>
      <c r="K1730">
        <f>IF($E1730="","",IF($E1729="",$E1730,$E1730*0.0099502488+K1729*0.9900497512))</f>
        <v>0</v>
      </c>
      <c r="L1730">
        <f>IF(OR($E1730="",$E1729=""),"",MAX($E1730-$E1729,0))</f>
        <v>0</v>
      </c>
      <c r="M1730">
        <f>IF(OR($E1730="",$E1729=""),"",MAX($E1729-$E1730,0))</f>
        <v>0</v>
      </c>
      <c r="N1730">
        <f>IF(COUNT($E$2:$E1730)&lt;15,"",IF(AVERAGE($M$1717:$M$1730)=0,100,100-100/(1+AVERAGE($L$1717:$L$1730)/AVERAGE($M$1717:$M$1730))))</f>
        <v>0</v>
      </c>
      <c r="O1730">
        <f>IF($E1730="","",IF($E1729="",$E1730,$E1730*0.1538461538+O1729*0.8461538462))</f>
        <v>0</v>
      </c>
      <c r="P1730">
        <f>IF($E1730="","",IF($E1729="",$E1730,$E1730*0.0740740741+P1729*0.9259259259))</f>
        <v>0</v>
      </c>
      <c r="Q1730">
        <f>IF(OR(O1730="",P1730=""),"",O1730-P1730)</f>
        <v>0</v>
      </c>
      <c r="R1730">
        <f>IF(Q1730="","",IF(R1729="",Q1730,Q1730*0.2000000000+R1729*0.8000000000))</f>
        <v>0</v>
      </c>
      <c r="S1730">
        <f>IF(OR(Q1730="",R1730=""),"",Q1730-R1730)</f>
        <v>0</v>
      </c>
      <c r="T1730">
        <f>IF(COUNT($E$2:$E1730)&lt;14,"",MAX($C$1717:$C$1730))</f>
        <v>0</v>
      </c>
      <c r="U1730">
        <f>IF(COUNT($E$2:$E1730)&lt;14,"",MIN($D$1717:$D$1730))</f>
        <v>0</v>
      </c>
      <c r="V1730">
        <f>IF(OR(T1730="",U1730="",T1730=U1730),"",100*($E1730-U1730)/(T1730-U1730))</f>
        <v>0</v>
      </c>
      <c r="W1730">
        <f>IF(COUNT($V$1728:$V$1730)&lt;3,"",AVERAGE($V$1728:$V$1730))</f>
        <v>0</v>
      </c>
      <c r="X1730">
        <f>IF(COUNT($N$1717:$N$1730)&lt;14,"",MIN($N$1717:$N$1730))</f>
        <v>0</v>
      </c>
      <c r="Y1730">
        <f>IF(COUNT($N$1717:$N$1730)&lt;14,"",MAX($N$1717:$N$1730))</f>
        <v>0</v>
      </c>
      <c r="Z1730">
        <f>IF(OR(N1730="",X1730="",Y1730="",Y1730=X1730),"",100*(N1730-X1730)/(Y1730-X1730))</f>
        <v>0</v>
      </c>
      <c r="AA1730">
        <f>IF(COUNT($Z$1728:$Z$1730)&lt;3,"",AVERAGE($Z$1728:$Z$1730))</f>
        <v>0</v>
      </c>
      <c r="AB1730">
        <f>IF(COUNT($AA$1728:$AA$1730)&lt;3,"",AVERAGE($AA$1728:$AA$1730))</f>
        <v>0</v>
      </c>
      <c r="AC1730">
        <f>IF($E1730="","",MAX($C1730-$D1730,ABS($C1730-$E1729),ABS($D1730-$E1729)))</f>
        <v>0</v>
      </c>
      <c r="AD1730">
        <f>IF(COUNT($E$2:$E1730)&lt;15,"",AVERAGE($AC$1717:$AC$1730))</f>
        <v>0</v>
      </c>
      <c r="AE1730">
        <f>IF(OR($E1730="",$E1729=""),"",IF(AND(($C1730-$C1729)&gt;($D1729-$D1730),($C1730-$C1729)&gt;0),$C1730-$C1729,0))</f>
        <v>0</v>
      </c>
      <c r="AF1730">
        <f>IF(OR($E1730="",$E1729=""),"",IF(AND(($D1729-$D1730)&gt;($C1730-$C1729),($D1729-$D1730)&gt;0),$D1729-$D1730,0))</f>
        <v>0</v>
      </c>
      <c r="AG1730">
        <f>IF(COUNT($E$2:$E1730)&lt;15,"",IF(SUM($AC$1717:$AC$1730)=0,0,100*SUM($AE$1717:$AE$1730)/SUM($AC$1717:$AC$1730)))</f>
        <v>0</v>
      </c>
      <c r="AH1730">
        <f>IF(COUNT($E$2:$E1730)&lt;15,"",IF(SUM($AC$1717:$AC$1730)=0,0,100*SUM($AF$1717:$AF$1730)/SUM($AC$1717:$AC$1730)))</f>
        <v>0</v>
      </c>
      <c r="AI1730">
        <f>IF(OR(AG1730="",AH1730=""),"",IF((AG1730+AH1730)=0,0,100*ABS(AG1730-AH1730)/(AG1730+AH1730)))</f>
        <v>0</v>
      </c>
      <c r="AJ1730">
        <f>IF(COUNT($AI$1717:$AI$1730)&lt;14,"",AVERAGE($AI$1717:$AI$1730))</f>
        <v>0</v>
      </c>
      <c r="AK1730">
        <f>IF(COUNT($E$2:$E1730)&lt;20,"",AVERAGE($E$1711:$E$1730))</f>
        <v>0</v>
      </c>
      <c r="AL1730">
        <f>IF(COUNT($E$2:$E1730)&lt;20,"",STDEVP($E$1711:$E$1730))</f>
        <v>0</v>
      </c>
      <c r="AM1730">
        <f>IF(AK1730="","",AK1730+2*AL1730)</f>
        <v>0</v>
      </c>
      <c r="AN1730">
        <f>IF(AK1730="","",AK1730-2*AL1730)</f>
        <v>0</v>
      </c>
      <c r="AO1730">
        <f>IF(OR(AM1730="",AN1730="",AM1730=AN1730),"",($E1730-AN1730)/(AM1730-AN1730))</f>
        <v>0</v>
      </c>
      <c r="AP1730">
        <f>IF(OR(AM1730="",AK1730="",AK1730=0),"",(AM1730-AN1730)/AK1730)</f>
        <v>0</v>
      </c>
      <c r="AQ1730">
        <f>IF(COUNT($E$2:$E1730)&lt;20,"",MAX($C$1711:$C$1730))</f>
        <v>0</v>
      </c>
      <c r="AR1730">
        <f>IF(COUNT($E$2:$E1730)&lt;20,"",MIN($D$1711:$D$1730))</f>
        <v>0</v>
      </c>
      <c r="AS1730">
        <f>IF(OR(AQ1730="",AR1730=""),"",(AQ1730+AR1730)/2)</f>
        <v>0</v>
      </c>
      <c r="AT1730">
        <f>IF(COUNT($G$1711:$G$1730)&lt;20,"",STDEV($G$1711:$G$1730)*SQRT(252))</f>
        <v>0</v>
      </c>
      <c r="AU1730">
        <f>IF(COUNT($E$2:$E1730)&lt;9,"",(MAX($C$1722:$C$1730)+MIN($D$1722:$D$1730))/2)</f>
        <v>0</v>
      </c>
      <c r="AV1730">
        <f>IF(COUNT($E$2:$E1730)&lt;26,"",(MAX($C$1705:$C$1730)+MIN($D$1705:$D$1730))/2)</f>
        <v>0</v>
      </c>
      <c r="AW1730">
        <f>IF(OR(AU1730="",AV1730=""),"",(AU1730+AV1730)/2)</f>
        <v>0</v>
      </c>
      <c r="AX1730">
        <f>IF(COUNT($E$2:$E1730)&lt;52,"",(MAX($C$1679:$C$1730)+MIN($D$1679:$D$1730))/2)</f>
        <v>0</v>
      </c>
      <c r="AY1730">
        <f>IF(COUNT($E$2:$E1730)&lt;20,"",MAX($C$1631:$C$1730))</f>
        <v>0</v>
      </c>
      <c r="AZ1730">
        <f>IF(COUNT($E$2:$E1730)&lt;20,"",MIN($D$1631:$D$1730))</f>
        <v>0</v>
      </c>
      <c r="BA1730">
        <f>IF(COUNT($E$2:$E1730)&lt;20,"",SLOPE($E$1631:$E$1730,$F$1631:$F$1730))</f>
        <v>0</v>
      </c>
      <c r="BB1730">
        <f>IF(COUNT($E$2:$E1730)&lt;20,"",INTERCEPT($E$1631:$E$1730,$F$1631:$F$1730))</f>
        <v>0</v>
      </c>
      <c r="BC1730">
        <f>IF(OR(BA1730="",BB1730=""),"",BB1730+BA1730*F1730)</f>
        <v>0</v>
      </c>
      <c r="BD1730">
        <f>IF(COUNT($E$2:$E1730)&lt;20,"",STEYX($E$1631:$E$1730,$F$1631:$F$1730))</f>
        <v>0</v>
      </c>
      <c r="BE1730">
        <f>IF($E1730="","",IF(AND(COUNT($E$1731:$E$1734)&gt;=4,$C1730=MAX($C$1726:$C$1734)),$C1730,""))</f>
        <v>0</v>
      </c>
      <c r="BF1730">
        <f>IF($E1730="","",IF(AND(COUNT($E$1731:$E$1734)&gt;=4,$D1730=MIN($D$1726:$D$1734)),$D1730,""))</f>
        <v>0</v>
      </c>
      <c r="BG1730">
        <f>IF($A1730="","",$A1730-WEEKDAY($A1730,2)+1)</f>
        <v>0</v>
      </c>
      <c r="BH1730">
        <f>IF($A1730="","",IF($A1729="",1,IF(BG1730&lt;&gt;BG1729,1,0)))</f>
        <v>0</v>
      </c>
      <c r="BI1730">
        <f>IF($A1730="","",IF($A1731="",1,IF(BG1731&lt;&gt;BG1730,1,0)))</f>
        <v>0</v>
      </c>
      <c r="BJ1730">
        <f>IF($A1730="","",IF(BH1730=1,$B1730,BJ1729))</f>
        <v>0</v>
      </c>
      <c r="BK1730">
        <f>IF($A1730="","",IF(BH1730=1,$C1730,MAX($C1730,BK1729)))</f>
        <v>0</v>
      </c>
      <c r="BL1730">
        <f>IF($A1730="","",IF(BH1730=1,$D1730,MIN($D1730,BL1729)))</f>
        <v>0</v>
      </c>
      <c r="BM1730">
        <f>IF($A1730="","",IF(BI1730=1,F1730,""))</f>
        <v>0</v>
      </c>
      <c r="BN1730">
        <f>IF($A1730="","",DATE(YEAR($A1730),MONTH($A1730),1))</f>
        <v>0</v>
      </c>
      <c r="BO1730">
        <f>IF($A1730="","",IF($A1729="",1,IF(BN1730&lt;&gt;BN1729,1,0)))</f>
        <v>0</v>
      </c>
      <c r="BP1730">
        <f>IF($A1730="","",IF($A1731="",1,IF(BN1731&lt;&gt;BN1730,1,0)))</f>
        <v>0</v>
      </c>
      <c r="BQ1730">
        <f>IF($A1730="","",IF(BO1730=1,$B1730,BQ1729))</f>
        <v>0</v>
      </c>
      <c r="BR1730">
        <f>IF($A1730="","",IF(BO1730=1,$C1730,MAX($C1730,BR1729)))</f>
        <v>0</v>
      </c>
      <c r="BS1730">
        <f>IF($A1730="","",IF(BO1730=1,$D1730,MIN($D1730,BS1729)))</f>
        <v>0</v>
      </c>
      <c r="BT1730">
        <f>IF($A1730="","",IF(BP1730=1,F1730,""))</f>
        <v>0</v>
      </c>
    </row>
    <row r="1731" spans="1:72">
      <c r="A1731" s="27">
        <f>IF(Data!$A1731="","",Data!$A1731)</f>
        <v>0</v>
      </c>
      <c r="B1731">
        <f>IF(Data!$B1731="","",Data!$B1731)</f>
        <v>0</v>
      </c>
      <c r="C1731">
        <f>IF(Data!$C1731="","",Data!$C1731)</f>
        <v>0</v>
      </c>
      <c r="D1731">
        <f>IF(Data!$D1731="","",Data!$D1731)</f>
        <v>0</v>
      </c>
      <c r="E1731">
        <f>IF(Data!$E1731="","",Data!$E1731)</f>
        <v>0</v>
      </c>
      <c r="F1731">
        <f>IF($E1731="","",N(F1730)+1)</f>
        <v>0</v>
      </c>
      <c r="G1731">
        <f>IF(OR($E1731="",$E1730=""),"",LN($E1731/$E1730))</f>
        <v>0</v>
      </c>
      <c r="H1731">
        <f>IF($E1731="","",IF($E1730="",$E1731,$E1731*0.0952380952+H1730*0.9047619048))</f>
        <v>0</v>
      </c>
      <c r="I1731">
        <f>IF($E1731="","",IF($E1730="",$E1731,$E1731*0.0392156863+I1730*0.9607843137))</f>
        <v>0</v>
      </c>
      <c r="J1731">
        <f>IF($E1731="","",IF($E1730="",$E1731,$E1731*0.0198019802+J1730*0.9801980198))</f>
        <v>0</v>
      </c>
      <c r="K1731">
        <f>IF($E1731="","",IF($E1730="",$E1731,$E1731*0.0099502488+K1730*0.9900497512))</f>
        <v>0</v>
      </c>
      <c r="L1731">
        <f>IF(OR($E1731="",$E1730=""),"",MAX($E1731-$E1730,0))</f>
        <v>0</v>
      </c>
      <c r="M1731">
        <f>IF(OR($E1731="",$E1730=""),"",MAX($E1730-$E1731,0))</f>
        <v>0</v>
      </c>
      <c r="N1731">
        <f>IF(COUNT($E$2:$E1731)&lt;15,"",IF(AVERAGE($M$1718:$M$1731)=0,100,100-100/(1+AVERAGE($L$1718:$L$1731)/AVERAGE($M$1718:$M$1731))))</f>
        <v>0</v>
      </c>
      <c r="O1731">
        <f>IF($E1731="","",IF($E1730="",$E1731,$E1731*0.1538461538+O1730*0.8461538462))</f>
        <v>0</v>
      </c>
      <c r="P1731">
        <f>IF($E1731="","",IF($E1730="",$E1731,$E1731*0.0740740741+P1730*0.9259259259))</f>
        <v>0</v>
      </c>
      <c r="Q1731">
        <f>IF(OR(O1731="",P1731=""),"",O1731-P1731)</f>
        <v>0</v>
      </c>
      <c r="R1731">
        <f>IF(Q1731="","",IF(R1730="",Q1731,Q1731*0.2000000000+R1730*0.8000000000))</f>
        <v>0</v>
      </c>
      <c r="S1731">
        <f>IF(OR(Q1731="",R1731=""),"",Q1731-R1731)</f>
        <v>0</v>
      </c>
      <c r="T1731">
        <f>IF(COUNT($E$2:$E1731)&lt;14,"",MAX($C$1718:$C$1731))</f>
        <v>0</v>
      </c>
      <c r="U1731">
        <f>IF(COUNT($E$2:$E1731)&lt;14,"",MIN($D$1718:$D$1731))</f>
        <v>0</v>
      </c>
      <c r="V1731">
        <f>IF(OR(T1731="",U1731="",T1731=U1731),"",100*($E1731-U1731)/(T1731-U1731))</f>
        <v>0</v>
      </c>
      <c r="W1731">
        <f>IF(COUNT($V$1729:$V$1731)&lt;3,"",AVERAGE($V$1729:$V$1731))</f>
        <v>0</v>
      </c>
      <c r="X1731">
        <f>IF(COUNT($N$1718:$N$1731)&lt;14,"",MIN($N$1718:$N$1731))</f>
        <v>0</v>
      </c>
      <c r="Y1731">
        <f>IF(COUNT($N$1718:$N$1731)&lt;14,"",MAX($N$1718:$N$1731))</f>
        <v>0</v>
      </c>
      <c r="Z1731">
        <f>IF(OR(N1731="",X1731="",Y1731="",Y1731=X1731),"",100*(N1731-X1731)/(Y1731-X1731))</f>
        <v>0</v>
      </c>
      <c r="AA1731">
        <f>IF(COUNT($Z$1729:$Z$1731)&lt;3,"",AVERAGE($Z$1729:$Z$1731))</f>
        <v>0</v>
      </c>
      <c r="AB1731">
        <f>IF(COUNT($AA$1729:$AA$1731)&lt;3,"",AVERAGE($AA$1729:$AA$1731))</f>
        <v>0</v>
      </c>
      <c r="AC1731">
        <f>IF($E1731="","",MAX($C1731-$D1731,ABS($C1731-$E1730),ABS($D1731-$E1730)))</f>
        <v>0</v>
      </c>
      <c r="AD1731">
        <f>IF(COUNT($E$2:$E1731)&lt;15,"",AVERAGE($AC$1718:$AC$1731))</f>
        <v>0</v>
      </c>
      <c r="AE1731">
        <f>IF(OR($E1731="",$E1730=""),"",IF(AND(($C1731-$C1730)&gt;($D1730-$D1731),($C1731-$C1730)&gt;0),$C1731-$C1730,0))</f>
        <v>0</v>
      </c>
      <c r="AF1731">
        <f>IF(OR($E1731="",$E1730=""),"",IF(AND(($D1730-$D1731)&gt;($C1731-$C1730),($D1730-$D1731)&gt;0),$D1730-$D1731,0))</f>
        <v>0</v>
      </c>
      <c r="AG1731">
        <f>IF(COUNT($E$2:$E1731)&lt;15,"",IF(SUM($AC$1718:$AC$1731)=0,0,100*SUM($AE$1718:$AE$1731)/SUM($AC$1718:$AC$1731)))</f>
        <v>0</v>
      </c>
      <c r="AH1731">
        <f>IF(COUNT($E$2:$E1731)&lt;15,"",IF(SUM($AC$1718:$AC$1731)=0,0,100*SUM($AF$1718:$AF$1731)/SUM($AC$1718:$AC$1731)))</f>
        <v>0</v>
      </c>
      <c r="AI1731">
        <f>IF(OR(AG1731="",AH1731=""),"",IF((AG1731+AH1731)=0,0,100*ABS(AG1731-AH1731)/(AG1731+AH1731)))</f>
        <v>0</v>
      </c>
      <c r="AJ1731">
        <f>IF(COUNT($AI$1718:$AI$1731)&lt;14,"",AVERAGE($AI$1718:$AI$1731))</f>
        <v>0</v>
      </c>
      <c r="AK1731">
        <f>IF(COUNT($E$2:$E1731)&lt;20,"",AVERAGE($E$1712:$E$1731))</f>
        <v>0</v>
      </c>
      <c r="AL1731">
        <f>IF(COUNT($E$2:$E1731)&lt;20,"",STDEVP($E$1712:$E$1731))</f>
        <v>0</v>
      </c>
      <c r="AM1731">
        <f>IF(AK1731="","",AK1731+2*AL1731)</f>
        <v>0</v>
      </c>
      <c r="AN1731">
        <f>IF(AK1731="","",AK1731-2*AL1731)</f>
        <v>0</v>
      </c>
      <c r="AO1731">
        <f>IF(OR(AM1731="",AN1731="",AM1731=AN1731),"",($E1731-AN1731)/(AM1731-AN1731))</f>
        <v>0</v>
      </c>
      <c r="AP1731">
        <f>IF(OR(AM1731="",AK1731="",AK1731=0),"",(AM1731-AN1731)/AK1731)</f>
        <v>0</v>
      </c>
      <c r="AQ1731">
        <f>IF(COUNT($E$2:$E1731)&lt;20,"",MAX($C$1712:$C$1731))</f>
        <v>0</v>
      </c>
      <c r="AR1731">
        <f>IF(COUNT($E$2:$E1731)&lt;20,"",MIN($D$1712:$D$1731))</f>
        <v>0</v>
      </c>
      <c r="AS1731">
        <f>IF(OR(AQ1731="",AR1731=""),"",(AQ1731+AR1731)/2)</f>
        <v>0</v>
      </c>
      <c r="AT1731">
        <f>IF(COUNT($G$1712:$G$1731)&lt;20,"",STDEV($G$1712:$G$1731)*SQRT(252))</f>
        <v>0</v>
      </c>
      <c r="AU1731">
        <f>IF(COUNT($E$2:$E1731)&lt;9,"",(MAX($C$1723:$C$1731)+MIN($D$1723:$D$1731))/2)</f>
        <v>0</v>
      </c>
      <c r="AV1731">
        <f>IF(COUNT($E$2:$E1731)&lt;26,"",(MAX($C$1706:$C$1731)+MIN($D$1706:$D$1731))/2)</f>
        <v>0</v>
      </c>
      <c r="AW1731">
        <f>IF(OR(AU1731="",AV1731=""),"",(AU1731+AV1731)/2)</f>
        <v>0</v>
      </c>
      <c r="AX1731">
        <f>IF(COUNT($E$2:$E1731)&lt;52,"",(MAX($C$1680:$C$1731)+MIN($D$1680:$D$1731))/2)</f>
        <v>0</v>
      </c>
      <c r="AY1731">
        <f>IF(COUNT($E$2:$E1731)&lt;20,"",MAX($C$1632:$C$1731))</f>
        <v>0</v>
      </c>
      <c r="AZ1731">
        <f>IF(COUNT($E$2:$E1731)&lt;20,"",MIN($D$1632:$D$1731))</f>
        <v>0</v>
      </c>
      <c r="BA1731">
        <f>IF(COUNT($E$2:$E1731)&lt;20,"",SLOPE($E$1632:$E$1731,$F$1632:$F$1731))</f>
        <v>0</v>
      </c>
      <c r="BB1731">
        <f>IF(COUNT($E$2:$E1731)&lt;20,"",INTERCEPT($E$1632:$E$1731,$F$1632:$F$1731))</f>
        <v>0</v>
      </c>
      <c r="BC1731">
        <f>IF(OR(BA1731="",BB1731=""),"",BB1731+BA1731*F1731)</f>
        <v>0</v>
      </c>
      <c r="BD1731">
        <f>IF(COUNT($E$2:$E1731)&lt;20,"",STEYX($E$1632:$E$1731,$F$1632:$F$1731))</f>
        <v>0</v>
      </c>
      <c r="BE1731">
        <f>IF($E1731="","",IF(AND(COUNT($E$1732:$E$1735)&gt;=4,$C1731=MAX($C$1727:$C$1735)),$C1731,""))</f>
        <v>0</v>
      </c>
      <c r="BF1731">
        <f>IF($E1731="","",IF(AND(COUNT($E$1732:$E$1735)&gt;=4,$D1731=MIN($D$1727:$D$1735)),$D1731,""))</f>
        <v>0</v>
      </c>
      <c r="BG1731">
        <f>IF($A1731="","",$A1731-WEEKDAY($A1731,2)+1)</f>
        <v>0</v>
      </c>
      <c r="BH1731">
        <f>IF($A1731="","",IF($A1730="",1,IF(BG1731&lt;&gt;BG1730,1,0)))</f>
        <v>0</v>
      </c>
      <c r="BI1731">
        <f>IF($A1731="","",IF($A1732="",1,IF(BG1732&lt;&gt;BG1731,1,0)))</f>
        <v>0</v>
      </c>
      <c r="BJ1731">
        <f>IF($A1731="","",IF(BH1731=1,$B1731,BJ1730))</f>
        <v>0</v>
      </c>
      <c r="BK1731">
        <f>IF($A1731="","",IF(BH1731=1,$C1731,MAX($C1731,BK1730)))</f>
        <v>0</v>
      </c>
      <c r="BL1731">
        <f>IF($A1731="","",IF(BH1731=1,$D1731,MIN($D1731,BL1730)))</f>
        <v>0</v>
      </c>
      <c r="BM1731">
        <f>IF($A1731="","",IF(BI1731=1,F1731,""))</f>
        <v>0</v>
      </c>
      <c r="BN1731">
        <f>IF($A1731="","",DATE(YEAR($A1731),MONTH($A1731),1))</f>
        <v>0</v>
      </c>
      <c r="BO1731">
        <f>IF($A1731="","",IF($A1730="",1,IF(BN1731&lt;&gt;BN1730,1,0)))</f>
        <v>0</v>
      </c>
      <c r="BP1731">
        <f>IF($A1731="","",IF($A1732="",1,IF(BN1732&lt;&gt;BN1731,1,0)))</f>
        <v>0</v>
      </c>
      <c r="BQ1731">
        <f>IF($A1731="","",IF(BO1731=1,$B1731,BQ1730))</f>
        <v>0</v>
      </c>
      <c r="BR1731">
        <f>IF($A1731="","",IF(BO1731=1,$C1731,MAX($C1731,BR1730)))</f>
        <v>0</v>
      </c>
      <c r="BS1731">
        <f>IF($A1731="","",IF(BO1731=1,$D1731,MIN($D1731,BS1730)))</f>
        <v>0</v>
      </c>
      <c r="BT1731">
        <f>IF($A1731="","",IF(BP1731=1,F1731,""))</f>
        <v>0</v>
      </c>
    </row>
    <row r="1732" spans="1:72">
      <c r="A1732" s="27">
        <f>IF(Data!$A1732="","",Data!$A1732)</f>
        <v>0</v>
      </c>
      <c r="B1732">
        <f>IF(Data!$B1732="","",Data!$B1732)</f>
        <v>0</v>
      </c>
      <c r="C1732">
        <f>IF(Data!$C1732="","",Data!$C1732)</f>
        <v>0</v>
      </c>
      <c r="D1732">
        <f>IF(Data!$D1732="","",Data!$D1732)</f>
        <v>0</v>
      </c>
      <c r="E1732">
        <f>IF(Data!$E1732="","",Data!$E1732)</f>
        <v>0</v>
      </c>
      <c r="F1732">
        <f>IF($E1732="","",N(F1731)+1)</f>
        <v>0</v>
      </c>
      <c r="G1732">
        <f>IF(OR($E1732="",$E1731=""),"",LN($E1732/$E1731))</f>
        <v>0</v>
      </c>
      <c r="H1732">
        <f>IF($E1732="","",IF($E1731="",$E1732,$E1732*0.0952380952+H1731*0.9047619048))</f>
        <v>0</v>
      </c>
      <c r="I1732">
        <f>IF($E1732="","",IF($E1731="",$E1732,$E1732*0.0392156863+I1731*0.9607843137))</f>
        <v>0</v>
      </c>
      <c r="J1732">
        <f>IF($E1732="","",IF($E1731="",$E1732,$E1732*0.0198019802+J1731*0.9801980198))</f>
        <v>0</v>
      </c>
      <c r="K1732">
        <f>IF($E1732="","",IF($E1731="",$E1732,$E1732*0.0099502488+K1731*0.9900497512))</f>
        <v>0</v>
      </c>
      <c r="L1732">
        <f>IF(OR($E1732="",$E1731=""),"",MAX($E1732-$E1731,0))</f>
        <v>0</v>
      </c>
      <c r="M1732">
        <f>IF(OR($E1732="",$E1731=""),"",MAX($E1731-$E1732,0))</f>
        <v>0</v>
      </c>
      <c r="N1732">
        <f>IF(COUNT($E$2:$E1732)&lt;15,"",IF(AVERAGE($M$1719:$M$1732)=0,100,100-100/(1+AVERAGE($L$1719:$L$1732)/AVERAGE($M$1719:$M$1732))))</f>
        <v>0</v>
      </c>
      <c r="O1732">
        <f>IF($E1732="","",IF($E1731="",$E1732,$E1732*0.1538461538+O1731*0.8461538462))</f>
        <v>0</v>
      </c>
      <c r="P1732">
        <f>IF($E1732="","",IF($E1731="",$E1732,$E1732*0.0740740741+P1731*0.9259259259))</f>
        <v>0</v>
      </c>
      <c r="Q1732">
        <f>IF(OR(O1732="",P1732=""),"",O1732-P1732)</f>
        <v>0</v>
      </c>
      <c r="R1732">
        <f>IF(Q1732="","",IF(R1731="",Q1732,Q1732*0.2000000000+R1731*0.8000000000))</f>
        <v>0</v>
      </c>
      <c r="S1732">
        <f>IF(OR(Q1732="",R1732=""),"",Q1732-R1732)</f>
        <v>0</v>
      </c>
      <c r="T1732">
        <f>IF(COUNT($E$2:$E1732)&lt;14,"",MAX($C$1719:$C$1732))</f>
        <v>0</v>
      </c>
      <c r="U1732">
        <f>IF(COUNT($E$2:$E1732)&lt;14,"",MIN($D$1719:$D$1732))</f>
        <v>0</v>
      </c>
      <c r="V1732">
        <f>IF(OR(T1732="",U1732="",T1732=U1732),"",100*($E1732-U1732)/(T1732-U1732))</f>
        <v>0</v>
      </c>
      <c r="W1732">
        <f>IF(COUNT($V$1730:$V$1732)&lt;3,"",AVERAGE($V$1730:$V$1732))</f>
        <v>0</v>
      </c>
      <c r="X1732">
        <f>IF(COUNT($N$1719:$N$1732)&lt;14,"",MIN($N$1719:$N$1732))</f>
        <v>0</v>
      </c>
      <c r="Y1732">
        <f>IF(COUNT($N$1719:$N$1732)&lt;14,"",MAX($N$1719:$N$1732))</f>
        <v>0</v>
      </c>
      <c r="Z1732">
        <f>IF(OR(N1732="",X1732="",Y1732="",Y1732=X1732),"",100*(N1732-X1732)/(Y1732-X1732))</f>
        <v>0</v>
      </c>
      <c r="AA1732">
        <f>IF(COUNT($Z$1730:$Z$1732)&lt;3,"",AVERAGE($Z$1730:$Z$1732))</f>
        <v>0</v>
      </c>
      <c r="AB1732">
        <f>IF(COUNT($AA$1730:$AA$1732)&lt;3,"",AVERAGE($AA$1730:$AA$1732))</f>
        <v>0</v>
      </c>
      <c r="AC1732">
        <f>IF($E1732="","",MAX($C1732-$D1732,ABS($C1732-$E1731),ABS($D1732-$E1731)))</f>
        <v>0</v>
      </c>
      <c r="AD1732">
        <f>IF(COUNT($E$2:$E1732)&lt;15,"",AVERAGE($AC$1719:$AC$1732))</f>
        <v>0</v>
      </c>
      <c r="AE1732">
        <f>IF(OR($E1732="",$E1731=""),"",IF(AND(($C1732-$C1731)&gt;($D1731-$D1732),($C1732-$C1731)&gt;0),$C1732-$C1731,0))</f>
        <v>0</v>
      </c>
      <c r="AF1732">
        <f>IF(OR($E1732="",$E1731=""),"",IF(AND(($D1731-$D1732)&gt;($C1732-$C1731),($D1731-$D1732)&gt;0),$D1731-$D1732,0))</f>
        <v>0</v>
      </c>
      <c r="AG1732">
        <f>IF(COUNT($E$2:$E1732)&lt;15,"",IF(SUM($AC$1719:$AC$1732)=0,0,100*SUM($AE$1719:$AE$1732)/SUM($AC$1719:$AC$1732)))</f>
        <v>0</v>
      </c>
      <c r="AH1732">
        <f>IF(COUNT($E$2:$E1732)&lt;15,"",IF(SUM($AC$1719:$AC$1732)=0,0,100*SUM($AF$1719:$AF$1732)/SUM($AC$1719:$AC$1732)))</f>
        <v>0</v>
      </c>
      <c r="AI1732">
        <f>IF(OR(AG1732="",AH1732=""),"",IF((AG1732+AH1732)=0,0,100*ABS(AG1732-AH1732)/(AG1732+AH1732)))</f>
        <v>0</v>
      </c>
      <c r="AJ1732">
        <f>IF(COUNT($AI$1719:$AI$1732)&lt;14,"",AVERAGE($AI$1719:$AI$1732))</f>
        <v>0</v>
      </c>
      <c r="AK1732">
        <f>IF(COUNT($E$2:$E1732)&lt;20,"",AVERAGE($E$1713:$E$1732))</f>
        <v>0</v>
      </c>
      <c r="AL1732">
        <f>IF(COUNT($E$2:$E1732)&lt;20,"",STDEVP($E$1713:$E$1732))</f>
        <v>0</v>
      </c>
      <c r="AM1732">
        <f>IF(AK1732="","",AK1732+2*AL1732)</f>
        <v>0</v>
      </c>
      <c r="AN1732">
        <f>IF(AK1732="","",AK1732-2*AL1732)</f>
        <v>0</v>
      </c>
      <c r="AO1732">
        <f>IF(OR(AM1732="",AN1732="",AM1732=AN1732),"",($E1732-AN1732)/(AM1732-AN1732))</f>
        <v>0</v>
      </c>
      <c r="AP1732">
        <f>IF(OR(AM1732="",AK1732="",AK1732=0),"",(AM1732-AN1732)/AK1732)</f>
        <v>0</v>
      </c>
      <c r="AQ1732">
        <f>IF(COUNT($E$2:$E1732)&lt;20,"",MAX($C$1713:$C$1732))</f>
        <v>0</v>
      </c>
      <c r="AR1732">
        <f>IF(COUNT($E$2:$E1732)&lt;20,"",MIN($D$1713:$D$1732))</f>
        <v>0</v>
      </c>
      <c r="AS1732">
        <f>IF(OR(AQ1732="",AR1732=""),"",(AQ1732+AR1732)/2)</f>
        <v>0</v>
      </c>
      <c r="AT1732">
        <f>IF(COUNT($G$1713:$G$1732)&lt;20,"",STDEV($G$1713:$G$1732)*SQRT(252))</f>
        <v>0</v>
      </c>
      <c r="AU1732">
        <f>IF(COUNT($E$2:$E1732)&lt;9,"",(MAX($C$1724:$C$1732)+MIN($D$1724:$D$1732))/2)</f>
        <v>0</v>
      </c>
      <c r="AV1732">
        <f>IF(COUNT($E$2:$E1732)&lt;26,"",(MAX($C$1707:$C$1732)+MIN($D$1707:$D$1732))/2)</f>
        <v>0</v>
      </c>
      <c r="AW1732">
        <f>IF(OR(AU1732="",AV1732=""),"",(AU1732+AV1732)/2)</f>
        <v>0</v>
      </c>
      <c r="AX1732">
        <f>IF(COUNT($E$2:$E1732)&lt;52,"",(MAX($C$1681:$C$1732)+MIN($D$1681:$D$1732))/2)</f>
        <v>0</v>
      </c>
      <c r="AY1732">
        <f>IF(COUNT($E$2:$E1732)&lt;20,"",MAX($C$1633:$C$1732))</f>
        <v>0</v>
      </c>
      <c r="AZ1732">
        <f>IF(COUNT($E$2:$E1732)&lt;20,"",MIN($D$1633:$D$1732))</f>
        <v>0</v>
      </c>
      <c r="BA1732">
        <f>IF(COUNT($E$2:$E1732)&lt;20,"",SLOPE($E$1633:$E$1732,$F$1633:$F$1732))</f>
        <v>0</v>
      </c>
      <c r="BB1732">
        <f>IF(COUNT($E$2:$E1732)&lt;20,"",INTERCEPT($E$1633:$E$1732,$F$1633:$F$1732))</f>
        <v>0</v>
      </c>
      <c r="BC1732">
        <f>IF(OR(BA1732="",BB1732=""),"",BB1732+BA1732*F1732)</f>
        <v>0</v>
      </c>
      <c r="BD1732">
        <f>IF(COUNT($E$2:$E1732)&lt;20,"",STEYX($E$1633:$E$1732,$F$1633:$F$1732))</f>
        <v>0</v>
      </c>
      <c r="BE1732">
        <f>IF($E1732="","",IF(AND(COUNT($E$1733:$E$1736)&gt;=4,$C1732=MAX($C$1728:$C$1736)),$C1732,""))</f>
        <v>0</v>
      </c>
      <c r="BF1732">
        <f>IF($E1732="","",IF(AND(COUNT($E$1733:$E$1736)&gt;=4,$D1732=MIN($D$1728:$D$1736)),$D1732,""))</f>
        <v>0</v>
      </c>
      <c r="BG1732">
        <f>IF($A1732="","",$A1732-WEEKDAY($A1732,2)+1)</f>
        <v>0</v>
      </c>
      <c r="BH1732">
        <f>IF($A1732="","",IF($A1731="",1,IF(BG1732&lt;&gt;BG1731,1,0)))</f>
        <v>0</v>
      </c>
      <c r="BI1732">
        <f>IF($A1732="","",IF($A1733="",1,IF(BG1733&lt;&gt;BG1732,1,0)))</f>
        <v>0</v>
      </c>
      <c r="BJ1732">
        <f>IF($A1732="","",IF(BH1732=1,$B1732,BJ1731))</f>
        <v>0</v>
      </c>
      <c r="BK1732">
        <f>IF($A1732="","",IF(BH1732=1,$C1732,MAX($C1732,BK1731)))</f>
        <v>0</v>
      </c>
      <c r="BL1732">
        <f>IF($A1732="","",IF(BH1732=1,$D1732,MIN($D1732,BL1731)))</f>
        <v>0</v>
      </c>
      <c r="BM1732">
        <f>IF($A1732="","",IF(BI1732=1,F1732,""))</f>
        <v>0</v>
      </c>
      <c r="BN1732">
        <f>IF($A1732="","",DATE(YEAR($A1732),MONTH($A1732),1))</f>
        <v>0</v>
      </c>
      <c r="BO1732">
        <f>IF($A1732="","",IF($A1731="",1,IF(BN1732&lt;&gt;BN1731,1,0)))</f>
        <v>0</v>
      </c>
      <c r="BP1732">
        <f>IF($A1732="","",IF($A1733="",1,IF(BN1733&lt;&gt;BN1732,1,0)))</f>
        <v>0</v>
      </c>
      <c r="BQ1732">
        <f>IF($A1732="","",IF(BO1732=1,$B1732,BQ1731))</f>
        <v>0</v>
      </c>
      <c r="BR1732">
        <f>IF($A1732="","",IF(BO1732=1,$C1732,MAX($C1732,BR1731)))</f>
        <v>0</v>
      </c>
      <c r="BS1732">
        <f>IF($A1732="","",IF(BO1732=1,$D1732,MIN($D1732,BS1731)))</f>
        <v>0</v>
      </c>
      <c r="BT1732">
        <f>IF($A1732="","",IF(BP1732=1,F1732,""))</f>
        <v>0</v>
      </c>
    </row>
    <row r="1733" spans="1:72">
      <c r="A1733" s="27">
        <f>IF(Data!$A1733="","",Data!$A1733)</f>
        <v>0</v>
      </c>
      <c r="B1733">
        <f>IF(Data!$B1733="","",Data!$B1733)</f>
        <v>0</v>
      </c>
      <c r="C1733">
        <f>IF(Data!$C1733="","",Data!$C1733)</f>
        <v>0</v>
      </c>
      <c r="D1733">
        <f>IF(Data!$D1733="","",Data!$D1733)</f>
        <v>0</v>
      </c>
      <c r="E1733">
        <f>IF(Data!$E1733="","",Data!$E1733)</f>
        <v>0</v>
      </c>
      <c r="F1733">
        <f>IF($E1733="","",N(F1732)+1)</f>
        <v>0</v>
      </c>
      <c r="G1733">
        <f>IF(OR($E1733="",$E1732=""),"",LN($E1733/$E1732))</f>
        <v>0</v>
      </c>
      <c r="H1733">
        <f>IF($E1733="","",IF($E1732="",$E1733,$E1733*0.0952380952+H1732*0.9047619048))</f>
        <v>0</v>
      </c>
      <c r="I1733">
        <f>IF($E1733="","",IF($E1732="",$E1733,$E1733*0.0392156863+I1732*0.9607843137))</f>
        <v>0</v>
      </c>
      <c r="J1733">
        <f>IF($E1733="","",IF($E1732="",$E1733,$E1733*0.0198019802+J1732*0.9801980198))</f>
        <v>0</v>
      </c>
      <c r="K1733">
        <f>IF($E1733="","",IF($E1732="",$E1733,$E1733*0.0099502488+K1732*0.9900497512))</f>
        <v>0</v>
      </c>
      <c r="L1733">
        <f>IF(OR($E1733="",$E1732=""),"",MAX($E1733-$E1732,0))</f>
        <v>0</v>
      </c>
      <c r="M1733">
        <f>IF(OR($E1733="",$E1732=""),"",MAX($E1732-$E1733,0))</f>
        <v>0</v>
      </c>
      <c r="N1733">
        <f>IF(COUNT($E$2:$E1733)&lt;15,"",IF(AVERAGE($M$1720:$M$1733)=0,100,100-100/(1+AVERAGE($L$1720:$L$1733)/AVERAGE($M$1720:$M$1733))))</f>
        <v>0</v>
      </c>
      <c r="O1733">
        <f>IF($E1733="","",IF($E1732="",$E1733,$E1733*0.1538461538+O1732*0.8461538462))</f>
        <v>0</v>
      </c>
      <c r="P1733">
        <f>IF($E1733="","",IF($E1732="",$E1733,$E1733*0.0740740741+P1732*0.9259259259))</f>
        <v>0</v>
      </c>
      <c r="Q1733">
        <f>IF(OR(O1733="",P1733=""),"",O1733-P1733)</f>
        <v>0</v>
      </c>
      <c r="R1733">
        <f>IF(Q1733="","",IF(R1732="",Q1733,Q1733*0.2000000000+R1732*0.8000000000))</f>
        <v>0</v>
      </c>
      <c r="S1733">
        <f>IF(OR(Q1733="",R1733=""),"",Q1733-R1733)</f>
        <v>0</v>
      </c>
      <c r="T1733">
        <f>IF(COUNT($E$2:$E1733)&lt;14,"",MAX($C$1720:$C$1733))</f>
        <v>0</v>
      </c>
      <c r="U1733">
        <f>IF(COUNT($E$2:$E1733)&lt;14,"",MIN($D$1720:$D$1733))</f>
        <v>0</v>
      </c>
      <c r="V1733">
        <f>IF(OR(T1733="",U1733="",T1733=U1733),"",100*($E1733-U1733)/(T1733-U1733))</f>
        <v>0</v>
      </c>
      <c r="W1733">
        <f>IF(COUNT($V$1731:$V$1733)&lt;3,"",AVERAGE($V$1731:$V$1733))</f>
        <v>0</v>
      </c>
      <c r="X1733">
        <f>IF(COUNT($N$1720:$N$1733)&lt;14,"",MIN($N$1720:$N$1733))</f>
        <v>0</v>
      </c>
      <c r="Y1733">
        <f>IF(COUNT($N$1720:$N$1733)&lt;14,"",MAX($N$1720:$N$1733))</f>
        <v>0</v>
      </c>
      <c r="Z1733">
        <f>IF(OR(N1733="",X1733="",Y1733="",Y1733=X1733),"",100*(N1733-X1733)/(Y1733-X1733))</f>
        <v>0</v>
      </c>
      <c r="AA1733">
        <f>IF(COUNT($Z$1731:$Z$1733)&lt;3,"",AVERAGE($Z$1731:$Z$1733))</f>
        <v>0</v>
      </c>
      <c r="AB1733">
        <f>IF(COUNT($AA$1731:$AA$1733)&lt;3,"",AVERAGE($AA$1731:$AA$1733))</f>
        <v>0</v>
      </c>
      <c r="AC1733">
        <f>IF($E1733="","",MAX($C1733-$D1733,ABS($C1733-$E1732),ABS($D1733-$E1732)))</f>
        <v>0</v>
      </c>
      <c r="AD1733">
        <f>IF(COUNT($E$2:$E1733)&lt;15,"",AVERAGE($AC$1720:$AC$1733))</f>
        <v>0</v>
      </c>
      <c r="AE1733">
        <f>IF(OR($E1733="",$E1732=""),"",IF(AND(($C1733-$C1732)&gt;($D1732-$D1733),($C1733-$C1732)&gt;0),$C1733-$C1732,0))</f>
        <v>0</v>
      </c>
      <c r="AF1733">
        <f>IF(OR($E1733="",$E1732=""),"",IF(AND(($D1732-$D1733)&gt;($C1733-$C1732),($D1732-$D1733)&gt;0),$D1732-$D1733,0))</f>
        <v>0</v>
      </c>
      <c r="AG1733">
        <f>IF(COUNT($E$2:$E1733)&lt;15,"",IF(SUM($AC$1720:$AC$1733)=0,0,100*SUM($AE$1720:$AE$1733)/SUM($AC$1720:$AC$1733)))</f>
        <v>0</v>
      </c>
      <c r="AH1733">
        <f>IF(COUNT($E$2:$E1733)&lt;15,"",IF(SUM($AC$1720:$AC$1733)=0,0,100*SUM($AF$1720:$AF$1733)/SUM($AC$1720:$AC$1733)))</f>
        <v>0</v>
      </c>
      <c r="AI1733">
        <f>IF(OR(AG1733="",AH1733=""),"",IF((AG1733+AH1733)=0,0,100*ABS(AG1733-AH1733)/(AG1733+AH1733)))</f>
        <v>0</v>
      </c>
      <c r="AJ1733">
        <f>IF(COUNT($AI$1720:$AI$1733)&lt;14,"",AVERAGE($AI$1720:$AI$1733))</f>
        <v>0</v>
      </c>
      <c r="AK1733">
        <f>IF(COUNT($E$2:$E1733)&lt;20,"",AVERAGE($E$1714:$E$1733))</f>
        <v>0</v>
      </c>
      <c r="AL1733">
        <f>IF(COUNT($E$2:$E1733)&lt;20,"",STDEVP($E$1714:$E$1733))</f>
        <v>0</v>
      </c>
      <c r="AM1733">
        <f>IF(AK1733="","",AK1733+2*AL1733)</f>
        <v>0</v>
      </c>
      <c r="AN1733">
        <f>IF(AK1733="","",AK1733-2*AL1733)</f>
        <v>0</v>
      </c>
      <c r="AO1733">
        <f>IF(OR(AM1733="",AN1733="",AM1733=AN1733),"",($E1733-AN1733)/(AM1733-AN1733))</f>
        <v>0</v>
      </c>
      <c r="AP1733">
        <f>IF(OR(AM1733="",AK1733="",AK1733=0),"",(AM1733-AN1733)/AK1733)</f>
        <v>0</v>
      </c>
      <c r="AQ1733">
        <f>IF(COUNT($E$2:$E1733)&lt;20,"",MAX($C$1714:$C$1733))</f>
        <v>0</v>
      </c>
      <c r="AR1733">
        <f>IF(COUNT($E$2:$E1733)&lt;20,"",MIN($D$1714:$D$1733))</f>
        <v>0</v>
      </c>
      <c r="AS1733">
        <f>IF(OR(AQ1733="",AR1733=""),"",(AQ1733+AR1733)/2)</f>
        <v>0</v>
      </c>
      <c r="AT1733">
        <f>IF(COUNT($G$1714:$G$1733)&lt;20,"",STDEV($G$1714:$G$1733)*SQRT(252))</f>
        <v>0</v>
      </c>
      <c r="AU1733">
        <f>IF(COUNT($E$2:$E1733)&lt;9,"",(MAX($C$1725:$C$1733)+MIN($D$1725:$D$1733))/2)</f>
        <v>0</v>
      </c>
      <c r="AV1733">
        <f>IF(COUNT($E$2:$E1733)&lt;26,"",(MAX($C$1708:$C$1733)+MIN($D$1708:$D$1733))/2)</f>
        <v>0</v>
      </c>
      <c r="AW1733">
        <f>IF(OR(AU1733="",AV1733=""),"",(AU1733+AV1733)/2)</f>
        <v>0</v>
      </c>
      <c r="AX1733">
        <f>IF(COUNT($E$2:$E1733)&lt;52,"",(MAX($C$1682:$C$1733)+MIN($D$1682:$D$1733))/2)</f>
        <v>0</v>
      </c>
      <c r="AY1733">
        <f>IF(COUNT($E$2:$E1733)&lt;20,"",MAX($C$1634:$C$1733))</f>
        <v>0</v>
      </c>
      <c r="AZ1733">
        <f>IF(COUNT($E$2:$E1733)&lt;20,"",MIN($D$1634:$D$1733))</f>
        <v>0</v>
      </c>
      <c r="BA1733">
        <f>IF(COUNT($E$2:$E1733)&lt;20,"",SLOPE($E$1634:$E$1733,$F$1634:$F$1733))</f>
        <v>0</v>
      </c>
      <c r="BB1733">
        <f>IF(COUNT($E$2:$E1733)&lt;20,"",INTERCEPT($E$1634:$E$1733,$F$1634:$F$1733))</f>
        <v>0</v>
      </c>
      <c r="BC1733">
        <f>IF(OR(BA1733="",BB1733=""),"",BB1733+BA1733*F1733)</f>
        <v>0</v>
      </c>
      <c r="BD1733">
        <f>IF(COUNT($E$2:$E1733)&lt;20,"",STEYX($E$1634:$E$1733,$F$1634:$F$1733))</f>
        <v>0</v>
      </c>
      <c r="BE1733">
        <f>IF($E1733="","",IF(AND(COUNT($E$1734:$E$1737)&gt;=4,$C1733=MAX($C$1729:$C$1737)),$C1733,""))</f>
        <v>0</v>
      </c>
      <c r="BF1733">
        <f>IF($E1733="","",IF(AND(COUNT($E$1734:$E$1737)&gt;=4,$D1733=MIN($D$1729:$D$1737)),$D1733,""))</f>
        <v>0</v>
      </c>
      <c r="BG1733">
        <f>IF($A1733="","",$A1733-WEEKDAY($A1733,2)+1)</f>
        <v>0</v>
      </c>
      <c r="BH1733">
        <f>IF($A1733="","",IF($A1732="",1,IF(BG1733&lt;&gt;BG1732,1,0)))</f>
        <v>0</v>
      </c>
      <c r="BI1733">
        <f>IF($A1733="","",IF($A1734="",1,IF(BG1734&lt;&gt;BG1733,1,0)))</f>
        <v>0</v>
      </c>
      <c r="BJ1733">
        <f>IF($A1733="","",IF(BH1733=1,$B1733,BJ1732))</f>
        <v>0</v>
      </c>
      <c r="BK1733">
        <f>IF($A1733="","",IF(BH1733=1,$C1733,MAX($C1733,BK1732)))</f>
        <v>0</v>
      </c>
      <c r="BL1733">
        <f>IF($A1733="","",IF(BH1733=1,$D1733,MIN($D1733,BL1732)))</f>
        <v>0</v>
      </c>
      <c r="BM1733">
        <f>IF($A1733="","",IF(BI1733=1,F1733,""))</f>
        <v>0</v>
      </c>
      <c r="BN1733">
        <f>IF($A1733="","",DATE(YEAR($A1733),MONTH($A1733),1))</f>
        <v>0</v>
      </c>
      <c r="BO1733">
        <f>IF($A1733="","",IF($A1732="",1,IF(BN1733&lt;&gt;BN1732,1,0)))</f>
        <v>0</v>
      </c>
      <c r="BP1733">
        <f>IF($A1733="","",IF($A1734="",1,IF(BN1734&lt;&gt;BN1733,1,0)))</f>
        <v>0</v>
      </c>
      <c r="BQ1733">
        <f>IF($A1733="","",IF(BO1733=1,$B1733,BQ1732))</f>
        <v>0</v>
      </c>
      <c r="BR1733">
        <f>IF($A1733="","",IF(BO1733=1,$C1733,MAX($C1733,BR1732)))</f>
        <v>0</v>
      </c>
      <c r="BS1733">
        <f>IF($A1733="","",IF(BO1733=1,$D1733,MIN($D1733,BS1732)))</f>
        <v>0</v>
      </c>
      <c r="BT1733">
        <f>IF($A1733="","",IF(BP1733=1,F1733,""))</f>
        <v>0</v>
      </c>
    </row>
    <row r="1734" spans="1:72">
      <c r="A1734" s="27">
        <f>IF(Data!$A1734="","",Data!$A1734)</f>
        <v>0</v>
      </c>
      <c r="B1734">
        <f>IF(Data!$B1734="","",Data!$B1734)</f>
        <v>0</v>
      </c>
      <c r="C1734">
        <f>IF(Data!$C1734="","",Data!$C1734)</f>
        <v>0</v>
      </c>
      <c r="D1734">
        <f>IF(Data!$D1734="","",Data!$D1734)</f>
        <v>0</v>
      </c>
      <c r="E1734">
        <f>IF(Data!$E1734="","",Data!$E1734)</f>
        <v>0</v>
      </c>
      <c r="F1734">
        <f>IF($E1734="","",N(F1733)+1)</f>
        <v>0</v>
      </c>
      <c r="G1734">
        <f>IF(OR($E1734="",$E1733=""),"",LN($E1734/$E1733))</f>
        <v>0</v>
      </c>
      <c r="H1734">
        <f>IF($E1734="","",IF($E1733="",$E1734,$E1734*0.0952380952+H1733*0.9047619048))</f>
        <v>0</v>
      </c>
      <c r="I1734">
        <f>IF($E1734="","",IF($E1733="",$E1734,$E1734*0.0392156863+I1733*0.9607843137))</f>
        <v>0</v>
      </c>
      <c r="J1734">
        <f>IF($E1734="","",IF($E1733="",$E1734,$E1734*0.0198019802+J1733*0.9801980198))</f>
        <v>0</v>
      </c>
      <c r="K1734">
        <f>IF($E1734="","",IF($E1733="",$E1734,$E1734*0.0099502488+K1733*0.9900497512))</f>
        <v>0</v>
      </c>
      <c r="L1734">
        <f>IF(OR($E1734="",$E1733=""),"",MAX($E1734-$E1733,0))</f>
        <v>0</v>
      </c>
      <c r="M1734">
        <f>IF(OR($E1734="",$E1733=""),"",MAX($E1733-$E1734,0))</f>
        <v>0</v>
      </c>
      <c r="N1734">
        <f>IF(COUNT($E$2:$E1734)&lt;15,"",IF(AVERAGE($M$1721:$M$1734)=0,100,100-100/(1+AVERAGE($L$1721:$L$1734)/AVERAGE($M$1721:$M$1734))))</f>
        <v>0</v>
      </c>
      <c r="O1734">
        <f>IF($E1734="","",IF($E1733="",$E1734,$E1734*0.1538461538+O1733*0.8461538462))</f>
        <v>0</v>
      </c>
      <c r="P1734">
        <f>IF($E1734="","",IF($E1733="",$E1734,$E1734*0.0740740741+P1733*0.9259259259))</f>
        <v>0</v>
      </c>
      <c r="Q1734">
        <f>IF(OR(O1734="",P1734=""),"",O1734-P1734)</f>
        <v>0</v>
      </c>
      <c r="R1734">
        <f>IF(Q1734="","",IF(R1733="",Q1734,Q1734*0.2000000000+R1733*0.8000000000))</f>
        <v>0</v>
      </c>
      <c r="S1734">
        <f>IF(OR(Q1734="",R1734=""),"",Q1734-R1734)</f>
        <v>0</v>
      </c>
      <c r="T1734">
        <f>IF(COUNT($E$2:$E1734)&lt;14,"",MAX($C$1721:$C$1734))</f>
        <v>0</v>
      </c>
      <c r="U1734">
        <f>IF(COUNT($E$2:$E1734)&lt;14,"",MIN($D$1721:$D$1734))</f>
        <v>0</v>
      </c>
      <c r="V1734">
        <f>IF(OR(T1734="",U1734="",T1734=U1734),"",100*($E1734-U1734)/(T1734-U1734))</f>
        <v>0</v>
      </c>
      <c r="W1734">
        <f>IF(COUNT($V$1732:$V$1734)&lt;3,"",AVERAGE($V$1732:$V$1734))</f>
        <v>0</v>
      </c>
      <c r="X1734">
        <f>IF(COUNT($N$1721:$N$1734)&lt;14,"",MIN($N$1721:$N$1734))</f>
        <v>0</v>
      </c>
      <c r="Y1734">
        <f>IF(COUNT($N$1721:$N$1734)&lt;14,"",MAX($N$1721:$N$1734))</f>
        <v>0</v>
      </c>
      <c r="Z1734">
        <f>IF(OR(N1734="",X1734="",Y1734="",Y1734=X1734),"",100*(N1734-X1734)/(Y1734-X1734))</f>
        <v>0</v>
      </c>
      <c r="AA1734">
        <f>IF(COUNT($Z$1732:$Z$1734)&lt;3,"",AVERAGE($Z$1732:$Z$1734))</f>
        <v>0</v>
      </c>
      <c r="AB1734">
        <f>IF(COUNT($AA$1732:$AA$1734)&lt;3,"",AVERAGE($AA$1732:$AA$1734))</f>
        <v>0</v>
      </c>
      <c r="AC1734">
        <f>IF($E1734="","",MAX($C1734-$D1734,ABS($C1734-$E1733),ABS($D1734-$E1733)))</f>
        <v>0</v>
      </c>
      <c r="AD1734">
        <f>IF(COUNT($E$2:$E1734)&lt;15,"",AVERAGE($AC$1721:$AC$1734))</f>
        <v>0</v>
      </c>
      <c r="AE1734">
        <f>IF(OR($E1734="",$E1733=""),"",IF(AND(($C1734-$C1733)&gt;($D1733-$D1734),($C1734-$C1733)&gt;0),$C1734-$C1733,0))</f>
        <v>0</v>
      </c>
      <c r="AF1734">
        <f>IF(OR($E1734="",$E1733=""),"",IF(AND(($D1733-$D1734)&gt;($C1734-$C1733),($D1733-$D1734)&gt;0),$D1733-$D1734,0))</f>
        <v>0</v>
      </c>
      <c r="AG1734">
        <f>IF(COUNT($E$2:$E1734)&lt;15,"",IF(SUM($AC$1721:$AC$1734)=0,0,100*SUM($AE$1721:$AE$1734)/SUM($AC$1721:$AC$1734)))</f>
        <v>0</v>
      </c>
      <c r="AH1734">
        <f>IF(COUNT($E$2:$E1734)&lt;15,"",IF(SUM($AC$1721:$AC$1734)=0,0,100*SUM($AF$1721:$AF$1734)/SUM($AC$1721:$AC$1734)))</f>
        <v>0</v>
      </c>
      <c r="AI1734">
        <f>IF(OR(AG1734="",AH1734=""),"",IF((AG1734+AH1734)=0,0,100*ABS(AG1734-AH1734)/(AG1734+AH1734)))</f>
        <v>0</v>
      </c>
      <c r="AJ1734">
        <f>IF(COUNT($AI$1721:$AI$1734)&lt;14,"",AVERAGE($AI$1721:$AI$1734))</f>
        <v>0</v>
      </c>
      <c r="AK1734">
        <f>IF(COUNT($E$2:$E1734)&lt;20,"",AVERAGE($E$1715:$E$1734))</f>
        <v>0</v>
      </c>
      <c r="AL1734">
        <f>IF(COUNT($E$2:$E1734)&lt;20,"",STDEVP($E$1715:$E$1734))</f>
        <v>0</v>
      </c>
      <c r="AM1734">
        <f>IF(AK1734="","",AK1734+2*AL1734)</f>
        <v>0</v>
      </c>
      <c r="AN1734">
        <f>IF(AK1734="","",AK1734-2*AL1734)</f>
        <v>0</v>
      </c>
      <c r="AO1734">
        <f>IF(OR(AM1734="",AN1734="",AM1734=AN1734),"",($E1734-AN1734)/(AM1734-AN1734))</f>
        <v>0</v>
      </c>
      <c r="AP1734">
        <f>IF(OR(AM1734="",AK1734="",AK1734=0),"",(AM1734-AN1734)/AK1734)</f>
        <v>0</v>
      </c>
      <c r="AQ1734">
        <f>IF(COUNT($E$2:$E1734)&lt;20,"",MAX($C$1715:$C$1734))</f>
        <v>0</v>
      </c>
      <c r="AR1734">
        <f>IF(COUNT($E$2:$E1734)&lt;20,"",MIN($D$1715:$D$1734))</f>
        <v>0</v>
      </c>
      <c r="AS1734">
        <f>IF(OR(AQ1734="",AR1734=""),"",(AQ1734+AR1734)/2)</f>
        <v>0</v>
      </c>
      <c r="AT1734">
        <f>IF(COUNT($G$1715:$G$1734)&lt;20,"",STDEV($G$1715:$G$1734)*SQRT(252))</f>
        <v>0</v>
      </c>
      <c r="AU1734">
        <f>IF(COUNT($E$2:$E1734)&lt;9,"",(MAX($C$1726:$C$1734)+MIN($D$1726:$D$1734))/2)</f>
        <v>0</v>
      </c>
      <c r="AV1734">
        <f>IF(COUNT($E$2:$E1734)&lt;26,"",(MAX($C$1709:$C$1734)+MIN($D$1709:$D$1734))/2)</f>
        <v>0</v>
      </c>
      <c r="AW1734">
        <f>IF(OR(AU1734="",AV1734=""),"",(AU1734+AV1734)/2)</f>
        <v>0</v>
      </c>
      <c r="AX1734">
        <f>IF(COUNT($E$2:$E1734)&lt;52,"",(MAX($C$1683:$C$1734)+MIN($D$1683:$D$1734))/2)</f>
        <v>0</v>
      </c>
      <c r="AY1734">
        <f>IF(COUNT($E$2:$E1734)&lt;20,"",MAX($C$1635:$C$1734))</f>
        <v>0</v>
      </c>
      <c r="AZ1734">
        <f>IF(COUNT($E$2:$E1734)&lt;20,"",MIN($D$1635:$D$1734))</f>
        <v>0</v>
      </c>
      <c r="BA1734">
        <f>IF(COUNT($E$2:$E1734)&lt;20,"",SLOPE($E$1635:$E$1734,$F$1635:$F$1734))</f>
        <v>0</v>
      </c>
      <c r="BB1734">
        <f>IF(COUNT($E$2:$E1734)&lt;20,"",INTERCEPT($E$1635:$E$1734,$F$1635:$F$1734))</f>
        <v>0</v>
      </c>
      <c r="BC1734">
        <f>IF(OR(BA1734="",BB1734=""),"",BB1734+BA1734*F1734)</f>
        <v>0</v>
      </c>
      <c r="BD1734">
        <f>IF(COUNT($E$2:$E1734)&lt;20,"",STEYX($E$1635:$E$1734,$F$1635:$F$1734))</f>
        <v>0</v>
      </c>
      <c r="BE1734">
        <f>IF($E1734="","",IF(AND(COUNT($E$1735:$E$1738)&gt;=4,$C1734=MAX($C$1730:$C$1738)),$C1734,""))</f>
        <v>0</v>
      </c>
      <c r="BF1734">
        <f>IF($E1734="","",IF(AND(COUNT($E$1735:$E$1738)&gt;=4,$D1734=MIN($D$1730:$D$1738)),$D1734,""))</f>
        <v>0</v>
      </c>
      <c r="BG1734">
        <f>IF($A1734="","",$A1734-WEEKDAY($A1734,2)+1)</f>
        <v>0</v>
      </c>
      <c r="BH1734">
        <f>IF($A1734="","",IF($A1733="",1,IF(BG1734&lt;&gt;BG1733,1,0)))</f>
        <v>0</v>
      </c>
      <c r="BI1734">
        <f>IF($A1734="","",IF($A1735="",1,IF(BG1735&lt;&gt;BG1734,1,0)))</f>
        <v>0</v>
      </c>
      <c r="BJ1734">
        <f>IF($A1734="","",IF(BH1734=1,$B1734,BJ1733))</f>
        <v>0</v>
      </c>
      <c r="BK1734">
        <f>IF($A1734="","",IF(BH1734=1,$C1734,MAX($C1734,BK1733)))</f>
        <v>0</v>
      </c>
      <c r="BL1734">
        <f>IF($A1734="","",IF(BH1734=1,$D1734,MIN($D1734,BL1733)))</f>
        <v>0</v>
      </c>
      <c r="BM1734">
        <f>IF($A1734="","",IF(BI1734=1,F1734,""))</f>
        <v>0</v>
      </c>
      <c r="BN1734">
        <f>IF($A1734="","",DATE(YEAR($A1734),MONTH($A1734),1))</f>
        <v>0</v>
      </c>
      <c r="BO1734">
        <f>IF($A1734="","",IF($A1733="",1,IF(BN1734&lt;&gt;BN1733,1,0)))</f>
        <v>0</v>
      </c>
      <c r="BP1734">
        <f>IF($A1734="","",IF($A1735="",1,IF(BN1735&lt;&gt;BN1734,1,0)))</f>
        <v>0</v>
      </c>
      <c r="BQ1734">
        <f>IF($A1734="","",IF(BO1734=1,$B1734,BQ1733))</f>
        <v>0</v>
      </c>
      <c r="BR1734">
        <f>IF($A1734="","",IF(BO1734=1,$C1734,MAX($C1734,BR1733)))</f>
        <v>0</v>
      </c>
      <c r="BS1734">
        <f>IF($A1734="","",IF(BO1734=1,$D1734,MIN($D1734,BS1733)))</f>
        <v>0</v>
      </c>
      <c r="BT1734">
        <f>IF($A1734="","",IF(BP1734=1,F1734,""))</f>
        <v>0</v>
      </c>
    </row>
    <row r="1735" spans="1:72">
      <c r="A1735" s="27">
        <f>IF(Data!$A1735="","",Data!$A1735)</f>
        <v>0</v>
      </c>
      <c r="B1735">
        <f>IF(Data!$B1735="","",Data!$B1735)</f>
        <v>0</v>
      </c>
      <c r="C1735">
        <f>IF(Data!$C1735="","",Data!$C1735)</f>
        <v>0</v>
      </c>
      <c r="D1735">
        <f>IF(Data!$D1735="","",Data!$D1735)</f>
        <v>0</v>
      </c>
      <c r="E1735">
        <f>IF(Data!$E1735="","",Data!$E1735)</f>
        <v>0</v>
      </c>
      <c r="F1735">
        <f>IF($E1735="","",N(F1734)+1)</f>
        <v>0</v>
      </c>
      <c r="G1735">
        <f>IF(OR($E1735="",$E1734=""),"",LN($E1735/$E1734))</f>
        <v>0</v>
      </c>
      <c r="H1735">
        <f>IF($E1735="","",IF($E1734="",$E1735,$E1735*0.0952380952+H1734*0.9047619048))</f>
        <v>0</v>
      </c>
      <c r="I1735">
        <f>IF($E1735="","",IF($E1734="",$E1735,$E1735*0.0392156863+I1734*0.9607843137))</f>
        <v>0</v>
      </c>
      <c r="J1735">
        <f>IF($E1735="","",IF($E1734="",$E1735,$E1735*0.0198019802+J1734*0.9801980198))</f>
        <v>0</v>
      </c>
      <c r="K1735">
        <f>IF($E1735="","",IF($E1734="",$E1735,$E1735*0.0099502488+K1734*0.9900497512))</f>
        <v>0</v>
      </c>
      <c r="L1735">
        <f>IF(OR($E1735="",$E1734=""),"",MAX($E1735-$E1734,0))</f>
        <v>0</v>
      </c>
      <c r="M1735">
        <f>IF(OR($E1735="",$E1734=""),"",MAX($E1734-$E1735,0))</f>
        <v>0</v>
      </c>
      <c r="N1735">
        <f>IF(COUNT($E$2:$E1735)&lt;15,"",IF(AVERAGE($M$1722:$M$1735)=0,100,100-100/(1+AVERAGE($L$1722:$L$1735)/AVERAGE($M$1722:$M$1735))))</f>
        <v>0</v>
      </c>
      <c r="O1735">
        <f>IF($E1735="","",IF($E1734="",$E1735,$E1735*0.1538461538+O1734*0.8461538462))</f>
        <v>0</v>
      </c>
      <c r="P1735">
        <f>IF($E1735="","",IF($E1734="",$E1735,$E1735*0.0740740741+P1734*0.9259259259))</f>
        <v>0</v>
      </c>
      <c r="Q1735">
        <f>IF(OR(O1735="",P1735=""),"",O1735-P1735)</f>
        <v>0</v>
      </c>
      <c r="R1735">
        <f>IF(Q1735="","",IF(R1734="",Q1735,Q1735*0.2000000000+R1734*0.8000000000))</f>
        <v>0</v>
      </c>
      <c r="S1735">
        <f>IF(OR(Q1735="",R1735=""),"",Q1735-R1735)</f>
        <v>0</v>
      </c>
      <c r="T1735">
        <f>IF(COUNT($E$2:$E1735)&lt;14,"",MAX($C$1722:$C$1735))</f>
        <v>0</v>
      </c>
      <c r="U1735">
        <f>IF(COUNT($E$2:$E1735)&lt;14,"",MIN($D$1722:$D$1735))</f>
        <v>0</v>
      </c>
      <c r="V1735">
        <f>IF(OR(T1735="",U1735="",T1735=U1735),"",100*($E1735-U1735)/(T1735-U1735))</f>
        <v>0</v>
      </c>
      <c r="W1735">
        <f>IF(COUNT($V$1733:$V$1735)&lt;3,"",AVERAGE($V$1733:$V$1735))</f>
        <v>0</v>
      </c>
      <c r="X1735">
        <f>IF(COUNT($N$1722:$N$1735)&lt;14,"",MIN($N$1722:$N$1735))</f>
        <v>0</v>
      </c>
      <c r="Y1735">
        <f>IF(COUNT($N$1722:$N$1735)&lt;14,"",MAX($N$1722:$N$1735))</f>
        <v>0</v>
      </c>
      <c r="Z1735">
        <f>IF(OR(N1735="",X1735="",Y1735="",Y1735=X1735),"",100*(N1735-X1735)/(Y1735-X1735))</f>
        <v>0</v>
      </c>
      <c r="AA1735">
        <f>IF(COUNT($Z$1733:$Z$1735)&lt;3,"",AVERAGE($Z$1733:$Z$1735))</f>
        <v>0</v>
      </c>
      <c r="AB1735">
        <f>IF(COUNT($AA$1733:$AA$1735)&lt;3,"",AVERAGE($AA$1733:$AA$1735))</f>
        <v>0</v>
      </c>
      <c r="AC1735">
        <f>IF($E1735="","",MAX($C1735-$D1735,ABS($C1735-$E1734),ABS($D1735-$E1734)))</f>
        <v>0</v>
      </c>
      <c r="AD1735">
        <f>IF(COUNT($E$2:$E1735)&lt;15,"",AVERAGE($AC$1722:$AC$1735))</f>
        <v>0</v>
      </c>
      <c r="AE1735">
        <f>IF(OR($E1735="",$E1734=""),"",IF(AND(($C1735-$C1734)&gt;($D1734-$D1735),($C1735-$C1734)&gt;0),$C1735-$C1734,0))</f>
        <v>0</v>
      </c>
      <c r="AF1735">
        <f>IF(OR($E1735="",$E1734=""),"",IF(AND(($D1734-$D1735)&gt;($C1735-$C1734),($D1734-$D1735)&gt;0),$D1734-$D1735,0))</f>
        <v>0</v>
      </c>
      <c r="AG1735">
        <f>IF(COUNT($E$2:$E1735)&lt;15,"",IF(SUM($AC$1722:$AC$1735)=0,0,100*SUM($AE$1722:$AE$1735)/SUM($AC$1722:$AC$1735)))</f>
        <v>0</v>
      </c>
      <c r="AH1735">
        <f>IF(COUNT($E$2:$E1735)&lt;15,"",IF(SUM($AC$1722:$AC$1735)=0,0,100*SUM($AF$1722:$AF$1735)/SUM($AC$1722:$AC$1735)))</f>
        <v>0</v>
      </c>
      <c r="AI1735">
        <f>IF(OR(AG1735="",AH1735=""),"",IF((AG1735+AH1735)=0,0,100*ABS(AG1735-AH1735)/(AG1735+AH1735)))</f>
        <v>0</v>
      </c>
      <c r="AJ1735">
        <f>IF(COUNT($AI$1722:$AI$1735)&lt;14,"",AVERAGE($AI$1722:$AI$1735))</f>
        <v>0</v>
      </c>
      <c r="AK1735">
        <f>IF(COUNT($E$2:$E1735)&lt;20,"",AVERAGE($E$1716:$E$1735))</f>
        <v>0</v>
      </c>
      <c r="AL1735">
        <f>IF(COUNT($E$2:$E1735)&lt;20,"",STDEVP($E$1716:$E$1735))</f>
        <v>0</v>
      </c>
      <c r="AM1735">
        <f>IF(AK1735="","",AK1735+2*AL1735)</f>
        <v>0</v>
      </c>
      <c r="AN1735">
        <f>IF(AK1735="","",AK1735-2*AL1735)</f>
        <v>0</v>
      </c>
      <c r="AO1735">
        <f>IF(OR(AM1735="",AN1735="",AM1735=AN1735),"",($E1735-AN1735)/(AM1735-AN1735))</f>
        <v>0</v>
      </c>
      <c r="AP1735">
        <f>IF(OR(AM1735="",AK1735="",AK1735=0),"",(AM1735-AN1735)/AK1735)</f>
        <v>0</v>
      </c>
      <c r="AQ1735">
        <f>IF(COUNT($E$2:$E1735)&lt;20,"",MAX($C$1716:$C$1735))</f>
        <v>0</v>
      </c>
      <c r="AR1735">
        <f>IF(COUNT($E$2:$E1735)&lt;20,"",MIN($D$1716:$D$1735))</f>
        <v>0</v>
      </c>
      <c r="AS1735">
        <f>IF(OR(AQ1735="",AR1735=""),"",(AQ1735+AR1735)/2)</f>
        <v>0</v>
      </c>
      <c r="AT1735">
        <f>IF(COUNT($G$1716:$G$1735)&lt;20,"",STDEV($G$1716:$G$1735)*SQRT(252))</f>
        <v>0</v>
      </c>
      <c r="AU1735">
        <f>IF(COUNT($E$2:$E1735)&lt;9,"",(MAX($C$1727:$C$1735)+MIN($D$1727:$D$1735))/2)</f>
        <v>0</v>
      </c>
      <c r="AV1735">
        <f>IF(COUNT($E$2:$E1735)&lt;26,"",(MAX($C$1710:$C$1735)+MIN($D$1710:$D$1735))/2)</f>
        <v>0</v>
      </c>
      <c r="AW1735">
        <f>IF(OR(AU1735="",AV1735=""),"",(AU1735+AV1735)/2)</f>
        <v>0</v>
      </c>
      <c r="AX1735">
        <f>IF(COUNT($E$2:$E1735)&lt;52,"",(MAX($C$1684:$C$1735)+MIN($D$1684:$D$1735))/2)</f>
        <v>0</v>
      </c>
      <c r="AY1735">
        <f>IF(COUNT($E$2:$E1735)&lt;20,"",MAX($C$1636:$C$1735))</f>
        <v>0</v>
      </c>
      <c r="AZ1735">
        <f>IF(COUNT($E$2:$E1735)&lt;20,"",MIN($D$1636:$D$1735))</f>
        <v>0</v>
      </c>
      <c r="BA1735">
        <f>IF(COUNT($E$2:$E1735)&lt;20,"",SLOPE($E$1636:$E$1735,$F$1636:$F$1735))</f>
        <v>0</v>
      </c>
      <c r="BB1735">
        <f>IF(COUNT($E$2:$E1735)&lt;20,"",INTERCEPT($E$1636:$E$1735,$F$1636:$F$1735))</f>
        <v>0</v>
      </c>
      <c r="BC1735">
        <f>IF(OR(BA1735="",BB1735=""),"",BB1735+BA1735*F1735)</f>
        <v>0</v>
      </c>
      <c r="BD1735">
        <f>IF(COUNT($E$2:$E1735)&lt;20,"",STEYX($E$1636:$E$1735,$F$1636:$F$1735))</f>
        <v>0</v>
      </c>
      <c r="BE1735">
        <f>IF($E1735="","",IF(AND(COUNT($E$1736:$E$1739)&gt;=4,$C1735=MAX($C$1731:$C$1739)),$C1735,""))</f>
        <v>0</v>
      </c>
      <c r="BF1735">
        <f>IF($E1735="","",IF(AND(COUNT($E$1736:$E$1739)&gt;=4,$D1735=MIN($D$1731:$D$1739)),$D1735,""))</f>
        <v>0</v>
      </c>
      <c r="BG1735">
        <f>IF($A1735="","",$A1735-WEEKDAY($A1735,2)+1)</f>
        <v>0</v>
      </c>
      <c r="BH1735">
        <f>IF($A1735="","",IF($A1734="",1,IF(BG1735&lt;&gt;BG1734,1,0)))</f>
        <v>0</v>
      </c>
      <c r="BI1735">
        <f>IF($A1735="","",IF($A1736="",1,IF(BG1736&lt;&gt;BG1735,1,0)))</f>
        <v>0</v>
      </c>
      <c r="BJ1735">
        <f>IF($A1735="","",IF(BH1735=1,$B1735,BJ1734))</f>
        <v>0</v>
      </c>
      <c r="BK1735">
        <f>IF($A1735="","",IF(BH1735=1,$C1735,MAX($C1735,BK1734)))</f>
        <v>0</v>
      </c>
      <c r="BL1735">
        <f>IF($A1735="","",IF(BH1735=1,$D1735,MIN($D1735,BL1734)))</f>
        <v>0</v>
      </c>
      <c r="BM1735">
        <f>IF($A1735="","",IF(BI1735=1,F1735,""))</f>
        <v>0</v>
      </c>
      <c r="BN1735">
        <f>IF($A1735="","",DATE(YEAR($A1735),MONTH($A1735),1))</f>
        <v>0</v>
      </c>
      <c r="BO1735">
        <f>IF($A1735="","",IF($A1734="",1,IF(BN1735&lt;&gt;BN1734,1,0)))</f>
        <v>0</v>
      </c>
      <c r="BP1735">
        <f>IF($A1735="","",IF($A1736="",1,IF(BN1736&lt;&gt;BN1735,1,0)))</f>
        <v>0</v>
      </c>
      <c r="BQ1735">
        <f>IF($A1735="","",IF(BO1735=1,$B1735,BQ1734))</f>
        <v>0</v>
      </c>
      <c r="BR1735">
        <f>IF($A1735="","",IF(BO1735=1,$C1735,MAX($C1735,BR1734)))</f>
        <v>0</v>
      </c>
      <c r="BS1735">
        <f>IF($A1735="","",IF(BO1735=1,$D1735,MIN($D1735,BS1734)))</f>
        <v>0</v>
      </c>
      <c r="BT1735">
        <f>IF($A1735="","",IF(BP1735=1,F1735,""))</f>
        <v>0</v>
      </c>
    </row>
    <row r="1736" spans="1:72">
      <c r="A1736" s="27">
        <f>IF(Data!$A1736="","",Data!$A1736)</f>
        <v>0</v>
      </c>
      <c r="B1736">
        <f>IF(Data!$B1736="","",Data!$B1736)</f>
        <v>0</v>
      </c>
      <c r="C1736">
        <f>IF(Data!$C1736="","",Data!$C1736)</f>
        <v>0</v>
      </c>
      <c r="D1736">
        <f>IF(Data!$D1736="","",Data!$D1736)</f>
        <v>0</v>
      </c>
      <c r="E1736">
        <f>IF(Data!$E1736="","",Data!$E1736)</f>
        <v>0</v>
      </c>
      <c r="F1736">
        <f>IF($E1736="","",N(F1735)+1)</f>
        <v>0</v>
      </c>
      <c r="G1736">
        <f>IF(OR($E1736="",$E1735=""),"",LN($E1736/$E1735))</f>
        <v>0</v>
      </c>
      <c r="H1736">
        <f>IF($E1736="","",IF($E1735="",$E1736,$E1736*0.0952380952+H1735*0.9047619048))</f>
        <v>0</v>
      </c>
      <c r="I1736">
        <f>IF($E1736="","",IF($E1735="",$E1736,$E1736*0.0392156863+I1735*0.9607843137))</f>
        <v>0</v>
      </c>
      <c r="J1736">
        <f>IF($E1736="","",IF($E1735="",$E1736,$E1736*0.0198019802+J1735*0.9801980198))</f>
        <v>0</v>
      </c>
      <c r="K1736">
        <f>IF($E1736="","",IF($E1735="",$E1736,$E1736*0.0099502488+K1735*0.9900497512))</f>
        <v>0</v>
      </c>
      <c r="L1736">
        <f>IF(OR($E1736="",$E1735=""),"",MAX($E1736-$E1735,0))</f>
        <v>0</v>
      </c>
      <c r="M1736">
        <f>IF(OR($E1736="",$E1735=""),"",MAX($E1735-$E1736,0))</f>
        <v>0</v>
      </c>
      <c r="N1736">
        <f>IF(COUNT($E$2:$E1736)&lt;15,"",IF(AVERAGE($M$1723:$M$1736)=0,100,100-100/(1+AVERAGE($L$1723:$L$1736)/AVERAGE($M$1723:$M$1736))))</f>
        <v>0</v>
      </c>
      <c r="O1736">
        <f>IF($E1736="","",IF($E1735="",$E1736,$E1736*0.1538461538+O1735*0.8461538462))</f>
        <v>0</v>
      </c>
      <c r="P1736">
        <f>IF($E1736="","",IF($E1735="",$E1736,$E1736*0.0740740741+P1735*0.9259259259))</f>
        <v>0</v>
      </c>
      <c r="Q1736">
        <f>IF(OR(O1736="",P1736=""),"",O1736-P1736)</f>
        <v>0</v>
      </c>
      <c r="R1736">
        <f>IF(Q1736="","",IF(R1735="",Q1736,Q1736*0.2000000000+R1735*0.8000000000))</f>
        <v>0</v>
      </c>
      <c r="S1736">
        <f>IF(OR(Q1736="",R1736=""),"",Q1736-R1736)</f>
        <v>0</v>
      </c>
      <c r="T1736">
        <f>IF(COUNT($E$2:$E1736)&lt;14,"",MAX($C$1723:$C$1736))</f>
        <v>0</v>
      </c>
      <c r="U1736">
        <f>IF(COUNT($E$2:$E1736)&lt;14,"",MIN($D$1723:$D$1736))</f>
        <v>0</v>
      </c>
      <c r="V1736">
        <f>IF(OR(T1736="",U1736="",T1736=U1736),"",100*($E1736-U1736)/(T1736-U1736))</f>
        <v>0</v>
      </c>
      <c r="W1736">
        <f>IF(COUNT($V$1734:$V$1736)&lt;3,"",AVERAGE($V$1734:$V$1736))</f>
        <v>0</v>
      </c>
      <c r="X1736">
        <f>IF(COUNT($N$1723:$N$1736)&lt;14,"",MIN($N$1723:$N$1736))</f>
        <v>0</v>
      </c>
      <c r="Y1736">
        <f>IF(COUNT($N$1723:$N$1736)&lt;14,"",MAX($N$1723:$N$1736))</f>
        <v>0</v>
      </c>
      <c r="Z1736">
        <f>IF(OR(N1736="",X1736="",Y1736="",Y1736=X1736),"",100*(N1736-X1736)/(Y1736-X1736))</f>
        <v>0</v>
      </c>
      <c r="AA1736">
        <f>IF(COUNT($Z$1734:$Z$1736)&lt;3,"",AVERAGE($Z$1734:$Z$1736))</f>
        <v>0</v>
      </c>
      <c r="AB1736">
        <f>IF(COUNT($AA$1734:$AA$1736)&lt;3,"",AVERAGE($AA$1734:$AA$1736))</f>
        <v>0</v>
      </c>
      <c r="AC1736">
        <f>IF($E1736="","",MAX($C1736-$D1736,ABS($C1736-$E1735),ABS($D1736-$E1735)))</f>
        <v>0</v>
      </c>
      <c r="AD1736">
        <f>IF(COUNT($E$2:$E1736)&lt;15,"",AVERAGE($AC$1723:$AC$1736))</f>
        <v>0</v>
      </c>
      <c r="AE1736">
        <f>IF(OR($E1736="",$E1735=""),"",IF(AND(($C1736-$C1735)&gt;($D1735-$D1736),($C1736-$C1735)&gt;0),$C1736-$C1735,0))</f>
        <v>0</v>
      </c>
      <c r="AF1736">
        <f>IF(OR($E1736="",$E1735=""),"",IF(AND(($D1735-$D1736)&gt;($C1736-$C1735),($D1735-$D1736)&gt;0),$D1735-$D1736,0))</f>
        <v>0</v>
      </c>
      <c r="AG1736">
        <f>IF(COUNT($E$2:$E1736)&lt;15,"",IF(SUM($AC$1723:$AC$1736)=0,0,100*SUM($AE$1723:$AE$1736)/SUM($AC$1723:$AC$1736)))</f>
        <v>0</v>
      </c>
      <c r="AH1736">
        <f>IF(COUNT($E$2:$E1736)&lt;15,"",IF(SUM($AC$1723:$AC$1736)=0,0,100*SUM($AF$1723:$AF$1736)/SUM($AC$1723:$AC$1736)))</f>
        <v>0</v>
      </c>
      <c r="AI1736">
        <f>IF(OR(AG1736="",AH1736=""),"",IF((AG1736+AH1736)=0,0,100*ABS(AG1736-AH1736)/(AG1736+AH1736)))</f>
        <v>0</v>
      </c>
      <c r="AJ1736">
        <f>IF(COUNT($AI$1723:$AI$1736)&lt;14,"",AVERAGE($AI$1723:$AI$1736))</f>
        <v>0</v>
      </c>
      <c r="AK1736">
        <f>IF(COUNT($E$2:$E1736)&lt;20,"",AVERAGE($E$1717:$E$1736))</f>
        <v>0</v>
      </c>
      <c r="AL1736">
        <f>IF(COUNT($E$2:$E1736)&lt;20,"",STDEVP($E$1717:$E$1736))</f>
        <v>0</v>
      </c>
      <c r="AM1736">
        <f>IF(AK1736="","",AK1736+2*AL1736)</f>
        <v>0</v>
      </c>
      <c r="AN1736">
        <f>IF(AK1736="","",AK1736-2*AL1736)</f>
        <v>0</v>
      </c>
      <c r="AO1736">
        <f>IF(OR(AM1736="",AN1736="",AM1736=AN1736),"",($E1736-AN1736)/(AM1736-AN1736))</f>
        <v>0</v>
      </c>
      <c r="AP1736">
        <f>IF(OR(AM1736="",AK1736="",AK1736=0),"",(AM1736-AN1736)/AK1736)</f>
        <v>0</v>
      </c>
      <c r="AQ1736">
        <f>IF(COUNT($E$2:$E1736)&lt;20,"",MAX($C$1717:$C$1736))</f>
        <v>0</v>
      </c>
      <c r="AR1736">
        <f>IF(COUNT($E$2:$E1736)&lt;20,"",MIN($D$1717:$D$1736))</f>
        <v>0</v>
      </c>
      <c r="AS1736">
        <f>IF(OR(AQ1736="",AR1736=""),"",(AQ1736+AR1736)/2)</f>
        <v>0</v>
      </c>
      <c r="AT1736">
        <f>IF(COUNT($G$1717:$G$1736)&lt;20,"",STDEV($G$1717:$G$1736)*SQRT(252))</f>
        <v>0</v>
      </c>
      <c r="AU1736">
        <f>IF(COUNT($E$2:$E1736)&lt;9,"",(MAX($C$1728:$C$1736)+MIN($D$1728:$D$1736))/2)</f>
        <v>0</v>
      </c>
      <c r="AV1736">
        <f>IF(COUNT($E$2:$E1736)&lt;26,"",(MAX($C$1711:$C$1736)+MIN($D$1711:$D$1736))/2)</f>
        <v>0</v>
      </c>
      <c r="AW1736">
        <f>IF(OR(AU1736="",AV1736=""),"",(AU1736+AV1736)/2)</f>
        <v>0</v>
      </c>
      <c r="AX1736">
        <f>IF(COUNT($E$2:$E1736)&lt;52,"",(MAX($C$1685:$C$1736)+MIN($D$1685:$D$1736))/2)</f>
        <v>0</v>
      </c>
      <c r="AY1736">
        <f>IF(COUNT($E$2:$E1736)&lt;20,"",MAX($C$1637:$C$1736))</f>
        <v>0</v>
      </c>
      <c r="AZ1736">
        <f>IF(COUNT($E$2:$E1736)&lt;20,"",MIN($D$1637:$D$1736))</f>
        <v>0</v>
      </c>
      <c r="BA1736">
        <f>IF(COUNT($E$2:$E1736)&lt;20,"",SLOPE($E$1637:$E$1736,$F$1637:$F$1736))</f>
        <v>0</v>
      </c>
      <c r="BB1736">
        <f>IF(COUNT($E$2:$E1736)&lt;20,"",INTERCEPT($E$1637:$E$1736,$F$1637:$F$1736))</f>
        <v>0</v>
      </c>
      <c r="BC1736">
        <f>IF(OR(BA1736="",BB1736=""),"",BB1736+BA1736*F1736)</f>
        <v>0</v>
      </c>
      <c r="BD1736">
        <f>IF(COUNT($E$2:$E1736)&lt;20,"",STEYX($E$1637:$E$1736,$F$1637:$F$1736))</f>
        <v>0</v>
      </c>
      <c r="BE1736">
        <f>IF($E1736="","",IF(AND(COUNT($E$1737:$E$1740)&gt;=4,$C1736=MAX($C$1732:$C$1740)),$C1736,""))</f>
        <v>0</v>
      </c>
      <c r="BF1736">
        <f>IF($E1736="","",IF(AND(COUNT($E$1737:$E$1740)&gt;=4,$D1736=MIN($D$1732:$D$1740)),$D1736,""))</f>
        <v>0</v>
      </c>
      <c r="BG1736">
        <f>IF($A1736="","",$A1736-WEEKDAY($A1736,2)+1)</f>
        <v>0</v>
      </c>
      <c r="BH1736">
        <f>IF($A1736="","",IF($A1735="",1,IF(BG1736&lt;&gt;BG1735,1,0)))</f>
        <v>0</v>
      </c>
      <c r="BI1736">
        <f>IF($A1736="","",IF($A1737="",1,IF(BG1737&lt;&gt;BG1736,1,0)))</f>
        <v>0</v>
      </c>
      <c r="BJ1736">
        <f>IF($A1736="","",IF(BH1736=1,$B1736,BJ1735))</f>
        <v>0</v>
      </c>
      <c r="BK1736">
        <f>IF($A1736="","",IF(BH1736=1,$C1736,MAX($C1736,BK1735)))</f>
        <v>0</v>
      </c>
      <c r="BL1736">
        <f>IF($A1736="","",IF(BH1736=1,$D1736,MIN($D1736,BL1735)))</f>
        <v>0</v>
      </c>
      <c r="BM1736">
        <f>IF($A1736="","",IF(BI1736=1,F1736,""))</f>
        <v>0</v>
      </c>
      <c r="BN1736">
        <f>IF($A1736="","",DATE(YEAR($A1736),MONTH($A1736),1))</f>
        <v>0</v>
      </c>
      <c r="BO1736">
        <f>IF($A1736="","",IF($A1735="",1,IF(BN1736&lt;&gt;BN1735,1,0)))</f>
        <v>0</v>
      </c>
      <c r="BP1736">
        <f>IF($A1736="","",IF($A1737="",1,IF(BN1737&lt;&gt;BN1736,1,0)))</f>
        <v>0</v>
      </c>
      <c r="BQ1736">
        <f>IF($A1736="","",IF(BO1736=1,$B1736,BQ1735))</f>
        <v>0</v>
      </c>
      <c r="BR1736">
        <f>IF($A1736="","",IF(BO1736=1,$C1736,MAX($C1736,BR1735)))</f>
        <v>0</v>
      </c>
      <c r="BS1736">
        <f>IF($A1736="","",IF(BO1736=1,$D1736,MIN($D1736,BS1735)))</f>
        <v>0</v>
      </c>
      <c r="BT1736">
        <f>IF($A1736="","",IF(BP1736=1,F1736,""))</f>
        <v>0</v>
      </c>
    </row>
    <row r="1737" spans="1:72">
      <c r="A1737" s="27">
        <f>IF(Data!$A1737="","",Data!$A1737)</f>
        <v>0</v>
      </c>
      <c r="B1737">
        <f>IF(Data!$B1737="","",Data!$B1737)</f>
        <v>0</v>
      </c>
      <c r="C1737">
        <f>IF(Data!$C1737="","",Data!$C1737)</f>
        <v>0</v>
      </c>
      <c r="D1737">
        <f>IF(Data!$D1737="","",Data!$D1737)</f>
        <v>0</v>
      </c>
      <c r="E1737">
        <f>IF(Data!$E1737="","",Data!$E1737)</f>
        <v>0</v>
      </c>
      <c r="F1737">
        <f>IF($E1737="","",N(F1736)+1)</f>
        <v>0</v>
      </c>
      <c r="G1737">
        <f>IF(OR($E1737="",$E1736=""),"",LN($E1737/$E1736))</f>
        <v>0</v>
      </c>
      <c r="H1737">
        <f>IF($E1737="","",IF($E1736="",$E1737,$E1737*0.0952380952+H1736*0.9047619048))</f>
        <v>0</v>
      </c>
      <c r="I1737">
        <f>IF($E1737="","",IF($E1736="",$E1737,$E1737*0.0392156863+I1736*0.9607843137))</f>
        <v>0</v>
      </c>
      <c r="J1737">
        <f>IF($E1737="","",IF($E1736="",$E1737,$E1737*0.0198019802+J1736*0.9801980198))</f>
        <v>0</v>
      </c>
      <c r="K1737">
        <f>IF($E1737="","",IF($E1736="",$E1737,$E1737*0.0099502488+K1736*0.9900497512))</f>
        <v>0</v>
      </c>
      <c r="L1737">
        <f>IF(OR($E1737="",$E1736=""),"",MAX($E1737-$E1736,0))</f>
        <v>0</v>
      </c>
      <c r="M1737">
        <f>IF(OR($E1737="",$E1736=""),"",MAX($E1736-$E1737,0))</f>
        <v>0</v>
      </c>
      <c r="N1737">
        <f>IF(COUNT($E$2:$E1737)&lt;15,"",IF(AVERAGE($M$1724:$M$1737)=0,100,100-100/(1+AVERAGE($L$1724:$L$1737)/AVERAGE($M$1724:$M$1737))))</f>
        <v>0</v>
      </c>
      <c r="O1737">
        <f>IF($E1737="","",IF($E1736="",$E1737,$E1737*0.1538461538+O1736*0.8461538462))</f>
        <v>0</v>
      </c>
      <c r="P1737">
        <f>IF($E1737="","",IF($E1736="",$E1737,$E1737*0.0740740741+P1736*0.9259259259))</f>
        <v>0</v>
      </c>
      <c r="Q1737">
        <f>IF(OR(O1737="",P1737=""),"",O1737-P1737)</f>
        <v>0</v>
      </c>
      <c r="R1737">
        <f>IF(Q1737="","",IF(R1736="",Q1737,Q1737*0.2000000000+R1736*0.8000000000))</f>
        <v>0</v>
      </c>
      <c r="S1737">
        <f>IF(OR(Q1737="",R1737=""),"",Q1737-R1737)</f>
        <v>0</v>
      </c>
      <c r="T1737">
        <f>IF(COUNT($E$2:$E1737)&lt;14,"",MAX($C$1724:$C$1737))</f>
        <v>0</v>
      </c>
      <c r="U1737">
        <f>IF(COUNT($E$2:$E1737)&lt;14,"",MIN($D$1724:$D$1737))</f>
        <v>0</v>
      </c>
      <c r="V1737">
        <f>IF(OR(T1737="",U1737="",T1737=U1737),"",100*($E1737-U1737)/(T1737-U1737))</f>
        <v>0</v>
      </c>
      <c r="W1737">
        <f>IF(COUNT($V$1735:$V$1737)&lt;3,"",AVERAGE($V$1735:$V$1737))</f>
        <v>0</v>
      </c>
      <c r="X1737">
        <f>IF(COUNT($N$1724:$N$1737)&lt;14,"",MIN($N$1724:$N$1737))</f>
        <v>0</v>
      </c>
      <c r="Y1737">
        <f>IF(COUNT($N$1724:$N$1737)&lt;14,"",MAX($N$1724:$N$1737))</f>
        <v>0</v>
      </c>
      <c r="Z1737">
        <f>IF(OR(N1737="",X1737="",Y1737="",Y1737=X1737),"",100*(N1737-X1737)/(Y1737-X1737))</f>
        <v>0</v>
      </c>
      <c r="AA1737">
        <f>IF(COUNT($Z$1735:$Z$1737)&lt;3,"",AVERAGE($Z$1735:$Z$1737))</f>
        <v>0</v>
      </c>
      <c r="AB1737">
        <f>IF(COUNT($AA$1735:$AA$1737)&lt;3,"",AVERAGE($AA$1735:$AA$1737))</f>
        <v>0</v>
      </c>
      <c r="AC1737">
        <f>IF($E1737="","",MAX($C1737-$D1737,ABS($C1737-$E1736),ABS($D1737-$E1736)))</f>
        <v>0</v>
      </c>
      <c r="AD1737">
        <f>IF(COUNT($E$2:$E1737)&lt;15,"",AVERAGE($AC$1724:$AC$1737))</f>
        <v>0</v>
      </c>
      <c r="AE1737">
        <f>IF(OR($E1737="",$E1736=""),"",IF(AND(($C1737-$C1736)&gt;($D1736-$D1737),($C1737-$C1736)&gt;0),$C1737-$C1736,0))</f>
        <v>0</v>
      </c>
      <c r="AF1737">
        <f>IF(OR($E1737="",$E1736=""),"",IF(AND(($D1736-$D1737)&gt;($C1737-$C1736),($D1736-$D1737)&gt;0),$D1736-$D1737,0))</f>
        <v>0</v>
      </c>
      <c r="AG1737">
        <f>IF(COUNT($E$2:$E1737)&lt;15,"",IF(SUM($AC$1724:$AC$1737)=0,0,100*SUM($AE$1724:$AE$1737)/SUM($AC$1724:$AC$1737)))</f>
        <v>0</v>
      </c>
      <c r="AH1737">
        <f>IF(COUNT($E$2:$E1737)&lt;15,"",IF(SUM($AC$1724:$AC$1737)=0,0,100*SUM($AF$1724:$AF$1737)/SUM($AC$1724:$AC$1737)))</f>
        <v>0</v>
      </c>
      <c r="AI1737">
        <f>IF(OR(AG1737="",AH1737=""),"",IF((AG1737+AH1737)=0,0,100*ABS(AG1737-AH1737)/(AG1737+AH1737)))</f>
        <v>0</v>
      </c>
      <c r="AJ1737">
        <f>IF(COUNT($AI$1724:$AI$1737)&lt;14,"",AVERAGE($AI$1724:$AI$1737))</f>
        <v>0</v>
      </c>
      <c r="AK1737">
        <f>IF(COUNT($E$2:$E1737)&lt;20,"",AVERAGE($E$1718:$E$1737))</f>
        <v>0</v>
      </c>
      <c r="AL1737">
        <f>IF(COUNT($E$2:$E1737)&lt;20,"",STDEVP($E$1718:$E$1737))</f>
        <v>0</v>
      </c>
      <c r="AM1737">
        <f>IF(AK1737="","",AK1737+2*AL1737)</f>
        <v>0</v>
      </c>
      <c r="AN1737">
        <f>IF(AK1737="","",AK1737-2*AL1737)</f>
        <v>0</v>
      </c>
      <c r="AO1737">
        <f>IF(OR(AM1737="",AN1737="",AM1737=AN1737),"",($E1737-AN1737)/(AM1737-AN1737))</f>
        <v>0</v>
      </c>
      <c r="AP1737">
        <f>IF(OR(AM1737="",AK1737="",AK1737=0),"",(AM1737-AN1737)/AK1737)</f>
        <v>0</v>
      </c>
      <c r="AQ1737">
        <f>IF(COUNT($E$2:$E1737)&lt;20,"",MAX($C$1718:$C$1737))</f>
        <v>0</v>
      </c>
      <c r="AR1737">
        <f>IF(COUNT($E$2:$E1737)&lt;20,"",MIN($D$1718:$D$1737))</f>
        <v>0</v>
      </c>
      <c r="AS1737">
        <f>IF(OR(AQ1737="",AR1737=""),"",(AQ1737+AR1737)/2)</f>
        <v>0</v>
      </c>
      <c r="AT1737">
        <f>IF(COUNT($G$1718:$G$1737)&lt;20,"",STDEV($G$1718:$G$1737)*SQRT(252))</f>
        <v>0</v>
      </c>
      <c r="AU1737">
        <f>IF(COUNT($E$2:$E1737)&lt;9,"",(MAX($C$1729:$C$1737)+MIN($D$1729:$D$1737))/2)</f>
        <v>0</v>
      </c>
      <c r="AV1737">
        <f>IF(COUNT($E$2:$E1737)&lt;26,"",(MAX($C$1712:$C$1737)+MIN($D$1712:$D$1737))/2)</f>
        <v>0</v>
      </c>
      <c r="AW1737">
        <f>IF(OR(AU1737="",AV1737=""),"",(AU1737+AV1737)/2)</f>
        <v>0</v>
      </c>
      <c r="AX1737">
        <f>IF(COUNT($E$2:$E1737)&lt;52,"",(MAX($C$1686:$C$1737)+MIN($D$1686:$D$1737))/2)</f>
        <v>0</v>
      </c>
      <c r="AY1737">
        <f>IF(COUNT($E$2:$E1737)&lt;20,"",MAX($C$1638:$C$1737))</f>
        <v>0</v>
      </c>
      <c r="AZ1737">
        <f>IF(COUNT($E$2:$E1737)&lt;20,"",MIN($D$1638:$D$1737))</f>
        <v>0</v>
      </c>
      <c r="BA1737">
        <f>IF(COUNT($E$2:$E1737)&lt;20,"",SLOPE($E$1638:$E$1737,$F$1638:$F$1737))</f>
        <v>0</v>
      </c>
      <c r="BB1737">
        <f>IF(COUNT($E$2:$E1737)&lt;20,"",INTERCEPT($E$1638:$E$1737,$F$1638:$F$1737))</f>
        <v>0</v>
      </c>
      <c r="BC1737">
        <f>IF(OR(BA1737="",BB1737=""),"",BB1737+BA1737*F1737)</f>
        <v>0</v>
      </c>
      <c r="BD1737">
        <f>IF(COUNT($E$2:$E1737)&lt;20,"",STEYX($E$1638:$E$1737,$F$1638:$F$1737))</f>
        <v>0</v>
      </c>
      <c r="BE1737">
        <f>IF($E1737="","",IF(AND(COUNT($E$1738:$E$1741)&gt;=4,$C1737=MAX($C$1733:$C$1741)),$C1737,""))</f>
        <v>0</v>
      </c>
      <c r="BF1737">
        <f>IF($E1737="","",IF(AND(COUNT($E$1738:$E$1741)&gt;=4,$D1737=MIN($D$1733:$D$1741)),$D1737,""))</f>
        <v>0</v>
      </c>
      <c r="BG1737">
        <f>IF($A1737="","",$A1737-WEEKDAY($A1737,2)+1)</f>
        <v>0</v>
      </c>
      <c r="BH1737">
        <f>IF($A1737="","",IF($A1736="",1,IF(BG1737&lt;&gt;BG1736,1,0)))</f>
        <v>0</v>
      </c>
      <c r="BI1737">
        <f>IF($A1737="","",IF($A1738="",1,IF(BG1738&lt;&gt;BG1737,1,0)))</f>
        <v>0</v>
      </c>
      <c r="BJ1737">
        <f>IF($A1737="","",IF(BH1737=1,$B1737,BJ1736))</f>
        <v>0</v>
      </c>
      <c r="BK1737">
        <f>IF($A1737="","",IF(BH1737=1,$C1737,MAX($C1737,BK1736)))</f>
        <v>0</v>
      </c>
      <c r="BL1737">
        <f>IF($A1737="","",IF(BH1737=1,$D1737,MIN($D1737,BL1736)))</f>
        <v>0</v>
      </c>
      <c r="BM1737">
        <f>IF($A1737="","",IF(BI1737=1,F1737,""))</f>
        <v>0</v>
      </c>
      <c r="BN1737">
        <f>IF($A1737="","",DATE(YEAR($A1737),MONTH($A1737),1))</f>
        <v>0</v>
      </c>
      <c r="BO1737">
        <f>IF($A1737="","",IF($A1736="",1,IF(BN1737&lt;&gt;BN1736,1,0)))</f>
        <v>0</v>
      </c>
      <c r="BP1737">
        <f>IF($A1737="","",IF($A1738="",1,IF(BN1738&lt;&gt;BN1737,1,0)))</f>
        <v>0</v>
      </c>
      <c r="BQ1737">
        <f>IF($A1737="","",IF(BO1737=1,$B1737,BQ1736))</f>
        <v>0</v>
      </c>
      <c r="BR1737">
        <f>IF($A1737="","",IF(BO1737=1,$C1737,MAX($C1737,BR1736)))</f>
        <v>0</v>
      </c>
      <c r="BS1737">
        <f>IF($A1737="","",IF(BO1737=1,$D1737,MIN($D1737,BS1736)))</f>
        <v>0</v>
      </c>
      <c r="BT1737">
        <f>IF($A1737="","",IF(BP1737=1,F1737,""))</f>
        <v>0</v>
      </c>
    </row>
    <row r="1738" spans="1:72">
      <c r="A1738" s="27">
        <f>IF(Data!$A1738="","",Data!$A1738)</f>
        <v>0</v>
      </c>
      <c r="B1738">
        <f>IF(Data!$B1738="","",Data!$B1738)</f>
        <v>0</v>
      </c>
      <c r="C1738">
        <f>IF(Data!$C1738="","",Data!$C1738)</f>
        <v>0</v>
      </c>
      <c r="D1738">
        <f>IF(Data!$D1738="","",Data!$D1738)</f>
        <v>0</v>
      </c>
      <c r="E1738">
        <f>IF(Data!$E1738="","",Data!$E1738)</f>
        <v>0</v>
      </c>
      <c r="F1738">
        <f>IF($E1738="","",N(F1737)+1)</f>
        <v>0</v>
      </c>
      <c r="G1738">
        <f>IF(OR($E1738="",$E1737=""),"",LN($E1738/$E1737))</f>
        <v>0</v>
      </c>
      <c r="H1738">
        <f>IF($E1738="","",IF($E1737="",$E1738,$E1738*0.0952380952+H1737*0.9047619048))</f>
        <v>0</v>
      </c>
      <c r="I1738">
        <f>IF($E1738="","",IF($E1737="",$E1738,$E1738*0.0392156863+I1737*0.9607843137))</f>
        <v>0</v>
      </c>
      <c r="J1738">
        <f>IF($E1738="","",IF($E1737="",$E1738,$E1738*0.0198019802+J1737*0.9801980198))</f>
        <v>0</v>
      </c>
      <c r="K1738">
        <f>IF($E1738="","",IF($E1737="",$E1738,$E1738*0.0099502488+K1737*0.9900497512))</f>
        <v>0</v>
      </c>
      <c r="L1738">
        <f>IF(OR($E1738="",$E1737=""),"",MAX($E1738-$E1737,0))</f>
        <v>0</v>
      </c>
      <c r="M1738">
        <f>IF(OR($E1738="",$E1737=""),"",MAX($E1737-$E1738,0))</f>
        <v>0</v>
      </c>
      <c r="N1738">
        <f>IF(COUNT($E$2:$E1738)&lt;15,"",IF(AVERAGE($M$1725:$M$1738)=0,100,100-100/(1+AVERAGE($L$1725:$L$1738)/AVERAGE($M$1725:$M$1738))))</f>
        <v>0</v>
      </c>
      <c r="O1738">
        <f>IF($E1738="","",IF($E1737="",$E1738,$E1738*0.1538461538+O1737*0.8461538462))</f>
        <v>0</v>
      </c>
      <c r="P1738">
        <f>IF($E1738="","",IF($E1737="",$E1738,$E1738*0.0740740741+P1737*0.9259259259))</f>
        <v>0</v>
      </c>
      <c r="Q1738">
        <f>IF(OR(O1738="",P1738=""),"",O1738-P1738)</f>
        <v>0</v>
      </c>
      <c r="R1738">
        <f>IF(Q1738="","",IF(R1737="",Q1738,Q1738*0.2000000000+R1737*0.8000000000))</f>
        <v>0</v>
      </c>
      <c r="S1738">
        <f>IF(OR(Q1738="",R1738=""),"",Q1738-R1738)</f>
        <v>0</v>
      </c>
      <c r="T1738">
        <f>IF(COUNT($E$2:$E1738)&lt;14,"",MAX($C$1725:$C$1738))</f>
        <v>0</v>
      </c>
      <c r="U1738">
        <f>IF(COUNT($E$2:$E1738)&lt;14,"",MIN($D$1725:$D$1738))</f>
        <v>0</v>
      </c>
      <c r="V1738">
        <f>IF(OR(T1738="",U1738="",T1738=U1738),"",100*($E1738-U1738)/(T1738-U1738))</f>
        <v>0</v>
      </c>
      <c r="W1738">
        <f>IF(COUNT($V$1736:$V$1738)&lt;3,"",AVERAGE($V$1736:$V$1738))</f>
        <v>0</v>
      </c>
      <c r="X1738">
        <f>IF(COUNT($N$1725:$N$1738)&lt;14,"",MIN($N$1725:$N$1738))</f>
        <v>0</v>
      </c>
      <c r="Y1738">
        <f>IF(COUNT($N$1725:$N$1738)&lt;14,"",MAX($N$1725:$N$1738))</f>
        <v>0</v>
      </c>
      <c r="Z1738">
        <f>IF(OR(N1738="",X1738="",Y1738="",Y1738=X1738),"",100*(N1738-X1738)/(Y1738-X1738))</f>
        <v>0</v>
      </c>
      <c r="AA1738">
        <f>IF(COUNT($Z$1736:$Z$1738)&lt;3,"",AVERAGE($Z$1736:$Z$1738))</f>
        <v>0</v>
      </c>
      <c r="AB1738">
        <f>IF(COUNT($AA$1736:$AA$1738)&lt;3,"",AVERAGE($AA$1736:$AA$1738))</f>
        <v>0</v>
      </c>
      <c r="AC1738">
        <f>IF($E1738="","",MAX($C1738-$D1738,ABS($C1738-$E1737),ABS($D1738-$E1737)))</f>
        <v>0</v>
      </c>
      <c r="AD1738">
        <f>IF(COUNT($E$2:$E1738)&lt;15,"",AVERAGE($AC$1725:$AC$1738))</f>
        <v>0</v>
      </c>
      <c r="AE1738">
        <f>IF(OR($E1738="",$E1737=""),"",IF(AND(($C1738-$C1737)&gt;($D1737-$D1738),($C1738-$C1737)&gt;0),$C1738-$C1737,0))</f>
        <v>0</v>
      </c>
      <c r="AF1738">
        <f>IF(OR($E1738="",$E1737=""),"",IF(AND(($D1737-$D1738)&gt;($C1738-$C1737),($D1737-$D1738)&gt;0),$D1737-$D1738,0))</f>
        <v>0</v>
      </c>
      <c r="AG1738">
        <f>IF(COUNT($E$2:$E1738)&lt;15,"",IF(SUM($AC$1725:$AC$1738)=0,0,100*SUM($AE$1725:$AE$1738)/SUM($AC$1725:$AC$1738)))</f>
        <v>0</v>
      </c>
      <c r="AH1738">
        <f>IF(COUNT($E$2:$E1738)&lt;15,"",IF(SUM($AC$1725:$AC$1738)=0,0,100*SUM($AF$1725:$AF$1738)/SUM($AC$1725:$AC$1738)))</f>
        <v>0</v>
      </c>
      <c r="AI1738">
        <f>IF(OR(AG1738="",AH1738=""),"",IF((AG1738+AH1738)=0,0,100*ABS(AG1738-AH1738)/(AG1738+AH1738)))</f>
        <v>0</v>
      </c>
      <c r="AJ1738">
        <f>IF(COUNT($AI$1725:$AI$1738)&lt;14,"",AVERAGE($AI$1725:$AI$1738))</f>
        <v>0</v>
      </c>
      <c r="AK1738">
        <f>IF(COUNT($E$2:$E1738)&lt;20,"",AVERAGE($E$1719:$E$1738))</f>
        <v>0</v>
      </c>
      <c r="AL1738">
        <f>IF(COUNT($E$2:$E1738)&lt;20,"",STDEVP($E$1719:$E$1738))</f>
        <v>0</v>
      </c>
      <c r="AM1738">
        <f>IF(AK1738="","",AK1738+2*AL1738)</f>
        <v>0</v>
      </c>
      <c r="AN1738">
        <f>IF(AK1738="","",AK1738-2*AL1738)</f>
        <v>0</v>
      </c>
      <c r="AO1738">
        <f>IF(OR(AM1738="",AN1738="",AM1738=AN1738),"",($E1738-AN1738)/(AM1738-AN1738))</f>
        <v>0</v>
      </c>
      <c r="AP1738">
        <f>IF(OR(AM1738="",AK1738="",AK1738=0),"",(AM1738-AN1738)/AK1738)</f>
        <v>0</v>
      </c>
      <c r="AQ1738">
        <f>IF(COUNT($E$2:$E1738)&lt;20,"",MAX($C$1719:$C$1738))</f>
        <v>0</v>
      </c>
      <c r="AR1738">
        <f>IF(COUNT($E$2:$E1738)&lt;20,"",MIN($D$1719:$D$1738))</f>
        <v>0</v>
      </c>
      <c r="AS1738">
        <f>IF(OR(AQ1738="",AR1738=""),"",(AQ1738+AR1738)/2)</f>
        <v>0</v>
      </c>
      <c r="AT1738">
        <f>IF(COUNT($G$1719:$G$1738)&lt;20,"",STDEV($G$1719:$G$1738)*SQRT(252))</f>
        <v>0</v>
      </c>
      <c r="AU1738">
        <f>IF(COUNT($E$2:$E1738)&lt;9,"",(MAX($C$1730:$C$1738)+MIN($D$1730:$D$1738))/2)</f>
        <v>0</v>
      </c>
      <c r="AV1738">
        <f>IF(COUNT($E$2:$E1738)&lt;26,"",(MAX($C$1713:$C$1738)+MIN($D$1713:$D$1738))/2)</f>
        <v>0</v>
      </c>
      <c r="AW1738">
        <f>IF(OR(AU1738="",AV1738=""),"",(AU1738+AV1738)/2)</f>
        <v>0</v>
      </c>
      <c r="AX1738">
        <f>IF(COUNT($E$2:$E1738)&lt;52,"",(MAX($C$1687:$C$1738)+MIN($D$1687:$D$1738))/2)</f>
        <v>0</v>
      </c>
      <c r="AY1738">
        <f>IF(COUNT($E$2:$E1738)&lt;20,"",MAX($C$1639:$C$1738))</f>
        <v>0</v>
      </c>
      <c r="AZ1738">
        <f>IF(COUNT($E$2:$E1738)&lt;20,"",MIN($D$1639:$D$1738))</f>
        <v>0</v>
      </c>
      <c r="BA1738">
        <f>IF(COUNT($E$2:$E1738)&lt;20,"",SLOPE($E$1639:$E$1738,$F$1639:$F$1738))</f>
        <v>0</v>
      </c>
      <c r="BB1738">
        <f>IF(COUNT($E$2:$E1738)&lt;20,"",INTERCEPT($E$1639:$E$1738,$F$1639:$F$1738))</f>
        <v>0</v>
      </c>
      <c r="BC1738">
        <f>IF(OR(BA1738="",BB1738=""),"",BB1738+BA1738*F1738)</f>
        <v>0</v>
      </c>
      <c r="BD1738">
        <f>IF(COUNT($E$2:$E1738)&lt;20,"",STEYX($E$1639:$E$1738,$F$1639:$F$1738))</f>
        <v>0</v>
      </c>
      <c r="BE1738">
        <f>IF($E1738="","",IF(AND(COUNT($E$1739:$E$1742)&gt;=4,$C1738=MAX($C$1734:$C$1742)),$C1738,""))</f>
        <v>0</v>
      </c>
      <c r="BF1738">
        <f>IF($E1738="","",IF(AND(COUNT($E$1739:$E$1742)&gt;=4,$D1738=MIN($D$1734:$D$1742)),$D1738,""))</f>
        <v>0</v>
      </c>
      <c r="BG1738">
        <f>IF($A1738="","",$A1738-WEEKDAY($A1738,2)+1)</f>
        <v>0</v>
      </c>
      <c r="BH1738">
        <f>IF($A1738="","",IF($A1737="",1,IF(BG1738&lt;&gt;BG1737,1,0)))</f>
        <v>0</v>
      </c>
      <c r="BI1738">
        <f>IF($A1738="","",IF($A1739="",1,IF(BG1739&lt;&gt;BG1738,1,0)))</f>
        <v>0</v>
      </c>
      <c r="BJ1738">
        <f>IF($A1738="","",IF(BH1738=1,$B1738,BJ1737))</f>
        <v>0</v>
      </c>
      <c r="BK1738">
        <f>IF($A1738="","",IF(BH1738=1,$C1738,MAX($C1738,BK1737)))</f>
        <v>0</v>
      </c>
      <c r="BL1738">
        <f>IF($A1738="","",IF(BH1738=1,$D1738,MIN($D1738,BL1737)))</f>
        <v>0</v>
      </c>
      <c r="BM1738">
        <f>IF($A1738="","",IF(BI1738=1,F1738,""))</f>
        <v>0</v>
      </c>
      <c r="BN1738">
        <f>IF($A1738="","",DATE(YEAR($A1738),MONTH($A1738),1))</f>
        <v>0</v>
      </c>
      <c r="BO1738">
        <f>IF($A1738="","",IF($A1737="",1,IF(BN1738&lt;&gt;BN1737,1,0)))</f>
        <v>0</v>
      </c>
      <c r="BP1738">
        <f>IF($A1738="","",IF($A1739="",1,IF(BN1739&lt;&gt;BN1738,1,0)))</f>
        <v>0</v>
      </c>
      <c r="BQ1738">
        <f>IF($A1738="","",IF(BO1738=1,$B1738,BQ1737))</f>
        <v>0</v>
      </c>
      <c r="BR1738">
        <f>IF($A1738="","",IF(BO1738=1,$C1738,MAX($C1738,BR1737)))</f>
        <v>0</v>
      </c>
      <c r="BS1738">
        <f>IF($A1738="","",IF(BO1738=1,$D1738,MIN($D1738,BS1737)))</f>
        <v>0</v>
      </c>
      <c r="BT1738">
        <f>IF($A1738="","",IF(BP1738=1,F1738,""))</f>
        <v>0</v>
      </c>
    </row>
    <row r="1739" spans="1:72">
      <c r="A1739" s="27">
        <f>IF(Data!$A1739="","",Data!$A1739)</f>
        <v>0</v>
      </c>
      <c r="B1739">
        <f>IF(Data!$B1739="","",Data!$B1739)</f>
        <v>0</v>
      </c>
      <c r="C1739">
        <f>IF(Data!$C1739="","",Data!$C1739)</f>
        <v>0</v>
      </c>
      <c r="D1739">
        <f>IF(Data!$D1739="","",Data!$D1739)</f>
        <v>0</v>
      </c>
      <c r="E1739">
        <f>IF(Data!$E1739="","",Data!$E1739)</f>
        <v>0</v>
      </c>
      <c r="F1739">
        <f>IF($E1739="","",N(F1738)+1)</f>
        <v>0</v>
      </c>
      <c r="G1739">
        <f>IF(OR($E1739="",$E1738=""),"",LN($E1739/$E1738))</f>
        <v>0</v>
      </c>
      <c r="H1739">
        <f>IF($E1739="","",IF($E1738="",$E1739,$E1739*0.0952380952+H1738*0.9047619048))</f>
        <v>0</v>
      </c>
      <c r="I1739">
        <f>IF($E1739="","",IF($E1738="",$E1739,$E1739*0.0392156863+I1738*0.9607843137))</f>
        <v>0</v>
      </c>
      <c r="J1739">
        <f>IF($E1739="","",IF($E1738="",$E1739,$E1739*0.0198019802+J1738*0.9801980198))</f>
        <v>0</v>
      </c>
      <c r="K1739">
        <f>IF($E1739="","",IF($E1738="",$E1739,$E1739*0.0099502488+K1738*0.9900497512))</f>
        <v>0</v>
      </c>
      <c r="L1739">
        <f>IF(OR($E1739="",$E1738=""),"",MAX($E1739-$E1738,0))</f>
        <v>0</v>
      </c>
      <c r="M1739">
        <f>IF(OR($E1739="",$E1738=""),"",MAX($E1738-$E1739,0))</f>
        <v>0</v>
      </c>
      <c r="N1739">
        <f>IF(COUNT($E$2:$E1739)&lt;15,"",IF(AVERAGE($M$1726:$M$1739)=0,100,100-100/(1+AVERAGE($L$1726:$L$1739)/AVERAGE($M$1726:$M$1739))))</f>
        <v>0</v>
      </c>
      <c r="O1739">
        <f>IF($E1739="","",IF($E1738="",$E1739,$E1739*0.1538461538+O1738*0.8461538462))</f>
        <v>0</v>
      </c>
      <c r="P1739">
        <f>IF($E1739="","",IF($E1738="",$E1739,$E1739*0.0740740741+P1738*0.9259259259))</f>
        <v>0</v>
      </c>
      <c r="Q1739">
        <f>IF(OR(O1739="",P1739=""),"",O1739-P1739)</f>
        <v>0</v>
      </c>
      <c r="R1739">
        <f>IF(Q1739="","",IF(R1738="",Q1739,Q1739*0.2000000000+R1738*0.8000000000))</f>
        <v>0</v>
      </c>
      <c r="S1739">
        <f>IF(OR(Q1739="",R1739=""),"",Q1739-R1739)</f>
        <v>0</v>
      </c>
      <c r="T1739">
        <f>IF(COUNT($E$2:$E1739)&lt;14,"",MAX($C$1726:$C$1739))</f>
        <v>0</v>
      </c>
      <c r="U1739">
        <f>IF(COUNT($E$2:$E1739)&lt;14,"",MIN($D$1726:$D$1739))</f>
        <v>0</v>
      </c>
      <c r="V1739">
        <f>IF(OR(T1739="",U1739="",T1739=U1739),"",100*($E1739-U1739)/(T1739-U1739))</f>
        <v>0</v>
      </c>
      <c r="W1739">
        <f>IF(COUNT($V$1737:$V$1739)&lt;3,"",AVERAGE($V$1737:$V$1739))</f>
        <v>0</v>
      </c>
      <c r="X1739">
        <f>IF(COUNT($N$1726:$N$1739)&lt;14,"",MIN($N$1726:$N$1739))</f>
        <v>0</v>
      </c>
      <c r="Y1739">
        <f>IF(COUNT($N$1726:$N$1739)&lt;14,"",MAX($N$1726:$N$1739))</f>
        <v>0</v>
      </c>
      <c r="Z1739">
        <f>IF(OR(N1739="",X1739="",Y1739="",Y1739=X1739),"",100*(N1739-X1739)/(Y1739-X1739))</f>
        <v>0</v>
      </c>
      <c r="AA1739">
        <f>IF(COUNT($Z$1737:$Z$1739)&lt;3,"",AVERAGE($Z$1737:$Z$1739))</f>
        <v>0</v>
      </c>
      <c r="AB1739">
        <f>IF(COUNT($AA$1737:$AA$1739)&lt;3,"",AVERAGE($AA$1737:$AA$1739))</f>
        <v>0</v>
      </c>
      <c r="AC1739">
        <f>IF($E1739="","",MAX($C1739-$D1739,ABS($C1739-$E1738),ABS($D1739-$E1738)))</f>
        <v>0</v>
      </c>
      <c r="AD1739">
        <f>IF(COUNT($E$2:$E1739)&lt;15,"",AVERAGE($AC$1726:$AC$1739))</f>
        <v>0</v>
      </c>
      <c r="AE1739">
        <f>IF(OR($E1739="",$E1738=""),"",IF(AND(($C1739-$C1738)&gt;($D1738-$D1739),($C1739-$C1738)&gt;0),$C1739-$C1738,0))</f>
        <v>0</v>
      </c>
      <c r="AF1739">
        <f>IF(OR($E1739="",$E1738=""),"",IF(AND(($D1738-$D1739)&gt;($C1739-$C1738),($D1738-$D1739)&gt;0),$D1738-$D1739,0))</f>
        <v>0</v>
      </c>
      <c r="AG1739">
        <f>IF(COUNT($E$2:$E1739)&lt;15,"",IF(SUM($AC$1726:$AC$1739)=0,0,100*SUM($AE$1726:$AE$1739)/SUM($AC$1726:$AC$1739)))</f>
        <v>0</v>
      </c>
      <c r="AH1739">
        <f>IF(COUNT($E$2:$E1739)&lt;15,"",IF(SUM($AC$1726:$AC$1739)=0,0,100*SUM($AF$1726:$AF$1739)/SUM($AC$1726:$AC$1739)))</f>
        <v>0</v>
      </c>
      <c r="AI1739">
        <f>IF(OR(AG1739="",AH1739=""),"",IF((AG1739+AH1739)=0,0,100*ABS(AG1739-AH1739)/(AG1739+AH1739)))</f>
        <v>0</v>
      </c>
      <c r="AJ1739">
        <f>IF(COUNT($AI$1726:$AI$1739)&lt;14,"",AVERAGE($AI$1726:$AI$1739))</f>
        <v>0</v>
      </c>
      <c r="AK1739">
        <f>IF(COUNT($E$2:$E1739)&lt;20,"",AVERAGE($E$1720:$E$1739))</f>
        <v>0</v>
      </c>
      <c r="AL1739">
        <f>IF(COUNT($E$2:$E1739)&lt;20,"",STDEVP($E$1720:$E$1739))</f>
        <v>0</v>
      </c>
      <c r="AM1739">
        <f>IF(AK1739="","",AK1739+2*AL1739)</f>
        <v>0</v>
      </c>
      <c r="AN1739">
        <f>IF(AK1739="","",AK1739-2*AL1739)</f>
        <v>0</v>
      </c>
      <c r="AO1739">
        <f>IF(OR(AM1739="",AN1739="",AM1739=AN1739),"",($E1739-AN1739)/(AM1739-AN1739))</f>
        <v>0</v>
      </c>
      <c r="AP1739">
        <f>IF(OR(AM1739="",AK1739="",AK1739=0),"",(AM1739-AN1739)/AK1739)</f>
        <v>0</v>
      </c>
      <c r="AQ1739">
        <f>IF(COUNT($E$2:$E1739)&lt;20,"",MAX($C$1720:$C$1739))</f>
        <v>0</v>
      </c>
      <c r="AR1739">
        <f>IF(COUNT($E$2:$E1739)&lt;20,"",MIN($D$1720:$D$1739))</f>
        <v>0</v>
      </c>
      <c r="AS1739">
        <f>IF(OR(AQ1739="",AR1739=""),"",(AQ1739+AR1739)/2)</f>
        <v>0</v>
      </c>
      <c r="AT1739">
        <f>IF(COUNT($G$1720:$G$1739)&lt;20,"",STDEV($G$1720:$G$1739)*SQRT(252))</f>
        <v>0</v>
      </c>
      <c r="AU1739">
        <f>IF(COUNT($E$2:$E1739)&lt;9,"",(MAX($C$1731:$C$1739)+MIN($D$1731:$D$1739))/2)</f>
        <v>0</v>
      </c>
      <c r="AV1739">
        <f>IF(COUNT($E$2:$E1739)&lt;26,"",(MAX($C$1714:$C$1739)+MIN($D$1714:$D$1739))/2)</f>
        <v>0</v>
      </c>
      <c r="AW1739">
        <f>IF(OR(AU1739="",AV1739=""),"",(AU1739+AV1739)/2)</f>
        <v>0</v>
      </c>
      <c r="AX1739">
        <f>IF(COUNT($E$2:$E1739)&lt;52,"",(MAX($C$1688:$C$1739)+MIN($D$1688:$D$1739))/2)</f>
        <v>0</v>
      </c>
      <c r="AY1739">
        <f>IF(COUNT($E$2:$E1739)&lt;20,"",MAX($C$1640:$C$1739))</f>
        <v>0</v>
      </c>
      <c r="AZ1739">
        <f>IF(COUNT($E$2:$E1739)&lt;20,"",MIN($D$1640:$D$1739))</f>
        <v>0</v>
      </c>
      <c r="BA1739">
        <f>IF(COUNT($E$2:$E1739)&lt;20,"",SLOPE($E$1640:$E$1739,$F$1640:$F$1739))</f>
        <v>0</v>
      </c>
      <c r="BB1739">
        <f>IF(COUNT($E$2:$E1739)&lt;20,"",INTERCEPT($E$1640:$E$1739,$F$1640:$F$1739))</f>
        <v>0</v>
      </c>
      <c r="BC1739">
        <f>IF(OR(BA1739="",BB1739=""),"",BB1739+BA1739*F1739)</f>
        <v>0</v>
      </c>
      <c r="BD1739">
        <f>IF(COUNT($E$2:$E1739)&lt;20,"",STEYX($E$1640:$E$1739,$F$1640:$F$1739))</f>
        <v>0</v>
      </c>
      <c r="BE1739">
        <f>IF($E1739="","",IF(AND(COUNT($E$1740:$E$1743)&gt;=4,$C1739=MAX($C$1735:$C$1743)),$C1739,""))</f>
        <v>0</v>
      </c>
      <c r="BF1739">
        <f>IF($E1739="","",IF(AND(COUNT($E$1740:$E$1743)&gt;=4,$D1739=MIN($D$1735:$D$1743)),$D1739,""))</f>
        <v>0</v>
      </c>
      <c r="BG1739">
        <f>IF($A1739="","",$A1739-WEEKDAY($A1739,2)+1)</f>
        <v>0</v>
      </c>
      <c r="BH1739">
        <f>IF($A1739="","",IF($A1738="",1,IF(BG1739&lt;&gt;BG1738,1,0)))</f>
        <v>0</v>
      </c>
      <c r="BI1739">
        <f>IF($A1739="","",IF($A1740="",1,IF(BG1740&lt;&gt;BG1739,1,0)))</f>
        <v>0</v>
      </c>
      <c r="BJ1739">
        <f>IF($A1739="","",IF(BH1739=1,$B1739,BJ1738))</f>
        <v>0</v>
      </c>
      <c r="BK1739">
        <f>IF($A1739="","",IF(BH1739=1,$C1739,MAX($C1739,BK1738)))</f>
        <v>0</v>
      </c>
      <c r="BL1739">
        <f>IF($A1739="","",IF(BH1739=1,$D1739,MIN($D1739,BL1738)))</f>
        <v>0</v>
      </c>
      <c r="BM1739">
        <f>IF($A1739="","",IF(BI1739=1,F1739,""))</f>
        <v>0</v>
      </c>
      <c r="BN1739">
        <f>IF($A1739="","",DATE(YEAR($A1739),MONTH($A1739),1))</f>
        <v>0</v>
      </c>
      <c r="BO1739">
        <f>IF($A1739="","",IF($A1738="",1,IF(BN1739&lt;&gt;BN1738,1,0)))</f>
        <v>0</v>
      </c>
      <c r="BP1739">
        <f>IF($A1739="","",IF($A1740="",1,IF(BN1740&lt;&gt;BN1739,1,0)))</f>
        <v>0</v>
      </c>
      <c r="BQ1739">
        <f>IF($A1739="","",IF(BO1739=1,$B1739,BQ1738))</f>
        <v>0</v>
      </c>
      <c r="BR1739">
        <f>IF($A1739="","",IF(BO1739=1,$C1739,MAX($C1739,BR1738)))</f>
        <v>0</v>
      </c>
      <c r="BS1739">
        <f>IF($A1739="","",IF(BO1739=1,$D1739,MIN($D1739,BS1738)))</f>
        <v>0</v>
      </c>
      <c r="BT1739">
        <f>IF($A1739="","",IF(BP1739=1,F1739,""))</f>
        <v>0</v>
      </c>
    </row>
    <row r="1740" spans="1:72">
      <c r="A1740" s="27">
        <f>IF(Data!$A1740="","",Data!$A1740)</f>
        <v>0</v>
      </c>
      <c r="B1740">
        <f>IF(Data!$B1740="","",Data!$B1740)</f>
        <v>0</v>
      </c>
      <c r="C1740">
        <f>IF(Data!$C1740="","",Data!$C1740)</f>
        <v>0</v>
      </c>
      <c r="D1740">
        <f>IF(Data!$D1740="","",Data!$D1740)</f>
        <v>0</v>
      </c>
      <c r="E1740">
        <f>IF(Data!$E1740="","",Data!$E1740)</f>
        <v>0</v>
      </c>
      <c r="F1740">
        <f>IF($E1740="","",N(F1739)+1)</f>
        <v>0</v>
      </c>
      <c r="G1740">
        <f>IF(OR($E1740="",$E1739=""),"",LN($E1740/$E1739))</f>
        <v>0</v>
      </c>
      <c r="H1740">
        <f>IF($E1740="","",IF($E1739="",$E1740,$E1740*0.0952380952+H1739*0.9047619048))</f>
        <v>0</v>
      </c>
      <c r="I1740">
        <f>IF($E1740="","",IF($E1739="",$E1740,$E1740*0.0392156863+I1739*0.9607843137))</f>
        <v>0</v>
      </c>
      <c r="J1740">
        <f>IF($E1740="","",IF($E1739="",$E1740,$E1740*0.0198019802+J1739*0.9801980198))</f>
        <v>0</v>
      </c>
      <c r="K1740">
        <f>IF($E1740="","",IF($E1739="",$E1740,$E1740*0.0099502488+K1739*0.9900497512))</f>
        <v>0</v>
      </c>
      <c r="L1740">
        <f>IF(OR($E1740="",$E1739=""),"",MAX($E1740-$E1739,0))</f>
        <v>0</v>
      </c>
      <c r="M1740">
        <f>IF(OR($E1740="",$E1739=""),"",MAX($E1739-$E1740,0))</f>
        <v>0</v>
      </c>
      <c r="N1740">
        <f>IF(COUNT($E$2:$E1740)&lt;15,"",IF(AVERAGE($M$1727:$M$1740)=0,100,100-100/(1+AVERAGE($L$1727:$L$1740)/AVERAGE($M$1727:$M$1740))))</f>
        <v>0</v>
      </c>
      <c r="O1740">
        <f>IF($E1740="","",IF($E1739="",$E1740,$E1740*0.1538461538+O1739*0.8461538462))</f>
        <v>0</v>
      </c>
      <c r="P1740">
        <f>IF($E1740="","",IF($E1739="",$E1740,$E1740*0.0740740741+P1739*0.9259259259))</f>
        <v>0</v>
      </c>
      <c r="Q1740">
        <f>IF(OR(O1740="",P1740=""),"",O1740-P1740)</f>
        <v>0</v>
      </c>
      <c r="R1740">
        <f>IF(Q1740="","",IF(R1739="",Q1740,Q1740*0.2000000000+R1739*0.8000000000))</f>
        <v>0</v>
      </c>
      <c r="S1740">
        <f>IF(OR(Q1740="",R1740=""),"",Q1740-R1740)</f>
        <v>0</v>
      </c>
      <c r="T1740">
        <f>IF(COUNT($E$2:$E1740)&lt;14,"",MAX($C$1727:$C$1740))</f>
        <v>0</v>
      </c>
      <c r="U1740">
        <f>IF(COUNT($E$2:$E1740)&lt;14,"",MIN($D$1727:$D$1740))</f>
        <v>0</v>
      </c>
      <c r="V1740">
        <f>IF(OR(T1740="",U1740="",T1740=U1740),"",100*($E1740-U1740)/(T1740-U1740))</f>
        <v>0</v>
      </c>
      <c r="W1740">
        <f>IF(COUNT($V$1738:$V$1740)&lt;3,"",AVERAGE($V$1738:$V$1740))</f>
        <v>0</v>
      </c>
      <c r="X1740">
        <f>IF(COUNT($N$1727:$N$1740)&lt;14,"",MIN($N$1727:$N$1740))</f>
        <v>0</v>
      </c>
      <c r="Y1740">
        <f>IF(COUNT($N$1727:$N$1740)&lt;14,"",MAX($N$1727:$N$1740))</f>
        <v>0</v>
      </c>
      <c r="Z1740">
        <f>IF(OR(N1740="",X1740="",Y1740="",Y1740=X1740),"",100*(N1740-X1740)/(Y1740-X1740))</f>
        <v>0</v>
      </c>
      <c r="AA1740">
        <f>IF(COUNT($Z$1738:$Z$1740)&lt;3,"",AVERAGE($Z$1738:$Z$1740))</f>
        <v>0</v>
      </c>
      <c r="AB1740">
        <f>IF(COUNT($AA$1738:$AA$1740)&lt;3,"",AVERAGE($AA$1738:$AA$1740))</f>
        <v>0</v>
      </c>
      <c r="AC1740">
        <f>IF($E1740="","",MAX($C1740-$D1740,ABS($C1740-$E1739),ABS($D1740-$E1739)))</f>
        <v>0</v>
      </c>
      <c r="AD1740">
        <f>IF(COUNT($E$2:$E1740)&lt;15,"",AVERAGE($AC$1727:$AC$1740))</f>
        <v>0</v>
      </c>
      <c r="AE1740">
        <f>IF(OR($E1740="",$E1739=""),"",IF(AND(($C1740-$C1739)&gt;($D1739-$D1740),($C1740-$C1739)&gt;0),$C1740-$C1739,0))</f>
        <v>0</v>
      </c>
      <c r="AF1740">
        <f>IF(OR($E1740="",$E1739=""),"",IF(AND(($D1739-$D1740)&gt;($C1740-$C1739),($D1739-$D1740)&gt;0),$D1739-$D1740,0))</f>
        <v>0</v>
      </c>
      <c r="AG1740">
        <f>IF(COUNT($E$2:$E1740)&lt;15,"",IF(SUM($AC$1727:$AC$1740)=0,0,100*SUM($AE$1727:$AE$1740)/SUM($AC$1727:$AC$1740)))</f>
        <v>0</v>
      </c>
      <c r="AH1740">
        <f>IF(COUNT($E$2:$E1740)&lt;15,"",IF(SUM($AC$1727:$AC$1740)=0,0,100*SUM($AF$1727:$AF$1740)/SUM($AC$1727:$AC$1740)))</f>
        <v>0</v>
      </c>
      <c r="AI1740">
        <f>IF(OR(AG1740="",AH1740=""),"",IF((AG1740+AH1740)=0,0,100*ABS(AG1740-AH1740)/(AG1740+AH1740)))</f>
        <v>0</v>
      </c>
      <c r="AJ1740">
        <f>IF(COUNT($AI$1727:$AI$1740)&lt;14,"",AVERAGE($AI$1727:$AI$1740))</f>
        <v>0</v>
      </c>
      <c r="AK1740">
        <f>IF(COUNT($E$2:$E1740)&lt;20,"",AVERAGE($E$1721:$E$1740))</f>
        <v>0</v>
      </c>
      <c r="AL1740">
        <f>IF(COUNT($E$2:$E1740)&lt;20,"",STDEVP($E$1721:$E$1740))</f>
        <v>0</v>
      </c>
      <c r="AM1740">
        <f>IF(AK1740="","",AK1740+2*AL1740)</f>
        <v>0</v>
      </c>
      <c r="AN1740">
        <f>IF(AK1740="","",AK1740-2*AL1740)</f>
        <v>0</v>
      </c>
      <c r="AO1740">
        <f>IF(OR(AM1740="",AN1740="",AM1740=AN1740),"",($E1740-AN1740)/(AM1740-AN1740))</f>
        <v>0</v>
      </c>
      <c r="AP1740">
        <f>IF(OR(AM1740="",AK1740="",AK1740=0),"",(AM1740-AN1740)/AK1740)</f>
        <v>0</v>
      </c>
      <c r="AQ1740">
        <f>IF(COUNT($E$2:$E1740)&lt;20,"",MAX($C$1721:$C$1740))</f>
        <v>0</v>
      </c>
      <c r="AR1740">
        <f>IF(COUNT($E$2:$E1740)&lt;20,"",MIN($D$1721:$D$1740))</f>
        <v>0</v>
      </c>
      <c r="AS1740">
        <f>IF(OR(AQ1740="",AR1740=""),"",(AQ1740+AR1740)/2)</f>
        <v>0</v>
      </c>
      <c r="AT1740">
        <f>IF(COUNT($G$1721:$G$1740)&lt;20,"",STDEV($G$1721:$G$1740)*SQRT(252))</f>
        <v>0</v>
      </c>
      <c r="AU1740">
        <f>IF(COUNT($E$2:$E1740)&lt;9,"",(MAX($C$1732:$C$1740)+MIN($D$1732:$D$1740))/2)</f>
        <v>0</v>
      </c>
      <c r="AV1740">
        <f>IF(COUNT($E$2:$E1740)&lt;26,"",(MAX($C$1715:$C$1740)+MIN($D$1715:$D$1740))/2)</f>
        <v>0</v>
      </c>
      <c r="AW1740">
        <f>IF(OR(AU1740="",AV1740=""),"",(AU1740+AV1740)/2)</f>
        <v>0</v>
      </c>
      <c r="AX1740">
        <f>IF(COUNT($E$2:$E1740)&lt;52,"",(MAX($C$1689:$C$1740)+MIN($D$1689:$D$1740))/2)</f>
        <v>0</v>
      </c>
      <c r="AY1740">
        <f>IF(COUNT($E$2:$E1740)&lt;20,"",MAX($C$1641:$C$1740))</f>
        <v>0</v>
      </c>
      <c r="AZ1740">
        <f>IF(COUNT($E$2:$E1740)&lt;20,"",MIN($D$1641:$D$1740))</f>
        <v>0</v>
      </c>
      <c r="BA1740">
        <f>IF(COUNT($E$2:$E1740)&lt;20,"",SLOPE($E$1641:$E$1740,$F$1641:$F$1740))</f>
        <v>0</v>
      </c>
      <c r="BB1740">
        <f>IF(COUNT($E$2:$E1740)&lt;20,"",INTERCEPT($E$1641:$E$1740,$F$1641:$F$1740))</f>
        <v>0</v>
      </c>
      <c r="BC1740">
        <f>IF(OR(BA1740="",BB1740=""),"",BB1740+BA1740*F1740)</f>
        <v>0</v>
      </c>
      <c r="BD1740">
        <f>IF(COUNT($E$2:$E1740)&lt;20,"",STEYX($E$1641:$E$1740,$F$1641:$F$1740))</f>
        <v>0</v>
      </c>
      <c r="BE1740">
        <f>IF($E1740="","",IF(AND(COUNT($E$1741:$E$1744)&gt;=4,$C1740=MAX($C$1736:$C$1744)),$C1740,""))</f>
        <v>0</v>
      </c>
      <c r="BF1740">
        <f>IF($E1740="","",IF(AND(COUNT($E$1741:$E$1744)&gt;=4,$D1740=MIN($D$1736:$D$1744)),$D1740,""))</f>
        <v>0</v>
      </c>
      <c r="BG1740">
        <f>IF($A1740="","",$A1740-WEEKDAY($A1740,2)+1)</f>
        <v>0</v>
      </c>
      <c r="BH1740">
        <f>IF($A1740="","",IF($A1739="",1,IF(BG1740&lt;&gt;BG1739,1,0)))</f>
        <v>0</v>
      </c>
      <c r="BI1740">
        <f>IF($A1740="","",IF($A1741="",1,IF(BG1741&lt;&gt;BG1740,1,0)))</f>
        <v>0</v>
      </c>
      <c r="BJ1740">
        <f>IF($A1740="","",IF(BH1740=1,$B1740,BJ1739))</f>
        <v>0</v>
      </c>
      <c r="BK1740">
        <f>IF($A1740="","",IF(BH1740=1,$C1740,MAX($C1740,BK1739)))</f>
        <v>0</v>
      </c>
      <c r="BL1740">
        <f>IF($A1740="","",IF(BH1740=1,$D1740,MIN($D1740,BL1739)))</f>
        <v>0</v>
      </c>
      <c r="BM1740">
        <f>IF($A1740="","",IF(BI1740=1,F1740,""))</f>
        <v>0</v>
      </c>
      <c r="BN1740">
        <f>IF($A1740="","",DATE(YEAR($A1740),MONTH($A1740),1))</f>
        <v>0</v>
      </c>
      <c r="BO1740">
        <f>IF($A1740="","",IF($A1739="",1,IF(BN1740&lt;&gt;BN1739,1,0)))</f>
        <v>0</v>
      </c>
      <c r="BP1740">
        <f>IF($A1740="","",IF($A1741="",1,IF(BN1741&lt;&gt;BN1740,1,0)))</f>
        <v>0</v>
      </c>
      <c r="BQ1740">
        <f>IF($A1740="","",IF(BO1740=1,$B1740,BQ1739))</f>
        <v>0</v>
      </c>
      <c r="BR1740">
        <f>IF($A1740="","",IF(BO1740=1,$C1740,MAX($C1740,BR1739)))</f>
        <v>0</v>
      </c>
      <c r="BS1740">
        <f>IF($A1740="","",IF(BO1740=1,$D1740,MIN($D1740,BS1739)))</f>
        <v>0</v>
      </c>
      <c r="BT1740">
        <f>IF($A1740="","",IF(BP1740=1,F1740,""))</f>
        <v>0</v>
      </c>
    </row>
    <row r="1741" spans="1:72">
      <c r="A1741" s="27">
        <f>IF(Data!$A1741="","",Data!$A1741)</f>
        <v>0</v>
      </c>
      <c r="B1741">
        <f>IF(Data!$B1741="","",Data!$B1741)</f>
        <v>0</v>
      </c>
      <c r="C1741">
        <f>IF(Data!$C1741="","",Data!$C1741)</f>
        <v>0</v>
      </c>
      <c r="D1741">
        <f>IF(Data!$D1741="","",Data!$D1741)</f>
        <v>0</v>
      </c>
      <c r="E1741">
        <f>IF(Data!$E1741="","",Data!$E1741)</f>
        <v>0</v>
      </c>
      <c r="F1741">
        <f>IF($E1741="","",N(F1740)+1)</f>
        <v>0</v>
      </c>
      <c r="G1741">
        <f>IF(OR($E1741="",$E1740=""),"",LN($E1741/$E1740))</f>
        <v>0</v>
      </c>
      <c r="H1741">
        <f>IF($E1741="","",IF($E1740="",$E1741,$E1741*0.0952380952+H1740*0.9047619048))</f>
        <v>0</v>
      </c>
      <c r="I1741">
        <f>IF($E1741="","",IF($E1740="",$E1741,$E1741*0.0392156863+I1740*0.9607843137))</f>
        <v>0</v>
      </c>
      <c r="J1741">
        <f>IF($E1741="","",IF($E1740="",$E1741,$E1741*0.0198019802+J1740*0.9801980198))</f>
        <v>0</v>
      </c>
      <c r="K1741">
        <f>IF($E1741="","",IF($E1740="",$E1741,$E1741*0.0099502488+K1740*0.9900497512))</f>
        <v>0</v>
      </c>
      <c r="L1741">
        <f>IF(OR($E1741="",$E1740=""),"",MAX($E1741-$E1740,0))</f>
        <v>0</v>
      </c>
      <c r="M1741">
        <f>IF(OR($E1741="",$E1740=""),"",MAX($E1740-$E1741,0))</f>
        <v>0</v>
      </c>
      <c r="N1741">
        <f>IF(COUNT($E$2:$E1741)&lt;15,"",IF(AVERAGE($M$1728:$M$1741)=0,100,100-100/(1+AVERAGE($L$1728:$L$1741)/AVERAGE($M$1728:$M$1741))))</f>
        <v>0</v>
      </c>
      <c r="O1741">
        <f>IF($E1741="","",IF($E1740="",$E1741,$E1741*0.1538461538+O1740*0.8461538462))</f>
        <v>0</v>
      </c>
      <c r="P1741">
        <f>IF($E1741="","",IF($E1740="",$E1741,$E1741*0.0740740741+P1740*0.9259259259))</f>
        <v>0</v>
      </c>
      <c r="Q1741">
        <f>IF(OR(O1741="",P1741=""),"",O1741-P1741)</f>
        <v>0</v>
      </c>
      <c r="R1741">
        <f>IF(Q1741="","",IF(R1740="",Q1741,Q1741*0.2000000000+R1740*0.8000000000))</f>
        <v>0</v>
      </c>
      <c r="S1741">
        <f>IF(OR(Q1741="",R1741=""),"",Q1741-R1741)</f>
        <v>0</v>
      </c>
      <c r="T1741">
        <f>IF(COUNT($E$2:$E1741)&lt;14,"",MAX($C$1728:$C$1741))</f>
        <v>0</v>
      </c>
      <c r="U1741">
        <f>IF(COUNT($E$2:$E1741)&lt;14,"",MIN($D$1728:$D$1741))</f>
        <v>0</v>
      </c>
      <c r="V1741">
        <f>IF(OR(T1741="",U1741="",T1741=U1741),"",100*($E1741-U1741)/(T1741-U1741))</f>
        <v>0</v>
      </c>
      <c r="W1741">
        <f>IF(COUNT($V$1739:$V$1741)&lt;3,"",AVERAGE($V$1739:$V$1741))</f>
        <v>0</v>
      </c>
      <c r="X1741">
        <f>IF(COUNT($N$1728:$N$1741)&lt;14,"",MIN($N$1728:$N$1741))</f>
        <v>0</v>
      </c>
      <c r="Y1741">
        <f>IF(COUNT($N$1728:$N$1741)&lt;14,"",MAX($N$1728:$N$1741))</f>
        <v>0</v>
      </c>
      <c r="Z1741">
        <f>IF(OR(N1741="",X1741="",Y1741="",Y1741=X1741),"",100*(N1741-X1741)/(Y1741-X1741))</f>
        <v>0</v>
      </c>
      <c r="AA1741">
        <f>IF(COUNT($Z$1739:$Z$1741)&lt;3,"",AVERAGE($Z$1739:$Z$1741))</f>
        <v>0</v>
      </c>
      <c r="AB1741">
        <f>IF(COUNT($AA$1739:$AA$1741)&lt;3,"",AVERAGE($AA$1739:$AA$1741))</f>
        <v>0</v>
      </c>
      <c r="AC1741">
        <f>IF($E1741="","",MAX($C1741-$D1741,ABS($C1741-$E1740),ABS($D1741-$E1740)))</f>
        <v>0</v>
      </c>
      <c r="AD1741">
        <f>IF(COUNT($E$2:$E1741)&lt;15,"",AVERAGE($AC$1728:$AC$1741))</f>
        <v>0</v>
      </c>
      <c r="AE1741">
        <f>IF(OR($E1741="",$E1740=""),"",IF(AND(($C1741-$C1740)&gt;($D1740-$D1741),($C1741-$C1740)&gt;0),$C1741-$C1740,0))</f>
        <v>0</v>
      </c>
      <c r="AF1741">
        <f>IF(OR($E1741="",$E1740=""),"",IF(AND(($D1740-$D1741)&gt;($C1741-$C1740),($D1740-$D1741)&gt;0),$D1740-$D1741,0))</f>
        <v>0</v>
      </c>
      <c r="AG1741">
        <f>IF(COUNT($E$2:$E1741)&lt;15,"",IF(SUM($AC$1728:$AC$1741)=0,0,100*SUM($AE$1728:$AE$1741)/SUM($AC$1728:$AC$1741)))</f>
        <v>0</v>
      </c>
      <c r="AH1741">
        <f>IF(COUNT($E$2:$E1741)&lt;15,"",IF(SUM($AC$1728:$AC$1741)=0,0,100*SUM($AF$1728:$AF$1741)/SUM($AC$1728:$AC$1741)))</f>
        <v>0</v>
      </c>
      <c r="AI1741">
        <f>IF(OR(AG1741="",AH1741=""),"",IF((AG1741+AH1741)=0,0,100*ABS(AG1741-AH1741)/(AG1741+AH1741)))</f>
        <v>0</v>
      </c>
      <c r="AJ1741">
        <f>IF(COUNT($AI$1728:$AI$1741)&lt;14,"",AVERAGE($AI$1728:$AI$1741))</f>
        <v>0</v>
      </c>
      <c r="AK1741">
        <f>IF(COUNT($E$2:$E1741)&lt;20,"",AVERAGE($E$1722:$E$1741))</f>
        <v>0</v>
      </c>
      <c r="AL1741">
        <f>IF(COUNT($E$2:$E1741)&lt;20,"",STDEVP($E$1722:$E$1741))</f>
        <v>0</v>
      </c>
      <c r="AM1741">
        <f>IF(AK1741="","",AK1741+2*AL1741)</f>
        <v>0</v>
      </c>
      <c r="AN1741">
        <f>IF(AK1741="","",AK1741-2*AL1741)</f>
        <v>0</v>
      </c>
      <c r="AO1741">
        <f>IF(OR(AM1741="",AN1741="",AM1741=AN1741),"",($E1741-AN1741)/(AM1741-AN1741))</f>
        <v>0</v>
      </c>
      <c r="AP1741">
        <f>IF(OR(AM1741="",AK1741="",AK1741=0),"",(AM1741-AN1741)/AK1741)</f>
        <v>0</v>
      </c>
      <c r="AQ1741">
        <f>IF(COUNT($E$2:$E1741)&lt;20,"",MAX($C$1722:$C$1741))</f>
        <v>0</v>
      </c>
      <c r="AR1741">
        <f>IF(COUNT($E$2:$E1741)&lt;20,"",MIN($D$1722:$D$1741))</f>
        <v>0</v>
      </c>
      <c r="AS1741">
        <f>IF(OR(AQ1741="",AR1741=""),"",(AQ1741+AR1741)/2)</f>
        <v>0</v>
      </c>
      <c r="AT1741">
        <f>IF(COUNT($G$1722:$G$1741)&lt;20,"",STDEV($G$1722:$G$1741)*SQRT(252))</f>
        <v>0</v>
      </c>
      <c r="AU1741">
        <f>IF(COUNT($E$2:$E1741)&lt;9,"",(MAX($C$1733:$C$1741)+MIN($D$1733:$D$1741))/2)</f>
        <v>0</v>
      </c>
      <c r="AV1741">
        <f>IF(COUNT($E$2:$E1741)&lt;26,"",(MAX($C$1716:$C$1741)+MIN($D$1716:$D$1741))/2)</f>
        <v>0</v>
      </c>
      <c r="AW1741">
        <f>IF(OR(AU1741="",AV1741=""),"",(AU1741+AV1741)/2)</f>
        <v>0</v>
      </c>
      <c r="AX1741">
        <f>IF(COUNT($E$2:$E1741)&lt;52,"",(MAX($C$1690:$C$1741)+MIN($D$1690:$D$1741))/2)</f>
        <v>0</v>
      </c>
      <c r="AY1741">
        <f>IF(COUNT($E$2:$E1741)&lt;20,"",MAX($C$1642:$C$1741))</f>
        <v>0</v>
      </c>
      <c r="AZ1741">
        <f>IF(COUNT($E$2:$E1741)&lt;20,"",MIN($D$1642:$D$1741))</f>
        <v>0</v>
      </c>
      <c r="BA1741">
        <f>IF(COUNT($E$2:$E1741)&lt;20,"",SLOPE($E$1642:$E$1741,$F$1642:$F$1741))</f>
        <v>0</v>
      </c>
      <c r="BB1741">
        <f>IF(COUNT($E$2:$E1741)&lt;20,"",INTERCEPT($E$1642:$E$1741,$F$1642:$F$1741))</f>
        <v>0</v>
      </c>
      <c r="BC1741">
        <f>IF(OR(BA1741="",BB1741=""),"",BB1741+BA1741*F1741)</f>
        <v>0</v>
      </c>
      <c r="BD1741">
        <f>IF(COUNT($E$2:$E1741)&lt;20,"",STEYX($E$1642:$E$1741,$F$1642:$F$1741))</f>
        <v>0</v>
      </c>
      <c r="BE1741">
        <f>IF($E1741="","",IF(AND(COUNT($E$1742:$E$1745)&gt;=4,$C1741=MAX($C$1737:$C$1745)),$C1741,""))</f>
        <v>0</v>
      </c>
      <c r="BF1741">
        <f>IF($E1741="","",IF(AND(COUNT($E$1742:$E$1745)&gt;=4,$D1741=MIN($D$1737:$D$1745)),$D1741,""))</f>
        <v>0</v>
      </c>
      <c r="BG1741">
        <f>IF($A1741="","",$A1741-WEEKDAY($A1741,2)+1)</f>
        <v>0</v>
      </c>
      <c r="BH1741">
        <f>IF($A1741="","",IF($A1740="",1,IF(BG1741&lt;&gt;BG1740,1,0)))</f>
        <v>0</v>
      </c>
      <c r="BI1741">
        <f>IF($A1741="","",IF($A1742="",1,IF(BG1742&lt;&gt;BG1741,1,0)))</f>
        <v>0</v>
      </c>
      <c r="BJ1741">
        <f>IF($A1741="","",IF(BH1741=1,$B1741,BJ1740))</f>
        <v>0</v>
      </c>
      <c r="BK1741">
        <f>IF($A1741="","",IF(BH1741=1,$C1741,MAX($C1741,BK1740)))</f>
        <v>0</v>
      </c>
      <c r="BL1741">
        <f>IF($A1741="","",IF(BH1741=1,$D1741,MIN($D1741,BL1740)))</f>
        <v>0</v>
      </c>
      <c r="BM1741">
        <f>IF($A1741="","",IF(BI1741=1,F1741,""))</f>
        <v>0</v>
      </c>
      <c r="BN1741">
        <f>IF($A1741="","",DATE(YEAR($A1741),MONTH($A1741),1))</f>
        <v>0</v>
      </c>
      <c r="BO1741">
        <f>IF($A1741="","",IF($A1740="",1,IF(BN1741&lt;&gt;BN1740,1,0)))</f>
        <v>0</v>
      </c>
      <c r="BP1741">
        <f>IF($A1741="","",IF($A1742="",1,IF(BN1742&lt;&gt;BN1741,1,0)))</f>
        <v>0</v>
      </c>
      <c r="BQ1741">
        <f>IF($A1741="","",IF(BO1741=1,$B1741,BQ1740))</f>
        <v>0</v>
      </c>
      <c r="BR1741">
        <f>IF($A1741="","",IF(BO1741=1,$C1741,MAX($C1741,BR1740)))</f>
        <v>0</v>
      </c>
      <c r="BS1741">
        <f>IF($A1741="","",IF(BO1741=1,$D1741,MIN($D1741,BS1740)))</f>
        <v>0</v>
      </c>
      <c r="BT1741">
        <f>IF($A1741="","",IF(BP1741=1,F1741,""))</f>
        <v>0</v>
      </c>
    </row>
    <row r="1742" spans="1:72">
      <c r="A1742" s="27">
        <f>IF(Data!$A1742="","",Data!$A1742)</f>
        <v>0</v>
      </c>
      <c r="B1742">
        <f>IF(Data!$B1742="","",Data!$B1742)</f>
        <v>0</v>
      </c>
      <c r="C1742">
        <f>IF(Data!$C1742="","",Data!$C1742)</f>
        <v>0</v>
      </c>
      <c r="D1742">
        <f>IF(Data!$D1742="","",Data!$D1742)</f>
        <v>0</v>
      </c>
      <c r="E1742">
        <f>IF(Data!$E1742="","",Data!$E1742)</f>
        <v>0</v>
      </c>
      <c r="F1742">
        <f>IF($E1742="","",N(F1741)+1)</f>
        <v>0</v>
      </c>
      <c r="G1742">
        <f>IF(OR($E1742="",$E1741=""),"",LN($E1742/$E1741))</f>
        <v>0</v>
      </c>
      <c r="H1742">
        <f>IF($E1742="","",IF($E1741="",$E1742,$E1742*0.0952380952+H1741*0.9047619048))</f>
        <v>0</v>
      </c>
      <c r="I1742">
        <f>IF($E1742="","",IF($E1741="",$E1742,$E1742*0.0392156863+I1741*0.9607843137))</f>
        <v>0</v>
      </c>
      <c r="J1742">
        <f>IF($E1742="","",IF($E1741="",$E1742,$E1742*0.0198019802+J1741*0.9801980198))</f>
        <v>0</v>
      </c>
      <c r="K1742">
        <f>IF($E1742="","",IF($E1741="",$E1742,$E1742*0.0099502488+K1741*0.9900497512))</f>
        <v>0</v>
      </c>
      <c r="L1742">
        <f>IF(OR($E1742="",$E1741=""),"",MAX($E1742-$E1741,0))</f>
        <v>0</v>
      </c>
      <c r="M1742">
        <f>IF(OR($E1742="",$E1741=""),"",MAX($E1741-$E1742,0))</f>
        <v>0</v>
      </c>
      <c r="N1742">
        <f>IF(COUNT($E$2:$E1742)&lt;15,"",IF(AVERAGE($M$1729:$M$1742)=0,100,100-100/(1+AVERAGE($L$1729:$L$1742)/AVERAGE($M$1729:$M$1742))))</f>
        <v>0</v>
      </c>
      <c r="O1742">
        <f>IF($E1742="","",IF($E1741="",$E1742,$E1742*0.1538461538+O1741*0.8461538462))</f>
        <v>0</v>
      </c>
      <c r="P1742">
        <f>IF($E1742="","",IF($E1741="",$E1742,$E1742*0.0740740741+P1741*0.9259259259))</f>
        <v>0</v>
      </c>
      <c r="Q1742">
        <f>IF(OR(O1742="",P1742=""),"",O1742-P1742)</f>
        <v>0</v>
      </c>
      <c r="R1742">
        <f>IF(Q1742="","",IF(R1741="",Q1742,Q1742*0.2000000000+R1741*0.8000000000))</f>
        <v>0</v>
      </c>
      <c r="S1742">
        <f>IF(OR(Q1742="",R1742=""),"",Q1742-R1742)</f>
        <v>0</v>
      </c>
      <c r="T1742">
        <f>IF(COUNT($E$2:$E1742)&lt;14,"",MAX($C$1729:$C$1742))</f>
        <v>0</v>
      </c>
      <c r="U1742">
        <f>IF(COUNT($E$2:$E1742)&lt;14,"",MIN($D$1729:$D$1742))</f>
        <v>0</v>
      </c>
      <c r="V1742">
        <f>IF(OR(T1742="",U1742="",T1742=U1742),"",100*($E1742-U1742)/(T1742-U1742))</f>
        <v>0</v>
      </c>
      <c r="W1742">
        <f>IF(COUNT($V$1740:$V$1742)&lt;3,"",AVERAGE($V$1740:$V$1742))</f>
        <v>0</v>
      </c>
      <c r="X1742">
        <f>IF(COUNT($N$1729:$N$1742)&lt;14,"",MIN($N$1729:$N$1742))</f>
        <v>0</v>
      </c>
      <c r="Y1742">
        <f>IF(COUNT($N$1729:$N$1742)&lt;14,"",MAX($N$1729:$N$1742))</f>
        <v>0</v>
      </c>
      <c r="Z1742">
        <f>IF(OR(N1742="",X1742="",Y1742="",Y1742=X1742),"",100*(N1742-X1742)/(Y1742-X1742))</f>
        <v>0</v>
      </c>
      <c r="AA1742">
        <f>IF(COUNT($Z$1740:$Z$1742)&lt;3,"",AVERAGE($Z$1740:$Z$1742))</f>
        <v>0</v>
      </c>
      <c r="AB1742">
        <f>IF(COUNT($AA$1740:$AA$1742)&lt;3,"",AVERAGE($AA$1740:$AA$1742))</f>
        <v>0</v>
      </c>
      <c r="AC1742">
        <f>IF($E1742="","",MAX($C1742-$D1742,ABS($C1742-$E1741),ABS($D1742-$E1741)))</f>
        <v>0</v>
      </c>
      <c r="AD1742">
        <f>IF(COUNT($E$2:$E1742)&lt;15,"",AVERAGE($AC$1729:$AC$1742))</f>
        <v>0</v>
      </c>
      <c r="AE1742">
        <f>IF(OR($E1742="",$E1741=""),"",IF(AND(($C1742-$C1741)&gt;($D1741-$D1742),($C1742-$C1741)&gt;0),$C1742-$C1741,0))</f>
        <v>0</v>
      </c>
      <c r="AF1742">
        <f>IF(OR($E1742="",$E1741=""),"",IF(AND(($D1741-$D1742)&gt;($C1742-$C1741),($D1741-$D1742)&gt;0),$D1741-$D1742,0))</f>
        <v>0</v>
      </c>
      <c r="AG1742">
        <f>IF(COUNT($E$2:$E1742)&lt;15,"",IF(SUM($AC$1729:$AC$1742)=0,0,100*SUM($AE$1729:$AE$1742)/SUM($AC$1729:$AC$1742)))</f>
        <v>0</v>
      </c>
      <c r="AH1742">
        <f>IF(COUNT($E$2:$E1742)&lt;15,"",IF(SUM($AC$1729:$AC$1742)=0,0,100*SUM($AF$1729:$AF$1742)/SUM($AC$1729:$AC$1742)))</f>
        <v>0</v>
      </c>
      <c r="AI1742">
        <f>IF(OR(AG1742="",AH1742=""),"",IF((AG1742+AH1742)=0,0,100*ABS(AG1742-AH1742)/(AG1742+AH1742)))</f>
        <v>0</v>
      </c>
      <c r="AJ1742">
        <f>IF(COUNT($AI$1729:$AI$1742)&lt;14,"",AVERAGE($AI$1729:$AI$1742))</f>
        <v>0</v>
      </c>
      <c r="AK1742">
        <f>IF(COUNT($E$2:$E1742)&lt;20,"",AVERAGE($E$1723:$E$1742))</f>
        <v>0</v>
      </c>
      <c r="AL1742">
        <f>IF(COUNT($E$2:$E1742)&lt;20,"",STDEVP($E$1723:$E$1742))</f>
        <v>0</v>
      </c>
      <c r="AM1742">
        <f>IF(AK1742="","",AK1742+2*AL1742)</f>
        <v>0</v>
      </c>
      <c r="AN1742">
        <f>IF(AK1742="","",AK1742-2*AL1742)</f>
        <v>0</v>
      </c>
      <c r="AO1742">
        <f>IF(OR(AM1742="",AN1742="",AM1742=AN1742),"",($E1742-AN1742)/(AM1742-AN1742))</f>
        <v>0</v>
      </c>
      <c r="AP1742">
        <f>IF(OR(AM1742="",AK1742="",AK1742=0),"",(AM1742-AN1742)/AK1742)</f>
        <v>0</v>
      </c>
      <c r="AQ1742">
        <f>IF(COUNT($E$2:$E1742)&lt;20,"",MAX($C$1723:$C$1742))</f>
        <v>0</v>
      </c>
      <c r="AR1742">
        <f>IF(COUNT($E$2:$E1742)&lt;20,"",MIN($D$1723:$D$1742))</f>
        <v>0</v>
      </c>
      <c r="AS1742">
        <f>IF(OR(AQ1742="",AR1742=""),"",(AQ1742+AR1742)/2)</f>
        <v>0</v>
      </c>
      <c r="AT1742">
        <f>IF(COUNT($G$1723:$G$1742)&lt;20,"",STDEV($G$1723:$G$1742)*SQRT(252))</f>
        <v>0</v>
      </c>
      <c r="AU1742">
        <f>IF(COUNT($E$2:$E1742)&lt;9,"",(MAX($C$1734:$C$1742)+MIN($D$1734:$D$1742))/2)</f>
        <v>0</v>
      </c>
      <c r="AV1742">
        <f>IF(COUNT($E$2:$E1742)&lt;26,"",(MAX($C$1717:$C$1742)+MIN($D$1717:$D$1742))/2)</f>
        <v>0</v>
      </c>
      <c r="AW1742">
        <f>IF(OR(AU1742="",AV1742=""),"",(AU1742+AV1742)/2)</f>
        <v>0</v>
      </c>
      <c r="AX1742">
        <f>IF(COUNT($E$2:$E1742)&lt;52,"",(MAX($C$1691:$C$1742)+MIN($D$1691:$D$1742))/2)</f>
        <v>0</v>
      </c>
      <c r="AY1742">
        <f>IF(COUNT($E$2:$E1742)&lt;20,"",MAX($C$1643:$C$1742))</f>
        <v>0</v>
      </c>
      <c r="AZ1742">
        <f>IF(COUNT($E$2:$E1742)&lt;20,"",MIN($D$1643:$D$1742))</f>
        <v>0</v>
      </c>
      <c r="BA1742">
        <f>IF(COUNT($E$2:$E1742)&lt;20,"",SLOPE($E$1643:$E$1742,$F$1643:$F$1742))</f>
        <v>0</v>
      </c>
      <c r="BB1742">
        <f>IF(COUNT($E$2:$E1742)&lt;20,"",INTERCEPT($E$1643:$E$1742,$F$1643:$F$1742))</f>
        <v>0</v>
      </c>
      <c r="BC1742">
        <f>IF(OR(BA1742="",BB1742=""),"",BB1742+BA1742*F1742)</f>
        <v>0</v>
      </c>
      <c r="BD1742">
        <f>IF(COUNT($E$2:$E1742)&lt;20,"",STEYX($E$1643:$E$1742,$F$1643:$F$1742))</f>
        <v>0</v>
      </c>
      <c r="BE1742">
        <f>IF($E1742="","",IF(AND(COUNT($E$1743:$E$1746)&gt;=4,$C1742=MAX($C$1738:$C$1746)),$C1742,""))</f>
        <v>0</v>
      </c>
      <c r="BF1742">
        <f>IF($E1742="","",IF(AND(COUNT($E$1743:$E$1746)&gt;=4,$D1742=MIN($D$1738:$D$1746)),$D1742,""))</f>
        <v>0</v>
      </c>
      <c r="BG1742">
        <f>IF($A1742="","",$A1742-WEEKDAY($A1742,2)+1)</f>
        <v>0</v>
      </c>
      <c r="BH1742">
        <f>IF($A1742="","",IF($A1741="",1,IF(BG1742&lt;&gt;BG1741,1,0)))</f>
        <v>0</v>
      </c>
      <c r="BI1742">
        <f>IF($A1742="","",IF($A1743="",1,IF(BG1743&lt;&gt;BG1742,1,0)))</f>
        <v>0</v>
      </c>
      <c r="BJ1742">
        <f>IF($A1742="","",IF(BH1742=1,$B1742,BJ1741))</f>
        <v>0</v>
      </c>
      <c r="BK1742">
        <f>IF($A1742="","",IF(BH1742=1,$C1742,MAX($C1742,BK1741)))</f>
        <v>0</v>
      </c>
      <c r="BL1742">
        <f>IF($A1742="","",IF(BH1742=1,$D1742,MIN($D1742,BL1741)))</f>
        <v>0</v>
      </c>
      <c r="BM1742">
        <f>IF($A1742="","",IF(BI1742=1,F1742,""))</f>
        <v>0</v>
      </c>
      <c r="BN1742">
        <f>IF($A1742="","",DATE(YEAR($A1742),MONTH($A1742),1))</f>
        <v>0</v>
      </c>
      <c r="BO1742">
        <f>IF($A1742="","",IF($A1741="",1,IF(BN1742&lt;&gt;BN1741,1,0)))</f>
        <v>0</v>
      </c>
      <c r="BP1742">
        <f>IF($A1742="","",IF($A1743="",1,IF(BN1743&lt;&gt;BN1742,1,0)))</f>
        <v>0</v>
      </c>
      <c r="BQ1742">
        <f>IF($A1742="","",IF(BO1742=1,$B1742,BQ1741))</f>
        <v>0</v>
      </c>
      <c r="BR1742">
        <f>IF($A1742="","",IF(BO1742=1,$C1742,MAX($C1742,BR1741)))</f>
        <v>0</v>
      </c>
      <c r="BS1742">
        <f>IF($A1742="","",IF(BO1742=1,$D1742,MIN($D1742,BS1741)))</f>
        <v>0</v>
      </c>
      <c r="BT1742">
        <f>IF($A1742="","",IF(BP1742=1,F1742,""))</f>
        <v>0</v>
      </c>
    </row>
    <row r="1743" spans="1:72">
      <c r="A1743" s="27">
        <f>IF(Data!$A1743="","",Data!$A1743)</f>
        <v>0</v>
      </c>
      <c r="B1743">
        <f>IF(Data!$B1743="","",Data!$B1743)</f>
        <v>0</v>
      </c>
      <c r="C1743">
        <f>IF(Data!$C1743="","",Data!$C1743)</f>
        <v>0</v>
      </c>
      <c r="D1743">
        <f>IF(Data!$D1743="","",Data!$D1743)</f>
        <v>0</v>
      </c>
      <c r="E1743">
        <f>IF(Data!$E1743="","",Data!$E1743)</f>
        <v>0</v>
      </c>
      <c r="F1743">
        <f>IF($E1743="","",N(F1742)+1)</f>
        <v>0</v>
      </c>
      <c r="G1743">
        <f>IF(OR($E1743="",$E1742=""),"",LN($E1743/$E1742))</f>
        <v>0</v>
      </c>
      <c r="H1743">
        <f>IF($E1743="","",IF($E1742="",$E1743,$E1743*0.0952380952+H1742*0.9047619048))</f>
        <v>0</v>
      </c>
      <c r="I1743">
        <f>IF($E1743="","",IF($E1742="",$E1743,$E1743*0.0392156863+I1742*0.9607843137))</f>
        <v>0</v>
      </c>
      <c r="J1743">
        <f>IF($E1743="","",IF($E1742="",$E1743,$E1743*0.0198019802+J1742*0.9801980198))</f>
        <v>0</v>
      </c>
      <c r="K1743">
        <f>IF($E1743="","",IF($E1742="",$E1743,$E1743*0.0099502488+K1742*0.9900497512))</f>
        <v>0</v>
      </c>
      <c r="L1743">
        <f>IF(OR($E1743="",$E1742=""),"",MAX($E1743-$E1742,0))</f>
        <v>0</v>
      </c>
      <c r="M1743">
        <f>IF(OR($E1743="",$E1742=""),"",MAX($E1742-$E1743,0))</f>
        <v>0</v>
      </c>
      <c r="N1743">
        <f>IF(COUNT($E$2:$E1743)&lt;15,"",IF(AVERAGE($M$1730:$M$1743)=0,100,100-100/(1+AVERAGE($L$1730:$L$1743)/AVERAGE($M$1730:$M$1743))))</f>
        <v>0</v>
      </c>
      <c r="O1743">
        <f>IF($E1743="","",IF($E1742="",$E1743,$E1743*0.1538461538+O1742*0.8461538462))</f>
        <v>0</v>
      </c>
      <c r="P1743">
        <f>IF($E1743="","",IF($E1742="",$E1743,$E1743*0.0740740741+P1742*0.9259259259))</f>
        <v>0</v>
      </c>
      <c r="Q1743">
        <f>IF(OR(O1743="",P1743=""),"",O1743-P1743)</f>
        <v>0</v>
      </c>
      <c r="R1743">
        <f>IF(Q1743="","",IF(R1742="",Q1743,Q1743*0.2000000000+R1742*0.8000000000))</f>
        <v>0</v>
      </c>
      <c r="S1743">
        <f>IF(OR(Q1743="",R1743=""),"",Q1743-R1743)</f>
        <v>0</v>
      </c>
      <c r="T1743">
        <f>IF(COUNT($E$2:$E1743)&lt;14,"",MAX($C$1730:$C$1743))</f>
        <v>0</v>
      </c>
      <c r="U1743">
        <f>IF(COUNT($E$2:$E1743)&lt;14,"",MIN($D$1730:$D$1743))</f>
        <v>0</v>
      </c>
      <c r="V1743">
        <f>IF(OR(T1743="",U1743="",T1743=U1743),"",100*($E1743-U1743)/(T1743-U1743))</f>
        <v>0</v>
      </c>
      <c r="W1743">
        <f>IF(COUNT($V$1741:$V$1743)&lt;3,"",AVERAGE($V$1741:$V$1743))</f>
        <v>0</v>
      </c>
      <c r="X1743">
        <f>IF(COUNT($N$1730:$N$1743)&lt;14,"",MIN($N$1730:$N$1743))</f>
        <v>0</v>
      </c>
      <c r="Y1743">
        <f>IF(COUNT($N$1730:$N$1743)&lt;14,"",MAX($N$1730:$N$1743))</f>
        <v>0</v>
      </c>
      <c r="Z1743">
        <f>IF(OR(N1743="",X1743="",Y1743="",Y1743=X1743),"",100*(N1743-X1743)/(Y1743-X1743))</f>
        <v>0</v>
      </c>
      <c r="AA1743">
        <f>IF(COUNT($Z$1741:$Z$1743)&lt;3,"",AVERAGE($Z$1741:$Z$1743))</f>
        <v>0</v>
      </c>
      <c r="AB1743">
        <f>IF(COUNT($AA$1741:$AA$1743)&lt;3,"",AVERAGE($AA$1741:$AA$1743))</f>
        <v>0</v>
      </c>
      <c r="AC1743">
        <f>IF($E1743="","",MAX($C1743-$D1743,ABS($C1743-$E1742),ABS($D1743-$E1742)))</f>
        <v>0</v>
      </c>
      <c r="AD1743">
        <f>IF(COUNT($E$2:$E1743)&lt;15,"",AVERAGE($AC$1730:$AC$1743))</f>
        <v>0</v>
      </c>
      <c r="AE1743">
        <f>IF(OR($E1743="",$E1742=""),"",IF(AND(($C1743-$C1742)&gt;($D1742-$D1743),($C1743-$C1742)&gt;0),$C1743-$C1742,0))</f>
        <v>0</v>
      </c>
      <c r="AF1743">
        <f>IF(OR($E1743="",$E1742=""),"",IF(AND(($D1742-$D1743)&gt;($C1743-$C1742),($D1742-$D1743)&gt;0),$D1742-$D1743,0))</f>
        <v>0</v>
      </c>
      <c r="AG1743">
        <f>IF(COUNT($E$2:$E1743)&lt;15,"",IF(SUM($AC$1730:$AC$1743)=0,0,100*SUM($AE$1730:$AE$1743)/SUM($AC$1730:$AC$1743)))</f>
        <v>0</v>
      </c>
      <c r="AH1743">
        <f>IF(COUNT($E$2:$E1743)&lt;15,"",IF(SUM($AC$1730:$AC$1743)=0,0,100*SUM($AF$1730:$AF$1743)/SUM($AC$1730:$AC$1743)))</f>
        <v>0</v>
      </c>
      <c r="AI1743">
        <f>IF(OR(AG1743="",AH1743=""),"",IF((AG1743+AH1743)=0,0,100*ABS(AG1743-AH1743)/(AG1743+AH1743)))</f>
        <v>0</v>
      </c>
      <c r="AJ1743">
        <f>IF(COUNT($AI$1730:$AI$1743)&lt;14,"",AVERAGE($AI$1730:$AI$1743))</f>
        <v>0</v>
      </c>
      <c r="AK1743">
        <f>IF(COUNT($E$2:$E1743)&lt;20,"",AVERAGE($E$1724:$E$1743))</f>
        <v>0</v>
      </c>
      <c r="AL1743">
        <f>IF(COUNT($E$2:$E1743)&lt;20,"",STDEVP($E$1724:$E$1743))</f>
        <v>0</v>
      </c>
      <c r="AM1743">
        <f>IF(AK1743="","",AK1743+2*AL1743)</f>
        <v>0</v>
      </c>
      <c r="AN1743">
        <f>IF(AK1743="","",AK1743-2*AL1743)</f>
        <v>0</v>
      </c>
      <c r="AO1743">
        <f>IF(OR(AM1743="",AN1743="",AM1743=AN1743),"",($E1743-AN1743)/(AM1743-AN1743))</f>
        <v>0</v>
      </c>
      <c r="AP1743">
        <f>IF(OR(AM1743="",AK1743="",AK1743=0),"",(AM1743-AN1743)/AK1743)</f>
        <v>0</v>
      </c>
      <c r="AQ1743">
        <f>IF(COUNT($E$2:$E1743)&lt;20,"",MAX($C$1724:$C$1743))</f>
        <v>0</v>
      </c>
      <c r="AR1743">
        <f>IF(COUNT($E$2:$E1743)&lt;20,"",MIN($D$1724:$D$1743))</f>
        <v>0</v>
      </c>
      <c r="AS1743">
        <f>IF(OR(AQ1743="",AR1743=""),"",(AQ1743+AR1743)/2)</f>
        <v>0</v>
      </c>
      <c r="AT1743">
        <f>IF(COUNT($G$1724:$G$1743)&lt;20,"",STDEV($G$1724:$G$1743)*SQRT(252))</f>
        <v>0</v>
      </c>
      <c r="AU1743">
        <f>IF(COUNT($E$2:$E1743)&lt;9,"",(MAX($C$1735:$C$1743)+MIN($D$1735:$D$1743))/2)</f>
        <v>0</v>
      </c>
      <c r="AV1743">
        <f>IF(COUNT($E$2:$E1743)&lt;26,"",(MAX($C$1718:$C$1743)+MIN($D$1718:$D$1743))/2)</f>
        <v>0</v>
      </c>
      <c r="AW1743">
        <f>IF(OR(AU1743="",AV1743=""),"",(AU1743+AV1743)/2)</f>
        <v>0</v>
      </c>
      <c r="AX1743">
        <f>IF(COUNT($E$2:$E1743)&lt;52,"",(MAX($C$1692:$C$1743)+MIN($D$1692:$D$1743))/2)</f>
        <v>0</v>
      </c>
      <c r="AY1743">
        <f>IF(COUNT($E$2:$E1743)&lt;20,"",MAX($C$1644:$C$1743))</f>
        <v>0</v>
      </c>
      <c r="AZ1743">
        <f>IF(COUNT($E$2:$E1743)&lt;20,"",MIN($D$1644:$D$1743))</f>
        <v>0</v>
      </c>
      <c r="BA1743">
        <f>IF(COUNT($E$2:$E1743)&lt;20,"",SLOPE($E$1644:$E$1743,$F$1644:$F$1743))</f>
        <v>0</v>
      </c>
      <c r="BB1743">
        <f>IF(COUNT($E$2:$E1743)&lt;20,"",INTERCEPT($E$1644:$E$1743,$F$1644:$F$1743))</f>
        <v>0</v>
      </c>
      <c r="BC1743">
        <f>IF(OR(BA1743="",BB1743=""),"",BB1743+BA1743*F1743)</f>
        <v>0</v>
      </c>
      <c r="BD1743">
        <f>IF(COUNT($E$2:$E1743)&lt;20,"",STEYX($E$1644:$E$1743,$F$1644:$F$1743))</f>
        <v>0</v>
      </c>
      <c r="BE1743">
        <f>IF($E1743="","",IF(AND(COUNT($E$1744:$E$1747)&gt;=4,$C1743=MAX($C$1739:$C$1747)),$C1743,""))</f>
        <v>0</v>
      </c>
      <c r="BF1743">
        <f>IF($E1743="","",IF(AND(COUNT($E$1744:$E$1747)&gt;=4,$D1743=MIN($D$1739:$D$1747)),$D1743,""))</f>
        <v>0</v>
      </c>
      <c r="BG1743">
        <f>IF($A1743="","",$A1743-WEEKDAY($A1743,2)+1)</f>
        <v>0</v>
      </c>
      <c r="BH1743">
        <f>IF($A1743="","",IF($A1742="",1,IF(BG1743&lt;&gt;BG1742,1,0)))</f>
        <v>0</v>
      </c>
      <c r="BI1743">
        <f>IF($A1743="","",IF($A1744="",1,IF(BG1744&lt;&gt;BG1743,1,0)))</f>
        <v>0</v>
      </c>
      <c r="BJ1743">
        <f>IF($A1743="","",IF(BH1743=1,$B1743,BJ1742))</f>
        <v>0</v>
      </c>
      <c r="BK1743">
        <f>IF($A1743="","",IF(BH1743=1,$C1743,MAX($C1743,BK1742)))</f>
        <v>0</v>
      </c>
      <c r="BL1743">
        <f>IF($A1743="","",IF(BH1743=1,$D1743,MIN($D1743,BL1742)))</f>
        <v>0</v>
      </c>
      <c r="BM1743">
        <f>IF($A1743="","",IF(BI1743=1,F1743,""))</f>
        <v>0</v>
      </c>
      <c r="BN1743">
        <f>IF($A1743="","",DATE(YEAR($A1743),MONTH($A1743),1))</f>
        <v>0</v>
      </c>
      <c r="BO1743">
        <f>IF($A1743="","",IF($A1742="",1,IF(BN1743&lt;&gt;BN1742,1,0)))</f>
        <v>0</v>
      </c>
      <c r="BP1743">
        <f>IF($A1743="","",IF($A1744="",1,IF(BN1744&lt;&gt;BN1743,1,0)))</f>
        <v>0</v>
      </c>
      <c r="BQ1743">
        <f>IF($A1743="","",IF(BO1743=1,$B1743,BQ1742))</f>
        <v>0</v>
      </c>
      <c r="BR1743">
        <f>IF($A1743="","",IF(BO1743=1,$C1743,MAX($C1743,BR1742)))</f>
        <v>0</v>
      </c>
      <c r="BS1743">
        <f>IF($A1743="","",IF(BO1743=1,$D1743,MIN($D1743,BS1742)))</f>
        <v>0</v>
      </c>
      <c r="BT1743">
        <f>IF($A1743="","",IF(BP1743=1,F1743,""))</f>
        <v>0</v>
      </c>
    </row>
    <row r="1744" spans="1:72">
      <c r="A1744" s="27">
        <f>IF(Data!$A1744="","",Data!$A1744)</f>
        <v>0</v>
      </c>
      <c r="B1744">
        <f>IF(Data!$B1744="","",Data!$B1744)</f>
        <v>0</v>
      </c>
      <c r="C1744">
        <f>IF(Data!$C1744="","",Data!$C1744)</f>
        <v>0</v>
      </c>
      <c r="D1744">
        <f>IF(Data!$D1744="","",Data!$D1744)</f>
        <v>0</v>
      </c>
      <c r="E1744">
        <f>IF(Data!$E1744="","",Data!$E1744)</f>
        <v>0</v>
      </c>
      <c r="F1744">
        <f>IF($E1744="","",N(F1743)+1)</f>
        <v>0</v>
      </c>
      <c r="G1744">
        <f>IF(OR($E1744="",$E1743=""),"",LN($E1744/$E1743))</f>
        <v>0</v>
      </c>
      <c r="H1744">
        <f>IF($E1744="","",IF($E1743="",$E1744,$E1744*0.0952380952+H1743*0.9047619048))</f>
        <v>0</v>
      </c>
      <c r="I1744">
        <f>IF($E1744="","",IF($E1743="",$E1744,$E1744*0.0392156863+I1743*0.9607843137))</f>
        <v>0</v>
      </c>
      <c r="J1744">
        <f>IF($E1744="","",IF($E1743="",$E1744,$E1744*0.0198019802+J1743*0.9801980198))</f>
        <v>0</v>
      </c>
      <c r="K1744">
        <f>IF($E1744="","",IF($E1743="",$E1744,$E1744*0.0099502488+K1743*0.9900497512))</f>
        <v>0</v>
      </c>
      <c r="L1744">
        <f>IF(OR($E1744="",$E1743=""),"",MAX($E1744-$E1743,0))</f>
        <v>0</v>
      </c>
      <c r="M1744">
        <f>IF(OR($E1744="",$E1743=""),"",MAX($E1743-$E1744,0))</f>
        <v>0</v>
      </c>
      <c r="N1744">
        <f>IF(COUNT($E$2:$E1744)&lt;15,"",IF(AVERAGE($M$1731:$M$1744)=0,100,100-100/(1+AVERAGE($L$1731:$L$1744)/AVERAGE($M$1731:$M$1744))))</f>
        <v>0</v>
      </c>
      <c r="O1744">
        <f>IF($E1744="","",IF($E1743="",$E1744,$E1744*0.1538461538+O1743*0.8461538462))</f>
        <v>0</v>
      </c>
      <c r="P1744">
        <f>IF($E1744="","",IF($E1743="",$E1744,$E1744*0.0740740741+P1743*0.9259259259))</f>
        <v>0</v>
      </c>
      <c r="Q1744">
        <f>IF(OR(O1744="",P1744=""),"",O1744-P1744)</f>
        <v>0</v>
      </c>
      <c r="R1744">
        <f>IF(Q1744="","",IF(R1743="",Q1744,Q1744*0.2000000000+R1743*0.8000000000))</f>
        <v>0</v>
      </c>
      <c r="S1744">
        <f>IF(OR(Q1744="",R1744=""),"",Q1744-R1744)</f>
        <v>0</v>
      </c>
      <c r="T1744">
        <f>IF(COUNT($E$2:$E1744)&lt;14,"",MAX($C$1731:$C$1744))</f>
        <v>0</v>
      </c>
      <c r="U1744">
        <f>IF(COUNT($E$2:$E1744)&lt;14,"",MIN($D$1731:$D$1744))</f>
        <v>0</v>
      </c>
      <c r="V1744">
        <f>IF(OR(T1744="",U1744="",T1744=U1744),"",100*($E1744-U1744)/(T1744-U1744))</f>
        <v>0</v>
      </c>
      <c r="W1744">
        <f>IF(COUNT($V$1742:$V$1744)&lt;3,"",AVERAGE($V$1742:$V$1744))</f>
        <v>0</v>
      </c>
      <c r="X1744">
        <f>IF(COUNT($N$1731:$N$1744)&lt;14,"",MIN($N$1731:$N$1744))</f>
        <v>0</v>
      </c>
      <c r="Y1744">
        <f>IF(COUNT($N$1731:$N$1744)&lt;14,"",MAX($N$1731:$N$1744))</f>
        <v>0</v>
      </c>
      <c r="Z1744">
        <f>IF(OR(N1744="",X1744="",Y1744="",Y1744=X1744),"",100*(N1744-X1744)/(Y1744-X1744))</f>
        <v>0</v>
      </c>
      <c r="AA1744">
        <f>IF(COUNT($Z$1742:$Z$1744)&lt;3,"",AVERAGE($Z$1742:$Z$1744))</f>
        <v>0</v>
      </c>
      <c r="AB1744">
        <f>IF(COUNT($AA$1742:$AA$1744)&lt;3,"",AVERAGE($AA$1742:$AA$1744))</f>
        <v>0</v>
      </c>
      <c r="AC1744">
        <f>IF($E1744="","",MAX($C1744-$D1744,ABS($C1744-$E1743),ABS($D1744-$E1743)))</f>
        <v>0</v>
      </c>
      <c r="AD1744">
        <f>IF(COUNT($E$2:$E1744)&lt;15,"",AVERAGE($AC$1731:$AC$1744))</f>
        <v>0</v>
      </c>
      <c r="AE1744">
        <f>IF(OR($E1744="",$E1743=""),"",IF(AND(($C1744-$C1743)&gt;($D1743-$D1744),($C1744-$C1743)&gt;0),$C1744-$C1743,0))</f>
        <v>0</v>
      </c>
      <c r="AF1744">
        <f>IF(OR($E1744="",$E1743=""),"",IF(AND(($D1743-$D1744)&gt;($C1744-$C1743),($D1743-$D1744)&gt;0),$D1743-$D1744,0))</f>
        <v>0</v>
      </c>
      <c r="AG1744">
        <f>IF(COUNT($E$2:$E1744)&lt;15,"",IF(SUM($AC$1731:$AC$1744)=0,0,100*SUM($AE$1731:$AE$1744)/SUM($AC$1731:$AC$1744)))</f>
        <v>0</v>
      </c>
      <c r="AH1744">
        <f>IF(COUNT($E$2:$E1744)&lt;15,"",IF(SUM($AC$1731:$AC$1744)=0,0,100*SUM($AF$1731:$AF$1744)/SUM($AC$1731:$AC$1744)))</f>
        <v>0</v>
      </c>
      <c r="AI1744">
        <f>IF(OR(AG1744="",AH1744=""),"",IF((AG1744+AH1744)=0,0,100*ABS(AG1744-AH1744)/(AG1744+AH1744)))</f>
        <v>0</v>
      </c>
      <c r="AJ1744">
        <f>IF(COUNT($AI$1731:$AI$1744)&lt;14,"",AVERAGE($AI$1731:$AI$1744))</f>
        <v>0</v>
      </c>
      <c r="AK1744">
        <f>IF(COUNT($E$2:$E1744)&lt;20,"",AVERAGE($E$1725:$E$1744))</f>
        <v>0</v>
      </c>
      <c r="AL1744">
        <f>IF(COUNT($E$2:$E1744)&lt;20,"",STDEVP($E$1725:$E$1744))</f>
        <v>0</v>
      </c>
      <c r="AM1744">
        <f>IF(AK1744="","",AK1744+2*AL1744)</f>
        <v>0</v>
      </c>
      <c r="AN1744">
        <f>IF(AK1744="","",AK1744-2*AL1744)</f>
        <v>0</v>
      </c>
      <c r="AO1744">
        <f>IF(OR(AM1744="",AN1744="",AM1744=AN1744),"",($E1744-AN1744)/(AM1744-AN1744))</f>
        <v>0</v>
      </c>
      <c r="AP1744">
        <f>IF(OR(AM1744="",AK1744="",AK1744=0),"",(AM1744-AN1744)/AK1744)</f>
        <v>0</v>
      </c>
      <c r="AQ1744">
        <f>IF(COUNT($E$2:$E1744)&lt;20,"",MAX($C$1725:$C$1744))</f>
        <v>0</v>
      </c>
      <c r="AR1744">
        <f>IF(COUNT($E$2:$E1744)&lt;20,"",MIN($D$1725:$D$1744))</f>
        <v>0</v>
      </c>
      <c r="AS1744">
        <f>IF(OR(AQ1744="",AR1744=""),"",(AQ1744+AR1744)/2)</f>
        <v>0</v>
      </c>
      <c r="AT1744">
        <f>IF(COUNT($G$1725:$G$1744)&lt;20,"",STDEV($G$1725:$G$1744)*SQRT(252))</f>
        <v>0</v>
      </c>
      <c r="AU1744">
        <f>IF(COUNT($E$2:$E1744)&lt;9,"",(MAX($C$1736:$C$1744)+MIN($D$1736:$D$1744))/2)</f>
        <v>0</v>
      </c>
      <c r="AV1744">
        <f>IF(COUNT($E$2:$E1744)&lt;26,"",(MAX($C$1719:$C$1744)+MIN($D$1719:$D$1744))/2)</f>
        <v>0</v>
      </c>
      <c r="AW1744">
        <f>IF(OR(AU1744="",AV1744=""),"",(AU1744+AV1744)/2)</f>
        <v>0</v>
      </c>
      <c r="AX1744">
        <f>IF(COUNT($E$2:$E1744)&lt;52,"",(MAX($C$1693:$C$1744)+MIN($D$1693:$D$1744))/2)</f>
        <v>0</v>
      </c>
      <c r="AY1744">
        <f>IF(COUNT($E$2:$E1744)&lt;20,"",MAX($C$1645:$C$1744))</f>
        <v>0</v>
      </c>
      <c r="AZ1744">
        <f>IF(COUNT($E$2:$E1744)&lt;20,"",MIN($D$1645:$D$1744))</f>
        <v>0</v>
      </c>
      <c r="BA1744">
        <f>IF(COUNT($E$2:$E1744)&lt;20,"",SLOPE($E$1645:$E$1744,$F$1645:$F$1744))</f>
        <v>0</v>
      </c>
      <c r="BB1744">
        <f>IF(COUNT($E$2:$E1744)&lt;20,"",INTERCEPT($E$1645:$E$1744,$F$1645:$F$1744))</f>
        <v>0</v>
      </c>
      <c r="BC1744">
        <f>IF(OR(BA1744="",BB1744=""),"",BB1744+BA1744*F1744)</f>
        <v>0</v>
      </c>
      <c r="BD1744">
        <f>IF(COUNT($E$2:$E1744)&lt;20,"",STEYX($E$1645:$E$1744,$F$1645:$F$1744))</f>
        <v>0</v>
      </c>
      <c r="BE1744">
        <f>IF($E1744="","",IF(AND(COUNT($E$1745:$E$1748)&gt;=4,$C1744=MAX($C$1740:$C$1748)),$C1744,""))</f>
        <v>0</v>
      </c>
      <c r="BF1744">
        <f>IF($E1744="","",IF(AND(COUNT($E$1745:$E$1748)&gt;=4,$D1744=MIN($D$1740:$D$1748)),$D1744,""))</f>
        <v>0</v>
      </c>
      <c r="BG1744">
        <f>IF($A1744="","",$A1744-WEEKDAY($A1744,2)+1)</f>
        <v>0</v>
      </c>
      <c r="BH1744">
        <f>IF($A1744="","",IF($A1743="",1,IF(BG1744&lt;&gt;BG1743,1,0)))</f>
        <v>0</v>
      </c>
      <c r="BI1744">
        <f>IF($A1744="","",IF($A1745="",1,IF(BG1745&lt;&gt;BG1744,1,0)))</f>
        <v>0</v>
      </c>
      <c r="BJ1744">
        <f>IF($A1744="","",IF(BH1744=1,$B1744,BJ1743))</f>
        <v>0</v>
      </c>
      <c r="BK1744">
        <f>IF($A1744="","",IF(BH1744=1,$C1744,MAX($C1744,BK1743)))</f>
        <v>0</v>
      </c>
      <c r="BL1744">
        <f>IF($A1744="","",IF(BH1744=1,$D1744,MIN($D1744,BL1743)))</f>
        <v>0</v>
      </c>
      <c r="BM1744">
        <f>IF($A1744="","",IF(BI1744=1,F1744,""))</f>
        <v>0</v>
      </c>
      <c r="BN1744">
        <f>IF($A1744="","",DATE(YEAR($A1744),MONTH($A1744),1))</f>
        <v>0</v>
      </c>
      <c r="BO1744">
        <f>IF($A1744="","",IF($A1743="",1,IF(BN1744&lt;&gt;BN1743,1,0)))</f>
        <v>0</v>
      </c>
      <c r="BP1744">
        <f>IF($A1744="","",IF($A1745="",1,IF(BN1745&lt;&gt;BN1744,1,0)))</f>
        <v>0</v>
      </c>
      <c r="BQ1744">
        <f>IF($A1744="","",IF(BO1744=1,$B1744,BQ1743))</f>
        <v>0</v>
      </c>
      <c r="BR1744">
        <f>IF($A1744="","",IF(BO1744=1,$C1744,MAX($C1744,BR1743)))</f>
        <v>0</v>
      </c>
      <c r="BS1744">
        <f>IF($A1744="","",IF(BO1744=1,$D1744,MIN($D1744,BS1743)))</f>
        <v>0</v>
      </c>
      <c r="BT1744">
        <f>IF($A1744="","",IF(BP1744=1,F1744,""))</f>
        <v>0</v>
      </c>
    </row>
    <row r="1745" spans="1:72">
      <c r="A1745" s="27">
        <f>IF(Data!$A1745="","",Data!$A1745)</f>
        <v>0</v>
      </c>
      <c r="B1745">
        <f>IF(Data!$B1745="","",Data!$B1745)</f>
        <v>0</v>
      </c>
      <c r="C1745">
        <f>IF(Data!$C1745="","",Data!$C1745)</f>
        <v>0</v>
      </c>
      <c r="D1745">
        <f>IF(Data!$D1745="","",Data!$D1745)</f>
        <v>0</v>
      </c>
      <c r="E1745">
        <f>IF(Data!$E1745="","",Data!$E1745)</f>
        <v>0</v>
      </c>
      <c r="F1745">
        <f>IF($E1745="","",N(F1744)+1)</f>
        <v>0</v>
      </c>
      <c r="G1745">
        <f>IF(OR($E1745="",$E1744=""),"",LN($E1745/$E1744))</f>
        <v>0</v>
      </c>
      <c r="H1745">
        <f>IF($E1745="","",IF($E1744="",$E1745,$E1745*0.0952380952+H1744*0.9047619048))</f>
        <v>0</v>
      </c>
      <c r="I1745">
        <f>IF($E1745="","",IF($E1744="",$E1745,$E1745*0.0392156863+I1744*0.9607843137))</f>
        <v>0</v>
      </c>
      <c r="J1745">
        <f>IF($E1745="","",IF($E1744="",$E1745,$E1745*0.0198019802+J1744*0.9801980198))</f>
        <v>0</v>
      </c>
      <c r="K1745">
        <f>IF($E1745="","",IF($E1744="",$E1745,$E1745*0.0099502488+K1744*0.9900497512))</f>
        <v>0</v>
      </c>
      <c r="L1745">
        <f>IF(OR($E1745="",$E1744=""),"",MAX($E1745-$E1744,0))</f>
        <v>0</v>
      </c>
      <c r="M1745">
        <f>IF(OR($E1745="",$E1744=""),"",MAX($E1744-$E1745,0))</f>
        <v>0</v>
      </c>
      <c r="N1745">
        <f>IF(COUNT($E$2:$E1745)&lt;15,"",IF(AVERAGE($M$1732:$M$1745)=0,100,100-100/(1+AVERAGE($L$1732:$L$1745)/AVERAGE($M$1732:$M$1745))))</f>
        <v>0</v>
      </c>
      <c r="O1745">
        <f>IF($E1745="","",IF($E1744="",$E1745,$E1745*0.1538461538+O1744*0.8461538462))</f>
        <v>0</v>
      </c>
      <c r="P1745">
        <f>IF($E1745="","",IF($E1744="",$E1745,$E1745*0.0740740741+P1744*0.9259259259))</f>
        <v>0</v>
      </c>
      <c r="Q1745">
        <f>IF(OR(O1745="",P1745=""),"",O1745-P1745)</f>
        <v>0</v>
      </c>
      <c r="R1745">
        <f>IF(Q1745="","",IF(R1744="",Q1745,Q1745*0.2000000000+R1744*0.8000000000))</f>
        <v>0</v>
      </c>
      <c r="S1745">
        <f>IF(OR(Q1745="",R1745=""),"",Q1745-R1745)</f>
        <v>0</v>
      </c>
      <c r="T1745">
        <f>IF(COUNT($E$2:$E1745)&lt;14,"",MAX($C$1732:$C$1745))</f>
        <v>0</v>
      </c>
      <c r="U1745">
        <f>IF(COUNT($E$2:$E1745)&lt;14,"",MIN($D$1732:$D$1745))</f>
        <v>0</v>
      </c>
      <c r="V1745">
        <f>IF(OR(T1745="",U1745="",T1745=U1745),"",100*($E1745-U1745)/(T1745-U1745))</f>
        <v>0</v>
      </c>
      <c r="W1745">
        <f>IF(COUNT($V$1743:$V$1745)&lt;3,"",AVERAGE($V$1743:$V$1745))</f>
        <v>0</v>
      </c>
      <c r="X1745">
        <f>IF(COUNT($N$1732:$N$1745)&lt;14,"",MIN($N$1732:$N$1745))</f>
        <v>0</v>
      </c>
      <c r="Y1745">
        <f>IF(COUNT($N$1732:$N$1745)&lt;14,"",MAX($N$1732:$N$1745))</f>
        <v>0</v>
      </c>
      <c r="Z1745">
        <f>IF(OR(N1745="",X1745="",Y1745="",Y1745=X1745),"",100*(N1745-X1745)/(Y1745-X1745))</f>
        <v>0</v>
      </c>
      <c r="AA1745">
        <f>IF(COUNT($Z$1743:$Z$1745)&lt;3,"",AVERAGE($Z$1743:$Z$1745))</f>
        <v>0</v>
      </c>
      <c r="AB1745">
        <f>IF(COUNT($AA$1743:$AA$1745)&lt;3,"",AVERAGE($AA$1743:$AA$1745))</f>
        <v>0</v>
      </c>
      <c r="AC1745">
        <f>IF($E1745="","",MAX($C1745-$D1745,ABS($C1745-$E1744),ABS($D1745-$E1744)))</f>
        <v>0</v>
      </c>
      <c r="AD1745">
        <f>IF(COUNT($E$2:$E1745)&lt;15,"",AVERAGE($AC$1732:$AC$1745))</f>
        <v>0</v>
      </c>
      <c r="AE1745">
        <f>IF(OR($E1745="",$E1744=""),"",IF(AND(($C1745-$C1744)&gt;($D1744-$D1745),($C1745-$C1744)&gt;0),$C1745-$C1744,0))</f>
        <v>0</v>
      </c>
      <c r="AF1745">
        <f>IF(OR($E1745="",$E1744=""),"",IF(AND(($D1744-$D1745)&gt;($C1745-$C1744),($D1744-$D1745)&gt;0),$D1744-$D1745,0))</f>
        <v>0</v>
      </c>
      <c r="AG1745">
        <f>IF(COUNT($E$2:$E1745)&lt;15,"",IF(SUM($AC$1732:$AC$1745)=0,0,100*SUM($AE$1732:$AE$1745)/SUM($AC$1732:$AC$1745)))</f>
        <v>0</v>
      </c>
      <c r="AH1745">
        <f>IF(COUNT($E$2:$E1745)&lt;15,"",IF(SUM($AC$1732:$AC$1745)=0,0,100*SUM($AF$1732:$AF$1745)/SUM($AC$1732:$AC$1745)))</f>
        <v>0</v>
      </c>
      <c r="AI1745">
        <f>IF(OR(AG1745="",AH1745=""),"",IF((AG1745+AH1745)=0,0,100*ABS(AG1745-AH1745)/(AG1745+AH1745)))</f>
        <v>0</v>
      </c>
      <c r="AJ1745">
        <f>IF(COUNT($AI$1732:$AI$1745)&lt;14,"",AVERAGE($AI$1732:$AI$1745))</f>
        <v>0</v>
      </c>
      <c r="AK1745">
        <f>IF(COUNT($E$2:$E1745)&lt;20,"",AVERAGE($E$1726:$E$1745))</f>
        <v>0</v>
      </c>
      <c r="AL1745">
        <f>IF(COUNT($E$2:$E1745)&lt;20,"",STDEVP($E$1726:$E$1745))</f>
        <v>0</v>
      </c>
      <c r="AM1745">
        <f>IF(AK1745="","",AK1745+2*AL1745)</f>
        <v>0</v>
      </c>
      <c r="AN1745">
        <f>IF(AK1745="","",AK1745-2*AL1745)</f>
        <v>0</v>
      </c>
      <c r="AO1745">
        <f>IF(OR(AM1745="",AN1745="",AM1745=AN1745),"",($E1745-AN1745)/(AM1745-AN1745))</f>
        <v>0</v>
      </c>
      <c r="AP1745">
        <f>IF(OR(AM1745="",AK1745="",AK1745=0),"",(AM1745-AN1745)/AK1745)</f>
        <v>0</v>
      </c>
      <c r="AQ1745">
        <f>IF(COUNT($E$2:$E1745)&lt;20,"",MAX($C$1726:$C$1745))</f>
        <v>0</v>
      </c>
      <c r="AR1745">
        <f>IF(COUNT($E$2:$E1745)&lt;20,"",MIN($D$1726:$D$1745))</f>
        <v>0</v>
      </c>
      <c r="AS1745">
        <f>IF(OR(AQ1745="",AR1745=""),"",(AQ1745+AR1745)/2)</f>
        <v>0</v>
      </c>
      <c r="AT1745">
        <f>IF(COUNT($G$1726:$G$1745)&lt;20,"",STDEV($G$1726:$G$1745)*SQRT(252))</f>
        <v>0</v>
      </c>
      <c r="AU1745">
        <f>IF(COUNT($E$2:$E1745)&lt;9,"",(MAX($C$1737:$C$1745)+MIN($D$1737:$D$1745))/2)</f>
        <v>0</v>
      </c>
      <c r="AV1745">
        <f>IF(COUNT($E$2:$E1745)&lt;26,"",(MAX($C$1720:$C$1745)+MIN($D$1720:$D$1745))/2)</f>
        <v>0</v>
      </c>
      <c r="AW1745">
        <f>IF(OR(AU1745="",AV1745=""),"",(AU1745+AV1745)/2)</f>
        <v>0</v>
      </c>
      <c r="AX1745">
        <f>IF(COUNT($E$2:$E1745)&lt;52,"",(MAX($C$1694:$C$1745)+MIN($D$1694:$D$1745))/2)</f>
        <v>0</v>
      </c>
      <c r="AY1745">
        <f>IF(COUNT($E$2:$E1745)&lt;20,"",MAX($C$1646:$C$1745))</f>
        <v>0</v>
      </c>
      <c r="AZ1745">
        <f>IF(COUNT($E$2:$E1745)&lt;20,"",MIN($D$1646:$D$1745))</f>
        <v>0</v>
      </c>
      <c r="BA1745">
        <f>IF(COUNT($E$2:$E1745)&lt;20,"",SLOPE($E$1646:$E$1745,$F$1646:$F$1745))</f>
        <v>0</v>
      </c>
      <c r="BB1745">
        <f>IF(COUNT($E$2:$E1745)&lt;20,"",INTERCEPT($E$1646:$E$1745,$F$1646:$F$1745))</f>
        <v>0</v>
      </c>
      <c r="BC1745">
        <f>IF(OR(BA1745="",BB1745=""),"",BB1745+BA1745*F1745)</f>
        <v>0</v>
      </c>
      <c r="BD1745">
        <f>IF(COUNT($E$2:$E1745)&lt;20,"",STEYX($E$1646:$E$1745,$F$1646:$F$1745))</f>
        <v>0</v>
      </c>
      <c r="BE1745">
        <f>IF($E1745="","",IF(AND(COUNT($E$1746:$E$1749)&gt;=4,$C1745=MAX($C$1741:$C$1749)),$C1745,""))</f>
        <v>0</v>
      </c>
      <c r="BF1745">
        <f>IF($E1745="","",IF(AND(COUNT($E$1746:$E$1749)&gt;=4,$D1745=MIN($D$1741:$D$1749)),$D1745,""))</f>
        <v>0</v>
      </c>
      <c r="BG1745">
        <f>IF($A1745="","",$A1745-WEEKDAY($A1745,2)+1)</f>
        <v>0</v>
      </c>
      <c r="BH1745">
        <f>IF($A1745="","",IF($A1744="",1,IF(BG1745&lt;&gt;BG1744,1,0)))</f>
        <v>0</v>
      </c>
      <c r="BI1745">
        <f>IF($A1745="","",IF($A1746="",1,IF(BG1746&lt;&gt;BG1745,1,0)))</f>
        <v>0</v>
      </c>
      <c r="BJ1745">
        <f>IF($A1745="","",IF(BH1745=1,$B1745,BJ1744))</f>
        <v>0</v>
      </c>
      <c r="BK1745">
        <f>IF($A1745="","",IF(BH1745=1,$C1745,MAX($C1745,BK1744)))</f>
        <v>0</v>
      </c>
      <c r="BL1745">
        <f>IF($A1745="","",IF(BH1745=1,$D1745,MIN($D1745,BL1744)))</f>
        <v>0</v>
      </c>
      <c r="BM1745">
        <f>IF($A1745="","",IF(BI1745=1,F1745,""))</f>
        <v>0</v>
      </c>
      <c r="BN1745">
        <f>IF($A1745="","",DATE(YEAR($A1745),MONTH($A1745),1))</f>
        <v>0</v>
      </c>
      <c r="BO1745">
        <f>IF($A1745="","",IF($A1744="",1,IF(BN1745&lt;&gt;BN1744,1,0)))</f>
        <v>0</v>
      </c>
      <c r="BP1745">
        <f>IF($A1745="","",IF($A1746="",1,IF(BN1746&lt;&gt;BN1745,1,0)))</f>
        <v>0</v>
      </c>
      <c r="BQ1745">
        <f>IF($A1745="","",IF(BO1745=1,$B1745,BQ1744))</f>
        <v>0</v>
      </c>
      <c r="BR1745">
        <f>IF($A1745="","",IF(BO1745=1,$C1745,MAX($C1745,BR1744)))</f>
        <v>0</v>
      </c>
      <c r="BS1745">
        <f>IF($A1745="","",IF(BO1745=1,$D1745,MIN($D1745,BS1744)))</f>
        <v>0</v>
      </c>
      <c r="BT1745">
        <f>IF($A1745="","",IF(BP1745=1,F1745,""))</f>
        <v>0</v>
      </c>
    </row>
    <row r="1746" spans="1:72">
      <c r="A1746" s="27">
        <f>IF(Data!$A1746="","",Data!$A1746)</f>
        <v>0</v>
      </c>
      <c r="B1746">
        <f>IF(Data!$B1746="","",Data!$B1746)</f>
        <v>0</v>
      </c>
      <c r="C1746">
        <f>IF(Data!$C1746="","",Data!$C1746)</f>
        <v>0</v>
      </c>
      <c r="D1746">
        <f>IF(Data!$D1746="","",Data!$D1746)</f>
        <v>0</v>
      </c>
      <c r="E1746">
        <f>IF(Data!$E1746="","",Data!$E1746)</f>
        <v>0</v>
      </c>
      <c r="F1746">
        <f>IF($E1746="","",N(F1745)+1)</f>
        <v>0</v>
      </c>
      <c r="G1746">
        <f>IF(OR($E1746="",$E1745=""),"",LN($E1746/$E1745))</f>
        <v>0</v>
      </c>
      <c r="H1746">
        <f>IF($E1746="","",IF($E1745="",$E1746,$E1746*0.0952380952+H1745*0.9047619048))</f>
        <v>0</v>
      </c>
      <c r="I1746">
        <f>IF($E1746="","",IF($E1745="",$E1746,$E1746*0.0392156863+I1745*0.9607843137))</f>
        <v>0</v>
      </c>
      <c r="J1746">
        <f>IF($E1746="","",IF($E1745="",$E1746,$E1746*0.0198019802+J1745*0.9801980198))</f>
        <v>0</v>
      </c>
      <c r="K1746">
        <f>IF($E1746="","",IF($E1745="",$E1746,$E1746*0.0099502488+K1745*0.9900497512))</f>
        <v>0</v>
      </c>
      <c r="L1746">
        <f>IF(OR($E1746="",$E1745=""),"",MAX($E1746-$E1745,0))</f>
        <v>0</v>
      </c>
      <c r="M1746">
        <f>IF(OR($E1746="",$E1745=""),"",MAX($E1745-$E1746,0))</f>
        <v>0</v>
      </c>
      <c r="N1746">
        <f>IF(COUNT($E$2:$E1746)&lt;15,"",IF(AVERAGE($M$1733:$M$1746)=0,100,100-100/(1+AVERAGE($L$1733:$L$1746)/AVERAGE($M$1733:$M$1746))))</f>
        <v>0</v>
      </c>
      <c r="O1746">
        <f>IF($E1746="","",IF($E1745="",$E1746,$E1746*0.1538461538+O1745*0.8461538462))</f>
        <v>0</v>
      </c>
      <c r="P1746">
        <f>IF($E1746="","",IF($E1745="",$E1746,$E1746*0.0740740741+P1745*0.9259259259))</f>
        <v>0</v>
      </c>
      <c r="Q1746">
        <f>IF(OR(O1746="",P1746=""),"",O1746-P1746)</f>
        <v>0</v>
      </c>
      <c r="R1746">
        <f>IF(Q1746="","",IF(R1745="",Q1746,Q1746*0.2000000000+R1745*0.8000000000))</f>
        <v>0</v>
      </c>
      <c r="S1746">
        <f>IF(OR(Q1746="",R1746=""),"",Q1746-R1746)</f>
        <v>0</v>
      </c>
      <c r="T1746">
        <f>IF(COUNT($E$2:$E1746)&lt;14,"",MAX($C$1733:$C$1746))</f>
        <v>0</v>
      </c>
      <c r="U1746">
        <f>IF(COUNT($E$2:$E1746)&lt;14,"",MIN($D$1733:$D$1746))</f>
        <v>0</v>
      </c>
      <c r="V1746">
        <f>IF(OR(T1746="",U1746="",T1746=U1746),"",100*($E1746-U1746)/(T1746-U1746))</f>
        <v>0</v>
      </c>
      <c r="W1746">
        <f>IF(COUNT($V$1744:$V$1746)&lt;3,"",AVERAGE($V$1744:$V$1746))</f>
        <v>0</v>
      </c>
      <c r="X1746">
        <f>IF(COUNT($N$1733:$N$1746)&lt;14,"",MIN($N$1733:$N$1746))</f>
        <v>0</v>
      </c>
      <c r="Y1746">
        <f>IF(COUNT($N$1733:$N$1746)&lt;14,"",MAX($N$1733:$N$1746))</f>
        <v>0</v>
      </c>
      <c r="Z1746">
        <f>IF(OR(N1746="",X1746="",Y1746="",Y1746=X1746),"",100*(N1746-X1746)/(Y1746-X1746))</f>
        <v>0</v>
      </c>
      <c r="AA1746">
        <f>IF(COUNT($Z$1744:$Z$1746)&lt;3,"",AVERAGE($Z$1744:$Z$1746))</f>
        <v>0</v>
      </c>
      <c r="AB1746">
        <f>IF(COUNT($AA$1744:$AA$1746)&lt;3,"",AVERAGE($AA$1744:$AA$1746))</f>
        <v>0</v>
      </c>
      <c r="AC1746">
        <f>IF($E1746="","",MAX($C1746-$D1746,ABS($C1746-$E1745),ABS($D1746-$E1745)))</f>
        <v>0</v>
      </c>
      <c r="AD1746">
        <f>IF(COUNT($E$2:$E1746)&lt;15,"",AVERAGE($AC$1733:$AC$1746))</f>
        <v>0</v>
      </c>
      <c r="AE1746">
        <f>IF(OR($E1746="",$E1745=""),"",IF(AND(($C1746-$C1745)&gt;($D1745-$D1746),($C1746-$C1745)&gt;0),$C1746-$C1745,0))</f>
        <v>0</v>
      </c>
      <c r="AF1746">
        <f>IF(OR($E1746="",$E1745=""),"",IF(AND(($D1745-$D1746)&gt;($C1746-$C1745),($D1745-$D1746)&gt;0),$D1745-$D1746,0))</f>
        <v>0</v>
      </c>
      <c r="AG1746">
        <f>IF(COUNT($E$2:$E1746)&lt;15,"",IF(SUM($AC$1733:$AC$1746)=0,0,100*SUM($AE$1733:$AE$1746)/SUM($AC$1733:$AC$1746)))</f>
        <v>0</v>
      </c>
      <c r="AH1746">
        <f>IF(COUNT($E$2:$E1746)&lt;15,"",IF(SUM($AC$1733:$AC$1746)=0,0,100*SUM($AF$1733:$AF$1746)/SUM($AC$1733:$AC$1746)))</f>
        <v>0</v>
      </c>
      <c r="AI1746">
        <f>IF(OR(AG1746="",AH1746=""),"",IF((AG1746+AH1746)=0,0,100*ABS(AG1746-AH1746)/(AG1746+AH1746)))</f>
        <v>0</v>
      </c>
      <c r="AJ1746">
        <f>IF(COUNT($AI$1733:$AI$1746)&lt;14,"",AVERAGE($AI$1733:$AI$1746))</f>
        <v>0</v>
      </c>
      <c r="AK1746">
        <f>IF(COUNT($E$2:$E1746)&lt;20,"",AVERAGE($E$1727:$E$1746))</f>
        <v>0</v>
      </c>
      <c r="AL1746">
        <f>IF(COUNT($E$2:$E1746)&lt;20,"",STDEVP($E$1727:$E$1746))</f>
        <v>0</v>
      </c>
      <c r="AM1746">
        <f>IF(AK1746="","",AK1746+2*AL1746)</f>
        <v>0</v>
      </c>
      <c r="AN1746">
        <f>IF(AK1746="","",AK1746-2*AL1746)</f>
        <v>0</v>
      </c>
      <c r="AO1746">
        <f>IF(OR(AM1746="",AN1746="",AM1746=AN1746),"",($E1746-AN1746)/(AM1746-AN1746))</f>
        <v>0</v>
      </c>
      <c r="AP1746">
        <f>IF(OR(AM1746="",AK1746="",AK1746=0),"",(AM1746-AN1746)/AK1746)</f>
        <v>0</v>
      </c>
      <c r="AQ1746">
        <f>IF(COUNT($E$2:$E1746)&lt;20,"",MAX($C$1727:$C$1746))</f>
        <v>0</v>
      </c>
      <c r="AR1746">
        <f>IF(COUNT($E$2:$E1746)&lt;20,"",MIN($D$1727:$D$1746))</f>
        <v>0</v>
      </c>
      <c r="AS1746">
        <f>IF(OR(AQ1746="",AR1746=""),"",(AQ1746+AR1746)/2)</f>
        <v>0</v>
      </c>
      <c r="AT1746">
        <f>IF(COUNT($G$1727:$G$1746)&lt;20,"",STDEV($G$1727:$G$1746)*SQRT(252))</f>
        <v>0</v>
      </c>
      <c r="AU1746">
        <f>IF(COUNT($E$2:$E1746)&lt;9,"",(MAX($C$1738:$C$1746)+MIN($D$1738:$D$1746))/2)</f>
        <v>0</v>
      </c>
      <c r="AV1746">
        <f>IF(COUNT($E$2:$E1746)&lt;26,"",(MAX($C$1721:$C$1746)+MIN($D$1721:$D$1746))/2)</f>
        <v>0</v>
      </c>
      <c r="AW1746">
        <f>IF(OR(AU1746="",AV1746=""),"",(AU1746+AV1746)/2)</f>
        <v>0</v>
      </c>
      <c r="AX1746">
        <f>IF(COUNT($E$2:$E1746)&lt;52,"",(MAX($C$1695:$C$1746)+MIN($D$1695:$D$1746))/2)</f>
        <v>0</v>
      </c>
      <c r="AY1746">
        <f>IF(COUNT($E$2:$E1746)&lt;20,"",MAX($C$1647:$C$1746))</f>
        <v>0</v>
      </c>
      <c r="AZ1746">
        <f>IF(COUNT($E$2:$E1746)&lt;20,"",MIN($D$1647:$D$1746))</f>
        <v>0</v>
      </c>
      <c r="BA1746">
        <f>IF(COUNT($E$2:$E1746)&lt;20,"",SLOPE($E$1647:$E$1746,$F$1647:$F$1746))</f>
        <v>0</v>
      </c>
      <c r="BB1746">
        <f>IF(COUNT($E$2:$E1746)&lt;20,"",INTERCEPT($E$1647:$E$1746,$F$1647:$F$1746))</f>
        <v>0</v>
      </c>
      <c r="BC1746">
        <f>IF(OR(BA1746="",BB1746=""),"",BB1746+BA1746*F1746)</f>
        <v>0</v>
      </c>
      <c r="BD1746">
        <f>IF(COUNT($E$2:$E1746)&lt;20,"",STEYX($E$1647:$E$1746,$F$1647:$F$1746))</f>
        <v>0</v>
      </c>
      <c r="BE1746">
        <f>IF($E1746="","",IF(AND(COUNT($E$1747:$E$1750)&gt;=4,$C1746=MAX($C$1742:$C$1750)),$C1746,""))</f>
        <v>0</v>
      </c>
      <c r="BF1746">
        <f>IF($E1746="","",IF(AND(COUNT($E$1747:$E$1750)&gt;=4,$D1746=MIN($D$1742:$D$1750)),$D1746,""))</f>
        <v>0</v>
      </c>
      <c r="BG1746">
        <f>IF($A1746="","",$A1746-WEEKDAY($A1746,2)+1)</f>
        <v>0</v>
      </c>
      <c r="BH1746">
        <f>IF($A1746="","",IF($A1745="",1,IF(BG1746&lt;&gt;BG1745,1,0)))</f>
        <v>0</v>
      </c>
      <c r="BI1746">
        <f>IF($A1746="","",IF($A1747="",1,IF(BG1747&lt;&gt;BG1746,1,0)))</f>
        <v>0</v>
      </c>
      <c r="BJ1746">
        <f>IF($A1746="","",IF(BH1746=1,$B1746,BJ1745))</f>
        <v>0</v>
      </c>
      <c r="BK1746">
        <f>IF($A1746="","",IF(BH1746=1,$C1746,MAX($C1746,BK1745)))</f>
        <v>0</v>
      </c>
      <c r="BL1746">
        <f>IF($A1746="","",IF(BH1746=1,$D1746,MIN($D1746,BL1745)))</f>
        <v>0</v>
      </c>
      <c r="BM1746">
        <f>IF($A1746="","",IF(BI1746=1,F1746,""))</f>
        <v>0</v>
      </c>
      <c r="BN1746">
        <f>IF($A1746="","",DATE(YEAR($A1746),MONTH($A1746),1))</f>
        <v>0</v>
      </c>
      <c r="BO1746">
        <f>IF($A1746="","",IF($A1745="",1,IF(BN1746&lt;&gt;BN1745,1,0)))</f>
        <v>0</v>
      </c>
      <c r="BP1746">
        <f>IF($A1746="","",IF($A1747="",1,IF(BN1747&lt;&gt;BN1746,1,0)))</f>
        <v>0</v>
      </c>
      <c r="BQ1746">
        <f>IF($A1746="","",IF(BO1746=1,$B1746,BQ1745))</f>
        <v>0</v>
      </c>
      <c r="BR1746">
        <f>IF($A1746="","",IF(BO1746=1,$C1746,MAX($C1746,BR1745)))</f>
        <v>0</v>
      </c>
      <c r="BS1746">
        <f>IF($A1746="","",IF(BO1746=1,$D1746,MIN($D1746,BS1745)))</f>
        <v>0</v>
      </c>
      <c r="BT1746">
        <f>IF($A1746="","",IF(BP1746=1,F1746,""))</f>
        <v>0</v>
      </c>
    </row>
    <row r="1747" spans="1:72">
      <c r="A1747" s="27">
        <f>IF(Data!$A1747="","",Data!$A1747)</f>
        <v>0</v>
      </c>
      <c r="B1747">
        <f>IF(Data!$B1747="","",Data!$B1747)</f>
        <v>0</v>
      </c>
      <c r="C1747">
        <f>IF(Data!$C1747="","",Data!$C1747)</f>
        <v>0</v>
      </c>
      <c r="D1747">
        <f>IF(Data!$D1747="","",Data!$D1747)</f>
        <v>0</v>
      </c>
      <c r="E1747">
        <f>IF(Data!$E1747="","",Data!$E1747)</f>
        <v>0</v>
      </c>
      <c r="F1747">
        <f>IF($E1747="","",N(F1746)+1)</f>
        <v>0</v>
      </c>
      <c r="G1747">
        <f>IF(OR($E1747="",$E1746=""),"",LN($E1747/$E1746))</f>
        <v>0</v>
      </c>
      <c r="H1747">
        <f>IF($E1747="","",IF($E1746="",$E1747,$E1747*0.0952380952+H1746*0.9047619048))</f>
        <v>0</v>
      </c>
      <c r="I1747">
        <f>IF($E1747="","",IF($E1746="",$E1747,$E1747*0.0392156863+I1746*0.9607843137))</f>
        <v>0</v>
      </c>
      <c r="J1747">
        <f>IF($E1747="","",IF($E1746="",$E1747,$E1747*0.0198019802+J1746*0.9801980198))</f>
        <v>0</v>
      </c>
      <c r="K1747">
        <f>IF($E1747="","",IF($E1746="",$E1747,$E1747*0.0099502488+K1746*0.9900497512))</f>
        <v>0</v>
      </c>
      <c r="L1747">
        <f>IF(OR($E1747="",$E1746=""),"",MAX($E1747-$E1746,0))</f>
        <v>0</v>
      </c>
      <c r="M1747">
        <f>IF(OR($E1747="",$E1746=""),"",MAX($E1746-$E1747,0))</f>
        <v>0</v>
      </c>
      <c r="N1747">
        <f>IF(COUNT($E$2:$E1747)&lt;15,"",IF(AVERAGE($M$1734:$M$1747)=0,100,100-100/(1+AVERAGE($L$1734:$L$1747)/AVERAGE($M$1734:$M$1747))))</f>
        <v>0</v>
      </c>
      <c r="O1747">
        <f>IF($E1747="","",IF($E1746="",$E1747,$E1747*0.1538461538+O1746*0.8461538462))</f>
        <v>0</v>
      </c>
      <c r="P1747">
        <f>IF($E1747="","",IF($E1746="",$E1747,$E1747*0.0740740741+P1746*0.9259259259))</f>
        <v>0</v>
      </c>
      <c r="Q1747">
        <f>IF(OR(O1747="",P1747=""),"",O1747-P1747)</f>
        <v>0</v>
      </c>
      <c r="R1747">
        <f>IF(Q1747="","",IF(R1746="",Q1747,Q1747*0.2000000000+R1746*0.8000000000))</f>
        <v>0</v>
      </c>
      <c r="S1747">
        <f>IF(OR(Q1747="",R1747=""),"",Q1747-R1747)</f>
        <v>0</v>
      </c>
      <c r="T1747">
        <f>IF(COUNT($E$2:$E1747)&lt;14,"",MAX($C$1734:$C$1747))</f>
        <v>0</v>
      </c>
      <c r="U1747">
        <f>IF(COUNT($E$2:$E1747)&lt;14,"",MIN($D$1734:$D$1747))</f>
        <v>0</v>
      </c>
      <c r="V1747">
        <f>IF(OR(T1747="",U1747="",T1747=U1747),"",100*($E1747-U1747)/(T1747-U1747))</f>
        <v>0</v>
      </c>
      <c r="W1747">
        <f>IF(COUNT($V$1745:$V$1747)&lt;3,"",AVERAGE($V$1745:$V$1747))</f>
        <v>0</v>
      </c>
      <c r="X1747">
        <f>IF(COUNT($N$1734:$N$1747)&lt;14,"",MIN($N$1734:$N$1747))</f>
        <v>0</v>
      </c>
      <c r="Y1747">
        <f>IF(COUNT($N$1734:$N$1747)&lt;14,"",MAX($N$1734:$N$1747))</f>
        <v>0</v>
      </c>
      <c r="Z1747">
        <f>IF(OR(N1747="",X1747="",Y1747="",Y1747=X1747),"",100*(N1747-X1747)/(Y1747-X1747))</f>
        <v>0</v>
      </c>
      <c r="AA1747">
        <f>IF(COUNT($Z$1745:$Z$1747)&lt;3,"",AVERAGE($Z$1745:$Z$1747))</f>
        <v>0</v>
      </c>
      <c r="AB1747">
        <f>IF(COUNT($AA$1745:$AA$1747)&lt;3,"",AVERAGE($AA$1745:$AA$1747))</f>
        <v>0</v>
      </c>
      <c r="AC1747">
        <f>IF($E1747="","",MAX($C1747-$D1747,ABS($C1747-$E1746),ABS($D1747-$E1746)))</f>
        <v>0</v>
      </c>
      <c r="AD1747">
        <f>IF(COUNT($E$2:$E1747)&lt;15,"",AVERAGE($AC$1734:$AC$1747))</f>
        <v>0</v>
      </c>
      <c r="AE1747">
        <f>IF(OR($E1747="",$E1746=""),"",IF(AND(($C1747-$C1746)&gt;($D1746-$D1747),($C1747-$C1746)&gt;0),$C1747-$C1746,0))</f>
        <v>0</v>
      </c>
      <c r="AF1747">
        <f>IF(OR($E1747="",$E1746=""),"",IF(AND(($D1746-$D1747)&gt;($C1747-$C1746),($D1746-$D1747)&gt;0),$D1746-$D1747,0))</f>
        <v>0</v>
      </c>
      <c r="AG1747">
        <f>IF(COUNT($E$2:$E1747)&lt;15,"",IF(SUM($AC$1734:$AC$1747)=0,0,100*SUM($AE$1734:$AE$1747)/SUM($AC$1734:$AC$1747)))</f>
        <v>0</v>
      </c>
      <c r="AH1747">
        <f>IF(COUNT($E$2:$E1747)&lt;15,"",IF(SUM($AC$1734:$AC$1747)=0,0,100*SUM($AF$1734:$AF$1747)/SUM($AC$1734:$AC$1747)))</f>
        <v>0</v>
      </c>
      <c r="AI1747">
        <f>IF(OR(AG1747="",AH1747=""),"",IF((AG1747+AH1747)=0,0,100*ABS(AG1747-AH1747)/(AG1747+AH1747)))</f>
        <v>0</v>
      </c>
      <c r="AJ1747">
        <f>IF(COUNT($AI$1734:$AI$1747)&lt;14,"",AVERAGE($AI$1734:$AI$1747))</f>
        <v>0</v>
      </c>
      <c r="AK1747">
        <f>IF(COUNT($E$2:$E1747)&lt;20,"",AVERAGE($E$1728:$E$1747))</f>
        <v>0</v>
      </c>
      <c r="AL1747">
        <f>IF(COUNT($E$2:$E1747)&lt;20,"",STDEVP($E$1728:$E$1747))</f>
        <v>0</v>
      </c>
      <c r="AM1747">
        <f>IF(AK1747="","",AK1747+2*AL1747)</f>
        <v>0</v>
      </c>
      <c r="AN1747">
        <f>IF(AK1747="","",AK1747-2*AL1747)</f>
        <v>0</v>
      </c>
      <c r="AO1747">
        <f>IF(OR(AM1747="",AN1747="",AM1747=AN1747),"",($E1747-AN1747)/(AM1747-AN1747))</f>
        <v>0</v>
      </c>
      <c r="AP1747">
        <f>IF(OR(AM1747="",AK1747="",AK1747=0),"",(AM1747-AN1747)/AK1747)</f>
        <v>0</v>
      </c>
      <c r="AQ1747">
        <f>IF(COUNT($E$2:$E1747)&lt;20,"",MAX($C$1728:$C$1747))</f>
        <v>0</v>
      </c>
      <c r="AR1747">
        <f>IF(COUNT($E$2:$E1747)&lt;20,"",MIN($D$1728:$D$1747))</f>
        <v>0</v>
      </c>
      <c r="AS1747">
        <f>IF(OR(AQ1747="",AR1747=""),"",(AQ1747+AR1747)/2)</f>
        <v>0</v>
      </c>
      <c r="AT1747">
        <f>IF(COUNT($G$1728:$G$1747)&lt;20,"",STDEV($G$1728:$G$1747)*SQRT(252))</f>
        <v>0</v>
      </c>
      <c r="AU1747">
        <f>IF(COUNT($E$2:$E1747)&lt;9,"",(MAX($C$1739:$C$1747)+MIN($D$1739:$D$1747))/2)</f>
        <v>0</v>
      </c>
      <c r="AV1747">
        <f>IF(COUNT($E$2:$E1747)&lt;26,"",(MAX($C$1722:$C$1747)+MIN($D$1722:$D$1747))/2)</f>
        <v>0</v>
      </c>
      <c r="AW1747">
        <f>IF(OR(AU1747="",AV1747=""),"",(AU1747+AV1747)/2)</f>
        <v>0</v>
      </c>
      <c r="AX1747">
        <f>IF(COUNT($E$2:$E1747)&lt;52,"",(MAX($C$1696:$C$1747)+MIN($D$1696:$D$1747))/2)</f>
        <v>0</v>
      </c>
      <c r="AY1747">
        <f>IF(COUNT($E$2:$E1747)&lt;20,"",MAX($C$1648:$C$1747))</f>
        <v>0</v>
      </c>
      <c r="AZ1747">
        <f>IF(COUNT($E$2:$E1747)&lt;20,"",MIN($D$1648:$D$1747))</f>
        <v>0</v>
      </c>
      <c r="BA1747">
        <f>IF(COUNT($E$2:$E1747)&lt;20,"",SLOPE($E$1648:$E$1747,$F$1648:$F$1747))</f>
        <v>0</v>
      </c>
      <c r="BB1747">
        <f>IF(COUNT($E$2:$E1747)&lt;20,"",INTERCEPT($E$1648:$E$1747,$F$1648:$F$1747))</f>
        <v>0</v>
      </c>
      <c r="BC1747">
        <f>IF(OR(BA1747="",BB1747=""),"",BB1747+BA1747*F1747)</f>
        <v>0</v>
      </c>
      <c r="BD1747">
        <f>IF(COUNT($E$2:$E1747)&lt;20,"",STEYX($E$1648:$E$1747,$F$1648:$F$1747))</f>
        <v>0</v>
      </c>
      <c r="BE1747">
        <f>IF($E1747="","",IF(AND(COUNT($E$1748:$E$1751)&gt;=4,$C1747=MAX($C$1743:$C$1751)),$C1747,""))</f>
        <v>0</v>
      </c>
      <c r="BF1747">
        <f>IF($E1747="","",IF(AND(COUNT($E$1748:$E$1751)&gt;=4,$D1747=MIN($D$1743:$D$1751)),$D1747,""))</f>
        <v>0</v>
      </c>
      <c r="BG1747">
        <f>IF($A1747="","",$A1747-WEEKDAY($A1747,2)+1)</f>
        <v>0</v>
      </c>
      <c r="BH1747">
        <f>IF($A1747="","",IF($A1746="",1,IF(BG1747&lt;&gt;BG1746,1,0)))</f>
        <v>0</v>
      </c>
      <c r="BI1747">
        <f>IF($A1747="","",IF($A1748="",1,IF(BG1748&lt;&gt;BG1747,1,0)))</f>
        <v>0</v>
      </c>
      <c r="BJ1747">
        <f>IF($A1747="","",IF(BH1747=1,$B1747,BJ1746))</f>
        <v>0</v>
      </c>
      <c r="BK1747">
        <f>IF($A1747="","",IF(BH1747=1,$C1747,MAX($C1747,BK1746)))</f>
        <v>0</v>
      </c>
      <c r="BL1747">
        <f>IF($A1747="","",IF(BH1747=1,$D1747,MIN($D1747,BL1746)))</f>
        <v>0</v>
      </c>
      <c r="BM1747">
        <f>IF($A1747="","",IF(BI1747=1,F1747,""))</f>
        <v>0</v>
      </c>
      <c r="BN1747">
        <f>IF($A1747="","",DATE(YEAR($A1747),MONTH($A1747),1))</f>
        <v>0</v>
      </c>
      <c r="BO1747">
        <f>IF($A1747="","",IF($A1746="",1,IF(BN1747&lt;&gt;BN1746,1,0)))</f>
        <v>0</v>
      </c>
      <c r="BP1747">
        <f>IF($A1747="","",IF($A1748="",1,IF(BN1748&lt;&gt;BN1747,1,0)))</f>
        <v>0</v>
      </c>
      <c r="BQ1747">
        <f>IF($A1747="","",IF(BO1747=1,$B1747,BQ1746))</f>
        <v>0</v>
      </c>
      <c r="BR1747">
        <f>IF($A1747="","",IF(BO1747=1,$C1747,MAX($C1747,BR1746)))</f>
        <v>0</v>
      </c>
      <c r="BS1747">
        <f>IF($A1747="","",IF(BO1747=1,$D1747,MIN($D1747,BS1746)))</f>
        <v>0</v>
      </c>
      <c r="BT1747">
        <f>IF($A1747="","",IF(BP1747=1,F1747,""))</f>
        <v>0</v>
      </c>
    </row>
    <row r="1748" spans="1:72">
      <c r="A1748" s="27">
        <f>IF(Data!$A1748="","",Data!$A1748)</f>
        <v>0</v>
      </c>
      <c r="B1748">
        <f>IF(Data!$B1748="","",Data!$B1748)</f>
        <v>0</v>
      </c>
      <c r="C1748">
        <f>IF(Data!$C1748="","",Data!$C1748)</f>
        <v>0</v>
      </c>
      <c r="D1748">
        <f>IF(Data!$D1748="","",Data!$D1748)</f>
        <v>0</v>
      </c>
      <c r="E1748">
        <f>IF(Data!$E1748="","",Data!$E1748)</f>
        <v>0</v>
      </c>
      <c r="F1748">
        <f>IF($E1748="","",N(F1747)+1)</f>
        <v>0</v>
      </c>
      <c r="G1748">
        <f>IF(OR($E1748="",$E1747=""),"",LN($E1748/$E1747))</f>
        <v>0</v>
      </c>
      <c r="H1748">
        <f>IF($E1748="","",IF($E1747="",$E1748,$E1748*0.0952380952+H1747*0.9047619048))</f>
        <v>0</v>
      </c>
      <c r="I1748">
        <f>IF($E1748="","",IF($E1747="",$E1748,$E1748*0.0392156863+I1747*0.9607843137))</f>
        <v>0</v>
      </c>
      <c r="J1748">
        <f>IF($E1748="","",IF($E1747="",$E1748,$E1748*0.0198019802+J1747*0.9801980198))</f>
        <v>0</v>
      </c>
      <c r="K1748">
        <f>IF($E1748="","",IF($E1747="",$E1748,$E1748*0.0099502488+K1747*0.9900497512))</f>
        <v>0</v>
      </c>
      <c r="L1748">
        <f>IF(OR($E1748="",$E1747=""),"",MAX($E1748-$E1747,0))</f>
        <v>0</v>
      </c>
      <c r="M1748">
        <f>IF(OR($E1748="",$E1747=""),"",MAX($E1747-$E1748,0))</f>
        <v>0</v>
      </c>
      <c r="N1748">
        <f>IF(COUNT($E$2:$E1748)&lt;15,"",IF(AVERAGE($M$1735:$M$1748)=0,100,100-100/(1+AVERAGE($L$1735:$L$1748)/AVERAGE($M$1735:$M$1748))))</f>
        <v>0</v>
      </c>
      <c r="O1748">
        <f>IF($E1748="","",IF($E1747="",$E1748,$E1748*0.1538461538+O1747*0.8461538462))</f>
        <v>0</v>
      </c>
      <c r="P1748">
        <f>IF($E1748="","",IF($E1747="",$E1748,$E1748*0.0740740741+P1747*0.9259259259))</f>
        <v>0</v>
      </c>
      <c r="Q1748">
        <f>IF(OR(O1748="",P1748=""),"",O1748-P1748)</f>
        <v>0</v>
      </c>
      <c r="R1748">
        <f>IF(Q1748="","",IF(R1747="",Q1748,Q1748*0.2000000000+R1747*0.8000000000))</f>
        <v>0</v>
      </c>
      <c r="S1748">
        <f>IF(OR(Q1748="",R1748=""),"",Q1748-R1748)</f>
        <v>0</v>
      </c>
      <c r="T1748">
        <f>IF(COUNT($E$2:$E1748)&lt;14,"",MAX($C$1735:$C$1748))</f>
        <v>0</v>
      </c>
      <c r="U1748">
        <f>IF(COUNT($E$2:$E1748)&lt;14,"",MIN($D$1735:$D$1748))</f>
        <v>0</v>
      </c>
      <c r="V1748">
        <f>IF(OR(T1748="",U1748="",T1748=U1748),"",100*($E1748-U1748)/(T1748-U1748))</f>
        <v>0</v>
      </c>
      <c r="W1748">
        <f>IF(COUNT($V$1746:$V$1748)&lt;3,"",AVERAGE($V$1746:$V$1748))</f>
        <v>0</v>
      </c>
      <c r="X1748">
        <f>IF(COUNT($N$1735:$N$1748)&lt;14,"",MIN($N$1735:$N$1748))</f>
        <v>0</v>
      </c>
      <c r="Y1748">
        <f>IF(COUNT($N$1735:$N$1748)&lt;14,"",MAX($N$1735:$N$1748))</f>
        <v>0</v>
      </c>
      <c r="Z1748">
        <f>IF(OR(N1748="",X1748="",Y1748="",Y1748=X1748),"",100*(N1748-X1748)/(Y1748-X1748))</f>
        <v>0</v>
      </c>
      <c r="AA1748">
        <f>IF(COUNT($Z$1746:$Z$1748)&lt;3,"",AVERAGE($Z$1746:$Z$1748))</f>
        <v>0</v>
      </c>
      <c r="AB1748">
        <f>IF(COUNT($AA$1746:$AA$1748)&lt;3,"",AVERAGE($AA$1746:$AA$1748))</f>
        <v>0</v>
      </c>
      <c r="AC1748">
        <f>IF($E1748="","",MAX($C1748-$D1748,ABS($C1748-$E1747),ABS($D1748-$E1747)))</f>
        <v>0</v>
      </c>
      <c r="AD1748">
        <f>IF(COUNT($E$2:$E1748)&lt;15,"",AVERAGE($AC$1735:$AC$1748))</f>
        <v>0</v>
      </c>
      <c r="AE1748">
        <f>IF(OR($E1748="",$E1747=""),"",IF(AND(($C1748-$C1747)&gt;($D1747-$D1748),($C1748-$C1747)&gt;0),$C1748-$C1747,0))</f>
        <v>0</v>
      </c>
      <c r="AF1748">
        <f>IF(OR($E1748="",$E1747=""),"",IF(AND(($D1747-$D1748)&gt;($C1748-$C1747),($D1747-$D1748)&gt;0),$D1747-$D1748,0))</f>
        <v>0</v>
      </c>
      <c r="AG1748">
        <f>IF(COUNT($E$2:$E1748)&lt;15,"",IF(SUM($AC$1735:$AC$1748)=0,0,100*SUM($AE$1735:$AE$1748)/SUM($AC$1735:$AC$1748)))</f>
        <v>0</v>
      </c>
      <c r="AH1748">
        <f>IF(COUNT($E$2:$E1748)&lt;15,"",IF(SUM($AC$1735:$AC$1748)=0,0,100*SUM($AF$1735:$AF$1748)/SUM($AC$1735:$AC$1748)))</f>
        <v>0</v>
      </c>
      <c r="AI1748">
        <f>IF(OR(AG1748="",AH1748=""),"",IF((AG1748+AH1748)=0,0,100*ABS(AG1748-AH1748)/(AG1748+AH1748)))</f>
        <v>0</v>
      </c>
      <c r="AJ1748">
        <f>IF(COUNT($AI$1735:$AI$1748)&lt;14,"",AVERAGE($AI$1735:$AI$1748))</f>
        <v>0</v>
      </c>
      <c r="AK1748">
        <f>IF(COUNT($E$2:$E1748)&lt;20,"",AVERAGE($E$1729:$E$1748))</f>
        <v>0</v>
      </c>
      <c r="AL1748">
        <f>IF(COUNT($E$2:$E1748)&lt;20,"",STDEVP($E$1729:$E$1748))</f>
        <v>0</v>
      </c>
      <c r="AM1748">
        <f>IF(AK1748="","",AK1748+2*AL1748)</f>
        <v>0</v>
      </c>
      <c r="AN1748">
        <f>IF(AK1748="","",AK1748-2*AL1748)</f>
        <v>0</v>
      </c>
      <c r="AO1748">
        <f>IF(OR(AM1748="",AN1748="",AM1748=AN1748),"",($E1748-AN1748)/(AM1748-AN1748))</f>
        <v>0</v>
      </c>
      <c r="AP1748">
        <f>IF(OR(AM1748="",AK1748="",AK1748=0),"",(AM1748-AN1748)/AK1748)</f>
        <v>0</v>
      </c>
      <c r="AQ1748">
        <f>IF(COUNT($E$2:$E1748)&lt;20,"",MAX($C$1729:$C$1748))</f>
        <v>0</v>
      </c>
      <c r="AR1748">
        <f>IF(COUNT($E$2:$E1748)&lt;20,"",MIN($D$1729:$D$1748))</f>
        <v>0</v>
      </c>
      <c r="AS1748">
        <f>IF(OR(AQ1748="",AR1748=""),"",(AQ1748+AR1748)/2)</f>
        <v>0</v>
      </c>
      <c r="AT1748">
        <f>IF(COUNT($G$1729:$G$1748)&lt;20,"",STDEV($G$1729:$G$1748)*SQRT(252))</f>
        <v>0</v>
      </c>
      <c r="AU1748">
        <f>IF(COUNT($E$2:$E1748)&lt;9,"",(MAX($C$1740:$C$1748)+MIN($D$1740:$D$1748))/2)</f>
        <v>0</v>
      </c>
      <c r="AV1748">
        <f>IF(COUNT($E$2:$E1748)&lt;26,"",(MAX($C$1723:$C$1748)+MIN($D$1723:$D$1748))/2)</f>
        <v>0</v>
      </c>
      <c r="AW1748">
        <f>IF(OR(AU1748="",AV1748=""),"",(AU1748+AV1748)/2)</f>
        <v>0</v>
      </c>
      <c r="AX1748">
        <f>IF(COUNT($E$2:$E1748)&lt;52,"",(MAX($C$1697:$C$1748)+MIN($D$1697:$D$1748))/2)</f>
        <v>0</v>
      </c>
      <c r="AY1748">
        <f>IF(COUNT($E$2:$E1748)&lt;20,"",MAX($C$1649:$C$1748))</f>
        <v>0</v>
      </c>
      <c r="AZ1748">
        <f>IF(COUNT($E$2:$E1748)&lt;20,"",MIN($D$1649:$D$1748))</f>
        <v>0</v>
      </c>
      <c r="BA1748">
        <f>IF(COUNT($E$2:$E1748)&lt;20,"",SLOPE($E$1649:$E$1748,$F$1649:$F$1748))</f>
        <v>0</v>
      </c>
      <c r="BB1748">
        <f>IF(COUNT($E$2:$E1748)&lt;20,"",INTERCEPT($E$1649:$E$1748,$F$1649:$F$1748))</f>
        <v>0</v>
      </c>
      <c r="BC1748">
        <f>IF(OR(BA1748="",BB1748=""),"",BB1748+BA1748*F1748)</f>
        <v>0</v>
      </c>
      <c r="BD1748">
        <f>IF(COUNT($E$2:$E1748)&lt;20,"",STEYX($E$1649:$E$1748,$F$1649:$F$1748))</f>
        <v>0</v>
      </c>
      <c r="BE1748">
        <f>IF($E1748="","",IF(AND(COUNT($E$1749:$E$1752)&gt;=4,$C1748=MAX($C$1744:$C$1752)),$C1748,""))</f>
        <v>0</v>
      </c>
      <c r="BF1748">
        <f>IF($E1748="","",IF(AND(COUNT($E$1749:$E$1752)&gt;=4,$D1748=MIN($D$1744:$D$1752)),$D1748,""))</f>
        <v>0</v>
      </c>
      <c r="BG1748">
        <f>IF($A1748="","",$A1748-WEEKDAY($A1748,2)+1)</f>
        <v>0</v>
      </c>
      <c r="BH1748">
        <f>IF($A1748="","",IF($A1747="",1,IF(BG1748&lt;&gt;BG1747,1,0)))</f>
        <v>0</v>
      </c>
      <c r="BI1748">
        <f>IF($A1748="","",IF($A1749="",1,IF(BG1749&lt;&gt;BG1748,1,0)))</f>
        <v>0</v>
      </c>
      <c r="BJ1748">
        <f>IF($A1748="","",IF(BH1748=1,$B1748,BJ1747))</f>
        <v>0</v>
      </c>
      <c r="BK1748">
        <f>IF($A1748="","",IF(BH1748=1,$C1748,MAX($C1748,BK1747)))</f>
        <v>0</v>
      </c>
      <c r="BL1748">
        <f>IF($A1748="","",IF(BH1748=1,$D1748,MIN($D1748,BL1747)))</f>
        <v>0</v>
      </c>
      <c r="BM1748">
        <f>IF($A1748="","",IF(BI1748=1,F1748,""))</f>
        <v>0</v>
      </c>
      <c r="BN1748">
        <f>IF($A1748="","",DATE(YEAR($A1748),MONTH($A1748),1))</f>
        <v>0</v>
      </c>
      <c r="BO1748">
        <f>IF($A1748="","",IF($A1747="",1,IF(BN1748&lt;&gt;BN1747,1,0)))</f>
        <v>0</v>
      </c>
      <c r="BP1748">
        <f>IF($A1748="","",IF($A1749="",1,IF(BN1749&lt;&gt;BN1748,1,0)))</f>
        <v>0</v>
      </c>
      <c r="BQ1748">
        <f>IF($A1748="","",IF(BO1748=1,$B1748,BQ1747))</f>
        <v>0</v>
      </c>
      <c r="BR1748">
        <f>IF($A1748="","",IF(BO1748=1,$C1748,MAX($C1748,BR1747)))</f>
        <v>0</v>
      </c>
      <c r="BS1748">
        <f>IF($A1748="","",IF(BO1748=1,$D1748,MIN($D1748,BS1747)))</f>
        <v>0</v>
      </c>
      <c r="BT1748">
        <f>IF($A1748="","",IF(BP1748=1,F1748,""))</f>
        <v>0</v>
      </c>
    </row>
    <row r="1749" spans="1:72">
      <c r="A1749" s="27">
        <f>IF(Data!$A1749="","",Data!$A1749)</f>
        <v>0</v>
      </c>
      <c r="B1749">
        <f>IF(Data!$B1749="","",Data!$B1749)</f>
        <v>0</v>
      </c>
      <c r="C1749">
        <f>IF(Data!$C1749="","",Data!$C1749)</f>
        <v>0</v>
      </c>
      <c r="D1749">
        <f>IF(Data!$D1749="","",Data!$D1749)</f>
        <v>0</v>
      </c>
      <c r="E1749">
        <f>IF(Data!$E1749="","",Data!$E1749)</f>
        <v>0</v>
      </c>
      <c r="F1749">
        <f>IF($E1749="","",N(F1748)+1)</f>
        <v>0</v>
      </c>
      <c r="G1749">
        <f>IF(OR($E1749="",$E1748=""),"",LN($E1749/$E1748))</f>
        <v>0</v>
      </c>
      <c r="H1749">
        <f>IF($E1749="","",IF($E1748="",$E1749,$E1749*0.0952380952+H1748*0.9047619048))</f>
        <v>0</v>
      </c>
      <c r="I1749">
        <f>IF($E1749="","",IF($E1748="",$E1749,$E1749*0.0392156863+I1748*0.9607843137))</f>
        <v>0</v>
      </c>
      <c r="J1749">
        <f>IF($E1749="","",IF($E1748="",$E1749,$E1749*0.0198019802+J1748*0.9801980198))</f>
        <v>0</v>
      </c>
      <c r="K1749">
        <f>IF($E1749="","",IF($E1748="",$E1749,$E1749*0.0099502488+K1748*0.9900497512))</f>
        <v>0</v>
      </c>
      <c r="L1749">
        <f>IF(OR($E1749="",$E1748=""),"",MAX($E1749-$E1748,0))</f>
        <v>0</v>
      </c>
      <c r="M1749">
        <f>IF(OR($E1749="",$E1748=""),"",MAX($E1748-$E1749,0))</f>
        <v>0</v>
      </c>
      <c r="N1749">
        <f>IF(COUNT($E$2:$E1749)&lt;15,"",IF(AVERAGE($M$1736:$M$1749)=0,100,100-100/(1+AVERAGE($L$1736:$L$1749)/AVERAGE($M$1736:$M$1749))))</f>
        <v>0</v>
      </c>
      <c r="O1749">
        <f>IF($E1749="","",IF($E1748="",$E1749,$E1749*0.1538461538+O1748*0.8461538462))</f>
        <v>0</v>
      </c>
      <c r="P1749">
        <f>IF($E1749="","",IF($E1748="",$E1749,$E1749*0.0740740741+P1748*0.9259259259))</f>
        <v>0</v>
      </c>
      <c r="Q1749">
        <f>IF(OR(O1749="",P1749=""),"",O1749-P1749)</f>
        <v>0</v>
      </c>
      <c r="R1749">
        <f>IF(Q1749="","",IF(R1748="",Q1749,Q1749*0.2000000000+R1748*0.8000000000))</f>
        <v>0</v>
      </c>
      <c r="S1749">
        <f>IF(OR(Q1749="",R1749=""),"",Q1749-R1749)</f>
        <v>0</v>
      </c>
      <c r="T1749">
        <f>IF(COUNT($E$2:$E1749)&lt;14,"",MAX($C$1736:$C$1749))</f>
        <v>0</v>
      </c>
      <c r="U1749">
        <f>IF(COUNT($E$2:$E1749)&lt;14,"",MIN($D$1736:$D$1749))</f>
        <v>0</v>
      </c>
      <c r="V1749">
        <f>IF(OR(T1749="",U1749="",T1749=U1749),"",100*($E1749-U1749)/(T1749-U1749))</f>
        <v>0</v>
      </c>
      <c r="W1749">
        <f>IF(COUNT($V$1747:$V$1749)&lt;3,"",AVERAGE($V$1747:$V$1749))</f>
        <v>0</v>
      </c>
      <c r="X1749">
        <f>IF(COUNT($N$1736:$N$1749)&lt;14,"",MIN($N$1736:$N$1749))</f>
        <v>0</v>
      </c>
      <c r="Y1749">
        <f>IF(COUNT($N$1736:$N$1749)&lt;14,"",MAX($N$1736:$N$1749))</f>
        <v>0</v>
      </c>
      <c r="Z1749">
        <f>IF(OR(N1749="",X1749="",Y1749="",Y1749=X1749),"",100*(N1749-X1749)/(Y1749-X1749))</f>
        <v>0</v>
      </c>
      <c r="AA1749">
        <f>IF(COUNT($Z$1747:$Z$1749)&lt;3,"",AVERAGE($Z$1747:$Z$1749))</f>
        <v>0</v>
      </c>
      <c r="AB1749">
        <f>IF(COUNT($AA$1747:$AA$1749)&lt;3,"",AVERAGE($AA$1747:$AA$1749))</f>
        <v>0</v>
      </c>
      <c r="AC1749">
        <f>IF($E1749="","",MAX($C1749-$D1749,ABS($C1749-$E1748),ABS($D1749-$E1748)))</f>
        <v>0</v>
      </c>
      <c r="AD1749">
        <f>IF(COUNT($E$2:$E1749)&lt;15,"",AVERAGE($AC$1736:$AC$1749))</f>
        <v>0</v>
      </c>
      <c r="AE1749">
        <f>IF(OR($E1749="",$E1748=""),"",IF(AND(($C1749-$C1748)&gt;($D1748-$D1749),($C1749-$C1748)&gt;0),$C1749-$C1748,0))</f>
        <v>0</v>
      </c>
      <c r="AF1749">
        <f>IF(OR($E1749="",$E1748=""),"",IF(AND(($D1748-$D1749)&gt;($C1749-$C1748),($D1748-$D1749)&gt;0),$D1748-$D1749,0))</f>
        <v>0</v>
      </c>
      <c r="AG1749">
        <f>IF(COUNT($E$2:$E1749)&lt;15,"",IF(SUM($AC$1736:$AC$1749)=0,0,100*SUM($AE$1736:$AE$1749)/SUM($AC$1736:$AC$1749)))</f>
        <v>0</v>
      </c>
      <c r="AH1749">
        <f>IF(COUNT($E$2:$E1749)&lt;15,"",IF(SUM($AC$1736:$AC$1749)=0,0,100*SUM($AF$1736:$AF$1749)/SUM($AC$1736:$AC$1749)))</f>
        <v>0</v>
      </c>
      <c r="AI1749">
        <f>IF(OR(AG1749="",AH1749=""),"",IF((AG1749+AH1749)=0,0,100*ABS(AG1749-AH1749)/(AG1749+AH1749)))</f>
        <v>0</v>
      </c>
      <c r="AJ1749">
        <f>IF(COUNT($AI$1736:$AI$1749)&lt;14,"",AVERAGE($AI$1736:$AI$1749))</f>
        <v>0</v>
      </c>
      <c r="AK1749">
        <f>IF(COUNT($E$2:$E1749)&lt;20,"",AVERAGE($E$1730:$E$1749))</f>
        <v>0</v>
      </c>
      <c r="AL1749">
        <f>IF(COUNT($E$2:$E1749)&lt;20,"",STDEVP($E$1730:$E$1749))</f>
        <v>0</v>
      </c>
      <c r="AM1749">
        <f>IF(AK1749="","",AK1749+2*AL1749)</f>
        <v>0</v>
      </c>
      <c r="AN1749">
        <f>IF(AK1749="","",AK1749-2*AL1749)</f>
        <v>0</v>
      </c>
      <c r="AO1749">
        <f>IF(OR(AM1749="",AN1749="",AM1749=AN1749),"",($E1749-AN1749)/(AM1749-AN1749))</f>
        <v>0</v>
      </c>
      <c r="AP1749">
        <f>IF(OR(AM1749="",AK1749="",AK1749=0),"",(AM1749-AN1749)/AK1749)</f>
        <v>0</v>
      </c>
      <c r="AQ1749">
        <f>IF(COUNT($E$2:$E1749)&lt;20,"",MAX($C$1730:$C$1749))</f>
        <v>0</v>
      </c>
      <c r="AR1749">
        <f>IF(COUNT($E$2:$E1749)&lt;20,"",MIN($D$1730:$D$1749))</f>
        <v>0</v>
      </c>
      <c r="AS1749">
        <f>IF(OR(AQ1749="",AR1749=""),"",(AQ1749+AR1749)/2)</f>
        <v>0</v>
      </c>
      <c r="AT1749">
        <f>IF(COUNT($G$1730:$G$1749)&lt;20,"",STDEV($G$1730:$G$1749)*SQRT(252))</f>
        <v>0</v>
      </c>
      <c r="AU1749">
        <f>IF(COUNT($E$2:$E1749)&lt;9,"",(MAX($C$1741:$C$1749)+MIN($D$1741:$D$1749))/2)</f>
        <v>0</v>
      </c>
      <c r="AV1749">
        <f>IF(COUNT($E$2:$E1749)&lt;26,"",(MAX($C$1724:$C$1749)+MIN($D$1724:$D$1749))/2)</f>
        <v>0</v>
      </c>
      <c r="AW1749">
        <f>IF(OR(AU1749="",AV1749=""),"",(AU1749+AV1749)/2)</f>
        <v>0</v>
      </c>
      <c r="AX1749">
        <f>IF(COUNT($E$2:$E1749)&lt;52,"",(MAX($C$1698:$C$1749)+MIN($D$1698:$D$1749))/2)</f>
        <v>0</v>
      </c>
      <c r="AY1749">
        <f>IF(COUNT($E$2:$E1749)&lt;20,"",MAX($C$1650:$C$1749))</f>
        <v>0</v>
      </c>
      <c r="AZ1749">
        <f>IF(COUNT($E$2:$E1749)&lt;20,"",MIN($D$1650:$D$1749))</f>
        <v>0</v>
      </c>
      <c r="BA1749">
        <f>IF(COUNT($E$2:$E1749)&lt;20,"",SLOPE($E$1650:$E$1749,$F$1650:$F$1749))</f>
        <v>0</v>
      </c>
      <c r="BB1749">
        <f>IF(COUNT($E$2:$E1749)&lt;20,"",INTERCEPT($E$1650:$E$1749,$F$1650:$F$1749))</f>
        <v>0</v>
      </c>
      <c r="BC1749">
        <f>IF(OR(BA1749="",BB1749=""),"",BB1749+BA1749*F1749)</f>
        <v>0</v>
      </c>
      <c r="BD1749">
        <f>IF(COUNT($E$2:$E1749)&lt;20,"",STEYX($E$1650:$E$1749,$F$1650:$F$1749))</f>
        <v>0</v>
      </c>
      <c r="BE1749">
        <f>IF($E1749="","",IF(AND(COUNT($E$1750:$E$1753)&gt;=4,$C1749=MAX($C$1745:$C$1753)),$C1749,""))</f>
        <v>0</v>
      </c>
      <c r="BF1749">
        <f>IF($E1749="","",IF(AND(COUNT($E$1750:$E$1753)&gt;=4,$D1749=MIN($D$1745:$D$1753)),$D1749,""))</f>
        <v>0</v>
      </c>
      <c r="BG1749">
        <f>IF($A1749="","",$A1749-WEEKDAY($A1749,2)+1)</f>
        <v>0</v>
      </c>
      <c r="BH1749">
        <f>IF($A1749="","",IF($A1748="",1,IF(BG1749&lt;&gt;BG1748,1,0)))</f>
        <v>0</v>
      </c>
      <c r="BI1749">
        <f>IF($A1749="","",IF($A1750="",1,IF(BG1750&lt;&gt;BG1749,1,0)))</f>
        <v>0</v>
      </c>
      <c r="BJ1749">
        <f>IF($A1749="","",IF(BH1749=1,$B1749,BJ1748))</f>
        <v>0</v>
      </c>
      <c r="BK1749">
        <f>IF($A1749="","",IF(BH1749=1,$C1749,MAX($C1749,BK1748)))</f>
        <v>0</v>
      </c>
      <c r="BL1749">
        <f>IF($A1749="","",IF(BH1749=1,$D1749,MIN($D1749,BL1748)))</f>
        <v>0</v>
      </c>
      <c r="BM1749">
        <f>IF($A1749="","",IF(BI1749=1,F1749,""))</f>
        <v>0</v>
      </c>
      <c r="BN1749">
        <f>IF($A1749="","",DATE(YEAR($A1749),MONTH($A1749),1))</f>
        <v>0</v>
      </c>
      <c r="BO1749">
        <f>IF($A1749="","",IF($A1748="",1,IF(BN1749&lt;&gt;BN1748,1,0)))</f>
        <v>0</v>
      </c>
      <c r="BP1749">
        <f>IF($A1749="","",IF($A1750="",1,IF(BN1750&lt;&gt;BN1749,1,0)))</f>
        <v>0</v>
      </c>
      <c r="BQ1749">
        <f>IF($A1749="","",IF(BO1749=1,$B1749,BQ1748))</f>
        <v>0</v>
      </c>
      <c r="BR1749">
        <f>IF($A1749="","",IF(BO1749=1,$C1749,MAX($C1749,BR1748)))</f>
        <v>0</v>
      </c>
      <c r="BS1749">
        <f>IF($A1749="","",IF(BO1749=1,$D1749,MIN($D1749,BS1748)))</f>
        <v>0</v>
      </c>
      <c r="BT1749">
        <f>IF($A1749="","",IF(BP1749=1,F1749,""))</f>
        <v>0</v>
      </c>
    </row>
    <row r="1750" spans="1:72">
      <c r="A1750" s="27">
        <f>IF(Data!$A1750="","",Data!$A1750)</f>
        <v>0</v>
      </c>
      <c r="B1750">
        <f>IF(Data!$B1750="","",Data!$B1750)</f>
        <v>0</v>
      </c>
      <c r="C1750">
        <f>IF(Data!$C1750="","",Data!$C1750)</f>
        <v>0</v>
      </c>
      <c r="D1750">
        <f>IF(Data!$D1750="","",Data!$D1750)</f>
        <v>0</v>
      </c>
      <c r="E1750">
        <f>IF(Data!$E1750="","",Data!$E1750)</f>
        <v>0</v>
      </c>
      <c r="F1750">
        <f>IF($E1750="","",N(F1749)+1)</f>
        <v>0</v>
      </c>
      <c r="G1750">
        <f>IF(OR($E1750="",$E1749=""),"",LN($E1750/$E1749))</f>
        <v>0</v>
      </c>
      <c r="H1750">
        <f>IF($E1750="","",IF($E1749="",$E1750,$E1750*0.0952380952+H1749*0.9047619048))</f>
        <v>0</v>
      </c>
      <c r="I1750">
        <f>IF($E1750="","",IF($E1749="",$E1750,$E1750*0.0392156863+I1749*0.9607843137))</f>
        <v>0</v>
      </c>
      <c r="J1750">
        <f>IF($E1750="","",IF($E1749="",$E1750,$E1750*0.0198019802+J1749*0.9801980198))</f>
        <v>0</v>
      </c>
      <c r="K1750">
        <f>IF($E1750="","",IF($E1749="",$E1750,$E1750*0.0099502488+K1749*0.9900497512))</f>
        <v>0</v>
      </c>
      <c r="L1750">
        <f>IF(OR($E1750="",$E1749=""),"",MAX($E1750-$E1749,0))</f>
        <v>0</v>
      </c>
      <c r="M1750">
        <f>IF(OR($E1750="",$E1749=""),"",MAX($E1749-$E1750,0))</f>
        <v>0</v>
      </c>
      <c r="N1750">
        <f>IF(COUNT($E$2:$E1750)&lt;15,"",IF(AVERAGE($M$1737:$M$1750)=0,100,100-100/(1+AVERAGE($L$1737:$L$1750)/AVERAGE($M$1737:$M$1750))))</f>
        <v>0</v>
      </c>
      <c r="O1750">
        <f>IF($E1750="","",IF($E1749="",$E1750,$E1750*0.1538461538+O1749*0.8461538462))</f>
        <v>0</v>
      </c>
      <c r="P1750">
        <f>IF($E1750="","",IF($E1749="",$E1750,$E1750*0.0740740741+P1749*0.9259259259))</f>
        <v>0</v>
      </c>
      <c r="Q1750">
        <f>IF(OR(O1750="",P1750=""),"",O1750-P1750)</f>
        <v>0</v>
      </c>
      <c r="R1750">
        <f>IF(Q1750="","",IF(R1749="",Q1750,Q1750*0.2000000000+R1749*0.8000000000))</f>
        <v>0</v>
      </c>
      <c r="S1750">
        <f>IF(OR(Q1750="",R1750=""),"",Q1750-R1750)</f>
        <v>0</v>
      </c>
      <c r="T1750">
        <f>IF(COUNT($E$2:$E1750)&lt;14,"",MAX($C$1737:$C$1750))</f>
        <v>0</v>
      </c>
      <c r="U1750">
        <f>IF(COUNT($E$2:$E1750)&lt;14,"",MIN($D$1737:$D$1750))</f>
        <v>0</v>
      </c>
      <c r="V1750">
        <f>IF(OR(T1750="",U1750="",T1750=U1750),"",100*($E1750-U1750)/(T1750-U1750))</f>
        <v>0</v>
      </c>
      <c r="W1750">
        <f>IF(COUNT($V$1748:$V$1750)&lt;3,"",AVERAGE($V$1748:$V$1750))</f>
        <v>0</v>
      </c>
      <c r="X1750">
        <f>IF(COUNT($N$1737:$N$1750)&lt;14,"",MIN($N$1737:$N$1750))</f>
        <v>0</v>
      </c>
      <c r="Y1750">
        <f>IF(COUNT($N$1737:$N$1750)&lt;14,"",MAX($N$1737:$N$1750))</f>
        <v>0</v>
      </c>
      <c r="Z1750">
        <f>IF(OR(N1750="",X1750="",Y1750="",Y1750=X1750),"",100*(N1750-X1750)/(Y1750-X1750))</f>
        <v>0</v>
      </c>
      <c r="AA1750">
        <f>IF(COUNT($Z$1748:$Z$1750)&lt;3,"",AVERAGE($Z$1748:$Z$1750))</f>
        <v>0</v>
      </c>
      <c r="AB1750">
        <f>IF(COUNT($AA$1748:$AA$1750)&lt;3,"",AVERAGE($AA$1748:$AA$1750))</f>
        <v>0</v>
      </c>
      <c r="AC1750">
        <f>IF($E1750="","",MAX($C1750-$D1750,ABS($C1750-$E1749),ABS($D1750-$E1749)))</f>
        <v>0</v>
      </c>
      <c r="AD1750">
        <f>IF(COUNT($E$2:$E1750)&lt;15,"",AVERAGE($AC$1737:$AC$1750))</f>
        <v>0</v>
      </c>
      <c r="AE1750">
        <f>IF(OR($E1750="",$E1749=""),"",IF(AND(($C1750-$C1749)&gt;($D1749-$D1750),($C1750-$C1749)&gt;0),$C1750-$C1749,0))</f>
        <v>0</v>
      </c>
      <c r="AF1750">
        <f>IF(OR($E1750="",$E1749=""),"",IF(AND(($D1749-$D1750)&gt;($C1750-$C1749),($D1749-$D1750)&gt;0),$D1749-$D1750,0))</f>
        <v>0</v>
      </c>
      <c r="AG1750">
        <f>IF(COUNT($E$2:$E1750)&lt;15,"",IF(SUM($AC$1737:$AC$1750)=0,0,100*SUM($AE$1737:$AE$1750)/SUM($AC$1737:$AC$1750)))</f>
        <v>0</v>
      </c>
      <c r="AH1750">
        <f>IF(COUNT($E$2:$E1750)&lt;15,"",IF(SUM($AC$1737:$AC$1750)=0,0,100*SUM($AF$1737:$AF$1750)/SUM($AC$1737:$AC$1750)))</f>
        <v>0</v>
      </c>
      <c r="AI1750">
        <f>IF(OR(AG1750="",AH1750=""),"",IF((AG1750+AH1750)=0,0,100*ABS(AG1750-AH1750)/(AG1750+AH1750)))</f>
        <v>0</v>
      </c>
      <c r="AJ1750">
        <f>IF(COUNT($AI$1737:$AI$1750)&lt;14,"",AVERAGE($AI$1737:$AI$1750))</f>
        <v>0</v>
      </c>
      <c r="AK1750">
        <f>IF(COUNT($E$2:$E1750)&lt;20,"",AVERAGE($E$1731:$E$1750))</f>
        <v>0</v>
      </c>
      <c r="AL1750">
        <f>IF(COUNT($E$2:$E1750)&lt;20,"",STDEVP($E$1731:$E$1750))</f>
        <v>0</v>
      </c>
      <c r="AM1750">
        <f>IF(AK1750="","",AK1750+2*AL1750)</f>
        <v>0</v>
      </c>
      <c r="AN1750">
        <f>IF(AK1750="","",AK1750-2*AL1750)</f>
        <v>0</v>
      </c>
      <c r="AO1750">
        <f>IF(OR(AM1750="",AN1750="",AM1750=AN1750),"",($E1750-AN1750)/(AM1750-AN1750))</f>
        <v>0</v>
      </c>
      <c r="AP1750">
        <f>IF(OR(AM1750="",AK1750="",AK1750=0),"",(AM1750-AN1750)/AK1750)</f>
        <v>0</v>
      </c>
      <c r="AQ1750">
        <f>IF(COUNT($E$2:$E1750)&lt;20,"",MAX($C$1731:$C$1750))</f>
        <v>0</v>
      </c>
      <c r="AR1750">
        <f>IF(COUNT($E$2:$E1750)&lt;20,"",MIN($D$1731:$D$1750))</f>
        <v>0</v>
      </c>
      <c r="AS1750">
        <f>IF(OR(AQ1750="",AR1750=""),"",(AQ1750+AR1750)/2)</f>
        <v>0</v>
      </c>
      <c r="AT1750">
        <f>IF(COUNT($G$1731:$G$1750)&lt;20,"",STDEV($G$1731:$G$1750)*SQRT(252))</f>
        <v>0</v>
      </c>
      <c r="AU1750">
        <f>IF(COUNT($E$2:$E1750)&lt;9,"",(MAX($C$1742:$C$1750)+MIN($D$1742:$D$1750))/2)</f>
        <v>0</v>
      </c>
      <c r="AV1750">
        <f>IF(COUNT($E$2:$E1750)&lt;26,"",(MAX($C$1725:$C$1750)+MIN($D$1725:$D$1750))/2)</f>
        <v>0</v>
      </c>
      <c r="AW1750">
        <f>IF(OR(AU1750="",AV1750=""),"",(AU1750+AV1750)/2)</f>
        <v>0</v>
      </c>
      <c r="AX1750">
        <f>IF(COUNT($E$2:$E1750)&lt;52,"",(MAX($C$1699:$C$1750)+MIN($D$1699:$D$1750))/2)</f>
        <v>0</v>
      </c>
      <c r="AY1750">
        <f>IF(COUNT($E$2:$E1750)&lt;20,"",MAX($C$1651:$C$1750))</f>
        <v>0</v>
      </c>
      <c r="AZ1750">
        <f>IF(COUNT($E$2:$E1750)&lt;20,"",MIN($D$1651:$D$1750))</f>
        <v>0</v>
      </c>
      <c r="BA1750">
        <f>IF(COUNT($E$2:$E1750)&lt;20,"",SLOPE($E$1651:$E$1750,$F$1651:$F$1750))</f>
        <v>0</v>
      </c>
      <c r="BB1750">
        <f>IF(COUNT($E$2:$E1750)&lt;20,"",INTERCEPT($E$1651:$E$1750,$F$1651:$F$1750))</f>
        <v>0</v>
      </c>
      <c r="BC1750">
        <f>IF(OR(BA1750="",BB1750=""),"",BB1750+BA1750*F1750)</f>
        <v>0</v>
      </c>
      <c r="BD1750">
        <f>IF(COUNT($E$2:$E1750)&lt;20,"",STEYX($E$1651:$E$1750,$F$1651:$F$1750))</f>
        <v>0</v>
      </c>
      <c r="BE1750">
        <f>IF($E1750="","",IF(AND(COUNT($E$1751:$E$1754)&gt;=4,$C1750=MAX($C$1746:$C$1754)),$C1750,""))</f>
        <v>0</v>
      </c>
      <c r="BF1750">
        <f>IF($E1750="","",IF(AND(COUNT($E$1751:$E$1754)&gt;=4,$D1750=MIN($D$1746:$D$1754)),$D1750,""))</f>
        <v>0</v>
      </c>
      <c r="BG1750">
        <f>IF($A1750="","",$A1750-WEEKDAY($A1750,2)+1)</f>
        <v>0</v>
      </c>
      <c r="BH1750">
        <f>IF($A1750="","",IF($A1749="",1,IF(BG1750&lt;&gt;BG1749,1,0)))</f>
        <v>0</v>
      </c>
      <c r="BI1750">
        <f>IF($A1750="","",IF($A1751="",1,IF(BG1751&lt;&gt;BG1750,1,0)))</f>
        <v>0</v>
      </c>
      <c r="BJ1750">
        <f>IF($A1750="","",IF(BH1750=1,$B1750,BJ1749))</f>
        <v>0</v>
      </c>
      <c r="BK1750">
        <f>IF($A1750="","",IF(BH1750=1,$C1750,MAX($C1750,BK1749)))</f>
        <v>0</v>
      </c>
      <c r="BL1750">
        <f>IF($A1750="","",IF(BH1750=1,$D1750,MIN($D1750,BL1749)))</f>
        <v>0</v>
      </c>
      <c r="BM1750">
        <f>IF($A1750="","",IF(BI1750=1,F1750,""))</f>
        <v>0</v>
      </c>
      <c r="BN1750">
        <f>IF($A1750="","",DATE(YEAR($A1750),MONTH($A1750),1))</f>
        <v>0</v>
      </c>
      <c r="BO1750">
        <f>IF($A1750="","",IF($A1749="",1,IF(BN1750&lt;&gt;BN1749,1,0)))</f>
        <v>0</v>
      </c>
      <c r="BP1750">
        <f>IF($A1750="","",IF($A1751="",1,IF(BN1751&lt;&gt;BN1750,1,0)))</f>
        <v>0</v>
      </c>
      <c r="BQ1750">
        <f>IF($A1750="","",IF(BO1750=1,$B1750,BQ1749))</f>
        <v>0</v>
      </c>
      <c r="BR1750">
        <f>IF($A1750="","",IF(BO1750=1,$C1750,MAX($C1750,BR1749)))</f>
        <v>0</v>
      </c>
      <c r="BS1750">
        <f>IF($A1750="","",IF(BO1750=1,$D1750,MIN($D1750,BS1749)))</f>
        <v>0</v>
      </c>
      <c r="BT1750">
        <f>IF($A1750="","",IF(BP1750=1,F1750,""))</f>
        <v>0</v>
      </c>
    </row>
    <row r="1751" spans="1:72">
      <c r="A1751" s="27">
        <f>IF(Data!$A1751="","",Data!$A1751)</f>
        <v>0</v>
      </c>
      <c r="B1751">
        <f>IF(Data!$B1751="","",Data!$B1751)</f>
        <v>0</v>
      </c>
      <c r="C1751">
        <f>IF(Data!$C1751="","",Data!$C1751)</f>
        <v>0</v>
      </c>
      <c r="D1751">
        <f>IF(Data!$D1751="","",Data!$D1751)</f>
        <v>0</v>
      </c>
      <c r="E1751">
        <f>IF(Data!$E1751="","",Data!$E1751)</f>
        <v>0</v>
      </c>
      <c r="F1751">
        <f>IF($E1751="","",N(F1750)+1)</f>
        <v>0</v>
      </c>
      <c r="G1751">
        <f>IF(OR($E1751="",$E1750=""),"",LN($E1751/$E1750))</f>
        <v>0</v>
      </c>
      <c r="H1751">
        <f>IF($E1751="","",IF($E1750="",$E1751,$E1751*0.0952380952+H1750*0.9047619048))</f>
        <v>0</v>
      </c>
      <c r="I1751">
        <f>IF($E1751="","",IF($E1750="",$E1751,$E1751*0.0392156863+I1750*0.9607843137))</f>
        <v>0</v>
      </c>
      <c r="J1751">
        <f>IF($E1751="","",IF($E1750="",$E1751,$E1751*0.0198019802+J1750*0.9801980198))</f>
        <v>0</v>
      </c>
      <c r="K1751">
        <f>IF($E1751="","",IF($E1750="",$E1751,$E1751*0.0099502488+K1750*0.9900497512))</f>
        <v>0</v>
      </c>
      <c r="L1751">
        <f>IF(OR($E1751="",$E1750=""),"",MAX($E1751-$E1750,0))</f>
        <v>0</v>
      </c>
      <c r="M1751">
        <f>IF(OR($E1751="",$E1750=""),"",MAX($E1750-$E1751,0))</f>
        <v>0</v>
      </c>
      <c r="N1751">
        <f>IF(COUNT($E$2:$E1751)&lt;15,"",IF(AVERAGE($M$1738:$M$1751)=0,100,100-100/(1+AVERAGE($L$1738:$L$1751)/AVERAGE($M$1738:$M$1751))))</f>
        <v>0</v>
      </c>
      <c r="O1751">
        <f>IF($E1751="","",IF($E1750="",$E1751,$E1751*0.1538461538+O1750*0.8461538462))</f>
        <v>0</v>
      </c>
      <c r="P1751">
        <f>IF($E1751="","",IF($E1750="",$E1751,$E1751*0.0740740741+P1750*0.9259259259))</f>
        <v>0</v>
      </c>
      <c r="Q1751">
        <f>IF(OR(O1751="",P1751=""),"",O1751-P1751)</f>
        <v>0</v>
      </c>
      <c r="R1751">
        <f>IF(Q1751="","",IF(R1750="",Q1751,Q1751*0.2000000000+R1750*0.8000000000))</f>
        <v>0</v>
      </c>
      <c r="S1751">
        <f>IF(OR(Q1751="",R1751=""),"",Q1751-R1751)</f>
        <v>0</v>
      </c>
      <c r="T1751">
        <f>IF(COUNT($E$2:$E1751)&lt;14,"",MAX($C$1738:$C$1751))</f>
        <v>0</v>
      </c>
      <c r="U1751">
        <f>IF(COUNT($E$2:$E1751)&lt;14,"",MIN($D$1738:$D$1751))</f>
        <v>0</v>
      </c>
      <c r="V1751">
        <f>IF(OR(T1751="",U1751="",T1751=U1751),"",100*($E1751-U1751)/(T1751-U1751))</f>
        <v>0</v>
      </c>
      <c r="W1751">
        <f>IF(COUNT($V$1749:$V$1751)&lt;3,"",AVERAGE($V$1749:$V$1751))</f>
        <v>0</v>
      </c>
      <c r="X1751">
        <f>IF(COUNT($N$1738:$N$1751)&lt;14,"",MIN($N$1738:$N$1751))</f>
        <v>0</v>
      </c>
      <c r="Y1751">
        <f>IF(COUNT($N$1738:$N$1751)&lt;14,"",MAX($N$1738:$N$1751))</f>
        <v>0</v>
      </c>
      <c r="Z1751">
        <f>IF(OR(N1751="",X1751="",Y1751="",Y1751=X1751),"",100*(N1751-X1751)/(Y1751-X1751))</f>
        <v>0</v>
      </c>
      <c r="AA1751">
        <f>IF(COUNT($Z$1749:$Z$1751)&lt;3,"",AVERAGE($Z$1749:$Z$1751))</f>
        <v>0</v>
      </c>
      <c r="AB1751">
        <f>IF(COUNT($AA$1749:$AA$1751)&lt;3,"",AVERAGE($AA$1749:$AA$1751))</f>
        <v>0</v>
      </c>
      <c r="AC1751">
        <f>IF($E1751="","",MAX($C1751-$D1751,ABS($C1751-$E1750),ABS($D1751-$E1750)))</f>
        <v>0</v>
      </c>
      <c r="AD1751">
        <f>IF(COUNT($E$2:$E1751)&lt;15,"",AVERAGE($AC$1738:$AC$1751))</f>
        <v>0</v>
      </c>
      <c r="AE1751">
        <f>IF(OR($E1751="",$E1750=""),"",IF(AND(($C1751-$C1750)&gt;($D1750-$D1751),($C1751-$C1750)&gt;0),$C1751-$C1750,0))</f>
        <v>0</v>
      </c>
      <c r="AF1751">
        <f>IF(OR($E1751="",$E1750=""),"",IF(AND(($D1750-$D1751)&gt;($C1751-$C1750),($D1750-$D1751)&gt;0),$D1750-$D1751,0))</f>
        <v>0</v>
      </c>
      <c r="AG1751">
        <f>IF(COUNT($E$2:$E1751)&lt;15,"",IF(SUM($AC$1738:$AC$1751)=0,0,100*SUM($AE$1738:$AE$1751)/SUM($AC$1738:$AC$1751)))</f>
        <v>0</v>
      </c>
      <c r="AH1751">
        <f>IF(COUNT($E$2:$E1751)&lt;15,"",IF(SUM($AC$1738:$AC$1751)=0,0,100*SUM($AF$1738:$AF$1751)/SUM($AC$1738:$AC$1751)))</f>
        <v>0</v>
      </c>
      <c r="AI1751">
        <f>IF(OR(AG1751="",AH1751=""),"",IF((AG1751+AH1751)=0,0,100*ABS(AG1751-AH1751)/(AG1751+AH1751)))</f>
        <v>0</v>
      </c>
      <c r="AJ1751">
        <f>IF(COUNT($AI$1738:$AI$1751)&lt;14,"",AVERAGE($AI$1738:$AI$1751))</f>
        <v>0</v>
      </c>
      <c r="AK1751">
        <f>IF(COUNT($E$2:$E1751)&lt;20,"",AVERAGE($E$1732:$E$1751))</f>
        <v>0</v>
      </c>
      <c r="AL1751">
        <f>IF(COUNT($E$2:$E1751)&lt;20,"",STDEVP($E$1732:$E$1751))</f>
        <v>0</v>
      </c>
      <c r="AM1751">
        <f>IF(AK1751="","",AK1751+2*AL1751)</f>
        <v>0</v>
      </c>
      <c r="AN1751">
        <f>IF(AK1751="","",AK1751-2*AL1751)</f>
        <v>0</v>
      </c>
      <c r="AO1751">
        <f>IF(OR(AM1751="",AN1751="",AM1751=AN1751),"",($E1751-AN1751)/(AM1751-AN1751))</f>
        <v>0</v>
      </c>
      <c r="AP1751">
        <f>IF(OR(AM1751="",AK1751="",AK1751=0),"",(AM1751-AN1751)/AK1751)</f>
        <v>0</v>
      </c>
      <c r="AQ1751">
        <f>IF(COUNT($E$2:$E1751)&lt;20,"",MAX($C$1732:$C$1751))</f>
        <v>0</v>
      </c>
      <c r="AR1751">
        <f>IF(COUNT($E$2:$E1751)&lt;20,"",MIN($D$1732:$D$1751))</f>
        <v>0</v>
      </c>
      <c r="AS1751">
        <f>IF(OR(AQ1751="",AR1751=""),"",(AQ1751+AR1751)/2)</f>
        <v>0</v>
      </c>
      <c r="AT1751">
        <f>IF(COUNT($G$1732:$G$1751)&lt;20,"",STDEV($G$1732:$G$1751)*SQRT(252))</f>
        <v>0</v>
      </c>
      <c r="AU1751">
        <f>IF(COUNT($E$2:$E1751)&lt;9,"",(MAX($C$1743:$C$1751)+MIN($D$1743:$D$1751))/2)</f>
        <v>0</v>
      </c>
      <c r="AV1751">
        <f>IF(COUNT($E$2:$E1751)&lt;26,"",(MAX($C$1726:$C$1751)+MIN($D$1726:$D$1751))/2)</f>
        <v>0</v>
      </c>
      <c r="AW1751">
        <f>IF(OR(AU1751="",AV1751=""),"",(AU1751+AV1751)/2)</f>
        <v>0</v>
      </c>
      <c r="AX1751">
        <f>IF(COUNT($E$2:$E1751)&lt;52,"",(MAX($C$1700:$C$1751)+MIN($D$1700:$D$1751))/2)</f>
        <v>0</v>
      </c>
      <c r="AY1751">
        <f>IF(COUNT($E$2:$E1751)&lt;20,"",MAX($C$1652:$C$1751))</f>
        <v>0</v>
      </c>
      <c r="AZ1751">
        <f>IF(COUNT($E$2:$E1751)&lt;20,"",MIN($D$1652:$D$1751))</f>
        <v>0</v>
      </c>
      <c r="BA1751">
        <f>IF(COUNT($E$2:$E1751)&lt;20,"",SLOPE($E$1652:$E$1751,$F$1652:$F$1751))</f>
        <v>0</v>
      </c>
      <c r="BB1751">
        <f>IF(COUNT($E$2:$E1751)&lt;20,"",INTERCEPT($E$1652:$E$1751,$F$1652:$F$1751))</f>
        <v>0</v>
      </c>
      <c r="BC1751">
        <f>IF(OR(BA1751="",BB1751=""),"",BB1751+BA1751*F1751)</f>
        <v>0</v>
      </c>
      <c r="BD1751">
        <f>IF(COUNT($E$2:$E1751)&lt;20,"",STEYX($E$1652:$E$1751,$F$1652:$F$1751))</f>
        <v>0</v>
      </c>
      <c r="BE1751">
        <f>IF($E1751="","",IF(AND(COUNT($E$1752:$E$1755)&gt;=4,$C1751=MAX($C$1747:$C$1755)),$C1751,""))</f>
        <v>0</v>
      </c>
      <c r="BF1751">
        <f>IF($E1751="","",IF(AND(COUNT($E$1752:$E$1755)&gt;=4,$D1751=MIN($D$1747:$D$1755)),$D1751,""))</f>
        <v>0</v>
      </c>
      <c r="BG1751">
        <f>IF($A1751="","",$A1751-WEEKDAY($A1751,2)+1)</f>
        <v>0</v>
      </c>
      <c r="BH1751">
        <f>IF($A1751="","",IF($A1750="",1,IF(BG1751&lt;&gt;BG1750,1,0)))</f>
        <v>0</v>
      </c>
      <c r="BI1751">
        <f>IF($A1751="","",IF($A1752="",1,IF(BG1752&lt;&gt;BG1751,1,0)))</f>
        <v>0</v>
      </c>
      <c r="BJ1751">
        <f>IF($A1751="","",IF(BH1751=1,$B1751,BJ1750))</f>
        <v>0</v>
      </c>
      <c r="BK1751">
        <f>IF($A1751="","",IF(BH1751=1,$C1751,MAX($C1751,BK1750)))</f>
        <v>0</v>
      </c>
      <c r="BL1751">
        <f>IF($A1751="","",IF(BH1751=1,$D1751,MIN($D1751,BL1750)))</f>
        <v>0</v>
      </c>
      <c r="BM1751">
        <f>IF($A1751="","",IF(BI1751=1,F1751,""))</f>
        <v>0</v>
      </c>
      <c r="BN1751">
        <f>IF($A1751="","",DATE(YEAR($A1751),MONTH($A1751),1))</f>
        <v>0</v>
      </c>
      <c r="BO1751">
        <f>IF($A1751="","",IF($A1750="",1,IF(BN1751&lt;&gt;BN1750,1,0)))</f>
        <v>0</v>
      </c>
      <c r="BP1751">
        <f>IF($A1751="","",IF($A1752="",1,IF(BN1752&lt;&gt;BN1751,1,0)))</f>
        <v>0</v>
      </c>
      <c r="BQ1751">
        <f>IF($A1751="","",IF(BO1751=1,$B1751,BQ1750))</f>
        <v>0</v>
      </c>
      <c r="BR1751">
        <f>IF($A1751="","",IF(BO1751=1,$C1751,MAX($C1751,BR1750)))</f>
        <v>0</v>
      </c>
      <c r="BS1751">
        <f>IF($A1751="","",IF(BO1751=1,$D1751,MIN($D1751,BS1750)))</f>
        <v>0</v>
      </c>
      <c r="BT1751">
        <f>IF($A1751="","",IF(BP1751=1,F1751,""))</f>
        <v>0</v>
      </c>
    </row>
    <row r="1752" spans="1:72">
      <c r="A1752" s="27">
        <f>IF(Data!$A1752="","",Data!$A1752)</f>
        <v>0</v>
      </c>
      <c r="B1752">
        <f>IF(Data!$B1752="","",Data!$B1752)</f>
        <v>0</v>
      </c>
      <c r="C1752">
        <f>IF(Data!$C1752="","",Data!$C1752)</f>
        <v>0</v>
      </c>
      <c r="D1752">
        <f>IF(Data!$D1752="","",Data!$D1752)</f>
        <v>0</v>
      </c>
      <c r="E1752">
        <f>IF(Data!$E1752="","",Data!$E1752)</f>
        <v>0</v>
      </c>
      <c r="F1752">
        <f>IF($E1752="","",N(F1751)+1)</f>
        <v>0</v>
      </c>
      <c r="G1752">
        <f>IF(OR($E1752="",$E1751=""),"",LN($E1752/$E1751))</f>
        <v>0</v>
      </c>
      <c r="H1752">
        <f>IF($E1752="","",IF($E1751="",$E1752,$E1752*0.0952380952+H1751*0.9047619048))</f>
        <v>0</v>
      </c>
      <c r="I1752">
        <f>IF($E1752="","",IF($E1751="",$E1752,$E1752*0.0392156863+I1751*0.9607843137))</f>
        <v>0</v>
      </c>
      <c r="J1752">
        <f>IF($E1752="","",IF($E1751="",$E1752,$E1752*0.0198019802+J1751*0.9801980198))</f>
        <v>0</v>
      </c>
      <c r="K1752">
        <f>IF($E1752="","",IF($E1751="",$E1752,$E1752*0.0099502488+K1751*0.9900497512))</f>
        <v>0</v>
      </c>
      <c r="L1752">
        <f>IF(OR($E1752="",$E1751=""),"",MAX($E1752-$E1751,0))</f>
        <v>0</v>
      </c>
      <c r="M1752">
        <f>IF(OR($E1752="",$E1751=""),"",MAX($E1751-$E1752,0))</f>
        <v>0</v>
      </c>
      <c r="N1752">
        <f>IF(COUNT($E$2:$E1752)&lt;15,"",IF(AVERAGE($M$1739:$M$1752)=0,100,100-100/(1+AVERAGE($L$1739:$L$1752)/AVERAGE($M$1739:$M$1752))))</f>
        <v>0</v>
      </c>
      <c r="O1752">
        <f>IF($E1752="","",IF($E1751="",$E1752,$E1752*0.1538461538+O1751*0.8461538462))</f>
        <v>0</v>
      </c>
      <c r="P1752">
        <f>IF($E1752="","",IF($E1751="",$E1752,$E1752*0.0740740741+P1751*0.9259259259))</f>
        <v>0</v>
      </c>
      <c r="Q1752">
        <f>IF(OR(O1752="",P1752=""),"",O1752-P1752)</f>
        <v>0</v>
      </c>
      <c r="R1752">
        <f>IF(Q1752="","",IF(R1751="",Q1752,Q1752*0.2000000000+R1751*0.8000000000))</f>
        <v>0</v>
      </c>
      <c r="S1752">
        <f>IF(OR(Q1752="",R1752=""),"",Q1752-R1752)</f>
        <v>0</v>
      </c>
      <c r="T1752">
        <f>IF(COUNT($E$2:$E1752)&lt;14,"",MAX($C$1739:$C$1752))</f>
        <v>0</v>
      </c>
      <c r="U1752">
        <f>IF(COUNT($E$2:$E1752)&lt;14,"",MIN($D$1739:$D$1752))</f>
        <v>0</v>
      </c>
      <c r="V1752">
        <f>IF(OR(T1752="",U1752="",T1752=U1752),"",100*($E1752-U1752)/(T1752-U1752))</f>
        <v>0</v>
      </c>
      <c r="W1752">
        <f>IF(COUNT($V$1750:$V$1752)&lt;3,"",AVERAGE($V$1750:$V$1752))</f>
        <v>0</v>
      </c>
      <c r="X1752">
        <f>IF(COUNT($N$1739:$N$1752)&lt;14,"",MIN($N$1739:$N$1752))</f>
        <v>0</v>
      </c>
      <c r="Y1752">
        <f>IF(COUNT($N$1739:$N$1752)&lt;14,"",MAX($N$1739:$N$1752))</f>
        <v>0</v>
      </c>
      <c r="Z1752">
        <f>IF(OR(N1752="",X1752="",Y1752="",Y1752=X1752),"",100*(N1752-X1752)/(Y1752-X1752))</f>
        <v>0</v>
      </c>
      <c r="AA1752">
        <f>IF(COUNT($Z$1750:$Z$1752)&lt;3,"",AVERAGE($Z$1750:$Z$1752))</f>
        <v>0</v>
      </c>
      <c r="AB1752">
        <f>IF(COUNT($AA$1750:$AA$1752)&lt;3,"",AVERAGE($AA$1750:$AA$1752))</f>
        <v>0</v>
      </c>
      <c r="AC1752">
        <f>IF($E1752="","",MAX($C1752-$D1752,ABS($C1752-$E1751),ABS($D1752-$E1751)))</f>
        <v>0</v>
      </c>
      <c r="AD1752">
        <f>IF(COUNT($E$2:$E1752)&lt;15,"",AVERAGE($AC$1739:$AC$1752))</f>
        <v>0</v>
      </c>
      <c r="AE1752">
        <f>IF(OR($E1752="",$E1751=""),"",IF(AND(($C1752-$C1751)&gt;($D1751-$D1752),($C1752-$C1751)&gt;0),$C1752-$C1751,0))</f>
        <v>0</v>
      </c>
      <c r="AF1752">
        <f>IF(OR($E1752="",$E1751=""),"",IF(AND(($D1751-$D1752)&gt;($C1752-$C1751),($D1751-$D1752)&gt;0),$D1751-$D1752,0))</f>
        <v>0</v>
      </c>
      <c r="AG1752">
        <f>IF(COUNT($E$2:$E1752)&lt;15,"",IF(SUM($AC$1739:$AC$1752)=0,0,100*SUM($AE$1739:$AE$1752)/SUM($AC$1739:$AC$1752)))</f>
        <v>0</v>
      </c>
      <c r="AH1752">
        <f>IF(COUNT($E$2:$E1752)&lt;15,"",IF(SUM($AC$1739:$AC$1752)=0,0,100*SUM($AF$1739:$AF$1752)/SUM($AC$1739:$AC$1752)))</f>
        <v>0</v>
      </c>
      <c r="AI1752">
        <f>IF(OR(AG1752="",AH1752=""),"",IF((AG1752+AH1752)=0,0,100*ABS(AG1752-AH1752)/(AG1752+AH1752)))</f>
        <v>0</v>
      </c>
      <c r="AJ1752">
        <f>IF(COUNT($AI$1739:$AI$1752)&lt;14,"",AVERAGE($AI$1739:$AI$1752))</f>
        <v>0</v>
      </c>
      <c r="AK1752">
        <f>IF(COUNT($E$2:$E1752)&lt;20,"",AVERAGE($E$1733:$E$1752))</f>
        <v>0</v>
      </c>
      <c r="AL1752">
        <f>IF(COUNT($E$2:$E1752)&lt;20,"",STDEVP($E$1733:$E$1752))</f>
        <v>0</v>
      </c>
      <c r="AM1752">
        <f>IF(AK1752="","",AK1752+2*AL1752)</f>
        <v>0</v>
      </c>
      <c r="AN1752">
        <f>IF(AK1752="","",AK1752-2*AL1752)</f>
        <v>0</v>
      </c>
      <c r="AO1752">
        <f>IF(OR(AM1752="",AN1752="",AM1752=AN1752),"",($E1752-AN1752)/(AM1752-AN1752))</f>
        <v>0</v>
      </c>
      <c r="AP1752">
        <f>IF(OR(AM1752="",AK1752="",AK1752=0),"",(AM1752-AN1752)/AK1752)</f>
        <v>0</v>
      </c>
      <c r="AQ1752">
        <f>IF(COUNT($E$2:$E1752)&lt;20,"",MAX($C$1733:$C$1752))</f>
        <v>0</v>
      </c>
      <c r="AR1752">
        <f>IF(COUNT($E$2:$E1752)&lt;20,"",MIN($D$1733:$D$1752))</f>
        <v>0</v>
      </c>
      <c r="AS1752">
        <f>IF(OR(AQ1752="",AR1752=""),"",(AQ1752+AR1752)/2)</f>
        <v>0</v>
      </c>
      <c r="AT1752">
        <f>IF(COUNT($G$1733:$G$1752)&lt;20,"",STDEV($G$1733:$G$1752)*SQRT(252))</f>
        <v>0</v>
      </c>
      <c r="AU1752">
        <f>IF(COUNT($E$2:$E1752)&lt;9,"",(MAX($C$1744:$C$1752)+MIN($D$1744:$D$1752))/2)</f>
        <v>0</v>
      </c>
      <c r="AV1752">
        <f>IF(COUNT($E$2:$E1752)&lt;26,"",(MAX($C$1727:$C$1752)+MIN($D$1727:$D$1752))/2)</f>
        <v>0</v>
      </c>
      <c r="AW1752">
        <f>IF(OR(AU1752="",AV1752=""),"",(AU1752+AV1752)/2)</f>
        <v>0</v>
      </c>
      <c r="AX1752">
        <f>IF(COUNT($E$2:$E1752)&lt;52,"",(MAX($C$1701:$C$1752)+MIN($D$1701:$D$1752))/2)</f>
        <v>0</v>
      </c>
      <c r="AY1752">
        <f>IF(COUNT($E$2:$E1752)&lt;20,"",MAX($C$1653:$C$1752))</f>
        <v>0</v>
      </c>
      <c r="AZ1752">
        <f>IF(COUNT($E$2:$E1752)&lt;20,"",MIN($D$1653:$D$1752))</f>
        <v>0</v>
      </c>
      <c r="BA1752">
        <f>IF(COUNT($E$2:$E1752)&lt;20,"",SLOPE($E$1653:$E$1752,$F$1653:$F$1752))</f>
        <v>0</v>
      </c>
      <c r="BB1752">
        <f>IF(COUNT($E$2:$E1752)&lt;20,"",INTERCEPT($E$1653:$E$1752,$F$1653:$F$1752))</f>
        <v>0</v>
      </c>
      <c r="BC1752">
        <f>IF(OR(BA1752="",BB1752=""),"",BB1752+BA1752*F1752)</f>
        <v>0</v>
      </c>
      <c r="BD1752">
        <f>IF(COUNT($E$2:$E1752)&lt;20,"",STEYX($E$1653:$E$1752,$F$1653:$F$1752))</f>
        <v>0</v>
      </c>
      <c r="BE1752">
        <f>IF($E1752="","",IF(AND(COUNT($E$1753:$E$1756)&gt;=4,$C1752=MAX($C$1748:$C$1756)),$C1752,""))</f>
        <v>0</v>
      </c>
      <c r="BF1752">
        <f>IF($E1752="","",IF(AND(COUNT($E$1753:$E$1756)&gt;=4,$D1752=MIN($D$1748:$D$1756)),$D1752,""))</f>
        <v>0</v>
      </c>
      <c r="BG1752">
        <f>IF($A1752="","",$A1752-WEEKDAY($A1752,2)+1)</f>
        <v>0</v>
      </c>
      <c r="BH1752">
        <f>IF($A1752="","",IF($A1751="",1,IF(BG1752&lt;&gt;BG1751,1,0)))</f>
        <v>0</v>
      </c>
      <c r="BI1752">
        <f>IF($A1752="","",IF($A1753="",1,IF(BG1753&lt;&gt;BG1752,1,0)))</f>
        <v>0</v>
      </c>
      <c r="BJ1752">
        <f>IF($A1752="","",IF(BH1752=1,$B1752,BJ1751))</f>
        <v>0</v>
      </c>
      <c r="BK1752">
        <f>IF($A1752="","",IF(BH1752=1,$C1752,MAX($C1752,BK1751)))</f>
        <v>0</v>
      </c>
      <c r="BL1752">
        <f>IF($A1752="","",IF(BH1752=1,$D1752,MIN($D1752,BL1751)))</f>
        <v>0</v>
      </c>
      <c r="BM1752">
        <f>IF($A1752="","",IF(BI1752=1,F1752,""))</f>
        <v>0</v>
      </c>
      <c r="BN1752">
        <f>IF($A1752="","",DATE(YEAR($A1752),MONTH($A1752),1))</f>
        <v>0</v>
      </c>
      <c r="BO1752">
        <f>IF($A1752="","",IF($A1751="",1,IF(BN1752&lt;&gt;BN1751,1,0)))</f>
        <v>0</v>
      </c>
      <c r="BP1752">
        <f>IF($A1752="","",IF($A1753="",1,IF(BN1753&lt;&gt;BN1752,1,0)))</f>
        <v>0</v>
      </c>
      <c r="BQ1752">
        <f>IF($A1752="","",IF(BO1752=1,$B1752,BQ1751))</f>
        <v>0</v>
      </c>
      <c r="BR1752">
        <f>IF($A1752="","",IF(BO1752=1,$C1752,MAX($C1752,BR1751)))</f>
        <v>0</v>
      </c>
      <c r="BS1752">
        <f>IF($A1752="","",IF(BO1752=1,$D1752,MIN($D1752,BS1751)))</f>
        <v>0</v>
      </c>
      <c r="BT1752">
        <f>IF($A1752="","",IF(BP1752=1,F1752,""))</f>
        <v>0</v>
      </c>
    </row>
    <row r="1753" spans="1:72">
      <c r="A1753" s="27">
        <f>IF(Data!$A1753="","",Data!$A1753)</f>
        <v>0</v>
      </c>
      <c r="B1753">
        <f>IF(Data!$B1753="","",Data!$B1753)</f>
        <v>0</v>
      </c>
      <c r="C1753">
        <f>IF(Data!$C1753="","",Data!$C1753)</f>
        <v>0</v>
      </c>
      <c r="D1753">
        <f>IF(Data!$D1753="","",Data!$D1753)</f>
        <v>0</v>
      </c>
      <c r="E1753">
        <f>IF(Data!$E1753="","",Data!$E1753)</f>
        <v>0</v>
      </c>
      <c r="F1753">
        <f>IF($E1753="","",N(F1752)+1)</f>
        <v>0</v>
      </c>
      <c r="G1753">
        <f>IF(OR($E1753="",$E1752=""),"",LN($E1753/$E1752))</f>
        <v>0</v>
      </c>
      <c r="H1753">
        <f>IF($E1753="","",IF($E1752="",$E1753,$E1753*0.0952380952+H1752*0.9047619048))</f>
        <v>0</v>
      </c>
      <c r="I1753">
        <f>IF($E1753="","",IF($E1752="",$E1753,$E1753*0.0392156863+I1752*0.9607843137))</f>
        <v>0</v>
      </c>
      <c r="J1753">
        <f>IF($E1753="","",IF($E1752="",$E1753,$E1753*0.0198019802+J1752*0.9801980198))</f>
        <v>0</v>
      </c>
      <c r="K1753">
        <f>IF($E1753="","",IF($E1752="",$E1753,$E1753*0.0099502488+K1752*0.9900497512))</f>
        <v>0</v>
      </c>
      <c r="L1753">
        <f>IF(OR($E1753="",$E1752=""),"",MAX($E1753-$E1752,0))</f>
        <v>0</v>
      </c>
      <c r="M1753">
        <f>IF(OR($E1753="",$E1752=""),"",MAX($E1752-$E1753,0))</f>
        <v>0</v>
      </c>
      <c r="N1753">
        <f>IF(COUNT($E$2:$E1753)&lt;15,"",IF(AVERAGE($M$1740:$M$1753)=0,100,100-100/(1+AVERAGE($L$1740:$L$1753)/AVERAGE($M$1740:$M$1753))))</f>
        <v>0</v>
      </c>
      <c r="O1753">
        <f>IF($E1753="","",IF($E1752="",$E1753,$E1753*0.1538461538+O1752*0.8461538462))</f>
        <v>0</v>
      </c>
      <c r="P1753">
        <f>IF($E1753="","",IF($E1752="",$E1753,$E1753*0.0740740741+P1752*0.9259259259))</f>
        <v>0</v>
      </c>
      <c r="Q1753">
        <f>IF(OR(O1753="",P1753=""),"",O1753-P1753)</f>
        <v>0</v>
      </c>
      <c r="R1753">
        <f>IF(Q1753="","",IF(R1752="",Q1753,Q1753*0.2000000000+R1752*0.8000000000))</f>
        <v>0</v>
      </c>
      <c r="S1753">
        <f>IF(OR(Q1753="",R1753=""),"",Q1753-R1753)</f>
        <v>0</v>
      </c>
      <c r="T1753">
        <f>IF(COUNT($E$2:$E1753)&lt;14,"",MAX($C$1740:$C$1753))</f>
        <v>0</v>
      </c>
      <c r="U1753">
        <f>IF(COUNT($E$2:$E1753)&lt;14,"",MIN($D$1740:$D$1753))</f>
        <v>0</v>
      </c>
      <c r="V1753">
        <f>IF(OR(T1753="",U1753="",T1753=U1753),"",100*($E1753-U1753)/(T1753-U1753))</f>
        <v>0</v>
      </c>
      <c r="W1753">
        <f>IF(COUNT($V$1751:$V$1753)&lt;3,"",AVERAGE($V$1751:$V$1753))</f>
        <v>0</v>
      </c>
      <c r="X1753">
        <f>IF(COUNT($N$1740:$N$1753)&lt;14,"",MIN($N$1740:$N$1753))</f>
        <v>0</v>
      </c>
      <c r="Y1753">
        <f>IF(COUNT($N$1740:$N$1753)&lt;14,"",MAX($N$1740:$N$1753))</f>
        <v>0</v>
      </c>
      <c r="Z1753">
        <f>IF(OR(N1753="",X1753="",Y1753="",Y1753=X1753),"",100*(N1753-X1753)/(Y1753-X1753))</f>
        <v>0</v>
      </c>
      <c r="AA1753">
        <f>IF(COUNT($Z$1751:$Z$1753)&lt;3,"",AVERAGE($Z$1751:$Z$1753))</f>
        <v>0</v>
      </c>
      <c r="AB1753">
        <f>IF(COUNT($AA$1751:$AA$1753)&lt;3,"",AVERAGE($AA$1751:$AA$1753))</f>
        <v>0</v>
      </c>
      <c r="AC1753">
        <f>IF($E1753="","",MAX($C1753-$D1753,ABS($C1753-$E1752),ABS($D1753-$E1752)))</f>
        <v>0</v>
      </c>
      <c r="AD1753">
        <f>IF(COUNT($E$2:$E1753)&lt;15,"",AVERAGE($AC$1740:$AC$1753))</f>
        <v>0</v>
      </c>
      <c r="AE1753">
        <f>IF(OR($E1753="",$E1752=""),"",IF(AND(($C1753-$C1752)&gt;($D1752-$D1753),($C1753-$C1752)&gt;0),$C1753-$C1752,0))</f>
        <v>0</v>
      </c>
      <c r="AF1753">
        <f>IF(OR($E1753="",$E1752=""),"",IF(AND(($D1752-$D1753)&gt;($C1753-$C1752),($D1752-$D1753)&gt;0),$D1752-$D1753,0))</f>
        <v>0</v>
      </c>
      <c r="AG1753">
        <f>IF(COUNT($E$2:$E1753)&lt;15,"",IF(SUM($AC$1740:$AC$1753)=0,0,100*SUM($AE$1740:$AE$1753)/SUM($AC$1740:$AC$1753)))</f>
        <v>0</v>
      </c>
      <c r="AH1753">
        <f>IF(COUNT($E$2:$E1753)&lt;15,"",IF(SUM($AC$1740:$AC$1753)=0,0,100*SUM($AF$1740:$AF$1753)/SUM($AC$1740:$AC$1753)))</f>
        <v>0</v>
      </c>
      <c r="AI1753">
        <f>IF(OR(AG1753="",AH1753=""),"",IF((AG1753+AH1753)=0,0,100*ABS(AG1753-AH1753)/(AG1753+AH1753)))</f>
        <v>0</v>
      </c>
      <c r="AJ1753">
        <f>IF(COUNT($AI$1740:$AI$1753)&lt;14,"",AVERAGE($AI$1740:$AI$1753))</f>
        <v>0</v>
      </c>
      <c r="AK1753">
        <f>IF(COUNT($E$2:$E1753)&lt;20,"",AVERAGE($E$1734:$E$1753))</f>
        <v>0</v>
      </c>
      <c r="AL1753">
        <f>IF(COUNT($E$2:$E1753)&lt;20,"",STDEVP($E$1734:$E$1753))</f>
        <v>0</v>
      </c>
      <c r="AM1753">
        <f>IF(AK1753="","",AK1753+2*AL1753)</f>
        <v>0</v>
      </c>
      <c r="AN1753">
        <f>IF(AK1753="","",AK1753-2*AL1753)</f>
        <v>0</v>
      </c>
      <c r="AO1753">
        <f>IF(OR(AM1753="",AN1753="",AM1753=AN1753),"",($E1753-AN1753)/(AM1753-AN1753))</f>
        <v>0</v>
      </c>
      <c r="AP1753">
        <f>IF(OR(AM1753="",AK1753="",AK1753=0),"",(AM1753-AN1753)/AK1753)</f>
        <v>0</v>
      </c>
      <c r="AQ1753">
        <f>IF(COUNT($E$2:$E1753)&lt;20,"",MAX($C$1734:$C$1753))</f>
        <v>0</v>
      </c>
      <c r="AR1753">
        <f>IF(COUNT($E$2:$E1753)&lt;20,"",MIN($D$1734:$D$1753))</f>
        <v>0</v>
      </c>
      <c r="AS1753">
        <f>IF(OR(AQ1753="",AR1753=""),"",(AQ1753+AR1753)/2)</f>
        <v>0</v>
      </c>
      <c r="AT1753">
        <f>IF(COUNT($G$1734:$G$1753)&lt;20,"",STDEV($G$1734:$G$1753)*SQRT(252))</f>
        <v>0</v>
      </c>
      <c r="AU1753">
        <f>IF(COUNT($E$2:$E1753)&lt;9,"",(MAX($C$1745:$C$1753)+MIN($D$1745:$D$1753))/2)</f>
        <v>0</v>
      </c>
      <c r="AV1753">
        <f>IF(COUNT($E$2:$E1753)&lt;26,"",(MAX($C$1728:$C$1753)+MIN($D$1728:$D$1753))/2)</f>
        <v>0</v>
      </c>
      <c r="AW1753">
        <f>IF(OR(AU1753="",AV1753=""),"",(AU1753+AV1753)/2)</f>
        <v>0</v>
      </c>
      <c r="AX1753">
        <f>IF(COUNT($E$2:$E1753)&lt;52,"",(MAX($C$1702:$C$1753)+MIN($D$1702:$D$1753))/2)</f>
        <v>0</v>
      </c>
      <c r="AY1753">
        <f>IF(COUNT($E$2:$E1753)&lt;20,"",MAX($C$1654:$C$1753))</f>
        <v>0</v>
      </c>
      <c r="AZ1753">
        <f>IF(COUNT($E$2:$E1753)&lt;20,"",MIN($D$1654:$D$1753))</f>
        <v>0</v>
      </c>
      <c r="BA1753">
        <f>IF(COUNT($E$2:$E1753)&lt;20,"",SLOPE($E$1654:$E$1753,$F$1654:$F$1753))</f>
        <v>0</v>
      </c>
      <c r="BB1753">
        <f>IF(COUNT($E$2:$E1753)&lt;20,"",INTERCEPT($E$1654:$E$1753,$F$1654:$F$1753))</f>
        <v>0</v>
      </c>
      <c r="BC1753">
        <f>IF(OR(BA1753="",BB1753=""),"",BB1753+BA1753*F1753)</f>
        <v>0</v>
      </c>
      <c r="BD1753">
        <f>IF(COUNT($E$2:$E1753)&lt;20,"",STEYX($E$1654:$E$1753,$F$1654:$F$1753))</f>
        <v>0</v>
      </c>
      <c r="BE1753">
        <f>IF($E1753="","",IF(AND(COUNT($E$1754:$E$1757)&gt;=4,$C1753=MAX($C$1749:$C$1757)),$C1753,""))</f>
        <v>0</v>
      </c>
      <c r="BF1753">
        <f>IF($E1753="","",IF(AND(COUNT($E$1754:$E$1757)&gt;=4,$D1753=MIN($D$1749:$D$1757)),$D1753,""))</f>
        <v>0</v>
      </c>
      <c r="BG1753">
        <f>IF($A1753="","",$A1753-WEEKDAY($A1753,2)+1)</f>
        <v>0</v>
      </c>
      <c r="BH1753">
        <f>IF($A1753="","",IF($A1752="",1,IF(BG1753&lt;&gt;BG1752,1,0)))</f>
        <v>0</v>
      </c>
      <c r="BI1753">
        <f>IF($A1753="","",IF($A1754="",1,IF(BG1754&lt;&gt;BG1753,1,0)))</f>
        <v>0</v>
      </c>
      <c r="BJ1753">
        <f>IF($A1753="","",IF(BH1753=1,$B1753,BJ1752))</f>
        <v>0</v>
      </c>
      <c r="BK1753">
        <f>IF($A1753="","",IF(BH1753=1,$C1753,MAX($C1753,BK1752)))</f>
        <v>0</v>
      </c>
      <c r="BL1753">
        <f>IF($A1753="","",IF(BH1753=1,$D1753,MIN($D1753,BL1752)))</f>
        <v>0</v>
      </c>
      <c r="BM1753">
        <f>IF($A1753="","",IF(BI1753=1,F1753,""))</f>
        <v>0</v>
      </c>
      <c r="BN1753">
        <f>IF($A1753="","",DATE(YEAR($A1753),MONTH($A1753),1))</f>
        <v>0</v>
      </c>
      <c r="BO1753">
        <f>IF($A1753="","",IF($A1752="",1,IF(BN1753&lt;&gt;BN1752,1,0)))</f>
        <v>0</v>
      </c>
      <c r="BP1753">
        <f>IF($A1753="","",IF($A1754="",1,IF(BN1754&lt;&gt;BN1753,1,0)))</f>
        <v>0</v>
      </c>
      <c r="BQ1753">
        <f>IF($A1753="","",IF(BO1753=1,$B1753,BQ1752))</f>
        <v>0</v>
      </c>
      <c r="BR1753">
        <f>IF($A1753="","",IF(BO1753=1,$C1753,MAX($C1753,BR1752)))</f>
        <v>0</v>
      </c>
      <c r="BS1753">
        <f>IF($A1753="","",IF(BO1753=1,$D1753,MIN($D1753,BS1752)))</f>
        <v>0</v>
      </c>
      <c r="BT1753">
        <f>IF($A1753="","",IF(BP1753=1,F1753,""))</f>
        <v>0</v>
      </c>
    </row>
    <row r="1754" spans="1:72">
      <c r="A1754" s="27">
        <f>IF(Data!$A1754="","",Data!$A1754)</f>
        <v>0</v>
      </c>
      <c r="B1754">
        <f>IF(Data!$B1754="","",Data!$B1754)</f>
        <v>0</v>
      </c>
      <c r="C1754">
        <f>IF(Data!$C1754="","",Data!$C1754)</f>
        <v>0</v>
      </c>
      <c r="D1754">
        <f>IF(Data!$D1754="","",Data!$D1754)</f>
        <v>0</v>
      </c>
      <c r="E1754">
        <f>IF(Data!$E1754="","",Data!$E1754)</f>
        <v>0</v>
      </c>
      <c r="F1754">
        <f>IF($E1754="","",N(F1753)+1)</f>
        <v>0</v>
      </c>
      <c r="G1754">
        <f>IF(OR($E1754="",$E1753=""),"",LN($E1754/$E1753))</f>
        <v>0</v>
      </c>
      <c r="H1754">
        <f>IF($E1754="","",IF($E1753="",$E1754,$E1754*0.0952380952+H1753*0.9047619048))</f>
        <v>0</v>
      </c>
      <c r="I1754">
        <f>IF($E1754="","",IF($E1753="",$E1754,$E1754*0.0392156863+I1753*0.9607843137))</f>
        <v>0</v>
      </c>
      <c r="J1754">
        <f>IF($E1754="","",IF($E1753="",$E1754,$E1754*0.0198019802+J1753*0.9801980198))</f>
        <v>0</v>
      </c>
      <c r="K1754">
        <f>IF($E1754="","",IF($E1753="",$E1754,$E1754*0.0099502488+K1753*0.9900497512))</f>
        <v>0</v>
      </c>
      <c r="L1754">
        <f>IF(OR($E1754="",$E1753=""),"",MAX($E1754-$E1753,0))</f>
        <v>0</v>
      </c>
      <c r="M1754">
        <f>IF(OR($E1754="",$E1753=""),"",MAX($E1753-$E1754,0))</f>
        <v>0</v>
      </c>
      <c r="N1754">
        <f>IF(COUNT($E$2:$E1754)&lt;15,"",IF(AVERAGE($M$1741:$M$1754)=0,100,100-100/(1+AVERAGE($L$1741:$L$1754)/AVERAGE($M$1741:$M$1754))))</f>
        <v>0</v>
      </c>
      <c r="O1754">
        <f>IF($E1754="","",IF($E1753="",$E1754,$E1754*0.1538461538+O1753*0.8461538462))</f>
        <v>0</v>
      </c>
      <c r="P1754">
        <f>IF($E1754="","",IF($E1753="",$E1754,$E1754*0.0740740741+P1753*0.9259259259))</f>
        <v>0</v>
      </c>
      <c r="Q1754">
        <f>IF(OR(O1754="",P1754=""),"",O1754-P1754)</f>
        <v>0</v>
      </c>
      <c r="R1754">
        <f>IF(Q1754="","",IF(R1753="",Q1754,Q1754*0.2000000000+R1753*0.8000000000))</f>
        <v>0</v>
      </c>
      <c r="S1754">
        <f>IF(OR(Q1754="",R1754=""),"",Q1754-R1754)</f>
        <v>0</v>
      </c>
      <c r="T1754">
        <f>IF(COUNT($E$2:$E1754)&lt;14,"",MAX($C$1741:$C$1754))</f>
        <v>0</v>
      </c>
      <c r="U1754">
        <f>IF(COUNT($E$2:$E1754)&lt;14,"",MIN($D$1741:$D$1754))</f>
        <v>0</v>
      </c>
      <c r="V1754">
        <f>IF(OR(T1754="",U1754="",T1754=U1754),"",100*($E1754-U1754)/(T1754-U1754))</f>
        <v>0</v>
      </c>
      <c r="W1754">
        <f>IF(COUNT($V$1752:$V$1754)&lt;3,"",AVERAGE($V$1752:$V$1754))</f>
        <v>0</v>
      </c>
      <c r="X1754">
        <f>IF(COUNT($N$1741:$N$1754)&lt;14,"",MIN($N$1741:$N$1754))</f>
        <v>0</v>
      </c>
      <c r="Y1754">
        <f>IF(COUNT($N$1741:$N$1754)&lt;14,"",MAX($N$1741:$N$1754))</f>
        <v>0</v>
      </c>
      <c r="Z1754">
        <f>IF(OR(N1754="",X1754="",Y1754="",Y1754=X1754),"",100*(N1754-X1754)/(Y1754-X1754))</f>
        <v>0</v>
      </c>
      <c r="AA1754">
        <f>IF(COUNT($Z$1752:$Z$1754)&lt;3,"",AVERAGE($Z$1752:$Z$1754))</f>
        <v>0</v>
      </c>
      <c r="AB1754">
        <f>IF(COUNT($AA$1752:$AA$1754)&lt;3,"",AVERAGE($AA$1752:$AA$1754))</f>
        <v>0</v>
      </c>
      <c r="AC1754">
        <f>IF($E1754="","",MAX($C1754-$D1754,ABS($C1754-$E1753),ABS($D1754-$E1753)))</f>
        <v>0</v>
      </c>
      <c r="AD1754">
        <f>IF(COUNT($E$2:$E1754)&lt;15,"",AVERAGE($AC$1741:$AC$1754))</f>
        <v>0</v>
      </c>
      <c r="AE1754">
        <f>IF(OR($E1754="",$E1753=""),"",IF(AND(($C1754-$C1753)&gt;($D1753-$D1754),($C1754-$C1753)&gt;0),$C1754-$C1753,0))</f>
        <v>0</v>
      </c>
      <c r="AF1754">
        <f>IF(OR($E1754="",$E1753=""),"",IF(AND(($D1753-$D1754)&gt;($C1754-$C1753),($D1753-$D1754)&gt;0),$D1753-$D1754,0))</f>
        <v>0</v>
      </c>
      <c r="AG1754">
        <f>IF(COUNT($E$2:$E1754)&lt;15,"",IF(SUM($AC$1741:$AC$1754)=0,0,100*SUM($AE$1741:$AE$1754)/SUM($AC$1741:$AC$1754)))</f>
        <v>0</v>
      </c>
      <c r="AH1754">
        <f>IF(COUNT($E$2:$E1754)&lt;15,"",IF(SUM($AC$1741:$AC$1754)=0,0,100*SUM($AF$1741:$AF$1754)/SUM($AC$1741:$AC$1754)))</f>
        <v>0</v>
      </c>
      <c r="AI1754">
        <f>IF(OR(AG1754="",AH1754=""),"",IF((AG1754+AH1754)=0,0,100*ABS(AG1754-AH1754)/(AG1754+AH1754)))</f>
        <v>0</v>
      </c>
      <c r="AJ1754">
        <f>IF(COUNT($AI$1741:$AI$1754)&lt;14,"",AVERAGE($AI$1741:$AI$1754))</f>
        <v>0</v>
      </c>
      <c r="AK1754">
        <f>IF(COUNT($E$2:$E1754)&lt;20,"",AVERAGE($E$1735:$E$1754))</f>
        <v>0</v>
      </c>
      <c r="AL1754">
        <f>IF(COUNT($E$2:$E1754)&lt;20,"",STDEVP($E$1735:$E$1754))</f>
        <v>0</v>
      </c>
      <c r="AM1754">
        <f>IF(AK1754="","",AK1754+2*AL1754)</f>
        <v>0</v>
      </c>
      <c r="AN1754">
        <f>IF(AK1754="","",AK1754-2*AL1754)</f>
        <v>0</v>
      </c>
      <c r="AO1754">
        <f>IF(OR(AM1754="",AN1754="",AM1754=AN1754),"",($E1754-AN1754)/(AM1754-AN1754))</f>
        <v>0</v>
      </c>
      <c r="AP1754">
        <f>IF(OR(AM1754="",AK1754="",AK1754=0),"",(AM1754-AN1754)/AK1754)</f>
        <v>0</v>
      </c>
      <c r="AQ1754">
        <f>IF(COUNT($E$2:$E1754)&lt;20,"",MAX($C$1735:$C$1754))</f>
        <v>0</v>
      </c>
      <c r="AR1754">
        <f>IF(COUNT($E$2:$E1754)&lt;20,"",MIN($D$1735:$D$1754))</f>
        <v>0</v>
      </c>
      <c r="AS1754">
        <f>IF(OR(AQ1754="",AR1754=""),"",(AQ1754+AR1754)/2)</f>
        <v>0</v>
      </c>
      <c r="AT1754">
        <f>IF(COUNT($G$1735:$G$1754)&lt;20,"",STDEV($G$1735:$G$1754)*SQRT(252))</f>
        <v>0</v>
      </c>
      <c r="AU1754">
        <f>IF(COUNT($E$2:$E1754)&lt;9,"",(MAX($C$1746:$C$1754)+MIN($D$1746:$D$1754))/2)</f>
        <v>0</v>
      </c>
      <c r="AV1754">
        <f>IF(COUNT($E$2:$E1754)&lt;26,"",(MAX($C$1729:$C$1754)+MIN($D$1729:$D$1754))/2)</f>
        <v>0</v>
      </c>
      <c r="AW1754">
        <f>IF(OR(AU1754="",AV1754=""),"",(AU1754+AV1754)/2)</f>
        <v>0</v>
      </c>
      <c r="AX1754">
        <f>IF(COUNT($E$2:$E1754)&lt;52,"",(MAX($C$1703:$C$1754)+MIN($D$1703:$D$1754))/2)</f>
        <v>0</v>
      </c>
      <c r="AY1754">
        <f>IF(COUNT($E$2:$E1754)&lt;20,"",MAX($C$1655:$C$1754))</f>
        <v>0</v>
      </c>
      <c r="AZ1754">
        <f>IF(COUNT($E$2:$E1754)&lt;20,"",MIN($D$1655:$D$1754))</f>
        <v>0</v>
      </c>
      <c r="BA1754">
        <f>IF(COUNT($E$2:$E1754)&lt;20,"",SLOPE($E$1655:$E$1754,$F$1655:$F$1754))</f>
        <v>0</v>
      </c>
      <c r="BB1754">
        <f>IF(COUNT($E$2:$E1754)&lt;20,"",INTERCEPT($E$1655:$E$1754,$F$1655:$F$1754))</f>
        <v>0</v>
      </c>
      <c r="BC1754">
        <f>IF(OR(BA1754="",BB1754=""),"",BB1754+BA1754*F1754)</f>
        <v>0</v>
      </c>
      <c r="BD1754">
        <f>IF(COUNT($E$2:$E1754)&lt;20,"",STEYX($E$1655:$E$1754,$F$1655:$F$1754))</f>
        <v>0</v>
      </c>
      <c r="BE1754">
        <f>IF($E1754="","",IF(AND(COUNT($E$1755:$E$1758)&gt;=4,$C1754=MAX($C$1750:$C$1758)),$C1754,""))</f>
        <v>0</v>
      </c>
      <c r="BF1754">
        <f>IF($E1754="","",IF(AND(COUNT($E$1755:$E$1758)&gt;=4,$D1754=MIN($D$1750:$D$1758)),$D1754,""))</f>
        <v>0</v>
      </c>
      <c r="BG1754">
        <f>IF($A1754="","",$A1754-WEEKDAY($A1754,2)+1)</f>
        <v>0</v>
      </c>
      <c r="BH1754">
        <f>IF($A1754="","",IF($A1753="",1,IF(BG1754&lt;&gt;BG1753,1,0)))</f>
        <v>0</v>
      </c>
      <c r="BI1754">
        <f>IF($A1754="","",IF($A1755="",1,IF(BG1755&lt;&gt;BG1754,1,0)))</f>
        <v>0</v>
      </c>
      <c r="BJ1754">
        <f>IF($A1754="","",IF(BH1754=1,$B1754,BJ1753))</f>
        <v>0</v>
      </c>
      <c r="BK1754">
        <f>IF($A1754="","",IF(BH1754=1,$C1754,MAX($C1754,BK1753)))</f>
        <v>0</v>
      </c>
      <c r="BL1754">
        <f>IF($A1754="","",IF(BH1754=1,$D1754,MIN($D1754,BL1753)))</f>
        <v>0</v>
      </c>
      <c r="BM1754">
        <f>IF($A1754="","",IF(BI1754=1,F1754,""))</f>
        <v>0</v>
      </c>
      <c r="BN1754">
        <f>IF($A1754="","",DATE(YEAR($A1754),MONTH($A1754),1))</f>
        <v>0</v>
      </c>
      <c r="BO1754">
        <f>IF($A1754="","",IF($A1753="",1,IF(BN1754&lt;&gt;BN1753,1,0)))</f>
        <v>0</v>
      </c>
      <c r="BP1754">
        <f>IF($A1754="","",IF($A1755="",1,IF(BN1755&lt;&gt;BN1754,1,0)))</f>
        <v>0</v>
      </c>
      <c r="BQ1754">
        <f>IF($A1754="","",IF(BO1754=1,$B1754,BQ1753))</f>
        <v>0</v>
      </c>
      <c r="BR1754">
        <f>IF($A1754="","",IF(BO1754=1,$C1754,MAX($C1754,BR1753)))</f>
        <v>0</v>
      </c>
      <c r="BS1754">
        <f>IF($A1754="","",IF(BO1754=1,$D1754,MIN($D1754,BS1753)))</f>
        <v>0</v>
      </c>
      <c r="BT1754">
        <f>IF($A1754="","",IF(BP1754=1,F1754,""))</f>
        <v>0</v>
      </c>
    </row>
    <row r="1755" spans="1:72">
      <c r="A1755" s="27">
        <f>IF(Data!$A1755="","",Data!$A1755)</f>
        <v>0</v>
      </c>
      <c r="B1755">
        <f>IF(Data!$B1755="","",Data!$B1755)</f>
        <v>0</v>
      </c>
      <c r="C1755">
        <f>IF(Data!$C1755="","",Data!$C1755)</f>
        <v>0</v>
      </c>
      <c r="D1755">
        <f>IF(Data!$D1755="","",Data!$D1755)</f>
        <v>0</v>
      </c>
      <c r="E1755">
        <f>IF(Data!$E1755="","",Data!$E1755)</f>
        <v>0</v>
      </c>
      <c r="F1755">
        <f>IF($E1755="","",N(F1754)+1)</f>
        <v>0</v>
      </c>
      <c r="G1755">
        <f>IF(OR($E1755="",$E1754=""),"",LN($E1755/$E1754))</f>
        <v>0</v>
      </c>
      <c r="H1755">
        <f>IF($E1755="","",IF($E1754="",$E1755,$E1755*0.0952380952+H1754*0.9047619048))</f>
        <v>0</v>
      </c>
      <c r="I1755">
        <f>IF($E1755="","",IF($E1754="",$E1755,$E1755*0.0392156863+I1754*0.9607843137))</f>
        <v>0</v>
      </c>
      <c r="J1755">
        <f>IF($E1755="","",IF($E1754="",$E1755,$E1755*0.0198019802+J1754*0.9801980198))</f>
        <v>0</v>
      </c>
      <c r="K1755">
        <f>IF($E1755="","",IF($E1754="",$E1755,$E1755*0.0099502488+K1754*0.9900497512))</f>
        <v>0</v>
      </c>
      <c r="L1755">
        <f>IF(OR($E1755="",$E1754=""),"",MAX($E1755-$E1754,0))</f>
        <v>0</v>
      </c>
      <c r="M1755">
        <f>IF(OR($E1755="",$E1754=""),"",MAX($E1754-$E1755,0))</f>
        <v>0</v>
      </c>
      <c r="N1755">
        <f>IF(COUNT($E$2:$E1755)&lt;15,"",IF(AVERAGE($M$1742:$M$1755)=0,100,100-100/(1+AVERAGE($L$1742:$L$1755)/AVERAGE($M$1742:$M$1755))))</f>
        <v>0</v>
      </c>
      <c r="O1755">
        <f>IF($E1755="","",IF($E1754="",$E1755,$E1755*0.1538461538+O1754*0.8461538462))</f>
        <v>0</v>
      </c>
      <c r="P1755">
        <f>IF($E1755="","",IF($E1754="",$E1755,$E1755*0.0740740741+P1754*0.9259259259))</f>
        <v>0</v>
      </c>
      <c r="Q1755">
        <f>IF(OR(O1755="",P1755=""),"",O1755-P1755)</f>
        <v>0</v>
      </c>
      <c r="R1755">
        <f>IF(Q1755="","",IF(R1754="",Q1755,Q1755*0.2000000000+R1754*0.8000000000))</f>
        <v>0</v>
      </c>
      <c r="S1755">
        <f>IF(OR(Q1755="",R1755=""),"",Q1755-R1755)</f>
        <v>0</v>
      </c>
      <c r="T1755">
        <f>IF(COUNT($E$2:$E1755)&lt;14,"",MAX($C$1742:$C$1755))</f>
        <v>0</v>
      </c>
      <c r="U1755">
        <f>IF(COUNT($E$2:$E1755)&lt;14,"",MIN($D$1742:$D$1755))</f>
        <v>0</v>
      </c>
      <c r="V1755">
        <f>IF(OR(T1755="",U1755="",T1755=U1755),"",100*($E1755-U1755)/(T1755-U1755))</f>
        <v>0</v>
      </c>
      <c r="W1755">
        <f>IF(COUNT($V$1753:$V$1755)&lt;3,"",AVERAGE($V$1753:$V$1755))</f>
        <v>0</v>
      </c>
      <c r="X1755">
        <f>IF(COUNT($N$1742:$N$1755)&lt;14,"",MIN($N$1742:$N$1755))</f>
        <v>0</v>
      </c>
      <c r="Y1755">
        <f>IF(COUNT($N$1742:$N$1755)&lt;14,"",MAX($N$1742:$N$1755))</f>
        <v>0</v>
      </c>
      <c r="Z1755">
        <f>IF(OR(N1755="",X1755="",Y1755="",Y1755=X1755),"",100*(N1755-X1755)/(Y1755-X1755))</f>
        <v>0</v>
      </c>
      <c r="AA1755">
        <f>IF(COUNT($Z$1753:$Z$1755)&lt;3,"",AVERAGE($Z$1753:$Z$1755))</f>
        <v>0</v>
      </c>
      <c r="AB1755">
        <f>IF(COUNT($AA$1753:$AA$1755)&lt;3,"",AVERAGE($AA$1753:$AA$1755))</f>
        <v>0</v>
      </c>
      <c r="AC1755">
        <f>IF($E1755="","",MAX($C1755-$D1755,ABS($C1755-$E1754),ABS($D1755-$E1754)))</f>
        <v>0</v>
      </c>
      <c r="AD1755">
        <f>IF(COUNT($E$2:$E1755)&lt;15,"",AVERAGE($AC$1742:$AC$1755))</f>
        <v>0</v>
      </c>
      <c r="AE1755">
        <f>IF(OR($E1755="",$E1754=""),"",IF(AND(($C1755-$C1754)&gt;($D1754-$D1755),($C1755-$C1754)&gt;0),$C1755-$C1754,0))</f>
        <v>0</v>
      </c>
      <c r="AF1755">
        <f>IF(OR($E1755="",$E1754=""),"",IF(AND(($D1754-$D1755)&gt;($C1755-$C1754),($D1754-$D1755)&gt;0),$D1754-$D1755,0))</f>
        <v>0</v>
      </c>
      <c r="AG1755">
        <f>IF(COUNT($E$2:$E1755)&lt;15,"",IF(SUM($AC$1742:$AC$1755)=0,0,100*SUM($AE$1742:$AE$1755)/SUM($AC$1742:$AC$1755)))</f>
        <v>0</v>
      </c>
      <c r="AH1755">
        <f>IF(COUNT($E$2:$E1755)&lt;15,"",IF(SUM($AC$1742:$AC$1755)=0,0,100*SUM($AF$1742:$AF$1755)/SUM($AC$1742:$AC$1755)))</f>
        <v>0</v>
      </c>
      <c r="AI1755">
        <f>IF(OR(AG1755="",AH1755=""),"",IF((AG1755+AH1755)=0,0,100*ABS(AG1755-AH1755)/(AG1755+AH1755)))</f>
        <v>0</v>
      </c>
      <c r="AJ1755">
        <f>IF(COUNT($AI$1742:$AI$1755)&lt;14,"",AVERAGE($AI$1742:$AI$1755))</f>
        <v>0</v>
      </c>
      <c r="AK1755">
        <f>IF(COUNT($E$2:$E1755)&lt;20,"",AVERAGE($E$1736:$E$1755))</f>
        <v>0</v>
      </c>
      <c r="AL1755">
        <f>IF(COUNT($E$2:$E1755)&lt;20,"",STDEVP($E$1736:$E$1755))</f>
        <v>0</v>
      </c>
      <c r="AM1755">
        <f>IF(AK1755="","",AK1755+2*AL1755)</f>
        <v>0</v>
      </c>
      <c r="AN1755">
        <f>IF(AK1755="","",AK1755-2*AL1755)</f>
        <v>0</v>
      </c>
      <c r="AO1755">
        <f>IF(OR(AM1755="",AN1755="",AM1755=AN1755),"",($E1755-AN1755)/(AM1755-AN1755))</f>
        <v>0</v>
      </c>
      <c r="AP1755">
        <f>IF(OR(AM1755="",AK1755="",AK1755=0),"",(AM1755-AN1755)/AK1755)</f>
        <v>0</v>
      </c>
      <c r="AQ1755">
        <f>IF(COUNT($E$2:$E1755)&lt;20,"",MAX($C$1736:$C$1755))</f>
        <v>0</v>
      </c>
      <c r="AR1755">
        <f>IF(COUNT($E$2:$E1755)&lt;20,"",MIN($D$1736:$D$1755))</f>
        <v>0</v>
      </c>
      <c r="AS1755">
        <f>IF(OR(AQ1755="",AR1755=""),"",(AQ1755+AR1755)/2)</f>
        <v>0</v>
      </c>
      <c r="AT1755">
        <f>IF(COUNT($G$1736:$G$1755)&lt;20,"",STDEV($G$1736:$G$1755)*SQRT(252))</f>
        <v>0</v>
      </c>
      <c r="AU1755">
        <f>IF(COUNT($E$2:$E1755)&lt;9,"",(MAX($C$1747:$C$1755)+MIN($D$1747:$D$1755))/2)</f>
        <v>0</v>
      </c>
      <c r="AV1755">
        <f>IF(COUNT($E$2:$E1755)&lt;26,"",(MAX($C$1730:$C$1755)+MIN($D$1730:$D$1755))/2)</f>
        <v>0</v>
      </c>
      <c r="AW1755">
        <f>IF(OR(AU1755="",AV1755=""),"",(AU1755+AV1755)/2)</f>
        <v>0</v>
      </c>
      <c r="AX1755">
        <f>IF(COUNT($E$2:$E1755)&lt;52,"",(MAX($C$1704:$C$1755)+MIN($D$1704:$D$1755))/2)</f>
        <v>0</v>
      </c>
      <c r="AY1755">
        <f>IF(COUNT($E$2:$E1755)&lt;20,"",MAX($C$1656:$C$1755))</f>
        <v>0</v>
      </c>
      <c r="AZ1755">
        <f>IF(COUNT($E$2:$E1755)&lt;20,"",MIN($D$1656:$D$1755))</f>
        <v>0</v>
      </c>
      <c r="BA1755">
        <f>IF(COUNT($E$2:$E1755)&lt;20,"",SLOPE($E$1656:$E$1755,$F$1656:$F$1755))</f>
        <v>0</v>
      </c>
      <c r="BB1755">
        <f>IF(COUNT($E$2:$E1755)&lt;20,"",INTERCEPT($E$1656:$E$1755,$F$1656:$F$1755))</f>
        <v>0</v>
      </c>
      <c r="BC1755">
        <f>IF(OR(BA1755="",BB1755=""),"",BB1755+BA1755*F1755)</f>
        <v>0</v>
      </c>
      <c r="BD1755">
        <f>IF(COUNT($E$2:$E1755)&lt;20,"",STEYX($E$1656:$E$1755,$F$1656:$F$1755))</f>
        <v>0</v>
      </c>
      <c r="BE1755">
        <f>IF($E1755="","",IF(AND(COUNT($E$1756:$E$1759)&gt;=4,$C1755=MAX($C$1751:$C$1759)),$C1755,""))</f>
        <v>0</v>
      </c>
      <c r="BF1755">
        <f>IF($E1755="","",IF(AND(COUNT($E$1756:$E$1759)&gt;=4,$D1755=MIN($D$1751:$D$1759)),$D1755,""))</f>
        <v>0</v>
      </c>
      <c r="BG1755">
        <f>IF($A1755="","",$A1755-WEEKDAY($A1755,2)+1)</f>
        <v>0</v>
      </c>
      <c r="BH1755">
        <f>IF($A1755="","",IF($A1754="",1,IF(BG1755&lt;&gt;BG1754,1,0)))</f>
        <v>0</v>
      </c>
      <c r="BI1755">
        <f>IF($A1755="","",IF($A1756="",1,IF(BG1756&lt;&gt;BG1755,1,0)))</f>
        <v>0</v>
      </c>
      <c r="BJ1755">
        <f>IF($A1755="","",IF(BH1755=1,$B1755,BJ1754))</f>
        <v>0</v>
      </c>
      <c r="BK1755">
        <f>IF($A1755="","",IF(BH1755=1,$C1755,MAX($C1755,BK1754)))</f>
        <v>0</v>
      </c>
      <c r="BL1755">
        <f>IF($A1755="","",IF(BH1755=1,$D1755,MIN($D1755,BL1754)))</f>
        <v>0</v>
      </c>
      <c r="BM1755">
        <f>IF($A1755="","",IF(BI1755=1,F1755,""))</f>
        <v>0</v>
      </c>
      <c r="BN1755">
        <f>IF($A1755="","",DATE(YEAR($A1755),MONTH($A1755),1))</f>
        <v>0</v>
      </c>
      <c r="BO1755">
        <f>IF($A1755="","",IF($A1754="",1,IF(BN1755&lt;&gt;BN1754,1,0)))</f>
        <v>0</v>
      </c>
      <c r="BP1755">
        <f>IF($A1755="","",IF($A1756="",1,IF(BN1756&lt;&gt;BN1755,1,0)))</f>
        <v>0</v>
      </c>
      <c r="BQ1755">
        <f>IF($A1755="","",IF(BO1755=1,$B1755,BQ1754))</f>
        <v>0</v>
      </c>
      <c r="BR1755">
        <f>IF($A1755="","",IF(BO1755=1,$C1755,MAX($C1755,BR1754)))</f>
        <v>0</v>
      </c>
      <c r="BS1755">
        <f>IF($A1755="","",IF(BO1755=1,$D1755,MIN($D1755,BS1754)))</f>
        <v>0</v>
      </c>
      <c r="BT1755">
        <f>IF($A1755="","",IF(BP1755=1,F1755,""))</f>
        <v>0</v>
      </c>
    </row>
    <row r="1756" spans="1:72">
      <c r="A1756" s="27">
        <f>IF(Data!$A1756="","",Data!$A1756)</f>
        <v>0</v>
      </c>
      <c r="B1756">
        <f>IF(Data!$B1756="","",Data!$B1756)</f>
        <v>0</v>
      </c>
      <c r="C1756">
        <f>IF(Data!$C1756="","",Data!$C1756)</f>
        <v>0</v>
      </c>
      <c r="D1756">
        <f>IF(Data!$D1756="","",Data!$D1756)</f>
        <v>0</v>
      </c>
      <c r="E1756">
        <f>IF(Data!$E1756="","",Data!$E1756)</f>
        <v>0</v>
      </c>
      <c r="F1756">
        <f>IF($E1756="","",N(F1755)+1)</f>
        <v>0</v>
      </c>
      <c r="G1756">
        <f>IF(OR($E1756="",$E1755=""),"",LN($E1756/$E1755))</f>
        <v>0</v>
      </c>
      <c r="H1756">
        <f>IF($E1756="","",IF($E1755="",$E1756,$E1756*0.0952380952+H1755*0.9047619048))</f>
        <v>0</v>
      </c>
      <c r="I1756">
        <f>IF($E1756="","",IF($E1755="",$E1756,$E1756*0.0392156863+I1755*0.9607843137))</f>
        <v>0</v>
      </c>
      <c r="J1756">
        <f>IF($E1756="","",IF($E1755="",$E1756,$E1756*0.0198019802+J1755*0.9801980198))</f>
        <v>0</v>
      </c>
      <c r="K1756">
        <f>IF($E1756="","",IF($E1755="",$E1756,$E1756*0.0099502488+K1755*0.9900497512))</f>
        <v>0</v>
      </c>
      <c r="L1756">
        <f>IF(OR($E1756="",$E1755=""),"",MAX($E1756-$E1755,0))</f>
        <v>0</v>
      </c>
      <c r="M1756">
        <f>IF(OR($E1756="",$E1755=""),"",MAX($E1755-$E1756,0))</f>
        <v>0</v>
      </c>
      <c r="N1756">
        <f>IF(COUNT($E$2:$E1756)&lt;15,"",IF(AVERAGE($M$1743:$M$1756)=0,100,100-100/(1+AVERAGE($L$1743:$L$1756)/AVERAGE($M$1743:$M$1756))))</f>
        <v>0</v>
      </c>
      <c r="O1756">
        <f>IF($E1756="","",IF($E1755="",$E1756,$E1756*0.1538461538+O1755*0.8461538462))</f>
        <v>0</v>
      </c>
      <c r="P1756">
        <f>IF($E1756="","",IF($E1755="",$E1756,$E1756*0.0740740741+P1755*0.9259259259))</f>
        <v>0</v>
      </c>
      <c r="Q1756">
        <f>IF(OR(O1756="",P1756=""),"",O1756-P1756)</f>
        <v>0</v>
      </c>
      <c r="R1756">
        <f>IF(Q1756="","",IF(R1755="",Q1756,Q1756*0.2000000000+R1755*0.8000000000))</f>
        <v>0</v>
      </c>
      <c r="S1756">
        <f>IF(OR(Q1756="",R1756=""),"",Q1756-R1756)</f>
        <v>0</v>
      </c>
      <c r="T1756">
        <f>IF(COUNT($E$2:$E1756)&lt;14,"",MAX($C$1743:$C$1756))</f>
        <v>0</v>
      </c>
      <c r="U1756">
        <f>IF(COUNT($E$2:$E1756)&lt;14,"",MIN($D$1743:$D$1756))</f>
        <v>0</v>
      </c>
      <c r="V1756">
        <f>IF(OR(T1756="",U1756="",T1756=U1756),"",100*($E1756-U1756)/(T1756-U1756))</f>
        <v>0</v>
      </c>
      <c r="W1756">
        <f>IF(COUNT($V$1754:$V$1756)&lt;3,"",AVERAGE($V$1754:$V$1756))</f>
        <v>0</v>
      </c>
      <c r="X1756">
        <f>IF(COUNT($N$1743:$N$1756)&lt;14,"",MIN($N$1743:$N$1756))</f>
        <v>0</v>
      </c>
      <c r="Y1756">
        <f>IF(COUNT($N$1743:$N$1756)&lt;14,"",MAX($N$1743:$N$1756))</f>
        <v>0</v>
      </c>
      <c r="Z1756">
        <f>IF(OR(N1756="",X1756="",Y1756="",Y1756=X1756),"",100*(N1756-X1756)/(Y1756-X1756))</f>
        <v>0</v>
      </c>
      <c r="AA1756">
        <f>IF(COUNT($Z$1754:$Z$1756)&lt;3,"",AVERAGE($Z$1754:$Z$1756))</f>
        <v>0</v>
      </c>
      <c r="AB1756">
        <f>IF(COUNT($AA$1754:$AA$1756)&lt;3,"",AVERAGE($AA$1754:$AA$1756))</f>
        <v>0</v>
      </c>
      <c r="AC1756">
        <f>IF($E1756="","",MAX($C1756-$D1756,ABS($C1756-$E1755),ABS($D1756-$E1755)))</f>
        <v>0</v>
      </c>
      <c r="AD1756">
        <f>IF(COUNT($E$2:$E1756)&lt;15,"",AVERAGE($AC$1743:$AC$1756))</f>
        <v>0</v>
      </c>
      <c r="AE1756">
        <f>IF(OR($E1756="",$E1755=""),"",IF(AND(($C1756-$C1755)&gt;($D1755-$D1756),($C1756-$C1755)&gt;0),$C1756-$C1755,0))</f>
        <v>0</v>
      </c>
      <c r="AF1756">
        <f>IF(OR($E1756="",$E1755=""),"",IF(AND(($D1755-$D1756)&gt;($C1756-$C1755),($D1755-$D1756)&gt;0),$D1755-$D1756,0))</f>
        <v>0</v>
      </c>
      <c r="AG1756">
        <f>IF(COUNT($E$2:$E1756)&lt;15,"",IF(SUM($AC$1743:$AC$1756)=0,0,100*SUM($AE$1743:$AE$1756)/SUM($AC$1743:$AC$1756)))</f>
        <v>0</v>
      </c>
      <c r="AH1756">
        <f>IF(COUNT($E$2:$E1756)&lt;15,"",IF(SUM($AC$1743:$AC$1756)=0,0,100*SUM($AF$1743:$AF$1756)/SUM($AC$1743:$AC$1756)))</f>
        <v>0</v>
      </c>
      <c r="AI1756">
        <f>IF(OR(AG1756="",AH1756=""),"",IF((AG1756+AH1756)=0,0,100*ABS(AG1756-AH1756)/(AG1756+AH1756)))</f>
        <v>0</v>
      </c>
      <c r="AJ1756">
        <f>IF(COUNT($AI$1743:$AI$1756)&lt;14,"",AVERAGE($AI$1743:$AI$1756))</f>
        <v>0</v>
      </c>
      <c r="AK1756">
        <f>IF(COUNT($E$2:$E1756)&lt;20,"",AVERAGE($E$1737:$E$1756))</f>
        <v>0</v>
      </c>
      <c r="AL1756">
        <f>IF(COUNT($E$2:$E1756)&lt;20,"",STDEVP($E$1737:$E$1756))</f>
        <v>0</v>
      </c>
      <c r="AM1756">
        <f>IF(AK1756="","",AK1756+2*AL1756)</f>
        <v>0</v>
      </c>
      <c r="AN1756">
        <f>IF(AK1756="","",AK1756-2*AL1756)</f>
        <v>0</v>
      </c>
      <c r="AO1756">
        <f>IF(OR(AM1756="",AN1756="",AM1756=AN1756),"",($E1756-AN1756)/(AM1756-AN1756))</f>
        <v>0</v>
      </c>
      <c r="AP1756">
        <f>IF(OR(AM1756="",AK1756="",AK1756=0),"",(AM1756-AN1756)/AK1756)</f>
        <v>0</v>
      </c>
      <c r="AQ1756">
        <f>IF(COUNT($E$2:$E1756)&lt;20,"",MAX($C$1737:$C$1756))</f>
        <v>0</v>
      </c>
      <c r="AR1756">
        <f>IF(COUNT($E$2:$E1756)&lt;20,"",MIN($D$1737:$D$1756))</f>
        <v>0</v>
      </c>
      <c r="AS1756">
        <f>IF(OR(AQ1756="",AR1756=""),"",(AQ1756+AR1756)/2)</f>
        <v>0</v>
      </c>
      <c r="AT1756">
        <f>IF(COUNT($G$1737:$G$1756)&lt;20,"",STDEV($G$1737:$G$1756)*SQRT(252))</f>
        <v>0</v>
      </c>
      <c r="AU1756">
        <f>IF(COUNT($E$2:$E1756)&lt;9,"",(MAX($C$1748:$C$1756)+MIN($D$1748:$D$1756))/2)</f>
        <v>0</v>
      </c>
      <c r="AV1756">
        <f>IF(COUNT($E$2:$E1756)&lt;26,"",(MAX($C$1731:$C$1756)+MIN($D$1731:$D$1756))/2)</f>
        <v>0</v>
      </c>
      <c r="AW1756">
        <f>IF(OR(AU1756="",AV1756=""),"",(AU1756+AV1756)/2)</f>
        <v>0</v>
      </c>
      <c r="AX1756">
        <f>IF(COUNT($E$2:$E1756)&lt;52,"",(MAX($C$1705:$C$1756)+MIN($D$1705:$D$1756))/2)</f>
        <v>0</v>
      </c>
      <c r="AY1756">
        <f>IF(COUNT($E$2:$E1756)&lt;20,"",MAX($C$1657:$C$1756))</f>
        <v>0</v>
      </c>
      <c r="AZ1756">
        <f>IF(COUNT($E$2:$E1756)&lt;20,"",MIN($D$1657:$D$1756))</f>
        <v>0</v>
      </c>
      <c r="BA1756">
        <f>IF(COUNT($E$2:$E1756)&lt;20,"",SLOPE($E$1657:$E$1756,$F$1657:$F$1756))</f>
        <v>0</v>
      </c>
      <c r="BB1756">
        <f>IF(COUNT($E$2:$E1756)&lt;20,"",INTERCEPT($E$1657:$E$1756,$F$1657:$F$1756))</f>
        <v>0</v>
      </c>
      <c r="BC1756">
        <f>IF(OR(BA1756="",BB1756=""),"",BB1756+BA1756*F1756)</f>
        <v>0</v>
      </c>
      <c r="BD1756">
        <f>IF(COUNT($E$2:$E1756)&lt;20,"",STEYX($E$1657:$E$1756,$F$1657:$F$1756))</f>
        <v>0</v>
      </c>
      <c r="BE1756">
        <f>IF($E1756="","",IF(AND(COUNT($E$1757:$E$1760)&gt;=4,$C1756=MAX($C$1752:$C$1760)),$C1756,""))</f>
        <v>0</v>
      </c>
      <c r="BF1756">
        <f>IF($E1756="","",IF(AND(COUNT($E$1757:$E$1760)&gt;=4,$D1756=MIN($D$1752:$D$1760)),$D1756,""))</f>
        <v>0</v>
      </c>
      <c r="BG1756">
        <f>IF($A1756="","",$A1756-WEEKDAY($A1756,2)+1)</f>
        <v>0</v>
      </c>
      <c r="BH1756">
        <f>IF($A1756="","",IF($A1755="",1,IF(BG1756&lt;&gt;BG1755,1,0)))</f>
        <v>0</v>
      </c>
      <c r="BI1756">
        <f>IF($A1756="","",IF($A1757="",1,IF(BG1757&lt;&gt;BG1756,1,0)))</f>
        <v>0</v>
      </c>
      <c r="BJ1756">
        <f>IF($A1756="","",IF(BH1756=1,$B1756,BJ1755))</f>
        <v>0</v>
      </c>
      <c r="BK1756">
        <f>IF($A1756="","",IF(BH1756=1,$C1756,MAX($C1756,BK1755)))</f>
        <v>0</v>
      </c>
      <c r="BL1756">
        <f>IF($A1756="","",IF(BH1756=1,$D1756,MIN($D1756,BL1755)))</f>
        <v>0</v>
      </c>
      <c r="BM1756">
        <f>IF($A1756="","",IF(BI1756=1,F1756,""))</f>
        <v>0</v>
      </c>
      <c r="BN1756">
        <f>IF($A1756="","",DATE(YEAR($A1756),MONTH($A1756),1))</f>
        <v>0</v>
      </c>
      <c r="BO1756">
        <f>IF($A1756="","",IF($A1755="",1,IF(BN1756&lt;&gt;BN1755,1,0)))</f>
        <v>0</v>
      </c>
      <c r="BP1756">
        <f>IF($A1756="","",IF($A1757="",1,IF(BN1757&lt;&gt;BN1756,1,0)))</f>
        <v>0</v>
      </c>
      <c r="BQ1756">
        <f>IF($A1756="","",IF(BO1756=1,$B1756,BQ1755))</f>
        <v>0</v>
      </c>
      <c r="BR1756">
        <f>IF($A1756="","",IF(BO1756=1,$C1756,MAX($C1756,BR1755)))</f>
        <v>0</v>
      </c>
      <c r="BS1756">
        <f>IF($A1756="","",IF(BO1756=1,$D1756,MIN($D1756,BS1755)))</f>
        <v>0</v>
      </c>
      <c r="BT1756">
        <f>IF($A1756="","",IF(BP1756=1,F1756,""))</f>
        <v>0</v>
      </c>
    </row>
    <row r="1757" spans="1:72">
      <c r="A1757" s="27">
        <f>IF(Data!$A1757="","",Data!$A1757)</f>
        <v>0</v>
      </c>
      <c r="B1757">
        <f>IF(Data!$B1757="","",Data!$B1757)</f>
        <v>0</v>
      </c>
      <c r="C1757">
        <f>IF(Data!$C1757="","",Data!$C1757)</f>
        <v>0</v>
      </c>
      <c r="D1757">
        <f>IF(Data!$D1757="","",Data!$D1757)</f>
        <v>0</v>
      </c>
      <c r="E1757">
        <f>IF(Data!$E1757="","",Data!$E1757)</f>
        <v>0</v>
      </c>
      <c r="F1757">
        <f>IF($E1757="","",N(F1756)+1)</f>
        <v>0</v>
      </c>
      <c r="G1757">
        <f>IF(OR($E1757="",$E1756=""),"",LN($E1757/$E1756))</f>
        <v>0</v>
      </c>
      <c r="H1757">
        <f>IF($E1757="","",IF($E1756="",$E1757,$E1757*0.0952380952+H1756*0.9047619048))</f>
        <v>0</v>
      </c>
      <c r="I1757">
        <f>IF($E1757="","",IF($E1756="",$E1757,$E1757*0.0392156863+I1756*0.9607843137))</f>
        <v>0</v>
      </c>
      <c r="J1757">
        <f>IF($E1757="","",IF($E1756="",$E1757,$E1757*0.0198019802+J1756*0.9801980198))</f>
        <v>0</v>
      </c>
      <c r="K1757">
        <f>IF($E1757="","",IF($E1756="",$E1757,$E1757*0.0099502488+K1756*0.9900497512))</f>
        <v>0</v>
      </c>
      <c r="L1757">
        <f>IF(OR($E1757="",$E1756=""),"",MAX($E1757-$E1756,0))</f>
        <v>0</v>
      </c>
      <c r="M1757">
        <f>IF(OR($E1757="",$E1756=""),"",MAX($E1756-$E1757,0))</f>
        <v>0</v>
      </c>
      <c r="N1757">
        <f>IF(COUNT($E$2:$E1757)&lt;15,"",IF(AVERAGE($M$1744:$M$1757)=0,100,100-100/(1+AVERAGE($L$1744:$L$1757)/AVERAGE($M$1744:$M$1757))))</f>
        <v>0</v>
      </c>
      <c r="O1757">
        <f>IF($E1757="","",IF($E1756="",$E1757,$E1757*0.1538461538+O1756*0.8461538462))</f>
        <v>0</v>
      </c>
      <c r="P1757">
        <f>IF($E1757="","",IF($E1756="",$E1757,$E1757*0.0740740741+P1756*0.9259259259))</f>
        <v>0</v>
      </c>
      <c r="Q1757">
        <f>IF(OR(O1757="",P1757=""),"",O1757-P1757)</f>
        <v>0</v>
      </c>
      <c r="R1757">
        <f>IF(Q1757="","",IF(R1756="",Q1757,Q1757*0.2000000000+R1756*0.8000000000))</f>
        <v>0</v>
      </c>
      <c r="S1757">
        <f>IF(OR(Q1757="",R1757=""),"",Q1757-R1757)</f>
        <v>0</v>
      </c>
      <c r="T1757">
        <f>IF(COUNT($E$2:$E1757)&lt;14,"",MAX($C$1744:$C$1757))</f>
        <v>0</v>
      </c>
      <c r="U1757">
        <f>IF(COUNT($E$2:$E1757)&lt;14,"",MIN($D$1744:$D$1757))</f>
        <v>0</v>
      </c>
      <c r="V1757">
        <f>IF(OR(T1757="",U1757="",T1757=U1757),"",100*($E1757-U1757)/(T1757-U1757))</f>
        <v>0</v>
      </c>
      <c r="W1757">
        <f>IF(COUNT($V$1755:$V$1757)&lt;3,"",AVERAGE($V$1755:$V$1757))</f>
        <v>0</v>
      </c>
      <c r="X1757">
        <f>IF(COUNT($N$1744:$N$1757)&lt;14,"",MIN($N$1744:$N$1757))</f>
        <v>0</v>
      </c>
      <c r="Y1757">
        <f>IF(COUNT($N$1744:$N$1757)&lt;14,"",MAX($N$1744:$N$1757))</f>
        <v>0</v>
      </c>
      <c r="Z1757">
        <f>IF(OR(N1757="",X1757="",Y1757="",Y1757=X1757),"",100*(N1757-X1757)/(Y1757-X1757))</f>
        <v>0</v>
      </c>
      <c r="AA1757">
        <f>IF(COUNT($Z$1755:$Z$1757)&lt;3,"",AVERAGE($Z$1755:$Z$1757))</f>
        <v>0</v>
      </c>
      <c r="AB1757">
        <f>IF(COUNT($AA$1755:$AA$1757)&lt;3,"",AVERAGE($AA$1755:$AA$1757))</f>
        <v>0</v>
      </c>
      <c r="AC1757">
        <f>IF($E1757="","",MAX($C1757-$D1757,ABS($C1757-$E1756),ABS($D1757-$E1756)))</f>
        <v>0</v>
      </c>
      <c r="AD1757">
        <f>IF(COUNT($E$2:$E1757)&lt;15,"",AVERAGE($AC$1744:$AC$1757))</f>
        <v>0</v>
      </c>
      <c r="AE1757">
        <f>IF(OR($E1757="",$E1756=""),"",IF(AND(($C1757-$C1756)&gt;($D1756-$D1757),($C1757-$C1756)&gt;0),$C1757-$C1756,0))</f>
        <v>0</v>
      </c>
      <c r="AF1757">
        <f>IF(OR($E1757="",$E1756=""),"",IF(AND(($D1756-$D1757)&gt;($C1757-$C1756),($D1756-$D1757)&gt;0),$D1756-$D1757,0))</f>
        <v>0</v>
      </c>
      <c r="AG1757">
        <f>IF(COUNT($E$2:$E1757)&lt;15,"",IF(SUM($AC$1744:$AC$1757)=0,0,100*SUM($AE$1744:$AE$1757)/SUM($AC$1744:$AC$1757)))</f>
        <v>0</v>
      </c>
      <c r="AH1757">
        <f>IF(COUNT($E$2:$E1757)&lt;15,"",IF(SUM($AC$1744:$AC$1757)=0,0,100*SUM($AF$1744:$AF$1757)/SUM($AC$1744:$AC$1757)))</f>
        <v>0</v>
      </c>
      <c r="AI1757">
        <f>IF(OR(AG1757="",AH1757=""),"",IF((AG1757+AH1757)=0,0,100*ABS(AG1757-AH1757)/(AG1757+AH1757)))</f>
        <v>0</v>
      </c>
      <c r="AJ1757">
        <f>IF(COUNT($AI$1744:$AI$1757)&lt;14,"",AVERAGE($AI$1744:$AI$1757))</f>
        <v>0</v>
      </c>
      <c r="AK1757">
        <f>IF(COUNT($E$2:$E1757)&lt;20,"",AVERAGE($E$1738:$E$1757))</f>
        <v>0</v>
      </c>
      <c r="AL1757">
        <f>IF(COUNT($E$2:$E1757)&lt;20,"",STDEVP($E$1738:$E$1757))</f>
        <v>0</v>
      </c>
      <c r="AM1757">
        <f>IF(AK1757="","",AK1757+2*AL1757)</f>
        <v>0</v>
      </c>
      <c r="AN1757">
        <f>IF(AK1757="","",AK1757-2*AL1757)</f>
        <v>0</v>
      </c>
      <c r="AO1757">
        <f>IF(OR(AM1757="",AN1757="",AM1757=AN1757),"",($E1757-AN1757)/(AM1757-AN1757))</f>
        <v>0</v>
      </c>
      <c r="AP1757">
        <f>IF(OR(AM1757="",AK1757="",AK1757=0),"",(AM1757-AN1757)/AK1757)</f>
        <v>0</v>
      </c>
      <c r="AQ1757">
        <f>IF(COUNT($E$2:$E1757)&lt;20,"",MAX($C$1738:$C$1757))</f>
        <v>0</v>
      </c>
      <c r="AR1757">
        <f>IF(COUNT($E$2:$E1757)&lt;20,"",MIN($D$1738:$D$1757))</f>
        <v>0</v>
      </c>
      <c r="AS1757">
        <f>IF(OR(AQ1757="",AR1757=""),"",(AQ1757+AR1757)/2)</f>
        <v>0</v>
      </c>
      <c r="AT1757">
        <f>IF(COUNT($G$1738:$G$1757)&lt;20,"",STDEV($G$1738:$G$1757)*SQRT(252))</f>
        <v>0</v>
      </c>
      <c r="AU1757">
        <f>IF(COUNT($E$2:$E1757)&lt;9,"",(MAX($C$1749:$C$1757)+MIN($D$1749:$D$1757))/2)</f>
        <v>0</v>
      </c>
      <c r="AV1757">
        <f>IF(COUNT($E$2:$E1757)&lt;26,"",(MAX($C$1732:$C$1757)+MIN($D$1732:$D$1757))/2)</f>
        <v>0</v>
      </c>
      <c r="AW1757">
        <f>IF(OR(AU1757="",AV1757=""),"",(AU1757+AV1757)/2)</f>
        <v>0</v>
      </c>
      <c r="AX1757">
        <f>IF(COUNT($E$2:$E1757)&lt;52,"",(MAX($C$1706:$C$1757)+MIN($D$1706:$D$1757))/2)</f>
        <v>0</v>
      </c>
      <c r="AY1757">
        <f>IF(COUNT($E$2:$E1757)&lt;20,"",MAX($C$1658:$C$1757))</f>
        <v>0</v>
      </c>
      <c r="AZ1757">
        <f>IF(COUNT($E$2:$E1757)&lt;20,"",MIN($D$1658:$D$1757))</f>
        <v>0</v>
      </c>
      <c r="BA1757">
        <f>IF(COUNT($E$2:$E1757)&lt;20,"",SLOPE($E$1658:$E$1757,$F$1658:$F$1757))</f>
        <v>0</v>
      </c>
      <c r="BB1757">
        <f>IF(COUNT($E$2:$E1757)&lt;20,"",INTERCEPT($E$1658:$E$1757,$F$1658:$F$1757))</f>
        <v>0</v>
      </c>
      <c r="BC1757">
        <f>IF(OR(BA1757="",BB1757=""),"",BB1757+BA1757*F1757)</f>
        <v>0</v>
      </c>
      <c r="BD1757">
        <f>IF(COUNT($E$2:$E1757)&lt;20,"",STEYX($E$1658:$E$1757,$F$1658:$F$1757))</f>
        <v>0</v>
      </c>
      <c r="BE1757">
        <f>IF($E1757="","",IF(AND(COUNT($E$1758:$E$1761)&gt;=4,$C1757=MAX($C$1753:$C$1761)),$C1757,""))</f>
        <v>0</v>
      </c>
      <c r="BF1757">
        <f>IF($E1757="","",IF(AND(COUNT($E$1758:$E$1761)&gt;=4,$D1757=MIN($D$1753:$D$1761)),$D1757,""))</f>
        <v>0</v>
      </c>
      <c r="BG1757">
        <f>IF($A1757="","",$A1757-WEEKDAY($A1757,2)+1)</f>
        <v>0</v>
      </c>
      <c r="BH1757">
        <f>IF($A1757="","",IF($A1756="",1,IF(BG1757&lt;&gt;BG1756,1,0)))</f>
        <v>0</v>
      </c>
      <c r="BI1757">
        <f>IF($A1757="","",IF($A1758="",1,IF(BG1758&lt;&gt;BG1757,1,0)))</f>
        <v>0</v>
      </c>
      <c r="BJ1757">
        <f>IF($A1757="","",IF(BH1757=1,$B1757,BJ1756))</f>
        <v>0</v>
      </c>
      <c r="BK1757">
        <f>IF($A1757="","",IF(BH1757=1,$C1757,MAX($C1757,BK1756)))</f>
        <v>0</v>
      </c>
      <c r="BL1757">
        <f>IF($A1757="","",IF(BH1757=1,$D1757,MIN($D1757,BL1756)))</f>
        <v>0</v>
      </c>
      <c r="BM1757">
        <f>IF($A1757="","",IF(BI1757=1,F1757,""))</f>
        <v>0</v>
      </c>
      <c r="BN1757">
        <f>IF($A1757="","",DATE(YEAR($A1757),MONTH($A1757),1))</f>
        <v>0</v>
      </c>
      <c r="BO1757">
        <f>IF($A1757="","",IF($A1756="",1,IF(BN1757&lt;&gt;BN1756,1,0)))</f>
        <v>0</v>
      </c>
      <c r="BP1757">
        <f>IF($A1757="","",IF($A1758="",1,IF(BN1758&lt;&gt;BN1757,1,0)))</f>
        <v>0</v>
      </c>
      <c r="BQ1757">
        <f>IF($A1757="","",IF(BO1757=1,$B1757,BQ1756))</f>
        <v>0</v>
      </c>
      <c r="BR1757">
        <f>IF($A1757="","",IF(BO1757=1,$C1757,MAX($C1757,BR1756)))</f>
        <v>0</v>
      </c>
      <c r="BS1757">
        <f>IF($A1757="","",IF(BO1757=1,$D1757,MIN($D1757,BS1756)))</f>
        <v>0</v>
      </c>
      <c r="BT1757">
        <f>IF($A1757="","",IF(BP1757=1,F1757,""))</f>
        <v>0</v>
      </c>
    </row>
    <row r="1758" spans="1:72">
      <c r="A1758" s="27">
        <f>IF(Data!$A1758="","",Data!$A1758)</f>
        <v>0</v>
      </c>
      <c r="B1758">
        <f>IF(Data!$B1758="","",Data!$B1758)</f>
        <v>0</v>
      </c>
      <c r="C1758">
        <f>IF(Data!$C1758="","",Data!$C1758)</f>
        <v>0</v>
      </c>
      <c r="D1758">
        <f>IF(Data!$D1758="","",Data!$D1758)</f>
        <v>0</v>
      </c>
      <c r="E1758">
        <f>IF(Data!$E1758="","",Data!$E1758)</f>
        <v>0</v>
      </c>
      <c r="F1758">
        <f>IF($E1758="","",N(F1757)+1)</f>
        <v>0</v>
      </c>
      <c r="G1758">
        <f>IF(OR($E1758="",$E1757=""),"",LN($E1758/$E1757))</f>
        <v>0</v>
      </c>
      <c r="H1758">
        <f>IF($E1758="","",IF($E1757="",$E1758,$E1758*0.0952380952+H1757*0.9047619048))</f>
        <v>0</v>
      </c>
      <c r="I1758">
        <f>IF($E1758="","",IF($E1757="",$E1758,$E1758*0.0392156863+I1757*0.9607843137))</f>
        <v>0</v>
      </c>
      <c r="J1758">
        <f>IF($E1758="","",IF($E1757="",$E1758,$E1758*0.0198019802+J1757*0.9801980198))</f>
        <v>0</v>
      </c>
      <c r="K1758">
        <f>IF($E1758="","",IF($E1757="",$E1758,$E1758*0.0099502488+K1757*0.9900497512))</f>
        <v>0</v>
      </c>
      <c r="L1758">
        <f>IF(OR($E1758="",$E1757=""),"",MAX($E1758-$E1757,0))</f>
        <v>0</v>
      </c>
      <c r="M1758">
        <f>IF(OR($E1758="",$E1757=""),"",MAX($E1757-$E1758,0))</f>
        <v>0</v>
      </c>
      <c r="N1758">
        <f>IF(COUNT($E$2:$E1758)&lt;15,"",IF(AVERAGE($M$1745:$M$1758)=0,100,100-100/(1+AVERAGE($L$1745:$L$1758)/AVERAGE($M$1745:$M$1758))))</f>
        <v>0</v>
      </c>
      <c r="O1758">
        <f>IF($E1758="","",IF($E1757="",$E1758,$E1758*0.1538461538+O1757*0.8461538462))</f>
        <v>0</v>
      </c>
      <c r="P1758">
        <f>IF($E1758="","",IF($E1757="",$E1758,$E1758*0.0740740741+P1757*0.9259259259))</f>
        <v>0</v>
      </c>
      <c r="Q1758">
        <f>IF(OR(O1758="",P1758=""),"",O1758-P1758)</f>
        <v>0</v>
      </c>
      <c r="R1758">
        <f>IF(Q1758="","",IF(R1757="",Q1758,Q1758*0.2000000000+R1757*0.8000000000))</f>
        <v>0</v>
      </c>
      <c r="S1758">
        <f>IF(OR(Q1758="",R1758=""),"",Q1758-R1758)</f>
        <v>0</v>
      </c>
      <c r="T1758">
        <f>IF(COUNT($E$2:$E1758)&lt;14,"",MAX($C$1745:$C$1758))</f>
        <v>0</v>
      </c>
      <c r="U1758">
        <f>IF(COUNT($E$2:$E1758)&lt;14,"",MIN($D$1745:$D$1758))</f>
        <v>0</v>
      </c>
      <c r="V1758">
        <f>IF(OR(T1758="",U1758="",T1758=U1758),"",100*($E1758-U1758)/(T1758-U1758))</f>
        <v>0</v>
      </c>
      <c r="W1758">
        <f>IF(COUNT($V$1756:$V$1758)&lt;3,"",AVERAGE($V$1756:$V$1758))</f>
        <v>0</v>
      </c>
      <c r="X1758">
        <f>IF(COUNT($N$1745:$N$1758)&lt;14,"",MIN($N$1745:$N$1758))</f>
        <v>0</v>
      </c>
      <c r="Y1758">
        <f>IF(COUNT($N$1745:$N$1758)&lt;14,"",MAX($N$1745:$N$1758))</f>
        <v>0</v>
      </c>
      <c r="Z1758">
        <f>IF(OR(N1758="",X1758="",Y1758="",Y1758=X1758),"",100*(N1758-X1758)/(Y1758-X1758))</f>
        <v>0</v>
      </c>
      <c r="AA1758">
        <f>IF(COUNT($Z$1756:$Z$1758)&lt;3,"",AVERAGE($Z$1756:$Z$1758))</f>
        <v>0</v>
      </c>
      <c r="AB1758">
        <f>IF(COUNT($AA$1756:$AA$1758)&lt;3,"",AVERAGE($AA$1756:$AA$1758))</f>
        <v>0</v>
      </c>
      <c r="AC1758">
        <f>IF($E1758="","",MAX($C1758-$D1758,ABS($C1758-$E1757),ABS($D1758-$E1757)))</f>
        <v>0</v>
      </c>
      <c r="AD1758">
        <f>IF(COUNT($E$2:$E1758)&lt;15,"",AVERAGE($AC$1745:$AC$1758))</f>
        <v>0</v>
      </c>
      <c r="AE1758">
        <f>IF(OR($E1758="",$E1757=""),"",IF(AND(($C1758-$C1757)&gt;($D1757-$D1758),($C1758-$C1757)&gt;0),$C1758-$C1757,0))</f>
        <v>0</v>
      </c>
      <c r="AF1758">
        <f>IF(OR($E1758="",$E1757=""),"",IF(AND(($D1757-$D1758)&gt;($C1758-$C1757),($D1757-$D1758)&gt;0),$D1757-$D1758,0))</f>
        <v>0</v>
      </c>
      <c r="AG1758">
        <f>IF(COUNT($E$2:$E1758)&lt;15,"",IF(SUM($AC$1745:$AC$1758)=0,0,100*SUM($AE$1745:$AE$1758)/SUM($AC$1745:$AC$1758)))</f>
        <v>0</v>
      </c>
      <c r="AH1758">
        <f>IF(COUNT($E$2:$E1758)&lt;15,"",IF(SUM($AC$1745:$AC$1758)=0,0,100*SUM($AF$1745:$AF$1758)/SUM($AC$1745:$AC$1758)))</f>
        <v>0</v>
      </c>
      <c r="AI1758">
        <f>IF(OR(AG1758="",AH1758=""),"",IF((AG1758+AH1758)=0,0,100*ABS(AG1758-AH1758)/(AG1758+AH1758)))</f>
        <v>0</v>
      </c>
      <c r="AJ1758">
        <f>IF(COUNT($AI$1745:$AI$1758)&lt;14,"",AVERAGE($AI$1745:$AI$1758))</f>
        <v>0</v>
      </c>
      <c r="AK1758">
        <f>IF(COUNT($E$2:$E1758)&lt;20,"",AVERAGE($E$1739:$E$1758))</f>
        <v>0</v>
      </c>
      <c r="AL1758">
        <f>IF(COUNT($E$2:$E1758)&lt;20,"",STDEVP($E$1739:$E$1758))</f>
        <v>0</v>
      </c>
      <c r="AM1758">
        <f>IF(AK1758="","",AK1758+2*AL1758)</f>
        <v>0</v>
      </c>
      <c r="AN1758">
        <f>IF(AK1758="","",AK1758-2*AL1758)</f>
        <v>0</v>
      </c>
      <c r="AO1758">
        <f>IF(OR(AM1758="",AN1758="",AM1758=AN1758),"",($E1758-AN1758)/(AM1758-AN1758))</f>
        <v>0</v>
      </c>
      <c r="AP1758">
        <f>IF(OR(AM1758="",AK1758="",AK1758=0),"",(AM1758-AN1758)/AK1758)</f>
        <v>0</v>
      </c>
      <c r="AQ1758">
        <f>IF(COUNT($E$2:$E1758)&lt;20,"",MAX($C$1739:$C$1758))</f>
        <v>0</v>
      </c>
      <c r="AR1758">
        <f>IF(COUNT($E$2:$E1758)&lt;20,"",MIN($D$1739:$D$1758))</f>
        <v>0</v>
      </c>
      <c r="AS1758">
        <f>IF(OR(AQ1758="",AR1758=""),"",(AQ1758+AR1758)/2)</f>
        <v>0</v>
      </c>
      <c r="AT1758">
        <f>IF(COUNT($G$1739:$G$1758)&lt;20,"",STDEV($G$1739:$G$1758)*SQRT(252))</f>
        <v>0</v>
      </c>
      <c r="AU1758">
        <f>IF(COUNT($E$2:$E1758)&lt;9,"",(MAX($C$1750:$C$1758)+MIN($D$1750:$D$1758))/2)</f>
        <v>0</v>
      </c>
      <c r="AV1758">
        <f>IF(COUNT($E$2:$E1758)&lt;26,"",(MAX($C$1733:$C$1758)+MIN($D$1733:$D$1758))/2)</f>
        <v>0</v>
      </c>
      <c r="AW1758">
        <f>IF(OR(AU1758="",AV1758=""),"",(AU1758+AV1758)/2)</f>
        <v>0</v>
      </c>
      <c r="AX1758">
        <f>IF(COUNT($E$2:$E1758)&lt;52,"",(MAX($C$1707:$C$1758)+MIN($D$1707:$D$1758))/2)</f>
        <v>0</v>
      </c>
      <c r="AY1758">
        <f>IF(COUNT($E$2:$E1758)&lt;20,"",MAX($C$1659:$C$1758))</f>
        <v>0</v>
      </c>
      <c r="AZ1758">
        <f>IF(COUNT($E$2:$E1758)&lt;20,"",MIN($D$1659:$D$1758))</f>
        <v>0</v>
      </c>
      <c r="BA1758">
        <f>IF(COUNT($E$2:$E1758)&lt;20,"",SLOPE($E$1659:$E$1758,$F$1659:$F$1758))</f>
        <v>0</v>
      </c>
      <c r="BB1758">
        <f>IF(COUNT($E$2:$E1758)&lt;20,"",INTERCEPT($E$1659:$E$1758,$F$1659:$F$1758))</f>
        <v>0</v>
      </c>
      <c r="BC1758">
        <f>IF(OR(BA1758="",BB1758=""),"",BB1758+BA1758*F1758)</f>
        <v>0</v>
      </c>
      <c r="BD1758">
        <f>IF(COUNT($E$2:$E1758)&lt;20,"",STEYX($E$1659:$E$1758,$F$1659:$F$1758))</f>
        <v>0</v>
      </c>
      <c r="BE1758">
        <f>IF($E1758="","",IF(AND(COUNT($E$1759:$E$1762)&gt;=4,$C1758=MAX($C$1754:$C$1762)),$C1758,""))</f>
        <v>0</v>
      </c>
      <c r="BF1758">
        <f>IF($E1758="","",IF(AND(COUNT($E$1759:$E$1762)&gt;=4,$D1758=MIN($D$1754:$D$1762)),$D1758,""))</f>
        <v>0</v>
      </c>
      <c r="BG1758">
        <f>IF($A1758="","",$A1758-WEEKDAY($A1758,2)+1)</f>
        <v>0</v>
      </c>
      <c r="BH1758">
        <f>IF($A1758="","",IF($A1757="",1,IF(BG1758&lt;&gt;BG1757,1,0)))</f>
        <v>0</v>
      </c>
      <c r="BI1758">
        <f>IF($A1758="","",IF($A1759="",1,IF(BG1759&lt;&gt;BG1758,1,0)))</f>
        <v>0</v>
      </c>
      <c r="BJ1758">
        <f>IF($A1758="","",IF(BH1758=1,$B1758,BJ1757))</f>
        <v>0</v>
      </c>
      <c r="BK1758">
        <f>IF($A1758="","",IF(BH1758=1,$C1758,MAX($C1758,BK1757)))</f>
        <v>0</v>
      </c>
      <c r="BL1758">
        <f>IF($A1758="","",IF(BH1758=1,$D1758,MIN($D1758,BL1757)))</f>
        <v>0</v>
      </c>
      <c r="BM1758">
        <f>IF($A1758="","",IF(BI1758=1,F1758,""))</f>
        <v>0</v>
      </c>
      <c r="BN1758">
        <f>IF($A1758="","",DATE(YEAR($A1758),MONTH($A1758),1))</f>
        <v>0</v>
      </c>
      <c r="BO1758">
        <f>IF($A1758="","",IF($A1757="",1,IF(BN1758&lt;&gt;BN1757,1,0)))</f>
        <v>0</v>
      </c>
      <c r="BP1758">
        <f>IF($A1758="","",IF($A1759="",1,IF(BN1759&lt;&gt;BN1758,1,0)))</f>
        <v>0</v>
      </c>
      <c r="BQ1758">
        <f>IF($A1758="","",IF(BO1758=1,$B1758,BQ1757))</f>
        <v>0</v>
      </c>
      <c r="BR1758">
        <f>IF($A1758="","",IF(BO1758=1,$C1758,MAX($C1758,BR1757)))</f>
        <v>0</v>
      </c>
      <c r="BS1758">
        <f>IF($A1758="","",IF(BO1758=1,$D1758,MIN($D1758,BS1757)))</f>
        <v>0</v>
      </c>
      <c r="BT1758">
        <f>IF($A1758="","",IF(BP1758=1,F1758,""))</f>
        <v>0</v>
      </c>
    </row>
    <row r="1759" spans="1:72">
      <c r="A1759" s="27">
        <f>IF(Data!$A1759="","",Data!$A1759)</f>
        <v>0</v>
      </c>
      <c r="B1759">
        <f>IF(Data!$B1759="","",Data!$B1759)</f>
        <v>0</v>
      </c>
      <c r="C1759">
        <f>IF(Data!$C1759="","",Data!$C1759)</f>
        <v>0</v>
      </c>
      <c r="D1759">
        <f>IF(Data!$D1759="","",Data!$D1759)</f>
        <v>0</v>
      </c>
      <c r="E1759">
        <f>IF(Data!$E1759="","",Data!$E1759)</f>
        <v>0</v>
      </c>
      <c r="F1759">
        <f>IF($E1759="","",N(F1758)+1)</f>
        <v>0</v>
      </c>
      <c r="G1759">
        <f>IF(OR($E1759="",$E1758=""),"",LN($E1759/$E1758))</f>
        <v>0</v>
      </c>
      <c r="H1759">
        <f>IF($E1759="","",IF($E1758="",$E1759,$E1759*0.0952380952+H1758*0.9047619048))</f>
        <v>0</v>
      </c>
      <c r="I1759">
        <f>IF($E1759="","",IF($E1758="",$E1759,$E1759*0.0392156863+I1758*0.9607843137))</f>
        <v>0</v>
      </c>
      <c r="J1759">
        <f>IF($E1759="","",IF($E1758="",$E1759,$E1759*0.0198019802+J1758*0.9801980198))</f>
        <v>0</v>
      </c>
      <c r="K1759">
        <f>IF($E1759="","",IF($E1758="",$E1759,$E1759*0.0099502488+K1758*0.9900497512))</f>
        <v>0</v>
      </c>
      <c r="L1759">
        <f>IF(OR($E1759="",$E1758=""),"",MAX($E1759-$E1758,0))</f>
        <v>0</v>
      </c>
      <c r="M1759">
        <f>IF(OR($E1759="",$E1758=""),"",MAX($E1758-$E1759,0))</f>
        <v>0</v>
      </c>
      <c r="N1759">
        <f>IF(COUNT($E$2:$E1759)&lt;15,"",IF(AVERAGE($M$1746:$M$1759)=0,100,100-100/(1+AVERAGE($L$1746:$L$1759)/AVERAGE($M$1746:$M$1759))))</f>
        <v>0</v>
      </c>
      <c r="O1759">
        <f>IF($E1759="","",IF($E1758="",$E1759,$E1759*0.1538461538+O1758*0.8461538462))</f>
        <v>0</v>
      </c>
      <c r="P1759">
        <f>IF($E1759="","",IF($E1758="",$E1759,$E1759*0.0740740741+P1758*0.9259259259))</f>
        <v>0</v>
      </c>
      <c r="Q1759">
        <f>IF(OR(O1759="",P1759=""),"",O1759-P1759)</f>
        <v>0</v>
      </c>
      <c r="R1759">
        <f>IF(Q1759="","",IF(R1758="",Q1759,Q1759*0.2000000000+R1758*0.8000000000))</f>
        <v>0</v>
      </c>
      <c r="S1759">
        <f>IF(OR(Q1759="",R1759=""),"",Q1759-R1759)</f>
        <v>0</v>
      </c>
      <c r="T1759">
        <f>IF(COUNT($E$2:$E1759)&lt;14,"",MAX($C$1746:$C$1759))</f>
        <v>0</v>
      </c>
      <c r="U1759">
        <f>IF(COUNT($E$2:$E1759)&lt;14,"",MIN($D$1746:$D$1759))</f>
        <v>0</v>
      </c>
      <c r="V1759">
        <f>IF(OR(T1759="",U1759="",T1759=U1759),"",100*($E1759-U1759)/(T1759-U1759))</f>
        <v>0</v>
      </c>
      <c r="W1759">
        <f>IF(COUNT($V$1757:$V$1759)&lt;3,"",AVERAGE($V$1757:$V$1759))</f>
        <v>0</v>
      </c>
      <c r="X1759">
        <f>IF(COUNT($N$1746:$N$1759)&lt;14,"",MIN($N$1746:$N$1759))</f>
        <v>0</v>
      </c>
      <c r="Y1759">
        <f>IF(COUNT($N$1746:$N$1759)&lt;14,"",MAX($N$1746:$N$1759))</f>
        <v>0</v>
      </c>
      <c r="Z1759">
        <f>IF(OR(N1759="",X1759="",Y1759="",Y1759=X1759),"",100*(N1759-X1759)/(Y1759-X1759))</f>
        <v>0</v>
      </c>
      <c r="AA1759">
        <f>IF(COUNT($Z$1757:$Z$1759)&lt;3,"",AVERAGE($Z$1757:$Z$1759))</f>
        <v>0</v>
      </c>
      <c r="AB1759">
        <f>IF(COUNT($AA$1757:$AA$1759)&lt;3,"",AVERAGE($AA$1757:$AA$1759))</f>
        <v>0</v>
      </c>
      <c r="AC1759">
        <f>IF($E1759="","",MAX($C1759-$D1759,ABS($C1759-$E1758),ABS($D1759-$E1758)))</f>
        <v>0</v>
      </c>
      <c r="AD1759">
        <f>IF(COUNT($E$2:$E1759)&lt;15,"",AVERAGE($AC$1746:$AC$1759))</f>
        <v>0</v>
      </c>
      <c r="AE1759">
        <f>IF(OR($E1759="",$E1758=""),"",IF(AND(($C1759-$C1758)&gt;($D1758-$D1759),($C1759-$C1758)&gt;0),$C1759-$C1758,0))</f>
        <v>0</v>
      </c>
      <c r="AF1759">
        <f>IF(OR($E1759="",$E1758=""),"",IF(AND(($D1758-$D1759)&gt;($C1759-$C1758),($D1758-$D1759)&gt;0),$D1758-$D1759,0))</f>
        <v>0</v>
      </c>
      <c r="AG1759">
        <f>IF(COUNT($E$2:$E1759)&lt;15,"",IF(SUM($AC$1746:$AC$1759)=0,0,100*SUM($AE$1746:$AE$1759)/SUM($AC$1746:$AC$1759)))</f>
        <v>0</v>
      </c>
      <c r="AH1759">
        <f>IF(COUNT($E$2:$E1759)&lt;15,"",IF(SUM($AC$1746:$AC$1759)=0,0,100*SUM($AF$1746:$AF$1759)/SUM($AC$1746:$AC$1759)))</f>
        <v>0</v>
      </c>
      <c r="AI1759">
        <f>IF(OR(AG1759="",AH1759=""),"",IF((AG1759+AH1759)=0,0,100*ABS(AG1759-AH1759)/(AG1759+AH1759)))</f>
        <v>0</v>
      </c>
      <c r="AJ1759">
        <f>IF(COUNT($AI$1746:$AI$1759)&lt;14,"",AVERAGE($AI$1746:$AI$1759))</f>
        <v>0</v>
      </c>
      <c r="AK1759">
        <f>IF(COUNT($E$2:$E1759)&lt;20,"",AVERAGE($E$1740:$E$1759))</f>
        <v>0</v>
      </c>
      <c r="AL1759">
        <f>IF(COUNT($E$2:$E1759)&lt;20,"",STDEVP($E$1740:$E$1759))</f>
        <v>0</v>
      </c>
      <c r="AM1759">
        <f>IF(AK1759="","",AK1759+2*AL1759)</f>
        <v>0</v>
      </c>
      <c r="AN1759">
        <f>IF(AK1759="","",AK1759-2*AL1759)</f>
        <v>0</v>
      </c>
      <c r="AO1759">
        <f>IF(OR(AM1759="",AN1759="",AM1759=AN1759),"",($E1759-AN1759)/(AM1759-AN1759))</f>
        <v>0</v>
      </c>
      <c r="AP1759">
        <f>IF(OR(AM1759="",AK1759="",AK1759=0),"",(AM1759-AN1759)/AK1759)</f>
        <v>0</v>
      </c>
      <c r="AQ1759">
        <f>IF(COUNT($E$2:$E1759)&lt;20,"",MAX($C$1740:$C$1759))</f>
        <v>0</v>
      </c>
      <c r="AR1759">
        <f>IF(COUNT($E$2:$E1759)&lt;20,"",MIN($D$1740:$D$1759))</f>
        <v>0</v>
      </c>
      <c r="AS1759">
        <f>IF(OR(AQ1759="",AR1759=""),"",(AQ1759+AR1759)/2)</f>
        <v>0</v>
      </c>
      <c r="AT1759">
        <f>IF(COUNT($G$1740:$G$1759)&lt;20,"",STDEV($G$1740:$G$1759)*SQRT(252))</f>
        <v>0</v>
      </c>
      <c r="AU1759">
        <f>IF(COUNT($E$2:$E1759)&lt;9,"",(MAX($C$1751:$C$1759)+MIN($D$1751:$D$1759))/2)</f>
        <v>0</v>
      </c>
      <c r="AV1759">
        <f>IF(COUNT($E$2:$E1759)&lt;26,"",(MAX($C$1734:$C$1759)+MIN($D$1734:$D$1759))/2)</f>
        <v>0</v>
      </c>
      <c r="AW1759">
        <f>IF(OR(AU1759="",AV1759=""),"",(AU1759+AV1759)/2)</f>
        <v>0</v>
      </c>
      <c r="AX1759">
        <f>IF(COUNT($E$2:$E1759)&lt;52,"",(MAX($C$1708:$C$1759)+MIN($D$1708:$D$1759))/2)</f>
        <v>0</v>
      </c>
      <c r="AY1759">
        <f>IF(COUNT($E$2:$E1759)&lt;20,"",MAX($C$1660:$C$1759))</f>
        <v>0</v>
      </c>
      <c r="AZ1759">
        <f>IF(COUNT($E$2:$E1759)&lt;20,"",MIN($D$1660:$D$1759))</f>
        <v>0</v>
      </c>
      <c r="BA1759">
        <f>IF(COUNT($E$2:$E1759)&lt;20,"",SLOPE($E$1660:$E$1759,$F$1660:$F$1759))</f>
        <v>0</v>
      </c>
      <c r="BB1759">
        <f>IF(COUNT($E$2:$E1759)&lt;20,"",INTERCEPT($E$1660:$E$1759,$F$1660:$F$1759))</f>
        <v>0</v>
      </c>
      <c r="BC1759">
        <f>IF(OR(BA1759="",BB1759=""),"",BB1759+BA1759*F1759)</f>
        <v>0</v>
      </c>
      <c r="BD1759">
        <f>IF(COUNT($E$2:$E1759)&lt;20,"",STEYX($E$1660:$E$1759,$F$1660:$F$1759))</f>
        <v>0</v>
      </c>
      <c r="BE1759">
        <f>IF($E1759="","",IF(AND(COUNT($E$1760:$E$1763)&gt;=4,$C1759=MAX($C$1755:$C$1763)),$C1759,""))</f>
        <v>0</v>
      </c>
      <c r="BF1759">
        <f>IF($E1759="","",IF(AND(COUNT($E$1760:$E$1763)&gt;=4,$D1759=MIN($D$1755:$D$1763)),$D1759,""))</f>
        <v>0</v>
      </c>
      <c r="BG1759">
        <f>IF($A1759="","",$A1759-WEEKDAY($A1759,2)+1)</f>
        <v>0</v>
      </c>
      <c r="BH1759">
        <f>IF($A1759="","",IF($A1758="",1,IF(BG1759&lt;&gt;BG1758,1,0)))</f>
        <v>0</v>
      </c>
      <c r="BI1759">
        <f>IF($A1759="","",IF($A1760="",1,IF(BG1760&lt;&gt;BG1759,1,0)))</f>
        <v>0</v>
      </c>
      <c r="BJ1759">
        <f>IF($A1759="","",IF(BH1759=1,$B1759,BJ1758))</f>
        <v>0</v>
      </c>
      <c r="BK1759">
        <f>IF($A1759="","",IF(BH1759=1,$C1759,MAX($C1759,BK1758)))</f>
        <v>0</v>
      </c>
      <c r="BL1759">
        <f>IF($A1759="","",IF(BH1759=1,$D1759,MIN($D1759,BL1758)))</f>
        <v>0</v>
      </c>
      <c r="BM1759">
        <f>IF($A1759="","",IF(BI1759=1,F1759,""))</f>
        <v>0</v>
      </c>
      <c r="BN1759">
        <f>IF($A1759="","",DATE(YEAR($A1759),MONTH($A1759),1))</f>
        <v>0</v>
      </c>
      <c r="BO1759">
        <f>IF($A1759="","",IF($A1758="",1,IF(BN1759&lt;&gt;BN1758,1,0)))</f>
        <v>0</v>
      </c>
      <c r="BP1759">
        <f>IF($A1759="","",IF($A1760="",1,IF(BN1760&lt;&gt;BN1759,1,0)))</f>
        <v>0</v>
      </c>
      <c r="BQ1759">
        <f>IF($A1759="","",IF(BO1759=1,$B1759,BQ1758))</f>
        <v>0</v>
      </c>
      <c r="BR1759">
        <f>IF($A1759="","",IF(BO1759=1,$C1759,MAX($C1759,BR1758)))</f>
        <v>0</v>
      </c>
      <c r="BS1759">
        <f>IF($A1759="","",IF(BO1759=1,$D1759,MIN($D1759,BS1758)))</f>
        <v>0</v>
      </c>
      <c r="BT1759">
        <f>IF($A1759="","",IF(BP1759=1,F1759,""))</f>
        <v>0</v>
      </c>
    </row>
    <row r="1760" spans="1:72">
      <c r="A1760" s="27">
        <f>IF(Data!$A1760="","",Data!$A1760)</f>
        <v>0</v>
      </c>
      <c r="B1760">
        <f>IF(Data!$B1760="","",Data!$B1760)</f>
        <v>0</v>
      </c>
      <c r="C1760">
        <f>IF(Data!$C1760="","",Data!$C1760)</f>
        <v>0</v>
      </c>
      <c r="D1760">
        <f>IF(Data!$D1760="","",Data!$D1760)</f>
        <v>0</v>
      </c>
      <c r="E1760">
        <f>IF(Data!$E1760="","",Data!$E1760)</f>
        <v>0</v>
      </c>
      <c r="F1760">
        <f>IF($E1760="","",N(F1759)+1)</f>
        <v>0</v>
      </c>
      <c r="G1760">
        <f>IF(OR($E1760="",$E1759=""),"",LN($E1760/$E1759))</f>
        <v>0</v>
      </c>
      <c r="H1760">
        <f>IF($E1760="","",IF($E1759="",$E1760,$E1760*0.0952380952+H1759*0.9047619048))</f>
        <v>0</v>
      </c>
      <c r="I1760">
        <f>IF($E1760="","",IF($E1759="",$E1760,$E1760*0.0392156863+I1759*0.9607843137))</f>
        <v>0</v>
      </c>
      <c r="J1760">
        <f>IF($E1760="","",IF($E1759="",$E1760,$E1760*0.0198019802+J1759*0.9801980198))</f>
        <v>0</v>
      </c>
      <c r="K1760">
        <f>IF($E1760="","",IF($E1759="",$E1760,$E1760*0.0099502488+K1759*0.9900497512))</f>
        <v>0</v>
      </c>
      <c r="L1760">
        <f>IF(OR($E1760="",$E1759=""),"",MAX($E1760-$E1759,0))</f>
        <v>0</v>
      </c>
      <c r="M1760">
        <f>IF(OR($E1760="",$E1759=""),"",MAX($E1759-$E1760,0))</f>
        <v>0</v>
      </c>
      <c r="N1760">
        <f>IF(COUNT($E$2:$E1760)&lt;15,"",IF(AVERAGE($M$1747:$M$1760)=0,100,100-100/(1+AVERAGE($L$1747:$L$1760)/AVERAGE($M$1747:$M$1760))))</f>
        <v>0</v>
      </c>
      <c r="O1760">
        <f>IF($E1760="","",IF($E1759="",$E1760,$E1760*0.1538461538+O1759*0.8461538462))</f>
        <v>0</v>
      </c>
      <c r="P1760">
        <f>IF($E1760="","",IF($E1759="",$E1760,$E1760*0.0740740741+P1759*0.9259259259))</f>
        <v>0</v>
      </c>
      <c r="Q1760">
        <f>IF(OR(O1760="",P1760=""),"",O1760-P1760)</f>
        <v>0</v>
      </c>
      <c r="R1760">
        <f>IF(Q1760="","",IF(R1759="",Q1760,Q1760*0.2000000000+R1759*0.8000000000))</f>
        <v>0</v>
      </c>
      <c r="S1760">
        <f>IF(OR(Q1760="",R1760=""),"",Q1760-R1760)</f>
        <v>0</v>
      </c>
      <c r="T1760">
        <f>IF(COUNT($E$2:$E1760)&lt;14,"",MAX($C$1747:$C$1760))</f>
        <v>0</v>
      </c>
      <c r="U1760">
        <f>IF(COUNT($E$2:$E1760)&lt;14,"",MIN($D$1747:$D$1760))</f>
        <v>0</v>
      </c>
      <c r="V1760">
        <f>IF(OR(T1760="",U1760="",T1760=U1760),"",100*($E1760-U1760)/(T1760-U1760))</f>
        <v>0</v>
      </c>
      <c r="W1760">
        <f>IF(COUNT($V$1758:$V$1760)&lt;3,"",AVERAGE($V$1758:$V$1760))</f>
        <v>0</v>
      </c>
      <c r="X1760">
        <f>IF(COUNT($N$1747:$N$1760)&lt;14,"",MIN($N$1747:$N$1760))</f>
        <v>0</v>
      </c>
      <c r="Y1760">
        <f>IF(COUNT($N$1747:$N$1760)&lt;14,"",MAX($N$1747:$N$1760))</f>
        <v>0</v>
      </c>
      <c r="Z1760">
        <f>IF(OR(N1760="",X1760="",Y1760="",Y1760=X1760),"",100*(N1760-X1760)/(Y1760-X1760))</f>
        <v>0</v>
      </c>
      <c r="AA1760">
        <f>IF(COUNT($Z$1758:$Z$1760)&lt;3,"",AVERAGE($Z$1758:$Z$1760))</f>
        <v>0</v>
      </c>
      <c r="AB1760">
        <f>IF(COUNT($AA$1758:$AA$1760)&lt;3,"",AVERAGE($AA$1758:$AA$1760))</f>
        <v>0</v>
      </c>
      <c r="AC1760">
        <f>IF($E1760="","",MAX($C1760-$D1760,ABS($C1760-$E1759),ABS($D1760-$E1759)))</f>
        <v>0</v>
      </c>
      <c r="AD1760">
        <f>IF(COUNT($E$2:$E1760)&lt;15,"",AVERAGE($AC$1747:$AC$1760))</f>
        <v>0</v>
      </c>
      <c r="AE1760">
        <f>IF(OR($E1760="",$E1759=""),"",IF(AND(($C1760-$C1759)&gt;($D1759-$D1760),($C1760-$C1759)&gt;0),$C1760-$C1759,0))</f>
        <v>0</v>
      </c>
      <c r="AF1760">
        <f>IF(OR($E1760="",$E1759=""),"",IF(AND(($D1759-$D1760)&gt;($C1760-$C1759),($D1759-$D1760)&gt;0),$D1759-$D1760,0))</f>
        <v>0</v>
      </c>
      <c r="AG1760">
        <f>IF(COUNT($E$2:$E1760)&lt;15,"",IF(SUM($AC$1747:$AC$1760)=0,0,100*SUM($AE$1747:$AE$1760)/SUM($AC$1747:$AC$1760)))</f>
        <v>0</v>
      </c>
      <c r="AH1760">
        <f>IF(COUNT($E$2:$E1760)&lt;15,"",IF(SUM($AC$1747:$AC$1760)=0,0,100*SUM($AF$1747:$AF$1760)/SUM($AC$1747:$AC$1760)))</f>
        <v>0</v>
      </c>
      <c r="AI1760">
        <f>IF(OR(AG1760="",AH1760=""),"",IF((AG1760+AH1760)=0,0,100*ABS(AG1760-AH1760)/(AG1760+AH1760)))</f>
        <v>0</v>
      </c>
      <c r="AJ1760">
        <f>IF(COUNT($AI$1747:$AI$1760)&lt;14,"",AVERAGE($AI$1747:$AI$1760))</f>
        <v>0</v>
      </c>
      <c r="AK1760">
        <f>IF(COUNT($E$2:$E1760)&lt;20,"",AVERAGE($E$1741:$E$1760))</f>
        <v>0</v>
      </c>
      <c r="AL1760">
        <f>IF(COUNT($E$2:$E1760)&lt;20,"",STDEVP($E$1741:$E$1760))</f>
        <v>0</v>
      </c>
      <c r="AM1760">
        <f>IF(AK1760="","",AK1760+2*AL1760)</f>
        <v>0</v>
      </c>
      <c r="AN1760">
        <f>IF(AK1760="","",AK1760-2*AL1760)</f>
        <v>0</v>
      </c>
      <c r="AO1760">
        <f>IF(OR(AM1760="",AN1760="",AM1760=AN1760),"",($E1760-AN1760)/(AM1760-AN1760))</f>
        <v>0</v>
      </c>
      <c r="AP1760">
        <f>IF(OR(AM1760="",AK1760="",AK1760=0),"",(AM1760-AN1760)/AK1760)</f>
        <v>0</v>
      </c>
      <c r="AQ1760">
        <f>IF(COUNT($E$2:$E1760)&lt;20,"",MAX($C$1741:$C$1760))</f>
        <v>0</v>
      </c>
      <c r="AR1760">
        <f>IF(COUNT($E$2:$E1760)&lt;20,"",MIN($D$1741:$D$1760))</f>
        <v>0</v>
      </c>
      <c r="AS1760">
        <f>IF(OR(AQ1760="",AR1760=""),"",(AQ1760+AR1760)/2)</f>
        <v>0</v>
      </c>
      <c r="AT1760">
        <f>IF(COUNT($G$1741:$G$1760)&lt;20,"",STDEV($G$1741:$G$1760)*SQRT(252))</f>
        <v>0</v>
      </c>
      <c r="AU1760">
        <f>IF(COUNT($E$2:$E1760)&lt;9,"",(MAX($C$1752:$C$1760)+MIN($D$1752:$D$1760))/2)</f>
        <v>0</v>
      </c>
      <c r="AV1760">
        <f>IF(COUNT($E$2:$E1760)&lt;26,"",(MAX($C$1735:$C$1760)+MIN($D$1735:$D$1760))/2)</f>
        <v>0</v>
      </c>
      <c r="AW1760">
        <f>IF(OR(AU1760="",AV1760=""),"",(AU1760+AV1760)/2)</f>
        <v>0</v>
      </c>
      <c r="AX1760">
        <f>IF(COUNT($E$2:$E1760)&lt;52,"",(MAX($C$1709:$C$1760)+MIN($D$1709:$D$1760))/2)</f>
        <v>0</v>
      </c>
      <c r="AY1760">
        <f>IF(COUNT($E$2:$E1760)&lt;20,"",MAX($C$1661:$C$1760))</f>
        <v>0</v>
      </c>
      <c r="AZ1760">
        <f>IF(COUNT($E$2:$E1760)&lt;20,"",MIN($D$1661:$D$1760))</f>
        <v>0</v>
      </c>
      <c r="BA1760">
        <f>IF(COUNT($E$2:$E1760)&lt;20,"",SLOPE($E$1661:$E$1760,$F$1661:$F$1760))</f>
        <v>0</v>
      </c>
      <c r="BB1760">
        <f>IF(COUNT($E$2:$E1760)&lt;20,"",INTERCEPT($E$1661:$E$1760,$F$1661:$F$1760))</f>
        <v>0</v>
      </c>
      <c r="BC1760">
        <f>IF(OR(BA1760="",BB1760=""),"",BB1760+BA1760*F1760)</f>
        <v>0</v>
      </c>
      <c r="BD1760">
        <f>IF(COUNT($E$2:$E1760)&lt;20,"",STEYX($E$1661:$E$1760,$F$1661:$F$1760))</f>
        <v>0</v>
      </c>
      <c r="BE1760">
        <f>IF($E1760="","",IF(AND(COUNT($E$1761:$E$1764)&gt;=4,$C1760=MAX($C$1756:$C$1764)),$C1760,""))</f>
        <v>0</v>
      </c>
      <c r="BF1760">
        <f>IF($E1760="","",IF(AND(COUNT($E$1761:$E$1764)&gt;=4,$D1760=MIN($D$1756:$D$1764)),$D1760,""))</f>
        <v>0</v>
      </c>
      <c r="BG1760">
        <f>IF($A1760="","",$A1760-WEEKDAY($A1760,2)+1)</f>
        <v>0</v>
      </c>
      <c r="BH1760">
        <f>IF($A1760="","",IF($A1759="",1,IF(BG1760&lt;&gt;BG1759,1,0)))</f>
        <v>0</v>
      </c>
      <c r="BI1760">
        <f>IF($A1760="","",IF($A1761="",1,IF(BG1761&lt;&gt;BG1760,1,0)))</f>
        <v>0</v>
      </c>
      <c r="BJ1760">
        <f>IF($A1760="","",IF(BH1760=1,$B1760,BJ1759))</f>
        <v>0</v>
      </c>
      <c r="BK1760">
        <f>IF($A1760="","",IF(BH1760=1,$C1760,MAX($C1760,BK1759)))</f>
        <v>0</v>
      </c>
      <c r="BL1760">
        <f>IF($A1760="","",IF(BH1760=1,$D1760,MIN($D1760,BL1759)))</f>
        <v>0</v>
      </c>
      <c r="BM1760">
        <f>IF($A1760="","",IF(BI1760=1,F1760,""))</f>
        <v>0</v>
      </c>
      <c r="BN1760">
        <f>IF($A1760="","",DATE(YEAR($A1760),MONTH($A1760),1))</f>
        <v>0</v>
      </c>
      <c r="BO1760">
        <f>IF($A1760="","",IF($A1759="",1,IF(BN1760&lt;&gt;BN1759,1,0)))</f>
        <v>0</v>
      </c>
      <c r="BP1760">
        <f>IF($A1760="","",IF($A1761="",1,IF(BN1761&lt;&gt;BN1760,1,0)))</f>
        <v>0</v>
      </c>
      <c r="BQ1760">
        <f>IF($A1760="","",IF(BO1760=1,$B1760,BQ1759))</f>
        <v>0</v>
      </c>
      <c r="BR1760">
        <f>IF($A1760="","",IF(BO1760=1,$C1760,MAX($C1760,BR1759)))</f>
        <v>0</v>
      </c>
      <c r="BS1760">
        <f>IF($A1760="","",IF(BO1760=1,$D1760,MIN($D1760,BS1759)))</f>
        <v>0</v>
      </c>
      <c r="BT1760">
        <f>IF($A1760="","",IF(BP1760=1,F1760,""))</f>
        <v>0</v>
      </c>
    </row>
    <row r="1761" spans="1:72">
      <c r="A1761" s="27">
        <f>IF(Data!$A1761="","",Data!$A1761)</f>
        <v>0</v>
      </c>
      <c r="B1761">
        <f>IF(Data!$B1761="","",Data!$B1761)</f>
        <v>0</v>
      </c>
      <c r="C1761">
        <f>IF(Data!$C1761="","",Data!$C1761)</f>
        <v>0</v>
      </c>
      <c r="D1761">
        <f>IF(Data!$D1761="","",Data!$D1761)</f>
        <v>0</v>
      </c>
      <c r="E1761">
        <f>IF(Data!$E1761="","",Data!$E1761)</f>
        <v>0</v>
      </c>
      <c r="F1761">
        <f>IF($E1761="","",N(F1760)+1)</f>
        <v>0</v>
      </c>
      <c r="G1761">
        <f>IF(OR($E1761="",$E1760=""),"",LN($E1761/$E1760))</f>
        <v>0</v>
      </c>
      <c r="H1761">
        <f>IF($E1761="","",IF($E1760="",$E1761,$E1761*0.0952380952+H1760*0.9047619048))</f>
        <v>0</v>
      </c>
      <c r="I1761">
        <f>IF($E1761="","",IF($E1760="",$E1761,$E1761*0.0392156863+I1760*0.9607843137))</f>
        <v>0</v>
      </c>
      <c r="J1761">
        <f>IF($E1761="","",IF($E1760="",$E1761,$E1761*0.0198019802+J1760*0.9801980198))</f>
        <v>0</v>
      </c>
      <c r="K1761">
        <f>IF($E1761="","",IF($E1760="",$E1761,$E1761*0.0099502488+K1760*0.9900497512))</f>
        <v>0</v>
      </c>
      <c r="L1761">
        <f>IF(OR($E1761="",$E1760=""),"",MAX($E1761-$E1760,0))</f>
        <v>0</v>
      </c>
      <c r="M1761">
        <f>IF(OR($E1761="",$E1760=""),"",MAX($E1760-$E1761,0))</f>
        <v>0</v>
      </c>
      <c r="N1761">
        <f>IF(COUNT($E$2:$E1761)&lt;15,"",IF(AVERAGE($M$1748:$M$1761)=0,100,100-100/(1+AVERAGE($L$1748:$L$1761)/AVERAGE($M$1748:$M$1761))))</f>
        <v>0</v>
      </c>
      <c r="O1761">
        <f>IF($E1761="","",IF($E1760="",$E1761,$E1761*0.1538461538+O1760*0.8461538462))</f>
        <v>0</v>
      </c>
      <c r="P1761">
        <f>IF($E1761="","",IF($E1760="",$E1761,$E1761*0.0740740741+P1760*0.9259259259))</f>
        <v>0</v>
      </c>
      <c r="Q1761">
        <f>IF(OR(O1761="",P1761=""),"",O1761-P1761)</f>
        <v>0</v>
      </c>
      <c r="R1761">
        <f>IF(Q1761="","",IF(R1760="",Q1761,Q1761*0.2000000000+R1760*0.8000000000))</f>
        <v>0</v>
      </c>
      <c r="S1761">
        <f>IF(OR(Q1761="",R1761=""),"",Q1761-R1761)</f>
        <v>0</v>
      </c>
      <c r="T1761">
        <f>IF(COUNT($E$2:$E1761)&lt;14,"",MAX($C$1748:$C$1761))</f>
        <v>0</v>
      </c>
      <c r="U1761">
        <f>IF(COUNT($E$2:$E1761)&lt;14,"",MIN($D$1748:$D$1761))</f>
        <v>0</v>
      </c>
      <c r="V1761">
        <f>IF(OR(T1761="",U1761="",T1761=U1761),"",100*($E1761-U1761)/(T1761-U1761))</f>
        <v>0</v>
      </c>
      <c r="W1761">
        <f>IF(COUNT($V$1759:$V$1761)&lt;3,"",AVERAGE($V$1759:$V$1761))</f>
        <v>0</v>
      </c>
      <c r="X1761">
        <f>IF(COUNT($N$1748:$N$1761)&lt;14,"",MIN($N$1748:$N$1761))</f>
        <v>0</v>
      </c>
      <c r="Y1761">
        <f>IF(COUNT($N$1748:$N$1761)&lt;14,"",MAX($N$1748:$N$1761))</f>
        <v>0</v>
      </c>
      <c r="Z1761">
        <f>IF(OR(N1761="",X1761="",Y1761="",Y1761=X1761),"",100*(N1761-X1761)/(Y1761-X1761))</f>
        <v>0</v>
      </c>
      <c r="AA1761">
        <f>IF(COUNT($Z$1759:$Z$1761)&lt;3,"",AVERAGE($Z$1759:$Z$1761))</f>
        <v>0</v>
      </c>
      <c r="AB1761">
        <f>IF(COUNT($AA$1759:$AA$1761)&lt;3,"",AVERAGE($AA$1759:$AA$1761))</f>
        <v>0</v>
      </c>
      <c r="AC1761">
        <f>IF($E1761="","",MAX($C1761-$D1761,ABS($C1761-$E1760),ABS($D1761-$E1760)))</f>
        <v>0</v>
      </c>
      <c r="AD1761">
        <f>IF(COUNT($E$2:$E1761)&lt;15,"",AVERAGE($AC$1748:$AC$1761))</f>
        <v>0</v>
      </c>
      <c r="AE1761">
        <f>IF(OR($E1761="",$E1760=""),"",IF(AND(($C1761-$C1760)&gt;($D1760-$D1761),($C1761-$C1760)&gt;0),$C1761-$C1760,0))</f>
        <v>0</v>
      </c>
      <c r="AF1761">
        <f>IF(OR($E1761="",$E1760=""),"",IF(AND(($D1760-$D1761)&gt;($C1761-$C1760),($D1760-$D1761)&gt;0),$D1760-$D1761,0))</f>
        <v>0</v>
      </c>
      <c r="AG1761">
        <f>IF(COUNT($E$2:$E1761)&lt;15,"",IF(SUM($AC$1748:$AC$1761)=0,0,100*SUM($AE$1748:$AE$1761)/SUM($AC$1748:$AC$1761)))</f>
        <v>0</v>
      </c>
      <c r="AH1761">
        <f>IF(COUNT($E$2:$E1761)&lt;15,"",IF(SUM($AC$1748:$AC$1761)=0,0,100*SUM($AF$1748:$AF$1761)/SUM($AC$1748:$AC$1761)))</f>
        <v>0</v>
      </c>
      <c r="AI1761">
        <f>IF(OR(AG1761="",AH1761=""),"",IF((AG1761+AH1761)=0,0,100*ABS(AG1761-AH1761)/(AG1761+AH1761)))</f>
        <v>0</v>
      </c>
      <c r="AJ1761">
        <f>IF(COUNT($AI$1748:$AI$1761)&lt;14,"",AVERAGE($AI$1748:$AI$1761))</f>
        <v>0</v>
      </c>
      <c r="AK1761">
        <f>IF(COUNT($E$2:$E1761)&lt;20,"",AVERAGE($E$1742:$E$1761))</f>
        <v>0</v>
      </c>
      <c r="AL1761">
        <f>IF(COUNT($E$2:$E1761)&lt;20,"",STDEVP($E$1742:$E$1761))</f>
        <v>0</v>
      </c>
      <c r="AM1761">
        <f>IF(AK1761="","",AK1761+2*AL1761)</f>
        <v>0</v>
      </c>
      <c r="AN1761">
        <f>IF(AK1761="","",AK1761-2*AL1761)</f>
        <v>0</v>
      </c>
      <c r="AO1761">
        <f>IF(OR(AM1761="",AN1761="",AM1761=AN1761),"",($E1761-AN1761)/(AM1761-AN1761))</f>
        <v>0</v>
      </c>
      <c r="AP1761">
        <f>IF(OR(AM1761="",AK1761="",AK1761=0),"",(AM1761-AN1761)/AK1761)</f>
        <v>0</v>
      </c>
      <c r="AQ1761">
        <f>IF(COUNT($E$2:$E1761)&lt;20,"",MAX($C$1742:$C$1761))</f>
        <v>0</v>
      </c>
      <c r="AR1761">
        <f>IF(COUNT($E$2:$E1761)&lt;20,"",MIN($D$1742:$D$1761))</f>
        <v>0</v>
      </c>
      <c r="AS1761">
        <f>IF(OR(AQ1761="",AR1761=""),"",(AQ1761+AR1761)/2)</f>
        <v>0</v>
      </c>
      <c r="AT1761">
        <f>IF(COUNT($G$1742:$G$1761)&lt;20,"",STDEV($G$1742:$G$1761)*SQRT(252))</f>
        <v>0</v>
      </c>
      <c r="AU1761">
        <f>IF(COUNT($E$2:$E1761)&lt;9,"",(MAX($C$1753:$C$1761)+MIN($D$1753:$D$1761))/2)</f>
        <v>0</v>
      </c>
      <c r="AV1761">
        <f>IF(COUNT($E$2:$E1761)&lt;26,"",(MAX($C$1736:$C$1761)+MIN($D$1736:$D$1761))/2)</f>
        <v>0</v>
      </c>
      <c r="AW1761">
        <f>IF(OR(AU1761="",AV1761=""),"",(AU1761+AV1761)/2)</f>
        <v>0</v>
      </c>
      <c r="AX1761">
        <f>IF(COUNT($E$2:$E1761)&lt;52,"",(MAX($C$1710:$C$1761)+MIN($D$1710:$D$1761))/2)</f>
        <v>0</v>
      </c>
      <c r="AY1761">
        <f>IF(COUNT($E$2:$E1761)&lt;20,"",MAX($C$1662:$C$1761))</f>
        <v>0</v>
      </c>
      <c r="AZ1761">
        <f>IF(COUNT($E$2:$E1761)&lt;20,"",MIN($D$1662:$D$1761))</f>
        <v>0</v>
      </c>
      <c r="BA1761">
        <f>IF(COUNT($E$2:$E1761)&lt;20,"",SLOPE($E$1662:$E$1761,$F$1662:$F$1761))</f>
        <v>0</v>
      </c>
      <c r="BB1761">
        <f>IF(COUNT($E$2:$E1761)&lt;20,"",INTERCEPT($E$1662:$E$1761,$F$1662:$F$1761))</f>
        <v>0</v>
      </c>
      <c r="BC1761">
        <f>IF(OR(BA1761="",BB1761=""),"",BB1761+BA1761*F1761)</f>
        <v>0</v>
      </c>
      <c r="BD1761">
        <f>IF(COUNT($E$2:$E1761)&lt;20,"",STEYX($E$1662:$E$1761,$F$1662:$F$1761))</f>
        <v>0</v>
      </c>
      <c r="BE1761">
        <f>IF($E1761="","",IF(AND(COUNT($E$1762:$E$1765)&gt;=4,$C1761=MAX($C$1757:$C$1765)),$C1761,""))</f>
        <v>0</v>
      </c>
      <c r="BF1761">
        <f>IF($E1761="","",IF(AND(COUNT($E$1762:$E$1765)&gt;=4,$D1761=MIN($D$1757:$D$1765)),$D1761,""))</f>
        <v>0</v>
      </c>
      <c r="BG1761">
        <f>IF($A1761="","",$A1761-WEEKDAY($A1761,2)+1)</f>
        <v>0</v>
      </c>
      <c r="BH1761">
        <f>IF($A1761="","",IF($A1760="",1,IF(BG1761&lt;&gt;BG1760,1,0)))</f>
        <v>0</v>
      </c>
      <c r="BI1761">
        <f>IF($A1761="","",IF($A1762="",1,IF(BG1762&lt;&gt;BG1761,1,0)))</f>
        <v>0</v>
      </c>
      <c r="BJ1761">
        <f>IF($A1761="","",IF(BH1761=1,$B1761,BJ1760))</f>
        <v>0</v>
      </c>
      <c r="BK1761">
        <f>IF($A1761="","",IF(BH1761=1,$C1761,MAX($C1761,BK1760)))</f>
        <v>0</v>
      </c>
      <c r="BL1761">
        <f>IF($A1761="","",IF(BH1761=1,$D1761,MIN($D1761,BL1760)))</f>
        <v>0</v>
      </c>
      <c r="BM1761">
        <f>IF($A1761="","",IF(BI1761=1,F1761,""))</f>
        <v>0</v>
      </c>
      <c r="BN1761">
        <f>IF($A1761="","",DATE(YEAR($A1761),MONTH($A1761),1))</f>
        <v>0</v>
      </c>
      <c r="BO1761">
        <f>IF($A1761="","",IF($A1760="",1,IF(BN1761&lt;&gt;BN1760,1,0)))</f>
        <v>0</v>
      </c>
      <c r="BP1761">
        <f>IF($A1761="","",IF($A1762="",1,IF(BN1762&lt;&gt;BN1761,1,0)))</f>
        <v>0</v>
      </c>
      <c r="BQ1761">
        <f>IF($A1761="","",IF(BO1761=1,$B1761,BQ1760))</f>
        <v>0</v>
      </c>
      <c r="BR1761">
        <f>IF($A1761="","",IF(BO1761=1,$C1761,MAX($C1761,BR1760)))</f>
        <v>0</v>
      </c>
      <c r="BS1761">
        <f>IF($A1761="","",IF(BO1761=1,$D1761,MIN($D1761,BS1760)))</f>
        <v>0</v>
      </c>
      <c r="BT1761">
        <f>IF($A1761="","",IF(BP1761=1,F1761,""))</f>
        <v>0</v>
      </c>
    </row>
    <row r="1762" spans="1:72">
      <c r="A1762" s="27">
        <f>IF(Data!$A1762="","",Data!$A1762)</f>
        <v>0</v>
      </c>
      <c r="B1762">
        <f>IF(Data!$B1762="","",Data!$B1762)</f>
        <v>0</v>
      </c>
      <c r="C1762">
        <f>IF(Data!$C1762="","",Data!$C1762)</f>
        <v>0</v>
      </c>
      <c r="D1762">
        <f>IF(Data!$D1762="","",Data!$D1762)</f>
        <v>0</v>
      </c>
      <c r="E1762">
        <f>IF(Data!$E1762="","",Data!$E1762)</f>
        <v>0</v>
      </c>
      <c r="F1762">
        <f>IF($E1762="","",N(F1761)+1)</f>
        <v>0</v>
      </c>
      <c r="G1762">
        <f>IF(OR($E1762="",$E1761=""),"",LN($E1762/$E1761))</f>
        <v>0</v>
      </c>
      <c r="H1762">
        <f>IF($E1762="","",IF($E1761="",$E1762,$E1762*0.0952380952+H1761*0.9047619048))</f>
        <v>0</v>
      </c>
      <c r="I1762">
        <f>IF($E1762="","",IF($E1761="",$E1762,$E1762*0.0392156863+I1761*0.9607843137))</f>
        <v>0</v>
      </c>
      <c r="J1762">
        <f>IF($E1762="","",IF($E1761="",$E1762,$E1762*0.0198019802+J1761*0.9801980198))</f>
        <v>0</v>
      </c>
      <c r="K1762">
        <f>IF($E1762="","",IF($E1761="",$E1762,$E1762*0.0099502488+K1761*0.9900497512))</f>
        <v>0</v>
      </c>
      <c r="L1762">
        <f>IF(OR($E1762="",$E1761=""),"",MAX($E1762-$E1761,0))</f>
        <v>0</v>
      </c>
      <c r="M1762">
        <f>IF(OR($E1762="",$E1761=""),"",MAX($E1761-$E1762,0))</f>
        <v>0</v>
      </c>
      <c r="N1762">
        <f>IF(COUNT($E$2:$E1762)&lt;15,"",IF(AVERAGE($M$1749:$M$1762)=0,100,100-100/(1+AVERAGE($L$1749:$L$1762)/AVERAGE($M$1749:$M$1762))))</f>
        <v>0</v>
      </c>
      <c r="O1762">
        <f>IF($E1762="","",IF($E1761="",$E1762,$E1762*0.1538461538+O1761*0.8461538462))</f>
        <v>0</v>
      </c>
      <c r="P1762">
        <f>IF($E1762="","",IF($E1761="",$E1762,$E1762*0.0740740741+P1761*0.9259259259))</f>
        <v>0</v>
      </c>
      <c r="Q1762">
        <f>IF(OR(O1762="",P1762=""),"",O1762-P1762)</f>
        <v>0</v>
      </c>
      <c r="R1762">
        <f>IF(Q1762="","",IF(R1761="",Q1762,Q1762*0.2000000000+R1761*0.8000000000))</f>
        <v>0</v>
      </c>
      <c r="S1762">
        <f>IF(OR(Q1762="",R1762=""),"",Q1762-R1762)</f>
        <v>0</v>
      </c>
      <c r="T1762">
        <f>IF(COUNT($E$2:$E1762)&lt;14,"",MAX($C$1749:$C$1762))</f>
        <v>0</v>
      </c>
      <c r="U1762">
        <f>IF(COUNT($E$2:$E1762)&lt;14,"",MIN($D$1749:$D$1762))</f>
        <v>0</v>
      </c>
      <c r="V1762">
        <f>IF(OR(T1762="",U1762="",T1762=U1762),"",100*($E1762-U1762)/(T1762-U1762))</f>
        <v>0</v>
      </c>
      <c r="W1762">
        <f>IF(COUNT($V$1760:$V$1762)&lt;3,"",AVERAGE($V$1760:$V$1762))</f>
        <v>0</v>
      </c>
      <c r="X1762">
        <f>IF(COUNT($N$1749:$N$1762)&lt;14,"",MIN($N$1749:$N$1762))</f>
        <v>0</v>
      </c>
      <c r="Y1762">
        <f>IF(COUNT($N$1749:$N$1762)&lt;14,"",MAX($N$1749:$N$1762))</f>
        <v>0</v>
      </c>
      <c r="Z1762">
        <f>IF(OR(N1762="",X1762="",Y1762="",Y1762=X1762),"",100*(N1762-X1762)/(Y1762-X1762))</f>
        <v>0</v>
      </c>
      <c r="AA1762">
        <f>IF(COUNT($Z$1760:$Z$1762)&lt;3,"",AVERAGE($Z$1760:$Z$1762))</f>
        <v>0</v>
      </c>
      <c r="AB1762">
        <f>IF(COUNT($AA$1760:$AA$1762)&lt;3,"",AVERAGE($AA$1760:$AA$1762))</f>
        <v>0</v>
      </c>
      <c r="AC1762">
        <f>IF($E1762="","",MAX($C1762-$D1762,ABS($C1762-$E1761),ABS($D1762-$E1761)))</f>
        <v>0</v>
      </c>
      <c r="AD1762">
        <f>IF(COUNT($E$2:$E1762)&lt;15,"",AVERAGE($AC$1749:$AC$1762))</f>
        <v>0</v>
      </c>
      <c r="AE1762">
        <f>IF(OR($E1762="",$E1761=""),"",IF(AND(($C1762-$C1761)&gt;($D1761-$D1762),($C1762-$C1761)&gt;0),$C1762-$C1761,0))</f>
        <v>0</v>
      </c>
      <c r="AF1762">
        <f>IF(OR($E1762="",$E1761=""),"",IF(AND(($D1761-$D1762)&gt;($C1762-$C1761),($D1761-$D1762)&gt;0),$D1761-$D1762,0))</f>
        <v>0</v>
      </c>
      <c r="AG1762">
        <f>IF(COUNT($E$2:$E1762)&lt;15,"",IF(SUM($AC$1749:$AC$1762)=0,0,100*SUM($AE$1749:$AE$1762)/SUM($AC$1749:$AC$1762)))</f>
        <v>0</v>
      </c>
      <c r="AH1762">
        <f>IF(COUNT($E$2:$E1762)&lt;15,"",IF(SUM($AC$1749:$AC$1762)=0,0,100*SUM($AF$1749:$AF$1762)/SUM($AC$1749:$AC$1762)))</f>
        <v>0</v>
      </c>
      <c r="AI1762">
        <f>IF(OR(AG1762="",AH1762=""),"",IF((AG1762+AH1762)=0,0,100*ABS(AG1762-AH1762)/(AG1762+AH1762)))</f>
        <v>0</v>
      </c>
      <c r="AJ1762">
        <f>IF(COUNT($AI$1749:$AI$1762)&lt;14,"",AVERAGE($AI$1749:$AI$1762))</f>
        <v>0</v>
      </c>
      <c r="AK1762">
        <f>IF(COUNT($E$2:$E1762)&lt;20,"",AVERAGE($E$1743:$E$1762))</f>
        <v>0</v>
      </c>
      <c r="AL1762">
        <f>IF(COUNT($E$2:$E1762)&lt;20,"",STDEVP($E$1743:$E$1762))</f>
        <v>0</v>
      </c>
      <c r="AM1762">
        <f>IF(AK1762="","",AK1762+2*AL1762)</f>
        <v>0</v>
      </c>
      <c r="AN1762">
        <f>IF(AK1762="","",AK1762-2*AL1762)</f>
        <v>0</v>
      </c>
      <c r="AO1762">
        <f>IF(OR(AM1762="",AN1762="",AM1762=AN1762),"",($E1762-AN1762)/(AM1762-AN1762))</f>
        <v>0</v>
      </c>
      <c r="AP1762">
        <f>IF(OR(AM1762="",AK1762="",AK1762=0),"",(AM1762-AN1762)/AK1762)</f>
        <v>0</v>
      </c>
      <c r="AQ1762">
        <f>IF(COUNT($E$2:$E1762)&lt;20,"",MAX($C$1743:$C$1762))</f>
        <v>0</v>
      </c>
      <c r="AR1762">
        <f>IF(COUNT($E$2:$E1762)&lt;20,"",MIN($D$1743:$D$1762))</f>
        <v>0</v>
      </c>
      <c r="AS1762">
        <f>IF(OR(AQ1762="",AR1762=""),"",(AQ1762+AR1762)/2)</f>
        <v>0</v>
      </c>
      <c r="AT1762">
        <f>IF(COUNT($G$1743:$G$1762)&lt;20,"",STDEV($G$1743:$G$1762)*SQRT(252))</f>
        <v>0</v>
      </c>
      <c r="AU1762">
        <f>IF(COUNT($E$2:$E1762)&lt;9,"",(MAX($C$1754:$C$1762)+MIN($D$1754:$D$1762))/2)</f>
        <v>0</v>
      </c>
      <c r="AV1762">
        <f>IF(COUNT($E$2:$E1762)&lt;26,"",(MAX($C$1737:$C$1762)+MIN($D$1737:$D$1762))/2)</f>
        <v>0</v>
      </c>
      <c r="AW1762">
        <f>IF(OR(AU1762="",AV1762=""),"",(AU1762+AV1762)/2)</f>
        <v>0</v>
      </c>
      <c r="AX1762">
        <f>IF(COUNT($E$2:$E1762)&lt;52,"",(MAX($C$1711:$C$1762)+MIN($D$1711:$D$1762))/2)</f>
        <v>0</v>
      </c>
      <c r="AY1762">
        <f>IF(COUNT($E$2:$E1762)&lt;20,"",MAX($C$1663:$C$1762))</f>
        <v>0</v>
      </c>
      <c r="AZ1762">
        <f>IF(COUNT($E$2:$E1762)&lt;20,"",MIN($D$1663:$D$1762))</f>
        <v>0</v>
      </c>
      <c r="BA1762">
        <f>IF(COUNT($E$2:$E1762)&lt;20,"",SLOPE($E$1663:$E$1762,$F$1663:$F$1762))</f>
        <v>0</v>
      </c>
      <c r="BB1762">
        <f>IF(COUNT($E$2:$E1762)&lt;20,"",INTERCEPT($E$1663:$E$1762,$F$1663:$F$1762))</f>
        <v>0</v>
      </c>
      <c r="BC1762">
        <f>IF(OR(BA1762="",BB1762=""),"",BB1762+BA1762*F1762)</f>
        <v>0</v>
      </c>
      <c r="BD1762">
        <f>IF(COUNT($E$2:$E1762)&lt;20,"",STEYX($E$1663:$E$1762,$F$1663:$F$1762))</f>
        <v>0</v>
      </c>
      <c r="BE1762">
        <f>IF($E1762="","",IF(AND(COUNT($E$1763:$E$1766)&gt;=4,$C1762=MAX($C$1758:$C$1766)),$C1762,""))</f>
        <v>0</v>
      </c>
      <c r="BF1762">
        <f>IF($E1762="","",IF(AND(COUNT($E$1763:$E$1766)&gt;=4,$D1762=MIN($D$1758:$D$1766)),$D1762,""))</f>
        <v>0</v>
      </c>
      <c r="BG1762">
        <f>IF($A1762="","",$A1762-WEEKDAY($A1762,2)+1)</f>
        <v>0</v>
      </c>
      <c r="BH1762">
        <f>IF($A1762="","",IF($A1761="",1,IF(BG1762&lt;&gt;BG1761,1,0)))</f>
        <v>0</v>
      </c>
      <c r="BI1762">
        <f>IF($A1762="","",IF($A1763="",1,IF(BG1763&lt;&gt;BG1762,1,0)))</f>
        <v>0</v>
      </c>
      <c r="BJ1762">
        <f>IF($A1762="","",IF(BH1762=1,$B1762,BJ1761))</f>
        <v>0</v>
      </c>
      <c r="BK1762">
        <f>IF($A1762="","",IF(BH1762=1,$C1762,MAX($C1762,BK1761)))</f>
        <v>0</v>
      </c>
      <c r="BL1762">
        <f>IF($A1762="","",IF(BH1762=1,$D1762,MIN($D1762,BL1761)))</f>
        <v>0</v>
      </c>
      <c r="BM1762">
        <f>IF($A1762="","",IF(BI1762=1,F1762,""))</f>
        <v>0</v>
      </c>
      <c r="BN1762">
        <f>IF($A1762="","",DATE(YEAR($A1762),MONTH($A1762),1))</f>
        <v>0</v>
      </c>
      <c r="BO1762">
        <f>IF($A1762="","",IF($A1761="",1,IF(BN1762&lt;&gt;BN1761,1,0)))</f>
        <v>0</v>
      </c>
      <c r="BP1762">
        <f>IF($A1762="","",IF($A1763="",1,IF(BN1763&lt;&gt;BN1762,1,0)))</f>
        <v>0</v>
      </c>
      <c r="BQ1762">
        <f>IF($A1762="","",IF(BO1762=1,$B1762,BQ1761))</f>
        <v>0</v>
      </c>
      <c r="BR1762">
        <f>IF($A1762="","",IF(BO1762=1,$C1762,MAX($C1762,BR1761)))</f>
        <v>0</v>
      </c>
      <c r="BS1762">
        <f>IF($A1762="","",IF(BO1762=1,$D1762,MIN($D1762,BS1761)))</f>
        <v>0</v>
      </c>
      <c r="BT1762">
        <f>IF($A1762="","",IF(BP1762=1,F1762,""))</f>
        <v>0</v>
      </c>
    </row>
    <row r="1763" spans="1:72">
      <c r="A1763" s="27">
        <f>IF(Data!$A1763="","",Data!$A1763)</f>
        <v>0</v>
      </c>
      <c r="B1763">
        <f>IF(Data!$B1763="","",Data!$B1763)</f>
        <v>0</v>
      </c>
      <c r="C1763">
        <f>IF(Data!$C1763="","",Data!$C1763)</f>
        <v>0</v>
      </c>
      <c r="D1763">
        <f>IF(Data!$D1763="","",Data!$D1763)</f>
        <v>0</v>
      </c>
      <c r="E1763">
        <f>IF(Data!$E1763="","",Data!$E1763)</f>
        <v>0</v>
      </c>
      <c r="F1763">
        <f>IF($E1763="","",N(F1762)+1)</f>
        <v>0</v>
      </c>
      <c r="G1763">
        <f>IF(OR($E1763="",$E1762=""),"",LN($E1763/$E1762))</f>
        <v>0</v>
      </c>
      <c r="H1763">
        <f>IF($E1763="","",IF($E1762="",$E1763,$E1763*0.0952380952+H1762*0.9047619048))</f>
        <v>0</v>
      </c>
      <c r="I1763">
        <f>IF($E1763="","",IF($E1762="",$E1763,$E1763*0.0392156863+I1762*0.9607843137))</f>
        <v>0</v>
      </c>
      <c r="J1763">
        <f>IF($E1763="","",IF($E1762="",$E1763,$E1763*0.0198019802+J1762*0.9801980198))</f>
        <v>0</v>
      </c>
      <c r="K1763">
        <f>IF($E1763="","",IF($E1762="",$E1763,$E1763*0.0099502488+K1762*0.9900497512))</f>
        <v>0</v>
      </c>
      <c r="L1763">
        <f>IF(OR($E1763="",$E1762=""),"",MAX($E1763-$E1762,0))</f>
        <v>0</v>
      </c>
      <c r="M1763">
        <f>IF(OR($E1763="",$E1762=""),"",MAX($E1762-$E1763,0))</f>
        <v>0</v>
      </c>
      <c r="N1763">
        <f>IF(COUNT($E$2:$E1763)&lt;15,"",IF(AVERAGE($M$1750:$M$1763)=0,100,100-100/(1+AVERAGE($L$1750:$L$1763)/AVERAGE($M$1750:$M$1763))))</f>
        <v>0</v>
      </c>
      <c r="O1763">
        <f>IF($E1763="","",IF($E1762="",$E1763,$E1763*0.1538461538+O1762*0.8461538462))</f>
        <v>0</v>
      </c>
      <c r="P1763">
        <f>IF($E1763="","",IF($E1762="",$E1763,$E1763*0.0740740741+P1762*0.9259259259))</f>
        <v>0</v>
      </c>
      <c r="Q1763">
        <f>IF(OR(O1763="",P1763=""),"",O1763-P1763)</f>
        <v>0</v>
      </c>
      <c r="R1763">
        <f>IF(Q1763="","",IF(R1762="",Q1763,Q1763*0.2000000000+R1762*0.8000000000))</f>
        <v>0</v>
      </c>
      <c r="S1763">
        <f>IF(OR(Q1763="",R1763=""),"",Q1763-R1763)</f>
        <v>0</v>
      </c>
      <c r="T1763">
        <f>IF(COUNT($E$2:$E1763)&lt;14,"",MAX($C$1750:$C$1763))</f>
        <v>0</v>
      </c>
      <c r="U1763">
        <f>IF(COUNT($E$2:$E1763)&lt;14,"",MIN($D$1750:$D$1763))</f>
        <v>0</v>
      </c>
      <c r="V1763">
        <f>IF(OR(T1763="",U1763="",T1763=U1763),"",100*($E1763-U1763)/(T1763-U1763))</f>
        <v>0</v>
      </c>
      <c r="W1763">
        <f>IF(COUNT($V$1761:$V$1763)&lt;3,"",AVERAGE($V$1761:$V$1763))</f>
        <v>0</v>
      </c>
      <c r="X1763">
        <f>IF(COUNT($N$1750:$N$1763)&lt;14,"",MIN($N$1750:$N$1763))</f>
        <v>0</v>
      </c>
      <c r="Y1763">
        <f>IF(COUNT($N$1750:$N$1763)&lt;14,"",MAX($N$1750:$N$1763))</f>
        <v>0</v>
      </c>
      <c r="Z1763">
        <f>IF(OR(N1763="",X1763="",Y1763="",Y1763=X1763),"",100*(N1763-X1763)/(Y1763-X1763))</f>
        <v>0</v>
      </c>
      <c r="AA1763">
        <f>IF(COUNT($Z$1761:$Z$1763)&lt;3,"",AVERAGE($Z$1761:$Z$1763))</f>
        <v>0</v>
      </c>
      <c r="AB1763">
        <f>IF(COUNT($AA$1761:$AA$1763)&lt;3,"",AVERAGE($AA$1761:$AA$1763))</f>
        <v>0</v>
      </c>
      <c r="AC1763">
        <f>IF($E1763="","",MAX($C1763-$D1763,ABS($C1763-$E1762),ABS($D1763-$E1762)))</f>
        <v>0</v>
      </c>
      <c r="AD1763">
        <f>IF(COUNT($E$2:$E1763)&lt;15,"",AVERAGE($AC$1750:$AC$1763))</f>
        <v>0</v>
      </c>
      <c r="AE1763">
        <f>IF(OR($E1763="",$E1762=""),"",IF(AND(($C1763-$C1762)&gt;($D1762-$D1763),($C1763-$C1762)&gt;0),$C1763-$C1762,0))</f>
        <v>0</v>
      </c>
      <c r="AF1763">
        <f>IF(OR($E1763="",$E1762=""),"",IF(AND(($D1762-$D1763)&gt;($C1763-$C1762),($D1762-$D1763)&gt;0),$D1762-$D1763,0))</f>
        <v>0</v>
      </c>
      <c r="AG1763">
        <f>IF(COUNT($E$2:$E1763)&lt;15,"",IF(SUM($AC$1750:$AC$1763)=0,0,100*SUM($AE$1750:$AE$1763)/SUM($AC$1750:$AC$1763)))</f>
        <v>0</v>
      </c>
      <c r="AH1763">
        <f>IF(COUNT($E$2:$E1763)&lt;15,"",IF(SUM($AC$1750:$AC$1763)=0,0,100*SUM($AF$1750:$AF$1763)/SUM($AC$1750:$AC$1763)))</f>
        <v>0</v>
      </c>
      <c r="AI1763">
        <f>IF(OR(AG1763="",AH1763=""),"",IF((AG1763+AH1763)=0,0,100*ABS(AG1763-AH1763)/(AG1763+AH1763)))</f>
        <v>0</v>
      </c>
      <c r="AJ1763">
        <f>IF(COUNT($AI$1750:$AI$1763)&lt;14,"",AVERAGE($AI$1750:$AI$1763))</f>
        <v>0</v>
      </c>
      <c r="AK1763">
        <f>IF(COUNT($E$2:$E1763)&lt;20,"",AVERAGE($E$1744:$E$1763))</f>
        <v>0</v>
      </c>
      <c r="AL1763">
        <f>IF(COUNT($E$2:$E1763)&lt;20,"",STDEVP($E$1744:$E$1763))</f>
        <v>0</v>
      </c>
      <c r="AM1763">
        <f>IF(AK1763="","",AK1763+2*AL1763)</f>
        <v>0</v>
      </c>
      <c r="AN1763">
        <f>IF(AK1763="","",AK1763-2*AL1763)</f>
        <v>0</v>
      </c>
      <c r="AO1763">
        <f>IF(OR(AM1763="",AN1763="",AM1763=AN1763),"",($E1763-AN1763)/(AM1763-AN1763))</f>
        <v>0</v>
      </c>
      <c r="AP1763">
        <f>IF(OR(AM1763="",AK1763="",AK1763=0),"",(AM1763-AN1763)/AK1763)</f>
        <v>0</v>
      </c>
      <c r="AQ1763">
        <f>IF(COUNT($E$2:$E1763)&lt;20,"",MAX($C$1744:$C$1763))</f>
        <v>0</v>
      </c>
      <c r="AR1763">
        <f>IF(COUNT($E$2:$E1763)&lt;20,"",MIN($D$1744:$D$1763))</f>
        <v>0</v>
      </c>
      <c r="AS1763">
        <f>IF(OR(AQ1763="",AR1763=""),"",(AQ1763+AR1763)/2)</f>
        <v>0</v>
      </c>
      <c r="AT1763">
        <f>IF(COUNT($G$1744:$G$1763)&lt;20,"",STDEV($G$1744:$G$1763)*SQRT(252))</f>
        <v>0</v>
      </c>
      <c r="AU1763">
        <f>IF(COUNT($E$2:$E1763)&lt;9,"",(MAX($C$1755:$C$1763)+MIN($D$1755:$D$1763))/2)</f>
        <v>0</v>
      </c>
      <c r="AV1763">
        <f>IF(COUNT($E$2:$E1763)&lt;26,"",(MAX($C$1738:$C$1763)+MIN($D$1738:$D$1763))/2)</f>
        <v>0</v>
      </c>
      <c r="AW1763">
        <f>IF(OR(AU1763="",AV1763=""),"",(AU1763+AV1763)/2)</f>
        <v>0</v>
      </c>
      <c r="AX1763">
        <f>IF(COUNT($E$2:$E1763)&lt;52,"",(MAX($C$1712:$C$1763)+MIN($D$1712:$D$1763))/2)</f>
        <v>0</v>
      </c>
      <c r="AY1763">
        <f>IF(COUNT($E$2:$E1763)&lt;20,"",MAX($C$1664:$C$1763))</f>
        <v>0</v>
      </c>
      <c r="AZ1763">
        <f>IF(COUNT($E$2:$E1763)&lt;20,"",MIN($D$1664:$D$1763))</f>
        <v>0</v>
      </c>
      <c r="BA1763">
        <f>IF(COUNT($E$2:$E1763)&lt;20,"",SLOPE($E$1664:$E$1763,$F$1664:$F$1763))</f>
        <v>0</v>
      </c>
      <c r="BB1763">
        <f>IF(COUNT($E$2:$E1763)&lt;20,"",INTERCEPT($E$1664:$E$1763,$F$1664:$F$1763))</f>
        <v>0</v>
      </c>
      <c r="BC1763">
        <f>IF(OR(BA1763="",BB1763=""),"",BB1763+BA1763*F1763)</f>
        <v>0</v>
      </c>
      <c r="BD1763">
        <f>IF(COUNT($E$2:$E1763)&lt;20,"",STEYX($E$1664:$E$1763,$F$1664:$F$1763))</f>
        <v>0</v>
      </c>
      <c r="BE1763">
        <f>IF($E1763="","",IF(AND(COUNT($E$1764:$E$1767)&gt;=4,$C1763=MAX($C$1759:$C$1767)),$C1763,""))</f>
        <v>0</v>
      </c>
      <c r="BF1763">
        <f>IF($E1763="","",IF(AND(COUNT($E$1764:$E$1767)&gt;=4,$D1763=MIN($D$1759:$D$1767)),$D1763,""))</f>
        <v>0</v>
      </c>
      <c r="BG1763">
        <f>IF($A1763="","",$A1763-WEEKDAY($A1763,2)+1)</f>
        <v>0</v>
      </c>
      <c r="BH1763">
        <f>IF($A1763="","",IF($A1762="",1,IF(BG1763&lt;&gt;BG1762,1,0)))</f>
        <v>0</v>
      </c>
      <c r="BI1763">
        <f>IF($A1763="","",IF($A1764="",1,IF(BG1764&lt;&gt;BG1763,1,0)))</f>
        <v>0</v>
      </c>
      <c r="BJ1763">
        <f>IF($A1763="","",IF(BH1763=1,$B1763,BJ1762))</f>
        <v>0</v>
      </c>
      <c r="BK1763">
        <f>IF($A1763="","",IF(BH1763=1,$C1763,MAX($C1763,BK1762)))</f>
        <v>0</v>
      </c>
      <c r="BL1763">
        <f>IF($A1763="","",IF(BH1763=1,$D1763,MIN($D1763,BL1762)))</f>
        <v>0</v>
      </c>
      <c r="BM1763">
        <f>IF($A1763="","",IF(BI1763=1,F1763,""))</f>
        <v>0</v>
      </c>
      <c r="BN1763">
        <f>IF($A1763="","",DATE(YEAR($A1763),MONTH($A1763),1))</f>
        <v>0</v>
      </c>
      <c r="BO1763">
        <f>IF($A1763="","",IF($A1762="",1,IF(BN1763&lt;&gt;BN1762,1,0)))</f>
        <v>0</v>
      </c>
      <c r="BP1763">
        <f>IF($A1763="","",IF($A1764="",1,IF(BN1764&lt;&gt;BN1763,1,0)))</f>
        <v>0</v>
      </c>
      <c r="BQ1763">
        <f>IF($A1763="","",IF(BO1763=1,$B1763,BQ1762))</f>
        <v>0</v>
      </c>
      <c r="BR1763">
        <f>IF($A1763="","",IF(BO1763=1,$C1763,MAX($C1763,BR1762)))</f>
        <v>0</v>
      </c>
      <c r="BS1763">
        <f>IF($A1763="","",IF(BO1763=1,$D1763,MIN($D1763,BS1762)))</f>
        <v>0</v>
      </c>
      <c r="BT1763">
        <f>IF($A1763="","",IF(BP1763=1,F1763,""))</f>
        <v>0</v>
      </c>
    </row>
    <row r="1764" spans="1:72">
      <c r="A1764" s="27">
        <f>IF(Data!$A1764="","",Data!$A1764)</f>
        <v>0</v>
      </c>
      <c r="B1764">
        <f>IF(Data!$B1764="","",Data!$B1764)</f>
        <v>0</v>
      </c>
      <c r="C1764">
        <f>IF(Data!$C1764="","",Data!$C1764)</f>
        <v>0</v>
      </c>
      <c r="D1764">
        <f>IF(Data!$D1764="","",Data!$D1764)</f>
        <v>0</v>
      </c>
      <c r="E1764">
        <f>IF(Data!$E1764="","",Data!$E1764)</f>
        <v>0</v>
      </c>
      <c r="F1764">
        <f>IF($E1764="","",N(F1763)+1)</f>
        <v>0</v>
      </c>
      <c r="G1764">
        <f>IF(OR($E1764="",$E1763=""),"",LN($E1764/$E1763))</f>
        <v>0</v>
      </c>
      <c r="H1764">
        <f>IF($E1764="","",IF($E1763="",$E1764,$E1764*0.0952380952+H1763*0.9047619048))</f>
        <v>0</v>
      </c>
      <c r="I1764">
        <f>IF($E1764="","",IF($E1763="",$E1764,$E1764*0.0392156863+I1763*0.9607843137))</f>
        <v>0</v>
      </c>
      <c r="J1764">
        <f>IF($E1764="","",IF($E1763="",$E1764,$E1764*0.0198019802+J1763*0.9801980198))</f>
        <v>0</v>
      </c>
      <c r="K1764">
        <f>IF($E1764="","",IF($E1763="",$E1764,$E1764*0.0099502488+K1763*0.9900497512))</f>
        <v>0</v>
      </c>
      <c r="L1764">
        <f>IF(OR($E1764="",$E1763=""),"",MAX($E1764-$E1763,0))</f>
        <v>0</v>
      </c>
      <c r="M1764">
        <f>IF(OR($E1764="",$E1763=""),"",MAX($E1763-$E1764,0))</f>
        <v>0</v>
      </c>
      <c r="N1764">
        <f>IF(COUNT($E$2:$E1764)&lt;15,"",IF(AVERAGE($M$1751:$M$1764)=0,100,100-100/(1+AVERAGE($L$1751:$L$1764)/AVERAGE($M$1751:$M$1764))))</f>
        <v>0</v>
      </c>
      <c r="O1764">
        <f>IF($E1764="","",IF($E1763="",$E1764,$E1764*0.1538461538+O1763*0.8461538462))</f>
        <v>0</v>
      </c>
      <c r="P1764">
        <f>IF($E1764="","",IF($E1763="",$E1764,$E1764*0.0740740741+P1763*0.9259259259))</f>
        <v>0</v>
      </c>
      <c r="Q1764">
        <f>IF(OR(O1764="",P1764=""),"",O1764-P1764)</f>
        <v>0</v>
      </c>
      <c r="R1764">
        <f>IF(Q1764="","",IF(R1763="",Q1764,Q1764*0.2000000000+R1763*0.8000000000))</f>
        <v>0</v>
      </c>
      <c r="S1764">
        <f>IF(OR(Q1764="",R1764=""),"",Q1764-R1764)</f>
        <v>0</v>
      </c>
      <c r="T1764">
        <f>IF(COUNT($E$2:$E1764)&lt;14,"",MAX($C$1751:$C$1764))</f>
        <v>0</v>
      </c>
      <c r="U1764">
        <f>IF(COUNT($E$2:$E1764)&lt;14,"",MIN($D$1751:$D$1764))</f>
        <v>0</v>
      </c>
      <c r="V1764">
        <f>IF(OR(T1764="",U1764="",T1764=U1764),"",100*($E1764-U1764)/(T1764-U1764))</f>
        <v>0</v>
      </c>
      <c r="W1764">
        <f>IF(COUNT($V$1762:$V$1764)&lt;3,"",AVERAGE($V$1762:$V$1764))</f>
        <v>0</v>
      </c>
      <c r="X1764">
        <f>IF(COUNT($N$1751:$N$1764)&lt;14,"",MIN($N$1751:$N$1764))</f>
        <v>0</v>
      </c>
      <c r="Y1764">
        <f>IF(COUNT($N$1751:$N$1764)&lt;14,"",MAX($N$1751:$N$1764))</f>
        <v>0</v>
      </c>
      <c r="Z1764">
        <f>IF(OR(N1764="",X1764="",Y1764="",Y1764=X1764),"",100*(N1764-X1764)/(Y1764-X1764))</f>
        <v>0</v>
      </c>
      <c r="AA1764">
        <f>IF(COUNT($Z$1762:$Z$1764)&lt;3,"",AVERAGE($Z$1762:$Z$1764))</f>
        <v>0</v>
      </c>
      <c r="AB1764">
        <f>IF(COUNT($AA$1762:$AA$1764)&lt;3,"",AVERAGE($AA$1762:$AA$1764))</f>
        <v>0</v>
      </c>
      <c r="AC1764">
        <f>IF($E1764="","",MAX($C1764-$D1764,ABS($C1764-$E1763),ABS($D1764-$E1763)))</f>
        <v>0</v>
      </c>
      <c r="AD1764">
        <f>IF(COUNT($E$2:$E1764)&lt;15,"",AVERAGE($AC$1751:$AC$1764))</f>
        <v>0</v>
      </c>
      <c r="AE1764">
        <f>IF(OR($E1764="",$E1763=""),"",IF(AND(($C1764-$C1763)&gt;($D1763-$D1764),($C1764-$C1763)&gt;0),$C1764-$C1763,0))</f>
        <v>0</v>
      </c>
      <c r="AF1764">
        <f>IF(OR($E1764="",$E1763=""),"",IF(AND(($D1763-$D1764)&gt;($C1764-$C1763),($D1763-$D1764)&gt;0),$D1763-$D1764,0))</f>
        <v>0</v>
      </c>
      <c r="AG1764">
        <f>IF(COUNT($E$2:$E1764)&lt;15,"",IF(SUM($AC$1751:$AC$1764)=0,0,100*SUM($AE$1751:$AE$1764)/SUM($AC$1751:$AC$1764)))</f>
        <v>0</v>
      </c>
      <c r="AH1764">
        <f>IF(COUNT($E$2:$E1764)&lt;15,"",IF(SUM($AC$1751:$AC$1764)=0,0,100*SUM($AF$1751:$AF$1764)/SUM($AC$1751:$AC$1764)))</f>
        <v>0</v>
      </c>
      <c r="AI1764">
        <f>IF(OR(AG1764="",AH1764=""),"",IF((AG1764+AH1764)=0,0,100*ABS(AG1764-AH1764)/(AG1764+AH1764)))</f>
        <v>0</v>
      </c>
      <c r="AJ1764">
        <f>IF(COUNT($AI$1751:$AI$1764)&lt;14,"",AVERAGE($AI$1751:$AI$1764))</f>
        <v>0</v>
      </c>
      <c r="AK1764">
        <f>IF(COUNT($E$2:$E1764)&lt;20,"",AVERAGE($E$1745:$E$1764))</f>
        <v>0</v>
      </c>
      <c r="AL1764">
        <f>IF(COUNT($E$2:$E1764)&lt;20,"",STDEVP($E$1745:$E$1764))</f>
        <v>0</v>
      </c>
      <c r="AM1764">
        <f>IF(AK1764="","",AK1764+2*AL1764)</f>
        <v>0</v>
      </c>
      <c r="AN1764">
        <f>IF(AK1764="","",AK1764-2*AL1764)</f>
        <v>0</v>
      </c>
      <c r="AO1764">
        <f>IF(OR(AM1764="",AN1764="",AM1764=AN1764),"",($E1764-AN1764)/(AM1764-AN1764))</f>
        <v>0</v>
      </c>
      <c r="AP1764">
        <f>IF(OR(AM1764="",AK1764="",AK1764=0),"",(AM1764-AN1764)/AK1764)</f>
        <v>0</v>
      </c>
      <c r="AQ1764">
        <f>IF(COUNT($E$2:$E1764)&lt;20,"",MAX($C$1745:$C$1764))</f>
        <v>0</v>
      </c>
      <c r="AR1764">
        <f>IF(COUNT($E$2:$E1764)&lt;20,"",MIN($D$1745:$D$1764))</f>
        <v>0</v>
      </c>
      <c r="AS1764">
        <f>IF(OR(AQ1764="",AR1764=""),"",(AQ1764+AR1764)/2)</f>
        <v>0</v>
      </c>
      <c r="AT1764">
        <f>IF(COUNT($G$1745:$G$1764)&lt;20,"",STDEV($G$1745:$G$1764)*SQRT(252))</f>
        <v>0</v>
      </c>
      <c r="AU1764">
        <f>IF(COUNT($E$2:$E1764)&lt;9,"",(MAX($C$1756:$C$1764)+MIN($D$1756:$D$1764))/2)</f>
        <v>0</v>
      </c>
      <c r="AV1764">
        <f>IF(COUNT($E$2:$E1764)&lt;26,"",(MAX($C$1739:$C$1764)+MIN($D$1739:$D$1764))/2)</f>
        <v>0</v>
      </c>
      <c r="AW1764">
        <f>IF(OR(AU1764="",AV1764=""),"",(AU1764+AV1764)/2)</f>
        <v>0</v>
      </c>
      <c r="AX1764">
        <f>IF(COUNT($E$2:$E1764)&lt;52,"",(MAX($C$1713:$C$1764)+MIN($D$1713:$D$1764))/2)</f>
        <v>0</v>
      </c>
      <c r="AY1764">
        <f>IF(COUNT($E$2:$E1764)&lt;20,"",MAX($C$1665:$C$1764))</f>
        <v>0</v>
      </c>
      <c r="AZ1764">
        <f>IF(COUNT($E$2:$E1764)&lt;20,"",MIN($D$1665:$D$1764))</f>
        <v>0</v>
      </c>
      <c r="BA1764">
        <f>IF(COUNT($E$2:$E1764)&lt;20,"",SLOPE($E$1665:$E$1764,$F$1665:$F$1764))</f>
        <v>0</v>
      </c>
      <c r="BB1764">
        <f>IF(COUNT($E$2:$E1764)&lt;20,"",INTERCEPT($E$1665:$E$1764,$F$1665:$F$1764))</f>
        <v>0</v>
      </c>
      <c r="BC1764">
        <f>IF(OR(BA1764="",BB1764=""),"",BB1764+BA1764*F1764)</f>
        <v>0</v>
      </c>
      <c r="BD1764">
        <f>IF(COUNT($E$2:$E1764)&lt;20,"",STEYX($E$1665:$E$1764,$F$1665:$F$1764))</f>
        <v>0</v>
      </c>
      <c r="BE1764">
        <f>IF($E1764="","",IF(AND(COUNT($E$1765:$E$1768)&gt;=4,$C1764=MAX($C$1760:$C$1768)),$C1764,""))</f>
        <v>0</v>
      </c>
      <c r="BF1764">
        <f>IF($E1764="","",IF(AND(COUNT($E$1765:$E$1768)&gt;=4,$D1764=MIN($D$1760:$D$1768)),$D1764,""))</f>
        <v>0</v>
      </c>
      <c r="BG1764">
        <f>IF($A1764="","",$A1764-WEEKDAY($A1764,2)+1)</f>
        <v>0</v>
      </c>
      <c r="BH1764">
        <f>IF($A1764="","",IF($A1763="",1,IF(BG1764&lt;&gt;BG1763,1,0)))</f>
        <v>0</v>
      </c>
      <c r="BI1764">
        <f>IF($A1764="","",IF($A1765="",1,IF(BG1765&lt;&gt;BG1764,1,0)))</f>
        <v>0</v>
      </c>
      <c r="BJ1764">
        <f>IF($A1764="","",IF(BH1764=1,$B1764,BJ1763))</f>
        <v>0</v>
      </c>
      <c r="BK1764">
        <f>IF($A1764="","",IF(BH1764=1,$C1764,MAX($C1764,BK1763)))</f>
        <v>0</v>
      </c>
      <c r="BL1764">
        <f>IF($A1764="","",IF(BH1764=1,$D1764,MIN($D1764,BL1763)))</f>
        <v>0</v>
      </c>
      <c r="BM1764">
        <f>IF($A1764="","",IF(BI1764=1,F1764,""))</f>
        <v>0</v>
      </c>
      <c r="BN1764">
        <f>IF($A1764="","",DATE(YEAR($A1764),MONTH($A1764),1))</f>
        <v>0</v>
      </c>
      <c r="BO1764">
        <f>IF($A1764="","",IF($A1763="",1,IF(BN1764&lt;&gt;BN1763,1,0)))</f>
        <v>0</v>
      </c>
      <c r="BP1764">
        <f>IF($A1764="","",IF($A1765="",1,IF(BN1765&lt;&gt;BN1764,1,0)))</f>
        <v>0</v>
      </c>
      <c r="BQ1764">
        <f>IF($A1764="","",IF(BO1764=1,$B1764,BQ1763))</f>
        <v>0</v>
      </c>
      <c r="BR1764">
        <f>IF($A1764="","",IF(BO1764=1,$C1764,MAX($C1764,BR1763)))</f>
        <v>0</v>
      </c>
      <c r="BS1764">
        <f>IF($A1764="","",IF(BO1764=1,$D1764,MIN($D1764,BS1763)))</f>
        <v>0</v>
      </c>
      <c r="BT1764">
        <f>IF($A1764="","",IF(BP1764=1,F1764,""))</f>
        <v>0</v>
      </c>
    </row>
    <row r="1765" spans="1:72">
      <c r="A1765" s="27">
        <f>IF(Data!$A1765="","",Data!$A1765)</f>
        <v>0</v>
      </c>
      <c r="B1765">
        <f>IF(Data!$B1765="","",Data!$B1765)</f>
        <v>0</v>
      </c>
      <c r="C1765">
        <f>IF(Data!$C1765="","",Data!$C1765)</f>
        <v>0</v>
      </c>
      <c r="D1765">
        <f>IF(Data!$D1765="","",Data!$D1765)</f>
        <v>0</v>
      </c>
      <c r="E1765">
        <f>IF(Data!$E1765="","",Data!$E1765)</f>
        <v>0</v>
      </c>
      <c r="F1765">
        <f>IF($E1765="","",N(F1764)+1)</f>
        <v>0</v>
      </c>
      <c r="G1765">
        <f>IF(OR($E1765="",$E1764=""),"",LN($E1765/$E1764))</f>
        <v>0</v>
      </c>
      <c r="H1765">
        <f>IF($E1765="","",IF($E1764="",$E1765,$E1765*0.0952380952+H1764*0.9047619048))</f>
        <v>0</v>
      </c>
      <c r="I1765">
        <f>IF($E1765="","",IF($E1764="",$E1765,$E1765*0.0392156863+I1764*0.9607843137))</f>
        <v>0</v>
      </c>
      <c r="J1765">
        <f>IF($E1765="","",IF($E1764="",$E1765,$E1765*0.0198019802+J1764*0.9801980198))</f>
        <v>0</v>
      </c>
      <c r="K1765">
        <f>IF($E1765="","",IF($E1764="",$E1765,$E1765*0.0099502488+K1764*0.9900497512))</f>
        <v>0</v>
      </c>
      <c r="L1765">
        <f>IF(OR($E1765="",$E1764=""),"",MAX($E1765-$E1764,0))</f>
        <v>0</v>
      </c>
      <c r="M1765">
        <f>IF(OR($E1765="",$E1764=""),"",MAX($E1764-$E1765,0))</f>
        <v>0</v>
      </c>
      <c r="N1765">
        <f>IF(COUNT($E$2:$E1765)&lt;15,"",IF(AVERAGE($M$1752:$M$1765)=0,100,100-100/(1+AVERAGE($L$1752:$L$1765)/AVERAGE($M$1752:$M$1765))))</f>
        <v>0</v>
      </c>
      <c r="O1765">
        <f>IF($E1765="","",IF($E1764="",$E1765,$E1765*0.1538461538+O1764*0.8461538462))</f>
        <v>0</v>
      </c>
      <c r="P1765">
        <f>IF($E1765="","",IF($E1764="",$E1765,$E1765*0.0740740741+P1764*0.9259259259))</f>
        <v>0</v>
      </c>
      <c r="Q1765">
        <f>IF(OR(O1765="",P1765=""),"",O1765-P1765)</f>
        <v>0</v>
      </c>
      <c r="R1765">
        <f>IF(Q1765="","",IF(R1764="",Q1765,Q1765*0.2000000000+R1764*0.8000000000))</f>
        <v>0</v>
      </c>
      <c r="S1765">
        <f>IF(OR(Q1765="",R1765=""),"",Q1765-R1765)</f>
        <v>0</v>
      </c>
      <c r="T1765">
        <f>IF(COUNT($E$2:$E1765)&lt;14,"",MAX($C$1752:$C$1765))</f>
        <v>0</v>
      </c>
      <c r="U1765">
        <f>IF(COUNT($E$2:$E1765)&lt;14,"",MIN($D$1752:$D$1765))</f>
        <v>0</v>
      </c>
      <c r="V1765">
        <f>IF(OR(T1765="",U1765="",T1765=U1765),"",100*($E1765-U1765)/(T1765-U1765))</f>
        <v>0</v>
      </c>
      <c r="W1765">
        <f>IF(COUNT($V$1763:$V$1765)&lt;3,"",AVERAGE($V$1763:$V$1765))</f>
        <v>0</v>
      </c>
      <c r="X1765">
        <f>IF(COUNT($N$1752:$N$1765)&lt;14,"",MIN($N$1752:$N$1765))</f>
        <v>0</v>
      </c>
      <c r="Y1765">
        <f>IF(COUNT($N$1752:$N$1765)&lt;14,"",MAX($N$1752:$N$1765))</f>
        <v>0</v>
      </c>
      <c r="Z1765">
        <f>IF(OR(N1765="",X1765="",Y1765="",Y1765=X1765),"",100*(N1765-X1765)/(Y1765-X1765))</f>
        <v>0</v>
      </c>
      <c r="AA1765">
        <f>IF(COUNT($Z$1763:$Z$1765)&lt;3,"",AVERAGE($Z$1763:$Z$1765))</f>
        <v>0</v>
      </c>
      <c r="AB1765">
        <f>IF(COUNT($AA$1763:$AA$1765)&lt;3,"",AVERAGE($AA$1763:$AA$1765))</f>
        <v>0</v>
      </c>
      <c r="AC1765">
        <f>IF($E1765="","",MAX($C1765-$D1765,ABS($C1765-$E1764),ABS($D1765-$E1764)))</f>
        <v>0</v>
      </c>
      <c r="AD1765">
        <f>IF(COUNT($E$2:$E1765)&lt;15,"",AVERAGE($AC$1752:$AC$1765))</f>
        <v>0</v>
      </c>
      <c r="AE1765">
        <f>IF(OR($E1765="",$E1764=""),"",IF(AND(($C1765-$C1764)&gt;($D1764-$D1765),($C1765-$C1764)&gt;0),$C1765-$C1764,0))</f>
        <v>0</v>
      </c>
      <c r="AF1765">
        <f>IF(OR($E1765="",$E1764=""),"",IF(AND(($D1764-$D1765)&gt;($C1765-$C1764),($D1764-$D1765)&gt;0),$D1764-$D1765,0))</f>
        <v>0</v>
      </c>
      <c r="AG1765">
        <f>IF(COUNT($E$2:$E1765)&lt;15,"",IF(SUM($AC$1752:$AC$1765)=0,0,100*SUM($AE$1752:$AE$1765)/SUM($AC$1752:$AC$1765)))</f>
        <v>0</v>
      </c>
      <c r="AH1765">
        <f>IF(COUNT($E$2:$E1765)&lt;15,"",IF(SUM($AC$1752:$AC$1765)=0,0,100*SUM($AF$1752:$AF$1765)/SUM($AC$1752:$AC$1765)))</f>
        <v>0</v>
      </c>
      <c r="AI1765">
        <f>IF(OR(AG1765="",AH1765=""),"",IF((AG1765+AH1765)=0,0,100*ABS(AG1765-AH1765)/(AG1765+AH1765)))</f>
        <v>0</v>
      </c>
      <c r="AJ1765">
        <f>IF(COUNT($AI$1752:$AI$1765)&lt;14,"",AVERAGE($AI$1752:$AI$1765))</f>
        <v>0</v>
      </c>
      <c r="AK1765">
        <f>IF(COUNT($E$2:$E1765)&lt;20,"",AVERAGE($E$1746:$E$1765))</f>
        <v>0</v>
      </c>
      <c r="AL1765">
        <f>IF(COUNT($E$2:$E1765)&lt;20,"",STDEVP($E$1746:$E$1765))</f>
        <v>0</v>
      </c>
      <c r="AM1765">
        <f>IF(AK1765="","",AK1765+2*AL1765)</f>
        <v>0</v>
      </c>
      <c r="AN1765">
        <f>IF(AK1765="","",AK1765-2*AL1765)</f>
        <v>0</v>
      </c>
      <c r="AO1765">
        <f>IF(OR(AM1765="",AN1765="",AM1765=AN1765),"",($E1765-AN1765)/(AM1765-AN1765))</f>
        <v>0</v>
      </c>
      <c r="AP1765">
        <f>IF(OR(AM1765="",AK1765="",AK1765=0),"",(AM1765-AN1765)/AK1765)</f>
        <v>0</v>
      </c>
      <c r="AQ1765">
        <f>IF(COUNT($E$2:$E1765)&lt;20,"",MAX($C$1746:$C$1765))</f>
        <v>0</v>
      </c>
      <c r="AR1765">
        <f>IF(COUNT($E$2:$E1765)&lt;20,"",MIN($D$1746:$D$1765))</f>
        <v>0</v>
      </c>
      <c r="AS1765">
        <f>IF(OR(AQ1765="",AR1765=""),"",(AQ1765+AR1765)/2)</f>
        <v>0</v>
      </c>
      <c r="AT1765">
        <f>IF(COUNT($G$1746:$G$1765)&lt;20,"",STDEV($G$1746:$G$1765)*SQRT(252))</f>
        <v>0</v>
      </c>
      <c r="AU1765">
        <f>IF(COUNT($E$2:$E1765)&lt;9,"",(MAX($C$1757:$C$1765)+MIN($D$1757:$D$1765))/2)</f>
        <v>0</v>
      </c>
      <c r="AV1765">
        <f>IF(COUNT($E$2:$E1765)&lt;26,"",(MAX($C$1740:$C$1765)+MIN($D$1740:$D$1765))/2)</f>
        <v>0</v>
      </c>
      <c r="AW1765">
        <f>IF(OR(AU1765="",AV1765=""),"",(AU1765+AV1765)/2)</f>
        <v>0</v>
      </c>
      <c r="AX1765">
        <f>IF(COUNT($E$2:$E1765)&lt;52,"",(MAX($C$1714:$C$1765)+MIN($D$1714:$D$1765))/2)</f>
        <v>0</v>
      </c>
      <c r="AY1765">
        <f>IF(COUNT($E$2:$E1765)&lt;20,"",MAX($C$1666:$C$1765))</f>
        <v>0</v>
      </c>
      <c r="AZ1765">
        <f>IF(COUNT($E$2:$E1765)&lt;20,"",MIN($D$1666:$D$1765))</f>
        <v>0</v>
      </c>
      <c r="BA1765">
        <f>IF(COUNT($E$2:$E1765)&lt;20,"",SLOPE($E$1666:$E$1765,$F$1666:$F$1765))</f>
        <v>0</v>
      </c>
      <c r="BB1765">
        <f>IF(COUNT($E$2:$E1765)&lt;20,"",INTERCEPT($E$1666:$E$1765,$F$1666:$F$1765))</f>
        <v>0</v>
      </c>
      <c r="BC1765">
        <f>IF(OR(BA1765="",BB1765=""),"",BB1765+BA1765*F1765)</f>
        <v>0</v>
      </c>
      <c r="BD1765">
        <f>IF(COUNT($E$2:$E1765)&lt;20,"",STEYX($E$1666:$E$1765,$F$1666:$F$1765))</f>
        <v>0</v>
      </c>
      <c r="BE1765">
        <f>IF($E1765="","",IF(AND(COUNT($E$1766:$E$1769)&gt;=4,$C1765=MAX($C$1761:$C$1769)),$C1765,""))</f>
        <v>0</v>
      </c>
      <c r="BF1765">
        <f>IF($E1765="","",IF(AND(COUNT($E$1766:$E$1769)&gt;=4,$D1765=MIN($D$1761:$D$1769)),$D1765,""))</f>
        <v>0</v>
      </c>
      <c r="BG1765">
        <f>IF($A1765="","",$A1765-WEEKDAY($A1765,2)+1)</f>
        <v>0</v>
      </c>
      <c r="BH1765">
        <f>IF($A1765="","",IF($A1764="",1,IF(BG1765&lt;&gt;BG1764,1,0)))</f>
        <v>0</v>
      </c>
      <c r="BI1765">
        <f>IF($A1765="","",IF($A1766="",1,IF(BG1766&lt;&gt;BG1765,1,0)))</f>
        <v>0</v>
      </c>
      <c r="BJ1765">
        <f>IF($A1765="","",IF(BH1765=1,$B1765,BJ1764))</f>
        <v>0</v>
      </c>
      <c r="BK1765">
        <f>IF($A1765="","",IF(BH1765=1,$C1765,MAX($C1765,BK1764)))</f>
        <v>0</v>
      </c>
      <c r="BL1765">
        <f>IF($A1765="","",IF(BH1765=1,$D1765,MIN($D1765,BL1764)))</f>
        <v>0</v>
      </c>
      <c r="BM1765">
        <f>IF($A1765="","",IF(BI1765=1,F1765,""))</f>
        <v>0</v>
      </c>
      <c r="BN1765">
        <f>IF($A1765="","",DATE(YEAR($A1765),MONTH($A1765),1))</f>
        <v>0</v>
      </c>
      <c r="BO1765">
        <f>IF($A1765="","",IF($A1764="",1,IF(BN1765&lt;&gt;BN1764,1,0)))</f>
        <v>0</v>
      </c>
      <c r="BP1765">
        <f>IF($A1765="","",IF($A1766="",1,IF(BN1766&lt;&gt;BN1765,1,0)))</f>
        <v>0</v>
      </c>
      <c r="BQ1765">
        <f>IF($A1765="","",IF(BO1765=1,$B1765,BQ1764))</f>
        <v>0</v>
      </c>
      <c r="BR1765">
        <f>IF($A1765="","",IF(BO1765=1,$C1765,MAX($C1765,BR1764)))</f>
        <v>0</v>
      </c>
      <c r="BS1765">
        <f>IF($A1765="","",IF(BO1765=1,$D1765,MIN($D1765,BS1764)))</f>
        <v>0</v>
      </c>
      <c r="BT1765">
        <f>IF($A1765="","",IF(BP1765=1,F1765,""))</f>
        <v>0</v>
      </c>
    </row>
    <row r="1766" spans="1:72">
      <c r="A1766" s="27">
        <f>IF(Data!$A1766="","",Data!$A1766)</f>
        <v>0</v>
      </c>
      <c r="B1766">
        <f>IF(Data!$B1766="","",Data!$B1766)</f>
        <v>0</v>
      </c>
      <c r="C1766">
        <f>IF(Data!$C1766="","",Data!$C1766)</f>
        <v>0</v>
      </c>
      <c r="D1766">
        <f>IF(Data!$D1766="","",Data!$D1766)</f>
        <v>0</v>
      </c>
      <c r="E1766">
        <f>IF(Data!$E1766="","",Data!$E1766)</f>
        <v>0</v>
      </c>
      <c r="F1766">
        <f>IF($E1766="","",N(F1765)+1)</f>
        <v>0</v>
      </c>
      <c r="G1766">
        <f>IF(OR($E1766="",$E1765=""),"",LN($E1766/$E1765))</f>
        <v>0</v>
      </c>
      <c r="H1766">
        <f>IF($E1766="","",IF($E1765="",$E1766,$E1766*0.0952380952+H1765*0.9047619048))</f>
        <v>0</v>
      </c>
      <c r="I1766">
        <f>IF($E1766="","",IF($E1765="",$E1766,$E1766*0.0392156863+I1765*0.9607843137))</f>
        <v>0</v>
      </c>
      <c r="J1766">
        <f>IF($E1766="","",IF($E1765="",$E1766,$E1766*0.0198019802+J1765*0.9801980198))</f>
        <v>0</v>
      </c>
      <c r="K1766">
        <f>IF($E1766="","",IF($E1765="",$E1766,$E1766*0.0099502488+K1765*0.9900497512))</f>
        <v>0</v>
      </c>
      <c r="L1766">
        <f>IF(OR($E1766="",$E1765=""),"",MAX($E1766-$E1765,0))</f>
        <v>0</v>
      </c>
      <c r="M1766">
        <f>IF(OR($E1766="",$E1765=""),"",MAX($E1765-$E1766,0))</f>
        <v>0</v>
      </c>
      <c r="N1766">
        <f>IF(COUNT($E$2:$E1766)&lt;15,"",IF(AVERAGE($M$1753:$M$1766)=0,100,100-100/(1+AVERAGE($L$1753:$L$1766)/AVERAGE($M$1753:$M$1766))))</f>
        <v>0</v>
      </c>
      <c r="O1766">
        <f>IF($E1766="","",IF($E1765="",$E1766,$E1766*0.1538461538+O1765*0.8461538462))</f>
        <v>0</v>
      </c>
      <c r="P1766">
        <f>IF($E1766="","",IF($E1765="",$E1766,$E1766*0.0740740741+P1765*0.9259259259))</f>
        <v>0</v>
      </c>
      <c r="Q1766">
        <f>IF(OR(O1766="",P1766=""),"",O1766-P1766)</f>
        <v>0</v>
      </c>
      <c r="R1766">
        <f>IF(Q1766="","",IF(R1765="",Q1766,Q1766*0.2000000000+R1765*0.8000000000))</f>
        <v>0</v>
      </c>
      <c r="S1766">
        <f>IF(OR(Q1766="",R1766=""),"",Q1766-R1766)</f>
        <v>0</v>
      </c>
      <c r="T1766">
        <f>IF(COUNT($E$2:$E1766)&lt;14,"",MAX($C$1753:$C$1766))</f>
        <v>0</v>
      </c>
      <c r="U1766">
        <f>IF(COUNT($E$2:$E1766)&lt;14,"",MIN($D$1753:$D$1766))</f>
        <v>0</v>
      </c>
      <c r="V1766">
        <f>IF(OR(T1766="",U1766="",T1766=U1766),"",100*($E1766-U1766)/(T1766-U1766))</f>
        <v>0</v>
      </c>
      <c r="W1766">
        <f>IF(COUNT($V$1764:$V$1766)&lt;3,"",AVERAGE($V$1764:$V$1766))</f>
        <v>0</v>
      </c>
      <c r="X1766">
        <f>IF(COUNT($N$1753:$N$1766)&lt;14,"",MIN($N$1753:$N$1766))</f>
        <v>0</v>
      </c>
      <c r="Y1766">
        <f>IF(COUNT($N$1753:$N$1766)&lt;14,"",MAX($N$1753:$N$1766))</f>
        <v>0</v>
      </c>
      <c r="Z1766">
        <f>IF(OR(N1766="",X1766="",Y1766="",Y1766=X1766),"",100*(N1766-X1766)/(Y1766-X1766))</f>
        <v>0</v>
      </c>
      <c r="AA1766">
        <f>IF(COUNT($Z$1764:$Z$1766)&lt;3,"",AVERAGE($Z$1764:$Z$1766))</f>
        <v>0</v>
      </c>
      <c r="AB1766">
        <f>IF(COUNT($AA$1764:$AA$1766)&lt;3,"",AVERAGE($AA$1764:$AA$1766))</f>
        <v>0</v>
      </c>
      <c r="AC1766">
        <f>IF($E1766="","",MAX($C1766-$D1766,ABS($C1766-$E1765),ABS($D1766-$E1765)))</f>
        <v>0</v>
      </c>
      <c r="AD1766">
        <f>IF(COUNT($E$2:$E1766)&lt;15,"",AVERAGE($AC$1753:$AC$1766))</f>
        <v>0</v>
      </c>
      <c r="AE1766">
        <f>IF(OR($E1766="",$E1765=""),"",IF(AND(($C1766-$C1765)&gt;($D1765-$D1766),($C1766-$C1765)&gt;0),$C1766-$C1765,0))</f>
        <v>0</v>
      </c>
      <c r="AF1766">
        <f>IF(OR($E1766="",$E1765=""),"",IF(AND(($D1765-$D1766)&gt;($C1766-$C1765),($D1765-$D1766)&gt;0),$D1765-$D1766,0))</f>
        <v>0</v>
      </c>
      <c r="AG1766">
        <f>IF(COUNT($E$2:$E1766)&lt;15,"",IF(SUM($AC$1753:$AC$1766)=0,0,100*SUM($AE$1753:$AE$1766)/SUM($AC$1753:$AC$1766)))</f>
        <v>0</v>
      </c>
      <c r="AH1766">
        <f>IF(COUNT($E$2:$E1766)&lt;15,"",IF(SUM($AC$1753:$AC$1766)=0,0,100*SUM($AF$1753:$AF$1766)/SUM($AC$1753:$AC$1766)))</f>
        <v>0</v>
      </c>
      <c r="AI1766">
        <f>IF(OR(AG1766="",AH1766=""),"",IF((AG1766+AH1766)=0,0,100*ABS(AG1766-AH1766)/(AG1766+AH1766)))</f>
        <v>0</v>
      </c>
      <c r="AJ1766">
        <f>IF(COUNT($AI$1753:$AI$1766)&lt;14,"",AVERAGE($AI$1753:$AI$1766))</f>
        <v>0</v>
      </c>
      <c r="AK1766">
        <f>IF(COUNT($E$2:$E1766)&lt;20,"",AVERAGE($E$1747:$E$1766))</f>
        <v>0</v>
      </c>
      <c r="AL1766">
        <f>IF(COUNT($E$2:$E1766)&lt;20,"",STDEVP($E$1747:$E$1766))</f>
        <v>0</v>
      </c>
      <c r="AM1766">
        <f>IF(AK1766="","",AK1766+2*AL1766)</f>
        <v>0</v>
      </c>
      <c r="AN1766">
        <f>IF(AK1766="","",AK1766-2*AL1766)</f>
        <v>0</v>
      </c>
      <c r="AO1766">
        <f>IF(OR(AM1766="",AN1766="",AM1766=AN1766),"",($E1766-AN1766)/(AM1766-AN1766))</f>
        <v>0</v>
      </c>
      <c r="AP1766">
        <f>IF(OR(AM1766="",AK1766="",AK1766=0),"",(AM1766-AN1766)/AK1766)</f>
        <v>0</v>
      </c>
      <c r="AQ1766">
        <f>IF(COUNT($E$2:$E1766)&lt;20,"",MAX($C$1747:$C$1766))</f>
        <v>0</v>
      </c>
      <c r="AR1766">
        <f>IF(COUNT($E$2:$E1766)&lt;20,"",MIN($D$1747:$D$1766))</f>
        <v>0</v>
      </c>
      <c r="AS1766">
        <f>IF(OR(AQ1766="",AR1766=""),"",(AQ1766+AR1766)/2)</f>
        <v>0</v>
      </c>
      <c r="AT1766">
        <f>IF(COUNT($G$1747:$G$1766)&lt;20,"",STDEV($G$1747:$G$1766)*SQRT(252))</f>
        <v>0</v>
      </c>
      <c r="AU1766">
        <f>IF(COUNT($E$2:$E1766)&lt;9,"",(MAX($C$1758:$C$1766)+MIN($D$1758:$D$1766))/2)</f>
        <v>0</v>
      </c>
      <c r="AV1766">
        <f>IF(COUNT($E$2:$E1766)&lt;26,"",(MAX($C$1741:$C$1766)+MIN($D$1741:$D$1766))/2)</f>
        <v>0</v>
      </c>
      <c r="AW1766">
        <f>IF(OR(AU1766="",AV1766=""),"",(AU1766+AV1766)/2)</f>
        <v>0</v>
      </c>
      <c r="AX1766">
        <f>IF(COUNT($E$2:$E1766)&lt;52,"",(MAX($C$1715:$C$1766)+MIN($D$1715:$D$1766))/2)</f>
        <v>0</v>
      </c>
      <c r="AY1766">
        <f>IF(COUNT($E$2:$E1766)&lt;20,"",MAX($C$1667:$C$1766))</f>
        <v>0</v>
      </c>
      <c r="AZ1766">
        <f>IF(COUNT($E$2:$E1766)&lt;20,"",MIN($D$1667:$D$1766))</f>
        <v>0</v>
      </c>
      <c r="BA1766">
        <f>IF(COUNT($E$2:$E1766)&lt;20,"",SLOPE($E$1667:$E$1766,$F$1667:$F$1766))</f>
        <v>0</v>
      </c>
      <c r="BB1766">
        <f>IF(COUNT($E$2:$E1766)&lt;20,"",INTERCEPT($E$1667:$E$1766,$F$1667:$F$1766))</f>
        <v>0</v>
      </c>
      <c r="BC1766">
        <f>IF(OR(BA1766="",BB1766=""),"",BB1766+BA1766*F1766)</f>
        <v>0</v>
      </c>
      <c r="BD1766">
        <f>IF(COUNT($E$2:$E1766)&lt;20,"",STEYX($E$1667:$E$1766,$F$1667:$F$1766))</f>
        <v>0</v>
      </c>
      <c r="BE1766">
        <f>IF($E1766="","",IF(AND(COUNT($E$1767:$E$1770)&gt;=4,$C1766=MAX($C$1762:$C$1770)),$C1766,""))</f>
        <v>0</v>
      </c>
      <c r="BF1766">
        <f>IF($E1766="","",IF(AND(COUNT($E$1767:$E$1770)&gt;=4,$D1766=MIN($D$1762:$D$1770)),$D1766,""))</f>
        <v>0</v>
      </c>
      <c r="BG1766">
        <f>IF($A1766="","",$A1766-WEEKDAY($A1766,2)+1)</f>
        <v>0</v>
      </c>
      <c r="BH1766">
        <f>IF($A1766="","",IF($A1765="",1,IF(BG1766&lt;&gt;BG1765,1,0)))</f>
        <v>0</v>
      </c>
      <c r="BI1766">
        <f>IF($A1766="","",IF($A1767="",1,IF(BG1767&lt;&gt;BG1766,1,0)))</f>
        <v>0</v>
      </c>
      <c r="BJ1766">
        <f>IF($A1766="","",IF(BH1766=1,$B1766,BJ1765))</f>
        <v>0</v>
      </c>
      <c r="BK1766">
        <f>IF($A1766="","",IF(BH1766=1,$C1766,MAX($C1766,BK1765)))</f>
        <v>0</v>
      </c>
      <c r="BL1766">
        <f>IF($A1766="","",IF(BH1766=1,$D1766,MIN($D1766,BL1765)))</f>
        <v>0</v>
      </c>
      <c r="BM1766">
        <f>IF($A1766="","",IF(BI1766=1,F1766,""))</f>
        <v>0</v>
      </c>
      <c r="BN1766">
        <f>IF($A1766="","",DATE(YEAR($A1766),MONTH($A1766),1))</f>
        <v>0</v>
      </c>
      <c r="BO1766">
        <f>IF($A1766="","",IF($A1765="",1,IF(BN1766&lt;&gt;BN1765,1,0)))</f>
        <v>0</v>
      </c>
      <c r="BP1766">
        <f>IF($A1766="","",IF($A1767="",1,IF(BN1767&lt;&gt;BN1766,1,0)))</f>
        <v>0</v>
      </c>
      <c r="BQ1766">
        <f>IF($A1766="","",IF(BO1766=1,$B1766,BQ1765))</f>
        <v>0</v>
      </c>
      <c r="BR1766">
        <f>IF($A1766="","",IF(BO1766=1,$C1766,MAX($C1766,BR1765)))</f>
        <v>0</v>
      </c>
      <c r="BS1766">
        <f>IF($A1766="","",IF(BO1766=1,$D1766,MIN($D1766,BS1765)))</f>
        <v>0</v>
      </c>
      <c r="BT1766">
        <f>IF($A1766="","",IF(BP1766=1,F1766,""))</f>
        <v>0</v>
      </c>
    </row>
    <row r="1767" spans="1:72">
      <c r="A1767" s="27">
        <f>IF(Data!$A1767="","",Data!$A1767)</f>
        <v>0</v>
      </c>
      <c r="B1767">
        <f>IF(Data!$B1767="","",Data!$B1767)</f>
        <v>0</v>
      </c>
      <c r="C1767">
        <f>IF(Data!$C1767="","",Data!$C1767)</f>
        <v>0</v>
      </c>
      <c r="D1767">
        <f>IF(Data!$D1767="","",Data!$D1767)</f>
        <v>0</v>
      </c>
      <c r="E1767">
        <f>IF(Data!$E1767="","",Data!$E1767)</f>
        <v>0</v>
      </c>
      <c r="F1767">
        <f>IF($E1767="","",N(F1766)+1)</f>
        <v>0</v>
      </c>
      <c r="G1767">
        <f>IF(OR($E1767="",$E1766=""),"",LN($E1767/$E1766))</f>
        <v>0</v>
      </c>
      <c r="H1767">
        <f>IF($E1767="","",IF($E1766="",$E1767,$E1767*0.0952380952+H1766*0.9047619048))</f>
        <v>0</v>
      </c>
      <c r="I1767">
        <f>IF($E1767="","",IF($E1766="",$E1767,$E1767*0.0392156863+I1766*0.9607843137))</f>
        <v>0</v>
      </c>
      <c r="J1767">
        <f>IF($E1767="","",IF($E1766="",$E1767,$E1767*0.0198019802+J1766*0.9801980198))</f>
        <v>0</v>
      </c>
      <c r="K1767">
        <f>IF($E1767="","",IF($E1766="",$E1767,$E1767*0.0099502488+K1766*0.9900497512))</f>
        <v>0</v>
      </c>
      <c r="L1767">
        <f>IF(OR($E1767="",$E1766=""),"",MAX($E1767-$E1766,0))</f>
        <v>0</v>
      </c>
      <c r="M1767">
        <f>IF(OR($E1767="",$E1766=""),"",MAX($E1766-$E1767,0))</f>
        <v>0</v>
      </c>
      <c r="N1767">
        <f>IF(COUNT($E$2:$E1767)&lt;15,"",IF(AVERAGE($M$1754:$M$1767)=0,100,100-100/(1+AVERAGE($L$1754:$L$1767)/AVERAGE($M$1754:$M$1767))))</f>
        <v>0</v>
      </c>
      <c r="O1767">
        <f>IF($E1767="","",IF($E1766="",$E1767,$E1767*0.1538461538+O1766*0.8461538462))</f>
        <v>0</v>
      </c>
      <c r="P1767">
        <f>IF($E1767="","",IF($E1766="",$E1767,$E1767*0.0740740741+P1766*0.9259259259))</f>
        <v>0</v>
      </c>
      <c r="Q1767">
        <f>IF(OR(O1767="",P1767=""),"",O1767-P1767)</f>
        <v>0</v>
      </c>
      <c r="R1767">
        <f>IF(Q1767="","",IF(R1766="",Q1767,Q1767*0.2000000000+R1766*0.8000000000))</f>
        <v>0</v>
      </c>
      <c r="S1767">
        <f>IF(OR(Q1767="",R1767=""),"",Q1767-R1767)</f>
        <v>0</v>
      </c>
      <c r="T1767">
        <f>IF(COUNT($E$2:$E1767)&lt;14,"",MAX($C$1754:$C$1767))</f>
        <v>0</v>
      </c>
      <c r="U1767">
        <f>IF(COUNT($E$2:$E1767)&lt;14,"",MIN($D$1754:$D$1767))</f>
        <v>0</v>
      </c>
      <c r="V1767">
        <f>IF(OR(T1767="",U1767="",T1767=U1767),"",100*($E1767-U1767)/(T1767-U1767))</f>
        <v>0</v>
      </c>
      <c r="W1767">
        <f>IF(COUNT($V$1765:$V$1767)&lt;3,"",AVERAGE($V$1765:$V$1767))</f>
        <v>0</v>
      </c>
      <c r="X1767">
        <f>IF(COUNT($N$1754:$N$1767)&lt;14,"",MIN($N$1754:$N$1767))</f>
        <v>0</v>
      </c>
      <c r="Y1767">
        <f>IF(COUNT($N$1754:$N$1767)&lt;14,"",MAX($N$1754:$N$1767))</f>
        <v>0</v>
      </c>
      <c r="Z1767">
        <f>IF(OR(N1767="",X1767="",Y1767="",Y1767=X1767),"",100*(N1767-X1767)/(Y1767-X1767))</f>
        <v>0</v>
      </c>
      <c r="AA1767">
        <f>IF(COUNT($Z$1765:$Z$1767)&lt;3,"",AVERAGE($Z$1765:$Z$1767))</f>
        <v>0</v>
      </c>
      <c r="AB1767">
        <f>IF(COUNT($AA$1765:$AA$1767)&lt;3,"",AVERAGE($AA$1765:$AA$1767))</f>
        <v>0</v>
      </c>
      <c r="AC1767">
        <f>IF($E1767="","",MAX($C1767-$D1767,ABS($C1767-$E1766),ABS($D1767-$E1766)))</f>
        <v>0</v>
      </c>
      <c r="AD1767">
        <f>IF(COUNT($E$2:$E1767)&lt;15,"",AVERAGE($AC$1754:$AC$1767))</f>
        <v>0</v>
      </c>
      <c r="AE1767">
        <f>IF(OR($E1767="",$E1766=""),"",IF(AND(($C1767-$C1766)&gt;($D1766-$D1767),($C1767-$C1766)&gt;0),$C1767-$C1766,0))</f>
        <v>0</v>
      </c>
      <c r="AF1767">
        <f>IF(OR($E1767="",$E1766=""),"",IF(AND(($D1766-$D1767)&gt;($C1767-$C1766),($D1766-$D1767)&gt;0),$D1766-$D1767,0))</f>
        <v>0</v>
      </c>
      <c r="AG1767">
        <f>IF(COUNT($E$2:$E1767)&lt;15,"",IF(SUM($AC$1754:$AC$1767)=0,0,100*SUM($AE$1754:$AE$1767)/SUM($AC$1754:$AC$1767)))</f>
        <v>0</v>
      </c>
      <c r="AH1767">
        <f>IF(COUNT($E$2:$E1767)&lt;15,"",IF(SUM($AC$1754:$AC$1767)=0,0,100*SUM($AF$1754:$AF$1767)/SUM($AC$1754:$AC$1767)))</f>
        <v>0</v>
      </c>
      <c r="AI1767">
        <f>IF(OR(AG1767="",AH1767=""),"",IF((AG1767+AH1767)=0,0,100*ABS(AG1767-AH1767)/(AG1767+AH1767)))</f>
        <v>0</v>
      </c>
      <c r="AJ1767">
        <f>IF(COUNT($AI$1754:$AI$1767)&lt;14,"",AVERAGE($AI$1754:$AI$1767))</f>
        <v>0</v>
      </c>
      <c r="AK1767">
        <f>IF(COUNT($E$2:$E1767)&lt;20,"",AVERAGE($E$1748:$E$1767))</f>
        <v>0</v>
      </c>
      <c r="AL1767">
        <f>IF(COUNT($E$2:$E1767)&lt;20,"",STDEVP($E$1748:$E$1767))</f>
        <v>0</v>
      </c>
      <c r="AM1767">
        <f>IF(AK1767="","",AK1767+2*AL1767)</f>
        <v>0</v>
      </c>
      <c r="AN1767">
        <f>IF(AK1767="","",AK1767-2*AL1767)</f>
        <v>0</v>
      </c>
      <c r="AO1767">
        <f>IF(OR(AM1767="",AN1767="",AM1767=AN1767),"",($E1767-AN1767)/(AM1767-AN1767))</f>
        <v>0</v>
      </c>
      <c r="AP1767">
        <f>IF(OR(AM1767="",AK1767="",AK1767=0),"",(AM1767-AN1767)/AK1767)</f>
        <v>0</v>
      </c>
      <c r="AQ1767">
        <f>IF(COUNT($E$2:$E1767)&lt;20,"",MAX($C$1748:$C$1767))</f>
        <v>0</v>
      </c>
      <c r="AR1767">
        <f>IF(COUNT($E$2:$E1767)&lt;20,"",MIN($D$1748:$D$1767))</f>
        <v>0</v>
      </c>
      <c r="AS1767">
        <f>IF(OR(AQ1767="",AR1767=""),"",(AQ1767+AR1767)/2)</f>
        <v>0</v>
      </c>
      <c r="AT1767">
        <f>IF(COUNT($G$1748:$G$1767)&lt;20,"",STDEV($G$1748:$G$1767)*SQRT(252))</f>
        <v>0</v>
      </c>
      <c r="AU1767">
        <f>IF(COUNT($E$2:$E1767)&lt;9,"",(MAX($C$1759:$C$1767)+MIN($D$1759:$D$1767))/2)</f>
        <v>0</v>
      </c>
      <c r="AV1767">
        <f>IF(COUNT($E$2:$E1767)&lt;26,"",(MAX($C$1742:$C$1767)+MIN($D$1742:$D$1767))/2)</f>
        <v>0</v>
      </c>
      <c r="AW1767">
        <f>IF(OR(AU1767="",AV1767=""),"",(AU1767+AV1767)/2)</f>
        <v>0</v>
      </c>
      <c r="AX1767">
        <f>IF(COUNT($E$2:$E1767)&lt;52,"",(MAX($C$1716:$C$1767)+MIN($D$1716:$D$1767))/2)</f>
        <v>0</v>
      </c>
      <c r="AY1767">
        <f>IF(COUNT($E$2:$E1767)&lt;20,"",MAX($C$1668:$C$1767))</f>
        <v>0</v>
      </c>
      <c r="AZ1767">
        <f>IF(COUNT($E$2:$E1767)&lt;20,"",MIN($D$1668:$D$1767))</f>
        <v>0</v>
      </c>
      <c r="BA1767">
        <f>IF(COUNT($E$2:$E1767)&lt;20,"",SLOPE($E$1668:$E$1767,$F$1668:$F$1767))</f>
        <v>0</v>
      </c>
      <c r="BB1767">
        <f>IF(COUNT($E$2:$E1767)&lt;20,"",INTERCEPT($E$1668:$E$1767,$F$1668:$F$1767))</f>
        <v>0</v>
      </c>
      <c r="BC1767">
        <f>IF(OR(BA1767="",BB1767=""),"",BB1767+BA1767*F1767)</f>
        <v>0</v>
      </c>
      <c r="BD1767">
        <f>IF(COUNT($E$2:$E1767)&lt;20,"",STEYX($E$1668:$E$1767,$F$1668:$F$1767))</f>
        <v>0</v>
      </c>
      <c r="BE1767">
        <f>IF($E1767="","",IF(AND(COUNT($E$1768:$E$1771)&gt;=4,$C1767=MAX($C$1763:$C$1771)),$C1767,""))</f>
        <v>0</v>
      </c>
      <c r="BF1767">
        <f>IF($E1767="","",IF(AND(COUNT($E$1768:$E$1771)&gt;=4,$D1767=MIN($D$1763:$D$1771)),$D1767,""))</f>
        <v>0</v>
      </c>
      <c r="BG1767">
        <f>IF($A1767="","",$A1767-WEEKDAY($A1767,2)+1)</f>
        <v>0</v>
      </c>
      <c r="BH1767">
        <f>IF($A1767="","",IF($A1766="",1,IF(BG1767&lt;&gt;BG1766,1,0)))</f>
        <v>0</v>
      </c>
      <c r="BI1767">
        <f>IF($A1767="","",IF($A1768="",1,IF(BG1768&lt;&gt;BG1767,1,0)))</f>
        <v>0</v>
      </c>
      <c r="BJ1767">
        <f>IF($A1767="","",IF(BH1767=1,$B1767,BJ1766))</f>
        <v>0</v>
      </c>
      <c r="BK1767">
        <f>IF($A1767="","",IF(BH1767=1,$C1767,MAX($C1767,BK1766)))</f>
        <v>0</v>
      </c>
      <c r="BL1767">
        <f>IF($A1767="","",IF(BH1767=1,$D1767,MIN($D1767,BL1766)))</f>
        <v>0</v>
      </c>
      <c r="BM1767">
        <f>IF($A1767="","",IF(BI1767=1,F1767,""))</f>
        <v>0</v>
      </c>
      <c r="BN1767">
        <f>IF($A1767="","",DATE(YEAR($A1767),MONTH($A1767),1))</f>
        <v>0</v>
      </c>
      <c r="BO1767">
        <f>IF($A1767="","",IF($A1766="",1,IF(BN1767&lt;&gt;BN1766,1,0)))</f>
        <v>0</v>
      </c>
      <c r="BP1767">
        <f>IF($A1767="","",IF($A1768="",1,IF(BN1768&lt;&gt;BN1767,1,0)))</f>
        <v>0</v>
      </c>
      <c r="BQ1767">
        <f>IF($A1767="","",IF(BO1767=1,$B1767,BQ1766))</f>
        <v>0</v>
      </c>
      <c r="BR1767">
        <f>IF($A1767="","",IF(BO1767=1,$C1767,MAX($C1767,BR1766)))</f>
        <v>0</v>
      </c>
      <c r="BS1767">
        <f>IF($A1767="","",IF(BO1767=1,$D1767,MIN($D1767,BS1766)))</f>
        <v>0</v>
      </c>
      <c r="BT1767">
        <f>IF($A1767="","",IF(BP1767=1,F1767,""))</f>
        <v>0</v>
      </c>
    </row>
    <row r="1768" spans="1:72">
      <c r="A1768" s="27">
        <f>IF(Data!$A1768="","",Data!$A1768)</f>
        <v>0</v>
      </c>
      <c r="B1768">
        <f>IF(Data!$B1768="","",Data!$B1768)</f>
        <v>0</v>
      </c>
      <c r="C1768">
        <f>IF(Data!$C1768="","",Data!$C1768)</f>
        <v>0</v>
      </c>
      <c r="D1768">
        <f>IF(Data!$D1768="","",Data!$D1768)</f>
        <v>0</v>
      </c>
      <c r="E1768">
        <f>IF(Data!$E1768="","",Data!$E1768)</f>
        <v>0</v>
      </c>
      <c r="F1768">
        <f>IF($E1768="","",N(F1767)+1)</f>
        <v>0</v>
      </c>
      <c r="G1768">
        <f>IF(OR($E1768="",$E1767=""),"",LN($E1768/$E1767))</f>
        <v>0</v>
      </c>
      <c r="H1768">
        <f>IF($E1768="","",IF($E1767="",$E1768,$E1768*0.0952380952+H1767*0.9047619048))</f>
        <v>0</v>
      </c>
      <c r="I1768">
        <f>IF($E1768="","",IF($E1767="",$E1768,$E1768*0.0392156863+I1767*0.9607843137))</f>
        <v>0</v>
      </c>
      <c r="J1768">
        <f>IF($E1768="","",IF($E1767="",$E1768,$E1768*0.0198019802+J1767*0.9801980198))</f>
        <v>0</v>
      </c>
      <c r="K1768">
        <f>IF($E1768="","",IF($E1767="",$E1768,$E1768*0.0099502488+K1767*0.9900497512))</f>
        <v>0</v>
      </c>
      <c r="L1768">
        <f>IF(OR($E1768="",$E1767=""),"",MAX($E1768-$E1767,0))</f>
        <v>0</v>
      </c>
      <c r="M1768">
        <f>IF(OR($E1768="",$E1767=""),"",MAX($E1767-$E1768,0))</f>
        <v>0</v>
      </c>
      <c r="N1768">
        <f>IF(COUNT($E$2:$E1768)&lt;15,"",IF(AVERAGE($M$1755:$M$1768)=0,100,100-100/(1+AVERAGE($L$1755:$L$1768)/AVERAGE($M$1755:$M$1768))))</f>
        <v>0</v>
      </c>
      <c r="O1768">
        <f>IF($E1768="","",IF($E1767="",$E1768,$E1768*0.1538461538+O1767*0.8461538462))</f>
        <v>0</v>
      </c>
      <c r="P1768">
        <f>IF($E1768="","",IF($E1767="",$E1768,$E1768*0.0740740741+P1767*0.9259259259))</f>
        <v>0</v>
      </c>
      <c r="Q1768">
        <f>IF(OR(O1768="",P1768=""),"",O1768-P1768)</f>
        <v>0</v>
      </c>
      <c r="R1768">
        <f>IF(Q1768="","",IF(R1767="",Q1768,Q1768*0.2000000000+R1767*0.8000000000))</f>
        <v>0</v>
      </c>
      <c r="S1768">
        <f>IF(OR(Q1768="",R1768=""),"",Q1768-R1768)</f>
        <v>0</v>
      </c>
      <c r="T1768">
        <f>IF(COUNT($E$2:$E1768)&lt;14,"",MAX($C$1755:$C$1768))</f>
        <v>0</v>
      </c>
      <c r="U1768">
        <f>IF(COUNT($E$2:$E1768)&lt;14,"",MIN($D$1755:$D$1768))</f>
        <v>0</v>
      </c>
      <c r="V1768">
        <f>IF(OR(T1768="",U1768="",T1768=U1768),"",100*($E1768-U1768)/(T1768-U1768))</f>
        <v>0</v>
      </c>
      <c r="W1768">
        <f>IF(COUNT($V$1766:$V$1768)&lt;3,"",AVERAGE($V$1766:$V$1768))</f>
        <v>0</v>
      </c>
      <c r="X1768">
        <f>IF(COUNT($N$1755:$N$1768)&lt;14,"",MIN($N$1755:$N$1768))</f>
        <v>0</v>
      </c>
      <c r="Y1768">
        <f>IF(COUNT($N$1755:$N$1768)&lt;14,"",MAX($N$1755:$N$1768))</f>
        <v>0</v>
      </c>
      <c r="Z1768">
        <f>IF(OR(N1768="",X1768="",Y1768="",Y1768=X1768),"",100*(N1768-X1768)/(Y1768-X1768))</f>
        <v>0</v>
      </c>
      <c r="AA1768">
        <f>IF(COUNT($Z$1766:$Z$1768)&lt;3,"",AVERAGE($Z$1766:$Z$1768))</f>
        <v>0</v>
      </c>
      <c r="AB1768">
        <f>IF(COUNT($AA$1766:$AA$1768)&lt;3,"",AVERAGE($AA$1766:$AA$1768))</f>
        <v>0</v>
      </c>
      <c r="AC1768">
        <f>IF($E1768="","",MAX($C1768-$D1768,ABS($C1768-$E1767),ABS($D1768-$E1767)))</f>
        <v>0</v>
      </c>
      <c r="AD1768">
        <f>IF(COUNT($E$2:$E1768)&lt;15,"",AVERAGE($AC$1755:$AC$1768))</f>
        <v>0</v>
      </c>
      <c r="AE1768">
        <f>IF(OR($E1768="",$E1767=""),"",IF(AND(($C1768-$C1767)&gt;($D1767-$D1768),($C1768-$C1767)&gt;0),$C1768-$C1767,0))</f>
        <v>0</v>
      </c>
      <c r="AF1768">
        <f>IF(OR($E1768="",$E1767=""),"",IF(AND(($D1767-$D1768)&gt;($C1768-$C1767),($D1767-$D1768)&gt;0),$D1767-$D1768,0))</f>
        <v>0</v>
      </c>
      <c r="AG1768">
        <f>IF(COUNT($E$2:$E1768)&lt;15,"",IF(SUM($AC$1755:$AC$1768)=0,0,100*SUM($AE$1755:$AE$1768)/SUM($AC$1755:$AC$1768)))</f>
        <v>0</v>
      </c>
      <c r="AH1768">
        <f>IF(COUNT($E$2:$E1768)&lt;15,"",IF(SUM($AC$1755:$AC$1768)=0,0,100*SUM($AF$1755:$AF$1768)/SUM($AC$1755:$AC$1768)))</f>
        <v>0</v>
      </c>
      <c r="AI1768">
        <f>IF(OR(AG1768="",AH1768=""),"",IF((AG1768+AH1768)=0,0,100*ABS(AG1768-AH1768)/(AG1768+AH1768)))</f>
        <v>0</v>
      </c>
      <c r="AJ1768">
        <f>IF(COUNT($AI$1755:$AI$1768)&lt;14,"",AVERAGE($AI$1755:$AI$1768))</f>
        <v>0</v>
      </c>
      <c r="AK1768">
        <f>IF(COUNT($E$2:$E1768)&lt;20,"",AVERAGE($E$1749:$E$1768))</f>
        <v>0</v>
      </c>
      <c r="AL1768">
        <f>IF(COUNT($E$2:$E1768)&lt;20,"",STDEVP($E$1749:$E$1768))</f>
        <v>0</v>
      </c>
      <c r="AM1768">
        <f>IF(AK1768="","",AK1768+2*AL1768)</f>
        <v>0</v>
      </c>
      <c r="AN1768">
        <f>IF(AK1768="","",AK1768-2*AL1768)</f>
        <v>0</v>
      </c>
      <c r="AO1768">
        <f>IF(OR(AM1768="",AN1768="",AM1768=AN1768),"",($E1768-AN1768)/(AM1768-AN1768))</f>
        <v>0</v>
      </c>
      <c r="AP1768">
        <f>IF(OR(AM1768="",AK1768="",AK1768=0),"",(AM1768-AN1768)/AK1768)</f>
        <v>0</v>
      </c>
      <c r="AQ1768">
        <f>IF(COUNT($E$2:$E1768)&lt;20,"",MAX($C$1749:$C$1768))</f>
        <v>0</v>
      </c>
      <c r="AR1768">
        <f>IF(COUNT($E$2:$E1768)&lt;20,"",MIN($D$1749:$D$1768))</f>
        <v>0</v>
      </c>
      <c r="AS1768">
        <f>IF(OR(AQ1768="",AR1768=""),"",(AQ1768+AR1768)/2)</f>
        <v>0</v>
      </c>
      <c r="AT1768">
        <f>IF(COUNT($G$1749:$G$1768)&lt;20,"",STDEV($G$1749:$G$1768)*SQRT(252))</f>
        <v>0</v>
      </c>
      <c r="AU1768">
        <f>IF(COUNT($E$2:$E1768)&lt;9,"",(MAX($C$1760:$C$1768)+MIN($D$1760:$D$1768))/2)</f>
        <v>0</v>
      </c>
      <c r="AV1768">
        <f>IF(COUNT($E$2:$E1768)&lt;26,"",(MAX($C$1743:$C$1768)+MIN($D$1743:$D$1768))/2)</f>
        <v>0</v>
      </c>
      <c r="AW1768">
        <f>IF(OR(AU1768="",AV1768=""),"",(AU1768+AV1768)/2)</f>
        <v>0</v>
      </c>
      <c r="AX1768">
        <f>IF(COUNT($E$2:$E1768)&lt;52,"",(MAX($C$1717:$C$1768)+MIN($D$1717:$D$1768))/2)</f>
        <v>0</v>
      </c>
      <c r="AY1768">
        <f>IF(COUNT($E$2:$E1768)&lt;20,"",MAX($C$1669:$C$1768))</f>
        <v>0</v>
      </c>
      <c r="AZ1768">
        <f>IF(COUNT($E$2:$E1768)&lt;20,"",MIN($D$1669:$D$1768))</f>
        <v>0</v>
      </c>
      <c r="BA1768">
        <f>IF(COUNT($E$2:$E1768)&lt;20,"",SLOPE($E$1669:$E$1768,$F$1669:$F$1768))</f>
        <v>0</v>
      </c>
      <c r="BB1768">
        <f>IF(COUNT($E$2:$E1768)&lt;20,"",INTERCEPT($E$1669:$E$1768,$F$1669:$F$1768))</f>
        <v>0</v>
      </c>
      <c r="BC1768">
        <f>IF(OR(BA1768="",BB1768=""),"",BB1768+BA1768*F1768)</f>
        <v>0</v>
      </c>
      <c r="BD1768">
        <f>IF(COUNT($E$2:$E1768)&lt;20,"",STEYX($E$1669:$E$1768,$F$1669:$F$1768))</f>
        <v>0</v>
      </c>
      <c r="BE1768">
        <f>IF($E1768="","",IF(AND(COUNT($E$1769:$E$1772)&gt;=4,$C1768=MAX($C$1764:$C$1772)),$C1768,""))</f>
        <v>0</v>
      </c>
      <c r="BF1768">
        <f>IF($E1768="","",IF(AND(COUNT($E$1769:$E$1772)&gt;=4,$D1768=MIN($D$1764:$D$1772)),$D1768,""))</f>
        <v>0</v>
      </c>
      <c r="BG1768">
        <f>IF($A1768="","",$A1768-WEEKDAY($A1768,2)+1)</f>
        <v>0</v>
      </c>
      <c r="BH1768">
        <f>IF($A1768="","",IF($A1767="",1,IF(BG1768&lt;&gt;BG1767,1,0)))</f>
        <v>0</v>
      </c>
      <c r="BI1768">
        <f>IF($A1768="","",IF($A1769="",1,IF(BG1769&lt;&gt;BG1768,1,0)))</f>
        <v>0</v>
      </c>
      <c r="BJ1768">
        <f>IF($A1768="","",IF(BH1768=1,$B1768,BJ1767))</f>
        <v>0</v>
      </c>
      <c r="BK1768">
        <f>IF($A1768="","",IF(BH1768=1,$C1768,MAX($C1768,BK1767)))</f>
        <v>0</v>
      </c>
      <c r="BL1768">
        <f>IF($A1768="","",IF(BH1768=1,$D1768,MIN($D1768,BL1767)))</f>
        <v>0</v>
      </c>
      <c r="BM1768">
        <f>IF($A1768="","",IF(BI1768=1,F1768,""))</f>
        <v>0</v>
      </c>
      <c r="BN1768">
        <f>IF($A1768="","",DATE(YEAR($A1768),MONTH($A1768),1))</f>
        <v>0</v>
      </c>
      <c r="BO1768">
        <f>IF($A1768="","",IF($A1767="",1,IF(BN1768&lt;&gt;BN1767,1,0)))</f>
        <v>0</v>
      </c>
      <c r="BP1768">
        <f>IF($A1768="","",IF($A1769="",1,IF(BN1769&lt;&gt;BN1768,1,0)))</f>
        <v>0</v>
      </c>
      <c r="BQ1768">
        <f>IF($A1768="","",IF(BO1768=1,$B1768,BQ1767))</f>
        <v>0</v>
      </c>
      <c r="BR1768">
        <f>IF($A1768="","",IF(BO1768=1,$C1768,MAX($C1768,BR1767)))</f>
        <v>0</v>
      </c>
      <c r="BS1768">
        <f>IF($A1768="","",IF(BO1768=1,$D1768,MIN($D1768,BS1767)))</f>
        <v>0</v>
      </c>
      <c r="BT1768">
        <f>IF($A1768="","",IF(BP1768=1,F1768,""))</f>
        <v>0</v>
      </c>
    </row>
    <row r="1769" spans="1:72">
      <c r="A1769" s="27">
        <f>IF(Data!$A1769="","",Data!$A1769)</f>
        <v>0</v>
      </c>
      <c r="B1769">
        <f>IF(Data!$B1769="","",Data!$B1769)</f>
        <v>0</v>
      </c>
      <c r="C1769">
        <f>IF(Data!$C1769="","",Data!$C1769)</f>
        <v>0</v>
      </c>
      <c r="D1769">
        <f>IF(Data!$D1769="","",Data!$D1769)</f>
        <v>0</v>
      </c>
      <c r="E1769">
        <f>IF(Data!$E1769="","",Data!$E1769)</f>
        <v>0</v>
      </c>
      <c r="F1769">
        <f>IF($E1769="","",N(F1768)+1)</f>
        <v>0</v>
      </c>
      <c r="G1769">
        <f>IF(OR($E1769="",$E1768=""),"",LN($E1769/$E1768))</f>
        <v>0</v>
      </c>
      <c r="H1769">
        <f>IF($E1769="","",IF($E1768="",$E1769,$E1769*0.0952380952+H1768*0.9047619048))</f>
        <v>0</v>
      </c>
      <c r="I1769">
        <f>IF($E1769="","",IF($E1768="",$E1769,$E1769*0.0392156863+I1768*0.9607843137))</f>
        <v>0</v>
      </c>
      <c r="J1769">
        <f>IF($E1769="","",IF($E1768="",$E1769,$E1769*0.0198019802+J1768*0.9801980198))</f>
        <v>0</v>
      </c>
      <c r="K1769">
        <f>IF($E1769="","",IF($E1768="",$E1769,$E1769*0.0099502488+K1768*0.9900497512))</f>
        <v>0</v>
      </c>
      <c r="L1769">
        <f>IF(OR($E1769="",$E1768=""),"",MAX($E1769-$E1768,0))</f>
        <v>0</v>
      </c>
      <c r="M1769">
        <f>IF(OR($E1769="",$E1768=""),"",MAX($E1768-$E1769,0))</f>
        <v>0</v>
      </c>
      <c r="N1769">
        <f>IF(COUNT($E$2:$E1769)&lt;15,"",IF(AVERAGE($M$1756:$M$1769)=0,100,100-100/(1+AVERAGE($L$1756:$L$1769)/AVERAGE($M$1756:$M$1769))))</f>
        <v>0</v>
      </c>
      <c r="O1769">
        <f>IF($E1769="","",IF($E1768="",$E1769,$E1769*0.1538461538+O1768*0.8461538462))</f>
        <v>0</v>
      </c>
      <c r="P1769">
        <f>IF($E1769="","",IF($E1768="",$E1769,$E1769*0.0740740741+P1768*0.9259259259))</f>
        <v>0</v>
      </c>
      <c r="Q1769">
        <f>IF(OR(O1769="",P1769=""),"",O1769-P1769)</f>
        <v>0</v>
      </c>
      <c r="R1769">
        <f>IF(Q1769="","",IF(R1768="",Q1769,Q1769*0.2000000000+R1768*0.8000000000))</f>
        <v>0</v>
      </c>
      <c r="S1769">
        <f>IF(OR(Q1769="",R1769=""),"",Q1769-R1769)</f>
        <v>0</v>
      </c>
      <c r="T1769">
        <f>IF(COUNT($E$2:$E1769)&lt;14,"",MAX($C$1756:$C$1769))</f>
        <v>0</v>
      </c>
      <c r="U1769">
        <f>IF(COUNT($E$2:$E1769)&lt;14,"",MIN($D$1756:$D$1769))</f>
        <v>0</v>
      </c>
      <c r="V1769">
        <f>IF(OR(T1769="",U1769="",T1769=U1769),"",100*($E1769-U1769)/(T1769-U1769))</f>
        <v>0</v>
      </c>
      <c r="W1769">
        <f>IF(COUNT($V$1767:$V$1769)&lt;3,"",AVERAGE($V$1767:$V$1769))</f>
        <v>0</v>
      </c>
      <c r="X1769">
        <f>IF(COUNT($N$1756:$N$1769)&lt;14,"",MIN($N$1756:$N$1769))</f>
        <v>0</v>
      </c>
      <c r="Y1769">
        <f>IF(COUNT($N$1756:$N$1769)&lt;14,"",MAX($N$1756:$N$1769))</f>
        <v>0</v>
      </c>
      <c r="Z1769">
        <f>IF(OR(N1769="",X1769="",Y1769="",Y1769=X1769),"",100*(N1769-X1769)/(Y1769-X1769))</f>
        <v>0</v>
      </c>
      <c r="AA1769">
        <f>IF(COUNT($Z$1767:$Z$1769)&lt;3,"",AVERAGE($Z$1767:$Z$1769))</f>
        <v>0</v>
      </c>
      <c r="AB1769">
        <f>IF(COUNT($AA$1767:$AA$1769)&lt;3,"",AVERAGE($AA$1767:$AA$1769))</f>
        <v>0</v>
      </c>
      <c r="AC1769">
        <f>IF($E1769="","",MAX($C1769-$D1769,ABS($C1769-$E1768),ABS($D1769-$E1768)))</f>
        <v>0</v>
      </c>
      <c r="AD1769">
        <f>IF(COUNT($E$2:$E1769)&lt;15,"",AVERAGE($AC$1756:$AC$1769))</f>
        <v>0</v>
      </c>
      <c r="AE1769">
        <f>IF(OR($E1769="",$E1768=""),"",IF(AND(($C1769-$C1768)&gt;($D1768-$D1769),($C1769-$C1768)&gt;0),$C1769-$C1768,0))</f>
        <v>0</v>
      </c>
      <c r="AF1769">
        <f>IF(OR($E1769="",$E1768=""),"",IF(AND(($D1768-$D1769)&gt;($C1769-$C1768),($D1768-$D1769)&gt;0),$D1768-$D1769,0))</f>
        <v>0</v>
      </c>
      <c r="AG1769">
        <f>IF(COUNT($E$2:$E1769)&lt;15,"",IF(SUM($AC$1756:$AC$1769)=0,0,100*SUM($AE$1756:$AE$1769)/SUM($AC$1756:$AC$1769)))</f>
        <v>0</v>
      </c>
      <c r="AH1769">
        <f>IF(COUNT($E$2:$E1769)&lt;15,"",IF(SUM($AC$1756:$AC$1769)=0,0,100*SUM($AF$1756:$AF$1769)/SUM($AC$1756:$AC$1769)))</f>
        <v>0</v>
      </c>
      <c r="AI1769">
        <f>IF(OR(AG1769="",AH1769=""),"",IF((AG1769+AH1769)=0,0,100*ABS(AG1769-AH1769)/(AG1769+AH1769)))</f>
        <v>0</v>
      </c>
      <c r="AJ1769">
        <f>IF(COUNT($AI$1756:$AI$1769)&lt;14,"",AVERAGE($AI$1756:$AI$1769))</f>
        <v>0</v>
      </c>
      <c r="AK1769">
        <f>IF(COUNT($E$2:$E1769)&lt;20,"",AVERAGE($E$1750:$E$1769))</f>
        <v>0</v>
      </c>
      <c r="AL1769">
        <f>IF(COUNT($E$2:$E1769)&lt;20,"",STDEVP($E$1750:$E$1769))</f>
        <v>0</v>
      </c>
      <c r="AM1769">
        <f>IF(AK1769="","",AK1769+2*AL1769)</f>
        <v>0</v>
      </c>
      <c r="AN1769">
        <f>IF(AK1769="","",AK1769-2*AL1769)</f>
        <v>0</v>
      </c>
      <c r="AO1769">
        <f>IF(OR(AM1769="",AN1769="",AM1769=AN1769),"",($E1769-AN1769)/(AM1769-AN1769))</f>
        <v>0</v>
      </c>
      <c r="AP1769">
        <f>IF(OR(AM1769="",AK1769="",AK1769=0),"",(AM1769-AN1769)/AK1769)</f>
        <v>0</v>
      </c>
      <c r="AQ1769">
        <f>IF(COUNT($E$2:$E1769)&lt;20,"",MAX($C$1750:$C$1769))</f>
        <v>0</v>
      </c>
      <c r="AR1769">
        <f>IF(COUNT($E$2:$E1769)&lt;20,"",MIN($D$1750:$D$1769))</f>
        <v>0</v>
      </c>
      <c r="AS1769">
        <f>IF(OR(AQ1769="",AR1769=""),"",(AQ1769+AR1769)/2)</f>
        <v>0</v>
      </c>
      <c r="AT1769">
        <f>IF(COUNT($G$1750:$G$1769)&lt;20,"",STDEV($G$1750:$G$1769)*SQRT(252))</f>
        <v>0</v>
      </c>
      <c r="AU1769">
        <f>IF(COUNT($E$2:$E1769)&lt;9,"",(MAX($C$1761:$C$1769)+MIN($D$1761:$D$1769))/2)</f>
        <v>0</v>
      </c>
      <c r="AV1769">
        <f>IF(COUNT($E$2:$E1769)&lt;26,"",(MAX($C$1744:$C$1769)+MIN($D$1744:$D$1769))/2)</f>
        <v>0</v>
      </c>
      <c r="AW1769">
        <f>IF(OR(AU1769="",AV1769=""),"",(AU1769+AV1769)/2)</f>
        <v>0</v>
      </c>
      <c r="AX1769">
        <f>IF(COUNT($E$2:$E1769)&lt;52,"",(MAX($C$1718:$C$1769)+MIN($D$1718:$D$1769))/2)</f>
        <v>0</v>
      </c>
      <c r="AY1769">
        <f>IF(COUNT($E$2:$E1769)&lt;20,"",MAX($C$1670:$C$1769))</f>
        <v>0</v>
      </c>
      <c r="AZ1769">
        <f>IF(COUNT($E$2:$E1769)&lt;20,"",MIN($D$1670:$D$1769))</f>
        <v>0</v>
      </c>
      <c r="BA1769">
        <f>IF(COUNT($E$2:$E1769)&lt;20,"",SLOPE($E$1670:$E$1769,$F$1670:$F$1769))</f>
        <v>0</v>
      </c>
      <c r="BB1769">
        <f>IF(COUNT($E$2:$E1769)&lt;20,"",INTERCEPT($E$1670:$E$1769,$F$1670:$F$1769))</f>
        <v>0</v>
      </c>
      <c r="BC1769">
        <f>IF(OR(BA1769="",BB1769=""),"",BB1769+BA1769*F1769)</f>
        <v>0</v>
      </c>
      <c r="BD1769">
        <f>IF(COUNT($E$2:$E1769)&lt;20,"",STEYX($E$1670:$E$1769,$F$1670:$F$1769))</f>
        <v>0</v>
      </c>
      <c r="BE1769">
        <f>IF($E1769="","",IF(AND(COUNT($E$1770:$E$1773)&gt;=4,$C1769=MAX($C$1765:$C$1773)),$C1769,""))</f>
        <v>0</v>
      </c>
      <c r="BF1769">
        <f>IF($E1769="","",IF(AND(COUNT($E$1770:$E$1773)&gt;=4,$D1769=MIN($D$1765:$D$1773)),$D1769,""))</f>
        <v>0</v>
      </c>
      <c r="BG1769">
        <f>IF($A1769="","",$A1769-WEEKDAY($A1769,2)+1)</f>
        <v>0</v>
      </c>
      <c r="BH1769">
        <f>IF($A1769="","",IF($A1768="",1,IF(BG1769&lt;&gt;BG1768,1,0)))</f>
        <v>0</v>
      </c>
      <c r="BI1769">
        <f>IF($A1769="","",IF($A1770="",1,IF(BG1770&lt;&gt;BG1769,1,0)))</f>
        <v>0</v>
      </c>
      <c r="BJ1769">
        <f>IF($A1769="","",IF(BH1769=1,$B1769,BJ1768))</f>
        <v>0</v>
      </c>
      <c r="BK1769">
        <f>IF($A1769="","",IF(BH1769=1,$C1769,MAX($C1769,BK1768)))</f>
        <v>0</v>
      </c>
      <c r="BL1769">
        <f>IF($A1769="","",IF(BH1769=1,$D1769,MIN($D1769,BL1768)))</f>
        <v>0</v>
      </c>
      <c r="BM1769">
        <f>IF($A1769="","",IF(BI1769=1,F1769,""))</f>
        <v>0</v>
      </c>
      <c r="BN1769">
        <f>IF($A1769="","",DATE(YEAR($A1769),MONTH($A1769),1))</f>
        <v>0</v>
      </c>
      <c r="BO1769">
        <f>IF($A1769="","",IF($A1768="",1,IF(BN1769&lt;&gt;BN1768,1,0)))</f>
        <v>0</v>
      </c>
      <c r="BP1769">
        <f>IF($A1769="","",IF($A1770="",1,IF(BN1770&lt;&gt;BN1769,1,0)))</f>
        <v>0</v>
      </c>
      <c r="BQ1769">
        <f>IF($A1769="","",IF(BO1769=1,$B1769,BQ1768))</f>
        <v>0</v>
      </c>
      <c r="BR1769">
        <f>IF($A1769="","",IF(BO1769=1,$C1769,MAX($C1769,BR1768)))</f>
        <v>0</v>
      </c>
      <c r="BS1769">
        <f>IF($A1769="","",IF(BO1769=1,$D1769,MIN($D1769,BS1768)))</f>
        <v>0</v>
      </c>
      <c r="BT1769">
        <f>IF($A1769="","",IF(BP1769=1,F1769,""))</f>
        <v>0</v>
      </c>
    </row>
    <row r="1770" spans="1:72">
      <c r="A1770" s="27">
        <f>IF(Data!$A1770="","",Data!$A1770)</f>
        <v>0</v>
      </c>
      <c r="B1770">
        <f>IF(Data!$B1770="","",Data!$B1770)</f>
        <v>0</v>
      </c>
      <c r="C1770">
        <f>IF(Data!$C1770="","",Data!$C1770)</f>
        <v>0</v>
      </c>
      <c r="D1770">
        <f>IF(Data!$D1770="","",Data!$D1770)</f>
        <v>0</v>
      </c>
      <c r="E1770">
        <f>IF(Data!$E1770="","",Data!$E1770)</f>
        <v>0</v>
      </c>
      <c r="F1770">
        <f>IF($E1770="","",N(F1769)+1)</f>
        <v>0</v>
      </c>
      <c r="G1770">
        <f>IF(OR($E1770="",$E1769=""),"",LN($E1770/$E1769))</f>
        <v>0</v>
      </c>
      <c r="H1770">
        <f>IF($E1770="","",IF($E1769="",$E1770,$E1770*0.0952380952+H1769*0.9047619048))</f>
        <v>0</v>
      </c>
      <c r="I1770">
        <f>IF($E1770="","",IF($E1769="",$E1770,$E1770*0.0392156863+I1769*0.9607843137))</f>
        <v>0</v>
      </c>
      <c r="J1770">
        <f>IF($E1770="","",IF($E1769="",$E1770,$E1770*0.0198019802+J1769*0.9801980198))</f>
        <v>0</v>
      </c>
      <c r="K1770">
        <f>IF($E1770="","",IF($E1769="",$E1770,$E1770*0.0099502488+K1769*0.9900497512))</f>
        <v>0</v>
      </c>
      <c r="L1770">
        <f>IF(OR($E1770="",$E1769=""),"",MAX($E1770-$E1769,0))</f>
        <v>0</v>
      </c>
      <c r="M1770">
        <f>IF(OR($E1770="",$E1769=""),"",MAX($E1769-$E1770,0))</f>
        <v>0</v>
      </c>
      <c r="N1770">
        <f>IF(COUNT($E$2:$E1770)&lt;15,"",IF(AVERAGE($M$1757:$M$1770)=0,100,100-100/(1+AVERAGE($L$1757:$L$1770)/AVERAGE($M$1757:$M$1770))))</f>
        <v>0</v>
      </c>
      <c r="O1770">
        <f>IF($E1770="","",IF($E1769="",$E1770,$E1770*0.1538461538+O1769*0.8461538462))</f>
        <v>0</v>
      </c>
      <c r="P1770">
        <f>IF($E1770="","",IF($E1769="",$E1770,$E1770*0.0740740741+P1769*0.9259259259))</f>
        <v>0</v>
      </c>
      <c r="Q1770">
        <f>IF(OR(O1770="",P1770=""),"",O1770-P1770)</f>
        <v>0</v>
      </c>
      <c r="R1770">
        <f>IF(Q1770="","",IF(R1769="",Q1770,Q1770*0.2000000000+R1769*0.8000000000))</f>
        <v>0</v>
      </c>
      <c r="S1770">
        <f>IF(OR(Q1770="",R1770=""),"",Q1770-R1770)</f>
        <v>0</v>
      </c>
      <c r="T1770">
        <f>IF(COUNT($E$2:$E1770)&lt;14,"",MAX($C$1757:$C$1770))</f>
        <v>0</v>
      </c>
      <c r="U1770">
        <f>IF(COUNT($E$2:$E1770)&lt;14,"",MIN($D$1757:$D$1770))</f>
        <v>0</v>
      </c>
      <c r="V1770">
        <f>IF(OR(T1770="",U1770="",T1770=U1770),"",100*($E1770-U1770)/(T1770-U1770))</f>
        <v>0</v>
      </c>
      <c r="W1770">
        <f>IF(COUNT($V$1768:$V$1770)&lt;3,"",AVERAGE($V$1768:$V$1770))</f>
        <v>0</v>
      </c>
      <c r="X1770">
        <f>IF(COUNT($N$1757:$N$1770)&lt;14,"",MIN($N$1757:$N$1770))</f>
        <v>0</v>
      </c>
      <c r="Y1770">
        <f>IF(COUNT($N$1757:$N$1770)&lt;14,"",MAX($N$1757:$N$1770))</f>
        <v>0</v>
      </c>
      <c r="Z1770">
        <f>IF(OR(N1770="",X1770="",Y1770="",Y1770=X1770),"",100*(N1770-X1770)/(Y1770-X1770))</f>
        <v>0</v>
      </c>
      <c r="AA1770">
        <f>IF(COUNT($Z$1768:$Z$1770)&lt;3,"",AVERAGE($Z$1768:$Z$1770))</f>
        <v>0</v>
      </c>
      <c r="AB1770">
        <f>IF(COUNT($AA$1768:$AA$1770)&lt;3,"",AVERAGE($AA$1768:$AA$1770))</f>
        <v>0</v>
      </c>
      <c r="AC1770">
        <f>IF($E1770="","",MAX($C1770-$D1770,ABS($C1770-$E1769),ABS($D1770-$E1769)))</f>
        <v>0</v>
      </c>
      <c r="AD1770">
        <f>IF(COUNT($E$2:$E1770)&lt;15,"",AVERAGE($AC$1757:$AC$1770))</f>
        <v>0</v>
      </c>
      <c r="AE1770">
        <f>IF(OR($E1770="",$E1769=""),"",IF(AND(($C1770-$C1769)&gt;($D1769-$D1770),($C1770-$C1769)&gt;0),$C1770-$C1769,0))</f>
        <v>0</v>
      </c>
      <c r="AF1770">
        <f>IF(OR($E1770="",$E1769=""),"",IF(AND(($D1769-$D1770)&gt;($C1770-$C1769),($D1769-$D1770)&gt;0),$D1769-$D1770,0))</f>
        <v>0</v>
      </c>
      <c r="AG1770">
        <f>IF(COUNT($E$2:$E1770)&lt;15,"",IF(SUM($AC$1757:$AC$1770)=0,0,100*SUM($AE$1757:$AE$1770)/SUM($AC$1757:$AC$1770)))</f>
        <v>0</v>
      </c>
      <c r="AH1770">
        <f>IF(COUNT($E$2:$E1770)&lt;15,"",IF(SUM($AC$1757:$AC$1770)=0,0,100*SUM($AF$1757:$AF$1770)/SUM($AC$1757:$AC$1770)))</f>
        <v>0</v>
      </c>
      <c r="AI1770">
        <f>IF(OR(AG1770="",AH1770=""),"",IF((AG1770+AH1770)=0,0,100*ABS(AG1770-AH1770)/(AG1770+AH1770)))</f>
        <v>0</v>
      </c>
      <c r="AJ1770">
        <f>IF(COUNT($AI$1757:$AI$1770)&lt;14,"",AVERAGE($AI$1757:$AI$1770))</f>
        <v>0</v>
      </c>
      <c r="AK1770">
        <f>IF(COUNT($E$2:$E1770)&lt;20,"",AVERAGE($E$1751:$E$1770))</f>
        <v>0</v>
      </c>
      <c r="AL1770">
        <f>IF(COUNT($E$2:$E1770)&lt;20,"",STDEVP($E$1751:$E$1770))</f>
        <v>0</v>
      </c>
      <c r="AM1770">
        <f>IF(AK1770="","",AK1770+2*AL1770)</f>
        <v>0</v>
      </c>
      <c r="AN1770">
        <f>IF(AK1770="","",AK1770-2*AL1770)</f>
        <v>0</v>
      </c>
      <c r="AO1770">
        <f>IF(OR(AM1770="",AN1770="",AM1770=AN1770),"",($E1770-AN1770)/(AM1770-AN1770))</f>
        <v>0</v>
      </c>
      <c r="AP1770">
        <f>IF(OR(AM1770="",AK1770="",AK1770=0),"",(AM1770-AN1770)/AK1770)</f>
        <v>0</v>
      </c>
      <c r="AQ1770">
        <f>IF(COUNT($E$2:$E1770)&lt;20,"",MAX($C$1751:$C$1770))</f>
        <v>0</v>
      </c>
      <c r="AR1770">
        <f>IF(COUNT($E$2:$E1770)&lt;20,"",MIN($D$1751:$D$1770))</f>
        <v>0</v>
      </c>
      <c r="AS1770">
        <f>IF(OR(AQ1770="",AR1770=""),"",(AQ1770+AR1770)/2)</f>
        <v>0</v>
      </c>
      <c r="AT1770">
        <f>IF(COUNT($G$1751:$G$1770)&lt;20,"",STDEV($G$1751:$G$1770)*SQRT(252))</f>
        <v>0</v>
      </c>
      <c r="AU1770">
        <f>IF(COUNT($E$2:$E1770)&lt;9,"",(MAX($C$1762:$C$1770)+MIN($D$1762:$D$1770))/2)</f>
        <v>0</v>
      </c>
      <c r="AV1770">
        <f>IF(COUNT($E$2:$E1770)&lt;26,"",(MAX($C$1745:$C$1770)+MIN($D$1745:$D$1770))/2)</f>
        <v>0</v>
      </c>
      <c r="AW1770">
        <f>IF(OR(AU1770="",AV1770=""),"",(AU1770+AV1770)/2)</f>
        <v>0</v>
      </c>
      <c r="AX1770">
        <f>IF(COUNT($E$2:$E1770)&lt;52,"",(MAX($C$1719:$C$1770)+MIN($D$1719:$D$1770))/2)</f>
        <v>0</v>
      </c>
      <c r="AY1770">
        <f>IF(COUNT($E$2:$E1770)&lt;20,"",MAX($C$1671:$C$1770))</f>
        <v>0</v>
      </c>
      <c r="AZ1770">
        <f>IF(COUNT($E$2:$E1770)&lt;20,"",MIN($D$1671:$D$1770))</f>
        <v>0</v>
      </c>
      <c r="BA1770">
        <f>IF(COUNT($E$2:$E1770)&lt;20,"",SLOPE($E$1671:$E$1770,$F$1671:$F$1770))</f>
        <v>0</v>
      </c>
      <c r="BB1770">
        <f>IF(COUNT($E$2:$E1770)&lt;20,"",INTERCEPT($E$1671:$E$1770,$F$1671:$F$1770))</f>
        <v>0</v>
      </c>
      <c r="BC1770">
        <f>IF(OR(BA1770="",BB1770=""),"",BB1770+BA1770*F1770)</f>
        <v>0</v>
      </c>
      <c r="BD1770">
        <f>IF(COUNT($E$2:$E1770)&lt;20,"",STEYX($E$1671:$E$1770,$F$1671:$F$1770))</f>
        <v>0</v>
      </c>
      <c r="BE1770">
        <f>IF($E1770="","",IF(AND(COUNT($E$1771:$E$1774)&gt;=4,$C1770=MAX($C$1766:$C$1774)),$C1770,""))</f>
        <v>0</v>
      </c>
      <c r="BF1770">
        <f>IF($E1770="","",IF(AND(COUNT($E$1771:$E$1774)&gt;=4,$D1770=MIN($D$1766:$D$1774)),$D1770,""))</f>
        <v>0</v>
      </c>
      <c r="BG1770">
        <f>IF($A1770="","",$A1770-WEEKDAY($A1770,2)+1)</f>
        <v>0</v>
      </c>
      <c r="BH1770">
        <f>IF($A1770="","",IF($A1769="",1,IF(BG1770&lt;&gt;BG1769,1,0)))</f>
        <v>0</v>
      </c>
      <c r="BI1770">
        <f>IF($A1770="","",IF($A1771="",1,IF(BG1771&lt;&gt;BG1770,1,0)))</f>
        <v>0</v>
      </c>
      <c r="BJ1770">
        <f>IF($A1770="","",IF(BH1770=1,$B1770,BJ1769))</f>
        <v>0</v>
      </c>
      <c r="BK1770">
        <f>IF($A1770="","",IF(BH1770=1,$C1770,MAX($C1770,BK1769)))</f>
        <v>0</v>
      </c>
      <c r="BL1770">
        <f>IF($A1770="","",IF(BH1770=1,$D1770,MIN($D1770,BL1769)))</f>
        <v>0</v>
      </c>
      <c r="BM1770">
        <f>IF($A1770="","",IF(BI1770=1,F1770,""))</f>
        <v>0</v>
      </c>
      <c r="BN1770">
        <f>IF($A1770="","",DATE(YEAR($A1770),MONTH($A1770),1))</f>
        <v>0</v>
      </c>
      <c r="BO1770">
        <f>IF($A1770="","",IF($A1769="",1,IF(BN1770&lt;&gt;BN1769,1,0)))</f>
        <v>0</v>
      </c>
      <c r="BP1770">
        <f>IF($A1770="","",IF($A1771="",1,IF(BN1771&lt;&gt;BN1770,1,0)))</f>
        <v>0</v>
      </c>
      <c r="BQ1770">
        <f>IF($A1770="","",IF(BO1770=1,$B1770,BQ1769))</f>
        <v>0</v>
      </c>
      <c r="BR1770">
        <f>IF($A1770="","",IF(BO1770=1,$C1770,MAX($C1770,BR1769)))</f>
        <v>0</v>
      </c>
      <c r="BS1770">
        <f>IF($A1770="","",IF(BO1770=1,$D1770,MIN($D1770,BS1769)))</f>
        <v>0</v>
      </c>
      <c r="BT1770">
        <f>IF($A1770="","",IF(BP1770=1,F1770,""))</f>
        <v>0</v>
      </c>
    </row>
    <row r="1771" spans="1:72">
      <c r="A1771" s="27">
        <f>IF(Data!$A1771="","",Data!$A1771)</f>
        <v>0</v>
      </c>
      <c r="B1771">
        <f>IF(Data!$B1771="","",Data!$B1771)</f>
        <v>0</v>
      </c>
      <c r="C1771">
        <f>IF(Data!$C1771="","",Data!$C1771)</f>
        <v>0</v>
      </c>
      <c r="D1771">
        <f>IF(Data!$D1771="","",Data!$D1771)</f>
        <v>0</v>
      </c>
      <c r="E1771">
        <f>IF(Data!$E1771="","",Data!$E1771)</f>
        <v>0</v>
      </c>
      <c r="F1771">
        <f>IF($E1771="","",N(F1770)+1)</f>
        <v>0</v>
      </c>
      <c r="G1771">
        <f>IF(OR($E1771="",$E1770=""),"",LN($E1771/$E1770))</f>
        <v>0</v>
      </c>
      <c r="H1771">
        <f>IF($E1771="","",IF($E1770="",$E1771,$E1771*0.0952380952+H1770*0.9047619048))</f>
        <v>0</v>
      </c>
      <c r="I1771">
        <f>IF($E1771="","",IF($E1770="",$E1771,$E1771*0.0392156863+I1770*0.9607843137))</f>
        <v>0</v>
      </c>
      <c r="J1771">
        <f>IF($E1771="","",IF($E1770="",$E1771,$E1771*0.0198019802+J1770*0.9801980198))</f>
        <v>0</v>
      </c>
      <c r="K1771">
        <f>IF($E1771="","",IF($E1770="",$E1771,$E1771*0.0099502488+K1770*0.9900497512))</f>
        <v>0</v>
      </c>
      <c r="L1771">
        <f>IF(OR($E1771="",$E1770=""),"",MAX($E1771-$E1770,0))</f>
        <v>0</v>
      </c>
      <c r="M1771">
        <f>IF(OR($E1771="",$E1770=""),"",MAX($E1770-$E1771,0))</f>
        <v>0</v>
      </c>
      <c r="N1771">
        <f>IF(COUNT($E$2:$E1771)&lt;15,"",IF(AVERAGE($M$1758:$M$1771)=0,100,100-100/(1+AVERAGE($L$1758:$L$1771)/AVERAGE($M$1758:$M$1771))))</f>
        <v>0</v>
      </c>
      <c r="O1771">
        <f>IF($E1771="","",IF($E1770="",$E1771,$E1771*0.1538461538+O1770*0.8461538462))</f>
        <v>0</v>
      </c>
      <c r="P1771">
        <f>IF($E1771="","",IF($E1770="",$E1771,$E1771*0.0740740741+P1770*0.9259259259))</f>
        <v>0</v>
      </c>
      <c r="Q1771">
        <f>IF(OR(O1771="",P1771=""),"",O1771-P1771)</f>
        <v>0</v>
      </c>
      <c r="R1771">
        <f>IF(Q1771="","",IF(R1770="",Q1771,Q1771*0.2000000000+R1770*0.8000000000))</f>
        <v>0</v>
      </c>
      <c r="S1771">
        <f>IF(OR(Q1771="",R1771=""),"",Q1771-R1771)</f>
        <v>0</v>
      </c>
      <c r="T1771">
        <f>IF(COUNT($E$2:$E1771)&lt;14,"",MAX($C$1758:$C$1771))</f>
        <v>0</v>
      </c>
      <c r="U1771">
        <f>IF(COUNT($E$2:$E1771)&lt;14,"",MIN($D$1758:$D$1771))</f>
        <v>0</v>
      </c>
      <c r="V1771">
        <f>IF(OR(T1771="",U1771="",T1771=U1771),"",100*($E1771-U1771)/(T1771-U1771))</f>
        <v>0</v>
      </c>
      <c r="W1771">
        <f>IF(COUNT($V$1769:$V$1771)&lt;3,"",AVERAGE($V$1769:$V$1771))</f>
        <v>0</v>
      </c>
      <c r="X1771">
        <f>IF(COUNT($N$1758:$N$1771)&lt;14,"",MIN($N$1758:$N$1771))</f>
        <v>0</v>
      </c>
      <c r="Y1771">
        <f>IF(COUNT($N$1758:$N$1771)&lt;14,"",MAX($N$1758:$N$1771))</f>
        <v>0</v>
      </c>
      <c r="Z1771">
        <f>IF(OR(N1771="",X1771="",Y1771="",Y1771=X1771),"",100*(N1771-X1771)/(Y1771-X1771))</f>
        <v>0</v>
      </c>
      <c r="AA1771">
        <f>IF(COUNT($Z$1769:$Z$1771)&lt;3,"",AVERAGE($Z$1769:$Z$1771))</f>
        <v>0</v>
      </c>
      <c r="AB1771">
        <f>IF(COUNT($AA$1769:$AA$1771)&lt;3,"",AVERAGE($AA$1769:$AA$1771))</f>
        <v>0</v>
      </c>
      <c r="AC1771">
        <f>IF($E1771="","",MAX($C1771-$D1771,ABS($C1771-$E1770),ABS($D1771-$E1770)))</f>
        <v>0</v>
      </c>
      <c r="AD1771">
        <f>IF(COUNT($E$2:$E1771)&lt;15,"",AVERAGE($AC$1758:$AC$1771))</f>
        <v>0</v>
      </c>
      <c r="AE1771">
        <f>IF(OR($E1771="",$E1770=""),"",IF(AND(($C1771-$C1770)&gt;($D1770-$D1771),($C1771-$C1770)&gt;0),$C1771-$C1770,0))</f>
        <v>0</v>
      </c>
      <c r="AF1771">
        <f>IF(OR($E1771="",$E1770=""),"",IF(AND(($D1770-$D1771)&gt;($C1771-$C1770),($D1770-$D1771)&gt;0),$D1770-$D1771,0))</f>
        <v>0</v>
      </c>
      <c r="AG1771">
        <f>IF(COUNT($E$2:$E1771)&lt;15,"",IF(SUM($AC$1758:$AC$1771)=0,0,100*SUM($AE$1758:$AE$1771)/SUM($AC$1758:$AC$1771)))</f>
        <v>0</v>
      </c>
      <c r="AH1771">
        <f>IF(COUNT($E$2:$E1771)&lt;15,"",IF(SUM($AC$1758:$AC$1771)=0,0,100*SUM($AF$1758:$AF$1771)/SUM($AC$1758:$AC$1771)))</f>
        <v>0</v>
      </c>
      <c r="AI1771">
        <f>IF(OR(AG1771="",AH1771=""),"",IF((AG1771+AH1771)=0,0,100*ABS(AG1771-AH1771)/(AG1771+AH1771)))</f>
        <v>0</v>
      </c>
      <c r="AJ1771">
        <f>IF(COUNT($AI$1758:$AI$1771)&lt;14,"",AVERAGE($AI$1758:$AI$1771))</f>
        <v>0</v>
      </c>
      <c r="AK1771">
        <f>IF(COUNT($E$2:$E1771)&lt;20,"",AVERAGE($E$1752:$E$1771))</f>
        <v>0</v>
      </c>
      <c r="AL1771">
        <f>IF(COUNT($E$2:$E1771)&lt;20,"",STDEVP($E$1752:$E$1771))</f>
        <v>0</v>
      </c>
      <c r="AM1771">
        <f>IF(AK1771="","",AK1771+2*AL1771)</f>
        <v>0</v>
      </c>
      <c r="AN1771">
        <f>IF(AK1771="","",AK1771-2*AL1771)</f>
        <v>0</v>
      </c>
      <c r="AO1771">
        <f>IF(OR(AM1771="",AN1771="",AM1771=AN1771),"",($E1771-AN1771)/(AM1771-AN1771))</f>
        <v>0</v>
      </c>
      <c r="AP1771">
        <f>IF(OR(AM1771="",AK1771="",AK1771=0),"",(AM1771-AN1771)/AK1771)</f>
        <v>0</v>
      </c>
      <c r="AQ1771">
        <f>IF(COUNT($E$2:$E1771)&lt;20,"",MAX($C$1752:$C$1771))</f>
        <v>0</v>
      </c>
      <c r="AR1771">
        <f>IF(COUNT($E$2:$E1771)&lt;20,"",MIN($D$1752:$D$1771))</f>
        <v>0</v>
      </c>
      <c r="AS1771">
        <f>IF(OR(AQ1771="",AR1771=""),"",(AQ1771+AR1771)/2)</f>
        <v>0</v>
      </c>
      <c r="AT1771">
        <f>IF(COUNT($G$1752:$G$1771)&lt;20,"",STDEV($G$1752:$G$1771)*SQRT(252))</f>
        <v>0</v>
      </c>
      <c r="AU1771">
        <f>IF(COUNT($E$2:$E1771)&lt;9,"",(MAX($C$1763:$C$1771)+MIN($D$1763:$D$1771))/2)</f>
        <v>0</v>
      </c>
      <c r="AV1771">
        <f>IF(COUNT($E$2:$E1771)&lt;26,"",(MAX($C$1746:$C$1771)+MIN($D$1746:$D$1771))/2)</f>
        <v>0</v>
      </c>
      <c r="AW1771">
        <f>IF(OR(AU1771="",AV1771=""),"",(AU1771+AV1771)/2)</f>
        <v>0</v>
      </c>
      <c r="AX1771">
        <f>IF(COUNT($E$2:$E1771)&lt;52,"",(MAX($C$1720:$C$1771)+MIN($D$1720:$D$1771))/2)</f>
        <v>0</v>
      </c>
      <c r="AY1771">
        <f>IF(COUNT($E$2:$E1771)&lt;20,"",MAX($C$1672:$C$1771))</f>
        <v>0</v>
      </c>
      <c r="AZ1771">
        <f>IF(COUNT($E$2:$E1771)&lt;20,"",MIN($D$1672:$D$1771))</f>
        <v>0</v>
      </c>
      <c r="BA1771">
        <f>IF(COUNT($E$2:$E1771)&lt;20,"",SLOPE($E$1672:$E$1771,$F$1672:$F$1771))</f>
        <v>0</v>
      </c>
      <c r="BB1771">
        <f>IF(COUNT($E$2:$E1771)&lt;20,"",INTERCEPT($E$1672:$E$1771,$F$1672:$F$1771))</f>
        <v>0</v>
      </c>
      <c r="BC1771">
        <f>IF(OR(BA1771="",BB1771=""),"",BB1771+BA1771*F1771)</f>
        <v>0</v>
      </c>
      <c r="BD1771">
        <f>IF(COUNT($E$2:$E1771)&lt;20,"",STEYX($E$1672:$E$1771,$F$1672:$F$1771))</f>
        <v>0</v>
      </c>
      <c r="BE1771">
        <f>IF($E1771="","",IF(AND(COUNT($E$1772:$E$1775)&gt;=4,$C1771=MAX($C$1767:$C$1775)),$C1771,""))</f>
        <v>0</v>
      </c>
      <c r="BF1771">
        <f>IF($E1771="","",IF(AND(COUNT($E$1772:$E$1775)&gt;=4,$D1771=MIN($D$1767:$D$1775)),$D1771,""))</f>
        <v>0</v>
      </c>
      <c r="BG1771">
        <f>IF($A1771="","",$A1771-WEEKDAY($A1771,2)+1)</f>
        <v>0</v>
      </c>
      <c r="BH1771">
        <f>IF($A1771="","",IF($A1770="",1,IF(BG1771&lt;&gt;BG1770,1,0)))</f>
        <v>0</v>
      </c>
      <c r="BI1771">
        <f>IF($A1771="","",IF($A1772="",1,IF(BG1772&lt;&gt;BG1771,1,0)))</f>
        <v>0</v>
      </c>
      <c r="BJ1771">
        <f>IF($A1771="","",IF(BH1771=1,$B1771,BJ1770))</f>
        <v>0</v>
      </c>
      <c r="BK1771">
        <f>IF($A1771="","",IF(BH1771=1,$C1771,MAX($C1771,BK1770)))</f>
        <v>0</v>
      </c>
      <c r="BL1771">
        <f>IF($A1771="","",IF(BH1771=1,$D1771,MIN($D1771,BL1770)))</f>
        <v>0</v>
      </c>
      <c r="BM1771">
        <f>IF($A1771="","",IF(BI1771=1,F1771,""))</f>
        <v>0</v>
      </c>
      <c r="BN1771">
        <f>IF($A1771="","",DATE(YEAR($A1771),MONTH($A1771),1))</f>
        <v>0</v>
      </c>
      <c r="BO1771">
        <f>IF($A1771="","",IF($A1770="",1,IF(BN1771&lt;&gt;BN1770,1,0)))</f>
        <v>0</v>
      </c>
      <c r="BP1771">
        <f>IF($A1771="","",IF($A1772="",1,IF(BN1772&lt;&gt;BN1771,1,0)))</f>
        <v>0</v>
      </c>
      <c r="BQ1771">
        <f>IF($A1771="","",IF(BO1771=1,$B1771,BQ1770))</f>
        <v>0</v>
      </c>
      <c r="BR1771">
        <f>IF($A1771="","",IF(BO1771=1,$C1771,MAX($C1771,BR1770)))</f>
        <v>0</v>
      </c>
      <c r="BS1771">
        <f>IF($A1771="","",IF(BO1771=1,$D1771,MIN($D1771,BS1770)))</f>
        <v>0</v>
      </c>
      <c r="BT1771">
        <f>IF($A1771="","",IF(BP1771=1,F1771,""))</f>
        <v>0</v>
      </c>
    </row>
    <row r="1772" spans="1:72">
      <c r="A1772" s="27">
        <f>IF(Data!$A1772="","",Data!$A1772)</f>
        <v>0</v>
      </c>
      <c r="B1772">
        <f>IF(Data!$B1772="","",Data!$B1772)</f>
        <v>0</v>
      </c>
      <c r="C1772">
        <f>IF(Data!$C1772="","",Data!$C1772)</f>
        <v>0</v>
      </c>
      <c r="D1772">
        <f>IF(Data!$D1772="","",Data!$D1772)</f>
        <v>0</v>
      </c>
      <c r="E1772">
        <f>IF(Data!$E1772="","",Data!$E1772)</f>
        <v>0</v>
      </c>
      <c r="F1772">
        <f>IF($E1772="","",N(F1771)+1)</f>
        <v>0</v>
      </c>
      <c r="G1772">
        <f>IF(OR($E1772="",$E1771=""),"",LN($E1772/$E1771))</f>
        <v>0</v>
      </c>
      <c r="H1772">
        <f>IF($E1772="","",IF($E1771="",$E1772,$E1772*0.0952380952+H1771*0.9047619048))</f>
        <v>0</v>
      </c>
      <c r="I1772">
        <f>IF($E1772="","",IF($E1771="",$E1772,$E1772*0.0392156863+I1771*0.9607843137))</f>
        <v>0</v>
      </c>
      <c r="J1772">
        <f>IF($E1772="","",IF($E1771="",$E1772,$E1772*0.0198019802+J1771*0.9801980198))</f>
        <v>0</v>
      </c>
      <c r="K1772">
        <f>IF($E1772="","",IF($E1771="",$E1772,$E1772*0.0099502488+K1771*0.9900497512))</f>
        <v>0</v>
      </c>
      <c r="L1772">
        <f>IF(OR($E1772="",$E1771=""),"",MAX($E1772-$E1771,0))</f>
        <v>0</v>
      </c>
      <c r="M1772">
        <f>IF(OR($E1772="",$E1771=""),"",MAX($E1771-$E1772,0))</f>
        <v>0</v>
      </c>
      <c r="N1772">
        <f>IF(COUNT($E$2:$E1772)&lt;15,"",IF(AVERAGE($M$1759:$M$1772)=0,100,100-100/(1+AVERAGE($L$1759:$L$1772)/AVERAGE($M$1759:$M$1772))))</f>
        <v>0</v>
      </c>
      <c r="O1772">
        <f>IF($E1772="","",IF($E1771="",$E1772,$E1772*0.1538461538+O1771*0.8461538462))</f>
        <v>0</v>
      </c>
      <c r="P1772">
        <f>IF($E1772="","",IF($E1771="",$E1772,$E1772*0.0740740741+P1771*0.9259259259))</f>
        <v>0</v>
      </c>
      <c r="Q1772">
        <f>IF(OR(O1772="",P1772=""),"",O1772-P1772)</f>
        <v>0</v>
      </c>
      <c r="R1772">
        <f>IF(Q1772="","",IF(R1771="",Q1772,Q1772*0.2000000000+R1771*0.8000000000))</f>
        <v>0</v>
      </c>
      <c r="S1772">
        <f>IF(OR(Q1772="",R1772=""),"",Q1772-R1772)</f>
        <v>0</v>
      </c>
      <c r="T1772">
        <f>IF(COUNT($E$2:$E1772)&lt;14,"",MAX($C$1759:$C$1772))</f>
        <v>0</v>
      </c>
      <c r="U1772">
        <f>IF(COUNT($E$2:$E1772)&lt;14,"",MIN($D$1759:$D$1772))</f>
        <v>0</v>
      </c>
      <c r="V1772">
        <f>IF(OR(T1772="",U1772="",T1772=U1772),"",100*($E1772-U1772)/(T1772-U1772))</f>
        <v>0</v>
      </c>
      <c r="W1772">
        <f>IF(COUNT($V$1770:$V$1772)&lt;3,"",AVERAGE($V$1770:$V$1772))</f>
        <v>0</v>
      </c>
      <c r="X1772">
        <f>IF(COUNT($N$1759:$N$1772)&lt;14,"",MIN($N$1759:$N$1772))</f>
        <v>0</v>
      </c>
      <c r="Y1772">
        <f>IF(COUNT($N$1759:$N$1772)&lt;14,"",MAX($N$1759:$N$1772))</f>
        <v>0</v>
      </c>
      <c r="Z1772">
        <f>IF(OR(N1772="",X1772="",Y1772="",Y1772=X1772),"",100*(N1772-X1772)/(Y1772-X1772))</f>
        <v>0</v>
      </c>
      <c r="AA1772">
        <f>IF(COUNT($Z$1770:$Z$1772)&lt;3,"",AVERAGE($Z$1770:$Z$1772))</f>
        <v>0</v>
      </c>
      <c r="AB1772">
        <f>IF(COUNT($AA$1770:$AA$1772)&lt;3,"",AVERAGE($AA$1770:$AA$1772))</f>
        <v>0</v>
      </c>
      <c r="AC1772">
        <f>IF($E1772="","",MAX($C1772-$D1772,ABS($C1772-$E1771),ABS($D1772-$E1771)))</f>
        <v>0</v>
      </c>
      <c r="AD1772">
        <f>IF(COUNT($E$2:$E1772)&lt;15,"",AVERAGE($AC$1759:$AC$1772))</f>
        <v>0</v>
      </c>
      <c r="AE1772">
        <f>IF(OR($E1772="",$E1771=""),"",IF(AND(($C1772-$C1771)&gt;($D1771-$D1772),($C1772-$C1771)&gt;0),$C1772-$C1771,0))</f>
        <v>0</v>
      </c>
      <c r="AF1772">
        <f>IF(OR($E1772="",$E1771=""),"",IF(AND(($D1771-$D1772)&gt;($C1772-$C1771),($D1771-$D1772)&gt;0),$D1771-$D1772,0))</f>
        <v>0</v>
      </c>
      <c r="AG1772">
        <f>IF(COUNT($E$2:$E1772)&lt;15,"",IF(SUM($AC$1759:$AC$1772)=0,0,100*SUM($AE$1759:$AE$1772)/SUM($AC$1759:$AC$1772)))</f>
        <v>0</v>
      </c>
      <c r="AH1772">
        <f>IF(COUNT($E$2:$E1772)&lt;15,"",IF(SUM($AC$1759:$AC$1772)=0,0,100*SUM($AF$1759:$AF$1772)/SUM($AC$1759:$AC$1772)))</f>
        <v>0</v>
      </c>
      <c r="AI1772">
        <f>IF(OR(AG1772="",AH1772=""),"",IF((AG1772+AH1772)=0,0,100*ABS(AG1772-AH1772)/(AG1772+AH1772)))</f>
        <v>0</v>
      </c>
      <c r="AJ1772">
        <f>IF(COUNT($AI$1759:$AI$1772)&lt;14,"",AVERAGE($AI$1759:$AI$1772))</f>
        <v>0</v>
      </c>
      <c r="AK1772">
        <f>IF(COUNT($E$2:$E1772)&lt;20,"",AVERAGE($E$1753:$E$1772))</f>
        <v>0</v>
      </c>
      <c r="AL1772">
        <f>IF(COUNT($E$2:$E1772)&lt;20,"",STDEVP($E$1753:$E$1772))</f>
        <v>0</v>
      </c>
      <c r="AM1772">
        <f>IF(AK1772="","",AK1772+2*AL1772)</f>
        <v>0</v>
      </c>
      <c r="AN1772">
        <f>IF(AK1772="","",AK1772-2*AL1772)</f>
        <v>0</v>
      </c>
      <c r="AO1772">
        <f>IF(OR(AM1772="",AN1772="",AM1772=AN1772),"",($E1772-AN1772)/(AM1772-AN1772))</f>
        <v>0</v>
      </c>
      <c r="AP1772">
        <f>IF(OR(AM1772="",AK1772="",AK1772=0),"",(AM1772-AN1772)/AK1772)</f>
        <v>0</v>
      </c>
      <c r="AQ1772">
        <f>IF(COUNT($E$2:$E1772)&lt;20,"",MAX($C$1753:$C$1772))</f>
        <v>0</v>
      </c>
      <c r="AR1772">
        <f>IF(COUNT($E$2:$E1772)&lt;20,"",MIN($D$1753:$D$1772))</f>
        <v>0</v>
      </c>
      <c r="AS1772">
        <f>IF(OR(AQ1772="",AR1772=""),"",(AQ1772+AR1772)/2)</f>
        <v>0</v>
      </c>
      <c r="AT1772">
        <f>IF(COUNT($G$1753:$G$1772)&lt;20,"",STDEV($G$1753:$G$1772)*SQRT(252))</f>
        <v>0</v>
      </c>
      <c r="AU1772">
        <f>IF(COUNT($E$2:$E1772)&lt;9,"",(MAX($C$1764:$C$1772)+MIN($D$1764:$D$1772))/2)</f>
        <v>0</v>
      </c>
      <c r="AV1772">
        <f>IF(COUNT($E$2:$E1772)&lt;26,"",(MAX($C$1747:$C$1772)+MIN($D$1747:$D$1772))/2)</f>
        <v>0</v>
      </c>
      <c r="AW1772">
        <f>IF(OR(AU1772="",AV1772=""),"",(AU1772+AV1772)/2)</f>
        <v>0</v>
      </c>
      <c r="AX1772">
        <f>IF(COUNT($E$2:$E1772)&lt;52,"",(MAX($C$1721:$C$1772)+MIN($D$1721:$D$1772))/2)</f>
        <v>0</v>
      </c>
      <c r="AY1772">
        <f>IF(COUNT($E$2:$E1772)&lt;20,"",MAX($C$1673:$C$1772))</f>
        <v>0</v>
      </c>
      <c r="AZ1772">
        <f>IF(COUNT($E$2:$E1772)&lt;20,"",MIN($D$1673:$D$1772))</f>
        <v>0</v>
      </c>
      <c r="BA1772">
        <f>IF(COUNT($E$2:$E1772)&lt;20,"",SLOPE($E$1673:$E$1772,$F$1673:$F$1772))</f>
        <v>0</v>
      </c>
      <c r="BB1772">
        <f>IF(COUNT($E$2:$E1772)&lt;20,"",INTERCEPT($E$1673:$E$1772,$F$1673:$F$1772))</f>
        <v>0</v>
      </c>
      <c r="BC1772">
        <f>IF(OR(BA1772="",BB1772=""),"",BB1772+BA1772*F1772)</f>
        <v>0</v>
      </c>
      <c r="BD1772">
        <f>IF(COUNT($E$2:$E1772)&lt;20,"",STEYX($E$1673:$E$1772,$F$1673:$F$1772))</f>
        <v>0</v>
      </c>
      <c r="BE1772">
        <f>IF($E1772="","",IF(AND(COUNT($E$1773:$E$1776)&gt;=4,$C1772=MAX($C$1768:$C$1776)),$C1772,""))</f>
        <v>0</v>
      </c>
      <c r="BF1772">
        <f>IF($E1772="","",IF(AND(COUNT($E$1773:$E$1776)&gt;=4,$D1772=MIN($D$1768:$D$1776)),$D1772,""))</f>
        <v>0</v>
      </c>
      <c r="BG1772">
        <f>IF($A1772="","",$A1772-WEEKDAY($A1772,2)+1)</f>
        <v>0</v>
      </c>
      <c r="BH1772">
        <f>IF($A1772="","",IF($A1771="",1,IF(BG1772&lt;&gt;BG1771,1,0)))</f>
        <v>0</v>
      </c>
      <c r="BI1772">
        <f>IF($A1772="","",IF($A1773="",1,IF(BG1773&lt;&gt;BG1772,1,0)))</f>
        <v>0</v>
      </c>
      <c r="BJ1772">
        <f>IF($A1772="","",IF(BH1772=1,$B1772,BJ1771))</f>
        <v>0</v>
      </c>
      <c r="BK1772">
        <f>IF($A1772="","",IF(BH1772=1,$C1772,MAX($C1772,BK1771)))</f>
        <v>0</v>
      </c>
      <c r="BL1772">
        <f>IF($A1772="","",IF(BH1772=1,$D1772,MIN($D1772,BL1771)))</f>
        <v>0</v>
      </c>
      <c r="BM1772">
        <f>IF($A1772="","",IF(BI1772=1,F1772,""))</f>
        <v>0</v>
      </c>
      <c r="BN1772">
        <f>IF($A1772="","",DATE(YEAR($A1772),MONTH($A1772),1))</f>
        <v>0</v>
      </c>
      <c r="BO1772">
        <f>IF($A1772="","",IF($A1771="",1,IF(BN1772&lt;&gt;BN1771,1,0)))</f>
        <v>0</v>
      </c>
      <c r="BP1772">
        <f>IF($A1772="","",IF($A1773="",1,IF(BN1773&lt;&gt;BN1772,1,0)))</f>
        <v>0</v>
      </c>
      <c r="BQ1772">
        <f>IF($A1772="","",IF(BO1772=1,$B1772,BQ1771))</f>
        <v>0</v>
      </c>
      <c r="BR1772">
        <f>IF($A1772="","",IF(BO1772=1,$C1772,MAX($C1772,BR1771)))</f>
        <v>0</v>
      </c>
      <c r="BS1772">
        <f>IF($A1772="","",IF(BO1772=1,$D1772,MIN($D1772,BS1771)))</f>
        <v>0</v>
      </c>
      <c r="BT1772">
        <f>IF($A1772="","",IF(BP1772=1,F1772,""))</f>
        <v>0</v>
      </c>
    </row>
    <row r="1773" spans="1:72">
      <c r="A1773" s="27">
        <f>IF(Data!$A1773="","",Data!$A1773)</f>
        <v>0</v>
      </c>
      <c r="B1773">
        <f>IF(Data!$B1773="","",Data!$B1773)</f>
        <v>0</v>
      </c>
      <c r="C1773">
        <f>IF(Data!$C1773="","",Data!$C1773)</f>
        <v>0</v>
      </c>
      <c r="D1773">
        <f>IF(Data!$D1773="","",Data!$D1773)</f>
        <v>0</v>
      </c>
      <c r="E1773">
        <f>IF(Data!$E1773="","",Data!$E1773)</f>
        <v>0</v>
      </c>
      <c r="F1773">
        <f>IF($E1773="","",N(F1772)+1)</f>
        <v>0</v>
      </c>
      <c r="G1773">
        <f>IF(OR($E1773="",$E1772=""),"",LN($E1773/$E1772))</f>
        <v>0</v>
      </c>
      <c r="H1773">
        <f>IF($E1773="","",IF($E1772="",$E1773,$E1773*0.0952380952+H1772*0.9047619048))</f>
        <v>0</v>
      </c>
      <c r="I1773">
        <f>IF($E1773="","",IF($E1772="",$E1773,$E1773*0.0392156863+I1772*0.9607843137))</f>
        <v>0</v>
      </c>
      <c r="J1773">
        <f>IF($E1773="","",IF($E1772="",$E1773,$E1773*0.0198019802+J1772*0.9801980198))</f>
        <v>0</v>
      </c>
      <c r="K1773">
        <f>IF($E1773="","",IF($E1772="",$E1773,$E1773*0.0099502488+K1772*0.9900497512))</f>
        <v>0</v>
      </c>
      <c r="L1773">
        <f>IF(OR($E1773="",$E1772=""),"",MAX($E1773-$E1772,0))</f>
        <v>0</v>
      </c>
      <c r="M1773">
        <f>IF(OR($E1773="",$E1772=""),"",MAX($E1772-$E1773,0))</f>
        <v>0</v>
      </c>
      <c r="N1773">
        <f>IF(COUNT($E$2:$E1773)&lt;15,"",IF(AVERAGE($M$1760:$M$1773)=0,100,100-100/(1+AVERAGE($L$1760:$L$1773)/AVERAGE($M$1760:$M$1773))))</f>
        <v>0</v>
      </c>
      <c r="O1773">
        <f>IF($E1773="","",IF($E1772="",$E1773,$E1773*0.1538461538+O1772*0.8461538462))</f>
        <v>0</v>
      </c>
      <c r="P1773">
        <f>IF($E1773="","",IF($E1772="",$E1773,$E1773*0.0740740741+P1772*0.9259259259))</f>
        <v>0</v>
      </c>
      <c r="Q1773">
        <f>IF(OR(O1773="",P1773=""),"",O1773-P1773)</f>
        <v>0</v>
      </c>
      <c r="R1773">
        <f>IF(Q1773="","",IF(R1772="",Q1773,Q1773*0.2000000000+R1772*0.8000000000))</f>
        <v>0</v>
      </c>
      <c r="S1773">
        <f>IF(OR(Q1773="",R1773=""),"",Q1773-R1773)</f>
        <v>0</v>
      </c>
      <c r="T1773">
        <f>IF(COUNT($E$2:$E1773)&lt;14,"",MAX($C$1760:$C$1773))</f>
        <v>0</v>
      </c>
      <c r="U1773">
        <f>IF(COUNT($E$2:$E1773)&lt;14,"",MIN($D$1760:$D$1773))</f>
        <v>0</v>
      </c>
      <c r="V1773">
        <f>IF(OR(T1773="",U1773="",T1773=U1773),"",100*($E1773-U1773)/(T1773-U1773))</f>
        <v>0</v>
      </c>
      <c r="W1773">
        <f>IF(COUNT($V$1771:$V$1773)&lt;3,"",AVERAGE($V$1771:$V$1773))</f>
        <v>0</v>
      </c>
      <c r="X1773">
        <f>IF(COUNT($N$1760:$N$1773)&lt;14,"",MIN($N$1760:$N$1773))</f>
        <v>0</v>
      </c>
      <c r="Y1773">
        <f>IF(COUNT($N$1760:$N$1773)&lt;14,"",MAX($N$1760:$N$1773))</f>
        <v>0</v>
      </c>
      <c r="Z1773">
        <f>IF(OR(N1773="",X1773="",Y1773="",Y1773=X1773),"",100*(N1773-X1773)/(Y1773-X1773))</f>
        <v>0</v>
      </c>
      <c r="AA1773">
        <f>IF(COUNT($Z$1771:$Z$1773)&lt;3,"",AVERAGE($Z$1771:$Z$1773))</f>
        <v>0</v>
      </c>
      <c r="AB1773">
        <f>IF(COUNT($AA$1771:$AA$1773)&lt;3,"",AVERAGE($AA$1771:$AA$1773))</f>
        <v>0</v>
      </c>
      <c r="AC1773">
        <f>IF($E1773="","",MAX($C1773-$D1773,ABS($C1773-$E1772),ABS($D1773-$E1772)))</f>
        <v>0</v>
      </c>
      <c r="AD1773">
        <f>IF(COUNT($E$2:$E1773)&lt;15,"",AVERAGE($AC$1760:$AC$1773))</f>
        <v>0</v>
      </c>
      <c r="AE1773">
        <f>IF(OR($E1773="",$E1772=""),"",IF(AND(($C1773-$C1772)&gt;($D1772-$D1773),($C1773-$C1772)&gt;0),$C1773-$C1772,0))</f>
        <v>0</v>
      </c>
      <c r="AF1773">
        <f>IF(OR($E1773="",$E1772=""),"",IF(AND(($D1772-$D1773)&gt;($C1773-$C1772),($D1772-$D1773)&gt;0),$D1772-$D1773,0))</f>
        <v>0</v>
      </c>
      <c r="AG1773">
        <f>IF(COUNT($E$2:$E1773)&lt;15,"",IF(SUM($AC$1760:$AC$1773)=0,0,100*SUM($AE$1760:$AE$1773)/SUM($AC$1760:$AC$1773)))</f>
        <v>0</v>
      </c>
      <c r="AH1773">
        <f>IF(COUNT($E$2:$E1773)&lt;15,"",IF(SUM($AC$1760:$AC$1773)=0,0,100*SUM($AF$1760:$AF$1773)/SUM($AC$1760:$AC$1773)))</f>
        <v>0</v>
      </c>
      <c r="AI1773">
        <f>IF(OR(AG1773="",AH1773=""),"",IF((AG1773+AH1773)=0,0,100*ABS(AG1773-AH1773)/(AG1773+AH1773)))</f>
        <v>0</v>
      </c>
      <c r="AJ1773">
        <f>IF(COUNT($AI$1760:$AI$1773)&lt;14,"",AVERAGE($AI$1760:$AI$1773))</f>
        <v>0</v>
      </c>
      <c r="AK1773">
        <f>IF(COUNT($E$2:$E1773)&lt;20,"",AVERAGE($E$1754:$E$1773))</f>
        <v>0</v>
      </c>
      <c r="AL1773">
        <f>IF(COUNT($E$2:$E1773)&lt;20,"",STDEVP($E$1754:$E$1773))</f>
        <v>0</v>
      </c>
      <c r="AM1773">
        <f>IF(AK1773="","",AK1773+2*AL1773)</f>
        <v>0</v>
      </c>
      <c r="AN1773">
        <f>IF(AK1773="","",AK1773-2*AL1773)</f>
        <v>0</v>
      </c>
      <c r="AO1773">
        <f>IF(OR(AM1773="",AN1773="",AM1773=AN1773),"",($E1773-AN1773)/(AM1773-AN1773))</f>
        <v>0</v>
      </c>
      <c r="AP1773">
        <f>IF(OR(AM1773="",AK1773="",AK1773=0),"",(AM1773-AN1773)/AK1773)</f>
        <v>0</v>
      </c>
      <c r="AQ1773">
        <f>IF(COUNT($E$2:$E1773)&lt;20,"",MAX($C$1754:$C$1773))</f>
        <v>0</v>
      </c>
      <c r="AR1773">
        <f>IF(COUNT($E$2:$E1773)&lt;20,"",MIN($D$1754:$D$1773))</f>
        <v>0</v>
      </c>
      <c r="AS1773">
        <f>IF(OR(AQ1773="",AR1773=""),"",(AQ1773+AR1773)/2)</f>
        <v>0</v>
      </c>
      <c r="AT1773">
        <f>IF(COUNT($G$1754:$G$1773)&lt;20,"",STDEV($G$1754:$G$1773)*SQRT(252))</f>
        <v>0</v>
      </c>
      <c r="AU1773">
        <f>IF(COUNT($E$2:$E1773)&lt;9,"",(MAX($C$1765:$C$1773)+MIN($D$1765:$D$1773))/2)</f>
        <v>0</v>
      </c>
      <c r="AV1773">
        <f>IF(COUNT($E$2:$E1773)&lt;26,"",(MAX($C$1748:$C$1773)+MIN($D$1748:$D$1773))/2)</f>
        <v>0</v>
      </c>
      <c r="AW1773">
        <f>IF(OR(AU1773="",AV1773=""),"",(AU1773+AV1773)/2)</f>
        <v>0</v>
      </c>
      <c r="AX1773">
        <f>IF(COUNT($E$2:$E1773)&lt;52,"",(MAX($C$1722:$C$1773)+MIN($D$1722:$D$1773))/2)</f>
        <v>0</v>
      </c>
      <c r="AY1773">
        <f>IF(COUNT($E$2:$E1773)&lt;20,"",MAX($C$1674:$C$1773))</f>
        <v>0</v>
      </c>
      <c r="AZ1773">
        <f>IF(COUNT($E$2:$E1773)&lt;20,"",MIN($D$1674:$D$1773))</f>
        <v>0</v>
      </c>
      <c r="BA1773">
        <f>IF(COUNT($E$2:$E1773)&lt;20,"",SLOPE($E$1674:$E$1773,$F$1674:$F$1773))</f>
        <v>0</v>
      </c>
      <c r="BB1773">
        <f>IF(COUNT($E$2:$E1773)&lt;20,"",INTERCEPT($E$1674:$E$1773,$F$1674:$F$1773))</f>
        <v>0</v>
      </c>
      <c r="BC1773">
        <f>IF(OR(BA1773="",BB1773=""),"",BB1773+BA1773*F1773)</f>
        <v>0</v>
      </c>
      <c r="BD1773">
        <f>IF(COUNT($E$2:$E1773)&lt;20,"",STEYX($E$1674:$E$1773,$F$1674:$F$1773))</f>
        <v>0</v>
      </c>
      <c r="BE1773">
        <f>IF($E1773="","",IF(AND(COUNT($E$1774:$E$1777)&gt;=4,$C1773=MAX($C$1769:$C$1777)),$C1773,""))</f>
        <v>0</v>
      </c>
      <c r="BF1773">
        <f>IF($E1773="","",IF(AND(COUNT($E$1774:$E$1777)&gt;=4,$D1773=MIN($D$1769:$D$1777)),$D1773,""))</f>
        <v>0</v>
      </c>
      <c r="BG1773">
        <f>IF($A1773="","",$A1773-WEEKDAY($A1773,2)+1)</f>
        <v>0</v>
      </c>
      <c r="BH1773">
        <f>IF($A1773="","",IF($A1772="",1,IF(BG1773&lt;&gt;BG1772,1,0)))</f>
        <v>0</v>
      </c>
      <c r="BI1773">
        <f>IF($A1773="","",IF($A1774="",1,IF(BG1774&lt;&gt;BG1773,1,0)))</f>
        <v>0</v>
      </c>
      <c r="BJ1773">
        <f>IF($A1773="","",IF(BH1773=1,$B1773,BJ1772))</f>
        <v>0</v>
      </c>
      <c r="BK1773">
        <f>IF($A1773="","",IF(BH1773=1,$C1773,MAX($C1773,BK1772)))</f>
        <v>0</v>
      </c>
      <c r="BL1773">
        <f>IF($A1773="","",IF(BH1773=1,$D1773,MIN($D1773,BL1772)))</f>
        <v>0</v>
      </c>
      <c r="BM1773">
        <f>IF($A1773="","",IF(BI1773=1,F1773,""))</f>
        <v>0</v>
      </c>
      <c r="BN1773">
        <f>IF($A1773="","",DATE(YEAR($A1773),MONTH($A1773),1))</f>
        <v>0</v>
      </c>
      <c r="BO1773">
        <f>IF($A1773="","",IF($A1772="",1,IF(BN1773&lt;&gt;BN1772,1,0)))</f>
        <v>0</v>
      </c>
      <c r="BP1773">
        <f>IF($A1773="","",IF($A1774="",1,IF(BN1774&lt;&gt;BN1773,1,0)))</f>
        <v>0</v>
      </c>
      <c r="BQ1773">
        <f>IF($A1773="","",IF(BO1773=1,$B1773,BQ1772))</f>
        <v>0</v>
      </c>
      <c r="BR1773">
        <f>IF($A1773="","",IF(BO1773=1,$C1773,MAX($C1773,BR1772)))</f>
        <v>0</v>
      </c>
      <c r="BS1773">
        <f>IF($A1773="","",IF(BO1773=1,$D1773,MIN($D1773,BS1772)))</f>
        <v>0</v>
      </c>
      <c r="BT1773">
        <f>IF($A1773="","",IF(BP1773=1,F1773,""))</f>
        <v>0</v>
      </c>
    </row>
    <row r="1774" spans="1:72">
      <c r="A1774" s="27">
        <f>IF(Data!$A1774="","",Data!$A1774)</f>
        <v>0</v>
      </c>
      <c r="B1774">
        <f>IF(Data!$B1774="","",Data!$B1774)</f>
        <v>0</v>
      </c>
      <c r="C1774">
        <f>IF(Data!$C1774="","",Data!$C1774)</f>
        <v>0</v>
      </c>
      <c r="D1774">
        <f>IF(Data!$D1774="","",Data!$D1774)</f>
        <v>0</v>
      </c>
      <c r="E1774">
        <f>IF(Data!$E1774="","",Data!$E1774)</f>
        <v>0</v>
      </c>
      <c r="F1774">
        <f>IF($E1774="","",N(F1773)+1)</f>
        <v>0</v>
      </c>
      <c r="G1774">
        <f>IF(OR($E1774="",$E1773=""),"",LN($E1774/$E1773))</f>
        <v>0</v>
      </c>
      <c r="H1774">
        <f>IF($E1774="","",IF($E1773="",$E1774,$E1774*0.0952380952+H1773*0.9047619048))</f>
        <v>0</v>
      </c>
      <c r="I1774">
        <f>IF($E1774="","",IF($E1773="",$E1774,$E1774*0.0392156863+I1773*0.9607843137))</f>
        <v>0</v>
      </c>
      <c r="J1774">
        <f>IF($E1774="","",IF($E1773="",$E1774,$E1774*0.0198019802+J1773*0.9801980198))</f>
        <v>0</v>
      </c>
      <c r="K1774">
        <f>IF($E1774="","",IF($E1773="",$E1774,$E1774*0.0099502488+K1773*0.9900497512))</f>
        <v>0</v>
      </c>
      <c r="L1774">
        <f>IF(OR($E1774="",$E1773=""),"",MAX($E1774-$E1773,0))</f>
        <v>0</v>
      </c>
      <c r="M1774">
        <f>IF(OR($E1774="",$E1773=""),"",MAX($E1773-$E1774,0))</f>
        <v>0</v>
      </c>
      <c r="N1774">
        <f>IF(COUNT($E$2:$E1774)&lt;15,"",IF(AVERAGE($M$1761:$M$1774)=0,100,100-100/(1+AVERAGE($L$1761:$L$1774)/AVERAGE($M$1761:$M$1774))))</f>
        <v>0</v>
      </c>
      <c r="O1774">
        <f>IF($E1774="","",IF($E1773="",$E1774,$E1774*0.1538461538+O1773*0.8461538462))</f>
        <v>0</v>
      </c>
      <c r="P1774">
        <f>IF($E1774="","",IF($E1773="",$E1774,$E1774*0.0740740741+P1773*0.9259259259))</f>
        <v>0</v>
      </c>
      <c r="Q1774">
        <f>IF(OR(O1774="",P1774=""),"",O1774-P1774)</f>
        <v>0</v>
      </c>
      <c r="R1774">
        <f>IF(Q1774="","",IF(R1773="",Q1774,Q1774*0.2000000000+R1773*0.8000000000))</f>
        <v>0</v>
      </c>
      <c r="S1774">
        <f>IF(OR(Q1774="",R1774=""),"",Q1774-R1774)</f>
        <v>0</v>
      </c>
      <c r="T1774">
        <f>IF(COUNT($E$2:$E1774)&lt;14,"",MAX($C$1761:$C$1774))</f>
        <v>0</v>
      </c>
      <c r="U1774">
        <f>IF(COUNT($E$2:$E1774)&lt;14,"",MIN($D$1761:$D$1774))</f>
        <v>0</v>
      </c>
      <c r="V1774">
        <f>IF(OR(T1774="",U1774="",T1774=U1774),"",100*($E1774-U1774)/(T1774-U1774))</f>
        <v>0</v>
      </c>
      <c r="W1774">
        <f>IF(COUNT($V$1772:$V$1774)&lt;3,"",AVERAGE($V$1772:$V$1774))</f>
        <v>0</v>
      </c>
      <c r="X1774">
        <f>IF(COUNT($N$1761:$N$1774)&lt;14,"",MIN($N$1761:$N$1774))</f>
        <v>0</v>
      </c>
      <c r="Y1774">
        <f>IF(COUNT($N$1761:$N$1774)&lt;14,"",MAX($N$1761:$N$1774))</f>
        <v>0</v>
      </c>
      <c r="Z1774">
        <f>IF(OR(N1774="",X1774="",Y1774="",Y1774=X1774),"",100*(N1774-X1774)/(Y1774-X1774))</f>
        <v>0</v>
      </c>
      <c r="AA1774">
        <f>IF(COUNT($Z$1772:$Z$1774)&lt;3,"",AVERAGE($Z$1772:$Z$1774))</f>
        <v>0</v>
      </c>
      <c r="AB1774">
        <f>IF(COUNT($AA$1772:$AA$1774)&lt;3,"",AVERAGE($AA$1772:$AA$1774))</f>
        <v>0</v>
      </c>
      <c r="AC1774">
        <f>IF($E1774="","",MAX($C1774-$D1774,ABS($C1774-$E1773),ABS($D1774-$E1773)))</f>
        <v>0</v>
      </c>
      <c r="AD1774">
        <f>IF(COUNT($E$2:$E1774)&lt;15,"",AVERAGE($AC$1761:$AC$1774))</f>
        <v>0</v>
      </c>
      <c r="AE1774">
        <f>IF(OR($E1774="",$E1773=""),"",IF(AND(($C1774-$C1773)&gt;($D1773-$D1774),($C1774-$C1773)&gt;0),$C1774-$C1773,0))</f>
        <v>0</v>
      </c>
      <c r="AF1774">
        <f>IF(OR($E1774="",$E1773=""),"",IF(AND(($D1773-$D1774)&gt;($C1774-$C1773),($D1773-$D1774)&gt;0),$D1773-$D1774,0))</f>
        <v>0</v>
      </c>
      <c r="AG1774">
        <f>IF(COUNT($E$2:$E1774)&lt;15,"",IF(SUM($AC$1761:$AC$1774)=0,0,100*SUM($AE$1761:$AE$1774)/SUM($AC$1761:$AC$1774)))</f>
        <v>0</v>
      </c>
      <c r="AH1774">
        <f>IF(COUNT($E$2:$E1774)&lt;15,"",IF(SUM($AC$1761:$AC$1774)=0,0,100*SUM($AF$1761:$AF$1774)/SUM($AC$1761:$AC$1774)))</f>
        <v>0</v>
      </c>
      <c r="AI1774">
        <f>IF(OR(AG1774="",AH1774=""),"",IF((AG1774+AH1774)=0,0,100*ABS(AG1774-AH1774)/(AG1774+AH1774)))</f>
        <v>0</v>
      </c>
      <c r="AJ1774">
        <f>IF(COUNT($AI$1761:$AI$1774)&lt;14,"",AVERAGE($AI$1761:$AI$1774))</f>
        <v>0</v>
      </c>
      <c r="AK1774">
        <f>IF(COUNT($E$2:$E1774)&lt;20,"",AVERAGE($E$1755:$E$1774))</f>
        <v>0</v>
      </c>
      <c r="AL1774">
        <f>IF(COUNT($E$2:$E1774)&lt;20,"",STDEVP($E$1755:$E$1774))</f>
        <v>0</v>
      </c>
      <c r="AM1774">
        <f>IF(AK1774="","",AK1774+2*AL1774)</f>
        <v>0</v>
      </c>
      <c r="AN1774">
        <f>IF(AK1774="","",AK1774-2*AL1774)</f>
        <v>0</v>
      </c>
      <c r="AO1774">
        <f>IF(OR(AM1774="",AN1774="",AM1774=AN1774),"",($E1774-AN1774)/(AM1774-AN1774))</f>
        <v>0</v>
      </c>
      <c r="AP1774">
        <f>IF(OR(AM1774="",AK1774="",AK1774=0),"",(AM1774-AN1774)/AK1774)</f>
        <v>0</v>
      </c>
      <c r="AQ1774">
        <f>IF(COUNT($E$2:$E1774)&lt;20,"",MAX($C$1755:$C$1774))</f>
        <v>0</v>
      </c>
      <c r="AR1774">
        <f>IF(COUNT($E$2:$E1774)&lt;20,"",MIN($D$1755:$D$1774))</f>
        <v>0</v>
      </c>
      <c r="AS1774">
        <f>IF(OR(AQ1774="",AR1774=""),"",(AQ1774+AR1774)/2)</f>
        <v>0</v>
      </c>
      <c r="AT1774">
        <f>IF(COUNT($G$1755:$G$1774)&lt;20,"",STDEV($G$1755:$G$1774)*SQRT(252))</f>
        <v>0</v>
      </c>
      <c r="AU1774">
        <f>IF(COUNT($E$2:$E1774)&lt;9,"",(MAX($C$1766:$C$1774)+MIN($D$1766:$D$1774))/2)</f>
        <v>0</v>
      </c>
      <c r="AV1774">
        <f>IF(COUNT($E$2:$E1774)&lt;26,"",(MAX($C$1749:$C$1774)+MIN($D$1749:$D$1774))/2)</f>
        <v>0</v>
      </c>
      <c r="AW1774">
        <f>IF(OR(AU1774="",AV1774=""),"",(AU1774+AV1774)/2)</f>
        <v>0</v>
      </c>
      <c r="AX1774">
        <f>IF(COUNT($E$2:$E1774)&lt;52,"",(MAX($C$1723:$C$1774)+MIN($D$1723:$D$1774))/2)</f>
        <v>0</v>
      </c>
      <c r="AY1774">
        <f>IF(COUNT($E$2:$E1774)&lt;20,"",MAX($C$1675:$C$1774))</f>
        <v>0</v>
      </c>
      <c r="AZ1774">
        <f>IF(COUNT($E$2:$E1774)&lt;20,"",MIN($D$1675:$D$1774))</f>
        <v>0</v>
      </c>
      <c r="BA1774">
        <f>IF(COUNT($E$2:$E1774)&lt;20,"",SLOPE($E$1675:$E$1774,$F$1675:$F$1774))</f>
        <v>0</v>
      </c>
      <c r="BB1774">
        <f>IF(COUNT($E$2:$E1774)&lt;20,"",INTERCEPT($E$1675:$E$1774,$F$1675:$F$1774))</f>
        <v>0</v>
      </c>
      <c r="BC1774">
        <f>IF(OR(BA1774="",BB1774=""),"",BB1774+BA1774*F1774)</f>
        <v>0</v>
      </c>
      <c r="BD1774">
        <f>IF(COUNT($E$2:$E1774)&lt;20,"",STEYX($E$1675:$E$1774,$F$1675:$F$1774))</f>
        <v>0</v>
      </c>
      <c r="BE1774">
        <f>IF($E1774="","",IF(AND(COUNT($E$1775:$E$1778)&gt;=4,$C1774=MAX($C$1770:$C$1778)),$C1774,""))</f>
        <v>0</v>
      </c>
      <c r="BF1774">
        <f>IF($E1774="","",IF(AND(COUNT($E$1775:$E$1778)&gt;=4,$D1774=MIN($D$1770:$D$1778)),$D1774,""))</f>
        <v>0</v>
      </c>
      <c r="BG1774">
        <f>IF($A1774="","",$A1774-WEEKDAY($A1774,2)+1)</f>
        <v>0</v>
      </c>
      <c r="BH1774">
        <f>IF($A1774="","",IF($A1773="",1,IF(BG1774&lt;&gt;BG1773,1,0)))</f>
        <v>0</v>
      </c>
      <c r="BI1774">
        <f>IF($A1774="","",IF($A1775="",1,IF(BG1775&lt;&gt;BG1774,1,0)))</f>
        <v>0</v>
      </c>
      <c r="BJ1774">
        <f>IF($A1774="","",IF(BH1774=1,$B1774,BJ1773))</f>
        <v>0</v>
      </c>
      <c r="BK1774">
        <f>IF($A1774="","",IF(BH1774=1,$C1774,MAX($C1774,BK1773)))</f>
        <v>0</v>
      </c>
      <c r="BL1774">
        <f>IF($A1774="","",IF(BH1774=1,$D1774,MIN($D1774,BL1773)))</f>
        <v>0</v>
      </c>
      <c r="BM1774">
        <f>IF($A1774="","",IF(BI1774=1,F1774,""))</f>
        <v>0</v>
      </c>
      <c r="BN1774">
        <f>IF($A1774="","",DATE(YEAR($A1774),MONTH($A1774),1))</f>
        <v>0</v>
      </c>
      <c r="BO1774">
        <f>IF($A1774="","",IF($A1773="",1,IF(BN1774&lt;&gt;BN1773,1,0)))</f>
        <v>0</v>
      </c>
      <c r="BP1774">
        <f>IF($A1774="","",IF($A1775="",1,IF(BN1775&lt;&gt;BN1774,1,0)))</f>
        <v>0</v>
      </c>
      <c r="BQ1774">
        <f>IF($A1774="","",IF(BO1774=1,$B1774,BQ1773))</f>
        <v>0</v>
      </c>
      <c r="BR1774">
        <f>IF($A1774="","",IF(BO1774=1,$C1774,MAX($C1774,BR1773)))</f>
        <v>0</v>
      </c>
      <c r="BS1774">
        <f>IF($A1774="","",IF(BO1774=1,$D1774,MIN($D1774,BS1773)))</f>
        <v>0</v>
      </c>
      <c r="BT1774">
        <f>IF($A1774="","",IF(BP1774=1,F1774,""))</f>
        <v>0</v>
      </c>
    </row>
    <row r="1775" spans="1:72">
      <c r="A1775" s="27">
        <f>IF(Data!$A1775="","",Data!$A1775)</f>
        <v>0</v>
      </c>
      <c r="B1775">
        <f>IF(Data!$B1775="","",Data!$B1775)</f>
        <v>0</v>
      </c>
      <c r="C1775">
        <f>IF(Data!$C1775="","",Data!$C1775)</f>
        <v>0</v>
      </c>
      <c r="D1775">
        <f>IF(Data!$D1775="","",Data!$D1775)</f>
        <v>0</v>
      </c>
      <c r="E1775">
        <f>IF(Data!$E1775="","",Data!$E1775)</f>
        <v>0</v>
      </c>
      <c r="F1775">
        <f>IF($E1775="","",N(F1774)+1)</f>
        <v>0</v>
      </c>
      <c r="G1775">
        <f>IF(OR($E1775="",$E1774=""),"",LN($E1775/$E1774))</f>
        <v>0</v>
      </c>
      <c r="H1775">
        <f>IF($E1775="","",IF($E1774="",$E1775,$E1775*0.0952380952+H1774*0.9047619048))</f>
        <v>0</v>
      </c>
      <c r="I1775">
        <f>IF($E1775="","",IF($E1774="",$E1775,$E1775*0.0392156863+I1774*0.9607843137))</f>
        <v>0</v>
      </c>
      <c r="J1775">
        <f>IF($E1775="","",IF($E1774="",$E1775,$E1775*0.0198019802+J1774*0.9801980198))</f>
        <v>0</v>
      </c>
      <c r="K1775">
        <f>IF($E1775="","",IF($E1774="",$E1775,$E1775*0.0099502488+K1774*0.9900497512))</f>
        <v>0</v>
      </c>
      <c r="L1775">
        <f>IF(OR($E1775="",$E1774=""),"",MAX($E1775-$E1774,0))</f>
        <v>0</v>
      </c>
      <c r="M1775">
        <f>IF(OR($E1775="",$E1774=""),"",MAX($E1774-$E1775,0))</f>
        <v>0</v>
      </c>
      <c r="N1775">
        <f>IF(COUNT($E$2:$E1775)&lt;15,"",IF(AVERAGE($M$1762:$M$1775)=0,100,100-100/(1+AVERAGE($L$1762:$L$1775)/AVERAGE($M$1762:$M$1775))))</f>
        <v>0</v>
      </c>
      <c r="O1775">
        <f>IF($E1775="","",IF($E1774="",$E1775,$E1775*0.1538461538+O1774*0.8461538462))</f>
        <v>0</v>
      </c>
      <c r="P1775">
        <f>IF($E1775="","",IF($E1774="",$E1775,$E1775*0.0740740741+P1774*0.9259259259))</f>
        <v>0</v>
      </c>
      <c r="Q1775">
        <f>IF(OR(O1775="",P1775=""),"",O1775-P1775)</f>
        <v>0</v>
      </c>
      <c r="R1775">
        <f>IF(Q1775="","",IF(R1774="",Q1775,Q1775*0.2000000000+R1774*0.8000000000))</f>
        <v>0</v>
      </c>
      <c r="S1775">
        <f>IF(OR(Q1775="",R1775=""),"",Q1775-R1775)</f>
        <v>0</v>
      </c>
      <c r="T1775">
        <f>IF(COUNT($E$2:$E1775)&lt;14,"",MAX($C$1762:$C$1775))</f>
        <v>0</v>
      </c>
      <c r="U1775">
        <f>IF(COUNT($E$2:$E1775)&lt;14,"",MIN($D$1762:$D$1775))</f>
        <v>0</v>
      </c>
      <c r="V1775">
        <f>IF(OR(T1775="",U1775="",T1775=U1775),"",100*($E1775-U1775)/(T1775-U1775))</f>
        <v>0</v>
      </c>
      <c r="W1775">
        <f>IF(COUNT($V$1773:$V$1775)&lt;3,"",AVERAGE($V$1773:$V$1775))</f>
        <v>0</v>
      </c>
      <c r="X1775">
        <f>IF(COUNT($N$1762:$N$1775)&lt;14,"",MIN($N$1762:$N$1775))</f>
        <v>0</v>
      </c>
      <c r="Y1775">
        <f>IF(COUNT($N$1762:$N$1775)&lt;14,"",MAX($N$1762:$N$1775))</f>
        <v>0</v>
      </c>
      <c r="Z1775">
        <f>IF(OR(N1775="",X1775="",Y1775="",Y1775=X1775),"",100*(N1775-X1775)/(Y1775-X1775))</f>
        <v>0</v>
      </c>
      <c r="AA1775">
        <f>IF(COUNT($Z$1773:$Z$1775)&lt;3,"",AVERAGE($Z$1773:$Z$1775))</f>
        <v>0</v>
      </c>
      <c r="AB1775">
        <f>IF(COUNT($AA$1773:$AA$1775)&lt;3,"",AVERAGE($AA$1773:$AA$1775))</f>
        <v>0</v>
      </c>
      <c r="AC1775">
        <f>IF($E1775="","",MAX($C1775-$D1775,ABS($C1775-$E1774),ABS($D1775-$E1774)))</f>
        <v>0</v>
      </c>
      <c r="AD1775">
        <f>IF(COUNT($E$2:$E1775)&lt;15,"",AVERAGE($AC$1762:$AC$1775))</f>
        <v>0</v>
      </c>
      <c r="AE1775">
        <f>IF(OR($E1775="",$E1774=""),"",IF(AND(($C1775-$C1774)&gt;($D1774-$D1775),($C1775-$C1774)&gt;0),$C1775-$C1774,0))</f>
        <v>0</v>
      </c>
      <c r="AF1775">
        <f>IF(OR($E1775="",$E1774=""),"",IF(AND(($D1774-$D1775)&gt;($C1775-$C1774),($D1774-$D1775)&gt;0),$D1774-$D1775,0))</f>
        <v>0</v>
      </c>
      <c r="AG1775">
        <f>IF(COUNT($E$2:$E1775)&lt;15,"",IF(SUM($AC$1762:$AC$1775)=0,0,100*SUM($AE$1762:$AE$1775)/SUM($AC$1762:$AC$1775)))</f>
        <v>0</v>
      </c>
      <c r="AH1775">
        <f>IF(COUNT($E$2:$E1775)&lt;15,"",IF(SUM($AC$1762:$AC$1775)=0,0,100*SUM($AF$1762:$AF$1775)/SUM($AC$1762:$AC$1775)))</f>
        <v>0</v>
      </c>
      <c r="AI1775">
        <f>IF(OR(AG1775="",AH1775=""),"",IF((AG1775+AH1775)=0,0,100*ABS(AG1775-AH1775)/(AG1775+AH1775)))</f>
        <v>0</v>
      </c>
      <c r="AJ1775">
        <f>IF(COUNT($AI$1762:$AI$1775)&lt;14,"",AVERAGE($AI$1762:$AI$1775))</f>
        <v>0</v>
      </c>
      <c r="AK1775">
        <f>IF(COUNT($E$2:$E1775)&lt;20,"",AVERAGE($E$1756:$E$1775))</f>
        <v>0</v>
      </c>
      <c r="AL1775">
        <f>IF(COUNT($E$2:$E1775)&lt;20,"",STDEVP($E$1756:$E$1775))</f>
        <v>0</v>
      </c>
      <c r="AM1775">
        <f>IF(AK1775="","",AK1775+2*AL1775)</f>
        <v>0</v>
      </c>
      <c r="AN1775">
        <f>IF(AK1775="","",AK1775-2*AL1775)</f>
        <v>0</v>
      </c>
      <c r="AO1775">
        <f>IF(OR(AM1775="",AN1775="",AM1775=AN1775),"",($E1775-AN1775)/(AM1775-AN1775))</f>
        <v>0</v>
      </c>
      <c r="AP1775">
        <f>IF(OR(AM1775="",AK1775="",AK1775=0),"",(AM1775-AN1775)/AK1775)</f>
        <v>0</v>
      </c>
      <c r="AQ1775">
        <f>IF(COUNT($E$2:$E1775)&lt;20,"",MAX($C$1756:$C$1775))</f>
        <v>0</v>
      </c>
      <c r="AR1775">
        <f>IF(COUNT($E$2:$E1775)&lt;20,"",MIN($D$1756:$D$1775))</f>
        <v>0</v>
      </c>
      <c r="AS1775">
        <f>IF(OR(AQ1775="",AR1775=""),"",(AQ1775+AR1775)/2)</f>
        <v>0</v>
      </c>
      <c r="AT1775">
        <f>IF(COUNT($G$1756:$G$1775)&lt;20,"",STDEV($G$1756:$G$1775)*SQRT(252))</f>
        <v>0</v>
      </c>
      <c r="AU1775">
        <f>IF(COUNT($E$2:$E1775)&lt;9,"",(MAX($C$1767:$C$1775)+MIN($D$1767:$D$1775))/2)</f>
        <v>0</v>
      </c>
      <c r="AV1775">
        <f>IF(COUNT($E$2:$E1775)&lt;26,"",(MAX($C$1750:$C$1775)+MIN($D$1750:$D$1775))/2)</f>
        <v>0</v>
      </c>
      <c r="AW1775">
        <f>IF(OR(AU1775="",AV1775=""),"",(AU1775+AV1775)/2)</f>
        <v>0</v>
      </c>
      <c r="AX1775">
        <f>IF(COUNT($E$2:$E1775)&lt;52,"",(MAX($C$1724:$C$1775)+MIN($D$1724:$D$1775))/2)</f>
        <v>0</v>
      </c>
      <c r="AY1775">
        <f>IF(COUNT($E$2:$E1775)&lt;20,"",MAX($C$1676:$C$1775))</f>
        <v>0</v>
      </c>
      <c r="AZ1775">
        <f>IF(COUNT($E$2:$E1775)&lt;20,"",MIN($D$1676:$D$1775))</f>
        <v>0</v>
      </c>
      <c r="BA1775">
        <f>IF(COUNT($E$2:$E1775)&lt;20,"",SLOPE($E$1676:$E$1775,$F$1676:$F$1775))</f>
        <v>0</v>
      </c>
      <c r="BB1775">
        <f>IF(COUNT($E$2:$E1775)&lt;20,"",INTERCEPT($E$1676:$E$1775,$F$1676:$F$1775))</f>
        <v>0</v>
      </c>
      <c r="BC1775">
        <f>IF(OR(BA1775="",BB1775=""),"",BB1775+BA1775*F1775)</f>
        <v>0</v>
      </c>
      <c r="BD1775">
        <f>IF(COUNT($E$2:$E1775)&lt;20,"",STEYX($E$1676:$E$1775,$F$1676:$F$1775))</f>
        <v>0</v>
      </c>
      <c r="BE1775">
        <f>IF($E1775="","",IF(AND(COUNT($E$1776:$E$1779)&gt;=4,$C1775=MAX($C$1771:$C$1779)),$C1775,""))</f>
        <v>0</v>
      </c>
      <c r="BF1775">
        <f>IF($E1775="","",IF(AND(COUNT($E$1776:$E$1779)&gt;=4,$D1775=MIN($D$1771:$D$1779)),$D1775,""))</f>
        <v>0</v>
      </c>
      <c r="BG1775">
        <f>IF($A1775="","",$A1775-WEEKDAY($A1775,2)+1)</f>
        <v>0</v>
      </c>
      <c r="BH1775">
        <f>IF($A1775="","",IF($A1774="",1,IF(BG1775&lt;&gt;BG1774,1,0)))</f>
        <v>0</v>
      </c>
      <c r="BI1775">
        <f>IF($A1775="","",IF($A1776="",1,IF(BG1776&lt;&gt;BG1775,1,0)))</f>
        <v>0</v>
      </c>
      <c r="BJ1775">
        <f>IF($A1775="","",IF(BH1775=1,$B1775,BJ1774))</f>
        <v>0</v>
      </c>
      <c r="BK1775">
        <f>IF($A1775="","",IF(BH1775=1,$C1775,MAX($C1775,BK1774)))</f>
        <v>0</v>
      </c>
      <c r="BL1775">
        <f>IF($A1775="","",IF(BH1775=1,$D1775,MIN($D1775,BL1774)))</f>
        <v>0</v>
      </c>
      <c r="BM1775">
        <f>IF($A1775="","",IF(BI1775=1,F1775,""))</f>
        <v>0</v>
      </c>
      <c r="BN1775">
        <f>IF($A1775="","",DATE(YEAR($A1775),MONTH($A1775),1))</f>
        <v>0</v>
      </c>
      <c r="BO1775">
        <f>IF($A1775="","",IF($A1774="",1,IF(BN1775&lt;&gt;BN1774,1,0)))</f>
        <v>0</v>
      </c>
      <c r="BP1775">
        <f>IF($A1775="","",IF($A1776="",1,IF(BN1776&lt;&gt;BN1775,1,0)))</f>
        <v>0</v>
      </c>
      <c r="BQ1775">
        <f>IF($A1775="","",IF(BO1775=1,$B1775,BQ1774))</f>
        <v>0</v>
      </c>
      <c r="BR1775">
        <f>IF($A1775="","",IF(BO1775=1,$C1775,MAX($C1775,BR1774)))</f>
        <v>0</v>
      </c>
      <c r="BS1775">
        <f>IF($A1775="","",IF(BO1775=1,$D1775,MIN($D1775,BS1774)))</f>
        <v>0</v>
      </c>
      <c r="BT1775">
        <f>IF($A1775="","",IF(BP1775=1,F1775,""))</f>
        <v>0</v>
      </c>
    </row>
    <row r="1776" spans="1:72">
      <c r="A1776" s="27">
        <f>IF(Data!$A1776="","",Data!$A1776)</f>
        <v>0</v>
      </c>
      <c r="B1776">
        <f>IF(Data!$B1776="","",Data!$B1776)</f>
        <v>0</v>
      </c>
      <c r="C1776">
        <f>IF(Data!$C1776="","",Data!$C1776)</f>
        <v>0</v>
      </c>
      <c r="D1776">
        <f>IF(Data!$D1776="","",Data!$D1776)</f>
        <v>0</v>
      </c>
      <c r="E1776">
        <f>IF(Data!$E1776="","",Data!$E1776)</f>
        <v>0</v>
      </c>
      <c r="F1776">
        <f>IF($E1776="","",N(F1775)+1)</f>
        <v>0</v>
      </c>
      <c r="G1776">
        <f>IF(OR($E1776="",$E1775=""),"",LN($E1776/$E1775))</f>
        <v>0</v>
      </c>
      <c r="H1776">
        <f>IF($E1776="","",IF($E1775="",$E1776,$E1776*0.0952380952+H1775*0.9047619048))</f>
        <v>0</v>
      </c>
      <c r="I1776">
        <f>IF($E1776="","",IF($E1775="",$E1776,$E1776*0.0392156863+I1775*0.9607843137))</f>
        <v>0</v>
      </c>
      <c r="J1776">
        <f>IF($E1776="","",IF($E1775="",$E1776,$E1776*0.0198019802+J1775*0.9801980198))</f>
        <v>0</v>
      </c>
      <c r="K1776">
        <f>IF($E1776="","",IF($E1775="",$E1776,$E1776*0.0099502488+K1775*0.9900497512))</f>
        <v>0</v>
      </c>
      <c r="L1776">
        <f>IF(OR($E1776="",$E1775=""),"",MAX($E1776-$E1775,0))</f>
        <v>0</v>
      </c>
      <c r="M1776">
        <f>IF(OR($E1776="",$E1775=""),"",MAX($E1775-$E1776,0))</f>
        <v>0</v>
      </c>
      <c r="N1776">
        <f>IF(COUNT($E$2:$E1776)&lt;15,"",IF(AVERAGE($M$1763:$M$1776)=0,100,100-100/(1+AVERAGE($L$1763:$L$1776)/AVERAGE($M$1763:$M$1776))))</f>
        <v>0</v>
      </c>
      <c r="O1776">
        <f>IF($E1776="","",IF($E1775="",$E1776,$E1776*0.1538461538+O1775*0.8461538462))</f>
        <v>0</v>
      </c>
      <c r="P1776">
        <f>IF($E1776="","",IF($E1775="",$E1776,$E1776*0.0740740741+P1775*0.9259259259))</f>
        <v>0</v>
      </c>
      <c r="Q1776">
        <f>IF(OR(O1776="",P1776=""),"",O1776-P1776)</f>
        <v>0</v>
      </c>
      <c r="R1776">
        <f>IF(Q1776="","",IF(R1775="",Q1776,Q1776*0.2000000000+R1775*0.8000000000))</f>
        <v>0</v>
      </c>
      <c r="S1776">
        <f>IF(OR(Q1776="",R1776=""),"",Q1776-R1776)</f>
        <v>0</v>
      </c>
      <c r="T1776">
        <f>IF(COUNT($E$2:$E1776)&lt;14,"",MAX($C$1763:$C$1776))</f>
        <v>0</v>
      </c>
      <c r="U1776">
        <f>IF(COUNT($E$2:$E1776)&lt;14,"",MIN($D$1763:$D$1776))</f>
        <v>0</v>
      </c>
      <c r="V1776">
        <f>IF(OR(T1776="",U1776="",T1776=U1776),"",100*($E1776-U1776)/(T1776-U1776))</f>
        <v>0</v>
      </c>
      <c r="W1776">
        <f>IF(COUNT($V$1774:$V$1776)&lt;3,"",AVERAGE($V$1774:$V$1776))</f>
        <v>0</v>
      </c>
      <c r="X1776">
        <f>IF(COUNT($N$1763:$N$1776)&lt;14,"",MIN($N$1763:$N$1776))</f>
        <v>0</v>
      </c>
      <c r="Y1776">
        <f>IF(COUNT($N$1763:$N$1776)&lt;14,"",MAX($N$1763:$N$1776))</f>
        <v>0</v>
      </c>
      <c r="Z1776">
        <f>IF(OR(N1776="",X1776="",Y1776="",Y1776=X1776),"",100*(N1776-X1776)/(Y1776-X1776))</f>
        <v>0</v>
      </c>
      <c r="AA1776">
        <f>IF(COUNT($Z$1774:$Z$1776)&lt;3,"",AVERAGE($Z$1774:$Z$1776))</f>
        <v>0</v>
      </c>
      <c r="AB1776">
        <f>IF(COUNT($AA$1774:$AA$1776)&lt;3,"",AVERAGE($AA$1774:$AA$1776))</f>
        <v>0</v>
      </c>
      <c r="AC1776">
        <f>IF($E1776="","",MAX($C1776-$D1776,ABS($C1776-$E1775),ABS($D1776-$E1775)))</f>
        <v>0</v>
      </c>
      <c r="AD1776">
        <f>IF(COUNT($E$2:$E1776)&lt;15,"",AVERAGE($AC$1763:$AC$1776))</f>
        <v>0</v>
      </c>
      <c r="AE1776">
        <f>IF(OR($E1776="",$E1775=""),"",IF(AND(($C1776-$C1775)&gt;($D1775-$D1776),($C1776-$C1775)&gt;0),$C1776-$C1775,0))</f>
        <v>0</v>
      </c>
      <c r="AF1776">
        <f>IF(OR($E1776="",$E1775=""),"",IF(AND(($D1775-$D1776)&gt;($C1776-$C1775),($D1775-$D1776)&gt;0),$D1775-$D1776,0))</f>
        <v>0</v>
      </c>
      <c r="AG1776">
        <f>IF(COUNT($E$2:$E1776)&lt;15,"",IF(SUM($AC$1763:$AC$1776)=0,0,100*SUM($AE$1763:$AE$1776)/SUM($AC$1763:$AC$1776)))</f>
        <v>0</v>
      </c>
      <c r="AH1776">
        <f>IF(COUNT($E$2:$E1776)&lt;15,"",IF(SUM($AC$1763:$AC$1776)=0,0,100*SUM($AF$1763:$AF$1776)/SUM($AC$1763:$AC$1776)))</f>
        <v>0</v>
      </c>
      <c r="AI1776">
        <f>IF(OR(AG1776="",AH1776=""),"",IF((AG1776+AH1776)=0,0,100*ABS(AG1776-AH1776)/(AG1776+AH1776)))</f>
        <v>0</v>
      </c>
      <c r="AJ1776">
        <f>IF(COUNT($AI$1763:$AI$1776)&lt;14,"",AVERAGE($AI$1763:$AI$1776))</f>
        <v>0</v>
      </c>
      <c r="AK1776">
        <f>IF(COUNT($E$2:$E1776)&lt;20,"",AVERAGE($E$1757:$E$1776))</f>
        <v>0</v>
      </c>
      <c r="AL1776">
        <f>IF(COUNT($E$2:$E1776)&lt;20,"",STDEVP($E$1757:$E$1776))</f>
        <v>0</v>
      </c>
      <c r="AM1776">
        <f>IF(AK1776="","",AK1776+2*AL1776)</f>
        <v>0</v>
      </c>
      <c r="AN1776">
        <f>IF(AK1776="","",AK1776-2*AL1776)</f>
        <v>0</v>
      </c>
      <c r="AO1776">
        <f>IF(OR(AM1776="",AN1776="",AM1776=AN1776),"",($E1776-AN1776)/(AM1776-AN1776))</f>
        <v>0</v>
      </c>
      <c r="AP1776">
        <f>IF(OR(AM1776="",AK1776="",AK1776=0),"",(AM1776-AN1776)/AK1776)</f>
        <v>0</v>
      </c>
      <c r="AQ1776">
        <f>IF(COUNT($E$2:$E1776)&lt;20,"",MAX($C$1757:$C$1776))</f>
        <v>0</v>
      </c>
      <c r="AR1776">
        <f>IF(COUNT($E$2:$E1776)&lt;20,"",MIN($D$1757:$D$1776))</f>
        <v>0</v>
      </c>
      <c r="AS1776">
        <f>IF(OR(AQ1776="",AR1776=""),"",(AQ1776+AR1776)/2)</f>
        <v>0</v>
      </c>
      <c r="AT1776">
        <f>IF(COUNT($G$1757:$G$1776)&lt;20,"",STDEV($G$1757:$G$1776)*SQRT(252))</f>
        <v>0</v>
      </c>
      <c r="AU1776">
        <f>IF(COUNT($E$2:$E1776)&lt;9,"",(MAX($C$1768:$C$1776)+MIN($D$1768:$D$1776))/2)</f>
        <v>0</v>
      </c>
      <c r="AV1776">
        <f>IF(COUNT($E$2:$E1776)&lt;26,"",(MAX($C$1751:$C$1776)+MIN($D$1751:$D$1776))/2)</f>
        <v>0</v>
      </c>
      <c r="AW1776">
        <f>IF(OR(AU1776="",AV1776=""),"",(AU1776+AV1776)/2)</f>
        <v>0</v>
      </c>
      <c r="AX1776">
        <f>IF(COUNT($E$2:$E1776)&lt;52,"",(MAX($C$1725:$C$1776)+MIN($D$1725:$D$1776))/2)</f>
        <v>0</v>
      </c>
      <c r="AY1776">
        <f>IF(COUNT($E$2:$E1776)&lt;20,"",MAX($C$1677:$C$1776))</f>
        <v>0</v>
      </c>
      <c r="AZ1776">
        <f>IF(COUNT($E$2:$E1776)&lt;20,"",MIN($D$1677:$D$1776))</f>
        <v>0</v>
      </c>
      <c r="BA1776">
        <f>IF(COUNT($E$2:$E1776)&lt;20,"",SLOPE($E$1677:$E$1776,$F$1677:$F$1776))</f>
        <v>0</v>
      </c>
      <c r="BB1776">
        <f>IF(COUNT($E$2:$E1776)&lt;20,"",INTERCEPT($E$1677:$E$1776,$F$1677:$F$1776))</f>
        <v>0</v>
      </c>
      <c r="BC1776">
        <f>IF(OR(BA1776="",BB1776=""),"",BB1776+BA1776*F1776)</f>
        <v>0</v>
      </c>
      <c r="BD1776">
        <f>IF(COUNT($E$2:$E1776)&lt;20,"",STEYX($E$1677:$E$1776,$F$1677:$F$1776))</f>
        <v>0</v>
      </c>
      <c r="BE1776">
        <f>IF($E1776="","",IF(AND(COUNT($E$1777:$E$1780)&gt;=4,$C1776=MAX($C$1772:$C$1780)),$C1776,""))</f>
        <v>0</v>
      </c>
      <c r="BF1776">
        <f>IF($E1776="","",IF(AND(COUNT($E$1777:$E$1780)&gt;=4,$D1776=MIN($D$1772:$D$1780)),$D1776,""))</f>
        <v>0</v>
      </c>
      <c r="BG1776">
        <f>IF($A1776="","",$A1776-WEEKDAY($A1776,2)+1)</f>
        <v>0</v>
      </c>
      <c r="BH1776">
        <f>IF($A1776="","",IF($A1775="",1,IF(BG1776&lt;&gt;BG1775,1,0)))</f>
        <v>0</v>
      </c>
      <c r="BI1776">
        <f>IF($A1776="","",IF($A1777="",1,IF(BG1777&lt;&gt;BG1776,1,0)))</f>
        <v>0</v>
      </c>
      <c r="BJ1776">
        <f>IF($A1776="","",IF(BH1776=1,$B1776,BJ1775))</f>
        <v>0</v>
      </c>
      <c r="BK1776">
        <f>IF($A1776="","",IF(BH1776=1,$C1776,MAX($C1776,BK1775)))</f>
        <v>0</v>
      </c>
      <c r="BL1776">
        <f>IF($A1776="","",IF(BH1776=1,$D1776,MIN($D1776,BL1775)))</f>
        <v>0</v>
      </c>
      <c r="BM1776">
        <f>IF($A1776="","",IF(BI1776=1,F1776,""))</f>
        <v>0</v>
      </c>
      <c r="BN1776">
        <f>IF($A1776="","",DATE(YEAR($A1776),MONTH($A1776),1))</f>
        <v>0</v>
      </c>
      <c r="BO1776">
        <f>IF($A1776="","",IF($A1775="",1,IF(BN1776&lt;&gt;BN1775,1,0)))</f>
        <v>0</v>
      </c>
      <c r="BP1776">
        <f>IF($A1776="","",IF($A1777="",1,IF(BN1777&lt;&gt;BN1776,1,0)))</f>
        <v>0</v>
      </c>
      <c r="BQ1776">
        <f>IF($A1776="","",IF(BO1776=1,$B1776,BQ1775))</f>
        <v>0</v>
      </c>
      <c r="BR1776">
        <f>IF($A1776="","",IF(BO1776=1,$C1776,MAX($C1776,BR1775)))</f>
        <v>0</v>
      </c>
      <c r="BS1776">
        <f>IF($A1776="","",IF(BO1776=1,$D1776,MIN($D1776,BS1775)))</f>
        <v>0</v>
      </c>
      <c r="BT1776">
        <f>IF($A1776="","",IF(BP1776=1,F1776,""))</f>
        <v>0</v>
      </c>
    </row>
    <row r="1777" spans="1:72">
      <c r="A1777" s="27">
        <f>IF(Data!$A1777="","",Data!$A1777)</f>
        <v>0</v>
      </c>
      <c r="B1777">
        <f>IF(Data!$B1777="","",Data!$B1777)</f>
        <v>0</v>
      </c>
      <c r="C1777">
        <f>IF(Data!$C1777="","",Data!$C1777)</f>
        <v>0</v>
      </c>
      <c r="D1777">
        <f>IF(Data!$D1777="","",Data!$D1777)</f>
        <v>0</v>
      </c>
      <c r="E1777">
        <f>IF(Data!$E1777="","",Data!$E1777)</f>
        <v>0</v>
      </c>
      <c r="F1777">
        <f>IF($E1777="","",N(F1776)+1)</f>
        <v>0</v>
      </c>
      <c r="G1777">
        <f>IF(OR($E1777="",$E1776=""),"",LN($E1777/$E1776))</f>
        <v>0</v>
      </c>
      <c r="H1777">
        <f>IF($E1777="","",IF($E1776="",$E1777,$E1777*0.0952380952+H1776*0.9047619048))</f>
        <v>0</v>
      </c>
      <c r="I1777">
        <f>IF($E1777="","",IF($E1776="",$E1777,$E1777*0.0392156863+I1776*0.9607843137))</f>
        <v>0</v>
      </c>
      <c r="J1777">
        <f>IF($E1777="","",IF($E1776="",$E1777,$E1777*0.0198019802+J1776*0.9801980198))</f>
        <v>0</v>
      </c>
      <c r="K1777">
        <f>IF($E1777="","",IF($E1776="",$E1777,$E1777*0.0099502488+K1776*0.9900497512))</f>
        <v>0</v>
      </c>
      <c r="L1777">
        <f>IF(OR($E1777="",$E1776=""),"",MAX($E1777-$E1776,0))</f>
        <v>0</v>
      </c>
      <c r="M1777">
        <f>IF(OR($E1777="",$E1776=""),"",MAX($E1776-$E1777,0))</f>
        <v>0</v>
      </c>
      <c r="N1777">
        <f>IF(COUNT($E$2:$E1777)&lt;15,"",IF(AVERAGE($M$1764:$M$1777)=0,100,100-100/(1+AVERAGE($L$1764:$L$1777)/AVERAGE($M$1764:$M$1777))))</f>
        <v>0</v>
      </c>
      <c r="O1777">
        <f>IF($E1777="","",IF($E1776="",$E1777,$E1777*0.1538461538+O1776*0.8461538462))</f>
        <v>0</v>
      </c>
      <c r="P1777">
        <f>IF($E1777="","",IF($E1776="",$E1777,$E1777*0.0740740741+P1776*0.9259259259))</f>
        <v>0</v>
      </c>
      <c r="Q1777">
        <f>IF(OR(O1777="",P1777=""),"",O1777-P1777)</f>
        <v>0</v>
      </c>
      <c r="R1777">
        <f>IF(Q1777="","",IF(R1776="",Q1777,Q1777*0.2000000000+R1776*0.8000000000))</f>
        <v>0</v>
      </c>
      <c r="S1777">
        <f>IF(OR(Q1777="",R1777=""),"",Q1777-R1777)</f>
        <v>0</v>
      </c>
      <c r="T1777">
        <f>IF(COUNT($E$2:$E1777)&lt;14,"",MAX($C$1764:$C$1777))</f>
        <v>0</v>
      </c>
      <c r="U1777">
        <f>IF(COUNT($E$2:$E1777)&lt;14,"",MIN($D$1764:$D$1777))</f>
        <v>0</v>
      </c>
      <c r="V1777">
        <f>IF(OR(T1777="",U1777="",T1777=U1777),"",100*($E1777-U1777)/(T1777-U1777))</f>
        <v>0</v>
      </c>
      <c r="W1777">
        <f>IF(COUNT($V$1775:$V$1777)&lt;3,"",AVERAGE($V$1775:$V$1777))</f>
        <v>0</v>
      </c>
      <c r="X1777">
        <f>IF(COUNT($N$1764:$N$1777)&lt;14,"",MIN($N$1764:$N$1777))</f>
        <v>0</v>
      </c>
      <c r="Y1777">
        <f>IF(COUNT($N$1764:$N$1777)&lt;14,"",MAX($N$1764:$N$1777))</f>
        <v>0</v>
      </c>
      <c r="Z1777">
        <f>IF(OR(N1777="",X1777="",Y1777="",Y1777=X1777),"",100*(N1777-X1777)/(Y1777-X1777))</f>
        <v>0</v>
      </c>
      <c r="AA1777">
        <f>IF(COUNT($Z$1775:$Z$1777)&lt;3,"",AVERAGE($Z$1775:$Z$1777))</f>
        <v>0</v>
      </c>
      <c r="AB1777">
        <f>IF(COUNT($AA$1775:$AA$1777)&lt;3,"",AVERAGE($AA$1775:$AA$1777))</f>
        <v>0</v>
      </c>
      <c r="AC1777">
        <f>IF($E1777="","",MAX($C1777-$D1777,ABS($C1777-$E1776),ABS($D1777-$E1776)))</f>
        <v>0</v>
      </c>
      <c r="AD1777">
        <f>IF(COUNT($E$2:$E1777)&lt;15,"",AVERAGE($AC$1764:$AC$1777))</f>
        <v>0</v>
      </c>
      <c r="AE1777">
        <f>IF(OR($E1777="",$E1776=""),"",IF(AND(($C1777-$C1776)&gt;($D1776-$D1777),($C1777-$C1776)&gt;0),$C1777-$C1776,0))</f>
        <v>0</v>
      </c>
      <c r="AF1777">
        <f>IF(OR($E1777="",$E1776=""),"",IF(AND(($D1776-$D1777)&gt;($C1777-$C1776),($D1776-$D1777)&gt;0),$D1776-$D1777,0))</f>
        <v>0</v>
      </c>
      <c r="AG1777">
        <f>IF(COUNT($E$2:$E1777)&lt;15,"",IF(SUM($AC$1764:$AC$1777)=0,0,100*SUM($AE$1764:$AE$1777)/SUM($AC$1764:$AC$1777)))</f>
        <v>0</v>
      </c>
      <c r="AH1777">
        <f>IF(COUNT($E$2:$E1777)&lt;15,"",IF(SUM($AC$1764:$AC$1777)=0,0,100*SUM($AF$1764:$AF$1777)/SUM($AC$1764:$AC$1777)))</f>
        <v>0</v>
      </c>
      <c r="AI1777">
        <f>IF(OR(AG1777="",AH1777=""),"",IF((AG1777+AH1777)=0,0,100*ABS(AG1777-AH1777)/(AG1777+AH1777)))</f>
        <v>0</v>
      </c>
      <c r="AJ1777">
        <f>IF(COUNT($AI$1764:$AI$1777)&lt;14,"",AVERAGE($AI$1764:$AI$1777))</f>
        <v>0</v>
      </c>
      <c r="AK1777">
        <f>IF(COUNT($E$2:$E1777)&lt;20,"",AVERAGE($E$1758:$E$1777))</f>
        <v>0</v>
      </c>
      <c r="AL1777">
        <f>IF(COUNT($E$2:$E1777)&lt;20,"",STDEVP($E$1758:$E$1777))</f>
        <v>0</v>
      </c>
      <c r="AM1777">
        <f>IF(AK1777="","",AK1777+2*AL1777)</f>
        <v>0</v>
      </c>
      <c r="AN1777">
        <f>IF(AK1777="","",AK1777-2*AL1777)</f>
        <v>0</v>
      </c>
      <c r="AO1777">
        <f>IF(OR(AM1777="",AN1777="",AM1777=AN1777),"",($E1777-AN1777)/(AM1777-AN1777))</f>
        <v>0</v>
      </c>
      <c r="AP1777">
        <f>IF(OR(AM1777="",AK1777="",AK1777=0),"",(AM1777-AN1777)/AK1777)</f>
        <v>0</v>
      </c>
      <c r="AQ1777">
        <f>IF(COUNT($E$2:$E1777)&lt;20,"",MAX($C$1758:$C$1777))</f>
        <v>0</v>
      </c>
      <c r="AR1777">
        <f>IF(COUNT($E$2:$E1777)&lt;20,"",MIN($D$1758:$D$1777))</f>
        <v>0</v>
      </c>
      <c r="AS1777">
        <f>IF(OR(AQ1777="",AR1777=""),"",(AQ1777+AR1777)/2)</f>
        <v>0</v>
      </c>
      <c r="AT1777">
        <f>IF(COUNT($G$1758:$G$1777)&lt;20,"",STDEV($G$1758:$G$1777)*SQRT(252))</f>
        <v>0</v>
      </c>
      <c r="AU1777">
        <f>IF(COUNT($E$2:$E1777)&lt;9,"",(MAX($C$1769:$C$1777)+MIN($D$1769:$D$1777))/2)</f>
        <v>0</v>
      </c>
      <c r="AV1777">
        <f>IF(COUNT($E$2:$E1777)&lt;26,"",(MAX($C$1752:$C$1777)+MIN($D$1752:$D$1777))/2)</f>
        <v>0</v>
      </c>
      <c r="AW1777">
        <f>IF(OR(AU1777="",AV1777=""),"",(AU1777+AV1777)/2)</f>
        <v>0</v>
      </c>
      <c r="AX1777">
        <f>IF(COUNT($E$2:$E1777)&lt;52,"",(MAX($C$1726:$C$1777)+MIN($D$1726:$D$1777))/2)</f>
        <v>0</v>
      </c>
      <c r="AY1777">
        <f>IF(COUNT($E$2:$E1777)&lt;20,"",MAX($C$1678:$C$1777))</f>
        <v>0</v>
      </c>
      <c r="AZ1777">
        <f>IF(COUNT($E$2:$E1777)&lt;20,"",MIN($D$1678:$D$1777))</f>
        <v>0</v>
      </c>
      <c r="BA1777">
        <f>IF(COUNT($E$2:$E1777)&lt;20,"",SLOPE($E$1678:$E$1777,$F$1678:$F$1777))</f>
        <v>0</v>
      </c>
      <c r="BB1777">
        <f>IF(COUNT($E$2:$E1777)&lt;20,"",INTERCEPT($E$1678:$E$1777,$F$1678:$F$1777))</f>
        <v>0</v>
      </c>
      <c r="BC1777">
        <f>IF(OR(BA1777="",BB1777=""),"",BB1777+BA1777*F1777)</f>
        <v>0</v>
      </c>
      <c r="BD1777">
        <f>IF(COUNT($E$2:$E1777)&lt;20,"",STEYX($E$1678:$E$1777,$F$1678:$F$1777))</f>
        <v>0</v>
      </c>
      <c r="BE1777">
        <f>IF($E1777="","",IF(AND(COUNT($E$1778:$E$1781)&gt;=4,$C1777=MAX($C$1773:$C$1781)),$C1777,""))</f>
        <v>0</v>
      </c>
      <c r="BF1777">
        <f>IF($E1777="","",IF(AND(COUNT($E$1778:$E$1781)&gt;=4,$D1777=MIN($D$1773:$D$1781)),$D1777,""))</f>
        <v>0</v>
      </c>
      <c r="BG1777">
        <f>IF($A1777="","",$A1777-WEEKDAY($A1777,2)+1)</f>
        <v>0</v>
      </c>
      <c r="BH1777">
        <f>IF($A1777="","",IF($A1776="",1,IF(BG1777&lt;&gt;BG1776,1,0)))</f>
        <v>0</v>
      </c>
      <c r="BI1777">
        <f>IF($A1777="","",IF($A1778="",1,IF(BG1778&lt;&gt;BG1777,1,0)))</f>
        <v>0</v>
      </c>
      <c r="BJ1777">
        <f>IF($A1777="","",IF(BH1777=1,$B1777,BJ1776))</f>
        <v>0</v>
      </c>
      <c r="BK1777">
        <f>IF($A1777="","",IF(BH1777=1,$C1777,MAX($C1777,BK1776)))</f>
        <v>0</v>
      </c>
      <c r="BL1777">
        <f>IF($A1777="","",IF(BH1777=1,$D1777,MIN($D1777,BL1776)))</f>
        <v>0</v>
      </c>
      <c r="BM1777">
        <f>IF($A1777="","",IF(BI1777=1,F1777,""))</f>
        <v>0</v>
      </c>
      <c r="BN1777">
        <f>IF($A1777="","",DATE(YEAR($A1777),MONTH($A1777),1))</f>
        <v>0</v>
      </c>
      <c r="BO1777">
        <f>IF($A1777="","",IF($A1776="",1,IF(BN1777&lt;&gt;BN1776,1,0)))</f>
        <v>0</v>
      </c>
      <c r="BP1777">
        <f>IF($A1777="","",IF($A1778="",1,IF(BN1778&lt;&gt;BN1777,1,0)))</f>
        <v>0</v>
      </c>
      <c r="BQ1777">
        <f>IF($A1777="","",IF(BO1777=1,$B1777,BQ1776))</f>
        <v>0</v>
      </c>
      <c r="BR1777">
        <f>IF($A1777="","",IF(BO1777=1,$C1777,MAX($C1777,BR1776)))</f>
        <v>0</v>
      </c>
      <c r="BS1777">
        <f>IF($A1777="","",IF(BO1777=1,$D1777,MIN($D1777,BS1776)))</f>
        <v>0</v>
      </c>
      <c r="BT1777">
        <f>IF($A1777="","",IF(BP1777=1,F1777,""))</f>
        <v>0</v>
      </c>
    </row>
    <row r="1778" spans="1:72">
      <c r="A1778" s="27">
        <f>IF(Data!$A1778="","",Data!$A1778)</f>
        <v>0</v>
      </c>
      <c r="B1778">
        <f>IF(Data!$B1778="","",Data!$B1778)</f>
        <v>0</v>
      </c>
      <c r="C1778">
        <f>IF(Data!$C1778="","",Data!$C1778)</f>
        <v>0</v>
      </c>
      <c r="D1778">
        <f>IF(Data!$D1778="","",Data!$D1778)</f>
        <v>0</v>
      </c>
      <c r="E1778">
        <f>IF(Data!$E1778="","",Data!$E1778)</f>
        <v>0</v>
      </c>
      <c r="F1778">
        <f>IF($E1778="","",N(F1777)+1)</f>
        <v>0</v>
      </c>
      <c r="G1778">
        <f>IF(OR($E1778="",$E1777=""),"",LN($E1778/$E1777))</f>
        <v>0</v>
      </c>
      <c r="H1778">
        <f>IF($E1778="","",IF($E1777="",$E1778,$E1778*0.0952380952+H1777*0.9047619048))</f>
        <v>0</v>
      </c>
      <c r="I1778">
        <f>IF($E1778="","",IF($E1777="",$E1778,$E1778*0.0392156863+I1777*0.9607843137))</f>
        <v>0</v>
      </c>
      <c r="J1778">
        <f>IF($E1778="","",IF($E1777="",$E1778,$E1778*0.0198019802+J1777*0.9801980198))</f>
        <v>0</v>
      </c>
      <c r="K1778">
        <f>IF($E1778="","",IF($E1777="",$E1778,$E1778*0.0099502488+K1777*0.9900497512))</f>
        <v>0</v>
      </c>
      <c r="L1778">
        <f>IF(OR($E1778="",$E1777=""),"",MAX($E1778-$E1777,0))</f>
        <v>0</v>
      </c>
      <c r="M1778">
        <f>IF(OR($E1778="",$E1777=""),"",MAX($E1777-$E1778,0))</f>
        <v>0</v>
      </c>
      <c r="N1778">
        <f>IF(COUNT($E$2:$E1778)&lt;15,"",IF(AVERAGE($M$1765:$M$1778)=0,100,100-100/(1+AVERAGE($L$1765:$L$1778)/AVERAGE($M$1765:$M$1778))))</f>
        <v>0</v>
      </c>
      <c r="O1778">
        <f>IF($E1778="","",IF($E1777="",$E1778,$E1778*0.1538461538+O1777*0.8461538462))</f>
        <v>0</v>
      </c>
      <c r="P1778">
        <f>IF($E1778="","",IF($E1777="",$E1778,$E1778*0.0740740741+P1777*0.9259259259))</f>
        <v>0</v>
      </c>
      <c r="Q1778">
        <f>IF(OR(O1778="",P1778=""),"",O1778-P1778)</f>
        <v>0</v>
      </c>
      <c r="R1778">
        <f>IF(Q1778="","",IF(R1777="",Q1778,Q1778*0.2000000000+R1777*0.8000000000))</f>
        <v>0</v>
      </c>
      <c r="S1778">
        <f>IF(OR(Q1778="",R1778=""),"",Q1778-R1778)</f>
        <v>0</v>
      </c>
      <c r="T1778">
        <f>IF(COUNT($E$2:$E1778)&lt;14,"",MAX($C$1765:$C$1778))</f>
        <v>0</v>
      </c>
      <c r="U1778">
        <f>IF(COUNT($E$2:$E1778)&lt;14,"",MIN($D$1765:$D$1778))</f>
        <v>0</v>
      </c>
      <c r="V1778">
        <f>IF(OR(T1778="",U1778="",T1778=U1778),"",100*($E1778-U1778)/(T1778-U1778))</f>
        <v>0</v>
      </c>
      <c r="W1778">
        <f>IF(COUNT($V$1776:$V$1778)&lt;3,"",AVERAGE($V$1776:$V$1778))</f>
        <v>0</v>
      </c>
      <c r="X1778">
        <f>IF(COUNT($N$1765:$N$1778)&lt;14,"",MIN($N$1765:$N$1778))</f>
        <v>0</v>
      </c>
      <c r="Y1778">
        <f>IF(COUNT($N$1765:$N$1778)&lt;14,"",MAX($N$1765:$N$1778))</f>
        <v>0</v>
      </c>
      <c r="Z1778">
        <f>IF(OR(N1778="",X1778="",Y1778="",Y1778=X1778),"",100*(N1778-X1778)/(Y1778-X1778))</f>
        <v>0</v>
      </c>
      <c r="AA1778">
        <f>IF(COUNT($Z$1776:$Z$1778)&lt;3,"",AVERAGE($Z$1776:$Z$1778))</f>
        <v>0</v>
      </c>
      <c r="AB1778">
        <f>IF(COUNT($AA$1776:$AA$1778)&lt;3,"",AVERAGE($AA$1776:$AA$1778))</f>
        <v>0</v>
      </c>
      <c r="AC1778">
        <f>IF($E1778="","",MAX($C1778-$D1778,ABS($C1778-$E1777),ABS($D1778-$E1777)))</f>
        <v>0</v>
      </c>
      <c r="AD1778">
        <f>IF(COUNT($E$2:$E1778)&lt;15,"",AVERAGE($AC$1765:$AC$1778))</f>
        <v>0</v>
      </c>
      <c r="AE1778">
        <f>IF(OR($E1778="",$E1777=""),"",IF(AND(($C1778-$C1777)&gt;($D1777-$D1778),($C1778-$C1777)&gt;0),$C1778-$C1777,0))</f>
        <v>0</v>
      </c>
      <c r="AF1778">
        <f>IF(OR($E1778="",$E1777=""),"",IF(AND(($D1777-$D1778)&gt;($C1778-$C1777),($D1777-$D1778)&gt;0),$D1777-$D1778,0))</f>
        <v>0</v>
      </c>
      <c r="AG1778">
        <f>IF(COUNT($E$2:$E1778)&lt;15,"",IF(SUM($AC$1765:$AC$1778)=0,0,100*SUM($AE$1765:$AE$1778)/SUM($AC$1765:$AC$1778)))</f>
        <v>0</v>
      </c>
      <c r="AH1778">
        <f>IF(COUNT($E$2:$E1778)&lt;15,"",IF(SUM($AC$1765:$AC$1778)=0,0,100*SUM($AF$1765:$AF$1778)/SUM($AC$1765:$AC$1778)))</f>
        <v>0</v>
      </c>
      <c r="AI1778">
        <f>IF(OR(AG1778="",AH1778=""),"",IF((AG1778+AH1778)=0,0,100*ABS(AG1778-AH1778)/(AG1778+AH1778)))</f>
        <v>0</v>
      </c>
      <c r="AJ1778">
        <f>IF(COUNT($AI$1765:$AI$1778)&lt;14,"",AVERAGE($AI$1765:$AI$1778))</f>
        <v>0</v>
      </c>
      <c r="AK1778">
        <f>IF(COUNT($E$2:$E1778)&lt;20,"",AVERAGE($E$1759:$E$1778))</f>
        <v>0</v>
      </c>
      <c r="AL1778">
        <f>IF(COUNT($E$2:$E1778)&lt;20,"",STDEVP($E$1759:$E$1778))</f>
        <v>0</v>
      </c>
      <c r="AM1778">
        <f>IF(AK1778="","",AK1778+2*AL1778)</f>
        <v>0</v>
      </c>
      <c r="AN1778">
        <f>IF(AK1778="","",AK1778-2*AL1778)</f>
        <v>0</v>
      </c>
      <c r="AO1778">
        <f>IF(OR(AM1778="",AN1778="",AM1778=AN1778),"",($E1778-AN1778)/(AM1778-AN1778))</f>
        <v>0</v>
      </c>
      <c r="AP1778">
        <f>IF(OR(AM1778="",AK1778="",AK1778=0),"",(AM1778-AN1778)/AK1778)</f>
        <v>0</v>
      </c>
      <c r="AQ1778">
        <f>IF(COUNT($E$2:$E1778)&lt;20,"",MAX($C$1759:$C$1778))</f>
        <v>0</v>
      </c>
      <c r="AR1778">
        <f>IF(COUNT($E$2:$E1778)&lt;20,"",MIN($D$1759:$D$1778))</f>
        <v>0</v>
      </c>
      <c r="AS1778">
        <f>IF(OR(AQ1778="",AR1778=""),"",(AQ1778+AR1778)/2)</f>
        <v>0</v>
      </c>
      <c r="AT1778">
        <f>IF(COUNT($G$1759:$G$1778)&lt;20,"",STDEV($G$1759:$G$1778)*SQRT(252))</f>
        <v>0</v>
      </c>
      <c r="AU1778">
        <f>IF(COUNT($E$2:$E1778)&lt;9,"",(MAX($C$1770:$C$1778)+MIN($D$1770:$D$1778))/2)</f>
        <v>0</v>
      </c>
      <c r="AV1778">
        <f>IF(COUNT($E$2:$E1778)&lt;26,"",(MAX($C$1753:$C$1778)+MIN($D$1753:$D$1778))/2)</f>
        <v>0</v>
      </c>
      <c r="AW1778">
        <f>IF(OR(AU1778="",AV1778=""),"",(AU1778+AV1778)/2)</f>
        <v>0</v>
      </c>
      <c r="AX1778">
        <f>IF(COUNT($E$2:$E1778)&lt;52,"",(MAX($C$1727:$C$1778)+MIN($D$1727:$D$1778))/2)</f>
        <v>0</v>
      </c>
      <c r="AY1778">
        <f>IF(COUNT($E$2:$E1778)&lt;20,"",MAX($C$1679:$C$1778))</f>
        <v>0</v>
      </c>
      <c r="AZ1778">
        <f>IF(COUNT($E$2:$E1778)&lt;20,"",MIN($D$1679:$D$1778))</f>
        <v>0</v>
      </c>
      <c r="BA1778">
        <f>IF(COUNT($E$2:$E1778)&lt;20,"",SLOPE($E$1679:$E$1778,$F$1679:$F$1778))</f>
        <v>0</v>
      </c>
      <c r="BB1778">
        <f>IF(COUNT($E$2:$E1778)&lt;20,"",INTERCEPT($E$1679:$E$1778,$F$1679:$F$1778))</f>
        <v>0</v>
      </c>
      <c r="BC1778">
        <f>IF(OR(BA1778="",BB1778=""),"",BB1778+BA1778*F1778)</f>
        <v>0</v>
      </c>
      <c r="BD1778">
        <f>IF(COUNT($E$2:$E1778)&lt;20,"",STEYX($E$1679:$E$1778,$F$1679:$F$1778))</f>
        <v>0</v>
      </c>
      <c r="BE1778">
        <f>IF($E1778="","",IF(AND(COUNT($E$1779:$E$1782)&gt;=4,$C1778=MAX($C$1774:$C$1782)),$C1778,""))</f>
        <v>0</v>
      </c>
      <c r="BF1778">
        <f>IF($E1778="","",IF(AND(COUNT($E$1779:$E$1782)&gt;=4,$D1778=MIN($D$1774:$D$1782)),$D1778,""))</f>
        <v>0</v>
      </c>
      <c r="BG1778">
        <f>IF($A1778="","",$A1778-WEEKDAY($A1778,2)+1)</f>
        <v>0</v>
      </c>
      <c r="BH1778">
        <f>IF($A1778="","",IF($A1777="",1,IF(BG1778&lt;&gt;BG1777,1,0)))</f>
        <v>0</v>
      </c>
      <c r="BI1778">
        <f>IF($A1778="","",IF($A1779="",1,IF(BG1779&lt;&gt;BG1778,1,0)))</f>
        <v>0</v>
      </c>
      <c r="BJ1778">
        <f>IF($A1778="","",IF(BH1778=1,$B1778,BJ1777))</f>
        <v>0</v>
      </c>
      <c r="BK1778">
        <f>IF($A1778="","",IF(BH1778=1,$C1778,MAX($C1778,BK1777)))</f>
        <v>0</v>
      </c>
      <c r="BL1778">
        <f>IF($A1778="","",IF(BH1778=1,$D1778,MIN($D1778,BL1777)))</f>
        <v>0</v>
      </c>
      <c r="BM1778">
        <f>IF($A1778="","",IF(BI1778=1,F1778,""))</f>
        <v>0</v>
      </c>
      <c r="BN1778">
        <f>IF($A1778="","",DATE(YEAR($A1778),MONTH($A1778),1))</f>
        <v>0</v>
      </c>
      <c r="BO1778">
        <f>IF($A1778="","",IF($A1777="",1,IF(BN1778&lt;&gt;BN1777,1,0)))</f>
        <v>0</v>
      </c>
      <c r="BP1778">
        <f>IF($A1778="","",IF($A1779="",1,IF(BN1779&lt;&gt;BN1778,1,0)))</f>
        <v>0</v>
      </c>
      <c r="BQ1778">
        <f>IF($A1778="","",IF(BO1778=1,$B1778,BQ1777))</f>
        <v>0</v>
      </c>
      <c r="BR1778">
        <f>IF($A1778="","",IF(BO1778=1,$C1778,MAX($C1778,BR1777)))</f>
        <v>0</v>
      </c>
      <c r="BS1778">
        <f>IF($A1778="","",IF(BO1778=1,$D1778,MIN($D1778,BS1777)))</f>
        <v>0</v>
      </c>
      <c r="BT1778">
        <f>IF($A1778="","",IF(BP1778=1,F1778,""))</f>
        <v>0</v>
      </c>
    </row>
    <row r="1779" spans="1:72">
      <c r="A1779" s="27">
        <f>IF(Data!$A1779="","",Data!$A1779)</f>
        <v>0</v>
      </c>
      <c r="B1779">
        <f>IF(Data!$B1779="","",Data!$B1779)</f>
        <v>0</v>
      </c>
      <c r="C1779">
        <f>IF(Data!$C1779="","",Data!$C1779)</f>
        <v>0</v>
      </c>
      <c r="D1779">
        <f>IF(Data!$D1779="","",Data!$D1779)</f>
        <v>0</v>
      </c>
      <c r="E1779">
        <f>IF(Data!$E1779="","",Data!$E1779)</f>
        <v>0</v>
      </c>
      <c r="F1779">
        <f>IF($E1779="","",N(F1778)+1)</f>
        <v>0</v>
      </c>
      <c r="G1779">
        <f>IF(OR($E1779="",$E1778=""),"",LN($E1779/$E1778))</f>
        <v>0</v>
      </c>
      <c r="H1779">
        <f>IF($E1779="","",IF($E1778="",$E1779,$E1779*0.0952380952+H1778*0.9047619048))</f>
        <v>0</v>
      </c>
      <c r="I1779">
        <f>IF($E1779="","",IF($E1778="",$E1779,$E1779*0.0392156863+I1778*0.9607843137))</f>
        <v>0</v>
      </c>
      <c r="J1779">
        <f>IF($E1779="","",IF($E1778="",$E1779,$E1779*0.0198019802+J1778*0.9801980198))</f>
        <v>0</v>
      </c>
      <c r="K1779">
        <f>IF($E1779="","",IF($E1778="",$E1779,$E1779*0.0099502488+K1778*0.9900497512))</f>
        <v>0</v>
      </c>
      <c r="L1779">
        <f>IF(OR($E1779="",$E1778=""),"",MAX($E1779-$E1778,0))</f>
        <v>0</v>
      </c>
      <c r="M1779">
        <f>IF(OR($E1779="",$E1778=""),"",MAX($E1778-$E1779,0))</f>
        <v>0</v>
      </c>
      <c r="N1779">
        <f>IF(COUNT($E$2:$E1779)&lt;15,"",IF(AVERAGE($M$1766:$M$1779)=0,100,100-100/(1+AVERAGE($L$1766:$L$1779)/AVERAGE($M$1766:$M$1779))))</f>
        <v>0</v>
      </c>
      <c r="O1779">
        <f>IF($E1779="","",IF($E1778="",$E1779,$E1779*0.1538461538+O1778*0.8461538462))</f>
        <v>0</v>
      </c>
      <c r="P1779">
        <f>IF($E1779="","",IF($E1778="",$E1779,$E1779*0.0740740741+P1778*0.9259259259))</f>
        <v>0</v>
      </c>
      <c r="Q1779">
        <f>IF(OR(O1779="",P1779=""),"",O1779-P1779)</f>
        <v>0</v>
      </c>
      <c r="R1779">
        <f>IF(Q1779="","",IF(R1778="",Q1779,Q1779*0.2000000000+R1778*0.8000000000))</f>
        <v>0</v>
      </c>
      <c r="S1779">
        <f>IF(OR(Q1779="",R1779=""),"",Q1779-R1779)</f>
        <v>0</v>
      </c>
      <c r="T1779">
        <f>IF(COUNT($E$2:$E1779)&lt;14,"",MAX($C$1766:$C$1779))</f>
        <v>0</v>
      </c>
      <c r="U1779">
        <f>IF(COUNT($E$2:$E1779)&lt;14,"",MIN($D$1766:$D$1779))</f>
        <v>0</v>
      </c>
      <c r="V1779">
        <f>IF(OR(T1779="",U1779="",T1779=U1779),"",100*($E1779-U1779)/(T1779-U1779))</f>
        <v>0</v>
      </c>
      <c r="W1779">
        <f>IF(COUNT($V$1777:$V$1779)&lt;3,"",AVERAGE($V$1777:$V$1779))</f>
        <v>0</v>
      </c>
      <c r="X1779">
        <f>IF(COUNT($N$1766:$N$1779)&lt;14,"",MIN($N$1766:$N$1779))</f>
        <v>0</v>
      </c>
      <c r="Y1779">
        <f>IF(COUNT($N$1766:$N$1779)&lt;14,"",MAX($N$1766:$N$1779))</f>
        <v>0</v>
      </c>
      <c r="Z1779">
        <f>IF(OR(N1779="",X1779="",Y1779="",Y1779=X1779),"",100*(N1779-X1779)/(Y1779-X1779))</f>
        <v>0</v>
      </c>
      <c r="AA1779">
        <f>IF(COUNT($Z$1777:$Z$1779)&lt;3,"",AVERAGE($Z$1777:$Z$1779))</f>
        <v>0</v>
      </c>
      <c r="AB1779">
        <f>IF(COUNT($AA$1777:$AA$1779)&lt;3,"",AVERAGE($AA$1777:$AA$1779))</f>
        <v>0</v>
      </c>
      <c r="AC1779">
        <f>IF($E1779="","",MAX($C1779-$D1779,ABS($C1779-$E1778),ABS($D1779-$E1778)))</f>
        <v>0</v>
      </c>
      <c r="AD1779">
        <f>IF(COUNT($E$2:$E1779)&lt;15,"",AVERAGE($AC$1766:$AC$1779))</f>
        <v>0</v>
      </c>
      <c r="AE1779">
        <f>IF(OR($E1779="",$E1778=""),"",IF(AND(($C1779-$C1778)&gt;($D1778-$D1779),($C1779-$C1778)&gt;0),$C1779-$C1778,0))</f>
        <v>0</v>
      </c>
      <c r="AF1779">
        <f>IF(OR($E1779="",$E1778=""),"",IF(AND(($D1778-$D1779)&gt;($C1779-$C1778),($D1778-$D1779)&gt;0),$D1778-$D1779,0))</f>
        <v>0</v>
      </c>
      <c r="AG1779">
        <f>IF(COUNT($E$2:$E1779)&lt;15,"",IF(SUM($AC$1766:$AC$1779)=0,0,100*SUM($AE$1766:$AE$1779)/SUM($AC$1766:$AC$1779)))</f>
        <v>0</v>
      </c>
      <c r="AH1779">
        <f>IF(COUNT($E$2:$E1779)&lt;15,"",IF(SUM($AC$1766:$AC$1779)=0,0,100*SUM($AF$1766:$AF$1779)/SUM($AC$1766:$AC$1779)))</f>
        <v>0</v>
      </c>
      <c r="AI1779">
        <f>IF(OR(AG1779="",AH1779=""),"",IF((AG1779+AH1779)=0,0,100*ABS(AG1779-AH1779)/(AG1779+AH1779)))</f>
        <v>0</v>
      </c>
      <c r="AJ1779">
        <f>IF(COUNT($AI$1766:$AI$1779)&lt;14,"",AVERAGE($AI$1766:$AI$1779))</f>
        <v>0</v>
      </c>
      <c r="AK1779">
        <f>IF(COUNT($E$2:$E1779)&lt;20,"",AVERAGE($E$1760:$E$1779))</f>
        <v>0</v>
      </c>
      <c r="AL1779">
        <f>IF(COUNT($E$2:$E1779)&lt;20,"",STDEVP($E$1760:$E$1779))</f>
        <v>0</v>
      </c>
      <c r="AM1779">
        <f>IF(AK1779="","",AK1779+2*AL1779)</f>
        <v>0</v>
      </c>
      <c r="AN1779">
        <f>IF(AK1779="","",AK1779-2*AL1779)</f>
        <v>0</v>
      </c>
      <c r="AO1779">
        <f>IF(OR(AM1779="",AN1779="",AM1779=AN1779),"",($E1779-AN1779)/(AM1779-AN1779))</f>
        <v>0</v>
      </c>
      <c r="AP1779">
        <f>IF(OR(AM1779="",AK1779="",AK1779=0),"",(AM1779-AN1779)/AK1779)</f>
        <v>0</v>
      </c>
      <c r="AQ1779">
        <f>IF(COUNT($E$2:$E1779)&lt;20,"",MAX($C$1760:$C$1779))</f>
        <v>0</v>
      </c>
      <c r="AR1779">
        <f>IF(COUNT($E$2:$E1779)&lt;20,"",MIN($D$1760:$D$1779))</f>
        <v>0</v>
      </c>
      <c r="AS1779">
        <f>IF(OR(AQ1779="",AR1779=""),"",(AQ1779+AR1779)/2)</f>
        <v>0</v>
      </c>
      <c r="AT1779">
        <f>IF(COUNT($G$1760:$G$1779)&lt;20,"",STDEV($G$1760:$G$1779)*SQRT(252))</f>
        <v>0</v>
      </c>
      <c r="AU1779">
        <f>IF(COUNT($E$2:$E1779)&lt;9,"",(MAX($C$1771:$C$1779)+MIN($D$1771:$D$1779))/2)</f>
        <v>0</v>
      </c>
      <c r="AV1779">
        <f>IF(COUNT($E$2:$E1779)&lt;26,"",(MAX($C$1754:$C$1779)+MIN($D$1754:$D$1779))/2)</f>
        <v>0</v>
      </c>
      <c r="AW1779">
        <f>IF(OR(AU1779="",AV1779=""),"",(AU1779+AV1779)/2)</f>
        <v>0</v>
      </c>
      <c r="AX1779">
        <f>IF(COUNT($E$2:$E1779)&lt;52,"",(MAX($C$1728:$C$1779)+MIN($D$1728:$D$1779))/2)</f>
        <v>0</v>
      </c>
      <c r="AY1779">
        <f>IF(COUNT($E$2:$E1779)&lt;20,"",MAX($C$1680:$C$1779))</f>
        <v>0</v>
      </c>
      <c r="AZ1779">
        <f>IF(COUNT($E$2:$E1779)&lt;20,"",MIN($D$1680:$D$1779))</f>
        <v>0</v>
      </c>
      <c r="BA1779">
        <f>IF(COUNT($E$2:$E1779)&lt;20,"",SLOPE($E$1680:$E$1779,$F$1680:$F$1779))</f>
        <v>0</v>
      </c>
      <c r="BB1779">
        <f>IF(COUNT($E$2:$E1779)&lt;20,"",INTERCEPT($E$1680:$E$1779,$F$1680:$F$1779))</f>
        <v>0</v>
      </c>
      <c r="BC1779">
        <f>IF(OR(BA1779="",BB1779=""),"",BB1779+BA1779*F1779)</f>
        <v>0</v>
      </c>
      <c r="BD1779">
        <f>IF(COUNT($E$2:$E1779)&lt;20,"",STEYX($E$1680:$E$1779,$F$1680:$F$1779))</f>
        <v>0</v>
      </c>
      <c r="BE1779">
        <f>IF($E1779="","",IF(AND(COUNT($E$1780:$E$1783)&gt;=4,$C1779=MAX($C$1775:$C$1783)),$C1779,""))</f>
        <v>0</v>
      </c>
      <c r="BF1779">
        <f>IF($E1779="","",IF(AND(COUNT($E$1780:$E$1783)&gt;=4,$D1779=MIN($D$1775:$D$1783)),$D1779,""))</f>
        <v>0</v>
      </c>
      <c r="BG1779">
        <f>IF($A1779="","",$A1779-WEEKDAY($A1779,2)+1)</f>
        <v>0</v>
      </c>
      <c r="BH1779">
        <f>IF($A1779="","",IF($A1778="",1,IF(BG1779&lt;&gt;BG1778,1,0)))</f>
        <v>0</v>
      </c>
      <c r="BI1779">
        <f>IF($A1779="","",IF($A1780="",1,IF(BG1780&lt;&gt;BG1779,1,0)))</f>
        <v>0</v>
      </c>
      <c r="BJ1779">
        <f>IF($A1779="","",IF(BH1779=1,$B1779,BJ1778))</f>
        <v>0</v>
      </c>
      <c r="BK1779">
        <f>IF($A1779="","",IF(BH1779=1,$C1779,MAX($C1779,BK1778)))</f>
        <v>0</v>
      </c>
      <c r="BL1779">
        <f>IF($A1779="","",IF(BH1779=1,$D1779,MIN($D1779,BL1778)))</f>
        <v>0</v>
      </c>
      <c r="BM1779">
        <f>IF($A1779="","",IF(BI1779=1,F1779,""))</f>
        <v>0</v>
      </c>
      <c r="BN1779">
        <f>IF($A1779="","",DATE(YEAR($A1779),MONTH($A1779),1))</f>
        <v>0</v>
      </c>
      <c r="BO1779">
        <f>IF($A1779="","",IF($A1778="",1,IF(BN1779&lt;&gt;BN1778,1,0)))</f>
        <v>0</v>
      </c>
      <c r="BP1779">
        <f>IF($A1779="","",IF($A1780="",1,IF(BN1780&lt;&gt;BN1779,1,0)))</f>
        <v>0</v>
      </c>
      <c r="BQ1779">
        <f>IF($A1779="","",IF(BO1779=1,$B1779,BQ1778))</f>
        <v>0</v>
      </c>
      <c r="BR1779">
        <f>IF($A1779="","",IF(BO1779=1,$C1779,MAX($C1779,BR1778)))</f>
        <v>0</v>
      </c>
      <c r="BS1779">
        <f>IF($A1779="","",IF(BO1779=1,$D1779,MIN($D1779,BS1778)))</f>
        <v>0</v>
      </c>
      <c r="BT1779">
        <f>IF($A1779="","",IF(BP1779=1,F1779,""))</f>
        <v>0</v>
      </c>
    </row>
    <row r="1780" spans="1:72">
      <c r="A1780" s="27">
        <f>IF(Data!$A1780="","",Data!$A1780)</f>
        <v>0</v>
      </c>
      <c r="B1780">
        <f>IF(Data!$B1780="","",Data!$B1780)</f>
        <v>0</v>
      </c>
      <c r="C1780">
        <f>IF(Data!$C1780="","",Data!$C1780)</f>
        <v>0</v>
      </c>
      <c r="D1780">
        <f>IF(Data!$D1780="","",Data!$D1780)</f>
        <v>0</v>
      </c>
      <c r="E1780">
        <f>IF(Data!$E1780="","",Data!$E1780)</f>
        <v>0</v>
      </c>
      <c r="F1780">
        <f>IF($E1780="","",N(F1779)+1)</f>
        <v>0</v>
      </c>
      <c r="G1780">
        <f>IF(OR($E1780="",$E1779=""),"",LN($E1780/$E1779))</f>
        <v>0</v>
      </c>
      <c r="H1780">
        <f>IF($E1780="","",IF($E1779="",$E1780,$E1780*0.0952380952+H1779*0.9047619048))</f>
        <v>0</v>
      </c>
      <c r="I1780">
        <f>IF($E1780="","",IF($E1779="",$E1780,$E1780*0.0392156863+I1779*0.9607843137))</f>
        <v>0</v>
      </c>
      <c r="J1780">
        <f>IF($E1780="","",IF($E1779="",$E1780,$E1780*0.0198019802+J1779*0.9801980198))</f>
        <v>0</v>
      </c>
      <c r="K1780">
        <f>IF($E1780="","",IF($E1779="",$E1780,$E1780*0.0099502488+K1779*0.9900497512))</f>
        <v>0</v>
      </c>
      <c r="L1780">
        <f>IF(OR($E1780="",$E1779=""),"",MAX($E1780-$E1779,0))</f>
        <v>0</v>
      </c>
      <c r="M1780">
        <f>IF(OR($E1780="",$E1779=""),"",MAX($E1779-$E1780,0))</f>
        <v>0</v>
      </c>
      <c r="N1780">
        <f>IF(COUNT($E$2:$E1780)&lt;15,"",IF(AVERAGE($M$1767:$M$1780)=0,100,100-100/(1+AVERAGE($L$1767:$L$1780)/AVERAGE($M$1767:$M$1780))))</f>
        <v>0</v>
      </c>
      <c r="O1780">
        <f>IF($E1780="","",IF($E1779="",$E1780,$E1780*0.1538461538+O1779*0.8461538462))</f>
        <v>0</v>
      </c>
      <c r="P1780">
        <f>IF($E1780="","",IF($E1779="",$E1780,$E1780*0.0740740741+P1779*0.9259259259))</f>
        <v>0</v>
      </c>
      <c r="Q1780">
        <f>IF(OR(O1780="",P1780=""),"",O1780-P1780)</f>
        <v>0</v>
      </c>
      <c r="R1780">
        <f>IF(Q1780="","",IF(R1779="",Q1780,Q1780*0.2000000000+R1779*0.8000000000))</f>
        <v>0</v>
      </c>
      <c r="S1780">
        <f>IF(OR(Q1780="",R1780=""),"",Q1780-R1780)</f>
        <v>0</v>
      </c>
      <c r="T1780">
        <f>IF(COUNT($E$2:$E1780)&lt;14,"",MAX($C$1767:$C$1780))</f>
        <v>0</v>
      </c>
      <c r="U1780">
        <f>IF(COUNT($E$2:$E1780)&lt;14,"",MIN($D$1767:$D$1780))</f>
        <v>0</v>
      </c>
      <c r="V1780">
        <f>IF(OR(T1780="",U1780="",T1780=U1780),"",100*($E1780-U1780)/(T1780-U1780))</f>
        <v>0</v>
      </c>
      <c r="W1780">
        <f>IF(COUNT($V$1778:$V$1780)&lt;3,"",AVERAGE($V$1778:$V$1780))</f>
        <v>0</v>
      </c>
      <c r="X1780">
        <f>IF(COUNT($N$1767:$N$1780)&lt;14,"",MIN($N$1767:$N$1780))</f>
        <v>0</v>
      </c>
      <c r="Y1780">
        <f>IF(COUNT($N$1767:$N$1780)&lt;14,"",MAX($N$1767:$N$1780))</f>
        <v>0</v>
      </c>
      <c r="Z1780">
        <f>IF(OR(N1780="",X1780="",Y1780="",Y1780=X1780),"",100*(N1780-X1780)/(Y1780-X1780))</f>
        <v>0</v>
      </c>
      <c r="AA1780">
        <f>IF(COUNT($Z$1778:$Z$1780)&lt;3,"",AVERAGE($Z$1778:$Z$1780))</f>
        <v>0</v>
      </c>
      <c r="AB1780">
        <f>IF(COUNT($AA$1778:$AA$1780)&lt;3,"",AVERAGE($AA$1778:$AA$1780))</f>
        <v>0</v>
      </c>
      <c r="AC1780">
        <f>IF($E1780="","",MAX($C1780-$D1780,ABS($C1780-$E1779),ABS($D1780-$E1779)))</f>
        <v>0</v>
      </c>
      <c r="AD1780">
        <f>IF(COUNT($E$2:$E1780)&lt;15,"",AVERAGE($AC$1767:$AC$1780))</f>
        <v>0</v>
      </c>
      <c r="AE1780">
        <f>IF(OR($E1780="",$E1779=""),"",IF(AND(($C1780-$C1779)&gt;($D1779-$D1780),($C1780-$C1779)&gt;0),$C1780-$C1779,0))</f>
        <v>0</v>
      </c>
      <c r="AF1780">
        <f>IF(OR($E1780="",$E1779=""),"",IF(AND(($D1779-$D1780)&gt;($C1780-$C1779),($D1779-$D1780)&gt;0),$D1779-$D1780,0))</f>
        <v>0</v>
      </c>
      <c r="AG1780">
        <f>IF(COUNT($E$2:$E1780)&lt;15,"",IF(SUM($AC$1767:$AC$1780)=0,0,100*SUM($AE$1767:$AE$1780)/SUM($AC$1767:$AC$1780)))</f>
        <v>0</v>
      </c>
      <c r="AH1780">
        <f>IF(COUNT($E$2:$E1780)&lt;15,"",IF(SUM($AC$1767:$AC$1780)=0,0,100*SUM($AF$1767:$AF$1780)/SUM($AC$1767:$AC$1780)))</f>
        <v>0</v>
      </c>
      <c r="AI1780">
        <f>IF(OR(AG1780="",AH1780=""),"",IF((AG1780+AH1780)=0,0,100*ABS(AG1780-AH1780)/(AG1780+AH1780)))</f>
        <v>0</v>
      </c>
      <c r="AJ1780">
        <f>IF(COUNT($AI$1767:$AI$1780)&lt;14,"",AVERAGE($AI$1767:$AI$1780))</f>
        <v>0</v>
      </c>
      <c r="AK1780">
        <f>IF(COUNT($E$2:$E1780)&lt;20,"",AVERAGE($E$1761:$E$1780))</f>
        <v>0</v>
      </c>
      <c r="AL1780">
        <f>IF(COUNT($E$2:$E1780)&lt;20,"",STDEVP($E$1761:$E$1780))</f>
        <v>0</v>
      </c>
      <c r="AM1780">
        <f>IF(AK1780="","",AK1780+2*AL1780)</f>
        <v>0</v>
      </c>
      <c r="AN1780">
        <f>IF(AK1780="","",AK1780-2*AL1780)</f>
        <v>0</v>
      </c>
      <c r="AO1780">
        <f>IF(OR(AM1780="",AN1780="",AM1780=AN1780),"",($E1780-AN1780)/(AM1780-AN1780))</f>
        <v>0</v>
      </c>
      <c r="AP1780">
        <f>IF(OR(AM1780="",AK1780="",AK1780=0),"",(AM1780-AN1780)/AK1780)</f>
        <v>0</v>
      </c>
      <c r="AQ1780">
        <f>IF(COUNT($E$2:$E1780)&lt;20,"",MAX($C$1761:$C$1780))</f>
        <v>0</v>
      </c>
      <c r="AR1780">
        <f>IF(COUNT($E$2:$E1780)&lt;20,"",MIN($D$1761:$D$1780))</f>
        <v>0</v>
      </c>
      <c r="AS1780">
        <f>IF(OR(AQ1780="",AR1780=""),"",(AQ1780+AR1780)/2)</f>
        <v>0</v>
      </c>
      <c r="AT1780">
        <f>IF(COUNT($G$1761:$G$1780)&lt;20,"",STDEV($G$1761:$G$1780)*SQRT(252))</f>
        <v>0</v>
      </c>
      <c r="AU1780">
        <f>IF(COUNT($E$2:$E1780)&lt;9,"",(MAX($C$1772:$C$1780)+MIN($D$1772:$D$1780))/2)</f>
        <v>0</v>
      </c>
      <c r="AV1780">
        <f>IF(COUNT($E$2:$E1780)&lt;26,"",(MAX($C$1755:$C$1780)+MIN($D$1755:$D$1780))/2)</f>
        <v>0</v>
      </c>
      <c r="AW1780">
        <f>IF(OR(AU1780="",AV1780=""),"",(AU1780+AV1780)/2)</f>
        <v>0</v>
      </c>
      <c r="AX1780">
        <f>IF(COUNT($E$2:$E1780)&lt;52,"",(MAX($C$1729:$C$1780)+MIN($D$1729:$D$1780))/2)</f>
        <v>0</v>
      </c>
      <c r="AY1780">
        <f>IF(COUNT($E$2:$E1780)&lt;20,"",MAX($C$1681:$C$1780))</f>
        <v>0</v>
      </c>
      <c r="AZ1780">
        <f>IF(COUNT($E$2:$E1780)&lt;20,"",MIN($D$1681:$D$1780))</f>
        <v>0</v>
      </c>
      <c r="BA1780">
        <f>IF(COUNT($E$2:$E1780)&lt;20,"",SLOPE($E$1681:$E$1780,$F$1681:$F$1780))</f>
        <v>0</v>
      </c>
      <c r="BB1780">
        <f>IF(COUNT($E$2:$E1780)&lt;20,"",INTERCEPT($E$1681:$E$1780,$F$1681:$F$1780))</f>
        <v>0</v>
      </c>
      <c r="BC1780">
        <f>IF(OR(BA1780="",BB1780=""),"",BB1780+BA1780*F1780)</f>
        <v>0</v>
      </c>
      <c r="BD1780">
        <f>IF(COUNT($E$2:$E1780)&lt;20,"",STEYX($E$1681:$E$1780,$F$1681:$F$1780))</f>
        <v>0</v>
      </c>
      <c r="BE1780">
        <f>IF($E1780="","",IF(AND(COUNT($E$1781:$E$1784)&gt;=4,$C1780=MAX($C$1776:$C$1784)),$C1780,""))</f>
        <v>0</v>
      </c>
      <c r="BF1780">
        <f>IF($E1780="","",IF(AND(COUNT($E$1781:$E$1784)&gt;=4,$D1780=MIN($D$1776:$D$1784)),$D1780,""))</f>
        <v>0</v>
      </c>
      <c r="BG1780">
        <f>IF($A1780="","",$A1780-WEEKDAY($A1780,2)+1)</f>
        <v>0</v>
      </c>
      <c r="BH1780">
        <f>IF($A1780="","",IF($A1779="",1,IF(BG1780&lt;&gt;BG1779,1,0)))</f>
        <v>0</v>
      </c>
      <c r="BI1780">
        <f>IF($A1780="","",IF($A1781="",1,IF(BG1781&lt;&gt;BG1780,1,0)))</f>
        <v>0</v>
      </c>
      <c r="BJ1780">
        <f>IF($A1780="","",IF(BH1780=1,$B1780,BJ1779))</f>
        <v>0</v>
      </c>
      <c r="BK1780">
        <f>IF($A1780="","",IF(BH1780=1,$C1780,MAX($C1780,BK1779)))</f>
        <v>0</v>
      </c>
      <c r="BL1780">
        <f>IF($A1780="","",IF(BH1780=1,$D1780,MIN($D1780,BL1779)))</f>
        <v>0</v>
      </c>
      <c r="BM1780">
        <f>IF($A1780="","",IF(BI1780=1,F1780,""))</f>
        <v>0</v>
      </c>
      <c r="BN1780">
        <f>IF($A1780="","",DATE(YEAR($A1780),MONTH($A1780),1))</f>
        <v>0</v>
      </c>
      <c r="BO1780">
        <f>IF($A1780="","",IF($A1779="",1,IF(BN1780&lt;&gt;BN1779,1,0)))</f>
        <v>0</v>
      </c>
      <c r="BP1780">
        <f>IF($A1780="","",IF($A1781="",1,IF(BN1781&lt;&gt;BN1780,1,0)))</f>
        <v>0</v>
      </c>
      <c r="BQ1780">
        <f>IF($A1780="","",IF(BO1780=1,$B1780,BQ1779))</f>
        <v>0</v>
      </c>
      <c r="BR1780">
        <f>IF($A1780="","",IF(BO1780=1,$C1780,MAX($C1780,BR1779)))</f>
        <v>0</v>
      </c>
      <c r="BS1780">
        <f>IF($A1780="","",IF(BO1780=1,$D1780,MIN($D1780,BS1779)))</f>
        <v>0</v>
      </c>
      <c r="BT1780">
        <f>IF($A1780="","",IF(BP1780=1,F1780,""))</f>
        <v>0</v>
      </c>
    </row>
    <row r="1781" spans="1:72">
      <c r="A1781" s="27">
        <f>IF(Data!$A1781="","",Data!$A1781)</f>
        <v>0</v>
      </c>
      <c r="B1781">
        <f>IF(Data!$B1781="","",Data!$B1781)</f>
        <v>0</v>
      </c>
      <c r="C1781">
        <f>IF(Data!$C1781="","",Data!$C1781)</f>
        <v>0</v>
      </c>
      <c r="D1781">
        <f>IF(Data!$D1781="","",Data!$D1781)</f>
        <v>0</v>
      </c>
      <c r="E1781">
        <f>IF(Data!$E1781="","",Data!$E1781)</f>
        <v>0</v>
      </c>
      <c r="F1781">
        <f>IF($E1781="","",N(F1780)+1)</f>
        <v>0</v>
      </c>
      <c r="G1781">
        <f>IF(OR($E1781="",$E1780=""),"",LN($E1781/$E1780))</f>
        <v>0</v>
      </c>
      <c r="H1781">
        <f>IF($E1781="","",IF($E1780="",$E1781,$E1781*0.0952380952+H1780*0.9047619048))</f>
        <v>0</v>
      </c>
      <c r="I1781">
        <f>IF($E1781="","",IF($E1780="",$E1781,$E1781*0.0392156863+I1780*0.9607843137))</f>
        <v>0</v>
      </c>
      <c r="J1781">
        <f>IF($E1781="","",IF($E1780="",$E1781,$E1781*0.0198019802+J1780*0.9801980198))</f>
        <v>0</v>
      </c>
      <c r="K1781">
        <f>IF($E1781="","",IF($E1780="",$E1781,$E1781*0.0099502488+K1780*0.9900497512))</f>
        <v>0</v>
      </c>
      <c r="L1781">
        <f>IF(OR($E1781="",$E1780=""),"",MAX($E1781-$E1780,0))</f>
        <v>0</v>
      </c>
      <c r="M1781">
        <f>IF(OR($E1781="",$E1780=""),"",MAX($E1780-$E1781,0))</f>
        <v>0</v>
      </c>
      <c r="N1781">
        <f>IF(COUNT($E$2:$E1781)&lt;15,"",IF(AVERAGE($M$1768:$M$1781)=0,100,100-100/(1+AVERAGE($L$1768:$L$1781)/AVERAGE($M$1768:$M$1781))))</f>
        <v>0</v>
      </c>
      <c r="O1781">
        <f>IF($E1781="","",IF($E1780="",$E1781,$E1781*0.1538461538+O1780*0.8461538462))</f>
        <v>0</v>
      </c>
      <c r="P1781">
        <f>IF($E1781="","",IF($E1780="",$E1781,$E1781*0.0740740741+P1780*0.9259259259))</f>
        <v>0</v>
      </c>
      <c r="Q1781">
        <f>IF(OR(O1781="",P1781=""),"",O1781-P1781)</f>
        <v>0</v>
      </c>
      <c r="R1781">
        <f>IF(Q1781="","",IF(R1780="",Q1781,Q1781*0.2000000000+R1780*0.8000000000))</f>
        <v>0</v>
      </c>
      <c r="S1781">
        <f>IF(OR(Q1781="",R1781=""),"",Q1781-R1781)</f>
        <v>0</v>
      </c>
      <c r="T1781">
        <f>IF(COUNT($E$2:$E1781)&lt;14,"",MAX($C$1768:$C$1781))</f>
        <v>0</v>
      </c>
      <c r="U1781">
        <f>IF(COUNT($E$2:$E1781)&lt;14,"",MIN($D$1768:$D$1781))</f>
        <v>0</v>
      </c>
      <c r="V1781">
        <f>IF(OR(T1781="",U1781="",T1781=U1781),"",100*($E1781-U1781)/(T1781-U1781))</f>
        <v>0</v>
      </c>
      <c r="W1781">
        <f>IF(COUNT($V$1779:$V$1781)&lt;3,"",AVERAGE($V$1779:$V$1781))</f>
        <v>0</v>
      </c>
      <c r="X1781">
        <f>IF(COUNT($N$1768:$N$1781)&lt;14,"",MIN($N$1768:$N$1781))</f>
        <v>0</v>
      </c>
      <c r="Y1781">
        <f>IF(COUNT($N$1768:$N$1781)&lt;14,"",MAX($N$1768:$N$1781))</f>
        <v>0</v>
      </c>
      <c r="Z1781">
        <f>IF(OR(N1781="",X1781="",Y1781="",Y1781=X1781),"",100*(N1781-X1781)/(Y1781-X1781))</f>
        <v>0</v>
      </c>
      <c r="AA1781">
        <f>IF(COUNT($Z$1779:$Z$1781)&lt;3,"",AVERAGE($Z$1779:$Z$1781))</f>
        <v>0</v>
      </c>
      <c r="AB1781">
        <f>IF(COUNT($AA$1779:$AA$1781)&lt;3,"",AVERAGE($AA$1779:$AA$1781))</f>
        <v>0</v>
      </c>
      <c r="AC1781">
        <f>IF($E1781="","",MAX($C1781-$D1781,ABS($C1781-$E1780),ABS($D1781-$E1780)))</f>
        <v>0</v>
      </c>
      <c r="AD1781">
        <f>IF(COUNT($E$2:$E1781)&lt;15,"",AVERAGE($AC$1768:$AC$1781))</f>
        <v>0</v>
      </c>
      <c r="AE1781">
        <f>IF(OR($E1781="",$E1780=""),"",IF(AND(($C1781-$C1780)&gt;($D1780-$D1781),($C1781-$C1780)&gt;0),$C1781-$C1780,0))</f>
        <v>0</v>
      </c>
      <c r="AF1781">
        <f>IF(OR($E1781="",$E1780=""),"",IF(AND(($D1780-$D1781)&gt;($C1781-$C1780),($D1780-$D1781)&gt;0),$D1780-$D1781,0))</f>
        <v>0</v>
      </c>
      <c r="AG1781">
        <f>IF(COUNT($E$2:$E1781)&lt;15,"",IF(SUM($AC$1768:$AC$1781)=0,0,100*SUM($AE$1768:$AE$1781)/SUM($AC$1768:$AC$1781)))</f>
        <v>0</v>
      </c>
      <c r="AH1781">
        <f>IF(COUNT($E$2:$E1781)&lt;15,"",IF(SUM($AC$1768:$AC$1781)=0,0,100*SUM($AF$1768:$AF$1781)/SUM($AC$1768:$AC$1781)))</f>
        <v>0</v>
      </c>
      <c r="AI1781">
        <f>IF(OR(AG1781="",AH1781=""),"",IF((AG1781+AH1781)=0,0,100*ABS(AG1781-AH1781)/(AG1781+AH1781)))</f>
        <v>0</v>
      </c>
      <c r="AJ1781">
        <f>IF(COUNT($AI$1768:$AI$1781)&lt;14,"",AVERAGE($AI$1768:$AI$1781))</f>
        <v>0</v>
      </c>
      <c r="AK1781">
        <f>IF(COUNT($E$2:$E1781)&lt;20,"",AVERAGE($E$1762:$E$1781))</f>
        <v>0</v>
      </c>
      <c r="AL1781">
        <f>IF(COUNT($E$2:$E1781)&lt;20,"",STDEVP($E$1762:$E$1781))</f>
        <v>0</v>
      </c>
      <c r="AM1781">
        <f>IF(AK1781="","",AK1781+2*AL1781)</f>
        <v>0</v>
      </c>
      <c r="AN1781">
        <f>IF(AK1781="","",AK1781-2*AL1781)</f>
        <v>0</v>
      </c>
      <c r="AO1781">
        <f>IF(OR(AM1781="",AN1781="",AM1781=AN1781),"",($E1781-AN1781)/(AM1781-AN1781))</f>
        <v>0</v>
      </c>
      <c r="AP1781">
        <f>IF(OR(AM1781="",AK1781="",AK1781=0),"",(AM1781-AN1781)/AK1781)</f>
        <v>0</v>
      </c>
      <c r="AQ1781">
        <f>IF(COUNT($E$2:$E1781)&lt;20,"",MAX($C$1762:$C$1781))</f>
        <v>0</v>
      </c>
      <c r="AR1781">
        <f>IF(COUNT($E$2:$E1781)&lt;20,"",MIN($D$1762:$D$1781))</f>
        <v>0</v>
      </c>
      <c r="AS1781">
        <f>IF(OR(AQ1781="",AR1781=""),"",(AQ1781+AR1781)/2)</f>
        <v>0</v>
      </c>
      <c r="AT1781">
        <f>IF(COUNT($G$1762:$G$1781)&lt;20,"",STDEV($G$1762:$G$1781)*SQRT(252))</f>
        <v>0</v>
      </c>
      <c r="AU1781">
        <f>IF(COUNT($E$2:$E1781)&lt;9,"",(MAX($C$1773:$C$1781)+MIN($D$1773:$D$1781))/2)</f>
        <v>0</v>
      </c>
      <c r="AV1781">
        <f>IF(COUNT($E$2:$E1781)&lt;26,"",(MAX($C$1756:$C$1781)+MIN($D$1756:$D$1781))/2)</f>
        <v>0</v>
      </c>
      <c r="AW1781">
        <f>IF(OR(AU1781="",AV1781=""),"",(AU1781+AV1781)/2)</f>
        <v>0</v>
      </c>
      <c r="AX1781">
        <f>IF(COUNT($E$2:$E1781)&lt;52,"",(MAX($C$1730:$C$1781)+MIN($D$1730:$D$1781))/2)</f>
        <v>0</v>
      </c>
      <c r="AY1781">
        <f>IF(COUNT($E$2:$E1781)&lt;20,"",MAX($C$1682:$C$1781))</f>
        <v>0</v>
      </c>
      <c r="AZ1781">
        <f>IF(COUNT($E$2:$E1781)&lt;20,"",MIN($D$1682:$D$1781))</f>
        <v>0</v>
      </c>
      <c r="BA1781">
        <f>IF(COUNT($E$2:$E1781)&lt;20,"",SLOPE($E$1682:$E$1781,$F$1682:$F$1781))</f>
        <v>0</v>
      </c>
      <c r="BB1781">
        <f>IF(COUNT($E$2:$E1781)&lt;20,"",INTERCEPT($E$1682:$E$1781,$F$1682:$F$1781))</f>
        <v>0</v>
      </c>
      <c r="BC1781">
        <f>IF(OR(BA1781="",BB1781=""),"",BB1781+BA1781*F1781)</f>
        <v>0</v>
      </c>
      <c r="BD1781">
        <f>IF(COUNT($E$2:$E1781)&lt;20,"",STEYX($E$1682:$E$1781,$F$1682:$F$1781))</f>
        <v>0</v>
      </c>
      <c r="BE1781">
        <f>IF($E1781="","",IF(AND(COUNT($E$1782:$E$1785)&gt;=4,$C1781=MAX($C$1777:$C$1785)),$C1781,""))</f>
        <v>0</v>
      </c>
      <c r="BF1781">
        <f>IF($E1781="","",IF(AND(COUNT($E$1782:$E$1785)&gt;=4,$D1781=MIN($D$1777:$D$1785)),$D1781,""))</f>
        <v>0</v>
      </c>
      <c r="BG1781">
        <f>IF($A1781="","",$A1781-WEEKDAY($A1781,2)+1)</f>
        <v>0</v>
      </c>
      <c r="BH1781">
        <f>IF($A1781="","",IF($A1780="",1,IF(BG1781&lt;&gt;BG1780,1,0)))</f>
        <v>0</v>
      </c>
      <c r="BI1781">
        <f>IF($A1781="","",IF($A1782="",1,IF(BG1782&lt;&gt;BG1781,1,0)))</f>
        <v>0</v>
      </c>
      <c r="BJ1781">
        <f>IF($A1781="","",IF(BH1781=1,$B1781,BJ1780))</f>
        <v>0</v>
      </c>
      <c r="BK1781">
        <f>IF($A1781="","",IF(BH1781=1,$C1781,MAX($C1781,BK1780)))</f>
        <v>0</v>
      </c>
      <c r="BL1781">
        <f>IF($A1781="","",IF(BH1781=1,$D1781,MIN($D1781,BL1780)))</f>
        <v>0</v>
      </c>
      <c r="BM1781">
        <f>IF($A1781="","",IF(BI1781=1,F1781,""))</f>
        <v>0</v>
      </c>
      <c r="BN1781">
        <f>IF($A1781="","",DATE(YEAR($A1781),MONTH($A1781),1))</f>
        <v>0</v>
      </c>
      <c r="BO1781">
        <f>IF($A1781="","",IF($A1780="",1,IF(BN1781&lt;&gt;BN1780,1,0)))</f>
        <v>0</v>
      </c>
      <c r="BP1781">
        <f>IF($A1781="","",IF($A1782="",1,IF(BN1782&lt;&gt;BN1781,1,0)))</f>
        <v>0</v>
      </c>
      <c r="BQ1781">
        <f>IF($A1781="","",IF(BO1781=1,$B1781,BQ1780))</f>
        <v>0</v>
      </c>
      <c r="BR1781">
        <f>IF($A1781="","",IF(BO1781=1,$C1781,MAX($C1781,BR1780)))</f>
        <v>0</v>
      </c>
      <c r="BS1781">
        <f>IF($A1781="","",IF(BO1781=1,$D1781,MIN($D1781,BS1780)))</f>
        <v>0</v>
      </c>
      <c r="BT1781">
        <f>IF($A1781="","",IF(BP1781=1,F1781,""))</f>
        <v>0</v>
      </c>
    </row>
    <row r="1782" spans="1:72">
      <c r="A1782" s="27">
        <f>IF(Data!$A1782="","",Data!$A1782)</f>
        <v>0</v>
      </c>
      <c r="B1782">
        <f>IF(Data!$B1782="","",Data!$B1782)</f>
        <v>0</v>
      </c>
      <c r="C1782">
        <f>IF(Data!$C1782="","",Data!$C1782)</f>
        <v>0</v>
      </c>
      <c r="D1782">
        <f>IF(Data!$D1782="","",Data!$D1782)</f>
        <v>0</v>
      </c>
      <c r="E1782">
        <f>IF(Data!$E1782="","",Data!$E1782)</f>
        <v>0</v>
      </c>
      <c r="F1782">
        <f>IF($E1782="","",N(F1781)+1)</f>
        <v>0</v>
      </c>
      <c r="G1782">
        <f>IF(OR($E1782="",$E1781=""),"",LN($E1782/$E1781))</f>
        <v>0</v>
      </c>
      <c r="H1782">
        <f>IF($E1782="","",IF($E1781="",$E1782,$E1782*0.0952380952+H1781*0.9047619048))</f>
        <v>0</v>
      </c>
      <c r="I1782">
        <f>IF($E1782="","",IF($E1781="",$E1782,$E1782*0.0392156863+I1781*0.9607843137))</f>
        <v>0</v>
      </c>
      <c r="J1782">
        <f>IF($E1782="","",IF($E1781="",$E1782,$E1782*0.0198019802+J1781*0.9801980198))</f>
        <v>0</v>
      </c>
      <c r="K1782">
        <f>IF($E1782="","",IF($E1781="",$E1782,$E1782*0.0099502488+K1781*0.9900497512))</f>
        <v>0</v>
      </c>
      <c r="L1782">
        <f>IF(OR($E1782="",$E1781=""),"",MAX($E1782-$E1781,0))</f>
        <v>0</v>
      </c>
      <c r="M1782">
        <f>IF(OR($E1782="",$E1781=""),"",MAX($E1781-$E1782,0))</f>
        <v>0</v>
      </c>
      <c r="N1782">
        <f>IF(COUNT($E$2:$E1782)&lt;15,"",IF(AVERAGE($M$1769:$M$1782)=0,100,100-100/(1+AVERAGE($L$1769:$L$1782)/AVERAGE($M$1769:$M$1782))))</f>
        <v>0</v>
      </c>
      <c r="O1782">
        <f>IF($E1782="","",IF($E1781="",$E1782,$E1782*0.1538461538+O1781*0.8461538462))</f>
        <v>0</v>
      </c>
      <c r="P1782">
        <f>IF($E1782="","",IF($E1781="",$E1782,$E1782*0.0740740741+P1781*0.9259259259))</f>
        <v>0</v>
      </c>
      <c r="Q1782">
        <f>IF(OR(O1782="",P1782=""),"",O1782-P1782)</f>
        <v>0</v>
      </c>
      <c r="R1782">
        <f>IF(Q1782="","",IF(R1781="",Q1782,Q1782*0.2000000000+R1781*0.8000000000))</f>
        <v>0</v>
      </c>
      <c r="S1782">
        <f>IF(OR(Q1782="",R1782=""),"",Q1782-R1782)</f>
        <v>0</v>
      </c>
      <c r="T1782">
        <f>IF(COUNT($E$2:$E1782)&lt;14,"",MAX($C$1769:$C$1782))</f>
        <v>0</v>
      </c>
      <c r="U1782">
        <f>IF(COUNT($E$2:$E1782)&lt;14,"",MIN($D$1769:$D$1782))</f>
        <v>0</v>
      </c>
      <c r="V1782">
        <f>IF(OR(T1782="",U1782="",T1782=U1782),"",100*($E1782-U1782)/(T1782-U1782))</f>
        <v>0</v>
      </c>
      <c r="W1782">
        <f>IF(COUNT($V$1780:$V$1782)&lt;3,"",AVERAGE($V$1780:$V$1782))</f>
        <v>0</v>
      </c>
      <c r="X1782">
        <f>IF(COUNT($N$1769:$N$1782)&lt;14,"",MIN($N$1769:$N$1782))</f>
        <v>0</v>
      </c>
      <c r="Y1782">
        <f>IF(COUNT($N$1769:$N$1782)&lt;14,"",MAX($N$1769:$N$1782))</f>
        <v>0</v>
      </c>
      <c r="Z1782">
        <f>IF(OR(N1782="",X1782="",Y1782="",Y1782=X1782),"",100*(N1782-X1782)/(Y1782-X1782))</f>
        <v>0</v>
      </c>
      <c r="AA1782">
        <f>IF(COUNT($Z$1780:$Z$1782)&lt;3,"",AVERAGE($Z$1780:$Z$1782))</f>
        <v>0</v>
      </c>
      <c r="AB1782">
        <f>IF(COUNT($AA$1780:$AA$1782)&lt;3,"",AVERAGE($AA$1780:$AA$1782))</f>
        <v>0</v>
      </c>
      <c r="AC1782">
        <f>IF($E1782="","",MAX($C1782-$D1782,ABS($C1782-$E1781),ABS($D1782-$E1781)))</f>
        <v>0</v>
      </c>
      <c r="AD1782">
        <f>IF(COUNT($E$2:$E1782)&lt;15,"",AVERAGE($AC$1769:$AC$1782))</f>
        <v>0</v>
      </c>
      <c r="AE1782">
        <f>IF(OR($E1782="",$E1781=""),"",IF(AND(($C1782-$C1781)&gt;($D1781-$D1782),($C1782-$C1781)&gt;0),$C1782-$C1781,0))</f>
        <v>0</v>
      </c>
      <c r="AF1782">
        <f>IF(OR($E1782="",$E1781=""),"",IF(AND(($D1781-$D1782)&gt;($C1782-$C1781),($D1781-$D1782)&gt;0),$D1781-$D1782,0))</f>
        <v>0</v>
      </c>
      <c r="AG1782">
        <f>IF(COUNT($E$2:$E1782)&lt;15,"",IF(SUM($AC$1769:$AC$1782)=0,0,100*SUM($AE$1769:$AE$1782)/SUM($AC$1769:$AC$1782)))</f>
        <v>0</v>
      </c>
      <c r="AH1782">
        <f>IF(COUNT($E$2:$E1782)&lt;15,"",IF(SUM($AC$1769:$AC$1782)=0,0,100*SUM($AF$1769:$AF$1782)/SUM($AC$1769:$AC$1782)))</f>
        <v>0</v>
      </c>
      <c r="AI1782">
        <f>IF(OR(AG1782="",AH1782=""),"",IF((AG1782+AH1782)=0,0,100*ABS(AG1782-AH1782)/(AG1782+AH1782)))</f>
        <v>0</v>
      </c>
      <c r="AJ1782">
        <f>IF(COUNT($AI$1769:$AI$1782)&lt;14,"",AVERAGE($AI$1769:$AI$1782))</f>
        <v>0</v>
      </c>
      <c r="AK1782">
        <f>IF(COUNT($E$2:$E1782)&lt;20,"",AVERAGE($E$1763:$E$1782))</f>
        <v>0</v>
      </c>
      <c r="AL1782">
        <f>IF(COUNT($E$2:$E1782)&lt;20,"",STDEVP($E$1763:$E$1782))</f>
        <v>0</v>
      </c>
      <c r="AM1782">
        <f>IF(AK1782="","",AK1782+2*AL1782)</f>
        <v>0</v>
      </c>
      <c r="AN1782">
        <f>IF(AK1782="","",AK1782-2*AL1782)</f>
        <v>0</v>
      </c>
      <c r="AO1782">
        <f>IF(OR(AM1782="",AN1782="",AM1782=AN1782),"",($E1782-AN1782)/(AM1782-AN1782))</f>
        <v>0</v>
      </c>
      <c r="AP1782">
        <f>IF(OR(AM1782="",AK1782="",AK1782=0),"",(AM1782-AN1782)/AK1782)</f>
        <v>0</v>
      </c>
      <c r="AQ1782">
        <f>IF(COUNT($E$2:$E1782)&lt;20,"",MAX($C$1763:$C$1782))</f>
        <v>0</v>
      </c>
      <c r="AR1782">
        <f>IF(COUNT($E$2:$E1782)&lt;20,"",MIN($D$1763:$D$1782))</f>
        <v>0</v>
      </c>
      <c r="AS1782">
        <f>IF(OR(AQ1782="",AR1782=""),"",(AQ1782+AR1782)/2)</f>
        <v>0</v>
      </c>
      <c r="AT1782">
        <f>IF(COUNT($G$1763:$G$1782)&lt;20,"",STDEV($G$1763:$G$1782)*SQRT(252))</f>
        <v>0</v>
      </c>
      <c r="AU1782">
        <f>IF(COUNT($E$2:$E1782)&lt;9,"",(MAX($C$1774:$C$1782)+MIN($D$1774:$D$1782))/2)</f>
        <v>0</v>
      </c>
      <c r="AV1782">
        <f>IF(COUNT($E$2:$E1782)&lt;26,"",(MAX($C$1757:$C$1782)+MIN($D$1757:$D$1782))/2)</f>
        <v>0</v>
      </c>
      <c r="AW1782">
        <f>IF(OR(AU1782="",AV1782=""),"",(AU1782+AV1782)/2)</f>
        <v>0</v>
      </c>
      <c r="AX1782">
        <f>IF(COUNT($E$2:$E1782)&lt;52,"",(MAX($C$1731:$C$1782)+MIN($D$1731:$D$1782))/2)</f>
        <v>0</v>
      </c>
      <c r="AY1782">
        <f>IF(COUNT($E$2:$E1782)&lt;20,"",MAX($C$1683:$C$1782))</f>
        <v>0</v>
      </c>
      <c r="AZ1782">
        <f>IF(COUNT($E$2:$E1782)&lt;20,"",MIN($D$1683:$D$1782))</f>
        <v>0</v>
      </c>
      <c r="BA1782">
        <f>IF(COUNT($E$2:$E1782)&lt;20,"",SLOPE($E$1683:$E$1782,$F$1683:$F$1782))</f>
        <v>0</v>
      </c>
      <c r="BB1782">
        <f>IF(COUNT($E$2:$E1782)&lt;20,"",INTERCEPT($E$1683:$E$1782,$F$1683:$F$1782))</f>
        <v>0</v>
      </c>
      <c r="BC1782">
        <f>IF(OR(BA1782="",BB1782=""),"",BB1782+BA1782*F1782)</f>
        <v>0</v>
      </c>
      <c r="BD1782">
        <f>IF(COUNT($E$2:$E1782)&lt;20,"",STEYX($E$1683:$E$1782,$F$1683:$F$1782))</f>
        <v>0</v>
      </c>
      <c r="BE1782">
        <f>IF($E1782="","",IF(AND(COUNT($E$1783:$E$1786)&gt;=4,$C1782=MAX($C$1778:$C$1786)),$C1782,""))</f>
        <v>0</v>
      </c>
      <c r="BF1782">
        <f>IF($E1782="","",IF(AND(COUNT($E$1783:$E$1786)&gt;=4,$D1782=MIN($D$1778:$D$1786)),$D1782,""))</f>
        <v>0</v>
      </c>
      <c r="BG1782">
        <f>IF($A1782="","",$A1782-WEEKDAY($A1782,2)+1)</f>
        <v>0</v>
      </c>
      <c r="BH1782">
        <f>IF($A1782="","",IF($A1781="",1,IF(BG1782&lt;&gt;BG1781,1,0)))</f>
        <v>0</v>
      </c>
      <c r="BI1782">
        <f>IF($A1782="","",IF($A1783="",1,IF(BG1783&lt;&gt;BG1782,1,0)))</f>
        <v>0</v>
      </c>
      <c r="BJ1782">
        <f>IF($A1782="","",IF(BH1782=1,$B1782,BJ1781))</f>
        <v>0</v>
      </c>
      <c r="BK1782">
        <f>IF($A1782="","",IF(BH1782=1,$C1782,MAX($C1782,BK1781)))</f>
        <v>0</v>
      </c>
      <c r="BL1782">
        <f>IF($A1782="","",IF(BH1782=1,$D1782,MIN($D1782,BL1781)))</f>
        <v>0</v>
      </c>
      <c r="BM1782">
        <f>IF($A1782="","",IF(BI1782=1,F1782,""))</f>
        <v>0</v>
      </c>
      <c r="BN1782">
        <f>IF($A1782="","",DATE(YEAR($A1782),MONTH($A1782),1))</f>
        <v>0</v>
      </c>
      <c r="BO1782">
        <f>IF($A1782="","",IF($A1781="",1,IF(BN1782&lt;&gt;BN1781,1,0)))</f>
        <v>0</v>
      </c>
      <c r="BP1782">
        <f>IF($A1782="","",IF($A1783="",1,IF(BN1783&lt;&gt;BN1782,1,0)))</f>
        <v>0</v>
      </c>
      <c r="BQ1782">
        <f>IF($A1782="","",IF(BO1782=1,$B1782,BQ1781))</f>
        <v>0</v>
      </c>
      <c r="BR1782">
        <f>IF($A1782="","",IF(BO1782=1,$C1782,MAX($C1782,BR1781)))</f>
        <v>0</v>
      </c>
      <c r="BS1782">
        <f>IF($A1782="","",IF(BO1782=1,$D1782,MIN($D1782,BS1781)))</f>
        <v>0</v>
      </c>
      <c r="BT1782">
        <f>IF($A1782="","",IF(BP1782=1,F1782,""))</f>
        <v>0</v>
      </c>
    </row>
    <row r="1783" spans="1:72">
      <c r="A1783" s="27">
        <f>IF(Data!$A1783="","",Data!$A1783)</f>
        <v>0</v>
      </c>
      <c r="B1783">
        <f>IF(Data!$B1783="","",Data!$B1783)</f>
        <v>0</v>
      </c>
      <c r="C1783">
        <f>IF(Data!$C1783="","",Data!$C1783)</f>
        <v>0</v>
      </c>
      <c r="D1783">
        <f>IF(Data!$D1783="","",Data!$D1783)</f>
        <v>0</v>
      </c>
      <c r="E1783">
        <f>IF(Data!$E1783="","",Data!$E1783)</f>
        <v>0</v>
      </c>
      <c r="F1783">
        <f>IF($E1783="","",N(F1782)+1)</f>
        <v>0</v>
      </c>
      <c r="G1783">
        <f>IF(OR($E1783="",$E1782=""),"",LN($E1783/$E1782))</f>
        <v>0</v>
      </c>
      <c r="H1783">
        <f>IF($E1783="","",IF($E1782="",$E1783,$E1783*0.0952380952+H1782*0.9047619048))</f>
        <v>0</v>
      </c>
      <c r="I1783">
        <f>IF($E1783="","",IF($E1782="",$E1783,$E1783*0.0392156863+I1782*0.9607843137))</f>
        <v>0</v>
      </c>
      <c r="J1783">
        <f>IF($E1783="","",IF($E1782="",$E1783,$E1783*0.0198019802+J1782*0.9801980198))</f>
        <v>0</v>
      </c>
      <c r="K1783">
        <f>IF($E1783="","",IF($E1782="",$E1783,$E1783*0.0099502488+K1782*0.9900497512))</f>
        <v>0</v>
      </c>
      <c r="L1783">
        <f>IF(OR($E1783="",$E1782=""),"",MAX($E1783-$E1782,0))</f>
        <v>0</v>
      </c>
      <c r="M1783">
        <f>IF(OR($E1783="",$E1782=""),"",MAX($E1782-$E1783,0))</f>
        <v>0</v>
      </c>
      <c r="N1783">
        <f>IF(COUNT($E$2:$E1783)&lt;15,"",IF(AVERAGE($M$1770:$M$1783)=0,100,100-100/(1+AVERAGE($L$1770:$L$1783)/AVERAGE($M$1770:$M$1783))))</f>
        <v>0</v>
      </c>
      <c r="O1783">
        <f>IF($E1783="","",IF($E1782="",$E1783,$E1783*0.1538461538+O1782*0.8461538462))</f>
        <v>0</v>
      </c>
      <c r="P1783">
        <f>IF($E1783="","",IF($E1782="",$E1783,$E1783*0.0740740741+P1782*0.9259259259))</f>
        <v>0</v>
      </c>
      <c r="Q1783">
        <f>IF(OR(O1783="",P1783=""),"",O1783-P1783)</f>
        <v>0</v>
      </c>
      <c r="R1783">
        <f>IF(Q1783="","",IF(R1782="",Q1783,Q1783*0.2000000000+R1782*0.8000000000))</f>
        <v>0</v>
      </c>
      <c r="S1783">
        <f>IF(OR(Q1783="",R1783=""),"",Q1783-R1783)</f>
        <v>0</v>
      </c>
      <c r="T1783">
        <f>IF(COUNT($E$2:$E1783)&lt;14,"",MAX($C$1770:$C$1783))</f>
        <v>0</v>
      </c>
      <c r="U1783">
        <f>IF(COUNT($E$2:$E1783)&lt;14,"",MIN($D$1770:$D$1783))</f>
        <v>0</v>
      </c>
      <c r="V1783">
        <f>IF(OR(T1783="",U1783="",T1783=U1783),"",100*($E1783-U1783)/(T1783-U1783))</f>
        <v>0</v>
      </c>
      <c r="W1783">
        <f>IF(COUNT($V$1781:$V$1783)&lt;3,"",AVERAGE($V$1781:$V$1783))</f>
        <v>0</v>
      </c>
      <c r="X1783">
        <f>IF(COUNT($N$1770:$N$1783)&lt;14,"",MIN($N$1770:$N$1783))</f>
        <v>0</v>
      </c>
      <c r="Y1783">
        <f>IF(COUNT($N$1770:$N$1783)&lt;14,"",MAX($N$1770:$N$1783))</f>
        <v>0</v>
      </c>
      <c r="Z1783">
        <f>IF(OR(N1783="",X1783="",Y1783="",Y1783=X1783),"",100*(N1783-X1783)/(Y1783-X1783))</f>
        <v>0</v>
      </c>
      <c r="AA1783">
        <f>IF(COUNT($Z$1781:$Z$1783)&lt;3,"",AVERAGE($Z$1781:$Z$1783))</f>
        <v>0</v>
      </c>
      <c r="AB1783">
        <f>IF(COUNT($AA$1781:$AA$1783)&lt;3,"",AVERAGE($AA$1781:$AA$1783))</f>
        <v>0</v>
      </c>
      <c r="AC1783">
        <f>IF($E1783="","",MAX($C1783-$D1783,ABS($C1783-$E1782),ABS($D1783-$E1782)))</f>
        <v>0</v>
      </c>
      <c r="AD1783">
        <f>IF(COUNT($E$2:$E1783)&lt;15,"",AVERAGE($AC$1770:$AC$1783))</f>
        <v>0</v>
      </c>
      <c r="AE1783">
        <f>IF(OR($E1783="",$E1782=""),"",IF(AND(($C1783-$C1782)&gt;($D1782-$D1783),($C1783-$C1782)&gt;0),$C1783-$C1782,0))</f>
        <v>0</v>
      </c>
      <c r="AF1783">
        <f>IF(OR($E1783="",$E1782=""),"",IF(AND(($D1782-$D1783)&gt;($C1783-$C1782),($D1782-$D1783)&gt;0),$D1782-$D1783,0))</f>
        <v>0</v>
      </c>
      <c r="AG1783">
        <f>IF(COUNT($E$2:$E1783)&lt;15,"",IF(SUM($AC$1770:$AC$1783)=0,0,100*SUM($AE$1770:$AE$1783)/SUM($AC$1770:$AC$1783)))</f>
        <v>0</v>
      </c>
      <c r="AH1783">
        <f>IF(COUNT($E$2:$E1783)&lt;15,"",IF(SUM($AC$1770:$AC$1783)=0,0,100*SUM($AF$1770:$AF$1783)/SUM($AC$1770:$AC$1783)))</f>
        <v>0</v>
      </c>
      <c r="AI1783">
        <f>IF(OR(AG1783="",AH1783=""),"",IF((AG1783+AH1783)=0,0,100*ABS(AG1783-AH1783)/(AG1783+AH1783)))</f>
        <v>0</v>
      </c>
      <c r="AJ1783">
        <f>IF(COUNT($AI$1770:$AI$1783)&lt;14,"",AVERAGE($AI$1770:$AI$1783))</f>
        <v>0</v>
      </c>
      <c r="AK1783">
        <f>IF(COUNT($E$2:$E1783)&lt;20,"",AVERAGE($E$1764:$E$1783))</f>
        <v>0</v>
      </c>
      <c r="AL1783">
        <f>IF(COUNT($E$2:$E1783)&lt;20,"",STDEVP($E$1764:$E$1783))</f>
        <v>0</v>
      </c>
      <c r="AM1783">
        <f>IF(AK1783="","",AK1783+2*AL1783)</f>
        <v>0</v>
      </c>
      <c r="AN1783">
        <f>IF(AK1783="","",AK1783-2*AL1783)</f>
        <v>0</v>
      </c>
      <c r="AO1783">
        <f>IF(OR(AM1783="",AN1783="",AM1783=AN1783),"",($E1783-AN1783)/(AM1783-AN1783))</f>
        <v>0</v>
      </c>
      <c r="AP1783">
        <f>IF(OR(AM1783="",AK1783="",AK1783=0),"",(AM1783-AN1783)/AK1783)</f>
        <v>0</v>
      </c>
      <c r="AQ1783">
        <f>IF(COUNT($E$2:$E1783)&lt;20,"",MAX($C$1764:$C$1783))</f>
        <v>0</v>
      </c>
      <c r="AR1783">
        <f>IF(COUNT($E$2:$E1783)&lt;20,"",MIN($D$1764:$D$1783))</f>
        <v>0</v>
      </c>
      <c r="AS1783">
        <f>IF(OR(AQ1783="",AR1783=""),"",(AQ1783+AR1783)/2)</f>
        <v>0</v>
      </c>
      <c r="AT1783">
        <f>IF(COUNT($G$1764:$G$1783)&lt;20,"",STDEV($G$1764:$G$1783)*SQRT(252))</f>
        <v>0</v>
      </c>
      <c r="AU1783">
        <f>IF(COUNT($E$2:$E1783)&lt;9,"",(MAX($C$1775:$C$1783)+MIN($D$1775:$D$1783))/2)</f>
        <v>0</v>
      </c>
      <c r="AV1783">
        <f>IF(COUNT($E$2:$E1783)&lt;26,"",(MAX($C$1758:$C$1783)+MIN($D$1758:$D$1783))/2)</f>
        <v>0</v>
      </c>
      <c r="AW1783">
        <f>IF(OR(AU1783="",AV1783=""),"",(AU1783+AV1783)/2)</f>
        <v>0</v>
      </c>
      <c r="AX1783">
        <f>IF(COUNT($E$2:$E1783)&lt;52,"",(MAX($C$1732:$C$1783)+MIN($D$1732:$D$1783))/2)</f>
        <v>0</v>
      </c>
      <c r="AY1783">
        <f>IF(COUNT($E$2:$E1783)&lt;20,"",MAX($C$1684:$C$1783))</f>
        <v>0</v>
      </c>
      <c r="AZ1783">
        <f>IF(COUNT($E$2:$E1783)&lt;20,"",MIN($D$1684:$D$1783))</f>
        <v>0</v>
      </c>
      <c r="BA1783">
        <f>IF(COUNT($E$2:$E1783)&lt;20,"",SLOPE($E$1684:$E$1783,$F$1684:$F$1783))</f>
        <v>0</v>
      </c>
      <c r="BB1783">
        <f>IF(COUNT($E$2:$E1783)&lt;20,"",INTERCEPT($E$1684:$E$1783,$F$1684:$F$1783))</f>
        <v>0</v>
      </c>
      <c r="BC1783">
        <f>IF(OR(BA1783="",BB1783=""),"",BB1783+BA1783*F1783)</f>
        <v>0</v>
      </c>
      <c r="BD1783">
        <f>IF(COUNT($E$2:$E1783)&lt;20,"",STEYX($E$1684:$E$1783,$F$1684:$F$1783))</f>
        <v>0</v>
      </c>
      <c r="BE1783">
        <f>IF($E1783="","",IF(AND(COUNT($E$1784:$E$1787)&gt;=4,$C1783=MAX($C$1779:$C$1787)),$C1783,""))</f>
        <v>0</v>
      </c>
      <c r="BF1783">
        <f>IF($E1783="","",IF(AND(COUNT($E$1784:$E$1787)&gt;=4,$D1783=MIN($D$1779:$D$1787)),$D1783,""))</f>
        <v>0</v>
      </c>
      <c r="BG1783">
        <f>IF($A1783="","",$A1783-WEEKDAY($A1783,2)+1)</f>
        <v>0</v>
      </c>
      <c r="BH1783">
        <f>IF($A1783="","",IF($A1782="",1,IF(BG1783&lt;&gt;BG1782,1,0)))</f>
        <v>0</v>
      </c>
      <c r="BI1783">
        <f>IF($A1783="","",IF($A1784="",1,IF(BG1784&lt;&gt;BG1783,1,0)))</f>
        <v>0</v>
      </c>
      <c r="BJ1783">
        <f>IF($A1783="","",IF(BH1783=1,$B1783,BJ1782))</f>
        <v>0</v>
      </c>
      <c r="BK1783">
        <f>IF($A1783="","",IF(BH1783=1,$C1783,MAX($C1783,BK1782)))</f>
        <v>0</v>
      </c>
      <c r="BL1783">
        <f>IF($A1783="","",IF(BH1783=1,$D1783,MIN($D1783,BL1782)))</f>
        <v>0</v>
      </c>
      <c r="BM1783">
        <f>IF($A1783="","",IF(BI1783=1,F1783,""))</f>
        <v>0</v>
      </c>
      <c r="BN1783">
        <f>IF($A1783="","",DATE(YEAR($A1783),MONTH($A1783),1))</f>
        <v>0</v>
      </c>
      <c r="BO1783">
        <f>IF($A1783="","",IF($A1782="",1,IF(BN1783&lt;&gt;BN1782,1,0)))</f>
        <v>0</v>
      </c>
      <c r="BP1783">
        <f>IF($A1783="","",IF($A1784="",1,IF(BN1784&lt;&gt;BN1783,1,0)))</f>
        <v>0</v>
      </c>
      <c r="BQ1783">
        <f>IF($A1783="","",IF(BO1783=1,$B1783,BQ1782))</f>
        <v>0</v>
      </c>
      <c r="BR1783">
        <f>IF($A1783="","",IF(BO1783=1,$C1783,MAX($C1783,BR1782)))</f>
        <v>0</v>
      </c>
      <c r="BS1783">
        <f>IF($A1783="","",IF(BO1783=1,$D1783,MIN($D1783,BS1782)))</f>
        <v>0</v>
      </c>
      <c r="BT1783">
        <f>IF($A1783="","",IF(BP1783=1,F1783,""))</f>
        <v>0</v>
      </c>
    </row>
    <row r="1784" spans="1:72">
      <c r="A1784" s="27">
        <f>IF(Data!$A1784="","",Data!$A1784)</f>
        <v>0</v>
      </c>
      <c r="B1784">
        <f>IF(Data!$B1784="","",Data!$B1784)</f>
        <v>0</v>
      </c>
      <c r="C1784">
        <f>IF(Data!$C1784="","",Data!$C1784)</f>
        <v>0</v>
      </c>
      <c r="D1784">
        <f>IF(Data!$D1784="","",Data!$D1784)</f>
        <v>0</v>
      </c>
      <c r="E1784">
        <f>IF(Data!$E1784="","",Data!$E1784)</f>
        <v>0</v>
      </c>
      <c r="F1784">
        <f>IF($E1784="","",N(F1783)+1)</f>
        <v>0</v>
      </c>
      <c r="G1784">
        <f>IF(OR($E1784="",$E1783=""),"",LN($E1784/$E1783))</f>
        <v>0</v>
      </c>
      <c r="H1784">
        <f>IF($E1784="","",IF($E1783="",$E1784,$E1784*0.0952380952+H1783*0.9047619048))</f>
        <v>0</v>
      </c>
      <c r="I1784">
        <f>IF($E1784="","",IF($E1783="",$E1784,$E1784*0.0392156863+I1783*0.9607843137))</f>
        <v>0</v>
      </c>
      <c r="J1784">
        <f>IF($E1784="","",IF($E1783="",$E1784,$E1784*0.0198019802+J1783*0.9801980198))</f>
        <v>0</v>
      </c>
      <c r="K1784">
        <f>IF($E1784="","",IF($E1783="",$E1784,$E1784*0.0099502488+K1783*0.9900497512))</f>
        <v>0</v>
      </c>
      <c r="L1784">
        <f>IF(OR($E1784="",$E1783=""),"",MAX($E1784-$E1783,0))</f>
        <v>0</v>
      </c>
      <c r="M1784">
        <f>IF(OR($E1784="",$E1783=""),"",MAX($E1783-$E1784,0))</f>
        <v>0</v>
      </c>
      <c r="N1784">
        <f>IF(COUNT($E$2:$E1784)&lt;15,"",IF(AVERAGE($M$1771:$M$1784)=0,100,100-100/(1+AVERAGE($L$1771:$L$1784)/AVERAGE($M$1771:$M$1784))))</f>
        <v>0</v>
      </c>
      <c r="O1784">
        <f>IF($E1784="","",IF($E1783="",$E1784,$E1784*0.1538461538+O1783*0.8461538462))</f>
        <v>0</v>
      </c>
      <c r="P1784">
        <f>IF($E1784="","",IF($E1783="",$E1784,$E1784*0.0740740741+P1783*0.9259259259))</f>
        <v>0</v>
      </c>
      <c r="Q1784">
        <f>IF(OR(O1784="",P1784=""),"",O1784-P1784)</f>
        <v>0</v>
      </c>
      <c r="R1784">
        <f>IF(Q1784="","",IF(R1783="",Q1784,Q1784*0.2000000000+R1783*0.8000000000))</f>
        <v>0</v>
      </c>
      <c r="S1784">
        <f>IF(OR(Q1784="",R1784=""),"",Q1784-R1784)</f>
        <v>0</v>
      </c>
      <c r="T1784">
        <f>IF(COUNT($E$2:$E1784)&lt;14,"",MAX($C$1771:$C$1784))</f>
        <v>0</v>
      </c>
      <c r="U1784">
        <f>IF(COUNT($E$2:$E1784)&lt;14,"",MIN($D$1771:$D$1784))</f>
        <v>0</v>
      </c>
      <c r="V1784">
        <f>IF(OR(T1784="",U1784="",T1784=U1784),"",100*($E1784-U1784)/(T1784-U1784))</f>
        <v>0</v>
      </c>
      <c r="W1784">
        <f>IF(COUNT($V$1782:$V$1784)&lt;3,"",AVERAGE($V$1782:$V$1784))</f>
        <v>0</v>
      </c>
      <c r="X1784">
        <f>IF(COUNT($N$1771:$N$1784)&lt;14,"",MIN($N$1771:$N$1784))</f>
        <v>0</v>
      </c>
      <c r="Y1784">
        <f>IF(COUNT($N$1771:$N$1784)&lt;14,"",MAX($N$1771:$N$1784))</f>
        <v>0</v>
      </c>
      <c r="Z1784">
        <f>IF(OR(N1784="",X1784="",Y1784="",Y1784=X1784),"",100*(N1784-X1784)/(Y1784-X1784))</f>
        <v>0</v>
      </c>
      <c r="AA1784">
        <f>IF(COUNT($Z$1782:$Z$1784)&lt;3,"",AVERAGE($Z$1782:$Z$1784))</f>
        <v>0</v>
      </c>
      <c r="AB1784">
        <f>IF(COUNT($AA$1782:$AA$1784)&lt;3,"",AVERAGE($AA$1782:$AA$1784))</f>
        <v>0</v>
      </c>
      <c r="AC1784">
        <f>IF($E1784="","",MAX($C1784-$D1784,ABS($C1784-$E1783),ABS($D1784-$E1783)))</f>
        <v>0</v>
      </c>
      <c r="AD1784">
        <f>IF(COUNT($E$2:$E1784)&lt;15,"",AVERAGE($AC$1771:$AC$1784))</f>
        <v>0</v>
      </c>
      <c r="AE1784">
        <f>IF(OR($E1784="",$E1783=""),"",IF(AND(($C1784-$C1783)&gt;($D1783-$D1784),($C1784-$C1783)&gt;0),$C1784-$C1783,0))</f>
        <v>0</v>
      </c>
      <c r="AF1784">
        <f>IF(OR($E1784="",$E1783=""),"",IF(AND(($D1783-$D1784)&gt;($C1784-$C1783),($D1783-$D1784)&gt;0),$D1783-$D1784,0))</f>
        <v>0</v>
      </c>
      <c r="AG1784">
        <f>IF(COUNT($E$2:$E1784)&lt;15,"",IF(SUM($AC$1771:$AC$1784)=0,0,100*SUM($AE$1771:$AE$1784)/SUM($AC$1771:$AC$1784)))</f>
        <v>0</v>
      </c>
      <c r="AH1784">
        <f>IF(COUNT($E$2:$E1784)&lt;15,"",IF(SUM($AC$1771:$AC$1784)=0,0,100*SUM($AF$1771:$AF$1784)/SUM($AC$1771:$AC$1784)))</f>
        <v>0</v>
      </c>
      <c r="AI1784">
        <f>IF(OR(AG1784="",AH1784=""),"",IF((AG1784+AH1784)=0,0,100*ABS(AG1784-AH1784)/(AG1784+AH1784)))</f>
        <v>0</v>
      </c>
      <c r="AJ1784">
        <f>IF(COUNT($AI$1771:$AI$1784)&lt;14,"",AVERAGE($AI$1771:$AI$1784))</f>
        <v>0</v>
      </c>
      <c r="AK1784">
        <f>IF(COUNT($E$2:$E1784)&lt;20,"",AVERAGE($E$1765:$E$1784))</f>
        <v>0</v>
      </c>
      <c r="AL1784">
        <f>IF(COUNT($E$2:$E1784)&lt;20,"",STDEVP($E$1765:$E$1784))</f>
        <v>0</v>
      </c>
      <c r="AM1784">
        <f>IF(AK1784="","",AK1784+2*AL1784)</f>
        <v>0</v>
      </c>
      <c r="AN1784">
        <f>IF(AK1784="","",AK1784-2*AL1784)</f>
        <v>0</v>
      </c>
      <c r="AO1784">
        <f>IF(OR(AM1784="",AN1784="",AM1784=AN1784),"",($E1784-AN1784)/(AM1784-AN1784))</f>
        <v>0</v>
      </c>
      <c r="AP1784">
        <f>IF(OR(AM1784="",AK1784="",AK1784=0),"",(AM1784-AN1784)/AK1784)</f>
        <v>0</v>
      </c>
      <c r="AQ1784">
        <f>IF(COUNT($E$2:$E1784)&lt;20,"",MAX($C$1765:$C$1784))</f>
        <v>0</v>
      </c>
      <c r="AR1784">
        <f>IF(COUNT($E$2:$E1784)&lt;20,"",MIN($D$1765:$D$1784))</f>
        <v>0</v>
      </c>
      <c r="AS1784">
        <f>IF(OR(AQ1784="",AR1784=""),"",(AQ1784+AR1784)/2)</f>
        <v>0</v>
      </c>
      <c r="AT1784">
        <f>IF(COUNT($G$1765:$G$1784)&lt;20,"",STDEV($G$1765:$G$1784)*SQRT(252))</f>
        <v>0</v>
      </c>
      <c r="AU1784">
        <f>IF(COUNT($E$2:$E1784)&lt;9,"",(MAX($C$1776:$C$1784)+MIN($D$1776:$D$1784))/2)</f>
        <v>0</v>
      </c>
      <c r="AV1784">
        <f>IF(COUNT($E$2:$E1784)&lt;26,"",(MAX($C$1759:$C$1784)+MIN($D$1759:$D$1784))/2)</f>
        <v>0</v>
      </c>
      <c r="AW1784">
        <f>IF(OR(AU1784="",AV1784=""),"",(AU1784+AV1784)/2)</f>
        <v>0</v>
      </c>
      <c r="AX1784">
        <f>IF(COUNT($E$2:$E1784)&lt;52,"",(MAX($C$1733:$C$1784)+MIN($D$1733:$D$1784))/2)</f>
        <v>0</v>
      </c>
      <c r="AY1784">
        <f>IF(COUNT($E$2:$E1784)&lt;20,"",MAX($C$1685:$C$1784))</f>
        <v>0</v>
      </c>
      <c r="AZ1784">
        <f>IF(COUNT($E$2:$E1784)&lt;20,"",MIN($D$1685:$D$1784))</f>
        <v>0</v>
      </c>
      <c r="BA1784">
        <f>IF(COUNT($E$2:$E1784)&lt;20,"",SLOPE($E$1685:$E$1784,$F$1685:$F$1784))</f>
        <v>0</v>
      </c>
      <c r="BB1784">
        <f>IF(COUNT($E$2:$E1784)&lt;20,"",INTERCEPT($E$1685:$E$1784,$F$1685:$F$1784))</f>
        <v>0</v>
      </c>
      <c r="BC1784">
        <f>IF(OR(BA1784="",BB1784=""),"",BB1784+BA1784*F1784)</f>
        <v>0</v>
      </c>
      <c r="BD1784">
        <f>IF(COUNT($E$2:$E1784)&lt;20,"",STEYX($E$1685:$E$1784,$F$1685:$F$1784))</f>
        <v>0</v>
      </c>
      <c r="BE1784">
        <f>IF($E1784="","",IF(AND(COUNT($E$1785:$E$1788)&gt;=4,$C1784=MAX($C$1780:$C$1788)),$C1784,""))</f>
        <v>0</v>
      </c>
      <c r="BF1784">
        <f>IF($E1784="","",IF(AND(COUNT($E$1785:$E$1788)&gt;=4,$D1784=MIN($D$1780:$D$1788)),$D1784,""))</f>
        <v>0</v>
      </c>
      <c r="BG1784">
        <f>IF($A1784="","",$A1784-WEEKDAY($A1784,2)+1)</f>
        <v>0</v>
      </c>
      <c r="BH1784">
        <f>IF($A1784="","",IF($A1783="",1,IF(BG1784&lt;&gt;BG1783,1,0)))</f>
        <v>0</v>
      </c>
      <c r="BI1784">
        <f>IF($A1784="","",IF($A1785="",1,IF(BG1785&lt;&gt;BG1784,1,0)))</f>
        <v>0</v>
      </c>
      <c r="BJ1784">
        <f>IF($A1784="","",IF(BH1784=1,$B1784,BJ1783))</f>
        <v>0</v>
      </c>
      <c r="BK1784">
        <f>IF($A1784="","",IF(BH1784=1,$C1784,MAX($C1784,BK1783)))</f>
        <v>0</v>
      </c>
      <c r="BL1784">
        <f>IF($A1784="","",IF(BH1784=1,$D1784,MIN($D1784,BL1783)))</f>
        <v>0</v>
      </c>
      <c r="BM1784">
        <f>IF($A1784="","",IF(BI1784=1,F1784,""))</f>
        <v>0</v>
      </c>
      <c r="BN1784">
        <f>IF($A1784="","",DATE(YEAR($A1784),MONTH($A1784),1))</f>
        <v>0</v>
      </c>
      <c r="BO1784">
        <f>IF($A1784="","",IF($A1783="",1,IF(BN1784&lt;&gt;BN1783,1,0)))</f>
        <v>0</v>
      </c>
      <c r="BP1784">
        <f>IF($A1784="","",IF($A1785="",1,IF(BN1785&lt;&gt;BN1784,1,0)))</f>
        <v>0</v>
      </c>
      <c r="BQ1784">
        <f>IF($A1784="","",IF(BO1784=1,$B1784,BQ1783))</f>
        <v>0</v>
      </c>
      <c r="BR1784">
        <f>IF($A1784="","",IF(BO1784=1,$C1784,MAX($C1784,BR1783)))</f>
        <v>0</v>
      </c>
      <c r="BS1784">
        <f>IF($A1784="","",IF(BO1784=1,$D1784,MIN($D1784,BS1783)))</f>
        <v>0</v>
      </c>
      <c r="BT1784">
        <f>IF($A1784="","",IF(BP1784=1,F1784,""))</f>
        <v>0</v>
      </c>
    </row>
    <row r="1785" spans="1:72">
      <c r="A1785" s="27">
        <f>IF(Data!$A1785="","",Data!$A1785)</f>
        <v>0</v>
      </c>
      <c r="B1785">
        <f>IF(Data!$B1785="","",Data!$B1785)</f>
        <v>0</v>
      </c>
      <c r="C1785">
        <f>IF(Data!$C1785="","",Data!$C1785)</f>
        <v>0</v>
      </c>
      <c r="D1785">
        <f>IF(Data!$D1785="","",Data!$D1785)</f>
        <v>0</v>
      </c>
      <c r="E1785">
        <f>IF(Data!$E1785="","",Data!$E1785)</f>
        <v>0</v>
      </c>
      <c r="F1785">
        <f>IF($E1785="","",N(F1784)+1)</f>
        <v>0</v>
      </c>
      <c r="G1785">
        <f>IF(OR($E1785="",$E1784=""),"",LN($E1785/$E1784))</f>
        <v>0</v>
      </c>
      <c r="H1785">
        <f>IF($E1785="","",IF($E1784="",$E1785,$E1785*0.0952380952+H1784*0.9047619048))</f>
        <v>0</v>
      </c>
      <c r="I1785">
        <f>IF($E1785="","",IF($E1784="",$E1785,$E1785*0.0392156863+I1784*0.9607843137))</f>
        <v>0</v>
      </c>
      <c r="J1785">
        <f>IF($E1785="","",IF($E1784="",$E1785,$E1785*0.0198019802+J1784*0.9801980198))</f>
        <v>0</v>
      </c>
      <c r="K1785">
        <f>IF($E1785="","",IF($E1784="",$E1785,$E1785*0.0099502488+K1784*0.9900497512))</f>
        <v>0</v>
      </c>
      <c r="L1785">
        <f>IF(OR($E1785="",$E1784=""),"",MAX($E1785-$E1784,0))</f>
        <v>0</v>
      </c>
      <c r="M1785">
        <f>IF(OR($E1785="",$E1784=""),"",MAX($E1784-$E1785,0))</f>
        <v>0</v>
      </c>
      <c r="N1785">
        <f>IF(COUNT($E$2:$E1785)&lt;15,"",IF(AVERAGE($M$1772:$M$1785)=0,100,100-100/(1+AVERAGE($L$1772:$L$1785)/AVERAGE($M$1772:$M$1785))))</f>
        <v>0</v>
      </c>
      <c r="O1785">
        <f>IF($E1785="","",IF($E1784="",$E1785,$E1785*0.1538461538+O1784*0.8461538462))</f>
        <v>0</v>
      </c>
      <c r="P1785">
        <f>IF($E1785="","",IF($E1784="",$E1785,$E1785*0.0740740741+P1784*0.9259259259))</f>
        <v>0</v>
      </c>
      <c r="Q1785">
        <f>IF(OR(O1785="",P1785=""),"",O1785-P1785)</f>
        <v>0</v>
      </c>
      <c r="R1785">
        <f>IF(Q1785="","",IF(R1784="",Q1785,Q1785*0.2000000000+R1784*0.8000000000))</f>
        <v>0</v>
      </c>
      <c r="S1785">
        <f>IF(OR(Q1785="",R1785=""),"",Q1785-R1785)</f>
        <v>0</v>
      </c>
      <c r="T1785">
        <f>IF(COUNT($E$2:$E1785)&lt;14,"",MAX($C$1772:$C$1785))</f>
        <v>0</v>
      </c>
      <c r="U1785">
        <f>IF(COUNT($E$2:$E1785)&lt;14,"",MIN($D$1772:$D$1785))</f>
        <v>0</v>
      </c>
      <c r="V1785">
        <f>IF(OR(T1785="",U1785="",T1785=U1785),"",100*($E1785-U1785)/(T1785-U1785))</f>
        <v>0</v>
      </c>
      <c r="W1785">
        <f>IF(COUNT($V$1783:$V$1785)&lt;3,"",AVERAGE($V$1783:$V$1785))</f>
        <v>0</v>
      </c>
      <c r="X1785">
        <f>IF(COUNT($N$1772:$N$1785)&lt;14,"",MIN($N$1772:$N$1785))</f>
        <v>0</v>
      </c>
      <c r="Y1785">
        <f>IF(COUNT($N$1772:$N$1785)&lt;14,"",MAX($N$1772:$N$1785))</f>
        <v>0</v>
      </c>
      <c r="Z1785">
        <f>IF(OR(N1785="",X1785="",Y1785="",Y1785=X1785),"",100*(N1785-X1785)/(Y1785-X1785))</f>
        <v>0</v>
      </c>
      <c r="AA1785">
        <f>IF(COUNT($Z$1783:$Z$1785)&lt;3,"",AVERAGE($Z$1783:$Z$1785))</f>
        <v>0</v>
      </c>
      <c r="AB1785">
        <f>IF(COUNT($AA$1783:$AA$1785)&lt;3,"",AVERAGE($AA$1783:$AA$1785))</f>
        <v>0</v>
      </c>
      <c r="AC1785">
        <f>IF($E1785="","",MAX($C1785-$D1785,ABS($C1785-$E1784),ABS($D1785-$E1784)))</f>
        <v>0</v>
      </c>
      <c r="AD1785">
        <f>IF(COUNT($E$2:$E1785)&lt;15,"",AVERAGE($AC$1772:$AC$1785))</f>
        <v>0</v>
      </c>
      <c r="AE1785">
        <f>IF(OR($E1785="",$E1784=""),"",IF(AND(($C1785-$C1784)&gt;($D1784-$D1785),($C1785-$C1784)&gt;0),$C1785-$C1784,0))</f>
        <v>0</v>
      </c>
      <c r="AF1785">
        <f>IF(OR($E1785="",$E1784=""),"",IF(AND(($D1784-$D1785)&gt;($C1785-$C1784),($D1784-$D1785)&gt;0),$D1784-$D1785,0))</f>
        <v>0</v>
      </c>
      <c r="AG1785">
        <f>IF(COUNT($E$2:$E1785)&lt;15,"",IF(SUM($AC$1772:$AC$1785)=0,0,100*SUM($AE$1772:$AE$1785)/SUM($AC$1772:$AC$1785)))</f>
        <v>0</v>
      </c>
      <c r="AH1785">
        <f>IF(COUNT($E$2:$E1785)&lt;15,"",IF(SUM($AC$1772:$AC$1785)=0,0,100*SUM($AF$1772:$AF$1785)/SUM($AC$1772:$AC$1785)))</f>
        <v>0</v>
      </c>
      <c r="AI1785">
        <f>IF(OR(AG1785="",AH1785=""),"",IF((AG1785+AH1785)=0,0,100*ABS(AG1785-AH1785)/(AG1785+AH1785)))</f>
        <v>0</v>
      </c>
      <c r="AJ1785">
        <f>IF(COUNT($AI$1772:$AI$1785)&lt;14,"",AVERAGE($AI$1772:$AI$1785))</f>
        <v>0</v>
      </c>
      <c r="AK1785">
        <f>IF(COUNT($E$2:$E1785)&lt;20,"",AVERAGE($E$1766:$E$1785))</f>
        <v>0</v>
      </c>
      <c r="AL1785">
        <f>IF(COUNT($E$2:$E1785)&lt;20,"",STDEVP($E$1766:$E$1785))</f>
        <v>0</v>
      </c>
      <c r="AM1785">
        <f>IF(AK1785="","",AK1785+2*AL1785)</f>
        <v>0</v>
      </c>
      <c r="AN1785">
        <f>IF(AK1785="","",AK1785-2*AL1785)</f>
        <v>0</v>
      </c>
      <c r="AO1785">
        <f>IF(OR(AM1785="",AN1785="",AM1785=AN1785),"",($E1785-AN1785)/(AM1785-AN1785))</f>
        <v>0</v>
      </c>
      <c r="AP1785">
        <f>IF(OR(AM1785="",AK1785="",AK1785=0),"",(AM1785-AN1785)/AK1785)</f>
        <v>0</v>
      </c>
      <c r="AQ1785">
        <f>IF(COUNT($E$2:$E1785)&lt;20,"",MAX($C$1766:$C$1785))</f>
        <v>0</v>
      </c>
      <c r="AR1785">
        <f>IF(COUNT($E$2:$E1785)&lt;20,"",MIN($D$1766:$D$1785))</f>
        <v>0</v>
      </c>
      <c r="AS1785">
        <f>IF(OR(AQ1785="",AR1785=""),"",(AQ1785+AR1785)/2)</f>
        <v>0</v>
      </c>
      <c r="AT1785">
        <f>IF(COUNT($G$1766:$G$1785)&lt;20,"",STDEV($G$1766:$G$1785)*SQRT(252))</f>
        <v>0</v>
      </c>
      <c r="AU1785">
        <f>IF(COUNT($E$2:$E1785)&lt;9,"",(MAX($C$1777:$C$1785)+MIN($D$1777:$D$1785))/2)</f>
        <v>0</v>
      </c>
      <c r="AV1785">
        <f>IF(COUNT($E$2:$E1785)&lt;26,"",(MAX($C$1760:$C$1785)+MIN($D$1760:$D$1785))/2)</f>
        <v>0</v>
      </c>
      <c r="AW1785">
        <f>IF(OR(AU1785="",AV1785=""),"",(AU1785+AV1785)/2)</f>
        <v>0</v>
      </c>
      <c r="AX1785">
        <f>IF(COUNT($E$2:$E1785)&lt;52,"",(MAX($C$1734:$C$1785)+MIN($D$1734:$D$1785))/2)</f>
        <v>0</v>
      </c>
      <c r="AY1785">
        <f>IF(COUNT($E$2:$E1785)&lt;20,"",MAX($C$1686:$C$1785))</f>
        <v>0</v>
      </c>
      <c r="AZ1785">
        <f>IF(COUNT($E$2:$E1785)&lt;20,"",MIN($D$1686:$D$1785))</f>
        <v>0</v>
      </c>
      <c r="BA1785">
        <f>IF(COUNT($E$2:$E1785)&lt;20,"",SLOPE($E$1686:$E$1785,$F$1686:$F$1785))</f>
        <v>0</v>
      </c>
      <c r="BB1785">
        <f>IF(COUNT($E$2:$E1785)&lt;20,"",INTERCEPT($E$1686:$E$1785,$F$1686:$F$1785))</f>
        <v>0</v>
      </c>
      <c r="BC1785">
        <f>IF(OR(BA1785="",BB1785=""),"",BB1785+BA1785*F1785)</f>
        <v>0</v>
      </c>
      <c r="BD1785">
        <f>IF(COUNT($E$2:$E1785)&lt;20,"",STEYX($E$1686:$E$1785,$F$1686:$F$1785))</f>
        <v>0</v>
      </c>
      <c r="BE1785">
        <f>IF($E1785="","",IF(AND(COUNT($E$1786:$E$1789)&gt;=4,$C1785=MAX($C$1781:$C$1789)),$C1785,""))</f>
        <v>0</v>
      </c>
      <c r="BF1785">
        <f>IF($E1785="","",IF(AND(COUNT($E$1786:$E$1789)&gt;=4,$D1785=MIN($D$1781:$D$1789)),$D1785,""))</f>
        <v>0</v>
      </c>
      <c r="BG1785">
        <f>IF($A1785="","",$A1785-WEEKDAY($A1785,2)+1)</f>
        <v>0</v>
      </c>
      <c r="BH1785">
        <f>IF($A1785="","",IF($A1784="",1,IF(BG1785&lt;&gt;BG1784,1,0)))</f>
        <v>0</v>
      </c>
      <c r="BI1785">
        <f>IF($A1785="","",IF($A1786="",1,IF(BG1786&lt;&gt;BG1785,1,0)))</f>
        <v>0</v>
      </c>
      <c r="BJ1785">
        <f>IF($A1785="","",IF(BH1785=1,$B1785,BJ1784))</f>
        <v>0</v>
      </c>
      <c r="BK1785">
        <f>IF($A1785="","",IF(BH1785=1,$C1785,MAX($C1785,BK1784)))</f>
        <v>0</v>
      </c>
      <c r="BL1785">
        <f>IF($A1785="","",IF(BH1785=1,$D1785,MIN($D1785,BL1784)))</f>
        <v>0</v>
      </c>
      <c r="BM1785">
        <f>IF($A1785="","",IF(BI1785=1,F1785,""))</f>
        <v>0</v>
      </c>
      <c r="BN1785">
        <f>IF($A1785="","",DATE(YEAR($A1785),MONTH($A1785),1))</f>
        <v>0</v>
      </c>
      <c r="BO1785">
        <f>IF($A1785="","",IF($A1784="",1,IF(BN1785&lt;&gt;BN1784,1,0)))</f>
        <v>0</v>
      </c>
      <c r="BP1785">
        <f>IF($A1785="","",IF($A1786="",1,IF(BN1786&lt;&gt;BN1785,1,0)))</f>
        <v>0</v>
      </c>
      <c r="BQ1785">
        <f>IF($A1785="","",IF(BO1785=1,$B1785,BQ1784))</f>
        <v>0</v>
      </c>
      <c r="BR1785">
        <f>IF($A1785="","",IF(BO1785=1,$C1785,MAX($C1785,BR1784)))</f>
        <v>0</v>
      </c>
      <c r="BS1785">
        <f>IF($A1785="","",IF(BO1785=1,$D1785,MIN($D1785,BS1784)))</f>
        <v>0</v>
      </c>
      <c r="BT1785">
        <f>IF($A1785="","",IF(BP1785=1,F1785,""))</f>
        <v>0</v>
      </c>
    </row>
    <row r="1786" spans="1:72">
      <c r="A1786" s="27">
        <f>IF(Data!$A1786="","",Data!$A1786)</f>
        <v>0</v>
      </c>
      <c r="B1786">
        <f>IF(Data!$B1786="","",Data!$B1786)</f>
        <v>0</v>
      </c>
      <c r="C1786">
        <f>IF(Data!$C1786="","",Data!$C1786)</f>
        <v>0</v>
      </c>
      <c r="D1786">
        <f>IF(Data!$D1786="","",Data!$D1786)</f>
        <v>0</v>
      </c>
      <c r="E1786">
        <f>IF(Data!$E1786="","",Data!$E1786)</f>
        <v>0</v>
      </c>
      <c r="F1786">
        <f>IF($E1786="","",N(F1785)+1)</f>
        <v>0</v>
      </c>
      <c r="G1786">
        <f>IF(OR($E1786="",$E1785=""),"",LN($E1786/$E1785))</f>
        <v>0</v>
      </c>
      <c r="H1786">
        <f>IF($E1786="","",IF($E1785="",$E1786,$E1786*0.0952380952+H1785*0.9047619048))</f>
        <v>0</v>
      </c>
      <c r="I1786">
        <f>IF($E1786="","",IF($E1785="",$E1786,$E1786*0.0392156863+I1785*0.9607843137))</f>
        <v>0</v>
      </c>
      <c r="J1786">
        <f>IF($E1786="","",IF($E1785="",$E1786,$E1786*0.0198019802+J1785*0.9801980198))</f>
        <v>0</v>
      </c>
      <c r="K1786">
        <f>IF($E1786="","",IF($E1785="",$E1786,$E1786*0.0099502488+K1785*0.9900497512))</f>
        <v>0</v>
      </c>
      <c r="L1786">
        <f>IF(OR($E1786="",$E1785=""),"",MAX($E1786-$E1785,0))</f>
        <v>0</v>
      </c>
      <c r="M1786">
        <f>IF(OR($E1786="",$E1785=""),"",MAX($E1785-$E1786,0))</f>
        <v>0</v>
      </c>
      <c r="N1786">
        <f>IF(COUNT($E$2:$E1786)&lt;15,"",IF(AVERAGE($M$1773:$M$1786)=0,100,100-100/(1+AVERAGE($L$1773:$L$1786)/AVERAGE($M$1773:$M$1786))))</f>
        <v>0</v>
      </c>
      <c r="O1786">
        <f>IF($E1786="","",IF($E1785="",$E1786,$E1786*0.1538461538+O1785*0.8461538462))</f>
        <v>0</v>
      </c>
      <c r="P1786">
        <f>IF($E1786="","",IF($E1785="",$E1786,$E1786*0.0740740741+P1785*0.9259259259))</f>
        <v>0</v>
      </c>
      <c r="Q1786">
        <f>IF(OR(O1786="",P1786=""),"",O1786-P1786)</f>
        <v>0</v>
      </c>
      <c r="R1786">
        <f>IF(Q1786="","",IF(R1785="",Q1786,Q1786*0.2000000000+R1785*0.8000000000))</f>
        <v>0</v>
      </c>
      <c r="S1786">
        <f>IF(OR(Q1786="",R1786=""),"",Q1786-R1786)</f>
        <v>0</v>
      </c>
      <c r="T1786">
        <f>IF(COUNT($E$2:$E1786)&lt;14,"",MAX($C$1773:$C$1786))</f>
        <v>0</v>
      </c>
      <c r="U1786">
        <f>IF(COUNT($E$2:$E1786)&lt;14,"",MIN($D$1773:$D$1786))</f>
        <v>0</v>
      </c>
      <c r="V1786">
        <f>IF(OR(T1786="",U1786="",T1786=U1786),"",100*($E1786-U1786)/(T1786-U1786))</f>
        <v>0</v>
      </c>
      <c r="W1786">
        <f>IF(COUNT($V$1784:$V$1786)&lt;3,"",AVERAGE($V$1784:$V$1786))</f>
        <v>0</v>
      </c>
      <c r="X1786">
        <f>IF(COUNT($N$1773:$N$1786)&lt;14,"",MIN($N$1773:$N$1786))</f>
        <v>0</v>
      </c>
      <c r="Y1786">
        <f>IF(COUNT($N$1773:$N$1786)&lt;14,"",MAX($N$1773:$N$1786))</f>
        <v>0</v>
      </c>
      <c r="Z1786">
        <f>IF(OR(N1786="",X1786="",Y1786="",Y1786=X1786),"",100*(N1786-X1786)/(Y1786-X1786))</f>
        <v>0</v>
      </c>
      <c r="AA1786">
        <f>IF(COUNT($Z$1784:$Z$1786)&lt;3,"",AVERAGE($Z$1784:$Z$1786))</f>
        <v>0</v>
      </c>
      <c r="AB1786">
        <f>IF(COUNT($AA$1784:$AA$1786)&lt;3,"",AVERAGE($AA$1784:$AA$1786))</f>
        <v>0</v>
      </c>
      <c r="AC1786">
        <f>IF($E1786="","",MAX($C1786-$D1786,ABS($C1786-$E1785),ABS($D1786-$E1785)))</f>
        <v>0</v>
      </c>
      <c r="AD1786">
        <f>IF(COUNT($E$2:$E1786)&lt;15,"",AVERAGE($AC$1773:$AC$1786))</f>
        <v>0</v>
      </c>
      <c r="AE1786">
        <f>IF(OR($E1786="",$E1785=""),"",IF(AND(($C1786-$C1785)&gt;($D1785-$D1786),($C1786-$C1785)&gt;0),$C1786-$C1785,0))</f>
        <v>0</v>
      </c>
      <c r="AF1786">
        <f>IF(OR($E1786="",$E1785=""),"",IF(AND(($D1785-$D1786)&gt;($C1786-$C1785),($D1785-$D1786)&gt;0),$D1785-$D1786,0))</f>
        <v>0</v>
      </c>
      <c r="AG1786">
        <f>IF(COUNT($E$2:$E1786)&lt;15,"",IF(SUM($AC$1773:$AC$1786)=0,0,100*SUM($AE$1773:$AE$1786)/SUM($AC$1773:$AC$1786)))</f>
        <v>0</v>
      </c>
      <c r="AH1786">
        <f>IF(COUNT($E$2:$E1786)&lt;15,"",IF(SUM($AC$1773:$AC$1786)=0,0,100*SUM($AF$1773:$AF$1786)/SUM($AC$1773:$AC$1786)))</f>
        <v>0</v>
      </c>
      <c r="AI1786">
        <f>IF(OR(AG1786="",AH1786=""),"",IF((AG1786+AH1786)=0,0,100*ABS(AG1786-AH1786)/(AG1786+AH1786)))</f>
        <v>0</v>
      </c>
      <c r="AJ1786">
        <f>IF(COUNT($AI$1773:$AI$1786)&lt;14,"",AVERAGE($AI$1773:$AI$1786))</f>
        <v>0</v>
      </c>
      <c r="AK1786">
        <f>IF(COUNT($E$2:$E1786)&lt;20,"",AVERAGE($E$1767:$E$1786))</f>
        <v>0</v>
      </c>
      <c r="AL1786">
        <f>IF(COUNT($E$2:$E1786)&lt;20,"",STDEVP($E$1767:$E$1786))</f>
        <v>0</v>
      </c>
      <c r="AM1786">
        <f>IF(AK1786="","",AK1786+2*AL1786)</f>
        <v>0</v>
      </c>
      <c r="AN1786">
        <f>IF(AK1786="","",AK1786-2*AL1786)</f>
        <v>0</v>
      </c>
      <c r="AO1786">
        <f>IF(OR(AM1786="",AN1786="",AM1786=AN1786),"",($E1786-AN1786)/(AM1786-AN1786))</f>
        <v>0</v>
      </c>
      <c r="AP1786">
        <f>IF(OR(AM1786="",AK1786="",AK1786=0),"",(AM1786-AN1786)/AK1786)</f>
        <v>0</v>
      </c>
      <c r="AQ1786">
        <f>IF(COUNT($E$2:$E1786)&lt;20,"",MAX($C$1767:$C$1786))</f>
        <v>0</v>
      </c>
      <c r="AR1786">
        <f>IF(COUNT($E$2:$E1786)&lt;20,"",MIN($D$1767:$D$1786))</f>
        <v>0</v>
      </c>
      <c r="AS1786">
        <f>IF(OR(AQ1786="",AR1786=""),"",(AQ1786+AR1786)/2)</f>
        <v>0</v>
      </c>
      <c r="AT1786">
        <f>IF(COUNT($G$1767:$G$1786)&lt;20,"",STDEV($G$1767:$G$1786)*SQRT(252))</f>
        <v>0</v>
      </c>
      <c r="AU1786">
        <f>IF(COUNT($E$2:$E1786)&lt;9,"",(MAX($C$1778:$C$1786)+MIN($D$1778:$D$1786))/2)</f>
        <v>0</v>
      </c>
      <c r="AV1786">
        <f>IF(COUNT($E$2:$E1786)&lt;26,"",(MAX($C$1761:$C$1786)+MIN($D$1761:$D$1786))/2)</f>
        <v>0</v>
      </c>
      <c r="AW1786">
        <f>IF(OR(AU1786="",AV1786=""),"",(AU1786+AV1786)/2)</f>
        <v>0</v>
      </c>
      <c r="AX1786">
        <f>IF(COUNT($E$2:$E1786)&lt;52,"",(MAX($C$1735:$C$1786)+MIN($D$1735:$D$1786))/2)</f>
        <v>0</v>
      </c>
      <c r="AY1786">
        <f>IF(COUNT($E$2:$E1786)&lt;20,"",MAX($C$1687:$C$1786))</f>
        <v>0</v>
      </c>
      <c r="AZ1786">
        <f>IF(COUNT($E$2:$E1786)&lt;20,"",MIN($D$1687:$D$1786))</f>
        <v>0</v>
      </c>
      <c r="BA1786">
        <f>IF(COUNT($E$2:$E1786)&lt;20,"",SLOPE($E$1687:$E$1786,$F$1687:$F$1786))</f>
        <v>0</v>
      </c>
      <c r="BB1786">
        <f>IF(COUNT($E$2:$E1786)&lt;20,"",INTERCEPT($E$1687:$E$1786,$F$1687:$F$1786))</f>
        <v>0</v>
      </c>
      <c r="BC1786">
        <f>IF(OR(BA1786="",BB1786=""),"",BB1786+BA1786*F1786)</f>
        <v>0</v>
      </c>
      <c r="BD1786">
        <f>IF(COUNT($E$2:$E1786)&lt;20,"",STEYX($E$1687:$E$1786,$F$1687:$F$1786))</f>
        <v>0</v>
      </c>
      <c r="BE1786">
        <f>IF($E1786="","",IF(AND(COUNT($E$1787:$E$1790)&gt;=4,$C1786=MAX($C$1782:$C$1790)),$C1786,""))</f>
        <v>0</v>
      </c>
      <c r="BF1786">
        <f>IF($E1786="","",IF(AND(COUNT($E$1787:$E$1790)&gt;=4,$D1786=MIN($D$1782:$D$1790)),$D1786,""))</f>
        <v>0</v>
      </c>
      <c r="BG1786">
        <f>IF($A1786="","",$A1786-WEEKDAY($A1786,2)+1)</f>
        <v>0</v>
      </c>
      <c r="BH1786">
        <f>IF($A1786="","",IF($A1785="",1,IF(BG1786&lt;&gt;BG1785,1,0)))</f>
        <v>0</v>
      </c>
      <c r="BI1786">
        <f>IF($A1786="","",IF($A1787="",1,IF(BG1787&lt;&gt;BG1786,1,0)))</f>
        <v>0</v>
      </c>
      <c r="BJ1786">
        <f>IF($A1786="","",IF(BH1786=1,$B1786,BJ1785))</f>
        <v>0</v>
      </c>
      <c r="BK1786">
        <f>IF($A1786="","",IF(BH1786=1,$C1786,MAX($C1786,BK1785)))</f>
        <v>0</v>
      </c>
      <c r="BL1786">
        <f>IF($A1786="","",IF(BH1786=1,$D1786,MIN($D1786,BL1785)))</f>
        <v>0</v>
      </c>
      <c r="BM1786">
        <f>IF($A1786="","",IF(BI1786=1,F1786,""))</f>
        <v>0</v>
      </c>
      <c r="BN1786">
        <f>IF($A1786="","",DATE(YEAR($A1786),MONTH($A1786),1))</f>
        <v>0</v>
      </c>
      <c r="BO1786">
        <f>IF($A1786="","",IF($A1785="",1,IF(BN1786&lt;&gt;BN1785,1,0)))</f>
        <v>0</v>
      </c>
      <c r="BP1786">
        <f>IF($A1786="","",IF($A1787="",1,IF(BN1787&lt;&gt;BN1786,1,0)))</f>
        <v>0</v>
      </c>
      <c r="BQ1786">
        <f>IF($A1786="","",IF(BO1786=1,$B1786,BQ1785))</f>
        <v>0</v>
      </c>
      <c r="BR1786">
        <f>IF($A1786="","",IF(BO1786=1,$C1786,MAX($C1786,BR1785)))</f>
        <v>0</v>
      </c>
      <c r="BS1786">
        <f>IF($A1786="","",IF(BO1786=1,$D1786,MIN($D1786,BS1785)))</f>
        <v>0</v>
      </c>
      <c r="BT1786">
        <f>IF($A1786="","",IF(BP1786=1,F1786,""))</f>
        <v>0</v>
      </c>
    </row>
    <row r="1787" spans="1:72">
      <c r="A1787" s="27">
        <f>IF(Data!$A1787="","",Data!$A1787)</f>
        <v>0</v>
      </c>
      <c r="B1787">
        <f>IF(Data!$B1787="","",Data!$B1787)</f>
        <v>0</v>
      </c>
      <c r="C1787">
        <f>IF(Data!$C1787="","",Data!$C1787)</f>
        <v>0</v>
      </c>
      <c r="D1787">
        <f>IF(Data!$D1787="","",Data!$D1787)</f>
        <v>0</v>
      </c>
      <c r="E1787">
        <f>IF(Data!$E1787="","",Data!$E1787)</f>
        <v>0</v>
      </c>
      <c r="F1787">
        <f>IF($E1787="","",N(F1786)+1)</f>
        <v>0</v>
      </c>
      <c r="G1787">
        <f>IF(OR($E1787="",$E1786=""),"",LN($E1787/$E1786))</f>
        <v>0</v>
      </c>
      <c r="H1787">
        <f>IF($E1787="","",IF($E1786="",$E1787,$E1787*0.0952380952+H1786*0.9047619048))</f>
        <v>0</v>
      </c>
      <c r="I1787">
        <f>IF($E1787="","",IF($E1786="",$E1787,$E1787*0.0392156863+I1786*0.9607843137))</f>
        <v>0</v>
      </c>
      <c r="J1787">
        <f>IF($E1787="","",IF($E1786="",$E1787,$E1787*0.0198019802+J1786*0.9801980198))</f>
        <v>0</v>
      </c>
      <c r="K1787">
        <f>IF($E1787="","",IF($E1786="",$E1787,$E1787*0.0099502488+K1786*0.9900497512))</f>
        <v>0</v>
      </c>
      <c r="L1787">
        <f>IF(OR($E1787="",$E1786=""),"",MAX($E1787-$E1786,0))</f>
        <v>0</v>
      </c>
      <c r="M1787">
        <f>IF(OR($E1787="",$E1786=""),"",MAX($E1786-$E1787,0))</f>
        <v>0</v>
      </c>
      <c r="N1787">
        <f>IF(COUNT($E$2:$E1787)&lt;15,"",IF(AVERAGE($M$1774:$M$1787)=0,100,100-100/(1+AVERAGE($L$1774:$L$1787)/AVERAGE($M$1774:$M$1787))))</f>
        <v>0</v>
      </c>
      <c r="O1787">
        <f>IF($E1787="","",IF($E1786="",$E1787,$E1787*0.1538461538+O1786*0.8461538462))</f>
        <v>0</v>
      </c>
      <c r="P1787">
        <f>IF($E1787="","",IF($E1786="",$E1787,$E1787*0.0740740741+P1786*0.9259259259))</f>
        <v>0</v>
      </c>
      <c r="Q1787">
        <f>IF(OR(O1787="",P1787=""),"",O1787-P1787)</f>
        <v>0</v>
      </c>
      <c r="R1787">
        <f>IF(Q1787="","",IF(R1786="",Q1787,Q1787*0.2000000000+R1786*0.8000000000))</f>
        <v>0</v>
      </c>
      <c r="S1787">
        <f>IF(OR(Q1787="",R1787=""),"",Q1787-R1787)</f>
        <v>0</v>
      </c>
      <c r="T1787">
        <f>IF(COUNT($E$2:$E1787)&lt;14,"",MAX($C$1774:$C$1787))</f>
        <v>0</v>
      </c>
      <c r="U1787">
        <f>IF(COUNT($E$2:$E1787)&lt;14,"",MIN($D$1774:$D$1787))</f>
        <v>0</v>
      </c>
      <c r="V1787">
        <f>IF(OR(T1787="",U1787="",T1787=U1787),"",100*($E1787-U1787)/(T1787-U1787))</f>
        <v>0</v>
      </c>
      <c r="W1787">
        <f>IF(COUNT($V$1785:$V$1787)&lt;3,"",AVERAGE($V$1785:$V$1787))</f>
        <v>0</v>
      </c>
      <c r="X1787">
        <f>IF(COUNT($N$1774:$N$1787)&lt;14,"",MIN($N$1774:$N$1787))</f>
        <v>0</v>
      </c>
      <c r="Y1787">
        <f>IF(COUNT($N$1774:$N$1787)&lt;14,"",MAX($N$1774:$N$1787))</f>
        <v>0</v>
      </c>
      <c r="Z1787">
        <f>IF(OR(N1787="",X1787="",Y1787="",Y1787=X1787),"",100*(N1787-X1787)/(Y1787-X1787))</f>
        <v>0</v>
      </c>
      <c r="AA1787">
        <f>IF(COUNT($Z$1785:$Z$1787)&lt;3,"",AVERAGE($Z$1785:$Z$1787))</f>
        <v>0</v>
      </c>
      <c r="AB1787">
        <f>IF(COUNT($AA$1785:$AA$1787)&lt;3,"",AVERAGE($AA$1785:$AA$1787))</f>
        <v>0</v>
      </c>
      <c r="AC1787">
        <f>IF($E1787="","",MAX($C1787-$D1787,ABS($C1787-$E1786),ABS($D1787-$E1786)))</f>
        <v>0</v>
      </c>
      <c r="AD1787">
        <f>IF(COUNT($E$2:$E1787)&lt;15,"",AVERAGE($AC$1774:$AC$1787))</f>
        <v>0</v>
      </c>
      <c r="AE1787">
        <f>IF(OR($E1787="",$E1786=""),"",IF(AND(($C1787-$C1786)&gt;($D1786-$D1787),($C1787-$C1786)&gt;0),$C1787-$C1786,0))</f>
        <v>0</v>
      </c>
      <c r="AF1787">
        <f>IF(OR($E1787="",$E1786=""),"",IF(AND(($D1786-$D1787)&gt;($C1787-$C1786),($D1786-$D1787)&gt;0),$D1786-$D1787,0))</f>
        <v>0</v>
      </c>
      <c r="AG1787">
        <f>IF(COUNT($E$2:$E1787)&lt;15,"",IF(SUM($AC$1774:$AC$1787)=0,0,100*SUM($AE$1774:$AE$1787)/SUM($AC$1774:$AC$1787)))</f>
        <v>0</v>
      </c>
      <c r="AH1787">
        <f>IF(COUNT($E$2:$E1787)&lt;15,"",IF(SUM($AC$1774:$AC$1787)=0,0,100*SUM($AF$1774:$AF$1787)/SUM($AC$1774:$AC$1787)))</f>
        <v>0</v>
      </c>
      <c r="AI1787">
        <f>IF(OR(AG1787="",AH1787=""),"",IF((AG1787+AH1787)=0,0,100*ABS(AG1787-AH1787)/(AG1787+AH1787)))</f>
        <v>0</v>
      </c>
      <c r="AJ1787">
        <f>IF(COUNT($AI$1774:$AI$1787)&lt;14,"",AVERAGE($AI$1774:$AI$1787))</f>
        <v>0</v>
      </c>
      <c r="AK1787">
        <f>IF(COUNT($E$2:$E1787)&lt;20,"",AVERAGE($E$1768:$E$1787))</f>
        <v>0</v>
      </c>
      <c r="AL1787">
        <f>IF(COUNT($E$2:$E1787)&lt;20,"",STDEVP($E$1768:$E$1787))</f>
        <v>0</v>
      </c>
      <c r="AM1787">
        <f>IF(AK1787="","",AK1787+2*AL1787)</f>
        <v>0</v>
      </c>
      <c r="AN1787">
        <f>IF(AK1787="","",AK1787-2*AL1787)</f>
        <v>0</v>
      </c>
      <c r="AO1787">
        <f>IF(OR(AM1787="",AN1787="",AM1787=AN1787),"",($E1787-AN1787)/(AM1787-AN1787))</f>
        <v>0</v>
      </c>
      <c r="AP1787">
        <f>IF(OR(AM1787="",AK1787="",AK1787=0),"",(AM1787-AN1787)/AK1787)</f>
        <v>0</v>
      </c>
      <c r="AQ1787">
        <f>IF(COUNT($E$2:$E1787)&lt;20,"",MAX($C$1768:$C$1787))</f>
        <v>0</v>
      </c>
      <c r="AR1787">
        <f>IF(COUNT($E$2:$E1787)&lt;20,"",MIN($D$1768:$D$1787))</f>
        <v>0</v>
      </c>
      <c r="AS1787">
        <f>IF(OR(AQ1787="",AR1787=""),"",(AQ1787+AR1787)/2)</f>
        <v>0</v>
      </c>
      <c r="AT1787">
        <f>IF(COUNT($G$1768:$G$1787)&lt;20,"",STDEV($G$1768:$G$1787)*SQRT(252))</f>
        <v>0</v>
      </c>
      <c r="AU1787">
        <f>IF(COUNT($E$2:$E1787)&lt;9,"",(MAX($C$1779:$C$1787)+MIN($D$1779:$D$1787))/2)</f>
        <v>0</v>
      </c>
      <c r="AV1787">
        <f>IF(COUNT($E$2:$E1787)&lt;26,"",(MAX($C$1762:$C$1787)+MIN($D$1762:$D$1787))/2)</f>
        <v>0</v>
      </c>
      <c r="AW1787">
        <f>IF(OR(AU1787="",AV1787=""),"",(AU1787+AV1787)/2)</f>
        <v>0</v>
      </c>
      <c r="AX1787">
        <f>IF(COUNT($E$2:$E1787)&lt;52,"",(MAX($C$1736:$C$1787)+MIN($D$1736:$D$1787))/2)</f>
        <v>0</v>
      </c>
      <c r="AY1787">
        <f>IF(COUNT($E$2:$E1787)&lt;20,"",MAX($C$1688:$C$1787))</f>
        <v>0</v>
      </c>
      <c r="AZ1787">
        <f>IF(COUNT($E$2:$E1787)&lt;20,"",MIN($D$1688:$D$1787))</f>
        <v>0</v>
      </c>
      <c r="BA1787">
        <f>IF(COUNT($E$2:$E1787)&lt;20,"",SLOPE($E$1688:$E$1787,$F$1688:$F$1787))</f>
        <v>0</v>
      </c>
      <c r="BB1787">
        <f>IF(COUNT($E$2:$E1787)&lt;20,"",INTERCEPT($E$1688:$E$1787,$F$1688:$F$1787))</f>
        <v>0</v>
      </c>
      <c r="BC1787">
        <f>IF(OR(BA1787="",BB1787=""),"",BB1787+BA1787*F1787)</f>
        <v>0</v>
      </c>
      <c r="BD1787">
        <f>IF(COUNT($E$2:$E1787)&lt;20,"",STEYX($E$1688:$E$1787,$F$1688:$F$1787))</f>
        <v>0</v>
      </c>
      <c r="BE1787">
        <f>IF($E1787="","",IF(AND(COUNT($E$1788:$E$1791)&gt;=4,$C1787=MAX($C$1783:$C$1791)),$C1787,""))</f>
        <v>0</v>
      </c>
      <c r="BF1787">
        <f>IF($E1787="","",IF(AND(COUNT($E$1788:$E$1791)&gt;=4,$D1787=MIN($D$1783:$D$1791)),$D1787,""))</f>
        <v>0</v>
      </c>
      <c r="BG1787">
        <f>IF($A1787="","",$A1787-WEEKDAY($A1787,2)+1)</f>
        <v>0</v>
      </c>
      <c r="BH1787">
        <f>IF($A1787="","",IF($A1786="",1,IF(BG1787&lt;&gt;BG1786,1,0)))</f>
        <v>0</v>
      </c>
      <c r="BI1787">
        <f>IF($A1787="","",IF($A1788="",1,IF(BG1788&lt;&gt;BG1787,1,0)))</f>
        <v>0</v>
      </c>
      <c r="BJ1787">
        <f>IF($A1787="","",IF(BH1787=1,$B1787,BJ1786))</f>
        <v>0</v>
      </c>
      <c r="BK1787">
        <f>IF($A1787="","",IF(BH1787=1,$C1787,MAX($C1787,BK1786)))</f>
        <v>0</v>
      </c>
      <c r="BL1787">
        <f>IF($A1787="","",IF(BH1787=1,$D1787,MIN($D1787,BL1786)))</f>
        <v>0</v>
      </c>
      <c r="BM1787">
        <f>IF($A1787="","",IF(BI1787=1,F1787,""))</f>
        <v>0</v>
      </c>
      <c r="BN1787">
        <f>IF($A1787="","",DATE(YEAR($A1787),MONTH($A1787),1))</f>
        <v>0</v>
      </c>
      <c r="BO1787">
        <f>IF($A1787="","",IF($A1786="",1,IF(BN1787&lt;&gt;BN1786,1,0)))</f>
        <v>0</v>
      </c>
      <c r="BP1787">
        <f>IF($A1787="","",IF($A1788="",1,IF(BN1788&lt;&gt;BN1787,1,0)))</f>
        <v>0</v>
      </c>
      <c r="BQ1787">
        <f>IF($A1787="","",IF(BO1787=1,$B1787,BQ1786))</f>
        <v>0</v>
      </c>
      <c r="BR1787">
        <f>IF($A1787="","",IF(BO1787=1,$C1787,MAX($C1787,BR1786)))</f>
        <v>0</v>
      </c>
      <c r="BS1787">
        <f>IF($A1787="","",IF(BO1787=1,$D1787,MIN($D1787,BS1786)))</f>
        <v>0</v>
      </c>
      <c r="BT1787">
        <f>IF($A1787="","",IF(BP1787=1,F1787,""))</f>
        <v>0</v>
      </c>
    </row>
    <row r="1788" spans="1:72">
      <c r="A1788" s="27">
        <f>IF(Data!$A1788="","",Data!$A1788)</f>
        <v>0</v>
      </c>
      <c r="B1788">
        <f>IF(Data!$B1788="","",Data!$B1788)</f>
        <v>0</v>
      </c>
      <c r="C1788">
        <f>IF(Data!$C1788="","",Data!$C1788)</f>
        <v>0</v>
      </c>
      <c r="D1788">
        <f>IF(Data!$D1788="","",Data!$D1788)</f>
        <v>0</v>
      </c>
      <c r="E1788">
        <f>IF(Data!$E1788="","",Data!$E1788)</f>
        <v>0</v>
      </c>
      <c r="F1788">
        <f>IF($E1788="","",N(F1787)+1)</f>
        <v>0</v>
      </c>
      <c r="G1788">
        <f>IF(OR($E1788="",$E1787=""),"",LN($E1788/$E1787))</f>
        <v>0</v>
      </c>
      <c r="H1788">
        <f>IF($E1788="","",IF($E1787="",$E1788,$E1788*0.0952380952+H1787*0.9047619048))</f>
        <v>0</v>
      </c>
      <c r="I1788">
        <f>IF($E1788="","",IF($E1787="",$E1788,$E1788*0.0392156863+I1787*0.9607843137))</f>
        <v>0</v>
      </c>
      <c r="J1788">
        <f>IF($E1788="","",IF($E1787="",$E1788,$E1788*0.0198019802+J1787*0.9801980198))</f>
        <v>0</v>
      </c>
      <c r="K1788">
        <f>IF($E1788="","",IF($E1787="",$E1788,$E1788*0.0099502488+K1787*0.9900497512))</f>
        <v>0</v>
      </c>
      <c r="L1788">
        <f>IF(OR($E1788="",$E1787=""),"",MAX($E1788-$E1787,0))</f>
        <v>0</v>
      </c>
      <c r="M1788">
        <f>IF(OR($E1788="",$E1787=""),"",MAX($E1787-$E1788,0))</f>
        <v>0</v>
      </c>
      <c r="N1788">
        <f>IF(COUNT($E$2:$E1788)&lt;15,"",IF(AVERAGE($M$1775:$M$1788)=0,100,100-100/(1+AVERAGE($L$1775:$L$1788)/AVERAGE($M$1775:$M$1788))))</f>
        <v>0</v>
      </c>
      <c r="O1788">
        <f>IF($E1788="","",IF($E1787="",$E1788,$E1788*0.1538461538+O1787*0.8461538462))</f>
        <v>0</v>
      </c>
      <c r="P1788">
        <f>IF($E1788="","",IF($E1787="",$E1788,$E1788*0.0740740741+P1787*0.9259259259))</f>
        <v>0</v>
      </c>
      <c r="Q1788">
        <f>IF(OR(O1788="",P1788=""),"",O1788-P1788)</f>
        <v>0</v>
      </c>
      <c r="R1788">
        <f>IF(Q1788="","",IF(R1787="",Q1788,Q1788*0.2000000000+R1787*0.8000000000))</f>
        <v>0</v>
      </c>
      <c r="S1788">
        <f>IF(OR(Q1788="",R1788=""),"",Q1788-R1788)</f>
        <v>0</v>
      </c>
      <c r="T1788">
        <f>IF(COUNT($E$2:$E1788)&lt;14,"",MAX($C$1775:$C$1788))</f>
        <v>0</v>
      </c>
      <c r="U1788">
        <f>IF(COUNT($E$2:$E1788)&lt;14,"",MIN($D$1775:$D$1788))</f>
        <v>0</v>
      </c>
      <c r="V1788">
        <f>IF(OR(T1788="",U1788="",T1788=U1788),"",100*($E1788-U1788)/(T1788-U1788))</f>
        <v>0</v>
      </c>
      <c r="W1788">
        <f>IF(COUNT($V$1786:$V$1788)&lt;3,"",AVERAGE($V$1786:$V$1788))</f>
        <v>0</v>
      </c>
      <c r="X1788">
        <f>IF(COUNT($N$1775:$N$1788)&lt;14,"",MIN($N$1775:$N$1788))</f>
        <v>0</v>
      </c>
      <c r="Y1788">
        <f>IF(COUNT($N$1775:$N$1788)&lt;14,"",MAX($N$1775:$N$1788))</f>
        <v>0</v>
      </c>
      <c r="Z1788">
        <f>IF(OR(N1788="",X1788="",Y1788="",Y1788=X1788),"",100*(N1788-X1788)/(Y1788-X1788))</f>
        <v>0</v>
      </c>
      <c r="AA1788">
        <f>IF(COUNT($Z$1786:$Z$1788)&lt;3,"",AVERAGE($Z$1786:$Z$1788))</f>
        <v>0</v>
      </c>
      <c r="AB1788">
        <f>IF(COUNT($AA$1786:$AA$1788)&lt;3,"",AVERAGE($AA$1786:$AA$1788))</f>
        <v>0</v>
      </c>
      <c r="AC1788">
        <f>IF($E1788="","",MAX($C1788-$D1788,ABS($C1788-$E1787),ABS($D1788-$E1787)))</f>
        <v>0</v>
      </c>
      <c r="AD1788">
        <f>IF(COUNT($E$2:$E1788)&lt;15,"",AVERAGE($AC$1775:$AC$1788))</f>
        <v>0</v>
      </c>
      <c r="AE1788">
        <f>IF(OR($E1788="",$E1787=""),"",IF(AND(($C1788-$C1787)&gt;($D1787-$D1788),($C1788-$C1787)&gt;0),$C1788-$C1787,0))</f>
        <v>0</v>
      </c>
      <c r="AF1788">
        <f>IF(OR($E1788="",$E1787=""),"",IF(AND(($D1787-$D1788)&gt;($C1788-$C1787),($D1787-$D1788)&gt;0),$D1787-$D1788,0))</f>
        <v>0</v>
      </c>
      <c r="AG1788">
        <f>IF(COUNT($E$2:$E1788)&lt;15,"",IF(SUM($AC$1775:$AC$1788)=0,0,100*SUM($AE$1775:$AE$1788)/SUM($AC$1775:$AC$1788)))</f>
        <v>0</v>
      </c>
      <c r="AH1788">
        <f>IF(COUNT($E$2:$E1788)&lt;15,"",IF(SUM($AC$1775:$AC$1788)=0,0,100*SUM($AF$1775:$AF$1788)/SUM($AC$1775:$AC$1788)))</f>
        <v>0</v>
      </c>
      <c r="AI1788">
        <f>IF(OR(AG1788="",AH1788=""),"",IF((AG1788+AH1788)=0,0,100*ABS(AG1788-AH1788)/(AG1788+AH1788)))</f>
        <v>0</v>
      </c>
      <c r="AJ1788">
        <f>IF(COUNT($AI$1775:$AI$1788)&lt;14,"",AVERAGE($AI$1775:$AI$1788))</f>
        <v>0</v>
      </c>
      <c r="AK1788">
        <f>IF(COUNT($E$2:$E1788)&lt;20,"",AVERAGE($E$1769:$E$1788))</f>
        <v>0</v>
      </c>
      <c r="AL1788">
        <f>IF(COUNT($E$2:$E1788)&lt;20,"",STDEVP($E$1769:$E$1788))</f>
        <v>0</v>
      </c>
      <c r="AM1788">
        <f>IF(AK1788="","",AK1788+2*AL1788)</f>
        <v>0</v>
      </c>
      <c r="AN1788">
        <f>IF(AK1788="","",AK1788-2*AL1788)</f>
        <v>0</v>
      </c>
      <c r="AO1788">
        <f>IF(OR(AM1788="",AN1788="",AM1788=AN1788),"",($E1788-AN1788)/(AM1788-AN1788))</f>
        <v>0</v>
      </c>
      <c r="AP1788">
        <f>IF(OR(AM1788="",AK1788="",AK1788=0),"",(AM1788-AN1788)/AK1788)</f>
        <v>0</v>
      </c>
      <c r="AQ1788">
        <f>IF(COUNT($E$2:$E1788)&lt;20,"",MAX($C$1769:$C$1788))</f>
        <v>0</v>
      </c>
      <c r="AR1788">
        <f>IF(COUNT($E$2:$E1788)&lt;20,"",MIN($D$1769:$D$1788))</f>
        <v>0</v>
      </c>
      <c r="AS1788">
        <f>IF(OR(AQ1788="",AR1788=""),"",(AQ1788+AR1788)/2)</f>
        <v>0</v>
      </c>
      <c r="AT1788">
        <f>IF(COUNT($G$1769:$G$1788)&lt;20,"",STDEV($G$1769:$G$1788)*SQRT(252))</f>
        <v>0</v>
      </c>
      <c r="AU1788">
        <f>IF(COUNT($E$2:$E1788)&lt;9,"",(MAX($C$1780:$C$1788)+MIN($D$1780:$D$1788))/2)</f>
        <v>0</v>
      </c>
      <c r="AV1788">
        <f>IF(COUNT($E$2:$E1788)&lt;26,"",(MAX($C$1763:$C$1788)+MIN($D$1763:$D$1788))/2)</f>
        <v>0</v>
      </c>
      <c r="AW1788">
        <f>IF(OR(AU1788="",AV1788=""),"",(AU1788+AV1788)/2)</f>
        <v>0</v>
      </c>
      <c r="AX1788">
        <f>IF(COUNT($E$2:$E1788)&lt;52,"",(MAX($C$1737:$C$1788)+MIN($D$1737:$D$1788))/2)</f>
        <v>0</v>
      </c>
      <c r="AY1788">
        <f>IF(COUNT($E$2:$E1788)&lt;20,"",MAX($C$1689:$C$1788))</f>
        <v>0</v>
      </c>
      <c r="AZ1788">
        <f>IF(COUNT($E$2:$E1788)&lt;20,"",MIN($D$1689:$D$1788))</f>
        <v>0</v>
      </c>
      <c r="BA1788">
        <f>IF(COUNT($E$2:$E1788)&lt;20,"",SLOPE($E$1689:$E$1788,$F$1689:$F$1788))</f>
        <v>0</v>
      </c>
      <c r="BB1788">
        <f>IF(COUNT($E$2:$E1788)&lt;20,"",INTERCEPT($E$1689:$E$1788,$F$1689:$F$1788))</f>
        <v>0</v>
      </c>
      <c r="BC1788">
        <f>IF(OR(BA1788="",BB1788=""),"",BB1788+BA1788*F1788)</f>
        <v>0</v>
      </c>
      <c r="BD1788">
        <f>IF(COUNT($E$2:$E1788)&lt;20,"",STEYX($E$1689:$E$1788,$F$1689:$F$1788))</f>
        <v>0</v>
      </c>
      <c r="BE1788">
        <f>IF($E1788="","",IF(AND(COUNT($E$1789:$E$1792)&gt;=4,$C1788=MAX($C$1784:$C$1792)),$C1788,""))</f>
        <v>0</v>
      </c>
      <c r="BF1788">
        <f>IF($E1788="","",IF(AND(COUNT($E$1789:$E$1792)&gt;=4,$D1788=MIN($D$1784:$D$1792)),$D1788,""))</f>
        <v>0</v>
      </c>
      <c r="BG1788">
        <f>IF($A1788="","",$A1788-WEEKDAY($A1788,2)+1)</f>
        <v>0</v>
      </c>
      <c r="BH1788">
        <f>IF($A1788="","",IF($A1787="",1,IF(BG1788&lt;&gt;BG1787,1,0)))</f>
        <v>0</v>
      </c>
      <c r="BI1788">
        <f>IF($A1788="","",IF($A1789="",1,IF(BG1789&lt;&gt;BG1788,1,0)))</f>
        <v>0</v>
      </c>
      <c r="BJ1788">
        <f>IF($A1788="","",IF(BH1788=1,$B1788,BJ1787))</f>
        <v>0</v>
      </c>
      <c r="BK1788">
        <f>IF($A1788="","",IF(BH1788=1,$C1788,MAX($C1788,BK1787)))</f>
        <v>0</v>
      </c>
      <c r="BL1788">
        <f>IF($A1788="","",IF(BH1788=1,$D1788,MIN($D1788,BL1787)))</f>
        <v>0</v>
      </c>
      <c r="BM1788">
        <f>IF($A1788="","",IF(BI1788=1,F1788,""))</f>
        <v>0</v>
      </c>
      <c r="BN1788">
        <f>IF($A1788="","",DATE(YEAR($A1788),MONTH($A1788),1))</f>
        <v>0</v>
      </c>
      <c r="BO1788">
        <f>IF($A1788="","",IF($A1787="",1,IF(BN1788&lt;&gt;BN1787,1,0)))</f>
        <v>0</v>
      </c>
      <c r="BP1788">
        <f>IF($A1788="","",IF($A1789="",1,IF(BN1789&lt;&gt;BN1788,1,0)))</f>
        <v>0</v>
      </c>
      <c r="BQ1788">
        <f>IF($A1788="","",IF(BO1788=1,$B1788,BQ1787))</f>
        <v>0</v>
      </c>
      <c r="BR1788">
        <f>IF($A1788="","",IF(BO1788=1,$C1788,MAX($C1788,BR1787)))</f>
        <v>0</v>
      </c>
      <c r="BS1788">
        <f>IF($A1788="","",IF(BO1788=1,$D1788,MIN($D1788,BS1787)))</f>
        <v>0</v>
      </c>
      <c r="BT1788">
        <f>IF($A1788="","",IF(BP1788=1,F1788,""))</f>
        <v>0</v>
      </c>
    </row>
    <row r="1789" spans="1:72">
      <c r="A1789" s="27">
        <f>IF(Data!$A1789="","",Data!$A1789)</f>
        <v>0</v>
      </c>
      <c r="B1789">
        <f>IF(Data!$B1789="","",Data!$B1789)</f>
        <v>0</v>
      </c>
      <c r="C1789">
        <f>IF(Data!$C1789="","",Data!$C1789)</f>
        <v>0</v>
      </c>
      <c r="D1789">
        <f>IF(Data!$D1789="","",Data!$D1789)</f>
        <v>0</v>
      </c>
      <c r="E1789">
        <f>IF(Data!$E1789="","",Data!$E1789)</f>
        <v>0</v>
      </c>
      <c r="F1789">
        <f>IF($E1789="","",N(F1788)+1)</f>
        <v>0</v>
      </c>
      <c r="G1789">
        <f>IF(OR($E1789="",$E1788=""),"",LN($E1789/$E1788))</f>
        <v>0</v>
      </c>
      <c r="H1789">
        <f>IF($E1789="","",IF($E1788="",$E1789,$E1789*0.0952380952+H1788*0.9047619048))</f>
        <v>0</v>
      </c>
      <c r="I1789">
        <f>IF($E1789="","",IF($E1788="",$E1789,$E1789*0.0392156863+I1788*0.9607843137))</f>
        <v>0</v>
      </c>
      <c r="J1789">
        <f>IF($E1789="","",IF($E1788="",$E1789,$E1789*0.0198019802+J1788*0.9801980198))</f>
        <v>0</v>
      </c>
      <c r="K1789">
        <f>IF($E1789="","",IF($E1788="",$E1789,$E1789*0.0099502488+K1788*0.9900497512))</f>
        <v>0</v>
      </c>
      <c r="L1789">
        <f>IF(OR($E1789="",$E1788=""),"",MAX($E1789-$E1788,0))</f>
        <v>0</v>
      </c>
      <c r="M1789">
        <f>IF(OR($E1789="",$E1788=""),"",MAX($E1788-$E1789,0))</f>
        <v>0</v>
      </c>
      <c r="N1789">
        <f>IF(COUNT($E$2:$E1789)&lt;15,"",IF(AVERAGE($M$1776:$M$1789)=0,100,100-100/(1+AVERAGE($L$1776:$L$1789)/AVERAGE($M$1776:$M$1789))))</f>
        <v>0</v>
      </c>
      <c r="O1789">
        <f>IF($E1789="","",IF($E1788="",$E1789,$E1789*0.1538461538+O1788*0.8461538462))</f>
        <v>0</v>
      </c>
      <c r="P1789">
        <f>IF($E1789="","",IF($E1788="",$E1789,$E1789*0.0740740741+P1788*0.9259259259))</f>
        <v>0</v>
      </c>
      <c r="Q1789">
        <f>IF(OR(O1789="",P1789=""),"",O1789-P1789)</f>
        <v>0</v>
      </c>
      <c r="R1789">
        <f>IF(Q1789="","",IF(R1788="",Q1789,Q1789*0.2000000000+R1788*0.8000000000))</f>
        <v>0</v>
      </c>
      <c r="S1789">
        <f>IF(OR(Q1789="",R1789=""),"",Q1789-R1789)</f>
        <v>0</v>
      </c>
      <c r="T1789">
        <f>IF(COUNT($E$2:$E1789)&lt;14,"",MAX($C$1776:$C$1789))</f>
        <v>0</v>
      </c>
      <c r="U1789">
        <f>IF(COUNT($E$2:$E1789)&lt;14,"",MIN($D$1776:$D$1789))</f>
        <v>0</v>
      </c>
      <c r="V1789">
        <f>IF(OR(T1789="",U1789="",T1789=U1789),"",100*($E1789-U1789)/(T1789-U1789))</f>
        <v>0</v>
      </c>
      <c r="W1789">
        <f>IF(COUNT($V$1787:$V$1789)&lt;3,"",AVERAGE($V$1787:$V$1789))</f>
        <v>0</v>
      </c>
      <c r="X1789">
        <f>IF(COUNT($N$1776:$N$1789)&lt;14,"",MIN($N$1776:$N$1789))</f>
        <v>0</v>
      </c>
      <c r="Y1789">
        <f>IF(COUNT($N$1776:$N$1789)&lt;14,"",MAX($N$1776:$N$1789))</f>
        <v>0</v>
      </c>
      <c r="Z1789">
        <f>IF(OR(N1789="",X1789="",Y1789="",Y1789=X1789),"",100*(N1789-X1789)/(Y1789-X1789))</f>
        <v>0</v>
      </c>
      <c r="AA1789">
        <f>IF(COUNT($Z$1787:$Z$1789)&lt;3,"",AVERAGE($Z$1787:$Z$1789))</f>
        <v>0</v>
      </c>
      <c r="AB1789">
        <f>IF(COUNT($AA$1787:$AA$1789)&lt;3,"",AVERAGE($AA$1787:$AA$1789))</f>
        <v>0</v>
      </c>
      <c r="AC1789">
        <f>IF($E1789="","",MAX($C1789-$D1789,ABS($C1789-$E1788),ABS($D1789-$E1788)))</f>
        <v>0</v>
      </c>
      <c r="AD1789">
        <f>IF(COUNT($E$2:$E1789)&lt;15,"",AVERAGE($AC$1776:$AC$1789))</f>
        <v>0</v>
      </c>
      <c r="AE1789">
        <f>IF(OR($E1789="",$E1788=""),"",IF(AND(($C1789-$C1788)&gt;($D1788-$D1789),($C1789-$C1788)&gt;0),$C1789-$C1788,0))</f>
        <v>0</v>
      </c>
      <c r="AF1789">
        <f>IF(OR($E1789="",$E1788=""),"",IF(AND(($D1788-$D1789)&gt;($C1789-$C1788),($D1788-$D1789)&gt;0),$D1788-$D1789,0))</f>
        <v>0</v>
      </c>
      <c r="AG1789">
        <f>IF(COUNT($E$2:$E1789)&lt;15,"",IF(SUM($AC$1776:$AC$1789)=0,0,100*SUM($AE$1776:$AE$1789)/SUM($AC$1776:$AC$1789)))</f>
        <v>0</v>
      </c>
      <c r="AH1789">
        <f>IF(COUNT($E$2:$E1789)&lt;15,"",IF(SUM($AC$1776:$AC$1789)=0,0,100*SUM($AF$1776:$AF$1789)/SUM($AC$1776:$AC$1789)))</f>
        <v>0</v>
      </c>
      <c r="AI1789">
        <f>IF(OR(AG1789="",AH1789=""),"",IF((AG1789+AH1789)=0,0,100*ABS(AG1789-AH1789)/(AG1789+AH1789)))</f>
        <v>0</v>
      </c>
      <c r="AJ1789">
        <f>IF(COUNT($AI$1776:$AI$1789)&lt;14,"",AVERAGE($AI$1776:$AI$1789))</f>
        <v>0</v>
      </c>
      <c r="AK1789">
        <f>IF(COUNT($E$2:$E1789)&lt;20,"",AVERAGE($E$1770:$E$1789))</f>
        <v>0</v>
      </c>
      <c r="AL1789">
        <f>IF(COUNT($E$2:$E1789)&lt;20,"",STDEVP($E$1770:$E$1789))</f>
        <v>0</v>
      </c>
      <c r="AM1789">
        <f>IF(AK1789="","",AK1789+2*AL1789)</f>
        <v>0</v>
      </c>
      <c r="AN1789">
        <f>IF(AK1789="","",AK1789-2*AL1789)</f>
        <v>0</v>
      </c>
      <c r="AO1789">
        <f>IF(OR(AM1789="",AN1789="",AM1789=AN1789),"",($E1789-AN1789)/(AM1789-AN1789))</f>
        <v>0</v>
      </c>
      <c r="AP1789">
        <f>IF(OR(AM1789="",AK1789="",AK1789=0),"",(AM1789-AN1789)/AK1789)</f>
        <v>0</v>
      </c>
      <c r="AQ1789">
        <f>IF(COUNT($E$2:$E1789)&lt;20,"",MAX($C$1770:$C$1789))</f>
        <v>0</v>
      </c>
      <c r="AR1789">
        <f>IF(COUNT($E$2:$E1789)&lt;20,"",MIN($D$1770:$D$1789))</f>
        <v>0</v>
      </c>
      <c r="AS1789">
        <f>IF(OR(AQ1789="",AR1789=""),"",(AQ1789+AR1789)/2)</f>
        <v>0</v>
      </c>
      <c r="AT1789">
        <f>IF(COUNT($G$1770:$G$1789)&lt;20,"",STDEV($G$1770:$G$1789)*SQRT(252))</f>
        <v>0</v>
      </c>
      <c r="AU1789">
        <f>IF(COUNT($E$2:$E1789)&lt;9,"",(MAX($C$1781:$C$1789)+MIN($D$1781:$D$1789))/2)</f>
        <v>0</v>
      </c>
      <c r="AV1789">
        <f>IF(COUNT($E$2:$E1789)&lt;26,"",(MAX($C$1764:$C$1789)+MIN($D$1764:$D$1789))/2)</f>
        <v>0</v>
      </c>
      <c r="AW1789">
        <f>IF(OR(AU1789="",AV1789=""),"",(AU1789+AV1789)/2)</f>
        <v>0</v>
      </c>
      <c r="AX1789">
        <f>IF(COUNT($E$2:$E1789)&lt;52,"",(MAX($C$1738:$C$1789)+MIN($D$1738:$D$1789))/2)</f>
        <v>0</v>
      </c>
      <c r="AY1789">
        <f>IF(COUNT($E$2:$E1789)&lt;20,"",MAX($C$1690:$C$1789))</f>
        <v>0</v>
      </c>
      <c r="AZ1789">
        <f>IF(COUNT($E$2:$E1789)&lt;20,"",MIN($D$1690:$D$1789))</f>
        <v>0</v>
      </c>
      <c r="BA1789">
        <f>IF(COUNT($E$2:$E1789)&lt;20,"",SLOPE($E$1690:$E$1789,$F$1690:$F$1789))</f>
        <v>0</v>
      </c>
      <c r="BB1789">
        <f>IF(COUNT($E$2:$E1789)&lt;20,"",INTERCEPT($E$1690:$E$1789,$F$1690:$F$1789))</f>
        <v>0</v>
      </c>
      <c r="BC1789">
        <f>IF(OR(BA1789="",BB1789=""),"",BB1789+BA1789*F1789)</f>
        <v>0</v>
      </c>
      <c r="BD1789">
        <f>IF(COUNT($E$2:$E1789)&lt;20,"",STEYX($E$1690:$E$1789,$F$1690:$F$1789))</f>
        <v>0</v>
      </c>
      <c r="BE1789">
        <f>IF($E1789="","",IF(AND(COUNT($E$1790:$E$1793)&gt;=4,$C1789=MAX($C$1785:$C$1793)),$C1789,""))</f>
        <v>0</v>
      </c>
      <c r="BF1789">
        <f>IF($E1789="","",IF(AND(COUNT($E$1790:$E$1793)&gt;=4,$D1789=MIN($D$1785:$D$1793)),$D1789,""))</f>
        <v>0</v>
      </c>
      <c r="BG1789">
        <f>IF($A1789="","",$A1789-WEEKDAY($A1789,2)+1)</f>
        <v>0</v>
      </c>
      <c r="BH1789">
        <f>IF($A1789="","",IF($A1788="",1,IF(BG1789&lt;&gt;BG1788,1,0)))</f>
        <v>0</v>
      </c>
      <c r="BI1789">
        <f>IF($A1789="","",IF($A1790="",1,IF(BG1790&lt;&gt;BG1789,1,0)))</f>
        <v>0</v>
      </c>
      <c r="BJ1789">
        <f>IF($A1789="","",IF(BH1789=1,$B1789,BJ1788))</f>
        <v>0</v>
      </c>
      <c r="BK1789">
        <f>IF($A1789="","",IF(BH1789=1,$C1789,MAX($C1789,BK1788)))</f>
        <v>0</v>
      </c>
      <c r="BL1789">
        <f>IF($A1789="","",IF(BH1789=1,$D1789,MIN($D1789,BL1788)))</f>
        <v>0</v>
      </c>
      <c r="BM1789">
        <f>IF($A1789="","",IF(BI1789=1,F1789,""))</f>
        <v>0</v>
      </c>
      <c r="BN1789">
        <f>IF($A1789="","",DATE(YEAR($A1789),MONTH($A1789),1))</f>
        <v>0</v>
      </c>
      <c r="BO1789">
        <f>IF($A1789="","",IF($A1788="",1,IF(BN1789&lt;&gt;BN1788,1,0)))</f>
        <v>0</v>
      </c>
      <c r="BP1789">
        <f>IF($A1789="","",IF($A1790="",1,IF(BN1790&lt;&gt;BN1789,1,0)))</f>
        <v>0</v>
      </c>
      <c r="BQ1789">
        <f>IF($A1789="","",IF(BO1789=1,$B1789,BQ1788))</f>
        <v>0</v>
      </c>
      <c r="BR1789">
        <f>IF($A1789="","",IF(BO1789=1,$C1789,MAX($C1789,BR1788)))</f>
        <v>0</v>
      </c>
      <c r="BS1789">
        <f>IF($A1789="","",IF(BO1789=1,$D1789,MIN($D1789,BS1788)))</f>
        <v>0</v>
      </c>
      <c r="BT1789">
        <f>IF($A1789="","",IF(BP1789=1,F1789,""))</f>
        <v>0</v>
      </c>
    </row>
    <row r="1790" spans="1:72">
      <c r="A1790" s="27">
        <f>IF(Data!$A1790="","",Data!$A1790)</f>
        <v>0</v>
      </c>
      <c r="B1790">
        <f>IF(Data!$B1790="","",Data!$B1790)</f>
        <v>0</v>
      </c>
      <c r="C1790">
        <f>IF(Data!$C1790="","",Data!$C1790)</f>
        <v>0</v>
      </c>
      <c r="D1790">
        <f>IF(Data!$D1790="","",Data!$D1790)</f>
        <v>0</v>
      </c>
      <c r="E1790">
        <f>IF(Data!$E1790="","",Data!$E1790)</f>
        <v>0</v>
      </c>
      <c r="F1790">
        <f>IF($E1790="","",N(F1789)+1)</f>
        <v>0</v>
      </c>
      <c r="G1790">
        <f>IF(OR($E1790="",$E1789=""),"",LN($E1790/$E1789))</f>
        <v>0</v>
      </c>
      <c r="H1790">
        <f>IF($E1790="","",IF($E1789="",$E1790,$E1790*0.0952380952+H1789*0.9047619048))</f>
        <v>0</v>
      </c>
      <c r="I1790">
        <f>IF($E1790="","",IF($E1789="",$E1790,$E1790*0.0392156863+I1789*0.9607843137))</f>
        <v>0</v>
      </c>
      <c r="J1790">
        <f>IF($E1790="","",IF($E1789="",$E1790,$E1790*0.0198019802+J1789*0.9801980198))</f>
        <v>0</v>
      </c>
      <c r="K1790">
        <f>IF($E1790="","",IF($E1789="",$E1790,$E1790*0.0099502488+K1789*0.9900497512))</f>
        <v>0</v>
      </c>
      <c r="L1790">
        <f>IF(OR($E1790="",$E1789=""),"",MAX($E1790-$E1789,0))</f>
        <v>0</v>
      </c>
      <c r="M1790">
        <f>IF(OR($E1790="",$E1789=""),"",MAX($E1789-$E1790,0))</f>
        <v>0</v>
      </c>
      <c r="N1790">
        <f>IF(COUNT($E$2:$E1790)&lt;15,"",IF(AVERAGE($M$1777:$M$1790)=0,100,100-100/(1+AVERAGE($L$1777:$L$1790)/AVERAGE($M$1777:$M$1790))))</f>
        <v>0</v>
      </c>
      <c r="O1790">
        <f>IF($E1790="","",IF($E1789="",$E1790,$E1790*0.1538461538+O1789*0.8461538462))</f>
        <v>0</v>
      </c>
      <c r="P1790">
        <f>IF($E1790="","",IF($E1789="",$E1790,$E1790*0.0740740741+P1789*0.9259259259))</f>
        <v>0</v>
      </c>
      <c r="Q1790">
        <f>IF(OR(O1790="",P1790=""),"",O1790-P1790)</f>
        <v>0</v>
      </c>
      <c r="R1790">
        <f>IF(Q1790="","",IF(R1789="",Q1790,Q1790*0.2000000000+R1789*0.8000000000))</f>
        <v>0</v>
      </c>
      <c r="S1790">
        <f>IF(OR(Q1790="",R1790=""),"",Q1790-R1790)</f>
        <v>0</v>
      </c>
      <c r="T1790">
        <f>IF(COUNT($E$2:$E1790)&lt;14,"",MAX($C$1777:$C$1790))</f>
        <v>0</v>
      </c>
      <c r="U1790">
        <f>IF(COUNT($E$2:$E1790)&lt;14,"",MIN($D$1777:$D$1790))</f>
        <v>0</v>
      </c>
      <c r="V1790">
        <f>IF(OR(T1790="",U1790="",T1790=U1790),"",100*($E1790-U1790)/(T1790-U1790))</f>
        <v>0</v>
      </c>
      <c r="W1790">
        <f>IF(COUNT($V$1788:$V$1790)&lt;3,"",AVERAGE($V$1788:$V$1790))</f>
        <v>0</v>
      </c>
      <c r="X1790">
        <f>IF(COUNT($N$1777:$N$1790)&lt;14,"",MIN($N$1777:$N$1790))</f>
        <v>0</v>
      </c>
      <c r="Y1790">
        <f>IF(COUNT($N$1777:$N$1790)&lt;14,"",MAX($N$1777:$N$1790))</f>
        <v>0</v>
      </c>
      <c r="Z1790">
        <f>IF(OR(N1790="",X1790="",Y1790="",Y1790=X1790),"",100*(N1790-X1790)/(Y1790-X1790))</f>
        <v>0</v>
      </c>
      <c r="AA1790">
        <f>IF(COUNT($Z$1788:$Z$1790)&lt;3,"",AVERAGE($Z$1788:$Z$1790))</f>
        <v>0</v>
      </c>
      <c r="AB1790">
        <f>IF(COUNT($AA$1788:$AA$1790)&lt;3,"",AVERAGE($AA$1788:$AA$1790))</f>
        <v>0</v>
      </c>
      <c r="AC1790">
        <f>IF($E1790="","",MAX($C1790-$D1790,ABS($C1790-$E1789),ABS($D1790-$E1789)))</f>
        <v>0</v>
      </c>
      <c r="AD1790">
        <f>IF(COUNT($E$2:$E1790)&lt;15,"",AVERAGE($AC$1777:$AC$1790))</f>
        <v>0</v>
      </c>
      <c r="AE1790">
        <f>IF(OR($E1790="",$E1789=""),"",IF(AND(($C1790-$C1789)&gt;($D1789-$D1790),($C1790-$C1789)&gt;0),$C1790-$C1789,0))</f>
        <v>0</v>
      </c>
      <c r="AF1790">
        <f>IF(OR($E1790="",$E1789=""),"",IF(AND(($D1789-$D1790)&gt;($C1790-$C1789),($D1789-$D1790)&gt;0),$D1789-$D1790,0))</f>
        <v>0</v>
      </c>
      <c r="AG1790">
        <f>IF(COUNT($E$2:$E1790)&lt;15,"",IF(SUM($AC$1777:$AC$1790)=0,0,100*SUM($AE$1777:$AE$1790)/SUM($AC$1777:$AC$1790)))</f>
        <v>0</v>
      </c>
      <c r="AH1790">
        <f>IF(COUNT($E$2:$E1790)&lt;15,"",IF(SUM($AC$1777:$AC$1790)=0,0,100*SUM($AF$1777:$AF$1790)/SUM($AC$1777:$AC$1790)))</f>
        <v>0</v>
      </c>
      <c r="AI1790">
        <f>IF(OR(AG1790="",AH1790=""),"",IF((AG1790+AH1790)=0,0,100*ABS(AG1790-AH1790)/(AG1790+AH1790)))</f>
        <v>0</v>
      </c>
      <c r="AJ1790">
        <f>IF(COUNT($AI$1777:$AI$1790)&lt;14,"",AVERAGE($AI$1777:$AI$1790))</f>
        <v>0</v>
      </c>
      <c r="AK1790">
        <f>IF(COUNT($E$2:$E1790)&lt;20,"",AVERAGE($E$1771:$E$1790))</f>
        <v>0</v>
      </c>
      <c r="AL1790">
        <f>IF(COUNT($E$2:$E1790)&lt;20,"",STDEVP($E$1771:$E$1790))</f>
        <v>0</v>
      </c>
      <c r="AM1790">
        <f>IF(AK1790="","",AK1790+2*AL1790)</f>
        <v>0</v>
      </c>
      <c r="AN1790">
        <f>IF(AK1790="","",AK1790-2*AL1790)</f>
        <v>0</v>
      </c>
      <c r="AO1790">
        <f>IF(OR(AM1790="",AN1790="",AM1790=AN1790),"",($E1790-AN1790)/(AM1790-AN1790))</f>
        <v>0</v>
      </c>
      <c r="AP1790">
        <f>IF(OR(AM1790="",AK1790="",AK1790=0),"",(AM1790-AN1790)/AK1790)</f>
        <v>0</v>
      </c>
      <c r="AQ1790">
        <f>IF(COUNT($E$2:$E1790)&lt;20,"",MAX($C$1771:$C$1790))</f>
        <v>0</v>
      </c>
      <c r="AR1790">
        <f>IF(COUNT($E$2:$E1790)&lt;20,"",MIN($D$1771:$D$1790))</f>
        <v>0</v>
      </c>
      <c r="AS1790">
        <f>IF(OR(AQ1790="",AR1790=""),"",(AQ1790+AR1790)/2)</f>
        <v>0</v>
      </c>
      <c r="AT1790">
        <f>IF(COUNT($G$1771:$G$1790)&lt;20,"",STDEV($G$1771:$G$1790)*SQRT(252))</f>
        <v>0</v>
      </c>
      <c r="AU1790">
        <f>IF(COUNT($E$2:$E1790)&lt;9,"",(MAX($C$1782:$C$1790)+MIN($D$1782:$D$1790))/2)</f>
        <v>0</v>
      </c>
      <c r="AV1790">
        <f>IF(COUNT($E$2:$E1790)&lt;26,"",(MAX($C$1765:$C$1790)+MIN($D$1765:$D$1790))/2)</f>
        <v>0</v>
      </c>
      <c r="AW1790">
        <f>IF(OR(AU1790="",AV1790=""),"",(AU1790+AV1790)/2)</f>
        <v>0</v>
      </c>
      <c r="AX1790">
        <f>IF(COUNT($E$2:$E1790)&lt;52,"",(MAX($C$1739:$C$1790)+MIN($D$1739:$D$1790))/2)</f>
        <v>0</v>
      </c>
      <c r="AY1790">
        <f>IF(COUNT($E$2:$E1790)&lt;20,"",MAX($C$1691:$C$1790))</f>
        <v>0</v>
      </c>
      <c r="AZ1790">
        <f>IF(COUNT($E$2:$E1790)&lt;20,"",MIN($D$1691:$D$1790))</f>
        <v>0</v>
      </c>
      <c r="BA1790">
        <f>IF(COUNT($E$2:$E1790)&lt;20,"",SLOPE($E$1691:$E$1790,$F$1691:$F$1790))</f>
        <v>0</v>
      </c>
      <c r="BB1790">
        <f>IF(COUNT($E$2:$E1790)&lt;20,"",INTERCEPT($E$1691:$E$1790,$F$1691:$F$1790))</f>
        <v>0</v>
      </c>
      <c r="BC1790">
        <f>IF(OR(BA1790="",BB1790=""),"",BB1790+BA1790*F1790)</f>
        <v>0</v>
      </c>
      <c r="BD1790">
        <f>IF(COUNT($E$2:$E1790)&lt;20,"",STEYX($E$1691:$E$1790,$F$1691:$F$1790))</f>
        <v>0</v>
      </c>
      <c r="BE1790">
        <f>IF($E1790="","",IF(AND(COUNT($E$1791:$E$1794)&gt;=4,$C1790=MAX($C$1786:$C$1794)),$C1790,""))</f>
        <v>0</v>
      </c>
      <c r="BF1790">
        <f>IF($E1790="","",IF(AND(COUNT($E$1791:$E$1794)&gt;=4,$D1790=MIN($D$1786:$D$1794)),$D1790,""))</f>
        <v>0</v>
      </c>
      <c r="BG1790">
        <f>IF($A1790="","",$A1790-WEEKDAY($A1790,2)+1)</f>
        <v>0</v>
      </c>
      <c r="BH1790">
        <f>IF($A1790="","",IF($A1789="",1,IF(BG1790&lt;&gt;BG1789,1,0)))</f>
        <v>0</v>
      </c>
      <c r="BI1790">
        <f>IF($A1790="","",IF($A1791="",1,IF(BG1791&lt;&gt;BG1790,1,0)))</f>
        <v>0</v>
      </c>
      <c r="BJ1790">
        <f>IF($A1790="","",IF(BH1790=1,$B1790,BJ1789))</f>
        <v>0</v>
      </c>
      <c r="BK1790">
        <f>IF($A1790="","",IF(BH1790=1,$C1790,MAX($C1790,BK1789)))</f>
        <v>0</v>
      </c>
      <c r="BL1790">
        <f>IF($A1790="","",IF(BH1790=1,$D1790,MIN($D1790,BL1789)))</f>
        <v>0</v>
      </c>
      <c r="BM1790">
        <f>IF($A1790="","",IF(BI1790=1,F1790,""))</f>
        <v>0</v>
      </c>
      <c r="BN1790">
        <f>IF($A1790="","",DATE(YEAR($A1790),MONTH($A1790),1))</f>
        <v>0</v>
      </c>
      <c r="BO1790">
        <f>IF($A1790="","",IF($A1789="",1,IF(BN1790&lt;&gt;BN1789,1,0)))</f>
        <v>0</v>
      </c>
      <c r="BP1790">
        <f>IF($A1790="","",IF($A1791="",1,IF(BN1791&lt;&gt;BN1790,1,0)))</f>
        <v>0</v>
      </c>
      <c r="BQ1790">
        <f>IF($A1790="","",IF(BO1790=1,$B1790,BQ1789))</f>
        <v>0</v>
      </c>
      <c r="BR1790">
        <f>IF($A1790="","",IF(BO1790=1,$C1790,MAX($C1790,BR1789)))</f>
        <v>0</v>
      </c>
      <c r="BS1790">
        <f>IF($A1790="","",IF(BO1790=1,$D1790,MIN($D1790,BS1789)))</f>
        <v>0</v>
      </c>
      <c r="BT1790">
        <f>IF($A1790="","",IF(BP1790=1,F1790,""))</f>
        <v>0</v>
      </c>
    </row>
    <row r="1791" spans="1:72">
      <c r="A1791" s="27">
        <f>IF(Data!$A1791="","",Data!$A1791)</f>
        <v>0</v>
      </c>
      <c r="B1791">
        <f>IF(Data!$B1791="","",Data!$B1791)</f>
        <v>0</v>
      </c>
      <c r="C1791">
        <f>IF(Data!$C1791="","",Data!$C1791)</f>
        <v>0</v>
      </c>
      <c r="D1791">
        <f>IF(Data!$D1791="","",Data!$D1791)</f>
        <v>0</v>
      </c>
      <c r="E1791">
        <f>IF(Data!$E1791="","",Data!$E1791)</f>
        <v>0</v>
      </c>
      <c r="F1791">
        <f>IF($E1791="","",N(F1790)+1)</f>
        <v>0</v>
      </c>
      <c r="G1791">
        <f>IF(OR($E1791="",$E1790=""),"",LN($E1791/$E1790))</f>
        <v>0</v>
      </c>
      <c r="H1791">
        <f>IF($E1791="","",IF($E1790="",$E1791,$E1791*0.0952380952+H1790*0.9047619048))</f>
        <v>0</v>
      </c>
      <c r="I1791">
        <f>IF($E1791="","",IF($E1790="",$E1791,$E1791*0.0392156863+I1790*0.9607843137))</f>
        <v>0</v>
      </c>
      <c r="J1791">
        <f>IF($E1791="","",IF($E1790="",$E1791,$E1791*0.0198019802+J1790*0.9801980198))</f>
        <v>0</v>
      </c>
      <c r="K1791">
        <f>IF($E1791="","",IF($E1790="",$E1791,$E1791*0.0099502488+K1790*0.9900497512))</f>
        <v>0</v>
      </c>
      <c r="L1791">
        <f>IF(OR($E1791="",$E1790=""),"",MAX($E1791-$E1790,0))</f>
        <v>0</v>
      </c>
      <c r="M1791">
        <f>IF(OR($E1791="",$E1790=""),"",MAX($E1790-$E1791,0))</f>
        <v>0</v>
      </c>
      <c r="N1791">
        <f>IF(COUNT($E$2:$E1791)&lt;15,"",IF(AVERAGE($M$1778:$M$1791)=0,100,100-100/(1+AVERAGE($L$1778:$L$1791)/AVERAGE($M$1778:$M$1791))))</f>
        <v>0</v>
      </c>
      <c r="O1791">
        <f>IF($E1791="","",IF($E1790="",$E1791,$E1791*0.1538461538+O1790*0.8461538462))</f>
        <v>0</v>
      </c>
      <c r="P1791">
        <f>IF($E1791="","",IF($E1790="",$E1791,$E1791*0.0740740741+P1790*0.9259259259))</f>
        <v>0</v>
      </c>
      <c r="Q1791">
        <f>IF(OR(O1791="",P1791=""),"",O1791-P1791)</f>
        <v>0</v>
      </c>
      <c r="R1791">
        <f>IF(Q1791="","",IF(R1790="",Q1791,Q1791*0.2000000000+R1790*0.8000000000))</f>
        <v>0</v>
      </c>
      <c r="S1791">
        <f>IF(OR(Q1791="",R1791=""),"",Q1791-R1791)</f>
        <v>0</v>
      </c>
      <c r="T1791">
        <f>IF(COUNT($E$2:$E1791)&lt;14,"",MAX($C$1778:$C$1791))</f>
        <v>0</v>
      </c>
      <c r="U1791">
        <f>IF(COUNT($E$2:$E1791)&lt;14,"",MIN($D$1778:$D$1791))</f>
        <v>0</v>
      </c>
      <c r="V1791">
        <f>IF(OR(T1791="",U1791="",T1791=U1791),"",100*($E1791-U1791)/(T1791-U1791))</f>
        <v>0</v>
      </c>
      <c r="W1791">
        <f>IF(COUNT($V$1789:$V$1791)&lt;3,"",AVERAGE($V$1789:$V$1791))</f>
        <v>0</v>
      </c>
      <c r="X1791">
        <f>IF(COUNT($N$1778:$N$1791)&lt;14,"",MIN($N$1778:$N$1791))</f>
        <v>0</v>
      </c>
      <c r="Y1791">
        <f>IF(COUNT($N$1778:$N$1791)&lt;14,"",MAX($N$1778:$N$1791))</f>
        <v>0</v>
      </c>
      <c r="Z1791">
        <f>IF(OR(N1791="",X1791="",Y1791="",Y1791=X1791),"",100*(N1791-X1791)/(Y1791-X1791))</f>
        <v>0</v>
      </c>
      <c r="AA1791">
        <f>IF(COUNT($Z$1789:$Z$1791)&lt;3,"",AVERAGE($Z$1789:$Z$1791))</f>
        <v>0</v>
      </c>
      <c r="AB1791">
        <f>IF(COUNT($AA$1789:$AA$1791)&lt;3,"",AVERAGE($AA$1789:$AA$1791))</f>
        <v>0</v>
      </c>
      <c r="AC1791">
        <f>IF($E1791="","",MAX($C1791-$D1791,ABS($C1791-$E1790),ABS($D1791-$E1790)))</f>
        <v>0</v>
      </c>
      <c r="AD1791">
        <f>IF(COUNT($E$2:$E1791)&lt;15,"",AVERAGE($AC$1778:$AC$1791))</f>
        <v>0</v>
      </c>
      <c r="AE1791">
        <f>IF(OR($E1791="",$E1790=""),"",IF(AND(($C1791-$C1790)&gt;($D1790-$D1791),($C1791-$C1790)&gt;0),$C1791-$C1790,0))</f>
        <v>0</v>
      </c>
      <c r="AF1791">
        <f>IF(OR($E1791="",$E1790=""),"",IF(AND(($D1790-$D1791)&gt;($C1791-$C1790),($D1790-$D1791)&gt;0),$D1790-$D1791,0))</f>
        <v>0</v>
      </c>
      <c r="AG1791">
        <f>IF(COUNT($E$2:$E1791)&lt;15,"",IF(SUM($AC$1778:$AC$1791)=0,0,100*SUM($AE$1778:$AE$1791)/SUM($AC$1778:$AC$1791)))</f>
        <v>0</v>
      </c>
      <c r="AH1791">
        <f>IF(COUNT($E$2:$E1791)&lt;15,"",IF(SUM($AC$1778:$AC$1791)=0,0,100*SUM($AF$1778:$AF$1791)/SUM($AC$1778:$AC$1791)))</f>
        <v>0</v>
      </c>
      <c r="AI1791">
        <f>IF(OR(AG1791="",AH1791=""),"",IF((AG1791+AH1791)=0,0,100*ABS(AG1791-AH1791)/(AG1791+AH1791)))</f>
        <v>0</v>
      </c>
      <c r="AJ1791">
        <f>IF(COUNT($AI$1778:$AI$1791)&lt;14,"",AVERAGE($AI$1778:$AI$1791))</f>
        <v>0</v>
      </c>
      <c r="AK1791">
        <f>IF(COUNT($E$2:$E1791)&lt;20,"",AVERAGE($E$1772:$E$1791))</f>
        <v>0</v>
      </c>
      <c r="AL1791">
        <f>IF(COUNT($E$2:$E1791)&lt;20,"",STDEVP($E$1772:$E$1791))</f>
        <v>0</v>
      </c>
      <c r="AM1791">
        <f>IF(AK1791="","",AK1791+2*AL1791)</f>
        <v>0</v>
      </c>
      <c r="AN1791">
        <f>IF(AK1791="","",AK1791-2*AL1791)</f>
        <v>0</v>
      </c>
      <c r="AO1791">
        <f>IF(OR(AM1791="",AN1791="",AM1791=AN1791),"",($E1791-AN1791)/(AM1791-AN1791))</f>
        <v>0</v>
      </c>
      <c r="AP1791">
        <f>IF(OR(AM1791="",AK1791="",AK1791=0),"",(AM1791-AN1791)/AK1791)</f>
        <v>0</v>
      </c>
      <c r="AQ1791">
        <f>IF(COUNT($E$2:$E1791)&lt;20,"",MAX($C$1772:$C$1791))</f>
        <v>0</v>
      </c>
      <c r="AR1791">
        <f>IF(COUNT($E$2:$E1791)&lt;20,"",MIN($D$1772:$D$1791))</f>
        <v>0</v>
      </c>
      <c r="AS1791">
        <f>IF(OR(AQ1791="",AR1791=""),"",(AQ1791+AR1791)/2)</f>
        <v>0</v>
      </c>
      <c r="AT1791">
        <f>IF(COUNT($G$1772:$G$1791)&lt;20,"",STDEV($G$1772:$G$1791)*SQRT(252))</f>
        <v>0</v>
      </c>
      <c r="AU1791">
        <f>IF(COUNT($E$2:$E1791)&lt;9,"",(MAX($C$1783:$C$1791)+MIN($D$1783:$D$1791))/2)</f>
        <v>0</v>
      </c>
      <c r="AV1791">
        <f>IF(COUNT($E$2:$E1791)&lt;26,"",(MAX($C$1766:$C$1791)+MIN($D$1766:$D$1791))/2)</f>
        <v>0</v>
      </c>
      <c r="AW1791">
        <f>IF(OR(AU1791="",AV1791=""),"",(AU1791+AV1791)/2)</f>
        <v>0</v>
      </c>
      <c r="AX1791">
        <f>IF(COUNT($E$2:$E1791)&lt;52,"",(MAX($C$1740:$C$1791)+MIN($D$1740:$D$1791))/2)</f>
        <v>0</v>
      </c>
      <c r="AY1791">
        <f>IF(COUNT($E$2:$E1791)&lt;20,"",MAX($C$1692:$C$1791))</f>
        <v>0</v>
      </c>
      <c r="AZ1791">
        <f>IF(COUNT($E$2:$E1791)&lt;20,"",MIN($D$1692:$D$1791))</f>
        <v>0</v>
      </c>
      <c r="BA1791">
        <f>IF(COUNT($E$2:$E1791)&lt;20,"",SLOPE($E$1692:$E$1791,$F$1692:$F$1791))</f>
        <v>0</v>
      </c>
      <c r="BB1791">
        <f>IF(COUNT($E$2:$E1791)&lt;20,"",INTERCEPT($E$1692:$E$1791,$F$1692:$F$1791))</f>
        <v>0</v>
      </c>
      <c r="BC1791">
        <f>IF(OR(BA1791="",BB1791=""),"",BB1791+BA1791*F1791)</f>
        <v>0</v>
      </c>
      <c r="BD1791">
        <f>IF(COUNT($E$2:$E1791)&lt;20,"",STEYX($E$1692:$E$1791,$F$1692:$F$1791))</f>
        <v>0</v>
      </c>
      <c r="BE1791">
        <f>IF($E1791="","",IF(AND(COUNT($E$1792:$E$1795)&gt;=4,$C1791=MAX($C$1787:$C$1795)),$C1791,""))</f>
        <v>0</v>
      </c>
      <c r="BF1791">
        <f>IF($E1791="","",IF(AND(COUNT($E$1792:$E$1795)&gt;=4,$D1791=MIN($D$1787:$D$1795)),$D1791,""))</f>
        <v>0</v>
      </c>
      <c r="BG1791">
        <f>IF($A1791="","",$A1791-WEEKDAY($A1791,2)+1)</f>
        <v>0</v>
      </c>
      <c r="BH1791">
        <f>IF($A1791="","",IF($A1790="",1,IF(BG1791&lt;&gt;BG1790,1,0)))</f>
        <v>0</v>
      </c>
      <c r="BI1791">
        <f>IF($A1791="","",IF($A1792="",1,IF(BG1792&lt;&gt;BG1791,1,0)))</f>
        <v>0</v>
      </c>
      <c r="BJ1791">
        <f>IF($A1791="","",IF(BH1791=1,$B1791,BJ1790))</f>
        <v>0</v>
      </c>
      <c r="BK1791">
        <f>IF($A1791="","",IF(BH1791=1,$C1791,MAX($C1791,BK1790)))</f>
        <v>0</v>
      </c>
      <c r="BL1791">
        <f>IF($A1791="","",IF(BH1791=1,$D1791,MIN($D1791,BL1790)))</f>
        <v>0</v>
      </c>
      <c r="BM1791">
        <f>IF($A1791="","",IF(BI1791=1,F1791,""))</f>
        <v>0</v>
      </c>
      <c r="BN1791">
        <f>IF($A1791="","",DATE(YEAR($A1791),MONTH($A1791),1))</f>
        <v>0</v>
      </c>
      <c r="BO1791">
        <f>IF($A1791="","",IF($A1790="",1,IF(BN1791&lt;&gt;BN1790,1,0)))</f>
        <v>0</v>
      </c>
      <c r="BP1791">
        <f>IF($A1791="","",IF($A1792="",1,IF(BN1792&lt;&gt;BN1791,1,0)))</f>
        <v>0</v>
      </c>
      <c r="BQ1791">
        <f>IF($A1791="","",IF(BO1791=1,$B1791,BQ1790))</f>
        <v>0</v>
      </c>
      <c r="BR1791">
        <f>IF($A1791="","",IF(BO1791=1,$C1791,MAX($C1791,BR1790)))</f>
        <v>0</v>
      </c>
      <c r="BS1791">
        <f>IF($A1791="","",IF(BO1791=1,$D1791,MIN($D1791,BS1790)))</f>
        <v>0</v>
      </c>
      <c r="BT1791">
        <f>IF($A1791="","",IF(BP1791=1,F1791,""))</f>
        <v>0</v>
      </c>
    </row>
    <row r="1792" spans="1:72">
      <c r="A1792" s="27">
        <f>IF(Data!$A1792="","",Data!$A1792)</f>
        <v>0</v>
      </c>
      <c r="B1792">
        <f>IF(Data!$B1792="","",Data!$B1792)</f>
        <v>0</v>
      </c>
      <c r="C1792">
        <f>IF(Data!$C1792="","",Data!$C1792)</f>
        <v>0</v>
      </c>
      <c r="D1792">
        <f>IF(Data!$D1792="","",Data!$D1792)</f>
        <v>0</v>
      </c>
      <c r="E1792">
        <f>IF(Data!$E1792="","",Data!$E1792)</f>
        <v>0</v>
      </c>
      <c r="F1792">
        <f>IF($E1792="","",N(F1791)+1)</f>
        <v>0</v>
      </c>
      <c r="G1792">
        <f>IF(OR($E1792="",$E1791=""),"",LN($E1792/$E1791))</f>
        <v>0</v>
      </c>
      <c r="H1792">
        <f>IF($E1792="","",IF($E1791="",$E1792,$E1792*0.0952380952+H1791*0.9047619048))</f>
        <v>0</v>
      </c>
      <c r="I1792">
        <f>IF($E1792="","",IF($E1791="",$E1792,$E1792*0.0392156863+I1791*0.9607843137))</f>
        <v>0</v>
      </c>
      <c r="J1792">
        <f>IF($E1792="","",IF($E1791="",$E1792,$E1792*0.0198019802+J1791*0.9801980198))</f>
        <v>0</v>
      </c>
      <c r="K1792">
        <f>IF($E1792="","",IF($E1791="",$E1792,$E1792*0.0099502488+K1791*0.9900497512))</f>
        <v>0</v>
      </c>
      <c r="L1792">
        <f>IF(OR($E1792="",$E1791=""),"",MAX($E1792-$E1791,0))</f>
        <v>0</v>
      </c>
      <c r="M1792">
        <f>IF(OR($E1792="",$E1791=""),"",MAX($E1791-$E1792,0))</f>
        <v>0</v>
      </c>
      <c r="N1792">
        <f>IF(COUNT($E$2:$E1792)&lt;15,"",IF(AVERAGE($M$1779:$M$1792)=0,100,100-100/(1+AVERAGE($L$1779:$L$1792)/AVERAGE($M$1779:$M$1792))))</f>
        <v>0</v>
      </c>
      <c r="O1792">
        <f>IF($E1792="","",IF($E1791="",$E1792,$E1792*0.1538461538+O1791*0.8461538462))</f>
        <v>0</v>
      </c>
      <c r="P1792">
        <f>IF($E1792="","",IF($E1791="",$E1792,$E1792*0.0740740741+P1791*0.9259259259))</f>
        <v>0</v>
      </c>
      <c r="Q1792">
        <f>IF(OR(O1792="",P1792=""),"",O1792-P1792)</f>
        <v>0</v>
      </c>
      <c r="R1792">
        <f>IF(Q1792="","",IF(R1791="",Q1792,Q1792*0.2000000000+R1791*0.8000000000))</f>
        <v>0</v>
      </c>
      <c r="S1792">
        <f>IF(OR(Q1792="",R1792=""),"",Q1792-R1792)</f>
        <v>0</v>
      </c>
      <c r="T1792">
        <f>IF(COUNT($E$2:$E1792)&lt;14,"",MAX($C$1779:$C$1792))</f>
        <v>0</v>
      </c>
      <c r="U1792">
        <f>IF(COUNT($E$2:$E1792)&lt;14,"",MIN($D$1779:$D$1792))</f>
        <v>0</v>
      </c>
      <c r="V1792">
        <f>IF(OR(T1792="",U1792="",T1792=U1792),"",100*($E1792-U1792)/(T1792-U1792))</f>
        <v>0</v>
      </c>
      <c r="W1792">
        <f>IF(COUNT($V$1790:$V$1792)&lt;3,"",AVERAGE($V$1790:$V$1792))</f>
        <v>0</v>
      </c>
      <c r="X1792">
        <f>IF(COUNT($N$1779:$N$1792)&lt;14,"",MIN($N$1779:$N$1792))</f>
        <v>0</v>
      </c>
      <c r="Y1792">
        <f>IF(COUNT($N$1779:$N$1792)&lt;14,"",MAX($N$1779:$N$1792))</f>
        <v>0</v>
      </c>
      <c r="Z1792">
        <f>IF(OR(N1792="",X1792="",Y1792="",Y1792=X1792),"",100*(N1792-X1792)/(Y1792-X1792))</f>
        <v>0</v>
      </c>
      <c r="AA1792">
        <f>IF(COUNT($Z$1790:$Z$1792)&lt;3,"",AVERAGE($Z$1790:$Z$1792))</f>
        <v>0</v>
      </c>
      <c r="AB1792">
        <f>IF(COUNT($AA$1790:$AA$1792)&lt;3,"",AVERAGE($AA$1790:$AA$1792))</f>
        <v>0</v>
      </c>
      <c r="AC1792">
        <f>IF($E1792="","",MAX($C1792-$D1792,ABS($C1792-$E1791),ABS($D1792-$E1791)))</f>
        <v>0</v>
      </c>
      <c r="AD1792">
        <f>IF(COUNT($E$2:$E1792)&lt;15,"",AVERAGE($AC$1779:$AC$1792))</f>
        <v>0</v>
      </c>
      <c r="AE1792">
        <f>IF(OR($E1792="",$E1791=""),"",IF(AND(($C1792-$C1791)&gt;($D1791-$D1792),($C1792-$C1791)&gt;0),$C1792-$C1791,0))</f>
        <v>0</v>
      </c>
      <c r="AF1792">
        <f>IF(OR($E1792="",$E1791=""),"",IF(AND(($D1791-$D1792)&gt;($C1792-$C1791),($D1791-$D1792)&gt;0),$D1791-$D1792,0))</f>
        <v>0</v>
      </c>
      <c r="AG1792">
        <f>IF(COUNT($E$2:$E1792)&lt;15,"",IF(SUM($AC$1779:$AC$1792)=0,0,100*SUM($AE$1779:$AE$1792)/SUM($AC$1779:$AC$1792)))</f>
        <v>0</v>
      </c>
      <c r="AH1792">
        <f>IF(COUNT($E$2:$E1792)&lt;15,"",IF(SUM($AC$1779:$AC$1792)=0,0,100*SUM($AF$1779:$AF$1792)/SUM($AC$1779:$AC$1792)))</f>
        <v>0</v>
      </c>
      <c r="AI1792">
        <f>IF(OR(AG1792="",AH1792=""),"",IF((AG1792+AH1792)=0,0,100*ABS(AG1792-AH1792)/(AG1792+AH1792)))</f>
        <v>0</v>
      </c>
      <c r="AJ1792">
        <f>IF(COUNT($AI$1779:$AI$1792)&lt;14,"",AVERAGE($AI$1779:$AI$1792))</f>
        <v>0</v>
      </c>
      <c r="AK1792">
        <f>IF(COUNT($E$2:$E1792)&lt;20,"",AVERAGE($E$1773:$E$1792))</f>
        <v>0</v>
      </c>
      <c r="AL1792">
        <f>IF(COUNT($E$2:$E1792)&lt;20,"",STDEVP($E$1773:$E$1792))</f>
        <v>0</v>
      </c>
      <c r="AM1792">
        <f>IF(AK1792="","",AK1792+2*AL1792)</f>
        <v>0</v>
      </c>
      <c r="AN1792">
        <f>IF(AK1792="","",AK1792-2*AL1792)</f>
        <v>0</v>
      </c>
      <c r="AO1792">
        <f>IF(OR(AM1792="",AN1792="",AM1792=AN1792),"",($E1792-AN1792)/(AM1792-AN1792))</f>
        <v>0</v>
      </c>
      <c r="AP1792">
        <f>IF(OR(AM1792="",AK1792="",AK1792=0),"",(AM1792-AN1792)/AK1792)</f>
        <v>0</v>
      </c>
      <c r="AQ1792">
        <f>IF(COUNT($E$2:$E1792)&lt;20,"",MAX($C$1773:$C$1792))</f>
        <v>0</v>
      </c>
      <c r="AR1792">
        <f>IF(COUNT($E$2:$E1792)&lt;20,"",MIN($D$1773:$D$1792))</f>
        <v>0</v>
      </c>
      <c r="AS1792">
        <f>IF(OR(AQ1792="",AR1792=""),"",(AQ1792+AR1792)/2)</f>
        <v>0</v>
      </c>
      <c r="AT1792">
        <f>IF(COUNT($G$1773:$G$1792)&lt;20,"",STDEV($G$1773:$G$1792)*SQRT(252))</f>
        <v>0</v>
      </c>
      <c r="AU1792">
        <f>IF(COUNT($E$2:$E1792)&lt;9,"",(MAX($C$1784:$C$1792)+MIN($D$1784:$D$1792))/2)</f>
        <v>0</v>
      </c>
      <c r="AV1792">
        <f>IF(COUNT($E$2:$E1792)&lt;26,"",(MAX($C$1767:$C$1792)+MIN($D$1767:$D$1792))/2)</f>
        <v>0</v>
      </c>
      <c r="AW1792">
        <f>IF(OR(AU1792="",AV1792=""),"",(AU1792+AV1792)/2)</f>
        <v>0</v>
      </c>
      <c r="AX1792">
        <f>IF(COUNT($E$2:$E1792)&lt;52,"",(MAX($C$1741:$C$1792)+MIN($D$1741:$D$1792))/2)</f>
        <v>0</v>
      </c>
      <c r="AY1792">
        <f>IF(COUNT($E$2:$E1792)&lt;20,"",MAX($C$1693:$C$1792))</f>
        <v>0</v>
      </c>
      <c r="AZ1792">
        <f>IF(COUNT($E$2:$E1792)&lt;20,"",MIN($D$1693:$D$1792))</f>
        <v>0</v>
      </c>
      <c r="BA1792">
        <f>IF(COUNT($E$2:$E1792)&lt;20,"",SLOPE($E$1693:$E$1792,$F$1693:$F$1792))</f>
        <v>0</v>
      </c>
      <c r="BB1792">
        <f>IF(COUNT($E$2:$E1792)&lt;20,"",INTERCEPT($E$1693:$E$1792,$F$1693:$F$1792))</f>
        <v>0</v>
      </c>
      <c r="BC1792">
        <f>IF(OR(BA1792="",BB1792=""),"",BB1792+BA1792*F1792)</f>
        <v>0</v>
      </c>
      <c r="BD1792">
        <f>IF(COUNT($E$2:$E1792)&lt;20,"",STEYX($E$1693:$E$1792,$F$1693:$F$1792))</f>
        <v>0</v>
      </c>
      <c r="BE1792">
        <f>IF($E1792="","",IF(AND(COUNT($E$1793:$E$1796)&gt;=4,$C1792=MAX($C$1788:$C$1796)),$C1792,""))</f>
        <v>0</v>
      </c>
      <c r="BF1792">
        <f>IF($E1792="","",IF(AND(COUNT($E$1793:$E$1796)&gt;=4,$D1792=MIN($D$1788:$D$1796)),$D1792,""))</f>
        <v>0</v>
      </c>
      <c r="BG1792">
        <f>IF($A1792="","",$A1792-WEEKDAY($A1792,2)+1)</f>
        <v>0</v>
      </c>
      <c r="BH1792">
        <f>IF($A1792="","",IF($A1791="",1,IF(BG1792&lt;&gt;BG1791,1,0)))</f>
        <v>0</v>
      </c>
      <c r="BI1792">
        <f>IF($A1792="","",IF($A1793="",1,IF(BG1793&lt;&gt;BG1792,1,0)))</f>
        <v>0</v>
      </c>
      <c r="BJ1792">
        <f>IF($A1792="","",IF(BH1792=1,$B1792,BJ1791))</f>
        <v>0</v>
      </c>
      <c r="BK1792">
        <f>IF($A1792="","",IF(BH1792=1,$C1792,MAX($C1792,BK1791)))</f>
        <v>0</v>
      </c>
      <c r="BL1792">
        <f>IF($A1792="","",IF(BH1792=1,$D1792,MIN($D1792,BL1791)))</f>
        <v>0</v>
      </c>
      <c r="BM1792">
        <f>IF($A1792="","",IF(BI1792=1,F1792,""))</f>
        <v>0</v>
      </c>
      <c r="BN1792">
        <f>IF($A1792="","",DATE(YEAR($A1792),MONTH($A1792),1))</f>
        <v>0</v>
      </c>
      <c r="BO1792">
        <f>IF($A1792="","",IF($A1791="",1,IF(BN1792&lt;&gt;BN1791,1,0)))</f>
        <v>0</v>
      </c>
      <c r="BP1792">
        <f>IF($A1792="","",IF($A1793="",1,IF(BN1793&lt;&gt;BN1792,1,0)))</f>
        <v>0</v>
      </c>
      <c r="BQ1792">
        <f>IF($A1792="","",IF(BO1792=1,$B1792,BQ1791))</f>
        <v>0</v>
      </c>
      <c r="BR1792">
        <f>IF($A1792="","",IF(BO1792=1,$C1792,MAX($C1792,BR1791)))</f>
        <v>0</v>
      </c>
      <c r="BS1792">
        <f>IF($A1792="","",IF(BO1792=1,$D1792,MIN($D1792,BS1791)))</f>
        <v>0</v>
      </c>
      <c r="BT1792">
        <f>IF($A1792="","",IF(BP1792=1,F1792,""))</f>
        <v>0</v>
      </c>
    </row>
    <row r="1793" spans="1:72">
      <c r="A1793" s="27">
        <f>IF(Data!$A1793="","",Data!$A1793)</f>
        <v>0</v>
      </c>
      <c r="B1793">
        <f>IF(Data!$B1793="","",Data!$B1793)</f>
        <v>0</v>
      </c>
      <c r="C1793">
        <f>IF(Data!$C1793="","",Data!$C1793)</f>
        <v>0</v>
      </c>
      <c r="D1793">
        <f>IF(Data!$D1793="","",Data!$D1793)</f>
        <v>0</v>
      </c>
      <c r="E1793">
        <f>IF(Data!$E1793="","",Data!$E1793)</f>
        <v>0</v>
      </c>
      <c r="F1793">
        <f>IF($E1793="","",N(F1792)+1)</f>
        <v>0</v>
      </c>
      <c r="G1793">
        <f>IF(OR($E1793="",$E1792=""),"",LN($E1793/$E1792))</f>
        <v>0</v>
      </c>
      <c r="H1793">
        <f>IF($E1793="","",IF($E1792="",$E1793,$E1793*0.0952380952+H1792*0.9047619048))</f>
        <v>0</v>
      </c>
      <c r="I1793">
        <f>IF($E1793="","",IF($E1792="",$E1793,$E1793*0.0392156863+I1792*0.9607843137))</f>
        <v>0</v>
      </c>
      <c r="J1793">
        <f>IF($E1793="","",IF($E1792="",$E1793,$E1793*0.0198019802+J1792*0.9801980198))</f>
        <v>0</v>
      </c>
      <c r="K1793">
        <f>IF($E1793="","",IF($E1792="",$E1793,$E1793*0.0099502488+K1792*0.9900497512))</f>
        <v>0</v>
      </c>
      <c r="L1793">
        <f>IF(OR($E1793="",$E1792=""),"",MAX($E1793-$E1792,0))</f>
        <v>0</v>
      </c>
      <c r="M1793">
        <f>IF(OR($E1793="",$E1792=""),"",MAX($E1792-$E1793,0))</f>
        <v>0</v>
      </c>
      <c r="N1793">
        <f>IF(COUNT($E$2:$E1793)&lt;15,"",IF(AVERAGE($M$1780:$M$1793)=0,100,100-100/(1+AVERAGE($L$1780:$L$1793)/AVERAGE($M$1780:$M$1793))))</f>
        <v>0</v>
      </c>
      <c r="O1793">
        <f>IF($E1793="","",IF($E1792="",$E1793,$E1793*0.1538461538+O1792*0.8461538462))</f>
        <v>0</v>
      </c>
      <c r="P1793">
        <f>IF($E1793="","",IF($E1792="",$E1793,$E1793*0.0740740741+P1792*0.9259259259))</f>
        <v>0</v>
      </c>
      <c r="Q1793">
        <f>IF(OR(O1793="",P1793=""),"",O1793-P1793)</f>
        <v>0</v>
      </c>
      <c r="R1793">
        <f>IF(Q1793="","",IF(R1792="",Q1793,Q1793*0.2000000000+R1792*0.8000000000))</f>
        <v>0</v>
      </c>
      <c r="S1793">
        <f>IF(OR(Q1793="",R1793=""),"",Q1793-R1793)</f>
        <v>0</v>
      </c>
      <c r="T1793">
        <f>IF(COUNT($E$2:$E1793)&lt;14,"",MAX($C$1780:$C$1793))</f>
        <v>0</v>
      </c>
      <c r="U1793">
        <f>IF(COUNT($E$2:$E1793)&lt;14,"",MIN($D$1780:$D$1793))</f>
        <v>0</v>
      </c>
      <c r="V1793">
        <f>IF(OR(T1793="",U1793="",T1793=U1793),"",100*($E1793-U1793)/(T1793-U1793))</f>
        <v>0</v>
      </c>
      <c r="W1793">
        <f>IF(COUNT($V$1791:$V$1793)&lt;3,"",AVERAGE($V$1791:$V$1793))</f>
        <v>0</v>
      </c>
      <c r="X1793">
        <f>IF(COUNT($N$1780:$N$1793)&lt;14,"",MIN($N$1780:$N$1793))</f>
        <v>0</v>
      </c>
      <c r="Y1793">
        <f>IF(COUNT($N$1780:$N$1793)&lt;14,"",MAX($N$1780:$N$1793))</f>
        <v>0</v>
      </c>
      <c r="Z1793">
        <f>IF(OR(N1793="",X1793="",Y1793="",Y1793=X1793),"",100*(N1793-X1793)/(Y1793-X1793))</f>
        <v>0</v>
      </c>
      <c r="AA1793">
        <f>IF(COUNT($Z$1791:$Z$1793)&lt;3,"",AVERAGE($Z$1791:$Z$1793))</f>
        <v>0</v>
      </c>
      <c r="AB1793">
        <f>IF(COUNT($AA$1791:$AA$1793)&lt;3,"",AVERAGE($AA$1791:$AA$1793))</f>
        <v>0</v>
      </c>
      <c r="AC1793">
        <f>IF($E1793="","",MAX($C1793-$D1793,ABS($C1793-$E1792),ABS($D1793-$E1792)))</f>
        <v>0</v>
      </c>
      <c r="AD1793">
        <f>IF(COUNT($E$2:$E1793)&lt;15,"",AVERAGE($AC$1780:$AC$1793))</f>
        <v>0</v>
      </c>
      <c r="AE1793">
        <f>IF(OR($E1793="",$E1792=""),"",IF(AND(($C1793-$C1792)&gt;($D1792-$D1793),($C1793-$C1792)&gt;0),$C1793-$C1792,0))</f>
        <v>0</v>
      </c>
      <c r="AF1793">
        <f>IF(OR($E1793="",$E1792=""),"",IF(AND(($D1792-$D1793)&gt;($C1793-$C1792),($D1792-$D1793)&gt;0),$D1792-$D1793,0))</f>
        <v>0</v>
      </c>
      <c r="AG1793">
        <f>IF(COUNT($E$2:$E1793)&lt;15,"",IF(SUM($AC$1780:$AC$1793)=0,0,100*SUM($AE$1780:$AE$1793)/SUM($AC$1780:$AC$1793)))</f>
        <v>0</v>
      </c>
      <c r="AH1793">
        <f>IF(COUNT($E$2:$E1793)&lt;15,"",IF(SUM($AC$1780:$AC$1793)=0,0,100*SUM($AF$1780:$AF$1793)/SUM($AC$1780:$AC$1793)))</f>
        <v>0</v>
      </c>
      <c r="AI1793">
        <f>IF(OR(AG1793="",AH1793=""),"",IF((AG1793+AH1793)=0,0,100*ABS(AG1793-AH1793)/(AG1793+AH1793)))</f>
        <v>0</v>
      </c>
      <c r="AJ1793">
        <f>IF(COUNT($AI$1780:$AI$1793)&lt;14,"",AVERAGE($AI$1780:$AI$1793))</f>
        <v>0</v>
      </c>
      <c r="AK1793">
        <f>IF(COUNT($E$2:$E1793)&lt;20,"",AVERAGE($E$1774:$E$1793))</f>
        <v>0</v>
      </c>
      <c r="AL1793">
        <f>IF(COUNT($E$2:$E1793)&lt;20,"",STDEVP($E$1774:$E$1793))</f>
        <v>0</v>
      </c>
      <c r="AM1793">
        <f>IF(AK1793="","",AK1793+2*AL1793)</f>
        <v>0</v>
      </c>
      <c r="AN1793">
        <f>IF(AK1793="","",AK1793-2*AL1793)</f>
        <v>0</v>
      </c>
      <c r="AO1793">
        <f>IF(OR(AM1793="",AN1793="",AM1793=AN1793),"",($E1793-AN1793)/(AM1793-AN1793))</f>
        <v>0</v>
      </c>
      <c r="AP1793">
        <f>IF(OR(AM1793="",AK1793="",AK1793=0),"",(AM1793-AN1793)/AK1793)</f>
        <v>0</v>
      </c>
      <c r="AQ1793">
        <f>IF(COUNT($E$2:$E1793)&lt;20,"",MAX($C$1774:$C$1793))</f>
        <v>0</v>
      </c>
      <c r="AR1793">
        <f>IF(COUNT($E$2:$E1793)&lt;20,"",MIN($D$1774:$D$1793))</f>
        <v>0</v>
      </c>
      <c r="AS1793">
        <f>IF(OR(AQ1793="",AR1793=""),"",(AQ1793+AR1793)/2)</f>
        <v>0</v>
      </c>
      <c r="AT1793">
        <f>IF(COUNT($G$1774:$G$1793)&lt;20,"",STDEV($G$1774:$G$1793)*SQRT(252))</f>
        <v>0</v>
      </c>
      <c r="AU1793">
        <f>IF(COUNT($E$2:$E1793)&lt;9,"",(MAX($C$1785:$C$1793)+MIN($D$1785:$D$1793))/2)</f>
        <v>0</v>
      </c>
      <c r="AV1793">
        <f>IF(COUNT($E$2:$E1793)&lt;26,"",(MAX($C$1768:$C$1793)+MIN($D$1768:$D$1793))/2)</f>
        <v>0</v>
      </c>
      <c r="AW1793">
        <f>IF(OR(AU1793="",AV1793=""),"",(AU1793+AV1793)/2)</f>
        <v>0</v>
      </c>
      <c r="AX1793">
        <f>IF(COUNT($E$2:$E1793)&lt;52,"",(MAX($C$1742:$C$1793)+MIN($D$1742:$D$1793))/2)</f>
        <v>0</v>
      </c>
      <c r="AY1793">
        <f>IF(COUNT($E$2:$E1793)&lt;20,"",MAX($C$1694:$C$1793))</f>
        <v>0</v>
      </c>
      <c r="AZ1793">
        <f>IF(COUNT($E$2:$E1793)&lt;20,"",MIN($D$1694:$D$1793))</f>
        <v>0</v>
      </c>
      <c r="BA1793">
        <f>IF(COUNT($E$2:$E1793)&lt;20,"",SLOPE($E$1694:$E$1793,$F$1694:$F$1793))</f>
        <v>0</v>
      </c>
      <c r="BB1793">
        <f>IF(COUNT($E$2:$E1793)&lt;20,"",INTERCEPT($E$1694:$E$1793,$F$1694:$F$1793))</f>
        <v>0</v>
      </c>
      <c r="BC1793">
        <f>IF(OR(BA1793="",BB1793=""),"",BB1793+BA1793*F1793)</f>
        <v>0</v>
      </c>
      <c r="BD1793">
        <f>IF(COUNT($E$2:$E1793)&lt;20,"",STEYX($E$1694:$E$1793,$F$1694:$F$1793))</f>
        <v>0</v>
      </c>
      <c r="BE1793">
        <f>IF($E1793="","",IF(AND(COUNT($E$1794:$E$1797)&gt;=4,$C1793=MAX($C$1789:$C$1797)),$C1793,""))</f>
        <v>0</v>
      </c>
      <c r="BF1793">
        <f>IF($E1793="","",IF(AND(COUNT($E$1794:$E$1797)&gt;=4,$D1793=MIN($D$1789:$D$1797)),$D1793,""))</f>
        <v>0</v>
      </c>
      <c r="BG1793">
        <f>IF($A1793="","",$A1793-WEEKDAY($A1793,2)+1)</f>
        <v>0</v>
      </c>
      <c r="BH1793">
        <f>IF($A1793="","",IF($A1792="",1,IF(BG1793&lt;&gt;BG1792,1,0)))</f>
        <v>0</v>
      </c>
      <c r="BI1793">
        <f>IF($A1793="","",IF($A1794="",1,IF(BG1794&lt;&gt;BG1793,1,0)))</f>
        <v>0</v>
      </c>
      <c r="BJ1793">
        <f>IF($A1793="","",IF(BH1793=1,$B1793,BJ1792))</f>
        <v>0</v>
      </c>
      <c r="BK1793">
        <f>IF($A1793="","",IF(BH1793=1,$C1793,MAX($C1793,BK1792)))</f>
        <v>0</v>
      </c>
      <c r="BL1793">
        <f>IF($A1793="","",IF(BH1793=1,$D1793,MIN($D1793,BL1792)))</f>
        <v>0</v>
      </c>
      <c r="BM1793">
        <f>IF($A1793="","",IF(BI1793=1,F1793,""))</f>
        <v>0</v>
      </c>
      <c r="BN1793">
        <f>IF($A1793="","",DATE(YEAR($A1793),MONTH($A1793),1))</f>
        <v>0</v>
      </c>
      <c r="BO1793">
        <f>IF($A1793="","",IF($A1792="",1,IF(BN1793&lt;&gt;BN1792,1,0)))</f>
        <v>0</v>
      </c>
      <c r="BP1793">
        <f>IF($A1793="","",IF($A1794="",1,IF(BN1794&lt;&gt;BN1793,1,0)))</f>
        <v>0</v>
      </c>
      <c r="BQ1793">
        <f>IF($A1793="","",IF(BO1793=1,$B1793,BQ1792))</f>
        <v>0</v>
      </c>
      <c r="BR1793">
        <f>IF($A1793="","",IF(BO1793=1,$C1793,MAX($C1793,BR1792)))</f>
        <v>0</v>
      </c>
      <c r="BS1793">
        <f>IF($A1793="","",IF(BO1793=1,$D1793,MIN($D1793,BS1792)))</f>
        <v>0</v>
      </c>
      <c r="BT1793">
        <f>IF($A1793="","",IF(BP1793=1,F1793,""))</f>
        <v>0</v>
      </c>
    </row>
    <row r="1794" spans="1:72">
      <c r="A1794" s="27">
        <f>IF(Data!$A1794="","",Data!$A1794)</f>
        <v>0</v>
      </c>
      <c r="B1794">
        <f>IF(Data!$B1794="","",Data!$B1794)</f>
        <v>0</v>
      </c>
      <c r="C1794">
        <f>IF(Data!$C1794="","",Data!$C1794)</f>
        <v>0</v>
      </c>
      <c r="D1794">
        <f>IF(Data!$D1794="","",Data!$D1794)</f>
        <v>0</v>
      </c>
      <c r="E1794">
        <f>IF(Data!$E1794="","",Data!$E1794)</f>
        <v>0</v>
      </c>
      <c r="F1794">
        <f>IF($E1794="","",N(F1793)+1)</f>
        <v>0</v>
      </c>
      <c r="G1794">
        <f>IF(OR($E1794="",$E1793=""),"",LN($E1794/$E1793))</f>
        <v>0</v>
      </c>
      <c r="H1794">
        <f>IF($E1794="","",IF($E1793="",$E1794,$E1794*0.0952380952+H1793*0.9047619048))</f>
        <v>0</v>
      </c>
      <c r="I1794">
        <f>IF($E1794="","",IF($E1793="",$E1794,$E1794*0.0392156863+I1793*0.9607843137))</f>
        <v>0</v>
      </c>
      <c r="J1794">
        <f>IF($E1794="","",IF($E1793="",$E1794,$E1794*0.0198019802+J1793*0.9801980198))</f>
        <v>0</v>
      </c>
      <c r="K1794">
        <f>IF($E1794="","",IF($E1793="",$E1794,$E1794*0.0099502488+K1793*0.9900497512))</f>
        <v>0</v>
      </c>
      <c r="L1794">
        <f>IF(OR($E1794="",$E1793=""),"",MAX($E1794-$E1793,0))</f>
        <v>0</v>
      </c>
      <c r="M1794">
        <f>IF(OR($E1794="",$E1793=""),"",MAX($E1793-$E1794,0))</f>
        <v>0</v>
      </c>
      <c r="N1794">
        <f>IF(COUNT($E$2:$E1794)&lt;15,"",IF(AVERAGE($M$1781:$M$1794)=0,100,100-100/(1+AVERAGE($L$1781:$L$1794)/AVERAGE($M$1781:$M$1794))))</f>
        <v>0</v>
      </c>
      <c r="O1794">
        <f>IF($E1794="","",IF($E1793="",$E1794,$E1794*0.1538461538+O1793*0.8461538462))</f>
        <v>0</v>
      </c>
      <c r="P1794">
        <f>IF($E1794="","",IF($E1793="",$E1794,$E1794*0.0740740741+P1793*0.9259259259))</f>
        <v>0</v>
      </c>
      <c r="Q1794">
        <f>IF(OR(O1794="",P1794=""),"",O1794-P1794)</f>
        <v>0</v>
      </c>
      <c r="R1794">
        <f>IF(Q1794="","",IF(R1793="",Q1794,Q1794*0.2000000000+R1793*0.8000000000))</f>
        <v>0</v>
      </c>
      <c r="S1794">
        <f>IF(OR(Q1794="",R1794=""),"",Q1794-R1794)</f>
        <v>0</v>
      </c>
      <c r="T1794">
        <f>IF(COUNT($E$2:$E1794)&lt;14,"",MAX($C$1781:$C$1794))</f>
        <v>0</v>
      </c>
      <c r="U1794">
        <f>IF(COUNT($E$2:$E1794)&lt;14,"",MIN($D$1781:$D$1794))</f>
        <v>0</v>
      </c>
      <c r="V1794">
        <f>IF(OR(T1794="",U1794="",T1794=U1794),"",100*($E1794-U1794)/(T1794-U1794))</f>
        <v>0</v>
      </c>
      <c r="W1794">
        <f>IF(COUNT($V$1792:$V$1794)&lt;3,"",AVERAGE($V$1792:$V$1794))</f>
        <v>0</v>
      </c>
      <c r="X1794">
        <f>IF(COUNT($N$1781:$N$1794)&lt;14,"",MIN($N$1781:$N$1794))</f>
        <v>0</v>
      </c>
      <c r="Y1794">
        <f>IF(COUNT($N$1781:$N$1794)&lt;14,"",MAX($N$1781:$N$1794))</f>
        <v>0</v>
      </c>
      <c r="Z1794">
        <f>IF(OR(N1794="",X1794="",Y1794="",Y1794=X1794),"",100*(N1794-X1794)/(Y1794-X1794))</f>
        <v>0</v>
      </c>
      <c r="AA1794">
        <f>IF(COUNT($Z$1792:$Z$1794)&lt;3,"",AVERAGE($Z$1792:$Z$1794))</f>
        <v>0</v>
      </c>
      <c r="AB1794">
        <f>IF(COUNT($AA$1792:$AA$1794)&lt;3,"",AVERAGE($AA$1792:$AA$1794))</f>
        <v>0</v>
      </c>
      <c r="AC1794">
        <f>IF($E1794="","",MAX($C1794-$D1794,ABS($C1794-$E1793),ABS($D1794-$E1793)))</f>
        <v>0</v>
      </c>
      <c r="AD1794">
        <f>IF(COUNT($E$2:$E1794)&lt;15,"",AVERAGE($AC$1781:$AC$1794))</f>
        <v>0</v>
      </c>
      <c r="AE1794">
        <f>IF(OR($E1794="",$E1793=""),"",IF(AND(($C1794-$C1793)&gt;($D1793-$D1794),($C1794-$C1793)&gt;0),$C1794-$C1793,0))</f>
        <v>0</v>
      </c>
      <c r="AF1794">
        <f>IF(OR($E1794="",$E1793=""),"",IF(AND(($D1793-$D1794)&gt;($C1794-$C1793),($D1793-$D1794)&gt;0),$D1793-$D1794,0))</f>
        <v>0</v>
      </c>
      <c r="AG1794">
        <f>IF(COUNT($E$2:$E1794)&lt;15,"",IF(SUM($AC$1781:$AC$1794)=0,0,100*SUM($AE$1781:$AE$1794)/SUM($AC$1781:$AC$1794)))</f>
        <v>0</v>
      </c>
      <c r="AH1794">
        <f>IF(COUNT($E$2:$E1794)&lt;15,"",IF(SUM($AC$1781:$AC$1794)=0,0,100*SUM($AF$1781:$AF$1794)/SUM($AC$1781:$AC$1794)))</f>
        <v>0</v>
      </c>
      <c r="AI1794">
        <f>IF(OR(AG1794="",AH1794=""),"",IF((AG1794+AH1794)=0,0,100*ABS(AG1794-AH1794)/(AG1794+AH1794)))</f>
        <v>0</v>
      </c>
      <c r="AJ1794">
        <f>IF(COUNT($AI$1781:$AI$1794)&lt;14,"",AVERAGE($AI$1781:$AI$1794))</f>
        <v>0</v>
      </c>
      <c r="AK1794">
        <f>IF(COUNT($E$2:$E1794)&lt;20,"",AVERAGE($E$1775:$E$1794))</f>
        <v>0</v>
      </c>
      <c r="AL1794">
        <f>IF(COUNT($E$2:$E1794)&lt;20,"",STDEVP($E$1775:$E$1794))</f>
        <v>0</v>
      </c>
      <c r="AM1794">
        <f>IF(AK1794="","",AK1794+2*AL1794)</f>
        <v>0</v>
      </c>
      <c r="AN1794">
        <f>IF(AK1794="","",AK1794-2*AL1794)</f>
        <v>0</v>
      </c>
      <c r="AO1794">
        <f>IF(OR(AM1794="",AN1794="",AM1794=AN1794),"",($E1794-AN1794)/(AM1794-AN1794))</f>
        <v>0</v>
      </c>
      <c r="AP1794">
        <f>IF(OR(AM1794="",AK1794="",AK1794=0),"",(AM1794-AN1794)/AK1794)</f>
        <v>0</v>
      </c>
      <c r="AQ1794">
        <f>IF(COUNT($E$2:$E1794)&lt;20,"",MAX($C$1775:$C$1794))</f>
        <v>0</v>
      </c>
      <c r="AR1794">
        <f>IF(COUNT($E$2:$E1794)&lt;20,"",MIN($D$1775:$D$1794))</f>
        <v>0</v>
      </c>
      <c r="AS1794">
        <f>IF(OR(AQ1794="",AR1794=""),"",(AQ1794+AR1794)/2)</f>
        <v>0</v>
      </c>
      <c r="AT1794">
        <f>IF(COUNT($G$1775:$G$1794)&lt;20,"",STDEV($G$1775:$G$1794)*SQRT(252))</f>
        <v>0</v>
      </c>
      <c r="AU1794">
        <f>IF(COUNT($E$2:$E1794)&lt;9,"",(MAX($C$1786:$C$1794)+MIN($D$1786:$D$1794))/2)</f>
        <v>0</v>
      </c>
      <c r="AV1794">
        <f>IF(COUNT($E$2:$E1794)&lt;26,"",(MAX($C$1769:$C$1794)+MIN($D$1769:$D$1794))/2)</f>
        <v>0</v>
      </c>
      <c r="AW1794">
        <f>IF(OR(AU1794="",AV1794=""),"",(AU1794+AV1794)/2)</f>
        <v>0</v>
      </c>
      <c r="AX1794">
        <f>IF(COUNT($E$2:$E1794)&lt;52,"",(MAX($C$1743:$C$1794)+MIN($D$1743:$D$1794))/2)</f>
        <v>0</v>
      </c>
      <c r="AY1794">
        <f>IF(COUNT($E$2:$E1794)&lt;20,"",MAX($C$1695:$C$1794))</f>
        <v>0</v>
      </c>
      <c r="AZ1794">
        <f>IF(COUNT($E$2:$E1794)&lt;20,"",MIN($D$1695:$D$1794))</f>
        <v>0</v>
      </c>
      <c r="BA1794">
        <f>IF(COUNT($E$2:$E1794)&lt;20,"",SLOPE($E$1695:$E$1794,$F$1695:$F$1794))</f>
        <v>0</v>
      </c>
      <c r="BB1794">
        <f>IF(COUNT($E$2:$E1794)&lt;20,"",INTERCEPT($E$1695:$E$1794,$F$1695:$F$1794))</f>
        <v>0</v>
      </c>
      <c r="BC1794">
        <f>IF(OR(BA1794="",BB1794=""),"",BB1794+BA1794*F1794)</f>
        <v>0</v>
      </c>
      <c r="BD1794">
        <f>IF(COUNT($E$2:$E1794)&lt;20,"",STEYX($E$1695:$E$1794,$F$1695:$F$1794))</f>
        <v>0</v>
      </c>
      <c r="BE1794">
        <f>IF($E1794="","",IF(AND(COUNT($E$1795:$E$1798)&gt;=4,$C1794=MAX($C$1790:$C$1798)),$C1794,""))</f>
        <v>0</v>
      </c>
      <c r="BF1794">
        <f>IF($E1794="","",IF(AND(COUNT($E$1795:$E$1798)&gt;=4,$D1794=MIN($D$1790:$D$1798)),$D1794,""))</f>
        <v>0</v>
      </c>
      <c r="BG1794">
        <f>IF($A1794="","",$A1794-WEEKDAY($A1794,2)+1)</f>
        <v>0</v>
      </c>
      <c r="BH1794">
        <f>IF($A1794="","",IF($A1793="",1,IF(BG1794&lt;&gt;BG1793,1,0)))</f>
        <v>0</v>
      </c>
      <c r="BI1794">
        <f>IF($A1794="","",IF($A1795="",1,IF(BG1795&lt;&gt;BG1794,1,0)))</f>
        <v>0</v>
      </c>
      <c r="BJ1794">
        <f>IF($A1794="","",IF(BH1794=1,$B1794,BJ1793))</f>
        <v>0</v>
      </c>
      <c r="BK1794">
        <f>IF($A1794="","",IF(BH1794=1,$C1794,MAX($C1794,BK1793)))</f>
        <v>0</v>
      </c>
      <c r="BL1794">
        <f>IF($A1794="","",IF(BH1794=1,$D1794,MIN($D1794,BL1793)))</f>
        <v>0</v>
      </c>
      <c r="BM1794">
        <f>IF($A1794="","",IF(BI1794=1,F1794,""))</f>
        <v>0</v>
      </c>
      <c r="BN1794">
        <f>IF($A1794="","",DATE(YEAR($A1794),MONTH($A1794),1))</f>
        <v>0</v>
      </c>
      <c r="BO1794">
        <f>IF($A1794="","",IF($A1793="",1,IF(BN1794&lt;&gt;BN1793,1,0)))</f>
        <v>0</v>
      </c>
      <c r="BP1794">
        <f>IF($A1794="","",IF($A1795="",1,IF(BN1795&lt;&gt;BN1794,1,0)))</f>
        <v>0</v>
      </c>
      <c r="BQ1794">
        <f>IF($A1794="","",IF(BO1794=1,$B1794,BQ1793))</f>
        <v>0</v>
      </c>
      <c r="BR1794">
        <f>IF($A1794="","",IF(BO1794=1,$C1794,MAX($C1794,BR1793)))</f>
        <v>0</v>
      </c>
      <c r="BS1794">
        <f>IF($A1794="","",IF(BO1794=1,$D1794,MIN($D1794,BS1793)))</f>
        <v>0</v>
      </c>
      <c r="BT1794">
        <f>IF($A1794="","",IF(BP1794=1,F1794,""))</f>
        <v>0</v>
      </c>
    </row>
    <row r="1795" spans="1:72">
      <c r="A1795" s="27">
        <f>IF(Data!$A1795="","",Data!$A1795)</f>
        <v>0</v>
      </c>
      <c r="B1795">
        <f>IF(Data!$B1795="","",Data!$B1795)</f>
        <v>0</v>
      </c>
      <c r="C1795">
        <f>IF(Data!$C1795="","",Data!$C1795)</f>
        <v>0</v>
      </c>
      <c r="D1795">
        <f>IF(Data!$D1795="","",Data!$D1795)</f>
        <v>0</v>
      </c>
      <c r="E1795">
        <f>IF(Data!$E1795="","",Data!$E1795)</f>
        <v>0</v>
      </c>
      <c r="F1795">
        <f>IF($E1795="","",N(F1794)+1)</f>
        <v>0</v>
      </c>
      <c r="G1795">
        <f>IF(OR($E1795="",$E1794=""),"",LN($E1795/$E1794))</f>
        <v>0</v>
      </c>
      <c r="H1795">
        <f>IF($E1795="","",IF($E1794="",$E1795,$E1795*0.0952380952+H1794*0.9047619048))</f>
        <v>0</v>
      </c>
      <c r="I1795">
        <f>IF($E1795="","",IF($E1794="",$E1795,$E1795*0.0392156863+I1794*0.9607843137))</f>
        <v>0</v>
      </c>
      <c r="J1795">
        <f>IF($E1795="","",IF($E1794="",$E1795,$E1795*0.0198019802+J1794*0.9801980198))</f>
        <v>0</v>
      </c>
      <c r="K1795">
        <f>IF($E1795="","",IF($E1794="",$E1795,$E1795*0.0099502488+K1794*0.9900497512))</f>
        <v>0</v>
      </c>
      <c r="L1795">
        <f>IF(OR($E1795="",$E1794=""),"",MAX($E1795-$E1794,0))</f>
        <v>0</v>
      </c>
      <c r="M1795">
        <f>IF(OR($E1795="",$E1794=""),"",MAX($E1794-$E1795,0))</f>
        <v>0</v>
      </c>
      <c r="N1795">
        <f>IF(COUNT($E$2:$E1795)&lt;15,"",IF(AVERAGE($M$1782:$M$1795)=0,100,100-100/(1+AVERAGE($L$1782:$L$1795)/AVERAGE($M$1782:$M$1795))))</f>
        <v>0</v>
      </c>
      <c r="O1795">
        <f>IF($E1795="","",IF($E1794="",$E1795,$E1795*0.1538461538+O1794*0.8461538462))</f>
        <v>0</v>
      </c>
      <c r="P1795">
        <f>IF($E1795="","",IF($E1794="",$E1795,$E1795*0.0740740741+P1794*0.9259259259))</f>
        <v>0</v>
      </c>
      <c r="Q1795">
        <f>IF(OR(O1795="",P1795=""),"",O1795-P1795)</f>
        <v>0</v>
      </c>
      <c r="R1795">
        <f>IF(Q1795="","",IF(R1794="",Q1795,Q1795*0.2000000000+R1794*0.8000000000))</f>
        <v>0</v>
      </c>
      <c r="S1795">
        <f>IF(OR(Q1795="",R1795=""),"",Q1795-R1795)</f>
        <v>0</v>
      </c>
      <c r="T1795">
        <f>IF(COUNT($E$2:$E1795)&lt;14,"",MAX($C$1782:$C$1795))</f>
        <v>0</v>
      </c>
      <c r="U1795">
        <f>IF(COUNT($E$2:$E1795)&lt;14,"",MIN($D$1782:$D$1795))</f>
        <v>0</v>
      </c>
      <c r="V1795">
        <f>IF(OR(T1795="",U1795="",T1795=U1795),"",100*($E1795-U1795)/(T1795-U1795))</f>
        <v>0</v>
      </c>
      <c r="W1795">
        <f>IF(COUNT($V$1793:$V$1795)&lt;3,"",AVERAGE($V$1793:$V$1795))</f>
        <v>0</v>
      </c>
      <c r="X1795">
        <f>IF(COUNT($N$1782:$N$1795)&lt;14,"",MIN($N$1782:$N$1795))</f>
        <v>0</v>
      </c>
      <c r="Y1795">
        <f>IF(COUNT($N$1782:$N$1795)&lt;14,"",MAX($N$1782:$N$1795))</f>
        <v>0</v>
      </c>
      <c r="Z1795">
        <f>IF(OR(N1795="",X1795="",Y1795="",Y1795=X1795),"",100*(N1795-X1795)/(Y1795-X1795))</f>
        <v>0</v>
      </c>
      <c r="AA1795">
        <f>IF(COUNT($Z$1793:$Z$1795)&lt;3,"",AVERAGE($Z$1793:$Z$1795))</f>
        <v>0</v>
      </c>
      <c r="AB1795">
        <f>IF(COUNT($AA$1793:$AA$1795)&lt;3,"",AVERAGE($AA$1793:$AA$1795))</f>
        <v>0</v>
      </c>
      <c r="AC1795">
        <f>IF($E1795="","",MAX($C1795-$D1795,ABS($C1795-$E1794),ABS($D1795-$E1794)))</f>
        <v>0</v>
      </c>
      <c r="AD1795">
        <f>IF(COUNT($E$2:$E1795)&lt;15,"",AVERAGE($AC$1782:$AC$1795))</f>
        <v>0</v>
      </c>
      <c r="AE1795">
        <f>IF(OR($E1795="",$E1794=""),"",IF(AND(($C1795-$C1794)&gt;($D1794-$D1795),($C1795-$C1794)&gt;0),$C1795-$C1794,0))</f>
        <v>0</v>
      </c>
      <c r="AF1795">
        <f>IF(OR($E1795="",$E1794=""),"",IF(AND(($D1794-$D1795)&gt;($C1795-$C1794),($D1794-$D1795)&gt;0),$D1794-$D1795,0))</f>
        <v>0</v>
      </c>
      <c r="AG1795">
        <f>IF(COUNT($E$2:$E1795)&lt;15,"",IF(SUM($AC$1782:$AC$1795)=0,0,100*SUM($AE$1782:$AE$1795)/SUM($AC$1782:$AC$1795)))</f>
        <v>0</v>
      </c>
      <c r="AH1795">
        <f>IF(COUNT($E$2:$E1795)&lt;15,"",IF(SUM($AC$1782:$AC$1795)=0,0,100*SUM($AF$1782:$AF$1795)/SUM($AC$1782:$AC$1795)))</f>
        <v>0</v>
      </c>
      <c r="AI1795">
        <f>IF(OR(AG1795="",AH1795=""),"",IF((AG1795+AH1795)=0,0,100*ABS(AG1795-AH1795)/(AG1795+AH1795)))</f>
        <v>0</v>
      </c>
      <c r="AJ1795">
        <f>IF(COUNT($AI$1782:$AI$1795)&lt;14,"",AVERAGE($AI$1782:$AI$1795))</f>
        <v>0</v>
      </c>
      <c r="AK1795">
        <f>IF(COUNT($E$2:$E1795)&lt;20,"",AVERAGE($E$1776:$E$1795))</f>
        <v>0</v>
      </c>
      <c r="AL1795">
        <f>IF(COUNT($E$2:$E1795)&lt;20,"",STDEVP($E$1776:$E$1795))</f>
        <v>0</v>
      </c>
      <c r="AM1795">
        <f>IF(AK1795="","",AK1795+2*AL1795)</f>
        <v>0</v>
      </c>
      <c r="AN1795">
        <f>IF(AK1795="","",AK1795-2*AL1795)</f>
        <v>0</v>
      </c>
      <c r="AO1795">
        <f>IF(OR(AM1795="",AN1795="",AM1795=AN1795),"",($E1795-AN1795)/(AM1795-AN1795))</f>
        <v>0</v>
      </c>
      <c r="AP1795">
        <f>IF(OR(AM1795="",AK1795="",AK1795=0),"",(AM1795-AN1795)/AK1795)</f>
        <v>0</v>
      </c>
      <c r="AQ1795">
        <f>IF(COUNT($E$2:$E1795)&lt;20,"",MAX($C$1776:$C$1795))</f>
        <v>0</v>
      </c>
      <c r="AR1795">
        <f>IF(COUNT($E$2:$E1795)&lt;20,"",MIN($D$1776:$D$1795))</f>
        <v>0</v>
      </c>
      <c r="AS1795">
        <f>IF(OR(AQ1795="",AR1795=""),"",(AQ1795+AR1795)/2)</f>
        <v>0</v>
      </c>
      <c r="AT1795">
        <f>IF(COUNT($G$1776:$G$1795)&lt;20,"",STDEV($G$1776:$G$1795)*SQRT(252))</f>
        <v>0</v>
      </c>
      <c r="AU1795">
        <f>IF(COUNT($E$2:$E1795)&lt;9,"",(MAX($C$1787:$C$1795)+MIN($D$1787:$D$1795))/2)</f>
        <v>0</v>
      </c>
      <c r="AV1795">
        <f>IF(COUNT($E$2:$E1795)&lt;26,"",(MAX($C$1770:$C$1795)+MIN($D$1770:$D$1795))/2)</f>
        <v>0</v>
      </c>
      <c r="AW1795">
        <f>IF(OR(AU1795="",AV1795=""),"",(AU1795+AV1795)/2)</f>
        <v>0</v>
      </c>
      <c r="AX1795">
        <f>IF(COUNT($E$2:$E1795)&lt;52,"",(MAX($C$1744:$C$1795)+MIN($D$1744:$D$1795))/2)</f>
        <v>0</v>
      </c>
      <c r="AY1795">
        <f>IF(COUNT($E$2:$E1795)&lt;20,"",MAX($C$1696:$C$1795))</f>
        <v>0</v>
      </c>
      <c r="AZ1795">
        <f>IF(COUNT($E$2:$E1795)&lt;20,"",MIN($D$1696:$D$1795))</f>
        <v>0</v>
      </c>
      <c r="BA1795">
        <f>IF(COUNT($E$2:$E1795)&lt;20,"",SLOPE($E$1696:$E$1795,$F$1696:$F$1795))</f>
        <v>0</v>
      </c>
      <c r="BB1795">
        <f>IF(COUNT($E$2:$E1795)&lt;20,"",INTERCEPT($E$1696:$E$1795,$F$1696:$F$1795))</f>
        <v>0</v>
      </c>
      <c r="BC1795">
        <f>IF(OR(BA1795="",BB1795=""),"",BB1795+BA1795*F1795)</f>
        <v>0</v>
      </c>
      <c r="BD1795">
        <f>IF(COUNT($E$2:$E1795)&lt;20,"",STEYX($E$1696:$E$1795,$F$1696:$F$1795))</f>
        <v>0</v>
      </c>
      <c r="BE1795">
        <f>IF($E1795="","",IF(AND(COUNT($E$1796:$E$1799)&gt;=4,$C1795=MAX($C$1791:$C$1799)),$C1795,""))</f>
        <v>0</v>
      </c>
      <c r="BF1795">
        <f>IF($E1795="","",IF(AND(COUNT($E$1796:$E$1799)&gt;=4,$D1795=MIN($D$1791:$D$1799)),$D1795,""))</f>
        <v>0</v>
      </c>
      <c r="BG1795">
        <f>IF($A1795="","",$A1795-WEEKDAY($A1795,2)+1)</f>
        <v>0</v>
      </c>
      <c r="BH1795">
        <f>IF($A1795="","",IF($A1794="",1,IF(BG1795&lt;&gt;BG1794,1,0)))</f>
        <v>0</v>
      </c>
      <c r="BI1795">
        <f>IF($A1795="","",IF($A1796="",1,IF(BG1796&lt;&gt;BG1795,1,0)))</f>
        <v>0</v>
      </c>
      <c r="BJ1795">
        <f>IF($A1795="","",IF(BH1795=1,$B1795,BJ1794))</f>
        <v>0</v>
      </c>
      <c r="BK1795">
        <f>IF($A1795="","",IF(BH1795=1,$C1795,MAX($C1795,BK1794)))</f>
        <v>0</v>
      </c>
      <c r="BL1795">
        <f>IF($A1795="","",IF(BH1795=1,$D1795,MIN($D1795,BL1794)))</f>
        <v>0</v>
      </c>
      <c r="BM1795">
        <f>IF($A1795="","",IF(BI1795=1,F1795,""))</f>
        <v>0</v>
      </c>
      <c r="BN1795">
        <f>IF($A1795="","",DATE(YEAR($A1795),MONTH($A1795),1))</f>
        <v>0</v>
      </c>
      <c r="BO1795">
        <f>IF($A1795="","",IF($A1794="",1,IF(BN1795&lt;&gt;BN1794,1,0)))</f>
        <v>0</v>
      </c>
      <c r="BP1795">
        <f>IF($A1795="","",IF($A1796="",1,IF(BN1796&lt;&gt;BN1795,1,0)))</f>
        <v>0</v>
      </c>
      <c r="BQ1795">
        <f>IF($A1795="","",IF(BO1795=1,$B1795,BQ1794))</f>
        <v>0</v>
      </c>
      <c r="BR1795">
        <f>IF($A1795="","",IF(BO1795=1,$C1795,MAX($C1795,BR1794)))</f>
        <v>0</v>
      </c>
      <c r="BS1795">
        <f>IF($A1795="","",IF(BO1795=1,$D1795,MIN($D1795,BS1794)))</f>
        <v>0</v>
      </c>
      <c r="BT1795">
        <f>IF($A1795="","",IF(BP1795=1,F1795,""))</f>
        <v>0</v>
      </c>
    </row>
    <row r="1796" spans="1:72">
      <c r="A1796" s="27">
        <f>IF(Data!$A1796="","",Data!$A1796)</f>
        <v>0</v>
      </c>
      <c r="B1796">
        <f>IF(Data!$B1796="","",Data!$B1796)</f>
        <v>0</v>
      </c>
      <c r="C1796">
        <f>IF(Data!$C1796="","",Data!$C1796)</f>
        <v>0</v>
      </c>
      <c r="D1796">
        <f>IF(Data!$D1796="","",Data!$D1796)</f>
        <v>0</v>
      </c>
      <c r="E1796">
        <f>IF(Data!$E1796="","",Data!$E1796)</f>
        <v>0</v>
      </c>
      <c r="F1796">
        <f>IF($E1796="","",N(F1795)+1)</f>
        <v>0</v>
      </c>
      <c r="G1796">
        <f>IF(OR($E1796="",$E1795=""),"",LN($E1796/$E1795))</f>
        <v>0</v>
      </c>
      <c r="H1796">
        <f>IF($E1796="","",IF($E1795="",$E1796,$E1796*0.0952380952+H1795*0.9047619048))</f>
        <v>0</v>
      </c>
      <c r="I1796">
        <f>IF($E1796="","",IF($E1795="",$E1796,$E1796*0.0392156863+I1795*0.9607843137))</f>
        <v>0</v>
      </c>
      <c r="J1796">
        <f>IF($E1796="","",IF($E1795="",$E1796,$E1796*0.0198019802+J1795*0.9801980198))</f>
        <v>0</v>
      </c>
      <c r="K1796">
        <f>IF($E1796="","",IF($E1795="",$E1796,$E1796*0.0099502488+K1795*0.9900497512))</f>
        <v>0</v>
      </c>
      <c r="L1796">
        <f>IF(OR($E1796="",$E1795=""),"",MAX($E1796-$E1795,0))</f>
        <v>0</v>
      </c>
      <c r="M1796">
        <f>IF(OR($E1796="",$E1795=""),"",MAX($E1795-$E1796,0))</f>
        <v>0</v>
      </c>
      <c r="N1796">
        <f>IF(COUNT($E$2:$E1796)&lt;15,"",IF(AVERAGE($M$1783:$M$1796)=0,100,100-100/(1+AVERAGE($L$1783:$L$1796)/AVERAGE($M$1783:$M$1796))))</f>
        <v>0</v>
      </c>
      <c r="O1796">
        <f>IF($E1796="","",IF($E1795="",$E1796,$E1796*0.1538461538+O1795*0.8461538462))</f>
        <v>0</v>
      </c>
      <c r="P1796">
        <f>IF($E1796="","",IF($E1795="",$E1796,$E1796*0.0740740741+P1795*0.9259259259))</f>
        <v>0</v>
      </c>
      <c r="Q1796">
        <f>IF(OR(O1796="",P1796=""),"",O1796-P1796)</f>
        <v>0</v>
      </c>
      <c r="R1796">
        <f>IF(Q1796="","",IF(R1795="",Q1796,Q1796*0.2000000000+R1795*0.8000000000))</f>
        <v>0</v>
      </c>
      <c r="S1796">
        <f>IF(OR(Q1796="",R1796=""),"",Q1796-R1796)</f>
        <v>0</v>
      </c>
      <c r="T1796">
        <f>IF(COUNT($E$2:$E1796)&lt;14,"",MAX($C$1783:$C$1796))</f>
        <v>0</v>
      </c>
      <c r="U1796">
        <f>IF(COUNT($E$2:$E1796)&lt;14,"",MIN($D$1783:$D$1796))</f>
        <v>0</v>
      </c>
      <c r="V1796">
        <f>IF(OR(T1796="",U1796="",T1796=U1796),"",100*($E1796-U1796)/(T1796-U1796))</f>
        <v>0</v>
      </c>
      <c r="W1796">
        <f>IF(COUNT($V$1794:$V$1796)&lt;3,"",AVERAGE($V$1794:$V$1796))</f>
        <v>0</v>
      </c>
      <c r="X1796">
        <f>IF(COUNT($N$1783:$N$1796)&lt;14,"",MIN($N$1783:$N$1796))</f>
        <v>0</v>
      </c>
      <c r="Y1796">
        <f>IF(COUNT($N$1783:$N$1796)&lt;14,"",MAX($N$1783:$N$1796))</f>
        <v>0</v>
      </c>
      <c r="Z1796">
        <f>IF(OR(N1796="",X1796="",Y1796="",Y1796=X1796),"",100*(N1796-X1796)/(Y1796-X1796))</f>
        <v>0</v>
      </c>
      <c r="AA1796">
        <f>IF(COUNT($Z$1794:$Z$1796)&lt;3,"",AVERAGE($Z$1794:$Z$1796))</f>
        <v>0</v>
      </c>
      <c r="AB1796">
        <f>IF(COUNT($AA$1794:$AA$1796)&lt;3,"",AVERAGE($AA$1794:$AA$1796))</f>
        <v>0</v>
      </c>
      <c r="AC1796">
        <f>IF($E1796="","",MAX($C1796-$D1796,ABS($C1796-$E1795),ABS($D1796-$E1795)))</f>
        <v>0</v>
      </c>
      <c r="AD1796">
        <f>IF(COUNT($E$2:$E1796)&lt;15,"",AVERAGE($AC$1783:$AC$1796))</f>
        <v>0</v>
      </c>
      <c r="AE1796">
        <f>IF(OR($E1796="",$E1795=""),"",IF(AND(($C1796-$C1795)&gt;($D1795-$D1796),($C1796-$C1795)&gt;0),$C1796-$C1795,0))</f>
        <v>0</v>
      </c>
      <c r="AF1796">
        <f>IF(OR($E1796="",$E1795=""),"",IF(AND(($D1795-$D1796)&gt;($C1796-$C1795),($D1795-$D1796)&gt;0),$D1795-$D1796,0))</f>
        <v>0</v>
      </c>
      <c r="AG1796">
        <f>IF(COUNT($E$2:$E1796)&lt;15,"",IF(SUM($AC$1783:$AC$1796)=0,0,100*SUM($AE$1783:$AE$1796)/SUM($AC$1783:$AC$1796)))</f>
        <v>0</v>
      </c>
      <c r="AH1796">
        <f>IF(COUNT($E$2:$E1796)&lt;15,"",IF(SUM($AC$1783:$AC$1796)=0,0,100*SUM($AF$1783:$AF$1796)/SUM($AC$1783:$AC$1796)))</f>
        <v>0</v>
      </c>
      <c r="AI1796">
        <f>IF(OR(AG1796="",AH1796=""),"",IF((AG1796+AH1796)=0,0,100*ABS(AG1796-AH1796)/(AG1796+AH1796)))</f>
        <v>0</v>
      </c>
      <c r="AJ1796">
        <f>IF(COUNT($AI$1783:$AI$1796)&lt;14,"",AVERAGE($AI$1783:$AI$1796))</f>
        <v>0</v>
      </c>
      <c r="AK1796">
        <f>IF(COUNT($E$2:$E1796)&lt;20,"",AVERAGE($E$1777:$E$1796))</f>
        <v>0</v>
      </c>
      <c r="AL1796">
        <f>IF(COUNT($E$2:$E1796)&lt;20,"",STDEVP($E$1777:$E$1796))</f>
        <v>0</v>
      </c>
      <c r="AM1796">
        <f>IF(AK1796="","",AK1796+2*AL1796)</f>
        <v>0</v>
      </c>
      <c r="AN1796">
        <f>IF(AK1796="","",AK1796-2*AL1796)</f>
        <v>0</v>
      </c>
      <c r="AO1796">
        <f>IF(OR(AM1796="",AN1796="",AM1796=AN1796),"",($E1796-AN1796)/(AM1796-AN1796))</f>
        <v>0</v>
      </c>
      <c r="AP1796">
        <f>IF(OR(AM1796="",AK1796="",AK1796=0),"",(AM1796-AN1796)/AK1796)</f>
        <v>0</v>
      </c>
      <c r="AQ1796">
        <f>IF(COUNT($E$2:$E1796)&lt;20,"",MAX($C$1777:$C$1796))</f>
        <v>0</v>
      </c>
      <c r="AR1796">
        <f>IF(COUNT($E$2:$E1796)&lt;20,"",MIN($D$1777:$D$1796))</f>
        <v>0</v>
      </c>
      <c r="AS1796">
        <f>IF(OR(AQ1796="",AR1796=""),"",(AQ1796+AR1796)/2)</f>
        <v>0</v>
      </c>
      <c r="AT1796">
        <f>IF(COUNT($G$1777:$G$1796)&lt;20,"",STDEV($G$1777:$G$1796)*SQRT(252))</f>
        <v>0</v>
      </c>
      <c r="AU1796">
        <f>IF(COUNT($E$2:$E1796)&lt;9,"",(MAX($C$1788:$C$1796)+MIN($D$1788:$D$1796))/2)</f>
        <v>0</v>
      </c>
      <c r="AV1796">
        <f>IF(COUNT($E$2:$E1796)&lt;26,"",(MAX($C$1771:$C$1796)+MIN($D$1771:$D$1796))/2)</f>
        <v>0</v>
      </c>
      <c r="AW1796">
        <f>IF(OR(AU1796="",AV1796=""),"",(AU1796+AV1796)/2)</f>
        <v>0</v>
      </c>
      <c r="AX1796">
        <f>IF(COUNT($E$2:$E1796)&lt;52,"",(MAX($C$1745:$C$1796)+MIN($D$1745:$D$1796))/2)</f>
        <v>0</v>
      </c>
      <c r="AY1796">
        <f>IF(COUNT($E$2:$E1796)&lt;20,"",MAX($C$1697:$C$1796))</f>
        <v>0</v>
      </c>
      <c r="AZ1796">
        <f>IF(COUNT($E$2:$E1796)&lt;20,"",MIN($D$1697:$D$1796))</f>
        <v>0</v>
      </c>
      <c r="BA1796">
        <f>IF(COUNT($E$2:$E1796)&lt;20,"",SLOPE($E$1697:$E$1796,$F$1697:$F$1796))</f>
        <v>0</v>
      </c>
      <c r="BB1796">
        <f>IF(COUNT($E$2:$E1796)&lt;20,"",INTERCEPT($E$1697:$E$1796,$F$1697:$F$1796))</f>
        <v>0</v>
      </c>
      <c r="BC1796">
        <f>IF(OR(BA1796="",BB1796=""),"",BB1796+BA1796*F1796)</f>
        <v>0</v>
      </c>
      <c r="BD1796">
        <f>IF(COUNT($E$2:$E1796)&lt;20,"",STEYX($E$1697:$E$1796,$F$1697:$F$1796))</f>
        <v>0</v>
      </c>
      <c r="BE1796">
        <f>IF($E1796="","",IF(AND(COUNT($E$1797:$E$1800)&gt;=4,$C1796=MAX($C$1792:$C$1800)),$C1796,""))</f>
        <v>0</v>
      </c>
      <c r="BF1796">
        <f>IF($E1796="","",IF(AND(COUNT($E$1797:$E$1800)&gt;=4,$D1796=MIN($D$1792:$D$1800)),$D1796,""))</f>
        <v>0</v>
      </c>
      <c r="BG1796">
        <f>IF($A1796="","",$A1796-WEEKDAY($A1796,2)+1)</f>
        <v>0</v>
      </c>
      <c r="BH1796">
        <f>IF($A1796="","",IF($A1795="",1,IF(BG1796&lt;&gt;BG1795,1,0)))</f>
        <v>0</v>
      </c>
      <c r="BI1796">
        <f>IF($A1796="","",IF($A1797="",1,IF(BG1797&lt;&gt;BG1796,1,0)))</f>
        <v>0</v>
      </c>
      <c r="BJ1796">
        <f>IF($A1796="","",IF(BH1796=1,$B1796,BJ1795))</f>
        <v>0</v>
      </c>
      <c r="BK1796">
        <f>IF($A1796="","",IF(BH1796=1,$C1796,MAX($C1796,BK1795)))</f>
        <v>0</v>
      </c>
      <c r="BL1796">
        <f>IF($A1796="","",IF(BH1796=1,$D1796,MIN($D1796,BL1795)))</f>
        <v>0</v>
      </c>
      <c r="BM1796">
        <f>IF($A1796="","",IF(BI1796=1,F1796,""))</f>
        <v>0</v>
      </c>
      <c r="BN1796">
        <f>IF($A1796="","",DATE(YEAR($A1796),MONTH($A1796),1))</f>
        <v>0</v>
      </c>
      <c r="BO1796">
        <f>IF($A1796="","",IF($A1795="",1,IF(BN1796&lt;&gt;BN1795,1,0)))</f>
        <v>0</v>
      </c>
      <c r="BP1796">
        <f>IF($A1796="","",IF($A1797="",1,IF(BN1797&lt;&gt;BN1796,1,0)))</f>
        <v>0</v>
      </c>
      <c r="BQ1796">
        <f>IF($A1796="","",IF(BO1796=1,$B1796,BQ1795))</f>
        <v>0</v>
      </c>
      <c r="BR1796">
        <f>IF($A1796="","",IF(BO1796=1,$C1796,MAX($C1796,BR1795)))</f>
        <v>0</v>
      </c>
      <c r="BS1796">
        <f>IF($A1796="","",IF(BO1796=1,$D1796,MIN($D1796,BS1795)))</f>
        <v>0</v>
      </c>
      <c r="BT1796">
        <f>IF($A1796="","",IF(BP1796=1,F1796,""))</f>
        <v>0</v>
      </c>
    </row>
    <row r="1797" spans="1:72">
      <c r="A1797" s="27">
        <f>IF(Data!$A1797="","",Data!$A1797)</f>
        <v>0</v>
      </c>
      <c r="B1797">
        <f>IF(Data!$B1797="","",Data!$B1797)</f>
        <v>0</v>
      </c>
      <c r="C1797">
        <f>IF(Data!$C1797="","",Data!$C1797)</f>
        <v>0</v>
      </c>
      <c r="D1797">
        <f>IF(Data!$D1797="","",Data!$D1797)</f>
        <v>0</v>
      </c>
      <c r="E1797">
        <f>IF(Data!$E1797="","",Data!$E1797)</f>
        <v>0</v>
      </c>
      <c r="F1797">
        <f>IF($E1797="","",N(F1796)+1)</f>
        <v>0</v>
      </c>
      <c r="G1797">
        <f>IF(OR($E1797="",$E1796=""),"",LN($E1797/$E1796))</f>
        <v>0</v>
      </c>
      <c r="H1797">
        <f>IF($E1797="","",IF($E1796="",$E1797,$E1797*0.0952380952+H1796*0.9047619048))</f>
        <v>0</v>
      </c>
      <c r="I1797">
        <f>IF($E1797="","",IF($E1796="",$E1797,$E1797*0.0392156863+I1796*0.9607843137))</f>
        <v>0</v>
      </c>
      <c r="J1797">
        <f>IF($E1797="","",IF($E1796="",$E1797,$E1797*0.0198019802+J1796*0.9801980198))</f>
        <v>0</v>
      </c>
      <c r="K1797">
        <f>IF($E1797="","",IF($E1796="",$E1797,$E1797*0.0099502488+K1796*0.9900497512))</f>
        <v>0</v>
      </c>
      <c r="L1797">
        <f>IF(OR($E1797="",$E1796=""),"",MAX($E1797-$E1796,0))</f>
        <v>0</v>
      </c>
      <c r="M1797">
        <f>IF(OR($E1797="",$E1796=""),"",MAX($E1796-$E1797,0))</f>
        <v>0</v>
      </c>
      <c r="N1797">
        <f>IF(COUNT($E$2:$E1797)&lt;15,"",IF(AVERAGE($M$1784:$M$1797)=0,100,100-100/(1+AVERAGE($L$1784:$L$1797)/AVERAGE($M$1784:$M$1797))))</f>
        <v>0</v>
      </c>
      <c r="O1797">
        <f>IF($E1797="","",IF($E1796="",$E1797,$E1797*0.1538461538+O1796*0.8461538462))</f>
        <v>0</v>
      </c>
      <c r="P1797">
        <f>IF($E1797="","",IF($E1796="",$E1797,$E1797*0.0740740741+P1796*0.9259259259))</f>
        <v>0</v>
      </c>
      <c r="Q1797">
        <f>IF(OR(O1797="",P1797=""),"",O1797-P1797)</f>
        <v>0</v>
      </c>
      <c r="R1797">
        <f>IF(Q1797="","",IF(R1796="",Q1797,Q1797*0.2000000000+R1796*0.8000000000))</f>
        <v>0</v>
      </c>
      <c r="S1797">
        <f>IF(OR(Q1797="",R1797=""),"",Q1797-R1797)</f>
        <v>0</v>
      </c>
      <c r="T1797">
        <f>IF(COUNT($E$2:$E1797)&lt;14,"",MAX($C$1784:$C$1797))</f>
        <v>0</v>
      </c>
      <c r="U1797">
        <f>IF(COUNT($E$2:$E1797)&lt;14,"",MIN($D$1784:$D$1797))</f>
        <v>0</v>
      </c>
      <c r="V1797">
        <f>IF(OR(T1797="",U1797="",T1797=U1797),"",100*($E1797-U1797)/(T1797-U1797))</f>
        <v>0</v>
      </c>
      <c r="W1797">
        <f>IF(COUNT($V$1795:$V$1797)&lt;3,"",AVERAGE($V$1795:$V$1797))</f>
        <v>0</v>
      </c>
      <c r="X1797">
        <f>IF(COUNT($N$1784:$N$1797)&lt;14,"",MIN($N$1784:$N$1797))</f>
        <v>0</v>
      </c>
      <c r="Y1797">
        <f>IF(COUNT($N$1784:$N$1797)&lt;14,"",MAX($N$1784:$N$1797))</f>
        <v>0</v>
      </c>
      <c r="Z1797">
        <f>IF(OR(N1797="",X1797="",Y1797="",Y1797=X1797),"",100*(N1797-X1797)/(Y1797-X1797))</f>
        <v>0</v>
      </c>
      <c r="AA1797">
        <f>IF(COUNT($Z$1795:$Z$1797)&lt;3,"",AVERAGE($Z$1795:$Z$1797))</f>
        <v>0</v>
      </c>
      <c r="AB1797">
        <f>IF(COUNT($AA$1795:$AA$1797)&lt;3,"",AVERAGE($AA$1795:$AA$1797))</f>
        <v>0</v>
      </c>
      <c r="AC1797">
        <f>IF($E1797="","",MAX($C1797-$D1797,ABS($C1797-$E1796),ABS($D1797-$E1796)))</f>
        <v>0</v>
      </c>
      <c r="AD1797">
        <f>IF(COUNT($E$2:$E1797)&lt;15,"",AVERAGE($AC$1784:$AC$1797))</f>
        <v>0</v>
      </c>
      <c r="AE1797">
        <f>IF(OR($E1797="",$E1796=""),"",IF(AND(($C1797-$C1796)&gt;($D1796-$D1797),($C1797-$C1796)&gt;0),$C1797-$C1796,0))</f>
        <v>0</v>
      </c>
      <c r="AF1797">
        <f>IF(OR($E1797="",$E1796=""),"",IF(AND(($D1796-$D1797)&gt;($C1797-$C1796),($D1796-$D1797)&gt;0),$D1796-$D1797,0))</f>
        <v>0</v>
      </c>
      <c r="AG1797">
        <f>IF(COUNT($E$2:$E1797)&lt;15,"",IF(SUM($AC$1784:$AC$1797)=0,0,100*SUM($AE$1784:$AE$1797)/SUM($AC$1784:$AC$1797)))</f>
        <v>0</v>
      </c>
      <c r="AH1797">
        <f>IF(COUNT($E$2:$E1797)&lt;15,"",IF(SUM($AC$1784:$AC$1797)=0,0,100*SUM($AF$1784:$AF$1797)/SUM($AC$1784:$AC$1797)))</f>
        <v>0</v>
      </c>
      <c r="AI1797">
        <f>IF(OR(AG1797="",AH1797=""),"",IF((AG1797+AH1797)=0,0,100*ABS(AG1797-AH1797)/(AG1797+AH1797)))</f>
        <v>0</v>
      </c>
      <c r="AJ1797">
        <f>IF(COUNT($AI$1784:$AI$1797)&lt;14,"",AVERAGE($AI$1784:$AI$1797))</f>
        <v>0</v>
      </c>
      <c r="AK1797">
        <f>IF(COUNT($E$2:$E1797)&lt;20,"",AVERAGE($E$1778:$E$1797))</f>
        <v>0</v>
      </c>
      <c r="AL1797">
        <f>IF(COUNT($E$2:$E1797)&lt;20,"",STDEVP($E$1778:$E$1797))</f>
        <v>0</v>
      </c>
      <c r="AM1797">
        <f>IF(AK1797="","",AK1797+2*AL1797)</f>
        <v>0</v>
      </c>
      <c r="AN1797">
        <f>IF(AK1797="","",AK1797-2*AL1797)</f>
        <v>0</v>
      </c>
      <c r="AO1797">
        <f>IF(OR(AM1797="",AN1797="",AM1797=AN1797),"",($E1797-AN1797)/(AM1797-AN1797))</f>
        <v>0</v>
      </c>
      <c r="AP1797">
        <f>IF(OR(AM1797="",AK1797="",AK1797=0),"",(AM1797-AN1797)/AK1797)</f>
        <v>0</v>
      </c>
      <c r="AQ1797">
        <f>IF(COUNT($E$2:$E1797)&lt;20,"",MAX($C$1778:$C$1797))</f>
        <v>0</v>
      </c>
      <c r="AR1797">
        <f>IF(COUNT($E$2:$E1797)&lt;20,"",MIN($D$1778:$D$1797))</f>
        <v>0</v>
      </c>
      <c r="AS1797">
        <f>IF(OR(AQ1797="",AR1797=""),"",(AQ1797+AR1797)/2)</f>
        <v>0</v>
      </c>
      <c r="AT1797">
        <f>IF(COUNT($G$1778:$G$1797)&lt;20,"",STDEV($G$1778:$G$1797)*SQRT(252))</f>
        <v>0</v>
      </c>
      <c r="AU1797">
        <f>IF(COUNT($E$2:$E1797)&lt;9,"",(MAX($C$1789:$C$1797)+MIN($D$1789:$D$1797))/2)</f>
        <v>0</v>
      </c>
      <c r="AV1797">
        <f>IF(COUNT($E$2:$E1797)&lt;26,"",(MAX($C$1772:$C$1797)+MIN($D$1772:$D$1797))/2)</f>
        <v>0</v>
      </c>
      <c r="AW1797">
        <f>IF(OR(AU1797="",AV1797=""),"",(AU1797+AV1797)/2)</f>
        <v>0</v>
      </c>
      <c r="AX1797">
        <f>IF(COUNT($E$2:$E1797)&lt;52,"",(MAX($C$1746:$C$1797)+MIN($D$1746:$D$1797))/2)</f>
        <v>0</v>
      </c>
      <c r="AY1797">
        <f>IF(COUNT($E$2:$E1797)&lt;20,"",MAX($C$1698:$C$1797))</f>
        <v>0</v>
      </c>
      <c r="AZ1797">
        <f>IF(COUNT($E$2:$E1797)&lt;20,"",MIN($D$1698:$D$1797))</f>
        <v>0</v>
      </c>
      <c r="BA1797">
        <f>IF(COUNT($E$2:$E1797)&lt;20,"",SLOPE($E$1698:$E$1797,$F$1698:$F$1797))</f>
        <v>0</v>
      </c>
      <c r="BB1797">
        <f>IF(COUNT($E$2:$E1797)&lt;20,"",INTERCEPT($E$1698:$E$1797,$F$1698:$F$1797))</f>
        <v>0</v>
      </c>
      <c r="BC1797">
        <f>IF(OR(BA1797="",BB1797=""),"",BB1797+BA1797*F1797)</f>
        <v>0</v>
      </c>
      <c r="BD1797">
        <f>IF(COUNT($E$2:$E1797)&lt;20,"",STEYX($E$1698:$E$1797,$F$1698:$F$1797))</f>
        <v>0</v>
      </c>
      <c r="BE1797">
        <f>IF($E1797="","",IF(AND(COUNT($E$1798:$E$1801)&gt;=4,$C1797=MAX($C$1793:$C$1801)),$C1797,""))</f>
        <v>0</v>
      </c>
      <c r="BF1797">
        <f>IF($E1797="","",IF(AND(COUNT($E$1798:$E$1801)&gt;=4,$D1797=MIN($D$1793:$D$1801)),$D1797,""))</f>
        <v>0</v>
      </c>
      <c r="BG1797">
        <f>IF($A1797="","",$A1797-WEEKDAY($A1797,2)+1)</f>
        <v>0</v>
      </c>
      <c r="BH1797">
        <f>IF($A1797="","",IF($A1796="",1,IF(BG1797&lt;&gt;BG1796,1,0)))</f>
        <v>0</v>
      </c>
      <c r="BI1797">
        <f>IF($A1797="","",IF($A1798="",1,IF(BG1798&lt;&gt;BG1797,1,0)))</f>
        <v>0</v>
      </c>
      <c r="BJ1797">
        <f>IF($A1797="","",IF(BH1797=1,$B1797,BJ1796))</f>
        <v>0</v>
      </c>
      <c r="BK1797">
        <f>IF($A1797="","",IF(BH1797=1,$C1797,MAX($C1797,BK1796)))</f>
        <v>0</v>
      </c>
      <c r="BL1797">
        <f>IF($A1797="","",IF(BH1797=1,$D1797,MIN($D1797,BL1796)))</f>
        <v>0</v>
      </c>
      <c r="BM1797">
        <f>IF($A1797="","",IF(BI1797=1,F1797,""))</f>
        <v>0</v>
      </c>
      <c r="BN1797">
        <f>IF($A1797="","",DATE(YEAR($A1797),MONTH($A1797),1))</f>
        <v>0</v>
      </c>
      <c r="BO1797">
        <f>IF($A1797="","",IF($A1796="",1,IF(BN1797&lt;&gt;BN1796,1,0)))</f>
        <v>0</v>
      </c>
      <c r="BP1797">
        <f>IF($A1797="","",IF($A1798="",1,IF(BN1798&lt;&gt;BN1797,1,0)))</f>
        <v>0</v>
      </c>
      <c r="BQ1797">
        <f>IF($A1797="","",IF(BO1797=1,$B1797,BQ1796))</f>
        <v>0</v>
      </c>
      <c r="BR1797">
        <f>IF($A1797="","",IF(BO1797=1,$C1797,MAX($C1797,BR1796)))</f>
        <v>0</v>
      </c>
      <c r="BS1797">
        <f>IF($A1797="","",IF(BO1797=1,$D1797,MIN($D1797,BS1796)))</f>
        <v>0</v>
      </c>
      <c r="BT1797">
        <f>IF($A1797="","",IF(BP1797=1,F1797,""))</f>
        <v>0</v>
      </c>
    </row>
    <row r="1798" spans="1:72">
      <c r="A1798" s="27">
        <f>IF(Data!$A1798="","",Data!$A1798)</f>
        <v>0</v>
      </c>
      <c r="B1798">
        <f>IF(Data!$B1798="","",Data!$B1798)</f>
        <v>0</v>
      </c>
      <c r="C1798">
        <f>IF(Data!$C1798="","",Data!$C1798)</f>
        <v>0</v>
      </c>
      <c r="D1798">
        <f>IF(Data!$D1798="","",Data!$D1798)</f>
        <v>0</v>
      </c>
      <c r="E1798">
        <f>IF(Data!$E1798="","",Data!$E1798)</f>
        <v>0</v>
      </c>
      <c r="F1798">
        <f>IF($E1798="","",N(F1797)+1)</f>
        <v>0</v>
      </c>
      <c r="G1798">
        <f>IF(OR($E1798="",$E1797=""),"",LN($E1798/$E1797))</f>
        <v>0</v>
      </c>
      <c r="H1798">
        <f>IF($E1798="","",IF($E1797="",$E1798,$E1798*0.0952380952+H1797*0.9047619048))</f>
        <v>0</v>
      </c>
      <c r="I1798">
        <f>IF($E1798="","",IF($E1797="",$E1798,$E1798*0.0392156863+I1797*0.9607843137))</f>
        <v>0</v>
      </c>
      <c r="J1798">
        <f>IF($E1798="","",IF($E1797="",$E1798,$E1798*0.0198019802+J1797*0.9801980198))</f>
        <v>0</v>
      </c>
      <c r="K1798">
        <f>IF($E1798="","",IF($E1797="",$E1798,$E1798*0.0099502488+K1797*0.9900497512))</f>
        <v>0</v>
      </c>
      <c r="L1798">
        <f>IF(OR($E1798="",$E1797=""),"",MAX($E1798-$E1797,0))</f>
        <v>0</v>
      </c>
      <c r="M1798">
        <f>IF(OR($E1798="",$E1797=""),"",MAX($E1797-$E1798,0))</f>
        <v>0</v>
      </c>
      <c r="N1798">
        <f>IF(COUNT($E$2:$E1798)&lt;15,"",IF(AVERAGE($M$1785:$M$1798)=0,100,100-100/(1+AVERAGE($L$1785:$L$1798)/AVERAGE($M$1785:$M$1798))))</f>
        <v>0</v>
      </c>
      <c r="O1798">
        <f>IF($E1798="","",IF($E1797="",$E1798,$E1798*0.1538461538+O1797*0.8461538462))</f>
        <v>0</v>
      </c>
      <c r="P1798">
        <f>IF($E1798="","",IF($E1797="",$E1798,$E1798*0.0740740741+P1797*0.9259259259))</f>
        <v>0</v>
      </c>
      <c r="Q1798">
        <f>IF(OR(O1798="",P1798=""),"",O1798-P1798)</f>
        <v>0</v>
      </c>
      <c r="R1798">
        <f>IF(Q1798="","",IF(R1797="",Q1798,Q1798*0.2000000000+R1797*0.8000000000))</f>
        <v>0</v>
      </c>
      <c r="S1798">
        <f>IF(OR(Q1798="",R1798=""),"",Q1798-R1798)</f>
        <v>0</v>
      </c>
      <c r="T1798">
        <f>IF(COUNT($E$2:$E1798)&lt;14,"",MAX($C$1785:$C$1798))</f>
        <v>0</v>
      </c>
      <c r="U1798">
        <f>IF(COUNT($E$2:$E1798)&lt;14,"",MIN($D$1785:$D$1798))</f>
        <v>0</v>
      </c>
      <c r="V1798">
        <f>IF(OR(T1798="",U1798="",T1798=U1798),"",100*($E1798-U1798)/(T1798-U1798))</f>
        <v>0</v>
      </c>
      <c r="W1798">
        <f>IF(COUNT($V$1796:$V$1798)&lt;3,"",AVERAGE($V$1796:$V$1798))</f>
        <v>0</v>
      </c>
      <c r="X1798">
        <f>IF(COUNT($N$1785:$N$1798)&lt;14,"",MIN($N$1785:$N$1798))</f>
        <v>0</v>
      </c>
      <c r="Y1798">
        <f>IF(COUNT($N$1785:$N$1798)&lt;14,"",MAX($N$1785:$N$1798))</f>
        <v>0</v>
      </c>
      <c r="Z1798">
        <f>IF(OR(N1798="",X1798="",Y1798="",Y1798=X1798),"",100*(N1798-X1798)/(Y1798-X1798))</f>
        <v>0</v>
      </c>
      <c r="AA1798">
        <f>IF(COUNT($Z$1796:$Z$1798)&lt;3,"",AVERAGE($Z$1796:$Z$1798))</f>
        <v>0</v>
      </c>
      <c r="AB1798">
        <f>IF(COUNT($AA$1796:$AA$1798)&lt;3,"",AVERAGE($AA$1796:$AA$1798))</f>
        <v>0</v>
      </c>
      <c r="AC1798">
        <f>IF($E1798="","",MAX($C1798-$D1798,ABS($C1798-$E1797),ABS($D1798-$E1797)))</f>
        <v>0</v>
      </c>
      <c r="AD1798">
        <f>IF(COUNT($E$2:$E1798)&lt;15,"",AVERAGE($AC$1785:$AC$1798))</f>
        <v>0</v>
      </c>
      <c r="AE1798">
        <f>IF(OR($E1798="",$E1797=""),"",IF(AND(($C1798-$C1797)&gt;($D1797-$D1798),($C1798-$C1797)&gt;0),$C1798-$C1797,0))</f>
        <v>0</v>
      </c>
      <c r="AF1798">
        <f>IF(OR($E1798="",$E1797=""),"",IF(AND(($D1797-$D1798)&gt;($C1798-$C1797),($D1797-$D1798)&gt;0),$D1797-$D1798,0))</f>
        <v>0</v>
      </c>
      <c r="AG1798">
        <f>IF(COUNT($E$2:$E1798)&lt;15,"",IF(SUM($AC$1785:$AC$1798)=0,0,100*SUM($AE$1785:$AE$1798)/SUM($AC$1785:$AC$1798)))</f>
        <v>0</v>
      </c>
      <c r="AH1798">
        <f>IF(COUNT($E$2:$E1798)&lt;15,"",IF(SUM($AC$1785:$AC$1798)=0,0,100*SUM($AF$1785:$AF$1798)/SUM($AC$1785:$AC$1798)))</f>
        <v>0</v>
      </c>
      <c r="AI1798">
        <f>IF(OR(AG1798="",AH1798=""),"",IF((AG1798+AH1798)=0,0,100*ABS(AG1798-AH1798)/(AG1798+AH1798)))</f>
        <v>0</v>
      </c>
      <c r="AJ1798">
        <f>IF(COUNT($AI$1785:$AI$1798)&lt;14,"",AVERAGE($AI$1785:$AI$1798))</f>
        <v>0</v>
      </c>
      <c r="AK1798">
        <f>IF(COUNT($E$2:$E1798)&lt;20,"",AVERAGE($E$1779:$E$1798))</f>
        <v>0</v>
      </c>
      <c r="AL1798">
        <f>IF(COUNT($E$2:$E1798)&lt;20,"",STDEVP($E$1779:$E$1798))</f>
        <v>0</v>
      </c>
      <c r="AM1798">
        <f>IF(AK1798="","",AK1798+2*AL1798)</f>
        <v>0</v>
      </c>
      <c r="AN1798">
        <f>IF(AK1798="","",AK1798-2*AL1798)</f>
        <v>0</v>
      </c>
      <c r="AO1798">
        <f>IF(OR(AM1798="",AN1798="",AM1798=AN1798),"",($E1798-AN1798)/(AM1798-AN1798))</f>
        <v>0</v>
      </c>
      <c r="AP1798">
        <f>IF(OR(AM1798="",AK1798="",AK1798=0),"",(AM1798-AN1798)/AK1798)</f>
        <v>0</v>
      </c>
      <c r="AQ1798">
        <f>IF(COUNT($E$2:$E1798)&lt;20,"",MAX($C$1779:$C$1798))</f>
        <v>0</v>
      </c>
      <c r="AR1798">
        <f>IF(COUNT($E$2:$E1798)&lt;20,"",MIN($D$1779:$D$1798))</f>
        <v>0</v>
      </c>
      <c r="AS1798">
        <f>IF(OR(AQ1798="",AR1798=""),"",(AQ1798+AR1798)/2)</f>
        <v>0</v>
      </c>
      <c r="AT1798">
        <f>IF(COUNT($G$1779:$G$1798)&lt;20,"",STDEV($G$1779:$G$1798)*SQRT(252))</f>
        <v>0</v>
      </c>
      <c r="AU1798">
        <f>IF(COUNT($E$2:$E1798)&lt;9,"",(MAX($C$1790:$C$1798)+MIN($D$1790:$D$1798))/2)</f>
        <v>0</v>
      </c>
      <c r="AV1798">
        <f>IF(COUNT($E$2:$E1798)&lt;26,"",(MAX($C$1773:$C$1798)+MIN($D$1773:$D$1798))/2)</f>
        <v>0</v>
      </c>
      <c r="AW1798">
        <f>IF(OR(AU1798="",AV1798=""),"",(AU1798+AV1798)/2)</f>
        <v>0</v>
      </c>
      <c r="AX1798">
        <f>IF(COUNT($E$2:$E1798)&lt;52,"",(MAX($C$1747:$C$1798)+MIN($D$1747:$D$1798))/2)</f>
        <v>0</v>
      </c>
      <c r="AY1798">
        <f>IF(COUNT($E$2:$E1798)&lt;20,"",MAX($C$1699:$C$1798))</f>
        <v>0</v>
      </c>
      <c r="AZ1798">
        <f>IF(COUNT($E$2:$E1798)&lt;20,"",MIN($D$1699:$D$1798))</f>
        <v>0</v>
      </c>
      <c r="BA1798">
        <f>IF(COUNT($E$2:$E1798)&lt;20,"",SLOPE($E$1699:$E$1798,$F$1699:$F$1798))</f>
        <v>0</v>
      </c>
      <c r="BB1798">
        <f>IF(COUNT($E$2:$E1798)&lt;20,"",INTERCEPT($E$1699:$E$1798,$F$1699:$F$1798))</f>
        <v>0</v>
      </c>
      <c r="BC1798">
        <f>IF(OR(BA1798="",BB1798=""),"",BB1798+BA1798*F1798)</f>
        <v>0</v>
      </c>
      <c r="BD1798">
        <f>IF(COUNT($E$2:$E1798)&lt;20,"",STEYX($E$1699:$E$1798,$F$1699:$F$1798))</f>
        <v>0</v>
      </c>
      <c r="BE1798">
        <f>IF($E1798="","",IF(AND(COUNT($E$1799:$E$1802)&gt;=4,$C1798=MAX($C$1794:$C$1802)),$C1798,""))</f>
        <v>0</v>
      </c>
      <c r="BF1798">
        <f>IF($E1798="","",IF(AND(COUNT($E$1799:$E$1802)&gt;=4,$D1798=MIN($D$1794:$D$1802)),$D1798,""))</f>
        <v>0</v>
      </c>
      <c r="BG1798">
        <f>IF($A1798="","",$A1798-WEEKDAY($A1798,2)+1)</f>
        <v>0</v>
      </c>
      <c r="BH1798">
        <f>IF($A1798="","",IF($A1797="",1,IF(BG1798&lt;&gt;BG1797,1,0)))</f>
        <v>0</v>
      </c>
      <c r="BI1798">
        <f>IF($A1798="","",IF($A1799="",1,IF(BG1799&lt;&gt;BG1798,1,0)))</f>
        <v>0</v>
      </c>
      <c r="BJ1798">
        <f>IF($A1798="","",IF(BH1798=1,$B1798,BJ1797))</f>
        <v>0</v>
      </c>
      <c r="BK1798">
        <f>IF($A1798="","",IF(BH1798=1,$C1798,MAX($C1798,BK1797)))</f>
        <v>0</v>
      </c>
      <c r="BL1798">
        <f>IF($A1798="","",IF(BH1798=1,$D1798,MIN($D1798,BL1797)))</f>
        <v>0</v>
      </c>
      <c r="BM1798">
        <f>IF($A1798="","",IF(BI1798=1,F1798,""))</f>
        <v>0</v>
      </c>
      <c r="BN1798">
        <f>IF($A1798="","",DATE(YEAR($A1798),MONTH($A1798),1))</f>
        <v>0</v>
      </c>
      <c r="BO1798">
        <f>IF($A1798="","",IF($A1797="",1,IF(BN1798&lt;&gt;BN1797,1,0)))</f>
        <v>0</v>
      </c>
      <c r="BP1798">
        <f>IF($A1798="","",IF($A1799="",1,IF(BN1799&lt;&gt;BN1798,1,0)))</f>
        <v>0</v>
      </c>
      <c r="BQ1798">
        <f>IF($A1798="","",IF(BO1798=1,$B1798,BQ1797))</f>
        <v>0</v>
      </c>
      <c r="BR1798">
        <f>IF($A1798="","",IF(BO1798=1,$C1798,MAX($C1798,BR1797)))</f>
        <v>0</v>
      </c>
      <c r="BS1798">
        <f>IF($A1798="","",IF(BO1798=1,$D1798,MIN($D1798,BS1797)))</f>
        <v>0</v>
      </c>
      <c r="BT1798">
        <f>IF($A1798="","",IF(BP1798=1,F1798,""))</f>
        <v>0</v>
      </c>
    </row>
    <row r="1799" spans="1:72">
      <c r="A1799" s="27">
        <f>IF(Data!$A1799="","",Data!$A1799)</f>
        <v>0</v>
      </c>
      <c r="B1799">
        <f>IF(Data!$B1799="","",Data!$B1799)</f>
        <v>0</v>
      </c>
      <c r="C1799">
        <f>IF(Data!$C1799="","",Data!$C1799)</f>
        <v>0</v>
      </c>
      <c r="D1799">
        <f>IF(Data!$D1799="","",Data!$D1799)</f>
        <v>0</v>
      </c>
      <c r="E1799">
        <f>IF(Data!$E1799="","",Data!$E1799)</f>
        <v>0</v>
      </c>
      <c r="F1799">
        <f>IF($E1799="","",N(F1798)+1)</f>
        <v>0</v>
      </c>
      <c r="G1799">
        <f>IF(OR($E1799="",$E1798=""),"",LN($E1799/$E1798))</f>
        <v>0</v>
      </c>
      <c r="H1799">
        <f>IF($E1799="","",IF($E1798="",$E1799,$E1799*0.0952380952+H1798*0.9047619048))</f>
        <v>0</v>
      </c>
      <c r="I1799">
        <f>IF($E1799="","",IF($E1798="",$E1799,$E1799*0.0392156863+I1798*0.9607843137))</f>
        <v>0</v>
      </c>
      <c r="J1799">
        <f>IF($E1799="","",IF($E1798="",$E1799,$E1799*0.0198019802+J1798*0.9801980198))</f>
        <v>0</v>
      </c>
      <c r="K1799">
        <f>IF($E1799="","",IF($E1798="",$E1799,$E1799*0.0099502488+K1798*0.9900497512))</f>
        <v>0</v>
      </c>
      <c r="L1799">
        <f>IF(OR($E1799="",$E1798=""),"",MAX($E1799-$E1798,0))</f>
        <v>0</v>
      </c>
      <c r="M1799">
        <f>IF(OR($E1799="",$E1798=""),"",MAX($E1798-$E1799,0))</f>
        <v>0</v>
      </c>
      <c r="N1799">
        <f>IF(COUNT($E$2:$E1799)&lt;15,"",IF(AVERAGE($M$1786:$M$1799)=0,100,100-100/(1+AVERAGE($L$1786:$L$1799)/AVERAGE($M$1786:$M$1799))))</f>
        <v>0</v>
      </c>
      <c r="O1799">
        <f>IF($E1799="","",IF($E1798="",$E1799,$E1799*0.1538461538+O1798*0.8461538462))</f>
        <v>0</v>
      </c>
      <c r="P1799">
        <f>IF($E1799="","",IF($E1798="",$E1799,$E1799*0.0740740741+P1798*0.9259259259))</f>
        <v>0</v>
      </c>
      <c r="Q1799">
        <f>IF(OR(O1799="",P1799=""),"",O1799-P1799)</f>
        <v>0</v>
      </c>
      <c r="R1799">
        <f>IF(Q1799="","",IF(R1798="",Q1799,Q1799*0.2000000000+R1798*0.8000000000))</f>
        <v>0</v>
      </c>
      <c r="S1799">
        <f>IF(OR(Q1799="",R1799=""),"",Q1799-R1799)</f>
        <v>0</v>
      </c>
      <c r="T1799">
        <f>IF(COUNT($E$2:$E1799)&lt;14,"",MAX($C$1786:$C$1799))</f>
        <v>0</v>
      </c>
      <c r="U1799">
        <f>IF(COUNT($E$2:$E1799)&lt;14,"",MIN($D$1786:$D$1799))</f>
        <v>0</v>
      </c>
      <c r="V1799">
        <f>IF(OR(T1799="",U1799="",T1799=U1799),"",100*($E1799-U1799)/(T1799-U1799))</f>
        <v>0</v>
      </c>
      <c r="W1799">
        <f>IF(COUNT($V$1797:$V$1799)&lt;3,"",AVERAGE($V$1797:$V$1799))</f>
        <v>0</v>
      </c>
      <c r="X1799">
        <f>IF(COUNT($N$1786:$N$1799)&lt;14,"",MIN($N$1786:$N$1799))</f>
        <v>0</v>
      </c>
      <c r="Y1799">
        <f>IF(COUNT($N$1786:$N$1799)&lt;14,"",MAX($N$1786:$N$1799))</f>
        <v>0</v>
      </c>
      <c r="Z1799">
        <f>IF(OR(N1799="",X1799="",Y1799="",Y1799=X1799),"",100*(N1799-X1799)/(Y1799-X1799))</f>
        <v>0</v>
      </c>
      <c r="AA1799">
        <f>IF(COUNT($Z$1797:$Z$1799)&lt;3,"",AVERAGE($Z$1797:$Z$1799))</f>
        <v>0</v>
      </c>
      <c r="AB1799">
        <f>IF(COUNT($AA$1797:$AA$1799)&lt;3,"",AVERAGE($AA$1797:$AA$1799))</f>
        <v>0</v>
      </c>
      <c r="AC1799">
        <f>IF($E1799="","",MAX($C1799-$D1799,ABS($C1799-$E1798),ABS($D1799-$E1798)))</f>
        <v>0</v>
      </c>
      <c r="AD1799">
        <f>IF(COUNT($E$2:$E1799)&lt;15,"",AVERAGE($AC$1786:$AC$1799))</f>
        <v>0</v>
      </c>
      <c r="AE1799">
        <f>IF(OR($E1799="",$E1798=""),"",IF(AND(($C1799-$C1798)&gt;($D1798-$D1799),($C1799-$C1798)&gt;0),$C1799-$C1798,0))</f>
        <v>0</v>
      </c>
      <c r="AF1799">
        <f>IF(OR($E1799="",$E1798=""),"",IF(AND(($D1798-$D1799)&gt;($C1799-$C1798),($D1798-$D1799)&gt;0),$D1798-$D1799,0))</f>
        <v>0</v>
      </c>
      <c r="AG1799">
        <f>IF(COUNT($E$2:$E1799)&lt;15,"",IF(SUM($AC$1786:$AC$1799)=0,0,100*SUM($AE$1786:$AE$1799)/SUM($AC$1786:$AC$1799)))</f>
        <v>0</v>
      </c>
      <c r="AH1799">
        <f>IF(COUNT($E$2:$E1799)&lt;15,"",IF(SUM($AC$1786:$AC$1799)=0,0,100*SUM($AF$1786:$AF$1799)/SUM($AC$1786:$AC$1799)))</f>
        <v>0</v>
      </c>
      <c r="AI1799">
        <f>IF(OR(AG1799="",AH1799=""),"",IF((AG1799+AH1799)=0,0,100*ABS(AG1799-AH1799)/(AG1799+AH1799)))</f>
        <v>0</v>
      </c>
      <c r="AJ1799">
        <f>IF(COUNT($AI$1786:$AI$1799)&lt;14,"",AVERAGE($AI$1786:$AI$1799))</f>
        <v>0</v>
      </c>
      <c r="AK1799">
        <f>IF(COUNT($E$2:$E1799)&lt;20,"",AVERAGE($E$1780:$E$1799))</f>
        <v>0</v>
      </c>
      <c r="AL1799">
        <f>IF(COUNT($E$2:$E1799)&lt;20,"",STDEVP($E$1780:$E$1799))</f>
        <v>0</v>
      </c>
      <c r="AM1799">
        <f>IF(AK1799="","",AK1799+2*AL1799)</f>
        <v>0</v>
      </c>
      <c r="AN1799">
        <f>IF(AK1799="","",AK1799-2*AL1799)</f>
        <v>0</v>
      </c>
      <c r="AO1799">
        <f>IF(OR(AM1799="",AN1799="",AM1799=AN1799),"",($E1799-AN1799)/(AM1799-AN1799))</f>
        <v>0</v>
      </c>
      <c r="AP1799">
        <f>IF(OR(AM1799="",AK1799="",AK1799=0),"",(AM1799-AN1799)/AK1799)</f>
        <v>0</v>
      </c>
      <c r="AQ1799">
        <f>IF(COUNT($E$2:$E1799)&lt;20,"",MAX($C$1780:$C$1799))</f>
        <v>0</v>
      </c>
      <c r="AR1799">
        <f>IF(COUNT($E$2:$E1799)&lt;20,"",MIN($D$1780:$D$1799))</f>
        <v>0</v>
      </c>
      <c r="AS1799">
        <f>IF(OR(AQ1799="",AR1799=""),"",(AQ1799+AR1799)/2)</f>
        <v>0</v>
      </c>
      <c r="AT1799">
        <f>IF(COUNT($G$1780:$G$1799)&lt;20,"",STDEV($G$1780:$G$1799)*SQRT(252))</f>
        <v>0</v>
      </c>
      <c r="AU1799">
        <f>IF(COUNT($E$2:$E1799)&lt;9,"",(MAX($C$1791:$C$1799)+MIN($D$1791:$D$1799))/2)</f>
        <v>0</v>
      </c>
      <c r="AV1799">
        <f>IF(COUNT($E$2:$E1799)&lt;26,"",(MAX($C$1774:$C$1799)+MIN($D$1774:$D$1799))/2)</f>
        <v>0</v>
      </c>
      <c r="AW1799">
        <f>IF(OR(AU1799="",AV1799=""),"",(AU1799+AV1799)/2)</f>
        <v>0</v>
      </c>
      <c r="AX1799">
        <f>IF(COUNT($E$2:$E1799)&lt;52,"",(MAX($C$1748:$C$1799)+MIN($D$1748:$D$1799))/2)</f>
        <v>0</v>
      </c>
      <c r="AY1799">
        <f>IF(COUNT($E$2:$E1799)&lt;20,"",MAX($C$1700:$C$1799))</f>
        <v>0</v>
      </c>
      <c r="AZ1799">
        <f>IF(COUNT($E$2:$E1799)&lt;20,"",MIN($D$1700:$D$1799))</f>
        <v>0</v>
      </c>
      <c r="BA1799">
        <f>IF(COUNT($E$2:$E1799)&lt;20,"",SLOPE($E$1700:$E$1799,$F$1700:$F$1799))</f>
        <v>0</v>
      </c>
      <c r="BB1799">
        <f>IF(COUNT($E$2:$E1799)&lt;20,"",INTERCEPT($E$1700:$E$1799,$F$1700:$F$1799))</f>
        <v>0</v>
      </c>
      <c r="BC1799">
        <f>IF(OR(BA1799="",BB1799=""),"",BB1799+BA1799*F1799)</f>
        <v>0</v>
      </c>
      <c r="BD1799">
        <f>IF(COUNT($E$2:$E1799)&lt;20,"",STEYX($E$1700:$E$1799,$F$1700:$F$1799))</f>
        <v>0</v>
      </c>
      <c r="BE1799">
        <f>IF($E1799="","",IF(AND(COUNT($E$1800:$E$1803)&gt;=4,$C1799=MAX($C$1795:$C$1803)),$C1799,""))</f>
        <v>0</v>
      </c>
      <c r="BF1799">
        <f>IF($E1799="","",IF(AND(COUNT($E$1800:$E$1803)&gt;=4,$D1799=MIN($D$1795:$D$1803)),$D1799,""))</f>
        <v>0</v>
      </c>
      <c r="BG1799">
        <f>IF($A1799="","",$A1799-WEEKDAY($A1799,2)+1)</f>
        <v>0</v>
      </c>
      <c r="BH1799">
        <f>IF($A1799="","",IF($A1798="",1,IF(BG1799&lt;&gt;BG1798,1,0)))</f>
        <v>0</v>
      </c>
      <c r="BI1799">
        <f>IF($A1799="","",IF($A1800="",1,IF(BG1800&lt;&gt;BG1799,1,0)))</f>
        <v>0</v>
      </c>
      <c r="BJ1799">
        <f>IF($A1799="","",IF(BH1799=1,$B1799,BJ1798))</f>
        <v>0</v>
      </c>
      <c r="BK1799">
        <f>IF($A1799="","",IF(BH1799=1,$C1799,MAX($C1799,BK1798)))</f>
        <v>0</v>
      </c>
      <c r="BL1799">
        <f>IF($A1799="","",IF(BH1799=1,$D1799,MIN($D1799,BL1798)))</f>
        <v>0</v>
      </c>
      <c r="BM1799">
        <f>IF($A1799="","",IF(BI1799=1,F1799,""))</f>
        <v>0</v>
      </c>
      <c r="BN1799">
        <f>IF($A1799="","",DATE(YEAR($A1799),MONTH($A1799),1))</f>
        <v>0</v>
      </c>
      <c r="BO1799">
        <f>IF($A1799="","",IF($A1798="",1,IF(BN1799&lt;&gt;BN1798,1,0)))</f>
        <v>0</v>
      </c>
      <c r="BP1799">
        <f>IF($A1799="","",IF($A1800="",1,IF(BN1800&lt;&gt;BN1799,1,0)))</f>
        <v>0</v>
      </c>
      <c r="BQ1799">
        <f>IF($A1799="","",IF(BO1799=1,$B1799,BQ1798))</f>
        <v>0</v>
      </c>
      <c r="BR1799">
        <f>IF($A1799="","",IF(BO1799=1,$C1799,MAX($C1799,BR1798)))</f>
        <v>0</v>
      </c>
      <c r="BS1799">
        <f>IF($A1799="","",IF(BO1799=1,$D1799,MIN($D1799,BS1798)))</f>
        <v>0</v>
      </c>
      <c r="BT1799">
        <f>IF($A1799="","",IF(BP1799=1,F1799,""))</f>
        <v>0</v>
      </c>
    </row>
    <row r="1800" spans="1:72">
      <c r="A1800" s="27">
        <f>IF(Data!$A1800="","",Data!$A1800)</f>
        <v>0</v>
      </c>
      <c r="B1800">
        <f>IF(Data!$B1800="","",Data!$B1800)</f>
        <v>0</v>
      </c>
      <c r="C1800">
        <f>IF(Data!$C1800="","",Data!$C1800)</f>
        <v>0</v>
      </c>
      <c r="D1800">
        <f>IF(Data!$D1800="","",Data!$D1800)</f>
        <v>0</v>
      </c>
      <c r="E1800">
        <f>IF(Data!$E1800="","",Data!$E1800)</f>
        <v>0</v>
      </c>
      <c r="F1800">
        <f>IF($E1800="","",N(F1799)+1)</f>
        <v>0</v>
      </c>
      <c r="G1800">
        <f>IF(OR($E1800="",$E1799=""),"",LN($E1800/$E1799))</f>
        <v>0</v>
      </c>
      <c r="H1800">
        <f>IF($E1800="","",IF($E1799="",$E1800,$E1800*0.0952380952+H1799*0.9047619048))</f>
        <v>0</v>
      </c>
      <c r="I1800">
        <f>IF($E1800="","",IF($E1799="",$E1800,$E1800*0.0392156863+I1799*0.9607843137))</f>
        <v>0</v>
      </c>
      <c r="J1800">
        <f>IF($E1800="","",IF($E1799="",$E1800,$E1800*0.0198019802+J1799*0.9801980198))</f>
        <v>0</v>
      </c>
      <c r="K1800">
        <f>IF($E1800="","",IF($E1799="",$E1800,$E1800*0.0099502488+K1799*0.9900497512))</f>
        <v>0</v>
      </c>
      <c r="L1800">
        <f>IF(OR($E1800="",$E1799=""),"",MAX($E1800-$E1799,0))</f>
        <v>0</v>
      </c>
      <c r="M1800">
        <f>IF(OR($E1800="",$E1799=""),"",MAX($E1799-$E1800,0))</f>
        <v>0</v>
      </c>
      <c r="N1800">
        <f>IF(COUNT($E$2:$E1800)&lt;15,"",IF(AVERAGE($M$1787:$M$1800)=0,100,100-100/(1+AVERAGE($L$1787:$L$1800)/AVERAGE($M$1787:$M$1800))))</f>
        <v>0</v>
      </c>
      <c r="O1800">
        <f>IF($E1800="","",IF($E1799="",$E1800,$E1800*0.1538461538+O1799*0.8461538462))</f>
        <v>0</v>
      </c>
      <c r="P1800">
        <f>IF($E1800="","",IF($E1799="",$E1800,$E1800*0.0740740741+P1799*0.9259259259))</f>
        <v>0</v>
      </c>
      <c r="Q1800">
        <f>IF(OR(O1800="",P1800=""),"",O1800-P1800)</f>
        <v>0</v>
      </c>
      <c r="R1800">
        <f>IF(Q1800="","",IF(R1799="",Q1800,Q1800*0.2000000000+R1799*0.8000000000))</f>
        <v>0</v>
      </c>
      <c r="S1800">
        <f>IF(OR(Q1800="",R1800=""),"",Q1800-R1800)</f>
        <v>0</v>
      </c>
      <c r="T1800">
        <f>IF(COUNT($E$2:$E1800)&lt;14,"",MAX($C$1787:$C$1800))</f>
        <v>0</v>
      </c>
      <c r="U1800">
        <f>IF(COUNT($E$2:$E1800)&lt;14,"",MIN($D$1787:$D$1800))</f>
        <v>0</v>
      </c>
      <c r="V1800">
        <f>IF(OR(T1800="",U1800="",T1800=U1800),"",100*($E1800-U1800)/(T1800-U1800))</f>
        <v>0</v>
      </c>
      <c r="W1800">
        <f>IF(COUNT($V$1798:$V$1800)&lt;3,"",AVERAGE($V$1798:$V$1800))</f>
        <v>0</v>
      </c>
      <c r="X1800">
        <f>IF(COUNT($N$1787:$N$1800)&lt;14,"",MIN($N$1787:$N$1800))</f>
        <v>0</v>
      </c>
      <c r="Y1800">
        <f>IF(COUNT($N$1787:$N$1800)&lt;14,"",MAX($N$1787:$N$1800))</f>
        <v>0</v>
      </c>
      <c r="Z1800">
        <f>IF(OR(N1800="",X1800="",Y1800="",Y1800=X1800),"",100*(N1800-X1800)/(Y1800-X1800))</f>
        <v>0</v>
      </c>
      <c r="AA1800">
        <f>IF(COUNT($Z$1798:$Z$1800)&lt;3,"",AVERAGE($Z$1798:$Z$1800))</f>
        <v>0</v>
      </c>
      <c r="AB1800">
        <f>IF(COUNT($AA$1798:$AA$1800)&lt;3,"",AVERAGE($AA$1798:$AA$1800))</f>
        <v>0</v>
      </c>
      <c r="AC1800">
        <f>IF($E1800="","",MAX($C1800-$D1800,ABS($C1800-$E1799),ABS($D1800-$E1799)))</f>
        <v>0</v>
      </c>
      <c r="AD1800">
        <f>IF(COUNT($E$2:$E1800)&lt;15,"",AVERAGE($AC$1787:$AC$1800))</f>
        <v>0</v>
      </c>
      <c r="AE1800">
        <f>IF(OR($E1800="",$E1799=""),"",IF(AND(($C1800-$C1799)&gt;($D1799-$D1800),($C1800-$C1799)&gt;0),$C1800-$C1799,0))</f>
        <v>0</v>
      </c>
      <c r="AF1800">
        <f>IF(OR($E1800="",$E1799=""),"",IF(AND(($D1799-$D1800)&gt;($C1800-$C1799),($D1799-$D1800)&gt;0),$D1799-$D1800,0))</f>
        <v>0</v>
      </c>
      <c r="AG1800">
        <f>IF(COUNT($E$2:$E1800)&lt;15,"",IF(SUM($AC$1787:$AC$1800)=0,0,100*SUM($AE$1787:$AE$1800)/SUM($AC$1787:$AC$1800)))</f>
        <v>0</v>
      </c>
      <c r="AH1800">
        <f>IF(COUNT($E$2:$E1800)&lt;15,"",IF(SUM($AC$1787:$AC$1800)=0,0,100*SUM($AF$1787:$AF$1800)/SUM($AC$1787:$AC$1800)))</f>
        <v>0</v>
      </c>
      <c r="AI1800">
        <f>IF(OR(AG1800="",AH1800=""),"",IF((AG1800+AH1800)=0,0,100*ABS(AG1800-AH1800)/(AG1800+AH1800)))</f>
        <v>0</v>
      </c>
      <c r="AJ1800">
        <f>IF(COUNT($AI$1787:$AI$1800)&lt;14,"",AVERAGE($AI$1787:$AI$1800))</f>
        <v>0</v>
      </c>
      <c r="AK1800">
        <f>IF(COUNT($E$2:$E1800)&lt;20,"",AVERAGE($E$1781:$E$1800))</f>
        <v>0</v>
      </c>
      <c r="AL1800">
        <f>IF(COUNT($E$2:$E1800)&lt;20,"",STDEVP($E$1781:$E$1800))</f>
        <v>0</v>
      </c>
      <c r="AM1800">
        <f>IF(AK1800="","",AK1800+2*AL1800)</f>
        <v>0</v>
      </c>
      <c r="AN1800">
        <f>IF(AK1800="","",AK1800-2*AL1800)</f>
        <v>0</v>
      </c>
      <c r="AO1800">
        <f>IF(OR(AM1800="",AN1800="",AM1800=AN1800),"",($E1800-AN1800)/(AM1800-AN1800))</f>
        <v>0</v>
      </c>
      <c r="AP1800">
        <f>IF(OR(AM1800="",AK1800="",AK1800=0),"",(AM1800-AN1800)/AK1800)</f>
        <v>0</v>
      </c>
      <c r="AQ1800">
        <f>IF(COUNT($E$2:$E1800)&lt;20,"",MAX($C$1781:$C$1800))</f>
        <v>0</v>
      </c>
      <c r="AR1800">
        <f>IF(COUNT($E$2:$E1800)&lt;20,"",MIN($D$1781:$D$1800))</f>
        <v>0</v>
      </c>
      <c r="AS1800">
        <f>IF(OR(AQ1800="",AR1800=""),"",(AQ1800+AR1800)/2)</f>
        <v>0</v>
      </c>
      <c r="AT1800">
        <f>IF(COUNT($G$1781:$G$1800)&lt;20,"",STDEV($G$1781:$G$1800)*SQRT(252))</f>
        <v>0</v>
      </c>
      <c r="AU1800">
        <f>IF(COUNT($E$2:$E1800)&lt;9,"",(MAX($C$1792:$C$1800)+MIN($D$1792:$D$1800))/2)</f>
        <v>0</v>
      </c>
      <c r="AV1800">
        <f>IF(COUNT($E$2:$E1800)&lt;26,"",(MAX($C$1775:$C$1800)+MIN($D$1775:$D$1800))/2)</f>
        <v>0</v>
      </c>
      <c r="AW1800">
        <f>IF(OR(AU1800="",AV1800=""),"",(AU1800+AV1800)/2)</f>
        <v>0</v>
      </c>
      <c r="AX1800">
        <f>IF(COUNT($E$2:$E1800)&lt;52,"",(MAX($C$1749:$C$1800)+MIN($D$1749:$D$1800))/2)</f>
        <v>0</v>
      </c>
      <c r="AY1800">
        <f>IF(COUNT($E$2:$E1800)&lt;20,"",MAX($C$1701:$C$1800))</f>
        <v>0</v>
      </c>
      <c r="AZ1800">
        <f>IF(COUNT($E$2:$E1800)&lt;20,"",MIN($D$1701:$D$1800))</f>
        <v>0</v>
      </c>
      <c r="BA1800">
        <f>IF(COUNT($E$2:$E1800)&lt;20,"",SLOPE($E$1701:$E$1800,$F$1701:$F$1800))</f>
        <v>0</v>
      </c>
      <c r="BB1800">
        <f>IF(COUNT($E$2:$E1800)&lt;20,"",INTERCEPT($E$1701:$E$1800,$F$1701:$F$1800))</f>
        <v>0</v>
      </c>
      <c r="BC1800">
        <f>IF(OR(BA1800="",BB1800=""),"",BB1800+BA1800*F1800)</f>
        <v>0</v>
      </c>
      <c r="BD1800">
        <f>IF(COUNT($E$2:$E1800)&lt;20,"",STEYX($E$1701:$E$1800,$F$1701:$F$1800))</f>
        <v>0</v>
      </c>
      <c r="BE1800">
        <f>IF($E1800="","",IF(AND(COUNT($E$1801:$E$1804)&gt;=4,$C1800=MAX($C$1796:$C$1804)),$C1800,""))</f>
        <v>0</v>
      </c>
      <c r="BF1800">
        <f>IF($E1800="","",IF(AND(COUNT($E$1801:$E$1804)&gt;=4,$D1800=MIN($D$1796:$D$1804)),$D1800,""))</f>
        <v>0</v>
      </c>
      <c r="BG1800">
        <f>IF($A1800="","",$A1800-WEEKDAY($A1800,2)+1)</f>
        <v>0</v>
      </c>
      <c r="BH1800">
        <f>IF($A1800="","",IF($A1799="",1,IF(BG1800&lt;&gt;BG1799,1,0)))</f>
        <v>0</v>
      </c>
      <c r="BI1800">
        <f>IF($A1800="","",IF($A1801="",1,IF(BG1801&lt;&gt;BG1800,1,0)))</f>
        <v>0</v>
      </c>
      <c r="BJ1800">
        <f>IF($A1800="","",IF(BH1800=1,$B1800,BJ1799))</f>
        <v>0</v>
      </c>
      <c r="BK1800">
        <f>IF($A1800="","",IF(BH1800=1,$C1800,MAX($C1800,BK1799)))</f>
        <v>0</v>
      </c>
      <c r="BL1800">
        <f>IF($A1800="","",IF(BH1800=1,$D1800,MIN($D1800,BL1799)))</f>
        <v>0</v>
      </c>
      <c r="BM1800">
        <f>IF($A1800="","",IF(BI1800=1,F1800,""))</f>
        <v>0</v>
      </c>
      <c r="BN1800">
        <f>IF($A1800="","",DATE(YEAR($A1800),MONTH($A1800),1))</f>
        <v>0</v>
      </c>
      <c r="BO1800">
        <f>IF($A1800="","",IF($A1799="",1,IF(BN1800&lt;&gt;BN1799,1,0)))</f>
        <v>0</v>
      </c>
      <c r="BP1800">
        <f>IF($A1800="","",IF($A1801="",1,IF(BN1801&lt;&gt;BN1800,1,0)))</f>
        <v>0</v>
      </c>
      <c r="BQ1800">
        <f>IF($A1800="","",IF(BO1800=1,$B1800,BQ1799))</f>
        <v>0</v>
      </c>
      <c r="BR1800">
        <f>IF($A1800="","",IF(BO1800=1,$C1800,MAX($C1800,BR1799)))</f>
        <v>0</v>
      </c>
      <c r="BS1800">
        <f>IF($A1800="","",IF(BO1800=1,$D1800,MIN($D1800,BS1799)))</f>
        <v>0</v>
      </c>
      <c r="BT1800">
        <f>IF($A1800="","",IF(BP1800=1,F1800,""))</f>
        <v>0</v>
      </c>
    </row>
    <row r="1801" spans="1:72">
      <c r="A1801" s="27">
        <f>IF(Data!$A1801="","",Data!$A1801)</f>
        <v>0</v>
      </c>
      <c r="B1801">
        <f>IF(Data!$B1801="","",Data!$B1801)</f>
        <v>0</v>
      </c>
      <c r="C1801">
        <f>IF(Data!$C1801="","",Data!$C1801)</f>
        <v>0</v>
      </c>
      <c r="D1801">
        <f>IF(Data!$D1801="","",Data!$D1801)</f>
        <v>0</v>
      </c>
      <c r="E1801">
        <f>IF(Data!$E1801="","",Data!$E1801)</f>
        <v>0</v>
      </c>
      <c r="F1801">
        <f>IF($E1801="","",N(F1800)+1)</f>
        <v>0</v>
      </c>
      <c r="G1801">
        <f>IF(OR($E1801="",$E1800=""),"",LN($E1801/$E1800))</f>
        <v>0</v>
      </c>
      <c r="H1801">
        <f>IF($E1801="","",IF($E1800="",$E1801,$E1801*0.0952380952+H1800*0.9047619048))</f>
        <v>0</v>
      </c>
      <c r="I1801">
        <f>IF($E1801="","",IF($E1800="",$E1801,$E1801*0.0392156863+I1800*0.9607843137))</f>
        <v>0</v>
      </c>
      <c r="J1801">
        <f>IF($E1801="","",IF($E1800="",$E1801,$E1801*0.0198019802+J1800*0.9801980198))</f>
        <v>0</v>
      </c>
      <c r="K1801">
        <f>IF($E1801="","",IF($E1800="",$E1801,$E1801*0.0099502488+K1800*0.9900497512))</f>
        <v>0</v>
      </c>
      <c r="L1801">
        <f>IF(OR($E1801="",$E1800=""),"",MAX($E1801-$E1800,0))</f>
        <v>0</v>
      </c>
      <c r="M1801">
        <f>IF(OR($E1801="",$E1800=""),"",MAX($E1800-$E1801,0))</f>
        <v>0</v>
      </c>
      <c r="N1801">
        <f>IF(COUNT($E$2:$E1801)&lt;15,"",IF(AVERAGE($M$1788:$M$1801)=0,100,100-100/(1+AVERAGE($L$1788:$L$1801)/AVERAGE($M$1788:$M$1801))))</f>
        <v>0</v>
      </c>
      <c r="O1801">
        <f>IF($E1801="","",IF($E1800="",$E1801,$E1801*0.1538461538+O1800*0.8461538462))</f>
        <v>0</v>
      </c>
      <c r="P1801">
        <f>IF($E1801="","",IF($E1800="",$E1801,$E1801*0.0740740741+P1800*0.9259259259))</f>
        <v>0</v>
      </c>
      <c r="Q1801">
        <f>IF(OR(O1801="",P1801=""),"",O1801-P1801)</f>
        <v>0</v>
      </c>
      <c r="R1801">
        <f>IF(Q1801="","",IF(R1800="",Q1801,Q1801*0.2000000000+R1800*0.8000000000))</f>
        <v>0</v>
      </c>
      <c r="S1801">
        <f>IF(OR(Q1801="",R1801=""),"",Q1801-R1801)</f>
        <v>0</v>
      </c>
      <c r="T1801">
        <f>IF(COUNT($E$2:$E1801)&lt;14,"",MAX($C$1788:$C$1801))</f>
        <v>0</v>
      </c>
      <c r="U1801">
        <f>IF(COUNT($E$2:$E1801)&lt;14,"",MIN($D$1788:$D$1801))</f>
        <v>0</v>
      </c>
      <c r="V1801">
        <f>IF(OR(T1801="",U1801="",T1801=U1801),"",100*($E1801-U1801)/(T1801-U1801))</f>
        <v>0</v>
      </c>
      <c r="W1801">
        <f>IF(COUNT($V$1799:$V$1801)&lt;3,"",AVERAGE($V$1799:$V$1801))</f>
        <v>0</v>
      </c>
      <c r="X1801">
        <f>IF(COUNT($N$1788:$N$1801)&lt;14,"",MIN($N$1788:$N$1801))</f>
        <v>0</v>
      </c>
      <c r="Y1801">
        <f>IF(COUNT($N$1788:$N$1801)&lt;14,"",MAX($N$1788:$N$1801))</f>
        <v>0</v>
      </c>
      <c r="Z1801">
        <f>IF(OR(N1801="",X1801="",Y1801="",Y1801=X1801),"",100*(N1801-X1801)/(Y1801-X1801))</f>
        <v>0</v>
      </c>
      <c r="AA1801">
        <f>IF(COUNT($Z$1799:$Z$1801)&lt;3,"",AVERAGE($Z$1799:$Z$1801))</f>
        <v>0</v>
      </c>
      <c r="AB1801">
        <f>IF(COUNT($AA$1799:$AA$1801)&lt;3,"",AVERAGE($AA$1799:$AA$1801))</f>
        <v>0</v>
      </c>
      <c r="AC1801">
        <f>IF($E1801="","",MAX($C1801-$D1801,ABS($C1801-$E1800),ABS($D1801-$E1800)))</f>
        <v>0</v>
      </c>
      <c r="AD1801">
        <f>IF(COUNT($E$2:$E1801)&lt;15,"",AVERAGE($AC$1788:$AC$1801))</f>
        <v>0</v>
      </c>
      <c r="AE1801">
        <f>IF(OR($E1801="",$E1800=""),"",IF(AND(($C1801-$C1800)&gt;($D1800-$D1801),($C1801-$C1800)&gt;0),$C1801-$C1800,0))</f>
        <v>0</v>
      </c>
      <c r="AF1801">
        <f>IF(OR($E1801="",$E1800=""),"",IF(AND(($D1800-$D1801)&gt;($C1801-$C1800),($D1800-$D1801)&gt;0),$D1800-$D1801,0))</f>
        <v>0</v>
      </c>
      <c r="AG1801">
        <f>IF(COUNT($E$2:$E1801)&lt;15,"",IF(SUM($AC$1788:$AC$1801)=0,0,100*SUM($AE$1788:$AE$1801)/SUM($AC$1788:$AC$1801)))</f>
        <v>0</v>
      </c>
      <c r="AH1801">
        <f>IF(COUNT($E$2:$E1801)&lt;15,"",IF(SUM($AC$1788:$AC$1801)=0,0,100*SUM($AF$1788:$AF$1801)/SUM($AC$1788:$AC$1801)))</f>
        <v>0</v>
      </c>
      <c r="AI1801">
        <f>IF(OR(AG1801="",AH1801=""),"",IF((AG1801+AH1801)=0,0,100*ABS(AG1801-AH1801)/(AG1801+AH1801)))</f>
        <v>0</v>
      </c>
      <c r="AJ1801">
        <f>IF(COUNT($AI$1788:$AI$1801)&lt;14,"",AVERAGE($AI$1788:$AI$1801))</f>
        <v>0</v>
      </c>
      <c r="AK1801">
        <f>IF(COUNT($E$2:$E1801)&lt;20,"",AVERAGE($E$1782:$E$1801))</f>
        <v>0</v>
      </c>
      <c r="AL1801">
        <f>IF(COUNT($E$2:$E1801)&lt;20,"",STDEVP($E$1782:$E$1801))</f>
        <v>0</v>
      </c>
      <c r="AM1801">
        <f>IF(AK1801="","",AK1801+2*AL1801)</f>
        <v>0</v>
      </c>
      <c r="AN1801">
        <f>IF(AK1801="","",AK1801-2*AL1801)</f>
        <v>0</v>
      </c>
      <c r="AO1801">
        <f>IF(OR(AM1801="",AN1801="",AM1801=AN1801),"",($E1801-AN1801)/(AM1801-AN1801))</f>
        <v>0</v>
      </c>
      <c r="AP1801">
        <f>IF(OR(AM1801="",AK1801="",AK1801=0),"",(AM1801-AN1801)/AK1801)</f>
        <v>0</v>
      </c>
      <c r="AQ1801">
        <f>IF(COUNT($E$2:$E1801)&lt;20,"",MAX($C$1782:$C$1801))</f>
        <v>0</v>
      </c>
      <c r="AR1801">
        <f>IF(COUNT($E$2:$E1801)&lt;20,"",MIN($D$1782:$D$1801))</f>
        <v>0</v>
      </c>
      <c r="AS1801">
        <f>IF(OR(AQ1801="",AR1801=""),"",(AQ1801+AR1801)/2)</f>
        <v>0</v>
      </c>
      <c r="AT1801">
        <f>IF(COUNT($G$1782:$G$1801)&lt;20,"",STDEV($G$1782:$G$1801)*SQRT(252))</f>
        <v>0</v>
      </c>
      <c r="AU1801">
        <f>IF(COUNT($E$2:$E1801)&lt;9,"",(MAX($C$1793:$C$1801)+MIN($D$1793:$D$1801))/2)</f>
        <v>0</v>
      </c>
      <c r="AV1801">
        <f>IF(COUNT($E$2:$E1801)&lt;26,"",(MAX($C$1776:$C$1801)+MIN($D$1776:$D$1801))/2)</f>
        <v>0</v>
      </c>
      <c r="AW1801">
        <f>IF(OR(AU1801="",AV1801=""),"",(AU1801+AV1801)/2)</f>
        <v>0</v>
      </c>
      <c r="AX1801">
        <f>IF(COUNT($E$2:$E1801)&lt;52,"",(MAX($C$1750:$C$1801)+MIN($D$1750:$D$1801))/2)</f>
        <v>0</v>
      </c>
      <c r="AY1801">
        <f>IF(COUNT($E$2:$E1801)&lt;20,"",MAX($C$1702:$C$1801))</f>
        <v>0</v>
      </c>
      <c r="AZ1801">
        <f>IF(COUNT($E$2:$E1801)&lt;20,"",MIN($D$1702:$D$1801))</f>
        <v>0</v>
      </c>
      <c r="BA1801">
        <f>IF(COUNT($E$2:$E1801)&lt;20,"",SLOPE($E$1702:$E$1801,$F$1702:$F$1801))</f>
        <v>0</v>
      </c>
      <c r="BB1801">
        <f>IF(COUNT($E$2:$E1801)&lt;20,"",INTERCEPT($E$1702:$E$1801,$F$1702:$F$1801))</f>
        <v>0</v>
      </c>
      <c r="BC1801">
        <f>IF(OR(BA1801="",BB1801=""),"",BB1801+BA1801*F1801)</f>
        <v>0</v>
      </c>
      <c r="BD1801">
        <f>IF(COUNT($E$2:$E1801)&lt;20,"",STEYX($E$1702:$E$1801,$F$1702:$F$1801))</f>
        <v>0</v>
      </c>
      <c r="BE1801">
        <f>IF($E1801="","",IF(AND(COUNT($E$1802:$E$1805)&gt;=4,$C1801=MAX($C$1797:$C$1805)),$C1801,""))</f>
        <v>0</v>
      </c>
      <c r="BF1801">
        <f>IF($E1801="","",IF(AND(COUNT($E$1802:$E$1805)&gt;=4,$D1801=MIN($D$1797:$D$1805)),$D1801,""))</f>
        <v>0</v>
      </c>
      <c r="BG1801">
        <f>IF($A1801="","",$A1801-WEEKDAY($A1801,2)+1)</f>
        <v>0</v>
      </c>
      <c r="BH1801">
        <f>IF($A1801="","",IF($A1800="",1,IF(BG1801&lt;&gt;BG1800,1,0)))</f>
        <v>0</v>
      </c>
      <c r="BI1801">
        <f>IF($A1801="","",IF($A1802="",1,IF(BG1802&lt;&gt;BG1801,1,0)))</f>
        <v>0</v>
      </c>
      <c r="BJ1801">
        <f>IF($A1801="","",IF(BH1801=1,$B1801,BJ1800))</f>
        <v>0</v>
      </c>
      <c r="BK1801">
        <f>IF($A1801="","",IF(BH1801=1,$C1801,MAX($C1801,BK1800)))</f>
        <v>0</v>
      </c>
      <c r="BL1801">
        <f>IF($A1801="","",IF(BH1801=1,$D1801,MIN($D1801,BL1800)))</f>
        <v>0</v>
      </c>
      <c r="BM1801">
        <f>IF($A1801="","",IF(BI1801=1,F1801,""))</f>
        <v>0</v>
      </c>
      <c r="BN1801">
        <f>IF($A1801="","",DATE(YEAR($A1801),MONTH($A1801),1))</f>
        <v>0</v>
      </c>
      <c r="BO1801">
        <f>IF($A1801="","",IF($A1800="",1,IF(BN1801&lt;&gt;BN1800,1,0)))</f>
        <v>0</v>
      </c>
      <c r="BP1801">
        <f>IF($A1801="","",IF($A1802="",1,IF(BN1802&lt;&gt;BN1801,1,0)))</f>
        <v>0</v>
      </c>
      <c r="BQ1801">
        <f>IF($A1801="","",IF(BO1801=1,$B1801,BQ1800))</f>
        <v>0</v>
      </c>
      <c r="BR1801">
        <f>IF($A1801="","",IF(BO1801=1,$C1801,MAX($C1801,BR1800)))</f>
        <v>0</v>
      </c>
      <c r="BS1801">
        <f>IF($A1801="","",IF(BO1801=1,$D1801,MIN($D1801,BS1800)))</f>
        <v>0</v>
      </c>
      <c r="BT1801">
        <f>IF($A1801="","",IF(BP1801=1,F1801,""))</f>
        <v>0</v>
      </c>
    </row>
    <row r="1802" spans="1:72">
      <c r="A1802" s="27">
        <f>IF(Data!$A1802="","",Data!$A1802)</f>
        <v>0</v>
      </c>
      <c r="B1802">
        <f>IF(Data!$B1802="","",Data!$B1802)</f>
        <v>0</v>
      </c>
      <c r="C1802">
        <f>IF(Data!$C1802="","",Data!$C1802)</f>
        <v>0</v>
      </c>
      <c r="D1802">
        <f>IF(Data!$D1802="","",Data!$D1802)</f>
        <v>0</v>
      </c>
      <c r="E1802">
        <f>IF(Data!$E1802="","",Data!$E1802)</f>
        <v>0</v>
      </c>
      <c r="F1802">
        <f>IF($E1802="","",N(F1801)+1)</f>
        <v>0</v>
      </c>
      <c r="G1802">
        <f>IF(OR($E1802="",$E1801=""),"",LN($E1802/$E1801))</f>
        <v>0</v>
      </c>
      <c r="H1802">
        <f>IF($E1802="","",IF($E1801="",$E1802,$E1802*0.0952380952+H1801*0.9047619048))</f>
        <v>0</v>
      </c>
      <c r="I1802">
        <f>IF($E1802="","",IF($E1801="",$E1802,$E1802*0.0392156863+I1801*0.9607843137))</f>
        <v>0</v>
      </c>
      <c r="J1802">
        <f>IF($E1802="","",IF($E1801="",$E1802,$E1802*0.0198019802+J1801*0.9801980198))</f>
        <v>0</v>
      </c>
      <c r="K1802">
        <f>IF($E1802="","",IF($E1801="",$E1802,$E1802*0.0099502488+K1801*0.9900497512))</f>
        <v>0</v>
      </c>
      <c r="L1802">
        <f>IF(OR($E1802="",$E1801=""),"",MAX($E1802-$E1801,0))</f>
        <v>0</v>
      </c>
      <c r="M1802">
        <f>IF(OR($E1802="",$E1801=""),"",MAX($E1801-$E1802,0))</f>
        <v>0</v>
      </c>
      <c r="N1802">
        <f>IF(COUNT($E$2:$E1802)&lt;15,"",IF(AVERAGE($M$1789:$M$1802)=0,100,100-100/(1+AVERAGE($L$1789:$L$1802)/AVERAGE($M$1789:$M$1802))))</f>
        <v>0</v>
      </c>
      <c r="O1802">
        <f>IF($E1802="","",IF($E1801="",$E1802,$E1802*0.1538461538+O1801*0.8461538462))</f>
        <v>0</v>
      </c>
      <c r="P1802">
        <f>IF($E1802="","",IF($E1801="",$E1802,$E1802*0.0740740741+P1801*0.9259259259))</f>
        <v>0</v>
      </c>
      <c r="Q1802">
        <f>IF(OR(O1802="",P1802=""),"",O1802-P1802)</f>
        <v>0</v>
      </c>
      <c r="R1802">
        <f>IF(Q1802="","",IF(R1801="",Q1802,Q1802*0.2000000000+R1801*0.8000000000))</f>
        <v>0</v>
      </c>
      <c r="S1802">
        <f>IF(OR(Q1802="",R1802=""),"",Q1802-R1802)</f>
        <v>0</v>
      </c>
      <c r="T1802">
        <f>IF(COUNT($E$2:$E1802)&lt;14,"",MAX($C$1789:$C$1802))</f>
        <v>0</v>
      </c>
      <c r="U1802">
        <f>IF(COUNT($E$2:$E1802)&lt;14,"",MIN($D$1789:$D$1802))</f>
        <v>0</v>
      </c>
      <c r="V1802">
        <f>IF(OR(T1802="",U1802="",T1802=U1802),"",100*($E1802-U1802)/(T1802-U1802))</f>
        <v>0</v>
      </c>
      <c r="W1802">
        <f>IF(COUNT($V$1800:$V$1802)&lt;3,"",AVERAGE($V$1800:$V$1802))</f>
        <v>0</v>
      </c>
      <c r="X1802">
        <f>IF(COUNT($N$1789:$N$1802)&lt;14,"",MIN($N$1789:$N$1802))</f>
        <v>0</v>
      </c>
      <c r="Y1802">
        <f>IF(COUNT($N$1789:$N$1802)&lt;14,"",MAX($N$1789:$N$1802))</f>
        <v>0</v>
      </c>
      <c r="Z1802">
        <f>IF(OR(N1802="",X1802="",Y1802="",Y1802=X1802),"",100*(N1802-X1802)/(Y1802-X1802))</f>
        <v>0</v>
      </c>
      <c r="AA1802">
        <f>IF(COUNT($Z$1800:$Z$1802)&lt;3,"",AVERAGE($Z$1800:$Z$1802))</f>
        <v>0</v>
      </c>
      <c r="AB1802">
        <f>IF(COUNT($AA$1800:$AA$1802)&lt;3,"",AVERAGE($AA$1800:$AA$1802))</f>
        <v>0</v>
      </c>
      <c r="AC1802">
        <f>IF($E1802="","",MAX($C1802-$D1802,ABS($C1802-$E1801),ABS($D1802-$E1801)))</f>
        <v>0</v>
      </c>
      <c r="AD1802">
        <f>IF(COUNT($E$2:$E1802)&lt;15,"",AVERAGE($AC$1789:$AC$1802))</f>
        <v>0</v>
      </c>
      <c r="AE1802">
        <f>IF(OR($E1802="",$E1801=""),"",IF(AND(($C1802-$C1801)&gt;($D1801-$D1802),($C1802-$C1801)&gt;0),$C1802-$C1801,0))</f>
        <v>0</v>
      </c>
      <c r="AF1802">
        <f>IF(OR($E1802="",$E1801=""),"",IF(AND(($D1801-$D1802)&gt;($C1802-$C1801),($D1801-$D1802)&gt;0),$D1801-$D1802,0))</f>
        <v>0</v>
      </c>
      <c r="AG1802">
        <f>IF(COUNT($E$2:$E1802)&lt;15,"",IF(SUM($AC$1789:$AC$1802)=0,0,100*SUM($AE$1789:$AE$1802)/SUM($AC$1789:$AC$1802)))</f>
        <v>0</v>
      </c>
      <c r="AH1802">
        <f>IF(COUNT($E$2:$E1802)&lt;15,"",IF(SUM($AC$1789:$AC$1802)=0,0,100*SUM($AF$1789:$AF$1802)/SUM($AC$1789:$AC$1802)))</f>
        <v>0</v>
      </c>
      <c r="AI1802">
        <f>IF(OR(AG1802="",AH1802=""),"",IF((AG1802+AH1802)=0,0,100*ABS(AG1802-AH1802)/(AG1802+AH1802)))</f>
        <v>0</v>
      </c>
      <c r="AJ1802">
        <f>IF(COUNT($AI$1789:$AI$1802)&lt;14,"",AVERAGE($AI$1789:$AI$1802))</f>
        <v>0</v>
      </c>
      <c r="AK1802">
        <f>IF(COUNT($E$2:$E1802)&lt;20,"",AVERAGE($E$1783:$E$1802))</f>
        <v>0</v>
      </c>
      <c r="AL1802">
        <f>IF(COUNT($E$2:$E1802)&lt;20,"",STDEVP($E$1783:$E$1802))</f>
        <v>0</v>
      </c>
      <c r="AM1802">
        <f>IF(AK1802="","",AK1802+2*AL1802)</f>
        <v>0</v>
      </c>
      <c r="AN1802">
        <f>IF(AK1802="","",AK1802-2*AL1802)</f>
        <v>0</v>
      </c>
      <c r="AO1802">
        <f>IF(OR(AM1802="",AN1802="",AM1802=AN1802),"",($E1802-AN1802)/(AM1802-AN1802))</f>
        <v>0</v>
      </c>
      <c r="AP1802">
        <f>IF(OR(AM1802="",AK1802="",AK1802=0),"",(AM1802-AN1802)/AK1802)</f>
        <v>0</v>
      </c>
      <c r="AQ1802">
        <f>IF(COUNT($E$2:$E1802)&lt;20,"",MAX($C$1783:$C$1802))</f>
        <v>0</v>
      </c>
      <c r="AR1802">
        <f>IF(COUNT($E$2:$E1802)&lt;20,"",MIN($D$1783:$D$1802))</f>
        <v>0</v>
      </c>
      <c r="AS1802">
        <f>IF(OR(AQ1802="",AR1802=""),"",(AQ1802+AR1802)/2)</f>
        <v>0</v>
      </c>
      <c r="AT1802">
        <f>IF(COUNT($G$1783:$G$1802)&lt;20,"",STDEV($G$1783:$G$1802)*SQRT(252))</f>
        <v>0</v>
      </c>
      <c r="AU1802">
        <f>IF(COUNT($E$2:$E1802)&lt;9,"",(MAX($C$1794:$C$1802)+MIN($D$1794:$D$1802))/2)</f>
        <v>0</v>
      </c>
      <c r="AV1802">
        <f>IF(COUNT($E$2:$E1802)&lt;26,"",(MAX($C$1777:$C$1802)+MIN($D$1777:$D$1802))/2)</f>
        <v>0</v>
      </c>
      <c r="AW1802">
        <f>IF(OR(AU1802="",AV1802=""),"",(AU1802+AV1802)/2)</f>
        <v>0</v>
      </c>
      <c r="AX1802">
        <f>IF(COUNT($E$2:$E1802)&lt;52,"",(MAX($C$1751:$C$1802)+MIN($D$1751:$D$1802))/2)</f>
        <v>0</v>
      </c>
      <c r="AY1802">
        <f>IF(COUNT($E$2:$E1802)&lt;20,"",MAX($C$1703:$C$1802))</f>
        <v>0</v>
      </c>
      <c r="AZ1802">
        <f>IF(COUNT($E$2:$E1802)&lt;20,"",MIN($D$1703:$D$1802))</f>
        <v>0</v>
      </c>
      <c r="BA1802">
        <f>IF(COUNT($E$2:$E1802)&lt;20,"",SLOPE($E$1703:$E$1802,$F$1703:$F$1802))</f>
        <v>0</v>
      </c>
      <c r="BB1802">
        <f>IF(COUNT($E$2:$E1802)&lt;20,"",INTERCEPT($E$1703:$E$1802,$F$1703:$F$1802))</f>
        <v>0</v>
      </c>
      <c r="BC1802">
        <f>IF(OR(BA1802="",BB1802=""),"",BB1802+BA1802*F1802)</f>
        <v>0</v>
      </c>
      <c r="BD1802">
        <f>IF(COUNT($E$2:$E1802)&lt;20,"",STEYX($E$1703:$E$1802,$F$1703:$F$1802))</f>
        <v>0</v>
      </c>
      <c r="BE1802">
        <f>IF($E1802="","",IF(AND(COUNT($E$1803:$E$1806)&gt;=4,$C1802=MAX($C$1798:$C$1806)),$C1802,""))</f>
        <v>0</v>
      </c>
      <c r="BF1802">
        <f>IF($E1802="","",IF(AND(COUNT($E$1803:$E$1806)&gt;=4,$D1802=MIN($D$1798:$D$1806)),$D1802,""))</f>
        <v>0</v>
      </c>
      <c r="BG1802">
        <f>IF($A1802="","",$A1802-WEEKDAY($A1802,2)+1)</f>
        <v>0</v>
      </c>
      <c r="BH1802">
        <f>IF($A1802="","",IF($A1801="",1,IF(BG1802&lt;&gt;BG1801,1,0)))</f>
        <v>0</v>
      </c>
      <c r="BI1802">
        <f>IF($A1802="","",IF($A1803="",1,IF(BG1803&lt;&gt;BG1802,1,0)))</f>
        <v>0</v>
      </c>
      <c r="BJ1802">
        <f>IF($A1802="","",IF(BH1802=1,$B1802,BJ1801))</f>
        <v>0</v>
      </c>
      <c r="BK1802">
        <f>IF($A1802="","",IF(BH1802=1,$C1802,MAX($C1802,BK1801)))</f>
        <v>0</v>
      </c>
      <c r="BL1802">
        <f>IF($A1802="","",IF(BH1802=1,$D1802,MIN($D1802,BL1801)))</f>
        <v>0</v>
      </c>
      <c r="BM1802">
        <f>IF($A1802="","",IF(BI1802=1,F1802,""))</f>
        <v>0</v>
      </c>
      <c r="BN1802">
        <f>IF($A1802="","",DATE(YEAR($A1802),MONTH($A1802),1))</f>
        <v>0</v>
      </c>
      <c r="BO1802">
        <f>IF($A1802="","",IF($A1801="",1,IF(BN1802&lt;&gt;BN1801,1,0)))</f>
        <v>0</v>
      </c>
      <c r="BP1802">
        <f>IF($A1802="","",IF($A1803="",1,IF(BN1803&lt;&gt;BN1802,1,0)))</f>
        <v>0</v>
      </c>
      <c r="BQ1802">
        <f>IF($A1802="","",IF(BO1802=1,$B1802,BQ1801))</f>
        <v>0</v>
      </c>
      <c r="BR1802">
        <f>IF($A1802="","",IF(BO1802=1,$C1802,MAX($C1802,BR1801)))</f>
        <v>0</v>
      </c>
      <c r="BS1802">
        <f>IF($A1802="","",IF(BO1802=1,$D1802,MIN($D1802,BS1801)))</f>
        <v>0</v>
      </c>
      <c r="BT1802">
        <f>IF($A1802="","",IF(BP1802=1,F1802,""))</f>
        <v>0</v>
      </c>
    </row>
    <row r="1803" spans="1:72">
      <c r="A1803" s="27">
        <f>IF(Data!$A1803="","",Data!$A1803)</f>
        <v>0</v>
      </c>
      <c r="B1803">
        <f>IF(Data!$B1803="","",Data!$B1803)</f>
        <v>0</v>
      </c>
      <c r="C1803">
        <f>IF(Data!$C1803="","",Data!$C1803)</f>
        <v>0</v>
      </c>
      <c r="D1803">
        <f>IF(Data!$D1803="","",Data!$D1803)</f>
        <v>0</v>
      </c>
      <c r="E1803">
        <f>IF(Data!$E1803="","",Data!$E1803)</f>
        <v>0</v>
      </c>
      <c r="F1803">
        <f>IF($E1803="","",N(F1802)+1)</f>
        <v>0</v>
      </c>
      <c r="G1803">
        <f>IF(OR($E1803="",$E1802=""),"",LN($E1803/$E1802))</f>
        <v>0</v>
      </c>
      <c r="H1803">
        <f>IF($E1803="","",IF($E1802="",$E1803,$E1803*0.0952380952+H1802*0.9047619048))</f>
        <v>0</v>
      </c>
      <c r="I1803">
        <f>IF($E1803="","",IF($E1802="",$E1803,$E1803*0.0392156863+I1802*0.9607843137))</f>
        <v>0</v>
      </c>
      <c r="J1803">
        <f>IF($E1803="","",IF($E1802="",$E1803,$E1803*0.0198019802+J1802*0.9801980198))</f>
        <v>0</v>
      </c>
      <c r="K1803">
        <f>IF($E1803="","",IF($E1802="",$E1803,$E1803*0.0099502488+K1802*0.9900497512))</f>
        <v>0</v>
      </c>
      <c r="L1803">
        <f>IF(OR($E1803="",$E1802=""),"",MAX($E1803-$E1802,0))</f>
        <v>0</v>
      </c>
      <c r="M1803">
        <f>IF(OR($E1803="",$E1802=""),"",MAX($E1802-$E1803,0))</f>
        <v>0</v>
      </c>
      <c r="N1803">
        <f>IF(COUNT($E$2:$E1803)&lt;15,"",IF(AVERAGE($M$1790:$M$1803)=0,100,100-100/(1+AVERAGE($L$1790:$L$1803)/AVERAGE($M$1790:$M$1803))))</f>
        <v>0</v>
      </c>
      <c r="O1803">
        <f>IF($E1803="","",IF($E1802="",$E1803,$E1803*0.1538461538+O1802*0.8461538462))</f>
        <v>0</v>
      </c>
      <c r="P1803">
        <f>IF($E1803="","",IF($E1802="",$E1803,$E1803*0.0740740741+P1802*0.9259259259))</f>
        <v>0</v>
      </c>
      <c r="Q1803">
        <f>IF(OR(O1803="",P1803=""),"",O1803-P1803)</f>
        <v>0</v>
      </c>
      <c r="R1803">
        <f>IF(Q1803="","",IF(R1802="",Q1803,Q1803*0.2000000000+R1802*0.8000000000))</f>
        <v>0</v>
      </c>
      <c r="S1803">
        <f>IF(OR(Q1803="",R1803=""),"",Q1803-R1803)</f>
        <v>0</v>
      </c>
      <c r="T1803">
        <f>IF(COUNT($E$2:$E1803)&lt;14,"",MAX($C$1790:$C$1803))</f>
        <v>0</v>
      </c>
      <c r="U1803">
        <f>IF(COUNT($E$2:$E1803)&lt;14,"",MIN($D$1790:$D$1803))</f>
        <v>0</v>
      </c>
      <c r="V1803">
        <f>IF(OR(T1803="",U1803="",T1803=U1803),"",100*($E1803-U1803)/(T1803-U1803))</f>
        <v>0</v>
      </c>
      <c r="W1803">
        <f>IF(COUNT($V$1801:$V$1803)&lt;3,"",AVERAGE($V$1801:$V$1803))</f>
        <v>0</v>
      </c>
      <c r="X1803">
        <f>IF(COUNT($N$1790:$N$1803)&lt;14,"",MIN($N$1790:$N$1803))</f>
        <v>0</v>
      </c>
      <c r="Y1803">
        <f>IF(COUNT($N$1790:$N$1803)&lt;14,"",MAX($N$1790:$N$1803))</f>
        <v>0</v>
      </c>
      <c r="Z1803">
        <f>IF(OR(N1803="",X1803="",Y1803="",Y1803=X1803),"",100*(N1803-X1803)/(Y1803-X1803))</f>
        <v>0</v>
      </c>
      <c r="AA1803">
        <f>IF(COUNT($Z$1801:$Z$1803)&lt;3,"",AVERAGE($Z$1801:$Z$1803))</f>
        <v>0</v>
      </c>
      <c r="AB1803">
        <f>IF(COUNT($AA$1801:$AA$1803)&lt;3,"",AVERAGE($AA$1801:$AA$1803))</f>
        <v>0</v>
      </c>
      <c r="AC1803">
        <f>IF($E1803="","",MAX($C1803-$D1803,ABS($C1803-$E1802),ABS($D1803-$E1802)))</f>
        <v>0</v>
      </c>
      <c r="AD1803">
        <f>IF(COUNT($E$2:$E1803)&lt;15,"",AVERAGE($AC$1790:$AC$1803))</f>
        <v>0</v>
      </c>
      <c r="AE1803">
        <f>IF(OR($E1803="",$E1802=""),"",IF(AND(($C1803-$C1802)&gt;($D1802-$D1803),($C1803-$C1802)&gt;0),$C1803-$C1802,0))</f>
        <v>0</v>
      </c>
      <c r="AF1803">
        <f>IF(OR($E1803="",$E1802=""),"",IF(AND(($D1802-$D1803)&gt;($C1803-$C1802),($D1802-$D1803)&gt;0),$D1802-$D1803,0))</f>
        <v>0</v>
      </c>
      <c r="AG1803">
        <f>IF(COUNT($E$2:$E1803)&lt;15,"",IF(SUM($AC$1790:$AC$1803)=0,0,100*SUM($AE$1790:$AE$1803)/SUM($AC$1790:$AC$1803)))</f>
        <v>0</v>
      </c>
      <c r="AH1803">
        <f>IF(COUNT($E$2:$E1803)&lt;15,"",IF(SUM($AC$1790:$AC$1803)=0,0,100*SUM($AF$1790:$AF$1803)/SUM($AC$1790:$AC$1803)))</f>
        <v>0</v>
      </c>
      <c r="AI1803">
        <f>IF(OR(AG1803="",AH1803=""),"",IF((AG1803+AH1803)=0,0,100*ABS(AG1803-AH1803)/(AG1803+AH1803)))</f>
        <v>0</v>
      </c>
      <c r="AJ1803">
        <f>IF(COUNT($AI$1790:$AI$1803)&lt;14,"",AVERAGE($AI$1790:$AI$1803))</f>
        <v>0</v>
      </c>
      <c r="AK1803">
        <f>IF(COUNT($E$2:$E1803)&lt;20,"",AVERAGE($E$1784:$E$1803))</f>
        <v>0</v>
      </c>
      <c r="AL1803">
        <f>IF(COUNT($E$2:$E1803)&lt;20,"",STDEVP($E$1784:$E$1803))</f>
        <v>0</v>
      </c>
      <c r="AM1803">
        <f>IF(AK1803="","",AK1803+2*AL1803)</f>
        <v>0</v>
      </c>
      <c r="AN1803">
        <f>IF(AK1803="","",AK1803-2*AL1803)</f>
        <v>0</v>
      </c>
      <c r="AO1803">
        <f>IF(OR(AM1803="",AN1803="",AM1803=AN1803),"",($E1803-AN1803)/(AM1803-AN1803))</f>
        <v>0</v>
      </c>
      <c r="AP1803">
        <f>IF(OR(AM1803="",AK1803="",AK1803=0),"",(AM1803-AN1803)/AK1803)</f>
        <v>0</v>
      </c>
      <c r="AQ1803">
        <f>IF(COUNT($E$2:$E1803)&lt;20,"",MAX($C$1784:$C$1803))</f>
        <v>0</v>
      </c>
      <c r="AR1803">
        <f>IF(COUNT($E$2:$E1803)&lt;20,"",MIN($D$1784:$D$1803))</f>
        <v>0</v>
      </c>
      <c r="AS1803">
        <f>IF(OR(AQ1803="",AR1803=""),"",(AQ1803+AR1803)/2)</f>
        <v>0</v>
      </c>
      <c r="AT1803">
        <f>IF(COUNT($G$1784:$G$1803)&lt;20,"",STDEV($G$1784:$G$1803)*SQRT(252))</f>
        <v>0</v>
      </c>
      <c r="AU1803">
        <f>IF(COUNT($E$2:$E1803)&lt;9,"",(MAX($C$1795:$C$1803)+MIN($D$1795:$D$1803))/2)</f>
        <v>0</v>
      </c>
      <c r="AV1803">
        <f>IF(COUNT($E$2:$E1803)&lt;26,"",(MAX($C$1778:$C$1803)+MIN($D$1778:$D$1803))/2)</f>
        <v>0</v>
      </c>
      <c r="AW1803">
        <f>IF(OR(AU1803="",AV1803=""),"",(AU1803+AV1803)/2)</f>
        <v>0</v>
      </c>
      <c r="AX1803">
        <f>IF(COUNT($E$2:$E1803)&lt;52,"",(MAX($C$1752:$C$1803)+MIN($D$1752:$D$1803))/2)</f>
        <v>0</v>
      </c>
      <c r="AY1803">
        <f>IF(COUNT($E$2:$E1803)&lt;20,"",MAX($C$1704:$C$1803))</f>
        <v>0</v>
      </c>
      <c r="AZ1803">
        <f>IF(COUNT($E$2:$E1803)&lt;20,"",MIN($D$1704:$D$1803))</f>
        <v>0</v>
      </c>
      <c r="BA1803">
        <f>IF(COUNT($E$2:$E1803)&lt;20,"",SLOPE($E$1704:$E$1803,$F$1704:$F$1803))</f>
        <v>0</v>
      </c>
      <c r="BB1803">
        <f>IF(COUNT($E$2:$E1803)&lt;20,"",INTERCEPT($E$1704:$E$1803,$F$1704:$F$1803))</f>
        <v>0</v>
      </c>
      <c r="BC1803">
        <f>IF(OR(BA1803="",BB1803=""),"",BB1803+BA1803*F1803)</f>
        <v>0</v>
      </c>
      <c r="BD1803">
        <f>IF(COUNT($E$2:$E1803)&lt;20,"",STEYX($E$1704:$E$1803,$F$1704:$F$1803))</f>
        <v>0</v>
      </c>
      <c r="BE1803">
        <f>IF($E1803="","",IF(AND(COUNT($E$1804:$E$1807)&gt;=4,$C1803=MAX($C$1799:$C$1807)),$C1803,""))</f>
        <v>0</v>
      </c>
      <c r="BF1803">
        <f>IF($E1803="","",IF(AND(COUNT($E$1804:$E$1807)&gt;=4,$D1803=MIN($D$1799:$D$1807)),$D1803,""))</f>
        <v>0</v>
      </c>
      <c r="BG1803">
        <f>IF($A1803="","",$A1803-WEEKDAY($A1803,2)+1)</f>
        <v>0</v>
      </c>
      <c r="BH1803">
        <f>IF($A1803="","",IF($A1802="",1,IF(BG1803&lt;&gt;BG1802,1,0)))</f>
        <v>0</v>
      </c>
      <c r="BI1803">
        <f>IF($A1803="","",IF($A1804="",1,IF(BG1804&lt;&gt;BG1803,1,0)))</f>
        <v>0</v>
      </c>
      <c r="BJ1803">
        <f>IF($A1803="","",IF(BH1803=1,$B1803,BJ1802))</f>
        <v>0</v>
      </c>
      <c r="BK1803">
        <f>IF($A1803="","",IF(BH1803=1,$C1803,MAX($C1803,BK1802)))</f>
        <v>0</v>
      </c>
      <c r="BL1803">
        <f>IF($A1803="","",IF(BH1803=1,$D1803,MIN($D1803,BL1802)))</f>
        <v>0</v>
      </c>
      <c r="BM1803">
        <f>IF($A1803="","",IF(BI1803=1,F1803,""))</f>
        <v>0</v>
      </c>
      <c r="BN1803">
        <f>IF($A1803="","",DATE(YEAR($A1803),MONTH($A1803),1))</f>
        <v>0</v>
      </c>
      <c r="BO1803">
        <f>IF($A1803="","",IF($A1802="",1,IF(BN1803&lt;&gt;BN1802,1,0)))</f>
        <v>0</v>
      </c>
      <c r="BP1803">
        <f>IF($A1803="","",IF($A1804="",1,IF(BN1804&lt;&gt;BN1803,1,0)))</f>
        <v>0</v>
      </c>
      <c r="BQ1803">
        <f>IF($A1803="","",IF(BO1803=1,$B1803,BQ1802))</f>
        <v>0</v>
      </c>
      <c r="BR1803">
        <f>IF($A1803="","",IF(BO1803=1,$C1803,MAX($C1803,BR1802)))</f>
        <v>0</v>
      </c>
      <c r="BS1803">
        <f>IF($A1803="","",IF(BO1803=1,$D1803,MIN($D1803,BS1802)))</f>
        <v>0</v>
      </c>
      <c r="BT1803">
        <f>IF($A1803="","",IF(BP1803=1,F1803,""))</f>
        <v>0</v>
      </c>
    </row>
    <row r="1804" spans="1:72">
      <c r="A1804" s="27">
        <f>IF(Data!$A1804="","",Data!$A1804)</f>
        <v>0</v>
      </c>
      <c r="B1804">
        <f>IF(Data!$B1804="","",Data!$B1804)</f>
        <v>0</v>
      </c>
      <c r="C1804">
        <f>IF(Data!$C1804="","",Data!$C1804)</f>
        <v>0</v>
      </c>
      <c r="D1804">
        <f>IF(Data!$D1804="","",Data!$D1804)</f>
        <v>0</v>
      </c>
      <c r="E1804">
        <f>IF(Data!$E1804="","",Data!$E1804)</f>
        <v>0</v>
      </c>
      <c r="F1804">
        <f>IF($E1804="","",N(F1803)+1)</f>
        <v>0</v>
      </c>
      <c r="G1804">
        <f>IF(OR($E1804="",$E1803=""),"",LN($E1804/$E1803))</f>
        <v>0</v>
      </c>
      <c r="H1804">
        <f>IF($E1804="","",IF($E1803="",$E1804,$E1804*0.0952380952+H1803*0.9047619048))</f>
        <v>0</v>
      </c>
      <c r="I1804">
        <f>IF($E1804="","",IF($E1803="",$E1804,$E1804*0.0392156863+I1803*0.9607843137))</f>
        <v>0</v>
      </c>
      <c r="J1804">
        <f>IF($E1804="","",IF($E1803="",$E1804,$E1804*0.0198019802+J1803*0.9801980198))</f>
        <v>0</v>
      </c>
      <c r="K1804">
        <f>IF($E1804="","",IF($E1803="",$E1804,$E1804*0.0099502488+K1803*0.9900497512))</f>
        <v>0</v>
      </c>
      <c r="L1804">
        <f>IF(OR($E1804="",$E1803=""),"",MAX($E1804-$E1803,0))</f>
        <v>0</v>
      </c>
      <c r="M1804">
        <f>IF(OR($E1804="",$E1803=""),"",MAX($E1803-$E1804,0))</f>
        <v>0</v>
      </c>
      <c r="N1804">
        <f>IF(COUNT($E$2:$E1804)&lt;15,"",IF(AVERAGE($M$1791:$M$1804)=0,100,100-100/(1+AVERAGE($L$1791:$L$1804)/AVERAGE($M$1791:$M$1804))))</f>
        <v>0</v>
      </c>
      <c r="O1804">
        <f>IF($E1804="","",IF($E1803="",$E1804,$E1804*0.1538461538+O1803*0.8461538462))</f>
        <v>0</v>
      </c>
      <c r="P1804">
        <f>IF($E1804="","",IF($E1803="",$E1804,$E1804*0.0740740741+P1803*0.9259259259))</f>
        <v>0</v>
      </c>
      <c r="Q1804">
        <f>IF(OR(O1804="",P1804=""),"",O1804-P1804)</f>
        <v>0</v>
      </c>
      <c r="R1804">
        <f>IF(Q1804="","",IF(R1803="",Q1804,Q1804*0.2000000000+R1803*0.8000000000))</f>
        <v>0</v>
      </c>
      <c r="S1804">
        <f>IF(OR(Q1804="",R1804=""),"",Q1804-R1804)</f>
        <v>0</v>
      </c>
      <c r="T1804">
        <f>IF(COUNT($E$2:$E1804)&lt;14,"",MAX($C$1791:$C$1804))</f>
        <v>0</v>
      </c>
      <c r="U1804">
        <f>IF(COUNT($E$2:$E1804)&lt;14,"",MIN($D$1791:$D$1804))</f>
        <v>0</v>
      </c>
      <c r="V1804">
        <f>IF(OR(T1804="",U1804="",T1804=U1804),"",100*($E1804-U1804)/(T1804-U1804))</f>
        <v>0</v>
      </c>
      <c r="W1804">
        <f>IF(COUNT($V$1802:$V$1804)&lt;3,"",AVERAGE($V$1802:$V$1804))</f>
        <v>0</v>
      </c>
      <c r="X1804">
        <f>IF(COUNT($N$1791:$N$1804)&lt;14,"",MIN($N$1791:$N$1804))</f>
        <v>0</v>
      </c>
      <c r="Y1804">
        <f>IF(COUNT($N$1791:$N$1804)&lt;14,"",MAX($N$1791:$N$1804))</f>
        <v>0</v>
      </c>
      <c r="Z1804">
        <f>IF(OR(N1804="",X1804="",Y1804="",Y1804=X1804),"",100*(N1804-X1804)/(Y1804-X1804))</f>
        <v>0</v>
      </c>
      <c r="AA1804">
        <f>IF(COUNT($Z$1802:$Z$1804)&lt;3,"",AVERAGE($Z$1802:$Z$1804))</f>
        <v>0</v>
      </c>
      <c r="AB1804">
        <f>IF(COUNT($AA$1802:$AA$1804)&lt;3,"",AVERAGE($AA$1802:$AA$1804))</f>
        <v>0</v>
      </c>
      <c r="AC1804">
        <f>IF($E1804="","",MAX($C1804-$D1804,ABS($C1804-$E1803),ABS($D1804-$E1803)))</f>
        <v>0</v>
      </c>
      <c r="AD1804">
        <f>IF(COUNT($E$2:$E1804)&lt;15,"",AVERAGE($AC$1791:$AC$1804))</f>
        <v>0</v>
      </c>
      <c r="AE1804">
        <f>IF(OR($E1804="",$E1803=""),"",IF(AND(($C1804-$C1803)&gt;($D1803-$D1804),($C1804-$C1803)&gt;0),$C1804-$C1803,0))</f>
        <v>0</v>
      </c>
      <c r="AF1804">
        <f>IF(OR($E1804="",$E1803=""),"",IF(AND(($D1803-$D1804)&gt;($C1804-$C1803),($D1803-$D1804)&gt;0),$D1803-$D1804,0))</f>
        <v>0</v>
      </c>
      <c r="AG1804">
        <f>IF(COUNT($E$2:$E1804)&lt;15,"",IF(SUM($AC$1791:$AC$1804)=0,0,100*SUM($AE$1791:$AE$1804)/SUM($AC$1791:$AC$1804)))</f>
        <v>0</v>
      </c>
      <c r="AH1804">
        <f>IF(COUNT($E$2:$E1804)&lt;15,"",IF(SUM($AC$1791:$AC$1804)=0,0,100*SUM($AF$1791:$AF$1804)/SUM($AC$1791:$AC$1804)))</f>
        <v>0</v>
      </c>
      <c r="AI1804">
        <f>IF(OR(AG1804="",AH1804=""),"",IF((AG1804+AH1804)=0,0,100*ABS(AG1804-AH1804)/(AG1804+AH1804)))</f>
        <v>0</v>
      </c>
      <c r="AJ1804">
        <f>IF(COUNT($AI$1791:$AI$1804)&lt;14,"",AVERAGE($AI$1791:$AI$1804))</f>
        <v>0</v>
      </c>
      <c r="AK1804">
        <f>IF(COUNT($E$2:$E1804)&lt;20,"",AVERAGE($E$1785:$E$1804))</f>
        <v>0</v>
      </c>
      <c r="AL1804">
        <f>IF(COUNT($E$2:$E1804)&lt;20,"",STDEVP($E$1785:$E$1804))</f>
        <v>0</v>
      </c>
      <c r="AM1804">
        <f>IF(AK1804="","",AK1804+2*AL1804)</f>
        <v>0</v>
      </c>
      <c r="AN1804">
        <f>IF(AK1804="","",AK1804-2*AL1804)</f>
        <v>0</v>
      </c>
      <c r="AO1804">
        <f>IF(OR(AM1804="",AN1804="",AM1804=AN1804),"",($E1804-AN1804)/(AM1804-AN1804))</f>
        <v>0</v>
      </c>
      <c r="AP1804">
        <f>IF(OR(AM1804="",AK1804="",AK1804=0),"",(AM1804-AN1804)/AK1804)</f>
        <v>0</v>
      </c>
      <c r="AQ1804">
        <f>IF(COUNT($E$2:$E1804)&lt;20,"",MAX($C$1785:$C$1804))</f>
        <v>0</v>
      </c>
      <c r="AR1804">
        <f>IF(COUNT($E$2:$E1804)&lt;20,"",MIN($D$1785:$D$1804))</f>
        <v>0</v>
      </c>
      <c r="AS1804">
        <f>IF(OR(AQ1804="",AR1804=""),"",(AQ1804+AR1804)/2)</f>
        <v>0</v>
      </c>
      <c r="AT1804">
        <f>IF(COUNT($G$1785:$G$1804)&lt;20,"",STDEV($G$1785:$G$1804)*SQRT(252))</f>
        <v>0</v>
      </c>
      <c r="AU1804">
        <f>IF(COUNT($E$2:$E1804)&lt;9,"",(MAX($C$1796:$C$1804)+MIN($D$1796:$D$1804))/2)</f>
        <v>0</v>
      </c>
      <c r="AV1804">
        <f>IF(COUNT($E$2:$E1804)&lt;26,"",(MAX($C$1779:$C$1804)+MIN($D$1779:$D$1804))/2)</f>
        <v>0</v>
      </c>
      <c r="AW1804">
        <f>IF(OR(AU1804="",AV1804=""),"",(AU1804+AV1804)/2)</f>
        <v>0</v>
      </c>
      <c r="AX1804">
        <f>IF(COUNT($E$2:$E1804)&lt;52,"",(MAX($C$1753:$C$1804)+MIN($D$1753:$D$1804))/2)</f>
        <v>0</v>
      </c>
      <c r="AY1804">
        <f>IF(COUNT($E$2:$E1804)&lt;20,"",MAX($C$1705:$C$1804))</f>
        <v>0</v>
      </c>
      <c r="AZ1804">
        <f>IF(COUNT($E$2:$E1804)&lt;20,"",MIN($D$1705:$D$1804))</f>
        <v>0</v>
      </c>
      <c r="BA1804">
        <f>IF(COUNT($E$2:$E1804)&lt;20,"",SLOPE($E$1705:$E$1804,$F$1705:$F$1804))</f>
        <v>0</v>
      </c>
      <c r="BB1804">
        <f>IF(COUNT($E$2:$E1804)&lt;20,"",INTERCEPT($E$1705:$E$1804,$F$1705:$F$1804))</f>
        <v>0</v>
      </c>
      <c r="BC1804">
        <f>IF(OR(BA1804="",BB1804=""),"",BB1804+BA1804*F1804)</f>
        <v>0</v>
      </c>
      <c r="BD1804">
        <f>IF(COUNT($E$2:$E1804)&lt;20,"",STEYX($E$1705:$E$1804,$F$1705:$F$1804))</f>
        <v>0</v>
      </c>
      <c r="BE1804">
        <f>IF($E1804="","",IF(AND(COUNT($E$1805:$E$1808)&gt;=4,$C1804=MAX($C$1800:$C$1808)),$C1804,""))</f>
        <v>0</v>
      </c>
      <c r="BF1804">
        <f>IF($E1804="","",IF(AND(COUNT($E$1805:$E$1808)&gt;=4,$D1804=MIN($D$1800:$D$1808)),$D1804,""))</f>
        <v>0</v>
      </c>
      <c r="BG1804">
        <f>IF($A1804="","",$A1804-WEEKDAY($A1804,2)+1)</f>
        <v>0</v>
      </c>
      <c r="BH1804">
        <f>IF($A1804="","",IF($A1803="",1,IF(BG1804&lt;&gt;BG1803,1,0)))</f>
        <v>0</v>
      </c>
      <c r="BI1804">
        <f>IF($A1804="","",IF($A1805="",1,IF(BG1805&lt;&gt;BG1804,1,0)))</f>
        <v>0</v>
      </c>
      <c r="BJ1804">
        <f>IF($A1804="","",IF(BH1804=1,$B1804,BJ1803))</f>
        <v>0</v>
      </c>
      <c r="BK1804">
        <f>IF($A1804="","",IF(BH1804=1,$C1804,MAX($C1804,BK1803)))</f>
        <v>0</v>
      </c>
      <c r="BL1804">
        <f>IF($A1804="","",IF(BH1804=1,$D1804,MIN($D1804,BL1803)))</f>
        <v>0</v>
      </c>
      <c r="BM1804">
        <f>IF($A1804="","",IF(BI1804=1,F1804,""))</f>
        <v>0</v>
      </c>
      <c r="BN1804">
        <f>IF($A1804="","",DATE(YEAR($A1804),MONTH($A1804),1))</f>
        <v>0</v>
      </c>
      <c r="BO1804">
        <f>IF($A1804="","",IF($A1803="",1,IF(BN1804&lt;&gt;BN1803,1,0)))</f>
        <v>0</v>
      </c>
      <c r="BP1804">
        <f>IF($A1804="","",IF($A1805="",1,IF(BN1805&lt;&gt;BN1804,1,0)))</f>
        <v>0</v>
      </c>
      <c r="BQ1804">
        <f>IF($A1804="","",IF(BO1804=1,$B1804,BQ1803))</f>
        <v>0</v>
      </c>
      <c r="BR1804">
        <f>IF($A1804="","",IF(BO1804=1,$C1804,MAX($C1804,BR1803)))</f>
        <v>0</v>
      </c>
      <c r="BS1804">
        <f>IF($A1804="","",IF(BO1804=1,$D1804,MIN($D1804,BS1803)))</f>
        <v>0</v>
      </c>
      <c r="BT1804">
        <f>IF($A1804="","",IF(BP1804=1,F1804,""))</f>
        <v>0</v>
      </c>
    </row>
    <row r="1805" spans="1:72">
      <c r="A1805" s="27">
        <f>IF(Data!$A1805="","",Data!$A1805)</f>
        <v>0</v>
      </c>
      <c r="B1805">
        <f>IF(Data!$B1805="","",Data!$B1805)</f>
        <v>0</v>
      </c>
      <c r="C1805">
        <f>IF(Data!$C1805="","",Data!$C1805)</f>
        <v>0</v>
      </c>
      <c r="D1805">
        <f>IF(Data!$D1805="","",Data!$D1805)</f>
        <v>0</v>
      </c>
      <c r="E1805">
        <f>IF(Data!$E1805="","",Data!$E1805)</f>
        <v>0</v>
      </c>
      <c r="F1805">
        <f>IF($E1805="","",N(F1804)+1)</f>
        <v>0</v>
      </c>
      <c r="G1805">
        <f>IF(OR($E1805="",$E1804=""),"",LN($E1805/$E1804))</f>
        <v>0</v>
      </c>
      <c r="H1805">
        <f>IF($E1805="","",IF($E1804="",$E1805,$E1805*0.0952380952+H1804*0.9047619048))</f>
        <v>0</v>
      </c>
      <c r="I1805">
        <f>IF($E1805="","",IF($E1804="",$E1805,$E1805*0.0392156863+I1804*0.9607843137))</f>
        <v>0</v>
      </c>
      <c r="J1805">
        <f>IF($E1805="","",IF($E1804="",$E1805,$E1805*0.0198019802+J1804*0.9801980198))</f>
        <v>0</v>
      </c>
      <c r="K1805">
        <f>IF($E1805="","",IF($E1804="",$E1805,$E1805*0.0099502488+K1804*0.9900497512))</f>
        <v>0</v>
      </c>
      <c r="L1805">
        <f>IF(OR($E1805="",$E1804=""),"",MAX($E1805-$E1804,0))</f>
        <v>0</v>
      </c>
      <c r="M1805">
        <f>IF(OR($E1805="",$E1804=""),"",MAX($E1804-$E1805,0))</f>
        <v>0</v>
      </c>
      <c r="N1805">
        <f>IF(COUNT($E$2:$E1805)&lt;15,"",IF(AVERAGE($M$1792:$M$1805)=0,100,100-100/(1+AVERAGE($L$1792:$L$1805)/AVERAGE($M$1792:$M$1805))))</f>
        <v>0</v>
      </c>
      <c r="O1805">
        <f>IF($E1805="","",IF($E1804="",$E1805,$E1805*0.1538461538+O1804*0.8461538462))</f>
        <v>0</v>
      </c>
      <c r="P1805">
        <f>IF($E1805="","",IF($E1804="",$E1805,$E1805*0.0740740741+P1804*0.9259259259))</f>
        <v>0</v>
      </c>
      <c r="Q1805">
        <f>IF(OR(O1805="",P1805=""),"",O1805-P1805)</f>
        <v>0</v>
      </c>
      <c r="R1805">
        <f>IF(Q1805="","",IF(R1804="",Q1805,Q1805*0.2000000000+R1804*0.8000000000))</f>
        <v>0</v>
      </c>
      <c r="S1805">
        <f>IF(OR(Q1805="",R1805=""),"",Q1805-R1805)</f>
        <v>0</v>
      </c>
      <c r="T1805">
        <f>IF(COUNT($E$2:$E1805)&lt;14,"",MAX($C$1792:$C$1805))</f>
        <v>0</v>
      </c>
      <c r="U1805">
        <f>IF(COUNT($E$2:$E1805)&lt;14,"",MIN($D$1792:$D$1805))</f>
        <v>0</v>
      </c>
      <c r="V1805">
        <f>IF(OR(T1805="",U1805="",T1805=U1805),"",100*($E1805-U1805)/(T1805-U1805))</f>
        <v>0</v>
      </c>
      <c r="W1805">
        <f>IF(COUNT($V$1803:$V$1805)&lt;3,"",AVERAGE($V$1803:$V$1805))</f>
        <v>0</v>
      </c>
      <c r="X1805">
        <f>IF(COUNT($N$1792:$N$1805)&lt;14,"",MIN($N$1792:$N$1805))</f>
        <v>0</v>
      </c>
      <c r="Y1805">
        <f>IF(COUNT($N$1792:$N$1805)&lt;14,"",MAX($N$1792:$N$1805))</f>
        <v>0</v>
      </c>
      <c r="Z1805">
        <f>IF(OR(N1805="",X1805="",Y1805="",Y1805=X1805),"",100*(N1805-X1805)/(Y1805-X1805))</f>
        <v>0</v>
      </c>
      <c r="AA1805">
        <f>IF(COUNT($Z$1803:$Z$1805)&lt;3,"",AVERAGE($Z$1803:$Z$1805))</f>
        <v>0</v>
      </c>
      <c r="AB1805">
        <f>IF(COUNT($AA$1803:$AA$1805)&lt;3,"",AVERAGE($AA$1803:$AA$1805))</f>
        <v>0</v>
      </c>
      <c r="AC1805">
        <f>IF($E1805="","",MAX($C1805-$D1805,ABS($C1805-$E1804),ABS($D1805-$E1804)))</f>
        <v>0</v>
      </c>
      <c r="AD1805">
        <f>IF(COUNT($E$2:$E1805)&lt;15,"",AVERAGE($AC$1792:$AC$1805))</f>
        <v>0</v>
      </c>
      <c r="AE1805">
        <f>IF(OR($E1805="",$E1804=""),"",IF(AND(($C1805-$C1804)&gt;($D1804-$D1805),($C1805-$C1804)&gt;0),$C1805-$C1804,0))</f>
        <v>0</v>
      </c>
      <c r="AF1805">
        <f>IF(OR($E1805="",$E1804=""),"",IF(AND(($D1804-$D1805)&gt;($C1805-$C1804),($D1804-$D1805)&gt;0),$D1804-$D1805,0))</f>
        <v>0</v>
      </c>
      <c r="AG1805">
        <f>IF(COUNT($E$2:$E1805)&lt;15,"",IF(SUM($AC$1792:$AC$1805)=0,0,100*SUM($AE$1792:$AE$1805)/SUM($AC$1792:$AC$1805)))</f>
        <v>0</v>
      </c>
      <c r="AH1805">
        <f>IF(COUNT($E$2:$E1805)&lt;15,"",IF(SUM($AC$1792:$AC$1805)=0,0,100*SUM($AF$1792:$AF$1805)/SUM($AC$1792:$AC$1805)))</f>
        <v>0</v>
      </c>
      <c r="AI1805">
        <f>IF(OR(AG1805="",AH1805=""),"",IF((AG1805+AH1805)=0,0,100*ABS(AG1805-AH1805)/(AG1805+AH1805)))</f>
        <v>0</v>
      </c>
      <c r="AJ1805">
        <f>IF(COUNT($AI$1792:$AI$1805)&lt;14,"",AVERAGE($AI$1792:$AI$1805))</f>
        <v>0</v>
      </c>
      <c r="AK1805">
        <f>IF(COUNT($E$2:$E1805)&lt;20,"",AVERAGE($E$1786:$E$1805))</f>
        <v>0</v>
      </c>
      <c r="AL1805">
        <f>IF(COUNT($E$2:$E1805)&lt;20,"",STDEVP($E$1786:$E$1805))</f>
        <v>0</v>
      </c>
      <c r="AM1805">
        <f>IF(AK1805="","",AK1805+2*AL1805)</f>
        <v>0</v>
      </c>
      <c r="AN1805">
        <f>IF(AK1805="","",AK1805-2*AL1805)</f>
        <v>0</v>
      </c>
      <c r="AO1805">
        <f>IF(OR(AM1805="",AN1805="",AM1805=AN1805),"",($E1805-AN1805)/(AM1805-AN1805))</f>
        <v>0</v>
      </c>
      <c r="AP1805">
        <f>IF(OR(AM1805="",AK1805="",AK1805=0),"",(AM1805-AN1805)/AK1805)</f>
        <v>0</v>
      </c>
      <c r="AQ1805">
        <f>IF(COUNT($E$2:$E1805)&lt;20,"",MAX($C$1786:$C$1805))</f>
        <v>0</v>
      </c>
      <c r="AR1805">
        <f>IF(COUNT($E$2:$E1805)&lt;20,"",MIN($D$1786:$D$1805))</f>
        <v>0</v>
      </c>
      <c r="AS1805">
        <f>IF(OR(AQ1805="",AR1805=""),"",(AQ1805+AR1805)/2)</f>
        <v>0</v>
      </c>
      <c r="AT1805">
        <f>IF(COUNT($G$1786:$G$1805)&lt;20,"",STDEV($G$1786:$G$1805)*SQRT(252))</f>
        <v>0</v>
      </c>
      <c r="AU1805">
        <f>IF(COUNT($E$2:$E1805)&lt;9,"",(MAX($C$1797:$C$1805)+MIN($D$1797:$D$1805))/2)</f>
        <v>0</v>
      </c>
      <c r="AV1805">
        <f>IF(COUNT($E$2:$E1805)&lt;26,"",(MAX($C$1780:$C$1805)+MIN($D$1780:$D$1805))/2)</f>
        <v>0</v>
      </c>
      <c r="AW1805">
        <f>IF(OR(AU1805="",AV1805=""),"",(AU1805+AV1805)/2)</f>
        <v>0</v>
      </c>
      <c r="AX1805">
        <f>IF(COUNT($E$2:$E1805)&lt;52,"",(MAX($C$1754:$C$1805)+MIN($D$1754:$D$1805))/2)</f>
        <v>0</v>
      </c>
      <c r="AY1805">
        <f>IF(COUNT($E$2:$E1805)&lt;20,"",MAX($C$1706:$C$1805))</f>
        <v>0</v>
      </c>
      <c r="AZ1805">
        <f>IF(COUNT($E$2:$E1805)&lt;20,"",MIN($D$1706:$D$1805))</f>
        <v>0</v>
      </c>
      <c r="BA1805">
        <f>IF(COUNT($E$2:$E1805)&lt;20,"",SLOPE($E$1706:$E$1805,$F$1706:$F$1805))</f>
        <v>0</v>
      </c>
      <c r="BB1805">
        <f>IF(COUNT($E$2:$E1805)&lt;20,"",INTERCEPT($E$1706:$E$1805,$F$1706:$F$1805))</f>
        <v>0</v>
      </c>
      <c r="BC1805">
        <f>IF(OR(BA1805="",BB1805=""),"",BB1805+BA1805*F1805)</f>
        <v>0</v>
      </c>
      <c r="BD1805">
        <f>IF(COUNT($E$2:$E1805)&lt;20,"",STEYX($E$1706:$E$1805,$F$1706:$F$1805))</f>
        <v>0</v>
      </c>
      <c r="BE1805">
        <f>IF($E1805="","",IF(AND(COUNT($E$1806:$E$1809)&gt;=4,$C1805=MAX($C$1801:$C$1809)),$C1805,""))</f>
        <v>0</v>
      </c>
      <c r="BF1805">
        <f>IF($E1805="","",IF(AND(COUNT($E$1806:$E$1809)&gt;=4,$D1805=MIN($D$1801:$D$1809)),$D1805,""))</f>
        <v>0</v>
      </c>
      <c r="BG1805">
        <f>IF($A1805="","",$A1805-WEEKDAY($A1805,2)+1)</f>
        <v>0</v>
      </c>
      <c r="BH1805">
        <f>IF($A1805="","",IF($A1804="",1,IF(BG1805&lt;&gt;BG1804,1,0)))</f>
        <v>0</v>
      </c>
      <c r="BI1805">
        <f>IF($A1805="","",IF($A1806="",1,IF(BG1806&lt;&gt;BG1805,1,0)))</f>
        <v>0</v>
      </c>
      <c r="BJ1805">
        <f>IF($A1805="","",IF(BH1805=1,$B1805,BJ1804))</f>
        <v>0</v>
      </c>
      <c r="BK1805">
        <f>IF($A1805="","",IF(BH1805=1,$C1805,MAX($C1805,BK1804)))</f>
        <v>0</v>
      </c>
      <c r="BL1805">
        <f>IF($A1805="","",IF(BH1805=1,$D1805,MIN($D1805,BL1804)))</f>
        <v>0</v>
      </c>
      <c r="BM1805">
        <f>IF($A1805="","",IF(BI1805=1,F1805,""))</f>
        <v>0</v>
      </c>
      <c r="BN1805">
        <f>IF($A1805="","",DATE(YEAR($A1805),MONTH($A1805),1))</f>
        <v>0</v>
      </c>
      <c r="BO1805">
        <f>IF($A1805="","",IF($A1804="",1,IF(BN1805&lt;&gt;BN1804,1,0)))</f>
        <v>0</v>
      </c>
      <c r="BP1805">
        <f>IF($A1805="","",IF($A1806="",1,IF(BN1806&lt;&gt;BN1805,1,0)))</f>
        <v>0</v>
      </c>
      <c r="BQ1805">
        <f>IF($A1805="","",IF(BO1805=1,$B1805,BQ1804))</f>
        <v>0</v>
      </c>
      <c r="BR1805">
        <f>IF($A1805="","",IF(BO1805=1,$C1805,MAX($C1805,BR1804)))</f>
        <v>0</v>
      </c>
      <c r="BS1805">
        <f>IF($A1805="","",IF(BO1805=1,$D1805,MIN($D1805,BS1804)))</f>
        <v>0</v>
      </c>
      <c r="BT1805">
        <f>IF($A1805="","",IF(BP1805=1,F1805,""))</f>
        <v>0</v>
      </c>
    </row>
    <row r="1806" spans="1:72">
      <c r="A1806" s="27">
        <f>IF(Data!$A1806="","",Data!$A1806)</f>
        <v>0</v>
      </c>
      <c r="B1806">
        <f>IF(Data!$B1806="","",Data!$B1806)</f>
        <v>0</v>
      </c>
      <c r="C1806">
        <f>IF(Data!$C1806="","",Data!$C1806)</f>
        <v>0</v>
      </c>
      <c r="D1806">
        <f>IF(Data!$D1806="","",Data!$D1806)</f>
        <v>0</v>
      </c>
      <c r="E1806">
        <f>IF(Data!$E1806="","",Data!$E1806)</f>
        <v>0</v>
      </c>
      <c r="F1806">
        <f>IF($E1806="","",N(F1805)+1)</f>
        <v>0</v>
      </c>
      <c r="G1806">
        <f>IF(OR($E1806="",$E1805=""),"",LN($E1806/$E1805))</f>
        <v>0</v>
      </c>
      <c r="H1806">
        <f>IF($E1806="","",IF($E1805="",$E1806,$E1806*0.0952380952+H1805*0.9047619048))</f>
        <v>0</v>
      </c>
      <c r="I1806">
        <f>IF($E1806="","",IF($E1805="",$E1806,$E1806*0.0392156863+I1805*0.9607843137))</f>
        <v>0</v>
      </c>
      <c r="J1806">
        <f>IF($E1806="","",IF($E1805="",$E1806,$E1806*0.0198019802+J1805*0.9801980198))</f>
        <v>0</v>
      </c>
      <c r="K1806">
        <f>IF($E1806="","",IF($E1805="",$E1806,$E1806*0.0099502488+K1805*0.9900497512))</f>
        <v>0</v>
      </c>
      <c r="L1806">
        <f>IF(OR($E1806="",$E1805=""),"",MAX($E1806-$E1805,0))</f>
        <v>0</v>
      </c>
      <c r="M1806">
        <f>IF(OR($E1806="",$E1805=""),"",MAX($E1805-$E1806,0))</f>
        <v>0</v>
      </c>
      <c r="N1806">
        <f>IF(COUNT($E$2:$E1806)&lt;15,"",IF(AVERAGE($M$1793:$M$1806)=0,100,100-100/(1+AVERAGE($L$1793:$L$1806)/AVERAGE($M$1793:$M$1806))))</f>
        <v>0</v>
      </c>
      <c r="O1806">
        <f>IF($E1806="","",IF($E1805="",$E1806,$E1806*0.1538461538+O1805*0.8461538462))</f>
        <v>0</v>
      </c>
      <c r="P1806">
        <f>IF($E1806="","",IF($E1805="",$E1806,$E1806*0.0740740741+P1805*0.9259259259))</f>
        <v>0</v>
      </c>
      <c r="Q1806">
        <f>IF(OR(O1806="",P1806=""),"",O1806-P1806)</f>
        <v>0</v>
      </c>
      <c r="R1806">
        <f>IF(Q1806="","",IF(R1805="",Q1806,Q1806*0.2000000000+R1805*0.8000000000))</f>
        <v>0</v>
      </c>
      <c r="S1806">
        <f>IF(OR(Q1806="",R1806=""),"",Q1806-R1806)</f>
        <v>0</v>
      </c>
      <c r="T1806">
        <f>IF(COUNT($E$2:$E1806)&lt;14,"",MAX($C$1793:$C$1806))</f>
        <v>0</v>
      </c>
      <c r="U1806">
        <f>IF(COUNT($E$2:$E1806)&lt;14,"",MIN($D$1793:$D$1806))</f>
        <v>0</v>
      </c>
      <c r="V1806">
        <f>IF(OR(T1806="",U1806="",T1806=U1806),"",100*($E1806-U1806)/(T1806-U1806))</f>
        <v>0</v>
      </c>
      <c r="W1806">
        <f>IF(COUNT($V$1804:$V$1806)&lt;3,"",AVERAGE($V$1804:$V$1806))</f>
        <v>0</v>
      </c>
      <c r="X1806">
        <f>IF(COUNT($N$1793:$N$1806)&lt;14,"",MIN($N$1793:$N$1806))</f>
        <v>0</v>
      </c>
      <c r="Y1806">
        <f>IF(COUNT($N$1793:$N$1806)&lt;14,"",MAX($N$1793:$N$1806))</f>
        <v>0</v>
      </c>
      <c r="Z1806">
        <f>IF(OR(N1806="",X1806="",Y1806="",Y1806=X1806),"",100*(N1806-X1806)/(Y1806-X1806))</f>
        <v>0</v>
      </c>
      <c r="AA1806">
        <f>IF(COUNT($Z$1804:$Z$1806)&lt;3,"",AVERAGE($Z$1804:$Z$1806))</f>
        <v>0</v>
      </c>
      <c r="AB1806">
        <f>IF(COUNT($AA$1804:$AA$1806)&lt;3,"",AVERAGE($AA$1804:$AA$1806))</f>
        <v>0</v>
      </c>
      <c r="AC1806">
        <f>IF($E1806="","",MAX($C1806-$D1806,ABS($C1806-$E1805),ABS($D1806-$E1805)))</f>
        <v>0</v>
      </c>
      <c r="AD1806">
        <f>IF(COUNT($E$2:$E1806)&lt;15,"",AVERAGE($AC$1793:$AC$1806))</f>
        <v>0</v>
      </c>
      <c r="AE1806">
        <f>IF(OR($E1806="",$E1805=""),"",IF(AND(($C1806-$C1805)&gt;($D1805-$D1806),($C1806-$C1805)&gt;0),$C1806-$C1805,0))</f>
        <v>0</v>
      </c>
      <c r="AF1806">
        <f>IF(OR($E1806="",$E1805=""),"",IF(AND(($D1805-$D1806)&gt;($C1806-$C1805),($D1805-$D1806)&gt;0),$D1805-$D1806,0))</f>
        <v>0</v>
      </c>
      <c r="AG1806">
        <f>IF(COUNT($E$2:$E1806)&lt;15,"",IF(SUM($AC$1793:$AC$1806)=0,0,100*SUM($AE$1793:$AE$1806)/SUM($AC$1793:$AC$1806)))</f>
        <v>0</v>
      </c>
      <c r="AH1806">
        <f>IF(COUNT($E$2:$E1806)&lt;15,"",IF(SUM($AC$1793:$AC$1806)=0,0,100*SUM($AF$1793:$AF$1806)/SUM($AC$1793:$AC$1806)))</f>
        <v>0</v>
      </c>
      <c r="AI1806">
        <f>IF(OR(AG1806="",AH1806=""),"",IF((AG1806+AH1806)=0,0,100*ABS(AG1806-AH1806)/(AG1806+AH1806)))</f>
        <v>0</v>
      </c>
      <c r="AJ1806">
        <f>IF(COUNT($AI$1793:$AI$1806)&lt;14,"",AVERAGE($AI$1793:$AI$1806))</f>
        <v>0</v>
      </c>
      <c r="AK1806">
        <f>IF(COUNT($E$2:$E1806)&lt;20,"",AVERAGE($E$1787:$E$1806))</f>
        <v>0</v>
      </c>
      <c r="AL1806">
        <f>IF(COUNT($E$2:$E1806)&lt;20,"",STDEVP($E$1787:$E$1806))</f>
        <v>0</v>
      </c>
      <c r="AM1806">
        <f>IF(AK1806="","",AK1806+2*AL1806)</f>
        <v>0</v>
      </c>
      <c r="AN1806">
        <f>IF(AK1806="","",AK1806-2*AL1806)</f>
        <v>0</v>
      </c>
      <c r="AO1806">
        <f>IF(OR(AM1806="",AN1806="",AM1806=AN1806),"",($E1806-AN1806)/(AM1806-AN1806))</f>
        <v>0</v>
      </c>
      <c r="AP1806">
        <f>IF(OR(AM1806="",AK1806="",AK1806=0),"",(AM1806-AN1806)/AK1806)</f>
        <v>0</v>
      </c>
      <c r="AQ1806">
        <f>IF(COUNT($E$2:$E1806)&lt;20,"",MAX($C$1787:$C$1806))</f>
        <v>0</v>
      </c>
      <c r="AR1806">
        <f>IF(COUNT($E$2:$E1806)&lt;20,"",MIN($D$1787:$D$1806))</f>
        <v>0</v>
      </c>
      <c r="AS1806">
        <f>IF(OR(AQ1806="",AR1806=""),"",(AQ1806+AR1806)/2)</f>
        <v>0</v>
      </c>
      <c r="AT1806">
        <f>IF(COUNT($G$1787:$G$1806)&lt;20,"",STDEV($G$1787:$G$1806)*SQRT(252))</f>
        <v>0</v>
      </c>
      <c r="AU1806">
        <f>IF(COUNT($E$2:$E1806)&lt;9,"",(MAX($C$1798:$C$1806)+MIN($D$1798:$D$1806))/2)</f>
        <v>0</v>
      </c>
      <c r="AV1806">
        <f>IF(COUNT($E$2:$E1806)&lt;26,"",(MAX($C$1781:$C$1806)+MIN($D$1781:$D$1806))/2)</f>
        <v>0</v>
      </c>
      <c r="AW1806">
        <f>IF(OR(AU1806="",AV1806=""),"",(AU1806+AV1806)/2)</f>
        <v>0</v>
      </c>
      <c r="AX1806">
        <f>IF(COUNT($E$2:$E1806)&lt;52,"",(MAX($C$1755:$C$1806)+MIN($D$1755:$D$1806))/2)</f>
        <v>0</v>
      </c>
      <c r="AY1806">
        <f>IF(COUNT($E$2:$E1806)&lt;20,"",MAX($C$1707:$C$1806))</f>
        <v>0</v>
      </c>
      <c r="AZ1806">
        <f>IF(COUNT($E$2:$E1806)&lt;20,"",MIN($D$1707:$D$1806))</f>
        <v>0</v>
      </c>
      <c r="BA1806">
        <f>IF(COUNT($E$2:$E1806)&lt;20,"",SLOPE($E$1707:$E$1806,$F$1707:$F$1806))</f>
        <v>0</v>
      </c>
      <c r="BB1806">
        <f>IF(COUNT($E$2:$E1806)&lt;20,"",INTERCEPT($E$1707:$E$1806,$F$1707:$F$1806))</f>
        <v>0</v>
      </c>
      <c r="BC1806">
        <f>IF(OR(BA1806="",BB1806=""),"",BB1806+BA1806*F1806)</f>
        <v>0</v>
      </c>
      <c r="BD1806">
        <f>IF(COUNT($E$2:$E1806)&lt;20,"",STEYX($E$1707:$E$1806,$F$1707:$F$1806))</f>
        <v>0</v>
      </c>
      <c r="BE1806">
        <f>IF($E1806="","",IF(AND(COUNT($E$1807:$E$1810)&gt;=4,$C1806=MAX($C$1802:$C$1810)),$C1806,""))</f>
        <v>0</v>
      </c>
      <c r="BF1806">
        <f>IF($E1806="","",IF(AND(COUNT($E$1807:$E$1810)&gt;=4,$D1806=MIN($D$1802:$D$1810)),$D1806,""))</f>
        <v>0</v>
      </c>
      <c r="BG1806">
        <f>IF($A1806="","",$A1806-WEEKDAY($A1806,2)+1)</f>
        <v>0</v>
      </c>
      <c r="BH1806">
        <f>IF($A1806="","",IF($A1805="",1,IF(BG1806&lt;&gt;BG1805,1,0)))</f>
        <v>0</v>
      </c>
      <c r="BI1806">
        <f>IF($A1806="","",IF($A1807="",1,IF(BG1807&lt;&gt;BG1806,1,0)))</f>
        <v>0</v>
      </c>
      <c r="BJ1806">
        <f>IF($A1806="","",IF(BH1806=1,$B1806,BJ1805))</f>
        <v>0</v>
      </c>
      <c r="BK1806">
        <f>IF($A1806="","",IF(BH1806=1,$C1806,MAX($C1806,BK1805)))</f>
        <v>0</v>
      </c>
      <c r="BL1806">
        <f>IF($A1806="","",IF(BH1806=1,$D1806,MIN($D1806,BL1805)))</f>
        <v>0</v>
      </c>
      <c r="BM1806">
        <f>IF($A1806="","",IF(BI1806=1,F1806,""))</f>
        <v>0</v>
      </c>
      <c r="BN1806">
        <f>IF($A1806="","",DATE(YEAR($A1806),MONTH($A1806),1))</f>
        <v>0</v>
      </c>
      <c r="BO1806">
        <f>IF($A1806="","",IF($A1805="",1,IF(BN1806&lt;&gt;BN1805,1,0)))</f>
        <v>0</v>
      </c>
      <c r="BP1806">
        <f>IF($A1806="","",IF($A1807="",1,IF(BN1807&lt;&gt;BN1806,1,0)))</f>
        <v>0</v>
      </c>
      <c r="BQ1806">
        <f>IF($A1806="","",IF(BO1806=1,$B1806,BQ1805))</f>
        <v>0</v>
      </c>
      <c r="BR1806">
        <f>IF($A1806="","",IF(BO1806=1,$C1806,MAX($C1806,BR1805)))</f>
        <v>0</v>
      </c>
      <c r="BS1806">
        <f>IF($A1806="","",IF(BO1806=1,$D1806,MIN($D1806,BS1805)))</f>
        <v>0</v>
      </c>
      <c r="BT1806">
        <f>IF($A1806="","",IF(BP1806=1,F1806,""))</f>
        <v>0</v>
      </c>
    </row>
    <row r="1807" spans="1:72">
      <c r="A1807" s="27">
        <f>IF(Data!$A1807="","",Data!$A1807)</f>
        <v>0</v>
      </c>
      <c r="B1807">
        <f>IF(Data!$B1807="","",Data!$B1807)</f>
        <v>0</v>
      </c>
      <c r="C1807">
        <f>IF(Data!$C1807="","",Data!$C1807)</f>
        <v>0</v>
      </c>
      <c r="D1807">
        <f>IF(Data!$D1807="","",Data!$D1807)</f>
        <v>0</v>
      </c>
      <c r="E1807">
        <f>IF(Data!$E1807="","",Data!$E1807)</f>
        <v>0</v>
      </c>
      <c r="F1807">
        <f>IF($E1807="","",N(F1806)+1)</f>
        <v>0</v>
      </c>
      <c r="G1807">
        <f>IF(OR($E1807="",$E1806=""),"",LN($E1807/$E1806))</f>
        <v>0</v>
      </c>
      <c r="H1807">
        <f>IF($E1807="","",IF($E1806="",$E1807,$E1807*0.0952380952+H1806*0.9047619048))</f>
        <v>0</v>
      </c>
      <c r="I1807">
        <f>IF($E1807="","",IF($E1806="",$E1807,$E1807*0.0392156863+I1806*0.9607843137))</f>
        <v>0</v>
      </c>
      <c r="J1807">
        <f>IF($E1807="","",IF($E1806="",$E1807,$E1807*0.0198019802+J1806*0.9801980198))</f>
        <v>0</v>
      </c>
      <c r="K1807">
        <f>IF($E1807="","",IF($E1806="",$E1807,$E1807*0.0099502488+K1806*0.9900497512))</f>
        <v>0</v>
      </c>
      <c r="L1807">
        <f>IF(OR($E1807="",$E1806=""),"",MAX($E1807-$E1806,0))</f>
        <v>0</v>
      </c>
      <c r="M1807">
        <f>IF(OR($E1807="",$E1806=""),"",MAX($E1806-$E1807,0))</f>
        <v>0</v>
      </c>
      <c r="N1807">
        <f>IF(COUNT($E$2:$E1807)&lt;15,"",IF(AVERAGE($M$1794:$M$1807)=0,100,100-100/(1+AVERAGE($L$1794:$L$1807)/AVERAGE($M$1794:$M$1807))))</f>
        <v>0</v>
      </c>
      <c r="O1807">
        <f>IF($E1807="","",IF($E1806="",$E1807,$E1807*0.1538461538+O1806*0.8461538462))</f>
        <v>0</v>
      </c>
      <c r="P1807">
        <f>IF($E1807="","",IF($E1806="",$E1807,$E1807*0.0740740741+P1806*0.9259259259))</f>
        <v>0</v>
      </c>
      <c r="Q1807">
        <f>IF(OR(O1807="",P1807=""),"",O1807-P1807)</f>
        <v>0</v>
      </c>
      <c r="R1807">
        <f>IF(Q1807="","",IF(R1806="",Q1807,Q1807*0.2000000000+R1806*0.8000000000))</f>
        <v>0</v>
      </c>
      <c r="S1807">
        <f>IF(OR(Q1807="",R1807=""),"",Q1807-R1807)</f>
        <v>0</v>
      </c>
      <c r="T1807">
        <f>IF(COUNT($E$2:$E1807)&lt;14,"",MAX($C$1794:$C$1807))</f>
        <v>0</v>
      </c>
      <c r="U1807">
        <f>IF(COUNT($E$2:$E1807)&lt;14,"",MIN($D$1794:$D$1807))</f>
        <v>0</v>
      </c>
      <c r="V1807">
        <f>IF(OR(T1807="",U1807="",T1807=U1807),"",100*($E1807-U1807)/(T1807-U1807))</f>
        <v>0</v>
      </c>
      <c r="W1807">
        <f>IF(COUNT($V$1805:$V$1807)&lt;3,"",AVERAGE($V$1805:$V$1807))</f>
        <v>0</v>
      </c>
      <c r="X1807">
        <f>IF(COUNT($N$1794:$N$1807)&lt;14,"",MIN($N$1794:$N$1807))</f>
        <v>0</v>
      </c>
      <c r="Y1807">
        <f>IF(COUNT($N$1794:$N$1807)&lt;14,"",MAX($N$1794:$N$1807))</f>
        <v>0</v>
      </c>
      <c r="Z1807">
        <f>IF(OR(N1807="",X1807="",Y1807="",Y1807=X1807),"",100*(N1807-X1807)/(Y1807-X1807))</f>
        <v>0</v>
      </c>
      <c r="AA1807">
        <f>IF(COUNT($Z$1805:$Z$1807)&lt;3,"",AVERAGE($Z$1805:$Z$1807))</f>
        <v>0</v>
      </c>
      <c r="AB1807">
        <f>IF(COUNT($AA$1805:$AA$1807)&lt;3,"",AVERAGE($AA$1805:$AA$1807))</f>
        <v>0</v>
      </c>
      <c r="AC1807">
        <f>IF($E1807="","",MAX($C1807-$D1807,ABS($C1807-$E1806),ABS($D1807-$E1806)))</f>
        <v>0</v>
      </c>
      <c r="AD1807">
        <f>IF(COUNT($E$2:$E1807)&lt;15,"",AVERAGE($AC$1794:$AC$1807))</f>
        <v>0</v>
      </c>
      <c r="AE1807">
        <f>IF(OR($E1807="",$E1806=""),"",IF(AND(($C1807-$C1806)&gt;($D1806-$D1807),($C1807-$C1806)&gt;0),$C1807-$C1806,0))</f>
        <v>0</v>
      </c>
      <c r="AF1807">
        <f>IF(OR($E1807="",$E1806=""),"",IF(AND(($D1806-$D1807)&gt;($C1807-$C1806),($D1806-$D1807)&gt;0),$D1806-$D1807,0))</f>
        <v>0</v>
      </c>
      <c r="AG1807">
        <f>IF(COUNT($E$2:$E1807)&lt;15,"",IF(SUM($AC$1794:$AC$1807)=0,0,100*SUM($AE$1794:$AE$1807)/SUM($AC$1794:$AC$1807)))</f>
        <v>0</v>
      </c>
      <c r="AH1807">
        <f>IF(COUNT($E$2:$E1807)&lt;15,"",IF(SUM($AC$1794:$AC$1807)=0,0,100*SUM($AF$1794:$AF$1807)/SUM($AC$1794:$AC$1807)))</f>
        <v>0</v>
      </c>
      <c r="AI1807">
        <f>IF(OR(AG1807="",AH1807=""),"",IF((AG1807+AH1807)=0,0,100*ABS(AG1807-AH1807)/(AG1807+AH1807)))</f>
        <v>0</v>
      </c>
      <c r="AJ1807">
        <f>IF(COUNT($AI$1794:$AI$1807)&lt;14,"",AVERAGE($AI$1794:$AI$1807))</f>
        <v>0</v>
      </c>
      <c r="AK1807">
        <f>IF(COUNT($E$2:$E1807)&lt;20,"",AVERAGE($E$1788:$E$1807))</f>
        <v>0</v>
      </c>
      <c r="AL1807">
        <f>IF(COUNT($E$2:$E1807)&lt;20,"",STDEVP($E$1788:$E$1807))</f>
        <v>0</v>
      </c>
      <c r="AM1807">
        <f>IF(AK1807="","",AK1807+2*AL1807)</f>
        <v>0</v>
      </c>
      <c r="AN1807">
        <f>IF(AK1807="","",AK1807-2*AL1807)</f>
        <v>0</v>
      </c>
      <c r="AO1807">
        <f>IF(OR(AM1807="",AN1807="",AM1807=AN1807),"",($E1807-AN1807)/(AM1807-AN1807))</f>
        <v>0</v>
      </c>
      <c r="AP1807">
        <f>IF(OR(AM1807="",AK1807="",AK1807=0),"",(AM1807-AN1807)/AK1807)</f>
        <v>0</v>
      </c>
      <c r="AQ1807">
        <f>IF(COUNT($E$2:$E1807)&lt;20,"",MAX($C$1788:$C$1807))</f>
        <v>0</v>
      </c>
      <c r="AR1807">
        <f>IF(COUNT($E$2:$E1807)&lt;20,"",MIN($D$1788:$D$1807))</f>
        <v>0</v>
      </c>
      <c r="AS1807">
        <f>IF(OR(AQ1807="",AR1807=""),"",(AQ1807+AR1807)/2)</f>
        <v>0</v>
      </c>
      <c r="AT1807">
        <f>IF(COUNT($G$1788:$G$1807)&lt;20,"",STDEV($G$1788:$G$1807)*SQRT(252))</f>
        <v>0</v>
      </c>
      <c r="AU1807">
        <f>IF(COUNT($E$2:$E1807)&lt;9,"",(MAX($C$1799:$C$1807)+MIN($D$1799:$D$1807))/2)</f>
        <v>0</v>
      </c>
      <c r="AV1807">
        <f>IF(COUNT($E$2:$E1807)&lt;26,"",(MAX($C$1782:$C$1807)+MIN($D$1782:$D$1807))/2)</f>
        <v>0</v>
      </c>
      <c r="AW1807">
        <f>IF(OR(AU1807="",AV1807=""),"",(AU1807+AV1807)/2)</f>
        <v>0</v>
      </c>
      <c r="AX1807">
        <f>IF(COUNT($E$2:$E1807)&lt;52,"",(MAX($C$1756:$C$1807)+MIN($D$1756:$D$1807))/2)</f>
        <v>0</v>
      </c>
      <c r="AY1807">
        <f>IF(COUNT($E$2:$E1807)&lt;20,"",MAX($C$1708:$C$1807))</f>
        <v>0</v>
      </c>
      <c r="AZ1807">
        <f>IF(COUNT($E$2:$E1807)&lt;20,"",MIN($D$1708:$D$1807))</f>
        <v>0</v>
      </c>
      <c r="BA1807">
        <f>IF(COUNT($E$2:$E1807)&lt;20,"",SLOPE($E$1708:$E$1807,$F$1708:$F$1807))</f>
        <v>0</v>
      </c>
      <c r="BB1807">
        <f>IF(COUNT($E$2:$E1807)&lt;20,"",INTERCEPT($E$1708:$E$1807,$F$1708:$F$1807))</f>
        <v>0</v>
      </c>
      <c r="BC1807">
        <f>IF(OR(BA1807="",BB1807=""),"",BB1807+BA1807*F1807)</f>
        <v>0</v>
      </c>
      <c r="BD1807">
        <f>IF(COUNT($E$2:$E1807)&lt;20,"",STEYX($E$1708:$E$1807,$F$1708:$F$1807))</f>
        <v>0</v>
      </c>
      <c r="BE1807">
        <f>IF($E1807="","",IF(AND(COUNT($E$1808:$E$1811)&gt;=4,$C1807=MAX($C$1803:$C$1811)),$C1807,""))</f>
        <v>0</v>
      </c>
      <c r="BF1807">
        <f>IF($E1807="","",IF(AND(COUNT($E$1808:$E$1811)&gt;=4,$D1807=MIN($D$1803:$D$1811)),$D1807,""))</f>
        <v>0</v>
      </c>
      <c r="BG1807">
        <f>IF($A1807="","",$A1807-WEEKDAY($A1807,2)+1)</f>
        <v>0</v>
      </c>
      <c r="BH1807">
        <f>IF($A1807="","",IF($A1806="",1,IF(BG1807&lt;&gt;BG1806,1,0)))</f>
        <v>0</v>
      </c>
      <c r="BI1807">
        <f>IF($A1807="","",IF($A1808="",1,IF(BG1808&lt;&gt;BG1807,1,0)))</f>
        <v>0</v>
      </c>
      <c r="BJ1807">
        <f>IF($A1807="","",IF(BH1807=1,$B1807,BJ1806))</f>
        <v>0</v>
      </c>
      <c r="BK1807">
        <f>IF($A1807="","",IF(BH1807=1,$C1807,MAX($C1807,BK1806)))</f>
        <v>0</v>
      </c>
      <c r="BL1807">
        <f>IF($A1807="","",IF(BH1807=1,$D1807,MIN($D1807,BL1806)))</f>
        <v>0</v>
      </c>
      <c r="BM1807">
        <f>IF($A1807="","",IF(BI1807=1,F1807,""))</f>
        <v>0</v>
      </c>
      <c r="BN1807">
        <f>IF($A1807="","",DATE(YEAR($A1807),MONTH($A1807),1))</f>
        <v>0</v>
      </c>
      <c r="BO1807">
        <f>IF($A1807="","",IF($A1806="",1,IF(BN1807&lt;&gt;BN1806,1,0)))</f>
        <v>0</v>
      </c>
      <c r="BP1807">
        <f>IF($A1807="","",IF($A1808="",1,IF(BN1808&lt;&gt;BN1807,1,0)))</f>
        <v>0</v>
      </c>
      <c r="BQ1807">
        <f>IF($A1807="","",IF(BO1807=1,$B1807,BQ1806))</f>
        <v>0</v>
      </c>
      <c r="BR1807">
        <f>IF($A1807="","",IF(BO1807=1,$C1807,MAX($C1807,BR1806)))</f>
        <v>0</v>
      </c>
      <c r="BS1807">
        <f>IF($A1807="","",IF(BO1807=1,$D1807,MIN($D1807,BS1806)))</f>
        <v>0</v>
      </c>
      <c r="BT1807">
        <f>IF($A1807="","",IF(BP1807=1,F1807,""))</f>
        <v>0</v>
      </c>
    </row>
    <row r="1808" spans="1:72">
      <c r="A1808" s="27">
        <f>IF(Data!$A1808="","",Data!$A1808)</f>
        <v>0</v>
      </c>
      <c r="B1808">
        <f>IF(Data!$B1808="","",Data!$B1808)</f>
        <v>0</v>
      </c>
      <c r="C1808">
        <f>IF(Data!$C1808="","",Data!$C1808)</f>
        <v>0</v>
      </c>
      <c r="D1808">
        <f>IF(Data!$D1808="","",Data!$D1808)</f>
        <v>0</v>
      </c>
      <c r="E1808">
        <f>IF(Data!$E1808="","",Data!$E1808)</f>
        <v>0</v>
      </c>
      <c r="F1808">
        <f>IF($E1808="","",N(F1807)+1)</f>
        <v>0</v>
      </c>
      <c r="G1808">
        <f>IF(OR($E1808="",$E1807=""),"",LN($E1808/$E1807))</f>
        <v>0</v>
      </c>
      <c r="H1808">
        <f>IF($E1808="","",IF($E1807="",$E1808,$E1808*0.0952380952+H1807*0.9047619048))</f>
        <v>0</v>
      </c>
      <c r="I1808">
        <f>IF($E1808="","",IF($E1807="",$E1808,$E1808*0.0392156863+I1807*0.9607843137))</f>
        <v>0</v>
      </c>
      <c r="J1808">
        <f>IF($E1808="","",IF($E1807="",$E1808,$E1808*0.0198019802+J1807*0.9801980198))</f>
        <v>0</v>
      </c>
      <c r="K1808">
        <f>IF($E1808="","",IF($E1807="",$E1808,$E1808*0.0099502488+K1807*0.9900497512))</f>
        <v>0</v>
      </c>
      <c r="L1808">
        <f>IF(OR($E1808="",$E1807=""),"",MAX($E1808-$E1807,0))</f>
        <v>0</v>
      </c>
      <c r="M1808">
        <f>IF(OR($E1808="",$E1807=""),"",MAX($E1807-$E1808,0))</f>
        <v>0</v>
      </c>
      <c r="N1808">
        <f>IF(COUNT($E$2:$E1808)&lt;15,"",IF(AVERAGE($M$1795:$M$1808)=0,100,100-100/(1+AVERAGE($L$1795:$L$1808)/AVERAGE($M$1795:$M$1808))))</f>
        <v>0</v>
      </c>
      <c r="O1808">
        <f>IF($E1808="","",IF($E1807="",$E1808,$E1808*0.1538461538+O1807*0.8461538462))</f>
        <v>0</v>
      </c>
      <c r="P1808">
        <f>IF($E1808="","",IF($E1807="",$E1808,$E1808*0.0740740741+P1807*0.9259259259))</f>
        <v>0</v>
      </c>
      <c r="Q1808">
        <f>IF(OR(O1808="",P1808=""),"",O1808-P1808)</f>
        <v>0</v>
      </c>
      <c r="R1808">
        <f>IF(Q1808="","",IF(R1807="",Q1808,Q1808*0.2000000000+R1807*0.8000000000))</f>
        <v>0</v>
      </c>
      <c r="S1808">
        <f>IF(OR(Q1808="",R1808=""),"",Q1808-R1808)</f>
        <v>0</v>
      </c>
      <c r="T1808">
        <f>IF(COUNT($E$2:$E1808)&lt;14,"",MAX($C$1795:$C$1808))</f>
        <v>0</v>
      </c>
      <c r="U1808">
        <f>IF(COUNT($E$2:$E1808)&lt;14,"",MIN($D$1795:$D$1808))</f>
        <v>0</v>
      </c>
      <c r="V1808">
        <f>IF(OR(T1808="",U1808="",T1808=U1808),"",100*($E1808-U1808)/(T1808-U1808))</f>
        <v>0</v>
      </c>
      <c r="W1808">
        <f>IF(COUNT($V$1806:$V$1808)&lt;3,"",AVERAGE($V$1806:$V$1808))</f>
        <v>0</v>
      </c>
      <c r="X1808">
        <f>IF(COUNT($N$1795:$N$1808)&lt;14,"",MIN($N$1795:$N$1808))</f>
        <v>0</v>
      </c>
      <c r="Y1808">
        <f>IF(COUNT($N$1795:$N$1808)&lt;14,"",MAX($N$1795:$N$1808))</f>
        <v>0</v>
      </c>
      <c r="Z1808">
        <f>IF(OR(N1808="",X1808="",Y1808="",Y1808=X1808),"",100*(N1808-X1808)/(Y1808-X1808))</f>
        <v>0</v>
      </c>
      <c r="AA1808">
        <f>IF(COUNT($Z$1806:$Z$1808)&lt;3,"",AVERAGE($Z$1806:$Z$1808))</f>
        <v>0</v>
      </c>
      <c r="AB1808">
        <f>IF(COUNT($AA$1806:$AA$1808)&lt;3,"",AVERAGE($AA$1806:$AA$1808))</f>
        <v>0</v>
      </c>
      <c r="AC1808">
        <f>IF($E1808="","",MAX($C1808-$D1808,ABS($C1808-$E1807),ABS($D1808-$E1807)))</f>
        <v>0</v>
      </c>
      <c r="AD1808">
        <f>IF(COUNT($E$2:$E1808)&lt;15,"",AVERAGE($AC$1795:$AC$1808))</f>
        <v>0</v>
      </c>
      <c r="AE1808">
        <f>IF(OR($E1808="",$E1807=""),"",IF(AND(($C1808-$C1807)&gt;($D1807-$D1808),($C1808-$C1807)&gt;0),$C1808-$C1807,0))</f>
        <v>0</v>
      </c>
      <c r="AF1808">
        <f>IF(OR($E1808="",$E1807=""),"",IF(AND(($D1807-$D1808)&gt;($C1808-$C1807),($D1807-$D1808)&gt;0),$D1807-$D1808,0))</f>
        <v>0</v>
      </c>
      <c r="AG1808">
        <f>IF(COUNT($E$2:$E1808)&lt;15,"",IF(SUM($AC$1795:$AC$1808)=0,0,100*SUM($AE$1795:$AE$1808)/SUM($AC$1795:$AC$1808)))</f>
        <v>0</v>
      </c>
      <c r="AH1808">
        <f>IF(COUNT($E$2:$E1808)&lt;15,"",IF(SUM($AC$1795:$AC$1808)=0,0,100*SUM($AF$1795:$AF$1808)/SUM($AC$1795:$AC$1808)))</f>
        <v>0</v>
      </c>
      <c r="AI1808">
        <f>IF(OR(AG1808="",AH1808=""),"",IF((AG1808+AH1808)=0,0,100*ABS(AG1808-AH1808)/(AG1808+AH1808)))</f>
        <v>0</v>
      </c>
      <c r="AJ1808">
        <f>IF(COUNT($AI$1795:$AI$1808)&lt;14,"",AVERAGE($AI$1795:$AI$1808))</f>
        <v>0</v>
      </c>
      <c r="AK1808">
        <f>IF(COUNT($E$2:$E1808)&lt;20,"",AVERAGE($E$1789:$E$1808))</f>
        <v>0</v>
      </c>
      <c r="AL1808">
        <f>IF(COUNT($E$2:$E1808)&lt;20,"",STDEVP($E$1789:$E$1808))</f>
        <v>0</v>
      </c>
      <c r="AM1808">
        <f>IF(AK1808="","",AK1808+2*AL1808)</f>
        <v>0</v>
      </c>
      <c r="AN1808">
        <f>IF(AK1808="","",AK1808-2*AL1808)</f>
        <v>0</v>
      </c>
      <c r="AO1808">
        <f>IF(OR(AM1808="",AN1808="",AM1808=AN1808),"",($E1808-AN1808)/(AM1808-AN1808))</f>
        <v>0</v>
      </c>
      <c r="AP1808">
        <f>IF(OR(AM1808="",AK1808="",AK1808=0),"",(AM1808-AN1808)/AK1808)</f>
        <v>0</v>
      </c>
      <c r="AQ1808">
        <f>IF(COUNT($E$2:$E1808)&lt;20,"",MAX($C$1789:$C$1808))</f>
        <v>0</v>
      </c>
      <c r="AR1808">
        <f>IF(COUNT($E$2:$E1808)&lt;20,"",MIN($D$1789:$D$1808))</f>
        <v>0</v>
      </c>
      <c r="AS1808">
        <f>IF(OR(AQ1808="",AR1808=""),"",(AQ1808+AR1808)/2)</f>
        <v>0</v>
      </c>
      <c r="AT1808">
        <f>IF(COUNT($G$1789:$G$1808)&lt;20,"",STDEV($G$1789:$G$1808)*SQRT(252))</f>
        <v>0</v>
      </c>
      <c r="AU1808">
        <f>IF(COUNT($E$2:$E1808)&lt;9,"",(MAX($C$1800:$C$1808)+MIN($D$1800:$D$1808))/2)</f>
        <v>0</v>
      </c>
      <c r="AV1808">
        <f>IF(COUNT($E$2:$E1808)&lt;26,"",(MAX($C$1783:$C$1808)+MIN($D$1783:$D$1808))/2)</f>
        <v>0</v>
      </c>
      <c r="AW1808">
        <f>IF(OR(AU1808="",AV1808=""),"",(AU1808+AV1808)/2)</f>
        <v>0</v>
      </c>
      <c r="AX1808">
        <f>IF(COUNT($E$2:$E1808)&lt;52,"",(MAX($C$1757:$C$1808)+MIN($D$1757:$D$1808))/2)</f>
        <v>0</v>
      </c>
      <c r="AY1808">
        <f>IF(COUNT($E$2:$E1808)&lt;20,"",MAX($C$1709:$C$1808))</f>
        <v>0</v>
      </c>
      <c r="AZ1808">
        <f>IF(COUNT($E$2:$E1808)&lt;20,"",MIN($D$1709:$D$1808))</f>
        <v>0</v>
      </c>
      <c r="BA1808">
        <f>IF(COUNT($E$2:$E1808)&lt;20,"",SLOPE($E$1709:$E$1808,$F$1709:$F$1808))</f>
        <v>0</v>
      </c>
      <c r="BB1808">
        <f>IF(COUNT($E$2:$E1808)&lt;20,"",INTERCEPT($E$1709:$E$1808,$F$1709:$F$1808))</f>
        <v>0</v>
      </c>
      <c r="BC1808">
        <f>IF(OR(BA1808="",BB1808=""),"",BB1808+BA1808*F1808)</f>
        <v>0</v>
      </c>
      <c r="BD1808">
        <f>IF(COUNT($E$2:$E1808)&lt;20,"",STEYX($E$1709:$E$1808,$F$1709:$F$1808))</f>
        <v>0</v>
      </c>
      <c r="BE1808">
        <f>IF($E1808="","",IF(AND(COUNT($E$1809:$E$1812)&gt;=4,$C1808=MAX($C$1804:$C$1812)),$C1808,""))</f>
        <v>0</v>
      </c>
      <c r="BF1808">
        <f>IF($E1808="","",IF(AND(COUNT($E$1809:$E$1812)&gt;=4,$D1808=MIN($D$1804:$D$1812)),$D1808,""))</f>
        <v>0</v>
      </c>
      <c r="BG1808">
        <f>IF($A1808="","",$A1808-WEEKDAY($A1808,2)+1)</f>
        <v>0</v>
      </c>
      <c r="BH1808">
        <f>IF($A1808="","",IF($A1807="",1,IF(BG1808&lt;&gt;BG1807,1,0)))</f>
        <v>0</v>
      </c>
      <c r="BI1808">
        <f>IF($A1808="","",IF($A1809="",1,IF(BG1809&lt;&gt;BG1808,1,0)))</f>
        <v>0</v>
      </c>
      <c r="BJ1808">
        <f>IF($A1808="","",IF(BH1808=1,$B1808,BJ1807))</f>
        <v>0</v>
      </c>
      <c r="BK1808">
        <f>IF($A1808="","",IF(BH1808=1,$C1808,MAX($C1808,BK1807)))</f>
        <v>0</v>
      </c>
      <c r="BL1808">
        <f>IF($A1808="","",IF(BH1808=1,$D1808,MIN($D1808,BL1807)))</f>
        <v>0</v>
      </c>
      <c r="BM1808">
        <f>IF($A1808="","",IF(BI1808=1,F1808,""))</f>
        <v>0</v>
      </c>
      <c r="BN1808">
        <f>IF($A1808="","",DATE(YEAR($A1808),MONTH($A1808),1))</f>
        <v>0</v>
      </c>
      <c r="BO1808">
        <f>IF($A1808="","",IF($A1807="",1,IF(BN1808&lt;&gt;BN1807,1,0)))</f>
        <v>0</v>
      </c>
      <c r="BP1808">
        <f>IF($A1808="","",IF($A1809="",1,IF(BN1809&lt;&gt;BN1808,1,0)))</f>
        <v>0</v>
      </c>
      <c r="BQ1808">
        <f>IF($A1808="","",IF(BO1808=1,$B1808,BQ1807))</f>
        <v>0</v>
      </c>
      <c r="BR1808">
        <f>IF($A1808="","",IF(BO1808=1,$C1808,MAX($C1808,BR1807)))</f>
        <v>0</v>
      </c>
      <c r="BS1808">
        <f>IF($A1808="","",IF(BO1808=1,$D1808,MIN($D1808,BS1807)))</f>
        <v>0</v>
      </c>
      <c r="BT1808">
        <f>IF($A1808="","",IF(BP1808=1,F1808,""))</f>
        <v>0</v>
      </c>
    </row>
    <row r="1809" spans="1:72">
      <c r="A1809" s="27">
        <f>IF(Data!$A1809="","",Data!$A1809)</f>
        <v>0</v>
      </c>
      <c r="B1809">
        <f>IF(Data!$B1809="","",Data!$B1809)</f>
        <v>0</v>
      </c>
      <c r="C1809">
        <f>IF(Data!$C1809="","",Data!$C1809)</f>
        <v>0</v>
      </c>
      <c r="D1809">
        <f>IF(Data!$D1809="","",Data!$D1809)</f>
        <v>0</v>
      </c>
      <c r="E1809">
        <f>IF(Data!$E1809="","",Data!$E1809)</f>
        <v>0</v>
      </c>
      <c r="F1809">
        <f>IF($E1809="","",N(F1808)+1)</f>
        <v>0</v>
      </c>
      <c r="G1809">
        <f>IF(OR($E1809="",$E1808=""),"",LN($E1809/$E1808))</f>
        <v>0</v>
      </c>
      <c r="H1809">
        <f>IF($E1809="","",IF($E1808="",$E1809,$E1809*0.0952380952+H1808*0.9047619048))</f>
        <v>0</v>
      </c>
      <c r="I1809">
        <f>IF($E1809="","",IF($E1808="",$E1809,$E1809*0.0392156863+I1808*0.9607843137))</f>
        <v>0</v>
      </c>
      <c r="J1809">
        <f>IF($E1809="","",IF($E1808="",$E1809,$E1809*0.0198019802+J1808*0.9801980198))</f>
        <v>0</v>
      </c>
      <c r="K1809">
        <f>IF($E1809="","",IF($E1808="",$E1809,$E1809*0.0099502488+K1808*0.9900497512))</f>
        <v>0</v>
      </c>
      <c r="L1809">
        <f>IF(OR($E1809="",$E1808=""),"",MAX($E1809-$E1808,0))</f>
        <v>0</v>
      </c>
      <c r="M1809">
        <f>IF(OR($E1809="",$E1808=""),"",MAX($E1808-$E1809,0))</f>
        <v>0</v>
      </c>
      <c r="N1809">
        <f>IF(COUNT($E$2:$E1809)&lt;15,"",IF(AVERAGE($M$1796:$M$1809)=0,100,100-100/(1+AVERAGE($L$1796:$L$1809)/AVERAGE($M$1796:$M$1809))))</f>
        <v>0</v>
      </c>
      <c r="O1809">
        <f>IF($E1809="","",IF($E1808="",$E1809,$E1809*0.1538461538+O1808*0.8461538462))</f>
        <v>0</v>
      </c>
      <c r="P1809">
        <f>IF($E1809="","",IF($E1808="",$E1809,$E1809*0.0740740741+P1808*0.9259259259))</f>
        <v>0</v>
      </c>
      <c r="Q1809">
        <f>IF(OR(O1809="",P1809=""),"",O1809-P1809)</f>
        <v>0</v>
      </c>
      <c r="R1809">
        <f>IF(Q1809="","",IF(R1808="",Q1809,Q1809*0.2000000000+R1808*0.8000000000))</f>
        <v>0</v>
      </c>
      <c r="S1809">
        <f>IF(OR(Q1809="",R1809=""),"",Q1809-R1809)</f>
        <v>0</v>
      </c>
      <c r="T1809">
        <f>IF(COUNT($E$2:$E1809)&lt;14,"",MAX($C$1796:$C$1809))</f>
        <v>0</v>
      </c>
      <c r="U1809">
        <f>IF(COUNT($E$2:$E1809)&lt;14,"",MIN($D$1796:$D$1809))</f>
        <v>0</v>
      </c>
      <c r="V1809">
        <f>IF(OR(T1809="",U1809="",T1809=U1809),"",100*($E1809-U1809)/(T1809-U1809))</f>
        <v>0</v>
      </c>
      <c r="W1809">
        <f>IF(COUNT($V$1807:$V$1809)&lt;3,"",AVERAGE($V$1807:$V$1809))</f>
        <v>0</v>
      </c>
      <c r="X1809">
        <f>IF(COUNT($N$1796:$N$1809)&lt;14,"",MIN($N$1796:$N$1809))</f>
        <v>0</v>
      </c>
      <c r="Y1809">
        <f>IF(COUNT($N$1796:$N$1809)&lt;14,"",MAX($N$1796:$N$1809))</f>
        <v>0</v>
      </c>
      <c r="Z1809">
        <f>IF(OR(N1809="",X1809="",Y1809="",Y1809=X1809),"",100*(N1809-X1809)/(Y1809-X1809))</f>
        <v>0</v>
      </c>
      <c r="AA1809">
        <f>IF(COUNT($Z$1807:$Z$1809)&lt;3,"",AVERAGE($Z$1807:$Z$1809))</f>
        <v>0</v>
      </c>
      <c r="AB1809">
        <f>IF(COUNT($AA$1807:$AA$1809)&lt;3,"",AVERAGE($AA$1807:$AA$1809))</f>
        <v>0</v>
      </c>
      <c r="AC1809">
        <f>IF($E1809="","",MAX($C1809-$D1809,ABS($C1809-$E1808),ABS($D1809-$E1808)))</f>
        <v>0</v>
      </c>
      <c r="AD1809">
        <f>IF(COUNT($E$2:$E1809)&lt;15,"",AVERAGE($AC$1796:$AC$1809))</f>
        <v>0</v>
      </c>
      <c r="AE1809">
        <f>IF(OR($E1809="",$E1808=""),"",IF(AND(($C1809-$C1808)&gt;($D1808-$D1809),($C1809-$C1808)&gt;0),$C1809-$C1808,0))</f>
        <v>0</v>
      </c>
      <c r="AF1809">
        <f>IF(OR($E1809="",$E1808=""),"",IF(AND(($D1808-$D1809)&gt;($C1809-$C1808),($D1808-$D1809)&gt;0),$D1808-$D1809,0))</f>
        <v>0</v>
      </c>
      <c r="AG1809">
        <f>IF(COUNT($E$2:$E1809)&lt;15,"",IF(SUM($AC$1796:$AC$1809)=0,0,100*SUM($AE$1796:$AE$1809)/SUM($AC$1796:$AC$1809)))</f>
        <v>0</v>
      </c>
      <c r="AH1809">
        <f>IF(COUNT($E$2:$E1809)&lt;15,"",IF(SUM($AC$1796:$AC$1809)=0,0,100*SUM($AF$1796:$AF$1809)/SUM($AC$1796:$AC$1809)))</f>
        <v>0</v>
      </c>
      <c r="AI1809">
        <f>IF(OR(AG1809="",AH1809=""),"",IF((AG1809+AH1809)=0,0,100*ABS(AG1809-AH1809)/(AG1809+AH1809)))</f>
        <v>0</v>
      </c>
      <c r="AJ1809">
        <f>IF(COUNT($AI$1796:$AI$1809)&lt;14,"",AVERAGE($AI$1796:$AI$1809))</f>
        <v>0</v>
      </c>
      <c r="AK1809">
        <f>IF(COUNT($E$2:$E1809)&lt;20,"",AVERAGE($E$1790:$E$1809))</f>
        <v>0</v>
      </c>
      <c r="AL1809">
        <f>IF(COUNT($E$2:$E1809)&lt;20,"",STDEVP($E$1790:$E$1809))</f>
        <v>0</v>
      </c>
      <c r="AM1809">
        <f>IF(AK1809="","",AK1809+2*AL1809)</f>
        <v>0</v>
      </c>
      <c r="AN1809">
        <f>IF(AK1809="","",AK1809-2*AL1809)</f>
        <v>0</v>
      </c>
      <c r="AO1809">
        <f>IF(OR(AM1809="",AN1809="",AM1809=AN1809),"",($E1809-AN1809)/(AM1809-AN1809))</f>
        <v>0</v>
      </c>
      <c r="AP1809">
        <f>IF(OR(AM1809="",AK1809="",AK1809=0),"",(AM1809-AN1809)/AK1809)</f>
        <v>0</v>
      </c>
      <c r="AQ1809">
        <f>IF(COUNT($E$2:$E1809)&lt;20,"",MAX($C$1790:$C$1809))</f>
        <v>0</v>
      </c>
      <c r="AR1809">
        <f>IF(COUNT($E$2:$E1809)&lt;20,"",MIN($D$1790:$D$1809))</f>
        <v>0</v>
      </c>
      <c r="AS1809">
        <f>IF(OR(AQ1809="",AR1809=""),"",(AQ1809+AR1809)/2)</f>
        <v>0</v>
      </c>
      <c r="AT1809">
        <f>IF(COUNT($G$1790:$G$1809)&lt;20,"",STDEV($G$1790:$G$1809)*SQRT(252))</f>
        <v>0</v>
      </c>
      <c r="AU1809">
        <f>IF(COUNT($E$2:$E1809)&lt;9,"",(MAX($C$1801:$C$1809)+MIN($D$1801:$D$1809))/2)</f>
        <v>0</v>
      </c>
      <c r="AV1809">
        <f>IF(COUNT($E$2:$E1809)&lt;26,"",(MAX($C$1784:$C$1809)+MIN($D$1784:$D$1809))/2)</f>
        <v>0</v>
      </c>
      <c r="AW1809">
        <f>IF(OR(AU1809="",AV1809=""),"",(AU1809+AV1809)/2)</f>
        <v>0</v>
      </c>
      <c r="AX1809">
        <f>IF(COUNT($E$2:$E1809)&lt;52,"",(MAX($C$1758:$C$1809)+MIN($D$1758:$D$1809))/2)</f>
        <v>0</v>
      </c>
      <c r="AY1809">
        <f>IF(COUNT($E$2:$E1809)&lt;20,"",MAX($C$1710:$C$1809))</f>
        <v>0</v>
      </c>
      <c r="AZ1809">
        <f>IF(COUNT($E$2:$E1809)&lt;20,"",MIN($D$1710:$D$1809))</f>
        <v>0</v>
      </c>
      <c r="BA1809">
        <f>IF(COUNT($E$2:$E1809)&lt;20,"",SLOPE($E$1710:$E$1809,$F$1710:$F$1809))</f>
        <v>0</v>
      </c>
      <c r="BB1809">
        <f>IF(COUNT($E$2:$E1809)&lt;20,"",INTERCEPT($E$1710:$E$1809,$F$1710:$F$1809))</f>
        <v>0</v>
      </c>
      <c r="BC1809">
        <f>IF(OR(BA1809="",BB1809=""),"",BB1809+BA1809*F1809)</f>
        <v>0</v>
      </c>
      <c r="BD1809">
        <f>IF(COUNT($E$2:$E1809)&lt;20,"",STEYX($E$1710:$E$1809,$F$1710:$F$1809))</f>
        <v>0</v>
      </c>
      <c r="BE1809">
        <f>IF($E1809="","",IF(AND(COUNT($E$1810:$E$1813)&gt;=4,$C1809=MAX($C$1805:$C$1813)),$C1809,""))</f>
        <v>0</v>
      </c>
      <c r="BF1809">
        <f>IF($E1809="","",IF(AND(COUNT($E$1810:$E$1813)&gt;=4,$D1809=MIN($D$1805:$D$1813)),$D1809,""))</f>
        <v>0</v>
      </c>
      <c r="BG1809">
        <f>IF($A1809="","",$A1809-WEEKDAY($A1809,2)+1)</f>
        <v>0</v>
      </c>
      <c r="BH1809">
        <f>IF($A1809="","",IF($A1808="",1,IF(BG1809&lt;&gt;BG1808,1,0)))</f>
        <v>0</v>
      </c>
      <c r="BI1809">
        <f>IF($A1809="","",IF($A1810="",1,IF(BG1810&lt;&gt;BG1809,1,0)))</f>
        <v>0</v>
      </c>
      <c r="BJ1809">
        <f>IF($A1809="","",IF(BH1809=1,$B1809,BJ1808))</f>
        <v>0</v>
      </c>
      <c r="BK1809">
        <f>IF($A1809="","",IF(BH1809=1,$C1809,MAX($C1809,BK1808)))</f>
        <v>0</v>
      </c>
      <c r="BL1809">
        <f>IF($A1809="","",IF(BH1809=1,$D1809,MIN($D1809,BL1808)))</f>
        <v>0</v>
      </c>
      <c r="BM1809">
        <f>IF($A1809="","",IF(BI1809=1,F1809,""))</f>
        <v>0</v>
      </c>
      <c r="BN1809">
        <f>IF($A1809="","",DATE(YEAR($A1809),MONTH($A1809),1))</f>
        <v>0</v>
      </c>
      <c r="BO1809">
        <f>IF($A1809="","",IF($A1808="",1,IF(BN1809&lt;&gt;BN1808,1,0)))</f>
        <v>0</v>
      </c>
      <c r="BP1809">
        <f>IF($A1809="","",IF($A1810="",1,IF(BN1810&lt;&gt;BN1809,1,0)))</f>
        <v>0</v>
      </c>
      <c r="BQ1809">
        <f>IF($A1809="","",IF(BO1809=1,$B1809,BQ1808))</f>
        <v>0</v>
      </c>
      <c r="BR1809">
        <f>IF($A1809="","",IF(BO1809=1,$C1809,MAX($C1809,BR1808)))</f>
        <v>0</v>
      </c>
      <c r="BS1809">
        <f>IF($A1809="","",IF(BO1809=1,$D1809,MIN($D1809,BS1808)))</f>
        <v>0</v>
      </c>
      <c r="BT1809">
        <f>IF($A1809="","",IF(BP1809=1,F1809,""))</f>
        <v>0</v>
      </c>
    </row>
    <row r="1810" spans="1:72">
      <c r="A1810" s="27">
        <f>IF(Data!$A1810="","",Data!$A1810)</f>
        <v>0</v>
      </c>
      <c r="B1810">
        <f>IF(Data!$B1810="","",Data!$B1810)</f>
        <v>0</v>
      </c>
      <c r="C1810">
        <f>IF(Data!$C1810="","",Data!$C1810)</f>
        <v>0</v>
      </c>
      <c r="D1810">
        <f>IF(Data!$D1810="","",Data!$D1810)</f>
        <v>0</v>
      </c>
      <c r="E1810">
        <f>IF(Data!$E1810="","",Data!$E1810)</f>
        <v>0</v>
      </c>
      <c r="F1810">
        <f>IF($E1810="","",N(F1809)+1)</f>
        <v>0</v>
      </c>
      <c r="G1810">
        <f>IF(OR($E1810="",$E1809=""),"",LN($E1810/$E1809))</f>
        <v>0</v>
      </c>
      <c r="H1810">
        <f>IF($E1810="","",IF($E1809="",$E1810,$E1810*0.0952380952+H1809*0.9047619048))</f>
        <v>0</v>
      </c>
      <c r="I1810">
        <f>IF($E1810="","",IF($E1809="",$E1810,$E1810*0.0392156863+I1809*0.9607843137))</f>
        <v>0</v>
      </c>
      <c r="J1810">
        <f>IF($E1810="","",IF($E1809="",$E1810,$E1810*0.0198019802+J1809*0.9801980198))</f>
        <v>0</v>
      </c>
      <c r="K1810">
        <f>IF($E1810="","",IF($E1809="",$E1810,$E1810*0.0099502488+K1809*0.9900497512))</f>
        <v>0</v>
      </c>
      <c r="L1810">
        <f>IF(OR($E1810="",$E1809=""),"",MAX($E1810-$E1809,0))</f>
        <v>0</v>
      </c>
      <c r="M1810">
        <f>IF(OR($E1810="",$E1809=""),"",MAX($E1809-$E1810,0))</f>
        <v>0</v>
      </c>
      <c r="N1810">
        <f>IF(COUNT($E$2:$E1810)&lt;15,"",IF(AVERAGE($M$1797:$M$1810)=0,100,100-100/(1+AVERAGE($L$1797:$L$1810)/AVERAGE($M$1797:$M$1810))))</f>
        <v>0</v>
      </c>
      <c r="O1810">
        <f>IF($E1810="","",IF($E1809="",$E1810,$E1810*0.1538461538+O1809*0.8461538462))</f>
        <v>0</v>
      </c>
      <c r="P1810">
        <f>IF($E1810="","",IF($E1809="",$E1810,$E1810*0.0740740741+P1809*0.9259259259))</f>
        <v>0</v>
      </c>
      <c r="Q1810">
        <f>IF(OR(O1810="",P1810=""),"",O1810-P1810)</f>
        <v>0</v>
      </c>
      <c r="R1810">
        <f>IF(Q1810="","",IF(R1809="",Q1810,Q1810*0.2000000000+R1809*0.8000000000))</f>
        <v>0</v>
      </c>
      <c r="S1810">
        <f>IF(OR(Q1810="",R1810=""),"",Q1810-R1810)</f>
        <v>0</v>
      </c>
      <c r="T1810">
        <f>IF(COUNT($E$2:$E1810)&lt;14,"",MAX($C$1797:$C$1810))</f>
        <v>0</v>
      </c>
      <c r="U1810">
        <f>IF(COUNT($E$2:$E1810)&lt;14,"",MIN($D$1797:$D$1810))</f>
        <v>0</v>
      </c>
      <c r="V1810">
        <f>IF(OR(T1810="",U1810="",T1810=U1810),"",100*($E1810-U1810)/(T1810-U1810))</f>
        <v>0</v>
      </c>
      <c r="W1810">
        <f>IF(COUNT($V$1808:$V$1810)&lt;3,"",AVERAGE($V$1808:$V$1810))</f>
        <v>0</v>
      </c>
      <c r="X1810">
        <f>IF(COUNT($N$1797:$N$1810)&lt;14,"",MIN($N$1797:$N$1810))</f>
        <v>0</v>
      </c>
      <c r="Y1810">
        <f>IF(COUNT($N$1797:$N$1810)&lt;14,"",MAX($N$1797:$N$1810))</f>
        <v>0</v>
      </c>
      <c r="Z1810">
        <f>IF(OR(N1810="",X1810="",Y1810="",Y1810=X1810),"",100*(N1810-X1810)/(Y1810-X1810))</f>
        <v>0</v>
      </c>
      <c r="AA1810">
        <f>IF(COUNT($Z$1808:$Z$1810)&lt;3,"",AVERAGE($Z$1808:$Z$1810))</f>
        <v>0</v>
      </c>
      <c r="AB1810">
        <f>IF(COUNT($AA$1808:$AA$1810)&lt;3,"",AVERAGE($AA$1808:$AA$1810))</f>
        <v>0</v>
      </c>
      <c r="AC1810">
        <f>IF($E1810="","",MAX($C1810-$D1810,ABS($C1810-$E1809),ABS($D1810-$E1809)))</f>
        <v>0</v>
      </c>
      <c r="AD1810">
        <f>IF(COUNT($E$2:$E1810)&lt;15,"",AVERAGE($AC$1797:$AC$1810))</f>
        <v>0</v>
      </c>
      <c r="AE1810">
        <f>IF(OR($E1810="",$E1809=""),"",IF(AND(($C1810-$C1809)&gt;($D1809-$D1810),($C1810-$C1809)&gt;0),$C1810-$C1809,0))</f>
        <v>0</v>
      </c>
      <c r="AF1810">
        <f>IF(OR($E1810="",$E1809=""),"",IF(AND(($D1809-$D1810)&gt;($C1810-$C1809),($D1809-$D1810)&gt;0),$D1809-$D1810,0))</f>
        <v>0</v>
      </c>
      <c r="AG1810">
        <f>IF(COUNT($E$2:$E1810)&lt;15,"",IF(SUM($AC$1797:$AC$1810)=0,0,100*SUM($AE$1797:$AE$1810)/SUM($AC$1797:$AC$1810)))</f>
        <v>0</v>
      </c>
      <c r="AH1810">
        <f>IF(COUNT($E$2:$E1810)&lt;15,"",IF(SUM($AC$1797:$AC$1810)=0,0,100*SUM($AF$1797:$AF$1810)/SUM($AC$1797:$AC$1810)))</f>
        <v>0</v>
      </c>
      <c r="AI1810">
        <f>IF(OR(AG1810="",AH1810=""),"",IF((AG1810+AH1810)=0,0,100*ABS(AG1810-AH1810)/(AG1810+AH1810)))</f>
        <v>0</v>
      </c>
      <c r="AJ1810">
        <f>IF(COUNT($AI$1797:$AI$1810)&lt;14,"",AVERAGE($AI$1797:$AI$1810))</f>
        <v>0</v>
      </c>
      <c r="AK1810">
        <f>IF(COUNT($E$2:$E1810)&lt;20,"",AVERAGE($E$1791:$E$1810))</f>
        <v>0</v>
      </c>
      <c r="AL1810">
        <f>IF(COUNT($E$2:$E1810)&lt;20,"",STDEVP($E$1791:$E$1810))</f>
        <v>0</v>
      </c>
      <c r="AM1810">
        <f>IF(AK1810="","",AK1810+2*AL1810)</f>
        <v>0</v>
      </c>
      <c r="AN1810">
        <f>IF(AK1810="","",AK1810-2*AL1810)</f>
        <v>0</v>
      </c>
      <c r="AO1810">
        <f>IF(OR(AM1810="",AN1810="",AM1810=AN1810),"",($E1810-AN1810)/(AM1810-AN1810))</f>
        <v>0</v>
      </c>
      <c r="AP1810">
        <f>IF(OR(AM1810="",AK1810="",AK1810=0),"",(AM1810-AN1810)/AK1810)</f>
        <v>0</v>
      </c>
      <c r="AQ1810">
        <f>IF(COUNT($E$2:$E1810)&lt;20,"",MAX($C$1791:$C$1810))</f>
        <v>0</v>
      </c>
      <c r="AR1810">
        <f>IF(COUNT($E$2:$E1810)&lt;20,"",MIN($D$1791:$D$1810))</f>
        <v>0</v>
      </c>
      <c r="AS1810">
        <f>IF(OR(AQ1810="",AR1810=""),"",(AQ1810+AR1810)/2)</f>
        <v>0</v>
      </c>
      <c r="AT1810">
        <f>IF(COUNT($G$1791:$G$1810)&lt;20,"",STDEV($G$1791:$G$1810)*SQRT(252))</f>
        <v>0</v>
      </c>
      <c r="AU1810">
        <f>IF(COUNT($E$2:$E1810)&lt;9,"",(MAX($C$1802:$C$1810)+MIN($D$1802:$D$1810))/2)</f>
        <v>0</v>
      </c>
      <c r="AV1810">
        <f>IF(COUNT($E$2:$E1810)&lt;26,"",(MAX($C$1785:$C$1810)+MIN($D$1785:$D$1810))/2)</f>
        <v>0</v>
      </c>
      <c r="AW1810">
        <f>IF(OR(AU1810="",AV1810=""),"",(AU1810+AV1810)/2)</f>
        <v>0</v>
      </c>
      <c r="AX1810">
        <f>IF(COUNT($E$2:$E1810)&lt;52,"",(MAX($C$1759:$C$1810)+MIN($D$1759:$D$1810))/2)</f>
        <v>0</v>
      </c>
      <c r="AY1810">
        <f>IF(COUNT($E$2:$E1810)&lt;20,"",MAX($C$1711:$C$1810))</f>
        <v>0</v>
      </c>
      <c r="AZ1810">
        <f>IF(COUNT($E$2:$E1810)&lt;20,"",MIN($D$1711:$D$1810))</f>
        <v>0</v>
      </c>
      <c r="BA1810">
        <f>IF(COUNT($E$2:$E1810)&lt;20,"",SLOPE($E$1711:$E$1810,$F$1711:$F$1810))</f>
        <v>0</v>
      </c>
      <c r="BB1810">
        <f>IF(COUNT($E$2:$E1810)&lt;20,"",INTERCEPT($E$1711:$E$1810,$F$1711:$F$1810))</f>
        <v>0</v>
      </c>
      <c r="BC1810">
        <f>IF(OR(BA1810="",BB1810=""),"",BB1810+BA1810*F1810)</f>
        <v>0</v>
      </c>
      <c r="BD1810">
        <f>IF(COUNT($E$2:$E1810)&lt;20,"",STEYX($E$1711:$E$1810,$F$1711:$F$1810))</f>
        <v>0</v>
      </c>
      <c r="BE1810">
        <f>IF($E1810="","",IF(AND(COUNT($E$1811:$E$1814)&gt;=4,$C1810=MAX($C$1806:$C$1814)),$C1810,""))</f>
        <v>0</v>
      </c>
      <c r="BF1810">
        <f>IF($E1810="","",IF(AND(COUNT($E$1811:$E$1814)&gt;=4,$D1810=MIN($D$1806:$D$1814)),$D1810,""))</f>
        <v>0</v>
      </c>
      <c r="BG1810">
        <f>IF($A1810="","",$A1810-WEEKDAY($A1810,2)+1)</f>
        <v>0</v>
      </c>
      <c r="BH1810">
        <f>IF($A1810="","",IF($A1809="",1,IF(BG1810&lt;&gt;BG1809,1,0)))</f>
        <v>0</v>
      </c>
      <c r="BI1810">
        <f>IF($A1810="","",IF($A1811="",1,IF(BG1811&lt;&gt;BG1810,1,0)))</f>
        <v>0</v>
      </c>
      <c r="BJ1810">
        <f>IF($A1810="","",IF(BH1810=1,$B1810,BJ1809))</f>
        <v>0</v>
      </c>
      <c r="BK1810">
        <f>IF($A1810="","",IF(BH1810=1,$C1810,MAX($C1810,BK1809)))</f>
        <v>0</v>
      </c>
      <c r="BL1810">
        <f>IF($A1810="","",IF(BH1810=1,$D1810,MIN($D1810,BL1809)))</f>
        <v>0</v>
      </c>
      <c r="BM1810">
        <f>IF($A1810="","",IF(BI1810=1,F1810,""))</f>
        <v>0</v>
      </c>
      <c r="BN1810">
        <f>IF($A1810="","",DATE(YEAR($A1810),MONTH($A1810),1))</f>
        <v>0</v>
      </c>
      <c r="BO1810">
        <f>IF($A1810="","",IF($A1809="",1,IF(BN1810&lt;&gt;BN1809,1,0)))</f>
        <v>0</v>
      </c>
      <c r="BP1810">
        <f>IF($A1810="","",IF($A1811="",1,IF(BN1811&lt;&gt;BN1810,1,0)))</f>
        <v>0</v>
      </c>
      <c r="BQ1810">
        <f>IF($A1810="","",IF(BO1810=1,$B1810,BQ1809))</f>
        <v>0</v>
      </c>
      <c r="BR1810">
        <f>IF($A1810="","",IF(BO1810=1,$C1810,MAX($C1810,BR1809)))</f>
        <v>0</v>
      </c>
      <c r="BS1810">
        <f>IF($A1810="","",IF(BO1810=1,$D1810,MIN($D1810,BS1809)))</f>
        <v>0</v>
      </c>
      <c r="BT1810">
        <f>IF($A1810="","",IF(BP1810=1,F1810,""))</f>
        <v>0</v>
      </c>
    </row>
    <row r="1811" spans="1:72">
      <c r="A1811" s="27">
        <f>IF(Data!$A1811="","",Data!$A1811)</f>
        <v>0</v>
      </c>
      <c r="B1811">
        <f>IF(Data!$B1811="","",Data!$B1811)</f>
        <v>0</v>
      </c>
      <c r="C1811">
        <f>IF(Data!$C1811="","",Data!$C1811)</f>
        <v>0</v>
      </c>
      <c r="D1811">
        <f>IF(Data!$D1811="","",Data!$D1811)</f>
        <v>0</v>
      </c>
      <c r="E1811">
        <f>IF(Data!$E1811="","",Data!$E1811)</f>
        <v>0</v>
      </c>
      <c r="F1811">
        <f>IF($E1811="","",N(F1810)+1)</f>
        <v>0</v>
      </c>
      <c r="G1811">
        <f>IF(OR($E1811="",$E1810=""),"",LN($E1811/$E1810))</f>
        <v>0</v>
      </c>
      <c r="H1811">
        <f>IF($E1811="","",IF($E1810="",$E1811,$E1811*0.0952380952+H1810*0.9047619048))</f>
        <v>0</v>
      </c>
      <c r="I1811">
        <f>IF($E1811="","",IF($E1810="",$E1811,$E1811*0.0392156863+I1810*0.9607843137))</f>
        <v>0</v>
      </c>
      <c r="J1811">
        <f>IF($E1811="","",IF($E1810="",$E1811,$E1811*0.0198019802+J1810*0.9801980198))</f>
        <v>0</v>
      </c>
      <c r="K1811">
        <f>IF($E1811="","",IF($E1810="",$E1811,$E1811*0.0099502488+K1810*0.9900497512))</f>
        <v>0</v>
      </c>
      <c r="L1811">
        <f>IF(OR($E1811="",$E1810=""),"",MAX($E1811-$E1810,0))</f>
        <v>0</v>
      </c>
      <c r="M1811">
        <f>IF(OR($E1811="",$E1810=""),"",MAX($E1810-$E1811,0))</f>
        <v>0</v>
      </c>
      <c r="N1811">
        <f>IF(COUNT($E$2:$E1811)&lt;15,"",IF(AVERAGE($M$1798:$M$1811)=0,100,100-100/(1+AVERAGE($L$1798:$L$1811)/AVERAGE($M$1798:$M$1811))))</f>
        <v>0</v>
      </c>
      <c r="O1811">
        <f>IF($E1811="","",IF($E1810="",$E1811,$E1811*0.1538461538+O1810*0.8461538462))</f>
        <v>0</v>
      </c>
      <c r="P1811">
        <f>IF($E1811="","",IF($E1810="",$E1811,$E1811*0.0740740741+P1810*0.9259259259))</f>
        <v>0</v>
      </c>
      <c r="Q1811">
        <f>IF(OR(O1811="",P1811=""),"",O1811-P1811)</f>
        <v>0</v>
      </c>
      <c r="R1811">
        <f>IF(Q1811="","",IF(R1810="",Q1811,Q1811*0.2000000000+R1810*0.8000000000))</f>
        <v>0</v>
      </c>
      <c r="S1811">
        <f>IF(OR(Q1811="",R1811=""),"",Q1811-R1811)</f>
        <v>0</v>
      </c>
      <c r="T1811">
        <f>IF(COUNT($E$2:$E1811)&lt;14,"",MAX($C$1798:$C$1811))</f>
        <v>0</v>
      </c>
      <c r="U1811">
        <f>IF(COUNT($E$2:$E1811)&lt;14,"",MIN($D$1798:$D$1811))</f>
        <v>0</v>
      </c>
      <c r="V1811">
        <f>IF(OR(T1811="",U1811="",T1811=U1811),"",100*($E1811-U1811)/(T1811-U1811))</f>
        <v>0</v>
      </c>
      <c r="W1811">
        <f>IF(COUNT($V$1809:$V$1811)&lt;3,"",AVERAGE($V$1809:$V$1811))</f>
        <v>0</v>
      </c>
      <c r="X1811">
        <f>IF(COUNT($N$1798:$N$1811)&lt;14,"",MIN($N$1798:$N$1811))</f>
        <v>0</v>
      </c>
      <c r="Y1811">
        <f>IF(COUNT($N$1798:$N$1811)&lt;14,"",MAX($N$1798:$N$1811))</f>
        <v>0</v>
      </c>
      <c r="Z1811">
        <f>IF(OR(N1811="",X1811="",Y1811="",Y1811=X1811),"",100*(N1811-X1811)/(Y1811-X1811))</f>
        <v>0</v>
      </c>
      <c r="AA1811">
        <f>IF(COUNT($Z$1809:$Z$1811)&lt;3,"",AVERAGE($Z$1809:$Z$1811))</f>
        <v>0</v>
      </c>
      <c r="AB1811">
        <f>IF(COUNT($AA$1809:$AA$1811)&lt;3,"",AVERAGE($AA$1809:$AA$1811))</f>
        <v>0</v>
      </c>
      <c r="AC1811">
        <f>IF($E1811="","",MAX($C1811-$D1811,ABS($C1811-$E1810),ABS($D1811-$E1810)))</f>
        <v>0</v>
      </c>
      <c r="AD1811">
        <f>IF(COUNT($E$2:$E1811)&lt;15,"",AVERAGE($AC$1798:$AC$1811))</f>
        <v>0</v>
      </c>
      <c r="AE1811">
        <f>IF(OR($E1811="",$E1810=""),"",IF(AND(($C1811-$C1810)&gt;($D1810-$D1811),($C1811-$C1810)&gt;0),$C1811-$C1810,0))</f>
        <v>0</v>
      </c>
      <c r="AF1811">
        <f>IF(OR($E1811="",$E1810=""),"",IF(AND(($D1810-$D1811)&gt;($C1811-$C1810),($D1810-$D1811)&gt;0),$D1810-$D1811,0))</f>
        <v>0</v>
      </c>
      <c r="AG1811">
        <f>IF(COUNT($E$2:$E1811)&lt;15,"",IF(SUM($AC$1798:$AC$1811)=0,0,100*SUM($AE$1798:$AE$1811)/SUM($AC$1798:$AC$1811)))</f>
        <v>0</v>
      </c>
      <c r="AH1811">
        <f>IF(COUNT($E$2:$E1811)&lt;15,"",IF(SUM($AC$1798:$AC$1811)=0,0,100*SUM($AF$1798:$AF$1811)/SUM($AC$1798:$AC$1811)))</f>
        <v>0</v>
      </c>
      <c r="AI1811">
        <f>IF(OR(AG1811="",AH1811=""),"",IF((AG1811+AH1811)=0,0,100*ABS(AG1811-AH1811)/(AG1811+AH1811)))</f>
        <v>0</v>
      </c>
      <c r="AJ1811">
        <f>IF(COUNT($AI$1798:$AI$1811)&lt;14,"",AVERAGE($AI$1798:$AI$1811))</f>
        <v>0</v>
      </c>
      <c r="AK1811">
        <f>IF(COUNT($E$2:$E1811)&lt;20,"",AVERAGE($E$1792:$E$1811))</f>
        <v>0</v>
      </c>
      <c r="AL1811">
        <f>IF(COUNT($E$2:$E1811)&lt;20,"",STDEVP($E$1792:$E$1811))</f>
        <v>0</v>
      </c>
      <c r="AM1811">
        <f>IF(AK1811="","",AK1811+2*AL1811)</f>
        <v>0</v>
      </c>
      <c r="AN1811">
        <f>IF(AK1811="","",AK1811-2*AL1811)</f>
        <v>0</v>
      </c>
      <c r="AO1811">
        <f>IF(OR(AM1811="",AN1811="",AM1811=AN1811),"",($E1811-AN1811)/(AM1811-AN1811))</f>
        <v>0</v>
      </c>
      <c r="AP1811">
        <f>IF(OR(AM1811="",AK1811="",AK1811=0),"",(AM1811-AN1811)/AK1811)</f>
        <v>0</v>
      </c>
      <c r="AQ1811">
        <f>IF(COUNT($E$2:$E1811)&lt;20,"",MAX($C$1792:$C$1811))</f>
        <v>0</v>
      </c>
      <c r="AR1811">
        <f>IF(COUNT($E$2:$E1811)&lt;20,"",MIN($D$1792:$D$1811))</f>
        <v>0</v>
      </c>
      <c r="AS1811">
        <f>IF(OR(AQ1811="",AR1811=""),"",(AQ1811+AR1811)/2)</f>
        <v>0</v>
      </c>
      <c r="AT1811">
        <f>IF(COUNT($G$1792:$G$1811)&lt;20,"",STDEV($G$1792:$G$1811)*SQRT(252))</f>
        <v>0</v>
      </c>
      <c r="AU1811">
        <f>IF(COUNT($E$2:$E1811)&lt;9,"",(MAX($C$1803:$C$1811)+MIN($D$1803:$D$1811))/2)</f>
        <v>0</v>
      </c>
      <c r="AV1811">
        <f>IF(COUNT($E$2:$E1811)&lt;26,"",(MAX($C$1786:$C$1811)+MIN($D$1786:$D$1811))/2)</f>
        <v>0</v>
      </c>
      <c r="AW1811">
        <f>IF(OR(AU1811="",AV1811=""),"",(AU1811+AV1811)/2)</f>
        <v>0</v>
      </c>
      <c r="AX1811">
        <f>IF(COUNT($E$2:$E1811)&lt;52,"",(MAX($C$1760:$C$1811)+MIN($D$1760:$D$1811))/2)</f>
        <v>0</v>
      </c>
      <c r="AY1811">
        <f>IF(COUNT($E$2:$E1811)&lt;20,"",MAX($C$1712:$C$1811))</f>
        <v>0</v>
      </c>
      <c r="AZ1811">
        <f>IF(COUNT($E$2:$E1811)&lt;20,"",MIN($D$1712:$D$1811))</f>
        <v>0</v>
      </c>
      <c r="BA1811">
        <f>IF(COUNT($E$2:$E1811)&lt;20,"",SLOPE($E$1712:$E$1811,$F$1712:$F$1811))</f>
        <v>0</v>
      </c>
      <c r="BB1811">
        <f>IF(COUNT($E$2:$E1811)&lt;20,"",INTERCEPT($E$1712:$E$1811,$F$1712:$F$1811))</f>
        <v>0</v>
      </c>
      <c r="BC1811">
        <f>IF(OR(BA1811="",BB1811=""),"",BB1811+BA1811*F1811)</f>
        <v>0</v>
      </c>
      <c r="BD1811">
        <f>IF(COUNT($E$2:$E1811)&lt;20,"",STEYX($E$1712:$E$1811,$F$1712:$F$1811))</f>
        <v>0</v>
      </c>
      <c r="BE1811">
        <f>IF($E1811="","",IF(AND(COUNT($E$1812:$E$1815)&gt;=4,$C1811=MAX($C$1807:$C$1815)),$C1811,""))</f>
        <v>0</v>
      </c>
      <c r="BF1811">
        <f>IF($E1811="","",IF(AND(COUNT($E$1812:$E$1815)&gt;=4,$D1811=MIN($D$1807:$D$1815)),$D1811,""))</f>
        <v>0</v>
      </c>
      <c r="BG1811">
        <f>IF($A1811="","",$A1811-WEEKDAY($A1811,2)+1)</f>
        <v>0</v>
      </c>
      <c r="BH1811">
        <f>IF($A1811="","",IF($A1810="",1,IF(BG1811&lt;&gt;BG1810,1,0)))</f>
        <v>0</v>
      </c>
      <c r="BI1811">
        <f>IF($A1811="","",IF($A1812="",1,IF(BG1812&lt;&gt;BG1811,1,0)))</f>
        <v>0</v>
      </c>
      <c r="BJ1811">
        <f>IF($A1811="","",IF(BH1811=1,$B1811,BJ1810))</f>
        <v>0</v>
      </c>
      <c r="BK1811">
        <f>IF($A1811="","",IF(BH1811=1,$C1811,MAX($C1811,BK1810)))</f>
        <v>0</v>
      </c>
      <c r="BL1811">
        <f>IF($A1811="","",IF(BH1811=1,$D1811,MIN($D1811,BL1810)))</f>
        <v>0</v>
      </c>
      <c r="BM1811">
        <f>IF($A1811="","",IF(BI1811=1,F1811,""))</f>
        <v>0</v>
      </c>
      <c r="BN1811">
        <f>IF($A1811="","",DATE(YEAR($A1811),MONTH($A1811),1))</f>
        <v>0</v>
      </c>
      <c r="BO1811">
        <f>IF($A1811="","",IF($A1810="",1,IF(BN1811&lt;&gt;BN1810,1,0)))</f>
        <v>0</v>
      </c>
      <c r="BP1811">
        <f>IF($A1811="","",IF($A1812="",1,IF(BN1812&lt;&gt;BN1811,1,0)))</f>
        <v>0</v>
      </c>
      <c r="BQ1811">
        <f>IF($A1811="","",IF(BO1811=1,$B1811,BQ1810))</f>
        <v>0</v>
      </c>
      <c r="BR1811">
        <f>IF($A1811="","",IF(BO1811=1,$C1811,MAX($C1811,BR1810)))</f>
        <v>0</v>
      </c>
      <c r="BS1811">
        <f>IF($A1811="","",IF(BO1811=1,$D1811,MIN($D1811,BS1810)))</f>
        <v>0</v>
      </c>
      <c r="BT1811">
        <f>IF($A1811="","",IF(BP1811=1,F1811,""))</f>
        <v>0</v>
      </c>
    </row>
    <row r="1812" spans="1:72">
      <c r="A1812" s="27">
        <f>IF(Data!$A1812="","",Data!$A1812)</f>
        <v>0</v>
      </c>
      <c r="B1812">
        <f>IF(Data!$B1812="","",Data!$B1812)</f>
        <v>0</v>
      </c>
      <c r="C1812">
        <f>IF(Data!$C1812="","",Data!$C1812)</f>
        <v>0</v>
      </c>
      <c r="D1812">
        <f>IF(Data!$D1812="","",Data!$D1812)</f>
        <v>0</v>
      </c>
      <c r="E1812">
        <f>IF(Data!$E1812="","",Data!$E1812)</f>
        <v>0</v>
      </c>
      <c r="F1812">
        <f>IF($E1812="","",N(F1811)+1)</f>
        <v>0</v>
      </c>
      <c r="G1812">
        <f>IF(OR($E1812="",$E1811=""),"",LN($E1812/$E1811))</f>
        <v>0</v>
      </c>
      <c r="H1812">
        <f>IF($E1812="","",IF($E1811="",$E1812,$E1812*0.0952380952+H1811*0.9047619048))</f>
        <v>0</v>
      </c>
      <c r="I1812">
        <f>IF($E1812="","",IF($E1811="",$E1812,$E1812*0.0392156863+I1811*0.9607843137))</f>
        <v>0</v>
      </c>
      <c r="J1812">
        <f>IF($E1812="","",IF($E1811="",$E1812,$E1812*0.0198019802+J1811*0.9801980198))</f>
        <v>0</v>
      </c>
      <c r="K1812">
        <f>IF($E1812="","",IF($E1811="",$E1812,$E1812*0.0099502488+K1811*0.9900497512))</f>
        <v>0</v>
      </c>
      <c r="L1812">
        <f>IF(OR($E1812="",$E1811=""),"",MAX($E1812-$E1811,0))</f>
        <v>0</v>
      </c>
      <c r="M1812">
        <f>IF(OR($E1812="",$E1811=""),"",MAX($E1811-$E1812,0))</f>
        <v>0</v>
      </c>
      <c r="N1812">
        <f>IF(COUNT($E$2:$E1812)&lt;15,"",IF(AVERAGE($M$1799:$M$1812)=0,100,100-100/(1+AVERAGE($L$1799:$L$1812)/AVERAGE($M$1799:$M$1812))))</f>
        <v>0</v>
      </c>
      <c r="O1812">
        <f>IF($E1812="","",IF($E1811="",$E1812,$E1812*0.1538461538+O1811*0.8461538462))</f>
        <v>0</v>
      </c>
      <c r="P1812">
        <f>IF($E1812="","",IF($E1811="",$E1812,$E1812*0.0740740741+P1811*0.9259259259))</f>
        <v>0</v>
      </c>
      <c r="Q1812">
        <f>IF(OR(O1812="",P1812=""),"",O1812-P1812)</f>
        <v>0</v>
      </c>
      <c r="R1812">
        <f>IF(Q1812="","",IF(R1811="",Q1812,Q1812*0.2000000000+R1811*0.8000000000))</f>
        <v>0</v>
      </c>
      <c r="S1812">
        <f>IF(OR(Q1812="",R1812=""),"",Q1812-R1812)</f>
        <v>0</v>
      </c>
      <c r="T1812">
        <f>IF(COUNT($E$2:$E1812)&lt;14,"",MAX($C$1799:$C$1812))</f>
        <v>0</v>
      </c>
      <c r="U1812">
        <f>IF(COUNT($E$2:$E1812)&lt;14,"",MIN($D$1799:$D$1812))</f>
        <v>0</v>
      </c>
      <c r="V1812">
        <f>IF(OR(T1812="",U1812="",T1812=U1812),"",100*($E1812-U1812)/(T1812-U1812))</f>
        <v>0</v>
      </c>
      <c r="W1812">
        <f>IF(COUNT($V$1810:$V$1812)&lt;3,"",AVERAGE($V$1810:$V$1812))</f>
        <v>0</v>
      </c>
      <c r="X1812">
        <f>IF(COUNT($N$1799:$N$1812)&lt;14,"",MIN($N$1799:$N$1812))</f>
        <v>0</v>
      </c>
      <c r="Y1812">
        <f>IF(COUNT($N$1799:$N$1812)&lt;14,"",MAX($N$1799:$N$1812))</f>
        <v>0</v>
      </c>
      <c r="Z1812">
        <f>IF(OR(N1812="",X1812="",Y1812="",Y1812=X1812),"",100*(N1812-X1812)/(Y1812-X1812))</f>
        <v>0</v>
      </c>
      <c r="AA1812">
        <f>IF(COUNT($Z$1810:$Z$1812)&lt;3,"",AVERAGE($Z$1810:$Z$1812))</f>
        <v>0</v>
      </c>
      <c r="AB1812">
        <f>IF(COUNT($AA$1810:$AA$1812)&lt;3,"",AVERAGE($AA$1810:$AA$1812))</f>
        <v>0</v>
      </c>
      <c r="AC1812">
        <f>IF($E1812="","",MAX($C1812-$D1812,ABS($C1812-$E1811),ABS($D1812-$E1811)))</f>
        <v>0</v>
      </c>
      <c r="AD1812">
        <f>IF(COUNT($E$2:$E1812)&lt;15,"",AVERAGE($AC$1799:$AC$1812))</f>
        <v>0</v>
      </c>
      <c r="AE1812">
        <f>IF(OR($E1812="",$E1811=""),"",IF(AND(($C1812-$C1811)&gt;($D1811-$D1812),($C1812-$C1811)&gt;0),$C1812-$C1811,0))</f>
        <v>0</v>
      </c>
      <c r="AF1812">
        <f>IF(OR($E1812="",$E1811=""),"",IF(AND(($D1811-$D1812)&gt;($C1812-$C1811),($D1811-$D1812)&gt;0),$D1811-$D1812,0))</f>
        <v>0</v>
      </c>
      <c r="AG1812">
        <f>IF(COUNT($E$2:$E1812)&lt;15,"",IF(SUM($AC$1799:$AC$1812)=0,0,100*SUM($AE$1799:$AE$1812)/SUM($AC$1799:$AC$1812)))</f>
        <v>0</v>
      </c>
      <c r="AH1812">
        <f>IF(COUNT($E$2:$E1812)&lt;15,"",IF(SUM($AC$1799:$AC$1812)=0,0,100*SUM($AF$1799:$AF$1812)/SUM($AC$1799:$AC$1812)))</f>
        <v>0</v>
      </c>
      <c r="AI1812">
        <f>IF(OR(AG1812="",AH1812=""),"",IF((AG1812+AH1812)=0,0,100*ABS(AG1812-AH1812)/(AG1812+AH1812)))</f>
        <v>0</v>
      </c>
      <c r="AJ1812">
        <f>IF(COUNT($AI$1799:$AI$1812)&lt;14,"",AVERAGE($AI$1799:$AI$1812))</f>
        <v>0</v>
      </c>
      <c r="AK1812">
        <f>IF(COUNT($E$2:$E1812)&lt;20,"",AVERAGE($E$1793:$E$1812))</f>
        <v>0</v>
      </c>
      <c r="AL1812">
        <f>IF(COUNT($E$2:$E1812)&lt;20,"",STDEVP($E$1793:$E$1812))</f>
        <v>0</v>
      </c>
      <c r="AM1812">
        <f>IF(AK1812="","",AK1812+2*AL1812)</f>
        <v>0</v>
      </c>
      <c r="AN1812">
        <f>IF(AK1812="","",AK1812-2*AL1812)</f>
        <v>0</v>
      </c>
      <c r="AO1812">
        <f>IF(OR(AM1812="",AN1812="",AM1812=AN1812),"",($E1812-AN1812)/(AM1812-AN1812))</f>
        <v>0</v>
      </c>
      <c r="AP1812">
        <f>IF(OR(AM1812="",AK1812="",AK1812=0),"",(AM1812-AN1812)/AK1812)</f>
        <v>0</v>
      </c>
      <c r="AQ1812">
        <f>IF(COUNT($E$2:$E1812)&lt;20,"",MAX($C$1793:$C$1812))</f>
        <v>0</v>
      </c>
      <c r="AR1812">
        <f>IF(COUNT($E$2:$E1812)&lt;20,"",MIN($D$1793:$D$1812))</f>
        <v>0</v>
      </c>
      <c r="AS1812">
        <f>IF(OR(AQ1812="",AR1812=""),"",(AQ1812+AR1812)/2)</f>
        <v>0</v>
      </c>
      <c r="AT1812">
        <f>IF(COUNT($G$1793:$G$1812)&lt;20,"",STDEV($G$1793:$G$1812)*SQRT(252))</f>
        <v>0</v>
      </c>
      <c r="AU1812">
        <f>IF(COUNT($E$2:$E1812)&lt;9,"",(MAX($C$1804:$C$1812)+MIN($D$1804:$D$1812))/2)</f>
        <v>0</v>
      </c>
      <c r="AV1812">
        <f>IF(COUNT($E$2:$E1812)&lt;26,"",(MAX($C$1787:$C$1812)+MIN($D$1787:$D$1812))/2)</f>
        <v>0</v>
      </c>
      <c r="AW1812">
        <f>IF(OR(AU1812="",AV1812=""),"",(AU1812+AV1812)/2)</f>
        <v>0</v>
      </c>
      <c r="AX1812">
        <f>IF(COUNT($E$2:$E1812)&lt;52,"",(MAX($C$1761:$C$1812)+MIN($D$1761:$D$1812))/2)</f>
        <v>0</v>
      </c>
      <c r="AY1812">
        <f>IF(COUNT($E$2:$E1812)&lt;20,"",MAX($C$1713:$C$1812))</f>
        <v>0</v>
      </c>
      <c r="AZ1812">
        <f>IF(COUNT($E$2:$E1812)&lt;20,"",MIN($D$1713:$D$1812))</f>
        <v>0</v>
      </c>
      <c r="BA1812">
        <f>IF(COUNT($E$2:$E1812)&lt;20,"",SLOPE($E$1713:$E$1812,$F$1713:$F$1812))</f>
        <v>0</v>
      </c>
      <c r="BB1812">
        <f>IF(COUNT($E$2:$E1812)&lt;20,"",INTERCEPT($E$1713:$E$1812,$F$1713:$F$1812))</f>
        <v>0</v>
      </c>
      <c r="BC1812">
        <f>IF(OR(BA1812="",BB1812=""),"",BB1812+BA1812*F1812)</f>
        <v>0</v>
      </c>
      <c r="BD1812">
        <f>IF(COUNT($E$2:$E1812)&lt;20,"",STEYX($E$1713:$E$1812,$F$1713:$F$1812))</f>
        <v>0</v>
      </c>
      <c r="BE1812">
        <f>IF($E1812="","",IF(AND(COUNT($E$1813:$E$1816)&gt;=4,$C1812=MAX($C$1808:$C$1816)),$C1812,""))</f>
        <v>0</v>
      </c>
      <c r="BF1812">
        <f>IF($E1812="","",IF(AND(COUNT($E$1813:$E$1816)&gt;=4,$D1812=MIN($D$1808:$D$1816)),$D1812,""))</f>
        <v>0</v>
      </c>
      <c r="BG1812">
        <f>IF($A1812="","",$A1812-WEEKDAY($A1812,2)+1)</f>
        <v>0</v>
      </c>
      <c r="BH1812">
        <f>IF($A1812="","",IF($A1811="",1,IF(BG1812&lt;&gt;BG1811,1,0)))</f>
        <v>0</v>
      </c>
      <c r="BI1812">
        <f>IF($A1812="","",IF($A1813="",1,IF(BG1813&lt;&gt;BG1812,1,0)))</f>
        <v>0</v>
      </c>
      <c r="BJ1812">
        <f>IF($A1812="","",IF(BH1812=1,$B1812,BJ1811))</f>
        <v>0</v>
      </c>
      <c r="BK1812">
        <f>IF($A1812="","",IF(BH1812=1,$C1812,MAX($C1812,BK1811)))</f>
        <v>0</v>
      </c>
      <c r="BL1812">
        <f>IF($A1812="","",IF(BH1812=1,$D1812,MIN($D1812,BL1811)))</f>
        <v>0</v>
      </c>
      <c r="BM1812">
        <f>IF($A1812="","",IF(BI1812=1,F1812,""))</f>
        <v>0</v>
      </c>
      <c r="BN1812">
        <f>IF($A1812="","",DATE(YEAR($A1812),MONTH($A1812),1))</f>
        <v>0</v>
      </c>
      <c r="BO1812">
        <f>IF($A1812="","",IF($A1811="",1,IF(BN1812&lt;&gt;BN1811,1,0)))</f>
        <v>0</v>
      </c>
      <c r="BP1812">
        <f>IF($A1812="","",IF($A1813="",1,IF(BN1813&lt;&gt;BN1812,1,0)))</f>
        <v>0</v>
      </c>
      <c r="BQ1812">
        <f>IF($A1812="","",IF(BO1812=1,$B1812,BQ1811))</f>
        <v>0</v>
      </c>
      <c r="BR1812">
        <f>IF($A1812="","",IF(BO1812=1,$C1812,MAX($C1812,BR1811)))</f>
        <v>0</v>
      </c>
      <c r="BS1812">
        <f>IF($A1812="","",IF(BO1812=1,$D1812,MIN($D1812,BS1811)))</f>
        <v>0</v>
      </c>
      <c r="BT1812">
        <f>IF($A1812="","",IF(BP1812=1,F1812,""))</f>
        <v>0</v>
      </c>
    </row>
    <row r="1813" spans="1:72">
      <c r="A1813" s="27">
        <f>IF(Data!$A1813="","",Data!$A1813)</f>
        <v>0</v>
      </c>
      <c r="B1813">
        <f>IF(Data!$B1813="","",Data!$B1813)</f>
        <v>0</v>
      </c>
      <c r="C1813">
        <f>IF(Data!$C1813="","",Data!$C1813)</f>
        <v>0</v>
      </c>
      <c r="D1813">
        <f>IF(Data!$D1813="","",Data!$D1813)</f>
        <v>0</v>
      </c>
      <c r="E1813">
        <f>IF(Data!$E1813="","",Data!$E1813)</f>
        <v>0</v>
      </c>
      <c r="F1813">
        <f>IF($E1813="","",N(F1812)+1)</f>
        <v>0</v>
      </c>
      <c r="G1813">
        <f>IF(OR($E1813="",$E1812=""),"",LN($E1813/$E1812))</f>
        <v>0</v>
      </c>
      <c r="H1813">
        <f>IF($E1813="","",IF($E1812="",$E1813,$E1813*0.0952380952+H1812*0.9047619048))</f>
        <v>0</v>
      </c>
      <c r="I1813">
        <f>IF($E1813="","",IF($E1812="",$E1813,$E1813*0.0392156863+I1812*0.9607843137))</f>
        <v>0</v>
      </c>
      <c r="J1813">
        <f>IF($E1813="","",IF($E1812="",$E1813,$E1813*0.0198019802+J1812*0.9801980198))</f>
        <v>0</v>
      </c>
      <c r="K1813">
        <f>IF($E1813="","",IF($E1812="",$E1813,$E1813*0.0099502488+K1812*0.9900497512))</f>
        <v>0</v>
      </c>
      <c r="L1813">
        <f>IF(OR($E1813="",$E1812=""),"",MAX($E1813-$E1812,0))</f>
        <v>0</v>
      </c>
      <c r="M1813">
        <f>IF(OR($E1813="",$E1812=""),"",MAX($E1812-$E1813,0))</f>
        <v>0</v>
      </c>
      <c r="N1813">
        <f>IF(COUNT($E$2:$E1813)&lt;15,"",IF(AVERAGE($M$1800:$M$1813)=0,100,100-100/(1+AVERAGE($L$1800:$L$1813)/AVERAGE($M$1800:$M$1813))))</f>
        <v>0</v>
      </c>
      <c r="O1813">
        <f>IF($E1813="","",IF($E1812="",$E1813,$E1813*0.1538461538+O1812*0.8461538462))</f>
        <v>0</v>
      </c>
      <c r="P1813">
        <f>IF($E1813="","",IF($E1812="",$E1813,$E1813*0.0740740741+P1812*0.9259259259))</f>
        <v>0</v>
      </c>
      <c r="Q1813">
        <f>IF(OR(O1813="",P1813=""),"",O1813-P1813)</f>
        <v>0</v>
      </c>
      <c r="R1813">
        <f>IF(Q1813="","",IF(R1812="",Q1813,Q1813*0.2000000000+R1812*0.8000000000))</f>
        <v>0</v>
      </c>
      <c r="S1813">
        <f>IF(OR(Q1813="",R1813=""),"",Q1813-R1813)</f>
        <v>0</v>
      </c>
      <c r="T1813">
        <f>IF(COUNT($E$2:$E1813)&lt;14,"",MAX($C$1800:$C$1813))</f>
        <v>0</v>
      </c>
      <c r="U1813">
        <f>IF(COUNT($E$2:$E1813)&lt;14,"",MIN($D$1800:$D$1813))</f>
        <v>0</v>
      </c>
      <c r="V1813">
        <f>IF(OR(T1813="",U1813="",T1813=U1813),"",100*($E1813-U1813)/(T1813-U1813))</f>
        <v>0</v>
      </c>
      <c r="W1813">
        <f>IF(COUNT($V$1811:$V$1813)&lt;3,"",AVERAGE($V$1811:$V$1813))</f>
        <v>0</v>
      </c>
      <c r="X1813">
        <f>IF(COUNT($N$1800:$N$1813)&lt;14,"",MIN($N$1800:$N$1813))</f>
        <v>0</v>
      </c>
      <c r="Y1813">
        <f>IF(COUNT($N$1800:$N$1813)&lt;14,"",MAX($N$1800:$N$1813))</f>
        <v>0</v>
      </c>
      <c r="Z1813">
        <f>IF(OR(N1813="",X1813="",Y1813="",Y1813=X1813),"",100*(N1813-X1813)/(Y1813-X1813))</f>
        <v>0</v>
      </c>
      <c r="AA1813">
        <f>IF(COUNT($Z$1811:$Z$1813)&lt;3,"",AVERAGE($Z$1811:$Z$1813))</f>
        <v>0</v>
      </c>
      <c r="AB1813">
        <f>IF(COUNT($AA$1811:$AA$1813)&lt;3,"",AVERAGE($AA$1811:$AA$1813))</f>
        <v>0</v>
      </c>
      <c r="AC1813">
        <f>IF($E1813="","",MAX($C1813-$D1813,ABS($C1813-$E1812),ABS($D1813-$E1812)))</f>
        <v>0</v>
      </c>
      <c r="AD1813">
        <f>IF(COUNT($E$2:$E1813)&lt;15,"",AVERAGE($AC$1800:$AC$1813))</f>
        <v>0</v>
      </c>
      <c r="AE1813">
        <f>IF(OR($E1813="",$E1812=""),"",IF(AND(($C1813-$C1812)&gt;($D1812-$D1813),($C1813-$C1812)&gt;0),$C1813-$C1812,0))</f>
        <v>0</v>
      </c>
      <c r="AF1813">
        <f>IF(OR($E1813="",$E1812=""),"",IF(AND(($D1812-$D1813)&gt;($C1813-$C1812),($D1812-$D1813)&gt;0),$D1812-$D1813,0))</f>
        <v>0</v>
      </c>
      <c r="AG1813">
        <f>IF(COUNT($E$2:$E1813)&lt;15,"",IF(SUM($AC$1800:$AC$1813)=0,0,100*SUM($AE$1800:$AE$1813)/SUM($AC$1800:$AC$1813)))</f>
        <v>0</v>
      </c>
      <c r="AH1813">
        <f>IF(COUNT($E$2:$E1813)&lt;15,"",IF(SUM($AC$1800:$AC$1813)=0,0,100*SUM($AF$1800:$AF$1813)/SUM($AC$1800:$AC$1813)))</f>
        <v>0</v>
      </c>
      <c r="AI1813">
        <f>IF(OR(AG1813="",AH1813=""),"",IF((AG1813+AH1813)=0,0,100*ABS(AG1813-AH1813)/(AG1813+AH1813)))</f>
        <v>0</v>
      </c>
      <c r="AJ1813">
        <f>IF(COUNT($AI$1800:$AI$1813)&lt;14,"",AVERAGE($AI$1800:$AI$1813))</f>
        <v>0</v>
      </c>
      <c r="AK1813">
        <f>IF(COUNT($E$2:$E1813)&lt;20,"",AVERAGE($E$1794:$E$1813))</f>
        <v>0</v>
      </c>
      <c r="AL1813">
        <f>IF(COUNT($E$2:$E1813)&lt;20,"",STDEVP($E$1794:$E$1813))</f>
        <v>0</v>
      </c>
      <c r="AM1813">
        <f>IF(AK1813="","",AK1813+2*AL1813)</f>
        <v>0</v>
      </c>
      <c r="AN1813">
        <f>IF(AK1813="","",AK1813-2*AL1813)</f>
        <v>0</v>
      </c>
      <c r="AO1813">
        <f>IF(OR(AM1813="",AN1813="",AM1813=AN1813),"",($E1813-AN1813)/(AM1813-AN1813))</f>
        <v>0</v>
      </c>
      <c r="AP1813">
        <f>IF(OR(AM1813="",AK1813="",AK1813=0),"",(AM1813-AN1813)/AK1813)</f>
        <v>0</v>
      </c>
      <c r="AQ1813">
        <f>IF(COUNT($E$2:$E1813)&lt;20,"",MAX($C$1794:$C$1813))</f>
        <v>0</v>
      </c>
      <c r="AR1813">
        <f>IF(COUNT($E$2:$E1813)&lt;20,"",MIN($D$1794:$D$1813))</f>
        <v>0</v>
      </c>
      <c r="AS1813">
        <f>IF(OR(AQ1813="",AR1813=""),"",(AQ1813+AR1813)/2)</f>
        <v>0</v>
      </c>
      <c r="AT1813">
        <f>IF(COUNT($G$1794:$G$1813)&lt;20,"",STDEV($G$1794:$G$1813)*SQRT(252))</f>
        <v>0</v>
      </c>
      <c r="AU1813">
        <f>IF(COUNT($E$2:$E1813)&lt;9,"",(MAX($C$1805:$C$1813)+MIN($D$1805:$D$1813))/2)</f>
        <v>0</v>
      </c>
      <c r="AV1813">
        <f>IF(COUNT($E$2:$E1813)&lt;26,"",(MAX($C$1788:$C$1813)+MIN($D$1788:$D$1813))/2)</f>
        <v>0</v>
      </c>
      <c r="AW1813">
        <f>IF(OR(AU1813="",AV1813=""),"",(AU1813+AV1813)/2)</f>
        <v>0</v>
      </c>
      <c r="AX1813">
        <f>IF(COUNT($E$2:$E1813)&lt;52,"",(MAX($C$1762:$C$1813)+MIN($D$1762:$D$1813))/2)</f>
        <v>0</v>
      </c>
      <c r="AY1813">
        <f>IF(COUNT($E$2:$E1813)&lt;20,"",MAX($C$1714:$C$1813))</f>
        <v>0</v>
      </c>
      <c r="AZ1813">
        <f>IF(COUNT($E$2:$E1813)&lt;20,"",MIN($D$1714:$D$1813))</f>
        <v>0</v>
      </c>
      <c r="BA1813">
        <f>IF(COUNT($E$2:$E1813)&lt;20,"",SLOPE($E$1714:$E$1813,$F$1714:$F$1813))</f>
        <v>0</v>
      </c>
      <c r="BB1813">
        <f>IF(COUNT($E$2:$E1813)&lt;20,"",INTERCEPT($E$1714:$E$1813,$F$1714:$F$1813))</f>
        <v>0</v>
      </c>
      <c r="BC1813">
        <f>IF(OR(BA1813="",BB1813=""),"",BB1813+BA1813*F1813)</f>
        <v>0</v>
      </c>
      <c r="BD1813">
        <f>IF(COUNT($E$2:$E1813)&lt;20,"",STEYX($E$1714:$E$1813,$F$1714:$F$1813))</f>
        <v>0</v>
      </c>
      <c r="BE1813">
        <f>IF($E1813="","",IF(AND(COUNT($E$1814:$E$1817)&gt;=4,$C1813=MAX($C$1809:$C$1817)),$C1813,""))</f>
        <v>0</v>
      </c>
      <c r="BF1813">
        <f>IF($E1813="","",IF(AND(COUNT($E$1814:$E$1817)&gt;=4,$D1813=MIN($D$1809:$D$1817)),$D1813,""))</f>
        <v>0</v>
      </c>
      <c r="BG1813">
        <f>IF($A1813="","",$A1813-WEEKDAY($A1813,2)+1)</f>
        <v>0</v>
      </c>
      <c r="BH1813">
        <f>IF($A1813="","",IF($A1812="",1,IF(BG1813&lt;&gt;BG1812,1,0)))</f>
        <v>0</v>
      </c>
      <c r="BI1813">
        <f>IF($A1813="","",IF($A1814="",1,IF(BG1814&lt;&gt;BG1813,1,0)))</f>
        <v>0</v>
      </c>
      <c r="BJ1813">
        <f>IF($A1813="","",IF(BH1813=1,$B1813,BJ1812))</f>
        <v>0</v>
      </c>
      <c r="BK1813">
        <f>IF($A1813="","",IF(BH1813=1,$C1813,MAX($C1813,BK1812)))</f>
        <v>0</v>
      </c>
      <c r="BL1813">
        <f>IF($A1813="","",IF(BH1813=1,$D1813,MIN($D1813,BL1812)))</f>
        <v>0</v>
      </c>
      <c r="BM1813">
        <f>IF($A1813="","",IF(BI1813=1,F1813,""))</f>
        <v>0</v>
      </c>
      <c r="BN1813">
        <f>IF($A1813="","",DATE(YEAR($A1813),MONTH($A1813),1))</f>
        <v>0</v>
      </c>
      <c r="BO1813">
        <f>IF($A1813="","",IF($A1812="",1,IF(BN1813&lt;&gt;BN1812,1,0)))</f>
        <v>0</v>
      </c>
      <c r="BP1813">
        <f>IF($A1813="","",IF($A1814="",1,IF(BN1814&lt;&gt;BN1813,1,0)))</f>
        <v>0</v>
      </c>
      <c r="BQ1813">
        <f>IF($A1813="","",IF(BO1813=1,$B1813,BQ1812))</f>
        <v>0</v>
      </c>
      <c r="BR1813">
        <f>IF($A1813="","",IF(BO1813=1,$C1813,MAX($C1813,BR1812)))</f>
        <v>0</v>
      </c>
      <c r="BS1813">
        <f>IF($A1813="","",IF(BO1813=1,$D1813,MIN($D1813,BS1812)))</f>
        <v>0</v>
      </c>
      <c r="BT1813">
        <f>IF($A1813="","",IF(BP1813=1,F1813,""))</f>
        <v>0</v>
      </c>
    </row>
    <row r="1814" spans="1:72">
      <c r="A1814" s="27">
        <f>IF(Data!$A1814="","",Data!$A1814)</f>
        <v>0</v>
      </c>
      <c r="B1814">
        <f>IF(Data!$B1814="","",Data!$B1814)</f>
        <v>0</v>
      </c>
      <c r="C1814">
        <f>IF(Data!$C1814="","",Data!$C1814)</f>
        <v>0</v>
      </c>
      <c r="D1814">
        <f>IF(Data!$D1814="","",Data!$D1814)</f>
        <v>0</v>
      </c>
      <c r="E1814">
        <f>IF(Data!$E1814="","",Data!$E1814)</f>
        <v>0</v>
      </c>
      <c r="F1814">
        <f>IF($E1814="","",N(F1813)+1)</f>
        <v>0</v>
      </c>
      <c r="G1814">
        <f>IF(OR($E1814="",$E1813=""),"",LN($E1814/$E1813))</f>
        <v>0</v>
      </c>
      <c r="H1814">
        <f>IF($E1814="","",IF($E1813="",$E1814,$E1814*0.0952380952+H1813*0.9047619048))</f>
        <v>0</v>
      </c>
      <c r="I1814">
        <f>IF($E1814="","",IF($E1813="",$E1814,$E1814*0.0392156863+I1813*0.9607843137))</f>
        <v>0</v>
      </c>
      <c r="J1814">
        <f>IF($E1814="","",IF($E1813="",$E1814,$E1814*0.0198019802+J1813*0.9801980198))</f>
        <v>0</v>
      </c>
      <c r="K1814">
        <f>IF($E1814="","",IF($E1813="",$E1814,$E1814*0.0099502488+K1813*0.9900497512))</f>
        <v>0</v>
      </c>
      <c r="L1814">
        <f>IF(OR($E1814="",$E1813=""),"",MAX($E1814-$E1813,0))</f>
        <v>0</v>
      </c>
      <c r="M1814">
        <f>IF(OR($E1814="",$E1813=""),"",MAX($E1813-$E1814,0))</f>
        <v>0</v>
      </c>
      <c r="N1814">
        <f>IF(COUNT($E$2:$E1814)&lt;15,"",IF(AVERAGE($M$1801:$M$1814)=0,100,100-100/(1+AVERAGE($L$1801:$L$1814)/AVERAGE($M$1801:$M$1814))))</f>
        <v>0</v>
      </c>
      <c r="O1814">
        <f>IF($E1814="","",IF($E1813="",$E1814,$E1814*0.1538461538+O1813*0.8461538462))</f>
        <v>0</v>
      </c>
      <c r="P1814">
        <f>IF($E1814="","",IF($E1813="",$E1814,$E1814*0.0740740741+P1813*0.9259259259))</f>
        <v>0</v>
      </c>
      <c r="Q1814">
        <f>IF(OR(O1814="",P1814=""),"",O1814-P1814)</f>
        <v>0</v>
      </c>
      <c r="R1814">
        <f>IF(Q1814="","",IF(R1813="",Q1814,Q1814*0.2000000000+R1813*0.8000000000))</f>
        <v>0</v>
      </c>
      <c r="S1814">
        <f>IF(OR(Q1814="",R1814=""),"",Q1814-R1814)</f>
        <v>0</v>
      </c>
      <c r="T1814">
        <f>IF(COUNT($E$2:$E1814)&lt;14,"",MAX($C$1801:$C$1814))</f>
        <v>0</v>
      </c>
      <c r="U1814">
        <f>IF(COUNT($E$2:$E1814)&lt;14,"",MIN($D$1801:$D$1814))</f>
        <v>0</v>
      </c>
      <c r="V1814">
        <f>IF(OR(T1814="",U1814="",T1814=U1814),"",100*($E1814-U1814)/(T1814-U1814))</f>
        <v>0</v>
      </c>
      <c r="W1814">
        <f>IF(COUNT($V$1812:$V$1814)&lt;3,"",AVERAGE($V$1812:$V$1814))</f>
        <v>0</v>
      </c>
      <c r="X1814">
        <f>IF(COUNT($N$1801:$N$1814)&lt;14,"",MIN($N$1801:$N$1814))</f>
        <v>0</v>
      </c>
      <c r="Y1814">
        <f>IF(COUNT($N$1801:$N$1814)&lt;14,"",MAX($N$1801:$N$1814))</f>
        <v>0</v>
      </c>
      <c r="Z1814">
        <f>IF(OR(N1814="",X1814="",Y1814="",Y1814=X1814),"",100*(N1814-X1814)/(Y1814-X1814))</f>
        <v>0</v>
      </c>
      <c r="AA1814">
        <f>IF(COUNT($Z$1812:$Z$1814)&lt;3,"",AVERAGE($Z$1812:$Z$1814))</f>
        <v>0</v>
      </c>
      <c r="AB1814">
        <f>IF(COUNT($AA$1812:$AA$1814)&lt;3,"",AVERAGE($AA$1812:$AA$1814))</f>
        <v>0</v>
      </c>
      <c r="AC1814">
        <f>IF($E1814="","",MAX($C1814-$D1814,ABS($C1814-$E1813),ABS($D1814-$E1813)))</f>
        <v>0</v>
      </c>
      <c r="AD1814">
        <f>IF(COUNT($E$2:$E1814)&lt;15,"",AVERAGE($AC$1801:$AC$1814))</f>
        <v>0</v>
      </c>
      <c r="AE1814">
        <f>IF(OR($E1814="",$E1813=""),"",IF(AND(($C1814-$C1813)&gt;($D1813-$D1814),($C1814-$C1813)&gt;0),$C1814-$C1813,0))</f>
        <v>0</v>
      </c>
      <c r="AF1814">
        <f>IF(OR($E1814="",$E1813=""),"",IF(AND(($D1813-$D1814)&gt;($C1814-$C1813),($D1813-$D1814)&gt;0),$D1813-$D1814,0))</f>
        <v>0</v>
      </c>
      <c r="AG1814">
        <f>IF(COUNT($E$2:$E1814)&lt;15,"",IF(SUM($AC$1801:$AC$1814)=0,0,100*SUM($AE$1801:$AE$1814)/SUM($AC$1801:$AC$1814)))</f>
        <v>0</v>
      </c>
      <c r="AH1814">
        <f>IF(COUNT($E$2:$E1814)&lt;15,"",IF(SUM($AC$1801:$AC$1814)=0,0,100*SUM($AF$1801:$AF$1814)/SUM($AC$1801:$AC$1814)))</f>
        <v>0</v>
      </c>
      <c r="AI1814">
        <f>IF(OR(AG1814="",AH1814=""),"",IF((AG1814+AH1814)=0,0,100*ABS(AG1814-AH1814)/(AG1814+AH1814)))</f>
        <v>0</v>
      </c>
      <c r="AJ1814">
        <f>IF(COUNT($AI$1801:$AI$1814)&lt;14,"",AVERAGE($AI$1801:$AI$1814))</f>
        <v>0</v>
      </c>
      <c r="AK1814">
        <f>IF(COUNT($E$2:$E1814)&lt;20,"",AVERAGE($E$1795:$E$1814))</f>
        <v>0</v>
      </c>
      <c r="AL1814">
        <f>IF(COUNT($E$2:$E1814)&lt;20,"",STDEVP($E$1795:$E$1814))</f>
        <v>0</v>
      </c>
      <c r="AM1814">
        <f>IF(AK1814="","",AK1814+2*AL1814)</f>
        <v>0</v>
      </c>
      <c r="AN1814">
        <f>IF(AK1814="","",AK1814-2*AL1814)</f>
        <v>0</v>
      </c>
      <c r="AO1814">
        <f>IF(OR(AM1814="",AN1814="",AM1814=AN1814),"",($E1814-AN1814)/(AM1814-AN1814))</f>
        <v>0</v>
      </c>
      <c r="AP1814">
        <f>IF(OR(AM1814="",AK1814="",AK1814=0),"",(AM1814-AN1814)/AK1814)</f>
        <v>0</v>
      </c>
      <c r="AQ1814">
        <f>IF(COUNT($E$2:$E1814)&lt;20,"",MAX($C$1795:$C$1814))</f>
        <v>0</v>
      </c>
      <c r="AR1814">
        <f>IF(COUNT($E$2:$E1814)&lt;20,"",MIN($D$1795:$D$1814))</f>
        <v>0</v>
      </c>
      <c r="AS1814">
        <f>IF(OR(AQ1814="",AR1814=""),"",(AQ1814+AR1814)/2)</f>
        <v>0</v>
      </c>
      <c r="AT1814">
        <f>IF(COUNT($G$1795:$G$1814)&lt;20,"",STDEV($G$1795:$G$1814)*SQRT(252))</f>
        <v>0</v>
      </c>
      <c r="AU1814">
        <f>IF(COUNT($E$2:$E1814)&lt;9,"",(MAX($C$1806:$C$1814)+MIN($D$1806:$D$1814))/2)</f>
        <v>0</v>
      </c>
      <c r="AV1814">
        <f>IF(COUNT($E$2:$E1814)&lt;26,"",(MAX($C$1789:$C$1814)+MIN($D$1789:$D$1814))/2)</f>
        <v>0</v>
      </c>
      <c r="AW1814">
        <f>IF(OR(AU1814="",AV1814=""),"",(AU1814+AV1814)/2)</f>
        <v>0</v>
      </c>
      <c r="AX1814">
        <f>IF(COUNT($E$2:$E1814)&lt;52,"",(MAX($C$1763:$C$1814)+MIN($D$1763:$D$1814))/2)</f>
        <v>0</v>
      </c>
      <c r="AY1814">
        <f>IF(COUNT($E$2:$E1814)&lt;20,"",MAX($C$1715:$C$1814))</f>
        <v>0</v>
      </c>
      <c r="AZ1814">
        <f>IF(COUNT($E$2:$E1814)&lt;20,"",MIN($D$1715:$D$1814))</f>
        <v>0</v>
      </c>
      <c r="BA1814">
        <f>IF(COUNT($E$2:$E1814)&lt;20,"",SLOPE($E$1715:$E$1814,$F$1715:$F$1814))</f>
        <v>0</v>
      </c>
      <c r="BB1814">
        <f>IF(COUNT($E$2:$E1814)&lt;20,"",INTERCEPT($E$1715:$E$1814,$F$1715:$F$1814))</f>
        <v>0</v>
      </c>
      <c r="BC1814">
        <f>IF(OR(BA1814="",BB1814=""),"",BB1814+BA1814*F1814)</f>
        <v>0</v>
      </c>
      <c r="BD1814">
        <f>IF(COUNT($E$2:$E1814)&lt;20,"",STEYX($E$1715:$E$1814,$F$1715:$F$1814))</f>
        <v>0</v>
      </c>
      <c r="BE1814">
        <f>IF($E1814="","",IF(AND(COUNT($E$1815:$E$1818)&gt;=4,$C1814=MAX($C$1810:$C$1818)),$C1814,""))</f>
        <v>0</v>
      </c>
      <c r="BF1814">
        <f>IF($E1814="","",IF(AND(COUNT($E$1815:$E$1818)&gt;=4,$D1814=MIN($D$1810:$D$1818)),$D1814,""))</f>
        <v>0</v>
      </c>
      <c r="BG1814">
        <f>IF($A1814="","",$A1814-WEEKDAY($A1814,2)+1)</f>
        <v>0</v>
      </c>
      <c r="BH1814">
        <f>IF($A1814="","",IF($A1813="",1,IF(BG1814&lt;&gt;BG1813,1,0)))</f>
        <v>0</v>
      </c>
      <c r="BI1814">
        <f>IF($A1814="","",IF($A1815="",1,IF(BG1815&lt;&gt;BG1814,1,0)))</f>
        <v>0</v>
      </c>
      <c r="BJ1814">
        <f>IF($A1814="","",IF(BH1814=1,$B1814,BJ1813))</f>
        <v>0</v>
      </c>
      <c r="BK1814">
        <f>IF($A1814="","",IF(BH1814=1,$C1814,MAX($C1814,BK1813)))</f>
        <v>0</v>
      </c>
      <c r="BL1814">
        <f>IF($A1814="","",IF(BH1814=1,$D1814,MIN($D1814,BL1813)))</f>
        <v>0</v>
      </c>
      <c r="BM1814">
        <f>IF($A1814="","",IF(BI1814=1,F1814,""))</f>
        <v>0</v>
      </c>
      <c r="BN1814">
        <f>IF($A1814="","",DATE(YEAR($A1814),MONTH($A1814),1))</f>
        <v>0</v>
      </c>
      <c r="BO1814">
        <f>IF($A1814="","",IF($A1813="",1,IF(BN1814&lt;&gt;BN1813,1,0)))</f>
        <v>0</v>
      </c>
      <c r="BP1814">
        <f>IF($A1814="","",IF($A1815="",1,IF(BN1815&lt;&gt;BN1814,1,0)))</f>
        <v>0</v>
      </c>
      <c r="BQ1814">
        <f>IF($A1814="","",IF(BO1814=1,$B1814,BQ1813))</f>
        <v>0</v>
      </c>
      <c r="BR1814">
        <f>IF($A1814="","",IF(BO1814=1,$C1814,MAX($C1814,BR1813)))</f>
        <v>0</v>
      </c>
      <c r="BS1814">
        <f>IF($A1814="","",IF(BO1814=1,$D1814,MIN($D1814,BS1813)))</f>
        <v>0</v>
      </c>
      <c r="BT1814">
        <f>IF($A1814="","",IF(BP1814=1,F1814,""))</f>
        <v>0</v>
      </c>
    </row>
    <row r="1815" spans="1:72">
      <c r="A1815" s="27">
        <f>IF(Data!$A1815="","",Data!$A1815)</f>
        <v>0</v>
      </c>
      <c r="B1815">
        <f>IF(Data!$B1815="","",Data!$B1815)</f>
        <v>0</v>
      </c>
      <c r="C1815">
        <f>IF(Data!$C1815="","",Data!$C1815)</f>
        <v>0</v>
      </c>
      <c r="D1815">
        <f>IF(Data!$D1815="","",Data!$D1815)</f>
        <v>0</v>
      </c>
      <c r="E1815">
        <f>IF(Data!$E1815="","",Data!$E1815)</f>
        <v>0</v>
      </c>
      <c r="F1815">
        <f>IF($E1815="","",N(F1814)+1)</f>
        <v>0</v>
      </c>
      <c r="G1815">
        <f>IF(OR($E1815="",$E1814=""),"",LN($E1815/$E1814))</f>
        <v>0</v>
      </c>
      <c r="H1815">
        <f>IF($E1815="","",IF($E1814="",$E1815,$E1815*0.0952380952+H1814*0.9047619048))</f>
        <v>0</v>
      </c>
      <c r="I1815">
        <f>IF($E1815="","",IF($E1814="",$E1815,$E1815*0.0392156863+I1814*0.9607843137))</f>
        <v>0</v>
      </c>
      <c r="J1815">
        <f>IF($E1815="","",IF($E1814="",$E1815,$E1815*0.0198019802+J1814*0.9801980198))</f>
        <v>0</v>
      </c>
      <c r="K1815">
        <f>IF($E1815="","",IF($E1814="",$E1815,$E1815*0.0099502488+K1814*0.9900497512))</f>
        <v>0</v>
      </c>
      <c r="L1815">
        <f>IF(OR($E1815="",$E1814=""),"",MAX($E1815-$E1814,0))</f>
        <v>0</v>
      </c>
      <c r="M1815">
        <f>IF(OR($E1815="",$E1814=""),"",MAX($E1814-$E1815,0))</f>
        <v>0</v>
      </c>
      <c r="N1815">
        <f>IF(COUNT($E$2:$E1815)&lt;15,"",IF(AVERAGE($M$1802:$M$1815)=0,100,100-100/(1+AVERAGE($L$1802:$L$1815)/AVERAGE($M$1802:$M$1815))))</f>
        <v>0</v>
      </c>
      <c r="O1815">
        <f>IF($E1815="","",IF($E1814="",$E1815,$E1815*0.1538461538+O1814*0.8461538462))</f>
        <v>0</v>
      </c>
      <c r="P1815">
        <f>IF($E1815="","",IF($E1814="",$E1815,$E1815*0.0740740741+P1814*0.9259259259))</f>
        <v>0</v>
      </c>
      <c r="Q1815">
        <f>IF(OR(O1815="",P1815=""),"",O1815-P1815)</f>
        <v>0</v>
      </c>
      <c r="R1815">
        <f>IF(Q1815="","",IF(R1814="",Q1815,Q1815*0.2000000000+R1814*0.8000000000))</f>
        <v>0</v>
      </c>
      <c r="S1815">
        <f>IF(OR(Q1815="",R1815=""),"",Q1815-R1815)</f>
        <v>0</v>
      </c>
      <c r="T1815">
        <f>IF(COUNT($E$2:$E1815)&lt;14,"",MAX($C$1802:$C$1815))</f>
        <v>0</v>
      </c>
      <c r="U1815">
        <f>IF(COUNT($E$2:$E1815)&lt;14,"",MIN($D$1802:$D$1815))</f>
        <v>0</v>
      </c>
      <c r="V1815">
        <f>IF(OR(T1815="",U1815="",T1815=U1815),"",100*($E1815-U1815)/(T1815-U1815))</f>
        <v>0</v>
      </c>
      <c r="W1815">
        <f>IF(COUNT($V$1813:$V$1815)&lt;3,"",AVERAGE($V$1813:$V$1815))</f>
        <v>0</v>
      </c>
      <c r="X1815">
        <f>IF(COUNT($N$1802:$N$1815)&lt;14,"",MIN($N$1802:$N$1815))</f>
        <v>0</v>
      </c>
      <c r="Y1815">
        <f>IF(COUNT($N$1802:$N$1815)&lt;14,"",MAX($N$1802:$N$1815))</f>
        <v>0</v>
      </c>
      <c r="Z1815">
        <f>IF(OR(N1815="",X1815="",Y1815="",Y1815=X1815),"",100*(N1815-X1815)/(Y1815-X1815))</f>
        <v>0</v>
      </c>
      <c r="AA1815">
        <f>IF(COUNT($Z$1813:$Z$1815)&lt;3,"",AVERAGE($Z$1813:$Z$1815))</f>
        <v>0</v>
      </c>
      <c r="AB1815">
        <f>IF(COUNT($AA$1813:$AA$1815)&lt;3,"",AVERAGE($AA$1813:$AA$1815))</f>
        <v>0</v>
      </c>
      <c r="AC1815">
        <f>IF($E1815="","",MAX($C1815-$D1815,ABS($C1815-$E1814),ABS($D1815-$E1814)))</f>
        <v>0</v>
      </c>
      <c r="AD1815">
        <f>IF(COUNT($E$2:$E1815)&lt;15,"",AVERAGE($AC$1802:$AC$1815))</f>
        <v>0</v>
      </c>
      <c r="AE1815">
        <f>IF(OR($E1815="",$E1814=""),"",IF(AND(($C1815-$C1814)&gt;($D1814-$D1815),($C1815-$C1814)&gt;0),$C1815-$C1814,0))</f>
        <v>0</v>
      </c>
      <c r="AF1815">
        <f>IF(OR($E1815="",$E1814=""),"",IF(AND(($D1814-$D1815)&gt;($C1815-$C1814),($D1814-$D1815)&gt;0),$D1814-$D1815,0))</f>
        <v>0</v>
      </c>
      <c r="AG1815">
        <f>IF(COUNT($E$2:$E1815)&lt;15,"",IF(SUM($AC$1802:$AC$1815)=0,0,100*SUM($AE$1802:$AE$1815)/SUM($AC$1802:$AC$1815)))</f>
        <v>0</v>
      </c>
      <c r="AH1815">
        <f>IF(COUNT($E$2:$E1815)&lt;15,"",IF(SUM($AC$1802:$AC$1815)=0,0,100*SUM($AF$1802:$AF$1815)/SUM($AC$1802:$AC$1815)))</f>
        <v>0</v>
      </c>
      <c r="AI1815">
        <f>IF(OR(AG1815="",AH1815=""),"",IF((AG1815+AH1815)=0,0,100*ABS(AG1815-AH1815)/(AG1815+AH1815)))</f>
        <v>0</v>
      </c>
      <c r="AJ1815">
        <f>IF(COUNT($AI$1802:$AI$1815)&lt;14,"",AVERAGE($AI$1802:$AI$1815))</f>
        <v>0</v>
      </c>
      <c r="AK1815">
        <f>IF(COUNT($E$2:$E1815)&lt;20,"",AVERAGE($E$1796:$E$1815))</f>
        <v>0</v>
      </c>
      <c r="AL1815">
        <f>IF(COUNT($E$2:$E1815)&lt;20,"",STDEVP($E$1796:$E$1815))</f>
        <v>0</v>
      </c>
      <c r="AM1815">
        <f>IF(AK1815="","",AK1815+2*AL1815)</f>
        <v>0</v>
      </c>
      <c r="AN1815">
        <f>IF(AK1815="","",AK1815-2*AL1815)</f>
        <v>0</v>
      </c>
      <c r="AO1815">
        <f>IF(OR(AM1815="",AN1815="",AM1815=AN1815),"",($E1815-AN1815)/(AM1815-AN1815))</f>
        <v>0</v>
      </c>
      <c r="AP1815">
        <f>IF(OR(AM1815="",AK1815="",AK1815=0),"",(AM1815-AN1815)/AK1815)</f>
        <v>0</v>
      </c>
      <c r="AQ1815">
        <f>IF(COUNT($E$2:$E1815)&lt;20,"",MAX($C$1796:$C$1815))</f>
        <v>0</v>
      </c>
      <c r="AR1815">
        <f>IF(COUNT($E$2:$E1815)&lt;20,"",MIN($D$1796:$D$1815))</f>
        <v>0</v>
      </c>
      <c r="AS1815">
        <f>IF(OR(AQ1815="",AR1815=""),"",(AQ1815+AR1815)/2)</f>
        <v>0</v>
      </c>
      <c r="AT1815">
        <f>IF(COUNT($G$1796:$G$1815)&lt;20,"",STDEV($G$1796:$G$1815)*SQRT(252))</f>
        <v>0</v>
      </c>
      <c r="AU1815">
        <f>IF(COUNT($E$2:$E1815)&lt;9,"",(MAX($C$1807:$C$1815)+MIN($D$1807:$D$1815))/2)</f>
        <v>0</v>
      </c>
      <c r="AV1815">
        <f>IF(COUNT($E$2:$E1815)&lt;26,"",(MAX($C$1790:$C$1815)+MIN($D$1790:$D$1815))/2)</f>
        <v>0</v>
      </c>
      <c r="AW1815">
        <f>IF(OR(AU1815="",AV1815=""),"",(AU1815+AV1815)/2)</f>
        <v>0</v>
      </c>
      <c r="AX1815">
        <f>IF(COUNT($E$2:$E1815)&lt;52,"",(MAX($C$1764:$C$1815)+MIN($D$1764:$D$1815))/2)</f>
        <v>0</v>
      </c>
      <c r="AY1815">
        <f>IF(COUNT($E$2:$E1815)&lt;20,"",MAX($C$1716:$C$1815))</f>
        <v>0</v>
      </c>
      <c r="AZ1815">
        <f>IF(COUNT($E$2:$E1815)&lt;20,"",MIN($D$1716:$D$1815))</f>
        <v>0</v>
      </c>
      <c r="BA1815">
        <f>IF(COUNT($E$2:$E1815)&lt;20,"",SLOPE($E$1716:$E$1815,$F$1716:$F$1815))</f>
        <v>0</v>
      </c>
      <c r="BB1815">
        <f>IF(COUNT($E$2:$E1815)&lt;20,"",INTERCEPT($E$1716:$E$1815,$F$1716:$F$1815))</f>
        <v>0</v>
      </c>
      <c r="BC1815">
        <f>IF(OR(BA1815="",BB1815=""),"",BB1815+BA1815*F1815)</f>
        <v>0</v>
      </c>
      <c r="BD1815">
        <f>IF(COUNT($E$2:$E1815)&lt;20,"",STEYX($E$1716:$E$1815,$F$1716:$F$1815))</f>
        <v>0</v>
      </c>
      <c r="BE1815">
        <f>IF($E1815="","",IF(AND(COUNT($E$1816:$E$1819)&gt;=4,$C1815=MAX($C$1811:$C$1819)),$C1815,""))</f>
        <v>0</v>
      </c>
      <c r="BF1815">
        <f>IF($E1815="","",IF(AND(COUNT($E$1816:$E$1819)&gt;=4,$D1815=MIN($D$1811:$D$1819)),$D1815,""))</f>
        <v>0</v>
      </c>
      <c r="BG1815">
        <f>IF($A1815="","",$A1815-WEEKDAY($A1815,2)+1)</f>
        <v>0</v>
      </c>
      <c r="BH1815">
        <f>IF($A1815="","",IF($A1814="",1,IF(BG1815&lt;&gt;BG1814,1,0)))</f>
        <v>0</v>
      </c>
      <c r="BI1815">
        <f>IF($A1815="","",IF($A1816="",1,IF(BG1816&lt;&gt;BG1815,1,0)))</f>
        <v>0</v>
      </c>
      <c r="BJ1815">
        <f>IF($A1815="","",IF(BH1815=1,$B1815,BJ1814))</f>
        <v>0</v>
      </c>
      <c r="BK1815">
        <f>IF($A1815="","",IF(BH1815=1,$C1815,MAX($C1815,BK1814)))</f>
        <v>0</v>
      </c>
      <c r="BL1815">
        <f>IF($A1815="","",IF(BH1815=1,$D1815,MIN($D1815,BL1814)))</f>
        <v>0</v>
      </c>
      <c r="BM1815">
        <f>IF($A1815="","",IF(BI1815=1,F1815,""))</f>
        <v>0</v>
      </c>
      <c r="BN1815">
        <f>IF($A1815="","",DATE(YEAR($A1815),MONTH($A1815),1))</f>
        <v>0</v>
      </c>
      <c r="BO1815">
        <f>IF($A1815="","",IF($A1814="",1,IF(BN1815&lt;&gt;BN1814,1,0)))</f>
        <v>0</v>
      </c>
      <c r="BP1815">
        <f>IF($A1815="","",IF($A1816="",1,IF(BN1816&lt;&gt;BN1815,1,0)))</f>
        <v>0</v>
      </c>
      <c r="BQ1815">
        <f>IF($A1815="","",IF(BO1815=1,$B1815,BQ1814))</f>
        <v>0</v>
      </c>
      <c r="BR1815">
        <f>IF($A1815="","",IF(BO1815=1,$C1815,MAX($C1815,BR1814)))</f>
        <v>0</v>
      </c>
      <c r="BS1815">
        <f>IF($A1815="","",IF(BO1815=1,$D1815,MIN($D1815,BS1814)))</f>
        <v>0</v>
      </c>
      <c r="BT1815">
        <f>IF($A1815="","",IF(BP1815=1,F1815,""))</f>
        <v>0</v>
      </c>
    </row>
    <row r="1816" spans="1:72">
      <c r="A1816" s="27">
        <f>IF(Data!$A1816="","",Data!$A1816)</f>
        <v>0</v>
      </c>
      <c r="B1816">
        <f>IF(Data!$B1816="","",Data!$B1816)</f>
        <v>0</v>
      </c>
      <c r="C1816">
        <f>IF(Data!$C1816="","",Data!$C1816)</f>
        <v>0</v>
      </c>
      <c r="D1816">
        <f>IF(Data!$D1816="","",Data!$D1816)</f>
        <v>0</v>
      </c>
      <c r="E1816">
        <f>IF(Data!$E1816="","",Data!$E1816)</f>
        <v>0</v>
      </c>
      <c r="F1816">
        <f>IF($E1816="","",N(F1815)+1)</f>
        <v>0</v>
      </c>
      <c r="G1816">
        <f>IF(OR($E1816="",$E1815=""),"",LN($E1816/$E1815))</f>
        <v>0</v>
      </c>
      <c r="H1816">
        <f>IF($E1816="","",IF($E1815="",$E1816,$E1816*0.0952380952+H1815*0.9047619048))</f>
        <v>0</v>
      </c>
      <c r="I1816">
        <f>IF($E1816="","",IF($E1815="",$E1816,$E1816*0.0392156863+I1815*0.9607843137))</f>
        <v>0</v>
      </c>
      <c r="J1816">
        <f>IF($E1816="","",IF($E1815="",$E1816,$E1816*0.0198019802+J1815*0.9801980198))</f>
        <v>0</v>
      </c>
      <c r="K1816">
        <f>IF($E1816="","",IF($E1815="",$E1816,$E1816*0.0099502488+K1815*0.9900497512))</f>
        <v>0</v>
      </c>
      <c r="L1816">
        <f>IF(OR($E1816="",$E1815=""),"",MAX($E1816-$E1815,0))</f>
        <v>0</v>
      </c>
      <c r="M1816">
        <f>IF(OR($E1816="",$E1815=""),"",MAX($E1815-$E1816,0))</f>
        <v>0</v>
      </c>
      <c r="N1816">
        <f>IF(COUNT($E$2:$E1816)&lt;15,"",IF(AVERAGE($M$1803:$M$1816)=0,100,100-100/(1+AVERAGE($L$1803:$L$1816)/AVERAGE($M$1803:$M$1816))))</f>
        <v>0</v>
      </c>
      <c r="O1816">
        <f>IF($E1816="","",IF($E1815="",$E1816,$E1816*0.1538461538+O1815*0.8461538462))</f>
        <v>0</v>
      </c>
      <c r="P1816">
        <f>IF($E1816="","",IF($E1815="",$E1816,$E1816*0.0740740741+P1815*0.9259259259))</f>
        <v>0</v>
      </c>
      <c r="Q1816">
        <f>IF(OR(O1816="",P1816=""),"",O1816-P1816)</f>
        <v>0</v>
      </c>
      <c r="R1816">
        <f>IF(Q1816="","",IF(R1815="",Q1816,Q1816*0.2000000000+R1815*0.8000000000))</f>
        <v>0</v>
      </c>
      <c r="S1816">
        <f>IF(OR(Q1816="",R1816=""),"",Q1816-R1816)</f>
        <v>0</v>
      </c>
      <c r="T1816">
        <f>IF(COUNT($E$2:$E1816)&lt;14,"",MAX($C$1803:$C$1816))</f>
        <v>0</v>
      </c>
      <c r="U1816">
        <f>IF(COUNT($E$2:$E1816)&lt;14,"",MIN($D$1803:$D$1816))</f>
        <v>0</v>
      </c>
      <c r="V1816">
        <f>IF(OR(T1816="",U1816="",T1816=U1816),"",100*($E1816-U1816)/(T1816-U1816))</f>
        <v>0</v>
      </c>
      <c r="W1816">
        <f>IF(COUNT($V$1814:$V$1816)&lt;3,"",AVERAGE($V$1814:$V$1816))</f>
        <v>0</v>
      </c>
      <c r="X1816">
        <f>IF(COUNT($N$1803:$N$1816)&lt;14,"",MIN($N$1803:$N$1816))</f>
        <v>0</v>
      </c>
      <c r="Y1816">
        <f>IF(COUNT($N$1803:$N$1816)&lt;14,"",MAX($N$1803:$N$1816))</f>
        <v>0</v>
      </c>
      <c r="Z1816">
        <f>IF(OR(N1816="",X1816="",Y1816="",Y1816=X1816),"",100*(N1816-X1816)/(Y1816-X1816))</f>
        <v>0</v>
      </c>
      <c r="AA1816">
        <f>IF(COUNT($Z$1814:$Z$1816)&lt;3,"",AVERAGE($Z$1814:$Z$1816))</f>
        <v>0</v>
      </c>
      <c r="AB1816">
        <f>IF(COUNT($AA$1814:$AA$1816)&lt;3,"",AVERAGE($AA$1814:$AA$1816))</f>
        <v>0</v>
      </c>
      <c r="AC1816">
        <f>IF($E1816="","",MAX($C1816-$D1816,ABS($C1816-$E1815),ABS($D1816-$E1815)))</f>
        <v>0</v>
      </c>
      <c r="AD1816">
        <f>IF(COUNT($E$2:$E1816)&lt;15,"",AVERAGE($AC$1803:$AC$1816))</f>
        <v>0</v>
      </c>
      <c r="AE1816">
        <f>IF(OR($E1816="",$E1815=""),"",IF(AND(($C1816-$C1815)&gt;($D1815-$D1816),($C1816-$C1815)&gt;0),$C1816-$C1815,0))</f>
        <v>0</v>
      </c>
      <c r="AF1816">
        <f>IF(OR($E1816="",$E1815=""),"",IF(AND(($D1815-$D1816)&gt;($C1816-$C1815),($D1815-$D1816)&gt;0),$D1815-$D1816,0))</f>
        <v>0</v>
      </c>
      <c r="AG1816">
        <f>IF(COUNT($E$2:$E1816)&lt;15,"",IF(SUM($AC$1803:$AC$1816)=0,0,100*SUM($AE$1803:$AE$1816)/SUM($AC$1803:$AC$1816)))</f>
        <v>0</v>
      </c>
      <c r="AH1816">
        <f>IF(COUNT($E$2:$E1816)&lt;15,"",IF(SUM($AC$1803:$AC$1816)=0,0,100*SUM($AF$1803:$AF$1816)/SUM($AC$1803:$AC$1816)))</f>
        <v>0</v>
      </c>
      <c r="AI1816">
        <f>IF(OR(AG1816="",AH1816=""),"",IF((AG1816+AH1816)=0,0,100*ABS(AG1816-AH1816)/(AG1816+AH1816)))</f>
        <v>0</v>
      </c>
      <c r="AJ1816">
        <f>IF(COUNT($AI$1803:$AI$1816)&lt;14,"",AVERAGE($AI$1803:$AI$1816))</f>
        <v>0</v>
      </c>
      <c r="AK1816">
        <f>IF(COUNT($E$2:$E1816)&lt;20,"",AVERAGE($E$1797:$E$1816))</f>
        <v>0</v>
      </c>
      <c r="AL1816">
        <f>IF(COUNT($E$2:$E1816)&lt;20,"",STDEVP($E$1797:$E$1816))</f>
        <v>0</v>
      </c>
      <c r="AM1816">
        <f>IF(AK1816="","",AK1816+2*AL1816)</f>
        <v>0</v>
      </c>
      <c r="AN1816">
        <f>IF(AK1816="","",AK1816-2*AL1816)</f>
        <v>0</v>
      </c>
      <c r="AO1816">
        <f>IF(OR(AM1816="",AN1816="",AM1816=AN1816),"",($E1816-AN1816)/(AM1816-AN1816))</f>
        <v>0</v>
      </c>
      <c r="AP1816">
        <f>IF(OR(AM1816="",AK1816="",AK1816=0),"",(AM1816-AN1816)/AK1816)</f>
        <v>0</v>
      </c>
      <c r="AQ1816">
        <f>IF(COUNT($E$2:$E1816)&lt;20,"",MAX($C$1797:$C$1816))</f>
        <v>0</v>
      </c>
      <c r="AR1816">
        <f>IF(COUNT($E$2:$E1816)&lt;20,"",MIN($D$1797:$D$1816))</f>
        <v>0</v>
      </c>
      <c r="AS1816">
        <f>IF(OR(AQ1816="",AR1816=""),"",(AQ1816+AR1816)/2)</f>
        <v>0</v>
      </c>
      <c r="AT1816">
        <f>IF(COUNT($G$1797:$G$1816)&lt;20,"",STDEV($G$1797:$G$1816)*SQRT(252))</f>
        <v>0</v>
      </c>
      <c r="AU1816">
        <f>IF(COUNT($E$2:$E1816)&lt;9,"",(MAX($C$1808:$C$1816)+MIN($D$1808:$D$1816))/2)</f>
        <v>0</v>
      </c>
      <c r="AV1816">
        <f>IF(COUNT($E$2:$E1816)&lt;26,"",(MAX($C$1791:$C$1816)+MIN($D$1791:$D$1816))/2)</f>
        <v>0</v>
      </c>
      <c r="AW1816">
        <f>IF(OR(AU1816="",AV1816=""),"",(AU1816+AV1816)/2)</f>
        <v>0</v>
      </c>
      <c r="AX1816">
        <f>IF(COUNT($E$2:$E1816)&lt;52,"",(MAX($C$1765:$C$1816)+MIN($D$1765:$D$1816))/2)</f>
        <v>0</v>
      </c>
      <c r="AY1816">
        <f>IF(COUNT($E$2:$E1816)&lt;20,"",MAX($C$1717:$C$1816))</f>
        <v>0</v>
      </c>
      <c r="AZ1816">
        <f>IF(COUNT($E$2:$E1816)&lt;20,"",MIN($D$1717:$D$1816))</f>
        <v>0</v>
      </c>
      <c r="BA1816">
        <f>IF(COUNT($E$2:$E1816)&lt;20,"",SLOPE($E$1717:$E$1816,$F$1717:$F$1816))</f>
        <v>0</v>
      </c>
      <c r="BB1816">
        <f>IF(COUNT($E$2:$E1816)&lt;20,"",INTERCEPT($E$1717:$E$1816,$F$1717:$F$1816))</f>
        <v>0</v>
      </c>
      <c r="BC1816">
        <f>IF(OR(BA1816="",BB1816=""),"",BB1816+BA1816*F1816)</f>
        <v>0</v>
      </c>
      <c r="BD1816">
        <f>IF(COUNT($E$2:$E1816)&lt;20,"",STEYX($E$1717:$E$1816,$F$1717:$F$1816))</f>
        <v>0</v>
      </c>
      <c r="BE1816">
        <f>IF($E1816="","",IF(AND(COUNT($E$1817:$E$1820)&gt;=4,$C1816=MAX($C$1812:$C$1820)),$C1816,""))</f>
        <v>0</v>
      </c>
      <c r="BF1816">
        <f>IF($E1816="","",IF(AND(COUNT($E$1817:$E$1820)&gt;=4,$D1816=MIN($D$1812:$D$1820)),$D1816,""))</f>
        <v>0</v>
      </c>
      <c r="BG1816">
        <f>IF($A1816="","",$A1816-WEEKDAY($A1816,2)+1)</f>
        <v>0</v>
      </c>
      <c r="BH1816">
        <f>IF($A1816="","",IF($A1815="",1,IF(BG1816&lt;&gt;BG1815,1,0)))</f>
        <v>0</v>
      </c>
      <c r="BI1816">
        <f>IF($A1816="","",IF($A1817="",1,IF(BG1817&lt;&gt;BG1816,1,0)))</f>
        <v>0</v>
      </c>
      <c r="BJ1816">
        <f>IF($A1816="","",IF(BH1816=1,$B1816,BJ1815))</f>
        <v>0</v>
      </c>
      <c r="BK1816">
        <f>IF($A1816="","",IF(BH1816=1,$C1816,MAX($C1816,BK1815)))</f>
        <v>0</v>
      </c>
      <c r="BL1816">
        <f>IF($A1816="","",IF(BH1816=1,$D1816,MIN($D1816,BL1815)))</f>
        <v>0</v>
      </c>
      <c r="BM1816">
        <f>IF($A1816="","",IF(BI1816=1,F1816,""))</f>
        <v>0</v>
      </c>
      <c r="BN1816">
        <f>IF($A1816="","",DATE(YEAR($A1816),MONTH($A1816),1))</f>
        <v>0</v>
      </c>
      <c r="BO1816">
        <f>IF($A1816="","",IF($A1815="",1,IF(BN1816&lt;&gt;BN1815,1,0)))</f>
        <v>0</v>
      </c>
      <c r="BP1816">
        <f>IF($A1816="","",IF($A1817="",1,IF(BN1817&lt;&gt;BN1816,1,0)))</f>
        <v>0</v>
      </c>
      <c r="BQ1816">
        <f>IF($A1816="","",IF(BO1816=1,$B1816,BQ1815))</f>
        <v>0</v>
      </c>
      <c r="BR1816">
        <f>IF($A1816="","",IF(BO1816=1,$C1816,MAX($C1816,BR1815)))</f>
        <v>0</v>
      </c>
      <c r="BS1816">
        <f>IF($A1816="","",IF(BO1816=1,$D1816,MIN($D1816,BS1815)))</f>
        <v>0</v>
      </c>
      <c r="BT1816">
        <f>IF($A1816="","",IF(BP1816=1,F1816,""))</f>
        <v>0</v>
      </c>
    </row>
    <row r="1817" spans="1:72">
      <c r="A1817" s="27">
        <f>IF(Data!$A1817="","",Data!$A1817)</f>
        <v>0</v>
      </c>
      <c r="B1817">
        <f>IF(Data!$B1817="","",Data!$B1817)</f>
        <v>0</v>
      </c>
      <c r="C1817">
        <f>IF(Data!$C1817="","",Data!$C1817)</f>
        <v>0</v>
      </c>
      <c r="D1817">
        <f>IF(Data!$D1817="","",Data!$D1817)</f>
        <v>0</v>
      </c>
      <c r="E1817">
        <f>IF(Data!$E1817="","",Data!$E1817)</f>
        <v>0</v>
      </c>
      <c r="F1817">
        <f>IF($E1817="","",N(F1816)+1)</f>
        <v>0</v>
      </c>
      <c r="G1817">
        <f>IF(OR($E1817="",$E1816=""),"",LN($E1817/$E1816))</f>
        <v>0</v>
      </c>
      <c r="H1817">
        <f>IF($E1817="","",IF($E1816="",$E1817,$E1817*0.0952380952+H1816*0.9047619048))</f>
        <v>0</v>
      </c>
      <c r="I1817">
        <f>IF($E1817="","",IF($E1816="",$E1817,$E1817*0.0392156863+I1816*0.9607843137))</f>
        <v>0</v>
      </c>
      <c r="J1817">
        <f>IF($E1817="","",IF($E1816="",$E1817,$E1817*0.0198019802+J1816*0.9801980198))</f>
        <v>0</v>
      </c>
      <c r="K1817">
        <f>IF($E1817="","",IF($E1816="",$E1817,$E1817*0.0099502488+K1816*0.9900497512))</f>
        <v>0</v>
      </c>
      <c r="L1817">
        <f>IF(OR($E1817="",$E1816=""),"",MAX($E1817-$E1816,0))</f>
        <v>0</v>
      </c>
      <c r="M1817">
        <f>IF(OR($E1817="",$E1816=""),"",MAX($E1816-$E1817,0))</f>
        <v>0</v>
      </c>
      <c r="N1817">
        <f>IF(COUNT($E$2:$E1817)&lt;15,"",IF(AVERAGE($M$1804:$M$1817)=0,100,100-100/(1+AVERAGE($L$1804:$L$1817)/AVERAGE($M$1804:$M$1817))))</f>
        <v>0</v>
      </c>
      <c r="O1817">
        <f>IF($E1817="","",IF($E1816="",$E1817,$E1817*0.1538461538+O1816*0.8461538462))</f>
        <v>0</v>
      </c>
      <c r="P1817">
        <f>IF($E1817="","",IF($E1816="",$E1817,$E1817*0.0740740741+P1816*0.9259259259))</f>
        <v>0</v>
      </c>
      <c r="Q1817">
        <f>IF(OR(O1817="",P1817=""),"",O1817-P1817)</f>
        <v>0</v>
      </c>
      <c r="R1817">
        <f>IF(Q1817="","",IF(R1816="",Q1817,Q1817*0.2000000000+R1816*0.8000000000))</f>
        <v>0</v>
      </c>
      <c r="S1817">
        <f>IF(OR(Q1817="",R1817=""),"",Q1817-R1817)</f>
        <v>0</v>
      </c>
      <c r="T1817">
        <f>IF(COUNT($E$2:$E1817)&lt;14,"",MAX($C$1804:$C$1817))</f>
        <v>0</v>
      </c>
      <c r="U1817">
        <f>IF(COUNT($E$2:$E1817)&lt;14,"",MIN($D$1804:$D$1817))</f>
        <v>0</v>
      </c>
      <c r="V1817">
        <f>IF(OR(T1817="",U1817="",T1817=U1817),"",100*($E1817-U1817)/(T1817-U1817))</f>
        <v>0</v>
      </c>
      <c r="W1817">
        <f>IF(COUNT($V$1815:$V$1817)&lt;3,"",AVERAGE($V$1815:$V$1817))</f>
        <v>0</v>
      </c>
      <c r="X1817">
        <f>IF(COUNT($N$1804:$N$1817)&lt;14,"",MIN($N$1804:$N$1817))</f>
        <v>0</v>
      </c>
      <c r="Y1817">
        <f>IF(COUNT($N$1804:$N$1817)&lt;14,"",MAX($N$1804:$N$1817))</f>
        <v>0</v>
      </c>
      <c r="Z1817">
        <f>IF(OR(N1817="",X1817="",Y1817="",Y1817=X1817),"",100*(N1817-X1817)/(Y1817-X1817))</f>
        <v>0</v>
      </c>
      <c r="AA1817">
        <f>IF(COUNT($Z$1815:$Z$1817)&lt;3,"",AVERAGE($Z$1815:$Z$1817))</f>
        <v>0</v>
      </c>
      <c r="AB1817">
        <f>IF(COUNT($AA$1815:$AA$1817)&lt;3,"",AVERAGE($AA$1815:$AA$1817))</f>
        <v>0</v>
      </c>
      <c r="AC1817">
        <f>IF($E1817="","",MAX($C1817-$D1817,ABS($C1817-$E1816),ABS($D1817-$E1816)))</f>
        <v>0</v>
      </c>
      <c r="AD1817">
        <f>IF(COUNT($E$2:$E1817)&lt;15,"",AVERAGE($AC$1804:$AC$1817))</f>
        <v>0</v>
      </c>
      <c r="AE1817">
        <f>IF(OR($E1817="",$E1816=""),"",IF(AND(($C1817-$C1816)&gt;($D1816-$D1817),($C1817-$C1816)&gt;0),$C1817-$C1816,0))</f>
        <v>0</v>
      </c>
      <c r="AF1817">
        <f>IF(OR($E1817="",$E1816=""),"",IF(AND(($D1816-$D1817)&gt;($C1817-$C1816),($D1816-$D1817)&gt;0),$D1816-$D1817,0))</f>
        <v>0</v>
      </c>
      <c r="AG1817">
        <f>IF(COUNT($E$2:$E1817)&lt;15,"",IF(SUM($AC$1804:$AC$1817)=0,0,100*SUM($AE$1804:$AE$1817)/SUM($AC$1804:$AC$1817)))</f>
        <v>0</v>
      </c>
      <c r="AH1817">
        <f>IF(COUNT($E$2:$E1817)&lt;15,"",IF(SUM($AC$1804:$AC$1817)=0,0,100*SUM($AF$1804:$AF$1817)/SUM($AC$1804:$AC$1817)))</f>
        <v>0</v>
      </c>
      <c r="AI1817">
        <f>IF(OR(AG1817="",AH1817=""),"",IF((AG1817+AH1817)=0,0,100*ABS(AG1817-AH1817)/(AG1817+AH1817)))</f>
        <v>0</v>
      </c>
      <c r="AJ1817">
        <f>IF(COUNT($AI$1804:$AI$1817)&lt;14,"",AVERAGE($AI$1804:$AI$1817))</f>
        <v>0</v>
      </c>
      <c r="AK1817">
        <f>IF(COUNT($E$2:$E1817)&lt;20,"",AVERAGE($E$1798:$E$1817))</f>
        <v>0</v>
      </c>
      <c r="AL1817">
        <f>IF(COUNT($E$2:$E1817)&lt;20,"",STDEVP($E$1798:$E$1817))</f>
        <v>0</v>
      </c>
      <c r="AM1817">
        <f>IF(AK1817="","",AK1817+2*AL1817)</f>
        <v>0</v>
      </c>
      <c r="AN1817">
        <f>IF(AK1817="","",AK1817-2*AL1817)</f>
        <v>0</v>
      </c>
      <c r="AO1817">
        <f>IF(OR(AM1817="",AN1817="",AM1817=AN1817),"",($E1817-AN1817)/(AM1817-AN1817))</f>
        <v>0</v>
      </c>
      <c r="AP1817">
        <f>IF(OR(AM1817="",AK1817="",AK1817=0),"",(AM1817-AN1817)/AK1817)</f>
        <v>0</v>
      </c>
      <c r="AQ1817">
        <f>IF(COUNT($E$2:$E1817)&lt;20,"",MAX($C$1798:$C$1817))</f>
        <v>0</v>
      </c>
      <c r="AR1817">
        <f>IF(COUNT($E$2:$E1817)&lt;20,"",MIN($D$1798:$D$1817))</f>
        <v>0</v>
      </c>
      <c r="AS1817">
        <f>IF(OR(AQ1817="",AR1817=""),"",(AQ1817+AR1817)/2)</f>
        <v>0</v>
      </c>
      <c r="AT1817">
        <f>IF(COUNT($G$1798:$G$1817)&lt;20,"",STDEV($G$1798:$G$1817)*SQRT(252))</f>
        <v>0</v>
      </c>
      <c r="AU1817">
        <f>IF(COUNT($E$2:$E1817)&lt;9,"",(MAX($C$1809:$C$1817)+MIN($D$1809:$D$1817))/2)</f>
        <v>0</v>
      </c>
      <c r="AV1817">
        <f>IF(COUNT($E$2:$E1817)&lt;26,"",(MAX($C$1792:$C$1817)+MIN($D$1792:$D$1817))/2)</f>
        <v>0</v>
      </c>
      <c r="AW1817">
        <f>IF(OR(AU1817="",AV1817=""),"",(AU1817+AV1817)/2)</f>
        <v>0</v>
      </c>
      <c r="AX1817">
        <f>IF(COUNT($E$2:$E1817)&lt;52,"",(MAX($C$1766:$C$1817)+MIN($D$1766:$D$1817))/2)</f>
        <v>0</v>
      </c>
      <c r="AY1817">
        <f>IF(COUNT($E$2:$E1817)&lt;20,"",MAX($C$1718:$C$1817))</f>
        <v>0</v>
      </c>
      <c r="AZ1817">
        <f>IF(COUNT($E$2:$E1817)&lt;20,"",MIN($D$1718:$D$1817))</f>
        <v>0</v>
      </c>
      <c r="BA1817">
        <f>IF(COUNT($E$2:$E1817)&lt;20,"",SLOPE($E$1718:$E$1817,$F$1718:$F$1817))</f>
        <v>0</v>
      </c>
      <c r="BB1817">
        <f>IF(COUNT($E$2:$E1817)&lt;20,"",INTERCEPT($E$1718:$E$1817,$F$1718:$F$1817))</f>
        <v>0</v>
      </c>
      <c r="BC1817">
        <f>IF(OR(BA1817="",BB1817=""),"",BB1817+BA1817*F1817)</f>
        <v>0</v>
      </c>
      <c r="BD1817">
        <f>IF(COUNT($E$2:$E1817)&lt;20,"",STEYX($E$1718:$E$1817,$F$1718:$F$1817))</f>
        <v>0</v>
      </c>
      <c r="BE1817">
        <f>IF($E1817="","",IF(AND(COUNT($E$1818:$E$1821)&gt;=4,$C1817=MAX($C$1813:$C$1821)),$C1817,""))</f>
        <v>0</v>
      </c>
      <c r="BF1817">
        <f>IF($E1817="","",IF(AND(COUNT($E$1818:$E$1821)&gt;=4,$D1817=MIN($D$1813:$D$1821)),$D1817,""))</f>
        <v>0</v>
      </c>
      <c r="BG1817">
        <f>IF($A1817="","",$A1817-WEEKDAY($A1817,2)+1)</f>
        <v>0</v>
      </c>
      <c r="BH1817">
        <f>IF($A1817="","",IF($A1816="",1,IF(BG1817&lt;&gt;BG1816,1,0)))</f>
        <v>0</v>
      </c>
      <c r="BI1817">
        <f>IF($A1817="","",IF($A1818="",1,IF(BG1818&lt;&gt;BG1817,1,0)))</f>
        <v>0</v>
      </c>
      <c r="BJ1817">
        <f>IF($A1817="","",IF(BH1817=1,$B1817,BJ1816))</f>
        <v>0</v>
      </c>
      <c r="BK1817">
        <f>IF($A1817="","",IF(BH1817=1,$C1817,MAX($C1817,BK1816)))</f>
        <v>0</v>
      </c>
      <c r="BL1817">
        <f>IF($A1817="","",IF(BH1817=1,$D1817,MIN($D1817,BL1816)))</f>
        <v>0</v>
      </c>
      <c r="BM1817">
        <f>IF($A1817="","",IF(BI1817=1,F1817,""))</f>
        <v>0</v>
      </c>
      <c r="BN1817">
        <f>IF($A1817="","",DATE(YEAR($A1817),MONTH($A1817),1))</f>
        <v>0</v>
      </c>
      <c r="BO1817">
        <f>IF($A1817="","",IF($A1816="",1,IF(BN1817&lt;&gt;BN1816,1,0)))</f>
        <v>0</v>
      </c>
      <c r="BP1817">
        <f>IF($A1817="","",IF($A1818="",1,IF(BN1818&lt;&gt;BN1817,1,0)))</f>
        <v>0</v>
      </c>
      <c r="BQ1817">
        <f>IF($A1817="","",IF(BO1817=1,$B1817,BQ1816))</f>
        <v>0</v>
      </c>
      <c r="BR1817">
        <f>IF($A1817="","",IF(BO1817=1,$C1817,MAX($C1817,BR1816)))</f>
        <v>0</v>
      </c>
      <c r="BS1817">
        <f>IF($A1817="","",IF(BO1817=1,$D1817,MIN($D1817,BS1816)))</f>
        <v>0</v>
      </c>
      <c r="BT1817">
        <f>IF($A1817="","",IF(BP1817=1,F1817,""))</f>
        <v>0</v>
      </c>
    </row>
    <row r="1818" spans="1:72">
      <c r="A1818" s="27">
        <f>IF(Data!$A1818="","",Data!$A1818)</f>
        <v>0</v>
      </c>
      <c r="B1818">
        <f>IF(Data!$B1818="","",Data!$B1818)</f>
        <v>0</v>
      </c>
      <c r="C1818">
        <f>IF(Data!$C1818="","",Data!$C1818)</f>
        <v>0</v>
      </c>
      <c r="D1818">
        <f>IF(Data!$D1818="","",Data!$D1818)</f>
        <v>0</v>
      </c>
      <c r="E1818">
        <f>IF(Data!$E1818="","",Data!$E1818)</f>
        <v>0</v>
      </c>
      <c r="F1818">
        <f>IF($E1818="","",N(F1817)+1)</f>
        <v>0</v>
      </c>
      <c r="G1818">
        <f>IF(OR($E1818="",$E1817=""),"",LN($E1818/$E1817))</f>
        <v>0</v>
      </c>
      <c r="H1818">
        <f>IF($E1818="","",IF($E1817="",$E1818,$E1818*0.0952380952+H1817*0.9047619048))</f>
        <v>0</v>
      </c>
      <c r="I1818">
        <f>IF($E1818="","",IF($E1817="",$E1818,$E1818*0.0392156863+I1817*0.9607843137))</f>
        <v>0</v>
      </c>
      <c r="J1818">
        <f>IF($E1818="","",IF($E1817="",$E1818,$E1818*0.0198019802+J1817*0.9801980198))</f>
        <v>0</v>
      </c>
      <c r="K1818">
        <f>IF($E1818="","",IF($E1817="",$E1818,$E1818*0.0099502488+K1817*0.9900497512))</f>
        <v>0</v>
      </c>
      <c r="L1818">
        <f>IF(OR($E1818="",$E1817=""),"",MAX($E1818-$E1817,0))</f>
        <v>0</v>
      </c>
      <c r="M1818">
        <f>IF(OR($E1818="",$E1817=""),"",MAX($E1817-$E1818,0))</f>
        <v>0</v>
      </c>
      <c r="N1818">
        <f>IF(COUNT($E$2:$E1818)&lt;15,"",IF(AVERAGE($M$1805:$M$1818)=0,100,100-100/(1+AVERAGE($L$1805:$L$1818)/AVERAGE($M$1805:$M$1818))))</f>
        <v>0</v>
      </c>
      <c r="O1818">
        <f>IF($E1818="","",IF($E1817="",$E1818,$E1818*0.1538461538+O1817*0.8461538462))</f>
        <v>0</v>
      </c>
      <c r="P1818">
        <f>IF($E1818="","",IF($E1817="",$E1818,$E1818*0.0740740741+P1817*0.9259259259))</f>
        <v>0</v>
      </c>
      <c r="Q1818">
        <f>IF(OR(O1818="",P1818=""),"",O1818-P1818)</f>
        <v>0</v>
      </c>
      <c r="R1818">
        <f>IF(Q1818="","",IF(R1817="",Q1818,Q1818*0.2000000000+R1817*0.8000000000))</f>
        <v>0</v>
      </c>
      <c r="S1818">
        <f>IF(OR(Q1818="",R1818=""),"",Q1818-R1818)</f>
        <v>0</v>
      </c>
      <c r="T1818">
        <f>IF(COUNT($E$2:$E1818)&lt;14,"",MAX($C$1805:$C$1818))</f>
        <v>0</v>
      </c>
      <c r="U1818">
        <f>IF(COUNT($E$2:$E1818)&lt;14,"",MIN($D$1805:$D$1818))</f>
        <v>0</v>
      </c>
      <c r="V1818">
        <f>IF(OR(T1818="",U1818="",T1818=U1818),"",100*($E1818-U1818)/(T1818-U1818))</f>
        <v>0</v>
      </c>
      <c r="W1818">
        <f>IF(COUNT($V$1816:$V$1818)&lt;3,"",AVERAGE($V$1816:$V$1818))</f>
        <v>0</v>
      </c>
      <c r="X1818">
        <f>IF(COUNT($N$1805:$N$1818)&lt;14,"",MIN($N$1805:$N$1818))</f>
        <v>0</v>
      </c>
      <c r="Y1818">
        <f>IF(COUNT($N$1805:$N$1818)&lt;14,"",MAX($N$1805:$N$1818))</f>
        <v>0</v>
      </c>
      <c r="Z1818">
        <f>IF(OR(N1818="",X1818="",Y1818="",Y1818=X1818),"",100*(N1818-X1818)/(Y1818-X1818))</f>
        <v>0</v>
      </c>
      <c r="AA1818">
        <f>IF(COUNT($Z$1816:$Z$1818)&lt;3,"",AVERAGE($Z$1816:$Z$1818))</f>
        <v>0</v>
      </c>
      <c r="AB1818">
        <f>IF(COUNT($AA$1816:$AA$1818)&lt;3,"",AVERAGE($AA$1816:$AA$1818))</f>
        <v>0</v>
      </c>
      <c r="AC1818">
        <f>IF($E1818="","",MAX($C1818-$D1818,ABS($C1818-$E1817),ABS($D1818-$E1817)))</f>
        <v>0</v>
      </c>
      <c r="AD1818">
        <f>IF(COUNT($E$2:$E1818)&lt;15,"",AVERAGE($AC$1805:$AC$1818))</f>
        <v>0</v>
      </c>
      <c r="AE1818">
        <f>IF(OR($E1818="",$E1817=""),"",IF(AND(($C1818-$C1817)&gt;($D1817-$D1818),($C1818-$C1817)&gt;0),$C1818-$C1817,0))</f>
        <v>0</v>
      </c>
      <c r="AF1818">
        <f>IF(OR($E1818="",$E1817=""),"",IF(AND(($D1817-$D1818)&gt;($C1818-$C1817),($D1817-$D1818)&gt;0),$D1817-$D1818,0))</f>
        <v>0</v>
      </c>
      <c r="AG1818">
        <f>IF(COUNT($E$2:$E1818)&lt;15,"",IF(SUM($AC$1805:$AC$1818)=0,0,100*SUM($AE$1805:$AE$1818)/SUM($AC$1805:$AC$1818)))</f>
        <v>0</v>
      </c>
      <c r="AH1818">
        <f>IF(COUNT($E$2:$E1818)&lt;15,"",IF(SUM($AC$1805:$AC$1818)=0,0,100*SUM($AF$1805:$AF$1818)/SUM($AC$1805:$AC$1818)))</f>
        <v>0</v>
      </c>
      <c r="AI1818">
        <f>IF(OR(AG1818="",AH1818=""),"",IF((AG1818+AH1818)=0,0,100*ABS(AG1818-AH1818)/(AG1818+AH1818)))</f>
        <v>0</v>
      </c>
      <c r="AJ1818">
        <f>IF(COUNT($AI$1805:$AI$1818)&lt;14,"",AVERAGE($AI$1805:$AI$1818))</f>
        <v>0</v>
      </c>
      <c r="AK1818">
        <f>IF(COUNT($E$2:$E1818)&lt;20,"",AVERAGE($E$1799:$E$1818))</f>
        <v>0</v>
      </c>
      <c r="AL1818">
        <f>IF(COUNT($E$2:$E1818)&lt;20,"",STDEVP($E$1799:$E$1818))</f>
        <v>0</v>
      </c>
      <c r="AM1818">
        <f>IF(AK1818="","",AK1818+2*AL1818)</f>
        <v>0</v>
      </c>
      <c r="AN1818">
        <f>IF(AK1818="","",AK1818-2*AL1818)</f>
        <v>0</v>
      </c>
      <c r="AO1818">
        <f>IF(OR(AM1818="",AN1818="",AM1818=AN1818),"",($E1818-AN1818)/(AM1818-AN1818))</f>
        <v>0</v>
      </c>
      <c r="AP1818">
        <f>IF(OR(AM1818="",AK1818="",AK1818=0),"",(AM1818-AN1818)/AK1818)</f>
        <v>0</v>
      </c>
      <c r="AQ1818">
        <f>IF(COUNT($E$2:$E1818)&lt;20,"",MAX($C$1799:$C$1818))</f>
        <v>0</v>
      </c>
      <c r="AR1818">
        <f>IF(COUNT($E$2:$E1818)&lt;20,"",MIN($D$1799:$D$1818))</f>
        <v>0</v>
      </c>
      <c r="AS1818">
        <f>IF(OR(AQ1818="",AR1818=""),"",(AQ1818+AR1818)/2)</f>
        <v>0</v>
      </c>
      <c r="AT1818">
        <f>IF(COUNT($G$1799:$G$1818)&lt;20,"",STDEV($G$1799:$G$1818)*SQRT(252))</f>
        <v>0</v>
      </c>
      <c r="AU1818">
        <f>IF(COUNT($E$2:$E1818)&lt;9,"",(MAX($C$1810:$C$1818)+MIN($D$1810:$D$1818))/2)</f>
        <v>0</v>
      </c>
      <c r="AV1818">
        <f>IF(COUNT($E$2:$E1818)&lt;26,"",(MAX($C$1793:$C$1818)+MIN($D$1793:$D$1818))/2)</f>
        <v>0</v>
      </c>
      <c r="AW1818">
        <f>IF(OR(AU1818="",AV1818=""),"",(AU1818+AV1818)/2)</f>
        <v>0</v>
      </c>
      <c r="AX1818">
        <f>IF(COUNT($E$2:$E1818)&lt;52,"",(MAX($C$1767:$C$1818)+MIN($D$1767:$D$1818))/2)</f>
        <v>0</v>
      </c>
      <c r="AY1818">
        <f>IF(COUNT($E$2:$E1818)&lt;20,"",MAX($C$1719:$C$1818))</f>
        <v>0</v>
      </c>
      <c r="AZ1818">
        <f>IF(COUNT($E$2:$E1818)&lt;20,"",MIN($D$1719:$D$1818))</f>
        <v>0</v>
      </c>
      <c r="BA1818">
        <f>IF(COUNT($E$2:$E1818)&lt;20,"",SLOPE($E$1719:$E$1818,$F$1719:$F$1818))</f>
        <v>0</v>
      </c>
      <c r="BB1818">
        <f>IF(COUNT($E$2:$E1818)&lt;20,"",INTERCEPT($E$1719:$E$1818,$F$1719:$F$1818))</f>
        <v>0</v>
      </c>
      <c r="BC1818">
        <f>IF(OR(BA1818="",BB1818=""),"",BB1818+BA1818*F1818)</f>
        <v>0</v>
      </c>
      <c r="BD1818">
        <f>IF(COUNT($E$2:$E1818)&lt;20,"",STEYX($E$1719:$E$1818,$F$1719:$F$1818))</f>
        <v>0</v>
      </c>
      <c r="BE1818">
        <f>IF($E1818="","",IF(AND(COUNT($E$1819:$E$1822)&gt;=4,$C1818=MAX($C$1814:$C$1822)),$C1818,""))</f>
        <v>0</v>
      </c>
      <c r="BF1818">
        <f>IF($E1818="","",IF(AND(COUNT($E$1819:$E$1822)&gt;=4,$D1818=MIN($D$1814:$D$1822)),$D1818,""))</f>
        <v>0</v>
      </c>
      <c r="BG1818">
        <f>IF($A1818="","",$A1818-WEEKDAY($A1818,2)+1)</f>
        <v>0</v>
      </c>
      <c r="BH1818">
        <f>IF($A1818="","",IF($A1817="",1,IF(BG1818&lt;&gt;BG1817,1,0)))</f>
        <v>0</v>
      </c>
      <c r="BI1818">
        <f>IF($A1818="","",IF($A1819="",1,IF(BG1819&lt;&gt;BG1818,1,0)))</f>
        <v>0</v>
      </c>
      <c r="BJ1818">
        <f>IF($A1818="","",IF(BH1818=1,$B1818,BJ1817))</f>
        <v>0</v>
      </c>
      <c r="BK1818">
        <f>IF($A1818="","",IF(BH1818=1,$C1818,MAX($C1818,BK1817)))</f>
        <v>0</v>
      </c>
      <c r="BL1818">
        <f>IF($A1818="","",IF(BH1818=1,$D1818,MIN($D1818,BL1817)))</f>
        <v>0</v>
      </c>
      <c r="BM1818">
        <f>IF($A1818="","",IF(BI1818=1,F1818,""))</f>
        <v>0</v>
      </c>
      <c r="BN1818">
        <f>IF($A1818="","",DATE(YEAR($A1818),MONTH($A1818),1))</f>
        <v>0</v>
      </c>
      <c r="BO1818">
        <f>IF($A1818="","",IF($A1817="",1,IF(BN1818&lt;&gt;BN1817,1,0)))</f>
        <v>0</v>
      </c>
      <c r="BP1818">
        <f>IF($A1818="","",IF($A1819="",1,IF(BN1819&lt;&gt;BN1818,1,0)))</f>
        <v>0</v>
      </c>
      <c r="BQ1818">
        <f>IF($A1818="","",IF(BO1818=1,$B1818,BQ1817))</f>
        <v>0</v>
      </c>
      <c r="BR1818">
        <f>IF($A1818="","",IF(BO1818=1,$C1818,MAX($C1818,BR1817)))</f>
        <v>0</v>
      </c>
      <c r="BS1818">
        <f>IF($A1818="","",IF(BO1818=1,$D1818,MIN($D1818,BS1817)))</f>
        <v>0</v>
      </c>
      <c r="BT1818">
        <f>IF($A1818="","",IF(BP1818=1,F1818,""))</f>
        <v>0</v>
      </c>
    </row>
    <row r="1819" spans="1:72">
      <c r="A1819" s="27">
        <f>IF(Data!$A1819="","",Data!$A1819)</f>
        <v>0</v>
      </c>
      <c r="B1819">
        <f>IF(Data!$B1819="","",Data!$B1819)</f>
        <v>0</v>
      </c>
      <c r="C1819">
        <f>IF(Data!$C1819="","",Data!$C1819)</f>
        <v>0</v>
      </c>
      <c r="D1819">
        <f>IF(Data!$D1819="","",Data!$D1819)</f>
        <v>0</v>
      </c>
      <c r="E1819">
        <f>IF(Data!$E1819="","",Data!$E1819)</f>
        <v>0</v>
      </c>
      <c r="F1819">
        <f>IF($E1819="","",N(F1818)+1)</f>
        <v>0</v>
      </c>
      <c r="G1819">
        <f>IF(OR($E1819="",$E1818=""),"",LN($E1819/$E1818))</f>
        <v>0</v>
      </c>
      <c r="H1819">
        <f>IF($E1819="","",IF($E1818="",$E1819,$E1819*0.0952380952+H1818*0.9047619048))</f>
        <v>0</v>
      </c>
      <c r="I1819">
        <f>IF($E1819="","",IF($E1818="",$E1819,$E1819*0.0392156863+I1818*0.9607843137))</f>
        <v>0</v>
      </c>
      <c r="J1819">
        <f>IF($E1819="","",IF($E1818="",$E1819,$E1819*0.0198019802+J1818*0.9801980198))</f>
        <v>0</v>
      </c>
      <c r="K1819">
        <f>IF($E1819="","",IF($E1818="",$E1819,$E1819*0.0099502488+K1818*0.9900497512))</f>
        <v>0</v>
      </c>
      <c r="L1819">
        <f>IF(OR($E1819="",$E1818=""),"",MAX($E1819-$E1818,0))</f>
        <v>0</v>
      </c>
      <c r="M1819">
        <f>IF(OR($E1819="",$E1818=""),"",MAX($E1818-$E1819,0))</f>
        <v>0</v>
      </c>
      <c r="N1819">
        <f>IF(COUNT($E$2:$E1819)&lt;15,"",IF(AVERAGE($M$1806:$M$1819)=0,100,100-100/(1+AVERAGE($L$1806:$L$1819)/AVERAGE($M$1806:$M$1819))))</f>
        <v>0</v>
      </c>
      <c r="O1819">
        <f>IF($E1819="","",IF($E1818="",$E1819,$E1819*0.1538461538+O1818*0.8461538462))</f>
        <v>0</v>
      </c>
      <c r="P1819">
        <f>IF($E1819="","",IF($E1818="",$E1819,$E1819*0.0740740741+P1818*0.9259259259))</f>
        <v>0</v>
      </c>
      <c r="Q1819">
        <f>IF(OR(O1819="",P1819=""),"",O1819-P1819)</f>
        <v>0</v>
      </c>
      <c r="R1819">
        <f>IF(Q1819="","",IF(R1818="",Q1819,Q1819*0.2000000000+R1818*0.8000000000))</f>
        <v>0</v>
      </c>
      <c r="S1819">
        <f>IF(OR(Q1819="",R1819=""),"",Q1819-R1819)</f>
        <v>0</v>
      </c>
      <c r="T1819">
        <f>IF(COUNT($E$2:$E1819)&lt;14,"",MAX($C$1806:$C$1819))</f>
        <v>0</v>
      </c>
      <c r="U1819">
        <f>IF(COUNT($E$2:$E1819)&lt;14,"",MIN($D$1806:$D$1819))</f>
        <v>0</v>
      </c>
      <c r="V1819">
        <f>IF(OR(T1819="",U1819="",T1819=U1819),"",100*($E1819-U1819)/(T1819-U1819))</f>
        <v>0</v>
      </c>
      <c r="W1819">
        <f>IF(COUNT($V$1817:$V$1819)&lt;3,"",AVERAGE($V$1817:$V$1819))</f>
        <v>0</v>
      </c>
      <c r="X1819">
        <f>IF(COUNT($N$1806:$N$1819)&lt;14,"",MIN($N$1806:$N$1819))</f>
        <v>0</v>
      </c>
      <c r="Y1819">
        <f>IF(COUNT($N$1806:$N$1819)&lt;14,"",MAX($N$1806:$N$1819))</f>
        <v>0</v>
      </c>
      <c r="Z1819">
        <f>IF(OR(N1819="",X1819="",Y1819="",Y1819=X1819),"",100*(N1819-X1819)/(Y1819-X1819))</f>
        <v>0</v>
      </c>
      <c r="AA1819">
        <f>IF(COUNT($Z$1817:$Z$1819)&lt;3,"",AVERAGE($Z$1817:$Z$1819))</f>
        <v>0</v>
      </c>
      <c r="AB1819">
        <f>IF(COUNT($AA$1817:$AA$1819)&lt;3,"",AVERAGE($AA$1817:$AA$1819))</f>
        <v>0</v>
      </c>
      <c r="AC1819">
        <f>IF($E1819="","",MAX($C1819-$D1819,ABS($C1819-$E1818),ABS($D1819-$E1818)))</f>
        <v>0</v>
      </c>
      <c r="AD1819">
        <f>IF(COUNT($E$2:$E1819)&lt;15,"",AVERAGE($AC$1806:$AC$1819))</f>
        <v>0</v>
      </c>
      <c r="AE1819">
        <f>IF(OR($E1819="",$E1818=""),"",IF(AND(($C1819-$C1818)&gt;($D1818-$D1819),($C1819-$C1818)&gt;0),$C1819-$C1818,0))</f>
        <v>0</v>
      </c>
      <c r="AF1819">
        <f>IF(OR($E1819="",$E1818=""),"",IF(AND(($D1818-$D1819)&gt;($C1819-$C1818),($D1818-$D1819)&gt;0),$D1818-$D1819,0))</f>
        <v>0</v>
      </c>
      <c r="AG1819">
        <f>IF(COUNT($E$2:$E1819)&lt;15,"",IF(SUM($AC$1806:$AC$1819)=0,0,100*SUM($AE$1806:$AE$1819)/SUM($AC$1806:$AC$1819)))</f>
        <v>0</v>
      </c>
      <c r="AH1819">
        <f>IF(COUNT($E$2:$E1819)&lt;15,"",IF(SUM($AC$1806:$AC$1819)=0,0,100*SUM($AF$1806:$AF$1819)/SUM($AC$1806:$AC$1819)))</f>
        <v>0</v>
      </c>
      <c r="AI1819">
        <f>IF(OR(AG1819="",AH1819=""),"",IF((AG1819+AH1819)=0,0,100*ABS(AG1819-AH1819)/(AG1819+AH1819)))</f>
        <v>0</v>
      </c>
      <c r="AJ1819">
        <f>IF(COUNT($AI$1806:$AI$1819)&lt;14,"",AVERAGE($AI$1806:$AI$1819))</f>
        <v>0</v>
      </c>
      <c r="AK1819">
        <f>IF(COUNT($E$2:$E1819)&lt;20,"",AVERAGE($E$1800:$E$1819))</f>
        <v>0</v>
      </c>
      <c r="AL1819">
        <f>IF(COUNT($E$2:$E1819)&lt;20,"",STDEVP($E$1800:$E$1819))</f>
        <v>0</v>
      </c>
      <c r="AM1819">
        <f>IF(AK1819="","",AK1819+2*AL1819)</f>
        <v>0</v>
      </c>
      <c r="AN1819">
        <f>IF(AK1819="","",AK1819-2*AL1819)</f>
        <v>0</v>
      </c>
      <c r="AO1819">
        <f>IF(OR(AM1819="",AN1819="",AM1819=AN1819),"",($E1819-AN1819)/(AM1819-AN1819))</f>
        <v>0</v>
      </c>
      <c r="AP1819">
        <f>IF(OR(AM1819="",AK1819="",AK1819=0),"",(AM1819-AN1819)/AK1819)</f>
        <v>0</v>
      </c>
      <c r="AQ1819">
        <f>IF(COUNT($E$2:$E1819)&lt;20,"",MAX($C$1800:$C$1819))</f>
        <v>0</v>
      </c>
      <c r="AR1819">
        <f>IF(COUNT($E$2:$E1819)&lt;20,"",MIN($D$1800:$D$1819))</f>
        <v>0</v>
      </c>
      <c r="AS1819">
        <f>IF(OR(AQ1819="",AR1819=""),"",(AQ1819+AR1819)/2)</f>
        <v>0</v>
      </c>
      <c r="AT1819">
        <f>IF(COUNT($G$1800:$G$1819)&lt;20,"",STDEV($G$1800:$G$1819)*SQRT(252))</f>
        <v>0</v>
      </c>
      <c r="AU1819">
        <f>IF(COUNT($E$2:$E1819)&lt;9,"",(MAX($C$1811:$C$1819)+MIN($D$1811:$D$1819))/2)</f>
        <v>0</v>
      </c>
      <c r="AV1819">
        <f>IF(COUNT($E$2:$E1819)&lt;26,"",(MAX($C$1794:$C$1819)+MIN($D$1794:$D$1819))/2)</f>
        <v>0</v>
      </c>
      <c r="AW1819">
        <f>IF(OR(AU1819="",AV1819=""),"",(AU1819+AV1819)/2)</f>
        <v>0</v>
      </c>
      <c r="AX1819">
        <f>IF(COUNT($E$2:$E1819)&lt;52,"",(MAX($C$1768:$C$1819)+MIN($D$1768:$D$1819))/2)</f>
        <v>0</v>
      </c>
      <c r="AY1819">
        <f>IF(COUNT($E$2:$E1819)&lt;20,"",MAX($C$1720:$C$1819))</f>
        <v>0</v>
      </c>
      <c r="AZ1819">
        <f>IF(COUNT($E$2:$E1819)&lt;20,"",MIN($D$1720:$D$1819))</f>
        <v>0</v>
      </c>
      <c r="BA1819">
        <f>IF(COUNT($E$2:$E1819)&lt;20,"",SLOPE($E$1720:$E$1819,$F$1720:$F$1819))</f>
        <v>0</v>
      </c>
      <c r="BB1819">
        <f>IF(COUNT($E$2:$E1819)&lt;20,"",INTERCEPT($E$1720:$E$1819,$F$1720:$F$1819))</f>
        <v>0</v>
      </c>
      <c r="BC1819">
        <f>IF(OR(BA1819="",BB1819=""),"",BB1819+BA1819*F1819)</f>
        <v>0</v>
      </c>
      <c r="BD1819">
        <f>IF(COUNT($E$2:$E1819)&lt;20,"",STEYX($E$1720:$E$1819,$F$1720:$F$1819))</f>
        <v>0</v>
      </c>
      <c r="BE1819">
        <f>IF($E1819="","",IF(AND(COUNT($E$1820:$E$1823)&gt;=4,$C1819=MAX($C$1815:$C$1823)),$C1819,""))</f>
        <v>0</v>
      </c>
      <c r="BF1819">
        <f>IF($E1819="","",IF(AND(COUNT($E$1820:$E$1823)&gt;=4,$D1819=MIN($D$1815:$D$1823)),$D1819,""))</f>
        <v>0</v>
      </c>
      <c r="BG1819">
        <f>IF($A1819="","",$A1819-WEEKDAY($A1819,2)+1)</f>
        <v>0</v>
      </c>
      <c r="BH1819">
        <f>IF($A1819="","",IF($A1818="",1,IF(BG1819&lt;&gt;BG1818,1,0)))</f>
        <v>0</v>
      </c>
      <c r="BI1819">
        <f>IF($A1819="","",IF($A1820="",1,IF(BG1820&lt;&gt;BG1819,1,0)))</f>
        <v>0</v>
      </c>
      <c r="BJ1819">
        <f>IF($A1819="","",IF(BH1819=1,$B1819,BJ1818))</f>
        <v>0</v>
      </c>
      <c r="BK1819">
        <f>IF($A1819="","",IF(BH1819=1,$C1819,MAX($C1819,BK1818)))</f>
        <v>0</v>
      </c>
      <c r="BL1819">
        <f>IF($A1819="","",IF(BH1819=1,$D1819,MIN($D1819,BL1818)))</f>
        <v>0</v>
      </c>
      <c r="BM1819">
        <f>IF($A1819="","",IF(BI1819=1,F1819,""))</f>
        <v>0</v>
      </c>
      <c r="BN1819">
        <f>IF($A1819="","",DATE(YEAR($A1819),MONTH($A1819),1))</f>
        <v>0</v>
      </c>
      <c r="BO1819">
        <f>IF($A1819="","",IF($A1818="",1,IF(BN1819&lt;&gt;BN1818,1,0)))</f>
        <v>0</v>
      </c>
      <c r="BP1819">
        <f>IF($A1819="","",IF($A1820="",1,IF(BN1820&lt;&gt;BN1819,1,0)))</f>
        <v>0</v>
      </c>
      <c r="BQ1819">
        <f>IF($A1819="","",IF(BO1819=1,$B1819,BQ1818))</f>
        <v>0</v>
      </c>
      <c r="BR1819">
        <f>IF($A1819="","",IF(BO1819=1,$C1819,MAX($C1819,BR1818)))</f>
        <v>0</v>
      </c>
      <c r="BS1819">
        <f>IF($A1819="","",IF(BO1819=1,$D1819,MIN($D1819,BS1818)))</f>
        <v>0</v>
      </c>
      <c r="BT1819">
        <f>IF($A1819="","",IF(BP1819=1,F1819,""))</f>
        <v>0</v>
      </c>
    </row>
    <row r="1820" spans="1:72">
      <c r="A1820" s="27">
        <f>IF(Data!$A1820="","",Data!$A1820)</f>
        <v>0</v>
      </c>
      <c r="B1820">
        <f>IF(Data!$B1820="","",Data!$B1820)</f>
        <v>0</v>
      </c>
      <c r="C1820">
        <f>IF(Data!$C1820="","",Data!$C1820)</f>
        <v>0</v>
      </c>
      <c r="D1820">
        <f>IF(Data!$D1820="","",Data!$D1820)</f>
        <v>0</v>
      </c>
      <c r="E1820">
        <f>IF(Data!$E1820="","",Data!$E1820)</f>
        <v>0</v>
      </c>
      <c r="F1820">
        <f>IF($E1820="","",N(F1819)+1)</f>
        <v>0</v>
      </c>
      <c r="G1820">
        <f>IF(OR($E1820="",$E1819=""),"",LN($E1820/$E1819))</f>
        <v>0</v>
      </c>
      <c r="H1820">
        <f>IF($E1820="","",IF($E1819="",$E1820,$E1820*0.0952380952+H1819*0.9047619048))</f>
        <v>0</v>
      </c>
      <c r="I1820">
        <f>IF($E1820="","",IF($E1819="",$E1820,$E1820*0.0392156863+I1819*0.9607843137))</f>
        <v>0</v>
      </c>
      <c r="J1820">
        <f>IF($E1820="","",IF($E1819="",$E1820,$E1820*0.0198019802+J1819*0.9801980198))</f>
        <v>0</v>
      </c>
      <c r="K1820">
        <f>IF($E1820="","",IF($E1819="",$E1820,$E1820*0.0099502488+K1819*0.9900497512))</f>
        <v>0</v>
      </c>
      <c r="L1820">
        <f>IF(OR($E1820="",$E1819=""),"",MAX($E1820-$E1819,0))</f>
        <v>0</v>
      </c>
      <c r="M1820">
        <f>IF(OR($E1820="",$E1819=""),"",MAX($E1819-$E1820,0))</f>
        <v>0</v>
      </c>
      <c r="N1820">
        <f>IF(COUNT($E$2:$E1820)&lt;15,"",IF(AVERAGE($M$1807:$M$1820)=0,100,100-100/(1+AVERAGE($L$1807:$L$1820)/AVERAGE($M$1807:$M$1820))))</f>
        <v>0</v>
      </c>
      <c r="O1820">
        <f>IF($E1820="","",IF($E1819="",$E1820,$E1820*0.1538461538+O1819*0.8461538462))</f>
        <v>0</v>
      </c>
      <c r="P1820">
        <f>IF($E1820="","",IF($E1819="",$E1820,$E1820*0.0740740741+P1819*0.9259259259))</f>
        <v>0</v>
      </c>
      <c r="Q1820">
        <f>IF(OR(O1820="",P1820=""),"",O1820-P1820)</f>
        <v>0</v>
      </c>
      <c r="R1820">
        <f>IF(Q1820="","",IF(R1819="",Q1820,Q1820*0.2000000000+R1819*0.8000000000))</f>
        <v>0</v>
      </c>
      <c r="S1820">
        <f>IF(OR(Q1820="",R1820=""),"",Q1820-R1820)</f>
        <v>0</v>
      </c>
      <c r="T1820">
        <f>IF(COUNT($E$2:$E1820)&lt;14,"",MAX($C$1807:$C$1820))</f>
        <v>0</v>
      </c>
      <c r="U1820">
        <f>IF(COUNT($E$2:$E1820)&lt;14,"",MIN($D$1807:$D$1820))</f>
        <v>0</v>
      </c>
      <c r="V1820">
        <f>IF(OR(T1820="",U1820="",T1820=U1820),"",100*($E1820-U1820)/(T1820-U1820))</f>
        <v>0</v>
      </c>
      <c r="W1820">
        <f>IF(COUNT($V$1818:$V$1820)&lt;3,"",AVERAGE($V$1818:$V$1820))</f>
        <v>0</v>
      </c>
      <c r="X1820">
        <f>IF(COUNT($N$1807:$N$1820)&lt;14,"",MIN($N$1807:$N$1820))</f>
        <v>0</v>
      </c>
      <c r="Y1820">
        <f>IF(COUNT($N$1807:$N$1820)&lt;14,"",MAX($N$1807:$N$1820))</f>
        <v>0</v>
      </c>
      <c r="Z1820">
        <f>IF(OR(N1820="",X1820="",Y1820="",Y1820=X1820),"",100*(N1820-X1820)/(Y1820-X1820))</f>
        <v>0</v>
      </c>
      <c r="AA1820">
        <f>IF(COUNT($Z$1818:$Z$1820)&lt;3,"",AVERAGE($Z$1818:$Z$1820))</f>
        <v>0</v>
      </c>
      <c r="AB1820">
        <f>IF(COUNT($AA$1818:$AA$1820)&lt;3,"",AVERAGE($AA$1818:$AA$1820))</f>
        <v>0</v>
      </c>
      <c r="AC1820">
        <f>IF($E1820="","",MAX($C1820-$D1820,ABS($C1820-$E1819),ABS($D1820-$E1819)))</f>
        <v>0</v>
      </c>
      <c r="AD1820">
        <f>IF(COUNT($E$2:$E1820)&lt;15,"",AVERAGE($AC$1807:$AC$1820))</f>
        <v>0</v>
      </c>
      <c r="AE1820">
        <f>IF(OR($E1820="",$E1819=""),"",IF(AND(($C1820-$C1819)&gt;($D1819-$D1820),($C1820-$C1819)&gt;0),$C1820-$C1819,0))</f>
        <v>0</v>
      </c>
      <c r="AF1820">
        <f>IF(OR($E1820="",$E1819=""),"",IF(AND(($D1819-$D1820)&gt;($C1820-$C1819),($D1819-$D1820)&gt;0),$D1819-$D1820,0))</f>
        <v>0</v>
      </c>
      <c r="AG1820">
        <f>IF(COUNT($E$2:$E1820)&lt;15,"",IF(SUM($AC$1807:$AC$1820)=0,0,100*SUM($AE$1807:$AE$1820)/SUM($AC$1807:$AC$1820)))</f>
        <v>0</v>
      </c>
      <c r="AH1820">
        <f>IF(COUNT($E$2:$E1820)&lt;15,"",IF(SUM($AC$1807:$AC$1820)=0,0,100*SUM($AF$1807:$AF$1820)/SUM($AC$1807:$AC$1820)))</f>
        <v>0</v>
      </c>
      <c r="AI1820">
        <f>IF(OR(AG1820="",AH1820=""),"",IF((AG1820+AH1820)=0,0,100*ABS(AG1820-AH1820)/(AG1820+AH1820)))</f>
        <v>0</v>
      </c>
      <c r="AJ1820">
        <f>IF(COUNT($AI$1807:$AI$1820)&lt;14,"",AVERAGE($AI$1807:$AI$1820))</f>
        <v>0</v>
      </c>
      <c r="AK1820">
        <f>IF(COUNT($E$2:$E1820)&lt;20,"",AVERAGE($E$1801:$E$1820))</f>
        <v>0</v>
      </c>
      <c r="AL1820">
        <f>IF(COUNT($E$2:$E1820)&lt;20,"",STDEVP($E$1801:$E$1820))</f>
        <v>0</v>
      </c>
      <c r="AM1820">
        <f>IF(AK1820="","",AK1820+2*AL1820)</f>
        <v>0</v>
      </c>
      <c r="AN1820">
        <f>IF(AK1820="","",AK1820-2*AL1820)</f>
        <v>0</v>
      </c>
      <c r="AO1820">
        <f>IF(OR(AM1820="",AN1820="",AM1820=AN1820),"",($E1820-AN1820)/(AM1820-AN1820))</f>
        <v>0</v>
      </c>
      <c r="AP1820">
        <f>IF(OR(AM1820="",AK1820="",AK1820=0),"",(AM1820-AN1820)/AK1820)</f>
        <v>0</v>
      </c>
      <c r="AQ1820">
        <f>IF(COUNT($E$2:$E1820)&lt;20,"",MAX($C$1801:$C$1820))</f>
        <v>0</v>
      </c>
      <c r="AR1820">
        <f>IF(COUNT($E$2:$E1820)&lt;20,"",MIN($D$1801:$D$1820))</f>
        <v>0</v>
      </c>
      <c r="AS1820">
        <f>IF(OR(AQ1820="",AR1820=""),"",(AQ1820+AR1820)/2)</f>
        <v>0</v>
      </c>
      <c r="AT1820">
        <f>IF(COUNT($G$1801:$G$1820)&lt;20,"",STDEV($G$1801:$G$1820)*SQRT(252))</f>
        <v>0</v>
      </c>
      <c r="AU1820">
        <f>IF(COUNT($E$2:$E1820)&lt;9,"",(MAX($C$1812:$C$1820)+MIN($D$1812:$D$1820))/2)</f>
        <v>0</v>
      </c>
      <c r="AV1820">
        <f>IF(COUNT($E$2:$E1820)&lt;26,"",(MAX($C$1795:$C$1820)+MIN($D$1795:$D$1820))/2)</f>
        <v>0</v>
      </c>
      <c r="AW1820">
        <f>IF(OR(AU1820="",AV1820=""),"",(AU1820+AV1820)/2)</f>
        <v>0</v>
      </c>
      <c r="AX1820">
        <f>IF(COUNT($E$2:$E1820)&lt;52,"",(MAX($C$1769:$C$1820)+MIN($D$1769:$D$1820))/2)</f>
        <v>0</v>
      </c>
      <c r="AY1820">
        <f>IF(COUNT($E$2:$E1820)&lt;20,"",MAX($C$1721:$C$1820))</f>
        <v>0</v>
      </c>
      <c r="AZ1820">
        <f>IF(COUNT($E$2:$E1820)&lt;20,"",MIN($D$1721:$D$1820))</f>
        <v>0</v>
      </c>
      <c r="BA1820">
        <f>IF(COUNT($E$2:$E1820)&lt;20,"",SLOPE($E$1721:$E$1820,$F$1721:$F$1820))</f>
        <v>0</v>
      </c>
      <c r="BB1820">
        <f>IF(COUNT($E$2:$E1820)&lt;20,"",INTERCEPT($E$1721:$E$1820,$F$1721:$F$1820))</f>
        <v>0</v>
      </c>
      <c r="BC1820">
        <f>IF(OR(BA1820="",BB1820=""),"",BB1820+BA1820*F1820)</f>
        <v>0</v>
      </c>
      <c r="BD1820">
        <f>IF(COUNT($E$2:$E1820)&lt;20,"",STEYX($E$1721:$E$1820,$F$1721:$F$1820))</f>
        <v>0</v>
      </c>
      <c r="BE1820">
        <f>IF($E1820="","",IF(AND(COUNT($E$1821:$E$1824)&gt;=4,$C1820=MAX($C$1816:$C$1824)),$C1820,""))</f>
        <v>0</v>
      </c>
      <c r="BF1820">
        <f>IF($E1820="","",IF(AND(COUNT($E$1821:$E$1824)&gt;=4,$D1820=MIN($D$1816:$D$1824)),$D1820,""))</f>
        <v>0</v>
      </c>
      <c r="BG1820">
        <f>IF($A1820="","",$A1820-WEEKDAY($A1820,2)+1)</f>
        <v>0</v>
      </c>
      <c r="BH1820">
        <f>IF($A1820="","",IF($A1819="",1,IF(BG1820&lt;&gt;BG1819,1,0)))</f>
        <v>0</v>
      </c>
      <c r="BI1820">
        <f>IF($A1820="","",IF($A1821="",1,IF(BG1821&lt;&gt;BG1820,1,0)))</f>
        <v>0</v>
      </c>
      <c r="BJ1820">
        <f>IF($A1820="","",IF(BH1820=1,$B1820,BJ1819))</f>
        <v>0</v>
      </c>
      <c r="BK1820">
        <f>IF($A1820="","",IF(BH1820=1,$C1820,MAX($C1820,BK1819)))</f>
        <v>0</v>
      </c>
      <c r="BL1820">
        <f>IF($A1820="","",IF(BH1820=1,$D1820,MIN($D1820,BL1819)))</f>
        <v>0</v>
      </c>
      <c r="BM1820">
        <f>IF($A1820="","",IF(BI1820=1,F1820,""))</f>
        <v>0</v>
      </c>
      <c r="BN1820">
        <f>IF($A1820="","",DATE(YEAR($A1820),MONTH($A1820),1))</f>
        <v>0</v>
      </c>
      <c r="BO1820">
        <f>IF($A1820="","",IF($A1819="",1,IF(BN1820&lt;&gt;BN1819,1,0)))</f>
        <v>0</v>
      </c>
      <c r="BP1820">
        <f>IF($A1820="","",IF($A1821="",1,IF(BN1821&lt;&gt;BN1820,1,0)))</f>
        <v>0</v>
      </c>
      <c r="BQ1820">
        <f>IF($A1820="","",IF(BO1820=1,$B1820,BQ1819))</f>
        <v>0</v>
      </c>
      <c r="BR1820">
        <f>IF($A1820="","",IF(BO1820=1,$C1820,MAX($C1820,BR1819)))</f>
        <v>0</v>
      </c>
      <c r="BS1820">
        <f>IF($A1820="","",IF(BO1820=1,$D1820,MIN($D1820,BS1819)))</f>
        <v>0</v>
      </c>
      <c r="BT1820">
        <f>IF($A1820="","",IF(BP1820=1,F1820,""))</f>
        <v>0</v>
      </c>
    </row>
    <row r="1821" spans="1:72">
      <c r="A1821" s="27">
        <f>IF(Data!$A1821="","",Data!$A1821)</f>
        <v>0</v>
      </c>
      <c r="B1821">
        <f>IF(Data!$B1821="","",Data!$B1821)</f>
        <v>0</v>
      </c>
      <c r="C1821">
        <f>IF(Data!$C1821="","",Data!$C1821)</f>
        <v>0</v>
      </c>
      <c r="D1821">
        <f>IF(Data!$D1821="","",Data!$D1821)</f>
        <v>0</v>
      </c>
      <c r="E1821">
        <f>IF(Data!$E1821="","",Data!$E1821)</f>
        <v>0</v>
      </c>
      <c r="F1821">
        <f>IF($E1821="","",N(F1820)+1)</f>
        <v>0</v>
      </c>
      <c r="G1821">
        <f>IF(OR($E1821="",$E1820=""),"",LN($E1821/$E1820))</f>
        <v>0</v>
      </c>
      <c r="H1821">
        <f>IF($E1821="","",IF($E1820="",$E1821,$E1821*0.0952380952+H1820*0.9047619048))</f>
        <v>0</v>
      </c>
      <c r="I1821">
        <f>IF($E1821="","",IF($E1820="",$E1821,$E1821*0.0392156863+I1820*0.9607843137))</f>
        <v>0</v>
      </c>
      <c r="J1821">
        <f>IF($E1821="","",IF($E1820="",$E1821,$E1821*0.0198019802+J1820*0.9801980198))</f>
        <v>0</v>
      </c>
      <c r="K1821">
        <f>IF($E1821="","",IF($E1820="",$E1821,$E1821*0.0099502488+K1820*0.9900497512))</f>
        <v>0</v>
      </c>
      <c r="L1821">
        <f>IF(OR($E1821="",$E1820=""),"",MAX($E1821-$E1820,0))</f>
        <v>0</v>
      </c>
      <c r="M1821">
        <f>IF(OR($E1821="",$E1820=""),"",MAX($E1820-$E1821,0))</f>
        <v>0</v>
      </c>
      <c r="N1821">
        <f>IF(COUNT($E$2:$E1821)&lt;15,"",IF(AVERAGE($M$1808:$M$1821)=0,100,100-100/(1+AVERAGE($L$1808:$L$1821)/AVERAGE($M$1808:$M$1821))))</f>
        <v>0</v>
      </c>
      <c r="O1821">
        <f>IF($E1821="","",IF($E1820="",$E1821,$E1821*0.1538461538+O1820*0.8461538462))</f>
        <v>0</v>
      </c>
      <c r="P1821">
        <f>IF($E1821="","",IF($E1820="",$E1821,$E1821*0.0740740741+P1820*0.9259259259))</f>
        <v>0</v>
      </c>
      <c r="Q1821">
        <f>IF(OR(O1821="",P1821=""),"",O1821-P1821)</f>
        <v>0</v>
      </c>
      <c r="R1821">
        <f>IF(Q1821="","",IF(R1820="",Q1821,Q1821*0.2000000000+R1820*0.8000000000))</f>
        <v>0</v>
      </c>
      <c r="S1821">
        <f>IF(OR(Q1821="",R1821=""),"",Q1821-R1821)</f>
        <v>0</v>
      </c>
      <c r="T1821">
        <f>IF(COUNT($E$2:$E1821)&lt;14,"",MAX($C$1808:$C$1821))</f>
        <v>0</v>
      </c>
      <c r="U1821">
        <f>IF(COUNT($E$2:$E1821)&lt;14,"",MIN($D$1808:$D$1821))</f>
        <v>0</v>
      </c>
      <c r="V1821">
        <f>IF(OR(T1821="",U1821="",T1821=U1821),"",100*($E1821-U1821)/(T1821-U1821))</f>
        <v>0</v>
      </c>
      <c r="W1821">
        <f>IF(COUNT($V$1819:$V$1821)&lt;3,"",AVERAGE($V$1819:$V$1821))</f>
        <v>0</v>
      </c>
      <c r="X1821">
        <f>IF(COUNT($N$1808:$N$1821)&lt;14,"",MIN($N$1808:$N$1821))</f>
        <v>0</v>
      </c>
      <c r="Y1821">
        <f>IF(COUNT($N$1808:$N$1821)&lt;14,"",MAX($N$1808:$N$1821))</f>
        <v>0</v>
      </c>
      <c r="Z1821">
        <f>IF(OR(N1821="",X1821="",Y1821="",Y1821=X1821),"",100*(N1821-X1821)/(Y1821-X1821))</f>
        <v>0</v>
      </c>
      <c r="AA1821">
        <f>IF(COUNT($Z$1819:$Z$1821)&lt;3,"",AVERAGE($Z$1819:$Z$1821))</f>
        <v>0</v>
      </c>
      <c r="AB1821">
        <f>IF(COUNT($AA$1819:$AA$1821)&lt;3,"",AVERAGE($AA$1819:$AA$1821))</f>
        <v>0</v>
      </c>
      <c r="AC1821">
        <f>IF($E1821="","",MAX($C1821-$D1821,ABS($C1821-$E1820),ABS($D1821-$E1820)))</f>
        <v>0</v>
      </c>
      <c r="AD1821">
        <f>IF(COUNT($E$2:$E1821)&lt;15,"",AVERAGE($AC$1808:$AC$1821))</f>
        <v>0</v>
      </c>
      <c r="AE1821">
        <f>IF(OR($E1821="",$E1820=""),"",IF(AND(($C1821-$C1820)&gt;($D1820-$D1821),($C1821-$C1820)&gt;0),$C1821-$C1820,0))</f>
        <v>0</v>
      </c>
      <c r="AF1821">
        <f>IF(OR($E1821="",$E1820=""),"",IF(AND(($D1820-$D1821)&gt;($C1821-$C1820),($D1820-$D1821)&gt;0),$D1820-$D1821,0))</f>
        <v>0</v>
      </c>
      <c r="AG1821">
        <f>IF(COUNT($E$2:$E1821)&lt;15,"",IF(SUM($AC$1808:$AC$1821)=0,0,100*SUM($AE$1808:$AE$1821)/SUM($AC$1808:$AC$1821)))</f>
        <v>0</v>
      </c>
      <c r="AH1821">
        <f>IF(COUNT($E$2:$E1821)&lt;15,"",IF(SUM($AC$1808:$AC$1821)=0,0,100*SUM($AF$1808:$AF$1821)/SUM($AC$1808:$AC$1821)))</f>
        <v>0</v>
      </c>
      <c r="AI1821">
        <f>IF(OR(AG1821="",AH1821=""),"",IF((AG1821+AH1821)=0,0,100*ABS(AG1821-AH1821)/(AG1821+AH1821)))</f>
        <v>0</v>
      </c>
      <c r="AJ1821">
        <f>IF(COUNT($AI$1808:$AI$1821)&lt;14,"",AVERAGE($AI$1808:$AI$1821))</f>
        <v>0</v>
      </c>
      <c r="AK1821">
        <f>IF(COUNT($E$2:$E1821)&lt;20,"",AVERAGE($E$1802:$E$1821))</f>
        <v>0</v>
      </c>
      <c r="AL1821">
        <f>IF(COUNT($E$2:$E1821)&lt;20,"",STDEVP($E$1802:$E$1821))</f>
        <v>0</v>
      </c>
      <c r="AM1821">
        <f>IF(AK1821="","",AK1821+2*AL1821)</f>
        <v>0</v>
      </c>
      <c r="AN1821">
        <f>IF(AK1821="","",AK1821-2*AL1821)</f>
        <v>0</v>
      </c>
      <c r="AO1821">
        <f>IF(OR(AM1821="",AN1821="",AM1821=AN1821),"",($E1821-AN1821)/(AM1821-AN1821))</f>
        <v>0</v>
      </c>
      <c r="AP1821">
        <f>IF(OR(AM1821="",AK1821="",AK1821=0),"",(AM1821-AN1821)/AK1821)</f>
        <v>0</v>
      </c>
      <c r="AQ1821">
        <f>IF(COUNT($E$2:$E1821)&lt;20,"",MAX($C$1802:$C$1821))</f>
        <v>0</v>
      </c>
      <c r="AR1821">
        <f>IF(COUNT($E$2:$E1821)&lt;20,"",MIN($D$1802:$D$1821))</f>
        <v>0</v>
      </c>
      <c r="AS1821">
        <f>IF(OR(AQ1821="",AR1821=""),"",(AQ1821+AR1821)/2)</f>
        <v>0</v>
      </c>
      <c r="AT1821">
        <f>IF(COUNT($G$1802:$G$1821)&lt;20,"",STDEV($G$1802:$G$1821)*SQRT(252))</f>
        <v>0</v>
      </c>
      <c r="AU1821">
        <f>IF(COUNT($E$2:$E1821)&lt;9,"",(MAX($C$1813:$C$1821)+MIN($D$1813:$D$1821))/2)</f>
        <v>0</v>
      </c>
      <c r="AV1821">
        <f>IF(COUNT($E$2:$E1821)&lt;26,"",(MAX($C$1796:$C$1821)+MIN($D$1796:$D$1821))/2)</f>
        <v>0</v>
      </c>
      <c r="AW1821">
        <f>IF(OR(AU1821="",AV1821=""),"",(AU1821+AV1821)/2)</f>
        <v>0</v>
      </c>
      <c r="AX1821">
        <f>IF(COUNT($E$2:$E1821)&lt;52,"",(MAX($C$1770:$C$1821)+MIN($D$1770:$D$1821))/2)</f>
        <v>0</v>
      </c>
      <c r="AY1821">
        <f>IF(COUNT($E$2:$E1821)&lt;20,"",MAX($C$1722:$C$1821))</f>
        <v>0</v>
      </c>
      <c r="AZ1821">
        <f>IF(COUNT($E$2:$E1821)&lt;20,"",MIN($D$1722:$D$1821))</f>
        <v>0</v>
      </c>
      <c r="BA1821">
        <f>IF(COUNT($E$2:$E1821)&lt;20,"",SLOPE($E$1722:$E$1821,$F$1722:$F$1821))</f>
        <v>0</v>
      </c>
      <c r="BB1821">
        <f>IF(COUNT($E$2:$E1821)&lt;20,"",INTERCEPT($E$1722:$E$1821,$F$1722:$F$1821))</f>
        <v>0</v>
      </c>
      <c r="BC1821">
        <f>IF(OR(BA1821="",BB1821=""),"",BB1821+BA1821*F1821)</f>
        <v>0</v>
      </c>
      <c r="BD1821">
        <f>IF(COUNT($E$2:$E1821)&lt;20,"",STEYX($E$1722:$E$1821,$F$1722:$F$1821))</f>
        <v>0</v>
      </c>
      <c r="BE1821">
        <f>IF($E1821="","",IF(AND(COUNT($E$1822:$E$1825)&gt;=4,$C1821=MAX($C$1817:$C$1825)),$C1821,""))</f>
        <v>0</v>
      </c>
      <c r="BF1821">
        <f>IF($E1821="","",IF(AND(COUNT($E$1822:$E$1825)&gt;=4,$D1821=MIN($D$1817:$D$1825)),$D1821,""))</f>
        <v>0</v>
      </c>
      <c r="BG1821">
        <f>IF($A1821="","",$A1821-WEEKDAY($A1821,2)+1)</f>
        <v>0</v>
      </c>
      <c r="BH1821">
        <f>IF($A1821="","",IF($A1820="",1,IF(BG1821&lt;&gt;BG1820,1,0)))</f>
        <v>0</v>
      </c>
      <c r="BI1821">
        <f>IF($A1821="","",IF($A1822="",1,IF(BG1822&lt;&gt;BG1821,1,0)))</f>
        <v>0</v>
      </c>
      <c r="BJ1821">
        <f>IF($A1821="","",IF(BH1821=1,$B1821,BJ1820))</f>
        <v>0</v>
      </c>
      <c r="BK1821">
        <f>IF($A1821="","",IF(BH1821=1,$C1821,MAX($C1821,BK1820)))</f>
        <v>0</v>
      </c>
      <c r="BL1821">
        <f>IF($A1821="","",IF(BH1821=1,$D1821,MIN($D1821,BL1820)))</f>
        <v>0</v>
      </c>
      <c r="BM1821">
        <f>IF($A1821="","",IF(BI1821=1,F1821,""))</f>
        <v>0</v>
      </c>
      <c r="BN1821">
        <f>IF($A1821="","",DATE(YEAR($A1821),MONTH($A1821),1))</f>
        <v>0</v>
      </c>
      <c r="BO1821">
        <f>IF($A1821="","",IF($A1820="",1,IF(BN1821&lt;&gt;BN1820,1,0)))</f>
        <v>0</v>
      </c>
      <c r="BP1821">
        <f>IF($A1821="","",IF($A1822="",1,IF(BN1822&lt;&gt;BN1821,1,0)))</f>
        <v>0</v>
      </c>
      <c r="BQ1821">
        <f>IF($A1821="","",IF(BO1821=1,$B1821,BQ1820))</f>
        <v>0</v>
      </c>
      <c r="BR1821">
        <f>IF($A1821="","",IF(BO1821=1,$C1821,MAX($C1821,BR1820)))</f>
        <v>0</v>
      </c>
      <c r="BS1821">
        <f>IF($A1821="","",IF(BO1821=1,$D1821,MIN($D1821,BS1820)))</f>
        <v>0</v>
      </c>
      <c r="BT1821">
        <f>IF($A1821="","",IF(BP1821=1,F1821,""))</f>
        <v>0</v>
      </c>
    </row>
    <row r="1822" spans="1:72">
      <c r="A1822" s="27">
        <f>IF(Data!$A1822="","",Data!$A1822)</f>
        <v>0</v>
      </c>
      <c r="B1822">
        <f>IF(Data!$B1822="","",Data!$B1822)</f>
        <v>0</v>
      </c>
      <c r="C1822">
        <f>IF(Data!$C1822="","",Data!$C1822)</f>
        <v>0</v>
      </c>
      <c r="D1822">
        <f>IF(Data!$D1822="","",Data!$D1822)</f>
        <v>0</v>
      </c>
      <c r="E1822">
        <f>IF(Data!$E1822="","",Data!$E1822)</f>
        <v>0</v>
      </c>
      <c r="F1822">
        <f>IF($E1822="","",N(F1821)+1)</f>
        <v>0</v>
      </c>
      <c r="G1822">
        <f>IF(OR($E1822="",$E1821=""),"",LN($E1822/$E1821))</f>
        <v>0</v>
      </c>
      <c r="H1822">
        <f>IF($E1822="","",IF($E1821="",$E1822,$E1822*0.0952380952+H1821*0.9047619048))</f>
        <v>0</v>
      </c>
      <c r="I1822">
        <f>IF($E1822="","",IF($E1821="",$E1822,$E1822*0.0392156863+I1821*0.9607843137))</f>
        <v>0</v>
      </c>
      <c r="J1822">
        <f>IF($E1822="","",IF($E1821="",$E1822,$E1822*0.0198019802+J1821*0.9801980198))</f>
        <v>0</v>
      </c>
      <c r="K1822">
        <f>IF($E1822="","",IF($E1821="",$E1822,$E1822*0.0099502488+K1821*0.9900497512))</f>
        <v>0</v>
      </c>
      <c r="L1822">
        <f>IF(OR($E1822="",$E1821=""),"",MAX($E1822-$E1821,0))</f>
        <v>0</v>
      </c>
      <c r="M1822">
        <f>IF(OR($E1822="",$E1821=""),"",MAX($E1821-$E1822,0))</f>
        <v>0</v>
      </c>
      <c r="N1822">
        <f>IF(COUNT($E$2:$E1822)&lt;15,"",IF(AVERAGE($M$1809:$M$1822)=0,100,100-100/(1+AVERAGE($L$1809:$L$1822)/AVERAGE($M$1809:$M$1822))))</f>
        <v>0</v>
      </c>
      <c r="O1822">
        <f>IF($E1822="","",IF($E1821="",$E1822,$E1822*0.1538461538+O1821*0.8461538462))</f>
        <v>0</v>
      </c>
      <c r="P1822">
        <f>IF($E1822="","",IF($E1821="",$E1822,$E1822*0.0740740741+P1821*0.9259259259))</f>
        <v>0</v>
      </c>
      <c r="Q1822">
        <f>IF(OR(O1822="",P1822=""),"",O1822-P1822)</f>
        <v>0</v>
      </c>
      <c r="R1822">
        <f>IF(Q1822="","",IF(R1821="",Q1822,Q1822*0.2000000000+R1821*0.8000000000))</f>
        <v>0</v>
      </c>
      <c r="S1822">
        <f>IF(OR(Q1822="",R1822=""),"",Q1822-R1822)</f>
        <v>0</v>
      </c>
      <c r="T1822">
        <f>IF(COUNT($E$2:$E1822)&lt;14,"",MAX($C$1809:$C$1822))</f>
        <v>0</v>
      </c>
      <c r="U1822">
        <f>IF(COUNT($E$2:$E1822)&lt;14,"",MIN($D$1809:$D$1822))</f>
        <v>0</v>
      </c>
      <c r="V1822">
        <f>IF(OR(T1822="",U1822="",T1822=U1822),"",100*($E1822-U1822)/(T1822-U1822))</f>
        <v>0</v>
      </c>
      <c r="W1822">
        <f>IF(COUNT($V$1820:$V$1822)&lt;3,"",AVERAGE($V$1820:$V$1822))</f>
        <v>0</v>
      </c>
      <c r="X1822">
        <f>IF(COUNT($N$1809:$N$1822)&lt;14,"",MIN($N$1809:$N$1822))</f>
        <v>0</v>
      </c>
      <c r="Y1822">
        <f>IF(COUNT($N$1809:$N$1822)&lt;14,"",MAX($N$1809:$N$1822))</f>
        <v>0</v>
      </c>
      <c r="Z1822">
        <f>IF(OR(N1822="",X1822="",Y1822="",Y1822=X1822),"",100*(N1822-X1822)/(Y1822-X1822))</f>
        <v>0</v>
      </c>
      <c r="AA1822">
        <f>IF(COUNT($Z$1820:$Z$1822)&lt;3,"",AVERAGE($Z$1820:$Z$1822))</f>
        <v>0</v>
      </c>
      <c r="AB1822">
        <f>IF(COUNT($AA$1820:$AA$1822)&lt;3,"",AVERAGE($AA$1820:$AA$1822))</f>
        <v>0</v>
      </c>
      <c r="AC1822">
        <f>IF($E1822="","",MAX($C1822-$D1822,ABS($C1822-$E1821),ABS($D1822-$E1821)))</f>
        <v>0</v>
      </c>
      <c r="AD1822">
        <f>IF(COUNT($E$2:$E1822)&lt;15,"",AVERAGE($AC$1809:$AC$1822))</f>
        <v>0</v>
      </c>
      <c r="AE1822">
        <f>IF(OR($E1822="",$E1821=""),"",IF(AND(($C1822-$C1821)&gt;($D1821-$D1822),($C1822-$C1821)&gt;0),$C1822-$C1821,0))</f>
        <v>0</v>
      </c>
      <c r="AF1822">
        <f>IF(OR($E1822="",$E1821=""),"",IF(AND(($D1821-$D1822)&gt;($C1822-$C1821),($D1821-$D1822)&gt;0),$D1821-$D1822,0))</f>
        <v>0</v>
      </c>
      <c r="AG1822">
        <f>IF(COUNT($E$2:$E1822)&lt;15,"",IF(SUM($AC$1809:$AC$1822)=0,0,100*SUM($AE$1809:$AE$1822)/SUM($AC$1809:$AC$1822)))</f>
        <v>0</v>
      </c>
      <c r="AH1822">
        <f>IF(COUNT($E$2:$E1822)&lt;15,"",IF(SUM($AC$1809:$AC$1822)=0,0,100*SUM($AF$1809:$AF$1822)/SUM($AC$1809:$AC$1822)))</f>
        <v>0</v>
      </c>
      <c r="AI1822">
        <f>IF(OR(AG1822="",AH1822=""),"",IF((AG1822+AH1822)=0,0,100*ABS(AG1822-AH1822)/(AG1822+AH1822)))</f>
        <v>0</v>
      </c>
      <c r="AJ1822">
        <f>IF(COUNT($AI$1809:$AI$1822)&lt;14,"",AVERAGE($AI$1809:$AI$1822))</f>
        <v>0</v>
      </c>
      <c r="AK1822">
        <f>IF(COUNT($E$2:$E1822)&lt;20,"",AVERAGE($E$1803:$E$1822))</f>
        <v>0</v>
      </c>
      <c r="AL1822">
        <f>IF(COUNT($E$2:$E1822)&lt;20,"",STDEVP($E$1803:$E$1822))</f>
        <v>0</v>
      </c>
      <c r="AM1822">
        <f>IF(AK1822="","",AK1822+2*AL1822)</f>
        <v>0</v>
      </c>
      <c r="AN1822">
        <f>IF(AK1822="","",AK1822-2*AL1822)</f>
        <v>0</v>
      </c>
      <c r="AO1822">
        <f>IF(OR(AM1822="",AN1822="",AM1822=AN1822),"",($E1822-AN1822)/(AM1822-AN1822))</f>
        <v>0</v>
      </c>
      <c r="AP1822">
        <f>IF(OR(AM1822="",AK1822="",AK1822=0),"",(AM1822-AN1822)/AK1822)</f>
        <v>0</v>
      </c>
      <c r="AQ1822">
        <f>IF(COUNT($E$2:$E1822)&lt;20,"",MAX($C$1803:$C$1822))</f>
        <v>0</v>
      </c>
      <c r="AR1822">
        <f>IF(COUNT($E$2:$E1822)&lt;20,"",MIN($D$1803:$D$1822))</f>
        <v>0</v>
      </c>
      <c r="AS1822">
        <f>IF(OR(AQ1822="",AR1822=""),"",(AQ1822+AR1822)/2)</f>
        <v>0</v>
      </c>
      <c r="AT1822">
        <f>IF(COUNT($G$1803:$G$1822)&lt;20,"",STDEV($G$1803:$G$1822)*SQRT(252))</f>
        <v>0</v>
      </c>
      <c r="AU1822">
        <f>IF(COUNT($E$2:$E1822)&lt;9,"",(MAX($C$1814:$C$1822)+MIN($D$1814:$D$1822))/2)</f>
        <v>0</v>
      </c>
      <c r="AV1822">
        <f>IF(COUNT($E$2:$E1822)&lt;26,"",(MAX($C$1797:$C$1822)+MIN($D$1797:$D$1822))/2)</f>
        <v>0</v>
      </c>
      <c r="AW1822">
        <f>IF(OR(AU1822="",AV1822=""),"",(AU1822+AV1822)/2)</f>
        <v>0</v>
      </c>
      <c r="AX1822">
        <f>IF(COUNT($E$2:$E1822)&lt;52,"",(MAX($C$1771:$C$1822)+MIN($D$1771:$D$1822))/2)</f>
        <v>0</v>
      </c>
      <c r="AY1822">
        <f>IF(COUNT($E$2:$E1822)&lt;20,"",MAX($C$1723:$C$1822))</f>
        <v>0</v>
      </c>
      <c r="AZ1822">
        <f>IF(COUNT($E$2:$E1822)&lt;20,"",MIN($D$1723:$D$1822))</f>
        <v>0</v>
      </c>
      <c r="BA1822">
        <f>IF(COUNT($E$2:$E1822)&lt;20,"",SLOPE($E$1723:$E$1822,$F$1723:$F$1822))</f>
        <v>0</v>
      </c>
      <c r="BB1822">
        <f>IF(COUNT($E$2:$E1822)&lt;20,"",INTERCEPT($E$1723:$E$1822,$F$1723:$F$1822))</f>
        <v>0</v>
      </c>
      <c r="BC1822">
        <f>IF(OR(BA1822="",BB1822=""),"",BB1822+BA1822*F1822)</f>
        <v>0</v>
      </c>
      <c r="BD1822">
        <f>IF(COUNT($E$2:$E1822)&lt;20,"",STEYX($E$1723:$E$1822,$F$1723:$F$1822))</f>
        <v>0</v>
      </c>
      <c r="BE1822">
        <f>IF($E1822="","",IF(AND(COUNT($E$1823:$E$1826)&gt;=4,$C1822=MAX($C$1818:$C$1826)),$C1822,""))</f>
        <v>0</v>
      </c>
      <c r="BF1822">
        <f>IF($E1822="","",IF(AND(COUNT($E$1823:$E$1826)&gt;=4,$D1822=MIN($D$1818:$D$1826)),$D1822,""))</f>
        <v>0</v>
      </c>
      <c r="BG1822">
        <f>IF($A1822="","",$A1822-WEEKDAY($A1822,2)+1)</f>
        <v>0</v>
      </c>
      <c r="BH1822">
        <f>IF($A1822="","",IF($A1821="",1,IF(BG1822&lt;&gt;BG1821,1,0)))</f>
        <v>0</v>
      </c>
      <c r="BI1822">
        <f>IF($A1822="","",IF($A1823="",1,IF(BG1823&lt;&gt;BG1822,1,0)))</f>
        <v>0</v>
      </c>
      <c r="BJ1822">
        <f>IF($A1822="","",IF(BH1822=1,$B1822,BJ1821))</f>
        <v>0</v>
      </c>
      <c r="BK1822">
        <f>IF($A1822="","",IF(BH1822=1,$C1822,MAX($C1822,BK1821)))</f>
        <v>0</v>
      </c>
      <c r="BL1822">
        <f>IF($A1822="","",IF(BH1822=1,$D1822,MIN($D1822,BL1821)))</f>
        <v>0</v>
      </c>
      <c r="BM1822">
        <f>IF($A1822="","",IF(BI1822=1,F1822,""))</f>
        <v>0</v>
      </c>
      <c r="BN1822">
        <f>IF($A1822="","",DATE(YEAR($A1822),MONTH($A1822),1))</f>
        <v>0</v>
      </c>
      <c r="BO1822">
        <f>IF($A1822="","",IF($A1821="",1,IF(BN1822&lt;&gt;BN1821,1,0)))</f>
        <v>0</v>
      </c>
      <c r="BP1822">
        <f>IF($A1822="","",IF($A1823="",1,IF(BN1823&lt;&gt;BN1822,1,0)))</f>
        <v>0</v>
      </c>
      <c r="BQ1822">
        <f>IF($A1822="","",IF(BO1822=1,$B1822,BQ1821))</f>
        <v>0</v>
      </c>
      <c r="BR1822">
        <f>IF($A1822="","",IF(BO1822=1,$C1822,MAX($C1822,BR1821)))</f>
        <v>0</v>
      </c>
      <c r="BS1822">
        <f>IF($A1822="","",IF(BO1822=1,$D1822,MIN($D1822,BS1821)))</f>
        <v>0</v>
      </c>
      <c r="BT1822">
        <f>IF($A1822="","",IF(BP1822=1,F1822,""))</f>
        <v>0</v>
      </c>
    </row>
    <row r="1823" spans="1:72">
      <c r="A1823" s="27">
        <f>IF(Data!$A1823="","",Data!$A1823)</f>
        <v>0</v>
      </c>
      <c r="B1823">
        <f>IF(Data!$B1823="","",Data!$B1823)</f>
        <v>0</v>
      </c>
      <c r="C1823">
        <f>IF(Data!$C1823="","",Data!$C1823)</f>
        <v>0</v>
      </c>
      <c r="D1823">
        <f>IF(Data!$D1823="","",Data!$D1823)</f>
        <v>0</v>
      </c>
      <c r="E1823">
        <f>IF(Data!$E1823="","",Data!$E1823)</f>
        <v>0</v>
      </c>
      <c r="F1823">
        <f>IF($E1823="","",N(F1822)+1)</f>
        <v>0</v>
      </c>
      <c r="G1823">
        <f>IF(OR($E1823="",$E1822=""),"",LN($E1823/$E1822))</f>
        <v>0</v>
      </c>
      <c r="H1823">
        <f>IF($E1823="","",IF($E1822="",$E1823,$E1823*0.0952380952+H1822*0.9047619048))</f>
        <v>0</v>
      </c>
      <c r="I1823">
        <f>IF($E1823="","",IF($E1822="",$E1823,$E1823*0.0392156863+I1822*0.9607843137))</f>
        <v>0</v>
      </c>
      <c r="J1823">
        <f>IF($E1823="","",IF($E1822="",$E1823,$E1823*0.0198019802+J1822*0.9801980198))</f>
        <v>0</v>
      </c>
      <c r="K1823">
        <f>IF($E1823="","",IF($E1822="",$E1823,$E1823*0.0099502488+K1822*0.9900497512))</f>
        <v>0</v>
      </c>
      <c r="L1823">
        <f>IF(OR($E1823="",$E1822=""),"",MAX($E1823-$E1822,0))</f>
        <v>0</v>
      </c>
      <c r="M1823">
        <f>IF(OR($E1823="",$E1822=""),"",MAX($E1822-$E1823,0))</f>
        <v>0</v>
      </c>
      <c r="N1823">
        <f>IF(COUNT($E$2:$E1823)&lt;15,"",IF(AVERAGE($M$1810:$M$1823)=0,100,100-100/(1+AVERAGE($L$1810:$L$1823)/AVERAGE($M$1810:$M$1823))))</f>
        <v>0</v>
      </c>
      <c r="O1823">
        <f>IF($E1823="","",IF($E1822="",$E1823,$E1823*0.1538461538+O1822*0.8461538462))</f>
        <v>0</v>
      </c>
      <c r="P1823">
        <f>IF($E1823="","",IF($E1822="",$E1823,$E1823*0.0740740741+P1822*0.9259259259))</f>
        <v>0</v>
      </c>
      <c r="Q1823">
        <f>IF(OR(O1823="",P1823=""),"",O1823-P1823)</f>
        <v>0</v>
      </c>
      <c r="R1823">
        <f>IF(Q1823="","",IF(R1822="",Q1823,Q1823*0.2000000000+R1822*0.8000000000))</f>
        <v>0</v>
      </c>
      <c r="S1823">
        <f>IF(OR(Q1823="",R1823=""),"",Q1823-R1823)</f>
        <v>0</v>
      </c>
      <c r="T1823">
        <f>IF(COUNT($E$2:$E1823)&lt;14,"",MAX($C$1810:$C$1823))</f>
        <v>0</v>
      </c>
      <c r="U1823">
        <f>IF(COUNT($E$2:$E1823)&lt;14,"",MIN($D$1810:$D$1823))</f>
        <v>0</v>
      </c>
      <c r="V1823">
        <f>IF(OR(T1823="",U1823="",T1823=U1823),"",100*($E1823-U1823)/(T1823-U1823))</f>
        <v>0</v>
      </c>
      <c r="W1823">
        <f>IF(COUNT($V$1821:$V$1823)&lt;3,"",AVERAGE($V$1821:$V$1823))</f>
        <v>0</v>
      </c>
      <c r="X1823">
        <f>IF(COUNT($N$1810:$N$1823)&lt;14,"",MIN($N$1810:$N$1823))</f>
        <v>0</v>
      </c>
      <c r="Y1823">
        <f>IF(COUNT($N$1810:$N$1823)&lt;14,"",MAX($N$1810:$N$1823))</f>
        <v>0</v>
      </c>
      <c r="Z1823">
        <f>IF(OR(N1823="",X1823="",Y1823="",Y1823=X1823),"",100*(N1823-X1823)/(Y1823-X1823))</f>
        <v>0</v>
      </c>
      <c r="AA1823">
        <f>IF(COUNT($Z$1821:$Z$1823)&lt;3,"",AVERAGE($Z$1821:$Z$1823))</f>
        <v>0</v>
      </c>
      <c r="AB1823">
        <f>IF(COUNT($AA$1821:$AA$1823)&lt;3,"",AVERAGE($AA$1821:$AA$1823))</f>
        <v>0</v>
      </c>
      <c r="AC1823">
        <f>IF($E1823="","",MAX($C1823-$D1823,ABS($C1823-$E1822),ABS($D1823-$E1822)))</f>
        <v>0</v>
      </c>
      <c r="AD1823">
        <f>IF(COUNT($E$2:$E1823)&lt;15,"",AVERAGE($AC$1810:$AC$1823))</f>
        <v>0</v>
      </c>
      <c r="AE1823">
        <f>IF(OR($E1823="",$E1822=""),"",IF(AND(($C1823-$C1822)&gt;($D1822-$D1823),($C1823-$C1822)&gt;0),$C1823-$C1822,0))</f>
        <v>0</v>
      </c>
      <c r="AF1823">
        <f>IF(OR($E1823="",$E1822=""),"",IF(AND(($D1822-$D1823)&gt;($C1823-$C1822),($D1822-$D1823)&gt;0),$D1822-$D1823,0))</f>
        <v>0</v>
      </c>
      <c r="AG1823">
        <f>IF(COUNT($E$2:$E1823)&lt;15,"",IF(SUM($AC$1810:$AC$1823)=0,0,100*SUM($AE$1810:$AE$1823)/SUM($AC$1810:$AC$1823)))</f>
        <v>0</v>
      </c>
      <c r="AH1823">
        <f>IF(COUNT($E$2:$E1823)&lt;15,"",IF(SUM($AC$1810:$AC$1823)=0,0,100*SUM($AF$1810:$AF$1823)/SUM($AC$1810:$AC$1823)))</f>
        <v>0</v>
      </c>
      <c r="AI1823">
        <f>IF(OR(AG1823="",AH1823=""),"",IF((AG1823+AH1823)=0,0,100*ABS(AG1823-AH1823)/(AG1823+AH1823)))</f>
        <v>0</v>
      </c>
      <c r="AJ1823">
        <f>IF(COUNT($AI$1810:$AI$1823)&lt;14,"",AVERAGE($AI$1810:$AI$1823))</f>
        <v>0</v>
      </c>
      <c r="AK1823">
        <f>IF(COUNT($E$2:$E1823)&lt;20,"",AVERAGE($E$1804:$E$1823))</f>
        <v>0</v>
      </c>
      <c r="AL1823">
        <f>IF(COUNT($E$2:$E1823)&lt;20,"",STDEVP($E$1804:$E$1823))</f>
        <v>0</v>
      </c>
      <c r="AM1823">
        <f>IF(AK1823="","",AK1823+2*AL1823)</f>
        <v>0</v>
      </c>
      <c r="AN1823">
        <f>IF(AK1823="","",AK1823-2*AL1823)</f>
        <v>0</v>
      </c>
      <c r="AO1823">
        <f>IF(OR(AM1823="",AN1823="",AM1823=AN1823),"",($E1823-AN1823)/(AM1823-AN1823))</f>
        <v>0</v>
      </c>
      <c r="AP1823">
        <f>IF(OR(AM1823="",AK1823="",AK1823=0),"",(AM1823-AN1823)/AK1823)</f>
        <v>0</v>
      </c>
      <c r="AQ1823">
        <f>IF(COUNT($E$2:$E1823)&lt;20,"",MAX($C$1804:$C$1823))</f>
        <v>0</v>
      </c>
      <c r="AR1823">
        <f>IF(COUNT($E$2:$E1823)&lt;20,"",MIN($D$1804:$D$1823))</f>
        <v>0</v>
      </c>
      <c r="AS1823">
        <f>IF(OR(AQ1823="",AR1823=""),"",(AQ1823+AR1823)/2)</f>
        <v>0</v>
      </c>
      <c r="AT1823">
        <f>IF(COUNT($G$1804:$G$1823)&lt;20,"",STDEV($G$1804:$G$1823)*SQRT(252))</f>
        <v>0</v>
      </c>
      <c r="AU1823">
        <f>IF(COUNT($E$2:$E1823)&lt;9,"",(MAX($C$1815:$C$1823)+MIN($D$1815:$D$1823))/2)</f>
        <v>0</v>
      </c>
      <c r="AV1823">
        <f>IF(COUNT($E$2:$E1823)&lt;26,"",(MAX($C$1798:$C$1823)+MIN($D$1798:$D$1823))/2)</f>
        <v>0</v>
      </c>
      <c r="AW1823">
        <f>IF(OR(AU1823="",AV1823=""),"",(AU1823+AV1823)/2)</f>
        <v>0</v>
      </c>
      <c r="AX1823">
        <f>IF(COUNT($E$2:$E1823)&lt;52,"",(MAX($C$1772:$C$1823)+MIN($D$1772:$D$1823))/2)</f>
        <v>0</v>
      </c>
      <c r="AY1823">
        <f>IF(COUNT($E$2:$E1823)&lt;20,"",MAX($C$1724:$C$1823))</f>
        <v>0</v>
      </c>
      <c r="AZ1823">
        <f>IF(COUNT($E$2:$E1823)&lt;20,"",MIN($D$1724:$D$1823))</f>
        <v>0</v>
      </c>
      <c r="BA1823">
        <f>IF(COUNT($E$2:$E1823)&lt;20,"",SLOPE($E$1724:$E$1823,$F$1724:$F$1823))</f>
        <v>0</v>
      </c>
      <c r="BB1823">
        <f>IF(COUNT($E$2:$E1823)&lt;20,"",INTERCEPT($E$1724:$E$1823,$F$1724:$F$1823))</f>
        <v>0</v>
      </c>
      <c r="BC1823">
        <f>IF(OR(BA1823="",BB1823=""),"",BB1823+BA1823*F1823)</f>
        <v>0</v>
      </c>
      <c r="BD1823">
        <f>IF(COUNT($E$2:$E1823)&lt;20,"",STEYX($E$1724:$E$1823,$F$1724:$F$1823))</f>
        <v>0</v>
      </c>
      <c r="BE1823">
        <f>IF($E1823="","",IF(AND(COUNT($E$1824:$E$1827)&gt;=4,$C1823=MAX($C$1819:$C$1827)),$C1823,""))</f>
        <v>0</v>
      </c>
      <c r="BF1823">
        <f>IF($E1823="","",IF(AND(COUNT($E$1824:$E$1827)&gt;=4,$D1823=MIN($D$1819:$D$1827)),$D1823,""))</f>
        <v>0</v>
      </c>
      <c r="BG1823">
        <f>IF($A1823="","",$A1823-WEEKDAY($A1823,2)+1)</f>
        <v>0</v>
      </c>
      <c r="BH1823">
        <f>IF($A1823="","",IF($A1822="",1,IF(BG1823&lt;&gt;BG1822,1,0)))</f>
        <v>0</v>
      </c>
      <c r="BI1823">
        <f>IF($A1823="","",IF($A1824="",1,IF(BG1824&lt;&gt;BG1823,1,0)))</f>
        <v>0</v>
      </c>
      <c r="BJ1823">
        <f>IF($A1823="","",IF(BH1823=1,$B1823,BJ1822))</f>
        <v>0</v>
      </c>
      <c r="BK1823">
        <f>IF($A1823="","",IF(BH1823=1,$C1823,MAX($C1823,BK1822)))</f>
        <v>0</v>
      </c>
      <c r="BL1823">
        <f>IF($A1823="","",IF(BH1823=1,$D1823,MIN($D1823,BL1822)))</f>
        <v>0</v>
      </c>
      <c r="BM1823">
        <f>IF($A1823="","",IF(BI1823=1,F1823,""))</f>
        <v>0</v>
      </c>
      <c r="BN1823">
        <f>IF($A1823="","",DATE(YEAR($A1823),MONTH($A1823),1))</f>
        <v>0</v>
      </c>
      <c r="BO1823">
        <f>IF($A1823="","",IF($A1822="",1,IF(BN1823&lt;&gt;BN1822,1,0)))</f>
        <v>0</v>
      </c>
      <c r="BP1823">
        <f>IF($A1823="","",IF($A1824="",1,IF(BN1824&lt;&gt;BN1823,1,0)))</f>
        <v>0</v>
      </c>
      <c r="BQ1823">
        <f>IF($A1823="","",IF(BO1823=1,$B1823,BQ1822))</f>
        <v>0</v>
      </c>
      <c r="BR1823">
        <f>IF($A1823="","",IF(BO1823=1,$C1823,MAX($C1823,BR1822)))</f>
        <v>0</v>
      </c>
      <c r="BS1823">
        <f>IF($A1823="","",IF(BO1823=1,$D1823,MIN($D1823,BS1822)))</f>
        <v>0</v>
      </c>
      <c r="BT1823">
        <f>IF($A1823="","",IF(BP1823=1,F1823,""))</f>
        <v>0</v>
      </c>
    </row>
    <row r="1824" spans="1:72">
      <c r="A1824" s="27">
        <f>IF(Data!$A1824="","",Data!$A1824)</f>
        <v>0</v>
      </c>
      <c r="B1824">
        <f>IF(Data!$B1824="","",Data!$B1824)</f>
        <v>0</v>
      </c>
      <c r="C1824">
        <f>IF(Data!$C1824="","",Data!$C1824)</f>
        <v>0</v>
      </c>
      <c r="D1824">
        <f>IF(Data!$D1824="","",Data!$D1824)</f>
        <v>0</v>
      </c>
      <c r="E1824">
        <f>IF(Data!$E1824="","",Data!$E1824)</f>
        <v>0</v>
      </c>
      <c r="F1824">
        <f>IF($E1824="","",N(F1823)+1)</f>
        <v>0</v>
      </c>
      <c r="G1824">
        <f>IF(OR($E1824="",$E1823=""),"",LN($E1824/$E1823))</f>
        <v>0</v>
      </c>
      <c r="H1824">
        <f>IF($E1824="","",IF($E1823="",$E1824,$E1824*0.0952380952+H1823*0.9047619048))</f>
        <v>0</v>
      </c>
      <c r="I1824">
        <f>IF($E1824="","",IF($E1823="",$E1824,$E1824*0.0392156863+I1823*0.9607843137))</f>
        <v>0</v>
      </c>
      <c r="J1824">
        <f>IF($E1824="","",IF($E1823="",$E1824,$E1824*0.0198019802+J1823*0.9801980198))</f>
        <v>0</v>
      </c>
      <c r="K1824">
        <f>IF($E1824="","",IF($E1823="",$E1824,$E1824*0.0099502488+K1823*0.9900497512))</f>
        <v>0</v>
      </c>
      <c r="L1824">
        <f>IF(OR($E1824="",$E1823=""),"",MAX($E1824-$E1823,0))</f>
        <v>0</v>
      </c>
      <c r="M1824">
        <f>IF(OR($E1824="",$E1823=""),"",MAX($E1823-$E1824,0))</f>
        <v>0</v>
      </c>
      <c r="N1824">
        <f>IF(COUNT($E$2:$E1824)&lt;15,"",IF(AVERAGE($M$1811:$M$1824)=0,100,100-100/(1+AVERAGE($L$1811:$L$1824)/AVERAGE($M$1811:$M$1824))))</f>
        <v>0</v>
      </c>
      <c r="O1824">
        <f>IF($E1824="","",IF($E1823="",$E1824,$E1824*0.1538461538+O1823*0.8461538462))</f>
        <v>0</v>
      </c>
      <c r="P1824">
        <f>IF($E1824="","",IF($E1823="",$E1824,$E1824*0.0740740741+P1823*0.9259259259))</f>
        <v>0</v>
      </c>
      <c r="Q1824">
        <f>IF(OR(O1824="",P1824=""),"",O1824-P1824)</f>
        <v>0</v>
      </c>
      <c r="R1824">
        <f>IF(Q1824="","",IF(R1823="",Q1824,Q1824*0.2000000000+R1823*0.8000000000))</f>
        <v>0</v>
      </c>
      <c r="S1824">
        <f>IF(OR(Q1824="",R1824=""),"",Q1824-R1824)</f>
        <v>0</v>
      </c>
      <c r="T1824">
        <f>IF(COUNT($E$2:$E1824)&lt;14,"",MAX($C$1811:$C$1824))</f>
        <v>0</v>
      </c>
      <c r="U1824">
        <f>IF(COUNT($E$2:$E1824)&lt;14,"",MIN($D$1811:$D$1824))</f>
        <v>0</v>
      </c>
      <c r="V1824">
        <f>IF(OR(T1824="",U1824="",T1824=U1824),"",100*($E1824-U1824)/(T1824-U1824))</f>
        <v>0</v>
      </c>
      <c r="W1824">
        <f>IF(COUNT($V$1822:$V$1824)&lt;3,"",AVERAGE($V$1822:$V$1824))</f>
        <v>0</v>
      </c>
      <c r="X1824">
        <f>IF(COUNT($N$1811:$N$1824)&lt;14,"",MIN($N$1811:$N$1824))</f>
        <v>0</v>
      </c>
      <c r="Y1824">
        <f>IF(COUNT($N$1811:$N$1824)&lt;14,"",MAX($N$1811:$N$1824))</f>
        <v>0</v>
      </c>
      <c r="Z1824">
        <f>IF(OR(N1824="",X1824="",Y1824="",Y1824=X1824),"",100*(N1824-X1824)/(Y1824-X1824))</f>
        <v>0</v>
      </c>
      <c r="AA1824">
        <f>IF(COUNT($Z$1822:$Z$1824)&lt;3,"",AVERAGE($Z$1822:$Z$1824))</f>
        <v>0</v>
      </c>
      <c r="AB1824">
        <f>IF(COUNT($AA$1822:$AA$1824)&lt;3,"",AVERAGE($AA$1822:$AA$1824))</f>
        <v>0</v>
      </c>
      <c r="AC1824">
        <f>IF($E1824="","",MAX($C1824-$D1824,ABS($C1824-$E1823),ABS($D1824-$E1823)))</f>
        <v>0</v>
      </c>
      <c r="AD1824">
        <f>IF(COUNT($E$2:$E1824)&lt;15,"",AVERAGE($AC$1811:$AC$1824))</f>
        <v>0</v>
      </c>
      <c r="AE1824">
        <f>IF(OR($E1824="",$E1823=""),"",IF(AND(($C1824-$C1823)&gt;($D1823-$D1824),($C1824-$C1823)&gt;0),$C1824-$C1823,0))</f>
        <v>0</v>
      </c>
      <c r="AF1824">
        <f>IF(OR($E1824="",$E1823=""),"",IF(AND(($D1823-$D1824)&gt;($C1824-$C1823),($D1823-$D1824)&gt;0),$D1823-$D1824,0))</f>
        <v>0</v>
      </c>
      <c r="AG1824">
        <f>IF(COUNT($E$2:$E1824)&lt;15,"",IF(SUM($AC$1811:$AC$1824)=0,0,100*SUM($AE$1811:$AE$1824)/SUM($AC$1811:$AC$1824)))</f>
        <v>0</v>
      </c>
      <c r="AH1824">
        <f>IF(COUNT($E$2:$E1824)&lt;15,"",IF(SUM($AC$1811:$AC$1824)=0,0,100*SUM($AF$1811:$AF$1824)/SUM($AC$1811:$AC$1824)))</f>
        <v>0</v>
      </c>
      <c r="AI1824">
        <f>IF(OR(AG1824="",AH1824=""),"",IF((AG1824+AH1824)=0,0,100*ABS(AG1824-AH1824)/(AG1824+AH1824)))</f>
        <v>0</v>
      </c>
      <c r="AJ1824">
        <f>IF(COUNT($AI$1811:$AI$1824)&lt;14,"",AVERAGE($AI$1811:$AI$1824))</f>
        <v>0</v>
      </c>
      <c r="AK1824">
        <f>IF(COUNT($E$2:$E1824)&lt;20,"",AVERAGE($E$1805:$E$1824))</f>
        <v>0</v>
      </c>
      <c r="AL1824">
        <f>IF(COUNT($E$2:$E1824)&lt;20,"",STDEVP($E$1805:$E$1824))</f>
        <v>0</v>
      </c>
      <c r="AM1824">
        <f>IF(AK1824="","",AK1824+2*AL1824)</f>
        <v>0</v>
      </c>
      <c r="AN1824">
        <f>IF(AK1824="","",AK1824-2*AL1824)</f>
        <v>0</v>
      </c>
      <c r="AO1824">
        <f>IF(OR(AM1824="",AN1824="",AM1824=AN1824),"",($E1824-AN1824)/(AM1824-AN1824))</f>
        <v>0</v>
      </c>
      <c r="AP1824">
        <f>IF(OR(AM1824="",AK1824="",AK1824=0),"",(AM1824-AN1824)/AK1824)</f>
        <v>0</v>
      </c>
      <c r="AQ1824">
        <f>IF(COUNT($E$2:$E1824)&lt;20,"",MAX($C$1805:$C$1824))</f>
        <v>0</v>
      </c>
      <c r="AR1824">
        <f>IF(COUNT($E$2:$E1824)&lt;20,"",MIN($D$1805:$D$1824))</f>
        <v>0</v>
      </c>
      <c r="AS1824">
        <f>IF(OR(AQ1824="",AR1824=""),"",(AQ1824+AR1824)/2)</f>
        <v>0</v>
      </c>
      <c r="AT1824">
        <f>IF(COUNT($G$1805:$G$1824)&lt;20,"",STDEV($G$1805:$G$1824)*SQRT(252))</f>
        <v>0</v>
      </c>
      <c r="AU1824">
        <f>IF(COUNT($E$2:$E1824)&lt;9,"",(MAX($C$1816:$C$1824)+MIN($D$1816:$D$1824))/2)</f>
        <v>0</v>
      </c>
      <c r="AV1824">
        <f>IF(COUNT($E$2:$E1824)&lt;26,"",(MAX($C$1799:$C$1824)+MIN($D$1799:$D$1824))/2)</f>
        <v>0</v>
      </c>
      <c r="AW1824">
        <f>IF(OR(AU1824="",AV1824=""),"",(AU1824+AV1824)/2)</f>
        <v>0</v>
      </c>
      <c r="AX1824">
        <f>IF(COUNT($E$2:$E1824)&lt;52,"",(MAX($C$1773:$C$1824)+MIN($D$1773:$D$1824))/2)</f>
        <v>0</v>
      </c>
      <c r="AY1824">
        <f>IF(COUNT($E$2:$E1824)&lt;20,"",MAX($C$1725:$C$1824))</f>
        <v>0</v>
      </c>
      <c r="AZ1824">
        <f>IF(COUNT($E$2:$E1824)&lt;20,"",MIN($D$1725:$D$1824))</f>
        <v>0</v>
      </c>
      <c r="BA1824">
        <f>IF(COUNT($E$2:$E1824)&lt;20,"",SLOPE($E$1725:$E$1824,$F$1725:$F$1824))</f>
        <v>0</v>
      </c>
      <c r="BB1824">
        <f>IF(COUNT($E$2:$E1824)&lt;20,"",INTERCEPT($E$1725:$E$1824,$F$1725:$F$1824))</f>
        <v>0</v>
      </c>
      <c r="BC1824">
        <f>IF(OR(BA1824="",BB1824=""),"",BB1824+BA1824*F1824)</f>
        <v>0</v>
      </c>
      <c r="BD1824">
        <f>IF(COUNT($E$2:$E1824)&lt;20,"",STEYX($E$1725:$E$1824,$F$1725:$F$1824))</f>
        <v>0</v>
      </c>
      <c r="BE1824">
        <f>IF($E1824="","",IF(AND(COUNT($E$1825:$E$1828)&gt;=4,$C1824=MAX($C$1820:$C$1828)),$C1824,""))</f>
        <v>0</v>
      </c>
      <c r="BF1824">
        <f>IF($E1824="","",IF(AND(COUNT($E$1825:$E$1828)&gt;=4,$D1824=MIN($D$1820:$D$1828)),$D1824,""))</f>
        <v>0</v>
      </c>
      <c r="BG1824">
        <f>IF($A1824="","",$A1824-WEEKDAY($A1824,2)+1)</f>
        <v>0</v>
      </c>
      <c r="BH1824">
        <f>IF($A1824="","",IF($A1823="",1,IF(BG1824&lt;&gt;BG1823,1,0)))</f>
        <v>0</v>
      </c>
      <c r="BI1824">
        <f>IF($A1824="","",IF($A1825="",1,IF(BG1825&lt;&gt;BG1824,1,0)))</f>
        <v>0</v>
      </c>
      <c r="BJ1824">
        <f>IF($A1824="","",IF(BH1824=1,$B1824,BJ1823))</f>
        <v>0</v>
      </c>
      <c r="BK1824">
        <f>IF($A1824="","",IF(BH1824=1,$C1824,MAX($C1824,BK1823)))</f>
        <v>0</v>
      </c>
      <c r="BL1824">
        <f>IF($A1824="","",IF(BH1824=1,$D1824,MIN($D1824,BL1823)))</f>
        <v>0</v>
      </c>
      <c r="BM1824">
        <f>IF($A1824="","",IF(BI1824=1,F1824,""))</f>
        <v>0</v>
      </c>
      <c r="BN1824">
        <f>IF($A1824="","",DATE(YEAR($A1824),MONTH($A1824),1))</f>
        <v>0</v>
      </c>
      <c r="BO1824">
        <f>IF($A1824="","",IF($A1823="",1,IF(BN1824&lt;&gt;BN1823,1,0)))</f>
        <v>0</v>
      </c>
      <c r="BP1824">
        <f>IF($A1824="","",IF($A1825="",1,IF(BN1825&lt;&gt;BN1824,1,0)))</f>
        <v>0</v>
      </c>
      <c r="BQ1824">
        <f>IF($A1824="","",IF(BO1824=1,$B1824,BQ1823))</f>
        <v>0</v>
      </c>
      <c r="BR1824">
        <f>IF($A1824="","",IF(BO1824=1,$C1824,MAX($C1824,BR1823)))</f>
        <v>0</v>
      </c>
      <c r="BS1824">
        <f>IF($A1824="","",IF(BO1824=1,$D1824,MIN($D1824,BS1823)))</f>
        <v>0</v>
      </c>
      <c r="BT1824">
        <f>IF($A1824="","",IF(BP1824=1,F1824,""))</f>
        <v>0</v>
      </c>
    </row>
    <row r="1825" spans="1:72">
      <c r="A1825" s="27">
        <f>IF(Data!$A1825="","",Data!$A1825)</f>
        <v>0</v>
      </c>
      <c r="B1825">
        <f>IF(Data!$B1825="","",Data!$B1825)</f>
        <v>0</v>
      </c>
      <c r="C1825">
        <f>IF(Data!$C1825="","",Data!$C1825)</f>
        <v>0</v>
      </c>
      <c r="D1825">
        <f>IF(Data!$D1825="","",Data!$D1825)</f>
        <v>0</v>
      </c>
      <c r="E1825">
        <f>IF(Data!$E1825="","",Data!$E1825)</f>
        <v>0</v>
      </c>
      <c r="F1825">
        <f>IF($E1825="","",N(F1824)+1)</f>
        <v>0</v>
      </c>
      <c r="G1825">
        <f>IF(OR($E1825="",$E1824=""),"",LN($E1825/$E1824))</f>
        <v>0</v>
      </c>
      <c r="H1825">
        <f>IF($E1825="","",IF($E1824="",$E1825,$E1825*0.0952380952+H1824*0.9047619048))</f>
        <v>0</v>
      </c>
      <c r="I1825">
        <f>IF($E1825="","",IF($E1824="",$E1825,$E1825*0.0392156863+I1824*0.9607843137))</f>
        <v>0</v>
      </c>
      <c r="J1825">
        <f>IF($E1825="","",IF($E1824="",$E1825,$E1825*0.0198019802+J1824*0.9801980198))</f>
        <v>0</v>
      </c>
      <c r="K1825">
        <f>IF($E1825="","",IF($E1824="",$E1825,$E1825*0.0099502488+K1824*0.9900497512))</f>
        <v>0</v>
      </c>
      <c r="L1825">
        <f>IF(OR($E1825="",$E1824=""),"",MAX($E1825-$E1824,0))</f>
        <v>0</v>
      </c>
      <c r="M1825">
        <f>IF(OR($E1825="",$E1824=""),"",MAX($E1824-$E1825,0))</f>
        <v>0</v>
      </c>
      <c r="N1825">
        <f>IF(COUNT($E$2:$E1825)&lt;15,"",IF(AVERAGE($M$1812:$M$1825)=0,100,100-100/(1+AVERAGE($L$1812:$L$1825)/AVERAGE($M$1812:$M$1825))))</f>
        <v>0</v>
      </c>
      <c r="O1825">
        <f>IF($E1825="","",IF($E1824="",$E1825,$E1825*0.1538461538+O1824*0.8461538462))</f>
        <v>0</v>
      </c>
      <c r="P1825">
        <f>IF($E1825="","",IF($E1824="",$E1825,$E1825*0.0740740741+P1824*0.9259259259))</f>
        <v>0</v>
      </c>
      <c r="Q1825">
        <f>IF(OR(O1825="",P1825=""),"",O1825-P1825)</f>
        <v>0</v>
      </c>
      <c r="R1825">
        <f>IF(Q1825="","",IF(R1824="",Q1825,Q1825*0.2000000000+R1824*0.8000000000))</f>
        <v>0</v>
      </c>
      <c r="S1825">
        <f>IF(OR(Q1825="",R1825=""),"",Q1825-R1825)</f>
        <v>0</v>
      </c>
      <c r="T1825">
        <f>IF(COUNT($E$2:$E1825)&lt;14,"",MAX($C$1812:$C$1825))</f>
        <v>0</v>
      </c>
      <c r="U1825">
        <f>IF(COUNT($E$2:$E1825)&lt;14,"",MIN($D$1812:$D$1825))</f>
        <v>0</v>
      </c>
      <c r="V1825">
        <f>IF(OR(T1825="",U1825="",T1825=U1825),"",100*($E1825-U1825)/(T1825-U1825))</f>
        <v>0</v>
      </c>
      <c r="W1825">
        <f>IF(COUNT($V$1823:$V$1825)&lt;3,"",AVERAGE($V$1823:$V$1825))</f>
        <v>0</v>
      </c>
      <c r="X1825">
        <f>IF(COUNT($N$1812:$N$1825)&lt;14,"",MIN($N$1812:$N$1825))</f>
        <v>0</v>
      </c>
      <c r="Y1825">
        <f>IF(COUNT($N$1812:$N$1825)&lt;14,"",MAX($N$1812:$N$1825))</f>
        <v>0</v>
      </c>
      <c r="Z1825">
        <f>IF(OR(N1825="",X1825="",Y1825="",Y1825=X1825),"",100*(N1825-X1825)/(Y1825-X1825))</f>
        <v>0</v>
      </c>
      <c r="AA1825">
        <f>IF(COUNT($Z$1823:$Z$1825)&lt;3,"",AVERAGE($Z$1823:$Z$1825))</f>
        <v>0</v>
      </c>
      <c r="AB1825">
        <f>IF(COUNT($AA$1823:$AA$1825)&lt;3,"",AVERAGE($AA$1823:$AA$1825))</f>
        <v>0</v>
      </c>
      <c r="AC1825">
        <f>IF($E1825="","",MAX($C1825-$D1825,ABS($C1825-$E1824),ABS($D1825-$E1824)))</f>
        <v>0</v>
      </c>
      <c r="AD1825">
        <f>IF(COUNT($E$2:$E1825)&lt;15,"",AVERAGE($AC$1812:$AC$1825))</f>
        <v>0</v>
      </c>
      <c r="AE1825">
        <f>IF(OR($E1825="",$E1824=""),"",IF(AND(($C1825-$C1824)&gt;($D1824-$D1825),($C1825-$C1824)&gt;0),$C1825-$C1824,0))</f>
        <v>0</v>
      </c>
      <c r="AF1825">
        <f>IF(OR($E1825="",$E1824=""),"",IF(AND(($D1824-$D1825)&gt;($C1825-$C1824),($D1824-$D1825)&gt;0),$D1824-$D1825,0))</f>
        <v>0</v>
      </c>
      <c r="AG1825">
        <f>IF(COUNT($E$2:$E1825)&lt;15,"",IF(SUM($AC$1812:$AC$1825)=0,0,100*SUM($AE$1812:$AE$1825)/SUM($AC$1812:$AC$1825)))</f>
        <v>0</v>
      </c>
      <c r="AH1825">
        <f>IF(COUNT($E$2:$E1825)&lt;15,"",IF(SUM($AC$1812:$AC$1825)=0,0,100*SUM($AF$1812:$AF$1825)/SUM($AC$1812:$AC$1825)))</f>
        <v>0</v>
      </c>
      <c r="AI1825">
        <f>IF(OR(AG1825="",AH1825=""),"",IF((AG1825+AH1825)=0,0,100*ABS(AG1825-AH1825)/(AG1825+AH1825)))</f>
        <v>0</v>
      </c>
      <c r="AJ1825">
        <f>IF(COUNT($AI$1812:$AI$1825)&lt;14,"",AVERAGE($AI$1812:$AI$1825))</f>
        <v>0</v>
      </c>
      <c r="AK1825">
        <f>IF(COUNT($E$2:$E1825)&lt;20,"",AVERAGE($E$1806:$E$1825))</f>
        <v>0</v>
      </c>
      <c r="AL1825">
        <f>IF(COUNT($E$2:$E1825)&lt;20,"",STDEVP($E$1806:$E$1825))</f>
        <v>0</v>
      </c>
      <c r="AM1825">
        <f>IF(AK1825="","",AK1825+2*AL1825)</f>
        <v>0</v>
      </c>
      <c r="AN1825">
        <f>IF(AK1825="","",AK1825-2*AL1825)</f>
        <v>0</v>
      </c>
      <c r="AO1825">
        <f>IF(OR(AM1825="",AN1825="",AM1825=AN1825),"",($E1825-AN1825)/(AM1825-AN1825))</f>
        <v>0</v>
      </c>
      <c r="AP1825">
        <f>IF(OR(AM1825="",AK1825="",AK1825=0),"",(AM1825-AN1825)/AK1825)</f>
        <v>0</v>
      </c>
      <c r="AQ1825">
        <f>IF(COUNT($E$2:$E1825)&lt;20,"",MAX($C$1806:$C$1825))</f>
        <v>0</v>
      </c>
      <c r="AR1825">
        <f>IF(COUNT($E$2:$E1825)&lt;20,"",MIN($D$1806:$D$1825))</f>
        <v>0</v>
      </c>
      <c r="AS1825">
        <f>IF(OR(AQ1825="",AR1825=""),"",(AQ1825+AR1825)/2)</f>
        <v>0</v>
      </c>
      <c r="AT1825">
        <f>IF(COUNT($G$1806:$G$1825)&lt;20,"",STDEV($G$1806:$G$1825)*SQRT(252))</f>
        <v>0</v>
      </c>
      <c r="AU1825">
        <f>IF(COUNT($E$2:$E1825)&lt;9,"",(MAX($C$1817:$C$1825)+MIN($D$1817:$D$1825))/2)</f>
        <v>0</v>
      </c>
      <c r="AV1825">
        <f>IF(COUNT($E$2:$E1825)&lt;26,"",(MAX($C$1800:$C$1825)+MIN($D$1800:$D$1825))/2)</f>
        <v>0</v>
      </c>
      <c r="AW1825">
        <f>IF(OR(AU1825="",AV1825=""),"",(AU1825+AV1825)/2)</f>
        <v>0</v>
      </c>
      <c r="AX1825">
        <f>IF(COUNT($E$2:$E1825)&lt;52,"",(MAX($C$1774:$C$1825)+MIN($D$1774:$D$1825))/2)</f>
        <v>0</v>
      </c>
      <c r="AY1825">
        <f>IF(COUNT($E$2:$E1825)&lt;20,"",MAX($C$1726:$C$1825))</f>
        <v>0</v>
      </c>
      <c r="AZ1825">
        <f>IF(COUNT($E$2:$E1825)&lt;20,"",MIN($D$1726:$D$1825))</f>
        <v>0</v>
      </c>
      <c r="BA1825">
        <f>IF(COUNT($E$2:$E1825)&lt;20,"",SLOPE($E$1726:$E$1825,$F$1726:$F$1825))</f>
        <v>0</v>
      </c>
      <c r="BB1825">
        <f>IF(COUNT($E$2:$E1825)&lt;20,"",INTERCEPT($E$1726:$E$1825,$F$1726:$F$1825))</f>
        <v>0</v>
      </c>
      <c r="BC1825">
        <f>IF(OR(BA1825="",BB1825=""),"",BB1825+BA1825*F1825)</f>
        <v>0</v>
      </c>
      <c r="BD1825">
        <f>IF(COUNT($E$2:$E1825)&lt;20,"",STEYX($E$1726:$E$1825,$F$1726:$F$1825))</f>
        <v>0</v>
      </c>
      <c r="BE1825">
        <f>IF($E1825="","",IF(AND(COUNT($E$1826:$E$1829)&gt;=4,$C1825=MAX($C$1821:$C$1829)),$C1825,""))</f>
        <v>0</v>
      </c>
      <c r="BF1825">
        <f>IF($E1825="","",IF(AND(COUNT($E$1826:$E$1829)&gt;=4,$D1825=MIN($D$1821:$D$1829)),$D1825,""))</f>
        <v>0</v>
      </c>
      <c r="BG1825">
        <f>IF($A1825="","",$A1825-WEEKDAY($A1825,2)+1)</f>
        <v>0</v>
      </c>
      <c r="BH1825">
        <f>IF($A1825="","",IF($A1824="",1,IF(BG1825&lt;&gt;BG1824,1,0)))</f>
        <v>0</v>
      </c>
      <c r="BI1825">
        <f>IF($A1825="","",IF($A1826="",1,IF(BG1826&lt;&gt;BG1825,1,0)))</f>
        <v>0</v>
      </c>
      <c r="BJ1825">
        <f>IF($A1825="","",IF(BH1825=1,$B1825,BJ1824))</f>
        <v>0</v>
      </c>
      <c r="BK1825">
        <f>IF($A1825="","",IF(BH1825=1,$C1825,MAX($C1825,BK1824)))</f>
        <v>0</v>
      </c>
      <c r="BL1825">
        <f>IF($A1825="","",IF(BH1825=1,$D1825,MIN($D1825,BL1824)))</f>
        <v>0</v>
      </c>
      <c r="BM1825">
        <f>IF($A1825="","",IF(BI1825=1,F1825,""))</f>
        <v>0</v>
      </c>
      <c r="BN1825">
        <f>IF($A1825="","",DATE(YEAR($A1825),MONTH($A1825),1))</f>
        <v>0</v>
      </c>
      <c r="BO1825">
        <f>IF($A1825="","",IF($A1824="",1,IF(BN1825&lt;&gt;BN1824,1,0)))</f>
        <v>0</v>
      </c>
      <c r="BP1825">
        <f>IF($A1825="","",IF($A1826="",1,IF(BN1826&lt;&gt;BN1825,1,0)))</f>
        <v>0</v>
      </c>
      <c r="BQ1825">
        <f>IF($A1825="","",IF(BO1825=1,$B1825,BQ1824))</f>
        <v>0</v>
      </c>
      <c r="BR1825">
        <f>IF($A1825="","",IF(BO1825=1,$C1825,MAX($C1825,BR1824)))</f>
        <v>0</v>
      </c>
      <c r="BS1825">
        <f>IF($A1825="","",IF(BO1825=1,$D1825,MIN($D1825,BS1824)))</f>
        <v>0</v>
      </c>
      <c r="BT1825">
        <f>IF($A1825="","",IF(BP1825=1,F1825,""))</f>
        <v>0</v>
      </c>
    </row>
    <row r="1826" spans="1:72">
      <c r="A1826" s="27">
        <f>IF(Data!$A1826="","",Data!$A1826)</f>
        <v>0</v>
      </c>
      <c r="B1826">
        <f>IF(Data!$B1826="","",Data!$B1826)</f>
        <v>0</v>
      </c>
      <c r="C1826">
        <f>IF(Data!$C1826="","",Data!$C1826)</f>
        <v>0</v>
      </c>
      <c r="D1826">
        <f>IF(Data!$D1826="","",Data!$D1826)</f>
        <v>0</v>
      </c>
      <c r="E1826">
        <f>IF(Data!$E1826="","",Data!$E1826)</f>
        <v>0</v>
      </c>
      <c r="F1826">
        <f>IF($E1826="","",N(F1825)+1)</f>
        <v>0</v>
      </c>
      <c r="G1826">
        <f>IF(OR($E1826="",$E1825=""),"",LN($E1826/$E1825))</f>
        <v>0</v>
      </c>
      <c r="H1826">
        <f>IF($E1826="","",IF($E1825="",$E1826,$E1826*0.0952380952+H1825*0.9047619048))</f>
        <v>0</v>
      </c>
      <c r="I1826">
        <f>IF($E1826="","",IF($E1825="",$E1826,$E1826*0.0392156863+I1825*0.9607843137))</f>
        <v>0</v>
      </c>
      <c r="J1826">
        <f>IF($E1826="","",IF($E1825="",$E1826,$E1826*0.0198019802+J1825*0.9801980198))</f>
        <v>0</v>
      </c>
      <c r="K1826">
        <f>IF($E1826="","",IF($E1825="",$E1826,$E1826*0.0099502488+K1825*0.9900497512))</f>
        <v>0</v>
      </c>
      <c r="L1826">
        <f>IF(OR($E1826="",$E1825=""),"",MAX($E1826-$E1825,0))</f>
        <v>0</v>
      </c>
      <c r="M1826">
        <f>IF(OR($E1826="",$E1825=""),"",MAX($E1825-$E1826,0))</f>
        <v>0</v>
      </c>
      <c r="N1826">
        <f>IF(COUNT($E$2:$E1826)&lt;15,"",IF(AVERAGE($M$1813:$M$1826)=0,100,100-100/(1+AVERAGE($L$1813:$L$1826)/AVERAGE($M$1813:$M$1826))))</f>
        <v>0</v>
      </c>
      <c r="O1826">
        <f>IF($E1826="","",IF($E1825="",$E1826,$E1826*0.1538461538+O1825*0.8461538462))</f>
        <v>0</v>
      </c>
      <c r="P1826">
        <f>IF($E1826="","",IF($E1825="",$E1826,$E1826*0.0740740741+P1825*0.9259259259))</f>
        <v>0</v>
      </c>
      <c r="Q1826">
        <f>IF(OR(O1826="",P1826=""),"",O1826-P1826)</f>
        <v>0</v>
      </c>
      <c r="R1826">
        <f>IF(Q1826="","",IF(R1825="",Q1826,Q1826*0.2000000000+R1825*0.8000000000))</f>
        <v>0</v>
      </c>
      <c r="S1826">
        <f>IF(OR(Q1826="",R1826=""),"",Q1826-R1826)</f>
        <v>0</v>
      </c>
      <c r="T1826">
        <f>IF(COUNT($E$2:$E1826)&lt;14,"",MAX($C$1813:$C$1826))</f>
        <v>0</v>
      </c>
      <c r="U1826">
        <f>IF(COUNT($E$2:$E1826)&lt;14,"",MIN($D$1813:$D$1826))</f>
        <v>0</v>
      </c>
      <c r="V1826">
        <f>IF(OR(T1826="",U1826="",T1826=U1826),"",100*($E1826-U1826)/(T1826-U1826))</f>
        <v>0</v>
      </c>
      <c r="W1826">
        <f>IF(COUNT($V$1824:$V$1826)&lt;3,"",AVERAGE($V$1824:$V$1826))</f>
        <v>0</v>
      </c>
      <c r="X1826">
        <f>IF(COUNT($N$1813:$N$1826)&lt;14,"",MIN($N$1813:$N$1826))</f>
        <v>0</v>
      </c>
      <c r="Y1826">
        <f>IF(COUNT($N$1813:$N$1826)&lt;14,"",MAX($N$1813:$N$1826))</f>
        <v>0</v>
      </c>
      <c r="Z1826">
        <f>IF(OR(N1826="",X1826="",Y1826="",Y1826=X1826),"",100*(N1826-X1826)/(Y1826-X1826))</f>
        <v>0</v>
      </c>
      <c r="AA1826">
        <f>IF(COUNT($Z$1824:$Z$1826)&lt;3,"",AVERAGE($Z$1824:$Z$1826))</f>
        <v>0</v>
      </c>
      <c r="AB1826">
        <f>IF(COUNT($AA$1824:$AA$1826)&lt;3,"",AVERAGE($AA$1824:$AA$1826))</f>
        <v>0</v>
      </c>
      <c r="AC1826">
        <f>IF($E1826="","",MAX($C1826-$D1826,ABS($C1826-$E1825),ABS($D1826-$E1825)))</f>
        <v>0</v>
      </c>
      <c r="AD1826">
        <f>IF(COUNT($E$2:$E1826)&lt;15,"",AVERAGE($AC$1813:$AC$1826))</f>
        <v>0</v>
      </c>
      <c r="AE1826">
        <f>IF(OR($E1826="",$E1825=""),"",IF(AND(($C1826-$C1825)&gt;($D1825-$D1826),($C1826-$C1825)&gt;0),$C1826-$C1825,0))</f>
        <v>0</v>
      </c>
      <c r="AF1826">
        <f>IF(OR($E1826="",$E1825=""),"",IF(AND(($D1825-$D1826)&gt;($C1826-$C1825),($D1825-$D1826)&gt;0),$D1825-$D1826,0))</f>
        <v>0</v>
      </c>
      <c r="AG1826">
        <f>IF(COUNT($E$2:$E1826)&lt;15,"",IF(SUM($AC$1813:$AC$1826)=0,0,100*SUM($AE$1813:$AE$1826)/SUM($AC$1813:$AC$1826)))</f>
        <v>0</v>
      </c>
      <c r="AH1826">
        <f>IF(COUNT($E$2:$E1826)&lt;15,"",IF(SUM($AC$1813:$AC$1826)=0,0,100*SUM($AF$1813:$AF$1826)/SUM($AC$1813:$AC$1826)))</f>
        <v>0</v>
      </c>
      <c r="AI1826">
        <f>IF(OR(AG1826="",AH1826=""),"",IF((AG1826+AH1826)=0,0,100*ABS(AG1826-AH1826)/(AG1826+AH1826)))</f>
        <v>0</v>
      </c>
      <c r="AJ1826">
        <f>IF(COUNT($AI$1813:$AI$1826)&lt;14,"",AVERAGE($AI$1813:$AI$1826))</f>
        <v>0</v>
      </c>
      <c r="AK1826">
        <f>IF(COUNT($E$2:$E1826)&lt;20,"",AVERAGE($E$1807:$E$1826))</f>
        <v>0</v>
      </c>
      <c r="AL1826">
        <f>IF(COUNT($E$2:$E1826)&lt;20,"",STDEVP($E$1807:$E$1826))</f>
        <v>0</v>
      </c>
      <c r="AM1826">
        <f>IF(AK1826="","",AK1826+2*AL1826)</f>
        <v>0</v>
      </c>
      <c r="AN1826">
        <f>IF(AK1826="","",AK1826-2*AL1826)</f>
        <v>0</v>
      </c>
      <c r="AO1826">
        <f>IF(OR(AM1826="",AN1826="",AM1826=AN1826),"",($E1826-AN1826)/(AM1826-AN1826))</f>
        <v>0</v>
      </c>
      <c r="AP1826">
        <f>IF(OR(AM1826="",AK1826="",AK1826=0),"",(AM1826-AN1826)/AK1826)</f>
        <v>0</v>
      </c>
      <c r="AQ1826">
        <f>IF(COUNT($E$2:$E1826)&lt;20,"",MAX($C$1807:$C$1826))</f>
        <v>0</v>
      </c>
      <c r="AR1826">
        <f>IF(COUNT($E$2:$E1826)&lt;20,"",MIN($D$1807:$D$1826))</f>
        <v>0</v>
      </c>
      <c r="AS1826">
        <f>IF(OR(AQ1826="",AR1826=""),"",(AQ1826+AR1826)/2)</f>
        <v>0</v>
      </c>
      <c r="AT1826">
        <f>IF(COUNT($G$1807:$G$1826)&lt;20,"",STDEV($G$1807:$G$1826)*SQRT(252))</f>
        <v>0</v>
      </c>
      <c r="AU1826">
        <f>IF(COUNT($E$2:$E1826)&lt;9,"",(MAX($C$1818:$C$1826)+MIN($D$1818:$D$1826))/2)</f>
        <v>0</v>
      </c>
      <c r="AV1826">
        <f>IF(COUNT($E$2:$E1826)&lt;26,"",(MAX($C$1801:$C$1826)+MIN($D$1801:$D$1826))/2)</f>
        <v>0</v>
      </c>
      <c r="AW1826">
        <f>IF(OR(AU1826="",AV1826=""),"",(AU1826+AV1826)/2)</f>
        <v>0</v>
      </c>
      <c r="AX1826">
        <f>IF(COUNT($E$2:$E1826)&lt;52,"",(MAX($C$1775:$C$1826)+MIN($D$1775:$D$1826))/2)</f>
        <v>0</v>
      </c>
      <c r="AY1826">
        <f>IF(COUNT($E$2:$E1826)&lt;20,"",MAX($C$1727:$C$1826))</f>
        <v>0</v>
      </c>
      <c r="AZ1826">
        <f>IF(COUNT($E$2:$E1826)&lt;20,"",MIN($D$1727:$D$1826))</f>
        <v>0</v>
      </c>
      <c r="BA1826">
        <f>IF(COUNT($E$2:$E1826)&lt;20,"",SLOPE($E$1727:$E$1826,$F$1727:$F$1826))</f>
        <v>0</v>
      </c>
      <c r="BB1826">
        <f>IF(COUNT($E$2:$E1826)&lt;20,"",INTERCEPT($E$1727:$E$1826,$F$1727:$F$1826))</f>
        <v>0</v>
      </c>
      <c r="BC1826">
        <f>IF(OR(BA1826="",BB1826=""),"",BB1826+BA1826*F1826)</f>
        <v>0</v>
      </c>
      <c r="BD1826">
        <f>IF(COUNT($E$2:$E1826)&lt;20,"",STEYX($E$1727:$E$1826,$F$1727:$F$1826))</f>
        <v>0</v>
      </c>
      <c r="BE1826">
        <f>IF($E1826="","",IF(AND(COUNT($E$1827:$E$1830)&gt;=4,$C1826=MAX($C$1822:$C$1830)),$C1826,""))</f>
        <v>0</v>
      </c>
      <c r="BF1826">
        <f>IF($E1826="","",IF(AND(COUNT($E$1827:$E$1830)&gt;=4,$D1826=MIN($D$1822:$D$1830)),$D1826,""))</f>
        <v>0</v>
      </c>
      <c r="BG1826">
        <f>IF($A1826="","",$A1826-WEEKDAY($A1826,2)+1)</f>
        <v>0</v>
      </c>
      <c r="BH1826">
        <f>IF($A1826="","",IF($A1825="",1,IF(BG1826&lt;&gt;BG1825,1,0)))</f>
        <v>0</v>
      </c>
      <c r="BI1826">
        <f>IF($A1826="","",IF($A1827="",1,IF(BG1827&lt;&gt;BG1826,1,0)))</f>
        <v>0</v>
      </c>
      <c r="BJ1826">
        <f>IF($A1826="","",IF(BH1826=1,$B1826,BJ1825))</f>
        <v>0</v>
      </c>
      <c r="BK1826">
        <f>IF($A1826="","",IF(BH1826=1,$C1826,MAX($C1826,BK1825)))</f>
        <v>0</v>
      </c>
      <c r="BL1826">
        <f>IF($A1826="","",IF(BH1826=1,$D1826,MIN($D1826,BL1825)))</f>
        <v>0</v>
      </c>
      <c r="BM1826">
        <f>IF($A1826="","",IF(BI1826=1,F1826,""))</f>
        <v>0</v>
      </c>
      <c r="BN1826">
        <f>IF($A1826="","",DATE(YEAR($A1826),MONTH($A1826),1))</f>
        <v>0</v>
      </c>
      <c r="BO1826">
        <f>IF($A1826="","",IF($A1825="",1,IF(BN1826&lt;&gt;BN1825,1,0)))</f>
        <v>0</v>
      </c>
      <c r="BP1826">
        <f>IF($A1826="","",IF($A1827="",1,IF(BN1827&lt;&gt;BN1826,1,0)))</f>
        <v>0</v>
      </c>
      <c r="BQ1826">
        <f>IF($A1826="","",IF(BO1826=1,$B1826,BQ1825))</f>
        <v>0</v>
      </c>
      <c r="BR1826">
        <f>IF($A1826="","",IF(BO1826=1,$C1826,MAX($C1826,BR1825)))</f>
        <v>0</v>
      </c>
      <c r="BS1826">
        <f>IF($A1826="","",IF(BO1826=1,$D1826,MIN($D1826,BS1825)))</f>
        <v>0</v>
      </c>
      <c r="BT1826">
        <f>IF($A1826="","",IF(BP1826=1,F1826,""))</f>
        <v>0</v>
      </c>
    </row>
    <row r="1827" spans="1:72">
      <c r="A1827" s="27">
        <f>IF(Data!$A1827="","",Data!$A1827)</f>
        <v>0</v>
      </c>
      <c r="B1827">
        <f>IF(Data!$B1827="","",Data!$B1827)</f>
        <v>0</v>
      </c>
      <c r="C1827">
        <f>IF(Data!$C1827="","",Data!$C1827)</f>
        <v>0</v>
      </c>
      <c r="D1827">
        <f>IF(Data!$D1827="","",Data!$D1827)</f>
        <v>0</v>
      </c>
      <c r="E1827">
        <f>IF(Data!$E1827="","",Data!$E1827)</f>
        <v>0</v>
      </c>
      <c r="F1827">
        <f>IF($E1827="","",N(F1826)+1)</f>
        <v>0</v>
      </c>
      <c r="G1827">
        <f>IF(OR($E1827="",$E1826=""),"",LN($E1827/$E1826))</f>
        <v>0</v>
      </c>
      <c r="H1827">
        <f>IF($E1827="","",IF($E1826="",$E1827,$E1827*0.0952380952+H1826*0.9047619048))</f>
        <v>0</v>
      </c>
      <c r="I1827">
        <f>IF($E1827="","",IF($E1826="",$E1827,$E1827*0.0392156863+I1826*0.9607843137))</f>
        <v>0</v>
      </c>
      <c r="J1827">
        <f>IF($E1827="","",IF($E1826="",$E1827,$E1827*0.0198019802+J1826*0.9801980198))</f>
        <v>0</v>
      </c>
      <c r="K1827">
        <f>IF($E1827="","",IF($E1826="",$E1827,$E1827*0.0099502488+K1826*0.9900497512))</f>
        <v>0</v>
      </c>
      <c r="L1827">
        <f>IF(OR($E1827="",$E1826=""),"",MAX($E1827-$E1826,0))</f>
        <v>0</v>
      </c>
      <c r="M1827">
        <f>IF(OR($E1827="",$E1826=""),"",MAX($E1826-$E1827,0))</f>
        <v>0</v>
      </c>
      <c r="N1827">
        <f>IF(COUNT($E$2:$E1827)&lt;15,"",IF(AVERAGE($M$1814:$M$1827)=0,100,100-100/(1+AVERAGE($L$1814:$L$1827)/AVERAGE($M$1814:$M$1827))))</f>
        <v>0</v>
      </c>
      <c r="O1827">
        <f>IF($E1827="","",IF($E1826="",$E1827,$E1827*0.1538461538+O1826*0.8461538462))</f>
        <v>0</v>
      </c>
      <c r="P1827">
        <f>IF($E1827="","",IF($E1826="",$E1827,$E1827*0.0740740741+P1826*0.9259259259))</f>
        <v>0</v>
      </c>
      <c r="Q1827">
        <f>IF(OR(O1827="",P1827=""),"",O1827-P1827)</f>
        <v>0</v>
      </c>
      <c r="R1827">
        <f>IF(Q1827="","",IF(R1826="",Q1827,Q1827*0.2000000000+R1826*0.8000000000))</f>
        <v>0</v>
      </c>
      <c r="S1827">
        <f>IF(OR(Q1827="",R1827=""),"",Q1827-R1827)</f>
        <v>0</v>
      </c>
      <c r="T1827">
        <f>IF(COUNT($E$2:$E1827)&lt;14,"",MAX($C$1814:$C$1827))</f>
        <v>0</v>
      </c>
      <c r="U1827">
        <f>IF(COUNT($E$2:$E1827)&lt;14,"",MIN($D$1814:$D$1827))</f>
        <v>0</v>
      </c>
      <c r="V1827">
        <f>IF(OR(T1827="",U1827="",T1827=U1827),"",100*($E1827-U1827)/(T1827-U1827))</f>
        <v>0</v>
      </c>
      <c r="W1827">
        <f>IF(COUNT($V$1825:$V$1827)&lt;3,"",AVERAGE($V$1825:$V$1827))</f>
        <v>0</v>
      </c>
      <c r="X1827">
        <f>IF(COUNT($N$1814:$N$1827)&lt;14,"",MIN($N$1814:$N$1827))</f>
        <v>0</v>
      </c>
      <c r="Y1827">
        <f>IF(COUNT($N$1814:$N$1827)&lt;14,"",MAX($N$1814:$N$1827))</f>
        <v>0</v>
      </c>
      <c r="Z1827">
        <f>IF(OR(N1827="",X1827="",Y1827="",Y1827=X1827),"",100*(N1827-X1827)/(Y1827-X1827))</f>
        <v>0</v>
      </c>
      <c r="AA1827">
        <f>IF(COUNT($Z$1825:$Z$1827)&lt;3,"",AVERAGE($Z$1825:$Z$1827))</f>
        <v>0</v>
      </c>
      <c r="AB1827">
        <f>IF(COUNT($AA$1825:$AA$1827)&lt;3,"",AVERAGE($AA$1825:$AA$1827))</f>
        <v>0</v>
      </c>
      <c r="AC1827">
        <f>IF($E1827="","",MAX($C1827-$D1827,ABS($C1827-$E1826),ABS($D1827-$E1826)))</f>
        <v>0</v>
      </c>
      <c r="AD1827">
        <f>IF(COUNT($E$2:$E1827)&lt;15,"",AVERAGE($AC$1814:$AC$1827))</f>
        <v>0</v>
      </c>
      <c r="AE1827">
        <f>IF(OR($E1827="",$E1826=""),"",IF(AND(($C1827-$C1826)&gt;($D1826-$D1827),($C1827-$C1826)&gt;0),$C1827-$C1826,0))</f>
        <v>0</v>
      </c>
      <c r="AF1827">
        <f>IF(OR($E1827="",$E1826=""),"",IF(AND(($D1826-$D1827)&gt;($C1827-$C1826),($D1826-$D1827)&gt;0),$D1826-$D1827,0))</f>
        <v>0</v>
      </c>
      <c r="AG1827">
        <f>IF(COUNT($E$2:$E1827)&lt;15,"",IF(SUM($AC$1814:$AC$1827)=0,0,100*SUM($AE$1814:$AE$1827)/SUM($AC$1814:$AC$1827)))</f>
        <v>0</v>
      </c>
      <c r="AH1827">
        <f>IF(COUNT($E$2:$E1827)&lt;15,"",IF(SUM($AC$1814:$AC$1827)=0,0,100*SUM($AF$1814:$AF$1827)/SUM($AC$1814:$AC$1827)))</f>
        <v>0</v>
      </c>
      <c r="AI1827">
        <f>IF(OR(AG1827="",AH1827=""),"",IF((AG1827+AH1827)=0,0,100*ABS(AG1827-AH1827)/(AG1827+AH1827)))</f>
        <v>0</v>
      </c>
      <c r="AJ1827">
        <f>IF(COUNT($AI$1814:$AI$1827)&lt;14,"",AVERAGE($AI$1814:$AI$1827))</f>
        <v>0</v>
      </c>
      <c r="AK1827">
        <f>IF(COUNT($E$2:$E1827)&lt;20,"",AVERAGE($E$1808:$E$1827))</f>
        <v>0</v>
      </c>
      <c r="AL1827">
        <f>IF(COUNT($E$2:$E1827)&lt;20,"",STDEVP($E$1808:$E$1827))</f>
        <v>0</v>
      </c>
      <c r="AM1827">
        <f>IF(AK1827="","",AK1827+2*AL1827)</f>
        <v>0</v>
      </c>
      <c r="AN1827">
        <f>IF(AK1827="","",AK1827-2*AL1827)</f>
        <v>0</v>
      </c>
      <c r="AO1827">
        <f>IF(OR(AM1827="",AN1827="",AM1827=AN1827),"",($E1827-AN1827)/(AM1827-AN1827))</f>
        <v>0</v>
      </c>
      <c r="AP1827">
        <f>IF(OR(AM1827="",AK1827="",AK1827=0),"",(AM1827-AN1827)/AK1827)</f>
        <v>0</v>
      </c>
      <c r="AQ1827">
        <f>IF(COUNT($E$2:$E1827)&lt;20,"",MAX($C$1808:$C$1827))</f>
        <v>0</v>
      </c>
      <c r="AR1827">
        <f>IF(COUNT($E$2:$E1827)&lt;20,"",MIN($D$1808:$D$1827))</f>
        <v>0</v>
      </c>
      <c r="AS1827">
        <f>IF(OR(AQ1827="",AR1827=""),"",(AQ1827+AR1827)/2)</f>
        <v>0</v>
      </c>
      <c r="AT1827">
        <f>IF(COUNT($G$1808:$G$1827)&lt;20,"",STDEV($G$1808:$G$1827)*SQRT(252))</f>
        <v>0</v>
      </c>
      <c r="AU1827">
        <f>IF(COUNT($E$2:$E1827)&lt;9,"",(MAX($C$1819:$C$1827)+MIN($D$1819:$D$1827))/2)</f>
        <v>0</v>
      </c>
      <c r="AV1827">
        <f>IF(COUNT($E$2:$E1827)&lt;26,"",(MAX($C$1802:$C$1827)+MIN($D$1802:$D$1827))/2)</f>
        <v>0</v>
      </c>
      <c r="AW1827">
        <f>IF(OR(AU1827="",AV1827=""),"",(AU1827+AV1827)/2)</f>
        <v>0</v>
      </c>
      <c r="AX1827">
        <f>IF(COUNT($E$2:$E1827)&lt;52,"",(MAX($C$1776:$C$1827)+MIN($D$1776:$D$1827))/2)</f>
        <v>0</v>
      </c>
      <c r="AY1827">
        <f>IF(COUNT($E$2:$E1827)&lt;20,"",MAX($C$1728:$C$1827))</f>
        <v>0</v>
      </c>
      <c r="AZ1827">
        <f>IF(COUNT($E$2:$E1827)&lt;20,"",MIN($D$1728:$D$1827))</f>
        <v>0</v>
      </c>
      <c r="BA1827">
        <f>IF(COUNT($E$2:$E1827)&lt;20,"",SLOPE($E$1728:$E$1827,$F$1728:$F$1827))</f>
        <v>0</v>
      </c>
      <c r="BB1827">
        <f>IF(COUNT($E$2:$E1827)&lt;20,"",INTERCEPT($E$1728:$E$1827,$F$1728:$F$1827))</f>
        <v>0</v>
      </c>
      <c r="BC1827">
        <f>IF(OR(BA1827="",BB1827=""),"",BB1827+BA1827*F1827)</f>
        <v>0</v>
      </c>
      <c r="BD1827">
        <f>IF(COUNT($E$2:$E1827)&lt;20,"",STEYX($E$1728:$E$1827,$F$1728:$F$1827))</f>
        <v>0</v>
      </c>
      <c r="BE1827">
        <f>IF($E1827="","",IF(AND(COUNT($E$1828:$E$1831)&gt;=4,$C1827=MAX($C$1823:$C$1831)),$C1827,""))</f>
        <v>0</v>
      </c>
      <c r="BF1827">
        <f>IF($E1827="","",IF(AND(COUNT($E$1828:$E$1831)&gt;=4,$D1827=MIN($D$1823:$D$1831)),$D1827,""))</f>
        <v>0</v>
      </c>
      <c r="BG1827">
        <f>IF($A1827="","",$A1827-WEEKDAY($A1827,2)+1)</f>
        <v>0</v>
      </c>
      <c r="BH1827">
        <f>IF($A1827="","",IF($A1826="",1,IF(BG1827&lt;&gt;BG1826,1,0)))</f>
        <v>0</v>
      </c>
      <c r="BI1827">
        <f>IF($A1827="","",IF($A1828="",1,IF(BG1828&lt;&gt;BG1827,1,0)))</f>
        <v>0</v>
      </c>
      <c r="BJ1827">
        <f>IF($A1827="","",IF(BH1827=1,$B1827,BJ1826))</f>
        <v>0</v>
      </c>
      <c r="BK1827">
        <f>IF($A1827="","",IF(BH1827=1,$C1827,MAX($C1827,BK1826)))</f>
        <v>0</v>
      </c>
      <c r="BL1827">
        <f>IF($A1827="","",IF(BH1827=1,$D1827,MIN($D1827,BL1826)))</f>
        <v>0</v>
      </c>
      <c r="BM1827">
        <f>IF($A1827="","",IF(BI1827=1,F1827,""))</f>
        <v>0</v>
      </c>
      <c r="BN1827">
        <f>IF($A1827="","",DATE(YEAR($A1827),MONTH($A1827),1))</f>
        <v>0</v>
      </c>
      <c r="BO1827">
        <f>IF($A1827="","",IF($A1826="",1,IF(BN1827&lt;&gt;BN1826,1,0)))</f>
        <v>0</v>
      </c>
      <c r="BP1827">
        <f>IF($A1827="","",IF($A1828="",1,IF(BN1828&lt;&gt;BN1827,1,0)))</f>
        <v>0</v>
      </c>
      <c r="BQ1827">
        <f>IF($A1827="","",IF(BO1827=1,$B1827,BQ1826))</f>
        <v>0</v>
      </c>
      <c r="BR1827">
        <f>IF($A1827="","",IF(BO1827=1,$C1827,MAX($C1827,BR1826)))</f>
        <v>0</v>
      </c>
      <c r="BS1827">
        <f>IF($A1827="","",IF(BO1827=1,$D1827,MIN($D1827,BS1826)))</f>
        <v>0</v>
      </c>
      <c r="BT1827">
        <f>IF($A1827="","",IF(BP1827=1,F1827,""))</f>
        <v>0</v>
      </c>
    </row>
    <row r="1828" spans="1:72">
      <c r="A1828" s="27">
        <f>IF(Data!$A1828="","",Data!$A1828)</f>
        <v>0</v>
      </c>
      <c r="B1828">
        <f>IF(Data!$B1828="","",Data!$B1828)</f>
        <v>0</v>
      </c>
      <c r="C1828">
        <f>IF(Data!$C1828="","",Data!$C1828)</f>
        <v>0</v>
      </c>
      <c r="D1828">
        <f>IF(Data!$D1828="","",Data!$D1828)</f>
        <v>0</v>
      </c>
      <c r="E1828">
        <f>IF(Data!$E1828="","",Data!$E1828)</f>
        <v>0</v>
      </c>
      <c r="F1828">
        <f>IF($E1828="","",N(F1827)+1)</f>
        <v>0</v>
      </c>
      <c r="G1828">
        <f>IF(OR($E1828="",$E1827=""),"",LN($E1828/$E1827))</f>
        <v>0</v>
      </c>
      <c r="H1828">
        <f>IF($E1828="","",IF($E1827="",$E1828,$E1828*0.0952380952+H1827*0.9047619048))</f>
        <v>0</v>
      </c>
      <c r="I1828">
        <f>IF($E1828="","",IF($E1827="",$E1828,$E1828*0.0392156863+I1827*0.9607843137))</f>
        <v>0</v>
      </c>
      <c r="J1828">
        <f>IF($E1828="","",IF($E1827="",$E1828,$E1828*0.0198019802+J1827*0.9801980198))</f>
        <v>0</v>
      </c>
      <c r="K1828">
        <f>IF($E1828="","",IF($E1827="",$E1828,$E1828*0.0099502488+K1827*0.9900497512))</f>
        <v>0</v>
      </c>
      <c r="L1828">
        <f>IF(OR($E1828="",$E1827=""),"",MAX($E1828-$E1827,0))</f>
        <v>0</v>
      </c>
      <c r="M1828">
        <f>IF(OR($E1828="",$E1827=""),"",MAX($E1827-$E1828,0))</f>
        <v>0</v>
      </c>
      <c r="N1828">
        <f>IF(COUNT($E$2:$E1828)&lt;15,"",IF(AVERAGE($M$1815:$M$1828)=0,100,100-100/(1+AVERAGE($L$1815:$L$1828)/AVERAGE($M$1815:$M$1828))))</f>
        <v>0</v>
      </c>
      <c r="O1828">
        <f>IF($E1828="","",IF($E1827="",$E1828,$E1828*0.1538461538+O1827*0.8461538462))</f>
        <v>0</v>
      </c>
      <c r="P1828">
        <f>IF($E1828="","",IF($E1827="",$E1828,$E1828*0.0740740741+P1827*0.9259259259))</f>
        <v>0</v>
      </c>
      <c r="Q1828">
        <f>IF(OR(O1828="",P1828=""),"",O1828-P1828)</f>
        <v>0</v>
      </c>
      <c r="R1828">
        <f>IF(Q1828="","",IF(R1827="",Q1828,Q1828*0.2000000000+R1827*0.8000000000))</f>
        <v>0</v>
      </c>
      <c r="S1828">
        <f>IF(OR(Q1828="",R1828=""),"",Q1828-R1828)</f>
        <v>0</v>
      </c>
      <c r="T1828">
        <f>IF(COUNT($E$2:$E1828)&lt;14,"",MAX($C$1815:$C$1828))</f>
        <v>0</v>
      </c>
      <c r="U1828">
        <f>IF(COUNT($E$2:$E1828)&lt;14,"",MIN($D$1815:$D$1828))</f>
        <v>0</v>
      </c>
      <c r="V1828">
        <f>IF(OR(T1828="",U1828="",T1828=U1828),"",100*($E1828-U1828)/(T1828-U1828))</f>
        <v>0</v>
      </c>
      <c r="W1828">
        <f>IF(COUNT($V$1826:$V$1828)&lt;3,"",AVERAGE($V$1826:$V$1828))</f>
        <v>0</v>
      </c>
      <c r="X1828">
        <f>IF(COUNT($N$1815:$N$1828)&lt;14,"",MIN($N$1815:$N$1828))</f>
        <v>0</v>
      </c>
      <c r="Y1828">
        <f>IF(COUNT($N$1815:$N$1828)&lt;14,"",MAX($N$1815:$N$1828))</f>
        <v>0</v>
      </c>
      <c r="Z1828">
        <f>IF(OR(N1828="",X1828="",Y1828="",Y1828=X1828),"",100*(N1828-X1828)/(Y1828-X1828))</f>
        <v>0</v>
      </c>
      <c r="AA1828">
        <f>IF(COUNT($Z$1826:$Z$1828)&lt;3,"",AVERAGE($Z$1826:$Z$1828))</f>
        <v>0</v>
      </c>
      <c r="AB1828">
        <f>IF(COUNT($AA$1826:$AA$1828)&lt;3,"",AVERAGE($AA$1826:$AA$1828))</f>
        <v>0</v>
      </c>
      <c r="AC1828">
        <f>IF($E1828="","",MAX($C1828-$D1828,ABS($C1828-$E1827),ABS($D1828-$E1827)))</f>
        <v>0</v>
      </c>
      <c r="AD1828">
        <f>IF(COUNT($E$2:$E1828)&lt;15,"",AVERAGE($AC$1815:$AC$1828))</f>
        <v>0</v>
      </c>
      <c r="AE1828">
        <f>IF(OR($E1828="",$E1827=""),"",IF(AND(($C1828-$C1827)&gt;($D1827-$D1828),($C1828-$C1827)&gt;0),$C1828-$C1827,0))</f>
        <v>0</v>
      </c>
      <c r="AF1828">
        <f>IF(OR($E1828="",$E1827=""),"",IF(AND(($D1827-$D1828)&gt;($C1828-$C1827),($D1827-$D1828)&gt;0),$D1827-$D1828,0))</f>
        <v>0</v>
      </c>
      <c r="AG1828">
        <f>IF(COUNT($E$2:$E1828)&lt;15,"",IF(SUM($AC$1815:$AC$1828)=0,0,100*SUM($AE$1815:$AE$1828)/SUM($AC$1815:$AC$1828)))</f>
        <v>0</v>
      </c>
      <c r="AH1828">
        <f>IF(COUNT($E$2:$E1828)&lt;15,"",IF(SUM($AC$1815:$AC$1828)=0,0,100*SUM($AF$1815:$AF$1828)/SUM($AC$1815:$AC$1828)))</f>
        <v>0</v>
      </c>
      <c r="AI1828">
        <f>IF(OR(AG1828="",AH1828=""),"",IF((AG1828+AH1828)=0,0,100*ABS(AG1828-AH1828)/(AG1828+AH1828)))</f>
        <v>0</v>
      </c>
      <c r="AJ1828">
        <f>IF(COUNT($AI$1815:$AI$1828)&lt;14,"",AVERAGE($AI$1815:$AI$1828))</f>
        <v>0</v>
      </c>
      <c r="AK1828">
        <f>IF(COUNT($E$2:$E1828)&lt;20,"",AVERAGE($E$1809:$E$1828))</f>
        <v>0</v>
      </c>
      <c r="AL1828">
        <f>IF(COUNT($E$2:$E1828)&lt;20,"",STDEVP($E$1809:$E$1828))</f>
        <v>0</v>
      </c>
      <c r="AM1828">
        <f>IF(AK1828="","",AK1828+2*AL1828)</f>
        <v>0</v>
      </c>
      <c r="AN1828">
        <f>IF(AK1828="","",AK1828-2*AL1828)</f>
        <v>0</v>
      </c>
      <c r="AO1828">
        <f>IF(OR(AM1828="",AN1828="",AM1828=AN1828),"",($E1828-AN1828)/(AM1828-AN1828))</f>
        <v>0</v>
      </c>
      <c r="AP1828">
        <f>IF(OR(AM1828="",AK1828="",AK1828=0),"",(AM1828-AN1828)/AK1828)</f>
        <v>0</v>
      </c>
      <c r="AQ1828">
        <f>IF(COUNT($E$2:$E1828)&lt;20,"",MAX($C$1809:$C$1828))</f>
        <v>0</v>
      </c>
      <c r="AR1828">
        <f>IF(COUNT($E$2:$E1828)&lt;20,"",MIN($D$1809:$D$1828))</f>
        <v>0</v>
      </c>
      <c r="AS1828">
        <f>IF(OR(AQ1828="",AR1828=""),"",(AQ1828+AR1828)/2)</f>
        <v>0</v>
      </c>
      <c r="AT1828">
        <f>IF(COUNT($G$1809:$G$1828)&lt;20,"",STDEV($G$1809:$G$1828)*SQRT(252))</f>
        <v>0</v>
      </c>
      <c r="AU1828">
        <f>IF(COUNT($E$2:$E1828)&lt;9,"",(MAX($C$1820:$C$1828)+MIN($D$1820:$D$1828))/2)</f>
        <v>0</v>
      </c>
      <c r="AV1828">
        <f>IF(COUNT($E$2:$E1828)&lt;26,"",(MAX($C$1803:$C$1828)+MIN($D$1803:$D$1828))/2)</f>
        <v>0</v>
      </c>
      <c r="AW1828">
        <f>IF(OR(AU1828="",AV1828=""),"",(AU1828+AV1828)/2)</f>
        <v>0</v>
      </c>
      <c r="AX1828">
        <f>IF(COUNT($E$2:$E1828)&lt;52,"",(MAX($C$1777:$C$1828)+MIN($D$1777:$D$1828))/2)</f>
        <v>0</v>
      </c>
      <c r="AY1828">
        <f>IF(COUNT($E$2:$E1828)&lt;20,"",MAX($C$1729:$C$1828))</f>
        <v>0</v>
      </c>
      <c r="AZ1828">
        <f>IF(COUNT($E$2:$E1828)&lt;20,"",MIN($D$1729:$D$1828))</f>
        <v>0</v>
      </c>
      <c r="BA1828">
        <f>IF(COUNT($E$2:$E1828)&lt;20,"",SLOPE($E$1729:$E$1828,$F$1729:$F$1828))</f>
        <v>0</v>
      </c>
      <c r="BB1828">
        <f>IF(COUNT($E$2:$E1828)&lt;20,"",INTERCEPT($E$1729:$E$1828,$F$1729:$F$1828))</f>
        <v>0</v>
      </c>
      <c r="BC1828">
        <f>IF(OR(BA1828="",BB1828=""),"",BB1828+BA1828*F1828)</f>
        <v>0</v>
      </c>
      <c r="BD1828">
        <f>IF(COUNT($E$2:$E1828)&lt;20,"",STEYX($E$1729:$E$1828,$F$1729:$F$1828))</f>
        <v>0</v>
      </c>
      <c r="BE1828">
        <f>IF($E1828="","",IF(AND(COUNT($E$1829:$E$1832)&gt;=4,$C1828=MAX($C$1824:$C$1832)),$C1828,""))</f>
        <v>0</v>
      </c>
      <c r="BF1828">
        <f>IF($E1828="","",IF(AND(COUNT($E$1829:$E$1832)&gt;=4,$D1828=MIN($D$1824:$D$1832)),$D1828,""))</f>
        <v>0</v>
      </c>
      <c r="BG1828">
        <f>IF($A1828="","",$A1828-WEEKDAY($A1828,2)+1)</f>
        <v>0</v>
      </c>
      <c r="BH1828">
        <f>IF($A1828="","",IF($A1827="",1,IF(BG1828&lt;&gt;BG1827,1,0)))</f>
        <v>0</v>
      </c>
      <c r="BI1828">
        <f>IF($A1828="","",IF($A1829="",1,IF(BG1829&lt;&gt;BG1828,1,0)))</f>
        <v>0</v>
      </c>
      <c r="BJ1828">
        <f>IF($A1828="","",IF(BH1828=1,$B1828,BJ1827))</f>
        <v>0</v>
      </c>
      <c r="BK1828">
        <f>IF($A1828="","",IF(BH1828=1,$C1828,MAX($C1828,BK1827)))</f>
        <v>0</v>
      </c>
      <c r="BL1828">
        <f>IF($A1828="","",IF(BH1828=1,$D1828,MIN($D1828,BL1827)))</f>
        <v>0</v>
      </c>
      <c r="BM1828">
        <f>IF($A1828="","",IF(BI1828=1,F1828,""))</f>
        <v>0</v>
      </c>
      <c r="BN1828">
        <f>IF($A1828="","",DATE(YEAR($A1828),MONTH($A1828),1))</f>
        <v>0</v>
      </c>
      <c r="BO1828">
        <f>IF($A1828="","",IF($A1827="",1,IF(BN1828&lt;&gt;BN1827,1,0)))</f>
        <v>0</v>
      </c>
      <c r="BP1828">
        <f>IF($A1828="","",IF($A1829="",1,IF(BN1829&lt;&gt;BN1828,1,0)))</f>
        <v>0</v>
      </c>
      <c r="BQ1828">
        <f>IF($A1828="","",IF(BO1828=1,$B1828,BQ1827))</f>
        <v>0</v>
      </c>
      <c r="BR1828">
        <f>IF($A1828="","",IF(BO1828=1,$C1828,MAX($C1828,BR1827)))</f>
        <v>0</v>
      </c>
      <c r="BS1828">
        <f>IF($A1828="","",IF(BO1828=1,$D1828,MIN($D1828,BS1827)))</f>
        <v>0</v>
      </c>
      <c r="BT1828">
        <f>IF($A1828="","",IF(BP1828=1,F1828,""))</f>
        <v>0</v>
      </c>
    </row>
    <row r="1829" spans="1:72">
      <c r="A1829" s="27">
        <f>IF(Data!$A1829="","",Data!$A1829)</f>
        <v>0</v>
      </c>
      <c r="B1829">
        <f>IF(Data!$B1829="","",Data!$B1829)</f>
        <v>0</v>
      </c>
      <c r="C1829">
        <f>IF(Data!$C1829="","",Data!$C1829)</f>
        <v>0</v>
      </c>
      <c r="D1829">
        <f>IF(Data!$D1829="","",Data!$D1829)</f>
        <v>0</v>
      </c>
      <c r="E1829">
        <f>IF(Data!$E1829="","",Data!$E1829)</f>
        <v>0</v>
      </c>
      <c r="F1829">
        <f>IF($E1829="","",N(F1828)+1)</f>
        <v>0</v>
      </c>
      <c r="G1829">
        <f>IF(OR($E1829="",$E1828=""),"",LN($E1829/$E1828))</f>
        <v>0</v>
      </c>
      <c r="H1829">
        <f>IF($E1829="","",IF($E1828="",$E1829,$E1829*0.0952380952+H1828*0.9047619048))</f>
        <v>0</v>
      </c>
      <c r="I1829">
        <f>IF($E1829="","",IF($E1828="",$E1829,$E1829*0.0392156863+I1828*0.9607843137))</f>
        <v>0</v>
      </c>
      <c r="J1829">
        <f>IF($E1829="","",IF($E1828="",$E1829,$E1829*0.0198019802+J1828*0.9801980198))</f>
        <v>0</v>
      </c>
      <c r="K1829">
        <f>IF($E1829="","",IF($E1828="",$E1829,$E1829*0.0099502488+K1828*0.9900497512))</f>
        <v>0</v>
      </c>
      <c r="L1829">
        <f>IF(OR($E1829="",$E1828=""),"",MAX($E1829-$E1828,0))</f>
        <v>0</v>
      </c>
      <c r="M1829">
        <f>IF(OR($E1829="",$E1828=""),"",MAX($E1828-$E1829,0))</f>
        <v>0</v>
      </c>
      <c r="N1829">
        <f>IF(COUNT($E$2:$E1829)&lt;15,"",IF(AVERAGE($M$1816:$M$1829)=0,100,100-100/(1+AVERAGE($L$1816:$L$1829)/AVERAGE($M$1816:$M$1829))))</f>
        <v>0</v>
      </c>
      <c r="O1829">
        <f>IF($E1829="","",IF($E1828="",$E1829,$E1829*0.1538461538+O1828*0.8461538462))</f>
        <v>0</v>
      </c>
      <c r="P1829">
        <f>IF($E1829="","",IF($E1828="",$E1829,$E1829*0.0740740741+P1828*0.9259259259))</f>
        <v>0</v>
      </c>
      <c r="Q1829">
        <f>IF(OR(O1829="",P1829=""),"",O1829-P1829)</f>
        <v>0</v>
      </c>
      <c r="R1829">
        <f>IF(Q1829="","",IF(R1828="",Q1829,Q1829*0.2000000000+R1828*0.8000000000))</f>
        <v>0</v>
      </c>
      <c r="S1829">
        <f>IF(OR(Q1829="",R1829=""),"",Q1829-R1829)</f>
        <v>0</v>
      </c>
      <c r="T1829">
        <f>IF(COUNT($E$2:$E1829)&lt;14,"",MAX($C$1816:$C$1829))</f>
        <v>0</v>
      </c>
      <c r="U1829">
        <f>IF(COUNT($E$2:$E1829)&lt;14,"",MIN($D$1816:$D$1829))</f>
        <v>0</v>
      </c>
      <c r="V1829">
        <f>IF(OR(T1829="",U1829="",T1829=U1829),"",100*($E1829-U1829)/(T1829-U1829))</f>
        <v>0</v>
      </c>
      <c r="W1829">
        <f>IF(COUNT($V$1827:$V$1829)&lt;3,"",AVERAGE($V$1827:$V$1829))</f>
        <v>0</v>
      </c>
      <c r="X1829">
        <f>IF(COUNT($N$1816:$N$1829)&lt;14,"",MIN($N$1816:$N$1829))</f>
        <v>0</v>
      </c>
      <c r="Y1829">
        <f>IF(COUNT($N$1816:$N$1829)&lt;14,"",MAX($N$1816:$N$1829))</f>
        <v>0</v>
      </c>
      <c r="Z1829">
        <f>IF(OR(N1829="",X1829="",Y1829="",Y1829=X1829),"",100*(N1829-X1829)/(Y1829-X1829))</f>
        <v>0</v>
      </c>
      <c r="AA1829">
        <f>IF(COUNT($Z$1827:$Z$1829)&lt;3,"",AVERAGE($Z$1827:$Z$1829))</f>
        <v>0</v>
      </c>
      <c r="AB1829">
        <f>IF(COUNT($AA$1827:$AA$1829)&lt;3,"",AVERAGE($AA$1827:$AA$1829))</f>
        <v>0</v>
      </c>
      <c r="AC1829">
        <f>IF($E1829="","",MAX($C1829-$D1829,ABS($C1829-$E1828),ABS($D1829-$E1828)))</f>
        <v>0</v>
      </c>
      <c r="AD1829">
        <f>IF(COUNT($E$2:$E1829)&lt;15,"",AVERAGE($AC$1816:$AC$1829))</f>
        <v>0</v>
      </c>
      <c r="AE1829">
        <f>IF(OR($E1829="",$E1828=""),"",IF(AND(($C1829-$C1828)&gt;($D1828-$D1829),($C1829-$C1828)&gt;0),$C1829-$C1828,0))</f>
        <v>0</v>
      </c>
      <c r="AF1829">
        <f>IF(OR($E1829="",$E1828=""),"",IF(AND(($D1828-$D1829)&gt;($C1829-$C1828),($D1828-$D1829)&gt;0),$D1828-$D1829,0))</f>
        <v>0</v>
      </c>
      <c r="AG1829">
        <f>IF(COUNT($E$2:$E1829)&lt;15,"",IF(SUM($AC$1816:$AC$1829)=0,0,100*SUM($AE$1816:$AE$1829)/SUM($AC$1816:$AC$1829)))</f>
        <v>0</v>
      </c>
      <c r="AH1829">
        <f>IF(COUNT($E$2:$E1829)&lt;15,"",IF(SUM($AC$1816:$AC$1829)=0,0,100*SUM($AF$1816:$AF$1829)/SUM($AC$1816:$AC$1829)))</f>
        <v>0</v>
      </c>
      <c r="AI1829">
        <f>IF(OR(AG1829="",AH1829=""),"",IF((AG1829+AH1829)=0,0,100*ABS(AG1829-AH1829)/(AG1829+AH1829)))</f>
        <v>0</v>
      </c>
      <c r="AJ1829">
        <f>IF(COUNT($AI$1816:$AI$1829)&lt;14,"",AVERAGE($AI$1816:$AI$1829))</f>
        <v>0</v>
      </c>
      <c r="AK1829">
        <f>IF(COUNT($E$2:$E1829)&lt;20,"",AVERAGE($E$1810:$E$1829))</f>
        <v>0</v>
      </c>
      <c r="AL1829">
        <f>IF(COUNT($E$2:$E1829)&lt;20,"",STDEVP($E$1810:$E$1829))</f>
        <v>0</v>
      </c>
      <c r="AM1829">
        <f>IF(AK1829="","",AK1829+2*AL1829)</f>
        <v>0</v>
      </c>
      <c r="AN1829">
        <f>IF(AK1829="","",AK1829-2*AL1829)</f>
        <v>0</v>
      </c>
      <c r="AO1829">
        <f>IF(OR(AM1829="",AN1829="",AM1829=AN1829),"",($E1829-AN1829)/(AM1829-AN1829))</f>
        <v>0</v>
      </c>
      <c r="AP1829">
        <f>IF(OR(AM1829="",AK1829="",AK1829=0),"",(AM1829-AN1829)/AK1829)</f>
        <v>0</v>
      </c>
      <c r="AQ1829">
        <f>IF(COUNT($E$2:$E1829)&lt;20,"",MAX($C$1810:$C$1829))</f>
        <v>0</v>
      </c>
      <c r="AR1829">
        <f>IF(COUNT($E$2:$E1829)&lt;20,"",MIN($D$1810:$D$1829))</f>
        <v>0</v>
      </c>
      <c r="AS1829">
        <f>IF(OR(AQ1829="",AR1829=""),"",(AQ1829+AR1829)/2)</f>
        <v>0</v>
      </c>
      <c r="AT1829">
        <f>IF(COUNT($G$1810:$G$1829)&lt;20,"",STDEV($G$1810:$G$1829)*SQRT(252))</f>
        <v>0</v>
      </c>
      <c r="AU1829">
        <f>IF(COUNT($E$2:$E1829)&lt;9,"",(MAX($C$1821:$C$1829)+MIN($D$1821:$D$1829))/2)</f>
        <v>0</v>
      </c>
      <c r="AV1829">
        <f>IF(COUNT($E$2:$E1829)&lt;26,"",(MAX($C$1804:$C$1829)+MIN($D$1804:$D$1829))/2)</f>
        <v>0</v>
      </c>
      <c r="AW1829">
        <f>IF(OR(AU1829="",AV1829=""),"",(AU1829+AV1829)/2)</f>
        <v>0</v>
      </c>
      <c r="AX1829">
        <f>IF(COUNT($E$2:$E1829)&lt;52,"",(MAX($C$1778:$C$1829)+MIN($D$1778:$D$1829))/2)</f>
        <v>0</v>
      </c>
      <c r="AY1829">
        <f>IF(COUNT($E$2:$E1829)&lt;20,"",MAX($C$1730:$C$1829))</f>
        <v>0</v>
      </c>
      <c r="AZ1829">
        <f>IF(COUNT($E$2:$E1829)&lt;20,"",MIN($D$1730:$D$1829))</f>
        <v>0</v>
      </c>
      <c r="BA1829">
        <f>IF(COUNT($E$2:$E1829)&lt;20,"",SLOPE($E$1730:$E$1829,$F$1730:$F$1829))</f>
        <v>0</v>
      </c>
      <c r="BB1829">
        <f>IF(COUNT($E$2:$E1829)&lt;20,"",INTERCEPT($E$1730:$E$1829,$F$1730:$F$1829))</f>
        <v>0</v>
      </c>
      <c r="BC1829">
        <f>IF(OR(BA1829="",BB1829=""),"",BB1829+BA1829*F1829)</f>
        <v>0</v>
      </c>
      <c r="BD1829">
        <f>IF(COUNT($E$2:$E1829)&lt;20,"",STEYX($E$1730:$E$1829,$F$1730:$F$1829))</f>
        <v>0</v>
      </c>
      <c r="BE1829">
        <f>IF($E1829="","",IF(AND(COUNT($E$1830:$E$1833)&gt;=4,$C1829=MAX($C$1825:$C$1833)),$C1829,""))</f>
        <v>0</v>
      </c>
      <c r="BF1829">
        <f>IF($E1829="","",IF(AND(COUNT($E$1830:$E$1833)&gt;=4,$D1829=MIN($D$1825:$D$1833)),$D1829,""))</f>
        <v>0</v>
      </c>
      <c r="BG1829">
        <f>IF($A1829="","",$A1829-WEEKDAY($A1829,2)+1)</f>
        <v>0</v>
      </c>
      <c r="BH1829">
        <f>IF($A1829="","",IF($A1828="",1,IF(BG1829&lt;&gt;BG1828,1,0)))</f>
        <v>0</v>
      </c>
      <c r="BI1829">
        <f>IF($A1829="","",IF($A1830="",1,IF(BG1830&lt;&gt;BG1829,1,0)))</f>
        <v>0</v>
      </c>
      <c r="BJ1829">
        <f>IF($A1829="","",IF(BH1829=1,$B1829,BJ1828))</f>
        <v>0</v>
      </c>
      <c r="BK1829">
        <f>IF($A1829="","",IF(BH1829=1,$C1829,MAX($C1829,BK1828)))</f>
        <v>0</v>
      </c>
      <c r="BL1829">
        <f>IF($A1829="","",IF(BH1829=1,$D1829,MIN($D1829,BL1828)))</f>
        <v>0</v>
      </c>
      <c r="BM1829">
        <f>IF($A1829="","",IF(BI1829=1,F1829,""))</f>
        <v>0</v>
      </c>
      <c r="BN1829">
        <f>IF($A1829="","",DATE(YEAR($A1829),MONTH($A1829),1))</f>
        <v>0</v>
      </c>
      <c r="BO1829">
        <f>IF($A1829="","",IF($A1828="",1,IF(BN1829&lt;&gt;BN1828,1,0)))</f>
        <v>0</v>
      </c>
      <c r="BP1829">
        <f>IF($A1829="","",IF($A1830="",1,IF(BN1830&lt;&gt;BN1829,1,0)))</f>
        <v>0</v>
      </c>
      <c r="BQ1829">
        <f>IF($A1829="","",IF(BO1829=1,$B1829,BQ1828))</f>
        <v>0</v>
      </c>
      <c r="BR1829">
        <f>IF($A1829="","",IF(BO1829=1,$C1829,MAX($C1829,BR1828)))</f>
        <v>0</v>
      </c>
      <c r="BS1829">
        <f>IF($A1829="","",IF(BO1829=1,$D1829,MIN($D1829,BS1828)))</f>
        <v>0</v>
      </c>
      <c r="BT1829">
        <f>IF($A1829="","",IF(BP1829=1,F1829,""))</f>
        <v>0</v>
      </c>
    </row>
    <row r="1830" spans="1:72">
      <c r="A1830" s="27">
        <f>IF(Data!$A1830="","",Data!$A1830)</f>
        <v>0</v>
      </c>
      <c r="B1830">
        <f>IF(Data!$B1830="","",Data!$B1830)</f>
        <v>0</v>
      </c>
      <c r="C1830">
        <f>IF(Data!$C1830="","",Data!$C1830)</f>
        <v>0</v>
      </c>
      <c r="D1830">
        <f>IF(Data!$D1830="","",Data!$D1830)</f>
        <v>0</v>
      </c>
      <c r="E1830">
        <f>IF(Data!$E1830="","",Data!$E1830)</f>
        <v>0</v>
      </c>
      <c r="F1830">
        <f>IF($E1830="","",N(F1829)+1)</f>
        <v>0</v>
      </c>
      <c r="G1830">
        <f>IF(OR($E1830="",$E1829=""),"",LN($E1830/$E1829))</f>
        <v>0</v>
      </c>
      <c r="H1830">
        <f>IF($E1830="","",IF($E1829="",$E1830,$E1830*0.0952380952+H1829*0.9047619048))</f>
        <v>0</v>
      </c>
      <c r="I1830">
        <f>IF($E1830="","",IF($E1829="",$E1830,$E1830*0.0392156863+I1829*0.9607843137))</f>
        <v>0</v>
      </c>
      <c r="J1830">
        <f>IF($E1830="","",IF($E1829="",$E1830,$E1830*0.0198019802+J1829*0.9801980198))</f>
        <v>0</v>
      </c>
      <c r="K1830">
        <f>IF($E1830="","",IF($E1829="",$E1830,$E1830*0.0099502488+K1829*0.9900497512))</f>
        <v>0</v>
      </c>
      <c r="L1830">
        <f>IF(OR($E1830="",$E1829=""),"",MAX($E1830-$E1829,0))</f>
        <v>0</v>
      </c>
      <c r="M1830">
        <f>IF(OR($E1830="",$E1829=""),"",MAX($E1829-$E1830,0))</f>
        <v>0</v>
      </c>
      <c r="N1830">
        <f>IF(COUNT($E$2:$E1830)&lt;15,"",IF(AVERAGE($M$1817:$M$1830)=0,100,100-100/(1+AVERAGE($L$1817:$L$1830)/AVERAGE($M$1817:$M$1830))))</f>
        <v>0</v>
      </c>
      <c r="O1830">
        <f>IF($E1830="","",IF($E1829="",$E1830,$E1830*0.1538461538+O1829*0.8461538462))</f>
        <v>0</v>
      </c>
      <c r="P1830">
        <f>IF($E1830="","",IF($E1829="",$E1830,$E1830*0.0740740741+P1829*0.9259259259))</f>
        <v>0</v>
      </c>
      <c r="Q1830">
        <f>IF(OR(O1830="",P1830=""),"",O1830-P1830)</f>
        <v>0</v>
      </c>
      <c r="R1830">
        <f>IF(Q1830="","",IF(R1829="",Q1830,Q1830*0.2000000000+R1829*0.8000000000))</f>
        <v>0</v>
      </c>
      <c r="S1830">
        <f>IF(OR(Q1830="",R1830=""),"",Q1830-R1830)</f>
        <v>0</v>
      </c>
      <c r="T1830">
        <f>IF(COUNT($E$2:$E1830)&lt;14,"",MAX($C$1817:$C$1830))</f>
        <v>0</v>
      </c>
      <c r="U1830">
        <f>IF(COUNT($E$2:$E1830)&lt;14,"",MIN($D$1817:$D$1830))</f>
        <v>0</v>
      </c>
      <c r="V1830">
        <f>IF(OR(T1830="",U1830="",T1830=U1830),"",100*($E1830-U1830)/(T1830-U1830))</f>
        <v>0</v>
      </c>
      <c r="W1830">
        <f>IF(COUNT($V$1828:$V$1830)&lt;3,"",AVERAGE($V$1828:$V$1830))</f>
        <v>0</v>
      </c>
      <c r="X1830">
        <f>IF(COUNT($N$1817:$N$1830)&lt;14,"",MIN($N$1817:$N$1830))</f>
        <v>0</v>
      </c>
      <c r="Y1830">
        <f>IF(COUNT($N$1817:$N$1830)&lt;14,"",MAX($N$1817:$N$1830))</f>
        <v>0</v>
      </c>
      <c r="Z1830">
        <f>IF(OR(N1830="",X1830="",Y1830="",Y1830=X1830),"",100*(N1830-X1830)/(Y1830-X1830))</f>
        <v>0</v>
      </c>
      <c r="AA1830">
        <f>IF(COUNT($Z$1828:$Z$1830)&lt;3,"",AVERAGE($Z$1828:$Z$1830))</f>
        <v>0</v>
      </c>
      <c r="AB1830">
        <f>IF(COUNT($AA$1828:$AA$1830)&lt;3,"",AVERAGE($AA$1828:$AA$1830))</f>
        <v>0</v>
      </c>
      <c r="AC1830">
        <f>IF($E1830="","",MAX($C1830-$D1830,ABS($C1830-$E1829),ABS($D1830-$E1829)))</f>
        <v>0</v>
      </c>
      <c r="AD1830">
        <f>IF(COUNT($E$2:$E1830)&lt;15,"",AVERAGE($AC$1817:$AC$1830))</f>
        <v>0</v>
      </c>
      <c r="AE1830">
        <f>IF(OR($E1830="",$E1829=""),"",IF(AND(($C1830-$C1829)&gt;($D1829-$D1830),($C1830-$C1829)&gt;0),$C1830-$C1829,0))</f>
        <v>0</v>
      </c>
      <c r="AF1830">
        <f>IF(OR($E1830="",$E1829=""),"",IF(AND(($D1829-$D1830)&gt;($C1830-$C1829),($D1829-$D1830)&gt;0),$D1829-$D1830,0))</f>
        <v>0</v>
      </c>
      <c r="AG1830">
        <f>IF(COUNT($E$2:$E1830)&lt;15,"",IF(SUM($AC$1817:$AC$1830)=0,0,100*SUM($AE$1817:$AE$1830)/SUM($AC$1817:$AC$1830)))</f>
        <v>0</v>
      </c>
      <c r="AH1830">
        <f>IF(COUNT($E$2:$E1830)&lt;15,"",IF(SUM($AC$1817:$AC$1830)=0,0,100*SUM($AF$1817:$AF$1830)/SUM($AC$1817:$AC$1830)))</f>
        <v>0</v>
      </c>
      <c r="AI1830">
        <f>IF(OR(AG1830="",AH1830=""),"",IF((AG1830+AH1830)=0,0,100*ABS(AG1830-AH1830)/(AG1830+AH1830)))</f>
        <v>0</v>
      </c>
      <c r="AJ1830">
        <f>IF(COUNT($AI$1817:$AI$1830)&lt;14,"",AVERAGE($AI$1817:$AI$1830))</f>
        <v>0</v>
      </c>
      <c r="AK1830">
        <f>IF(COUNT($E$2:$E1830)&lt;20,"",AVERAGE($E$1811:$E$1830))</f>
        <v>0</v>
      </c>
      <c r="AL1830">
        <f>IF(COUNT($E$2:$E1830)&lt;20,"",STDEVP($E$1811:$E$1830))</f>
        <v>0</v>
      </c>
      <c r="AM1830">
        <f>IF(AK1830="","",AK1830+2*AL1830)</f>
        <v>0</v>
      </c>
      <c r="AN1830">
        <f>IF(AK1830="","",AK1830-2*AL1830)</f>
        <v>0</v>
      </c>
      <c r="AO1830">
        <f>IF(OR(AM1830="",AN1830="",AM1830=AN1830),"",($E1830-AN1830)/(AM1830-AN1830))</f>
        <v>0</v>
      </c>
      <c r="AP1830">
        <f>IF(OR(AM1830="",AK1830="",AK1830=0),"",(AM1830-AN1830)/AK1830)</f>
        <v>0</v>
      </c>
      <c r="AQ1830">
        <f>IF(COUNT($E$2:$E1830)&lt;20,"",MAX($C$1811:$C$1830))</f>
        <v>0</v>
      </c>
      <c r="AR1830">
        <f>IF(COUNT($E$2:$E1830)&lt;20,"",MIN($D$1811:$D$1830))</f>
        <v>0</v>
      </c>
      <c r="AS1830">
        <f>IF(OR(AQ1830="",AR1830=""),"",(AQ1830+AR1830)/2)</f>
        <v>0</v>
      </c>
      <c r="AT1830">
        <f>IF(COUNT($G$1811:$G$1830)&lt;20,"",STDEV($G$1811:$G$1830)*SQRT(252))</f>
        <v>0</v>
      </c>
      <c r="AU1830">
        <f>IF(COUNT($E$2:$E1830)&lt;9,"",(MAX($C$1822:$C$1830)+MIN($D$1822:$D$1830))/2)</f>
        <v>0</v>
      </c>
      <c r="AV1830">
        <f>IF(COUNT($E$2:$E1830)&lt;26,"",(MAX($C$1805:$C$1830)+MIN($D$1805:$D$1830))/2)</f>
        <v>0</v>
      </c>
      <c r="AW1830">
        <f>IF(OR(AU1830="",AV1830=""),"",(AU1830+AV1830)/2)</f>
        <v>0</v>
      </c>
      <c r="AX1830">
        <f>IF(COUNT($E$2:$E1830)&lt;52,"",(MAX($C$1779:$C$1830)+MIN($D$1779:$D$1830))/2)</f>
        <v>0</v>
      </c>
      <c r="AY1830">
        <f>IF(COUNT($E$2:$E1830)&lt;20,"",MAX($C$1731:$C$1830))</f>
        <v>0</v>
      </c>
      <c r="AZ1830">
        <f>IF(COUNT($E$2:$E1830)&lt;20,"",MIN($D$1731:$D$1830))</f>
        <v>0</v>
      </c>
      <c r="BA1830">
        <f>IF(COUNT($E$2:$E1830)&lt;20,"",SLOPE($E$1731:$E$1830,$F$1731:$F$1830))</f>
        <v>0</v>
      </c>
      <c r="BB1830">
        <f>IF(COUNT($E$2:$E1830)&lt;20,"",INTERCEPT($E$1731:$E$1830,$F$1731:$F$1830))</f>
        <v>0</v>
      </c>
      <c r="BC1830">
        <f>IF(OR(BA1830="",BB1830=""),"",BB1830+BA1830*F1830)</f>
        <v>0</v>
      </c>
      <c r="BD1830">
        <f>IF(COUNT($E$2:$E1830)&lt;20,"",STEYX($E$1731:$E$1830,$F$1731:$F$1830))</f>
        <v>0</v>
      </c>
      <c r="BE1830">
        <f>IF($E1830="","",IF(AND(COUNT($E$1831:$E$1834)&gt;=4,$C1830=MAX($C$1826:$C$1834)),$C1830,""))</f>
        <v>0</v>
      </c>
      <c r="BF1830">
        <f>IF($E1830="","",IF(AND(COUNT($E$1831:$E$1834)&gt;=4,$D1830=MIN($D$1826:$D$1834)),$D1830,""))</f>
        <v>0</v>
      </c>
      <c r="BG1830">
        <f>IF($A1830="","",$A1830-WEEKDAY($A1830,2)+1)</f>
        <v>0</v>
      </c>
      <c r="BH1830">
        <f>IF($A1830="","",IF($A1829="",1,IF(BG1830&lt;&gt;BG1829,1,0)))</f>
        <v>0</v>
      </c>
      <c r="BI1830">
        <f>IF($A1830="","",IF($A1831="",1,IF(BG1831&lt;&gt;BG1830,1,0)))</f>
        <v>0</v>
      </c>
      <c r="BJ1830">
        <f>IF($A1830="","",IF(BH1830=1,$B1830,BJ1829))</f>
        <v>0</v>
      </c>
      <c r="BK1830">
        <f>IF($A1830="","",IF(BH1830=1,$C1830,MAX($C1830,BK1829)))</f>
        <v>0</v>
      </c>
      <c r="BL1830">
        <f>IF($A1830="","",IF(BH1830=1,$D1830,MIN($D1830,BL1829)))</f>
        <v>0</v>
      </c>
      <c r="BM1830">
        <f>IF($A1830="","",IF(BI1830=1,F1830,""))</f>
        <v>0</v>
      </c>
      <c r="BN1830">
        <f>IF($A1830="","",DATE(YEAR($A1830),MONTH($A1830),1))</f>
        <v>0</v>
      </c>
      <c r="BO1830">
        <f>IF($A1830="","",IF($A1829="",1,IF(BN1830&lt;&gt;BN1829,1,0)))</f>
        <v>0</v>
      </c>
      <c r="BP1830">
        <f>IF($A1830="","",IF($A1831="",1,IF(BN1831&lt;&gt;BN1830,1,0)))</f>
        <v>0</v>
      </c>
      <c r="BQ1830">
        <f>IF($A1830="","",IF(BO1830=1,$B1830,BQ1829))</f>
        <v>0</v>
      </c>
      <c r="BR1830">
        <f>IF($A1830="","",IF(BO1830=1,$C1830,MAX($C1830,BR1829)))</f>
        <v>0</v>
      </c>
      <c r="BS1830">
        <f>IF($A1830="","",IF(BO1830=1,$D1830,MIN($D1830,BS1829)))</f>
        <v>0</v>
      </c>
      <c r="BT1830">
        <f>IF($A1830="","",IF(BP1830=1,F1830,""))</f>
        <v>0</v>
      </c>
    </row>
    <row r="1831" spans="1:72">
      <c r="A1831" s="27">
        <f>IF(Data!$A1831="","",Data!$A1831)</f>
        <v>0</v>
      </c>
      <c r="B1831">
        <f>IF(Data!$B1831="","",Data!$B1831)</f>
        <v>0</v>
      </c>
      <c r="C1831">
        <f>IF(Data!$C1831="","",Data!$C1831)</f>
        <v>0</v>
      </c>
      <c r="D1831">
        <f>IF(Data!$D1831="","",Data!$D1831)</f>
        <v>0</v>
      </c>
      <c r="E1831">
        <f>IF(Data!$E1831="","",Data!$E1831)</f>
        <v>0</v>
      </c>
      <c r="F1831">
        <f>IF($E1831="","",N(F1830)+1)</f>
        <v>0</v>
      </c>
      <c r="G1831">
        <f>IF(OR($E1831="",$E1830=""),"",LN($E1831/$E1830))</f>
        <v>0</v>
      </c>
      <c r="H1831">
        <f>IF($E1831="","",IF($E1830="",$E1831,$E1831*0.0952380952+H1830*0.9047619048))</f>
        <v>0</v>
      </c>
      <c r="I1831">
        <f>IF($E1831="","",IF($E1830="",$E1831,$E1831*0.0392156863+I1830*0.9607843137))</f>
        <v>0</v>
      </c>
      <c r="J1831">
        <f>IF($E1831="","",IF($E1830="",$E1831,$E1831*0.0198019802+J1830*0.9801980198))</f>
        <v>0</v>
      </c>
      <c r="K1831">
        <f>IF($E1831="","",IF($E1830="",$E1831,$E1831*0.0099502488+K1830*0.9900497512))</f>
        <v>0</v>
      </c>
      <c r="L1831">
        <f>IF(OR($E1831="",$E1830=""),"",MAX($E1831-$E1830,0))</f>
        <v>0</v>
      </c>
      <c r="M1831">
        <f>IF(OR($E1831="",$E1830=""),"",MAX($E1830-$E1831,0))</f>
        <v>0</v>
      </c>
      <c r="N1831">
        <f>IF(COUNT($E$2:$E1831)&lt;15,"",IF(AVERAGE($M$1818:$M$1831)=0,100,100-100/(1+AVERAGE($L$1818:$L$1831)/AVERAGE($M$1818:$M$1831))))</f>
        <v>0</v>
      </c>
      <c r="O1831">
        <f>IF($E1831="","",IF($E1830="",$E1831,$E1831*0.1538461538+O1830*0.8461538462))</f>
        <v>0</v>
      </c>
      <c r="P1831">
        <f>IF($E1831="","",IF($E1830="",$E1831,$E1831*0.0740740741+P1830*0.9259259259))</f>
        <v>0</v>
      </c>
      <c r="Q1831">
        <f>IF(OR(O1831="",P1831=""),"",O1831-P1831)</f>
        <v>0</v>
      </c>
      <c r="R1831">
        <f>IF(Q1831="","",IF(R1830="",Q1831,Q1831*0.2000000000+R1830*0.8000000000))</f>
        <v>0</v>
      </c>
      <c r="S1831">
        <f>IF(OR(Q1831="",R1831=""),"",Q1831-R1831)</f>
        <v>0</v>
      </c>
      <c r="T1831">
        <f>IF(COUNT($E$2:$E1831)&lt;14,"",MAX($C$1818:$C$1831))</f>
        <v>0</v>
      </c>
      <c r="U1831">
        <f>IF(COUNT($E$2:$E1831)&lt;14,"",MIN($D$1818:$D$1831))</f>
        <v>0</v>
      </c>
      <c r="V1831">
        <f>IF(OR(T1831="",U1831="",T1831=U1831),"",100*($E1831-U1831)/(T1831-U1831))</f>
        <v>0</v>
      </c>
      <c r="W1831">
        <f>IF(COUNT($V$1829:$V$1831)&lt;3,"",AVERAGE($V$1829:$V$1831))</f>
        <v>0</v>
      </c>
      <c r="X1831">
        <f>IF(COUNT($N$1818:$N$1831)&lt;14,"",MIN($N$1818:$N$1831))</f>
        <v>0</v>
      </c>
      <c r="Y1831">
        <f>IF(COUNT($N$1818:$N$1831)&lt;14,"",MAX($N$1818:$N$1831))</f>
        <v>0</v>
      </c>
      <c r="Z1831">
        <f>IF(OR(N1831="",X1831="",Y1831="",Y1831=X1831),"",100*(N1831-X1831)/(Y1831-X1831))</f>
        <v>0</v>
      </c>
      <c r="AA1831">
        <f>IF(COUNT($Z$1829:$Z$1831)&lt;3,"",AVERAGE($Z$1829:$Z$1831))</f>
        <v>0</v>
      </c>
      <c r="AB1831">
        <f>IF(COUNT($AA$1829:$AA$1831)&lt;3,"",AVERAGE($AA$1829:$AA$1831))</f>
        <v>0</v>
      </c>
      <c r="AC1831">
        <f>IF($E1831="","",MAX($C1831-$D1831,ABS($C1831-$E1830),ABS($D1831-$E1830)))</f>
        <v>0</v>
      </c>
      <c r="AD1831">
        <f>IF(COUNT($E$2:$E1831)&lt;15,"",AVERAGE($AC$1818:$AC$1831))</f>
        <v>0</v>
      </c>
      <c r="AE1831">
        <f>IF(OR($E1831="",$E1830=""),"",IF(AND(($C1831-$C1830)&gt;($D1830-$D1831),($C1831-$C1830)&gt;0),$C1831-$C1830,0))</f>
        <v>0</v>
      </c>
      <c r="AF1831">
        <f>IF(OR($E1831="",$E1830=""),"",IF(AND(($D1830-$D1831)&gt;($C1831-$C1830),($D1830-$D1831)&gt;0),$D1830-$D1831,0))</f>
        <v>0</v>
      </c>
      <c r="AG1831">
        <f>IF(COUNT($E$2:$E1831)&lt;15,"",IF(SUM($AC$1818:$AC$1831)=0,0,100*SUM($AE$1818:$AE$1831)/SUM($AC$1818:$AC$1831)))</f>
        <v>0</v>
      </c>
      <c r="AH1831">
        <f>IF(COUNT($E$2:$E1831)&lt;15,"",IF(SUM($AC$1818:$AC$1831)=0,0,100*SUM($AF$1818:$AF$1831)/SUM($AC$1818:$AC$1831)))</f>
        <v>0</v>
      </c>
      <c r="AI1831">
        <f>IF(OR(AG1831="",AH1831=""),"",IF((AG1831+AH1831)=0,0,100*ABS(AG1831-AH1831)/(AG1831+AH1831)))</f>
        <v>0</v>
      </c>
      <c r="AJ1831">
        <f>IF(COUNT($AI$1818:$AI$1831)&lt;14,"",AVERAGE($AI$1818:$AI$1831))</f>
        <v>0</v>
      </c>
      <c r="AK1831">
        <f>IF(COUNT($E$2:$E1831)&lt;20,"",AVERAGE($E$1812:$E$1831))</f>
        <v>0</v>
      </c>
      <c r="AL1831">
        <f>IF(COUNT($E$2:$E1831)&lt;20,"",STDEVP($E$1812:$E$1831))</f>
        <v>0</v>
      </c>
      <c r="AM1831">
        <f>IF(AK1831="","",AK1831+2*AL1831)</f>
        <v>0</v>
      </c>
      <c r="AN1831">
        <f>IF(AK1831="","",AK1831-2*AL1831)</f>
        <v>0</v>
      </c>
      <c r="AO1831">
        <f>IF(OR(AM1831="",AN1831="",AM1831=AN1831),"",($E1831-AN1831)/(AM1831-AN1831))</f>
        <v>0</v>
      </c>
      <c r="AP1831">
        <f>IF(OR(AM1831="",AK1831="",AK1831=0),"",(AM1831-AN1831)/AK1831)</f>
        <v>0</v>
      </c>
      <c r="AQ1831">
        <f>IF(COUNT($E$2:$E1831)&lt;20,"",MAX($C$1812:$C$1831))</f>
        <v>0</v>
      </c>
      <c r="AR1831">
        <f>IF(COUNT($E$2:$E1831)&lt;20,"",MIN($D$1812:$D$1831))</f>
        <v>0</v>
      </c>
      <c r="AS1831">
        <f>IF(OR(AQ1831="",AR1831=""),"",(AQ1831+AR1831)/2)</f>
        <v>0</v>
      </c>
      <c r="AT1831">
        <f>IF(COUNT($G$1812:$G$1831)&lt;20,"",STDEV($G$1812:$G$1831)*SQRT(252))</f>
        <v>0</v>
      </c>
      <c r="AU1831">
        <f>IF(COUNT($E$2:$E1831)&lt;9,"",(MAX($C$1823:$C$1831)+MIN($D$1823:$D$1831))/2)</f>
        <v>0</v>
      </c>
      <c r="AV1831">
        <f>IF(COUNT($E$2:$E1831)&lt;26,"",(MAX($C$1806:$C$1831)+MIN($D$1806:$D$1831))/2)</f>
        <v>0</v>
      </c>
      <c r="AW1831">
        <f>IF(OR(AU1831="",AV1831=""),"",(AU1831+AV1831)/2)</f>
        <v>0</v>
      </c>
      <c r="AX1831">
        <f>IF(COUNT($E$2:$E1831)&lt;52,"",(MAX($C$1780:$C$1831)+MIN($D$1780:$D$1831))/2)</f>
        <v>0</v>
      </c>
      <c r="AY1831">
        <f>IF(COUNT($E$2:$E1831)&lt;20,"",MAX($C$1732:$C$1831))</f>
        <v>0</v>
      </c>
      <c r="AZ1831">
        <f>IF(COUNT($E$2:$E1831)&lt;20,"",MIN($D$1732:$D$1831))</f>
        <v>0</v>
      </c>
      <c r="BA1831">
        <f>IF(COUNT($E$2:$E1831)&lt;20,"",SLOPE($E$1732:$E$1831,$F$1732:$F$1831))</f>
        <v>0</v>
      </c>
      <c r="BB1831">
        <f>IF(COUNT($E$2:$E1831)&lt;20,"",INTERCEPT($E$1732:$E$1831,$F$1732:$F$1831))</f>
        <v>0</v>
      </c>
      <c r="BC1831">
        <f>IF(OR(BA1831="",BB1831=""),"",BB1831+BA1831*F1831)</f>
        <v>0</v>
      </c>
      <c r="BD1831">
        <f>IF(COUNT($E$2:$E1831)&lt;20,"",STEYX($E$1732:$E$1831,$F$1732:$F$1831))</f>
        <v>0</v>
      </c>
      <c r="BE1831">
        <f>IF($E1831="","",IF(AND(COUNT($E$1832:$E$1835)&gt;=4,$C1831=MAX($C$1827:$C$1835)),$C1831,""))</f>
        <v>0</v>
      </c>
      <c r="BF1831">
        <f>IF($E1831="","",IF(AND(COUNT($E$1832:$E$1835)&gt;=4,$D1831=MIN($D$1827:$D$1835)),$D1831,""))</f>
        <v>0</v>
      </c>
      <c r="BG1831">
        <f>IF($A1831="","",$A1831-WEEKDAY($A1831,2)+1)</f>
        <v>0</v>
      </c>
      <c r="BH1831">
        <f>IF($A1831="","",IF($A1830="",1,IF(BG1831&lt;&gt;BG1830,1,0)))</f>
        <v>0</v>
      </c>
      <c r="BI1831">
        <f>IF($A1831="","",IF($A1832="",1,IF(BG1832&lt;&gt;BG1831,1,0)))</f>
        <v>0</v>
      </c>
      <c r="BJ1831">
        <f>IF($A1831="","",IF(BH1831=1,$B1831,BJ1830))</f>
        <v>0</v>
      </c>
      <c r="BK1831">
        <f>IF($A1831="","",IF(BH1831=1,$C1831,MAX($C1831,BK1830)))</f>
        <v>0</v>
      </c>
      <c r="BL1831">
        <f>IF($A1831="","",IF(BH1831=1,$D1831,MIN($D1831,BL1830)))</f>
        <v>0</v>
      </c>
      <c r="BM1831">
        <f>IF($A1831="","",IF(BI1831=1,F1831,""))</f>
        <v>0</v>
      </c>
      <c r="BN1831">
        <f>IF($A1831="","",DATE(YEAR($A1831),MONTH($A1831),1))</f>
        <v>0</v>
      </c>
      <c r="BO1831">
        <f>IF($A1831="","",IF($A1830="",1,IF(BN1831&lt;&gt;BN1830,1,0)))</f>
        <v>0</v>
      </c>
      <c r="BP1831">
        <f>IF($A1831="","",IF($A1832="",1,IF(BN1832&lt;&gt;BN1831,1,0)))</f>
        <v>0</v>
      </c>
      <c r="BQ1831">
        <f>IF($A1831="","",IF(BO1831=1,$B1831,BQ1830))</f>
        <v>0</v>
      </c>
      <c r="BR1831">
        <f>IF($A1831="","",IF(BO1831=1,$C1831,MAX($C1831,BR1830)))</f>
        <v>0</v>
      </c>
      <c r="BS1831">
        <f>IF($A1831="","",IF(BO1831=1,$D1831,MIN($D1831,BS1830)))</f>
        <v>0</v>
      </c>
      <c r="BT1831">
        <f>IF($A1831="","",IF(BP1831=1,F1831,""))</f>
        <v>0</v>
      </c>
    </row>
    <row r="1832" spans="1:72">
      <c r="A1832" s="27">
        <f>IF(Data!$A1832="","",Data!$A1832)</f>
        <v>0</v>
      </c>
      <c r="B1832">
        <f>IF(Data!$B1832="","",Data!$B1832)</f>
        <v>0</v>
      </c>
      <c r="C1832">
        <f>IF(Data!$C1832="","",Data!$C1832)</f>
        <v>0</v>
      </c>
      <c r="D1832">
        <f>IF(Data!$D1832="","",Data!$D1832)</f>
        <v>0</v>
      </c>
      <c r="E1832">
        <f>IF(Data!$E1832="","",Data!$E1832)</f>
        <v>0</v>
      </c>
      <c r="F1832">
        <f>IF($E1832="","",N(F1831)+1)</f>
        <v>0</v>
      </c>
      <c r="G1832">
        <f>IF(OR($E1832="",$E1831=""),"",LN($E1832/$E1831))</f>
        <v>0</v>
      </c>
      <c r="H1832">
        <f>IF($E1832="","",IF($E1831="",$E1832,$E1832*0.0952380952+H1831*0.9047619048))</f>
        <v>0</v>
      </c>
      <c r="I1832">
        <f>IF($E1832="","",IF($E1831="",$E1832,$E1832*0.0392156863+I1831*0.9607843137))</f>
        <v>0</v>
      </c>
      <c r="J1832">
        <f>IF($E1832="","",IF($E1831="",$E1832,$E1832*0.0198019802+J1831*0.9801980198))</f>
        <v>0</v>
      </c>
      <c r="K1832">
        <f>IF($E1832="","",IF($E1831="",$E1832,$E1832*0.0099502488+K1831*0.9900497512))</f>
        <v>0</v>
      </c>
      <c r="L1832">
        <f>IF(OR($E1832="",$E1831=""),"",MAX($E1832-$E1831,0))</f>
        <v>0</v>
      </c>
      <c r="M1832">
        <f>IF(OR($E1832="",$E1831=""),"",MAX($E1831-$E1832,0))</f>
        <v>0</v>
      </c>
      <c r="N1832">
        <f>IF(COUNT($E$2:$E1832)&lt;15,"",IF(AVERAGE($M$1819:$M$1832)=0,100,100-100/(1+AVERAGE($L$1819:$L$1832)/AVERAGE($M$1819:$M$1832))))</f>
        <v>0</v>
      </c>
      <c r="O1832">
        <f>IF($E1832="","",IF($E1831="",$E1832,$E1832*0.1538461538+O1831*0.8461538462))</f>
        <v>0</v>
      </c>
      <c r="P1832">
        <f>IF($E1832="","",IF($E1831="",$E1832,$E1832*0.0740740741+P1831*0.9259259259))</f>
        <v>0</v>
      </c>
      <c r="Q1832">
        <f>IF(OR(O1832="",P1832=""),"",O1832-P1832)</f>
        <v>0</v>
      </c>
      <c r="R1832">
        <f>IF(Q1832="","",IF(R1831="",Q1832,Q1832*0.2000000000+R1831*0.8000000000))</f>
        <v>0</v>
      </c>
      <c r="S1832">
        <f>IF(OR(Q1832="",R1832=""),"",Q1832-R1832)</f>
        <v>0</v>
      </c>
      <c r="T1832">
        <f>IF(COUNT($E$2:$E1832)&lt;14,"",MAX($C$1819:$C$1832))</f>
        <v>0</v>
      </c>
      <c r="U1832">
        <f>IF(COUNT($E$2:$E1832)&lt;14,"",MIN($D$1819:$D$1832))</f>
        <v>0</v>
      </c>
      <c r="V1832">
        <f>IF(OR(T1832="",U1832="",T1832=U1832),"",100*($E1832-U1832)/(T1832-U1832))</f>
        <v>0</v>
      </c>
      <c r="W1832">
        <f>IF(COUNT($V$1830:$V$1832)&lt;3,"",AVERAGE($V$1830:$V$1832))</f>
        <v>0</v>
      </c>
      <c r="X1832">
        <f>IF(COUNT($N$1819:$N$1832)&lt;14,"",MIN($N$1819:$N$1832))</f>
        <v>0</v>
      </c>
      <c r="Y1832">
        <f>IF(COUNT($N$1819:$N$1832)&lt;14,"",MAX($N$1819:$N$1832))</f>
        <v>0</v>
      </c>
      <c r="Z1832">
        <f>IF(OR(N1832="",X1832="",Y1832="",Y1832=X1832),"",100*(N1832-X1832)/(Y1832-X1832))</f>
        <v>0</v>
      </c>
      <c r="AA1832">
        <f>IF(COUNT($Z$1830:$Z$1832)&lt;3,"",AVERAGE($Z$1830:$Z$1832))</f>
        <v>0</v>
      </c>
      <c r="AB1832">
        <f>IF(COUNT($AA$1830:$AA$1832)&lt;3,"",AVERAGE($AA$1830:$AA$1832))</f>
        <v>0</v>
      </c>
      <c r="AC1832">
        <f>IF($E1832="","",MAX($C1832-$D1832,ABS($C1832-$E1831),ABS($D1832-$E1831)))</f>
        <v>0</v>
      </c>
      <c r="AD1832">
        <f>IF(COUNT($E$2:$E1832)&lt;15,"",AVERAGE($AC$1819:$AC$1832))</f>
        <v>0</v>
      </c>
      <c r="AE1832">
        <f>IF(OR($E1832="",$E1831=""),"",IF(AND(($C1832-$C1831)&gt;($D1831-$D1832),($C1832-$C1831)&gt;0),$C1832-$C1831,0))</f>
        <v>0</v>
      </c>
      <c r="AF1832">
        <f>IF(OR($E1832="",$E1831=""),"",IF(AND(($D1831-$D1832)&gt;($C1832-$C1831),($D1831-$D1832)&gt;0),$D1831-$D1832,0))</f>
        <v>0</v>
      </c>
      <c r="AG1832">
        <f>IF(COUNT($E$2:$E1832)&lt;15,"",IF(SUM($AC$1819:$AC$1832)=0,0,100*SUM($AE$1819:$AE$1832)/SUM($AC$1819:$AC$1832)))</f>
        <v>0</v>
      </c>
      <c r="AH1832">
        <f>IF(COUNT($E$2:$E1832)&lt;15,"",IF(SUM($AC$1819:$AC$1832)=0,0,100*SUM($AF$1819:$AF$1832)/SUM($AC$1819:$AC$1832)))</f>
        <v>0</v>
      </c>
      <c r="AI1832">
        <f>IF(OR(AG1832="",AH1832=""),"",IF((AG1832+AH1832)=0,0,100*ABS(AG1832-AH1832)/(AG1832+AH1832)))</f>
        <v>0</v>
      </c>
      <c r="AJ1832">
        <f>IF(COUNT($AI$1819:$AI$1832)&lt;14,"",AVERAGE($AI$1819:$AI$1832))</f>
        <v>0</v>
      </c>
      <c r="AK1832">
        <f>IF(COUNT($E$2:$E1832)&lt;20,"",AVERAGE($E$1813:$E$1832))</f>
        <v>0</v>
      </c>
      <c r="AL1832">
        <f>IF(COUNT($E$2:$E1832)&lt;20,"",STDEVP($E$1813:$E$1832))</f>
        <v>0</v>
      </c>
      <c r="AM1832">
        <f>IF(AK1832="","",AK1832+2*AL1832)</f>
        <v>0</v>
      </c>
      <c r="AN1832">
        <f>IF(AK1832="","",AK1832-2*AL1832)</f>
        <v>0</v>
      </c>
      <c r="AO1832">
        <f>IF(OR(AM1832="",AN1832="",AM1832=AN1832),"",($E1832-AN1832)/(AM1832-AN1832))</f>
        <v>0</v>
      </c>
      <c r="AP1832">
        <f>IF(OR(AM1832="",AK1832="",AK1832=0),"",(AM1832-AN1832)/AK1832)</f>
        <v>0</v>
      </c>
      <c r="AQ1832">
        <f>IF(COUNT($E$2:$E1832)&lt;20,"",MAX($C$1813:$C$1832))</f>
        <v>0</v>
      </c>
      <c r="AR1832">
        <f>IF(COUNT($E$2:$E1832)&lt;20,"",MIN($D$1813:$D$1832))</f>
        <v>0</v>
      </c>
      <c r="AS1832">
        <f>IF(OR(AQ1832="",AR1832=""),"",(AQ1832+AR1832)/2)</f>
        <v>0</v>
      </c>
      <c r="AT1832">
        <f>IF(COUNT($G$1813:$G$1832)&lt;20,"",STDEV($G$1813:$G$1832)*SQRT(252))</f>
        <v>0</v>
      </c>
      <c r="AU1832">
        <f>IF(COUNT($E$2:$E1832)&lt;9,"",(MAX($C$1824:$C$1832)+MIN($D$1824:$D$1832))/2)</f>
        <v>0</v>
      </c>
      <c r="AV1832">
        <f>IF(COUNT($E$2:$E1832)&lt;26,"",(MAX($C$1807:$C$1832)+MIN($D$1807:$D$1832))/2)</f>
        <v>0</v>
      </c>
      <c r="AW1832">
        <f>IF(OR(AU1832="",AV1832=""),"",(AU1832+AV1832)/2)</f>
        <v>0</v>
      </c>
      <c r="AX1832">
        <f>IF(COUNT($E$2:$E1832)&lt;52,"",(MAX($C$1781:$C$1832)+MIN($D$1781:$D$1832))/2)</f>
        <v>0</v>
      </c>
      <c r="AY1832">
        <f>IF(COUNT($E$2:$E1832)&lt;20,"",MAX($C$1733:$C$1832))</f>
        <v>0</v>
      </c>
      <c r="AZ1832">
        <f>IF(COUNT($E$2:$E1832)&lt;20,"",MIN($D$1733:$D$1832))</f>
        <v>0</v>
      </c>
      <c r="BA1832">
        <f>IF(COUNT($E$2:$E1832)&lt;20,"",SLOPE($E$1733:$E$1832,$F$1733:$F$1832))</f>
        <v>0</v>
      </c>
      <c r="BB1832">
        <f>IF(COUNT($E$2:$E1832)&lt;20,"",INTERCEPT($E$1733:$E$1832,$F$1733:$F$1832))</f>
        <v>0</v>
      </c>
      <c r="BC1832">
        <f>IF(OR(BA1832="",BB1832=""),"",BB1832+BA1832*F1832)</f>
        <v>0</v>
      </c>
      <c r="BD1832">
        <f>IF(COUNT($E$2:$E1832)&lt;20,"",STEYX($E$1733:$E$1832,$F$1733:$F$1832))</f>
        <v>0</v>
      </c>
      <c r="BE1832">
        <f>IF($E1832="","",IF(AND(COUNT($E$1833:$E$1836)&gt;=4,$C1832=MAX($C$1828:$C$1836)),$C1832,""))</f>
        <v>0</v>
      </c>
      <c r="BF1832">
        <f>IF($E1832="","",IF(AND(COUNT($E$1833:$E$1836)&gt;=4,$D1832=MIN($D$1828:$D$1836)),$D1832,""))</f>
        <v>0</v>
      </c>
      <c r="BG1832">
        <f>IF($A1832="","",$A1832-WEEKDAY($A1832,2)+1)</f>
        <v>0</v>
      </c>
      <c r="BH1832">
        <f>IF($A1832="","",IF($A1831="",1,IF(BG1832&lt;&gt;BG1831,1,0)))</f>
        <v>0</v>
      </c>
      <c r="BI1832">
        <f>IF($A1832="","",IF($A1833="",1,IF(BG1833&lt;&gt;BG1832,1,0)))</f>
        <v>0</v>
      </c>
      <c r="BJ1832">
        <f>IF($A1832="","",IF(BH1832=1,$B1832,BJ1831))</f>
        <v>0</v>
      </c>
      <c r="BK1832">
        <f>IF($A1832="","",IF(BH1832=1,$C1832,MAX($C1832,BK1831)))</f>
        <v>0</v>
      </c>
      <c r="BL1832">
        <f>IF($A1832="","",IF(BH1832=1,$D1832,MIN($D1832,BL1831)))</f>
        <v>0</v>
      </c>
      <c r="BM1832">
        <f>IF($A1832="","",IF(BI1832=1,F1832,""))</f>
        <v>0</v>
      </c>
      <c r="BN1832">
        <f>IF($A1832="","",DATE(YEAR($A1832),MONTH($A1832),1))</f>
        <v>0</v>
      </c>
      <c r="BO1832">
        <f>IF($A1832="","",IF($A1831="",1,IF(BN1832&lt;&gt;BN1831,1,0)))</f>
        <v>0</v>
      </c>
      <c r="BP1832">
        <f>IF($A1832="","",IF($A1833="",1,IF(BN1833&lt;&gt;BN1832,1,0)))</f>
        <v>0</v>
      </c>
      <c r="BQ1832">
        <f>IF($A1832="","",IF(BO1832=1,$B1832,BQ1831))</f>
        <v>0</v>
      </c>
      <c r="BR1832">
        <f>IF($A1832="","",IF(BO1832=1,$C1832,MAX($C1832,BR1831)))</f>
        <v>0</v>
      </c>
      <c r="BS1832">
        <f>IF($A1832="","",IF(BO1832=1,$D1832,MIN($D1832,BS1831)))</f>
        <v>0</v>
      </c>
      <c r="BT1832">
        <f>IF($A1832="","",IF(BP1832=1,F1832,""))</f>
        <v>0</v>
      </c>
    </row>
    <row r="1833" spans="1:72">
      <c r="A1833" s="27">
        <f>IF(Data!$A1833="","",Data!$A1833)</f>
        <v>0</v>
      </c>
      <c r="B1833">
        <f>IF(Data!$B1833="","",Data!$B1833)</f>
        <v>0</v>
      </c>
      <c r="C1833">
        <f>IF(Data!$C1833="","",Data!$C1833)</f>
        <v>0</v>
      </c>
      <c r="D1833">
        <f>IF(Data!$D1833="","",Data!$D1833)</f>
        <v>0</v>
      </c>
      <c r="E1833">
        <f>IF(Data!$E1833="","",Data!$E1833)</f>
        <v>0</v>
      </c>
      <c r="F1833">
        <f>IF($E1833="","",N(F1832)+1)</f>
        <v>0</v>
      </c>
      <c r="G1833">
        <f>IF(OR($E1833="",$E1832=""),"",LN($E1833/$E1832))</f>
        <v>0</v>
      </c>
      <c r="H1833">
        <f>IF($E1833="","",IF($E1832="",$E1833,$E1833*0.0952380952+H1832*0.9047619048))</f>
        <v>0</v>
      </c>
      <c r="I1833">
        <f>IF($E1833="","",IF($E1832="",$E1833,$E1833*0.0392156863+I1832*0.9607843137))</f>
        <v>0</v>
      </c>
      <c r="J1833">
        <f>IF($E1833="","",IF($E1832="",$E1833,$E1833*0.0198019802+J1832*0.9801980198))</f>
        <v>0</v>
      </c>
      <c r="K1833">
        <f>IF($E1833="","",IF($E1832="",$E1833,$E1833*0.0099502488+K1832*0.9900497512))</f>
        <v>0</v>
      </c>
      <c r="L1833">
        <f>IF(OR($E1833="",$E1832=""),"",MAX($E1833-$E1832,0))</f>
        <v>0</v>
      </c>
      <c r="M1833">
        <f>IF(OR($E1833="",$E1832=""),"",MAX($E1832-$E1833,0))</f>
        <v>0</v>
      </c>
      <c r="N1833">
        <f>IF(COUNT($E$2:$E1833)&lt;15,"",IF(AVERAGE($M$1820:$M$1833)=0,100,100-100/(1+AVERAGE($L$1820:$L$1833)/AVERAGE($M$1820:$M$1833))))</f>
        <v>0</v>
      </c>
      <c r="O1833">
        <f>IF($E1833="","",IF($E1832="",$E1833,$E1833*0.1538461538+O1832*0.8461538462))</f>
        <v>0</v>
      </c>
      <c r="P1833">
        <f>IF($E1833="","",IF($E1832="",$E1833,$E1833*0.0740740741+P1832*0.9259259259))</f>
        <v>0</v>
      </c>
      <c r="Q1833">
        <f>IF(OR(O1833="",P1833=""),"",O1833-P1833)</f>
        <v>0</v>
      </c>
      <c r="R1833">
        <f>IF(Q1833="","",IF(R1832="",Q1833,Q1833*0.2000000000+R1832*0.8000000000))</f>
        <v>0</v>
      </c>
      <c r="S1833">
        <f>IF(OR(Q1833="",R1833=""),"",Q1833-R1833)</f>
        <v>0</v>
      </c>
      <c r="T1833">
        <f>IF(COUNT($E$2:$E1833)&lt;14,"",MAX($C$1820:$C$1833))</f>
        <v>0</v>
      </c>
      <c r="U1833">
        <f>IF(COUNT($E$2:$E1833)&lt;14,"",MIN($D$1820:$D$1833))</f>
        <v>0</v>
      </c>
      <c r="V1833">
        <f>IF(OR(T1833="",U1833="",T1833=U1833),"",100*($E1833-U1833)/(T1833-U1833))</f>
        <v>0</v>
      </c>
      <c r="W1833">
        <f>IF(COUNT($V$1831:$V$1833)&lt;3,"",AVERAGE($V$1831:$V$1833))</f>
        <v>0</v>
      </c>
      <c r="X1833">
        <f>IF(COUNT($N$1820:$N$1833)&lt;14,"",MIN($N$1820:$N$1833))</f>
        <v>0</v>
      </c>
      <c r="Y1833">
        <f>IF(COUNT($N$1820:$N$1833)&lt;14,"",MAX($N$1820:$N$1833))</f>
        <v>0</v>
      </c>
      <c r="Z1833">
        <f>IF(OR(N1833="",X1833="",Y1833="",Y1833=X1833),"",100*(N1833-X1833)/(Y1833-X1833))</f>
        <v>0</v>
      </c>
      <c r="AA1833">
        <f>IF(COUNT($Z$1831:$Z$1833)&lt;3,"",AVERAGE($Z$1831:$Z$1833))</f>
        <v>0</v>
      </c>
      <c r="AB1833">
        <f>IF(COUNT($AA$1831:$AA$1833)&lt;3,"",AVERAGE($AA$1831:$AA$1833))</f>
        <v>0</v>
      </c>
      <c r="AC1833">
        <f>IF($E1833="","",MAX($C1833-$D1833,ABS($C1833-$E1832),ABS($D1833-$E1832)))</f>
        <v>0</v>
      </c>
      <c r="AD1833">
        <f>IF(COUNT($E$2:$E1833)&lt;15,"",AVERAGE($AC$1820:$AC$1833))</f>
        <v>0</v>
      </c>
      <c r="AE1833">
        <f>IF(OR($E1833="",$E1832=""),"",IF(AND(($C1833-$C1832)&gt;($D1832-$D1833),($C1833-$C1832)&gt;0),$C1833-$C1832,0))</f>
        <v>0</v>
      </c>
      <c r="AF1833">
        <f>IF(OR($E1833="",$E1832=""),"",IF(AND(($D1832-$D1833)&gt;($C1833-$C1832),($D1832-$D1833)&gt;0),$D1832-$D1833,0))</f>
        <v>0</v>
      </c>
      <c r="AG1833">
        <f>IF(COUNT($E$2:$E1833)&lt;15,"",IF(SUM($AC$1820:$AC$1833)=0,0,100*SUM($AE$1820:$AE$1833)/SUM($AC$1820:$AC$1833)))</f>
        <v>0</v>
      </c>
      <c r="AH1833">
        <f>IF(COUNT($E$2:$E1833)&lt;15,"",IF(SUM($AC$1820:$AC$1833)=0,0,100*SUM($AF$1820:$AF$1833)/SUM($AC$1820:$AC$1833)))</f>
        <v>0</v>
      </c>
      <c r="AI1833">
        <f>IF(OR(AG1833="",AH1833=""),"",IF((AG1833+AH1833)=0,0,100*ABS(AG1833-AH1833)/(AG1833+AH1833)))</f>
        <v>0</v>
      </c>
      <c r="AJ1833">
        <f>IF(COUNT($AI$1820:$AI$1833)&lt;14,"",AVERAGE($AI$1820:$AI$1833))</f>
        <v>0</v>
      </c>
      <c r="AK1833">
        <f>IF(COUNT($E$2:$E1833)&lt;20,"",AVERAGE($E$1814:$E$1833))</f>
        <v>0</v>
      </c>
      <c r="AL1833">
        <f>IF(COUNT($E$2:$E1833)&lt;20,"",STDEVP($E$1814:$E$1833))</f>
        <v>0</v>
      </c>
      <c r="AM1833">
        <f>IF(AK1833="","",AK1833+2*AL1833)</f>
        <v>0</v>
      </c>
      <c r="AN1833">
        <f>IF(AK1833="","",AK1833-2*AL1833)</f>
        <v>0</v>
      </c>
      <c r="AO1833">
        <f>IF(OR(AM1833="",AN1833="",AM1833=AN1833),"",($E1833-AN1833)/(AM1833-AN1833))</f>
        <v>0</v>
      </c>
      <c r="AP1833">
        <f>IF(OR(AM1833="",AK1833="",AK1833=0),"",(AM1833-AN1833)/AK1833)</f>
        <v>0</v>
      </c>
      <c r="AQ1833">
        <f>IF(COUNT($E$2:$E1833)&lt;20,"",MAX($C$1814:$C$1833))</f>
        <v>0</v>
      </c>
      <c r="AR1833">
        <f>IF(COUNT($E$2:$E1833)&lt;20,"",MIN($D$1814:$D$1833))</f>
        <v>0</v>
      </c>
      <c r="AS1833">
        <f>IF(OR(AQ1833="",AR1833=""),"",(AQ1833+AR1833)/2)</f>
        <v>0</v>
      </c>
      <c r="AT1833">
        <f>IF(COUNT($G$1814:$G$1833)&lt;20,"",STDEV($G$1814:$G$1833)*SQRT(252))</f>
        <v>0</v>
      </c>
      <c r="AU1833">
        <f>IF(COUNT($E$2:$E1833)&lt;9,"",(MAX($C$1825:$C$1833)+MIN($D$1825:$D$1833))/2)</f>
        <v>0</v>
      </c>
      <c r="AV1833">
        <f>IF(COUNT($E$2:$E1833)&lt;26,"",(MAX($C$1808:$C$1833)+MIN($D$1808:$D$1833))/2)</f>
        <v>0</v>
      </c>
      <c r="AW1833">
        <f>IF(OR(AU1833="",AV1833=""),"",(AU1833+AV1833)/2)</f>
        <v>0</v>
      </c>
      <c r="AX1833">
        <f>IF(COUNT($E$2:$E1833)&lt;52,"",(MAX($C$1782:$C$1833)+MIN($D$1782:$D$1833))/2)</f>
        <v>0</v>
      </c>
      <c r="AY1833">
        <f>IF(COUNT($E$2:$E1833)&lt;20,"",MAX($C$1734:$C$1833))</f>
        <v>0</v>
      </c>
      <c r="AZ1833">
        <f>IF(COUNT($E$2:$E1833)&lt;20,"",MIN($D$1734:$D$1833))</f>
        <v>0</v>
      </c>
      <c r="BA1833">
        <f>IF(COUNT($E$2:$E1833)&lt;20,"",SLOPE($E$1734:$E$1833,$F$1734:$F$1833))</f>
        <v>0</v>
      </c>
      <c r="BB1833">
        <f>IF(COUNT($E$2:$E1833)&lt;20,"",INTERCEPT($E$1734:$E$1833,$F$1734:$F$1833))</f>
        <v>0</v>
      </c>
      <c r="BC1833">
        <f>IF(OR(BA1833="",BB1833=""),"",BB1833+BA1833*F1833)</f>
        <v>0</v>
      </c>
      <c r="BD1833">
        <f>IF(COUNT($E$2:$E1833)&lt;20,"",STEYX($E$1734:$E$1833,$F$1734:$F$1833))</f>
        <v>0</v>
      </c>
      <c r="BE1833">
        <f>IF($E1833="","",IF(AND(COUNT($E$1834:$E$1837)&gt;=4,$C1833=MAX($C$1829:$C$1837)),$C1833,""))</f>
        <v>0</v>
      </c>
      <c r="BF1833">
        <f>IF($E1833="","",IF(AND(COUNT($E$1834:$E$1837)&gt;=4,$D1833=MIN($D$1829:$D$1837)),$D1833,""))</f>
        <v>0</v>
      </c>
      <c r="BG1833">
        <f>IF($A1833="","",$A1833-WEEKDAY($A1833,2)+1)</f>
        <v>0</v>
      </c>
      <c r="BH1833">
        <f>IF($A1833="","",IF($A1832="",1,IF(BG1833&lt;&gt;BG1832,1,0)))</f>
        <v>0</v>
      </c>
      <c r="BI1833">
        <f>IF($A1833="","",IF($A1834="",1,IF(BG1834&lt;&gt;BG1833,1,0)))</f>
        <v>0</v>
      </c>
      <c r="BJ1833">
        <f>IF($A1833="","",IF(BH1833=1,$B1833,BJ1832))</f>
        <v>0</v>
      </c>
      <c r="BK1833">
        <f>IF($A1833="","",IF(BH1833=1,$C1833,MAX($C1833,BK1832)))</f>
        <v>0</v>
      </c>
      <c r="BL1833">
        <f>IF($A1833="","",IF(BH1833=1,$D1833,MIN($D1833,BL1832)))</f>
        <v>0</v>
      </c>
      <c r="BM1833">
        <f>IF($A1833="","",IF(BI1833=1,F1833,""))</f>
        <v>0</v>
      </c>
      <c r="BN1833">
        <f>IF($A1833="","",DATE(YEAR($A1833),MONTH($A1833),1))</f>
        <v>0</v>
      </c>
      <c r="BO1833">
        <f>IF($A1833="","",IF($A1832="",1,IF(BN1833&lt;&gt;BN1832,1,0)))</f>
        <v>0</v>
      </c>
      <c r="BP1833">
        <f>IF($A1833="","",IF($A1834="",1,IF(BN1834&lt;&gt;BN1833,1,0)))</f>
        <v>0</v>
      </c>
      <c r="BQ1833">
        <f>IF($A1833="","",IF(BO1833=1,$B1833,BQ1832))</f>
        <v>0</v>
      </c>
      <c r="BR1833">
        <f>IF($A1833="","",IF(BO1833=1,$C1833,MAX($C1833,BR1832)))</f>
        <v>0</v>
      </c>
      <c r="BS1833">
        <f>IF($A1833="","",IF(BO1833=1,$D1833,MIN($D1833,BS1832)))</f>
        <v>0</v>
      </c>
      <c r="BT1833">
        <f>IF($A1833="","",IF(BP1833=1,F1833,""))</f>
        <v>0</v>
      </c>
    </row>
    <row r="1834" spans="1:72">
      <c r="A1834" s="27">
        <f>IF(Data!$A1834="","",Data!$A1834)</f>
        <v>0</v>
      </c>
      <c r="B1834">
        <f>IF(Data!$B1834="","",Data!$B1834)</f>
        <v>0</v>
      </c>
      <c r="C1834">
        <f>IF(Data!$C1834="","",Data!$C1834)</f>
        <v>0</v>
      </c>
      <c r="D1834">
        <f>IF(Data!$D1834="","",Data!$D1834)</f>
        <v>0</v>
      </c>
      <c r="E1834">
        <f>IF(Data!$E1834="","",Data!$E1834)</f>
        <v>0</v>
      </c>
      <c r="F1834">
        <f>IF($E1834="","",N(F1833)+1)</f>
        <v>0</v>
      </c>
      <c r="G1834">
        <f>IF(OR($E1834="",$E1833=""),"",LN($E1834/$E1833))</f>
        <v>0</v>
      </c>
      <c r="H1834">
        <f>IF($E1834="","",IF($E1833="",$E1834,$E1834*0.0952380952+H1833*0.9047619048))</f>
        <v>0</v>
      </c>
      <c r="I1834">
        <f>IF($E1834="","",IF($E1833="",$E1834,$E1834*0.0392156863+I1833*0.9607843137))</f>
        <v>0</v>
      </c>
      <c r="J1834">
        <f>IF($E1834="","",IF($E1833="",$E1834,$E1834*0.0198019802+J1833*0.9801980198))</f>
        <v>0</v>
      </c>
      <c r="K1834">
        <f>IF($E1834="","",IF($E1833="",$E1834,$E1834*0.0099502488+K1833*0.9900497512))</f>
        <v>0</v>
      </c>
      <c r="L1834">
        <f>IF(OR($E1834="",$E1833=""),"",MAX($E1834-$E1833,0))</f>
        <v>0</v>
      </c>
      <c r="M1834">
        <f>IF(OR($E1834="",$E1833=""),"",MAX($E1833-$E1834,0))</f>
        <v>0</v>
      </c>
      <c r="N1834">
        <f>IF(COUNT($E$2:$E1834)&lt;15,"",IF(AVERAGE($M$1821:$M$1834)=0,100,100-100/(1+AVERAGE($L$1821:$L$1834)/AVERAGE($M$1821:$M$1834))))</f>
        <v>0</v>
      </c>
      <c r="O1834">
        <f>IF($E1834="","",IF($E1833="",$E1834,$E1834*0.1538461538+O1833*0.8461538462))</f>
        <v>0</v>
      </c>
      <c r="P1834">
        <f>IF($E1834="","",IF($E1833="",$E1834,$E1834*0.0740740741+P1833*0.9259259259))</f>
        <v>0</v>
      </c>
      <c r="Q1834">
        <f>IF(OR(O1834="",P1834=""),"",O1834-P1834)</f>
        <v>0</v>
      </c>
      <c r="R1834">
        <f>IF(Q1834="","",IF(R1833="",Q1834,Q1834*0.2000000000+R1833*0.8000000000))</f>
        <v>0</v>
      </c>
      <c r="S1834">
        <f>IF(OR(Q1834="",R1834=""),"",Q1834-R1834)</f>
        <v>0</v>
      </c>
      <c r="T1834">
        <f>IF(COUNT($E$2:$E1834)&lt;14,"",MAX($C$1821:$C$1834))</f>
        <v>0</v>
      </c>
      <c r="U1834">
        <f>IF(COUNT($E$2:$E1834)&lt;14,"",MIN($D$1821:$D$1834))</f>
        <v>0</v>
      </c>
      <c r="V1834">
        <f>IF(OR(T1834="",U1834="",T1834=U1834),"",100*($E1834-U1834)/(T1834-U1834))</f>
        <v>0</v>
      </c>
      <c r="W1834">
        <f>IF(COUNT($V$1832:$V$1834)&lt;3,"",AVERAGE($V$1832:$V$1834))</f>
        <v>0</v>
      </c>
      <c r="X1834">
        <f>IF(COUNT($N$1821:$N$1834)&lt;14,"",MIN($N$1821:$N$1834))</f>
        <v>0</v>
      </c>
      <c r="Y1834">
        <f>IF(COUNT($N$1821:$N$1834)&lt;14,"",MAX($N$1821:$N$1834))</f>
        <v>0</v>
      </c>
      <c r="Z1834">
        <f>IF(OR(N1834="",X1834="",Y1834="",Y1834=X1834),"",100*(N1834-X1834)/(Y1834-X1834))</f>
        <v>0</v>
      </c>
      <c r="AA1834">
        <f>IF(COUNT($Z$1832:$Z$1834)&lt;3,"",AVERAGE($Z$1832:$Z$1834))</f>
        <v>0</v>
      </c>
      <c r="AB1834">
        <f>IF(COUNT($AA$1832:$AA$1834)&lt;3,"",AVERAGE($AA$1832:$AA$1834))</f>
        <v>0</v>
      </c>
      <c r="AC1834">
        <f>IF($E1834="","",MAX($C1834-$D1834,ABS($C1834-$E1833),ABS($D1834-$E1833)))</f>
        <v>0</v>
      </c>
      <c r="AD1834">
        <f>IF(COUNT($E$2:$E1834)&lt;15,"",AVERAGE($AC$1821:$AC$1834))</f>
        <v>0</v>
      </c>
      <c r="AE1834">
        <f>IF(OR($E1834="",$E1833=""),"",IF(AND(($C1834-$C1833)&gt;($D1833-$D1834),($C1834-$C1833)&gt;0),$C1834-$C1833,0))</f>
        <v>0</v>
      </c>
      <c r="AF1834">
        <f>IF(OR($E1834="",$E1833=""),"",IF(AND(($D1833-$D1834)&gt;($C1834-$C1833),($D1833-$D1834)&gt;0),$D1833-$D1834,0))</f>
        <v>0</v>
      </c>
      <c r="AG1834">
        <f>IF(COUNT($E$2:$E1834)&lt;15,"",IF(SUM($AC$1821:$AC$1834)=0,0,100*SUM($AE$1821:$AE$1834)/SUM($AC$1821:$AC$1834)))</f>
        <v>0</v>
      </c>
      <c r="AH1834">
        <f>IF(COUNT($E$2:$E1834)&lt;15,"",IF(SUM($AC$1821:$AC$1834)=0,0,100*SUM($AF$1821:$AF$1834)/SUM($AC$1821:$AC$1834)))</f>
        <v>0</v>
      </c>
      <c r="AI1834">
        <f>IF(OR(AG1834="",AH1834=""),"",IF((AG1834+AH1834)=0,0,100*ABS(AG1834-AH1834)/(AG1834+AH1834)))</f>
        <v>0</v>
      </c>
      <c r="AJ1834">
        <f>IF(COUNT($AI$1821:$AI$1834)&lt;14,"",AVERAGE($AI$1821:$AI$1834))</f>
        <v>0</v>
      </c>
      <c r="AK1834">
        <f>IF(COUNT($E$2:$E1834)&lt;20,"",AVERAGE($E$1815:$E$1834))</f>
        <v>0</v>
      </c>
      <c r="AL1834">
        <f>IF(COUNT($E$2:$E1834)&lt;20,"",STDEVP($E$1815:$E$1834))</f>
        <v>0</v>
      </c>
      <c r="AM1834">
        <f>IF(AK1834="","",AK1834+2*AL1834)</f>
        <v>0</v>
      </c>
      <c r="AN1834">
        <f>IF(AK1834="","",AK1834-2*AL1834)</f>
        <v>0</v>
      </c>
      <c r="AO1834">
        <f>IF(OR(AM1834="",AN1834="",AM1834=AN1834),"",($E1834-AN1834)/(AM1834-AN1834))</f>
        <v>0</v>
      </c>
      <c r="AP1834">
        <f>IF(OR(AM1834="",AK1834="",AK1834=0),"",(AM1834-AN1834)/AK1834)</f>
        <v>0</v>
      </c>
      <c r="AQ1834">
        <f>IF(COUNT($E$2:$E1834)&lt;20,"",MAX($C$1815:$C$1834))</f>
        <v>0</v>
      </c>
      <c r="AR1834">
        <f>IF(COUNT($E$2:$E1834)&lt;20,"",MIN($D$1815:$D$1834))</f>
        <v>0</v>
      </c>
      <c r="AS1834">
        <f>IF(OR(AQ1834="",AR1834=""),"",(AQ1834+AR1834)/2)</f>
        <v>0</v>
      </c>
      <c r="AT1834">
        <f>IF(COUNT($G$1815:$G$1834)&lt;20,"",STDEV($G$1815:$G$1834)*SQRT(252))</f>
        <v>0</v>
      </c>
      <c r="AU1834">
        <f>IF(COUNT($E$2:$E1834)&lt;9,"",(MAX($C$1826:$C$1834)+MIN($D$1826:$D$1834))/2)</f>
        <v>0</v>
      </c>
      <c r="AV1834">
        <f>IF(COUNT($E$2:$E1834)&lt;26,"",(MAX($C$1809:$C$1834)+MIN($D$1809:$D$1834))/2)</f>
        <v>0</v>
      </c>
      <c r="AW1834">
        <f>IF(OR(AU1834="",AV1834=""),"",(AU1834+AV1834)/2)</f>
        <v>0</v>
      </c>
      <c r="AX1834">
        <f>IF(COUNT($E$2:$E1834)&lt;52,"",(MAX($C$1783:$C$1834)+MIN($D$1783:$D$1834))/2)</f>
        <v>0</v>
      </c>
      <c r="AY1834">
        <f>IF(COUNT($E$2:$E1834)&lt;20,"",MAX($C$1735:$C$1834))</f>
        <v>0</v>
      </c>
      <c r="AZ1834">
        <f>IF(COUNT($E$2:$E1834)&lt;20,"",MIN($D$1735:$D$1834))</f>
        <v>0</v>
      </c>
      <c r="BA1834">
        <f>IF(COUNT($E$2:$E1834)&lt;20,"",SLOPE($E$1735:$E$1834,$F$1735:$F$1834))</f>
        <v>0</v>
      </c>
      <c r="BB1834">
        <f>IF(COUNT($E$2:$E1834)&lt;20,"",INTERCEPT($E$1735:$E$1834,$F$1735:$F$1834))</f>
        <v>0</v>
      </c>
      <c r="BC1834">
        <f>IF(OR(BA1834="",BB1834=""),"",BB1834+BA1834*F1834)</f>
        <v>0</v>
      </c>
      <c r="BD1834">
        <f>IF(COUNT($E$2:$E1834)&lt;20,"",STEYX($E$1735:$E$1834,$F$1735:$F$1834))</f>
        <v>0</v>
      </c>
      <c r="BE1834">
        <f>IF($E1834="","",IF(AND(COUNT($E$1835:$E$1838)&gt;=4,$C1834=MAX($C$1830:$C$1838)),$C1834,""))</f>
        <v>0</v>
      </c>
      <c r="BF1834">
        <f>IF($E1834="","",IF(AND(COUNT($E$1835:$E$1838)&gt;=4,$D1834=MIN($D$1830:$D$1838)),$D1834,""))</f>
        <v>0</v>
      </c>
      <c r="BG1834">
        <f>IF($A1834="","",$A1834-WEEKDAY($A1834,2)+1)</f>
        <v>0</v>
      </c>
      <c r="BH1834">
        <f>IF($A1834="","",IF($A1833="",1,IF(BG1834&lt;&gt;BG1833,1,0)))</f>
        <v>0</v>
      </c>
      <c r="BI1834">
        <f>IF($A1834="","",IF($A1835="",1,IF(BG1835&lt;&gt;BG1834,1,0)))</f>
        <v>0</v>
      </c>
      <c r="BJ1834">
        <f>IF($A1834="","",IF(BH1834=1,$B1834,BJ1833))</f>
        <v>0</v>
      </c>
      <c r="BK1834">
        <f>IF($A1834="","",IF(BH1834=1,$C1834,MAX($C1834,BK1833)))</f>
        <v>0</v>
      </c>
      <c r="BL1834">
        <f>IF($A1834="","",IF(BH1834=1,$D1834,MIN($D1834,BL1833)))</f>
        <v>0</v>
      </c>
      <c r="BM1834">
        <f>IF($A1834="","",IF(BI1834=1,F1834,""))</f>
        <v>0</v>
      </c>
      <c r="BN1834">
        <f>IF($A1834="","",DATE(YEAR($A1834),MONTH($A1834),1))</f>
        <v>0</v>
      </c>
      <c r="BO1834">
        <f>IF($A1834="","",IF($A1833="",1,IF(BN1834&lt;&gt;BN1833,1,0)))</f>
        <v>0</v>
      </c>
      <c r="BP1834">
        <f>IF($A1834="","",IF($A1835="",1,IF(BN1835&lt;&gt;BN1834,1,0)))</f>
        <v>0</v>
      </c>
      <c r="BQ1834">
        <f>IF($A1834="","",IF(BO1834=1,$B1834,BQ1833))</f>
        <v>0</v>
      </c>
      <c r="BR1834">
        <f>IF($A1834="","",IF(BO1834=1,$C1834,MAX($C1834,BR1833)))</f>
        <v>0</v>
      </c>
      <c r="BS1834">
        <f>IF($A1834="","",IF(BO1834=1,$D1834,MIN($D1834,BS1833)))</f>
        <v>0</v>
      </c>
      <c r="BT1834">
        <f>IF($A1834="","",IF(BP1834=1,F1834,""))</f>
        <v>0</v>
      </c>
    </row>
    <row r="1835" spans="1:72">
      <c r="A1835" s="27">
        <f>IF(Data!$A1835="","",Data!$A1835)</f>
        <v>0</v>
      </c>
      <c r="B1835">
        <f>IF(Data!$B1835="","",Data!$B1835)</f>
        <v>0</v>
      </c>
      <c r="C1835">
        <f>IF(Data!$C1835="","",Data!$C1835)</f>
        <v>0</v>
      </c>
      <c r="D1835">
        <f>IF(Data!$D1835="","",Data!$D1835)</f>
        <v>0</v>
      </c>
      <c r="E1835">
        <f>IF(Data!$E1835="","",Data!$E1835)</f>
        <v>0</v>
      </c>
      <c r="F1835">
        <f>IF($E1835="","",N(F1834)+1)</f>
        <v>0</v>
      </c>
      <c r="G1835">
        <f>IF(OR($E1835="",$E1834=""),"",LN($E1835/$E1834))</f>
        <v>0</v>
      </c>
      <c r="H1835">
        <f>IF($E1835="","",IF($E1834="",$E1835,$E1835*0.0952380952+H1834*0.9047619048))</f>
        <v>0</v>
      </c>
      <c r="I1835">
        <f>IF($E1835="","",IF($E1834="",$E1835,$E1835*0.0392156863+I1834*0.9607843137))</f>
        <v>0</v>
      </c>
      <c r="J1835">
        <f>IF($E1835="","",IF($E1834="",$E1835,$E1835*0.0198019802+J1834*0.9801980198))</f>
        <v>0</v>
      </c>
      <c r="K1835">
        <f>IF($E1835="","",IF($E1834="",$E1835,$E1835*0.0099502488+K1834*0.9900497512))</f>
        <v>0</v>
      </c>
      <c r="L1835">
        <f>IF(OR($E1835="",$E1834=""),"",MAX($E1835-$E1834,0))</f>
        <v>0</v>
      </c>
      <c r="M1835">
        <f>IF(OR($E1835="",$E1834=""),"",MAX($E1834-$E1835,0))</f>
        <v>0</v>
      </c>
      <c r="N1835">
        <f>IF(COUNT($E$2:$E1835)&lt;15,"",IF(AVERAGE($M$1822:$M$1835)=0,100,100-100/(1+AVERAGE($L$1822:$L$1835)/AVERAGE($M$1822:$M$1835))))</f>
        <v>0</v>
      </c>
      <c r="O1835">
        <f>IF($E1835="","",IF($E1834="",$E1835,$E1835*0.1538461538+O1834*0.8461538462))</f>
        <v>0</v>
      </c>
      <c r="P1835">
        <f>IF($E1835="","",IF($E1834="",$E1835,$E1835*0.0740740741+P1834*0.9259259259))</f>
        <v>0</v>
      </c>
      <c r="Q1835">
        <f>IF(OR(O1835="",P1835=""),"",O1835-P1835)</f>
        <v>0</v>
      </c>
      <c r="R1835">
        <f>IF(Q1835="","",IF(R1834="",Q1835,Q1835*0.2000000000+R1834*0.8000000000))</f>
        <v>0</v>
      </c>
      <c r="S1835">
        <f>IF(OR(Q1835="",R1835=""),"",Q1835-R1835)</f>
        <v>0</v>
      </c>
      <c r="T1835">
        <f>IF(COUNT($E$2:$E1835)&lt;14,"",MAX($C$1822:$C$1835))</f>
        <v>0</v>
      </c>
      <c r="U1835">
        <f>IF(COUNT($E$2:$E1835)&lt;14,"",MIN($D$1822:$D$1835))</f>
        <v>0</v>
      </c>
      <c r="V1835">
        <f>IF(OR(T1835="",U1835="",T1835=U1835),"",100*($E1835-U1835)/(T1835-U1835))</f>
        <v>0</v>
      </c>
      <c r="W1835">
        <f>IF(COUNT($V$1833:$V$1835)&lt;3,"",AVERAGE($V$1833:$V$1835))</f>
        <v>0</v>
      </c>
      <c r="X1835">
        <f>IF(COUNT($N$1822:$N$1835)&lt;14,"",MIN($N$1822:$N$1835))</f>
        <v>0</v>
      </c>
      <c r="Y1835">
        <f>IF(COUNT($N$1822:$N$1835)&lt;14,"",MAX($N$1822:$N$1835))</f>
        <v>0</v>
      </c>
      <c r="Z1835">
        <f>IF(OR(N1835="",X1835="",Y1835="",Y1835=X1835),"",100*(N1835-X1835)/(Y1835-X1835))</f>
        <v>0</v>
      </c>
      <c r="AA1835">
        <f>IF(COUNT($Z$1833:$Z$1835)&lt;3,"",AVERAGE($Z$1833:$Z$1835))</f>
        <v>0</v>
      </c>
      <c r="AB1835">
        <f>IF(COUNT($AA$1833:$AA$1835)&lt;3,"",AVERAGE($AA$1833:$AA$1835))</f>
        <v>0</v>
      </c>
      <c r="AC1835">
        <f>IF($E1835="","",MAX($C1835-$D1835,ABS($C1835-$E1834),ABS($D1835-$E1834)))</f>
        <v>0</v>
      </c>
      <c r="AD1835">
        <f>IF(COUNT($E$2:$E1835)&lt;15,"",AVERAGE($AC$1822:$AC$1835))</f>
        <v>0</v>
      </c>
      <c r="AE1835">
        <f>IF(OR($E1835="",$E1834=""),"",IF(AND(($C1835-$C1834)&gt;($D1834-$D1835),($C1835-$C1834)&gt;0),$C1835-$C1834,0))</f>
        <v>0</v>
      </c>
      <c r="AF1835">
        <f>IF(OR($E1835="",$E1834=""),"",IF(AND(($D1834-$D1835)&gt;($C1835-$C1834),($D1834-$D1835)&gt;0),$D1834-$D1835,0))</f>
        <v>0</v>
      </c>
      <c r="AG1835">
        <f>IF(COUNT($E$2:$E1835)&lt;15,"",IF(SUM($AC$1822:$AC$1835)=0,0,100*SUM($AE$1822:$AE$1835)/SUM($AC$1822:$AC$1835)))</f>
        <v>0</v>
      </c>
      <c r="AH1835">
        <f>IF(COUNT($E$2:$E1835)&lt;15,"",IF(SUM($AC$1822:$AC$1835)=0,0,100*SUM($AF$1822:$AF$1835)/SUM($AC$1822:$AC$1835)))</f>
        <v>0</v>
      </c>
      <c r="AI1835">
        <f>IF(OR(AG1835="",AH1835=""),"",IF((AG1835+AH1835)=0,0,100*ABS(AG1835-AH1835)/(AG1835+AH1835)))</f>
        <v>0</v>
      </c>
      <c r="AJ1835">
        <f>IF(COUNT($AI$1822:$AI$1835)&lt;14,"",AVERAGE($AI$1822:$AI$1835))</f>
        <v>0</v>
      </c>
      <c r="AK1835">
        <f>IF(COUNT($E$2:$E1835)&lt;20,"",AVERAGE($E$1816:$E$1835))</f>
        <v>0</v>
      </c>
      <c r="AL1835">
        <f>IF(COUNT($E$2:$E1835)&lt;20,"",STDEVP($E$1816:$E$1835))</f>
        <v>0</v>
      </c>
      <c r="AM1835">
        <f>IF(AK1835="","",AK1835+2*AL1835)</f>
        <v>0</v>
      </c>
      <c r="AN1835">
        <f>IF(AK1835="","",AK1835-2*AL1835)</f>
        <v>0</v>
      </c>
      <c r="AO1835">
        <f>IF(OR(AM1835="",AN1835="",AM1835=AN1835),"",($E1835-AN1835)/(AM1835-AN1835))</f>
        <v>0</v>
      </c>
      <c r="AP1835">
        <f>IF(OR(AM1835="",AK1835="",AK1835=0),"",(AM1835-AN1835)/AK1835)</f>
        <v>0</v>
      </c>
      <c r="AQ1835">
        <f>IF(COUNT($E$2:$E1835)&lt;20,"",MAX($C$1816:$C$1835))</f>
        <v>0</v>
      </c>
      <c r="AR1835">
        <f>IF(COUNT($E$2:$E1835)&lt;20,"",MIN($D$1816:$D$1835))</f>
        <v>0</v>
      </c>
      <c r="AS1835">
        <f>IF(OR(AQ1835="",AR1835=""),"",(AQ1835+AR1835)/2)</f>
        <v>0</v>
      </c>
      <c r="AT1835">
        <f>IF(COUNT($G$1816:$G$1835)&lt;20,"",STDEV($G$1816:$G$1835)*SQRT(252))</f>
        <v>0</v>
      </c>
      <c r="AU1835">
        <f>IF(COUNT($E$2:$E1835)&lt;9,"",(MAX($C$1827:$C$1835)+MIN($D$1827:$D$1835))/2)</f>
        <v>0</v>
      </c>
      <c r="AV1835">
        <f>IF(COUNT($E$2:$E1835)&lt;26,"",(MAX($C$1810:$C$1835)+MIN($D$1810:$D$1835))/2)</f>
        <v>0</v>
      </c>
      <c r="AW1835">
        <f>IF(OR(AU1835="",AV1835=""),"",(AU1835+AV1835)/2)</f>
        <v>0</v>
      </c>
      <c r="AX1835">
        <f>IF(COUNT($E$2:$E1835)&lt;52,"",(MAX($C$1784:$C$1835)+MIN($D$1784:$D$1835))/2)</f>
        <v>0</v>
      </c>
      <c r="AY1835">
        <f>IF(COUNT($E$2:$E1835)&lt;20,"",MAX($C$1736:$C$1835))</f>
        <v>0</v>
      </c>
      <c r="AZ1835">
        <f>IF(COUNT($E$2:$E1835)&lt;20,"",MIN($D$1736:$D$1835))</f>
        <v>0</v>
      </c>
      <c r="BA1835">
        <f>IF(COUNT($E$2:$E1835)&lt;20,"",SLOPE($E$1736:$E$1835,$F$1736:$F$1835))</f>
        <v>0</v>
      </c>
      <c r="BB1835">
        <f>IF(COUNT($E$2:$E1835)&lt;20,"",INTERCEPT($E$1736:$E$1835,$F$1736:$F$1835))</f>
        <v>0</v>
      </c>
      <c r="BC1835">
        <f>IF(OR(BA1835="",BB1835=""),"",BB1835+BA1835*F1835)</f>
        <v>0</v>
      </c>
      <c r="BD1835">
        <f>IF(COUNT($E$2:$E1835)&lt;20,"",STEYX($E$1736:$E$1835,$F$1736:$F$1835))</f>
        <v>0</v>
      </c>
      <c r="BE1835">
        <f>IF($E1835="","",IF(AND(COUNT($E$1836:$E$1839)&gt;=4,$C1835=MAX($C$1831:$C$1839)),$C1835,""))</f>
        <v>0</v>
      </c>
      <c r="BF1835">
        <f>IF($E1835="","",IF(AND(COUNT($E$1836:$E$1839)&gt;=4,$D1835=MIN($D$1831:$D$1839)),$D1835,""))</f>
        <v>0</v>
      </c>
      <c r="BG1835">
        <f>IF($A1835="","",$A1835-WEEKDAY($A1835,2)+1)</f>
        <v>0</v>
      </c>
      <c r="BH1835">
        <f>IF($A1835="","",IF($A1834="",1,IF(BG1835&lt;&gt;BG1834,1,0)))</f>
        <v>0</v>
      </c>
      <c r="BI1835">
        <f>IF($A1835="","",IF($A1836="",1,IF(BG1836&lt;&gt;BG1835,1,0)))</f>
        <v>0</v>
      </c>
      <c r="BJ1835">
        <f>IF($A1835="","",IF(BH1835=1,$B1835,BJ1834))</f>
        <v>0</v>
      </c>
      <c r="BK1835">
        <f>IF($A1835="","",IF(BH1835=1,$C1835,MAX($C1835,BK1834)))</f>
        <v>0</v>
      </c>
      <c r="BL1835">
        <f>IF($A1835="","",IF(BH1835=1,$D1835,MIN($D1835,BL1834)))</f>
        <v>0</v>
      </c>
      <c r="BM1835">
        <f>IF($A1835="","",IF(BI1835=1,F1835,""))</f>
        <v>0</v>
      </c>
      <c r="BN1835">
        <f>IF($A1835="","",DATE(YEAR($A1835),MONTH($A1835),1))</f>
        <v>0</v>
      </c>
      <c r="BO1835">
        <f>IF($A1835="","",IF($A1834="",1,IF(BN1835&lt;&gt;BN1834,1,0)))</f>
        <v>0</v>
      </c>
      <c r="BP1835">
        <f>IF($A1835="","",IF($A1836="",1,IF(BN1836&lt;&gt;BN1835,1,0)))</f>
        <v>0</v>
      </c>
      <c r="BQ1835">
        <f>IF($A1835="","",IF(BO1835=1,$B1835,BQ1834))</f>
        <v>0</v>
      </c>
      <c r="BR1835">
        <f>IF($A1835="","",IF(BO1835=1,$C1835,MAX($C1835,BR1834)))</f>
        <v>0</v>
      </c>
      <c r="BS1835">
        <f>IF($A1835="","",IF(BO1835=1,$D1835,MIN($D1835,BS1834)))</f>
        <v>0</v>
      </c>
      <c r="BT1835">
        <f>IF($A1835="","",IF(BP1835=1,F1835,""))</f>
        <v>0</v>
      </c>
    </row>
    <row r="1836" spans="1:72">
      <c r="A1836" s="27">
        <f>IF(Data!$A1836="","",Data!$A1836)</f>
        <v>0</v>
      </c>
      <c r="B1836">
        <f>IF(Data!$B1836="","",Data!$B1836)</f>
        <v>0</v>
      </c>
      <c r="C1836">
        <f>IF(Data!$C1836="","",Data!$C1836)</f>
        <v>0</v>
      </c>
      <c r="D1836">
        <f>IF(Data!$D1836="","",Data!$D1836)</f>
        <v>0</v>
      </c>
      <c r="E1836">
        <f>IF(Data!$E1836="","",Data!$E1836)</f>
        <v>0</v>
      </c>
      <c r="F1836">
        <f>IF($E1836="","",N(F1835)+1)</f>
        <v>0</v>
      </c>
      <c r="G1836">
        <f>IF(OR($E1836="",$E1835=""),"",LN($E1836/$E1835))</f>
        <v>0</v>
      </c>
      <c r="H1836">
        <f>IF($E1836="","",IF($E1835="",$E1836,$E1836*0.0952380952+H1835*0.9047619048))</f>
        <v>0</v>
      </c>
      <c r="I1836">
        <f>IF($E1836="","",IF($E1835="",$E1836,$E1836*0.0392156863+I1835*0.9607843137))</f>
        <v>0</v>
      </c>
      <c r="J1836">
        <f>IF($E1836="","",IF($E1835="",$E1836,$E1836*0.0198019802+J1835*0.9801980198))</f>
        <v>0</v>
      </c>
      <c r="K1836">
        <f>IF($E1836="","",IF($E1835="",$E1836,$E1836*0.0099502488+K1835*0.9900497512))</f>
        <v>0</v>
      </c>
      <c r="L1836">
        <f>IF(OR($E1836="",$E1835=""),"",MAX($E1836-$E1835,0))</f>
        <v>0</v>
      </c>
      <c r="M1836">
        <f>IF(OR($E1836="",$E1835=""),"",MAX($E1835-$E1836,0))</f>
        <v>0</v>
      </c>
      <c r="N1836">
        <f>IF(COUNT($E$2:$E1836)&lt;15,"",IF(AVERAGE($M$1823:$M$1836)=0,100,100-100/(1+AVERAGE($L$1823:$L$1836)/AVERAGE($M$1823:$M$1836))))</f>
        <v>0</v>
      </c>
      <c r="O1836">
        <f>IF($E1836="","",IF($E1835="",$E1836,$E1836*0.1538461538+O1835*0.8461538462))</f>
        <v>0</v>
      </c>
      <c r="P1836">
        <f>IF($E1836="","",IF($E1835="",$E1836,$E1836*0.0740740741+P1835*0.9259259259))</f>
        <v>0</v>
      </c>
      <c r="Q1836">
        <f>IF(OR(O1836="",P1836=""),"",O1836-P1836)</f>
        <v>0</v>
      </c>
      <c r="R1836">
        <f>IF(Q1836="","",IF(R1835="",Q1836,Q1836*0.2000000000+R1835*0.8000000000))</f>
        <v>0</v>
      </c>
      <c r="S1836">
        <f>IF(OR(Q1836="",R1836=""),"",Q1836-R1836)</f>
        <v>0</v>
      </c>
      <c r="T1836">
        <f>IF(COUNT($E$2:$E1836)&lt;14,"",MAX($C$1823:$C$1836))</f>
        <v>0</v>
      </c>
      <c r="U1836">
        <f>IF(COUNT($E$2:$E1836)&lt;14,"",MIN($D$1823:$D$1836))</f>
        <v>0</v>
      </c>
      <c r="V1836">
        <f>IF(OR(T1836="",U1836="",T1836=U1836),"",100*($E1836-U1836)/(T1836-U1836))</f>
        <v>0</v>
      </c>
      <c r="W1836">
        <f>IF(COUNT($V$1834:$V$1836)&lt;3,"",AVERAGE($V$1834:$V$1836))</f>
        <v>0</v>
      </c>
      <c r="X1836">
        <f>IF(COUNT($N$1823:$N$1836)&lt;14,"",MIN($N$1823:$N$1836))</f>
        <v>0</v>
      </c>
      <c r="Y1836">
        <f>IF(COUNT($N$1823:$N$1836)&lt;14,"",MAX($N$1823:$N$1836))</f>
        <v>0</v>
      </c>
      <c r="Z1836">
        <f>IF(OR(N1836="",X1836="",Y1836="",Y1836=X1836),"",100*(N1836-X1836)/(Y1836-X1836))</f>
        <v>0</v>
      </c>
      <c r="AA1836">
        <f>IF(COUNT($Z$1834:$Z$1836)&lt;3,"",AVERAGE($Z$1834:$Z$1836))</f>
        <v>0</v>
      </c>
      <c r="AB1836">
        <f>IF(COUNT($AA$1834:$AA$1836)&lt;3,"",AVERAGE($AA$1834:$AA$1836))</f>
        <v>0</v>
      </c>
      <c r="AC1836">
        <f>IF($E1836="","",MAX($C1836-$D1836,ABS($C1836-$E1835),ABS($D1836-$E1835)))</f>
        <v>0</v>
      </c>
      <c r="AD1836">
        <f>IF(COUNT($E$2:$E1836)&lt;15,"",AVERAGE($AC$1823:$AC$1836))</f>
        <v>0</v>
      </c>
      <c r="AE1836">
        <f>IF(OR($E1836="",$E1835=""),"",IF(AND(($C1836-$C1835)&gt;($D1835-$D1836),($C1836-$C1835)&gt;0),$C1836-$C1835,0))</f>
        <v>0</v>
      </c>
      <c r="AF1836">
        <f>IF(OR($E1836="",$E1835=""),"",IF(AND(($D1835-$D1836)&gt;($C1836-$C1835),($D1835-$D1836)&gt;0),$D1835-$D1836,0))</f>
        <v>0</v>
      </c>
      <c r="AG1836">
        <f>IF(COUNT($E$2:$E1836)&lt;15,"",IF(SUM($AC$1823:$AC$1836)=0,0,100*SUM($AE$1823:$AE$1836)/SUM($AC$1823:$AC$1836)))</f>
        <v>0</v>
      </c>
      <c r="AH1836">
        <f>IF(COUNT($E$2:$E1836)&lt;15,"",IF(SUM($AC$1823:$AC$1836)=0,0,100*SUM($AF$1823:$AF$1836)/SUM($AC$1823:$AC$1836)))</f>
        <v>0</v>
      </c>
      <c r="AI1836">
        <f>IF(OR(AG1836="",AH1836=""),"",IF((AG1836+AH1836)=0,0,100*ABS(AG1836-AH1836)/(AG1836+AH1836)))</f>
        <v>0</v>
      </c>
      <c r="AJ1836">
        <f>IF(COUNT($AI$1823:$AI$1836)&lt;14,"",AVERAGE($AI$1823:$AI$1836))</f>
        <v>0</v>
      </c>
      <c r="AK1836">
        <f>IF(COUNT($E$2:$E1836)&lt;20,"",AVERAGE($E$1817:$E$1836))</f>
        <v>0</v>
      </c>
      <c r="AL1836">
        <f>IF(COUNT($E$2:$E1836)&lt;20,"",STDEVP($E$1817:$E$1836))</f>
        <v>0</v>
      </c>
      <c r="AM1836">
        <f>IF(AK1836="","",AK1836+2*AL1836)</f>
        <v>0</v>
      </c>
      <c r="AN1836">
        <f>IF(AK1836="","",AK1836-2*AL1836)</f>
        <v>0</v>
      </c>
      <c r="AO1836">
        <f>IF(OR(AM1836="",AN1836="",AM1836=AN1836),"",($E1836-AN1836)/(AM1836-AN1836))</f>
        <v>0</v>
      </c>
      <c r="AP1836">
        <f>IF(OR(AM1836="",AK1836="",AK1836=0),"",(AM1836-AN1836)/AK1836)</f>
        <v>0</v>
      </c>
      <c r="AQ1836">
        <f>IF(COUNT($E$2:$E1836)&lt;20,"",MAX($C$1817:$C$1836))</f>
        <v>0</v>
      </c>
      <c r="AR1836">
        <f>IF(COUNT($E$2:$E1836)&lt;20,"",MIN($D$1817:$D$1836))</f>
        <v>0</v>
      </c>
      <c r="AS1836">
        <f>IF(OR(AQ1836="",AR1836=""),"",(AQ1836+AR1836)/2)</f>
        <v>0</v>
      </c>
      <c r="AT1836">
        <f>IF(COUNT($G$1817:$G$1836)&lt;20,"",STDEV($G$1817:$G$1836)*SQRT(252))</f>
        <v>0</v>
      </c>
      <c r="AU1836">
        <f>IF(COUNT($E$2:$E1836)&lt;9,"",(MAX($C$1828:$C$1836)+MIN($D$1828:$D$1836))/2)</f>
        <v>0</v>
      </c>
      <c r="AV1836">
        <f>IF(COUNT($E$2:$E1836)&lt;26,"",(MAX($C$1811:$C$1836)+MIN($D$1811:$D$1836))/2)</f>
        <v>0</v>
      </c>
      <c r="AW1836">
        <f>IF(OR(AU1836="",AV1836=""),"",(AU1836+AV1836)/2)</f>
        <v>0</v>
      </c>
      <c r="AX1836">
        <f>IF(COUNT($E$2:$E1836)&lt;52,"",(MAX($C$1785:$C$1836)+MIN($D$1785:$D$1836))/2)</f>
        <v>0</v>
      </c>
      <c r="AY1836">
        <f>IF(COUNT($E$2:$E1836)&lt;20,"",MAX($C$1737:$C$1836))</f>
        <v>0</v>
      </c>
      <c r="AZ1836">
        <f>IF(COUNT($E$2:$E1836)&lt;20,"",MIN($D$1737:$D$1836))</f>
        <v>0</v>
      </c>
      <c r="BA1836">
        <f>IF(COUNT($E$2:$E1836)&lt;20,"",SLOPE($E$1737:$E$1836,$F$1737:$F$1836))</f>
        <v>0</v>
      </c>
      <c r="BB1836">
        <f>IF(COUNT($E$2:$E1836)&lt;20,"",INTERCEPT($E$1737:$E$1836,$F$1737:$F$1836))</f>
        <v>0</v>
      </c>
      <c r="BC1836">
        <f>IF(OR(BA1836="",BB1836=""),"",BB1836+BA1836*F1836)</f>
        <v>0</v>
      </c>
      <c r="BD1836">
        <f>IF(COUNT($E$2:$E1836)&lt;20,"",STEYX($E$1737:$E$1836,$F$1737:$F$1836))</f>
        <v>0</v>
      </c>
      <c r="BE1836">
        <f>IF($E1836="","",IF(AND(COUNT($E$1837:$E$1840)&gt;=4,$C1836=MAX($C$1832:$C$1840)),$C1836,""))</f>
        <v>0</v>
      </c>
      <c r="BF1836">
        <f>IF($E1836="","",IF(AND(COUNT($E$1837:$E$1840)&gt;=4,$D1836=MIN($D$1832:$D$1840)),$D1836,""))</f>
        <v>0</v>
      </c>
      <c r="BG1836">
        <f>IF($A1836="","",$A1836-WEEKDAY($A1836,2)+1)</f>
        <v>0</v>
      </c>
      <c r="BH1836">
        <f>IF($A1836="","",IF($A1835="",1,IF(BG1836&lt;&gt;BG1835,1,0)))</f>
        <v>0</v>
      </c>
      <c r="BI1836">
        <f>IF($A1836="","",IF($A1837="",1,IF(BG1837&lt;&gt;BG1836,1,0)))</f>
        <v>0</v>
      </c>
      <c r="BJ1836">
        <f>IF($A1836="","",IF(BH1836=1,$B1836,BJ1835))</f>
        <v>0</v>
      </c>
      <c r="BK1836">
        <f>IF($A1836="","",IF(BH1836=1,$C1836,MAX($C1836,BK1835)))</f>
        <v>0</v>
      </c>
      <c r="BL1836">
        <f>IF($A1836="","",IF(BH1836=1,$D1836,MIN($D1836,BL1835)))</f>
        <v>0</v>
      </c>
      <c r="BM1836">
        <f>IF($A1836="","",IF(BI1836=1,F1836,""))</f>
        <v>0</v>
      </c>
      <c r="BN1836">
        <f>IF($A1836="","",DATE(YEAR($A1836),MONTH($A1836),1))</f>
        <v>0</v>
      </c>
      <c r="BO1836">
        <f>IF($A1836="","",IF($A1835="",1,IF(BN1836&lt;&gt;BN1835,1,0)))</f>
        <v>0</v>
      </c>
      <c r="BP1836">
        <f>IF($A1836="","",IF($A1837="",1,IF(BN1837&lt;&gt;BN1836,1,0)))</f>
        <v>0</v>
      </c>
      <c r="BQ1836">
        <f>IF($A1836="","",IF(BO1836=1,$B1836,BQ1835))</f>
        <v>0</v>
      </c>
      <c r="BR1836">
        <f>IF($A1836="","",IF(BO1836=1,$C1836,MAX($C1836,BR1835)))</f>
        <v>0</v>
      </c>
      <c r="BS1836">
        <f>IF($A1836="","",IF(BO1836=1,$D1836,MIN($D1836,BS1835)))</f>
        <v>0</v>
      </c>
      <c r="BT1836">
        <f>IF($A1836="","",IF(BP1836=1,F1836,""))</f>
        <v>0</v>
      </c>
    </row>
    <row r="1837" spans="1:72">
      <c r="A1837" s="27">
        <f>IF(Data!$A1837="","",Data!$A1837)</f>
        <v>0</v>
      </c>
      <c r="B1837">
        <f>IF(Data!$B1837="","",Data!$B1837)</f>
        <v>0</v>
      </c>
      <c r="C1837">
        <f>IF(Data!$C1837="","",Data!$C1837)</f>
        <v>0</v>
      </c>
      <c r="D1837">
        <f>IF(Data!$D1837="","",Data!$D1837)</f>
        <v>0</v>
      </c>
      <c r="E1837">
        <f>IF(Data!$E1837="","",Data!$E1837)</f>
        <v>0</v>
      </c>
      <c r="F1837">
        <f>IF($E1837="","",N(F1836)+1)</f>
        <v>0</v>
      </c>
      <c r="G1837">
        <f>IF(OR($E1837="",$E1836=""),"",LN($E1837/$E1836))</f>
        <v>0</v>
      </c>
      <c r="H1837">
        <f>IF($E1837="","",IF($E1836="",$E1837,$E1837*0.0952380952+H1836*0.9047619048))</f>
        <v>0</v>
      </c>
      <c r="I1837">
        <f>IF($E1837="","",IF($E1836="",$E1837,$E1837*0.0392156863+I1836*0.9607843137))</f>
        <v>0</v>
      </c>
      <c r="J1837">
        <f>IF($E1837="","",IF($E1836="",$E1837,$E1837*0.0198019802+J1836*0.9801980198))</f>
        <v>0</v>
      </c>
      <c r="K1837">
        <f>IF($E1837="","",IF($E1836="",$E1837,$E1837*0.0099502488+K1836*0.9900497512))</f>
        <v>0</v>
      </c>
      <c r="L1837">
        <f>IF(OR($E1837="",$E1836=""),"",MAX($E1837-$E1836,0))</f>
        <v>0</v>
      </c>
      <c r="M1837">
        <f>IF(OR($E1837="",$E1836=""),"",MAX($E1836-$E1837,0))</f>
        <v>0</v>
      </c>
      <c r="N1837">
        <f>IF(COUNT($E$2:$E1837)&lt;15,"",IF(AVERAGE($M$1824:$M$1837)=0,100,100-100/(1+AVERAGE($L$1824:$L$1837)/AVERAGE($M$1824:$M$1837))))</f>
        <v>0</v>
      </c>
      <c r="O1837">
        <f>IF($E1837="","",IF($E1836="",$E1837,$E1837*0.1538461538+O1836*0.8461538462))</f>
        <v>0</v>
      </c>
      <c r="P1837">
        <f>IF($E1837="","",IF($E1836="",$E1837,$E1837*0.0740740741+P1836*0.9259259259))</f>
        <v>0</v>
      </c>
      <c r="Q1837">
        <f>IF(OR(O1837="",P1837=""),"",O1837-P1837)</f>
        <v>0</v>
      </c>
      <c r="R1837">
        <f>IF(Q1837="","",IF(R1836="",Q1837,Q1837*0.2000000000+R1836*0.8000000000))</f>
        <v>0</v>
      </c>
      <c r="S1837">
        <f>IF(OR(Q1837="",R1837=""),"",Q1837-R1837)</f>
        <v>0</v>
      </c>
      <c r="T1837">
        <f>IF(COUNT($E$2:$E1837)&lt;14,"",MAX($C$1824:$C$1837))</f>
        <v>0</v>
      </c>
      <c r="U1837">
        <f>IF(COUNT($E$2:$E1837)&lt;14,"",MIN($D$1824:$D$1837))</f>
        <v>0</v>
      </c>
      <c r="V1837">
        <f>IF(OR(T1837="",U1837="",T1837=U1837),"",100*($E1837-U1837)/(T1837-U1837))</f>
        <v>0</v>
      </c>
      <c r="W1837">
        <f>IF(COUNT($V$1835:$V$1837)&lt;3,"",AVERAGE($V$1835:$V$1837))</f>
        <v>0</v>
      </c>
      <c r="X1837">
        <f>IF(COUNT($N$1824:$N$1837)&lt;14,"",MIN($N$1824:$N$1837))</f>
        <v>0</v>
      </c>
      <c r="Y1837">
        <f>IF(COUNT($N$1824:$N$1837)&lt;14,"",MAX($N$1824:$N$1837))</f>
        <v>0</v>
      </c>
      <c r="Z1837">
        <f>IF(OR(N1837="",X1837="",Y1837="",Y1837=X1837),"",100*(N1837-X1837)/(Y1837-X1837))</f>
        <v>0</v>
      </c>
      <c r="AA1837">
        <f>IF(COUNT($Z$1835:$Z$1837)&lt;3,"",AVERAGE($Z$1835:$Z$1837))</f>
        <v>0</v>
      </c>
      <c r="AB1837">
        <f>IF(COUNT($AA$1835:$AA$1837)&lt;3,"",AVERAGE($AA$1835:$AA$1837))</f>
        <v>0</v>
      </c>
      <c r="AC1837">
        <f>IF($E1837="","",MAX($C1837-$D1837,ABS($C1837-$E1836),ABS($D1837-$E1836)))</f>
        <v>0</v>
      </c>
      <c r="AD1837">
        <f>IF(COUNT($E$2:$E1837)&lt;15,"",AVERAGE($AC$1824:$AC$1837))</f>
        <v>0</v>
      </c>
      <c r="AE1837">
        <f>IF(OR($E1837="",$E1836=""),"",IF(AND(($C1837-$C1836)&gt;($D1836-$D1837),($C1837-$C1836)&gt;0),$C1837-$C1836,0))</f>
        <v>0</v>
      </c>
      <c r="AF1837">
        <f>IF(OR($E1837="",$E1836=""),"",IF(AND(($D1836-$D1837)&gt;($C1837-$C1836),($D1836-$D1837)&gt;0),$D1836-$D1837,0))</f>
        <v>0</v>
      </c>
      <c r="AG1837">
        <f>IF(COUNT($E$2:$E1837)&lt;15,"",IF(SUM($AC$1824:$AC$1837)=0,0,100*SUM($AE$1824:$AE$1837)/SUM($AC$1824:$AC$1837)))</f>
        <v>0</v>
      </c>
      <c r="AH1837">
        <f>IF(COUNT($E$2:$E1837)&lt;15,"",IF(SUM($AC$1824:$AC$1837)=0,0,100*SUM($AF$1824:$AF$1837)/SUM($AC$1824:$AC$1837)))</f>
        <v>0</v>
      </c>
      <c r="AI1837">
        <f>IF(OR(AG1837="",AH1837=""),"",IF((AG1837+AH1837)=0,0,100*ABS(AG1837-AH1837)/(AG1837+AH1837)))</f>
        <v>0</v>
      </c>
      <c r="AJ1837">
        <f>IF(COUNT($AI$1824:$AI$1837)&lt;14,"",AVERAGE($AI$1824:$AI$1837))</f>
        <v>0</v>
      </c>
      <c r="AK1837">
        <f>IF(COUNT($E$2:$E1837)&lt;20,"",AVERAGE($E$1818:$E$1837))</f>
        <v>0</v>
      </c>
      <c r="AL1837">
        <f>IF(COUNT($E$2:$E1837)&lt;20,"",STDEVP($E$1818:$E$1837))</f>
        <v>0</v>
      </c>
      <c r="AM1837">
        <f>IF(AK1837="","",AK1837+2*AL1837)</f>
        <v>0</v>
      </c>
      <c r="AN1837">
        <f>IF(AK1837="","",AK1837-2*AL1837)</f>
        <v>0</v>
      </c>
      <c r="AO1837">
        <f>IF(OR(AM1837="",AN1837="",AM1837=AN1837),"",($E1837-AN1837)/(AM1837-AN1837))</f>
        <v>0</v>
      </c>
      <c r="AP1837">
        <f>IF(OR(AM1837="",AK1837="",AK1837=0),"",(AM1837-AN1837)/AK1837)</f>
        <v>0</v>
      </c>
      <c r="AQ1837">
        <f>IF(COUNT($E$2:$E1837)&lt;20,"",MAX($C$1818:$C$1837))</f>
        <v>0</v>
      </c>
      <c r="AR1837">
        <f>IF(COUNT($E$2:$E1837)&lt;20,"",MIN($D$1818:$D$1837))</f>
        <v>0</v>
      </c>
      <c r="AS1837">
        <f>IF(OR(AQ1837="",AR1837=""),"",(AQ1837+AR1837)/2)</f>
        <v>0</v>
      </c>
      <c r="AT1837">
        <f>IF(COUNT($G$1818:$G$1837)&lt;20,"",STDEV($G$1818:$G$1837)*SQRT(252))</f>
        <v>0</v>
      </c>
      <c r="AU1837">
        <f>IF(COUNT($E$2:$E1837)&lt;9,"",(MAX($C$1829:$C$1837)+MIN($D$1829:$D$1837))/2)</f>
        <v>0</v>
      </c>
      <c r="AV1837">
        <f>IF(COUNT($E$2:$E1837)&lt;26,"",(MAX($C$1812:$C$1837)+MIN($D$1812:$D$1837))/2)</f>
        <v>0</v>
      </c>
      <c r="AW1837">
        <f>IF(OR(AU1837="",AV1837=""),"",(AU1837+AV1837)/2)</f>
        <v>0</v>
      </c>
      <c r="AX1837">
        <f>IF(COUNT($E$2:$E1837)&lt;52,"",(MAX($C$1786:$C$1837)+MIN($D$1786:$D$1837))/2)</f>
        <v>0</v>
      </c>
      <c r="AY1837">
        <f>IF(COUNT($E$2:$E1837)&lt;20,"",MAX($C$1738:$C$1837))</f>
        <v>0</v>
      </c>
      <c r="AZ1837">
        <f>IF(COUNT($E$2:$E1837)&lt;20,"",MIN($D$1738:$D$1837))</f>
        <v>0</v>
      </c>
      <c r="BA1837">
        <f>IF(COUNT($E$2:$E1837)&lt;20,"",SLOPE($E$1738:$E$1837,$F$1738:$F$1837))</f>
        <v>0</v>
      </c>
      <c r="BB1837">
        <f>IF(COUNT($E$2:$E1837)&lt;20,"",INTERCEPT($E$1738:$E$1837,$F$1738:$F$1837))</f>
        <v>0</v>
      </c>
      <c r="BC1837">
        <f>IF(OR(BA1837="",BB1837=""),"",BB1837+BA1837*F1837)</f>
        <v>0</v>
      </c>
      <c r="BD1837">
        <f>IF(COUNT($E$2:$E1837)&lt;20,"",STEYX($E$1738:$E$1837,$F$1738:$F$1837))</f>
        <v>0</v>
      </c>
      <c r="BE1837">
        <f>IF($E1837="","",IF(AND(COUNT($E$1838:$E$1841)&gt;=4,$C1837=MAX($C$1833:$C$1841)),$C1837,""))</f>
        <v>0</v>
      </c>
      <c r="BF1837">
        <f>IF($E1837="","",IF(AND(COUNT($E$1838:$E$1841)&gt;=4,$D1837=MIN($D$1833:$D$1841)),$D1837,""))</f>
        <v>0</v>
      </c>
      <c r="BG1837">
        <f>IF($A1837="","",$A1837-WEEKDAY($A1837,2)+1)</f>
        <v>0</v>
      </c>
      <c r="BH1837">
        <f>IF($A1837="","",IF($A1836="",1,IF(BG1837&lt;&gt;BG1836,1,0)))</f>
        <v>0</v>
      </c>
      <c r="BI1837">
        <f>IF($A1837="","",IF($A1838="",1,IF(BG1838&lt;&gt;BG1837,1,0)))</f>
        <v>0</v>
      </c>
      <c r="BJ1837">
        <f>IF($A1837="","",IF(BH1837=1,$B1837,BJ1836))</f>
        <v>0</v>
      </c>
      <c r="BK1837">
        <f>IF($A1837="","",IF(BH1837=1,$C1837,MAX($C1837,BK1836)))</f>
        <v>0</v>
      </c>
      <c r="BL1837">
        <f>IF($A1837="","",IF(BH1837=1,$D1837,MIN($D1837,BL1836)))</f>
        <v>0</v>
      </c>
      <c r="BM1837">
        <f>IF($A1837="","",IF(BI1837=1,F1837,""))</f>
        <v>0</v>
      </c>
      <c r="BN1837">
        <f>IF($A1837="","",DATE(YEAR($A1837),MONTH($A1837),1))</f>
        <v>0</v>
      </c>
      <c r="BO1837">
        <f>IF($A1837="","",IF($A1836="",1,IF(BN1837&lt;&gt;BN1836,1,0)))</f>
        <v>0</v>
      </c>
      <c r="BP1837">
        <f>IF($A1837="","",IF($A1838="",1,IF(BN1838&lt;&gt;BN1837,1,0)))</f>
        <v>0</v>
      </c>
      <c r="BQ1837">
        <f>IF($A1837="","",IF(BO1837=1,$B1837,BQ1836))</f>
        <v>0</v>
      </c>
      <c r="BR1837">
        <f>IF($A1837="","",IF(BO1837=1,$C1837,MAX($C1837,BR1836)))</f>
        <v>0</v>
      </c>
      <c r="BS1837">
        <f>IF($A1837="","",IF(BO1837=1,$D1837,MIN($D1837,BS1836)))</f>
        <v>0</v>
      </c>
      <c r="BT1837">
        <f>IF($A1837="","",IF(BP1837=1,F1837,""))</f>
        <v>0</v>
      </c>
    </row>
    <row r="1838" spans="1:72">
      <c r="A1838" s="27">
        <f>IF(Data!$A1838="","",Data!$A1838)</f>
        <v>0</v>
      </c>
      <c r="B1838">
        <f>IF(Data!$B1838="","",Data!$B1838)</f>
        <v>0</v>
      </c>
      <c r="C1838">
        <f>IF(Data!$C1838="","",Data!$C1838)</f>
        <v>0</v>
      </c>
      <c r="D1838">
        <f>IF(Data!$D1838="","",Data!$D1838)</f>
        <v>0</v>
      </c>
      <c r="E1838">
        <f>IF(Data!$E1838="","",Data!$E1838)</f>
        <v>0</v>
      </c>
      <c r="F1838">
        <f>IF($E1838="","",N(F1837)+1)</f>
        <v>0</v>
      </c>
      <c r="G1838">
        <f>IF(OR($E1838="",$E1837=""),"",LN($E1838/$E1837))</f>
        <v>0</v>
      </c>
      <c r="H1838">
        <f>IF($E1838="","",IF($E1837="",$E1838,$E1838*0.0952380952+H1837*0.9047619048))</f>
        <v>0</v>
      </c>
      <c r="I1838">
        <f>IF($E1838="","",IF($E1837="",$E1838,$E1838*0.0392156863+I1837*0.9607843137))</f>
        <v>0</v>
      </c>
      <c r="J1838">
        <f>IF($E1838="","",IF($E1837="",$E1838,$E1838*0.0198019802+J1837*0.9801980198))</f>
        <v>0</v>
      </c>
      <c r="K1838">
        <f>IF($E1838="","",IF($E1837="",$E1838,$E1838*0.0099502488+K1837*0.9900497512))</f>
        <v>0</v>
      </c>
      <c r="L1838">
        <f>IF(OR($E1838="",$E1837=""),"",MAX($E1838-$E1837,0))</f>
        <v>0</v>
      </c>
      <c r="M1838">
        <f>IF(OR($E1838="",$E1837=""),"",MAX($E1837-$E1838,0))</f>
        <v>0</v>
      </c>
      <c r="N1838">
        <f>IF(COUNT($E$2:$E1838)&lt;15,"",IF(AVERAGE($M$1825:$M$1838)=0,100,100-100/(1+AVERAGE($L$1825:$L$1838)/AVERAGE($M$1825:$M$1838))))</f>
        <v>0</v>
      </c>
      <c r="O1838">
        <f>IF($E1838="","",IF($E1837="",$E1838,$E1838*0.1538461538+O1837*0.8461538462))</f>
        <v>0</v>
      </c>
      <c r="P1838">
        <f>IF($E1838="","",IF($E1837="",$E1838,$E1838*0.0740740741+P1837*0.9259259259))</f>
        <v>0</v>
      </c>
      <c r="Q1838">
        <f>IF(OR(O1838="",P1838=""),"",O1838-P1838)</f>
        <v>0</v>
      </c>
      <c r="R1838">
        <f>IF(Q1838="","",IF(R1837="",Q1838,Q1838*0.2000000000+R1837*0.8000000000))</f>
        <v>0</v>
      </c>
      <c r="S1838">
        <f>IF(OR(Q1838="",R1838=""),"",Q1838-R1838)</f>
        <v>0</v>
      </c>
      <c r="T1838">
        <f>IF(COUNT($E$2:$E1838)&lt;14,"",MAX($C$1825:$C$1838))</f>
        <v>0</v>
      </c>
      <c r="U1838">
        <f>IF(COUNT($E$2:$E1838)&lt;14,"",MIN($D$1825:$D$1838))</f>
        <v>0</v>
      </c>
      <c r="V1838">
        <f>IF(OR(T1838="",U1838="",T1838=U1838),"",100*($E1838-U1838)/(T1838-U1838))</f>
        <v>0</v>
      </c>
      <c r="W1838">
        <f>IF(COUNT($V$1836:$V$1838)&lt;3,"",AVERAGE($V$1836:$V$1838))</f>
        <v>0</v>
      </c>
      <c r="X1838">
        <f>IF(COUNT($N$1825:$N$1838)&lt;14,"",MIN($N$1825:$N$1838))</f>
        <v>0</v>
      </c>
      <c r="Y1838">
        <f>IF(COUNT($N$1825:$N$1838)&lt;14,"",MAX($N$1825:$N$1838))</f>
        <v>0</v>
      </c>
      <c r="Z1838">
        <f>IF(OR(N1838="",X1838="",Y1838="",Y1838=X1838),"",100*(N1838-X1838)/(Y1838-X1838))</f>
        <v>0</v>
      </c>
      <c r="AA1838">
        <f>IF(COUNT($Z$1836:$Z$1838)&lt;3,"",AVERAGE($Z$1836:$Z$1838))</f>
        <v>0</v>
      </c>
      <c r="AB1838">
        <f>IF(COUNT($AA$1836:$AA$1838)&lt;3,"",AVERAGE($AA$1836:$AA$1838))</f>
        <v>0</v>
      </c>
      <c r="AC1838">
        <f>IF($E1838="","",MAX($C1838-$D1838,ABS($C1838-$E1837),ABS($D1838-$E1837)))</f>
        <v>0</v>
      </c>
      <c r="AD1838">
        <f>IF(COUNT($E$2:$E1838)&lt;15,"",AVERAGE($AC$1825:$AC$1838))</f>
        <v>0</v>
      </c>
      <c r="AE1838">
        <f>IF(OR($E1838="",$E1837=""),"",IF(AND(($C1838-$C1837)&gt;($D1837-$D1838),($C1838-$C1837)&gt;0),$C1838-$C1837,0))</f>
        <v>0</v>
      </c>
      <c r="AF1838">
        <f>IF(OR($E1838="",$E1837=""),"",IF(AND(($D1837-$D1838)&gt;($C1838-$C1837),($D1837-$D1838)&gt;0),$D1837-$D1838,0))</f>
        <v>0</v>
      </c>
      <c r="AG1838">
        <f>IF(COUNT($E$2:$E1838)&lt;15,"",IF(SUM($AC$1825:$AC$1838)=0,0,100*SUM($AE$1825:$AE$1838)/SUM($AC$1825:$AC$1838)))</f>
        <v>0</v>
      </c>
      <c r="AH1838">
        <f>IF(COUNT($E$2:$E1838)&lt;15,"",IF(SUM($AC$1825:$AC$1838)=0,0,100*SUM($AF$1825:$AF$1838)/SUM($AC$1825:$AC$1838)))</f>
        <v>0</v>
      </c>
      <c r="AI1838">
        <f>IF(OR(AG1838="",AH1838=""),"",IF((AG1838+AH1838)=0,0,100*ABS(AG1838-AH1838)/(AG1838+AH1838)))</f>
        <v>0</v>
      </c>
      <c r="AJ1838">
        <f>IF(COUNT($AI$1825:$AI$1838)&lt;14,"",AVERAGE($AI$1825:$AI$1838))</f>
        <v>0</v>
      </c>
      <c r="AK1838">
        <f>IF(COUNT($E$2:$E1838)&lt;20,"",AVERAGE($E$1819:$E$1838))</f>
        <v>0</v>
      </c>
      <c r="AL1838">
        <f>IF(COUNT($E$2:$E1838)&lt;20,"",STDEVP($E$1819:$E$1838))</f>
        <v>0</v>
      </c>
      <c r="AM1838">
        <f>IF(AK1838="","",AK1838+2*AL1838)</f>
        <v>0</v>
      </c>
      <c r="AN1838">
        <f>IF(AK1838="","",AK1838-2*AL1838)</f>
        <v>0</v>
      </c>
      <c r="AO1838">
        <f>IF(OR(AM1838="",AN1838="",AM1838=AN1838),"",($E1838-AN1838)/(AM1838-AN1838))</f>
        <v>0</v>
      </c>
      <c r="AP1838">
        <f>IF(OR(AM1838="",AK1838="",AK1838=0),"",(AM1838-AN1838)/AK1838)</f>
        <v>0</v>
      </c>
      <c r="AQ1838">
        <f>IF(COUNT($E$2:$E1838)&lt;20,"",MAX($C$1819:$C$1838))</f>
        <v>0</v>
      </c>
      <c r="AR1838">
        <f>IF(COUNT($E$2:$E1838)&lt;20,"",MIN($D$1819:$D$1838))</f>
        <v>0</v>
      </c>
      <c r="AS1838">
        <f>IF(OR(AQ1838="",AR1838=""),"",(AQ1838+AR1838)/2)</f>
        <v>0</v>
      </c>
      <c r="AT1838">
        <f>IF(COUNT($G$1819:$G$1838)&lt;20,"",STDEV($G$1819:$G$1838)*SQRT(252))</f>
        <v>0</v>
      </c>
      <c r="AU1838">
        <f>IF(COUNT($E$2:$E1838)&lt;9,"",(MAX($C$1830:$C$1838)+MIN($D$1830:$D$1838))/2)</f>
        <v>0</v>
      </c>
      <c r="AV1838">
        <f>IF(COUNT($E$2:$E1838)&lt;26,"",(MAX($C$1813:$C$1838)+MIN($D$1813:$D$1838))/2)</f>
        <v>0</v>
      </c>
      <c r="AW1838">
        <f>IF(OR(AU1838="",AV1838=""),"",(AU1838+AV1838)/2)</f>
        <v>0</v>
      </c>
      <c r="AX1838">
        <f>IF(COUNT($E$2:$E1838)&lt;52,"",(MAX($C$1787:$C$1838)+MIN($D$1787:$D$1838))/2)</f>
        <v>0</v>
      </c>
      <c r="AY1838">
        <f>IF(COUNT($E$2:$E1838)&lt;20,"",MAX($C$1739:$C$1838))</f>
        <v>0</v>
      </c>
      <c r="AZ1838">
        <f>IF(COUNT($E$2:$E1838)&lt;20,"",MIN($D$1739:$D$1838))</f>
        <v>0</v>
      </c>
      <c r="BA1838">
        <f>IF(COUNT($E$2:$E1838)&lt;20,"",SLOPE($E$1739:$E$1838,$F$1739:$F$1838))</f>
        <v>0</v>
      </c>
      <c r="BB1838">
        <f>IF(COUNT($E$2:$E1838)&lt;20,"",INTERCEPT($E$1739:$E$1838,$F$1739:$F$1838))</f>
        <v>0</v>
      </c>
      <c r="BC1838">
        <f>IF(OR(BA1838="",BB1838=""),"",BB1838+BA1838*F1838)</f>
        <v>0</v>
      </c>
      <c r="BD1838">
        <f>IF(COUNT($E$2:$E1838)&lt;20,"",STEYX($E$1739:$E$1838,$F$1739:$F$1838))</f>
        <v>0</v>
      </c>
      <c r="BE1838">
        <f>IF($E1838="","",IF(AND(COUNT($E$1839:$E$1842)&gt;=4,$C1838=MAX($C$1834:$C$1842)),$C1838,""))</f>
        <v>0</v>
      </c>
      <c r="BF1838">
        <f>IF($E1838="","",IF(AND(COUNT($E$1839:$E$1842)&gt;=4,$D1838=MIN($D$1834:$D$1842)),$D1838,""))</f>
        <v>0</v>
      </c>
      <c r="BG1838">
        <f>IF($A1838="","",$A1838-WEEKDAY($A1838,2)+1)</f>
        <v>0</v>
      </c>
      <c r="BH1838">
        <f>IF($A1838="","",IF($A1837="",1,IF(BG1838&lt;&gt;BG1837,1,0)))</f>
        <v>0</v>
      </c>
      <c r="BI1838">
        <f>IF($A1838="","",IF($A1839="",1,IF(BG1839&lt;&gt;BG1838,1,0)))</f>
        <v>0</v>
      </c>
      <c r="BJ1838">
        <f>IF($A1838="","",IF(BH1838=1,$B1838,BJ1837))</f>
        <v>0</v>
      </c>
      <c r="BK1838">
        <f>IF($A1838="","",IF(BH1838=1,$C1838,MAX($C1838,BK1837)))</f>
        <v>0</v>
      </c>
      <c r="BL1838">
        <f>IF($A1838="","",IF(BH1838=1,$D1838,MIN($D1838,BL1837)))</f>
        <v>0</v>
      </c>
      <c r="BM1838">
        <f>IF($A1838="","",IF(BI1838=1,F1838,""))</f>
        <v>0</v>
      </c>
      <c r="BN1838">
        <f>IF($A1838="","",DATE(YEAR($A1838),MONTH($A1838),1))</f>
        <v>0</v>
      </c>
      <c r="BO1838">
        <f>IF($A1838="","",IF($A1837="",1,IF(BN1838&lt;&gt;BN1837,1,0)))</f>
        <v>0</v>
      </c>
      <c r="BP1838">
        <f>IF($A1838="","",IF($A1839="",1,IF(BN1839&lt;&gt;BN1838,1,0)))</f>
        <v>0</v>
      </c>
      <c r="BQ1838">
        <f>IF($A1838="","",IF(BO1838=1,$B1838,BQ1837))</f>
        <v>0</v>
      </c>
      <c r="BR1838">
        <f>IF($A1838="","",IF(BO1838=1,$C1838,MAX($C1838,BR1837)))</f>
        <v>0</v>
      </c>
      <c r="BS1838">
        <f>IF($A1838="","",IF(BO1838=1,$D1838,MIN($D1838,BS1837)))</f>
        <v>0</v>
      </c>
      <c r="BT1838">
        <f>IF($A1838="","",IF(BP1838=1,F1838,""))</f>
        <v>0</v>
      </c>
    </row>
    <row r="1839" spans="1:72">
      <c r="A1839" s="27">
        <f>IF(Data!$A1839="","",Data!$A1839)</f>
        <v>0</v>
      </c>
      <c r="B1839">
        <f>IF(Data!$B1839="","",Data!$B1839)</f>
        <v>0</v>
      </c>
      <c r="C1839">
        <f>IF(Data!$C1839="","",Data!$C1839)</f>
        <v>0</v>
      </c>
      <c r="D1839">
        <f>IF(Data!$D1839="","",Data!$D1839)</f>
        <v>0</v>
      </c>
      <c r="E1839">
        <f>IF(Data!$E1839="","",Data!$E1839)</f>
        <v>0</v>
      </c>
      <c r="F1839">
        <f>IF($E1839="","",N(F1838)+1)</f>
        <v>0</v>
      </c>
      <c r="G1839">
        <f>IF(OR($E1839="",$E1838=""),"",LN($E1839/$E1838))</f>
        <v>0</v>
      </c>
      <c r="H1839">
        <f>IF($E1839="","",IF($E1838="",$E1839,$E1839*0.0952380952+H1838*0.9047619048))</f>
        <v>0</v>
      </c>
      <c r="I1839">
        <f>IF($E1839="","",IF($E1838="",$E1839,$E1839*0.0392156863+I1838*0.9607843137))</f>
        <v>0</v>
      </c>
      <c r="J1839">
        <f>IF($E1839="","",IF($E1838="",$E1839,$E1839*0.0198019802+J1838*0.9801980198))</f>
        <v>0</v>
      </c>
      <c r="K1839">
        <f>IF($E1839="","",IF($E1838="",$E1839,$E1839*0.0099502488+K1838*0.9900497512))</f>
        <v>0</v>
      </c>
      <c r="L1839">
        <f>IF(OR($E1839="",$E1838=""),"",MAX($E1839-$E1838,0))</f>
        <v>0</v>
      </c>
      <c r="M1839">
        <f>IF(OR($E1839="",$E1838=""),"",MAX($E1838-$E1839,0))</f>
        <v>0</v>
      </c>
      <c r="N1839">
        <f>IF(COUNT($E$2:$E1839)&lt;15,"",IF(AVERAGE($M$1826:$M$1839)=0,100,100-100/(1+AVERAGE($L$1826:$L$1839)/AVERAGE($M$1826:$M$1839))))</f>
        <v>0</v>
      </c>
      <c r="O1839">
        <f>IF($E1839="","",IF($E1838="",$E1839,$E1839*0.1538461538+O1838*0.8461538462))</f>
        <v>0</v>
      </c>
      <c r="P1839">
        <f>IF($E1839="","",IF($E1838="",$E1839,$E1839*0.0740740741+P1838*0.9259259259))</f>
        <v>0</v>
      </c>
      <c r="Q1839">
        <f>IF(OR(O1839="",P1839=""),"",O1839-P1839)</f>
        <v>0</v>
      </c>
      <c r="R1839">
        <f>IF(Q1839="","",IF(R1838="",Q1839,Q1839*0.2000000000+R1838*0.8000000000))</f>
        <v>0</v>
      </c>
      <c r="S1839">
        <f>IF(OR(Q1839="",R1839=""),"",Q1839-R1839)</f>
        <v>0</v>
      </c>
      <c r="T1839">
        <f>IF(COUNT($E$2:$E1839)&lt;14,"",MAX($C$1826:$C$1839))</f>
        <v>0</v>
      </c>
      <c r="U1839">
        <f>IF(COUNT($E$2:$E1839)&lt;14,"",MIN($D$1826:$D$1839))</f>
        <v>0</v>
      </c>
      <c r="V1839">
        <f>IF(OR(T1839="",U1839="",T1839=U1839),"",100*($E1839-U1839)/(T1839-U1839))</f>
        <v>0</v>
      </c>
      <c r="W1839">
        <f>IF(COUNT($V$1837:$V$1839)&lt;3,"",AVERAGE($V$1837:$V$1839))</f>
        <v>0</v>
      </c>
      <c r="X1839">
        <f>IF(COUNT($N$1826:$N$1839)&lt;14,"",MIN($N$1826:$N$1839))</f>
        <v>0</v>
      </c>
      <c r="Y1839">
        <f>IF(COUNT($N$1826:$N$1839)&lt;14,"",MAX($N$1826:$N$1839))</f>
        <v>0</v>
      </c>
      <c r="Z1839">
        <f>IF(OR(N1839="",X1839="",Y1839="",Y1839=X1839),"",100*(N1839-X1839)/(Y1839-X1839))</f>
        <v>0</v>
      </c>
      <c r="AA1839">
        <f>IF(COUNT($Z$1837:$Z$1839)&lt;3,"",AVERAGE($Z$1837:$Z$1839))</f>
        <v>0</v>
      </c>
      <c r="AB1839">
        <f>IF(COUNT($AA$1837:$AA$1839)&lt;3,"",AVERAGE($AA$1837:$AA$1839))</f>
        <v>0</v>
      </c>
      <c r="AC1839">
        <f>IF($E1839="","",MAX($C1839-$D1839,ABS($C1839-$E1838),ABS($D1839-$E1838)))</f>
        <v>0</v>
      </c>
      <c r="AD1839">
        <f>IF(COUNT($E$2:$E1839)&lt;15,"",AVERAGE($AC$1826:$AC$1839))</f>
        <v>0</v>
      </c>
      <c r="AE1839">
        <f>IF(OR($E1839="",$E1838=""),"",IF(AND(($C1839-$C1838)&gt;($D1838-$D1839),($C1839-$C1838)&gt;0),$C1839-$C1838,0))</f>
        <v>0</v>
      </c>
      <c r="AF1839">
        <f>IF(OR($E1839="",$E1838=""),"",IF(AND(($D1838-$D1839)&gt;($C1839-$C1838),($D1838-$D1839)&gt;0),$D1838-$D1839,0))</f>
        <v>0</v>
      </c>
      <c r="AG1839">
        <f>IF(COUNT($E$2:$E1839)&lt;15,"",IF(SUM($AC$1826:$AC$1839)=0,0,100*SUM($AE$1826:$AE$1839)/SUM($AC$1826:$AC$1839)))</f>
        <v>0</v>
      </c>
      <c r="AH1839">
        <f>IF(COUNT($E$2:$E1839)&lt;15,"",IF(SUM($AC$1826:$AC$1839)=0,0,100*SUM($AF$1826:$AF$1839)/SUM($AC$1826:$AC$1839)))</f>
        <v>0</v>
      </c>
      <c r="AI1839">
        <f>IF(OR(AG1839="",AH1839=""),"",IF((AG1839+AH1839)=0,0,100*ABS(AG1839-AH1839)/(AG1839+AH1839)))</f>
        <v>0</v>
      </c>
      <c r="AJ1839">
        <f>IF(COUNT($AI$1826:$AI$1839)&lt;14,"",AVERAGE($AI$1826:$AI$1839))</f>
        <v>0</v>
      </c>
      <c r="AK1839">
        <f>IF(COUNT($E$2:$E1839)&lt;20,"",AVERAGE($E$1820:$E$1839))</f>
        <v>0</v>
      </c>
      <c r="AL1839">
        <f>IF(COUNT($E$2:$E1839)&lt;20,"",STDEVP($E$1820:$E$1839))</f>
        <v>0</v>
      </c>
      <c r="AM1839">
        <f>IF(AK1839="","",AK1839+2*AL1839)</f>
        <v>0</v>
      </c>
      <c r="AN1839">
        <f>IF(AK1839="","",AK1839-2*AL1839)</f>
        <v>0</v>
      </c>
      <c r="AO1839">
        <f>IF(OR(AM1839="",AN1839="",AM1839=AN1839),"",($E1839-AN1839)/(AM1839-AN1839))</f>
        <v>0</v>
      </c>
      <c r="AP1839">
        <f>IF(OR(AM1839="",AK1839="",AK1839=0),"",(AM1839-AN1839)/AK1839)</f>
        <v>0</v>
      </c>
      <c r="AQ1839">
        <f>IF(COUNT($E$2:$E1839)&lt;20,"",MAX($C$1820:$C$1839))</f>
        <v>0</v>
      </c>
      <c r="AR1839">
        <f>IF(COUNT($E$2:$E1839)&lt;20,"",MIN($D$1820:$D$1839))</f>
        <v>0</v>
      </c>
      <c r="AS1839">
        <f>IF(OR(AQ1839="",AR1839=""),"",(AQ1839+AR1839)/2)</f>
        <v>0</v>
      </c>
      <c r="AT1839">
        <f>IF(COUNT($G$1820:$G$1839)&lt;20,"",STDEV($G$1820:$G$1839)*SQRT(252))</f>
        <v>0</v>
      </c>
      <c r="AU1839">
        <f>IF(COUNT($E$2:$E1839)&lt;9,"",(MAX($C$1831:$C$1839)+MIN($D$1831:$D$1839))/2)</f>
        <v>0</v>
      </c>
      <c r="AV1839">
        <f>IF(COUNT($E$2:$E1839)&lt;26,"",(MAX($C$1814:$C$1839)+MIN($D$1814:$D$1839))/2)</f>
        <v>0</v>
      </c>
      <c r="AW1839">
        <f>IF(OR(AU1839="",AV1839=""),"",(AU1839+AV1839)/2)</f>
        <v>0</v>
      </c>
      <c r="AX1839">
        <f>IF(COUNT($E$2:$E1839)&lt;52,"",(MAX($C$1788:$C$1839)+MIN($D$1788:$D$1839))/2)</f>
        <v>0</v>
      </c>
      <c r="AY1839">
        <f>IF(COUNT($E$2:$E1839)&lt;20,"",MAX($C$1740:$C$1839))</f>
        <v>0</v>
      </c>
      <c r="AZ1839">
        <f>IF(COUNT($E$2:$E1839)&lt;20,"",MIN($D$1740:$D$1839))</f>
        <v>0</v>
      </c>
      <c r="BA1839">
        <f>IF(COUNT($E$2:$E1839)&lt;20,"",SLOPE($E$1740:$E$1839,$F$1740:$F$1839))</f>
        <v>0</v>
      </c>
      <c r="BB1839">
        <f>IF(COUNT($E$2:$E1839)&lt;20,"",INTERCEPT($E$1740:$E$1839,$F$1740:$F$1839))</f>
        <v>0</v>
      </c>
      <c r="BC1839">
        <f>IF(OR(BA1839="",BB1839=""),"",BB1839+BA1839*F1839)</f>
        <v>0</v>
      </c>
      <c r="BD1839">
        <f>IF(COUNT($E$2:$E1839)&lt;20,"",STEYX($E$1740:$E$1839,$F$1740:$F$1839))</f>
        <v>0</v>
      </c>
      <c r="BE1839">
        <f>IF($E1839="","",IF(AND(COUNT($E$1840:$E$1843)&gt;=4,$C1839=MAX($C$1835:$C$1843)),$C1839,""))</f>
        <v>0</v>
      </c>
      <c r="BF1839">
        <f>IF($E1839="","",IF(AND(COUNT($E$1840:$E$1843)&gt;=4,$D1839=MIN($D$1835:$D$1843)),$D1839,""))</f>
        <v>0</v>
      </c>
      <c r="BG1839">
        <f>IF($A1839="","",$A1839-WEEKDAY($A1839,2)+1)</f>
        <v>0</v>
      </c>
      <c r="BH1839">
        <f>IF($A1839="","",IF($A1838="",1,IF(BG1839&lt;&gt;BG1838,1,0)))</f>
        <v>0</v>
      </c>
      <c r="BI1839">
        <f>IF($A1839="","",IF($A1840="",1,IF(BG1840&lt;&gt;BG1839,1,0)))</f>
        <v>0</v>
      </c>
      <c r="BJ1839">
        <f>IF($A1839="","",IF(BH1839=1,$B1839,BJ1838))</f>
        <v>0</v>
      </c>
      <c r="BK1839">
        <f>IF($A1839="","",IF(BH1839=1,$C1839,MAX($C1839,BK1838)))</f>
        <v>0</v>
      </c>
      <c r="BL1839">
        <f>IF($A1839="","",IF(BH1839=1,$D1839,MIN($D1839,BL1838)))</f>
        <v>0</v>
      </c>
      <c r="BM1839">
        <f>IF($A1839="","",IF(BI1839=1,F1839,""))</f>
        <v>0</v>
      </c>
      <c r="BN1839">
        <f>IF($A1839="","",DATE(YEAR($A1839),MONTH($A1839),1))</f>
        <v>0</v>
      </c>
      <c r="BO1839">
        <f>IF($A1839="","",IF($A1838="",1,IF(BN1839&lt;&gt;BN1838,1,0)))</f>
        <v>0</v>
      </c>
      <c r="BP1839">
        <f>IF($A1839="","",IF($A1840="",1,IF(BN1840&lt;&gt;BN1839,1,0)))</f>
        <v>0</v>
      </c>
      <c r="BQ1839">
        <f>IF($A1839="","",IF(BO1839=1,$B1839,BQ1838))</f>
        <v>0</v>
      </c>
      <c r="BR1839">
        <f>IF($A1839="","",IF(BO1839=1,$C1839,MAX($C1839,BR1838)))</f>
        <v>0</v>
      </c>
      <c r="BS1839">
        <f>IF($A1839="","",IF(BO1839=1,$D1839,MIN($D1839,BS1838)))</f>
        <v>0</v>
      </c>
      <c r="BT1839">
        <f>IF($A1839="","",IF(BP1839=1,F1839,""))</f>
        <v>0</v>
      </c>
    </row>
    <row r="1840" spans="1:72">
      <c r="A1840" s="27">
        <f>IF(Data!$A1840="","",Data!$A1840)</f>
        <v>0</v>
      </c>
      <c r="B1840">
        <f>IF(Data!$B1840="","",Data!$B1840)</f>
        <v>0</v>
      </c>
      <c r="C1840">
        <f>IF(Data!$C1840="","",Data!$C1840)</f>
        <v>0</v>
      </c>
      <c r="D1840">
        <f>IF(Data!$D1840="","",Data!$D1840)</f>
        <v>0</v>
      </c>
      <c r="E1840">
        <f>IF(Data!$E1840="","",Data!$E1840)</f>
        <v>0</v>
      </c>
      <c r="F1840">
        <f>IF($E1840="","",N(F1839)+1)</f>
        <v>0</v>
      </c>
      <c r="G1840">
        <f>IF(OR($E1840="",$E1839=""),"",LN($E1840/$E1839))</f>
        <v>0</v>
      </c>
      <c r="H1840">
        <f>IF($E1840="","",IF($E1839="",$E1840,$E1840*0.0952380952+H1839*0.9047619048))</f>
        <v>0</v>
      </c>
      <c r="I1840">
        <f>IF($E1840="","",IF($E1839="",$E1840,$E1840*0.0392156863+I1839*0.9607843137))</f>
        <v>0</v>
      </c>
      <c r="J1840">
        <f>IF($E1840="","",IF($E1839="",$E1840,$E1840*0.0198019802+J1839*0.9801980198))</f>
        <v>0</v>
      </c>
      <c r="K1840">
        <f>IF($E1840="","",IF($E1839="",$E1840,$E1840*0.0099502488+K1839*0.9900497512))</f>
        <v>0</v>
      </c>
      <c r="L1840">
        <f>IF(OR($E1840="",$E1839=""),"",MAX($E1840-$E1839,0))</f>
        <v>0</v>
      </c>
      <c r="M1840">
        <f>IF(OR($E1840="",$E1839=""),"",MAX($E1839-$E1840,0))</f>
        <v>0</v>
      </c>
      <c r="N1840">
        <f>IF(COUNT($E$2:$E1840)&lt;15,"",IF(AVERAGE($M$1827:$M$1840)=0,100,100-100/(1+AVERAGE($L$1827:$L$1840)/AVERAGE($M$1827:$M$1840))))</f>
        <v>0</v>
      </c>
      <c r="O1840">
        <f>IF($E1840="","",IF($E1839="",$E1840,$E1840*0.1538461538+O1839*0.8461538462))</f>
        <v>0</v>
      </c>
      <c r="P1840">
        <f>IF($E1840="","",IF($E1839="",$E1840,$E1840*0.0740740741+P1839*0.9259259259))</f>
        <v>0</v>
      </c>
      <c r="Q1840">
        <f>IF(OR(O1840="",P1840=""),"",O1840-P1840)</f>
        <v>0</v>
      </c>
      <c r="R1840">
        <f>IF(Q1840="","",IF(R1839="",Q1840,Q1840*0.2000000000+R1839*0.8000000000))</f>
        <v>0</v>
      </c>
      <c r="S1840">
        <f>IF(OR(Q1840="",R1840=""),"",Q1840-R1840)</f>
        <v>0</v>
      </c>
      <c r="T1840">
        <f>IF(COUNT($E$2:$E1840)&lt;14,"",MAX($C$1827:$C$1840))</f>
        <v>0</v>
      </c>
      <c r="U1840">
        <f>IF(COUNT($E$2:$E1840)&lt;14,"",MIN($D$1827:$D$1840))</f>
        <v>0</v>
      </c>
      <c r="V1840">
        <f>IF(OR(T1840="",U1840="",T1840=U1840),"",100*($E1840-U1840)/(T1840-U1840))</f>
        <v>0</v>
      </c>
      <c r="W1840">
        <f>IF(COUNT($V$1838:$V$1840)&lt;3,"",AVERAGE($V$1838:$V$1840))</f>
        <v>0</v>
      </c>
      <c r="X1840">
        <f>IF(COUNT($N$1827:$N$1840)&lt;14,"",MIN($N$1827:$N$1840))</f>
        <v>0</v>
      </c>
      <c r="Y1840">
        <f>IF(COUNT($N$1827:$N$1840)&lt;14,"",MAX($N$1827:$N$1840))</f>
        <v>0</v>
      </c>
      <c r="Z1840">
        <f>IF(OR(N1840="",X1840="",Y1840="",Y1840=X1840),"",100*(N1840-X1840)/(Y1840-X1840))</f>
        <v>0</v>
      </c>
      <c r="AA1840">
        <f>IF(COUNT($Z$1838:$Z$1840)&lt;3,"",AVERAGE($Z$1838:$Z$1840))</f>
        <v>0</v>
      </c>
      <c r="AB1840">
        <f>IF(COUNT($AA$1838:$AA$1840)&lt;3,"",AVERAGE($AA$1838:$AA$1840))</f>
        <v>0</v>
      </c>
      <c r="AC1840">
        <f>IF($E1840="","",MAX($C1840-$D1840,ABS($C1840-$E1839),ABS($D1840-$E1839)))</f>
        <v>0</v>
      </c>
      <c r="AD1840">
        <f>IF(COUNT($E$2:$E1840)&lt;15,"",AVERAGE($AC$1827:$AC$1840))</f>
        <v>0</v>
      </c>
      <c r="AE1840">
        <f>IF(OR($E1840="",$E1839=""),"",IF(AND(($C1840-$C1839)&gt;($D1839-$D1840),($C1840-$C1839)&gt;0),$C1840-$C1839,0))</f>
        <v>0</v>
      </c>
      <c r="AF1840">
        <f>IF(OR($E1840="",$E1839=""),"",IF(AND(($D1839-$D1840)&gt;($C1840-$C1839),($D1839-$D1840)&gt;0),$D1839-$D1840,0))</f>
        <v>0</v>
      </c>
      <c r="AG1840">
        <f>IF(COUNT($E$2:$E1840)&lt;15,"",IF(SUM($AC$1827:$AC$1840)=0,0,100*SUM($AE$1827:$AE$1840)/SUM($AC$1827:$AC$1840)))</f>
        <v>0</v>
      </c>
      <c r="AH1840">
        <f>IF(COUNT($E$2:$E1840)&lt;15,"",IF(SUM($AC$1827:$AC$1840)=0,0,100*SUM($AF$1827:$AF$1840)/SUM($AC$1827:$AC$1840)))</f>
        <v>0</v>
      </c>
      <c r="AI1840">
        <f>IF(OR(AG1840="",AH1840=""),"",IF((AG1840+AH1840)=0,0,100*ABS(AG1840-AH1840)/(AG1840+AH1840)))</f>
        <v>0</v>
      </c>
      <c r="AJ1840">
        <f>IF(COUNT($AI$1827:$AI$1840)&lt;14,"",AVERAGE($AI$1827:$AI$1840))</f>
        <v>0</v>
      </c>
      <c r="AK1840">
        <f>IF(COUNT($E$2:$E1840)&lt;20,"",AVERAGE($E$1821:$E$1840))</f>
        <v>0</v>
      </c>
      <c r="AL1840">
        <f>IF(COUNT($E$2:$E1840)&lt;20,"",STDEVP($E$1821:$E$1840))</f>
        <v>0</v>
      </c>
      <c r="AM1840">
        <f>IF(AK1840="","",AK1840+2*AL1840)</f>
        <v>0</v>
      </c>
      <c r="AN1840">
        <f>IF(AK1840="","",AK1840-2*AL1840)</f>
        <v>0</v>
      </c>
      <c r="AO1840">
        <f>IF(OR(AM1840="",AN1840="",AM1840=AN1840),"",($E1840-AN1840)/(AM1840-AN1840))</f>
        <v>0</v>
      </c>
      <c r="AP1840">
        <f>IF(OR(AM1840="",AK1840="",AK1840=0),"",(AM1840-AN1840)/AK1840)</f>
        <v>0</v>
      </c>
      <c r="AQ1840">
        <f>IF(COUNT($E$2:$E1840)&lt;20,"",MAX($C$1821:$C$1840))</f>
        <v>0</v>
      </c>
      <c r="AR1840">
        <f>IF(COUNT($E$2:$E1840)&lt;20,"",MIN($D$1821:$D$1840))</f>
        <v>0</v>
      </c>
      <c r="AS1840">
        <f>IF(OR(AQ1840="",AR1840=""),"",(AQ1840+AR1840)/2)</f>
        <v>0</v>
      </c>
      <c r="AT1840">
        <f>IF(COUNT($G$1821:$G$1840)&lt;20,"",STDEV($G$1821:$G$1840)*SQRT(252))</f>
        <v>0</v>
      </c>
      <c r="AU1840">
        <f>IF(COUNT($E$2:$E1840)&lt;9,"",(MAX($C$1832:$C$1840)+MIN($D$1832:$D$1840))/2)</f>
        <v>0</v>
      </c>
      <c r="AV1840">
        <f>IF(COUNT($E$2:$E1840)&lt;26,"",(MAX($C$1815:$C$1840)+MIN($D$1815:$D$1840))/2)</f>
        <v>0</v>
      </c>
      <c r="AW1840">
        <f>IF(OR(AU1840="",AV1840=""),"",(AU1840+AV1840)/2)</f>
        <v>0</v>
      </c>
      <c r="AX1840">
        <f>IF(COUNT($E$2:$E1840)&lt;52,"",(MAX($C$1789:$C$1840)+MIN($D$1789:$D$1840))/2)</f>
        <v>0</v>
      </c>
      <c r="AY1840">
        <f>IF(COUNT($E$2:$E1840)&lt;20,"",MAX($C$1741:$C$1840))</f>
        <v>0</v>
      </c>
      <c r="AZ1840">
        <f>IF(COUNT($E$2:$E1840)&lt;20,"",MIN($D$1741:$D$1840))</f>
        <v>0</v>
      </c>
      <c r="BA1840">
        <f>IF(COUNT($E$2:$E1840)&lt;20,"",SLOPE($E$1741:$E$1840,$F$1741:$F$1840))</f>
        <v>0</v>
      </c>
      <c r="BB1840">
        <f>IF(COUNT($E$2:$E1840)&lt;20,"",INTERCEPT($E$1741:$E$1840,$F$1741:$F$1840))</f>
        <v>0</v>
      </c>
      <c r="BC1840">
        <f>IF(OR(BA1840="",BB1840=""),"",BB1840+BA1840*F1840)</f>
        <v>0</v>
      </c>
      <c r="BD1840">
        <f>IF(COUNT($E$2:$E1840)&lt;20,"",STEYX($E$1741:$E$1840,$F$1741:$F$1840))</f>
        <v>0</v>
      </c>
      <c r="BE1840">
        <f>IF($E1840="","",IF(AND(COUNT($E$1841:$E$1844)&gt;=4,$C1840=MAX($C$1836:$C$1844)),$C1840,""))</f>
        <v>0</v>
      </c>
      <c r="BF1840">
        <f>IF($E1840="","",IF(AND(COUNT($E$1841:$E$1844)&gt;=4,$D1840=MIN($D$1836:$D$1844)),$D1840,""))</f>
        <v>0</v>
      </c>
      <c r="BG1840">
        <f>IF($A1840="","",$A1840-WEEKDAY($A1840,2)+1)</f>
        <v>0</v>
      </c>
      <c r="BH1840">
        <f>IF($A1840="","",IF($A1839="",1,IF(BG1840&lt;&gt;BG1839,1,0)))</f>
        <v>0</v>
      </c>
      <c r="BI1840">
        <f>IF($A1840="","",IF($A1841="",1,IF(BG1841&lt;&gt;BG1840,1,0)))</f>
        <v>0</v>
      </c>
      <c r="BJ1840">
        <f>IF($A1840="","",IF(BH1840=1,$B1840,BJ1839))</f>
        <v>0</v>
      </c>
      <c r="BK1840">
        <f>IF($A1840="","",IF(BH1840=1,$C1840,MAX($C1840,BK1839)))</f>
        <v>0</v>
      </c>
      <c r="BL1840">
        <f>IF($A1840="","",IF(BH1840=1,$D1840,MIN($D1840,BL1839)))</f>
        <v>0</v>
      </c>
      <c r="BM1840">
        <f>IF($A1840="","",IF(BI1840=1,F1840,""))</f>
        <v>0</v>
      </c>
      <c r="BN1840">
        <f>IF($A1840="","",DATE(YEAR($A1840),MONTH($A1840),1))</f>
        <v>0</v>
      </c>
      <c r="BO1840">
        <f>IF($A1840="","",IF($A1839="",1,IF(BN1840&lt;&gt;BN1839,1,0)))</f>
        <v>0</v>
      </c>
      <c r="BP1840">
        <f>IF($A1840="","",IF($A1841="",1,IF(BN1841&lt;&gt;BN1840,1,0)))</f>
        <v>0</v>
      </c>
      <c r="BQ1840">
        <f>IF($A1840="","",IF(BO1840=1,$B1840,BQ1839))</f>
        <v>0</v>
      </c>
      <c r="BR1840">
        <f>IF($A1840="","",IF(BO1840=1,$C1840,MAX($C1840,BR1839)))</f>
        <v>0</v>
      </c>
      <c r="BS1840">
        <f>IF($A1840="","",IF(BO1840=1,$D1840,MIN($D1840,BS1839)))</f>
        <v>0</v>
      </c>
      <c r="BT1840">
        <f>IF($A1840="","",IF(BP1840=1,F1840,""))</f>
        <v>0</v>
      </c>
    </row>
    <row r="1841" spans="1:72">
      <c r="A1841" s="27">
        <f>IF(Data!$A1841="","",Data!$A1841)</f>
        <v>0</v>
      </c>
      <c r="B1841">
        <f>IF(Data!$B1841="","",Data!$B1841)</f>
        <v>0</v>
      </c>
      <c r="C1841">
        <f>IF(Data!$C1841="","",Data!$C1841)</f>
        <v>0</v>
      </c>
      <c r="D1841">
        <f>IF(Data!$D1841="","",Data!$D1841)</f>
        <v>0</v>
      </c>
      <c r="E1841">
        <f>IF(Data!$E1841="","",Data!$E1841)</f>
        <v>0</v>
      </c>
      <c r="F1841">
        <f>IF($E1841="","",N(F1840)+1)</f>
        <v>0</v>
      </c>
      <c r="G1841">
        <f>IF(OR($E1841="",$E1840=""),"",LN($E1841/$E1840))</f>
        <v>0</v>
      </c>
      <c r="H1841">
        <f>IF($E1841="","",IF($E1840="",$E1841,$E1841*0.0952380952+H1840*0.9047619048))</f>
        <v>0</v>
      </c>
      <c r="I1841">
        <f>IF($E1841="","",IF($E1840="",$E1841,$E1841*0.0392156863+I1840*0.9607843137))</f>
        <v>0</v>
      </c>
      <c r="J1841">
        <f>IF($E1841="","",IF($E1840="",$E1841,$E1841*0.0198019802+J1840*0.9801980198))</f>
        <v>0</v>
      </c>
      <c r="K1841">
        <f>IF($E1841="","",IF($E1840="",$E1841,$E1841*0.0099502488+K1840*0.9900497512))</f>
        <v>0</v>
      </c>
      <c r="L1841">
        <f>IF(OR($E1841="",$E1840=""),"",MAX($E1841-$E1840,0))</f>
        <v>0</v>
      </c>
      <c r="M1841">
        <f>IF(OR($E1841="",$E1840=""),"",MAX($E1840-$E1841,0))</f>
        <v>0</v>
      </c>
      <c r="N1841">
        <f>IF(COUNT($E$2:$E1841)&lt;15,"",IF(AVERAGE($M$1828:$M$1841)=0,100,100-100/(1+AVERAGE($L$1828:$L$1841)/AVERAGE($M$1828:$M$1841))))</f>
        <v>0</v>
      </c>
      <c r="O1841">
        <f>IF($E1841="","",IF($E1840="",$E1841,$E1841*0.1538461538+O1840*0.8461538462))</f>
        <v>0</v>
      </c>
      <c r="P1841">
        <f>IF($E1841="","",IF($E1840="",$E1841,$E1841*0.0740740741+P1840*0.9259259259))</f>
        <v>0</v>
      </c>
      <c r="Q1841">
        <f>IF(OR(O1841="",P1841=""),"",O1841-P1841)</f>
        <v>0</v>
      </c>
      <c r="R1841">
        <f>IF(Q1841="","",IF(R1840="",Q1841,Q1841*0.2000000000+R1840*0.8000000000))</f>
        <v>0</v>
      </c>
      <c r="S1841">
        <f>IF(OR(Q1841="",R1841=""),"",Q1841-R1841)</f>
        <v>0</v>
      </c>
      <c r="T1841">
        <f>IF(COUNT($E$2:$E1841)&lt;14,"",MAX($C$1828:$C$1841))</f>
        <v>0</v>
      </c>
      <c r="U1841">
        <f>IF(COUNT($E$2:$E1841)&lt;14,"",MIN($D$1828:$D$1841))</f>
        <v>0</v>
      </c>
      <c r="V1841">
        <f>IF(OR(T1841="",U1841="",T1841=U1841),"",100*($E1841-U1841)/(T1841-U1841))</f>
        <v>0</v>
      </c>
      <c r="W1841">
        <f>IF(COUNT($V$1839:$V$1841)&lt;3,"",AVERAGE($V$1839:$V$1841))</f>
        <v>0</v>
      </c>
      <c r="X1841">
        <f>IF(COUNT($N$1828:$N$1841)&lt;14,"",MIN($N$1828:$N$1841))</f>
        <v>0</v>
      </c>
      <c r="Y1841">
        <f>IF(COUNT($N$1828:$N$1841)&lt;14,"",MAX($N$1828:$N$1841))</f>
        <v>0</v>
      </c>
      <c r="Z1841">
        <f>IF(OR(N1841="",X1841="",Y1841="",Y1841=X1841),"",100*(N1841-X1841)/(Y1841-X1841))</f>
        <v>0</v>
      </c>
      <c r="AA1841">
        <f>IF(COUNT($Z$1839:$Z$1841)&lt;3,"",AVERAGE($Z$1839:$Z$1841))</f>
        <v>0</v>
      </c>
      <c r="AB1841">
        <f>IF(COUNT($AA$1839:$AA$1841)&lt;3,"",AVERAGE($AA$1839:$AA$1841))</f>
        <v>0</v>
      </c>
      <c r="AC1841">
        <f>IF($E1841="","",MAX($C1841-$D1841,ABS($C1841-$E1840),ABS($D1841-$E1840)))</f>
        <v>0</v>
      </c>
      <c r="AD1841">
        <f>IF(COUNT($E$2:$E1841)&lt;15,"",AVERAGE($AC$1828:$AC$1841))</f>
        <v>0</v>
      </c>
      <c r="AE1841">
        <f>IF(OR($E1841="",$E1840=""),"",IF(AND(($C1841-$C1840)&gt;($D1840-$D1841),($C1841-$C1840)&gt;0),$C1841-$C1840,0))</f>
        <v>0</v>
      </c>
      <c r="AF1841">
        <f>IF(OR($E1841="",$E1840=""),"",IF(AND(($D1840-$D1841)&gt;($C1841-$C1840),($D1840-$D1841)&gt;0),$D1840-$D1841,0))</f>
        <v>0</v>
      </c>
      <c r="AG1841">
        <f>IF(COUNT($E$2:$E1841)&lt;15,"",IF(SUM($AC$1828:$AC$1841)=0,0,100*SUM($AE$1828:$AE$1841)/SUM($AC$1828:$AC$1841)))</f>
        <v>0</v>
      </c>
      <c r="AH1841">
        <f>IF(COUNT($E$2:$E1841)&lt;15,"",IF(SUM($AC$1828:$AC$1841)=0,0,100*SUM($AF$1828:$AF$1841)/SUM($AC$1828:$AC$1841)))</f>
        <v>0</v>
      </c>
      <c r="AI1841">
        <f>IF(OR(AG1841="",AH1841=""),"",IF((AG1841+AH1841)=0,0,100*ABS(AG1841-AH1841)/(AG1841+AH1841)))</f>
        <v>0</v>
      </c>
      <c r="AJ1841">
        <f>IF(COUNT($AI$1828:$AI$1841)&lt;14,"",AVERAGE($AI$1828:$AI$1841))</f>
        <v>0</v>
      </c>
      <c r="AK1841">
        <f>IF(COUNT($E$2:$E1841)&lt;20,"",AVERAGE($E$1822:$E$1841))</f>
        <v>0</v>
      </c>
      <c r="AL1841">
        <f>IF(COUNT($E$2:$E1841)&lt;20,"",STDEVP($E$1822:$E$1841))</f>
        <v>0</v>
      </c>
      <c r="AM1841">
        <f>IF(AK1841="","",AK1841+2*AL1841)</f>
        <v>0</v>
      </c>
      <c r="AN1841">
        <f>IF(AK1841="","",AK1841-2*AL1841)</f>
        <v>0</v>
      </c>
      <c r="AO1841">
        <f>IF(OR(AM1841="",AN1841="",AM1841=AN1841),"",($E1841-AN1841)/(AM1841-AN1841))</f>
        <v>0</v>
      </c>
      <c r="AP1841">
        <f>IF(OR(AM1841="",AK1841="",AK1841=0),"",(AM1841-AN1841)/AK1841)</f>
        <v>0</v>
      </c>
      <c r="AQ1841">
        <f>IF(COUNT($E$2:$E1841)&lt;20,"",MAX($C$1822:$C$1841))</f>
        <v>0</v>
      </c>
      <c r="AR1841">
        <f>IF(COUNT($E$2:$E1841)&lt;20,"",MIN($D$1822:$D$1841))</f>
        <v>0</v>
      </c>
      <c r="AS1841">
        <f>IF(OR(AQ1841="",AR1841=""),"",(AQ1841+AR1841)/2)</f>
        <v>0</v>
      </c>
      <c r="AT1841">
        <f>IF(COUNT($G$1822:$G$1841)&lt;20,"",STDEV($G$1822:$G$1841)*SQRT(252))</f>
        <v>0</v>
      </c>
      <c r="AU1841">
        <f>IF(COUNT($E$2:$E1841)&lt;9,"",(MAX($C$1833:$C$1841)+MIN($D$1833:$D$1841))/2)</f>
        <v>0</v>
      </c>
      <c r="AV1841">
        <f>IF(COUNT($E$2:$E1841)&lt;26,"",(MAX($C$1816:$C$1841)+MIN($D$1816:$D$1841))/2)</f>
        <v>0</v>
      </c>
      <c r="AW1841">
        <f>IF(OR(AU1841="",AV1841=""),"",(AU1841+AV1841)/2)</f>
        <v>0</v>
      </c>
      <c r="AX1841">
        <f>IF(COUNT($E$2:$E1841)&lt;52,"",(MAX($C$1790:$C$1841)+MIN($D$1790:$D$1841))/2)</f>
        <v>0</v>
      </c>
      <c r="AY1841">
        <f>IF(COUNT($E$2:$E1841)&lt;20,"",MAX($C$1742:$C$1841))</f>
        <v>0</v>
      </c>
      <c r="AZ1841">
        <f>IF(COUNT($E$2:$E1841)&lt;20,"",MIN($D$1742:$D$1841))</f>
        <v>0</v>
      </c>
      <c r="BA1841">
        <f>IF(COUNT($E$2:$E1841)&lt;20,"",SLOPE($E$1742:$E$1841,$F$1742:$F$1841))</f>
        <v>0</v>
      </c>
      <c r="BB1841">
        <f>IF(COUNT($E$2:$E1841)&lt;20,"",INTERCEPT($E$1742:$E$1841,$F$1742:$F$1841))</f>
        <v>0</v>
      </c>
      <c r="BC1841">
        <f>IF(OR(BA1841="",BB1841=""),"",BB1841+BA1841*F1841)</f>
        <v>0</v>
      </c>
      <c r="BD1841">
        <f>IF(COUNT($E$2:$E1841)&lt;20,"",STEYX($E$1742:$E$1841,$F$1742:$F$1841))</f>
        <v>0</v>
      </c>
      <c r="BE1841">
        <f>IF($E1841="","",IF(AND(COUNT($E$1842:$E$1845)&gt;=4,$C1841=MAX($C$1837:$C$1845)),$C1841,""))</f>
        <v>0</v>
      </c>
      <c r="BF1841">
        <f>IF($E1841="","",IF(AND(COUNT($E$1842:$E$1845)&gt;=4,$D1841=MIN($D$1837:$D$1845)),$D1841,""))</f>
        <v>0</v>
      </c>
      <c r="BG1841">
        <f>IF($A1841="","",$A1841-WEEKDAY($A1841,2)+1)</f>
        <v>0</v>
      </c>
      <c r="BH1841">
        <f>IF($A1841="","",IF($A1840="",1,IF(BG1841&lt;&gt;BG1840,1,0)))</f>
        <v>0</v>
      </c>
      <c r="BI1841">
        <f>IF($A1841="","",IF($A1842="",1,IF(BG1842&lt;&gt;BG1841,1,0)))</f>
        <v>0</v>
      </c>
      <c r="BJ1841">
        <f>IF($A1841="","",IF(BH1841=1,$B1841,BJ1840))</f>
        <v>0</v>
      </c>
      <c r="BK1841">
        <f>IF($A1841="","",IF(BH1841=1,$C1841,MAX($C1841,BK1840)))</f>
        <v>0</v>
      </c>
      <c r="BL1841">
        <f>IF($A1841="","",IF(BH1841=1,$D1841,MIN($D1841,BL1840)))</f>
        <v>0</v>
      </c>
      <c r="BM1841">
        <f>IF($A1841="","",IF(BI1841=1,F1841,""))</f>
        <v>0</v>
      </c>
      <c r="BN1841">
        <f>IF($A1841="","",DATE(YEAR($A1841),MONTH($A1841),1))</f>
        <v>0</v>
      </c>
      <c r="BO1841">
        <f>IF($A1841="","",IF($A1840="",1,IF(BN1841&lt;&gt;BN1840,1,0)))</f>
        <v>0</v>
      </c>
      <c r="BP1841">
        <f>IF($A1841="","",IF($A1842="",1,IF(BN1842&lt;&gt;BN1841,1,0)))</f>
        <v>0</v>
      </c>
      <c r="BQ1841">
        <f>IF($A1841="","",IF(BO1841=1,$B1841,BQ1840))</f>
        <v>0</v>
      </c>
      <c r="BR1841">
        <f>IF($A1841="","",IF(BO1841=1,$C1841,MAX($C1841,BR1840)))</f>
        <v>0</v>
      </c>
      <c r="BS1841">
        <f>IF($A1841="","",IF(BO1841=1,$D1841,MIN($D1841,BS1840)))</f>
        <v>0</v>
      </c>
      <c r="BT1841">
        <f>IF($A1841="","",IF(BP1841=1,F1841,""))</f>
        <v>0</v>
      </c>
    </row>
    <row r="1842" spans="1:72">
      <c r="A1842" s="27">
        <f>IF(Data!$A1842="","",Data!$A1842)</f>
        <v>0</v>
      </c>
      <c r="B1842">
        <f>IF(Data!$B1842="","",Data!$B1842)</f>
        <v>0</v>
      </c>
      <c r="C1842">
        <f>IF(Data!$C1842="","",Data!$C1842)</f>
        <v>0</v>
      </c>
      <c r="D1842">
        <f>IF(Data!$D1842="","",Data!$D1842)</f>
        <v>0</v>
      </c>
      <c r="E1842">
        <f>IF(Data!$E1842="","",Data!$E1842)</f>
        <v>0</v>
      </c>
      <c r="F1842">
        <f>IF($E1842="","",N(F1841)+1)</f>
        <v>0</v>
      </c>
      <c r="G1842">
        <f>IF(OR($E1842="",$E1841=""),"",LN($E1842/$E1841))</f>
        <v>0</v>
      </c>
      <c r="H1842">
        <f>IF($E1842="","",IF($E1841="",$E1842,$E1842*0.0952380952+H1841*0.9047619048))</f>
        <v>0</v>
      </c>
      <c r="I1842">
        <f>IF($E1842="","",IF($E1841="",$E1842,$E1842*0.0392156863+I1841*0.9607843137))</f>
        <v>0</v>
      </c>
      <c r="J1842">
        <f>IF($E1842="","",IF($E1841="",$E1842,$E1842*0.0198019802+J1841*0.9801980198))</f>
        <v>0</v>
      </c>
      <c r="K1842">
        <f>IF($E1842="","",IF($E1841="",$E1842,$E1842*0.0099502488+K1841*0.9900497512))</f>
        <v>0</v>
      </c>
      <c r="L1842">
        <f>IF(OR($E1842="",$E1841=""),"",MAX($E1842-$E1841,0))</f>
        <v>0</v>
      </c>
      <c r="M1842">
        <f>IF(OR($E1842="",$E1841=""),"",MAX($E1841-$E1842,0))</f>
        <v>0</v>
      </c>
      <c r="N1842">
        <f>IF(COUNT($E$2:$E1842)&lt;15,"",IF(AVERAGE($M$1829:$M$1842)=0,100,100-100/(1+AVERAGE($L$1829:$L$1842)/AVERAGE($M$1829:$M$1842))))</f>
        <v>0</v>
      </c>
      <c r="O1842">
        <f>IF($E1842="","",IF($E1841="",$E1842,$E1842*0.1538461538+O1841*0.8461538462))</f>
        <v>0</v>
      </c>
      <c r="P1842">
        <f>IF($E1842="","",IF($E1841="",$E1842,$E1842*0.0740740741+P1841*0.9259259259))</f>
        <v>0</v>
      </c>
      <c r="Q1842">
        <f>IF(OR(O1842="",P1842=""),"",O1842-P1842)</f>
        <v>0</v>
      </c>
      <c r="R1842">
        <f>IF(Q1842="","",IF(R1841="",Q1842,Q1842*0.2000000000+R1841*0.8000000000))</f>
        <v>0</v>
      </c>
      <c r="S1842">
        <f>IF(OR(Q1842="",R1842=""),"",Q1842-R1842)</f>
        <v>0</v>
      </c>
      <c r="T1842">
        <f>IF(COUNT($E$2:$E1842)&lt;14,"",MAX($C$1829:$C$1842))</f>
        <v>0</v>
      </c>
      <c r="U1842">
        <f>IF(COUNT($E$2:$E1842)&lt;14,"",MIN($D$1829:$D$1842))</f>
        <v>0</v>
      </c>
      <c r="V1842">
        <f>IF(OR(T1842="",U1842="",T1842=U1842),"",100*($E1842-U1842)/(T1842-U1842))</f>
        <v>0</v>
      </c>
      <c r="W1842">
        <f>IF(COUNT($V$1840:$V$1842)&lt;3,"",AVERAGE($V$1840:$V$1842))</f>
        <v>0</v>
      </c>
      <c r="X1842">
        <f>IF(COUNT($N$1829:$N$1842)&lt;14,"",MIN($N$1829:$N$1842))</f>
        <v>0</v>
      </c>
      <c r="Y1842">
        <f>IF(COUNT($N$1829:$N$1842)&lt;14,"",MAX($N$1829:$N$1842))</f>
        <v>0</v>
      </c>
      <c r="Z1842">
        <f>IF(OR(N1842="",X1842="",Y1842="",Y1842=X1842),"",100*(N1842-X1842)/(Y1842-X1842))</f>
        <v>0</v>
      </c>
      <c r="AA1842">
        <f>IF(COUNT($Z$1840:$Z$1842)&lt;3,"",AVERAGE($Z$1840:$Z$1842))</f>
        <v>0</v>
      </c>
      <c r="AB1842">
        <f>IF(COUNT($AA$1840:$AA$1842)&lt;3,"",AVERAGE($AA$1840:$AA$1842))</f>
        <v>0</v>
      </c>
      <c r="AC1842">
        <f>IF($E1842="","",MAX($C1842-$D1842,ABS($C1842-$E1841),ABS($D1842-$E1841)))</f>
        <v>0</v>
      </c>
      <c r="AD1842">
        <f>IF(COUNT($E$2:$E1842)&lt;15,"",AVERAGE($AC$1829:$AC$1842))</f>
        <v>0</v>
      </c>
      <c r="AE1842">
        <f>IF(OR($E1842="",$E1841=""),"",IF(AND(($C1842-$C1841)&gt;($D1841-$D1842),($C1842-$C1841)&gt;0),$C1842-$C1841,0))</f>
        <v>0</v>
      </c>
      <c r="AF1842">
        <f>IF(OR($E1842="",$E1841=""),"",IF(AND(($D1841-$D1842)&gt;($C1842-$C1841),($D1841-$D1842)&gt;0),$D1841-$D1842,0))</f>
        <v>0</v>
      </c>
      <c r="AG1842">
        <f>IF(COUNT($E$2:$E1842)&lt;15,"",IF(SUM($AC$1829:$AC$1842)=0,0,100*SUM($AE$1829:$AE$1842)/SUM($AC$1829:$AC$1842)))</f>
        <v>0</v>
      </c>
      <c r="AH1842">
        <f>IF(COUNT($E$2:$E1842)&lt;15,"",IF(SUM($AC$1829:$AC$1842)=0,0,100*SUM($AF$1829:$AF$1842)/SUM($AC$1829:$AC$1842)))</f>
        <v>0</v>
      </c>
      <c r="AI1842">
        <f>IF(OR(AG1842="",AH1842=""),"",IF((AG1842+AH1842)=0,0,100*ABS(AG1842-AH1842)/(AG1842+AH1842)))</f>
        <v>0</v>
      </c>
      <c r="AJ1842">
        <f>IF(COUNT($AI$1829:$AI$1842)&lt;14,"",AVERAGE($AI$1829:$AI$1842))</f>
        <v>0</v>
      </c>
      <c r="AK1842">
        <f>IF(COUNT($E$2:$E1842)&lt;20,"",AVERAGE($E$1823:$E$1842))</f>
        <v>0</v>
      </c>
      <c r="AL1842">
        <f>IF(COUNT($E$2:$E1842)&lt;20,"",STDEVP($E$1823:$E$1842))</f>
        <v>0</v>
      </c>
      <c r="AM1842">
        <f>IF(AK1842="","",AK1842+2*AL1842)</f>
        <v>0</v>
      </c>
      <c r="AN1842">
        <f>IF(AK1842="","",AK1842-2*AL1842)</f>
        <v>0</v>
      </c>
      <c r="AO1842">
        <f>IF(OR(AM1842="",AN1842="",AM1842=AN1842),"",($E1842-AN1842)/(AM1842-AN1842))</f>
        <v>0</v>
      </c>
      <c r="AP1842">
        <f>IF(OR(AM1842="",AK1842="",AK1842=0),"",(AM1842-AN1842)/AK1842)</f>
        <v>0</v>
      </c>
      <c r="AQ1842">
        <f>IF(COUNT($E$2:$E1842)&lt;20,"",MAX($C$1823:$C$1842))</f>
        <v>0</v>
      </c>
      <c r="AR1842">
        <f>IF(COUNT($E$2:$E1842)&lt;20,"",MIN($D$1823:$D$1842))</f>
        <v>0</v>
      </c>
      <c r="AS1842">
        <f>IF(OR(AQ1842="",AR1842=""),"",(AQ1842+AR1842)/2)</f>
        <v>0</v>
      </c>
      <c r="AT1842">
        <f>IF(COUNT($G$1823:$G$1842)&lt;20,"",STDEV($G$1823:$G$1842)*SQRT(252))</f>
        <v>0</v>
      </c>
      <c r="AU1842">
        <f>IF(COUNT($E$2:$E1842)&lt;9,"",(MAX($C$1834:$C$1842)+MIN($D$1834:$D$1842))/2)</f>
        <v>0</v>
      </c>
      <c r="AV1842">
        <f>IF(COUNT($E$2:$E1842)&lt;26,"",(MAX($C$1817:$C$1842)+MIN($D$1817:$D$1842))/2)</f>
        <v>0</v>
      </c>
      <c r="AW1842">
        <f>IF(OR(AU1842="",AV1842=""),"",(AU1842+AV1842)/2)</f>
        <v>0</v>
      </c>
      <c r="AX1842">
        <f>IF(COUNT($E$2:$E1842)&lt;52,"",(MAX($C$1791:$C$1842)+MIN($D$1791:$D$1842))/2)</f>
        <v>0</v>
      </c>
      <c r="AY1842">
        <f>IF(COUNT($E$2:$E1842)&lt;20,"",MAX($C$1743:$C$1842))</f>
        <v>0</v>
      </c>
      <c r="AZ1842">
        <f>IF(COUNT($E$2:$E1842)&lt;20,"",MIN($D$1743:$D$1842))</f>
        <v>0</v>
      </c>
      <c r="BA1842">
        <f>IF(COUNT($E$2:$E1842)&lt;20,"",SLOPE($E$1743:$E$1842,$F$1743:$F$1842))</f>
        <v>0</v>
      </c>
      <c r="BB1842">
        <f>IF(COUNT($E$2:$E1842)&lt;20,"",INTERCEPT($E$1743:$E$1842,$F$1743:$F$1842))</f>
        <v>0</v>
      </c>
      <c r="BC1842">
        <f>IF(OR(BA1842="",BB1842=""),"",BB1842+BA1842*F1842)</f>
        <v>0</v>
      </c>
      <c r="BD1842">
        <f>IF(COUNT($E$2:$E1842)&lt;20,"",STEYX($E$1743:$E$1842,$F$1743:$F$1842))</f>
        <v>0</v>
      </c>
      <c r="BE1842">
        <f>IF($E1842="","",IF(AND(COUNT($E$1843:$E$1846)&gt;=4,$C1842=MAX($C$1838:$C$1846)),$C1842,""))</f>
        <v>0</v>
      </c>
      <c r="BF1842">
        <f>IF($E1842="","",IF(AND(COUNT($E$1843:$E$1846)&gt;=4,$D1842=MIN($D$1838:$D$1846)),$D1842,""))</f>
        <v>0</v>
      </c>
      <c r="BG1842">
        <f>IF($A1842="","",$A1842-WEEKDAY($A1842,2)+1)</f>
        <v>0</v>
      </c>
      <c r="BH1842">
        <f>IF($A1842="","",IF($A1841="",1,IF(BG1842&lt;&gt;BG1841,1,0)))</f>
        <v>0</v>
      </c>
      <c r="BI1842">
        <f>IF($A1842="","",IF($A1843="",1,IF(BG1843&lt;&gt;BG1842,1,0)))</f>
        <v>0</v>
      </c>
      <c r="BJ1842">
        <f>IF($A1842="","",IF(BH1842=1,$B1842,BJ1841))</f>
        <v>0</v>
      </c>
      <c r="BK1842">
        <f>IF($A1842="","",IF(BH1842=1,$C1842,MAX($C1842,BK1841)))</f>
        <v>0</v>
      </c>
      <c r="BL1842">
        <f>IF($A1842="","",IF(BH1842=1,$D1842,MIN($D1842,BL1841)))</f>
        <v>0</v>
      </c>
      <c r="BM1842">
        <f>IF($A1842="","",IF(BI1842=1,F1842,""))</f>
        <v>0</v>
      </c>
      <c r="BN1842">
        <f>IF($A1842="","",DATE(YEAR($A1842),MONTH($A1842),1))</f>
        <v>0</v>
      </c>
      <c r="BO1842">
        <f>IF($A1842="","",IF($A1841="",1,IF(BN1842&lt;&gt;BN1841,1,0)))</f>
        <v>0</v>
      </c>
      <c r="BP1842">
        <f>IF($A1842="","",IF($A1843="",1,IF(BN1843&lt;&gt;BN1842,1,0)))</f>
        <v>0</v>
      </c>
      <c r="BQ1842">
        <f>IF($A1842="","",IF(BO1842=1,$B1842,BQ1841))</f>
        <v>0</v>
      </c>
      <c r="BR1842">
        <f>IF($A1842="","",IF(BO1842=1,$C1842,MAX($C1842,BR1841)))</f>
        <v>0</v>
      </c>
      <c r="BS1842">
        <f>IF($A1842="","",IF(BO1842=1,$D1842,MIN($D1842,BS1841)))</f>
        <v>0</v>
      </c>
      <c r="BT1842">
        <f>IF($A1842="","",IF(BP1842=1,F1842,""))</f>
        <v>0</v>
      </c>
    </row>
    <row r="1843" spans="1:72">
      <c r="A1843" s="27">
        <f>IF(Data!$A1843="","",Data!$A1843)</f>
        <v>0</v>
      </c>
      <c r="B1843">
        <f>IF(Data!$B1843="","",Data!$B1843)</f>
        <v>0</v>
      </c>
      <c r="C1843">
        <f>IF(Data!$C1843="","",Data!$C1843)</f>
        <v>0</v>
      </c>
      <c r="D1843">
        <f>IF(Data!$D1843="","",Data!$D1843)</f>
        <v>0</v>
      </c>
      <c r="E1843">
        <f>IF(Data!$E1843="","",Data!$E1843)</f>
        <v>0</v>
      </c>
      <c r="F1843">
        <f>IF($E1843="","",N(F1842)+1)</f>
        <v>0</v>
      </c>
      <c r="G1843">
        <f>IF(OR($E1843="",$E1842=""),"",LN($E1843/$E1842))</f>
        <v>0</v>
      </c>
      <c r="H1843">
        <f>IF($E1843="","",IF($E1842="",$E1843,$E1843*0.0952380952+H1842*0.9047619048))</f>
        <v>0</v>
      </c>
      <c r="I1843">
        <f>IF($E1843="","",IF($E1842="",$E1843,$E1843*0.0392156863+I1842*0.9607843137))</f>
        <v>0</v>
      </c>
      <c r="J1843">
        <f>IF($E1843="","",IF($E1842="",$E1843,$E1843*0.0198019802+J1842*0.9801980198))</f>
        <v>0</v>
      </c>
      <c r="K1843">
        <f>IF($E1843="","",IF($E1842="",$E1843,$E1843*0.0099502488+K1842*0.9900497512))</f>
        <v>0</v>
      </c>
      <c r="L1843">
        <f>IF(OR($E1843="",$E1842=""),"",MAX($E1843-$E1842,0))</f>
        <v>0</v>
      </c>
      <c r="M1843">
        <f>IF(OR($E1843="",$E1842=""),"",MAX($E1842-$E1843,0))</f>
        <v>0</v>
      </c>
      <c r="N1843">
        <f>IF(COUNT($E$2:$E1843)&lt;15,"",IF(AVERAGE($M$1830:$M$1843)=0,100,100-100/(1+AVERAGE($L$1830:$L$1843)/AVERAGE($M$1830:$M$1843))))</f>
        <v>0</v>
      </c>
      <c r="O1843">
        <f>IF($E1843="","",IF($E1842="",$E1843,$E1843*0.1538461538+O1842*0.8461538462))</f>
        <v>0</v>
      </c>
      <c r="P1843">
        <f>IF($E1843="","",IF($E1842="",$E1843,$E1843*0.0740740741+P1842*0.9259259259))</f>
        <v>0</v>
      </c>
      <c r="Q1843">
        <f>IF(OR(O1843="",P1843=""),"",O1843-P1843)</f>
        <v>0</v>
      </c>
      <c r="R1843">
        <f>IF(Q1843="","",IF(R1842="",Q1843,Q1843*0.2000000000+R1842*0.8000000000))</f>
        <v>0</v>
      </c>
      <c r="S1843">
        <f>IF(OR(Q1843="",R1843=""),"",Q1843-R1843)</f>
        <v>0</v>
      </c>
      <c r="T1843">
        <f>IF(COUNT($E$2:$E1843)&lt;14,"",MAX($C$1830:$C$1843))</f>
        <v>0</v>
      </c>
      <c r="U1843">
        <f>IF(COUNT($E$2:$E1843)&lt;14,"",MIN($D$1830:$D$1843))</f>
        <v>0</v>
      </c>
      <c r="V1843">
        <f>IF(OR(T1843="",U1843="",T1843=U1843),"",100*($E1843-U1843)/(T1843-U1843))</f>
        <v>0</v>
      </c>
      <c r="W1843">
        <f>IF(COUNT($V$1841:$V$1843)&lt;3,"",AVERAGE($V$1841:$V$1843))</f>
        <v>0</v>
      </c>
      <c r="X1843">
        <f>IF(COUNT($N$1830:$N$1843)&lt;14,"",MIN($N$1830:$N$1843))</f>
        <v>0</v>
      </c>
      <c r="Y1843">
        <f>IF(COUNT($N$1830:$N$1843)&lt;14,"",MAX($N$1830:$N$1843))</f>
        <v>0</v>
      </c>
      <c r="Z1843">
        <f>IF(OR(N1843="",X1843="",Y1843="",Y1843=X1843),"",100*(N1843-X1843)/(Y1843-X1843))</f>
        <v>0</v>
      </c>
      <c r="AA1843">
        <f>IF(COUNT($Z$1841:$Z$1843)&lt;3,"",AVERAGE($Z$1841:$Z$1843))</f>
        <v>0</v>
      </c>
      <c r="AB1843">
        <f>IF(COUNT($AA$1841:$AA$1843)&lt;3,"",AVERAGE($AA$1841:$AA$1843))</f>
        <v>0</v>
      </c>
      <c r="AC1843">
        <f>IF($E1843="","",MAX($C1843-$D1843,ABS($C1843-$E1842),ABS($D1843-$E1842)))</f>
        <v>0</v>
      </c>
      <c r="AD1843">
        <f>IF(COUNT($E$2:$E1843)&lt;15,"",AVERAGE($AC$1830:$AC$1843))</f>
        <v>0</v>
      </c>
      <c r="AE1843">
        <f>IF(OR($E1843="",$E1842=""),"",IF(AND(($C1843-$C1842)&gt;($D1842-$D1843),($C1843-$C1842)&gt;0),$C1843-$C1842,0))</f>
        <v>0</v>
      </c>
      <c r="AF1843">
        <f>IF(OR($E1843="",$E1842=""),"",IF(AND(($D1842-$D1843)&gt;($C1843-$C1842),($D1842-$D1843)&gt;0),$D1842-$D1843,0))</f>
        <v>0</v>
      </c>
      <c r="AG1843">
        <f>IF(COUNT($E$2:$E1843)&lt;15,"",IF(SUM($AC$1830:$AC$1843)=0,0,100*SUM($AE$1830:$AE$1843)/SUM($AC$1830:$AC$1843)))</f>
        <v>0</v>
      </c>
      <c r="AH1843">
        <f>IF(COUNT($E$2:$E1843)&lt;15,"",IF(SUM($AC$1830:$AC$1843)=0,0,100*SUM($AF$1830:$AF$1843)/SUM($AC$1830:$AC$1843)))</f>
        <v>0</v>
      </c>
      <c r="AI1843">
        <f>IF(OR(AG1843="",AH1843=""),"",IF((AG1843+AH1843)=0,0,100*ABS(AG1843-AH1843)/(AG1843+AH1843)))</f>
        <v>0</v>
      </c>
      <c r="AJ1843">
        <f>IF(COUNT($AI$1830:$AI$1843)&lt;14,"",AVERAGE($AI$1830:$AI$1843))</f>
        <v>0</v>
      </c>
      <c r="AK1843">
        <f>IF(COUNT($E$2:$E1843)&lt;20,"",AVERAGE($E$1824:$E$1843))</f>
        <v>0</v>
      </c>
      <c r="AL1843">
        <f>IF(COUNT($E$2:$E1843)&lt;20,"",STDEVP($E$1824:$E$1843))</f>
        <v>0</v>
      </c>
      <c r="AM1843">
        <f>IF(AK1843="","",AK1843+2*AL1843)</f>
        <v>0</v>
      </c>
      <c r="AN1843">
        <f>IF(AK1843="","",AK1843-2*AL1843)</f>
        <v>0</v>
      </c>
      <c r="AO1843">
        <f>IF(OR(AM1843="",AN1843="",AM1843=AN1843),"",($E1843-AN1843)/(AM1843-AN1843))</f>
        <v>0</v>
      </c>
      <c r="AP1843">
        <f>IF(OR(AM1843="",AK1843="",AK1843=0),"",(AM1843-AN1843)/AK1843)</f>
        <v>0</v>
      </c>
      <c r="AQ1843">
        <f>IF(COUNT($E$2:$E1843)&lt;20,"",MAX($C$1824:$C$1843))</f>
        <v>0</v>
      </c>
      <c r="AR1843">
        <f>IF(COUNT($E$2:$E1843)&lt;20,"",MIN($D$1824:$D$1843))</f>
        <v>0</v>
      </c>
      <c r="AS1843">
        <f>IF(OR(AQ1843="",AR1843=""),"",(AQ1843+AR1843)/2)</f>
        <v>0</v>
      </c>
      <c r="AT1843">
        <f>IF(COUNT($G$1824:$G$1843)&lt;20,"",STDEV($G$1824:$G$1843)*SQRT(252))</f>
        <v>0</v>
      </c>
      <c r="AU1843">
        <f>IF(COUNT($E$2:$E1843)&lt;9,"",(MAX($C$1835:$C$1843)+MIN($D$1835:$D$1843))/2)</f>
        <v>0</v>
      </c>
      <c r="AV1843">
        <f>IF(COUNT($E$2:$E1843)&lt;26,"",(MAX($C$1818:$C$1843)+MIN($D$1818:$D$1843))/2)</f>
        <v>0</v>
      </c>
      <c r="AW1843">
        <f>IF(OR(AU1843="",AV1843=""),"",(AU1843+AV1843)/2)</f>
        <v>0</v>
      </c>
      <c r="AX1843">
        <f>IF(COUNT($E$2:$E1843)&lt;52,"",(MAX($C$1792:$C$1843)+MIN($D$1792:$D$1843))/2)</f>
        <v>0</v>
      </c>
      <c r="AY1843">
        <f>IF(COUNT($E$2:$E1843)&lt;20,"",MAX($C$1744:$C$1843))</f>
        <v>0</v>
      </c>
      <c r="AZ1843">
        <f>IF(COUNT($E$2:$E1843)&lt;20,"",MIN($D$1744:$D$1843))</f>
        <v>0</v>
      </c>
      <c r="BA1843">
        <f>IF(COUNT($E$2:$E1843)&lt;20,"",SLOPE($E$1744:$E$1843,$F$1744:$F$1843))</f>
        <v>0</v>
      </c>
      <c r="BB1843">
        <f>IF(COUNT($E$2:$E1843)&lt;20,"",INTERCEPT($E$1744:$E$1843,$F$1744:$F$1843))</f>
        <v>0</v>
      </c>
      <c r="BC1843">
        <f>IF(OR(BA1843="",BB1843=""),"",BB1843+BA1843*F1843)</f>
        <v>0</v>
      </c>
      <c r="BD1843">
        <f>IF(COUNT($E$2:$E1843)&lt;20,"",STEYX($E$1744:$E$1843,$F$1744:$F$1843))</f>
        <v>0</v>
      </c>
      <c r="BE1843">
        <f>IF($E1843="","",IF(AND(COUNT($E$1844:$E$1847)&gt;=4,$C1843=MAX($C$1839:$C$1847)),$C1843,""))</f>
        <v>0</v>
      </c>
      <c r="BF1843">
        <f>IF($E1843="","",IF(AND(COUNT($E$1844:$E$1847)&gt;=4,$D1843=MIN($D$1839:$D$1847)),$D1843,""))</f>
        <v>0</v>
      </c>
      <c r="BG1843">
        <f>IF($A1843="","",$A1843-WEEKDAY($A1843,2)+1)</f>
        <v>0</v>
      </c>
      <c r="BH1843">
        <f>IF($A1843="","",IF($A1842="",1,IF(BG1843&lt;&gt;BG1842,1,0)))</f>
        <v>0</v>
      </c>
      <c r="BI1843">
        <f>IF($A1843="","",IF($A1844="",1,IF(BG1844&lt;&gt;BG1843,1,0)))</f>
        <v>0</v>
      </c>
      <c r="BJ1843">
        <f>IF($A1843="","",IF(BH1843=1,$B1843,BJ1842))</f>
        <v>0</v>
      </c>
      <c r="BK1843">
        <f>IF($A1843="","",IF(BH1843=1,$C1843,MAX($C1843,BK1842)))</f>
        <v>0</v>
      </c>
      <c r="BL1843">
        <f>IF($A1843="","",IF(BH1843=1,$D1843,MIN($D1843,BL1842)))</f>
        <v>0</v>
      </c>
      <c r="BM1843">
        <f>IF($A1843="","",IF(BI1843=1,F1843,""))</f>
        <v>0</v>
      </c>
      <c r="BN1843">
        <f>IF($A1843="","",DATE(YEAR($A1843),MONTH($A1843),1))</f>
        <v>0</v>
      </c>
      <c r="BO1843">
        <f>IF($A1843="","",IF($A1842="",1,IF(BN1843&lt;&gt;BN1842,1,0)))</f>
        <v>0</v>
      </c>
      <c r="BP1843">
        <f>IF($A1843="","",IF($A1844="",1,IF(BN1844&lt;&gt;BN1843,1,0)))</f>
        <v>0</v>
      </c>
      <c r="BQ1843">
        <f>IF($A1843="","",IF(BO1843=1,$B1843,BQ1842))</f>
        <v>0</v>
      </c>
      <c r="BR1843">
        <f>IF($A1843="","",IF(BO1843=1,$C1843,MAX($C1843,BR1842)))</f>
        <v>0</v>
      </c>
      <c r="BS1843">
        <f>IF($A1843="","",IF(BO1843=1,$D1843,MIN($D1843,BS1842)))</f>
        <v>0</v>
      </c>
      <c r="BT1843">
        <f>IF($A1843="","",IF(BP1843=1,F1843,""))</f>
        <v>0</v>
      </c>
    </row>
    <row r="1844" spans="1:72">
      <c r="A1844" s="27">
        <f>IF(Data!$A1844="","",Data!$A1844)</f>
        <v>0</v>
      </c>
      <c r="B1844">
        <f>IF(Data!$B1844="","",Data!$B1844)</f>
        <v>0</v>
      </c>
      <c r="C1844">
        <f>IF(Data!$C1844="","",Data!$C1844)</f>
        <v>0</v>
      </c>
      <c r="D1844">
        <f>IF(Data!$D1844="","",Data!$D1844)</f>
        <v>0</v>
      </c>
      <c r="E1844">
        <f>IF(Data!$E1844="","",Data!$E1844)</f>
        <v>0</v>
      </c>
      <c r="F1844">
        <f>IF($E1844="","",N(F1843)+1)</f>
        <v>0</v>
      </c>
      <c r="G1844">
        <f>IF(OR($E1844="",$E1843=""),"",LN($E1844/$E1843))</f>
        <v>0</v>
      </c>
      <c r="H1844">
        <f>IF($E1844="","",IF($E1843="",$E1844,$E1844*0.0952380952+H1843*0.9047619048))</f>
        <v>0</v>
      </c>
      <c r="I1844">
        <f>IF($E1844="","",IF($E1843="",$E1844,$E1844*0.0392156863+I1843*0.9607843137))</f>
        <v>0</v>
      </c>
      <c r="J1844">
        <f>IF($E1844="","",IF($E1843="",$E1844,$E1844*0.0198019802+J1843*0.9801980198))</f>
        <v>0</v>
      </c>
      <c r="K1844">
        <f>IF($E1844="","",IF($E1843="",$E1844,$E1844*0.0099502488+K1843*0.9900497512))</f>
        <v>0</v>
      </c>
      <c r="L1844">
        <f>IF(OR($E1844="",$E1843=""),"",MAX($E1844-$E1843,0))</f>
        <v>0</v>
      </c>
      <c r="M1844">
        <f>IF(OR($E1844="",$E1843=""),"",MAX($E1843-$E1844,0))</f>
        <v>0</v>
      </c>
      <c r="N1844">
        <f>IF(COUNT($E$2:$E1844)&lt;15,"",IF(AVERAGE($M$1831:$M$1844)=0,100,100-100/(1+AVERAGE($L$1831:$L$1844)/AVERAGE($M$1831:$M$1844))))</f>
        <v>0</v>
      </c>
      <c r="O1844">
        <f>IF($E1844="","",IF($E1843="",$E1844,$E1844*0.1538461538+O1843*0.8461538462))</f>
        <v>0</v>
      </c>
      <c r="P1844">
        <f>IF($E1844="","",IF($E1843="",$E1844,$E1844*0.0740740741+P1843*0.9259259259))</f>
        <v>0</v>
      </c>
      <c r="Q1844">
        <f>IF(OR(O1844="",P1844=""),"",O1844-P1844)</f>
        <v>0</v>
      </c>
      <c r="R1844">
        <f>IF(Q1844="","",IF(R1843="",Q1844,Q1844*0.2000000000+R1843*0.8000000000))</f>
        <v>0</v>
      </c>
      <c r="S1844">
        <f>IF(OR(Q1844="",R1844=""),"",Q1844-R1844)</f>
        <v>0</v>
      </c>
      <c r="T1844">
        <f>IF(COUNT($E$2:$E1844)&lt;14,"",MAX($C$1831:$C$1844))</f>
        <v>0</v>
      </c>
      <c r="U1844">
        <f>IF(COUNT($E$2:$E1844)&lt;14,"",MIN($D$1831:$D$1844))</f>
        <v>0</v>
      </c>
      <c r="V1844">
        <f>IF(OR(T1844="",U1844="",T1844=U1844),"",100*($E1844-U1844)/(T1844-U1844))</f>
        <v>0</v>
      </c>
      <c r="W1844">
        <f>IF(COUNT($V$1842:$V$1844)&lt;3,"",AVERAGE($V$1842:$V$1844))</f>
        <v>0</v>
      </c>
      <c r="X1844">
        <f>IF(COUNT($N$1831:$N$1844)&lt;14,"",MIN($N$1831:$N$1844))</f>
        <v>0</v>
      </c>
      <c r="Y1844">
        <f>IF(COUNT($N$1831:$N$1844)&lt;14,"",MAX($N$1831:$N$1844))</f>
        <v>0</v>
      </c>
      <c r="Z1844">
        <f>IF(OR(N1844="",X1844="",Y1844="",Y1844=X1844),"",100*(N1844-X1844)/(Y1844-X1844))</f>
        <v>0</v>
      </c>
      <c r="AA1844">
        <f>IF(COUNT($Z$1842:$Z$1844)&lt;3,"",AVERAGE($Z$1842:$Z$1844))</f>
        <v>0</v>
      </c>
      <c r="AB1844">
        <f>IF(COUNT($AA$1842:$AA$1844)&lt;3,"",AVERAGE($AA$1842:$AA$1844))</f>
        <v>0</v>
      </c>
      <c r="AC1844">
        <f>IF($E1844="","",MAX($C1844-$D1844,ABS($C1844-$E1843),ABS($D1844-$E1843)))</f>
        <v>0</v>
      </c>
      <c r="AD1844">
        <f>IF(COUNT($E$2:$E1844)&lt;15,"",AVERAGE($AC$1831:$AC$1844))</f>
        <v>0</v>
      </c>
      <c r="AE1844">
        <f>IF(OR($E1844="",$E1843=""),"",IF(AND(($C1844-$C1843)&gt;($D1843-$D1844),($C1844-$C1843)&gt;0),$C1844-$C1843,0))</f>
        <v>0</v>
      </c>
      <c r="AF1844">
        <f>IF(OR($E1844="",$E1843=""),"",IF(AND(($D1843-$D1844)&gt;($C1844-$C1843),($D1843-$D1844)&gt;0),$D1843-$D1844,0))</f>
        <v>0</v>
      </c>
      <c r="AG1844">
        <f>IF(COUNT($E$2:$E1844)&lt;15,"",IF(SUM($AC$1831:$AC$1844)=0,0,100*SUM($AE$1831:$AE$1844)/SUM($AC$1831:$AC$1844)))</f>
        <v>0</v>
      </c>
      <c r="AH1844">
        <f>IF(COUNT($E$2:$E1844)&lt;15,"",IF(SUM($AC$1831:$AC$1844)=0,0,100*SUM($AF$1831:$AF$1844)/SUM($AC$1831:$AC$1844)))</f>
        <v>0</v>
      </c>
      <c r="AI1844">
        <f>IF(OR(AG1844="",AH1844=""),"",IF((AG1844+AH1844)=0,0,100*ABS(AG1844-AH1844)/(AG1844+AH1844)))</f>
        <v>0</v>
      </c>
      <c r="AJ1844">
        <f>IF(COUNT($AI$1831:$AI$1844)&lt;14,"",AVERAGE($AI$1831:$AI$1844))</f>
        <v>0</v>
      </c>
      <c r="AK1844">
        <f>IF(COUNT($E$2:$E1844)&lt;20,"",AVERAGE($E$1825:$E$1844))</f>
        <v>0</v>
      </c>
      <c r="AL1844">
        <f>IF(COUNT($E$2:$E1844)&lt;20,"",STDEVP($E$1825:$E$1844))</f>
        <v>0</v>
      </c>
      <c r="AM1844">
        <f>IF(AK1844="","",AK1844+2*AL1844)</f>
        <v>0</v>
      </c>
      <c r="AN1844">
        <f>IF(AK1844="","",AK1844-2*AL1844)</f>
        <v>0</v>
      </c>
      <c r="AO1844">
        <f>IF(OR(AM1844="",AN1844="",AM1844=AN1844),"",($E1844-AN1844)/(AM1844-AN1844))</f>
        <v>0</v>
      </c>
      <c r="AP1844">
        <f>IF(OR(AM1844="",AK1844="",AK1844=0),"",(AM1844-AN1844)/AK1844)</f>
        <v>0</v>
      </c>
      <c r="AQ1844">
        <f>IF(COUNT($E$2:$E1844)&lt;20,"",MAX($C$1825:$C$1844))</f>
        <v>0</v>
      </c>
      <c r="AR1844">
        <f>IF(COUNT($E$2:$E1844)&lt;20,"",MIN($D$1825:$D$1844))</f>
        <v>0</v>
      </c>
      <c r="AS1844">
        <f>IF(OR(AQ1844="",AR1844=""),"",(AQ1844+AR1844)/2)</f>
        <v>0</v>
      </c>
      <c r="AT1844">
        <f>IF(COUNT($G$1825:$G$1844)&lt;20,"",STDEV($G$1825:$G$1844)*SQRT(252))</f>
        <v>0</v>
      </c>
      <c r="AU1844">
        <f>IF(COUNT($E$2:$E1844)&lt;9,"",(MAX($C$1836:$C$1844)+MIN($D$1836:$D$1844))/2)</f>
        <v>0</v>
      </c>
      <c r="AV1844">
        <f>IF(COUNT($E$2:$E1844)&lt;26,"",(MAX($C$1819:$C$1844)+MIN($D$1819:$D$1844))/2)</f>
        <v>0</v>
      </c>
      <c r="AW1844">
        <f>IF(OR(AU1844="",AV1844=""),"",(AU1844+AV1844)/2)</f>
        <v>0</v>
      </c>
      <c r="AX1844">
        <f>IF(COUNT($E$2:$E1844)&lt;52,"",(MAX($C$1793:$C$1844)+MIN($D$1793:$D$1844))/2)</f>
        <v>0</v>
      </c>
      <c r="AY1844">
        <f>IF(COUNT($E$2:$E1844)&lt;20,"",MAX($C$1745:$C$1844))</f>
        <v>0</v>
      </c>
      <c r="AZ1844">
        <f>IF(COUNT($E$2:$E1844)&lt;20,"",MIN($D$1745:$D$1844))</f>
        <v>0</v>
      </c>
      <c r="BA1844">
        <f>IF(COUNT($E$2:$E1844)&lt;20,"",SLOPE($E$1745:$E$1844,$F$1745:$F$1844))</f>
        <v>0</v>
      </c>
      <c r="BB1844">
        <f>IF(COUNT($E$2:$E1844)&lt;20,"",INTERCEPT($E$1745:$E$1844,$F$1745:$F$1844))</f>
        <v>0</v>
      </c>
      <c r="BC1844">
        <f>IF(OR(BA1844="",BB1844=""),"",BB1844+BA1844*F1844)</f>
        <v>0</v>
      </c>
      <c r="BD1844">
        <f>IF(COUNT($E$2:$E1844)&lt;20,"",STEYX($E$1745:$E$1844,$F$1745:$F$1844))</f>
        <v>0</v>
      </c>
      <c r="BE1844">
        <f>IF($E1844="","",IF(AND(COUNT($E$1845:$E$1848)&gt;=4,$C1844=MAX($C$1840:$C$1848)),$C1844,""))</f>
        <v>0</v>
      </c>
      <c r="BF1844">
        <f>IF($E1844="","",IF(AND(COUNT($E$1845:$E$1848)&gt;=4,$D1844=MIN($D$1840:$D$1848)),$D1844,""))</f>
        <v>0</v>
      </c>
      <c r="BG1844">
        <f>IF($A1844="","",$A1844-WEEKDAY($A1844,2)+1)</f>
        <v>0</v>
      </c>
      <c r="BH1844">
        <f>IF($A1844="","",IF($A1843="",1,IF(BG1844&lt;&gt;BG1843,1,0)))</f>
        <v>0</v>
      </c>
      <c r="BI1844">
        <f>IF($A1844="","",IF($A1845="",1,IF(BG1845&lt;&gt;BG1844,1,0)))</f>
        <v>0</v>
      </c>
      <c r="BJ1844">
        <f>IF($A1844="","",IF(BH1844=1,$B1844,BJ1843))</f>
        <v>0</v>
      </c>
      <c r="BK1844">
        <f>IF($A1844="","",IF(BH1844=1,$C1844,MAX($C1844,BK1843)))</f>
        <v>0</v>
      </c>
      <c r="BL1844">
        <f>IF($A1844="","",IF(BH1844=1,$D1844,MIN($D1844,BL1843)))</f>
        <v>0</v>
      </c>
      <c r="BM1844">
        <f>IF($A1844="","",IF(BI1844=1,F1844,""))</f>
        <v>0</v>
      </c>
      <c r="BN1844">
        <f>IF($A1844="","",DATE(YEAR($A1844),MONTH($A1844),1))</f>
        <v>0</v>
      </c>
      <c r="BO1844">
        <f>IF($A1844="","",IF($A1843="",1,IF(BN1844&lt;&gt;BN1843,1,0)))</f>
        <v>0</v>
      </c>
      <c r="BP1844">
        <f>IF($A1844="","",IF($A1845="",1,IF(BN1845&lt;&gt;BN1844,1,0)))</f>
        <v>0</v>
      </c>
      <c r="BQ1844">
        <f>IF($A1844="","",IF(BO1844=1,$B1844,BQ1843))</f>
        <v>0</v>
      </c>
      <c r="BR1844">
        <f>IF($A1844="","",IF(BO1844=1,$C1844,MAX($C1844,BR1843)))</f>
        <v>0</v>
      </c>
      <c r="BS1844">
        <f>IF($A1844="","",IF(BO1844=1,$D1844,MIN($D1844,BS1843)))</f>
        <v>0</v>
      </c>
      <c r="BT1844">
        <f>IF($A1844="","",IF(BP1844=1,F1844,""))</f>
        <v>0</v>
      </c>
    </row>
    <row r="1845" spans="1:72">
      <c r="A1845" s="27">
        <f>IF(Data!$A1845="","",Data!$A1845)</f>
        <v>0</v>
      </c>
      <c r="B1845">
        <f>IF(Data!$B1845="","",Data!$B1845)</f>
        <v>0</v>
      </c>
      <c r="C1845">
        <f>IF(Data!$C1845="","",Data!$C1845)</f>
        <v>0</v>
      </c>
      <c r="D1845">
        <f>IF(Data!$D1845="","",Data!$D1845)</f>
        <v>0</v>
      </c>
      <c r="E1845">
        <f>IF(Data!$E1845="","",Data!$E1845)</f>
        <v>0</v>
      </c>
      <c r="F1845">
        <f>IF($E1845="","",N(F1844)+1)</f>
        <v>0</v>
      </c>
      <c r="G1845">
        <f>IF(OR($E1845="",$E1844=""),"",LN($E1845/$E1844))</f>
        <v>0</v>
      </c>
      <c r="H1845">
        <f>IF($E1845="","",IF($E1844="",$E1845,$E1845*0.0952380952+H1844*0.9047619048))</f>
        <v>0</v>
      </c>
      <c r="I1845">
        <f>IF($E1845="","",IF($E1844="",$E1845,$E1845*0.0392156863+I1844*0.9607843137))</f>
        <v>0</v>
      </c>
      <c r="J1845">
        <f>IF($E1845="","",IF($E1844="",$E1845,$E1845*0.0198019802+J1844*0.9801980198))</f>
        <v>0</v>
      </c>
      <c r="K1845">
        <f>IF($E1845="","",IF($E1844="",$E1845,$E1845*0.0099502488+K1844*0.9900497512))</f>
        <v>0</v>
      </c>
      <c r="L1845">
        <f>IF(OR($E1845="",$E1844=""),"",MAX($E1845-$E1844,0))</f>
        <v>0</v>
      </c>
      <c r="M1845">
        <f>IF(OR($E1845="",$E1844=""),"",MAX($E1844-$E1845,0))</f>
        <v>0</v>
      </c>
      <c r="N1845">
        <f>IF(COUNT($E$2:$E1845)&lt;15,"",IF(AVERAGE($M$1832:$M$1845)=0,100,100-100/(1+AVERAGE($L$1832:$L$1845)/AVERAGE($M$1832:$M$1845))))</f>
        <v>0</v>
      </c>
      <c r="O1845">
        <f>IF($E1845="","",IF($E1844="",$E1845,$E1845*0.1538461538+O1844*0.8461538462))</f>
        <v>0</v>
      </c>
      <c r="P1845">
        <f>IF($E1845="","",IF($E1844="",$E1845,$E1845*0.0740740741+P1844*0.9259259259))</f>
        <v>0</v>
      </c>
      <c r="Q1845">
        <f>IF(OR(O1845="",P1845=""),"",O1845-P1845)</f>
        <v>0</v>
      </c>
      <c r="R1845">
        <f>IF(Q1845="","",IF(R1844="",Q1845,Q1845*0.2000000000+R1844*0.8000000000))</f>
        <v>0</v>
      </c>
      <c r="S1845">
        <f>IF(OR(Q1845="",R1845=""),"",Q1845-R1845)</f>
        <v>0</v>
      </c>
      <c r="T1845">
        <f>IF(COUNT($E$2:$E1845)&lt;14,"",MAX($C$1832:$C$1845))</f>
        <v>0</v>
      </c>
      <c r="U1845">
        <f>IF(COUNT($E$2:$E1845)&lt;14,"",MIN($D$1832:$D$1845))</f>
        <v>0</v>
      </c>
      <c r="V1845">
        <f>IF(OR(T1845="",U1845="",T1845=U1845),"",100*($E1845-U1845)/(T1845-U1845))</f>
        <v>0</v>
      </c>
      <c r="W1845">
        <f>IF(COUNT($V$1843:$V$1845)&lt;3,"",AVERAGE($V$1843:$V$1845))</f>
        <v>0</v>
      </c>
      <c r="X1845">
        <f>IF(COUNT($N$1832:$N$1845)&lt;14,"",MIN($N$1832:$N$1845))</f>
        <v>0</v>
      </c>
      <c r="Y1845">
        <f>IF(COUNT($N$1832:$N$1845)&lt;14,"",MAX($N$1832:$N$1845))</f>
        <v>0</v>
      </c>
      <c r="Z1845">
        <f>IF(OR(N1845="",X1845="",Y1845="",Y1845=X1845),"",100*(N1845-X1845)/(Y1845-X1845))</f>
        <v>0</v>
      </c>
      <c r="AA1845">
        <f>IF(COUNT($Z$1843:$Z$1845)&lt;3,"",AVERAGE($Z$1843:$Z$1845))</f>
        <v>0</v>
      </c>
      <c r="AB1845">
        <f>IF(COUNT($AA$1843:$AA$1845)&lt;3,"",AVERAGE($AA$1843:$AA$1845))</f>
        <v>0</v>
      </c>
      <c r="AC1845">
        <f>IF($E1845="","",MAX($C1845-$D1845,ABS($C1845-$E1844),ABS($D1845-$E1844)))</f>
        <v>0</v>
      </c>
      <c r="AD1845">
        <f>IF(COUNT($E$2:$E1845)&lt;15,"",AVERAGE($AC$1832:$AC$1845))</f>
        <v>0</v>
      </c>
      <c r="AE1845">
        <f>IF(OR($E1845="",$E1844=""),"",IF(AND(($C1845-$C1844)&gt;($D1844-$D1845),($C1845-$C1844)&gt;0),$C1845-$C1844,0))</f>
        <v>0</v>
      </c>
      <c r="AF1845">
        <f>IF(OR($E1845="",$E1844=""),"",IF(AND(($D1844-$D1845)&gt;($C1845-$C1844),($D1844-$D1845)&gt;0),$D1844-$D1845,0))</f>
        <v>0</v>
      </c>
      <c r="AG1845">
        <f>IF(COUNT($E$2:$E1845)&lt;15,"",IF(SUM($AC$1832:$AC$1845)=0,0,100*SUM($AE$1832:$AE$1845)/SUM($AC$1832:$AC$1845)))</f>
        <v>0</v>
      </c>
      <c r="AH1845">
        <f>IF(COUNT($E$2:$E1845)&lt;15,"",IF(SUM($AC$1832:$AC$1845)=0,0,100*SUM($AF$1832:$AF$1845)/SUM($AC$1832:$AC$1845)))</f>
        <v>0</v>
      </c>
      <c r="AI1845">
        <f>IF(OR(AG1845="",AH1845=""),"",IF((AG1845+AH1845)=0,0,100*ABS(AG1845-AH1845)/(AG1845+AH1845)))</f>
        <v>0</v>
      </c>
      <c r="AJ1845">
        <f>IF(COUNT($AI$1832:$AI$1845)&lt;14,"",AVERAGE($AI$1832:$AI$1845))</f>
        <v>0</v>
      </c>
      <c r="AK1845">
        <f>IF(COUNT($E$2:$E1845)&lt;20,"",AVERAGE($E$1826:$E$1845))</f>
        <v>0</v>
      </c>
      <c r="AL1845">
        <f>IF(COUNT($E$2:$E1845)&lt;20,"",STDEVP($E$1826:$E$1845))</f>
        <v>0</v>
      </c>
      <c r="AM1845">
        <f>IF(AK1845="","",AK1845+2*AL1845)</f>
        <v>0</v>
      </c>
      <c r="AN1845">
        <f>IF(AK1845="","",AK1845-2*AL1845)</f>
        <v>0</v>
      </c>
      <c r="AO1845">
        <f>IF(OR(AM1845="",AN1845="",AM1845=AN1845),"",($E1845-AN1845)/(AM1845-AN1845))</f>
        <v>0</v>
      </c>
      <c r="AP1845">
        <f>IF(OR(AM1845="",AK1845="",AK1845=0),"",(AM1845-AN1845)/AK1845)</f>
        <v>0</v>
      </c>
      <c r="AQ1845">
        <f>IF(COUNT($E$2:$E1845)&lt;20,"",MAX($C$1826:$C$1845))</f>
        <v>0</v>
      </c>
      <c r="AR1845">
        <f>IF(COUNT($E$2:$E1845)&lt;20,"",MIN($D$1826:$D$1845))</f>
        <v>0</v>
      </c>
      <c r="AS1845">
        <f>IF(OR(AQ1845="",AR1845=""),"",(AQ1845+AR1845)/2)</f>
        <v>0</v>
      </c>
      <c r="AT1845">
        <f>IF(COUNT($G$1826:$G$1845)&lt;20,"",STDEV($G$1826:$G$1845)*SQRT(252))</f>
        <v>0</v>
      </c>
      <c r="AU1845">
        <f>IF(COUNT($E$2:$E1845)&lt;9,"",(MAX($C$1837:$C$1845)+MIN($D$1837:$D$1845))/2)</f>
        <v>0</v>
      </c>
      <c r="AV1845">
        <f>IF(COUNT($E$2:$E1845)&lt;26,"",(MAX($C$1820:$C$1845)+MIN($D$1820:$D$1845))/2)</f>
        <v>0</v>
      </c>
      <c r="AW1845">
        <f>IF(OR(AU1845="",AV1845=""),"",(AU1845+AV1845)/2)</f>
        <v>0</v>
      </c>
      <c r="AX1845">
        <f>IF(COUNT($E$2:$E1845)&lt;52,"",(MAX($C$1794:$C$1845)+MIN($D$1794:$D$1845))/2)</f>
        <v>0</v>
      </c>
      <c r="AY1845">
        <f>IF(COUNT($E$2:$E1845)&lt;20,"",MAX($C$1746:$C$1845))</f>
        <v>0</v>
      </c>
      <c r="AZ1845">
        <f>IF(COUNT($E$2:$E1845)&lt;20,"",MIN($D$1746:$D$1845))</f>
        <v>0</v>
      </c>
      <c r="BA1845">
        <f>IF(COUNT($E$2:$E1845)&lt;20,"",SLOPE($E$1746:$E$1845,$F$1746:$F$1845))</f>
        <v>0</v>
      </c>
      <c r="BB1845">
        <f>IF(COUNT($E$2:$E1845)&lt;20,"",INTERCEPT($E$1746:$E$1845,$F$1746:$F$1845))</f>
        <v>0</v>
      </c>
      <c r="BC1845">
        <f>IF(OR(BA1845="",BB1845=""),"",BB1845+BA1845*F1845)</f>
        <v>0</v>
      </c>
      <c r="BD1845">
        <f>IF(COUNT($E$2:$E1845)&lt;20,"",STEYX($E$1746:$E$1845,$F$1746:$F$1845))</f>
        <v>0</v>
      </c>
      <c r="BE1845">
        <f>IF($E1845="","",IF(AND(COUNT($E$1846:$E$1849)&gt;=4,$C1845=MAX($C$1841:$C$1849)),$C1845,""))</f>
        <v>0</v>
      </c>
      <c r="BF1845">
        <f>IF($E1845="","",IF(AND(COUNT($E$1846:$E$1849)&gt;=4,$D1845=MIN($D$1841:$D$1849)),$D1845,""))</f>
        <v>0</v>
      </c>
      <c r="BG1845">
        <f>IF($A1845="","",$A1845-WEEKDAY($A1845,2)+1)</f>
        <v>0</v>
      </c>
      <c r="BH1845">
        <f>IF($A1845="","",IF($A1844="",1,IF(BG1845&lt;&gt;BG1844,1,0)))</f>
        <v>0</v>
      </c>
      <c r="BI1845">
        <f>IF($A1845="","",IF($A1846="",1,IF(BG1846&lt;&gt;BG1845,1,0)))</f>
        <v>0</v>
      </c>
      <c r="BJ1845">
        <f>IF($A1845="","",IF(BH1845=1,$B1845,BJ1844))</f>
        <v>0</v>
      </c>
      <c r="BK1845">
        <f>IF($A1845="","",IF(BH1845=1,$C1845,MAX($C1845,BK1844)))</f>
        <v>0</v>
      </c>
      <c r="BL1845">
        <f>IF($A1845="","",IF(BH1845=1,$D1845,MIN($D1845,BL1844)))</f>
        <v>0</v>
      </c>
      <c r="BM1845">
        <f>IF($A1845="","",IF(BI1845=1,F1845,""))</f>
        <v>0</v>
      </c>
      <c r="BN1845">
        <f>IF($A1845="","",DATE(YEAR($A1845),MONTH($A1845),1))</f>
        <v>0</v>
      </c>
      <c r="BO1845">
        <f>IF($A1845="","",IF($A1844="",1,IF(BN1845&lt;&gt;BN1844,1,0)))</f>
        <v>0</v>
      </c>
      <c r="BP1845">
        <f>IF($A1845="","",IF($A1846="",1,IF(BN1846&lt;&gt;BN1845,1,0)))</f>
        <v>0</v>
      </c>
      <c r="BQ1845">
        <f>IF($A1845="","",IF(BO1845=1,$B1845,BQ1844))</f>
        <v>0</v>
      </c>
      <c r="BR1845">
        <f>IF($A1845="","",IF(BO1845=1,$C1845,MAX($C1845,BR1844)))</f>
        <v>0</v>
      </c>
      <c r="BS1845">
        <f>IF($A1845="","",IF(BO1845=1,$D1845,MIN($D1845,BS1844)))</f>
        <v>0</v>
      </c>
      <c r="BT1845">
        <f>IF($A1845="","",IF(BP1845=1,F1845,""))</f>
        <v>0</v>
      </c>
    </row>
    <row r="1846" spans="1:72">
      <c r="A1846" s="27">
        <f>IF(Data!$A1846="","",Data!$A1846)</f>
        <v>0</v>
      </c>
      <c r="B1846">
        <f>IF(Data!$B1846="","",Data!$B1846)</f>
        <v>0</v>
      </c>
      <c r="C1846">
        <f>IF(Data!$C1846="","",Data!$C1846)</f>
        <v>0</v>
      </c>
      <c r="D1846">
        <f>IF(Data!$D1846="","",Data!$D1846)</f>
        <v>0</v>
      </c>
      <c r="E1846">
        <f>IF(Data!$E1846="","",Data!$E1846)</f>
        <v>0</v>
      </c>
      <c r="F1846">
        <f>IF($E1846="","",N(F1845)+1)</f>
        <v>0</v>
      </c>
      <c r="G1846">
        <f>IF(OR($E1846="",$E1845=""),"",LN($E1846/$E1845))</f>
        <v>0</v>
      </c>
      <c r="H1846">
        <f>IF($E1846="","",IF($E1845="",$E1846,$E1846*0.0952380952+H1845*0.9047619048))</f>
        <v>0</v>
      </c>
      <c r="I1846">
        <f>IF($E1846="","",IF($E1845="",$E1846,$E1846*0.0392156863+I1845*0.9607843137))</f>
        <v>0</v>
      </c>
      <c r="J1846">
        <f>IF($E1846="","",IF($E1845="",$E1846,$E1846*0.0198019802+J1845*0.9801980198))</f>
        <v>0</v>
      </c>
      <c r="K1846">
        <f>IF($E1846="","",IF($E1845="",$E1846,$E1846*0.0099502488+K1845*0.9900497512))</f>
        <v>0</v>
      </c>
      <c r="L1846">
        <f>IF(OR($E1846="",$E1845=""),"",MAX($E1846-$E1845,0))</f>
        <v>0</v>
      </c>
      <c r="M1846">
        <f>IF(OR($E1846="",$E1845=""),"",MAX($E1845-$E1846,0))</f>
        <v>0</v>
      </c>
      <c r="N1846">
        <f>IF(COUNT($E$2:$E1846)&lt;15,"",IF(AVERAGE($M$1833:$M$1846)=0,100,100-100/(1+AVERAGE($L$1833:$L$1846)/AVERAGE($M$1833:$M$1846))))</f>
        <v>0</v>
      </c>
      <c r="O1846">
        <f>IF($E1846="","",IF($E1845="",$E1846,$E1846*0.1538461538+O1845*0.8461538462))</f>
        <v>0</v>
      </c>
      <c r="P1846">
        <f>IF($E1846="","",IF($E1845="",$E1846,$E1846*0.0740740741+P1845*0.9259259259))</f>
        <v>0</v>
      </c>
      <c r="Q1846">
        <f>IF(OR(O1846="",P1846=""),"",O1846-P1846)</f>
        <v>0</v>
      </c>
      <c r="R1846">
        <f>IF(Q1846="","",IF(R1845="",Q1846,Q1846*0.2000000000+R1845*0.8000000000))</f>
        <v>0</v>
      </c>
      <c r="S1846">
        <f>IF(OR(Q1846="",R1846=""),"",Q1846-R1846)</f>
        <v>0</v>
      </c>
      <c r="T1846">
        <f>IF(COUNT($E$2:$E1846)&lt;14,"",MAX($C$1833:$C$1846))</f>
        <v>0</v>
      </c>
      <c r="U1846">
        <f>IF(COUNT($E$2:$E1846)&lt;14,"",MIN($D$1833:$D$1846))</f>
        <v>0</v>
      </c>
      <c r="V1846">
        <f>IF(OR(T1846="",U1846="",T1846=U1846),"",100*($E1846-U1846)/(T1846-U1846))</f>
        <v>0</v>
      </c>
      <c r="W1846">
        <f>IF(COUNT($V$1844:$V$1846)&lt;3,"",AVERAGE($V$1844:$V$1846))</f>
        <v>0</v>
      </c>
      <c r="X1846">
        <f>IF(COUNT($N$1833:$N$1846)&lt;14,"",MIN($N$1833:$N$1846))</f>
        <v>0</v>
      </c>
      <c r="Y1846">
        <f>IF(COUNT($N$1833:$N$1846)&lt;14,"",MAX($N$1833:$N$1846))</f>
        <v>0</v>
      </c>
      <c r="Z1846">
        <f>IF(OR(N1846="",X1846="",Y1846="",Y1846=X1846),"",100*(N1846-X1846)/(Y1846-X1846))</f>
        <v>0</v>
      </c>
      <c r="AA1846">
        <f>IF(COUNT($Z$1844:$Z$1846)&lt;3,"",AVERAGE($Z$1844:$Z$1846))</f>
        <v>0</v>
      </c>
      <c r="AB1846">
        <f>IF(COUNT($AA$1844:$AA$1846)&lt;3,"",AVERAGE($AA$1844:$AA$1846))</f>
        <v>0</v>
      </c>
      <c r="AC1846">
        <f>IF($E1846="","",MAX($C1846-$D1846,ABS($C1846-$E1845),ABS($D1846-$E1845)))</f>
        <v>0</v>
      </c>
      <c r="AD1846">
        <f>IF(COUNT($E$2:$E1846)&lt;15,"",AVERAGE($AC$1833:$AC$1846))</f>
        <v>0</v>
      </c>
      <c r="AE1846">
        <f>IF(OR($E1846="",$E1845=""),"",IF(AND(($C1846-$C1845)&gt;($D1845-$D1846),($C1846-$C1845)&gt;0),$C1846-$C1845,0))</f>
        <v>0</v>
      </c>
      <c r="AF1846">
        <f>IF(OR($E1846="",$E1845=""),"",IF(AND(($D1845-$D1846)&gt;($C1846-$C1845),($D1845-$D1846)&gt;0),$D1845-$D1846,0))</f>
        <v>0</v>
      </c>
      <c r="AG1846">
        <f>IF(COUNT($E$2:$E1846)&lt;15,"",IF(SUM($AC$1833:$AC$1846)=0,0,100*SUM($AE$1833:$AE$1846)/SUM($AC$1833:$AC$1846)))</f>
        <v>0</v>
      </c>
      <c r="AH1846">
        <f>IF(COUNT($E$2:$E1846)&lt;15,"",IF(SUM($AC$1833:$AC$1846)=0,0,100*SUM($AF$1833:$AF$1846)/SUM($AC$1833:$AC$1846)))</f>
        <v>0</v>
      </c>
      <c r="AI1846">
        <f>IF(OR(AG1846="",AH1846=""),"",IF((AG1846+AH1846)=0,0,100*ABS(AG1846-AH1846)/(AG1846+AH1846)))</f>
        <v>0</v>
      </c>
      <c r="AJ1846">
        <f>IF(COUNT($AI$1833:$AI$1846)&lt;14,"",AVERAGE($AI$1833:$AI$1846))</f>
        <v>0</v>
      </c>
      <c r="AK1846">
        <f>IF(COUNT($E$2:$E1846)&lt;20,"",AVERAGE($E$1827:$E$1846))</f>
        <v>0</v>
      </c>
      <c r="AL1846">
        <f>IF(COUNT($E$2:$E1846)&lt;20,"",STDEVP($E$1827:$E$1846))</f>
        <v>0</v>
      </c>
      <c r="AM1846">
        <f>IF(AK1846="","",AK1846+2*AL1846)</f>
        <v>0</v>
      </c>
      <c r="AN1846">
        <f>IF(AK1846="","",AK1846-2*AL1846)</f>
        <v>0</v>
      </c>
      <c r="AO1846">
        <f>IF(OR(AM1846="",AN1846="",AM1846=AN1846),"",($E1846-AN1846)/(AM1846-AN1846))</f>
        <v>0</v>
      </c>
      <c r="AP1846">
        <f>IF(OR(AM1846="",AK1846="",AK1846=0),"",(AM1846-AN1846)/AK1846)</f>
        <v>0</v>
      </c>
      <c r="AQ1846">
        <f>IF(COUNT($E$2:$E1846)&lt;20,"",MAX($C$1827:$C$1846))</f>
        <v>0</v>
      </c>
      <c r="AR1846">
        <f>IF(COUNT($E$2:$E1846)&lt;20,"",MIN($D$1827:$D$1846))</f>
        <v>0</v>
      </c>
      <c r="AS1846">
        <f>IF(OR(AQ1846="",AR1846=""),"",(AQ1846+AR1846)/2)</f>
        <v>0</v>
      </c>
      <c r="AT1846">
        <f>IF(COUNT($G$1827:$G$1846)&lt;20,"",STDEV($G$1827:$G$1846)*SQRT(252))</f>
        <v>0</v>
      </c>
      <c r="AU1846">
        <f>IF(COUNT($E$2:$E1846)&lt;9,"",(MAX($C$1838:$C$1846)+MIN($D$1838:$D$1846))/2)</f>
        <v>0</v>
      </c>
      <c r="AV1846">
        <f>IF(COUNT($E$2:$E1846)&lt;26,"",(MAX($C$1821:$C$1846)+MIN($D$1821:$D$1846))/2)</f>
        <v>0</v>
      </c>
      <c r="AW1846">
        <f>IF(OR(AU1846="",AV1846=""),"",(AU1846+AV1846)/2)</f>
        <v>0</v>
      </c>
      <c r="AX1846">
        <f>IF(COUNT($E$2:$E1846)&lt;52,"",(MAX($C$1795:$C$1846)+MIN($D$1795:$D$1846))/2)</f>
        <v>0</v>
      </c>
      <c r="AY1846">
        <f>IF(COUNT($E$2:$E1846)&lt;20,"",MAX($C$1747:$C$1846))</f>
        <v>0</v>
      </c>
      <c r="AZ1846">
        <f>IF(COUNT($E$2:$E1846)&lt;20,"",MIN($D$1747:$D$1846))</f>
        <v>0</v>
      </c>
      <c r="BA1846">
        <f>IF(COUNT($E$2:$E1846)&lt;20,"",SLOPE($E$1747:$E$1846,$F$1747:$F$1846))</f>
        <v>0</v>
      </c>
      <c r="BB1846">
        <f>IF(COUNT($E$2:$E1846)&lt;20,"",INTERCEPT($E$1747:$E$1846,$F$1747:$F$1846))</f>
        <v>0</v>
      </c>
      <c r="BC1846">
        <f>IF(OR(BA1846="",BB1846=""),"",BB1846+BA1846*F1846)</f>
        <v>0</v>
      </c>
      <c r="BD1846">
        <f>IF(COUNT($E$2:$E1846)&lt;20,"",STEYX($E$1747:$E$1846,$F$1747:$F$1846))</f>
        <v>0</v>
      </c>
      <c r="BE1846">
        <f>IF($E1846="","",IF(AND(COUNT($E$1847:$E$1850)&gt;=4,$C1846=MAX($C$1842:$C$1850)),$C1846,""))</f>
        <v>0</v>
      </c>
      <c r="BF1846">
        <f>IF($E1846="","",IF(AND(COUNT($E$1847:$E$1850)&gt;=4,$D1846=MIN($D$1842:$D$1850)),$D1846,""))</f>
        <v>0</v>
      </c>
      <c r="BG1846">
        <f>IF($A1846="","",$A1846-WEEKDAY($A1846,2)+1)</f>
        <v>0</v>
      </c>
      <c r="BH1846">
        <f>IF($A1846="","",IF($A1845="",1,IF(BG1846&lt;&gt;BG1845,1,0)))</f>
        <v>0</v>
      </c>
      <c r="BI1846">
        <f>IF($A1846="","",IF($A1847="",1,IF(BG1847&lt;&gt;BG1846,1,0)))</f>
        <v>0</v>
      </c>
      <c r="BJ1846">
        <f>IF($A1846="","",IF(BH1846=1,$B1846,BJ1845))</f>
        <v>0</v>
      </c>
      <c r="BK1846">
        <f>IF($A1846="","",IF(BH1846=1,$C1846,MAX($C1846,BK1845)))</f>
        <v>0</v>
      </c>
      <c r="BL1846">
        <f>IF($A1846="","",IF(BH1846=1,$D1846,MIN($D1846,BL1845)))</f>
        <v>0</v>
      </c>
      <c r="BM1846">
        <f>IF($A1846="","",IF(BI1846=1,F1846,""))</f>
        <v>0</v>
      </c>
      <c r="BN1846">
        <f>IF($A1846="","",DATE(YEAR($A1846),MONTH($A1846),1))</f>
        <v>0</v>
      </c>
      <c r="BO1846">
        <f>IF($A1846="","",IF($A1845="",1,IF(BN1846&lt;&gt;BN1845,1,0)))</f>
        <v>0</v>
      </c>
      <c r="BP1846">
        <f>IF($A1846="","",IF($A1847="",1,IF(BN1847&lt;&gt;BN1846,1,0)))</f>
        <v>0</v>
      </c>
      <c r="BQ1846">
        <f>IF($A1846="","",IF(BO1846=1,$B1846,BQ1845))</f>
        <v>0</v>
      </c>
      <c r="BR1846">
        <f>IF($A1846="","",IF(BO1846=1,$C1846,MAX($C1846,BR1845)))</f>
        <v>0</v>
      </c>
      <c r="BS1846">
        <f>IF($A1846="","",IF(BO1846=1,$D1846,MIN($D1846,BS1845)))</f>
        <v>0</v>
      </c>
      <c r="BT1846">
        <f>IF($A1846="","",IF(BP1846=1,F1846,""))</f>
        <v>0</v>
      </c>
    </row>
    <row r="1847" spans="1:72">
      <c r="A1847" s="27">
        <f>IF(Data!$A1847="","",Data!$A1847)</f>
        <v>0</v>
      </c>
      <c r="B1847">
        <f>IF(Data!$B1847="","",Data!$B1847)</f>
        <v>0</v>
      </c>
      <c r="C1847">
        <f>IF(Data!$C1847="","",Data!$C1847)</f>
        <v>0</v>
      </c>
      <c r="D1847">
        <f>IF(Data!$D1847="","",Data!$D1847)</f>
        <v>0</v>
      </c>
      <c r="E1847">
        <f>IF(Data!$E1847="","",Data!$E1847)</f>
        <v>0</v>
      </c>
      <c r="F1847">
        <f>IF($E1847="","",N(F1846)+1)</f>
        <v>0</v>
      </c>
      <c r="G1847">
        <f>IF(OR($E1847="",$E1846=""),"",LN($E1847/$E1846))</f>
        <v>0</v>
      </c>
      <c r="H1847">
        <f>IF($E1847="","",IF($E1846="",$E1847,$E1847*0.0952380952+H1846*0.9047619048))</f>
        <v>0</v>
      </c>
      <c r="I1847">
        <f>IF($E1847="","",IF($E1846="",$E1847,$E1847*0.0392156863+I1846*0.9607843137))</f>
        <v>0</v>
      </c>
      <c r="J1847">
        <f>IF($E1847="","",IF($E1846="",$E1847,$E1847*0.0198019802+J1846*0.9801980198))</f>
        <v>0</v>
      </c>
      <c r="K1847">
        <f>IF($E1847="","",IF($E1846="",$E1847,$E1847*0.0099502488+K1846*0.9900497512))</f>
        <v>0</v>
      </c>
      <c r="L1847">
        <f>IF(OR($E1847="",$E1846=""),"",MAX($E1847-$E1846,0))</f>
        <v>0</v>
      </c>
      <c r="M1847">
        <f>IF(OR($E1847="",$E1846=""),"",MAX($E1846-$E1847,0))</f>
        <v>0</v>
      </c>
      <c r="N1847">
        <f>IF(COUNT($E$2:$E1847)&lt;15,"",IF(AVERAGE($M$1834:$M$1847)=0,100,100-100/(1+AVERAGE($L$1834:$L$1847)/AVERAGE($M$1834:$M$1847))))</f>
        <v>0</v>
      </c>
      <c r="O1847">
        <f>IF($E1847="","",IF($E1846="",$E1847,$E1847*0.1538461538+O1846*0.8461538462))</f>
        <v>0</v>
      </c>
      <c r="P1847">
        <f>IF($E1847="","",IF($E1846="",$E1847,$E1847*0.0740740741+P1846*0.9259259259))</f>
        <v>0</v>
      </c>
      <c r="Q1847">
        <f>IF(OR(O1847="",P1847=""),"",O1847-P1847)</f>
        <v>0</v>
      </c>
      <c r="R1847">
        <f>IF(Q1847="","",IF(R1846="",Q1847,Q1847*0.2000000000+R1846*0.8000000000))</f>
        <v>0</v>
      </c>
      <c r="S1847">
        <f>IF(OR(Q1847="",R1847=""),"",Q1847-R1847)</f>
        <v>0</v>
      </c>
      <c r="T1847">
        <f>IF(COUNT($E$2:$E1847)&lt;14,"",MAX($C$1834:$C$1847))</f>
        <v>0</v>
      </c>
      <c r="U1847">
        <f>IF(COUNT($E$2:$E1847)&lt;14,"",MIN($D$1834:$D$1847))</f>
        <v>0</v>
      </c>
      <c r="V1847">
        <f>IF(OR(T1847="",U1847="",T1847=U1847),"",100*($E1847-U1847)/(T1847-U1847))</f>
        <v>0</v>
      </c>
      <c r="W1847">
        <f>IF(COUNT($V$1845:$V$1847)&lt;3,"",AVERAGE($V$1845:$V$1847))</f>
        <v>0</v>
      </c>
      <c r="X1847">
        <f>IF(COUNT($N$1834:$N$1847)&lt;14,"",MIN($N$1834:$N$1847))</f>
        <v>0</v>
      </c>
      <c r="Y1847">
        <f>IF(COUNT($N$1834:$N$1847)&lt;14,"",MAX($N$1834:$N$1847))</f>
        <v>0</v>
      </c>
      <c r="Z1847">
        <f>IF(OR(N1847="",X1847="",Y1847="",Y1847=X1847),"",100*(N1847-X1847)/(Y1847-X1847))</f>
        <v>0</v>
      </c>
      <c r="AA1847">
        <f>IF(COUNT($Z$1845:$Z$1847)&lt;3,"",AVERAGE($Z$1845:$Z$1847))</f>
        <v>0</v>
      </c>
      <c r="AB1847">
        <f>IF(COUNT($AA$1845:$AA$1847)&lt;3,"",AVERAGE($AA$1845:$AA$1847))</f>
        <v>0</v>
      </c>
      <c r="AC1847">
        <f>IF($E1847="","",MAX($C1847-$D1847,ABS($C1847-$E1846),ABS($D1847-$E1846)))</f>
        <v>0</v>
      </c>
      <c r="AD1847">
        <f>IF(COUNT($E$2:$E1847)&lt;15,"",AVERAGE($AC$1834:$AC$1847))</f>
        <v>0</v>
      </c>
      <c r="AE1847">
        <f>IF(OR($E1847="",$E1846=""),"",IF(AND(($C1847-$C1846)&gt;($D1846-$D1847),($C1847-$C1846)&gt;0),$C1847-$C1846,0))</f>
        <v>0</v>
      </c>
      <c r="AF1847">
        <f>IF(OR($E1847="",$E1846=""),"",IF(AND(($D1846-$D1847)&gt;($C1847-$C1846),($D1846-$D1847)&gt;0),$D1846-$D1847,0))</f>
        <v>0</v>
      </c>
      <c r="AG1847">
        <f>IF(COUNT($E$2:$E1847)&lt;15,"",IF(SUM($AC$1834:$AC$1847)=0,0,100*SUM($AE$1834:$AE$1847)/SUM($AC$1834:$AC$1847)))</f>
        <v>0</v>
      </c>
      <c r="AH1847">
        <f>IF(COUNT($E$2:$E1847)&lt;15,"",IF(SUM($AC$1834:$AC$1847)=0,0,100*SUM($AF$1834:$AF$1847)/SUM($AC$1834:$AC$1847)))</f>
        <v>0</v>
      </c>
      <c r="AI1847">
        <f>IF(OR(AG1847="",AH1847=""),"",IF((AG1847+AH1847)=0,0,100*ABS(AG1847-AH1847)/(AG1847+AH1847)))</f>
        <v>0</v>
      </c>
      <c r="AJ1847">
        <f>IF(COUNT($AI$1834:$AI$1847)&lt;14,"",AVERAGE($AI$1834:$AI$1847))</f>
        <v>0</v>
      </c>
      <c r="AK1847">
        <f>IF(COUNT($E$2:$E1847)&lt;20,"",AVERAGE($E$1828:$E$1847))</f>
        <v>0</v>
      </c>
      <c r="AL1847">
        <f>IF(COUNT($E$2:$E1847)&lt;20,"",STDEVP($E$1828:$E$1847))</f>
        <v>0</v>
      </c>
      <c r="AM1847">
        <f>IF(AK1847="","",AK1847+2*AL1847)</f>
        <v>0</v>
      </c>
      <c r="AN1847">
        <f>IF(AK1847="","",AK1847-2*AL1847)</f>
        <v>0</v>
      </c>
      <c r="AO1847">
        <f>IF(OR(AM1847="",AN1847="",AM1847=AN1847),"",($E1847-AN1847)/(AM1847-AN1847))</f>
        <v>0</v>
      </c>
      <c r="AP1847">
        <f>IF(OR(AM1847="",AK1847="",AK1847=0),"",(AM1847-AN1847)/AK1847)</f>
        <v>0</v>
      </c>
      <c r="AQ1847">
        <f>IF(COUNT($E$2:$E1847)&lt;20,"",MAX($C$1828:$C$1847))</f>
        <v>0</v>
      </c>
      <c r="AR1847">
        <f>IF(COUNT($E$2:$E1847)&lt;20,"",MIN($D$1828:$D$1847))</f>
        <v>0</v>
      </c>
      <c r="AS1847">
        <f>IF(OR(AQ1847="",AR1847=""),"",(AQ1847+AR1847)/2)</f>
        <v>0</v>
      </c>
      <c r="AT1847">
        <f>IF(COUNT($G$1828:$G$1847)&lt;20,"",STDEV($G$1828:$G$1847)*SQRT(252))</f>
        <v>0</v>
      </c>
      <c r="AU1847">
        <f>IF(COUNT($E$2:$E1847)&lt;9,"",(MAX($C$1839:$C$1847)+MIN($D$1839:$D$1847))/2)</f>
        <v>0</v>
      </c>
      <c r="AV1847">
        <f>IF(COUNT($E$2:$E1847)&lt;26,"",(MAX($C$1822:$C$1847)+MIN($D$1822:$D$1847))/2)</f>
        <v>0</v>
      </c>
      <c r="AW1847">
        <f>IF(OR(AU1847="",AV1847=""),"",(AU1847+AV1847)/2)</f>
        <v>0</v>
      </c>
      <c r="AX1847">
        <f>IF(COUNT($E$2:$E1847)&lt;52,"",(MAX($C$1796:$C$1847)+MIN($D$1796:$D$1847))/2)</f>
        <v>0</v>
      </c>
      <c r="AY1847">
        <f>IF(COUNT($E$2:$E1847)&lt;20,"",MAX($C$1748:$C$1847))</f>
        <v>0</v>
      </c>
      <c r="AZ1847">
        <f>IF(COUNT($E$2:$E1847)&lt;20,"",MIN($D$1748:$D$1847))</f>
        <v>0</v>
      </c>
      <c r="BA1847">
        <f>IF(COUNT($E$2:$E1847)&lt;20,"",SLOPE($E$1748:$E$1847,$F$1748:$F$1847))</f>
        <v>0</v>
      </c>
      <c r="BB1847">
        <f>IF(COUNT($E$2:$E1847)&lt;20,"",INTERCEPT($E$1748:$E$1847,$F$1748:$F$1847))</f>
        <v>0</v>
      </c>
      <c r="BC1847">
        <f>IF(OR(BA1847="",BB1847=""),"",BB1847+BA1847*F1847)</f>
        <v>0</v>
      </c>
      <c r="BD1847">
        <f>IF(COUNT($E$2:$E1847)&lt;20,"",STEYX($E$1748:$E$1847,$F$1748:$F$1847))</f>
        <v>0</v>
      </c>
      <c r="BE1847">
        <f>IF($E1847="","",IF(AND(COUNT($E$1848:$E$1851)&gt;=4,$C1847=MAX($C$1843:$C$1851)),$C1847,""))</f>
        <v>0</v>
      </c>
      <c r="BF1847">
        <f>IF($E1847="","",IF(AND(COUNT($E$1848:$E$1851)&gt;=4,$D1847=MIN($D$1843:$D$1851)),$D1847,""))</f>
        <v>0</v>
      </c>
      <c r="BG1847">
        <f>IF($A1847="","",$A1847-WEEKDAY($A1847,2)+1)</f>
        <v>0</v>
      </c>
      <c r="BH1847">
        <f>IF($A1847="","",IF($A1846="",1,IF(BG1847&lt;&gt;BG1846,1,0)))</f>
        <v>0</v>
      </c>
      <c r="BI1847">
        <f>IF($A1847="","",IF($A1848="",1,IF(BG1848&lt;&gt;BG1847,1,0)))</f>
        <v>0</v>
      </c>
      <c r="BJ1847">
        <f>IF($A1847="","",IF(BH1847=1,$B1847,BJ1846))</f>
        <v>0</v>
      </c>
      <c r="BK1847">
        <f>IF($A1847="","",IF(BH1847=1,$C1847,MAX($C1847,BK1846)))</f>
        <v>0</v>
      </c>
      <c r="BL1847">
        <f>IF($A1847="","",IF(BH1847=1,$D1847,MIN($D1847,BL1846)))</f>
        <v>0</v>
      </c>
      <c r="BM1847">
        <f>IF($A1847="","",IF(BI1847=1,F1847,""))</f>
        <v>0</v>
      </c>
      <c r="BN1847">
        <f>IF($A1847="","",DATE(YEAR($A1847),MONTH($A1847),1))</f>
        <v>0</v>
      </c>
      <c r="BO1847">
        <f>IF($A1847="","",IF($A1846="",1,IF(BN1847&lt;&gt;BN1846,1,0)))</f>
        <v>0</v>
      </c>
      <c r="BP1847">
        <f>IF($A1847="","",IF($A1848="",1,IF(BN1848&lt;&gt;BN1847,1,0)))</f>
        <v>0</v>
      </c>
      <c r="BQ1847">
        <f>IF($A1847="","",IF(BO1847=1,$B1847,BQ1846))</f>
        <v>0</v>
      </c>
      <c r="BR1847">
        <f>IF($A1847="","",IF(BO1847=1,$C1847,MAX($C1847,BR1846)))</f>
        <v>0</v>
      </c>
      <c r="BS1847">
        <f>IF($A1847="","",IF(BO1847=1,$D1847,MIN($D1847,BS1846)))</f>
        <v>0</v>
      </c>
      <c r="BT1847">
        <f>IF($A1847="","",IF(BP1847=1,F1847,""))</f>
        <v>0</v>
      </c>
    </row>
    <row r="1848" spans="1:72">
      <c r="A1848" s="27">
        <f>IF(Data!$A1848="","",Data!$A1848)</f>
        <v>0</v>
      </c>
      <c r="B1848">
        <f>IF(Data!$B1848="","",Data!$B1848)</f>
        <v>0</v>
      </c>
      <c r="C1848">
        <f>IF(Data!$C1848="","",Data!$C1848)</f>
        <v>0</v>
      </c>
      <c r="D1848">
        <f>IF(Data!$D1848="","",Data!$D1848)</f>
        <v>0</v>
      </c>
      <c r="E1848">
        <f>IF(Data!$E1848="","",Data!$E1848)</f>
        <v>0</v>
      </c>
      <c r="F1848">
        <f>IF($E1848="","",N(F1847)+1)</f>
        <v>0</v>
      </c>
      <c r="G1848">
        <f>IF(OR($E1848="",$E1847=""),"",LN($E1848/$E1847))</f>
        <v>0</v>
      </c>
      <c r="H1848">
        <f>IF($E1848="","",IF($E1847="",$E1848,$E1848*0.0952380952+H1847*0.9047619048))</f>
        <v>0</v>
      </c>
      <c r="I1848">
        <f>IF($E1848="","",IF($E1847="",$E1848,$E1848*0.0392156863+I1847*0.9607843137))</f>
        <v>0</v>
      </c>
      <c r="J1848">
        <f>IF($E1848="","",IF($E1847="",$E1848,$E1848*0.0198019802+J1847*0.9801980198))</f>
        <v>0</v>
      </c>
      <c r="K1848">
        <f>IF($E1848="","",IF($E1847="",$E1848,$E1848*0.0099502488+K1847*0.9900497512))</f>
        <v>0</v>
      </c>
      <c r="L1848">
        <f>IF(OR($E1848="",$E1847=""),"",MAX($E1848-$E1847,0))</f>
        <v>0</v>
      </c>
      <c r="M1848">
        <f>IF(OR($E1848="",$E1847=""),"",MAX($E1847-$E1848,0))</f>
        <v>0</v>
      </c>
      <c r="N1848">
        <f>IF(COUNT($E$2:$E1848)&lt;15,"",IF(AVERAGE($M$1835:$M$1848)=0,100,100-100/(1+AVERAGE($L$1835:$L$1848)/AVERAGE($M$1835:$M$1848))))</f>
        <v>0</v>
      </c>
      <c r="O1848">
        <f>IF($E1848="","",IF($E1847="",$E1848,$E1848*0.1538461538+O1847*0.8461538462))</f>
        <v>0</v>
      </c>
      <c r="P1848">
        <f>IF($E1848="","",IF($E1847="",$E1848,$E1848*0.0740740741+P1847*0.9259259259))</f>
        <v>0</v>
      </c>
      <c r="Q1848">
        <f>IF(OR(O1848="",P1848=""),"",O1848-P1848)</f>
        <v>0</v>
      </c>
      <c r="R1848">
        <f>IF(Q1848="","",IF(R1847="",Q1848,Q1848*0.2000000000+R1847*0.8000000000))</f>
        <v>0</v>
      </c>
      <c r="S1848">
        <f>IF(OR(Q1848="",R1848=""),"",Q1848-R1848)</f>
        <v>0</v>
      </c>
      <c r="T1848">
        <f>IF(COUNT($E$2:$E1848)&lt;14,"",MAX($C$1835:$C$1848))</f>
        <v>0</v>
      </c>
      <c r="U1848">
        <f>IF(COUNT($E$2:$E1848)&lt;14,"",MIN($D$1835:$D$1848))</f>
        <v>0</v>
      </c>
      <c r="V1848">
        <f>IF(OR(T1848="",U1848="",T1848=U1848),"",100*($E1848-U1848)/(T1848-U1848))</f>
        <v>0</v>
      </c>
      <c r="W1848">
        <f>IF(COUNT($V$1846:$V$1848)&lt;3,"",AVERAGE($V$1846:$V$1848))</f>
        <v>0</v>
      </c>
      <c r="X1848">
        <f>IF(COUNT($N$1835:$N$1848)&lt;14,"",MIN($N$1835:$N$1848))</f>
        <v>0</v>
      </c>
      <c r="Y1848">
        <f>IF(COUNT($N$1835:$N$1848)&lt;14,"",MAX($N$1835:$N$1848))</f>
        <v>0</v>
      </c>
      <c r="Z1848">
        <f>IF(OR(N1848="",X1848="",Y1848="",Y1848=X1848),"",100*(N1848-X1848)/(Y1848-X1848))</f>
        <v>0</v>
      </c>
      <c r="AA1848">
        <f>IF(COUNT($Z$1846:$Z$1848)&lt;3,"",AVERAGE($Z$1846:$Z$1848))</f>
        <v>0</v>
      </c>
      <c r="AB1848">
        <f>IF(COUNT($AA$1846:$AA$1848)&lt;3,"",AVERAGE($AA$1846:$AA$1848))</f>
        <v>0</v>
      </c>
      <c r="AC1848">
        <f>IF($E1848="","",MAX($C1848-$D1848,ABS($C1848-$E1847),ABS($D1848-$E1847)))</f>
        <v>0</v>
      </c>
      <c r="AD1848">
        <f>IF(COUNT($E$2:$E1848)&lt;15,"",AVERAGE($AC$1835:$AC$1848))</f>
        <v>0</v>
      </c>
      <c r="AE1848">
        <f>IF(OR($E1848="",$E1847=""),"",IF(AND(($C1848-$C1847)&gt;($D1847-$D1848),($C1848-$C1847)&gt;0),$C1848-$C1847,0))</f>
        <v>0</v>
      </c>
      <c r="AF1848">
        <f>IF(OR($E1848="",$E1847=""),"",IF(AND(($D1847-$D1848)&gt;($C1848-$C1847),($D1847-$D1848)&gt;0),$D1847-$D1848,0))</f>
        <v>0</v>
      </c>
      <c r="AG1848">
        <f>IF(COUNT($E$2:$E1848)&lt;15,"",IF(SUM($AC$1835:$AC$1848)=0,0,100*SUM($AE$1835:$AE$1848)/SUM($AC$1835:$AC$1848)))</f>
        <v>0</v>
      </c>
      <c r="AH1848">
        <f>IF(COUNT($E$2:$E1848)&lt;15,"",IF(SUM($AC$1835:$AC$1848)=0,0,100*SUM($AF$1835:$AF$1848)/SUM($AC$1835:$AC$1848)))</f>
        <v>0</v>
      </c>
      <c r="AI1848">
        <f>IF(OR(AG1848="",AH1848=""),"",IF((AG1848+AH1848)=0,0,100*ABS(AG1848-AH1848)/(AG1848+AH1848)))</f>
        <v>0</v>
      </c>
      <c r="AJ1848">
        <f>IF(COUNT($AI$1835:$AI$1848)&lt;14,"",AVERAGE($AI$1835:$AI$1848))</f>
        <v>0</v>
      </c>
      <c r="AK1848">
        <f>IF(COUNT($E$2:$E1848)&lt;20,"",AVERAGE($E$1829:$E$1848))</f>
        <v>0</v>
      </c>
      <c r="AL1848">
        <f>IF(COUNT($E$2:$E1848)&lt;20,"",STDEVP($E$1829:$E$1848))</f>
        <v>0</v>
      </c>
      <c r="AM1848">
        <f>IF(AK1848="","",AK1848+2*AL1848)</f>
        <v>0</v>
      </c>
      <c r="AN1848">
        <f>IF(AK1848="","",AK1848-2*AL1848)</f>
        <v>0</v>
      </c>
      <c r="AO1848">
        <f>IF(OR(AM1848="",AN1848="",AM1848=AN1848),"",($E1848-AN1848)/(AM1848-AN1848))</f>
        <v>0</v>
      </c>
      <c r="AP1848">
        <f>IF(OR(AM1848="",AK1848="",AK1848=0),"",(AM1848-AN1848)/AK1848)</f>
        <v>0</v>
      </c>
      <c r="AQ1848">
        <f>IF(COUNT($E$2:$E1848)&lt;20,"",MAX($C$1829:$C$1848))</f>
        <v>0</v>
      </c>
      <c r="AR1848">
        <f>IF(COUNT($E$2:$E1848)&lt;20,"",MIN($D$1829:$D$1848))</f>
        <v>0</v>
      </c>
      <c r="AS1848">
        <f>IF(OR(AQ1848="",AR1848=""),"",(AQ1848+AR1848)/2)</f>
        <v>0</v>
      </c>
      <c r="AT1848">
        <f>IF(COUNT($G$1829:$G$1848)&lt;20,"",STDEV($G$1829:$G$1848)*SQRT(252))</f>
        <v>0</v>
      </c>
      <c r="AU1848">
        <f>IF(COUNT($E$2:$E1848)&lt;9,"",(MAX($C$1840:$C$1848)+MIN($D$1840:$D$1848))/2)</f>
        <v>0</v>
      </c>
      <c r="AV1848">
        <f>IF(COUNT($E$2:$E1848)&lt;26,"",(MAX($C$1823:$C$1848)+MIN($D$1823:$D$1848))/2)</f>
        <v>0</v>
      </c>
      <c r="AW1848">
        <f>IF(OR(AU1848="",AV1848=""),"",(AU1848+AV1848)/2)</f>
        <v>0</v>
      </c>
      <c r="AX1848">
        <f>IF(COUNT($E$2:$E1848)&lt;52,"",(MAX($C$1797:$C$1848)+MIN($D$1797:$D$1848))/2)</f>
        <v>0</v>
      </c>
      <c r="AY1848">
        <f>IF(COUNT($E$2:$E1848)&lt;20,"",MAX($C$1749:$C$1848))</f>
        <v>0</v>
      </c>
      <c r="AZ1848">
        <f>IF(COUNT($E$2:$E1848)&lt;20,"",MIN($D$1749:$D$1848))</f>
        <v>0</v>
      </c>
      <c r="BA1848">
        <f>IF(COUNT($E$2:$E1848)&lt;20,"",SLOPE($E$1749:$E$1848,$F$1749:$F$1848))</f>
        <v>0</v>
      </c>
      <c r="BB1848">
        <f>IF(COUNT($E$2:$E1848)&lt;20,"",INTERCEPT($E$1749:$E$1848,$F$1749:$F$1848))</f>
        <v>0</v>
      </c>
      <c r="BC1848">
        <f>IF(OR(BA1848="",BB1848=""),"",BB1848+BA1848*F1848)</f>
        <v>0</v>
      </c>
      <c r="BD1848">
        <f>IF(COUNT($E$2:$E1848)&lt;20,"",STEYX($E$1749:$E$1848,$F$1749:$F$1848))</f>
        <v>0</v>
      </c>
      <c r="BE1848">
        <f>IF($E1848="","",IF(AND(COUNT($E$1849:$E$1852)&gt;=4,$C1848=MAX($C$1844:$C$1852)),$C1848,""))</f>
        <v>0</v>
      </c>
      <c r="BF1848">
        <f>IF($E1848="","",IF(AND(COUNT($E$1849:$E$1852)&gt;=4,$D1848=MIN($D$1844:$D$1852)),$D1848,""))</f>
        <v>0</v>
      </c>
      <c r="BG1848">
        <f>IF($A1848="","",$A1848-WEEKDAY($A1848,2)+1)</f>
        <v>0</v>
      </c>
      <c r="BH1848">
        <f>IF($A1848="","",IF($A1847="",1,IF(BG1848&lt;&gt;BG1847,1,0)))</f>
        <v>0</v>
      </c>
      <c r="BI1848">
        <f>IF($A1848="","",IF($A1849="",1,IF(BG1849&lt;&gt;BG1848,1,0)))</f>
        <v>0</v>
      </c>
      <c r="BJ1848">
        <f>IF($A1848="","",IF(BH1848=1,$B1848,BJ1847))</f>
        <v>0</v>
      </c>
      <c r="BK1848">
        <f>IF($A1848="","",IF(BH1848=1,$C1848,MAX($C1848,BK1847)))</f>
        <v>0</v>
      </c>
      <c r="BL1848">
        <f>IF($A1848="","",IF(BH1848=1,$D1848,MIN($D1848,BL1847)))</f>
        <v>0</v>
      </c>
      <c r="BM1848">
        <f>IF($A1848="","",IF(BI1848=1,F1848,""))</f>
        <v>0</v>
      </c>
      <c r="BN1848">
        <f>IF($A1848="","",DATE(YEAR($A1848),MONTH($A1848),1))</f>
        <v>0</v>
      </c>
      <c r="BO1848">
        <f>IF($A1848="","",IF($A1847="",1,IF(BN1848&lt;&gt;BN1847,1,0)))</f>
        <v>0</v>
      </c>
      <c r="BP1848">
        <f>IF($A1848="","",IF($A1849="",1,IF(BN1849&lt;&gt;BN1848,1,0)))</f>
        <v>0</v>
      </c>
      <c r="BQ1848">
        <f>IF($A1848="","",IF(BO1848=1,$B1848,BQ1847))</f>
        <v>0</v>
      </c>
      <c r="BR1848">
        <f>IF($A1848="","",IF(BO1848=1,$C1848,MAX($C1848,BR1847)))</f>
        <v>0</v>
      </c>
      <c r="BS1848">
        <f>IF($A1848="","",IF(BO1848=1,$D1848,MIN($D1848,BS1847)))</f>
        <v>0</v>
      </c>
      <c r="BT1848">
        <f>IF($A1848="","",IF(BP1848=1,F1848,""))</f>
        <v>0</v>
      </c>
    </row>
    <row r="1849" spans="1:72">
      <c r="A1849" s="27">
        <f>IF(Data!$A1849="","",Data!$A1849)</f>
        <v>0</v>
      </c>
      <c r="B1849">
        <f>IF(Data!$B1849="","",Data!$B1849)</f>
        <v>0</v>
      </c>
      <c r="C1849">
        <f>IF(Data!$C1849="","",Data!$C1849)</f>
        <v>0</v>
      </c>
      <c r="D1849">
        <f>IF(Data!$D1849="","",Data!$D1849)</f>
        <v>0</v>
      </c>
      <c r="E1849">
        <f>IF(Data!$E1849="","",Data!$E1849)</f>
        <v>0</v>
      </c>
      <c r="F1849">
        <f>IF($E1849="","",N(F1848)+1)</f>
        <v>0</v>
      </c>
      <c r="G1849">
        <f>IF(OR($E1849="",$E1848=""),"",LN($E1849/$E1848))</f>
        <v>0</v>
      </c>
      <c r="H1849">
        <f>IF($E1849="","",IF($E1848="",$E1849,$E1849*0.0952380952+H1848*0.9047619048))</f>
        <v>0</v>
      </c>
      <c r="I1849">
        <f>IF($E1849="","",IF($E1848="",$E1849,$E1849*0.0392156863+I1848*0.9607843137))</f>
        <v>0</v>
      </c>
      <c r="J1849">
        <f>IF($E1849="","",IF($E1848="",$E1849,$E1849*0.0198019802+J1848*0.9801980198))</f>
        <v>0</v>
      </c>
      <c r="K1849">
        <f>IF($E1849="","",IF($E1848="",$E1849,$E1849*0.0099502488+K1848*0.9900497512))</f>
        <v>0</v>
      </c>
      <c r="L1849">
        <f>IF(OR($E1849="",$E1848=""),"",MAX($E1849-$E1848,0))</f>
        <v>0</v>
      </c>
      <c r="M1849">
        <f>IF(OR($E1849="",$E1848=""),"",MAX($E1848-$E1849,0))</f>
        <v>0</v>
      </c>
      <c r="N1849">
        <f>IF(COUNT($E$2:$E1849)&lt;15,"",IF(AVERAGE($M$1836:$M$1849)=0,100,100-100/(1+AVERAGE($L$1836:$L$1849)/AVERAGE($M$1836:$M$1849))))</f>
        <v>0</v>
      </c>
      <c r="O1849">
        <f>IF($E1849="","",IF($E1848="",$E1849,$E1849*0.1538461538+O1848*0.8461538462))</f>
        <v>0</v>
      </c>
      <c r="P1849">
        <f>IF($E1849="","",IF($E1848="",$E1849,$E1849*0.0740740741+P1848*0.9259259259))</f>
        <v>0</v>
      </c>
      <c r="Q1849">
        <f>IF(OR(O1849="",P1849=""),"",O1849-P1849)</f>
        <v>0</v>
      </c>
      <c r="R1849">
        <f>IF(Q1849="","",IF(R1848="",Q1849,Q1849*0.2000000000+R1848*0.8000000000))</f>
        <v>0</v>
      </c>
      <c r="S1849">
        <f>IF(OR(Q1849="",R1849=""),"",Q1849-R1849)</f>
        <v>0</v>
      </c>
      <c r="T1849">
        <f>IF(COUNT($E$2:$E1849)&lt;14,"",MAX($C$1836:$C$1849))</f>
        <v>0</v>
      </c>
      <c r="U1849">
        <f>IF(COUNT($E$2:$E1849)&lt;14,"",MIN($D$1836:$D$1849))</f>
        <v>0</v>
      </c>
      <c r="V1849">
        <f>IF(OR(T1849="",U1849="",T1849=U1849),"",100*($E1849-U1849)/(T1849-U1849))</f>
        <v>0</v>
      </c>
      <c r="W1849">
        <f>IF(COUNT($V$1847:$V$1849)&lt;3,"",AVERAGE($V$1847:$V$1849))</f>
        <v>0</v>
      </c>
      <c r="X1849">
        <f>IF(COUNT($N$1836:$N$1849)&lt;14,"",MIN($N$1836:$N$1849))</f>
        <v>0</v>
      </c>
      <c r="Y1849">
        <f>IF(COUNT($N$1836:$N$1849)&lt;14,"",MAX($N$1836:$N$1849))</f>
        <v>0</v>
      </c>
      <c r="Z1849">
        <f>IF(OR(N1849="",X1849="",Y1849="",Y1849=X1849),"",100*(N1849-X1849)/(Y1849-X1849))</f>
        <v>0</v>
      </c>
      <c r="AA1849">
        <f>IF(COUNT($Z$1847:$Z$1849)&lt;3,"",AVERAGE($Z$1847:$Z$1849))</f>
        <v>0</v>
      </c>
      <c r="AB1849">
        <f>IF(COUNT($AA$1847:$AA$1849)&lt;3,"",AVERAGE($AA$1847:$AA$1849))</f>
        <v>0</v>
      </c>
      <c r="AC1849">
        <f>IF($E1849="","",MAX($C1849-$D1849,ABS($C1849-$E1848),ABS($D1849-$E1848)))</f>
        <v>0</v>
      </c>
      <c r="AD1849">
        <f>IF(COUNT($E$2:$E1849)&lt;15,"",AVERAGE($AC$1836:$AC$1849))</f>
        <v>0</v>
      </c>
      <c r="AE1849">
        <f>IF(OR($E1849="",$E1848=""),"",IF(AND(($C1849-$C1848)&gt;($D1848-$D1849),($C1849-$C1848)&gt;0),$C1849-$C1848,0))</f>
        <v>0</v>
      </c>
      <c r="AF1849">
        <f>IF(OR($E1849="",$E1848=""),"",IF(AND(($D1848-$D1849)&gt;($C1849-$C1848),($D1848-$D1849)&gt;0),$D1848-$D1849,0))</f>
        <v>0</v>
      </c>
      <c r="AG1849">
        <f>IF(COUNT($E$2:$E1849)&lt;15,"",IF(SUM($AC$1836:$AC$1849)=0,0,100*SUM($AE$1836:$AE$1849)/SUM($AC$1836:$AC$1849)))</f>
        <v>0</v>
      </c>
      <c r="AH1849">
        <f>IF(COUNT($E$2:$E1849)&lt;15,"",IF(SUM($AC$1836:$AC$1849)=0,0,100*SUM($AF$1836:$AF$1849)/SUM($AC$1836:$AC$1849)))</f>
        <v>0</v>
      </c>
      <c r="AI1849">
        <f>IF(OR(AG1849="",AH1849=""),"",IF((AG1849+AH1849)=0,0,100*ABS(AG1849-AH1849)/(AG1849+AH1849)))</f>
        <v>0</v>
      </c>
      <c r="AJ1849">
        <f>IF(COUNT($AI$1836:$AI$1849)&lt;14,"",AVERAGE($AI$1836:$AI$1849))</f>
        <v>0</v>
      </c>
      <c r="AK1849">
        <f>IF(COUNT($E$2:$E1849)&lt;20,"",AVERAGE($E$1830:$E$1849))</f>
        <v>0</v>
      </c>
      <c r="AL1849">
        <f>IF(COUNT($E$2:$E1849)&lt;20,"",STDEVP($E$1830:$E$1849))</f>
        <v>0</v>
      </c>
      <c r="AM1849">
        <f>IF(AK1849="","",AK1849+2*AL1849)</f>
        <v>0</v>
      </c>
      <c r="AN1849">
        <f>IF(AK1849="","",AK1849-2*AL1849)</f>
        <v>0</v>
      </c>
      <c r="AO1849">
        <f>IF(OR(AM1849="",AN1849="",AM1849=AN1849),"",($E1849-AN1849)/(AM1849-AN1849))</f>
        <v>0</v>
      </c>
      <c r="AP1849">
        <f>IF(OR(AM1849="",AK1849="",AK1849=0),"",(AM1849-AN1849)/AK1849)</f>
        <v>0</v>
      </c>
      <c r="AQ1849">
        <f>IF(COUNT($E$2:$E1849)&lt;20,"",MAX($C$1830:$C$1849))</f>
        <v>0</v>
      </c>
      <c r="AR1849">
        <f>IF(COUNT($E$2:$E1849)&lt;20,"",MIN($D$1830:$D$1849))</f>
        <v>0</v>
      </c>
      <c r="AS1849">
        <f>IF(OR(AQ1849="",AR1849=""),"",(AQ1849+AR1849)/2)</f>
        <v>0</v>
      </c>
      <c r="AT1849">
        <f>IF(COUNT($G$1830:$G$1849)&lt;20,"",STDEV($G$1830:$G$1849)*SQRT(252))</f>
        <v>0</v>
      </c>
      <c r="AU1849">
        <f>IF(COUNT($E$2:$E1849)&lt;9,"",(MAX($C$1841:$C$1849)+MIN($D$1841:$D$1849))/2)</f>
        <v>0</v>
      </c>
      <c r="AV1849">
        <f>IF(COUNT($E$2:$E1849)&lt;26,"",(MAX($C$1824:$C$1849)+MIN($D$1824:$D$1849))/2)</f>
        <v>0</v>
      </c>
      <c r="AW1849">
        <f>IF(OR(AU1849="",AV1849=""),"",(AU1849+AV1849)/2)</f>
        <v>0</v>
      </c>
      <c r="AX1849">
        <f>IF(COUNT($E$2:$E1849)&lt;52,"",(MAX($C$1798:$C$1849)+MIN($D$1798:$D$1849))/2)</f>
        <v>0</v>
      </c>
      <c r="AY1849">
        <f>IF(COUNT($E$2:$E1849)&lt;20,"",MAX($C$1750:$C$1849))</f>
        <v>0</v>
      </c>
      <c r="AZ1849">
        <f>IF(COUNT($E$2:$E1849)&lt;20,"",MIN($D$1750:$D$1849))</f>
        <v>0</v>
      </c>
      <c r="BA1849">
        <f>IF(COUNT($E$2:$E1849)&lt;20,"",SLOPE($E$1750:$E$1849,$F$1750:$F$1849))</f>
        <v>0</v>
      </c>
      <c r="BB1849">
        <f>IF(COUNT($E$2:$E1849)&lt;20,"",INTERCEPT($E$1750:$E$1849,$F$1750:$F$1849))</f>
        <v>0</v>
      </c>
      <c r="BC1849">
        <f>IF(OR(BA1849="",BB1849=""),"",BB1849+BA1849*F1849)</f>
        <v>0</v>
      </c>
      <c r="BD1849">
        <f>IF(COUNT($E$2:$E1849)&lt;20,"",STEYX($E$1750:$E$1849,$F$1750:$F$1849))</f>
        <v>0</v>
      </c>
      <c r="BE1849">
        <f>IF($E1849="","",IF(AND(COUNT($E$1850:$E$1853)&gt;=4,$C1849=MAX($C$1845:$C$1853)),$C1849,""))</f>
        <v>0</v>
      </c>
      <c r="BF1849">
        <f>IF($E1849="","",IF(AND(COUNT($E$1850:$E$1853)&gt;=4,$D1849=MIN($D$1845:$D$1853)),$D1849,""))</f>
        <v>0</v>
      </c>
      <c r="BG1849">
        <f>IF($A1849="","",$A1849-WEEKDAY($A1849,2)+1)</f>
        <v>0</v>
      </c>
      <c r="BH1849">
        <f>IF($A1849="","",IF($A1848="",1,IF(BG1849&lt;&gt;BG1848,1,0)))</f>
        <v>0</v>
      </c>
      <c r="BI1849">
        <f>IF($A1849="","",IF($A1850="",1,IF(BG1850&lt;&gt;BG1849,1,0)))</f>
        <v>0</v>
      </c>
      <c r="BJ1849">
        <f>IF($A1849="","",IF(BH1849=1,$B1849,BJ1848))</f>
        <v>0</v>
      </c>
      <c r="BK1849">
        <f>IF($A1849="","",IF(BH1849=1,$C1849,MAX($C1849,BK1848)))</f>
        <v>0</v>
      </c>
      <c r="BL1849">
        <f>IF($A1849="","",IF(BH1849=1,$D1849,MIN($D1849,BL1848)))</f>
        <v>0</v>
      </c>
      <c r="BM1849">
        <f>IF($A1849="","",IF(BI1849=1,F1849,""))</f>
        <v>0</v>
      </c>
      <c r="BN1849">
        <f>IF($A1849="","",DATE(YEAR($A1849),MONTH($A1849),1))</f>
        <v>0</v>
      </c>
      <c r="BO1849">
        <f>IF($A1849="","",IF($A1848="",1,IF(BN1849&lt;&gt;BN1848,1,0)))</f>
        <v>0</v>
      </c>
      <c r="BP1849">
        <f>IF($A1849="","",IF($A1850="",1,IF(BN1850&lt;&gt;BN1849,1,0)))</f>
        <v>0</v>
      </c>
      <c r="BQ1849">
        <f>IF($A1849="","",IF(BO1849=1,$B1849,BQ1848))</f>
        <v>0</v>
      </c>
      <c r="BR1849">
        <f>IF($A1849="","",IF(BO1849=1,$C1849,MAX($C1849,BR1848)))</f>
        <v>0</v>
      </c>
      <c r="BS1849">
        <f>IF($A1849="","",IF(BO1849=1,$D1849,MIN($D1849,BS1848)))</f>
        <v>0</v>
      </c>
      <c r="BT1849">
        <f>IF($A1849="","",IF(BP1849=1,F1849,""))</f>
        <v>0</v>
      </c>
    </row>
    <row r="1850" spans="1:72">
      <c r="A1850" s="27">
        <f>IF(Data!$A1850="","",Data!$A1850)</f>
        <v>0</v>
      </c>
      <c r="B1850">
        <f>IF(Data!$B1850="","",Data!$B1850)</f>
        <v>0</v>
      </c>
      <c r="C1850">
        <f>IF(Data!$C1850="","",Data!$C1850)</f>
        <v>0</v>
      </c>
      <c r="D1850">
        <f>IF(Data!$D1850="","",Data!$D1850)</f>
        <v>0</v>
      </c>
      <c r="E1850">
        <f>IF(Data!$E1850="","",Data!$E1850)</f>
        <v>0</v>
      </c>
      <c r="F1850">
        <f>IF($E1850="","",N(F1849)+1)</f>
        <v>0</v>
      </c>
      <c r="G1850">
        <f>IF(OR($E1850="",$E1849=""),"",LN($E1850/$E1849))</f>
        <v>0</v>
      </c>
      <c r="H1850">
        <f>IF($E1850="","",IF($E1849="",$E1850,$E1850*0.0952380952+H1849*0.9047619048))</f>
        <v>0</v>
      </c>
      <c r="I1850">
        <f>IF($E1850="","",IF($E1849="",$E1850,$E1850*0.0392156863+I1849*0.9607843137))</f>
        <v>0</v>
      </c>
      <c r="J1850">
        <f>IF($E1850="","",IF($E1849="",$E1850,$E1850*0.0198019802+J1849*0.9801980198))</f>
        <v>0</v>
      </c>
      <c r="K1850">
        <f>IF($E1850="","",IF($E1849="",$E1850,$E1850*0.0099502488+K1849*0.9900497512))</f>
        <v>0</v>
      </c>
      <c r="L1850">
        <f>IF(OR($E1850="",$E1849=""),"",MAX($E1850-$E1849,0))</f>
        <v>0</v>
      </c>
      <c r="M1850">
        <f>IF(OR($E1850="",$E1849=""),"",MAX($E1849-$E1850,0))</f>
        <v>0</v>
      </c>
      <c r="N1850">
        <f>IF(COUNT($E$2:$E1850)&lt;15,"",IF(AVERAGE($M$1837:$M$1850)=0,100,100-100/(1+AVERAGE($L$1837:$L$1850)/AVERAGE($M$1837:$M$1850))))</f>
        <v>0</v>
      </c>
      <c r="O1850">
        <f>IF($E1850="","",IF($E1849="",$E1850,$E1850*0.1538461538+O1849*0.8461538462))</f>
        <v>0</v>
      </c>
      <c r="P1850">
        <f>IF($E1850="","",IF($E1849="",$E1850,$E1850*0.0740740741+P1849*0.9259259259))</f>
        <v>0</v>
      </c>
      <c r="Q1850">
        <f>IF(OR(O1850="",P1850=""),"",O1850-P1850)</f>
        <v>0</v>
      </c>
      <c r="R1850">
        <f>IF(Q1850="","",IF(R1849="",Q1850,Q1850*0.2000000000+R1849*0.8000000000))</f>
        <v>0</v>
      </c>
      <c r="S1850">
        <f>IF(OR(Q1850="",R1850=""),"",Q1850-R1850)</f>
        <v>0</v>
      </c>
      <c r="T1850">
        <f>IF(COUNT($E$2:$E1850)&lt;14,"",MAX($C$1837:$C$1850))</f>
        <v>0</v>
      </c>
      <c r="U1850">
        <f>IF(COUNT($E$2:$E1850)&lt;14,"",MIN($D$1837:$D$1850))</f>
        <v>0</v>
      </c>
      <c r="V1850">
        <f>IF(OR(T1850="",U1850="",T1850=U1850),"",100*($E1850-U1850)/(T1850-U1850))</f>
        <v>0</v>
      </c>
      <c r="W1850">
        <f>IF(COUNT($V$1848:$V$1850)&lt;3,"",AVERAGE($V$1848:$V$1850))</f>
        <v>0</v>
      </c>
      <c r="X1850">
        <f>IF(COUNT($N$1837:$N$1850)&lt;14,"",MIN($N$1837:$N$1850))</f>
        <v>0</v>
      </c>
      <c r="Y1850">
        <f>IF(COUNT($N$1837:$N$1850)&lt;14,"",MAX($N$1837:$N$1850))</f>
        <v>0</v>
      </c>
      <c r="Z1850">
        <f>IF(OR(N1850="",X1850="",Y1850="",Y1850=X1850),"",100*(N1850-X1850)/(Y1850-X1850))</f>
        <v>0</v>
      </c>
      <c r="AA1850">
        <f>IF(COUNT($Z$1848:$Z$1850)&lt;3,"",AVERAGE($Z$1848:$Z$1850))</f>
        <v>0</v>
      </c>
      <c r="AB1850">
        <f>IF(COUNT($AA$1848:$AA$1850)&lt;3,"",AVERAGE($AA$1848:$AA$1850))</f>
        <v>0</v>
      </c>
      <c r="AC1850">
        <f>IF($E1850="","",MAX($C1850-$D1850,ABS($C1850-$E1849),ABS($D1850-$E1849)))</f>
        <v>0</v>
      </c>
      <c r="AD1850">
        <f>IF(COUNT($E$2:$E1850)&lt;15,"",AVERAGE($AC$1837:$AC$1850))</f>
        <v>0</v>
      </c>
      <c r="AE1850">
        <f>IF(OR($E1850="",$E1849=""),"",IF(AND(($C1850-$C1849)&gt;($D1849-$D1850),($C1850-$C1849)&gt;0),$C1850-$C1849,0))</f>
        <v>0</v>
      </c>
      <c r="AF1850">
        <f>IF(OR($E1850="",$E1849=""),"",IF(AND(($D1849-$D1850)&gt;($C1850-$C1849),($D1849-$D1850)&gt;0),$D1849-$D1850,0))</f>
        <v>0</v>
      </c>
      <c r="AG1850">
        <f>IF(COUNT($E$2:$E1850)&lt;15,"",IF(SUM($AC$1837:$AC$1850)=0,0,100*SUM($AE$1837:$AE$1850)/SUM($AC$1837:$AC$1850)))</f>
        <v>0</v>
      </c>
      <c r="AH1850">
        <f>IF(COUNT($E$2:$E1850)&lt;15,"",IF(SUM($AC$1837:$AC$1850)=0,0,100*SUM($AF$1837:$AF$1850)/SUM($AC$1837:$AC$1850)))</f>
        <v>0</v>
      </c>
      <c r="AI1850">
        <f>IF(OR(AG1850="",AH1850=""),"",IF((AG1850+AH1850)=0,0,100*ABS(AG1850-AH1850)/(AG1850+AH1850)))</f>
        <v>0</v>
      </c>
      <c r="AJ1850">
        <f>IF(COUNT($AI$1837:$AI$1850)&lt;14,"",AVERAGE($AI$1837:$AI$1850))</f>
        <v>0</v>
      </c>
      <c r="AK1850">
        <f>IF(COUNT($E$2:$E1850)&lt;20,"",AVERAGE($E$1831:$E$1850))</f>
        <v>0</v>
      </c>
      <c r="AL1850">
        <f>IF(COUNT($E$2:$E1850)&lt;20,"",STDEVP($E$1831:$E$1850))</f>
        <v>0</v>
      </c>
      <c r="AM1850">
        <f>IF(AK1850="","",AK1850+2*AL1850)</f>
        <v>0</v>
      </c>
      <c r="AN1850">
        <f>IF(AK1850="","",AK1850-2*AL1850)</f>
        <v>0</v>
      </c>
      <c r="AO1850">
        <f>IF(OR(AM1850="",AN1850="",AM1850=AN1850),"",($E1850-AN1850)/(AM1850-AN1850))</f>
        <v>0</v>
      </c>
      <c r="AP1850">
        <f>IF(OR(AM1850="",AK1850="",AK1850=0),"",(AM1850-AN1850)/AK1850)</f>
        <v>0</v>
      </c>
      <c r="AQ1850">
        <f>IF(COUNT($E$2:$E1850)&lt;20,"",MAX($C$1831:$C$1850))</f>
        <v>0</v>
      </c>
      <c r="AR1850">
        <f>IF(COUNT($E$2:$E1850)&lt;20,"",MIN($D$1831:$D$1850))</f>
        <v>0</v>
      </c>
      <c r="AS1850">
        <f>IF(OR(AQ1850="",AR1850=""),"",(AQ1850+AR1850)/2)</f>
        <v>0</v>
      </c>
      <c r="AT1850">
        <f>IF(COUNT($G$1831:$G$1850)&lt;20,"",STDEV($G$1831:$G$1850)*SQRT(252))</f>
        <v>0</v>
      </c>
      <c r="AU1850">
        <f>IF(COUNT($E$2:$E1850)&lt;9,"",(MAX($C$1842:$C$1850)+MIN($D$1842:$D$1850))/2)</f>
        <v>0</v>
      </c>
      <c r="AV1850">
        <f>IF(COUNT($E$2:$E1850)&lt;26,"",(MAX($C$1825:$C$1850)+MIN($D$1825:$D$1850))/2)</f>
        <v>0</v>
      </c>
      <c r="AW1850">
        <f>IF(OR(AU1850="",AV1850=""),"",(AU1850+AV1850)/2)</f>
        <v>0</v>
      </c>
      <c r="AX1850">
        <f>IF(COUNT($E$2:$E1850)&lt;52,"",(MAX($C$1799:$C$1850)+MIN($D$1799:$D$1850))/2)</f>
        <v>0</v>
      </c>
      <c r="AY1850">
        <f>IF(COUNT($E$2:$E1850)&lt;20,"",MAX($C$1751:$C$1850))</f>
        <v>0</v>
      </c>
      <c r="AZ1850">
        <f>IF(COUNT($E$2:$E1850)&lt;20,"",MIN($D$1751:$D$1850))</f>
        <v>0</v>
      </c>
      <c r="BA1850">
        <f>IF(COUNT($E$2:$E1850)&lt;20,"",SLOPE($E$1751:$E$1850,$F$1751:$F$1850))</f>
        <v>0</v>
      </c>
      <c r="BB1850">
        <f>IF(COUNT($E$2:$E1850)&lt;20,"",INTERCEPT($E$1751:$E$1850,$F$1751:$F$1850))</f>
        <v>0</v>
      </c>
      <c r="BC1850">
        <f>IF(OR(BA1850="",BB1850=""),"",BB1850+BA1850*F1850)</f>
        <v>0</v>
      </c>
      <c r="BD1850">
        <f>IF(COUNT($E$2:$E1850)&lt;20,"",STEYX($E$1751:$E$1850,$F$1751:$F$1850))</f>
        <v>0</v>
      </c>
      <c r="BE1850">
        <f>IF($E1850="","",IF(AND(COUNT($E$1851:$E$1854)&gt;=4,$C1850=MAX($C$1846:$C$1854)),$C1850,""))</f>
        <v>0</v>
      </c>
      <c r="BF1850">
        <f>IF($E1850="","",IF(AND(COUNT($E$1851:$E$1854)&gt;=4,$D1850=MIN($D$1846:$D$1854)),$D1850,""))</f>
        <v>0</v>
      </c>
      <c r="BG1850">
        <f>IF($A1850="","",$A1850-WEEKDAY($A1850,2)+1)</f>
        <v>0</v>
      </c>
      <c r="BH1850">
        <f>IF($A1850="","",IF($A1849="",1,IF(BG1850&lt;&gt;BG1849,1,0)))</f>
        <v>0</v>
      </c>
      <c r="BI1850">
        <f>IF($A1850="","",IF($A1851="",1,IF(BG1851&lt;&gt;BG1850,1,0)))</f>
        <v>0</v>
      </c>
      <c r="BJ1850">
        <f>IF($A1850="","",IF(BH1850=1,$B1850,BJ1849))</f>
        <v>0</v>
      </c>
      <c r="BK1850">
        <f>IF($A1850="","",IF(BH1850=1,$C1850,MAX($C1850,BK1849)))</f>
        <v>0</v>
      </c>
      <c r="BL1850">
        <f>IF($A1850="","",IF(BH1850=1,$D1850,MIN($D1850,BL1849)))</f>
        <v>0</v>
      </c>
      <c r="BM1850">
        <f>IF($A1850="","",IF(BI1850=1,F1850,""))</f>
        <v>0</v>
      </c>
      <c r="BN1850">
        <f>IF($A1850="","",DATE(YEAR($A1850),MONTH($A1850),1))</f>
        <v>0</v>
      </c>
      <c r="BO1850">
        <f>IF($A1850="","",IF($A1849="",1,IF(BN1850&lt;&gt;BN1849,1,0)))</f>
        <v>0</v>
      </c>
      <c r="BP1850">
        <f>IF($A1850="","",IF($A1851="",1,IF(BN1851&lt;&gt;BN1850,1,0)))</f>
        <v>0</v>
      </c>
      <c r="BQ1850">
        <f>IF($A1850="","",IF(BO1850=1,$B1850,BQ1849))</f>
        <v>0</v>
      </c>
      <c r="BR1850">
        <f>IF($A1850="","",IF(BO1850=1,$C1850,MAX($C1850,BR1849)))</f>
        <v>0</v>
      </c>
      <c r="BS1850">
        <f>IF($A1850="","",IF(BO1850=1,$D1850,MIN($D1850,BS1849)))</f>
        <v>0</v>
      </c>
      <c r="BT1850">
        <f>IF($A1850="","",IF(BP1850=1,F1850,""))</f>
        <v>0</v>
      </c>
    </row>
    <row r="1851" spans="1:72">
      <c r="A1851" s="27">
        <f>IF(Data!$A1851="","",Data!$A1851)</f>
        <v>0</v>
      </c>
      <c r="B1851">
        <f>IF(Data!$B1851="","",Data!$B1851)</f>
        <v>0</v>
      </c>
      <c r="C1851">
        <f>IF(Data!$C1851="","",Data!$C1851)</f>
        <v>0</v>
      </c>
      <c r="D1851">
        <f>IF(Data!$D1851="","",Data!$D1851)</f>
        <v>0</v>
      </c>
      <c r="E1851">
        <f>IF(Data!$E1851="","",Data!$E1851)</f>
        <v>0</v>
      </c>
      <c r="F1851">
        <f>IF($E1851="","",N(F1850)+1)</f>
        <v>0</v>
      </c>
      <c r="G1851">
        <f>IF(OR($E1851="",$E1850=""),"",LN($E1851/$E1850))</f>
        <v>0</v>
      </c>
      <c r="H1851">
        <f>IF($E1851="","",IF($E1850="",$E1851,$E1851*0.0952380952+H1850*0.9047619048))</f>
        <v>0</v>
      </c>
      <c r="I1851">
        <f>IF($E1851="","",IF($E1850="",$E1851,$E1851*0.0392156863+I1850*0.9607843137))</f>
        <v>0</v>
      </c>
      <c r="J1851">
        <f>IF($E1851="","",IF($E1850="",$E1851,$E1851*0.0198019802+J1850*0.9801980198))</f>
        <v>0</v>
      </c>
      <c r="K1851">
        <f>IF($E1851="","",IF($E1850="",$E1851,$E1851*0.0099502488+K1850*0.9900497512))</f>
        <v>0</v>
      </c>
      <c r="L1851">
        <f>IF(OR($E1851="",$E1850=""),"",MAX($E1851-$E1850,0))</f>
        <v>0</v>
      </c>
      <c r="M1851">
        <f>IF(OR($E1851="",$E1850=""),"",MAX($E1850-$E1851,0))</f>
        <v>0</v>
      </c>
      <c r="N1851">
        <f>IF(COUNT($E$2:$E1851)&lt;15,"",IF(AVERAGE($M$1838:$M$1851)=0,100,100-100/(1+AVERAGE($L$1838:$L$1851)/AVERAGE($M$1838:$M$1851))))</f>
        <v>0</v>
      </c>
      <c r="O1851">
        <f>IF($E1851="","",IF($E1850="",$E1851,$E1851*0.1538461538+O1850*0.8461538462))</f>
        <v>0</v>
      </c>
      <c r="P1851">
        <f>IF($E1851="","",IF($E1850="",$E1851,$E1851*0.0740740741+P1850*0.9259259259))</f>
        <v>0</v>
      </c>
      <c r="Q1851">
        <f>IF(OR(O1851="",P1851=""),"",O1851-P1851)</f>
        <v>0</v>
      </c>
      <c r="R1851">
        <f>IF(Q1851="","",IF(R1850="",Q1851,Q1851*0.2000000000+R1850*0.8000000000))</f>
        <v>0</v>
      </c>
      <c r="S1851">
        <f>IF(OR(Q1851="",R1851=""),"",Q1851-R1851)</f>
        <v>0</v>
      </c>
      <c r="T1851">
        <f>IF(COUNT($E$2:$E1851)&lt;14,"",MAX($C$1838:$C$1851))</f>
        <v>0</v>
      </c>
      <c r="U1851">
        <f>IF(COUNT($E$2:$E1851)&lt;14,"",MIN($D$1838:$D$1851))</f>
        <v>0</v>
      </c>
      <c r="V1851">
        <f>IF(OR(T1851="",U1851="",T1851=U1851),"",100*($E1851-U1851)/(T1851-U1851))</f>
        <v>0</v>
      </c>
      <c r="W1851">
        <f>IF(COUNT($V$1849:$V$1851)&lt;3,"",AVERAGE($V$1849:$V$1851))</f>
        <v>0</v>
      </c>
      <c r="X1851">
        <f>IF(COUNT($N$1838:$N$1851)&lt;14,"",MIN($N$1838:$N$1851))</f>
        <v>0</v>
      </c>
      <c r="Y1851">
        <f>IF(COUNT($N$1838:$N$1851)&lt;14,"",MAX($N$1838:$N$1851))</f>
        <v>0</v>
      </c>
      <c r="Z1851">
        <f>IF(OR(N1851="",X1851="",Y1851="",Y1851=X1851),"",100*(N1851-X1851)/(Y1851-X1851))</f>
        <v>0</v>
      </c>
      <c r="AA1851">
        <f>IF(COUNT($Z$1849:$Z$1851)&lt;3,"",AVERAGE($Z$1849:$Z$1851))</f>
        <v>0</v>
      </c>
      <c r="AB1851">
        <f>IF(COUNT($AA$1849:$AA$1851)&lt;3,"",AVERAGE($AA$1849:$AA$1851))</f>
        <v>0</v>
      </c>
      <c r="AC1851">
        <f>IF($E1851="","",MAX($C1851-$D1851,ABS($C1851-$E1850),ABS($D1851-$E1850)))</f>
        <v>0</v>
      </c>
      <c r="AD1851">
        <f>IF(COUNT($E$2:$E1851)&lt;15,"",AVERAGE($AC$1838:$AC$1851))</f>
        <v>0</v>
      </c>
      <c r="AE1851">
        <f>IF(OR($E1851="",$E1850=""),"",IF(AND(($C1851-$C1850)&gt;($D1850-$D1851),($C1851-$C1850)&gt;0),$C1851-$C1850,0))</f>
        <v>0</v>
      </c>
      <c r="AF1851">
        <f>IF(OR($E1851="",$E1850=""),"",IF(AND(($D1850-$D1851)&gt;($C1851-$C1850),($D1850-$D1851)&gt;0),$D1850-$D1851,0))</f>
        <v>0</v>
      </c>
      <c r="AG1851">
        <f>IF(COUNT($E$2:$E1851)&lt;15,"",IF(SUM($AC$1838:$AC$1851)=0,0,100*SUM($AE$1838:$AE$1851)/SUM($AC$1838:$AC$1851)))</f>
        <v>0</v>
      </c>
      <c r="AH1851">
        <f>IF(COUNT($E$2:$E1851)&lt;15,"",IF(SUM($AC$1838:$AC$1851)=0,0,100*SUM($AF$1838:$AF$1851)/SUM($AC$1838:$AC$1851)))</f>
        <v>0</v>
      </c>
      <c r="AI1851">
        <f>IF(OR(AG1851="",AH1851=""),"",IF((AG1851+AH1851)=0,0,100*ABS(AG1851-AH1851)/(AG1851+AH1851)))</f>
        <v>0</v>
      </c>
      <c r="AJ1851">
        <f>IF(COUNT($AI$1838:$AI$1851)&lt;14,"",AVERAGE($AI$1838:$AI$1851))</f>
        <v>0</v>
      </c>
      <c r="AK1851">
        <f>IF(COUNT($E$2:$E1851)&lt;20,"",AVERAGE($E$1832:$E$1851))</f>
        <v>0</v>
      </c>
      <c r="AL1851">
        <f>IF(COUNT($E$2:$E1851)&lt;20,"",STDEVP($E$1832:$E$1851))</f>
        <v>0</v>
      </c>
      <c r="AM1851">
        <f>IF(AK1851="","",AK1851+2*AL1851)</f>
        <v>0</v>
      </c>
      <c r="AN1851">
        <f>IF(AK1851="","",AK1851-2*AL1851)</f>
        <v>0</v>
      </c>
      <c r="AO1851">
        <f>IF(OR(AM1851="",AN1851="",AM1851=AN1851),"",($E1851-AN1851)/(AM1851-AN1851))</f>
        <v>0</v>
      </c>
      <c r="AP1851">
        <f>IF(OR(AM1851="",AK1851="",AK1851=0),"",(AM1851-AN1851)/AK1851)</f>
        <v>0</v>
      </c>
      <c r="AQ1851">
        <f>IF(COUNT($E$2:$E1851)&lt;20,"",MAX($C$1832:$C$1851))</f>
        <v>0</v>
      </c>
      <c r="AR1851">
        <f>IF(COUNT($E$2:$E1851)&lt;20,"",MIN($D$1832:$D$1851))</f>
        <v>0</v>
      </c>
      <c r="AS1851">
        <f>IF(OR(AQ1851="",AR1851=""),"",(AQ1851+AR1851)/2)</f>
        <v>0</v>
      </c>
      <c r="AT1851">
        <f>IF(COUNT($G$1832:$G$1851)&lt;20,"",STDEV($G$1832:$G$1851)*SQRT(252))</f>
        <v>0</v>
      </c>
      <c r="AU1851">
        <f>IF(COUNT($E$2:$E1851)&lt;9,"",(MAX($C$1843:$C$1851)+MIN($D$1843:$D$1851))/2)</f>
        <v>0</v>
      </c>
      <c r="AV1851">
        <f>IF(COUNT($E$2:$E1851)&lt;26,"",(MAX($C$1826:$C$1851)+MIN($D$1826:$D$1851))/2)</f>
        <v>0</v>
      </c>
      <c r="AW1851">
        <f>IF(OR(AU1851="",AV1851=""),"",(AU1851+AV1851)/2)</f>
        <v>0</v>
      </c>
      <c r="AX1851">
        <f>IF(COUNT($E$2:$E1851)&lt;52,"",(MAX($C$1800:$C$1851)+MIN($D$1800:$D$1851))/2)</f>
        <v>0</v>
      </c>
      <c r="AY1851">
        <f>IF(COUNT($E$2:$E1851)&lt;20,"",MAX($C$1752:$C$1851))</f>
        <v>0</v>
      </c>
      <c r="AZ1851">
        <f>IF(COUNT($E$2:$E1851)&lt;20,"",MIN($D$1752:$D$1851))</f>
        <v>0</v>
      </c>
      <c r="BA1851">
        <f>IF(COUNT($E$2:$E1851)&lt;20,"",SLOPE($E$1752:$E$1851,$F$1752:$F$1851))</f>
        <v>0</v>
      </c>
      <c r="BB1851">
        <f>IF(COUNT($E$2:$E1851)&lt;20,"",INTERCEPT($E$1752:$E$1851,$F$1752:$F$1851))</f>
        <v>0</v>
      </c>
      <c r="BC1851">
        <f>IF(OR(BA1851="",BB1851=""),"",BB1851+BA1851*F1851)</f>
        <v>0</v>
      </c>
      <c r="BD1851">
        <f>IF(COUNT($E$2:$E1851)&lt;20,"",STEYX($E$1752:$E$1851,$F$1752:$F$1851))</f>
        <v>0</v>
      </c>
      <c r="BE1851">
        <f>IF($E1851="","",IF(AND(COUNT($E$1852:$E$1855)&gt;=4,$C1851=MAX($C$1847:$C$1855)),$C1851,""))</f>
        <v>0</v>
      </c>
      <c r="BF1851">
        <f>IF($E1851="","",IF(AND(COUNT($E$1852:$E$1855)&gt;=4,$D1851=MIN($D$1847:$D$1855)),$D1851,""))</f>
        <v>0</v>
      </c>
      <c r="BG1851">
        <f>IF($A1851="","",$A1851-WEEKDAY($A1851,2)+1)</f>
        <v>0</v>
      </c>
      <c r="BH1851">
        <f>IF($A1851="","",IF($A1850="",1,IF(BG1851&lt;&gt;BG1850,1,0)))</f>
        <v>0</v>
      </c>
      <c r="BI1851">
        <f>IF($A1851="","",IF($A1852="",1,IF(BG1852&lt;&gt;BG1851,1,0)))</f>
        <v>0</v>
      </c>
      <c r="BJ1851">
        <f>IF($A1851="","",IF(BH1851=1,$B1851,BJ1850))</f>
        <v>0</v>
      </c>
      <c r="BK1851">
        <f>IF($A1851="","",IF(BH1851=1,$C1851,MAX($C1851,BK1850)))</f>
        <v>0</v>
      </c>
      <c r="BL1851">
        <f>IF($A1851="","",IF(BH1851=1,$D1851,MIN($D1851,BL1850)))</f>
        <v>0</v>
      </c>
      <c r="BM1851">
        <f>IF($A1851="","",IF(BI1851=1,F1851,""))</f>
        <v>0</v>
      </c>
      <c r="BN1851">
        <f>IF($A1851="","",DATE(YEAR($A1851),MONTH($A1851),1))</f>
        <v>0</v>
      </c>
      <c r="BO1851">
        <f>IF($A1851="","",IF($A1850="",1,IF(BN1851&lt;&gt;BN1850,1,0)))</f>
        <v>0</v>
      </c>
      <c r="BP1851">
        <f>IF($A1851="","",IF($A1852="",1,IF(BN1852&lt;&gt;BN1851,1,0)))</f>
        <v>0</v>
      </c>
      <c r="BQ1851">
        <f>IF($A1851="","",IF(BO1851=1,$B1851,BQ1850))</f>
        <v>0</v>
      </c>
      <c r="BR1851">
        <f>IF($A1851="","",IF(BO1851=1,$C1851,MAX($C1851,BR1850)))</f>
        <v>0</v>
      </c>
      <c r="BS1851">
        <f>IF($A1851="","",IF(BO1851=1,$D1851,MIN($D1851,BS1850)))</f>
        <v>0</v>
      </c>
      <c r="BT1851">
        <f>IF($A1851="","",IF(BP1851=1,F1851,""))</f>
        <v>0</v>
      </c>
    </row>
    <row r="1852" spans="1:72">
      <c r="A1852" s="27">
        <f>IF(Data!$A1852="","",Data!$A1852)</f>
        <v>0</v>
      </c>
      <c r="B1852">
        <f>IF(Data!$B1852="","",Data!$B1852)</f>
        <v>0</v>
      </c>
      <c r="C1852">
        <f>IF(Data!$C1852="","",Data!$C1852)</f>
        <v>0</v>
      </c>
      <c r="D1852">
        <f>IF(Data!$D1852="","",Data!$D1852)</f>
        <v>0</v>
      </c>
      <c r="E1852">
        <f>IF(Data!$E1852="","",Data!$E1852)</f>
        <v>0</v>
      </c>
      <c r="F1852">
        <f>IF($E1852="","",N(F1851)+1)</f>
        <v>0</v>
      </c>
      <c r="G1852">
        <f>IF(OR($E1852="",$E1851=""),"",LN($E1852/$E1851))</f>
        <v>0</v>
      </c>
      <c r="H1852">
        <f>IF($E1852="","",IF($E1851="",$E1852,$E1852*0.0952380952+H1851*0.9047619048))</f>
        <v>0</v>
      </c>
      <c r="I1852">
        <f>IF($E1852="","",IF($E1851="",$E1852,$E1852*0.0392156863+I1851*0.9607843137))</f>
        <v>0</v>
      </c>
      <c r="J1852">
        <f>IF($E1852="","",IF($E1851="",$E1852,$E1852*0.0198019802+J1851*0.9801980198))</f>
        <v>0</v>
      </c>
      <c r="K1852">
        <f>IF($E1852="","",IF($E1851="",$E1852,$E1852*0.0099502488+K1851*0.9900497512))</f>
        <v>0</v>
      </c>
      <c r="L1852">
        <f>IF(OR($E1852="",$E1851=""),"",MAX($E1852-$E1851,0))</f>
        <v>0</v>
      </c>
      <c r="M1852">
        <f>IF(OR($E1852="",$E1851=""),"",MAX($E1851-$E1852,0))</f>
        <v>0</v>
      </c>
      <c r="N1852">
        <f>IF(COUNT($E$2:$E1852)&lt;15,"",IF(AVERAGE($M$1839:$M$1852)=0,100,100-100/(1+AVERAGE($L$1839:$L$1852)/AVERAGE($M$1839:$M$1852))))</f>
        <v>0</v>
      </c>
      <c r="O1852">
        <f>IF($E1852="","",IF($E1851="",$E1852,$E1852*0.1538461538+O1851*0.8461538462))</f>
        <v>0</v>
      </c>
      <c r="P1852">
        <f>IF($E1852="","",IF($E1851="",$E1852,$E1852*0.0740740741+P1851*0.9259259259))</f>
        <v>0</v>
      </c>
      <c r="Q1852">
        <f>IF(OR(O1852="",P1852=""),"",O1852-P1852)</f>
        <v>0</v>
      </c>
      <c r="R1852">
        <f>IF(Q1852="","",IF(R1851="",Q1852,Q1852*0.2000000000+R1851*0.8000000000))</f>
        <v>0</v>
      </c>
      <c r="S1852">
        <f>IF(OR(Q1852="",R1852=""),"",Q1852-R1852)</f>
        <v>0</v>
      </c>
      <c r="T1852">
        <f>IF(COUNT($E$2:$E1852)&lt;14,"",MAX($C$1839:$C$1852))</f>
        <v>0</v>
      </c>
      <c r="U1852">
        <f>IF(COUNT($E$2:$E1852)&lt;14,"",MIN($D$1839:$D$1852))</f>
        <v>0</v>
      </c>
      <c r="V1852">
        <f>IF(OR(T1852="",U1852="",T1852=U1852),"",100*($E1852-U1852)/(T1852-U1852))</f>
        <v>0</v>
      </c>
      <c r="W1852">
        <f>IF(COUNT($V$1850:$V$1852)&lt;3,"",AVERAGE($V$1850:$V$1852))</f>
        <v>0</v>
      </c>
      <c r="X1852">
        <f>IF(COUNT($N$1839:$N$1852)&lt;14,"",MIN($N$1839:$N$1852))</f>
        <v>0</v>
      </c>
      <c r="Y1852">
        <f>IF(COUNT($N$1839:$N$1852)&lt;14,"",MAX($N$1839:$N$1852))</f>
        <v>0</v>
      </c>
      <c r="Z1852">
        <f>IF(OR(N1852="",X1852="",Y1852="",Y1852=X1852),"",100*(N1852-X1852)/(Y1852-X1852))</f>
        <v>0</v>
      </c>
      <c r="AA1852">
        <f>IF(COUNT($Z$1850:$Z$1852)&lt;3,"",AVERAGE($Z$1850:$Z$1852))</f>
        <v>0</v>
      </c>
      <c r="AB1852">
        <f>IF(COUNT($AA$1850:$AA$1852)&lt;3,"",AVERAGE($AA$1850:$AA$1852))</f>
        <v>0</v>
      </c>
      <c r="AC1852">
        <f>IF($E1852="","",MAX($C1852-$D1852,ABS($C1852-$E1851),ABS($D1852-$E1851)))</f>
        <v>0</v>
      </c>
      <c r="AD1852">
        <f>IF(COUNT($E$2:$E1852)&lt;15,"",AVERAGE($AC$1839:$AC$1852))</f>
        <v>0</v>
      </c>
      <c r="AE1852">
        <f>IF(OR($E1852="",$E1851=""),"",IF(AND(($C1852-$C1851)&gt;($D1851-$D1852),($C1852-$C1851)&gt;0),$C1852-$C1851,0))</f>
        <v>0</v>
      </c>
      <c r="AF1852">
        <f>IF(OR($E1852="",$E1851=""),"",IF(AND(($D1851-$D1852)&gt;($C1852-$C1851),($D1851-$D1852)&gt;0),$D1851-$D1852,0))</f>
        <v>0</v>
      </c>
      <c r="AG1852">
        <f>IF(COUNT($E$2:$E1852)&lt;15,"",IF(SUM($AC$1839:$AC$1852)=0,0,100*SUM($AE$1839:$AE$1852)/SUM($AC$1839:$AC$1852)))</f>
        <v>0</v>
      </c>
      <c r="AH1852">
        <f>IF(COUNT($E$2:$E1852)&lt;15,"",IF(SUM($AC$1839:$AC$1852)=0,0,100*SUM($AF$1839:$AF$1852)/SUM($AC$1839:$AC$1852)))</f>
        <v>0</v>
      </c>
      <c r="AI1852">
        <f>IF(OR(AG1852="",AH1852=""),"",IF((AG1852+AH1852)=0,0,100*ABS(AG1852-AH1852)/(AG1852+AH1852)))</f>
        <v>0</v>
      </c>
      <c r="AJ1852">
        <f>IF(COUNT($AI$1839:$AI$1852)&lt;14,"",AVERAGE($AI$1839:$AI$1852))</f>
        <v>0</v>
      </c>
      <c r="AK1852">
        <f>IF(COUNT($E$2:$E1852)&lt;20,"",AVERAGE($E$1833:$E$1852))</f>
        <v>0</v>
      </c>
      <c r="AL1852">
        <f>IF(COUNT($E$2:$E1852)&lt;20,"",STDEVP($E$1833:$E$1852))</f>
        <v>0</v>
      </c>
      <c r="AM1852">
        <f>IF(AK1852="","",AK1852+2*AL1852)</f>
        <v>0</v>
      </c>
      <c r="AN1852">
        <f>IF(AK1852="","",AK1852-2*AL1852)</f>
        <v>0</v>
      </c>
      <c r="AO1852">
        <f>IF(OR(AM1852="",AN1852="",AM1852=AN1852),"",($E1852-AN1852)/(AM1852-AN1852))</f>
        <v>0</v>
      </c>
      <c r="AP1852">
        <f>IF(OR(AM1852="",AK1852="",AK1852=0),"",(AM1852-AN1852)/AK1852)</f>
        <v>0</v>
      </c>
      <c r="AQ1852">
        <f>IF(COUNT($E$2:$E1852)&lt;20,"",MAX($C$1833:$C$1852))</f>
        <v>0</v>
      </c>
      <c r="AR1852">
        <f>IF(COUNT($E$2:$E1852)&lt;20,"",MIN($D$1833:$D$1852))</f>
        <v>0</v>
      </c>
      <c r="AS1852">
        <f>IF(OR(AQ1852="",AR1852=""),"",(AQ1852+AR1852)/2)</f>
        <v>0</v>
      </c>
      <c r="AT1852">
        <f>IF(COUNT($G$1833:$G$1852)&lt;20,"",STDEV($G$1833:$G$1852)*SQRT(252))</f>
        <v>0</v>
      </c>
      <c r="AU1852">
        <f>IF(COUNT($E$2:$E1852)&lt;9,"",(MAX($C$1844:$C$1852)+MIN($D$1844:$D$1852))/2)</f>
        <v>0</v>
      </c>
      <c r="AV1852">
        <f>IF(COUNT($E$2:$E1852)&lt;26,"",(MAX($C$1827:$C$1852)+MIN($D$1827:$D$1852))/2)</f>
        <v>0</v>
      </c>
      <c r="AW1852">
        <f>IF(OR(AU1852="",AV1852=""),"",(AU1852+AV1852)/2)</f>
        <v>0</v>
      </c>
      <c r="AX1852">
        <f>IF(COUNT($E$2:$E1852)&lt;52,"",(MAX($C$1801:$C$1852)+MIN($D$1801:$D$1852))/2)</f>
        <v>0</v>
      </c>
      <c r="AY1852">
        <f>IF(COUNT($E$2:$E1852)&lt;20,"",MAX($C$1753:$C$1852))</f>
        <v>0</v>
      </c>
      <c r="AZ1852">
        <f>IF(COUNT($E$2:$E1852)&lt;20,"",MIN($D$1753:$D$1852))</f>
        <v>0</v>
      </c>
      <c r="BA1852">
        <f>IF(COUNT($E$2:$E1852)&lt;20,"",SLOPE($E$1753:$E$1852,$F$1753:$F$1852))</f>
        <v>0</v>
      </c>
      <c r="BB1852">
        <f>IF(COUNT($E$2:$E1852)&lt;20,"",INTERCEPT($E$1753:$E$1852,$F$1753:$F$1852))</f>
        <v>0</v>
      </c>
      <c r="BC1852">
        <f>IF(OR(BA1852="",BB1852=""),"",BB1852+BA1852*F1852)</f>
        <v>0</v>
      </c>
      <c r="BD1852">
        <f>IF(COUNT($E$2:$E1852)&lt;20,"",STEYX($E$1753:$E$1852,$F$1753:$F$1852))</f>
        <v>0</v>
      </c>
      <c r="BE1852">
        <f>IF($E1852="","",IF(AND(COUNT($E$1853:$E$1856)&gt;=4,$C1852=MAX($C$1848:$C$1856)),$C1852,""))</f>
        <v>0</v>
      </c>
      <c r="BF1852">
        <f>IF($E1852="","",IF(AND(COUNT($E$1853:$E$1856)&gt;=4,$D1852=MIN($D$1848:$D$1856)),$D1852,""))</f>
        <v>0</v>
      </c>
      <c r="BG1852">
        <f>IF($A1852="","",$A1852-WEEKDAY($A1852,2)+1)</f>
        <v>0</v>
      </c>
      <c r="BH1852">
        <f>IF($A1852="","",IF($A1851="",1,IF(BG1852&lt;&gt;BG1851,1,0)))</f>
        <v>0</v>
      </c>
      <c r="BI1852">
        <f>IF($A1852="","",IF($A1853="",1,IF(BG1853&lt;&gt;BG1852,1,0)))</f>
        <v>0</v>
      </c>
      <c r="BJ1852">
        <f>IF($A1852="","",IF(BH1852=1,$B1852,BJ1851))</f>
        <v>0</v>
      </c>
      <c r="BK1852">
        <f>IF($A1852="","",IF(BH1852=1,$C1852,MAX($C1852,BK1851)))</f>
        <v>0</v>
      </c>
      <c r="BL1852">
        <f>IF($A1852="","",IF(BH1852=1,$D1852,MIN($D1852,BL1851)))</f>
        <v>0</v>
      </c>
      <c r="BM1852">
        <f>IF($A1852="","",IF(BI1852=1,F1852,""))</f>
        <v>0</v>
      </c>
      <c r="BN1852">
        <f>IF($A1852="","",DATE(YEAR($A1852),MONTH($A1852),1))</f>
        <v>0</v>
      </c>
      <c r="BO1852">
        <f>IF($A1852="","",IF($A1851="",1,IF(BN1852&lt;&gt;BN1851,1,0)))</f>
        <v>0</v>
      </c>
      <c r="BP1852">
        <f>IF($A1852="","",IF($A1853="",1,IF(BN1853&lt;&gt;BN1852,1,0)))</f>
        <v>0</v>
      </c>
      <c r="BQ1852">
        <f>IF($A1852="","",IF(BO1852=1,$B1852,BQ1851))</f>
        <v>0</v>
      </c>
      <c r="BR1852">
        <f>IF($A1852="","",IF(BO1852=1,$C1852,MAX($C1852,BR1851)))</f>
        <v>0</v>
      </c>
      <c r="BS1852">
        <f>IF($A1852="","",IF(BO1852=1,$D1852,MIN($D1852,BS1851)))</f>
        <v>0</v>
      </c>
      <c r="BT1852">
        <f>IF($A1852="","",IF(BP1852=1,F1852,""))</f>
        <v>0</v>
      </c>
    </row>
    <row r="1853" spans="1:72">
      <c r="A1853" s="27">
        <f>IF(Data!$A1853="","",Data!$A1853)</f>
        <v>0</v>
      </c>
      <c r="B1853">
        <f>IF(Data!$B1853="","",Data!$B1853)</f>
        <v>0</v>
      </c>
      <c r="C1853">
        <f>IF(Data!$C1853="","",Data!$C1853)</f>
        <v>0</v>
      </c>
      <c r="D1853">
        <f>IF(Data!$D1853="","",Data!$D1853)</f>
        <v>0</v>
      </c>
      <c r="E1853">
        <f>IF(Data!$E1853="","",Data!$E1853)</f>
        <v>0</v>
      </c>
      <c r="F1853">
        <f>IF($E1853="","",N(F1852)+1)</f>
        <v>0</v>
      </c>
      <c r="G1853">
        <f>IF(OR($E1853="",$E1852=""),"",LN($E1853/$E1852))</f>
        <v>0</v>
      </c>
      <c r="H1853">
        <f>IF($E1853="","",IF($E1852="",$E1853,$E1853*0.0952380952+H1852*0.9047619048))</f>
        <v>0</v>
      </c>
      <c r="I1853">
        <f>IF($E1853="","",IF($E1852="",$E1853,$E1853*0.0392156863+I1852*0.9607843137))</f>
        <v>0</v>
      </c>
      <c r="J1853">
        <f>IF($E1853="","",IF($E1852="",$E1853,$E1853*0.0198019802+J1852*0.9801980198))</f>
        <v>0</v>
      </c>
      <c r="K1853">
        <f>IF($E1853="","",IF($E1852="",$E1853,$E1853*0.0099502488+K1852*0.9900497512))</f>
        <v>0</v>
      </c>
      <c r="L1853">
        <f>IF(OR($E1853="",$E1852=""),"",MAX($E1853-$E1852,0))</f>
        <v>0</v>
      </c>
      <c r="M1853">
        <f>IF(OR($E1853="",$E1852=""),"",MAX($E1852-$E1853,0))</f>
        <v>0</v>
      </c>
      <c r="N1853">
        <f>IF(COUNT($E$2:$E1853)&lt;15,"",IF(AVERAGE($M$1840:$M$1853)=0,100,100-100/(1+AVERAGE($L$1840:$L$1853)/AVERAGE($M$1840:$M$1853))))</f>
        <v>0</v>
      </c>
      <c r="O1853">
        <f>IF($E1853="","",IF($E1852="",$E1853,$E1853*0.1538461538+O1852*0.8461538462))</f>
        <v>0</v>
      </c>
      <c r="P1853">
        <f>IF($E1853="","",IF($E1852="",$E1853,$E1853*0.0740740741+P1852*0.9259259259))</f>
        <v>0</v>
      </c>
      <c r="Q1853">
        <f>IF(OR(O1853="",P1853=""),"",O1853-P1853)</f>
        <v>0</v>
      </c>
      <c r="R1853">
        <f>IF(Q1853="","",IF(R1852="",Q1853,Q1853*0.2000000000+R1852*0.8000000000))</f>
        <v>0</v>
      </c>
      <c r="S1853">
        <f>IF(OR(Q1853="",R1853=""),"",Q1853-R1853)</f>
        <v>0</v>
      </c>
      <c r="T1853">
        <f>IF(COUNT($E$2:$E1853)&lt;14,"",MAX($C$1840:$C$1853))</f>
        <v>0</v>
      </c>
      <c r="U1853">
        <f>IF(COUNT($E$2:$E1853)&lt;14,"",MIN($D$1840:$D$1853))</f>
        <v>0</v>
      </c>
      <c r="V1853">
        <f>IF(OR(T1853="",U1853="",T1853=U1853),"",100*($E1853-U1853)/(T1853-U1853))</f>
        <v>0</v>
      </c>
      <c r="W1853">
        <f>IF(COUNT($V$1851:$V$1853)&lt;3,"",AVERAGE($V$1851:$V$1853))</f>
        <v>0</v>
      </c>
      <c r="X1853">
        <f>IF(COUNT($N$1840:$N$1853)&lt;14,"",MIN($N$1840:$N$1853))</f>
        <v>0</v>
      </c>
      <c r="Y1853">
        <f>IF(COUNT($N$1840:$N$1853)&lt;14,"",MAX($N$1840:$N$1853))</f>
        <v>0</v>
      </c>
      <c r="Z1853">
        <f>IF(OR(N1853="",X1853="",Y1853="",Y1853=X1853),"",100*(N1853-X1853)/(Y1853-X1853))</f>
        <v>0</v>
      </c>
      <c r="AA1853">
        <f>IF(COUNT($Z$1851:$Z$1853)&lt;3,"",AVERAGE($Z$1851:$Z$1853))</f>
        <v>0</v>
      </c>
      <c r="AB1853">
        <f>IF(COUNT($AA$1851:$AA$1853)&lt;3,"",AVERAGE($AA$1851:$AA$1853))</f>
        <v>0</v>
      </c>
      <c r="AC1853">
        <f>IF($E1853="","",MAX($C1853-$D1853,ABS($C1853-$E1852),ABS($D1853-$E1852)))</f>
        <v>0</v>
      </c>
      <c r="AD1853">
        <f>IF(COUNT($E$2:$E1853)&lt;15,"",AVERAGE($AC$1840:$AC$1853))</f>
        <v>0</v>
      </c>
      <c r="AE1853">
        <f>IF(OR($E1853="",$E1852=""),"",IF(AND(($C1853-$C1852)&gt;($D1852-$D1853),($C1853-$C1852)&gt;0),$C1853-$C1852,0))</f>
        <v>0</v>
      </c>
      <c r="AF1853">
        <f>IF(OR($E1853="",$E1852=""),"",IF(AND(($D1852-$D1853)&gt;($C1853-$C1852),($D1852-$D1853)&gt;0),$D1852-$D1853,0))</f>
        <v>0</v>
      </c>
      <c r="AG1853">
        <f>IF(COUNT($E$2:$E1853)&lt;15,"",IF(SUM($AC$1840:$AC$1853)=0,0,100*SUM($AE$1840:$AE$1853)/SUM($AC$1840:$AC$1853)))</f>
        <v>0</v>
      </c>
      <c r="AH1853">
        <f>IF(COUNT($E$2:$E1853)&lt;15,"",IF(SUM($AC$1840:$AC$1853)=0,0,100*SUM($AF$1840:$AF$1853)/SUM($AC$1840:$AC$1853)))</f>
        <v>0</v>
      </c>
      <c r="AI1853">
        <f>IF(OR(AG1853="",AH1853=""),"",IF((AG1853+AH1853)=0,0,100*ABS(AG1853-AH1853)/(AG1853+AH1853)))</f>
        <v>0</v>
      </c>
      <c r="AJ1853">
        <f>IF(COUNT($AI$1840:$AI$1853)&lt;14,"",AVERAGE($AI$1840:$AI$1853))</f>
        <v>0</v>
      </c>
      <c r="AK1853">
        <f>IF(COUNT($E$2:$E1853)&lt;20,"",AVERAGE($E$1834:$E$1853))</f>
        <v>0</v>
      </c>
      <c r="AL1853">
        <f>IF(COUNT($E$2:$E1853)&lt;20,"",STDEVP($E$1834:$E$1853))</f>
        <v>0</v>
      </c>
      <c r="AM1853">
        <f>IF(AK1853="","",AK1853+2*AL1853)</f>
        <v>0</v>
      </c>
      <c r="AN1853">
        <f>IF(AK1853="","",AK1853-2*AL1853)</f>
        <v>0</v>
      </c>
      <c r="AO1853">
        <f>IF(OR(AM1853="",AN1853="",AM1853=AN1853),"",($E1853-AN1853)/(AM1853-AN1853))</f>
        <v>0</v>
      </c>
      <c r="AP1853">
        <f>IF(OR(AM1853="",AK1853="",AK1853=0),"",(AM1853-AN1853)/AK1853)</f>
        <v>0</v>
      </c>
      <c r="AQ1853">
        <f>IF(COUNT($E$2:$E1853)&lt;20,"",MAX($C$1834:$C$1853))</f>
        <v>0</v>
      </c>
      <c r="AR1853">
        <f>IF(COUNT($E$2:$E1853)&lt;20,"",MIN($D$1834:$D$1853))</f>
        <v>0</v>
      </c>
      <c r="AS1853">
        <f>IF(OR(AQ1853="",AR1853=""),"",(AQ1853+AR1853)/2)</f>
        <v>0</v>
      </c>
      <c r="AT1853">
        <f>IF(COUNT($G$1834:$G$1853)&lt;20,"",STDEV($G$1834:$G$1853)*SQRT(252))</f>
        <v>0</v>
      </c>
      <c r="AU1853">
        <f>IF(COUNT($E$2:$E1853)&lt;9,"",(MAX($C$1845:$C$1853)+MIN($D$1845:$D$1853))/2)</f>
        <v>0</v>
      </c>
      <c r="AV1853">
        <f>IF(COUNT($E$2:$E1853)&lt;26,"",(MAX($C$1828:$C$1853)+MIN($D$1828:$D$1853))/2)</f>
        <v>0</v>
      </c>
      <c r="AW1853">
        <f>IF(OR(AU1853="",AV1853=""),"",(AU1853+AV1853)/2)</f>
        <v>0</v>
      </c>
      <c r="AX1853">
        <f>IF(COUNT($E$2:$E1853)&lt;52,"",(MAX($C$1802:$C$1853)+MIN($D$1802:$D$1853))/2)</f>
        <v>0</v>
      </c>
      <c r="AY1853">
        <f>IF(COUNT($E$2:$E1853)&lt;20,"",MAX($C$1754:$C$1853))</f>
        <v>0</v>
      </c>
      <c r="AZ1853">
        <f>IF(COUNT($E$2:$E1853)&lt;20,"",MIN($D$1754:$D$1853))</f>
        <v>0</v>
      </c>
      <c r="BA1853">
        <f>IF(COUNT($E$2:$E1853)&lt;20,"",SLOPE($E$1754:$E$1853,$F$1754:$F$1853))</f>
        <v>0</v>
      </c>
      <c r="BB1853">
        <f>IF(COUNT($E$2:$E1853)&lt;20,"",INTERCEPT($E$1754:$E$1853,$F$1754:$F$1853))</f>
        <v>0</v>
      </c>
      <c r="BC1853">
        <f>IF(OR(BA1853="",BB1853=""),"",BB1853+BA1853*F1853)</f>
        <v>0</v>
      </c>
      <c r="BD1853">
        <f>IF(COUNT($E$2:$E1853)&lt;20,"",STEYX($E$1754:$E$1853,$F$1754:$F$1853))</f>
        <v>0</v>
      </c>
      <c r="BE1853">
        <f>IF($E1853="","",IF(AND(COUNT($E$1854:$E$1857)&gt;=4,$C1853=MAX($C$1849:$C$1857)),$C1853,""))</f>
        <v>0</v>
      </c>
      <c r="BF1853">
        <f>IF($E1853="","",IF(AND(COUNT($E$1854:$E$1857)&gt;=4,$D1853=MIN($D$1849:$D$1857)),$D1853,""))</f>
        <v>0</v>
      </c>
      <c r="BG1853">
        <f>IF($A1853="","",$A1853-WEEKDAY($A1853,2)+1)</f>
        <v>0</v>
      </c>
      <c r="BH1853">
        <f>IF($A1853="","",IF($A1852="",1,IF(BG1853&lt;&gt;BG1852,1,0)))</f>
        <v>0</v>
      </c>
      <c r="BI1853">
        <f>IF($A1853="","",IF($A1854="",1,IF(BG1854&lt;&gt;BG1853,1,0)))</f>
        <v>0</v>
      </c>
      <c r="BJ1853">
        <f>IF($A1853="","",IF(BH1853=1,$B1853,BJ1852))</f>
        <v>0</v>
      </c>
      <c r="BK1853">
        <f>IF($A1853="","",IF(BH1853=1,$C1853,MAX($C1853,BK1852)))</f>
        <v>0</v>
      </c>
      <c r="BL1853">
        <f>IF($A1853="","",IF(BH1853=1,$D1853,MIN($D1853,BL1852)))</f>
        <v>0</v>
      </c>
      <c r="BM1853">
        <f>IF($A1853="","",IF(BI1853=1,F1853,""))</f>
        <v>0</v>
      </c>
      <c r="BN1853">
        <f>IF($A1853="","",DATE(YEAR($A1853),MONTH($A1853),1))</f>
        <v>0</v>
      </c>
      <c r="BO1853">
        <f>IF($A1853="","",IF($A1852="",1,IF(BN1853&lt;&gt;BN1852,1,0)))</f>
        <v>0</v>
      </c>
      <c r="BP1853">
        <f>IF($A1853="","",IF($A1854="",1,IF(BN1854&lt;&gt;BN1853,1,0)))</f>
        <v>0</v>
      </c>
      <c r="BQ1853">
        <f>IF($A1853="","",IF(BO1853=1,$B1853,BQ1852))</f>
        <v>0</v>
      </c>
      <c r="BR1853">
        <f>IF($A1853="","",IF(BO1853=1,$C1853,MAX($C1853,BR1852)))</f>
        <v>0</v>
      </c>
      <c r="BS1853">
        <f>IF($A1853="","",IF(BO1853=1,$D1853,MIN($D1853,BS1852)))</f>
        <v>0</v>
      </c>
      <c r="BT1853">
        <f>IF($A1853="","",IF(BP1853=1,F1853,""))</f>
        <v>0</v>
      </c>
    </row>
    <row r="1854" spans="1:72">
      <c r="A1854" s="27">
        <f>IF(Data!$A1854="","",Data!$A1854)</f>
        <v>0</v>
      </c>
      <c r="B1854">
        <f>IF(Data!$B1854="","",Data!$B1854)</f>
        <v>0</v>
      </c>
      <c r="C1854">
        <f>IF(Data!$C1854="","",Data!$C1854)</f>
        <v>0</v>
      </c>
      <c r="D1854">
        <f>IF(Data!$D1854="","",Data!$D1854)</f>
        <v>0</v>
      </c>
      <c r="E1854">
        <f>IF(Data!$E1854="","",Data!$E1854)</f>
        <v>0</v>
      </c>
      <c r="F1854">
        <f>IF($E1854="","",N(F1853)+1)</f>
        <v>0</v>
      </c>
      <c r="G1854">
        <f>IF(OR($E1854="",$E1853=""),"",LN($E1854/$E1853))</f>
        <v>0</v>
      </c>
      <c r="H1854">
        <f>IF($E1854="","",IF($E1853="",$E1854,$E1854*0.0952380952+H1853*0.9047619048))</f>
        <v>0</v>
      </c>
      <c r="I1854">
        <f>IF($E1854="","",IF($E1853="",$E1854,$E1854*0.0392156863+I1853*0.9607843137))</f>
        <v>0</v>
      </c>
      <c r="J1854">
        <f>IF($E1854="","",IF($E1853="",$E1854,$E1854*0.0198019802+J1853*0.9801980198))</f>
        <v>0</v>
      </c>
      <c r="K1854">
        <f>IF($E1854="","",IF($E1853="",$E1854,$E1854*0.0099502488+K1853*0.9900497512))</f>
        <v>0</v>
      </c>
      <c r="L1854">
        <f>IF(OR($E1854="",$E1853=""),"",MAX($E1854-$E1853,0))</f>
        <v>0</v>
      </c>
      <c r="M1854">
        <f>IF(OR($E1854="",$E1853=""),"",MAX($E1853-$E1854,0))</f>
        <v>0</v>
      </c>
      <c r="N1854">
        <f>IF(COUNT($E$2:$E1854)&lt;15,"",IF(AVERAGE($M$1841:$M$1854)=0,100,100-100/(1+AVERAGE($L$1841:$L$1854)/AVERAGE($M$1841:$M$1854))))</f>
        <v>0</v>
      </c>
      <c r="O1854">
        <f>IF($E1854="","",IF($E1853="",$E1854,$E1854*0.1538461538+O1853*0.8461538462))</f>
        <v>0</v>
      </c>
      <c r="P1854">
        <f>IF($E1854="","",IF($E1853="",$E1854,$E1854*0.0740740741+P1853*0.9259259259))</f>
        <v>0</v>
      </c>
      <c r="Q1854">
        <f>IF(OR(O1854="",P1854=""),"",O1854-P1854)</f>
        <v>0</v>
      </c>
      <c r="R1854">
        <f>IF(Q1854="","",IF(R1853="",Q1854,Q1854*0.2000000000+R1853*0.8000000000))</f>
        <v>0</v>
      </c>
      <c r="S1854">
        <f>IF(OR(Q1854="",R1854=""),"",Q1854-R1854)</f>
        <v>0</v>
      </c>
      <c r="T1854">
        <f>IF(COUNT($E$2:$E1854)&lt;14,"",MAX($C$1841:$C$1854))</f>
        <v>0</v>
      </c>
      <c r="U1854">
        <f>IF(COUNT($E$2:$E1854)&lt;14,"",MIN($D$1841:$D$1854))</f>
        <v>0</v>
      </c>
      <c r="V1854">
        <f>IF(OR(T1854="",U1854="",T1854=U1854),"",100*($E1854-U1854)/(T1854-U1854))</f>
        <v>0</v>
      </c>
      <c r="W1854">
        <f>IF(COUNT($V$1852:$V$1854)&lt;3,"",AVERAGE($V$1852:$V$1854))</f>
        <v>0</v>
      </c>
      <c r="X1854">
        <f>IF(COUNT($N$1841:$N$1854)&lt;14,"",MIN($N$1841:$N$1854))</f>
        <v>0</v>
      </c>
      <c r="Y1854">
        <f>IF(COUNT($N$1841:$N$1854)&lt;14,"",MAX($N$1841:$N$1854))</f>
        <v>0</v>
      </c>
      <c r="Z1854">
        <f>IF(OR(N1854="",X1854="",Y1854="",Y1854=X1854),"",100*(N1854-X1854)/(Y1854-X1854))</f>
        <v>0</v>
      </c>
      <c r="AA1854">
        <f>IF(COUNT($Z$1852:$Z$1854)&lt;3,"",AVERAGE($Z$1852:$Z$1854))</f>
        <v>0</v>
      </c>
      <c r="AB1854">
        <f>IF(COUNT($AA$1852:$AA$1854)&lt;3,"",AVERAGE($AA$1852:$AA$1854))</f>
        <v>0</v>
      </c>
      <c r="AC1854">
        <f>IF($E1854="","",MAX($C1854-$D1854,ABS($C1854-$E1853),ABS($D1854-$E1853)))</f>
        <v>0</v>
      </c>
      <c r="AD1854">
        <f>IF(COUNT($E$2:$E1854)&lt;15,"",AVERAGE($AC$1841:$AC$1854))</f>
        <v>0</v>
      </c>
      <c r="AE1854">
        <f>IF(OR($E1854="",$E1853=""),"",IF(AND(($C1854-$C1853)&gt;($D1853-$D1854),($C1854-$C1853)&gt;0),$C1854-$C1853,0))</f>
        <v>0</v>
      </c>
      <c r="AF1854">
        <f>IF(OR($E1854="",$E1853=""),"",IF(AND(($D1853-$D1854)&gt;($C1854-$C1853),($D1853-$D1854)&gt;0),$D1853-$D1854,0))</f>
        <v>0</v>
      </c>
      <c r="AG1854">
        <f>IF(COUNT($E$2:$E1854)&lt;15,"",IF(SUM($AC$1841:$AC$1854)=0,0,100*SUM($AE$1841:$AE$1854)/SUM($AC$1841:$AC$1854)))</f>
        <v>0</v>
      </c>
      <c r="AH1854">
        <f>IF(COUNT($E$2:$E1854)&lt;15,"",IF(SUM($AC$1841:$AC$1854)=0,0,100*SUM($AF$1841:$AF$1854)/SUM($AC$1841:$AC$1854)))</f>
        <v>0</v>
      </c>
      <c r="AI1854">
        <f>IF(OR(AG1854="",AH1854=""),"",IF((AG1854+AH1854)=0,0,100*ABS(AG1854-AH1854)/(AG1854+AH1854)))</f>
        <v>0</v>
      </c>
      <c r="AJ1854">
        <f>IF(COUNT($AI$1841:$AI$1854)&lt;14,"",AVERAGE($AI$1841:$AI$1854))</f>
        <v>0</v>
      </c>
      <c r="AK1854">
        <f>IF(COUNT($E$2:$E1854)&lt;20,"",AVERAGE($E$1835:$E$1854))</f>
        <v>0</v>
      </c>
      <c r="AL1854">
        <f>IF(COUNT($E$2:$E1854)&lt;20,"",STDEVP($E$1835:$E$1854))</f>
        <v>0</v>
      </c>
      <c r="AM1854">
        <f>IF(AK1854="","",AK1854+2*AL1854)</f>
        <v>0</v>
      </c>
      <c r="AN1854">
        <f>IF(AK1854="","",AK1854-2*AL1854)</f>
        <v>0</v>
      </c>
      <c r="AO1854">
        <f>IF(OR(AM1854="",AN1854="",AM1854=AN1854),"",($E1854-AN1854)/(AM1854-AN1854))</f>
        <v>0</v>
      </c>
      <c r="AP1854">
        <f>IF(OR(AM1854="",AK1854="",AK1854=0),"",(AM1854-AN1854)/AK1854)</f>
        <v>0</v>
      </c>
      <c r="AQ1854">
        <f>IF(COUNT($E$2:$E1854)&lt;20,"",MAX($C$1835:$C$1854))</f>
        <v>0</v>
      </c>
      <c r="AR1854">
        <f>IF(COUNT($E$2:$E1854)&lt;20,"",MIN($D$1835:$D$1854))</f>
        <v>0</v>
      </c>
      <c r="AS1854">
        <f>IF(OR(AQ1854="",AR1854=""),"",(AQ1854+AR1854)/2)</f>
        <v>0</v>
      </c>
      <c r="AT1854">
        <f>IF(COUNT($G$1835:$G$1854)&lt;20,"",STDEV($G$1835:$G$1854)*SQRT(252))</f>
        <v>0</v>
      </c>
      <c r="AU1854">
        <f>IF(COUNT($E$2:$E1854)&lt;9,"",(MAX($C$1846:$C$1854)+MIN($D$1846:$D$1854))/2)</f>
        <v>0</v>
      </c>
      <c r="AV1854">
        <f>IF(COUNT($E$2:$E1854)&lt;26,"",(MAX($C$1829:$C$1854)+MIN($D$1829:$D$1854))/2)</f>
        <v>0</v>
      </c>
      <c r="AW1854">
        <f>IF(OR(AU1854="",AV1854=""),"",(AU1854+AV1854)/2)</f>
        <v>0</v>
      </c>
      <c r="AX1854">
        <f>IF(COUNT($E$2:$E1854)&lt;52,"",(MAX($C$1803:$C$1854)+MIN($D$1803:$D$1854))/2)</f>
        <v>0</v>
      </c>
      <c r="AY1854">
        <f>IF(COUNT($E$2:$E1854)&lt;20,"",MAX($C$1755:$C$1854))</f>
        <v>0</v>
      </c>
      <c r="AZ1854">
        <f>IF(COUNT($E$2:$E1854)&lt;20,"",MIN($D$1755:$D$1854))</f>
        <v>0</v>
      </c>
      <c r="BA1854">
        <f>IF(COUNT($E$2:$E1854)&lt;20,"",SLOPE($E$1755:$E$1854,$F$1755:$F$1854))</f>
        <v>0</v>
      </c>
      <c r="BB1854">
        <f>IF(COUNT($E$2:$E1854)&lt;20,"",INTERCEPT($E$1755:$E$1854,$F$1755:$F$1854))</f>
        <v>0</v>
      </c>
      <c r="BC1854">
        <f>IF(OR(BA1854="",BB1854=""),"",BB1854+BA1854*F1854)</f>
        <v>0</v>
      </c>
      <c r="BD1854">
        <f>IF(COUNT($E$2:$E1854)&lt;20,"",STEYX($E$1755:$E$1854,$F$1755:$F$1854))</f>
        <v>0</v>
      </c>
      <c r="BE1854">
        <f>IF($E1854="","",IF(AND(COUNT($E$1855:$E$1858)&gt;=4,$C1854=MAX($C$1850:$C$1858)),$C1854,""))</f>
        <v>0</v>
      </c>
      <c r="BF1854">
        <f>IF($E1854="","",IF(AND(COUNT($E$1855:$E$1858)&gt;=4,$D1854=MIN($D$1850:$D$1858)),$D1854,""))</f>
        <v>0</v>
      </c>
      <c r="BG1854">
        <f>IF($A1854="","",$A1854-WEEKDAY($A1854,2)+1)</f>
        <v>0</v>
      </c>
      <c r="BH1854">
        <f>IF($A1854="","",IF($A1853="",1,IF(BG1854&lt;&gt;BG1853,1,0)))</f>
        <v>0</v>
      </c>
      <c r="BI1854">
        <f>IF($A1854="","",IF($A1855="",1,IF(BG1855&lt;&gt;BG1854,1,0)))</f>
        <v>0</v>
      </c>
      <c r="BJ1854">
        <f>IF($A1854="","",IF(BH1854=1,$B1854,BJ1853))</f>
        <v>0</v>
      </c>
      <c r="BK1854">
        <f>IF($A1854="","",IF(BH1854=1,$C1854,MAX($C1854,BK1853)))</f>
        <v>0</v>
      </c>
      <c r="BL1854">
        <f>IF($A1854="","",IF(BH1854=1,$D1854,MIN($D1854,BL1853)))</f>
        <v>0</v>
      </c>
      <c r="BM1854">
        <f>IF($A1854="","",IF(BI1854=1,F1854,""))</f>
        <v>0</v>
      </c>
      <c r="BN1854">
        <f>IF($A1854="","",DATE(YEAR($A1854),MONTH($A1854),1))</f>
        <v>0</v>
      </c>
      <c r="BO1854">
        <f>IF($A1854="","",IF($A1853="",1,IF(BN1854&lt;&gt;BN1853,1,0)))</f>
        <v>0</v>
      </c>
      <c r="BP1854">
        <f>IF($A1854="","",IF($A1855="",1,IF(BN1855&lt;&gt;BN1854,1,0)))</f>
        <v>0</v>
      </c>
      <c r="BQ1854">
        <f>IF($A1854="","",IF(BO1854=1,$B1854,BQ1853))</f>
        <v>0</v>
      </c>
      <c r="BR1854">
        <f>IF($A1854="","",IF(BO1854=1,$C1854,MAX($C1854,BR1853)))</f>
        <v>0</v>
      </c>
      <c r="BS1854">
        <f>IF($A1854="","",IF(BO1854=1,$D1854,MIN($D1854,BS1853)))</f>
        <v>0</v>
      </c>
      <c r="BT1854">
        <f>IF($A1854="","",IF(BP1854=1,F1854,""))</f>
        <v>0</v>
      </c>
    </row>
    <row r="1855" spans="1:72">
      <c r="A1855" s="27">
        <f>IF(Data!$A1855="","",Data!$A1855)</f>
        <v>0</v>
      </c>
      <c r="B1855">
        <f>IF(Data!$B1855="","",Data!$B1855)</f>
        <v>0</v>
      </c>
      <c r="C1855">
        <f>IF(Data!$C1855="","",Data!$C1855)</f>
        <v>0</v>
      </c>
      <c r="D1855">
        <f>IF(Data!$D1855="","",Data!$D1855)</f>
        <v>0</v>
      </c>
      <c r="E1855">
        <f>IF(Data!$E1855="","",Data!$E1855)</f>
        <v>0</v>
      </c>
      <c r="F1855">
        <f>IF($E1855="","",N(F1854)+1)</f>
        <v>0</v>
      </c>
      <c r="G1855">
        <f>IF(OR($E1855="",$E1854=""),"",LN($E1855/$E1854))</f>
        <v>0</v>
      </c>
      <c r="H1855">
        <f>IF($E1855="","",IF($E1854="",$E1855,$E1855*0.0952380952+H1854*0.9047619048))</f>
        <v>0</v>
      </c>
      <c r="I1855">
        <f>IF($E1855="","",IF($E1854="",$E1855,$E1855*0.0392156863+I1854*0.9607843137))</f>
        <v>0</v>
      </c>
      <c r="J1855">
        <f>IF($E1855="","",IF($E1854="",$E1855,$E1855*0.0198019802+J1854*0.9801980198))</f>
        <v>0</v>
      </c>
      <c r="K1855">
        <f>IF($E1855="","",IF($E1854="",$E1855,$E1855*0.0099502488+K1854*0.9900497512))</f>
        <v>0</v>
      </c>
      <c r="L1855">
        <f>IF(OR($E1855="",$E1854=""),"",MAX($E1855-$E1854,0))</f>
        <v>0</v>
      </c>
      <c r="M1855">
        <f>IF(OR($E1855="",$E1854=""),"",MAX($E1854-$E1855,0))</f>
        <v>0</v>
      </c>
      <c r="N1855">
        <f>IF(COUNT($E$2:$E1855)&lt;15,"",IF(AVERAGE($M$1842:$M$1855)=0,100,100-100/(1+AVERAGE($L$1842:$L$1855)/AVERAGE($M$1842:$M$1855))))</f>
        <v>0</v>
      </c>
      <c r="O1855">
        <f>IF($E1855="","",IF($E1854="",$E1855,$E1855*0.1538461538+O1854*0.8461538462))</f>
        <v>0</v>
      </c>
      <c r="P1855">
        <f>IF($E1855="","",IF($E1854="",$E1855,$E1855*0.0740740741+P1854*0.9259259259))</f>
        <v>0</v>
      </c>
      <c r="Q1855">
        <f>IF(OR(O1855="",P1855=""),"",O1855-P1855)</f>
        <v>0</v>
      </c>
      <c r="R1855">
        <f>IF(Q1855="","",IF(R1854="",Q1855,Q1855*0.2000000000+R1854*0.8000000000))</f>
        <v>0</v>
      </c>
      <c r="S1855">
        <f>IF(OR(Q1855="",R1855=""),"",Q1855-R1855)</f>
        <v>0</v>
      </c>
      <c r="T1855">
        <f>IF(COUNT($E$2:$E1855)&lt;14,"",MAX($C$1842:$C$1855))</f>
        <v>0</v>
      </c>
      <c r="U1855">
        <f>IF(COUNT($E$2:$E1855)&lt;14,"",MIN($D$1842:$D$1855))</f>
        <v>0</v>
      </c>
      <c r="V1855">
        <f>IF(OR(T1855="",U1855="",T1855=U1855),"",100*($E1855-U1855)/(T1855-U1855))</f>
        <v>0</v>
      </c>
      <c r="W1855">
        <f>IF(COUNT($V$1853:$V$1855)&lt;3,"",AVERAGE($V$1853:$V$1855))</f>
        <v>0</v>
      </c>
      <c r="X1855">
        <f>IF(COUNT($N$1842:$N$1855)&lt;14,"",MIN($N$1842:$N$1855))</f>
        <v>0</v>
      </c>
      <c r="Y1855">
        <f>IF(COUNT($N$1842:$N$1855)&lt;14,"",MAX($N$1842:$N$1855))</f>
        <v>0</v>
      </c>
      <c r="Z1855">
        <f>IF(OR(N1855="",X1855="",Y1855="",Y1855=X1855),"",100*(N1855-X1855)/(Y1855-X1855))</f>
        <v>0</v>
      </c>
      <c r="AA1855">
        <f>IF(COUNT($Z$1853:$Z$1855)&lt;3,"",AVERAGE($Z$1853:$Z$1855))</f>
        <v>0</v>
      </c>
      <c r="AB1855">
        <f>IF(COUNT($AA$1853:$AA$1855)&lt;3,"",AVERAGE($AA$1853:$AA$1855))</f>
        <v>0</v>
      </c>
      <c r="AC1855">
        <f>IF($E1855="","",MAX($C1855-$D1855,ABS($C1855-$E1854),ABS($D1855-$E1854)))</f>
        <v>0</v>
      </c>
      <c r="AD1855">
        <f>IF(COUNT($E$2:$E1855)&lt;15,"",AVERAGE($AC$1842:$AC$1855))</f>
        <v>0</v>
      </c>
      <c r="AE1855">
        <f>IF(OR($E1855="",$E1854=""),"",IF(AND(($C1855-$C1854)&gt;($D1854-$D1855),($C1855-$C1854)&gt;0),$C1855-$C1854,0))</f>
        <v>0</v>
      </c>
      <c r="AF1855">
        <f>IF(OR($E1855="",$E1854=""),"",IF(AND(($D1854-$D1855)&gt;($C1855-$C1854),($D1854-$D1855)&gt;0),$D1854-$D1855,0))</f>
        <v>0</v>
      </c>
      <c r="AG1855">
        <f>IF(COUNT($E$2:$E1855)&lt;15,"",IF(SUM($AC$1842:$AC$1855)=0,0,100*SUM($AE$1842:$AE$1855)/SUM($AC$1842:$AC$1855)))</f>
        <v>0</v>
      </c>
      <c r="AH1855">
        <f>IF(COUNT($E$2:$E1855)&lt;15,"",IF(SUM($AC$1842:$AC$1855)=0,0,100*SUM($AF$1842:$AF$1855)/SUM($AC$1842:$AC$1855)))</f>
        <v>0</v>
      </c>
      <c r="AI1855">
        <f>IF(OR(AG1855="",AH1855=""),"",IF((AG1855+AH1855)=0,0,100*ABS(AG1855-AH1855)/(AG1855+AH1855)))</f>
        <v>0</v>
      </c>
      <c r="AJ1855">
        <f>IF(COUNT($AI$1842:$AI$1855)&lt;14,"",AVERAGE($AI$1842:$AI$1855))</f>
        <v>0</v>
      </c>
      <c r="AK1855">
        <f>IF(COUNT($E$2:$E1855)&lt;20,"",AVERAGE($E$1836:$E$1855))</f>
        <v>0</v>
      </c>
      <c r="AL1855">
        <f>IF(COUNT($E$2:$E1855)&lt;20,"",STDEVP($E$1836:$E$1855))</f>
        <v>0</v>
      </c>
      <c r="AM1855">
        <f>IF(AK1855="","",AK1855+2*AL1855)</f>
        <v>0</v>
      </c>
      <c r="AN1855">
        <f>IF(AK1855="","",AK1855-2*AL1855)</f>
        <v>0</v>
      </c>
      <c r="AO1855">
        <f>IF(OR(AM1855="",AN1855="",AM1855=AN1855),"",($E1855-AN1855)/(AM1855-AN1855))</f>
        <v>0</v>
      </c>
      <c r="AP1855">
        <f>IF(OR(AM1855="",AK1855="",AK1855=0),"",(AM1855-AN1855)/AK1855)</f>
        <v>0</v>
      </c>
      <c r="AQ1855">
        <f>IF(COUNT($E$2:$E1855)&lt;20,"",MAX($C$1836:$C$1855))</f>
        <v>0</v>
      </c>
      <c r="AR1855">
        <f>IF(COUNT($E$2:$E1855)&lt;20,"",MIN($D$1836:$D$1855))</f>
        <v>0</v>
      </c>
      <c r="AS1855">
        <f>IF(OR(AQ1855="",AR1855=""),"",(AQ1855+AR1855)/2)</f>
        <v>0</v>
      </c>
      <c r="AT1855">
        <f>IF(COUNT($G$1836:$G$1855)&lt;20,"",STDEV($G$1836:$G$1855)*SQRT(252))</f>
        <v>0</v>
      </c>
      <c r="AU1855">
        <f>IF(COUNT($E$2:$E1855)&lt;9,"",(MAX($C$1847:$C$1855)+MIN($D$1847:$D$1855))/2)</f>
        <v>0</v>
      </c>
      <c r="AV1855">
        <f>IF(COUNT($E$2:$E1855)&lt;26,"",(MAX($C$1830:$C$1855)+MIN($D$1830:$D$1855))/2)</f>
        <v>0</v>
      </c>
      <c r="AW1855">
        <f>IF(OR(AU1855="",AV1855=""),"",(AU1855+AV1855)/2)</f>
        <v>0</v>
      </c>
      <c r="AX1855">
        <f>IF(COUNT($E$2:$E1855)&lt;52,"",(MAX($C$1804:$C$1855)+MIN($D$1804:$D$1855))/2)</f>
        <v>0</v>
      </c>
      <c r="AY1855">
        <f>IF(COUNT($E$2:$E1855)&lt;20,"",MAX($C$1756:$C$1855))</f>
        <v>0</v>
      </c>
      <c r="AZ1855">
        <f>IF(COUNT($E$2:$E1855)&lt;20,"",MIN($D$1756:$D$1855))</f>
        <v>0</v>
      </c>
      <c r="BA1855">
        <f>IF(COUNT($E$2:$E1855)&lt;20,"",SLOPE($E$1756:$E$1855,$F$1756:$F$1855))</f>
        <v>0</v>
      </c>
      <c r="BB1855">
        <f>IF(COUNT($E$2:$E1855)&lt;20,"",INTERCEPT($E$1756:$E$1855,$F$1756:$F$1855))</f>
        <v>0</v>
      </c>
      <c r="BC1855">
        <f>IF(OR(BA1855="",BB1855=""),"",BB1855+BA1855*F1855)</f>
        <v>0</v>
      </c>
      <c r="BD1855">
        <f>IF(COUNT($E$2:$E1855)&lt;20,"",STEYX($E$1756:$E$1855,$F$1756:$F$1855))</f>
        <v>0</v>
      </c>
      <c r="BE1855">
        <f>IF($E1855="","",IF(AND(COUNT($E$1856:$E$1859)&gt;=4,$C1855=MAX($C$1851:$C$1859)),$C1855,""))</f>
        <v>0</v>
      </c>
      <c r="BF1855">
        <f>IF($E1855="","",IF(AND(COUNT($E$1856:$E$1859)&gt;=4,$D1855=MIN($D$1851:$D$1859)),$D1855,""))</f>
        <v>0</v>
      </c>
      <c r="BG1855">
        <f>IF($A1855="","",$A1855-WEEKDAY($A1855,2)+1)</f>
        <v>0</v>
      </c>
      <c r="BH1855">
        <f>IF($A1855="","",IF($A1854="",1,IF(BG1855&lt;&gt;BG1854,1,0)))</f>
        <v>0</v>
      </c>
      <c r="BI1855">
        <f>IF($A1855="","",IF($A1856="",1,IF(BG1856&lt;&gt;BG1855,1,0)))</f>
        <v>0</v>
      </c>
      <c r="BJ1855">
        <f>IF($A1855="","",IF(BH1855=1,$B1855,BJ1854))</f>
        <v>0</v>
      </c>
      <c r="BK1855">
        <f>IF($A1855="","",IF(BH1855=1,$C1855,MAX($C1855,BK1854)))</f>
        <v>0</v>
      </c>
      <c r="BL1855">
        <f>IF($A1855="","",IF(BH1855=1,$D1855,MIN($D1855,BL1854)))</f>
        <v>0</v>
      </c>
      <c r="BM1855">
        <f>IF($A1855="","",IF(BI1855=1,F1855,""))</f>
        <v>0</v>
      </c>
      <c r="BN1855">
        <f>IF($A1855="","",DATE(YEAR($A1855),MONTH($A1855),1))</f>
        <v>0</v>
      </c>
      <c r="BO1855">
        <f>IF($A1855="","",IF($A1854="",1,IF(BN1855&lt;&gt;BN1854,1,0)))</f>
        <v>0</v>
      </c>
      <c r="BP1855">
        <f>IF($A1855="","",IF($A1856="",1,IF(BN1856&lt;&gt;BN1855,1,0)))</f>
        <v>0</v>
      </c>
      <c r="BQ1855">
        <f>IF($A1855="","",IF(BO1855=1,$B1855,BQ1854))</f>
        <v>0</v>
      </c>
      <c r="BR1855">
        <f>IF($A1855="","",IF(BO1855=1,$C1855,MAX($C1855,BR1854)))</f>
        <v>0</v>
      </c>
      <c r="BS1855">
        <f>IF($A1855="","",IF(BO1855=1,$D1855,MIN($D1855,BS1854)))</f>
        <v>0</v>
      </c>
      <c r="BT1855">
        <f>IF($A1855="","",IF(BP1855=1,F1855,""))</f>
        <v>0</v>
      </c>
    </row>
    <row r="1856" spans="1:72">
      <c r="A1856" s="27">
        <f>IF(Data!$A1856="","",Data!$A1856)</f>
        <v>0</v>
      </c>
      <c r="B1856">
        <f>IF(Data!$B1856="","",Data!$B1856)</f>
        <v>0</v>
      </c>
      <c r="C1856">
        <f>IF(Data!$C1856="","",Data!$C1856)</f>
        <v>0</v>
      </c>
      <c r="D1856">
        <f>IF(Data!$D1856="","",Data!$D1856)</f>
        <v>0</v>
      </c>
      <c r="E1856">
        <f>IF(Data!$E1856="","",Data!$E1856)</f>
        <v>0</v>
      </c>
      <c r="F1856">
        <f>IF($E1856="","",N(F1855)+1)</f>
        <v>0</v>
      </c>
      <c r="G1856">
        <f>IF(OR($E1856="",$E1855=""),"",LN($E1856/$E1855))</f>
        <v>0</v>
      </c>
      <c r="H1856">
        <f>IF($E1856="","",IF($E1855="",$E1856,$E1856*0.0952380952+H1855*0.9047619048))</f>
        <v>0</v>
      </c>
      <c r="I1856">
        <f>IF($E1856="","",IF($E1855="",$E1856,$E1856*0.0392156863+I1855*0.9607843137))</f>
        <v>0</v>
      </c>
      <c r="J1856">
        <f>IF($E1856="","",IF($E1855="",$E1856,$E1856*0.0198019802+J1855*0.9801980198))</f>
        <v>0</v>
      </c>
      <c r="K1856">
        <f>IF($E1856="","",IF($E1855="",$E1856,$E1856*0.0099502488+K1855*0.9900497512))</f>
        <v>0</v>
      </c>
      <c r="L1856">
        <f>IF(OR($E1856="",$E1855=""),"",MAX($E1856-$E1855,0))</f>
        <v>0</v>
      </c>
      <c r="M1856">
        <f>IF(OR($E1856="",$E1855=""),"",MAX($E1855-$E1856,0))</f>
        <v>0</v>
      </c>
      <c r="N1856">
        <f>IF(COUNT($E$2:$E1856)&lt;15,"",IF(AVERAGE($M$1843:$M$1856)=0,100,100-100/(1+AVERAGE($L$1843:$L$1856)/AVERAGE($M$1843:$M$1856))))</f>
        <v>0</v>
      </c>
      <c r="O1856">
        <f>IF($E1856="","",IF($E1855="",$E1856,$E1856*0.1538461538+O1855*0.8461538462))</f>
        <v>0</v>
      </c>
      <c r="P1856">
        <f>IF($E1856="","",IF($E1855="",$E1856,$E1856*0.0740740741+P1855*0.9259259259))</f>
        <v>0</v>
      </c>
      <c r="Q1856">
        <f>IF(OR(O1856="",P1856=""),"",O1856-P1856)</f>
        <v>0</v>
      </c>
      <c r="R1856">
        <f>IF(Q1856="","",IF(R1855="",Q1856,Q1856*0.2000000000+R1855*0.8000000000))</f>
        <v>0</v>
      </c>
      <c r="S1856">
        <f>IF(OR(Q1856="",R1856=""),"",Q1856-R1856)</f>
        <v>0</v>
      </c>
      <c r="T1856">
        <f>IF(COUNT($E$2:$E1856)&lt;14,"",MAX($C$1843:$C$1856))</f>
        <v>0</v>
      </c>
      <c r="U1856">
        <f>IF(COUNT($E$2:$E1856)&lt;14,"",MIN($D$1843:$D$1856))</f>
        <v>0</v>
      </c>
      <c r="V1856">
        <f>IF(OR(T1856="",U1856="",T1856=U1856),"",100*($E1856-U1856)/(T1856-U1856))</f>
        <v>0</v>
      </c>
      <c r="W1856">
        <f>IF(COUNT($V$1854:$V$1856)&lt;3,"",AVERAGE($V$1854:$V$1856))</f>
        <v>0</v>
      </c>
      <c r="X1856">
        <f>IF(COUNT($N$1843:$N$1856)&lt;14,"",MIN($N$1843:$N$1856))</f>
        <v>0</v>
      </c>
      <c r="Y1856">
        <f>IF(COUNT($N$1843:$N$1856)&lt;14,"",MAX($N$1843:$N$1856))</f>
        <v>0</v>
      </c>
      <c r="Z1856">
        <f>IF(OR(N1856="",X1856="",Y1856="",Y1856=X1856),"",100*(N1856-X1856)/(Y1856-X1856))</f>
        <v>0</v>
      </c>
      <c r="AA1856">
        <f>IF(COUNT($Z$1854:$Z$1856)&lt;3,"",AVERAGE($Z$1854:$Z$1856))</f>
        <v>0</v>
      </c>
      <c r="AB1856">
        <f>IF(COUNT($AA$1854:$AA$1856)&lt;3,"",AVERAGE($AA$1854:$AA$1856))</f>
        <v>0</v>
      </c>
      <c r="AC1856">
        <f>IF($E1856="","",MAX($C1856-$D1856,ABS($C1856-$E1855),ABS($D1856-$E1855)))</f>
        <v>0</v>
      </c>
      <c r="AD1856">
        <f>IF(COUNT($E$2:$E1856)&lt;15,"",AVERAGE($AC$1843:$AC$1856))</f>
        <v>0</v>
      </c>
      <c r="AE1856">
        <f>IF(OR($E1856="",$E1855=""),"",IF(AND(($C1856-$C1855)&gt;($D1855-$D1856),($C1856-$C1855)&gt;0),$C1856-$C1855,0))</f>
        <v>0</v>
      </c>
      <c r="AF1856">
        <f>IF(OR($E1856="",$E1855=""),"",IF(AND(($D1855-$D1856)&gt;($C1856-$C1855),($D1855-$D1856)&gt;0),$D1855-$D1856,0))</f>
        <v>0</v>
      </c>
      <c r="AG1856">
        <f>IF(COUNT($E$2:$E1856)&lt;15,"",IF(SUM($AC$1843:$AC$1856)=0,0,100*SUM($AE$1843:$AE$1856)/SUM($AC$1843:$AC$1856)))</f>
        <v>0</v>
      </c>
      <c r="AH1856">
        <f>IF(COUNT($E$2:$E1856)&lt;15,"",IF(SUM($AC$1843:$AC$1856)=0,0,100*SUM($AF$1843:$AF$1856)/SUM($AC$1843:$AC$1856)))</f>
        <v>0</v>
      </c>
      <c r="AI1856">
        <f>IF(OR(AG1856="",AH1856=""),"",IF((AG1856+AH1856)=0,0,100*ABS(AG1856-AH1856)/(AG1856+AH1856)))</f>
        <v>0</v>
      </c>
      <c r="AJ1856">
        <f>IF(COUNT($AI$1843:$AI$1856)&lt;14,"",AVERAGE($AI$1843:$AI$1856))</f>
        <v>0</v>
      </c>
      <c r="AK1856">
        <f>IF(COUNT($E$2:$E1856)&lt;20,"",AVERAGE($E$1837:$E$1856))</f>
        <v>0</v>
      </c>
      <c r="AL1856">
        <f>IF(COUNT($E$2:$E1856)&lt;20,"",STDEVP($E$1837:$E$1856))</f>
        <v>0</v>
      </c>
      <c r="AM1856">
        <f>IF(AK1856="","",AK1856+2*AL1856)</f>
        <v>0</v>
      </c>
      <c r="AN1856">
        <f>IF(AK1856="","",AK1856-2*AL1856)</f>
        <v>0</v>
      </c>
      <c r="AO1856">
        <f>IF(OR(AM1856="",AN1856="",AM1856=AN1856),"",($E1856-AN1856)/(AM1856-AN1856))</f>
        <v>0</v>
      </c>
      <c r="AP1856">
        <f>IF(OR(AM1856="",AK1856="",AK1856=0),"",(AM1856-AN1856)/AK1856)</f>
        <v>0</v>
      </c>
      <c r="AQ1856">
        <f>IF(COUNT($E$2:$E1856)&lt;20,"",MAX($C$1837:$C$1856))</f>
        <v>0</v>
      </c>
      <c r="AR1856">
        <f>IF(COUNT($E$2:$E1856)&lt;20,"",MIN($D$1837:$D$1856))</f>
        <v>0</v>
      </c>
      <c r="AS1856">
        <f>IF(OR(AQ1856="",AR1856=""),"",(AQ1856+AR1856)/2)</f>
        <v>0</v>
      </c>
      <c r="AT1856">
        <f>IF(COUNT($G$1837:$G$1856)&lt;20,"",STDEV($G$1837:$G$1856)*SQRT(252))</f>
        <v>0</v>
      </c>
      <c r="AU1856">
        <f>IF(COUNT($E$2:$E1856)&lt;9,"",(MAX($C$1848:$C$1856)+MIN($D$1848:$D$1856))/2)</f>
        <v>0</v>
      </c>
      <c r="AV1856">
        <f>IF(COUNT($E$2:$E1856)&lt;26,"",(MAX($C$1831:$C$1856)+MIN($D$1831:$D$1856))/2)</f>
        <v>0</v>
      </c>
      <c r="AW1856">
        <f>IF(OR(AU1856="",AV1856=""),"",(AU1856+AV1856)/2)</f>
        <v>0</v>
      </c>
      <c r="AX1856">
        <f>IF(COUNT($E$2:$E1856)&lt;52,"",(MAX($C$1805:$C$1856)+MIN($D$1805:$D$1856))/2)</f>
        <v>0</v>
      </c>
      <c r="AY1856">
        <f>IF(COUNT($E$2:$E1856)&lt;20,"",MAX($C$1757:$C$1856))</f>
        <v>0</v>
      </c>
      <c r="AZ1856">
        <f>IF(COUNT($E$2:$E1856)&lt;20,"",MIN($D$1757:$D$1856))</f>
        <v>0</v>
      </c>
      <c r="BA1856">
        <f>IF(COUNT($E$2:$E1856)&lt;20,"",SLOPE($E$1757:$E$1856,$F$1757:$F$1856))</f>
        <v>0</v>
      </c>
      <c r="BB1856">
        <f>IF(COUNT($E$2:$E1856)&lt;20,"",INTERCEPT($E$1757:$E$1856,$F$1757:$F$1856))</f>
        <v>0</v>
      </c>
      <c r="BC1856">
        <f>IF(OR(BA1856="",BB1856=""),"",BB1856+BA1856*F1856)</f>
        <v>0</v>
      </c>
      <c r="BD1856">
        <f>IF(COUNT($E$2:$E1856)&lt;20,"",STEYX($E$1757:$E$1856,$F$1757:$F$1856))</f>
        <v>0</v>
      </c>
      <c r="BE1856">
        <f>IF($E1856="","",IF(AND(COUNT($E$1857:$E$1860)&gt;=4,$C1856=MAX($C$1852:$C$1860)),$C1856,""))</f>
        <v>0</v>
      </c>
      <c r="BF1856">
        <f>IF($E1856="","",IF(AND(COUNT($E$1857:$E$1860)&gt;=4,$D1856=MIN($D$1852:$D$1860)),$D1856,""))</f>
        <v>0</v>
      </c>
      <c r="BG1856">
        <f>IF($A1856="","",$A1856-WEEKDAY($A1856,2)+1)</f>
        <v>0</v>
      </c>
      <c r="BH1856">
        <f>IF($A1856="","",IF($A1855="",1,IF(BG1856&lt;&gt;BG1855,1,0)))</f>
        <v>0</v>
      </c>
      <c r="BI1856">
        <f>IF($A1856="","",IF($A1857="",1,IF(BG1857&lt;&gt;BG1856,1,0)))</f>
        <v>0</v>
      </c>
      <c r="BJ1856">
        <f>IF($A1856="","",IF(BH1856=1,$B1856,BJ1855))</f>
        <v>0</v>
      </c>
      <c r="BK1856">
        <f>IF($A1856="","",IF(BH1856=1,$C1856,MAX($C1856,BK1855)))</f>
        <v>0</v>
      </c>
      <c r="BL1856">
        <f>IF($A1856="","",IF(BH1856=1,$D1856,MIN($D1856,BL1855)))</f>
        <v>0</v>
      </c>
      <c r="BM1856">
        <f>IF($A1856="","",IF(BI1856=1,F1856,""))</f>
        <v>0</v>
      </c>
      <c r="BN1856">
        <f>IF($A1856="","",DATE(YEAR($A1856),MONTH($A1856),1))</f>
        <v>0</v>
      </c>
      <c r="BO1856">
        <f>IF($A1856="","",IF($A1855="",1,IF(BN1856&lt;&gt;BN1855,1,0)))</f>
        <v>0</v>
      </c>
      <c r="BP1856">
        <f>IF($A1856="","",IF($A1857="",1,IF(BN1857&lt;&gt;BN1856,1,0)))</f>
        <v>0</v>
      </c>
      <c r="BQ1856">
        <f>IF($A1856="","",IF(BO1856=1,$B1856,BQ1855))</f>
        <v>0</v>
      </c>
      <c r="BR1856">
        <f>IF($A1856="","",IF(BO1856=1,$C1856,MAX($C1856,BR1855)))</f>
        <v>0</v>
      </c>
      <c r="BS1856">
        <f>IF($A1856="","",IF(BO1856=1,$D1856,MIN($D1856,BS1855)))</f>
        <v>0</v>
      </c>
      <c r="BT1856">
        <f>IF($A1856="","",IF(BP1856=1,F1856,""))</f>
        <v>0</v>
      </c>
    </row>
    <row r="1857" spans="1:72">
      <c r="A1857" s="27">
        <f>IF(Data!$A1857="","",Data!$A1857)</f>
        <v>0</v>
      </c>
      <c r="B1857">
        <f>IF(Data!$B1857="","",Data!$B1857)</f>
        <v>0</v>
      </c>
      <c r="C1857">
        <f>IF(Data!$C1857="","",Data!$C1857)</f>
        <v>0</v>
      </c>
      <c r="D1857">
        <f>IF(Data!$D1857="","",Data!$D1857)</f>
        <v>0</v>
      </c>
      <c r="E1857">
        <f>IF(Data!$E1857="","",Data!$E1857)</f>
        <v>0</v>
      </c>
      <c r="F1857">
        <f>IF($E1857="","",N(F1856)+1)</f>
        <v>0</v>
      </c>
      <c r="G1857">
        <f>IF(OR($E1857="",$E1856=""),"",LN($E1857/$E1856))</f>
        <v>0</v>
      </c>
      <c r="H1857">
        <f>IF($E1857="","",IF($E1856="",$E1857,$E1857*0.0952380952+H1856*0.9047619048))</f>
        <v>0</v>
      </c>
      <c r="I1857">
        <f>IF($E1857="","",IF($E1856="",$E1857,$E1857*0.0392156863+I1856*0.9607843137))</f>
        <v>0</v>
      </c>
      <c r="J1857">
        <f>IF($E1857="","",IF($E1856="",$E1857,$E1857*0.0198019802+J1856*0.9801980198))</f>
        <v>0</v>
      </c>
      <c r="K1857">
        <f>IF($E1857="","",IF($E1856="",$E1857,$E1857*0.0099502488+K1856*0.9900497512))</f>
        <v>0</v>
      </c>
      <c r="L1857">
        <f>IF(OR($E1857="",$E1856=""),"",MAX($E1857-$E1856,0))</f>
        <v>0</v>
      </c>
      <c r="M1857">
        <f>IF(OR($E1857="",$E1856=""),"",MAX($E1856-$E1857,0))</f>
        <v>0</v>
      </c>
      <c r="N1857">
        <f>IF(COUNT($E$2:$E1857)&lt;15,"",IF(AVERAGE($M$1844:$M$1857)=0,100,100-100/(1+AVERAGE($L$1844:$L$1857)/AVERAGE($M$1844:$M$1857))))</f>
        <v>0</v>
      </c>
      <c r="O1857">
        <f>IF($E1857="","",IF($E1856="",$E1857,$E1857*0.1538461538+O1856*0.8461538462))</f>
        <v>0</v>
      </c>
      <c r="P1857">
        <f>IF($E1857="","",IF($E1856="",$E1857,$E1857*0.0740740741+P1856*0.9259259259))</f>
        <v>0</v>
      </c>
      <c r="Q1857">
        <f>IF(OR(O1857="",P1857=""),"",O1857-P1857)</f>
        <v>0</v>
      </c>
      <c r="R1857">
        <f>IF(Q1857="","",IF(R1856="",Q1857,Q1857*0.2000000000+R1856*0.8000000000))</f>
        <v>0</v>
      </c>
      <c r="S1857">
        <f>IF(OR(Q1857="",R1857=""),"",Q1857-R1857)</f>
        <v>0</v>
      </c>
      <c r="T1857">
        <f>IF(COUNT($E$2:$E1857)&lt;14,"",MAX($C$1844:$C$1857))</f>
        <v>0</v>
      </c>
      <c r="U1857">
        <f>IF(COUNT($E$2:$E1857)&lt;14,"",MIN($D$1844:$D$1857))</f>
        <v>0</v>
      </c>
      <c r="V1857">
        <f>IF(OR(T1857="",U1857="",T1857=U1857),"",100*($E1857-U1857)/(T1857-U1857))</f>
        <v>0</v>
      </c>
      <c r="W1857">
        <f>IF(COUNT($V$1855:$V$1857)&lt;3,"",AVERAGE($V$1855:$V$1857))</f>
        <v>0</v>
      </c>
      <c r="X1857">
        <f>IF(COUNT($N$1844:$N$1857)&lt;14,"",MIN($N$1844:$N$1857))</f>
        <v>0</v>
      </c>
      <c r="Y1857">
        <f>IF(COUNT($N$1844:$N$1857)&lt;14,"",MAX($N$1844:$N$1857))</f>
        <v>0</v>
      </c>
      <c r="Z1857">
        <f>IF(OR(N1857="",X1857="",Y1857="",Y1857=X1857),"",100*(N1857-X1857)/(Y1857-X1857))</f>
        <v>0</v>
      </c>
      <c r="AA1857">
        <f>IF(COUNT($Z$1855:$Z$1857)&lt;3,"",AVERAGE($Z$1855:$Z$1857))</f>
        <v>0</v>
      </c>
      <c r="AB1857">
        <f>IF(COUNT($AA$1855:$AA$1857)&lt;3,"",AVERAGE($AA$1855:$AA$1857))</f>
        <v>0</v>
      </c>
      <c r="AC1857">
        <f>IF($E1857="","",MAX($C1857-$D1857,ABS($C1857-$E1856),ABS($D1857-$E1856)))</f>
        <v>0</v>
      </c>
      <c r="AD1857">
        <f>IF(COUNT($E$2:$E1857)&lt;15,"",AVERAGE($AC$1844:$AC$1857))</f>
        <v>0</v>
      </c>
      <c r="AE1857">
        <f>IF(OR($E1857="",$E1856=""),"",IF(AND(($C1857-$C1856)&gt;($D1856-$D1857),($C1857-$C1856)&gt;0),$C1857-$C1856,0))</f>
        <v>0</v>
      </c>
      <c r="AF1857">
        <f>IF(OR($E1857="",$E1856=""),"",IF(AND(($D1856-$D1857)&gt;($C1857-$C1856),($D1856-$D1857)&gt;0),$D1856-$D1857,0))</f>
        <v>0</v>
      </c>
      <c r="AG1857">
        <f>IF(COUNT($E$2:$E1857)&lt;15,"",IF(SUM($AC$1844:$AC$1857)=0,0,100*SUM($AE$1844:$AE$1857)/SUM($AC$1844:$AC$1857)))</f>
        <v>0</v>
      </c>
      <c r="AH1857">
        <f>IF(COUNT($E$2:$E1857)&lt;15,"",IF(SUM($AC$1844:$AC$1857)=0,0,100*SUM($AF$1844:$AF$1857)/SUM($AC$1844:$AC$1857)))</f>
        <v>0</v>
      </c>
      <c r="AI1857">
        <f>IF(OR(AG1857="",AH1857=""),"",IF((AG1857+AH1857)=0,0,100*ABS(AG1857-AH1857)/(AG1857+AH1857)))</f>
        <v>0</v>
      </c>
      <c r="AJ1857">
        <f>IF(COUNT($AI$1844:$AI$1857)&lt;14,"",AVERAGE($AI$1844:$AI$1857))</f>
        <v>0</v>
      </c>
      <c r="AK1857">
        <f>IF(COUNT($E$2:$E1857)&lt;20,"",AVERAGE($E$1838:$E$1857))</f>
        <v>0</v>
      </c>
      <c r="AL1857">
        <f>IF(COUNT($E$2:$E1857)&lt;20,"",STDEVP($E$1838:$E$1857))</f>
        <v>0</v>
      </c>
      <c r="AM1857">
        <f>IF(AK1857="","",AK1857+2*AL1857)</f>
        <v>0</v>
      </c>
      <c r="AN1857">
        <f>IF(AK1857="","",AK1857-2*AL1857)</f>
        <v>0</v>
      </c>
      <c r="AO1857">
        <f>IF(OR(AM1857="",AN1857="",AM1857=AN1857),"",($E1857-AN1857)/(AM1857-AN1857))</f>
        <v>0</v>
      </c>
      <c r="AP1857">
        <f>IF(OR(AM1857="",AK1857="",AK1857=0),"",(AM1857-AN1857)/AK1857)</f>
        <v>0</v>
      </c>
      <c r="AQ1857">
        <f>IF(COUNT($E$2:$E1857)&lt;20,"",MAX($C$1838:$C$1857))</f>
        <v>0</v>
      </c>
      <c r="AR1857">
        <f>IF(COUNT($E$2:$E1857)&lt;20,"",MIN($D$1838:$D$1857))</f>
        <v>0</v>
      </c>
      <c r="AS1857">
        <f>IF(OR(AQ1857="",AR1857=""),"",(AQ1857+AR1857)/2)</f>
        <v>0</v>
      </c>
      <c r="AT1857">
        <f>IF(COUNT($G$1838:$G$1857)&lt;20,"",STDEV($G$1838:$G$1857)*SQRT(252))</f>
        <v>0</v>
      </c>
      <c r="AU1857">
        <f>IF(COUNT($E$2:$E1857)&lt;9,"",(MAX($C$1849:$C$1857)+MIN($D$1849:$D$1857))/2)</f>
        <v>0</v>
      </c>
      <c r="AV1857">
        <f>IF(COUNT($E$2:$E1857)&lt;26,"",(MAX($C$1832:$C$1857)+MIN($D$1832:$D$1857))/2)</f>
        <v>0</v>
      </c>
      <c r="AW1857">
        <f>IF(OR(AU1857="",AV1857=""),"",(AU1857+AV1857)/2)</f>
        <v>0</v>
      </c>
      <c r="AX1857">
        <f>IF(COUNT($E$2:$E1857)&lt;52,"",(MAX($C$1806:$C$1857)+MIN($D$1806:$D$1857))/2)</f>
        <v>0</v>
      </c>
      <c r="AY1857">
        <f>IF(COUNT($E$2:$E1857)&lt;20,"",MAX($C$1758:$C$1857))</f>
        <v>0</v>
      </c>
      <c r="AZ1857">
        <f>IF(COUNT($E$2:$E1857)&lt;20,"",MIN($D$1758:$D$1857))</f>
        <v>0</v>
      </c>
      <c r="BA1857">
        <f>IF(COUNT($E$2:$E1857)&lt;20,"",SLOPE($E$1758:$E$1857,$F$1758:$F$1857))</f>
        <v>0</v>
      </c>
      <c r="BB1857">
        <f>IF(COUNT($E$2:$E1857)&lt;20,"",INTERCEPT($E$1758:$E$1857,$F$1758:$F$1857))</f>
        <v>0</v>
      </c>
      <c r="BC1857">
        <f>IF(OR(BA1857="",BB1857=""),"",BB1857+BA1857*F1857)</f>
        <v>0</v>
      </c>
      <c r="BD1857">
        <f>IF(COUNT($E$2:$E1857)&lt;20,"",STEYX($E$1758:$E$1857,$F$1758:$F$1857))</f>
        <v>0</v>
      </c>
      <c r="BE1857">
        <f>IF($E1857="","",IF(AND(COUNT($E$1858:$E$1861)&gt;=4,$C1857=MAX($C$1853:$C$1861)),$C1857,""))</f>
        <v>0</v>
      </c>
      <c r="BF1857">
        <f>IF($E1857="","",IF(AND(COUNT($E$1858:$E$1861)&gt;=4,$D1857=MIN($D$1853:$D$1861)),$D1857,""))</f>
        <v>0</v>
      </c>
      <c r="BG1857">
        <f>IF($A1857="","",$A1857-WEEKDAY($A1857,2)+1)</f>
        <v>0</v>
      </c>
      <c r="BH1857">
        <f>IF($A1857="","",IF($A1856="",1,IF(BG1857&lt;&gt;BG1856,1,0)))</f>
        <v>0</v>
      </c>
      <c r="BI1857">
        <f>IF($A1857="","",IF($A1858="",1,IF(BG1858&lt;&gt;BG1857,1,0)))</f>
        <v>0</v>
      </c>
      <c r="BJ1857">
        <f>IF($A1857="","",IF(BH1857=1,$B1857,BJ1856))</f>
        <v>0</v>
      </c>
      <c r="BK1857">
        <f>IF($A1857="","",IF(BH1857=1,$C1857,MAX($C1857,BK1856)))</f>
        <v>0</v>
      </c>
      <c r="BL1857">
        <f>IF($A1857="","",IF(BH1857=1,$D1857,MIN($D1857,BL1856)))</f>
        <v>0</v>
      </c>
      <c r="BM1857">
        <f>IF($A1857="","",IF(BI1857=1,F1857,""))</f>
        <v>0</v>
      </c>
      <c r="BN1857">
        <f>IF($A1857="","",DATE(YEAR($A1857),MONTH($A1857),1))</f>
        <v>0</v>
      </c>
      <c r="BO1857">
        <f>IF($A1857="","",IF($A1856="",1,IF(BN1857&lt;&gt;BN1856,1,0)))</f>
        <v>0</v>
      </c>
      <c r="BP1857">
        <f>IF($A1857="","",IF($A1858="",1,IF(BN1858&lt;&gt;BN1857,1,0)))</f>
        <v>0</v>
      </c>
      <c r="BQ1857">
        <f>IF($A1857="","",IF(BO1857=1,$B1857,BQ1856))</f>
        <v>0</v>
      </c>
      <c r="BR1857">
        <f>IF($A1857="","",IF(BO1857=1,$C1857,MAX($C1857,BR1856)))</f>
        <v>0</v>
      </c>
      <c r="BS1857">
        <f>IF($A1857="","",IF(BO1857=1,$D1857,MIN($D1857,BS1856)))</f>
        <v>0</v>
      </c>
      <c r="BT1857">
        <f>IF($A1857="","",IF(BP1857=1,F1857,""))</f>
        <v>0</v>
      </c>
    </row>
    <row r="1858" spans="1:72">
      <c r="A1858" s="27">
        <f>IF(Data!$A1858="","",Data!$A1858)</f>
        <v>0</v>
      </c>
      <c r="B1858">
        <f>IF(Data!$B1858="","",Data!$B1858)</f>
        <v>0</v>
      </c>
      <c r="C1858">
        <f>IF(Data!$C1858="","",Data!$C1858)</f>
        <v>0</v>
      </c>
      <c r="D1858">
        <f>IF(Data!$D1858="","",Data!$D1858)</f>
        <v>0</v>
      </c>
      <c r="E1858">
        <f>IF(Data!$E1858="","",Data!$E1858)</f>
        <v>0</v>
      </c>
      <c r="F1858">
        <f>IF($E1858="","",N(F1857)+1)</f>
        <v>0</v>
      </c>
      <c r="G1858">
        <f>IF(OR($E1858="",$E1857=""),"",LN($E1858/$E1857))</f>
        <v>0</v>
      </c>
      <c r="H1858">
        <f>IF($E1858="","",IF($E1857="",$E1858,$E1858*0.0952380952+H1857*0.9047619048))</f>
        <v>0</v>
      </c>
      <c r="I1858">
        <f>IF($E1858="","",IF($E1857="",$E1858,$E1858*0.0392156863+I1857*0.9607843137))</f>
        <v>0</v>
      </c>
      <c r="J1858">
        <f>IF($E1858="","",IF($E1857="",$E1858,$E1858*0.0198019802+J1857*0.9801980198))</f>
        <v>0</v>
      </c>
      <c r="K1858">
        <f>IF($E1858="","",IF($E1857="",$E1858,$E1858*0.0099502488+K1857*0.9900497512))</f>
        <v>0</v>
      </c>
      <c r="L1858">
        <f>IF(OR($E1858="",$E1857=""),"",MAX($E1858-$E1857,0))</f>
        <v>0</v>
      </c>
      <c r="M1858">
        <f>IF(OR($E1858="",$E1857=""),"",MAX($E1857-$E1858,0))</f>
        <v>0</v>
      </c>
      <c r="N1858">
        <f>IF(COUNT($E$2:$E1858)&lt;15,"",IF(AVERAGE($M$1845:$M$1858)=0,100,100-100/(1+AVERAGE($L$1845:$L$1858)/AVERAGE($M$1845:$M$1858))))</f>
        <v>0</v>
      </c>
      <c r="O1858">
        <f>IF($E1858="","",IF($E1857="",$E1858,$E1858*0.1538461538+O1857*0.8461538462))</f>
        <v>0</v>
      </c>
      <c r="P1858">
        <f>IF($E1858="","",IF($E1857="",$E1858,$E1858*0.0740740741+P1857*0.9259259259))</f>
        <v>0</v>
      </c>
      <c r="Q1858">
        <f>IF(OR(O1858="",P1858=""),"",O1858-P1858)</f>
        <v>0</v>
      </c>
      <c r="R1858">
        <f>IF(Q1858="","",IF(R1857="",Q1858,Q1858*0.2000000000+R1857*0.8000000000))</f>
        <v>0</v>
      </c>
      <c r="S1858">
        <f>IF(OR(Q1858="",R1858=""),"",Q1858-R1858)</f>
        <v>0</v>
      </c>
      <c r="T1858">
        <f>IF(COUNT($E$2:$E1858)&lt;14,"",MAX($C$1845:$C$1858))</f>
        <v>0</v>
      </c>
      <c r="U1858">
        <f>IF(COUNT($E$2:$E1858)&lt;14,"",MIN($D$1845:$D$1858))</f>
        <v>0</v>
      </c>
      <c r="V1858">
        <f>IF(OR(T1858="",U1858="",T1858=U1858),"",100*($E1858-U1858)/(T1858-U1858))</f>
        <v>0</v>
      </c>
      <c r="W1858">
        <f>IF(COUNT($V$1856:$V$1858)&lt;3,"",AVERAGE($V$1856:$V$1858))</f>
        <v>0</v>
      </c>
      <c r="X1858">
        <f>IF(COUNT($N$1845:$N$1858)&lt;14,"",MIN($N$1845:$N$1858))</f>
        <v>0</v>
      </c>
      <c r="Y1858">
        <f>IF(COUNT($N$1845:$N$1858)&lt;14,"",MAX($N$1845:$N$1858))</f>
        <v>0</v>
      </c>
      <c r="Z1858">
        <f>IF(OR(N1858="",X1858="",Y1858="",Y1858=X1858),"",100*(N1858-X1858)/(Y1858-X1858))</f>
        <v>0</v>
      </c>
      <c r="AA1858">
        <f>IF(COUNT($Z$1856:$Z$1858)&lt;3,"",AVERAGE($Z$1856:$Z$1858))</f>
        <v>0</v>
      </c>
      <c r="AB1858">
        <f>IF(COUNT($AA$1856:$AA$1858)&lt;3,"",AVERAGE($AA$1856:$AA$1858))</f>
        <v>0</v>
      </c>
      <c r="AC1858">
        <f>IF($E1858="","",MAX($C1858-$D1858,ABS($C1858-$E1857),ABS($D1858-$E1857)))</f>
        <v>0</v>
      </c>
      <c r="AD1858">
        <f>IF(COUNT($E$2:$E1858)&lt;15,"",AVERAGE($AC$1845:$AC$1858))</f>
        <v>0</v>
      </c>
      <c r="AE1858">
        <f>IF(OR($E1858="",$E1857=""),"",IF(AND(($C1858-$C1857)&gt;($D1857-$D1858),($C1858-$C1857)&gt;0),$C1858-$C1857,0))</f>
        <v>0</v>
      </c>
      <c r="AF1858">
        <f>IF(OR($E1858="",$E1857=""),"",IF(AND(($D1857-$D1858)&gt;($C1858-$C1857),($D1857-$D1858)&gt;0),$D1857-$D1858,0))</f>
        <v>0</v>
      </c>
      <c r="AG1858">
        <f>IF(COUNT($E$2:$E1858)&lt;15,"",IF(SUM($AC$1845:$AC$1858)=0,0,100*SUM($AE$1845:$AE$1858)/SUM($AC$1845:$AC$1858)))</f>
        <v>0</v>
      </c>
      <c r="AH1858">
        <f>IF(COUNT($E$2:$E1858)&lt;15,"",IF(SUM($AC$1845:$AC$1858)=0,0,100*SUM($AF$1845:$AF$1858)/SUM($AC$1845:$AC$1858)))</f>
        <v>0</v>
      </c>
      <c r="AI1858">
        <f>IF(OR(AG1858="",AH1858=""),"",IF((AG1858+AH1858)=0,0,100*ABS(AG1858-AH1858)/(AG1858+AH1858)))</f>
        <v>0</v>
      </c>
      <c r="AJ1858">
        <f>IF(COUNT($AI$1845:$AI$1858)&lt;14,"",AVERAGE($AI$1845:$AI$1858))</f>
        <v>0</v>
      </c>
      <c r="AK1858">
        <f>IF(COUNT($E$2:$E1858)&lt;20,"",AVERAGE($E$1839:$E$1858))</f>
        <v>0</v>
      </c>
      <c r="AL1858">
        <f>IF(COUNT($E$2:$E1858)&lt;20,"",STDEVP($E$1839:$E$1858))</f>
        <v>0</v>
      </c>
      <c r="AM1858">
        <f>IF(AK1858="","",AK1858+2*AL1858)</f>
        <v>0</v>
      </c>
      <c r="AN1858">
        <f>IF(AK1858="","",AK1858-2*AL1858)</f>
        <v>0</v>
      </c>
      <c r="AO1858">
        <f>IF(OR(AM1858="",AN1858="",AM1858=AN1858),"",($E1858-AN1858)/(AM1858-AN1858))</f>
        <v>0</v>
      </c>
      <c r="AP1858">
        <f>IF(OR(AM1858="",AK1858="",AK1858=0),"",(AM1858-AN1858)/AK1858)</f>
        <v>0</v>
      </c>
      <c r="AQ1858">
        <f>IF(COUNT($E$2:$E1858)&lt;20,"",MAX($C$1839:$C$1858))</f>
        <v>0</v>
      </c>
      <c r="AR1858">
        <f>IF(COUNT($E$2:$E1858)&lt;20,"",MIN($D$1839:$D$1858))</f>
        <v>0</v>
      </c>
      <c r="AS1858">
        <f>IF(OR(AQ1858="",AR1858=""),"",(AQ1858+AR1858)/2)</f>
        <v>0</v>
      </c>
      <c r="AT1858">
        <f>IF(COUNT($G$1839:$G$1858)&lt;20,"",STDEV($G$1839:$G$1858)*SQRT(252))</f>
        <v>0</v>
      </c>
      <c r="AU1858">
        <f>IF(COUNT($E$2:$E1858)&lt;9,"",(MAX($C$1850:$C$1858)+MIN($D$1850:$D$1858))/2)</f>
        <v>0</v>
      </c>
      <c r="AV1858">
        <f>IF(COUNT($E$2:$E1858)&lt;26,"",(MAX($C$1833:$C$1858)+MIN($D$1833:$D$1858))/2)</f>
        <v>0</v>
      </c>
      <c r="AW1858">
        <f>IF(OR(AU1858="",AV1858=""),"",(AU1858+AV1858)/2)</f>
        <v>0</v>
      </c>
      <c r="AX1858">
        <f>IF(COUNT($E$2:$E1858)&lt;52,"",(MAX($C$1807:$C$1858)+MIN($D$1807:$D$1858))/2)</f>
        <v>0</v>
      </c>
      <c r="AY1858">
        <f>IF(COUNT($E$2:$E1858)&lt;20,"",MAX($C$1759:$C$1858))</f>
        <v>0</v>
      </c>
      <c r="AZ1858">
        <f>IF(COUNT($E$2:$E1858)&lt;20,"",MIN($D$1759:$D$1858))</f>
        <v>0</v>
      </c>
      <c r="BA1858">
        <f>IF(COUNT($E$2:$E1858)&lt;20,"",SLOPE($E$1759:$E$1858,$F$1759:$F$1858))</f>
        <v>0</v>
      </c>
      <c r="BB1858">
        <f>IF(COUNT($E$2:$E1858)&lt;20,"",INTERCEPT($E$1759:$E$1858,$F$1759:$F$1858))</f>
        <v>0</v>
      </c>
      <c r="BC1858">
        <f>IF(OR(BA1858="",BB1858=""),"",BB1858+BA1858*F1858)</f>
        <v>0</v>
      </c>
      <c r="BD1858">
        <f>IF(COUNT($E$2:$E1858)&lt;20,"",STEYX($E$1759:$E$1858,$F$1759:$F$1858))</f>
        <v>0</v>
      </c>
      <c r="BE1858">
        <f>IF($E1858="","",IF(AND(COUNT($E$1859:$E$1862)&gt;=4,$C1858=MAX($C$1854:$C$1862)),$C1858,""))</f>
        <v>0</v>
      </c>
      <c r="BF1858">
        <f>IF($E1858="","",IF(AND(COUNT($E$1859:$E$1862)&gt;=4,$D1858=MIN($D$1854:$D$1862)),$D1858,""))</f>
        <v>0</v>
      </c>
      <c r="BG1858">
        <f>IF($A1858="","",$A1858-WEEKDAY($A1858,2)+1)</f>
        <v>0</v>
      </c>
      <c r="BH1858">
        <f>IF($A1858="","",IF($A1857="",1,IF(BG1858&lt;&gt;BG1857,1,0)))</f>
        <v>0</v>
      </c>
      <c r="BI1858">
        <f>IF($A1858="","",IF($A1859="",1,IF(BG1859&lt;&gt;BG1858,1,0)))</f>
        <v>0</v>
      </c>
      <c r="BJ1858">
        <f>IF($A1858="","",IF(BH1858=1,$B1858,BJ1857))</f>
        <v>0</v>
      </c>
      <c r="BK1858">
        <f>IF($A1858="","",IF(BH1858=1,$C1858,MAX($C1858,BK1857)))</f>
        <v>0</v>
      </c>
      <c r="BL1858">
        <f>IF($A1858="","",IF(BH1858=1,$D1858,MIN($D1858,BL1857)))</f>
        <v>0</v>
      </c>
      <c r="BM1858">
        <f>IF($A1858="","",IF(BI1858=1,F1858,""))</f>
        <v>0</v>
      </c>
      <c r="BN1858">
        <f>IF($A1858="","",DATE(YEAR($A1858),MONTH($A1858),1))</f>
        <v>0</v>
      </c>
      <c r="BO1858">
        <f>IF($A1858="","",IF($A1857="",1,IF(BN1858&lt;&gt;BN1857,1,0)))</f>
        <v>0</v>
      </c>
      <c r="BP1858">
        <f>IF($A1858="","",IF($A1859="",1,IF(BN1859&lt;&gt;BN1858,1,0)))</f>
        <v>0</v>
      </c>
      <c r="BQ1858">
        <f>IF($A1858="","",IF(BO1858=1,$B1858,BQ1857))</f>
        <v>0</v>
      </c>
      <c r="BR1858">
        <f>IF($A1858="","",IF(BO1858=1,$C1858,MAX($C1858,BR1857)))</f>
        <v>0</v>
      </c>
      <c r="BS1858">
        <f>IF($A1858="","",IF(BO1858=1,$D1858,MIN($D1858,BS1857)))</f>
        <v>0</v>
      </c>
      <c r="BT1858">
        <f>IF($A1858="","",IF(BP1858=1,F1858,""))</f>
        <v>0</v>
      </c>
    </row>
    <row r="1859" spans="1:72">
      <c r="A1859" s="27">
        <f>IF(Data!$A1859="","",Data!$A1859)</f>
        <v>0</v>
      </c>
      <c r="B1859">
        <f>IF(Data!$B1859="","",Data!$B1859)</f>
        <v>0</v>
      </c>
      <c r="C1859">
        <f>IF(Data!$C1859="","",Data!$C1859)</f>
        <v>0</v>
      </c>
      <c r="D1859">
        <f>IF(Data!$D1859="","",Data!$D1859)</f>
        <v>0</v>
      </c>
      <c r="E1859">
        <f>IF(Data!$E1859="","",Data!$E1859)</f>
        <v>0</v>
      </c>
      <c r="F1859">
        <f>IF($E1859="","",N(F1858)+1)</f>
        <v>0</v>
      </c>
      <c r="G1859">
        <f>IF(OR($E1859="",$E1858=""),"",LN($E1859/$E1858))</f>
        <v>0</v>
      </c>
      <c r="H1859">
        <f>IF($E1859="","",IF($E1858="",$E1859,$E1859*0.0952380952+H1858*0.9047619048))</f>
        <v>0</v>
      </c>
      <c r="I1859">
        <f>IF($E1859="","",IF($E1858="",$E1859,$E1859*0.0392156863+I1858*0.9607843137))</f>
        <v>0</v>
      </c>
      <c r="J1859">
        <f>IF($E1859="","",IF($E1858="",$E1859,$E1859*0.0198019802+J1858*0.9801980198))</f>
        <v>0</v>
      </c>
      <c r="K1859">
        <f>IF($E1859="","",IF($E1858="",$E1859,$E1859*0.0099502488+K1858*0.9900497512))</f>
        <v>0</v>
      </c>
      <c r="L1859">
        <f>IF(OR($E1859="",$E1858=""),"",MAX($E1859-$E1858,0))</f>
        <v>0</v>
      </c>
      <c r="M1859">
        <f>IF(OR($E1859="",$E1858=""),"",MAX($E1858-$E1859,0))</f>
        <v>0</v>
      </c>
      <c r="N1859">
        <f>IF(COUNT($E$2:$E1859)&lt;15,"",IF(AVERAGE($M$1846:$M$1859)=0,100,100-100/(1+AVERAGE($L$1846:$L$1859)/AVERAGE($M$1846:$M$1859))))</f>
        <v>0</v>
      </c>
      <c r="O1859">
        <f>IF($E1859="","",IF($E1858="",$E1859,$E1859*0.1538461538+O1858*0.8461538462))</f>
        <v>0</v>
      </c>
      <c r="P1859">
        <f>IF($E1859="","",IF($E1858="",$E1859,$E1859*0.0740740741+P1858*0.9259259259))</f>
        <v>0</v>
      </c>
      <c r="Q1859">
        <f>IF(OR(O1859="",P1859=""),"",O1859-P1859)</f>
        <v>0</v>
      </c>
      <c r="R1859">
        <f>IF(Q1859="","",IF(R1858="",Q1859,Q1859*0.2000000000+R1858*0.8000000000))</f>
        <v>0</v>
      </c>
      <c r="S1859">
        <f>IF(OR(Q1859="",R1859=""),"",Q1859-R1859)</f>
        <v>0</v>
      </c>
      <c r="T1859">
        <f>IF(COUNT($E$2:$E1859)&lt;14,"",MAX($C$1846:$C$1859))</f>
        <v>0</v>
      </c>
      <c r="U1859">
        <f>IF(COUNT($E$2:$E1859)&lt;14,"",MIN($D$1846:$D$1859))</f>
        <v>0</v>
      </c>
      <c r="V1859">
        <f>IF(OR(T1859="",U1859="",T1859=U1859),"",100*($E1859-U1859)/(T1859-U1859))</f>
        <v>0</v>
      </c>
      <c r="W1859">
        <f>IF(COUNT($V$1857:$V$1859)&lt;3,"",AVERAGE($V$1857:$V$1859))</f>
        <v>0</v>
      </c>
      <c r="X1859">
        <f>IF(COUNT($N$1846:$N$1859)&lt;14,"",MIN($N$1846:$N$1859))</f>
        <v>0</v>
      </c>
      <c r="Y1859">
        <f>IF(COUNT($N$1846:$N$1859)&lt;14,"",MAX($N$1846:$N$1859))</f>
        <v>0</v>
      </c>
      <c r="Z1859">
        <f>IF(OR(N1859="",X1859="",Y1859="",Y1859=X1859),"",100*(N1859-X1859)/(Y1859-X1859))</f>
        <v>0</v>
      </c>
      <c r="AA1859">
        <f>IF(COUNT($Z$1857:$Z$1859)&lt;3,"",AVERAGE($Z$1857:$Z$1859))</f>
        <v>0</v>
      </c>
      <c r="AB1859">
        <f>IF(COUNT($AA$1857:$AA$1859)&lt;3,"",AVERAGE($AA$1857:$AA$1859))</f>
        <v>0</v>
      </c>
      <c r="AC1859">
        <f>IF($E1859="","",MAX($C1859-$D1859,ABS($C1859-$E1858),ABS($D1859-$E1858)))</f>
        <v>0</v>
      </c>
      <c r="AD1859">
        <f>IF(COUNT($E$2:$E1859)&lt;15,"",AVERAGE($AC$1846:$AC$1859))</f>
        <v>0</v>
      </c>
      <c r="AE1859">
        <f>IF(OR($E1859="",$E1858=""),"",IF(AND(($C1859-$C1858)&gt;($D1858-$D1859),($C1859-$C1858)&gt;0),$C1859-$C1858,0))</f>
        <v>0</v>
      </c>
      <c r="AF1859">
        <f>IF(OR($E1859="",$E1858=""),"",IF(AND(($D1858-$D1859)&gt;($C1859-$C1858),($D1858-$D1859)&gt;0),$D1858-$D1859,0))</f>
        <v>0</v>
      </c>
      <c r="AG1859">
        <f>IF(COUNT($E$2:$E1859)&lt;15,"",IF(SUM($AC$1846:$AC$1859)=0,0,100*SUM($AE$1846:$AE$1859)/SUM($AC$1846:$AC$1859)))</f>
        <v>0</v>
      </c>
      <c r="AH1859">
        <f>IF(COUNT($E$2:$E1859)&lt;15,"",IF(SUM($AC$1846:$AC$1859)=0,0,100*SUM($AF$1846:$AF$1859)/SUM($AC$1846:$AC$1859)))</f>
        <v>0</v>
      </c>
      <c r="AI1859">
        <f>IF(OR(AG1859="",AH1859=""),"",IF((AG1859+AH1859)=0,0,100*ABS(AG1859-AH1859)/(AG1859+AH1859)))</f>
        <v>0</v>
      </c>
      <c r="AJ1859">
        <f>IF(COUNT($AI$1846:$AI$1859)&lt;14,"",AVERAGE($AI$1846:$AI$1859))</f>
        <v>0</v>
      </c>
      <c r="AK1859">
        <f>IF(COUNT($E$2:$E1859)&lt;20,"",AVERAGE($E$1840:$E$1859))</f>
        <v>0</v>
      </c>
      <c r="AL1859">
        <f>IF(COUNT($E$2:$E1859)&lt;20,"",STDEVP($E$1840:$E$1859))</f>
        <v>0</v>
      </c>
      <c r="AM1859">
        <f>IF(AK1859="","",AK1859+2*AL1859)</f>
        <v>0</v>
      </c>
      <c r="AN1859">
        <f>IF(AK1859="","",AK1859-2*AL1859)</f>
        <v>0</v>
      </c>
      <c r="AO1859">
        <f>IF(OR(AM1859="",AN1859="",AM1859=AN1859),"",($E1859-AN1859)/(AM1859-AN1859))</f>
        <v>0</v>
      </c>
      <c r="AP1859">
        <f>IF(OR(AM1859="",AK1859="",AK1859=0),"",(AM1859-AN1859)/AK1859)</f>
        <v>0</v>
      </c>
      <c r="AQ1859">
        <f>IF(COUNT($E$2:$E1859)&lt;20,"",MAX($C$1840:$C$1859))</f>
        <v>0</v>
      </c>
      <c r="AR1859">
        <f>IF(COUNT($E$2:$E1859)&lt;20,"",MIN($D$1840:$D$1859))</f>
        <v>0</v>
      </c>
      <c r="AS1859">
        <f>IF(OR(AQ1859="",AR1859=""),"",(AQ1859+AR1859)/2)</f>
        <v>0</v>
      </c>
      <c r="AT1859">
        <f>IF(COUNT($G$1840:$G$1859)&lt;20,"",STDEV($G$1840:$G$1859)*SQRT(252))</f>
        <v>0</v>
      </c>
      <c r="AU1859">
        <f>IF(COUNT($E$2:$E1859)&lt;9,"",(MAX($C$1851:$C$1859)+MIN($D$1851:$D$1859))/2)</f>
        <v>0</v>
      </c>
      <c r="AV1859">
        <f>IF(COUNT($E$2:$E1859)&lt;26,"",(MAX($C$1834:$C$1859)+MIN($D$1834:$D$1859))/2)</f>
        <v>0</v>
      </c>
      <c r="AW1859">
        <f>IF(OR(AU1859="",AV1859=""),"",(AU1859+AV1859)/2)</f>
        <v>0</v>
      </c>
      <c r="AX1859">
        <f>IF(COUNT($E$2:$E1859)&lt;52,"",(MAX($C$1808:$C$1859)+MIN($D$1808:$D$1859))/2)</f>
        <v>0</v>
      </c>
      <c r="AY1859">
        <f>IF(COUNT($E$2:$E1859)&lt;20,"",MAX($C$1760:$C$1859))</f>
        <v>0</v>
      </c>
      <c r="AZ1859">
        <f>IF(COUNT($E$2:$E1859)&lt;20,"",MIN($D$1760:$D$1859))</f>
        <v>0</v>
      </c>
      <c r="BA1859">
        <f>IF(COUNT($E$2:$E1859)&lt;20,"",SLOPE($E$1760:$E$1859,$F$1760:$F$1859))</f>
        <v>0</v>
      </c>
      <c r="BB1859">
        <f>IF(COUNT($E$2:$E1859)&lt;20,"",INTERCEPT($E$1760:$E$1859,$F$1760:$F$1859))</f>
        <v>0</v>
      </c>
      <c r="BC1859">
        <f>IF(OR(BA1859="",BB1859=""),"",BB1859+BA1859*F1859)</f>
        <v>0</v>
      </c>
      <c r="BD1859">
        <f>IF(COUNT($E$2:$E1859)&lt;20,"",STEYX($E$1760:$E$1859,$F$1760:$F$1859))</f>
        <v>0</v>
      </c>
      <c r="BE1859">
        <f>IF($E1859="","",IF(AND(COUNT($E$1860:$E$1863)&gt;=4,$C1859=MAX($C$1855:$C$1863)),$C1859,""))</f>
        <v>0</v>
      </c>
      <c r="BF1859">
        <f>IF($E1859="","",IF(AND(COUNT($E$1860:$E$1863)&gt;=4,$D1859=MIN($D$1855:$D$1863)),$D1859,""))</f>
        <v>0</v>
      </c>
      <c r="BG1859">
        <f>IF($A1859="","",$A1859-WEEKDAY($A1859,2)+1)</f>
        <v>0</v>
      </c>
      <c r="BH1859">
        <f>IF($A1859="","",IF($A1858="",1,IF(BG1859&lt;&gt;BG1858,1,0)))</f>
        <v>0</v>
      </c>
      <c r="BI1859">
        <f>IF($A1859="","",IF($A1860="",1,IF(BG1860&lt;&gt;BG1859,1,0)))</f>
        <v>0</v>
      </c>
      <c r="BJ1859">
        <f>IF($A1859="","",IF(BH1859=1,$B1859,BJ1858))</f>
        <v>0</v>
      </c>
      <c r="BK1859">
        <f>IF($A1859="","",IF(BH1859=1,$C1859,MAX($C1859,BK1858)))</f>
        <v>0</v>
      </c>
      <c r="BL1859">
        <f>IF($A1859="","",IF(BH1859=1,$D1859,MIN($D1859,BL1858)))</f>
        <v>0</v>
      </c>
      <c r="BM1859">
        <f>IF($A1859="","",IF(BI1859=1,F1859,""))</f>
        <v>0</v>
      </c>
      <c r="BN1859">
        <f>IF($A1859="","",DATE(YEAR($A1859),MONTH($A1859),1))</f>
        <v>0</v>
      </c>
      <c r="BO1859">
        <f>IF($A1859="","",IF($A1858="",1,IF(BN1859&lt;&gt;BN1858,1,0)))</f>
        <v>0</v>
      </c>
      <c r="BP1859">
        <f>IF($A1859="","",IF($A1860="",1,IF(BN1860&lt;&gt;BN1859,1,0)))</f>
        <v>0</v>
      </c>
      <c r="BQ1859">
        <f>IF($A1859="","",IF(BO1859=1,$B1859,BQ1858))</f>
        <v>0</v>
      </c>
      <c r="BR1859">
        <f>IF($A1859="","",IF(BO1859=1,$C1859,MAX($C1859,BR1858)))</f>
        <v>0</v>
      </c>
      <c r="BS1859">
        <f>IF($A1859="","",IF(BO1859=1,$D1859,MIN($D1859,BS1858)))</f>
        <v>0</v>
      </c>
      <c r="BT1859">
        <f>IF($A1859="","",IF(BP1859=1,F1859,""))</f>
        <v>0</v>
      </c>
    </row>
    <row r="1860" spans="1:72">
      <c r="A1860" s="27">
        <f>IF(Data!$A1860="","",Data!$A1860)</f>
        <v>0</v>
      </c>
      <c r="B1860">
        <f>IF(Data!$B1860="","",Data!$B1860)</f>
        <v>0</v>
      </c>
      <c r="C1860">
        <f>IF(Data!$C1860="","",Data!$C1860)</f>
        <v>0</v>
      </c>
      <c r="D1860">
        <f>IF(Data!$D1860="","",Data!$D1860)</f>
        <v>0</v>
      </c>
      <c r="E1860">
        <f>IF(Data!$E1860="","",Data!$E1860)</f>
        <v>0</v>
      </c>
      <c r="F1860">
        <f>IF($E1860="","",N(F1859)+1)</f>
        <v>0</v>
      </c>
      <c r="G1860">
        <f>IF(OR($E1860="",$E1859=""),"",LN($E1860/$E1859))</f>
        <v>0</v>
      </c>
      <c r="H1860">
        <f>IF($E1860="","",IF($E1859="",$E1860,$E1860*0.0952380952+H1859*0.9047619048))</f>
        <v>0</v>
      </c>
      <c r="I1860">
        <f>IF($E1860="","",IF($E1859="",$E1860,$E1860*0.0392156863+I1859*0.9607843137))</f>
        <v>0</v>
      </c>
      <c r="J1860">
        <f>IF($E1860="","",IF($E1859="",$E1860,$E1860*0.0198019802+J1859*0.9801980198))</f>
        <v>0</v>
      </c>
      <c r="K1860">
        <f>IF($E1860="","",IF($E1859="",$E1860,$E1860*0.0099502488+K1859*0.9900497512))</f>
        <v>0</v>
      </c>
      <c r="L1860">
        <f>IF(OR($E1860="",$E1859=""),"",MAX($E1860-$E1859,0))</f>
        <v>0</v>
      </c>
      <c r="M1860">
        <f>IF(OR($E1860="",$E1859=""),"",MAX($E1859-$E1860,0))</f>
        <v>0</v>
      </c>
      <c r="N1860">
        <f>IF(COUNT($E$2:$E1860)&lt;15,"",IF(AVERAGE($M$1847:$M$1860)=0,100,100-100/(1+AVERAGE($L$1847:$L$1860)/AVERAGE($M$1847:$M$1860))))</f>
        <v>0</v>
      </c>
      <c r="O1860">
        <f>IF($E1860="","",IF($E1859="",$E1860,$E1860*0.1538461538+O1859*0.8461538462))</f>
        <v>0</v>
      </c>
      <c r="P1860">
        <f>IF($E1860="","",IF($E1859="",$E1860,$E1860*0.0740740741+P1859*0.9259259259))</f>
        <v>0</v>
      </c>
      <c r="Q1860">
        <f>IF(OR(O1860="",P1860=""),"",O1860-P1860)</f>
        <v>0</v>
      </c>
      <c r="R1860">
        <f>IF(Q1860="","",IF(R1859="",Q1860,Q1860*0.2000000000+R1859*0.8000000000))</f>
        <v>0</v>
      </c>
      <c r="S1860">
        <f>IF(OR(Q1860="",R1860=""),"",Q1860-R1860)</f>
        <v>0</v>
      </c>
      <c r="T1860">
        <f>IF(COUNT($E$2:$E1860)&lt;14,"",MAX($C$1847:$C$1860))</f>
        <v>0</v>
      </c>
      <c r="U1860">
        <f>IF(COUNT($E$2:$E1860)&lt;14,"",MIN($D$1847:$D$1860))</f>
        <v>0</v>
      </c>
      <c r="V1860">
        <f>IF(OR(T1860="",U1860="",T1860=U1860),"",100*($E1860-U1860)/(T1860-U1860))</f>
        <v>0</v>
      </c>
      <c r="W1860">
        <f>IF(COUNT($V$1858:$V$1860)&lt;3,"",AVERAGE($V$1858:$V$1860))</f>
        <v>0</v>
      </c>
      <c r="X1860">
        <f>IF(COUNT($N$1847:$N$1860)&lt;14,"",MIN($N$1847:$N$1860))</f>
        <v>0</v>
      </c>
      <c r="Y1860">
        <f>IF(COUNT($N$1847:$N$1860)&lt;14,"",MAX($N$1847:$N$1860))</f>
        <v>0</v>
      </c>
      <c r="Z1860">
        <f>IF(OR(N1860="",X1860="",Y1860="",Y1860=X1860),"",100*(N1860-X1860)/(Y1860-X1860))</f>
        <v>0</v>
      </c>
      <c r="AA1860">
        <f>IF(COUNT($Z$1858:$Z$1860)&lt;3,"",AVERAGE($Z$1858:$Z$1860))</f>
        <v>0</v>
      </c>
      <c r="AB1860">
        <f>IF(COUNT($AA$1858:$AA$1860)&lt;3,"",AVERAGE($AA$1858:$AA$1860))</f>
        <v>0</v>
      </c>
      <c r="AC1860">
        <f>IF($E1860="","",MAX($C1860-$D1860,ABS($C1860-$E1859),ABS($D1860-$E1859)))</f>
        <v>0</v>
      </c>
      <c r="AD1860">
        <f>IF(COUNT($E$2:$E1860)&lt;15,"",AVERAGE($AC$1847:$AC$1860))</f>
        <v>0</v>
      </c>
      <c r="AE1860">
        <f>IF(OR($E1860="",$E1859=""),"",IF(AND(($C1860-$C1859)&gt;($D1859-$D1860),($C1860-$C1859)&gt;0),$C1860-$C1859,0))</f>
        <v>0</v>
      </c>
      <c r="AF1860">
        <f>IF(OR($E1860="",$E1859=""),"",IF(AND(($D1859-$D1860)&gt;($C1860-$C1859),($D1859-$D1860)&gt;0),$D1859-$D1860,0))</f>
        <v>0</v>
      </c>
      <c r="AG1860">
        <f>IF(COUNT($E$2:$E1860)&lt;15,"",IF(SUM($AC$1847:$AC$1860)=0,0,100*SUM($AE$1847:$AE$1860)/SUM($AC$1847:$AC$1860)))</f>
        <v>0</v>
      </c>
      <c r="AH1860">
        <f>IF(COUNT($E$2:$E1860)&lt;15,"",IF(SUM($AC$1847:$AC$1860)=0,0,100*SUM($AF$1847:$AF$1860)/SUM($AC$1847:$AC$1860)))</f>
        <v>0</v>
      </c>
      <c r="AI1860">
        <f>IF(OR(AG1860="",AH1860=""),"",IF((AG1860+AH1860)=0,0,100*ABS(AG1860-AH1860)/(AG1860+AH1860)))</f>
        <v>0</v>
      </c>
      <c r="AJ1860">
        <f>IF(COUNT($AI$1847:$AI$1860)&lt;14,"",AVERAGE($AI$1847:$AI$1860))</f>
        <v>0</v>
      </c>
      <c r="AK1860">
        <f>IF(COUNT($E$2:$E1860)&lt;20,"",AVERAGE($E$1841:$E$1860))</f>
        <v>0</v>
      </c>
      <c r="AL1860">
        <f>IF(COUNT($E$2:$E1860)&lt;20,"",STDEVP($E$1841:$E$1860))</f>
        <v>0</v>
      </c>
      <c r="AM1860">
        <f>IF(AK1860="","",AK1860+2*AL1860)</f>
        <v>0</v>
      </c>
      <c r="AN1860">
        <f>IF(AK1860="","",AK1860-2*AL1860)</f>
        <v>0</v>
      </c>
      <c r="AO1860">
        <f>IF(OR(AM1860="",AN1860="",AM1860=AN1860),"",($E1860-AN1860)/(AM1860-AN1860))</f>
        <v>0</v>
      </c>
      <c r="AP1860">
        <f>IF(OR(AM1860="",AK1860="",AK1860=0),"",(AM1860-AN1860)/AK1860)</f>
        <v>0</v>
      </c>
      <c r="AQ1860">
        <f>IF(COUNT($E$2:$E1860)&lt;20,"",MAX($C$1841:$C$1860))</f>
        <v>0</v>
      </c>
      <c r="AR1860">
        <f>IF(COUNT($E$2:$E1860)&lt;20,"",MIN($D$1841:$D$1860))</f>
        <v>0</v>
      </c>
      <c r="AS1860">
        <f>IF(OR(AQ1860="",AR1860=""),"",(AQ1860+AR1860)/2)</f>
        <v>0</v>
      </c>
      <c r="AT1860">
        <f>IF(COUNT($G$1841:$G$1860)&lt;20,"",STDEV($G$1841:$G$1860)*SQRT(252))</f>
        <v>0</v>
      </c>
      <c r="AU1860">
        <f>IF(COUNT($E$2:$E1860)&lt;9,"",(MAX($C$1852:$C$1860)+MIN($D$1852:$D$1860))/2)</f>
        <v>0</v>
      </c>
      <c r="AV1860">
        <f>IF(COUNT($E$2:$E1860)&lt;26,"",(MAX($C$1835:$C$1860)+MIN($D$1835:$D$1860))/2)</f>
        <v>0</v>
      </c>
      <c r="AW1860">
        <f>IF(OR(AU1860="",AV1860=""),"",(AU1860+AV1860)/2)</f>
        <v>0</v>
      </c>
      <c r="AX1860">
        <f>IF(COUNT($E$2:$E1860)&lt;52,"",(MAX($C$1809:$C$1860)+MIN($D$1809:$D$1860))/2)</f>
        <v>0</v>
      </c>
      <c r="AY1860">
        <f>IF(COUNT($E$2:$E1860)&lt;20,"",MAX($C$1761:$C$1860))</f>
        <v>0</v>
      </c>
      <c r="AZ1860">
        <f>IF(COUNT($E$2:$E1860)&lt;20,"",MIN($D$1761:$D$1860))</f>
        <v>0</v>
      </c>
      <c r="BA1860">
        <f>IF(COUNT($E$2:$E1860)&lt;20,"",SLOPE($E$1761:$E$1860,$F$1761:$F$1860))</f>
        <v>0</v>
      </c>
      <c r="BB1860">
        <f>IF(COUNT($E$2:$E1860)&lt;20,"",INTERCEPT($E$1761:$E$1860,$F$1761:$F$1860))</f>
        <v>0</v>
      </c>
      <c r="BC1860">
        <f>IF(OR(BA1860="",BB1860=""),"",BB1860+BA1860*F1860)</f>
        <v>0</v>
      </c>
      <c r="BD1860">
        <f>IF(COUNT($E$2:$E1860)&lt;20,"",STEYX($E$1761:$E$1860,$F$1761:$F$1860))</f>
        <v>0</v>
      </c>
      <c r="BE1860">
        <f>IF($E1860="","",IF(AND(COUNT($E$1861:$E$1864)&gt;=4,$C1860=MAX($C$1856:$C$1864)),$C1860,""))</f>
        <v>0</v>
      </c>
      <c r="BF1860">
        <f>IF($E1860="","",IF(AND(COUNT($E$1861:$E$1864)&gt;=4,$D1860=MIN($D$1856:$D$1864)),$D1860,""))</f>
        <v>0</v>
      </c>
      <c r="BG1860">
        <f>IF($A1860="","",$A1860-WEEKDAY($A1860,2)+1)</f>
        <v>0</v>
      </c>
      <c r="BH1860">
        <f>IF($A1860="","",IF($A1859="",1,IF(BG1860&lt;&gt;BG1859,1,0)))</f>
        <v>0</v>
      </c>
      <c r="BI1860">
        <f>IF($A1860="","",IF($A1861="",1,IF(BG1861&lt;&gt;BG1860,1,0)))</f>
        <v>0</v>
      </c>
      <c r="BJ1860">
        <f>IF($A1860="","",IF(BH1860=1,$B1860,BJ1859))</f>
        <v>0</v>
      </c>
      <c r="BK1860">
        <f>IF($A1860="","",IF(BH1860=1,$C1860,MAX($C1860,BK1859)))</f>
        <v>0</v>
      </c>
      <c r="BL1860">
        <f>IF($A1860="","",IF(BH1860=1,$D1860,MIN($D1860,BL1859)))</f>
        <v>0</v>
      </c>
      <c r="BM1860">
        <f>IF($A1860="","",IF(BI1860=1,F1860,""))</f>
        <v>0</v>
      </c>
      <c r="BN1860">
        <f>IF($A1860="","",DATE(YEAR($A1860),MONTH($A1860),1))</f>
        <v>0</v>
      </c>
      <c r="BO1860">
        <f>IF($A1860="","",IF($A1859="",1,IF(BN1860&lt;&gt;BN1859,1,0)))</f>
        <v>0</v>
      </c>
      <c r="BP1860">
        <f>IF($A1860="","",IF($A1861="",1,IF(BN1861&lt;&gt;BN1860,1,0)))</f>
        <v>0</v>
      </c>
      <c r="BQ1860">
        <f>IF($A1860="","",IF(BO1860=1,$B1860,BQ1859))</f>
        <v>0</v>
      </c>
      <c r="BR1860">
        <f>IF($A1860="","",IF(BO1860=1,$C1860,MAX($C1860,BR1859)))</f>
        <v>0</v>
      </c>
      <c r="BS1860">
        <f>IF($A1860="","",IF(BO1860=1,$D1860,MIN($D1860,BS1859)))</f>
        <v>0</v>
      </c>
      <c r="BT1860">
        <f>IF($A1860="","",IF(BP1860=1,F1860,""))</f>
        <v>0</v>
      </c>
    </row>
    <row r="1861" spans="1:72">
      <c r="A1861" s="27">
        <f>IF(Data!$A1861="","",Data!$A1861)</f>
        <v>0</v>
      </c>
      <c r="B1861">
        <f>IF(Data!$B1861="","",Data!$B1861)</f>
        <v>0</v>
      </c>
      <c r="C1861">
        <f>IF(Data!$C1861="","",Data!$C1861)</f>
        <v>0</v>
      </c>
      <c r="D1861">
        <f>IF(Data!$D1861="","",Data!$D1861)</f>
        <v>0</v>
      </c>
      <c r="E1861">
        <f>IF(Data!$E1861="","",Data!$E1861)</f>
        <v>0</v>
      </c>
      <c r="F1861">
        <f>IF($E1861="","",N(F1860)+1)</f>
        <v>0</v>
      </c>
      <c r="G1861">
        <f>IF(OR($E1861="",$E1860=""),"",LN($E1861/$E1860))</f>
        <v>0</v>
      </c>
      <c r="H1861">
        <f>IF($E1861="","",IF($E1860="",$E1861,$E1861*0.0952380952+H1860*0.9047619048))</f>
        <v>0</v>
      </c>
      <c r="I1861">
        <f>IF($E1861="","",IF($E1860="",$E1861,$E1861*0.0392156863+I1860*0.9607843137))</f>
        <v>0</v>
      </c>
      <c r="J1861">
        <f>IF($E1861="","",IF($E1860="",$E1861,$E1861*0.0198019802+J1860*0.9801980198))</f>
        <v>0</v>
      </c>
      <c r="K1861">
        <f>IF($E1861="","",IF($E1860="",$E1861,$E1861*0.0099502488+K1860*0.9900497512))</f>
        <v>0</v>
      </c>
      <c r="L1861">
        <f>IF(OR($E1861="",$E1860=""),"",MAX($E1861-$E1860,0))</f>
        <v>0</v>
      </c>
      <c r="M1861">
        <f>IF(OR($E1861="",$E1860=""),"",MAX($E1860-$E1861,0))</f>
        <v>0</v>
      </c>
      <c r="N1861">
        <f>IF(COUNT($E$2:$E1861)&lt;15,"",IF(AVERAGE($M$1848:$M$1861)=0,100,100-100/(1+AVERAGE($L$1848:$L$1861)/AVERAGE($M$1848:$M$1861))))</f>
        <v>0</v>
      </c>
      <c r="O1861">
        <f>IF($E1861="","",IF($E1860="",$E1861,$E1861*0.1538461538+O1860*0.8461538462))</f>
        <v>0</v>
      </c>
      <c r="P1861">
        <f>IF($E1861="","",IF($E1860="",$E1861,$E1861*0.0740740741+P1860*0.9259259259))</f>
        <v>0</v>
      </c>
      <c r="Q1861">
        <f>IF(OR(O1861="",P1861=""),"",O1861-P1861)</f>
        <v>0</v>
      </c>
      <c r="R1861">
        <f>IF(Q1861="","",IF(R1860="",Q1861,Q1861*0.2000000000+R1860*0.8000000000))</f>
        <v>0</v>
      </c>
      <c r="S1861">
        <f>IF(OR(Q1861="",R1861=""),"",Q1861-R1861)</f>
        <v>0</v>
      </c>
      <c r="T1861">
        <f>IF(COUNT($E$2:$E1861)&lt;14,"",MAX($C$1848:$C$1861))</f>
        <v>0</v>
      </c>
      <c r="U1861">
        <f>IF(COUNT($E$2:$E1861)&lt;14,"",MIN($D$1848:$D$1861))</f>
        <v>0</v>
      </c>
      <c r="V1861">
        <f>IF(OR(T1861="",U1861="",T1861=U1861),"",100*($E1861-U1861)/(T1861-U1861))</f>
        <v>0</v>
      </c>
      <c r="W1861">
        <f>IF(COUNT($V$1859:$V$1861)&lt;3,"",AVERAGE($V$1859:$V$1861))</f>
        <v>0</v>
      </c>
      <c r="X1861">
        <f>IF(COUNT($N$1848:$N$1861)&lt;14,"",MIN($N$1848:$N$1861))</f>
        <v>0</v>
      </c>
      <c r="Y1861">
        <f>IF(COUNT($N$1848:$N$1861)&lt;14,"",MAX($N$1848:$N$1861))</f>
        <v>0</v>
      </c>
      <c r="Z1861">
        <f>IF(OR(N1861="",X1861="",Y1861="",Y1861=X1861),"",100*(N1861-X1861)/(Y1861-X1861))</f>
        <v>0</v>
      </c>
      <c r="AA1861">
        <f>IF(COUNT($Z$1859:$Z$1861)&lt;3,"",AVERAGE($Z$1859:$Z$1861))</f>
        <v>0</v>
      </c>
      <c r="AB1861">
        <f>IF(COUNT($AA$1859:$AA$1861)&lt;3,"",AVERAGE($AA$1859:$AA$1861))</f>
        <v>0</v>
      </c>
      <c r="AC1861">
        <f>IF($E1861="","",MAX($C1861-$D1861,ABS($C1861-$E1860),ABS($D1861-$E1860)))</f>
        <v>0</v>
      </c>
      <c r="AD1861">
        <f>IF(COUNT($E$2:$E1861)&lt;15,"",AVERAGE($AC$1848:$AC$1861))</f>
        <v>0</v>
      </c>
      <c r="AE1861">
        <f>IF(OR($E1861="",$E1860=""),"",IF(AND(($C1861-$C1860)&gt;($D1860-$D1861),($C1861-$C1860)&gt;0),$C1861-$C1860,0))</f>
        <v>0</v>
      </c>
      <c r="AF1861">
        <f>IF(OR($E1861="",$E1860=""),"",IF(AND(($D1860-$D1861)&gt;($C1861-$C1860),($D1860-$D1861)&gt;0),$D1860-$D1861,0))</f>
        <v>0</v>
      </c>
      <c r="AG1861">
        <f>IF(COUNT($E$2:$E1861)&lt;15,"",IF(SUM($AC$1848:$AC$1861)=0,0,100*SUM($AE$1848:$AE$1861)/SUM($AC$1848:$AC$1861)))</f>
        <v>0</v>
      </c>
      <c r="AH1861">
        <f>IF(COUNT($E$2:$E1861)&lt;15,"",IF(SUM($AC$1848:$AC$1861)=0,0,100*SUM($AF$1848:$AF$1861)/SUM($AC$1848:$AC$1861)))</f>
        <v>0</v>
      </c>
      <c r="AI1861">
        <f>IF(OR(AG1861="",AH1861=""),"",IF((AG1861+AH1861)=0,0,100*ABS(AG1861-AH1861)/(AG1861+AH1861)))</f>
        <v>0</v>
      </c>
      <c r="AJ1861">
        <f>IF(COUNT($AI$1848:$AI$1861)&lt;14,"",AVERAGE($AI$1848:$AI$1861))</f>
        <v>0</v>
      </c>
      <c r="AK1861">
        <f>IF(COUNT($E$2:$E1861)&lt;20,"",AVERAGE($E$1842:$E$1861))</f>
        <v>0</v>
      </c>
      <c r="AL1861">
        <f>IF(COUNT($E$2:$E1861)&lt;20,"",STDEVP($E$1842:$E$1861))</f>
        <v>0</v>
      </c>
      <c r="AM1861">
        <f>IF(AK1861="","",AK1861+2*AL1861)</f>
        <v>0</v>
      </c>
      <c r="AN1861">
        <f>IF(AK1861="","",AK1861-2*AL1861)</f>
        <v>0</v>
      </c>
      <c r="AO1861">
        <f>IF(OR(AM1861="",AN1861="",AM1861=AN1861),"",($E1861-AN1861)/(AM1861-AN1861))</f>
        <v>0</v>
      </c>
      <c r="AP1861">
        <f>IF(OR(AM1861="",AK1861="",AK1861=0),"",(AM1861-AN1861)/AK1861)</f>
        <v>0</v>
      </c>
      <c r="AQ1861">
        <f>IF(COUNT($E$2:$E1861)&lt;20,"",MAX($C$1842:$C$1861))</f>
        <v>0</v>
      </c>
      <c r="AR1861">
        <f>IF(COUNT($E$2:$E1861)&lt;20,"",MIN($D$1842:$D$1861))</f>
        <v>0</v>
      </c>
      <c r="AS1861">
        <f>IF(OR(AQ1861="",AR1861=""),"",(AQ1861+AR1861)/2)</f>
        <v>0</v>
      </c>
      <c r="AT1861">
        <f>IF(COUNT($G$1842:$G$1861)&lt;20,"",STDEV($G$1842:$G$1861)*SQRT(252))</f>
        <v>0</v>
      </c>
      <c r="AU1861">
        <f>IF(COUNT($E$2:$E1861)&lt;9,"",(MAX($C$1853:$C$1861)+MIN($D$1853:$D$1861))/2)</f>
        <v>0</v>
      </c>
      <c r="AV1861">
        <f>IF(COUNT($E$2:$E1861)&lt;26,"",(MAX($C$1836:$C$1861)+MIN($D$1836:$D$1861))/2)</f>
        <v>0</v>
      </c>
      <c r="AW1861">
        <f>IF(OR(AU1861="",AV1861=""),"",(AU1861+AV1861)/2)</f>
        <v>0</v>
      </c>
      <c r="AX1861">
        <f>IF(COUNT($E$2:$E1861)&lt;52,"",(MAX($C$1810:$C$1861)+MIN($D$1810:$D$1861))/2)</f>
        <v>0</v>
      </c>
      <c r="AY1861">
        <f>IF(COUNT($E$2:$E1861)&lt;20,"",MAX($C$1762:$C$1861))</f>
        <v>0</v>
      </c>
      <c r="AZ1861">
        <f>IF(COUNT($E$2:$E1861)&lt;20,"",MIN($D$1762:$D$1861))</f>
        <v>0</v>
      </c>
      <c r="BA1861">
        <f>IF(COUNT($E$2:$E1861)&lt;20,"",SLOPE($E$1762:$E$1861,$F$1762:$F$1861))</f>
        <v>0</v>
      </c>
      <c r="BB1861">
        <f>IF(COUNT($E$2:$E1861)&lt;20,"",INTERCEPT($E$1762:$E$1861,$F$1762:$F$1861))</f>
        <v>0</v>
      </c>
      <c r="BC1861">
        <f>IF(OR(BA1861="",BB1861=""),"",BB1861+BA1861*F1861)</f>
        <v>0</v>
      </c>
      <c r="BD1861">
        <f>IF(COUNT($E$2:$E1861)&lt;20,"",STEYX($E$1762:$E$1861,$F$1762:$F$1861))</f>
        <v>0</v>
      </c>
      <c r="BE1861">
        <f>IF($E1861="","",IF(AND(COUNT($E$1862:$E$1865)&gt;=4,$C1861=MAX($C$1857:$C$1865)),$C1861,""))</f>
        <v>0</v>
      </c>
      <c r="BF1861">
        <f>IF($E1861="","",IF(AND(COUNT($E$1862:$E$1865)&gt;=4,$D1861=MIN($D$1857:$D$1865)),$D1861,""))</f>
        <v>0</v>
      </c>
      <c r="BG1861">
        <f>IF($A1861="","",$A1861-WEEKDAY($A1861,2)+1)</f>
        <v>0</v>
      </c>
      <c r="BH1861">
        <f>IF($A1861="","",IF($A1860="",1,IF(BG1861&lt;&gt;BG1860,1,0)))</f>
        <v>0</v>
      </c>
      <c r="BI1861">
        <f>IF($A1861="","",IF($A1862="",1,IF(BG1862&lt;&gt;BG1861,1,0)))</f>
        <v>0</v>
      </c>
      <c r="BJ1861">
        <f>IF($A1861="","",IF(BH1861=1,$B1861,BJ1860))</f>
        <v>0</v>
      </c>
      <c r="BK1861">
        <f>IF($A1861="","",IF(BH1861=1,$C1861,MAX($C1861,BK1860)))</f>
        <v>0</v>
      </c>
      <c r="BL1861">
        <f>IF($A1861="","",IF(BH1861=1,$D1861,MIN($D1861,BL1860)))</f>
        <v>0</v>
      </c>
      <c r="BM1861">
        <f>IF($A1861="","",IF(BI1861=1,F1861,""))</f>
        <v>0</v>
      </c>
      <c r="BN1861">
        <f>IF($A1861="","",DATE(YEAR($A1861),MONTH($A1861),1))</f>
        <v>0</v>
      </c>
      <c r="BO1861">
        <f>IF($A1861="","",IF($A1860="",1,IF(BN1861&lt;&gt;BN1860,1,0)))</f>
        <v>0</v>
      </c>
      <c r="BP1861">
        <f>IF($A1861="","",IF($A1862="",1,IF(BN1862&lt;&gt;BN1861,1,0)))</f>
        <v>0</v>
      </c>
      <c r="BQ1861">
        <f>IF($A1861="","",IF(BO1861=1,$B1861,BQ1860))</f>
        <v>0</v>
      </c>
      <c r="BR1861">
        <f>IF($A1861="","",IF(BO1861=1,$C1861,MAX($C1861,BR1860)))</f>
        <v>0</v>
      </c>
      <c r="BS1861">
        <f>IF($A1861="","",IF(BO1861=1,$D1861,MIN($D1861,BS1860)))</f>
        <v>0</v>
      </c>
      <c r="BT1861">
        <f>IF($A1861="","",IF(BP1861=1,F1861,""))</f>
        <v>0</v>
      </c>
    </row>
    <row r="1862" spans="1:72">
      <c r="A1862" s="27">
        <f>IF(Data!$A1862="","",Data!$A1862)</f>
        <v>0</v>
      </c>
      <c r="B1862">
        <f>IF(Data!$B1862="","",Data!$B1862)</f>
        <v>0</v>
      </c>
      <c r="C1862">
        <f>IF(Data!$C1862="","",Data!$C1862)</f>
        <v>0</v>
      </c>
      <c r="D1862">
        <f>IF(Data!$D1862="","",Data!$D1862)</f>
        <v>0</v>
      </c>
      <c r="E1862">
        <f>IF(Data!$E1862="","",Data!$E1862)</f>
        <v>0</v>
      </c>
      <c r="F1862">
        <f>IF($E1862="","",N(F1861)+1)</f>
        <v>0</v>
      </c>
      <c r="G1862">
        <f>IF(OR($E1862="",$E1861=""),"",LN($E1862/$E1861))</f>
        <v>0</v>
      </c>
      <c r="H1862">
        <f>IF($E1862="","",IF($E1861="",$E1862,$E1862*0.0952380952+H1861*0.9047619048))</f>
        <v>0</v>
      </c>
      <c r="I1862">
        <f>IF($E1862="","",IF($E1861="",$E1862,$E1862*0.0392156863+I1861*0.9607843137))</f>
        <v>0</v>
      </c>
      <c r="J1862">
        <f>IF($E1862="","",IF($E1861="",$E1862,$E1862*0.0198019802+J1861*0.9801980198))</f>
        <v>0</v>
      </c>
      <c r="K1862">
        <f>IF($E1862="","",IF($E1861="",$E1862,$E1862*0.0099502488+K1861*0.9900497512))</f>
        <v>0</v>
      </c>
      <c r="L1862">
        <f>IF(OR($E1862="",$E1861=""),"",MAX($E1862-$E1861,0))</f>
        <v>0</v>
      </c>
      <c r="M1862">
        <f>IF(OR($E1862="",$E1861=""),"",MAX($E1861-$E1862,0))</f>
        <v>0</v>
      </c>
      <c r="N1862">
        <f>IF(COUNT($E$2:$E1862)&lt;15,"",IF(AVERAGE($M$1849:$M$1862)=0,100,100-100/(1+AVERAGE($L$1849:$L$1862)/AVERAGE($M$1849:$M$1862))))</f>
        <v>0</v>
      </c>
      <c r="O1862">
        <f>IF($E1862="","",IF($E1861="",$E1862,$E1862*0.1538461538+O1861*0.8461538462))</f>
        <v>0</v>
      </c>
      <c r="P1862">
        <f>IF($E1862="","",IF($E1861="",$E1862,$E1862*0.0740740741+P1861*0.9259259259))</f>
        <v>0</v>
      </c>
      <c r="Q1862">
        <f>IF(OR(O1862="",P1862=""),"",O1862-P1862)</f>
        <v>0</v>
      </c>
      <c r="R1862">
        <f>IF(Q1862="","",IF(R1861="",Q1862,Q1862*0.2000000000+R1861*0.8000000000))</f>
        <v>0</v>
      </c>
      <c r="S1862">
        <f>IF(OR(Q1862="",R1862=""),"",Q1862-R1862)</f>
        <v>0</v>
      </c>
      <c r="T1862">
        <f>IF(COUNT($E$2:$E1862)&lt;14,"",MAX($C$1849:$C$1862))</f>
        <v>0</v>
      </c>
      <c r="U1862">
        <f>IF(COUNT($E$2:$E1862)&lt;14,"",MIN($D$1849:$D$1862))</f>
        <v>0</v>
      </c>
      <c r="V1862">
        <f>IF(OR(T1862="",U1862="",T1862=U1862),"",100*($E1862-U1862)/(T1862-U1862))</f>
        <v>0</v>
      </c>
      <c r="W1862">
        <f>IF(COUNT($V$1860:$V$1862)&lt;3,"",AVERAGE($V$1860:$V$1862))</f>
        <v>0</v>
      </c>
      <c r="X1862">
        <f>IF(COUNT($N$1849:$N$1862)&lt;14,"",MIN($N$1849:$N$1862))</f>
        <v>0</v>
      </c>
      <c r="Y1862">
        <f>IF(COUNT($N$1849:$N$1862)&lt;14,"",MAX($N$1849:$N$1862))</f>
        <v>0</v>
      </c>
      <c r="Z1862">
        <f>IF(OR(N1862="",X1862="",Y1862="",Y1862=X1862),"",100*(N1862-X1862)/(Y1862-X1862))</f>
        <v>0</v>
      </c>
      <c r="AA1862">
        <f>IF(COUNT($Z$1860:$Z$1862)&lt;3,"",AVERAGE($Z$1860:$Z$1862))</f>
        <v>0</v>
      </c>
      <c r="AB1862">
        <f>IF(COUNT($AA$1860:$AA$1862)&lt;3,"",AVERAGE($AA$1860:$AA$1862))</f>
        <v>0</v>
      </c>
      <c r="AC1862">
        <f>IF($E1862="","",MAX($C1862-$D1862,ABS($C1862-$E1861),ABS($D1862-$E1861)))</f>
        <v>0</v>
      </c>
      <c r="AD1862">
        <f>IF(COUNT($E$2:$E1862)&lt;15,"",AVERAGE($AC$1849:$AC$1862))</f>
        <v>0</v>
      </c>
      <c r="AE1862">
        <f>IF(OR($E1862="",$E1861=""),"",IF(AND(($C1862-$C1861)&gt;($D1861-$D1862),($C1862-$C1861)&gt;0),$C1862-$C1861,0))</f>
        <v>0</v>
      </c>
      <c r="AF1862">
        <f>IF(OR($E1862="",$E1861=""),"",IF(AND(($D1861-$D1862)&gt;($C1862-$C1861),($D1861-$D1862)&gt;0),$D1861-$D1862,0))</f>
        <v>0</v>
      </c>
      <c r="AG1862">
        <f>IF(COUNT($E$2:$E1862)&lt;15,"",IF(SUM($AC$1849:$AC$1862)=0,0,100*SUM($AE$1849:$AE$1862)/SUM($AC$1849:$AC$1862)))</f>
        <v>0</v>
      </c>
      <c r="AH1862">
        <f>IF(COUNT($E$2:$E1862)&lt;15,"",IF(SUM($AC$1849:$AC$1862)=0,0,100*SUM($AF$1849:$AF$1862)/SUM($AC$1849:$AC$1862)))</f>
        <v>0</v>
      </c>
      <c r="AI1862">
        <f>IF(OR(AG1862="",AH1862=""),"",IF((AG1862+AH1862)=0,0,100*ABS(AG1862-AH1862)/(AG1862+AH1862)))</f>
        <v>0</v>
      </c>
      <c r="AJ1862">
        <f>IF(COUNT($AI$1849:$AI$1862)&lt;14,"",AVERAGE($AI$1849:$AI$1862))</f>
        <v>0</v>
      </c>
      <c r="AK1862">
        <f>IF(COUNT($E$2:$E1862)&lt;20,"",AVERAGE($E$1843:$E$1862))</f>
        <v>0</v>
      </c>
      <c r="AL1862">
        <f>IF(COUNT($E$2:$E1862)&lt;20,"",STDEVP($E$1843:$E$1862))</f>
        <v>0</v>
      </c>
      <c r="AM1862">
        <f>IF(AK1862="","",AK1862+2*AL1862)</f>
        <v>0</v>
      </c>
      <c r="AN1862">
        <f>IF(AK1862="","",AK1862-2*AL1862)</f>
        <v>0</v>
      </c>
      <c r="AO1862">
        <f>IF(OR(AM1862="",AN1862="",AM1862=AN1862),"",($E1862-AN1862)/(AM1862-AN1862))</f>
        <v>0</v>
      </c>
      <c r="AP1862">
        <f>IF(OR(AM1862="",AK1862="",AK1862=0),"",(AM1862-AN1862)/AK1862)</f>
        <v>0</v>
      </c>
      <c r="AQ1862">
        <f>IF(COUNT($E$2:$E1862)&lt;20,"",MAX($C$1843:$C$1862))</f>
        <v>0</v>
      </c>
      <c r="AR1862">
        <f>IF(COUNT($E$2:$E1862)&lt;20,"",MIN($D$1843:$D$1862))</f>
        <v>0</v>
      </c>
      <c r="AS1862">
        <f>IF(OR(AQ1862="",AR1862=""),"",(AQ1862+AR1862)/2)</f>
        <v>0</v>
      </c>
      <c r="AT1862">
        <f>IF(COUNT($G$1843:$G$1862)&lt;20,"",STDEV($G$1843:$G$1862)*SQRT(252))</f>
        <v>0</v>
      </c>
      <c r="AU1862">
        <f>IF(COUNT($E$2:$E1862)&lt;9,"",(MAX($C$1854:$C$1862)+MIN($D$1854:$D$1862))/2)</f>
        <v>0</v>
      </c>
      <c r="AV1862">
        <f>IF(COUNT($E$2:$E1862)&lt;26,"",(MAX($C$1837:$C$1862)+MIN($D$1837:$D$1862))/2)</f>
        <v>0</v>
      </c>
      <c r="AW1862">
        <f>IF(OR(AU1862="",AV1862=""),"",(AU1862+AV1862)/2)</f>
        <v>0</v>
      </c>
      <c r="AX1862">
        <f>IF(COUNT($E$2:$E1862)&lt;52,"",(MAX($C$1811:$C$1862)+MIN($D$1811:$D$1862))/2)</f>
        <v>0</v>
      </c>
      <c r="AY1862">
        <f>IF(COUNT($E$2:$E1862)&lt;20,"",MAX($C$1763:$C$1862))</f>
        <v>0</v>
      </c>
      <c r="AZ1862">
        <f>IF(COUNT($E$2:$E1862)&lt;20,"",MIN($D$1763:$D$1862))</f>
        <v>0</v>
      </c>
      <c r="BA1862">
        <f>IF(COUNT($E$2:$E1862)&lt;20,"",SLOPE($E$1763:$E$1862,$F$1763:$F$1862))</f>
        <v>0</v>
      </c>
      <c r="BB1862">
        <f>IF(COUNT($E$2:$E1862)&lt;20,"",INTERCEPT($E$1763:$E$1862,$F$1763:$F$1862))</f>
        <v>0</v>
      </c>
      <c r="BC1862">
        <f>IF(OR(BA1862="",BB1862=""),"",BB1862+BA1862*F1862)</f>
        <v>0</v>
      </c>
      <c r="BD1862">
        <f>IF(COUNT($E$2:$E1862)&lt;20,"",STEYX($E$1763:$E$1862,$F$1763:$F$1862))</f>
        <v>0</v>
      </c>
      <c r="BE1862">
        <f>IF($E1862="","",IF(AND(COUNT($E$1863:$E$1866)&gt;=4,$C1862=MAX($C$1858:$C$1866)),$C1862,""))</f>
        <v>0</v>
      </c>
      <c r="BF1862">
        <f>IF($E1862="","",IF(AND(COUNT($E$1863:$E$1866)&gt;=4,$D1862=MIN($D$1858:$D$1866)),$D1862,""))</f>
        <v>0</v>
      </c>
      <c r="BG1862">
        <f>IF($A1862="","",$A1862-WEEKDAY($A1862,2)+1)</f>
        <v>0</v>
      </c>
      <c r="BH1862">
        <f>IF($A1862="","",IF($A1861="",1,IF(BG1862&lt;&gt;BG1861,1,0)))</f>
        <v>0</v>
      </c>
      <c r="BI1862">
        <f>IF($A1862="","",IF($A1863="",1,IF(BG1863&lt;&gt;BG1862,1,0)))</f>
        <v>0</v>
      </c>
      <c r="BJ1862">
        <f>IF($A1862="","",IF(BH1862=1,$B1862,BJ1861))</f>
        <v>0</v>
      </c>
      <c r="BK1862">
        <f>IF($A1862="","",IF(BH1862=1,$C1862,MAX($C1862,BK1861)))</f>
        <v>0</v>
      </c>
      <c r="BL1862">
        <f>IF($A1862="","",IF(BH1862=1,$D1862,MIN($D1862,BL1861)))</f>
        <v>0</v>
      </c>
      <c r="BM1862">
        <f>IF($A1862="","",IF(BI1862=1,F1862,""))</f>
        <v>0</v>
      </c>
      <c r="BN1862">
        <f>IF($A1862="","",DATE(YEAR($A1862),MONTH($A1862),1))</f>
        <v>0</v>
      </c>
      <c r="BO1862">
        <f>IF($A1862="","",IF($A1861="",1,IF(BN1862&lt;&gt;BN1861,1,0)))</f>
        <v>0</v>
      </c>
      <c r="BP1862">
        <f>IF($A1862="","",IF($A1863="",1,IF(BN1863&lt;&gt;BN1862,1,0)))</f>
        <v>0</v>
      </c>
      <c r="BQ1862">
        <f>IF($A1862="","",IF(BO1862=1,$B1862,BQ1861))</f>
        <v>0</v>
      </c>
      <c r="BR1862">
        <f>IF($A1862="","",IF(BO1862=1,$C1862,MAX($C1862,BR1861)))</f>
        <v>0</v>
      </c>
      <c r="BS1862">
        <f>IF($A1862="","",IF(BO1862=1,$D1862,MIN($D1862,BS1861)))</f>
        <v>0</v>
      </c>
      <c r="BT1862">
        <f>IF($A1862="","",IF(BP1862=1,F1862,""))</f>
        <v>0</v>
      </c>
    </row>
    <row r="1863" spans="1:72">
      <c r="A1863" s="27">
        <f>IF(Data!$A1863="","",Data!$A1863)</f>
        <v>0</v>
      </c>
      <c r="B1863">
        <f>IF(Data!$B1863="","",Data!$B1863)</f>
        <v>0</v>
      </c>
      <c r="C1863">
        <f>IF(Data!$C1863="","",Data!$C1863)</f>
        <v>0</v>
      </c>
      <c r="D1863">
        <f>IF(Data!$D1863="","",Data!$D1863)</f>
        <v>0</v>
      </c>
      <c r="E1863">
        <f>IF(Data!$E1863="","",Data!$E1863)</f>
        <v>0</v>
      </c>
      <c r="F1863">
        <f>IF($E1863="","",N(F1862)+1)</f>
        <v>0</v>
      </c>
      <c r="G1863">
        <f>IF(OR($E1863="",$E1862=""),"",LN($E1863/$E1862))</f>
        <v>0</v>
      </c>
      <c r="H1863">
        <f>IF($E1863="","",IF($E1862="",$E1863,$E1863*0.0952380952+H1862*0.9047619048))</f>
        <v>0</v>
      </c>
      <c r="I1863">
        <f>IF($E1863="","",IF($E1862="",$E1863,$E1863*0.0392156863+I1862*0.9607843137))</f>
        <v>0</v>
      </c>
      <c r="J1863">
        <f>IF($E1863="","",IF($E1862="",$E1863,$E1863*0.0198019802+J1862*0.9801980198))</f>
        <v>0</v>
      </c>
      <c r="K1863">
        <f>IF($E1863="","",IF($E1862="",$E1863,$E1863*0.0099502488+K1862*0.9900497512))</f>
        <v>0</v>
      </c>
      <c r="L1863">
        <f>IF(OR($E1863="",$E1862=""),"",MAX($E1863-$E1862,0))</f>
        <v>0</v>
      </c>
      <c r="M1863">
        <f>IF(OR($E1863="",$E1862=""),"",MAX($E1862-$E1863,0))</f>
        <v>0</v>
      </c>
      <c r="N1863">
        <f>IF(COUNT($E$2:$E1863)&lt;15,"",IF(AVERAGE($M$1850:$M$1863)=0,100,100-100/(1+AVERAGE($L$1850:$L$1863)/AVERAGE($M$1850:$M$1863))))</f>
        <v>0</v>
      </c>
      <c r="O1863">
        <f>IF($E1863="","",IF($E1862="",$E1863,$E1863*0.1538461538+O1862*0.8461538462))</f>
        <v>0</v>
      </c>
      <c r="P1863">
        <f>IF($E1863="","",IF($E1862="",$E1863,$E1863*0.0740740741+P1862*0.9259259259))</f>
        <v>0</v>
      </c>
      <c r="Q1863">
        <f>IF(OR(O1863="",P1863=""),"",O1863-P1863)</f>
        <v>0</v>
      </c>
      <c r="R1863">
        <f>IF(Q1863="","",IF(R1862="",Q1863,Q1863*0.2000000000+R1862*0.8000000000))</f>
        <v>0</v>
      </c>
      <c r="S1863">
        <f>IF(OR(Q1863="",R1863=""),"",Q1863-R1863)</f>
        <v>0</v>
      </c>
      <c r="T1863">
        <f>IF(COUNT($E$2:$E1863)&lt;14,"",MAX($C$1850:$C$1863))</f>
        <v>0</v>
      </c>
      <c r="U1863">
        <f>IF(COUNT($E$2:$E1863)&lt;14,"",MIN($D$1850:$D$1863))</f>
        <v>0</v>
      </c>
      <c r="V1863">
        <f>IF(OR(T1863="",U1863="",T1863=U1863),"",100*($E1863-U1863)/(T1863-U1863))</f>
        <v>0</v>
      </c>
      <c r="W1863">
        <f>IF(COUNT($V$1861:$V$1863)&lt;3,"",AVERAGE($V$1861:$V$1863))</f>
        <v>0</v>
      </c>
      <c r="X1863">
        <f>IF(COUNT($N$1850:$N$1863)&lt;14,"",MIN($N$1850:$N$1863))</f>
        <v>0</v>
      </c>
      <c r="Y1863">
        <f>IF(COUNT($N$1850:$N$1863)&lt;14,"",MAX($N$1850:$N$1863))</f>
        <v>0</v>
      </c>
      <c r="Z1863">
        <f>IF(OR(N1863="",X1863="",Y1863="",Y1863=X1863),"",100*(N1863-X1863)/(Y1863-X1863))</f>
        <v>0</v>
      </c>
      <c r="AA1863">
        <f>IF(COUNT($Z$1861:$Z$1863)&lt;3,"",AVERAGE($Z$1861:$Z$1863))</f>
        <v>0</v>
      </c>
      <c r="AB1863">
        <f>IF(COUNT($AA$1861:$AA$1863)&lt;3,"",AVERAGE($AA$1861:$AA$1863))</f>
        <v>0</v>
      </c>
      <c r="AC1863">
        <f>IF($E1863="","",MAX($C1863-$D1863,ABS($C1863-$E1862),ABS($D1863-$E1862)))</f>
        <v>0</v>
      </c>
      <c r="AD1863">
        <f>IF(COUNT($E$2:$E1863)&lt;15,"",AVERAGE($AC$1850:$AC$1863))</f>
        <v>0</v>
      </c>
      <c r="AE1863">
        <f>IF(OR($E1863="",$E1862=""),"",IF(AND(($C1863-$C1862)&gt;($D1862-$D1863),($C1863-$C1862)&gt;0),$C1863-$C1862,0))</f>
        <v>0</v>
      </c>
      <c r="AF1863">
        <f>IF(OR($E1863="",$E1862=""),"",IF(AND(($D1862-$D1863)&gt;($C1863-$C1862),($D1862-$D1863)&gt;0),$D1862-$D1863,0))</f>
        <v>0</v>
      </c>
      <c r="AG1863">
        <f>IF(COUNT($E$2:$E1863)&lt;15,"",IF(SUM($AC$1850:$AC$1863)=0,0,100*SUM($AE$1850:$AE$1863)/SUM($AC$1850:$AC$1863)))</f>
        <v>0</v>
      </c>
      <c r="AH1863">
        <f>IF(COUNT($E$2:$E1863)&lt;15,"",IF(SUM($AC$1850:$AC$1863)=0,0,100*SUM($AF$1850:$AF$1863)/SUM($AC$1850:$AC$1863)))</f>
        <v>0</v>
      </c>
      <c r="AI1863">
        <f>IF(OR(AG1863="",AH1863=""),"",IF((AG1863+AH1863)=0,0,100*ABS(AG1863-AH1863)/(AG1863+AH1863)))</f>
        <v>0</v>
      </c>
      <c r="AJ1863">
        <f>IF(COUNT($AI$1850:$AI$1863)&lt;14,"",AVERAGE($AI$1850:$AI$1863))</f>
        <v>0</v>
      </c>
      <c r="AK1863">
        <f>IF(COUNT($E$2:$E1863)&lt;20,"",AVERAGE($E$1844:$E$1863))</f>
        <v>0</v>
      </c>
      <c r="AL1863">
        <f>IF(COUNT($E$2:$E1863)&lt;20,"",STDEVP($E$1844:$E$1863))</f>
        <v>0</v>
      </c>
      <c r="AM1863">
        <f>IF(AK1863="","",AK1863+2*AL1863)</f>
        <v>0</v>
      </c>
      <c r="AN1863">
        <f>IF(AK1863="","",AK1863-2*AL1863)</f>
        <v>0</v>
      </c>
      <c r="AO1863">
        <f>IF(OR(AM1863="",AN1863="",AM1863=AN1863),"",($E1863-AN1863)/(AM1863-AN1863))</f>
        <v>0</v>
      </c>
      <c r="AP1863">
        <f>IF(OR(AM1863="",AK1863="",AK1863=0),"",(AM1863-AN1863)/AK1863)</f>
        <v>0</v>
      </c>
      <c r="AQ1863">
        <f>IF(COUNT($E$2:$E1863)&lt;20,"",MAX($C$1844:$C$1863))</f>
        <v>0</v>
      </c>
      <c r="AR1863">
        <f>IF(COUNT($E$2:$E1863)&lt;20,"",MIN($D$1844:$D$1863))</f>
        <v>0</v>
      </c>
      <c r="AS1863">
        <f>IF(OR(AQ1863="",AR1863=""),"",(AQ1863+AR1863)/2)</f>
        <v>0</v>
      </c>
      <c r="AT1863">
        <f>IF(COUNT($G$1844:$G$1863)&lt;20,"",STDEV($G$1844:$G$1863)*SQRT(252))</f>
        <v>0</v>
      </c>
      <c r="AU1863">
        <f>IF(COUNT($E$2:$E1863)&lt;9,"",(MAX($C$1855:$C$1863)+MIN($D$1855:$D$1863))/2)</f>
        <v>0</v>
      </c>
      <c r="AV1863">
        <f>IF(COUNT($E$2:$E1863)&lt;26,"",(MAX($C$1838:$C$1863)+MIN($D$1838:$D$1863))/2)</f>
        <v>0</v>
      </c>
      <c r="AW1863">
        <f>IF(OR(AU1863="",AV1863=""),"",(AU1863+AV1863)/2)</f>
        <v>0</v>
      </c>
      <c r="AX1863">
        <f>IF(COUNT($E$2:$E1863)&lt;52,"",(MAX($C$1812:$C$1863)+MIN($D$1812:$D$1863))/2)</f>
        <v>0</v>
      </c>
      <c r="AY1863">
        <f>IF(COUNT($E$2:$E1863)&lt;20,"",MAX($C$1764:$C$1863))</f>
        <v>0</v>
      </c>
      <c r="AZ1863">
        <f>IF(COUNT($E$2:$E1863)&lt;20,"",MIN($D$1764:$D$1863))</f>
        <v>0</v>
      </c>
      <c r="BA1863">
        <f>IF(COUNT($E$2:$E1863)&lt;20,"",SLOPE($E$1764:$E$1863,$F$1764:$F$1863))</f>
        <v>0</v>
      </c>
      <c r="BB1863">
        <f>IF(COUNT($E$2:$E1863)&lt;20,"",INTERCEPT($E$1764:$E$1863,$F$1764:$F$1863))</f>
        <v>0</v>
      </c>
      <c r="BC1863">
        <f>IF(OR(BA1863="",BB1863=""),"",BB1863+BA1863*F1863)</f>
        <v>0</v>
      </c>
      <c r="BD1863">
        <f>IF(COUNT($E$2:$E1863)&lt;20,"",STEYX($E$1764:$E$1863,$F$1764:$F$1863))</f>
        <v>0</v>
      </c>
      <c r="BE1863">
        <f>IF($E1863="","",IF(AND(COUNT($E$1864:$E$1867)&gt;=4,$C1863=MAX($C$1859:$C$1867)),$C1863,""))</f>
        <v>0</v>
      </c>
      <c r="BF1863">
        <f>IF($E1863="","",IF(AND(COUNT($E$1864:$E$1867)&gt;=4,$D1863=MIN($D$1859:$D$1867)),$D1863,""))</f>
        <v>0</v>
      </c>
      <c r="BG1863">
        <f>IF($A1863="","",$A1863-WEEKDAY($A1863,2)+1)</f>
        <v>0</v>
      </c>
      <c r="BH1863">
        <f>IF($A1863="","",IF($A1862="",1,IF(BG1863&lt;&gt;BG1862,1,0)))</f>
        <v>0</v>
      </c>
      <c r="BI1863">
        <f>IF($A1863="","",IF($A1864="",1,IF(BG1864&lt;&gt;BG1863,1,0)))</f>
        <v>0</v>
      </c>
      <c r="BJ1863">
        <f>IF($A1863="","",IF(BH1863=1,$B1863,BJ1862))</f>
        <v>0</v>
      </c>
      <c r="BK1863">
        <f>IF($A1863="","",IF(BH1863=1,$C1863,MAX($C1863,BK1862)))</f>
        <v>0</v>
      </c>
      <c r="BL1863">
        <f>IF($A1863="","",IF(BH1863=1,$D1863,MIN($D1863,BL1862)))</f>
        <v>0</v>
      </c>
      <c r="BM1863">
        <f>IF($A1863="","",IF(BI1863=1,F1863,""))</f>
        <v>0</v>
      </c>
      <c r="BN1863">
        <f>IF($A1863="","",DATE(YEAR($A1863),MONTH($A1863),1))</f>
        <v>0</v>
      </c>
      <c r="BO1863">
        <f>IF($A1863="","",IF($A1862="",1,IF(BN1863&lt;&gt;BN1862,1,0)))</f>
        <v>0</v>
      </c>
      <c r="BP1863">
        <f>IF($A1863="","",IF($A1864="",1,IF(BN1864&lt;&gt;BN1863,1,0)))</f>
        <v>0</v>
      </c>
      <c r="BQ1863">
        <f>IF($A1863="","",IF(BO1863=1,$B1863,BQ1862))</f>
        <v>0</v>
      </c>
      <c r="BR1863">
        <f>IF($A1863="","",IF(BO1863=1,$C1863,MAX($C1863,BR1862)))</f>
        <v>0</v>
      </c>
      <c r="BS1863">
        <f>IF($A1863="","",IF(BO1863=1,$D1863,MIN($D1863,BS1862)))</f>
        <v>0</v>
      </c>
      <c r="BT1863">
        <f>IF($A1863="","",IF(BP1863=1,F1863,""))</f>
        <v>0</v>
      </c>
    </row>
    <row r="1864" spans="1:72">
      <c r="A1864" s="27">
        <f>IF(Data!$A1864="","",Data!$A1864)</f>
        <v>0</v>
      </c>
      <c r="B1864">
        <f>IF(Data!$B1864="","",Data!$B1864)</f>
        <v>0</v>
      </c>
      <c r="C1864">
        <f>IF(Data!$C1864="","",Data!$C1864)</f>
        <v>0</v>
      </c>
      <c r="D1864">
        <f>IF(Data!$D1864="","",Data!$D1864)</f>
        <v>0</v>
      </c>
      <c r="E1864">
        <f>IF(Data!$E1864="","",Data!$E1864)</f>
        <v>0</v>
      </c>
      <c r="F1864">
        <f>IF($E1864="","",N(F1863)+1)</f>
        <v>0</v>
      </c>
      <c r="G1864">
        <f>IF(OR($E1864="",$E1863=""),"",LN($E1864/$E1863))</f>
        <v>0</v>
      </c>
      <c r="H1864">
        <f>IF($E1864="","",IF($E1863="",$E1864,$E1864*0.0952380952+H1863*0.9047619048))</f>
        <v>0</v>
      </c>
      <c r="I1864">
        <f>IF($E1864="","",IF($E1863="",$E1864,$E1864*0.0392156863+I1863*0.9607843137))</f>
        <v>0</v>
      </c>
      <c r="J1864">
        <f>IF($E1864="","",IF($E1863="",$E1864,$E1864*0.0198019802+J1863*0.9801980198))</f>
        <v>0</v>
      </c>
      <c r="K1864">
        <f>IF($E1864="","",IF($E1863="",$E1864,$E1864*0.0099502488+K1863*0.9900497512))</f>
        <v>0</v>
      </c>
      <c r="L1864">
        <f>IF(OR($E1864="",$E1863=""),"",MAX($E1864-$E1863,0))</f>
        <v>0</v>
      </c>
      <c r="M1864">
        <f>IF(OR($E1864="",$E1863=""),"",MAX($E1863-$E1864,0))</f>
        <v>0</v>
      </c>
      <c r="N1864">
        <f>IF(COUNT($E$2:$E1864)&lt;15,"",IF(AVERAGE($M$1851:$M$1864)=0,100,100-100/(1+AVERAGE($L$1851:$L$1864)/AVERAGE($M$1851:$M$1864))))</f>
        <v>0</v>
      </c>
      <c r="O1864">
        <f>IF($E1864="","",IF($E1863="",$E1864,$E1864*0.1538461538+O1863*0.8461538462))</f>
        <v>0</v>
      </c>
      <c r="P1864">
        <f>IF($E1864="","",IF($E1863="",$E1864,$E1864*0.0740740741+P1863*0.9259259259))</f>
        <v>0</v>
      </c>
      <c r="Q1864">
        <f>IF(OR(O1864="",P1864=""),"",O1864-P1864)</f>
        <v>0</v>
      </c>
      <c r="R1864">
        <f>IF(Q1864="","",IF(R1863="",Q1864,Q1864*0.2000000000+R1863*0.8000000000))</f>
        <v>0</v>
      </c>
      <c r="S1864">
        <f>IF(OR(Q1864="",R1864=""),"",Q1864-R1864)</f>
        <v>0</v>
      </c>
      <c r="T1864">
        <f>IF(COUNT($E$2:$E1864)&lt;14,"",MAX($C$1851:$C$1864))</f>
        <v>0</v>
      </c>
      <c r="U1864">
        <f>IF(COUNT($E$2:$E1864)&lt;14,"",MIN($D$1851:$D$1864))</f>
        <v>0</v>
      </c>
      <c r="V1864">
        <f>IF(OR(T1864="",U1864="",T1864=U1864),"",100*($E1864-U1864)/(T1864-U1864))</f>
        <v>0</v>
      </c>
      <c r="W1864">
        <f>IF(COUNT($V$1862:$V$1864)&lt;3,"",AVERAGE($V$1862:$V$1864))</f>
        <v>0</v>
      </c>
      <c r="X1864">
        <f>IF(COUNT($N$1851:$N$1864)&lt;14,"",MIN($N$1851:$N$1864))</f>
        <v>0</v>
      </c>
      <c r="Y1864">
        <f>IF(COUNT($N$1851:$N$1864)&lt;14,"",MAX($N$1851:$N$1864))</f>
        <v>0</v>
      </c>
      <c r="Z1864">
        <f>IF(OR(N1864="",X1864="",Y1864="",Y1864=X1864),"",100*(N1864-X1864)/(Y1864-X1864))</f>
        <v>0</v>
      </c>
      <c r="AA1864">
        <f>IF(COUNT($Z$1862:$Z$1864)&lt;3,"",AVERAGE($Z$1862:$Z$1864))</f>
        <v>0</v>
      </c>
      <c r="AB1864">
        <f>IF(COUNT($AA$1862:$AA$1864)&lt;3,"",AVERAGE($AA$1862:$AA$1864))</f>
        <v>0</v>
      </c>
      <c r="AC1864">
        <f>IF($E1864="","",MAX($C1864-$D1864,ABS($C1864-$E1863),ABS($D1864-$E1863)))</f>
        <v>0</v>
      </c>
      <c r="AD1864">
        <f>IF(COUNT($E$2:$E1864)&lt;15,"",AVERAGE($AC$1851:$AC$1864))</f>
        <v>0</v>
      </c>
      <c r="AE1864">
        <f>IF(OR($E1864="",$E1863=""),"",IF(AND(($C1864-$C1863)&gt;($D1863-$D1864),($C1864-$C1863)&gt;0),$C1864-$C1863,0))</f>
        <v>0</v>
      </c>
      <c r="AF1864">
        <f>IF(OR($E1864="",$E1863=""),"",IF(AND(($D1863-$D1864)&gt;($C1864-$C1863),($D1863-$D1864)&gt;0),$D1863-$D1864,0))</f>
        <v>0</v>
      </c>
      <c r="AG1864">
        <f>IF(COUNT($E$2:$E1864)&lt;15,"",IF(SUM($AC$1851:$AC$1864)=0,0,100*SUM($AE$1851:$AE$1864)/SUM($AC$1851:$AC$1864)))</f>
        <v>0</v>
      </c>
      <c r="AH1864">
        <f>IF(COUNT($E$2:$E1864)&lt;15,"",IF(SUM($AC$1851:$AC$1864)=0,0,100*SUM($AF$1851:$AF$1864)/SUM($AC$1851:$AC$1864)))</f>
        <v>0</v>
      </c>
      <c r="AI1864">
        <f>IF(OR(AG1864="",AH1864=""),"",IF((AG1864+AH1864)=0,0,100*ABS(AG1864-AH1864)/(AG1864+AH1864)))</f>
        <v>0</v>
      </c>
      <c r="AJ1864">
        <f>IF(COUNT($AI$1851:$AI$1864)&lt;14,"",AVERAGE($AI$1851:$AI$1864))</f>
        <v>0</v>
      </c>
      <c r="AK1864">
        <f>IF(COUNT($E$2:$E1864)&lt;20,"",AVERAGE($E$1845:$E$1864))</f>
        <v>0</v>
      </c>
      <c r="AL1864">
        <f>IF(COUNT($E$2:$E1864)&lt;20,"",STDEVP($E$1845:$E$1864))</f>
        <v>0</v>
      </c>
      <c r="AM1864">
        <f>IF(AK1864="","",AK1864+2*AL1864)</f>
        <v>0</v>
      </c>
      <c r="AN1864">
        <f>IF(AK1864="","",AK1864-2*AL1864)</f>
        <v>0</v>
      </c>
      <c r="AO1864">
        <f>IF(OR(AM1864="",AN1864="",AM1864=AN1864),"",($E1864-AN1864)/(AM1864-AN1864))</f>
        <v>0</v>
      </c>
      <c r="AP1864">
        <f>IF(OR(AM1864="",AK1864="",AK1864=0),"",(AM1864-AN1864)/AK1864)</f>
        <v>0</v>
      </c>
      <c r="AQ1864">
        <f>IF(COUNT($E$2:$E1864)&lt;20,"",MAX($C$1845:$C$1864))</f>
        <v>0</v>
      </c>
      <c r="AR1864">
        <f>IF(COUNT($E$2:$E1864)&lt;20,"",MIN($D$1845:$D$1864))</f>
        <v>0</v>
      </c>
      <c r="AS1864">
        <f>IF(OR(AQ1864="",AR1864=""),"",(AQ1864+AR1864)/2)</f>
        <v>0</v>
      </c>
      <c r="AT1864">
        <f>IF(COUNT($G$1845:$G$1864)&lt;20,"",STDEV($G$1845:$G$1864)*SQRT(252))</f>
        <v>0</v>
      </c>
      <c r="AU1864">
        <f>IF(COUNT($E$2:$E1864)&lt;9,"",(MAX($C$1856:$C$1864)+MIN($D$1856:$D$1864))/2)</f>
        <v>0</v>
      </c>
      <c r="AV1864">
        <f>IF(COUNT($E$2:$E1864)&lt;26,"",(MAX($C$1839:$C$1864)+MIN($D$1839:$D$1864))/2)</f>
        <v>0</v>
      </c>
      <c r="AW1864">
        <f>IF(OR(AU1864="",AV1864=""),"",(AU1864+AV1864)/2)</f>
        <v>0</v>
      </c>
      <c r="AX1864">
        <f>IF(COUNT($E$2:$E1864)&lt;52,"",(MAX($C$1813:$C$1864)+MIN($D$1813:$D$1864))/2)</f>
        <v>0</v>
      </c>
      <c r="AY1864">
        <f>IF(COUNT($E$2:$E1864)&lt;20,"",MAX($C$1765:$C$1864))</f>
        <v>0</v>
      </c>
      <c r="AZ1864">
        <f>IF(COUNT($E$2:$E1864)&lt;20,"",MIN($D$1765:$D$1864))</f>
        <v>0</v>
      </c>
      <c r="BA1864">
        <f>IF(COUNT($E$2:$E1864)&lt;20,"",SLOPE($E$1765:$E$1864,$F$1765:$F$1864))</f>
        <v>0</v>
      </c>
      <c r="BB1864">
        <f>IF(COUNT($E$2:$E1864)&lt;20,"",INTERCEPT($E$1765:$E$1864,$F$1765:$F$1864))</f>
        <v>0</v>
      </c>
      <c r="BC1864">
        <f>IF(OR(BA1864="",BB1864=""),"",BB1864+BA1864*F1864)</f>
        <v>0</v>
      </c>
      <c r="BD1864">
        <f>IF(COUNT($E$2:$E1864)&lt;20,"",STEYX($E$1765:$E$1864,$F$1765:$F$1864))</f>
        <v>0</v>
      </c>
      <c r="BE1864">
        <f>IF($E1864="","",IF(AND(COUNT($E$1865:$E$1868)&gt;=4,$C1864=MAX($C$1860:$C$1868)),$C1864,""))</f>
        <v>0</v>
      </c>
      <c r="BF1864">
        <f>IF($E1864="","",IF(AND(COUNT($E$1865:$E$1868)&gt;=4,$D1864=MIN($D$1860:$D$1868)),$D1864,""))</f>
        <v>0</v>
      </c>
      <c r="BG1864">
        <f>IF($A1864="","",$A1864-WEEKDAY($A1864,2)+1)</f>
        <v>0</v>
      </c>
      <c r="BH1864">
        <f>IF($A1864="","",IF($A1863="",1,IF(BG1864&lt;&gt;BG1863,1,0)))</f>
        <v>0</v>
      </c>
      <c r="BI1864">
        <f>IF($A1864="","",IF($A1865="",1,IF(BG1865&lt;&gt;BG1864,1,0)))</f>
        <v>0</v>
      </c>
      <c r="BJ1864">
        <f>IF($A1864="","",IF(BH1864=1,$B1864,BJ1863))</f>
        <v>0</v>
      </c>
      <c r="BK1864">
        <f>IF($A1864="","",IF(BH1864=1,$C1864,MAX($C1864,BK1863)))</f>
        <v>0</v>
      </c>
      <c r="BL1864">
        <f>IF($A1864="","",IF(BH1864=1,$D1864,MIN($D1864,BL1863)))</f>
        <v>0</v>
      </c>
      <c r="BM1864">
        <f>IF($A1864="","",IF(BI1864=1,F1864,""))</f>
        <v>0</v>
      </c>
      <c r="BN1864">
        <f>IF($A1864="","",DATE(YEAR($A1864),MONTH($A1864),1))</f>
        <v>0</v>
      </c>
      <c r="BO1864">
        <f>IF($A1864="","",IF($A1863="",1,IF(BN1864&lt;&gt;BN1863,1,0)))</f>
        <v>0</v>
      </c>
      <c r="BP1864">
        <f>IF($A1864="","",IF($A1865="",1,IF(BN1865&lt;&gt;BN1864,1,0)))</f>
        <v>0</v>
      </c>
      <c r="BQ1864">
        <f>IF($A1864="","",IF(BO1864=1,$B1864,BQ1863))</f>
        <v>0</v>
      </c>
      <c r="BR1864">
        <f>IF($A1864="","",IF(BO1864=1,$C1864,MAX($C1864,BR1863)))</f>
        <v>0</v>
      </c>
      <c r="BS1864">
        <f>IF($A1864="","",IF(BO1864=1,$D1864,MIN($D1864,BS1863)))</f>
        <v>0</v>
      </c>
      <c r="BT1864">
        <f>IF($A1864="","",IF(BP1864=1,F1864,""))</f>
        <v>0</v>
      </c>
    </row>
    <row r="1865" spans="1:72">
      <c r="A1865" s="27">
        <f>IF(Data!$A1865="","",Data!$A1865)</f>
        <v>0</v>
      </c>
      <c r="B1865">
        <f>IF(Data!$B1865="","",Data!$B1865)</f>
        <v>0</v>
      </c>
      <c r="C1865">
        <f>IF(Data!$C1865="","",Data!$C1865)</f>
        <v>0</v>
      </c>
      <c r="D1865">
        <f>IF(Data!$D1865="","",Data!$D1865)</f>
        <v>0</v>
      </c>
      <c r="E1865">
        <f>IF(Data!$E1865="","",Data!$E1865)</f>
        <v>0</v>
      </c>
      <c r="F1865">
        <f>IF($E1865="","",N(F1864)+1)</f>
        <v>0</v>
      </c>
      <c r="G1865">
        <f>IF(OR($E1865="",$E1864=""),"",LN($E1865/$E1864))</f>
        <v>0</v>
      </c>
      <c r="H1865">
        <f>IF($E1865="","",IF($E1864="",$E1865,$E1865*0.0952380952+H1864*0.9047619048))</f>
        <v>0</v>
      </c>
      <c r="I1865">
        <f>IF($E1865="","",IF($E1864="",$E1865,$E1865*0.0392156863+I1864*0.9607843137))</f>
        <v>0</v>
      </c>
      <c r="J1865">
        <f>IF($E1865="","",IF($E1864="",$E1865,$E1865*0.0198019802+J1864*0.9801980198))</f>
        <v>0</v>
      </c>
      <c r="K1865">
        <f>IF($E1865="","",IF($E1864="",$E1865,$E1865*0.0099502488+K1864*0.9900497512))</f>
        <v>0</v>
      </c>
      <c r="L1865">
        <f>IF(OR($E1865="",$E1864=""),"",MAX($E1865-$E1864,0))</f>
        <v>0</v>
      </c>
      <c r="M1865">
        <f>IF(OR($E1865="",$E1864=""),"",MAX($E1864-$E1865,0))</f>
        <v>0</v>
      </c>
      <c r="N1865">
        <f>IF(COUNT($E$2:$E1865)&lt;15,"",IF(AVERAGE($M$1852:$M$1865)=0,100,100-100/(1+AVERAGE($L$1852:$L$1865)/AVERAGE($M$1852:$M$1865))))</f>
        <v>0</v>
      </c>
      <c r="O1865">
        <f>IF($E1865="","",IF($E1864="",$E1865,$E1865*0.1538461538+O1864*0.8461538462))</f>
        <v>0</v>
      </c>
      <c r="P1865">
        <f>IF($E1865="","",IF($E1864="",$E1865,$E1865*0.0740740741+P1864*0.9259259259))</f>
        <v>0</v>
      </c>
      <c r="Q1865">
        <f>IF(OR(O1865="",P1865=""),"",O1865-P1865)</f>
        <v>0</v>
      </c>
      <c r="R1865">
        <f>IF(Q1865="","",IF(R1864="",Q1865,Q1865*0.2000000000+R1864*0.8000000000))</f>
        <v>0</v>
      </c>
      <c r="S1865">
        <f>IF(OR(Q1865="",R1865=""),"",Q1865-R1865)</f>
        <v>0</v>
      </c>
      <c r="T1865">
        <f>IF(COUNT($E$2:$E1865)&lt;14,"",MAX($C$1852:$C$1865))</f>
        <v>0</v>
      </c>
      <c r="U1865">
        <f>IF(COUNT($E$2:$E1865)&lt;14,"",MIN($D$1852:$D$1865))</f>
        <v>0</v>
      </c>
      <c r="V1865">
        <f>IF(OR(T1865="",U1865="",T1865=U1865),"",100*($E1865-U1865)/(T1865-U1865))</f>
        <v>0</v>
      </c>
      <c r="W1865">
        <f>IF(COUNT($V$1863:$V$1865)&lt;3,"",AVERAGE($V$1863:$V$1865))</f>
        <v>0</v>
      </c>
      <c r="X1865">
        <f>IF(COUNT($N$1852:$N$1865)&lt;14,"",MIN($N$1852:$N$1865))</f>
        <v>0</v>
      </c>
      <c r="Y1865">
        <f>IF(COUNT($N$1852:$N$1865)&lt;14,"",MAX($N$1852:$N$1865))</f>
        <v>0</v>
      </c>
      <c r="Z1865">
        <f>IF(OR(N1865="",X1865="",Y1865="",Y1865=X1865),"",100*(N1865-X1865)/(Y1865-X1865))</f>
        <v>0</v>
      </c>
      <c r="AA1865">
        <f>IF(COUNT($Z$1863:$Z$1865)&lt;3,"",AVERAGE($Z$1863:$Z$1865))</f>
        <v>0</v>
      </c>
      <c r="AB1865">
        <f>IF(COUNT($AA$1863:$AA$1865)&lt;3,"",AVERAGE($AA$1863:$AA$1865))</f>
        <v>0</v>
      </c>
      <c r="AC1865">
        <f>IF($E1865="","",MAX($C1865-$D1865,ABS($C1865-$E1864),ABS($D1865-$E1864)))</f>
        <v>0</v>
      </c>
      <c r="AD1865">
        <f>IF(COUNT($E$2:$E1865)&lt;15,"",AVERAGE($AC$1852:$AC$1865))</f>
        <v>0</v>
      </c>
      <c r="AE1865">
        <f>IF(OR($E1865="",$E1864=""),"",IF(AND(($C1865-$C1864)&gt;($D1864-$D1865),($C1865-$C1864)&gt;0),$C1865-$C1864,0))</f>
        <v>0</v>
      </c>
      <c r="AF1865">
        <f>IF(OR($E1865="",$E1864=""),"",IF(AND(($D1864-$D1865)&gt;($C1865-$C1864),($D1864-$D1865)&gt;0),$D1864-$D1865,0))</f>
        <v>0</v>
      </c>
      <c r="AG1865">
        <f>IF(COUNT($E$2:$E1865)&lt;15,"",IF(SUM($AC$1852:$AC$1865)=0,0,100*SUM($AE$1852:$AE$1865)/SUM($AC$1852:$AC$1865)))</f>
        <v>0</v>
      </c>
      <c r="AH1865">
        <f>IF(COUNT($E$2:$E1865)&lt;15,"",IF(SUM($AC$1852:$AC$1865)=0,0,100*SUM($AF$1852:$AF$1865)/SUM($AC$1852:$AC$1865)))</f>
        <v>0</v>
      </c>
      <c r="AI1865">
        <f>IF(OR(AG1865="",AH1865=""),"",IF((AG1865+AH1865)=0,0,100*ABS(AG1865-AH1865)/(AG1865+AH1865)))</f>
        <v>0</v>
      </c>
      <c r="AJ1865">
        <f>IF(COUNT($AI$1852:$AI$1865)&lt;14,"",AVERAGE($AI$1852:$AI$1865))</f>
        <v>0</v>
      </c>
      <c r="AK1865">
        <f>IF(COUNT($E$2:$E1865)&lt;20,"",AVERAGE($E$1846:$E$1865))</f>
        <v>0</v>
      </c>
      <c r="AL1865">
        <f>IF(COUNT($E$2:$E1865)&lt;20,"",STDEVP($E$1846:$E$1865))</f>
        <v>0</v>
      </c>
      <c r="AM1865">
        <f>IF(AK1865="","",AK1865+2*AL1865)</f>
        <v>0</v>
      </c>
      <c r="AN1865">
        <f>IF(AK1865="","",AK1865-2*AL1865)</f>
        <v>0</v>
      </c>
      <c r="AO1865">
        <f>IF(OR(AM1865="",AN1865="",AM1865=AN1865),"",($E1865-AN1865)/(AM1865-AN1865))</f>
        <v>0</v>
      </c>
      <c r="AP1865">
        <f>IF(OR(AM1865="",AK1865="",AK1865=0),"",(AM1865-AN1865)/AK1865)</f>
        <v>0</v>
      </c>
      <c r="AQ1865">
        <f>IF(COUNT($E$2:$E1865)&lt;20,"",MAX($C$1846:$C$1865))</f>
        <v>0</v>
      </c>
      <c r="AR1865">
        <f>IF(COUNT($E$2:$E1865)&lt;20,"",MIN($D$1846:$D$1865))</f>
        <v>0</v>
      </c>
      <c r="AS1865">
        <f>IF(OR(AQ1865="",AR1865=""),"",(AQ1865+AR1865)/2)</f>
        <v>0</v>
      </c>
      <c r="AT1865">
        <f>IF(COUNT($G$1846:$G$1865)&lt;20,"",STDEV($G$1846:$G$1865)*SQRT(252))</f>
        <v>0</v>
      </c>
      <c r="AU1865">
        <f>IF(COUNT($E$2:$E1865)&lt;9,"",(MAX($C$1857:$C$1865)+MIN($D$1857:$D$1865))/2)</f>
        <v>0</v>
      </c>
      <c r="AV1865">
        <f>IF(COUNT($E$2:$E1865)&lt;26,"",(MAX($C$1840:$C$1865)+MIN($D$1840:$D$1865))/2)</f>
        <v>0</v>
      </c>
      <c r="AW1865">
        <f>IF(OR(AU1865="",AV1865=""),"",(AU1865+AV1865)/2)</f>
        <v>0</v>
      </c>
      <c r="AX1865">
        <f>IF(COUNT($E$2:$E1865)&lt;52,"",(MAX($C$1814:$C$1865)+MIN($D$1814:$D$1865))/2)</f>
        <v>0</v>
      </c>
      <c r="AY1865">
        <f>IF(COUNT($E$2:$E1865)&lt;20,"",MAX($C$1766:$C$1865))</f>
        <v>0</v>
      </c>
      <c r="AZ1865">
        <f>IF(COUNT($E$2:$E1865)&lt;20,"",MIN($D$1766:$D$1865))</f>
        <v>0</v>
      </c>
      <c r="BA1865">
        <f>IF(COUNT($E$2:$E1865)&lt;20,"",SLOPE($E$1766:$E$1865,$F$1766:$F$1865))</f>
        <v>0</v>
      </c>
      <c r="BB1865">
        <f>IF(COUNT($E$2:$E1865)&lt;20,"",INTERCEPT($E$1766:$E$1865,$F$1766:$F$1865))</f>
        <v>0</v>
      </c>
      <c r="BC1865">
        <f>IF(OR(BA1865="",BB1865=""),"",BB1865+BA1865*F1865)</f>
        <v>0</v>
      </c>
      <c r="BD1865">
        <f>IF(COUNT($E$2:$E1865)&lt;20,"",STEYX($E$1766:$E$1865,$F$1766:$F$1865))</f>
        <v>0</v>
      </c>
      <c r="BE1865">
        <f>IF($E1865="","",IF(AND(COUNT($E$1866:$E$1869)&gt;=4,$C1865=MAX($C$1861:$C$1869)),$C1865,""))</f>
        <v>0</v>
      </c>
      <c r="BF1865">
        <f>IF($E1865="","",IF(AND(COUNT($E$1866:$E$1869)&gt;=4,$D1865=MIN($D$1861:$D$1869)),$D1865,""))</f>
        <v>0</v>
      </c>
      <c r="BG1865">
        <f>IF($A1865="","",$A1865-WEEKDAY($A1865,2)+1)</f>
        <v>0</v>
      </c>
      <c r="BH1865">
        <f>IF($A1865="","",IF($A1864="",1,IF(BG1865&lt;&gt;BG1864,1,0)))</f>
        <v>0</v>
      </c>
      <c r="BI1865">
        <f>IF($A1865="","",IF($A1866="",1,IF(BG1866&lt;&gt;BG1865,1,0)))</f>
        <v>0</v>
      </c>
      <c r="BJ1865">
        <f>IF($A1865="","",IF(BH1865=1,$B1865,BJ1864))</f>
        <v>0</v>
      </c>
      <c r="BK1865">
        <f>IF($A1865="","",IF(BH1865=1,$C1865,MAX($C1865,BK1864)))</f>
        <v>0</v>
      </c>
      <c r="BL1865">
        <f>IF($A1865="","",IF(BH1865=1,$D1865,MIN($D1865,BL1864)))</f>
        <v>0</v>
      </c>
      <c r="BM1865">
        <f>IF($A1865="","",IF(BI1865=1,F1865,""))</f>
        <v>0</v>
      </c>
      <c r="BN1865">
        <f>IF($A1865="","",DATE(YEAR($A1865),MONTH($A1865),1))</f>
        <v>0</v>
      </c>
      <c r="BO1865">
        <f>IF($A1865="","",IF($A1864="",1,IF(BN1865&lt;&gt;BN1864,1,0)))</f>
        <v>0</v>
      </c>
      <c r="BP1865">
        <f>IF($A1865="","",IF($A1866="",1,IF(BN1866&lt;&gt;BN1865,1,0)))</f>
        <v>0</v>
      </c>
      <c r="BQ1865">
        <f>IF($A1865="","",IF(BO1865=1,$B1865,BQ1864))</f>
        <v>0</v>
      </c>
      <c r="BR1865">
        <f>IF($A1865="","",IF(BO1865=1,$C1865,MAX($C1865,BR1864)))</f>
        <v>0</v>
      </c>
      <c r="BS1865">
        <f>IF($A1865="","",IF(BO1865=1,$D1865,MIN($D1865,BS1864)))</f>
        <v>0</v>
      </c>
      <c r="BT1865">
        <f>IF($A1865="","",IF(BP1865=1,F1865,""))</f>
        <v>0</v>
      </c>
    </row>
    <row r="1866" spans="1:72">
      <c r="A1866" s="27">
        <f>IF(Data!$A1866="","",Data!$A1866)</f>
        <v>0</v>
      </c>
      <c r="B1866">
        <f>IF(Data!$B1866="","",Data!$B1866)</f>
        <v>0</v>
      </c>
      <c r="C1866">
        <f>IF(Data!$C1866="","",Data!$C1866)</f>
        <v>0</v>
      </c>
      <c r="D1866">
        <f>IF(Data!$D1866="","",Data!$D1866)</f>
        <v>0</v>
      </c>
      <c r="E1866">
        <f>IF(Data!$E1866="","",Data!$E1866)</f>
        <v>0</v>
      </c>
      <c r="F1866">
        <f>IF($E1866="","",N(F1865)+1)</f>
        <v>0</v>
      </c>
      <c r="G1866">
        <f>IF(OR($E1866="",$E1865=""),"",LN($E1866/$E1865))</f>
        <v>0</v>
      </c>
      <c r="H1866">
        <f>IF($E1866="","",IF($E1865="",$E1866,$E1866*0.0952380952+H1865*0.9047619048))</f>
        <v>0</v>
      </c>
      <c r="I1866">
        <f>IF($E1866="","",IF($E1865="",$E1866,$E1866*0.0392156863+I1865*0.9607843137))</f>
        <v>0</v>
      </c>
      <c r="J1866">
        <f>IF($E1866="","",IF($E1865="",$E1866,$E1866*0.0198019802+J1865*0.9801980198))</f>
        <v>0</v>
      </c>
      <c r="K1866">
        <f>IF($E1866="","",IF($E1865="",$E1866,$E1866*0.0099502488+K1865*0.9900497512))</f>
        <v>0</v>
      </c>
      <c r="L1866">
        <f>IF(OR($E1866="",$E1865=""),"",MAX($E1866-$E1865,0))</f>
        <v>0</v>
      </c>
      <c r="M1866">
        <f>IF(OR($E1866="",$E1865=""),"",MAX($E1865-$E1866,0))</f>
        <v>0</v>
      </c>
      <c r="N1866">
        <f>IF(COUNT($E$2:$E1866)&lt;15,"",IF(AVERAGE($M$1853:$M$1866)=0,100,100-100/(1+AVERAGE($L$1853:$L$1866)/AVERAGE($M$1853:$M$1866))))</f>
        <v>0</v>
      </c>
      <c r="O1866">
        <f>IF($E1866="","",IF($E1865="",$E1866,$E1866*0.1538461538+O1865*0.8461538462))</f>
        <v>0</v>
      </c>
      <c r="P1866">
        <f>IF($E1866="","",IF($E1865="",$E1866,$E1866*0.0740740741+P1865*0.9259259259))</f>
        <v>0</v>
      </c>
      <c r="Q1866">
        <f>IF(OR(O1866="",P1866=""),"",O1866-P1866)</f>
        <v>0</v>
      </c>
      <c r="R1866">
        <f>IF(Q1866="","",IF(R1865="",Q1866,Q1866*0.2000000000+R1865*0.8000000000))</f>
        <v>0</v>
      </c>
      <c r="S1866">
        <f>IF(OR(Q1866="",R1866=""),"",Q1866-R1866)</f>
        <v>0</v>
      </c>
      <c r="T1866">
        <f>IF(COUNT($E$2:$E1866)&lt;14,"",MAX($C$1853:$C$1866))</f>
        <v>0</v>
      </c>
      <c r="U1866">
        <f>IF(COUNT($E$2:$E1866)&lt;14,"",MIN($D$1853:$D$1866))</f>
        <v>0</v>
      </c>
      <c r="V1866">
        <f>IF(OR(T1866="",U1866="",T1866=U1866),"",100*($E1866-U1866)/(T1866-U1866))</f>
        <v>0</v>
      </c>
      <c r="W1866">
        <f>IF(COUNT($V$1864:$V$1866)&lt;3,"",AVERAGE($V$1864:$V$1866))</f>
        <v>0</v>
      </c>
      <c r="X1866">
        <f>IF(COUNT($N$1853:$N$1866)&lt;14,"",MIN($N$1853:$N$1866))</f>
        <v>0</v>
      </c>
      <c r="Y1866">
        <f>IF(COUNT($N$1853:$N$1866)&lt;14,"",MAX($N$1853:$N$1866))</f>
        <v>0</v>
      </c>
      <c r="Z1866">
        <f>IF(OR(N1866="",X1866="",Y1866="",Y1866=X1866),"",100*(N1866-X1866)/(Y1866-X1866))</f>
        <v>0</v>
      </c>
      <c r="AA1866">
        <f>IF(COUNT($Z$1864:$Z$1866)&lt;3,"",AVERAGE($Z$1864:$Z$1866))</f>
        <v>0</v>
      </c>
      <c r="AB1866">
        <f>IF(COUNT($AA$1864:$AA$1866)&lt;3,"",AVERAGE($AA$1864:$AA$1866))</f>
        <v>0</v>
      </c>
      <c r="AC1866">
        <f>IF($E1866="","",MAX($C1866-$D1866,ABS($C1866-$E1865),ABS($D1866-$E1865)))</f>
        <v>0</v>
      </c>
      <c r="AD1866">
        <f>IF(COUNT($E$2:$E1866)&lt;15,"",AVERAGE($AC$1853:$AC$1866))</f>
        <v>0</v>
      </c>
      <c r="AE1866">
        <f>IF(OR($E1866="",$E1865=""),"",IF(AND(($C1866-$C1865)&gt;($D1865-$D1866),($C1866-$C1865)&gt;0),$C1866-$C1865,0))</f>
        <v>0</v>
      </c>
      <c r="AF1866">
        <f>IF(OR($E1866="",$E1865=""),"",IF(AND(($D1865-$D1866)&gt;($C1866-$C1865),($D1865-$D1866)&gt;0),$D1865-$D1866,0))</f>
        <v>0</v>
      </c>
      <c r="AG1866">
        <f>IF(COUNT($E$2:$E1866)&lt;15,"",IF(SUM($AC$1853:$AC$1866)=0,0,100*SUM($AE$1853:$AE$1866)/SUM($AC$1853:$AC$1866)))</f>
        <v>0</v>
      </c>
      <c r="AH1866">
        <f>IF(COUNT($E$2:$E1866)&lt;15,"",IF(SUM($AC$1853:$AC$1866)=0,0,100*SUM($AF$1853:$AF$1866)/SUM($AC$1853:$AC$1866)))</f>
        <v>0</v>
      </c>
      <c r="AI1866">
        <f>IF(OR(AG1866="",AH1866=""),"",IF((AG1866+AH1866)=0,0,100*ABS(AG1866-AH1866)/(AG1866+AH1866)))</f>
        <v>0</v>
      </c>
      <c r="AJ1866">
        <f>IF(COUNT($AI$1853:$AI$1866)&lt;14,"",AVERAGE($AI$1853:$AI$1866))</f>
        <v>0</v>
      </c>
      <c r="AK1866">
        <f>IF(COUNT($E$2:$E1866)&lt;20,"",AVERAGE($E$1847:$E$1866))</f>
        <v>0</v>
      </c>
      <c r="AL1866">
        <f>IF(COUNT($E$2:$E1866)&lt;20,"",STDEVP($E$1847:$E$1866))</f>
        <v>0</v>
      </c>
      <c r="AM1866">
        <f>IF(AK1866="","",AK1866+2*AL1866)</f>
        <v>0</v>
      </c>
      <c r="AN1866">
        <f>IF(AK1866="","",AK1866-2*AL1866)</f>
        <v>0</v>
      </c>
      <c r="AO1866">
        <f>IF(OR(AM1866="",AN1866="",AM1866=AN1866),"",($E1866-AN1866)/(AM1866-AN1866))</f>
        <v>0</v>
      </c>
      <c r="AP1866">
        <f>IF(OR(AM1866="",AK1866="",AK1866=0),"",(AM1866-AN1866)/AK1866)</f>
        <v>0</v>
      </c>
      <c r="AQ1866">
        <f>IF(COUNT($E$2:$E1866)&lt;20,"",MAX($C$1847:$C$1866))</f>
        <v>0</v>
      </c>
      <c r="AR1866">
        <f>IF(COUNT($E$2:$E1866)&lt;20,"",MIN($D$1847:$D$1866))</f>
        <v>0</v>
      </c>
      <c r="AS1866">
        <f>IF(OR(AQ1866="",AR1866=""),"",(AQ1866+AR1866)/2)</f>
        <v>0</v>
      </c>
      <c r="AT1866">
        <f>IF(COUNT($G$1847:$G$1866)&lt;20,"",STDEV($G$1847:$G$1866)*SQRT(252))</f>
        <v>0</v>
      </c>
      <c r="AU1866">
        <f>IF(COUNT($E$2:$E1866)&lt;9,"",(MAX($C$1858:$C$1866)+MIN($D$1858:$D$1866))/2)</f>
        <v>0</v>
      </c>
      <c r="AV1866">
        <f>IF(COUNT($E$2:$E1866)&lt;26,"",(MAX($C$1841:$C$1866)+MIN($D$1841:$D$1866))/2)</f>
        <v>0</v>
      </c>
      <c r="AW1866">
        <f>IF(OR(AU1866="",AV1866=""),"",(AU1866+AV1866)/2)</f>
        <v>0</v>
      </c>
      <c r="AX1866">
        <f>IF(COUNT($E$2:$E1866)&lt;52,"",(MAX($C$1815:$C$1866)+MIN($D$1815:$D$1866))/2)</f>
        <v>0</v>
      </c>
      <c r="AY1866">
        <f>IF(COUNT($E$2:$E1866)&lt;20,"",MAX($C$1767:$C$1866))</f>
        <v>0</v>
      </c>
      <c r="AZ1866">
        <f>IF(COUNT($E$2:$E1866)&lt;20,"",MIN($D$1767:$D$1866))</f>
        <v>0</v>
      </c>
      <c r="BA1866">
        <f>IF(COUNT($E$2:$E1866)&lt;20,"",SLOPE($E$1767:$E$1866,$F$1767:$F$1866))</f>
        <v>0</v>
      </c>
      <c r="BB1866">
        <f>IF(COUNT($E$2:$E1866)&lt;20,"",INTERCEPT($E$1767:$E$1866,$F$1767:$F$1866))</f>
        <v>0</v>
      </c>
      <c r="BC1866">
        <f>IF(OR(BA1866="",BB1866=""),"",BB1866+BA1866*F1866)</f>
        <v>0</v>
      </c>
      <c r="BD1866">
        <f>IF(COUNT($E$2:$E1866)&lt;20,"",STEYX($E$1767:$E$1866,$F$1767:$F$1866))</f>
        <v>0</v>
      </c>
      <c r="BE1866">
        <f>IF($E1866="","",IF(AND(COUNT($E$1867:$E$1870)&gt;=4,$C1866=MAX($C$1862:$C$1870)),$C1866,""))</f>
        <v>0</v>
      </c>
      <c r="BF1866">
        <f>IF($E1866="","",IF(AND(COUNT($E$1867:$E$1870)&gt;=4,$D1866=MIN($D$1862:$D$1870)),$D1866,""))</f>
        <v>0</v>
      </c>
      <c r="BG1866">
        <f>IF($A1866="","",$A1866-WEEKDAY($A1866,2)+1)</f>
        <v>0</v>
      </c>
      <c r="BH1866">
        <f>IF($A1866="","",IF($A1865="",1,IF(BG1866&lt;&gt;BG1865,1,0)))</f>
        <v>0</v>
      </c>
      <c r="BI1866">
        <f>IF($A1866="","",IF($A1867="",1,IF(BG1867&lt;&gt;BG1866,1,0)))</f>
        <v>0</v>
      </c>
      <c r="BJ1866">
        <f>IF($A1866="","",IF(BH1866=1,$B1866,BJ1865))</f>
        <v>0</v>
      </c>
      <c r="BK1866">
        <f>IF($A1866="","",IF(BH1866=1,$C1866,MAX($C1866,BK1865)))</f>
        <v>0</v>
      </c>
      <c r="BL1866">
        <f>IF($A1866="","",IF(BH1866=1,$D1866,MIN($D1866,BL1865)))</f>
        <v>0</v>
      </c>
      <c r="BM1866">
        <f>IF($A1866="","",IF(BI1866=1,F1866,""))</f>
        <v>0</v>
      </c>
      <c r="BN1866">
        <f>IF($A1866="","",DATE(YEAR($A1866),MONTH($A1866),1))</f>
        <v>0</v>
      </c>
      <c r="BO1866">
        <f>IF($A1866="","",IF($A1865="",1,IF(BN1866&lt;&gt;BN1865,1,0)))</f>
        <v>0</v>
      </c>
      <c r="BP1866">
        <f>IF($A1866="","",IF($A1867="",1,IF(BN1867&lt;&gt;BN1866,1,0)))</f>
        <v>0</v>
      </c>
      <c r="BQ1866">
        <f>IF($A1866="","",IF(BO1866=1,$B1866,BQ1865))</f>
        <v>0</v>
      </c>
      <c r="BR1866">
        <f>IF($A1866="","",IF(BO1866=1,$C1866,MAX($C1866,BR1865)))</f>
        <v>0</v>
      </c>
      <c r="BS1866">
        <f>IF($A1866="","",IF(BO1866=1,$D1866,MIN($D1866,BS1865)))</f>
        <v>0</v>
      </c>
      <c r="BT1866">
        <f>IF($A1866="","",IF(BP1866=1,F1866,""))</f>
        <v>0</v>
      </c>
    </row>
    <row r="1867" spans="1:72">
      <c r="A1867" s="27">
        <f>IF(Data!$A1867="","",Data!$A1867)</f>
        <v>0</v>
      </c>
      <c r="B1867">
        <f>IF(Data!$B1867="","",Data!$B1867)</f>
        <v>0</v>
      </c>
      <c r="C1867">
        <f>IF(Data!$C1867="","",Data!$C1867)</f>
        <v>0</v>
      </c>
      <c r="D1867">
        <f>IF(Data!$D1867="","",Data!$D1867)</f>
        <v>0</v>
      </c>
      <c r="E1867">
        <f>IF(Data!$E1867="","",Data!$E1867)</f>
        <v>0</v>
      </c>
      <c r="F1867">
        <f>IF($E1867="","",N(F1866)+1)</f>
        <v>0</v>
      </c>
      <c r="G1867">
        <f>IF(OR($E1867="",$E1866=""),"",LN($E1867/$E1866))</f>
        <v>0</v>
      </c>
      <c r="H1867">
        <f>IF($E1867="","",IF($E1866="",$E1867,$E1867*0.0952380952+H1866*0.9047619048))</f>
        <v>0</v>
      </c>
      <c r="I1867">
        <f>IF($E1867="","",IF($E1866="",$E1867,$E1867*0.0392156863+I1866*0.9607843137))</f>
        <v>0</v>
      </c>
      <c r="J1867">
        <f>IF($E1867="","",IF($E1866="",$E1867,$E1867*0.0198019802+J1866*0.9801980198))</f>
        <v>0</v>
      </c>
      <c r="K1867">
        <f>IF($E1867="","",IF($E1866="",$E1867,$E1867*0.0099502488+K1866*0.9900497512))</f>
        <v>0</v>
      </c>
      <c r="L1867">
        <f>IF(OR($E1867="",$E1866=""),"",MAX($E1867-$E1866,0))</f>
        <v>0</v>
      </c>
      <c r="M1867">
        <f>IF(OR($E1867="",$E1866=""),"",MAX($E1866-$E1867,0))</f>
        <v>0</v>
      </c>
      <c r="N1867">
        <f>IF(COUNT($E$2:$E1867)&lt;15,"",IF(AVERAGE($M$1854:$M$1867)=0,100,100-100/(1+AVERAGE($L$1854:$L$1867)/AVERAGE($M$1854:$M$1867))))</f>
        <v>0</v>
      </c>
      <c r="O1867">
        <f>IF($E1867="","",IF($E1866="",$E1867,$E1867*0.1538461538+O1866*0.8461538462))</f>
        <v>0</v>
      </c>
      <c r="P1867">
        <f>IF($E1867="","",IF($E1866="",$E1867,$E1867*0.0740740741+P1866*0.9259259259))</f>
        <v>0</v>
      </c>
      <c r="Q1867">
        <f>IF(OR(O1867="",P1867=""),"",O1867-P1867)</f>
        <v>0</v>
      </c>
      <c r="R1867">
        <f>IF(Q1867="","",IF(R1866="",Q1867,Q1867*0.2000000000+R1866*0.8000000000))</f>
        <v>0</v>
      </c>
      <c r="S1867">
        <f>IF(OR(Q1867="",R1867=""),"",Q1867-R1867)</f>
        <v>0</v>
      </c>
      <c r="T1867">
        <f>IF(COUNT($E$2:$E1867)&lt;14,"",MAX($C$1854:$C$1867))</f>
        <v>0</v>
      </c>
      <c r="U1867">
        <f>IF(COUNT($E$2:$E1867)&lt;14,"",MIN($D$1854:$D$1867))</f>
        <v>0</v>
      </c>
      <c r="V1867">
        <f>IF(OR(T1867="",U1867="",T1867=U1867),"",100*($E1867-U1867)/(T1867-U1867))</f>
        <v>0</v>
      </c>
      <c r="W1867">
        <f>IF(COUNT($V$1865:$V$1867)&lt;3,"",AVERAGE($V$1865:$V$1867))</f>
        <v>0</v>
      </c>
      <c r="X1867">
        <f>IF(COUNT($N$1854:$N$1867)&lt;14,"",MIN($N$1854:$N$1867))</f>
        <v>0</v>
      </c>
      <c r="Y1867">
        <f>IF(COUNT($N$1854:$N$1867)&lt;14,"",MAX($N$1854:$N$1867))</f>
        <v>0</v>
      </c>
      <c r="Z1867">
        <f>IF(OR(N1867="",X1867="",Y1867="",Y1867=X1867),"",100*(N1867-X1867)/(Y1867-X1867))</f>
        <v>0</v>
      </c>
      <c r="AA1867">
        <f>IF(COUNT($Z$1865:$Z$1867)&lt;3,"",AVERAGE($Z$1865:$Z$1867))</f>
        <v>0</v>
      </c>
      <c r="AB1867">
        <f>IF(COUNT($AA$1865:$AA$1867)&lt;3,"",AVERAGE($AA$1865:$AA$1867))</f>
        <v>0</v>
      </c>
      <c r="AC1867">
        <f>IF($E1867="","",MAX($C1867-$D1867,ABS($C1867-$E1866),ABS($D1867-$E1866)))</f>
        <v>0</v>
      </c>
      <c r="AD1867">
        <f>IF(COUNT($E$2:$E1867)&lt;15,"",AVERAGE($AC$1854:$AC$1867))</f>
        <v>0</v>
      </c>
      <c r="AE1867">
        <f>IF(OR($E1867="",$E1866=""),"",IF(AND(($C1867-$C1866)&gt;($D1866-$D1867),($C1867-$C1866)&gt;0),$C1867-$C1866,0))</f>
        <v>0</v>
      </c>
      <c r="AF1867">
        <f>IF(OR($E1867="",$E1866=""),"",IF(AND(($D1866-$D1867)&gt;($C1867-$C1866),($D1866-$D1867)&gt;0),$D1866-$D1867,0))</f>
        <v>0</v>
      </c>
      <c r="AG1867">
        <f>IF(COUNT($E$2:$E1867)&lt;15,"",IF(SUM($AC$1854:$AC$1867)=0,0,100*SUM($AE$1854:$AE$1867)/SUM($AC$1854:$AC$1867)))</f>
        <v>0</v>
      </c>
      <c r="AH1867">
        <f>IF(COUNT($E$2:$E1867)&lt;15,"",IF(SUM($AC$1854:$AC$1867)=0,0,100*SUM($AF$1854:$AF$1867)/SUM($AC$1854:$AC$1867)))</f>
        <v>0</v>
      </c>
      <c r="AI1867">
        <f>IF(OR(AG1867="",AH1867=""),"",IF((AG1867+AH1867)=0,0,100*ABS(AG1867-AH1867)/(AG1867+AH1867)))</f>
        <v>0</v>
      </c>
      <c r="AJ1867">
        <f>IF(COUNT($AI$1854:$AI$1867)&lt;14,"",AVERAGE($AI$1854:$AI$1867))</f>
        <v>0</v>
      </c>
      <c r="AK1867">
        <f>IF(COUNT($E$2:$E1867)&lt;20,"",AVERAGE($E$1848:$E$1867))</f>
        <v>0</v>
      </c>
      <c r="AL1867">
        <f>IF(COUNT($E$2:$E1867)&lt;20,"",STDEVP($E$1848:$E$1867))</f>
        <v>0</v>
      </c>
      <c r="AM1867">
        <f>IF(AK1867="","",AK1867+2*AL1867)</f>
        <v>0</v>
      </c>
      <c r="AN1867">
        <f>IF(AK1867="","",AK1867-2*AL1867)</f>
        <v>0</v>
      </c>
      <c r="AO1867">
        <f>IF(OR(AM1867="",AN1867="",AM1867=AN1867),"",($E1867-AN1867)/(AM1867-AN1867))</f>
        <v>0</v>
      </c>
      <c r="AP1867">
        <f>IF(OR(AM1867="",AK1867="",AK1867=0),"",(AM1867-AN1867)/AK1867)</f>
        <v>0</v>
      </c>
      <c r="AQ1867">
        <f>IF(COUNT($E$2:$E1867)&lt;20,"",MAX($C$1848:$C$1867))</f>
        <v>0</v>
      </c>
      <c r="AR1867">
        <f>IF(COUNT($E$2:$E1867)&lt;20,"",MIN($D$1848:$D$1867))</f>
        <v>0</v>
      </c>
      <c r="AS1867">
        <f>IF(OR(AQ1867="",AR1867=""),"",(AQ1867+AR1867)/2)</f>
        <v>0</v>
      </c>
      <c r="AT1867">
        <f>IF(COUNT($G$1848:$G$1867)&lt;20,"",STDEV($G$1848:$G$1867)*SQRT(252))</f>
        <v>0</v>
      </c>
      <c r="AU1867">
        <f>IF(COUNT($E$2:$E1867)&lt;9,"",(MAX($C$1859:$C$1867)+MIN($D$1859:$D$1867))/2)</f>
        <v>0</v>
      </c>
      <c r="AV1867">
        <f>IF(COUNT($E$2:$E1867)&lt;26,"",(MAX($C$1842:$C$1867)+MIN($D$1842:$D$1867))/2)</f>
        <v>0</v>
      </c>
      <c r="AW1867">
        <f>IF(OR(AU1867="",AV1867=""),"",(AU1867+AV1867)/2)</f>
        <v>0</v>
      </c>
      <c r="AX1867">
        <f>IF(COUNT($E$2:$E1867)&lt;52,"",(MAX($C$1816:$C$1867)+MIN($D$1816:$D$1867))/2)</f>
        <v>0</v>
      </c>
      <c r="AY1867">
        <f>IF(COUNT($E$2:$E1867)&lt;20,"",MAX($C$1768:$C$1867))</f>
        <v>0</v>
      </c>
      <c r="AZ1867">
        <f>IF(COUNT($E$2:$E1867)&lt;20,"",MIN($D$1768:$D$1867))</f>
        <v>0</v>
      </c>
      <c r="BA1867">
        <f>IF(COUNT($E$2:$E1867)&lt;20,"",SLOPE($E$1768:$E$1867,$F$1768:$F$1867))</f>
        <v>0</v>
      </c>
      <c r="BB1867">
        <f>IF(COUNT($E$2:$E1867)&lt;20,"",INTERCEPT($E$1768:$E$1867,$F$1768:$F$1867))</f>
        <v>0</v>
      </c>
      <c r="BC1867">
        <f>IF(OR(BA1867="",BB1867=""),"",BB1867+BA1867*F1867)</f>
        <v>0</v>
      </c>
      <c r="BD1867">
        <f>IF(COUNT($E$2:$E1867)&lt;20,"",STEYX($E$1768:$E$1867,$F$1768:$F$1867))</f>
        <v>0</v>
      </c>
      <c r="BE1867">
        <f>IF($E1867="","",IF(AND(COUNT($E$1868:$E$1871)&gt;=4,$C1867=MAX($C$1863:$C$1871)),$C1867,""))</f>
        <v>0</v>
      </c>
      <c r="BF1867">
        <f>IF($E1867="","",IF(AND(COUNT($E$1868:$E$1871)&gt;=4,$D1867=MIN($D$1863:$D$1871)),$D1867,""))</f>
        <v>0</v>
      </c>
      <c r="BG1867">
        <f>IF($A1867="","",$A1867-WEEKDAY($A1867,2)+1)</f>
        <v>0</v>
      </c>
      <c r="BH1867">
        <f>IF($A1867="","",IF($A1866="",1,IF(BG1867&lt;&gt;BG1866,1,0)))</f>
        <v>0</v>
      </c>
      <c r="BI1867">
        <f>IF($A1867="","",IF($A1868="",1,IF(BG1868&lt;&gt;BG1867,1,0)))</f>
        <v>0</v>
      </c>
      <c r="BJ1867">
        <f>IF($A1867="","",IF(BH1867=1,$B1867,BJ1866))</f>
        <v>0</v>
      </c>
      <c r="BK1867">
        <f>IF($A1867="","",IF(BH1867=1,$C1867,MAX($C1867,BK1866)))</f>
        <v>0</v>
      </c>
      <c r="BL1867">
        <f>IF($A1867="","",IF(BH1867=1,$D1867,MIN($D1867,BL1866)))</f>
        <v>0</v>
      </c>
      <c r="BM1867">
        <f>IF($A1867="","",IF(BI1867=1,F1867,""))</f>
        <v>0</v>
      </c>
      <c r="BN1867">
        <f>IF($A1867="","",DATE(YEAR($A1867),MONTH($A1867),1))</f>
        <v>0</v>
      </c>
      <c r="BO1867">
        <f>IF($A1867="","",IF($A1866="",1,IF(BN1867&lt;&gt;BN1866,1,0)))</f>
        <v>0</v>
      </c>
      <c r="BP1867">
        <f>IF($A1867="","",IF($A1868="",1,IF(BN1868&lt;&gt;BN1867,1,0)))</f>
        <v>0</v>
      </c>
      <c r="BQ1867">
        <f>IF($A1867="","",IF(BO1867=1,$B1867,BQ1866))</f>
        <v>0</v>
      </c>
      <c r="BR1867">
        <f>IF($A1867="","",IF(BO1867=1,$C1867,MAX($C1867,BR1866)))</f>
        <v>0</v>
      </c>
      <c r="BS1867">
        <f>IF($A1867="","",IF(BO1867=1,$D1867,MIN($D1867,BS1866)))</f>
        <v>0</v>
      </c>
      <c r="BT1867">
        <f>IF($A1867="","",IF(BP1867=1,F1867,""))</f>
        <v>0</v>
      </c>
    </row>
    <row r="1868" spans="1:72">
      <c r="A1868" s="27">
        <f>IF(Data!$A1868="","",Data!$A1868)</f>
        <v>0</v>
      </c>
      <c r="B1868">
        <f>IF(Data!$B1868="","",Data!$B1868)</f>
        <v>0</v>
      </c>
      <c r="C1868">
        <f>IF(Data!$C1868="","",Data!$C1868)</f>
        <v>0</v>
      </c>
      <c r="D1868">
        <f>IF(Data!$D1868="","",Data!$D1868)</f>
        <v>0</v>
      </c>
      <c r="E1868">
        <f>IF(Data!$E1868="","",Data!$E1868)</f>
        <v>0</v>
      </c>
      <c r="F1868">
        <f>IF($E1868="","",N(F1867)+1)</f>
        <v>0</v>
      </c>
      <c r="G1868">
        <f>IF(OR($E1868="",$E1867=""),"",LN($E1868/$E1867))</f>
        <v>0</v>
      </c>
      <c r="H1868">
        <f>IF($E1868="","",IF($E1867="",$E1868,$E1868*0.0952380952+H1867*0.9047619048))</f>
        <v>0</v>
      </c>
      <c r="I1868">
        <f>IF($E1868="","",IF($E1867="",$E1868,$E1868*0.0392156863+I1867*0.9607843137))</f>
        <v>0</v>
      </c>
      <c r="J1868">
        <f>IF($E1868="","",IF($E1867="",$E1868,$E1868*0.0198019802+J1867*0.9801980198))</f>
        <v>0</v>
      </c>
      <c r="K1868">
        <f>IF($E1868="","",IF($E1867="",$E1868,$E1868*0.0099502488+K1867*0.9900497512))</f>
        <v>0</v>
      </c>
      <c r="L1868">
        <f>IF(OR($E1868="",$E1867=""),"",MAX($E1868-$E1867,0))</f>
        <v>0</v>
      </c>
      <c r="M1868">
        <f>IF(OR($E1868="",$E1867=""),"",MAX($E1867-$E1868,0))</f>
        <v>0</v>
      </c>
      <c r="N1868">
        <f>IF(COUNT($E$2:$E1868)&lt;15,"",IF(AVERAGE($M$1855:$M$1868)=0,100,100-100/(1+AVERAGE($L$1855:$L$1868)/AVERAGE($M$1855:$M$1868))))</f>
        <v>0</v>
      </c>
      <c r="O1868">
        <f>IF($E1868="","",IF($E1867="",$E1868,$E1868*0.1538461538+O1867*0.8461538462))</f>
        <v>0</v>
      </c>
      <c r="P1868">
        <f>IF($E1868="","",IF($E1867="",$E1868,$E1868*0.0740740741+P1867*0.9259259259))</f>
        <v>0</v>
      </c>
      <c r="Q1868">
        <f>IF(OR(O1868="",P1868=""),"",O1868-P1868)</f>
        <v>0</v>
      </c>
      <c r="R1868">
        <f>IF(Q1868="","",IF(R1867="",Q1868,Q1868*0.2000000000+R1867*0.8000000000))</f>
        <v>0</v>
      </c>
      <c r="S1868">
        <f>IF(OR(Q1868="",R1868=""),"",Q1868-R1868)</f>
        <v>0</v>
      </c>
      <c r="T1868">
        <f>IF(COUNT($E$2:$E1868)&lt;14,"",MAX($C$1855:$C$1868))</f>
        <v>0</v>
      </c>
      <c r="U1868">
        <f>IF(COUNT($E$2:$E1868)&lt;14,"",MIN($D$1855:$D$1868))</f>
        <v>0</v>
      </c>
      <c r="V1868">
        <f>IF(OR(T1868="",U1868="",T1868=U1868),"",100*($E1868-U1868)/(T1868-U1868))</f>
        <v>0</v>
      </c>
      <c r="W1868">
        <f>IF(COUNT($V$1866:$V$1868)&lt;3,"",AVERAGE($V$1866:$V$1868))</f>
        <v>0</v>
      </c>
      <c r="X1868">
        <f>IF(COUNT($N$1855:$N$1868)&lt;14,"",MIN($N$1855:$N$1868))</f>
        <v>0</v>
      </c>
      <c r="Y1868">
        <f>IF(COUNT($N$1855:$N$1868)&lt;14,"",MAX($N$1855:$N$1868))</f>
        <v>0</v>
      </c>
      <c r="Z1868">
        <f>IF(OR(N1868="",X1868="",Y1868="",Y1868=X1868),"",100*(N1868-X1868)/(Y1868-X1868))</f>
        <v>0</v>
      </c>
      <c r="AA1868">
        <f>IF(COUNT($Z$1866:$Z$1868)&lt;3,"",AVERAGE($Z$1866:$Z$1868))</f>
        <v>0</v>
      </c>
      <c r="AB1868">
        <f>IF(COUNT($AA$1866:$AA$1868)&lt;3,"",AVERAGE($AA$1866:$AA$1868))</f>
        <v>0</v>
      </c>
      <c r="AC1868">
        <f>IF($E1868="","",MAX($C1868-$D1868,ABS($C1868-$E1867),ABS($D1868-$E1867)))</f>
        <v>0</v>
      </c>
      <c r="AD1868">
        <f>IF(COUNT($E$2:$E1868)&lt;15,"",AVERAGE($AC$1855:$AC$1868))</f>
        <v>0</v>
      </c>
      <c r="AE1868">
        <f>IF(OR($E1868="",$E1867=""),"",IF(AND(($C1868-$C1867)&gt;($D1867-$D1868),($C1868-$C1867)&gt;0),$C1868-$C1867,0))</f>
        <v>0</v>
      </c>
      <c r="AF1868">
        <f>IF(OR($E1868="",$E1867=""),"",IF(AND(($D1867-$D1868)&gt;($C1868-$C1867),($D1867-$D1868)&gt;0),$D1867-$D1868,0))</f>
        <v>0</v>
      </c>
      <c r="AG1868">
        <f>IF(COUNT($E$2:$E1868)&lt;15,"",IF(SUM($AC$1855:$AC$1868)=0,0,100*SUM($AE$1855:$AE$1868)/SUM($AC$1855:$AC$1868)))</f>
        <v>0</v>
      </c>
      <c r="AH1868">
        <f>IF(COUNT($E$2:$E1868)&lt;15,"",IF(SUM($AC$1855:$AC$1868)=0,0,100*SUM($AF$1855:$AF$1868)/SUM($AC$1855:$AC$1868)))</f>
        <v>0</v>
      </c>
      <c r="AI1868">
        <f>IF(OR(AG1868="",AH1868=""),"",IF((AG1868+AH1868)=0,0,100*ABS(AG1868-AH1868)/(AG1868+AH1868)))</f>
        <v>0</v>
      </c>
      <c r="AJ1868">
        <f>IF(COUNT($AI$1855:$AI$1868)&lt;14,"",AVERAGE($AI$1855:$AI$1868))</f>
        <v>0</v>
      </c>
      <c r="AK1868">
        <f>IF(COUNT($E$2:$E1868)&lt;20,"",AVERAGE($E$1849:$E$1868))</f>
        <v>0</v>
      </c>
      <c r="AL1868">
        <f>IF(COUNT($E$2:$E1868)&lt;20,"",STDEVP($E$1849:$E$1868))</f>
        <v>0</v>
      </c>
      <c r="AM1868">
        <f>IF(AK1868="","",AK1868+2*AL1868)</f>
        <v>0</v>
      </c>
      <c r="AN1868">
        <f>IF(AK1868="","",AK1868-2*AL1868)</f>
        <v>0</v>
      </c>
      <c r="AO1868">
        <f>IF(OR(AM1868="",AN1868="",AM1868=AN1868),"",($E1868-AN1868)/(AM1868-AN1868))</f>
        <v>0</v>
      </c>
      <c r="AP1868">
        <f>IF(OR(AM1868="",AK1868="",AK1868=0),"",(AM1868-AN1868)/AK1868)</f>
        <v>0</v>
      </c>
      <c r="AQ1868">
        <f>IF(COUNT($E$2:$E1868)&lt;20,"",MAX($C$1849:$C$1868))</f>
        <v>0</v>
      </c>
      <c r="AR1868">
        <f>IF(COUNT($E$2:$E1868)&lt;20,"",MIN($D$1849:$D$1868))</f>
        <v>0</v>
      </c>
      <c r="AS1868">
        <f>IF(OR(AQ1868="",AR1868=""),"",(AQ1868+AR1868)/2)</f>
        <v>0</v>
      </c>
      <c r="AT1868">
        <f>IF(COUNT($G$1849:$G$1868)&lt;20,"",STDEV($G$1849:$G$1868)*SQRT(252))</f>
        <v>0</v>
      </c>
      <c r="AU1868">
        <f>IF(COUNT($E$2:$E1868)&lt;9,"",(MAX($C$1860:$C$1868)+MIN($D$1860:$D$1868))/2)</f>
        <v>0</v>
      </c>
      <c r="AV1868">
        <f>IF(COUNT($E$2:$E1868)&lt;26,"",(MAX($C$1843:$C$1868)+MIN($D$1843:$D$1868))/2)</f>
        <v>0</v>
      </c>
      <c r="AW1868">
        <f>IF(OR(AU1868="",AV1868=""),"",(AU1868+AV1868)/2)</f>
        <v>0</v>
      </c>
      <c r="AX1868">
        <f>IF(COUNT($E$2:$E1868)&lt;52,"",(MAX($C$1817:$C$1868)+MIN($D$1817:$D$1868))/2)</f>
        <v>0</v>
      </c>
      <c r="AY1868">
        <f>IF(COUNT($E$2:$E1868)&lt;20,"",MAX($C$1769:$C$1868))</f>
        <v>0</v>
      </c>
      <c r="AZ1868">
        <f>IF(COUNT($E$2:$E1868)&lt;20,"",MIN($D$1769:$D$1868))</f>
        <v>0</v>
      </c>
      <c r="BA1868">
        <f>IF(COUNT($E$2:$E1868)&lt;20,"",SLOPE($E$1769:$E$1868,$F$1769:$F$1868))</f>
        <v>0</v>
      </c>
      <c r="BB1868">
        <f>IF(COUNT($E$2:$E1868)&lt;20,"",INTERCEPT($E$1769:$E$1868,$F$1769:$F$1868))</f>
        <v>0</v>
      </c>
      <c r="BC1868">
        <f>IF(OR(BA1868="",BB1868=""),"",BB1868+BA1868*F1868)</f>
        <v>0</v>
      </c>
      <c r="BD1868">
        <f>IF(COUNT($E$2:$E1868)&lt;20,"",STEYX($E$1769:$E$1868,$F$1769:$F$1868))</f>
        <v>0</v>
      </c>
      <c r="BE1868">
        <f>IF($E1868="","",IF(AND(COUNT($E$1869:$E$1872)&gt;=4,$C1868=MAX($C$1864:$C$1872)),$C1868,""))</f>
        <v>0</v>
      </c>
      <c r="BF1868">
        <f>IF($E1868="","",IF(AND(COUNT($E$1869:$E$1872)&gt;=4,$D1868=MIN($D$1864:$D$1872)),$D1868,""))</f>
        <v>0</v>
      </c>
      <c r="BG1868">
        <f>IF($A1868="","",$A1868-WEEKDAY($A1868,2)+1)</f>
        <v>0</v>
      </c>
      <c r="BH1868">
        <f>IF($A1868="","",IF($A1867="",1,IF(BG1868&lt;&gt;BG1867,1,0)))</f>
        <v>0</v>
      </c>
      <c r="BI1868">
        <f>IF($A1868="","",IF($A1869="",1,IF(BG1869&lt;&gt;BG1868,1,0)))</f>
        <v>0</v>
      </c>
      <c r="BJ1868">
        <f>IF($A1868="","",IF(BH1868=1,$B1868,BJ1867))</f>
        <v>0</v>
      </c>
      <c r="BK1868">
        <f>IF($A1868="","",IF(BH1868=1,$C1868,MAX($C1868,BK1867)))</f>
        <v>0</v>
      </c>
      <c r="BL1868">
        <f>IF($A1868="","",IF(BH1868=1,$D1868,MIN($D1868,BL1867)))</f>
        <v>0</v>
      </c>
      <c r="BM1868">
        <f>IF($A1868="","",IF(BI1868=1,F1868,""))</f>
        <v>0</v>
      </c>
      <c r="BN1868">
        <f>IF($A1868="","",DATE(YEAR($A1868),MONTH($A1868),1))</f>
        <v>0</v>
      </c>
      <c r="BO1868">
        <f>IF($A1868="","",IF($A1867="",1,IF(BN1868&lt;&gt;BN1867,1,0)))</f>
        <v>0</v>
      </c>
      <c r="BP1868">
        <f>IF($A1868="","",IF($A1869="",1,IF(BN1869&lt;&gt;BN1868,1,0)))</f>
        <v>0</v>
      </c>
      <c r="BQ1868">
        <f>IF($A1868="","",IF(BO1868=1,$B1868,BQ1867))</f>
        <v>0</v>
      </c>
      <c r="BR1868">
        <f>IF($A1868="","",IF(BO1868=1,$C1868,MAX($C1868,BR1867)))</f>
        <v>0</v>
      </c>
      <c r="BS1868">
        <f>IF($A1868="","",IF(BO1868=1,$D1868,MIN($D1868,BS1867)))</f>
        <v>0</v>
      </c>
      <c r="BT1868">
        <f>IF($A1868="","",IF(BP1868=1,F1868,""))</f>
        <v>0</v>
      </c>
    </row>
    <row r="1869" spans="1:72">
      <c r="A1869" s="27">
        <f>IF(Data!$A1869="","",Data!$A1869)</f>
        <v>0</v>
      </c>
      <c r="B1869">
        <f>IF(Data!$B1869="","",Data!$B1869)</f>
        <v>0</v>
      </c>
      <c r="C1869">
        <f>IF(Data!$C1869="","",Data!$C1869)</f>
        <v>0</v>
      </c>
      <c r="D1869">
        <f>IF(Data!$D1869="","",Data!$D1869)</f>
        <v>0</v>
      </c>
      <c r="E1869">
        <f>IF(Data!$E1869="","",Data!$E1869)</f>
        <v>0</v>
      </c>
      <c r="F1869">
        <f>IF($E1869="","",N(F1868)+1)</f>
        <v>0</v>
      </c>
      <c r="G1869">
        <f>IF(OR($E1869="",$E1868=""),"",LN($E1869/$E1868))</f>
        <v>0</v>
      </c>
      <c r="H1869">
        <f>IF($E1869="","",IF($E1868="",$E1869,$E1869*0.0952380952+H1868*0.9047619048))</f>
        <v>0</v>
      </c>
      <c r="I1869">
        <f>IF($E1869="","",IF($E1868="",$E1869,$E1869*0.0392156863+I1868*0.9607843137))</f>
        <v>0</v>
      </c>
      <c r="J1869">
        <f>IF($E1869="","",IF($E1868="",$E1869,$E1869*0.0198019802+J1868*0.9801980198))</f>
        <v>0</v>
      </c>
      <c r="K1869">
        <f>IF($E1869="","",IF($E1868="",$E1869,$E1869*0.0099502488+K1868*0.9900497512))</f>
        <v>0</v>
      </c>
      <c r="L1869">
        <f>IF(OR($E1869="",$E1868=""),"",MAX($E1869-$E1868,0))</f>
        <v>0</v>
      </c>
      <c r="M1869">
        <f>IF(OR($E1869="",$E1868=""),"",MAX($E1868-$E1869,0))</f>
        <v>0</v>
      </c>
      <c r="N1869">
        <f>IF(COUNT($E$2:$E1869)&lt;15,"",IF(AVERAGE($M$1856:$M$1869)=0,100,100-100/(1+AVERAGE($L$1856:$L$1869)/AVERAGE($M$1856:$M$1869))))</f>
        <v>0</v>
      </c>
      <c r="O1869">
        <f>IF($E1869="","",IF($E1868="",$E1869,$E1869*0.1538461538+O1868*0.8461538462))</f>
        <v>0</v>
      </c>
      <c r="P1869">
        <f>IF($E1869="","",IF($E1868="",$E1869,$E1869*0.0740740741+P1868*0.9259259259))</f>
        <v>0</v>
      </c>
      <c r="Q1869">
        <f>IF(OR(O1869="",P1869=""),"",O1869-P1869)</f>
        <v>0</v>
      </c>
      <c r="R1869">
        <f>IF(Q1869="","",IF(R1868="",Q1869,Q1869*0.2000000000+R1868*0.8000000000))</f>
        <v>0</v>
      </c>
      <c r="S1869">
        <f>IF(OR(Q1869="",R1869=""),"",Q1869-R1869)</f>
        <v>0</v>
      </c>
      <c r="T1869">
        <f>IF(COUNT($E$2:$E1869)&lt;14,"",MAX($C$1856:$C$1869))</f>
        <v>0</v>
      </c>
      <c r="U1869">
        <f>IF(COUNT($E$2:$E1869)&lt;14,"",MIN($D$1856:$D$1869))</f>
        <v>0</v>
      </c>
      <c r="V1869">
        <f>IF(OR(T1869="",U1869="",T1869=U1869),"",100*($E1869-U1869)/(T1869-U1869))</f>
        <v>0</v>
      </c>
      <c r="W1869">
        <f>IF(COUNT($V$1867:$V$1869)&lt;3,"",AVERAGE($V$1867:$V$1869))</f>
        <v>0</v>
      </c>
      <c r="X1869">
        <f>IF(COUNT($N$1856:$N$1869)&lt;14,"",MIN($N$1856:$N$1869))</f>
        <v>0</v>
      </c>
      <c r="Y1869">
        <f>IF(COUNT($N$1856:$N$1869)&lt;14,"",MAX($N$1856:$N$1869))</f>
        <v>0</v>
      </c>
      <c r="Z1869">
        <f>IF(OR(N1869="",X1869="",Y1869="",Y1869=X1869),"",100*(N1869-X1869)/(Y1869-X1869))</f>
        <v>0</v>
      </c>
      <c r="AA1869">
        <f>IF(COUNT($Z$1867:$Z$1869)&lt;3,"",AVERAGE($Z$1867:$Z$1869))</f>
        <v>0</v>
      </c>
      <c r="AB1869">
        <f>IF(COUNT($AA$1867:$AA$1869)&lt;3,"",AVERAGE($AA$1867:$AA$1869))</f>
        <v>0</v>
      </c>
      <c r="AC1869">
        <f>IF($E1869="","",MAX($C1869-$D1869,ABS($C1869-$E1868),ABS($D1869-$E1868)))</f>
        <v>0</v>
      </c>
      <c r="AD1869">
        <f>IF(COUNT($E$2:$E1869)&lt;15,"",AVERAGE($AC$1856:$AC$1869))</f>
        <v>0</v>
      </c>
      <c r="AE1869">
        <f>IF(OR($E1869="",$E1868=""),"",IF(AND(($C1869-$C1868)&gt;($D1868-$D1869),($C1869-$C1868)&gt;0),$C1869-$C1868,0))</f>
        <v>0</v>
      </c>
      <c r="AF1869">
        <f>IF(OR($E1869="",$E1868=""),"",IF(AND(($D1868-$D1869)&gt;($C1869-$C1868),($D1868-$D1869)&gt;0),$D1868-$D1869,0))</f>
        <v>0</v>
      </c>
      <c r="AG1869">
        <f>IF(COUNT($E$2:$E1869)&lt;15,"",IF(SUM($AC$1856:$AC$1869)=0,0,100*SUM($AE$1856:$AE$1869)/SUM($AC$1856:$AC$1869)))</f>
        <v>0</v>
      </c>
      <c r="AH1869">
        <f>IF(COUNT($E$2:$E1869)&lt;15,"",IF(SUM($AC$1856:$AC$1869)=0,0,100*SUM($AF$1856:$AF$1869)/SUM($AC$1856:$AC$1869)))</f>
        <v>0</v>
      </c>
      <c r="AI1869">
        <f>IF(OR(AG1869="",AH1869=""),"",IF((AG1869+AH1869)=0,0,100*ABS(AG1869-AH1869)/(AG1869+AH1869)))</f>
        <v>0</v>
      </c>
      <c r="AJ1869">
        <f>IF(COUNT($AI$1856:$AI$1869)&lt;14,"",AVERAGE($AI$1856:$AI$1869))</f>
        <v>0</v>
      </c>
      <c r="AK1869">
        <f>IF(COUNT($E$2:$E1869)&lt;20,"",AVERAGE($E$1850:$E$1869))</f>
        <v>0</v>
      </c>
      <c r="AL1869">
        <f>IF(COUNT($E$2:$E1869)&lt;20,"",STDEVP($E$1850:$E$1869))</f>
        <v>0</v>
      </c>
      <c r="AM1869">
        <f>IF(AK1869="","",AK1869+2*AL1869)</f>
        <v>0</v>
      </c>
      <c r="AN1869">
        <f>IF(AK1869="","",AK1869-2*AL1869)</f>
        <v>0</v>
      </c>
      <c r="AO1869">
        <f>IF(OR(AM1869="",AN1869="",AM1869=AN1869),"",($E1869-AN1869)/(AM1869-AN1869))</f>
        <v>0</v>
      </c>
      <c r="AP1869">
        <f>IF(OR(AM1869="",AK1869="",AK1869=0),"",(AM1869-AN1869)/AK1869)</f>
        <v>0</v>
      </c>
      <c r="AQ1869">
        <f>IF(COUNT($E$2:$E1869)&lt;20,"",MAX($C$1850:$C$1869))</f>
        <v>0</v>
      </c>
      <c r="AR1869">
        <f>IF(COUNT($E$2:$E1869)&lt;20,"",MIN($D$1850:$D$1869))</f>
        <v>0</v>
      </c>
      <c r="AS1869">
        <f>IF(OR(AQ1869="",AR1869=""),"",(AQ1869+AR1869)/2)</f>
        <v>0</v>
      </c>
      <c r="AT1869">
        <f>IF(COUNT($G$1850:$G$1869)&lt;20,"",STDEV($G$1850:$G$1869)*SQRT(252))</f>
        <v>0</v>
      </c>
      <c r="AU1869">
        <f>IF(COUNT($E$2:$E1869)&lt;9,"",(MAX($C$1861:$C$1869)+MIN($D$1861:$D$1869))/2)</f>
        <v>0</v>
      </c>
      <c r="AV1869">
        <f>IF(COUNT($E$2:$E1869)&lt;26,"",(MAX($C$1844:$C$1869)+MIN($D$1844:$D$1869))/2)</f>
        <v>0</v>
      </c>
      <c r="AW1869">
        <f>IF(OR(AU1869="",AV1869=""),"",(AU1869+AV1869)/2)</f>
        <v>0</v>
      </c>
      <c r="AX1869">
        <f>IF(COUNT($E$2:$E1869)&lt;52,"",(MAX($C$1818:$C$1869)+MIN($D$1818:$D$1869))/2)</f>
        <v>0</v>
      </c>
      <c r="AY1869">
        <f>IF(COUNT($E$2:$E1869)&lt;20,"",MAX($C$1770:$C$1869))</f>
        <v>0</v>
      </c>
      <c r="AZ1869">
        <f>IF(COUNT($E$2:$E1869)&lt;20,"",MIN($D$1770:$D$1869))</f>
        <v>0</v>
      </c>
      <c r="BA1869">
        <f>IF(COUNT($E$2:$E1869)&lt;20,"",SLOPE($E$1770:$E$1869,$F$1770:$F$1869))</f>
        <v>0</v>
      </c>
      <c r="BB1869">
        <f>IF(COUNT($E$2:$E1869)&lt;20,"",INTERCEPT($E$1770:$E$1869,$F$1770:$F$1869))</f>
        <v>0</v>
      </c>
      <c r="BC1869">
        <f>IF(OR(BA1869="",BB1869=""),"",BB1869+BA1869*F1869)</f>
        <v>0</v>
      </c>
      <c r="BD1869">
        <f>IF(COUNT($E$2:$E1869)&lt;20,"",STEYX($E$1770:$E$1869,$F$1770:$F$1869))</f>
        <v>0</v>
      </c>
      <c r="BE1869">
        <f>IF($E1869="","",IF(AND(COUNT($E$1870:$E$1873)&gt;=4,$C1869=MAX($C$1865:$C$1873)),$C1869,""))</f>
        <v>0</v>
      </c>
      <c r="BF1869">
        <f>IF($E1869="","",IF(AND(COUNT($E$1870:$E$1873)&gt;=4,$D1869=MIN($D$1865:$D$1873)),$D1869,""))</f>
        <v>0</v>
      </c>
      <c r="BG1869">
        <f>IF($A1869="","",$A1869-WEEKDAY($A1869,2)+1)</f>
        <v>0</v>
      </c>
      <c r="BH1869">
        <f>IF($A1869="","",IF($A1868="",1,IF(BG1869&lt;&gt;BG1868,1,0)))</f>
        <v>0</v>
      </c>
      <c r="BI1869">
        <f>IF($A1869="","",IF($A1870="",1,IF(BG1870&lt;&gt;BG1869,1,0)))</f>
        <v>0</v>
      </c>
      <c r="BJ1869">
        <f>IF($A1869="","",IF(BH1869=1,$B1869,BJ1868))</f>
        <v>0</v>
      </c>
      <c r="BK1869">
        <f>IF($A1869="","",IF(BH1869=1,$C1869,MAX($C1869,BK1868)))</f>
        <v>0</v>
      </c>
      <c r="BL1869">
        <f>IF($A1869="","",IF(BH1869=1,$D1869,MIN($D1869,BL1868)))</f>
        <v>0</v>
      </c>
      <c r="BM1869">
        <f>IF($A1869="","",IF(BI1869=1,F1869,""))</f>
        <v>0</v>
      </c>
      <c r="BN1869">
        <f>IF($A1869="","",DATE(YEAR($A1869),MONTH($A1869),1))</f>
        <v>0</v>
      </c>
      <c r="BO1869">
        <f>IF($A1869="","",IF($A1868="",1,IF(BN1869&lt;&gt;BN1868,1,0)))</f>
        <v>0</v>
      </c>
      <c r="BP1869">
        <f>IF($A1869="","",IF($A1870="",1,IF(BN1870&lt;&gt;BN1869,1,0)))</f>
        <v>0</v>
      </c>
      <c r="BQ1869">
        <f>IF($A1869="","",IF(BO1869=1,$B1869,BQ1868))</f>
        <v>0</v>
      </c>
      <c r="BR1869">
        <f>IF($A1869="","",IF(BO1869=1,$C1869,MAX($C1869,BR1868)))</f>
        <v>0</v>
      </c>
      <c r="BS1869">
        <f>IF($A1869="","",IF(BO1869=1,$D1869,MIN($D1869,BS1868)))</f>
        <v>0</v>
      </c>
      <c r="BT1869">
        <f>IF($A1869="","",IF(BP1869=1,F1869,""))</f>
        <v>0</v>
      </c>
    </row>
    <row r="1870" spans="1:72">
      <c r="A1870" s="27">
        <f>IF(Data!$A1870="","",Data!$A1870)</f>
        <v>0</v>
      </c>
      <c r="B1870">
        <f>IF(Data!$B1870="","",Data!$B1870)</f>
        <v>0</v>
      </c>
      <c r="C1870">
        <f>IF(Data!$C1870="","",Data!$C1870)</f>
        <v>0</v>
      </c>
      <c r="D1870">
        <f>IF(Data!$D1870="","",Data!$D1870)</f>
        <v>0</v>
      </c>
      <c r="E1870">
        <f>IF(Data!$E1870="","",Data!$E1870)</f>
        <v>0</v>
      </c>
      <c r="F1870">
        <f>IF($E1870="","",N(F1869)+1)</f>
        <v>0</v>
      </c>
      <c r="G1870">
        <f>IF(OR($E1870="",$E1869=""),"",LN($E1870/$E1869))</f>
        <v>0</v>
      </c>
      <c r="H1870">
        <f>IF($E1870="","",IF($E1869="",$E1870,$E1870*0.0952380952+H1869*0.9047619048))</f>
        <v>0</v>
      </c>
      <c r="I1870">
        <f>IF($E1870="","",IF($E1869="",$E1870,$E1870*0.0392156863+I1869*0.9607843137))</f>
        <v>0</v>
      </c>
      <c r="J1870">
        <f>IF($E1870="","",IF($E1869="",$E1870,$E1870*0.0198019802+J1869*0.9801980198))</f>
        <v>0</v>
      </c>
      <c r="K1870">
        <f>IF($E1870="","",IF($E1869="",$E1870,$E1870*0.0099502488+K1869*0.9900497512))</f>
        <v>0</v>
      </c>
      <c r="L1870">
        <f>IF(OR($E1870="",$E1869=""),"",MAX($E1870-$E1869,0))</f>
        <v>0</v>
      </c>
      <c r="M1870">
        <f>IF(OR($E1870="",$E1869=""),"",MAX($E1869-$E1870,0))</f>
        <v>0</v>
      </c>
      <c r="N1870">
        <f>IF(COUNT($E$2:$E1870)&lt;15,"",IF(AVERAGE($M$1857:$M$1870)=0,100,100-100/(1+AVERAGE($L$1857:$L$1870)/AVERAGE($M$1857:$M$1870))))</f>
        <v>0</v>
      </c>
      <c r="O1870">
        <f>IF($E1870="","",IF($E1869="",$E1870,$E1870*0.1538461538+O1869*0.8461538462))</f>
        <v>0</v>
      </c>
      <c r="P1870">
        <f>IF($E1870="","",IF($E1869="",$E1870,$E1870*0.0740740741+P1869*0.9259259259))</f>
        <v>0</v>
      </c>
      <c r="Q1870">
        <f>IF(OR(O1870="",P1870=""),"",O1870-P1870)</f>
        <v>0</v>
      </c>
      <c r="R1870">
        <f>IF(Q1870="","",IF(R1869="",Q1870,Q1870*0.2000000000+R1869*0.8000000000))</f>
        <v>0</v>
      </c>
      <c r="S1870">
        <f>IF(OR(Q1870="",R1870=""),"",Q1870-R1870)</f>
        <v>0</v>
      </c>
      <c r="T1870">
        <f>IF(COUNT($E$2:$E1870)&lt;14,"",MAX($C$1857:$C$1870))</f>
        <v>0</v>
      </c>
      <c r="U1870">
        <f>IF(COUNT($E$2:$E1870)&lt;14,"",MIN($D$1857:$D$1870))</f>
        <v>0</v>
      </c>
      <c r="V1870">
        <f>IF(OR(T1870="",U1870="",T1870=U1870),"",100*($E1870-U1870)/(T1870-U1870))</f>
        <v>0</v>
      </c>
      <c r="W1870">
        <f>IF(COUNT($V$1868:$V$1870)&lt;3,"",AVERAGE($V$1868:$V$1870))</f>
        <v>0</v>
      </c>
      <c r="X1870">
        <f>IF(COUNT($N$1857:$N$1870)&lt;14,"",MIN($N$1857:$N$1870))</f>
        <v>0</v>
      </c>
      <c r="Y1870">
        <f>IF(COUNT($N$1857:$N$1870)&lt;14,"",MAX($N$1857:$N$1870))</f>
        <v>0</v>
      </c>
      <c r="Z1870">
        <f>IF(OR(N1870="",X1870="",Y1870="",Y1870=X1870),"",100*(N1870-X1870)/(Y1870-X1870))</f>
        <v>0</v>
      </c>
      <c r="AA1870">
        <f>IF(COUNT($Z$1868:$Z$1870)&lt;3,"",AVERAGE($Z$1868:$Z$1870))</f>
        <v>0</v>
      </c>
      <c r="AB1870">
        <f>IF(COUNT($AA$1868:$AA$1870)&lt;3,"",AVERAGE($AA$1868:$AA$1870))</f>
        <v>0</v>
      </c>
      <c r="AC1870">
        <f>IF($E1870="","",MAX($C1870-$D1870,ABS($C1870-$E1869),ABS($D1870-$E1869)))</f>
        <v>0</v>
      </c>
      <c r="AD1870">
        <f>IF(COUNT($E$2:$E1870)&lt;15,"",AVERAGE($AC$1857:$AC$1870))</f>
        <v>0</v>
      </c>
      <c r="AE1870">
        <f>IF(OR($E1870="",$E1869=""),"",IF(AND(($C1870-$C1869)&gt;($D1869-$D1870),($C1870-$C1869)&gt;0),$C1870-$C1869,0))</f>
        <v>0</v>
      </c>
      <c r="AF1870">
        <f>IF(OR($E1870="",$E1869=""),"",IF(AND(($D1869-$D1870)&gt;($C1870-$C1869),($D1869-$D1870)&gt;0),$D1869-$D1870,0))</f>
        <v>0</v>
      </c>
      <c r="AG1870">
        <f>IF(COUNT($E$2:$E1870)&lt;15,"",IF(SUM($AC$1857:$AC$1870)=0,0,100*SUM($AE$1857:$AE$1870)/SUM($AC$1857:$AC$1870)))</f>
        <v>0</v>
      </c>
      <c r="AH1870">
        <f>IF(COUNT($E$2:$E1870)&lt;15,"",IF(SUM($AC$1857:$AC$1870)=0,0,100*SUM($AF$1857:$AF$1870)/SUM($AC$1857:$AC$1870)))</f>
        <v>0</v>
      </c>
      <c r="AI1870">
        <f>IF(OR(AG1870="",AH1870=""),"",IF((AG1870+AH1870)=0,0,100*ABS(AG1870-AH1870)/(AG1870+AH1870)))</f>
        <v>0</v>
      </c>
      <c r="AJ1870">
        <f>IF(COUNT($AI$1857:$AI$1870)&lt;14,"",AVERAGE($AI$1857:$AI$1870))</f>
        <v>0</v>
      </c>
      <c r="AK1870">
        <f>IF(COUNT($E$2:$E1870)&lt;20,"",AVERAGE($E$1851:$E$1870))</f>
        <v>0</v>
      </c>
      <c r="AL1870">
        <f>IF(COUNT($E$2:$E1870)&lt;20,"",STDEVP($E$1851:$E$1870))</f>
        <v>0</v>
      </c>
      <c r="AM1870">
        <f>IF(AK1870="","",AK1870+2*AL1870)</f>
        <v>0</v>
      </c>
      <c r="AN1870">
        <f>IF(AK1870="","",AK1870-2*AL1870)</f>
        <v>0</v>
      </c>
      <c r="AO1870">
        <f>IF(OR(AM1870="",AN1870="",AM1870=AN1870),"",($E1870-AN1870)/(AM1870-AN1870))</f>
        <v>0</v>
      </c>
      <c r="AP1870">
        <f>IF(OR(AM1870="",AK1870="",AK1870=0),"",(AM1870-AN1870)/AK1870)</f>
        <v>0</v>
      </c>
      <c r="AQ1870">
        <f>IF(COUNT($E$2:$E1870)&lt;20,"",MAX($C$1851:$C$1870))</f>
        <v>0</v>
      </c>
      <c r="AR1870">
        <f>IF(COUNT($E$2:$E1870)&lt;20,"",MIN($D$1851:$D$1870))</f>
        <v>0</v>
      </c>
      <c r="AS1870">
        <f>IF(OR(AQ1870="",AR1870=""),"",(AQ1870+AR1870)/2)</f>
        <v>0</v>
      </c>
      <c r="AT1870">
        <f>IF(COUNT($G$1851:$G$1870)&lt;20,"",STDEV($G$1851:$G$1870)*SQRT(252))</f>
        <v>0</v>
      </c>
      <c r="AU1870">
        <f>IF(COUNT($E$2:$E1870)&lt;9,"",(MAX($C$1862:$C$1870)+MIN($D$1862:$D$1870))/2)</f>
        <v>0</v>
      </c>
      <c r="AV1870">
        <f>IF(COUNT($E$2:$E1870)&lt;26,"",(MAX($C$1845:$C$1870)+MIN($D$1845:$D$1870))/2)</f>
        <v>0</v>
      </c>
      <c r="AW1870">
        <f>IF(OR(AU1870="",AV1870=""),"",(AU1870+AV1870)/2)</f>
        <v>0</v>
      </c>
      <c r="AX1870">
        <f>IF(COUNT($E$2:$E1870)&lt;52,"",(MAX($C$1819:$C$1870)+MIN($D$1819:$D$1870))/2)</f>
        <v>0</v>
      </c>
      <c r="AY1870">
        <f>IF(COUNT($E$2:$E1870)&lt;20,"",MAX($C$1771:$C$1870))</f>
        <v>0</v>
      </c>
      <c r="AZ1870">
        <f>IF(COUNT($E$2:$E1870)&lt;20,"",MIN($D$1771:$D$1870))</f>
        <v>0</v>
      </c>
      <c r="BA1870">
        <f>IF(COUNT($E$2:$E1870)&lt;20,"",SLOPE($E$1771:$E$1870,$F$1771:$F$1870))</f>
        <v>0</v>
      </c>
      <c r="BB1870">
        <f>IF(COUNT($E$2:$E1870)&lt;20,"",INTERCEPT($E$1771:$E$1870,$F$1771:$F$1870))</f>
        <v>0</v>
      </c>
      <c r="BC1870">
        <f>IF(OR(BA1870="",BB1870=""),"",BB1870+BA1870*F1870)</f>
        <v>0</v>
      </c>
      <c r="BD1870">
        <f>IF(COUNT($E$2:$E1870)&lt;20,"",STEYX($E$1771:$E$1870,$F$1771:$F$1870))</f>
        <v>0</v>
      </c>
      <c r="BE1870">
        <f>IF($E1870="","",IF(AND(COUNT($E$1871:$E$1874)&gt;=4,$C1870=MAX($C$1866:$C$1874)),$C1870,""))</f>
        <v>0</v>
      </c>
      <c r="BF1870">
        <f>IF($E1870="","",IF(AND(COUNT($E$1871:$E$1874)&gt;=4,$D1870=MIN($D$1866:$D$1874)),$D1870,""))</f>
        <v>0</v>
      </c>
      <c r="BG1870">
        <f>IF($A1870="","",$A1870-WEEKDAY($A1870,2)+1)</f>
        <v>0</v>
      </c>
      <c r="BH1870">
        <f>IF($A1870="","",IF($A1869="",1,IF(BG1870&lt;&gt;BG1869,1,0)))</f>
        <v>0</v>
      </c>
      <c r="BI1870">
        <f>IF($A1870="","",IF($A1871="",1,IF(BG1871&lt;&gt;BG1870,1,0)))</f>
        <v>0</v>
      </c>
      <c r="BJ1870">
        <f>IF($A1870="","",IF(BH1870=1,$B1870,BJ1869))</f>
        <v>0</v>
      </c>
      <c r="BK1870">
        <f>IF($A1870="","",IF(BH1870=1,$C1870,MAX($C1870,BK1869)))</f>
        <v>0</v>
      </c>
      <c r="BL1870">
        <f>IF($A1870="","",IF(BH1870=1,$D1870,MIN($D1870,BL1869)))</f>
        <v>0</v>
      </c>
      <c r="BM1870">
        <f>IF($A1870="","",IF(BI1870=1,F1870,""))</f>
        <v>0</v>
      </c>
      <c r="BN1870">
        <f>IF($A1870="","",DATE(YEAR($A1870),MONTH($A1870),1))</f>
        <v>0</v>
      </c>
      <c r="BO1870">
        <f>IF($A1870="","",IF($A1869="",1,IF(BN1870&lt;&gt;BN1869,1,0)))</f>
        <v>0</v>
      </c>
      <c r="BP1870">
        <f>IF($A1870="","",IF($A1871="",1,IF(BN1871&lt;&gt;BN1870,1,0)))</f>
        <v>0</v>
      </c>
      <c r="BQ1870">
        <f>IF($A1870="","",IF(BO1870=1,$B1870,BQ1869))</f>
        <v>0</v>
      </c>
      <c r="BR1870">
        <f>IF($A1870="","",IF(BO1870=1,$C1870,MAX($C1870,BR1869)))</f>
        <v>0</v>
      </c>
      <c r="BS1870">
        <f>IF($A1870="","",IF(BO1870=1,$D1870,MIN($D1870,BS1869)))</f>
        <v>0</v>
      </c>
      <c r="BT1870">
        <f>IF($A1870="","",IF(BP1870=1,F1870,""))</f>
        <v>0</v>
      </c>
    </row>
    <row r="1871" spans="1:72">
      <c r="A1871" s="27">
        <f>IF(Data!$A1871="","",Data!$A1871)</f>
        <v>0</v>
      </c>
      <c r="B1871">
        <f>IF(Data!$B1871="","",Data!$B1871)</f>
        <v>0</v>
      </c>
      <c r="C1871">
        <f>IF(Data!$C1871="","",Data!$C1871)</f>
        <v>0</v>
      </c>
      <c r="D1871">
        <f>IF(Data!$D1871="","",Data!$D1871)</f>
        <v>0</v>
      </c>
      <c r="E1871">
        <f>IF(Data!$E1871="","",Data!$E1871)</f>
        <v>0</v>
      </c>
      <c r="F1871">
        <f>IF($E1871="","",N(F1870)+1)</f>
        <v>0</v>
      </c>
      <c r="G1871">
        <f>IF(OR($E1871="",$E1870=""),"",LN($E1871/$E1870))</f>
        <v>0</v>
      </c>
      <c r="H1871">
        <f>IF($E1871="","",IF($E1870="",$E1871,$E1871*0.0952380952+H1870*0.9047619048))</f>
        <v>0</v>
      </c>
      <c r="I1871">
        <f>IF($E1871="","",IF($E1870="",$E1871,$E1871*0.0392156863+I1870*0.9607843137))</f>
        <v>0</v>
      </c>
      <c r="J1871">
        <f>IF($E1871="","",IF($E1870="",$E1871,$E1871*0.0198019802+J1870*0.9801980198))</f>
        <v>0</v>
      </c>
      <c r="K1871">
        <f>IF($E1871="","",IF($E1870="",$E1871,$E1871*0.0099502488+K1870*0.9900497512))</f>
        <v>0</v>
      </c>
      <c r="L1871">
        <f>IF(OR($E1871="",$E1870=""),"",MAX($E1871-$E1870,0))</f>
        <v>0</v>
      </c>
      <c r="M1871">
        <f>IF(OR($E1871="",$E1870=""),"",MAX($E1870-$E1871,0))</f>
        <v>0</v>
      </c>
      <c r="N1871">
        <f>IF(COUNT($E$2:$E1871)&lt;15,"",IF(AVERAGE($M$1858:$M$1871)=0,100,100-100/(1+AVERAGE($L$1858:$L$1871)/AVERAGE($M$1858:$M$1871))))</f>
        <v>0</v>
      </c>
      <c r="O1871">
        <f>IF($E1871="","",IF($E1870="",$E1871,$E1871*0.1538461538+O1870*0.8461538462))</f>
        <v>0</v>
      </c>
      <c r="P1871">
        <f>IF($E1871="","",IF($E1870="",$E1871,$E1871*0.0740740741+P1870*0.9259259259))</f>
        <v>0</v>
      </c>
      <c r="Q1871">
        <f>IF(OR(O1871="",P1871=""),"",O1871-P1871)</f>
        <v>0</v>
      </c>
      <c r="R1871">
        <f>IF(Q1871="","",IF(R1870="",Q1871,Q1871*0.2000000000+R1870*0.8000000000))</f>
        <v>0</v>
      </c>
      <c r="S1871">
        <f>IF(OR(Q1871="",R1871=""),"",Q1871-R1871)</f>
        <v>0</v>
      </c>
      <c r="T1871">
        <f>IF(COUNT($E$2:$E1871)&lt;14,"",MAX($C$1858:$C$1871))</f>
        <v>0</v>
      </c>
      <c r="U1871">
        <f>IF(COUNT($E$2:$E1871)&lt;14,"",MIN($D$1858:$D$1871))</f>
        <v>0</v>
      </c>
      <c r="V1871">
        <f>IF(OR(T1871="",U1871="",T1871=U1871),"",100*($E1871-U1871)/(T1871-U1871))</f>
        <v>0</v>
      </c>
      <c r="W1871">
        <f>IF(COUNT($V$1869:$V$1871)&lt;3,"",AVERAGE($V$1869:$V$1871))</f>
        <v>0</v>
      </c>
      <c r="X1871">
        <f>IF(COUNT($N$1858:$N$1871)&lt;14,"",MIN($N$1858:$N$1871))</f>
        <v>0</v>
      </c>
      <c r="Y1871">
        <f>IF(COUNT($N$1858:$N$1871)&lt;14,"",MAX($N$1858:$N$1871))</f>
        <v>0</v>
      </c>
      <c r="Z1871">
        <f>IF(OR(N1871="",X1871="",Y1871="",Y1871=X1871),"",100*(N1871-X1871)/(Y1871-X1871))</f>
        <v>0</v>
      </c>
      <c r="AA1871">
        <f>IF(COUNT($Z$1869:$Z$1871)&lt;3,"",AVERAGE($Z$1869:$Z$1871))</f>
        <v>0</v>
      </c>
      <c r="AB1871">
        <f>IF(COUNT($AA$1869:$AA$1871)&lt;3,"",AVERAGE($AA$1869:$AA$1871))</f>
        <v>0</v>
      </c>
      <c r="AC1871">
        <f>IF($E1871="","",MAX($C1871-$D1871,ABS($C1871-$E1870),ABS($D1871-$E1870)))</f>
        <v>0</v>
      </c>
      <c r="AD1871">
        <f>IF(COUNT($E$2:$E1871)&lt;15,"",AVERAGE($AC$1858:$AC$1871))</f>
        <v>0</v>
      </c>
      <c r="AE1871">
        <f>IF(OR($E1871="",$E1870=""),"",IF(AND(($C1871-$C1870)&gt;($D1870-$D1871),($C1871-$C1870)&gt;0),$C1871-$C1870,0))</f>
        <v>0</v>
      </c>
      <c r="AF1871">
        <f>IF(OR($E1871="",$E1870=""),"",IF(AND(($D1870-$D1871)&gt;($C1871-$C1870),($D1870-$D1871)&gt;0),$D1870-$D1871,0))</f>
        <v>0</v>
      </c>
      <c r="AG1871">
        <f>IF(COUNT($E$2:$E1871)&lt;15,"",IF(SUM($AC$1858:$AC$1871)=0,0,100*SUM($AE$1858:$AE$1871)/SUM($AC$1858:$AC$1871)))</f>
        <v>0</v>
      </c>
      <c r="AH1871">
        <f>IF(COUNT($E$2:$E1871)&lt;15,"",IF(SUM($AC$1858:$AC$1871)=0,0,100*SUM($AF$1858:$AF$1871)/SUM($AC$1858:$AC$1871)))</f>
        <v>0</v>
      </c>
      <c r="AI1871">
        <f>IF(OR(AG1871="",AH1871=""),"",IF((AG1871+AH1871)=0,0,100*ABS(AG1871-AH1871)/(AG1871+AH1871)))</f>
        <v>0</v>
      </c>
      <c r="AJ1871">
        <f>IF(COUNT($AI$1858:$AI$1871)&lt;14,"",AVERAGE($AI$1858:$AI$1871))</f>
        <v>0</v>
      </c>
      <c r="AK1871">
        <f>IF(COUNT($E$2:$E1871)&lt;20,"",AVERAGE($E$1852:$E$1871))</f>
        <v>0</v>
      </c>
      <c r="AL1871">
        <f>IF(COUNT($E$2:$E1871)&lt;20,"",STDEVP($E$1852:$E$1871))</f>
        <v>0</v>
      </c>
      <c r="AM1871">
        <f>IF(AK1871="","",AK1871+2*AL1871)</f>
        <v>0</v>
      </c>
      <c r="AN1871">
        <f>IF(AK1871="","",AK1871-2*AL1871)</f>
        <v>0</v>
      </c>
      <c r="AO1871">
        <f>IF(OR(AM1871="",AN1871="",AM1871=AN1871),"",($E1871-AN1871)/(AM1871-AN1871))</f>
        <v>0</v>
      </c>
      <c r="AP1871">
        <f>IF(OR(AM1871="",AK1871="",AK1871=0),"",(AM1871-AN1871)/AK1871)</f>
        <v>0</v>
      </c>
      <c r="AQ1871">
        <f>IF(COUNT($E$2:$E1871)&lt;20,"",MAX($C$1852:$C$1871))</f>
        <v>0</v>
      </c>
      <c r="AR1871">
        <f>IF(COUNT($E$2:$E1871)&lt;20,"",MIN($D$1852:$D$1871))</f>
        <v>0</v>
      </c>
      <c r="AS1871">
        <f>IF(OR(AQ1871="",AR1871=""),"",(AQ1871+AR1871)/2)</f>
        <v>0</v>
      </c>
      <c r="AT1871">
        <f>IF(COUNT($G$1852:$G$1871)&lt;20,"",STDEV($G$1852:$G$1871)*SQRT(252))</f>
        <v>0</v>
      </c>
      <c r="AU1871">
        <f>IF(COUNT($E$2:$E1871)&lt;9,"",(MAX($C$1863:$C$1871)+MIN($D$1863:$D$1871))/2)</f>
        <v>0</v>
      </c>
      <c r="AV1871">
        <f>IF(COUNT($E$2:$E1871)&lt;26,"",(MAX($C$1846:$C$1871)+MIN($D$1846:$D$1871))/2)</f>
        <v>0</v>
      </c>
      <c r="AW1871">
        <f>IF(OR(AU1871="",AV1871=""),"",(AU1871+AV1871)/2)</f>
        <v>0</v>
      </c>
      <c r="AX1871">
        <f>IF(COUNT($E$2:$E1871)&lt;52,"",(MAX($C$1820:$C$1871)+MIN($D$1820:$D$1871))/2)</f>
        <v>0</v>
      </c>
      <c r="AY1871">
        <f>IF(COUNT($E$2:$E1871)&lt;20,"",MAX($C$1772:$C$1871))</f>
        <v>0</v>
      </c>
      <c r="AZ1871">
        <f>IF(COUNT($E$2:$E1871)&lt;20,"",MIN($D$1772:$D$1871))</f>
        <v>0</v>
      </c>
      <c r="BA1871">
        <f>IF(COUNT($E$2:$E1871)&lt;20,"",SLOPE($E$1772:$E$1871,$F$1772:$F$1871))</f>
        <v>0</v>
      </c>
      <c r="BB1871">
        <f>IF(COUNT($E$2:$E1871)&lt;20,"",INTERCEPT($E$1772:$E$1871,$F$1772:$F$1871))</f>
        <v>0</v>
      </c>
      <c r="BC1871">
        <f>IF(OR(BA1871="",BB1871=""),"",BB1871+BA1871*F1871)</f>
        <v>0</v>
      </c>
      <c r="BD1871">
        <f>IF(COUNT($E$2:$E1871)&lt;20,"",STEYX($E$1772:$E$1871,$F$1772:$F$1871))</f>
        <v>0</v>
      </c>
      <c r="BE1871">
        <f>IF($E1871="","",IF(AND(COUNT($E$1872:$E$1875)&gt;=4,$C1871=MAX($C$1867:$C$1875)),$C1871,""))</f>
        <v>0</v>
      </c>
      <c r="BF1871">
        <f>IF($E1871="","",IF(AND(COUNT($E$1872:$E$1875)&gt;=4,$D1871=MIN($D$1867:$D$1875)),$D1871,""))</f>
        <v>0</v>
      </c>
      <c r="BG1871">
        <f>IF($A1871="","",$A1871-WEEKDAY($A1871,2)+1)</f>
        <v>0</v>
      </c>
      <c r="BH1871">
        <f>IF($A1871="","",IF($A1870="",1,IF(BG1871&lt;&gt;BG1870,1,0)))</f>
        <v>0</v>
      </c>
      <c r="BI1871">
        <f>IF($A1871="","",IF($A1872="",1,IF(BG1872&lt;&gt;BG1871,1,0)))</f>
        <v>0</v>
      </c>
      <c r="BJ1871">
        <f>IF($A1871="","",IF(BH1871=1,$B1871,BJ1870))</f>
        <v>0</v>
      </c>
      <c r="BK1871">
        <f>IF($A1871="","",IF(BH1871=1,$C1871,MAX($C1871,BK1870)))</f>
        <v>0</v>
      </c>
      <c r="BL1871">
        <f>IF($A1871="","",IF(BH1871=1,$D1871,MIN($D1871,BL1870)))</f>
        <v>0</v>
      </c>
      <c r="BM1871">
        <f>IF($A1871="","",IF(BI1871=1,F1871,""))</f>
        <v>0</v>
      </c>
      <c r="BN1871">
        <f>IF($A1871="","",DATE(YEAR($A1871),MONTH($A1871),1))</f>
        <v>0</v>
      </c>
      <c r="BO1871">
        <f>IF($A1871="","",IF($A1870="",1,IF(BN1871&lt;&gt;BN1870,1,0)))</f>
        <v>0</v>
      </c>
      <c r="BP1871">
        <f>IF($A1871="","",IF($A1872="",1,IF(BN1872&lt;&gt;BN1871,1,0)))</f>
        <v>0</v>
      </c>
      <c r="BQ1871">
        <f>IF($A1871="","",IF(BO1871=1,$B1871,BQ1870))</f>
        <v>0</v>
      </c>
      <c r="BR1871">
        <f>IF($A1871="","",IF(BO1871=1,$C1871,MAX($C1871,BR1870)))</f>
        <v>0</v>
      </c>
      <c r="BS1871">
        <f>IF($A1871="","",IF(BO1871=1,$D1871,MIN($D1871,BS1870)))</f>
        <v>0</v>
      </c>
      <c r="BT1871">
        <f>IF($A1871="","",IF(BP1871=1,F1871,""))</f>
        <v>0</v>
      </c>
    </row>
    <row r="1872" spans="1:72">
      <c r="A1872" s="27">
        <f>IF(Data!$A1872="","",Data!$A1872)</f>
        <v>0</v>
      </c>
      <c r="B1872">
        <f>IF(Data!$B1872="","",Data!$B1872)</f>
        <v>0</v>
      </c>
      <c r="C1872">
        <f>IF(Data!$C1872="","",Data!$C1872)</f>
        <v>0</v>
      </c>
      <c r="D1872">
        <f>IF(Data!$D1872="","",Data!$D1872)</f>
        <v>0</v>
      </c>
      <c r="E1872">
        <f>IF(Data!$E1872="","",Data!$E1872)</f>
        <v>0</v>
      </c>
      <c r="F1872">
        <f>IF($E1872="","",N(F1871)+1)</f>
        <v>0</v>
      </c>
      <c r="G1872">
        <f>IF(OR($E1872="",$E1871=""),"",LN($E1872/$E1871))</f>
        <v>0</v>
      </c>
      <c r="H1872">
        <f>IF($E1872="","",IF($E1871="",$E1872,$E1872*0.0952380952+H1871*0.9047619048))</f>
        <v>0</v>
      </c>
      <c r="I1872">
        <f>IF($E1872="","",IF($E1871="",$E1872,$E1872*0.0392156863+I1871*0.9607843137))</f>
        <v>0</v>
      </c>
      <c r="J1872">
        <f>IF($E1872="","",IF($E1871="",$E1872,$E1872*0.0198019802+J1871*0.9801980198))</f>
        <v>0</v>
      </c>
      <c r="K1872">
        <f>IF($E1872="","",IF($E1871="",$E1872,$E1872*0.0099502488+K1871*0.9900497512))</f>
        <v>0</v>
      </c>
      <c r="L1872">
        <f>IF(OR($E1872="",$E1871=""),"",MAX($E1872-$E1871,0))</f>
        <v>0</v>
      </c>
      <c r="M1872">
        <f>IF(OR($E1872="",$E1871=""),"",MAX($E1871-$E1872,0))</f>
        <v>0</v>
      </c>
      <c r="N1872">
        <f>IF(COUNT($E$2:$E1872)&lt;15,"",IF(AVERAGE($M$1859:$M$1872)=0,100,100-100/(1+AVERAGE($L$1859:$L$1872)/AVERAGE($M$1859:$M$1872))))</f>
        <v>0</v>
      </c>
      <c r="O1872">
        <f>IF($E1872="","",IF($E1871="",$E1872,$E1872*0.1538461538+O1871*0.8461538462))</f>
        <v>0</v>
      </c>
      <c r="P1872">
        <f>IF($E1872="","",IF($E1871="",$E1872,$E1872*0.0740740741+P1871*0.9259259259))</f>
        <v>0</v>
      </c>
      <c r="Q1872">
        <f>IF(OR(O1872="",P1872=""),"",O1872-P1872)</f>
        <v>0</v>
      </c>
      <c r="R1872">
        <f>IF(Q1872="","",IF(R1871="",Q1872,Q1872*0.2000000000+R1871*0.8000000000))</f>
        <v>0</v>
      </c>
      <c r="S1872">
        <f>IF(OR(Q1872="",R1872=""),"",Q1872-R1872)</f>
        <v>0</v>
      </c>
      <c r="T1872">
        <f>IF(COUNT($E$2:$E1872)&lt;14,"",MAX($C$1859:$C$1872))</f>
        <v>0</v>
      </c>
      <c r="U1872">
        <f>IF(COUNT($E$2:$E1872)&lt;14,"",MIN($D$1859:$D$1872))</f>
        <v>0</v>
      </c>
      <c r="V1872">
        <f>IF(OR(T1872="",U1872="",T1872=U1872),"",100*($E1872-U1872)/(T1872-U1872))</f>
        <v>0</v>
      </c>
      <c r="W1872">
        <f>IF(COUNT($V$1870:$V$1872)&lt;3,"",AVERAGE($V$1870:$V$1872))</f>
        <v>0</v>
      </c>
      <c r="X1872">
        <f>IF(COUNT($N$1859:$N$1872)&lt;14,"",MIN($N$1859:$N$1872))</f>
        <v>0</v>
      </c>
      <c r="Y1872">
        <f>IF(COUNT($N$1859:$N$1872)&lt;14,"",MAX($N$1859:$N$1872))</f>
        <v>0</v>
      </c>
      <c r="Z1872">
        <f>IF(OR(N1872="",X1872="",Y1872="",Y1872=X1872),"",100*(N1872-X1872)/(Y1872-X1872))</f>
        <v>0</v>
      </c>
      <c r="AA1872">
        <f>IF(COUNT($Z$1870:$Z$1872)&lt;3,"",AVERAGE($Z$1870:$Z$1872))</f>
        <v>0</v>
      </c>
      <c r="AB1872">
        <f>IF(COUNT($AA$1870:$AA$1872)&lt;3,"",AVERAGE($AA$1870:$AA$1872))</f>
        <v>0</v>
      </c>
      <c r="AC1872">
        <f>IF($E1872="","",MAX($C1872-$D1872,ABS($C1872-$E1871),ABS($D1872-$E1871)))</f>
        <v>0</v>
      </c>
      <c r="AD1872">
        <f>IF(COUNT($E$2:$E1872)&lt;15,"",AVERAGE($AC$1859:$AC$1872))</f>
        <v>0</v>
      </c>
      <c r="AE1872">
        <f>IF(OR($E1872="",$E1871=""),"",IF(AND(($C1872-$C1871)&gt;($D1871-$D1872),($C1872-$C1871)&gt;0),$C1872-$C1871,0))</f>
        <v>0</v>
      </c>
      <c r="AF1872">
        <f>IF(OR($E1872="",$E1871=""),"",IF(AND(($D1871-$D1872)&gt;($C1872-$C1871),($D1871-$D1872)&gt;0),$D1871-$D1872,0))</f>
        <v>0</v>
      </c>
      <c r="AG1872">
        <f>IF(COUNT($E$2:$E1872)&lt;15,"",IF(SUM($AC$1859:$AC$1872)=0,0,100*SUM($AE$1859:$AE$1872)/SUM($AC$1859:$AC$1872)))</f>
        <v>0</v>
      </c>
      <c r="AH1872">
        <f>IF(COUNT($E$2:$E1872)&lt;15,"",IF(SUM($AC$1859:$AC$1872)=0,0,100*SUM($AF$1859:$AF$1872)/SUM($AC$1859:$AC$1872)))</f>
        <v>0</v>
      </c>
      <c r="AI1872">
        <f>IF(OR(AG1872="",AH1872=""),"",IF((AG1872+AH1872)=0,0,100*ABS(AG1872-AH1872)/(AG1872+AH1872)))</f>
        <v>0</v>
      </c>
      <c r="AJ1872">
        <f>IF(COUNT($AI$1859:$AI$1872)&lt;14,"",AVERAGE($AI$1859:$AI$1872))</f>
        <v>0</v>
      </c>
      <c r="AK1872">
        <f>IF(COUNT($E$2:$E1872)&lt;20,"",AVERAGE($E$1853:$E$1872))</f>
        <v>0</v>
      </c>
      <c r="AL1872">
        <f>IF(COUNT($E$2:$E1872)&lt;20,"",STDEVP($E$1853:$E$1872))</f>
        <v>0</v>
      </c>
      <c r="AM1872">
        <f>IF(AK1872="","",AK1872+2*AL1872)</f>
        <v>0</v>
      </c>
      <c r="AN1872">
        <f>IF(AK1872="","",AK1872-2*AL1872)</f>
        <v>0</v>
      </c>
      <c r="AO1872">
        <f>IF(OR(AM1872="",AN1872="",AM1872=AN1872),"",($E1872-AN1872)/(AM1872-AN1872))</f>
        <v>0</v>
      </c>
      <c r="AP1872">
        <f>IF(OR(AM1872="",AK1872="",AK1872=0),"",(AM1872-AN1872)/AK1872)</f>
        <v>0</v>
      </c>
      <c r="AQ1872">
        <f>IF(COUNT($E$2:$E1872)&lt;20,"",MAX($C$1853:$C$1872))</f>
        <v>0</v>
      </c>
      <c r="AR1872">
        <f>IF(COUNT($E$2:$E1872)&lt;20,"",MIN($D$1853:$D$1872))</f>
        <v>0</v>
      </c>
      <c r="AS1872">
        <f>IF(OR(AQ1872="",AR1872=""),"",(AQ1872+AR1872)/2)</f>
        <v>0</v>
      </c>
      <c r="AT1872">
        <f>IF(COUNT($G$1853:$G$1872)&lt;20,"",STDEV($G$1853:$G$1872)*SQRT(252))</f>
        <v>0</v>
      </c>
      <c r="AU1872">
        <f>IF(COUNT($E$2:$E1872)&lt;9,"",(MAX($C$1864:$C$1872)+MIN($D$1864:$D$1872))/2)</f>
        <v>0</v>
      </c>
      <c r="AV1872">
        <f>IF(COUNT($E$2:$E1872)&lt;26,"",(MAX($C$1847:$C$1872)+MIN($D$1847:$D$1872))/2)</f>
        <v>0</v>
      </c>
      <c r="AW1872">
        <f>IF(OR(AU1872="",AV1872=""),"",(AU1872+AV1872)/2)</f>
        <v>0</v>
      </c>
      <c r="AX1872">
        <f>IF(COUNT($E$2:$E1872)&lt;52,"",(MAX($C$1821:$C$1872)+MIN($D$1821:$D$1872))/2)</f>
        <v>0</v>
      </c>
      <c r="AY1872">
        <f>IF(COUNT($E$2:$E1872)&lt;20,"",MAX($C$1773:$C$1872))</f>
        <v>0</v>
      </c>
      <c r="AZ1872">
        <f>IF(COUNT($E$2:$E1872)&lt;20,"",MIN($D$1773:$D$1872))</f>
        <v>0</v>
      </c>
      <c r="BA1872">
        <f>IF(COUNT($E$2:$E1872)&lt;20,"",SLOPE($E$1773:$E$1872,$F$1773:$F$1872))</f>
        <v>0</v>
      </c>
      <c r="BB1872">
        <f>IF(COUNT($E$2:$E1872)&lt;20,"",INTERCEPT($E$1773:$E$1872,$F$1773:$F$1872))</f>
        <v>0</v>
      </c>
      <c r="BC1872">
        <f>IF(OR(BA1872="",BB1872=""),"",BB1872+BA1872*F1872)</f>
        <v>0</v>
      </c>
      <c r="BD1872">
        <f>IF(COUNT($E$2:$E1872)&lt;20,"",STEYX($E$1773:$E$1872,$F$1773:$F$1872))</f>
        <v>0</v>
      </c>
      <c r="BE1872">
        <f>IF($E1872="","",IF(AND(COUNT($E$1873:$E$1876)&gt;=4,$C1872=MAX($C$1868:$C$1876)),$C1872,""))</f>
        <v>0</v>
      </c>
      <c r="BF1872">
        <f>IF($E1872="","",IF(AND(COUNT($E$1873:$E$1876)&gt;=4,$D1872=MIN($D$1868:$D$1876)),$D1872,""))</f>
        <v>0</v>
      </c>
      <c r="BG1872">
        <f>IF($A1872="","",$A1872-WEEKDAY($A1872,2)+1)</f>
        <v>0</v>
      </c>
      <c r="BH1872">
        <f>IF($A1872="","",IF($A1871="",1,IF(BG1872&lt;&gt;BG1871,1,0)))</f>
        <v>0</v>
      </c>
      <c r="BI1872">
        <f>IF($A1872="","",IF($A1873="",1,IF(BG1873&lt;&gt;BG1872,1,0)))</f>
        <v>0</v>
      </c>
      <c r="BJ1872">
        <f>IF($A1872="","",IF(BH1872=1,$B1872,BJ1871))</f>
        <v>0</v>
      </c>
      <c r="BK1872">
        <f>IF($A1872="","",IF(BH1872=1,$C1872,MAX($C1872,BK1871)))</f>
        <v>0</v>
      </c>
      <c r="BL1872">
        <f>IF($A1872="","",IF(BH1872=1,$D1872,MIN($D1872,BL1871)))</f>
        <v>0</v>
      </c>
      <c r="BM1872">
        <f>IF($A1872="","",IF(BI1872=1,F1872,""))</f>
        <v>0</v>
      </c>
      <c r="BN1872">
        <f>IF($A1872="","",DATE(YEAR($A1872),MONTH($A1872),1))</f>
        <v>0</v>
      </c>
      <c r="BO1872">
        <f>IF($A1872="","",IF($A1871="",1,IF(BN1872&lt;&gt;BN1871,1,0)))</f>
        <v>0</v>
      </c>
      <c r="BP1872">
        <f>IF($A1872="","",IF($A1873="",1,IF(BN1873&lt;&gt;BN1872,1,0)))</f>
        <v>0</v>
      </c>
      <c r="BQ1872">
        <f>IF($A1872="","",IF(BO1872=1,$B1872,BQ1871))</f>
        <v>0</v>
      </c>
      <c r="BR1872">
        <f>IF($A1872="","",IF(BO1872=1,$C1872,MAX($C1872,BR1871)))</f>
        <v>0</v>
      </c>
      <c r="BS1872">
        <f>IF($A1872="","",IF(BO1872=1,$D1872,MIN($D1872,BS1871)))</f>
        <v>0</v>
      </c>
      <c r="BT1872">
        <f>IF($A1872="","",IF(BP1872=1,F1872,""))</f>
        <v>0</v>
      </c>
    </row>
    <row r="1873" spans="1:72">
      <c r="A1873" s="27">
        <f>IF(Data!$A1873="","",Data!$A1873)</f>
        <v>0</v>
      </c>
      <c r="B1873">
        <f>IF(Data!$B1873="","",Data!$B1873)</f>
        <v>0</v>
      </c>
      <c r="C1873">
        <f>IF(Data!$C1873="","",Data!$C1873)</f>
        <v>0</v>
      </c>
      <c r="D1873">
        <f>IF(Data!$D1873="","",Data!$D1873)</f>
        <v>0</v>
      </c>
      <c r="E1873">
        <f>IF(Data!$E1873="","",Data!$E1873)</f>
        <v>0</v>
      </c>
      <c r="F1873">
        <f>IF($E1873="","",N(F1872)+1)</f>
        <v>0</v>
      </c>
      <c r="G1873">
        <f>IF(OR($E1873="",$E1872=""),"",LN($E1873/$E1872))</f>
        <v>0</v>
      </c>
      <c r="H1873">
        <f>IF($E1873="","",IF($E1872="",$E1873,$E1873*0.0952380952+H1872*0.9047619048))</f>
        <v>0</v>
      </c>
      <c r="I1873">
        <f>IF($E1873="","",IF($E1872="",$E1873,$E1873*0.0392156863+I1872*0.9607843137))</f>
        <v>0</v>
      </c>
      <c r="J1873">
        <f>IF($E1873="","",IF($E1872="",$E1873,$E1873*0.0198019802+J1872*0.9801980198))</f>
        <v>0</v>
      </c>
      <c r="K1873">
        <f>IF($E1873="","",IF($E1872="",$E1873,$E1873*0.0099502488+K1872*0.9900497512))</f>
        <v>0</v>
      </c>
      <c r="L1873">
        <f>IF(OR($E1873="",$E1872=""),"",MAX($E1873-$E1872,0))</f>
        <v>0</v>
      </c>
      <c r="M1873">
        <f>IF(OR($E1873="",$E1872=""),"",MAX($E1872-$E1873,0))</f>
        <v>0</v>
      </c>
      <c r="N1873">
        <f>IF(COUNT($E$2:$E1873)&lt;15,"",IF(AVERAGE($M$1860:$M$1873)=0,100,100-100/(1+AVERAGE($L$1860:$L$1873)/AVERAGE($M$1860:$M$1873))))</f>
        <v>0</v>
      </c>
      <c r="O1873">
        <f>IF($E1873="","",IF($E1872="",$E1873,$E1873*0.1538461538+O1872*0.8461538462))</f>
        <v>0</v>
      </c>
      <c r="P1873">
        <f>IF($E1873="","",IF($E1872="",$E1873,$E1873*0.0740740741+P1872*0.9259259259))</f>
        <v>0</v>
      </c>
      <c r="Q1873">
        <f>IF(OR(O1873="",P1873=""),"",O1873-P1873)</f>
        <v>0</v>
      </c>
      <c r="R1873">
        <f>IF(Q1873="","",IF(R1872="",Q1873,Q1873*0.2000000000+R1872*0.8000000000))</f>
        <v>0</v>
      </c>
      <c r="S1873">
        <f>IF(OR(Q1873="",R1873=""),"",Q1873-R1873)</f>
        <v>0</v>
      </c>
      <c r="T1873">
        <f>IF(COUNT($E$2:$E1873)&lt;14,"",MAX($C$1860:$C$1873))</f>
        <v>0</v>
      </c>
      <c r="U1873">
        <f>IF(COUNT($E$2:$E1873)&lt;14,"",MIN($D$1860:$D$1873))</f>
        <v>0</v>
      </c>
      <c r="V1873">
        <f>IF(OR(T1873="",U1873="",T1873=U1873),"",100*($E1873-U1873)/(T1873-U1873))</f>
        <v>0</v>
      </c>
      <c r="W1873">
        <f>IF(COUNT($V$1871:$V$1873)&lt;3,"",AVERAGE($V$1871:$V$1873))</f>
        <v>0</v>
      </c>
      <c r="X1873">
        <f>IF(COUNT($N$1860:$N$1873)&lt;14,"",MIN($N$1860:$N$1873))</f>
        <v>0</v>
      </c>
      <c r="Y1873">
        <f>IF(COUNT($N$1860:$N$1873)&lt;14,"",MAX($N$1860:$N$1873))</f>
        <v>0</v>
      </c>
      <c r="Z1873">
        <f>IF(OR(N1873="",X1873="",Y1873="",Y1873=X1873),"",100*(N1873-X1873)/(Y1873-X1873))</f>
        <v>0</v>
      </c>
      <c r="AA1873">
        <f>IF(COUNT($Z$1871:$Z$1873)&lt;3,"",AVERAGE($Z$1871:$Z$1873))</f>
        <v>0</v>
      </c>
      <c r="AB1873">
        <f>IF(COUNT($AA$1871:$AA$1873)&lt;3,"",AVERAGE($AA$1871:$AA$1873))</f>
        <v>0</v>
      </c>
      <c r="AC1873">
        <f>IF($E1873="","",MAX($C1873-$D1873,ABS($C1873-$E1872),ABS($D1873-$E1872)))</f>
        <v>0</v>
      </c>
      <c r="AD1873">
        <f>IF(COUNT($E$2:$E1873)&lt;15,"",AVERAGE($AC$1860:$AC$1873))</f>
        <v>0</v>
      </c>
      <c r="AE1873">
        <f>IF(OR($E1873="",$E1872=""),"",IF(AND(($C1873-$C1872)&gt;($D1872-$D1873),($C1873-$C1872)&gt;0),$C1873-$C1872,0))</f>
        <v>0</v>
      </c>
      <c r="AF1873">
        <f>IF(OR($E1873="",$E1872=""),"",IF(AND(($D1872-$D1873)&gt;($C1873-$C1872),($D1872-$D1873)&gt;0),$D1872-$D1873,0))</f>
        <v>0</v>
      </c>
      <c r="AG1873">
        <f>IF(COUNT($E$2:$E1873)&lt;15,"",IF(SUM($AC$1860:$AC$1873)=0,0,100*SUM($AE$1860:$AE$1873)/SUM($AC$1860:$AC$1873)))</f>
        <v>0</v>
      </c>
      <c r="AH1873">
        <f>IF(COUNT($E$2:$E1873)&lt;15,"",IF(SUM($AC$1860:$AC$1873)=0,0,100*SUM($AF$1860:$AF$1873)/SUM($AC$1860:$AC$1873)))</f>
        <v>0</v>
      </c>
      <c r="AI1873">
        <f>IF(OR(AG1873="",AH1873=""),"",IF((AG1873+AH1873)=0,0,100*ABS(AG1873-AH1873)/(AG1873+AH1873)))</f>
        <v>0</v>
      </c>
      <c r="AJ1873">
        <f>IF(COUNT($AI$1860:$AI$1873)&lt;14,"",AVERAGE($AI$1860:$AI$1873))</f>
        <v>0</v>
      </c>
      <c r="AK1873">
        <f>IF(COUNT($E$2:$E1873)&lt;20,"",AVERAGE($E$1854:$E$1873))</f>
        <v>0</v>
      </c>
      <c r="AL1873">
        <f>IF(COUNT($E$2:$E1873)&lt;20,"",STDEVP($E$1854:$E$1873))</f>
        <v>0</v>
      </c>
      <c r="AM1873">
        <f>IF(AK1873="","",AK1873+2*AL1873)</f>
        <v>0</v>
      </c>
      <c r="AN1873">
        <f>IF(AK1873="","",AK1873-2*AL1873)</f>
        <v>0</v>
      </c>
      <c r="AO1873">
        <f>IF(OR(AM1873="",AN1873="",AM1873=AN1873),"",($E1873-AN1873)/(AM1873-AN1873))</f>
        <v>0</v>
      </c>
      <c r="AP1873">
        <f>IF(OR(AM1873="",AK1873="",AK1873=0),"",(AM1873-AN1873)/AK1873)</f>
        <v>0</v>
      </c>
      <c r="AQ1873">
        <f>IF(COUNT($E$2:$E1873)&lt;20,"",MAX($C$1854:$C$1873))</f>
        <v>0</v>
      </c>
      <c r="AR1873">
        <f>IF(COUNT($E$2:$E1873)&lt;20,"",MIN($D$1854:$D$1873))</f>
        <v>0</v>
      </c>
      <c r="AS1873">
        <f>IF(OR(AQ1873="",AR1873=""),"",(AQ1873+AR1873)/2)</f>
        <v>0</v>
      </c>
      <c r="AT1873">
        <f>IF(COUNT($G$1854:$G$1873)&lt;20,"",STDEV($G$1854:$G$1873)*SQRT(252))</f>
        <v>0</v>
      </c>
      <c r="AU1873">
        <f>IF(COUNT($E$2:$E1873)&lt;9,"",(MAX($C$1865:$C$1873)+MIN($D$1865:$D$1873))/2)</f>
        <v>0</v>
      </c>
      <c r="AV1873">
        <f>IF(COUNT($E$2:$E1873)&lt;26,"",(MAX($C$1848:$C$1873)+MIN($D$1848:$D$1873))/2)</f>
        <v>0</v>
      </c>
      <c r="AW1873">
        <f>IF(OR(AU1873="",AV1873=""),"",(AU1873+AV1873)/2)</f>
        <v>0</v>
      </c>
      <c r="AX1873">
        <f>IF(COUNT($E$2:$E1873)&lt;52,"",(MAX($C$1822:$C$1873)+MIN($D$1822:$D$1873))/2)</f>
        <v>0</v>
      </c>
      <c r="AY1873">
        <f>IF(COUNT($E$2:$E1873)&lt;20,"",MAX($C$1774:$C$1873))</f>
        <v>0</v>
      </c>
      <c r="AZ1873">
        <f>IF(COUNT($E$2:$E1873)&lt;20,"",MIN($D$1774:$D$1873))</f>
        <v>0</v>
      </c>
      <c r="BA1873">
        <f>IF(COUNT($E$2:$E1873)&lt;20,"",SLOPE($E$1774:$E$1873,$F$1774:$F$1873))</f>
        <v>0</v>
      </c>
      <c r="BB1873">
        <f>IF(COUNT($E$2:$E1873)&lt;20,"",INTERCEPT($E$1774:$E$1873,$F$1774:$F$1873))</f>
        <v>0</v>
      </c>
      <c r="BC1873">
        <f>IF(OR(BA1873="",BB1873=""),"",BB1873+BA1873*F1873)</f>
        <v>0</v>
      </c>
      <c r="BD1873">
        <f>IF(COUNT($E$2:$E1873)&lt;20,"",STEYX($E$1774:$E$1873,$F$1774:$F$1873))</f>
        <v>0</v>
      </c>
      <c r="BE1873">
        <f>IF($E1873="","",IF(AND(COUNT($E$1874:$E$1877)&gt;=4,$C1873=MAX($C$1869:$C$1877)),$C1873,""))</f>
        <v>0</v>
      </c>
      <c r="BF1873">
        <f>IF($E1873="","",IF(AND(COUNT($E$1874:$E$1877)&gt;=4,$D1873=MIN($D$1869:$D$1877)),$D1873,""))</f>
        <v>0</v>
      </c>
      <c r="BG1873">
        <f>IF($A1873="","",$A1873-WEEKDAY($A1873,2)+1)</f>
        <v>0</v>
      </c>
      <c r="BH1873">
        <f>IF($A1873="","",IF($A1872="",1,IF(BG1873&lt;&gt;BG1872,1,0)))</f>
        <v>0</v>
      </c>
      <c r="BI1873">
        <f>IF($A1873="","",IF($A1874="",1,IF(BG1874&lt;&gt;BG1873,1,0)))</f>
        <v>0</v>
      </c>
      <c r="BJ1873">
        <f>IF($A1873="","",IF(BH1873=1,$B1873,BJ1872))</f>
        <v>0</v>
      </c>
      <c r="BK1873">
        <f>IF($A1873="","",IF(BH1873=1,$C1873,MAX($C1873,BK1872)))</f>
        <v>0</v>
      </c>
      <c r="BL1873">
        <f>IF($A1873="","",IF(BH1873=1,$D1873,MIN($D1873,BL1872)))</f>
        <v>0</v>
      </c>
      <c r="BM1873">
        <f>IF($A1873="","",IF(BI1873=1,F1873,""))</f>
        <v>0</v>
      </c>
      <c r="BN1873">
        <f>IF($A1873="","",DATE(YEAR($A1873),MONTH($A1873),1))</f>
        <v>0</v>
      </c>
      <c r="BO1873">
        <f>IF($A1873="","",IF($A1872="",1,IF(BN1873&lt;&gt;BN1872,1,0)))</f>
        <v>0</v>
      </c>
      <c r="BP1873">
        <f>IF($A1873="","",IF($A1874="",1,IF(BN1874&lt;&gt;BN1873,1,0)))</f>
        <v>0</v>
      </c>
      <c r="BQ1873">
        <f>IF($A1873="","",IF(BO1873=1,$B1873,BQ1872))</f>
        <v>0</v>
      </c>
      <c r="BR1873">
        <f>IF($A1873="","",IF(BO1873=1,$C1873,MAX($C1873,BR1872)))</f>
        <v>0</v>
      </c>
      <c r="BS1873">
        <f>IF($A1873="","",IF(BO1873=1,$D1873,MIN($D1873,BS1872)))</f>
        <v>0</v>
      </c>
      <c r="BT1873">
        <f>IF($A1873="","",IF(BP1873=1,F1873,""))</f>
        <v>0</v>
      </c>
    </row>
    <row r="1874" spans="1:72">
      <c r="A1874" s="27">
        <f>IF(Data!$A1874="","",Data!$A1874)</f>
        <v>0</v>
      </c>
      <c r="B1874">
        <f>IF(Data!$B1874="","",Data!$B1874)</f>
        <v>0</v>
      </c>
      <c r="C1874">
        <f>IF(Data!$C1874="","",Data!$C1874)</f>
        <v>0</v>
      </c>
      <c r="D1874">
        <f>IF(Data!$D1874="","",Data!$D1874)</f>
        <v>0</v>
      </c>
      <c r="E1874">
        <f>IF(Data!$E1874="","",Data!$E1874)</f>
        <v>0</v>
      </c>
      <c r="F1874">
        <f>IF($E1874="","",N(F1873)+1)</f>
        <v>0</v>
      </c>
      <c r="G1874">
        <f>IF(OR($E1874="",$E1873=""),"",LN($E1874/$E1873))</f>
        <v>0</v>
      </c>
      <c r="H1874">
        <f>IF($E1874="","",IF($E1873="",$E1874,$E1874*0.0952380952+H1873*0.9047619048))</f>
        <v>0</v>
      </c>
      <c r="I1874">
        <f>IF($E1874="","",IF($E1873="",$E1874,$E1874*0.0392156863+I1873*0.9607843137))</f>
        <v>0</v>
      </c>
      <c r="J1874">
        <f>IF($E1874="","",IF($E1873="",$E1874,$E1874*0.0198019802+J1873*0.9801980198))</f>
        <v>0</v>
      </c>
      <c r="K1874">
        <f>IF($E1874="","",IF($E1873="",$E1874,$E1874*0.0099502488+K1873*0.9900497512))</f>
        <v>0</v>
      </c>
      <c r="L1874">
        <f>IF(OR($E1874="",$E1873=""),"",MAX($E1874-$E1873,0))</f>
        <v>0</v>
      </c>
      <c r="M1874">
        <f>IF(OR($E1874="",$E1873=""),"",MAX($E1873-$E1874,0))</f>
        <v>0</v>
      </c>
      <c r="N1874">
        <f>IF(COUNT($E$2:$E1874)&lt;15,"",IF(AVERAGE($M$1861:$M$1874)=0,100,100-100/(1+AVERAGE($L$1861:$L$1874)/AVERAGE($M$1861:$M$1874))))</f>
        <v>0</v>
      </c>
      <c r="O1874">
        <f>IF($E1874="","",IF($E1873="",$E1874,$E1874*0.1538461538+O1873*0.8461538462))</f>
        <v>0</v>
      </c>
      <c r="P1874">
        <f>IF($E1874="","",IF($E1873="",$E1874,$E1874*0.0740740741+P1873*0.9259259259))</f>
        <v>0</v>
      </c>
      <c r="Q1874">
        <f>IF(OR(O1874="",P1874=""),"",O1874-P1874)</f>
        <v>0</v>
      </c>
      <c r="R1874">
        <f>IF(Q1874="","",IF(R1873="",Q1874,Q1874*0.2000000000+R1873*0.8000000000))</f>
        <v>0</v>
      </c>
      <c r="S1874">
        <f>IF(OR(Q1874="",R1874=""),"",Q1874-R1874)</f>
        <v>0</v>
      </c>
      <c r="T1874">
        <f>IF(COUNT($E$2:$E1874)&lt;14,"",MAX($C$1861:$C$1874))</f>
        <v>0</v>
      </c>
      <c r="U1874">
        <f>IF(COUNT($E$2:$E1874)&lt;14,"",MIN($D$1861:$D$1874))</f>
        <v>0</v>
      </c>
      <c r="V1874">
        <f>IF(OR(T1874="",U1874="",T1874=U1874),"",100*($E1874-U1874)/(T1874-U1874))</f>
        <v>0</v>
      </c>
      <c r="W1874">
        <f>IF(COUNT($V$1872:$V$1874)&lt;3,"",AVERAGE($V$1872:$V$1874))</f>
        <v>0</v>
      </c>
      <c r="X1874">
        <f>IF(COUNT($N$1861:$N$1874)&lt;14,"",MIN($N$1861:$N$1874))</f>
        <v>0</v>
      </c>
      <c r="Y1874">
        <f>IF(COUNT($N$1861:$N$1874)&lt;14,"",MAX($N$1861:$N$1874))</f>
        <v>0</v>
      </c>
      <c r="Z1874">
        <f>IF(OR(N1874="",X1874="",Y1874="",Y1874=X1874),"",100*(N1874-X1874)/(Y1874-X1874))</f>
        <v>0</v>
      </c>
      <c r="AA1874">
        <f>IF(COUNT($Z$1872:$Z$1874)&lt;3,"",AVERAGE($Z$1872:$Z$1874))</f>
        <v>0</v>
      </c>
      <c r="AB1874">
        <f>IF(COUNT($AA$1872:$AA$1874)&lt;3,"",AVERAGE($AA$1872:$AA$1874))</f>
        <v>0</v>
      </c>
      <c r="AC1874">
        <f>IF($E1874="","",MAX($C1874-$D1874,ABS($C1874-$E1873),ABS($D1874-$E1873)))</f>
        <v>0</v>
      </c>
      <c r="AD1874">
        <f>IF(COUNT($E$2:$E1874)&lt;15,"",AVERAGE($AC$1861:$AC$1874))</f>
        <v>0</v>
      </c>
      <c r="AE1874">
        <f>IF(OR($E1874="",$E1873=""),"",IF(AND(($C1874-$C1873)&gt;($D1873-$D1874),($C1874-$C1873)&gt;0),$C1874-$C1873,0))</f>
        <v>0</v>
      </c>
      <c r="AF1874">
        <f>IF(OR($E1874="",$E1873=""),"",IF(AND(($D1873-$D1874)&gt;($C1874-$C1873),($D1873-$D1874)&gt;0),$D1873-$D1874,0))</f>
        <v>0</v>
      </c>
      <c r="AG1874">
        <f>IF(COUNT($E$2:$E1874)&lt;15,"",IF(SUM($AC$1861:$AC$1874)=0,0,100*SUM($AE$1861:$AE$1874)/SUM($AC$1861:$AC$1874)))</f>
        <v>0</v>
      </c>
      <c r="AH1874">
        <f>IF(COUNT($E$2:$E1874)&lt;15,"",IF(SUM($AC$1861:$AC$1874)=0,0,100*SUM($AF$1861:$AF$1874)/SUM($AC$1861:$AC$1874)))</f>
        <v>0</v>
      </c>
      <c r="AI1874">
        <f>IF(OR(AG1874="",AH1874=""),"",IF((AG1874+AH1874)=0,0,100*ABS(AG1874-AH1874)/(AG1874+AH1874)))</f>
        <v>0</v>
      </c>
      <c r="AJ1874">
        <f>IF(COUNT($AI$1861:$AI$1874)&lt;14,"",AVERAGE($AI$1861:$AI$1874))</f>
        <v>0</v>
      </c>
      <c r="AK1874">
        <f>IF(COUNT($E$2:$E1874)&lt;20,"",AVERAGE($E$1855:$E$1874))</f>
        <v>0</v>
      </c>
      <c r="AL1874">
        <f>IF(COUNT($E$2:$E1874)&lt;20,"",STDEVP($E$1855:$E$1874))</f>
        <v>0</v>
      </c>
      <c r="AM1874">
        <f>IF(AK1874="","",AK1874+2*AL1874)</f>
        <v>0</v>
      </c>
      <c r="AN1874">
        <f>IF(AK1874="","",AK1874-2*AL1874)</f>
        <v>0</v>
      </c>
      <c r="AO1874">
        <f>IF(OR(AM1874="",AN1874="",AM1874=AN1874),"",($E1874-AN1874)/(AM1874-AN1874))</f>
        <v>0</v>
      </c>
      <c r="AP1874">
        <f>IF(OR(AM1874="",AK1874="",AK1874=0),"",(AM1874-AN1874)/AK1874)</f>
        <v>0</v>
      </c>
      <c r="AQ1874">
        <f>IF(COUNT($E$2:$E1874)&lt;20,"",MAX($C$1855:$C$1874))</f>
        <v>0</v>
      </c>
      <c r="AR1874">
        <f>IF(COUNT($E$2:$E1874)&lt;20,"",MIN($D$1855:$D$1874))</f>
        <v>0</v>
      </c>
      <c r="AS1874">
        <f>IF(OR(AQ1874="",AR1874=""),"",(AQ1874+AR1874)/2)</f>
        <v>0</v>
      </c>
      <c r="AT1874">
        <f>IF(COUNT($G$1855:$G$1874)&lt;20,"",STDEV($G$1855:$G$1874)*SQRT(252))</f>
        <v>0</v>
      </c>
      <c r="AU1874">
        <f>IF(COUNT($E$2:$E1874)&lt;9,"",(MAX($C$1866:$C$1874)+MIN($D$1866:$D$1874))/2)</f>
        <v>0</v>
      </c>
      <c r="AV1874">
        <f>IF(COUNT($E$2:$E1874)&lt;26,"",(MAX($C$1849:$C$1874)+MIN($D$1849:$D$1874))/2)</f>
        <v>0</v>
      </c>
      <c r="AW1874">
        <f>IF(OR(AU1874="",AV1874=""),"",(AU1874+AV1874)/2)</f>
        <v>0</v>
      </c>
      <c r="AX1874">
        <f>IF(COUNT($E$2:$E1874)&lt;52,"",(MAX($C$1823:$C$1874)+MIN($D$1823:$D$1874))/2)</f>
        <v>0</v>
      </c>
      <c r="AY1874">
        <f>IF(COUNT($E$2:$E1874)&lt;20,"",MAX($C$1775:$C$1874))</f>
        <v>0</v>
      </c>
      <c r="AZ1874">
        <f>IF(COUNT($E$2:$E1874)&lt;20,"",MIN($D$1775:$D$1874))</f>
        <v>0</v>
      </c>
      <c r="BA1874">
        <f>IF(COUNT($E$2:$E1874)&lt;20,"",SLOPE($E$1775:$E$1874,$F$1775:$F$1874))</f>
        <v>0</v>
      </c>
      <c r="BB1874">
        <f>IF(COUNT($E$2:$E1874)&lt;20,"",INTERCEPT($E$1775:$E$1874,$F$1775:$F$1874))</f>
        <v>0</v>
      </c>
      <c r="BC1874">
        <f>IF(OR(BA1874="",BB1874=""),"",BB1874+BA1874*F1874)</f>
        <v>0</v>
      </c>
      <c r="BD1874">
        <f>IF(COUNT($E$2:$E1874)&lt;20,"",STEYX($E$1775:$E$1874,$F$1775:$F$1874))</f>
        <v>0</v>
      </c>
      <c r="BE1874">
        <f>IF($E1874="","",IF(AND(COUNT($E$1875:$E$1878)&gt;=4,$C1874=MAX($C$1870:$C$1878)),$C1874,""))</f>
        <v>0</v>
      </c>
      <c r="BF1874">
        <f>IF($E1874="","",IF(AND(COUNT($E$1875:$E$1878)&gt;=4,$D1874=MIN($D$1870:$D$1878)),$D1874,""))</f>
        <v>0</v>
      </c>
      <c r="BG1874">
        <f>IF($A1874="","",$A1874-WEEKDAY($A1874,2)+1)</f>
        <v>0</v>
      </c>
      <c r="BH1874">
        <f>IF($A1874="","",IF($A1873="",1,IF(BG1874&lt;&gt;BG1873,1,0)))</f>
        <v>0</v>
      </c>
      <c r="BI1874">
        <f>IF($A1874="","",IF($A1875="",1,IF(BG1875&lt;&gt;BG1874,1,0)))</f>
        <v>0</v>
      </c>
      <c r="BJ1874">
        <f>IF($A1874="","",IF(BH1874=1,$B1874,BJ1873))</f>
        <v>0</v>
      </c>
      <c r="BK1874">
        <f>IF($A1874="","",IF(BH1874=1,$C1874,MAX($C1874,BK1873)))</f>
        <v>0</v>
      </c>
      <c r="BL1874">
        <f>IF($A1874="","",IF(BH1874=1,$D1874,MIN($D1874,BL1873)))</f>
        <v>0</v>
      </c>
      <c r="BM1874">
        <f>IF($A1874="","",IF(BI1874=1,F1874,""))</f>
        <v>0</v>
      </c>
      <c r="BN1874">
        <f>IF($A1874="","",DATE(YEAR($A1874),MONTH($A1874),1))</f>
        <v>0</v>
      </c>
      <c r="BO1874">
        <f>IF($A1874="","",IF($A1873="",1,IF(BN1874&lt;&gt;BN1873,1,0)))</f>
        <v>0</v>
      </c>
      <c r="BP1874">
        <f>IF($A1874="","",IF($A1875="",1,IF(BN1875&lt;&gt;BN1874,1,0)))</f>
        <v>0</v>
      </c>
      <c r="BQ1874">
        <f>IF($A1874="","",IF(BO1874=1,$B1874,BQ1873))</f>
        <v>0</v>
      </c>
      <c r="BR1874">
        <f>IF($A1874="","",IF(BO1874=1,$C1874,MAX($C1874,BR1873)))</f>
        <v>0</v>
      </c>
      <c r="BS1874">
        <f>IF($A1874="","",IF(BO1874=1,$D1874,MIN($D1874,BS1873)))</f>
        <v>0</v>
      </c>
      <c r="BT1874">
        <f>IF($A1874="","",IF(BP1874=1,F1874,""))</f>
        <v>0</v>
      </c>
    </row>
    <row r="1875" spans="1:72">
      <c r="A1875" s="27">
        <f>IF(Data!$A1875="","",Data!$A1875)</f>
        <v>0</v>
      </c>
      <c r="B1875">
        <f>IF(Data!$B1875="","",Data!$B1875)</f>
        <v>0</v>
      </c>
      <c r="C1875">
        <f>IF(Data!$C1875="","",Data!$C1875)</f>
        <v>0</v>
      </c>
      <c r="D1875">
        <f>IF(Data!$D1875="","",Data!$D1875)</f>
        <v>0</v>
      </c>
      <c r="E1875">
        <f>IF(Data!$E1875="","",Data!$E1875)</f>
        <v>0</v>
      </c>
      <c r="F1875">
        <f>IF($E1875="","",N(F1874)+1)</f>
        <v>0</v>
      </c>
      <c r="G1875">
        <f>IF(OR($E1875="",$E1874=""),"",LN($E1875/$E1874))</f>
        <v>0</v>
      </c>
      <c r="H1875">
        <f>IF($E1875="","",IF($E1874="",$E1875,$E1875*0.0952380952+H1874*0.9047619048))</f>
        <v>0</v>
      </c>
      <c r="I1875">
        <f>IF($E1875="","",IF($E1874="",$E1875,$E1875*0.0392156863+I1874*0.9607843137))</f>
        <v>0</v>
      </c>
      <c r="J1875">
        <f>IF($E1875="","",IF($E1874="",$E1875,$E1875*0.0198019802+J1874*0.9801980198))</f>
        <v>0</v>
      </c>
      <c r="K1875">
        <f>IF($E1875="","",IF($E1874="",$E1875,$E1875*0.0099502488+K1874*0.9900497512))</f>
        <v>0</v>
      </c>
      <c r="L1875">
        <f>IF(OR($E1875="",$E1874=""),"",MAX($E1875-$E1874,0))</f>
        <v>0</v>
      </c>
      <c r="M1875">
        <f>IF(OR($E1875="",$E1874=""),"",MAX($E1874-$E1875,0))</f>
        <v>0</v>
      </c>
      <c r="N1875">
        <f>IF(COUNT($E$2:$E1875)&lt;15,"",IF(AVERAGE($M$1862:$M$1875)=0,100,100-100/(1+AVERAGE($L$1862:$L$1875)/AVERAGE($M$1862:$M$1875))))</f>
        <v>0</v>
      </c>
      <c r="O1875">
        <f>IF($E1875="","",IF($E1874="",$E1875,$E1875*0.1538461538+O1874*0.8461538462))</f>
        <v>0</v>
      </c>
      <c r="P1875">
        <f>IF($E1875="","",IF($E1874="",$E1875,$E1875*0.0740740741+P1874*0.9259259259))</f>
        <v>0</v>
      </c>
      <c r="Q1875">
        <f>IF(OR(O1875="",P1875=""),"",O1875-P1875)</f>
        <v>0</v>
      </c>
      <c r="R1875">
        <f>IF(Q1875="","",IF(R1874="",Q1875,Q1875*0.2000000000+R1874*0.8000000000))</f>
        <v>0</v>
      </c>
      <c r="S1875">
        <f>IF(OR(Q1875="",R1875=""),"",Q1875-R1875)</f>
        <v>0</v>
      </c>
      <c r="T1875">
        <f>IF(COUNT($E$2:$E1875)&lt;14,"",MAX($C$1862:$C$1875))</f>
        <v>0</v>
      </c>
      <c r="U1875">
        <f>IF(COUNT($E$2:$E1875)&lt;14,"",MIN($D$1862:$D$1875))</f>
        <v>0</v>
      </c>
      <c r="V1875">
        <f>IF(OR(T1875="",U1875="",T1875=U1875),"",100*($E1875-U1875)/(T1875-U1875))</f>
        <v>0</v>
      </c>
      <c r="W1875">
        <f>IF(COUNT($V$1873:$V$1875)&lt;3,"",AVERAGE($V$1873:$V$1875))</f>
        <v>0</v>
      </c>
      <c r="X1875">
        <f>IF(COUNT($N$1862:$N$1875)&lt;14,"",MIN($N$1862:$N$1875))</f>
        <v>0</v>
      </c>
      <c r="Y1875">
        <f>IF(COUNT($N$1862:$N$1875)&lt;14,"",MAX($N$1862:$N$1875))</f>
        <v>0</v>
      </c>
      <c r="Z1875">
        <f>IF(OR(N1875="",X1875="",Y1875="",Y1875=X1875),"",100*(N1875-X1875)/(Y1875-X1875))</f>
        <v>0</v>
      </c>
      <c r="AA1875">
        <f>IF(COUNT($Z$1873:$Z$1875)&lt;3,"",AVERAGE($Z$1873:$Z$1875))</f>
        <v>0</v>
      </c>
      <c r="AB1875">
        <f>IF(COUNT($AA$1873:$AA$1875)&lt;3,"",AVERAGE($AA$1873:$AA$1875))</f>
        <v>0</v>
      </c>
      <c r="AC1875">
        <f>IF($E1875="","",MAX($C1875-$D1875,ABS($C1875-$E1874),ABS($D1875-$E1874)))</f>
        <v>0</v>
      </c>
      <c r="AD1875">
        <f>IF(COUNT($E$2:$E1875)&lt;15,"",AVERAGE($AC$1862:$AC$1875))</f>
        <v>0</v>
      </c>
      <c r="AE1875">
        <f>IF(OR($E1875="",$E1874=""),"",IF(AND(($C1875-$C1874)&gt;($D1874-$D1875),($C1875-$C1874)&gt;0),$C1875-$C1874,0))</f>
        <v>0</v>
      </c>
      <c r="AF1875">
        <f>IF(OR($E1875="",$E1874=""),"",IF(AND(($D1874-$D1875)&gt;($C1875-$C1874),($D1874-$D1875)&gt;0),$D1874-$D1875,0))</f>
        <v>0</v>
      </c>
      <c r="AG1875">
        <f>IF(COUNT($E$2:$E1875)&lt;15,"",IF(SUM($AC$1862:$AC$1875)=0,0,100*SUM($AE$1862:$AE$1875)/SUM($AC$1862:$AC$1875)))</f>
        <v>0</v>
      </c>
      <c r="AH1875">
        <f>IF(COUNT($E$2:$E1875)&lt;15,"",IF(SUM($AC$1862:$AC$1875)=0,0,100*SUM($AF$1862:$AF$1875)/SUM($AC$1862:$AC$1875)))</f>
        <v>0</v>
      </c>
      <c r="AI1875">
        <f>IF(OR(AG1875="",AH1875=""),"",IF((AG1875+AH1875)=0,0,100*ABS(AG1875-AH1875)/(AG1875+AH1875)))</f>
        <v>0</v>
      </c>
      <c r="AJ1875">
        <f>IF(COUNT($AI$1862:$AI$1875)&lt;14,"",AVERAGE($AI$1862:$AI$1875))</f>
        <v>0</v>
      </c>
      <c r="AK1875">
        <f>IF(COUNT($E$2:$E1875)&lt;20,"",AVERAGE($E$1856:$E$1875))</f>
        <v>0</v>
      </c>
      <c r="AL1875">
        <f>IF(COUNT($E$2:$E1875)&lt;20,"",STDEVP($E$1856:$E$1875))</f>
        <v>0</v>
      </c>
      <c r="AM1875">
        <f>IF(AK1875="","",AK1875+2*AL1875)</f>
        <v>0</v>
      </c>
      <c r="AN1875">
        <f>IF(AK1875="","",AK1875-2*AL1875)</f>
        <v>0</v>
      </c>
      <c r="AO1875">
        <f>IF(OR(AM1875="",AN1875="",AM1875=AN1875),"",($E1875-AN1875)/(AM1875-AN1875))</f>
        <v>0</v>
      </c>
      <c r="AP1875">
        <f>IF(OR(AM1875="",AK1875="",AK1875=0),"",(AM1875-AN1875)/AK1875)</f>
        <v>0</v>
      </c>
      <c r="AQ1875">
        <f>IF(COUNT($E$2:$E1875)&lt;20,"",MAX($C$1856:$C$1875))</f>
        <v>0</v>
      </c>
      <c r="AR1875">
        <f>IF(COUNT($E$2:$E1875)&lt;20,"",MIN($D$1856:$D$1875))</f>
        <v>0</v>
      </c>
      <c r="AS1875">
        <f>IF(OR(AQ1875="",AR1875=""),"",(AQ1875+AR1875)/2)</f>
        <v>0</v>
      </c>
      <c r="AT1875">
        <f>IF(COUNT($G$1856:$G$1875)&lt;20,"",STDEV($G$1856:$G$1875)*SQRT(252))</f>
        <v>0</v>
      </c>
      <c r="AU1875">
        <f>IF(COUNT($E$2:$E1875)&lt;9,"",(MAX($C$1867:$C$1875)+MIN($D$1867:$D$1875))/2)</f>
        <v>0</v>
      </c>
      <c r="AV1875">
        <f>IF(COUNT($E$2:$E1875)&lt;26,"",(MAX($C$1850:$C$1875)+MIN($D$1850:$D$1875))/2)</f>
        <v>0</v>
      </c>
      <c r="AW1875">
        <f>IF(OR(AU1875="",AV1875=""),"",(AU1875+AV1875)/2)</f>
        <v>0</v>
      </c>
      <c r="AX1875">
        <f>IF(COUNT($E$2:$E1875)&lt;52,"",(MAX($C$1824:$C$1875)+MIN($D$1824:$D$1875))/2)</f>
        <v>0</v>
      </c>
      <c r="AY1875">
        <f>IF(COUNT($E$2:$E1875)&lt;20,"",MAX($C$1776:$C$1875))</f>
        <v>0</v>
      </c>
      <c r="AZ1875">
        <f>IF(COUNT($E$2:$E1875)&lt;20,"",MIN($D$1776:$D$1875))</f>
        <v>0</v>
      </c>
      <c r="BA1875">
        <f>IF(COUNT($E$2:$E1875)&lt;20,"",SLOPE($E$1776:$E$1875,$F$1776:$F$1875))</f>
        <v>0</v>
      </c>
      <c r="BB1875">
        <f>IF(COUNT($E$2:$E1875)&lt;20,"",INTERCEPT($E$1776:$E$1875,$F$1776:$F$1875))</f>
        <v>0</v>
      </c>
      <c r="BC1875">
        <f>IF(OR(BA1875="",BB1875=""),"",BB1875+BA1875*F1875)</f>
        <v>0</v>
      </c>
      <c r="BD1875">
        <f>IF(COUNT($E$2:$E1875)&lt;20,"",STEYX($E$1776:$E$1875,$F$1776:$F$1875))</f>
        <v>0</v>
      </c>
      <c r="BE1875">
        <f>IF($E1875="","",IF(AND(COUNT($E$1876:$E$1879)&gt;=4,$C1875=MAX($C$1871:$C$1879)),$C1875,""))</f>
        <v>0</v>
      </c>
      <c r="BF1875">
        <f>IF($E1875="","",IF(AND(COUNT($E$1876:$E$1879)&gt;=4,$D1875=MIN($D$1871:$D$1879)),$D1875,""))</f>
        <v>0</v>
      </c>
      <c r="BG1875">
        <f>IF($A1875="","",$A1875-WEEKDAY($A1875,2)+1)</f>
        <v>0</v>
      </c>
      <c r="BH1875">
        <f>IF($A1875="","",IF($A1874="",1,IF(BG1875&lt;&gt;BG1874,1,0)))</f>
        <v>0</v>
      </c>
      <c r="BI1875">
        <f>IF($A1875="","",IF($A1876="",1,IF(BG1876&lt;&gt;BG1875,1,0)))</f>
        <v>0</v>
      </c>
      <c r="BJ1875">
        <f>IF($A1875="","",IF(BH1875=1,$B1875,BJ1874))</f>
        <v>0</v>
      </c>
      <c r="BK1875">
        <f>IF($A1875="","",IF(BH1875=1,$C1875,MAX($C1875,BK1874)))</f>
        <v>0</v>
      </c>
      <c r="BL1875">
        <f>IF($A1875="","",IF(BH1875=1,$D1875,MIN($D1875,BL1874)))</f>
        <v>0</v>
      </c>
      <c r="BM1875">
        <f>IF($A1875="","",IF(BI1875=1,F1875,""))</f>
        <v>0</v>
      </c>
      <c r="BN1875">
        <f>IF($A1875="","",DATE(YEAR($A1875),MONTH($A1875),1))</f>
        <v>0</v>
      </c>
      <c r="BO1875">
        <f>IF($A1875="","",IF($A1874="",1,IF(BN1875&lt;&gt;BN1874,1,0)))</f>
        <v>0</v>
      </c>
      <c r="BP1875">
        <f>IF($A1875="","",IF($A1876="",1,IF(BN1876&lt;&gt;BN1875,1,0)))</f>
        <v>0</v>
      </c>
      <c r="BQ1875">
        <f>IF($A1875="","",IF(BO1875=1,$B1875,BQ1874))</f>
        <v>0</v>
      </c>
      <c r="BR1875">
        <f>IF($A1875="","",IF(BO1875=1,$C1875,MAX($C1875,BR1874)))</f>
        <v>0</v>
      </c>
      <c r="BS1875">
        <f>IF($A1875="","",IF(BO1875=1,$D1875,MIN($D1875,BS1874)))</f>
        <v>0</v>
      </c>
      <c r="BT1875">
        <f>IF($A1875="","",IF(BP1875=1,F1875,""))</f>
        <v>0</v>
      </c>
    </row>
    <row r="1876" spans="1:72">
      <c r="A1876" s="27">
        <f>IF(Data!$A1876="","",Data!$A1876)</f>
        <v>0</v>
      </c>
      <c r="B1876">
        <f>IF(Data!$B1876="","",Data!$B1876)</f>
        <v>0</v>
      </c>
      <c r="C1876">
        <f>IF(Data!$C1876="","",Data!$C1876)</f>
        <v>0</v>
      </c>
      <c r="D1876">
        <f>IF(Data!$D1876="","",Data!$D1876)</f>
        <v>0</v>
      </c>
      <c r="E1876">
        <f>IF(Data!$E1876="","",Data!$E1876)</f>
        <v>0</v>
      </c>
      <c r="F1876">
        <f>IF($E1876="","",N(F1875)+1)</f>
        <v>0</v>
      </c>
      <c r="G1876">
        <f>IF(OR($E1876="",$E1875=""),"",LN($E1876/$E1875))</f>
        <v>0</v>
      </c>
      <c r="H1876">
        <f>IF($E1876="","",IF($E1875="",$E1876,$E1876*0.0952380952+H1875*0.9047619048))</f>
        <v>0</v>
      </c>
      <c r="I1876">
        <f>IF($E1876="","",IF($E1875="",$E1876,$E1876*0.0392156863+I1875*0.9607843137))</f>
        <v>0</v>
      </c>
      <c r="J1876">
        <f>IF($E1876="","",IF($E1875="",$E1876,$E1876*0.0198019802+J1875*0.9801980198))</f>
        <v>0</v>
      </c>
      <c r="K1876">
        <f>IF($E1876="","",IF($E1875="",$E1876,$E1876*0.0099502488+K1875*0.9900497512))</f>
        <v>0</v>
      </c>
      <c r="L1876">
        <f>IF(OR($E1876="",$E1875=""),"",MAX($E1876-$E1875,0))</f>
        <v>0</v>
      </c>
      <c r="M1876">
        <f>IF(OR($E1876="",$E1875=""),"",MAX($E1875-$E1876,0))</f>
        <v>0</v>
      </c>
      <c r="N1876">
        <f>IF(COUNT($E$2:$E1876)&lt;15,"",IF(AVERAGE($M$1863:$M$1876)=0,100,100-100/(1+AVERAGE($L$1863:$L$1876)/AVERAGE($M$1863:$M$1876))))</f>
        <v>0</v>
      </c>
      <c r="O1876">
        <f>IF($E1876="","",IF($E1875="",$E1876,$E1876*0.1538461538+O1875*0.8461538462))</f>
        <v>0</v>
      </c>
      <c r="P1876">
        <f>IF($E1876="","",IF($E1875="",$E1876,$E1876*0.0740740741+P1875*0.9259259259))</f>
        <v>0</v>
      </c>
      <c r="Q1876">
        <f>IF(OR(O1876="",P1876=""),"",O1876-P1876)</f>
        <v>0</v>
      </c>
      <c r="R1876">
        <f>IF(Q1876="","",IF(R1875="",Q1876,Q1876*0.2000000000+R1875*0.8000000000))</f>
        <v>0</v>
      </c>
      <c r="S1876">
        <f>IF(OR(Q1876="",R1876=""),"",Q1876-R1876)</f>
        <v>0</v>
      </c>
      <c r="T1876">
        <f>IF(COUNT($E$2:$E1876)&lt;14,"",MAX($C$1863:$C$1876))</f>
        <v>0</v>
      </c>
      <c r="U1876">
        <f>IF(COUNT($E$2:$E1876)&lt;14,"",MIN($D$1863:$D$1876))</f>
        <v>0</v>
      </c>
      <c r="V1876">
        <f>IF(OR(T1876="",U1876="",T1876=U1876),"",100*($E1876-U1876)/(T1876-U1876))</f>
        <v>0</v>
      </c>
      <c r="W1876">
        <f>IF(COUNT($V$1874:$V$1876)&lt;3,"",AVERAGE($V$1874:$V$1876))</f>
        <v>0</v>
      </c>
      <c r="X1876">
        <f>IF(COUNT($N$1863:$N$1876)&lt;14,"",MIN($N$1863:$N$1876))</f>
        <v>0</v>
      </c>
      <c r="Y1876">
        <f>IF(COUNT($N$1863:$N$1876)&lt;14,"",MAX($N$1863:$N$1876))</f>
        <v>0</v>
      </c>
      <c r="Z1876">
        <f>IF(OR(N1876="",X1876="",Y1876="",Y1876=X1876),"",100*(N1876-X1876)/(Y1876-X1876))</f>
        <v>0</v>
      </c>
      <c r="AA1876">
        <f>IF(COUNT($Z$1874:$Z$1876)&lt;3,"",AVERAGE($Z$1874:$Z$1876))</f>
        <v>0</v>
      </c>
      <c r="AB1876">
        <f>IF(COUNT($AA$1874:$AA$1876)&lt;3,"",AVERAGE($AA$1874:$AA$1876))</f>
        <v>0</v>
      </c>
      <c r="AC1876">
        <f>IF($E1876="","",MAX($C1876-$D1876,ABS($C1876-$E1875),ABS($D1876-$E1875)))</f>
        <v>0</v>
      </c>
      <c r="AD1876">
        <f>IF(COUNT($E$2:$E1876)&lt;15,"",AVERAGE($AC$1863:$AC$1876))</f>
        <v>0</v>
      </c>
      <c r="AE1876">
        <f>IF(OR($E1876="",$E1875=""),"",IF(AND(($C1876-$C1875)&gt;($D1875-$D1876),($C1876-$C1875)&gt;0),$C1876-$C1875,0))</f>
        <v>0</v>
      </c>
      <c r="AF1876">
        <f>IF(OR($E1876="",$E1875=""),"",IF(AND(($D1875-$D1876)&gt;($C1876-$C1875),($D1875-$D1876)&gt;0),$D1875-$D1876,0))</f>
        <v>0</v>
      </c>
      <c r="AG1876">
        <f>IF(COUNT($E$2:$E1876)&lt;15,"",IF(SUM($AC$1863:$AC$1876)=0,0,100*SUM($AE$1863:$AE$1876)/SUM($AC$1863:$AC$1876)))</f>
        <v>0</v>
      </c>
      <c r="AH1876">
        <f>IF(COUNT($E$2:$E1876)&lt;15,"",IF(SUM($AC$1863:$AC$1876)=0,0,100*SUM($AF$1863:$AF$1876)/SUM($AC$1863:$AC$1876)))</f>
        <v>0</v>
      </c>
      <c r="AI1876">
        <f>IF(OR(AG1876="",AH1876=""),"",IF((AG1876+AH1876)=0,0,100*ABS(AG1876-AH1876)/(AG1876+AH1876)))</f>
        <v>0</v>
      </c>
      <c r="AJ1876">
        <f>IF(COUNT($AI$1863:$AI$1876)&lt;14,"",AVERAGE($AI$1863:$AI$1876))</f>
        <v>0</v>
      </c>
      <c r="AK1876">
        <f>IF(COUNT($E$2:$E1876)&lt;20,"",AVERAGE($E$1857:$E$1876))</f>
        <v>0</v>
      </c>
      <c r="AL1876">
        <f>IF(COUNT($E$2:$E1876)&lt;20,"",STDEVP($E$1857:$E$1876))</f>
        <v>0</v>
      </c>
      <c r="AM1876">
        <f>IF(AK1876="","",AK1876+2*AL1876)</f>
        <v>0</v>
      </c>
      <c r="AN1876">
        <f>IF(AK1876="","",AK1876-2*AL1876)</f>
        <v>0</v>
      </c>
      <c r="AO1876">
        <f>IF(OR(AM1876="",AN1876="",AM1876=AN1876),"",($E1876-AN1876)/(AM1876-AN1876))</f>
        <v>0</v>
      </c>
      <c r="AP1876">
        <f>IF(OR(AM1876="",AK1876="",AK1876=0),"",(AM1876-AN1876)/AK1876)</f>
        <v>0</v>
      </c>
      <c r="AQ1876">
        <f>IF(COUNT($E$2:$E1876)&lt;20,"",MAX($C$1857:$C$1876))</f>
        <v>0</v>
      </c>
      <c r="AR1876">
        <f>IF(COUNT($E$2:$E1876)&lt;20,"",MIN($D$1857:$D$1876))</f>
        <v>0</v>
      </c>
      <c r="AS1876">
        <f>IF(OR(AQ1876="",AR1876=""),"",(AQ1876+AR1876)/2)</f>
        <v>0</v>
      </c>
      <c r="AT1876">
        <f>IF(COUNT($G$1857:$G$1876)&lt;20,"",STDEV($G$1857:$G$1876)*SQRT(252))</f>
        <v>0</v>
      </c>
      <c r="AU1876">
        <f>IF(COUNT($E$2:$E1876)&lt;9,"",(MAX($C$1868:$C$1876)+MIN($D$1868:$D$1876))/2)</f>
        <v>0</v>
      </c>
      <c r="AV1876">
        <f>IF(COUNT($E$2:$E1876)&lt;26,"",(MAX($C$1851:$C$1876)+MIN($D$1851:$D$1876))/2)</f>
        <v>0</v>
      </c>
      <c r="AW1876">
        <f>IF(OR(AU1876="",AV1876=""),"",(AU1876+AV1876)/2)</f>
        <v>0</v>
      </c>
      <c r="AX1876">
        <f>IF(COUNT($E$2:$E1876)&lt;52,"",(MAX($C$1825:$C$1876)+MIN($D$1825:$D$1876))/2)</f>
        <v>0</v>
      </c>
      <c r="AY1876">
        <f>IF(COUNT($E$2:$E1876)&lt;20,"",MAX($C$1777:$C$1876))</f>
        <v>0</v>
      </c>
      <c r="AZ1876">
        <f>IF(COUNT($E$2:$E1876)&lt;20,"",MIN($D$1777:$D$1876))</f>
        <v>0</v>
      </c>
      <c r="BA1876">
        <f>IF(COUNT($E$2:$E1876)&lt;20,"",SLOPE($E$1777:$E$1876,$F$1777:$F$1876))</f>
        <v>0</v>
      </c>
      <c r="BB1876">
        <f>IF(COUNT($E$2:$E1876)&lt;20,"",INTERCEPT($E$1777:$E$1876,$F$1777:$F$1876))</f>
        <v>0</v>
      </c>
      <c r="BC1876">
        <f>IF(OR(BA1876="",BB1876=""),"",BB1876+BA1876*F1876)</f>
        <v>0</v>
      </c>
      <c r="BD1876">
        <f>IF(COUNT($E$2:$E1876)&lt;20,"",STEYX($E$1777:$E$1876,$F$1777:$F$1876))</f>
        <v>0</v>
      </c>
      <c r="BE1876">
        <f>IF($E1876="","",IF(AND(COUNT($E$1877:$E$1880)&gt;=4,$C1876=MAX($C$1872:$C$1880)),$C1876,""))</f>
        <v>0</v>
      </c>
      <c r="BF1876">
        <f>IF($E1876="","",IF(AND(COUNT($E$1877:$E$1880)&gt;=4,$D1876=MIN($D$1872:$D$1880)),$D1876,""))</f>
        <v>0</v>
      </c>
      <c r="BG1876">
        <f>IF($A1876="","",$A1876-WEEKDAY($A1876,2)+1)</f>
        <v>0</v>
      </c>
      <c r="BH1876">
        <f>IF($A1876="","",IF($A1875="",1,IF(BG1876&lt;&gt;BG1875,1,0)))</f>
        <v>0</v>
      </c>
      <c r="BI1876">
        <f>IF($A1876="","",IF($A1877="",1,IF(BG1877&lt;&gt;BG1876,1,0)))</f>
        <v>0</v>
      </c>
      <c r="BJ1876">
        <f>IF($A1876="","",IF(BH1876=1,$B1876,BJ1875))</f>
        <v>0</v>
      </c>
      <c r="BK1876">
        <f>IF($A1876="","",IF(BH1876=1,$C1876,MAX($C1876,BK1875)))</f>
        <v>0</v>
      </c>
      <c r="BL1876">
        <f>IF($A1876="","",IF(BH1876=1,$D1876,MIN($D1876,BL1875)))</f>
        <v>0</v>
      </c>
      <c r="BM1876">
        <f>IF($A1876="","",IF(BI1876=1,F1876,""))</f>
        <v>0</v>
      </c>
      <c r="BN1876">
        <f>IF($A1876="","",DATE(YEAR($A1876),MONTH($A1876),1))</f>
        <v>0</v>
      </c>
      <c r="BO1876">
        <f>IF($A1876="","",IF($A1875="",1,IF(BN1876&lt;&gt;BN1875,1,0)))</f>
        <v>0</v>
      </c>
      <c r="BP1876">
        <f>IF($A1876="","",IF($A1877="",1,IF(BN1877&lt;&gt;BN1876,1,0)))</f>
        <v>0</v>
      </c>
      <c r="BQ1876">
        <f>IF($A1876="","",IF(BO1876=1,$B1876,BQ1875))</f>
        <v>0</v>
      </c>
      <c r="BR1876">
        <f>IF($A1876="","",IF(BO1876=1,$C1876,MAX($C1876,BR1875)))</f>
        <v>0</v>
      </c>
      <c r="BS1876">
        <f>IF($A1876="","",IF(BO1876=1,$D1876,MIN($D1876,BS1875)))</f>
        <v>0</v>
      </c>
      <c r="BT1876">
        <f>IF($A1876="","",IF(BP1876=1,F1876,""))</f>
        <v>0</v>
      </c>
    </row>
    <row r="1877" spans="1:72">
      <c r="A1877" s="27">
        <f>IF(Data!$A1877="","",Data!$A1877)</f>
        <v>0</v>
      </c>
      <c r="B1877">
        <f>IF(Data!$B1877="","",Data!$B1877)</f>
        <v>0</v>
      </c>
      <c r="C1877">
        <f>IF(Data!$C1877="","",Data!$C1877)</f>
        <v>0</v>
      </c>
      <c r="D1877">
        <f>IF(Data!$D1877="","",Data!$D1877)</f>
        <v>0</v>
      </c>
      <c r="E1877">
        <f>IF(Data!$E1877="","",Data!$E1877)</f>
        <v>0</v>
      </c>
      <c r="F1877">
        <f>IF($E1877="","",N(F1876)+1)</f>
        <v>0</v>
      </c>
      <c r="G1877">
        <f>IF(OR($E1877="",$E1876=""),"",LN($E1877/$E1876))</f>
        <v>0</v>
      </c>
      <c r="H1877">
        <f>IF($E1877="","",IF($E1876="",$E1877,$E1877*0.0952380952+H1876*0.9047619048))</f>
        <v>0</v>
      </c>
      <c r="I1877">
        <f>IF($E1877="","",IF($E1876="",$E1877,$E1877*0.0392156863+I1876*0.9607843137))</f>
        <v>0</v>
      </c>
      <c r="J1877">
        <f>IF($E1877="","",IF($E1876="",$E1877,$E1877*0.0198019802+J1876*0.9801980198))</f>
        <v>0</v>
      </c>
      <c r="K1877">
        <f>IF($E1877="","",IF($E1876="",$E1877,$E1877*0.0099502488+K1876*0.9900497512))</f>
        <v>0</v>
      </c>
      <c r="L1877">
        <f>IF(OR($E1877="",$E1876=""),"",MAX($E1877-$E1876,0))</f>
        <v>0</v>
      </c>
      <c r="M1877">
        <f>IF(OR($E1877="",$E1876=""),"",MAX($E1876-$E1877,0))</f>
        <v>0</v>
      </c>
      <c r="N1877">
        <f>IF(COUNT($E$2:$E1877)&lt;15,"",IF(AVERAGE($M$1864:$M$1877)=0,100,100-100/(1+AVERAGE($L$1864:$L$1877)/AVERAGE($M$1864:$M$1877))))</f>
        <v>0</v>
      </c>
      <c r="O1877">
        <f>IF($E1877="","",IF($E1876="",$E1877,$E1877*0.1538461538+O1876*0.8461538462))</f>
        <v>0</v>
      </c>
      <c r="P1877">
        <f>IF($E1877="","",IF($E1876="",$E1877,$E1877*0.0740740741+P1876*0.9259259259))</f>
        <v>0</v>
      </c>
      <c r="Q1877">
        <f>IF(OR(O1877="",P1877=""),"",O1877-P1877)</f>
        <v>0</v>
      </c>
      <c r="R1877">
        <f>IF(Q1877="","",IF(R1876="",Q1877,Q1877*0.2000000000+R1876*0.8000000000))</f>
        <v>0</v>
      </c>
      <c r="S1877">
        <f>IF(OR(Q1877="",R1877=""),"",Q1877-R1877)</f>
        <v>0</v>
      </c>
      <c r="T1877">
        <f>IF(COUNT($E$2:$E1877)&lt;14,"",MAX($C$1864:$C$1877))</f>
        <v>0</v>
      </c>
      <c r="U1877">
        <f>IF(COUNT($E$2:$E1877)&lt;14,"",MIN($D$1864:$D$1877))</f>
        <v>0</v>
      </c>
      <c r="V1877">
        <f>IF(OR(T1877="",U1877="",T1877=U1877),"",100*($E1877-U1877)/(T1877-U1877))</f>
        <v>0</v>
      </c>
      <c r="W1877">
        <f>IF(COUNT($V$1875:$V$1877)&lt;3,"",AVERAGE($V$1875:$V$1877))</f>
        <v>0</v>
      </c>
      <c r="X1877">
        <f>IF(COUNT($N$1864:$N$1877)&lt;14,"",MIN($N$1864:$N$1877))</f>
        <v>0</v>
      </c>
      <c r="Y1877">
        <f>IF(COUNT($N$1864:$N$1877)&lt;14,"",MAX($N$1864:$N$1877))</f>
        <v>0</v>
      </c>
      <c r="Z1877">
        <f>IF(OR(N1877="",X1877="",Y1877="",Y1877=X1877),"",100*(N1877-X1877)/(Y1877-X1877))</f>
        <v>0</v>
      </c>
      <c r="AA1877">
        <f>IF(COUNT($Z$1875:$Z$1877)&lt;3,"",AVERAGE($Z$1875:$Z$1877))</f>
        <v>0</v>
      </c>
      <c r="AB1877">
        <f>IF(COUNT($AA$1875:$AA$1877)&lt;3,"",AVERAGE($AA$1875:$AA$1877))</f>
        <v>0</v>
      </c>
      <c r="AC1877">
        <f>IF($E1877="","",MAX($C1877-$D1877,ABS($C1877-$E1876),ABS($D1877-$E1876)))</f>
        <v>0</v>
      </c>
      <c r="AD1877">
        <f>IF(COUNT($E$2:$E1877)&lt;15,"",AVERAGE($AC$1864:$AC$1877))</f>
        <v>0</v>
      </c>
      <c r="AE1877">
        <f>IF(OR($E1877="",$E1876=""),"",IF(AND(($C1877-$C1876)&gt;($D1876-$D1877),($C1877-$C1876)&gt;0),$C1877-$C1876,0))</f>
        <v>0</v>
      </c>
      <c r="AF1877">
        <f>IF(OR($E1877="",$E1876=""),"",IF(AND(($D1876-$D1877)&gt;($C1877-$C1876),($D1876-$D1877)&gt;0),$D1876-$D1877,0))</f>
        <v>0</v>
      </c>
      <c r="AG1877">
        <f>IF(COUNT($E$2:$E1877)&lt;15,"",IF(SUM($AC$1864:$AC$1877)=0,0,100*SUM($AE$1864:$AE$1877)/SUM($AC$1864:$AC$1877)))</f>
        <v>0</v>
      </c>
      <c r="AH1877">
        <f>IF(COUNT($E$2:$E1877)&lt;15,"",IF(SUM($AC$1864:$AC$1877)=0,0,100*SUM($AF$1864:$AF$1877)/SUM($AC$1864:$AC$1877)))</f>
        <v>0</v>
      </c>
      <c r="AI1877">
        <f>IF(OR(AG1877="",AH1877=""),"",IF((AG1877+AH1877)=0,0,100*ABS(AG1877-AH1877)/(AG1877+AH1877)))</f>
        <v>0</v>
      </c>
      <c r="AJ1877">
        <f>IF(COUNT($AI$1864:$AI$1877)&lt;14,"",AVERAGE($AI$1864:$AI$1877))</f>
        <v>0</v>
      </c>
      <c r="AK1877">
        <f>IF(COUNT($E$2:$E1877)&lt;20,"",AVERAGE($E$1858:$E$1877))</f>
        <v>0</v>
      </c>
      <c r="AL1877">
        <f>IF(COUNT($E$2:$E1877)&lt;20,"",STDEVP($E$1858:$E$1877))</f>
        <v>0</v>
      </c>
      <c r="AM1877">
        <f>IF(AK1877="","",AK1877+2*AL1877)</f>
        <v>0</v>
      </c>
      <c r="AN1877">
        <f>IF(AK1877="","",AK1877-2*AL1877)</f>
        <v>0</v>
      </c>
      <c r="AO1877">
        <f>IF(OR(AM1877="",AN1877="",AM1877=AN1877),"",($E1877-AN1877)/(AM1877-AN1877))</f>
        <v>0</v>
      </c>
      <c r="AP1877">
        <f>IF(OR(AM1877="",AK1877="",AK1877=0),"",(AM1877-AN1877)/AK1877)</f>
        <v>0</v>
      </c>
      <c r="AQ1877">
        <f>IF(COUNT($E$2:$E1877)&lt;20,"",MAX($C$1858:$C$1877))</f>
        <v>0</v>
      </c>
      <c r="AR1877">
        <f>IF(COUNT($E$2:$E1877)&lt;20,"",MIN($D$1858:$D$1877))</f>
        <v>0</v>
      </c>
      <c r="AS1877">
        <f>IF(OR(AQ1877="",AR1877=""),"",(AQ1877+AR1877)/2)</f>
        <v>0</v>
      </c>
      <c r="AT1877">
        <f>IF(COUNT($G$1858:$G$1877)&lt;20,"",STDEV($G$1858:$G$1877)*SQRT(252))</f>
        <v>0</v>
      </c>
      <c r="AU1877">
        <f>IF(COUNT($E$2:$E1877)&lt;9,"",(MAX($C$1869:$C$1877)+MIN($D$1869:$D$1877))/2)</f>
        <v>0</v>
      </c>
      <c r="AV1877">
        <f>IF(COUNT($E$2:$E1877)&lt;26,"",(MAX($C$1852:$C$1877)+MIN($D$1852:$D$1877))/2)</f>
        <v>0</v>
      </c>
      <c r="AW1877">
        <f>IF(OR(AU1877="",AV1877=""),"",(AU1877+AV1877)/2)</f>
        <v>0</v>
      </c>
      <c r="AX1877">
        <f>IF(COUNT($E$2:$E1877)&lt;52,"",(MAX($C$1826:$C$1877)+MIN($D$1826:$D$1877))/2)</f>
        <v>0</v>
      </c>
      <c r="AY1877">
        <f>IF(COUNT($E$2:$E1877)&lt;20,"",MAX($C$1778:$C$1877))</f>
        <v>0</v>
      </c>
      <c r="AZ1877">
        <f>IF(COUNT($E$2:$E1877)&lt;20,"",MIN($D$1778:$D$1877))</f>
        <v>0</v>
      </c>
      <c r="BA1877">
        <f>IF(COUNT($E$2:$E1877)&lt;20,"",SLOPE($E$1778:$E$1877,$F$1778:$F$1877))</f>
        <v>0</v>
      </c>
      <c r="BB1877">
        <f>IF(COUNT($E$2:$E1877)&lt;20,"",INTERCEPT($E$1778:$E$1877,$F$1778:$F$1877))</f>
        <v>0</v>
      </c>
      <c r="BC1877">
        <f>IF(OR(BA1877="",BB1877=""),"",BB1877+BA1877*F1877)</f>
        <v>0</v>
      </c>
      <c r="BD1877">
        <f>IF(COUNT($E$2:$E1877)&lt;20,"",STEYX($E$1778:$E$1877,$F$1778:$F$1877))</f>
        <v>0</v>
      </c>
      <c r="BE1877">
        <f>IF($E1877="","",IF(AND(COUNT($E$1878:$E$1881)&gt;=4,$C1877=MAX($C$1873:$C$1881)),$C1877,""))</f>
        <v>0</v>
      </c>
      <c r="BF1877">
        <f>IF($E1877="","",IF(AND(COUNT($E$1878:$E$1881)&gt;=4,$D1877=MIN($D$1873:$D$1881)),$D1877,""))</f>
        <v>0</v>
      </c>
      <c r="BG1877">
        <f>IF($A1877="","",$A1877-WEEKDAY($A1877,2)+1)</f>
        <v>0</v>
      </c>
      <c r="BH1877">
        <f>IF($A1877="","",IF($A1876="",1,IF(BG1877&lt;&gt;BG1876,1,0)))</f>
        <v>0</v>
      </c>
      <c r="BI1877">
        <f>IF($A1877="","",IF($A1878="",1,IF(BG1878&lt;&gt;BG1877,1,0)))</f>
        <v>0</v>
      </c>
      <c r="BJ1877">
        <f>IF($A1877="","",IF(BH1877=1,$B1877,BJ1876))</f>
        <v>0</v>
      </c>
      <c r="BK1877">
        <f>IF($A1877="","",IF(BH1877=1,$C1877,MAX($C1877,BK1876)))</f>
        <v>0</v>
      </c>
      <c r="BL1877">
        <f>IF($A1877="","",IF(BH1877=1,$D1877,MIN($D1877,BL1876)))</f>
        <v>0</v>
      </c>
      <c r="BM1877">
        <f>IF($A1877="","",IF(BI1877=1,F1877,""))</f>
        <v>0</v>
      </c>
      <c r="BN1877">
        <f>IF($A1877="","",DATE(YEAR($A1877),MONTH($A1877),1))</f>
        <v>0</v>
      </c>
      <c r="BO1877">
        <f>IF($A1877="","",IF($A1876="",1,IF(BN1877&lt;&gt;BN1876,1,0)))</f>
        <v>0</v>
      </c>
      <c r="BP1877">
        <f>IF($A1877="","",IF($A1878="",1,IF(BN1878&lt;&gt;BN1877,1,0)))</f>
        <v>0</v>
      </c>
      <c r="BQ1877">
        <f>IF($A1877="","",IF(BO1877=1,$B1877,BQ1876))</f>
        <v>0</v>
      </c>
      <c r="BR1877">
        <f>IF($A1877="","",IF(BO1877=1,$C1877,MAX($C1877,BR1876)))</f>
        <v>0</v>
      </c>
      <c r="BS1877">
        <f>IF($A1877="","",IF(BO1877=1,$D1877,MIN($D1877,BS1876)))</f>
        <v>0</v>
      </c>
      <c r="BT1877">
        <f>IF($A1877="","",IF(BP1877=1,F1877,""))</f>
        <v>0</v>
      </c>
    </row>
    <row r="1878" spans="1:72">
      <c r="A1878" s="27">
        <f>IF(Data!$A1878="","",Data!$A1878)</f>
        <v>0</v>
      </c>
      <c r="B1878">
        <f>IF(Data!$B1878="","",Data!$B1878)</f>
        <v>0</v>
      </c>
      <c r="C1878">
        <f>IF(Data!$C1878="","",Data!$C1878)</f>
        <v>0</v>
      </c>
      <c r="D1878">
        <f>IF(Data!$D1878="","",Data!$D1878)</f>
        <v>0</v>
      </c>
      <c r="E1878">
        <f>IF(Data!$E1878="","",Data!$E1878)</f>
        <v>0</v>
      </c>
      <c r="F1878">
        <f>IF($E1878="","",N(F1877)+1)</f>
        <v>0</v>
      </c>
      <c r="G1878">
        <f>IF(OR($E1878="",$E1877=""),"",LN($E1878/$E1877))</f>
        <v>0</v>
      </c>
      <c r="H1878">
        <f>IF($E1878="","",IF($E1877="",$E1878,$E1878*0.0952380952+H1877*0.9047619048))</f>
        <v>0</v>
      </c>
      <c r="I1878">
        <f>IF($E1878="","",IF($E1877="",$E1878,$E1878*0.0392156863+I1877*0.9607843137))</f>
        <v>0</v>
      </c>
      <c r="J1878">
        <f>IF($E1878="","",IF($E1877="",$E1878,$E1878*0.0198019802+J1877*0.9801980198))</f>
        <v>0</v>
      </c>
      <c r="K1878">
        <f>IF($E1878="","",IF($E1877="",$E1878,$E1878*0.0099502488+K1877*0.9900497512))</f>
        <v>0</v>
      </c>
      <c r="L1878">
        <f>IF(OR($E1878="",$E1877=""),"",MAX($E1878-$E1877,0))</f>
        <v>0</v>
      </c>
      <c r="M1878">
        <f>IF(OR($E1878="",$E1877=""),"",MAX($E1877-$E1878,0))</f>
        <v>0</v>
      </c>
      <c r="N1878">
        <f>IF(COUNT($E$2:$E1878)&lt;15,"",IF(AVERAGE($M$1865:$M$1878)=0,100,100-100/(1+AVERAGE($L$1865:$L$1878)/AVERAGE($M$1865:$M$1878))))</f>
        <v>0</v>
      </c>
      <c r="O1878">
        <f>IF($E1878="","",IF($E1877="",$E1878,$E1878*0.1538461538+O1877*0.8461538462))</f>
        <v>0</v>
      </c>
      <c r="P1878">
        <f>IF($E1878="","",IF($E1877="",$E1878,$E1878*0.0740740741+P1877*0.9259259259))</f>
        <v>0</v>
      </c>
      <c r="Q1878">
        <f>IF(OR(O1878="",P1878=""),"",O1878-P1878)</f>
        <v>0</v>
      </c>
      <c r="R1878">
        <f>IF(Q1878="","",IF(R1877="",Q1878,Q1878*0.2000000000+R1877*0.8000000000))</f>
        <v>0</v>
      </c>
      <c r="S1878">
        <f>IF(OR(Q1878="",R1878=""),"",Q1878-R1878)</f>
        <v>0</v>
      </c>
      <c r="T1878">
        <f>IF(COUNT($E$2:$E1878)&lt;14,"",MAX($C$1865:$C$1878))</f>
        <v>0</v>
      </c>
      <c r="U1878">
        <f>IF(COUNT($E$2:$E1878)&lt;14,"",MIN($D$1865:$D$1878))</f>
        <v>0</v>
      </c>
      <c r="V1878">
        <f>IF(OR(T1878="",U1878="",T1878=U1878),"",100*($E1878-U1878)/(T1878-U1878))</f>
        <v>0</v>
      </c>
      <c r="W1878">
        <f>IF(COUNT($V$1876:$V$1878)&lt;3,"",AVERAGE($V$1876:$V$1878))</f>
        <v>0</v>
      </c>
      <c r="X1878">
        <f>IF(COUNT($N$1865:$N$1878)&lt;14,"",MIN($N$1865:$N$1878))</f>
        <v>0</v>
      </c>
      <c r="Y1878">
        <f>IF(COUNT($N$1865:$N$1878)&lt;14,"",MAX($N$1865:$N$1878))</f>
        <v>0</v>
      </c>
      <c r="Z1878">
        <f>IF(OR(N1878="",X1878="",Y1878="",Y1878=X1878),"",100*(N1878-X1878)/(Y1878-X1878))</f>
        <v>0</v>
      </c>
      <c r="AA1878">
        <f>IF(COUNT($Z$1876:$Z$1878)&lt;3,"",AVERAGE($Z$1876:$Z$1878))</f>
        <v>0</v>
      </c>
      <c r="AB1878">
        <f>IF(COUNT($AA$1876:$AA$1878)&lt;3,"",AVERAGE($AA$1876:$AA$1878))</f>
        <v>0</v>
      </c>
      <c r="AC1878">
        <f>IF($E1878="","",MAX($C1878-$D1878,ABS($C1878-$E1877),ABS($D1878-$E1877)))</f>
        <v>0</v>
      </c>
      <c r="AD1878">
        <f>IF(COUNT($E$2:$E1878)&lt;15,"",AVERAGE($AC$1865:$AC$1878))</f>
        <v>0</v>
      </c>
      <c r="AE1878">
        <f>IF(OR($E1878="",$E1877=""),"",IF(AND(($C1878-$C1877)&gt;($D1877-$D1878),($C1878-$C1877)&gt;0),$C1878-$C1877,0))</f>
        <v>0</v>
      </c>
      <c r="AF1878">
        <f>IF(OR($E1878="",$E1877=""),"",IF(AND(($D1877-$D1878)&gt;($C1878-$C1877),($D1877-$D1878)&gt;0),$D1877-$D1878,0))</f>
        <v>0</v>
      </c>
      <c r="AG1878">
        <f>IF(COUNT($E$2:$E1878)&lt;15,"",IF(SUM($AC$1865:$AC$1878)=0,0,100*SUM($AE$1865:$AE$1878)/SUM($AC$1865:$AC$1878)))</f>
        <v>0</v>
      </c>
      <c r="AH1878">
        <f>IF(COUNT($E$2:$E1878)&lt;15,"",IF(SUM($AC$1865:$AC$1878)=0,0,100*SUM($AF$1865:$AF$1878)/SUM($AC$1865:$AC$1878)))</f>
        <v>0</v>
      </c>
      <c r="AI1878">
        <f>IF(OR(AG1878="",AH1878=""),"",IF((AG1878+AH1878)=0,0,100*ABS(AG1878-AH1878)/(AG1878+AH1878)))</f>
        <v>0</v>
      </c>
      <c r="AJ1878">
        <f>IF(COUNT($AI$1865:$AI$1878)&lt;14,"",AVERAGE($AI$1865:$AI$1878))</f>
        <v>0</v>
      </c>
      <c r="AK1878">
        <f>IF(COUNT($E$2:$E1878)&lt;20,"",AVERAGE($E$1859:$E$1878))</f>
        <v>0</v>
      </c>
      <c r="AL1878">
        <f>IF(COUNT($E$2:$E1878)&lt;20,"",STDEVP($E$1859:$E$1878))</f>
        <v>0</v>
      </c>
      <c r="AM1878">
        <f>IF(AK1878="","",AK1878+2*AL1878)</f>
        <v>0</v>
      </c>
      <c r="AN1878">
        <f>IF(AK1878="","",AK1878-2*AL1878)</f>
        <v>0</v>
      </c>
      <c r="AO1878">
        <f>IF(OR(AM1878="",AN1878="",AM1878=AN1878),"",($E1878-AN1878)/(AM1878-AN1878))</f>
        <v>0</v>
      </c>
      <c r="AP1878">
        <f>IF(OR(AM1878="",AK1878="",AK1878=0),"",(AM1878-AN1878)/AK1878)</f>
        <v>0</v>
      </c>
      <c r="AQ1878">
        <f>IF(COUNT($E$2:$E1878)&lt;20,"",MAX($C$1859:$C$1878))</f>
        <v>0</v>
      </c>
      <c r="AR1878">
        <f>IF(COUNT($E$2:$E1878)&lt;20,"",MIN($D$1859:$D$1878))</f>
        <v>0</v>
      </c>
      <c r="AS1878">
        <f>IF(OR(AQ1878="",AR1878=""),"",(AQ1878+AR1878)/2)</f>
        <v>0</v>
      </c>
      <c r="AT1878">
        <f>IF(COUNT($G$1859:$G$1878)&lt;20,"",STDEV($G$1859:$G$1878)*SQRT(252))</f>
        <v>0</v>
      </c>
      <c r="AU1878">
        <f>IF(COUNT($E$2:$E1878)&lt;9,"",(MAX($C$1870:$C$1878)+MIN($D$1870:$D$1878))/2)</f>
        <v>0</v>
      </c>
      <c r="AV1878">
        <f>IF(COUNT($E$2:$E1878)&lt;26,"",(MAX($C$1853:$C$1878)+MIN($D$1853:$D$1878))/2)</f>
        <v>0</v>
      </c>
      <c r="AW1878">
        <f>IF(OR(AU1878="",AV1878=""),"",(AU1878+AV1878)/2)</f>
        <v>0</v>
      </c>
      <c r="AX1878">
        <f>IF(COUNT($E$2:$E1878)&lt;52,"",(MAX($C$1827:$C$1878)+MIN($D$1827:$D$1878))/2)</f>
        <v>0</v>
      </c>
      <c r="AY1878">
        <f>IF(COUNT($E$2:$E1878)&lt;20,"",MAX($C$1779:$C$1878))</f>
        <v>0</v>
      </c>
      <c r="AZ1878">
        <f>IF(COUNT($E$2:$E1878)&lt;20,"",MIN($D$1779:$D$1878))</f>
        <v>0</v>
      </c>
      <c r="BA1878">
        <f>IF(COUNT($E$2:$E1878)&lt;20,"",SLOPE($E$1779:$E$1878,$F$1779:$F$1878))</f>
        <v>0</v>
      </c>
      <c r="BB1878">
        <f>IF(COUNT($E$2:$E1878)&lt;20,"",INTERCEPT($E$1779:$E$1878,$F$1779:$F$1878))</f>
        <v>0</v>
      </c>
      <c r="BC1878">
        <f>IF(OR(BA1878="",BB1878=""),"",BB1878+BA1878*F1878)</f>
        <v>0</v>
      </c>
      <c r="BD1878">
        <f>IF(COUNT($E$2:$E1878)&lt;20,"",STEYX($E$1779:$E$1878,$F$1779:$F$1878))</f>
        <v>0</v>
      </c>
      <c r="BE1878">
        <f>IF($E1878="","",IF(AND(COUNT($E$1879:$E$1882)&gt;=4,$C1878=MAX($C$1874:$C$1882)),$C1878,""))</f>
        <v>0</v>
      </c>
      <c r="BF1878">
        <f>IF($E1878="","",IF(AND(COUNT($E$1879:$E$1882)&gt;=4,$D1878=MIN($D$1874:$D$1882)),$D1878,""))</f>
        <v>0</v>
      </c>
      <c r="BG1878">
        <f>IF($A1878="","",$A1878-WEEKDAY($A1878,2)+1)</f>
        <v>0</v>
      </c>
      <c r="BH1878">
        <f>IF($A1878="","",IF($A1877="",1,IF(BG1878&lt;&gt;BG1877,1,0)))</f>
        <v>0</v>
      </c>
      <c r="BI1878">
        <f>IF($A1878="","",IF($A1879="",1,IF(BG1879&lt;&gt;BG1878,1,0)))</f>
        <v>0</v>
      </c>
      <c r="BJ1878">
        <f>IF($A1878="","",IF(BH1878=1,$B1878,BJ1877))</f>
        <v>0</v>
      </c>
      <c r="BK1878">
        <f>IF($A1878="","",IF(BH1878=1,$C1878,MAX($C1878,BK1877)))</f>
        <v>0</v>
      </c>
      <c r="BL1878">
        <f>IF($A1878="","",IF(BH1878=1,$D1878,MIN($D1878,BL1877)))</f>
        <v>0</v>
      </c>
      <c r="BM1878">
        <f>IF($A1878="","",IF(BI1878=1,F1878,""))</f>
        <v>0</v>
      </c>
      <c r="BN1878">
        <f>IF($A1878="","",DATE(YEAR($A1878),MONTH($A1878),1))</f>
        <v>0</v>
      </c>
      <c r="BO1878">
        <f>IF($A1878="","",IF($A1877="",1,IF(BN1878&lt;&gt;BN1877,1,0)))</f>
        <v>0</v>
      </c>
      <c r="BP1878">
        <f>IF($A1878="","",IF($A1879="",1,IF(BN1879&lt;&gt;BN1878,1,0)))</f>
        <v>0</v>
      </c>
      <c r="BQ1878">
        <f>IF($A1878="","",IF(BO1878=1,$B1878,BQ1877))</f>
        <v>0</v>
      </c>
      <c r="BR1878">
        <f>IF($A1878="","",IF(BO1878=1,$C1878,MAX($C1878,BR1877)))</f>
        <v>0</v>
      </c>
      <c r="BS1878">
        <f>IF($A1878="","",IF(BO1878=1,$D1878,MIN($D1878,BS1877)))</f>
        <v>0</v>
      </c>
      <c r="BT1878">
        <f>IF($A1878="","",IF(BP1878=1,F1878,""))</f>
        <v>0</v>
      </c>
    </row>
    <row r="1879" spans="1:72">
      <c r="A1879" s="27">
        <f>IF(Data!$A1879="","",Data!$A1879)</f>
        <v>0</v>
      </c>
      <c r="B1879">
        <f>IF(Data!$B1879="","",Data!$B1879)</f>
        <v>0</v>
      </c>
      <c r="C1879">
        <f>IF(Data!$C1879="","",Data!$C1879)</f>
        <v>0</v>
      </c>
      <c r="D1879">
        <f>IF(Data!$D1879="","",Data!$D1879)</f>
        <v>0</v>
      </c>
      <c r="E1879">
        <f>IF(Data!$E1879="","",Data!$E1879)</f>
        <v>0</v>
      </c>
      <c r="F1879">
        <f>IF($E1879="","",N(F1878)+1)</f>
        <v>0</v>
      </c>
      <c r="G1879">
        <f>IF(OR($E1879="",$E1878=""),"",LN($E1879/$E1878))</f>
        <v>0</v>
      </c>
      <c r="H1879">
        <f>IF($E1879="","",IF($E1878="",$E1879,$E1879*0.0952380952+H1878*0.9047619048))</f>
        <v>0</v>
      </c>
      <c r="I1879">
        <f>IF($E1879="","",IF($E1878="",$E1879,$E1879*0.0392156863+I1878*0.9607843137))</f>
        <v>0</v>
      </c>
      <c r="J1879">
        <f>IF($E1879="","",IF($E1878="",$E1879,$E1879*0.0198019802+J1878*0.9801980198))</f>
        <v>0</v>
      </c>
      <c r="K1879">
        <f>IF($E1879="","",IF($E1878="",$E1879,$E1879*0.0099502488+K1878*0.9900497512))</f>
        <v>0</v>
      </c>
      <c r="L1879">
        <f>IF(OR($E1879="",$E1878=""),"",MAX($E1879-$E1878,0))</f>
        <v>0</v>
      </c>
      <c r="M1879">
        <f>IF(OR($E1879="",$E1878=""),"",MAX($E1878-$E1879,0))</f>
        <v>0</v>
      </c>
      <c r="N1879">
        <f>IF(COUNT($E$2:$E1879)&lt;15,"",IF(AVERAGE($M$1866:$M$1879)=0,100,100-100/(1+AVERAGE($L$1866:$L$1879)/AVERAGE($M$1866:$M$1879))))</f>
        <v>0</v>
      </c>
      <c r="O1879">
        <f>IF($E1879="","",IF($E1878="",$E1879,$E1879*0.1538461538+O1878*0.8461538462))</f>
        <v>0</v>
      </c>
      <c r="P1879">
        <f>IF($E1879="","",IF($E1878="",$E1879,$E1879*0.0740740741+P1878*0.9259259259))</f>
        <v>0</v>
      </c>
      <c r="Q1879">
        <f>IF(OR(O1879="",P1879=""),"",O1879-P1879)</f>
        <v>0</v>
      </c>
      <c r="R1879">
        <f>IF(Q1879="","",IF(R1878="",Q1879,Q1879*0.2000000000+R1878*0.8000000000))</f>
        <v>0</v>
      </c>
      <c r="S1879">
        <f>IF(OR(Q1879="",R1879=""),"",Q1879-R1879)</f>
        <v>0</v>
      </c>
      <c r="T1879">
        <f>IF(COUNT($E$2:$E1879)&lt;14,"",MAX($C$1866:$C$1879))</f>
        <v>0</v>
      </c>
      <c r="U1879">
        <f>IF(COUNT($E$2:$E1879)&lt;14,"",MIN($D$1866:$D$1879))</f>
        <v>0</v>
      </c>
      <c r="V1879">
        <f>IF(OR(T1879="",U1879="",T1879=U1879),"",100*($E1879-U1879)/(T1879-U1879))</f>
        <v>0</v>
      </c>
      <c r="W1879">
        <f>IF(COUNT($V$1877:$V$1879)&lt;3,"",AVERAGE($V$1877:$V$1879))</f>
        <v>0</v>
      </c>
      <c r="X1879">
        <f>IF(COUNT($N$1866:$N$1879)&lt;14,"",MIN($N$1866:$N$1879))</f>
        <v>0</v>
      </c>
      <c r="Y1879">
        <f>IF(COUNT($N$1866:$N$1879)&lt;14,"",MAX($N$1866:$N$1879))</f>
        <v>0</v>
      </c>
      <c r="Z1879">
        <f>IF(OR(N1879="",X1879="",Y1879="",Y1879=X1879),"",100*(N1879-X1879)/(Y1879-X1879))</f>
        <v>0</v>
      </c>
      <c r="AA1879">
        <f>IF(COUNT($Z$1877:$Z$1879)&lt;3,"",AVERAGE($Z$1877:$Z$1879))</f>
        <v>0</v>
      </c>
      <c r="AB1879">
        <f>IF(COUNT($AA$1877:$AA$1879)&lt;3,"",AVERAGE($AA$1877:$AA$1879))</f>
        <v>0</v>
      </c>
      <c r="AC1879">
        <f>IF($E1879="","",MAX($C1879-$D1879,ABS($C1879-$E1878),ABS($D1879-$E1878)))</f>
        <v>0</v>
      </c>
      <c r="AD1879">
        <f>IF(COUNT($E$2:$E1879)&lt;15,"",AVERAGE($AC$1866:$AC$1879))</f>
        <v>0</v>
      </c>
      <c r="AE1879">
        <f>IF(OR($E1879="",$E1878=""),"",IF(AND(($C1879-$C1878)&gt;($D1878-$D1879),($C1879-$C1878)&gt;0),$C1879-$C1878,0))</f>
        <v>0</v>
      </c>
      <c r="AF1879">
        <f>IF(OR($E1879="",$E1878=""),"",IF(AND(($D1878-$D1879)&gt;($C1879-$C1878),($D1878-$D1879)&gt;0),$D1878-$D1879,0))</f>
        <v>0</v>
      </c>
      <c r="AG1879">
        <f>IF(COUNT($E$2:$E1879)&lt;15,"",IF(SUM($AC$1866:$AC$1879)=0,0,100*SUM($AE$1866:$AE$1879)/SUM($AC$1866:$AC$1879)))</f>
        <v>0</v>
      </c>
      <c r="AH1879">
        <f>IF(COUNT($E$2:$E1879)&lt;15,"",IF(SUM($AC$1866:$AC$1879)=0,0,100*SUM($AF$1866:$AF$1879)/SUM($AC$1866:$AC$1879)))</f>
        <v>0</v>
      </c>
      <c r="AI1879">
        <f>IF(OR(AG1879="",AH1879=""),"",IF((AG1879+AH1879)=0,0,100*ABS(AG1879-AH1879)/(AG1879+AH1879)))</f>
        <v>0</v>
      </c>
      <c r="AJ1879">
        <f>IF(COUNT($AI$1866:$AI$1879)&lt;14,"",AVERAGE($AI$1866:$AI$1879))</f>
        <v>0</v>
      </c>
      <c r="AK1879">
        <f>IF(COUNT($E$2:$E1879)&lt;20,"",AVERAGE($E$1860:$E$1879))</f>
        <v>0</v>
      </c>
      <c r="AL1879">
        <f>IF(COUNT($E$2:$E1879)&lt;20,"",STDEVP($E$1860:$E$1879))</f>
        <v>0</v>
      </c>
      <c r="AM1879">
        <f>IF(AK1879="","",AK1879+2*AL1879)</f>
        <v>0</v>
      </c>
      <c r="AN1879">
        <f>IF(AK1879="","",AK1879-2*AL1879)</f>
        <v>0</v>
      </c>
      <c r="AO1879">
        <f>IF(OR(AM1879="",AN1879="",AM1879=AN1879),"",($E1879-AN1879)/(AM1879-AN1879))</f>
        <v>0</v>
      </c>
      <c r="AP1879">
        <f>IF(OR(AM1879="",AK1879="",AK1879=0),"",(AM1879-AN1879)/AK1879)</f>
        <v>0</v>
      </c>
      <c r="AQ1879">
        <f>IF(COUNT($E$2:$E1879)&lt;20,"",MAX($C$1860:$C$1879))</f>
        <v>0</v>
      </c>
      <c r="AR1879">
        <f>IF(COUNT($E$2:$E1879)&lt;20,"",MIN($D$1860:$D$1879))</f>
        <v>0</v>
      </c>
      <c r="AS1879">
        <f>IF(OR(AQ1879="",AR1879=""),"",(AQ1879+AR1879)/2)</f>
        <v>0</v>
      </c>
      <c r="AT1879">
        <f>IF(COUNT($G$1860:$G$1879)&lt;20,"",STDEV($G$1860:$G$1879)*SQRT(252))</f>
        <v>0</v>
      </c>
      <c r="AU1879">
        <f>IF(COUNT($E$2:$E1879)&lt;9,"",(MAX($C$1871:$C$1879)+MIN($D$1871:$D$1879))/2)</f>
        <v>0</v>
      </c>
      <c r="AV1879">
        <f>IF(COUNT($E$2:$E1879)&lt;26,"",(MAX($C$1854:$C$1879)+MIN($D$1854:$D$1879))/2)</f>
        <v>0</v>
      </c>
      <c r="AW1879">
        <f>IF(OR(AU1879="",AV1879=""),"",(AU1879+AV1879)/2)</f>
        <v>0</v>
      </c>
      <c r="AX1879">
        <f>IF(COUNT($E$2:$E1879)&lt;52,"",(MAX($C$1828:$C$1879)+MIN($D$1828:$D$1879))/2)</f>
        <v>0</v>
      </c>
      <c r="AY1879">
        <f>IF(COUNT($E$2:$E1879)&lt;20,"",MAX($C$1780:$C$1879))</f>
        <v>0</v>
      </c>
      <c r="AZ1879">
        <f>IF(COUNT($E$2:$E1879)&lt;20,"",MIN($D$1780:$D$1879))</f>
        <v>0</v>
      </c>
      <c r="BA1879">
        <f>IF(COUNT($E$2:$E1879)&lt;20,"",SLOPE($E$1780:$E$1879,$F$1780:$F$1879))</f>
        <v>0</v>
      </c>
      <c r="BB1879">
        <f>IF(COUNT($E$2:$E1879)&lt;20,"",INTERCEPT($E$1780:$E$1879,$F$1780:$F$1879))</f>
        <v>0</v>
      </c>
      <c r="BC1879">
        <f>IF(OR(BA1879="",BB1879=""),"",BB1879+BA1879*F1879)</f>
        <v>0</v>
      </c>
      <c r="BD1879">
        <f>IF(COUNT($E$2:$E1879)&lt;20,"",STEYX($E$1780:$E$1879,$F$1780:$F$1879))</f>
        <v>0</v>
      </c>
      <c r="BE1879">
        <f>IF($E1879="","",IF(AND(COUNT($E$1880:$E$1883)&gt;=4,$C1879=MAX($C$1875:$C$1883)),$C1879,""))</f>
        <v>0</v>
      </c>
      <c r="BF1879">
        <f>IF($E1879="","",IF(AND(COUNT($E$1880:$E$1883)&gt;=4,$D1879=MIN($D$1875:$D$1883)),$D1879,""))</f>
        <v>0</v>
      </c>
      <c r="BG1879">
        <f>IF($A1879="","",$A1879-WEEKDAY($A1879,2)+1)</f>
        <v>0</v>
      </c>
      <c r="BH1879">
        <f>IF($A1879="","",IF($A1878="",1,IF(BG1879&lt;&gt;BG1878,1,0)))</f>
        <v>0</v>
      </c>
      <c r="BI1879">
        <f>IF($A1879="","",IF($A1880="",1,IF(BG1880&lt;&gt;BG1879,1,0)))</f>
        <v>0</v>
      </c>
      <c r="BJ1879">
        <f>IF($A1879="","",IF(BH1879=1,$B1879,BJ1878))</f>
        <v>0</v>
      </c>
      <c r="BK1879">
        <f>IF($A1879="","",IF(BH1879=1,$C1879,MAX($C1879,BK1878)))</f>
        <v>0</v>
      </c>
      <c r="BL1879">
        <f>IF($A1879="","",IF(BH1879=1,$D1879,MIN($D1879,BL1878)))</f>
        <v>0</v>
      </c>
      <c r="BM1879">
        <f>IF($A1879="","",IF(BI1879=1,F1879,""))</f>
        <v>0</v>
      </c>
      <c r="BN1879">
        <f>IF($A1879="","",DATE(YEAR($A1879),MONTH($A1879),1))</f>
        <v>0</v>
      </c>
      <c r="BO1879">
        <f>IF($A1879="","",IF($A1878="",1,IF(BN1879&lt;&gt;BN1878,1,0)))</f>
        <v>0</v>
      </c>
      <c r="BP1879">
        <f>IF($A1879="","",IF($A1880="",1,IF(BN1880&lt;&gt;BN1879,1,0)))</f>
        <v>0</v>
      </c>
      <c r="BQ1879">
        <f>IF($A1879="","",IF(BO1879=1,$B1879,BQ1878))</f>
        <v>0</v>
      </c>
      <c r="BR1879">
        <f>IF($A1879="","",IF(BO1879=1,$C1879,MAX($C1879,BR1878)))</f>
        <v>0</v>
      </c>
      <c r="BS1879">
        <f>IF($A1879="","",IF(BO1879=1,$D1879,MIN($D1879,BS1878)))</f>
        <v>0</v>
      </c>
      <c r="BT1879">
        <f>IF($A1879="","",IF(BP1879=1,F1879,""))</f>
        <v>0</v>
      </c>
    </row>
    <row r="1880" spans="1:72">
      <c r="A1880" s="27">
        <f>IF(Data!$A1880="","",Data!$A1880)</f>
        <v>0</v>
      </c>
      <c r="B1880">
        <f>IF(Data!$B1880="","",Data!$B1880)</f>
        <v>0</v>
      </c>
      <c r="C1880">
        <f>IF(Data!$C1880="","",Data!$C1880)</f>
        <v>0</v>
      </c>
      <c r="D1880">
        <f>IF(Data!$D1880="","",Data!$D1880)</f>
        <v>0</v>
      </c>
      <c r="E1880">
        <f>IF(Data!$E1880="","",Data!$E1880)</f>
        <v>0</v>
      </c>
      <c r="F1880">
        <f>IF($E1880="","",N(F1879)+1)</f>
        <v>0</v>
      </c>
      <c r="G1880">
        <f>IF(OR($E1880="",$E1879=""),"",LN($E1880/$E1879))</f>
        <v>0</v>
      </c>
      <c r="H1880">
        <f>IF($E1880="","",IF($E1879="",$E1880,$E1880*0.0952380952+H1879*0.9047619048))</f>
        <v>0</v>
      </c>
      <c r="I1880">
        <f>IF($E1880="","",IF($E1879="",$E1880,$E1880*0.0392156863+I1879*0.9607843137))</f>
        <v>0</v>
      </c>
      <c r="J1880">
        <f>IF($E1880="","",IF($E1879="",$E1880,$E1880*0.0198019802+J1879*0.9801980198))</f>
        <v>0</v>
      </c>
      <c r="K1880">
        <f>IF($E1880="","",IF($E1879="",$E1880,$E1880*0.0099502488+K1879*0.9900497512))</f>
        <v>0</v>
      </c>
      <c r="L1880">
        <f>IF(OR($E1880="",$E1879=""),"",MAX($E1880-$E1879,0))</f>
        <v>0</v>
      </c>
      <c r="M1880">
        <f>IF(OR($E1880="",$E1879=""),"",MAX($E1879-$E1880,0))</f>
        <v>0</v>
      </c>
      <c r="N1880">
        <f>IF(COUNT($E$2:$E1880)&lt;15,"",IF(AVERAGE($M$1867:$M$1880)=0,100,100-100/(1+AVERAGE($L$1867:$L$1880)/AVERAGE($M$1867:$M$1880))))</f>
        <v>0</v>
      </c>
      <c r="O1880">
        <f>IF($E1880="","",IF($E1879="",$E1880,$E1880*0.1538461538+O1879*0.8461538462))</f>
        <v>0</v>
      </c>
      <c r="P1880">
        <f>IF($E1880="","",IF($E1879="",$E1880,$E1880*0.0740740741+P1879*0.9259259259))</f>
        <v>0</v>
      </c>
      <c r="Q1880">
        <f>IF(OR(O1880="",P1880=""),"",O1880-P1880)</f>
        <v>0</v>
      </c>
      <c r="R1880">
        <f>IF(Q1880="","",IF(R1879="",Q1880,Q1880*0.2000000000+R1879*0.8000000000))</f>
        <v>0</v>
      </c>
      <c r="S1880">
        <f>IF(OR(Q1880="",R1880=""),"",Q1880-R1880)</f>
        <v>0</v>
      </c>
      <c r="T1880">
        <f>IF(COUNT($E$2:$E1880)&lt;14,"",MAX($C$1867:$C$1880))</f>
        <v>0</v>
      </c>
      <c r="U1880">
        <f>IF(COUNT($E$2:$E1880)&lt;14,"",MIN($D$1867:$D$1880))</f>
        <v>0</v>
      </c>
      <c r="V1880">
        <f>IF(OR(T1880="",U1880="",T1880=U1880),"",100*($E1880-U1880)/(T1880-U1880))</f>
        <v>0</v>
      </c>
      <c r="W1880">
        <f>IF(COUNT($V$1878:$V$1880)&lt;3,"",AVERAGE($V$1878:$V$1880))</f>
        <v>0</v>
      </c>
      <c r="X1880">
        <f>IF(COUNT($N$1867:$N$1880)&lt;14,"",MIN($N$1867:$N$1880))</f>
        <v>0</v>
      </c>
      <c r="Y1880">
        <f>IF(COUNT($N$1867:$N$1880)&lt;14,"",MAX($N$1867:$N$1880))</f>
        <v>0</v>
      </c>
      <c r="Z1880">
        <f>IF(OR(N1880="",X1880="",Y1880="",Y1880=X1880),"",100*(N1880-X1880)/(Y1880-X1880))</f>
        <v>0</v>
      </c>
      <c r="AA1880">
        <f>IF(COUNT($Z$1878:$Z$1880)&lt;3,"",AVERAGE($Z$1878:$Z$1880))</f>
        <v>0</v>
      </c>
      <c r="AB1880">
        <f>IF(COUNT($AA$1878:$AA$1880)&lt;3,"",AVERAGE($AA$1878:$AA$1880))</f>
        <v>0</v>
      </c>
      <c r="AC1880">
        <f>IF($E1880="","",MAX($C1880-$D1880,ABS($C1880-$E1879),ABS($D1880-$E1879)))</f>
        <v>0</v>
      </c>
      <c r="AD1880">
        <f>IF(COUNT($E$2:$E1880)&lt;15,"",AVERAGE($AC$1867:$AC$1880))</f>
        <v>0</v>
      </c>
      <c r="AE1880">
        <f>IF(OR($E1880="",$E1879=""),"",IF(AND(($C1880-$C1879)&gt;($D1879-$D1880),($C1880-$C1879)&gt;0),$C1880-$C1879,0))</f>
        <v>0</v>
      </c>
      <c r="AF1880">
        <f>IF(OR($E1880="",$E1879=""),"",IF(AND(($D1879-$D1880)&gt;($C1880-$C1879),($D1879-$D1880)&gt;0),$D1879-$D1880,0))</f>
        <v>0</v>
      </c>
      <c r="AG1880">
        <f>IF(COUNT($E$2:$E1880)&lt;15,"",IF(SUM($AC$1867:$AC$1880)=0,0,100*SUM($AE$1867:$AE$1880)/SUM($AC$1867:$AC$1880)))</f>
        <v>0</v>
      </c>
      <c r="AH1880">
        <f>IF(COUNT($E$2:$E1880)&lt;15,"",IF(SUM($AC$1867:$AC$1880)=0,0,100*SUM($AF$1867:$AF$1880)/SUM($AC$1867:$AC$1880)))</f>
        <v>0</v>
      </c>
      <c r="AI1880">
        <f>IF(OR(AG1880="",AH1880=""),"",IF((AG1880+AH1880)=0,0,100*ABS(AG1880-AH1880)/(AG1880+AH1880)))</f>
        <v>0</v>
      </c>
      <c r="AJ1880">
        <f>IF(COUNT($AI$1867:$AI$1880)&lt;14,"",AVERAGE($AI$1867:$AI$1880))</f>
        <v>0</v>
      </c>
      <c r="AK1880">
        <f>IF(COUNT($E$2:$E1880)&lt;20,"",AVERAGE($E$1861:$E$1880))</f>
        <v>0</v>
      </c>
      <c r="AL1880">
        <f>IF(COUNT($E$2:$E1880)&lt;20,"",STDEVP($E$1861:$E$1880))</f>
        <v>0</v>
      </c>
      <c r="AM1880">
        <f>IF(AK1880="","",AK1880+2*AL1880)</f>
        <v>0</v>
      </c>
      <c r="AN1880">
        <f>IF(AK1880="","",AK1880-2*AL1880)</f>
        <v>0</v>
      </c>
      <c r="AO1880">
        <f>IF(OR(AM1880="",AN1880="",AM1880=AN1880),"",($E1880-AN1880)/(AM1880-AN1880))</f>
        <v>0</v>
      </c>
      <c r="AP1880">
        <f>IF(OR(AM1880="",AK1880="",AK1880=0),"",(AM1880-AN1880)/AK1880)</f>
        <v>0</v>
      </c>
      <c r="AQ1880">
        <f>IF(COUNT($E$2:$E1880)&lt;20,"",MAX($C$1861:$C$1880))</f>
        <v>0</v>
      </c>
      <c r="AR1880">
        <f>IF(COUNT($E$2:$E1880)&lt;20,"",MIN($D$1861:$D$1880))</f>
        <v>0</v>
      </c>
      <c r="AS1880">
        <f>IF(OR(AQ1880="",AR1880=""),"",(AQ1880+AR1880)/2)</f>
        <v>0</v>
      </c>
      <c r="AT1880">
        <f>IF(COUNT($G$1861:$G$1880)&lt;20,"",STDEV($G$1861:$G$1880)*SQRT(252))</f>
        <v>0</v>
      </c>
      <c r="AU1880">
        <f>IF(COUNT($E$2:$E1880)&lt;9,"",(MAX($C$1872:$C$1880)+MIN($D$1872:$D$1880))/2)</f>
        <v>0</v>
      </c>
      <c r="AV1880">
        <f>IF(COUNT($E$2:$E1880)&lt;26,"",(MAX($C$1855:$C$1880)+MIN($D$1855:$D$1880))/2)</f>
        <v>0</v>
      </c>
      <c r="AW1880">
        <f>IF(OR(AU1880="",AV1880=""),"",(AU1880+AV1880)/2)</f>
        <v>0</v>
      </c>
      <c r="AX1880">
        <f>IF(COUNT($E$2:$E1880)&lt;52,"",(MAX($C$1829:$C$1880)+MIN($D$1829:$D$1880))/2)</f>
        <v>0</v>
      </c>
      <c r="AY1880">
        <f>IF(COUNT($E$2:$E1880)&lt;20,"",MAX($C$1781:$C$1880))</f>
        <v>0</v>
      </c>
      <c r="AZ1880">
        <f>IF(COUNT($E$2:$E1880)&lt;20,"",MIN($D$1781:$D$1880))</f>
        <v>0</v>
      </c>
      <c r="BA1880">
        <f>IF(COUNT($E$2:$E1880)&lt;20,"",SLOPE($E$1781:$E$1880,$F$1781:$F$1880))</f>
        <v>0</v>
      </c>
      <c r="BB1880">
        <f>IF(COUNT($E$2:$E1880)&lt;20,"",INTERCEPT($E$1781:$E$1880,$F$1781:$F$1880))</f>
        <v>0</v>
      </c>
      <c r="BC1880">
        <f>IF(OR(BA1880="",BB1880=""),"",BB1880+BA1880*F1880)</f>
        <v>0</v>
      </c>
      <c r="BD1880">
        <f>IF(COUNT($E$2:$E1880)&lt;20,"",STEYX($E$1781:$E$1880,$F$1781:$F$1880))</f>
        <v>0</v>
      </c>
      <c r="BE1880">
        <f>IF($E1880="","",IF(AND(COUNT($E$1881:$E$1884)&gt;=4,$C1880=MAX($C$1876:$C$1884)),$C1880,""))</f>
        <v>0</v>
      </c>
      <c r="BF1880">
        <f>IF($E1880="","",IF(AND(COUNT($E$1881:$E$1884)&gt;=4,$D1880=MIN($D$1876:$D$1884)),$D1880,""))</f>
        <v>0</v>
      </c>
      <c r="BG1880">
        <f>IF($A1880="","",$A1880-WEEKDAY($A1880,2)+1)</f>
        <v>0</v>
      </c>
      <c r="BH1880">
        <f>IF($A1880="","",IF($A1879="",1,IF(BG1880&lt;&gt;BG1879,1,0)))</f>
        <v>0</v>
      </c>
      <c r="BI1880">
        <f>IF($A1880="","",IF($A1881="",1,IF(BG1881&lt;&gt;BG1880,1,0)))</f>
        <v>0</v>
      </c>
      <c r="BJ1880">
        <f>IF($A1880="","",IF(BH1880=1,$B1880,BJ1879))</f>
        <v>0</v>
      </c>
      <c r="BK1880">
        <f>IF($A1880="","",IF(BH1880=1,$C1880,MAX($C1880,BK1879)))</f>
        <v>0</v>
      </c>
      <c r="BL1880">
        <f>IF($A1880="","",IF(BH1880=1,$D1880,MIN($D1880,BL1879)))</f>
        <v>0</v>
      </c>
      <c r="BM1880">
        <f>IF($A1880="","",IF(BI1880=1,F1880,""))</f>
        <v>0</v>
      </c>
      <c r="BN1880">
        <f>IF($A1880="","",DATE(YEAR($A1880),MONTH($A1880),1))</f>
        <v>0</v>
      </c>
      <c r="BO1880">
        <f>IF($A1880="","",IF($A1879="",1,IF(BN1880&lt;&gt;BN1879,1,0)))</f>
        <v>0</v>
      </c>
      <c r="BP1880">
        <f>IF($A1880="","",IF($A1881="",1,IF(BN1881&lt;&gt;BN1880,1,0)))</f>
        <v>0</v>
      </c>
      <c r="BQ1880">
        <f>IF($A1880="","",IF(BO1880=1,$B1880,BQ1879))</f>
        <v>0</v>
      </c>
      <c r="BR1880">
        <f>IF($A1880="","",IF(BO1880=1,$C1880,MAX($C1880,BR1879)))</f>
        <v>0</v>
      </c>
      <c r="BS1880">
        <f>IF($A1880="","",IF(BO1880=1,$D1880,MIN($D1880,BS1879)))</f>
        <v>0</v>
      </c>
      <c r="BT1880">
        <f>IF($A1880="","",IF(BP1880=1,F1880,""))</f>
        <v>0</v>
      </c>
    </row>
    <row r="1881" spans="1:72">
      <c r="A1881" s="27">
        <f>IF(Data!$A1881="","",Data!$A1881)</f>
        <v>0</v>
      </c>
      <c r="B1881">
        <f>IF(Data!$B1881="","",Data!$B1881)</f>
        <v>0</v>
      </c>
      <c r="C1881">
        <f>IF(Data!$C1881="","",Data!$C1881)</f>
        <v>0</v>
      </c>
      <c r="D1881">
        <f>IF(Data!$D1881="","",Data!$D1881)</f>
        <v>0</v>
      </c>
      <c r="E1881">
        <f>IF(Data!$E1881="","",Data!$E1881)</f>
        <v>0</v>
      </c>
      <c r="F1881">
        <f>IF($E1881="","",N(F1880)+1)</f>
        <v>0</v>
      </c>
      <c r="G1881">
        <f>IF(OR($E1881="",$E1880=""),"",LN($E1881/$E1880))</f>
        <v>0</v>
      </c>
      <c r="H1881">
        <f>IF($E1881="","",IF($E1880="",$E1881,$E1881*0.0952380952+H1880*0.9047619048))</f>
        <v>0</v>
      </c>
      <c r="I1881">
        <f>IF($E1881="","",IF($E1880="",$E1881,$E1881*0.0392156863+I1880*0.9607843137))</f>
        <v>0</v>
      </c>
      <c r="J1881">
        <f>IF($E1881="","",IF($E1880="",$E1881,$E1881*0.0198019802+J1880*0.9801980198))</f>
        <v>0</v>
      </c>
      <c r="K1881">
        <f>IF($E1881="","",IF($E1880="",$E1881,$E1881*0.0099502488+K1880*0.9900497512))</f>
        <v>0</v>
      </c>
      <c r="L1881">
        <f>IF(OR($E1881="",$E1880=""),"",MAX($E1881-$E1880,0))</f>
        <v>0</v>
      </c>
      <c r="M1881">
        <f>IF(OR($E1881="",$E1880=""),"",MAX($E1880-$E1881,0))</f>
        <v>0</v>
      </c>
      <c r="N1881">
        <f>IF(COUNT($E$2:$E1881)&lt;15,"",IF(AVERAGE($M$1868:$M$1881)=0,100,100-100/(1+AVERAGE($L$1868:$L$1881)/AVERAGE($M$1868:$M$1881))))</f>
        <v>0</v>
      </c>
      <c r="O1881">
        <f>IF($E1881="","",IF($E1880="",$E1881,$E1881*0.1538461538+O1880*0.8461538462))</f>
        <v>0</v>
      </c>
      <c r="P1881">
        <f>IF($E1881="","",IF($E1880="",$E1881,$E1881*0.0740740741+P1880*0.9259259259))</f>
        <v>0</v>
      </c>
      <c r="Q1881">
        <f>IF(OR(O1881="",P1881=""),"",O1881-P1881)</f>
        <v>0</v>
      </c>
      <c r="R1881">
        <f>IF(Q1881="","",IF(R1880="",Q1881,Q1881*0.2000000000+R1880*0.8000000000))</f>
        <v>0</v>
      </c>
      <c r="S1881">
        <f>IF(OR(Q1881="",R1881=""),"",Q1881-R1881)</f>
        <v>0</v>
      </c>
      <c r="T1881">
        <f>IF(COUNT($E$2:$E1881)&lt;14,"",MAX($C$1868:$C$1881))</f>
        <v>0</v>
      </c>
      <c r="U1881">
        <f>IF(COUNT($E$2:$E1881)&lt;14,"",MIN($D$1868:$D$1881))</f>
        <v>0</v>
      </c>
      <c r="V1881">
        <f>IF(OR(T1881="",U1881="",T1881=U1881),"",100*($E1881-U1881)/(T1881-U1881))</f>
        <v>0</v>
      </c>
      <c r="W1881">
        <f>IF(COUNT($V$1879:$V$1881)&lt;3,"",AVERAGE($V$1879:$V$1881))</f>
        <v>0</v>
      </c>
      <c r="X1881">
        <f>IF(COUNT($N$1868:$N$1881)&lt;14,"",MIN($N$1868:$N$1881))</f>
        <v>0</v>
      </c>
      <c r="Y1881">
        <f>IF(COUNT($N$1868:$N$1881)&lt;14,"",MAX($N$1868:$N$1881))</f>
        <v>0</v>
      </c>
      <c r="Z1881">
        <f>IF(OR(N1881="",X1881="",Y1881="",Y1881=X1881),"",100*(N1881-X1881)/(Y1881-X1881))</f>
        <v>0</v>
      </c>
      <c r="AA1881">
        <f>IF(COUNT($Z$1879:$Z$1881)&lt;3,"",AVERAGE($Z$1879:$Z$1881))</f>
        <v>0</v>
      </c>
      <c r="AB1881">
        <f>IF(COUNT($AA$1879:$AA$1881)&lt;3,"",AVERAGE($AA$1879:$AA$1881))</f>
        <v>0</v>
      </c>
      <c r="AC1881">
        <f>IF($E1881="","",MAX($C1881-$D1881,ABS($C1881-$E1880),ABS($D1881-$E1880)))</f>
        <v>0</v>
      </c>
      <c r="AD1881">
        <f>IF(COUNT($E$2:$E1881)&lt;15,"",AVERAGE($AC$1868:$AC$1881))</f>
        <v>0</v>
      </c>
      <c r="AE1881">
        <f>IF(OR($E1881="",$E1880=""),"",IF(AND(($C1881-$C1880)&gt;($D1880-$D1881),($C1881-$C1880)&gt;0),$C1881-$C1880,0))</f>
        <v>0</v>
      </c>
      <c r="AF1881">
        <f>IF(OR($E1881="",$E1880=""),"",IF(AND(($D1880-$D1881)&gt;($C1881-$C1880),($D1880-$D1881)&gt;0),$D1880-$D1881,0))</f>
        <v>0</v>
      </c>
      <c r="AG1881">
        <f>IF(COUNT($E$2:$E1881)&lt;15,"",IF(SUM($AC$1868:$AC$1881)=0,0,100*SUM($AE$1868:$AE$1881)/SUM($AC$1868:$AC$1881)))</f>
        <v>0</v>
      </c>
      <c r="AH1881">
        <f>IF(COUNT($E$2:$E1881)&lt;15,"",IF(SUM($AC$1868:$AC$1881)=0,0,100*SUM($AF$1868:$AF$1881)/SUM($AC$1868:$AC$1881)))</f>
        <v>0</v>
      </c>
      <c r="AI1881">
        <f>IF(OR(AG1881="",AH1881=""),"",IF((AG1881+AH1881)=0,0,100*ABS(AG1881-AH1881)/(AG1881+AH1881)))</f>
        <v>0</v>
      </c>
      <c r="AJ1881">
        <f>IF(COUNT($AI$1868:$AI$1881)&lt;14,"",AVERAGE($AI$1868:$AI$1881))</f>
        <v>0</v>
      </c>
      <c r="AK1881">
        <f>IF(COUNT($E$2:$E1881)&lt;20,"",AVERAGE($E$1862:$E$1881))</f>
        <v>0</v>
      </c>
      <c r="AL1881">
        <f>IF(COUNT($E$2:$E1881)&lt;20,"",STDEVP($E$1862:$E$1881))</f>
        <v>0</v>
      </c>
      <c r="AM1881">
        <f>IF(AK1881="","",AK1881+2*AL1881)</f>
        <v>0</v>
      </c>
      <c r="AN1881">
        <f>IF(AK1881="","",AK1881-2*AL1881)</f>
        <v>0</v>
      </c>
      <c r="AO1881">
        <f>IF(OR(AM1881="",AN1881="",AM1881=AN1881),"",($E1881-AN1881)/(AM1881-AN1881))</f>
        <v>0</v>
      </c>
      <c r="AP1881">
        <f>IF(OR(AM1881="",AK1881="",AK1881=0),"",(AM1881-AN1881)/AK1881)</f>
        <v>0</v>
      </c>
      <c r="AQ1881">
        <f>IF(COUNT($E$2:$E1881)&lt;20,"",MAX($C$1862:$C$1881))</f>
        <v>0</v>
      </c>
      <c r="AR1881">
        <f>IF(COUNT($E$2:$E1881)&lt;20,"",MIN($D$1862:$D$1881))</f>
        <v>0</v>
      </c>
      <c r="AS1881">
        <f>IF(OR(AQ1881="",AR1881=""),"",(AQ1881+AR1881)/2)</f>
        <v>0</v>
      </c>
      <c r="AT1881">
        <f>IF(COUNT($G$1862:$G$1881)&lt;20,"",STDEV($G$1862:$G$1881)*SQRT(252))</f>
        <v>0</v>
      </c>
      <c r="AU1881">
        <f>IF(COUNT($E$2:$E1881)&lt;9,"",(MAX($C$1873:$C$1881)+MIN($D$1873:$D$1881))/2)</f>
        <v>0</v>
      </c>
      <c r="AV1881">
        <f>IF(COUNT($E$2:$E1881)&lt;26,"",(MAX($C$1856:$C$1881)+MIN($D$1856:$D$1881))/2)</f>
        <v>0</v>
      </c>
      <c r="AW1881">
        <f>IF(OR(AU1881="",AV1881=""),"",(AU1881+AV1881)/2)</f>
        <v>0</v>
      </c>
      <c r="AX1881">
        <f>IF(COUNT($E$2:$E1881)&lt;52,"",(MAX($C$1830:$C$1881)+MIN($D$1830:$D$1881))/2)</f>
        <v>0</v>
      </c>
      <c r="AY1881">
        <f>IF(COUNT($E$2:$E1881)&lt;20,"",MAX($C$1782:$C$1881))</f>
        <v>0</v>
      </c>
      <c r="AZ1881">
        <f>IF(COUNT($E$2:$E1881)&lt;20,"",MIN($D$1782:$D$1881))</f>
        <v>0</v>
      </c>
      <c r="BA1881">
        <f>IF(COUNT($E$2:$E1881)&lt;20,"",SLOPE($E$1782:$E$1881,$F$1782:$F$1881))</f>
        <v>0</v>
      </c>
      <c r="BB1881">
        <f>IF(COUNT($E$2:$E1881)&lt;20,"",INTERCEPT($E$1782:$E$1881,$F$1782:$F$1881))</f>
        <v>0</v>
      </c>
      <c r="BC1881">
        <f>IF(OR(BA1881="",BB1881=""),"",BB1881+BA1881*F1881)</f>
        <v>0</v>
      </c>
      <c r="BD1881">
        <f>IF(COUNT($E$2:$E1881)&lt;20,"",STEYX($E$1782:$E$1881,$F$1782:$F$1881))</f>
        <v>0</v>
      </c>
      <c r="BE1881">
        <f>IF($E1881="","",IF(AND(COUNT($E$1882:$E$1885)&gt;=4,$C1881=MAX($C$1877:$C$1885)),$C1881,""))</f>
        <v>0</v>
      </c>
      <c r="BF1881">
        <f>IF($E1881="","",IF(AND(COUNT($E$1882:$E$1885)&gt;=4,$D1881=MIN($D$1877:$D$1885)),$D1881,""))</f>
        <v>0</v>
      </c>
      <c r="BG1881">
        <f>IF($A1881="","",$A1881-WEEKDAY($A1881,2)+1)</f>
        <v>0</v>
      </c>
      <c r="BH1881">
        <f>IF($A1881="","",IF($A1880="",1,IF(BG1881&lt;&gt;BG1880,1,0)))</f>
        <v>0</v>
      </c>
      <c r="BI1881">
        <f>IF($A1881="","",IF($A1882="",1,IF(BG1882&lt;&gt;BG1881,1,0)))</f>
        <v>0</v>
      </c>
      <c r="BJ1881">
        <f>IF($A1881="","",IF(BH1881=1,$B1881,BJ1880))</f>
        <v>0</v>
      </c>
      <c r="BK1881">
        <f>IF($A1881="","",IF(BH1881=1,$C1881,MAX($C1881,BK1880)))</f>
        <v>0</v>
      </c>
      <c r="BL1881">
        <f>IF($A1881="","",IF(BH1881=1,$D1881,MIN($D1881,BL1880)))</f>
        <v>0</v>
      </c>
      <c r="BM1881">
        <f>IF($A1881="","",IF(BI1881=1,F1881,""))</f>
        <v>0</v>
      </c>
      <c r="BN1881">
        <f>IF($A1881="","",DATE(YEAR($A1881),MONTH($A1881),1))</f>
        <v>0</v>
      </c>
      <c r="BO1881">
        <f>IF($A1881="","",IF($A1880="",1,IF(BN1881&lt;&gt;BN1880,1,0)))</f>
        <v>0</v>
      </c>
      <c r="BP1881">
        <f>IF($A1881="","",IF($A1882="",1,IF(BN1882&lt;&gt;BN1881,1,0)))</f>
        <v>0</v>
      </c>
      <c r="BQ1881">
        <f>IF($A1881="","",IF(BO1881=1,$B1881,BQ1880))</f>
        <v>0</v>
      </c>
      <c r="BR1881">
        <f>IF($A1881="","",IF(BO1881=1,$C1881,MAX($C1881,BR1880)))</f>
        <v>0</v>
      </c>
      <c r="BS1881">
        <f>IF($A1881="","",IF(BO1881=1,$D1881,MIN($D1881,BS1880)))</f>
        <v>0</v>
      </c>
      <c r="BT1881">
        <f>IF($A1881="","",IF(BP1881=1,F1881,""))</f>
        <v>0</v>
      </c>
    </row>
    <row r="1882" spans="1:72">
      <c r="A1882" s="27">
        <f>IF(Data!$A1882="","",Data!$A1882)</f>
        <v>0</v>
      </c>
      <c r="B1882">
        <f>IF(Data!$B1882="","",Data!$B1882)</f>
        <v>0</v>
      </c>
      <c r="C1882">
        <f>IF(Data!$C1882="","",Data!$C1882)</f>
        <v>0</v>
      </c>
      <c r="D1882">
        <f>IF(Data!$D1882="","",Data!$D1882)</f>
        <v>0</v>
      </c>
      <c r="E1882">
        <f>IF(Data!$E1882="","",Data!$E1882)</f>
        <v>0</v>
      </c>
      <c r="F1882">
        <f>IF($E1882="","",N(F1881)+1)</f>
        <v>0</v>
      </c>
      <c r="G1882">
        <f>IF(OR($E1882="",$E1881=""),"",LN($E1882/$E1881))</f>
        <v>0</v>
      </c>
      <c r="H1882">
        <f>IF($E1882="","",IF($E1881="",$E1882,$E1882*0.0952380952+H1881*0.9047619048))</f>
        <v>0</v>
      </c>
      <c r="I1882">
        <f>IF($E1882="","",IF($E1881="",$E1882,$E1882*0.0392156863+I1881*0.9607843137))</f>
        <v>0</v>
      </c>
      <c r="J1882">
        <f>IF($E1882="","",IF($E1881="",$E1882,$E1882*0.0198019802+J1881*0.9801980198))</f>
        <v>0</v>
      </c>
      <c r="K1882">
        <f>IF($E1882="","",IF($E1881="",$E1882,$E1882*0.0099502488+K1881*0.9900497512))</f>
        <v>0</v>
      </c>
      <c r="L1882">
        <f>IF(OR($E1882="",$E1881=""),"",MAX($E1882-$E1881,0))</f>
        <v>0</v>
      </c>
      <c r="M1882">
        <f>IF(OR($E1882="",$E1881=""),"",MAX($E1881-$E1882,0))</f>
        <v>0</v>
      </c>
      <c r="N1882">
        <f>IF(COUNT($E$2:$E1882)&lt;15,"",IF(AVERAGE($M$1869:$M$1882)=0,100,100-100/(1+AVERAGE($L$1869:$L$1882)/AVERAGE($M$1869:$M$1882))))</f>
        <v>0</v>
      </c>
      <c r="O1882">
        <f>IF($E1882="","",IF($E1881="",$E1882,$E1882*0.1538461538+O1881*0.8461538462))</f>
        <v>0</v>
      </c>
      <c r="P1882">
        <f>IF($E1882="","",IF($E1881="",$E1882,$E1882*0.0740740741+P1881*0.9259259259))</f>
        <v>0</v>
      </c>
      <c r="Q1882">
        <f>IF(OR(O1882="",P1882=""),"",O1882-P1882)</f>
        <v>0</v>
      </c>
      <c r="R1882">
        <f>IF(Q1882="","",IF(R1881="",Q1882,Q1882*0.2000000000+R1881*0.8000000000))</f>
        <v>0</v>
      </c>
      <c r="S1882">
        <f>IF(OR(Q1882="",R1882=""),"",Q1882-R1882)</f>
        <v>0</v>
      </c>
      <c r="T1882">
        <f>IF(COUNT($E$2:$E1882)&lt;14,"",MAX($C$1869:$C$1882))</f>
        <v>0</v>
      </c>
      <c r="U1882">
        <f>IF(COUNT($E$2:$E1882)&lt;14,"",MIN($D$1869:$D$1882))</f>
        <v>0</v>
      </c>
      <c r="V1882">
        <f>IF(OR(T1882="",U1882="",T1882=U1882),"",100*($E1882-U1882)/(T1882-U1882))</f>
        <v>0</v>
      </c>
      <c r="W1882">
        <f>IF(COUNT($V$1880:$V$1882)&lt;3,"",AVERAGE($V$1880:$V$1882))</f>
        <v>0</v>
      </c>
      <c r="X1882">
        <f>IF(COUNT($N$1869:$N$1882)&lt;14,"",MIN($N$1869:$N$1882))</f>
        <v>0</v>
      </c>
      <c r="Y1882">
        <f>IF(COUNT($N$1869:$N$1882)&lt;14,"",MAX($N$1869:$N$1882))</f>
        <v>0</v>
      </c>
      <c r="Z1882">
        <f>IF(OR(N1882="",X1882="",Y1882="",Y1882=X1882),"",100*(N1882-X1882)/(Y1882-X1882))</f>
        <v>0</v>
      </c>
      <c r="AA1882">
        <f>IF(COUNT($Z$1880:$Z$1882)&lt;3,"",AVERAGE($Z$1880:$Z$1882))</f>
        <v>0</v>
      </c>
      <c r="AB1882">
        <f>IF(COUNT($AA$1880:$AA$1882)&lt;3,"",AVERAGE($AA$1880:$AA$1882))</f>
        <v>0</v>
      </c>
      <c r="AC1882">
        <f>IF($E1882="","",MAX($C1882-$D1882,ABS($C1882-$E1881),ABS($D1882-$E1881)))</f>
        <v>0</v>
      </c>
      <c r="AD1882">
        <f>IF(COUNT($E$2:$E1882)&lt;15,"",AVERAGE($AC$1869:$AC$1882))</f>
        <v>0</v>
      </c>
      <c r="AE1882">
        <f>IF(OR($E1882="",$E1881=""),"",IF(AND(($C1882-$C1881)&gt;($D1881-$D1882),($C1882-$C1881)&gt;0),$C1882-$C1881,0))</f>
        <v>0</v>
      </c>
      <c r="AF1882">
        <f>IF(OR($E1882="",$E1881=""),"",IF(AND(($D1881-$D1882)&gt;($C1882-$C1881),($D1881-$D1882)&gt;0),$D1881-$D1882,0))</f>
        <v>0</v>
      </c>
      <c r="AG1882">
        <f>IF(COUNT($E$2:$E1882)&lt;15,"",IF(SUM($AC$1869:$AC$1882)=0,0,100*SUM($AE$1869:$AE$1882)/SUM($AC$1869:$AC$1882)))</f>
        <v>0</v>
      </c>
      <c r="AH1882">
        <f>IF(COUNT($E$2:$E1882)&lt;15,"",IF(SUM($AC$1869:$AC$1882)=0,0,100*SUM($AF$1869:$AF$1882)/SUM($AC$1869:$AC$1882)))</f>
        <v>0</v>
      </c>
      <c r="AI1882">
        <f>IF(OR(AG1882="",AH1882=""),"",IF((AG1882+AH1882)=0,0,100*ABS(AG1882-AH1882)/(AG1882+AH1882)))</f>
        <v>0</v>
      </c>
      <c r="AJ1882">
        <f>IF(COUNT($AI$1869:$AI$1882)&lt;14,"",AVERAGE($AI$1869:$AI$1882))</f>
        <v>0</v>
      </c>
      <c r="AK1882">
        <f>IF(COUNT($E$2:$E1882)&lt;20,"",AVERAGE($E$1863:$E$1882))</f>
        <v>0</v>
      </c>
      <c r="AL1882">
        <f>IF(COUNT($E$2:$E1882)&lt;20,"",STDEVP($E$1863:$E$1882))</f>
        <v>0</v>
      </c>
      <c r="AM1882">
        <f>IF(AK1882="","",AK1882+2*AL1882)</f>
        <v>0</v>
      </c>
      <c r="AN1882">
        <f>IF(AK1882="","",AK1882-2*AL1882)</f>
        <v>0</v>
      </c>
      <c r="AO1882">
        <f>IF(OR(AM1882="",AN1882="",AM1882=AN1882),"",($E1882-AN1882)/(AM1882-AN1882))</f>
        <v>0</v>
      </c>
      <c r="AP1882">
        <f>IF(OR(AM1882="",AK1882="",AK1882=0),"",(AM1882-AN1882)/AK1882)</f>
        <v>0</v>
      </c>
      <c r="AQ1882">
        <f>IF(COUNT($E$2:$E1882)&lt;20,"",MAX($C$1863:$C$1882))</f>
        <v>0</v>
      </c>
      <c r="AR1882">
        <f>IF(COUNT($E$2:$E1882)&lt;20,"",MIN($D$1863:$D$1882))</f>
        <v>0</v>
      </c>
      <c r="AS1882">
        <f>IF(OR(AQ1882="",AR1882=""),"",(AQ1882+AR1882)/2)</f>
        <v>0</v>
      </c>
      <c r="AT1882">
        <f>IF(COUNT($G$1863:$G$1882)&lt;20,"",STDEV($G$1863:$G$1882)*SQRT(252))</f>
        <v>0</v>
      </c>
      <c r="AU1882">
        <f>IF(COUNT($E$2:$E1882)&lt;9,"",(MAX($C$1874:$C$1882)+MIN($D$1874:$D$1882))/2)</f>
        <v>0</v>
      </c>
      <c r="AV1882">
        <f>IF(COUNT($E$2:$E1882)&lt;26,"",(MAX($C$1857:$C$1882)+MIN($D$1857:$D$1882))/2)</f>
        <v>0</v>
      </c>
      <c r="AW1882">
        <f>IF(OR(AU1882="",AV1882=""),"",(AU1882+AV1882)/2)</f>
        <v>0</v>
      </c>
      <c r="AX1882">
        <f>IF(COUNT($E$2:$E1882)&lt;52,"",(MAX($C$1831:$C$1882)+MIN($D$1831:$D$1882))/2)</f>
        <v>0</v>
      </c>
      <c r="AY1882">
        <f>IF(COUNT($E$2:$E1882)&lt;20,"",MAX($C$1783:$C$1882))</f>
        <v>0</v>
      </c>
      <c r="AZ1882">
        <f>IF(COUNT($E$2:$E1882)&lt;20,"",MIN($D$1783:$D$1882))</f>
        <v>0</v>
      </c>
      <c r="BA1882">
        <f>IF(COUNT($E$2:$E1882)&lt;20,"",SLOPE($E$1783:$E$1882,$F$1783:$F$1882))</f>
        <v>0</v>
      </c>
      <c r="BB1882">
        <f>IF(COUNT($E$2:$E1882)&lt;20,"",INTERCEPT($E$1783:$E$1882,$F$1783:$F$1882))</f>
        <v>0</v>
      </c>
      <c r="BC1882">
        <f>IF(OR(BA1882="",BB1882=""),"",BB1882+BA1882*F1882)</f>
        <v>0</v>
      </c>
      <c r="BD1882">
        <f>IF(COUNT($E$2:$E1882)&lt;20,"",STEYX($E$1783:$E$1882,$F$1783:$F$1882))</f>
        <v>0</v>
      </c>
      <c r="BE1882">
        <f>IF($E1882="","",IF(AND(COUNT($E$1883:$E$1886)&gt;=4,$C1882=MAX($C$1878:$C$1886)),$C1882,""))</f>
        <v>0</v>
      </c>
      <c r="BF1882">
        <f>IF($E1882="","",IF(AND(COUNT($E$1883:$E$1886)&gt;=4,$D1882=MIN($D$1878:$D$1886)),$D1882,""))</f>
        <v>0</v>
      </c>
      <c r="BG1882">
        <f>IF($A1882="","",$A1882-WEEKDAY($A1882,2)+1)</f>
        <v>0</v>
      </c>
      <c r="BH1882">
        <f>IF($A1882="","",IF($A1881="",1,IF(BG1882&lt;&gt;BG1881,1,0)))</f>
        <v>0</v>
      </c>
      <c r="BI1882">
        <f>IF($A1882="","",IF($A1883="",1,IF(BG1883&lt;&gt;BG1882,1,0)))</f>
        <v>0</v>
      </c>
      <c r="BJ1882">
        <f>IF($A1882="","",IF(BH1882=1,$B1882,BJ1881))</f>
        <v>0</v>
      </c>
      <c r="BK1882">
        <f>IF($A1882="","",IF(BH1882=1,$C1882,MAX($C1882,BK1881)))</f>
        <v>0</v>
      </c>
      <c r="BL1882">
        <f>IF($A1882="","",IF(BH1882=1,$D1882,MIN($D1882,BL1881)))</f>
        <v>0</v>
      </c>
      <c r="BM1882">
        <f>IF($A1882="","",IF(BI1882=1,F1882,""))</f>
        <v>0</v>
      </c>
      <c r="BN1882">
        <f>IF($A1882="","",DATE(YEAR($A1882),MONTH($A1882),1))</f>
        <v>0</v>
      </c>
      <c r="BO1882">
        <f>IF($A1882="","",IF($A1881="",1,IF(BN1882&lt;&gt;BN1881,1,0)))</f>
        <v>0</v>
      </c>
      <c r="BP1882">
        <f>IF($A1882="","",IF($A1883="",1,IF(BN1883&lt;&gt;BN1882,1,0)))</f>
        <v>0</v>
      </c>
      <c r="BQ1882">
        <f>IF($A1882="","",IF(BO1882=1,$B1882,BQ1881))</f>
        <v>0</v>
      </c>
      <c r="BR1882">
        <f>IF($A1882="","",IF(BO1882=1,$C1882,MAX($C1882,BR1881)))</f>
        <v>0</v>
      </c>
      <c r="BS1882">
        <f>IF($A1882="","",IF(BO1882=1,$D1882,MIN($D1882,BS1881)))</f>
        <v>0</v>
      </c>
      <c r="BT1882">
        <f>IF($A1882="","",IF(BP1882=1,F1882,""))</f>
        <v>0</v>
      </c>
    </row>
    <row r="1883" spans="1:72">
      <c r="A1883" s="27">
        <f>IF(Data!$A1883="","",Data!$A1883)</f>
        <v>0</v>
      </c>
      <c r="B1883">
        <f>IF(Data!$B1883="","",Data!$B1883)</f>
        <v>0</v>
      </c>
      <c r="C1883">
        <f>IF(Data!$C1883="","",Data!$C1883)</f>
        <v>0</v>
      </c>
      <c r="D1883">
        <f>IF(Data!$D1883="","",Data!$D1883)</f>
        <v>0</v>
      </c>
      <c r="E1883">
        <f>IF(Data!$E1883="","",Data!$E1883)</f>
        <v>0</v>
      </c>
      <c r="F1883">
        <f>IF($E1883="","",N(F1882)+1)</f>
        <v>0</v>
      </c>
      <c r="G1883">
        <f>IF(OR($E1883="",$E1882=""),"",LN($E1883/$E1882))</f>
        <v>0</v>
      </c>
      <c r="H1883">
        <f>IF($E1883="","",IF($E1882="",$E1883,$E1883*0.0952380952+H1882*0.9047619048))</f>
        <v>0</v>
      </c>
      <c r="I1883">
        <f>IF($E1883="","",IF($E1882="",$E1883,$E1883*0.0392156863+I1882*0.9607843137))</f>
        <v>0</v>
      </c>
      <c r="J1883">
        <f>IF($E1883="","",IF($E1882="",$E1883,$E1883*0.0198019802+J1882*0.9801980198))</f>
        <v>0</v>
      </c>
      <c r="K1883">
        <f>IF($E1883="","",IF($E1882="",$E1883,$E1883*0.0099502488+K1882*0.9900497512))</f>
        <v>0</v>
      </c>
      <c r="L1883">
        <f>IF(OR($E1883="",$E1882=""),"",MAX($E1883-$E1882,0))</f>
        <v>0</v>
      </c>
      <c r="M1883">
        <f>IF(OR($E1883="",$E1882=""),"",MAX($E1882-$E1883,0))</f>
        <v>0</v>
      </c>
      <c r="N1883">
        <f>IF(COUNT($E$2:$E1883)&lt;15,"",IF(AVERAGE($M$1870:$M$1883)=0,100,100-100/(1+AVERAGE($L$1870:$L$1883)/AVERAGE($M$1870:$M$1883))))</f>
        <v>0</v>
      </c>
      <c r="O1883">
        <f>IF($E1883="","",IF($E1882="",$E1883,$E1883*0.1538461538+O1882*0.8461538462))</f>
        <v>0</v>
      </c>
      <c r="P1883">
        <f>IF($E1883="","",IF($E1882="",$E1883,$E1883*0.0740740741+P1882*0.9259259259))</f>
        <v>0</v>
      </c>
      <c r="Q1883">
        <f>IF(OR(O1883="",P1883=""),"",O1883-P1883)</f>
        <v>0</v>
      </c>
      <c r="R1883">
        <f>IF(Q1883="","",IF(R1882="",Q1883,Q1883*0.2000000000+R1882*0.8000000000))</f>
        <v>0</v>
      </c>
      <c r="S1883">
        <f>IF(OR(Q1883="",R1883=""),"",Q1883-R1883)</f>
        <v>0</v>
      </c>
      <c r="T1883">
        <f>IF(COUNT($E$2:$E1883)&lt;14,"",MAX($C$1870:$C$1883))</f>
        <v>0</v>
      </c>
      <c r="U1883">
        <f>IF(COUNT($E$2:$E1883)&lt;14,"",MIN($D$1870:$D$1883))</f>
        <v>0</v>
      </c>
      <c r="V1883">
        <f>IF(OR(T1883="",U1883="",T1883=U1883),"",100*($E1883-U1883)/(T1883-U1883))</f>
        <v>0</v>
      </c>
      <c r="W1883">
        <f>IF(COUNT($V$1881:$V$1883)&lt;3,"",AVERAGE($V$1881:$V$1883))</f>
        <v>0</v>
      </c>
      <c r="X1883">
        <f>IF(COUNT($N$1870:$N$1883)&lt;14,"",MIN($N$1870:$N$1883))</f>
        <v>0</v>
      </c>
      <c r="Y1883">
        <f>IF(COUNT($N$1870:$N$1883)&lt;14,"",MAX($N$1870:$N$1883))</f>
        <v>0</v>
      </c>
      <c r="Z1883">
        <f>IF(OR(N1883="",X1883="",Y1883="",Y1883=X1883),"",100*(N1883-X1883)/(Y1883-X1883))</f>
        <v>0</v>
      </c>
      <c r="AA1883">
        <f>IF(COUNT($Z$1881:$Z$1883)&lt;3,"",AVERAGE($Z$1881:$Z$1883))</f>
        <v>0</v>
      </c>
      <c r="AB1883">
        <f>IF(COUNT($AA$1881:$AA$1883)&lt;3,"",AVERAGE($AA$1881:$AA$1883))</f>
        <v>0</v>
      </c>
      <c r="AC1883">
        <f>IF($E1883="","",MAX($C1883-$D1883,ABS($C1883-$E1882),ABS($D1883-$E1882)))</f>
        <v>0</v>
      </c>
      <c r="AD1883">
        <f>IF(COUNT($E$2:$E1883)&lt;15,"",AVERAGE($AC$1870:$AC$1883))</f>
        <v>0</v>
      </c>
      <c r="AE1883">
        <f>IF(OR($E1883="",$E1882=""),"",IF(AND(($C1883-$C1882)&gt;($D1882-$D1883),($C1883-$C1882)&gt;0),$C1883-$C1882,0))</f>
        <v>0</v>
      </c>
      <c r="AF1883">
        <f>IF(OR($E1883="",$E1882=""),"",IF(AND(($D1882-$D1883)&gt;($C1883-$C1882),($D1882-$D1883)&gt;0),$D1882-$D1883,0))</f>
        <v>0</v>
      </c>
      <c r="AG1883">
        <f>IF(COUNT($E$2:$E1883)&lt;15,"",IF(SUM($AC$1870:$AC$1883)=0,0,100*SUM($AE$1870:$AE$1883)/SUM($AC$1870:$AC$1883)))</f>
        <v>0</v>
      </c>
      <c r="AH1883">
        <f>IF(COUNT($E$2:$E1883)&lt;15,"",IF(SUM($AC$1870:$AC$1883)=0,0,100*SUM($AF$1870:$AF$1883)/SUM($AC$1870:$AC$1883)))</f>
        <v>0</v>
      </c>
      <c r="AI1883">
        <f>IF(OR(AG1883="",AH1883=""),"",IF((AG1883+AH1883)=0,0,100*ABS(AG1883-AH1883)/(AG1883+AH1883)))</f>
        <v>0</v>
      </c>
      <c r="AJ1883">
        <f>IF(COUNT($AI$1870:$AI$1883)&lt;14,"",AVERAGE($AI$1870:$AI$1883))</f>
        <v>0</v>
      </c>
      <c r="AK1883">
        <f>IF(COUNT($E$2:$E1883)&lt;20,"",AVERAGE($E$1864:$E$1883))</f>
        <v>0</v>
      </c>
      <c r="AL1883">
        <f>IF(COUNT($E$2:$E1883)&lt;20,"",STDEVP($E$1864:$E$1883))</f>
        <v>0</v>
      </c>
      <c r="AM1883">
        <f>IF(AK1883="","",AK1883+2*AL1883)</f>
        <v>0</v>
      </c>
      <c r="AN1883">
        <f>IF(AK1883="","",AK1883-2*AL1883)</f>
        <v>0</v>
      </c>
      <c r="AO1883">
        <f>IF(OR(AM1883="",AN1883="",AM1883=AN1883),"",($E1883-AN1883)/(AM1883-AN1883))</f>
        <v>0</v>
      </c>
      <c r="AP1883">
        <f>IF(OR(AM1883="",AK1883="",AK1883=0),"",(AM1883-AN1883)/AK1883)</f>
        <v>0</v>
      </c>
      <c r="AQ1883">
        <f>IF(COUNT($E$2:$E1883)&lt;20,"",MAX($C$1864:$C$1883))</f>
        <v>0</v>
      </c>
      <c r="AR1883">
        <f>IF(COUNT($E$2:$E1883)&lt;20,"",MIN($D$1864:$D$1883))</f>
        <v>0</v>
      </c>
      <c r="AS1883">
        <f>IF(OR(AQ1883="",AR1883=""),"",(AQ1883+AR1883)/2)</f>
        <v>0</v>
      </c>
      <c r="AT1883">
        <f>IF(COUNT($G$1864:$G$1883)&lt;20,"",STDEV($G$1864:$G$1883)*SQRT(252))</f>
        <v>0</v>
      </c>
      <c r="AU1883">
        <f>IF(COUNT($E$2:$E1883)&lt;9,"",(MAX($C$1875:$C$1883)+MIN($D$1875:$D$1883))/2)</f>
        <v>0</v>
      </c>
      <c r="AV1883">
        <f>IF(COUNT($E$2:$E1883)&lt;26,"",(MAX($C$1858:$C$1883)+MIN($D$1858:$D$1883))/2)</f>
        <v>0</v>
      </c>
      <c r="AW1883">
        <f>IF(OR(AU1883="",AV1883=""),"",(AU1883+AV1883)/2)</f>
        <v>0</v>
      </c>
      <c r="AX1883">
        <f>IF(COUNT($E$2:$E1883)&lt;52,"",(MAX($C$1832:$C$1883)+MIN($D$1832:$D$1883))/2)</f>
        <v>0</v>
      </c>
      <c r="AY1883">
        <f>IF(COUNT($E$2:$E1883)&lt;20,"",MAX($C$1784:$C$1883))</f>
        <v>0</v>
      </c>
      <c r="AZ1883">
        <f>IF(COUNT($E$2:$E1883)&lt;20,"",MIN($D$1784:$D$1883))</f>
        <v>0</v>
      </c>
      <c r="BA1883">
        <f>IF(COUNT($E$2:$E1883)&lt;20,"",SLOPE($E$1784:$E$1883,$F$1784:$F$1883))</f>
        <v>0</v>
      </c>
      <c r="BB1883">
        <f>IF(COUNT($E$2:$E1883)&lt;20,"",INTERCEPT($E$1784:$E$1883,$F$1784:$F$1883))</f>
        <v>0</v>
      </c>
      <c r="BC1883">
        <f>IF(OR(BA1883="",BB1883=""),"",BB1883+BA1883*F1883)</f>
        <v>0</v>
      </c>
      <c r="BD1883">
        <f>IF(COUNT($E$2:$E1883)&lt;20,"",STEYX($E$1784:$E$1883,$F$1784:$F$1883))</f>
        <v>0</v>
      </c>
      <c r="BE1883">
        <f>IF($E1883="","",IF(AND(COUNT($E$1884:$E$1887)&gt;=4,$C1883=MAX($C$1879:$C$1887)),$C1883,""))</f>
        <v>0</v>
      </c>
      <c r="BF1883">
        <f>IF($E1883="","",IF(AND(COUNT($E$1884:$E$1887)&gt;=4,$D1883=MIN($D$1879:$D$1887)),$D1883,""))</f>
        <v>0</v>
      </c>
      <c r="BG1883">
        <f>IF($A1883="","",$A1883-WEEKDAY($A1883,2)+1)</f>
        <v>0</v>
      </c>
      <c r="BH1883">
        <f>IF($A1883="","",IF($A1882="",1,IF(BG1883&lt;&gt;BG1882,1,0)))</f>
        <v>0</v>
      </c>
      <c r="BI1883">
        <f>IF($A1883="","",IF($A1884="",1,IF(BG1884&lt;&gt;BG1883,1,0)))</f>
        <v>0</v>
      </c>
      <c r="BJ1883">
        <f>IF($A1883="","",IF(BH1883=1,$B1883,BJ1882))</f>
        <v>0</v>
      </c>
      <c r="BK1883">
        <f>IF($A1883="","",IF(BH1883=1,$C1883,MAX($C1883,BK1882)))</f>
        <v>0</v>
      </c>
      <c r="BL1883">
        <f>IF($A1883="","",IF(BH1883=1,$D1883,MIN($D1883,BL1882)))</f>
        <v>0</v>
      </c>
      <c r="BM1883">
        <f>IF($A1883="","",IF(BI1883=1,F1883,""))</f>
        <v>0</v>
      </c>
      <c r="BN1883">
        <f>IF($A1883="","",DATE(YEAR($A1883),MONTH($A1883),1))</f>
        <v>0</v>
      </c>
      <c r="BO1883">
        <f>IF($A1883="","",IF($A1882="",1,IF(BN1883&lt;&gt;BN1882,1,0)))</f>
        <v>0</v>
      </c>
      <c r="BP1883">
        <f>IF($A1883="","",IF($A1884="",1,IF(BN1884&lt;&gt;BN1883,1,0)))</f>
        <v>0</v>
      </c>
      <c r="BQ1883">
        <f>IF($A1883="","",IF(BO1883=1,$B1883,BQ1882))</f>
        <v>0</v>
      </c>
      <c r="BR1883">
        <f>IF($A1883="","",IF(BO1883=1,$C1883,MAX($C1883,BR1882)))</f>
        <v>0</v>
      </c>
      <c r="BS1883">
        <f>IF($A1883="","",IF(BO1883=1,$D1883,MIN($D1883,BS1882)))</f>
        <v>0</v>
      </c>
      <c r="BT1883">
        <f>IF($A1883="","",IF(BP1883=1,F1883,""))</f>
        <v>0</v>
      </c>
    </row>
    <row r="1884" spans="1:72">
      <c r="A1884" s="27">
        <f>IF(Data!$A1884="","",Data!$A1884)</f>
        <v>0</v>
      </c>
      <c r="B1884">
        <f>IF(Data!$B1884="","",Data!$B1884)</f>
        <v>0</v>
      </c>
      <c r="C1884">
        <f>IF(Data!$C1884="","",Data!$C1884)</f>
        <v>0</v>
      </c>
      <c r="D1884">
        <f>IF(Data!$D1884="","",Data!$D1884)</f>
        <v>0</v>
      </c>
      <c r="E1884">
        <f>IF(Data!$E1884="","",Data!$E1884)</f>
        <v>0</v>
      </c>
      <c r="F1884">
        <f>IF($E1884="","",N(F1883)+1)</f>
        <v>0</v>
      </c>
      <c r="G1884">
        <f>IF(OR($E1884="",$E1883=""),"",LN($E1884/$E1883))</f>
        <v>0</v>
      </c>
      <c r="H1884">
        <f>IF($E1884="","",IF($E1883="",$E1884,$E1884*0.0952380952+H1883*0.9047619048))</f>
        <v>0</v>
      </c>
      <c r="I1884">
        <f>IF($E1884="","",IF($E1883="",$E1884,$E1884*0.0392156863+I1883*0.9607843137))</f>
        <v>0</v>
      </c>
      <c r="J1884">
        <f>IF($E1884="","",IF($E1883="",$E1884,$E1884*0.0198019802+J1883*0.9801980198))</f>
        <v>0</v>
      </c>
      <c r="K1884">
        <f>IF($E1884="","",IF($E1883="",$E1884,$E1884*0.0099502488+K1883*0.9900497512))</f>
        <v>0</v>
      </c>
      <c r="L1884">
        <f>IF(OR($E1884="",$E1883=""),"",MAX($E1884-$E1883,0))</f>
        <v>0</v>
      </c>
      <c r="M1884">
        <f>IF(OR($E1884="",$E1883=""),"",MAX($E1883-$E1884,0))</f>
        <v>0</v>
      </c>
      <c r="N1884">
        <f>IF(COUNT($E$2:$E1884)&lt;15,"",IF(AVERAGE($M$1871:$M$1884)=0,100,100-100/(1+AVERAGE($L$1871:$L$1884)/AVERAGE($M$1871:$M$1884))))</f>
        <v>0</v>
      </c>
      <c r="O1884">
        <f>IF($E1884="","",IF($E1883="",$E1884,$E1884*0.1538461538+O1883*0.8461538462))</f>
        <v>0</v>
      </c>
      <c r="P1884">
        <f>IF($E1884="","",IF($E1883="",$E1884,$E1884*0.0740740741+P1883*0.9259259259))</f>
        <v>0</v>
      </c>
      <c r="Q1884">
        <f>IF(OR(O1884="",P1884=""),"",O1884-P1884)</f>
        <v>0</v>
      </c>
      <c r="R1884">
        <f>IF(Q1884="","",IF(R1883="",Q1884,Q1884*0.2000000000+R1883*0.8000000000))</f>
        <v>0</v>
      </c>
      <c r="S1884">
        <f>IF(OR(Q1884="",R1884=""),"",Q1884-R1884)</f>
        <v>0</v>
      </c>
      <c r="T1884">
        <f>IF(COUNT($E$2:$E1884)&lt;14,"",MAX($C$1871:$C$1884))</f>
        <v>0</v>
      </c>
      <c r="U1884">
        <f>IF(COUNT($E$2:$E1884)&lt;14,"",MIN($D$1871:$D$1884))</f>
        <v>0</v>
      </c>
      <c r="V1884">
        <f>IF(OR(T1884="",U1884="",T1884=U1884),"",100*($E1884-U1884)/(T1884-U1884))</f>
        <v>0</v>
      </c>
      <c r="W1884">
        <f>IF(COUNT($V$1882:$V$1884)&lt;3,"",AVERAGE($V$1882:$V$1884))</f>
        <v>0</v>
      </c>
      <c r="X1884">
        <f>IF(COUNT($N$1871:$N$1884)&lt;14,"",MIN($N$1871:$N$1884))</f>
        <v>0</v>
      </c>
      <c r="Y1884">
        <f>IF(COUNT($N$1871:$N$1884)&lt;14,"",MAX($N$1871:$N$1884))</f>
        <v>0</v>
      </c>
      <c r="Z1884">
        <f>IF(OR(N1884="",X1884="",Y1884="",Y1884=X1884),"",100*(N1884-X1884)/(Y1884-X1884))</f>
        <v>0</v>
      </c>
      <c r="AA1884">
        <f>IF(COUNT($Z$1882:$Z$1884)&lt;3,"",AVERAGE($Z$1882:$Z$1884))</f>
        <v>0</v>
      </c>
      <c r="AB1884">
        <f>IF(COUNT($AA$1882:$AA$1884)&lt;3,"",AVERAGE($AA$1882:$AA$1884))</f>
        <v>0</v>
      </c>
      <c r="AC1884">
        <f>IF($E1884="","",MAX($C1884-$D1884,ABS($C1884-$E1883),ABS($D1884-$E1883)))</f>
        <v>0</v>
      </c>
      <c r="AD1884">
        <f>IF(COUNT($E$2:$E1884)&lt;15,"",AVERAGE($AC$1871:$AC$1884))</f>
        <v>0</v>
      </c>
      <c r="AE1884">
        <f>IF(OR($E1884="",$E1883=""),"",IF(AND(($C1884-$C1883)&gt;($D1883-$D1884),($C1884-$C1883)&gt;0),$C1884-$C1883,0))</f>
        <v>0</v>
      </c>
      <c r="AF1884">
        <f>IF(OR($E1884="",$E1883=""),"",IF(AND(($D1883-$D1884)&gt;($C1884-$C1883),($D1883-$D1884)&gt;0),$D1883-$D1884,0))</f>
        <v>0</v>
      </c>
      <c r="AG1884">
        <f>IF(COUNT($E$2:$E1884)&lt;15,"",IF(SUM($AC$1871:$AC$1884)=0,0,100*SUM($AE$1871:$AE$1884)/SUM($AC$1871:$AC$1884)))</f>
        <v>0</v>
      </c>
      <c r="AH1884">
        <f>IF(COUNT($E$2:$E1884)&lt;15,"",IF(SUM($AC$1871:$AC$1884)=0,0,100*SUM($AF$1871:$AF$1884)/SUM($AC$1871:$AC$1884)))</f>
        <v>0</v>
      </c>
      <c r="AI1884">
        <f>IF(OR(AG1884="",AH1884=""),"",IF((AG1884+AH1884)=0,0,100*ABS(AG1884-AH1884)/(AG1884+AH1884)))</f>
        <v>0</v>
      </c>
      <c r="AJ1884">
        <f>IF(COUNT($AI$1871:$AI$1884)&lt;14,"",AVERAGE($AI$1871:$AI$1884))</f>
        <v>0</v>
      </c>
      <c r="AK1884">
        <f>IF(COUNT($E$2:$E1884)&lt;20,"",AVERAGE($E$1865:$E$1884))</f>
        <v>0</v>
      </c>
      <c r="AL1884">
        <f>IF(COUNT($E$2:$E1884)&lt;20,"",STDEVP($E$1865:$E$1884))</f>
        <v>0</v>
      </c>
      <c r="AM1884">
        <f>IF(AK1884="","",AK1884+2*AL1884)</f>
        <v>0</v>
      </c>
      <c r="AN1884">
        <f>IF(AK1884="","",AK1884-2*AL1884)</f>
        <v>0</v>
      </c>
      <c r="AO1884">
        <f>IF(OR(AM1884="",AN1884="",AM1884=AN1884),"",($E1884-AN1884)/(AM1884-AN1884))</f>
        <v>0</v>
      </c>
      <c r="AP1884">
        <f>IF(OR(AM1884="",AK1884="",AK1884=0),"",(AM1884-AN1884)/AK1884)</f>
        <v>0</v>
      </c>
      <c r="AQ1884">
        <f>IF(COUNT($E$2:$E1884)&lt;20,"",MAX($C$1865:$C$1884))</f>
        <v>0</v>
      </c>
      <c r="AR1884">
        <f>IF(COUNT($E$2:$E1884)&lt;20,"",MIN($D$1865:$D$1884))</f>
        <v>0</v>
      </c>
      <c r="AS1884">
        <f>IF(OR(AQ1884="",AR1884=""),"",(AQ1884+AR1884)/2)</f>
        <v>0</v>
      </c>
      <c r="AT1884">
        <f>IF(COUNT($G$1865:$G$1884)&lt;20,"",STDEV($G$1865:$G$1884)*SQRT(252))</f>
        <v>0</v>
      </c>
      <c r="AU1884">
        <f>IF(COUNT($E$2:$E1884)&lt;9,"",(MAX($C$1876:$C$1884)+MIN($D$1876:$D$1884))/2)</f>
        <v>0</v>
      </c>
      <c r="AV1884">
        <f>IF(COUNT($E$2:$E1884)&lt;26,"",(MAX($C$1859:$C$1884)+MIN($D$1859:$D$1884))/2)</f>
        <v>0</v>
      </c>
      <c r="AW1884">
        <f>IF(OR(AU1884="",AV1884=""),"",(AU1884+AV1884)/2)</f>
        <v>0</v>
      </c>
      <c r="AX1884">
        <f>IF(COUNT($E$2:$E1884)&lt;52,"",(MAX($C$1833:$C$1884)+MIN($D$1833:$D$1884))/2)</f>
        <v>0</v>
      </c>
      <c r="AY1884">
        <f>IF(COUNT($E$2:$E1884)&lt;20,"",MAX($C$1785:$C$1884))</f>
        <v>0</v>
      </c>
      <c r="AZ1884">
        <f>IF(COUNT($E$2:$E1884)&lt;20,"",MIN($D$1785:$D$1884))</f>
        <v>0</v>
      </c>
      <c r="BA1884">
        <f>IF(COUNT($E$2:$E1884)&lt;20,"",SLOPE($E$1785:$E$1884,$F$1785:$F$1884))</f>
        <v>0</v>
      </c>
      <c r="BB1884">
        <f>IF(COUNT($E$2:$E1884)&lt;20,"",INTERCEPT($E$1785:$E$1884,$F$1785:$F$1884))</f>
        <v>0</v>
      </c>
      <c r="BC1884">
        <f>IF(OR(BA1884="",BB1884=""),"",BB1884+BA1884*F1884)</f>
        <v>0</v>
      </c>
      <c r="BD1884">
        <f>IF(COUNT($E$2:$E1884)&lt;20,"",STEYX($E$1785:$E$1884,$F$1785:$F$1884))</f>
        <v>0</v>
      </c>
      <c r="BE1884">
        <f>IF($E1884="","",IF(AND(COUNT($E$1885:$E$1888)&gt;=4,$C1884=MAX($C$1880:$C$1888)),$C1884,""))</f>
        <v>0</v>
      </c>
      <c r="BF1884">
        <f>IF($E1884="","",IF(AND(COUNT($E$1885:$E$1888)&gt;=4,$D1884=MIN($D$1880:$D$1888)),$D1884,""))</f>
        <v>0</v>
      </c>
      <c r="BG1884">
        <f>IF($A1884="","",$A1884-WEEKDAY($A1884,2)+1)</f>
        <v>0</v>
      </c>
      <c r="BH1884">
        <f>IF($A1884="","",IF($A1883="",1,IF(BG1884&lt;&gt;BG1883,1,0)))</f>
        <v>0</v>
      </c>
      <c r="BI1884">
        <f>IF($A1884="","",IF($A1885="",1,IF(BG1885&lt;&gt;BG1884,1,0)))</f>
        <v>0</v>
      </c>
      <c r="BJ1884">
        <f>IF($A1884="","",IF(BH1884=1,$B1884,BJ1883))</f>
        <v>0</v>
      </c>
      <c r="BK1884">
        <f>IF($A1884="","",IF(BH1884=1,$C1884,MAX($C1884,BK1883)))</f>
        <v>0</v>
      </c>
      <c r="BL1884">
        <f>IF($A1884="","",IF(BH1884=1,$D1884,MIN($D1884,BL1883)))</f>
        <v>0</v>
      </c>
      <c r="BM1884">
        <f>IF($A1884="","",IF(BI1884=1,F1884,""))</f>
        <v>0</v>
      </c>
      <c r="BN1884">
        <f>IF($A1884="","",DATE(YEAR($A1884),MONTH($A1884),1))</f>
        <v>0</v>
      </c>
      <c r="BO1884">
        <f>IF($A1884="","",IF($A1883="",1,IF(BN1884&lt;&gt;BN1883,1,0)))</f>
        <v>0</v>
      </c>
      <c r="BP1884">
        <f>IF($A1884="","",IF($A1885="",1,IF(BN1885&lt;&gt;BN1884,1,0)))</f>
        <v>0</v>
      </c>
      <c r="BQ1884">
        <f>IF($A1884="","",IF(BO1884=1,$B1884,BQ1883))</f>
        <v>0</v>
      </c>
      <c r="BR1884">
        <f>IF($A1884="","",IF(BO1884=1,$C1884,MAX($C1884,BR1883)))</f>
        <v>0</v>
      </c>
      <c r="BS1884">
        <f>IF($A1884="","",IF(BO1884=1,$D1884,MIN($D1884,BS1883)))</f>
        <v>0</v>
      </c>
      <c r="BT1884">
        <f>IF($A1884="","",IF(BP1884=1,F1884,""))</f>
        <v>0</v>
      </c>
    </row>
    <row r="1885" spans="1:72">
      <c r="A1885" s="27">
        <f>IF(Data!$A1885="","",Data!$A1885)</f>
        <v>0</v>
      </c>
      <c r="B1885">
        <f>IF(Data!$B1885="","",Data!$B1885)</f>
        <v>0</v>
      </c>
      <c r="C1885">
        <f>IF(Data!$C1885="","",Data!$C1885)</f>
        <v>0</v>
      </c>
      <c r="D1885">
        <f>IF(Data!$D1885="","",Data!$D1885)</f>
        <v>0</v>
      </c>
      <c r="E1885">
        <f>IF(Data!$E1885="","",Data!$E1885)</f>
        <v>0</v>
      </c>
      <c r="F1885">
        <f>IF($E1885="","",N(F1884)+1)</f>
        <v>0</v>
      </c>
      <c r="G1885">
        <f>IF(OR($E1885="",$E1884=""),"",LN($E1885/$E1884))</f>
        <v>0</v>
      </c>
      <c r="H1885">
        <f>IF($E1885="","",IF($E1884="",$E1885,$E1885*0.0952380952+H1884*0.9047619048))</f>
        <v>0</v>
      </c>
      <c r="I1885">
        <f>IF($E1885="","",IF($E1884="",$E1885,$E1885*0.0392156863+I1884*0.9607843137))</f>
        <v>0</v>
      </c>
      <c r="J1885">
        <f>IF($E1885="","",IF($E1884="",$E1885,$E1885*0.0198019802+J1884*0.9801980198))</f>
        <v>0</v>
      </c>
      <c r="K1885">
        <f>IF($E1885="","",IF($E1884="",$E1885,$E1885*0.0099502488+K1884*0.9900497512))</f>
        <v>0</v>
      </c>
      <c r="L1885">
        <f>IF(OR($E1885="",$E1884=""),"",MAX($E1885-$E1884,0))</f>
        <v>0</v>
      </c>
      <c r="M1885">
        <f>IF(OR($E1885="",$E1884=""),"",MAX($E1884-$E1885,0))</f>
        <v>0</v>
      </c>
      <c r="N1885">
        <f>IF(COUNT($E$2:$E1885)&lt;15,"",IF(AVERAGE($M$1872:$M$1885)=0,100,100-100/(1+AVERAGE($L$1872:$L$1885)/AVERAGE($M$1872:$M$1885))))</f>
        <v>0</v>
      </c>
      <c r="O1885">
        <f>IF($E1885="","",IF($E1884="",$E1885,$E1885*0.1538461538+O1884*0.8461538462))</f>
        <v>0</v>
      </c>
      <c r="P1885">
        <f>IF($E1885="","",IF($E1884="",$E1885,$E1885*0.0740740741+P1884*0.9259259259))</f>
        <v>0</v>
      </c>
      <c r="Q1885">
        <f>IF(OR(O1885="",P1885=""),"",O1885-P1885)</f>
        <v>0</v>
      </c>
      <c r="R1885">
        <f>IF(Q1885="","",IF(R1884="",Q1885,Q1885*0.2000000000+R1884*0.8000000000))</f>
        <v>0</v>
      </c>
      <c r="S1885">
        <f>IF(OR(Q1885="",R1885=""),"",Q1885-R1885)</f>
        <v>0</v>
      </c>
      <c r="T1885">
        <f>IF(COUNT($E$2:$E1885)&lt;14,"",MAX($C$1872:$C$1885))</f>
        <v>0</v>
      </c>
      <c r="U1885">
        <f>IF(COUNT($E$2:$E1885)&lt;14,"",MIN($D$1872:$D$1885))</f>
        <v>0</v>
      </c>
      <c r="V1885">
        <f>IF(OR(T1885="",U1885="",T1885=U1885),"",100*($E1885-U1885)/(T1885-U1885))</f>
        <v>0</v>
      </c>
      <c r="W1885">
        <f>IF(COUNT($V$1883:$V$1885)&lt;3,"",AVERAGE($V$1883:$V$1885))</f>
        <v>0</v>
      </c>
      <c r="X1885">
        <f>IF(COUNT($N$1872:$N$1885)&lt;14,"",MIN($N$1872:$N$1885))</f>
        <v>0</v>
      </c>
      <c r="Y1885">
        <f>IF(COUNT($N$1872:$N$1885)&lt;14,"",MAX($N$1872:$N$1885))</f>
        <v>0</v>
      </c>
      <c r="Z1885">
        <f>IF(OR(N1885="",X1885="",Y1885="",Y1885=X1885),"",100*(N1885-X1885)/(Y1885-X1885))</f>
        <v>0</v>
      </c>
      <c r="AA1885">
        <f>IF(COUNT($Z$1883:$Z$1885)&lt;3,"",AVERAGE($Z$1883:$Z$1885))</f>
        <v>0</v>
      </c>
      <c r="AB1885">
        <f>IF(COUNT($AA$1883:$AA$1885)&lt;3,"",AVERAGE($AA$1883:$AA$1885))</f>
        <v>0</v>
      </c>
      <c r="AC1885">
        <f>IF($E1885="","",MAX($C1885-$D1885,ABS($C1885-$E1884),ABS($D1885-$E1884)))</f>
        <v>0</v>
      </c>
      <c r="AD1885">
        <f>IF(COUNT($E$2:$E1885)&lt;15,"",AVERAGE($AC$1872:$AC$1885))</f>
        <v>0</v>
      </c>
      <c r="AE1885">
        <f>IF(OR($E1885="",$E1884=""),"",IF(AND(($C1885-$C1884)&gt;($D1884-$D1885),($C1885-$C1884)&gt;0),$C1885-$C1884,0))</f>
        <v>0</v>
      </c>
      <c r="AF1885">
        <f>IF(OR($E1885="",$E1884=""),"",IF(AND(($D1884-$D1885)&gt;($C1885-$C1884),($D1884-$D1885)&gt;0),$D1884-$D1885,0))</f>
        <v>0</v>
      </c>
      <c r="AG1885">
        <f>IF(COUNT($E$2:$E1885)&lt;15,"",IF(SUM($AC$1872:$AC$1885)=0,0,100*SUM($AE$1872:$AE$1885)/SUM($AC$1872:$AC$1885)))</f>
        <v>0</v>
      </c>
      <c r="AH1885">
        <f>IF(COUNT($E$2:$E1885)&lt;15,"",IF(SUM($AC$1872:$AC$1885)=0,0,100*SUM($AF$1872:$AF$1885)/SUM($AC$1872:$AC$1885)))</f>
        <v>0</v>
      </c>
      <c r="AI1885">
        <f>IF(OR(AG1885="",AH1885=""),"",IF((AG1885+AH1885)=0,0,100*ABS(AG1885-AH1885)/(AG1885+AH1885)))</f>
        <v>0</v>
      </c>
      <c r="AJ1885">
        <f>IF(COUNT($AI$1872:$AI$1885)&lt;14,"",AVERAGE($AI$1872:$AI$1885))</f>
        <v>0</v>
      </c>
      <c r="AK1885">
        <f>IF(COUNT($E$2:$E1885)&lt;20,"",AVERAGE($E$1866:$E$1885))</f>
        <v>0</v>
      </c>
      <c r="AL1885">
        <f>IF(COUNT($E$2:$E1885)&lt;20,"",STDEVP($E$1866:$E$1885))</f>
        <v>0</v>
      </c>
      <c r="AM1885">
        <f>IF(AK1885="","",AK1885+2*AL1885)</f>
        <v>0</v>
      </c>
      <c r="AN1885">
        <f>IF(AK1885="","",AK1885-2*AL1885)</f>
        <v>0</v>
      </c>
      <c r="AO1885">
        <f>IF(OR(AM1885="",AN1885="",AM1885=AN1885),"",($E1885-AN1885)/(AM1885-AN1885))</f>
        <v>0</v>
      </c>
      <c r="AP1885">
        <f>IF(OR(AM1885="",AK1885="",AK1885=0),"",(AM1885-AN1885)/AK1885)</f>
        <v>0</v>
      </c>
      <c r="AQ1885">
        <f>IF(COUNT($E$2:$E1885)&lt;20,"",MAX($C$1866:$C$1885))</f>
        <v>0</v>
      </c>
      <c r="AR1885">
        <f>IF(COUNT($E$2:$E1885)&lt;20,"",MIN($D$1866:$D$1885))</f>
        <v>0</v>
      </c>
      <c r="AS1885">
        <f>IF(OR(AQ1885="",AR1885=""),"",(AQ1885+AR1885)/2)</f>
        <v>0</v>
      </c>
      <c r="AT1885">
        <f>IF(COUNT($G$1866:$G$1885)&lt;20,"",STDEV($G$1866:$G$1885)*SQRT(252))</f>
        <v>0</v>
      </c>
      <c r="AU1885">
        <f>IF(COUNT($E$2:$E1885)&lt;9,"",(MAX($C$1877:$C$1885)+MIN($D$1877:$D$1885))/2)</f>
        <v>0</v>
      </c>
      <c r="AV1885">
        <f>IF(COUNT($E$2:$E1885)&lt;26,"",(MAX($C$1860:$C$1885)+MIN($D$1860:$D$1885))/2)</f>
        <v>0</v>
      </c>
      <c r="AW1885">
        <f>IF(OR(AU1885="",AV1885=""),"",(AU1885+AV1885)/2)</f>
        <v>0</v>
      </c>
      <c r="AX1885">
        <f>IF(COUNT($E$2:$E1885)&lt;52,"",(MAX($C$1834:$C$1885)+MIN($D$1834:$D$1885))/2)</f>
        <v>0</v>
      </c>
      <c r="AY1885">
        <f>IF(COUNT($E$2:$E1885)&lt;20,"",MAX($C$1786:$C$1885))</f>
        <v>0</v>
      </c>
      <c r="AZ1885">
        <f>IF(COUNT($E$2:$E1885)&lt;20,"",MIN($D$1786:$D$1885))</f>
        <v>0</v>
      </c>
      <c r="BA1885">
        <f>IF(COUNT($E$2:$E1885)&lt;20,"",SLOPE($E$1786:$E$1885,$F$1786:$F$1885))</f>
        <v>0</v>
      </c>
      <c r="BB1885">
        <f>IF(COUNT($E$2:$E1885)&lt;20,"",INTERCEPT($E$1786:$E$1885,$F$1786:$F$1885))</f>
        <v>0</v>
      </c>
      <c r="BC1885">
        <f>IF(OR(BA1885="",BB1885=""),"",BB1885+BA1885*F1885)</f>
        <v>0</v>
      </c>
      <c r="BD1885">
        <f>IF(COUNT($E$2:$E1885)&lt;20,"",STEYX($E$1786:$E$1885,$F$1786:$F$1885))</f>
        <v>0</v>
      </c>
      <c r="BE1885">
        <f>IF($E1885="","",IF(AND(COUNT($E$1886:$E$1889)&gt;=4,$C1885=MAX($C$1881:$C$1889)),$C1885,""))</f>
        <v>0</v>
      </c>
      <c r="BF1885">
        <f>IF($E1885="","",IF(AND(COUNT($E$1886:$E$1889)&gt;=4,$D1885=MIN($D$1881:$D$1889)),$D1885,""))</f>
        <v>0</v>
      </c>
      <c r="BG1885">
        <f>IF($A1885="","",$A1885-WEEKDAY($A1885,2)+1)</f>
        <v>0</v>
      </c>
      <c r="BH1885">
        <f>IF($A1885="","",IF($A1884="",1,IF(BG1885&lt;&gt;BG1884,1,0)))</f>
        <v>0</v>
      </c>
      <c r="BI1885">
        <f>IF($A1885="","",IF($A1886="",1,IF(BG1886&lt;&gt;BG1885,1,0)))</f>
        <v>0</v>
      </c>
      <c r="BJ1885">
        <f>IF($A1885="","",IF(BH1885=1,$B1885,BJ1884))</f>
        <v>0</v>
      </c>
      <c r="BK1885">
        <f>IF($A1885="","",IF(BH1885=1,$C1885,MAX($C1885,BK1884)))</f>
        <v>0</v>
      </c>
      <c r="BL1885">
        <f>IF($A1885="","",IF(BH1885=1,$D1885,MIN($D1885,BL1884)))</f>
        <v>0</v>
      </c>
      <c r="BM1885">
        <f>IF($A1885="","",IF(BI1885=1,F1885,""))</f>
        <v>0</v>
      </c>
      <c r="BN1885">
        <f>IF($A1885="","",DATE(YEAR($A1885),MONTH($A1885),1))</f>
        <v>0</v>
      </c>
      <c r="BO1885">
        <f>IF($A1885="","",IF($A1884="",1,IF(BN1885&lt;&gt;BN1884,1,0)))</f>
        <v>0</v>
      </c>
      <c r="BP1885">
        <f>IF($A1885="","",IF($A1886="",1,IF(BN1886&lt;&gt;BN1885,1,0)))</f>
        <v>0</v>
      </c>
      <c r="BQ1885">
        <f>IF($A1885="","",IF(BO1885=1,$B1885,BQ1884))</f>
        <v>0</v>
      </c>
      <c r="BR1885">
        <f>IF($A1885="","",IF(BO1885=1,$C1885,MAX($C1885,BR1884)))</f>
        <v>0</v>
      </c>
      <c r="BS1885">
        <f>IF($A1885="","",IF(BO1885=1,$D1885,MIN($D1885,BS1884)))</f>
        <v>0</v>
      </c>
      <c r="BT1885">
        <f>IF($A1885="","",IF(BP1885=1,F1885,""))</f>
        <v>0</v>
      </c>
    </row>
    <row r="1886" spans="1:72">
      <c r="A1886" s="27">
        <f>IF(Data!$A1886="","",Data!$A1886)</f>
        <v>0</v>
      </c>
      <c r="B1886">
        <f>IF(Data!$B1886="","",Data!$B1886)</f>
        <v>0</v>
      </c>
      <c r="C1886">
        <f>IF(Data!$C1886="","",Data!$C1886)</f>
        <v>0</v>
      </c>
      <c r="D1886">
        <f>IF(Data!$D1886="","",Data!$D1886)</f>
        <v>0</v>
      </c>
      <c r="E1886">
        <f>IF(Data!$E1886="","",Data!$E1886)</f>
        <v>0</v>
      </c>
      <c r="F1886">
        <f>IF($E1886="","",N(F1885)+1)</f>
        <v>0</v>
      </c>
      <c r="G1886">
        <f>IF(OR($E1886="",$E1885=""),"",LN($E1886/$E1885))</f>
        <v>0</v>
      </c>
      <c r="H1886">
        <f>IF($E1886="","",IF($E1885="",$E1886,$E1886*0.0952380952+H1885*0.9047619048))</f>
        <v>0</v>
      </c>
      <c r="I1886">
        <f>IF($E1886="","",IF($E1885="",$E1886,$E1886*0.0392156863+I1885*0.9607843137))</f>
        <v>0</v>
      </c>
      <c r="J1886">
        <f>IF($E1886="","",IF($E1885="",$E1886,$E1886*0.0198019802+J1885*0.9801980198))</f>
        <v>0</v>
      </c>
      <c r="K1886">
        <f>IF($E1886="","",IF($E1885="",$E1886,$E1886*0.0099502488+K1885*0.9900497512))</f>
        <v>0</v>
      </c>
      <c r="L1886">
        <f>IF(OR($E1886="",$E1885=""),"",MAX($E1886-$E1885,0))</f>
        <v>0</v>
      </c>
      <c r="M1886">
        <f>IF(OR($E1886="",$E1885=""),"",MAX($E1885-$E1886,0))</f>
        <v>0</v>
      </c>
      <c r="N1886">
        <f>IF(COUNT($E$2:$E1886)&lt;15,"",IF(AVERAGE($M$1873:$M$1886)=0,100,100-100/(1+AVERAGE($L$1873:$L$1886)/AVERAGE($M$1873:$M$1886))))</f>
        <v>0</v>
      </c>
      <c r="O1886">
        <f>IF($E1886="","",IF($E1885="",$E1886,$E1886*0.1538461538+O1885*0.8461538462))</f>
        <v>0</v>
      </c>
      <c r="P1886">
        <f>IF($E1886="","",IF($E1885="",$E1886,$E1886*0.0740740741+P1885*0.9259259259))</f>
        <v>0</v>
      </c>
      <c r="Q1886">
        <f>IF(OR(O1886="",P1886=""),"",O1886-P1886)</f>
        <v>0</v>
      </c>
      <c r="R1886">
        <f>IF(Q1886="","",IF(R1885="",Q1886,Q1886*0.2000000000+R1885*0.8000000000))</f>
        <v>0</v>
      </c>
      <c r="S1886">
        <f>IF(OR(Q1886="",R1886=""),"",Q1886-R1886)</f>
        <v>0</v>
      </c>
      <c r="T1886">
        <f>IF(COUNT($E$2:$E1886)&lt;14,"",MAX($C$1873:$C$1886))</f>
        <v>0</v>
      </c>
      <c r="U1886">
        <f>IF(COUNT($E$2:$E1886)&lt;14,"",MIN($D$1873:$D$1886))</f>
        <v>0</v>
      </c>
      <c r="V1886">
        <f>IF(OR(T1886="",U1886="",T1886=U1886),"",100*($E1886-U1886)/(T1886-U1886))</f>
        <v>0</v>
      </c>
      <c r="W1886">
        <f>IF(COUNT($V$1884:$V$1886)&lt;3,"",AVERAGE($V$1884:$V$1886))</f>
        <v>0</v>
      </c>
      <c r="X1886">
        <f>IF(COUNT($N$1873:$N$1886)&lt;14,"",MIN($N$1873:$N$1886))</f>
        <v>0</v>
      </c>
      <c r="Y1886">
        <f>IF(COUNT($N$1873:$N$1886)&lt;14,"",MAX($N$1873:$N$1886))</f>
        <v>0</v>
      </c>
      <c r="Z1886">
        <f>IF(OR(N1886="",X1886="",Y1886="",Y1886=X1886),"",100*(N1886-X1886)/(Y1886-X1886))</f>
        <v>0</v>
      </c>
      <c r="AA1886">
        <f>IF(COUNT($Z$1884:$Z$1886)&lt;3,"",AVERAGE($Z$1884:$Z$1886))</f>
        <v>0</v>
      </c>
      <c r="AB1886">
        <f>IF(COUNT($AA$1884:$AA$1886)&lt;3,"",AVERAGE($AA$1884:$AA$1886))</f>
        <v>0</v>
      </c>
      <c r="AC1886">
        <f>IF($E1886="","",MAX($C1886-$D1886,ABS($C1886-$E1885),ABS($D1886-$E1885)))</f>
        <v>0</v>
      </c>
      <c r="AD1886">
        <f>IF(COUNT($E$2:$E1886)&lt;15,"",AVERAGE($AC$1873:$AC$1886))</f>
        <v>0</v>
      </c>
      <c r="AE1886">
        <f>IF(OR($E1886="",$E1885=""),"",IF(AND(($C1886-$C1885)&gt;($D1885-$D1886),($C1886-$C1885)&gt;0),$C1886-$C1885,0))</f>
        <v>0</v>
      </c>
      <c r="AF1886">
        <f>IF(OR($E1886="",$E1885=""),"",IF(AND(($D1885-$D1886)&gt;($C1886-$C1885),($D1885-$D1886)&gt;0),$D1885-$D1886,0))</f>
        <v>0</v>
      </c>
      <c r="AG1886">
        <f>IF(COUNT($E$2:$E1886)&lt;15,"",IF(SUM($AC$1873:$AC$1886)=0,0,100*SUM($AE$1873:$AE$1886)/SUM($AC$1873:$AC$1886)))</f>
        <v>0</v>
      </c>
      <c r="AH1886">
        <f>IF(COUNT($E$2:$E1886)&lt;15,"",IF(SUM($AC$1873:$AC$1886)=0,0,100*SUM($AF$1873:$AF$1886)/SUM($AC$1873:$AC$1886)))</f>
        <v>0</v>
      </c>
      <c r="AI1886">
        <f>IF(OR(AG1886="",AH1886=""),"",IF((AG1886+AH1886)=0,0,100*ABS(AG1886-AH1886)/(AG1886+AH1886)))</f>
        <v>0</v>
      </c>
      <c r="AJ1886">
        <f>IF(COUNT($AI$1873:$AI$1886)&lt;14,"",AVERAGE($AI$1873:$AI$1886))</f>
        <v>0</v>
      </c>
      <c r="AK1886">
        <f>IF(COUNT($E$2:$E1886)&lt;20,"",AVERAGE($E$1867:$E$1886))</f>
        <v>0</v>
      </c>
      <c r="AL1886">
        <f>IF(COUNT($E$2:$E1886)&lt;20,"",STDEVP($E$1867:$E$1886))</f>
        <v>0</v>
      </c>
      <c r="AM1886">
        <f>IF(AK1886="","",AK1886+2*AL1886)</f>
        <v>0</v>
      </c>
      <c r="AN1886">
        <f>IF(AK1886="","",AK1886-2*AL1886)</f>
        <v>0</v>
      </c>
      <c r="AO1886">
        <f>IF(OR(AM1886="",AN1886="",AM1886=AN1886),"",($E1886-AN1886)/(AM1886-AN1886))</f>
        <v>0</v>
      </c>
      <c r="AP1886">
        <f>IF(OR(AM1886="",AK1886="",AK1886=0),"",(AM1886-AN1886)/AK1886)</f>
        <v>0</v>
      </c>
      <c r="AQ1886">
        <f>IF(COUNT($E$2:$E1886)&lt;20,"",MAX($C$1867:$C$1886))</f>
        <v>0</v>
      </c>
      <c r="AR1886">
        <f>IF(COUNT($E$2:$E1886)&lt;20,"",MIN($D$1867:$D$1886))</f>
        <v>0</v>
      </c>
      <c r="AS1886">
        <f>IF(OR(AQ1886="",AR1886=""),"",(AQ1886+AR1886)/2)</f>
        <v>0</v>
      </c>
      <c r="AT1886">
        <f>IF(COUNT($G$1867:$G$1886)&lt;20,"",STDEV($G$1867:$G$1886)*SQRT(252))</f>
        <v>0</v>
      </c>
      <c r="AU1886">
        <f>IF(COUNT($E$2:$E1886)&lt;9,"",(MAX($C$1878:$C$1886)+MIN($D$1878:$D$1886))/2)</f>
        <v>0</v>
      </c>
      <c r="AV1886">
        <f>IF(COUNT($E$2:$E1886)&lt;26,"",(MAX($C$1861:$C$1886)+MIN($D$1861:$D$1886))/2)</f>
        <v>0</v>
      </c>
      <c r="AW1886">
        <f>IF(OR(AU1886="",AV1886=""),"",(AU1886+AV1886)/2)</f>
        <v>0</v>
      </c>
      <c r="AX1886">
        <f>IF(COUNT($E$2:$E1886)&lt;52,"",(MAX($C$1835:$C$1886)+MIN($D$1835:$D$1886))/2)</f>
        <v>0</v>
      </c>
      <c r="AY1886">
        <f>IF(COUNT($E$2:$E1886)&lt;20,"",MAX($C$1787:$C$1886))</f>
        <v>0</v>
      </c>
      <c r="AZ1886">
        <f>IF(COUNT($E$2:$E1886)&lt;20,"",MIN($D$1787:$D$1886))</f>
        <v>0</v>
      </c>
      <c r="BA1886">
        <f>IF(COUNT($E$2:$E1886)&lt;20,"",SLOPE($E$1787:$E$1886,$F$1787:$F$1886))</f>
        <v>0</v>
      </c>
      <c r="BB1886">
        <f>IF(COUNT($E$2:$E1886)&lt;20,"",INTERCEPT($E$1787:$E$1886,$F$1787:$F$1886))</f>
        <v>0</v>
      </c>
      <c r="BC1886">
        <f>IF(OR(BA1886="",BB1886=""),"",BB1886+BA1886*F1886)</f>
        <v>0</v>
      </c>
      <c r="BD1886">
        <f>IF(COUNT($E$2:$E1886)&lt;20,"",STEYX($E$1787:$E$1886,$F$1787:$F$1886))</f>
        <v>0</v>
      </c>
      <c r="BE1886">
        <f>IF($E1886="","",IF(AND(COUNT($E$1887:$E$1890)&gt;=4,$C1886=MAX($C$1882:$C$1890)),$C1886,""))</f>
        <v>0</v>
      </c>
      <c r="BF1886">
        <f>IF($E1886="","",IF(AND(COUNT($E$1887:$E$1890)&gt;=4,$D1886=MIN($D$1882:$D$1890)),$D1886,""))</f>
        <v>0</v>
      </c>
      <c r="BG1886">
        <f>IF($A1886="","",$A1886-WEEKDAY($A1886,2)+1)</f>
        <v>0</v>
      </c>
      <c r="BH1886">
        <f>IF($A1886="","",IF($A1885="",1,IF(BG1886&lt;&gt;BG1885,1,0)))</f>
        <v>0</v>
      </c>
      <c r="BI1886">
        <f>IF($A1886="","",IF($A1887="",1,IF(BG1887&lt;&gt;BG1886,1,0)))</f>
        <v>0</v>
      </c>
      <c r="BJ1886">
        <f>IF($A1886="","",IF(BH1886=1,$B1886,BJ1885))</f>
        <v>0</v>
      </c>
      <c r="BK1886">
        <f>IF($A1886="","",IF(BH1886=1,$C1886,MAX($C1886,BK1885)))</f>
        <v>0</v>
      </c>
      <c r="BL1886">
        <f>IF($A1886="","",IF(BH1886=1,$D1886,MIN($D1886,BL1885)))</f>
        <v>0</v>
      </c>
      <c r="BM1886">
        <f>IF($A1886="","",IF(BI1886=1,F1886,""))</f>
        <v>0</v>
      </c>
      <c r="BN1886">
        <f>IF($A1886="","",DATE(YEAR($A1886),MONTH($A1886),1))</f>
        <v>0</v>
      </c>
      <c r="BO1886">
        <f>IF($A1886="","",IF($A1885="",1,IF(BN1886&lt;&gt;BN1885,1,0)))</f>
        <v>0</v>
      </c>
      <c r="BP1886">
        <f>IF($A1886="","",IF($A1887="",1,IF(BN1887&lt;&gt;BN1886,1,0)))</f>
        <v>0</v>
      </c>
      <c r="BQ1886">
        <f>IF($A1886="","",IF(BO1886=1,$B1886,BQ1885))</f>
        <v>0</v>
      </c>
      <c r="BR1886">
        <f>IF($A1886="","",IF(BO1886=1,$C1886,MAX($C1886,BR1885)))</f>
        <v>0</v>
      </c>
      <c r="BS1886">
        <f>IF($A1886="","",IF(BO1886=1,$D1886,MIN($D1886,BS1885)))</f>
        <v>0</v>
      </c>
      <c r="BT1886">
        <f>IF($A1886="","",IF(BP1886=1,F1886,""))</f>
        <v>0</v>
      </c>
    </row>
    <row r="1887" spans="1:72">
      <c r="A1887" s="27">
        <f>IF(Data!$A1887="","",Data!$A1887)</f>
        <v>0</v>
      </c>
      <c r="B1887">
        <f>IF(Data!$B1887="","",Data!$B1887)</f>
        <v>0</v>
      </c>
      <c r="C1887">
        <f>IF(Data!$C1887="","",Data!$C1887)</f>
        <v>0</v>
      </c>
      <c r="D1887">
        <f>IF(Data!$D1887="","",Data!$D1887)</f>
        <v>0</v>
      </c>
      <c r="E1887">
        <f>IF(Data!$E1887="","",Data!$E1887)</f>
        <v>0</v>
      </c>
      <c r="F1887">
        <f>IF($E1887="","",N(F1886)+1)</f>
        <v>0</v>
      </c>
      <c r="G1887">
        <f>IF(OR($E1887="",$E1886=""),"",LN($E1887/$E1886))</f>
        <v>0</v>
      </c>
      <c r="H1887">
        <f>IF($E1887="","",IF($E1886="",$E1887,$E1887*0.0952380952+H1886*0.9047619048))</f>
        <v>0</v>
      </c>
      <c r="I1887">
        <f>IF($E1887="","",IF($E1886="",$E1887,$E1887*0.0392156863+I1886*0.9607843137))</f>
        <v>0</v>
      </c>
      <c r="J1887">
        <f>IF($E1887="","",IF($E1886="",$E1887,$E1887*0.0198019802+J1886*0.9801980198))</f>
        <v>0</v>
      </c>
      <c r="K1887">
        <f>IF($E1887="","",IF($E1886="",$E1887,$E1887*0.0099502488+K1886*0.9900497512))</f>
        <v>0</v>
      </c>
      <c r="L1887">
        <f>IF(OR($E1887="",$E1886=""),"",MAX($E1887-$E1886,0))</f>
        <v>0</v>
      </c>
      <c r="M1887">
        <f>IF(OR($E1887="",$E1886=""),"",MAX($E1886-$E1887,0))</f>
        <v>0</v>
      </c>
      <c r="N1887">
        <f>IF(COUNT($E$2:$E1887)&lt;15,"",IF(AVERAGE($M$1874:$M$1887)=0,100,100-100/(1+AVERAGE($L$1874:$L$1887)/AVERAGE($M$1874:$M$1887))))</f>
        <v>0</v>
      </c>
      <c r="O1887">
        <f>IF($E1887="","",IF($E1886="",$E1887,$E1887*0.1538461538+O1886*0.8461538462))</f>
        <v>0</v>
      </c>
      <c r="P1887">
        <f>IF($E1887="","",IF($E1886="",$E1887,$E1887*0.0740740741+P1886*0.9259259259))</f>
        <v>0</v>
      </c>
      <c r="Q1887">
        <f>IF(OR(O1887="",P1887=""),"",O1887-P1887)</f>
        <v>0</v>
      </c>
      <c r="R1887">
        <f>IF(Q1887="","",IF(R1886="",Q1887,Q1887*0.2000000000+R1886*0.8000000000))</f>
        <v>0</v>
      </c>
      <c r="S1887">
        <f>IF(OR(Q1887="",R1887=""),"",Q1887-R1887)</f>
        <v>0</v>
      </c>
      <c r="T1887">
        <f>IF(COUNT($E$2:$E1887)&lt;14,"",MAX($C$1874:$C$1887))</f>
        <v>0</v>
      </c>
      <c r="U1887">
        <f>IF(COUNT($E$2:$E1887)&lt;14,"",MIN($D$1874:$D$1887))</f>
        <v>0</v>
      </c>
      <c r="V1887">
        <f>IF(OR(T1887="",U1887="",T1887=U1887),"",100*($E1887-U1887)/(T1887-U1887))</f>
        <v>0</v>
      </c>
      <c r="W1887">
        <f>IF(COUNT($V$1885:$V$1887)&lt;3,"",AVERAGE($V$1885:$V$1887))</f>
        <v>0</v>
      </c>
      <c r="X1887">
        <f>IF(COUNT($N$1874:$N$1887)&lt;14,"",MIN($N$1874:$N$1887))</f>
        <v>0</v>
      </c>
      <c r="Y1887">
        <f>IF(COUNT($N$1874:$N$1887)&lt;14,"",MAX($N$1874:$N$1887))</f>
        <v>0</v>
      </c>
      <c r="Z1887">
        <f>IF(OR(N1887="",X1887="",Y1887="",Y1887=X1887),"",100*(N1887-X1887)/(Y1887-X1887))</f>
        <v>0</v>
      </c>
      <c r="AA1887">
        <f>IF(COUNT($Z$1885:$Z$1887)&lt;3,"",AVERAGE($Z$1885:$Z$1887))</f>
        <v>0</v>
      </c>
      <c r="AB1887">
        <f>IF(COUNT($AA$1885:$AA$1887)&lt;3,"",AVERAGE($AA$1885:$AA$1887))</f>
        <v>0</v>
      </c>
      <c r="AC1887">
        <f>IF($E1887="","",MAX($C1887-$D1887,ABS($C1887-$E1886),ABS($D1887-$E1886)))</f>
        <v>0</v>
      </c>
      <c r="AD1887">
        <f>IF(COUNT($E$2:$E1887)&lt;15,"",AVERAGE($AC$1874:$AC$1887))</f>
        <v>0</v>
      </c>
      <c r="AE1887">
        <f>IF(OR($E1887="",$E1886=""),"",IF(AND(($C1887-$C1886)&gt;($D1886-$D1887),($C1887-$C1886)&gt;0),$C1887-$C1886,0))</f>
        <v>0</v>
      </c>
      <c r="AF1887">
        <f>IF(OR($E1887="",$E1886=""),"",IF(AND(($D1886-$D1887)&gt;($C1887-$C1886),($D1886-$D1887)&gt;0),$D1886-$D1887,0))</f>
        <v>0</v>
      </c>
      <c r="AG1887">
        <f>IF(COUNT($E$2:$E1887)&lt;15,"",IF(SUM($AC$1874:$AC$1887)=0,0,100*SUM($AE$1874:$AE$1887)/SUM($AC$1874:$AC$1887)))</f>
        <v>0</v>
      </c>
      <c r="AH1887">
        <f>IF(COUNT($E$2:$E1887)&lt;15,"",IF(SUM($AC$1874:$AC$1887)=0,0,100*SUM($AF$1874:$AF$1887)/SUM($AC$1874:$AC$1887)))</f>
        <v>0</v>
      </c>
      <c r="AI1887">
        <f>IF(OR(AG1887="",AH1887=""),"",IF((AG1887+AH1887)=0,0,100*ABS(AG1887-AH1887)/(AG1887+AH1887)))</f>
        <v>0</v>
      </c>
      <c r="AJ1887">
        <f>IF(COUNT($AI$1874:$AI$1887)&lt;14,"",AVERAGE($AI$1874:$AI$1887))</f>
        <v>0</v>
      </c>
      <c r="AK1887">
        <f>IF(COUNT($E$2:$E1887)&lt;20,"",AVERAGE($E$1868:$E$1887))</f>
        <v>0</v>
      </c>
      <c r="AL1887">
        <f>IF(COUNT($E$2:$E1887)&lt;20,"",STDEVP($E$1868:$E$1887))</f>
        <v>0</v>
      </c>
      <c r="AM1887">
        <f>IF(AK1887="","",AK1887+2*AL1887)</f>
        <v>0</v>
      </c>
      <c r="AN1887">
        <f>IF(AK1887="","",AK1887-2*AL1887)</f>
        <v>0</v>
      </c>
      <c r="AO1887">
        <f>IF(OR(AM1887="",AN1887="",AM1887=AN1887),"",($E1887-AN1887)/(AM1887-AN1887))</f>
        <v>0</v>
      </c>
      <c r="AP1887">
        <f>IF(OR(AM1887="",AK1887="",AK1887=0),"",(AM1887-AN1887)/AK1887)</f>
        <v>0</v>
      </c>
      <c r="AQ1887">
        <f>IF(COUNT($E$2:$E1887)&lt;20,"",MAX($C$1868:$C$1887))</f>
        <v>0</v>
      </c>
      <c r="AR1887">
        <f>IF(COUNT($E$2:$E1887)&lt;20,"",MIN($D$1868:$D$1887))</f>
        <v>0</v>
      </c>
      <c r="AS1887">
        <f>IF(OR(AQ1887="",AR1887=""),"",(AQ1887+AR1887)/2)</f>
        <v>0</v>
      </c>
      <c r="AT1887">
        <f>IF(COUNT($G$1868:$G$1887)&lt;20,"",STDEV($G$1868:$G$1887)*SQRT(252))</f>
        <v>0</v>
      </c>
      <c r="AU1887">
        <f>IF(COUNT($E$2:$E1887)&lt;9,"",(MAX($C$1879:$C$1887)+MIN($D$1879:$D$1887))/2)</f>
        <v>0</v>
      </c>
      <c r="AV1887">
        <f>IF(COUNT($E$2:$E1887)&lt;26,"",(MAX($C$1862:$C$1887)+MIN($D$1862:$D$1887))/2)</f>
        <v>0</v>
      </c>
      <c r="AW1887">
        <f>IF(OR(AU1887="",AV1887=""),"",(AU1887+AV1887)/2)</f>
        <v>0</v>
      </c>
      <c r="AX1887">
        <f>IF(COUNT($E$2:$E1887)&lt;52,"",(MAX($C$1836:$C$1887)+MIN($D$1836:$D$1887))/2)</f>
        <v>0</v>
      </c>
      <c r="AY1887">
        <f>IF(COUNT($E$2:$E1887)&lt;20,"",MAX($C$1788:$C$1887))</f>
        <v>0</v>
      </c>
      <c r="AZ1887">
        <f>IF(COUNT($E$2:$E1887)&lt;20,"",MIN($D$1788:$D$1887))</f>
        <v>0</v>
      </c>
      <c r="BA1887">
        <f>IF(COUNT($E$2:$E1887)&lt;20,"",SLOPE($E$1788:$E$1887,$F$1788:$F$1887))</f>
        <v>0</v>
      </c>
      <c r="BB1887">
        <f>IF(COUNT($E$2:$E1887)&lt;20,"",INTERCEPT($E$1788:$E$1887,$F$1788:$F$1887))</f>
        <v>0</v>
      </c>
      <c r="BC1887">
        <f>IF(OR(BA1887="",BB1887=""),"",BB1887+BA1887*F1887)</f>
        <v>0</v>
      </c>
      <c r="BD1887">
        <f>IF(COUNT($E$2:$E1887)&lt;20,"",STEYX($E$1788:$E$1887,$F$1788:$F$1887))</f>
        <v>0</v>
      </c>
      <c r="BE1887">
        <f>IF($E1887="","",IF(AND(COUNT($E$1888:$E$1891)&gt;=4,$C1887=MAX($C$1883:$C$1891)),$C1887,""))</f>
        <v>0</v>
      </c>
      <c r="BF1887">
        <f>IF($E1887="","",IF(AND(COUNT($E$1888:$E$1891)&gt;=4,$D1887=MIN($D$1883:$D$1891)),$D1887,""))</f>
        <v>0</v>
      </c>
      <c r="BG1887">
        <f>IF($A1887="","",$A1887-WEEKDAY($A1887,2)+1)</f>
        <v>0</v>
      </c>
      <c r="BH1887">
        <f>IF($A1887="","",IF($A1886="",1,IF(BG1887&lt;&gt;BG1886,1,0)))</f>
        <v>0</v>
      </c>
      <c r="BI1887">
        <f>IF($A1887="","",IF($A1888="",1,IF(BG1888&lt;&gt;BG1887,1,0)))</f>
        <v>0</v>
      </c>
      <c r="BJ1887">
        <f>IF($A1887="","",IF(BH1887=1,$B1887,BJ1886))</f>
        <v>0</v>
      </c>
      <c r="BK1887">
        <f>IF($A1887="","",IF(BH1887=1,$C1887,MAX($C1887,BK1886)))</f>
        <v>0</v>
      </c>
      <c r="BL1887">
        <f>IF($A1887="","",IF(BH1887=1,$D1887,MIN($D1887,BL1886)))</f>
        <v>0</v>
      </c>
      <c r="BM1887">
        <f>IF($A1887="","",IF(BI1887=1,F1887,""))</f>
        <v>0</v>
      </c>
      <c r="BN1887">
        <f>IF($A1887="","",DATE(YEAR($A1887),MONTH($A1887),1))</f>
        <v>0</v>
      </c>
      <c r="BO1887">
        <f>IF($A1887="","",IF($A1886="",1,IF(BN1887&lt;&gt;BN1886,1,0)))</f>
        <v>0</v>
      </c>
      <c r="BP1887">
        <f>IF($A1887="","",IF($A1888="",1,IF(BN1888&lt;&gt;BN1887,1,0)))</f>
        <v>0</v>
      </c>
      <c r="BQ1887">
        <f>IF($A1887="","",IF(BO1887=1,$B1887,BQ1886))</f>
        <v>0</v>
      </c>
      <c r="BR1887">
        <f>IF($A1887="","",IF(BO1887=1,$C1887,MAX($C1887,BR1886)))</f>
        <v>0</v>
      </c>
      <c r="BS1887">
        <f>IF($A1887="","",IF(BO1887=1,$D1887,MIN($D1887,BS1886)))</f>
        <v>0</v>
      </c>
      <c r="BT1887">
        <f>IF($A1887="","",IF(BP1887=1,F1887,""))</f>
        <v>0</v>
      </c>
    </row>
    <row r="1888" spans="1:72">
      <c r="A1888" s="27">
        <f>IF(Data!$A1888="","",Data!$A1888)</f>
        <v>0</v>
      </c>
      <c r="B1888">
        <f>IF(Data!$B1888="","",Data!$B1888)</f>
        <v>0</v>
      </c>
      <c r="C1888">
        <f>IF(Data!$C1888="","",Data!$C1888)</f>
        <v>0</v>
      </c>
      <c r="D1888">
        <f>IF(Data!$D1888="","",Data!$D1888)</f>
        <v>0</v>
      </c>
      <c r="E1888">
        <f>IF(Data!$E1888="","",Data!$E1888)</f>
        <v>0</v>
      </c>
      <c r="F1888">
        <f>IF($E1888="","",N(F1887)+1)</f>
        <v>0</v>
      </c>
      <c r="G1888">
        <f>IF(OR($E1888="",$E1887=""),"",LN($E1888/$E1887))</f>
        <v>0</v>
      </c>
      <c r="H1888">
        <f>IF($E1888="","",IF($E1887="",$E1888,$E1888*0.0952380952+H1887*0.9047619048))</f>
        <v>0</v>
      </c>
      <c r="I1888">
        <f>IF($E1888="","",IF($E1887="",$E1888,$E1888*0.0392156863+I1887*0.9607843137))</f>
        <v>0</v>
      </c>
      <c r="J1888">
        <f>IF($E1888="","",IF($E1887="",$E1888,$E1888*0.0198019802+J1887*0.9801980198))</f>
        <v>0</v>
      </c>
      <c r="K1888">
        <f>IF($E1888="","",IF($E1887="",$E1888,$E1888*0.0099502488+K1887*0.9900497512))</f>
        <v>0</v>
      </c>
      <c r="L1888">
        <f>IF(OR($E1888="",$E1887=""),"",MAX($E1888-$E1887,0))</f>
        <v>0</v>
      </c>
      <c r="M1888">
        <f>IF(OR($E1888="",$E1887=""),"",MAX($E1887-$E1888,0))</f>
        <v>0</v>
      </c>
      <c r="N1888">
        <f>IF(COUNT($E$2:$E1888)&lt;15,"",IF(AVERAGE($M$1875:$M$1888)=0,100,100-100/(1+AVERAGE($L$1875:$L$1888)/AVERAGE($M$1875:$M$1888))))</f>
        <v>0</v>
      </c>
      <c r="O1888">
        <f>IF($E1888="","",IF($E1887="",$E1888,$E1888*0.1538461538+O1887*0.8461538462))</f>
        <v>0</v>
      </c>
      <c r="P1888">
        <f>IF($E1888="","",IF($E1887="",$E1888,$E1888*0.0740740741+P1887*0.9259259259))</f>
        <v>0</v>
      </c>
      <c r="Q1888">
        <f>IF(OR(O1888="",P1888=""),"",O1888-P1888)</f>
        <v>0</v>
      </c>
      <c r="R1888">
        <f>IF(Q1888="","",IF(R1887="",Q1888,Q1888*0.2000000000+R1887*0.8000000000))</f>
        <v>0</v>
      </c>
      <c r="S1888">
        <f>IF(OR(Q1888="",R1888=""),"",Q1888-R1888)</f>
        <v>0</v>
      </c>
      <c r="T1888">
        <f>IF(COUNT($E$2:$E1888)&lt;14,"",MAX($C$1875:$C$1888))</f>
        <v>0</v>
      </c>
      <c r="U1888">
        <f>IF(COUNT($E$2:$E1888)&lt;14,"",MIN($D$1875:$D$1888))</f>
        <v>0</v>
      </c>
      <c r="V1888">
        <f>IF(OR(T1888="",U1888="",T1888=U1888),"",100*($E1888-U1888)/(T1888-U1888))</f>
        <v>0</v>
      </c>
      <c r="W1888">
        <f>IF(COUNT($V$1886:$V$1888)&lt;3,"",AVERAGE($V$1886:$V$1888))</f>
        <v>0</v>
      </c>
      <c r="X1888">
        <f>IF(COUNT($N$1875:$N$1888)&lt;14,"",MIN($N$1875:$N$1888))</f>
        <v>0</v>
      </c>
      <c r="Y1888">
        <f>IF(COUNT($N$1875:$N$1888)&lt;14,"",MAX($N$1875:$N$1888))</f>
        <v>0</v>
      </c>
      <c r="Z1888">
        <f>IF(OR(N1888="",X1888="",Y1888="",Y1888=X1888),"",100*(N1888-X1888)/(Y1888-X1888))</f>
        <v>0</v>
      </c>
      <c r="AA1888">
        <f>IF(COUNT($Z$1886:$Z$1888)&lt;3,"",AVERAGE($Z$1886:$Z$1888))</f>
        <v>0</v>
      </c>
      <c r="AB1888">
        <f>IF(COUNT($AA$1886:$AA$1888)&lt;3,"",AVERAGE($AA$1886:$AA$1888))</f>
        <v>0</v>
      </c>
      <c r="AC1888">
        <f>IF($E1888="","",MAX($C1888-$D1888,ABS($C1888-$E1887),ABS($D1888-$E1887)))</f>
        <v>0</v>
      </c>
      <c r="AD1888">
        <f>IF(COUNT($E$2:$E1888)&lt;15,"",AVERAGE($AC$1875:$AC$1888))</f>
        <v>0</v>
      </c>
      <c r="AE1888">
        <f>IF(OR($E1888="",$E1887=""),"",IF(AND(($C1888-$C1887)&gt;($D1887-$D1888),($C1888-$C1887)&gt;0),$C1888-$C1887,0))</f>
        <v>0</v>
      </c>
      <c r="AF1888">
        <f>IF(OR($E1888="",$E1887=""),"",IF(AND(($D1887-$D1888)&gt;($C1888-$C1887),($D1887-$D1888)&gt;0),$D1887-$D1888,0))</f>
        <v>0</v>
      </c>
      <c r="AG1888">
        <f>IF(COUNT($E$2:$E1888)&lt;15,"",IF(SUM($AC$1875:$AC$1888)=0,0,100*SUM($AE$1875:$AE$1888)/SUM($AC$1875:$AC$1888)))</f>
        <v>0</v>
      </c>
      <c r="AH1888">
        <f>IF(COUNT($E$2:$E1888)&lt;15,"",IF(SUM($AC$1875:$AC$1888)=0,0,100*SUM($AF$1875:$AF$1888)/SUM($AC$1875:$AC$1888)))</f>
        <v>0</v>
      </c>
      <c r="AI1888">
        <f>IF(OR(AG1888="",AH1888=""),"",IF((AG1888+AH1888)=0,0,100*ABS(AG1888-AH1888)/(AG1888+AH1888)))</f>
        <v>0</v>
      </c>
      <c r="AJ1888">
        <f>IF(COUNT($AI$1875:$AI$1888)&lt;14,"",AVERAGE($AI$1875:$AI$1888))</f>
        <v>0</v>
      </c>
      <c r="AK1888">
        <f>IF(COUNT($E$2:$E1888)&lt;20,"",AVERAGE($E$1869:$E$1888))</f>
        <v>0</v>
      </c>
      <c r="AL1888">
        <f>IF(COUNT($E$2:$E1888)&lt;20,"",STDEVP($E$1869:$E$1888))</f>
        <v>0</v>
      </c>
      <c r="AM1888">
        <f>IF(AK1888="","",AK1888+2*AL1888)</f>
        <v>0</v>
      </c>
      <c r="AN1888">
        <f>IF(AK1888="","",AK1888-2*AL1888)</f>
        <v>0</v>
      </c>
      <c r="AO1888">
        <f>IF(OR(AM1888="",AN1888="",AM1888=AN1888),"",($E1888-AN1888)/(AM1888-AN1888))</f>
        <v>0</v>
      </c>
      <c r="AP1888">
        <f>IF(OR(AM1888="",AK1888="",AK1888=0),"",(AM1888-AN1888)/AK1888)</f>
        <v>0</v>
      </c>
      <c r="AQ1888">
        <f>IF(COUNT($E$2:$E1888)&lt;20,"",MAX($C$1869:$C$1888))</f>
        <v>0</v>
      </c>
      <c r="AR1888">
        <f>IF(COUNT($E$2:$E1888)&lt;20,"",MIN($D$1869:$D$1888))</f>
        <v>0</v>
      </c>
      <c r="AS1888">
        <f>IF(OR(AQ1888="",AR1888=""),"",(AQ1888+AR1888)/2)</f>
        <v>0</v>
      </c>
      <c r="AT1888">
        <f>IF(COUNT($G$1869:$G$1888)&lt;20,"",STDEV($G$1869:$G$1888)*SQRT(252))</f>
        <v>0</v>
      </c>
      <c r="AU1888">
        <f>IF(COUNT($E$2:$E1888)&lt;9,"",(MAX($C$1880:$C$1888)+MIN($D$1880:$D$1888))/2)</f>
        <v>0</v>
      </c>
      <c r="AV1888">
        <f>IF(COUNT($E$2:$E1888)&lt;26,"",(MAX($C$1863:$C$1888)+MIN($D$1863:$D$1888))/2)</f>
        <v>0</v>
      </c>
      <c r="AW1888">
        <f>IF(OR(AU1888="",AV1888=""),"",(AU1888+AV1888)/2)</f>
        <v>0</v>
      </c>
      <c r="AX1888">
        <f>IF(COUNT($E$2:$E1888)&lt;52,"",(MAX($C$1837:$C$1888)+MIN($D$1837:$D$1888))/2)</f>
        <v>0</v>
      </c>
      <c r="AY1888">
        <f>IF(COUNT($E$2:$E1888)&lt;20,"",MAX($C$1789:$C$1888))</f>
        <v>0</v>
      </c>
      <c r="AZ1888">
        <f>IF(COUNT($E$2:$E1888)&lt;20,"",MIN($D$1789:$D$1888))</f>
        <v>0</v>
      </c>
      <c r="BA1888">
        <f>IF(COUNT($E$2:$E1888)&lt;20,"",SLOPE($E$1789:$E$1888,$F$1789:$F$1888))</f>
        <v>0</v>
      </c>
      <c r="BB1888">
        <f>IF(COUNT($E$2:$E1888)&lt;20,"",INTERCEPT($E$1789:$E$1888,$F$1789:$F$1888))</f>
        <v>0</v>
      </c>
      <c r="BC1888">
        <f>IF(OR(BA1888="",BB1888=""),"",BB1888+BA1888*F1888)</f>
        <v>0</v>
      </c>
      <c r="BD1888">
        <f>IF(COUNT($E$2:$E1888)&lt;20,"",STEYX($E$1789:$E$1888,$F$1789:$F$1888))</f>
        <v>0</v>
      </c>
      <c r="BE1888">
        <f>IF($E1888="","",IF(AND(COUNT($E$1889:$E$1892)&gt;=4,$C1888=MAX($C$1884:$C$1892)),$C1888,""))</f>
        <v>0</v>
      </c>
      <c r="BF1888">
        <f>IF($E1888="","",IF(AND(COUNT($E$1889:$E$1892)&gt;=4,$D1888=MIN($D$1884:$D$1892)),$D1888,""))</f>
        <v>0</v>
      </c>
      <c r="BG1888">
        <f>IF($A1888="","",$A1888-WEEKDAY($A1888,2)+1)</f>
        <v>0</v>
      </c>
      <c r="BH1888">
        <f>IF($A1888="","",IF($A1887="",1,IF(BG1888&lt;&gt;BG1887,1,0)))</f>
        <v>0</v>
      </c>
      <c r="BI1888">
        <f>IF($A1888="","",IF($A1889="",1,IF(BG1889&lt;&gt;BG1888,1,0)))</f>
        <v>0</v>
      </c>
      <c r="BJ1888">
        <f>IF($A1888="","",IF(BH1888=1,$B1888,BJ1887))</f>
        <v>0</v>
      </c>
      <c r="BK1888">
        <f>IF($A1888="","",IF(BH1888=1,$C1888,MAX($C1888,BK1887)))</f>
        <v>0</v>
      </c>
      <c r="BL1888">
        <f>IF($A1888="","",IF(BH1888=1,$D1888,MIN($D1888,BL1887)))</f>
        <v>0</v>
      </c>
      <c r="BM1888">
        <f>IF($A1888="","",IF(BI1888=1,F1888,""))</f>
        <v>0</v>
      </c>
      <c r="BN1888">
        <f>IF($A1888="","",DATE(YEAR($A1888),MONTH($A1888),1))</f>
        <v>0</v>
      </c>
      <c r="BO1888">
        <f>IF($A1888="","",IF($A1887="",1,IF(BN1888&lt;&gt;BN1887,1,0)))</f>
        <v>0</v>
      </c>
      <c r="BP1888">
        <f>IF($A1888="","",IF($A1889="",1,IF(BN1889&lt;&gt;BN1888,1,0)))</f>
        <v>0</v>
      </c>
      <c r="BQ1888">
        <f>IF($A1888="","",IF(BO1888=1,$B1888,BQ1887))</f>
        <v>0</v>
      </c>
      <c r="BR1888">
        <f>IF($A1888="","",IF(BO1888=1,$C1888,MAX($C1888,BR1887)))</f>
        <v>0</v>
      </c>
      <c r="BS1888">
        <f>IF($A1888="","",IF(BO1888=1,$D1888,MIN($D1888,BS1887)))</f>
        <v>0</v>
      </c>
      <c r="BT1888">
        <f>IF($A1888="","",IF(BP1888=1,F1888,""))</f>
        <v>0</v>
      </c>
    </row>
    <row r="1889" spans="1:72">
      <c r="A1889" s="27">
        <f>IF(Data!$A1889="","",Data!$A1889)</f>
        <v>0</v>
      </c>
      <c r="B1889">
        <f>IF(Data!$B1889="","",Data!$B1889)</f>
        <v>0</v>
      </c>
      <c r="C1889">
        <f>IF(Data!$C1889="","",Data!$C1889)</f>
        <v>0</v>
      </c>
      <c r="D1889">
        <f>IF(Data!$D1889="","",Data!$D1889)</f>
        <v>0</v>
      </c>
      <c r="E1889">
        <f>IF(Data!$E1889="","",Data!$E1889)</f>
        <v>0</v>
      </c>
      <c r="F1889">
        <f>IF($E1889="","",N(F1888)+1)</f>
        <v>0</v>
      </c>
      <c r="G1889">
        <f>IF(OR($E1889="",$E1888=""),"",LN($E1889/$E1888))</f>
        <v>0</v>
      </c>
      <c r="H1889">
        <f>IF($E1889="","",IF($E1888="",$E1889,$E1889*0.0952380952+H1888*0.9047619048))</f>
        <v>0</v>
      </c>
      <c r="I1889">
        <f>IF($E1889="","",IF($E1888="",$E1889,$E1889*0.0392156863+I1888*0.9607843137))</f>
        <v>0</v>
      </c>
      <c r="J1889">
        <f>IF($E1889="","",IF($E1888="",$E1889,$E1889*0.0198019802+J1888*0.9801980198))</f>
        <v>0</v>
      </c>
      <c r="K1889">
        <f>IF($E1889="","",IF($E1888="",$E1889,$E1889*0.0099502488+K1888*0.9900497512))</f>
        <v>0</v>
      </c>
      <c r="L1889">
        <f>IF(OR($E1889="",$E1888=""),"",MAX($E1889-$E1888,0))</f>
        <v>0</v>
      </c>
      <c r="M1889">
        <f>IF(OR($E1889="",$E1888=""),"",MAX($E1888-$E1889,0))</f>
        <v>0</v>
      </c>
      <c r="N1889">
        <f>IF(COUNT($E$2:$E1889)&lt;15,"",IF(AVERAGE($M$1876:$M$1889)=0,100,100-100/(1+AVERAGE($L$1876:$L$1889)/AVERAGE($M$1876:$M$1889))))</f>
        <v>0</v>
      </c>
      <c r="O1889">
        <f>IF($E1889="","",IF($E1888="",$E1889,$E1889*0.1538461538+O1888*0.8461538462))</f>
        <v>0</v>
      </c>
      <c r="P1889">
        <f>IF($E1889="","",IF($E1888="",$E1889,$E1889*0.0740740741+P1888*0.9259259259))</f>
        <v>0</v>
      </c>
      <c r="Q1889">
        <f>IF(OR(O1889="",P1889=""),"",O1889-P1889)</f>
        <v>0</v>
      </c>
      <c r="R1889">
        <f>IF(Q1889="","",IF(R1888="",Q1889,Q1889*0.2000000000+R1888*0.8000000000))</f>
        <v>0</v>
      </c>
      <c r="S1889">
        <f>IF(OR(Q1889="",R1889=""),"",Q1889-R1889)</f>
        <v>0</v>
      </c>
      <c r="T1889">
        <f>IF(COUNT($E$2:$E1889)&lt;14,"",MAX($C$1876:$C$1889))</f>
        <v>0</v>
      </c>
      <c r="U1889">
        <f>IF(COUNT($E$2:$E1889)&lt;14,"",MIN($D$1876:$D$1889))</f>
        <v>0</v>
      </c>
      <c r="V1889">
        <f>IF(OR(T1889="",U1889="",T1889=U1889),"",100*($E1889-U1889)/(T1889-U1889))</f>
        <v>0</v>
      </c>
      <c r="W1889">
        <f>IF(COUNT($V$1887:$V$1889)&lt;3,"",AVERAGE($V$1887:$V$1889))</f>
        <v>0</v>
      </c>
      <c r="X1889">
        <f>IF(COUNT($N$1876:$N$1889)&lt;14,"",MIN($N$1876:$N$1889))</f>
        <v>0</v>
      </c>
      <c r="Y1889">
        <f>IF(COUNT($N$1876:$N$1889)&lt;14,"",MAX($N$1876:$N$1889))</f>
        <v>0</v>
      </c>
      <c r="Z1889">
        <f>IF(OR(N1889="",X1889="",Y1889="",Y1889=X1889),"",100*(N1889-X1889)/(Y1889-X1889))</f>
        <v>0</v>
      </c>
      <c r="AA1889">
        <f>IF(COUNT($Z$1887:$Z$1889)&lt;3,"",AVERAGE($Z$1887:$Z$1889))</f>
        <v>0</v>
      </c>
      <c r="AB1889">
        <f>IF(COUNT($AA$1887:$AA$1889)&lt;3,"",AVERAGE($AA$1887:$AA$1889))</f>
        <v>0</v>
      </c>
      <c r="AC1889">
        <f>IF($E1889="","",MAX($C1889-$D1889,ABS($C1889-$E1888),ABS($D1889-$E1888)))</f>
        <v>0</v>
      </c>
      <c r="AD1889">
        <f>IF(COUNT($E$2:$E1889)&lt;15,"",AVERAGE($AC$1876:$AC$1889))</f>
        <v>0</v>
      </c>
      <c r="AE1889">
        <f>IF(OR($E1889="",$E1888=""),"",IF(AND(($C1889-$C1888)&gt;($D1888-$D1889),($C1889-$C1888)&gt;0),$C1889-$C1888,0))</f>
        <v>0</v>
      </c>
      <c r="AF1889">
        <f>IF(OR($E1889="",$E1888=""),"",IF(AND(($D1888-$D1889)&gt;($C1889-$C1888),($D1888-$D1889)&gt;0),$D1888-$D1889,0))</f>
        <v>0</v>
      </c>
      <c r="AG1889">
        <f>IF(COUNT($E$2:$E1889)&lt;15,"",IF(SUM($AC$1876:$AC$1889)=0,0,100*SUM($AE$1876:$AE$1889)/SUM($AC$1876:$AC$1889)))</f>
        <v>0</v>
      </c>
      <c r="AH1889">
        <f>IF(COUNT($E$2:$E1889)&lt;15,"",IF(SUM($AC$1876:$AC$1889)=0,0,100*SUM($AF$1876:$AF$1889)/SUM($AC$1876:$AC$1889)))</f>
        <v>0</v>
      </c>
      <c r="AI1889">
        <f>IF(OR(AG1889="",AH1889=""),"",IF((AG1889+AH1889)=0,0,100*ABS(AG1889-AH1889)/(AG1889+AH1889)))</f>
        <v>0</v>
      </c>
      <c r="AJ1889">
        <f>IF(COUNT($AI$1876:$AI$1889)&lt;14,"",AVERAGE($AI$1876:$AI$1889))</f>
        <v>0</v>
      </c>
      <c r="AK1889">
        <f>IF(COUNT($E$2:$E1889)&lt;20,"",AVERAGE($E$1870:$E$1889))</f>
        <v>0</v>
      </c>
      <c r="AL1889">
        <f>IF(COUNT($E$2:$E1889)&lt;20,"",STDEVP($E$1870:$E$1889))</f>
        <v>0</v>
      </c>
      <c r="AM1889">
        <f>IF(AK1889="","",AK1889+2*AL1889)</f>
        <v>0</v>
      </c>
      <c r="AN1889">
        <f>IF(AK1889="","",AK1889-2*AL1889)</f>
        <v>0</v>
      </c>
      <c r="AO1889">
        <f>IF(OR(AM1889="",AN1889="",AM1889=AN1889),"",($E1889-AN1889)/(AM1889-AN1889))</f>
        <v>0</v>
      </c>
      <c r="AP1889">
        <f>IF(OR(AM1889="",AK1889="",AK1889=0),"",(AM1889-AN1889)/AK1889)</f>
        <v>0</v>
      </c>
      <c r="AQ1889">
        <f>IF(COUNT($E$2:$E1889)&lt;20,"",MAX($C$1870:$C$1889))</f>
        <v>0</v>
      </c>
      <c r="AR1889">
        <f>IF(COUNT($E$2:$E1889)&lt;20,"",MIN($D$1870:$D$1889))</f>
        <v>0</v>
      </c>
      <c r="AS1889">
        <f>IF(OR(AQ1889="",AR1889=""),"",(AQ1889+AR1889)/2)</f>
        <v>0</v>
      </c>
      <c r="AT1889">
        <f>IF(COUNT($G$1870:$G$1889)&lt;20,"",STDEV($G$1870:$G$1889)*SQRT(252))</f>
        <v>0</v>
      </c>
      <c r="AU1889">
        <f>IF(COUNT($E$2:$E1889)&lt;9,"",(MAX($C$1881:$C$1889)+MIN($D$1881:$D$1889))/2)</f>
        <v>0</v>
      </c>
      <c r="AV1889">
        <f>IF(COUNT($E$2:$E1889)&lt;26,"",(MAX($C$1864:$C$1889)+MIN($D$1864:$D$1889))/2)</f>
        <v>0</v>
      </c>
      <c r="AW1889">
        <f>IF(OR(AU1889="",AV1889=""),"",(AU1889+AV1889)/2)</f>
        <v>0</v>
      </c>
      <c r="AX1889">
        <f>IF(COUNT($E$2:$E1889)&lt;52,"",(MAX($C$1838:$C$1889)+MIN($D$1838:$D$1889))/2)</f>
        <v>0</v>
      </c>
      <c r="AY1889">
        <f>IF(COUNT($E$2:$E1889)&lt;20,"",MAX($C$1790:$C$1889))</f>
        <v>0</v>
      </c>
      <c r="AZ1889">
        <f>IF(COUNT($E$2:$E1889)&lt;20,"",MIN($D$1790:$D$1889))</f>
        <v>0</v>
      </c>
      <c r="BA1889">
        <f>IF(COUNT($E$2:$E1889)&lt;20,"",SLOPE($E$1790:$E$1889,$F$1790:$F$1889))</f>
        <v>0</v>
      </c>
      <c r="BB1889">
        <f>IF(COUNT($E$2:$E1889)&lt;20,"",INTERCEPT($E$1790:$E$1889,$F$1790:$F$1889))</f>
        <v>0</v>
      </c>
      <c r="BC1889">
        <f>IF(OR(BA1889="",BB1889=""),"",BB1889+BA1889*F1889)</f>
        <v>0</v>
      </c>
      <c r="BD1889">
        <f>IF(COUNT($E$2:$E1889)&lt;20,"",STEYX($E$1790:$E$1889,$F$1790:$F$1889))</f>
        <v>0</v>
      </c>
      <c r="BE1889">
        <f>IF($E1889="","",IF(AND(COUNT($E$1890:$E$1893)&gt;=4,$C1889=MAX($C$1885:$C$1893)),$C1889,""))</f>
        <v>0</v>
      </c>
      <c r="BF1889">
        <f>IF($E1889="","",IF(AND(COUNT($E$1890:$E$1893)&gt;=4,$D1889=MIN($D$1885:$D$1893)),$D1889,""))</f>
        <v>0</v>
      </c>
      <c r="BG1889">
        <f>IF($A1889="","",$A1889-WEEKDAY($A1889,2)+1)</f>
        <v>0</v>
      </c>
      <c r="BH1889">
        <f>IF($A1889="","",IF($A1888="",1,IF(BG1889&lt;&gt;BG1888,1,0)))</f>
        <v>0</v>
      </c>
      <c r="BI1889">
        <f>IF($A1889="","",IF($A1890="",1,IF(BG1890&lt;&gt;BG1889,1,0)))</f>
        <v>0</v>
      </c>
      <c r="BJ1889">
        <f>IF($A1889="","",IF(BH1889=1,$B1889,BJ1888))</f>
        <v>0</v>
      </c>
      <c r="BK1889">
        <f>IF($A1889="","",IF(BH1889=1,$C1889,MAX($C1889,BK1888)))</f>
        <v>0</v>
      </c>
      <c r="BL1889">
        <f>IF($A1889="","",IF(BH1889=1,$D1889,MIN($D1889,BL1888)))</f>
        <v>0</v>
      </c>
      <c r="BM1889">
        <f>IF($A1889="","",IF(BI1889=1,F1889,""))</f>
        <v>0</v>
      </c>
      <c r="BN1889">
        <f>IF($A1889="","",DATE(YEAR($A1889),MONTH($A1889),1))</f>
        <v>0</v>
      </c>
      <c r="BO1889">
        <f>IF($A1889="","",IF($A1888="",1,IF(BN1889&lt;&gt;BN1888,1,0)))</f>
        <v>0</v>
      </c>
      <c r="BP1889">
        <f>IF($A1889="","",IF($A1890="",1,IF(BN1890&lt;&gt;BN1889,1,0)))</f>
        <v>0</v>
      </c>
      <c r="BQ1889">
        <f>IF($A1889="","",IF(BO1889=1,$B1889,BQ1888))</f>
        <v>0</v>
      </c>
      <c r="BR1889">
        <f>IF($A1889="","",IF(BO1889=1,$C1889,MAX($C1889,BR1888)))</f>
        <v>0</v>
      </c>
      <c r="BS1889">
        <f>IF($A1889="","",IF(BO1889=1,$D1889,MIN($D1889,BS1888)))</f>
        <v>0</v>
      </c>
      <c r="BT1889">
        <f>IF($A1889="","",IF(BP1889=1,F1889,""))</f>
        <v>0</v>
      </c>
    </row>
    <row r="1890" spans="1:72">
      <c r="A1890" s="27">
        <f>IF(Data!$A1890="","",Data!$A1890)</f>
        <v>0</v>
      </c>
      <c r="B1890">
        <f>IF(Data!$B1890="","",Data!$B1890)</f>
        <v>0</v>
      </c>
      <c r="C1890">
        <f>IF(Data!$C1890="","",Data!$C1890)</f>
        <v>0</v>
      </c>
      <c r="D1890">
        <f>IF(Data!$D1890="","",Data!$D1890)</f>
        <v>0</v>
      </c>
      <c r="E1890">
        <f>IF(Data!$E1890="","",Data!$E1890)</f>
        <v>0</v>
      </c>
      <c r="F1890">
        <f>IF($E1890="","",N(F1889)+1)</f>
        <v>0</v>
      </c>
      <c r="G1890">
        <f>IF(OR($E1890="",$E1889=""),"",LN($E1890/$E1889))</f>
        <v>0</v>
      </c>
      <c r="H1890">
        <f>IF($E1890="","",IF($E1889="",$E1890,$E1890*0.0952380952+H1889*0.9047619048))</f>
        <v>0</v>
      </c>
      <c r="I1890">
        <f>IF($E1890="","",IF($E1889="",$E1890,$E1890*0.0392156863+I1889*0.9607843137))</f>
        <v>0</v>
      </c>
      <c r="J1890">
        <f>IF($E1890="","",IF($E1889="",$E1890,$E1890*0.0198019802+J1889*0.9801980198))</f>
        <v>0</v>
      </c>
      <c r="K1890">
        <f>IF($E1890="","",IF($E1889="",$E1890,$E1890*0.0099502488+K1889*0.9900497512))</f>
        <v>0</v>
      </c>
      <c r="L1890">
        <f>IF(OR($E1890="",$E1889=""),"",MAX($E1890-$E1889,0))</f>
        <v>0</v>
      </c>
      <c r="M1890">
        <f>IF(OR($E1890="",$E1889=""),"",MAX($E1889-$E1890,0))</f>
        <v>0</v>
      </c>
      <c r="N1890">
        <f>IF(COUNT($E$2:$E1890)&lt;15,"",IF(AVERAGE($M$1877:$M$1890)=0,100,100-100/(1+AVERAGE($L$1877:$L$1890)/AVERAGE($M$1877:$M$1890))))</f>
        <v>0</v>
      </c>
      <c r="O1890">
        <f>IF($E1890="","",IF($E1889="",$E1890,$E1890*0.1538461538+O1889*0.8461538462))</f>
        <v>0</v>
      </c>
      <c r="P1890">
        <f>IF($E1890="","",IF($E1889="",$E1890,$E1890*0.0740740741+P1889*0.9259259259))</f>
        <v>0</v>
      </c>
      <c r="Q1890">
        <f>IF(OR(O1890="",P1890=""),"",O1890-P1890)</f>
        <v>0</v>
      </c>
      <c r="R1890">
        <f>IF(Q1890="","",IF(R1889="",Q1890,Q1890*0.2000000000+R1889*0.8000000000))</f>
        <v>0</v>
      </c>
      <c r="S1890">
        <f>IF(OR(Q1890="",R1890=""),"",Q1890-R1890)</f>
        <v>0</v>
      </c>
      <c r="T1890">
        <f>IF(COUNT($E$2:$E1890)&lt;14,"",MAX($C$1877:$C$1890))</f>
        <v>0</v>
      </c>
      <c r="U1890">
        <f>IF(COUNT($E$2:$E1890)&lt;14,"",MIN($D$1877:$D$1890))</f>
        <v>0</v>
      </c>
      <c r="V1890">
        <f>IF(OR(T1890="",U1890="",T1890=U1890),"",100*($E1890-U1890)/(T1890-U1890))</f>
        <v>0</v>
      </c>
      <c r="W1890">
        <f>IF(COUNT($V$1888:$V$1890)&lt;3,"",AVERAGE($V$1888:$V$1890))</f>
        <v>0</v>
      </c>
      <c r="X1890">
        <f>IF(COUNT($N$1877:$N$1890)&lt;14,"",MIN($N$1877:$N$1890))</f>
        <v>0</v>
      </c>
      <c r="Y1890">
        <f>IF(COUNT($N$1877:$N$1890)&lt;14,"",MAX($N$1877:$N$1890))</f>
        <v>0</v>
      </c>
      <c r="Z1890">
        <f>IF(OR(N1890="",X1890="",Y1890="",Y1890=X1890),"",100*(N1890-X1890)/(Y1890-X1890))</f>
        <v>0</v>
      </c>
      <c r="AA1890">
        <f>IF(COUNT($Z$1888:$Z$1890)&lt;3,"",AVERAGE($Z$1888:$Z$1890))</f>
        <v>0</v>
      </c>
      <c r="AB1890">
        <f>IF(COUNT($AA$1888:$AA$1890)&lt;3,"",AVERAGE($AA$1888:$AA$1890))</f>
        <v>0</v>
      </c>
      <c r="AC1890">
        <f>IF($E1890="","",MAX($C1890-$D1890,ABS($C1890-$E1889),ABS($D1890-$E1889)))</f>
        <v>0</v>
      </c>
      <c r="AD1890">
        <f>IF(COUNT($E$2:$E1890)&lt;15,"",AVERAGE($AC$1877:$AC$1890))</f>
        <v>0</v>
      </c>
      <c r="AE1890">
        <f>IF(OR($E1890="",$E1889=""),"",IF(AND(($C1890-$C1889)&gt;($D1889-$D1890),($C1890-$C1889)&gt;0),$C1890-$C1889,0))</f>
        <v>0</v>
      </c>
      <c r="AF1890">
        <f>IF(OR($E1890="",$E1889=""),"",IF(AND(($D1889-$D1890)&gt;($C1890-$C1889),($D1889-$D1890)&gt;0),$D1889-$D1890,0))</f>
        <v>0</v>
      </c>
      <c r="AG1890">
        <f>IF(COUNT($E$2:$E1890)&lt;15,"",IF(SUM($AC$1877:$AC$1890)=0,0,100*SUM($AE$1877:$AE$1890)/SUM($AC$1877:$AC$1890)))</f>
        <v>0</v>
      </c>
      <c r="AH1890">
        <f>IF(COUNT($E$2:$E1890)&lt;15,"",IF(SUM($AC$1877:$AC$1890)=0,0,100*SUM($AF$1877:$AF$1890)/SUM($AC$1877:$AC$1890)))</f>
        <v>0</v>
      </c>
      <c r="AI1890">
        <f>IF(OR(AG1890="",AH1890=""),"",IF((AG1890+AH1890)=0,0,100*ABS(AG1890-AH1890)/(AG1890+AH1890)))</f>
        <v>0</v>
      </c>
      <c r="AJ1890">
        <f>IF(COUNT($AI$1877:$AI$1890)&lt;14,"",AVERAGE($AI$1877:$AI$1890))</f>
        <v>0</v>
      </c>
      <c r="AK1890">
        <f>IF(COUNT($E$2:$E1890)&lt;20,"",AVERAGE($E$1871:$E$1890))</f>
        <v>0</v>
      </c>
      <c r="AL1890">
        <f>IF(COUNT($E$2:$E1890)&lt;20,"",STDEVP($E$1871:$E$1890))</f>
        <v>0</v>
      </c>
      <c r="AM1890">
        <f>IF(AK1890="","",AK1890+2*AL1890)</f>
        <v>0</v>
      </c>
      <c r="AN1890">
        <f>IF(AK1890="","",AK1890-2*AL1890)</f>
        <v>0</v>
      </c>
      <c r="AO1890">
        <f>IF(OR(AM1890="",AN1890="",AM1890=AN1890),"",($E1890-AN1890)/(AM1890-AN1890))</f>
        <v>0</v>
      </c>
      <c r="AP1890">
        <f>IF(OR(AM1890="",AK1890="",AK1890=0),"",(AM1890-AN1890)/AK1890)</f>
        <v>0</v>
      </c>
      <c r="AQ1890">
        <f>IF(COUNT($E$2:$E1890)&lt;20,"",MAX($C$1871:$C$1890))</f>
        <v>0</v>
      </c>
      <c r="AR1890">
        <f>IF(COUNT($E$2:$E1890)&lt;20,"",MIN($D$1871:$D$1890))</f>
        <v>0</v>
      </c>
      <c r="AS1890">
        <f>IF(OR(AQ1890="",AR1890=""),"",(AQ1890+AR1890)/2)</f>
        <v>0</v>
      </c>
      <c r="AT1890">
        <f>IF(COUNT($G$1871:$G$1890)&lt;20,"",STDEV($G$1871:$G$1890)*SQRT(252))</f>
        <v>0</v>
      </c>
      <c r="AU1890">
        <f>IF(COUNT($E$2:$E1890)&lt;9,"",(MAX($C$1882:$C$1890)+MIN($D$1882:$D$1890))/2)</f>
        <v>0</v>
      </c>
      <c r="AV1890">
        <f>IF(COUNT($E$2:$E1890)&lt;26,"",(MAX($C$1865:$C$1890)+MIN($D$1865:$D$1890))/2)</f>
        <v>0</v>
      </c>
      <c r="AW1890">
        <f>IF(OR(AU1890="",AV1890=""),"",(AU1890+AV1890)/2)</f>
        <v>0</v>
      </c>
      <c r="AX1890">
        <f>IF(COUNT($E$2:$E1890)&lt;52,"",(MAX($C$1839:$C$1890)+MIN($D$1839:$D$1890))/2)</f>
        <v>0</v>
      </c>
      <c r="AY1890">
        <f>IF(COUNT($E$2:$E1890)&lt;20,"",MAX($C$1791:$C$1890))</f>
        <v>0</v>
      </c>
      <c r="AZ1890">
        <f>IF(COUNT($E$2:$E1890)&lt;20,"",MIN($D$1791:$D$1890))</f>
        <v>0</v>
      </c>
      <c r="BA1890">
        <f>IF(COUNT($E$2:$E1890)&lt;20,"",SLOPE($E$1791:$E$1890,$F$1791:$F$1890))</f>
        <v>0</v>
      </c>
      <c r="BB1890">
        <f>IF(COUNT($E$2:$E1890)&lt;20,"",INTERCEPT($E$1791:$E$1890,$F$1791:$F$1890))</f>
        <v>0</v>
      </c>
      <c r="BC1890">
        <f>IF(OR(BA1890="",BB1890=""),"",BB1890+BA1890*F1890)</f>
        <v>0</v>
      </c>
      <c r="BD1890">
        <f>IF(COUNT($E$2:$E1890)&lt;20,"",STEYX($E$1791:$E$1890,$F$1791:$F$1890))</f>
        <v>0</v>
      </c>
      <c r="BE1890">
        <f>IF($E1890="","",IF(AND(COUNT($E$1891:$E$1894)&gt;=4,$C1890=MAX($C$1886:$C$1894)),$C1890,""))</f>
        <v>0</v>
      </c>
      <c r="BF1890">
        <f>IF($E1890="","",IF(AND(COUNT($E$1891:$E$1894)&gt;=4,$D1890=MIN($D$1886:$D$1894)),$D1890,""))</f>
        <v>0</v>
      </c>
      <c r="BG1890">
        <f>IF($A1890="","",$A1890-WEEKDAY($A1890,2)+1)</f>
        <v>0</v>
      </c>
      <c r="BH1890">
        <f>IF($A1890="","",IF($A1889="",1,IF(BG1890&lt;&gt;BG1889,1,0)))</f>
        <v>0</v>
      </c>
      <c r="BI1890">
        <f>IF($A1890="","",IF($A1891="",1,IF(BG1891&lt;&gt;BG1890,1,0)))</f>
        <v>0</v>
      </c>
      <c r="BJ1890">
        <f>IF($A1890="","",IF(BH1890=1,$B1890,BJ1889))</f>
        <v>0</v>
      </c>
      <c r="BK1890">
        <f>IF($A1890="","",IF(BH1890=1,$C1890,MAX($C1890,BK1889)))</f>
        <v>0</v>
      </c>
      <c r="BL1890">
        <f>IF($A1890="","",IF(BH1890=1,$D1890,MIN($D1890,BL1889)))</f>
        <v>0</v>
      </c>
      <c r="BM1890">
        <f>IF($A1890="","",IF(BI1890=1,F1890,""))</f>
        <v>0</v>
      </c>
      <c r="BN1890">
        <f>IF($A1890="","",DATE(YEAR($A1890),MONTH($A1890),1))</f>
        <v>0</v>
      </c>
      <c r="BO1890">
        <f>IF($A1890="","",IF($A1889="",1,IF(BN1890&lt;&gt;BN1889,1,0)))</f>
        <v>0</v>
      </c>
      <c r="BP1890">
        <f>IF($A1890="","",IF($A1891="",1,IF(BN1891&lt;&gt;BN1890,1,0)))</f>
        <v>0</v>
      </c>
      <c r="BQ1890">
        <f>IF($A1890="","",IF(BO1890=1,$B1890,BQ1889))</f>
        <v>0</v>
      </c>
      <c r="BR1890">
        <f>IF($A1890="","",IF(BO1890=1,$C1890,MAX($C1890,BR1889)))</f>
        <v>0</v>
      </c>
      <c r="BS1890">
        <f>IF($A1890="","",IF(BO1890=1,$D1890,MIN($D1890,BS1889)))</f>
        <v>0</v>
      </c>
      <c r="BT1890">
        <f>IF($A1890="","",IF(BP1890=1,F1890,""))</f>
        <v>0</v>
      </c>
    </row>
    <row r="1891" spans="1:72">
      <c r="A1891" s="27">
        <f>IF(Data!$A1891="","",Data!$A1891)</f>
        <v>0</v>
      </c>
      <c r="B1891">
        <f>IF(Data!$B1891="","",Data!$B1891)</f>
        <v>0</v>
      </c>
      <c r="C1891">
        <f>IF(Data!$C1891="","",Data!$C1891)</f>
        <v>0</v>
      </c>
      <c r="D1891">
        <f>IF(Data!$D1891="","",Data!$D1891)</f>
        <v>0</v>
      </c>
      <c r="E1891">
        <f>IF(Data!$E1891="","",Data!$E1891)</f>
        <v>0</v>
      </c>
      <c r="F1891">
        <f>IF($E1891="","",N(F1890)+1)</f>
        <v>0</v>
      </c>
      <c r="G1891">
        <f>IF(OR($E1891="",$E1890=""),"",LN($E1891/$E1890))</f>
        <v>0</v>
      </c>
      <c r="H1891">
        <f>IF($E1891="","",IF($E1890="",$E1891,$E1891*0.0952380952+H1890*0.9047619048))</f>
        <v>0</v>
      </c>
      <c r="I1891">
        <f>IF($E1891="","",IF($E1890="",$E1891,$E1891*0.0392156863+I1890*0.9607843137))</f>
        <v>0</v>
      </c>
      <c r="J1891">
        <f>IF($E1891="","",IF($E1890="",$E1891,$E1891*0.0198019802+J1890*0.9801980198))</f>
        <v>0</v>
      </c>
      <c r="K1891">
        <f>IF($E1891="","",IF($E1890="",$E1891,$E1891*0.0099502488+K1890*0.9900497512))</f>
        <v>0</v>
      </c>
      <c r="L1891">
        <f>IF(OR($E1891="",$E1890=""),"",MAX($E1891-$E1890,0))</f>
        <v>0</v>
      </c>
      <c r="M1891">
        <f>IF(OR($E1891="",$E1890=""),"",MAX($E1890-$E1891,0))</f>
        <v>0</v>
      </c>
      <c r="N1891">
        <f>IF(COUNT($E$2:$E1891)&lt;15,"",IF(AVERAGE($M$1878:$M$1891)=0,100,100-100/(1+AVERAGE($L$1878:$L$1891)/AVERAGE($M$1878:$M$1891))))</f>
        <v>0</v>
      </c>
      <c r="O1891">
        <f>IF($E1891="","",IF($E1890="",$E1891,$E1891*0.1538461538+O1890*0.8461538462))</f>
        <v>0</v>
      </c>
      <c r="P1891">
        <f>IF($E1891="","",IF($E1890="",$E1891,$E1891*0.0740740741+P1890*0.9259259259))</f>
        <v>0</v>
      </c>
      <c r="Q1891">
        <f>IF(OR(O1891="",P1891=""),"",O1891-P1891)</f>
        <v>0</v>
      </c>
      <c r="R1891">
        <f>IF(Q1891="","",IF(R1890="",Q1891,Q1891*0.2000000000+R1890*0.8000000000))</f>
        <v>0</v>
      </c>
      <c r="S1891">
        <f>IF(OR(Q1891="",R1891=""),"",Q1891-R1891)</f>
        <v>0</v>
      </c>
      <c r="T1891">
        <f>IF(COUNT($E$2:$E1891)&lt;14,"",MAX($C$1878:$C$1891))</f>
        <v>0</v>
      </c>
      <c r="U1891">
        <f>IF(COUNT($E$2:$E1891)&lt;14,"",MIN($D$1878:$D$1891))</f>
        <v>0</v>
      </c>
      <c r="V1891">
        <f>IF(OR(T1891="",U1891="",T1891=U1891),"",100*($E1891-U1891)/(T1891-U1891))</f>
        <v>0</v>
      </c>
      <c r="W1891">
        <f>IF(COUNT($V$1889:$V$1891)&lt;3,"",AVERAGE($V$1889:$V$1891))</f>
        <v>0</v>
      </c>
      <c r="X1891">
        <f>IF(COUNT($N$1878:$N$1891)&lt;14,"",MIN($N$1878:$N$1891))</f>
        <v>0</v>
      </c>
      <c r="Y1891">
        <f>IF(COUNT($N$1878:$N$1891)&lt;14,"",MAX($N$1878:$N$1891))</f>
        <v>0</v>
      </c>
      <c r="Z1891">
        <f>IF(OR(N1891="",X1891="",Y1891="",Y1891=X1891),"",100*(N1891-X1891)/(Y1891-X1891))</f>
        <v>0</v>
      </c>
      <c r="AA1891">
        <f>IF(COUNT($Z$1889:$Z$1891)&lt;3,"",AVERAGE($Z$1889:$Z$1891))</f>
        <v>0</v>
      </c>
      <c r="AB1891">
        <f>IF(COUNT($AA$1889:$AA$1891)&lt;3,"",AVERAGE($AA$1889:$AA$1891))</f>
        <v>0</v>
      </c>
      <c r="AC1891">
        <f>IF($E1891="","",MAX($C1891-$D1891,ABS($C1891-$E1890),ABS($D1891-$E1890)))</f>
        <v>0</v>
      </c>
      <c r="AD1891">
        <f>IF(COUNT($E$2:$E1891)&lt;15,"",AVERAGE($AC$1878:$AC$1891))</f>
        <v>0</v>
      </c>
      <c r="AE1891">
        <f>IF(OR($E1891="",$E1890=""),"",IF(AND(($C1891-$C1890)&gt;($D1890-$D1891),($C1891-$C1890)&gt;0),$C1891-$C1890,0))</f>
        <v>0</v>
      </c>
      <c r="AF1891">
        <f>IF(OR($E1891="",$E1890=""),"",IF(AND(($D1890-$D1891)&gt;($C1891-$C1890),($D1890-$D1891)&gt;0),$D1890-$D1891,0))</f>
        <v>0</v>
      </c>
      <c r="AG1891">
        <f>IF(COUNT($E$2:$E1891)&lt;15,"",IF(SUM($AC$1878:$AC$1891)=0,0,100*SUM($AE$1878:$AE$1891)/SUM($AC$1878:$AC$1891)))</f>
        <v>0</v>
      </c>
      <c r="AH1891">
        <f>IF(COUNT($E$2:$E1891)&lt;15,"",IF(SUM($AC$1878:$AC$1891)=0,0,100*SUM($AF$1878:$AF$1891)/SUM($AC$1878:$AC$1891)))</f>
        <v>0</v>
      </c>
      <c r="AI1891">
        <f>IF(OR(AG1891="",AH1891=""),"",IF((AG1891+AH1891)=0,0,100*ABS(AG1891-AH1891)/(AG1891+AH1891)))</f>
        <v>0</v>
      </c>
      <c r="AJ1891">
        <f>IF(COUNT($AI$1878:$AI$1891)&lt;14,"",AVERAGE($AI$1878:$AI$1891))</f>
        <v>0</v>
      </c>
      <c r="AK1891">
        <f>IF(COUNT($E$2:$E1891)&lt;20,"",AVERAGE($E$1872:$E$1891))</f>
        <v>0</v>
      </c>
      <c r="AL1891">
        <f>IF(COUNT($E$2:$E1891)&lt;20,"",STDEVP($E$1872:$E$1891))</f>
        <v>0</v>
      </c>
      <c r="AM1891">
        <f>IF(AK1891="","",AK1891+2*AL1891)</f>
        <v>0</v>
      </c>
      <c r="AN1891">
        <f>IF(AK1891="","",AK1891-2*AL1891)</f>
        <v>0</v>
      </c>
      <c r="AO1891">
        <f>IF(OR(AM1891="",AN1891="",AM1891=AN1891),"",($E1891-AN1891)/(AM1891-AN1891))</f>
        <v>0</v>
      </c>
      <c r="AP1891">
        <f>IF(OR(AM1891="",AK1891="",AK1891=0),"",(AM1891-AN1891)/AK1891)</f>
        <v>0</v>
      </c>
      <c r="AQ1891">
        <f>IF(COUNT($E$2:$E1891)&lt;20,"",MAX($C$1872:$C$1891))</f>
        <v>0</v>
      </c>
      <c r="AR1891">
        <f>IF(COUNT($E$2:$E1891)&lt;20,"",MIN($D$1872:$D$1891))</f>
        <v>0</v>
      </c>
      <c r="AS1891">
        <f>IF(OR(AQ1891="",AR1891=""),"",(AQ1891+AR1891)/2)</f>
        <v>0</v>
      </c>
      <c r="AT1891">
        <f>IF(COUNT($G$1872:$G$1891)&lt;20,"",STDEV($G$1872:$G$1891)*SQRT(252))</f>
        <v>0</v>
      </c>
      <c r="AU1891">
        <f>IF(COUNT($E$2:$E1891)&lt;9,"",(MAX($C$1883:$C$1891)+MIN($D$1883:$D$1891))/2)</f>
        <v>0</v>
      </c>
      <c r="AV1891">
        <f>IF(COUNT($E$2:$E1891)&lt;26,"",(MAX($C$1866:$C$1891)+MIN($D$1866:$D$1891))/2)</f>
        <v>0</v>
      </c>
      <c r="AW1891">
        <f>IF(OR(AU1891="",AV1891=""),"",(AU1891+AV1891)/2)</f>
        <v>0</v>
      </c>
      <c r="AX1891">
        <f>IF(COUNT($E$2:$E1891)&lt;52,"",(MAX($C$1840:$C$1891)+MIN($D$1840:$D$1891))/2)</f>
        <v>0</v>
      </c>
      <c r="AY1891">
        <f>IF(COUNT($E$2:$E1891)&lt;20,"",MAX($C$1792:$C$1891))</f>
        <v>0</v>
      </c>
      <c r="AZ1891">
        <f>IF(COUNT($E$2:$E1891)&lt;20,"",MIN($D$1792:$D$1891))</f>
        <v>0</v>
      </c>
      <c r="BA1891">
        <f>IF(COUNT($E$2:$E1891)&lt;20,"",SLOPE($E$1792:$E$1891,$F$1792:$F$1891))</f>
        <v>0</v>
      </c>
      <c r="BB1891">
        <f>IF(COUNT($E$2:$E1891)&lt;20,"",INTERCEPT($E$1792:$E$1891,$F$1792:$F$1891))</f>
        <v>0</v>
      </c>
      <c r="BC1891">
        <f>IF(OR(BA1891="",BB1891=""),"",BB1891+BA1891*F1891)</f>
        <v>0</v>
      </c>
      <c r="BD1891">
        <f>IF(COUNT($E$2:$E1891)&lt;20,"",STEYX($E$1792:$E$1891,$F$1792:$F$1891))</f>
        <v>0</v>
      </c>
      <c r="BE1891">
        <f>IF($E1891="","",IF(AND(COUNT($E$1892:$E$1895)&gt;=4,$C1891=MAX($C$1887:$C$1895)),$C1891,""))</f>
        <v>0</v>
      </c>
      <c r="BF1891">
        <f>IF($E1891="","",IF(AND(COUNT($E$1892:$E$1895)&gt;=4,$D1891=MIN($D$1887:$D$1895)),$D1891,""))</f>
        <v>0</v>
      </c>
      <c r="BG1891">
        <f>IF($A1891="","",$A1891-WEEKDAY($A1891,2)+1)</f>
        <v>0</v>
      </c>
      <c r="BH1891">
        <f>IF($A1891="","",IF($A1890="",1,IF(BG1891&lt;&gt;BG1890,1,0)))</f>
        <v>0</v>
      </c>
      <c r="BI1891">
        <f>IF($A1891="","",IF($A1892="",1,IF(BG1892&lt;&gt;BG1891,1,0)))</f>
        <v>0</v>
      </c>
      <c r="BJ1891">
        <f>IF($A1891="","",IF(BH1891=1,$B1891,BJ1890))</f>
        <v>0</v>
      </c>
      <c r="BK1891">
        <f>IF($A1891="","",IF(BH1891=1,$C1891,MAX($C1891,BK1890)))</f>
        <v>0</v>
      </c>
      <c r="BL1891">
        <f>IF($A1891="","",IF(BH1891=1,$D1891,MIN($D1891,BL1890)))</f>
        <v>0</v>
      </c>
      <c r="BM1891">
        <f>IF($A1891="","",IF(BI1891=1,F1891,""))</f>
        <v>0</v>
      </c>
      <c r="BN1891">
        <f>IF($A1891="","",DATE(YEAR($A1891),MONTH($A1891),1))</f>
        <v>0</v>
      </c>
      <c r="BO1891">
        <f>IF($A1891="","",IF($A1890="",1,IF(BN1891&lt;&gt;BN1890,1,0)))</f>
        <v>0</v>
      </c>
      <c r="BP1891">
        <f>IF($A1891="","",IF($A1892="",1,IF(BN1892&lt;&gt;BN1891,1,0)))</f>
        <v>0</v>
      </c>
      <c r="BQ1891">
        <f>IF($A1891="","",IF(BO1891=1,$B1891,BQ1890))</f>
        <v>0</v>
      </c>
      <c r="BR1891">
        <f>IF($A1891="","",IF(BO1891=1,$C1891,MAX($C1891,BR1890)))</f>
        <v>0</v>
      </c>
      <c r="BS1891">
        <f>IF($A1891="","",IF(BO1891=1,$D1891,MIN($D1891,BS1890)))</f>
        <v>0</v>
      </c>
      <c r="BT1891">
        <f>IF($A1891="","",IF(BP1891=1,F1891,""))</f>
        <v>0</v>
      </c>
    </row>
    <row r="1892" spans="1:72">
      <c r="A1892" s="27">
        <f>IF(Data!$A1892="","",Data!$A1892)</f>
        <v>0</v>
      </c>
      <c r="B1892">
        <f>IF(Data!$B1892="","",Data!$B1892)</f>
        <v>0</v>
      </c>
      <c r="C1892">
        <f>IF(Data!$C1892="","",Data!$C1892)</f>
        <v>0</v>
      </c>
      <c r="D1892">
        <f>IF(Data!$D1892="","",Data!$D1892)</f>
        <v>0</v>
      </c>
      <c r="E1892">
        <f>IF(Data!$E1892="","",Data!$E1892)</f>
        <v>0</v>
      </c>
      <c r="F1892">
        <f>IF($E1892="","",N(F1891)+1)</f>
        <v>0</v>
      </c>
      <c r="G1892">
        <f>IF(OR($E1892="",$E1891=""),"",LN($E1892/$E1891))</f>
        <v>0</v>
      </c>
      <c r="H1892">
        <f>IF($E1892="","",IF($E1891="",$E1892,$E1892*0.0952380952+H1891*0.9047619048))</f>
        <v>0</v>
      </c>
      <c r="I1892">
        <f>IF($E1892="","",IF($E1891="",$E1892,$E1892*0.0392156863+I1891*0.9607843137))</f>
        <v>0</v>
      </c>
      <c r="J1892">
        <f>IF($E1892="","",IF($E1891="",$E1892,$E1892*0.0198019802+J1891*0.9801980198))</f>
        <v>0</v>
      </c>
      <c r="K1892">
        <f>IF($E1892="","",IF($E1891="",$E1892,$E1892*0.0099502488+K1891*0.9900497512))</f>
        <v>0</v>
      </c>
      <c r="L1892">
        <f>IF(OR($E1892="",$E1891=""),"",MAX($E1892-$E1891,0))</f>
        <v>0</v>
      </c>
      <c r="M1892">
        <f>IF(OR($E1892="",$E1891=""),"",MAX($E1891-$E1892,0))</f>
        <v>0</v>
      </c>
      <c r="N1892">
        <f>IF(COUNT($E$2:$E1892)&lt;15,"",IF(AVERAGE($M$1879:$M$1892)=0,100,100-100/(1+AVERAGE($L$1879:$L$1892)/AVERAGE($M$1879:$M$1892))))</f>
        <v>0</v>
      </c>
      <c r="O1892">
        <f>IF($E1892="","",IF($E1891="",$E1892,$E1892*0.1538461538+O1891*0.8461538462))</f>
        <v>0</v>
      </c>
      <c r="P1892">
        <f>IF($E1892="","",IF($E1891="",$E1892,$E1892*0.0740740741+P1891*0.9259259259))</f>
        <v>0</v>
      </c>
      <c r="Q1892">
        <f>IF(OR(O1892="",P1892=""),"",O1892-P1892)</f>
        <v>0</v>
      </c>
      <c r="R1892">
        <f>IF(Q1892="","",IF(R1891="",Q1892,Q1892*0.2000000000+R1891*0.8000000000))</f>
        <v>0</v>
      </c>
      <c r="S1892">
        <f>IF(OR(Q1892="",R1892=""),"",Q1892-R1892)</f>
        <v>0</v>
      </c>
      <c r="T1892">
        <f>IF(COUNT($E$2:$E1892)&lt;14,"",MAX($C$1879:$C$1892))</f>
        <v>0</v>
      </c>
      <c r="U1892">
        <f>IF(COUNT($E$2:$E1892)&lt;14,"",MIN($D$1879:$D$1892))</f>
        <v>0</v>
      </c>
      <c r="V1892">
        <f>IF(OR(T1892="",U1892="",T1892=U1892),"",100*($E1892-U1892)/(T1892-U1892))</f>
        <v>0</v>
      </c>
      <c r="W1892">
        <f>IF(COUNT($V$1890:$V$1892)&lt;3,"",AVERAGE($V$1890:$V$1892))</f>
        <v>0</v>
      </c>
      <c r="X1892">
        <f>IF(COUNT($N$1879:$N$1892)&lt;14,"",MIN($N$1879:$N$1892))</f>
        <v>0</v>
      </c>
      <c r="Y1892">
        <f>IF(COUNT($N$1879:$N$1892)&lt;14,"",MAX($N$1879:$N$1892))</f>
        <v>0</v>
      </c>
      <c r="Z1892">
        <f>IF(OR(N1892="",X1892="",Y1892="",Y1892=X1892),"",100*(N1892-X1892)/(Y1892-X1892))</f>
        <v>0</v>
      </c>
      <c r="AA1892">
        <f>IF(COUNT($Z$1890:$Z$1892)&lt;3,"",AVERAGE($Z$1890:$Z$1892))</f>
        <v>0</v>
      </c>
      <c r="AB1892">
        <f>IF(COUNT($AA$1890:$AA$1892)&lt;3,"",AVERAGE($AA$1890:$AA$1892))</f>
        <v>0</v>
      </c>
      <c r="AC1892">
        <f>IF($E1892="","",MAX($C1892-$D1892,ABS($C1892-$E1891),ABS($D1892-$E1891)))</f>
        <v>0</v>
      </c>
      <c r="AD1892">
        <f>IF(COUNT($E$2:$E1892)&lt;15,"",AVERAGE($AC$1879:$AC$1892))</f>
        <v>0</v>
      </c>
      <c r="AE1892">
        <f>IF(OR($E1892="",$E1891=""),"",IF(AND(($C1892-$C1891)&gt;($D1891-$D1892),($C1892-$C1891)&gt;0),$C1892-$C1891,0))</f>
        <v>0</v>
      </c>
      <c r="AF1892">
        <f>IF(OR($E1892="",$E1891=""),"",IF(AND(($D1891-$D1892)&gt;($C1892-$C1891),($D1891-$D1892)&gt;0),$D1891-$D1892,0))</f>
        <v>0</v>
      </c>
      <c r="AG1892">
        <f>IF(COUNT($E$2:$E1892)&lt;15,"",IF(SUM($AC$1879:$AC$1892)=0,0,100*SUM($AE$1879:$AE$1892)/SUM($AC$1879:$AC$1892)))</f>
        <v>0</v>
      </c>
      <c r="AH1892">
        <f>IF(COUNT($E$2:$E1892)&lt;15,"",IF(SUM($AC$1879:$AC$1892)=0,0,100*SUM($AF$1879:$AF$1892)/SUM($AC$1879:$AC$1892)))</f>
        <v>0</v>
      </c>
      <c r="AI1892">
        <f>IF(OR(AG1892="",AH1892=""),"",IF((AG1892+AH1892)=0,0,100*ABS(AG1892-AH1892)/(AG1892+AH1892)))</f>
        <v>0</v>
      </c>
      <c r="AJ1892">
        <f>IF(COUNT($AI$1879:$AI$1892)&lt;14,"",AVERAGE($AI$1879:$AI$1892))</f>
        <v>0</v>
      </c>
      <c r="AK1892">
        <f>IF(COUNT($E$2:$E1892)&lt;20,"",AVERAGE($E$1873:$E$1892))</f>
        <v>0</v>
      </c>
      <c r="AL1892">
        <f>IF(COUNT($E$2:$E1892)&lt;20,"",STDEVP($E$1873:$E$1892))</f>
        <v>0</v>
      </c>
      <c r="AM1892">
        <f>IF(AK1892="","",AK1892+2*AL1892)</f>
        <v>0</v>
      </c>
      <c r="AN1892">
        <f>IF(AK1892="","",AK1892-2*AL1892)</f>
        <v>0</v>
      </c>
      <c r="AO1892">
        <f>IF(OR(AM1892="",AN1892="",AM1892=AN1892),"",($E1892-AN1892)/(AM1892-AN1892))</f>
        <v>0</v>
      </c>
      <c r="AP1892">
        <f>IF(OR(AM1892="",AK1892="",AK1892=0),"",(AM1892-AN1892)/AK1892)</f>
        <v>0</v>
      </c>
      <c r="AQ1892">
        <f>IF(COUNT($E$2:$E1892)&lt;20,"",MAX($C$1873:$C$1892))</f>
        <v>0</v>
      </c>
      <c r="AR1892">
        <f>IF(COUNT($E$2:$E1892)&lt;20,"",MIN($D$1873:$D$1892))</f>
        <v>0</v>
      </c>
      <c r="AS1892">
        <f>IF(OR(AQ1892="",AR1892=""),"",(AQ1892+AR1892)/2)</f>
        <v>0</v>
      </c>
      <c r="AT1892">
        <f>IF(COUNT($G$1873:$G$1892)&lt;20,"",STDEV($G$1873:$G$1892)*SQRT(252))</f>
        <v>0</v>
      </c>
      <c r="AU1892">
        <f>IF(COUNT($E$2:$E1892)&lt;9,"",(MAX($C$1884:$C$1892)+MIN($D$1884:$D$1892))/2)</f>
        <v>0</v>
      </c>
      <c r="AV1892">
        <f>IF(COUNT($E$2:$E1892)&lt;26,"",(MAX($C$1867:$C$1892)+MIN($D$1867:$D$1892))/2)</f>
        <v>0</v>
      </c>
      <c r="AW1892">
        <f>IF(OR(AU1892="",AV1892=""),"",(AU1892+AV1892)/2)</f>
        <v>0</v>
      </c>
      <c r="AX1892">
        <f>IF(COUNT($E$2:$E1892)&lt;52,"",(MAX($C$1841:$C$1892)+MIN($D$1841:$D$1892))/2)</f>
        <v>0</v>
      </c>
      <c r="AY1892">
        <f>IF(COUNT($E$2:$E1892)&lt;20,"",MAX($C$1793:$C$1892))</f>
        <v>0</v>
      </c>
      <c r="AZ1892">
        <f>IF(COUNT($E$2:$E1892)&lt;20,"",MIN($D$1793:$D$1892))</f>
        <v>0</v>
      </c>
      <c r="BA1892">
        <f>IF(COUNT($E$2:$E1892)&lt;20,"",SLOPE($E$1793:$E$1892,$F$1793:$F$1892))</f>
        <v>0</v>
      </c>
      <c r="BB1892">
        <f>IF(COUNT($E$2:$E1892)&lt;20,"",INTERCEPT($E$1793:$E$1892,$F$1793:$F$1892))</f>
        <v>0</v>
      </c>
      <c r="BC1892">
        <f>IF(OR(BA1892="",BB1892=""),"",BB1892+BA1892*F1892)</f>
        <v>0</v>
      </c>
      <c r="BD1892">
        <f>IF(COUNT($E$2:$E1892)&lt;20,"",STEYX($E$1793:$E$1892,$F$1793:$F$1892))</f>
        <v>0</v>
      </c>
      <c r="BE1892">
        <f>IF($E1892="","",IF(AND(COUNT($E$1893:$E$1896)&gt;=4,$C1892=MAX($C$1888:$C$1896)),$C1892,""))</f>
        <v>0</v>
      </c>
      <c r="BF1892">
        <f>IF($E1892="","",IF(AND(COUNT($E$1893:$E$1896)&gt;=4,$D1892=MIN($D$1888:$D$1896)),$D1892,""))</f>
        <v>0</v>
      </c>
      <c r="BG1892">
        <f>IF($A1892="","",$A1892-WEEKDAY($A1892,2)+1)</f>
        <v>0</v>
      </c>
      <c r="BH1892">
        <f>IF($A1892="","",IF($A1891="",1,IF(BG1892&lt;&gt;BG1891,1,0)))</f>
        <v>0</v>
      </c>
      <c r="BI1892">
        <f>IF($A1892="","",IF($A1893="",1,IF(BG1893&lt;&gt;BG1892,1,0)))</f>
        <v>0</v>
      </c>
      <c r="BJ1892">
        <f>IF($A1892="","",IF(BH1892=1,$B1892,BJ1891))</f>
        <v>0</v>
      </c>
      <c r="BK1892">
        <f>IF($A1892="","",IF(BH1892=1,$C1892,MAX($C1892,BK1891)))</f>
        <v>0</v>
      </c>
      <c r="BL1892">
        <f>IF($A1892="","",IF(BH1892=1,$D1892,MIN($D1892,BL1891)))</f>
        <v>0</v>
      </c>
      <c r="BM1892">
        <f>IF($A1892="","",IF(BI1892=1,F1892,""))</f>
        <v>0</v>
      </c>
      <c r="BN1892">
        <f>IF($A1892="","",DATE(YEAR($A1892),MONTH($A1892),1))</f>
        <v>0</v>
      </c>
      <c r="BO1892">
        <f>IF($A1892="","",IF($A1891="",1,IF(BN1892&lt;&gt;BN1891,1,0)))</f>
        <v>0</v>
      </c>
      <c r="BP1892">
        <f>IF($A1892="","",IF($A1893="",1,IF(BN1893&lt;&gt;BN1892,1,0)))</f>
        <v>0</v>
      </c>
      <c r="BQ1892">
        <f>IF($A1892="","",IF(BO1892=1,$B1892,BQ1891))</f>
        <v>0</v>
      </c>
      <c r="BR1892">
        <f>IF($A1892="","",IF(BO1892=1,$C1892,MAX($C1892,BR1891)))</f>
        <v>0</v>
      </c>
      <c r="BS1892">
        <f>IF($A1892="","",IF(BO1892=1,$D1892,MIN($D1892,BS1891)))</f>
        <v>0</v>
      </c>
      <c r="BT1892">
        <f>IF($A1892="","",IF(BP1892=1,F1892,""))</f>
        <v>0</v>
      </c>
    </row>
    <row r="1893" spans="1:72">
      <c r="A1893" s="27">
        <f>IF(Data!$A1893="","",Data!$A1893)</f>
        <v>0</v>
      </c>
      <c r="B1893">
        <f>IF(Data!$B1893="","",Data!$B1893)</f>
        <v>0</v>
      </c>
      <c r="C1893">
        <f>IF(Data!$C1893="","",Data!$C1893)</f>
        <v>0</v>
      </c>
      <c r="D1893">
        <f>IF(Data!$D1893="","",Data!$D1893)</f>
        <v>0</v>
      </c>
      <c r="E1893">
        <f>IF(Data!$E1893="","",Data!$E1893)</f>
        <v>0</v>
      </c>
      <c r="F1893">
        <f>IF($E1893="","",N(F1892)+1)</f>
        <v>0</v>
      </c>
      <c r="G1893">
        <f>IF(OR($E1893="",$E1892=""),"",LN($E1893/$E1892))</f>
        <v>0</v>
      </c>
      <c r="H1893">
        <f>IF($E1893="","",IF($E1892="",$E1893,$E1893*0.0952380952+H1892*0.9047619048))</f>
        <v>0</v>
      </c>
      <c r="I1893">
        <f>IF($E1893="","",IF($E1892="",$E1893,$E1893*0.0392156863+I1892*0.9607843137))</f>
        <v>0</v>
      </c>
      <c r="J1893">
        <f>IF($E1893="","",IF($E1892="",$E1893,$E1893*0.0198019802+J1892*0.9801980198))</f>
        <v>0</v>
      </c>
      <c r="K1893">
        <f>IF($E1893="","",IF($E1892="",$E1893,$E1893*0.0099502488+K1892*0.9900497512))</f>
        <v>0</v>
      </c>
      <c r="L1893">
        <f>IF(OR($E1893="",$E1892=""),"",MAX($E1893-$E1892,0))</f>
        <v>0</v>
      </c>
      <c r="M1893">
        <f>IF(OR($E1893="",$E1892=""),"",MAX($E1892-$E1893,0))</f>
        <v>0</v>
      </c>
      <c r="N1893">
        <f>IF(COUNT($E$2:$E1893)&lt;15,"",IF(AVERAGE($M$1880:$M$1893)=0,100,100-100/(1+AVERAGE($L$1880:$L$1893)/AVERAGE($M$1880:$M$1893))))</f>
        <v>0</v>
      </c>
      <c r="O1893">
        <f>IF($E1893="","",IF($E1892="",$E1893,$E1893*0.1538461538+O1892*0.8461538462))</f>
        <v>0</v>
      </c>
      <c r="P1893">
        <f>IF($E1893="","",IF($E1892="",$E1893,$E1893*0.0740740741+P1892*0.9259259259))</f>
        <v>0</v>
      </c>
      <c r="Q1893">
        <f>IF(OR(O1893="",P1893=""),"",O1893-P1893)</f>
        <v>0</v>
      </c>
      <c r="R1893">
        <f>IF(Q1893="","",IF(R1892="",Q1893,Q1893*0.2000000000+R1892*0.8000000000))</f>
        <v>0</v>
      </c>
      <c r="S1893">
        <f>IF(OR(Q1893="",R1893=""),"",Q1893-R1893)</f>
        <v>0</v>
      </c>
      <c r="T1893">
        <f>IF(COUNT($E$2:$E1893)&lt;14,"",MAX($C$1880:$C$1893))</f>
        <v>0</v>
      </c>
      <c r="U1893">
        <f>IF(COUNT($E$2:$E1893)&lt;14,"",MIN($D$1880:$D$1893))</f>
        <v>0</v>
      </c>
      <c r="V1893">
        <f>IF(OR(T1893="",U1893="",T1893=U1893),"",100*($E1893-U1893)/(T1893-U1893))</f>
        <v>0</v>
      </c>
      <c r="W1893">
        <f>IF(COUNT($V$1891:$V$1893)&lt;3,"",AVERAGE($V$1891:$V$1893))</f>
        <v>0</v>
      </c>
      <c r="X1893">
        <f>IF(COUNT($N$1880:$N$1893)&lt;14,"",MIN($N$1880:$N$1893))</f>
        <v>0</v>
      </c>
      <c r="Y1893">
        <f>IF(COUNT($N$1880:$N$1893)&lt;14,"",MAX($N$1880:$N$1893))</f>
        <v>0</v>
      </c>
      <c r="Z1893">
        <f>IF(OR(N1893="",X1893="",Y1893="",Y1893=X1893),"",100*(N1893-X1893)/(Y1893-X1893))</f>
        <v>0</v>
      </c>
      <c r="AA1893">
        <f>IF(COUNT($Z$1891:$Z$1893)&lt;3,"",AVERAGE($Z$1891:$Z$1893))</f>
        <v>0</v>
      </c>
      <c r="AB1893">
        <f>IF(COUNT($AA$1891:$AA$1893)&lt;3,"",AVERAGE($AA$1891:$AA$1893))</f>
        <v>0</v>
      </c>
      <c r="AC1893">
        <f>IF($E1893="","",MAX($C1893-$D1893,ABS($C1893-$E1892),ABS($D1893-$E1892)))</f>
        <v>0</v>
      </c>
      <c r="AD1893">
        <f>IF(COUNT($E$2:$E1893)&lt;15,"",AVERAGE($AC$1880:$AC$1893))</f>
        <v>0</v>
      </c>
      <c r="AE1893">
        <f>IF(OR($E1893="",$E1892=""),"",IF(AND(($C1893-$C1892)&gt;($D1892-$D1893),($C1893-$C1892)&gt;0),$C1893-$C1892,0))</f>
        <v>0</v>
      </c>
      <c r="AF1893">
        <f>IF(OR($E1893="",$E1892=""),"",IF(AND(($D1892-$D1893)&gt;($C1893-$C1892),($D1892-$D1893)&gt;0),$D1892-$D1893,0))</f>
        <v>0</v>
      </c>
      <c r="AG1893">
        <f>IF(COUNT($E$2:$E1893)&lt;15,"",IF(SUM($AC$1880:$AC$1893)=0,0,100*SUM($AE$1880:$AE$1893)/SUM($AC$1880:$AC$1893)))</f>
        <v>0</v>
      </c>
      <c r="AH1893">
        <f>IF(COUNT($E$2:$E1893)&lt;15,"",IF(SUM($AC$1880:$AC$1893)=0,0,100*SUM($AF$1880:$AF$1893)/SUM($AC$1880:$AC$1893)))</f>
        <v>0</v>
      </c>
      <c r="AI1893">
        <f>IF(OR(AG1893="",AH1893=""),"",IF((AG1893+AH1893)=0,0,100*ABS(AG1893-AH1893)/(AG1893+AH1893)))</f>
        <v>0</v>
      </c>
      <c r="AJ1893">
        <f>IF(COUNT($AI$1880:$AI$1893)&lt;14,"",AVERAGE($AI$1880:$AI$1893))</f>
        <v>0</v>
      </c>
      <c r="AK1893">
        <f>IF(COUNT($E$2:$E1893)&lt;20,"",AVERAGE($E$1874:$E$1893))</f>
        <v>0</v>
      </c>
      <c r="AL1893">
        <f>IF(COUNT($E$2:$E1893)&lt;20,"",STDEVP($E$1874:$E$1893))</f>
        <v>0</v>
      </c>
      <c r="AM1893">
        <f>IF(AK1893="","",AK1893+2*AL1893)</f>
        <v>0</v>
      </c>
      <c r="AN1893">
        <f>IF(AK1893="","",AK1893-2*AL1893)</f>
        <v>0</v>
      </c>
      <c r="AO1893">
        <f>IF(OR(AM1893="",AN1893="",AM1893=AN1893),"",($E1893-AN1893)/(AM1893-AN1893))</f>
        <v>0</v>
      </c>
      <c r="AP1893">
        <f>IF(OR(AM1893="",AK1893="",AK1893=0),"",(AM1893-AN1893)/AK1893)</f>
        <v>0</v>
      </c>
      <c r="AQ1893">
        <f>IF(COUNT($E$2:$E1893)&lt;20,"",MAX($C$1874:$C$1893))</f>
        <v>0</v>
      </c>
      <c r="AR1893">
        <f>IF(COUNT($E$2:$E1893)&lt;20,"",MIN($D$1874:$D$1893))</f>
        <v>0</v>
      </c>
      <c r="AS1893">
        <f>IF(OR(AQ1893="",AR1893=""),"",(AQ1893+AR1893)/2)</f>
        <v>0</v>
      </c>
      <c r="AT1893">
        <f>IF(COUNT($G$1874:$G$1893)&lt;20,"",STDEV($G$1874:$G$1893)*SQRT(252))</f>
        <v>0</v>
      </c>
      <c r="AU1893">
        <f>IF(COUNT($E$2:$E1893)&lt;9,"",(MAX($C$1885:$C$1893)+MIN($D$1885:$D$1893))/2)</f>
        <v>0</v>
      </c>
      <c r="AV1893">
        <f>IF(COUNT($E$2:$E1893)&lt;26,"",(MAX($C$1868:$C$1893)+MIN($D$1868:$D$1893))/2)</f>
        <v>0</v>
      </c>
      <c r="AW1893">
        <f>IF(OR(AU1893="",AV1893=""),"",(AU1893+AV1893)/2)</f>
        <v>0</v>
      </c>
      <c r="AX1893">
        <f>IF(COUNT($E$2:$E1893)&lt;52,"",(MAX($C$1842:$C$1893)+MIN($D$1842:$D$1893))/2)</f>
        <v>0</v>
      </c>
      <c r="AY1893">
        <f>IF(COUNT($E$2:$E1893)&lt;20,"",MAX($C$1794:$C$1893))</f>
        <v>0</v>
      </c>
      <c r="AZ1893">
        <f>IF(COUNT($E$2:$E1893)&lt;20,"",MIN($D$1794:$D$1893))</f>
        <v>0</v>
      </c>
      <c r="BA1893">
        <f>IF(COUNT($E$2:$E1893)&lt;20,"",SLOPE($E$1794:$E$1893,$F$1794:$F$1893))</f>
        <v>0</v>
      </c>
      <c r="BB1893">
        <f>IF(COUNT($E$2:$E1893)&lt;20,"",INTERCEPT($E$1794:$E$1893,$F$1794:$F$1893))</f>
        <v>0</v>
      </c>
      <c r="BC1893">
        <f>IF(OR(BA1893="",BB1893=""),"",BB1893+BA1893*F1893)</f>
        <v>0</v>
      </c>
      <c r="BD1893">
        <f>IF(COUNT($E$2:$E1893)&lt;20,"",STEYX($E$1794:$E$1893,$F$1794:$F$1893))</f>
        <v>0</v>
      </c>
      <c r="BE1893">
        <f>IF($E1893="","",IF(AND(COUNT($E$1894:$E$1897)&gt;=4,$C1893=MAX($C$1889:$C$1897)),$C1893,""))</f>
        <v>0</v>
      </c>
      <c r="BF1893">
        <f>IF($E1893="","",IF(AND(COUNT($E$1894:$E$1897)&gt;=4,$D1893=MIN($D$1889:$D$1897)),$D1893,""))</f>
        <v>0</v>
      </c>
      <c r="BG1893">
        <f>IF($A1893="","",$A1893-WEEKDAY($A1893,2)+1)</f>
        <v>0</v>
      </c>
      <c r="BH1893">
        <f>IF($A1893="","",IF($A1892="",1,IF(BG1893&lt;&gt;BG1892,1,0)))</f>
        <v>0</v>
      </c>
      <c r="BI1893">
        <f>IF($A1893="","",IF($A1894="",1,IF(BG1894&lt;&gt;BG1893,1,0)))</f>
        <v>0</v>
      </c>
      <c r="BJ1893">
        <f>IF($A1893="","",IF(BH1893=1,$B1893,BJ1892))</f>
        <v>0</v>
      </c>
      <c r="BK1893">
        <f>IF($A1893="","",IF(BH1893=1,$C1893,MAX($C1893,BK1892)))</f>
        <v>0</v>
      </c>
      <c r="BL1893">
        <f>IF($A1893="","",IF(BH1893=1,$D1893,MIN($D1893,BL1892)))</f>
        <v>0</v>
      </c>
      <c r="BM1893">
        <f>IF($A1893="","",IF(BI1893=1,F1893,""))</f>
        <v>0</v>
      </c>
      <c r="BN1893">
        <f>IF($A1893="","",DATE(YEAR($A1893),MONTH($A1893),1))</f>
        <v>0</v>
      </c>
      <c r="BO1893">
        <f>IF($A1893="","",IF($A1892="",1,IF(BN1893&lt;&gt;BN1892,1,0)))</f>
        <v>0</v>
      </c>
      <c r="BP1893">
        <f>IF($A1893="","",IF($A1894="",1,IF(BN1894&lt;&gt;BN1893,1,0)))</f>
        <v>0</v>
      </c>
      <c r="BQ1893">
        <f>IF($A1893="","",IF(BO1893=1,$B1893,BQ1892))</f>
        <v>0</v>
      </c>
      <c r="BR1893">
        <f>IF($A1893="","",IF(BO1893=1,$C1893,MAX($C1893,BR1892)))</f>
        <v>0</v>
      </c>
      <c r="BS1893">
        <f>IF($A1893="","",IF(BO1893=1,$D1893,MIN($D1893,BS1892)))</f>
        <v>0</v>
      </c>
      <c r="BT1893">
        <f>IF($A1893="","",IF(BP1893=1,F1893,""))</f>
        <v>0</v>
      </c>
    </row>
    <row r="1894" spans="1:72">
      <c r="A1894" s="27">
        <f>IF(Data!$A1894="","",Data!$A1894)</f>
        <v>0</v>
      </c>
      <c r="B1894">
        <f>IF(Data!$B1894="","",Data!$B1894)</f>
        <v>0</v>
      </c>
      <c r="C1894">
        <f>IF(Data!$C1894="","",Data!$C1894)</f>
        <v>0</v>
      </c>
      <c r="D1894">
        <f>IF(Data!$D1894="","",Data!$D1894)</f>
        <v>0</v>
      </c>
      <c r="E1894">
        <f>IF(Data!$E1894="","",Data!$E1894)</f>
        <v>0</v>
      </c>
      <c r="F1894">
        <f>IF($E1894="","",N(F1893)+1)</f>
        <v>0</v>
      </c>
      <c r="G1894">
        <f>IF(OR($E1894="",$E1893=""),"",LN($E1894/$E1893))</f>
        <v>0</v>
      </c>
      <c r="H1894">
        <f>IF($E1894="","",IF($E1893="",$E1894,$E1894*0.0952380952+H1893*0.9047619048))</f>
        <v>0</v>
      </c>
      <c r="I1894">
        <f>IF($E1894="","",IF($E1893="",$E1894,$E1894*0.0392156863+I1893*0.9607843137))</f>
        <v>0</v>
      </c>
      <c r="J1894">
        <f>IF($E1894="","",IF($E1893="",$E1894,$E1894*0.0198019802+J1893*0.9801980198))</f>
        <v>0</v>
      </c>
      <c r="K1894">
        <f>IF($E1894="","",IF($E1893="",$E1894,$E1894*0.0099502488+K1893*0.9900497512))</f>
        <v>0</v>
      </c>
      <c r="L1894">
        <f>IF(OR($E1894="",$E1893=""),"",MAX($E1894-$E1893,0))</f>
        <v>0</v>
      </c>
      <c r="M1894">
        <f>IF(OR($E1894="",$E1893=""),"",MAX($E1893-$E1894,0))</f>
        <v>0</v>
      </c>
      <c r="N1894">
        <f>IF(COUNT($E$2:$E1894)&lt;15,"",IF(AVERAGE($M$1881:$M$1894)=0,100,100-100/(1+AVERAGE($L$1881:$L$1894)/AVERAGE($M$1881:$M$1894))))</f>
        <v>0</v>
      </c>
      <c r="O1894">
        <f>IF($E1894="","",IF($E1893="",$E1894,$E1894*0.1538461538+O1893*0.8461538462))</f>
        <v>0</v>
      </c>
      <c r="P1894">
        <f>IF($E1894="","",IF($E1893="",$E1894,$E1894*0.0740740741+P1893*0.9259259259))</f>
        <v>0</v>
      </c>
      <c r="Q1894">
        <f>IF(OR(O1894="",P1894=""),"",O1894-P1894)</f>
        <v>0</v>
      </c>
      <c r="R1894">
        <f>IF(Q1894="","",IF(R1893="",Q1894,Q1894*0.2000000000+R1893*0.8000000000))</f>
        <v>0</v>
      </c>
      <c r="S1894">
        <f>IF(OR(Q1894="",R1894=""),"",Q1894-R1894)</f>
        <v>0</v>
      </c>
      <c r="T1894">
        <f>IF(COUNT($E$2:$E1894)&lt;14,"",MAX($C$1881:$C$1894))</f>
        <v>0</v>
      </c>
      <c r="U1894">
        <f>IF(COUNT($E$2:$E1894)&lt;14,"",MIN($D$1881:$D$1894))</f>
        <v>0</v>
      </c>
      <c r="V1894">
        <f>IF(OR(T1894="",U1894="",T1894=U1894),"",100*($E1894-U1894)/(T1894-U1894))</f>
        <v>0</v>
      </c>
      <c r="W1894">
        <f>IF(COUNT($V$1892:$V$1894)&lt;3,"",AVERAGE($V$1892:$V$1894))</f>
        <v>0</v>
      </c>
      <c r="X1894">
        <f>IF(COUNT($N$1881:$N$1894)&lt;14,"",MIN($N$1881:$N$1894))</f>
        <v>0</v>
      </c>
      <c r="Y1894">
        <f>IF(COUNT($N$1881:$N$1894)&lt;14,"",MAX($N$1881:$N$1894))</f>
        <v>0</v>
      </c>
      <c r="Z1894">
        <f>IF(OR(N1894="",X1894="",Y1894="",Y1894=X1894),"",100*(N1894-X1894)/(Y1894-X1894))</f>
        <v>0</v>
      </c>
      <c r="AA1894">
        <f>IF(COUNT($Z$1892:$Z$1894)&lt;3,"",AVERAGE($Z$1892:$Z$1894))</f>
        <v>0</v>
      </c>
      <c r="AB1894">
        <f>IF(COUNT($AA$1892:$AA$1894)&lt;3,"",AVERAGE($AA$1892:$AA$1894))</f>
        <v>0</v>
      </c>
      <c r="AC1894">
        <f>IF($E1894="","",MAX($C1894-$D1894,ABS($C1894-$E1893),ABS($D1894-$E1893)))</f>
        <v>0</v>
      </c>
      <c r="AD1894">
        <f>IF(COUNT($E$2:$E1894)&lt;15,"",AVERAGE($AC$1881:$AC$1894))</f>
        <v>0</v>
      </c>
      <c r="AE1894">
        <f>IF(OR($E1894="",$E1893=""),"",IF(AND(($C1894-$C1893)&gt;($D1893-$D1894),($C1894-$C1893)&gt;0),$C1894-$C1893,0))</f>
        <v>0</v>
      </c>
      <c r="AF1894">
        <f>IF(OR($E1894="",$E1893=""),"",IF(AND(($D1893-$D1894)&gt;($C1894-$C1893),($D1893-$D1894)&gt;0),$D1893-$D1894,0))</f>
        <v>0</v>
      </c>
      <c r="AG1894">
        <f>IF(COUNT($E$2:$E1894)&lt;15,"",IF(SUM($AC$1881:$AC$1894)=0,0,100*SUM($AE$1881:$AE$1894)/SUM($AC$1881:$AC$1894)))</f>
        <v>0</v>
      </c>
      <c r="AH1894">
        <f>IF(COUNT($E$2:$E1894)&lt;15,"",IF(SUM($AC$1881:$AC$1894)=0,0,100*SUM($AF$1881:$AF$1894)/SUM($AC$1881:$AC$1894)))</f>
        <v>0</v>
      </c>
      <c r="AI1894">
        <f>IF(OR(AG1894="",AH1894=""),"",IF((AG1894+AH1894)=0,0,100*ABS(AG1894-AH1894)/(AG1894+AH1894)))</f>
        <v>0</v>
      </c>
      <c r="AJ1894">
        <f>IF(COUNT($AI$1881:$AI$1894)&lt;14,"",AVERAGE($AI$1881:$AI$1894))</f>
        <v>0</v>
      </c>
      <c r="AK1894">
        <f>IF(COUNT($E$2:$E1894)&lt;20,"",AVERAGE($E$1875:$E$1894))</f>
        <v>0</v>
      </c>
      <c r="AL1894">
        <f>IF(COUNT($E$2:$E1894)&lt;20,"",STDEVP($E$1875:$E$1894))</f>
        <v>0</v>
      </c>
      <c r="AM1894">
        <f>IF(AK1894="","",AK1894+2*AL1894)</f>
        <v>0</v>
      </c>
      <c r="AN1894">
        <f>IF(AK1894="","",AK1894-2*AL1894)</f>
        <v>0</v>
      </c>
      <c r="AO1894">
        <f>IF(OR(AM1894="",AN1894="",AM1894=AN1894),"",($E1894-AN1894)/(AM1894-AN1894))</f>
        <v>0</v>
      </c>
      <c r="AP1894">
        <f>IF(OR(AM1894="",AK1894="",AK1894=0),"",(AM1894-AN1894)/AK1894)</f>
        <v>0</v>
      </c>
      <c r="AQ1894">
        <f>IF(COUNT($E$2:$E1894)&lt;20,"",MAX($C$1875:$C$1894))</f>
        <v>0</v>
      </c>
      <c r="AR1894">
        <f>IF(COUNT($E$2:$E1894)&lt;20,"",MIN($D$1875:$D$1894))</f>
        <v>0</v>
      </c>
      <c r="AS1894">
        <f>IF(OR(AQ1894="",AR1894=""),"",(AQ1894+AR1894)/2)</f>
        <v>0</v>
      </c>
      <c r="AT1894">
        <f>IF(COUNT($G$1875:$G$1894)&lt;20,"",STDEV($G$1875:$G$1894)*SQRT(252))</f>
        <v>0</v>
      </c>
      <c r="AU1894">
        <f>IF(COUNT($E$2:$E1894)&lt;9,"",(MAX($C$1886:$C$1894)+MIN($D$1886:$D$1894))/2)</f>
        <v>0</v>
      </c>
      <c r="AV1894">
        <f>IF(COUNT($E$2:$E1894)&lt;26,"",(MAX($C$1869:$C$1894)+MIN($D$1869:$D$1894))/2)</f>
        <v>0</v>
      </c>
      <c r="AW1894">
        <f>IF(OR(AU1894="",AV1894=""),"",(AU1894+AV1894)/2)</f>
        <v>0</v>
      </c>
      <c r="AX1894">
        <f>IF(COUNT($E$2:$E1894)&lt;52,"",(MAX($C$1843:$C$1894)+MIN($D$1843:$D$1894))/2)</f>
        <v>0</v>
      </c>
      <c r="AY1894">
        <f>IF(COUNT($E$2:$E1894)&lt;20,"",MAX($C$1795:$C$1894))</f>
        <v>0</v>
      </c>
      <c r="AZ1894">
        <f>IF(COUNT($E$2:$E1894)&lt;20,"",MIN($D$1795:$D$1894))</f>
        <v>0</v>
      </c>
      <c r="BA1894">
        <f>IF(COUNT($E$2:$E1894)&lt;20,"",SLOPE($E$1795:$E$1894,$F$1795:$F$1894))</f>
        <v>0</v>
      </c>
      <c r="BB1894">
        <f>IF(COUNT($E$2:$E1894)&lt;20,"",INTERCEPT($E$1795:$E$1894,$F$1795:$F$1894))</f>
        <v>0</v>
      </c>
      <c r="BC1894">
        <f>IF(OR(BA1894="",BB1894=""),"",BB1894+BA1894*F1894)</f>
        <v>0</v>
      </c>
      <c r="BD1894">
        <f>IF(COUNT($E$2:$E1894)&lt;20,"",STEYX($E$1795:$E$1894,$F$1795:$F$1894))</f>
        <v>0</v>
      </c>
      <c r="BE1894">
        <f>IF($E1894="","",IF(AND(COUNT($E$1895:$E$1898)&gt;=4,$C1894=MAX($C$1890:$C$1898)),$C1894,""))</f>
        <v>0</v>
      </c>
      <c r="BF1894">
        <f>IF($E1894="","",IF(AND(COUNT($E$1895:$E$1898)&gt;=4,$D1894=MIN($D$1890:$D$1898)),$D1894,""))</f>
        <v>0</v>
      </c>
      <c r="BG1894">
        <f>IF($A1894="","",$A1894-WEEKDAY($A1894,2)+1)</f>
        <v>0</v>
      </c>
      <c r="BH1894">
        <f>IF($A1894="","",IF($A1893="",1,IF(BG1894&lt;&gt;BG1893,1,0)))</f>
        <v>0</v>
      </c>
      <c r="BI1894">
        <f>IF($A1894="","",IF($A1895="",1,IF(BG1895&lt;&gt;BG1894,1,0)))</f>
        <v>0</v>
      </c>
      <c r="BJ1894">
        <f>IF($A1894="","",IF(BH1894=1,$B1894,BJ1893))</f>
        <v>0</v>
      </c>
      <c r="BK1894">
        <f>IF($A1894="","",IF(BH1894=1,$C1894,MAX($C1894,BK1893)))</f>
        <v>0</v>
      </c>
      <c r="BL1894">
        <f>IF($A1894="","",IF(BH1894=1,$D1894,MIN($D1894,BL1893)))</f>
        <v>0</v>
      </c>
      <c r="BM1894">
        <f>IF($A1894="","",IF(BI1894=1,F1894,""))</f>
        <v>0</v>
      </c>
      <c r="BN1894">
        <f>IF($A1894="","",DATE(YEAR($A1894),MONTH($A1894),1))</f>
        <v>0</v>
      </c>
      <c r="BO1894">
        <f>IF($A1894="","",IF($A1893="",1,IF(BN1894&lt;&gt;BN1893,1,0)))</f>
        <v>0</v>
      </c>
      <c r="BP1894">
        <f>IF($A1894="","",IF($A1895="",1,IF(BN1895&lt;&gt;BN1894,1,0)))</f>
        <v>0</v>
      </c>
      <c r="BQ1894">
        <f>IF($A1894="","",IF(BO1894=1,$B1894,BQ1893))</f>
        <v>0</v>
      </c>
      <c r="BR1894">
        <f>IF($A1894="","",IF(BO1894=1,$C1894,MAX($C1894,BR1893)))</f>
        <v>0</v>
      </c>
      <c r="BS1894">
        <f>IF($A1894="","",IF(BO1894=1,$D1894,MIN($D1894,BS1893)))</f>
        <v>0</v>
      </c>
      <c r="BT1894">
        <f>IF($A1894="","",IF(BP1894=1,F1894,""))</f>
        <v>0</v>
      </c>
    </row>
    <row r="1895" spans="1:72">
      <c r="A1895" s="27">
        <f>IF(Data!$A1895="","",Data!$A1895)</f>
        <v>0</v>
      </c>
      <c r="B1895">
        <f>IF(Data!$B1895="","",Data!$B1895)</f>
        <v>0</v>
      </c>
      <c r="C1895">
        <f>IF(Data!$C1895="","",Data!$C1895)</f>
        <v>0</v>
      </c>
      <c r="D1895">
        <f>IF(Data!$D1895="","",Data!$D1895)</f>
        <v>0</v>
      </c>
      <c r="E1895">
        <f>IF(Data!$E1895="","",Data!$E1895)</f>
        <v>0</v>
      </c>
      <c r="F1895">
        <f>IF($E1895="","",N(F1894)+1)</f>
        <v>0</v>
      </c>
      <c r="G1895">
        <f>IF(OR($E1895="",$E1894=""),"",LN($E1895/$E1894))</f>
        <v>0</v>
      </c>
      <c r="H1895">
        <f>IF($E1895="","",IF($E1894="",$E1895,$E1895*0.0952380952+H1894*0.9047619048))</f>
        <v>0</v>
      </c>
      <c r="I1895">
        <f>IF($E1895="","",IF($E1894="",$E1895,$E1895*0.0392156863+I1894*0.9607843137))</f>
        <v>0</v>
      </c>
      <c r="J1895">
        <f>IF($E1895="","",IF($E1894="",$E1895,$E1895*0.0198019802+J1894*0.9801980198))</f>
        <v>0</v>
      </c>
      <c r="K1895">
        <f>IF($E1895="","",IF($E1894="",$E1895,$E1895*0.0099502488+K1894*0.9900497512))</f>
        <v>0</v>
      </c>
      <c r="L1895">
        <f>IF(OR($E1895="",$E1894=""),"",MAX($E1895-$E1894,0))</f>
        <v>0</v>
      </c>
      <c r="M1895">
        <f>IF(OR($E1895="",$E1894=""),"",MAX($E1894-$E1895,0))</f>
        <v>0</v>
      </c>
      <c r="N1895">
        <f>IF(COUNT($E$2:$E1895)&lt;15,"",IF(AVERAGE($M$1882:$M$1895)=0,100,100-100/(1+AVERAGE($L$1882:$L$1895)/AVERAGE($M$1882:$M$1895))))</f>
        <v>0</v>
      </c>
      <c r="O1895">
        <f>IF($E1895="","",IF($E1894="",$E1895,$E1895*0.1538461538+O1894*0.8461538462))</f>
        <v>0</v>
      </c>
      <c r="P1895">
        <f>IF($E1895="","",IF($E1894="",$E1895,$E1895*0.0740740741+P1894*0.9259259259))</f>
        <v>0</v>
      </c>
      <c r="Q1895">
        <f>IF(OR(O1895="",P1895=""),"",O1895-P1895)</f>
        <v>0</v>
      </c>
      <c r="R1895">
        <f>IF(Q1895="","",IF(R1894="",Q1895,Q1895*0.2000000000+R1894*0.8000000000))</f>
        <v>0</v>
      </c>
      <c r="S1895">
        <f>IF(OR(Q1895="",R1895=""),"",Q1895-R1895)</f>
        <v>0</v>
      </c>
      <c r="T1895">
        <f>IF(COUNT($E$2:$E1895)&lt;14,"",MAX($C$1882:$C$1895))</f>
        <v>0</v>
      </c>
      <c r="U1895">
        <f>IF(COUNT($E$2:$E1895)&lt;14,"",MIN($D$1882:$D$1895))</f>
        <v>0</v>
      </c>
      <c r="V1895">
        <f>IF(OR(T1895="",U1895="",T1895=U1895),"",100*($E1895-U1895)/(T1895-U1895))</f>
        <v>0</v>
      </c>
      <c r="W1895">
        <f>IF(COUNT($V$1893:$V$1895)&lt;3,"",AVERAGE($V$1893:$V$1895))</f>
        <v>0</v>
      </c>
      <c r="X1895">
        <f>IF(COUNT($N$1882:$N$1895)&lt;14,"",MIN($N$1882:$N$1895))</f>
        <v>0</v>
      </c>
      <c r="Y1895">
        <f>IF(COUNT($N$1882:$N$1895)&lt;14,"",MAX($N$1882:$N$1895))</f>
        <v>0</v>
      </c>
      <c r="Z1895">
        <f>IF(OR(N1895="",X1895="",Y1895="",Y1895=X1895),"",100*(N1895-X1895)/(Y1895-X1895))</f>
        <v>0</v>
      </c>
      <c r="AA1895">
        <f>IF(COUNT($Z$1893:$Z$1895)&lt;3,"",AVERAGE($Z$1893:$Z$1895))</f>
        <v>0</v>
      </c>
      <c r="AB1895">
        <f>IF(COUNT($AA$1893:$AA$1895)&lt;3,"",AVERAGE($AA$1893:$AA$1895))</f>
        <v>0</v>
      </c>
      <c r="AC1895">
        <f>IF($E1895="","",MAX($C1895-$D1895,ABS($C1895-$E1894),ABS($D1895-$E1894)))</f>
        <v>0</v>
      </c>
      <c r="AD1895">
        <f>IF(COUNT($E$2:$E1895)&lt;15,"",AVERAGE($AC$1882:$AC$1895))</f>
        <v>0</v>
      </c>
      <c r="AE1895">
        <f>IF(OR($E1895="",$E1894=""),"",IF(AND(($C1895-$C1894)&gt;($D1894-$D1895),($C1895-$C1894)&gt;0),$C1895-$C1894,0))</f>
        <v>0</v>
      </c>
      <c r="AF1895">
        <f>IF(OR($E1895="",$E1894=""),"",IF(AND(($D1894-$D1895)&gt;($C1895-$C1894),($D1894-$D1895)&gt;0),$D1894-$D1895,0))</f>
        <v>0</v>
      </c>
      <c r="AG1895">
        <f>IF(COUNT($E$2:$E1895)&lt;15,"",IF(SUM($AC$1882:$AC$1895)=0,0,100*SUM($AE$1882:$AE$1895)/SUM($AC$1882:$AC$1895)))</f>
        <v>0</v>
      </c>
      <c r="AH1895">
        <f>IF(COUNT($E$2:$E1895)&lt;15,"",IF(SUM($AC$1882:$AC$1895)=0,0,100*SUM($AF$1882:$AF$1895)/SUM($AC$1882:$AC$1895)))</f>
        <v>0</v>
      </c>
      <c r="AI1895">
        <f>IF(OR(AG1895="",AH1895=""),"",IF((AG1895+AH1895)=0,0,100*ABS(AG1895-AH1895)/(AG1895+AH1895)))</f>
        <v>0</v>
      </c>
      <c r="AJ1895">
        <f>IF(COUNT($AI$1882:$AI$1895)&lt;14,"",AVERAGE($AI$1882:$AI$1895))</f>
        <v>0</v>
      </c>
      <c r="AK1895">
        <f>IF(COUNT($E$2:$E1895)&lt;20,"",AVERAGE($E$1876:$E$1895))</f>
        <v>0</v>
      </c>
      <c r="AL1895">
        <f>IF(COUNT($E$2:$E1895)&lt;20,"",STDEVP($E$1876:$E$1895))</f>
        <v>0</v>
      </c>
      <c r="AM1895">
        <f>IF(AK1895="","",AK1895+2*AL1895)</f>
        <v>0</v>
      </c>
      <c r="AN1895">
        <f>IF(AK1895="","",AK1895-2*AL1895)</f>
        <v>0</v>
      </c>
      <c r="AO1895">
        <f>IF(OR(AM1895="",AN1895="",AM1895=AN1895),"",($E1895-AN1895)/(AM1895-AN1895))</f>
        <v>0</v>
      </c>
      <c r="AP1895">
        <f>IF(OR(AM1895="",AK1895="",AK1895=0),"",(AM1895-AN1895)/AK1895)</f>
        <v>0</v>
      </c>
      <c r="AQ1895">
        <f>IF(COUNT($E$2:$E1895)&lt;20,"",MAX($C$1876:$C$1895))</f>
        <v>0</v>
      </c>
      <c r="AR1895">
        <f>IF(COUNT($E$2:$E1895)&lt;20,"",MIN($D$1876:$D$1895))</f>
        <v>0</v>
      </c>
      <c r="AS1895">
        <f>IF(OR(AQ1895="",AR1895=""),"",(AQ1895+AR1895)/2)</f>
        <v>0</v>
      </c>
      <c r="AT1895">
        <f>IF(COUNT($G$1876:$G$1895)&lt;20,"",STDEV($G$1876:$G$1895)*SQRT(252))</f>
        <v>0</v>
      </c>
      <c r="AU1895">
        <f>IF(COUNT($E$2:$E1895)&lt;9,"",(MAX($C$1887:$C$1895)+MIN($D$1887:$D$1895))/2)</f>
        <v>0</v>
      </c>
      <c r="AV1895">
        <f>IF(COUNT($E$2:$E1895)&lt;26,"",(MAX($C$1870:$C$1895)+MIN($D$1870:$D$1895))/2)</f>
        <v>0</v>
      </c>
      <c r="AW1895">
        <f>IF(OR(AU1895="",AV1895=""),"",(AU1895+AV1895)/2)</f>
        <v>0</v>
      </c>
      <c r="AX1895">
        <f>IF(COUNT($E$2:$E1895)&lt;52,"",(MAX($C$1844:$C$1895)+MIN($D$1844:$D$1895))/2)</f>
        <v>0</v>
      </c>
      <c r="AY1895">
        <f>IF(COUNT($E$2:$E1895)&lt;20,"",MAX($C$1796:$C$1895))</f>
        <v>0</v>
      </c>
      <c r="AZ1895">
        <f>IF(COUNT($E$2:$E1895)&lt;20,"",MIN($D$1796:$D$1895))</f>
        <v>0</v>
      </c>
      <c r="BA1895">
        <f>IF(COUNT($E$2:$E1895)&lt;20,"",SLOPE($E$1796:$E$1895,$F$1796:$F$1895))</f>
        <v>0</v>
      </c>
      <c r="BB1895">
        <f>IF(COUNT($E$2:$E1895)&lt;20,"",INTERCEPT($E$1796:$E$1895,$F$1796:$F$1895))</f>
        <v>0</v>
      </c>
      <c r="BC1895">
        <f>IF(OR(BA1895="",BB1895=""),"",BB1895+BA1895*F1895)</f>
        <v>0</v>
      </c>
      <c r="BD1895">
        <f>IF(COUNT($E$2:$E1895)&lt;20,"",STEYX($E$1796:$E$1895,$F$1796:$F$1895))</f>
        <v>0</v>
      </c>
      <c r="BE1895">
        <f>IF($E1895="","",IF(AND(COUNT($E$1896:$E$1899)&gt;=4,$C1895=MAX($C$1891:$C$1899)),$C1895,""))</f>
        <v>0</v>
      </c>
      <c r="BF1895">
        <f>IF($E1895="","",IF(AND(COUNT($E$1896:$E$1899)&gt;=4,$D1895=MIN($D$1891:$D$1899)),$D1895,""))</f>
        <v>0</v>
      </c>
      <c r="BG1895">
        <f>IF($A1895="","",$A1895-WEEKDAY($A1895,2)+1)</f>
        <v>0</v>
      </c>
      <c r="BH1895">
        <f>IF($A1895="","",IF($A1894="",1,IF(BG1895&lt;&gt;BG1894,1,0)))</f>
        <v>0</v>
      </c>
      <c r="BI1895">
        <f>IF($A1895="","",IF($A1896="",1,IF(BG1896&lt;&gt;BG1895,1,0)))</f>
        <v>0</v>
      </c>
      <c r="BJ1895">
        <f>IF($A1895="","",IF(BH1895=1,$B1895,BJ1894))</f>
        <v>0</v>
      </c>
      <c r="BK1895">
        <f>IF($A1895="","",IF(BH1895=1,$C1895,MAX($C1895,BK1894)))</f>
        <v>0</v>
      </c>
      <c r="BL1895">
        <f>IF($A1895="","",IF(BH1895=1,$D1895,MIN($D1895,BL1894)))</f>
        <v>0</v>
      </c>
      <c r="BM1895">
        <f>IF($A1895="","",IF(BI1895=1,F1895,""))</f>
        <v>0</v>
      </c>
      <c r="BN1895">
        <f>IF($A1895="","",DATE(YEAR($A1895),MONTH($A1895),1))</f>
        <v>0</v>
      </c>
      <c r="BO1895">
        <f>IF($A1895="","",IF($A1894="",1,IF(BN1895&lt;&gt;BN1894,1,0)))</f>
        <v>0</v>
      </c>
      <c r="BP1895">
        <f>IF($A1895="","",IF($A1896="",1,IF(BN1896&lt;&gt;BN1895,1,0)))</f>
        <v>0</v>
      </c>
      <c r="BQ1895">
        <f>IF($A1895="","",IF(BO1895=1,$B1895,BQ1894))</f>
        <v>0</v>
      </c>
      <c r="BR1895">
        <f>IF($A1895="","",IF(BO1895=1,$C1895,MAX($C1895,BR1894)))</f>
        <v>0</v>
      </c>
      <c r="BS1895">
        <f>IF($A1895="","",IF(BO1895=1,$D1895,MIN($D1895,BS1894)))</f>
        <v>0</v>
      </c>
      <c r="BT1895">
        <f>IF($A1895="","",IF(BP1895=1,F1895,""))</f>
        <v>0</v>
      </c>
    </row>
    <row r="1896" spans="1:72">
      <c r="A1896" s="27">
        <f>IF(Data!$A1896="","",Data!$A1896)</f>
        <v>0</v>
      </c>
      <c r="B1896">
        <f>IF(Data!$B1896="","",Data!$B1896)</f>
        <v>0</v>
      </c>
      <c r="C1896">
        <f>IF(Data!$C1896="","",Data!$C1896)</f>
        <v>0</v>
      </c>
      <c r="D1896">
        <f>IF(Data!$D1896="","",Data!$D1896)</f>
        <v>0</v>
      </c>
      <c r="E1896">
        <f>IF(Data!$E1896="","",Data!$E1896)</f>
        <v>0</v>
      </c>
      <c r="F1896">
        <f>IF($E1896="","",N(F1895)+1)</f>
        <v>0</v>
      </c>
      <c r="G1896">
        <f>IF(OR($E1896="",$E1895=""),"",LN($E1896/$E1895))</f>
        <v>0</v>
      </c>
      <c r="H1896">
        <f>IF($E1896="","",IF($E1895="",$E1896,$E1896*0.0952380952+H1895*0.9047619048))</f>
        <v>0</v>
      </c>
      <c r="I1896">
        <f>IF($E1896="","",IF($E1895="",$E1896,$E1896*0.0392156863+I1895*0.9607843137))</f>
        <v>0</v>
      </c>
      <c r="J1896">
        <f>IF($E1896="","",IF($E1895="",$E1896,$E1896*0.0198019802+J1895*0.9801980198))</f>
        <v>0</v>
      </c>
      <c r="K1896">
        <f>IF($E1896="","",IF($E1895="",$E1896,$E1896*0.0099502488+K1895*0.9900497512))</f>
        <v>0</v>
      </c>
      <c r="L1896">
        <f>IF(OR($E1896="",$E1895=""),"",MAX($E1896-$E1895,0))</f>
        <v>0</v>
      </c>
      <c r="M1896">
        <f>IF(OR($E1896="",$E1895=""),"",MAX($E1895-$E1896,0))</f>
        <v>0</v>
      </c>
      <c r="N1896">
        <f>IF(COUNT($E$2:$E1896)&lt;15,"",IF(AVERAGE($M$1883:$M$1896)=0,100,100-100/(1+AVERAGE($L$1883:$L$1896)/AVERAGE($M$1883:$M$1896))))</f>
        <v>0</v>
      </c>
      <c r="O1896">
        <f>IF($E1896="","",IF($E1895="",$E1896,$E1896*0.1538461538+O1895*0.8461538462))</f>
        <v>0</v>
      </c>
      <c r="P1896">
        <f>IF($E1896="","",IF($E1895="",$E1896,$E1896*0.0740740741+P1895*0.9259259259))</f>
        <v>0</v>
      </c>
      <c r="Q1896">
        <f>IF(OR(O1896="",P1896=""),"",O1896-P1896)</f>
        <v>0</v>
      </c>
      <c r="R1896">
        <f>IF(Q1896="","",IF(R1895="",Q1896,Q1896*0.2000000000+R1895*0.8000000000))</f>
        <v>0</v>
      </c>
      <c r="S1896">
        <f>IF(OR(Q1896="",R1896=""),"",Q1896-R1896)</f>
        <v>0</v>
      </c>
      <c r="T1896">
        <f>IF(COUNT($E$2:$E1896)&lt;14,"",MAX($C$1883:$C$1896))</f>
        <v>0</v>
      </c>
      <c r="U1896">
        <f>IF(COUNT($E$2:$E1896)&lt;14,"",MIN($D$1883:$D$1896))</f>
        <v>0</v>
      </c>
      <c r="V1896">
        <f>IF(OR(T1896="",U1896="",T1896=U1896),"",100*($E1896-U1896)/(T1896-U1896))</f>
        <v>0</v>
      </c>
      <c r="W1896">
        <f>IF(COUNT($V$1894:$V$1896)&lt;3,"",AVERAGE($V$1894:$V$1896))</f>
        <v>0</v>
      </c>
      <c r="X1896">
        <f>IF(COUNT($N$1883:$N$1896)&lt;14,"",MIN($N$1883:$N$1896))</f>
        <v>0</v>
      </c>
      <c r="Y1896">
        <f>IF(COUNT($N$1883:$N$1896)&lt;14,"",MAX($N$1883:$N$1896))</f>
        <v>0</v>
      </c>
      <c r="Z1896">
        <f>IF(OR(N1896="",X1896="",Y1896="",Y1896=X1896),"",100*(N1896-X1896)/(Y1896-X1896))</f>
        <v>0</v>
      </c>
      <c r="AA1896">
        <f>IF(COUNT($Z$1894:$Z$1896)&lt;3,"",AVERAGE($Z$1894:$Z$1896))</f>
        <v>0</v>
      </c>
      <c r="AB1896">
        <f>IF(COUNT($AA$1894:$AA$1896)&lt;3,"",AVERAGE($AA$1894:$AA$1896))</f>
        <v>0</v>
      </c>
      <c r="AC1896">
        <f>IF($E1896="","",MAX($C1896-$D1896,ABS($C1896-$E1895),ABS($D1896-$E1895)))</f>
        <v>0</v>
      </c>
      <c r="AD1896">
        <f>IF(COUNT($E$2:$E1896)&lt;15,"",AVERAGE($AC$1883:$AC$1896))</f>
        <v>0</v>
      </c>
      <c r="AE1896">
        <f>IF(OR($E1896="",$E1895=""),"",IF(AND(($C1896-$C1895)&gt;($D1895-$D1896),($C1896-$C1895)&gt;0),$C1896-$C1895,0))</f>
        <v>0</v>
      </c>
      <c r="AF1896">
        <f>IF(OR($E1896="",$E1895=""),"",IF(AND(($D1895-$D1896)&gt;($C1896-$C1895),($D1895-$D1896)&gt;0),$D1895-$D1896,0))</f>
        <v>0</v>
      </c>
      <c r="AG1896">
        <f>IF(COUNT($E$2:$E1896)&lt;15,"",IF(SUM($AC$1883:$AC$1896)=0,0,100*SUM($AE$1883:$AE$1896)/SUM($AC$1883:$AC$1896)))</f>
        <v>0</v>
      </c>
      <c r="AH1896">
        <f>IF(COUNT($E$2:$E1896)&lt;15,"",IF(SUM($AC$1883:$AC$1896)=0,0,100*SUM($AF$1883:$AF$1896)/SUM($AC$1883:$AC$1896)))</f>
        <v>0</v>
      </c>
      <c r="AI1896">
        <f>IF(OR(AG1896="",AH1896=""),"",IF((AG1896+AH1896)=0,0,100*ABS(AG1896-AH1896)/(AG1896+AH1896)))</f>
        <v>0</v>
      </c>
      <c r="AJ1896">
        <f>IF(COUNT($AI$1883:$AI$1896)&lt;14,"",AVERAGE($AI$1883:$AI$1896))</f>
        <v>0</v>
      </c>
      <c r="AK1896">
        <f>IF(COUNT($E$2:$E1896)&lt;20,"",AVERAGE($E$1877:$E$1896))</f>
        <v>0</v>
      </c>
      <c r="AL1896">
        <f>IF(COUNT($E$2:$E1896)&lt;20,"",STDEVP($E$1877:$E$1896))</f>
        <v>0</v>
      </c>
      <c r="AM1896">
        <f>IF(AK1896="","",AK1896+2*AL1896)</f>
        <v>0</v>
      </c>
      <c r="AN1896">
        <f>IF(AK1896="","",AK1896-2*AL1896)</f>
        <v>0</v>
      </c>
      <c r="AO1896">
        <f>IF(OR(AM1896="",AN1896="",AM1896=AN1896),"",($E1896-AN1896)/(AM1896-AN1896))</f>
        <v>0</v>
      </c>
      <c r="AP1896">
        <f>IF(OR(AM1896="",AK1896="",AK1896=0),"",(AM1896-AN1896)/AK1896)</f>
        <v>0</v>
      </c>
      <c r="AQ1896">
        <f>IF(COUNT($E$2:$E1896)&lt;20,"",MAX($C$1877:$C$1896))</f>
        <v>0</v>
      </c>
      <c r="AR1896">
        <f>IF(COUNT($E$2:$E1896)&lt;20,"",MIN($D$1877:$D$1896))</f>
        <v>0</v>
      </c>
      <c r="AS1896">
        <f>IF(OR(AQ1896="",AR1896=""),"",(AQ1896+AR1896)/2)</f>
        <v>0</v>
      </c>
      <c r="AT1896">
        <f>IF(COUNT($G$1877:$G$1896)&lt;20,"",STDEV($G$1877:$G$1896)*SQRT(252))</f>
        <v>0</v>
      </c>
      <c r="AU1896">
        <f>IF(COUNT($E$2:$E1896)&lt;9,"",(MAX($C$1888:$C$1896)+MIN($D$1888:$D$1896))/2)</f>
        <v>0</v>
      </c>
      <c r="AV1896">
        <f>IF(COUNT($E$2:$E1896)&lt;26,"",(MAX($C$1871:$C$1896)+MIN($D$1871:$D$1896))/2)</f>
        <v>0</v>
      </c>
      <c r="AW1896">
        <f>IF(OR(AU1896="",AV1896=""),"",(AU1896+AV1896)/2)</f>
        <v>0</v>
      </c>
      <c r="AX1896">
        <f>IF(COUNT($E$2:$E1896)&lt;52,"",(MAX($C$1845:$C$1896)+MIN($D$1845:$D$1896))/2)</f>
        <v>0</v>
      </c>
      <c r="AY1896">
        <f>IF(COUNT($E$2:$E1896)&lt;20,"",MAX($C$1797:$C$1896))</f>
        <v>0</v>
      </c>
      <c r="AZ1896">
        <f>IF(COUNT($E$2:$E1896)&lt;20,"",MIN($D$1797:$D$1896))</f>
        <v>0</v>
      </c>
      <c r="BA1896">
        <f>IF(COUNT($E$2:$E1896)&lt;20,"",SLOPE($E$1797:$E$1896,$F$1797:$F$1896))</f>
        <v>0</v>
      </c>
      <c r="BB1896">
        <f>IF(COUNT($E$2:$E1896)&lt;20,"",INTERCEPT($E$1797:$E$1896,$F$1797:$F$1896))</f>
        <v>0</v>
      </c>
      <c r="BC1896">
        <f>IF(OR(BA1896="",BB1896=""),"",BB1896+BA1896*F1896)</f>
        <v>0</v>
      </c>
      <c r="BD1896">
        <f>IF(COUNT($E$2:$E1896)&lt;20,"",STEYX($E$1797:$E$1896,$F$1797:$F$1896))</f>
        <v>0</v>
      </c>
      <c r="BE1896">
        <f>IF($E1896="","",IF(AND(COUNT($E$1897:$E$1900)&gt;=4,$C1896=MAX($C$1892:$C$1900)),$C1896,""))</f>
        <v>0</v>
      </c>
      <c r="BF1896">
        <f>IF($E1896="","",IF(AND(COUNT($E$1897:$E$1900)&gt;=4,$D1896=MIN($D$1892:$D$1900)),$D1896,""))</f>
        <v>0</v>
      </c>
      <c r="BG1896">
        <f>IF($A1896="","",$A1896-WEEKDAY($A1896,2)+1)</f>
        <v>0</v>
      </c>
      <c r="BH1896">
        <f>IF($A1896="","",IF($A1895="",1,IF(BG1896&lt;&gt;BG1895,1,0)))</f>
        <v>0</v>
      </c>
      <c r="BI1896">
        <f>IF($A1896="","",IF($A1897="",1,IF(BG1897&lt;&gt;BG1896,1,0)))</f>
        <v>0</v>
      </c>
      <c r="BJ1896">
        <f>IF($A1896="","",IF(BH1896=1,$B1896,BJ1895))</f>
        <v>0</v>
      </c>
      <c r="BK1896">
        <f>IF($A1896="","",IF(BH1896=1,$C1896,MAX($C1896,BK1895)))</f>
        <v>0</v>
      </c>
      <c r="BL1896">
        <f>IF($A1896="","",IF(BH1896=1,$D1896,MIN($D1896,BL1895)))</f>
        <v>0</v>
      </c>
      <c r="BM1896">
        <f>IF($A1896="","",IF(BI1896=1,F1896,""))</f>
        <v>0</v>
      </c>
      <c r="BN1896">
        <f>IF($A1896="","",DATE(YEAR($A1896),MONTH($A1896),1))</f>
        <v>0</v>
      </c>
      <c r="BO1896">
        <f>IF($A1896="","",IF($A1895="",1,IF(BN1896&lt;&gt;BN1895,1,0)))</f>
        <v>0</v>
      </c>
      <c r="BP1896">
        <f>IF($A1896="","",IF($A1897="",1,IF(BN1897&lt;&gt;BN1896,1,0)))</f>
        <v>0</v>
      </c>
      <c r="BQ1896">
        <f>IF($A1896="","",IF(BO1896=1,$B1896,BQ1895))</f>
        <v>0</v>
      </c>
      <c r="BR1896">
        <f>IF($A1896="","",IF(BO1896=1,$C1896,MAX($C1896,BR1895)))</f>
        <v>0</v>
      </c>
      <c r="BS1896">
        <f>IF($A1896="","",IF(BO1896=1,$D1896,MIN($D1896,BS1895)))</f>
        <v>0</v>
      </c>
      <c r="BT1896">
        <f>IF($A1896="","",IF(BP1896=1,F1896,""))</f>
        <v>0</v>
      </c>
    </row>
    <row r="1897" spans="1:72">
      <c r="A1897" s="27">
        <f>IF(Data!$A1897="","",Data!$A1897)</f>
        <v>0</v>
      </c>
      <c r="B1897">
        <f>IF(Data!$B1897="","",Data!$B1897)</f>
        <v>0</v>
      </c>
      <c r="C1897">
        <f>IF(Data!$C1897="","",Data!$C1897)</f>
        <v>0</v>
      </c>
      <c r="D1897">
        <f>IF(Data!$D1897="","",Data!$D1897)</f>
        <v>0</v>
      </c>
      <c r="E1897">
        <f>IF(Data!$E1897="","",Data!$E1897)</f>
        <v>0</v>
      </c>
      <c r="F1897">
        <f>IF($E1897="","",N(F1896)+1)</f>
        <v>0</v>
      </c>
      <c r="G1897">
        <f>IF(OR($E1897="",$E1896=""),"",LN($E1897/$E1896))</f>
        <v>0</v>
      </c>
      <c r="H1897">
        <f>IF($E1897="","",IF($E1896="",$E1897,$E1897*0.0952380952+H1896*0.9047619048))</f>
        <v>0</v>
      </c>
      <c r="I1897">
        <f>IF($E1897="","",IF($E1896="",$E1897,$E1897*0.0392156863+I1896*0.9607843137))</f>
        <v>0</v>
      </c>
      <c r="J1897">
        <f>IF($E1897="","",IF($E1896="",$E1897,$E1897*0.0198019802+J1896*0.9801980198))</f>
        <v>0</v>
      </c>
      <c r="K1897">
        <f>IF($E1897="","",IF($E1896="",$E1897,$E1897*0.0099502488+K1896*0.9900497512))</f>
        <v>0</v>
      </c>
      <c r="L1897">
        <f>IF(OR($E1897="",$E1896=""),"",MAX($E1897-$E1896,0))</f>
        <v>0</v>
      </c>
      <c r="M1897">
        <f>IF(OR($E1897="",$E1896=""),"",MAX($E1896-$E1897,0))</f>
        <v>0</v>
      </c>
      <c r="N1897">
        <f>IF(COUNT($E$2:$E1897)&lt;15,"",IF(AVERAGE($M$1884:$M$1897)=0,100,100-100/(1+AVERAGE($L$1884:$L$1897)/AVERAGE($M$1884:$M$1897))))</f>
        <v>0</v>
      </c>
      <c r="O1897">
        <f>IF($E1897="","",IF($E1896="",$E1897,$E1897*0.1538461538+O1896*0.8461538462))</f>
        <v>0</v>
      </c>
      <c r="P1897">
        <f>IF($E1897="","",IF($E1896="",$E1897,$E1897*0.0740740741+P1896*0.9259259259))</f>
        <v>0</v>
      </c>
      <c r="Q1897">
        <f>IF(OR(O1897="",P1897=""),"",O1897-P1897)</f>
        <v>0</v>
      </c>
      <c r="R1897">
        <f>IF(Q1897="","",IF(R1896="",Q1897,Q1897*0.2000000000+R1896*0.8000000000))</f>
        <v>0</v>
      </c>
      <c r="S1897">
        <f>IF(OR(Q1897="",R1897=""),"",Q1897-R1897)</f>
        <v>0</v>
      </c>
      <c r="T1897">
        <f>IF(COUNT($E$2:$E1897)&lt;14,"",MAX($C$1884:$C$1897))</f>
        <v>0</v>
      </c>
      <c r="U1897">
        <f>IF(COUNT($E$2:$E1897)&lt;14,"",MIN($D$1884:$D$1897))</f>
        <v>0</v>
      </c>
      <c r="V1897">
        <f>IF(OR(T1897="",U1897="",T1897=U1897),"",100*($E1897-U1897)/(T1897-U1897))</f>
        <v>0</v>
      </c>
      <c r="W1897">
        <f>IF(COUNT($V$1895:$V$1897)&lt;3,"",AVERAGE($V$1895:$V$1897))</f>
        <v>0</v>
      </c>
      <c r="X1897">
        <f>IF(COUNT($N$1884:$N$1897)&lt;14,"",MIN($N$1884:$N$1897))</f>
        <v>0</v>
      </c>
      <c r="Y1897">
        <f>IF(COUNT($N$1884:$N$1897)&lt;14,"",MAX($N$1884:$N$1897))</f>
        <v>0</v>
      </c>
      <c r="Z1897">
        <f>IF(OR(N1897="",X1897="",Y1897="",Y1897=X1897),"",100*(N1897-X1897)/(Y1897-X1897))</f>
        <v>0</v>
      </c>
      <c r="AA1897">
        <f>IF(COUNT($Z$1895:$Z$1897)&lt;3,"",AVERAGE($Z$1895:$Z$1897))</f>
        <v>0</v>
      </c>
      <c r="AB1897">
        <f>IF(COUNT($AA$1895:$AA$1897)&lt;3,"",AVERAGE($AA$1895:$AA$1897))</f>
        <v>0</v>
      </c>
      <c r="AC1897">
        <f>IF($E1897="","",MAX($C1897-$D1897,ABS($C1897-$E1896),ABS($D1897-$E1896)))</f>
        <v>0</v>
      </c>
      <c r="AD1897">
        <f>IF(COUNT($E$2:$E1897)&lt;15,"",AVERAGE($AC$1884:$AC$1897))</f>
        <v>0</v>
      </c>
      <c r="AE1897">
        <f>IF(OR($E1897="",$E1896=""),"",IF(AND(($C1897-$C1896)&gt;($D1896-$D1897),($C1897-$C1896)&gt;0),$C1897-$C1896,0))</f>
        <v>0</v>
      </c>
      <c r="AF1897">
        <f>IF(OR($E1897="",$E1896=""),"",IF(AND(($D1896-$D1897)&gt;($C1897-$C1896),($D1896-$D1897)&gt;0),$D1896-$D1897,0))</f>
        <v>0</v>
      </c>
      <c r="AG1897">
        <f>IF(COUNT($E$2:$E1897)&lt;15,"",IF(SUM($AC$1884:$AC$1897)=0,0,100*SUM($AE$1884:$AE$1897)/SUM($AC$1884:$AC$1897)))</f>
        <v>0</v>
      </c>
      <c r="AH1897">
        <f>IF(COUNT($E$2:$E1897)&lt;15,"",IF(SUM($AC$1884:$AC$1897)=0,0,100*SUM($AF$1884:$AF$1897)/SUM($AC$1884:$AC$1897)))</f>
        <v>0</v>
      </c>
      <c r="AI1897">
        <f>IF(OR(AG1897="",AH1897=""),"",IF((AG1897+AH1897)=0,0,100*ABS(AG1897-AH1897)/(AG1897+AH1897)))</f>
        <v>0</v>
      </c>
      <c r="AJ1897">
        <f>IF(COUNT($AI$1884:$AI$1897)&lt;14,"",AVERAGE($AI$1884:$AI$1897))</f>
        <v>0</v>
      </c>
      <c r="AK1897">
        <f>IF(COUNT($E$2:$E1897)&lt;20,"",AVERAGE($E$1878:$E$1897))</f>
        <v>0</v>
      </c>
      <c r="AL1897">
        <f>IF(COUNT($E$2:$E1897)&lt;20,"",STDEVP($E$1878:$E$1897))</f>
        <v>0</v>
      </c>
      <c r="AM1897">
        <f>IF(AK1897="","",AK1897+2*AL1897)</f>
        <v>0</v>
      </c>
      <c r="AN1897">
        <f>IF(AK1897="","",AK1897-2*AL1897)</f>
        <v>0</v>
      </c>
      <c r="AO1897">
        <f>IF(OR(AM1897="",AN1897="",AM1897=AN1897),"",($E1897-AN1897)/(AM1897-AN1897))</f>
        <v>0</v>
      </c>
      <c r="AP1897">
        <f>IF(OR(AM1897="",AK1897="",AK1897=0),"",(AM1897-AN1897)/AK1897)</f>
        <v>0</v>
      </c>
      <c r="AQ1897">
        <f>IF(COUNT($E$2:$E1897)&lt;20,"",MAX($C$1878:$C$1897))</f>
        <v>0</v>
      </c>
      <c r="AR1897">
        <f>IF(COUNT($E$2:$E1897)&lt;20,"",MIN($D$1878:$D$1897))</f>
        <v>0</v>
      </c>
      <c r="AS1897">
        <f>IF(OR(AQ1897="",AR1897=""),"",(AQ1897+AR1897)/2)</f>
        <v>0</v>
      </c>
      <c r="AT1897">
        <f>IF(COUNT($G$1878:$G$1897)&lt;20,"",STDEV($G$1878:$G$1897)*SQRT(252))</f>
        <v>0</v>
      </c>
      <c r="AU1897">
        <f>IF(COUNT($E$2:$E1897)&lt;9,"",(MAX($C$1889:$C$1897)+MIN($D$1889:$D$1897))/2)</f>
        <v>0</v>
      </c>
      <c r="AV1897">
        <f>IF(COUNT($E$2:$E1897)&lt;26,"",(MAX($C$1872:$C$1897)+MIN($D$1872:$D$1897))/2)</f>
        <v>0</v>
      </c>
      <c r="AW1897">
        <f>IF(OR(AU1897="",AV1897=""),"",(AU1897+AV1897)/2)</f>
        <v>0</v>
      </c>
      <c r="AX1897">
        <f>IF(COUNT($E$2:$E1897)&lt;52,"",(MAX($C$1846:$C$1897)+MIN($D$1846:$D$1897))/2)</f>
        <v>0</v>
      </c>
      <c r="AY1897">
        <f>IF(COUNT($E$2:$E1897)&lt;20,"",MAX($C$1798:$C$1897))</f>
        <v>0</v>
      </c>
      <c r="AZ1897">
        <f>IF(COUNT($E$2:$E1897)&lt;20,"",MIN($D$1798:$D$1897))</f>
        <v>0</v>
      </c>
      <c r="BA1897">
        <f>IF(COUNT($E$2:$E1897)&lt;20,"",SLOPE($E$1798:$E$1897,$F$1798:$F$1897))</f>
        <v>0</v>
      </c>
      <c r="BB1897">
        <f>IF(COUNT($E$2:$E1897)&lt;20,"",INTERCEPT($E$1798:$E$1897,$F$1798:$F$1897))</f>
        <v>0</v>
      </c>
      <c r="BC1897">
        <f>IF(OR(BA1897="",BB1897=""),"",BB1897+BA1897*F1897)</f>
        <v>0</v>
      </c>
      <c r="BD1897">
        <f>IF(COUNT($E$2:$E1897)&lt;20,"",STEYX($E$1798:$E$1897,$F$1798:$F$1897))</f>
        <v>0</v>
      </c>
      <c r="BE1897">
        <f>IF($E1897="","",IF(AND(COUNT($E$1898:$E$1901)&gt;=4,$C1897=MAX($C$1893:$C$1901)),$C1897,""))</f>
        <v>0</v>
      </c>
      <c r="BF1897">
        <f>IF($E1897="","",IF(AND(COUNT($E$1898:$E$1901)&gt;=4,$D1897=MIN($D$1893:$D$1901)),$D1897,""))</f>
        <v>0</v>
      </c>
      <c r="BG1897">
        <f>IF($A1897="","",$A1897-WEEKDAY($A1897,2)+1)</f>
        <v>0</v>
      </c>
      <c r="BH1897">
        <f>IF($A1897="","",IF($A1896="",1,IF(BG1897&lt;&gt;BG1896,1,0)))</f>
        <v>0</v>
      </c>
      <c r="BI1897">
        <f>IF($A1897="","",IF($A1898="",1,IF(BG1898&lt;&gt;BG1897,1,0)))</f>
        <v>0</v>
      </c>
      <c r="BJ1897">
        <f>IF($A1897="","",IF(BH1897=1,$B1897,BJ1896))</f>
        <v>0</v>
      </c>
      <c r="BK1897">
        <f>IF($A1897="","",IF(BH1897=1,$C1897,MAX($C1897,BK1896)))</f>
        <v>0</v>
      </c>
      <c r="BL1897">
        <f>IF($A1897="","",IF(BH1897=1,$D1897,MIN($D1897,BL1896)))</f>
        <v>0</v>
      </c>
      <c r="BM1897">
        <f>IF($A1897="","",IF(BI1897=1,F1897,""))</f>
        <v>0</v>
      </c>
      <c r="BN1897">
        <f>IF($A1897="","",DATE(YEAR($A1897),MONTH($A1897),1))</f>
        <v>0</v>
      </c>
      <c r="BO1897">
        <f>IF($A1897="","",IF($A1896="",1,IF(BN1897&lt;&gt;BN1896,1,0)))</f>
        <v>0</v>
      </c>
      <c r="BP1897">
        <f>IF($A1897="","",IF($A1898="",1,IF(BN1898&lt;&gt;BN1897,1,0)))</f>
        <v>0</v>
      </c>
      <c r="BQ1897">
        <f>IF($A1897="","",IF(BO1897=1,$B1897,BQ1896))</f>
        <v>0</v>
      </c>
      <c r="BR1897">
        <f>IF($A1897="","",IF(BO1897=1,$C1897,MAX($C1897,BR1896)))</f>
        <v>0</v>
      </c>
      <c r="BS1897">
        <f>IF($A1897="","",IF(BO1897=1,$D1897,MIN($D1897,BS1896)))</f>
        <v>0</v>
      </c>
      <c r="BT1897">
        <f>IF($A1897="","",IF(BP1897=1,F1897,""))</f>
        <v>0</v>
      </c>
    </row>
    <row r="1898" spans="1:72">
      <c r="A1898" s="27">
        <f>IF(Data!$A1898="","",Data!$A1898)</f>
        <v>0</v>
      </c>
      <c r="B1898">
        <f>IF(Data!$B1898="","",Data!$B1898)</f>
        <v>0</v>
      </c>
      <c r="C1898">
        <f>IF(Data!$C1898="","",Data!$C1898)</f>
        <v>0</v>
      </c>
      <c r="D1898">
        <f>IF(Data!$D1898="","",Data!$D1898)</f>
        <v>0</v>
      </c>
      <c r="E1898">
        <f>IF(Data!$E1898="","",Data!$E1898)</f>
        <v>0</v>
      </c>
      <c r="F1898">
        <f>IF($E1898="","",N(F1897)+1)</f>
        <v>0</v>
      </c>
      <c r="G1898">
        <f>IF(OR($E1898="",$E1897=""),"",LN($E1898/$E1897))</f>
        <v>0</v>
      </c>
      <c r="H1898">
        <f>IF($E1898="","",IF($E1897="",$E1898,$E1898*0.0952380952+H1897*0.9047619048))</f>
        <v>0</v>
      </c>
      <c r="I1898">
        <f>IF($E1898="","",IF($E1897="",$E1898,$E1898*0.0392156863+I1897*0.9607843137))</f>
        <v>0</v>
      </c>
      <c r="J1898">
        <f>IF($E1898="","",IF($E1897="",$E1898,$E1898*0.0198019802+J1897*0.9801980198))</f>
        <v>0</v>
      </c>
      <c r="K1898">
        <f>IF($E1898="","",IF($E1897="",$E1898,$E1898*0.0099502488+K1897*0.9900497512))</f>
        <v>0</v>
      </c>
      <c r="L1898">
        <f>IF(OR($E1898="",$E1897=""),"",MAX($E1898-$E1897,0))</f>
        <v>0</v>
      </c>
      <c r="M1898">
        <f>IF(OR($E1898="",$E1897=""),"",MAX($E1897-$E1898,0))</f>
        <v>0</v>
      </c>
      <c r="N1898">
        <f>IF(COUNT($E$2:$E1898)&lt;15,"",IF(AVERAGE($M$1885:$M$1898)=0,100,100-100/(1+AVERAGE($L$1885:$L$1898)/AVERAGE($M$1885:$M$1898))))</f>
        <v>0</v>
      </c>
      <c r="O1898">
        <f>IF($E1898="","",IF($E1897="",$E1898,$E1898*0.1538461538+O1897*0.8461538462))</f>
        <v>0</v>
      </c>
      <c r="P1898">
        <f>IF($E1898="","",IF($E1897="",$E1898,$E1898*0.0740740741+P1897*0.9259259259))</f>
        <v>0</v>
      </c>
      <c r="Q1898">
        <f>IF(OR(O1898="",P1898=""),"",O1898-P1898)</f>
        <v>0</v>
      </c>
      <c r="R1898">
        <f>IF(Q1898="","",IF(R1897="",Q1898,Q1898*0.2000000000+R1897*0.8000000000))</f>
        <v>0</v>
      </c>
      <c r="S1898">
        <f>IF(OR(Q1898="",R1898=""),"",Q1898-R1898)</f>
        <v>0</v>
      </c>
      <c r="T1898">
        <f>IF(COUNT($E$2:$E1898)&lt;14,"",MAX($C$1885:$C$1898))</f>
        <v>0</v>
      </c>
      <c r="U1898">
        <f>IF(COUNT($E$2:$E1898)&lt;14,"",MIN($D$1885:$D$1898))</f>
        <v>0</v>
      </c>
      <c r="V1898">
        <f>IF(OR(T1898="",U1898="",T1898=U1898),"",100*($E1898-U1898)/(T1898-U1898))</f>
        <v>0</v>
      </c>
      <c r="W1898">
        <f>IF(COUNT($V$1896:$V$1898)&lt;3,"",AVERAGE($V$1896:$V$1898))</f>
        <v>0</v>
      </c>
      <c r="X1898">
        <f>IF(COUNT($N$1885:$N$1898)&lt;14,"",MIN($N$1885:$N$1898))</f>
        <v>0</v>
      </c>
      <c r="Y1898">
        <f>IF(COUNT($N$1885:$N$1898)&lt;14,"",MAX($N$1885:$N$1898))</f>
        <v>0</v>
      </c>
      <c r="Z1898">
        <f>IF(OR(N1898="",X1898="",Y1898="",Y1898=X1898),"",100*(N1898-X1898)/(Y1898-X1898))</f>
        <v>0</v>
      </c>
      <c r="AA1898">
        <f>IF(COUNT($Z$1896:$Z$1898)&lt;3,"",AVERAGE($Z$1896:$Z$1898))</f>
        <v>0</v>
      </c>
      <c r="AB1898">
        <f>IF(COUNT($AA$1896:$AA$1898)&lt;3,"",AVERAGE($AA$1896:$AA$1898))</f>
        <v>0</v>
      </c>
      <c r="AC1898">
        <f>IF($E1898="","",MAX($C1898-$D1898,ABS($C1898-$E1897),ABS($D1898-$E1897)))</f>
        <v>0</v>
      </c>
      <c r="AD1898">
        <f>IF(COUNT($E$2:$E1898)&lt;15,"",AVERAGE($AC$1885:$AC$1898))</f>
        <v>0</v>
      </c>
      <c r="AE1898">
        <f>IF(OR($E1898="",$E1897=""),"",IF(AND(($C1898-$C1897)&gt;($D1897-$D1898),($C1898-$C1897)&gt;0),$C1898-$C1897,0))</f>
        <v>0</v>
      </c>
      <c r="AF1898">
        <f>IF(OR($E1898="",$E1897=""),"",IF(AND(($D1897-$D1898)&gt;($C1898-$C1897),($D1897-$D1898)&gt;0),$D1897-$D1898,0))</f>
        <v>0</v>
      </c>
      <c r="AG1898">
        <f>IF(COUNT($E$2:$E1898)&lt;15,"",IF(SUM($AC$1885:$AC$1898)=0,0,100*SUM($AE$1885:$AE$1898)/SUM($AC$1885:$AC$1898)))</f>
        <v>0</v>
      </c>
      <c r="AH1898">
        <f>IF(COUNT($E$2:$E1898)&lt;15,"",IF(SUM($AC$1885:$AC$1898)=0,0,100*SUM($AF$1885:$AF$1898)/SUM($AC$1885:$AC$1898)))</f>
        <v>0</v>
      </c>
      <c r="AI1898">
        <f>IF(OR(AG1898="",AH1898=""),"",IF((AG1898+AH1898)=0,0,100*ABS(AG1898-AH1898)/(AG1898+AH1898)))</f>
        <v>0</v>
      </c>
      <c r="AJ1898">
        <f>IF(COUNT($AI$1885:$AI$1898)&lt;14,"",AVERAGE($AI$1885:$AI$1898))</f>
        <v>0</v>
      </c>
      <c r="AK1898">
        <f>IF(COUNT($E$2:$E1898)&lt;20,"",AVERAGE($E$1879:$E$1898))</f>
        <v>0</v>
      </c>
      <c r="AL1898">
        <f>IF(COUNT($E$2:$E1898)&lt;20,"",STDEVP($E$1879:$E$1898))</f>
        <v>0</v>
      </c>
      <c r="AM1898">
        <f>IF(AK1898="","",AK1898+2*AL1898)</f>
        <v>0</v>
      </c>
      <c r="AN1898">
        <f>IF(AK1898="","",AK1898-2*AL1898)</f>
        <v>0</v>
      </c>
      <c r="AO1898">
        <f>IF(OR(AM1898="",AN1898="",AM1898=AN1898),"",($E1898-AN1898)/(AM1898-AN1898))</f>
        <v>0</v>
      </c>
      <c r="AP1898">
        <f>IF(OR(AM1898="",AK1898="",AK1898=0),"",(AM1898-AN1898)/AK1898)</f>
        <v>0</v>
      </c>
      <c r="AQ1898">
        <f>IF(COUNT($E$2:$E1898)&lt;20,"",MAX($C$1879:$C$1898))</f>
        <v>0</v>
      </c>
      <c r="AR1898">
        <f>IF(COUNT($E$2:$E1898)&lt;20,"",MIN($D$1879:$D$1898))</f>
        <v>0</v>
      </c>
      <c r="AS1898">
        <f>IF(OR(AQ1898="",AR1898=""),"",(AQ1898+AR1898)/2)</f>
        <v>0</v>
      </c>
      <c r="AT1898">
        <f>IF(COUNT($G$1879:$G$1898)&lt;20,"",STDEV($G$1879:$G$1898)*SQRT(252))</f>
        <v>0</v>
      </c>
      <c r="AU1898">
        <f>IF(COUNT($E$2:$E1898)&lt;9,"",(MAX($C$1890:$C$1898)+MIN($D$1890:$D$1898))/2)</f>
        <v>0</v>
      </c>
      <c r="AV1898">
        <f>IF(COUNT($E$2:$E1898)&lt;26,"",(MAX($C$1873:$C$1898)+MIN($D$1873:$D$1898))/2)</f>
        <v>0</v>
      </c>
      <c r="AW1898">
        <f>IF(OR(AU1898="",AV1898=""),"",(AU1898+AV1898)/2)</f>
        <v>0</v>
      </c>
      <c r="AX1898">
        <f>IF(COUNT($E$2:$E1898)&lt;52,"",(MAX($C$1847:$C$1898)+MIN($D$1847:$D$1898))/2)</f>
        <v>0</v>
      </c>
      <c r="AY1898">
        <f>IF(COUNT($E$2:$E1898)&lt;20,"",MAX($C$1799:$C$1898))</f>
        <v>0</v>
      </c>
      <c r="AZ1898">
        <f>IF(COUNT($E$2:$E1898)&lt;20,"",MIN($D$1799:$D$1898))</f>
        <v>0</v>
      </c>
      <c r="BA1898">
        <f>IF(COUNT($E$2:$E1898)&lt;20,"",SLOPE($E$1799:$E$1898,$F$1799:$F$1898))</f>
        <v>0</v>
      </c>
      <c r="BB1898">
        <f>IF(COUNT($E$2:$E1898)&lt;20,"",INTERCEPT($E$1799:$E$1898,$F$1799:$F$1898))</f>
        <v>0</v>
      </c>
      <c r="BC1898">
        <f>IF(OR(BA1898="",BB1898=""),"",BB1898+BA1898*F1898)</f>
        <v>0</v>
      </c>
      <c r="BD1898">
        <f>IF(COUNT($E$2:$E1898)&lt;20,"",STEYX($E$1799:$E$1898,$F$1799:$F$1898))</f>
        <v>0</v>
      </c>
      <c r="BE1898">
        <f>IF($E1898="","",IF(AND(COUNT($E$1899:$E$1902)&gt;=4,$C1898=MAX($C$1894:$C$1902)),$C1898,""))</f>
        <v>0</v>
      </c>
      <c r="BF1898">
        <f>IF($E1898="","",IF(AND(COUNT($E$1899:$E$1902)&gt;=4,$D1898=MIN($D$1894:$D$1902)),$D1898,""))</f>
        <v>0</v>
      </c>
      <c r="BG1898">
        <f>IF($A1898="","",$A1898-WEEKDAY($A1898,2)+1)</f>
        <v>0</v>
      </c>
      <c r="BH1898">
        <f>IF($A1898="","",IF($A1897="",1,IF(BG1898&lt;&gt;BG1897,1,0)))</f>
        <v>0</v>
      </c>
      <c r="BI1898">
        <f>IF($A1898="","",IF($A1899="",1,IF(BG1899&lt;&gt;BG1898,1,0)))</f>
        <v>0</v>
      </c>
      <c r="BJ1898">
        <f>IF($A1898="","",IF(BH1898=1,$B1898,BJ1897))</f>
        <v>0</v>
      </c>
      <c r="BK1898">
        <f>IF($A1898="","",IF(BH1898=1,$C1898,MAX($C1898,BK1897)))</f>
        <v>0</v>
      </c>
      <c r="BL1898">
        <f>IF($A1898="","",IF(BH1898=1,$D1898,MIN($D1898,BL1897)))</f>
        <v>0</v>
      </c>
      <c r="BM1898">
        <f>IF($A1898="","",IF(BI1898=1,F1898,""))</f>
        <v>0</v>
      </c>
      <c r="BN1898">
        <f>IF($A1898="","",DATE(YEAR($A1898),MONTH($A1898),1))</f>
        <v>0</v>
      </c>
      <c r="BO1898">
        <f>IF($A1898="","",IF($A1897="",1,IF(BN1898&lt;&gt;BN1897,1,0)))</f>
        <v>0</v>
      </c>
      <c r="BP1898">
        <f>IF($A1898="","",IF($A1899="",1,IF(BN1899&lt;&gt;BN1898,1,0)))</f>
        <v>0</v>
      </c>
      <c r="BQ1898">
        <f>IF($A1898="","",IF(BO1898=1,$B1898,BQ1897))</f>
        <v>0</v>
      </c>
      <c r="BR1898">
        <f>IF($A1898="","",IF(BO1898=1,$C1898,MAX($C1898,BR1897)))</f>
        <v>0</v>
      </c>
      <c r="BS1898">
        <f>IF($A1898="","",IF(BO1898=1,$D1898,MIN($D1898,BS1897)))</f>
        <v>0</v>
      </c>
      <c r="BT1898">
        <f>IF($A1898="","",IF(BP1898=1,F1898,""))</f>
        <v>0</v>
      </c>
    </row>
    <row r="1899" spans="1:72">
      <c r="A1899" s="27">
        <f>IF(Data!$A1899="","",Data!$A1899)</f>
        <v>0</v>
      </c>
      <c r="B1899">
        <f>IF(Data!$B1899="","",Data!$B1899)</f>
        <v>0</v>
      </c>
      <c r="C1899">
        <f>IF(Data!$C1899="","",Data!$C1899)</f>
        <v>0</v>
      </c>
      <c r="D1899">
        <f>IF(Data!$D1899="","",Data!$D1899)</f>
        <v>0</v>
      </c>
      <c r="E1899">
        <f>IF(Data!$E1899="","",Data!$E1899)</f>
        <v>0</v>
      </c>
      <c r="F1899">
        <f>IF($E1899="","",N(F1898)+1)</f>
        <v>0</v>
      </c>
      <c r="G1899">
        <f>IF(OR($E1899="",$E1898=""),"",LN($E1899/$E1898))</f>
        <v>0</v>
      </c>
      <c r="H1899">
        <f>IF($E1899="","",IF($E1898="",$E1899,$E1899*0.0952380952+H1898*0.9047619048))</f>
        <v>0</v>
      </c>
      <c r="I1899">
        <f>IF($E1899="","",IF($E1898="",$E1899,$E1899*0.0392156863+I1898*0.9607843137))</f>
        <v>0</v>
      </c>
      <c r="J1899">
        <f>IF($E1899="","",IF($E1898="",$E1899,$E1899*0.0198019802+J1898*0.9801980198))</f>
        <v>0</v>
      </c>
      <c r="K1899">
        <f>IF($E1899="","",IF($E1898="",$E1899,$E1899*0.0099502488+K1898*0.9900497512))</f>
        <v>0</v>
      </c>
      <c r="L1899">
        <f>IF(OR($E1899="",$E1898=""),"",MAX($E1899-$E1898,0))</f>
        <v>0</v>
      </c>
      <c r="M1899">
        <f>IF(OR($E1899="",$E1898=""),"",MAX($E1898-$E1899,0))</f>
        <v>0</v>
      </c>
      <c r="N1899">
        <f>IF(COUNT($E$2:$E1899)&lt;15,"",IF(AVERAGE($M$1886:$M$1899)=0,100,100-100/(1+AVERAGE($L$1886:$L$1899)/AVERAGE($M$1886:$M$1899))))</f>
        <v>0</v>
      </c>
      <c r="O1899">
        <f>IF($E1899="","",IF($E1898="",$E1899,$E1899*0.1538461538+O1898*0.8461538462))</f>
        <v>0</v>
      </c>
      <c r="P1899">
        <f>IF($E1899="","",IF($E1898="",$E1899,$E1899*0.0740740741+P1898*0.9259259259))</f>
        <v>0</v>
      </c>
      <c r="Q1899">
        <f>IF(OR(O1899="",P1899=""),"",O1899-P1899)</f>
        <v>0</v>
      </c>
      <c r="R1899">
        <f>IF(Q1899="","",IF(R1898="",Q1899,Q1899*0.2000000000+R1898*0.8000000000))</f>
        <v>0</v>
      </c>
      <c r="S1899">
        <f>IF(OR(Q1899="",R1899=""),"",Q1899-R1899)</f>
        <v>0</v>
      </c>
      <c r="T1899">
        <f>IF(COUNT($E$2:$E1899)&lt;14,"",MAX($C$1886:$C$1899))</f>
        <v>0</v>
      </c>
      <c r="U1899">
        <f>IF(COUNT($E$2:$E1899)&lt;14,"",MIN($D$1886:$D$1899))</f>
        <v>0</v>
      </c>
      <c r="V1899">
        <f>IF(OR(T1899="",U1899="",T1899=U1899),"",100*($E1899-U1899)/(T1899-U1899))</f>
        <v>0</v>
      </c>
      <c r="W1899">
        <f>IF(COUNT($V$1897:$V$1899)&lt;3,"",AVERAGE($V$1897:$V$1899))</f>
        <v>0</v>
      </c>
      <c r="X1899">
        <f>IF(COUNT($N$1886:$N$1899)&lt;14,"",MIN($N$1886:$N$1899))</f>
        <v>0</v>
      </c>
      <c r="Y1899">
        <f>IF(COUNT($N$1886:$N$1899)&lt;14,"",MAX($N$1886:$N$1899))</f>
        <v>0</v>
      </c>
      <c r="Z1899">
        <f>IF(OR(N1899="",X1899="",Y1899="",Y1899=X1899),"",100*(N1899-X1899)/(Y1899-X1899))</f>
        <v>0</v>
      </c>
      <c r="AA1899">
        <f>IF(COUNT($Z$1897:$Z$1899)&lt;3,"",AVERAGE($Z$1897:$Z$1899))</f>
        <v>0</v>
      </c>
      <c r="AB1899">
        <f>IF(COUNT($AA$1897:$AA$1899)&lt;3,"",AVERAGE($AA$1897:$AA$1899))</f>
        <v>0</v>
      </c>
      <c r="AC1899">
        <f>IF($E1899="","",MAX($C1899-$D1899,ABS($C1899-$E1898),ABS($D1899-$E1898)))</f>
        <v>0</v>
      </c>
      <c r="AD1899">
        <f>IF(COUNT($E$2:$E1899)&lt;15,"",AVERAGE($AC$1886:$AC$1899))</f>
        <v>0</v>
      </c>
      <c r="AE1899">
        <f>IF(OR($E1899="",$E1898=""),"",IF(AND(($C1899-$C1898)&gt;($D1898-$D1899),($C1899-$C1898)&gt;0),$C1899-$C1898,0))</f>
        <v>0</v>
      </c>
      <c r="AF1899">
        <f>IF(OR($E1899="",$E1898=""),"",IF(AND(($D1898-$D1899)&gt;($C1899-$C1898),($D1898-$D1899)&gt;0),$D1898-$D1899,0))</f>
        <v>0</v>
      </c>
      <c r="AG1899">
        <f>IF(COUNT($E$2:$E1899)&lt;15,"",IF(SUM($AC$1886:$AC$1899)=0,0,100*SUM($AE$1886:$AE$1899)/SUM($AC$1886:$AC$1899)))</f>
        <v>0</v>
      </c>
      <c r="AH1899">
        <f>IF(COUNT($E$2:$E1899)&lt;15,"",IF(SUM($AC$1886:$AC$1899)=0,0,100*SUM($AF$1886:$AF$1899)/SUM($AC$1886:$AC$1899)))</f>
        <v>0</v>
      </c>
      <c r="AI1899">
        <f>IF(OR(AG1899="",AH1899=""),"",IF((AG1899+AH1899)=0,0,100*ABS(AG1899-AH1899)/(AG1899+AH1899)))</f>
        <v>0</v>
      </c>
      <c r="AJ1899">
        <f>IF(COUNT($AI$1886:$AI$1899)&lt;14,"",AVERAGE($AI$1886:$AI$1899))</f>
        <v>0</v>
      </c>
      <c r="AK1899">
        <f>IF(COUNT($E$2:$E1899)&lt;20,"",AVERAGE($E$1880:$E$1899))</f>
        <v>0</v>
      </c>
      <c r="AL1899">
        <f>IF(COUNT($E$2:$E1899)&lt;20,"",STDEVP($E$1880:$E$1899))</f>
        <v>0</v>
      </c>
      <c r="AM1899">
        <f>IF(AK1899="","",AK1899+2*AL1899)</f>
        <v>0</v>
      </c>
      <c r="AN1899">
        <f>IF(AK1899="","",AK1899-2*AL1899)</f>
        <v>0</v>
      </c>
      <c r="AO1899">
        <f>IF(OR(AM1899="",AN1899="",AM1899=AN1899),"",($E1899-AN1899)/(AM1899-AN1899))</f>
        <v>0</v>
      </c>
      <c r="AP1899">
        <f>IF(OR(AM1899="",AK1899="",AK1899=0),"",(AM1899-AN1899)/AK1899)</f>
        <v>0</v>
      </c>
      <c r="AQ1899">
        <f>IF(COUNT($E$2:$E1899)&lt;20,"",MAX($C$1880:$C$1899))</f>
        <v>0</v>
      </c>
      <c r="AR1899">
        <f>IF(COUNT($E$2:$E1899)&lt;20,"",MIN($D$1880:$D$1899))</f>
        <v>0</v>
      </c>
      <c r="AS1899">
        <f>IF(OR(AQ1899="",AR1899=""),"",(AQ1899+AR1899)/2)</f>
        <v>0</v>
      </c>
      <c r="AT1899">
        <f>IF(COUNT($G$1880:$G$1899)&lt;20,"",STDEV($G$1880:$G$1899)*SQRT(252))</f>
        <v>0</v>
      </c>
      <c r="AU1899">
        <f>IF(COUNT($E$2:$E1899)&lt;9,"",(MAX($C$1891:$C$1899)+MIN($D$1891:$D$1899))/2)</f>
        <v>0</v>
      </c>
      <c r="AV1899">
        <f>IF(COUNT($E$2:$E1899)&lt;26,"",(MAX($C$1874:$C$1899)+MIN($D$1874:$D$1899))/2)</f>
        <v>0</v>
      </c>
      <c r="AW1899">
        <f>IF(OR(AU1899="",AV1899=""),"",(AU1899+AV1899)/2)</f>
        <v>0</v>
      </c>
      <c r="AX1899">
        <f>IF(COUNT($E$2:$E1899)&lt;52,"",(MAX($C$1848:$C$1899)+MIN($D$1848:$D$1899))/2)</f>
        <v>0</v>
      </c>
      <c r="AY1899">
        <f>IF(COUNT($E$2:$E1899)&lt;20,"",MAX($C$1800:$C$1899))</f>
        <v>0</v>
      </c>
      <c r="AZ1899">
        <f>IF(COUNT($E$2:$E1899)&lt;20,"",MIN($D$1800:$D$1899))</f>
        <v>0</v>
      </c>
      <c r="BA1899">
        <f>IF(COUNT($E$2:$E1899)&lt;20,"",SLOPE($E$1800:$E$1899,$F$1800:$F$1899))</f>
        <v>0</v>
      </c>
      <c r="BB1899">
        <f>IF(COUNT($E$2:$E1899)&lt;20,"",INTERCEPT($E$1800:$E$1899,$F$1800:$F$1899))</f>
        <v>0</v>
      </c>
      <c r="BC1899">
        <f>IF(OR(BA1899="",BB1899=""),"",BB1899+BA1899*F1899)</f>
        <v>0</v>
      </c>
      <c r="BD1899">
        <f>IF(COUNT($E$2:$E1899)&lt;20,"",STEYX($E$1800:$E$1899,$F$1800:$F$1899))</f>
        <v>0</v>
      </c>
      <c r="BE1899">
        <f>IF($E1899="","",IF(AND(COUNT($E$1900:$E$1903)&gt;=4,$C1899=MAX($C$1895:$C$1903)),$C1899,""))</f>
        <v>0</v>
      </c>
      <c r="BF1899">
        <f>IF($E1899="","",IF(AND(COUNT($E$1900:$E$1903)&gt;=4,$D1899=MIN($D$1895:$D$1903)),$D1899,""))</f>
        <v>0</v>
      </c>
      <c r="BG1899">
        <f>IF($A1899="","",$A1899-WEEKDAY($A1899,2)+1)</f>
        <v>0</v>
      </c>
      <c r="BH1899">
        <f>IF($A1899="","",IF($A1898="",1,IF(BG1899&lt;&gt;BG1898,1,0)))</f>
        <v>0</v>
      </c>
      <c r="BI1899">
        <f>IF($A1899="","",IF($A1900="",1,IF(BG1900&lt;&gt;BG1899,1,0)))</f>
        <v>0</v>
      </c>
      <c r="BJ1899">
        <f>IF($A1899="","",IF(BH1899=1,$B1899,BJ1898))</f>
        <v>0</v>
      </c>
      <c r="BK1899">
        <f>IF($A1899="","",IF(BH1899=1,$C1899,MAX($C1899,BK1898)))</f>
        <v>0</v>
      </c>
      <c r="BL1899">
        <f>IF($A1899="","",IF(BH1899=1,$D1899,MIN($D1899,BL1898)))</f>
        <v>0</v>
      </c>
      <c r="BM1899">
        <f>IF($A1899="","",IF(BI1899=1,F1899,""))</f>
        <v>0</v>
      </c>
      <c r="BN1899">
        <f>IF($A1899="","",DATE(YEAR($A1899),MONTH($A1899),1))</f>
        <v>0</v>
      </c>
      <c r="BO1899">
        <f>IF($A1899="","",IF($A1898="",1,IF(BN1899&lt;&gt;BN1898,1,0)))</f>
        <v>0</v>
      </c>
      <c r="BP1899">
        <f>IF($A1899="","",IF($A1900="",1,IF(BN1900&lt;&gt;BN1899,1,0)))</f>
        <v>0</v>
      </c>
      <c r="BQ1899">
        <f>IF($A1899="","",IF(BO1899=1,$B1899,BQ1898))</f>
        <v>0</v>
      </c>
      <c r="BR1899">
        <f>IF($A1899="","",IF(BO1899=1,$C1899,MAX($C1899,BR1898)))</f>
        <v>0</v>
      </c>
      <c r="BS1899">
        <f>IF($A1899="","",IF(BO1899=1,$D1899,MIN($D1899,BS1898)))</f>
        <v>0</v>
      </c>
      <c r="BT1899">
        <f>IF($A1899="","",IF(BP1899=1,F1899,""))</f>
        <v>0</v>
      </c>
    </row>
    <row r="1900" spans="1:72">
      <c r="A1900" s="27">
        <f>IF(Data!$A1900="","",Data!$A1900)</f>
        <v>0</v>
      </c>
      <c r="B1900">
        <f>IF(Data!$B1900="","",Data!$B1900)</f>
        <v>0</v>
      </c>
      <c r="C1900">
        <f>IF(Data!$C1900="","",Data!$C1900)</f>
        <v>0</v>
      </c>
      <c r="D1900">
        <f>IF(Data!$D1900="","",Data!$D1900)</f>
        <v>0</v>
      </c>
      <c r="E1900">
        <f>IF(Data!$E1900="","",Data!$E1900)</f>
        <v>0</v>
      </c>
      <c r="F1900">
        <f>IF($E1900="","",N(F1899)+1)</f>
        <v>0</v>
      </c>
      <c r="G1900">
        <f>IF(OR($E1900="",$E1899=""),"",LN($E1900/$E1899))</f>
        <v>0</v>
      </c>
      <c r="H1900">
        <f>IF($E1900="","",IF($E1899="",$E1900,$E1900*0.0952380952+H1899*0.9047619048))</f>
        <v>0</v>
      </c>
      <c r="I1900">
        <f>IF($E1900="","",IF($E1899="",$E1900,$E1900*0.0392156863+I1899*0.9607843137))</f>
        <v>0</v>
      </c>
      <c r="J1900">
        <f>IF($E1900="","",IF($E1899="",$E1900,$E1900*0.0198019802+J1899*0.9801980198))</f>
        <v>0</v>
      </c>
      <c r="K1900">
        <f>IF($E1900="","",IF($E1899="",$E1900,$E1900*0.0099502488+K1899*0.9900497512))</f>
        <v>0</v>
      </c>
      <c r="L1900">
        <f>IF(OR($E1900="",$E1899=""),"",MAX($E1900-$E1899,0))</f>
        <v>0</v>
      </c>
      <c r="M1900">
        <f>IF(OR($E1900="",$E1899=""),"",MAX($E1899-$E1900,0))</f>
        <v>0</v>
      </c>
      <c r="N1900">
        <f>IF(COUNT($E$2:$E1900)&lt;15,"",IF(AVERAGE($M$1887:$M$1900)=0,100,100-100/(1+AVERAGE($L$1887:$L$1900)/AVERAGE($M$1887:$M$1900))))</f>
        <v>0</v>
      </c>
      <c r="O1900">
        <f>IF($E1900="","",IF($E1899="",$E1900,$E1900*0.1538461538+O1899*0.8461538462))</f>
        <v>0</v>
      </c>
      <c r="P1900">
        <f>IF($E1900="","",IF($E1899="",$E1900,$E1900*0.0740740741+P1899*0.9259259259))</f>
        <v>0</v>
      </c>
      <c r="Q1900">
        <f>IF(OR(O1900="",P1900=""),"",O1900-P1900)</f>
        <v>0</v>
      </c>
      <c r="R1900">
        <f>IF(Q1900="","",IF(R1899="",Q1900,Q1900*0.2000000000+R1899*0.8000000000))</f>
        <v>0</v>
      </c>
      <c r="S1900">
        <f>IF(OR(Q1900="",R1900=""),"",Q1900-R1900)</f>
        <v>0</v>
      </c>
      <c r="T1900">
        <f>IF(COUNT($E$2:$E1900)&lt;14,"",MAX($C$1887:$C$1900))</f>
        <v>0</v>
      </c>
      <c r="U1900">
        <f>IF(COUNT($E$2:$E1900)&lt;14,"",MIN($D$1887:$D$1900))</f>
        <v>0</v>
      </c>
      <c r="V1900">
        <f>IF(OR(T1900="",U1900="",T1900=U1900),"",100*($E1900-U1900)/(T1900-U1900))</f>
        <v>0</v>
      </c>
      <c r="W1900">
        <f>IF(COUNT($V$1898:$V$1900)&lt;3,"",AVERAGE($V$1898:$V$1900))</f>
        <v>0</v>
      </c>
      <c r="X1900">
        <f>IF(COUNT($N$1887:$N$1900)&lt;14,"",MIN($N$1887:$N$1900))</f>
        <v>0</v>
      </c>
      <c r="Y1900">
        <f>IF(COUNT($N$1887:$N$1900)&lt;14,"",MAX($N$1887:$N$1900))</f>
        <v>0</v>
      </c>
      <c r="Z1900">
        <f>IF(OR(N1900="",X1900="",Y1900="",Y1900=X1900),"",100*(N1900-X1900)/(Y1900-X1900))</f>
        <v>0</v>
      </c>
      <c r="AA1900">
        <f>IF(COUNT($Z$1898:$Z$1900)&lt;3,"",AVERAGE($Z$1898:$Z$1900))</f>
        <v>0</v>
      </c>
      <c r="AB1900">
        <f>IF(COUNT($AA$1898:$AA$1900)&lt;3,"",AVERAGE($AA$1898:$AA$1900))</f>
        <v>0</v>
      </c>
      <c r="AC1900">
        <f>IF($E1900="","",MAX($C1900-$D1900,ABS($C1900-$E1899),ABS($D1900-$E1899)))</f>
        <v>0</v>
      </c>
      <c r="AD1900">
        <f>IF(COUNT($E$2:$E1900)&lt;15,"",AVERAGE($AC$1887:$AC$1900))</f>
        <v>0</v>
      </c>
      <c r="AE1900">
        <f>IF(OR($E1900="",$E1899=""),"",IF(AND(($C1900-$C1899)&gt;($D1899-$D1900),($C1900-$C1899)&gt;0),$C1900-$C1899,0))</f>
        <v>0</v>
      </c>
      <c r="AF1900">
        <f>IF(OR($E1900="",$E1899=""),"",IF(AND(($D1899-$D1900)&gt;($C1900-$C1899),($D1899-$D1900)&gt;0),$D1899-$D1900,0))</f>
        <v>0</v>
      </c>
      <c r="AG1900">
        <f>IF(COUNT($E$2:$E1900)&lt;15,"",IF(SUM($AC$1887:$AC$1900)=0,0,100*SUM($AE$1887:$AE$1900)/SUM($AC$1887:$AC$1900)))</f>
        <v>0</v>
      </c>
      <c r="AH1900">
        <f>IF(COUNT($E$2:$E1900)&lt;15,"",IF(SUM($AC$1887:$AC$1900)=0,0,100*SUM($AF$1887:$AF$1900)/SUM($AC$1887:$AC$1900)))</f>
        <v>0</v>
      </c>
      <c r="AI1900">
        <f>IF(OR(AG1900="",AH1900=""),"",IF((AG1900+AH1900)=0,0,100*ABS(AG1900-AH1900)/(AG1900+AH1900)))</f>
        <v>0</v>
      </c>
      <c r="AJ1900">
        <f>IF(COUNT($AI$1887:$AI$1900)&lt;14,"",AVERAGE($AI$1887:$AI$1900))</f>
        <v>0</v>
      </c>
      <c r="AK1900">
        <f>IF(COUNT($E$2:$E1900)&lt;20,"",AVERAGE($E$1881:$E$1900))</f>
        <v>0</v>
      </c>
      <c r="AL1900">
        <f>IF(COUNT($E$2:$E1900)&lt;20,"",STDEVP($E$1881:$E$1900))</f>
        <v>0</v>
      </c>
      <c r="AM1900">
        <f>IF(AK1900="","",AK1900+2*AL1900)</f>
        <v>0</v>
      </c>
      <c r="AN1900">
        <f>IF(AK1900="","",AK1900-2*AL1900)</f>
        <v>0</v>
      </c>
      <c r="AO1900">
        <f>IF(OR(AM1900="",AN1900="",AM1900=AN1900),"",($E1900-AN1900)/(AM1900-AN1900))</f>
        <v>0</v>
      </c>
      <c r="AP1900">
        <f>IF(OR(AM1900="",AK1900="",AK1900=0),"",(AM1900-AN1900)/AK1900)</f>
        <v>0</v>
      </c>
      <c r="AQ1900">
        <f>IF(COUNT($E$2:$E1900)&lt;20,"",MAX($C$1881:$C$1900))</f>
        <v>0</v>
      </c>
      <c r="AR1900">
        <f>IF(COUNT($E$2:$E1900)&lt;20,"",MIN($D$1881:$D$1900))</f>
        <v>0</v>
      </c>
      <c r="AS1900">
        <f>IF(OR(AQ1900="",AR1900=""),"",(AQ1900+AR1900)/2)</f>
        <v>0</v>
      </c>
      <c r="AT1900">
        <f>IF(COUNT($G$1881:$G$1900)&lt;20,"",STDEV($G$1881:$G$1900)*SQRT(252))</f>
        <v>0</v>
      </c>
      <c r="AU1900">
        <f>IF(COUNT($E$2:$E1900)&lt;9,"",(MAX($C$1892:$C$1900)+MIN($D$1892:$D$1900))/2)</f>
        <v>0</v>
      </c>
      <c r="AV1900">
        <f>IF(COUNT($E$2:$E1900)&lt;26,"",(MAX($C$1875:$C$1900)+MIN($D$1875:$D$1900))/2)</f>
        <v>0</v>
      </c>
      <c r="AW1900">
        <f>IF(OR(AU1900="",AV1900=""),"",(AU1900+AV1900)/2)</f>
        <v>0</v>
      </c>
      <c r="AX1900">
        <f>IF(COUNT($E$2:$E1900)&lt;52,"",(MAX($C$1849:$C$1900)+MIN($D$1849:$D$1900))/2)</f>
        <v>0</v>
      </c>
      <c r="AY1900">
        <f>IF(COUNT($E$2:$E1900)&lt;20,"",MAX($C$1801:$C$1900))</f>
        <v>0</v>
      </c>
      <c r="AZ1900">
        <f>IF(COUNT($E$2:$E1900)&lt;20,"",MIN($D$1801:$D$1900))</f>
        <v>0</v>
      </c>
      <c r="BA1900">
        <f>IF(COUNT($E$2:$E1900)&lt;20,"",SLOPE($E$1801:$E$1900,$F$1801:$F$1900))</f>
        <v>0</v>
      </c>
      <c r="BB1900">
        <f>IF(COUNT($E$2:$E1900)&lt;20,"",INTERCEPT($E$1801:$E$1900,$F$1801:$F$1900))</f>
        <v>0</v>
      </c>
      <c r="BC1900">
        <f>IF(OR(BA1900="",BB1900=""),"",BB1900+BA1900*F1900)</f>
        <v>0</v>
      </c>
      <c r="BD1900">
        <f>IF(COUNT($E$2:$E1900)&lt;20,"",STEYX($E$1801:$E$1900,$F$1801:$F$1900))</f>
        <v>0</v>
      </c>
      <c r="BE1900">
        <f>IF($E1900="","",IF(AND(COUNT($E$1901:$E$1904)&gt;=4,$C1900=MAX($C$1896:$C$1904)),$C1900,""))</f>
        <v>0</v>
      </c>
      <c r="BF1900">
        <f>IF($E1900="","",IF(AND(COUNT($E$1901:$E$1904)&gt;=4,$D1900=MIN($D$1896:$D$1904)),$D1900,""))</f>
        <v>0</v>
      </c>
      <c r="BG1900">
        <f>IF($A1900="","",$A1900-WEEKDAY($A1900,2)+1)</f>
        <v>0</v>
      </c>
      <c r="BH1900">
        <f>IF($A1900="","",IF($A1899="",1,IF(BG1900&lt;&gt;BG1899,1,0)))</f>
        <v>0</v>
      </c>
      <c r="BI1900">
        <f>IF($A1900="","",IF($A1901="",1,IF(BG1901&lt;&gt;BG1900,1,0)))</f>
        <v>0</v>
      </c>
      <c r="BJ1900">
        <f>IF($A1900="","",IF(BH1900=1,$B1900,BJ1899))</f>
        <v>0</v>
      </c>
      <c r="BK1900">
        <f>IF($A1900="","",IF(BH1900=1,$C1900,MAX($C1900,BK1899)))</f>
        <v>0</v>
      </c>
      <c r="BL1900">
        <f>IF($A1900="","",IF(BH1900=1,$D1900,MIN($D1900,BL1899)))</f>
        <v>0</v>
      </c>
      <c r="BM1900">
        <f>IF($A1900="","",IF(BI1900=1,F1900,""))</f>
        <v>0</v>
      </c>
      <c r="BN1900">
        <f>IF($A1900="","",DATE(YEAR($A1900),MONTH($A1900),1))</f>
        <v>0</v>
      </c>
      <c r="BO1900">
        <f>IF($A1900="","",IF($A1899="",1,IF(BN1900&lt;&gt;BN1899,1,0)))</f>
        <v>0</v>
      </c>
      <c r="BP1900">
        <f>IF($A1900="","",IF($A1901="",1,IF(BN1901&lt;&gt;BN1900,1,0)))</f>
        <v>0</v>
      </c>
      <c r="BQ1900">
        <f>IF($A1900="","",IF(BO1900=1,$B1900,BQ1899))</f>
        <v>0</v>
      </c>
      <c r="BR1900">
        <f>IF($A1900="","",IF(BO1900=1,$C1900,MAX($C1900,BR1899)))</f>
        <v>0</v>
      </c>
      <c r="BS1900">
        <f>IF($A1900="","",IF(BO1900=1,$D1900,MIN($D1900,BS1899)))</f>
        <v>0</v>
      </c>
      <c r="BT1900">
        <f>IF($A1900="","",IF(BP1900=1,F1900,""))</f>
        <v>0</v>
      </c>
    </row>
    <row r="1901" spans="1:72">
      <c r="A1901" s="27">
        <f>IF(Data!$A1901="","",Data!$A1901)</f>
        <v>0</v>
      </c>
      <c r="B1901">
        <f>IF(Data!$B1901="","",Data!$B1901)</f>
        <v>0</v>
      </c>
      <c r="C1901">
        <f>IF(Data!$C1901="","",Data!$C1901)</f>
        <v>0</v>
      </c>
      <c r="D1901">
        <f>IF(Data!$D1901="","",Data!$D1901)</f>
        <v>0</v>
      </c>
      <c r="E1901">
        <f>IF(Data!$E1901="","",Data!$E1901)</f>
        <v>0</v>
      </c>
      <c r="F1901">
        <f>IF($E1901="","",N(F1900)+1)</f>
        <v>0</v>
      </c>
      <c r="G1901">
        <f>IF(OR($E1901="",$E1900=""),"",LN($E1901/$E1900))</f>
        <v>0</v>
      </c>
      <c r="H1901">
        <f>IF($E1901="","",IF($E1900="",$E1901,$E1901*0.0952380952+H1900*0.9047619048))</f>
        <v>0</v>
      </c>
      <c r="I1901">
        <f>IF($E1901="","",IF($E1900="",$E1901,$E1901*0.0392156863+I1900*0.9607843137))</f>
        <v>0</v>
      </c>
      <c r="J1901">
        <f>IF($E1901="","",IF($E1900="",$E1901,$E1901*0.0198019802+J1900*0.9801980198))</f>
        <v>0</v>
      </c>
      <c r="K1901">
        <f>IF($E1901="","",IF($E1900="",$E1901,$E1901*0.0099502488+K1900*0.9900497512))</f>
        <v>0</v>
      </c>
      <c r="L1901">
        <f>IF(OR($E1901="",$E1900=""),"",MAX($E1901-$E1900,0))</f>
        <v>0</v>
      </c>
      <c r="M1901">
        <f>IF(OR($E1901="",$E1900=""),"",MAX($E1900-$E1901,0))</f>
        <v>0</v>
      </c>
      <c r="N1901">
        <f>IF(COUNT($E$2:$E1901)&lt;15,"",IF(AVERAGE($M$1888:$M$1901)=0,100,100-100/(1+AVERAGE($L$1888:$L$1901)/AVERAGE($M$1888:$M$1901))))</f>
        <v>0</v>
      </c>
      <c r="O1901">
        <f>IF($E1901="","",IF($E1900="",$E1901,$E1901*0.1538461538+O1900*0.8461538462))</f>
        <v>0</v>
      </c>
      <c r="P1901">
        <f>IF($E1901="","",IF($E1900="",$E1901,$E1901*0.0740740741+P1900*0.9259259259))</f>
        <v>0</v>
      </c>
      <c r="Q1901">
        <f>IF(OR(O1901="",P1901=""),"",O1901-P1901)</f>
        <v>0</v>
      </c>
      <c r="R1901">
        <f>IF(Q1901="","",IF(R1900="",Q1901,Q1901*0.2000000000+R1900*0.8000000000))</f>
        <v>0</v>
      </c>
      <c r="S1901">
        <f>IF(OR(Q1901="",R1901=""),"",Q1901-R1901)</f>
        <v>0</v>
      </c>
      <c r="T1901">
        <f>IF(COUNT($E$2:$E1901)&lt;14,"",MAX($C$1888:$C$1901))</f>
        <v>0</v>
      </c>
      <c r="U1901">
        <f>IF(COUNT($E$2:$E1901)&lt;14,"",MIN($D$1888:$D$1901))</f>
        <v>0</v>
      </c>
      <c r="V1901">
        <f>IF(OR(T1901="",U1901="",T1901=U1901),"",100*($E1901-U1901)/(T1901-U1901))</f>
        <v>0</v>
      </c>
      <c r="W1901">
        <f>IF(COUNT($V$1899:$V$1901)&lt;3,"",AVERAGE($V$1899:$V$1901))</f>
        <v>0</v>
      </c>
      <c r="X1901">
        <f>IF(COUNT($N$1888:$N$1901)&lt;14,"",MIN($N$1888:$N$1901))</f>
        <v>0</v>
      </c>
      <c r="Y1901">
        <f>IF(COUNT($N$1888:$N$1901)&lt;14,"",MAX($N$1888:$N$1901))</f>
        <v>0</v>
      </c>
      <c r="Z1901">
        <f>IF(OR(N1901="",X1901="",Y1901="",Y1901=X1901),"",100*(N1901-X1901)/(Y1901-X1901))</f>
        <v>0</v>
      </c>
      <c r="AA1901">
        <f>IF(COUNT($Z$1899:$Z$1901)&lt;3,"",AVERAGE($Z$1899:$Z$1901))</f>
        <v>0</v>
      </c>
      <c r="AB1901">
        <f>IF(COUNT($AA$1899:$AA$1901)&lt;3,"",AVERAGE($AA$1899:$AA$1901))</f>
        <v>0</v>
      </c>
      <c r="AC1901">
        <f>IF($E1901="","",MAX($C1901-$D1901,ABS($C1901-$E1900),ABS($D1901-$E1900)))</f>
        <v>0</v>
      </c>
      <c r="AD1901">
        <f>IF(COUNT($E$2:$E1901)&lt;15,"",AVERAGE($AC$1888:$AC$1901))</f>
        <v>0</v>
      </c>
      <c r="AE1901">
        <f>IF(OR($E1901="",$E1900=""),"",IF(AND(($C1901-$C1900)&gt;($D1900-$D1901),($C1901-$C1900)&gt;0),$C1901-$C1900,0))</f>
        <v>0</v>
      </c>
      <c r="AF1901">
        <f>IF(OR($E1901="",$E1900=""),"",IF(AND(($D1900-$D1901)&gt;($C1901-$C1900),($D1900-$D1901)&gt;0),$D1900-$D1901,0))</f>
        <v>0</v>
      </c>
      <c r="AG1901">
        <f>IF(COUNT($E$2:$E1901)&lt;15,"",IF(SUM($AC$1888:$AC$1901)=0,0,100*SUM($AE$1888:$AE$1901)/SUM($AC$1888:$AC$1901)))</f>
        <v>0</v>
      </c>
      <c r="AH1901">
        <f>IF(COUNT($E$2:$E1901)&lt;15,"",IF(SUM($AC$1888:$AC$1901)=0,0,100*SUM($AF$1888:$AF$1901)/SUM($AC$1888:$AC$1901)))</f>
        <v>0</v>
      </c>
      <c r="AI1901">
        <f>IF(OR(AG1901="",AH1901=""),"",IF((AG1901+AH1901)=0,0,100*ABS(AG1901-AH1901)/(AG1901+AH1901)))</f>
        <v>0</v>
      </c>
      <c r="AJ1901">
        <f>IF(COUNT($AI$1888:$AI$1901)&lt;14,"",AVERAGE($AI$1888:$AI$1901))</f>
        <v>0</v>
      </c>
      <c r="AK1901">
        <f>IF(COUNT($E$2:$E1901)&lt;20,"",AVERAGE($E$1882:$E$1901))</f>
        <v>0</v>
      </c>
      <c r="AL1901">
        <f>IF(COUNT($E$2:$E1901)&lt;20,"",STDEVP($E$1882:$E$1901))</f>
        <v>0</v>
      </c>
      <c r="AM1901">
        <f>IF(AK1901="","",AK1901+2*AL1901)</f>
        <v>0</v>
      </c>
      <c r="AN1901">
        <f>IF(AK1901="","",AK1901-2*AL1901)</f>
        <v>0</v>
      </c>
      <c r="AO1901">
        <f>IF(OR(AM1901="",AN1901="",AM1901=AN1901),"",($E1901-AN1901)/(AM1901-AN1901))</f>
        <v>0</v>
      </c>
      <c r="AP1901">
        <f>IF(OR(AM1901="",AK1901="",AK1901=0),"",(AM1901-AN1901)/AK1901)</f>
        <v>0</v>
      </c>
      <c r="AQ1901">
        <f>IF(COUNT($E$2:$E1901)&lt;20,"",MAX($C$1882:$C$1901))</f>
        <v>0</v>
      </c>
      <c r="AR1901">
        <f>IF(COUNT($E$2:$E1901)&lt;20,"",MIN($D$1882:$D$1901))</f>
        <v>0</v>
      </c>
      <c r="AS1901">
        <f>IF(OR(AQ1901="",AR1901=""),"",(AQ1901+AR1901)/2)</f>
        <v>0</v>
      </c>
      <c r="AT1901">
        <f>IF(COUNT($G$1882:$G$1901)&lt;20,"",STDEV($G$1882:$G$1901)*SQRT(252))</f>
        <v>0</v>
      </c>
      <c r="AU1901">
        <f>IF(COUNT($E$2:$E1901)&lt;9,"",(MAX($C$1893:$C$1901)+MIN($D$1893:$D$1901))/2)</f>
        <v>0</v>
      </c>
      <c r="AV1901">
        <f>IF(COUNT($E$2:$E1901)&lt;26,"",(MAX($C$1876:$C$1901)+MIN($D$1876:$D$1901))/2)</f>
        <v>0</v>
      </c>
      <c r="AW1901">
        <f>IF(OR(AU1901="",AV1901=""),"",(AU1901+AV1901)/2)</f>
        <v>0</v>
      </c>
      <c r="AX1901">
        <f>IF(COUNT($E$2:$E1901)&lt;52,"",(MAX($C$1850:$C$1901)+MIN($D$1850:$D$1901))/2)</f>
        <v>0</v>
      </c>
      <c r="AY1901">
        <f>IF(COUNT($E$2:$E1901)&lt;20,"",MAX($C$1802:$C$1901))</f>
        <v>0</v>
      </c>
      <c r="AZ1901">
        <f>IF(COUNT($E$2:$E1901)&lt;20,"",MIN($D$1802:$D$1901))</f>
        <v>0</v>
      </c>
      <c r="BA1901">
        <f>IF(COUNT($E$2:$E1901)&lt;20,"",SLOPE($E$1802:$E$1901,$F$1802:$F$1901))</f>
        <v>0</v>
      </c>
      <c r="BB1901">
        <f>IF(COUNT($E$2:$E1901)&lt;20,"",INTERCEPT($E$1802:$E$1901,$F$1802:$F$1901))</f>
        <v>0</v>
      </c>
      <c r="BC1901">
        <f>IF(OR(BA1901="",BB1901=""),"",BB1901+BA1901*F1901)</f>
        <v>0</v>
      </c>
      <c r="BD1901">
        <f>IF(COUNT($E$2:$E1901)&lt;20,"",STEYX($E$1802:$E$1901,$F$1802:$F$1901))</f>
        <v>0</v>
      </c>
      <c r="BE1901">
        <f>IF($E1901="","",IF(AND(COUNT($E$1902:$E$1905)&gt;=4,$C1901=MAX($C$1897:$C$1905)),$C1901,""))</f>
        <v>0</v>
      </c>
      <c r="BF1901">
        <f>IF($E1901="","",IF(AND(COUNT($E$1902:$E$1905)&gt;=4,$D1901=MIN($D$1897:$D$1905)),$D1901,""))</f>
        <v>0</v>
      </c>
      <c r="BG1901">
        <f>IF($A1901="","",$A1901-WEEKDAY($A1901,2)+1)</f>
        <v>0</v>
      </c>
      <c r="BH1901">
        <f>IF($A1901="","",IF($A1900="",1,IF(BG1901&lt;&gt;BG1900,1,0)))</f>
        <v>0</v>
      </c>
      <c r="BI1901">
        <f>IF($A1901="","",IF($A1902="",1,IF(BG1902&lt;&gt;BG1901,1,0)))</f>
        <v>0</v>
      </c>
      <c r="BJ1901">
        <f>IF($A1901="","",IF(BH1901=1,$B1901,BJ1900))</f>
        <v>0</v>
      </c>
      <c r="BK1901">
        <f>IF($A1901="","",IF(BH1901=1,$C1901,MAX($C1901,BK1900)))</f>
        <v>0</v>
      </c>
      <c r="BL1901">
        <f>IF($A1901="","",IF(BH1901=1,$D1901,MIN($D1901,BL1900)))</f>
        <v>0</v>
      </c>
      <c r="BM1901">
        <f>IF($A1901="","",IF(BI1901=1,F1901,""))</f>
        <v>0</v>
      </c>
      <c r="BN1901">
        <f>IF($A1901="","",DATE(YEAR($A1901),MONTH($A1901),1))</f>
        <v>0</v>
      </c>
      <c r="BO1901">
        <f>IF($A1901="","",IF($A1900="",1,IF(BN1901&lt;&gt;BN1900,1,0)))</f>
        <v>0</v>
      </c>
      <c r="BP1901">
        <f>IF($A1901="","",IF($A1902="",1,IF(BN1902&lt;&gt;BN1901,1,0)))</f>
        <v>0</v>
      </c>
      <c r="BQ1901">
        <f>IF($A1901="","",IF(BO1901=1,$B1901,BQ1900))</f>
        <v>0</v>
      </c>
      <c r="BR1901">
        <f>IF($A1901="","",IF(BO1901=1,$C1901,MAX($C1901,BR1900)))</f>
        <v>0</v>
      </c>
      <c r="BS1901">
        <f>IF($A1901="","",IF(BO1901=1,$D1901,MIN($D1901,BS1900)))</f>
        <v>0</v>
      </c>
      <c r="BT1901">
        <f>IF($A1901="","",IF(BP1901=1,F1901,""))</f>
        <v>0</v>
      </c>
    </row>
    <row r="1902" spans="1:72">
      <c r="A1902" s="27">
        <f>IF(Data!$A1902="","",Data!$A1902)</f>
        <v>0</v>
      </c>
      <c r="B1902">
        <f>IF(Data!$B1902="","",Data!$B1902)</f>
        <v>0</v>
      </c>
      <c r="C1902">
        <f>IF(Data!$C1902="","",Data!$C1902)</f>
        <v>0</v>
      </c>
      <c r="D1902">
        <f>IF(Data!$D1902="","",Data!$D1902)</f>
        <v>0</v>
      </c>
      <c r="E1902">
        <f>IF(Data!$E1902="","",Data!$E1902)</f>
        <v>0</v>
      </c>
      <c r="F1902">
        <f>IF($E1902="","",N(F1901)+1)</f>
        <v>0</v>
      </c>
      <c r="G1902">
        <f>IF(OR($E1902="",$E1901=""),"",LN($E1902/$E1901))</f>
        <v>0</v>
      </c>
      <c r="H1902">
        <f>IF($E1902="","",IF($E1901="",$E1902,$E1902*0.0952380952+H1901*0.9047619048))</f>
        <v>0</v>
      </c>
      <c r="I1902">
        <f>IF($E1902="","",IF($E1901="",$E1902,$E1902*0.0392156863+I1901*0.9607843137))</f>
        <v>0</v>
      </c>
      <c r="J1902">
        <f>IF($E1902="","",IF($E1901="",$E1902,$E1902*0.0198019802+J1901*0.9801980198))</f>
        <v>0</v>
      </c>
      <c r="K1902">
        <f>IF($E1902="","",IF($E1901="",$E1902,$E1902*0.0099502488+K1901*0.9900497512))</f>
        <v>0</v>
      </c>
      <c r="L1902">
        <f>IF(OR($E1902="",$E1901=""),"",MAX($E1902-$E1901,0))</f>
        <v>0</v>
      </c>
      <c r="M1902">
        <f>IF(OR($E1902="",$E1901=""),"",MAX($E1901-$E1902,0))</f>
        <v>0</v>
      </c>
      <c r="N1902">
        <f>IF(COUNT($E$2:$E1902)&lt;15,"",IF(AVERAGE($M$1889:$M$1902)=0,100,100-100/(1+AVERAGE($L$1889:$L$1902)/AVERAGE($M$1889:$M$1902))))</f>
        <v>0</v>
      </c>
      <c r="O1902">
        <f>IF($E1902="","",IF($E1901="",$E1902,$E1902*0.1538461538+O1901*0.8461538462))</f>
        <v>0</v>
      </c>
      <c r="P1902">
        <f>IF($E1902="","",IF($E1901="",$E1902,$E1902*0.0740740741+P1901*0.9259259259))</f>
        <v>0</v>
      </c>
      <c r="Q1902">
        <f>IF(OR(O1902="",P1902=""),"",O1902-P1902)</f>
        <v>0</v>
      </c>
      <c r="R1902">
        <f>IF(Q1902="","",IF(R1901="",Q1902,Q1902*0.2000000000+R1901*0.8000000000))</f>
        <v>0</v>
      </c>
      <c r="S1902">
        <f>IF(OR(Q1902="",R1902=""),"",Q1902-R1902)</f>
        <v>0</v>
      </c>
      <c r="T1902">
        <f>IF(COUNT($E$2:$E1902)&lt;14,"",MAX($C$1889:$C$1902))</f>
        <v>0</v>
      </c>
      <c r="U1902">
        <f>IF(COUNT($E$2:$E1902)&lt;14,"",MIN($D$1889:$D$1902))</f>
        <v>0</v>
      </c>
      <c r="V1902">
        <f>IF(OR(T1902="",U1902="",T1902=U1902),"",100*($E1902-U1902)/(T1902-U1902))</f>
        <v>0</v>
      </c>
      <c r="W1902">
        <f>IF(COUNT($V$1900:$V$1902)&lt;3,"",AVERAGE($V$1900:$V$1902))</f>
        <v>0</v>
      </c>
      <c r="X1902">
        <f>IF(COUNT($N$1889:$N$1902)&lt;14,"",MIN($N$1889:$N$1902))</f>
        <v>0</v>
      </c>
      <c r="Y1902">
        <f>IF(COUNT($N$1889:$N$1902)&lt;14,"",MAX($N$1889:$N$1902))</f>
        <v>0</v>
      </c>
      <c r="Z1902">
        <f>IF(OR(N1902="",X1902="",Y1902="",Y1902=X1902),"",100*(N1902-X1902)/(Y1902-X1902))</f>
        <v>0</v>
      </c>
      <c r="AA1902">
        <f>IF(COUNT($Z$1900:$Z$1902)&lt;3,"",AVERAGE($Z$1900:$Z$1902))</f>
        <v>0</v>
      </c>
      <c r="AB1902">
        <f>IF(COUNT($AA$1900:$AA$1902)&lt;3,"",AVERAGE($AA$1900:$AA$1902))</f>
        <v>0</v>
      </c>
      <c r="AC1902">
        <f>IF($E1902="","",MAX($C1902-$D1902,ABS($C1902-$E1901),ABS($D1902-$E1901)))</f>
        <v>0</v>
      </c>
      <c r="AD1902">
        <f>IF(COUNT($E$2:$E1902)&lt;15,"",AVERAGE($AC$1889:$AC$1902))</f>
        <v>0</v>
      </c>
      <c r="AE1902">
        <f>IF(OR($E1902="",$E1901=""),"",IF(AND(($C1902-$C1901)&gt;($D1901-$D1902),($C1902-$C1901)&gt;0),$C1902-$C1901,0))</f>
        <v>0</v>
      </c>
      <c r="AF1902">
        <f>IF(OR($E1902="",$E1901=""),"",IF(AND(($D1901-$D1902)&gt;($C1902-$C1901),($D1901-$D1902)&gt;0),$D1901-$D1902,0))</f>
        <v>0</v>
      </c>
      <c r="AG1902">
        <f>IF(COUNT($E$2:$E1902)&lt;15,"",IF(SUM($AC$1889:$AC$1902)=0,0,100*SUM($AE$1889:$AE$1902)/SUM($AC$1889:$AC$1902)))</f>
        <v>0</v>
      </c>
      <c r="AH1902">
        <f>IF(COUNT($E$2:$E1902)&lt;15,"",IF(SUM($AC$1889:$AC$1902)=0,0,100*SUM($AF$1889:$AF$1902)/SUM($AC$1889:$AC$1902)))</f>
        <v>0</v>
      </c>
      <c r="AI1902">
        <f>IF(OR(AG1902="",AH1902=""),"",IF((AG1902+AH1902)=0,0,100*ABS(AG1902-AH1902)/(AG1902+AH1902)))</f>
        <v>0</v>
      </c>
      <c r="AJ1902">
        <f>IF(COUNT($AI$1889:$AI$1902)&lt;14,"",AVERAGE($AI$1889:$AI$1902))</f>
        <v>0</v>
      </c>
      <c r="AK1902">
        <f>IF(COUNT($E$2:$E1902)&lt;20,"",AVERAGE($E$1883:$E$1902))</f>
        <v>0</v>
      </c>
      <c r="AL1902">
        <f>IF(COUNT($E$2:$E1902)&lt;20,"",STDEVP($E$1883:$E$1902))</f>
        <v>0</v>
      </c>
      <c r="AM1902">
        <f>IF(AK1902="","",AK1902+2*AL1902)</f>
        <v>0</v>
      </c>
      <c r="AN1902">
        <f>IF(AK1902="","",AK1902-2*AL1902)</f>
        <v>0</v>
      </c>
      <c r="AO1902">
        <f>IF(OR(AM1902="",AN1902="",AM1902=AN1902),"",($E1902-AN1902)/(AM1902-AN1902))</f>
        <v>0</v>
      </c>
      <c r="AP1902">
        <f>IF(OR(AM1902="",AK1902="",AK1902=0),"",(AM1902-AN1902)/AK1902)</f>
        <v>0</v>
      </c>
      <c r="AQ1902">
        <f>IF(COUNT($E$2:$E1902)&lt;20,"",MAX($C$1883:$C$1902))</f>
        <v>0</v>
      </c>
      <c r="AR1902">
        <f>IF(COUNT($E$2:$E1902)&lt;20,"",MIN($D$1883:$D$1902))</f>
        <v>0</v>
      </c>
      <c r="AS1902">
        <f>IF(OR(AQ1902="",AR1902=""),"",(AQ1902+AR1902)/2)</f>
        <v>0</v>
      </c>
      <c r="AT1902">
        <f>IF(COUNT($G$1883:$G$1902)&lt;20,"",STDEV($G$1883:$G$1902)*SQRT(252))</f>
        <v>0</v>
      </c>
      <c r="AU1902">
        <f>IF(COUNT($E$2:$E1902)&lt;9,"",(MAX($C$1894:$C$1902)+MIN($D$1894:$D$1902))/2)</f>
        <v>0</v>
      </c>
      <c r="AV1902">
        <f>IF(COUNT($E$2:$E1902)&lt;26,"",(MAX($C$1877:$C$1902)+MIN($D$1877:$D$1902))/2)</f>
        <v>0</v>
      </c>
      <c r="AW1902">
        <f>IF(OR(AU1902="",AV1902=""),"",(AU1902+AV1902)/2)</f>
        <v>0</v>
      </c>
      <c r="AX1902">
        <f>IF(COUNT($E$2:$E1902)&lt;52,"",(MAX($C$1851:$C$1902)+MIN($D$1851:$D$1902))/2)</f>
        <v>0</v>
      </c>
      <c r="AY1902">
        <f>IF(COUNT($E$2:$E1902)&lt;20,"",MAX($C$1803:$C$1902))</f>
        <v>0</v>
      </c>
      <c r="AZ1902">
        <f>IF(COUNT($E$2:$E1902)&lt;20,"",MIN($D$1803:$D$1902))</f>
        <v>0</v>
      </c>
      <c r="BA1902">
        <f>IF(COUNT($E$2:$E1902)&lt;20,"",SLOPE($E$1803:$E$1902,$F$1803:$F$1902))</f>
        <v>0</v>
      </c>
      <c r="BB1902">
        <f>IF(COUNT($E$2:$E1902)&lt;20,"",INTERCEPT($E$1803:$E$1902,$F$1803:$F$1902))</f>
        <v>0</v>
      </c>
      <c r="BC1902">
        <f>IF(OR(BA1902="",BB1902=""),"",BB1902+BA1902*F1902)</f>
        <v>0</v>
      </c>
      <c r="BD1902">
        <f>IF(COUNT($E$2:$E1902)&lt;20,"",STEYX($E$1803:$E$1902,$F$1803:$F$1902))</f>
        <v>0</v>
      </c>
      <c r="BE1902">
        <f>IF($E1902="","",IF(AND(COUNT($E$1903:$E$1906)&gt;=4,$C1902=MAX($C$1898:$C$1906)),$C1902,""))</f>
        <v>0</v>
      </c>
      <c r="BF1902">
        <f>IF($E1902="","",IF(AND(COUNT($E$1903:$E$1906)&gt;=4,$D1902=MIN($D$1898:$D$1906)),$D1902,""))</f>
        <v>0</v>
      </c>
      <c r="BG1902">
        <f>IF($A1902="","",$A1902-WEEKDAY($A1902,2)+1)</f>
        <v>0</v>
      </c>
      <c r="BH1902">
        <f>IF($A1902="","",IF($A1901="",1,IF(BG1902&lt;&gt;BG1901,1,0)))</f>
        <v>0</v>
      </c>
      <c r="BI1902">
        <f>IF($A1902="","",IF($A1903="",1,IF(BG1903&lt;&gt;BG1902,1,0)))</f>
        <v>0</v>
      </c>
      <c r="BJ1902">
        <f>IF($A1902="","",IF(BH1902=1,$B1902,BJ1901))</f>
        <v>0</v>
      </c>
      <c r="BK1902">
        <f>IF($A1902="","",IF(BH1902=1,$C1902,MAX($C1902,BK1901)))</f>
        <v>0</v>
      </c>
      <c r="BL1902">
        <f>IF($A1902="","",IF(BH1902=1,$D1902,MIN($D1902,BL1901)))</f>
        <v>0</v>
      </c>
      <c r="BM1902">
        <f>IF($A1902="","",IF(BI1902=1,F1902,""))</f>
        <v>0</v>
      </c>
      <c r="BN1902">
        <f>IF($A1902="","",DATE(YEAR($A1902),MONTH($A1902),1))</f>
        <v>0</v>
      </c>
      <c r="BO1902">
        <f>IF($A1902="","",IF($A1901="",1,IF(BN1902&lt;&gt;BN1901,1,0)))</f>
        <v>0</v>
      </c>
      <c r="BP1902">
        <f>IF($A1902="","",IF($A1903="",1,IF(BN1903&lt;&gt;BN1902,1,0)))</f>
        <v>0</v>
      </c>
      <c r="BQ1902">
        <f>IF($A1902="","",IF(BO1902=1,$B1902,BQ1901))</f>
        <v>0</v>
      </c>
      <c r="BR1902">
        <f>IF($A1902="","",IF(BO1902=1,$C1902,MAX($C1902,BR1901)))</f>
        <v>0</v>
      </c>
      <c r="BS1902">
        <f>IF($A1902="","",IF(BO1902=1,$D1902,MIN($D1902,BS1901)))</f>
        <v>0</v>
      </c>
      <c r="BT1902">
        <f>IF($A1902="","",IF(BP1902=1,F1902,""))</f>
        <v>0</v>
      </c>
    </row>
    <row r="1903" spans="1:72">
      <c r="A1903" s="27">
        <f>IF(Data!$A1903="","",Data!$A1903)</f>
        <v>0</v>
      </c>
      <c r="B1903">
        <f>IF(Data!$B1903="","",Data!$B1903)</f>
        <v>0</v>
      </c>
      <c r="C1903">
        <f>IF(Data!$C1903="","",Data!$C1903)</f>
        <v>0</v>
      </c>
      <c r="D1903">
        <f>IF(Data!$D1903="","",Data!$D1903)</f>
        <v>0</v>
      </c>
      <c r="E1903">
        <f>IF(Data!$E1903="","",Data!$E1903)</f>
        <v>0</v>
      </c>
      <c r="F1903">
        <f>IF($E1903="","",N(F1902)+1)</f>
        <v>0</v>
      </c>
      <c r="G1903">
        <f>IF(OR($E1903="",$E1902=""),"",LN($E1903/$E1902))</f>
        <v>0</v>
      </c>
      <c r="H1903">
        <f>IF($E1903="","",IF($E1902="",$E1903,$E1903*0.0952380952+H1902*0.9047619048))</f>
        <v>0</v>
      </c>
      <c r="I1903">
        <f>IF($E1903="","",IF($E1902="",$E1903,$E1903*0.0392156863+I1902*0.9607843137))</f>
        <v>0</v>
      </c>
      <c r="J1903">
        <f>IF($E1903="","",IF($E1902="",$E1903,$E1903*0.0198019802+J1902*0.9801980198))</f>
        <v>0</v>
      </c>
      <c r="K1903">
        <f>IF($E1903="","",IF($E1902="",$E1903,$E1903*0.0099502488+K1902*0.9900497512))</f>
        <v>0</v>
      </c>
      <c r="L1903">
        <f>IF(OR($E1903="",$E1902=""),"",MAX($E1903-$E1902,0))</f>
        <v>0</v>
      </c>
      <c r="M1903">
        <f>IF(OR($E1903="",$E1902=""),"",MAX($E1902-$E1903,0))</f>
        <v>0</v>
      </c>
      <c r="N1903">
        <f>IF(COUNT($E$2:$E1903)&lt;15,"",IF(AVERAGE($M$1890:$M$1903)=0,100,100-100/(1+AVERAGE($L$1890:$L$1903)/AVERAGE($M$1890:$M$1903))))</f>
        <v>0</v>
      </c>
      <c r="O1903">
        <f>IF($E1903="","",IF($E1902="",$E1903,$E1903*0.1538461538+O1902*0.8461538462))</f>
        <v>0</v>
      </c>
      <c r="P1903">
        <f>IF($E1903="","",IF($E1902="",$E1903,$E1903*0.0740740741+P1902*0.9259259259))</f>
        <v>0</v>
      </c>
      <c r="Q1903">
        <f>IF(OR(O1903="",P1903=""),"",O1903-P1903)</f>
        <v>0</v>
      </c>
      <c r="R1903">
        <f>IF(Q1903="","",IF(R1902="",Q1903,Q1903*0.2000000000+R1902*0.8000000000))</f>
        <v>0</v>
      </c>
      <c r="S1903">
        <f>IF(OR(Q1903="",R1903=""),"",Q1903-R1903)</f>
        <v>0</v>
      </c>
      <c r="T1903">
        <f>IF(COUNT($E$2:$E1903)&lt;14,"",MAX($C$1890:$C$1903))</f>
        <v>0</v>
      </c>
      <c r="U1903">
        <f>IF(COUNT($E$2:$E1903)&lt;14,"",MIN($D$1890:$D$1903))</f>
        <v>0</v>
      </c>
      <c r="V1903">
        <f>IF(OR(T1903="",U1903="",T1903=U1903),"",100*($E1903-U1903)/(T1903-U1903))</f>
        <v>0</v>
      </c>
      <c r="W1903">
        <f>IF(COUNT($V$1901:$V$1903)&lt;3,"",AVERAGE($V$1901:$V$1903))</f>
        <v>0</v>
      </c>
      <c r="X1903">
        <f>IF(COUNT($N$1890:$N$1903)&lt;14,"",MIN($N$1890:$N$1903))</f>
        <v>0</v>
      </c>
      <c r="Y1903">
        <f>IF(COUNT($N$1890:$N$1903)&lt;14,"",MAX($N$1890:$N$1903))</f>
        <v>0</v>
      </c>
      <c r="Z1903">
        <f>IF(OR(N1903="",X1903="",Y1903="",Y1903=X1903),"",100*(N1903-X1903)/(Y1903-X1903))</f>
        <v>0</v>
      </c>
      <c r="AA1903">
        <f>IF(COUNT($Z$1901:$Z$1903)&lt;3,"",AVERAGE($Z$1901:$Z$1903))</f>
        <v>0</v>
      </c>
      <c r="AB1903">
        <f>IF(COUNT($AA$1901:$AA$1903)&lt;3,"",AVERAGE($AA$1901:$AA$1903))</f>
        <v>0</v>
      </c>
      <c r="AC1903">
        <f>IF($E1903="","",MAX($C1903-$D1903,ABS($C1903-$E1902),ABS($D1903-$E1902)))</f>
        <v>0</v>
      </c>
      <c r="AD1903">
        <f>IF(COUNT($E$2:$E1903)&lt;15,"",AVERAGE($AC$1890:$AC$1903))</f>
        <v>0</v>
      </c>
      <c r="AE1903">
        <f>IF(OR($E1903="",$E1902=""),"",IF(AND(($C1903-$C1902)&gt;($D1902-$D1903),($C1903-$C1902)&gt;0),$C1903-$C1902,0))</f>
        <v>0</v>
      </c>
      <c r="AF1903">
        <f>IF(OR($E1903="",$E1902=""),"",IF(AND(($D1902-$D1903)&gt;($C1903-$C1902),($D1902-$D1903)&gt;0),$D1902-$D1903,0))</f>
        <v>0</v>
      </c>
      <c r="AG1903">
        <f>IF(COUNT($E$2:$E1903)&lt;15,"",IF(SUM($AC$1890:$AC$1903)=0,0,100*SUM($AE$1890:$AE$1903)/SUM($AC$1890:$AC$1903)))</f>
        <v>0</v>
      </c>
      <c r="AH1903">
        <f>IF(COUNT($E$2:$E1903)&lt;15,"",IF(SUM($AC$1890:$AC$1903)=0,0,100*SUM($AF$1890:$AF$1903)/SUM($AC$1890:$AC$1903)))</f>
        <v>0</v>
      </c>
      <c r="AI1903">
        <f>IF(OR(AG1903="",AH1903=""),"",IF((AG1903+AH1903)=0,0,100*ABS(AG1903-AH1903)/(AG1903+AH1903)))</f>
        <v>0</v>
      </c>
      <c r="AJ1903">
        <f>IF(COUNT($AI$1890:$AI$1903)&lt;14,"",AVERAGE($AI$1890:$AI$1903))</f>
        <v>0</v>
      </c>
      <c r="AK1903">
        <f>IF(COUNT($E$2:$E1903)&lt;20,"",AVERAGE($E$1884:$E$1903))</f>
        <v>0</v>
      </c>
      <c r="AL1903">
        <f>IF(COUNT($E$2:$E1903)&lt;20,"",STDEVP($E$1884:$E$1903))</f>
        <v>0</v>
      </c>
      <c r="AM1903">
        <f>IF(AK1903="","",AK1903+2*AL1903)</f>
        <v>0</v>
      </c>
      <c r="AN1903">
        <f>IF(AK1903="","",AK1903-2*AL1903)</f>
        <v>0</v>
      </c>
      <c r="AO1903">
        <f>IF(OR(AM1903="",AN1903="",AM1903=AN1903),"",($E1903-AN1903)/(AM1903-AN1903))</f>
        <v>0</v>
      </c>
      <c r="AP1903">
        <f>IF(OR(AM1903="",AK1903="",AK1903=0),"",(AM1903-AN1903)/AK1903)</f>
        <v>0</v>
      </c>
      <c r="AQ1903">
        <f>IF(COUNT($E$2:$E1903)&lt;20,"",MAX($C$1884:$C$1903))</f>
        <v>0</v>
      </c>
      <c r="AR1903">
        <f>IF(COUNT($E$2:$E1903)&lt;20,"",MIN($D$1884:$D$1903))</f>
        <v>0</v>
      </c>
      <c r="AS1903">
        <f>IF(OR(AQ1903="",AR1903=""),"",(AQ1903+AR1903)/2)</f>
        <v>0</v>
      </c>
      <c r="AT1903">
        <f>IF(COUNT($G$1884:$G$1903)&lt;20,"",STDEV($G$1884:$G$1903)*SQRT(252))</f>
        <v>0</v>
      </c>
      <c r="AU1903">
        <f>IF(COUNT($E$2:$E1903)&lt;9,"",(MAX($C$1895:$C$1903)+MIN($D$1895:$D$1903))/2)</f>
        <v>0</v>
      </c>
      <c r="AV1903">
        <f>IF(COUNT($E$2:$E1903)&lt;26,"",(MAX($C$1878:$C$1903)+MIN($D$1878:$D$1903))/2)</f>
        <v>0</v>
      </c>
      <c r="AW1903">
        <f>IF(OR(AU1903="",AV1903=""),"",(AU1903+AV1903)/2)</f>
        <v>0</v>
      </c>
      <c r="AX1903">
        <f>IF(COUNT($E$2:$E1903)&lt;52,"",(MAX($C$1852:$C$1903)+MIN($D$1852:$D$1903))/2)</f>
        <v>0</v>
      </c>
      <c r="AY1903">
        <f>IF(COUNT($E$2:$E1903)&lt;20,"",MAX($C$1804:$C$1903))</f>
        <v>0</v>
      </c>
      <c r="AZ1903">
        <f>IF(COUNT($E$2:$E1903)&lt;20,"",MIN($D$1804:$D$1903))</f>
        <v>0</v>
      </c>
      <c r="BA1903">
        <f>IF(COUNT($E$2:$E1903)&lt;20,"",SLOPE($E$1804:$E$1903,$F$1804:$F$1903))</f>
        <v>0</v>
      </c>
      <c r="BB1903">
        <f>IF(COUNT($E$2:$E1903)&lt;20,"",INTERCEPT($E$1804:$E$1903,$F$1804:$F$1903))</f>
        <v>0</v>
      </c>
      <c r="BC1903">
        <f>IF(OR(BA1903="",BB1903=""),"",BB1903+BA1903*F1903)</f>
        <v>0</v>
      </c>
      <c r="BD1903">
        <f>IF(COUNT($E$2:$E1903)&lt;20,"",STEYX($E$1804:$E$1903,$F$1804:$F$1903))</f>
        <v>0</v>
      </c>
      <c r="BE1903">
        <f>IF($E1903="","",IF(AND(COUNT($E$1904:$E$1907)&gt;=4,$C1903=MAX($C$1899:$C$1907)),$C1903,""))</f>
        <v>0</v>
      </c>
      <c r="BF1903">
        <f>IF($E1903="","",IF(AND(COUNT($E$1904:$E$1907)&gt;=4,$D1903=MIN($D$1899:$D$1907)),$D1903,""))</f>
        <v>0</v>
      </c>
      <c r="BG1903">
        <f>IF($A1903="","",$A1903-WEEKDAY($A1903,2)+1)</f>
        <v>0</v>
      </c>
      <c r="BH1903">
        <f>IF($A1903="","",IF($A1902="",1,IF(BG1903&lt;&gt;BG1902,1,0)))</f>
        <v>0</v>
      </c>
      <c r="BI1903">
        <f>IF($A1903="","",IF($A1904="",1,IF(BG1904&lt;&gt;BG1903,1,0)))</f>
        <v>0</v>
      </c>
      <c r="BJ1903">
        <f>IF($A1903="","",IF(BH1903=1,$B1903,BJ1902))</f>
        <v>0</v>
      </c>
      <c r="BK1903">
        <f>IF($A1903="","",IF(BH1903=1,$C1903,MAX($C1903,BK1902)))</f>
        <v>0</v>
      </c>
      <c r="BL1903">
        <f>IF($A1903="","",IF(BH1903=1,$D1903,MIN($D1903,BL1902)))</f>
        <v>0</v>
      </c>
      <c r="BM1903">
        <f>IF($A1903="","",IF(BI1903=1,F1903,""))</f>
        <v>0</v>
      </c>
      <c r="BN1903">
        <f>IF($A1903="","",DATE(YEAR($A1903),MONTH($A1903),1))</f>
        <v>0</v>
      </c>
      <c r="BO1903">
        <f>IF($A1903="","",IF($A1902="",1,IF(BN1903&lt;&gt;BN1902,1,0)))</f>
        <v>0</v>
      </c>
      <c r="BP1903">
        <f>IF($A1903="","",IF($A1904="",1,IF(BN1904&lt;&gt;BN1903,1,0)))</f>
        <v>0</v>
      </c>
      <c r="BQ1903">
        <f>IF($A1903="","",IF(BO1903=1,$B1903,BQ1902))</f>
        <v>0</v>
      </c>
      <c r="BR1903">
        <f>IF($A1903="","",IF(BO1903=1,$C1903,MAX($C1903,BR1902)))</f>
        <v>0</v>
      </c>
      <c r="BS1903">
        <f>IF($A1903="","",IF(BO1903=1,$D1903,MIN($D1903,BS1902)))</f>
        <v>0</v>
      </c>
      <c r="BT1903">
        <f>IF($A1903="","",IF(BP1903=1,F1903,""))</f>
        <v>0</v>
      </c>
    </row>
    <row r="1904" spans="1:72">
      <c r="A1904" s="27">
        <f>IF(Data!$A1904="","",Data!$A1904)</f>
        <v>0</v>
      </c>
      <c r="B1904">
        <f>IF(Data!$B1904="","",Data!$B1904)</f>
        <v>0</v>
      </c>
      <c r="C1904">
        <f>IF(Data!$C1904="","",Data!$C1904)</f>
        <v>0</v>
      </c>
      <c r="D1904">
        <f>IF(Data!$D1904="","",Data!$D1904)</f>
        <v>0</v>
      </c>
      <c r="E1904">
        <f>IF(Data!$E1904="","",Data!$E1904)</f>
        <v>0</v>
      </c>
      <c r="F1904">
        <f>IF($E1904="","",N(F1903)+1)</f>
        <v>0</v>
      </c>
      <c r="G1904">
        <f>IF(OR($E1904="",$E1903=""),"",LN($E1904/$E1903))</f>
        <v>0</v>
      </c>
      <c r="H1904">
        <f>IF($E1904="","",IF($E1903="",$E1904,$E1904*0.0952380952+H1903*0.9047619048))</f>
        <v>0</v>
      </c>
      <c r="I1904">
        <f>IF($E1904="","",IF($E1903="",$E1904,$E1904*0.0392156863+I1903*0.9607843137))</f>
        <v>0</v>
      </c>
      <c r="J1904">
        <f>IF($E1904="","",IF($E1903="",$E1904,$E1904*0.0198019802+J1903*0.9801980198))</f>
        <v>0</v>
      </c>
      <c r="K1904">
        <f>IF($E1904="","",IF($E1903="",$E1904,$E1904*0.0099502488+K1903*0.9900497512))</f>
        <v>0</v>
      </c>
      <c r="L1904">
        <f>IF(OR($E1904="",$E1903=""),"",MAX($E1904-$E1903,0))</f>
        <v>0</v>
      </c>
      <c r="M1904">
        <f>IF(OR($E1904="",$E1903=""),"",MAX($E1903-$E1904,0))</f>
        <v>0</v>
      </c>
      <c r="N1904">
        <f>IF(COUNT($E$2:$E1904)&lt;15,"",IF(AVERAGE($M$1891:$M$1904)=0,100,100-100/(1+AVERAGE($L$1891:$L$1904)/AVERAGE($M$1891:$M$1904))))</f>
        <v>0</v>
      </c>
      <c r="O1904">
        <f>IF($E1904="","",IF($E1903="",$E1904,$E1904*0.1538461538+O1903*0.8461538462))</f>
        <v>0</v>
      </c>
      <c r="P1904">
        <f>IF($E1904="","",IF($E1903="",$E1904,$E1904*0.0740740741+P1903*0.9259259259))</f>
        <v>0</v>
      </c>
      <c r="Q1904">
        <f>IF(OR(O1904="",P1904=""),"",O1904-P1904)</f>
        <v>0</v>
      </c>
      <c r="R1904">
        <f>IF(Q1904="","",IF(R1903="",Q1904,Q1904*0.2000000000+R1903*0.8000000000))</f>
        <v>0</v>
      </c>
      <c r="S1904">
        <f>IF(OR(Q1904="",R1904=""),"",Q1904-R1904)</f>
        <v>0</v>
      </c>
      <c r="T1904">
        <f>IF(COUNT($E$2:$E1904)&lt;14,"",MAX($C$1891:$C$1904))</f>
        <v>0</v>
      </c>
      <c r="U1904">
        <f>IF(COUNT($E$2:$E1904)&lt;14,"",MIN($D$1891:$D$1904))</f>
        <v>0</v>
      </c>
      <c r="V1904">
        <f>IF(OR(T1904="",U1904="",T1904=U1904),"",100*($E1904-U1904)/(T1904-U1904))</f>
        <v>0</v>
      </c>
      <c r="W1904">
        <f>IF(COUNT($V$1902:$V$1904)&lt;3,"",AVERAGE($V$1902:$V$1904))</f>
        <v>0</v>
      </c>
      <c r="X1904">
        <f>IF(COUNT($N$1891:$N$1904)&lt;14,"",MIN($N$1891:$N$1904))</f>
        <v>0</v>
      </c>
      <c r="Y1904">
        <f>IF(COUNT($N$1891:$N$1904)&lt;14,"",MAX($N$1891:$N$1904))</f>
        <v>0</v>
      </c>
      <c r="Z1904">
        <f>IF(OR(N1904="",X1904="",Y1904="",Y1904=X1904),"",100*(N1904-X1904)/(Y1904-X1904))</f>
        <v>0</v>
      </c>
      <c r="AA1904">
        <f>IF(COUNT($Z$1902:$Z$1904)&lt;3,"",AVERAGE($Z$1902:$Z$1904))</f>
        <v>0</v>
      </c>
      <c r="AB1904">
        <f>IF(COUNT($AA$1902:$AA$1904)&lt;3,"",AVERAGE($AA$1902:$AA$1904))</f>
        <v>0</v>
      </c>
      <c r="AC1904">
        <f>IF($E1904="","",MAX($C1904-$D1904,ABS($C1904-$E1903),ABS($D1904-$E1903)))</f>
        <v>0</v>
      </c>
      <c r="AD1904">
        <f>IF(COUNT($E$2:$E1904)&lt;15,"",AVERAGE($AC$1891:$AC$1904))</f>
        <v>0</v>
      </c>
      <c r="AE1904">
        <f>IF(OR($E1904="",$E1903=""),"",IF(AND(($C1904-$C1903)&gt;($D1903-$D1904),($C1904-$C1903)&gt;0),$C1904-$C1903,0))</f>
        <v>0</v>
      </c>
      <c r="AF1904">
        <f>IF(OR($E1904="",$E1903=""),"",IF(AND(($D1903-$D1904)&gt;($C1904-$C1903),($D1903-$D1904)&gt;0),$D1903-$D1904,0))</f>
        <v>0</v>
      </c>
      <c r="AG1904">
        <f>IF(COUNT($E$2:$E1904)&lt;15,"",IF(SUM($AC$1891:$AC$1904)=0,0,100*SUM($AE$1891:$AE$1904)/SUM($AC$1891:$AC$1904)))</f>
        <v>0</v>
      </c>
      <c r="AH1904">
        <f>IF(COUNT($E$2:$E1904)&lt;15,"",IF(SUM($AC$1891:$AC$1904)=0,0,100*SUM($AF$1891:$AF$1904)/SUM($AC$1891:$AC$1904)))</f>
        <v>0</v>
      </c>
      <c r="AI1904">
        <f>IF(OR(AG1904="",AH1904=""),"",IF((AG1904+AH1904)=0,0,100*ABS(AG1904-AH1904)/(AG1904+AH1904)))</f>
        <v>0</v>
      </c>
      <c r="AJ1904">
        <f>IF(COUNT($AI$1891:$AI$1904)&lt;14,"",AVERAGE($AI$1891:$AI$1904))</f>
        <v>0</v>
      </c>
      <c r="AK1904">
        <f>IF(COUNT($E$2:$E1904)&lt;20,"",AVERAGE($E$1885:$E$1904))</f>
        <v>0</v>
      </c>
      <c r="AL1904">
        <f>IF(COUNT($E$2:$E1904)&lt;20,"",STDEVP($E$1885:$E$1904))</f>
        <v>0</v>
      </c>
      <c r="AM1904">
        <f>IF(AK1904="","",AK1904+2*AL1904)</f>
        <v>0</v>
      </c>
      <c r="AN1904">
        <f>IF(AK1904="","",AK1904-2*AL1904)</f>
        <v>0</v>
      </c>
      <c r="AO1904">
        <f>IF(OR(AM1904="",AN1904="",AM1904=AN1904),"",($E1904-AN1904)/(AM1904-AN1904))</f>
        <v>0</v>
      </c>
      <c r="AP1904">
        <f>IF(OR(AM1904="",AK1904="",AK1904=0),"",(AM1904-AN1904)/AK1904)</f>
        <v>0</v>
      </c>
      <c r="AQ1904">
        <f>IF(COUNT($E$2:$E1904)&lt;20,"",MAX($C$1885:$C$1904))</f>
        <v>0</v>
      </c>
      <c r="AR1904">
        <f>IF(COUNT($E$2:$E1904)&lt;20,"",MIN($D$1885:$D$1904))</f>
        <v>0</v>
      </c>
      <c r="AS1904">
        <f>IF(OR(AQ1904="",AR1904=""),"",(AQ1904+AR1904)/2)</f>
        <v>0</v>
      </c>
      <c r="AT1904">
        <f>IF(COUNT($G$1885:$G$1904)&lt;20,"",STDEV($G$1885:$G$1904)*SQRT(252))</f>
        <v>0</v>
      </c>
      <c r="AU1904">
        <f>IF(COUNT($E$2:$E1904)&lt;9,"",(MAX($C$1896:$C$1904)+MIN($D$1896:$D$1904))/2)</f>
        <v>0</v>
      </c>
      <c r="AV1904">
        <f>IF(COUNT($E$2:$E1904)&lt;26,"",(MAX($C$1879:$C$1904)+MIN($D$1879:$D$1904))/2)</f>
        <v>0</v>
      </c>
      <c r="AW1904">
        <f>IF(OR(AU1904="",AV1904=""),"",(AU1904+AV1904)/2)</f>
        <v>0</v>
      </c>
      <c r="AX1904">
        <f>IF(COUNT($E$2:$E1904)&lt;52,"",(MAX($C$1853:$C$1904)+MIN($D$1853:$D$1904))/2)</f>
        <v>0</v>
      </c>
      <c r="AY1904">
        <f>IF(COUNT($E$2:$E1904)&lt;20,"",MAX($C$1805:$C$1904))</f>
        <v>0</v>
      </c>
      <c r="AZ1904">
        <f>IF(COUNT($E$2:$E1904)&lt;20,"",MIN($D$1805:$D$1904))</f>
        <v>0</v>
      </c>
      <c r="BA1904">
        <f>IF(COUNT($E$2:$E1904)&lt;20,"",SLOPE($E$1805:$E$1904,$F$1805:$F$1904))</f>
        <v>0</v>
      </c>
      <c r="BB1904">
        <f>IF(COUNT($E$2:$E1904)&lt;20,"",INTERCEPT($E$1805:$E$1904,$F$1805:$F$1904))</f>
        <v>0</v>
      </c>
      <c r="BC1904">
        <f>IF(OR(BA1904="",BB1904=""),"",BB1904+BA1904*F1904)</f>
        <v>0</v>
      </c>
      <c r="BD1904">
        <f>IF(COUNT($E$2:$E1904)&lt;20,"",STEYX($E$1805:$E$1904,$F$1805:$F$1904))</f>
        <v>0</v>
      </c>
      <c r="BE1904">
        <f>IF($E1904="","",IF(AND(COUNT($E$1905:$E$1908)&gt;=4,$C1904=MAX($C$1900:$C$1908)),$C1904,""))</f>
        <v>0</v>
      </c>
      <c r="BF1904">
        <f>IF($E1904="","",IF(AND(COUNT($E$1905:$E$1908)&gt;=4,$D1904=MIN($D$1900:$D$1908)),$D1904,""))</f>
        <v>0</v>
      </c>
      <c r="BG1904">
        <f>IF($A1904="","",$A1904-WEEKDAY($A1904,2)+1)</f>
        <v>0</v>
      </c>
      <c r="BH1904">
        <f>IF($A1904="","",IF($A1903="",1,IF(BG1904&lt;&gt;BG1903,1,0)))</f>
        <v>0</v>
      </c>
      <c r="BI1904">
        <f>IF($A1904="","",IF($A1905="",1,IF(BG1905&lt;&gt;BG1904,1,0)))</f>
        <v>0</v>
      </c>
      <c r="BJ1904">
        <f>IF($A1904="","",IF(BH1904=1,$B1904,BJ1903))</f>
        <v>0</v>
      </c>
      <c r="BK1904">
        <f>IF($A1904="","",IF(BH1904=1,$C1904,MAX($C1904,BK1903)))</f>
        <v>0</v>
      </c>
      <c r="BL1904">
        <f>IF($A1904="","",IF(BH1904=1,$D1904,MIN($D1904,BL1903)))</f>
        <v>0</v>
      </c>
      <c r="BM1904">
        <f>IF($A1904="","",IF(BI1904=1,F1904,""))</f>
        <v>0</v>
      </c>
      <c r="BN1904">
        <f>IF($A1904="","",DATE(YEAR($A1904),MONTH($A1904),1))</f>
        <v>0</v>
      </c>
      <c r="BO1904">
        <f>IF($A1904="","",IF($A1903="",1,IF(BN1904&lt;&gt;BN1903,1,0)))</f>
        <v>0</v>
      </c>
      <c r="BP1904">
        <f>IF($A1904="","",IF($A1905="",1,IF(BN1905&lt;&gt;BN1904,1,0)))</f>
        <v>0</v>
      </c>
      <c r="BQ1904">
        <f>IF($A1904="","",IF(BO1904=1,$B1904,BQ1903))</f>
        <v>0</v>
      </c>
      <c r="BR1904">
        <f>IF($A1904="","",IF(BO1904=1,$C1904,MAX($C1904,BR1903)))</f>
        <v>0</v>
      </c>
      <c r="BS1904">
        <f>IF($A1904="","",IF(BO1904=1,$D1904,MIN($D1904,BS1903)))</f>
        <v>0</v>
      </c>
      <c r="BT1904">
        <f>IF($A1904="","",IF(BP1904=1,F1904,""))</f>
        <v>0</v>
      </c>
    </row>
    <row r="1905" spans="1:72">
      <c r="A1905" s="27">
        <f>IF(Data!$A1905="","",Data!$A1905)</f>
        <v>0</v>
      </c>
      <c r="B1905">
        <f>IF(Data!$B1905="","",Data!$B1905)</f>
        <v>0</v>
      </c>
      <c r="C1905">
        <f>IF(Data!$C1905="","",Data!$C1905)</f>
        <v>0</v>
      </c>
      <c r="D1905">
        <f>IF(Data!$D1905="","",Data!$D1905)</f>
        <v>0</v>
      </c>
      <c r="E1905">
        <f>IF(Data!$E1905="","",Data!$E1905)</f>
        <v>0</v>
      </c>
      <c r="F1905">
        <f>IF($E1905="","",N(F1904)+1)</f>
        <v>0</v>
      </c>
      <c r="G1905">
        <f>IF(OR($E1905="",$E1904=""),"",LN($E1905/$E1904))</f>
        <v>0</v>
      </c>
      <c r="H1905">
        <f>IF($E1905="","",IF($E1904="",$E1905,$E1905*0.0952380952+H1904*0.9047619048))</f>
        <v>0</v>
      </c>
      <c r="I1905">
        <f>IF($E1905="","",IF($E1904="",$E1905,$E1905*0.0392156863+I1904*0.9607843137))</f>
        <v>0</v>
      </c>
      <c r="J1905">
        <f>IF($E1905="","",IF($E1904="",$E1905,$E1905*0.0198019802+J1904*0.9801980198))</f>
        <v>0</v>
      </c>
      <c r="K1905">
        <f>IF($E1905="","",IF($E1904="",$E1905,$E1905*0.0099502488+K1904*0.9900497512))</f>
        <v>0</v>
      </c>
      <c r="L1905">
        <f>IF(OR($E1905="",$E1904=""),"",MAX($E1905-$E1904,0))</f>
        <v>0</v>
      </c>
      <c r="M1905">
        <f>IF(OR($E1905="",$E1904=""),"",MAX($E1904-$E1905,0))</f>
        <v>0</v>
      </c>
      <c r="N1905">
        <f>IF(COUNT($E$2:$E1905)&lt;15,"",IF(AVERAGE($M$1892:$M$1905)=0,100,100-100/(1+AVERAGE($L$1892:$L$1905)/AVERAGE($M$1892:$M$1905))))</f>
        <v>0</v>
      </c>
      <c r="O1905">
        <f>IF($E1905="","",IF($E1904="",$E1905,$E1905*0.1538461538+O1904*0.8461538462))</f>
        <v>0</v>
      </c>
      <c r="P1905">
        <f>IF($E1905="","",IF($E1904="",$E1905,$E1905*0.0740740741+P1904*0.9259259259))</f>
        <v>0</v>
      </c>
      <c r="Q1905">
        <f>IF(OR(O1905="",P1905=""),"",O1905-P1905)</f>
        <v>0</v>
      </c>
      <c r="R1905">
        <f>IF(Q1905="","",IF(R1904="",Q1905,Q1905*0.2000000000+R1904*0.8000000000))</f>
        <v>0</v>
      </c>
      <c r="S1905">
        <f>IF(OR(Q1905="",R1905=""),"",Q1905-R1905)</f>
        <v>0</v>
      </c>
      <c r="T1905">
        <f>IF(COUNT($E$2:$E1905)&lt;14,"",MAX($C$1892:$C$1905))</f>
        <v>0</v>
      </c>
      <c r="U1905">
        <f>IF(COUNT($E$2:$E1905)&lt;14,"",MIN($D$1892:$D$1905))</f>
        <v>0</v>
      </c>
      <c r="V1905">
        <f>IF(OR(T1905="",U1905="",T1905=U1905),"",100*($E1905-U1905)/(T1905-U1905))</f>
        <v>0</v>
      </c>
      <c r="W1905">
        <f>IF(COUNT($V$1903:$V$1905)&lt;3,"",AVERAGE($V$1903:$V$1905))</f>
        <v>0</v>
      </c>
      <c r="X1905">
        <f>IF(COUNT($N$1892:$N$1905)&lt;14,"",MIN($N$1892:$N$1905))</f>
        <v>0</v>
      </c>
      <c r="Y1905">
        <f>IF(COUNT($N$1892:$N$1905)&lt;14,"",MAX($N$1892:$N$1905))</f>
        <v>0</v>
      </c>
      <c r="Z1905">
        <f>IF(OR(N1905="",X1905="",Y1905="",Y1905=X1905),"",100*(N1905-X1905)/(Y1905-X1905))</f>
        <v>0</v>
      </c>
      <c r="AA1905">
        <f>IF(COUNT($Z$1903:$Z$1905)&lt;3,"",AVERAGE($Z$1903:$Z$1905))</f>
        <v>0</v>
      </c>
      <c r="AB1905">
        <f>IF(COUNT($AA$1903:$AA$1905)&lt;3,"",AVERAGE($AA$1903:$AA$1905))</f>
        <v>0</v>
      </c>
      <c r="AC1905">
        <f>IF($E1905="","",MAX($C1905-$D1905,ABS($C1905-$E1904),ABS($D1905-$E1904)))</f>
        <v>0</v>
      </c>
      <c r="AD1905">
        <f>IF(COUNT($E$2:$E1905)&lt;15,"",AVERAGE($AC$1892:$AC$1905))</f>
        <v>0</v>
      </c>
      <c r="AE1905">
        <f>IF(OR($E1905="",$E1904=""),"",IF(AND(($C1905-$C1904)&gt;($D1904-$D1905),($C1905-$C1904)&gt;0),$C1905-$C1904,0))</f>
        <v>0</v>
      </c>
      <c r="AF1905">
        <f>IF(OR($E1905="",$E1904=""),"",IF(AND(($D1904-$D1905)&gt;($C1905-$C1904),($D1904-$D1905)&gt;0),$D1904-$D1905,0))</f>
        <v>0</v>
      </c>
      <c r="AG1905">
        <f>IF(COUNT($E$2:$E1905)&lt;15,"",IF(SUM($AC$1892:$AC$1905)=0,0,100*SUM($AE$1892:$AE$1905)/SUM($AC$1892:$AC$1905)))</f>
        <v>0</v>
      </c>
      <c r="AH1905">
        <f>IF(COUNT($E$2:$E1905)&lt;15,"",IF(SUM($AC$1892:$AC$1905)=0,0,100*SUM($AF$1892:$AF$1905)/SUM($AC$1892:$AC$1905)))</f>
        <v>0</v>
      </c>
      <c r="AI1905">
        <f>IF(OR(AG1905="",AH1905=""),"",IF((AG1905+AH1905)=0,0,100*ABS(AG1905-AH1905)/(AG1905+AH1905)))</f>
        <v>0</v>
      </c>
      <c r="AJ1905">
        <f>IF(COUNT($AI$1892:$AI$1905)&lt;14,"",AVERAGE($AI$1892:$AI$1905))</f>
        <v>0</v>
      </c>
      <c r="AK1905">
        <f>IF(COUNT($E$2:$E1905)&lt;20,"",AVERAGE($E$1886:$E$1905))</f>
        <v>0</v>
      </c>
      <c r="AL1905">
        <f>IF(COUNT($E$2:$E1905)&lt;20,"",STDEVP($E$1886:$E$1905))</f>
        <v>0</v>
      </c>
      <c r="AM1905">
        <f>IF(AK1905="","",AK1905+2*AL1905)</f>
        <v>0</v>
      </c>
      <c r="AN1905">
        <f>IF(AK1905="","",AK1905-2*AL1905)</f>
        <v>0</v>
      </c>
      <c r="AO1905">
        <f>IF(OR(AM1905="",AN1905="",AM1905=AN1905),"",($E1905-AN1905)/(AM1905-AN1905))</f>
        <v>0</v>
      </c>
      <c r="AP1905">
        <f>IF(OR(AM1905="",AK1905="",AK1905=0),"",(AM1905-AN1905)/AK1905)</f>
        <v>0</v>
      </c>
      <c r="AQ1905">
        <f>IF(COUNT($E$2:$E1905)&lt;20,"",MAX($C$1886:$C$1905))</f>
        <v>0</v>
      </c>
      <c r="AR1905">
        <f>IF(COUNT($E$2:$E1905)&lt;20,"",MIN($D$1886:$D$1905))</f>
        <v>0</v>
      </c>
      <c r="AS1905">
        <f>IF(OR(AQ1905="",AR1905=""),"",(AQ1905+AR1905)/2)</f>
        <v>0</v>
      </c>
      <c r="AT1905">
        <f>IF(COUNT($G$1886:$G$1905)&lt;20,"",STDEV($G$1886:$G$1905)*SQRT(252))</f>
        <v>0</v>
      </c>
      <c r="AU1905">
        <f>IF(COUNT($E$2:$E1905)&lt;9,"",(MAX($C$1897:$C$1905)+MIN($D$1897:$D$1905))/2)</f>
        <v>0</v>
      </c>
      <c r="AV1905">
        <f>IF(COUNT($E$2:$E1905)&lt;26,"",(MAX($C$1880:$C$1905)+MIN($D$1880:$D$1905))/2)</f>
        <v>0</v>
      </c>
      <c r="AW1905">
        <f>IF(OR(AU1905="",AV1905=""),"",(AU1905+AV1905)/2)</f>
        <v>0</v>
      </c>
      <c r="AX1905">
        <f>IF(COUNT($E$2:$E1905)&lt;52,"",(MAX($C$1854:$C$1905)+MIN($D$1854:$D$1905))/2)</f>
        <v>0</v>
      </c>
      <c r="AY1905">
        <f>IF(COUNT($E$2:$E1905)&lt;20,"",MAX($C$1806:$C$1905))</f>
        <v>0</v>
      </c>
      <c r="AZ1905">
        <f>IF(COUNT($E$2:$E1905)&lt;20,"",MIN($D$1806:$D$1905))</f>
        <v>0</v>
      </c>
      <c r="BA1905">
        <f>IF(COUNT($E$2:$E1905)&lt;20,"",SLOPE($E$1806:$E$1905,$F$1806:$F$1905))</f>
        <v>0</v>
      </c>
      <c r="BB1905">
        <f>IF(COUNT($E$2:$E1905)&lt;20,"",INTERCEPT($E$1806:$E$1905,$F$1806:$F$1905))</f>
        <v>0</v>
      </c>
      <c r="BC1905">
        <f>IF(OR(BA1905="",BB1905=""),"",BB1905+BA1905*F1905)</f>
        <v>0</v>
      </c>
      <c r="BD1905">
        <f>IF(COUNT($E$2:$E1905)&lt;20,"",STEYX($E$1806:$E$1905,$F$1806:$F$1905))</f>
        <v>0</v>
      </c>
      <c r="BE1905">
        <f>IF($E1905="","",IF(AND(COUNT($E$1906:$E$1909)&gt;=4,$C1905=MAX($C$1901:$C$1909)),$C1905,""))</f>
        <v>0</v>
      </c>
      <c r="BF1905">
        <f>IF($E1905="","",IF(AND(COUNT($E$1906:$E$1909)&gt;=4,$D1905=MIN($D$1901:$D$1909)),$D1905,""))</f>
        <v>0</v>
      </c>
      <c r="BG1905">
        <f>IF($A1905="","",$A1905-WEEKDAY($A1905,2)+1)</f>
        <v>0</v>
      </c>
      <c r="BH1905">
        <f>IF($A1905="","",IF($A1904="",1,IF(BG1905&lt;&gt;BG1904,1,0)))</f>
        <v>0</v>
      </c>
      <c r="BI1905">
        <f>IF($A1905="","",IF($A1906="",1,IF(BG1906&lt;&gt;BG1905,1,0)))</f>
        <v>0</v>
      </c>
      <c r="BJ1905">
        <f>IF($A1905="","",IF(BH1905=1,$B1905,BJ1904))</f>
        <v>0</v>
      </c>
      <c r="BK1905">
        <f>IF($A1905="","",IF(BH1905=1,$C1905,MAX($C1905,BK1904)))</f>
        <v>0</v>
      </c>
      <c r="BL1905">
        <f>IF($A1905="","",IF(BH1905=1,$D1905,MIN($D1905,BL1904)))</f>
        <v>0</v>
      </c>
      <c r="BM1905">
        <f>IF($A1905="","",IF(BI1905=1,F1905,""))</f>
        <v>0</v>
      </c>
      <c r="BN1905">
        <f>IF($A1905="","",DATE(YEAR($A1905),MONTH($A1905),1))</f>
        <v>0</v>
      </c>
      <c r="BO1905">
        <f>IF($A1905="","",IF($A1904="",1,IF(BN1905&lt;&gt;BN1904,1,0)))</f>
        <v>0</v>
      </c>
      <c r="BP1905">
        <f>IF($A1905="","",IF($A1906="",1,IF(BN1906&lt;&gt;BN1905,1,0)))</f>
        <v>0</v>
      </c>
      <c r="BQ1905">
        <f>IF($A1905="","",IF(BO1905=1,$B1905,BQ1904))</f>
        <v>0</v>
      </c>
      <c r="BR1905">
        <f>IF($A1905="","",IF(BO1905=1,$C1905,MAX($C1905,BR1904)))</f>
        <v>0</v>
      </c>
      <c r="BS1905">
        <f>IF($A1905="","",IF(BO1905=1,$D1905,MIN($D1905,BS1904)))</f>
        <v>0</v>
      </c>
      <c r="BT1905">
        <f>IF($A1905="","",IF(BP1905=1,F1905,""))</f>
        <v>0</v>
      </c>
    </row>
    <row r="1906" spans="1:72">
      <c r="A1906" s="27">
        <f>IF(Data!$A1906="","",Data!$A1906)</f>
        <v>0</v>
      </c>
      <c r="B1906">
        <f>IF(Data!$B1906="","",Data!$B1906)</f>
        <v>0</v>
      </c>
      <c r="C1906">
        <f>IF(Data!$C1906="","",Data!$C1906)</f>
        <v>0</v>
      </c>
      <c r="D1906">
        <f>IF(Data!$D1906="","",Data!$D1906)</f>
        <v>0</v>
      </c>
      <c r="E1906">
        <f>IF(Data!$E1906="","",Data!$E1906)</f>
        <v>0</v>
      </c>
      <c r="F1906">
        <f>IF($E1906="","",N(F1905)+1)</f>
        <v>0</v>
      </c>
      <c r="G1906">
        <f>IF(OR($E1906="",$E1905=""),"",LN($E1906/$E1905))</f>
        <v>0</v>
      </c>
      <c r="H1906">
        <f>IF($E1906="","",IF($E1905="",$E1906,$E1906*0.0952380952+H1905*0.9047619048))</f>
        <v>0</v>
      </c>
      <c r="I1906">
        <f>IF($E1906="","",IF($E1905="",$E1906,$E1906*0.0392156863+I1905*0.9607843137))</f>
        <v>0</v>
      </c>
      <c r="J1906">
        <f>IF($E1906="","",IF($E1905="",$E1906,$E1906*0.0198019802+J1905*0.9801980198))</f>
        <v>0</v>
      </c>
      <c r="K1906">
        <f>IF($E1906="","",IF($E1905="",$E1906,$E1906*0.0099502488+K1905*0.9900497512))</f>
        <v>0</v>
      </c>
      <c r="L1906">
        <f>IF(OR($E1906="",$E1905=""),"",MAX($E1906-$E1905,0))</f>
        <v>0</v>
      </c>
      <c r="M1906">
        <f>IF(OR($E1906="",$E1905=""),"",MAX($E1905-$E1906,0))</f>
        <v>0</v>
      </c>
      <c r="N1906">
        <f>IF(COUNT($E$2:$E1906)&lt;15,"",IF(AVERAGE($M$1893:$M$1906)=0,100,100-100/(1+AVERAGE($L$1893:$L$1906)/AVERAGE($M$1893:$M$1906))))</f>
        <v>0</v>
      </c>
      <c r="O1906">
        <f>IF($E1906="","",IF($E1905="",$E1906,$E1906*0.1538461538+O1905*0.8461538462))</f>
        <v>0</v>
      </c>
      <c r="P1906">
        <f>IF($E1906="","",IF($E1905="",$E1906,$E1906*0.0740740741+P1905*0.9259259259))</f>
        <v>0</v>
      </c>
      <c r="Q1906">
        <f>IF(OR(O1906="",P1906=""),"",O1906-P1906)</f>
        <v>0</v>
      </c>
      <c r="R1906">
        <f>IF(Q1906="","",IF(R1905="",Q1906,Q1906*0.2000000000+R1905*0.8000000000))</f>
        <v>0</v>
      </c>
      <c r="S1906">
        <f>IF(OR(Q1906="",R1906=""),"",Q1906-R1906)</f>
        <v>0</v>
      </c>
      <c r="T1906">
        <f>IF(COUNT($E$2:$E1906)&lt;14,"",MAX($C$1893:$C$1906))</f>
        <v>0</v>
      </c>
      <c r="U1906">
        <f>IF(COUNT($E$2:$E1906)&lt;14,"",MIN($D$1893:$D$1906))</f>
        <v>0</v>
      </c>
      <c r="V1906">
        <f>IF(OR(T1906="",U1906="",T1906=U1906),"",100*($E1906-U1906)/(T1906-U1906))</f>
        <v>0</v>
      </c>
      <c r="W1906">
        <f>IF(COUNT($V$1904:$V$1906)&lt;3,"",AVERAGE($V$1904:$V$1906))</f>
        <v>0</v>
      </c>
      <c r="X1906">
        <f>IF(COUNT($N$1893:$N$1906)&lt;14,"",MIN($N$1893:$N$1906))</f>
        <v>0</v>
      </c>
      <c r="Y1906">
        <f>IF(COUNT($N$1893:$N$1906)&lt;14,"",MAX($N$1893:$N$1906))</f>
        <v>0</v>
      </c>
      <c r="Z1906">
        <f>IF(OR(N1906="",X1906="",Y1906="",Y1906=X1906),"",100*(N1906-X1906)/(Y1906-X1906))</f>
        <v>0</v>
      </c>
      <c r="AA1906">
        <f>IF(COUNT($Z$1904:$Z$1906)&lt;3,"",AVERAGE($Z$1904:$Z$1906))</f>
        <v>0</v>
      </c>
      <c r="AB1906">
        <f>IF(COUNT($AA$1904:$AA$1906)&lt;3,"",AVERAGE($AA$1904:$AA$1906))</f>
        <v>0</v>
      </c>
      <c r="AC1906">
        <f>IF($E1906="","",MAX($C1906-$D1906,ABS($C1906-$E1905),ABS($D1906-$E1905)))</f>
        <v>0</v>
      </c>
      <c r="AD1906">
        <f>IF(COUNT($E$2:$E1906)&lt;15,"",AVERAGE($AC$1893:$AC$1906))</f>
        <v>0</v>
      </c>
      <c r="AE1906">
        <f>IF(OR($E1906="",$E1905=""),"",IF(AND(($C1906-$C1905)&gt;($D1905-$D1906),($C1906-$C1905)&gt;0),$C1906-$C1905,0))</f>
        <v>0</v>
      </c>
      <c r="AF1906">
        <f>IF(OR($E1906="",$E1905=""),"",IF(AND(($D1905-$D1906)&gt;($C1906-$C1905),($D1905-$D1906)&gt;0),$D1905-$D1906,0))</f>
        <v>0</v>
      </c>
      <c r="AG1906">
        <f>IF(COUNT($E$2:$E1906)&lt;15,"",IF(SUM($AC$1893:$AC$1906)=0,0,100*SUM($AE$1893:$AE$1906)/SUM($AC$1893:$AC$1906)))</f>
        <v>0</v>
      </c>
      <c r="AH1906">
        <f>IF(COUNT($E$2:$E1906)&lt;15,"",IF(SUM($AC$1893:$AC$1906)=0,0,100*SUM($AF$1893:$AF$1906)/SUM($AC$1893:$AC$1906)))</f>
        <v>0</v>
      </c>
      <c r="AI1906">
        <f>IF(OR(AG1906="",AH1906=""),"",IF((AG1906+AH1906)=0,0,100*ABS(AG1906-AH1906)/(AG1906+AH1906)))</f>
        <v>0</v>
      </c>
      <c r="AJ1906">
        <f>IF(COUNT($AI$1893:$AI$1906)&lt;14,"",AVERAGE($AI$1893:$AI$1906))</f>
        <v>0</v>
      </c>
      <c r="AK1906">
        <f>IF(COUNT($E$2:$E1906)&lt;20,"",AVERAGE($E$1887:$E$1906))</f>
        <v>0</v>
      </c>
      <c r="AL1906">
        <f>IF(COUNT($E$2:$E1906)&lt;20,"",STDEVP($E$1887:$E$1906))</f>
        <v>0</v>
      </c>
      <c r="AM1906">
        <f>IF(AK1906="","",AK1906+2*AL1906)</f>
        <v>0</v>
      </c>
      <c r="AN1906">
        <f>IF(AK1906="","",AK1906-2*AL1906)</f>
        <v>0</v>
      </c>
      <c r="AO1906">
        <f>IF(OR(AM1906="",AN1906="",AM1906=AN1906),"",($E1906-AN1906)/(AM1906-AN1906))</f>
        <v>0</v>
      </c>
      <c r="AP1906">
        <f>IF(OR(AM1906="",AK1906="",AK1906=0),"",(AM1906-AN1906)/AK1906)</f>
        <v>0</v>
      </c>
      <c r="AQ1906">
        <f>IF(COUNT($E$2:$E1906)&lt;20,"",MAX($C$1887:$C$1906))</f>
        <v>0</v>
      </c>
      <c r="AR1906">
        <f>IF(COUNT($E$2:$E1906)&lt;20,"",MIN($D$1887:$D$1906))</f>
        <v>0</v>
      </c>
      <c r="AS1906">
        <f>IF(OR(AQ1906="",AR1906=""),"",(AQ1906+AR1906)/2)</f>
        <v>0</v>
      </c>
      <c r="AT1906">
        <f>IF(COUNT($G$1887:$G$1906)&lt;20,"",STDEV($G$1887:$G$1906)*SQRT(252))</f>
        <v>0</v>
      </c>
      <c r="AU1906">
        <f>IF(COUNT($E$2:$E1906)&lt;9,"",(MAX($C$1898:$C$1906)+MIN($D$1898:$D$1906))/2)</f>
        <v>0</v>
      </c>
      <c r="AV1906">
        <f>IF(COUNT($E$2:$E1906)&lt;26,"",(MAX($C$1881:$C$1906)+MIN($D$1881:$D$1906))/2)</f>
        <v>0</v>
      </c>
      <c r="AW1906">
        <f>IF(OR(AU1906="",AV1906=""),"",(AU1906+AV1906)/2)</f>
        <v>0</v>
      </c>
      <c r="AX1906">
        <f>IF(COUNT($E$2:$E1906)&lt;52,"",(MAX($C$1855:$C$1906)+MIN($D$1855:$D$1906))/2)</f>
        <v>0</v>
      </c>
      <c r="AY1906">
        <f>IF(COUNT($E$2:$E1906)&lt;20,"",MAX($C$1807:$C$1906))</f>
        <v>0</v>
      </c>
      <c r="AZ1906">
        <f>IF(COUNT($E$2:$E1906)&lt;20,"",MIN($D$1807:$D$1906))</f>
        <v>0</v>
      </c>
      <c r="BA1906">
        <f>IF(COUNT($E$2:$E1906)&lt;20,"",SLOPE($E$1807:$E$1906,$F$1807:$F$1906))</f>
        <v>0</v>
      </c>
      <c r="BB1906">
        <f>IF(COUNT($E$2:$E1906)&lt;20,"",INTERCEPT($E$1807:$E$1906,$F$1807:$F$1906))</f>
        <v>0</v>
      </c>
      <c r="BC1906">
        <f>IF(OR(BA1906="",BB1906=""),"",BB1906+BA1906*F1906)</f>
        <v>0</v>
      </c>
      <c r="BD1906">
        <f>IF(COUNT($E$2:$E1906)&lt;20,"",STEYX($E$1807:$E$1906,$F$1807:$F$1906))</f>
        <v>0</v>
      </c>
      <c r="BE1906">
        <f>IF($E1906="","",IF(AND(COUNT($E$1907:$E$1910)&gt;=4,$C1906=MAX($C$1902:$C$1910)),$C1906,""))</f>
        <v>0</v>
      </c>
      <c r="BF1906">
        <f>IF($E1906="","",IF(AND(COUNT($E$1907:$E$1910)&gt;=4,$D1906=MIN($D$1902:$D$1910)),$D1906,""))</f>
        <v>0</v>
      </c>
      <c r="BG1906">
        <f>IF($A1906="","",$A1906-WEEKDAY($A1906,2)+1)</f>
        <v>0</v>
      </c>
      <c r="BH1906">
        <f>IF($A1906="","",IF($A1905="",1,IF(BG1906&lt;&gt;BG1905,1,0)))</f>
        <v>0</v>
      </c>
      <c r="BI1906">
        <f>IF($A1906="","",IF($A1907="",1,IF(BG1907&lt;&gt;BG1906,1,0)))</f>
        <v>0</v>
      </c>
      <c r="BJ1906">
        <f>IF($A1906="","",IF(BH1906=1,$B1906,BJ1905))</f>
        <v>0</v>
      </c>
      <c r="BK1906">
        <f>IF($A1906="","",IF(BH1906=1,$C1906,MAX($C1906,BK1905)))</f>
        <v>0</v>
      </c>
      <c r="BL1906">
        <f>IF($A1906="","",IF(BH1906=1,$D1906,MIN($D1906,BL1905)))</f>
        <v>0</v>
      </c>
      <c r="BM1906">
        <f>IF($A1906="","",IF(BI1906=1,F1906,""))</f>
        <v>0</v>
      </c>
      <c r="BN1906">
        <f>IF($A1906="","",DATE(YEAR($A1906),MONTH($A1906),1))</f>
        <v>0</v>
      </c>
      <c r="BO1906">
        <f>IF($A1906="","",IF($A1905="",1,IF(BN1906&lt;&gt;BN1905,1,0)))</f>
        <v>0</v>
      </c>
      <c r="BP1906">
        <f>IF($A1906="","",IF($A1907="",1,IF(BN1907&lt;&gt;BN1906,1,0)))</f>
        <v>0</v>
      </c>
      <c r="BQ1906">
        <f>IF($A1906="","",IF(BO1906=1,$B1906,BQ1905))</f>
        <v>0</v>
      </c>
      <c r="BR1906">
        <f>IF($A1906="","",IF(BO1906=1,$C1906,MAX($C1906,BR1905)))</f>
        <v>0</v>
      </c>
      <c r="BS1906">
        <f>IF($A1906="","",IF(BO1906=1,$D1906,MIN($D1906,BS1905)))</f>
        <v>0</v>
      </c>
      <c r="BT1906">
        <f>IF($A1906="","",IF(BP1906=1,F1906,""))</f>
        <v>0</v>
      </c>
    </row>
    <row r="1907" spans="1:72">
      <c r="A1907" s="27">
        <f>IF(Data!$A1907="","",Data!$A1907)</f>
        <v>0</v>
      </c>
      <c r="B1907">
        <f>IF(Data!$B1907="","",Data!$B1907)</f>
        <v>0</v>
      </c>
      <c r="C1907">
        <f>IF(Data!$C1907="","",Data!$C1907)</f>
        <v>0</v>
      </c>
      <c r="D1907">
        <f>IF(Data!$D1907="","",Data!$D1907)</f>
        <v>0</v>
      </c>
      <c r="E1907">
        <f>IF(Data!$E1907="","",Data!$E1907)</f>
        <v>0</v>
      </c>
      <c r="F1907">
        <f>IF($E1907="","",N(F1906)+1)</f>
        <v>0</v>
      </c>
      <c r="G1907">
        <f>IF(OR($E1907="",$E1906=""),"",LN($E1907/$E1906))</f>
        <v>0</v>
      </c>
      <c r="H1907">
        <f>IF($E1907="","",IF($E1906="",$E1907,$E1907*0.0952380952+H1906*0.9047619048))</f>
        <v>0</v>
      </c>
      <c r="I1907">
        <f>IF($E1907="","",IF($E1906="",$E1907,$E1907*0.0392156863+I1906*0.9607843137))</f>
        <v>0</v>
      </c>
      <c r="J1907">
        <f>IF($E1907="","",IF($E1906="",$E1907,$E1907*0.0198019802+J1906*0.9801980198))</f>
        <v>0</v>
      </c>
      <c r="K1907">
        <f>IF($E1907="","",IF($E1906="",$E1907,$E1907*0.0099502488+K1906*0.9900497512))</f>
        <v>0</v>
      </c>
      <c r="L1907">
        <f>IF(OR($E1907="",$E1906=""),"",MAX($E1907-$E1906,0))</f>
        <v>0</v>
      </c>
      <c r="M1907">
        <f>IF(OR($E1907="",$E1906=""),"",MAX($E1906-$E1907,0))</f>
        <v>0</v>
      </c>
      <c r="N1907">
        <f>IF(COUNT($E$2:$E1907)&lt;15,"",IF(AVERAGE($M$1894:$M$1907)=0,100,100-100/(1+AVERAGE($L$1894:$L$1907)/AVERAGE($M$1894:$M$1907))))</f>
        <v>0</v>
      </c>
      <c r="O1907">
        <f>IF($E1907="","",IF($E1906="",$E1907,$E1907*0.1538461538+O1906*0.8461538462))</f>
        <v>0</v>
      </c>
      <c r="P1907">
        <f>IF($E1907="","",IF($E1906="",$E1907,$E1907*0.0740740741+P1906*0.9259259259))</f>
        <v>0</v>
      </c>
      <c r="Q1907">
        <f>IF(OR(O1907="",P1907=""),"",O1907-P1907)</f>
        <v>0</v>
      </c>
      <c r="R1907">
        <f>IF(Q1907="","",IF(R1906="",Q1907,Q1907*0.2000000000+R1906*0.8000000000))</f>
        <v>0</v>
      </c>
      <c r="S1907">
        <f>IF(OR(Q1907="",R1907=""),"",Q1907-R1907)</f>
        <v>0</v>
      </c>
      <c r="T1907">
        <f>IF(COUNT($E$2:$E1907)&lt;14,"",MAX($C$1894:$C$1907))</f>
        <v>0</v>
      </c>
      <c r="U1907">
        <f>IF(COUNT($E$2:$E1907)&lt;14,"",MIN($D$1894:$D$1907))</f>
        <v>0</v>
      </c>
      <c r="V1907">
        <f>IF(OR(T1907="",U1907="",T1907=U1907),"",100*($E1907-U1907)/(T1907-U1907))</f>
        <v>0</v>
      </c>
      <c r="W1907">
        <f>IF(COUNT($V$1905:$V$1907)&lt;3,"",AVERAGE($V$1905:$V$1907))</f>
        <v>0</v>
      </c>
      <c r="X1907">
        <f>IF(COUNT($N$1894:$N$1907)&lt;14,"",MIN($N$1894:$N$1907))</f>
        <v>0</v>
      </c>
      <c r="Y1907">
        <f>IF(COUNT($N$1894:$N$1907)&lt;14,"",MAX($N$1894:$N$1907))</f>
        <v>0</v>
      </c>
      <c r="Z1907">
        <f>IF(OR(N1907="",X1907="",Y1907="",Y1907=X1907),"",100*(N1907-X1907)/(Y1907-X1907))</f>
        <v>0</v>
      </c>
      <c r="AA1907">
        <f>IF(COUNT($Z$1905:$Z$1907)&lt;3,"",AVERAGE($Z$1905:$Z$1907))</f>
        <v>0</v>
      </c>
      <c r="AB1907">
        <f>IF(COUNT($AA$1905:$AA$1907)&lt;3,"",AVERAGE($AA$1905:$AA$1907))</f>
        <v>0</v>
      </c>
      <c r="AC1907">
        <f>IF($E1907="","",MAX($C1907-$D1907,ABS($C1907-$E1906),ABS($D1907-$E1906)))</f>
        <v>0</v>
      </c>
      <c r="AD1907">
        <f>IF(COUNT($E$2:$E1907)&lt;15,"",AVERAGE($AC$1894:$AC$1907))</f>
        <v>0</v>
      </c>
      <c r="AE1907">
        <f>IF(OR($E1907="",$E1906=""),"",IF(AND(($C1907-$C1906)&gt;($D1906-$D1907),($C1907-$C1906)&gt;0),$C1907-$C1906,0))</f>
        <v>0</v>
      </c>
      <c r="AF1907">
        <f>IF(OR($E1907="",$E1906=""),"",IF(AND(($D1906-$D1907)&gt;($C1907-$C1906),($D1906-$D1907)&gt;0),$D1906-$D1907,0))</f>
        <v>0</v>
      </c>
      <c r="AG1907">
        <f>IF(COUNT($E$2:$E1907)&lt;15,"",IF(SUM($AC$1894:$AC$1907)=0,0,100*SUM($AE$1894:$AE$1907)/SUM($AC$1894:$AC$1907)))</f>
        <v>0</v>
      </c>
      <c r="AH1907">
        <f>IF(COUNT($E$2:$E1907)&lt;15,"",IF(SUM($AC$1894:$AC$1907)=0,0,100*SUM($AF$1894:$AF$1907)/SUM($AC$1894:$AC$1907)))</f>
        <v>0</v>
      </c>
      <c r="AI1907">
        <f>IF(OR(AG1907="",AH1907=""),"",IF((AG1907+AH1907)=0,0,100*ABS(AG1907-AH1907)/(AG1907+AH1907)))</f>
        <v>0</v>
      </c>
      <c r="AJ1907">
        <f>IF(COUNT($AI$1894:$AI$1907)&lt;14,"",AVERAGE($AI$1894:$AI$1907))</f>
        <v>0</v>
      </c>
      <c r="AK1907">
        <f>IF(COUNT($E$2:$E1907)&lt;20,"",AVERAGE($E$1888:$E$1907))</f>
        <v>0</v>
      </c>
      <c r="AL1907">
        <f>IF(COUNT($E$2:$E1907)&lt;20,"",STDEVP($E$1888:$E$1907))</f>
        <v>0</v>
      </c>
      <c r="AM1907">
        <f>IF(AK1907="","",AK1907+2*AL1907)</f>
        <v>0</v>
      </c>
      <c r="AN1907">
        <f>IF(AK1907="","",AK1907-2*AL1907)</f>
        <v>0</v>
      </c>
      <c r="AO1907">
        <f>IF(OR(AM1907="",AN1907="",AM1907=AN1907),"",($E1907-AN1907)/(AM1907-AN1907))</f>
        <v>0</v>
      </c>
      <c r="AP1907">
        <f>IF(OR(AM1907="",AK1907="",AK1907=0),"",(AM1907-AN1907)/AK1907)</f>
        <v>0</v>
      </c>
      <c r="AQ1907">
        <f>IF(COUNT($E$2:$E1907)&lt;20,"",MAX($C$1888:$C$1907))</f>
        <v>0</v>
      </c>
      <c r="AR1907">
        <f>IF(COUNT($E$2:$E1907)&lt;20,"",MIN($D$1888:$D$1907))</f>
        <v>0</v>
      </c>
      <c r="AS1907">
        <f>IF(OR(AQ1907="",AR1907=""),"",(AQ1907+AR1907)/2)</f>
        <v>0</v>
      </c>
      <c r="AT1907">
        <f>IF(COUNT($G$1888:$G$1907)&lt;20,"",STDEV($G$1888:$G$1907)*SQRT(252))</f>
        <v>0</v>
      </c>
      <c r="AU1907">
        <f>IF(COUNT($E$2:$E1907)&lt;9,"",(MAX($C$1899:$C$1907)+MIN($D$1899:$D$1907))/2)</f>
        <v>0</v>
      </c>
      <c r="AV1907">
        <f>IF(COUNT($E$2:$E1907)&lt;26,"",(MAX($C$1882:$C$1907)+MIN($D$1882:$D$1907))/2)</f>
        <v>0</v>
      </c>
      <c r="AW1907">
        <f>IF(OR(AU1907="",AV1907=""),"",(AU1907+AV1907)/2)</f>
        <v>0</v>
      </c>
      <c r="AX1907">
        <f>IF(COUNT($E$2:$E1907)&lt;52,"",(MAX($C$1856:$C$1907)+MIN($D$1856:$D$1907))/2)</f>
        <v>0</v>
      </c>
      <c r="AY1907">
        <f>IF(COUNT($E$2:$E1907)&lt;20,"",MAX($C$1808:$C$1907))</f>
        <v>0</v>
      </c>
      <c r="AZ1907">
        <f>IF(COUNT($E$2:$E1907)&lt;20,"",MIN($D$1808:$D$1907))</f>
        <v>0</v>
      </c>
      <c r="BA1907">
        <f>IF(COUNT($E$2:$E1907)&lt;20,"",SLOPE($E$1808:$E$1907,$F$1808:$F$1907))</f>
        <v>0</v>
      </c>
      <c r="BB1907">
        <f>IF(COUNT($E$2:$E1907)&lt;20,"",INTERCEPT($E$1808:$E$1907,$F$1808:$F$1907))</f>
        <v>0</v>
      </c>
      <c r="BC1907">
        <f>IF(OR(BA1907="",BB1907=""),"",BB1907+BA1907*F1907)</f>
        <v>0</v>
      </c>
      <c r="BD1907">
        <f>IF(COUNT($E$2:$E1907)&lt;20,"",STEYX($E$1808:$E$1907,$F$1808:$F$1907))</f>
        <v>0</v>
      </c>
      <c r="BE1907">
        <f>IF($E1907="","",IF(AND(COUNT($E$1908:$E$1911)&gt;=4,$C1907=MAX($C$1903:$C$1911)),$C1907,""))</f>
        <v>0</v>
      </c>
      <c r="BF1907">
        <f>IF($E1907="","",IF(AND(COUNT($E$1908:$E$1911)&gt;=4,$D1907=MIN($D$1903:$D$1911)),$D1907,""))</f>
        <v>0</v>
      </c>
      <c r="BG1907">
        <f>IF($A1907="","",$A1907-WEEKDAY($A1907,2)+1)</f>
        <v>0</v>
      </c>
      <c r="BH1907">
        <f>IF($A1907="","",IF($A1906="",1,IF(BG1907&lt;&gt;BG1906,1,0)))</f>
        <v>0</v>
      </c>
      <c r="BI1907">
        <f>IF($A1907="","",IF($A1908="",1,IF(BG1908&lt;&gt;BG1907,1,0)))</f>
        <v>0</v>
      </c>
      <c r="BJ1907">
        <f>IF($A1907="","",IF(BH1907=1,$B1907,BJ1906))</f>
        <v>0</v>
      </c>
      <c r="BK1907">
        <f>IF($A1907="","",IF(BH1907=1,$C1907,MAX($C1907,BK1906)))</f>
        <v>0</v>
      </c>
      <c r="BL1907">
        <f>IF($A1907="","",IF(BH1907=1,$D1907,MIN($D1907,BL1906)))</f>
        <v>0</v>
      </c>
      <c r="BM1907">
        <f>IF($A1907="","",IF(BI1907=1,F1907,""))</f>
        <v>0</v>
      </c>
      <c r="BN1907">
        <f>IF($A1907="","",DATE(YEAR($A1907),MONTH($A1907),1))</f>
        <v>0</v>
      </c>
      <c r="BO1907">
        <f>IF($A1907="","",IF($A1906="",1,IF(BN1907&lt;&gt;BN1906,1,0)))</f>
        <v>0</v>
      </c>
      <c r="BP1907">
        <f>IF($A1907="","",IF($A1908="",1,IF(BN1908&lt;&gt;BN1907,1,0)))</f>
        <v>0</v>
      </c>
      <c r="BQ1907">
        <f>IF($A1907="","",IF(BO1907=1,$B1907,BQ1906))</f>
        <v>0</v>
      </c>
      <c r="BR1907">
        <f>IF($A1907="","",IF(BO1907=1,$C1907,MAX($C1907,BR1906)))</f>
        <v>0</v>
      </c>
      <c r="BS1907">
        <f>IF($A1907="","",IF(BO1907=1,$D1907,MIN($D1907,BS1906)))</f>
        <v>0</v>
      </c>
      <c r="BT1907">
        <f>IF($A1907="","",IF(BP1907=1,F1907,""))</f>
        <v>0</v>
      </c>
    </row>
    <row r="1908" spans="1:72">
      <c r="A1908" s="27">
        <f>IF(Data!$A1908="","",Data!$A1908)</f>
        <v>0</v>
      </c>
      <c r="B1908">
        <f>IF(Data!$B1908="","",Data!$B1908)</f>
        <v>0</v>
      </c>
      <c r="C1908">
        <f>IF(Data!$C1908="","",Data!$C1908)</f>
        <v>0</v>
      </c>
      <c r="D1908">
        <f>IF(Data!$D1908="","",Data!$D1908)</f>
        <v>0</v>
      </c>
      <c r="E1908">
        <f>IF(Data!$E1908="","",Data!$E1908)</f>
        <v>0</v>
      </c>
      <c r="F1908">
        <f>IF($E1908="","",N(F1907)+1)</f>
        <v>0</v>
      </c>
      <c r="G1908">
        <f>IF(OR($E1908="",$E1907=""),"",LN($E1908/$E1907))</f>
        <v>0</v>
      </c>
      <c r="H1908">
        <f>IF($E1908="","",IF($E1907="",$E1908,$E1908*0.0952380952+H1907*0.9047619048))</f>
        <v>0</v>
      </c>
      <c r="I1908">
        <f>IF($E1908="","",IF($E1907="",$E1908,$E1908*0.0392156863+I1907*0.9607843137))</f>
        <v>0</v>
      </c>
      <c r="J1908">
        <f>IF($E1908="","",IF($E1907="",$E1908,$E1908*0.0198019802+J1907*0.9801980198))</f>
        <v>0</v>
      </c>
      <c r="K1908">
        <f>IF($E1908="","",IF($E1907="",$E1908,$E1908*0.0099502488+K1907*0.9900497512))</f>
        <v>0</v>
      </c>
      <c r="L1908">
        <f>IF(OR($E1908="",$E1907=""),"",MAX($E1908-$E1907,0))</f>
        <v>0</v>
      </c>
      <c r="M1908">
        <f>IF(OR($E1908="",$E1907=""),"",MAX($E1907-$E1908,0))</f>
        <v>0</v>
      </c>
      <c r="N1908">
        <f>IF(COUNT($E$2:$E1908)&lt;15,"",IF(AVERAGE($M$1895:$M$1908)=0,100,100-100/(1+AVERAGE($L$1895:$L$1908)/AVERAGE($M$1895:$M$1908))))</f>
        <v>0</v>
      </c>
      <c r="O1908">
        <f>IF($E1908="","",IF($E1907="",$E1908,$E1908*0.1538461538+O1907*0.8461538462))</f>
        <v>0</v>
      </c>
      <c r="P1908">
        <f>IF($E1908="","",IF($E1907="",$E1908,$E1908*0.0740740741+P1907*0.9259259259))</f>
        <v>0</v>
      </c>
      <c r="Q1908">
        <f>IF(OR(O1908="",P1908=""),"",O1908-P1908)</f>
        <v>0</v>
      </c>
      <c r="R1908">
        <f>IF(Q1908="","",IF(R1907="",Q1908,Q1908*0.2000000000+R1907*0.8000000000))</f>
        <v>0</v>
      </c>
      <c r="S1908">
        <f>IF(OR(Q1908="",R1908=""),"",Q1908-R1908)</f>
        <v>0</v>
      </c>
      <c r="T1908">
        <f>IF(COUNT($E$2:$E1908)&lt;14,"",MAX($C$1895:$C$1908))</f>
        <v>0</v>
      </c>
      <c r="U1908">
        <f>IF(COUNT($E$2:$E1908)&lt;14,"",MIN($D$1895:$D$1908))</f>
        <v>0</v>
      </c>
      <c r="V1908">
        <f>IF(OR(T1908="",U1908="",T1908=U1908),"",100*($E1908-U1908)/(T1908-U1908))</f>
        <v>0</v>
      </c>
      <c r="W1908">
        <f>IF(COUNT($V$1906:$V$1908)&lt;3,"",AVERAGE($V$1906:$V$1908))</f>
        <v>0</v>
      </c>
      <c r="X1908">
        <f>IF(COUNT($N$1895:$N$1908)&lt;14,"",MIN($N$1895:$N$1908))</f>
        <v>0</v>
      </c>
      <c r="Y1908">
        <f>IF(COUNT($N$1895:$N$1908)&lt;14,"",MAX($N$1895:$N$1908))</f>
        <v>0</v>
      </c>
      <c r="Z1908">
        <f>IF(OR(N1908="",X1908="",Y1908="",Y1908=X1908),"",100*(N1908-X1908)/(Y1908-X1908))</f>
        <v>0</v>
      </c>
      <c r="AA1908">
        <f>IF(COUNT($Z$1906:$Z$1908)&lt;3,"",AVERAGE($Z$1906:$Z$1908))</f>
        <v>0</v>
      </c>
      <c r="AB1908">
        <f>IF(COUNT($AA$1906:$AA$1908)&lt;3,"",AVERAGE($AA$1906:$AA$1908))</f>
        <v>0</v>
      </c>
      <c r="AC1908">
        <f>IF($E1908="","",MAX($C1908-$D1908,ABS($C1908-$E1907),ABS($D1908-$E1907)))</f>
        <v>0</v>
      </c>
      <c r="AD1908">
        <f>IF(COUNT($E$2:$E1908)&lt;15,"",AVERAGE($AC$1895:$AC$1908))</f>
        <v>0</v>
      </c>
      <c r="AE1908">
        <f>IF(OR($E1908="",$E1907=""),"",IF(AND(($C1908-$C1907)&gt;($D1907-$D1908),($C1908-$C1907)&gt;0),$C1908-$C1907,0))</f>
        <v>0</v>
      </c>
      <c r="AF1908">
        <f>IF(OR($E1908="",$E1907=""),"",IF(AND(($D1907-$D1908)&gt;($C1908-$C1907),($D1907-$D1908)&gt;0),$D1907-$D1908,0))</f>
        <v>0</v>
      </c>
      <c r="AG1908">
        <f>IF(COUNT($E$2:$E1908)&lt;15,"",IF(SUM($AC$1895:$AC$1908)=0,0,100*SUM($AE$1895:$AE$1908)/SUM($AC$1895:$AC$1908)))</f>
        <v>0</v>
      </c>
      <c r="AH1908">
        <f>IF(COUNT($E$2:$E1908)&lt;15,"",IF(SUM($AC$1895:$AC$1908)=0,0,100*SUM($AF$1895:$AF$1908)/SUM($AC$1895:$AC$1908)))</f>
        <v>0</v>
      </c>
      <c r="AI1908">
        <f>IF(OR(AG1908="",AH1908=""),"",IF((AG1908+AH1908)=0,0,100*ABS(AG1908-AH1908)/(AG1908+AH1908)))</f>
        <v>0</v>
      </c>
      <c r="AJ1908">
        <f>IF(COUNT($AI$1895:$AI$1908)&lt;14,"",AVERAGE($AI$1895:$AI$1908))</f>
        <v>0</v>
      </c>
      <c r="AK1908">
        <f>IF(COUNT($E$2:$E1908)&lt;20,"",AVERAGE($E$1889:$E$1908))</f>
        <v>0</v>
      </c>
      <c r="AL1908">
        <f>IF(COUNT($E$2:$E1908)&lt;20,"",STDEVP($E$1889:$E$1908))</f>
        <v>0</v>
      </c>
      <c r="AM1908">
        <f>IF(AK1908="","",AK1908+2*AL1908)</f>
        <v>0</v>
      </c>
      <c r="AN1908">
        <f>IF(AK1908="","",AK1908-2*AL1908)</f>
        <v>0</v>
      </c>
      <c r="AO1908">
        <f>IF(OR(AM1908="",AN1908="",AM1908=AN1908),"",($E1908-AN1908)/(AM1908-AN1908))</f>
        <v>0</v>
      </c>
      <c r="AP1908">
        <f>IF(OR(AM1908="",AK1908="",AK1908=0),"",(AM1908-AN1908)/AK1908)</f>
        <v>0</v>
      </c>
      <c r="AQ1908">
        <f>IF(COUNT($E$2:$E1908)&lt;20,"",MAX($C$1889:$C$1908))</f>
        <v>0</v>
      </c>
      <c r="AR1908">
        <f>IF(COUNT($E$2:$E1908)&lt;20,"",MIN($D$1889:$D$1908))</f>
        <v>0</v>
      </c>
      <c r="AS1908">
        <f>IF(OR(AQ1908="",AR1908=""),"",(AQ1908+AR1908)/2)</f>
        <v>0</v>
      </c>
      <c r="AT1908">
        <f>IF(COUNT($G$1889:$G$1908)&lt;20,"",STDEV($G$1889:$G$1908)*SQRT(252))</f>
        <v>0</v>
      </c>
      <c r="AU1908">
        <f>IF(COUNT($E$2:$E1908)&lt;9,"",(MAX($C$1900:$C$1908)+MIN($D$1900:$D$1908))/2)</f>
        <v>0</v>
      </c>
      <c r="AV1908">
        <f>IF(COUNT($E$2:$E1908)&lt;26,"",(MAX($C$1883:$C$1908)+MIN($D$1883:$D$1908))/2)</f>
        <v>0</v>
      </c>
      <c r="AW1908">
        <f>IF(OR(AU1908="",AV1908=""),"",(AU1908+AV1908)/2)</f>
        <v>0</v>
      </c>
      <c r="AX1908">
        <f>IF(COUNT($E$2:$E1908)&lt;52,"",(MAX($C$1857:$C$1908)+MIN($D$1857:$D$1908))/2)</f>
        <v>0</v>
      </c>
      <c r="AY1908">
        <f>IF(COUNT($E$2:$E1908)&lt;20,"",MAX($C$1809:$C$1908))</f>
        <v>0</v>
      </c>
      <c r="AZ1908">
        <f>IF(COUNT($E$2:$E1908)&lt;20,"",MIN($D$1809:$D$1908))</f>
        <v>0</v>
      </c>
      <c r="BA1908">
        <f>IF(COUNT($E$2:$E1908)&lt;20,"",SLOPE($E$1809:$E$1908,$F$1809:$F$1908))</f>
        <v>0</v>
      </c>
      <c r="BB1908">
        <f>IF(COUNT($E$2:$E1908)&lt;20,"",INTERCEPT($E$1809:$E$1908,$F$1809:$F$1908))</f>
        <v>0</v>
      </c>
      <c r="BC1908">
        <f>IF(OR(BA1908="",BB1908=""),"",BB1908+BA1908*F1908)</f>
        <v>0</v>
      </c>
      <c r="BD1908">
        <f>IF(COUNT($E$2:$E1908)&lt;20,"",STEYX($E$1809:$E$1908,$F$1809:$F$1908))</f>
        <v>0</v>
      </c>
      <c r="BE1908">
        <f>IF($E1908="","",IF(AND(COUNT($E$1909:$E$1912)&gt;=4,$C1908=MAX($C$1904:$C$1912)),$C1908,""))</f>
        <v>0</v>
      </c>
      <c r="BF1908">
        <f>IF($E1908="","",IF(AND(COUNT($E$1909:$E$1912)&gt;=4,$D1908=MIN($D$1904:$D$1912)),$D1908,""))</f>
        <v>0</v>
      </c>
      <c r="BG1908">
        <f>IF($A1908="","",$A1908-WEEKDAY($A1908,2)+1)</f>
        <v>0</v>
      </c>
      <c r="BH1908">
        <f>IF($A1908="","",IF($A1907="",1,IF(BG1908&lt;&gt;BG1907,1,0)))</f>
        <v>0</v>
      </c>
      <c r="BI1908">
        <f>IF($A1908="","",IF($A1909="",1,IF(BG1909&lt;&gt;BG1908,1,0)))</f>
        <v>0</v>
      </c>
      <c r="BJ1908">
        <f>IF($A1908="","",IF(BH1908=1,$B1908,BJ1907))</f>
        <v>0</v>
      </c>
      <c r="BK1908">
        <f>IF($A1908="","",IF(BH1908=1,$C1908,MAX($C1908,BK1907)))</f>
        <v>0</v>
      </c>
      <c r="BL1908">
        <f>IF($A1908="","",IF(BH1908=1,$D1908,MIN($D1908,BL1907)))</f>
        <v>0</v>
      </c>
      <c r="BM1908">
        <f>IF($A1908="","",IF(BI1908=1,F1908,""))</f>
        <v>0</v>
      </c>
      <c r="BN1908">
        <f>IF($A1908="","",DATE(YEAR($A1908),MONTH($A1908),1))</f>
        <v>0</v>
      </c>
      <c r="BO1908">
        <f>IF($A1908="","",IF($A1907="",1,IF(BN1908&lt;&gt;BN1907,1,0)))</f>
        <v>0</v>
      </c>
      <c r="BP1908">
        <f>IF($A1908="","",IF($A1909="",1,IF(BN1909&lt;&gt;BN1908,1,0)))</f>
        <v>0</v>
      </c>
      <c r="BQ1908">
        <f>IF($A1908="","",IF(BO1908=1,$B1908,BQ1907))</f>
        <v>0</v>
      </c>
      <c r="BR1908">
        <f>IF($A1908="","",IF(BO1908=1,$C1908,MAX($C1908,BR1907)))</f>
        <v>0</v>
      </c>
      <c r="BS1908">
        <f>IF($A1908="","",IF(BO1908=1,$D1908,MIN($D1908,BS1907)))</f>
        <v>0</v>
      </c>
      <c r="BT1908">
        <f>IF($A1908="","",IF(BP1908=1,F1908,""))</f>
        <v>0</v>
      </c>
    </row>
    <row r="1909" spans="1:72">
      <c r="A1909" s="27">
        <f>IF(Data!$A1909="","",Data!$A1909)</f>
        <v>0</v>
      </c>
      <c r="B1909">
        <f>IF(Data!$B1909="","",Data!$B1909)</f>
        <v>0</v>
      </c>
      <c r="C1909">
        <f>IF(Data!$C1909="","",Data!$C1909)</f>
        <v>0</v>
      </c>
      <c r="D1909">
        <f>IF(Data!$D1909="","",Data!$D1909)</f>
        <v>0</v>
      </c>
      <c r="E1909">
        <f>IF(Data!$E1909="","",Data!$E1909)</f>
        <v>0</v>
      </c>
      <c r="F1909">
        <f>IF($E1909="","",N(F1908)+1)</f>
        <v>0</v>
      </c>
      <c r="G1909">
        <f>IF(OR($E1909="",$E1908=""),"",LN($E1909/$E1908))</f>
        <v>0</v>
      </c>
      <c r="H1909">
        <f>IF($E1909="","",IF($E1908="",$E1909,$E1909*0.0952380952+H1908*0.9047619048))</f>
        <v>0</v>
      </c>
      <c r="I1909">
        <f>IF($E1909="","",IF($E1908="",$E1909,$E1909*0.0392156863+I1908*0.9607843137))</f>
        <v>0</v>
      </c>
      <c r="J1909">
        <f>IF($E1909="","",IF($E1908="",$E1909,$E1909*0.0198019802+J1908*0.9801980198))</f>
        <v>0</v>
      </c>
      <c r="K1909">
        <f>IF($E1909="","",IF($E1908="",$E1909,$E1909*0.0099502488+K1908*0.9900497512))</f>
        <v>0</v>
      </c>
      <c r="L1909">
        <f>IF(OR($E1909="",$E1908=""),"",MAX($E1909-$E1908,0))</f>
        <v>0</v>
      </c>
      <c r="M1909">
        <f>IF(OR($E1909="",$E1908=""),"",MAX($E1908-$E1909,0))</f>
        <v>0</v>
      </c>
      <c r="N1909">
        <f>IF(COUNT($E$2:$E1909)&lt;15,"",IF(AVERAGE($M$1896:$M$1909)=0,100,100-100/(1+AVERAGE($L$1896:$L$1909)/AVERAGE($M$1896:$M$1909))))</f>
        <v>0</v>
      </c>
      <c r="O1909">
        <f>IF($E1909="","",IF($E1908="",$E1909,$E1909*0.1538461538+O1908*0.8461538462))</f>
        <v>0</v>
      </c>
      <c r="P1909">
        <f>IF($E1909="","",IF($E1908="",$E1909,$E1909*0.0740740741+P1908*0.9259259259))</f>
        <v>0</v>
      </c>
      <c r="Q1909">
        <f>IF(OR(O1909="",P1909=""),"",O1909-P1909)</f>
        <v>0</v>
      </c>
      <c r="R1909">
        <f>IF(Q1909="","",IF(R1908="",Q1909,Q1909*0.2000000000+R1908*0.8000000000))</f>
        <v>0</v>
      </c>
      <c r="S1909">
        <f>IF(OR(Q1909="",R1909=""),"",Q1909-R1909)</f>
        <v>0</v>
      </c>
      <c r="T1909">
        <f>IF(COUNT($E$2:$E1909)&lt;14,"",MAX($C$1896:$C$1909))</f>
        <v>0</v>
      </c>
      <c r="U1909">
        <f>IF(COUNT($E$2:$E1909)&lt;14,"",MIN($D$1896:$D$1909))</f>
        <v>0</v>
      </c>
      <c r="V1909">
        <f>IF(OR(T1909="",U1909="",T1909=U1909),"",100*($E1909-U1909)/(T1909-U1909))</f>
        <v>0</v>
      </c>
      <c r="W1909">
        <f>IF(COUNT($V$1907:$V$1909)&lt;3,"",AVERAGE($V$1907:$V$1909))</f>
        <v>0</v>
      </c>
      <c r="X1909">
        <f>IF(COUNT($N$1896:$N$1909)&lt;14,"",MIN($N$1896:$N$1909))</f>
        <v>0</v>
      </c>
      <c r="Y1909">
        <f>IF(COUNT($N$1896:$N$1909)&lt;14,"",MAX($N$1896:$N$1909))</f>
        <v>0</v>
      </c>
      <c r="Z1909">
        <f>IF(OR(N1909="",X1909="",Y1909="",Y1909=X1909),"",100*(N1909-X1909)/(Y1909-X1909))</f>
        <v>0</v>
      </c>
      <c r="AA1909">
        <f>IF(COUNT($Z$1907:$Z$1909)&lt;3,"",AVERAGE($Z$1907:$Z$1909))</f>
        <v>0</v>
      </c>
      <c r="AB1909">
        <f>IF(COUNT($AA$1907:$AA$1909)&lt;3,"",AVERAGE($AA$1907:$AA$1909))</f>
        <v>0</v>
      </c>
      <c r="AC1909">
        <f>IF($E1909="","",MAX($C1909-$D1909,ABS($C1909-$E1908),ABS($D1909-$E1908)))</f>
        <v>0</v>
      </c>
      <c r="AD1909">
        <f>IF(COUNT($E$2:$E1909)&lt;15,"",AVERAGE($AC$1896:$AC$1909))</f>
        <v>0</v>
      </c>
      <c r="AE1909">
        <f>IF(OR($E1909="",$E1908=""),"",IF(AND(($C1909-$C1908)&gt;($D1908-$D1909),($C1909-$C1908)&gt;0),$C1909-$C1908,0))</f>
        <v>0</v>
      </c>
      <c r="AF1909">
        <f>IF(OR($E1909="",$E1908=""),"",IF(AND(($D1908-$D1909)&gt;($C1909-$C1908),($D1908-$D1909)&gt;0),$D1908-$D1909,0))</f>
        <v>0</v>
      </c>
      <c r="AG1909">
        <f>IF(COUNT($E$2:$E1909)&lt;15,"",IF(SUM($AC$1896:$AC$1909)=0,0,100*SUM($AE$1896:$AE$1909)/SUM($AC$1896:$AC$1909)))</f>
        <v>0</v>
      </c>
      <c r="AH1909">
        <f>IF(COUNT($E$2:$E1909)&lt;15,"",IF(SUM($AC$1896:$AC$1909)=0,0,100*SUM($AF$1896:$AF$1909)/SUM($AC$1896:$AC$1909)))</f>
        <v>0</v>
      </c>
      <c r="AI1909">
        <f>IF(OR(AG1909="",AH1909=""),"",IF((AG1909+AH1909)=0,0,100*ABS(AG1909-AH1909)/(AG1909+AH1909)))</f>
        <v>0</v>
      </c>
      <c r="AJ1909">
        <f>IF(COUNT($AI$1896:$AI$1909)&lt;14,"",AVERAGE($AI$1896:$AI$1909))</f>
        <v>0</v>
      </c>
      <c r="AK1909">
        <f>IF(COUNT($E$2:$E1909)&lt;20,"",AVERAGE($E$1890:$E$1909))</f>
        <v>0</v>
      </c>
      <c r="AL1909">
        <f>IF(COUNT($E$2:$E1909)&lt;20,"",STDEVP($E$1890:$E$1909))</f>
        <v>0</v>
      </c>
      <c r="AM1909">
        <f>IF(AK1909="","",AK1909+2*AL1909)</f>
        <v>0</v>
      </c>
      <c r="AN1909">
        <f>IF(AK1909="","",AK1909-2*AL1909)</f>
        <v>0</v>
      </c>
      <c r="AO1909">
        <f>IF(OR(AM1909="",AN1909="",AM1909=AN1909),"",($E1909-AN1909)/(AM1909-AN1909))</f>
        <v>0</v>
      </c>
      <c r="AP1909">
        <f>IF(OR(AM1909="",AK1909="",AK1909=0),"",(AM1909-AN1909)/AK1909)</f>
        <v>0</v>
      </c>
      <c r="AQ1909">
        <f>IF(COUNT($E$2:$E1909)&lt;20,"",MAX($C$1890:$C$1909))</f>
        <v>0</v>
      </c>
      <c r="AR1909">
        <f>IF(COUNT($E$2:$E1909)&lt;20,"",MIN($D$1890:$D$1909))</f>
        <v>0</v>
      </c>
      <c r="AS1909">
        <f>IF(OR(AQ1909="",AR1909=""),"",(AQ1909+AR1909)/2)</f>
        <v>0</v>
      </c>
      <c r="AT1909">
        <f>IF(COUNT($G$1890:$G$1909)&lt;20,"",STDEV($G$1890:$G$1909)*SQRT(252))</f>
        <v>0</v>
      </c>
      <c r="AU1909">
        <f>IF(COUNT($E$2:$E1909)&lt;9,"",(MAX($C$1901:$C$1909)+MIN($D$1901:$D$1909))/2)</f>
        <v>0</v>
      </c>
      <c r="AV1909">
        <f>IF(COUNT($E$2:$E1909)&lt;26,"",(MAX($C$1884:$C$1909)+MIN($D$1884:$D$1909))/2)</f>
        <v>0</v>
      </c>
      <c r="AW1909">
        <f>IF(OR(AU1909="",AV1909=""),"",(AU1909+AV1909)/2)</f>
        <v>0</v>
      </c>
      <c r="AX1909">
        <f>IF(COUNT($E$2:$E1909)&lt;52,"",(MAX($C$1858:$C$1909)+MIN($D$1858:$D$1909))/2)</f>
        <v>0</v>
      </c>
      <c r="AY1909">
        <f>IF(COUNT($E$2:$E1909)&lt;20,"",MAX($C$1810:$C$1909))</f>
        <v>0</v>
      </c>
      <c r="AZ1909">
        <f>IF(COUNT($E$2:$E1909)&lt;20,"",MIN($D$1810:$D$1909))</f>
        <v>0</v>
      </c>
      <c r="BA1909">
        <f>IF(COUNT($E$2:$E1909)&lt;20,"",SLOPE($E$1810:$E$1909,$F$1810:$F$1909))</f>
        <v>0</v>
      </c>
      <c r="BB1909">
        <f>IF(COUNT($E$2:$E1909)&lt;20,"",INTERCEPT($E$1810:$E$1909,$F$1810:$F$1909))</f>
        <v>0</v>
      </c>
      <c r="BC1909">
        <f>IF(OR(BA1909="",BB1909=""),"",BB1909+BA1909*F1909)</f>
        <v>0</v>
      </c>
      <c r="BD1909">
        <f>IF(COUNT($E$2:$E1909)&lt;20,"",STEYX($E$1810:$E$1909,$F$1810:$F$1909))</f>
        <v>0</v>
      </c>
      <c r="BE1909">
        <f>IF($E1909="","",IF(AND(COUNT($E$1910:$E$1913)&gt;=4,$C1909=MAX($C$1905:$C$1913)),$C1909,""))</f>
        <v>0</v>
      </c>
      <c r="BF1909">
        <f>IF($E1909="","",IF(AND(COUNT($E$1910:$E$1913)&gt;=4,$D1909=MIN($D$1905:$D$1913)),$D1909,""))</f>
        <v>0</v>
      </c>
      <c r="BG1909">
        <f>IF($A1909="","",$A1909-WEEKDAY($A1909,2)+1)</f>
        <v>0</v>
      </c>
      <c r="BH1909">
        <f>IF($A1909="","",IF($A1908="",1,IF(BG1909&lt;&gt;BG1908,1,0)))</f>
        <v>0</v>
      </c>
      <c r="BI1909">
        <f>IF($A1909="","",IF($A1910="",1,IF(BG1910&lt;&gt;BG1909,1,0)))</f>
        <v>0</v>
      </c>
      <c r="BJ1909">
        <f>IF($A1909="","",IF(BH1909=1,$B1909,BJ1908))</f>
        <v>0</v>
      </c>
      <c r="BK1909">
        <f>IF($A1909="","",IF(BH1909=1,$C1909,MAX($C1909,BK1908)))</f>
        <v>0</v>
      </c>
      <c r="BL1909">
        <f>IF($A1909="","",IF(BH1909=1,$D1909,MIN($D1909,BL1908)))</f>
        <v>0</v>
      </c>
      <c r="BM1909">
        <f>IF($A1909="","",IF(BI1909=1,F1909,""))</f>
        <v>0</v>
      </c>
      <c r="BN1909">
        <f>IF($A1909="","",DATE(YEAR($A1909),MONTH($A1909),1))</f>
        <v>0</v>
      </c>
      <c r="BO1909">
        <f>IF($A1909="","",IF($A1908="",1,IF(BN1909&lt;&gt;BN1908,1,0)))</f>
        <v>0</v>
      </c>
      <c r="BP1909">
        <f>IF($A1909="","",IF($A1910="",1,IF(BN1910&lt;&gt;BN1909,1,0)))</f>
        <v>0</v>
      </c>
      <c r="BQ1909">
        <f>IF($A1909="","",IF(BO1909=1,$B1909,BQ1908))</f>
        <v>0</v>
      </c>
      <c r="BR1909">
        <f>IF($A1909="","",IF(BO1909=1,$C1909,MAX($C1909,BR1908)))</f>
        <v>0</v>
      </c>
      <c r="BS1909">
        <f>IF($A1909="","",IF(BO1909=1,$D1909,MIN($D1909,BS1908)))</f>
        <v>0</v>
      </c>
      <c r="BT1909">
        <f>IF($A1909="","",IF(BP1909=1,F1909,""))</f>
        <v>0</v>
      </c>
    </row>
    <row r="1910" spans="1:72">
      <c r="A1910" s="27">
        <f>IF(Data!$A1910="","",Data!$A1910)</f>
        <v>0</v>
      </c>
      <c r="B1910">
        <f>IF(Data!$B1910="","",Data!$B1910)</f>
        <v>0</v>
      </c>
      <c r="C1910">
        <f>IF(Data!$C1910="","",Data!$C1910)</f>
        <v>0</v>
      </c>
      <c r="D1910">
        <f>IF(Data!$D1910="","",Data!$D1910)</f>
        <v>0</v>
      </c>
      <c r="E1910">
        <f>IF(Data!$E1910="","",Data!$E1910)</f>
        <v>0</v>
      </c>
      <c r="F1910">
        <f>IF($E1910="","",N(F1909)+1)</f>
        <v>0</v>
      </c>
      <c r="G1910">
        <f>IF(OR($E1910="",$E1909=""),"",LN($E1910/$E1909))</f>
        <v>0</v>
      </c>
      <c r="H1910">
        <f>IF($E1910="","",IF($E1909="",$E1910,$E1910*0.0952380952+H1909*0.9047619048))</f>
        <v>0</v>
      </c>
      <c r="I1910">
        <f>IF($E1910="","",IF($E1909="",$E1910,$E1910*0.0392156863+I1909*0.9607843137))</f>
        <v>0</v>
      </c>
      <c r="J1910">
        <f>IF($E1910="","",IF($E1909="",$E1910,$E1910*0.0198019802+J1909*0.9801980198))</f>
        <v>0</v>
      </c>
      <c r="K1910">
        <f>IF($E1910="","",IF($E1909="",$E1910,$E1910*0.0099502488+K1909*0.9900497512))</f>
        <v>0</v>
      </c>
      <c r="L1910">
        <f>IF(OR($E1910="",$E1909=""),"",MAX($E1910-$E1909,0))</f>
        <v>0</v>
      </c>
      <c r="M1910">
        <f>IF(OR($E1910="",$E1909=""),"",MAX($E1909-$E1910,0))</f>
        <v>0</v>
      </c>
      <c r="N1910">
        <f>IF(COUNT($E$2:$E1910)&lt;15,"",IF(AVERAGE($M$1897:$M$1910)=0,100,100-100/(1+AVERAGE($L$1897:$L$1910)/AVERAGE($M$1897:$M$1910))))</f>
        <v>0</v>
      </c>
      <c r="O1910">
        <f>IF($E1910="","",IF($E1909="",$E1910,$E1910*0.1538461538+O1909*0.8461538462))</f>
        <v>0</v>
      </c>
      <c r="P1910">
        <f>IF($E1910="","",IF($E1909="",$E1910,$E1910*0.0740740741+P1909*0.9259259259))</f>
        <v>0</v>
      </c>
      <c r="Q1910">
        <f>IF(OR(O1910="",P1910=""),"",O1910-P1910)</f>
        <v>0</v>
      </c>
      <c r="R1910">
        <f>IF(Q1910="","",IF(R1909="",Q1910,Q1910*0.2000000000+R1909*0.8000000000))</f>
        <v>0</v>
      </c>
      <c r="S1910">
        <f>IF(OR(Q1910="",R1910=""),"",Q1910-R1910)</f>
        <v>0</v>
      </c>
      <c r="T1910">
        <f>IF(COUNT($E$2:$E1910)&lt;14,"",MAX($C$1897:$C$1910))</f>
        <v>0</v>
      </c>
      <c r="U1910">
        <f>IF(COUNT($E$2:$E1910)&lt;14,"",MIN($D$1897:$D$1910))</f>
        <v>0</v>
      </c>
      <c r="V1910">
        <f>IF(OR(T1910="",U1910="",T1910=U1910),"",100*($E1910-U1910)/(T1910-U1910))</f>
        <v>0</v>
      </c>
      <c r="W1910">
        <f>IF(COUNT($V$1908:$V$1910)&lt;3,"",AVERAGE($V$1908:$V$1910))</f>
        <v>0</v>
      </c>
      <c r="X1910">
        <f>IF(COUNT($N$1897:$N$1910)&lt;14,"",MIN($N$1897:$N$1910))</f>
        <v>0</v>
      </c>
      <c r="Y1910">
        <f>IF(COUNT($N$1897:$N$1910)&lt;14,"",MAX($N$1897:$N$1910))</f>
        <v>0</v>
      </c>
      <c r="Z1910">
        <f>IF(OR(N1910="",X1910="",Y1910="",Y1910=X1910),"",100*(N1910-X1910)/(Y1910-X1910))</f>
        <v>0</v>
      </c>
      <c r="AA1910">
        <f>IF(COUNT($Z$1908:$Z$1910)&lt;3,"",AVERAGE($Z$1908:$Z$1910))</f>
        <v>0</v>
      </c>
      <c r="AB1910">
        <f>IF(COUNT($AA$1908:$AA$1910)&lt;3,"",AVERAGE($AA$1908:$AA$1910))</f>
        <v>0</v>
      </c>
      <c r="AC1910">
        <f>IF($E1910="","",MAX($C1910-$D1910,ABS($C1910-$E1909),ABS($D1910-$E1909)))</f>
        <v>0</v>
      </c>
      <c r="AD1910">
        <f>IF(COUNT($E$2:$E1910)&lt;15,"",AVERAGE($AC$1897:$AC$1910))</f>
        <v>0</v>
      </c>
      <c r="AE1910">
        <f>IF(OR($E1910="",$E1909=""),"",IF(AND(($C1910-$C1909)&gt;($D1909-$D1910),($C1910-$C1909)&gt;0),$C1910-$C1909,0))</f>
        <v>0</v>
      </c>
      <c r="AF1910">
        <f>IF(OR($E1910="",$E1909=""),"",IF(AND(($D1909-$D1910)&gt;($C1910-$C1909),($D1909-$D1910)&gt;0),$D1909-$D1910,0))</f>
        <v>0</v>
      </c>
      <c r="AG1910">
        <f>IF(COUNT($E$2:$E1910)&lt;15,"",IF(SUM($AC$1897:$AC$1910)=0,0,100*SUM($AE$1897:$AE$1910)/SUM($AC$1897:$AC$1910)))</f>
        <v>0</v>
      </c>
      <c r="AH1910">
        <f>IF(COUNT($E$2:$E1910)&lt;15,"",IF(SUM($AC$1897:$AC$1910)=0,0,100*SUM($AF$1897:$AF$1910)/SUM($AC$1897:$AC$1910)))</f>
        <v>0</v>
      </c>
      <c r="AI1910">
        <f>IF(OR(AG1910="",AH1910=""),"",IF((AG1910+AH1910)=0,0,100*ABS(AG1910-AH1910)/(AG1910+AH1910)))</f>
        <v>0</v>
      </c>
      <c r="AJ1910">
        <f>IF(COUNT($AI$1897:$AI$1910)&lt;14,"",AVERAGE($AI$1897:$AI$1910))</f>
        <v>0</v>
      </c>
      <c r="AK1910">
        <f>IF(COUNT($E$2:$E1910)&lt;20,"",AVERAGE($E$1891:$E$1910))</f>
        <v>0</v>
      </c>
      <c r="AL1910">
        <f>IF(COUNT($E$2:$E1910)&lt;20,"",STDEVP($E$1891:$E$1910))</f>
        <v>0</v>
      </c>
      <c r="AM1910">
        <f>IF(AK1910="","",AK1910+2*AL1910)</f>
        <v>0</v>
      </c>
      <c r="AN1910">
        <f>IF(AK1910="","",AK1910-2*AL1910)</f>
        <v>0</v>
      </c>
      <c r="AO1910">
        <f>IF(OR(AM1910="",AN1910="",AM1910=AN1910),"",($E1910-AN1910)/(AM1910-AN1910))</f>
        <v>0</v>
      </c>
      <c r="AP1910">
        <f>IF(OR(AM1910="",AK1910="",AK1910=0),"",(AM1910-AN1910)/AK1910)</f>
        <v>0</v>
      </c>
      <c r="AQ1910">
        <f>IF(COUNT($E$2:$E1910)&lt;20,"",MAX($C$1891:$C$1910))</f>
        <v>0</v>
      </c>
      <c r="AR1910">
        <f>IF(COUNT($E$2:$E1910)&lt;20,"",MIN($D$1891:$D$1910))</f>
        <v>0</v>
      </c>
      <c r="AS1910">
        <f>IF(OR(AQ1910="",AR1910=""),"",(AQ1910+AR1910)/2)</f>
        <v>0</v>
      </c>
      <c r="AT1910">
        <f>IF(COUNT($G$1891:$G$1910)&lt;20,"",STDEV($G$1891:$G$1910)*SQRT(252))</f>
        <v>0</v>
      </c>
      <c r="AU1910">
        <f>IF(COUNT($E$2:$E1910)&lt;9,"",(MAX($C$1902:$C$1910)+MIN($D$1902:$D$1910))/2)</f>
        <v>0</v>
      </c>
      <c r="AV1910">
        <f>IF(COUNT($E$2:$E1910)&lt;26,"",(MAX($C$1885:$C$1910)+MIN($D$1885:$D$1910))/2)</f>
        <v>0</v>
      </c>
      <c r="AW1910">
        <f>IF(OR(AU1910="",AV1910=""),"",(AU1910+AV1910)/2)</f>
        <v>0</v>
      </c>
      <c r="AX1910">
        <f>IF(COUNT($E$2:$E1910)&lt;52,"",(MAX($C$1859:$C$1910)+MIN($D$1859:$D$1910))/2)</f>
        <v>0</v>
      </c>
      <c r="AY1910">
        <f>IF(COUNT($E$2:$E1910)&lt;20,"",MAX($C$1811:$C$1910))</f>
        <v>0</v>
      </c>
      <c r="AZ1910">
        <f>IF(COUNT($E$2:$E1910)&lt;20,"",MIN($D$1811:$D$1910))</f>
        <v>0</v>
      </c>
      <c r="BA1910">
        <f>IF(COUNT($E$2:$E1910)&lt;20,"",SLOPE($E$1811:$E$1910,$F$1811:$F$1910))</f>
        <v>0</v>
      </c>
      <c r="BB1910">
        <f>IF(COUNT($E$2:$E1910)&lt;20,"",INTERCEPT($E$1811:$E$1910,$F$1811:$F$1910))</f>
        <v>0</v>
      </c>
      <c r="BC1910">
        <f>IF(OR(BA1910="",BB1910=""),"",BB1910+BA1910*F1910)</f>
        <v>0</v>
      </c>
      <c r="BD1910">
        <f>IF(COUNT($E$2:$E1910)&lt;20,"",STEYX($E$1811:$E$1910,$F$1811:$F$1910))</f>
        <v>0</v>
      </c>
      <c r="BE1910">
        <f>IF($E1910="","",IF(AND(COUNT($E$1911:$E$1914)&gt;=4,$C1910=MAX($C$1906:$C$1914)),$C1910,""))</f>
        <v>0</v>
      </c>
      <c r="BF1910">
        <f>IF($E1910="","",IF(AND(COUNT($E$1911:$E$1914)&gt;=4,$D1910=MIN($D$1906:$D$1914)),$D1910,""))</f>
        <v>0</v>
      </c>
      <c r="BG1910">
        <f>IF($A1910="","",$A1910-WEEKDAY($A1910,2)+1)</f>
        <v>0</v>
      </c>
      <c r="BH1910">
        <f>IF($A1910="","",IF($A1909="",1,IF(BG1910&lt;&gt;BG1909,1,0)))</f>
        <v>0</v>
      </c>
      <c r="BI1910">
        <f>IF($A1910="","",IF($A1911="",1,IF(BG1911&lt;&gt;BG1910,1,0)))</f>
        <v>0</v>
      </c>
      <c r="BJ1910">
        <f>IF($A1910="","",IF(BH1910=1,$B1910,BJ1909))</f>
        <v>0</v>
      </c>
      <c r="BK1910">
        <f>IF($A1910="","",IF(BH1910=1,$C1910,MAX($C1910,BK1909)))</f>
        <v>0</v>
      </c>
      <c r="BL1910">
        <f>IF($A1910="","",IF(BH1910=1,$D1910,MIN($D1910,BL1909)))</f>
        <v>0</v>
      </c>
      <c r="BM1910">
        <f>IF($A1910="","",IF(BI1910=1,F1910,""))</f>
        <v>0</v>
      </c>
      <c r="BN1910">
        <f>IF($A1910="","",DATE(YEAR($A1910),MONTH($A1910),1))</f>
        <v>0</v>
      </c>
      <c r="BO1910">
        <f>IF($A1910="","",IF($A1909="",1,IF(BN1910&lt;&gt;BN1909,1,0)))</f>
        <v>0</v>
      </c>
      <c r="BP1910">
        <f>IF($A1910="","",IF($A1911="",1,IF(BN1911&lt;&gt;BN1910,1,0)))</f>
        <v>0</v>
      </c>
      <c r="BQ1910">
        <f>IF($A1910="","",IF(BO1910=1,$B1910,BQ1909))</f>
        <v>0</v>
      </c>
      <c r="BR1910">
        <f>IF($A1910="","",IF(BO1910=1,$C1910,MAX($C1910,BR1909)))</f>
        <v>0</v>
      </c>
      <c r="BS1910">
        <f>IF($A1910="","",IF(BO1910=1,$D1910,MIN($D1910,BS1909)))</f>
        <v>0</v>
      </c>
      <c r="BT1910">
        <f>IF($A1910="","",IF(BP1910=1,F1910,""))</f>
        <v>0</v>
      </c>
    </row>
    <row r="1911" spans="1:72">
      <c r="A1911" s="27">
        <f>IF(Data!$A1911="","",Data!$A1911)</f>
        <v>0</v>
      </c>
      <c r="B1911">
        <f>IF(Data!$B1911="","",Data!$B1911)</f>
        <v>0</v>
      </c>
      <c r="C1911">
        <f>IF(Data!$C1911="","",Data!$C1911)</f>
        <v>0</v>
      </c>
      <c r="D1911">
        <f>IF(Data!$D1911="","",Data!$D1911)</f>
        <v>0</v>
      </c>
      <c r="E1911">
        <f>IF(Data!$E1911="","",Data!$E1911)</f>
        <v>0</v>
      </c>
      <c r="F1911">
        <f>IF($E1911="","",N(F1910)+1)</f>
        <v>0</v>
      </c>
      <c r="G1911">
        <f>IF(OR($E1911="",$E1910=""),"",LN($E1911/$E1910))</f>
        <v>0</v>
      </c>
      <c r="H1911">
        <f>IF($E1911="","",IF($E1910="",$E1911,$E1911*0.0952380952+H1910*0.9047619048))</f>
        <v>0</v>
      </c>
      <c r="I1911">
        <f>IF($E1911="","",IF($E1910="",$E1911,$E1911*0.0392156863+I1910*0.9607843137))</f>
        <v>0</v>
      </c>
      <c r="J1911">
        <f>IF($E1911="","",IF($E1910="",$E1911,$E1911*0.0198019802+J1910*0.9801980198))</f>
        <v>0</v>
      </c>
      <c r="K1911">
        <f>IF($E1911="","",IF($E1910="",$E1911,$E1911*0.0099502488+K1910*0.9900497512))</f>
        <v>0</v>
      </c>
      <c r="L1911">
        <f>IF(OR($E1911="",$E1910=""),"",MAX($E1911-$E1910,0))</f>
        <v>0</v>
      </c>
      <c r="M1911">
        <f>IF(OR($E1911="",$E1910=""),"",MAX($E1910-$E1911,0))</f>
        <v>0</v>
      </c>
      <c r="N1911">
        <f>IF(COUNT($E$2:$E1911)&lt;15,"",IF(AVERAGE($M$1898:$M$1911)=0,100,100-100/(1+AVERAGE($L$1898:$L$1911)/AVERAGE($M$1898:$M$1911))))</f>
        <v>0</v>
      </c>
      <c r="O1911">
        <f>IF($E1911="","",IF($E1910="",$E1911,$E1911*0.1538461538+O1910*0.8461538462))</f>
        <v>0</v>
      </c>
      <c r="P1911">
        <f>IF($E1911="","",IF($E1910="",$E1911,$E1911*0.0740740741+P1910*0.9259259259))</f>
        <v>0</v>
      </c>
      <c r="Q1911">
        <f>IF(OR(O1911="",P1911=""),"",O1911-P1911)</f>
        <v>0</v>
      </c>
      <c r="R1911">
        <f>IF(Q1911="","",IF(R1910="",Q1911,Q1911*0.2000000000+R1910*0.8000000000))</f>
        <v>0</v>
      </c>
      <c r="S1911">
        <f>IF(OR(Q1911="",R1911=""),"",Q1911-R1911)</f>
        <v>0</v>
      </c>
      <c r="T1911">
        <f>IF(COUNT($E$2:$E1911)&lt;14,"",MAX($C$1898:$C$1911))</f>
        <v>0</v>
      </c>
      <c r="U1911">
        <f>IF(COUNT($E$2:$E1911)&lt;14,"",MIN($D$1898:$D$1911))</f>
        <v>0</v>
      </c>
      <c r="V1911">
        <f>IF(OR(T1911="",U1911="",T1911=U1911),"",100*($E1911-U1911)/(T1911-U1911))</f>
        <v>0</v>
      </c>
      <c r="W1911">
        <f>IF(COUNT($V$1909:$V$1911)&lt;3,"",AVERAGE($V$1909:$V$1911))</f>
        <v>0</v>
      </c>
      <c r="X1911">
        <f>IF(COUNT($N$1898:$N$1911)&lt;14,"",MIN($N$1898:$N$1911))</f>
        <v>0</v>
      </c>
      <c r="Y1911">
        <f>IF(COUNT($N$1898:$N$1911)&lt;14,"",MAX($N$1898:$N$1911))</f>
        <v>0</v>
      </c>
      <c r="Z1911">
        <f>IF(OR(N1911="",X1911="",Y1911="",Y1911=X1911),"",100*(N1911-X1911)/(Y1911-X1911))</f>
        <v>0</v>
      </c>
      <c r="AA1911">
        <f>IF(COUNT($Z$1909:$Z$1911)&lt;3,"",AVERAGE($Z$1909:$Z$1911))</f>
        <v>0</v>
      </c>
      <c r="AB1911">
        <f>IF(COUNT($AA$1909:$AA$1911)&lt;3,"",AVERAGE($AA$1909:$AA$1911))</f>
        <v>0</v>
      </c>
      <c r="AC1911">
        <f>IF($E1911="","",MAX($C1911-$D1911,ABS($C1911-$E1910),ABS($D1911-$E1910)))</f>
        <v>0</v>
      </c>
      <c r="AD1911">
        <f>IF(COUNT($E$2:$E1911)&lt;15,"",AVERAGE($AC$1898:$AC$1911))</f>
        <v>0</v>
      </c>
      <c r="AE1911">
        <f>IF(OR($E1911="",$E1910=""),"",IF(AND(($C1911-$C1910)&gt;($D1910-$D1911),($C1911-$C1910)&gt;0),$C1911-$C1910,0))</f>
        <v>0</v>
      </c>
      <c r="AF1911">
        <f>IF(OR($E1911="",$E1910=""),"",IF(AND(($D1910-$D1911)&gt;($C1911-$C1910),($D1910-$D1911)&gt;0),$D1910-$D1911,0))</f>
        <v>0</v>
      </c>
      <c r="AG1911">
        <f>IF(COUNT($E$2:$E1911)&lt;15,"",IF(SUM($AC$1898:$AC$1911)=0,0,100*SUM($AE$1898:$AE$1911)/SUM($AC$1898:$AC$1911)))</f>
        <v>0</v>
      </c>
      <c r="AH1911">
        <f>IF(COUNT($E$2:$E1911)&lt;15,"",IF(SUM($AC$1898:$AC$1911)=0,0,100*SUM($AF$1898:$AF$1911)/SUM($AC$1898:$AC$1911)))</f>
        <v>0</v>
      </c>
      <c r="AI1911">
        <f>IF(OR(AG1911="",AH1911=""),"",IF((AG1911+AH1911)=0,0,100*ABS(AG1911-AH1911)/(AG1911+AH1911)))</f>
        <v>0</v>
      </c>
      <c r="AJ1911">
        <f>IF(COUNT($AI$1898:$AI$1911)&lt;14,"",AVERAGE($AI$1898:$AI$1911))</f>
        <v>0</v>
      </c>
      <c r="AK1911">
        <f>IF(COUNT($E$2:$E1911)&lt;20,"",AVERAGE($E$1892:$E$1911))</f>
        <v>0</v>
      </c>
      <c r="AL1911">
        <f>IF(COUNT($E$2:$E1911)&lt;20,"",STDEVP($E$1892:$E$1911))</f>
        <v>0</v>
      </c>
      <c r="AM1911">
        <f>IF(AK1911="","",AK1911+2*AL1911)</f>
        <v>0</v>
      </c>
      <c r="AN1911">
        <f>IF(AK1911="","",AK1911-2*AL1911)</f>
        <v>0</v>
      </c>
      <c r="AO1911">
        <f>IF(OR(AM1911="",AN1911="",AM1911=AN1911),"",($E1911-AN1911)/(AM1911-AN1911))</f>
        <v>0</v>
      </c>
      <c r="AP1911">
        <f>IF(OR(AM1911="",AK1911="",AK1911=0),"",(AM1911-AN1911)/AK1911)</f>
        <v>0</v>
      </c>
      <c r="AQ1911">
        <f>IF(COUNT($E$2:$E1911)&lt;20,"",MAX($C$1892:$C$1911))</f>
        <v>0</v>
      </c>
      <c r="AR1911">
        <f>IF(COUNT($E$2:$E1911)&lt;20,"",MIN($D$1892:$D$1911))</f>
        <v>0</v>
      </c>
      <c r="AS1911">
        <f>IF(OR(AQ1911="",AR1911=""),"",(AQ1911+AR1911)/2)</f>
        <v>0</v>
      </c>
      <c r="AT1911">
        <f>IF(COUNT($G$1892:$G$1911)&lt;20,"",STDEV($G$1892:$G$1911)*SQRT(252))</f>
        <v>0</v>
      </c>
      <c r="AU1911">
        <f>IF(COUNT($E$2:$E1911)&lt;9,"",(MAX($C$1903:$C$1911)+MIN($D$1903:$D$1911))/2)</f>
        <v>0</v>
      </c>
      <c r="AV1911">
        <f>IF(COUNT($E$2:$E1911)&lt;26,"",(MAX($C$1886:$C$1911)+MIN($D$1886:$D$1911))/2)</f>
        <v>0</v>
      </c>
      <c r="AW1911">
        <f>IF(OR(AU1911="",AV1911=""),"",(AU1911+AV1911)/2)</f>
        <v>0</v>
      </c>
      <c r="AX1911">
        <f>IF(COUNT($E$2:$E1911)&lt;52,"",(MAX($C$1860:$C$1911)+MIN($D$1860:$D$1911))/2)</f>
        <v>0</v>
      </c>
      <c r="AY1911">
        <f>IF(COUNT($E$2:$E1911)&lt;20,"",MAX($C$1812:$C$1911))</f>
        <v>0</v>
      </c>
      <c r="AZ1911">
        <f>IF(COUNT($E$2:$E1911)&lt;20,"",MIN($D$1812:$D$1911))</f>
        <v>0</v>
      </c>
      <c r="BA1911">
        <f>IF(COUNT($E$2:$E1911)&lt;20,"",SLOPE($E$1812:$E$1911,$F$1812:$F$1911))</f>
        <v>0</v>
      </c>
      <c r="BB1911">
        <f>IF(COUNT($E$2:$E1911)&lt;20,"",INTERCEPT($E$1812:$E$1911,$F$1812:$F$1911))</f>
        <v>0</v>
      </c>
      <c r="BC1911">
        <f>IF(OR(BA1911="",BB1911=""),"",BB1911+BA1911*F1911)</f>
        <v>0</v>
      </c>
      <c r="BD1911">
        <f>IF(COUNT($E$2:$E1911)&lt;20,"",STEYX($E$1812:$E$1911,$F$1812:$F$1911))</f>
        <v>0</v>
      </c>
      <c r="BE1911">
        <f>IF($E1911="","",IF(AND(COUNT($E$1912:$E$1915)&gt;=4,$C1911=MAX($C$1907:$C$1915)),$C1911,""))</f>
        <v>0</v>
      </c>
      <c r="BF1911">
        <f>IF($E1911="","",IF(AND(COUNT($E$1912:$E$1915)&gt;=4,$D1911=MIN($D$1907:$D$1915)),$D1911,""))</f>
        <v>0</v>
      </c>
      <c r="BG1911">
        <f>IF($A1911="","",$A1911-WEEKDAY($A1911,2)+1)</f>
        <v>0</v>
      </c>
      <c r="BH1911">
        <f>IF($A1911="","",IF($A1910="",1,IF(BG1911&lt;&gt;BG1910,1,0)))</f>
        <v>0</v>
      </c>
      <c r="BI1911">
        <f>IF($A1911="","",IF($A1912="",1,IF(BG1912&lt;&gt;BG1911,1,0)))</f>
        <v>0</v>
      </c>
      <c r="BJ1911">
        <f>IF($A1911="","",IF(BH1911=1,$B1911,BJ1910))</f>
        <v>0</v>
      </c>
      <c r="BK1911">
        <f>IF($A1911="","",IF(BH1911=1,$C1911,MAX($C1911,BK1910)))</f>
        <v>0</v>
      </c>
      <c r="BL1911">
        <f>IF($A1911="","",IF(BH1911=1,$D1911,MIN($D1911,BL1910)))</f>
        <v>0</v>
      </c>
      <c r="BM1911">
        <f>IF($A1911="","",IF(BI1911=1,F1911,""))</f>
        <v>0</v>
      </c>
      <c r="BN1911">
        <f>IF($A1911="","",DATE(YEAR($A1911),MONTH($A1911),1))</f>
        <v>0</v>
      </c>
      <c r="BO1911">
        <f>IF($A1911="","",IF($A1910="",1,IF(BN1911&lt;&gt;BN1910,1,0)))</f>
        <v>0</v>
      </c>
      <c r="BP1911">
        <f>IF($A1911="","",IF($A1912="",1,IF(BN1912&lt;&gt;BN1911,1,0)))</f>
        <v>0</v>
      </c>
      <c r="BQ1911">
        <f>IF($A1911="","",IF(BO1911=1,$B1911,BQ1910))</f>
        <v>0</v>
      </c>
      <c r="BR1911">
        <f>IF($A1911="","",IF(BO1911=1,$C1911,MAX($C1911,BR1910)))</f>
        <v>0</v>
      </c>
      <c r="BS1911">
        <f>IF($A1911="","",IF(BO1911=1,$D1911,MIN($D1911,BS1910)))</f>
        <v>0</v>
      </c>
      <c r="BT1911">
        <f>IF($A1911="","",IF(BP1911=1,F1911,""))</f>
        <v>0</v>
      </c>
    </row>
    <row r="1912" spans="1:72">
      <c r="A1912" s="27">
        <f>IF(Data!$A1912="","",Data!$A1912)</f>
        <v>0</v>
      </c>
      <c r="B1912">
        <f>IF(Data!$B1912="","",Data!$B1912)</f>
        <v>0</v>
      </c>
      <c r="C1912">
        <f>IF(Data!$C1912="","",Data!$C1912)</f>
        <v>0</v>
      </c>
      <c r="D1912">
        <f>IF(Data!$D1912="","",Data!$D1912)</f>
        <v>0</v>
      </c>
      <c r="E1912">
        <f>IF(Data!$E1912="","",Data!$E1912)</f>
        <v>0</v>
      </c>
      <c r="F1912">
        <f>IF($E1912="","",N(F1911)+1)</f>
        <v>0</v>
      </c>
      <c r="G1912">
        <f>IF(OR($E1912="",$E1911=""),"",LN($E1912/$E1911))</f>
        <v>0</v>
      </c>
      <c r="H1912">
        <f>IF($E1912="","",IF($E1911="",$E1912,$E1912*0.0952380952+H1911*0.9047619048))</f>
        <v>0</v>
      </c>
      <c r="I1912">
        <f>IF($E1912="","",IF($E1911="",$E1912,$E1912*0.0392156863+I1911*0.9607843137))</f>
        <v>0</v>
      </c>
      <c r="J1912">
        <f>IF($E1912="","",IF($E1911="",$E1912,$E1912*0.0198019802+J1911*0.9801980198))</f>
        <v>0</v>
      </c>
      <c r="K1912">
        <f>IF($E1912="","",IF($E1911="",$E1912,$E1912*0.0099502488+K1911*0.9900497512))</f>
        <v>0</v>
      </c>
      <c r="L1912">
        <f>IF(OR($E1912="",$E1911=""),"",MAX($E1912-$E1911,0))</f>
        <v>0</v>
      </c>
      <c r="M1912">
        <f>IF(OR($E1912="",$E1911=""),"",MAX($E1911-$E1912,0))</f>
        <v>0</v>
      </c>
      <c r="N1912">
        <f>IF(COUNT($E$2:$E1912)&lt;15,"",IF(AVERAGE($M$1899:$M$1912)=0,100,100-100/(1+AVERAGE($L$1899:$L$1912)/AVERAGE($M$1899:$M$1912))))</f>
        <v>0</v>
      </c>
      <c r="O1912">
        <f>IF($E1912="","",IF($E1911="",$E1912,$E1912*0.1538461538+O1911*0.8461538462))</f>
        <v>0</v>
      </c>
      <c r="P1912">
        <f>IF($E1912="","",IF($E1911="",$E1912,$E1912*0.0740740741+P1911*0.9259259259))</f>
        <v>0</v>
      </c>
      <c r="Q1912">
        <f>IF(OR(O1912="",P1912=""),"",O1912-P1912)</f>
        <v>0</v>
      </c>
      <c r="R1912">
        <f>IF(Q1912="","",IF(R1911="",Q1912,Q1912*0.2000000000+R1911*0.8000000000))</f>
        <v>0</v>
      </c>
      <c r="S1912">
        <f>IF(OR(Q1912="",R1912=""),"",Q1912-R1912)</f>
        <v>0</v>
      </c>
      <c r="T1912">
        <f>IF(COUNT($E$2:$E1912)&lt;14,"",MAX($C$1899:$C$1912))</f>
        <v>0</v>
      </c>
      <c r="U1912">
        <f>IF(COUNT($E$2:$E1912)&lt;14,"",MIN($D$1899:$D$1912))</f>
        <v>0</v>
      </c>
      <c r="V1912">
        <f>IF(OR(T1912="",U1912="",T1912=U1912),"",100*($E1912-U1912)/(T1912-U1912))</f>
        <v>0</v>
      </c>
      <c r="W1912">
        <f>IF(COUNT($V$1910:$V$1912)&lt;3,"",AVERAGE($V$1910:$V$1912))</f>
        <v>0</v>
      </c>
      <c r="X1912">
        <f>IF(COUNT($N$1899:$N$1912)&lt;14,"",MIN($N$1899:$N$1912))</f>
        <v>0</v>
      </c>
      <c r="Y1912">
        <f>IF(COUNT($N$1899:$N$1912)&lt;14,"",MAX($N$1899:$N$1912))</f>
        <v>0</v>
      </c>
      <c r="Z1912">
        <f>IF(OR(N1912="",X1912="",Y1912="",Y1912=X1912),"",100*(N1912-X1912)/(Y1912-X1912))</f>
        <v>0</v>
      </c>
      <c r="AA1912">
        <f>IF(COUNT($Z$1910:$Z$1912)&lt;3,"",AVERAGE($Z$1910:$Z$1912))</f>
        <v>0</v>
      </c>
      <c r="AB1912">
        <f>IF(COUNT($AA$1910:$AA$1912)&lt;3,"",AVERAGE($AA$1910:$AA$1912))</f>
        <v>0</v>
      </c>
      <c r="AC1912">
        <f>IF($E1912="","",MAX($C1912-$D1912,ABS($C1912-$E1911),ABS($D1912-$E1911)))</f>
        <v>0</v>
      </c>
      <c r="AD1912">
        <f>IF(COUNT($E$2:$E1912)&lt;15,"",AVERAGE($AC$1899:$AC$1912))</f>
        <v>0</v>
      </c>
      <c r="AE1912">
        <f>IF(OR($E1912="",$E1911=""),"",IF(AND(($C1912-$C1911)&gt;($D1911-$D1912),($C1912-$C1911)&gt;0),$C1912-$C1911,0))</f>
        <v>0</v>
      </c>
      <c r="AF1912">
        <f>IF(OR($E1912="",$E1911=""),"",IF(AND(($D1911-$D1912)&gt;($C1912-$C1911),($D1911-$D1912)&gt;0),$D1911-$D1912,0))</f>
        <v>0</v>
      </c>
      <c r="AG1912">
        <f>IF(COUNT($E$2:$E1912)&lt;15,"",IF(SUM($AC$1899:$AC$1912)=0,0,100*SUM($AE$1899:$AE$1912)/SUM($AC$1899:$AC$1912)))</f>
        <v>0</v>
      </c>
      <c r="AH1912">
        <f>IF(COUNT($E$2:$E1912)&lt;15,"",IF(SUM($AC$1899:$AC$1912)=0,0,100*SUM($AF$1899:$AF$1912)/SUM($AC$1899:$AC$1912)))</f>
        <v>0</v>
      </c>
      <c r="AI1912">
        <f>IF(OR(AG1912="",AH1912=""),"",IF((AG1912+AH1912)=0,0,100*ABS(AG1912-AH1912)/(AG1912+AH1912)))</f>
        <v>0</v>
      </c>
      <c r="AJ1912">
        <f>IF(COUNT($AI$1899:$AI$1912)&lt;14,"",AVERAGE($AI$1899:$AI$1912))</f>
        <v>0</v>
      </c>
      <c r="AK1912">
        <f>IF(COUNT($E$2:$E1912)&lt;20,"",AVERAGE($E$1893:$E$1912))</f>
        <v>0</v>
      </c>
      <c r="AL1912">
        <f>IF(COUNT($E$2:$E1912)&lt;20,"",STDEVP($E$1893:$E$1912))</f>
        <v>0</v>
      </c>
      <c r="AM1912">
        <f>IF(AK1912="","",AK1912+2*AL1912)</f>
        <v>0</v>
      </c>
      <c r="AN1912">
        <f>IF(AK1912="","",AK1912-2*AL1912)</f>
        <v>0</v>
      </c>
      <c r="AO1912">
        <f>IF(OR(AM1912="",AN1912="",AM1912=AN1912),"",($E1912-AN1912)/(AM1912-AN1912))</f>
        <v>0</v>
      </c>
      <c r="AP1912">
        <f>IF(OR(AM1912="",AK1912="",AK1912=0),"",(AM1912-AN1912)/AK1912)</f>
        <v>0</v>
      </c>
      <c r="AQ1912">
        <f>IF(COUNT($E$2:$E1912)&lt;20,"",MAX($C$1893:$C$1912))</f>
        <v>0</v>
      </c>
      <c r="AR1912">
        <f>IF(COUNT($E$2:$E1912)&lt;20,"",MIN($D$1893:$D$1912))</f>
        <v>0</v>
      </c>
      <c r="AS1912">
        <f>IF(OR(AQ1912="",AR1912=""),"",(AQ1912+AR1912)/2)</f>
        <v>0</v>
      </c>
      <c r="AT1912">
        <f>IF(COUNT($G$1893:$G$1912)&lt;20,"",STDEV($G$1893:$G$1912)*SQRT(252))</f>
        <v>0</v>
      </c>
      <c r="AU1912">
        <f>IF(COUNT($E$2:$E1912)&lt;9,"",(MAX($C$1904:$C$1912)+MIN($D$1904:$D$1912))/2)</f>
        <v>0</v>
      </c>
      <c r="AV1912">
        <f>IF(COUNT($E$2:$E1912)&lt;26,"",(MAX($C$1887:$C$1912)+MIN($D$1887:$D$1912))/2)</f>
        <v>0</v>
      </c>
      <c r="AW1912">
        <f>IF(OR(AU1912="",AV1912=""),"",(AU1912+AV1912)/2)</f>
        <v>0</v>
      </c>
      <c r="AX1912">
        <f>IF(COUNT($E$2:$E1912)&lt;52,"",(MAX($C$1861:$C$1912)+MIN($D$1861:$D$1912))/2)</f>
        <v>0</v>
      </c>
      <c r="AY1912">
        <f>IF(COUNT($E$2:$E1912)&lt;20,"",MAX($C$1813:$C$1912))</f>
        <v>0</v>
      </c>
      <c r="AZ1912">
        <f>IF(COUNT($E$2:$E1912)&lt;20,"",MIN($D$1813:$D$1912))</f>
        <v>0</v>
      </c>
      <c r="BA1912">
        <f>IF(COUNT($E$2:$E1912)&lt;20,"",SLOPE($E$1813:$E$1912,$F$1813:$F$1912))</f>
        <v>0</v>
      </c>
      <c r="BB1912">
        <f>IF(COUNT($E$2:$E1912)&lt;20,"",INTERCEPT($E$1813:$E$1912,$F$1813:$F$1912))</f>
        <v>0</v>
      </c>
      <c r="BC1912">
        <f>IF(OR(BA1912="",BB1912=""),"",BB1912+BA1912*F1912)</f>
        <v>0</v>
      </c>
      <c r="BD1912">
        <f>IF(COUNT($E$2:$E1912)&lt;20,"",STEYX($E$1813:$E$1912,$F$1813:$F$1912))</f>
        <v>0</v>
      </c>
      <c r="BE1912">
        <f>IF($E1912="","",IF(AND(COUNT($E$1913:$E$1916)&gt;=4,$C1912=MAX($C$1908:$C$1916)),$C1912,""))</f>
        <v>0</v>
      </c>
      <c r="BF1912">
        <f>IF($E1912="","",IF(AND(COUNT($E$1913:$E$1916)&gt;=4,$D1912=MIN($D$1908:$D$1916)),$D1912,""))</f>
        <v>0</v>
      </c>
      <c r="BG1912">
        <f>IF($A1912="","",$A1912-WEEKDAY($A1912,2)+1)</f>
        <v>0</v>
      </c>
      <c r="BH1912">
        <f>IF($A1912="","",IF($A1911="",1,IF(BG1912&lt;&gt;BG1911,1,0)))</f>
        <v>0</v>
      </c>
      <c r="BI1912">
        <f>IF($A1912="","",IF($A1913="",1,IF(BG1913&lt;&gt;BG1912,1,0)))</f>
        <v>0</v>
      </c>
      <c r="BJ1912">
        <f>IF($A1912="","",IF(BH1912=1,$B1912,BJ1911))</f>
        <v>0</v>
      </c>
      <c r="BK1912">
        <f>IF($A1912="","",IF(BH1912=1,$C1912,MAX($C1912,BK1911)))</f>
        <v>0</v>
      </c>
      <c r="BL1912">
        <f>IF($A1912="","",IF(BH1912=1,$D1912,MIN($D1912,BL1911)))</f>
        <v>0</v>
      </c>
      <c r="BM1912">
        <f>IF($A1912="","",IF(BI1912=1,F1912,""))</f>
        <v>0</v>
      </c>
      <c r="BN1912">
        <f>IF($A1912="","",DATE(YEAR($A1912),MONTH($A1912),1))</f>
        <v>0</v>
      </c>
      <c r="BO1912">
        <f>IF($A1912="","",IF($A1911="",1,IF(BN1912&lt;&gt;BN1911,1,0)))</f>
        <v>0</v>
      </c>
      <c r="BP1912">
        <f>IF($A1912="","",IF($A1913="",1,IF(BN1913&lt;&gt;BN1912,1,0)))</f>
        <v>0</v>
      </c>
      <c r="BQ1912">
        <f>IF($A1912="","",IF(BO1912=1,$B1912,BQ1911))</f>
        <v>0</v>
      </c>
      <c r="BR1912">
        <f>IF($A1912="","",IF(BO1912=1,$C1912,MAX($C1912,BR1911)))</f>
        <v>0</v>
      </c>
      <c r="BS1912">
        <f>IF($A1912="","",IF(BO1912=1,$D1912,MIN($D1912,BS1911)))</f>
        <v>0</v>
      </c>
      <c r="BT1912">
        <f>IF($A1912="","",IF(BP1912=1,F1912,""))</f>
        <v>0</v>
      </c>
    </row>
    <row r="1913" spans="1:72">
      <c r="A1913" s="27">
        <f>IF(Data!$A1913="","",Data!$A1913)</f>
        <v>0</v>
      </c>
      <c r="B1913">
        <f>IF(Data!$B1913="","",Data!$B1913)</f>
        <v>0</v>
      </c>
      <c r="C1913">
        <f>IF(Data!$C1913="","",Data!$C1913)</f>
        <v>0</v>
      </c>
      <c r="D1913">
        <f>IF(Data!$D1913="","",Data!$D1913)</f>
        <v>0</v>
      </c>
      <c r="E1913">
        <f>IF(Data!$E1913="","",Data!$E1913)</f>
        <v>0</v>
      </c>
      <c r="F1913">
        <f>IF($E1913="","",N(F1912)+1)</f>
        <v>0</v>
      </c>
      <c r="G1913">
        <f>IF(OR($E1913="",$E1912=""),"",LN($E1913/$E1912))</f>
        <v>0</v>
      </c>
      <c r="H1913">
        <f>IF($E1913="","",IF($E1912="",$E1913,$E1913*0.0952380952+H1912*0.9047619048))</f>
        <v>0</v>
      </c>
      <c r="I1913">
        <f>IF($E1913="","",IF($E1912="",$E1913,$E1913*0.0392156863+I1912*0.9607843137))</f>
        <v>0</v>
      </c>
      <c r="J1913">
        <f>IF($E1913="","",IF($E1912="",$E1913,$E1913*0.0198019802+J1912*0.9801980198))</f>
        <v>0</v>
      </c>
      <c r="K1913">
        <f>IF($E1913="","",IF($E1912="",$E1913,$E1913*0.0099502488+K1912*0.9900497512))</f>
        <v>0</v>
      </c>
      <c r="L1913">
        <f>IF(OR($E1913="",$E1912=""),"",MAX($E1913-$E1912,0))</f>
        <v>0</v>
      </c>
      <c r="M1913">
        <f>IF(OR($E1913="",$E1912=""),"",MAX($E1912-$E1913,0))</f>
        <v>0</v>
      </c>
      <c r="N1913">
        <f>IF(COUNT($E$2:$E1913)&lt;15,"",IF(AVERAGE($M$1900:$M$1913)=0,100,100-100/(1+AVERAGE($L$1900:$L$1913)/AVERAGE($M$1900:$M$1913))))</f>
        <v>0</v>
      </c>
      <c r="O1913">
        <f>IF($E1913="","",IF($E1912="",$E1913,$E1913*0.1538461538+O1912*0.8461538462))</f>
        <v>0</v>
      </c>
      <c r="P1913">
        <f>IF($E1913="","",IF($E1912="",$E1913,$E1913*0.0740740741+P1912*0.9259259259))</f>
        <v>0</v>
      </c>
      <c r="Q1913">
        <f>IF(OR(O1913="",P1913=""),"",O1913-P1913)</f>
        <v>0</v>
      </c>
      <c r="R1913">
        <f>IF(Q1913="","",IF(R1912="",Q1913,Q1913*0.2000000000+R1912*0.8000000000))</f>
        <v>0</v>
      </c>
      <c r="S1913">
        <f>IF(OR(Q1913="",R1913=""),"",Q1913-R1913)</f>
        <v>0</v>
      </c>
      <c r="T1913">
        <f>IF(COUNT($E$2:$E1913)&lt;14,"",MAX($C$1900:$C$1913))</f>
        <v>0</v>
      </c>
      <c r="U1913">
        <f>IF(COUNT($E$2:$E1913)&lt;14,"",MIN($D$1900:$D$1913))</f>
        <v>0</v>
      </c>
      <c r="V1913">
        <f>IF(OR(T1913="",U1913="",T1913=U1913),"",100*($E1913-U1913)/(T1913-U1913))</f>
        <v>0</v>
      </c>
      <c r="W1913">
        <f>IF(COUNT($V$1911:$V$1913)&lt;3,"",AVERAGE($V$1911:$V$1913))</f>
        <v>0</v>
      </c>
      <c r="X1913">
        <f>IF(COUNT($N$1900:$N$1913)&lt;14,"",MIN($N$1900:$N$1913))</f>
        <v>0</v>
      </c>
      <c r="Y1913">
        <f>IF(COUNT($N$1900:$N$1913)&lt;14,"",MAX($N$1900:$N$1913))</f>
        <v>0</v>
      </c>
      <c r="Z1913">
        <f>IF(OR(N1913="",X1913="",Y1913="",Y1913=X1913),"",100*(N1913-X1913)/(Y1913-X1913))</f>
        <v>0</v>
      </c>
      <c r="AA1913">
        <f>IF(COUNT($Z$1911:$Z$1913)&lt;3,"",AVERAGE($Z$1911:$Z$1913))</f>
        <v>0</v>
      </c>
      <c r="AB1913">
        <f>IF(COUNT($AA$1911:$AA$1913)&lt;3,"",AVERAGE($AA$1911:$AA$1913))</f>
        <v>0</v>
      </c>
      <c r="AC1913">
        <f>IF($E1913="","",MAX($C1913-$D1913,ABS($C1913-$E1912),ABS($D1913-$E1912)))</f>
        <v>0</v>
      </c>
      <c r="AD1913">
        <f>IF(COUNT($E$2:$E1913)&lt;15,"",AVERAGE($AC$1900:$AC$1913))</f>
        <v>0</v>
      </c>
      <c r="AE1913">
        <f>IF(OR($E1913="",$E1912=""),"",IF(AND(($C1913-$C1912)&gt;($D1912-$D1913),($C1913-$C1912)&gt;0),$C1913-$C1912,0))</f>
        <v>0</v>
      </c>
      <c r="AF1913">
        <f>IF(OR($E1913="",$E1912=""),"",IF(AND(($D1912-$D1913)&gt;($C1913-$C1912),($D1912-$D1913)&gt;0),$D1912-$D1913,0))</f>
        <v>0</v>
      </c>
      <c r="AG1913">
        <f>IF(COUNT($E$2:$E1913)&lt;15,"",IF(SUM($AC$1900:$AC$1913)=0,0,100*SUM($AE$1900:$AE$1913)/SUM($AC$1900:$AC$1913)))</f>
        <v>0</v>
      </c>
      <c r="AH1913">
        <f>IF(COUNT($E$2:$E1913)&lt;15,"",IF(SUM($AC$1900:$AC$1913)=0,0,100*SUM($AF$1900:$AF$1913)/SUM($AC$1900:$AC$1913)))</f>
        <v>0</v>
      </c>
      <c r="AI1913">
        <f>IF(OR(AG1913="",AH1913=""),"",IF((AG1913+AH1913)=0,0,100*ABS(AG1913-AH1913)/(AG1913+AH1913)))</f>
        <v>0</v>
      </c>
      <c r="AJ1913">
        <f>IF(COUNT($AI$1900:$AI$1913)&lt;14,"",AVERAGE($AI$1900:$AI$1913))</f>
        <v>0</v>
      </c>
      <c r="AK1913">
        <f>IF(COUNT($E$2:$E1913)&lt;20,"",AVERAGE($E$1894:$E$1913))</f>
        <v>0</v>
      </c>
      <c r="AL1913">
        <f>IF(COUNT($E$2:$E1913)&lt;20,"",STDEVP($E$1894:$E$1913))</f>
        <v>0</v>
      </c>
      <c r="AM1913">
        <f>IF(AK1913="","",AK1913+2*AL1913)</f>
        <v>0</v>
      </c>
      <c r="AN1913">
        <f>IF(AK1913="","",AK1913-2*AL1913)</f>
        <v>0</v>
      </c>
      <c r="AO1913">
        <f>IF(OR(AM1913="",AN1913="",AM1913=AN1913),"",($E1913-AN1913)/(AM1913-AN1913))</f>
        <v>0</v>
      </c>
      <c r="AP1913">
        <f>IF(OR(AM1913="",AK1913="",AK1913=0),"",(AM1913-AN1913)/AK1913)</f>
        <v>0</v>
      </c>
      <c r="AQ1913">
        <f>IF(COUNT($E$2:$E1913)&lt;20,"",MAX($C$1894:$C$1913))</f>
        <v>0</v>
      </c>
      <c r="AR1913">
        <f>IF(COUNT($E$2:$E1913)&lt;20,"",MIN($D$1894:$D$1913))</f>
        <v>0</v>
      </c>
      <c r="AS1913">
        <f>IF(OR(AQ1913="",AR1913=""),"",(AQ1913+AR1913)/2)</f>
        <v>0</v>
      </c>
      <c r="AT1913">
        <f>IF(COUNT($G$1894:$G$1913)&lt;20,"",STDEV($G$1894:$G$1913)*SQRT(252))</f>
        <v>0</v>
      </c>
      <c r="AU1913">
        <f>IF(COUNT($E$2:$E1913)&lt;9,"",(MAX($C$1905:$C$1913)+MIN($D$1905:$D$1913))/2)</f>
        <v>0</v>
      </c>
      <c r="AV1913">
        <f>IF(COUNT($E$2:$E1913)&lt;26,"",(MAX($C$1888:$C$1913)+MIN($D$1888:$D$1913))/2)</f>
        <v>0</v>
      </c>
      <c r="AW1913">
        <f>IF(OR(AU1913="",AV1913=""),"",(AU1913+AV1913)/2)</f>
        <v>0</v>
      </c>
      <c r="AX1913">
        <f>IF(COUNT($E$2:$E1913)&lt;52,"",(MAX($C$1862:$C$1913)+MIN($D$1862:$D$1913))/2)</f>
        <v>0</v>
      </c>
      <c r="AY1913">
        <f>IF(COUNT($E$2:$E1913)&lt;20,"",MAX($C$1814:$C$1913))</f>
        <v>0</v>
      </c>
      <c r="AZ1913">
        <f>IF(COUNT($E$2:$E1913)&lt;20,"",MIN($D$1814:$D$1913))</f>
        <v>0</v>
      </c>
      <c r="BA1913">
        <f>IF(COUNT($E$2:$E1913)&lt;20,"",SLOPE($E$1814:$E$1913,$F$1814:$F$1913))</f>
        <v>0</v>
      </c>
      <c r="BB1913">
        <f>IF(COUNT($E$2:$E1913)&lt;20,"",INTERCEPT($E$1814:$E$1913,$F$1814:$F$1913))</f>
        <v>0</v>
      </c>
      <c r="BC1913">
        <f>IF(OR(BA1913="",BB1913=""),"",BB1913+BA1913*F1913)</f>
        <v>0</v>
      </c>
      <c r="BD1913">
        <f>IF(COUNT($E$2:$E1913)&lt;20,"",STEYX($E$1814:$E$1913,$F$1814:$F$1913))</f>
        <v>0</v>
      </c>
      <c r="BE1913">
        <f>IF($E1913="","",IF(AND(COUNT($E$1914:$E$1917)&gt;=4,$C1913=MAX($C$1909:$C$1917)),$C1913,""))</f>
        <v>0</v>
      </c>
      <c r="BF1913">
        <f>IF($E1913="","",IF(AND(COUNT($E$1914:$E$1917)&gt;=4,$D1913=MIN($D$1909:$D$1917)),$D1913,""))</f>
        <v>0</v>
      </c>
      <c r="BG1913">
        <f>IF($A1913="","",$A1913-WEEKDAY($A1913,2)+1)</f>
        <v>0</v>
      </c>
      <c r="BH1913">
        <f>IF($A1913="","",IF($A1912="",1,IF(BG1913&lt;&gt;BG1912,1,0)))</f>
        <v>0</v>
      </c>
      <c r="BI1913">
        <f>IF($A1913="","",IF($A1914="",1,IF(BG1914&lt;&gt;BG1913,1,0)))</f>
        <v>0</v>
      </c>
      <c r="BJ1913">
        <f>IF($A1913="","",IF(BH1913=1,$B1913,BJ1912))</f>
        <v>0</v>
      </c>
      <c r="BK1913">
        <f>IF($A1913="","",IF(BH1913=1,$C1913,MAX($C1913,BK1912)))</f>
        <v>0</v>
      </c>
      <c r="BL1913">
        <f>IF($A1913="","",IF(BH1913=1,$D1913,MIN($D1913,BL1912)))</f>
        <v>0</v>
      </c>
      <c r="BM1913">
        <f>IF($A1913="","",IF(BI1913=1,F1913,""))</f>
        <v>0</v>
      </c>
      <c r="BN1913">
        <f>IF($A1913="","",DATE(YEAR($A1913),MONTH($A1913),1))</f>
        <v>0</v>
      </c>
      <c r="BO1913">
        <f>IF($A1913="","",IF($A1912="",1,IF(BN1913&lt;&gt;BN1912,1,0)))</f>
        <v>0</v>
      </c>
      <c r="BP1913">
        <f>IF($A1913="","",IF($A1914="",1,IF(BN1914&lt;&gt;BN1913,1,0)))</f>
        <v>0</v>
      </c>
      <c r="BQ1913">
        <f>IF($A1913="","",IF(BO1913=1,$B1913,BQ1912))</f>
        <v>0</v>
      </c>
      <c r="BR1913">
        <f>IF($A1913="","",IF(BO1913=1,$C1913,MAX($C1913,BR1912)))</f>
        <v>0</v>
      </c>
      <c r="BS1913">
        <f>IF($A1913="","",IF(BO1913=1,$D1913,MIN($D1913,BS1912)))</f>
        <v>0</v>
      </c>
      <c r="BT1913">
        <f>IF($A1913="","",IF(BP1913=1,F1913,""))</f>
        <v>0</v>
      </c>
    </row>
    <row r="1914" spans="1:72">
      <c r="A1914" s="27">
        <f>IF(Data!$A1914="","",Data!$A1914)</f>
        <v>0</v>
      </c>
      <c r="B1914">
        <f>IF(Data!$B1914="","",Data!$B1914)</f>
        <v>0</v>
      </c>
      <c r="C1914">
        <f>IF(Data!$C1914="","",Data!$C1914)</f>
        <v>0</v>
      </c>
      <c r="D1914">
        <f>IF(Data!$D1914="","",Data!$D1914)</f>
        <v>0</v>
      </c>
      <c r="E1914">
        <f>IF(Data!$E1914="","",Data!$E1914)</f>
        <v>0</v>
      </c>
      <c r="F1914">
        <f>IF($E1914="","",N(F1913)+1)</f>
        <v>0</v>
      </c>
      <c r="G1914">
        <f>IF(OR($E1914="",$E1913=""),"",LN($E1914/$E1913))</f>
        <v>0</v>
      </c>
      <c r="H1914">
        <f>IF($E1914="","",IF($E1913="",$E1914,$E1914*0.0952380952+H1913*0.9047619048))</f>
        <v>0</v>
      </c>
      <c r="I1914">
        <f>IF($E1914="","",IF($E1913="",$E1914,$E1914*0.0392156863+I1913*0.9607843137))</f>
        <v>0</v>
      </c>
      <c r="J1914">
        <f>IF($E1914="","",IF($E1913="",$E1914,$E1914*0.0198019802+J1913*0.9801980198))</f>
        <v>0</v>
      </c>
      <c r="K1914">
        <f>IF($E1914="","",IF($E1913="",$E1914,$E1914*0.0099502488+K1913*0.9900497512))</f>
        <v>0</v>
      </c>
      <c r="L1914">
        <f>IF(OR($E1914="",$E1913=""),"",MAX($E1914-$E1913,0))</f>
        <v>0</v>
      </c>
      <c r="M1914">
        <f>IF(OR($E1914="",$E1913=""),"",MAX($E1913-$E1914,0))</f>
        <v>0</v>
      </c>
      <c r="N1914">
        <f>IF(COUNT($E$2:$E1914)&lt;15,"",IF(AVERAGE($M$1901:$M$1914)=0,100,100-100/(1+AVERAGE($L$1901:$L$1914)/AVERAGE($M$1901:$M$1914))))</f>
        <v>0</v>
      </c>
      <c r="O1914">
        <f>IF($E1914="","",IF($E1913="",$E1914,$E1914*0.1538461538+O1913*0.8461538462))</f>
        <v>0</v>
      </c>
      <c r="P1914">
        <f>IF($E1914="","",IF($E1913="",$E1914,$E1914*0.0740740741+P1913*0.9259259259))</f>
        <v>0</v>
      </c>
      <c r="Q1914">
        <f>IF(OR(O1914="",P1914=""),"",O1914-P1914)</f>
        <v>0</v>
      </c>
      <c r="R1914">
        <f>IF(Q1914="","",IF(R1913="",Q1914,Q1914*0.2000000000+R1913*0.8000000000))</f>
        <v>0</v>
      </c>
      <c r="S1914">
        <f>IF(OR(Q1914="",R1914=""),"",Q1914-R1914)</f>
        <v>0</v>
      </c>
      <c r="T1914">
        <f>IF(COUNT($E$2:$E1914)&lt;14,"",MAX($C$1901:$C$1914))</f>
        <v>0</v>
      </c>
      <c r="U1914">
        <f>IF(COUNT($E$2:$E1914)&lt;14,"",MIN($D$1901:$D$1914))</f>
        <v>0</v>
      </c>
      <c r="V1914">
        <f>IF(OR(T1914="",U1914="",T1914=U1914),"",100*($E1914-U1914)/(T1914-U1914))</f>
        <v>0</v>
      </c>
      <c r="W1914">
        <f>IF(COUNT($V$1912:$V$1914)&lt;3,"",AVERAGE($V$1912:$V$1914))</f>
        <v>0</v>
      </c>
      <c r="X1914">
        <f>IF(COUNT($N$1901:$N$1914)&lt;14,"",MIN($N$1901:$N$1914))</f>
        <v>0</v>
      </c>
      <c r="Y1914">
        <f>IF(COUNT($N$1901:$N$1914)&lt;14,"",MAX($N$1901:$N$1914))</f>
        <v>0</v>
      </c>
      <c r="Z1914">
        <f>IF(OR(N1914="",X1914="",Y1914="",Y1914=X1914),"",100*(N1914-X1914)/(Y1914-X1914))</f>
        <v>0</v>
      </c>
      <c r="AA1914">
        <f>IF(COUNT($Z$1912:$Z$1914)&lt;3,"",AVERAGE($Z$1912:$Z$1914))</f>
        <v>0</v>
      </c>
      <c r="AB1914">
        <f>IF(COUNT($AA$1912:$AA$1914)&lt;3,"",AVERAGE($AA$1912:$AA$1914))</f>
        <v>0</v>
      </c>
      <c r="AC1914">
        <f>IF($E1914="","",MAX($C1914-$D1914,ABS($C1914-$E1913),ABS($D1914-$E1913)))</f>
        <v>0</v>
      </c>
      <c r="AD1914">
        <f>IF(COUNT($E$2:$E1914)&lt;15,"",AVERAGE($AC$1901:$AC$1914))</f>
        <v>0</v>
      </c>
      <c r="AE1914">
        <f>IF(OR($E1914="",$E1913=""),"",IF(AND(($C1914-$C1913)&gt;($D1913-$D1914),($C1914-$C1913)&gt;0),$C1914-$C1913,0))</f>
        <v>0</v>
      </c>
      <c r="AF1914">
        <f>IF(OR($E1914="",$E1913=""),"",IF(AND(($D1913-$D1914)&gt;($C1914-$C1913),($D1913-$D1914)&gt;0),$D1913-$D1914,0))</f>
        <v>0</v>
      </c>
      <c r="AG1914">
        <f>IF(COUNT($E$2:$E1914)&lt;15,"",IF(SUM($AC$1901:$AC$1914)=0,0,100*SUM($AE$1901:$AE$1914)/SUM($AC$1901:$AC$1914)))</f>
        <v>0</v>
      </c>
      <c r="AH1914">
        <f>IF(COUNT($E$2:$E1914)&lt;15,"",IF(SUM($AC$1901:$AC$1914)=0,0,100*SUM($AF$1901:$AF$1914)/SUM($AC$1901:$AC$1914)))</f>
        <v>0</v>
      </c>
      <c r="AI1914">
        <f>IF(OR(AG1914="",AH1914=""),"",IF((AG1914+AH1914)=0,0,100*ABS(AG1914-AH1914)/(AG1914+AH1914)))</f>
        <v>0</v>
      </c>
      <c r="AJ1914">
        <f>IF(COUNT($AI$1901:$AI$1914)&lt;14,"",AVERAGE($AI$1901:$AI$1914))</f>
        <v>0</v>
      </c>
      <c r="AK1914">
        <f>IF(COUNT($E$2:$E1914)&lt;20,"",AVERAGE($E$1895:$E$1914))</f>
        <v>0</v>
      </c>
      <c r="AL1914">
        <f>IF(COUNT($E$2:$E1914)&lt;20,"",STDEVP($E$1895:$E$1914))</f>
        <v>0</v>
      </c>
      <c r="AM1914">
        <f>IF(AK1914="","",AK1914+2*AL1914)</f>
        <v>0</v>
      </c>
      <c r="AN1914">
        <f>IF(AK1914="","",AK1914-2*AL1914)</f>
        <v>0</v>
      </c>
      <c r="AO1914">
        <f>IF(OR(AM1914="",AN1914="",AM1914=AN1914),"",($E1914-AN1914)/(AM1914-AN1914))</f>
        <v>0</v>
      </c>
      <c r="AP1914">
        <f>IF(OR(AM1914="",AK1914="",AK1914=0),"",(AM1914-AN1914)/AK1914)</f>
        <v>0</v>
      </c>
      <c r="AQ1914">
        <f>IF(COUNT($E$2:$E1914)&lt;20,"",MAX($C$1895:$C$1914))</f>
        <v>0</v>
      </c>
      <c r="AR1914">
        <f>IF(COUNT($E$2:$E1914)&lt;20,"",MIN($D$1895:$D$1914))</f>
        <v>0</v>
      </c>
      <c r="AS1914">
        <f>IF(OR(AQ1914="",AR1914=""),"",(AQ1914+AR1914)/2)</f>
        <v>0</v>
      </c>
      <c r="AT1914">
        <f>IF(COUNT($G$1895:$G$1914)&lt;20,"",STDEV($G$1895:$G$1914)*SQRT(252))</f>
        <v>0</v>
      </c>
      <c r="AU1914">
        <f>IF(COUNT($E$2:$E1914)&lt;9,"",(MAX($C$1906:$C$1914)+MIN($D$1906:$D$1914))/2)</f>
        <v>0</v>
      </c>
      <c r="AV1914">
        <f>IF(COUNT($E$2:$E1914)&lt;26,"",(MAX($C$1889:$C$1914)+MIN($D$1889:$D$1914))/2)</f>
        <v>0</v>
      </c>
      <c r="AW1914">
        <f>IF(OR(AU1914="",AV1914=""),"",(AU1914+AV1914)/2)</f>
        <v>0</v>
      </c>
      <c r="AX1914">
        <f>IF(COUNT($E$2:$E1914)&lt;52,"",(MAX($C$1863:$C$1914)+MIN($D$1863:$D$1914))/2)</f>
        <v>0</v>
      </c>
      <c r="AY1914">
        <f>IF(COUNT($E$2:$E1914)&lt;20,"",MAX($C$1815:$C$1914))</f>
        <v>0</v>
      </c>
      <c r="AZ1914">
        <f>IF(COUNT($E$2:$E1914)&lt;20,"",MIN($D$1815:$D$1914))</f>
        <v>0</v>
      </c>
      <c r="BA1914">
        <f>IF(COUNT($E$2:$E1914)&lt;20,"",SLOPE($E$1815:$E$1914,$F$1815:$F$1914))</f>
        <v>0</v>
      </c>
      <c r="BB1914">
        <f>IF(COUNT($E$2:$E1914)&lt;20,"",INTERCEPT($E$1815:$E$1914,$F$1815:$F$1914))</f>
        <v>0</v>
      </c>
      <c r="BC1914">
        <f>IF(OR(BA1914="",BB1914=""),"",BB1914+BA1914*F1914)</f>
        <v>0</v>
      </c>
      <c r="BD1914">
        <f>IF(COUNT($E$2:$E1914)&lt;20,"",STEYX($E$1815:$E$1914,$F$1815:$F$1914))</f>
        <v>0</v>
      </c>
      <c r="BE1914">
        <f>IF($E1914="","",IF(AND(COUNT($E$1915:$E$1918)&gt;=4,$C1914=MAX($C$1910:$C$1918)),$C1914,""))</f>
        <v>0</v>
      </c>
      <c r="BF1914">
        <f>IF($E1914="","",IF(AND(COUNT($E$1915:$E$1918)&gt;=4,$D1914=MIN($D$1910:$D$1918)),$D1914,""))</f>
        <v>0</v>
      </c>
      <c r="BG1914">
        <f>IF($A1914="","",$A1914-WEEKDAY($A1914,2)+1)</f>
        <v>0</v>
      </c>
      <c r="BH1914">
        <f>IF($A1914="","",IF($A1913="",1,IF(BG1914&lt;&gt;BG1913,1,0)))</f>
        <v>0</v>
      </c>
      <c r="BI1914">
        <f>IF($A1914="","",IF($A1915="",1,IF(BG1915&lt;&gt;BG1914,1,0)))</f>
        <v>0</v>
      </c>
      <c r="BJ1914">
        <f>IF($A1914="","",IF(BH1914=1,$B1914,BJ1913))</f>
        <v>0</v>
      </c>
      <c r="BK1914">
        <f>IF($A1914="","",IF(BH1914=1,$C1914,MAX($C1914,BK1913)))</f>
        <v>0</v>
      </c>
      <c r="BL1914">
        <f>IF($A1914="","",IF(BH1914=1,$D1914,MIN($D1914,BL1913)))</f>
        <v>0</v>
      </c>
      <c r="BM1914">
        <f>IF($A1914="","",IF(BI1914=1,F1914,""))</f>
        <v>0</v>
      </c>
      <c r="BN1914">
        <f>IF($A1914="","",DATE(YEAR($A1914),MONTH($A1914),1))</f>
        <v>0</v>
      </c>
      <c r="BO1914">
        <f>IF($A1914="","",IF($A1913="",1,IF(BN1914&lt;&gt;BN1913,1,0)))</f>
        <v>0</v>
      </c>
      <c r="BP1914">
        <f>IF($A1914="","",IF($A1915="",1,IF(BN1915&lt;&gt;BN1914,1,0)))</f>
        <v>0</v>
      </c>
      <c r="BQ1914">
        <f>IF($A1914="","",IF(BO1914=1,$B1914,BQ1913))</f>
        <v>0</v>
      </c>
      <c r="BR1914">
        <f>IF($A1914="","",IF(BO1914=1,$C1914,MAX($C1914,BR1913)))</f>
        <v>0</v>
      </c>
      <c r="BS1914">
        <f>IF($A1914="","",IF(BO1914=1,$D1914,MIN($D1914,BS1913)))</f>
        <v>0</v>
      </c>
      <c r="BT1914">
        <f>IF($A1914="","",IF(BP1914=1,F1914,""))</f>
        <v>0</v>
      </c>
    </row>
    <row r="1915" spans="1:72">
      <c r="A1915" s="27">
        <f>IF(Data!$A1915="","",Data!$A1915)</f>
        <v>0</v>
      </c>
      <c r="B1915">
        <f>IF(Data!$B1915="","",Data!$B1915)</f>
        <v>0</v>
      </c>
      <c r="C1915">
        <f>IF(Data!$C1915="","",Data!$C1915)</f>
        <v>0</v>
      </c>
      <c r="D1915">
        <f>IF(Data!$D1915="","",Data!$D1915)</f>
        <v>0</v>
      </c>
      <c r="E1915">
        <f>IF(Data!$E1915="","",Data!$E1915)</f>
        <v>0</v>
      </c>
      <c r="F1915">
        <f>IF($E1915="","",N(F1914)+1)</f>
        <v>0</v>
      </c>
      <c r="G1915">
        <f>IF(OR($E1915="",$E1914=""),"",LN($E1915/$E1914))</f>
        <v>0</v>
      </c>
      <c r="H1915">
        <f>IF($E1915="","",IF($E1914="",$E1915,$E1915*0.0952380952+H1914*0.9047619048))</f>
        <v>0</v>
      </c>
      <c r="I1915">
        <f>IF($E1915="","",IF($E1914="",$E1915,$E1915*0.0392156863+I1914*0.9607843137))</f>
        <v>0</v>
      </c>
      <c r="J1915">
        <f>IF($E1915="","",IF($E1914="",$E1915,$E1915*0.0198019802+J1914*0.9801980198))</f>
        <v>0</v>
      </c>
      <c r="K1915">
        <f>IF($E1915="","",IF($E1914="",$E1915,$E1915*0.0099502488+K1914*0.9900497512))</f>
        <v>0</v>
      </c>
      <c r="L1915">
        <f>IF(OR($E1915="",$E1914=""),"",MAX($E1915-$E1914,0))</f>
        <v>0</v>
      </c>
      <c r="M1915">
        <f>IF(OR($E1915="",$E1914=""),"",MAX($E1914-$E1915,0))</f>
        <v>0</v>
      </c>
      <c r="N1915">
        <f>IF(COUNT($E$2:$E1915)&lt;15,"",IF(AVERAGE($M$1902:$M$1915)=0,100,100-100/(1+AVERAGE($L$1902:$L$1915)/AVERAGE($M$1902:$M$1915))))</f>
        <v>0</v>
      </c>
      <c r="O1915">
        <f>IF($E1915="","",IF($E1914="",$E1915,$E1915*0.1538461538+O1914*0.8461538462))</f>
        <v>0</v>
      </c>
      <c r="P1915">
        <f>IF($E1915="","",IF($E1914="",$E1915,$E1915*0.0740740741+P1914*0.9259259259))</f>
        <v>0</v>
      </c>
      <c r="Q1915">
        <f>IF(OR(O1915="",P1915=""),"",O1915-P1915)</f>
        <v>0</v>
      </c>
      <c r="R1915">
        <f>IF(Q1915="","",IF(R1914="",Q1915,Q1915*0.2000000000+R1914*0.8000000000))</f>
        <v>0</v>
      </c>
      <c r="S1915">
        <f>IF(OR(Q1915="",R1915=""),"",Q1915-R1915)</f>
        <v>0</v>
      </c>
      <c r="T1915">
        <f>IF(COUNT($E$2:$E1915)&lt;14,"",MAX($C$1902:$C$1915))</f>
        <v>0</v>
      </c>
      <c r="U1915">
        <f>IF(COUNT($E$2:$E1915)&lt;14,"",MIN($D$1902:$D$1915))</f>
        <v>0</v>
      </c>
      <c r="V1915">
        <f>IF(OR(T1915="",U1915="",T1915=U1915),"",100*($E1915-U1915)/(T1915-U1915))</f>
        <v>0</v>
      </c>
      <c r="W1915">
        <f>IF(COUNT($V$1913:$V$1915)&lt;3,"",AVERAGE($V$1913:$V$1915))</f>
        <v>0</v>
      </c>
      <c r="X1915">
        <f>IF(COUNT($N$1902:$N$1915)&lt;14,"",MIN($N$1902:$N$1915))</f>
        <v>0</v>
      </c>
      <c r="Y1915">
        <f>IF(COUNT($N$1902:$N$1915)&lt;14,"",MAX($N$1902:$N$1915))</f>
        <v>0</v>
      </c>
      <c r="Z1915">
        <f>IF(OR(N1915="",X1915="",Y1915="",Y1915=X1915),"",100*(N1915-X1915)/(Y1915-X1915))</f>
        <v>0</v>
      </c>
      <c r="AA1915">
        <f>IF(COUNT($Z$1913:$Z$1915)&lt;3,"",AVERAGE($Z$1913:$Z$1915))</f>
        <v>0</v>
      </c>
      <c r="AB1915">
        <f>IF(COUNT($AA$1913:$AA$1915)&lt;3,"",AVERAGE($AA$1913:$AA$1915))</f>
        <v>0</v>
      </c>
      <c r="AC1915">
        <f>IF($E1915="","",MAX($C1915-$D1915,ABS($C1915-$E1914),ABS($D1915-$E1914)))</f>
        <v>0</v>
      </c>
      <c r="AD1915">
        <f>IF(COUNT($E$2:$E1915)&lt;15,"",AVERAGE($AC$1902:$AC$1915))</f>
        <v>0</v>
      </c>
      <c r="AE1915">
        <f>IF(OR($E1915="",$E1914=""),"",IF(AND(($C1915-$C1914)&gt;($D1914-$D1915),($C1915-$C1914)&gt;0),$C1915-$C1914,0))</f>
        <v>0</v>
      </c>
      <c r="AF1915">
        <f>IF(OR($E1915="",$E1914=""),"",IF(AND(($D1914-$D1915)&gt;($C1915-$C1914),($D1914-$D1915)&gt;0),$D1914-$D1915,0))</f>
        <v>0</v>
      </c>
      <c r="AG1915">
        <f>IF(COUNT($E$2:$E1915)&lt;15,"",IF(SUM($AC$1902:$AC$1915)=0,0,100*SUM($AE$1902:$AE$1915)/SUM($AC$1902:$AC$1915)))</f>
        <v>0</v>
      </c>
      <c r="AH1915">
        <f>IF(COUNT($E$2:$E1915)&lt;15,"",IF(SUM($AC$1902:$AC$1915)=0,0,100*SUM($AF$1902:$AF$1915)/SUM($AC$1902:$AC$1915)))</f>
        <v>0</v>
      </c>
      <c r="AI1915">
        <f>IF(OR(AG1915="",AH1915=""),"",IF((AG1915+AH1915)=0,0,100*ABS(AG1915-AH1915)/(AG1915+AH1915)))</f>
        <v>0</v>
      </c>
      <c r="AJ1915">
        <f>IF(COUNT($AI$1902:$AI$1915)&lt;14,"",AVERAGE($AI$1902:$AI$1915))</f>
        <v>0</v>
      </c>
      <c r="AK1915">
        <f>IF(COUNT($E$2:$E1915)&lt;20,"",AVERAGE($E$1896:$E$1915))</f>
        <v>0</v>
      </c>
      <c r="AL1915">
        <f>IF(COUNT($E$2:$E1915)&lt;20,"",STDEVP($E$1896:$E$1915))</f>
        <v>0</v>
      </c>
      <c r="AM1915">
        <f>IF(AK1915="","",AK1915+2*AL1915)</f>
        <v>0</v>
      </c>
      <c r="AN1915">
        <f>IF(AK1915="","",AK1915-2*AL1915)</f>
        <v>0</v>
      </c>
      <c r="AO1915">
        <f>IF(OR(AM1915="",AN1915="",AM1915=AN1915),"",($E1915-AN1915)/(AM1915-AN1915))</f>
        <v>0</v>
      </c>
      <c r="AP1915">
        <f>IF(OR(AM1915="",AK1915="",AK1915=0),"",(AM1915-AN1915)/AK1915)</f>
        <v>0</v>
      </c>
      <c r="AQ1915">
        <f>IF(COUNT($E$2:$E1915)&lt;20,"",MAX($C$1896:$C$1915))</f>
        <v>0</v>
      </c>
      <c r="AR1915">
        <f>IF(COUNT($E$2:$E1915)&lt;20,"",MIN($D$1896:$D$1915))</f>
        <v>0</v>
      </c>
      <c r="AS1915">
        <f>IF(OR(AQ1915="",AR1915=""),"",(AQ1915+AR1915)/2)</f>
        <v>0</v>
      </c>
      <c r="AT1915">
        <f>IF(COUNT($G$1896:$G$1915)&lt;20,"",STDEV($G$1896:$G$1915)*SQRT(252))</f>
        <v>0</v>
      </c>
      <c r="AU1915">
        <f>IF(COUNT($E$2:$E1915)&lt;9,"",(MAX($C$1907:$C$1915)+MIN($D$1907:$D$1915))/2)</f>
        <v>0</v>
      </c>
      <c r="AV1915">
        <f>IF(COUNT($E$2:$E1915)&lt;26,"",(MAX($C$1890:$C$1915)+MIN($D$1890:$D$1915))/2)</f>
        <v>0</v>
      </c>
      <c r="AW1915">
        <f>IF(OR(AU1915="",AV1915=""),"",(AU1915+AV1915)/2)</f>
        <v>0</v>
      </c>
      <c r="AX1915">
        <f>IF(COUNT($E$2:$E1915)&lt;52,"",(MAX($C$1864:$C$1915)+MIN($D$1864:$D$1915))/2)</f>
        <v>0</v>
      </c>
      <c r="AY1915">
        <f>IF(COUNT($E$2:$E1915)&lt;20,"",MAX($C$1816:$C$1915))</f>
        <v>0</v>
      </c>
      <c r="AZ1915">
        <f>IF(COUNT($E$2:$E1915)&lt;20,"",MIN($D$1816:$D$1915))</f>
        <v>0</v>
      </c>
      <c r="BA1915">
        <f>IF(COUNT($E$2:$E1915)&lt;20,"",SLOPE($E$1816:$E$1915,$F$1816:$F$1915))</f>
        <v>0</v>
      </c>
      <c r="BB1915">
        <f>IF(COUNT($E$2:$E1915)&lt;20,"",INTERCEPT($E$1816:$E$1915,$F$1816:$F$1915))</f>
        <v>0</v>
      </c>
      <c r="BC1915">
        <f>IF(OR(BA1915="",BB1915=""),"",BB1915+BA1915*F1915)</f>
        <v>0</v>
      </c>
      <c r="BD1915">
        <f>IF(COUNT($E$2:$E1915)&lt;20,"",STEYX($E$1816:$E$1915,$F$1816:$F$1915))</f>
        <v>0</v>
      </c>
      <c r="BE1915">
        <f>IF($E1915="","",IF(AND(COUNT($E$1916:$E$1919)&gt;=4,$C1915=MAX($C$1911:$C$1919)),$C1915,""))</f>
        <v>0</v>
      </c>
      <c r="BF1915">
        <f>IF($E1915="","",IF(AND(COUNT($E$1916:$E$1919)&gt;=4,$D1915=MIN($D$1911:$D$1919)),$D1915,""))</f>
        <v>0</v>
      </c>
      <c r="BG1915">
        <f>IF($A1915="","",$A1915-WEEKDAY($A1915,2)+1)</f>
        <v>0</v>
      </c>
      <c r="BH1915">
        <f>IF($A1915="","",IF($A1914="",1,IF(BG1915&lt;&gt;BG1914,1,0)))</f>
        <v>0</v>
      </c>
      <c r="BI1915">
        <f>IF($A1915="","",IF($A1916="",1,IF(BG1916&lt;&gt;BG1915,1,0)))</f>
        <v>0</v>
      </c>
      <c r="BJ1915">
        <f>IF($A1915="","",IF(BH1915=1,$B1915,BJ1914))</f>
        <v>0</v>
      </c>
      <c r="BK1915">
        <f>IF($A1915="","",IF(BH1915=1,$C1915,MAX($C1915,BK1914)))</f>
        <v>0</v>
      </c>
      <c r="BL1915">
        <f>IF($A1915="","",IF(BH1915=1,$D1915,MIN($D1915,BL1914)))</f>
        <v>0</v>
      </c>
      <c r="BM1915">
        <f>IF($A1915="","",IF(BI1915=1,F1915,""))</f>
        <v>0</v>
      </c>
      <c r="BN1915">
        <f>IF($A1915="","",DATE(YEAR($A1915),MONTH($A1915),1))</f>
        <v>0</v>
      </c>
      <c r="BO1915">
        <f>IF($A1915="","",IF($A1914="",1,IF(BN1915&lt;&gt;BN1914,1,0)))</f>
        <v>0</v>
      </c>
      <c r="BP1915">
        <f>IF($A1915="","",IF($A1916="",1,IF(BN1916&lt;&gt;BN1915,1,0)))</f>
        <v>0</v>
      </c>
      <c r="BQ1915">
        <f>IF($A1915="","",IF(BO1915=1,$B1915,BQ1914))</f>
        <v>0</v>
      </c>
      <c r="BR1915">
        <f>IF($A1915="","",IF(BO1915=1,$C1915,MAX($C1915,BR1914)))</f>
        <v>0</v>
      </c>
      <c r="BS1915">
        <f>IF($A1915="","",IF(BO1915=1,$D1915,MIN($D1915,BS1914)))</f>
        <v>0</v>
      </c>
      <c r="BT1915">
        <f>IF($A1915="","",IF(BP1915=1,F1915,""))</f>
        <v>0</v>
      </c>
    </row>
    <row r="1916" spans="1:72">
      <c r="A1916" s="27">
        <f>IF(Data!$A1916="","",Data!$A1916)</f>
        <v>0</v>
      </c>
      <c r="B1916">
        <f>IF(Data!$B1916="","",Data!$B1916)</f>
        <v>0</v>
      </c>
      <c r="C1916">
        <f>IF(Data!$C1916="","",Data!$C1916)</f>
        <v>0</v>
      </c>
      <c r="D1916">
        <f>IF(Data!$D1916="","",Data!$D1916)</f>
        <v>0</v>
      </c>
      <c r="E1916">
        <f>IF(Data!$E1916="","",Data!$E1916)</f>
        <v>0</v>
      </c>
      <c r="F1916">
        <f>IF($E1916="","",N(F1915)+1)</f>
        <v>0</v>
      </c>
      <c r="G1916">
        <f>IF(OR($E1916="",$E1915=""),"",LN($E1916/$E1915))</f>
        <v>0</v>
      </c>
      <c r="H1916">
        <f>IF($E1916="","",IF($E1915="",$E1916,$E1916*0.0952380952+H1915*0.9047619048))</f>
        <v>0</v>
      </c>
      <c r="I1916">
        <f>IF($E1916="","",IF($E1915="",$E1916,$E1916*0.0392156863+I1915*0.9607843137))</f>
        <v>0</v>
      </c>
      <c r="J1916">
        <f>IF($E1916="","",IF($E1915="",$E1916,$E1916*0.0198019802+J1915*0.9801980198))</f>
        <v>0</v>
      </c>
      <c r="K1916">
        <f>IF($E1916="","",IF($E1915="",$E1916,$E1916*0.0099502488+K1915*0.9900497512))</f>
        <v>0</v>
      </c>
      <c r="L1916">
        <f>IF(OR($E1916="",$E1915=""),"",MAX($E1916-$E1915,0))</f>
        <v>0</v>
      </c>
      <c r="M1916">
        <f>IF(OR($E1916="",$E1915=""),"",MAX($E1915-$E1916,0))</f>
        <v>0</v>
      </c>
      <c r="N1916">
        <f>IF(COUNT($E$2:$E1916)&lt;15,"",IF(AVERAGE($M$1903:$M$1916)=0,100,100-100/(1+AVERAGE($L$1903:$L$1916)/AVERAGE($M$1903:$M$1916))))</f>
        <v>0</v>
      </c>
      <c r="O1916">
        <f>IF($E1916="","",IF($E1915="",$E1916,$E1916*0.1538461538+O1915*0.8461538462))</f>
        <v>0</v>
      </c>
      <c r="P1916">
        <f>IF($E1916="","",IF($E1915="",$E1916,$E1916*0.0740740741+P1915*0.9259259259))</f>
        <v>0</v>
      </c>
      <c r="Q1916">
        <f>IF(OR(O1916="",P1916=""),"",O1916-P1916)</f>
        <v>0</v>
      </c>
      <c r="R1916">
        <f>IF(Q1916="","",IF(R1915="",Q1916,Q1916*0.2000000000+R1915*0.8000000000))</f>
        <v>0</v>
      </c>
      <c r="S1916">
        <f>IF(OR(Q1916="",R1916=""),"",Q1916-R1916)</f>
        <v>0</v>
      </c>
      <c r="T1916">
        <f>IF(COUNT($E$2:$E1916)&lt;14,"",MAX($C$1903:$C$1916))</f>
        <v>0</v>
      </c>
      <c r="U1916">
        <f>IF(COUNT($E$2:$E1916)&lt;14,"",MIN($D$1903:$D$1916))</f>
        <v>0</v>
      </c>
      <c r="V1916">
        <f>IF(OR(T1916="",U1916="",T1916=U1916),"",100*($E1916-U1916)/(T1916-U1916))</f>
        <v>0</v>
      </c>
      <c r="W1916">
        <f>IF(COUNT($V$1914:$V$1916)&lt;3,"",AVERAGE($V$1914:$V$1916))</f>
        <v>0</v>
      </c>
      <c r="X1916">
        <f>IF(COUNT($N$1903:$N$1916)&lt;14,"",MIN($N$1903:$N$1916))</f>
        <v>0</v>
      </c>
      <c r="Y1916">
        <f>IF(COUNT($N$1903:$N$1916)&lt;14,"",MAX($N$1903:$N$1916))</f>
        <v>0</v>
      </c>
      <c r="Z1916">
        <f>IF(OR(N1916="",X1916="",Y1916="",Y1916=X1916),"",100*(N1916-X1916)/(Y1916-X1916))</f>
        <v>0</v>
      </c>
      <c r="AA1916">
        <f>IF(COUNT($Z$1914:$Z$1916)&lt;3,"",AVERAGE($Z$1914:$Z$1916))</f>
        <v>0</v>
      </c>
      <c r="AB1916">
        <f>IF(COUNT($AA$1914:$AA$1916)&lt;3,"",AVERAGE($AA$1914:$AA$1916))</f>
        <v>0</v>
      </c>
      <c r="AC1916">
        <f>IF($E1916="","",MAX($C1916-$D1916,ABS($C1916-$E1915),ABS($D1916-$E1915)))</f>
        <v>0</v>
      </c>
      <c r="AD1916">
        <f>IF(COUNT($E$2:$E1916)&lt;15,"",AVERAGE($AC$1903:$AC$1916))</f>
        <v>0</v>
      </c>
      <c r="AE1916">
        <f>IF(OR($E1916="",$E1915=""),"",IF(AND(($C1916-$C1915)&gt;($D1915-$D1916),($C1916-$C1915)&gt;0),$C1916-$C1915,0))</f>
        <v>0</v>
      </c>
      <c r="AF1916">
        <f>IF(OR($E1916="",$E1915=""),"",IF(AND(($D1915-$D1916)&gt;($C1916-$C1915),($D1915-$D1916)&gt;0),$D1915-$D1916,0))</f>
        <v>0</v>
      </c>
      <c r="AG1916">
        <f>IF(COUNT($E$2:$E1916)&lt;15,"",IF(SUM($AC$1903:$AC$1916)=0,0,100*SUM($AE$1903:$AE$1916)/SUM($AC$1903:$AC$1916)))</f>
        <v>0</v>
      </c>
      <c r="AH1916">
        <f>IF(COUNT($E$2:$E1916)&lt;15,"",IF(SUM($AC$1903:$AC$1916)=0,0,100*SUM($AF$1903:$AF$1916)/SUM($AC$1903:$AC$1916)))</f>
        <v>0</v>
      </c>
      <c r="AI1916">
        <f>IF(OR(AG1916="",AH1916=""),"",IF((AG1916+AH1916)=0,0,100*ABS(AG1916-AH1916)/(AG1916+AH1916)))</f>
        <v>0</v>
      </c>
      <c r="AJ1916">
        <f>IF(COUNT($AI$1903:$AI$1916)&lt;14,"",AVERAGE($AI$1903:$AI$1916))</f>
        <v>0</v>
      </c>
      <c r="AK1916">
        <f>IF(COUNT($E$2:$E1916)&lt;20,"",AVERAGE($E$1897:$E$1916))</f>
        <v>0</v>
      </c>
      <c r="AL1916">
        <f>IF(COUNT($E$2:$E1916)&lt;20,"",STDEVP($E$1897:$E$1916))</f>
        <v>0</v>
      </c>
      <c r="AM1916">
        <f>IF(AK1916="","",AK1916+2*AL1916)</f>
        <v>0</v>
      </c>
      <c r="AN1916">
        <f>IF(AK1916="","",AK1916-2*AL1916)</f>
        <v>0</v>
      </c>
      <c r="AO1916">
        <f>IF(OR(AM1916="",AN1916="",AM1916=AN1916),"",($E1916-AN1916)/(AM1916-AN1916))</f>
        <v>0</v>
      </c>
      <c r="AP1916">
        <f>IF(OR(AM1916="",AK1916="",AK1916=0),"",(AM1916-AN1916)/AK1916)</f>
        <v>0</v>
      </c>
      <c r="AQ1916">
        <f>IF(COUNT($E$2:$E1916)&lt;20,"",MAX($C$1897:$C$1916))</f>
        <v>0</v>
      </c>
      <c r="AR1916">
        <f>IF(COUNT($E$2:$E1916)&lt;20,"",MIN($D$1897:$D$1916))</f>
        <v>0</v>
      </c>
      <c r="AS1916">
        <f>IF(OR(AQ1916="",AR1916=""),"",(AQ1916+AR1916)/2)</f>
        <v>0</v>
      </c>
      <c r="AT1916">
        <f>IF(COUNT($G$1897:$G$1916)&lt;20,"",STDEV($G$1897:$G$1916)*SQRT(252))</f>
        <v>0</v>
      </c>
      <c r="AU1916">
        <f>IF(COUNT($E$2:$E1916)&lt;9,"",(MAX($C$1908:$C$1916)+MIN($D$1908:$D$1916))/2)</f>
        <v>0</v>
      </c>
      <c r="AV1916">
        <f>IF(COUNT($E$2:$E1916)&lt;26,"",(MAX($C$1891:$C$1916)+MIN($D$1891:$D$1916))/2)</f>
        <v>0</v>
      </c>
      <c r="AW1916">
        <f>IF(OR(AU1916="",AV1916=""),"",(AU1916+AV1916)/2)</f>
        <v>0</v>
      </c>
      <c r="AX1916">
        <f>IF(COUNT($E$2:$E1916)&lt;52,"",(MAX($C$1865:$C$1916)+MIN($D$1865:$D$1916))/2)</f>
        <v>0</v>
      </c>
      <c r="AY1916">
        <f>IF(COUNT($E$2:$E1916)&lt;20,"",MAX($C$1817:$C$1916))</f>
        <v>0</v>
      </c>
      <c r="AZ1916">
        <f>IF(COUNT($E$2:$E1916)&lt;20,"",MIN($D$1817:$D$1916))</f>
        <v>0</v>
      </c>
      <c r="BA1916">
        <f>IF(COUNT($E$2:$E1916)&lt;20,"",SLOPE($E$1817:$E$1916,$F$1817:$F$1916))</f>
        <v>0</v>
      </c>
      <c r="BB1916">
        <f>IF(COUNT($E$2:$E1916)&lt;20,"",INTERCEPT($E$1817:$E$1916,$F$1817:$F$1916))</f>
        <v>0</v>
      </c>
      <c r="BC1916">
        <f>IF(OR(BA1916="",BB1916=""),"",BB1916+BA1916*F1916)</f>
        <v>0</v>
      </c>
      <c r="BD1916">
        <f>IF(COUNT($E$2:$E1916)&lt;20,"",STEYX($E$1817:$E$1916,$F$1817:$F$1916))</f>
        <v>0</v>
      </c>
      <c r="BE1916">
        <f>IF($E1916="","",IF(AND(COUNT($E$1917:$E$1920)&gt;=4,$C1916=MAX($C$1912:$C$1920)),$C1916,""))</f>
        <v>0</v>
      </c>
      <c r="BF1916">
        <f>IF($E1916="","",IF(AND(COUNT($E$1917:$E$1920)&gt;=4,$D1916=MIN($D$1912:$D$1920)),$D1916,""))</f>
        <v>0</v>
      </c>
      <c r="BG1916">
        <f>IF($A1916="","",$A1916-WEEKDAY($A1916,2)+1)</f>
        <v>0</v>
      </c>
      <c r="BH1916">
        <f>IF($A1916="","",IF($A1915="",1,IF(BG1916&lt;&gt;BG1915,1,0)))</f>
        <v>0</v>
      </c>
      <c r="BI1916">
        <f>IF($A1916="","",IF($A1917="",1,IF(BG1917&lt;&gt;BG1916,1,0)))</f>
        <v>0</v>
      </c>
      <c r="BJ1916">
        <f>IF($A1916="","",IF(BH1916=1,$B1916,BJ1915))</f>
        <v>0</v>
      </c>
      <c r="BK1916">
        <f>IF($A1916="","",IF(BH1916=1,$C1916,MAX($C1916,BK1915)))</f>
        <v>0</v>
      </c>
      <c r="BL1916">
        <f>IF($A1916="","",IF(BH1916=1,$D1916,MIN($D1916,BL1915)))</f>
        <v>0</v>
      </c>
      <c r="BM1916">
        <f>IF($A1916="","",IF(BI1916=1,F1916,""))</f>
        <v>0</v>
      </c>
      <c r="BN1916">
        <f>IF($A1916="","",DATE(YEAR($A1916),MONTH($A1916),1))</f>
        <v>0</v>
      </c>
      <c r="BO1916">
        <f>IF($A1916="","",IF($A1915="",1,IF(BN1916&lt;&gt;BN1915,1,0)))</f>
        <v>0</v>
      </c>
      <c r="BP1916">
        <f>IF($A1916="","",IF($A1917="",1,IF(BN1917&lt;&gt;BN1916,1,0)))</f>
        <v>0</v>
      </c>
      <c r="BQ1916">
        <f>IF($A1916="","",IF(BO1916=1,$B1916,BQ1915))</f>
        <v>0</v>
      </c>
      <c r="BR1916">
        <f>IF($A1916="","",IF(BO1916=1,$C1916,MAX($C1916,BR1915)))</f>
        <v>0</v>
      </c>
      <c r="BS1916">
        <f>IF($A1916="","",IF(BO1916=1,$D1916,MIN($D1916,BS1915)))</f>
        <v>0</v>
      </c>
      <c r="BT1916">
        <f>IF($A1916="","",IF(BP1916=1,F1916,""))</f>
        <v>0</v>
      </c>
    </row>
    <row r="1917" spans="1:72">
      <c r="A1917" s="27">
        <f>IF(Data!$A1917="","",Data!$A1917)</f>
        <v>0</v>
      </c>
      <c r="B1917">
        <f>IF(Data!$B1917="","",Data!$B1917)</f>
        <v>0</v>
      </c>
      <c r="C1917">
        <f>IF(Data!$C1917="","",Data!$C1917)</f>
        <v>0</v>
      </c>
      <c r="D1917">
        <f>IF(Data!$D1917="","",Data!$D1917)</f>
        <v>0</v>
      </c>
      <c r="E1917">
        <f>IF(Data!$E1917="","",Data!$E1917)</f>
        <v>0</v>
      </c>
      <c r="F1917">
        <f>IF($E1917="","",N(F1916)+1)</f>
        <v>0</v>
      </c>
      <c r="G1917">
        <f>IF(OR($E1917="",$E1916=""),"",LN($E1917/$E1916))</f>
        <v>0</v>
      </c>
      <c r="H1917">
        <f>IF($E1917="","",IF($E1916="",$E1917,$E1917*0.0952380952+H1916*0.9047619048))</f>
        <v>0</v>
      </c>
      <c r="I1917">
        <f>IF($E1917="","",IF($E1916="",$E1917,$E1917*0.0392156863+I1916*0.9607843137))</f>
        <v>0</v>
      </c>
      <c r="J1917">
        <f>IF($E1917="","",IF($E1916="",$E1917,$E1917*0.0198019802+J1916*0.9801980198))</f>
        <v>0</v>
      </c>
      <c r="K1917">
        <f>IF($E1917="","",IF($E1916="",$E1917,$E1917*0.0099502488+K1916*0.9900497512))</f>
        <v>0</v>
      </c>
      <c r="L1917">
        <f>IF(OR($E1917="",$E1916=""),"",MAX($E1917-$E1916,0))</f>
        <v>0</v>
      </c>
      <c r="M1917">
        <f>IF(OR($E1917="",$E1916=""),"",MAX($E1916-$E1917,0))</f>
        <v>0</v>
      </c>
      <c r="N1917">
        <f>IF(COUNT($E$2:$E1917)&lt;15,"",IF(AVERAGE($M$1904:$M$1917)=0,100,100-100/(1+AVERAGE($L$1904:$L$1917)/AVERAGE($M$1904:$M$1917))))</f>
        <v>0</v>
      </c>
      <c r="O1917">
        <f>IF($E1917="","",IF($E1916="",$E1917,$E1917*0.1538461538+O1916*0.8461538462))</f>
        <v>0</v>
      </c>
      <c r="P1917">
        <f>IF($E1917="","",IF($E1916="",$E1917,$E1917*0.0740740741+P1916*0.9259259259))</f>
        <v>0</v>
      </c>
      <c r="Q1917">
        <f>IF(OR(O1917="",P1917=""),"",O1917-P1917)</f>
        <v>0</v>
      </c>
      <c r="R1917">
        <f>IF(Q1917="","",IF(R1916="",Q1917,Q1917*0.2000000000+R1916*0.8000000000))</f>
        <v>0</v>
      </c>
      <c r="S1917">
        <f>IF(OR(Q1917="",R1917=""),"",Q1917-R1917)</f>
        <v>0</v>
      </c>
      <c r="T1917">
        <f>IF(COUNT($E$2:$E1917)&lt;14,"",MAX($C$1904:$C$1917))</f>
        <v>0</v>
      </c>
      <c r="U1917">
        <f>IF(COUNT($E$2:$E1917)&lt;14,"",MIN($D$1904:$D$1917))</f>
        <v>0</v>
      </c>
      <c r="V1917">
        <f>IF(OR(T1917="",U1917="",T1917=U1917),"",100*($E1917-U1917)/(T1917-U1917))</f>
        <v>0</v>
      </c>
      <c r="W1917">
        <f>IF(COUNT($V$1915:$V$1917)&lt;3,"",AVERAGE($V$1915:$V$1917))</f>
        <v>0</v>
      </c>
      <c r="X1917">
        <f>IF(COUNT($N$1904:$N$1917)&lt;14,"",MIN($N$1904:$N$1917))</f>
        <v>0</v>
      </c>
      <c r="Y1917">
        <f>IF(COUNT($N$1904:$N$1917)&lt;14,"",MAX($N$1904:$N$1917))</f>
        <v>0</v>
      </c>
      <c r="Z1917">
        <f>IF(OR(N1917="",X1917="",Y1917="",Y1917=X1917),"",100*(N1917-X1917)/(Y1917-X1917))</f>
        <v>0</v>
      </c>
      <c r="AA1917">
        <f>IF(COUNT($Z$1915:$Z$1917)&lt;3,"",AVERAGE($Z$1915:$Z$1917))</f>
        <v>0</v>
      </c>
      <c r="AB1917">
        <f>IF(COUNT($AA$1915:$AA$1917)&lt;3,"",AVERAGE($AA$1915:$AA$1917))</f>
        <v>0</v>
      </c>
      <c r="AC1917">
        <f>IF($E1917="","",MAX($C1917-$D1917,ABS($C1917-$E1916),ABS($D1917-$E1916)))</f>
        <v>0</v>
      </c>
      <c r="AD1917">
        <f>IF(COUNT($E$2:$E1917)&lt;15,"",AVERAGE($AC$1904:$AC$1917))</f>
        <v>0</v>
      </c>
      <c r="AE1917">
        <f>IF(OR($E1917="",$E1916=""),"",IF(AND(($C1917-$C1916)&gt;($D1916-$D1917),($C1917-$C1916)&gt;0),$C1917-$C1916,0))</f>
        <v>0</v>
      </c>
      <c r="AF1917">
        <f>IF(OR($E1917="",$E1916=""),"",IF(AND(($D1916-$D1917)&gt;($C1917-$C1916),($D1916-$D1917)&gt;0),$D1916-$D1917,0))</f>
        <v>0</v>
      </c>
      <c r="AG1917">
        <f>IF(COUNT($E$2:$E1917)&lt;15,"",IF(SUM($AC$1904:$AC$1917)=0,0,100*SUM($AE$1904:$AE$1917)/SUM($AC$1904:$AC$1917)))</f>
        <v>0</v>
      </c>
      <c r="AH1917">
        <f>IF(COUNT($E$2:$E1917)&lt;15,"",IF(SUM($AC$1904:$AC$1917)=0,0,100*SUM($AF$1904:$AF$1917)/SUM($AC$1904:$AC$1917)))</f>
        <v>0</v>
      </c>
      <c r="AI1917">
        <f>IF(OR(AG1917="",AH1917=""),"",IF((AG1917+AH1917)=0,0,100*ABS(AG1917-AH1917)/(AG1917+AH1917)))</f>
        <v>0</v>
      </c>
      <c r="AJ1917">
        <f>IF(COUNT($AI$1904:$AI$1917)&lt;14,"",AVERAGE($AI$1904:$AI$1917))</f>
        <v>0</v>
      </c>
      <c r="AK1917">
        <f>IF(COUNT($E$2:$E1917)&lt;20,"",AVERAGE($E$1898:$E$1917))</f>
        <v>0</v>
      </c>
      <c r="AL1917">
        <f>IF(COUNT($E$2:$E1917)&lt;20,"",STDEVP($E$1898:$E$1917))</f>
        <v>0</v>
      </c>
      <c r="AM1917">
        <f>IF(AK1917="","",AK1917+2*AL1917)</f>
        <v>0</v>
      </c>
      <c r="AN1917">
        <f>IF(AK1917="","",AK1917-2*AL1917)</f>
        <v>0</v>
      </c>
      <c r="AO1917">
        <f>IF(OR(AM1917="",AN1917="",AM1917=AN1917),"",($E1917-AN1917)/(AM1917-AN1917))</f>
        <v>0</v>
      </c>
      <c r="AP1917">
        <f>IF(OR(AM1917="",AK1917="",AK1917=0),"",(AM1917-AN1917)/AK1917)</f>
        <v>0</v>
      </c>
      <c r="AQ1917">
        <f>IF(COUNT($E$2:$E1917)&lt;20,"",MAX($C$1898:$C$1917))</f>
        <v>0</v>
      </c>
      <c r="AR1917">
        <f>IF(COUNT($E$2:$E1917)&lt;20,"",MIN($D$1898:$D$1917))</f>
        <v>0</v>
      </c>
      <c r="AS1917">
        <f>IF(OR(AQ1917="",AR1917=""),"",(AQ1917+AR1917)/2)</f>
        <v>0</v>
      </c>
      <c r="AT1917">
        <f>IF(COUNT($G$1898:$G$1917)&lt;20,"",STDEV($G$1898:$G$1917)*SQRT(252))</f>
        <v>0</v>
      </c>
      <c r="AU1917">
        <f>IF(COUNT($E$2:$E1917)&lt;9,"",(MAX($C$1909:$C$1917)+MIN($D$1909:$D$1917))/2)</f>
        <v>0</v>
      </c>
      <c r="AV1917">
        <f>IF(COUNT($E$2:$E1917)&lt;26,"",(MAX($C$1892:$C$1917)+MIN($D$1892:$D$1917))/2)</f>
        <v>0</v>
      </c>
      <c r="AW1917">
        <f>IF(OR(AU1917="",AV1917=""),"",(AU1917+AV1917)/2)</f>
        <v>0</v>
      </c>
      <c r="AX1917">
        <f>IF(COUNT($E$2:$E1917)&lt;52,"",(MAX($C$1866:$C$1917)+MIN($D$1866:$D$1917))/2)</f>
        <v>0</v>
      </c>
      <c r="AY1917">
        <f>IF(COUNT($E$2:$E1917)&lt;20,"",MAX($C$1818:$C$1917))</f>
        <v>0</v>
      </c>
      <c r="AZ1917">
        <f>IF(COUNT($E$2:$E1917)&lt;20,"",MIN($D$1818:$D$1917))</f>
        <v>0</v>
      </c>
      <c r="BA1917">
        <f>IF(COUNT($E$2:$E1917)&lt;20,"",SLOPE($E$1818:$E$1917,$F$1818:$F$1917))</f>
        <v>0</v>
      </c>
      <c r="BB1917">
        <f>IF(COUNT($E$2:$E1917)&lt;20,"",INTERCEPT($E$1818:$E$1917,$F$1818:$F$1917))</f>
        <v>0</v>
      </c>
      <c r="BC1917">
        <f>IF(OR(BA1917="",BB1917=""),"",BB1917+BA1917*F1917)</f>
        <v>0</v>
      </c>
      <c r="BD1917">
        <f>IF(COUNT($E$2:$E1917)&lt;20,"",STEYX($E$1818:$E$1917,$F$1818:$F$1917))</f>
        <v>0</v>
      </c>
      <c r="BE1917">
        <f>IF($E1917="","",IF(AND(COUNT($E$1918:$E$1921)&gt;=4,$C1917=MAX($C$1913:$C$1921)),$C1917,""))</f>
        <v>0</v>
      </c>
      <c r="BF1917">
        <f>IF($E1917="","",IF(AND(COUNT($E$1918:$E$1921)&gt;=4,$D1917=MIN($D$1913:$D$1921)),$D1917,""))</f>
        <v>0</v>
      </c>
      <c r="BG1917">
        <f>IF($A1917="","",$A1917-WEEKDAY($A1917,2)+1)</f>
        <v>0</v>
      </c>
      <c r="BH1917">
        <f>IF($A1917="","",IF($A1916="",1,IF(BG1917&lt;&gt;BG1916,1,0)))</f>
        <v>0</v>
      </c>
      <c r="BI1917">
        <f>IF($A1917="","",IF($A1918="",1,IF(BG1918&lt;&gt;BG1917,1,0)))</f>
        <v>0</v>
      </c>
      <c r="BJ1917">
        <f>IF($A1917="","",IF(BH1917=1,$B1917,BJ1916))</f>
        <v>0</v>
      </c>
      <c r="BK1917">
        <f>IF($A1917="","",IF(BH1917=1,$C1917,MAX($C1917,BK1916)))</f>
        <v>0</v>
      </c>
      <c r="BL1917">
        <f>IF($A1917="","",IF(BH1917=1,$D1917,MIN($D1917,BL1916)))</f>
        <v>0</v>
      </c>
      <c r="BM1917">
        <f>IF($A1917="","",IF(BI1917=1,F1917,""))</f>
        <v>0</v>
      </c>
      <c r="BN1917">
        <f>IF($A1917="","",DATE(YEAR($A1917),MONTH($A1917),1))</f>
        <v>0</v>
      </c>
      <c r="BO1917">
        <f>IF($A1917="","",IF($A1916="",1,IF(BN1917&lt;&gt;BN1916,1,0)))</f>
        <v>0</v>
      </c>
      <c r="BP1917">
        <f>IF($A1917="","",IF($A1918="",1,IF(BN1918&lt;&gt;BN1917,1,0)))</f>
        <v>0</v>
      </c>
      <c r="BQ1917">
        <f>IF($A1917="","",IF(BO1917=1,$B1917,BQ1916))</f>
        <v>0</v>
      </c>
      <c r="BR1917">
        <f>IF($A1917="","",IF(BO1917=1,$C1917,MAX($C1917,BR1916)))</f>
        <v>0</v>
      </c>
      <c r="BS1917">
        <f>IF($A1917="","",IF(BO1917=1,$D1917,MIN($D1917,BS1916)))</f>
        <v>0</v>
      </c>
      <c r="BT1917">
        <f>IF($A1917="","",IF(BP1917=1,F1917,""))</f>
        <v>0</v>
      </c>
    </row>
    <row r="1918" spans="1:72">
      <c r="A1918" s="27">
        <f>IF(Data!$A1918="","",Data!$A1918)</f>
        <v>0</v>
      </c>
      <c r="B1918">
        <f>IF(Data!$B1918="","",Data!$B1918)</f>
        <v>0</v>
      </c>
      <c r="C1918">
        <f>IF(Data!$C1918="","",Data!$C1918)</f>
        <v>0</v>
      </c>
      <c r="D1918">
        <f>IF(Data!$D1918="","",Data!$D1918)</f>
        <v>0</v>
      </c>
      <c r="E1918">
        <f>IF(Data!$E1918="","",Data!$E1918)</f>
        <v>0</v>
      </c>
      <c r="F1918">
        <f>IF($E1918="","",N(F1917)+1)</f>
        <v>0</v>
      </c>
      <c r="G1918">
        <f>IF(OR($E1918="",$E1917=""),"",LN($E1918/$E1917))</f>
        <v>0</v>
      </c>
      <c r="H1918">
        <f>IF($E1918="","",IF($E1917="",$E1918,$E1918*0.0952380952+H1917*0.9047619048))</f>
        <v>0</v>
      </c>
      <c r="I1918">
        <f>IF($E1918="","",IF($E1917="",$E1918,$E1918*0.0392156863+I1917*0.9607843137))</f>
        <v>0</v>
      </c>
      <c r="J1918">
        <f>IF($E1918="","",IF($E1917="",$E1918,$E1918*0.0198019802+J1917*0.9801980198))</f>
        <v>0</v>
      </c>
      <c r="K1918">
        <f>IF($E1918="","",IF($E1917="",$E1918,$E1918*0.0099502488+K1917*0.9900497512))</f>
        <v>0</v>
      </c>
      <c r="L1918">
        <f>IF(OR($E1918="",$E1917=""),"",MAX($E1918-$E1917,0))</f>
        <v>0</v>
      </c>
      <c r="M1918">
        <f>IF(OR($E1918="",$E1917=""),"",MAX($E1917-$E1918,0))</f>
        <v>0</v>
      </c>
      <c r="N1918">
        <f>IF(COUNT($E$2:$E1918)&lt;15,"",IF(AVERAGE($M$1905:$M$1918)=0,100,100-100/(1+AVERAGE($L$1905:$L$1918)/AVERAGE($M$1905:$M$1918))))</f>
        <v>0</v>
      </c>
      <c r="O1918">
        <f>IF($E1918="","",IF($E1917="",$E1918,$E1918*0.1538461538+O1917*0.8461538462))</f>
        <v>0</v>
      </c>
      <c r="P1918">
        <f>IF($E1918="","",IF($E1917="",$E1918,$E1918*0.0740740741+P1917*0.9259259259))</f>
        <v>0</v>
      </c>
      <c r="Q1918">
        <f>IF(OR(O1918="",P1918=""),"",O1918-P1918)</f>
        <v>0</v>
      </c>
      <c r="R1918">
        <f>IF(Q1918="","",IF(R1917="",Q1918,Q1918*0.2000000000+R1917*0.8000000000))</f>
        <v>0</v>
      </c>
      <c r="S1918">
        <f>IF(OR(Q1918="",R1918=""),"",Q1918-R1918)</f>
        <v>0</v>
      </c>
      <c r="T1918">
        <f>IF(COUNT($E$2:$E1918)&lt;14,"",MAX($C$1905:$C$1918))</f>
        <v>0</v>
      </c>
      <c r="U1918">
        <f>IF(COUNT($E$2:$E1918)&lt;14,"",MIN($D$1905:$D$1918))</f>
        <v>0</v>
      </c>
      <c r="V1918">
        <f>IF(OR(T1918="",U1918="",T1918=U1918),"",100*($E1918-U1918)/(T1918-U1918))</f>
        <v>0</v>
      </c>
      <c r="W1918">
        <f>IF(COUNT($V$1916:$V$1918)&lt;3,"",AVERAGE($V$1916:$V$1918))</f>
        <v>0</v>
      </c>
      <c r="X1918">
        <f>IF(COUNT($N$1905:$N$1918)&lt;14,"",MIN($N$1905:$N$1918))</f>
        <v>0</v>
      </c>
      <c r="Y1918">
        <f>IF(COUNT($N$1905:$N$1918)&lt;14,"",MAX($N$1905:$N$1918))</f>
        <v>0</v>
      </c>
      <c r="Z1918">
        <f>IF(OR(N1918="",X1918="",Y1918="",Y1918=X1918),"",100*(N1918-X1918)/(Y1918-X1918))</f>
        <v>0</v>
      </c>
      <c r="AA1918">
        <f>IF(COUNT($Z$1916:$Z$1918)&lt;3,"",AVERAGE($Z$1916:$Z$1918))</f>
        <v>0</v>
      </c>
      <c r="AB1918">
        <f>IF(COUNT($AA$1916:$AA$1918)&lt;3,"",AVERAGE($AA$1916:$AA$1918))</f>
        <v>0</v>
      </c>
      <c r="AC1918">
        <f>IF($E1918="","",MAX($C1918-$D1918,ABS($C1918-$E1917),ABS($D1918-$E1917)))</f>
        <v>0</v>
      </c>
      <c r="AD1918">
        <f>IF(COUNT($E$2:$E1918)&lt;15,"",AVERAGE($AC$1905:$AC$1918))</f>
        <v>0</v>
      </c>
      <c r="AE1918">
        <f>IF(OR($E1918="",$E1917=""),"",IF(AND(($C1918-$C1917)&gt;($D1917-$D1918),($C1918-$C1917)&gt;0),$C1918-$C1917,0))</f>
        <v>0</v>
      </c>
      <c r="AF1918">
        <f>IF(OR($E1918="",$E1917=""),"",IF(AND(($D1917-$D1918)&gt;($C1918-$C1917),($D1917-$D1918)&gt;0),$D1917-$D1918,0))</f>
        <v>0</v>
      </c>
      <c r="AG1918">
        <f>IF(COUNT($E$2:$E1918)&lt;15,"",IF(SUM($AC$1905:$AC$1918)=0,0,100*SUM($AE$1905:$AE$1918)/SUM($AC$1905:$AC$1918)))</f>
        <v>0</v>
      </c>
      <c r="AH1918">
        <f>IF(COUNT($E$2:$E1918)&lt;15,"",IF(SUM($AC$1905:$AC$1918)=0,0,100*SUM($AF$1905:$AF$1918)/SUM($AC$1905:$AC$1918)))</f>
        <v>0</v>
      </c>
      <c r="AI1918">
        <f>IF(OR(AG1918="",AH1918=""),"",IF((AG1918+AH1918)=0,0,100*ABS(AG1918-AH1918)/(AG1918+AH1918)))</f>
        <v>0</v>
      </c>
      <c r="AJ1918">
        <f>IF(COUNT($AI$1905:$AI$1918)&lt;14,"",AVERAGE($AI$1905:$AI$1918))</f>
        <v>0</v>
      </c>
      <c r="AK1918">
        <f>IF(COUNT($E$2:$E1918)&lt;20,"",AVERAGE($E$1899:$E$1918))</f>
        <v>0</v>
      </c>
      <c r="AL1918">
        <f>IF(COUNT($E$2:$E1918)&lt;20,"",STDEVP($E$1899:$E$1918))</f>
        <v>0</v>
      </c>
      <c r="AM1918">
        <f>IF(AK1918="","",AK1918+2*AL1918)</f>
        <v>0</v>
      </c>
      <c r="AN1918">
        <f>IF(AK1918="","",AK1918-2*AL1918)</f>
        <v>0</v>
      </c>
      <c r="AO1918">
        <f>IF(OR(AM1918="",AN1918="",AM1918=AN1918),"",($E1918-AN1918)/(AM1918-AN1918))</f>
        <v>0</v>
      </c>
      <c r="AP1918">
        <f>IF(OR(AM1918="",AK1918="",AK1918=0),"",(AM1918-AN1918)/AK1918)</f>
        <v>0</v>
      </c>
      <c r="AQ1918">
        <f>IF(COUNT($E$2:$E1918)&lt;20,"",MAX($C$1899:$C$1918))</f>
        <v>0</v>
      </c>
      <c r="AR1918">
        <f>IF(COUNT($E$2:$E1918)&lt;20,"",MIN($D$1899:$D$1918))</f>
        <v>0</v>
      </c>
      <c r="AS1918">
        <f>IF(OR(AQ1918="",AR1918=""),"",(AQ1918+AR1918)/2)</f>
        <v>0</v>
      </c>
      <c r="AT1918">
        <f>IF(COUNT($G$1899:$G$1918)&lt;20,"",STDEV($G$1899:$G$1918)*SQRT(252))</f>
        <v>0</v>
      </c>
      <c r="AU1918">
        <f>IF(COUNT($E$2:$E1918)&lt;9,"",(MAX($C$1910:$C$1918)+MIN($D$1910:$D$1918))/2)</f>
        <v>0</v>
      </c>
      <c r="AV1918">
        <f>IF(COUNT($E$2:$E1918)&lt;26,"",(MAX($C$1893:$C$1918)+MIN($D$1893:$D$1918))/2)</f>
        <v>0</v>
      </c>
      <c r="AW1918">
        <f>IF(OR(AU1918="",AV1918=""),"",(AU1918+AV1918)/2)</f>
        <v>0</v>
      </c>
      <c r="AX1918">
        <f>IF(COUNT($E$2:$E1918)&lt;52,"",(MAX($C$1867:$C$1918)+MIN($D$1867:$D$1918))/2)</f>
        <v>0</v>
      </c>
      <c r="AY1918">
        <f>IF(COUNT($E$2:$E1918)&lt;20,"",MAX($C$1819:$C$1918))</f>
        <v>0</v>
      </c>
      <c r="AZ1918">
        <f>IF(COUNT($E$2:$E1918)&lt;20,"",MIN($D$1819:$D$1918))</f>
        <v>0</v>
      </c>
      <c r="BA1918">
        <f>IF(COUNT($E$2:$E1918)&lt;20,"",SLOPE($E$1819:$E$1918,$F$1819:$F$1918))</f>
        <v>0</v>
      </c>
      <c r="BB1918">
        <f>IF(COUNT($E$2:$E1918)&lt;20,"",INTERCEPT($E$1819:$E$1918,$F$1819:$F$1918))</f>
        <v>0</v>
      </c>
      <c r="BC1918">
        <f>IF(OR(BA1918="",BB1918=""),"",BB1918+BA1918*F1918)</f>
        <v>0</v>
      </c>
      <c r="BD1918">
        <f>IF(COUNT($E$2:$E1918)&lt;20,"",STEYX($E$1819:$E$1918,$F$1819:$F$1918))</f>
        <v>0</v>
      </c>
      <c r="BE1918">
        <f>IF($E1918="","",IF(AND(COUNT($E$1919:$E$1922)&gt;=4,$C1918=MAX($C$1914:$C$1922)),$C1918,""))</f>
        <v>0</v>
      </c>
      <c r="BF1918">
        <f>IF($E1918="","",IF(AND(COUNT($E$1919:$E$1922)&gt;=4,$D1918=MIN($D$1914:$D$1922)),$D1918,""))</f>
        <v>0</v>
      </c>
      <c r="BG1918">
        <f>IF($A1918="","",$A1918-WEEKDAY($A1918,2)+1)</f>
        <v>0</v>
      </c>
      <c r="BH1918">
        <f>IF($A1918="","",IF($A1917="",1,IF(BG1918&lt;&gt;BG1917,1,0)))</f>
        <v>0</v>
      </c>
      <c r="BI1918">
        <f>IF($A1918="","",IF($A1919="",1,IF(BG1919&lt;&gt;BG1918,1,0)))</f>
        <v>0</v>
      </c>
      <c r="BJ1918">
        <f>IF($A1918="","",IF(BH1918=1,$B1918,BJ1917))</f>
        <v>0</v>
      </c>
      <c r="BK1918">
        <f>IF($A1918="","",IF(BH1918=1,$C1918,MAX($C1918,BK1917)))</f>
        <v>0</v>
      </c>
      <c r="BL1918">
        <f>IF($A1918="","",IF(BH1918=1,$D1918,MIN($D1918,BL1917)))</f>
        <v>0</v>
      </c>
      <c r="BM1918">
        <f>IF($A1918="","",IF(BI1918=1,F1918,""))</f>
        <v>0</v>
      </c>
      <c r="BN1918">
        <f>IF($A1918="","",DATE(YEAR($A1918),MONTH($A1918),1))</f>
        <v>0</v>
      </c>
      <c r="BO1918">
        <f>IF($A1918="","",IF($A1917="",1,IF(BN1918&lt;&gt;BN1917,1,0)))</f>
        <v>0</v>
      </c>
      <c r="BP1918">
        <f>IF($A1918="","",IF($A1919="",1,IF(BN1919&lt;&gt;BN1918,1,0)))</f>
        <v>0</v>
      </c>
      <c r="BQ1918">
        <f>IF($A1918="","",IF(BO1918=1,$B1918,BQ1917))</f>
        <v>0</v>
      </c>
      <c r="BR1918">
        <f>IF($A1918="","",IF(BO1918=1,$C1918,MAX($C1918,BR1917)))</f>
        <v>0</v>
      </c>
      <c r="BS1918">
        <f>IF($A1918="","",IF(BO1918=1,$D1918,MIN($D1918,BS1917)))</f>
        <v>0</v>
      </c>
      <c r="BT1918">
        <f>IF($A1918="","",IF(BP1918=1,F1918,""))</f>
        <v>0</v>
      </c>
    </row>
    <row r="1919" spans="1:72">
      <c r="A1919" s="27">
        <f>IF(Data!$A1919="","",Data!$A1919)</f>
        <v>0</v>
      </c>
      <c r="B1919">
        <f>IF(Data!$B1919="","",Data!$B1919)</f>
        <v>0</v>
      </c>
      <c r="C1919">
        <f>IF(Data!$C1919="","",Data!$C1919)</f>
        <v>0</v>
      </c>
      <c r="D1919">
        <f>IF(Data!$D1919="","",Data!$D1919)</f>
        <v>0</v>
      </c>
      <c r="E1919">
        <f>IF(Data!$E1919="","",Data!$E1919)</f>
        <v>0</v>
      </c>
      <c r="F1919">
        <f>IF($E1919="","",N(F1918)+1)</f>
        <v>0</v>
      </c>
      <c r="G1919">
        <f>IF(OR($E1919="",$E1918=""),"",LN($E1919/$E1918))</f>
        <v>0</v>
      </c>
      <c r="H1919">
        <f>IF($E1919="","",IF($E1918="",$E1919,$E1919*0.0952380952+H1918*0.9047619048))</f>
        <v>0</v>
      </c>
      <c r="I1919">
        <f>IF($E1919="","",IF($E1918="",$E1919,$E1919*0.0392156863+I1918*0.9607843137))</f>
        <v>0</v>
      </c>
      <c r="J1919">
        <f>IF($E1919="","",IF($E1918="",$E1919,$E1919*0.0198019802+J1918*0.9801980198))</f>
        <v>0</v>
      </c>
      <c r="K1919">
        <f>IF($E1919="","",IF($E1918="",$E1919,$E1919*0.0099502488+K1918*0.9900497512))</f>
        <v>0</v>
      </c>
      <c r="L1919">
        <f>IF(OR($E1919="",$E1918=""),"",MAX($E1919-$E1918,0))</f>
        <v>0</v>
      </c>
      <c r="M1919">
        <f>IF(OR($E1919="",$E1918=""),"",MAX($E1918-$E1919,0))</f>
        <v>0</v>
      </c>
      <c r="N1919">
        <f>IF(COUNT($E$2:$E1919)&lt;15,"",IF(AVERAGE($M$1906:$M$1919)=0,100,100-100/(1+AVERAGE($L$1906:$L$1919)/AVERAGE($M$1906:$M$1919))))</f>
        <v>0</v>
      </c>
      <c r="O1919">
        <f>IF($E1919="","",IF($E1918="",$E1919,$E1919*0.1538461538+O1918*0.8461538462))</f>
        <v>0</v>
      </c>
      <c r="P1919">
        <f>IF($E1919="","",IF($E1918="",$E1919,$E1919*0.0740740741+P1918*0.9259259259))</f>
        <v>0</v>
      </c>
      <c r="Q1919">
        <f>IF(OR(O1919="",P1919=""),"",O1919-P1919)</f>
        <v>0</v>
      </c>
      <c r="R1919">
        <f>IF(Q1919="","",IF(R1918="",Q1919,Q1919*0.2000000000+R1918*0.8000000000))</f>
        <v>0</v>
      </c>
      <c r="S1919">
        <f>IF(OR(Q1919="",R1919=""),"",Q1919-R1919)</f>
        <v>0</v>
      </c>
      <c r="T1919">
        <f>IF(COUNT($E$2:$E1919)&lt;14,"",MAX($C$1906:$C$1919))</f>
        <v>0</v>
      </c>
      <c r="U1919">
        <f>IF(COUNT($E$2:$E1919)&lt;14,"",MIN($D$1906:$D$1919))</f>
        <v>0</v>
      </c>
      <c r="V1919">
        <f>IF(OR(T1919="",U1919="",T1919=U1919),"",100*($E1919-U1919)/(T1919-U1919))</f>
        <v>0</v>
      </c>
      <c r="W1919">
        <f>IF(COUNT($V$1917:$V$1919)&lt;3,"",AVERAGE($V$1917:$V$1919))</f>
        <v>0</v>
      </c>
      <c r="X1919">
        <f>IF(COUNT($N$1906:$N$1919)&lt;14,"",MIN($N$1906:$N$1919))</f>
        <v>0</v>
      </c>
      <c r="Y1919">
        <f>IF(COUNT($N$1906:$N$1919)&lt;14,"",MAX($N$1906:$N$1919))</f>
        <v>0</v>
      </c>
      <c r="Z1919">
        <f>IF(OR(N1919="",X1919="",Y1919="",Y1919=X1919),"",100*(N1919-X1919)/(Y1919-X1919))</f>
        <v>0</v>
      </c>
      <c r="AA1919">
        <f>IF(COUNT($Z$1917:$Z$1919)&lt;3,"",AVERAGE($Z$1917:$Z$1919))</f>
        <v>0</v>
      </c>
      <c r="AB1919">
        <f>IF(COUNT($AA$1917:$AA$1919)&lt;3,"",AVERAGE($AA$1917:$AA$1919))</f>
        <v>0</v>
      </c>
      <c r="AC1919">
        <f>IF($E1919="","",MAX($C1919-$D1919,ABS($C1919-$E1918),ABS($D1919-$E1918)))</f>
        <v>0</v>
      </c>
      <c r="AD1919">
        <f>IF(COUNT($E$2:$E1919)&lt;15,"",AVERAGE($AC$1906:$AC$1919))</f>
        <v>0</v>
      </c>
      <c r="AE1919">
        <f>IF(OR($E1919="",$E1918=""),"",IF(AND(($C1919-$C1918)&gt;($D1918-$D1919),($C1919-$C1918)&gt;0),$C1919-$C1918,0))</f>
        <v>0</v>
      </c>
      <c r="AF1919">
        <f>IF(OR($E1919="",$E1918=""),"",IF(AND(($D1918-$D1919)&gt;($C1919-$C1918),($D1918-$D1919)&gt;0),$D1918-$D1919,0))</f>
        <v>0</v>
      </c>
      <c r="AG1919">
        <f>IF(COUNT($E$2:$E1919)&lt;15,"",IF(SUM($AC$1906:$AC$1919)=0,0,100*SUM($AE$1906:$AE$1919)/SUM($AC$1906:$AC$1919)))</f>
        <v>0</v>
      </c>
      <c r="AH1919">
        <f>IF(COUNT($E$2:$E1919)&lt;15,"",IF(SUM($AC$1906:$AC$1919)=0,0,100*SUM($AF$1906:$AF$1919)/SUM($AC$1906:$AC$1919)))</f>
        <v>0</v>
      </c>
      <c r="AI1919">
        <f>IF(OR(AG1919="",AH1919=""),"",IF((AG1919+AH1919)=0,0,100*ABS(AG1919-AH1919)/(AG1919+AH1919)))</f>
        <v>0</v>
      </c>
      <c r="AJ1919">
        <f>IF(COUNT($AI$1906:$AI$1919)&lt;14,"",AVERAGE($AI$1906:$AI$1919))</f>
        <v>0</v>
      </c>
      <c r="AK1919">
        <f>IF(COUNT($E$2:$E1919)&lt;20,"",AVERAGE($E$1900:$E$1919))</f>
        <v>0</v>
      </c>
      <c r="AL1919">
        <f>IF(COUNT($E$2:$E1919)&lt;20,"",STDEVP($E$1900:$E$1919))</f>
        <v>0</v>
      </c>
      <c r="AM1919">
        <f>IF(AK1919="","",AK1919+2*AL1919)</f>
        <v>0</v>
      </c>
      <c r="AN1919">
        <f>IF(AK1919="","",AK1919-2*AL1919)</f>
        <v>0</v>
      </c>
      <c r="AO1919">
        <f>IF(OR(AM1919="",AN1919="",AM1919=AN1919),"",($E1919-AN1919)/(AM1919-AN1919))</f>
        <v>0</v>
      </c>
      <c r="AP1919">
        <f>IF(OR(AM1919="",AK1919="",AK1919=0),"",(AM1919-AN1919)/AK1919)</f>
        <v>0</v>
      </c>
      <c r="AQ1919">
        <f>IF(COUNT($E$2:$E1919)&lt;20,"",MAX($C$1900:$C$1919))</f>
        <v>0</v>
      </c>
      <c r="AR1919">
        <f>IF(COUNT($E$2:$E1919)&lt;20,"",MIN($D$1900:$D$1919))</f>
        <v>0</v>
      </c>
      <c r="AS1919">
        <f>IF(OR(AQ1919="",AR1919=""),"",(AQ1919+AR1919)/2)</f>
        <v>0</v>
      </c>
      <c r="AT1919">
        <f>IF(COUNT($G$1900:$G$1919)&lt;20,"",STDEV($G$1900:$G$1919)*SQRT(252))</f>
        <v>0</v>
      </c>
      <c r="AU1919">
        <f>IF(COUNT($E$2:$E1919)&lt;9,"",(MAX($C$1911:$C$1919)+MIN($D$1911:$D$1919))/2)</f>
        <v>0</v>
      </c>
      <c r="AV1919">
        <f>IF(COUNT($E$2:$E1919)&lt;26,"",(MAX($C$1894:$C$1919)+MIN($D$1894:$D$1919))/2)</f>
        <v>0</v>
      </c>
      <c r="AW1919">
        <f>IF(OR(AU1919="",AV1919=""),"",(AU1919+AV1919)/2)</f>
        <v>0</v>
      </c>
      <c r="AX1919">
        <f>IF(COUNT($E$2:$E1919)&lt;52,"",(MAX($C$1868:$C$1919)+MIN($D$1868:$D$1919))/2)</f>
        <v>0</v>
      </c>
      <c r="AY1919">
        <f>IF(COUNT($E$2:$E1919)&lt;20,"",MAX($C$1820:$C$1919))</f>
        <v>0</v>
      </c>
      <c r="AZ1919">
        <f>IF(COUNT($E$2:$E1919)&lt;20,"",MIN($D$1820:$D$1919))</f>
        <v>0</v>
      </c>
      <c r="BA1919">
        <f>IF(COUNT($E$2:$E1919)&lt;20,"",SLOPE($E$1820:$E$1919,$F$1820:$F$1919))</f>
        <v>0</v>
      </c>
      <c r="BB1919">
        <f>IF(COUNT($E$2:$E1919)&lt;20,"",INTERCEPT($E$1820:$E$1919,$F$1820:$F$1919))</f>
        <v>0</v>
      </c>
      <c r="BC1919">
        <f>IF(OR(BA1919="",BB1919=""),"",BB1919+BA1919*F1919)</f>
        <v>0</v>
      </c>
      <c r="BD1919">
        <f>IF(COUNT($E$2:$E1919)&lt;20,"",STEYX($E$1820:$E$1919,$F$1820:$F$1919))</f>
        <v>0</v>
      </c>
      <c r="BE1919">
        <f>IF($E1919="","",IF(AND(COUNT($E$1920:$E$1923)&gt;=4,$C1919=MAX($C$1915:$C$1923)),$C1919,""))</f>
        <v>0</v>
      </c>
      <c r="BF1919">
        <f>IF($E1919="","",IF(AND(COUNT($E$1920:$E$1923)&gt;=4,$D1919=MIN($D$1915:$D$1923)),$D1919,""))</f>
        <v>0</v>
      </c>
      <c r="BG1919">
        <f>IF($A1919="","",$A1919-WEEKDAY($A1919,2)+1)</f>
        <v>0</v>
      </c>
      <c r="BH1919">
        <f>IF($A1919="","",IF($A1918="",1,IF(BG1919&lt;&gt;BG1918,1,0)))</f>
        <v>0</v>
      </c>
      <c r="BI1919">
        <f>IF($A1919="","",IF($A1920="",1,IF(BG1920&lt;&gt;BG1919,1,0)))</f>
        <v>0</v>
      </c>
      <c r="BJ1919">
        <f>IF($A1919="","",IF(BH1919=1,$B1919,BJ1918))</f>
        <v>0</v>
      </c>
      <c r="BK1919">
        <f>IF($A1919="","",IF(BH1919=1,$C1919,MAX($C1919,BK1918)))</f>
        <v>0</v>
      </c>
      <c r="BL1919">
        <f>IF($A1919="","",IF(BH1919=1,$D1919,MIN($D1919,BL1918)))</f>
        <v>0</v>
      </c>
      <c r="BM1919">
        <f>IF($A1919="","",IF(BI1919=1,F1919,""))</f>
        <v>0</v>
      </c>
      <c r="BN1919">
        <f>IF($A1919="","",DATE(YEAR($A1919),MONTH($A1919),1))</f>
        <v>0</v>
      </c>
      <c r="BO1919">
        <f>IF($A1919="","",IF($A1918="",1,IF(BN1919&lt;&gt;BN1918,1,0)))</f>
        <v>0</v>
      </c>
      <c r="BP1919">
        <f>IF($A1919="","",IF($A1920="",1,IF(BN1920&lt;&gt;BN1919,1,0)))</f>
        <v>0</v>
      </c>
      <c r="BQ1919">
        <f>IF($A1919="","",IF(BO1919=1,$B1919,BQ1918))</f>
        <v>0</v>
      </c>
      <c r="BR1919">
        <f>IF($A1919="","",IF(BO1919=1,$C1919,MAX($C1919,BR1918)))</f>
        <v>0</v>
      </c>
      <c r="BS1919">
        <f>IF($A1919="","",IF(BO1919=1,$D1919,MIN($D1919,BS1918)))</f>
        <v>0</v>
      </c>
      <c r="BT1919">
        <f>IF($A1919="","",IF(BP1919=1,F1919,""))</f>
        <v>0</v>
      </c>
    </row>
    <row r="1920" spans="1:72">
      <c r="A1920" s="27">
        <f>IF(Data!$A1920="","",Data!$A1920)</f>
        <v>0</v>
      </c>
      <c r="B1920">
        <f>IF(Data!$B1920="","",Data!$B1920)</f>
        <v>0</v>
      </c>
      <c r="C1920">
        <f>IF(Data!$C1920="","",Data!$C1920)</f>
        <v>0</v>
      </c>
      <c r="D1920">
        <f>IF(Data!$D1920="","",Data!$D1920)</f>
        <v>0</v>
      </c>
      <c r="E1920">
        <f>IF(Data!$E1920="","",Data!$E1920)</f>
        <v>0</v>
      </c>
      <c r="F1920">
        <f>IF($E1920="","",N(F1919)+1)</f>
        <v>0</v>
      </c>
      <c r="G1920">
        <f>IF(OR($E1920="",$E1919=""),"",LN($E1920/$E1919))</f>
        <v>0</v>
      </c>
      <c r="H1920">
        <f>IF($E1920="","",IF($E1919="",$E1920,$E1920*0.0952380952+H1919*0.9047619048))</f>
        <v>0</v>
      </c>
      <c r="I1920">
        <f>IF($E1920="","",IF($E1919="",$E1920,$E1920*0.0392156863+I1919*0.9607843137))</f>
        <v>0</v>
      </c>
      <c r="J1920">
        <f>IF($E1920="","",IF($E1919="",$E1920,$E1920*0.0198019802+J1919*0.9801980198))</f>
        <v>0</v>
      </c>
      <c r="K1920">
        <f>IF($E1920="","",IF($E1919="",$E1920,$E1920*0.0099502488+K1919*0.9900497512))</f>
        <v>0</v>
      </c>
      <c r="L1920">
        <f>IF(OR($E1920="",$E1919=""),"",MAX($E1920-$E1919,0))</f>
        <v>0</v>
      </c>
      <c r="M1920">
        <f>IF(OR($E1920="",$E1919=""),"",MAX($E1919-$E1920,0))</f>
        <v>0</v>
      </c>
      <c r="N1920">
        <f>IF(COUNT($E$2:$E1920)&lt;15,"",IF(AVERAGE($M$1907:$M$1920)=0,100,100-100/(1+AVERAGE($L$1907:$L$1920)/AVERAGE($M$1907:$M$1920))))</f>
        <v>0</v>
      </c>
      <c r="O1920">
        <f>IF($E1920="","",IF($E1919="",$E1920,$E1920*0.1538461538+O1919*0.8461538462))</f>
        <v>0</v>
      </c>
      <c r="P1920">
        <f>IF($E1920="","",IF($E1919="",$E1920,$E1920*0.0740740741+P1919*0.9259259259))</f>
        <v>0</v>
      </c>
      <c r="Q1920">
        <f>IF(OR(O1920="",P1920=""),"",O1920-P1920)</f>
        <v>0</v>
      </c>
      <c r="R1920">
        <f>IF(Q1920="","",IF(R1919="",Q1920,Q1920*0.2000000000+R1919*0.8000000000))</f>
        <v>0</v>
      </c>
      <c r="S1920">
        <f>IF(OR(Q1920="",R1920=""),"",Q1920-R1920)</f>
        <v>0</v>
      </c>
      <c r="T1920">
        <f>IF(COUNT($E$2:$E1920)&lt;14,"",MAX($C$1907:$C$1920))</f>
        <v>0</v>
      </c>
      <c r="U1920">
        <f>IF(COUNT($E$2:$E1920)&lt;14,"",MIN($D$1907:$D$1920))</f>
        <v>0</v>
      </c>
      <c r="V1920">
        <f>IF(OR(T1920="",U1920="",T1920=U1920),"",100*($E1920-U1920)/(T1920-U1920))</f>
        <v>0</v>
      </c>
      <c r="W1920">
        <f>IF(COUNT($V$1918:$V$1920)&lt;3,"",AVERAGE($V$1918:$V$1920))</f>
        <v>0</v>
      </c>
      <c r="X1920">
        <f>IF(COUNT($N$1907:$N$1920)&lt;14,"",MIN($N$1907:$N$1920))</f>
        <v>0</v>
      </c>
      <c r="Y1920">
        <f>IF(COUNT($N$1907:$N$1920)&lt;14,"",MAX($N$1907:$N$1920))</f>
        <v>0</v>
      </c>
      <c r="Z1920">
        <f>IF(OR(N1920="",X1920="",Y1920="",Y1920=X1920),"",100*(N1920-X1920)/(Y1920-X1920))</f>
        <v>0</v>
      </c>
      <c r="AA1920">
        <f>IF(COUNT($Z$1918:$Z$1920)&lt;3,"",AVERAGE($Z$1918:$Z$1920))</f>
        <v>0</v>
      </c>
      <c r="AB1920">
        <f>IF(COUNT($AA$1918:$AA$1920)&lt;3,"",AVERAGE($AA$1918:$AA$1920))</f>
        <v>0</v>
      </c>
      <c r="AC1920">
        <f>IF($E1920="","",MAX($C1920-$D1920,ABS($C1920-$E1919),ABS($D1920-$E1919)))</f>
        <v>0</v>
      </c>
      <c r="AD1920">
        <f>IF(COUNT($E$2:$E1920)&lt;15,"",AVERAGE($AC$1907:$AC$1920))</f>
        <v>0</v>
      </c>
      <c r="AE1920">
        <f>IF(OR($E1920="",$E1919=""),"",IF(AND(($C1920-$C1919)&gt;($D1919-$D1920),($C1920-$C1919)&gt;0),$C1920-$C1919,0))</f>
        <v>0</v>
      </c>
      <c r="AF1920">
        <f>IF(OR($E1920="",$E1919=""),"",IF(AND(($D1919-$D1920)&gt;($C1920-$C1919),($D1919-$D1920)&gt;0),$D1919-$D1920,0))</f>
        <v>0</v>
      </c>
      <c r="AG1920">
        <f>IF(COUNT($E$2:$E1920)&lt;15,"",IF(SUM($AC$1907:$AC$1920)=0,0,100*SUM($AE$1907:$AE$1920)/SUM($AC$1907:$AC$1920)))</f>
        <v>0</v>
      </c>
      <c r="AH1920">
        <f>IF(COUNT($E$2:$E1920)&lt;15,"",IF(SUM($AC$1907:$AC$1920)=0,0,100*SUM($AF$1907:$AF$1920)/SUM($AC$1907:$AC$1920)))</f>
        <v>0</v>
      </c>
      <c r="AI1920">
        <f>IF(OR(AG1920="",AH1920=""),"",IF((AG1920+AH1920)=0,0,100*ABS(AG1920-AH1920)/(AG1920+AH1920)))</f>
        <v>0</v>
      </c>
      <c r="AJ1920">
        <f>IF(COUNT($AI$1907:$AI$1920)&lt;14,"",AVERAGE($AI$1907:$AI$1920))</f>
        <v>0</v>
      </c>
      <c r="AK1920">
        <f>IF(COUNT($E$2:$E1920)&lt;20,"",AVERAGE($E$1901:$E$1920))</f>
        <v>0</v>
      </c>
      <c r="AL1920">
        <f>IF(COUNT($E$2:$E1920)&lt;20,"",STDEVP($E$1901:$E$1920))</f>
        <v>0</v>
      </c>
      <c r="AM1920">
        <f>IF(AK1920="","",AK1920+2*AL1920)</f>
        <v>0</v>
      </c>
      <c r="AN1920">
        <f>IF(AK1920="","",AK1920-2*AL1920)</f>
        <v>0</v>
      </c>
      <c r="AO1920">
        <f>IF(OR(AM1920="",AN1920="",AM1920=AN1920),"",($E1920-AN1920)/(AM1920-AN1920))</f>
        <v>0</v>
      </c>
      <c r="AP1920">
        <f>IF(OR(AM1920="",AK1920="",AK1920=0),"",(AM1920-AN1920)/AK1920)</f>
        <v>0</v>
      </c>
      <c r="AQ1920">
        <f>IF(COUNT($E$2:$E1920)&lt;20,"",MAX($C$1901:$C$1920))</f>
        <v>0</v>
      </c>
      <c r="AR1920">
        <f>IF(COUNT($E$2:$E1920)&lt;20,"",MIN($D$1901:$D$1920))</f>
        <v>0</v>
      </c>
      <c r="AS1920">
        <f>IF(OR(AQ1920="",AR1920=""),"",(AQ1920+AR1920)/2)</f>
        <v>0</v>
      </c>
      <c r="AT1920">
        <f>IF(COUNT($G$1901:$G$1920)&lt;20,"",STDEV($G$1901:$G$1920)*SQRT(252))</f>
        <v>0</v>
      </c>
      <c r="AU1920">
        <f>IF(COUNT($E$2:$E1920)&lt;9,"",(MAX($C$1912:$C$1920)+MIN($D$1912:$D$1920))/2)</f>
        <v>0</v>
      </c>
      <c r="AV1920">
        <f>IF(COUNT($E$2:$E1920)&lt;26,"",(MAX($C$1895:$C$1920)+MIN($D$1895:$D$1920))/2)</f>
        <v>0</v>
      </c>
      <c r="AW1920">
        <f>IF(OR(AU1920="",AV1920=""),"",(AU1920+AV1920)/2)</f>
        <v>0</v>
      </c>
      <c r="AX1920">
        <f>IF(COUNT($E$2:$E1920)&lt;52,"",(MAX($C$1869:$C$1920)+MIN($D$1869:$D$1920))/2)</f>
        <v>0</v>
      </c>
      <c r="AY1920">
        <f>IF(COUNT($E$2:$E1920)&lt;20,"",MAX($C$1821:$C$1920))</f>
        <v>0</v>
      </c>
      <c r="AZ1920">
        <f>IF(COUNT($E$2:$E1920)&lt;20,"",MIN($D$1821:$D$1920))</f>
        <v>0</v>
      </c>
      <c r="BA1920">
        <f>IF(COUNT($E$2:$E1920)&lt;20,"",SLOPE($E$1821:$E$1920,$F$1821:$F$1920))</f>
        <v>0</v>
      </c>
      <c r="BB1920">
        <f>IF(COUNT($E$2:$E1920)&lt;20,"",INTERCEPT($E$1821:$E$1920,$F$1821:$F$1920))</f>
        <v>0</v>
      </c>
      <c r="BC1920">
        <f>IF(OR(BA1920="",BB1920=""),"",BB1920+BA1920*F1920)</f>
        <v>0</v>
      </c>
      <c r="BD1920">
        <f>IF(COUNT($E$2:$E1920)&lt;20,"",STEYX($E$1821:$E$1920,$F$1821:$F$1920))</f>
        <v>0</v>
      </c>
      <c r="BE1920">
        <f>IF($E1920="","",IF(AND(COUNT($E$1921:$E$1924)&gt;=4,$C1920=MAX($C$1916:$C$1924)),$C1920,""))</f>
        <v>0</v>
      </c>
      <c r="BF1920">
        <f>IF($E1920="","",IF(AND(COUNT($E$1921:$E$1924)&gt;=4,$D1920=MIN($D$1916:$D$1924)),$D1920,""))</f>
        <v>0</v>
      </c>
      <c r="BG1920">
        <f>IF($A1920="","",$A1920-WEEKDAY($A1920,2)+1)</f>
        <v>0</v>
      </c>
      <c r="BH1920">
        <f>IF($A1920="","",IF($A1919="",1,IF(BG1920&lt;&gt;BG1919,1,0)))</f>
        <v>0</v>
      </c>
      <c r="BI1920">
        <f>IF($A1920="","",IF($A1921="",1,IF(BG1921&lt;&gt;BG1920,1,0)))</f>
        <v>0</v>
      </c>
      <c r="BJ1920">
        <f>IF($A1920="","",IF(BH1920=1,$B1920,BJ1919))</f>
        <v>0</v>
      </c>
      <c r="BK1920">
        <f>IF($A1920="","",IF(BH1920=1,$C1920,MAX($C1920,BK1919)))</f>
        <v>0</v>
      </c>
      <c r="BL1920">
        <f>IF($A1920="","",IF(BH1920=1,$D1920,MIN($D1920,BL1919)))</f>
        <v>0</v>
      </c>
      <c r="BM1920">
        <f>IF($A1920="","",IF(BI1920=1,F1920,""))</f>
        <v>0</v>
      </c>
      <c r="BN1920">
        <f>IF($A1920="","",DATE(YEAR($A1920),MONTH($A1920),1))</f>
        <v>0</v>
      </c>
      <c r="BO1920">
        <f>IF($A1920="","",IF($A1919="",1,IF(BN1920&lt;&gt;BN1919,1,0)))</f>
        <v>0</v>
      </c>
      <c r="BP1920">
        <f>IF($A1920="","",IF($A1921="",1,IF(BN1921&lt;&gt;BN1920,1,0)))</f>
        <v>0</v>
      </c>
      <c r="BQ1920">
        <f>IF($A1920="","",IF(BO1920=1,$B1920,BQ1919))</f>
        <v>0</v>
      </c>
      <c r="BR1920">
        <f>IF($A1920="","",IF(BO1920=1,$C1920,MAX($C1920,BR1919)))</f>
        <v>0</v>
      </c>
      <c r="BS1920">
        <f>IF($A1920="","",IF(BO1920=1,$D1920,MIN($D1920,BS1919)))</f>
        <v>0</v>
      </c>
      <c r="BT1920">
        <f>IF($A1920="","",IF(BP1920=1,F1920,""))</f>
        <v>0</v>
      </c>
    </row>
    <row r="1921" spans="1:72">
      <c r="A1921" s="27">
        <f>IF(Data!$A1921="","",Data!$A1921)</f>
        <v>0</v>
      </c>
      <c r="B1921">
        <f>IF(Data!$B1921="","",Data!$B1921)</f>
        <v>0</v>
      </c>
      <c r="C1921">
        <f>IF(Data!$C1921="","",Data!$C1921)</f>
        <v>0</v>
      </c>
      <c r="D1921">
        <f>IF(Data!$D1921="","",Data!$D1921)</f>
        <v>0</v>
      </c>
      <c r="E1921">
        <f>IF(Data!$E1921="","",Data!$E1921)</f>
        <v>0</v>
      </c>
      <c r="F1921">
        <f>IF($E1921="","",N(F1920)+1)</f>
        <v>0</v>
      </c>
      <c r="G1921">
        <f>IF(OR($E1921="",$E1920=""),"",LN($E1921/$E1920))</f>
        <v>0</v>
      </c>
      <c r="H1921">
        <f>IF($E1921="","",IF($E1920="",$E1921,$E1921*0.0952380952+H1920*0.9047619048))</f>
        <v>0</v>
      </c>
      <c r="I1921">
        <f>IF($E1921="","",IF($E1920="",$E1921,$E1921*0.0392156863+I1920*0.9607843137))</f>
        <v>0</v>
      </c>
      <c r="J1921">
        <f>IF($E1921="","",IF($E1920="",$E1921,$E1921*0.0198019802+J1920*0.9801980198))</f>
        <v>0</v>
      </c>
      <c r="K1921">
        <f>IF($E1921="","",IF($E1920="",$E1921,$E1921*0.0099502488+K1920*0.9900497512))</f>
        <v>0</v>
      </c>
      <c r="L1921">
        <f>IF(OR($E1921="",$E1920=""),"",MAX($E1921-$E1920,0))</f>
        <v>0</v>
      </c>
      <c r="M1921">
        <f>IF(OR($E1921="",$E1920=""),"",MAX($E1920-$E1921,0))</f>
        <v>0</v>
      </c>
      <c r="N1921">
        <f>IF(COUNT($E$2:$E1921)&lt;15,"",IF(AVERAGE($M$1908:$M$1921)=0,100,100-100/(1+AVERAGE($L$1908:$L$1921)/AVERAGE($M$1908:$M$1921))))</f>
        <v>0</v>
      </c>
      <c r="O1921">
        <f>IF($E1921="","",IF($E1920="",$E1921,$E1921*0.1538461538+O1920*0.8461538462))</f>
        <v>0</v>
      </c>
      <c r="P1921">
        <f>IF($E1921="","",IF($E1920="",$E1921,$E1921*0.0740740741+P1920*0.9259259259))</f>
        <v>0</v>
      </c>
      <c r="Q1921">
        <f>IF(OR(O1921="",P1921=""),"",O1921-P1921)</f>
        <v>0</v>
      </c>
      <c r="R1921">
        <f>IF(Q1921="","",IF(R1920="",Q1921,Q1921*0.2000000000+R1920*0.8000000000))</f>
        <v>0</v>
      </c>
      <c r="S1921">
        <f>IF(OR(Q1921="",R1921=""),"",Q1921-R1921)</f>
        <v>0</v>
      </c>
      <c r="T1921">
        <f>IF(COUNT($E$2:$E1921)&lt;14,"",MAX($C$1908:$C$1921))</f>
        <v>0</v>
      </c>
      <c r="U1921">
        <f>IF(COUNT($E$2:$E1921)&lt;14,"",MIN($D$1908:$D$1921))</f>
        <v>0</v>
      </c>
      <c r="V1921">
        <f>IF(OR(T1921="",U1921="",T1921=U1921),"",100*($E1921-U1921)/(T1921-U1921))</f>
        <v>0</v>
      </c>
      <c r="W1921">
        <f>IF(COUNT($V$1919:$V$1921)&lt;3,"",AVERAGE($V$1919:$V$1921))</f>
        <v>0</v>
      </c>
      <c r="X1921">
        <f>IF(COUNT($N$1908:$N$1921)&lt;14,"",MIN($N$1908:$N$1921))</f>
        <v>0</v>
      </c>
      <c r="Y1921">
        <f>IF(COUNT($N$1908:$N$1921)&lt;14,"",MAX($N$1908:$N$1921))</f>
        <v>0</v>
      </c>
      <c r="Z1921">
        <f>IF(OR(N1921="",X1921="",Y1921="",Y1921=X1921),"",100*(N1921-X1921)/(Y1921-X1921))</f>
        <v>0</v>
      </c>
      <c r="AA1921">
        <f>IF(COUNT($Z$1919:$Z$1921)&lt;3,"",AVERAGE($Z$1919:$Z$1921))</f>
        <v>0</v>
      </c>
      <c r="AB1921">
        <f>IF(COUNT($AA$1919:$AA$1921)&lt;3,"",AVERAGE($AA$1919:$AA$1921))</f>
        <v>0</v>
      </c>
      <c r="AC1921">
        <f>IF($E1921="","",MAX($C1921-$D1921,ABS($C1921-$E1920),ABS($D1921-$E1920)))</f>
        <v>0</v>
      </c>
      <c r="AD1921">
        <f>IF(COUNT($E$2:$E1921)&lt;15,"",AVERAGE($AC$1908:$AC$1921))</f>
        <v>0</v>
      </c>
      <c r="AE1921">
        <f>IF(OR($E1921="",$E1920=""),"",IF(AND(($C1921-$C1920)&gt;($D1920-$D1921),($C1921-$C1920)&gt;0),$C1921-$C1920,0))</f>
        <v>0</v>
      </c>
      <c r="AF1921">
        <f>IF(OR($E1921="",$E1920=""),"",IF(AND(($D1920-$D1921)&gt;($C1921-$C1920),($D1920-$D1921)&gt;0),$D1920-$D1921,0))</f>
        <v>0</v>
      </c>
      <c r="AG1921">
        <f>IF(COUNT($E$2:$E1921)&lt;15,"",IF(SUM($AC$1908:$AC$1921)=0,0,100*SUM($AE$1908:$AE$1921)/SUM($AC$1908:$AC$1921)))</f>
        <v>0</v>
      </c>
      <c r="AH1921">
        <f>IF(COUNT($E$2:$E1921)&lt;15,"",IF(SUM($AC$1908:$AC$1921)=0,0,100*SUM($AF$1908:$AF$1921)/SUM($AC$1908:$AC$1921)))</f>
        <v>0</v>
      </c>
      <c r="AI1921">
        <f>IF(OR(AG1921="",AH1921=""),"",IF((AG1921+AH1921)=0,0,100*ABS(AG1921-AH1921)/(AG1921+AH1921)))</f>
        <v>0</v>
      </c>
      <c r="AJ1921">
        <f>IF(COUNT($AI$1908:$AI$1921)&lt;14,"",AVERAGE($AI$1908:$AI$1921))</f>
        <v>0</v>
      </c>
      <c r="AK1921">
        <f>IF(COUNT($E$2:$E1921)&lt;20,"",AVERAGE($E$1902:$E$1921))</f>
        <v>0</v>
      </c>
      <c r="AL1921">
        <f>IF(COUNT($E$2:$E1921)&lt;20,"",STDEVP($E$1902:$E$1921))</f>
        <v>0</v>
      </c>
      <c r="AM1921">
        <f>IF(AK1921="","",AK1921+2*AL1921)</f>
        <v>0</v>
      </c>
      <c r="AN1921">
        <f>IF(AK1921="","",AK1921-2*AL1921)</f>
        <v>0</v>
      </c>
      <c r="AO1921">
        <f>IF(OR(AM1921="",AN1921="",AM1921=AN1921),"",($E1921-AN1921)/(AM1921-AN1921))</f>
        <v>0</v>
      </c>
      <c r="AP1921">
        <f>IF(OR(AM1921="",AK1921="",AK1921=0),"",(AM1921-AN1921)/AK1921)</f>
        <v>0</v>
      </c>
      <c r="AQ1921">
        <f>IF(COUNT($E$2:$E1921)&lt;20,"",MAX($C$1902:$C$1921))</f>
        <v>0</v>
      </c>
      <c r="AR1921">
        <f>IF(COUNT($E$2:$E1921)&lt;20,"",MIN($D$1902:$D$1921))</f>
        <v>0</v>
      </c>
      <c r="AS1921">
        <f>IF(OR(AQ1921="",AR1921=""),"",(AQ1921+AR1921)/2)</f>
        <v>0</v>
      </c>
      <c r="AT1921">
        <f>IF(COUNT($G$1902:$G$1921)&lt;20,"",STDEV($G$1902:$G$1921)*SQRT(252))</f>
        <v>0</v>
      </c>
      <c r="AU1921">
        <f>IF(COUNT($E$2:$E1921)&lt;9,"",(MAX($C$1913:$C$1921)+MIN($D$1913:$D$1921))/2)</f>
        <v>0</v>
      </c>
      <c r="AV1921">
        <f>IF(COUNT($E$2:$E1921)&lt;26,"",(MAX($C$1896:$C$1921)+MIN($D$1896:$D$1921))/2)</f>
        <v>0</v>
      </c>
      <c r="AW1921">
        <f>IF(OR(AU1921="",AV1921=""),"",(AU1921+AV1921)/2)</f>
        <v>0</v>
      </c>
      <c r="AX1921">
        <f>IF(COUNT($E$2:$E1921)&lt;52,"",(MAX($C$1870:$C$1921)+MIN($D$1870:$D$1921))/2)</f>
        <v>0</v>
      </c>
      <c r="AY1921">
        <f>IF(COUNT($E$2:$E1921)&lt;20,"",MAX($C$1822:$C$1921))</f>
        <v>0</v>
      </c>
      <c r="AZ1921">
        <f>IF(COUNT($E$2:$E1921)&lt;20,"",MIN($D$1822:$D$1921))</f>
        <v>0</v>
      </c>
      <c r="BA1921">
        <f>IF(COUNT($E$2:$E1921)&lt;20,"",SLOPE($E$1822:$E$1921,$F$1822:$F$1921))</f>
        <v>0</v>
      </c>
      <c r="BB1921">
        <f>IF(COUNT($E$2:$E1921)&lt;20,"",INTERCEPT($E$1822:$E$1921,$F$1822:$F$1921))</f>
        <v>0</v>
      </c>
      <c r="BC1921">
        <f>IF(OR(BA1921="",BB1921=""),"",BB1921+BA1921*F1921)</f>
        <v>0</v>
      </c>
      <c r="BD1921">
        <f>IF(COUNT($E$2:$E1921)&lt;20,"",STEYX($E$1822:$E$1921,$F$1822:$F$1921))</f>
        <v>0</v>
      </c>
      <c r="BE1921">
        <f>IF($E1921="","",IF(AND(COUNT($E$1922:$E$1925)&gt;=4,$C1921=MAX($C$1917:$C$1925)),$C1921,""))</f>
        <v>0</v>
      </c>
      <c r="BF1921">
        <f>IF($E1921="","",IF(AND(COUNT($E$1922:$E$1925)&gt;=4,$D1921=MIN($D$1917:$D$1925)),$D1921,""))</f>
        <v>0</v>
      </c>
      <c r="BG1921">
        <f>IF($A1921="","",$A1921-WEEKDAY($A1921,2)+1)</f>
        <v>0</v>
      </c>
      <c r="BH1921">
        <f>IF($A1921="","",IF($A1920="",1,IF(BG1921&lt;&gt;BG1920,1,0)))</f>
        <v>0</v>
      </c>
      <c r="BI1921">
        <f>IF($A1921="","",IF($A1922="",1,IF(BG1922&lt;&gt;BG1921,1,0)))</f>
        <v>0</v>
      </c>
      <c r="BJ1921">
        <f>IF($A1921="","",IF(BH1921=1,$B1921,BJ1920))</f>
        <v>0</v>
      </c>
      <c r="BK1921">
        <f>IF($A1921="","",IF(BH1921=1,$C1921,MAX($C1921,BK1920)))</f>
        <v>0</v>
      </c>
      <c r="BL1921">
        <f>IF($A1921="","",IF(BH1921=1,$D1921,MIN($D1921,BL1920)))</f>
        <v>0</v>
      </c>
      <c r="BM1921">
        <f>IF($A1921="","",IF(BI1921=1,F1921,""))</f>
        <v>0</v>
      </c>
      <c r="BN1921">
        <f>IF($A1921="","",DATE(YEAR($A1921),MONTH($A1921),1))</f>
        <v>0</v>
      </c>
      <c r="BO1921">
        <f>IF($A1921="","",IF($A1920="",1,IF(BN1921&lt;&gt;BN1920,1,0)))</f>
        <v>0</v>
      </c>
      <c r="BP1921">
        <f>IF($A1921="","",IF($A1922="",1,IF(BN1922&lt;&gt;BN1921,1,0)))</f>
        <v>0</v>
      </c>
      <c r="BQ1921">
        <f>IF($A1921="","",IF(BO1921=1,$B1921,BQ1920))</f>
        <v>0</v>
      </c>
      <c r="BR1921">
        <f>IF($A1921="","",IF(BO1921=1,$C1921,MAX($C1921,BR1920)))</f>
        <v>0</v>
      </c>
      <c r="BS1921">
        <f>IF($A1921="","",IF(BO1921=1,$D1921,MIN($D1921,BS1920)))</f>
        <v>0</v>
      </c>
      <c r="BT1921">
        <f>IF($A1921="","",IF(BP1921=1,F1921,""))</f>
        <v>0</v>
      </c>
    </row>
    <row r="1922" spans="1:72">
      <c r="A1922" s="27">
        <f>IF(Data!$A1922="","",Data!$A1922)</f>
        <v>0</v>
      </c>
      <c r="B1922">
        <f>IF(Data!$B1922="","",Data!$B1922)</f>
        <v>0</v>
      </c>
      <c r="C1922">
        <f>IF(Data!$C1922="","",Data!$C1922)</f>
        <v>0</v>
      </c>
      <c r="D1922">
        <f>IF(Data!$D1922="","",Data!$D1922)</f>
        <v>0</v>
      </c>
      <c r="E1922">
        <f>IF(Data!$E1922="","",Data!$E1922)</f>
        <v>0</v>
      </c>
      <c r="F1922">
        <f>IF($E1922="","",N(F1921)+1)</f>
        <v>0</v>
      </c>
      <c r="G1922">
        <f>IF(OR($E1922="",$E1921=""),"",LN($E1922/$E1921))</f>
        <v>0</v>
      </c>
      <c r="H1922">
        <f>IF($E1922="","",IF($E1921="",$E1922,$E1922*0.0952380952+H1921*0.9047619048))</f>
        <v>0</v>
      </c>
      <c r="I1922">
        <f>IF($E1922="","",IF($E1921="",$E1922,$E1922*0.0392156863+I1921*0.9607843137))</f>
        <v>0</v>
      </c>
      <c r="J1922">
        <f>IF($E1922="","",IF($E1921="",$E1922,$E1922*0.0198019802+J1921*0.9801980198))</f>
        <v>0</v>
      </c>
      <c r="K1922">
        <f>IF($E1922="","",IF($E1921="",$E1922,$E1922*0.0099502488+K1921*0.9900497512))</f>
        <v>0</v>
      </c>
      <c r="L1922">
        <f>IF(OR($E1922="",$E1921=""),"",MAX($E1922-$E1921,0))</f>
        <v>0</v>
      </c>
      <c r="M1922">
        <f>IF(OR($E1922="",$E1921=""),"",MAX($E1921-$E1922,0))</f>
        <v>0</v>
      </c>
      <c r="N1922">
        <f>IF(COUNT($E$2:$E1922)&lt;15,"",IF(AVERAGE($M$1909:$M$1922)=0,100,100-100/(1+AVERAGE($L$1909:$L$1922)/AVERAGE($M$1909:$M$1922))))</f>
        <v>0</v>
      </c>
      <c r="O1922">
        <f>IF($E1922="","",IF($E1921="",$E1922,$E1922*0.1538461538+O1921*0.8461538462))</f>
        <v>0</v>
      </c>
      <c r="P1922">
        <f>IF($E1922="","",IF($E1921="",$E1922,$E1922*0.0740740741+P1921*0.9259259259))</f>
        <v>0</v>
      </c>
      <c r="Q1922">
        <f>IF(OR(O1922="",P1922=""),"",O1922-P1922)</f>
        <v>0</v>
      </c>
      <c r="R1922">
        <f>IF(Q1922="","",IF(R1921="",Q1922,Q1922*0.2000000000+R1921*0.8000000000))</f>
        <v>0</v>
      </c>
      <c r="S1922">
        <f>IF(OR(Q1922="",R1922=""),"",Q1922-R1922)</f>
        <v>0</v>
      </c>
      <c r="T1922">
        <f>IF(COUNT($E$2:$E1922)&lt;14,"",MAX($C$1909:$C$1922))</f>
        <v>0</v>
      </c>
      <c r="U1922">
        <f>IF(COUNT($E$2:$E1922)&lt;14,"",MIN($D$1909:$D$1922))</f>
        <v>0</v>
      </c>
      <c r="V1922">
        <f>IF(OR(T1922="",U1922="",T1922=U1922),"",100*($E1922-U1922)/(T1922-U1922))</f>
        <v>0</v>
      </c>
      <c r="W1922">
        <f>IF(COUNT($V$1920:$V$1922)&lt;3,"",AVERAGE($V$1920:$V$1922))</f>
        <v>0</v>
      </c>
      <c r="X1922">
        <f>IF(COUNT($N$1909:$N$1922)&lt;14,"",MIN($N$1909:$N$1922))</f>
        <v>0</v>
      </c>
      <c r="Y1922">
        <f>IF(COUNT($N$1909:$N$1922)&lt;14,"",MAX($N$1909:$N$1922))</f>
        <v>0</v>
      </c>
      <c r="Z1922">
        <f>IF(OR(N1922="",X1922="",Y1922="",Y1922=X1922),"",100*(N1922-X1922)/(Y1922-X1922))</f>
        <v>0</v>
      </c>
      <c r="AA1922">
        <f>IF(COUNT($Z$1920:$Z$1922)&lt;3,"",AVERAGE($Z$1920:$Z$1922))</f>
        <v>0</v>
      </c>
      <c r="AB1922">
        <f>IF(COUNT($AA$1920:$AA$1922)&lt;3,"",AVERAGE($AA$1920:$AA$1922))</f>
        <v>0</v>
      </c>
      <c r="AC1922">
        <f>IF($E1922="","",MAX($C1922-$D1922,ABS($C1922-$E1921),ABS($D1922-$E1921)))</f>
        <v>0</v>
      </c>
      <c r="AD1922">
        <f>IF(COUNT($E$2:$E1922)&lt;15,"",AVERAGE($AC$1909:$AC$1922))</f>
        <v>0</v>
      </c>
      <c r="AE1922">
        <f>IF(OR($E1922="",$E1921=""),"",IF(AND(($C1922-$C1921)&gt;($D1921-$D1922),($C1922-$C1921)&gt;0),$C1922-$C1921,0))</f>
        <v>0</v>
      </c>
      <c r="AF1922">
        <f>IF(OR($E1922="",$E1921=""),"",IF(AND(($D1921-$D1922)&gt;($C1922-$C1921),($D1921-$D1922)&gt;0),$D1921-$D1922,0))</f>
        <v>0</v>
      </c>
      <c r="AG1922">
        <f>IF(COUNT($E$2:$E1922)&lt;15,"",IF(SUM($AC$1909:$AC$1922)=0,0,100*SUM($AE$1909:$AE$1922)/SUM($AC$1909:$AC$1922)))</f>
        <v>0</v>
      </c>
      <c r="AH1922">
        <f>IF(COUNT($E$2:$E1922)&lt;15,"",IF(SUM($AC$1909:$AC$1922)=0,0,100*SUM($AF$1909:$AF$1922)/SUM($AC$1909:$AC$1922)))</f>
        <v>0</v>
      </c>
      <c r="AI1922">
        <f>IF(OR(AG1922="",AH1922=""),"",IF((AG1922+AH1922)=0,0,100*ABS(AG1922-AH1922)/(AG1922+AH1922)))</f>
        <v>0</v>
      </c>
      <c r="AJ1922">
        <f>IF(COUNT($AI$1909:$AI$1922)&lt;14,"",AVERAGE($AI$1909:$AI$1922))</f>
        <v>0</v>
      </c>
      <c r="AK1922">
        <f>IF(COUNT($E$2:$E1922)&lt;20,"",AVERAGE($E$1903:$E$1922))</f>
        <v>0</v>
      </c>
      <c r="AL1922">
        <f>IF(COUNT($E$2:$E1922)&lt;20,"",STDEVP($E$1903:$E$1922))</f>
        <v>0</v>
      </c>
      <c r="AM1922">
        <f>IF(AK1922="","",AK1922+2*AL1922)</f>
        <v>0</v>
      </c>
      <c r="AN1922">
        <f>IF(AK1922="","",AK1922-2*AL1922)</f>
        <v>0</v>
      </c>
      <c r="AO1922">
        <f>IF(OR(AM1922="",AN1922="",AM1922=AN1922),"",($E1922-AN1922)/(AM1922-AN1922))</f>
        <v>0</v>
      </c>
      <c r="AP1922">
        <f>IF(OR(AM1922="",AK1922="",AK1922=0),"",(AM1922-AN1922)/AK1922)</f>
        <v>0</v>
      </c>
      <c r="AQ1922">
        <f>IF(COUNT($E$2:$E1922)&lt;20,"",MAX($C$1903:$C$1922))</f>
        <v>0</v>
      </c>
      <c r="AR1922">
        <f>IF(COUNT($E$2:$E1922)&lt;20,"",MIN($D$1903:$D$1922))</f>
        <v>0</v>
      </c>
      <c r="AS1922">
        <f>IF(OR(AQ1922="",AR1922=""),"",(AQ1922+AR1922)/2)</f>
        <v>0</v>
      </c>
      <c r="AT1922">
        <f>IF(COUNT($G$1903:$G$1922)&lt;20,"",STDEV($G$1903:$G$1922)*SQRT(252))</f>
        <v>0</v>
      </c>
      <c r="AU1922">
        <f>IF(COUNT($E$2:$E1922)&lt;9,"",(MAX($C$1914:$C$1922)+MIN($D$1914:$D$1922))/2)</f>
        <v>0</v>
      </c>
      <c r="AV1922">
        <f>IF(COUNT($E$2:$E1922)&lt;26,"",(MAX($C$1897:$C$1922)+MIN($D$1897:$D$1922))/2)</f>
        <v>0</v>
      </c>
      <c r="AW1922">
        <f>IF(OR(AU1922="",AV1922=""),"",(AU1922+AV1922)/2)</f>
        <v>0</v>
      </c>
      <c r="AX1922">
        <f>IF(COUNT($E$2:$E1922)&lt;52,"",(MAX($C$1871:$C$1922)+MIN($D$1871:$D$1922))/2)</f>
        <v>0</v>
      </c>
      <c r="AY1922">
        <f>IF(COUNT($E$2:$E1922)&lt;20,"",MAX($C$1823:$C$1922))</f>
        <v>0</v>
      </c>
      <c r="AZ1922">
        <f>IF(COUNT($E$2:$E1922)&lt;20,"",MIN($D$1823:$D$1922))</f>
        <v>0</v>
      </c>
      <c r="BA1922">
        <f>IF(COUNT($E$2:$E1922)&lt;20,"",SLOPE($E$1823:$E$1922,$F$1823:$F$1922))</f>
        <v>0</v>
      </c>
      <c r="BB1922">
        <f>IF(COUNT($E$2:$E1922)&lt;20,"",INTERCEPT($E$1823:$E$1922,$F$1823:$F$1922))</f>
        <v>0</v>
      </c>
      <c r="BC1922">
        <f>IF(OR(BA1922="",BB1922=""),"",BB1922+BA1922*F1922)</f>
        <v>0</v>
      </c>
      <c r="BD1922">
        <f>IF(COUNT($E$2:$E1922)&lt;20,"",STEYX($E$1823:$E$1922,$F$1823:$F$1922))</f>
        <v>0</v>
      </c>
      <c r="BE1922">
        <f>IF($E1922="","",IF(AND(COUNT($E$1923:$E$1926)&gt;=4,$C1922=MAX($C$1918:$C$1926)),$C1922,""))</f>
        <v>0</v>
      </c>
      <c r="BF1922">
        <f>IF($E1922="","",IF(AND(COUNT($E$1923:$E$1926)&gt;=4,$D1922=MIN($D$1918:$D$1926)),$D1922,""))</f>
        <v>0</v>
      </c>
      <c r="BG1922">
        <f>IF($A1922="","",$A1922-WEEKDAY($A1922,2)+1)</f>
        <v>0</v>
      </c>
      <c r="BH1922">
        <f>IF($A1922="","",IF($A1921="",1,IF(BG1922&lt;&gt;BG1921,1,0)))</f>
        <v>0</v>
      </c>
      <c r="BI1922">
        <f>IF($A1922="","",IF($A1923="",1,IF(BG1923&lt;&gt;BG1922,1,0)))</f>
        <v>0</v>
      </c>
      <c r="BJ1922">
        <f>IF($A1922="","",IF(BH1922=1,$B1922,BJ1921))</f>
        <v>0</v>
      </c>
      <c r="BK1922">
        <f>IF($A1922="","",IF(BH1922=1,$C1922,MAX($C1922,BK1921)))</f>
        <v>0</v>
      </c>
      <c r="BL1922">
        <f>IF($A1922="","",IF(BH1922=1,$D1922,MIN($D1922,BL1921)))</f>
        <v>0</v>
      </c>
      <c r="BM1922">
        <f>IF($A1922="","",IF(BI1922=1,F1922,""))</f>
        <v>0</v>
      </c>
      <c r="BN1922">
        <f>IF($A1922="","",DATE(YEAR($A1922),MONTH($A1922),1))</f>
        <v>0</v>
      </c>
      <c r="BO1922">
        <f>IF($A1922="","",IF($A1921="",1,IF(BN1922&lt;&gt;BN1921,1,0)))</f>
        <v>0</v>
      </c>
      <c r="BP1922">
        <f>IF($A1922="","",IF($A1923="",1,IF(BN1923&lt;&gt;BN1922,1,0)))</f>
        <v>0</v>
      </c>
      <c r="BQ1922">
        <f>IF($A1922="","",IF(BO1922=1,$B1922,BQ1921))</f>
        <v>0</v>
      </c>
      <c r="BR1922">
        <f>IF($A1922="","",IF(BO1922=1,$C1922,MAX($C1922,BR1921)))</f>
        <v>0</v>
      </c>
      <c r="BS1922">
        <f>IF($A1922="","",IF(BO1922=1,$D1922,MIN($D1922,BS1921)))</f>
        <v>0</v>
      </c>
      <c r="BT1922">
        <f>IF($A1922="","",IF(BP1922=1,F1922,""))</f>
        <v>0</v>
      </c>
    </row>
    <row r="1923" spans="1:72">
      <c r="A1923" s="27">
        <f>IF(Data!$A1923="","",Data!$A1923)</f>
        <v>0</v>
      </c>
      <c r="B1923">
        <f>IF(Data!$B1923="","",Data!$B1923)</f>
        <v>0</v>
      </c>
      <c r="C1923">
        <f>IF(Data!$C1923="","",Data!$C1923)</f>
        <v>0</v>
      </c>
      <c r="D1923">
        <f>IF(Data!$D1923="","",Data!$D1923)</f>
        <v>0</v>
      </c>
      <c r="E1923">
        <f>IF(Data!$E1923="","",Data!$E1923)</f>
        <v>0</v>
      </c>
      <c r="F1923">
        <f>IF($E1923="","",N(F1922)+1)</f>
        <v>0</v>
      </c>
      <c r="G1923">
        <f>IF(OR($E1923="",$E1922=""),"",LN($E1923/$E1922))</f>
        <v>0</v>
      </c>
      <c r="H1923">
        <f>IF($E1923="","",IF($E1922="",$E1923,$E1923*0.0952380952+H1922*0.9047619048))</f>
        <v>0</v>
      </c>
      <c r="I1923">
        <f>IF($E1923="","",IF($E1922="",$E1923,$E1923*0.0392156863+I1922*0.9607843137))</f>
        <v>0</v>
      </c>
      <c r="J1923">
        <f>IF($E1923="","",IF($E1922="",$E1923,$E1923*0.0198019802+J1922*0.9801980198))</f>
        <v>0</v>
      </c>
      <c r="K1923">
        <f>IF($E1923="","",IF($E1922="",$E1923,$E1923*0.0099502488+K1922*0.9900497512))</f>
        <v>0</v>
      </c>
      <c r="L1923">
        <f>IF(OR($E1923="",$E1922=""),"",MAX($E1923-$E1922,0))</f>
        <v>0</v>
      </c>
      <c r="M1923">
        <f>IF(OR($E1923="",$E1922=""),"",MAX($E1922-$E1923,0))</f>
        <v>0</v>
      </c>
      <c r="N1923">
        <f>IF(COUNT($E$2:$E1923)&lt;15,"",IF(AVERAGE($M$1910:$M$1923)=0,100,100-100/(1+AVERAGE($L$1910:$L$1923)/AVERAGE($M$1910:$M$1923))))</f>
        <v>0</v>
      </c>
      <c r="O1923">
        <f>IF($E1923="","",IF($E1922="",$E1923,$E1923*0.1538461538+O1922*0.8461538462))</f>
        <v>0</v>
      </c>
      <c r="P1923">
        <f>IF($E1923="","",IF($E1922="",$E1923,$E1923*0.0740740741+P1922*0.9259259259))</f>
        <v>0</v>
      </c>
      <c r="Q1923">
        <f>IF(OR(O1923="",P1923=""),"",O1923-P1923)</f>
        <v>0</v>
      </c>
      <c r="R1923">
        <f>IF(Q1923="","",IF(R1922="",Q1923,Q1923*0.2000000000+R1922*0.8000000000))</f>
        <v>0</v>
      </c>
      <c r="S1923">
        <f>IF(OR(Q1923="",R1923=""),"",Q1923-R1923)</f>
        <v>0</v>
      </c>
      <c r="T1923">
        <f>IF(COUNT($E$2:$E1923)&lt;14,"",MAX($C$1910:$C$1923))</f>
        <v>0</v>
      </c>
      <c r="U1923">
        <f>IF(COUNT($E$2:$E1923)&lt;14,"",MIN($D$1910:$D$1923))</f>
        <v>0</v>
      </c>
      <c r="V1923">
        <f>IF(OR(T1923="",U1923="",T1923=U1923),"",100*($E1923-U1923)/(T1923-U1923))</f>
        <v>0</v>
      </c>
      <c r="W1923">
        <f>IF(COUNT($V$1921:$V$1923)&lt;3,"",AVERAGE($V$1921:$V$1923))</f>
        <v>0</v>
      </c>
      <c r="X1923">
        <f>IF(COUNT($N$1910:$N$1923)&lt;14,"",MIN($N$1910:$N$1923))</f>
        <v>0</v>
      </c>
      <c r="Y1923">
        <f>IF(COUNT($N$1910:$N$1923)&lt;14,"",MAX($N$1910:$N$1923))</f>
        <v>0</v>
      </c>
      <c r="Z1923">
        <f>IF(OR(N1923="",X1923="",Y1923="",Y1923=X1923),"",100*(N1923-X1923)/(Y1923-X1923))</f>
        <v>0</v>
      </c>
      <c r="AA1923">
        <f>IF(COUNT($Z$1921:$Z$1923)&lt;3,"",AVERAGE($Z$1921:$Z$1923))</f>
        <v>0</v>
      </c>
      <c r="AB1923">
        <f>IF(COUNT($AA$1921:$AA$1923)&lt;3,"",AVERAGE($AA$1921:$AA$1923))</f>
        <v>0</v>
      </c>
      <c r="AC1923">
        <f>IF($E1923="","",MAX($C1923-$D1923,ABS($C1923-$E1922),ABS($D1923-$E1922)))</f>
        <v>0</v>
      </c>
      <c r="AD1923">
        <f>IF(COUNT($E$2:$E1923)&lt;15,"",AVERAGE($AC$1910:$AC$1923))</f>
        <v>0</v>
      </c>
      <c r="AE1923">
        <f>IF(OR($E1923="",$E1922=""),"",IF(AND(($C1923-$C1922)&gt;($D1922-$D1923),($C1923-$C1922)&gt;0),$C1923-$C1922,0))</f>
        <v>0</v>
      </c>
      <c r="AF1923">
        <f>IF(OR($E1923="",$E1922=""),"",IF(AND(($D1922-$D1923)&gt;($C1923-$C1922),($D1922-$D1923)&gt;0),$D1922-$D1923,0))</f>
        <v>0</v>
      </c>
      <c r="AG1923">
        <f>IF(COUNT($E$2:$E1923)&lt;15,"",IF(SUM($AC$1910:$AC$1923)=0,0,100*SUM($AE$1910:$AE$1923)/SUM($AC$1910:$AC$1923)))</f>
        <v>0</v>
      </c>
      <c r="AH1923">
        <f>IF(COUNT($E$2:$E1923)&lt;15,"",IF(SUM($AC$1910:$AC$1923)=0,0,100*SUM($AF$1910:$AF$1923)/SUM($AC$1910:$AC$1923)))</f>
        <v>0</v>
      </c>
      <c r="AI1923">
        <f>IF(OR(AG1923="",AH1923=""),"",IF((AG1923+AH1923)=0,0,100*ABS(AG1923-AH1923)/(AG1923+AH1923)))</f>
        <v>0</v>
      </c>
      <c r="AJ1923">
        <f>IF(COUNT($AI$1910:$AI$1923)&lt;14,"",AVERAGE($AI$1910:$AI$1923))</f>
        <v>0</v>
      </c>
      <c r="AK1923">
        <f>IF(COUNT($E$2:$E1923)&lt;20,"",AVERAGE($E$1904:$E$1923))</f>
        <v>0</v>
      </c>
      <c r="AL1923">
        <f>IF(COUNT($E$2:$E1923)&lt;20,"",STDEVP($E$1904:$E$1923))</f>
        <v>0</v>
      </c>
      <c r="AM1923">
        <f>IF(AK1923="","",AK1923+2*AL1923)</f>
        <v>0</v>
      </c>
      <c r="AN1923">
        <f>IF(AK1923="","",AK1923-2*AL1923)</f>
        <v>0</v>
      </c>
      <c r="AO1923">
        <f>IF(OR(AM1923="",AN1923="",AM1923=AN1923),"",($E1923-AN1923)/(AM1923-AN1923))</f>
        <v>0</v>
      </c>
      <c r="AP1923">
        <f>IF(OR(AM1923="",AK1923="",AK1923=0),"",(AM1923-AN1923)/AK1923)</f>
        <v>0</v>
      </c>
      <c r="AQ1923">
        <f>IF(COUNT($E$2:$E1923)&lt;20,"",MAX($C$1904:$C$1923))</f>
        <v>0</v>
      </c>
      <c r="AR1923">
        <f>IF(COUNT($E$2:$E1923)&lt;20,"",MIN($D$1904:$D$1923))</f>
        <v>0</v>
      </c>
      <c r="AS1923">
        <f>IF(OR(AQ1923="",AR1923=""),"",(AQ1923+AR1923)/2)</f>
        <v>0</v>
      </c>
      <c r="AT1923">
        <f>IF(COUNT($G$1904:$G$1923)&lt;20,"",STDEV($G$1904:$G$1923)*SQRT(252))</f>
        <v>0</v>
      </c>
      <c r="AU1923">
        <f>IF(COUNT($E$2:$E1923)&lt;9,"",(MAX($C$1915:$C$1923)+MIN($D$1915:$D$1923))/2)</f>
        <v>0</v>
      </c>
      <c r="AV1923">
        <f>IF(COUNT($E$2:$E1923)&lt;26,"",(MAX($C$1898:$C$1923)+MIN($D$1898:$D$1923))/2)</f>
        <v>0</v>
      </c>
      <c r="AW1923">
        <f>IF(OR(AU1923="",AV1923=""),"",(AU1923+AV1923)/2)</f>
        <v>0</v>
      </c>
      <c r="AX1923">
        <f>IF(COUNT($E$2:$E1923)&lt;52,"",(MAX($C$1872:$C$1923)+MIN($D$1872:$D$1923))/2)</f>
        <v>0</v>
      </c>
      <c r="AY1923">
        <f>IF(COUNT($E$2:$E1923)&lt;20,"",MAX($C$1824:$C$1923))</f>
        <v>0</v>
      </c>
      <c r="AZ1923">
        <f>IF(COUNT($E$2:$E1923)&lt;20,"",MIN($D$1824:$D$1923))</f>
        <v>0</v>
      </c>
      <c r="BA1923">
        <f>IF(COUNT($E$2:$E1923)&lt;20,"",SLOPE($E$1824:$E$1923,$F$1824:$F$1923))</f>
        <v>0</v>
      </c>
      <c r="BB1923">
        <f>IF(COUNT($E$2:$E1923)&lt;20,"",INTERCEPT($E$1824:$E$1923,$F$1824:$F$1923))</f>
        <v>0</v>
      </c>
      <c r="BC1923">
        <f>IF(OR(BA1923="",BB1923=""),"",BB1923+BA1923*F1923)</f>
        <v>0</v>
      </c>
      <c r="BD1923">
        <f>IF(COUNT($E$2:$E1923)&lt;20,"",STEYX($E$1824:$E$1923,$F$1824:$F$1923))</f>
        <v>0</v>
      </c>
      <c r="BE1923">
        <f>IF($E1923="","",IF(AND(COUNT($E$1924:$E$1927)&gt;=4,$C1923=MAX($C$1919:$C$1927)),$C1923,""))</f>
        <v>0</v>
      </c>
      <c r="BF1923">
        <f>IF($E1923="","",IF(AND(COUNT($E$1924:$E$1927)&gt;=4,$D1923=MIN($D$1919:$D$1927)),$D1923,""))</f>
        <v>0</v>
      </c>
      <c r="BG1923">
        <f>IF($A1923="","",$A1923-WEEKDAY($A1923,2)+1)</f>
        <v>0</v>
      </c>
      <c r="BH1923">
        <f>IF($A1923="","",IF($A1922="",1,IF(BG1923&lt;&gt;BG1922,1,0)))</f>
        <v>0</v>
      </c>
      <c r="BI1923">
        <f>IF($A1923="","",IF($A1924="",1,IF(BG1924&lt;&gt;BG1923,1,0)))</f>
        <v>0</v>
      </c>
      <c r="BJ1923">
        <f>IF($A1923="","",IF(BH1923=1,$B1923,BJ1922))</f>
        <v>0</v>
      </c>
      <c r="BK1923">
        <f>IF($A1923="","",IF(BH1923=1,$C1923,MAX($C1923,BK1922)))</f>
        <v>0</v>
      </c>
      <c r="BL1923">
        <f>IF($A1923="","",IF(BH1923=1,$D1923,MIN($D1923,BL1922)))</f>
        <v>0</v>
      </c>
      <c r="BM1923">
        <f>IF($A1923="","",IF(BI1923=1,F1923,""))</f>
        <v>0</v>
      </c>
      <c r="BN1923">
        <f>IF($A1923="","",DATE(YEAR($A1923),MONTH($A1923),1))</f>
        <v>0</v>
      </c>
      <c r="BO1923">
        <f>IF($A1923="","",IF($A1922="",1,IF(BN1923&lt;&gt;BN1922,1,0)))</f>
        <v>0</v>
      </c>
      <c r="BP1923">
        <f>IF($A1923="","",IF($A1924="",1,IF(BN1924&lt;&gt;BN1923,1,0)))</f>
        <v>0</v>
      </c>
      <c r="BQ1923">
        <f>IF($A1923="","",IF(BO1923=1,$B1923,BQ1922))</f>
        <v>0</v>
      </c>
      <c r="BR1923">
        <f>IF($A1923="","",IF(BO1923=1,$C1923,MAX($C1923,BR1922)))</f>
        <v>0</v>
      </c>
      <c r="BS1923">
        <f>IF($A1923="","",IF(BO1923=1,$D1923,MIN($D1923,BS1922)))</f>
        <v>0</v>
      </c>
      <c r="BT1923">
        <f>IF($A1923="","",IF(BP1923=1,F1923,""))</f>
        <v>0</v>
      </c>
    </row>
    <row r="1924" spans="1:72">
      <c r="A1924" s="27">
        <f>IF(Data!$A1924="","",Data!$A1924)</f>
        <v>0</v>
      </c>
      <c r="B1924">
        <f>IF(Data!$B1924="","",Data!$B1924)</f>
        <v>0</v>
      </c>
      <c r="C1924">
        <f>IF(Data!$C1924="","",Data!$C1924)</f>
        <v>0</v>
      </c>
      <c r="D1924">
        <f>IF(Data!$D1924="","",Data!$D1924)</f>
        <v>0</v>
      </c>
      <c r="E1924">
        <f>IF(Data!$E1924="","",Data!$E1924)</f>
        <v>0</v>
      </c>
      <c r="F1924">
        <f>IF($E1924="","",N(F1923)+1)</f>
        <v>0</v>
      </c>
      <c r="G1924">
        <f>IF(OR($E1924="",$E1923=""),"",LN($E1924/$E1923))</f>
        <v>0</v>
      </c>
      <c r="H1924">
        <f>IF($E1924="","",IF($E1923="",$E1924,$E1924*0.0952380952+H1923*0.9047619048))</f>
        <v>0</v>
      </c>
      <c r="I1924">
        <f>IF($E1924="","",IF($E1923="",$E1924,$E1924*0.0392156863+I1923*0.9607843137))</f>
        <v>0</v>
      </c>
      <c r="J1924">
        <f>IF($E1924="","",IF($E1923="",$E1924,$E1924*0.0198019802+J1923*0.9801980198))</f>
        <v>0</v>
      </c>
      <c r="K1924">
        <f>IF($E1924="","",IF($E1923="",$E1924,$E1924*0.0099502488+K1923*0.9900497512))</f>
        <v>0</v>
      </c>
      <c r="L1924">
        <f>IF(OR($E1924="",$E1923=""),"",MAX($E1924-$E1923,0))</f>
        <v>0</v>
      </c>
      <c r="M1924">
        <f>IF(OR($E1924="",$E1923=""),"",MAX($E1923-$E1924,0))</f>
        <v>0</v>
      </c>
      <c r="N1924">
        <f>IF(COUNT($E$2:$E1924)&lt;15,"",IF(AVERAGE($M$1911:$M$1924)=0,100,100-100/(1+AVERAGE($L$1911:$L$1924)/AVERAGE($M$1911:$M$1924))))</f>
        <v>0</v>
      </c>
      <c r="O1924">
        <f>IF($E1924="","",IF($E1923="",$E1924,$E1924*0.1538461538+O1923*0.8461538462))</f>
        <v>0</v>
      </c>
      <c r="P1924">
        <f>IF($E1924="","",IF($E1923="",$E1924,$E1924*0.0740740741+P1923*0.9259259259))</f>
        <v>0</v>
      </c>
      <c r="Q1924">
        <f>IF(OR(O1924="",P1924=""),"",O1924-P1924)</f>
        <v>0</v>
      </c>
      <c r="R1924">
        <f>IF(Q1924="","",IF(R1923="",Q1924,Q1924*0.2000000000+R1923*0.8000000000))</f>
        <v>0</v>
      </c>
      <c r="S1924">
        <f>IF(OR(Q1924="",R1924=""),"",Q1924-R1924)</f>
        <v>0</v>
      </c>
      <c r="T1924">
        <f>IF(COUNT($E$2:$E1924)&lt;14,"",MAX($C$1911:$C$1924))</f>
        <v>0</v>
      </c>
      <c r="U1924">
        <f>IF(COUNT($E$2:$E1924)&lt;14,"",MIN($D$1911:$D$1924))</f>
        <v>0</v>
      </c>
      <c r="V1924">
        <f>IF(OR(T1924="",U1924="",T1924=U1924),"",100*($E1924-U1924)/(T1924-U1924))</f>
        <v>0</v>
      </c>
      <c r="W1924">
        <f>IF(COUNT($V$1922:$V$1924)&lt;3,"",AVERAGE($V$1922:$V$1924))</f>
        <v>0</v>
      </c>
      <c r="X1924">
        <f>IF(COUNT($N$1911:$N$1924)&lt;14,"",MIN($N$1911:$N$1924))</f>
        <v>0</v>
      </c>
      <c r="Y1924">
        <f>IF(COUNT($N$1911:$N$1924)&lt;14,"",MAX($N$1911:$N$1924))</f>
        <v>0</v>
      </c>
      <c r="Z1924">
        <f>IF(OR(N1924="",X1924="",Y1924="",Y1924=X1924),"",100*(N1924-X1924)/(Y1924-X1924))</f>
        <v>0</v>
      </c>
      <c r="AA1924">
        <f>IF(COUNT($Z$1922:$Z$1924)&lt;3,"",AVERAGE($Z$1922:$Z$1924))</f>
        <v>0</v>
      </c>
      <c r="AB1924">
        <f>IF(COUNT($AA$1922:$AA$1924)&lt;3,"",AVERAGE($AA$1922:$AA$1924))</f>
        <v>0</v>
      </c>
      <c r="AC1924">
        <f>IF($E1924="","",MAX($C1924-$D1924,ABS($C1924-$E1923),ABS($D1924-$E1923)))</f>
        <v>0</v>
      </c>
      <c r="AD1924">
        <f>IF(COUNT($E$2:$E1924)&lt;15,"",AVERAGE($AC$1911:$AC$1924))</f>
        <v>0</v>
      </c>
      <c r="AE1924">
        <f>IF(OR($E1924="",$E1923=""),"",IF(AND(($C1924-$C1923)&gt;($D1923-$D1924),($C1924-$C1923)&gt;0),$C1924-$C1923,0))</f>
        <v>0</v>
      </c>
      <c r="AF1924">
        <f>IF(OR($E1924="",$E1923=""),"",IF(AND(($D1923-$D1924)&gt;($C1924-$C1923),($D1923-$D1924)&gt;0),$D1923-$D1924,0))</f>
        <v>0</v>
      </c>
      <c r="AG1924">
        <f>IF(COUNT($E$2:$E1924)&lt;15,"",IF(SUM($AC$1911:$AC$1924)=0,0,100*SUM($AE$1911:$AE$1924)/SUM($AC$1911:$AC$1924)))</f>
        <v>0</v>
      </c>
      <c r="AH1924">
        <f>IF(COUNT($E$2:$E1924)&lt;15,"",IF(SUM($AC$1911:$AC$1924)=0,0,100*SUM($AF$1911:$AF$1924)/SUM($AC$1911:$AC$1924)))</f>
        <v>0</v>
      </c>
      <c r="AI1924">
        <f>IF(OR(AG1924="",AH1924=""),"",IF((AG1924+AH1924)=0,0,100*ABS(AG1924-AH1924)/(AG1924+AH1924)))</f>
        <v>0</v>
      </c>
      <c r="AJ1924">
        <f>IF(COUNT($AI$1911:$AI$1924)&lt;14,"",AVERAGE($AI$1911:$AI$1924))</f>
        <v>0</v>
      </c>
      <c r="AK1924">
        <f>IF(COUNT($E$2:$E1924)&lt;20,"",AVERAGE($E$1905:$E$1924))</f>
        <v>0</v>
      </c>
      <c r="AL1924">
        <f>IF(COUNT($E$2:$E1924)&lt;20,"",STDEVP($E$1905:$E$1924))</f>
        <v>0</v>
      </c>
      <c r="AM1924">
        <f>IF(AK1924="","",AK1924+2*AL1924)</f>
        <v>0</v>
      </c>
      <c r="AN1924">
        <f>IF(AK1924="","",AK1924-2*AL1924)</f>
        <v>0</v>
      </c>
      <c r="AO1924">
        <f>IF(OR(AM1924="",AN1924="",AM1924=AN1924),"",($E1924-AN1924)/(AM1924-AN1924))</f>
        <v>0</v>
      </c>
      <c r="AP1924">
        <f>IF(OR(AM1924="",AK1924="",AK1924=0),"",(AM1924-AN1924)/AK1924)</f>
        <v>0</v>
      </c>
      <c r="AQ1924">
        <f>IF(COUNT($E$2:$E1924)&lt;20,"",MAX($C$1905:$C$1924))</f>
        <v>0</v>
      </c>
      <c r="AR1924">
        <f>IF(COUNT($E$2:$E1924)&lt;20,"",MIN($D$1905:$D$1924))</f>
        <v>0</v>
      </c>
      <c r="AS1924">
        <f>IF(OR(AQ1924="",AR1924=""),"",(AQ1924+AR1924)/2)</f>
        <v>0</v>
      </c>
      <c r="AT1924">
        <f>IF(COUNT($G$1905:$G$1924)&lt;20,"",STDEV($G$1905:$G$1924)*SQRT(252))</f>
        <v>0</v>
      </c>
      <c r="AU1924">
        <f>IF(COUNT($E$2:$E1924)&lt;9,"",(MAX($C$1916:$C$1924)+MIN($D$1916:$D$1924))/2)</f>
        <v>0</v>
      </c>
      <c r="AV1924">
        <f>IF(COUNT($E$2:$E1924)&lt;26,"",(MAX($C$1899:$C$1924)+MIN($D$1899:$D$1924))/2)</f>
        <v>0</v>
      </c>
      <c r="AW1924">
        <f>IF(OR(AU1924="",AV1924=""),"",(AU1924+AV1924)/2)</f>
        <v>0</v>
      </c>
      <c r="AX1924">
        <f>IF(COUNT($E$2:$E1924)&lt;52,"",(MAX($C$1873:$C$1924)+MIN($D$1873:$D$1924))/2)</f>
        <v>0</v>
      </c>
      <c r="AY1924">
        <f>IF(COUNT($E$2:$E1924)&lt;20,"",MAX($C$1825:$C$1924))</f>
        <v>0</v>
      </c>
      <c r="AZ1924">
        <f>IF(COUNT($E$2:$E1924)&lt;20,"",MIN($D$1825:$D$1924))</f>
        <v>0</v>
      </c>
      <c r="BA1924">
        <f>IF(COUNT($E$2:$E1924)&lt;20,"",SLOPE($E$1825:$E$1924,$F$1825:$F$1924))</f>
        <v>0</v>
      </c>
      <c r="BB1924">
        <f>IF(COUNT($E$2:$E1924)&lt;20,"",INTERCEPT($E$1825:$E$1924,$F$1825:$F$1924))</f>
        <v>0</v>
      </c>
      <c r="BC1924">
        <f>IF(OR(BA1924="",BB1924=""),"",BB1924+BA1924*F1924)</f>
        <v>0</v>
      </c>
      <c r="BD1924">
        <f>IF(COUNT($E$2:$E1924)&lt;20,"",STEYX($E$1825:$E$1924,$F$1825:$F$1924))</f>
        <v>0</v>
      </c>
      <c r="BE1924">
        <f>IF($E1924="","",IF(AND(COUNT($E$1925:$E$1928)&gt;=4,$C1924=MAX($C$1920:$C$1928)),$C1924,""))</f>
        <v>0</v>
      </c>
      <c r="BF1924">
        <f>IF($E1924="","",IF(AND(COUNT($E$1925:$E$1928)&gt;=4,$D1924=MIN($D$1920:$D$1928)),$D1924,""))</f>
        <v>0</v>
      </c>
      <c r="BG1924">
        <f>IF($A1924="","",$A1924-WEEKDAY($A1924,2)+1)</f>
        <v>0</v>
      </c>
      <c r="BH1924">
        <f>IF($A1924="","",IF($A1923="",1,IF(BG1924&lt;&gt;BG1923,1,0)))</f>
        <v>0</v>
      </c>
      <c r="BI1924">
        <f>IF($A1924="","",IF($A1925="",1,IF(BG1925&lt;&gt;BG1924,1,0)))</f>
        <v>0</v>
      </c>
      <c r="BJ1924">
        <f>IF($A1924="","",IF(BH1924=1,$B1924,BJ1923))</f>
        <v>0</v>
      </c>
      <c r="BK1924">
        <f>IF($A1924="","",IF(BH1924=1,$C1924,MAX($C1924,BK1923)))</f>
        <v>0</v>
      </c>
      <c r="BL1924">
        <f>IF($A1924="","",IF(BH1924=1,$D1924,MIN($D1924,BL1923)))</f>
        <v>0</v>
      </c>
      <c r="BM1924">
        <f>IF($A1924="","",IF(BI1924=1,F1924,""))</f>
        <v>0</v>
      </c>
      <c r="BN1924">
        <f>IF($A1924="","",DATE(YEAR($A1924),MONTH($A1924),1))</f>
        <v>0</v>
      </c>
      <c r="BO1924">
        <f>IF($A1924="","",IF($A1923="",1,IF(BN1924&lt;&gt;BN1923,1,0)))</f>
        <v>0</v>
      </c>
      <c r="BP1924">
        <f>IF($A1924="","",IF($A1925="",1,IF(BN1925&lt;&gt;BN1924,1,0)))</f>
        <v>0</v>
      </c>
      <c r="BQ1924">
        <f>IF($A1924="","",IF(BO1924=1,$B1924,BQ1923))</f>
        <v>0</v>
      </c>
      <c r="BR1924">
        <f>IF($A1924="","",IF(BO1924=1,$C1924,MAX($C1924,BR1923)))</f>
        <v>0</v>
      </c>
      <c r="BS1924">
        <f>IF($A1924="","",IF(BO1924=1,$D1924,MIN($D1924,BS1923)))</f>
        <v>0</v>
      </c>
      <c r="BT1924">
        <f>IF($A1924="","",IF(BP1924=1,F1924,""))</f>
        <v>0</v>
      </c>
    </row>
    <row r="1925" spans="1:72">
      <c r="A1925" s="27">
        <f>IF(Data!$A1925="","",Data!$A1925)</f>
        <v>0</v>
      </c>
      <c r="B1925">
        <f>IF(Data!$B1925="","",Data!$B1925)</f>
        <v>0</v>
      </c>
      <c r="C1925">
        <f>IF(Data!$C1925="","",Data!$C1925)</f>
        <v>0</v>
      </c>
      <c r="D1925">
        <f>IF(Data!$D1925="","",Data!$D1925)</f>
        <v>0</v>
      </c>
      <c r="E1925">
        <f>IF(Data!$E1925="","",Data!$E1925)</f>
        <v>0</v>
      </c>
      <c r="F1925">
        <f>IF($E1925="","",N(F1924)+1)</f>
        <v>0</v>
      </c>
      <c r="G1925">
        <f>IF(OR($E1925="",$E1924=""),"",LN($E1925/$E1924))</f>
        <v>0</v>
      </c>
      <c r="H1925">
        <f>IF($E1925="","",IF($E1924="",$E1925,$E1925*0.0952380952+H1924*0.9047619048))</f>
        <v>0</v>
      </c>
      <c r="I1925">
        <f>IF($E1925="","",IF($E1924="",$E1925,$E1925*0.0392156863+I1924*0.9607843137))</f>
        <v>0</v>
      </c>
      <c r="J1925">
        <f>IF($E1925="","",IF($E1924="",$E1925,$E1925*0.0198019802+J1924*0.9801980198))</f>
        <v>0</v>
      </c>
      <c r="K1925">
        <f>IF($E1925="","",IF($E1924="",$E1925,$E1925*0.0099502488+K1924*0.9900497512))</f>
        <v>0</v>
      </c>
      <c r="L1925">
        <f>IF(OR($E1925="",$E1924=""),"",MAX($E1925-$E1924,0))</f>
        <v>0</v>
      </c>
      <c r="M1925">
        <f>IF(OR($E1925="",$E1924=""),"",MAX($E1924-$E1925,0))</f>
        <v>0</v>
      </c>
      <c r="N1925">
        <f>IF(COUNT($E$2:$E1925)&lt;15,"",IF(AVERAGE($M$1912:$M$1925)=0,100,100-100/(1+AVERAGE($L$1912:$L$1925)/AVERAGE($M$1912:$M$1925))))</f>
        <v>0</v>
      </c>
      <c r="O1925">
        <f>IF($E1925="","",IF($E1924="",$E1925,$E1925*0.1538461538+O1924*0.8461538462))</f>
        <v>0</v>
      </c>
      <c r="P1925">
        <f>IF($E1925="","",IF($E1924="",$E1925,$E1925*0.0740740741+P1924*0.9259259259))</f>
        <v>0</v>
      </c>
      <c r="Q1925">
        <f>IF(OR(O1925="",P1925=""),"",O1925-P1925)</f>
        <v>0</v>
      </c>
      <c r="R1925">
        <f>IF(Q1925="","",IF(R1924="",Q1925,Q1925*0.2000000000+R1924*0.8000000000))</f>
        <v>0</v>
      </c>
      <c r="S1925">
        <f>IF(OR(Q1925="",R1925=""),"",Q1925-R1925)</f>
        <v>0</v>
      </c>
      <c r="T1925">
        <f>IF(COUNT($E$2:$E1925)&lt;14,"",MAX($C$1912:$C$1925))</f>
        <v>0</v>
      </c>
      <c r="U1925">
        <f>IF(COUNT($E$2:$E1925)&lt;14,"",MIN($D$1912:$D$1925))</f>
        <v>0</v>
      </c>
      <c r="V1925">
        <f>IF(OR(T1925="",U1925="",T1925=U1925),"",100*($E1925-U1925)/(T1925-U1925))</f>
        <v>0</v>
      </c>
      <c r="W1925">
        <f>IF(COUNT($V$1923:$V$1925)&lt;3,"",AVERAGE($V$1923:$V$1925))</f>
        <v>0</v>
      </c>
      <c r="X1925">
        <f>IF(COUNT($N$1912:$N$1925)&lt;14,"",MIN($N$1912:$N$1925))</f>
        <v>0</v>
      </c>
      <c r="Y1925">
        <f>IF(COUNT($N$1912:$N$1925)&lt;14,"",MAX($N$1912:$N$1925))</f>
        <v>0</v>
      </c>
      <c r="Z1925">
        <f>IF(OR(N1925="",X1925="",Y1925="",Y1925=X1925),"",100*(N1925-X1925)/(Y1925-X1925))</f>
        <v>0</v>
      </c>
      <c r="AA1925">
        <f>IF(COUNT($Z$1923:$Z$1925)&lt;3,"",AVERAGE($Z$1923:$Z$1925))</f>
        <v>0</v>
      </c>
      <c r="AB1925">
        <f>IF(COUNT($AA$1923:$AA$1925)&lt;3,"",AVERAGE($AA$1923:$AA$1925))</f>
        <v>0</v>
      </c>
      <c r="AC1925">
        <f>IF($E1925="","",MAX($C1925-$D1925,ABS($C1925-$E1924),ABS($D1925-$E1924)))</f>
        <v>0</v>
      </c>
      <c r="AD1925">
        <f>IF(COUNT($E$2:$E1925)&lt;15,"",AVERAGE($AC$1912:$AC$1925))</f>
        <v>0</v>
      </c>
      <c r="AE1925">
        <f>IF(OR($E1925="",$E1924=""),"",IF(AND(($C1925-$C1924)&gt;($D1924-$D1925),($C1925-$C1924)&gt;0),$C1925-$C1924,0))</f>
        <v>0</v>
      </c>
      <c r="AF1925">
        <f>IF(OR($E1925="",$E1924=""),"",IF(AND(($D1924-$D1925)&gt;($C1925-$C1924),($D1924-$D1925)&gt;0),$D1924-$D1925,0))</f>
        <v>0</v>
      </c>
      <c r="AG1925">
        <f>IF(COUNT($E$2:$E1925)&lt;15,"",IF(SUM($AC$1912:$AC$1925)=0,0,100*SUM($AE$1912:$AE$1925)/SUM($AC$1912:$AC$1925)))</f>
        <v>0</v>
      </c>
      <c r="AH1925">
        <f>IF(COUNT($E$2:$E1925)&lt;15,"",IF(SUM($AC$1912:$AC$1925)=0,0,100*SUM($AF$1912:$AF$1925)/SUM($AC$1912:$AC$1925)))</f>
        <v>0</v>
      </c>
      <c r="AI1925">
        <f>IF(OR(AG1925="",AH1925=""),"",IF((AG1925+AH1925)=0,0,100*ABS(AG1925-AH1925)/(AG1925+AH1925)))</f>
        <v>0</v>
      </c>
      <c r="AJ1925">
        <f>IF(COUNT($AI$1912:$AI$1925)&lt;14,"",AVERAGE($AI$1912:$AI$1925))</f>
        <v>0</v>
      </c>
      <c r="AK1925">
        <f>IF(COUNT($E$2:$E1925)&lt;20,"",AVERAGE($E$1906:$E$1925))</f>
        <v>0</v>
      </c>
      <c r="AL1925">
        <f>IF(COUNT($E$2:$E1925)&lt;20,"",STDEVP($E$1906:$E$1925))</f>
        <v>0</v>
      </c>
      <c r="AM1925">
        <f>IF(AK1925="","",AK1925+2*AL1925)</f>
        <v>0</v>
      </c>
      <c r="AN1925">
        <f>IF(AK1925="","",AK1925-2*AL1925)</f>
        <v>0</v>
      </c>
      <c r="AO1925">
        <f>IF(OR(AM1925="",AN1925="",AM1925=AN1925),"",($E1925-AN1925)/(AM1925-AN1925))</f>
        <v>0</v>
      </c>
      <c r="AP1925">
        <f>IF(OR(AM1925="",AK1925="",AK1925=0),"",(AM1925-AN1925)/AK1925)</f>
        <v>0</v>
      </c>
      <c r="AQ1925">
        <f>IF(COUNT($E$2:$E1925)&lt;20,"",MAX($C$1906:$C$1925))</f>
        <v>0</v>
      </c>
      <c r="AR1925">
        <f>IF(COUNT($E$2:$E1925)&lt;20,"",MIN($D$1906:$D$1925))</f>
        <v>0</v>
      </c>
      <c r="AS1925">
        <f>IF(OR(AQ1925="",AR1925=""),"",(AQ1925+AR1925)/2)</f>
        <v>0</v>
      </c>
      <c r="AT1925">
        <f>IF(COUNT($G$1906:$G$1925)&lt;20,"",STDEV($G$1906:$G$1925)*SQRT(252))</f>
        <v>0</v>
      </c>
      <c r="AU1925">
        <f>IF(COUNT($E$2:$E1925)&lt;9,"",(MAX($C$1917:$C$1925)+MIN($D$1917:$D$1925))/2)</f>
        <v>0</v>
      </c>
      <c r="AV1925">
        <f>IF(COUNT($E$2:$E1925)&lt;26,"",(MAX($C$1900:$C$1925)+MIN($D$1900:$D$1925))/2)</f>
        <v>0</v>
      </c>
      <c r="AW1925">
        <f>IF(OR(AU1925="",AV1925=""),"",(AU1925+AV1925)/2)</f>
        <v>0</v>
      </c>
      <c r="AX1925">
        <f>IF(COUNT($E$2:$E1925)&lt;52,"",(MAX($C$1874:$C$1925)+MIN($D$1874:$D$1925))/2)</f>
        <v>0</v>
      </c>
      <c r="AY1925">
        <f>IF(COUNT($E$2:$E1925)&lt;20,"",MAX($C$1826:$C$1925))</f>
        <v>0</v>
      </c>
      <c r="AZ1925">
        <f>IF(COUNT($E$2:$E1925)&lt;20,"",MIN($D$1826:$D$1925))</f>
        <v>0</v>
      </c>
      <c r="BA1925">
        <f>IF(COUNT($E$2:$E1925)&lt;20,"",SLOPE($E$1826:$E$1925,$F$1826:$F$1925))</f>
        <v>0</v>
      </c>
      <c r="BB1925">
        <f>IF(COUNT($E$2:$E1925)&lt;20,"",INTERCEPT($E$1826:$E$1925,$F$1826:$F$1925))</f>
        <v>0</v>
      </c>
      <c r="BC1925">
        <f>IF(OR(BA1925="",BB1925=""),"",BB1925+BA1925*F1925)</f>
        <v>0</v>
      </c>
      <c r="BD1925">
        <f>IF(COUNT($E$2:$E1925)&lt;20,"",STEYX($E$1826:$E$1925,$F$1826:$F$1925))</f>
        <v>0</v>
      </c>
      <c r="BE1925">
        <f>IF($E1925="","",IF(AND(COUNT($E$1926:$E$1929)&gt;=4,$C1925=MAX($C$1921:$C$1929)),$C1925,""))</f>
        <v>0</v>
      </c>
      <c r="BF1925">
        <f>IF($E1925="","",IF(AND(COUNT($E$1926:$E$1929)&gt;=4,$D1925=MIN($D$1921:$D$1929)),$D1925,""))</f>
        <v>0</v>
      </c>
      <c r="BG1925">
        <f>IF($A1925="","",$A1925-WEEKDAY($A1925,2)+1)</f>
        <v>0</v>
      </c>
      <c r="BH1925">
        <f>IF($A1925="","",IF($A1924="",1,IF(BG1925&lt;&gt;BG1924,1,0)))</f>
        <v>0</v>
      </c>
      <c r="BI1925">
        <f>IF($A1925="","",IF($A1926="",1,IF(BG1926&lt;&gt;BG1925,1,0)))</f>
        <v>0</v>
      </c>
      <c r="BJ1925">
        <f>IF($A1925="","",IF(BH1925=1,$B1925,BJ1924))</f>
        <v>0</v>
      </c>
      <c r="BK1925">
        <f>IF($A1925="","",IF(BH1925=1,$C1925,MAX($C1925,BK1924)))</f>
        <v>0</v>
      </c>
      <c r="BL1925">
        <f>IF($A1925="","",IF(BH1925=1,$D1925,MIN($D1925,BL1924)))</f>
        <v>0</v>
      </c>
      <c r="BM1925">
        <f>IF($A1925="","",IF(BI1925=1,F1925,""))</f>
        <v>0</v>
      </c>
      <c r="BN1925">
        <f>IF($A1925="","",DATE(YEAR($A1925),MONTH($A1925),1))</f>
        <v>0</v>
      </c>
      <c r="BO1925">
        <f>IF($A1925="","",IF($A1924="",1,IF(BN1925&lt;&gt;BN1924,1,0)))</f>
        <v>0</v>
      </c>
      <c r="BP1925">
        <f>IF($A1925="","",IF($A1926="",1,IF(BN1926&lt;&gt;BN1925,1,0)))</f>
        <v>0</v>
      </c>
      <c r="BQ1925">
        <f>IF($A1925="","",IF(BO1925=1,$B1925,BQ1924))</f>
        <v>0</v>
      </c>
      <c r="BR1925">
        <f>IF($A1925="","",IF(BO1925=1,$C1925,MAX($C1925,BR1924)))</f>
        <v>0</v>
      </c>
      <c r="BS1925">
        <f>IF($A1925="","",IF(BO1925=1,$D1925,MIN($D1925,BS1924)))</f>
        <v>0</v>
      </c>
      <c r="BT1925">
        <f>IF($A1925="","",IF(BP1925=1,F1925,""))</f>
        <v>0</v>
      </c>
    </row>
    <row r="1926" spans="1:72">
      <c r="A1926" s="27">
        <f>IF(Data!$A1926="","",Data!$A1926)</f>
        <v>0</v>
      </c>
      <c r="B1926">
        <f>IF(Data!$B1926="","",Data!$B1926)</f>
        <v>0</v>
      </c>
      <c r="C1926">
        <f>IF(Data!$C1926="","",Data!$C1926)</f>
        <v>0</v>
      </c>
      <c r="D1926">
        <f>IF(Data!$D1926="","",Data!$D1926)</f>
        <v>0</v>
      </c>
      <c r="E1926">
        <f>IF(Data!$E1926="","",Data!$E1926)</f>
        <v>0</v>
      </c>
      <c r="F1926">
        <f>IF($E1926="","",N(F1925)+1)</f>
        <v>0</v>
      </c>
      <c r="G1926">
        <f>IF(OR($E1926="",$E1925=""),"",LN($E1926/$E1925))</f>
        <v>0</v>
      </c>
      <c r="H1926">
        <f>IF($E1926="","",IF($E1925="",$E1926,$E1926*0.0952380952+H1925*0.9047619048))</f>
        <v>0</v>
      </c>
      <c r="I1926">
        <f>IF($E1926="","",IF($E1925="",$E1926,$E1926*0.0392156863+I1925*0.9607843137))</f>
        <v>0</v>
      </c>
      <c r="J1926">
        <f>IF($E1926="","",IF($E1925="",$E1926,$E1926*0.0198019802+J1925*0.9801980198))</f>
        <v>0</v>
      </c>
      <c r="K1926">
        <f>IF($E1926="","",IF($E1925="",$E1926,$E1926*0.0099502488+K1925*0.9900497512))</f>
        <v>0</v>
      </c>
      <c r="L1926">
        <f>IF(OR($E1926="",$E1925=""),"",MAX($E1926-$E1925,0))</f>
        <v>0</v>
      </c>
      <c r="M1926">
        <f>IF(OR($E1926="",$E1925=""),"",MAX($E1925-$E1926,0))</f>
        <v>0</v>
      </c>
      <c r="N1926">
        <f>IF(COUNT($E$2:$E1926)&lt;15,"",IF(AVERAGE($M$1913:$M$1926)=0,100,100-100/(1+AVERAGE($L$1913:$L$1926)/AVERAGE($M$1913:$M$1926))))</f>
        <v>0</v>
      </c>
      <c r="O1926">
        <f>IF($E1926="","",IF($E1925="",$E1926,$E1926*0.1538461538+O1925*0.8461538462))</f>
        <v>0</v>
      </c>
      <c r="P1926">
        <f>IF($E1926="","",IF($E1925="",$E1926,$E1926*0.0740740741+P1925*0.9259259259))</f>
        <v>0</v>
      </c>
      <c r="Q1926">
        <f>IF(OR(O1926="",P1926=""),"",O1926-P1926)</f>
        <v>0</v>
      </c>
      <c r="R1926">
        <f>IF(Q1926="","",IF(R1925="",Q1926,Q1926*0.2000000000+R1925*0.8000000000))</f>
        <v>0</v>
      </c>
      <c r="S1926">
        <f>IF(OR(Q1926="",R1926=""),"",Q1926-R1926)</f>
        <v>0</v>
      </c>
      <c r="T1926">
        <f>IF(COUNT($E$2:$E1926)&lt;14,"",MAX($C$1913:$C$1926))</f>
        <v>0</v>
      </c>
      <c r="U1926">
        <f>IF(COUNT($E$2:$E1926)&lt;14,"",MIN($D$1913:$D$1926))</f>
        <v>0</v>
      </c>
      <c r="V1926">
        <f>IF(OR(T1926="",U1926="",T1926=U1926),"",100*($E1926-U1926)/(T1926-U1926))</f>
        <v>0</v>
      </c>
      <c r="W1926">
        <f>IF(COUNT($V$1924:$V$1926)&lt;3,"",AVERAGE($V$1924:$V$1926))</f>
        <v>0</v>
      </c>
      <c r="X1926">
        <f>IF(COUNT($N$1913:$N$1926)&lt;14,"",MIN($N$1913:$N$1926))</f>
        <v>0</v>
      </c>
      <c r="Y1926">
        <f>IF(COUNT($N$1913:$N$1926)&lt;14,"",MAX($N$1913:$N$1926))</f>
        <v>0</v>
      </c>
      <c r="Z1926">
        <f>IF(OR(N1926="",X1926="",Y1926="",Y1926=X1926),"",100*(N1926-X1926)/(Y1926-X1926))</f>
        <v>0</v>
      </c>
      <c r="AA1926">
        <f>IF(COUNT($Z$1924:$Z$1926)&lt;3,"",AVERAGE($Z$1924:$Z$1926))</f>
        <v>0</v>
      </c>
      <c r="AB1926">
        <f>IF(COUNT($AA$1924:$AA$1926)&lt;3,"",AVERAGE($AA$1924:$AA$1926))</f>
        <v>0</v>
      </c>
      <c r="AC1926">
        <f>IF($E1926="","",MAX($C1926-$D1926,ABS($C1926-$E1925),ABS($D1926-$E1925)))</f>
        <v>0</v>
      </c>
      <c r="AD1926">
        <f>IF(COUNT($E$2:$E1926)&lt;15,"",AVERAGE($AC$1913:$AC$1926))</f>
        <v>0</v>
      </c>
      <c r="AE1926">
        <f>IF(OR($E1926="",$E1925=""),"",IF(AND(($C1926-$C1925)&gt;($D1925-$D1926),($C1926-$C1925)&gt;0),$C1926-$C1925,0))</f>
        <v>0</v>
      </c>
      <c r="AF1926">
        <f>IF(OR($E1926="",$E1925=""),"",IF(AND(($D1925-$D1926)&gt;($C1926-$C1925),($D1925-$D1926)&gt;0),$D1925-$D1926,0))</f>
        <v>0</v>
      </c>
      <c r="AG1926">
        <f>IF(COUNT($E$2:$E1926)&lt;15,"",IF(SUM($AC$1913:$AC$1926)=0,0,100*SUM($AE$1913:$AE$1926)/SUM($AC$1913:$AC$1926)))</f>
        <v>0</v>
      </c>
      <c r="AH1926">
        <f>IF(COUNT($E$2:$E1926)&lt;15,"",IF(SUM($AC$1913:$AC$1926)=0,0,100*SUM($AF$1913:$AF$1926)/SUM($AC$1913:$AC$1926)))</f>
        <v>0</v>
      </c>
      <c r="AI1926">
        <f>IF(OR(AG1926="",AH1926=""),"",IF((AG1926+AH1926)=0,0,100*ABS(AG1926-AH1926)/(AG1926+AH1926)))</f>
        <v>0</v>
      </c>
      <c r="AJ1926">
        <f>IF(COUNT($AI$1913:$AI$1926)&lt;14,"",AVERAGE($AI$1913:$AI$1926))</f>
        <v>0</v>
      </c>
      <c r="AK1926">
        <f>IF(COUNT($E$2:$E1926)&lt;20,"",AVERAGE($E$1907:$E$1926))</f>
        <v>0</v>
      </c>
      <c r="AL1926">
        <f>IF(COUNT($E$2:$E1926)&lt;20,"",STDEVP($E$1907:$E$1926))</f>
        <v>0</v>
      </c>
      <c r="AM1926">
        <f>IF(AK1926="","",AK1926+2*AL1926)</f>
        <v>0</v>
      </c>
      <c r="AN1926">
        <f>IF(AK1926="","",AK1926-2*AL1926)</f>
        <v>0</v>
      </c>
      <c r="AO1926">
        <f>IF(OR(AM1926="",AN1926="",AM1926=AN1926),"",($E1926-AN1926)/(AM1926-AN1926))</f>
        <v>0</v>
      </c>
      <c r="AP1926">
        <f>IF(OR(AM1926="",AK1926="",AK1926=0),"",(AM1926-AN1926)/AK1926)</f>
        <v>0</v>
      </c>
      <c r="AQ1926">
        <f>IF(COUNT($E$2:$E1926)&lt;20,"",MAX($C$1907:$C$1926))</f>
        <v>0</v>
      </c>
      <c r="AR1926">
        <f>IF(COUNT($E$2:$E1926)&lt;20,"",MIN($D$1907:$D$1926))</f>
        <v>0</v>
      </c>
      <c r="AS1926">
        <f>IF(OR(AQ1926="",AR1926=""),"",(AQ1926+AR1926)/2)</f>
        <v>0</v>
      </c>
      <c r="AT1926">
        <f>IF(COUNT($G$1907:$G$1926)&lt;20,"",STDEV($G$1907:$G$1926)*SQRT(252))</f>
        <v>0</v>
      </c>
      <c r="AU1926">
        <f>IF(COUNT($E$2:$E1926)&lt;9,"",(MAX($C$1918:$C$1926)+MIN($D$1918:$D$1926))/2)</f>
        <v>0</v>
      </c>
      <c r="AV1926">
        <f>IF(COUNT($E$2:$E1926)&lt;26,"",(MAX($C$1901:$C$1926)+MIN($D$1901:$D$1926))/2)</f>
        <v>0</v>
      </c>
      <c r="AW1926">
        <f>IF(OR(AU1926="",AV1926=""),"",(AU1926+AV1926)/2)</f>
        <v>0</v>
      </c>
      <c r="AX1926">
        <f>IF(COUNT($E$2:$E1926)&lt;52,"",(MAX($C$1875:$C$1926)+MIN($D$1875:$D$1926))/2)</f>
        <v>0</v>
      </c>
      <c r="AY1926">
        <f>IF(COUNT($E$2:$E1926)&lt;20,"",MAX($C$1827:$C$1926))</f>
        <v>0</v>
      </c>
      <c r="AZ1926">
        <f>IF(COUNT($E$2:$E1926)&lt;20,"",MIN($D$1827:$D$1926))</f>
        <v>0</v>
      </c>
      <c r="BA1926">
        <f>IF(COUNT($E$2:$E1926)&lt;20,"",SLOPE($E$1827:$E$1926,$F$1827:$F$1926))</f>
        <v>0</v>
      </c>
      <c r="BB1926">
        <f>IF(COUNT($E$2:$E1926)&lt;20,"",INTERCEPT($E$1827:$E$1926,$F$1827:$F$1926))</f>
        <v>0</v>
      </c>
      <c r="BC1926">
        <f>IF(OR(BA1926="",BB1926=""),"",BB1926+BA1926*F1926)</f>
        <v>0</v>
      </c>
      <c r="BD1926">
        <f>IF(COUNT($E$2:$E1926)&lt;20,"",STEYX($E$1827:$E$1926,$F$1827:$F$1926))</f>
        <v>0</v>
      </c>
      <c r="BE1926">
        <f>IF($E1926="","",IF(AND(COUNT($E$1927:$E$1930)&gt;=4,$C1926=MAX($C$1922:$C$1930)),$C1926,""))</f>
        <v>0</v>
      </c>
      <c r="BF1926">
        <f>IF($E1926="","",IF(AND(COUNT($E$1927:$E$1930)&gt;=4,$D1926=MIN($D$1922:$D$1930)),$D1926,""))</f>
        <v>0</v>
      </c>
      <c r="BG1926">
        <f>IF($A1926="","",$A1926-WEEKDAY($A1926,2)+1)</f>
        <v>0</v>
      </c>
      <c r="BH1926">
        <f>IF($A1926="","",IF($A1925="",1,IF(BG1926&lt;&gt;BG1925,1,0)))</f>
        <v>0</v>
      </c>
      <c r="BI1926">
        <f>IF($A1926="","",IF($A1927="",1,IF(BG1927&lt;&gt;BG1926,1,0)))</f>
        <v>0</v>
      </c>
      <c r="BJ1926">
        <f>IF($A1926="","",IF(BH1926=1,$B1926,BJ1925))</f>
        <v>0</v>
      </c>
      <c r="BK1926">
        <f>IF($A1926="","",IF(BH1926=1,$C1926,MAX($C1926,BK1925)))</f>
        <v>0</v>
      </c>
      <c r="BL1926">
        <f>IF($A1926="","",IF(BH1926=1,$D1926,MIN($D1926,BL1925)))</f>
        <v>0</v>
      </c>
      <c r="BM1926">
        <f>IF($A1926="","",IF(BI1926=1,F1926,""))</f>
        <v>0</v>
      </c>
      <c r="BN1926">
        <f>IF($A1926="","",DATE(YEAR($A1926),MONTH($A1926),1))</f>
        <v>0</v>
      </c>
      <c r="BO1926">
        <f>IF($A1926="","",IF($A1925="",1,IF(BN1926&lt;&gt;BN1925,1,0)))</f>
        <v>0</v>
      </c>
      <c r="BP1926">
        <f>IF($A1926="","",IF($A1927="",1,IF(BN1927&lt;&gt;BN1926,1,0)))</f>
        <v>0</v>
      </c>
      <c r="BQ1926">
        <f>IF($A1926="","",IF(BO1926=1,$B1926,BQ1925))</f>
        <v>0</v>
      </c>
      <c r="BR1926">
        <f>IF($A1926="","",IF(BO1926=1,$C1926,MAX($C1926,BR1925)))</f>
        <v>0</v>
      </c>
      <c r="BS1926">
        <f>IF($A1926="","",IF(BO1926=1,$D1926,MIN($D1926,BS1925)))</f>
        <v>0</v>
      </c>
      <c r="BT1926">
        <f>IF($A1926="","",IF(BP1926=1,F1926,""))</f>
        <v>0</v>
      </c>
    </row>
    <row r="1927" spans="1:72">
      <c r="A1927" s="27">
        <f>IF(Data!$A1927="","",Data!$A1927)</f>
        <v>0</v>
      </c>
      <c r="B1927">
        <f>IF(Data!$B1927="","",Data!$B1927)</f>
        <v>0</v>
      </c>
      <c r="C1927">
        <f>IF(Data!$C1927="","",Data!$C1927)</f>
        <v>0</v>
      </c>
      <c r="D1927">
        <f>IF(Data!$D1927="","",Data!$D1927)</f>
        <v>0</v>
      </c>
      <c r="E1927">
        <f>IF(Data!$E1927="","",Data!$E1927)</f>
        <v>0</v>
      </c>
      <c r="F1927">
        <f>IF($E1927="","",N(F1926)+1)</f>
        <v>0</v>
      </c>
      <c r="G1927">
        <f>IF(OR($E1927="",$E1926=""),"",LN($E1927/$E1926))</f>
        <v>0</v>
      </c>
      <c r="H1927">
        <f>IF($E1927="","",IF($E1926="",$E1927,$E1927*0.0952380952+H1926*0.9047619048))</f>
        <v>0</v>
      </c>
      <c r="I1927">
        <f>IF($E1927="","",IF($E1926="",$E1927,$E1927*0.0392156863+I1926*0.9607843137))</f>
        <v>0</v>
      </c>
      <c r="J1927">
        <f>IF($E1927="","",IF($E1926="",$E1927,$E1927*0.0198019802+J1926*0.9801980198))</f>
        <v>0</v>
      </c>
      <c r="K1927">
        <f>IF($E1927="","",IF($E1926="",$E1927,$E1927*0.0099502488+K1926*0.9900497512))</f>
        <v>0</v>
      </c>
      <c r="L1927">
        <f>IF(OR($E1927="",$E1926=""),"",MAX($E1927-$E1926,0))</f>
        <v>0</v>
      </c>
      <c r="M1927">
        <f>IF(OR($E1927="",$E1926=""),"",MAX($E1926-$E1927,0))</f>
        <v>0</v>
      </c>
      <c r="N1927">
        <f>IF(COUNT($E$2:$E1927)&lt;15,"",IF(AVERAGE($M$1914:$M$1927)=0,100,100-100/(1+AVERAGE($L$1914:$L$1927)/AVERAGE($M$1914:$M$1927))))</f>
        <v>0</v>
      </c>
      <c r="O1927">
        <f>IF($E1927="","",IF($E1926="",$E1927,$E1927*0.1538461538+O1926*0.8461538462))</f>
        <v>0</v>
      </c>
      <c r="P1927">
        <f>IF($E1927="","",IF($E1926="",$E1927,$E1927*0.0740740741+P1926*0.9259259259))</f>
        <v>0</v>
      </c>
      <c r="Q1927">
        <f>IF(OR(O1927="",P1927=""),"",O1927-P1927)</f>
        <v>0</v>
      </c>
      <c r="R1927">
        <f>IF(Q1927="","",IF(R1926="",Q1927,Q1927*0.2000000000+R1926*0.8000000000))</f>
        <v>0</v>
      </c>
      <c r="S1927">
        <f>IF(OR(Q1927="",R1927=""),"",Q1927-R1927)</f>
        <v>0</v>
      </c>
      <c r="T1927">
        <f>IF(COUNT($E$2:$E1927)&lt;14,"",MAX($C$1914:$C$1927))</f>
        <v>0</v>
      </c>
      <c r="U1927">
        <f>IF(COUNT($E$2:$E1927)&lt;14,"",MIN($D$1914:$D$1927))</f>
        <v>0</v>
      </c>
      <c r="V1927">
        <f>IF(OR(T1927="",U1927="",T1927=U1927),"",100*($E1927-U1927)/(T1927-U1927))</f>
        <v>0</v>
      </c>
      <c r="W1927">
        <f>IF(COUNT($V$1925:$V$1927)&lt;3,"",AVERAGE($V$1925:$V$1927))</f>
        <v>0</v>
      </c>
      <c r="X1927">
        <f>IF(COUNT($N$1914:$N$1927)&lt;14,"",MIN($N$1914:$N$1927))</f>
        <v>0</v>
      </c>
      <c r="Y1927">
        <f>IF(COUNT($N$1914:$N$1927)&lt;14,"",MAX($N$1914:$N$1927))</f>
        <v>0</v>
      </c>
      <c r="Z1927">
        <f>IF(OR(N1927="",X1927="",Y1927="",Y1927=X1927),"",100*(N1927-X1927)/(Y1927-X1927))</f>
        <v>0</v>
      </c>
      <c r="AA1927">
        <f>IF(COUNT($Z$1925:$Z$1927)&lt;3,"",AVERAGE($Z$1925:$Z$1927))</f>
        <v>0</v>
      </c>
      <c r="AB1927">
        <f>IF(COUNT($AA$1925:$AA$1927)&lt;3,"",AVERAGE($AA$1925:$AA$1927))</f>
        <v>0</v>
      </c>
      <c r="AC1927">
        <f>IF($E1927="","",MAX($C1927-$D1927,ABS($C1927-$E1926),ABS($D1927-$E1926)))</f>
        <v>0</v>
      </c>
      <c r="AD1927">
        <f>IF(COUNT($E$2:$E1927)&lt;15,"",AVERAGE($AC$1914:$AC$1927))</f>
        <v>0</v>
      </c>
      <c r="AE1927">
        <f>IF(OR($E1927="",$E1926=""),"",IF(AND(($C1927-$C1926)&gt;($D1926-$D1927),($C1927-$C1926)&gt;0),$C1927-$C1926,0))</f>
        <v>0</v>
      </c>
      <c r="AF1927">
        <f>IF(OR($E1927="",$E1926=""),"",IF(AND(($D1926-$D1927)&gt;($C1927-$C1926),($D1926-$D1927)&gt;0),$D1926-$D1927,0))</f>
        <v>0</v>
      </c>
      <c r="AG1927">
        <f>IF(COUNT($E$2:$E1927)&lt;15,"",IF(SUM($AC$1914:$AC$1927)=0,0,100*SUM($AE$1914:$AE$1927)/SUM($AC$1914:$AC$1927)))</f>
        <v>0</v>
      </c>
      <c r="AH1927">
        <f>IF(COUNT($E$2:$E1927)&lt;15,"",IF(SUM($AC$1914:$AC$1927)=0,0,100*SUM($AF$1914:$AF$1927)/SUM($AC$1914:$AC$1927)))</f>
        <v>0</v>
      </c>
      <c r="AI1927">
        <f>IF(OR(AG1927="",AH1927=""),"",IF((AG1927+AH1927)=0,0,100*ABS(AG1927-AH1927)/(AG1927+AH1927)))</f>
        <v>0</v>
      </c>
      <c r="AJ1927">
        <f>IF(COUNT($AI$1914:$AI$1927)&lt;14,"",AVERAGE($AI$1914:$AI$1927))</f>
        <v>0</v>
      </c>
      <c r="AK1927">
        <f>IF(COUNT($E$2:$E1927)&lt;20,"",AVERAGE($E$1908:$E$1927))</f>
        <v>0</v>
      </c>
      <c r="AL1927">
        <f>IF(COUNT($E$2:$E1927)&lt;20,"",STDEVP($E$1908:$E$1927))</f>
        <v>0</v>
      </c>
      <c r="AM1927">
        <f>IF(AK1927="","",AK1927+2*AL1927)</f>
        <v>0</v>
      </c>
      <c r="AN1927">
        <f>IF(AK1927="","",AK1927-2*AL1927)</f>
        <v>0</v>
      </c>
      <c r="AO1927">
        <f>IF(OR(AM1927="",AN1927="",AM1927=AN1927),"",($E1927-AN1927)/(AM1927-AN1927))</f>
        <v>0</v>
      </c>
      <c r="AP1927">
        <f>IF(OR(AM1927="",AK1927="",AK1927=0),"",(AM1927-AN1927)/AK1927)</f>
        <v>0</v>
      </c>
      <c r="AQ1927">
        <f>IF(COUNT($E$2:$E1927)&lt;20,"",MAX($C$1908:$C$1927))</f>
        <v>0</v>
      </c>
      <c r="AR1927">
        <f>IF(COUNT($E$2:$E1927)&lt;20,"",MIN($D$1908:$D$1927))</f>
        <v>0</v>
      </c>
      <c r="AS1927">
        <f>IF(OR(AQ1927="",AR1927=""),"",(AQ1927+AR1927)/2)</f>
        <v>0</v>
      </c>
      <c r="AT1927">
        <f>IF(COUNT($G$1908:$G$1927)&lt;20,"",STDEV($G$1908:$G$1927)*SQRT(252))</f>
        <v>0</v>
      </c>
      <c r="AU1927">
        <f>IF(COUNT($E$2:$E1927)&lt;9,"",(MAX($C$1919:$C$1927)+MIN($D$1919:$D$1927))/2)</f>
        <v>0</v>
      </c>
      <c r="AV1927">
        <f>IF(COUNT($E$2:$E1927)&lt;26,"",(MAX($C$1902:$C$1927)+MIN($D$1902:$D$1927))/2)</f>
        <v>0</v>
      </c>
      <c r="AW1927">
        <f>IF(OR(AU1927="",AV1927=""),"",(AU1927+AV1927)/2)</f>
        <v>0</v>
      </c>
      <c r="AX1927">
        <f>IF(COUNT($E$2:$E1927)&lt;52,"",(MAX($C$1876:$C$1927)+MIN($D$1876:$D$1927))/2)</f>
        <v>0</v>
      </c>
      <c r="AY1927">
        <f>IF(COUNT($E$2:$E1927)&lt;20,"",MAX($C$1828:$C$1927))</f>
        <v>0</v>
      </c>
      <c r="AZ1927">
        <f>IF(COUNT($E$2:$E1927)&lt;20,"",MIN($D$1828:$D$1927))</f>
        <v>0</v>
      </c>
      <c r="BA1927">
        <f>IF(COUNT($E$2:$E1927)&lt;20,"",SLOPE($E$1828:$E$1927,$F$1828:$F$1927))</f>
        <v>0</v>
      </c>
      <c r="BB1927">
        <f>IF(COUNT($E$2:$E1927)&lt;20,"",INTERCEPT($E$1828:$E$1927,$F$1828:$F$1927))</f>
        <v>0</v>
      </c>
      <c r="BC1927">
        <f>IF(OR(BA1927="",BB1927=""),"",BB1927+BA1927*F1927)</f>
        <v>0</v>
      </c>
      <c r="BD1927">
        <f>IF(COUNT($E$2:$E1927)&lt;20,"",STEYX($E$1828:$E$1927,$F$1828:$F$1927))</f>
        <v>0</v>
      </c>
      <c r="BE1927">
        <f>IF($E1927="","",IF(AND(COUNT($E$1928:$E$1931)&gt;=4,$C1927=MAX($C$1923:$C$1931)),$C1927,""))</f>
        <v>0</v>
      </c>
      <c r="BF1927">
        <f>IF($E1927="","",IF(AND(COUNT($E$1928:$E$1931)&gt;=4,$D1927=MIN($D$1923:$D$1931)),$D1927,""))</f>
        <v>0</v>
      </c>
      <c r="BG1927">
        <f>IF($A1927="","",$A1927-WEEKDAY($A1927,2)+1)</f>
        <v>0</v>
      </c>
      <c r="BH1927">
        <f>IF($A1927="","",IF($A1926="",1,IF(BG1927&lt;&gt;BG1926,1,0)))</f>
        <v>0</v>
      </c>
      <c r="BI1927">
        <f>IF($A1927="","",IF($A1928="",1,IF(BG1928&lt;&gt;BG1927,1,0)))</f>
        <v>0</v>
      </c>
      <c r="BJ1927">
        <f>IF($A1927="","",IF(BH1927=1,$B1927,BJ1926))</f>
        <v>0</v>
      </c>
      <c r="BK1927">
        <f>IF($A1927="","",IF(BH1927=1,$C1927,MAX($C1927,BK1926)))</f>
        <v>0</v>
      </c>
      <c r="BL1927">
        <f>IF($A1927="","",IF(BH1927=1,$D1927,MIN($D1927,BL1926)))</f>
        <v>0</v>
      </c>
      <c r="BM1927">
        <f>IF($A1927="","",IF(BI1927=1,F1927,""))</f>
        <v>0</v>
      </c>
      <c r="BN1927">
        <f>IF($A1927="","",DATE(YEAR($A1927),MONTH($A1927),1))</f>
        <v>0</v>
      </c>
      <c r="BO1927">
        <f>IF($A1927="","",IF($A1926="",1,IF(BN1927&lt;&gt;BN1926,1,0)))</f>
        <v>0</v>
      </c>
      <c r="BP1927">
        <f>IF($A1927="","",IF($A1928="",1,IF(BN1928&lt;&gt;BN1927,1,0)))</f>
        <v>0</v>
      </c>
      <c r="BQ1927">
        <f>IF($A1927="","",IF(BO1927=1,$B1927,BQ1926))</f>
        <v>0</v>
      </c>
      <c r="BR1927">
        <f>IF($A1927="","",IF(BO1927=1,$C1927,MAX($C1927,BR1926)))</f>
        <v>0</v>
      </c>
      <c r="BS1927">
        <f>IF($A1927="","",IF(BO1927=1,$D1927,MIN($D1927,BS1926)))</f>
        <v>0</v>
      </c>
      <c r="BT1927">
        <f>IF($A1927="","",IF(BP1927=1,F1927,""))</f>
        <v>0</v>
      </c>
    </row>
    <row r="1928" spans="1:72">
      <c r="A1928" s="27">
        <f>IF(Data!$A1928="","",Data!$A1928)</f>
        <v>0</v>
      </c>
      <c r="B1928">
        <f>IF(Data!$B1928="","",Data!$B1928)</f>
        <v>0</v>
      </c>
      <c r="C1928">
        <f>IF(Data!$C1928="","",Data!$C1928)</f>
        <v>0</v>
      </c>
      <c r="D1928">
        <f>IF(Data!$D1928="","",Data!$D1928)</f>
        <v>0</v>
      </c>
      <c r="E1928">
        <f>IF(Data!$E1928="","",Data!$E1928)</f>
        <v>0</v>
      </c>
      <c r="F1928">
        <f>IF($E1928="","",N(F1927)+1)</f>
        <v>0</v>
      </c>
      <c r="G1928">
        <f>IF(OR($E1928="",$E1927=""),"",LN($E1928/$E1927))</f>
        <v>0</v>
      </c>
      <c r="H1928">
        <f>IF($E1928="","",IF($E1927="",$E1928,$E1928*0.0952380952+H1927*0.9047619048))</f>
        <v>0</v>
      </c>
      <c r="I1928">
        <f>IF($E1928="","",IF($E1927="",$E1928,$E1928*0.0392156863+I1927*0.9607843137))</f>
        <v>0</v>
      </c>
      <c r="J1928">
        <f>IF($E1928="","",IF($E1927="",$E1928,$E1928*0.0198019802+J1927*0.9801980198))</f>
        <v>0</v>
      </c>
      <c r="K1928">
        <f>IF($E1928="","",IF($E1927="",$E1928,$E1928*0.0099502488+K1927*0.9900497512))</f>
        <v>0</v>
      </c>
      <c r="L1928">
        <f>IF(OR($E1928="",$E1927=""),"",MAX($E1928-$E1927,0))</f>
        <v>0</v>
      </c>
      <c r="M1928">
        <f>IF(OR($E1928="",$E1927=""),"",MAX($E1927-$E1928,0))</f>
        <v>0</v>
      </c>
      <c r="N1928">
        <f>IF(COUNT($E$2:$E1928)&lt;15,"",IF(AVERAGE($M$1915:$M$1928)=0,100,100-100/(1+AVERAGE($L$1915:$L$1928)/AVERAGE($M$1915:$M$1928))))</f>
        <v>0</v>
      </c>
      <c r="O1928">
        <f>IF($E1928="","",IF($E1927="",$E1928,$E1928*0.1538461538+O1927*0.8461538462))</f>
        <v>0</v>
      </c>
      <c r="P1928">
        <f>IF($E1928="","",IF($E1927="",$E1928,$E1928*0.0740740741+P1927*0.9259259259))</f>
        <v>0</v>
      </c>
      <c r="Q1928">
        <f>IF(OR(O1928="",P1928=""),"",O1928-P1928)</f>
        <v>0</v>
      </c>
      <c r="R1928">
        <f>IF(Q1928="","",IF(R1927="",Q1928,Q1928*0.2000000000+R1927*0.8000000000))</f>
        <v>0</v>
      </c>
      <c r="S1928">
        <f>IF(OR(Q1928="",R1928=""),"",Q1928-R1928)</f>
        <v>0</v>
      </c>
      <c r="T1928">
        <f>IF(COUNT($E$2:$E1928)&lt;14,"",MAX($C$1915:$C$1928))</f>
        <v>0</v>
      </c>
      <c r="U1928">
        <f>IF(COUNT($E$2:$E1928)&lt;14,"",MIN($D$1915:$D$1928))</f>
        <v>0</v>
      </c>
      <c r="V1928">
        <f>IF(OR(T1928="",U1928="",T1928=U1928),"",100*($E1928-U1928)/(T1928-U1928))</f>
        <v>0</v>
      </c>
      <c r="W1928">
        <f>IF(COUNT($V$1926:$V$1928)&lt;3,"",AVERAGE($V$1926:$V$1928))</f>
        <v>0</v>
      </c>
      <c r="X1928">
        <f>IF(COUNT($N$1915:$N$1928)&lt;14,"",MIN($N$1915:$N$1928))</f>
        <v>0</v>
      </c>
      <c r="Y1928">
        <f>IF(COUNT($N$1915:$N$1928)&lt;14,"",MAX($N$1915:$N$1928))</f>
        <v>0</v>
      </c>
      <c r="Z1928">
        <f>IF(OR(N1928="",X1928="",Y1928="",Y1928=X1928),"",100*(N1928-X1928)/(Y1928-X1928))</f>
        <v>0</v>
      </c>
      <c r="AA1928">
        <f>IF(COUNT($Z$1926:$Z$1928)&lt;3,"",AVERAGE($Z$1926:$Z$1928))</f>
        <v>0</v>
      </c>
      <c r="AB1928">
        <f>IF(COUNT($AA$1926:$AA$1928)&lt;3,"",AVERAGE($AA$1926:$AA$1928))</f>
        <v>0</v>
      </c>
      <c r="AC1928">
        <f>IF($E1928="","",MAX($C1928-$D1928,ABS($C1928-$E1927),ABS($D1928-$E1927)))</f>
        <v>0</v>
      </c>
      <c r="AD1928">
        <f>IF(COUNT($E$2:$E1928)&lt;15,"",AVERAGE($AC$1915:$AC$1928))</f>
        <v>0</v>
      </c>
      <c r="AE1928">
        <f>IF(OR($E1928="",$E1927=""),"",IF(AND(($C1928-$C1927)&gt;($D1927-$D1928),($C1928-$C1927)&gt;0),$C1928-$C1927,0))</f>
        <v>0</v>
      </c>
      <c r="AF1928">
        <f>IF(OR($E1928="",$E1927=""),"",IF(AND(($D1927-$D1928)&gt;($C1928-$C1927),($D1927-$D1928)&gt;0),$D1927-$D1928,0))</f>
        <v>0</v>
      </c>
      <c r="AG1928">
        <f>IF(COUNT($E$2:$E1928)&lt;15,"",IF(SUM($AC$1915:$AC$1928)=0,0,100*SUM($AE$1915:$AE$1928)/SUM($AC$1915:$AC$1928)))</f>
        <v>0</v>
      </c>
      <c r="AH1928">
        <f>IF(COUNT($E$2:$E1928)&lt;15,"",IF(SUM($AC$1915:$AC$1928)=0,0,100*SUM($AF$1915:$AF$1928)/SUM($AC$1915:$AC$1928)))</f>
        <v>0</v>
      </c>
      <c r="AI1928">
        <f>IF(OR(AG1928="",AH1928=""),"",IF((AG1928+AH1928)=0,0,100*ABS(AG1928-AH1928)/(AG1928+AH1928)))</f>
        <v>0</v>
      </c>
      <c r="AJ1928">
        <f>IF(COUNT($AI$1915:$AI$1928)&lt;14,"",AVERAGE($AI$1915:$AI$1928))</f>
        <v>0</v>
      </c>
      <c r="AK1928">
        <f>IF(COUNT($E$2:$E1928)&lt;20,"",AVERAGE($E$1909:$E$1928))</f>
        <v>0</v>
      </c>
      <c r="AL1928">
        <f>IF(COUNT($E$2:$E1928)&lt;20,"",STDEVP($E$1909:$E$1928))</f>
        <v>0</v>
      </c>
      <c r="AM1928">
        <f>IF(AK1928="","",AK1928+2*AL1928)</f>
        <v>0</v>
      </c>
      <c r="AN1928">
        <f>IF(AK1928="","",AK1928-2*AL1928)</f>
        <v>0</v>
      </c>
      <c r="AO1928">
        <f>IF(OR(AM1928="",AN1928="",AM1928=AN1928),"",($E1928-AN1928)/(AM1928-AN1928))</f>
        <v>0</v>
      </c>
      <c r="AP1928">
        <f>IF(OR(AM1928="",AK1928="",AK1928=0),"",(AM1928-AN1928)/AK1928)</f>
        <v>0</v>
      </c>
      <c r="AQ1928">
        <f>IF(COUNT($E$2:$E1928)&lt;20,"",MAX($C$1909:$C$1928))</f>
        <v>0</v>
      </c>
      <c r="AR1928">
        <f>IF(COUNT($E$2:$E1928)&lt;20,"",MIN($D$1909:$D$1928))</f>
        <v>0</v>
      </c>
      <c r="AS1928">
        <f>IF(OR(AQ1928="",AR1928=""),"",(AQ1928+AR1928)/2)</f>
        <v>0</v>
      </c>
      <c r="AT1928">
        <f>IF(COUNT($G$1909:$G$1928)&lt;20,"",STDEV($G$1909:$G$1928)*SQRT(252))</f>
        <v>0</v>
      </c>
      <c r="AU1928">
        <f>IF(COUNT($E$2:$E1928)&lt;9,"",(MAX($C$1920:$C$1928)+MIN($D$1920:$D$1928))/2)</f>
        <v>0</v>
      </c>
      <c r="AV1928">
        <f>IF(COUNT($E$2:$E1928)&lt;26,"",(MAX($C$1903:$C$1928)+MIN($D$1903:$D$1928))/2)</f>
        <v>0</v>
      </c>
      <c r="AW1928">
        <f>IF(OR(AU1928="",AV1928=""),"",(AU1928+AV1928)/2)</f>
        <v>0</v>
      </c>
      <c r="AX1928">
        <f>IF(COUNT($E$2:$E1928)&lt;52,"",(MAX($C$1877:$C$1928)+MIN($D$1877:$D$1928))/2)</f>
        <v>0</v>
      </c>
      <c r="AY1928">
        <f>IF(COUNT($E$2:$E1928)&lt;20,"",MAX($C$1829:$C$1928))</f>
        <v>0</v>
      </c>
      <c r="AZ1928">
        <f>IF(COUNT($E$2:$E1928)&lt;20,"",MIN($D$1829:$D$1928))</f>
        <v>0</v>
      </c>
      <c r="BA1928">
        <f>IF(COUNT($E$2:$E1928)&lt;20,"",SLOPE($E$1829:$E$1928,$F$1829:$F$1928))</f>
        <v>0</v>
      </c>
      <c r="BB1928">
        <f>IF(COUNT($E$2:$E1928)&lt;20,"",INTERCEPT($E$1829:$E$1928,$F$1829:$F$1928))</f>
        <v>0</v>
      </c>
      <c r="BC1928">
        <f>IF(OR(BA1928="",BB1928=""),"",BB1928+BA1928*F1928)</f>
        <v>0</v>
      </c>
      <c r="BD1928">
        <f>IF(COUNT($E$2:$E1928)&lt;20,"",STEYX($E$1829:$E$1928,$F$1829:$F$1928))</f>
        <v>0</v>
      </c>
      <c r="BE1928">
        <f>IF($E1928="","",IF(AND(COUNT($E$1929:$E$1932)&gt;=4,$C1928=MAX($C$1924:$C$1932)),$C1928,""))</f>
        <v>0</v>
      </c>
      <c r="BF1928">
        <f>IF($E1928="","",IF(AND(COUNT($E$1929:$E$1932)&gt;=4,$D1928=MIN($D$1924:$D$1932)),$D1928,""))</f>
        <v>0</v>
      </c>
      <c r="BG1928">
        <f>IF($A1928="","",$A1928-WEEKDAY($A1928,2)+1)</f>
        <v>0</v>
      </c>
      <c r="BH1928">
        <f>IF($A1928="","",IF($A1927="",1,IF(BG1928&lt;&gt;BG1927,1,0)))</f>
        <v>0</v>
      </c>
      <c r="BI1928">
        <f>IF($A1928="","",IF($A1929="",1,IF(BG1929&lt;&gt;BG1928,1,0)))</f>
        <v>0</v>
      </c>
      <c r="BJ1928">
        <f>IF($A1928="","",IF(BH1928=1,$B1928,BJ1927))</f>
        <v>0</v>
      </c>
      <c r="BK1928">
        <f>IF($A1928="","",IF(BH1928=1,$C1928,MAX($C1928,BK1927)))</f>
        <v>0</v>
      </c>
      <c r="BL1928">
        <f>IF($A1928="","",IF(BH1928=1,$D1928,MIN($D1928,BL1927)))</f>
        <v>0</v>
      </c>
      <c r="BM1928">
        <f>IF($A1928="","",IF(BI1928=1,F1928,""))</f>
        <v>0</v>
      </c>
      <c r="BN1928">
        <f>IF($A1928="","",DATE(YEAR($A1928),MONTH($A1928),1))</f>
        <v>0</v>
      </c>
      <c r="BO1928">
        <f>IF($A1928="","",IF($A1927="",1,IF(BN1928&lt;&gt;BN1927,1,0)))</f>
        <v>0</v>
      </c>
      <c r="BP1928">
        <f>IF($A1928="","",IF($A1929="",1,IF(BN1929&lt;&gt;BN1928,1,0)))</f>
        <v>0</v>
      </c>
      <c r="BQ1928">
        <f>IF($A1928="","",IF(BO1928=1,$B1928,BQ1927))</f>
        <v>0</v>
      </c>
      <c r="BR1928">
        <f>IF($A1928="","",IF(BO1928=1,$C1928,MAX($C1928,BR1927)))</f>
        <v>0</v>
      </c>
      <c r="BS1928">
        <f>IF($A1928="","",IF(BO1928=1,$D1928,MIN($D1928,BS1927)))</f>
        <v>0</v>
      </c>
      <c r="BT1928">
        <f>IF($A1928="","",IF(BP1928=1,F1928,""))</f>
        <v>0</v>
      </c>
    </row>
    <row r="1929" spans="1:72">
      <c r="A1929" s="27">
        <f>IF(Data!$A1929="","",Data!$A1929)</f>
        <v>0</v>
      </c>
      <c r="B1929">
        <f>IF(Data!$B1929="","",Data!$B1929)</f>
        <v>0</v>
      </c>
      <c r="C1929">
        <f>IF(Data!$C1929="","",Data!$C1929)</f>
        <v>0</v>
      </c>
      <c r="D1929">
        <f>IF(Data!$D1929="","",Data!$D1929)</f>
        <v>0</v>
      </c>
      <c r="E1929">
        <f>IF(Data!$E1929="","",Data!$E1929)</f>
        <v>0</v>
      </c>
      <c r="F1929">
        <f>IF($E1929="","",N(F1928)+1)</f>
        <v>0</v>
      </c>
      <c r="G1929">
        <f>IF(OR($E1929="",$E1928=""),"",LN($E1929/$E1928))</f>
        <v>0</v>
      </c>
      <c r="H1929">
        <f>IF($E1929="","",IF($E1928="",$E1929,$E1929*0.0952380952+H1928*0.9047619048))</f>
        <v>0</v>
      </c>
      <c r="I1929">
        <f>IF($E1929="","",IF($E1928="",$E1929,$E1929*0.0392156863+I1928*0.9607843137))</f>
        <v>0</v>
      </c>
      <c r="J1929">
        <f>IF($E1929="","",IF($E1928="",$E1929,$E1929*0.0198019802+J1928*0.9801980198))</f>
        <v>0</v>
      </c>
      <c r="K1929">
        <f>IF($E1929="","",IF($E1928="",$E1929,$E1929*0.0099502488+K1928*0.9900497512))</f>
        <v>0</v>
      </c>
      <c r="L1929">
        <f>IF(OR($E1929="",$E1928=""),"",MAX($E1929-$E1928,0))</f>
        <v>0</v>
      </c>
      <c r="M1929">
        <f>IF(OR($E1929="",$E1928=""),"",MAX($E1928-$E1929,0))</f>
        <v>0</v>
      </c>
      <c r="N1929">
        <f>IF(COUNT($E$2:$E1929)&lt;15,"",IF(AVERAGE($M$1916:$M$1929)=0,100,100-100/(1+AVERAGE($L$1916:$L$1929)/AVERAGE($M$1916:$M$1929))))</f>
        <v>0</v>
      </c>
      <c r="O1929">
        <f>IF($E1929="","",IF($E1928="",$E1929,$E1929*0.1538461538+O1928*0.8461538462))</f>
        <v>0</v>
      </c>
      <c r="P1929">
        <f>IF($E1929="","",IF($E1928="",$E1929,$E1929*0.0740740741+P1928*0.9259259259))</f>
        <v>0</v>
      </c>
      <c r="Q1929">
        <f>IF(OR(O1929="",P1929=""),"",O1929-P1929)</f>
        <v>0</v>
      </c>
      <c r="R1929">
        <f>IF(Q1929="","",IF(R1928="",Q1929,Q1929*0.2000000000+R1928*0.8000000000))</f>
        <v>0</v>
      </c>
      <c r="S1929">
        <f>IF(OR(Q1929="",R1929=""),"",Q1929-R1929)</f>
        <v>0</v>
      </c>
      <c r="T1929">
        <f>IF(COUNT($E$2:$E1929)&lt;14,"",MAX($C$1916:$C$1929))</f>
        <v>0</v>
      </c>
      <c r="U1929">
        <f>IF(COUNT($E$2:$E1929)&lt;14,"",MIN($D$1916:$D$1929))</f>
        <v>0</v>
      </c>
      <c r="V1929">
        <f>IF(OR(T1929="",U1929="",T1929=U1929),"",100*($E1929-U1929)/(T1929-U1929))</f>
        <v>0</v>
      </c>
      <c r="W1929">
        <f>IF(COUNT($V$1927:$V$1929)&lt;3,"",AVERAGE($V$1927:$V$1929))</f>
        <v>0</v>
      </c>
      <c r="X1929">
        <f>IF(COUNT($N$1916:$N$1929)&lt;14,"",MIN($N$1916:$N$1929))</f>
        <v>0</v>
      </c>
      <c r="Y1929">
        <f>IF(COUNT($N$1916:$N$1929)&lt;14,"",MAX($N$1916:$N$1929))</f>
        <v>0</v>
      </c>
      <c r="Z1929">
        <f>IF(OR(N1929="",X1929="",Y1929="",Y1929=X1929),"",100*(N1929-X1929)/(Y1929-X1929))</f>
        <v>0</v>
      </c>
      <c r="AA1929">
        <f>IF(COUNT($Z$1927:$Z$1929)&lt;3,"",AVERAGE($Z$1927:$Z$1929))</f>
        <v>0</v>
      </c>
      <c r="AB1929">
        <f>IF(COUNT($AA$1927:$AA$1929)&lt;3,"",AVERAGE($AA$1927:$AA$1929))</f>
        <v>0</v>
      </c>
      <c r="AC1929">
        <f>IF($E1929="","",MAX($C1929-$D1929,ABS($C1929-$E1928),ABS($D1929-$E1928)))</f>
        <v>0</v>
      </c>
      <c r="AD1929">
        <f>IF(COUNT($E$2:$E1929)&lt;15,"",AVERAGE($AC$1916:$AC$1929))</f>
        <v>0</v>
      </c>
      <c r="AE1929">
        <f>IF(OR($E1929="",$E1928=""),"",IF(AND(($C1929-$C1928)&gt;($D1928-$D1929),($C1929-$C1928)&gt;0),$C1929-$C1928,0))</f>
        <v>0</v>
      </c>
      <c r="AF1929">
        <f>IF(OR($E1929="",$E1928=""),"",IF(AND(($D1928-$D1929)&gt;($C1929-$C1928),($D1928-$D1929)&gt;0),$D1928-$D1929,0))</f>
        <v>0</v>
      </c>
      <c r="AG1929">
        <f>IF(COUNT($E$2:$E1929)&lt;15,"",IF(SUM($AC$1916:$AC$1929)=0,0,100*SUM($AE$1916:$AE$1929)/SUM($AC$1916:$AC$1929)))</f>
        <v>0</v>
      </c>
      <c r="AH1929">
        <f>IF(COUNT($E$2:$E1929)&lt;15,"",IF(SUM($AC$1916:$AC$1929)=0,0,100*SUM($AF$1916:$AF$1929)/SUM($AC$1916:$AC$1929)))</f>
        <v>0</v>
      </c>
      <c r="AI1929">
        <f>IF(OR(AG1929="",AH1929=""),"",IF((AG1929+AH1929)=0,0,100*ABS(AG1929-AH1929)/(AG1929+AH1929)))</f>
        <v>0</v>
      </c>
      <c r="AJ1929">
        <f>IF(COUNT($AI$1916:$AI$1929)&lt;14,"",AVERAGE($AI$1916:$AI$1929))</f>
        <v>0</v>
      </c>
      <c r="AK1929">
        <f>IF(COUNT($E$2:$E1929)&lt;20,"",AVERAGE($E$1910:$E$1929))</f>
        <v>0</v>
      </c>
      <c r="AL1929">
        <f>IF(COUNT($E$2:$E1929)&lt;20,"",STDEVP($E$1910:$E$1929))</f>
        <v>0</v>
      </c>
      <c r="AM1929">
        <f>IF(AK1929="","",AK1929+2*AL1929)</f>
        <v>0</v>
      </c>
      <c r="AN1929">
        <f>IF(AK1929="","",AK1929-2*AL1929)</f>
        <v>0</v>
      </c>
      <c r="AO1929">
        <f>IF(OR(AM1929="",AN1929="",AM1929=AN1929),"",($E1929-AN1929)/(AM1929-AN1929))</f>
        <v>0</v>
      </c>
      <c r="AP1929">
        <f>IF(OR(AM1929="",AK1929="",AK1929=0),"",(AM1929-AN1929)/AK1929)</f>
        <v>0</v>
      </c>
      <c r="AQ1929">
        <f>IF(COUNT($E$2:$E1929)&lt;20,"",MAX($C$1910:$C$1929))</f>
        <v>0</v>
      </c>
      <c r="AR1929">
        <f>IF(COUNT($E$2:$E1929)&lt;20,"",MIN($D$1910:$D$1929))</f>
        <v>0</v>
      </c>
      <c r="AS1929">
        <f>IF(OR(AQ1929="",AR1929=""),"",(AQ1929+AR1929)/2)</f>
        <v>0</v>
      </c>
      <c r="AT1929">
        <f>IF(COUNT($G$1910:$G$1929)&lt;20,"",STDEV($G$1910:$G$1929)*SQRT(252))</f>
        <v>0</v>
      </c>
      <c r="AU1929">
        <f>IF(COUNT($E$2:$E1929)&lt;9,"",(MAX($C$1921:$C$1929)+MIN($D$1921:$D$1929))/2)</f>
        <v>0</v>
      </c>
      <c r="AV1929">
        <f>IF(COUNT($E$2:$E1929)&lt;26,"",(MAX($C$1904:$C$1929)+MIN($D$1904:$D$1929))/2)</f>
        <v>0</v>
      </c>
      <c r="AW1929">
        <f>IF(OR(AU1929="",AV1929=""),"",(AU1929+AV1929)/2)</f>
        <v>0</v>
      </c>
      <c r="AX1929">
        <f>IF(COUNT($E$2:$E1929)&lt;52,"",(MAX($C$1878:$C$1929)+MIN($D$1878:$D$1929))/2)</f>
        <v>0</v>
      </c>
      <c r="AY1929">
        <f>IF(COUNT($E$2:$E1929)&lt;20,"",MAX($C$1830:$C$1929))</f>
        <v>0</v>
      </c>
      <c r="AZ1929">
        <f>IF(COUNT($E$2:$E1929)&lt;20,"",MIN($D$1830:$D$1929))</f>
        <v>0</v>
      </c>
      <c r="BA1929">
        <f>IF(COUNT($E$2:$E1929)&lt;20,"",SLOPE($E$1830:$E$1929,$F$1830:$F$1929))</f>
        <v>0</v>
      </c>
      <c r="BB1929">
        <f>IF(COUNT($E$2:$E1929)&lt;20,"",INTERCEPT($E$1830:$E$1929,$F$1830:$F$1929))</f>
        <v>0</v>
      </c>
      <c r="BC1929">
        <f>IF(OR(BA1929="",BB1929=""),"",BB1929+BA1929*F1929)</f>
        <v>0</v>
      </c>
      <c r="BD1929">
        <f>IF(COUNT($E$2:$E1929)&lt;20,"",STEYX($E$1830:$E$1929,$F$1830:$F$1929))</f>
        <v>0</v>
      </c>
      <c r="BE1929">
        <f>IF($E1929="","",IF(AND(COUNT($E$1930:$E$1933)&gt;=4,$C1929=MAX($C$1925:$C$1933)),$C1929,""))</f>
        <v>0</v>
      </c>
      <c r="BF1929">
        <f>IF($E1929="","",IF(AND(COUNT($E$1930:$E$1933)&gt;=4,$D1929=MIN($D$1925:$D$1933)),$D1929,""))</f>
        <v>0</v>
      </c>
      <c r="BG1929">
        <f>IF($A1929="","",$A1929-WEEKDAY($A1929,2)+1)</f>
        <v>0</v>
      </c>
      <c r="BH1929">
        <f>IF($A1929="","",IF($A1928="",1,IF(BG1929&lt;&gt;BG1928,1,0)))</f>
        <v>0</v>
      </c>
      <c r="BI1929">
        <f>IF($A1929="","",IF($A1930="",1,IF(BG1930&lt;&gt;BG1929,1,0)))</f>
        <v>0</v>
      </c>
      <c r="BJ1929">
        <f>IF($A1929="","",IF(BH1929=1,$B1929,BJ1928))</f>
        <v>0</v>
      </c>
      <c r="BK1929">
        <f>IF($A1929="","",IF(BH1929=1,$C1929,MAX($C1929,BK1928)))</f>
        <v>0</v>
      </c>
      <c r="BL1929">
        <f>IF($A1929="","",IF(BH1929=1,$D1929,MIN($D1929,BL1928)))</f>
        <v>0</v>
      </c>
      <c r="BM1929">
        <f>IF($A1929="","",IF(BI1929=1,F1929,""))</f>
        <v>0</v>
      </c>
      <c r="BN1929">
        <f>IF($A1929="","",DATE(YEAR($A1929),MONTH($A1929),1))</f>
        <v>0</v>
      </c>
      <c r="BO1929">
        <f>IF($A1929="","",IF($A1928="",1,IF(BN1929&lt;&gt;BN1928,1,0)))</f>
        <v>0</v>
      </c>
      <c r="BP1929">
        <f>IF($A1929="","",IF($A1930="",1,IF(BN1930&lt;&gt;BN1929,1,0)))</f>
        <v>0</v>
      </c>
      <c r="BQ1929">
        <f>IF($A1929="","",IF(BO1929=1,$B1929,BQ1928))</f>
        <v>0</v>
      </c>
      <c r="BR1929">
        <f>IF($A1929="","",IF(BO1929=1,$C1929,MAX($C1929,BR1928)))</f>
        <v>0</v>
      </c>
      <c r="BS1929">
        <f>IF($A1929="","",IF(BO1929=1,$D1929,MIN($D1929,BS1928)))</f>
        <v>0</v>
      </c>
      <c r="BT1929">
        <f>IF($A1929="","",IF(BP1929=1,F1929,""))</f>
        <v>0</v>
      </c>
    </row>
    <row r="1930" spans="1:72">
      <c r="A1930" s="27">
        <f>IF(Data!$A1930="","",Data!$A1930)</f>
        <v>0</v>
      </c>
      <c r="B1930">
        <f>IF(Data!$B1930="","",Data!$B1930)</f>
        <v>0</v>
      </c>
      <c r="C1930">
        <f>IF(Data!$C1930="","",Data!$C1930)</f>
        <v>0</v>
      </c>
      <c r="D1930">
        <f>IF(Data!$D1930="","",Data!$D1930)</f>
        <v>0</v>
      </c>
      <c r="E1930">
        <f>IF(Data!$E1930="","",Data!$E1930)</f>
        <v>0</v>
      </c>
      <c r="F1930">
        <f>IF($E1930="","",N(F1929)+1)</f>
        <v>0</v>
      </c>
      <c r="G1930">
        <f>IF(OR($E1930="",$E1929=""),"",LN($E1930/$E1929))</f>
        <v>0</v>
      </c>
      <c r="H1930">
        <f>IF($E1930="","",IF($E1929="",$E1930,$E1930*0.0952380952+H1929*0.9047619048))</f>
        <v>0</v>
      </c>
      <c r="I1930">
        <f>IF($E1930="","",IF($E1929="",$E1930,$E1930*0.0392156863+I1929*0.9607843137))</f>
        <v>0</v>
      </c>
      <c r="J1930">
        <f>IF($E1930="","",IF($E1929="",$E1930,$E1930*0.0198019802+J1929*0.9801980198))</f>
        <v>0</v>
      </c>
      <c r="K1930">
        <f>IF($E1930="","",IF($E1929="",$E1930,$E1930*0.0099502488+K1929*0.9900497512))</f>
        <v>0</v>
      </c>
      <c r="L1930">
        <f>IF(OR($E1930="",$E1929=""),"",MAX($E1930-$E1929,0))</f>
        <v>0</v>
      </c>
      <c r="M1930">
        <f>IF(OR($E1930="",$E1929=""),"",MAX($E1929-$E1930,0))</f>
        <v>0</v>
      </c>
      <c r="N1930">
        <f>IF(COUNT($E$2:$E1930)&lt;15,"",IF(AVERAGE($M$1917:$M$1930)=0,100,100-100/(1+AVERAGE($L$1917:$L$1930)/AVERAGE($M$1917:$M$1930))))</f>
        <v>0</v>
      </c>
      <c r="O1930">
        <f>IF($E1930="","",IF($E1929="",$E1930,$E1930*0.1538461538+O1929*0.8461538462))</f>
        <v>0</v>
      </c>
      <c r="P1930">
        <f>IF($E1930="","",IF($E1929="",$E1930,$E1930*0.0740740741+P1929*0.9259259259))</f>
        <v>0</v>
      </c>
      <c r="Q1930">
        <f>IF(OR(O1930="",P1930=""),"",O1930-P1930)</f>
        <v>0</v>
      </c>
      <c r="R1930">
        <f>IF(Q1930="","",IF(R1929="",Q1930,Q1930*0.2000000000+R1929*0.8000000000))</f>
        <v>0</v>
      </c>
      <c r="S1930">
        <f>IF(OR(Q1930="",R1930=""),"",Q1930-R1930)</f>
        <v>0</v>
      </c>
      <c r="T1930">
        <f>IF(COUNT($E$2:$E1930)&lt;14,"",MAX($C$1917:$C$1930))</f>
        <v>0</v>
      </c>
      <c r="U1930">
        <f>IF(COUNT($E$2:$E1930)&lt;14,"",MIN($D$1917:$D$1930))</f>
        <v>0</v>
      </c>
      <c r="V1930">
        <f>IF(OR(T1930="",U1930="",T1930=U1930),"",100*($E1930-U1930)/(T1930-U1930))</f>
        <v>0</v>
      </c>
      <c r="W1930">
        <f>IF(COUNT($V$1928:$V$1930)&lt;3,"",AVERAGE($V$1928:$V$1930))</f>
        <v>0</v>
      </c>
      <c r="X1930">
        <f>IF(COUNT($N$1917:$N$1930)&lt;14,"",MIN($N$1917:$N$1930))</f>
        <v>0</v>
      </c>
      <c r="Y1930">
        <f>IF(COUNT($N$1917:$N$1930)&lt;14,"",MAX($N$1917:$N$1930))</f>
        <v>0</v>
      </c>
      <c r="Z1930">
        <f>IF(OR(N1930="",X1930="",Y1930="",Y1930=X1930),"",100*(N1930-X1930)/(Y1930-X1930))</f>
        <v>0</v>
      </c>
      <c r="AA1930">
        <f>IF(COUNT($Z$1928:$Z$1930)&lt;3,"",AVERAGE($Z$1928:$Z$1930))</f>
        <v>0</v>
      </c>
      <c r="AB1930">
        <f>IF(COUNT($AA$1928:$AA$1930)&lt;3,"",AVERAGE($AA$1928:$AA$1930))</f>
        <v>0</v>
      </c>
      <c r="AC1930">
        <f>IF($E1930="","",MAX($C1930-$D1930,ABS($C1930-$E1929),ABS($D1930-$E1929)))</f>
        <v>0</v>
      </c>
      <c r="AD1930">
        <f>IF(COUNT($E$2:$E1930)&lt;15,"",AVERAGE($AC$1917:$AC$1930))</f>
        <v>0</v>
      </c>
      <c r="AE1930">
        <f>IF(OR($E1930="",$E1929=""),"",IF(AND(($C1930-$C1929)&gt;($D1929-$D1930),($C1930-$C1929)&gt;0),$C1930-$C1929,0))</f>
        <v>0</v>
      </c>
      <c r="AF1930">
        <f>IF(OR($E1930="",$E1929=""),"",IF(AND(($D1929-$D1930)&gt;($C1930-$C1929),($D1929-$D1930)&gt;0),$D1929-$D1930,0))</f>
        <v>0</v>
      </c>
      <c r="AG1930">
        <f>IF(COUNT($E$2:$E1930)&lt;15,"",IF(SUM($AC$1917:$AC$1930)=0,0,100*SUM($AE$1917:$AE$1930)/SUM($AC$1917:$AC$1930)))</f>
        <v>0</v>
      </c>
      <c r="AH1930">
        <f>IF(COUNT($E$2:$E1930)&lt;15,"",IF(SUM($AC$1917:$AC$1930)=0,0,100*SUM($AF$1917:$AF$1930)/SUM($AC$1917:$AC$1930)))</f>
        <v>0</v>
      </c>
      <c r="AI1930">
        <f>IF(OR(AG1930="",AH1930=""),"",IF((AG1930+AH1930)=0,0,100*ABS(AG1930-AH1930)/(AG1930+AH1930)))</f>
        <v>0</v>
      </c>
      <c r="AJ1930">
        <f>IF(COUNT($AI$1917:$AI$1930)&lt;14,"",AVERAGE($AI$1917:$AI$1930))</f>
        <v>0</v>
      </c>
      <c r="AK1930">
        <f>IF(COUNT($E$2:$E1930)&lt;20,"",AVERAGE($E$1911:$E$1930))</f>
        <v>0</v>
      </c>
      <c r="AL1930">
        <f>IF(COUNT($E$2:$E1930)&lt;20,"",STDEVP($E$1911:$E$1930))</f>
        <v>0</v>
      </c>
      <c r="AM1930">
        <f>IF(AK1930="","",AK1930+2*AL1930)</f>
        <v>0</v>
      </c>
      <c r="AN1930">
        <f>IF(AK1930="","",AK1930-2*AL1930)</f>
        <v>0</v>
      </c>
      <c r="AO1930">
        <f>IF(OR(AM1930="",AN1930="",AM1930=AN1930),"",($E1930-AN1930)/(AM1930-AN1930))</f>
        <v>0</v>
      </c>
      <c r="AP1930">
        <f>IF(OR(AM1930="",AK1930="",AK1930=0),"",(AM1930-AN1930)/AK1930)</f>
        <v>0</v>
      </c>
      <c r="AQ1930">
        <f>IF(COUNT($E$2:$E1930)&lt;20,"",MAX($C$1911:$C$1930))</f>
        <v>0</v>
      </c>
      <c r="AR1930">
        <f>IF(COUNT($E$2:$E1930)&lt;20,"",MIN($D$1911:$D$1930))</f>
        <v>0</v>
      </c>
      <c r="AS1930">
        <f>IF(OR(AQ1930="",AR1930=""),"",(AQ1930+AR1930)/2)</f>
        <v>0</v>
      </c>
      <c r="AT1930">
        <f>IF(COUNT($G$1911:$G$1930)&lt;20,"",STDEV($G$1911:$G$1930)*SQRT(252))</f>
        <v>0</v>
      </c>
      <c r="AU1930">
        <f>IF(COUNT($E$2:$E1930)&lt;9,"",(MAX($C$1922:$C$1930)+MIN($D$1922:$D$1930))/2)</f>
        <v>0</v>
      </c>
      <c r="AV1930">
        <f>IF(COUNT($E$2:$E1930)&lt;26,"",(MAX($C$1905:$C$1930)+MIN($D$1905:$D$1930))/2)</f>
        <v>0</v>
      </c>
      <c r="AW1930">
        <f>IF(OR(AU1930="",AV1930=""),"",(AU1930+AV1930)/2)</f>
        <v>0</v>
      </c>
      <c r="AX1930">
        <f>IF(COUNT($E$2:$E1930)&lt;52,"",(MAX($C$1879:$C$1930)+MIN($D$1879:$D$1930))/2)</f>
        <v>0</v>
      </c>
      <c r="AY1930">
        <f>IF(COUNT($E$2:$E1930)&lt;20,"",MAX($C$1831:$C$1930))</f>
        <v>0</v>
      </c>
      <c r="AZ1930">
        <f>IF(COUNT($E$2:$E1930)&lt;20,"",MIN($D$1831:$D$1930))</f>
        <v>0</v>
      </c>
      <c r="BA1930">
        <f>IF(COUNT($E$2:$E1930)&lt;20,"",SLOPE($E$1831:$E$1930,$F$1831:$F$1930))</f>
        <v>0</v>
      </c>
      <c r="BB1930">
        <f>IF(COUNT($E$2:$E1930)&lt;20,"",INTERCEPT($E$1831:$E$1930,$F$1831:$F$1930))</f>
        <v>0</v>
      </c>
      <c r="BC1930">
        <f>IF(OR(BA1930="",BB1930=""),"",BB1930+BA1930*F1930)</f>
        <v>0</v>
      </c>
      <c r="BD1930">
        <f>IF(COUNT($E$2:$E1930)&lt;20,"",STEYX($E$1831:$E$1930,$F$1831:$F$1930))</f>
        <v>0</v>
      </c>
      <c r="BE1930">
        <f>IF($E1930="","",IF(AND(COUNT($E$1931:$E$1934)&gt;=4,$C1930=MAX($C$1926:$C$1934)),$C1930,""))</f>
        <v>0</v>
      </c>
      <c r="BF1930">
        <f>IF($E1930="","",IF(AND(COUNT($E$1931:$E$1934)&gt;=4,$D1930=MIN($D$1926:$D$1934)),$D1930,""))</f>
        <v>0</v>
      </c>
      <c r="BG1930">
        <f>IF($A1930="","",$A1930-WEEKDAY($A1930,2)+1)</f>
        <v>0</v>
      </c>
      <c r="BH1930">
        <f>IF($A1930="","",IF($A1929="",1,IF(BG1930&lt;&gt;BG1929,1,0)))</f>
        <v>0</v>
      </c>
      <c r="BI1930">
        <f>IF($A1930="","",IF($A1931="",1,IF(BG1931&lt;&gt;BG1930,1,0)))</f>
        <v>0</v>
      </c>
      <c r="BJ1930">
        <f>IF($A1930="","",IF(BH1930=1,$B1930,BJ1929))</f>
        <v>0</v>
      </c>
      <c r="BK1930">
        <f>IF($A1930="","",IF(BH1930=1,$C1930,MAX($C1930,BK1929)))</f>
        <v>0</v>
      </c>
      <c r="BL1930">
        <f>IF($A1930="","",IF(BH1930=1,$D1930,MIN($D1930,BL1929)))</f>
        <v>0</v>
      </c>
      <c r="BM1930">
        <f>IF($A1930="","",IF(BI1930=1,F1930,""))</f>
        <v>0</v>
      </c>
      <c r="BN1930">
        <f>IF($A1930="","",DATE(YEAR($A1930),MONTH($A1930),1))</f>
        <v>0</v>
      </c>
      <c r="BO1930">
        <f>IF($A1930="","",IF($A1929="",1,IF(BN1930&lt;&gt;BN1929,1,0)))</f>
        <v>0</v>
      </c>
      <c r="BP1930">
        <f>IF($A1930="","",IF($A1931="",1,IF(BN1931&lt;&gt;BN1930,1,0)))</f>
        <v>0</v>
      </c>
      <c r="BQ1930">
        <f>IF($A1930="","",IF(BO1930=1,$B1930,BQ1929))</f>
        <v>0</v>
      </c>
      <c r="BR1930">
        <f>IF($A1930="","",IF(BO1930=1,$C1930,MAX($C1930,BR1929)))</f>
        <v>0</v>
      </c>
      <c r="BS1930">
        <f>IF($A1930="","",IF(BO1930=1,$D1930,MIN($D1930,BS1929)))</f>
        <v>0</v>
      </c>
      <c r="BT1930">
        <f>IF($A1930="","",IF(BP1930=1,F1930,""))</f>
        <v>0</v>
      </c>
    </row>
    <row r="1931" spans="1:72">
      <c r="A1931" s="27">
        <f>IF(Data!$A1931="","",Data!$A1931)</f>
        <v>0</v>
      </c>
      <c r="B1931">
        <f>IF(Data!$B1931="","",Data!$B1931)</f>
        <v>0</v>
      </c>
      <c r="C1931">
        <f>IF(Data!$C1931="","",Data!$C1931)</f>
        <v>0</v>
      </c>
      <c r="D1931">
        <f>IF(Data!$D1931="","",Data!$D1931)</f>
        <v>0</v>
      </c>
      <c r="E1931">
        <f>IF(Data!$E1931="","",Data!$E1931)</f>
        <v>0</v>
      </c>
      <c r="F1931">
        <f>IF($E1931="","",N(F1930)+1)</f>
        <v>0</v>
      </c>
      <c r="G1931">
        <f>IF(OR($E1931="",$E1930=""),"",LN($E1931/$E1930))</f>
        <v>0</v>
      </c>
      <c r="H1931">
        <f>IF($E1931="","",IF($E1930="",$E1931,$E1931*0.0952380952+H1930*0.9047619048))</f>
        <v>0</v>
      </c>
      <c r="I1931">
        <f>IF($E1931="","",IF($E1930="",$E1931,$E1931*0.0392156863+I1930*0.9607843137))</f>
        <v>0</v>
      </c>
      <c r="J1931">
        <f>IF($E1931="","",IF($E1930="",$E1931,$E1931*0.0198019802+J1930*0.9801980198))</f>
        <v>0</v>
      </c>
      <c r="K1931">
        <f>IF($E1931="","",IF($E1930="",$E1931,$E1931*0.0099502488+K1930*0.9900497512))</f>
        <v>0</v>
      </c>
      <c r="L1931">
        <f>IF(OR($E1931="",$E1930=""),"",MAX($E1931-$E1930,0))</f>
        <v>0</v>
      </c>
      <c r="M1931">
        <f>IF(OR($E1931="",$E1930=""),"",MAX($E1930-$E1931,0))</f>
        <v>0</v>
      </c>
      <c r="N1931">
        <f>IF(COUNT($E$2:$E1931)&lt;15,"",IF(AVERAGE($M$1918:$M$1931)=0,100,100-100/(1+AVERAGE($L$1918:$L$1931)/AVERAGE($M$1918:$M$1931))))</f>
        <v>0</v>
      </c>
      <c r="O1931">
        <f>IF($E1931="","",IF($E1930="",$E1931,$E1931*0.1538461538+O1930*0.8461538462))</f>
        <v>0</v>
      </c>
      <c r="P1931">
        <f>IF($E1931="","",IF($E1930="",$E1931,$E1931*0.0740740741+P1930*0.9259259259))</f>
        <v>0</v>
      </c>
      <c r="Q1931">
        <f>IF(OR(O1931="",P1931=""),"",O1931-P1931)</f>
        <v>0</v>
      </c>
      <c r="R1931">
        <f>IF(Q1931="","",IF(R1930="",Q1931,Q1931*0.2000000000+R1930*0.8000000000))</f>
        <v>0</v>
      </c>
      <c r="S1931">
        <f>IF(OR(Q1931="",R1931=""),"",Q1931-R1931)</f>
        <v>0</v>
      </c>
      <c r="T1931">
        <f>IF(COUNT($E$2:$E1931)&lt;14,"",MAX($C$1918:$C$1931))</f>
        <v>0</v>
      </c>
      <c r="U1931">
        <f>IF(COUNT($E$2:$E1931)&lt;14,"",MIN($D$1918:$D$1931))</f>
        <v>0</v>
      </c>
      <c r="V1931">
        <f>IF(OR(T1931="",U1931="",T1931=U1931),"",100*($E1931-U1931)/(T1931-U1931))</f>
        <v>0</v>
      </c>
      <c r="W1931">
        <f>IF(COUNT($V$1929:$V$1931)&lt;3,"",AVERAGE($V$1929:$V$1931))</f>
        <v>0</v>
      </c>
      <c r="X1931">
        <f>IF(COUNT($N$1918:$N$1931)&lt;14,"",MIN($N$1918:$N$1931))</f>
        <v>0</v>
      </c>
      <c r="Y1931">
        <f>IF(COUNT($N$1918:$N$1931)&lt;14,"",MAX($N$1918:$N$1931))</f>
        <v>0</v>
      </c>
      <c r="Z1931">
        <f>IF(OR(N1931="",X1931="",Y1931="",Y1931=X1931),"",100*(N1931-X1931)/(Y1931-X1931))</f>
        <v>0</v>
      </c>
      <c r="AA1931">
        <f>IF(COUNT($Z$1929:$Z$1931)&lt;3,"",AVERAGE($Z$1929:$Z$1931))</f>
        <v>0</v>
      </c>
      <c r="AB1931">
        <f>IF(COUNT($AA$1929:$AA$1931)&lt;3,"",AVERAGE($AA$1929:$AA$1931))</f>
        <v>0</v>
      </c>
      <c r="AC1931">
        <f>IF($E1931="","",MAX($C1931-$D1931,ABS($C1931-$E1930),ABS($D1931-$E1930)))</f>
        <v>0</v>
      </c>
      <c r="AD1931">
        <f>IF(COUNT($E$2:$E1931)&lt;15,"",AVERAGE($AC$1918:$AC$1931))</f>
        <v>0</v>
      </c>
      <c r="AE1931">
        <f>IF(OR($E1931="",$E1930=""),"",IF(AND(($C1931-$C1930)&gt;($D1930-$D1931),($C1931-$C1930)&gt;0),$C1931-$C1930,0))</f>
        <v>0</v>
      </c>
      <c r="AF1931">
        <f>IF(OR($E1931="",$E1930=""),"",IF(AND(($D1930-$D1931)&gt;($C1931-$C1930),($D1930-$D1931)&gt;0),$D1930-$D1931,0))</f>
        <v>0</v>
      </c>
      <c r="AG1931">
        <f>IF(COUNT($E$2:$E1931)&lt;15,"",IF(SUM($AC$1918:$AC$1931)=0,0,100*SUM($AE$1918:$AE$1931)/SUM($AC$1918:$AC$1931)))</f>
        <v>0</v>
      </c>
      <c r="AH1931">
        <f>IF(COUNT($E$2:$E1931)&lt;15,"",IF(SUM($AC$1918:$AC$1931)=0,0,100*SUM($AF$1918:$AF$1931)/SUM($AC$1918:$AC$1931)))</f>
        <v>0</v>
      </c>
      <c r="AI1931">
        <f>IF(OR(AG1931="",AH1931=""),"",IF((AG1931+AH1931)=0,0,100*ABS(AG1931-AH1931)/(AG1931+AH1931)))</f>
        <v>0</v>
      </c>
      <c r="AJ1931">
        <f>IF(COUNT($AI$1918:$AI$1931)&lt;14,"",AVERAGE($AI$1918:$AI$1931))</f>
        <v>0</v>
      </c>
      <c r="AK1931">
        <f>IF(COUNT($E$2:$E1931)&lt;20,"",AVERAGE($E$1912:$E$1931))</f>
        <v>0</v>
      </c>
      <c r="AL1931">
        <f>IF(COUNT($E$2:$E1931)&lt;20,"",STDEVP($E$1912:$E$1931))</f>
        <v>0</v>
      </c>
      <c r="AM1931">
        <f>IF(AK1931="","",AK1931+2*AL1931)</f>
        <v>0</v>
      </c>
      <c r="AN1931">
        <f>IF(AK1931="","",AK1931-2*AL1931)</f>
        <v>0</v>
      </c>
      <c r="AO1931">
        <f>IF(OR(AM1931="",AN1931="",AM1931=AN1931),"",($E1931-AN1931)/(AM1931-AN1931))</f>
        <v>0</v>
      </c>
      <c r="AP1931">
        <f>IF(OR(AM1931="",AK1931="",AK1931=0),"",(AM1931-AN1931)/AK1931)</f>
        <v>0</v>
      </c>
      <c r="AQ1931">
        <f>IF(COUNT($E$2:$E1931)&lt;20,"",MAX($C$1912:$C$1931))</f>
        <v>0</v>
      </c>
      <c r="AR1931">
        <f>IF(COUNT($E$2:$E1931)&lt;20,"",MIN($D$1912:$D$1931))</f>
        <v>0</v>
      </c>
      <c r="AS1931">
        <f>IF(OR(AQ1931="",AR1931=""),"",(AQ1931+AR1931)/2)</f>
        <v>0</v>
      </c>
      <c r="AT1931">
        <f>IF(COUNT($G$1912:$G$1931)&lt;20,"",STDEV($G$1912:$G$1931)*SQRT(252))</f>
        <v>0</v>
      </c>
      <c r="AU1931">
        <f>IF(COUNT($E$2:$E1931)&lt;9,"",(MAX($C$1923:$C$1931)+MIN($D$1923:$D$1931))/2)</f>
        <v>0</v>
      </c>
      <c r="AV1931">
        <f>IF(COUNT($E$2:$E1931)&lt;26,"",(MAX($C$1906:$C$1931)+MIN($D$1906:$D$1931))/2)</f>
        <v>0</v>
      </c>
      <c r="AW1931">
        <f>IF(OR(AU1931="",AV1931=""),"",(AU1931+AV1931)/2)</f>
        <v>0</v>
      </c>
      <c r="AX1931">
        <f>IF(COUNT($E$2:$E1931)&lt;52,"",(MAX($C$1880:$C$1931)+MIN($D$1880:$D$1931))/2)</f>
        <v>0</v>
      </c>
      <c r="AY1931">
        <f>IF(COUNT($E$2:$E1931)&lt;20,"",MAX($C$1832:$C$1931))</f>
        <v>0</v>
      </c>
      <c r="AZ1931">
        <f>IF(COUNT($E$2:$E1931)&lt;20,"",MIN($D$1832:$D$1931))</f>
        <v>0</v>
      </c>
      <c r="BA1931">
        <f>IF(COUNT($E$2:$E1931)&lt;20,"",SLOPE($E$1832:$E$1931,$F$1832:$F$1931))</f>
        <v>0</v>
      </c>
      <c r="BB1931">
        <f>IF(COUNT($E$2:$E1931)&lt;20,"",INTERCEPT($E$1832:$E$1931,$F$1832:$F$1931))</f>
        <v>0</v>
      </c>
      <c r="BC1931">
        <f>IF(OR(BA1931="",BB1931=""),"",BB1931+BA1931*F1931)</f>
        <v>0</v>
      </c>
      <c r="BD1931">
        <f>IF(COUNT($E$2:$E1931)&lt;20,"",STEYX($E$1832:$E$1931,$F$1832:$F$1931))</f>
        <v>0</v>
      </c>
      <c r="BE1931">
        <f>IF($E1931="","",IF(AND(COUNT($E$1932:$E$1935)&gt;=4,$C1931=MAX($C$1927:$C$1935)),$C1931,""))</f>
        <v>0</v>
      </c>
      <c r="BF1931">
        <f>IF($E1931="","",IF(AND(COUNT($E$1932:$E$1935)&gt;=4,$D1931=MIN($D$1927:$D$1935)),$D1931,""))</f>
        <v>0</v>
      </c>
      <c r="BG1931">
        <f>IF($A1931="","",$A1931-WEEKDAY($A1931,2)+1)</f>
        <v>0</v>
      </c>
      <c r="BH1931">
        <f>IF($A1931="","",IF($A1930="",1,IF(BG1931&lt;&gt;BG1930,1,0)))</f>
        <v>0</v>
      </c>
      <c r="BI1931">
        <f>IF($A1931="","",IF($A1932="",1,IF(BG1932&lt;&gt;BG1931,1,0)))</f>
        <v>0</v>
      </c>
      <c r="BJ1931">
        <f>IF($A1931="","",IF(BH1931=1,$B1931,BJ1930))</f>
        <v>0</v>
      </c>
      <c r="BK1931">
        <f>IF($A1931="","",IF(BH1931=1,$C1931,MAX($C1931,BK1930)))</f>
        <v>0</v>
      </c>
      <c r="BL1931">
        <f>IF($A1931="","",IF(BH1931=1,$D1931,MIN($D1931,BL1930)))</f>
        <v>0</v>
      </c>
      <c r="BM1931">
        <f>IF($A1931="","",IF(BI1931=1,F1931,""))</f>
        <v>0</v>
      </c>
      <c r="BN1931">
        <f>IF($A1931="","",DATE(YEAR($A1931),MONTH($A1931),1))</f>
        <v>0</v>
      </c>
      <c r="BO1931">
        <f>IF($A1931="","",IF($A1930="",1,IF(BN1931&lt;&gt;BN1930,1,0)))</f>
        <v>0</v>
      </c>
      <c r="BP1931">
        <f>IF($A1931="","",IF($A1932="",1,IF(BN1932&lt;&gt;BN1931,1,0)))</f>
        <v>0</v>
      </c>
      <c r="BQ1931">
        <f>IF($A1931="","",IF(BO1931=1,$B1931,BQ1930))</f>
        <v>0</v>
      </c>
      <c r="BR1931">
        <f>IF($A1931="","",IF(BO1931=1,$C1931,MAX($C1931,BR1930)))</f>
        <v>0</v>
      </c>
      <c r="BS1931">
        <f>IF($A1931="","",IF(BO1931=1,$D1931,MIN($D1931,BS1930)))</f>
        <v>0</v>
      </c>
      <c r="BT1931">
        <f>IF($A1931="","",IF(BP1931=1,F1931,""))</f>
        <v>0</v>
      </c>
    </row>
    <row r="1932" spans="1:72">
      <c r="A1932" s="27">
        <f>IF(Data!$A1932="","",Data!$A1932)</f>
        <v>0</v>
      </c>
      <c r="B1932">
        <f>IF(Data!$B1932="","",Data!$B1932)</f>
        <v>0</v>
      </c>
      <c r="C1932">
        <f>IF(Data!$C1932="","",Data!$C1932)</f>
        <v>0</v>
      </c>
      <c r="D1932">
        <f>IF(Data!$D1932="","",Data!$D1932)</f>
        <v>0</v>
      </c>
      <c r="E1932">
        <f>IF(Data!$E1932="","",Data!$E1932)</f>
        <v>0</v>
      </c>
      <c r="F1932">
        <f>IF($E1932="","",N(F1931)+1)</f>
        <v>0</v>
      </c>
      <c r="G1932">
        <f>IF(OR($E1932="",$E1931=""),"",LN($E1932/$E1931))</f>
        <v>0</v>
      </c>
      <c r="H1932">
        <f>IF($E1932="","",IF($E1931="",$E1932,$E1932*0.0952380952+H1931*0.9047619048))</f>
        <v>0</v>
      </c>
      <c r="I1932">
        <f>IF($E1932="","",IF($E1931="",$E1932,$E1932*0.0392156863+I1931*0.9607843137))</f>
        <v>0</v>
      </c>
      <c r="J1932">
        <f>IF($E1932="","",IF($E1931="",$E1932,$E1932*0.0198019802+J1931*0.9801980198))</f>
        <v>0</v>
      </c>
      <c r="K1932">
        <f>IF($E1932="","",IF($E1931="",$E1932,$E1932*0.0099502488+K1931*0.9900497512))</f>
        <v>0</v>
      </c>
      <c r="L1932">
        <f>IF(OR($E1932="",$E1931=""),"",MAX($E1932-$E1931,0))</f>
        <v>0</v>
      </c>
      <c r="M1932">
        <f>IF(OR($E1932="",$E1931=""),"",MAX($E1931-$E1932,0))</f>
        <v>0</v>
      </c>
      <c r="N1932">
        <f>IF(COUNT($E$2:$E1932)&lt;15,"",IF(AVERAGE($M$1919:$M$1932)=0,100,100-100/(1+AVERAGE($L$1919:$L$1932)/AVERAGE($M$1919:$M$1932))))</f>
        <v>0</v>
      </c>
      <c r="O1932">
        <f>IF($E1932="","",IF($E1931="",$E1932,$E1932*0.1538461538+O1931*0.8461538462))</f>
        <v>0</v>
      </c>
      <c r="P1932">
        <f>IF($E1932="","",IF($E1931="",$E1932,$E1932*0.0740740741+P1931*0.9259259259))</f>
        <v>0</v>
      </c>
      <c r="Q1932">
        <f>IF(OR(O1932="",P1932=""),"",O1932-P1932)</f>
        <v>0</v>
      </c>
      <c r="R1932">
        <f>IF(Q1932="","",IF(R1931="",Q1932,Q1932*0.2000000000+R1931*0.8000000000))</f>
        <v>0</v>
      </c>
      <c r="S1932">
        <f>IF(OR(Q1932="",R1932=""),"",Q1932-R1932)</f>
        <v>0</v>
      </c>
      <c r="T1932">
        <f>IF(COUNT($E$2:$E1932)&lt;14,"",MAX($C$1919:$C$1932))</f>
        <v>0</v>
      </c>
      <c r="U1932">
        <f>IF(COUNT($E$2:$E1932)&lt;14,"",MIN($D$1919:$D$1932))</f>
        <v>0</v>
      </c>
      <c r="V1932">
        <f>IF(OR(T1932="",U1932="",T1932=U1932),"",100*($E1932-U1932)/(T1932-U1932))</f>
        <v>0</v>
      </c>
      <c r="W1932">
        <f>IF(COUNT($V$1930:$V$1932)&lt;3,"",AVERAGE($V$1930:$V$1932))</f>
        <v>0</v>
      </c>
      <c r="X1932">
        <f>IF(COUNT($N$1919:$N$1932)&lt;14,"",MIN($N$1919:$N$1932))</f>
        <v>0</v>
      </c>
      <c r="Y1932">
        <f>IF(COUNT($N$1919:$N$1932)&lt;14,"",MAX($N$1919:$N$1932))</f>
        <v>0</v>
      </c>
      <c r="Z1932">
        <f>IF(OR(N1932="",X1932="",Y1932="",Y1932=X1932),"",100*(N1932-X1932)/(Y1932-X1932))</f>
        <v>0</v>
      </c>
      <c r="AA1932">
        <f>IF(COUNT($Z$1930:$Z$1932)&lt;3,"",AVERAGE($Z$1930:$Z$1932))</f>
        <v>0</v>
      </c>
      <c r="AB1932">
        <f>IF(COUNT($AA$1930:$AA$1932)&lt;3,"",AVERAGE($AA$1930:$AA$1932))</f>
        <v>0</v>
      </c>
      <c r="AC1932">
        <f>IF($E1932="","",MAX($C1932-$D1932,ABS($C1932-$E1931),ABS($D1932-$E1931)))</f>
        <v>0</v>
      </c>
      <c r="AD1932">
        <f>IF(COUNT($E$2:$E1932)&lt;15,"",AVERAGE($AC$1919:$AC$1932))</f>
        <v>0</v>
      </c>
      <c r="AE1932">
        <f>IF(OR($E1932="",$E1931=""),"",IF(AND(($C1932-$C1931)&gt;($D1931-$D1932),($C1932-$C1931)&gt;0),$C1932-$C1931,0))</f>
        <v>0</v>
      </c>
      <c r="AF1932">
        <f>IF(OR($E1932="",$E1931=""),"",IF(AND(($D1931-$D1932)&gt;($C1932-$C1931),($D1931-$D1932)&gt;0),$D1931-$D1932,0))</f>
        <v>0</v>
      </c>
      <c r="AG1932">
        <f>IF(COUNT($E$2:$E1932)&lt;15,"",IF(SUM($AC$1919:$AC$1932)=0,0,100*SUM($AE$1919:$AE$1932)/SUM($AC$1919:$AC$1932)))</f>
        <v>0</v>
      </c>
      <c r="AH1932">
        <f>IF(COUNT($E$2:$E1932)&lt;15,"",IF(SUM($AC$1919:$AC$1932)=0,0,100*SUM($AF$1919:$AF$1932)/SUM($AC$1919:$AC$1932)))</f>
        <v>0</v>
      </c>
      <c r="AI1932">
        <f>IF(OR(AG1932="",AH1932=""),"",IF((AG1932+AH1932)=0,0,100*ABS(AG1932-AH1932)/(AG1932+AH1932)))</f>
        <v>0</v>
      </c>
      <c r="AJ1932">
        <f>IF(COUNT($AI$1919:$AI$1932)&lt;14,"",AVERAGE($AI$1919:$AI$1932))</f>
        <v>0</v>
      </c>
      <c r="AK1932">
        <f>IF(COUNT($E$2:$E1932)&lt;20,"",AVERAGE($E$1913:$E$1932))</f>
        <v>0</v>
      </c>
      <c r="AL1932">
        <f>IF(COUNT($E$2:$E1932)&lt;20,"",STDEVP($E$1913:$E$1932))</f>
        <v>0</v>
      </c>
      <c r="AM1932">
        <f>IF(AK1932="","",AK1932+2*AL1932)</f>
        <v>0</v>
      </c>
      <c r="AN1932">
        <f>IF(AK1932="","",AK1932-2*AL1932)</f>
        <v>0</v>
      </c>
      <c r="AO1932">
        <f>IF(OR(AM1932="",AN1932="",AM1932=AN1932),"",($E1932-AN1932)/(AM1932-AN1932))</f>
        <v>0</v>
      </c>
      <c r="AP1932">
        <f>IF(OR(AM1932="",AK1932="",AK1932=0),"",(AM1932-AN1932)/AK1932)</f>
        <v>0</v>
      </c>
      <c r="AQ1932">
        <f>IF(COUNT($E$2:$E1932)&lt;20,"",MAX($C$1913:$C$1932))</f>
        <v>0</v>
      </c>
      <c r="AR1932">
        <f>IF(COUNT($E$2:$E1932)&lt;20,"",MIN($D$1913:$D$1932))</f>
        <v>0</v>
      </c>
      <c r="AS1932">
        <f>IF(OR(AQ1932="",AR1932=""),"",(AQ1932+AR1932)/2)</f>
        <v>0</v>
      </c>
      <c r="AT1932">
        <f>IF(COUNT($G$1913:$G$1932)&lt;20,"",STDEV($G$1913:$G$1932)*SQRT(252))</f>
        <v>0</v>
      </c>
      <c r="AU1932">
        <f>IF(COUNT($E$2:$E1932)&lt;9,"",(MAX($C$1924:$C$1932)+MIN($D$1924:$D$1932))/2)</f>
        <v>0</v>
      </c>
      <c r="AV1932">
        <f>IF(COUNT($E$2:$E1932)&lt;26,"",(MAX($C$1907:$C$1932)+MIN($D$1907:$D$1932))/2)</f>
        <v>0</v>
      </c>
      <c r="AW1932">
        <f>IF(OR(AU1932="",AV1932=""),"",(AU1932+AV1932)/2)</f>
        <v>0</v>
      </c>
      <c r="AX1932">
        <f>IF(COUNT($E$2:$E1932)&lt;52,"",(MAX($C$1881:$C$1932)+MIN($D$1881:$D$1932))/2)</f>
        <v>0</v>
      </c>
      <c r="AY1932">
        <f>IF(COUNT($E$2:$E1932)&lt;20,"",MAX($C$1833:$C$1932))</f>
        <v>0</v>
      </c>
      <c r="AZ1932">
        <f>IF(COUNT($E$2:$E1932)&lt;20,"",MIN($D$1833:$D$1932))</f>
        <v>0</v>
      </c>
      <c r="BA1932">
        <f>IF(COUNT($E$2:$E1932)&lt;20,"",SLOPE($E$1833:$E$1932,$F$1833:$F$1932))</f>
        <v>0</v>
      </c>
      <c r="BB1932">
        <f>IF(COUNT($E$2:$E1932)&lt;20,"",INTERCEPT($E$1833:$E$1932,$F$1833:$F$1932))</f>
        <v>0</v>
      </c>
      <c r="BC1932">
        <f>IF(OR(BA1932="",BB1932=""),"",BB1932+BA1932*F1932)</f>
        <v>0</v>
      </c>
      <c r="BD1932">
        <f>IF(COUNT($E$2:$E1932)&lt;20,"",STEYX($E$1833:$E$1932,$F$1833:$F$1932))</f>
        <v>0</v>
      </c>
      <c r="BE1932">
        <f>IF($E1932="","",IF(AND(COUNT($E$1933:$E$1936)&gt;=4,$C1932=MAX($C$1928:$C$1936)),$C1932,""))</f>
        <v>0</v>
      </c>
      <c r="BF1932">
        <f>IF($E1932="","",IF(AND(COUNT($E$1933:$E$1936)&gt;=4,$D1932=MIN($D$1928:$D$1936)),$D1932,""))</f>
        <v>0</v>
      </c>
      <c r="BG1932">
        <f>IF($A1932="","",$A1932-WEEKDAY($A1932,2)+1)</f>
        <v>0</v>
      </c>
      <c r="BH1932">
        <f>IF($A1932="","",IF($A1931="",1,IF(BG1932&lt;&gt;BG1931,1,0)))</f>
        <v>0</v>
      </c>
      <c r="BI1932">
        <f>IF($A1932="","",IF($A1933="",1,IF(BG1933&lt;&gt;BG1932,1,0)))</f>
        <v>0</v>
      </c>
      <c r="BJ1932">
        <f>IF($A1932="","",IF(BH1932=1,$B1932,BJ1931))</f>
        <v>0</v>
      </c>
      <c r="BK1932">
        <f>IF($A1932="","",IF(BH1932=1,$C1932,MAX($C1932,BK1931)))</f>
        <v>0</v>
      </c>
      <c r="BL1932">
        <f>IF($A1932="","",IF(BH1932=1,$D1932,MIN($D1932,BL1931)))</f>
        <v>0</v>
      </c>
      <c r="BM1932">
        <f>IF($A1932="","",IF(BI1932=1,F1932,""))</f>
        <v>0</v>
      </c>
      <c r="BN1932">
        <f>IF($A1932="","",DATE(YEAR($A1932),MONTH($A1932),1))</f>
        <v>0</v>
      </c>
      <c r="BO1932">
        <f>IF($A1932="","",IF($A1931="",1,IF(BN1932&lt;&gt;BN1931,1,0)))</f>
        <v>0</v>
      </c>
      <c r="BP1932">
        <f>IF($A1932="","",IF($A1933="",1,IF(BN1933&lt;&gt;BN1932,1,0)))</f>
        <v>0</v>
      </c>
      <c r="BQ1932">
        <f>IF($A1932="","",IF(BO1932=1,$B1932,BQ1931))</f>
        <v>0</v>
      </c>
      <c r="BR1932">
        <f>IF($A1932="","",IF(BO1932=1,$C1932,MAX($C1932,BR1931)))</f>
        <v>0</v>
      </c>
      <c r="BS1932">
        <f>IF($A1932="","",IF(BO1932=1,$D1932,MIN($D1932,BS1931)))</f>
        <v>0</v>
      </c>
      <c r="BT1932">
        <f>IF($A1932="","",IF(BP1932=1,F1932,""))</f>
        <v>0</v>
      </c>
    </row>
    <row r="1933" spans="1:72">
      <c r="A1933" s="27">
        <f>IF(Data!$A1933="","",Data!$A1933)</f>
        <v>0</v>
      </c>
      <c r="B1933">
        <f>IF(Data!$B1933="","",Data!$B1933)</f>
        <v>0</v>
      </c>
      <c r="C1933">
        <f>IF(Data!$C1933="","",Data!$C1933)</f>
        <v>0</v>
      </c>
      <c r="D1933">
        <f>IF(Data!$D1933="","",Data!$D1933)</f>
        <v>0</v>
      </c>
      <c r="E1933">
        <f>IF(Data!$E1933="","",Data!$E1933)</f>
        <v>0</v>
      </c>
      <c r="F1933">
        <f>IF($E1933="","",N(F1932)+1)</f>
        <v>0</v>
      </c>
      <c r="G1933">
        <f>IF(OR($E1933="",$E1932=""),"",LN($E1933/$E1932))</f>
        <v>0</v>
      </c>
      <c r="H1933">
        <f>IF($E1933="","",IF($E1932="",$E1933,$E1933*0.0952380952+H1932*0.9047619048))</f>
        <v>0</v>
      </c>
      <c r="I1933">
        <f>IF($E1933="","",IF($E1932="",$E1933,$E1933*0.0392156863+I1932*0.9607843137))</f>
        <v>0</v>
      </c>
      <c r="J1933">
        <f>IF($E1933="","",IF($E1932="",$E1933,$E1933*0.0198019802+J1932*0.9801980198))</f>
        <v>0</v>
      </c>
      <c r="K1933">
        <f>IF($E1933="","",IF($E1932="",$E1933,$E1933*0.0099502488+K1932*0.9900497512))</f>
        <v>0</v>
      </c>
      <c r="L1933">
        <f>IF(OR($E1933="",$E1932=""),"",MAX($E1933-$E1932,0))</f>
        <v>0</v>
      </c>
      <c r="M1933">
        <f>IF(OR($E1933="",$E1932=""),"",MAX($E1932-$E1933,0))</f>
        <v>0</v>
      </c>
      <c r="N1933">
        <f>IF(COUNT($E$2:$E1933)&lt;15,"",IF(AVERAGE($M$1920:$M$1933)=0,100,100-100/(1+AVERAGE($L$1920:$L$1933)/AVERAGE($M$1920:$M$1933))))</f>
        <v>0</v>
      </c>
      <c r="O1933">
        <f>IF($E1933="","",IF($E1932="",$E1933,$E1933*0.1538461538+O1932*0.8461538462))</f>
        <v>0</v>
      </c>
      <c r="P1933">
        <f>IF($E1933="","",IF($E1932="",$E1933,$E1933*0.0740740741+P1932*0.9259259259))</f>
        <v>0</v>
      </c>
      <c r="Q1933">
        <f>IF(OR(O1933="",P1933=""),"",O1933-P1933)</f>
        <v>0</v>
      </c>
      <c r="R1933">
        <f>IF(Q1933="","",IF(R1932="",Q1933,Q1933*0.2000000000+R1932*0.8000000000))</f>
        <v>0</v>
      </c>
      <c r="S1933">
        <f>IF(OR(Q1933="",R1933=""),"",Q1933-R1933)</f>
        <v>0</v>
      </c>
      <c r="T1933">
        <f>IF(COUNT($E$2:$E1933)&lt;14,"",MAX($C$1920:$C$1933))</f>
        <v>0</v>
      </c>
      <c r="U1933">
        <f>IF(COUNT($E$2:$E1933)&lt;14,"",MIN($D$1920:$D$1933))</f>
        <v>0</v>
      </c>
      <c r="V1933">
        <f>IF(OR(T1933="",U1933="",T1933=U1933),"",100*($E1933-U1933)/(T1933-U1933))</f>
        <v>0</v>
      </c>
      <c r="W1933">
        <f>IF(COUNT($V$1931:$V$1933)&lt;3,"",AVERAGE($V$1931:$V$1933))</f>
        <v>0</v>
      </c>
      <c r="X1933">
        <f>IF(COUNT($N$1920:$N$1933)&lt;14,"",MIN($N$1920:$N$1933))</f>
        <v>0</v>
      </c>
      <c r="Y1933">
        <f>IF(COUNT($N$1920:$N$1933)&lt;14,"",MAX($N$1920:$N$1933))</f>
        <v>0</v>
      </c>
      <c r="Z1933">
        <f>IF(OR(N1933="",X1933="",Y1933="",Y1933=X1933),"",100*(N1933-X1933)/(Y1933-X1933))</f>
        <v>0</v>
      </c>
      <c r="AA1933">
        <f>IF(COUNT($Z$1931:$Z$1933)&lt;3,"",AVERAGE($Z$1931:$Z$1933))</f>
        <v>0</v>
      </c>
      <c r="AB1933">
        <f>IF(COUNT($AA$1931:$AA$1933)&lt;3,"",AVERAGE($AA$1931:$AA$1933))</f>
        <v>0</v>
      </c>
      <c r="AC1933">
        <f>IF($E1933="","",MAX($C1933-$D1933,ABS($C1933-$E1932),ABS($D1933-$E1932)))</f>
        <v>0</v>
      </c>
      <c r="AD1933">
        <f>IF(COUNT($E$2:$E1933)&lt;15,"",AVERAGE($AC$1920:$AC$1933))</f>
        <v>0</v>
      </c>
      <c r="AE1933">
        <f>IF(OR($E1933="",$E1932=""),"",IF(AND(($C1933-$C1932)&gt;($D1932-$D1933),($C1933-$C1932)&gt;0),$C1933-$C1932,0))</f>
        <v>0</v>
      </c>
      <c r="AF1933">
        <f>IF(OR($E1933="",$E1932=""),"",IF(AND(($D1932-$D1933)&gt;($C1933-$C1932),($D1932-$D1933)&gt;0),$D1932-$D1933,0))</f>
        <v>0</v>
      </c>
      <c r="AG1933">
        <f>IF(COUNT($E$2:$E1933)&lt;15,"",IF(SUM($AC$1920:$AC$1933)=0,0,100*SUM($AE$1920:$AE$1933)/SUM($AC$1920:$AC$1933)))</f>
        <v>0</v>
      </c>
      <c r="AH1933">
        <f>IF(COUNT($E$2:$E1933)&lt;15,"",IF(SUM($AC$1920:$AC$1933)=0,0,100*SUM($AF$1920:$AF$1933)/SUM($AC$1920:$AC$1933)))</f>
        <v>0</v>
      </c>
      <c r="AI1933">
        <f>IF(OR(AG1933="",AH1933=""),"",IF((AG1933+AH1933)=0,0,100*ABS(AG1933-AH1933)/(AG1933+AH1933)))</f>
        <v>0</v>
      </c>
      <c r="AJ1933">
        <f>IF(COUNT($AI$1920:$AI$1933)&lt;14,"",AVERAGE($AI$1920:$AI$1933))</f>
        <v>0</v>
      </c>
      <c r="AK1933">
        <f>IF(COUNT($E$2:$E1933)&lt;20,"",AVERAGE($E$1914:$E$1933))</f>
        <v>0</v>
      </c>
      <c r="AL1933">
        <f>IF(COUNT($E$2:$E1933)&lt;20,"",STDEVP($E$1914:$E$1933))</f>
        <v>0</v>
      </c>
      <c r="AM1933">
        <f>IF(AK1933="","",AK1933+2*AL1933)</f>
        <v>0</v>
      </c>
      <c r="AN1933">
        <f>IF(AK1933="","",AK1933-2*AL1933)</f>
        <v>0</v>
      </c>
      <c r="AO1933">
        <f>IF(OR(AM1933="",AN1933="",AM1933=AN1933),"",($E1933-AN1933)/(AM1933-AN1933))</f>
        <v>0</v>
      </c>
      <c r="AP1933">
        <f>IF(OR(AM1933="",AK1933="",AK1933=0),"",(AM1933-AN1933)/AK1933)</f>
        <v>0</v>
      </c>
      <c r="AQ1933">
        <f>IF(COUNT($E$2:$E1933)&lt;20,"",MAX($C$1914:$C$1933))</f>
        <v>0</v>
      </c>
      <c r="AR1933">
        <f>IF(COUNT($E$2:$E1933)&lt;20,"",MIN($D$1914:$D$1933))</f>
        <v>0</v>
      </c>
      <c r="AS1933">
        <f>IF(OR(AQ1933="",AR1933=""),"",(AQ1933+AR1933)/2)</f>
        <v>0</v>
      </c>
      <c r="AT1933">
        <f>IF(COUNT($G$1914:$G$1933)&lt;20,"",STDEV($G$1914:$G$1933)*SQRT(252))</f>
        <v>0</v>
      </c>
      <c r="AU1933">
        <f>IF(COUNT($E$2:$E1933)&lt;9,"",(MAX($C$1925:$C$1933)+MIN($D$1925:$D$1933))/2)</f>
        <v>0</v>
      </c>
      <c r="AV1933">
        <f>IF(COUNT($E$2:$E1933)&lt;26,"",(MAX($C$1908:$C$1933)+MIN($D$1908:$D$1933))/2)</f>
        <v>0</v>
      </c>
      <c r="AW1933">
        <f>IF(OR(AU1933="",AV1933=""),"",(AU1933+AV1933)/2)</f>
        <v>0</v>
      </c>
      <c r="AX1933">
        <f>IF(COUNT($E$2:$E1933)&lt;52,"",(MAX($C$1882:$C$1933)+MIN($D$1882:$D$1933))/2)</f>
        <v>0</v>
      </c>
      <c r="AY1933">
        <f>IF(COUNT($E$2:$E1933)&lt;20,"",MAX($C$1834:$C$1933))</f>
        <v>0</v>
      </c>
      <c r="AZ1933">
        <f>IF(COUNT($E$2:$E1933)&lt;20,"",MIN($D$1834:$D$1933))</f>
        <v>0</v>
      </c>
      <c r="BA1933">
        <f>IF(COUNT($E$2:$E1933)&lt;20,"",SLOPE($E$1834:$E$1933,$F$1834:$F$1933))</f>
        <v>0</v>
      </c>
      <c r="BB1933">
        <f>IF(COUNT($E$2:$E1933)&lt;20,"",INTERCEPT($E$1834:$E$1933,$F$1834:$F$1933))</f>
        <v>0</v>
      </c>
      <c r="BC1933">
        <f>IF(OR(BA1933="",BB1933=""),"",BB1933+BA1933*F1933)</f>
        <v>0</v>
      </c>
      <c r="BD1933">
        <f>IF(COUNT($E$2:$E1933)&lt;20,"",STEYX($E$1834:$E$1933,$F$1834:$F$1933))</f>
        <v>0</v>
      </c>
      <c r="BE1933">
        <f>IF($E1933="","",IF(AND(COUNT($E$1934:$E$1937)&gt;=4,$C1933=MAX($C$1929:$C$1937)),$C1933,""))</f>
        <v>0</v>
      </c>
      <c r="BF1933">
        <f>IF($E1933="","",IF(AND(COUNT($E$1934:$E$1937)&gt;=4,$D1933=MIN($D$1929:$D$1937)),$D1933,""))</f>
        <v>0</v>
      </c>
      <c r="BG1933">
        <f>IF($A1933="","",$A1933-WEEKDAY($A1933,2)+1)</f>
        <v>0</v>
      </c>
      <c r="BH1933">
        <f>IF($A1933="","",IF($A1932="",1,IF(BG1933&lt;&gt;BG1932,1,0)))</f>
        <v>0</v>
      </c>
      <c r="BI1933">
        <f>IF($A1933="","",IF($A1934="",1,IF(BG1934&lt;&gt;BG1933,1,0)))</f>
        <v>0</v>
      </c>
      <c r="BJ1933">
        <f>IF($A1933="","",IF(BH1933=1,$B1933,BJ1932))</f>
        <v>0</v>
      </c>
      <c r="BK1933">
        <f>IF($A1933="","",IF(BH1933=1,$C1933,MAX($C1933,BK1932)))</f>
        <v>0</v>
      </c>
      <c r="BL1933">
        <f>IF($A1933="","",IF(BH1933=1,$D1933,MIN($D1933,BL1932)))</f>
        <v>0</v>
      </c>
      <c r="BM1933">
        <f>IF($A1933="","",IF(BI1933=1,F1933,""))</f>
        <v>0</v>
      </c>
      <c r="BN1933">
        <f>IF($A1933="","",DATE(YEAR($A1933),MONTH($A1933),1))</f>
        <v>0</v>
      </c>
      <c r="BO1933">
        <f>IF($A1933="","",IF($A1932="",1,IF(BN1933&lt;&gt;BN1932,1,0)))</f>
        <v>0</v>
      </c>
      <c r="BP1933">
        <f>IF($A1933="","",IF($A1934="",1,IF(BN1934&lt;&gt;BN1933,1,0)))</f>
        <v>0</v>
      </c>
      <c r="BQ1933">
        <f>IF($A1933="","",IF(BO1933=1,$B1933,BQ1932))</f>
        <v>0</v>
      </c>
      <c r="BR1933">
        <f>IF($A1933="","",IF(BO1933=1,$C1933,MAX($C1933,BR1932)))</f>
        <v>0</v>
      </c>
      <c r="BS1933">
        <f>IF($A1933="","",IF(BO1933=1,$D1933,MIN($D1933,BS1932)))</f>
        <v>0</v>
      </c>
      <c r="BT1933">
        <f>IF($A1933="","",IF(BP1933=1,F1933,""))</f>
        <v>0</v>
      </c>
    </row>
    <row r="1934" spans="1:72">
      <c r="A1934" s="27">
        <f>IF(Data!$A1934="","",Data!$A1934)</f>
        <v>0</v>
      </c>
      <c r="B1934">
        <f>IF(Data!$B1934="","",Data!$B1934)</f>
        <v>0</v>
      </c>
      <c r="C1934">
        <f>IF(Data!$C1934="","",Data!$C1934)</f>
        <v>0</v>
      </c>
      <c r="D1934">
        <f>IF(Data!$D1934="","",Data!$D1934)</f>
        <v>0</v>
      </c>
      <c r="E1934">
        <f>IF(Data!$E1934="","",Data!$E1934)</f>
        <v>0</v>
      </c>
      <c r="F1934">
        <f>IF($E1934="","",N(F1933)+1)</f>
        <v>0</v>
      </c>
      <c r="G1934">
        <f>IF(OR($E1934="",$E1933=""),"",LN($E1934/$E1933))</f>
        <v>0</v>
      </c>
      <c r="H1934">
        <f>IF($E1934="","",IF($E1933="",$E1934,$E1934*0.0952380952+H1933*0.9047619048))</f>
        <v>0</v>
      </c>
      <c r="I1934">
        <f>IF($E1934="","",IF($E1933="",$E1934,$E1934*0.0392156863+I1933*0.9607843137))</f>
        <v>0</v>
      </c>
      <c r="J1934">
        <f>IF($E1934="","",IF($E1933="",$E1934,$E1934*0.0198019802+J1933*0.9801980198))</f>
        <v>0</v>
      </c>
      <c r="K1934">
        <f>IF($E1934="","",IF($E1933="",$E1934,$E1934*0.0099502488+K1933*0.9900497512))</f>
        <v>0</v>
      </c>
      <c r="L1934">
        <f>IF(OR($E1934="",$E1933=""),"",MAX($E1934-$E1933,0))</f>
        <v>0</v>
      </c>
      <c r="M1934">
        <f>IF(OR($E1934="",$E1933=""),"",MAX($E1933-$E1934,0))</f>
        <v>0</v>
      </c>
      <c r="N1934">
        <f>IF(COUNT($E$2:$E1934)&lt;15,"",IF(AVERAGE($M$1921:$M$1934)=0,100,100-100/(1+AVERAGE($L$1921:$L$1934)/AVERAGE($M$1921:$M$1934))))</f>
        <v>0</v>
      </c>
      <c r="O1934">
        <f>IF($E1934="","",IF($E1933="",$E1934,$E1934*0.1538461538+O1933*0.8461538462))</f>
        <v>0</v>
      </c>
      <c r="P1934">
        <f>IF($E1934="","",IF($E1933="",$E1934,$E1934*0.0740740741+P1933*0.9259259259))</f>
        <v>0</v>
      </c>
      <c r="Q1934">
        <f>IF(OR(O1934="",P1934=""),"",O1934-P1934)</f>
        <v>0</v>
      </c>
      <c r="R1934">
        <f>IF(Q1934="","",IF(R1933="",Q1934,Q1934*0.2000000000+R1933*0.8000000000))</f>
        <v>0</v>
      </c>
      <c r="S1934">
        <f>IF(OR(Q1934="",R1934=""),"",Q1934-R1934)</f>
        <v>0</v>
      </c>
      <c r="T1934">
        <f>IF(COUNT($E$2:$E1934)&lt;14,"",MAX($C$1921:$C$1934))</f>
        <v>0</v>
      </c>
      <c r="U1934">
        <f>IF(COUNT($E$2:$E1934)&lt;14,"",MIN($D$1921:$D$1934))</f>
        <v>0</v>
      </c>
      <c r="V1934">
        <f>IF(OR(T1934="",U1934="",T1934=U1934),"",100*($E1934-U1934)/(T1934-U1934))</f>
        <v>0</v>
      </c>
      <c r="W1934">
        <f>IF(COUNT($V$1932:$V$1934)&lt;3,"",AVERAGE($V$1932:$V$1934))</f>
        <v>0</v>
      </c>
      <c r="X1934">
        <f>IF(COUNT($N$1921:$N$1934)&lt;14,"",MIN($N$1921:$N$1934))</f>
        <v>0</v>
      </c>
      <c r="Y1934">
        <f>IF(COUNT($N$1921:$N$1934)&lt;14,"",MAX($N$1921:$N$1934))</f>
        <v>0</v>
      </c>
      <c r="Z1934">
        <f>IF(OR(N1934="",X1934="",Y1934="",Y1934=X1934),"",100*(N1934-X1934)/(Y1934-X1934))</f>
        <v>0</v>
      </c>
      <c r="AA1934">
        <f>IF(COUNT($Z$1932:$Z$1934)&lt;3,"",AVERAGE($Z$1932:$Z$1934))</f>
        <v>0</v>
      </c>
      <c r="AB1934">
        <f>IF(COUNT($AA$1932:$AA$1934)&lt;3,"",AVERAGE($AA$1932:$AA$1934))</f>
        <v>0</v>
      </c>
      <c r="AC1934">
        <f>IF($E1934="","",MAX($C1934-$D1934,ABS($C1934-$E1933),ABS($D1934-$E1933)))</f>
        <v>0</v>
      </c>
      <c r="AD1934">
        <f>IF(COUNT($E$2:$E1934)&lt;15,"",AVERAGE($AC$1921:$AC$1934))</f>
        <v>0</v>
      </c>
      <c r="AE1934">
        <f>IF(OR($E1934="",$E1933=""),"",IF(AND(($C1934-$C1933)&gt;($D1933-$D1934),($C1934-$C1933)&gt;0),$C1934-$C1933,0))</f>
        <v>0</v>
      </c>
      <c r="AF1934">
        <f>IF(OR($E1934="",$E1933=""),"",IF(AND(($D1933-$D1934)&gt;($C1934-$C1933),($D1933-$D1934)&gt;0),$D1933-$D1934,0))</f>
        <v>0</v>
      </c>
      <c r="AG1934">
        <f>IF(COUNT($E$2:$E1934)&lt;15,"",IF(SUM($AC$1921:$AC$1934)=0,0,100*SUM($AE$1921:$AE$1934)/SUM($AC$1921:$AC$1934)))</f>
        <v>0</v>
      </c>
      <c r="AH1934">
        <f>IF(COUNT($E$2:$E1934)&lt;15,"",IF(SUM($AC$1921:$AC$1934)=0,0,100*SUM($AF$1921:$AF$1934)/SUM($AC$1921:$AC$1934)))</f>
        <v>0</v>
      </c>
      <c r="AI1934">
        <f>IF(OR(AG1934="",AH1934=""),"",IF((AG1934+AH1934)=0,0,100*ABS(AG1934-AH1934)/(AG1934+AH1934)))</f>
        <v>0</v>
      </c>
      <c r="AJ1934">
        <f>IF(COUNT($AI$1921:$AI$1934)&lt;14,"",AVERAGE($AI$1921:$AI$1934))</f>
        <v>0</v>
      </c>
      <c r="AK1934">
        <f>IF(COUNT($E$2:$E1934)&lt;20,"",AVERAGE($E$1915:$E$1934))</f>
        <v>0</v>
      </c>
      <c r="AL1934">
        <f>IF(COUNT($E$2:$E1934)&lt;20,"",STDEVP($E$1915:$E$1934))</f>
        <v>0</v>
      </c>
      <c r="AM1934">
        <f>IF(AK1934="","",AK1934+2*AL1934)</f>
        <v>0</v>
      </c>
      <c r="AN1934">
        <f>IF(AK1934="","",AK1934-2*AL1934)</f>
        <v>0</v>
      </c>
      <c r="AO1934">
        <f>IF(OR(AM1934="",AN1934="",AM1934=AN1934),"",($E1934-AN1934)/(AM1934-AN1934))</f>
        <v>0</v>
      </c>
      <c r="AP1934">
        <f>IF(OR(AM1934="",AK1934="",AK1934=0),"",(AM1934-AN1934)/AK1934)</f>
        <v>0</v>
      </c>
      <c r="AQ1934">
        <f>IF(COUNT($E$2:$E1934)&lt;20,"",MAX($C$1915:$C$1934))</f>
        <v>0</v>
      </c>
      <c r="AR1934">
        <f>IF(COUNT($E$2:$E1934)&lt;20,"",MIN($D$1915:$D$1934))</f>
        <v>0</v>
      </c>
      <c r="AS1934">
        <f>IF(OR(AQ1934="",AR1934=""),"",(AQ1934+AR1934)/2)</f>
        <v>0</v>
      </c>
      <c r="AT1934">
        <f>IF(COUNT($G$1915:$G$1934)&lt;20,"",STDEV($G$1915:$G$1934)*SQRT(252))</f>
        <v>0</v>
      </c>
      <c r="AU1934">
        <f>IF(COUNT($E$2:$E1934)&lt;9,"",(MAX($C$1926:$C$1934)+MIN($D$1926:$D$1934))/2)</f>
        <v>0</v>
      </c>
      <c r="AV1934">
        <f>IF(COUNT($E$2:$E1934)&lt;26,"",(MAX($C$1909:$C$1934)+MIN($D$1909:$D$1934))/2)</f>
        <v>0</v>
      </c>
      <c r="AW1934">
        <f>IF(OR(AU1934="",AV1934=""),"",(AU1934+AV1934)/2)</f>
        <v>0</v>
      </c>
      <c r="AX1934">
        <f>IF(COUNT($E$2:$E1934)&lt;52,"",(MAX($C$1883:$C$1934)+MIN($D$1883:$D$1934))/2)</f>
        <v>0</v>
      </c>
      <c r="AY1934">
        <f>IF(COUNT($E$2:$E1934)&lt;20,"",MAX($C$1835:$C$1934))</f>
        <v>0</v>
      </c>
      <c r="AZ1934">
        <f>IF(COUNT($E$2:$E1934)&lt;20,"",MIN($D$1835:$D$1934))</f>
        <v>0</v>
      </c>
      <c r="BA1934">
        <f>IF(COUNT($E$2:$E1934)&lt;20,"",SLOPE($E$1835:$E$1934,$F$1835:$F$1934))</f>
        <v>0</v>
      </c>
      <c r="BB1934">
        <f>IF(COUNT($E$2:$E1934)&lt;20,"",INTERCEPT($E$1835:$E$1934,$F$1835:$F$1934))</f>
        <v>0</v>
      </c>
      <c r="BC1934">
        <f>IF(OR(BA1934="",BB1934=""),"",BB1934+BA1934*F1934)</f>
        <v>0</v>
      </c>
      <c r="BD1934">
        <f>IF(COUNT($E$2:$E1934)&lt;20,"",STEYX($E$1835:$E$1934,$F$1835:$F$1934))</f>
        <v>0</v>
      </c>
      <c r="BE1934">
        <f>IF($E1934="","",IF(AND(COUNT($E$1935:$E$1938)&gt;=4,$C1934=MAX($C$1930:$C$1938)),$C1934,""))</f>
        <v>0</v>
      </c>
      <c r="BF1934">
        <f>IF($E1934="","",IF(AND(COUNT($E$1935:$E$1938)&gt;=4,$D1934=MIN($D$1930:$D$1938)),$D1934,""))</f>
        <v>0</v>
      </c>
      <c r="BG1934">
        <f>IF($A1934="","",$A1934-WEEKDAY($A1934,2)+1)</f>
        <v>0</v>
      </c>
      <c r="BH1934">
        <f>IF($A1934="","",IF($A1933="",1,IF(BG1934&lt;&gt;BG1933,1,0)))</f>
        <v>0</v>
      </c>
      <c r="BI1934">
        <f>IF($A1934="","",IF($A1935="",1,IF(BG1935&lt;&gt;BG1934,1,0)))</f>
        <v>0</v>
      </c>
      <c r="BJ1934">
        <f>IF($A1934="","",IF(BH1934=1,$B1934,BJ1933))</f>
        <v>0</v>
      </c>
      <c r="BK1934">
        <f>IF($A1934="","",IF(BH1934=1,$C1934,MAX($C1934,BK1933)))</f>
        <v>0</v>
      </c>
      <c r="BL1934">
        <f>IF($A1934="","",IF(BH1934=1,$D1934,MIN($D1934,BL1933)))</f>
        <v>0</v>
      </c>
      <c r="BM1934">
        <f>IF($A1934="","",IF(BI1934=1,F1934,""))</f>
        <v>0</v>
      </c>
      <c r="BN1934">
        <f>IF($A1934="","",DATE(YEAR($A1934),MONTH($A1934),1))</f>
        <v>0</v>
      </c>
      <c r="BO1934">
        <f>IF($A1934="","",IF($A1933="",1,IF(BN1934&lt;&gt;BN1933,1,0)))</f>
        <v>0</v>
      </c>
      <c r="BP1934">
        <f>IF($A1934="","",IF($A1935="",1,IF(BN1935&lt;&gt;BN1934,1,0)))</f>
        <v>0</v>
      </c>
      <c r="BQ1934">
        <f>IF($A1934="","",IF(BO1934=1,$B1934,BQ1933))</f>
        <v>0</v>
      </c>
      <c r="BR1934">
        <f>IF($A1934="","",IF(BO1934=1,$C1934,MAX($C1934,BR1933)))</f>
        <v>0</v>
      </c>
      <c r="BS1934">
        <f>IF($A1934="","",IF(BO1934=1,$D1934,MIN($D1934,BS1933)))</f>
        <v>0</v>
      </c>
      <c r="BT1934">
        <f>IF($A1934="","",IF(BP1934=1,F1934,""))</f>
        <v>0</v>
      </c>
    </row>
    <row r="1935" spans="1:72">
      <c r="A1935" s="27">
        <f>IF(Data!$A1935="","",Data!$A1935)</f>
        <v>0</v>
      </c>
      <c r="B1935">
        <f>IF(Data!$B1935="","",Data!$B1935)</f>
        <v>0</v>
      </c>
      <c r="C1935">
        <f>IF(Data!$C1935="","",Data!$C1935)</f>
        <v>0</v>
      </c>
      <c r="D1935">
        <f>IF(Data!$D1935="","",Data!$D1935)</f>
        <v>0</v>
      </c>
      <c r="E1935">
        <f>IF(Data!$E1935="","",Data!$E1935)</f>
        <v>0</v>
      </c>
      <c r="F1935">
        <f>IF($E1935="","",N(F1934)+1)</f>
        <v>0</v>
      </c>
      <c r="G1935">
        <f>IF(OR($E1935="",$E1934=""),"",LN($E1935/$E1934))</f>
        <v>0</v>
      </c>
      <c r="H1935">
        <f>IF($E1935="","",IF($E1934="",$E1935,$E1935*0.0952380952+H1934*0.9047619048))</f>
        <v>0</v>
      </c>
      <c r="I1935">
        <f>IF($E1935="","",IF($E1934="",$E1935,$E1935*0.0392156863+I1934*0.9607843137))</f>
        <v>0</v>
      </c>
      <c r="J1935">
        <f>IF($E1935="","",IF($E1934="",$E1935,$E1935*0.0198019802+J1934*0.9801980198))</f>
        <v>0</v>
      </c>
      <c r="K1935">
        <f>IF($E1935="","",IF($E1934="",$E1935,$E1935*0.0099502488+K1934*0.9900497512))</f>
        <v>0</v>
      </c>
      <c r="L1935">
        <f>IF(OR($E1935="",$E1934=""),"",MAX($E1935-$E1934,0))</f>
        <v>0</v>
      </c>
      <c r="M1935">
        <f>IF(OR($E1935="",$E1934=""),"",MAX($E1934-$E1935,0))</f>
        <v>0</v>
      </c>
      <c r="N1935">
        <f>IF(COUNT($E$2:$E1935)&lt;15,"",IF(AVERAGE($M$1922:$M$1935)=0,100,100-100/(1+AVERAGE($L$1922:$L$1935)/AVERAGE($M$1922:$M$1935))))</f>
        <v>0</v>
      </c>
      <c r="O1935">
        <f>IF($E1935="","",IF($E1934="",$E1935,$E1935*0.1538461538+O1934*0.8461538462))</f>
        <v>0</v>
      </c>
      <c r="P1935">
        <f>IF($E1935="","",IF($E1934="",$E1935,$E1935*0.0740740741+P1934*0.9259259259))</f>
        <v>0</v>
      </c>
      <c r="Q1935">
        <f>IF(OR(O1935="",P1935=""),"",O1935-P1935)</f>
        <v>0</v>
      </c>
      <c r="R1935">
        <f>IF(Q1935="","",IF(R1934="",Q1935,Q1935*0.2000000000+R1934*0.8000000000))</f>
        <v>0</v>
      </c>
      <c r="S1935">
        <f>IF(OR(Q1935="",R1935=""),"",Q1935-R1935)</f>
        <v>0</v>
      </c>
      <c r="T1935">
        <f>IF(COUNT($E$2:$E1935)&lt;14,"",MAX($C$1922:$C$1935))</f>
        <v>0</v>
      </c>
      <c r="U1935">
        <f>IF(COUNT($E$2:$E1935)&lt;14,"",MIN($D$1922:$D$1935))</f>
        <v>0</v>
      </c>
      <c r="V1935">
        <f>IF(OR(T1935="",U1935="",T1935=U1935),"",100*($E1935-U1935)/(T1935-U1935))</f>
        <v>0</v>
      </c>
      <c r="W1935">
        <f>IF(COUNT($V$1933:$V$1935)&lt;3,"",AVERAGE($V$1933:$V$1935))</f>
        <v>0</v>
      </c>
      <c r="X1935">
        <f>IF(COUNT($N$1922:$N$1935)&lt;14,"",MIN($N$1922:$N$1935))</f>
        <v>0</v>
      </c>
      <c r="Y1935">
        <f>IF(COUNT($N$1922:$N$1935)&lt;14,"",MAX($N$1922:$N$1935))</f>
        <v>0</v>
      </c>
      <c r="Z1935">
        <f>IF(OR(N1935="",X1935="",Y1935="",Y1935=X1935),"",100*(N1935-X1935)/(Y1935-X1935))</f>
        <v>0</v>
      </c>
      <c r="AA1935">
        <f>IF(COUNT($Z$1933:$Z$1935)&lt;3,"",AVERAGE($Z$1933:$Z$1935))</f>
        <v>0</v>
      </c>
      <c r="AB1935">
        <f>IF(COUNT($AA$1933:$AA$1935)&lt;3,"",AVERAGE($AA$1933:$AA$1935))</f>
        <v>0</v>
      </c>
      <c r="AC1935">
        <f>IF($E1935="","",MAX($C1935-$D1935,ABS($C1935-$E1934),ABS($D1935-$E1934)))</f>
        <v>0</v>
      </c>
      <c r="AD1935">
        <f>IF(COUNT($E$2:$E1935)&lt;15,"",AVERAGE($AC$1922:$AC$1935))</f>
        <v>0</v>
      </c>
      <c r="AE1935">
        <f>IF(OR($E1935="",$E1934=""),"",IF(AND(($C1935-$C1934)&gt;($D1934-$D1935),($C1935-$C1934)&gt;0),$C1935-$C1934,0))</f>
        <v>0</v>
      </c>
      <c r="AF1935">
        <f>IF(OR($E1935="",$E1934=""),"",IF(AND(($D1934-$D1935)&gt;($C1935-$C1934),($D1934-$D1935)&gt;0),$D1934-$D1935,0))</f>
        <v>0</v>
      </c>
      <c r="AG1935">
        <f>IF(COUNT($E$2:$E1935)&lt;15,"",IF(SUM($AC$1922:$AC$1935)=0,0,100*SUM($AE$1922:$AE$1935)/SUM($AC$1922:$AC$1935)))</f>
        <v>0</v>
      </c>
      <c r="AH1935">
        <f>IF(COUNT($E$2:$E1935)&lt;15,"",IF(SUM($AC$1922:$AC$1935)=0,0,100*SUM($AF$1922:$AF$1935)/SUM($AC$1922:$AC$1935)))</f>
        <v>0</v>
      </c>
      <c r="AI1935">
        <f>IF(OR(AG1935="",AH1935=""),"",IF((AG1935+AH1935)=0,0,100*ABS(AG1935-AH1935)/(AG1935+AH1935)))</f>
        <v>0</v>
      </c>
      <c r="AJ1935">
        <f>IF(COUNT($AI$1922:$AI$1935)&lt;14,"",AVERAGE($AI$1922:$AI$1935))</f>
        <v>0</v>
      </c>
      <c r="AK1935">
        <f>IF(COUNT($E$2:$E1935)&lt;20,"",AVERAGE($E$1916:$E$1935))</f>
        <v>0</v>
      </c>
      <c r="AL1935">
        <f>IF(COUNT($E$2:$E1935)&lt;20,"",STDEVP($E$1916:$E$1935))</f>
        <v>0</v>
      </c>
      <c r="AM1935">
        <f>IF(AK1935="","",AK1935+2*AL1935)</f>
        <v>0</v>
      </c>
      <c r="AN1935">
        <f>IF(AK1935="","",AK1935-2*AL1935)</f>
        <v>0</v>
      </c>
      <c r="AO1935">
        <f>IF(OR(AM1935="",AN1935="",AM1935=AN1935),"",($E1935-AN1935)/(AM1935-AN1935))</f>
        <v>0</v>
      </c>
      <c r="AP1935">
        <f>IF(OR(AM1935="",AK1935="",AK1935=0),"",(AM1935-AN1935)/AK1935)</f>
        <v>0</v>
      </c>
      <c r="AQ1935">
        <f>IF(COUNT($E$2:$E1935)&lt;20,"",MAX($C$1916:$C$1935))</f>
        <v>0</v>
      </c>
      <c r="AR1935">
        <f>IF(COUNT($E$2:$E1935)&lt;20,"",MIN($D$1916:$D$1935))</f>
        <v>0</v>
      </c>
      <c r="AS1935">
        <f>IF(OR(AQ1935="",AR1935=""),"",(AQ1935+AR1935)/2)</f>
        <v>0</v>
      </c>
      <c r="AT1935">
        <f>IF(COUNT($G$1916:$G$1935)&lt;20,"",STDEV($G$1916:$G$1935)*SQRT(252))</f>
        <v>0</v>
      </c>
      <c r="AU1935">
        <f>IF(COUNT($E$2:$E1935)&lt;9,"",(MAX($C$1927:$C$1935)+MIN($D$1927:$D$1935))/2)</f>
        <v>0</v>
      </c>
      <c r="AV1935">
        <f>IF(COUNT($E$2:$E1935)&lt;26,"",(MAX($C$1910:$C$1935)+MIN($D$1910:$D$1935))/2)</f>
        <v>0</v>
      </c>
      <c r="AW1935">
        <f>IF(OR(AU1935="",AV1935=""),"",(AU1935+AV1935)/2)</f>
        <v>0</v>
      </c>
      <c r="AX1935">
        <f>IF(COUNT($E$2:$E1935)&lt;52,"",(MAX($C$1884:$C$1935)+MIN($D$1884:$D$1935))/2)</f>
        <v>0</v>
      </c>
      <c r="AY1935">
        <f>IF(COUNT($E$2:$E1935)&lt;20,"",MAX($C$1836:$C$1935))</f>
        <v>0</v>
      </c>
      <c r="AZ1935">
        <f>IF(COUNT($E$2:$E1935)&lt;20,"",MIN($D$1836:$D$1935))</f>
        <v>0</v>
      </c>
      <c r="BA1935">
        <f>IF(COUNT($E$2:$E1935)&lt;20,"",SLOPE($E$1836:$E$1935,$F$1836:$F$1935))</f>
        <v>0</v>
      </c>
      <c r="BB1935">
        <f>IF(COUNT($E$2:$E1935)&lt;20,"",INTERCEPT($E$1836:$E$1935,$F$1836:$F$1935))</f>
        <v>0</v>
      </c>
      <c r="BC1935">
        <f>IF(OR(BA1935="",BB1935=""),"",BB1935+BA1935*F1935)</f>
        <v>0</v>
      </c>
      <c r="BD1935">
        <f>IF(COUNT($E$2:$E1935)&lt;20,"",STEYX($E$1836:$E$1935,$F$1836:$F$1935))</f>
        <v>0</v>
      </c>
      <c r="BE1935">
        <f>IF($E1935="","",IF(AND(COUNT($E$1936:$E$1939)&gt;=4,$C1935=MAX($C$1931:$C$1939)),$C1935,""))</f>
        <v>0</v>
      </c>
      <c r="BF1935">
        <f>IF($E1935="","",IF(AND(COUNT($E$1936:$E$1939)&gt;=4,$D1935=MIN($D$1931:$D$1939)),$D1935,""))</f>
        <v>0</v>
      </c>
      <c r="BG1935">
        <f>IF($A1935="","",$A1935-WEEKDAY($A1935,2)+1)</f>
        <v>0</v>
      </c>
      <c r="BH1935">
        <f>IF($A1935="","",IF($A1934="",1,IF(BG1935&lt;&gt;BG1934,1,0)))</f>
        <v>0</v>
      </c>
      <c r="BI1935">
        <f>IF($A1935="","",IF($A1936="",1,IF(BG1936&lt;&gt;BG1935,1,0)))</f>
        <v>0</v>
      </c>
      <c r="BJ1935">
        <f>IF($A1935="","",IF(BH1935=1,$B1935,BJ1934))</f>
        <v>0</v>
      </c>
      <c r="BK1935">
        <f>IF($A1935="","",IF(BH1935=1,$C1935,MAX($C1935,BK1934)))</f>
        <v>0</v>
      </c>
      <c r="BL1935">
        <f>IF($A1935="","",IF(BH1935=1,$D1935,MIN($D1935,BL1934)))</f>
        <v>0</v>
      </c>
      <c r="BM1935">
        <f>IF($A1935="","",IF(BI1935=1,F1935,""))</f>
        <v>0</v>
      </c>
      <c r="BN1935">
        <f>IF($A1935="","",DATE(YEAR($A1935),MONTH($A1935),1))</f>
        <v>0</v>
      </c>
      <c r="BO1935">
        <f>IF($A1935="","",IF($A1934="",1,IF(BN1935&lt;&gt;BN1934,1,0)))</f>
        <v>0</v>
      </c>
      <c r="BP1935">
        <f>IF($A1935="","",IF($A1936="",1,IF(BN1936&lt;&gt;BN1935,1,0)))</f>
        <v>0</v>
      </c>
      <c r="BQ1935">
        <f>IF($A1935="","",IF(BO1935=1,$B1935,BQ1934))</f>
        <v>0</v>
      </c>
      <c r="BR1935">
        <f>IF($A1935="","",IF(BO1935=1,$C1935,MAX($C1935,BR1934)))</f>
        <v>0</v>
      </c>
      <c r="BS1935">
        <f>IF($A1935="","",IF(BO1935=1,$D1935,MIN($D1935,BS1934)))</f>
        <v>0</v>
      </c>
      <c r="BT1935">
        <f>IF($A1935="","",IF(BP1935=1,F1935,""))</f>
        <v>0</v>
      </c>
    </row>
    <row r="1936" spans="1:72">
      <c r="A1936" s="27">
        <f>IF(Data!$A1936="","",Data!$A1936)</f>
        <v>0</v>
      </c>
      <c r="B1936">
        <f>IF(Data!$B1936="","",Data!$B1936)</f>
        <v>0</v>
      </c>
      <c r="C1936">
        <f>IF(Data!$C1936="","",Data!$C1936)</f>
        <v>0</v>
      </c>
      <c r="D1936">
        <f>IF(Data!$D1936="","",Data!$D1936)</f>
        <v>0</v>
      </c>
      <c r="E1936">
        <f>IF(Data!$E1936="","",Data!$E1936)</f>
        <v>0</v>
      </c>
      <c r="F1936">
        <f>IF($E1936="","",N(F1935)+1)</f>
        <v>0</v>
      </c>
      <c r="G1936">
        <f>IF(OR($E1936="",$E1935=""),"",LN($E1936/$E1935))</f>
        <v>0</v>
      </c>
      <c r="H1936">
        <f>IF($E1936="","",IF($E1935="",$E1936,$E1936*0.0952380952+H1935*0.9047619048))</f>
        <v>0</v>
      </c>
      <c r="I1936">
        <f>IF($E1936="","",IF($E1935="",$E1936,$E1936*0.0392156863+I1935*0.9607843137))</f>
        <v>0</v>
      </c>
      <c r="J1936">
        <f>IF($E1936="","",IF($E1935="",$E1936,$E1936*0.0198019802+J1935*0.9801980198))</f>
        <v>0</v>
      </c>
      <c r="K1936">
        <f>IF($E1936="","",IF($E1935="",$E1936,$E1936*0.0099502488+K1935*0.9900497512))</f>
        <v>0</v>
      </c>
      <c r="L1936">
        <f>IF(OR($E1936="",$E1935=""),"",MAX($E1936-$E1935,0))</f>
        <v>0</v>
      </c>
      <c r="M1936">
        <f>IF(OR($E1936="",$E1935=""),"",MAX($E1935-$E1936,0))</f>
        <v>0</v>
      </c>
      <c r="N1936">
        <f>IF(COUNT($E$2:$E1936)&lt;15,"",IF(AVERAGE($M$1923:$M$1936)=0,100,100-100/(1+AVERAGE($L$1923:$L$1936)/AVERAGE($M$1923:$M$1936))))</f>
        <v>0</v>
      </c>
      <c r="O1936">
        <f>IF($E1936="","",IF($E1935="",$E1936,$E1936*0.1538461538+O1935*0.8461538462))</f>
        <v>0</v>
      </c>
      <c r="P1936">
        <f>IF($E1936="","",IF($E1935="",$E1936,$E1936*0.0740740741+P1935*0.9259259259))</f>
        <v>0</v>
      </c>
      <c r="Q1936">
        <f>IF(OR(O1936="",P1936=""),"",O1936-P1936)</f>
        <v>0</v>
      </c>
      <c r="R1936">
        <f>IF(Q1936="","",IF(R1935="",Q1936,Q1936*0.2000000000+R1935*0.8000000000))</f>
        <v>0</v>
      </c>
      <c r="S1936">
        <f>IF(OR(Q1936="",R1936=""),"",Q1936-R1936)</f>
        <v>0</v>
      </c>
      <c r="T1936">
        <f>IF(COUNT($E$2:$E1936)&lt;14,"",MAX($C$1923:$C$1936))</f>
        <v>0</v>
      </c>
      <c r="U1936">
        <f>IF(COUNT($E$2:$E1936)&lt;14,"",MIN($D$1923:$D$1936))</f>
        <v>0</v>
      </c>
      <c r="V1936">
        <f>IF(OR(T1936="",U1936="",T1936=U1936),"",100*($E1936-U1936)/(T1936-U1936))</f>
        <v>0</v>
      </c>
      <c r="W1936">
        <f>IF(COUNT($V$1934:$V$1936)&lt;3,"",AVERAGE($V$1934:$V$1936))</f>
        <v>0</v>
      </c>
      <c r="X1936">
        <f>IF(COUNT($N$1923:$N$1936)&lt;14,"",MIN($N$1923:$N$1936))</f>
        <v>0</v>
      </c>
      <c r="Y1936">
        <f>IF(COUNT($N$1923:$N$1936)&lt;14,"",MAX($N$1923:$N$1936))</f>
        <v>0</v>
      </c>
      <c r="Z1936">
        <f>IF(OR(N1936="",X1936="",Y1936="",Y1936=X1936),"",100*(N1936-X1936)/(Y1936-X1936))</f>
        <v>0</v>
      </c>
      <c r="AA1936">
        <f>IF(COUNT($Z$1934:$Z$1936)&lt;3,"",AVERAGE($Z$1934:$Z$1936))</f>
        <v>0</v>
      </c>
      <c r="AB1936">
        <f>IF(COUNT($AA$1934:$AA$1936)&lt;3,"",AVERAGE($AA$1934:$AA$1936))</f>
        <v>0</v>
      </c>
      <c r="AC1936">
        <f>IF($E1936="","",MAX($C1936-$D1936,ABS($C1936-$E1935),ABS($D1936-$E1935)))</f>
        <v>0</v>
      </c>
      <c r="AD1936">
        <f>IF(COUNT($E$2:$E1936)&lt;15,"",AVERAGE($AC$1923:$AC$1936))</f>
        <v>0</v>
      </c>
      <c r="AE1936">
        <f>IF(OR($E1936="",$E1935=""),"",IF(AND(($C1936-$C1935)&gt;($D1935-$D1936),($C1936-$C1935)&gt;0),$C1936-$C1935,0))</f>
        <v>0</v>
      </c>
      <c r="AF1936">
        <f>IF(OR($E1936="",$E1935=""),"",IF(AND(($D1935-$D1936)&gt;($C1936-$C1935),($D1935-$D1936)&gt;0),$D1935-$D1936,0))</f>
        <v>0</v>
      </c>
      <c r="AG1936">
        <f>IF(COUNT($E$2:$E1936)&lt;15,"",IF(SUM($AC$1923:$AC$1936)=0,0,100*SUM($AE$1923:$AE$1936)/SUM($AC$1923:$AC$1936)))</f>
        <v>0</v>
      </c>
      <c r="AH1936">
        <f>IF(COUNT($E$2:$E1936)&lt;15,"",IF(SUM($AC$1923:$AC$1936)=0,0,100*SUM($AF$1923:$AF$1936)/SUM($AC$1923:$AC$1936)))</f>
        <v>0</v>
      </c>
      <c r="AI1936">
        <f>IF(OR(AG1936="",AH1936=""),"",IF((AG1936+AH1936)=0,0,100*ABS(AG1936-AH1936)/(AG1936+AH1936)))</f>
        <v>0</v>
      </c>
      <c r="AJ1936">
        <f>IF(COUNT($AI$1923:$AI$1936)&lt;14,"",AVERAGE($AI$1923:$AI$1936))</f>
        <v>0</v>
      </c>
      <c r="AK1936">
        <f>IF(COUNT($E$2:$E1936)&lt;20,"",AVERAGE($E$1917:$E$1936))</f>
        <v>0</v>
      </c>
      <c r="AL1936">
        <f>IF(COUNT($E$2:$E1936)&lt;20,"",STDEVP($E$1917:$E$1936))</f>
        <v>0</v>
      </c>
      <c r="AM1936">
        <f>IF(AK1936="","",AK1936+2*AL1936)</f>
        <v>0</v>
      </c>
      <c r="AN1936">
        <f>IF(AK1936="","",AK1936-2*AL1936)</f>
        <v>0</v>
      </c>
      <c r="AO1936">
        <f>IF(OR(AM1936="",AN1936="",AM1936=AN1936),"",($E1936-AN1936)/(AM1936-AN1936))</f>
        <v>0</v>
      </c>
      <c r="AP1936">
        <f>IF(OR(AM1936="",AK1936="",AK1936=0),"",(AM1936-AN1936)/AK1936)</f>
        <v>0</v>
      </c>
      <c r="AQ1936">
        <f>IF(COUNT($E$2:$E1936)&lt;20,"",MAX($C$1917:$C$1936))</f>
        <v>0</v>
      </c>
      <c r="AR1936">
        <f>IF(COUNT($E$2:$E1936)&lt;20,"",MIN($D$1917:$D$1936))</f>
        <v>0</v>
      </c>
      <c r="AS1936">
        <f>IF(OR(AQ1936="",AR1936=""),"",(AQ1936+AR1936)/2)</f>
        <v>0</v>
      </c>
      <c r="AT1936">
        <f>IF(COUNT($G$1917:$G$1936)&lt;20,"",STDEV($G$1917:$G$1936)*SQRT(252))</f>
        <v>0</v>
      </c>
      <c r="AU1936">
        <f>IF(COUNT($E$2:$E1936)&lt;9,"",(MAX($C$1928:$C$1936)+MIN($D$1928:$D$1936))/2)</f>
        <v>0</v>
      </c>
      <c r="AV1936">
        <f>IF(COUNT($E$2:$E1936)&lt;26,"",(MAX($C$1911:$C$1936)+MIN($D$1911:$D$1936))/2)</f>
        <v>0</v>
      </c>
      <c r="AW1936">
        <f>IF(OR(AU1936="",AV1936=""),"",(AU1936+AV1936)/2)</f>
        <v>0</v>
      </c>
      <c r="AX1936">
        <f>IF(COUNT($E$2:$E1936)&lt;52,"",(MAX($C$1885:$C$1936)+MIN($D$1885:$D$1936))/2)</f>
        <v>0</v>
      </c>
      <c r="AY1936">
        <f>IF(COUNT($E$2:$E1936)&lt;20,"",MAX($C$1837:$C$1936))</f>
        <v>0</v>
      </c>
      <c r="AZ1936">
        <f>IF(COUNT($E$2:$E1936)&lt;20,"",MIN($D$1837:$D$1936))</f>
        <v>0</v>
      </c>
      <c r="BA1936">
        <f>IF(COUNT($E$2:$E1936)&lt;20,"",SLOPE($E$1837:$E$1936,$F$1837:$F$1936))</f>
        <v>0</v>
      </c>
      <c r="BB1936">
        <f>IF(COUNT($E$2:$E1936)&lt;20,"",INTERCEPT($E$1837:$E$1936,$F$1837:$F$1936))</f>
        <v>0</v>
      </c>
      <c r="BC1936">
        <f>IF(OR(BA1936="",BB1936=""),"",BB1936+BA1936*F1936)</f>
        <v>0</v>
      </c>
      <c r="BD1936">
        <f>IF(COUNT($E$2:$E1936)&lt;20,"",STEYX($E$1837:$E$1936,$F$1837:$F$1936))</f>
        <v>0</v>
      </c>
      <c r="BE1936">
        <f>IF($E1936="","",IF(AND(COUNT($E$1937:$E$1940)&gt;=4,$C1936=MAX($C$1932:$C$1940)),$C1936,""))</f>
        <v>0</v>
      </c>
      <c r="BF1936">
        <f>IF($E1936="","",IF(AND(COUNT($E$1937:$E$1940)&gt;=4,$D1936=MIN($D$1932:$D$1940)),$D1936,""))</f>
        <v>0</v>
      </c>
      <c r="BG1936">
        <f>IF($A1936="","",$A1936-WEEKDAY($A1936,2)+1)</f>
        <v>0</v>
      </c>
      <c r="BH1936">
        <f>IF($A1936="","",IF($A1935="",1,IF(BG1936&lt;&gt;BG1935,1,0)))</f>
        <v>0</v>
      </c>
      <c r="BI1936">
        <f>IF($A1936="","",IF($A1937="",1,IF(BG1937&lt;&gt;BG1936,1,0)))</f>
        <v>0</v>
      </c>
      <c r="BJ1936">
        <f>IF($A1936="","",IF(BH1936=1,$B1936,BJ1935))</f>
        <v>0</v>
      </c>
      <c r="BK1936">
        <f>IF($A1936="","",IF(BH1936=1,$C1936,MAX($C1936,BK1935)))</f>
        <v>0</v>
      </c>
      <c r="BL1936">
        <f>IF($A1936="","",IF(BH1936=1,$D1936,MIN($D1936,BL1935)))</f>
        <v>0</v>
      </c>
      <c r="BM1936">
        <f>IF($A1936="","",IF(BI1936=1,F1936,""))</f>
        <v>0</v>
      </c>
      <c r="BN1936">
        <f>IF($A1936="","",DATE(YEAR($A1936),MONTH($A1936),1))</f>
        <v>0</v>
      </c>
      <c r="BO1936">
        <f>IF($A1936="","",IF($A1935="",1,IF(BN1936&lt;&gt;BN1935,1,0)))</f>
        <v>0</v>
      </c>
      <c r="BP1936">
        <f>IF($A1936="","",IF($A1937="",1,IF(BN1937&lt;&gt;BN1936,1,0)))</f>
        <v>0</v>
      </c>
      <c r="BQ1936">
        <f>IF($A1936="","",IF(BO1936=1,$B1936,BQ1935))</f>
        <v>0</v>
      </c>
      <c r="BR1936">
        <f>IF($A1936="","",IF(BO1936=1,$C1936,MAX($C1936,BR1935)))</f>
        <v>0</v>
      </c>
      <c r="BS1936">
        <f>IF($A1936="","",IF(BO1936=1,$D1936,MIN($D1936,BS1935)))</f>
        <v>0</v>
      </c>
      <c r="BT1936">
        <f>IF($A1936="","",IF(BP1936=1,F1936,""))</f>
        <v>0</v>
      </c>
    </row>
    <row r="1937" spans="1:72">
      <c r="A1937" s="27">
        <f>IF(Data!$A1937="","",Data!$A1937)</f>
        <v>0</v>
      </c>
      <c r="B1937">
        <f>IF(Data!$B1937="","",Data!$B1937)</f>
        <v>0</v>
      </c>
      <c r="C1937">
        <f>IF(Data!$C1937="","",Data!$C1937)</f>
        <v>0</v>
      </c>
      <c r="D1937">
        <f>IF(Data!$D1937="","",Data!$D1937)</f>
        <v>0</v>
      </c>
      <c r="E1937">
        <f>IF(Data!$E1937="","",Data!$E1937)</f>
        <v>0</v>
      </c>
      <c r="F1937">
        <f>IF($E1937="","",N(F1936)+1)</f>
        <v>0</v>
      </c>
      <c r="G1937">
        <f>IF(OR($E1937="",$E1936=""),"",LN($E1937/$E1936))</f>
        <v>0</v>
      </c>
      <c r="H1937">
        <f>IF($E1937="","",IF($E1936="",$E1937,$E1937*0.0952380952+H1936*0.9047619048))</f>
        <v>0</v>
      </c>
      <c r="I1937">
        <f>IF($E1937="","",IF($E1936="",$E1937,$E1937*0.0392156863+I1936*0.9607843137))</f>
        <v>0</v>
      </c>
      <c r="J1937">
        <f>IF($E1937="","",IF($E1936="",$E1937,$E1937*0.0198019802+J1936*0.9801980198))</f>
        <v>0</v>
      </c>
      <c r="K1937">
        <f>IF($E1937="","",IF($E1936="",$E1937,$E1937*0.0099502488+K1936*0.9900497512))</f>
        <v>0</v>
      </c>
      <c r="L1937">
        <f>IF(OR($E1937="",$E1936=""),"",MAX($E1937-$E1936,0))</f>
        <v>0</v>
      </c>
      <c r="M1937">
        <f>IF(OR($E1937="",$E1936=""),"",MAX($E1936-$E1937,0))</f>
        <v>0</v>
      </c>
      <c r="N1937">
        <f>IF(COUNT($E$2:$E1937)&lt;15,"",IF(AVERAGE($M$1924:$M$1937)=0,100,100-100/(1+AVERAGE($L$1924:$L$1937)/AVERAGE($M$1924:$M$1937))))</f>
        <v>0</v>
      </c>
      <c r="O1937">
        <f>IF($E1937="","",IF($E1936="",$E1937,$E1937*0.1538461538+O1936*0.8461538462))</f>
        <v>0</v>
      </c>
      <c r="P1937">
        <f>IF($E1937="","",IF($E1936="",$E1937,$E1937*0.0740740741+P1936*0.9259259259))</f>
        <v>0</v>
      </c>
      <c r="Q1937">
        <f>IF(OR(O1937="",P1937=""),"",O1937-P1937)</f>
        <v>0</v>
      </c>
      <c r="R1937">
        <f>IF(Q1937="","",IF(R1936="",Q1937,Q1937*0.2000000000+R1936*0.8000000000))</f>
        <v>0</v>
      </c>
      <c r="S1937">
        <f>IF(OR(Q1937="",R1937=""),"",Q1937-R1937)</f>
        <v>0</v>
      </c>
      <c r="T1937">
        <f>IF(COUNT($E$2:$E1937)&lt;14,"",MAX($C$1924:$C$1937))</f>
        <v>0</v>
      </c>
      <c r="U1937">
        <f>IF(COUNT($E$2:$E1937)&lt;14,"",MIN($D$1924:$D$1937))</f>
        <v>0</v>
      </c>
      <c r="V1937">
        <f>IF(OR(T1937="",U1937="",T1937=U1937),"",100*($E1937-U1937)/(T1937-U1937))</f>
        <v>0</v>
      </c>
      <c r="W1937">
        <f>IF(COUNT($V$1935:$V$1937)&lt;3,"",AVERAGE($V$1935:$V$1937))</f>
        <v>0</v>
      </c>
      <c r="X1937">
        <f>IF(COUNT($N$1924:$N$1937)&lt;14,"",MIN($N$1924:$N$1937))</f>
        <v>0</v>
      </c>
      <c r="Y1937">
        <f>IF(COUNT($N$1924:$N$1937)&lt;14,"",MAX($N$1924:$N$1937))</f>
        <v>0</v>
      </c>
      <c r="Z1937">
        <f>IF(OR(N1937="",X1937="",Y1937="",Y1937=X1937),"",100*(N1937-X1937)/(Y1937-X1937))</f>
        <v>0</v>
      </c>
      <c r="AA1937">
        <f>IF(COUNT($Z$1935:$Z$1937)&lt;3,"",AVERAGE($Z$1935:$Z$1937))</f>
        <v>0</v>
      </c>
      <c r="AB1937">
        <f>IF(COUNT($AA$1935:$AA$1937)&lt;3,"",AVERAGE($AA$1935:$AA$1937))</f>
        <v>0</v>
      </c>
      <c r="AC1937">
        <f>IF($E1937="","",MAX($C1937-$D1937,ABS($C1937-$E1936),ABS($D1937-$E1936)))</f>
        <v>0</v>
      </c>
      <c r="AD1937">
        <f>IF(COUNT($E$2:$E1937)&lt;15,"",AVERAGE($AC$1924:$AC$1937))</f>
        <v>0</v>
      </c>
      <c r="AE1937">
        <f>IF(OR($E1937="",$E1936=""),"",IF(AND(($C1937-$C1936)&gt;($D1936-$D1937),($C1937-$C1936)&gt;0),$C1937-$C1936,0))</f>
        <v>0</v>
      </c>
      <c r="AF1937">
        <f>IF(OR($E1937="",$E1936=""),"",IF(AND(($D1936-$D1937)&gt;($C1937-$C1936),($D1936-$D1937)&gt;0),$D1936-$D1937,0))</f>
        <v>0</v>
      </c>
      <c r="AG1937">
        <f>IF(COUNT($E$2:$E1937)&lt;15,"",IF(SUM($AC$1924:$AC$1937)=0,0,100*SUM($AE$1924:$AE$1937)/SUM($AC$1924:$AC$1937)))</f>
        <v>0</v>
      </c>
      <c r="AH1937">
        <f>IF(COUNT($E$2:$E1937)&lt;15,"",IF(SUM($AC$1924:$AC$1937)=0,0,100*SUM($AF$1924:$AF$1937)/SUM($AC$1924:$AC$1937)))</f>
        <v>0</v>
      </c>
      <c r="AI1937">
        <f>IF(OR(AG1937="",AH1937=""),"",IF((AG1937+AH1937)=0,0,100*ABS(AG1937-AH1937)/(AG1937+AH1937)))</f>
        <v>0</v>
      </c>
      <c r="AJ1937">
        <f>IF(COUNT($AI$1924:$AI$1937)&lt;14,"",AVERAGE($AI$1924:$AI$1937))</f>
        <v>0</v>
      </c>
      <c r="AK1937">
        <f>IF(COUNT($E$2:$E1937)&lt;20,"",AVERAGE($E$1918:$E$1937))</f>
        <v>0</v>
      </c>
      <c r="AL1937">
        <f>IF(COUNT($E$2:$E1937)&lt;20,"",STDEVP($E$1918:$E$1937))</f>
        <v>0</v>
      </c>
      <c r="AM1937">
        <f>IF(AK1937="","",AK1937+2*AL1937)</f>
        <v>0</v>
      </c>
      <c r="AN1937">
        <f>IF(AK1937="","",AK1937-2*AL1937)</f>
        <v>0</v>
      </c>
      <c r="AO1937">
        <f>IF(OR(AM1937="",AN1937="",AM1937=AN1937),"",($E1937-AN1937)/(AM1937-AN1937))</f>
        <v>0</v>
      </c>
      <c r="AP1937">
        <f>IF(OR(AM1937="",AK1937="",AK1937=0),"",(AM1937-AN1937)/AK1937)</f>
        <v>0</v>
      </c>
      <c r="AQ1937">
        <f>IF(COUNT($E$2:$E1937)&lt;20,"",MAX($C$1918:$C$1937))</f>
        <v>0</v>
      </c>
      <c r="AR1937">
        <f>IF(COUNT($E$2:$E1937)&lt;20,"",MIN($D$1918:$D$1937))</f>
        <v>0</v>
      </c>
      <c r="AS1937">
        <f>IF(OR(AQ1937="",AR1937=""),"",(AQ1937+AR1937)/2)</f>
        <v>0</v>
      </c>
      <c r="AT1937">
        <f>IF(COUNT($G$1918:$G$1937)&lt;20,"",STDEV($G$1918:$G$1937)*SQRT(252))</f>
        <v>0</v>
      </c>
      <c r="AU1937">
        <f>IF(COUNT($E$2:$E1937)&lt;9,"",(MAX($C$1929:$C$1937)+MIN($D$1929:$D$1937))/2)</f>
        <v>0</v>
      </c>
      <c r="AV1937">
        <f>IF(COUNT($E$2:$E1937)&lt;26,"",(MAX($C$1912:$C$1937)+MIN($D$1912:$D$1937))/2)</f>
        <v>0</v>
      </c>
      <c r="AW1937">
        <f>IF(OR(AU1937="",AV1937=""),"",(AU1937+AV1937)/2)</f>
        <v>0</v>
      </c>
      <c r="AX1937">
        <f>IF(COUNT($E$2:$E1937)&lt;52,"",(MAX($C$1886:$C$1937)+MIN($D$1886:$D$1937))/2)</f>
        <v>0</v>
      </c>
      <c r="AY1937">
        <f>IF(COUNT($E$2:$E1937)&lt;20,"",MAX($C$1838:$C$1937))</f>
        <v>0</v>
      </c>
      <c r="AZ1937">
        <f>IF(COUNT($E$2:$E1937)&lt;20,"",MIN($D$1838:$D$1937))</f>
        <v>0</v>
      </c>
      <c r="BA1937">
        <f>IF(COUNT($E$2:$E1937)&lt;20,"",SLOPE($E$1838:$E$1937,$F$1838:$F$1937))</f>
        <v>0</v>
      </c>
      <c r="BB1937">
        <f>IF(COUNT($E$2:$E1937)&lt;20,"",INTERCEPT($E$1838:$E$1937,$F$1838:$F$1937))</f>
        <v>0</v>
      </c>
      <c r="BC1937">
        <f>IF(OR(BA1937="",BB1937=""),"",BB1937+BA1937*F1937)</f>
        <v>0</v>
      </c>
      <c r="BD1937">
        <f>IF(COUNT($E$2:$E1937)&lt;20,"",STEYX($E$1838:$E$1937,$F$1838:$F$1937))</f>
        <v>0</v>
      </c>
      <c r="BE1937">
        <f>IF($E1937="","",IF(AND(COUNT($E$1938:$E$1941)&gt;=4,$C1937=MAX($C$1933:$C$1941)),$C1937,""))</f>
        <v>0</v>
      </c>
      <c r="BF1937">
        <f>IF($E1937="","",IF(AND(COUNT($E$1938:$E$1941)&gt;=4,$D1937=MIN($D$1933:$D$1941)),$D1937,""))</f>
        <v>0</v>
      </c>
      <c r="BG1937">
        <f>IF($A1937="","",$A1937-WEEKDAY($A1937,2)+1)</f>
        <v>0</v>
      </c>
      <c r="BH1937">
        <f>IF($A1937="","",IF($A1936="",1,IF(BG1937&lt;&gt;BG1936,1,0)))</f>
        <v>0</v>
      </c>
      <c r="BI1937">
        <f>IF($A1937="","",IF($A1938="",1,IF(BG1938&lt;&gt;BG1937,1,0)))</f>
        <v>0</v>
      </c>
      <c r="BJ1937">
        <f>IF($A1937="","",IF(BH1937=1,$B1937,BJ1936))</f>
        <v>0</v>
      </c>
      <c r="BK1937">
        <f>IF($A1937="","",IF(BH1937=1,$C1937,MAX($C1937,BK1936)))</f>
        <v>0</v>
      </c>
      <c r="BL1937">
        <f>IF($A1937="","",IF(BH1937=1,$D1937,MIN($D1937,BL1936)))</f>
        <v>0</v>
      </c>
      <c r="BM1937">
        <f>IF($A1937="","",IF(BI1937=1,F1937,""))</f>
        <v>0</v>
      </c>
      <c r="BN1937">
        <f>IF($A1937="","",DATE(YEAR($A1937),MONTH($A1937),1))</f>
        <v>0</v>
      </c>
      <c r="BO1937">
        <f>IF($A1937="","",IF($A1936="",1,IF(BN1937&lt;&gt;BN1936,1,0)))</f>
        <v>0</v>
      </c>
      <c r="BP1937">
        <f>IF($A1937="","",IF($A1938="",1,IF(BN1938&lt;&gt;BN1937,1,0)))</f>
        <v>0</v>
      </c>
      <c r="BQ1937">
        <f>IF($A1937="","",IF(BO1937=1,$B1937,BQ1936))</f>
        <v>0</v>
      </c>
      <c r="BR1937">
        <f>IF($A1937="","",IF(BO1937=1,$C1937,MAX($C1937,BR1936)))</f>
        <v>0</v>
      </c>
      <c r="BS1937">
        <f>IF($A1937="","",IF(BO1937=1,$D1937,MIN($D1937,BS1936)))</f>
        <v>0</v>
      </c>
      <c r="BT1937">
        <f>IF($A1937="","",IF(BP1937=1,F1937,""))</f>
        <v>0</v>
      </c>
    </row>
    <row r="1938" spans="1:72">
      <c r="A1938" s="27">
        <f>IF(Data!$A1938="","",Data!$A1938)</f>
        <v>0</v>
      </c>
      <c r="B1938">
        <f>IF(Data!$B1938="","",Data!$B1938)</f>
        <v>0</v>
      </c>
      <c r="C1938">
        <f>IF(Data!$C1938="","",Data!$C1938)</f>
        <v>0</v>
      </c>
      <c r="D1938">
        <f>IF(Data!$D1938="","",Data!$D1938)</f>
        <v>0</v>
      </c>
      <c r="E1938">
        <f>IF(Data!$E1938="","",Data!$E1938)</f>
        <v>0</v>
      </c>
      <c r="F1938">
        <f>IF($E1938="","",N(F1937)+1)</f>
        <v>0</v>
      </c>
      <c r="G1938">
        <f>IF(OR($E1938="",$E1937=""),"",LN($E1938/$E1937))</f>
        <v>0</v>
      </c>
      <c r="H1938">
        <f>IF($E1938="","",IF($E1937="",$E1938,$E1938*0.0952380952+H1937*0.9047619048))</f>
        <v>0</v>
      </c>
      <c r="I1938">
        <f>IF($E1938="","",IF($E1937="",$E1938,$E1938*0.0392156863+I1937*0.9607843137))</f>
        <v>0</v>
      </c>
      <c r="J1938">
        <f>IF($E1938="","",IF($E1937="",$E1938,$E1938*0.0198019802+J1937*0.9801980198))</f>
        <v>0</v>
      </c>
      <c r="K1938">
        <f>IF($E1938="","",IF($E1937="",$E1938,$E1938*0.0099502488+K1937*0.9900497512))</f>
        <v>0</v>
      </c>
      <c r="L1938">
        <f>IF(OR($E1938="",$E1937=""),"",MAX($E1938-$E1937,0))</f>
        <v>0</v>
      </c>
      <c r="M1938">
        <f>IF(OR($E1938="",$E1937=""),"",MAX($E1937-$E1938,0))</f>
        <v>0</v>
      </c>
      <c r="N1938">
        <f>IF(COUNT($E$2:$E1938)&lt;15,"",IF(AVERAGE($M$1925:$M$1938)=0,100,100-100/(1+AVERAGE($L$1925:$L$1938)/AVERAGE($M$1925:$M$1938))))</f>
        <v>0</v>
      </c>
      <c r="O1938">
        <f>IF($E1938="","",IF($E1937="",$E1938,$E1938*0.1538461538+O1937*0.8461538462))</f>
        <v>0</v>
      </c>
      <c r="P1938">
        <f>IF($E1938="","",IF($E1937="",$E1938,$E1938*0.0740740741+P1937*0.9259259259))</f>
        <v>0</v>
      </c>
      <c r="Q1938">
        <f>IF(OR(O1938="",P1938=""),"",O1938-P1938)</f>
        <v>0</v>
      </c>
      <c r="R1938">
        <f>IF(Q1938="","",IF(R1937="",Q1938,Q1938*0.2000000000+R1937*0.8000000000))</f>
        <v>0</v>
      </c>
      <c r="S1938">
        <f>IF(OR(Q1938="",R1938=""),"",Q1938-R1938)</f>
        <v>0</v>
      </c>
      <c r="T1938">
        <f>IF(COUNT($E$2:$E1938)&lt;14,"",MAX($C$1925:$C$1938))</f>
        <v>0</v>
      </c>
      <c r="U1938">
        <f>IF(COUNT($E$2:$E1938)&lt;14,"",MIN($D$1925:$D$1938))</f>
        <v>0</v>
      </c>
      <c r="V1938">
        <f>IF(OR(T1938="",U1938="",T1938=U1938),"",100*($E1938-U1938)/(T1938-U1938))</f>
        <v>0</v>
      </c>
      <c r="W1938">
        <f>IF(COUNT($V$1936:$V$1938)&lt;3,"",AVERAGE($V$1936:$V$1938))</f>
        <v>0</v>
      </c>
      <c r="X1938">
        <f>IF(COUNT($N$1925:$N$1938)&lt;14,"",MIN($N$1925:$N$1938))</f>
        <v>0</v>
      </c>
      <c r="Y1938">
        <f>IF(COUNT($N$1925:$N$1938)&lt;14,"",MAX($N$1925:$N$1938))</f>
        <v>0</v>
      </c>
      <c r="Z1938">
        <f>IF(OR(N1938="",X1938="",Y1938="",Y1938=X1938),"",100*(N1938-X1938)/(Y1938-X1938))</f>
        <v>0</v>
      </c>
      <c r="AA1938">
        <f>IF(COUNT($Z$1936:$Z$1938)&lt;3,"",AVERAGE($Z$1936:$Z$1938))</f>
        <v>0</v>
      </c>
      <c r="AB1938">
        <f>IF(COUNT($AA$1936:$AA$1938)&lt;3,"",AVERAGE($AA$1936:$AA$1938))</f>
        <v>0</v>
      </c>
      <c r="AC1938">
        <f>IF($E1938="","",MAX($C1938-$D1938,ABS($C1938-$E1937),ABS($D1938-$E1937)))</f>
        <v>0</v>
      </c>
      <c r="AD1938">
        <f>IF(COUNT($E$2:$E1938)&lt;15,"",AVERAGE($AC$1925:$AC$1938))</f>
        <v>0</v>
      </c>
      <c r="AE1938">
        <f>IF(OR($E1938="",$E1937=""),"",IF(AND(($C1938-$C1937)&gt;($D1937-$D1938),($C1938-$C1937)&gt;0),$C1938-$C1937,0))</f>
        <v>0</v>
      </c>
      <c r="AF1938">
        <f>IF(OR($E1938="",$E1937=""),"",IF(AND(($D1937-$D1938)&gt;($C1938-$C1937),($D1937-$D1938)&gt;0),$D1937-$D1938,0))</f>
        <v>0</v>
      </c>
      <c r="AG1938">
        <f>IF(COUNT($E$2:$E1938)&lt;15,"",IF(SUM($AC$1925:$AC$1938)=0,0,100*SUM($AE$1925:$AE$1938)/SUM($AC$1925:$AC$1938)))</f>
        <v>0</v>
      </c>
      <c r="AH1938">
        <f>IF(COUNT($E$2:$E1938)&lt;15,"",IF(SUM($AC$1925:$AC$1938)=0,0,100*SUM($AF$1925:$AF$1938)/SUM($AC$1925:$AC$1938)))</f>
        <v>0</v>
      </c>
      <c r="AI1938">
        <f>IF(OR(AG1938="",AH1938=""),"",IF((AG1938+AH1938)=0,0,100*ABS(AG1938-AH1938)/(AG1938+AH1938)))</f>
        <v>0</v>
      </c>
      <c r="AJ1938">
        <f>IF(COUNT($AI$1925:$AI$1938)&lt;14,"",AVERAGE($AI$1925:$AI$1938))</f>
        <v>0</v>
      </c>
      <c r="AK1938">
        <f>IF(COUNT($E$2:$E1938)&lt;20,"",AVERAGE($E$1919:$E$1938))</f>
        <v>0</v>
      </c>
      <c r="AL1938">
        <f>IF(COUNT($E$2:$E1938)&lt;20,"",STDEVP($E$1919:$E$1938))</f>
        <v>0</v>
      </c>
      <c r="AM1938">
        <f>IF(AK1938="","",AK1938+2*AL1938)</f>
        <v>0</v>
      </c>
      <c r="AN1938">
        <f>IF(AK1938="","",AK1938-2*AL1938)</f>
        <v>0</v>
      </c>
      <c r="AO1938">
        <f>IF(OR(AM1938="",AN1938="",AM1938=AN1938),"",($E1938-AN1938)/(AM1938-AN1938))</f>
        <v>0</v>
      </c>
      <c r="AP1938">
        <f>IF(OR(AM1938="",AK1938="",AK1938=0),"",(AM1938-AN1938)/AK1938)</f>
        <v>0</v>
      </c>
      <c r="AQ1938">
        <f>IF(COUNT($E$2:$E1938)&lt;20,"",MAX($C$1919:$C$1938))</f>
        <v>0</v>
      </c>
      <c r="AR1938">
        <f>IF(COUNT($E$2:$E1938)&lt;20,"",MIN($D$1919:$D$1938))</f>
        <v>0</v>
      </c>
      <c r="AS1938">
        <f>IF(OR(AQ1938="",AR1938=""),"",(AQ1938+AR1938)/2)</f>
        <v>0</v>
      </c>
      <c r="AT1938">
        <f>IF(COUNT($G$1919:$G$1938)&lt;20,"",STDEV($G$1919:$G$1938)*SQRT(252))</f>
        <v>0</v>
      </c>
      <c r="AU1938">
        <f>IF(COUNT($E$2:$E1938)&lt;9,"",(MAX($C$1930:$C$1938)+MIN($D$1930:$D$1938))/2)</f>
        <v>0</v>
      </c>
      <c r="AV1938">
        <f>IF(COUNT($E$2:$E1938)&lt;26,"",(MAX($C$1913:$C$1938)+MIN($D$1913:$D$1938))/2)</f>
        <v>0</v>
      </c>
      <c r="AW1938">
        <f>IF(OR(AU1938="",AV1938=""),"",(AU1938+AV1938)/2)</f>
        <v>0</v>
      </c>
      <c r="AX1938">
        <f>IF(COUNT($E$2:$E1938)&lt;52,"",(MAX($C$1887:$C$1938)+MIN($D$1887:$D$1938))/2)</f>
        <v>0</v>
      </c>
      <c r="AY1938">
        <f>IF(COUNT($E$2:$E1938)&lt;20,"",MAX($C$1839:$C$1938))</f>
        <v>0</v>
      </c>
      <c r="AZ1938">
        <f>IF(COUNT($E$2:$E1938)&lt;20,"",MIN($D$1839:$D$1938))</f>
        <v>0</v>
      </c>
      <c r="BA1938">
        <f>IF(COUNT($E$2:$E1938)&lt;20,"",SLOPE($E$1839:$E$1938,$F$1839:$F$1938))</f>
        <v>0</v>
      </c>
      <c r="BB1938">
        <f>IF(COUNT($E$2:$E1938)&lt;20,"",INTERCEPT($E$1839:$E$1938,$F$1839:$F$1938))</f>
        <v>0</v>
      </c>
      <c r="BC1938">
        <f>IF(OR(BA1938="",BB1938=""),"",BB1938+BA1938*F1938)</f>
        <v>0</v>
      </c>
      <c r="BD1938">
        <f>IF(COUNT($E$2:$E1938)&lt;20,"",STEYX($E$1839:$E$1938,$F$1839:$F$1938))</f>
        <v>0</v>
      </c>
      <c r="BE1938">
        <f>IF($E1938="","",IF(AND(COUNT($E$1939:$E$1942)&gt;=4,$C1938=MAX($C$1934:$C$1942)),$C1938,""))</f>
        <v>0</v>
      </c>
      <c r="BF1938">
        <f>IF($E1938="","",IF(AND(COUNT($E$1939:$E$1942)&gt;=4,$D1938=MIN($D$1934:$D$1942)),$D1938,""))</f>
        <v>0</v>
      </c>
      <c r="BG1938">
        <f>IF($A1938="","",$A1938-WEEKDAY($A1938,2)+1)</f>
        <v>0</v>
      </c>
      <c r="BH1938">
        <f>IF($A1938="","",IF($A1937="",1,IF(BG1938&lt;&gt;BG1937,1,0)))</f>
        <v>0</v>
      </c>
      <c r="BI1938">
        <f>IF($A1938="","",IF($A1939="",1,IF(BG1939&lt;&gt;BG1938,1,0)))</f>
        <v>0</v>
      </c>
      <c r="BJ1938">
        <f>IF($A1938="","",IF(BH1938=1,$B1938,BJ1937))</f>
        <v>0</v>
      </c>
      <c r="BK1938">
        <f>IF($A1938="","",IF(BH1938=1,$C1938,MAX($C1938,BK1937)))</f>
        <v>0</v>
      </c>
      <c r="BL1938">
        <f>IF($A1938="","",IF(BH1938=1,$D1938,MIN($D1938,BL1937)))</f>
        <v>0</v>
      </c>
      <c r="BM1938">
        <f>IF($A1938="","",IF(BI1938=1,F1938,""))</f>
        <v>0</v>
      </c>
      <c r="BN1938">
        <f>IF($A1938="","",DATE(YEAR($A1938),MONTH($A1938),1))</f>
        <v>0</v>
      </c>
      <c r="BO1938">
        <f>IF($A1938="","",IF($A1937="",1,IF(BN1938&lt;&gt;BN1937,1,0)))</f>
        <v>0</v>
      </c>
      <c r="BP1938">
        <f>IF($A1938="","",IF($A1939="",1,IF(BN1939&lt;&gt;BN1938,1,0)))</f>
        <v>0</v>
      </c>
      <c r="BQ1938">
        <f>IF($A1938="","",IF(BO1938=1,$B1938,BQ1937))</f>
        <v>0</v>
      </c>
      <c r="BR1938">
        <f>IF($A1938="","",IF(BO1938=1,$C1938,MAX($C1938,BR1937)))</f>
        <v>0</v>
      </c>
      <c r="BS1938">
        <f>IF($A1938="","",IF(BO1938=1,$D1938,MIN($D1938,BS1937)))</f>
        <v>0</v>
      </c>
      <c r="BT1938">
        <f>IF($A1938="","",IF(BP1938=1,F1938,""))</f>
        <v>0</v>
      </c>
    </row>
    <row r="1939" spans="1:72">
      <c r="A1939" s="27">
        <f>IF(Data!$A1939="","",Data!$A1939)</f>
        <v>0</v>
      </c>
      <c r="B1939">
        <f>IF(Data!$B1939="","",Data!$B1939)</f>
        <v>0</v>
      </c>
      <c r="C1939">
        <f>IF(Data!$C1939="","",Data!$C1939)</f>
        <v>0</v>
      </c>
      <c r="D1939">
        <f>IF(Data!$D1939="","",Data!$D1939)</f>
        <v>0</v>
      </c>
      <c r="E1939">
        <f>IF(Data!$E1939="","",Data!$E1939)</f>
        <v>0</v>
      </c>
      <c r="F1939">
        <f>IF($E1939="","",N(F1938)+1)</f>
        <v>0</v>
      </c>
      <c r="G1939">
        <f>IF(OR($E1939="",$E1938=""),"",LN($E1939/$E1938))</f>
        <v>0</v>
      </c>
      <c r="H1939">
        <f>IF($E1939="","",IF($E1938="",$E1939,$E1939*0.0952380952+H1938*0.9047619048))</f>
        <v>0</v>
      </c>
      <c r="I1939">
        <f>IF($E1939="","",IF($E1938="",$E1939,$E1939*0.0392156863+I1938*0.9607843137))</f>
        <v>0</v>
      </c>
      <c r="J1939">
        <f>IF($E1939="","",IF($E1938="",$E1939,$E1939*0.0198019802+J1938*0.9801980198))</f>
        <v>0</v>
      </c>
      <c r="K1939">
        <f>IF($E1939="","",IF($E1938="",$E1939,$E1939*0.0099502488+K1938*0.9900497512))</f>
        <v>0</v>
      </c>
      <c r="L1939">
        <f>IF(OR($E1939="",$E1938=""),"",MAX($E1939-$E1938,0))</f>
        <v>0</v>
      </c>
      <c r="M1939">
        <f>IF(OR($E1939="",$E1938=""),"",MAX($E1938-$E1939,0))</f>
        <v>0</v>
      </c>
      <c r="N1939">
        <f>IF(COUNT($E$2:$E1939)&lt;15,"",IF(AVERAGE($M$1926:$M$1939)=0,100,100-100/(1+AVERAGE($L$1926:$L$1939)/AVERAGE($M$1926:$M$1939))))</f>
        <v>0</v>
      </c>
      <c r="O1939">
        <f>IF($E1939="","",IF($E1938="",$E1939,$E1939*0.1538461538+O1938*0.8461538462))</f>
        <v>0</v>
      </c>
      <c r="P1939">
        <f>IF($E1939="","",IF($E1938="",$E1939,$E1939*0.0740740741+P1938*0.9259259259))</f>
        <v>0</v>
      </c>
      <c r="Q1939">
        <f>IF(OR(O1939="",P1939=""),"",O1939-P1939)</f>
        <v>0</v>
      </c>
      <c r="R1939">
        <f>IF(Q1939="","",IF(R1938="",Q1939,Q1939*0.2000000000+R1938*0.8000000000))</f>
        <v>0</v>
      </c>
      <c r="S1939">
        <f>IF(OR(Q1939="",R1939=""),"",Q1939-R1939)</f>
        <v>0</v>
      </c>
      <c r="T1939">
        <f>IF(COUNT($E$2:$E1939)&lt;14,"",MAX($C$1926:$C$1939))</f>
        <v>0</v>
      </c>
      <c r="U1939">
        <f>IF(COUNT($E$2:$E1939)&lt;14,"",MIN($D$1926:$D$1939))</f>
        <v>0</v>
      </c>
      <c r="V1939">
        <f>IF(OR(T1939="",U1939="",T1939=U1939),"",100*($E1939-U1939)/(T1939-U1939))</f>
        <v>0</v>
      </c>
      <c r="W1939">
        <f>IF(COUNT($V$1937:$V$1939)&lt;3,"",AVERAGE($V$1937:$V$1939))</f>
        <v>0</v>
      </c>
      <c r="X1939">
        <f>IF(COUNT($N$1926:$N$1939)&lt;14,"",MIN($N$1926:$N$1939))</f>
        <v>0</v>
      </c>
      <c r="Y1939">
        <f>IF(COUNT($N$1926:$N$1939)&lt;14,"",MAX($N$1926:$N$1939))</f>
        <v>0</v>
      </c>
      <c r="Z1939">
        <f>IF(OR(N1939="",X1939="",Y1939="",Y1939=X1939),"",100*(N1939-X1939)/(Y1939-X1939))</f>
        <v>0</v>
      </c>
      <c r="AA1939">
        <f>IF(COUNT($Z$1937:$Z$1939)&lt;3,"",AVERAGE($Z$1937:$Z$1939))</f>
        <v>0</v>
      </c>
      <c r="AB1939">
        <f>IF(COUNT($AA$1937:$AA$1939)&lt;3,"",AVERAGE($AA$1937:$AA$1939))</f>
        <v>0</v>
      </c>
      <c r="AC1939">
        <f>IF($E1939="","",MAX($C1939-$D1939,ABS($C1939-$E1938),ABS($D1939-$E1938)))</f>
        <v>0</v>
      </c>
      <c r="AD1939">
        <f>IF(COUNT($E$2:$E1939)&lt;15,"",AVERAGE($AC$1926:$AC$1939))</f>
        <v>0</v>
      </c>
      <c r="AE1939">
        <f>IF(OR($E1939="",$E1938=""),"",IF(AND(($C1939-$C1938)&gt;($D1938-$D1939),($C1939-$C1938)&gt;0),$C1939-$C1938,0))</f>
        <v>0</v>
      </c>
      <c r="AF1939">
        <f>IF(OR($E1939="",$E1938=""),"",IF(AND(($D1938-$D1939)&gt;($C1939-$C1938),($D1938-$D1939)&gt;0),$D1938-$D1939,0))</f>
        <v>0</v>
      </c>
      <c r="AG1939">
        <f>IF(COUNT($E$2:$E1939)&lt;15,"",IF(SUM($AC$1926:$AC$1939)=0,0,100*SUM($AE$1926:$AE$1939)/SUM($AC$1926:$AC$1939)))</f>
        <v>0</v>
      </c>
      <c r="AH1939">
        <f>IF(COUNT($E$2:$E1939)&lt;15,"",IF(SUM($AC$1926:$AC$1939)=0,0,100*SUM($AF$1926:$AF$1939)/SUM($AC$1926:$AC$1939)))</f>
        <v>0</v>
      </c>
      <c r="AI1939">
        <f>IF(OR(AG1939="",AH1939=""),"",IF((AG1939+AH1939)=0,0,100*ABS(AG1939-AH1939)/(AG1939+AH1939)))</f>
        <v>0</v>
      </c>
      <c r="AJ1939">
        <f>IF(COUNT($AI$1926:$AI$1939)&lt;14,"",AVERAGE($AI$1926:$AI$1939))</f>
        <v>0</v>
      </c>
      <c r="AK1939">
        <f>IF(COUNT($E$2:$E1939)&lt;20,"",AVERAGE($E$1920:$E$1939))</f>
        <v>0</v>
      </c>
      <c r="AL1939">
        <f>IF(COUNT($E$2:$E1939)&lt;20,"",STDEVP($E$1920:$E$1939))</f>
        <v>0</v>
      </c>
      <c r="AM1939">
        <f>IF(AK1939="","",AK1939+2*AL1939)</f>
        <v>0</v>
      </c>
      <c r="AN1939">
        <f>IF(AK1939="","",AK1939-2*AL1939)</f>
        <v>0</v>
      </c>
      <c r="AO1939">
        <f>IF(OR(AM1939="",AN1939="",AM1939=AN1939),"",($E1939-AN1939)/(AM1939-AN1939))</f>
        <v>0</v>
      </c>
      <c r="AP1939">
        <f>IF(OR(AM1939="",AK1939="",AK1939=0),"",(AM1939-AN1939)/AK1939)</f>
        <v>0</v>
      </c>
      <c r="AQ1939">
        <f>IF(COUNT($E$2:$E1939)&lt;20,"",MAX($C$1920:$C$1939))</f>
        <v>0</v>
      </c>
      <c r="AR1939">
        <f>IF(COUNT($E$2:$E1939)&lt;20,"",MIN($D$1920:$D$1939))</f>
        <v>0</v>
      </c>
      <c r="AS1939">
        <f>IF(OR(AQ1939="",AR1939=""),"",(AQ1939+AR1939)/2)</f>
        <v>0</v>
      </c>
      <c r="AT1939">
        <f>IF(COUNT($G$1920:$G$1939)&lt;20,"",STDEV($G$1920:$G$1939)*SQRT(252))</f>
        <v>0</v>
      </c>
      <c r="AU1939">
        <f>IF(COUNT($E$2:$E1939)&lt;9,"",(MAX($C$1931:$C$1939)+MIN($D$1931:$D$1939))/2)</f>
        <v>0</v>
      </c>
      <c r="AV1939">
        <f>IF(COUNT($E$2:$E1939)&lt;26,"",(MAX($C$1914:$C$1939)+MIN($D$1914:$D$1939))/2)</f>
        <v>0</v>
      </c>
      <c r="AW1939">
        <f>IF(OR(AU1939="",AV1939=""),"",(AU1939+AV1939)/2)</f>
        <v>0</v>
      </c>
      <c r="AX1939">
        <f>IF(COUNT($E$2:$E1939)&lt;52,"",(MAX($C$1888:$C$1939)+MIN($D$1888:$D$1939))/2)</f>
        <v>0</v>
      </c>
      <c r="AY1939">
        <f>IF(COUNT($E$2:$E1939)&lt;20,"",MAX($C$1840:$C$1939))</f>
        <v>0</v>
      </c>
      <c r="AZ1939">
        <f>IF(COUNT($E$2:$E1939)&lt;20,"",MIN($D$1840:$D$1939))</f>
        <v>0</v>
      </c>
      <c r="BA1939">
        <f>IF(COUNT($E$2:$E1939)&lt;20,"",SLOPE($E$1840:$E$1939,$F$1840:$F$1939))</f>
        <v>0</v>
      </c>
      <c r="BB1939">
        <f>IF(COUNT($E$2:$E1939)&lt;20,"",INTERCEPT($E$1840:$E$1939,$F$1840:$F$1939))</f>
        <v>0</v>
      </c>
      <c r="BC1939">
        <f>IF(OR(BA1939="",BB1939=""),"",BB1939+BA1939*F1939)</f>
        <v>0</v>
      </c>
      <c r="BD1939">
        <f>IF(COUNT($E$2:$E1939)&lt;20,"",STEYX($E$1840:$E$1939,$F$1840:$F$1939))</f>
        <v>0</v>
      </c>
      <c r="BE1939">
        <f>IF($E1939="","",IF(AND(COUNT($E$1940:$E$1943)&gt;=4,$C1939=MAX($C$1935:$C$1943)),$C1939,""))</f>
        <v>0</v>
      </c>
      <c r="BF1939">
        <f>IF($E1939="","",IF(AND(COUNT($E$1940:$E$1943)&gt;=4,$D1939=MIN($D$1935:$D$1943)),$D1939,""))</f>
        <v>0</v>
      </c>
      <c r="BG1939">
        <f>IF($A1939="","",$A1939-WEEKDAY($A1939,2)+1)</f>
        <v>0</v>
      </c>
      <c r="BH1939">
        <f>IF($A1939="","",IF($A1938="",1,IF(BG1939&lt;&gt;BG1938,1,0)))</f>
        <v>0</v>
      </c>
      <c r="BI1939">
        <f>IF($A1939="","",IF($A1940="",1,IF(BG1940&lt;&gt;BG1939,1,0)))</f>
        <v>0</v>
      </c>
      <c r="BJ1939">
        <f>IF($A1939="","",IF(BH1939=1,$B1939,BJ1938))</f>
        <v>0</v>
      </c>
      <c r="BK1939">
        <f>IF($A1939="","",IF(BH1939=1,$C1939,MAX($C1939,BK1938)))</f>
        <v>0</v>
      </c>
      <c r="BL1939">
        <f>IF($A1939="","",IF(BH1939=1,$D1939,MIN($D1939,BL1938)))</f>
        <v>0</v>
      </c>
      <c r="BM1939">
        <f>IF($A1939="","",IF(BI1939=1,F1939,""))</f>
        <v>0</v>
      </c>
      <c r="BN1939">
        <f>IF($A1939="","",DATE(YEAR($A1939),MONTH($A1939),1))</f>
        <v>0</v>
      </c>
      <c r="BO1939">
        <f>IF($A1939="","",IF($A1938="",1,IF(BN1939&lt;&gt;BN1938,1,0)))</f>
        <v>0</v>
      </c>
      <c r="BP1939">
        <f>IF($A1939="","",IF($A1940="",1,IF(BN1940&lt;&gt;BN1939,1,0)))</f>
        <v>0</v>
      </c>
      <c r="BQ1939">
        <f>IF($A1939="","",IF(BO1939=1,$B1939,BQ1938))</f>
        <v>0</v>
      </c>
      <c r="BR1939">
        <f>IF($A1939="","",IF(BO1939=1,$C1939,MAX($C1939,BR1938)))</f>
        <v>0</v>
      </c>
      <c r="BS1939">
        <f>IF($A1939="","",IF(BO1939=1,$D1939,MIN($D1939,BS1938)))</f>
        <v>0</v>
      </c>
      <c r="BT1939">
        <f>IF($A1939="","",IF(BP1939=1,F1939,""))</f>
        <v>0</v>
      </c>
    </row>
    <row r="1940" spans="1:72">
      <c r="A1940" s="27">
        <f>IF(Data!$A1940="","",Data!$A1940)</f>
        <v>0</v>
      </c>
      <c r="B1940">
        <f>IF(Data!$B1940="","",Data!$B1940)</f>
        <v>0</v>
      </c>
      <c r="C1940">
        <f>IF(Data!$C1940="","",Data!$C1940)</f>
        <v>0</v>
      </c>
      <c r="D1940">
        <f>IF(Data!$D1940="","",Data!$D1940)</f>
        <v>0</v>
      </c>
      <c r="E1940">
        <f>IF(Data!$E1940="","",Data!$E1940)</f>
        <v>0</v>
      </c>
      <c r="F1940">
        <f>IF($E1940="","",N(F1939)+1)</f>
        <v>0</v>
      </c>
      <c r="G1940">
        <f>IF(OR($E1940="",$E1939=""),"",LN($E1940/$E1939))</f>
        <v>0</v>
      </c>
      <c r="H1940">
        <f>IF($E1940="","",IF($E1939="",$E1940,$E1940*0.0952380952+H1939*0.9047619048))</f>
        <v>0</v>
      </c>
      <c r="I1940">
        <f>IF($E1940="","",IF($E1939="",$E1940,$E1940*0.0392156863+I1939*0.9607843137))</f>
        <v>0</v>
      </c>
      <c r="J1940">
        <f>IF($E1940="","",IF($E1939="",$E1940,$E1940*0.0198019802+J1939*0.9801980198))</f>
        <v>0</v>
      </c>
      <c r="K1940">
        <f>IF($E1940="","",IF($E1939="",$E1940,$E1940*0.0099502488+K1939*0.9900497512))</f>
        <v>0</v>
      </c>
      <c r="L1940">
        <f>IF(OR($E1940="",$E1939=""),"",MAX($E1940-$E1939,0))</f>
        <v>0</v>
      </c>
      <c r="M1940">
        <f>IF(OR($E1940="",$E1939=""),"",MAX($E1939-$E1940,0))</f>
        <v>0</v>
      </c>
      <c r="N1940">
        <f>IF(COUNT($E$2:$E1940)&lt;15,"",IF(AVERAGE($M$1927:$M$1940)=0,100,100-100/(1+AVERAGE($L$1927:$L$1940)/AVERAGE($M$1927:$M$1940))))</f>
        <v>0</v>
      </c>
      <c r="O1940">
        <f>IF($E1940="","",IF($E1939="",$E1940,$E1940*0.1538461538+O1939*0.8461538462))</f>
        <v>0</v>
      </c>
      <c r="P1940">
        <f>IF($E1940="","",IF($E1939="",$E1940,$E1940*0.0740740741+P1939*0.9259259259))</f>
        <v>0</v>
      </c>
      <c r="Q1940">
        <f>IF(OR(O1940="",P1940=""),"",O1940-P1940)</f>
        <v>0</v>
      </c>
      <c r="R1940">
        <f>IF(Q1940="","",IF(R1939="",Q1940,Q1940*0.2000000000+R1939*0.8000000000))</f>
        <v>0</v>
      </c>
      <c r="S1940">
        <f>IF(OR(Q1940="",R1940=""),"",Q1940-R1940)</f>
        <v>0</v>
      </c>
      <c r="T1940">
        <f>IF(COUNT($E$2:$E1940)&lt;14,"",MAX($C$1927:$C$1940))</f>
        <v>0</v>
      </c>
      <c r="U1940">
        <f>IF(COUNT($E$2:$E1940)&lt;14,"",MIN($D$1927:$D$1940))</f>
        <v>0</v>
      </c>
      <c r="V1940">
        <f>IF(OR(T1940="",U1940="",T1940=U1940),"",100*($E1940-U1940)/(T1940-U1940))</f>
        <v>0</v>
      </c>
      <c r="W1940">
        <f>IF(COUNT($V$1938:$V$1940)&lt;3,"",AVERAGE($V$1938:$V$1940))</f>
        <v>0</v>
      </c>
      <c r="X1940">
        <f>IF(COUNT($N$1927:$N$1940)&lt;14,"",MIN($N$1927:$N$1940))</f>
        <v>0</v>
      </c>
      <c r="Y1940">
        <f>IF(COUNT($N$1927:$N$1940)&lt;14,"",MAX($N$1927:$N$1940))</f>
        <v>0</v>
      </c>
      <c r="Z1940">
        <f>IF(OR(N1940="",X1940="",Y1940="",Y1940=X1940),"",100*(N1940-X1940)/(Y1940-X1940))</f>
        <v>0</v>
      </c>
      <c r="AA1940">
        <f>IF(COUNT($Z$1938:$Z$1940)&lt;3,"",AVERAGE($Z$1938:$Z$1940))</f>
        <v>0</v>
      </c>
      <c r="AB1940">
        <f>IF(COUNT($AA$1938:$AA$1940)&lt;3,"",AVERAGE($AA$1938:$AA$1940))</f>
        <v>0</v>
      </c>
      <c r="AC1940">
        <f>IF($E1940="","",MAX($C1940-$D1940,ABS($C1940-$E1939),ABS($D1940-$E1939)))</f>
        <v>0</v>
      </c>
      <c r="AD1940">
        <f>IF(COUNT($E$2:$E1940)&lt;15,"",AVERAGE($AC$1927:$AC$1940))</f>
        <v>0</v>
      </c>
      <c r="AE1940">
        <f>IF(OR($E1940="",$E1939=""),"",IF(AND(($C1940-$C1939)&gt;($D1939-$D1940),($C1940-$C1939)&gt;0),$C1940-$C1939,0))</f>
        <v>0</v>
      </c>
      <c r="AF1940">
        <f>IF(OR($E1940="",$E1939=""),"",IF(AND(($D1939-$D1940)&gt;($C1940-$C1939),($D1939-$D1940)&gt;0),$D1939-$D1940,0))</f>
        <v>0</v>
      </c>
      <c r="AG1940">
        <f>IF(COUNT($E$2:$E1940)&lt;15,"",IF(SUM($AC$1927:$AC$1940)=0,0,100*SUM($AE$1927:$AE$1940)/SUM($AC$1927:$AC$1940)))</f>
        <v>0</v>
      </c>
      <c r="AH1940">
        <f>IF(COUNT($E$2:$E1940)&lt;15,"",IF(SUM($AC$1927:$AC$1940)=0,0,100*SUM($AF$1927:$AF$1940)/SUM($AC$1927:$AC$1940)))</f>
        <v>0</v>
      </c>
      <c r="AI1940">
        <f>IF(OR(AG1940="",AH1940=""),"",IF((AG1940+AH1940)=0,0,100*ABS(AG1940-AH1940)/(AG1940+AH1940)))</f>
        <v>0</v>
      </c>
      <c r="AJ1940">
        <f>IF(COUNT($AI$1927:$AI$1940)&lt;14,"",AVERAGE($AI$1927:$AI$1940))</f>
        <v>0</v>
      </c>
      <c r="AK1940">
        <f>IF(COUNT($E$2:$E1940)&lt;20,"",AVERAGE($E$1921:$E$1940))</f>
        <v>0</v>
      </c>
      <c r="AL1940">
        <f>IF(COUNT($E$2:$E1940)&lt;20,"",STDEVP($E$1921:$E$1940))</f>
        <v>0</v>
      </c>
      <c r="AM1940">
        <f>IF(AK1940="","",AK1940+2*AL1940)</f>
        <v>0</v>
      </c>
      <c r="AN1940">
        <f>IF(AK1940="","",AK1940-2*AL1940)</f>
        <v>0</v>
      </c>
      <c r="AO1940">
        <f>IF(OR(AM1940="",AN1940="",AM1940=AN1940),"",($E1940-AN1940)/(AM1940-AN1940))</f>
        <v>0</v>
      </c>
      <c r="AP1940">
        <f>IF(OR(AM1940="",AK1940="",AK1940=0),"",(AM1940-AN1940)/AK1940)</f>
        <v>0</v>
      </c>
      <c r="AQ1940">
        <f>IF(COUNT($E$2:$E1940)&lt;20,"",MAX($C$1921:$C$1940))</f>
        <v>0</v>
      </c>
      <c r="AR1940">
        <f>IF(COUNT($E$2:$E1940)&lt;20,"",MIN($D$1921:$D$1940))</f>
        <v>0</v>
      </c>
      <c r="AS1940">
        <f>IF(OR(AQ1940="",AR1940=""),"",(AQ1940+AR1940)/2)</f>
        <v>0</v>
      </c>
      <c r="AT1940">
        <f>IF(COUNT($G$1921:$G$1940)&lt;20,"",STDEV($G$1921:$G$1940)*SQRT(252))</f>
        <v>0</v>
      </c>
      <c r="AU1940">
        <f>IF(COUNT($E$2:$E1940)&lt;9,"",(MAX($C$1932:$C$1940)+MIN($D$1932:$D$1940))/2)</f>
        <v>0</v>
      </c>
      <c r="AV1940">
        <f>IF(COUNT($E$2:$E1940)&lt;26,"",(MAX($C$1915:$C$1940)+MIN($D$1915:$D$1940))/2)</f>
        <v>0</v>
      </c>
      <c r="AW1940">
        <f>IF(OR(AU1940="",AV1940=""),"",(AU1940+AV1940)/2)</f>
        <v>0</v>
      </c>
      <c r="AX1940">
        <f>IF(COUNT($E$2:$E1940)&lt;52,"",(MAX($C$1889:$C$1940)+MIN($D$1889:$D$1940))/2)</f>
        <v>0</v>
      </c>
      <c r="AY1940">
        <f>IF(COUNT($E$2:$E1940)&lt;20,"",MAX($C$1841:$C$1940))</f>
        <v>0</v>
      </c>
      <c r="AZ1940">
        <f>IF(COUNT($E$2:$E1940)&lt;20,"",MIN($D$1841:$D$1940))</f>
        <v>0</v>
      </c>
      <c r="BA1940">
        <f>IF(COUNT($E$2:$E1940)&lt;20,"",SLOPE($E$1841:$E$1940,$F$1841:$F$1940))</f>
        <v>0</v>
      </c>
      <c r="BB1940">
        <f>IF(COUNT($E$2:$E1940)&lt;20,"",INTERCEPT($E$1841:$E$1940,$F$1841:$F$1940))</f>
        <v>0</v>
      </c>
      <c r="BC1940">
        <f>IF(OR(BA1940="",BB1940=""),"",BB1940+BA1940*F1940)</f>
        <v>0</v>
      </c>
      <c r="BD1940">
        <f>IF(COUNT($E$2:$E1940)&lt;20,"",STEYX($E$1841:$E$1940,$F$1841:$F$1940))</f>
        <v>0</v>
      </c>
      <c r="BE1940">
        <f>IF($E1940="","",IF(AND(COUNT($E$1941:$E$1944)&gt;=4,$C1940=MAX($C$1936:$C$1944)),$C1940,""))</f>
        <v>0</v>
      </c>
      <c r="BF1940">
        <f>IF($E1940="","",IF(AND(COUNT($E$1941:$E$1944)&gt;=4,$D1940=MIN($D$1936:$D$1944)),$D1940,""))</f>
        <v>0</v>
      </c>
      <c r="BG1940">
        <f>IF($A1940="","",$A1940-WEEKDAY($A1940,2)+1)</f>
        <v>0</v>
      </c>
      <c r="BH1940">
        <f>IF($A1940="","",IF($A1939="",1,IF(BG1940&lt;&gt;BG1939,1,0)))</f>
        <v>0</v>
      </c>
      <c r="BI1940">
        <f>IF($A1940="","",IF($A1941="",1,IF(BG1941&lt;&gt;BG1940,1,0)))</f>
        <v>0</v>
      </c>
      <c r="BJ1940">
        <f>IF($A1940="","",IF(BH1940=1,$B1940,BJ1939))</f>
        <v>0</v>
      </c>
      <c r="BK1940">
        <f>IF($A1940="","",IF(BH1940=1,$C1940,MAX($C1940,BK1939)))</f>
        <v>0</v>
      </c>
      <c r="BL1940">
        <f>IF($A1940="","",IF(BH1940=1,$D1940,MIN($D1940,BL1939)))</f>
        <v>0</v>
      </c>
      <c r="BM1940">
        <f>IF($A1940="","",IF(BI1940=1,F1940,""))</f>
        <v>0</v>
      </c>
      <c r="BN1940">
        <f>IF($A1940="","",DATE(YEAR($A1940),MONTH($A1940),1))</f>
        <v>0</v>
      </c>
      <c r="BO1940">
        <f>IF($A1940="","",IF($A1939="",1,IF(BN1940&lt;&gt;BN1939,1,0)))</f>
        <v>0</v>
      </c>
      <c r="BP1940">
        <f>IF($A1940="","",IF($A1941="",1,IF(BN1941&lt;&gt;BN1940,1,0)))</f>
        <v>0</v>
      </c>
      <c r="BQ1940">
        <f>IF($A1940="","",IF(BO1940=1,$B1940,BQ1939))</f>
        <v>0</v>
      </c>
      <c r="BR1940">
        <f>IF($A1940="","",IF(BO1940=1,$C1940,MAX($C1940,BR1939)))</f>
        <v>0</v>
      </c>
      <c r="BS1940">
        <f>IF($A1940="","",IF(BO1940=1,$D1940,MIN($D1940,BS1939)))</f>
        <v>0</v>
      </c>
      <c r="BT1940">
        <f>IF($A1940="","",IF(BP1940=1,F1940,""))</f>
        <v>0</v>
      </c>
    </row>
    <row r="1941" spans="1:72">
      <c r="A1941" s="27">
        <f>IF(Data!$A1941="","",Data!$A1941)</f>
        <v>0</v>
      </c>
      <c r="B1941">
        <f>IF(Data!$B1941="","",Data!$B1941)</f>
        <v>0</v>
      </c>
      <c r="C1941">
        <f>IF(Data!$C1941="","",Data!$C1941)</f>
        <v>0</v>
      </c>
      <c r="D1941">
        <f>IF(Data!$D1941="","",Data!$D1941)</f>
        <v>0</v>
      </c>
      <c r="E1941">
        <f>IF(Data!$E1941="","",Data!$E1941)</f>
        <v>0</v>
      </c>
      <c r="F1941">
        <f>IF($E1941="","",N(F1940)+1)</f>
        <v>0</v>
      </c>
      <c r="G1941">
        <f>IF(OR($E1941="",$E1940=""),"",LN($E1941/$E1940))</f>
        <v>0</v>
      </c>
      <c r="H1941">
        <f>IF($E1941="","",IF($E1940="",$E1941,$E1941*0.0952380952+H1940*0.9047619048))</f>
        <v>0</v>
      </c>
      <c r="I1941">
        <f>IF($E1941="","",IF($E1940="",$E1941,$E1941*0.0392156863+I1940*0.9607843137))</f>
        <v>0</v>
      </c>
      <c r="J1941">
        <f>IF($E1941="","",IF($E1940="",$E1941,$E1941*0.0198019802+J1940*0.9801980198))</f>
        <v>0</v>
      </c>
      <c r="K1941">
        <f>IF($E1941="","",IF($E1940="",$E1941,$E1941*0.0099502488+K1940*0.9900497512))</f>
        <v>0</v>
      </c>
      <c r="L1941">
        <f>IF(OR($E1941="",$E1940=""),"",MAX($E1941-$E1940,0))</f>
        <v>0</v>
      </c>
      <c r="M1941">
        <f>IF(OR($E1941="",$E1940=""),"",MAX($E1940-$E1941,0))</f>
        <v>0</v>
      </c>
      <c r="N1941">
        <f>IF(COUNT($E$2:$E1941)&lt;15,"",IF(AVERAGE($M$1928:$M$1941)=0,100,100-100/(1+AVERAGE($L$1928:$L$1941)/AVERAGE($M$1928:$M$1941))))</f>
        <v>0</v>
      </c>
      <c r="O1941">
        <f>IF($E1941="","",IF($E1940="",$E1941,$E1941*0.1538461538+O1940*0.8461538462))</f>
        <v>0</v>
      </c>
      <c r="P1941">
        <f>IF($E1941="","",IF($E1940="",$E1941,$E1941*0.0740740741+P1940*0.9259259259))</f>
        <v>0</v>
      </c>
      <c r="Q1941">
        <f>IF(OR(O1941="",P1941=""),"",O1941-P1941)</f>
        <v>0</v>
      </c>
      <c r="R1941">
        <f>IF(Q1941="","",IF(R1940="",Q1941,Q1941*0.2000000000+R1940*0.8000000000))</f>
        <v>0</v>
      </c>
      <c r="S1941">
        <f>IF(OR(Q1941="",R1941=""),"",Q1941-R1941)</f>
        <v>0</v>
      </c>
      <c r="T1941">
        <f>IF(COUNT($E$2:$E1941)&lt;14,"",MAX($C$1928:$C$1941))</f>
        <v>0</v>
      </c>
      <c r="U1941">
        <f>IF(COUNT($E$2:$E1941)&lt;14,"",MIN($D$1928:$D$1941))</f>
        <v>0</v>
      </c>
      <c r="V1941">
        <f>IF(OR(T1941="",U1941="",T1941=U1941),"",100*($E1941-U1941)/(T1941-U1941))</f>
        <v>0</v>
      </c>
      <c r="W1941">
        <f>IF(COUNT($V$1939:$V$1941)&lt;3,"",AVERAGE($V$1939:$V$1941))</f>
        <v>0</v>
      </c>
      <c r="X1941">
        <f>IF(COUNT($N$1928:$N$1941)&lt;14,"",MIN($N$1928:$N$1941))</f>
        <v>0</v>
      </c>
      <c r="Y1941">
        <f>IF(COUNT($N$1928:$N$1941)&lt;14,"",MAX($N$1928:$N$1941))</f>
        <v>0</v>
      </c>
      <c r="Z1941">
        <f>IF(OR(N1941="",X1941="",Y1941="",Y1941=X1941),"",100*(N1941-X1941)/(Y1941-X1941))</f>
        <v>0</v>
      </c>
      <c r="AA1941">
        <f>IF(COUNT($Z$1939:$Z$1941)&lt;3,"",AVERAGE($Z$1939:$Z$1941))</f>
        <v>0</v>
      </c>
      <c r="AB1941">
        <f>IF(COUNT($AA$1939:$AA$1941)&lt;3,"",AVERAGE($AA$1939:$AA$1941))</f>
        <v>0</v>
      </c>
      <c r="AC1941">
        <f>IF($E1941="","",MAX($C1941-$D1941,ABS($C1941-$E1940),ABS($D1941-$E1940)))</f>
        <v>0</v>
      </c>
      <c r="AD1941">
        <f>IF(COUNT($E$2:$E1941)&lt;15,"",AVERAGE($AC$1928:$AC$1941))</f>
        <v>0</v>
      </c>
      <c r="AE1941">
        <f>IF(OR($E1941="",$E1940=""),"",IF(AND(($C1941-$C1940)&gt;($D1940-$D1941),($C1941-$C1940)&gt;0),$C1941-$C1940,0))</f>
        <v>0</v>
      </c>
      <c r="AF1941">
        <f>IF(OR($E1941="",$E1940=""),"",IF(AND(($D1940-$D1941)&gt;($C1941-$C1940),($D1940-$D1941)&gt;0),$D1940-$D1941,0))</f>
        <v>0</v>
      </c>
      <c r="AG1941">
        <f>IF(COUNT($E$2:$E1941)&lt;15,"",IF(SUM($AC$1928:$AC$1941)=0,0,100*SUM($AE$1928:$AE$1941)/SUM($AC$1928:$AC$1941)))</f>
        <v>0</v>
      </c>
      <c r="AH1941">
        <f>IF(COUNT($E$2:$E1941)&lt;15,"",IF(SUM($AC$1928:$AC$1941)=0,0,100*SUM($AF$1928:$AF$1941)/SUM($AC$1928:$AC$1941)))</f>
        <v>0</v>
      </c>
      <c r="AI1941">
        <f>IF(OR(AG1941="",AH1941=""),"",IF((AG1941+AH1941)=0,0,100*ABS(AG1941-AH1941)/(AG1941+AH1941)))</f>
        <v>0</v>
      </c>
      <c r="AJ1941">
        <f>IF(COUNT($AI$1928:$AI$1941)&lt;14,"",AVERAGE($AI$1928:$AI$1941))</f>
        <v>0</v>
      </c>
      <c r="AK1941">
        <f>IF(COUNT($E$2:$E1941)&lt;20,"",AVERAGE($E$1922:$E$1941))</f>
        <v>0</v>
      </c>
      <c r="AL1941">
        <f>IF(COUNT($E$2:$E1941)&lt;20,"",STDEVP($E$1922:$E$1941))</f>
        <v>0</v>
      </c>
      <c r="AM1941">
        <f>IF(AK1941="","",AK1941+2*AL1941)</f>
        <v>0</v>
      </c>
      <c r="AN1941">
        <f>IF(AK1941="","",AK1941-2*AL1941)</f>
        <v>0</v>
      </c>
      <c r="AO1941">
        <f>IF(OR(AM1941="",AN1941="",AM1941=AN1941),"",($E1941-AN1941)/(AM1941-AN1941))</f>
        <v>0</v>
      </c>
      <c r="AP1941">
        <f>IF(OR(AM1941="",AK1941="",AK1941=0),"",(AM1941-AN1941)/AK1941)</f>
        <v>0</v>
      </c>
      <c r="AQ1941">
        <f>IF(COUNT($E$2:$E1941)&lt;20,"",MAX($C$1922:$C$1941))</f>
        <v>0</v>
      </c>
      <c r="AR1941">
        <f>IF(COUNT($E$2:$E1941)&lt;20,"",MIN($D$1922:$D$1941))</f>
        <v>0</v>
      </c>
      <c r="AS1941">
        <f>IF(OR(AQ1941="",AR1941=""),"",(AQ1941+AR1941)/2)</f>
        <v>0</v>
      </c>
      <c r="AT1941">
        <f>IF(COUNT($G$1922:$G$1941)&lt;20,"",STDEV($G$1922:$G$1941)*SQRT(252))</f>
        <v>0</v>
      </c>
      <c r="AU1941">
        <f>IF(COUNT($E$2:$E1941)&lt;9,"",(MAX($C$1933:$C$1941)+MIN($D$1933:$D$1941))/2)</f>
        <v>0</v>
      </c>
      <c r="AV1941">
        <f>IF(COUNT($E$2:$E1941)&lt;26,"",(MAX($C$1916:$C$1941)+MIN($D$1916:$D$1941))/2)</f>
        <v>0</v>
      </c>
      <c r="AW1941">
        <f>IF(OR(AU1941="",AV1941=""),"",(AU1941+AV1941)/2)</f>
        <v>0</v>
      </c>
      <c r="AX1941">
        <f>IF(COUNT($E$2:$E1941)&lt;52,"",(MAX($C$1890:$C$1941)+MIN($D$1890:$D$1941))/2)</f>
        <v>0</v>
      </c>
      <c r="AY1941">
        <f>IF(COUNT($E$2:$E1941)&lt;20,"",MAX($C$1842:$C$1941))</f>
        <v>0</v>
      </c>
      <c r="AZ1941">
        <f>IF(COUNT($E$2:$E1941)&lt;20,"",MIN($D$1842:$D$1941))</f>
        <v>0</v>
      </c>
      <c r="BA1941">
        <f>IF(COUNT($E$2:$E1941)&lt;20,"",SLOPE($E$1842:$E$1941,$F$1842:$F$1941))</f>
        <v>0</v>
      </c>
      <c r="BB1941">
        <f>IF(COUNT($E$2:$E1941)&lt;20,"",INTERCEPT($E$1842:$E$1941,$F$1842:$F$1941))</f>
        <v>0</v>
      </c>
      <c r="BC1941">
        <f>IF(OR(BA1941="",BB1941=""),"",BB1941+BA1941*F1941)</f>
        <v>0</v>
      </c>
      <c r="BD1941">
        <f>IF(COUNT($E$2:$E1941)&lt;20,"",STEYX($E$1842:$E$1941,$F$1842:$F$1941))</f>
        <v>0</v>
      </c>
      <c r="BE1941">
        <f>IF($E1941="","",IF(AND(COUNT($E$1942:$E$1945)&gt;=4,$C1941=MAX($C$1937:$C$1945)),$C1941,""))</f>
        <v>0</v>
      </c>
      <c r="BF1941">
        <f>IF($E1941="","",IF(AND(COUNT($E$1942:$E$1945)&gt;=4,$D1941=MIN($D$1937:$D$1945)),$D1941,""))</f>
        <v>0</v>
      </c>
      <c r="BG1941">
        <f>IF($A1941="","",$A1941-WEEKDAY($A1941,2)+1)</f>
        <v>0</v>
      </c>
      <c r="BH1941">
        <f>IF($A1941="","",IF($A1940="",1,IF(BG1941&lt;&gt;BG1940,1,0)))</f>
        <v>0</v>
      </c>
      <c r="BI1941">
        <f>IF($A1941="","",IF($A1942="",1,IF(BG1942&lt;&gt;BG1941,1,0)))</f>
        <v>0</v>
      </c>
      <c r="BJ1941">
        <f>IF($A1941="","",IF(BH1941=1,$B1941,BJ1940))</f>
        <v>0</v>
      </c>
      <c r="BK1941">
        <f>IF($A1941="","",IF(BH1941=1,$C1941,MAX($C1941,BK1940)))</f>
        <v>0</v>
      </c>
      <c r="BL1941">
        <f>IF($A1941="","",IF(BH1941=1,$D1941,MIN($D1941,BL1940)))</f>
        <v>0</v>
      </c>
      <c r="BM1941">
        <f>IF($A1941="","",IF(BI1941=1,F1941,""))</f>
        <v>0</v>
      </c>
      <c r="BN1941">
        <f>IF($A1941="","",DATE(YEAR($A1941),MONTH($A1941),1))</f>
        <v>0</v>
      </c>
      <c r="BO1941">
        <f>IF($A1941="","",IF($A1940="",1,IF(BN1941&lt;&gt;BN1940,1,0)))</f>
        <v>0</v>
      </c>
      <c r="BP1941">
        <f>IF($A1941="","",IF($A1942="",1,IF(BN1942&lt;&gt;BN1941,1,0)))</f>
        <v>0</v>
      </c>
      <c r="BQ1941">
        <f>IF($A1941="","",IF(BO1941=1,$B1941,BQ1940))</f>
        <v>0</v>
      </c>
      <c r="BR1941">
        <f>IF($A1941="","",IF(BO1941=1,$C1941,MAX($C1941,BR1940)))</f>
        <v>0</v>
      </c>
      <c r="BS1941">
        <f>IF($A1941="","",IF(BO1941=1,$D1941,MIN($D1941,BS1940)))</f>
        <v>0</v>
      </c>
      <c r="BT1941">
        <f>IF($A1941="","",IF(BP1941=1,F1941,""))</f>
        <v>0</v>
      </c>
    </row>
    <row r="1942" spans="1:72">
      <c r="A1942" s="27">
        <f>IF(Data!$A1942="","",Data!$A1942)</f>
        <v>0</v>
      </c>
      <c r="B1942">
        <f>IF(Data!$B1942="","",Data!$B1942)</f>
        <v>0</v>
      </c>
      <c r="C1942">
        <f>IF(Data!$C1942="","",Data!$C1942)</f>
        <v>0</v>
      </c>
      <c r="D1942">
        <f>IF(Data!$D1942="","",Data!$D1942)</f>
        <v>0</v>
      </c>
      <c r="E1942">
        <f>IF(Data!$E1942="","",Data!$E1942)</f>
        <v>0</v>
      </c>
      <c r="F1942">
        <f>IF($E1942="","",N(F1941)+1)</f>
        <v>0</v>
      </c>
      <c r="G1942">
        <f>IF(OR($E1942="",$E1941=""),"",LN($E1942/$E1941))</f>
        <v>0</v>
      </c>
      <c r="H1942">
        <f>IF($E1942="","",IF($E1941="",$E1942,$E1942*0.0952380952+H1941*0.9047619048))</f>
        <v>0</v>
      </c>
      <c r="I1942">
        <f>IF($E1942="","",IF($E1941="",$E1942,$E1942*0.0392156863+I1941*0.9607843137))</f>
        <v>0</v>
      </c>
      <c r="J1942">
        <f>IF($E1942="","",IF($E1941="",$E1942,$E1942*0.0198019802+J1941*0.9801980198))</f>
        <v>0</v>
      </c>
      <c r="K1942">
        <f>IF($E1942="","",IF($E1941="",$E1942,$E1942*0.0099502488+K1941*0.9900497512))</f>
        <v>0</v>
      </c>
      <c r="L1942">
        <f>IF(OR($E1942="",$E1941=""),"",MAX($E1942-$E1941,0))</f>
        <v>0</v>
      </c>
      <c r="M1942">
        <f>IF(OR($E1942="",$E1941=""),"",MAX($E1941-$E1942,0))</f>
        <v>0</v>
      </c>
      <c r="N1942">
        <f>IF(COUNT($E$2:$E1942)&lt;15,"",IF(AVERAGE($M$1929:$M$1942)=0,100,100-100/(1+AVERAGE($L$1929:$L$1942)/AVERAGE($M$1929:$M$1942))))</f>
        <v>0</v>
      </c>
      <c r="O1942">
        <f>IF($E1942="","",IF($E1941="",$E1942,$E1942*0.1538461538+O1941*0.8461538462))</f>
        <v>0</v>
      </c>
      <c r="P1942">
        <f>IF($E1942="","",IF($E1941="",$E1942,$E1942*0.0740740741+P1941*0.9259259259))</f>
        <v>0</v>
      </c>
      <c r="Q1942">
        <f>IF(OR(O1942="",P1942=""),"",O1942-P1942)</f>
        <v>0</v>
      </c>
      <c r="R1942">
        <f>IF(Q1942="","",IF(R1941="",Q1942,Q1942*0.2000000000+R1941*0.8000000000))</f>
        <v>0</v>
      </c>
      <c r="S1942">
        <f>IF(OR(Q1942="",R1942=""),"",Q1942-R1942)</f>
        <v>0</v>
      </c>
      <c r="T1942">
        <f>IF(COUNT($E$2:$E1942)&lt;14,"",MAX($C$1929:$C$1942))</f>
        <v>0</v>
      </c>
      <c r="U1942">
        <f>IF(COUNT($E$2:$E1942)&lt;14,"",MIN($D$1929:$D$1942))</f>
        <v>0</v>
      </c>
      <c r="V1942">
        <f>IF(OR(T1942="",U1942="",T1942=U1942),"",100*($E1942-U1942)/(T1942-U1942))</f>
        <v>0</v>
      </c>
      <c r="W1942">
        <f>IF(COUNT($V$1940:$V$1942)&lt;3,"",AVERAGE($V$1940:$V$1942))</f>
        <v>0</v>
      </c>
      <c r="X1942">
        <f>IF(COUNT($N$1929:$N$1942)&lt;14,"",MIN($N$1929:$N$1942))</f>
        <v>0</v>
      </c>
      <c r="Y1942">
        <f>IF(COUNT($N$1929:$N$1942)&lt;14,"",MAX($N$1929:$N$1942))</f>
        <v>0</v>
      </c>
      <c r="Z1942">
        <f>IF(OR(N1942="",X1942="",Y1942="",Y1942=X1942),"",100*(N1942-X1942)/(Y1942-X1942))</f>
        <v>0</v>
      </c>
      <c r="AA1942">
        <f>IF(COUNT($Z$1940:$Z$1942)&lt;3,"",AVERAGE($Z$1940:$Z$1942))</f>
        <v>0</v>
      </c>
      <c r="AB1942">
        <f>IF(COUNT($AA$1940:$AA$1942)&lt;3,"",AVERAGE($AA$1940:$AA$1942))</f>
        <v>0</v>
      </c>
      <c r="AC1942">
        <f>IF($E1942="","",MAX($C1942-$D1942,ABS($C1942-$E1941),ABS($D1942-$E1941)))</f>
        <v>0</v>
      </c>
      <c r="AD1942">
        <f>IF(COUNT($E$2:$E1942)&lt;15,"",AVERAGE($AC$1929:$AC$1942))</f>
        <v>0</v>
      </c>
      <c r="AE1942">
        <f>IF(OR($E1942="",$E1941=""),"",IF(AND(($C1942-$C1941)&gt;($D1941-$D1942),($C1942-$C1941)&gt;0),$C1942-$C1941,0))</f>
        <v>0</v>
      </c>
      <c r="AF1942">
        <f>IF(OR($E1942="",$E1941=""),"",IF(AND(($D1941-$D1942)&gt;($C1942-$C1941),($D1941-$D1942)&gt;0),$D1941-$D1942,0))</f>
        <v>0</v>
      </c>
      <c r="AG1942">
        <f>IF(COUNT($E$2:$E1942)&lt;15,"",IF(SUM($AC$1929:$AC$1942)=0,0,100*SUM($AE$1929:$AE$1942)/SUM($AC$1929:$AC$1942)))</f>
        <v>0</v>
      </c>
      <c r="AH1942">
        <f>IF(COUNT($E$2:$E1942)&lt;15,"",IF(SUM($AC$1929:$AC$1942)=0,0,100*SUM($AF$1929:$AF$1942)/SUM($AC$1929:$AC$1942)))</f>
        <v>0</v>
      </c>
      <c r="AI1942">
        <f>IF(OR(AG1942="",AH1942=""),"",IF((AG1942+AH1942)=0,0,100*ABS(AG1942-AH1942)/(AG1942+AH1942)))</f>
        <v>0</v>
      </c>
      <c r="AJ1942">
        <f>IF(COUNT($AI$1929:$AI$1942)&lt;14,"",AVERAGE($AI$1929:$AI$1942))</f>
        <v>0</v>
      </c>
      <c r="AK1942">
        <f>IF(COUNT($E$2:$E1942)&lt;20,"",AVERAGE($E$1923:$E$1942))</f>
        <v>0</v>
      </c>
      <c r="AL1942">
        <f>IF(COUNT($E$2:$E1942)&lt;20,"",STDEVP($E$1923:$E$1942))</f>
        <v>0</v>
      </c>
      <c r="AM1942">
        <f>IF(AK1942="","",AK1942+2*AL1942)</f>
        <v>0</v>
      </c>
      <c r="AN1942">
        <f>IF(AK1942="","",AK1942-2*AL1942)</f>
        <v>0</v>
      </c>
      <c r="AO1942">
        <f>IF(OR(AM1942="",AN1942="",AM1942=AN1942),"",($E1942-AN1942)/(AM1942-AN1942))</f>
        <v>0</v>
      </c>
      <c r="AP1942">
        <f>IF(OR(AM1942="",AK1942="",AK1942=0),"",(AM1942-AN1942)/AK1942)</f>
        <v>0</v>
      </c>
      <c r="AQ1942">
        <f>IF(COUNT($E$2:$E1942)&lt;20,"",MAX($C$1923:$C$1942))</f>
        <v>0</v>
      </c>
      <c r="AR1942">
        <f>IF(COUNT($E$2:$E1942)&lt;20,"",MIN($D$1923:$D$1942))</f>
        <v>0</v>
      </c>
      <c r="AS1942">
        <f>IF(OR(AQ1942="",AR1942=""),"",(AQ1942+AR1942)/2)</f>
        <v>0</v>
      </c>
      <c r="AT1942">
        <f>IF(COUNT($G$1923:$G$1942)&lt;20,"",STDEV($G$1923:$G$1942)*SQRT(252))</f>
        <v>0</v>
      </c>
      <c r="AU1942">
        <f>IF(COUNT($E$2:$E1942)&lt;9,"",(MAX($C$1934:$C$1942)+MIN($D$1934:$D$1942))/2)</f>
        <v>0</v>
      </c>
      <c r="AV1942">
        <f>IF(COUNT($E$2:$E1942)&lt;26,"",(MAX($C$1917:$C$1942)+MIN($D$1917:$D$1942))/2)</f>
        <v>0</v>
      </c>
      <c r="AW1942">
        <f>IF(OR(AU1942="",AV1942=""),"",(AU1942+AV1942)/2)</f>
        <v>0</v>
      </c>
      <c r="AX1942">
        <f>IF(COUNT($E$2:$E1942)&lt;52,"",(MAX($C$1891:$C$1942)+MIN($D$1891:$D$1942))/2)</f>
        <v>0</v>
      </c>
      <c r="AY1942">
        <f>IF(COUNT($E$2:$E1942)&lt;20,"",MAX($C$1843:$C$1942))</f>
        <v>0</v>
      </c>
      <c r="AZ1942">
        <f>IF(COUNT($E$2:$E1942)&lt;20,"",MIN($D$1843:$D$1942))</f>
        <v>0</v>
      </c>
      <c r="BA1942">
        <f>IF(COUNT($E$2:$E1942)&lt;20,"",SLOPE($E$1843:$E$1942,$F$1843:$F$1942))</f>
        <v>0</v>
      </c>
      <c r="BB1942">
        <f>IF(COUNT($E$2:$E1942)&lt;20,"",INTERCEPT($E$1843:$E$1942,$F$1843:$F$1942))</f>
        <v>0</v>
      </c>
      <c r="BC1942">
        <f>IF(OR(BA1942="",BB1942=""),"",BB1942+BA1942*F1942)</f>
        <v>0</v>
      </c>
      <c r="BD1942">
        <f>IF(COUNT($E$2:$E1942)&lt;20,"",STEYX($E$1843:$E$1942,$F$1843:$F$1942))</f>
        <v>0</v>
      </c>
      <c r="BE1942">
        <f>IF($E1942="","",IF(AND(COUNT($E$1943:$E$1946)&gt;=4,$C1942=MAX($C$1938:$C$1946)),$C1942,""))</f>
        <v>0</v>
      </c>
      <c r="BF1942">
        <f>IF($E1942="","",IF(AND(COUNT($E$1943:$E$1946)&gt;=4,$D1942=MIN($D$1938:$D$1946)),$D1942,""))</f>
        <v>0</v>
      </c>
      <c r="BG1942">
        <f>IF($A1942="","",$A1942-WEEKDAY($A1942,2)+1)</f>
        <v>0</v>
      </c>
      <c r="BH1942">
        <f>IF($A1942="","",IF($A1941="",1,IF(BG1942&lt;&gt;BG1941,1,0)))</f>
        <v>0</v>
      </c>
      <c r="BI1942">
        <f>IF($A1942="","",IF($A1943="",1,IF(BG1943&lt;&gt;BG1942,1,0)))</f>
        <v>0</v>
      </c>
      <c r="BJ1942">
        <f>IF($A1942="","",IF(BH1942=1,$B1942,BJ1941))</f>
        <v>0</v>
      </c>
      <c r="BK1942">
        <f>IF($A1942="","",IF(BH1942=1,$C1942,MAX($C1942,BK1941)))</f>
        <v>0</v>
      </c>
      <c r="BL1942">
        <f>IF($A1942="","",IF(BH1942=1,$D1942,MIN($D1942,BL1941)))</f>
        <v>0</v>
      </c>
      <c r="BM1942">
        <f>IF($A1942="","",IF(BI1942=1,F1942,""))</f>
        <v>0</v>
      </c>
      <c r="BN1942">
        <f>IF($A1942="","",DATE(YEAR($A1942),MONTH($A1942),1))</f>
        <v>0</v>
      </c>
      <c r="BO1942">
        <f>IF($A1942="","",IF($A1941="",1,IF(BN1942&lt;&gt;BN1941,1,0)))</f>
        <v>0</v>
      </c>
      <c r="BP1942">
        <f>IF($A1942="","",IF($A1943="",1,IF(BN1943&lt;&gt;BN1942,1,0)))</f>
        <v>0</v>
      </c>
      <c r="BQ1942">
        <f>IF($A1942="","",IF(BO1942=1,$B1942,BQ1941))</f>
        <v>0</v>
      </c>
      <c r="BR1942">
        <f>IF($A1942="","",IF(BO1942=1,$C1942,MAX($C1942,BR1941)))</f>
        <v>0</v>
      </c>
      <c r="BS1942">
        <f>IF($A1942="","",IF(BO1942=1,$D1942,MIN($D1942,BS1941)))</f>
        <v>0</v>
      </c>
      <c r="BT1942">
        <f>IF($A1942="","",IF(BP1942=1,F1942,""))</f>
        <v>0</v>
      </c>
    </row>
    <row r="1943" spans="1:72">
      <c r="A1943" s="27">
        <f>IF(Data!$A1943="","",Data!$A1943)</f>
        <v>0</v>
      </c>
      <c r="B1943">
        <f>IF(Data!$B1943="","",Data!$B1943)</f>
        <v>0</v>
      </c>
      <c r="C1943">
        <f>IF(Data!$C1943="","",Data!$C1943)</f>
        <v>0</v>
      </c>
      <c r="D1943">
        <f>IF(Data!$D1943="","",Data!$D1943)</f>
        <v>0</v>
      </c>
      <c r="E1943">
        <f>IF(Data!$E1943="","",Data!$E1943)</f>
        <v>0</v>
      </c>
      <c r="F1943">
        <f>IF($E1943="","",N(F1942)+1)</f>
        <v>0</v>
      </c>
      <c r="G1943">
        <f>IF(OR($E1943="",$E1942=""),"",LN($E1943/$E1942))</f>
        <v>0</v>
      </c>
      <c r="H1943">
        <f>IF($E1943="","",IF($E1942="",$E1943,$E1943*0.0952380952+H1942*0.9047619048))</f>
        <v>0</v>
      </c>
      <c r="I1943">
        <f>IF($E1943="","",IF($E1942="",$E1943,$E1943*0.0392156863+I1942*0.9607843137))</f>
        <v>0</v>
      </c>
      <c r="J1943">
        <f>IF($E1943="","",IF($E1942="",$E1943,$E1943*0.0198019802+J1942*0.9801980198))</f>
        <v>0</v>
      </c>
      <c r="K1943">
        <f>IF($E1943="","",IF($E1942="",$E1943,$E1943*0.0099502488+K1942*0.9900497512))</f>
        <v>0</v>
      </c>
      <c r="L1943">
        <f>IF(OR($E1943="",$E1942=""),"",MAX($E1943-$E1942,0))</f>
        <v>0</v>
      </c>
      <c r="M1943">
        <f>IF(OR($E1943="",$E1942=""),"",MAX($E1942-$E1943,0))</f>
        <v>0</v>
      </c>
      <c r="N1943">
        <f>IF(COUNT($E$2:$E1943)&lt;15,"",IF(AVERAGE($M$1930:$M$1943)=0,100,100-100/(1+AVERAGE($L$1930:$L$1943)/AVERAGE($M$1930:$M$1943))))</f>
        <v>0</v>
      </c>
      <c r="O1943">
        <f>IF($E1943="","",IF($E1942="",$E1943,$E1943*0.1538461538+O1942*0.8461538462))</f>
        <v>0</v>
      </c>
      <c r="P1943">
        <f>IF($E1943="","",IF($E1942="",$E1943,$E1943*0.0740740741+P1942*0.9259259259))</f>
        <v>0</v>
      </c>
      <c r="Q1943">
        <f>IF(OR(O1943="",P1943=""),"",O1943-P1943)</f>
        <v>0</v>
      </c>
      <c r="R1943">
        <f>IF(Q1943="","",IF(R1942="",Q1943,Q1943*0.2000000000+R1942*0.8000000000))</f>
        <v>0</v>
      </c>
      <c r="S1943">
        <f>IF(OR(Q1943="",R1943=""),"",Q1943-R1943)</f>
        <v>0</v>
      </c>
      <c r="T1943">
        <f>IF(COUNT($E$2:$E1943)&lt;14,"",MAX($C$1930:$C$1943))</f>
        <v>0</v>
      </c>
      <c r="U1943">
        <f>IF(COUNT($E$2:$E1943)&lt;14,"",MIN($D$1930:$D$1943))</f>
        <v>0</v>
      </c>
      <c r="V1943">
        <f>IF(OR(T1943="",U1943="",T1943=U1943),"",100*($E1943-U1943)/(T1943-U1943))</f>
        <v>0</v>
      </c>
      <c r="W1943">
        <f>IF(COUNT($V$1941:$V$1943)&lt;3,"",AVERAGE($V$1941:$V$1943))</f>
        <v>0</v>
      </c>
      <c r="X1943">
        <f>IF(COUNT($N$1930:$N$1943)&lt;14,"",MIN($N$1930:$N$1943))</f>
        <v>0</v>
      </c>
      <c r="Y1943">
        <f>IF(COUNT($N$1930:$N$1943)&lt;14,"",MAX($N$1930:$N$1943))</f>
        <v>0</v>
      </c>
      <c r="Z1943">
        <f>IF(OR(N1943="",X1943="",Y1943="",Y1943=X1943),"",100*(N1943-X1943)/(Y1943-X1943))</f>
        <v>0</v>
      </c>
      <c r="AA1943">
        <f>IF(COUNT($Z$1941:$Z$1943)&lt;3,"",AVERAGE($Z$1941:$Z$1943))</f>
        <v>0</v>
      </c>
      <c r="AB1943">
        <f>IF(COUNT($AA$1941:$AA$1943)&lt;3,"",AVERAGE($AA$1941:$AA$1943))</f>
        <v>0</v>
      </c>
      <c r="AC1943">
        <f>IF($E1943="","",MAX($C1943-$D1943,ABS($C1943-$E1942),ABS($D1943-$E1942)))</f>
        <v>0</v>
      </c>
      <c r="AD1943">
        <f>IF(COUNT($E$2:$E1943)&lt;15,"",AVERAGE($AC$1930:$AC$1943))</f>
        <v>0</v>
      </c>
      <c r="AE1943">
        <f>IF(OR($E1943="",$E1942=""),"",IF(AND(($C1943-$C1942)&gt;($D1942-$D1943),($C1943-$C1942)&gt;0),$C1943-$C1942,0))</f>
        <v>0</v>
      </c>
      <c r="AF1943">
        <f>IF(OR($E1943="",$E1942=""),"",IF(AND(($D1942-$D1943)&gt;($C1943-$C1942),($D1942-$D1943)&gt;0),$D1942-$D1943,0))</f>
        <v>0</v>
      </c>
      <c r="AG1943">
        <f>IF(COUNT($E$2:$E1943)&lt;15,"",IF(SUM($AC$1930:$AC$1943)=0,0,100*SUM($AE$1930:$AE$1943)/SUM($AC$1930:$AC$1943)))</f>
        <v>0</v>
      </c>
      <c r="AH1943">
        <f>IF(COUNT($E$2:$E1943)&lt;15,"",IF(SUM($AC$1930:$AC$1943)=0,0,100*SUM($AF$1930:$AF$1943)/SUM($AC$1930:$AC$1943)))</f>
        <v>0</v>
      </c>
      <c r="AI1943">
        <f>IF(OR(AG1943="",AH1943=""),"",IF((AG1943+AH1943)=0,0,100*ABS(AG1943-AH1943)/(AG1943+AH1943)))</f>
        <v>0</v>
      </c>
      <c r="AJ1943">
        <f>IF(COUNT($AI$1930:$AI$1943)&lt;14,"",AVERAGE($AI$1930:$AI$1943))</f>
        <v>0</v>
      </c>
      <c r="AK1943">
        <f>IF(COUNT($E$2:$E1943)&lt;20,"",AVERAGE($E$1924:$E$1943))</f>
        <v>0</v>
      </c>
      <c r="AL1943">
        <f>IF(COUNT($E$2:$E1943)&lt;20,"",STDEVP($E$1924:$E$1943))</f>
        <v>0</v>
      </c>
      <c r="AM1943">
        <f>IF(AK1943="","",AK1943+2*AL1943)</f>
        <v>0</v>
      </c>
      <c r="AN1943">
        <f>IF(AK1943="","",AK1943-2*AL1943)</f>
        <v>0</v>
      </c>
      <c r="AO1943">
        <f>IF(OR(AM1943="",AN1943="",AM1943=AN1943),"",($E1943-AN1943)/(AM1943-AN1943))</f>
        <v>0</v>
      </c>
      <c r="AP1943">
        <f>IF(OR(AM1943="",AK1943="",AK1943=0),"",(AM1943-AN1943)/AK1943)</f>
        <v>0</v>
      </c>
      <c r="AQ1943">
        <f>IF(COUNT($E$2:$E1943)&lt;20,"",MAX($C$1924:$C$1943))</f>
        <v>0</v>
      </c>
      <c r="AR1943">
        <f>IF(COUNT($E$2:$E1943)&lt;20,"",MIN($D$1924:$D$1943))</f>
        <v>0</v>
      </c>
      <c r="AS1943">
        <f>IF(OR(AQ1943="",AR1943=""),"",(AQ1943+AR1943)/2)</f>
        <v>0</v>
      </c>
      <c r="AT1943">
        <f>IF(COUNT($G$1924:$G$1943)&lt;20,"",STDEV($G$1924:$G$1943)*SQRT(252))</f>
        <v>0</v>
      </c>
      <c r="AU1943">
        <f>IF(COUNT($E$2:$E1943)&lt;9,"",(MAX($C$1935:$C$1943)+MIN($D$1935:$D$1943))/2)</f>
        <v>0</v>
      </c>
      <c r="AV1943">
        <f>IF(COUNT($E$2:$E1943)&lt;26,"",(MAX($C$1918:$C$1943)+MIN($D$1918:$D$1943))/2)</f>
        <v>0</v>
      </c>
      <c r="AW1943">
        <f>IF(OR(AU1943="",AV1943=""),"",(AU1943+AV1943)/2)</f>
        <v>0</v>
      </c>
      <c r="AX1943">
        <f>IF(COUNT($E$2:$E1943)&lt;52,"",(MAX($C$1892:$C$1943)+MIN($D$1892:$D$1943))/2)</f>
        <v>0</v>
      </c>
      <c r="AY1943">
        <f>IF(COUNT($E$2:$E1943)&lt;20,"",MAX($C$1844:$C$1943))</f>
        <v>0</v>
      </c>
      <c r="AZ1943">
        <f>IF(COUNT($E$2:$E1943)&lt;20,"",MIN($D$1844:$D$1943))</f>
        <v>0</v>
      </c>
      <c r="BA1943">
        <f>IF(COUNT($E$2:$E1943)&lt;20,"",SLOPE($E$1844:$E$1943,$F$1844:$F$1943))</f>
        <v>0</v>
      </c>
      <c r="BB1943">
        <f>IF(COUNT($E$2:$E1943)&lt;20,"",INTERCEPT($E$1844:$E$1943,$F$1844:$F$1943))</f>
        <v>0</v>
      </c>
      <c r="BC1943">
        <f>IF(OR(BA1943="",BB1943=""),"",BB1943+BA1943*F1943)</f>
        <v>0</v>
      </c>
      <c r="BD1943">
        <f>IF(COUNT($E$2:$E1943)&lt;20,"",STEYX($E$1844:$E$1943,$F$1844:$F$1943))</f>
        <v>0</v>
      </c>
      <c r="BE1943">
        <f>IF($E1943="","",IF(AND(COUNT($E$1944:$E$1947)&gt;=4,$C1943=MAX($C$1939:$C$1947)),$C1943,""))</f>
        <v>0</v>
      </c>
      <c r="BF1943">
        <f>IF($E1943="","",IF(AND(COUNT($E$1944:$E$1947)&gt;=4,$D1943=MIN($D$1939:$D$1947)),$D1943,""))</f>
        <v>0</v>
      </c>
      <c r="BG1943">
        <f>IF($A1943="","",$A1943-WEEKDAY($A1943,2)+1)</f>
        <v>0</v>
      </c>
      <c r="BH1943">
        <f>IF($A1943="","",IF($A1942="",1,IF(BG1943&lt;&gt;BG1942,1,0)))</f>
        <v>0</v>
      </c>
      <c r="BI1943">
        <f>IF($A1943="","",IF($A1944="",1,IF(BG1944&lt;&gt;BG1943,1,0)))</f>
        <v>0</v>
      </c>
      <c r="BJ1943">
        <f>IF($A1943="","",IF(BH1943=1,$B1943,BJ1942))</f>
        <v>0</v>
      </c>
      <c r="BK1943">
        <f>IF($A1943="","",IF(BH1943=1,$C1943,MAX($C1943,BK1942)))</f>
        <v>0</v>
      </c>
      <c r="BL1943">
        <f>IF($A1943="","",IF(BH1943=1,$D1943,MIN($D1943,BL1942)))</f>
        <v>0</v>
      </c>
      <c r="BM1943">
        <f>IF($A1943="","",IF(BI1943=1,F1943,""))</f>
        <v>0</v>
      </c>
      <c r="BN1943">
        <f>IF($A1943="","",DATE(YEAR($A1943),MONTH($A1943),1))</f>
        <v>0</v>
      </c>
      <c r="BO1943">
        <f>IF($A1943="","",IF($A1942="",1,IF(BN1943&lt;&gt;BN1942,1,0)))</f>
        <v>0</v>
      </c>
      <c r="BP1943">
        <f>IF($A1943="","",IF($A1944="",1,IF(BN1944&lt;&gt;BN1943,1,0)))</f>
        <v>0</v>
      </c>
      <c r="BQ1943">
        <f>IF($A1943="","",IF(BO1943=1,$B1943,BQ1942))</f>
        <v>0</v>
      </c>
      <c r="BR1943">
        <f>IF($A1943="","",IF(BO1943=1,$C1943,MAX($C1943,BR1942)))</f>
        <v>0</v>
      </c>
      <c r="BS1943">
        <f>IF($A1943="","",IF(BO1943=1,$D1943,MIN($D1943,BS1942)))</f>
        <v>0</v>
      </c>
      <c r="BT1943">
        <f>IF($A1943="","",IF(BP1943=1,F1943,""))</f>
        <v>0</v>
      </c>
    </row>
    <row r="1944" spans="1:72">
      <c r="A1944" s="27">
        <f>IF(Data!$A1944="","",Data!$A1944)</f>
        <v>0</v>
      </c>
      <c r="B1944">
        <f>IF(Data!$B1944="","",Data!$B1944)</f>
        <v>0</v>
      </c>
      <c r="C1944">
        <f>IF(Data!$C1944="","",Data!$C1944)</f>
        <v>0</v>
      </c>
      <c r="D1944">
        <f>IF(Data!$D1944="","",Data!$D1944)</f>
        <v>0</v>
      </c>
      <c r="E1944">
        <f>IF(Data!$E1944="","",Data!$E1944)</f>
        <v>0</v>
      </c>
      <c r="F1944">
        <f>IF($E1944="","",N(F1943)+1)</f>
        <v>0</v>
      </c>
      <c r="G1944">
        <f>IF(OR($E1944="",$E1943=""),"",LN($E1944/$E1943))</f>
        <v>0</v>
      </c>
      <c r="H1944">
        <f>IF($E1944="","",IF($E1943="",$E1944,$E1944*0.0952380952+H1943*0.9047619048))</f>
        <v>0</v>
      </c>
      <c r="I1944">
        <f>IF($E1944="","",IF($E1943="",$E1944,$E1944*0.0392156863+I1943*0.9607843137))</f>
        <v>0</v>
      </c>
      <c r="J1944">
        <f>IF($E1944="","",IF($E1943="",$E1944,$E1944*0.0198019802+J1943*0.9801980198))</f>
        <v>0</v>
      </c>
      <c r="K1944">
        <f>IF($E1944="","",IF($E1943="",$E1944,$E1944*0.0099502488+K1943*0.9900497512))</f>
        <v>0</v>
      </c>
      <c r="L1944">
        <f>IF(OR($E1944="",$E1943=""),"",MAX($E1944-$E1943,0))</f>
        <v>0</v>
      </c>
      <c r="M1944">
        <f>IF(OR($E1944="",$E1943=""),"",MAX($E1943-$E1944,0))</f>
        <v>0</v>
      </c>
      <c r="N1944">
        <f>IF(COUNT($E$2:$E1944)&lt;15,"",IF(AVERAGE($M$1931:$M$1944)=0,100,100-100/(1+AVERAGE($L$1931:$L$1944)/AVERAGE($M$1931:$M$1944))))</f>
        <v>0</v>
      </c>
      <c r="O1944">
        <f>IF($E1944="","",IF($E1943="",$E1944,$E1944*0.1538461538+O1943*0.8461538462))</f>
        <v>0</v>
      </c>
      <c r="P1944">
        <f>IF($E1944="","",IF($E1943="",$E1944,$E1944*0.0740740741+P1943*0.9259259259))</f>
        <v>0</v>
      </c>
      <c r="Q1944">
        <f>IF(OR(O1944="",P1944=""),"",O1944-P1944)</f>
        <v>0</v>
      </c>
      <c r="R1944">
        <f>IF(Q1944="","",IF(R1943="",Q1944,Q1944*0.2000000000+R1943*0.8000000000))</f>
        <v>0</v>
      </c>
      <c r="S1944">
        <f>IF(OR(Q1944="",R1944=""),"",Q1944-R1944)</f>
        <v>0</v>
      </c>
      <c r="T1944">
        <f>IF(COUNT($E$2:$E1944)&lt;14,"",MAX($C$1931:$C$1944))</f>
        <v>0</v>
      </c>
      <c r="U1944">
        <f>IF(COUNT($E$2:$E1944)&lt;14,"",MIN($D$1931:$D$1944))</f>
        <v>0</v>
      </c>
      <c r="V1944">
        <f>IF(OR(T1944="",U1944="",T1944=U1944),"",100*($E1944-U1944)/(T1944-U1944))</f>
        <v>0</v>
      </c>
      <c r="W1944">
        <f>IF(COUNT($V$1942:$V$1944)&lt;3,"",AVERAGE($V$1942:$V$1944))</f>
        <v>0</v>
      </c>
      <c r="X1944">
        <f>IF(COUNT($N$1931:$N$1944)&lt;14,"",MIN($N$1931:$N$1944))</f>
        <v>0</v>
      </c>
      <c r="Y1944">
        <f>IF(COUNT($N$1931:$N$1944)&lt;14,"",MAX($N$1931:$N$1944))</f>
        <v>0</v>
      </c>
      <c r="Z1944">
        <f>IF(OR(N1944="",X1944="",Y1944="",Y1944=X1944),"",100*(N1944-X1944)/(Y1944-X1944))</f>
        <v>0</v>
      </c>
      <c r="AA1944">
        <f>IF(COUNT($Z$1942:$Z$1944)&lt;3,"",AVERAGE($Z$1942:$Z$1944))</f>
        <v>0</v>
      </c>
      <c r="AB1944">
        <f>IF(COUNT($AA$1942:$AA$1944)&lt;3,"",AVERAGE($AA$1942:$AA$1944))</f>
        <v>0</v>
      </c>
      <c r="AC1944">
        <f>IF($E1944="","",MAX($C1944-$D1944,ABS($C1944-$E1943),ABS($D1944-$E1943)))</f>
        <v>0</v>
      </c>
      <c r="AD1944">
        <f>IF(COUNT($E$2:$E1944)&lt;15,"",AVERAGE($AC$1931:$AC$1944))</f>
        <v>0</v>
      </c>
      <c r="AE1944">
        <f>IF(OR($E1944="",$E1943=""),"",IF(AND(($C1944-$C1943)&gt;($D1943-$D1944),($C1944-$C1943)&gt;0),$C1944-$C1943,0))</f>
        <v>0</v>
      </c>
      <c r="AF1944">
        <f>IF(OR($E1944="",$E1943=""),"",IF(AND(($D1943-$D1944)&gt;($C1944-$C1943),($D1943-$D1944)&gt;0),$D1943-$D1944,0))</f>
        <v>0</v>
      </c>
      <c r="AG1944">
        <f>IF(COUNT($E$2:$E1944)&lt;15,"",IF(SUM($AC$1931:$AC$1944)=0,0,100*SUM($AE$1931:$AE$1944)/SUM($AC$1931:$AC$1944)))</f>
        <v>0</v>
      </c>
      <c r="AH1944">
        <f>IF(COUNT($E$2:$E1944)&lt;15,"",IF(SUM($AC$1931:$AC$1944)=0,0,100*SUM($AF$1931:$AF$1944)/SUM($AC$1931:$AC$1944)))</f>
        <v>0</v>
      </c>
      <c r="AI1944">
        <f>IF(OR(AG1944="",AH1944=""),"",IF((AG1944+AH1944)=0,0,100*ABS(AG1944-AH1944)/(AG1944+AH1944)))</f>
        <v>0</v>
      </c>
      <c r="AJ1944">
        <f>IF(COUNT($AI$1931:$AI$1944)&lt;14,"",AVERAGE($AI$1931:$AI$1944))</f>
        <v>0</v>
      </c>
      <c r="AK1944">
        <f>IF(COUNT($E$2:$E1944)&lt;20,"",AVERAGE($E$1925:$E$1944))</f>
        <v>0</v>
      </c>
      <c r="AL1944">
        <f>IF(COUNT($E$2:$E1944)&lt;20,"",STDEVP($E$1925:$E$1944))</f>
        <v>0</v>
      </c>
      <c r="AM1944">
        <f>IF(AK1944="","",AK1944+2*AL1944)</f>
        <v>0</v>
      </c>
      <c r="AN1944">
        <f>IF(AK1944="","",AK1944-2*AL1944)</f>
        <v>0</v>
      </c>
      <c r="AO1944">
        <f>IF(OR(AM1944="",AN1944="",AM1944=AN1944),"",($E1944-AN1944)/(AM1944-AN1944))</f>
        <v>0</v>
      </c>
      <c r="AP1944">
        <f>IF(OR(AM1944="",AK1944="",AK1944=0),"",(AM1944-AN1944)/AK1944)</f>
        <v>0</v>
      </c>
      <c r="AQ1944">
        <f>IF(COUNT($E$2:$E1944)&lt;20,"",MAX($C$1925:$C$1944))</f>
        <v>0</v>
      </c>
      <c r="AR1944">
        <f>IF(COUNT($E$2:$E1944)&lt;20,"",MIN($D$1925:$D$1944))</f>
        <v>0</v>
      </c>
      <c r="AS1944">
        <f>IF(OR(AQ1944="",AR1944=""),"",(AQ1944+AR1944)/2)</f>
        <v>0</v>
      </c>
      <c r="AT1944">
        <f>IF(COUNT($G$1925:$G$1944)&lt;20,"",STDEV($G$1925:$G$1944)*SQRT(252))</f>
        <v>0</v>
      </c>
      <c r="AU1944">
        <f>IF(COUNT($E$2:$E1944)&lt;9,"",(MAX($C$1936:$C$1944)+MIN($D$1936:$D$1944))/2)</f>
        <v>0</v>
      </c>
      <c r="AV1944">
        <f>IF(COUNT($E$2:$E1944)&lt;26,"",(MAX($C$1919:$C$1944)+MIN($D$1919:$D$1944))/2)</f>
        <v>0</v>
      </c>
      <c r="AW1944">
        <f>IF(OR(AU1944="",AV1944=""),"",(AU1944+AV1944)/2)</f>
        <v>0</v>
      </c>
      <c r="AX1944">
        <f>IF(COUNT($E$2:$E1944)&lt;52,"",(MAX($C$1893:$C$1944)+MIN($D$1893:$D$1944))/2)</f>
        <v>0</v>
      </c>
      <c r="AY1944">
        <f>IF(COUNT($E$2:$E1944)&lt;20,"",MAX($C$1845:$C$1944))</f>
        <v>0</v>
      </c>
      <c r="AZ1944">
        <f>IF(COUNT($E$2:$E1944)&lt;20,"",MIN($D$1845:$D$1944))</f>
        <v>0</v>
      </c>
      <c r="BA1944">
        <f>IF(COUNT($E$2:$E1944)&lt;20,"",SLOPE($E$1845:$E$1944,$F$1845:$F$1944))</f>
        <v>0</v>
      </c>
      <c r="BB1944">
        <f>IF(COUNT($E$2:$E1944)&lt;20,"",INTERCEPT($E$1845:$E$1944,$F$1845:$F$1944))</f>
        <v>0</v>
      </c>
      <c r="BC1944">
        <f>IF(OR(BA1944="",BB1944=""),"",BB1944+BA1944*F1944)</f>
        <v>0</v>
      </c>
      <c r="BD1944">
        <f>IF(COUNT($E$2:$E1944)&lt;20,"",STEYX($E$1845:$E$1944,$F$1845:$F$1944))</f>
        <v>0</v>
      </c>
      <c r="BE1944">
        <f>IF($E1944="","",IF(AND(COUNT($E$1945:$E$1948)&gt;=4,$C1944=MAX($C$1940:$C$1948)),$C1944,""))</f>
        <v>0</v>
      </c>
      <c r="BF1944">
        <f>IF($E1944="","",IF(AND(COUNT($E$1945:$E$1948)&gt;=4,$D1944=MIN($D$1940:$D$1948)),$D1944,""))</f>
        <v>0</v>
      </c>
      <c r="BG1944">
        <f>IF($A1944="","",$A1944-WEEKDAY($A1944,2)+1)</f>
        <v>0</v>
      </c>
      <c r="BH1944">
        <f>IF($A1944="","",IF($A1943="",1,IF(BG1944&lt;&gt;BG1943,1,0)))</f>
        <v>0</v>
      </c>
      <c r="BI1944">
        <f>IF($A1944="","",IF($A1945="",1,IF(BG1945&lt;&gt;BG1944,1,0)))</f>
        <v>0</v>
      </c>
      <c r="BJ1944">
        <f>IF($A1944="","",IF(BH1944=1,$B1944,BJ1943))</f>
        <v>0</v>
      </c>
      <c r="BK1944">
        <f>IF($A1944="","",IF(BH1944=1,$C1944,MAX($C1944,BK1943)))</f>
        <v>0</v>
      </c>
      <c r="BL1944">
        <f>IF($A1944="","",IF(BH1944=1,$D1944,MIN($D1944,BL1943)))</f>
        <v>0</v>
      </c>
      <c r="BM1944">
        <f>IF($A1944="","",IF(BI1944=1,F1944,""))</f>
        <v>0</v>
      </c>
      <c r="BN1944">
        <f>IF($A1944="","",DATE(YEAR($A1944),MONTH($A1944),1))</f>
        <v>0</v>
      </c>
      <c r="BO1944">
        <f>IF($A1944="","",IF($A1943="",1,IF(BN1944&lt;&gt;BN1943,1,0)))</f>
        <v>0</v>
      </c>
      <c r="BP1944">
        <f>IF($A1944="","",IF($A1945="",1,IF(BN1945&lt;&gt;BN1944,1,0)))</f>
        <v>0</v>
      </c>
      <c r="BQ1944">
        <f>IF($A1944="","",IF(BO1944=1,$B1944,BQ1943))</f>
        <v>0</v>
      </c>
      <c r="BR1944">
        <f>IF($A1944="","",IF(BO1944=1,$C1944,MAX($C1944,BR1943)))</f>
        <v>0</v>
      </c>
      <c r="BS1944">
        <f>IF($A1944="","",IF(BO1944=1,$D1944,MIN($D1944,BS1943)))</f>
        <v>0</v>
      </c>
      <c r="BT1944">
        <f>IF($A1944="","",IF(BP1944=1,F1944,""))</f>
        <v>0</v>
      </c>
    </row>
    <row r="1945" spans="1:72">
      <c r="A1945" s="27">
        <f>IF(Data!$A1945="","",Data!$A1945)</f>
        <v>0</v>
      </c>
      <c r="B1945">
        <f>IF(Data!$B1945="","",Data!$B1945)</f>
        <v>0</v>
      </c>
      <c r="C1945">
        <f>IF(Data!$C1945="","",Data!$C1945)</f>
        <v>0</v>
      </c>
      <c r="D1945">
        <f>IF(Data!$D1945="","",Data!$D1945)</f>
        <v>0</v>
      </c>
      <c r="E1945">
        <f>IF(Data!$E1945="","",Data!$E1945)</f>
        <v>0</v>
      </c>
      <c r="F1945">
        <f>IF($E1945="","",N(F1944)+1)</f>
        <v>0</v>
      </c>
      <c r="G1945">
        <f>IF(OR($E1945="",$E1944=""),"",LN($E1945/$E1944))</f>
        <v>0</v>
      </c>
      <c r="H1945">
        <f>IF($E1945="","",IF($E1944="",$E1945,$E1945*0.0952380952+H1944*0.9047619048))</f>
        <v>0</v>
      </c>
      <c r="I1945">
        <f>IF($E1945="","",IF($E1944="",$E1945,$E1945*0.0392156863+I1944*0.9607843137))</f>
        <v>0</v>
      </c>
      <c r="J1945">
        <f>IF($E1945="","",IF($E1944="",$E1945,$E1945*0.0198019802+J1944*0.9801980198))</f>
        <v>0</v>
      </c>
      <c r="K1945">
        <f>IF($E1945="","",IF($E1944="",$E1945,$E1945*0.0099502488+K1944*0.9900497512))</f>
        <v>0</v>
      </c>
      <c r="L1945">
        <f>IF(OR($E1945="",$E1944=""),"",MAX($E1945-$E1944,0))</f>
        <v>0</v>
      </c>
      <c r="M1945">
        <f>IF(OR($E1945="",$E1944=""),"",MAX($E1944-$E1945,0))</f>
        <v>0</v>
      </c>
      <c r="N1945">
        <f>IF(COUNT($E$2:$E1945)&lt;15,"",IF(AVERAGE($M$1932:$M$1945)=0,100,100-100/(1+AVERAGE($L$1932:$L$1945)/AVERAGE($M$1932:$M$1945))))</f>
        <v>0</v>
      </c>
      <c r="O1945">
        <f>IF($E1945="","",IF($E1944="",$E1945,$E1945*0.1538461538+O1944*0.8461538462))</f>
        <v>0</v>
      </c>
      <c r="P1945">
        <f>IF($E1945="","",IF($E1944="",$E1945,$E1945*0.0740740741+P1944*0.9259259259))</f>
        <v>0</v>
      </c>
      <c r="Q1945">
        <f>IF(OR(O1945="",P1945=""),"",O1945-P1945)</f>
        <v>0</v>
      </c>
      <c r="R1945">
        <f>IF(Q1945="","",IF(R1944="",Q1945,Q1945*0.2000000000+R1944*0.8000000000))</f>
        <v>0</v>
      </c>
      <c r="S1945">
        <f>IF(OR(Q1945="",R1945=""),"",Q1945-R1945)</f>
        <v>0</v>
      </c>
      <c r="T1945">
        <f>IF(COUNT($E$2:$E1945)&lt;14,"",MAX($C$1932:$C$1945))</f>
        <v>0</v>
      </c>
      <c r="U1945">
        <f>IF(COUNT($E$2:$E1945)&lt;14,"",MIN($D$1932:$D$1945))</f>
        <v>0</v>
      </c>
      <c r="V1945">
        <f>IF(OR(T1945="",U1945="",T1945=U1945),"",100*($E1945-U1945)/(T1945-U1945))</f>
        <v>0</v>
      </c>
      <c r="W1945">
        <f>IF(COUNT($V$1943:$V$1945)&lt;3,"",AVERAGE($V$1943:$V$1945))</f>
        <v>0</v>
      </c>
      <c r="X1945">
        <f>IF(COUNT($N$1932:$N$1945)&lt;14,"",MIN($N$1932:$N$1945))</f>
        <v>0</v>
      </c>
      <c r="Y1945">
        <f>IF(COUNT($N$1932:$N$1945)&lt;14,"",MAX($N$1932:$N$1945))</f>
        <v>0</v>
      </c>
      <c r="Z1945">
        <f>IF(OR(N1945="",X1945="",Y1945="",Y1945=X1945),"",100*(N1945-X1945)/(Y1945-X1945))</f>
        <v>0</v>
      </c>
      <c r="AA1945">
        <f>IF(COUNT($Z$1943:$Z$1945)&lt;3,"",AVERAGE($Z$1943:$Z$1945))</f>
        <v>0</v>
      </c>
      <c r="AB1945">
        <f>IF(COUNT($AA$1943:$AA$1945)&lt;3,"",AVERAGE($AA$1943:$AA$1945))</f>
        <v>0</v>
      </c>
      <c r="AC1945">
        <f>IF($E1945="","",MAX($C1945-$D1945,ABS($C1945-$E1944),ABS($D1945-$E1944)))</f>
        <v>0</v>
      </c>
      <c r="AD1945">
        <f>IF(COUNT($E$2:$E1945)&lt;15,"",AVERAGE($AC$1932:$AC$1945))</f>
        <v>0</v>
      </c>
      <c r="AE1945">
        <f>IF(OR($E1945="",$E1944=""),"",IF(AND(($C1945-$C1944)&gt;($D1944-$D1945),($C1945-$C1944)&gt;0),$C1945-$C1944,0))</f>
        <v>0</v>
      </c>
      <c r="AF1945">
        <f>IF(OR($E1945="",$E1944=""),"",IF(AND(($D1944-$D1945)&gt;($C1945-$C1944),($D1944-$D1945)&gt;0),$D1944-$D1945,0))</f>
        <v>0</v>
      </c>
      <c r="AG1945">
        <f>IF(COUNT($E$2:$E1945)&lt;15,"",IF(SUM($AC$1932:$AC$1945)=0,0,100*SUM($AE$1932:$AE$1945)/SUM($AC$1932:$AC$1945)))</f>
        <v>0</v>
      </c>
      <c r="AH1945">
        <f>IF(COUNT($E$2:$E1945)&lt;15,"",IF(SUM($AC$1932:$AC$1945)=0,0,100*SUM($AF$1932:$AF$1945)/SUM($AC$1932:$AC$1945)))</f>
        <v>0</v>
      </c>
      <c r="AI1945">
        <f>IF(OR(AG1945="",AH1945=""),"",IF((AG1945+AH1945)=0,0,100*ABS(AG1945-AH1945)/(AG1945+AH1945)))</f>
        <v>0</v>
      </c>
      <c r="AJ1945">
        <f>IF(COUNT($AI$1932:$AI$1945)&lt;14,"",AVERAGE($AI$1932:$AI$1945))</f>
        <v>0</v>
      </c>
      <c r="AK1945">
        <f>IF(COUNT($E$2:$E1945)&lt;20,"",AVERAGE($E$1926:$E$1945))</f>
        <v>0</v>
      </c>
      <c r="AL1945">
        <f>IF(COUNT($E$2:$E1945)&lt;20,"",STDEVP($E$1926:$E$1945))</f>
        <v>0</v>
      </c>
      <c r="AM1945">
        <f>IF(AK1945="","",AK1945+2*AL1945)</f>
        <v>0</v>
      </c>
      <c r="AN1945">
        <f>IF(AK1945="","",AK1945-2*AL1945)</f>
        <v>0</v>
      </c>
      <c r="AO1945">
        <f>IF(OR(AM1945="",AN1945="",AM1945=AN1945),"",($E1945-AN1945)/(AM1945-AN1945))</f>
        <v>0</v>
      </c>
      <c r="AP1945">
        <f>IF(OR(AM1945="",AK1945="",AK1945=0),"",(AM1945-AN1945)/AK1945)</f>
        <v>0</v>
      </c>
      <c r="AQ1945">
        <f>IF(COUNT($E$2:$E1945)&lt;20,"",MAX($C$1926:$C$1945))</f>
        <v>0</v>
      </c>
      <c r="AR1945">
        <f>IF(COUNT($E$2:$E1945)&lt;20,"",MIN($D$1926:$D$1945))</f>
        <v>0</v>
      </c>
      <c r="AS1945">
        <f>IF(OR(AQ1945="",AR1945=""),"",(AQ1945+AR1945)/2)</f>
        <v>0</v>
      </c>
      <c r="AT1945">
        <f>IF(COUNT($G$1926:$G$1945)&lt;20,"",STDEV($G$1926:$G$1945)*SQRT(252))</f>
        <v>0</v>
      </c>
      <c r="AU1945">
        <f>IF(COUNT($E$2:$E1945)&lt;9,"",(MAX($C$1937:$C$1945)+MIN($D$1937:$D$1945))/2)</f>
        <v>0</v>
      </c>
      <c r="AV1945">
        <f>IF(COUNT($E$2:$E1945)&lt;26,"",(MAX($C$1920:$C$1945)+MIN($D$1920:$D$1945))/2)</f>
        <v>0</v>
      </c>
      <c r="AW1945">
        <f>IF(OR(AU1945="",AV1945=""),"",(AU1945+AV1945)/2)</f>
        <v>0</v>
      </c>
      <c r="AX1945">
        <f>IF(COUNT($E$2:$E1945)&lt;52,"",(MAX($C$1894:$C$1945)+MIN($D$1894:$D$1945))/2)</f>
        <v>0</v>
      </c>
      <c r="AY1945">
        <f>IF(COUNT($E$2:$E1945)&lt;20,"",MAX($C$1846:$C$1945))</f>
        <v>0</v>
      </c>
      <c r="AZ1945">
        <f>IF(COUNT($E$2:$E1945)&lt;20,"",MIN($D$1846:$D$1945))</f>
        <v>0</v>
      </c>
      <c r="BA1945">
        <f>IF(COUNT($E$2:$E1945)&lt;20,"",SLOPE($E$1846:$E$1945,$F$1846:$F$1945))</f>
        <v>0</v>
      </c>
      <c r="BB1945">
        <f>IF(COUNT($E$2:$E1945)&lt;20,"",INTERCEPT($E$1846:$E$1945,$F$1846:$F$1945))</f>
        <v>0</v>
      </c>
      <c r="BC1945">
        <f>IF(OR(BA1945="",BB1945=""),"",BB1945+BA1945*F1945)</f>
        <v>0</v>
      </c>
      <c r="BD1945">
        <f>IF(COUNT($E$2:$E1945)&lt;20,"",STEYX($E$1846:$E$1945,$F$1846:$F$1945))</f>
        <v>0</v>
      </c>
      <c r="BE1945">
        <f>IF($E1945="","",IF(AND(COUNT($E$1946:$E$1949)&gt;=4,$C1945=MAX($C$1941:$C$1949)),$C1945,""))</f>
        <v>0</v>
      </c>
      <c r="BF1945">
        <f>IF($E1945="","",IF(AND(COUNT($E$1946:$E$1949)&gt;=4,$D1945=MIN($D$1941:$D$1949)),$D1945,""))</f>
        <v>0</v>
      </c>
      <c r="BG1945">
        <f>IF($A1945="","",$A1945-WEEKDAY($A1945,2)+1)</f>
        <v>0</v>
      </c>
      <c r="BH1945">
        <f>IF($A1945="","",IF($A1944="",1,IF(BG1945&lt;&gt;BG1944,1,0)))</f>
        <v>0</v>
      </c>
      <c r="BI1945">
        <f>IF($A1945="","",IF($A1946="",1,IF(BG1946&lt;&gt;BG1945,1,0)))</f>
        <v>0</v>
      </c>
      <c r="BJ1945">
        <f>IF($A1945="","",IF(BH1945=1,$B1945,BJ1944))</f>
        <v>0</v>
      </c>
      <c r="BK1945">
        <f>IF($A1945="","",IF(BH1945=1,$C1945,MAX($C1945,BK1944)))</f>
        <v>0</v>
      </c>
      <c r="BL1945">
        <f>IF($A1945="","",IF(BH1945=1,$D1945,MIN($D1945,BL1944)))</f>
        <v>0</v>
      </c>
      <c r="BM1945">
        <f>IF($A1945="","",IF(BI1945=1,F1945,""))</f>
        <v>0</v>
      </c>
      <c r="BN1945">
        <f>IF($A1945="","",DATE(YEAR($A1945),MONTH($A1945),1))</f>
        <v>0</v>
      </c>
      <c r="BO1945">
        <f>IF($A1945="","",IF($A1944="",1,IF(BN1945&lt;&gt;BN1944,1,0)))</f>
        <v>0</v>
      </c>
      <c r="BP1945">
        <f>IF($A1945="","",IF($A1946="",1,IF(BN1946&lt;&gt;BN1945,1,0)))</f>
        <v>0</v>
      </c>
      <c r="BQ1945">
        <f>IF($A1945="","",IF(BO1945=1,$B1945,BQ1944))</f>
        <v>0</v>
      </c>
      <c r="BR1945">
        <f>IF($A1945="","",IF(BO1945=1,$C1945,MAX($C1945,BR1944)))</f>
        <v>0</v>
      </c>
      <c r="BS1945">
        <f>IF($A1945="","",IF(BO1945=1,$D1945,MIN($D1945,BS1944)))</f>
        <v>0</v>
      </c>
      <c r="BT1945">
        <f>IF($A1945="","",IF(BP1945=1,F1945,""))</f>
        <v>0</v>
      </c>
    </row>
    <row r="1946" spans="1:72">
      <c r="A1946" s="27">
        <f>IF(Data!$A1946="","",Data!$A1946)</f>
        <v>0</v>
      </c>
      <c r="B1946">
        <f>IF(Data!$B1946="","",Data!$B1946)</f>
        <v>0</v>
      </c>
      <c r="C1946">
        <f>IF(Data!$C1946="","",Data!$C1946)</f>
        <v>0</v>
      </c>
      <c r="D1946">
        <f>IF(Data!$D1946="","",Data!$D1946)</f>
        <v>0</v>
      </c>
      <c r="E1946">
        <f>IF(Data!$E1946="","",Data!$E1946)</f>
        <v>0</v>
      </c>
      <c r="F1946">
        <f>IF($E1946="","",N(F1945)+1)</f>
        <v>0</v>
      </c>
      <c r="G1946">
        <f>IF(OR($E1946="",$E1945=""),"",LN($E1946/$E1945))</f>
        <v>0</v>
      </c>
      <c r="H1946">
        <f>IF($E1946="","",IF($E1945="",$E1946,$E1946*0.0952380952+H1945*0.9047619048))</f>
        <v>0</v>
      </c>
      <c r="I1946">
        <f>IF($E1946="","",IF($E1945="",$E1946,$E1946*0.0392156863+I1945*0.9607843137))</f>
        <v>0</v>
      </c>
      <c r="J1946">
        <f>IF($E1946="","",IF($E1945="",$E1946,$E1946*0.0198019802+J1945*0.9801980198))</f>
        <v>0</v>
      </c>
      <c r="K1946">
        <f>IF($E1946="","",IF($E1945="",$E1946,$E1946*0.0099502488+K1945*0.9900497512))</f>
        <v>0</v>
      </c>
      <c r="L1946">
        <f>IF(OR($E1946="",$E1945=""),"",MAX($E1946-$E1945,0))</f>
        <v>0</v>
      </c>
      <c r="M1946">
        <f>IF(OR($E1946="",$E1945=""),"",MAX($E1945-$E1946,0))</f>
        <v>0</v>
      </c>
      <c r="N1946">
        <f>IF(COUNT($E$2:$E1946)&lt;15,"",IF(AVERAGE($M$1933:$M$1946)=0,100,100-100/(1+AVERAGE($L$1933:$L$1946)/AVERAGE($M$1933:$M$1946))))</f>
        <v>0</v>
      </c>
      <c r="O1946">
        <f>IF($E1946="","",IF($E1945="",$E1946,$E1946*0.1538461538+O1945*0.8461538462))</f>
        <v>0</v>
      </c>
      <c r="P1946">
        <f>IF($E1946="","",IF($E1945="",$E1946,$E1946*0.0740740741+P1945*0.9259259259))</f>
        <v>0</v>
      </c>
      <c r="Q1946">
        <f>IF(OR(O1946="",P1946=""),"",O1946-P1946)</f>
        <v>0</v>
      </c>
      <c r="R1946">
        <f>IF(Q1946="","",IF(R1945="",Q1946,Q1946*0.2000000000+R1945*0.8000000000))</f>
        <v>0</v>
      </c>
      <c r="S1946">
        <f>IF(OR(Q1946="",R1946=""),"",Q1946-R1946)</f>
        <v>0</v>
      </c>
      <c r="T1946">
        <f>IF(COUNT($E$2:$E1946)&lt;14,"",MAX($C$1933:$C$1946))</f>
        <v>0</v>
      </c>
      <c r="U1946">
        <f>IF(COUNT($E$2:$E1946)&lt;14,"",MIN($D$1933:$D$1946))</f>
        <v>0</v>
      </c>
      <c r="V1946">
        <f>IF(OR(T1946="",U1946="",T1946=U1946),"",100*($E1946-U1946)/(T1946-U1946))</f>
        <v>0</v>
      </c>
      <c r="W1946">
        <f>IF(COUNT($V$1944:$V$1946)&lt;3,"",AVERAGE($V$1944:$V$1946))</f>
        <v>0</v>
      </c>
      <c r="X1946">
        <f>IF(COUNT($N$1933:$N$1946)&lt;14,"",MIN($N$1933:$N$1946))</f>
        <v>0</v>
      </c>
      <c r="Y1946">
        <f>IF(COUNT($N$1933:$N$1946)&lt;14,"",MAX($N$1933:$N$1946))</f>
        <v>0</v>
      </c>
      <c r="Z1946">
        <f>IF(OR(N1946="",X1946="",Y1946="",Y1946=X1946),"",100*(N1946-X1946)/(Y1946-X1946))</f>
        <v>0</v>
      </c>
      <c r="AA1946">
        <f>IF(COUNT($Z$1944:$Z$1946)&lt;3,"",AVERAGE($Z$1944:$Z$1946))</f>
        <v>0</v>
      </c>
      <c r="AB1946">
        <f>IF(COUNT($AA$1944:$AA$1946)&lt;3,"",AVERAGE($AA$1944:$AA$1946))</f>
        <v>0</v>
      </c>
      <c r="AC1946">
        <f>IF($E1946="","",MAX($C1946-$D1946,ABS($C1946-$E1945),ABS($D1946-$E1945)))</f>
        <v>0</v>
      </c>
      <c r="AD1946">
        <f>IF(COUNT($E$2:$E1946)&lt;15,"",AVERAGE($AC$1933:$AC$1946))</f>
        <v>0</v>
      </c>
      <c r="AE1946">
        <f>IF(OR($E1946="",$E1945=""),"",IF(AND(($C1946-$C1945)&gt;($D1945-$D1946),($C1946-$C1945)&gt;0),$C1946-$C1945,0))</f>
        <v>0</v>
      </c>
      <c r="AF1946">
        <f>IF(OR($E1946="",$E1945=""),"",IF(AND(($D1945-$D1946)&gt;($C1946-$C1945),($D1945-$D1946)&gt;0),$D1945-$D1946,0))</f>
        <v>0</v>
      </c>
      <c r="AG1946">
        <f>IF(COUNT($E$2:$E1946)&lt;15,"",IF(SUM($AC$1933:$AC$1946)=0,0,100*SUM($AE$1933:$AE$1946)/SUM($AC$1933:$AC$1946)))</f>
        <v>0</v>
      </c>
      <c r="AH1946">
        <f>IF(COUNT($E$2:$E1946)&lt;15,"",IF(SUM($AC$1933:$AC$1946)=0,0,100*SUM($AF$1933:$AF$1946)/SUM($AC$1933:$AC$1946)))</f>
        <v>0</v>
      </c>
      <c r="AI1946">
        <f>IF(OR(AG1946="",AH1946=""),"",IF((AG1946+AH1946)=0,0,100*ABS(AG1946-AH1946)/(AG1946+AH1946)))</f>
        <v>0</v>
      </c>
      <c r="AJ1946">
        <f>IF(COUNT($AI$1933:$AI$1946)&lt;14,"",AVERAGE($AI$1933:$AI$1946))</f>
        <v>0</v>
      </c>
      <c r="AK1946">
        <f>IF(COUNT($E$2:$E1946)&lt;20,"",AVERAGE($E$1927:$E$1946))</f>
        <v>0</v>
      </c>
      <c r="AL1946">
        <f>IF(COUNT($E$2:$E1946)&lt;20,"",STDEVP($E$1927:$E$1946))</f>
        <v>0</v>
      </c>
      <c r="AM1946">
        <f>IF(AK1946="","",AK1946+2*AL1946)</f>
        <v>0</v>
      </c>
      <c r="AN1946">
        <f>IF(AK1946="","",AK1946-2*AL1946)</f>
        <v>0</v>
      </c>
      <c r="AO1946">
        <f>IF(OR(AM1946="",AN1946="",AM1946=AN1946),"",($E1946-AN1946)/(AM1946-AN1946))</f>
        <v>0</v>
      </c>
      <c r="AP1946">
        <f>IF(OR(AM1946="",AK1946="",AK1946=0),"",(AM1946-AN1946)/AK1946)</f>
        <v>0</v>
      </c>
      <c r="AQ1946">
        <f>IF(COUNT($E$2:$E1946)&lt;20,"",MAX($C$1927:$C$1946))</f>
        <v>0</v>
      </c>
      <c r="AR1946">
        <f>IF(COUNT($E$2:$E1946)&lt;20,"",MIN($D$1927:$D$1946))</f>
        <v>0</v>
      </c>
      <c r="AS1946">
        <f>IF(OR(AQ1946="",AR1946=""),"",(AQ1946+AR1946)/2)</f>
        <v>0</v>
      </c>
      <c r="AT1946">
        <f>IF(COUNT($G$1927:$G$1946)&lt;20,"",STDEV($G$1927:$G$1946)*SQRT(252))</f>
        <v>0</v>
      </c>
      <c r="AU1946">
        <f>IF(COUNT($E$2:$E1946)&lt;9,"",(MAX($C$1938:$C$1946)+MIN($D$1938:$D$1946))/2)</f>
        <v>0</v>
      </c>
      <c r="AV1946">
        <f>IF(COUNT($E$2:$E1946)&lt;26,"",(MAX($C$1921:$C$1946)+MIN($D$1921:$D$1946))/2)</f>
        <v>0</v>
      </c>
      <c r="AW1946">
        <f>IF(OR(AU1946="",AV1946=""),"",(AU1946+AV1946)/2)</f>
        <v>0</v>
      </c>
      <c r="AX1946">
        <f>IF(COUNT($E$2:$E1946)&lt;52,"",(MAX($C$1895:$C$1946)+MIN($D$1895:$D$1946))/2)</f>
        <v>0</v>
      </c>
      <c r="AY1946">
        <f>IF(COUNT($E$2:$E1946)&lt;20,"",MAX($C$1847:$C$1946))</f>
        <v>0</v>
      </c>
      <c r="AZ1946">
        <f>IF(COUNT($E$2:$E1946)&lt;20,"",MIN($D$1847:$D$1946))</f>
        <v>0</v>
      </c>
      <c r="BA1946">
        <f>IF(COUNT($E$2:$E1946)&lt;20,"",SLOPE($E$1847:$E$1946,$F$1847:$F$1946))</f>
        <v>0</v>
      </c>
      <c r="BB1946">
        <f>IF(COUNT($E$2:$E1946)&lt;20,"",INTERCEPT($E$1847:$E$1946,$F$1847:$F$1946))</f>
        <v>0</v>
      </c>
      <c r="BC1946">
        <f>IF(OR(BA1946="",BB1946=""),"",BB1946+BA1946*F1946)</f>
        <v>0</v>
      </c>
      <c r="BD1946">
        <f>IF(COUNT($E$2:$E1946)&lt;20,"",STEYX($E$1847:$E$1946,$F$1847:$F$1946))</f>
        <v>0</v>
      </c>
      <c r="BE1946">
        <f>IF($E1946="","",IF(AND(COUNT($E$1947:$E$1950)&gt;=4,$C1946=MAX($C$1942:$C$1950)),$C1946,""))</f>
        <v>0</v>
      </c>
      <c r="BF1946">
        <f>IF($E1946="","",IF(AND(COUNT($E$1947:$E$1950)&gt;=4,$D1946=MIN($D$1942:$D$1950)),$D1946,""))</f>
        <v>0</v>
      </c>
      <c r="BG1946">
        <f>IF($A1946="","",$A1946-WEEKDAY($A1946,2)+1)</f>
        <v>0</v>
      </c>
      <c r="BH1946">
        <f>IF($A1946="","",IF($A1945="",1,IF(BG1946&lt;&gt;BG1945,1,0)))</f>
        <v>0</v>
      </c>
      <c r="BI1946">
        <f>IF($A1946="","",IF($A1947="",1,IF(BG1947&lt;&gt;BG1946,1,0)))</f>
        <v>0</v>
      </c>
      <c r="BJ1946">
        <f>IF($A1946="","",IF(BH1946=1,$B1946,BJ1945))</f>
        <v>0</v>
      </c>
      <c r="BK1946">
        <f>IF($A1946="","",IF(BH1946=1,$C1946,MAX($C1946,BK1945)))</f>
        <v>0</v>
      </c>
      <c r="BL1946">
        <f>IF($A1946="","",IF(BH1946=1,$D1946,MIN($D1946,BL1945)))</f>
        <v>0</v>
      </c>
      <c r="BM1946">
        <f>IF($A1946="","",IF(BI1946=1,F1946,""))</f>
        <v>0</v>
      </c>
      <c r="BN1946">
        <f>IF($A1946="","",DATE(YEAR($A1946),MONTH($A1946),1))</f>
        <v>0</v>
      </c>
      <c r="BO1946">
        <f>IF($A1946="","",IF($A1945="",1,IF(BN1946&lt;&gt;BN1945,1,0)))</f>
        <v>0</v>
      </c>
      <c r="BP1946">
        <f>IF($A1946="","",IF($A1947="",1,IF(BN1947&lt;&gt;BN1946,1,0)))</f>
        <v>0</v>
      </c>
      <c r="BQ1946">
        <f>IF($A1946="","",IF(BO1946=1,$B1946,BQ1945))</f>
        <v>0</v>
      </c>
      <c r="BR1946">
        <f>IF($A1946="","",IF(BO1946=1,$C1946,MAX($C1946,BR1945)))</f>
        <v>0</v>
      </c>
      <c r="BS1946">
        <f>IF($A1946="","",IF(BO1946=1,$D1946,MIN($D1946,BS1945)))</f>
        <v>0</v>
      </c>
      <c r="BT1946">
        <f>IF($A1946="","",IF(BP1946=1,F1946,""))</f>
        <v>0</v>
      </c>
    </row>
    <row r="1947" spans="1:72">
      <c r="A1947" s="27">
        <f>IF(Data!$A1947="","",Data!$A1947)</f>
        <v>0</v>
      </c>
      <c r="B1947">
        <f>IF(Data!$B1947="","",Data!$B1947)</f>
        <v>0</v>
      </c>
      <c r="C1947">
        <f>IF(Data!$C1947="","",Data!$C1947)</f>
        <v>0</v>
      </c>
      <c r="D1947">
        <f>IF(Data!$D1947="","",Data!$D1947)</f>
        <v>0</v>
      </c>
      <c r="E1947">
        <f>IF(Data!$E1947="","",Data!$E1947)</f>
        <v>0</v>
      </c>
      <c r="F1947">
        <f>IF($E1947="","",N(F1946)+1)</f>
        <v>0</v>
      </c>
      <c r="G1947">
        <f>IF(OR($E1947="",$E1946=""),"",LN($E1947/$E1946))</f>
        <v>0</v>
      </c>
      <c r="H1947">
        <f>IF($E1947="","",IF($E1946="",$E1947,$E1947*0.0952380952+H1946*0.9047619048))</f>
        <v>0</v>
      </c>
      <c r="I1947">
        <f>IF($E1947="","",IF($E1946="",$E1947,$E1947*0.0392156863+I1946*0.9607843137))</f>
        <v>0</v>
      </c>
      <c r="J1947">
        <f>IF($E1947="","",IF($E1946="",$E1947,$E1947*0.0198019802+J1946*0.9801980198))</f>
        <v>0</v>
      </c>
      <c r="K1947">
        <f>IF($E1947="","",IF($E1946="",$E1947,$E1947*0.0099502488+K1946*0.9900497512))</f>
        <v>0</v>
      </c>
      <c r="L1947">
        <f>IF(OR($E1947="",$E1946=""),"",MAX($E1947-$E1946,0))</f>
        <v>0</v>
      </c>
      <c r="M1947">
        <f>IF(OR($E1947="",$E1946=""),"",MAX($E1946-$E1947,0))</f>
        <v>0</v>
      </c>
      <c r="N1947">
        <f>IF(COUNT($E$2:$E1947)&lt;15,"",IF(AVERAGE($M$1934:$M$1947)=0,100,100-100/(1+AVERAGE($L$1934:$L$1947)/AVERAGE($M$1934:$M$1947))))</f>
        <v>0</v>
      </c>
      <c r="O1947">
        <f>IF($E1947="","",IF($E1946="",$E1947,$E1947*0.1538461538+O1946*0.8461538462))</f>
        <v>0</v>
      </c>
      <c r="P1947">
        <f>IF($E1947="","",IF($E1946="",$E1947,$E1947*0.0740740741+P1946*0.9259259259))</f>
        <v>0</v>
      </c>
      <c r="Q1947">
        <f>IF(OR(O1947="",P1947=""),"",O1947-P1947)</f>
        <v>0</v>
      </c>
      <c r="R1947">
        <f>IF(Q1947="","",IF(R1946="",Q1947,Q1947*0.2000000000+R1946*0.8000000000))</f>
        <v>0</v>
      </c>
      <c r="S1947">
        <f>IF(OR(Q1947="",R1947=""),"",Q1947-R1947)</f>
        <v>0</v>
      </c>
      <c r="T1947">
        <f>IF(COUNT($E$2:$E1947)&lt;14,"",MAX($C$1934:$C$1947))</f>
        <v>0</v>
      </c>
      <c r="U1947">
        <f>IF(COUNT($E$2:$E1947)&lt;14,"",MIN($D$1934:$D$1947))</f>
        <v>0</v>
      </c>
      <c r="V1947">
        <f>IF(OR(T1947="",U1947="",T1947=U1947),"",100*($E1947-U1947)/(T1947-U1947))</f>
        <v>0</v>
      </c>
      <c r="W1947">
        <f>IF(COUNT($V$1945:$V$1947)&lt;3,"",AVERAGE($V$1945:$V$1947))</f>
        <v>0</v>
      </c>
      <c r="X1947">
        <f>IF(COUNT($N$1934:$N$1947)&lt;14,"",MIN($N$1934:$N$1947))</f>
        <v>0</v>
      </c>
      <c r="Y1947">
        <f>IF(COUNT($N$1934:$N$1947)&lt;14,"",MAX($N$1934:$N$1947))</f>
        <v>0</v>
      </c>
      <c r="Z1947">
        <f>IF(OR(N1947="",X1947="",Y1947="",Y1947=X1947),"",100*(N1947-X1947)/(Y1947-X1947))</f>
        <v>0</v>
      </c>
      <c r="AA1947">
        <f>IF(COUNT($Z$1945:$Z$1947)&lt;3,"",AVERAGE($Z$1945:$Z$1947))</f>
        <v>0</v>
      </c>
      <c r="AB1947">
        <f>IF(COUNT($AA$1945:$AA$1947)&lt;3,"",AVERAGE($AA$1945:$AA$1947))</f>
        <v>0</v>
      </c>
      <c r="AC1947">
        <f>IF($E1947="","",MAX($C1947-$D1947,ABS($C1947-$E1946),ABS($D1947-$E1946)))</f>
        <v>0</v>
      </c>
      <c r="AD1947">
        <f>IF(COUNT($E$2:$E1947)&lt;15,"",AVERAGE($AC$1934:$AC$1947))</f>
        <v>0</v>
      </c>
      <c r="AE1947">
        <f>IF(OR($E1947="",$E1946=""),"",IF(AND(($C1947-$C1946)&gt;($D1946-$D1947),($C1947-$C1946)&gt;0),$C1947-$C1946,0))</f>
        <v>0</v>
      </c>
      <c r="AF1947">
        <f>IF(OR($E1947="",$E1946=""),"",IF(AND(($D1946-$D1947)&gt;($C1947-$C1946),($D1946-$D1947)&gt;0),$D1946-$D1947,0))</f>
        <v>0</v>
      </c>
      <c r="AG1947">
        <f>IF(COUNT($E$2:$E1947)&lt;15,"",IF(SUM($AC$1934:$AC$1947)=0,0,100*SUM($AE$1934:$AE$1947)/SUM($AC$1934:$AC$1947)))</f>
        <v>0</v>
      </c>
      <c r="AH1947">
        <f>IF(COUNT($E$2:$E1947)&lt;15,"",IF(SUM($AC$1934:$AC$1947)=0,0,100*SUM($AF$1934:$AF$1947)/SUM($AC$1934:$AC$1947)))</f>
        <v>0</v>
      </c>
      <c r="AI1947">
        <f>IF(OR(AG1947="",AH1947=""),"",IF((AG1947+AH1947)=0,0,100*ABS(AG1947-AH1947)/(AG1947+AH1947)))</f>
        <v>0</v>
      </c>
      <c r="AJ1947">
        <f>IF(COUNT($AI$1934:$AI$1947)&lt;14,"",AVERAGE($AI$1934:$AI$1947))</f>
        <v>0</v>
      </c>
      <c r="AK1947">
        <f>IF(COUNT($E$2:$E1947)&lt;20,"",AVERAGE($E$1928:$E$1947))</f>
        <v>0</v>
      </c>
      <c r="AL1947">
        <f>IF(COUNT($E$2:$E1947)&lt;20,"",STDEVP($E$1928:$E$1947))</f>
        <v>0</v>
      </c>
      <c r="AM1947">
        <f>IF(AK1947="","",AK1947+2*AL1947)</f>
        <v>0</v>
      </c>
      <c r="AN1947">
        <f>IF(AK1947="","",AK1947-2*AL1947)</f>
        <v>0</v>
      </c>
      <c r="AO1947">
        <f>IF(OR(AM1947="",AN1947="",AM1947=AN1947),"",($E1947-AN1947)/(AM1947-AN1947))</f>
        <v>0</v>
      </c>
      <c r="AP1947">
        <f>IF(OR(AM1947="",AK1947="",AK1947=0),"",(AM1947-AN1947)/AK1947)</f>
        <v>0</v>
      </c>
      <c r="AQ1947">
        <f>IF(COUNT($E$2:$E1947)&lt;20,"",MAX($C$1928:$C$1947))</f>
        <v>0</v>
      </c>
      <c r="AR1947">
        <f>IF(COUNT($E$2:$E1947)&lt;20,"",MIN($D$1928:$D$1947))</f>
        <v>0</v>
      </c>
      <c r="AS1947">
        <f>IF(OR(AQ1947="",AR1947=""),"",(AQ1947+AR1947)/2)</f>
        <v>0</v>
      </c>
      <c r="AT1947">
        <f>IF(COUNT($G$1928:$G$1947)&lt;20,"",STDEV($G$1928:$G$1947)*SQRT(252))</f>
        <v>0</v>
      </c>
      <c r="AU1947">
        <f>IF(COUNT($E$2:$E1947)&lt;9,"",(MAX($C$1939:$C$1947)+MIN($D$1939:$D$1947))/2)</f>
        <v>0</v>
      </c>
      <c r="AV1947">
        <f>IF(COUNT($E$2:$E1947)&lt;26,"",(MAX($C$1922:$C$1947)+MIN($D$1922:$D$1947))/2)</f>
        <v>0</v>
      </c>
      <c r="AW1947">
        <f>IF(OR(AU1947="",AV1947=""),"",(AU1947+AV1947)/2)</f>
        <v>0</v>
      </c>
      <c r="AX1947">
        <f>IF(COUNT($E$2:$E1947)&lt;52,"",(MAX($C$1896:$C$1947)+MIN($D$1896:$D$1947))/2)</f>
        <v>0</v>
      </c>
      <c r="AY1947">
        <f>IF(COUNT($E$2:$E1947)&lt;20,"",MAX($C$1848:$C$1947))</f>
        <v>0</v>
      </c>
      <c r="AZ1947">
        <f>IF(COUNT($E$2:$E1947)&lt;20,"",MIN($D$1848:$D$1947))</f>
        <v>0</v>
      </c>
      <c r="BA1947">
        <f>IF(COUNT($E$2:$E1947)&lt;20,"",SLOPE($E$1848:$E$1947,$F$1848:$F$1947))</f>
        <v>0</v>
      </c>
      <c r="BB1947">
        <f>IF(COUNT($E$2:$E1947)&lt;20,"",INTERCEPT($E$1848:$E$1947,$F$1848:$F$1947))</f>
        <v>0</v>
      </c>
      <c r="BC1947">
        <f>IF(OR(BA1947="",BB1947=""),"",BB1947+BA1947*F1947)</f>
        <v>0</v>
      </c>
      <c r="BD1947">
        <f>IF(COUNT($E$2:$E1947)&lt;20,"",STEYX($E$1848:$E$1947,$F$1848:$F$1947))</f>
        <v>0</v>
      </c>
      <c r="BE1947">
        <f>IF($E1947="","",IF(AND(COUNT($E$1948:$E$1951)&gt;=4,$C1947=MAX($C$1943:$C$1951)),$C1947,""))</f>
        <v>0</v>
      </c>
      <c r="BF1947">
        <f>IF($E1947="","",IF(AND(COUNT($E$1948:$E$1951)&gt;=4,$D1947=MIN($D$1943:$D$1951)),$D1947,""))</f>
        <v>0</v>
      </c>
      <c r="BG1947">
        <f>IF($A1947="","",$A1947-WEEKDAY($A1947,2)+1)</f>
        <v>0</v>
      </c>
      <c r="BH1947">
        <f>IF($A1947="","",IF($A1946="",1,IF(BG1947&lt;&gt;BG1946,1,0)))</f>
        <v>0</v>
      </c>
      <c r="BI1947">
        <f>IF($A1947="","",IF($A1948="",1,IF(BG1948&lt;&gt;BG1947,1,0)))</f>
        <v>0</v>
      </c>
      <c r="BJ1947">
        <f>IF($A1947="","",IF(BH1947=1,$B1947,BJ1946))</f>
        <v>0</v>
      </c>
      <c r="BK1947">
        <f>IF($A1947="","",IF(BH1947=1,$C1947,MAX($C1947,BK1946)))</f>
        <v>0</v>
      </c>
      <c r="BL1947">
        <f>IF($A1947="","",IF(BH1947=1,$D1947,MIN($D1947,BL1946)))</f>
        <v>0</v>
      </c>
      <c r="BM1947">
        <f>IF($A1947="","",IF(BI1947=1,F1947,""))</f>
        <v>0</v>
      </c>
      <c r="BN1947">
        <f>IF($A1947="","",DATE(YEAR($A1947),MONTH($A1947),1))</f>
        <v>0</v>
      </c>
      <c r="BO1947">
        <f>IF($A1947="","",IF($A1946="",1,IF(BN1947&lt;&gt;BN1946,1,0)))</f>
        <v>0</v>
      </c>
      <c r="BP1947">
        <f>IF($A1947="","",IF($A1948="",1,IF(BN1948&lt;&gt;BN1947,1,0)))</f>
        <v>0</v>
      </c>
      <c r="BQ1947">
        <f>IF($A1947="","",IF(BO1947=1,$B1947,BQ1946))</f>
        <v>0</v>
      </c>
      <c r="BR1947">
        <f>IF($A1947="","",IF(BO1947=1,$C1947,MAX($C1947,BR1946)))</f>
        <v>0</v>
      </c>
      <c r="BS1947">
        <f>IF($A1947="","",IF(BO1947=1,$D1947,MIN($D1947,BS1946)))</f>
        <v>0</v>
      </c>
      <c r="BT1947">
        <f>IF($A1947="","",IF(BP1947=1,F1947,""))</f>
        <v>0</v>
      </c>
    </row>
    <row r="1948" spans="1:72">
      <c r="A1948" s="27">
        <f>IF(Data!$A1948="","",Data!$A1948)</f>
        <v>0</v>
      </c>
      <c r="B1948">
        <f>IF(Data!$B1948="","",Data!$B1948)</f>
        <v>0</v>
      </c>
      <c r="C1948">
        <f>IF(Data!$C1948="","",Data!$C1948)</f>
        <v>0</v>
      </c>
      <c r="D1948">
        <f>IF(Data!$D1948="","",Data!$D1948)</f>
        <v>0</v>
      </c>
      <c r="E1948">
        <f>IF(Data!$E1948="","",Data!$E1948)</f>
        <v>0</v>
      </c>
      <c r="F1948">
        <f>IF($E1948="","",N(F1947)+1)</f>
        <v>0</v>
      </c>
      <c r="G1948">
        <f>IF(OR($E1948="",$E1947=""),"",LN($E1948/$E1947))</f>
        <v>0</v>
      </c>
      <c r="H1948">
        <f>IF($E1948="","",IF($E1947="",$E1948,$E1948*0.0952380952+H1947*0.9047619048))</f>
        <v>0</v>
      </c>
      <c r="I1948">
        <f>IF($E1948="","",IF($E1947="",$E1948,$E1948*0.0392156863+I1947*0.9607843137))</f>
        <v>0</v>
      </c>
      <c r="J1948">
        <f>IF($E1948="","",IF($E1947="",$E1948,$E1948*0.0198019802+J1947*0.9801980198))</f>
        <v>0</v>
      </c>
      <c r="K1948">
        <f>IF($E1948="","",IF($E1947="",$E1948,$E1948*0.0099502488+K1947*0.9900497512))</f>
        <v>0</v>
      </c>
      <c r="L1948">
        <f>IF(OR($E1948="",$E1947=""),"",MAX($E1948-$E1947,0))</f>
        <v>0</v>
      </c>
      <c r="M1948">
        <f>IF(OR($E1948="",$E1947=""),"",MAX($E1947-$E1948,0))</f>
        <v>0</v>
      </c>
      <c r="N1948">
        <f>IF(COUNT($E$2:$E1948)&lt;15,"",IF(AVERAGE($M$1935:$M$1948)=0,100,100-100/(1+AVERAGE($L$1935:$L$1948)/AVERAGE($M$1935:$M$1948))))</f>
        <v>0</v>
      </c>
      <c r="O1948">
        <f>IF($E1948="","",IF($E1947="",$E1948,$E1948*0.1538461538+O1947*0.8461538462))</f>
        <v>0</v>
      </c>
      <c r="P1948">
        <f>IF($E1948="","",IF($E1947="",$E1948,$E1948*0.0740740741+P1947*0.9259259259))</f>
        <v>0</v>
      </c>
      <c r="Q1948">
        <f>IF(OR(O1948="",P1948=""),"",O1948-P1948)</f>
        <v>0</v>
      </c>
      <c r="R1948">
        <f>IF(Q1948="","",IF(R1947="",Q1948,Q1948*0.2000000000+R1947*0.8000000000))</f>
        <v>0</v>
      </c>
      <c r="S1948">
        <f>IF(OR(Q1948="",R1948=""),"",Q1948-R1948)</f>
        <v>0</v>
      </c>
      <c r="T1948">
        <f>IF(COUNT($E$2:$E1948)&lt;14,"",MAX($C$1935:$C$1948))</f>
        <v>0</v>
      </c>
      <c r="U1948">
        <f>IF(COUNT($E$2:$E1948)&lt;14,"",MIN($D$1935:$D$1948))</f>
        <v>0</v>
      </c>
      <c r="V1948">
        <f>IF(OR(T1948="",U1948="",T1948=U1948),"",100*($E1948-U1948)/(T1948-U1948))</f>
        <v>0</v>
      </c>
      <c r="W1948">
        <f>IF(COUNT($V$1946:$V$1948)&lt;3,"",AVERAGE($V$1946:$V$1948))</f>
        <v>0</v>
      </c>
      <c r="X1948">
        <f>IF(COUNT($N$1935:$N$1948)&lt;14,"",MIN($N$1935:$N$1948))</f>
        <v>0</v>
      </c>
      <c r="Y1948">
        <f>IF(COUNT($N$1935:$N$1948)&lt;14,"",MAX($N$1935:$N$1948))</f>
        <v>0</v>
      </c>
      <c r="Z1948">
        <f>IF(OR(N1948="",X1948="",Y1948="",Y1948=X1948),"",100*(N1948-X1948)/(Y1948-X1948))</f>
        <v>0</v>
      </c>
      <c r="AA1948">
        <f>IF(COUNT($Z$1946:$Z$1948)&lt;3,"",AVERAGE($Z$1946:$Z$1948))</f>
        <v>0</v>
      </c>
      <c r="AB1948">
        <f>IF(COUNT($AA$1946:$AA$1948)&lt;3,"",AVERAGE($AA$1946:$AA$1948))</f>
        <v>0</v>
      </c>
      <c r="AC1948">
        <f>IF($E1948="","",MAX($C1948-$D1948,ABS($C1948-$E1947),ABS($D1948-$E1947)))</f>
        <v>0</v>
      </c>
      <c r="AD1948">
        <f>IF(COUNT($E$2:$E1948)&lt;15,"",AVERAGE($AC$1935:$AC$1948))</f>
        <v>0</v>
      </c>
      <c r="AE1948">
        <f>IF(OR($E1948="",$E1947=""),"",IF(AND(($C1948-$C1947)&gt;($D1947-$D1948),($C1948-$C1947)&gt;0),$C1948-$C1947,0))</f>
        <v>0</v>
      </c>
      <c r="AF1948">
        <f>IF(OR($E1948="",$E1947=""),"",IF(AND(($D1947-$D1948)&gt;($C1948-$C1947),($D1947-$D1948)&gt;0),$D1947-$D1948,0))</f>
        <v>0</v>
      </c>
      <c r="AG1948">
        <f>IF(COUNT($E$2:$E1948)&lt;15,"",IF(SUM($AC$1935:$AC$1948)=0,0,100*SUM($AE$1935:$AE$1948)/SUM($AC$1935:$AC$1948)))</f>
        <v>0</v>
      </c>
      <c r="AH1948">
        <f>IF(COUNT($E$2:$E1948)&lt;15,"",IF(SUM($AC$1935:$AC$1948)=0,0,100*SUM($AF$1935:$AF$1948)/SUM($AC$1935:$AC$1948)))</f>
        <v>0</v>
      </c>
      <c r="AI1948">
        <f>IF(OR(AG1948="",AH1948=""),"",IF((AG1948+AH1948)=0,0,100*ABS(AG1948-AH1948)/(AG1948+AH1948)))</f>
        <v>0</v>
      </c>
      <c r="AJ1948">
        <f>IF(COUNT($AI$1935:$AI$1948)&lt;14,"",AVERAGE($AI$1935:$AI$1948))</f>
        <v>0</v>
      </c>
      <c r="AK1948">
        <f>IF(COUNT($E$2:$E1948)&lt;20,"",AVERAGE($E$1929:$E$1948))</f>
        <v>0</v>
      </c>
      <c r="AL1948">
        <f>IF(COUNT($E$2:$E1948)&lt;20,"",STDEVP($E$1929:$E$1948))</f>
        <v>0</v>
      </c>
      <c r="AM1948">
        <f>IF(AK1948="","",AK1948+2*AL1948)</f>
        <v>0</v>
      </c>
      <c r="AN1948">
        <f>IF(AK1948="","",AK1948-2*AL1948)</f>
        <v>0</v>
      </c>
      <c r="AO1948">
        <f>IF(OR(AM1948="",AN1948="",AM1948=AN1948),"",($E1948-AN1948)/(AM1948-AN1948))</f>
        <v>0</v>
      </c>
      <c r="AP1948">
        <f>IF(OR(AM1948="",AK1948="",AK1948=0),"",(AM1948-AN1948)/AK1948)</f>
        <v>0</v>
      </c>
      <c r="AQ1948">
        <f>IF(COUNT($E$2:$E1948)&lt;20,"",MAX($C$1929:$C$1948))</f>
        <v>0</v>
      </c>
      <c r="AR1948">
        <f>IF(COUNT($E$2:$E1948)&lt;20,"",MIN($D$1929:$D$1948))</f>
        <v>0</v>
      </c>
      <c r="AS1948">
        <f>IF(OR(AQ1948="",AR1948=""),"",(AQ1948+AR1948)/2)</f>
        <v>0</v>
      </c>
      <c r="AT1948">
        <f>IF(COUNT($G$1929:$G$1948)&lt;20,"",STDEV($G$1929:$G$1948)*SQRT(252))</f>
        <v>0</v>
      </c>
      <c r="AU1948">
        <f>IF(COUNT($E$2:$E1948)&lt;9,"",(MAX($C$1940:$C$1948)+MIN($D$1940:$D$1948))/2)</f>
        <v>0</v>
      </c>
      <c r="AV1948">
        <f>IF(COUNT($E$2:$E1948)&lt;26,"",(MAX($C$1923:$C$1948)+MIN($D$1923:$D$1948))/2)</f>
        <v>0</v>
      </c>
      <c r="AW1948">
        <f>IF(OR(AU1948="",AV1948=""),"",(AU1948+AV1948)/2)</f>
        <v>0</v>
      </c>
      <c r="AX1948">
        <f>IF(COUNT($E$2:$E1948)&lt;52,"",(MAX($C$1897:$C$1948)+MIN($D$1897:$D$1948))/2)</f>
        <v>0</v>
      </c>
      <c r="AY1948">
        <f>IF(COUNT($E$2:$E1948)&lt;20,"",MAX($C$1849:$C$1948))</f>
        <v>0</v>
      </c>
      <c r="AZ1948">
        <f>IF(COUNT($E$2:$E1948)&lt;20,"",MIN($D$1849:$D$1948))</f>
        <v>0</v>
      </c>
      <c r="BA1948">
        <f>IF(COUNT($E$2:$E1948)&lt;20,"",SLOPE($E$1849:$E$1948,$F$1849:$F$1948))</f>
        <v>0</v>
      </c>
      <c r="BB1948">
        <f>IF(COUNT($E$2:$E1948)&lt;20,"",INTERCEPT($E$1849:$E$1948,$F$1849:$F$1948))</f>
        <v>0</v>
      </c>
      <c r="BC1948">
        <f>IF(OR(BA1948="",BB1948=""),"",BB1948+BA1948*F1948)</f>
        <v>0</v>
      </c>
      <c r="BD1948">
        <f>IF(COUNT($E$2:$E1948)&lt;20,"",STEYX($E$1849:$E$1948,$F$1849:$F$1948))</f>
        <v>0</v>
      </c>
      <c r="BE1948">
        <f>IF($E1948="","",IF(AND(COUNT($E$1949:$E$1952)&gt;=4,$C1948=MAX($C$1944:$C$1952)),$C1948,""))</f>
        <v>0</v>
      </c>
      <c r="BF1948">
        <f>IF($E1948="","",IF(AND(COUNT($E$1949:$E$1952)&gt;=4,$D1948=MIN($D$1944:$D$1952)),$D1948,""))</f>
        <v>0</v>
      </c>
      <c r="BG1948">
        <f>IF($A1948="","",$A1948-WEEKDAY($A1948,2)+1)</f>
        <v>0</v>
      </c>
      <c r="BH1948">
        <f>IF($A1948="","",IF($A1947="",1,IF(BG1948&lt;&gt;BG1947,1,0)))</f>
        <v>0</v>
      </c>
      <c r="BI1948">
        <f>IF($A1948="","",IF($A1949="",1,IF(BG1949&lt;&gt;BG1948,1,0)))</f>
        <v>0</v>
      </c>
      <c r="BJ1948">
        <f>IF($A1948="","",IF(BH1948=1,$B1948,BJ1947))</f>
        <v>0</v>
      </c>
      <c r="BK1948">
        <f>IF($A1948="","",IF(BH1948=1,$C1948,MAX($C1948,BK1947)))</f>
        <v>0</v>
      </c>
      <c r="BL1948">
        <f>IF($A1948="","",IF(BH1948=1,$D1948,MIN($D1948,BL1947)))</f>
        <v>0</v>
      </c>
      <c r="BM1948">
        <f>IF($A1948="","",IF(BI1948=1,F1948,""))</f>
        <v>0</v>
      </c>
      <c r="BN1948">
        <f>IF($A1948="","",DATE(YEAR($A1948),MONTH($A1948),1))</f>
        <v>0</v>
      </c>
      <c r="BO1948">
        <f>IF($A1948="","",IF($A1947="",1,IF(BN1948&lt;&gt;BN1947,1,0)))</f>
        <v>0</v>
      </c>
      <c r="BP1948">
        <f>IF($A1948="","",IF($A1949="",1,IF(BN1949&lt;&gt;BN1948,1,0)))</f>
        <v>0</v>
      </c>
      <c r="BQ1948">
        <f>IF($A1948="","",IF(BO1948=1,$B1948,BQ1947))</f>
        <v>0</v>
      </c>
      <c r="BR1948">
        <f>IF($A1948="","",IF(BO1948=1,$C1948,MAX($C1948,BR1947)))</f>
        <v>0</v>
      </c>
      <c r="BS1948">
        <f>IF($A1948="","",IF(BO1948=1,$D1948,MIN($D1948,BS1947)))</f>
        <v>0</v>
      </c>
      <c r="BT1948">
        <f>IF($A1948="","",IF(BP1948=1,F1948,""))</f>
        <v>0</v>
      </c>
    </row>
    <row r="1949" spans="1:72">
      <c r="A1949" s="27">
        <f>IF(Data!$A1949="","",Data!$A1949)</f>
        <v>0</v>
      </c>
      <c r="B1949">
        <f>IF(Data!$B1949="","",Data!$B1949)</f>
        <v>0</v>
      </c>
      <c r="C1949">
        <f>IF(Data!$C1949="","",Data!$C1949)</f>
        <v>0</v>
      </c>
      <c r="D1949">
        <f>IF(Data!$D1949="","",Data!$D1949)</f>
        <v>0</v>
      </c>
      <c r="E1949">
        <f>IF(Data!$E1949="","",Data!$E1949)</f>
        <v>0</v>
      </c>
      <c r="F1949">
        <f>IF($E1949="","",N(F1948)+1)</f>
        <v>0</v>
      </c>
      <c r="G1949">
        <f>IF(OR($E1949="",$E1948=""),"",LN($E1949/$E1948))</f>
        <v>0</v>
      </c>
      <c r="H1949">
        <f>IF($E1949="","",IF($E1948="",$E1949,$E1949*0.0952380952+H1948*0.9047619048))</f>
        <v>0</v>
      </c>
      <c r="I1949">
        <f>IF($E1949="","",IF($E1948="",$E1949,$E1949*0.0392156863+I1948*0.9607843137))</f>
        <v>0</v>
      </c>
      <c r="J1949">
        <f>IF($E1949="","",IF($E1948="",$E1949,$E1949*0.0198019802+J1948*0.9801980198))</f>
        <v>0</v>
      </c>
      <c r="K1949">
        <f>IF($E1949="","",IF($E1948="",$E1949,$E1949*0.0099502488+K1948*0.9900497512))</f>
        <v>0</v>
      </c>
      <c r="L1949">
        <f>IF(OR($E1949="",$E1948=""),"",MAX($E1949-$E1948,0))</f>
        <v>0</v>
      </c>
      <c r="M1949">
        <f>IF(OR($E1949="",$E1948=""),"",MAX($E1948-$E1949,0))</f>
        <v>0</v>
      </c>
      <c r="N1949">
        <f>IF(COUNT($E$2:$E1949)&lt;15,"",IF(AVERAGE($M$1936:$M$1949)=0,100,100-100/(1+AVERAGE($L$1936:$L$1949)/AVERAGE($M$1936:$M$1949))))</f>
        <v>0</v>
      </c>
      <c r="O1949">
        <f>IF($E1949="","",IF($E1948="",$E1949,$E1949*0.1538461538+O1948*0.8461538462))</f>
        <v>0</v>
      </c>
      <c r="P1949">
        <f>IF($E1949="","",IF($E1948="",$E1949,$E1949*0.0740740741+P1948*0.9259259259))</f>
        <v>0</v>
      </c>
      <c r="Q1949">
        <f>IF(OR(O1949="",P1949=""),"",O1949-P1949)</f>
        <v>0</v>
      </c>
      <c r="R1949">
        <f>IF(Q1949="","",IF(R1948="",Q1949,Q1949*0.2000000000+R1948*0.8000000000))</f>
        <v>0</v>
      </c>
      <c r="S1949">
        <f>IF(OR(Q1949="",R1949=""),"",Q1949-R1949)</f>
        <v>0</v>
      </c>
      <c r="T1949">
        <f>IF(COUNT($E$2:$E1949)&lt;14,"",MAX($C$1936:$C$1949))</f>
        <v>0</v>
      </c>
      <c r="U1949">
        <f>IF(COUNT($E$2:$E1949)&lt;14,"",MIN($D$1936:$D$1949))</f>
        <v>0</v>
      </c>
      <c r="V1949">
        <f>IF(OR(T1949="",U1949="",T1949=U1949),"",100*($E1949-U1949)/(T1949-U1949))</f>
        <v>0</v>
      </c>
      <c r="W1949">
        <f>IF(COUNT($V$1947:$V$1949)&lt;3,"",AVERAGE($V$1947:$V$1949))</f>
        <v>0</v>
      </c>
      <c r="X1949">
        <f>IF(COUNT($N$1936:$N$1949)&lt;14,"",MIN($N$1936:$N$1949))</f>
        <v>0</v>
      </c>
      <c r="Y1949">
        <f>IF(COUNT($N$1936:$N$1949)&lt;14,"",MAX($N$1936:$N$1949))</f>
        <v>0</v>
      </c>
      <c r="Z1949">
        <f>IF(OR(N1949="",X1949="",Y1949="",Y1949=X1949),"",100*(N1949-X1949)/(Y1949-X1949))</f>
        <v>0</v>
      </c>
      <c r="AA1949">
        <f>IF(COUNT($Z$1947:$Z$1949)&lt;3,"",AVERAGE($Z$1947:$Z$1949))</f>
        <v>0</v>
      </c>
      <c r="AB1949">
        <f>IF(COUNT($AA$1947:$AA$1949)&lt;3,"",AVERAGE($AA$1947:$AA$1949))</f>
        <v>0</v>
      </c>
      <c r="AC1949">
        <f>IF($E1949="","",MAX($C1949-$D1949,ABS($C1949-$E1948),ABS($D1949-$E1948)))</f>
        <v>0</v>
      </c>
      <c r="AD1949">
        <f>IF(COUNT($E$2:$E1949)&lt;15,"",AVERAGE($AC$1936:$AC$1949))</f>
        <v>0</v>
      </c>
      <c r="AE1949">
        <f>IF(OR($E1949="",$E1948=""),"",IF(AND(($C1949-$C1948)&gt;($D1948-$D1949),($C1949-$C1948)&gt;0),$C1949-$C1948,0))</f>
        <v>0</v>
      </c>
      <c r="AF1949">
        <f>IF(OR($E1949="",$E1948=""),"",IF(AND(($D1948-$D1949)&gt;($C1949-$C1948),($D1948-$D1949)&gt;0),$D1948-$D1949,0))</f>
        <v>0</v>
      </c>
      <c r="AG1949">
        <f>IF(COUNT($E$2:$E1949)&lt;15,"",IF(SUM($AC$1936:$AC$1949)=0,0,100*SUM($AE$1936:$AE$1949)/SUM($AC$1936:$AC$1949)))</f>
        <v>0</v>
      </c>
      <c r="AH1949">
        <f>IF(COUNT($E$2:$E1949)&lt;15,"",IF(SUM($AC$1936:$AC$1949)=0,0,100*SUM($AF$1936:$AF$1949)/SUM($AC$1936:$AC$1949)))</f>
        <v>0</v>
      </c>
      <c r="AI1949">
        <f>IF(OR(AG1949="",AH1949=""),"",IF((AG1949+AH1949)=0,0,100*ABS(AG1949-AH1949)/(AG1949+AH1949)))</f>
        <v>0</v>
      </c>
      <c r="AJ1949">
        <f>IF(COUNT($AI$1936:$AI$1949)&lt;14,"",AVERAGE($AI$1936:$AI$1949))</f>
        <v>0</v>
      </c>
      <c r="AK1949">
        <f>IF(COUNT($E$2:$E1949)&lt;20,"",AVERAGE($E$1930:$E$1949))</f>
        <v>0</v>
      </c>
      <c r="AL1949">
        <f>IF(COUNT($E$2:$E1949)&lt;20,"",STDEVP($E$1930:$E$1949))</f>
        <v>0</v>
      </c>
      <c r="AM1949">
        <f>IF(AK1949="","",AK1949+2*AL1949)</f>
        <v>0</v>
      </c>
      <c r="AN1949">
        <f>IF(AK1949="","",AK1949-2*AL1949)</f>
        <v>0</v>
      </c>
      <c r="AO1949">
        <f>IF(OR(AM1949="",AN1949="",AM1949=AN1949),"",($E1949-AN1949)/(AM1949-AN1949))</f>
        <v>0</v>
      </c>
      <c r="AP1949">
        <f>IF(OR(AM1949="",AK1949="",AK1949=0),"",(AM1949-AN1949)/AK1949)</f>
        <v>0</v>
      </c>
      <c r="AQ1949">
        <f>IF(COUNT($E$2:$E1949)&lt;20,"",MAX($C$1930:$C$1949))</f>
        <v>0</v>
      </c>
      <c r="AR1949">
        <f>IF(COUNT($E$2:$E1949)&lt;20,"",MIN($D$1930:$D$1949))</f>
        <v>0</v>
      </c>
      <c r="AS1949">
        <f>IF(OR(AQ1949="",AR1949=""),"",(AQ1949+AR1949)/2)</f>
        <v>0</v>
      </c>
      <c r="AT1949">
        <f>IF(COUNT($G$1930:$G$1949)&lt;20,"",STDEV($G$1930:$G$1949)*SQRT(252))</f>
        <v>0</v>
      </c>
      <c r="AU1949">
        <f>IF(COUNT($E$2:$E1949)&lt;9,"",(MAX($C$1941:$C$1949)+MIN($D$1941:$D$1949))/2)</f>
        <v>0</v>
      </c>
      <c r="AV1949">
        <f>IF(COUNT($E$2:$E1949)&lt;26,"",(MAX($C$1924:$C$1949)+MIN($D$1924:$D$1949))/2)</f>
        <v>0</v>
      </c>
      <c r="AW1949">
        <f>IF(OR(AU1949="",AV1949=""),"",(AU1949+AV1949)/2)</f>
        <v>0</v>
      </c>
      <c r="AX1949">
        <f>IF(COUNT($E$2:$E1949)&lt;52,"",(MAX($C$1898:$C$1949)+MIN($D$1898:$D$1949))/2)</f>
        <v>0</v>
      </c>
      <c r="AY1949">
        <f>IF(COUNT($E$2:$E1949)&lt;20,"",MAX($C$1850:$C$1949))</f>
        <v>0</v>
      </c>
      <c r="AZ1949">
        <f>IF(COUNT($E$2:$E1949)&lt;20,"",MIN($D$1850:$D$1949))</f>
        <v>0</v>
      </c>
      <c r="BA1949">
        <f>IF(COUNT($E$2:$E1949)&lt;20,"",SLOPE($E$1850:$E$1949,$F$1850:$F$1949))</f>
        <v>0</v>
      </c>
      <c r="BB1949">
        <f>IF(COUNT($E$2:$E1949)&lt;20,"",INTERCEPT($E$1850:$E$1949,$F$1850:$F$1949))</f>
        <v>0</v>
      </c>
      <c r="BC1949">
        <f>IF(OR(BA1949="",BB1949=""),"",BB1949+BA1949*F1949)</f>
        <v>0</v>
      </c>
      <c r="BD1949">
        <f>IF(COUNT($E$2:$E1949)&lt;20,"",STEYX($E$1850:$E$1949,$F$1850:$F$1949))</f>
        <v>0</v>
      </c>
      <c r="BE1949">
        <f>IF($E1949="","",IF(AND(COUNT($E$1950:$E$1953)&gt;=4,$C1949=MAX($C$1945:$C$1953)),$C1949,""))</f>
        <v>0</v>
      </c>
      <c r="BF1949">
        <f>IF($E1949="","",IF(AND(COUNT($E$1950:$E$1953)&gt;=4,$D1949=MIN($D$1945:$D$1953)),$D1949,""))</f>
        <v>0</v>
      </c>
      <c r="BG1949">
        <f>IF($A1949="","",$A1949-WEEKDAY($A1949,2)+1)</f>
        <v>0</v>
      </c>
      <c r="BH1949">
        <f>IF($A1949="","",IF($A1948="",1,IF(BG1949&lt;&gt;BG1948,1,0)))</f>
        <v>0</v>
      </c>
      <c r="BI1949">
        <f>IF($A1949="","",IF($A1950="",1,IF(BG1950&lt;&gt;BG1949,1,0)))</f>
        <v>0</v>
      </c>
      <c r="BJ1949">
        <f>IF($A1949="","",IF(BH1949=1,$B1949,BJ1948))</f>
        <v>0</v>
      </c>
      <c r="BK1949">
        <f>IF($A1949="","",IF(BH1949=1,$C1949,MAX($C1949,BK1948)))</f>
        <v>0</v>
      </c>
      <c r="BL1949">
        <f>IF($A1949="","",IF(BH1949=1,$D1949,MIN($D1949,BL1948)))</f>
        <v>0</v>
      </c>
      <c r="BM1949">
        <f>IF($A1949="","",IF(BI1949=1,F1949,""))</f>
        <v>0</v>
      </c>
      <c r="BN1949">
        <f>IF($A1949="","",DATE(YEAR($A1949),MONTH($A1949),1))</f>
        <v>0</v>
      </c>
      <c r="BO1949">
        <f>IF($A1949="","",IF($A1948="",1,IF(BN1949&lt;&gt;BN1948,1,0)))</f>
        <v>0</v>
      </c>
      <c r="BP1949">
        <f>IF($A1949="","",IF($A1950="",1,IF(BN1950&lt;&gt;BN1949,1,0)))</f>
        <v>0</v>
      </c>
      <c r="BQ1949">
        <f>IF($A1949="","",IF(BO1949=1,$B1949,BQ1948))</f>
        <v>0</v>
      </c>
      <c r="BR1949">
        <f>IF($A1949="","",IF(BO1949=1,$C1949,MAX($C1949,BR1948)))</f>
        <v>0</v>
      </c>
      <c r="BS1949">
        <f>IF($A1949="","",IF(BO1949=1,$D1949,MIN($D1949,BS1948)))</f>
        <v>0</v>
      </c>
      <c r="BT1949">
        <f>IF($A1949="","",IF(BP1949=1,F1949,""))</f>
        <v>0</v>
      </c>
    </row>
    <row r="1950" spans="1:72">
      <c r="A1950" s="27">
        <f>IF(Data!$A1950="","",Data!$A1950)</f>
        <v>0</v>
      </c>
      <c r="B1950">
        <f>IF(Data!$B1950="","",Data!$B1950)</f>
        <v>0</v>
      </c>
      <c r="C1950">
        <f>IF(Data!$C1950="","",Data!$C1950)</f>
        <v>0</v>
      </c>
      <c r="D1950">
        <f>IF(Data!$D1950="","",Data!$D1950)</f>
        <v>0</v>
      </c>
      <c r="E1950">
        <f>IF(Data!$E1950="","",Data!$E1950)</f>
        <v>0</v>
      </c>
      <c r="F1950">
        <f>IF($E1950="","",N(F1949)+1)</f>
        <v>0</v>
      </c>
      <c r="G1950">
        <f>IF(OR($E1950="",$E1949=""),"",LN($E1950/$E1949))</f>
        <v>0</v>
      </c>
      <c r="H1950">
        <f>IF($E1950="","",IF($E1949="",$E1950,$E1950*0.0952380952+H1949*0.9047619048))</f>
        <v>0</v>
      </c>
      <c r="I1950">
        <f>IF($E1950="","",IF($E1949="",$E1950,$E1950*0.0392156863+I1949*0.9607843137))</f>
        <v>0</v>
      </c>
      <c r="J1950">
        <f>IF($E1950="","",IF($E1949="",$E1950,$E1950*0.0198019802+J1949*0.9801980198))</f>
        <v>0</v>
      </c>
      <c r="K1950">
        <f>IF($E1950="","",IF($E1949="",$E1950,$E1950*0.0099502488+K1949*0.9900497512))</f>
        <v>0</v>
      </c>
      <c r="L1950">
        <f>IF(OR($E1950="",$E1949=""),"",MAX($E1950-$E1949,0))</f>
        <v>0</v>
      </c>
      <c r="M1950">
        <f>IF(OR($E1950="",$E1949=""),"",MAX($E1949-$E1950,0))</f>
        <v>0</v>
      </c>
      <c r="N1950">
        <f>IF(COUNT($E$2:$E1950)&lt;15,"",IF(AVERAGE($M$1937:$M$1950)=0,100,100-100/(1+AVERAGE($L$1937:$L$1950)/AVERAGE($M$1937:$M$1950))))</f>
        <v>0</v>
      </c>
      <c r="O1950">
        <f>IF($E1950="","",IF($E1949="",$E1950,$E1950*0.1538461538+O1949*0.8461538462))</f>
        <v>0</v>
      </c>
      <c r="P1950">
        <f>IF($E1950="","",IF($E1949="",$E1950,$E1950*0.0740740741+P1949*0.9259259259))</f>
        <v>0</v>
      </c>
      <c r="Q1950">
        <f>IF(OR(O1950="",P1950=""),"",O1950-P1950)</f>
        <v>0</v>
      </c>
      <c r="R1950">
        <f>IF(Q1950="","",IF(R1949="",Q1950,Q1950*0.2000000000+R1949*0.8000000000))</f>
        <v>0</v>
      </c>
      <c r="S1950">
        <f>IF(OR(Q1950="",R1950=""),"",Q1950-R1950)</f>
        <v>0</v>
      </c>
      <c r="T1950">
        <f>IF(COUNT($E$2:$E1950)&lt;14,"",MAX($C$1937:$C$1950))</f>
        <v>0</v>
      </c>
      <c r="U1950">
        <f>IF(COUNT($E$2:$E1950)&lt;14,"",MIN($D$1937:$D$1950))</f>
        <v>0</v>
      </c>
      <c r="V1950">
        <f>IF(OR(T1950="",U1950="",T1950=U1950),"",100*($E1950-U1950)/(T1950-U1950))</f>
        <v>0</v>
      </c>
      <c r="W1950">
        <f>IF(COUNT($V$1948:$V$1950)&lt;3,"",AVERAGE($V$1948:$V$1950))</f>
        <v>0</v>
      </c>
      <c r="X1950">
        <f>IF(COUNT($N$1937:$N$1950)&lt;14,"",MIN($N$1937:$N$1950))</f>
        <v>0</v>
      </c>
      <c r="Y1950">
        <f>IF(COUNT($N$1937:$N$1950)&lt;14,"",MAX($N$1937:$N$1950))</f>
        <v>0</v>
      </c>
      <c r="Z1950">
        <f>IF(OR(N1950="",X1950="",Y1950="",Y1950=X1950),"",100*(N1950-X1950)/(Y1950-X1950))</f>
        <v>0</v>
      </c>
      <c r="AA1950">
        <f>IF(COUNT($Z$1948:$Z$1950)&lt;3,"",AVERAGE($Z$1948:$Z$1950))</f>
        <v>0</v>
      </c>
      <c r="AB1950">
        <f>IF(COUNT($AA$1948:$AA$1950)&lt;3,"",AVERAGE($AA$1948:$AA$1950))</f>
        <v>0</v>
      </c>
      <c r="AC1950">
        <f>IF($E1950="","",MAX($C1950-$D1950,ABS($C1950-$E1949),ABS($D1950-$E1949)))</f>
        <v>0</v>
      </c>
      <c r="AD1950">
        <f>IF(COUNT($E$2:$E1950)&lt;15,"",AVERAGE($AC$1937:$AC$1950))</f>
        <v>0</v>
      </c>
      <c r="AE1950">
        <f>IF(OR($E1950="",$E1949=""),"",IF(AND(($C1950-$C1949)&gt;($D1949-$D1950),($C1950-$C1949)&gt;0),$C1950-$C1949,0))</f>
        <v>0</v>
      </c>
      <c r="AF1950">
        <f>IF(OR($E1950="",$E1949=""),"",IF(AND(($D1949-$D1950)&gt;($C1950-$C1949),($D1949-$D1950)&gt;0),$D1949-$D1950,0))</f>
        <v>0</v>
      </c>
      <c r="AG1950">
        <f>IF(COUNT($E$2:$E1950)&lt;15,"",IF(SUM($AC$1937:$AC$1950)=0,0,100*SUM($AE$1937:$AE$1950)/SUM($AC$1937:$AC$1950)))</f>
        <v>0</v>
      </c>
      <c r="AH1950">
        <f>IF(COUNT($E$2:$E1950)&lt;15,"",IF(SUM($AC$1937:$AC$1950)=0,0,100*SUM($AF$1937:$AF$1950)/SUM($AC$1937:$AC$1950)))</f>
        <v>0</v>
      </c>
      <c r="AI1950">
        <f>IF(OR(AG1950="",AH1950=""),"",IF((AG1950+AH1950)=0,0,100*ABS(AG1950-AH1950)/(AG1950+AH1950)))</f>
        <v>0</v>
      </c>
      <c r="AJ1950">
        <f>IF(COUNT($AI$1937:$AI$1950)&lt;14,"",AVERAGE($AI$1937:$AI$1950))</f>
        <v>0</v>
      </c>
      <c r="AK1950">
        <f>IF(COUNT($E$2:$E1950)&lt;20,"",AVERAGE($E$1931:$E$1950))</f>
        <v>0</v>
      </c>
      <c r="AL1950">
        <f>IF(COUNT($E$2:$E1950)&lt;20,"",STDEVP($E$1931:$E$1950))</f>
        <v>0</v>
      </c>
      <c r="AM1950">
        <f>IF(AK1950="","",AK1950+2*AL1950)</f>
        <v>0</v>
      </c>
      <c r="AN1950">
        <f>IF(AK1950="","",AK1950-2*AL1950)</f>
        <v>0</v>
      </c>
      <c r="AO1950">
        <f>IF(OR(AM1950="",AN1950="",AM1950=AN1950),"",($E1950-AN1950)/(AM1950-AN1950))</f>
        <v>0</v>
      </c>
      <c r="AP1950">
        <f>IF(OR(AM1950="",AK1950="",AK1950=0),"",(AM1950-AN1950)/AK1950)</f>
        <v>0</v>
      </c>
      <c r="AQ1950">
        <f>IF(COUNT($E$2:$E1950)&lt;20,"",MAX($C$1931:$C$1950))</f>
        <v>0</v>
      </c>
      <c r="AR1950">
        <f>IF(COUNT($E$2:$E1950)&lt;20,"",MIN($D$1931:$D$1950))</f>
        <v>0</v>
      </c>
      <c r="AS1950">
        <f>IF(OR(AQ1950="",AR1950=""),"",(AQ1950+AR1950)/2)</f>
        <v>0</v>
      </c>
      <c r="AT1950">
        <f>IF(COUNT($G$1931:$G$1950)&lt;20,"",STDEV($G$1931:$G$1950)*SQRT(252))</f>
        <v>0</v>
      </c>
      <c r="AU1950">
        <f>IF(COUNT($E$2:$E1950)&lt;9,"",(MAX($C$1942:$C$1950)+MIN($D$1942:$D$1950))/2)</f>
        <v>0</v>
      </c>
      <c r="AV1950">
        <f>IF(COUNT($E$2:$E1950)&lt;26,"",(MAX($C$1925:$C$1950)+MIN($D$1925:$D$1950))/2)</f>
        <v>0</v>
      </c>
      <c r="AW1950">
        <f>IF(OR(AU1950="",AV1950=""),"",(AU1950+AV1950)/2)</f>
        <v>0</v>
      </c>
      <c r="AX1950">
        <f>IF(COUNT($E$2:$E1950)&lt;52,"",(MAX($C$1899:$C$1950)+MIN($D$1899:$D$1950))/2)</f>
        <v>0</v>
      </c>
      <c r="AY1950">
        <f>IF(COUNT($E$2:$E1950)&lt;20,"",MAX($C$1851:$C$1950))</f>
        <v>0</v>
      </c>
      <c r="AZ1950">
        <f>IF(COUNT($E$2:$E1950)&lt;20,"",MIN($D$1851:$D$1950))</f>
        <v>0</v>
      </c>
      <c r="BA1950">
        <f>IF(COUNT($E$2:$E1950)&lt;20,"",SLOPE($E$1851:$E$1950,$F$1851:$F$1950))</f>
        <v>0</v>
      </c>
      <c r="BB1950">
        <f>IF(COUNT($E$2:$E1950)&lt;20,"",INTERCEPT($E$1851:$E$1950,$F$1851:$F$1950))</f>
        <v>0</v>
      </c>
      <c r="BC1950">
        <f>IF(OR(BA1950="",BB1950=""),"",BB1950+BA1950*F1950)</f>
        <v>0</v>
      </c>
      <c r="BD1950">
        <f>IF(COUNT($E$2:$E1950)&lt;20,"",STEYX($E$1851:$E$1950,$F$1851:$F$1950))</f>
        <v>0</v>
      </c>
      <c r="BE1950">
        <f>IF($E1950="","",IF(AND(COUNT($E$1951:$E$1954)&gt;=4,$C1950=MAX($C$1946:$C$1954)),$C1950,""))</f>
        <v>0</v>
      </c>
      <c r="BF1950">
        <f>IF($E1950="","",IF(AND(COUNT($E$1951:$E$1954)&gt;=4,$D1950=MIN($D$1946:$D$1954)),$D1950,""))</f>
        <v>0</v>
      </c>
      <c r="BG1950">
        <f>IF($A1950="","",$A1950-WEEKDAY($A1950,2)+1)</f>
        <v>0</v>
      </c>
      <c r="BH1950">
        <f>IF($A1950="","",IF($A1949="",1,IF(BG1950&lt;&gt;BG1949,1,0)))</f>
        <v>0</v>
      </c>
      <c r="BI1950">
        <f>IF($A1950="","",IF($A1951="",1,IF(BG1951&lt;&gt;BG1950,1,0)))</f>
        <v>0</v>
      </c>
      <c r="BJ1950">
        <f>IF($A1950="","",IF(BH1950=1,$B1950,BJ1949))</f>
        <v>0</v>
      </c>
      <c r="BK1950">
        <f>IF($A1950="","",IF(BH1950=1,$C1950,MAX($C1950,BK1949)))</f>
        <v>0</v>
      </c>
      <c r="BL1950">
        <f>IF($A1950="","",IF(BH1950=1,$D1950,MIN($D1950,BL1949)))</f>
        <v>0</v>
      </c>
      <c r="BM1950">
        <f>IF($A1950="","",IF(BI1950=1,F1950,""))</f>
        <v>0</v>
      </c>
      <c r="BN1950">
        <f>IF($A1950="","",DATE(YEAR($A1950),MONTH($A1950),1))</f>
        <v>0</v>
      </c>
      <c r="BO1950">
        <f>IF($A1950="","",IF($A1949="",1,IF(BN1950&lt;&gt;BN1949,1,0)))</f>
        <v>0</v>
      </c>
      <c r="BP1950">
        <f>IF($A1950="","",IF($A1951="",1,IF(BN1951&lt;&gt;BN1950,1,0)))</f>
        <v>0</v>
      </c>
      <c r="BQ1950">
        <f>IF($A1950="","",IF(BO1950=1,$B1950,BQ1949))</f>
        <v>0</v>
      </c>
      <c r="BR1950">
        <f>IF($A1950="","",IF(BO1950=1,$C1950,MAX($C1950,BR1949)))</f>
        <v>0</v>
      </c>
      <c r="BS1950">
        <f>IF($A1950="","",IF(BO1950=1,$D1950,MIN($D1950,BS1949)))</f>
        <v>0</v>
      </c>
      <c r="BT1950">
        <f>IF($A1950="","",IF(BP1950=1,F1950,""))</f>
        <v>0</v>
      </c>
    </row>
    <row r="1951" spans="1:72">
      <c r="A1951" s="27">
        <f>IF(Data!$A1951="","",Data!$A1951)</f>
        <v>0</v>
      </c>
      <c r="B1951">
        <f>IF(Data!$B1951="","",Data!$B1951)</f>
        <v>0</v>
      </c>
      <c r="C1951">
        <f>IF(Data!$C1951="","",Data!$C1951)</f>
        <v>0</v>
      </c>
      <c r="D1951">
        <f>IF(Data!$D1951="","",Data!$D1951)</f>
        <v>0</v>
      </c>
      <c r="E1951">
        <f>IF(Data!$E1951="","",Data!$E1951)</f>
        <v>0</v>
      </c>
      <c r="F1951">
        <f>IF($E1951="","",N(F1950)+1)</f>
        <v>0</v>
      </c>
      <c r="G1951">
        <f>IF(OR($E1951="",$E1950=""),"",LN($E1951/$E1950))</f>
        <v>0</v>
      </c>
      <c r="H1951">
        <f>IF($E1951="","",IF($E1950="",$E1951,$E1951*0.0952380952+H1950*0.9047619048))</f>
        <v>0</v>
      </c>
      <c r="I1951">
        <f>IF($E1951="","",IF($E1950="",$E1951,$E1951*0.0392156863+I1950*0.9607843137))</f>
        <v>0</v>
      </c>
      <c r="J1951">
        <f>IF($E1951="","",IF($E1950="",$E1951,$E1951*0.0198019802+J1950*0.9801980198))</f>
        <v>0</v>
      </c>
      <c r="K1951">
        <f>IF($E1951="","",IF($E1950="",$E1951,$E1951*0.0099502488+K1950*0.9900497512))</f>
        <v>0</v>
      </c>
      <c r="L1951">
        <f>IF(OR($E1951="",$E1950=""),"",MAX($E1951-$E1950,0))</f>
        <v>0</v>
      </c>
      <c r="M1951">
        <f>IF(OR($E1951="",$E1950=""),"",MAX($E1950-$E1951,0))</f>
        <v>0</v>
      </c>
      <c r="N1951">
        <f>IF(COUNT($E$2:$E1951)&lt;15,"",IF(AVERAGE($M$1938:$M$1951)=0,100,100-100/(1+AVERAGE($L$1938:$L$1951)/AVERAGE($M$1938:$M$1951))))</f>
        <v>0</v>
      </c>
      <c r="O1951">
        <f>IF($E1951="","",IF($E1950="",$E1951,$E1951*0.1538461538+O1950*0.8461538462))</f>
        <v>0</v>
      </c>
      <c r="P1951">
        <f>IF($E1951="","",IF($E1950="",$E1951,$E1951*0.0740740741+P1950*0.9259259259))</f>
        <v>0</v>
      </c>
      <c r="Q1951">
        <f>IF(OR(O1951="",P1951=""),"",O1951-P1951)</f>
        <v>0</v>
      </c>
      <c r="R1951">
        <f>IF(Q1951="","",IF(R1950="",Q1951,Q1951*0.2000000000+R1950*0.8000000000))</f>
        <v>0</v>
      </c>
      <c r="S1951">
        <f>IF(OR(Q1951="",R1951=""),"",Q1951-R1951)</f>
        <v>0</v>
      </c>
      <c r="T1951">
        <f>IF(COUNT($E$2:$E1951)&lt;14,"",MAX($C$1938:$C$1951))</f>
        <v>0</v>
      </c>
      <c r="U1951">
        <f>IF(COUNT($E$2:$E1951)&lt;14,"",MIN($D$1938:$D$1951))</f>
        <v>0</v>
      </c>
      <c r="V1951">
        <f>IF(OR(T1951="",U1951="",T1951=U1951),"",100*($E1951-U1951)/(T1951-U1951))</f>
        <v>0</v>
      </c>
      <c r="W1951">
        <f>IF(COUNT($V$1949:$V$1951)&lt;3,"",AVERAGE($V$1949:$V$1951))</f>
        <v>0</v>
      </c>
      <c r="X1951">
        <f>IF(COUNT($N$1938:$N$1951)&lt;14,"",MIN($N$1938:$N$1951))</f>
        <v>0</v>
      </c>
      <c r="Y1951">
        <f>IF(COUNT($N$1938:$N$1951)&lt;14,"",MAX($N$1938:$N$1951))</f>
        <v>0</v>
      </c>
      <c r="Z1951">
        <f>IF(OR(N1951="",X1951="",Y1951="",Y1951=X1951),"",100*(N1951-X1951)/(Y1951-X1951))</f>
        <v>0</v>
      </c>
      <c r="AA1951">
        <f>IF(COUNT($Z$1949:$Z$1951)&lt;3,"",AVERAGE($Z$1949:$Z$1951))</f>
        <v>0</v>
      </c>
      <c r="AB1951">
        <f>IF(COUNT($AA$1949:$AA$1951)&lt;3,"",AVERAGE($AA$1949:$AA$1951))</f>
        <v>0</v>
      </c>
      <c r="AC1951">
        <f>IF($E1951="","",MAX($C1951-$D1951,ABS($C1951-$E1950),ABS($D1951-$E1950)))</f>
        <v>0</v>
      </c>
      <c r="AD1951">
        <f>IF(COUNT($E$2:$E1951)&lt;15,"",AVERAGE($AC$1938:$AC$1951))</f>
        <v>0</v>
      </c>
      <c r="AE1951">
        <f>IF(OR($E1951="",$E1950=""),"",IF(AND(($C1951-$C1950)&gt;($D1950-$D1951),($C1951-$C1950)&gt;0),$C1951-$C1950,0))</f>
        <v>0</v>
      </c>
      <c r="AF1951">
        <f>IF(OR($E1951="",$E1950=""),"",IF(AND(($D1950-$D1951)&gt;($C1951-$C1950),($D1950-$D1951)&gt;0),$D1950-$D1951,0))</f>
        <v>0</v>
      </c>
      <c r="AG1951">
        <f>IF(COUNT($E$2:$E1951)&lt;15,"",IF(SUM($AC$1938:$AC$1951)=0,0,100*SUM($AE$1938:$AE$1951)/SUM($AC$1938:$AC$1951)))</f>
        <v>0</v>
      </c>
      <c r="AH1951">
        <f>IF(COUNT($E$2:$E1951)&lt;15,"",IF(SUM($AC$1938:$AC$1951)=0,0,100*SUM($AF$1938:$AF$1951)/SUM($AC$1938:$AC$1951)))</f>
        <v>0</v>
      </c>
      <c r="AI1951">
        <f>IF(OR(AG1951="",AH1951=""),"",IF((AG1951+AH1951)=0,0,100*ABS(AG1951-AH1951)/(AG1951+AH1951)))</f>
        <v>0</v>
      </c>
      <c r="AJ1951">
        <f>IF(COUNT($AI$1938:$AI$1951)&lt;14,"",AVERAGE($AI$1938:$AI$1951))</f>
        <v>0</v>
      </c>
      <c r="AK1951">
        <f>IF(COUNT($E$2:$E1951)&lt;20,"",AVERAGE($E$1932:$E$1951))</f>
        <v>0</v>
      </c>
      <c r="AL1951">
        <f>IF(COUNT($E$2:$E1951)&lt;20,"",STDEVP($E$1932:$E$1951))</f>
        <v>0</v>
      </c>
      <c r="AM1951">
        <f>IF(AK1951="","",AK1951+2*AL1951)</f>
        <v>0</v>
      </c>
      <c r="AN1951">
        <f>IF(AK1951="","",AK1951-2*AL1951)</f>
        <v>0</v>
      </c>
      <c r="AO1951">
        <f>IF(OR(AM1951="",AN1951="",AM1951=AN1951),"",($E1951-AN1951)/(AM1951-AN1951))</f>
        <v>0</v>
      </c>
      <c r="AP1951">
        <f>IF(OR(AM1951="",AK1951="",AK1951=0),"",(AM1951-AN1951)/AK1951)</f>
        <v>0</v>
      </c>
      <c r="AQ1951">
        <f>IF(COUNT($E$2:$E1951)&lt;20,"",MAX($C$1932:$C$1951))</f>
        <v>0</v>
      </c>
      <c r="AR1951">
        <f>IF(COUNT($E$2:$E1951)&lt;20,"",MIN($D$1932:$D$1951))</f>
        <v>0</v>
      </c>
      <c r="AS1951">
        <f>IF(OR(AQ1951="",AR1951=""),"",(AQ1951+AR1951)/2)</f>
        <v>0</v>
      </c>
      <c r="AT1951">
        <f>IF(COUNT($G$1932:$G$1951)&lt;20,"",STDEV($G$1932:$G$1951)*SQRT(252))</f>
        <v>0</v>
      </c>
      <c r="AU1951">
        <f>IF(COUNT($E$2:$E1951)&lt;9,"",(MAX($C$1943:$C$1951)+MIN($D$1943:$D$1951))/2)</f>
        <v>0</v>
      </c>
      <c r="AV1951">
        <f>IF(COUNT($E$2:$E1951)&lt;26,"",(MAX($C$1926:$C$1951)+MIN($D$1926:$D$1951))/2)</f>
        <v>0</v>
      </c>
      <c r="AW1951">
        <f>IF(OR(AU1951="",AV1951=""),"",(AU1951+AV1951)/2)</f>
        <v>0</v>
      </c>
      <c r="AX1951">
        <f>IF(COUNT($E$2:$E1951)&lt;52,"",(MAX($C$1900:$C$1951)+MIN($D$1900:$D$1951))/2)</f>
        <v>0</v>
      </c>
      <c r="AY1951">
        <f>IF(COUNT($E$2:$E1951)&lt;20,"",MAX($C$1852:$C$1951))</f>
        <v>0</v>
      </c>
      <c r="AZ1951">
        <f>IF(COUNT($E$2:$E1951)&lt;20,"",MIN($D$1852:$D$1951))</f>
        <v>0</v>
      </c>
      <c r="BA1951">
        <f>IF(COUNT($E$2:$E1951)&lt;20,"",SLOPE($E$1852:$E$1951,$F$1852:$F$1951))</f>
        <v>0</v>
      </c>
      <c r="BB1951">
        <f>IF(COUNT($E$2:$E1951)&lt;20,"",INTERCEPT($E$1852:$E$1951,$F$1852:$F$1951))</f>
        <v>0</v>
      </c>
      <c r="BC1951">
        <f>IF(OR(BA1951="",BB1951=""),"",BB1951+BA1951*F1951)</f>
        <v>0</v>
      </c>
      <c r="BD1951">
        <f>IF(COUNT($E$2:$E1951)&lt;20,"",STEYX($E$1852:$E$1951,$F$1852:$F$1951))</f>
        <v>0</v>
      </c>
      <c r="BE1951">
        <f>IF($E1951="","",IF(AND(COUNT($E$1952:$E$1955)&gt;=4,$C1951=MAX($C$1947:$C$1955)),$C1951,""))</f>
        <v>0</v>
      </c>
      <c r="BF1951">
        <f>IF($E1951="","",IF(AND(COUNT($E$1952:$E$1955)&gt;=4,$D1951=MIN($D$1947:$D$1955)),$D1951,""))</f>
        <v>0</v>
      </c>
      <c r="BG1951">
        <f>IF($A1951="","",$A1951-WEEKDAY($A1951,2)+1)</f>
        <v>0</v>
      </c>
      <c r="BH1951">
        <f>IF($A1951="","",IF($A1950="",1,IF(BG1951&lt;&gt;BG1950,1,0)))</f>
        <v>0</v>
      </c>
      <c r="BI1951">
        <f>IF($A1951="","",IF($A1952="",1,IF(BG1952&lt;&gt;BG1951,1,0)))</f>
        <v>0</v>
      </c>
      <c r="BJ1951">
        <f>IF($A1951="","",IF(BH1951=1,$B1951,BJ1950))</f>
        <v>0</v>
      </c>
      <c r="BK1951">
        <f>IF($A1951="","",IF(BH1951=1,$C1951,MAX($C1951,BK1950)))</f>
        <v>0</v>
      </c>
      <c r="BL1951">
        <f>IF($A1951="","",IF(BH1951=1,$D1951,MIN($D1951,BL1950)))</f>
        <v>0</v>
      </c>
      <c r="BM1951">
        <f>IF($A1951="","",IF(BI1951=1,F1951,""))</f>
        <v>0</v>
      </c>
      <c r="BN1951">
        <f>IF($A1951="","",DATE(YEAR($A1951),MONTH($A1951),1))</f>
        <v>0</v>
      </c>
      <c r="BO1951">
        <f>IF($A1951="","",IF($A1950="",1,IF(BN1951&lt;&gt;BN1950,1,0)))</f>
        <v>0</v>
      </c>
      <c r="BP1951">
        <f>IF($A1951="","",IF($A1952="",1,IF(BN1952&lt;&gt;BN1951,1,0)))</f>
        <v>0</v>
      </c>
      <c r="BQ1951">
        <f>IF($A1951="","",IF(BO1951=1,$B1951,BQ1950))</f>
        <v>0</v>
      </c>
      <c r="BR1951">
        <f>IF($A1951="","",IF(BO1951=1,$C1951,MAX($C1951,BR1950)))</f>
        <v>0</v>
      </c>
      <c r="BS1951">
        <f>IF($A1951="","",IF(BO1951=1,$D1951,MIN($D1951,BS1950)))</f>
        <v>0</v>
      </c>
      <c r="BT1951">
        <f>IF($A1951="","",IF(BP1951=1,F1951,""))</f>
        <v>0</v>
      </c>
    </row>
    <row r="1952" spans="1:72">
      <c r="A1952" s="27">
        <f>IF(Data!$A1952="","",Data!$A1952)</f>
        <v>0</v>
      </c>
      <c r="B1952">
        <f>IF(Data!$B1952="","",Data!$B1952)</f>
        <v>0</v>
      </c>
      <c r="C1952">
        <f>IF(Data!$C1952="","",Data!$C1952)</f>
        <v>0</v>
      </c>
      <c r="D1952">
        <f>IF(Data!$D1952="","",Data!$D1952)</f>
        <v>0</v>
      </c>
      <c r="E1952">
        <f>IF(Data!$E1952="","",Data!$E1952)</f>
        <v>0</v>
      </c>
      <c r="F1952">
        <f>IF($E1952="","",N(F1951)+1)</f>
        <v>0</v>
      </c>
      <c r="G1952">
        <f>IF(OR($E1952="",$E1951=""),"",LN($E1952/$E1951))</f>
        <v>0</v>
      </c>
      <c r="H1952">
        <f>IF($E1952="","",IF($E1951="",$E1952,$E1952*0.0952380952+H1951*0.9047619048))</f>
        <v>0</v>
      </c>
      <c r="I1952">
        <f>IF($E1952="","",IF($E1951="",$E1952,$E1952*0.0392156863+I1951*0.9607843137))</f>
        <v>0</v>
      </c>
      <c r="J1952">
        <f>IF($E1952="","",IF($E1951="",$E1952,$E1952*0.0198019802+J1951*0.9801980198))</f>
        <v>0</v>
      </c>
      <c r="K1952">
        <f>IF($E1952="","",IF($E1951="",$E1952,$E1952*0.0099502488+K1951*0.9900497512))</f>
        <v>0</v>
      </c>
      <c r="L1952">
        <f>IF(OR($E1952="",$E1951=""),"",MAX($E1952-$E1951,0))</f>
        <v>0</v>
      </c>
      <c r="M1952">
        <f>IF(OR($E1952="",$E1951=""),"",MAX($E1951-$E1952,0))</f>
        <v>0</v>
      </c>
      <c r="N1952">
        <f>IF(COUNT($E$2:$E1952)&lt;15,"",IF(AVERAGE($M$1939:$M$1952)=0,100,100-100/(1+AVERAGE($L$1939:$L$1952)/AVERAGE($M$1939:$M$1952))))</f>
        <v>0</v>
      </c>
      <c r="O1952">
        <f>IF($E1952="","",IF($E1951="",$E1952,$E1952*0.1538461538+O1951*0.8461538462))</f>
        <v>0</v>
      </c>
      <c r="P1952">
        <f>IF($E1952="","",IF($E1951="",$E1952,$E1952*0.0740740741+P1951*0.9259259259))</f>
        <v>0</v>
      </c>
      <c r="Q1952">
        <f>IF(OR(O1952="",P1952=""),"",O1952-P1952)</f>
        <v>0</v>
      </c>
      <c r="R1952">
        <f>IF(Q1952="","",IF(R1951="",Q1952,Q1952*0.2000000000+R1951*0.8000000000))</f>
        <v>0</v>
      </c>
      <c r="S1952">
        <f>IF(OR(Q1952="",R1952=""),"",Q1952-R1952)</f>
        <v>0</v>
      </c>
      <c r="T1952">
        <f>IF(COUNT($E$2:$E1952)&lt;14,"",MAX($C$1939:$C$1952))</f>
        <v>0</v>
      </c>
      <c r="U1952">
        <f>IF(COUNT($E$2:$E1952)&lt;14,"",MIN($D$1939:$D$1952))</f>
        <v>0</v>
      </c>
      <c r="V1952">
        <f>IF(OR(T1952="",U1952="",T1952=U1952),"",100*($E1952-U1952)/(T1952-U1952))</f>
        <v>0</v>
      </c>
      <c r="W1952">
        <f>IF(COUNT($V$1950:$V$1952)&lt;3,"",AVERAGE($V$1950:$V$1952))</f>
        <v>0</v>
      </c>
      <c r="X1952">
        <f>IF(COUNT($N$1939:$N$1952)&lt;14,"",MIN($N$1939:$N$1952))</f>
        <v>0</v>
      </c>
      <c r="Y1952">
        <f>IF(COUNT($N$1939:$N$1952)&lt;14,"",MAX($N$1939:$N$1952))</f>
        <v>0</v>
      </c>
      <c r="Z1952">
        <f>IF(OR(N1952="",X1952="",Y1952="",Y1952=X1952),"",100*(N1952-X1952)/(Y1952-X1952))</f>
        <v>0</v>
      </c>
      <c r="AA1952">
        <f>IF(COUNT($Z$1950:$Z$1952)&lt;3,"",AVERAGE($Z$1950:$Z$1952))</f>
        <v>0</v>
      </c>
      <c r="AB1952">
        <f>IF(COUNT($AA$1950:$AA$1952)&lt;3,"",AVERAGE($AA$1950:$AA$1952))</f>
        <v>0</v>
      </c>
      <c r="AC1952">
        <f>IF($E1952="","",MAX($C1952-$D1952,ABS($C1952-$E1951),ABS($D1952-$E1951)))</f>
        <v>0</v>
      </c>
      <c r="AD1952">
        <f>IF(COUNT($E$2:$E1952)&lt;15,"",AVERAGE($AC$1939:$AC$1952))</f>
        <v>0</v>
      </c>
      <c r="AE1952">
        <f>IF(OR($E1952="",$E1951=""),"",IF(AND(($C1952-$C1951)&gt;($D1951-$D1952),($C1952-$C1951)&gt;0),$C1952-$C1951,0))</f>
        <v>0</v>
      </c>
      <c r="AF1952">
        <f>IF(OR($E1952="",$E1951=""),"",IF(AND(($D1951-$D1952)&gt;($C1952-$C1951),($D1951-$D1952)&gt;0),$D1951-$D1952,0))</f>
        <v>0</v>
      </c>
      <c r="AG1952">
        <f>IF(COUNT($E$2:$E1952)&lt;15,"",IF(SUM($AC$1939:$AC$1952)=0,0,100*SUM($AE$1939:$AE$1952)/SUM($AC$1939:$AC$1952)))</f>
        <v>0</v>
      </c>
      <c r="AH1952">
        <f>IF(COUNT($E$2:$E1952)&lt;15,"",IF(SUM($AC$1939:$AC$1952)=0,0,100*SUM($AF$1939:$AF$1952)/SUM($AC$1939:$AC$1952)))</f>
        <v>0</v>
      </c>
      <c r="AI1952">
        <f>IF(OR(AG1952="",AH1952=""),"",IF((AG1952+AH1952)=0,0,100*ABS(AG1952-AH1952)/(AG1952+AH1952)))</f>
        <v>0</v>
      </c>
      <c r="AJ1952">
        <f>IF(COUNT($AI$1939:$AI$1952)&lt;14,"",AVERAGE($AI$1939:$AI$1952))</f>
        <v>0</v>
      </c>
      <c r="AK1952">
        <f>IF(COUNT($E$2:$E1952)&lt;20,"",AVERAGE($E$1933:$E$1952))</f>
        <v>0</v>
      </c>
      <c r="AL1952">
        <f>IF(COUNT($E$2:$E1952)&lt;20,"",STDEVP($E$1933:$E$1952))</f>
        <v>0</v>
      </c>
      <c r="AM1952">
        <f>IF(AK1952="","",AK1952+2*AL1952)</f>
        <v>0</v>
      </c>
      <c r="AN1952">
        <f>IF(AK1952="","",AK1952-2*AL1952)</f>
        <v>0</v>
      </c>
      <c r="AO1952">
        <f>IF(OR(AM1952="",AN1952="",AM1952=AN1952),"",($E1952-AN1952)/(AM1952-AN1952))</f>
        <v>0</v>
      </c>
      <c r="AP1952">
        <f>IF(OR(AM1952="",AK1952="",AK1952=0),"",(AM1952-AN1952)/AK1952)</f>
        <v>0</v>
      </c>
      <c r="AQ1952">
        <f>IF(COUNT($E$2:$E1952)&lt;20,"",MAX($C$1933:$C$1952))</f>
        <v>0</v>
      </c>
      <c r="AR1952">
        <f>IF(COUNT($E$2:$E1952)&lt;20,"",MIN($D$1933:$D$1952))</f>
        <v>0</v>
      </c>
      <c r="AS1952">
        <f>IF(OR(AQ1952="",AR1952=""),"",(AQ1952+AR1952)/2)</f>
        <v>0</v>
      </c>
      <c r="AT1952">
        <f>IF(COUNT($G$1933:$G$1952)&lt;20,"",STDEV($G$1933:$G$1952)*SQRT(252))</f>
        <v>0</v>
      </c>
      <c r="AU1952">
        <f>IF(COUNT($E$2:$E1952)&lt;9,"",(MAX($C$1944:$C$1952)+MIN($D$1944:$D$1952))/2)</f>
        <v>0</v>
      </c>
      <c r="AV1952">
        <f>IF(COUNT($E$2:$E1952)&lt;26,"",(MAX($C$1927:$C$1952)+MIN($D$1927:$D$1952))/2)</f>
        <v>0</v>
      </c>
      <c r="AW1952">
        <f>IF(OR(AU1952="",AV1952=""),"",(AU1952+AV1952)/2)</f>
        <v>0</v>
      </c>
      <c r="AX1952">
        <f>IF(COUNT($E$2:$E1952)&lt;52,"",(MAX($C$1901:$C$1952)+MIN($D$1901:$D$1952))/2)</f>
        <v>0</v>
      </c>
      <c r="AY1952">
        <f>IF(COUNT($E$2:$E1952)&lt;20,"",MAX($C$1853:$C$1952))</f>
        <v>0</v>
      </c>
      <c r="AZ1952">
        <f>IF(COUNT($E$2:$E1952)&lt;20,"",MIN($D$1853:$D$1952))</f>
        <v>0</v>
      </c>
      <c r="BA1952">
        <f>IF(COUNT($E$2:$E1952)&lt;20,"",SLOPE($E$1853:$E$1952,$F$1853:$F$1952))</f>
        <v>0</v>
      </c>
      <c r="BB1952">
        <f>IF(COUNT($E$2:$E1952)&lt;20,"",INTERCEPT($E$1853:$E$1952,$F$1853:$F$1952))</f>
        <v>0</v>
      </c>
      <c r="BC1952">
        <f>IF(OR(BA1952="",BB1952=""),"",BB1952+BA1952*F1952)</f>
        <v>0</v>
      </c>
      <c r="BD1952">
        <f>IF(COUNT($E$2:$E1952)&lt;20,"",STEYX($E$1853:$E$1952,$F$1853:$F$1952))</f>
        <v>0</v>
      </c>
      <c r="BE1952">
        <f>IF($E1952="","",IF(AND(COUNT($E$1953:$E$1956)&gt;=4,$C1952=MAX($C$1948:$C$1956)),$C1952,""))</f>
        <v>0</v>
      </c>
      <c r="BF1952">
        <f>IF($E1952="","",IF(AND(COUNT($E$1953:$E$1956)&gt;=4,$D1952=MIN($D$1948:$D$1956)),$D1952,""))</f>
        <v>0</v>
      </c>
      <c r="BG1952">
        <f>IF($A1952="","",$A1952-WEEKDAY($A1952,2)+1)</f>
        <v>0</v>
      </c>
      <c r="BH1952">
        <f>IF($A1952="","",IF($A1951="",1,IF(BG1952&lt;&gt;BG1951,1,0)))</f>
        <v>0</v>
      </c>
      <c r="BI1952">
        <f>IF($A1952="","",IF($A1953="",1,IF(BG1953&lt;&gt;BG1952,1,0)))</f>
        <v>0</v>
      </c>
      <c r="BJ1952">
        <f>IF($A1952="","",IF(BH1952=1,$B1952,BJ1951))</f>
        <v>0</v>
      </c>
      <c r="BK1952">
        <f>IF($A1952="","",IF(BH1952=1,$C1952,MAX($C1952,BK1951)))</f>
        <v>0</v>
      </c>
      <c r="BL1952">
        <f>IF($A1952="","",IF(BH1952=1,$D1952,MIN($D1952,BL1951)))</f>
        <v>0</v>
      </c>
      <c r="BM1952">
        <f>IF($A1952="","",IF(BI1952=1,F1952,""))</f>
        <v>0</v>
      </c>
      <c r="BN1952">
        <f>IF($A1952="","",DATE(YEAR($A1952),MONTH($A1952),1))</f>
        <v>0</v>
      </c>
      <c r="BO1952">
        <f>IF($A1952="","",IF($A1951="",1,IF(BN1952&lt;&gt;BN1951,1,0)))</f>
        <v>0</v>
      </c>
      <c r="BP1952">
        <f>IF($A1952="","",IF($A1953="",1,IF(BN1953&lt;&gt;BN1952,1,0)))</f>
        <v>0</v>
      </c>
      <c r="BQ1952">
        <f>IF($A1952="","",IF(BO1952=1,$B1952,BQ1951))</f>
        <v>0</v>
      </c>
      <c r="BR1952">
        <f>IF($A1952="","",IF(BO1952=1,$C1952,MAX($C1952,BR1951)))</f>
        <v>0</v>
      </c>
      <c r="BS1952">
        <f>IF($A1952="","",IF(BO1952=1,$D1952,MIN($D1952,BS1951)))</f>
        <v>0</v>
      </c>
      <c r="BT1952">
        <f>IF($A1952="","",IF(BP1952=1,F1952,""))</f>
        <v>0</v>
      </c>
    </row>
    <row r="1953" spans="1:72">
      <c r="A1953" s="27">
        <f>IF(Data!$A1953="","",Data!$A1953)</f>
        <v>0</v>
      </c>
      <c r="B1953">
        <f>IF(Data!$B1953="","",Data!$B1953)</f>
        <v>0</v>
      </c>
      <c r="C1953">
        <f>IF(Data!$C1953="","",Data!$C1953)</f>
        <v>0</v>
      </c>
      <c r="D1953">
        <f>IF(Data!$D1953="","",Data!$D1953)</f>
        <v>0</v>
      </c>
      <c r="E1953">
        <f>IF(Data!$E1953="","",Data!$E1953)</f>
        <v>0</v>
      </c>
      <c r="F1953">
        <f>IF($E1953="","",N(F1952)+1)</f>
        <v>0</v>
      </c>
      <c r="G1953">
        <f>IF(OR($E1953="",$E1952=""),"",LN($E1953/$E1952))</f>
        <v>0</v>
      </c>
      <c r="H1953">
        <f>IF($E1953="","",IF($E1952="",$E1953,$E1953*0.0952380952+H1952*0.9047619048))</f>
        <v>0</v>
      </c>
      <c r="I1953">
        <f>IF($E1953="","",IF($E1952="",$E1953,$E1953*0.0392156863+I1952*0.9607843137))</f>
        <v>0</v>
      </c>
      <c r="J1953">
        <f>IF($E1953="","",IF($E1952="",$E1953,$E1953*0.0198019802+J1952*0.9801980198))</f>
        <v>0</v>
      </c>
      <c r="K1953">
        <f>IF($E1953="","",IF($E1952="",$E1953,$E1953*0.0099502488+K1952*0.9900497512))</f>
        <v>0</v>
      </c>
      <c r="L1953">
        <f>IF(OR($E1953="",$E1952=""),"",MAX($E1953-$E1952,0))</f>
        <v>0</v>
      </c>
      <c r="M1953">
        <f>IF(OR($E1953="",$E1952=""),"",MAX($E1952-$E1953,0))</f>
        <v>0</v>
      </c>
      <c r="N1953">
        <f>IF(COUNT($E$2:$E1953)&lt;15,"",IF(AVERAGE($M$1940:$M$1953)=0,100,100-100/(1+AVERAGE($L$1940:$L$1953)/AVERAGE($M$1940:$M$1953))))</f>
        <v>0</v>
      </c>
      <c r="O1953">
        <f>IF($E1953="","",IF($E1952="",$E1953,$E1953*0.1538461538+O1952*0.8461538462))</f>
        <v>0</v>
      </c>
      <c r="P1953">
        <f>IF($E1953="","",IF($E1952="",$E1953,$E1953*0.0740740741+P1952*0.9259259259))</f>
        <v>0</v>
      </c>
      <c r="Q1953">
        <f>IF(OR(O1953="",P1953=""),"",O1953-P1953)</f>
        <v>0</v>
      </c>
      <c r="R1953">
        <f>IF(Q1953="","",IF(R1952="",Q1953,Q1953*0.2000000000+R1952*0.8000000000))</f>
        <v>0</v>
      </c>
      <c r="S1953">
        <f>IF(OR(Q1953="",R1953=""),"",Q1953-R1953)</f>
        <v>0</v>
      </c>
      <c r="T1953">
        <f>IF(COUNT($E$2:$E1953)&lt;14,"",MAX($C$1940:$C$1953))</f>
        <v>0</v>
      </c>
      <c r="U1953">
        <f>IF(COUNT($E$2:$E1953)&lt;14,"",MIN($D$1940:$D$1953))</f>
        <v>0</v>
      </c>
      <c r="V1953">
        <f>IF(OR(T1953="",U1953="",T1953=U1953),"",100*($E1953-U1953)/(T1953-U1953))</f>
        <v>0</v>
      </c>
      <c r="W1953">
        <f>IF(COUNT($V$1951:$V$1953)&lt;3,"",AVERAGE($V$1951:$V$1953))</f>
        <v>0</v>
      </c>
      <c r="X1953">
        <f>IF(COUNT($N$1940:$N$1953)&lt;14,"",MIN($N$1940:$N$1953))</f>
        <v>0</v>
      </c>
      <c r="Y1953">
        <f>IF(COUNT($N$1940:$N$1953)&lt;14,"",MAX($N$1940:$N$1953))</f>
        <v>0</v>
      </c>
      <c r="Z1953">
        <f>IF(OR(N1953="",X1953="",Y1953="",Y1953=X1953),"",100*(N1953-X1953)/(Y1953-X1953))</f>
        <v>0</v>
      </c>
      <c r="AA1953">
        <f>IF(COUNT($Z$1951:$Z$1953)&lt;3,"",AVERAGE($Z$1951:$Z$1953))</f>
        <v>0</v>
      </c>
      <c r="AB1953">
        <f>IF(COUNT($AA$1951:$AA$1953)&lt;3,"",AVERAGE($AA$1951:$AA$1953))</f>
        <v>0</v>
      </c>
      <c r="AC1953">
        <f>IF($E1953="","",MAX($C1953-$D1953,ABS($C1953-$E1952),ABS($D1953-$E1952)))</f>
        <v>0</v>
      </c>
      <c r="AD1953">
        <f>IF(COUNT($E$2:$E1953)&lt;15,"",AVERAGE($AC$1940:$AC$1953))</f>
        <v>0</v>
      </c>
      <c r="AE1953">
        <f>IF(OR($E1953="",$E1952=""),"",IF(AND(($C1953-$C1952)&gt;($D1952-$D1953),($C1953-$C1952)&gt;0),$C1953-$C1952,0))</f>
        <v>0</v>
      </c>
      <c r="AF1953">
        <f>IF(OR($E1953="",$E1952=""),"",IF(AND(($D1952-$D1953)&gt;($C1953-$C1952),($D1952-$D1953)&gt;0),$D1952-$D1953,0))</f>
        <v>0</v>
      </c>
      <c r="AG1953">
        <f>IF(COUNT($E$2:$E1953)&lt;15,"",IF(SUM($AC$1940:$AC$1953)=0,0,100*SUM($AE$1940:$AE$1953)/SUM($AC$1940:$AC$1953)))</f>
        <v>0</v>
      </c>
      <c r="AH1953">
        <f>IF(COUNT($E$2:$E1953)&lt;15,"",IF(SUM($AC$1940:$AC$1953)=0,0,100*SUM($AF$1940:$AF$1953)/SUM($AC$1940:$AC$1953)))</f>
        <v>0</v>
      </c>
      <c r="AI1953">
        <f>IF(OR(AG1953="",AH1953=""),"",IF((AG1953+AH1953)=0,0,100*ABS(AG1953-AH1953)/(AG1953+AH1953)))</f>
        <v>0</v>
      </c>
      <c r="AJ1953">
        <f>IF(COUNT($AI$1940:$AI$1953)&lt;14,"",AVERAGE($AI$1940:$AI$1953))</f>
        <v>0</v>
      </c>
      <c r="AK1953">
        <f>IF(COUNT($E$2:$E1953)&lt;20,"",AVERAGE($E$1934:$E$1953))</f>
        <v>0</v>
      </c>
      <c r="AL1953">
        <f>IF(COUNT($E$2:$E1953)&lt;20,"",STDEVP($E$1934:$E$1953))</f>
        <v>0</v>
      </c>
      <c r="AM1953">
        <f>IF(AK1953="","",AK1953+2*AL1953)</f>
        <v>0</v>
      </c>
      <c r="AN1953">
        <f>IF(AK1953="","",AK1953-2*AL1953)</f>
        <v>0</v>
      </c>
      <c r="AO1953">
        <f>IF(OR(AM1953="",AN1953="",AM1953=AN1953),"",($E1953-AN1953)/(AM1953-AN1953))</f>
        <v>0</v>
      </c>
      <c r="AP1953">
        <f>IF(OR(AM1953="",AK1953="",AK1953=0),"",(AM1953-AN1953)/AK1953)</f>
        <v>0</v>
      </c>
      <c r="AQ1953">
        <f>IF(COUNT($E$2:$E1953)&lt;20,"",MAX($C$1934:$C$1953))</f>
        <v>0</v>
      </c>
      <c r="AR1953">
        <f>IF(COUNT($E$2:$E1953)&lt;20,"",MIN($D$1934:$D$1953))</f>
        <v>0</v>
      </c>
      <c r="AS1953">
        <f>IF(OR(AQ1953="",AR1953=""),"",(AQ1953+AR1953)/2)</f>
        <v>0</v>
      </c>
      <c r="AT1953">
        <f>IF(COUNT($G$1934:$G$1953)&lt;20,"",STDEV($G$1934:$G$1953)*SQRT(252))</f>
        <v>0</v>
      </c>
      <c r="AU1953">
        <f>IF(COUNT($E$2:$E1953)&lt;9,"",(MAX($C$1945:$C$1953)+MIN($D$1945:$D$1953))/2)</f>
        <v>0</v>
      </c>
      <c r="AV1953">
        <f>IF(COUNT($E$2:$E1953)&lt;26,"",(MAX($C$1928:$C$1953)+MIN($D$1928:$D$1953))/2)</f>
        <v>0</v>
      </c>
      <c r="AW1953">
        <f>IF(OR(AU1953="",AV1953=""),"",(AU1953+AV1953)/2)</f>
        <v>0</v>
      </c>
      <c r="AX1953">
        <f>IF(COUNT($E$2:$E1953)&lt;52,"",(MAX($C$1902:$C$1953)+MIN($D$1902:$D$1953))/2)</f>
        <v>0</v>
      </c>
      <c r="AY1953">
        <f>IF(COUNT($E$2:$E1953)&lt;20,"",MAX($C$1854:$C$1953))</f>
        <v>0</v>
      </c>
      <c r="AZ1953">
        <f>IF(COUNT($E$2:$E1953)&lt;20,"",MIN($D$1854:$D$1953))</f>
        <v>0</v>
      </c>
      <c r="BA1953">
        <f>IF(COUNT($E$2:$E1953)&lt;20,"",SLOPE($E$1854:$E$1953,$F$1854:$F$1953))</f>
        <v>0</v>
      </c>
      <c r="BB1953">
        <f>IF(COUNT($E$2:$E1953)&lt;20,"",INTERCEPT($E$1854:$E$1953,$F$1854:$F$1953))</f>
        <v>0</v>
      </c>
      <c r="BC1953">
        <f>IF(OR(BA1953="",BB1953=""),"",BB1953+BA1953*F1953)</f>
        <v>0</v>
      </c>
      <c r="BD1953">
        <f>IF(COUNT($E$2:$E1953)&lt;20,"",STEYX($E$1854:$E$1953,$F$1854:$F$1953))</f>
        <v>0</v>
      </c>
      <c r="BE1953">
        <f>IF($E1953="","",IF(AND(COUNT($E$1954:$E$1957)&gt;=4,$C1953=MAX($C$1949:$C$1957)),$C1953,""))</f>
        <v>0</v>
      </c>
      <c r="BF1953">
        <f>IF($E1953="","",IF(AND(COUNT($E$1954:$E$1957)&gt;=4,$D1953=MIN($D$1949:$D$1957)),$D1953,""))</f>
        <v>0</v>
      </c>
      <c r="BG1953">
        <f>IF($A1953="","",$A1953-WEEKDAY($A1953,2)+1)</f>
        <v>0</v>
      </c>
      <c r="BH1953">
        <f>IF($A1953="","",IF($A1952="",1,IF(BG1953&lt;&gt;BG1952,1,0)))</f>
        <v>0</v>
      </c>
      <c r="BI1953">
        <f>IF($A1953="","",IF($A1954="",1,IF(BG1954&lt;&gt;BG1953,1,0)))</f>
        <v>0</v>
      </c>
      <c r="BJ1953">
        <f>IF($A1953="","",IF(BH1953=1,$B1953,BJ1952))</f>
        <v>0</v>
      </c>
      <c r="BK1953">
        <f>IF($A1953="","",IF(BH1953=1,$C1953,MAX($C1953,BK1952)))</f>
        <v>0</v>
      </c>
      <c r="BL1953">
        <f>IF($A1953="","",IF(BH1953=1,$D1953,MIN($D1953,BL1952)))</f>
        <v>0</v>
      </c>
      <c r="BM1953">
        <f>IF($A1953="","",IF(BI1953=1,F1953,""))</f>
        <v>0</v>
      </c>
      <c r="BN1953">
        <f>IF($A1953="","",DATE(YEAR($A1953),MONTH($A1953),1))</f>
        <v>0</v>
      </c>
      <c r="BO1953">
        <f>IF($A1953="","",IF($A1952="",1,IF(BN1953&lt;&gt;BN1952,1,0)))</f>
        <v>0</v>
      </c>
      <c r="BP1953">
        <f>IF($A1953="","",IF($A1954="",1,IF(BN1954&lt;&gt;BN1953,1,0)))</f>
        <v>0</v>
      </c>
      <c r="BQ1953">
        <f>IF($A1953="","",IF(BO1953=1,$B1953,BQ1952))</f>
        <v>0</v>
      </c>
      <c r="BR1953">
        <f>IF($A1953="","",IF(BO1953=1,$C1953,MAX($C1953,BR1952)))</f>
        <v>0</v>
      </c>
      <c r="BS1953">
        <f>IF($A1953="","",IF(BO1953=1,$D1953,MIN($D1953,BS1952)))</f>
        <v>0</v>
      </c>
      <c r="BT1953">
        <f>IF($A1953="","",IF(BP1953=1,F1953,""))</f>
        <v>0</v>
      </c>
    </row>
    <row r="1954" spans="1:72">
      <c r="A1954" s="27">
        <f>IF(Data!$A1954="","",Data!$A1954)</f>
        <v>0</v>
      </c>
      <c r="B1954">
        <f>IF(Data!$B1954="","",Data!$B1954)</f>
        <v>0</v>
      </c>
      <c r="C1954">
        <f>IF(Data!$C1954="","",Data!$C1954)</f>
        <v>0</v>
      </c>
      <c r="D1954">
        <f>IF(Data!$D1954="","",Data!$D1954)</f>
        <v>0</v>
      </c>
      <c r="E1954">
        <f>IF(Data!$E1954="","",Data!$E1954)</f>
        <v>0</v>
      </c>
      <c r="F1954">
        <f>IF($E1954="","",N(F1953)+1)</f>
        <v>0</v>
      </c>
      <c r="G1954">
        <f>IF(OR($E1954="",$E1953=""),"",LN($E1954/$E1953))</f>
        <v>0</v>
      </c>
      <c r="H1954">
        <f>IF($E1954="","",IF($E1953="",$E1954,$E1954*0.0952380952+H1953*0.9047619048))</f>
        <v>0</v>
      </c>
      <c r="I1954">
        <f>IF($E1954="","",IF($E1953="",$E1954,$E1954*0.0392156863+I1953*0.9607843137))</f>
        <v>0</v>
      </c>
      <c r="J1954">
        <f>IF($E1954="","",IF($E1953="",$E1954,$E1954*0.0198019802+J1953*0.9801980198))</f>
        <v>0</v>
      </c>
      <c r="K1954">
        <f>IF($E1954="","",IF($E1953="",$E1954,$E1954*0.0099502488+K1953*0.9900497512))</f>
        <v>0</v>
      </c>
      <c r="L1954">
        <f>IF(OR($E1954="",$E1953=""),"",MAX($E1954-$E1953,0))</f>
        <v>0</v>
      </c>
      <c r="M1954">
        <f>IF(OR($E1954="",$E1953=""),"",MAX($E1953-$E1954,0))</f>
        <v>0</v>
      </c>
      <c r="N1954">
        <f>IF(COUNT($E$2:$E1954)&lt;15,"",IF(AVERAGE($M$1941:$M$1954)=0,100,100-100/(1+AVERAGE($L$1941:$L$1954)/AVERAGE($M$1941:$M$1954))))</f>
        <v>0</v>
      </c>
      <c r="O1954">
        <f>IF($E1954="","",IF($E1953="",$E1954,$E1954*0.1538461538+O1953*0.8461538462))</f>
        <v>0</v>
      </c>
      <c r="P1954">
        <f>IF($E1954="","",IF($E1953="",$E1954,$E1954*0.0740740741+P1953*0.9259259259))</f>
        <v>0</v>
      </c>
      <c r="Q1954">
        <f>IF(OR(O1954="",P1954=""),"",O1954-P1954)</f>
        <v>0</v>
      </c>
      <c r="R1954">
        <f>IF(Q1954="","",IF(R1953="",Q1954,Q1954*0.2000000000+R1953*0.8000000000))</f>
        <v>0</v>
      </c>
      <c r="S1954">
        <f>IF(OR(Q1954="",R1954=""),"",Q1954-R1954)</f>
        <v>0</v>
      </c>
      <c r="T1954">
        <f>IF(COUNT($E$2:$E1954)&lt;14,"",MAX($C$1941:$C$1954))</f>
        <v>0</v>
      </c>
      <c r="U1954">
        <f>IF(COUNT($E$2:$E1954)&lt;14,"",MIN($D$1941:$D$1954))</f>
        <v>0</v>
      </c>
      <c r="V1954">
        <f>IF(OR(T1954="",U1954="",T1954=U1954),"",100*($E1954-U1954)/(T1954-U1954))</f>
        <v>0</v>
      </c>
      <c r="W1954">
        <f>IF(COUNT($V$1952:$V$1954)&lt;3,"",AVERAGE($V$1952:$V$1954))</f>
        <v>0</v>
      </c>
      <c r="X1954">
        <f>IF(COUNT($N$1941:$N$1954)&lt;14,"",MIN($N$1941:$N$1954))</f>
        <v>0</v>
      </c>
      <c r="Y1954">
        <f>IF(COUNT($N$1941:$N$1954)&lt;14,"",MAX($N$1941:$N$1954))</f>
        <v>0</v>
      </c>
      <c r="Z1954">
        <f>IF(OR(N1954="",X1954="",Y1954="",Y1954=X1954),"",100*(N1954-X1954)/(Y1954-X1954))</f>
        <v>0</v>
      </c>
      <c r="AA1954">
        <f>IF(COUNT($Z$1952:$Z$1954)&lt;3,"",AVERAGE($Z$1952:$Z$1954))</f>
        <v>0</v>
      </c>
      <c r="AB1954">
        <f>IF(COUNT($AA$1952:$AA$1954)&lt;3,"",AVERAGE($AA$1952:$AA$1954))</f>
        <v>0</v>
      </c>
      <c r="AC1954">
        <f>IF($E1954="","",MAX($C1954-$D1954,ABS($C1954-$E1953),ABS($D1954-$E1953)))</f>
        <v>0</v>
      </c>
      <c r="AD1954">
        <f>IF(COUNT($E$2:$E1954)&lt;15,"",AVERAGE($AC$1941:$AC$1954))</f>
        <v>0</v>
      </c>
      <c r="AE1954">
        <f>IF(OR($E1954="",$E1953=""),"",IF(AND(($C1954-$C1953)&gt;($D1953-$D1954),($C1954-$C1953)&gt;0),$C1954-$C1953,0))</f>
        <v>0</v>
      </c>
      <c r="AF1954">
        <f>IF(OR($E1954="",$E1953=""),"",IF(AND(($D1953-$D1954)&gt;($C1954-$C1953),($D1953-$D1954)&gt;0),$D1953-$D1954,0))</f>
        <v>0</v>
      </c>
      <c r="AG1954">
        <f>IF(COUNT($E$2:$E1954)&lt;15,"",IF(SUM($AC$1941:$AC$1954)=0,0,100*SUM($AE$1941:$AE$1954)/SUM($AC$1941:$AC$1954)))</f>
        <v>0</v>
      </c>
      <c r="AH1954">
        <f>IF(COUNT($E$2:$E1954)&lt;15,"",IF(SUM($AC$1941:$AC$1954)=0,0,100*SUM($AF$1941:$AF$1954)/SUM($AC$1941:$AC$1954)))</f>
        <v>0</v>
      </c>
      <c r="AI1954">
        <f>IF(OR(AG1954="",AH1954=""),"",IF((AG1954+AH1954)=0,0,100*ABS(AG1954-AH1954)/(AG1954+AH1954)))</f>
        <v>0</v>
      </c>
      <c r="AJ1954">
        <f>IF(COUNT($AI$1941:$AI$1954)&lt;14,"",AVERAGE($AI$1941:$AI$1954))</f>
        <v>0</v>
      </c>
      <c r="AK1954">
        <f>IF(COUNT($E$2:$E1954)&lt;20,"",AVERAGE($E$1935:$E$1954))</f>
        <v>0</v>
      </c>
      <c r="AL1954">
        <f>IF(COUNT($E$2:$E1954)&lt;20,"",STDEVP($E$1935:$E$1954))</f>
        <v>0</v>
      </c>
      <c r="AM1954">
        <f>IF(AK1954="","",AK1954+2*AL1954)</f>
        <v>0</v>
      </c>
      <c r="AN1954">
        <f>IF(AK1954="","",AK1954-2*AL1954)</f>
        <v>0</v>
      </c>
      <c r="AO1954">
        <f>IF(OR(AM1954="",AN1954="",AM1954=AN1954),"",($E1954-AN1954)/(AM1954-AN1954))</f>
        <v>0</v>
      </c>
      <c r="AP1954">
        <f>IF(OR(AM1954="",AK1954="",AK1954=0),"",(AM1954-AN1954)/AK1954)</f>
        <v>0</v>
      </c>
      <c r="AQ1954">
        <f>IF(COUNT($E$2:$E1954)&lt;20,"",MAX($C$1935:$C$1954))</f>
        <v>0</v>
      </c>
      <c r="AR1954">
        <f>IF(COUNT($E$2:$E1954)&lt;20,"",MIN($D$1935:$D$1954))</f>
        <v>0</v>
      </c>
      <c r="AS1954">
        <f>IF(OR(AQ1954="",AR1954=""),"",(AQ1954+AR1954)/2)</f>
        <v>0</v>
      </c>
      <c r="AT1954">
        <f>IF(COUNT($G$1935:$G$1954)&lt;20,"",STDEV($G$1935:$G$1954)*SQRT(252))</f>
        <v>0</v>
      </c>
      <c r="AU1954">
        <f>IF(COUNT($E$2:$E1954)&lt;9,"",(MAX($C$1946:$C$1954)+MIN($D$1946:$D$1954))/2)</f>
        <v>0</v>
      </c>
      <c r="AV1954">
        <f>IF(COUNT($E$2:$E1954)&lt;26,"",(MAX($C$1929:$C$1954)+MIN($D$1929:$D$1954))/2)</f>
        <v>0</v>
      </c>
      <c r="AW1954">
        <f>IF(OR(AU1954="",AV1954=""),"",(AU1954+AV1954)/2)</f>
        <v>0</v>
      </c>
      <c r="AX1954">
        <f>IF(COUNT($E$2:$E1954)&lt;52,"",(MAX($C$1903:$C$1954)+MIN($D$1903:$D$1954))/2)</f>
        <v>0</v>
      </c>
      <c r="AY1954">
        <f>IF(COUNT($E$2:$E1954)&lt;20,"",MAX($C$1855:$C$1954))</f>
        <v>0</v>
      </c>
      <c r="AZ1954">
        <f>IF(COUNT($E$2:$E1954)&lt;20,"",MIN($D$1855:$D$1954))</f>
        <v>0</v>
      </c>
      <c r="BA1954">
        <f>IF(COUNT($E$2:$E1954)&lt;20,"",SLOPE($E$1855:$E$1954,$F$1855:$F$1954))</f>
        <v>0</v>
      </c>
      <c r="BB1954">
        <f>IF(COUNT($E$2:$E1954)&lt;20,"",INTERCEPT($E$1855:$E$1954,$F$1855:$F$1954))</f>
        <v>0</v>
      </c>
      <c r="BC1954">
        <f>IF(OR(BA1954="",BB1954=""),"",BB1954+BA1954*F1954)</f>
        <v>0</v>
      </c>
      <c r="BD1954">
        <f>IF(COUNT($E$2:$E1954)&lt;20,"",STEYX($E$1855:$E$1954,$F$1855:$F$1954))</f>
        <v>0</v>
      </c>
      <c r="BE1954">
        <f>IF($E1954="","",IF(AND(COUNT($E$1955:$E$1958)&gt;=4,$C1954=MAX($C$1950:$C$1958)),$C1954,""))</f>
        <v>0</v>
      </c>
      <c r="BF1954">
        <f>IF($E1954="","",IF(AND(COUNT($E$1955:$E$1958)&gt;=4,$D1954=MIN($D$1950:$D$1958)),$D1954,""))</f>
        <v>0</v>
      </c>
      <c r="BG1954">
        <f>IF($A1954="","",$A1954-WEEKDAY($A1954,2)+1)</f>
        <v>0</v>
      </c>
      <c r="BH1954">
        <f>IF($A1954="","",IF($A1953="",1,IF(BG1954&lt;&gt;BG1953,1,0)))</f>
        <v>0</v>
      </c>
      <c r="BI1954">
        <f>IF($A1954="","",IF($A1955="",1,IF(BG1955&lt;&gt;BG1954,1,0)))</f>
        <v>0</v>
      </c>
      <c r="BJ1954">
        <f>IF($A1954="","",IF(BH1954=1,$B1954,BJ1953))</f>
        <v>0</v>
      </c>
      <c r="BK1954">
        <f>IF($A1954="","",IF(BH1954=1,$C1954,MAX($C1954,BK1953)))</f>
        <v>0</v>
      </c>
      <c r="BL1954">
        <f>IF($A1954="","",IF(BH1954=1,$D1954,MIN($D1954,BL1953)))</f>
        <v>0</v>
      </c>
      <c r="BM1954">
        <f>IF($A1954="","",IF(BI1954=1,F1954,""))</f>
        <v>0</v>
      </c>
      <c r="BN1954">
        <f>IF($A1954="","",DATE(YEAR($A1954),MONTH($A1954),1))</f>
        <v>0</v>
      </c>
      <c r="BO1954">
        <f>IF($A1954="","",IF($A1953="",1,IF(BN1954&lt;&gt;BN1953,1,0)))</f>
        <v>0</v>
      </c>
      <c r="BP1954">
        <f>IF($A1954="","",IF($A1955="",1,IF(BN1955&lt;&gt;BN1954,1,0)))</f>
        <v>0</v>
      </c>
      <c r="BQ1954">
        <f>IF($A1954="","",IF(BO1954=1,$B1954,BQ1953))</f>
        <v>0</v>
      </c>
      <c r="BR1954">
        <f>IF($A1954="","",IF(BO1954=1,$C1954,MAX($C1954,BR1953)))</f>
        <v>0</v>
      </c>
      <c r="BS1954">
        <f>IF($A1954="","",IF(BO1954=1,$D1954,MIN($D1954,BS1953)))</f>
        <v>0</v>
      </c>
      <c r="BT1954">
        <f>IF($A1954="","",IF(BP1954=1,F1954,""))</f>
        <v>0</v>
      </c>
    </row>
    <row r="1955" spans="1:72">
      <c r="A1955" s="27">
        <f>IF(Data!$A1955="","",Data!$A1955)</f>
        <v>0</v>
      </c>
      <c r="B1955">
        <f>IF(Data!$B1955="","",Data!$B1955)</f>
        <v>0</v>
      </c>
      <c r="C1955">
        <f>IF(Data!$C1955="","",Data!$C1955)</f>
        <v>0</v>
      </c>
      <c r="D1955">
        <f>IF(Data!$D1955="","",Data!$D1955)</f>
        <v>0</v>
      </c>
      <c r="E1955">
        <f>IF(Data!$E1955="","",Data!$E1955)</f>
        <v>0</v>
      </c>
      <c r="F1955">
        <f>IF($E1955="","",N(F1954)+1)</f>
        <v>0</v>
      </c>
      <c r="G1955">
        <f>IF(OR($E1955="",$E1954=""),"",LN($E1955/$E1954))</f>
        <v>0</v>
      </c>
      <c r="H1955">
        <f>IF($E1955="","",IF($E1954="",$E1955,$E1955*0.0952380952+H1954*0.9047619048))</f>
        <v>0</v>
      </c>
      <c r="I1955">
        <f>IF($E1955="","",IF($E1954="",$E1955,$E1955*0.0392156863+I1954*0.9607843137))</f>
        <v>0</v>
      </c>
      <c r="J1955">
        <f>IF($E1955="","",IF($E1954="",$E1955,$E1955*0.0198019802+J1954*0.9801980198))</f>
        <v>0</v>
      </c>
      <c r="K1955">
        <f>IF($E1955="","",IF($E1954="",$E1955,$E1955*0.0099502488+K1954*0.9900497512))</f>
        <v>0</v>
      </c>
      <c r="L1955">
        <f>IF(OR($E1955="",$E1954=""),"",MAX($E1955-$E1954,0))</f>
        <v>0</v>
      </c>
      <c r="M1955">
        <f>IF(OR($E1955="",$E1954=""),"",MAX($E1954-$E1955,0))</f>
        <v>0</v>
      </c>
      <c r="N1955">
        <f>IF(COUNT($E$2:$E1955)&lt;15,"",IF(AVERAGE($M$1942:$M$1955)=0,100,100-100/(1+AVERAGE($L$1942:$L$1955)/AVERAGE($M$1942:$M$1955))))</f>
        <v>0</v>
      </c>
      <c r="O1955">
        <f>IF($E1955="","",IF($E1954="",$E1955,$E1955*0.1538461538+O1954*0.8461538462))</f>
        <v>0</v>
      </c>
      <c r="P1955">
        <f>IF($E1955="","",IF($E1954="",$E1955,$E1955*0.0740740741+P1954*0.9259259259))</f>
        <v>0</v>
      </c>
      <c r="Q1955">
        <f>IF(OR(O1955="",P1955=""),"",O1955-P1955)</f>
        <v>0</v>
      </c>
      <c r="R1955">
        <f>IF(Q1955="","",IF(R1954="",Q1955,Q1955*0.2000000000+R1954*0.8000000000))</f>
        <v>0</v>
      </c>
      <c r="S1955">
        <f>IF(OR(Q1955="",R1955=""),"",Q1955-R1955)</f>
        <v>0</v>
      </c>
      <c r="T1955">
        <f>IF(COUNT($E$2:$E1955)&lt;14,"",MAX($C$1942:$C$1955))</f>
        <v>0</v>
      </c>
      <c r="U1955">
        <f>IF(COUNT($E$2:$E1955)&lt;14,"",MIN($D$1942:$D$1955))</f>
        <v>0</v>
      </c>
      <c r="V1955">
        <f>IF(OR(T1955="",U1955="",T1955=U1955),"",100*($E1955-U1955)/(T1955-U1955))</f>
        <v>0</v>
      </c>
      <c r="W1955">
        <f>IF(COUNT($V$1953:$V$1955)&lt;3,"",AVERAGE($V$1953:$V$1955))</f>
        <v>0</v>
      </c>
      <c r="X1955">
        <f>IF(COUNT($N$1942:$N$1955)&lt;14,"",MIN($N$1942:$N$1955))</f>
        <v>0</v>
      </c>
      <c r="Y1955">
        <f>IF(COUNT($N$1942:$N$1955)&lt;14,"",MAX($N$1942:$N$1955))</f>
        <v>0</v>
      </c>
      <c r="Z1955">
        <f>IF(OR(N1955="",X1955="",Y1955="",Y1955=X1955),"",100*(N1955-X1955)/(Y1955-X1955))</f>
        <v>0</v>
      </c>
      <c r="AA1955">
        <f>IF(COUNT($Z$1953:$Z$1955)&lt;3,"",AVERAGE($Z$1953:$Z$1955))</f>
        <v>0</v>
      </c>
      <c r="AB1955">
        <f>IF(COUNT($AA$1953:$AA$1955)&lt;3,"",AVERAGE($AA$1953:$AA$1955))</f>
        <v>0</v>
      </c>
      <c r="AC1955">
        <f>IF($E1955="","",MAX($C1955-$D1955,ABS($C1955-$E1954),ABS($D1955-$E1954)))</f>
        <v>0</v>
      </c>
      <c r="AD1955">
        <f>IF(COUNT($E$2:$E1955)&lt;15,"",AVERAGE($AC$1942:$AC$1955))</f>
        <v>0</v>
      </c>
      <c r="AE1955">
        <f>IF(OR($E1955="",$E1954=""),"",IF(AND(($C1955-$C1954)&gt;($D1954-$D1955),($C1955-$C1954)&gt;0),$C1955-$C1954,0))</f>
        <v>0</v>
      </c>
      <c r="AF1955">
        <f>IF(OR($E1955="",$E1954=""),"",IF(AND(($D1954-$D1955)&gt;($C1955-$C1954),($D1954-$D1955)&gt;0),$D1954-$D1955,0))</f>
        <v>0</v>
      </c>
      <c r="AG1955">
        <f>IF(COUNT($E$2:$E1955)&lt;15,"",IF(SUM($AC$1942:$AC$1955)=0,0,100*SUM($AE$1942:$AE$1955)/SUM($AC$1942:$AC$1955)))</f>
        <v>0</v>
      </c>
      <c r="AH1955">
        <f>IF(COUNT($E$2:$E1955)&lt;15,"",IF(SUM($AC$1942:$AC$1955)=0,0,100*SUM($AF$1942:$AF$1955)/SUM($AC$1942:$AC$1955)))</f>
        <v>0</v>
      </c>
      <c r="AI1955">
        <f>IF(OR(AG1955="",AH1955=""),"",IF((AG1955+AH1955)=0,0,100*ABS(AG1955-AH1955)/(AG1955+AH1955)))</f>
        <v>0</v>
      </c>
      <c r="AJ1955">
        <f>IF(COUNT($AI$1942:$AI$1955)&lt;14,"",AVERAGE($AI$1942:$AI$1955))</f>
        <v>0</v>
      </c>
      <c r="AK1955">
        <f>IF(COUNT($E$2:$E1955)&lt;20,"",AVERAGE($E$1936:$E$1955))</f>
        <v>0</v>
      </c>
      <c r="AL1955">
        <f>IF(COUNT($E$2:$E1955)&lt;20,"",STDEVP($E$1936:$E$1955))</f>
        <v>0</v>
      </c>
      <c r="AM1955">
        <f>IF(AK1955="","",AK1955+2*AL1955)</f>
        <v>0</v>
      </c>
      <c r="AN1955">
        <f>IF(AK1955="","",AK1955-2*AL1955)</f>
        <v>0</v>
      </c>
      <c r="AO1955">
        <f>IF(OR(AM1955="",AN1955="",AM1955=AN1955),"",($E1955-AN1955)/(AM1955-AN1955))</f>
        <v>0</v>
      </c>
      <c r="AP1955">
        <f>IF(OR(AM1955="",AK1955="",AK1955=0),"",(AM1955-AN1955)/AK1955)</f>
        <v>0</v>
      </c>
      <c r="AQ1955">
        <f>IF(COUNT($E$2:$E1955)&lt;20,"",MAX($C$1936:$C$1955))</f>
        <v>0</v>
      </c>
      <c r="AR1955">
        <f>IF(COUNT($E$2:$E1955)&lt;20,"",MIN($D$1936:$D$1955))</f>
        <v>0</v>
      </c>
      <c r="AS1955">
        <f>IF(OR(AQ1955="",AR1955=""),"",(AQ1955+AR1955)/2)</f>
        <v>0</v>
      </c>
      <c r="AT1955">
        <f>IF(COUNT($G$1936:$G$1955)&lt;20,"",STDEV($G$1936:$G$1955)*SQRT(252))</f>
        <v>0</v>
      </c>
      <c r="AU1955">
        <f>IF(COUNT($E$2:$E1955)&lt;9,"",(MAX($C$1947:$C$1955)+MIN($D$1947:$D$1955))/2)</f>
        <v>0</v>
      </c>
      <c r="AV1955">
        <f>IF(COUNT($E$2:$E1955)&lt;26,"",(MAX($C$1930:$C$1955)+MIN($D$1930:$D$1955))/2)</f>
        <v>0</v>
      </c>
      <c r="AW1955">
        <f>IF(OR(AU1955="",AV1955=""),"",(AU1955+AV1955)/2)</f>
        <v>0</v>
      </c>
      <c r="AX1955">
        <f>IF(COUNT($E$2:$E1955)&lt;52,"",(MAX($C$1904:$C$1955)+MIN($D$1904:$D$1955))/2)</f>
        <v>0</v>
      </c>
      <c r="AY1955">
        <f>IF(COUNT($E$2:$E1955)&lt;20,"",MAX($C$1856:$C$1955))</f>
        <v>0</v>
      </c>
      <c r="AZ1955">
        <f>IF(COUNT($E$2:$E1955)&lt;20,"",MIN($D$1856:$D$1955))</f>
        <v>0</v>
      </c>
      <c r="BA1955">
        <f>IF(COUNT($E$2:$E1955)&lt;20,"",SLOPE($E$1856:$E$1955,$F$1856:$F$1955))</f>
        <v>0</v>
      </c>
      <c r="BB1955">
        <f>IF(COUNT($E$2:$E1955)&lt;20,"",INTERCEPT($E$1856:$E$1955,$F$1856:$F$1955))</f>
        <v>0</v>
      </c>
      <c r="BC1955">
        <f>IF(OR(BA1955="",BB1955=""),"",BB1955+BA1955*F1955)</f>
        <v>0</v>
      </c>
      <c r="BD1955">
        <f>IF(COUNT($E$2:$E1955)&lt;20,"",STEYX($E$1856:$E$1955,$F$1856:$F$1955))</f>
        <v>0</v>
      </c>
      <c r="BE1955">
        <f>IF($E1955="","",IF(AND(COUNT($E$1956:$E$1959)&gt;=4,$C1955=MAX($C$1951:$C$1959)),$C1955,""))</f>
        <v>0</v>
      </c>
      <c r="BF1955">
        <f>IF($E1955="","",IF(AND(COUNT($E$1956:$E$1959)&gt;=4,$D1955=MIN($D$1951:$D$1959)),$D1955,""))</f>
        <v>0</v>
      </c>
      <c r="BG1955">
        <f>IF($A1955="","",$A1955-WEEKDAY($A1955,2)+1)</f>
        <v>0</v>
      </c>
      <c r="BH1955">
        <f>IF($A1955="","",IF($A1954="",1,IF(BG1955&lt;&gt;BG1954,1,0)))</f>
        <v>0</v>
      </c>
      <c r="BI1955">
        <f>IF($A1955="","",IF($A1956="",1,IF(BG1956&lt;&gt;BG1955,1,0)))</f>
        <v>0</v>
      </c>
      <c r="BJ1955">
        <f>IF($A1955="","",IF(BH1955=1,$B1955,BJ1954))</f>
        <v>0</v>
      </c>
      <c r="BK1955">
        <f>IF($A1955="","",IF(BH1955=1,$C1955,MAX($C1955,BK1954)))</f>
        <v>0</v>
      </c>
      <c r="BL1955">
        <f>IF($A1955="","",IF(BH1955=1,$D1955,MIN($D1955,BL1954)))</f>
        <v>0</v>
      </c>
      <c r="BM1955">
        <f>IF($A1955="","",IF(BI1955=1,F1955,""))</f>
        <v>0</v>
      </c>
      <c r="BN1955">
        <f>IF($A1955="","",DATE(YEAR($A1955),MONTH($A1955),1))</f>
        <v>0</v>
      </c>
      <c r="BO1955">
        <f>IF($A1955="","",IF($A1954="",1,IF(BN1955&lt;&gt;BN1954,1,0)))</f>
        <v>0</v>
      </c>
      <c r="BP1955">
        <f>IF($A1955="","",IF($A1956="",1,IF(BN1956&lt;&gt;BN1955,1,0)))</f>
        <v>0</v>
      </c>
      <c r="BQ1955">
        <f>IF($A1955="","",IF(BO1955=1,$B1955,BQ1954))</f>
        <v>0</v>
      </c>
      <c r="BR1955">
        <f>IF($A1955="","",IF(BO1955=1,$C1955,MAX($C1955,BR1954)))</f>
        <v>0</v>
      </c>
      <c r="BS1955">
        <f>IF($A1955="","",IF(BO1955=1,$D1955,MIN($D1955,BS1954)))</f>
        <v>0</v>
      </c>
      <c r="BT1955">
        <f>IF($A1955="","",IF(BP1955=1,F1955,""))</f>
        <v>0</v>
      </c>
    </row>
    <row r="1956" spans="1:72">
      <c r="A1956" s="27">
        <f>IF(Data!$A1956="","",Data!$A1956)</f>
        <v>0</v>
      </c>
      <c r="B1956">
        <f>IF(Data!$B1956="","",Data!$B1956)</f>
        <v>0</v>
      </c>
      <c r="C1956">
        <f>IF(Data!$C1956="","",Data!$C1956)</f>
        <v>0</v>
      </c>
      <c r="D1956">
        <f>IF(Data!$D1956="","",Data!$D1956)</f>
        <v>0</v>
      </c>
      <c r="E1956">
        <f>IF(Data!$E1956="","",Data!$E1956)</f>
        <v>0</v>
      </c>
      <c r="F1956">
        <f>IF($E1956="","",N(F1955)+1)</f>
        <v>0</v>
      </c>
      <c r="G1956">
        <f>IF(OR($E1956="",$E1955=""),"",LN($E1956/$E1955))</f>
        <v>0</v>
      </c>
      <c r="H1956">
        <f>IF($E1956="","",IF($E1955="",$E1956,$E1956*0.0952380952+H1955*0.9047619048))</f>
        <v>0</v>
      </c>
      <c r="I1956">
        <f>IF($E1956="","",IF($E1955="",$E1956,$E1956*0.0392156863+I1955*0.9607843137))</f>
        <v>0</v>
      </c>
      <c r="J1956">
        <f>IF($E1956="","",IF($E1955="",$E1956,$E1956*0.0198019802+J1955*0.9801980198))</f>
        <v>0</v>
      </c>
      <c r="K1956">
        <f>IF($E1956="","",IF($E1955="",$E1956,$E1956*0.0099502488+K1955*0.9900497512))</f>
        <v>0</v>
      </c>
      <c r="L1956">
        <f>IF(OR($E1956="",$E1955=""),"",MAX($E1956-$E1955,0))</f>
        <v>0</v>
      </c>
      <c r="M1956">
        <f>IF(OR($E1956="",$E1955=""),"",MAX($E1955-$E1956,0))</f>
        <v>0</v>
      </c>
      <c r="N1956">
        <f>IF(COUNT($E$2:$E1956)&lt;15,"",IF(AVERAGE($M$1943:$M$1956)=0,100,100-100/(1+AVERAGE($L$1943:$L$1956)/AVERAGE($M$1943:$M$1956))))</f>
        <v>0</v>
      </c>
      <c r="O1956">
        <f>IF($E1956="","",IF($E1955="",$E1956,$E1956*0.1538461538+O1955*0.8461538462))</f>
        <v>0</v>
      </c>
      <c r="P1956">
        <f>IF($E1956="","",IF($E1955="",$E1956,$E1956*0.0740740741+P1955*0.9259259259))</f>
        <v>0</v>
      </c>
      <c r="Q1956">
        <f>IF(OR(O1956="",P1956=""),"",O1956-P1956)</f>
        <v>0</v>
      </c>
      <c r="R1956">
        <f>IF(Q1956="","",IF(R1955="",Q1956,Q1956*0.2000000000+R1955*0.8000000000))</f>
        <v>0</v>
      </c>
      <c r="S1956">
        <f>IF(OR(Q1956="",R1956=""),"",Q1956-R1956)</f>
        <v>0</v>
      </c>
      <c r="T1956">
        <f>IF(COUNT($E$2:$E1956)&lt;14,"",MAX($C$1943:$C$1956))</f>
        <v>0</v>
      </c>
      <c r="U1956">
        <f>IF(COUNT($E$2:$E1956)&lt;14,"",MIN($D$1943:$D$1956))</f>
        <v>0</v>
      </c>
      <c r="V1956">
        <f>IF(OR(T1956="",U1956="",T1956=U1956),"",100*($E1956-U1956)/(T1956-U1956))</f>
        <v>0</v>
      </c>
      <c r="W1956">
        <f>IF(COUNT($V$1954:$V$1956)&lt;3,"",AVERAGE($V$1954:$V$1956))</f>
        <v>0</v>
      </c>
      <c r="X1956">
        <f>IF(COUNT($N$1943:$N$1956)&lt;14,"",MIN($N$1943:$N$1956))</f>
        <v>0</v>
      </c>
      <c r="Y1956">
        <f>IF(COUNT($N$1943:$N$1956)&lt;14,"",MAX($N$1943:$N$1956))</f>
        <v>0</v>
      </c>
      <c r="Z1956">
        <f>IF(OR(N1956="",X1956="",Y1956="",Y1956=X1956),"",100*(N1956-X1956)/(Y1956-X1956))</f>
        <v>0</v>
      </c>
      <c r="AA1956">
        <f>IF(COUNT($Z$1954:$Z$1956)&lt;3,"",AVERAGE($Z$1954:$Z$1956))</f>
        <v>0</v>
      </c>
      <c r="AB1956">
        <f>IF(COUNT($AA$1954:$AA$1956)&lt;3,"",AVERAGE($AA$1954:$AA$1956))</f>
        <v>0</v>
      </c>
      <c r="AC1956">
        <f>IF($E1956="","",MAX($C1956-$D1956,ABS($C1956-$E1955),ABS($D1956-$E1955)))</f>
        <v>0</v>
      </c>
      <c r="AD1956">
        <f>IF(COUNT($E$2:$E1956)&lt;15,"",AVERAGE($AC$1943:$AC$1956))</f>
        <v>0</v>
      </c>
      <c r="AE1956">
        <f>IF(OR($E1956="",$E1955=""),"",IF(AND(($C1956-$C1955)&gt;($D1955-$D1956),($C1956-$C1955)&gt;0),$C1956-$C1955,0))</f>
        <v>0</v>
      </c>
      <c r="AF1956">
        <f>IF(OR($E1956="",$E1955=""),"",IF(AND(($D1955-$D1956)&gt;($C1956-$C1955),($D1955-$D1956)&gt;0),$D1955-$D1956,0))</f>
        <v>0</v>
      </c>
      <c r="AG1956">
        <f>IF(COUNT($E$2:$E1956)&lt;15,"",IF(SUM($AC$1943:$AC$1956)=0,0,100*SUM($AE$1943:$AE$1956)/SUM($AC$1943:$AC$1956)))</f>
        <v>0</v>
      </c>
      <c r="AH1956">
        <f>IF(COUNT($E$2:$E1956)&lt;15,"",IF(SUM($AC$1943:$AC$1956)=0,0,100*SUM($AF$1943:$AF$1956)/SUM($AC$1943:$AC$1956)))</f>
        <v>0</v>
      </c>
      <c r="AI1956">
        <f>IF(OR(AG1956="",AH1956=""),"",IF((AG1956+AH1956)=0,0,100*ABS(AG1956-AH1956)/(AG1956+AH1956)))</f>
        <v>0</v>
      </c>
      <c r="AJ1956">
        <f>IF(COUNT($AI$1943:$AI$1956)&lt;14,"",AVERAGE($AI$1943:$AI$1956))</f>
        <v>0</v>
      </c>
      <c r="AK1956">
        <f>IF(COUNT($E$2:$E1956)&lt;20,"",AVERAGE($E$1937:$E$1956))</f>
        <v>0</v>
      </c>
      <c r="AL1956">
        <f>IF(COUNT($E$2:$E1956)&lt;20,"",STDEVP($E$1937:$E$1956))</f>
        <v>0</v>
      </c>
      <c r="AM1956">
        <f>IF(AK1956="","",AK1956+2*AL1956)</f>
        <v>0</v>
      </c>
      <c r="AN1956">
        <f>IF(AK1956="","",AK1956-2*AL1956)</f>
        <v>0</v>
      </c>
      <c r="AO1956">
        <f>IF(OR(AM1956="",AN1956="",AM1956=AN1956),"",($E1956-AN1956)/(AM1956-AN1956))</f>
        <v>0</v>
      </c>
      <c r="AP1956">
        <f>IF(OR(AM1956="",AK1956="",AK1956=0),"",(AM1956-AN1956)/AK1956)</f>
        <v>0</v>
      </c>
      <c r="AQ1956">
        <f>IF(COUNT($E$2:$E1956)&lt;20,"",MAX($C$1937:$C$1956))</f>
        <v>0</v>
      </c>
      <c r="AR1956">
        <f>IF(COUNT($E$2:$E1956)&lt;20,"",MIN($D$1937:$D$1956))</f>
        <v>0</v>
      </c>
      <c r="AS1956">
        <f>IF(OR(AQ1956="",AR1956=""),"",(AQ1956+AR1956)/2)</f>
        <v>0</v>
      </c>
      <c r="AT1956">
        <f>IF(COUNT($G$1937:$G$1956)&lt;20,"",STDEV($G$1937:$G$1956)*SQRT(252))</f>
        <v>0</v>
      </c>
      <c r="AU1956">
        <f>IF(COUNT($E$2:$E1956)&lt;9,"",(MAX($C$1948:$C$1956)+MIN($D$1948:$D$1956))/2)</f>
        <v>0</v>
      </c>
      <c r="AV1956">
        <f>IF(COUNT($E$2:$E1956)&lt;26,"",(MAX($C$1931:$C$1956)+MIN($D$1931:$D$1956))/2)</f>
        <v>0</v>
      </c>
      <c r="AW1956">
        <f>IF(OR(AU1956="",AV1956=""),"",(AU1956+AV1956)/2)</f>
        <v>0</v>
      </c>
      <c r="AX1956">
        <f>IF(COUNT($E$2:$E1956)&lt;52,"",(MAX($C$1905:$C$1956)+MIN($D$1905:$D$1956))/2)</f>
        <v>0</v>
      </c>
      <c r="AY1956">
        <f>IF(COUNT($E$2:$E1956)&lt;20,"",MAX($C$1857:$C$1956))</f>
        <v>0</v>
      </c>
      <c r="AZ1956">
        <f>IF(COUNT($E$2:$E1956)&lt;20,"",MIN($D$1857:$D$1956))</f>
        <v>0</v>
      </c>
      <c r="BA1956">
        <f>IF(COUNT($E$2:$E1956)&lt;20,"",SLOPE($E$1857:$E$1956,$F$1857:$F$1956))</f>
        <v>0</v>
      </c>
      <c r="BB1956">
        <f>IF(COUNT($E$2:$E1956)&lt;20,"",INTERCEPT($E$1857:$E$1956,$F$1857:$F$1956))</f>
        <v>0</v>
      </c>
      <c r="BC1956">
        <f>IF(OR(BA1956="",BB1956=""),"",BB1956+BA1956*F1956)</f>
        <v>0</v>
      </c>
      <c r="BD1956">
        <f>IF(COUNT($E$2:$E1956)&lt;20,"",STEYX($E$1857:$E$1956,$F$1857:$F$1956))</f>
        <v>0</v>
      </c>
      <c r="BE1956">
        <f>IF($E1956="","",IF(AND(COUNT($E$1957:$E$1960)&gt;=4,$C1956=MAX($C$1952:$C$1960)),$C1956,""))</f>
        <v>0</v>
      </c>
      <c r="BF1956">
        <f>IF($E1956="","",IF(AND(COUNT($E$1957:$E$1960)&gt;=4,$D1956=MIN($D$1952:$D$1960)),$D1956,""))</f>
        <v>0</v>
      </c>
      <c r="BG1956">
        <f>IF($A1956="","",$A1956-WEEKDAY($A1956,2)+1)</f>
        <v>0</v>
      </c>
      <c r="BH1956">
        <f>IF($A1956="","",IF($A1955="",1,IF(BG1956&lt;&gt;BG1955,1,0)))</f>
        <v>0</v>
      </c>
      <c r="BI1956">
        <f>IF($A1956="","",IF($A1957="",1,IF(BG1957&lt;&gt;BG1956,1,0)))</f>
        <v>0</v>
      </c>
      <c r="BJ1956">
        <f>IF($A1956="","",IF(BH1956=1,$B1956,BJ1955))</f>
        <v>0</v>
      </c>
      <c r="BK1956">
        <f>IF($A1956="","",IF(BH1956=1,$C1956,MAX($C1956,BK1955)))</f>
        <v>0</v>
      </c>
      <c r="BL1956">
        <f>IF($A1956="","",IF(BH1956=1,$D1956,MIN($D1956,BL1955)))</f>
        <v>0</v>
      </c>
      <c r="BM1956">
        <f>IF($A1956="","",IF(BI1956=1,F1956,""))</f>
        <v>0</v>
      </c>
      <c r="BN1956">
        <f>IF($A1956="","",DATE(YEAR($A1956),MONTH($A1956),1))</f>
        <v>0</v>
      </c>
      <c r="BO1956">
        <f>IF($A1956="","",IF($A1955="",1,IF(BN1956&lt;&gt;BN1955,1,0)))</f>
        <v>0</v>
      </c>
      <c r="BP1956">
        <f>IF($A1956="","",IF($A1957="",1,IF(BN1957&lt;&gt;BN1956,1,0)))</f>
        <v>0</v>
      </c>
      <c r="BQ1956">
        <f>IF($A1956="","",IF(BO1956=1,$B1956,BQ1955))</f>
        <v>0</v>
      </c>
      <c r="BR1956">
        <f>IF($A1956="","",IF(BO1956=1,$C1956,MAX($C1956,BR1955)))</f>
        <v>0</v>
      </c>
      <c r="BS1956">
        <f>IF($A1956="","",IF(BO1956=1,$D1956,MIN($D1956,BS1955)))</f>
        <v>0</v>
      </c>
      <c r="BT1956">
        <f>IF($A1956="","",IF(BP1956=1,F1956,""))</f>
        <v>0</v>
      </c>
    </row>
    <row r="1957" spans="1:72">
      <c r="A1957" s="27">
        <f>IF(Data!$A1957="","",Data!$A1957)</f>
        <v>0</v>
      </c>
      <c r="B1957">
        <f>IF(Data!$B1957="","",Data!$B1957)</f>
        <v>0</v>
      </c>
      <c r="C1957">
        <f>IF(Data!$C1957="","",Data!$C1957)</f>
        <v>0</v>
      </c>
      <c r="D1957">
        <f>IF(Data!$D1957="","",Data!$D1957)</f>
        <v>0</v>
      </c>
      <c r="E1957">
        <f>IF(Data!$E1957="","",Data!$E1957)</f>
        <v>0</v>
      </c>
      <c r="F1957">
        <f>IF($E1957="","",N(F1956)+1)</f>
        <v>0</v>
      </c>
      <c r="G1957">
        <f>IF(OR($E1957="",$E1956=""),"",LN($E1957/$E1956))</f>
        <v>0</v>
      </c>
      <c r="H1957">
        <f>IF($E1957="","",IF($E1956="",$E1957,$E1957*0.0952380952+H1956*0.9047619048))</f>
        <v>0</v>
      </c>
      <c r="I1957">
        <f>IF($E1957="","",IF($E1956="",$E1957,$E1957*0.0392156863+I1956*0.9607843137))</f>
        <v>0</v>
      </c>
      <c r="J1957">
        <f>IF($E1957="","",IF($E1956="",$E1957,$E1957*0.0198019802+J1956*0.9801980198))</f>
        <v>0</v>
      </c>
      <c r="K1957">
        <f>IF($E1957="","",IF($E1956="",$E1957,$E1957*0.0099502488+K1956*0.9900497512))</f>
        <v>0</v>
      </c>
      <c r="L1957">
        <f>IF(OR($E1957="",$E1956=""),"",MAX($E1957-$E1956,0))</f>
        <v>0</v>
      </c>
      <c r="M1957">
        <f>IF(OR($E1957="",$E1956=""),"",MAX($E1956-$E1957,0))</f>
        <v>0</v>
      </c>
      <c r="N1957">
        <f>IF(COUNT($E$2:$E1957)&lt;15,"",IF(AVERAGE($M$1944:$M$1957)=0,100,100-100/(1+AVERAGE($L$1944:$L$1957)/AVERAGE($M$1944:$M$1957))))</f>
        <v>0</v>
      </c>
      <c r="O1957">
        <f>IF($E1957="","",IF($E1956="",$E1957,$E1957*0.1538461538+O1956*0.8461538462))</f>
        <v>0</v>
      </c>
      <c r="P1957">
        <f>IF($E1957="","",IF($E1956="",$E1957,$E1957*0.0740740741+P1956*0.9259259259))</f>
        <v>0</v>
      </c>
      <c r="Q1957">
        <f>IF(OR(O1957="",P1957=""),"",O1957-P1957)</f>
        <v>0</v>
      </c>
      <c r="R1957">
        <f>IF(Q1957="","",IF(R1956="",Q1957,Q1957*0.2000000000+R1956*0.8000000000))</f>
        <v>0</v>
      </c>
      <c r="S1957">
        <f>IF(OR(Q1957="",R1957=""),"",Q1957-R1957)</f>
        <v>0</v>
      </c>
      <c r="T1957">
        <f>IF(COUNT($E$2:$E1957)&lt;14,"",MAX($C$1944:$C$1957))</f>
        <v>0</v>
      </c>
      <c r="U1957">
        <f>IF(COUNT($E$2:$E1957)&lt;14,"",MIN($D$1944:$D$1957))</f>
        <v>0</v>
      </c>
      <c r="V1957">
        <f>IF(OR(T1957="",U1957="",T1957=U1957),"",100*($E1957-U1957)/(T1957-U1957))</f>
        <v>0</v>
      </c>
      <c r="W1957">
        <f>IF(COUNT($V$1955:$V$1957)&lt;3,"",AVERAGE($V$1955:$V$1957))</f>
        <v>0</v>
      </c>
      <c r="X1957">
        <f>IF(COUNT($N$1944:$N$1957)&lt;14,"",MIN($N$1944:$N$1957))</f>
        <v>0</v>
      </c>
      <c r="Y1957">
        <f>IF(COUNT($N$1944:$N$1957)&lt;14,"",MAX($N$1944:$N$1957))</f>
        <v>0</v>
      </c>
      <c r="Z1957">
        <f>IF(OR(N1957="",X1957="",Y1957="",Y1957=X1957),"",100*(N1957-X1957)/(Y1957-X1957))</f>
        <v>0</v>
      </c>
      <c r="AA1957">
        <f>IF(COUNT($Z$1955:$Z$1957)&lt;3,"",AVERAGE($Z$1955:$Z$1957))</f>
        <v>0</v>
      </c>
      <c r="AB1957">
        <f>IF(COUNT($AA$1955:$AA$1957)&lt;3,"",AVERAGE($AA$1955:$AA$1957))</f>
        <v>0</v>
      </c>
      <c r="AC1957">
        <f>IF($E1957="","",MAX($C1957-$D1957,ABS($C1957-$E1956),ABS($D1957-$E1956)))</f>
        <v>0</v>
      </c>
      <c r="AD1957">
        <f>IF(COUNT($E$2:$E1957)&lt;15,"",AVERAGE($AC$1944:$AC$1957))</f>
        <v>0</v>
      </c>
      <c r="AE1957">
        <f>IF(OR($E1957="",$E1956=""),"",IF(AND(($C1957-$C1956)&gt;($D1956-$D1957),($C1957-$C1956)&gt;0),$C1957-$C1956,0))</f>
        <v>0</v>
      </c>
      <c r="AF1957">
        <f>IF(OR($E1957="",$E1956=""),"",IF(AND(($D1956-$D1957)&gt;($C1957-$C1956),($D1956-$D1957)&gt;0),$D1956-$D1957,0))</f>
        <v>0</v>
      </c>
      <c r="AG1957">
        <f>IF(COUNT($E$2:$E1957)&lt;15,"",IF(SUM($AC$1944:$AC$1957)=0,0,100*SUM($AE$1944:$AE$1957)/SUM($AC$1944:$AC$1957)))</f>
        <v>0</v>
      </c>
      <c r="AH1957">
        <f>IF(COUNT($E$2:$E1957)&lt;15,"",IF(SUM($AC$1944:$AC$1957)=0,0,100*SUM($AF$1944:$AF$1957)/SUM($AC$1944:$AC$1957)))</f>
        <v>0</v>
      </c>
      <c r="AI1957">
        <f>IF(OR(AG1957="",AH1957=""),"",IF((AG1957+AH1957)=0,0,100*ABS(AG1957-AH1957)/(AG1957+AH1957)))</f>
        <v>0</v>
      </c>
      <c r="AJ1957">
        <f>IF(COUNT($AI$1944:$AI$1957)&lt;14,"",AVERAGE($AI$1944:$AI$1957))</f>
        <v>0</v>
      </c>
      <c r="AK1957">
        <f>IF(COUNT($E$2:$E1957)&lt;20,"",AVERAGE($E$1938:$E$1957))</f>
        <v>0</v>
      </c>
      <c r="AL1957">
        <f>IF(COUNT($E$2:$E1957)&lt;20,"",STDEVP($E$1938:$E$1957))</f>
        <v>0</v>
      </c>
      <c r="AM1957">
        <f>IF(AK1957="","",AK1957+2*AL1957)</f>
        <v>0</v>
      </c>
      <c r="AN1957">
        <f>IF(AK1957="","",AK1957-2*AL1957)</f>
        <v>0</v>
      </c>
      <c r="AO1957">
        <f>IF(OR(AM1957="",AN1957="",AM1957=AN1957),"",($E1957-AN1957)/(AM1957-AN1957))</f>
        <v>0</v>
      </c>
      <c r="AP1957">
        <f>IF(OR(AM1957="",AK1957="",AK1957=0),"",(AM1957-AN1957)/AK1957)</f>
        <v>0</v>
      </c>
      <c r="AQ1957">
        <f>IF(COUNT($E$2:$E1957)&lt;20,"",MAX($C$1938:$C$1957))</f>
        <v>0</v>
      </c>
      <c r="AR1957">
        <f>IF(COUNT($E$2:$E1957)&lt;20,"",MIN($D$1938:$D$1957))</f>
        <v>0</v>
      </c>
      <c r="AS1957">
        <f>IF(OR(AQ1957="",AR1957=""),"",(AQ1957+AR1957)/2)</f>
        <v>0</v>
      </c>
      <c r="AT1957">
        <f>IF(COUNT($G$1938:$G$1957)&lt;20,"",STDEV($G$1938:$G$1957)*SQRT(252))</f>
        <v>0</v>
      </c>
      <c r="AU1957">
        <f>IF(COUNT($E$2:$E1957)&lt;9,"",(MAX($C$1949:$C$1957)+MIN($D$1949:$D$1957))/2)</f>
        <v>0</v>
      </c>
      <c r="AV1957">
        <f>IF(COUNT($E$2:$E1957)&lt;26,"",(MAX($C$1932:$C$1957)+MIN($D$1932:$D$1957))/2)</f>
        <v>0</v>
      </c>
      <c r="AW1957">
        <f>IF(OR(AU1957="",AV1957=""),"",(AU1957+AV1957)/2)</f>
        <v>0</v>
      </c>
      <c r="AX1957">
        <f>IF(COUNT($E$2:$E1957)&lt;52,"",(MAX($C$1906:$C$1957)+MIN($D$1906:$D$1957))/2)</f>
        <v>0</v>
      </c>
      <c r="AY1957">
        <f>IF(COUNT($E$2:$E1957)&lt;20,"",MAX($C$1858:$C$1957))</f>
        <v>0</v>
      </c>
      <c r="AZ1957">
        <f>IF(COUNT($E$2:$E1957)&lt;20,"",MIN($D$1858:$D$1957))</f>
        <v>0</v>
      </c>
      <c r="BA1957">
        <f>IF(COUNT($E$2:$E1957)&lt;20,"",SLOPE($E$1858:$E$1957,$F$1858:$F$1957))</f>
        <v>0</v>
      </c>
      <c r="BB1957">
        <f>IF(COUNT($E$2:$E1957)&lt;20,"",INTERCEPT($E$1858:$E$1957,$F$1858:$F$1957))</f>
        <v>0</v>
      </c>
      <c r="BC1957">
        <f>IF(OR(BA1957="",BB1957=""),"",BB1957+BA1957*F1957)</f>
        <v>0</v>
      </c>
      <c r="BD1957">
        <f>IF(COUNT($E$2:$E1957)&lt;20,"",STEYX($E$1858:$E$1957,$F$1858:$F$1957))</f>
        <v>0</v>
      </c>
      <c r="BE1957">
        <f>IF($E1957="","",IF(AND(COUNT($E$1958:$E$1961)&gt;=4,$C1957=MAX($C$1953:$C$1961)),$C1957,""))</f>
        <v>0</v>
      </c>
      <c r="BF1957">
        <f>IF($E1957="","",IF(AND(COUNT($E$1958:$E$1961)&gt;=4,$D1957=MIN($D$1953:$D$1961)),$D1957,""))</f>
        <v>0</v>
      </c>
      <c r="BG1957">
        <f>IF($A1957="","",$A1957-WEEKDAY($A1957,2)+1)</f>
        <v>0</v>
      </c>
      <c r="BH1957">
        <f>IF($A1957="","",IF($A1956="",1,IF(BG1957&lt;&gt;BG1956,1,0)))</f>
        <v>0</v>
      </c>
      <c r="BI1957">
        <f>IF($A1957="","",IF($A1958="",1,IF(BG1958&lt;&gt;BG1957,1,0)))</f>
        <v>0</v>
      </c>
      <c r="BJ1957">
        <f>IF($A1957="","",IF(BH1957=1,$B1957,BJ1956))</f>
        <v>0</v>
      </c>
      <c r="BK1957">
        <f>IF($A1957="","",IF(BH1957=1,$C1957,MAX($C1957,BK1956)))</f>
        <v>0</v>
      </c>
      <c r="BL1957">
        <f>IF($A1957="","",IF(BH1957=1,$D1957,MIN($D1957,BL1956)))</f>
        <v>0</v>
      </c>
      <c r="BM1957">
        <f>IF($A1957="","",IF(BI1957=1,F1957,""))</f>
        <v>0</v>
      </c>
      <c r="BN1957">
        <f>IF($A1957="","",DATE(YEAR($A1957),MONTH($A1957),1))</f>
        <v>0</v>
      </c>
      <c r="BO1957">
        <f>IF($A1957="","",IF($A1956="",1,IF(BN1957&lt;&gt;BN1956,1,0)))</f>
        <v>0</v>
      </c>
      <c r="BP1957">
        <f>IF($A1957="","",IF($A1958="",1,IF(BN1958&lt;&gt;BN1957,1,0)))</f>
        <v>0</v>
      </c>
      <c r="BQ1957">
        <f>IF($A1957="","",IF(BO1957=1,$B1957,BQ1956))</f>
        <v>0</v>
      </c>
      <c r="BR1957">
        <f>IF($A1957="","",IF(BO1957=1,$C1957,MAX($C1957,BR1956)))</f>
        <v>0</v>
      </c>
      <c r="BS1957">
        <f>IF($A1957="","",IF(BO1957=1,$D1957,MIN($D1957,BS1956)))</f>
        <v>0</v>
      </c>
      <c r="BT1957">
        <f>IF($A1957="","",IF(BP1957=1,F1957,""))</f>
        <v>0</v>
      </c>
    </row>
    <row r="1958" spans="1:72">
      <c r="A1958" s="27">
        <f>IF(Data!$A1958="","",Data!$A1958)</f>
        <v>0</v>
      </c>
      <c r="B1958">
        <f>IF(Data!$B1958="","",Data!$B1958)</f>
        <v>0</v>
      </c>
      <c r="C1958">
        <f>IF(Data!$C1958="","",Data!$C1958)</f>
        <v>0</v>
      </c>
      <c r="D1958">
        <f>IF(Data!$D1958="","",Data!$D1958)</f>
        <v>0</v>
      </c>
      <c r="E1958">
        <f>IF(Data!$E1958="","",Data!$E1958)</f>
        <v>0</v>
      </c>
      <c r="F1958">
        <f>IF($E1958="","",N(F1957)+1)</f>
        <v>0</v>
      </c>
      <c r="G1958">
        <f>IF(OR($E1958="",$E1957=""),"",LN($E1958/$E1957))</f>
        <v>0</v>
      </c>
      <c r="H1958">
        <f>IF($E1958="","",IF($E1957="",$E1958,$E1958*0.0952380952+H1957*0.9047619048))</f>
        <v>0</v>
      </c>
      <c r="I1958">
        <f>IF($E1958="","",IF($E1957="",$E1958,$E1958*0.0392156863+I1957*0.9607843137))</f>
        <v>0</v>
      </c>
      <c r="J1958">
        <f>IF($E1958="","",IF($E1957="",$E1958,$E1958*0.0198019802+J1957*0.9801980198))</f>
        <v>0</v>
      </c>
      <c r="K1958">
        <f>IF($E1958="","",IF($E1957="",$E1958,$E1958*0.0099502488+K1957*0.9900497512))</f>
        <v>0</v>
      </c>
      <c r="L1958">
        <f>IF(OR($E1958="",$E1957=""),"",MAX($E1958-$E1957,0))</f>
        <v>0</v>
      </c>
      <c r="M1958">
        <f>IF(OR($E1958="",$E1957=""),"",MAX($E1957-$E1958,0))</f>
        <v>0</v>
      </c>
      <c r="N1958">
        <f>IF(COUNT($E$2:$E1958)&lt;15,"",IF(AVERAGE($M$1945:$M$1958)=0,100,100-100/(1+AVERAGE($L$1945:$L$1958)/AVERAGE($M$1945:$M$1958))))</f>
        <v>0</v>
      </c>
      <c r="O1958">
        <f>IF($E1958="","",IF($E1957="",$E1958,$E1958*0.1538461538+O1957*0.8461538462))</f>
        <v>0</v>
      </c>
      <c r="P1958">
        <f>IF($E1958="","",IF($E1957="",$E1958,$E1958*0.0740740741+P1957*0.9259259259))</f>
        <v>0</v>
      </c>
      <c r="Q1958">
        <f>IF(OR(O1958="",P1958=""),"",O1958-P1958)</f>
        <v>0</v>
      </c>
      <c r="R1958">
        <f>IF(Q1958="","",IF(R1957="",Q1958,Q1958*0.2000000000+R1957*0.8000000000))</f>
        <v>0</v>
      </c>
      <c r="S1958">
        <f>IF(OR(Q1958="",R1958=""),"",Q1958-R1958)</f>
        <v>0</v>
      </c>
      <c r="T1958">
        <f>IF(COUNT($E$2:$E1958)&lt;14,"",MAX($C$1945:$C$1958))</f>
        <v>0</v>
      </c>
      <c r="U1958">
        <f>IF(COUNT($E$2:$E1958)&lt;14,"",MIN($D$1945:$D$1958))</f>
        <v>0</v>
      </c>
      <c r="V1958">
        <f>IF(OR(T1958="",U1958="",T1958=U1958),"",100*($E1958-U1958)/(T1958-U1958))</f>
        <v>0</v>
      </c>
      <c r="W1958">
        <f>IF(COUNT($V$1956:$V$1958)&lt;3,"",AVERAGE($V$1956:$V$1958))</f>
        <v>0</v>
      </c>
      <c r="X1958">
        <f>IF(COUNT($N$1945:$N$1958)&lt;14,"",MIN($N$1945:$N$1958))</f>
        <v>0</v>
      </c>
      <c r="Y1958">
        <f>IF(COUNT($N$1945:$N$1958)&lt;14,"",MAX($N$1945:$N$1958))</f>
        <v>0</v>
      </c>
      <c r="Z1958">
        <f>IF(OR(N1958="",X1958="",Y1958="",Y1958=X1958),"",100*(N1958-X1958)/(Y1958-X1958))</f>
        <v>0</v>
      </c>
      <c r="AA1958">
        <f>IF(COUNT($Z$1956:$Z$1958)&lt;3,"",AVERAGE($Z$1956:$Z$1958))</f>
        <v>0</v>
      </c>
      <c r="AB1958">
        <f>IF(COUNT($AA$1956:$AA$1958)&lt;3,"",AVERAGE($AA$1956:$AA$1958))</f>
        <v>0</v>
      </c>
      <c r="AC1958">
        <f>IF($E1958="","",MAX($C1958-$D1958,ABS($C1958-$E1957),ABS($D1958-$E1957)))</f>
        <v>0</v>
      </c>
      <c r="AD1958">
        <f>IF(COUNT($E$2:$E1958)&lt;15,"",AVERAGE($AC$1945:$AC$1958))</f>
        <v>0</v>
      </c>
      <c r="AE1958">
        <f>IF(OR($E1958="",$E1957=""),"",IF(AND(($C1958-$C1957)&gt;($D1957-$D1958),($C1958-$C1957)&gt;0),$C1958-$C1957,0))</f>
        <v>0</v>
      </c>
      <c r="AF1958">
        <f>IF(OR($E1958="",$E1957=""),"",IF(AND(($D1957-$D1958)&gt;($C1958-$C1957),($D1957-$D1958)&gt;0),$D1957-$D1958,0))</f>
        <v>0</v>
      </c>
      <c r="AG1958">
        <f>IF(COUNT($E$2:$E1958)&lt;15,"",IF(SUM($AC$1945:$AC$1958)=0,0,100*SUM($AE$1945:$AE$1958)/SUM($AC$1945:$AC$1958)))</f>
        <v>0</v>
      </c>
      <c r="AH1958">
        <f>IF(COUNT($E$2:$E1958)&lt;15,"",IF(SUM($AC$1945:$AC$1958)=0,0,100*SUM($AF$1945:$AF$1958)/SUM($AC$1945:$AC$1958)))</f>
        <v>0</v>
      </c>
      <c r="AI1958">
        <f>IF(OR(AG1958="",AH1958=""),"",IF((AG1958+AH1958)=0,0,100*ABS(AG1958-AH1958)/(AG1958+AH1958)))</f>
        <v>0</v>
      </c>
      <c r="AJ1958">
        <f>IF(COUNT($AI$1945:$AI$1958)&lt;14,"",AVERAGE($AI$1945:$AI$1958))</f>
        <v>0</v>
      </c>
      <c r="AK1958">
        <f>IF(COUNT($E$2:$E1958)&lt;20,"",AVERAGE($E$1939:$E$1958))</f>
        <v>0</v>
      </c>
      <c r="AL1958">
        <f>IF(COUNT($E$2:$E1958)&lt;20,"",STDEVP($E$1939:$E$1958))</f>
        <v>0</v>
      </c>
      <c r="AM1958">
        <f>IF(AK1958="","",AK1958+2*AL1958)</f>
        <v>0</v>
      </c>
      <c r="AN1958">
        <f>IF(AK1958="","",AK1958-2*AL1958)</f>
        <v>0</v>
      </c>
      <c r="AO1958">
        <f>IF(OR(AM1958="",AN1958="",AM1958=AN1958),"",($E1958-AN1958)/(AM1958-AN1958))</f>
        <v>0</v>
      </c>
      <c r="AP1958">
        <f>IF(OR(AM1958="",AK1958="",AK1958=0),"",(AM1958-AN1958)/AK1958)</f>
        <v>0</v>
      </c>
      <c r="AQ1958">
        <f>IF(COUNT($E$2:$E1958)&lt;20,"",MAX($C$1939:$C$1958))</f>
        <v>0</v>
      </c>
      <c r="AR1958">
        <f>IF(COUNT($E$2:$E1958)&lt;20,"",MIN($D$1939:$D$1958))</f>
        <v>0</v>
      </c>
      <c r="AS1958">
        <f>IF(OR(AQ1958="",AR1958=""),"",(AQ1958+AR1958)/2)</f>
        <v>0</v>
      </c>
      <c r="AT1958">
        <f>IF(COUNT($G$1939:$G$1958)&lt;20,"",STDEV($G$1939:$G$1958)*SQRT(252))</f>
        <v>0</v>
      </c>
      <c r="AU1958">
        <f>IF(COUNT($E$2:$E1958)&lt;9,"",(MAX($C$1950:$C$1958)+MIN($D$1950:$D$1958))/2)</f>
        <v>0</v>
      </c>
      <c r="AV1958">
        <f>IF(COUNT($E$2:$E1958)&lt;26,"",(MAX($C$1933:$C$1958)+MIN($D$1933:$D$1958))/2)</f>
        <v>0</v>
      </c>
      <c r="AW1958">
        <f>IF(OR(AU1958="",AV1958=""),"",(AU1958+AV1958)/2)</f>
        <v>0</v>
      </c>
      <c r="AX1958">
        <f>IF(COUNT($E$2:$E1958)&lt;52,"",(MAX($C$1907:$C$1958)+MIN($D$1907:$D$1958))/2)</f>
        <v>0</v>
      </c>
      <c r="AY1958">
        <f>IF(COUNT($E$2:$E1958)&lt;20,"",MAX($C$1859:$C$1958))</f>
        <v>0</v>
      </c>
      <c r="AZ1958">
        <f>IF(COUNT($E$2:$E1958)&lt;20,"",MIN($D$1859:$D$1958))</f>
        <v>0</v>
      </c>
      <c r="BA1958">
        <f>IF(COUNT($E$2:$E1958)&lt;20,"",SLOPE($E$1859:$E$1958,$F$1859:$F$1958))</f>
        <v>0</v>
      </c>
      <c r="BB1958">
        <f>IF(COUNT($E$2:$E1958)&lt;20,"",INTERCEPT($E$1859:$E$1958,$F$1859:$F$1958))</f>
        <v>0</v>
      </c>
      <c r="BC1958">
        <f>IF(OR(BA1958="",BB1958=""),"",BB1958+BA1958*F1958)</f>
        <v>0</v>
      </c>
      <c r="BD1958">
        <f>IF(COUNT($E$2:$E1958)&lt;20,"",STEYX($E$1859:$E$1958,$F$1859:$F$1958))</f>
        <v>0</v>
      </c>
      <c r="BE1958">
        <f>IF($E1958="","",IF(AND(COUNT($E$1959:$E$1962)&gt;=4,$C1958=MAX($C$1954:$C$1962)),$C1958,""))</f>
        <v>0</v>
      </c>
      <c r="BF1958">
        <f>IF($E1958="","",IF(AND(COUNT($E$1959:$E$1962)&gt;=4,$D1958=MIN($D$1954:$D$1962)),$D1958,""))</f>
        <v>0</v>
      </c>
      <c r="BG1958">
        <f>IF($A1958="","",$A1958-WEEKDAY($A1958,2)+1)</f>
        <v>0</v>
      </c>
      <c r="BH1958">
        <f>IF($A1958="","",IF($A1957="",1,IF(BG1958&lt;&gt;BG1957,1,0)))</f>
        <v>0</v>
      </c>
      <c r="BI1958">
        <f>IF($A1958="","",IF($A1959="",1,IF(BG1959&lt;&gt;BG1958,1,0)))</f>
        <v>0</v>
      </c>
      <c r="BJ1958">
        <f>IF($A1958="","",IF(BH1958=1,$B1958,BJ1957))</f>
        <v>0</v>
      </c>
      <c r="BK1958">
        <f>IF($A1958="","",IF(BH1958=1,$C1958,MAX($C1958,BK1957)))</f>
        <v>0</v>
      </c>
      <c r="BL1958">
        <f>IF($A1958="","",IF(BH1958=1,$D1958,MIN($D1958,BL1957)))</f>
        <v>0</v>
      </c>
      <c r="BM1958">
        <f>IF($A1958="","",IF(BI1958=1,F1958,""))</f>
        <v>0</v>
      </c>
      <c r="BN1958">
        <f>IF($A1958="","",DATE(YEAR($A1958),MONTH($A1958),1))</f>
        <v>0</v>
      </c>
      <c r="BO1958">
        <f>IF($A1958="","",IF($A1957="",1,IF(BN1958&lt;&gt;BN1957,1,0)))</f>
        <v>0</v>
      </c>
      <c r="BP1958">
        <f>IF($A1958="","",IF($A1959="",1,IF(BN1959&lt;&gt;BN1958,1,0)))</f>
        <v>0</v>
      </c>
      <c r="BQ1958">
        <f>IF($A1958="","",IF(BO1958=1,$B1958,BQ1957))</f>
        <v>0</v>
      </c>
      <c r="BR1958">
        <f>IF($A1958="","",IF(BO1958=1,$C1958,MAX($C1958,BR1957)))</f>
        <v>0</v>
      </c>
      <c r="BS1958">
        <f>IF($A1958="","",IF(BO1958=1,$D1958,MIN($D1958,BS1957)))</f>
        <v>0</v>
      </c>
      <c r="BT1958">
        <f>IF($A1958="","",IF(BP1958=1,F1958,""))</f>
        <v>0</v>
      </c>
    </row>
    <row r="1959" spans="1:72">
      <c r="A1959" s="27">
        <f>IF(Data!$A1959="","",Data!$A1959)</f>
        <v>0</v>
      </c>
      <c r="B1959">
        <f>IF(Data!$B1959="","",Data!$B1959)</f>
        <v>0</v>
      </c>
      <c r="C1959">
        <f>IF(Data!$C1959="","",Data!$C1959)</f>
        <v>0</v>
      </c>
      <c r="D1959">
        <f>IF(Data!$D1959="","",Data!$D1959)</f>
        <v>0</v>
      </c>
      <c r="E1959">
        <f>IF(Data!$E1959="","",Data!$E1959)</f>
        <v>0</v>
      </c>
      <c r="F1959">
        <f>IF($E1959="","",N(F1958)+1)</f>
        <v>0</v>
      </c>
      <c r="G1959">
        <f>IF(OR($E1959="",$E1958=""),"",LN($E1959/$E1958))</f>
        <v>0</v>
      </c>
      <c r="H1959">
        <f>IF($E1959="","",IF($E1958="",$E1959,$E1959*0.0952380952+H1958*0.9047619048))</f>
        <v>0</v>
      </c>
      <c r="I1959">
        <f>IF($E1959="","",IF($E1958="",$E1959,$E1959*0.0392156863+I1958*0.9607843137))</f>
        <v>0</v>
      </c>
      <c r="J1959">
        <f>IF($E1959="","",IF($E1958="",$E1959,$E1959*0.0198019802+J1958*0.9801980198))</f>
        <v>0</v>
      </c>
      <c r="K1959">
        <f>IF($E1959="","",IF($E1958="",$E1959,$E1959*0.0099502488+K1958*0.9900497512))</f>
        <v>0</v>
      </c>
      <c r="L1959">
        <f>IF(OR($E1959="",$E1958=""),"",MAX($E1959-$E1958,0))</f>
        <v>0</v>
      </c>
      <c r="M1959">
        <f>IF(OR($E1959="",$E1958=""),"",MAX($E1958-$E1959,0))</f>
        <v>0</v>
      </c>
      <c r="N1959">
        <f>IF(COUNT($E$2:$E1959)&lt;15,"",IF(AVERAGE($M$1946:$M$1959)=0,100,100-100/(1+AVERAGE($L$1946:$L$1959)/AVERAGE($M$1946:$M$1959))))</f>
        <v>0</v>
      </c>
      <c r="O1959">
        <f>IF($E1959="","",IF($E1958="",$E1959,$E1959*0.1538461538+O1958*0.8461538462))</f>
        <v>0</v>
      </c>
      <c r="P1959">
        <f>IF($E1959="","",IF($E1958="",$E1959,$E1959*0.0740740741+P1958*0.9259259259))</f>
        <v>0</v>
      </c>
      <c r="Q1959">
        <f>IF(OR(O1959="",P1959=""),"",O1959-P1959)</f>
        <v>0</v>
      </c>
      <c r="R1959">
        <f>IF(Q1959="","",IF(R1958="",Q1959,Q1959*0.2000000000+R1958*0.8000000000))</f>
        <v>0</v>
      </c>
      <c r="S1959">
        <f>IF(OR(Q1959="",R1959=""),"",Q1959-R1959)</f>
        <v>0</v>
      </c>
      <c r="T1959">
        <f>IF(COUNT($E$2:$E1959)&lt;14,"",MAX($C$1946:$C$1959))</f>
        <v>0</v>
      </c>
      <c r="U1959">
        <f>IF(COUNT($E$2:$E1959)&lt;14,"",MIN($D$1946:$D$1959))</f>
        <v>0</v>
      </c>
      <c r="V1959">
        <f>IF(OR(T1959="",U1959="",T1959=U1959),"",100*($E1959-U1959)/(T1959-U1959))</f>
        <v>0</v>
      </c>
      <c r="W1959">
        <f>IF(COUNT($V$1957:$V$1959)&lt;3,"",AVERAGE($V$1957:$V$1959))</f>
        <v>0</v>
      </c>
      <c r="X1959">
        <f>IF(COUNT($N$1946:$N$1959)&lt;14,"",MIN($N$1946:$N$1959))</f>
        <v>0</v>
      </c>
      <c r="Y1959">
        <f>IF(COUNT($N$1946:$N$1959)&lt;14,"",MAX($N$1946:$N$1959))</f>
        <v>0</v>
      </c>
      <c r="Z1959">
        <f>IF(OR(N1959="",X1959="",Y1959="",Y1959=X1959),"",100*(N1959-X1959)/(Y1959-X1959))</f>
        <v>0</v>
      </c>
      <c r="AA1959">
        <f>IF(COUNT($Z$1957:$Z$1959)&lt;3,"",AVERAGE($Z$1957:$Z$1959))</f>
        <v>0</v>
      </c>
      <c r="AB1959">
        <f>IF(COUNT($AA$1957:$AA$1959)&lt;3,"",AVERAGE($AA$1957:$AA$1959))</f>
        <v>0</v>
      </c>
      <c r="AC1959">
        <f>IF($E1959="","",MAX($C1959-$D1959,ABS($C1959-$E1958),ABS($D1959-$E1958)))</f>
        <v>0</v>
      </c>
      <c r="AD1959">
        <f>IF(COUNT($E$2:$E1959)&lt;15,"",AVERAGE($AC$1946:$AC$1959))</f>
        <v>0</v>
      </c>
      <c r="AE1959">
        <f>IF(OR($E1959="",$E1958=""),"",IF(AND(($C1959-$C1958)&gt;($D1958-$D1959),($C1959-$C1958)&gt;0),$C1959-$C1958,0))</f>
        <v>0</v>
      </c>
      <c r="AF1959">
        <f>IF(OR($E1959="",$E1958=""),"",IF(AND(($D1958-$D1959)&gt;($C1959-$C1958),($D1958-$D1959)&gt;0),$D1958-$D1959,0))</f>
        <v>0</v>
      </c>
      <c r="AG1959">
        <f>IF(COUNT($E$2:$E1959)&lt;15,"",IF(SUM($AC$1946:$AC$1959)=0,0,100*SUM($AE$1946:$AE$1959)/SUM($AC$1946:$AC$1959)))</f>
        <v>0</v>
      </c>
      <c r="AH1959">
        <f>IF(COUNT($E$2:$E1959)&lt;15,"",IF(SUM($AC$1946:$AC$1959)=0,0,100*SUM($AF$1946:$AF$1959)/SUM($AC$1946:$AC$1959)))</f>
        <v>0</v>
      </c>
      <c r="AI1959">
        <f>IF(OR(AG1959="",AH1959=""),"",IF((AG1959+AH1959)=0,0,100*ABS(AG1959-AH1959)/(AG1959+AH1959)))</f>
        <v>0</v>
      </c>
      <c r="AJ1959">
        <f>IF(COUNT($AI$1946:$AI$1959)&lt;14,"",AVERAGE($AI$1946:$AI$1959))</f>
        <v>0</v>
      </c>
      <c r="AK1959">
        <f>IF(COUNT($E$2:$E1959)&lt;20,"",AVERAGE($E$1940:$E$1959))</f>
        <v>0</v>
      </c>
      <c r="AL1959">
        <f>IF(COUNT($E$2:$E1959)&lt;20,"",STDEVP($E$1940:$E$1959))</f>
        <v>0</v>
      </c>
      <c r="AM1959">
        <f>IF(AK1959="","",AK1959+2*AL1959)</f>
        <v>0</v>
      </c>
      <c r="AN1959">
        <f>IF(AK1959="","",AK1959-2*AL1959)</f>
        <v>0</v>
      </c>
      <c r="AO1959">
        <f>IF(OR(AM1959="",AN1959="",AM1959=AN1959),"",($E1959-AN1959)/(AM1959-AN1959))</f>
        <v>0</v>
      </c>
      <c r="AP1959">
        <f>IF(OR(AM1959="",AK1959="",AK1959=0),"",(AM1959-AN1959)/AK1959)</f>
        <v>0</v>
      </c>
      <c r="AQ1959">
        <f>IF(COUNT($E$2:$E1959)&lt;20,"",MAX($C$1940:$C$1959))</f>
        <v>0</v>
      </c>
      <c r="AR1959">
        <f>IF(COUNT($E$2:$E1959)&lt;20,"",MIN($D$1940:$D$1959))</f>
        <v>0</v>
      </c>
      <c r="AS1959">
        <f>IF(OR(AQ1959="",AR1959=""),"",(AQ1959+AR1959)/2)</f>
        <v>0</v>
      </c>
      <c r="AT1959">
        <f>IF(COUNT($G$1940:$G$1959)&lt;20,"",STDEV($G$1940:$G$1959)*SQRT(252))</f>
        <v>0</v>
      </c>
      <c r="AU1959">
        <f>IF(COUNT($E$2:$E1959)&lt;9,"",(MAX($C$1951:$C$1959)+MIN($D$1951:$D$1959))/2)</f>
        <v>0</v>
      </c>
      <c r="AV1959">
        <f>IF(COUNT($E$2:$E1959)&lt;26,"",(MAX($C$1934:$C$1959)+MIN($D$1934:$D$1959))/2)</f>
        <v>0</v>
      </c>
      <c r="AW1959">
        <f>IF(OR(AU1959="",AV1959=""),"",(AU1959+AV1959)/2)</f>
        <v>0</v>
      </c>
      <c r="AX1959">
        <f>IF(COUNT($E$2:$E1959)&lt;52,"",(MAX($C$1908:$C$1959)+MIN($D$1908:$D$1959))/2)</f>
        <v>0</v>
      </c>
      <c r="AY1959">
        <f>IF(COUNT($E$2:$E1959)&lt;20,"",MAX($C$1860:$C$1959))</f>
        <v>0</v>
      </c>
      <c r="AZ1959">
        <f>IF(COUNT($E$2:$E1959)&lt;20,"",MIN($D$1860:$D$1959))</f>
        <v>0</v>
      </c>
      <c r="BA1959">
        <f>IF(COUNT($E$2:$E1959)&lt;20,"",SLOPE($E$1860:$E$1959,$F$1860:$F$1959))</f>
        <v>0</v>
      </c>
      <c r="BB1959">
        <f>IF(COUNT($E$2:$E1959)&lt;20,"",INTERCEPT($E$1860:$E$1959,$F$1860:$F$1959))</f>
        <v>0</v>
      </c>
      <c r="BC1959">
        <f>IF(OR(BA1959="",BB1959=""),"",BB1959+BA1959*F1959)</f>
        <v>0</v>
      </c>
      <c r="BD1959">
        <f>IF(COUNT($E$2:$E1959)&lt;20,"",STEYX($E$1860:$E$1959,$F$1860:$F$1959))</f>
        <v>0</v>
      </c>
      <c r="BE1959">
        <f>IF($E1959="","",IF(AND(COUNT($E$1960:$E$1963)&gt;=4,$C1959=MAX($C$1955:$C$1963)),$C1959,""))</f>
        <v>0</v>
      </c>
      <c r="BF1959">
        <f>IF($E1959="","",IF(AND(COUNT($E$1960:$E$1963)&gt;=4,$D1959=MIN($D$1955:$D$1963)),$D1959,""))</f>
        <v>0</v>
      </c>
      <c r="BG1959">
        <f>IF($A1959="","",$A1959-WEEKDAY($A1959,2)+1)</f>
        <v>0</v>
      </c>
      <c r="BH1959">
        <f>IF($A1959="","",IF($A1958="",1,IF(BG1959&lt;&gt;BG1958,1,0)))</f>
        <v>0</v>
      </c>
      <c r="BI1959">
        <f>IF($A1959="","",IF($A1960="",1,IF(BG1960&lt;&gt;BG1959,1,0)))</f>
        <v>0</v>
      </c>
      <c r="BJ1959">
        <f>IF($A1959="","",IF(BH1959=1,$B1959,BJ1958))</f>
        <v>0</v>
      </c>
      <c r="BK1959">
        <f>IF($A1959="","",IF(BH1959=1,$C1959,MAX($C1959,BK1958)))</f>
        <v>0</v>
      </c>
      <c r="BL1959">
        <f>IF($A1959="","",IF(BH1959=1,$D1959,MIN($D1959,BL1958)))</f>
        <v>0</v>
      </c>
      <c r="BM1959">
        <f>IF($A1959="","",IF(BI1959=1,F1959,""))</f>
        <v>0</v>
      </c>
      <c r="BN1959">
        <f>IF($A1959="","",DATE(YEAR($A1959),MONTH($A1959),1))</f>
        <v>0</v>
      </c>
      <c r="BO1959">
        <f>IF($A1959="","",IF($A1958="",1,IF(BN1959&lt;&gt;BN1958,1,0)))</f>
        <v>0</v>
      </c>
      <c r="BP1959">
        <f>IF($A1959="","",IF($A1960="",1,IF(BN1960&lt;&gt;BN1959,1,0)))</f>
        <v>0</v>
      </c>
      <c r="BQ1959">
        <f>IF($A1959="","",IF(BO1959=1,$B1959,BQ1958))</f>
        <v>0</v>
      </c>
      <c r="BR1959">
        <f>IF($A1959="","",IF(BO1959=1,$C1959,MAX($C1959,BR1958)))</f>
        <v>0</v>
      </c>
      <c r="BS1959">
        <f>IF($A1959="","",IF(BO1959=1,$D1959,MIN($D1959,BS1958)))</f>
        <v>0</v>
      </c>
      <c r="BT1959">
        <f>IF($A1959="","",IF(BP1959=1,F1959,""))</f>
        <v>0</v>
      </c>
    </row>
    <row r="1960" spans="1:72">
      <c r="A1960" s="27">
        <f>IF(Data!$A1960="","",Data!$A1960)</f>
        <v>0</v>
      </c>
      <c r="B1960">
        <f>IF(Data!$B1960="","",Data!$B1960)</f>
        <v>0</v>
      </c>
      <c r="C1960">
        <f>IF(Data!$C1960="","",Data!$C1960)</f>
        <v>0</v>
      </c>
      <c r="D1960">
        <f>IF(Data!$D1960="","",Data!$D1960)</f>
        <v>0</v>
      </c>
      <c r="E1960">
        <f>IF(Data!$E1960="","",Data!$E1960)</f>
        <v>0</v>
      </c>
      <c r="F1960">
        <f>IF($E1960="","",N(F1959)+1)</f>
        <v>0</v>
      </c>
      <c r="G1960">
        <f>IF(OR($E1960="",$E1959=""),"",LN($E1960/$E1959))</f>
        <v>0</v>
      </c>
      <c r="H1960">
        <f>IF($E1960="","",IF($E1959="",$E1960,$E1960*0.0952380952+H1959*0.9047619048))</f>
        <v>0</v>
      </c>
      <c r="I1960">
        <f>IF($E1960="","",IF($E1959="",$E1960,$E1960*0.0392156863+I1959*0.9607843137))</f>
        <v>0</v>
      </c>
      <c r="J1960">
        <f>IF($E1960="","",IF($E1959="",$E1960,$E1960*0.0198019802+J1959*0.9801980198))</f>
        <v>0</v>
      </c>
      <c r="K1960">
        <f>IF($E1960="","",IF($E1959="",$E1960,$E1960*0.0099502488+K1959*0.9900497512))</f>
        <v>0</v>
      </c>
      <c r="L1960">
        <f>IF(OR($E1960="",$E1959=""),"",MAX($E1960-$E1959,0))</f>
        <v>0</v>
      </c>
      <c r="M1960">
        <f>IF(OR($E1960="",$E1959=""),"",MAX($E1959-$E1960,0))</f>
        <v>0</v>
      </c>
      <c r="N1960">
        <f>IF(COUNT($E$2:$E1960)&lt;15,"",IF(AVERAGE($M$1947:$M$1960)=0,100,100-100/(1+AVERAGE($L$1947:$L$1960)/AVERAGE($M$1947:$M$1960))))</f>
        <v>0</v>
      </c>
      <c r="O1960">
        <f>IF($E1960="","",IF($E1959="",$E1960,$E1960*0.1538461538+O1959*0.8461538462))</f>
        <v>0</v>
      </c>
      <c r="P1960">
        <f>IF($E1960="","",IF($E1959="",$E1960,$E1960*0.0740740741+P1959*0.9259259259))</f>
        <v>0</v>
      </c>
      <c r="Q1960">
        <f>IF(OR(O1960="",P1960=""),"",O1960-P1960)</f>
        <v>0</v>
      </c>
      <c r="R1960">
        <f>IF(Q1960="","",IF(R1959="",Q1960,Q1960*0.2000000000+R1959*0.8000000000))</f>
        <v>0</v>
      </c>
      <c r="S1960">
        <f>IF(OR(Q1960="",R1960=""),"",Q1960-R1960)</f>
        <v>0</v>
      </c>
      <c r="T1960">
        <f>IF(COUNT($E$2:$E1960)&lt;14,"",MAX($C$1947:$C$1960))</f>
        <v>0</v>
      </c>
      <c r="U1960">
        <f>IF(COUNT($E$2:$E1960)&lt;14,"",MIN($D$1947:$D$1960))</f>
        <v>0</v>
      </c>
      <c r="V1960">
        <f>IF(OR(T1960="",U1960="",T1960=U1960),"",100*($E1960-U1960)/(T1960-U1960))</f>
        <v>0</v>
      </c>
      <c r="W1960">
        <f>IF(COUNT($V$1958:$V$1960)&lt;3,"",AVERAGE($V$1958:$V$1960))</f>
        <v>0</v>
      </c>
      <c r="X1960">
        <f>IF(COUNT($N$1947:$N$1960)&lt;14,"",MIN($N$1947:$N$1960))</f>
        <v>0</v>
      </c>
      <c r="Y1960">
        <f>IF(COUNT($N$1947:$N$1960)&lt;14,"",MAX($N$1947:$N$1960))</f>
        <v>0</v>
      </c>
      <c r="Z1960">
        <f>IF(OR(N1960="",X1960="",Y1960="",Y1960=X1960),"",100*(N1960-X1960)/(Y1960-X1960))</f>
        <v>0</v>
      </c>
      <c r="AA1960">
        <f>IF(COUNT($Z$1958:$Z$1960)&lt;3,"",AVERAGE($Z$1958:$Z$1960))</f>
        <v>0</v>
      </c>
      <c r="AB1960">
        <f>IF(COUNT($AA$1958:$AA$1960)&lt;3,"",AVERAGE($AA$1958:$AA$1960))</f>
        <v>0</v>
      </c>
      <c r="AC1960">
        <f>IF($E1960="","",MAX($C1960-$D1960,ABS($C1960-$E1959),ABS($D1960-$E1959)))</f>
        <v>0</v>
      </c>
      <c r="AD1960">
        <f>IF(COUNT($E$2:$E1960)&lt;15,"",AVERAGE($AC$1947:$AC$1960))</f>
        <v>0</v>
      </c>
      <c r="AE1960">
        <f>IF(OR($E1960="",$E1959=""),"",IF(AND(($C1960-$C1959)&gt;($D1959-$D1960),($C1960-$C1959)&gt;0),$C1960-$C1959,0))</f>
        <v>0</v>
      </c>
      <c r="AF1960">
        <f>IF(OR($E1960="",$E1959=""),"",IF(AND(($D1959-$D1960)&gt;($C1960-$C1959),($D1959-$D1960)&gt;0),$D1959-$D1960,0))</f>
        <v>0</v>
      </c>
      <c r="AG1960">
        <f>IF(COUNT($E$2:$E1960)&lt;15,"",IF(SUM($AC$1947:$AC$1960)=0,0,100*SUM($AE$1947:$AE$1960)/SUM($AC$1947:$AC$1960)))</f>
        <v>0</v>
      </c>
      <c r="AH1960">
        <f>IF(COUNT($E$2:$E1960)&lt;15,"",IF(SUM($AC$1947:$AC$1960)=0,0,100*SUM($AF$1947:$AF$1960)/SUM($AC$1947:$AC$1960)))</f>
        <v>0</v>
      </c>
      <c r="AI1960">
        <f>IF(OR(AG1960="",AH1960=""),"",IF((AG1960+AH1960)=0,0,100*ABS(AG1960-AH1960)/(AG1960+AH1960)))</f>
        <v>0</v>
      </c>
      <c r="AJ1960">
        <f>IF(COUNT($AI$1947:$AI$1960)&lt;14,"",AVERAGE($AI$1947:$AI$1960))</f>
        <v>0</v>
      </c>
      <c r="AK1960">
        <f>IF(COUNT($E$2:$E1960)&lt;20,"",AVERAGE($E$1941:$E$1960))</f>
        <v>0</v>
      </c>
      <c r="AL1960">
        <f>IF(COUNT($E$2:$E1960)&lt;20,"",STDEVP($E$1941:$E$1960))</f>
        <v>0</v>
      </c>
      <c r="AM1960">
        <f>IF(AK1960="","",AK1960+2*AL1960)</f>
        <v>0</v>
      </c>
      <c r="AN1960">
        <f>IF(AK1960="","",AK1960-2*AL1960)</f>
        <v>0</v>
      </c>
      <c r="AO1960">
        <f>IF(OR(AM1960="",AN1960="",AM1960=AN1960),"",($E1960-AN1960)/(AM1960-AN1960))</f>
        <v>0</v>
      </c>
      <c r="AP1960">
        <f>IF(OR(AM1960="",AK1960="",AK1960=0),"",(AM1960-AN1960)/AK1960)</f>
        <v>0</v>
      </c>
      <c r="AQ1960">
        <f>IF(COUNT($E$2:$E1960)&lt;20,"",MAX($C$1941:$C$1960))</f>
        <v>0</v>
      </c>
      <c r="AR1960">
        <f>IF(COUNT($E$2:$E1960)&lt;20,"",MIN($D$1941:$D$1960))</f>
        <v>0</v>
      </c>
      <c r="AS1960">
        <f>IF(OR(AQ1960="",AR1960=""),"",(AQ1960+AR1960)/2)</f>
        <v>0</v>
      </c>
      <c r="AT1960">
        <f>IF(COUNT($G$1941:$G$1960)&lt;20,"",STDEV($G$1941:$G$1960)*SQRT(252))</f>
        <v>0</v>
      </c>
      <c r="AU1960">
        <f>IF(COUNT($E$2:$E1960)&lt;9,"",(MAX($C$1952:$C$1960)+MIN($D$1952:$D$1960))/2)</f>
        <v>0</v>
      </c>
      <c r="AV1960">
        <f>IF(COUNT($E$2:$E1960)&lt;26,"",(MAX($C$1935:$C$1960)+MIN($D$1935:$D$1960))/2)</f>
        <v>0</v>
      </c>
      <c r="AW1960">
        <f>IF(OR(AU1960="",AV1960=""),"",(AU1960+AV1960)/2)</f>
        <v>0</v>
      </c>
      <c r="AX1960">
        <f>IF(COUNT($E$2:$E1960)&lt;52,"",(MAX($C$1909:$C$1960)+MIN($D$1909:$D$1960))/2)</f>
        <v>0</v>
      </c>
      <c r="AY1960">
        <f>IF(COUNT($E$2:$E1960)&lt;20,"",MAX($C$1861:$C$1960))</f>
        <v>0</v>
      </c>
      <c r="AZ1960">
        <f>IF(COUNT($E$2:$E1960)&lt;20,"",MIN($D$1861:$D$1960))</f>
        <v>0</v>
      </c>
      <c r="BA1960">
        <f>IF(COUNT($E$2:$E1960)&lt;20,"",SLOPE($E$1861:$E$1960,$F$1861:$F$1960))</f>
        <v>0</v>
      </c>
      <c r="BB1960">
        <f>IF(COUNT($E$2:$E1960)&lt;20,"",INTERCEPT($E$1861:$E$1960,$F$1861:$F$1960))</f>
        <v>0</v>
      </c>
      <c r="BC1960">
        <f>IF(OR(BA1960="",BB1960=""),"",BB1960+BA1960*F1960)</f>
        <v>0</v>
      </c>
      <c r="BD1960">
        <f>IF(COUNT($E$2:$E1960)&lt;20,"",STEYX($E$1861:$E$1960,$F$1861:$F$1960))</f>
        <v>0</v>
      </c>
      <c r="BE1960">
        <f>IF($E1960="","",IF(AND(COUNT($E$1961:$E$1964)&gt;=4,$C1960=MAX($C$1956:$C$1964)),$C1960,""))</f>
        <v>0</v>
      </c>
      <c r="BF1960">
        <f>IF($E1960="","",IF(AND(COUNT($E$1961:$E$1964)&gt;=4,$D1960=MIN($D$1956:$D$1964)),$D1960,""))</f>
        <v>0</v>
      </c>
      <c r="BG1960">
        <f>IF($A1960="","",$A1960-WEEKDAY($A1960,2)+1)</f>
        <v>0</v>
      </c>
      <c r="BH1960">
        <f>IF($A1960="","",IF($A1959="",1,IF(BG1960&lt;&gt;BG1959,1,0)))</f>
        <v>0</v>
      </c>
      <c r="BI1960">
        <f>IF($A1960="","",IF($A1961="",1,IF(BG1961&lt;&gt;BG1960,1,0)))</f>
        <v>0</v>
      </c>
      <c r="BJ1960">
        <f>IF($A1960="","",IF(BH1960=1,$B1960,BJ1959))</f>
        <v>0</v>
      </c>
      <c r="BK1960">
        <f>IF($A1960="","",IF(BH1960=1,$C1960,MAX($C1960,BK1959)))</f>
        <v>0</v>
      </c>
      <c r="BL1960">
        <f>IF($A1960="","",IF(BH1960=1,$D1960,MIN($D1960,BL1959)))</f>
        <v>0</v>
      </c>
      <c r="BM1960">
        <f>IF($A1960="","",IF(BI1960=1,F1960,""))</f>
        <v>0</v>
      </c>
      <c r="BN1960">
        <f>IF($A1960="","",DATE(YEAR($A1960),MONTH($A1960),1))</f>
        <v>0</v>
      </c>
      <c r="BO1960">
        <f>IF($A1960="","",IF($A1959="",1,IF(BN1960&lt;&gt;BN1959,1,0)))</f>
        <v>0</v>
      </c>
      <c r="BP1960">
        <f>IF($A1960="","",IF($A1961="",1,IF(BN1961&lt;&gt;BN1960,1,0)))</f>
        <v>0</v>
      </c>
      <c r="BQ1960">
        <f>IF($A1960="","",IF(BO1960=1,$B1960,BQ1959))</f>
        <v>0</v>
      </c>
      <c r="BR1960">
        <f>IF($A1960="","",IF(BO1960=1,$C1960,MAX($C1960,BR1959)))</f>
        <v>0</v>
      </c>
      <c r="BS1960">
        <f>IF($A1960="","",IF(BO1960=1,$D1960,MIN($D1960,BS1959)))</f>
        <v>0</v>
      </c>
      <c r="BT1960">
        <f>IF($A1960="","",IF(BP1960=1,F1960,""))</f>
        <v>0</v>
      </c>
    </row>
    <row r="1961" spans="1:72">
      <c r="A1961" s="27">
        <f>IF(Data!$A1961="","",Data!$A1961)</f>
        <v>0</v>
      </c>
      <c r="B1961">
        <f>IF(Data!$B1961="","",Data!$B1961)</f>
        <v>0</v>
      </c>
      <c r="C1961">
        <f>IF(Data!$C1961="","",Data!$C1961)</f>
        <v>0</v>
      </c>
      <c r="D1961">
        <f>IF(Data!$D1961="","",Data!$D1961)</f>
        <v>0</v>
      </c>
      <c r="E1961">
        <f>IF(Data!$E1961="","",Data!$E1961)</f>
        <v>0</v>
      </c>
      <c r="F1961">
        <f>IF($E1961="","",N(F1960)+1)</f>
        <v>0</v>
      </c>
      <c r="G1961">
        <f>IF(OR($E1961="",$E1960=""),"",LN($E1961/$E1960))</f>
        <v>0</v>
      </c>
      <c r="H1961">
        <f>IF($E1961="","",IF($E1960="",$E1961,$E1961*0.0952380952+H1960*0.9047619048))</f>
        <v>0</v>
      </c>
      <c r="I1961">
        <f>IF($E1961="","",IF($E1960="",$E1961,$E1961*0.0392156863+I1960*0.9607843137))</f>
        <v>0</v>
      </c>
      <c r="J1961">
        <f>IF($E1961="","",IF($E1960="",$E1961,$E1961*0.0198019802+J1960*0.9801980198))</f>
        <v>0</v>
      </c>
      <c r="K1961">
        <f>IF($E1961="","",IF($E1960="",$E1961,$E1961*0.0099502488+K1960*0.9900497512))</f>
        <v>0</v>
      </c>
      <c r="L1961">
        <f>IF(OR($E1961="",$E1960=""),"",MAX($E1961-$E1960,0))</f>
        <v>0</v>
      </c>
      <c r="M1961">
        <f>IF(OR($E1961="",$E1960=""),"",MAX($E1960-$E1961,0))</f>
        <v>0</v>
      </c>
      <c r="N1961">
        <f>IF(COUNT($E$2:$E1961)&lt;15,"",IF(AVERAGE($M$1948:$M$1961)=0,100,100-100/(1+AVERAGE($L$1948:$L$1961)/AVERAGE($M$1948:$M$1961))))</f>
        <v>0</v>
      </c>
      <c r="O1961">
        <f>IF($E1961="","",IF($E1960="",$E1961,$E1961*0.1538461538+O1960*0.8461538462))</f>
        <v>0</v>
      </c>
      <c r="P1961">
        <f>IF($E1961="","",IF($E1960="",$E1961,$E1961*0.0740740741+P1960*0.9259259259))</f>
        <v>0</v>
      </c>
      <c r="Q1961">
        <f>IF(OR(O1961="",P1961=""),"",O1961-P1961)</f>
        <v>0</v>
      </c>
      <c r="R1961">
        <f>IF(Q1961="","",IF(R1960="",Q1961,Q1961*0.2000000000+R1960*0.8000000000))</f>
        <v>0</v>
      </c>
      <c r="S1961">
        <f>IF(OR(Q1961="",R1961=""),"",Q1961-R1961)</f>
        <v>0</v>
      </c>
      <c r="T1961">
        <f>IF(COUNT($E$2:$E1961)&lt;14,"",MAX($C$1948:$C$1961))</f>
        <v>0</v>
      </c>
      <c r="U1961">
        <f>IF(COUNT($E$2:$E1961)&lt;14,"",MIN($D$1948:$D$1961))</f>
        <v>0</v>
      </c>
      <c r="V1961">
        <f>IF(OR(T1961="",U1961="",T1961=U1961),"",100*($E1961-U1961)/(T1961-U1961))</f>
        <v>0</v>
      </c>
      <c r="W1961">
        <f>IF(COUNT($V$1959:$V$1961)&lt;3,"",AVERAGE($V$1959:$V$1961))</f>
        <v>0</v>
      </c>
      <c r="X1961">
        <f>IF(COUNT($N$1948:$N$1961)&lt;14,"",MIN($N$1948:$N$1961))</f>
        <v>0</v>
      </c>
      <c r="Y1961">
        <f>IF(COUNT($N$1948:$N$1961)&lt;14,"",MAX($N$1948:$N$1961))</f>
        <v>0</v>
      </c>
      <c r="Z1961">
        <f>IF(OR(N1961="",X1961="",Y1961="",Y1961=X1961),"",100*(N1961-X1961)/(Y1961-X1961))</f>
        <v>0</v>
      </c>
      <c r="AA1961">
        <f>IF(COUNT($Z$1959:$Z$1961)&lt;3,"",AVERAGE($Z$1959:$Z$1961))</f>
        <v>0</v>
      </c>
      <c r="AB1961">
        <f>IF(COUNT($AA$1959:$AA$1961)&lt;3,"",AVERAGE($AA$1959:$AA$1961))</f>
        <v>0</v>
      </c>
      <c r="AC1961">
        <f>IF($E1961="","",MAX($C1961-$D1961,ABS($C1961-$E1960),ABS($D1961-$E1960)))</f>
        <v>0</v>
      </c>
      <c r="AD1961">
        <f>IF(COUNT($E$2:$E1961)&lt;15,"",AVERAGE($AC$1948:$AC$1961))</f>
        <v>0</v>
      </c>
      <c r="AE1961">
        <f>IF(OR($E1961="",$E1960=""),"",IF(AND(($C1961-$C1960)&gt;($D1960-$D1961),($C1961-$C1960)&gt;0),$C1961-$C1960,0))</f>
        <v>0</v>
      </c>
      <c r="AF1961">
        <f>IF(OR($E1961="",$E1960=""),"",IF(AND(($D1960-$D1961)&gt;($C1961-$C1960),($D1960-$D1961)&gt;0),$D1960-$D1961,0))</f>
        <v>0</v>
      </c>
      <c r="AG1961">
        <f>IF(COUNT($E$2:$E1961)&lt;15,"",IF(SUM($AC$1948:$AC$1961)=0,0,100*SUM($AE$1948:$AE$1961)/SUM($AC$1948:$AC$1961)))</f>
        <v>0</v>
      </c>
      <c r="AH1961">
        <f>IF(COUNT($E$2:$E1961)&lt;15,"",IF(SUM($AC$1948:$AC$1961)=0,0,100*SUM($AF$1948:$AF$1961)/SUM($AC$1948:$AC$1961)))</f>
        <v>0</v>
      </c>
      <c r="AI1961">
        <f>IF(OR(AG1961="",AH1961=""),"",IF((AG1961+AH1961)=0,0,100*ABS(AG1961-AH1961)/(AG1961+AH1961)))</f>
        <v>0</v>
      </c>
      <c r="AJ1961">
        <f>IF(COUNT($AI$1948:$AI$1961)&lt;14,"",AVERAGE($AI$1948:$AI$1961))</f>
        <v>0</v>
      </c>
      <c r="AK1961">
        <f>IF(COUNT($E$2:$E1961)&lt;20,"",AVERAGE($E$1942:$E$1961))</f>
        <v>0</v>
      </c>
      <c r="AL1961">
        <f>IF(COUNT($E$2:$E1961)&lt;20,"",STDEVP($E$1942:$E$1961))</f>
        <v>0</v>
      </c>
      <c r="AM1961">
        <f>IF(AK1961="","",AK1961+2*AL1961)</f>
        <v>0</v>
      </c>
      <c r="AN1961">
        <f>IF(AK1961="","",AK1961-2*AL1961)</f>
        <v>0</v>
      </c>
      <c r="AO1961">
        <f>IF(OR(AM1961="",AN1961="",AM1961=AN1961),"",($E1961-AN1961)/(AM1961-AN1961))</f>
        <v>0</v>
      </c>
      <c r="AP1961">
        <f>IF(OR(AM1961="",AK1961="",AK1961=0),"",(AM1961-AN1961)/AK1961)</f>
        <v>0</v>
      </c>
      <c r="AQ1961">
        <f>IF(COUNT($E$2:$E1961)&lt;20,"",MAX($C$1942:$C$1961))</f>
        <v>0</v>
      </c>
      <c r="AR1961">
        <f>IF(COUNT($E$2:$E1961)&lt;20,"",MIN($D$1942:$D$1961))</f>
        <v>0</v>
      </c>
      <c r="AS1961">
        <f>IF(OR(AQ1961="",AR1961=""),"",(AQ1961+AR1961)/2)</f>
        <v>0</v>
      </c>
      <c r="AT1961">
        <f>IF(COUNT($G$1942:$G$1961)&lt;20,"",STDEV($G$1942:$G$1961)*SQRT(252))</f>
        <v>0</v>
      </c>
      <c r="AU1961">
        <f>IF(COUNT($E$2:$E1961)&lt;9,"",(MAX($C$1953:$C$1961)+MIN($D$1953:$D$1961))/2)</f>
        <v>0</v>
      </c>
      <c r="AV1961">
        <f>IF(COUNT($E$2:$E1961)&lt;26,"",(MAX($C$1936:$C$1961)+MIN($D$1936:$D$1961))/2)</f>
        <v>0</v>
      </c>
      <c r="AW1961">
        <f>IF(OR(AU1961="",AV1961=""),"",(AU1961+AV1961)/2)</f>
        <v>0</v>
      </c>
      <c r="AX1961">
        <f>IF(COUNT($E$2:$E1961)&lt;52,"",(MAX($C$1910:$C$1961)+MIN($D$1910:$D$1961))/2)</f>
        <v>0</v>
      </c>
      <c r="AY1961">
        <f>IF(COUNT($E$2:$E1961)&lt;20,"",MAX($C$1862:$C$1961))</f>
        <v>0</v>
      </c>
      <c r="AZ1961">
        <f>IF(COUNT($E$2:$E1961)&lt;20,"",MIN($D$1862:$D$1961))</f>
        <v>0</v>
      </c>
      <c r="BA1961">
        <f>IF(COUNT($E$2:$E1961)&lt;20,"",SLOPE($E$1862:$E$1961,$F$1862:$F$1961))</f>
        <v>0</v>
      </c>
      <c r="BB1961">
        <f>IF(COUNT($E$2:$E1961)&lt;20,"",INTERCEPT($E$1862:$E$1961,$F$1862:$F$1961))</f>
        <v>0</v>
      </c>
      <c r="BC1961">
        <f>IF(OR(BA1961="",BB1961=""),"",BB1961+BA1961*F1961)</f>
        <v>0</v>
      </c>
      <c r="BD1961">
        <f>IF(COUNT($E$2:$E1961)&lt;20,"",STEYX($E$1862:$E$1961,$F$1862:$F$1961))</f>
        <v>0</v>
      </c>
      <c r="BE1961">
        <f>IF($E1961="","",IF(AND(COUNT($E$1962:$E$1965)&gt;=4,$C1961=MAX($C$1957:$C$1965)),$C1961,""))</f>
        <v>0</v>
      </c>
      <c r="BF1961">
        <f>IF($E1961="","",IF(AND(COUNT($E$1962:$E$1965)&gt;=4,$D1961=MIN($D$1957:$D$1965)),$D1961,""))</f>
        <v>0</v>
      </c>
      <c r="BG1961">
        <f>IF($A1961="","",$A1961-WEEKDAY($A1961,2)+1)</f>
        <v>0</v>
      </c>
      <c r="BH1961">
        <f>IF($A1961="","",IF($A1960="",1,IF(BG1961&lt;&gt;BG1960,1,0)))</f>
        <v>0</v>
      </c>
      <c r="BI1961">
        <f>IF($A1961="","",IF($A1962="",1,IF(BG1962&lt;&gt;BG1961,1,0)))</f>
        <v>0</v>
      </c>
      <c r="BJ1961">
        <f>IF($A1961="","",IF(BH1961=1,$B1961,BJ1960))</f>
        <v>0</v>
      </c>
      <c r="BK1961">
        <f>IF($A1961="","",IF(BH1961=1,$C1961,MAX($C1961,BK1960)))</f>
        <v>0</v>
      </c>
      <c r="BL1961">
        <f>IF($A1961="","",IF(BH1961=1,$D1961,MIN($D1961,BL1960)))</f>
        <v>0</v>
      </c>
      <c r="BM1961">
        <f>IF($A1961="","",IF(BI1961=1,F1961,""))</f>
        <v>0</v>
      </c>
      <c r="BN1961">
        <f>IF($A1961="","",DATE(YEAR($A1961),MONTH($A1961),1))</f>
        <v>0</v>
      </c>
      <c r="BO1961">
        <f>IF($A1961="","",IF($A1960="",1,IF(BN1961&lt;&gt;BN1960,1,0)))</f>
        <v>0</v>
      </c>
      <c r="BP1961">
        <f>IF($A1961="","",IF($A1962="",1,IF(BN1962&lt;&gt;BN1961,1,0)))</f>
        <v>0</v>
      </c>
      <c r="BQ1961">
        <f>IF($A1961="","",IF(BO1961=1,$B1961,BQ1960))</f>
        <v>0</v>
      </c>
      <c r="BR1961">
        <f>IF($A1961="","",IF(BO1961=1,$C1961,MAX($C1961,BR1960)))</f>
        <v>0</v>
      </c>
      <c r="BS1961">
        <f>IF($A1961="","",IF(BO1961=1,$D1961,MIN($D1961,BS1960)))</f>
        <v>0</v>
      </c>
      <c r="BT1961">
        <f>IF($A1961="","",IF(BP1961=1,F1961,""))</f>
        <v>0</v>
      </c>
    </row>
    <row r="1962" spans="1:72">
      <c r="A1962" s="27">
        <f>IF(Data!$A1962="","",Data!$A1962)</f>
        <v>0</v>
      </c>
      <c r="B1962">
        <f>IF(Data!$B1962="","",Data!$B1962)</f>
        <v>0</v>
      </c>
      <c r="C1962">
        <f>IF(Data!$C1962="","",Data!$C1962)</f>
        <v>0</v>
      </c>
      <c r="D1962">
        <f>IF(Data!$D1962="","",Data!$D1962)</f>
        <v>0</v>
      </c>
      <c r="E1962">
        <f>IF(Data!$E1962="","",Data!$E1962)</f>
        <v>0</v>
      </c>
      <c r="F1962">
        <f>IF($E1962="","",N(F1961)+1)</f>
        <v>0</v>
      </c>
      <c r="G1962">
        <f>IF(OR($E1962="",$E1961=""),"",LN($E1962/$E1961))</f>
        <v>0</v>
      </c>
      <c r="H1962">
        <f>IF($E1962="","",IF($E1961="",$E1962,$E1962*0.0952380952+H1961*0.9047619048))</f>
        <v>0</v>
      </c>
      <c r="I1962">
        <f>IF($E1962="","",IF($E1961="",$E1962,$E1962*0.0392156863+I1961*0.9607843137))</f>
        <v>0</v>
      </c>
      <c r="J1962">
        <f>IF($E1962="","",IF($E1961="",$E1962,$E1962*0.0198019802+J1961*0.9801980198))</f>
        <v>0</v>
      </c>
      <c r="K1962">
        <f>IF($E1962="","",IF($E1961="",$E1962,$E1962*0.0099502488+K1961*0.9900497512))</f>
        <v>0</v>
      </c>
      <c r="L1962">
        <f>IF(OR($E1962="",$E1961=""),"",MAX($E1962-$E1961,0))</f>
        <v>0</v>
      </c>
      <c r="M1962">
        <f>IF(OR($E1962="",$E1961=""),"",MAX($E1961-$E1962,0))</f>
        <v>0</v>
      </c>
      <c r="N1962">
        <f>IF(COUNT($E$2:$E1962)&lt;15,"",IF(AVERAGE($M$1949:$M$1962)=0,100,100-100/(1+AVERAGE($L$1949:$L$1962)/AVERAGE($M$1949:$M$1962))))</f>
        <v>0</v>
      </c>
      <c r="O1962">
        <f>IF($E1962="","",IF($E1961="",$E1962,$E1962*0.1538461538+O1961*0.8461538462))</f>
        <v>0</v>
      </c>
      <c r="P1962">
        <f>IF($E1962="","",IF($E1961="",$E1962,$E1962*0.0740740741+P1961*0.9259259259))</f>
        <v>0</v>
      </c>
      <c r="Q1962">
        <f>IF(OR(O1962="",P1962=""),"",O1962-P1962)</f>
        <v>0</v>
      </c>
      <c r="R1962">
        <f>IF(Q1962="","",IF(R1961="",Q1962,Q1962*0.2000000000+R1961*0.8000000000))</f>
        <v>0</v>
      </c>
      <c r="S1962">
        <f>IF(OR(Q1962="",R1962=""),"",Q1962-R1962)</f>
        <v>0</v>
      </c>
      <c r="T1962">
        <f>IF(COUNT($E$2:$E1962)&lt;14,"",MAX($C$1949:$C$1962))</f>
        <v>0</v>
      </c>
      <c r="U1962">
        <f>IF(COUNT($E$2:$E1962)&lt;14,"",MIN($D$1949:$D$1962))</f>
        <v>0</v>
      </c>
      <c r="V1962">
        <f>IF(OR(T1962="",U1962="",T1962=U1962),"",100*($E1962-U1962)/(T1962-U1962))</f>
        <v>0</v>
      </c>
      <c r="W1962">
        <f>IF(COUNT($V$1960:$V$1962)&lt;3,"",AVERAGE($V$1960:$V$1962))</f>
        <v>0</v>
      </c>
      <c r="X1962">
        <f>IF(COUNT($N$1949:$N$1962)&lt;14,"",MIN($N$1949:$N$1962))</f>
        <v>0</v>
      </c>
      <c r="Y1962">
        <f>IF(COUNT($N$1949:$N$1962)&lt;14,"",MAX($N$1949:$N$1962))</f>
        <v>0</v>
      </c>
      <c r="Z1962">
        <f>IF(OR(N1962="",X1962="",Y1962="",Y1962=X1962),"",100*(N1962-X1962)/(Y1962-X1962))</f>
        <v>0</v>
      </c>
      <c r="AA1962">
        <f>IF(COUNT($Z$1960:$Z$1962)&lt;3,"",AVERAGE($Z$1960:$Z$1962))</f>
        <v>0</v>
      </c>
      <c r="AB1962">
        <f>IF(COUNT($AA$1960:$AA$1962)&lt;3,"",AVERAGE($AA$1960:$AA$1962))</f>
        <v>0</v>
      </c>
      <c r="AC1962">
        <f>IF($E1962="","",MAX($C1962-$D1962,ABS($C1962-$E1961),ABS($D1962-$E1961)))</f>
        <v>0</v>
      </c>
      <c r="AD1962">
        <f>IF(COUNT($E$2:$E1962)&lt;15,"",AVERAGE($AC$1949:$AC$1962))</f>
        <v>0</v>
      </c>
      <c r="AE1962">
        <f>IF(OR($E1962="",$E1961=""),"",IF(AND(($C1962-$C1961)&gt;($D1961-$D1962),($C1962-$C1961)&gt;0),$C1962-$C1961,0))</f>
        <v>0</v>
      </c>
      <c r="AF1962">
        <f>IF(OR($E1962="",$E1961=""),"",IF(AND(($D1961-$D1962)&gt;($C1962-$C1961),($D1961-$D1962)&gt;0),$D1961-$D1962,0))</f>
        <v>0</v>
      </c>
      <c r="AG1962">
        <f>IF(COUNT($E$2:$E1962)&lt;15,"",IF(SUM($AC$1949:$AC$1962)=0,0,100*SUM($AE$1949:$AE$1962)/SUM($AC$1949:$AC$1962)))</f>
        <v>0</v>
      </c>
      <c r="AH1962">
        <f>IF(COUNT($E$2:$E1962)&lt;15,"",IF(SUM($AC$1949:$AC$1962)=0,0,100*SUM($AF$1949:$AF$1962)/SUM($AC$1949:$AC$1962)))</f>
        <v>0</v>
      </c>
      <c r="AI1962">
        <f>IF(OR(AG1962="",AH1962=""),"",IF((AG1962+AH1962)=0,0,100*ABS(AG1962-AH1962)/(AG1962+AH1962)))</f>
        <v>0</v>
      </c>
      <c r="AJ1962">
        <f>IF(COUNT($AI$1949:$AI$1962)&lt;14,"",AVERAGE($AI$1949:$AI$1962))</f>
        <v>0</v>
      </c>
      <c r="AK1962">
        <f>IF(COUNT($E$2:$E1962)&lt;20,"",AVERAGE($E$1943:$E$1962))</f>
        <v>0</v>
      </c>
      <c r="AL1962">
        <f>IF(COUNT($E$2:$E1962)&lt;20,"",STDEVP($E$1943:$E$1962))</f>
        <v>0</v>
      </c>
      <c r="AM1962">
        <f>IF(AK1962="","",AK1962+2*AL1962)</f>
        <v>0</v>
      </c>
      <c r="AN1962">
        <f>IF(AK1962="","",AK1962-2*AL1962)</f>
        <v>0</v>
      </c>
      <c r="AO1962">
        <f>IF(OR(AM1962="",AN1962="",AM1962=AN1962),"",($E1962-AN1962)/(AM1962-AN1962))</f>
        <v>0</v>
      </c>
      <c r="AP1962">
        <f>IF(OR(AM1962="",AK1962="",AK1962=0),"",(AM1962-AN1962)/AK1962)</f>
        <v>0</v>
      </c>
      <c r="AQ1962">
        <f>IF(COUNT($E$2:$E1962)&lt;20,"",MAX($C$1943:$C$1962))</f>
        <v>0</v>
      </c>
      <c r="AR1962">
        <f>IF(COUNT($E$2:$E1962)&lt;20,"",MIN($D$1943:$D$1962))</f>
        <v>0</v>
      </c>
      <c r="AS1962">
        <f>IF(OR(AQ1962="",AR1962=""),"",(AQ1962+AR1962)/2)</f>
        <v>0</v>
      </c>
      <c r="AT1962">
        <f>IF(COUNT($G$1943:$G$1962)&lt;20,"",STDEV($G$1943:$G$1962)*SQRT(252))</f>
        <v>0</v>
      </c>
      <c r="AU1962">
        <f>IF(COUNT($E$2:$E1962)&lt;9,"",(MAX($C$1954:$C$1962)+MIN($D$1954:$D$1962))/2)</f>
        <v>0</v>
      </c>
      <c r="AV1962">
        <f>IF(COUNT($E$2:$E1962)&lt;26,"",(MAX($C$1937:$C$1962)+MIN($D$1937:$D$1962))/2)</f>
        <v>0</v>
      </c>
      <c r="AW1962">
        <f>IF(OR(AU1962="",AV1962=""),"",(AU1962+AV1962)/2)</f>
        <v>0</v>
      </c>
      <c r="AX1962">
        <f>IF(COUNT($E$2:$E1962)&lt;52,"",(MAX($C$1911:$C$1962)+MIN($D$1911:$D$1962))/2)</f>
        <v>0</v>
      </c>
      <c r="AY1962">
        <f>IF(COUNT($E$2:$E1962)&lt;20,"",MAX($C$1863:$C$1962))</f>
        <v>0</v>
      </c>
      <c r="AZ1962">
        <f>IF(COUNT($E$2:$E1962)&lt;20,"",MIN($D$1863:$D$1962))</f>
        <v>0</v>
      </c>
      <c r="BA1962">
        <f>IF(COUNT($E$2:$E1962)&lt;20,"",SLOPE($E$1863:$E$1962,$F$1863:$F$1962))</f>
        <v>0</v>
      </c>
      <c r="BB1962">
        <f>IF(COUNT($E$2:$E1962)&lt;20,"",INTERCEPT($E$1863:$E$1962,$F$1863:$F$1962))</f>
        <v>0</v>
      </c>
      <c r="BC1962">
        <f>IF(OR(BA1962="",BB1962=""),"",BB1962+BA1962*F1962)</f>
        <v>0</v>
      </c>
      <c r="BD1962">
        <f>IF(COUNT($E$2:$E1962)&lt;20,"",STEYX($E$1863:$E$1962,$F$1863:$F$1962))</f>
        <v>0</v>
      </c>
      <c r="BE1962">
        <f>IF($E1962="","",IF(AND(COUNT($E$1963:$E$1966)&gt;=4,$C1962=MAX($C$1958:$C$1966)),$C1962,""))</f>
        <v>0</v>
      </c>
      <c r="BF1962">
        <f>IF($E1962="","",IF(AND(COUNT($E$1963:$E$1966)&gt;=4,$D1962=MIN($D$1958:$D$1966)),$D1962,""))</f>
        <v>0</v>
      </c>
      <c r="BG1962">
        <f>IF($A1962="","",$A1962-WEEKDAY($A1962,2)+1)</f>
        <v>0</v>
      </c>
      <c r="BH1962">
        <f>IF($A1962="","",IF($A1961="",1,IF(BG1962&lt;&gt;BG1961,1,0)))</f>
        <v>0</v>
      </c>
      <c r="BI1962">
        <f>IF($A1962="","",IF($A1963="",1,IF(BG1963&lt;&gt;BG1962,1,0)))</f>
        <v>0</v>
      </c>
      <c r="BJ1962">
        <f>IF($A1962="","",IF(BH1962=1,$B1962,BJ1961))</f>
        <v>0</v>
      </c>
      <c r="BK1962">
        <f>IF($A1962="","",IF(BH1962=1,$C1962,MAX($C1962,BK1961)))</f>
        <v>0</v>
      </c>
      <c r="BL1962">
        <f>IF($A1962="","",IF(BH1962=1,$D1962,MIN($D1962,BL1961)))</f>
        <v>0</v>
      </c>
      <c r="BM1962">
        <f>IF($A1962="","",IF(BI1962=1,F1962,""))</f>
        <v>0</v>
      </c>
      <c r="BN1962">
        <f>IF($A1962="","",DATE(YEAR($A1962),MONTH($A1962),1))</f>
        <v>0</v>
      </c>
      <c r="BO1962">
        <f>IF($A1962="","",IF($A1961="",1,IF(BN1962&lt;&gt;BN1961,1,0)))</f>
        <v>0</v>
      </c>
      <c r="BP1962">
        <f>IF($A1962="","",IF($A1963="",1,IF(BN1963&lt;&gt;BN1962,1,0)))</f>
        <v>0</v>
      </c>
      <c r="BQ1962">
        <f>IF($A1962="","",IF(BO1962=1,$B1962,BQ1961))</f>
        <v>0</v>
      </c>
      <c r="BR1962">
        <f>IF($A1962="","",IF(BO1962=1,$C1962,MAX($C1962,BR1961)))</f>
        <v>0</v>
      </c>
      <c r="BS1962">
        <f>IF($A1962="","",IF(BO1962=1,$D1962,MIN($D1962,BS1961)))</f>
        <v>0</v>
      </c>
      <c r="BT1962">
        <f>IF($A1962="","",IF(BP1962=1,F1962,""))</f>
        <v>0</v>
      </c>
    </row>
    <row r="1963" spans="1:72">
      <c r="A1963" s="27">
        <f>IF(Data!$A1963="","",Data!$A1963)</f>
        <v>0</v>
      </c>
      <c r="B1963">
        <f>IF(Data!$B1963="","",Data!$B1963)</f>
        <v>0</v>
      </c>
      <c r="C1963">
        <f>IF(Data!$C1963="","",Data!$C1963)</f>
        <v>0</v>
      </c>
      <c r="D1963">
        <f>IF(Data!$D1963="","",Data!$D1963)</f>
        <v>0</v>
      </c>
      <c r="E1963">
        <f>IF(Data!$E1963="","",Data!$E1963)</f>
        <v>0</v>
      </c>
      <c r="F1963">
        <f>IF($E1963="","",N(F1962)+1)</f>
        <v>0</v>
      </c>
      <c r="G1963">
        <f>IF(OR($E1963="",$E1962=""),"",LN($E1963/$E1962))</f>
        <v>0</v>
      </c>
      <c r="H1963">
        <f>IF($E1963="","",IF($E1962="",$E1963,$E1963*0.0952380952+H1962*0.9047619048))</f>
        <v>0</v>
      </c>
      <c r="I1963">
        <f>IF($E1963="","",IF($E1962="",$E1963,$E1963*0.0392156863+I1962*0.9607843137))</f>
        <v>0</v>
      </c>
      <c r="J1963">
        <f>IF($E1963="","",IF($E1962="",$E1963,$E1963*0.0198019802+J1962*0.9801980198))</f>
        <v>0</v>
      </c>
      <c r="K1963">
        <f>IF($E1963="","",IF($E1962="",$E1963,$E1963*0.0099502488+K1962*0.9900497512))</f>
        <v>0</v>
      </c>
      <c r="L1963">
        <f>IF(OR($E1963="",$E1962=""),"",MAX($E1963-$E1962,0))</f>
        <v>0</v>
      </c>
      <c r="M1963">
        <f>IF(OR($E1963="",$E1962=""),"",MAX($E1962-$E1963,0))</f>
        <v>0</v>
      </c>
      <c r="N1963">
        <f>IF(COUNT($E$2:$E1963)&lt;15,"",IF(AVERAGE($M$1950:$M$1963)=0,100,100-100/(1+AVERAGE($L$1950:$L$1963)/AVERAGE($M$1950:$M$1963))))</f>
        <v>0</v>
      </c>
      <c r="O1963">
        <f>IF($E1963="","",IF($E1962="",$E1963,$E1963*0.1538461538+O1962*0.8461538462))</f>
        <v>0</v>
      </c>
      <c r="P1963">
        <f>IF($E1963="","",IF($E1962="",$E1963,$E1963*0.0740740741+P1962*0.9259259259))</f>
        <v>0</v>
      </c>
      <c r="Q1963">
        <f>IF(OR(O1963="",P1963=""),"",O1963-P1963)</f>
        <v>0</v>
      </c>
      <c r="R1963">
        <f>IF(Q1963="","",IF(R1962="",Q1963,Q1963*0.2000000000+R1962*0.8000000000))</f>
        <v>0</v>
      </c>
      <c r="S1963">
        <f>IF(OR(Q1963="",R1963=""),"",Q1963-R1963)</f>
        <v>0</v>
      </c>
      <c r="T1963">
        <f>IF(COUNT($E$2:$E1963)&lt;14,"",MAX($C$1950:$C$1963))</f>
        <v>0</v>
      </c>
      <c r="U1963">
        <f>IF(COUNT($E$2:$E1963)&lt;14,"",MIN($D$1950:$D$1963))</f>
        <v>0</v>
      </c>
      <c r="V1963">
        <f>IF(OR(T1963="",U1963="",T1963=U1963),"",100*($E1963-U1963)/(T1963-U1963))</f>
        <v>0</v>
      </c>
      <c r="W1963">
        <f>IF(COUNT($V$1961:$V$1963)&lt;3,"",AVERAGE($V$1961:$V$1963))</f>
        <v>0</v>
      </c>
      <c r="X1963">
        <f>IF(COUNT($N$1950:$N$1963)&lt;14,"",MIN($N$1950:$N$1963))</f>
        <v>0</v>
      </c>
      <c r="Y1963">
        <f>IF(COUNT($N$1950:$N$1963)&lt;14,"",MAX($N$1950:$N$1963))</f>
        <v>0</v>
      </c>
      <c r="Z1963">
        <f>IF(OR(N1963="",X1963="",Y1963="",Y1963=X1963),"",100*(N1963-X1963)/(Y1963-X1963))</f>
        <v>0</v>
      </c>
      <c r="AA1963">
        <f>IF(COUNT($Z$1961:$Z$1963)&lt;3,"",AVERAGE($Z$1961:$Z$1963))</f>
        <v>0</v>
      </c>
      <c r="AB1963">
        <f>IF(COUNT($AA$1961:$AA$1963)&lt;3,"",AVERAGE($AA$1961:$AA$1963))</f>
        <v>0</v>
      </c>
      <c r="AC1963">
        <f>IF($E1963="","",MAX($C1963-$D1963,ABS($C1963-$E1962),ABS($D1963-$E1962)))</f>
        <v>0</v>
      </c>
      <c r="AD1963">
        <f>IF(COUNT($E$2:$E1963)&lt;15,"",AVERAGE($AC$1950:$AC$1963))</f>
        <v>0</v>
      </c>
      <c r="AE1963">
        <f>IF(OR($E1963="",$E1962=""),"",IF(AND(($C1963-$C1962)&gt;($D1962-$D1963),($C1963-$C1962)&gt;0),$C1963-$C1962,0))</f>
        <v>0</v>
      </c>
      <c r="AF1963">
        <f>IF(OR($E1963="",$E1962=""),"",IF(AND(($D1962-$D1963)&gt;($C1963-$C1962),($D1962-$D1963)&gt;0),$D1962-$D1963,0))</f>
        <v>0</v>
      </c>
      <c r="AG1963">
        <f>IF(COUNT($E$2:$E1963)&lt;15,"",IF(SUM($AC$1950:$AC$1963)=0,0,100*SUM($AE$1950:$AE$1963)/SUM($AC$1950:$AC$1963)))</f>
        <v>0</v>
      </c>
      <c r="AH1963">
        <f>IF(COUNT($E$2:$E1963)&lt;15,"",IF(SUM($AC$1950:$AC$1963)=0,0,100*SUM($AF$1950:$AF$1963)/SUM($AC$1950:$AC$1963)))</f>
        <v>0</v>
      </c>
      <c r="AI1963">
        <f>IF(OR(AG1963="",AH1963=""),"",IF((AG1963+AH1963)=0,0,100*ABS(AG1963-AH1963)/(AG1963+AH1963)))</f>
        <v>0</v>
      </c>
      <c r="AJ1963">
        <f>IF(COUNT($AI$1950:$AI$1963)&lt;14,"",AVERAGE($AI$1950:$AI$1963))</f>
        <v>0</v>
      </c>
      <c r="AK1963">
        <f>IF(COUNT($E$2:$E1963)&lt;20,"",AVERAGE($E$1944:$E$1963))</f>
        <v>0</v>
      </c>
      <c r="AL1963">
        <f>IF(COUNT($E$2:$E1963)&lt;20,"",STDEVP($E$1944:$E$1963))</f>
        <v>0</v>
      </c>
      <c r="AM1963">
        <f>IF(AK1963="","",AK1963+2*AL1963)</f>
        <v>0</v>
      </c>
      <c r="AN1963">
        <f>IF(AK1963="","",AK1963-2*AL1963)</f>
        <v>0</v>
      </c>
      <c r="AO1963">
        <f>IF(OR(AM1963="",AN1963="",AM1963=AN1963),"",($E1963-AN1963)/(AM1963-AN1963))</f>
        <v>0</v>
      </c>
      <c r="AP1963">
        <f>IF(OR(AM1963="",AK1963="",AK1963=0),"",(AM1963-AN1963)/AK1963)</f>
        <v>0</v>
      </c>
      <c r="AQ1963">
        <f>IF(COUNT($E$2:$E1963)&lt;20,"",MAX($C$1944:$C$1963))</f>
        <v>0</v>
      </c>
      <c r="AR1963">
        <f>IF(COUNT($E$2:$E1963)&lt;20,"",MIN($D$1944:$D$1963))</f>
        <v>0</v>
      </c>
      <c r="AS1963">
        <f>IF(OR(AQ1963="",AR1963=""),"",(AQ1963+AR1963)/2)</f>
        <v>0</v>
      </c>
      <c r="AT1963">
        <f>IF(COUNT($G$1944:$G$1963)&lt;20,"",STDEV($G$1944:$G$1963)*SQRT(252))</f>
        <v>0</v>
      </c>
      <c r="AU1963">
        <f>IF(COUNT($E$2:$E1963)&lt;9,"",(MAX($C$1955:$C$1963)+MIN($D$1955:$D$1963))/2)</f>
        <v>0</v>
      </c>
      <c r="AV1963">
        <f>IF(COUNT($E$2:$E1963)&lt;26,"",(MAX($C$1938:$C$1963)+MIN($D$1938:$D$1963))/2)</f>
        <v>0</v>
      </c>
      <c r="AW1963">
        <f>IF(OR(AU1963="",AV1963=""),"",(AU1963+AV1963)/2)</f>
        <v>0</v>
      </c>
      <c r="AX1963">
        <f>IF(COUNT($E$2:$E1963)&lt;52,"",(MAX($C$1912:$C$1963)+MIN($D$1912:$D$1963))/2)</f>
        <v>0</v>
      </c>
      <c r="AY1963">
        <f>IF(COUNT($E$2:$E1963)&lt;20,"",MAX($C$1864:$C$1963))</f>
        <v>0</v>
      </c>
      <c r="AZ1963">
        <f>IF(COUNT($E$2:$E1963)&lt;20,"",MIN($D$1864:$D$1963))</f>
        <v>0</v>
      </c>
      <c r="BA1963">
        <f>IF(COUNT($E$2:$E1963)&lt;20,"",SLOPE($E$1864:$E$1963,$F$1864:$F$1963))</f>
        <v>0</v>
      </c>
      <c r="BB1963">
        <f>IF(COUNT($E$2:$E1963)&lt;20,"",INTERCEPT($E$1864:$E$1963,$F$1864:$F$1963))</f>
        <v>0</v>
      </c>
      <c r="BC1963">
        <f>IF(OR(BA1963="",BB1963=""),"",BB1963+BA1963*F1963)</f>
        <v>0</v>
      </c>
      <c r="BD1963">
        <f>IF(COUNT($E$2:$E1963)&lt;20,"",STEYX($E$1864:$E$1963,$F$1864:$F$1963))</f>
        <v>0</v>
      </c>
      <c r="BE1963">
        <f>IF($E1963="","",IF(AND(COUNT($E$1964:$E$1967)&gt;=4,$C1963=MAX($C$1959:$C$1967)),$C1963,""))</f>
        <v>0</v>
      </c>
      <c r="BF1963">
        <f>IF($E1963="","",IF(AND(COUNT($E$1964:$E$1967)&gt;=4,$D1963=MIN($D$1959:$D$1967)),$D1963,""))</f>
        <v>0</v>
      </c>
      <c r="BG1963">
        <f>IF($A1963="","",$A1963-WEEKDAY($A1963,2)+1)</f>
        <v>0</v>
      </c>
      <c r="BH1963">
        <f>IF($A1963="","",IF($A1962="",1,IF(BG1963&lt;&gt;BG1962,1,0)))</f>
        <v>0</v>
      </c>
      <c r="BI1963">
        <f>IF($A1963="","",IF($A1964="",1,IF(BG1964&lt;&gt;BG1963,1,0)))</f>
        <v>0</v>
      </c>
      <c r="BJ1963">
        <f>IF($A1963="","",IF(BH1963=1,$B1963,BJ1962))</f>
        <v>0</v>
      </c>
      <c r="BK1963">
        <f>IF($A1963="","",IF(BH1963=1,$C1963,MAX($C1963,BK1962)))</f>
        <v>0</v>
      </c>
      <c r="BL1963">
        <f>IF($A1963="","",IF(BH1963=1,$D1963,MIN($D1963,BL1962)))</f>
        <v>0</v>
      </c>
      <c r="BM1963">
        <f>IF($A1963="","",IF(BI1963=1,F1963,""))</f>
        <v>0</v>
      </c>
      <c r="BN1963">
        <f>IF($A1963="","",DATE(YEAR($A1963),MONTH($A1963),1))</f>
        <v>0</v>
      </c>
      <c r="BO1963">
        <f>IF($A1963="","",IF($A1962="",1,IF(BN1963&lt;&gt;BN1962,1,0)))</f>
        <v>0</v>
      </c>
      <c r="BP1963">
        <f>IF($A1963="","",IF($A1964="",1,IF(BN1964&lt;&gt;BN1963,1,0)))</f>
        <v>0</v>
      </c>
      <c r="BQ1963">
        <f>IF($A1963="","",IF(BO1963=1,$B1963,BQ1962))</f>
        <v>0</v>
      </c>
      <c r="BR1963">
        <f>IF($A1963="","",IF(BO1963=1,$C1963,MAX($C1963,BR1962)))</f>
        <v>0</v>
      </c>
      <c r="BS1963">
        <f>IF($A1963="","",IF(BO1963=1,$D1963,MIN($D1963,BS1962)))</f>
        <v>0</v>
      </c>
      <c r="BT1963">
        <f>IF($A1963="","",IF(BP1963=1,F1963,""))</f>
        <v>0</v>
      </c>
    </row>
    <row r="1964" spans="1:72">
      <c r="A1964" s="27">
        <f>IF(Data!$A1964="","",Data!$A1964)</f>
        <v>0</v>
      </c>
      <c r="B1964">
        <f>IF(Data!$B1964="","",Data!$B1964)</f>
        <v>0</v>
      </c>
      <c r="C1964">
        <f>IF(Data!$C1964="","",Data!$C1964)</f>
        <v>0</v>
      </c>
      <c r="D1964">
        <f>IF(Data!$D1964="","",Data!$D1964)</f>
        <v>0</v>
      </c>
      <c r="E1964">
        <f>IF(Data!$E1964="","",Data!$E1964)</f>
        <v>0</v>
      </c>
      <c r="F1964">
        <f>IF($E1964="","",N(F1963)+1)</f>
        <v>0</v>
      </c>
      <c r="G1964">
        <f>IF(OR($E1964="",$E1963=""),"",LN($E1964/$E1963))</f>
        <v>0</v>
      </c>
      <c r="H1964">
        <f>IF($E1964="","",IF($E1963="",$E1964,$E1964*0.0952380952+H1963*0.9047619048))</f>
        <v>0</v>
      </c>
      <c r="I1964">
        <f>IF($E1964="","",IF($E1963="",$E1964,$E1964*0.0392156863+I1963*0.9607843137))</f>
        <v>0</v>
      </c>
      <c r="J1964">
        <f>IF($E1964="","",IF($E1963="",$E1964,$E1964*0.0198019802+J1963*0.9801980198))</f>
        <v>0</v>
      </c>
      <c r="K1964">
        <f>IF($E1964="","",IF($E1963="",$E1964,$E1964*0.0099502488+K1963*0.9900497512))</f>
        <v>0</v>
      </c>
      <c r="L1964">
        <f>IF(OR($E1964="",$E1963=""),"",MAX($E1964-$E1963,0))</f>
        <v>0</v>
      </c>
      <c r="M1964">
        <f>IF(OR($E1964="",$E1963=""),"",MAX($E1963-$E1964,0))</f>
        <v>0</v>
      </c>
      <c r="N1964">
        <f>IF(COUNT($E$2:$E1964)&lt;15,"",IF(AVERAGE($M$1951:$M$1964)=0,100,100-100/(1+AVERAGE($L$1951:$L$1964)/AVERAGE($M$1951:$M$1964))))</f>
        <v>0</v>
      </c>
      <c r="O1964">
        <f>IF($E1964="","",IF($E1963="",$E1964,$E1964*0.1538461538+O1963*0.8461538462))</f>
        <v>0</v>
      </c>
      <c r="P1964">
        <f>IF($E1964="","",IF($E1963="",$E1964,$E1964*0.0740740741+P1963*0.9259259259))</f>
        <v>0</v>
      </c>
      <c r="Q1964">
        <f>IF(OR(O1964="",P1964=""),"",O1964-P1964)</f>
        <v>0</v>
      </c>
      <c r="R1964">
        <f>IF(Q1964="","",IF(R1963="",Q1964,Q1964*0.2000000000+R1963*0.8000000000))</f>
        <v>0</v>
      </c>
      <c r="S1964">
        <f>IF(OR(Q1964="",R1964=""),"",Q1964-R1964)</f>
        <v>0</v>
      </c>
      <c r="T1964">
        <f>IF(COUNT($E$2:$E1964)&lt;14,"",MAX($C$1951:$C$1964))</f>
        <v>0</v>
      </c>
      <c r="U1964">
        <f>IF(COUNT($E$2:$E1964)&lt;14,"",MIN($D$1951:$D$1964))</f>
        <v>0</v>
      </c>
      <c r="V1964">
        <f>IF(OR(T1964="",U1964="",T1964=U1964),"",100*($E1964-U1964)/(T1964-U1964))</f>
        <v>0</v>
      </c>
      <c r="W1964">
        <f>IF(COUNT($V$1962:$V$1964)&lt;3,"",AVERAGE($V$1962:$V$1964))</f>
        <v>0</v>
      </c>
      <c r="X1964">
        <f>IF(COUNT($N$1951:$N$1964)&lt;14,"",MIN($N$1951:$N$1964))</f>
        <v>0</v>
      </c>
      <c r="Y1964">
        <f>IF(COUNT($N$1951:$N$1964)&lt;14,"",MAX($N$1951:$N$1964))</f>
        <v>0</v>
      </c>
      <c r="Z1964">
        <f>IF(OR(N1964="",X1964="",Y1964="",Y1964=X1964),"",100*(N1964-X1964)/(Y1964-X1964))</f>
        <v>0</v>
      </c>
      <c r="AA1964">
        <f>IF(COUNT($Z$1962:$Z$1964)&lt;3,"",AVERAGE($Z$1962:$Z$1964))</f>
        <v>0</v>
      </c>
      <c r="AB1964">
        <f>IF(COUNT($AA$1962:$AA$1964)&lt;3,"",AVERAGE($AA$1962:$AA$1964))</f>
        <v>0</v>
      </c>
      <c r="AC1964">
        <f>IF($E1964="","",MAX($C1964-$D1964,ABS($C1964-$E1963),ABS($D1964-$E1963)))</f>
        <v>0</v>
      </c>
      <c r="AD1964">
        <f>IF(COUNT($E$2:$E1964)&lt;15,"",AVERAGE($AC$1951:$AC$1964))</f>
        <v>0</v>
      </c>
      <c r="AE1964">
        <f>IF(OR($E1964="",$E1963=""),"",IF(AND(($C1964-$C1963)&gt;($D1963-$D1964),($C1964-$C1963)&gt;0),$C1964-$C1963,0))</f>
        <v>0</v>
      </c>
      <c r="AF1964">
        <f>IF(OR($E1964="",$E1963=""),"",IF(AND(($D1963-$D1964)&gt;($C1964-$C1963),($D1963-$D1964)&gt;0),$D1963-$D1964,0))</f>
        <v>0</v>
      </c>
      <c r="AG1964">
        <f>IF(COUNT($E$2:$E1964)&lt;15,"",IF(SUM($AC$1951:$AC$1964)=0,0,100*SUM($AE$1951:$AE$1964)/SUM($AC$1951:$AC$1964)))</f>
        <v>0</v>
      </c>
      <c r="AH1964">
        <f>IF(COUNT($E$2:$E1964)&lt;15,"",IF(SUM($AC$1951:$AC$1964)=0,0,100*SUM($AF$1951:$AF$1964)/SUM($AC$1951:$AC$1964)))</f>
        <v>0</v>
      </c>
      <c r="AI1964">
        <f>IF(OR(AG1964="",AH1964=""),"",IF((AG1964+AH1964)=0,0,100*ABS(AG1964-AH1964)/(AG1964+AH1964)))</f>
        <v>0</v>
      </c>
      <c r="AJ1964">
        <f>IF(COUNT($AI$1951:$AI$1964)&lt;14,"",AVERAGE($AI$1951:$AI$1964))</f>
        <v>0</v>
      </c>
      <c r="AK1964">
        <f>IF(COUNT($E$2:$E1964)&lt;20,"",AVERAGE($E$1945:$E$1964))</f>
        <v>0</v>
      </c>
      <c r="AL1964">
        <f>IF(COUNT($E$2:$E1964)&lt;20,"",STDEVP($E$1945:$E$1964))</f>
        <v>0</v>
      </c>
      <c r="AM1964">
        <f>IF(AK1964="","",AK1964+2*AL1964)</f>
        <v>0</v>
      </c>
      <c r="AN1964">
        <f>IF(AK1964="","",AK1964-2*AL1964)</f>
        <v>0</v>
      </c>
      <c r="AO1964">
        <f>IF(OR(AM1964="",AN1964="",AM1964=AN1964),"",($E1964-AN1964)/(AM1964-AN1964))</f>
        <v>0</v>
      </c>
      <c r="AP1964">
        <f>IF(OR(AM1964="",AK1964="",AK1964=0),"",(AM1964-AN1964)/AK1964)</f>
        <v>0</v>
      </c>
      <c r="AQ1964">
        <f>IF(COUNT($E$2:$E1964)&lt;20,"",MAX($C$1945:$C$1964))</f>
        <v>0</v>
      </c>
      <c r="AR1964">
        <f>IF(COUNT($E$2:$E1964)&lt;20,"",MIN($D$1945:$D$1964))</f>
        <v>0</v>
      </c>
      <c r="AS1964">
        <f>IF(OR(AQ1964="",AR1964=""),"",(AQ1964+AR1964)/2)</f>
        <v>0</v>
      </c>
      <c r="AT1964">
        <f>IF(COUNT($G$1945:$G$1964)&lt;20,"",STDEV($G$1945:$G$1964)*SQRT(252))</f>
        <v>0</v>
      </c>
      <c r="AU1964">
        <f>IF(COUNT($E$2:$E1964)&lt;9,"",(MAX($C$1956:$C$1964)+MIN($D$1956:$D$1964))/2)</f>
        <v>0</v>
      </c>
      <c r="AV1964">
        <f>IF(COUNT($E$2:$E1964)&lt;26,"",(MAX($C$1939:$C$1964)+MIN($D$1939:$D$1964))/2)</f>
        <v>0</v>
      </c>
      <c r="AW1964">
        <f>IF(OR(AU1964="",AV1964=""),"",(AU1964+AV1964)/2)</f>
        <v>0</v>
      </c>
      <c r="AX1964">
        <f>IF(COUNT($E$2:$E1964)&lt;52,"",(MAX($C$1913:$C$1964)+MIN($D$1913:$D$1964))/2)</f>
        <v>0</v>
      </c>
      <c r="AY1964">
        <f>IF(COUNT($E$2:$E1964)&lt;20,"",MAX($C$1865:$C$1964))</f>
        <v>0</v>
      </c>
      <c r="AZ1964">
        <f>IF(COUNT($E$2:$E1964)&lt;20,"",MIN($D$1865:$D$1964))</f>
        <v>0</v>
      </c>
      <c r="BA1964">
        <f>IF(COUNT($E$2:$E1964)&lt;20,"",SLOPE($E$1865:$E$1964,$F$1865:$F$1964))</f>
        <v>0</v>
      </c>
      <c r="BB1964">
        <f>IF(COUNT($E$2:$E1964)&lt;20,"",INTERCEPT($E$1865:$E$1964,$F$1865:$F$1964))</f>
        <v>0</v>
      </c>
      <c r="BC1964">
        <f>IF(OR(BA1964="",BB1964=""),"",BB1964+BA1964*F1964)</f>
        <v>0</v>
      </c>
      <c r="BD1964">
        <f>IF(COUNT($E$2:$E1964)&lt;20,"",STEYX($E$1865:$E$1964,$F$1865:$F$1964))</f>
        <v>0</v>
      </c>
      <c r="BE1964">
        <f>IF($E1964="","",IF(AND(COUNT($E$1965:$E$1968)&gt;=4,$C1964=MAX($C$1960:$C$1968)),$C1964,""))</f>
        <v>0</v>
      </c>
      <c r="BF1964">
        <f>IF($E1964="","",IF(AND(COUNT($E$1965:$E$1968)&gt;=4,$D1964=MIN($D$1960:$D$1968)),$D1964,""))</f>
        <v>0</v>
      </c>
      <c r="BG1964">
        <f>IF($A1964="","",$A1964-WEEKDAY($A1964,2)+1)</f>
        <v>0</v>
      </c>
      <c r="BH1964">
        <f>IF($A1964="","",IF($A1963="",1,IF(BG1964&lt;&gt;BG1963,1,0)))</f>
        <v>0</v>
      </c>
      <c r="BI1964">
        <f>IF($A1964="","",IF($A1965="",1,IF(BG1965&lt;&gt;BG1964,1,0)))</f>
        <v>0</v>
      </c>
      <c r="BJ1964">
        <f>IF($A1964="","",IF(BH1964=1,$B1964,BJ1963))</f>
        <v>0</v>
      </c>
      <c r="BK1964">
        <f>IF($A1964="","",IF(BH1964=1,$C1964,MAX($C1964,BK1963)))</f>
        <v>0</v>
      </c>
      <c r="BL1964">
        <f>IF($A1964="","",IF(BH1964=1,$D1964,MIN($D1964,BL1963)))</f>
        <v>0</v>
      </c>
      <c r="BM1964">
        <f>IF($A1964="","",IF(BI1964=1,F1964,""))</f>
        <v>0</v>
      </c>
      <c r="BN1964">
        <f>IF($A1964="","",DATE(YEAR($A1964),MONTH($A1964),1))</f>
        <v>0</v>
      </c>
      <c r="BO1964">
        <f>IF($A1964="","",IF($A1963="",1,IF(BN1964&lt;&gt;BN1963,1,0)))</f>
        <v>0</v>
      </c>
      <c r="BP1964">
        <f>IF($A1964="","",IF($A1965="",1,IF(BN1965&lt;&gt;BN1964,1,0)))</f>
        <v>0</v>
      </c>
      <c r="BQ1964">
        <f>IF($A1964="","",IF(BO1964=1,$B1964,BQ1963))</f>
        <v>0</v>
      </c>
      <c r="BR1964">
        <f>IF($A1964="","",IF(BO1964=1,$C1964,MAX($C1964,BR1963)))</f>
        <v>0</v>
      </c>
      <c r="BS1964">
        <f>IF($A1964="","",IF(BO1964=1,$D1964,MIN($D1964,BS1963)))</f>
        <v>0</v>
      </c>
      <c r="BT1964">
        <f>IF($A1964="","",IF(BP1964=1,F1964,""))</f>
        <v>0</v>
      </c>
    </row>
    <row r="1965" spans="1:72">
      <c r="A1965" s="27">
        <f>IF(Data!$A1965="","",Data!$A1965)</f>
        <v>0</v>
      </c>
      <c r="B1965">
        <f>IF(Data!$B1965="","",Data!$B1965)</f>
        <v>0</v>
      </c>
      <c r="C1965">
        <f>IF(Data!$C1965="","",Data!$C1965)</f>
        <v>0</v>
      </c>
      <c r="D1965">
        <f>IF(Data!$D1965="","",Data!$D1965)</f>
        <v>0</v>
      </c>
      <c r="E1965">
        <f>IF(Data!$E1965="","",Data!$E1965)</f>
        <v>0</v>
      </c>
      <c r="F1965">
        <f>IF($E1965="","",N(F1964)+1)</f>
        <v>0</v>
      </c>
      <c r="G1965">
        <f>IF(OR($E1965="",$E1964=""),"",LN($E1965/$E1964))</f>
        <v>0</v>
      </c>
      <c r="H1965">
        <f>IF($E1965="","",IF($E1964="",$E1965,$E1965*0.0952380952+H1964*0.9047619048))</f>
        <v>0</v>
      </c>
      <c r="I1965">
        <f>IF($E1965="","",IF($E1964="",$E1965,$E1965*0.0392156863+I1964*0.9607843137))</f>
        <v>0</v>
      </c>
      <c r="J1965">
        <f>IF($E1965="","",IF($E1964="",$E1965,$E1965*0.0198019802+J1964*0.9801980198))</f>
        <v>0</v>
      </c>
      <c r="K1965">
        <f>IF($E1965="","",IF($E1964="",$E1965,$E1965*0.0099502488+K1964*0.9900497512))</f>
        <v>0</v>
      </c>
      <c r="L1965">
        <f>IF(OR($E1965="",$E1964=""),"",MAX($E1965-$E1964,0))</f>
        <v>0</v>
      </c>
      <c r="M1965">
        <f>IF(OR($E1965="",$E1964=""),"",MAX($E1964-$E1965,0))</f>
        <v>0</v>
      </c>
      <c r="N1965">
        <f>IF(COUNT($E$2:$E1965)&lt;15,"",IF(AVERAGE($M$1952:$M$1965)=0,100,100-100/(1+AVERAGE($L$1952:$L$1965)/AVERAGE($M$1952:$M$1965))))</f>
        <v>0</v>
      </c>
      <c r="O1965">
        <f>IF($E1965="","",IF($E1964="",$E1965,$E1965*0.1538461538+O1964*0.8461538462))</f>
        <v>0</v>
      </c>
      <c r="P1965">
        <f>IF($E1965="","",IF($E1964="",$E1965,$E1965*0.0740740741+P1964*0.9259259259))</f>
        <v>0</v>
      </c>
      <c r="Q1965">
        <f>IF(OR(O1965="",P1965=""),"",O1965-P1965)</f>
        <v>0</v>
      </c>
      <c r="R1965">
        <f>IF(Q1965="","",IF(R1964="",Q1965,Q1965*0.2000000000+R1964*0.8000000000))</f>
        <v>0</v>
      </c>
      <c r="S1965">
        <f>IF(OR(Q1965="",R1965=""),"",Q1965-R1965)</f>
        <v>0</v>
      </c>
      <c r="T1965">
        <f>IF(COUNT($E$2:$E1965)&lt;14,"",MAX($C$1952:$C$1965))</f>
        <v>0</v>
      </c>
      <c r="U1965">
        <f>IF(COUNT($E$2:$E1965)&lt;14,"",MIN($D$1952:$D$1965))</f>
        <v>0</v>
      </c>
      <c r="V1965">
        <f>IF(OR(T1965="",U1965="",T1965=U1965),"",100*($E1965-U1965)/(T1965-U1965))</f>
        <v>0</v>
      </c>
      <c r="W1965">
        <f>IF(COUNT($V$1963:$V$1965)&lt;3,"",AVERAGE($V$1963:$V$1965))</f>
        <v>0</v>
      </c>
      <c r="X1965">
        <f>IF(COUNT($N$1952:$N$1965)&lt;14,"",MIN($N$1952:$N$1965))</f>
        <v>0</v>
      </c>
      <c r="Y1965">
        <f>IF(COUNT($N$1952:$N$1965)&lt;14,"",MAX($N$1952:$N$1965))</f>
        <v>0</v>
      </c>
      <c r="Z1965">
        <f>IF(OR(N1965="",X1965="",Y1965="",Y1965=X1965),"",100*(N1965-X1965)/(Y1965-X1965))</f>
        <v>0</v>
      </c>
      <c r="AA1965">
        <f>IF(COUNT($Z$1963:$Z$1965)&lt;3,"",AVERAGE($Z$1963:$Z$1965))</f>
        <v>0</v>
      </c>
      <c r="AB1965">
        <f>IF(COUNT($AA$1963:$AA$1965)&lt;3,"",AVERAGE($AA$1963:$AA$1965))</f>
        <v>0</v>
      </c>
      <c r="AC1965">
        <f>IF($E1965="","",MAX($C1965-$D1965,ABS($C1965-$E1964),ABS($D1965-$E1964)))</f>
        <v>0</v>
      </c>
      <c r="AD1965">
        <f>IF(COUNT($E$2:$E1965)&lt;15,"",AVERAGE($AC$1952:$AC$1965))</f>
        <v>0</v>
      </c>
      <c r="AE1965">
        <f>IF(OR($E1965="",$E1964=""),"",IF(AND(($C1965-$C1964)&gt;($D1964-$D1965),($C1965-$C1964)&gt;0),$C1965-$C1964,0))</f>
        <v>0</v>
      </c>
      <c r="AF1965">
        <f>IF(OR($E1965="",$E1964=""),"",IF(AND(($D1964-$D1965)&gt;($C1965-$C1964),($D1964-$D1965)&gt;0),$D1964-$D1965,0))</f>
        <v>0</v>
      </c>
      <c r="AG1965">
        <f>IF(COUNT($E$2:$E1965)&lt;15,"",IF(SUM($AC$1952:$AC$1965)=0,0,100*SUM($AE$1952:$AE$1965)/SUM($AC$1952:$AC$1965)))</f>
        <v>0</v>
      </c>
      <c r="AH1965">
        <f>IF(COUNT($E$2:$E1965)&lt;15,"",IF(SUM($AC$1952:$AC$1965)=0,0,100*SUM($AF$1952:$AF$1965)/SUM($AC$1952:$AC$1965)))</f>
        <v>0</v>
      </c>
      <c r="AI1965">
        <f>IF(OR(AG1965="",AH1965=""),"",IF((AG1965+AH1965)=0,0,100*ABS(AG1965-AH1965)/(AG1965+AH1965)))</f>
        <v>0</v>
      </c>
      <c r="AJ1965">
        <f>IF(COUNT($AI$1952:$AI$1965)&lt;14,"",AVERAGE($AI$1952:$AI$1965))</f>
        <v>0</v>
      </c>
      <c r="AK1965">
        <f>IF(COUNT($E$2:$E1965)&lt;20,"",AVERAGE($E$1946:$E$1965))</f>
        <v>0</v>
      </c>
      <c r="AL1965">
        <f>IF(COUNT($E$2:$E1965)&lt;20,"",STDEVP($E$1946:$E$1965))</f>
        <v>0</v>
      </c>
      <c r="AM1965">
        <f>IF(AK1965="","",AK1965+2*AL1965)</f>
        <v>0</v>
      </c>
      <c r="AN1965">
        <f>IF(AK1965="","",AK1965-2*AL1965)</f>
        <v>0</v>
      </c>
      <c r="AO1965">
        <f>IF(OR(AM1965="",AN1965="",AM1965=AN1965),"",($E1965-AN1965)/(AM1965-AN1965))</f>
        <v>0</v>
      </c>
      <c r="AP1965">
        <f>IF(OR(AM1965="",AK1965="",AK1965=0),"",(AM1965-AN1965)/AK1965)</f>
        <v>0</v>
      </c>
      <c r="AQ1965">
        <f>IF(COUNT($E$2:$E1965)&lt;20,"",MAX($C$1946:$C$1965))</f>
        <v>0</v>
      </c>
      <c r="AR1965">
        <f>IF(COUNT($E$2:$E1965)&lt;20,"",MIN($D$1946:$D$1965))</f>
        <v>0</v>
      </c>
      <c r="AS1965">
        <f>IF(OR(AQ1965="",AR1965=""),"",(AQ1965+AR1965)/2)</f>
        <v>0</v>
      </c>
      <c r="AT1965">
        <f>IF(COUNT($G$1946:$G$1965)&lt;20,"",STDEV($G$1946:$G$1965)*SQRT(252))</f>
        <v>0</v>
      </c>
      <c r="AU1965">
        <f>IF(COUNT($E$2:$E1965)&lt;9,"",(MAX($C$1957:$C$1965)+MIN($D$1957:$D$1965))/2)</f>
        <v>0</v>
      </c>
      <c r="AV1965">
        <f>IF(COUNT($E$2:$E1965)&lt;26,"",(MAX($C$1940:$C$1965)+MIN($D$1940:$D$1965))/2)</f>
        <v>0</v>
      </c>
      <c r="AW1965">
        <f>IF(OR(AU1965="",AV1965=""),"",(AU1965+AV1965)/2)</f>
        <v>0</v>
      </c>
      <c r="AX1965">
        <f>IF(COUNT($E$2:$E1965)&lt;52,"",(MAX($C$1914:$C$1965)+MIN($D$1914:$D$1965))/2)</f>
        <v>0</v>
      </c>
      <c r="AY1965">
        <f>IF(COUNT($E$2:$E1965)&lt;20,"",MAX($C$1866:$C$1965))</f>
        <v>0</v>
      </c>
      <c r="AZ1965">
        <f>IF(COUNT($E$2:$E1965)&lt;20,"",MIN($D$1866:$D$1965))</f>
        <v>0</v>
      </c>
      <c r="BA1965">
        <f>IF(COUNT($E$2:$E1965)&lt;20,"",SLOPE($E$1866:$E$1965,$F$1866:$F$1965))</f>
        <v>0</v>
      </c>
      <c r="BB1965">
        <f>IF(COUNT($E$2:$E1965)&lt;20,"",INTERCEPT($E$1866:$E$1965,$F$1866:$F$1965))</f>
        <v>0</v>
      </c>
      <c r="BC1965">
        <f>IF(OR(BA1965="",BB1965=""),"",BB1965+BA1965*F1965)</f>
        <v>0</v>
      </c>
      <c r="BD1965">
        <f>IF(COUNT($E$2:$E1965)&lt;20,"",STEYX($E$1866:$E$1965,$F$1866:$F$1965))</f>
        <v>0</v>
      </c>
      <c r="BE1965">
        <f>IF($E1965="","",IF(AND(COUNT($E$1966:$E$1969)&gt;=4,$C1965=MAX($C$1961:$C$1969)),$C1965,""))</f>
        <v>0</v>
      </c>
      <c r="BF1965">
        <f>IF($E1965="","",IF(AND(COUNT($E$1966:$E$1969)&gt;=4,$D1965=MIN($D$1961:$D$1969)),$D1965,""))</f>
        <v>0</v>
      </c>
      <c r="BG1965">
        <f>IF($A1965="","",$A1965-WEEKDAY($A1965,2)+1)</f>
        <v>0</v>
      </c>
      <c r="BH1965">
        <f>IF($A1965="","",IF($A1964="",1,IF(BG1965&lt;&gt;BG1964,1,0)))</f>
        <v>0</v>
      </c>
      <c r="BI1965">
        <f>IF($A1965="","",IF($A1966="",1,IF(BG1966&lt;&gt;BG1965,1,0)))</f>
        <v>0</v>
      </c>
      <c r="BJ1965">
        <f>IF($A1965="","",IF(BH1965=1,$B1965,BJ1964))</f>
        <v>0</v>
      </c>
      <c r="BK1965">
        <f>IF($A1965="","",IF(BH1965=1,$C1965,MAX($C1965,BK1964)))</f>
        <v>0</v>
      </c>
      <c r="BL1965">
        <f>IF($A1965="","",IF(BH1965=1,$D1965,MIN($D1965,BL1964)))</f>
        <v>0</v>
      </c>
      <c r="BM1965">
        <f>IF($A1965="","",IF(BI1965=1,F1965,""))</f>
        <v>0</v>
      </c>
      <c r="BN1965">
        <f>IF($A1965="","",DATE(YEAR($A1965),MONTH($A1965),1))</f>
        <v>0</v>
      </c>
      <c r="BO1965">
        <f>IF($A1965="","",IF($A1964="",1,IF(BN1965&lt;&gt;BN1964,1,0)))</f>
        <v>0</v>
      </c>
      <c r="BP1965">
        <f>IF($A1965="","",IF($A1966="",1,IF(BN1966&lt;&gt;BN1965,1,0)))</f>
        <v>0</v>
      </c>
      <c r="BQ1965">
        <f>IF($A1965="","",IF(BO1965=1,$B1965,BQ1964))</f>
        <v>0</v>
      </c>
      <c r="BR1965">
        <f>IF($A1965="","",IF(BO1965=1,$C1965,MAX($C1965,BR1964)))</f>
        <v>0</v>
      </c>
      <c r="BS1965">
        <f>IF($A1965="","",IF(BO1965=1,$D1965,MIN($D1965,BS1964)))</f>
        <v>0</v>
      </c>
      <c r="BT1965">
        <f>IF($A1965="","",IF(BP1965=1,F1965,""))</f>
        <v>0</v>
      </c>
    </row>
    <row r="1966" spans="1:72">
      <c r="A1966" s="27">
        <f>IF(Data!$A1966="","",Data!$A1966)</f>
        <v>0</v>
      </c>
      <c r="B1966">
        <f>IF(Data!$B1966="","",Data!$B1966)</f>
        <v>0</v>
      </c>
      <c r="C1966">
        <f>IF(Data!$C1966="","",Data!$C1966)</f>
        <v>0</v>
      </c>
      <c r="D1966">
        <f>IF(Data!$D1966="","",Data!$D1966)</f>
        <v>0</v>
      </c>
      <c r="E1966">
        <f>IF(Data!$E1966="","",Data!$E1966)</f>
        <v>0</v>
      </c>
      <c r="F1966">
        <f>IF($E1966="","",N(F1965)+1)</f>
        <v>0</v>
      </c>
      <c r="G1966">
        <f>IF(OR($E1966="",$E1965=""),"",LN($E1966/$E1965))</f>
        <v>0</v>
      </c>
      <c r="H1966">
        <f>IF($E1966="","",IF($E1965="",$E1966,$E1966*0.0952380952+H1965*0.9047619048))</f>
        <v>0</v>
      </c>
      <c r="I1966">
        <f>IF($E1966="","",IF($E1965="",$E1966,$E1966*0.0392156863+I1965*0.9607843137))</f>
        <v>0</v>
      </c>
      <c r="J1966">
        <f>IF($E1966="","",IF($E1965="",$E1966,$E1966*0.0198019802+J1965*0.9801980198))</f>
        <v>0</v>
      </c>
      <c r="K1966">
        <f>IF($E1966="","",IF($E1965="",$E1966,$E1966*0.0099502488+K1965*0.9900497512))</f>
        <v>0</v>
      </c>
      <c r="L1966">
        <f>IF(OR($E1966="",$E1965=""),"",MAX($E1966-$E1965,0))</f>
        <v>0</v>
      </c>
      <c r="M1966">
        <f>IF(OR($E1966="",$E1965=""),"",MAX($E1965-$E1966,0))</f>
        <v>0</v>
      </c>
      <c r="N1966">
        <f>IF(COUNT($E$2:$E1966)&lt;15,"",IF(AVERAGE($M$1953:$M$1966)=0,100,100-100/(1+AVERAGE($L$1953:$L$1966)/AVERAGE($M$1953:$M$1966))))</f>
        <v>0</v>
      </c>
      <c r="O1966">
        <f>IF($E1966="","",IF($E1965="",$E1966,$E1966*0.1538461538+O1965*0.8461538462))</f>
        <v>0</v>
      </c>
      <c r="P1966">
        <f>IF($E1966="","",IF($E1965="",$E1966,$E1966*0.0740740741+P1965*0.9259259259))</f>
        <v>0</v>
      </c>
      <c r="Q1966">
        <f>IF(OR(O1966="",P1966=""),"",O1966-P1966)</f>
        <v>0</v>
      </c>
      <c r="R1966">
        <f>IF(Q1966="","",IF(R1965="",Q1966,Q1966*0.2000000000+R1965*0.8000000000))</f>
        <v>0</v>
      </c>
      <c r="S1966">
        <f>IF(OR(Q1966="",R1966=""),"",Q1966-R1966)</f>
        <v>0</v>
      </c>
      <c r="T1966">
        <f>IF(COUNT($E$2:$E1966)&lt;14,"",MAX($C$1953:$C$1966))</f>
        <v>0</v>
      </c>
      <c r="U1966">
        <f>IF(COUNT($E$2:$E1966)&lt;14,"",MIN($D$1953:$D$1966))</f>
        <v>0</v>
      </c>
      <c r="V1966">
        <f>IF(OR(T1966="",U1966="",T1966=U1966),"",100*($E1966-U1966)/(T1966-U1966))</f>
        <v>0</v>
      </c>
      <c r="W1966">
        <f>IF(COUNT($V$1964:$V$1966)&lt;3,"",AVERAGE($V$1964:$V$1966))</f>
        <v>0</v>
      </c>
      <c r="X1966">
        <f>IF(COUNT($N$1953:$N$1966)&lt;14,"",MIN($N$1953:$N$1966))</f>
        <v>0</v>
      </c>
      <c r="Y1966">
        <f>IF(COUNT($N$1953:$N$1966)&lt;14,"",MAX($N$1953:$N$1966))</f>
        <v>0</v>
      </c>
      <c r="Z1966">
        <f>IF(OR(N1966="",X1966="",Y1966="",Y1966=X1966),"",100*(N1966-X1966)/(Y1966-X1966))</f>
        <v>0</v>
      </c>
      <c r="AA1966">
        <f>IF(COUNT($Z$1964:$Z$1966)&lt;3,"",AVERAGE($Z$1964:$Z$1966))</f>
        <v>0</v>
      </c>
      <c r="AB1966">
        <f>IF(COUNT($AA$1964:$AA$1966)&lt;3,"",AVERAGE($AA$1964:$AA$1966))</f>
        <v>0</v>
      </c>
      <c r="AC1966">
        <f>IF($E1966="","",MAX($C1966-$D1966,ABS($C1966-$E1965),ABS($D1966-$E1965)))</f>
        <v>0</v>
      </c>
      <c r="AD1966">
        <f>IF(COUNT($E$2:$E1966)&lt;15,"",AVERAGE($AC$1953:$AC$1966))</f>
        <v>0</v>
      </c>
      <c r="AE1966">
        <f>IF(OR($E1966="",$E1965=""),"",IF(AND(($C1966-$C1965)&gt;($D1965-$D1966),($C1966-$C1965)&gt;0),$C1966-$C1965,0))</f>
        <v>0</v>
      </c>
      <c r="AF1966">
        <f>IF(OR($E1966="",$E1965=""),"",IF(AND(($D1965-$D1966)&gt;($C1966-$C1965),($D1965-$D1966)&gt;0),$D1965-$D1966,0))</f>
        <v>0</v>
      </c>
      <c r="AG1966">
        <f>IF(COUNT($E$2:$E1966)&lt;15,"",IF(SUM($AC$1953:$AC$1966)=0,0,100*SUM($AE$1953:$AE$1966)/SUM($AC$1953:$AC$1966)))</f>
        <v>0</v>
      </c>
      <c r="AH1966">
        <f>IF(COUNT($E$2:$E1966)&lt;15,"",IF(SUM($AC$1953:$AC$1966)=0,0,100*SUM($AF$1953:$AF$1966)/SUM($AC$1953:$AC$1966)))</f>
        <v>0</v>
      </c>
      <c r="AI1966">
        <f>IF(OR(AG1966="",AH1966=""),"",IF((AG1966+AH1966)=0,0,100*ABS(AG1966-AH1966)/(AG1966+AH1966)))</f>
        <v>0</v>
      </c>
      <c r="AJ1966">
        <f>IF(COUNT($AI$1953:$AI$1966)&lt;14,"",AVERAGE($AI$1953:$AI$1966))</f>
        <v>0</v>
      </c>
      <c r="AK1966">
        <f>IF(COUNT($E$2:$E1966)&lt;20,"",AVERAGE($E$1947:$E$1966))</f>
        <v>0</v>
      </c>
      <c r="AL1966">
        <f>IF(COUNT($E$2:$E1966)&lt;20,"",STDEVP($E$1947:$E$1966))</f>
        <v>0</v>
      </c>
      <c r="AM1966">
        <f>IF(AK1966="","",AK1966+2*AL1966)</f>
        <v>0</v>
      </c>
      <c r="AN1966">
        <f>IF(AK1966="","",AK1966-2*AL1966)</f>
        <v>0</v>
      </c>
      <c r="AO1966">
        <f>IF(OR(AM1966="",AN1966="",AM1966=AN1966),"",($E1966-AN1966)/(AM1966-AN1966))</f>
        <v>0</v>
      </c>
      <c r="AP1966">
        <f>IF(OR(AM1966="",AK1966="",AK1966=0),"",(AM1966-AN1966)/AK1966)</f>
        <v>0</v>
      </c>
      <c r="AQ1966">
        <f>IF(COUNT($E$2:$E1966)&lt;20,"",MAX($C$1947:$C$1966))</f>
        <v>0</v>
      </c>
      <c r="AR1966">
        <f>IF(COUNT($E$2:$E1966)&lt;20,"",MIN($D$1947:$D$1966))</f>
        <v>0</v>
      </c>
      <c r="AS1966">
        <f>IF(OR(AQ1966="",AR1966=""),"",(AQ1966+AR1966)/2)</f>
        <v>0</v>
      </c>
      <c r="AT1966">
        <f>IF(COUNT($G$1947:$G$1966)&lt;20,"",STDEV($G$1947:$G$1966)*SQRT(252))</f>
        <v>0</v>
      </c>
      <c r="AU1966">
        <f>IF(COUNT($E$2:$E1966)&lt;9,"",(MAX($C$1958:$C$1966)+MIN($D$1958:$D$1966))/2)</f>
        <v>0</v>
      </c>
      <c r="AV1966">
        <f>IF(COUNT($E$2:$E1966)&lt;26,"",(MAX($C$1941:$C$1966)+MIN($D$1941:$D$1966))/2)</f>
        <v>0</v>
      </c>
      <c r="AW1966">
        <f>IF(OR(AU1966="",AV1966=""),"",(AU1966+AV1966)/2)</f>
        <v>0</v>
      </c>
      <c r="AX1966">
        <f>IF(COUNT($E$2:$E1966)&lt;52,"",(MAX($C$1915:$C$1966)+MIN($D$1915:$D$1966))/2)</f>
        <v>0</v>
      </c>
      <c r="AY1966">
        <f>IF(COUNT($E$2:$E1966)&lt;20,"",MAX($C$1867:$C$1966))</f>
        <v>0</v>
      </c>
      <c r="AZ1966">
        <f>IF(COUNT($E$2:$E1966)&lt;20,"",MIN($D$1867:$D$1966))</f>
        <v>0</v>
      </c>
      <c r="BA1966">
        <f>IF(COUNT($E$2:$E1966)&lt;20,"",SLOPE($E$1867:$E$1966,$F$1867:$F$1966))</f>
        <v>0</v>
      </c>
      <c r="BB1966">
        <f>IF(COUNT($E$2:$E1966)&lt;20,"",INTERCEPT($E$1867:$E$1966,$F$1867:$F$1966))</f>
        <v>0</v>
      </c>
      <c r="BC1966">
        <f>IF(OR(BA1966="",BB1966=""),"",BB1966+BA1966*F1966)</f>
        <v>0</v>
      </c>
      <c r="BD1966">
        <f>IF(COUNT($E$2:$E1966)&lt;20,"",STEYX($E$1867:$E$1966,$F$1867:$F$1966))</f>
        <v>0</v>
      </c>
      <c r="BE1966">
        <f>IF($E1966="","",IF(AND(COUNT($E$1967:$E$1970)&gt;=4,$C1966=MAX($C$1962:$C$1970)),$C1966,""))</f>
        <v>0</v>
      </c>
      <c r="BF1966">
        <f>IF($E1966="","",IF(AND(COUNT($E$1967:$E$1970)&gt;=4,$D1966=MIN($D$1962:$D$1970)),$D1966,""))</f>
        <v>0</v>
      </c>
      <c r="BG1966">
        <f>IF($A1966="","",$A1966-WEEKDAY($A1966,2)+1)</f>
        <v>0</v>
      </c>
      <c r="BH1966">
        <f>IF($A1966="","",IF($A1965="",1,IF(BG1966&lt;&gt;BG1965,1,0)))</f>
        <v>0</v>
      </c>
      <c r="BI1966">
        <f>IF($A1966="","",IF($A1967="",1,IF(BG1967&lt;&gt;BG1966,1,0)))</f>
        <v>0</v>
      </c>
      <c r="BJ1966">
        <f>IF($A1966="","",IF(BH1966=1,$B1966,BJ1965))</f>
        <v>0</v>
      </c>
      <c r="BK1966">
        <f>IF($A1966="","",IF(BH1966=1,$C1966,MAX($C1966,BK1965)))</f>
        <v>0</v>
      </c>
      <c r="BL1966">
        <f>IF($A1966="","",IF(BH1966=1,$D1966,MIN($D1966,BL1965)))</f>
        <v>0</v>
      </c>
      <c r="BM1966">
        <f>IF($A1966="","",IF(BI1966=1,F1966,""))</f>
        <v>0</v>
      </c>
      <c r="BN1966">
        <f>IF($A1966="","",DATE(YEAR($A1966),MONTH($A1966),1))</f>
        <v>0</v>
      </c>
      <c r="BO1966">
        <f>IF($A1966="","",IF($A1965="",1,IF(BN1966&lt;&gt;BN1965,1,0)))</f>
        <v>0</v>
      </c>
      <c r="BP1966">
        <f>IF($A1966="","",IF($A1967="",1,IF(BN1967&lt;&gt;BN1966,1,0)))</f>
        <v>0</v>
      </c>
      <c r="BQ1966">
        <f>IF($A1966="","",IF(BO1966=1,$B1966,BQ1965))</f>
        <v>0</v>
      </c>
      <c r="BR1966">
        <f>IF($A1966="","",IF(BO1966=1,$C1966,MAX($C1966,BR1965)))</f>
        <v>0</v>
      </c>
      <c r="BS1966">
        <f>IF($A1966="","",IF(BO1966=1,$D1966,MIN($D1966,BS1965)))</f>
        <v>0</v>
      </c>
      <c r="BT1966">
        <f>IF($A1966="","",IF(BP1966=1,F1966,""))</f>
        <v>0</v>
      </c>
    </row>
    <row r="1967" spans="1:72">
      <c r="A1967" s="27">
        <f>IF(Data!$A1967="","",Data!$A1967)</f>
        <v>0</v>
      </c>
      <c r="B1967">
        <f>IF(Data!$B1967="","",Data!$B1967)</f>
        <v>0</v>
      </c>
      <c r="C1967">
        <f>IF(Data!$C1967="","",Data!$C1967)</f>
        <v>0</v>
      </c>
      <c r="D1967">
        <f>IF(Data!$D1967="","",Data!$D1967)</f>
        <v>0</v>
      </c>
      <c r="E1967">
        <f>IF(Data!$E1967="","",Data!$E1967)</f>
        <v>0</v>
      </c>
      <c r="F1967">
        <f>IF($E1967="","",N(F1966)+1)</f>
        <v>0</v>
      </c>
      <c r="G1967">
        <f>IF(OR($E1967="",$E1966=""),"",LN($E1967/$E1966))</f>
        <v>0</v>
      </c>
      <c r="H1967">
        <f>IF($E1967="","",IF($E1966="",$E1967,$E1967*0.0952380952+H1966*0.9047619048))</f>
        <v>0</v>
      </c>
      <c r="I1967">
        <f>IF($E1967="","",IF($E1966="",$E1967,$E1967*0.0392156863+I1966*0.9607843137))</f>
        <v>0</v>
      </c>
      <c r="J1967">
        <f>IF($E1967="","",IF($E1966="",$E1967,$E1967*0.0198019802+J1966*0.9801980198))</f>
        <v>0</v>
      </c>
      <c r="K1967">
        <f>IF($E1967="","",IF($E1966="",$E1967,$E1967*0.0099502488+K1966*0.9900497512))</f>
        <v>0</v>
      </c>
      <c r="L1967">
        <f>IF(OR($E1967="",$E1966=""),"",MAX($E1967-$E1966,0))</f>
        <v>0</v>
      </c>
      <c r="M1967">
        <f>IF(OR($E1967="",$E1966=""),"",MAX($E1966-$E1967,0))</f>
        <v>0</v>
      </c>
      <c r="N1967">
        <f>IF(COUNT($E$2:$E1967)&lt;15,"",IF(AVERAGE($M$1954:$M$1967)=0,100,100-100/(1+AVERAGE($L$1954:$L$1967)/AVERAGE($M$1954:$M$1967))))</f>
        <v>0</v>
      </c>
      <c r="O1967">
        <f>IF($E1967="","",IF($E1966="",$E1967,$E1967*0.1538461538+O1966*0.8461538462))</f>
        <v>0</v>
      </c>
      <c r="P1967">
        <f>IF($E1967="","",IF($E1966="",$E1967,$E1967*0.0740740741+P1966*0.9259259259))</f>
        <v>0</v>
      </c>
      <c r="Q1967">
        <f>IF(OR(O1967="",P1967=""),"",O1967-P1967)</f>
        <v>0</v>
      </c>
      <c r="R1967">
        <f>IF(Q1967="","",IF(R1966="",Q1967,Q1967*0.2000000000+R1966*0.8000000000))</f>
        <v>0</v>
      </c>
      <c r="S1967">
        <f>IF(OR(Q1967="",R1967=""),"",Q1967-R1967)</f>
        <v>0</v>
      </c>
      <c r="T1967">
        <f>IF(COUNT($E$2:$E1967)&lt;14,"",MAX($C$1954:$C$1967))</f>
        <v>0</v>
      </c>
      <c r="U1967">
        <f>IF(COUNT($E$2:$E1967)&lt;14,"",MIN($D$1954:$D$1967))</f>
        <v>0</v>
      </c>
      <c r="V1967">
        <f>IF(OR(T1967="",U1967="",T1967=U1967),"",100*($E1967-U1967)/(T1967-U1967))</f>
        <v>0</v>
      </c>
      <c r="W1967">
        <f>IF(COUNT($V$1965:$V$1967)&lt;3,"",AVERAGE($V$1965:$V$1967))</f>
        <v>0</v>
      </c>
      <c r="X1967">
        <f>IF(COUNT($N$1954:$N$1967)&lt;14,"",MIN($N$1954:$N$1967))</f>
        <v>0</v>
      </c>
      <c r="Y1967">
        <f>IF(COUNT($N$1954:$N$1967)&lt;14,"",MAX($N$1954:$N$1967))</f>
        <v>0</v>
      </c>
      <c r="Z1967">
        <f>IF(OR(N1967="",X1967="",Y1967="",Y1967=X1967),"",100*(N1967-X1967)/(Y1967-X1967))</f>
        <v>0</v>
      </c>
      <c r="AA1967">
        <f>IF(COUNT($Z$1965:$Z$1967)&lt;3,"",AVERAGE($Z$1965:$Z$1967))</f>
        <v>0</v>
      </c>
      <c r="AB1967">
        <f>IF(COUNT($AA$1965:$AA$1967)&lt;3,"",AVERAGE($AA$1965:$AA$1967))</f>
        <v>0</v>
      </c>
      <c r="AC1967">
        <f>IF($E1967="","",MAX($C1967-$D1967,ABS($C1967-$E1966),ABS($D1967-$E1966)))</f>
        <v>0</v>
      </c>
      <c r="AD1967">
        <f>IF(COUNT($E$2:$E1967)&lt;15,"",AVERAGE($AC$1954:$AC$1967))</f>
        <v>0</v>
      </c>
      <c r="AE1967">
        <f>IF(OR($E1967="",$E1966=""),"",IF(AND(($C1967-$C1966)&gt;($D1966-$D1967),($C1967-$C1966)&gt;0),$C1967-$C1966,0))</f>
        <v>0</v>
      </c>
      <c r="AF1967">
        <f>IF(OR($E1967="",$E1966=""),"",IF(AND(($D1966-$D1967)&gt;($C1967-$C1966),($D1966-$D1967)&gt;0),$D1966-$D1967,0))</f>
        <v>0</v>
      </c>
      <c r="AG1967">
        <f>IF(COUNT($E$2:$E1967)&lt;15,"",IF(SUM($AC$1954:$AC$1967)=0,0,100*SUM($AE$1954:$AE$1967)/SUM($AC$1954:$AC$1967)))</f>
        <v>0</v>
      </c>
      <c r="AH1967">
        <f>IF(COUNT($E$2:$E1967)&lt;15,"",IF(SUM($AC$1954:$AC$1967)=0,0,100*SUM($AF$1954:$AF$1967)/SUM($AC$1954:$AC$1967)))</f>
        <v>0</v>
      </c>
      <c r="AI1967">
        <f>IF(OR(AG1967="",AH1967=""),"",IF((AG1967+AH1967)=0,0,100*ABS(AG1967-AH1967)/(AG1967+AH1967)))</f>
        <v>0</v>
      </c>
      <c r="AJ1967">
        <f>IF(COUNT($AI$1954:$AI$1967)&lt;14,"",AVERAGE($AI$1954:$AI$1967))</f>
        <v>0</v>
      </c>
      <c r="AK1967">
        <f>IF(COUNT($E$2:$E1967)&lt;20,"",AVERAGE($E$1948:$E$1967))</f>
        <v>0</v>
      </c>
      <c r="AL1967">
        <f>IF(COUNT($E$2:$E1967)&lt;20,"",STDEVP($E$1948:$E$1967))</f>
        <v>0</v>
      </c>
      <c r="AM1967">
        <f>IF(AK1967="","",AK1967+2*AL1967)</f>
        <v>0</v>
      </c>
      <c r="AN1967">
        <f>IF(AK1967="","",AK1967-2*AL1967)</f>
        <v>0</v>
      </c>
      <c r="AO1967">
        <f>IF(OR(AM1967="",AN1967="",AM1967=AN1967),"",($E1967-AN1967)/(AM1967-AN1967))</f>
        <v>0</v>
      </c>
      <c r="AP1967">
        <f>IF(OR(AM1967="",AK1967="",AK1967=0),"",(AM1967-AN1967)/AK1967)</f>
        <v>0</v>
      </c>
      <c r="AQ1967">
        <f>IF(COUNT($E$2:$E1967)&lt;20,"",MAX($C$1948:$C$1967))</f>
        <v>0</v>
      </c>
      <c r="AR1967">
        <f>IF(COUNT($E$2:$E1967)&lt;20,"",MIN($D$1948:$D$1967))</f>
        <v>0</v>
      </c>
      <c r="AS1967">
        <f>IF(OR(AQ1967="",AR1967=""),"",(AQ1967+AR1967)/2)</f>
        <v>0</v>
      </c>
      <c r="AT1967">
        <f>IF(COUNT($G$1948:$G$1967)&lt;20,"",STDEV($G$1948:$G$1967)*SQRT(252))</f>
        <v>0</v>
      </c>
      <c r="AU1967">
        <f>IF(COUNT($E$2:$E1967)&lt;9,"",(MAX($C$1959:$C$1967)+MIN($D$1959:$D$1967))/2)</f>
        <v>0</v>
      </c>
      <c r="AV1967">
        <f>IF(COUNT($E$2:$E1967)&lt;26,"",(MAX($C$1942:$C$1967)+MIN($D$1942:$D$1967))/2)</f>
        <v>0</v>
      </c>
      <c r="AW1967">
        <f>IF(OR(AU1967="",AV1967=""),"",(AU1967+AV1967)/2)</f>
        <v>0</v>
      </c>
      <c r="AX1967">
        <f>IF(COUNT($E$2:$E1967)&lt;52,"",(MAX($C$1916:$C$1967)+MIN($D$1916:$D$1967))/2)</f>
        <v>0</v>
      </c>
      <c r="AY1967">
        <f>IF(COUNT($E$2:$E1967)&lt;20,"",MAX($C$1868:$C$1967))</f>
        <v>0</v>
      </c>
      <c r="AZ1967">
        <f>IF(COUNT($E$2:$E1967)&lt;20,"",MIN($D$1868:$D$1967))</f>
        <v>0</v>
      </c>
      <c r="BA1967">
        <f>IF(COUNT($E$2:$E1967)&lt;20,"",SLOPE($E$1868:$E$1967,$F$1868:$F$1967))</f>
        <v>0</v>
      </c>
      <c r="BB1967">
        <f>IF(COUNT($E$2:$E1967)&lt;20,"",INTERCEPT($E$1868:$E$1967,$F$1868:$F$1967))</f>
        <v>0</v>
      </c>
      <c r="BC1967">
        <f>IF(OR(BA1967="",BB1967=""),"",BB1967+BA1967*F1967)</f>
        <v>0</v>
      </c>
      <c r="BD1967">
        <f>IF(COUNT($E$2:$E1967)&lt;20,"",STEYX($E$1868:$E$1967,$F$1868:$F$1967))</f>
        <v>0</v>
      </c>
      <c r="BE1967">
        <f>IF($E1967="","",IF(AND(COUNT($E$1968:$E$1971)&gt;=4,$C1967=MAX($C$1963:$C$1971)),$C1967,""))</f>
        <v>0</v>
      </c>
      <c r="BF1967">
        <f>IF($E1967="","",IF(AND(COUNT($E$1968:$E$1971)&gt;=4,$D1967=MIN($D$1963:$D$1971)),$D1967,""))</f>
        <v>0</v>
      </c>
      <c r="BG1967">
        <f>IF($A1967="","",$A1967-WEEKDAY($A1967,2)+1)</f>
        <v>0</v>
      </c>
      <c r="BH1967">
        <f>IF($A1967="","",IF($A1966="",1,IF(BG1967&lt;&gt;BG1966,1,0)))</f>
        <v>0</v>
      </c>
      <c r="BI1967">
        <f>IF($A1967="","",IF($A1968="",1,IF(BG1968&lt;&gt;BG1967,1,0)))</f>
        <v>0</v>
      </c>
      <c r="BJ1967">
        <f>IF($A1967="","",IF(BH1967=1,$B1967,BJ1966))</f>
        <v>0</v>
      </c>
      <c r="BK1967">
        <f>IF($A1967="","",IF(BH1967=1,$C1967,MAX($C1967,BK1966)))</f>
        <v>0</v>
      </c>
      <c r="BL1967">
        <f>IF($A1967="","",IF(BH1967=1,$D1967,MIN($D1967,BL1966)))</f>
        <v>0</v>
      </c>
      <c r="BM1967">
        <f>IF($A1967="","",IF(BI1967=1,F1967,""))</f>
        <v>0</v>
      </c>
      <c r="BN1967">
        <f>IF($A1967="","",DATE(YEAR($A1967),MONTH($A1967),1))</f>
        <v>0</v>
      </c>
      <c r="BO1967">
        <f>IF($A1967="","",IF($A1966="",1,IF(BN1967&lt;&gt;BN1966,1,0)))</f>
        <v>0</v>
      </c>
      <c r="BP1967">
        <f>IF($A1967="","",IF($A1968="",1,IF(BN1968&lt;&gt;BN1967,1,0)))</f>
        <v>0</v>
      </c>
      <c r="BQ1967">
        <f>IF($A1967="","",IF(BO1967=1,$B1967,BQ1966))</f>
        <v>0</v>
      </c>
      <c r="BR1967">
        <f>IF($A1967="","",IF(BO1967=1,$C1967,MAX($C1967,BR1966)))</f>
        <v>0</v>
      </c>
      <c r="BS1967">
        <f>IF($A1967="","",IF(BO1967=1,$D1967,MIN($D1967,BS1966)))</f>
        <v>0</v>
      </c>
      <c r="BT1967">
        <f>IF($A1967="","",IF(BP1967=1,F1967,""))</f>
        <v>0</v>
      </c>
    </row>
    <row r="1968" spans="1:72">
      <c r="A1968" s="27">
        <f>IF(Data!$A1968="","",Data!$A1968)</f>
        <v>0</v>
      </c>
      <c r="B1968">
        <f>IF(Data!$B1968="","",Data!$B1968)</f>
        <v>0</v>
      </c>
      <c r="C1968">
        <f>IF(Data!$C1968="","",Data!$C1968)</f>
        <v>0</v>
      </c>
      <c r="D1968">
        <f>IF(Data!$D1968="","",Data!$D1968)</f>
        <v>0</v>
      </c>
      <c r="E1968">
        <f>IF(Data!$E1968="","",Data!$E1968)</f>
        <v>0</v>
      </c>
      <c r="F1968">
        <f>IF($E1968="","",N(F1967)+1)</f>
        <v>0</v>
      </c>
      <c r="G1968">
        <f>IF(OR($E1968="",$E1967=""),"",LN($E1968/$E1967))</f>
        <v>0</v>
      </c>
      <c r="H1968">
        <f>IF($E1968="","",IF($E1967="",$E1968,$E1968*0.0952380952+H1967*0.9047619048))</f>
        <v>0</v>
      </c>
      <c r="I1968">
        <f>IF($E1968="","",IF($E1967="",$E1968,$E1968*0.0392156863+I1967*0.9607843137))</f>
        <v>0</v>
      </c>
      <c r="J1968">
        <f>IF($E1968="","",IF($E1967="",$E1968,$E1968*0.0198019802+J1967*0.9801980198))</f>
        <v>0</v>
      </c>
      <c r="K1968">
        <f>IF($E1968="","",IF($E1967="",$E1968,$E1968*0.0099502488+K1967*0.9900497512))</f>
        <v>0</v>
      </c>
      <c r="L1968">
        <f>IF(OR($E1968="",$E1967=""),"",MAX($E1968-$E1967,0))</f>
        <v>0</v>
      </c>
      <c r="M1968">
        <f>IF(OR($E1968="",$E1967=""),"",MAX($E1967-$E1968,0))</f>
        <v>0</v>
      </c>
      <c r="N1968">
        <f>IF(COUNT($E$2:$E1968)&lt;15,"",IF(AVERAGE($M$1955:$M$1968)=0,100,100-100/(1+AVERAGE($L$1955:$L$1968)/AVERAGE($M$1955:$M$1968))))</f>
        <v>0</v>
      </c>
      <c r="O1968">
        <f>IF($E1968="","",IF($E1967="",$E1968,$E1968*0.1538461538+O1967*0.8461538462))</f>
        <v>0</v>
      </c>
      <c r="P1968">
        <f>IF($E1968="","",IF($E1967="",$E1968,$E1968*0.0740740741+P1967*0.9259259259))</f>
        <v>0</v>
      </c>
      <c r="Q1968">
        <f>IF(OR(O1968="",P1968=""),"",O1968-P1968)</f>
        <v>0</v>
      </c>
      <c r="R1968">
        <f>IF(Q1968="","",IF(R1967="",Q1968,Q1968*0.2000000000+R1967*0.8000000000))</f>
        <v>0</v>
      </c>
      <c r="S1968">
        <f>IF(OR(Q1968="",R1968=""),"",Q1968-R1968)</f>
        <v>0</v>
      </c>
      <c r="T1968">
        <f>IF(COUNT($E$2:$E1968)&lt;14,"",MAX($C$1955:$C$1968))</f>
        <v>0</v>
      </c>
      <c r="U1968">
        <f>IF(COUNT($E$2:$E1968)&lt;14,"",MIN($D$1955:$D$1968))</f>
        <v>0</v>
      </c>
      <c r="V1968">
        <f>IF(OR(T1968="",U1968="",T1968=U1968),"",100*($E1968-U1968)/(T1968-U1968))</f>
        <v>0</v>
      </c>
      <c r="W1968">
        <f>IF(COUNT($V$1966:$V$1968)&lt;3,"",AVERAGE($V$1966:$V$1968))</f>
        <v>0</v>
      </c>
      <c r="X1968">
        <f>IF(COUNT($N$1955:$N$1968)&lt;14,"",MIN($N$1955:$N$1968))</f>
        <v>0</v>
      </c>
      <c r="Y1968">
        <f>IF(COUNT($N$1955:$N$1968)&lt;14,"",MAX($N$1955:$N$1968))</f>
        <v>0</v>
      </c>
      <c r="Z1968">
        <f>IF(OR(N1968="",X1968="",Y1968="",Y1968=X1968),"",100*(N1968-X1968)/(Y1968-X1968))</f>
        <v>0</v>
      </c>
      <c r="AA1968">
        <f>IF(COUNT($Z$1966:$Z$1968)&lt;3,"",AVERAGE($Z$1966:$Z$1968))</f>
        <v>0</v>
      </c>
      <c r="AB1968">
        <f>IF(COUNT($AA$1966:$AA$1968)&lt;3,"",AVERAGE($AA$1966:$AA$1968))</f>
        <v>0</v>
      </c>
      <c r="AC1968">
        <f>IF($E1968="","",MAX($C1968-$D1968,ABS($C1968-$E1967),ABS($D1968-$E1967)))</f>
        <v>0</v>
      </c>
      <c r="AD1968">
        <f>IF(COUNT($E$2:$E1968)&lt;15,"",AVERAGE($AC$1955:$AC$1968))</f>
        <v>0</v>
      </c>
      <c r="AE1968">
        <f>IF(OR($E1968="",$E1967=""),"",IF(AND(($C1968-$C1967)&gt;($D1967-$D1968),($C1968-$C1967)&gt;0),$C1968-$C1967,0))</f>
        <v>0</v>
      </c>
      <c r="AF1968">
        <f>IF(OR($E1968="",$E1967=""),"",IF(AND(($D1967-$D1968)&gt;($C1968-$C1967),($D1967-$D1968)&gt;0),$D1967-$D1968,0))</f>
        <v>0</v>
      </c>
      <c r="AG1968">
        <f>IF(COUNT($E$2:$E1968)&lt;15,"",IF(SUM($AC$1955:$AC$1968)=0,0,100*SUM($AE$1955:$AE$1968)/SUM($AC$1955:$AC$1968)))</f>
        <v>0</v>
      </c>
      <c r="AH1968">
        <f>IF(COUNT($E$2:$E1968)&lt;15,"",IF(SUM($AC$1955:$AC$1968)=0,0,100*SUM($AF$1955:$AF$1968)/SUM($AC$1955:$AC$1968)))</f>
        <v>0</v>
      </c>
      <c r="AI1968">
        <f>IF(OR(AG1968="",AH1968=""),"",IF((AG1968+AH1968)=0,0,100*ABS(AG1968-AH1968)/(AG1968+AH1968)))</f>
        <v>0</v>
      </c>
      <c r="AJ1968">
        <f>IF(COUNT($AI$1955:$AI$1968)&lt;14,"",AVERAGE($AI$1955:$AI$1968))</f>
        <v>0</v>
      </c>
      <c r="AK1968">
        <f>IF(COUNT($E$2:$E1968)&lt;20,"",AVERAGE($E$1949:$E$1968))</f>
        <v>0</v>
      </c>
      <c r="AL1968">
        <f>IF(COUNT($E$2:$E1968)&lt;20,"",STDEVP($E$1949:$E$1968))</f>
        <v>0</v>
      </c>
      <c r="AM1968">
        <f>IF(AK1968="","",AK1968+2*AL1968)</f>
        <v>0</v>
      </c>
      <c r="AN1968">
        <f>IF(AK1968="","",AK1968-2*AL1968)</f>
        <v>0</v>
      </c>
      <c r="AO1968">
        <f>IF(OR(AM1968="",AN1968="",AM1968=AN1968),"",($E1968-AN1968)/(AM1968-AN1968))</f>
        <v>0</v>
      </c>
      <c r="AP1968">
        <f>IF(OR(AM1968="",AK1968="",AK1968=0),"",(AM1968-AN1968)/AK1968)</f>
        <v>0</v>
      </c>
      <c r="AQ1968">
        <f>IF(COUNT($E$2:$E1968)&lt;20,"",MAX($C$1949:$C$1968))</f>
        <v>0</v>
      </c>
      <c r="AR1968">
        <f>IF(COUNT($E$2:$E1968)&lt;20,"",MIN($D$1949:$D$1968))</f>
        <v>0</v>
      </c>
      <c r="AS1968">
        <f>IF(OR(AQ1968="",AR1968=""),"",(AQ1968+AR1968)/2)</f>
        <v>0</v>
      </c>
      <c r="AT1968">
        <f>IF(COUNT($G$1949:$G$1968)&lt;20,"",STDEV($G$1949:$G$1968)*SQRT(252))</f>
        <v>0</v>
      </c>
      <c r="AU1968">
        <f>IF(COUNT($E$2:$E1968)&lt;9,"",(MAX($C$1960:$C$1968)+MIN($D$1960:$D$1968))/2)</f>
        <v>0</v>
      </c>
      <c r="AV1968">
        <f>IF(COUNT($E$2:$E1968)&lt;26,"",(MAX($C$1943:$C$1968)+MIN($D$1943:$D$1968))/2)</f>
        <v>0</v>
      </c>
      <c r="AW1968">
        <f>IF(OR(AU1968="",AV1968=""),"",(AU1968+AV1968)/2)</f>
        <v>0</v>
      </c>
      <c r="AX1968">
        <f>IF(COUNT($E$2:$E1968)&lt;52,"",(MAX($C$1917:$C$1968)+MIN($D$1917:$D$1968))/2)</f>
        <v>0</v>
      </c>
      <c r="AY1968">
        <f>IF(COUNT($E$2:$E1968)&lt;20,"",MAX($C$1869:$C$1968))</f>
        <v>0</v>
      </c>
      <c r="AZ1968">
        <f>IF(COUNT($E$2:$E1968)&lt;20,"",MIN($D$1869:$D$1968))</f>
        <v>0</v>
      </c>
      <c r="BA1968">
        <f>IF(COUNT($E$2:$E1968)&lt;20,"",SLOPE($E$1869:$E$1968,$F$1869:$F$1968))</f>
        <v>0</v>
      </c>
      <c r="BB1968">
        <f>IF(COUNT($E$2:$E1968)&lt;20,"",INTERCEPT($E$1869:$E$1968,$F$1869:$F$1968))</f>
        <v>0</v>
      </c>
      <c r="BC1968">
        <f>IF(OR(BA1968="",BB1968=""),"",BB1968+BA1968*F1968)</f>
        <v>0</v>
      </c>
      <c r="BD1968">
        <f>IF(COUNT($E$2:$E1968)&lt;20,"",STEYX($E$1869:$E$1968,$F$1869:$F$1968))</f>
        <v>0</v>
      </c>
      <c r="BE1968">
        <f>IF($E1968="","",IF(AND(COUNT($E$1969:$E$1972)&gt;=4,$C1968=MAX($C$1964:$C$1972)),$C1968,""))</f>
        <v>0</v>
      </c>
      <c r="BF1968">
        <f>IF($E1968="","",IF(AND(COUNT($E$1969:$E$1972)&gt;=4,$D1968=MIN($D$1964:$D$1972)),$D1968,""))</f>
        <v>0</v>
      </c>
      <c r="BG1968">
        <f>IF($A1968="","",$A1968-WEEKDAY($A1968,2)+1)</f>
        <v>0</v>
      </c>
      <c r="BH1968">
        <f>IF($A1968="","",IF($A1967="",1,IF(BG1968&lt;&gt;BG1967,1,0)))</f>
        <v>0</v>
      </c>
      <c r="BI1968">
        <f>IF($A1968="","",IF($A1969="",1,IF(BG1969&lt;&gt;BG1968,1,0)))</f>
        <v>0</v>
      </c>
      <c r="BJ1968">
        <f>IF($A1968="","",IF(BH1968=1,$B1968,BJ1967))</f>
        <v>0</v>
      </c>
      <c r="BK1968">
        <f>IF($A1968="","",IF(BH1968=1,$C1968,MAX($C1968,BK1967)))</f>
        <v>0</v>
      </c>
      <c r="BL1968">
        <f>IF($A1968="","",IF(BH1968=1,$D1968,MIN($D1968,BL1967)))</f>
        <v>0</v>
      </c>
      <c r="BM1968">
        <f>IF($A1968="","",IF(BI1968=1,F1968,""))</f>
        <v>0</v>
      </c>
      <c r="BN1968">
        <f>IF($A1968="","",DATE(YEAR($A1968),MONTH($A1968),1))</f>
        <v>0</v>
      </c>
      <c r="BO1968">
        <f>IF($A1968="","",IF($A1967="",1,IF(BN1968&lt;&gt;BN1967,1,0)))</f>
        <v>0</v>
      </c>
      <c r="BP1968">
        <f>IF($A1968="","",IF($A1969="",1,IF(BN1969&lt;&gt;BN1968,1,0)))</f>
        <v>0</v>
      </c>
      <c r="BQ1968">
        <f>IF($A1968="","",IF(BO1968=1,$B1968,BQ1967))</f>
        <v>0</v>
      </c>
      <c r="BR1968">
        <f>IF($A1968="","",IF(BO1968=1,$C1968,MAX($C1968,BR1967)))</f>
        <v>0</v>
      </c>
      <c r="BS1968">
        <f>IF($A1968="","",IF(BO1968=1,$D1968,MIN($D1968,BS1967)))</f>
        <v>0</v>
      </c>
      <c r="BT1968">
        <f>IF($A1968="","",IF(BP1968=1,F1968,""))</f>
        <v>0</v>
      </c>
    </row>
    <row r="1969" spans="1:72">
      <c r="A1969" s="27">
        <f>IF(Data!$A1969="","",Data!$A1969)</f>
        <v>0</v>
      </c>
      <c r="B1969">
        <f>IF(Data!$B1969="","",Data!$B1969)</f>
        <v>0</v>
      </c>
      <c r="C1969">
        <f>IF(Data!$C1969="","",Data!$C1969)</f>
        <v>0</v>
      </c>
      <c r="D1969">
        <f>IF(Data!$D1969="","",Data!$D1969)</f>
        <v>0</v>
      </c>
      <c r="E1969">
        <f>IF(Data!$E1969="","",Data!$E1969)</f>
        <v>0</v>
      </c>
      <c r="F1969">
        <f>IF($E1969="","",N(F1968)+1)</f>
        <v>0</v>
      </c>
      <c r="G1969">
        <f>IF(OR($E1969="",$E1968=""),"",LN($E1969/$E1968))</f>
        <v>0</v>
      </c>
      <c r="H1969">
        <f>IF($E1969="","",IF($E1968="",$E1969,$E1969*0.0952380952+H1968*0.9047619048))</f>
        <v>0</v>
      </c>
      <c r="I1969">
        <f>IF($E1969="","",IF($E1968="",$E1969,$E1969*0.0392156863+I1968*0.9607843137))</f>
        <v>0</v>
      </c>
      <c r="J1969">
        <f>IF($E1969="","",IF($E1968="",$E1969,$E1969*0.0198019802+J1968*0.9801980198))</f>
        <v>0</v>
      </c>
      <c r="K1969">
        <f>IF($E1969="","",IF($E1968="",$E1969,$E1969*0.0099502488+K1968*0.9900497512))</f>
        <v>0</v>
      </c>
      <c r="L1969">
        <f>IF(OR($E1969="",$E1968=""),"",MAX($E1969-$E1968,0))</f>
        <v>0</v>
      </c>
      <c r="M1969">
        <f>IF(OR($E1969="",$E1968=""),"",MAX($E1968-$E1969,0))</f>
        <v>0</v>
      </c>
      <c r="N1969">
        <f>IF(COUNT($E$2:$E1969)&lt;15,"",IF(AVERAGE($M$1956:$M$1969)=0,100,100-100/(1+AVERAGE($L$1956:$L$1969)/AVERAGE($M$1956:$M$1969))))</f>
        <v>0</v>
      </c>
      <c r="O1969">
        <f>IF($E1969="","",IF($E1968="",$E1969,$E1969*0.1538461538+O1968*0.8461538462))</f>
        <v>0</v>
      </c>
      <c r="P1969">
        <f>IF($E1969="","",IF($E1968="",$E1969,$E1969*0.0740740741+P1968*0.9259259259))</f>
        <v>0</v>
      </c>
      <c r="Q1969">
        <f>IF(OR(O1969="",P1969=""),"",O1969-P1969)</f>
        <v>0</v>
      </c>
      <c r="R1969">
        <f>IF(Q1969="","",IF(R1968="",Q1969,Q1969*0.2000000000+R1968*0.8000000000))</f>
        <v>0</v>
      </c>
      <c r="S1969">
        <f>IF(OR(Q1969="",R1969=""),"",Q1969-R1969)</f>
        <v>0</v>
      </c>
      <c r="T1969">
        <f>IF(COUNT($E$2:$E1969)&lt;14,"",MAX($C$1956:$C$1969))</f>
        <v>0</v>
      </c>
      <c r="U1969">
        <f>IF(COUNT($E$2:$E1969)&lt;14,"",MIN($D$1956:$D$1969))</f>
        <v>0</v>
      </c>
      <c r="V1969">
        <f>IF(OR(T1969="",U1969="",T1969=U1969),"",100*($E1969-U1969)/(T1969-U1969))</f>
        <v>0</v>
      </c>
      <c r="W1969">
        <f>IF(COUNT($V$1967:$V$1969)&lt;3,"",AVERAGE($V$1967:$V$1969))</f>
        <v>0</v>
      </c>
      <c r="X1969">
        <f>IF(COUNT($N$1956:$N$1969)&lt;14,"",MIN($N$1956:$N$1969))</f>
        <v>0</v>
      </c>
      <c r="Y1969">
        <f>IF(COUNT($N$1956:$N$1969)&lt;14,"",MAX($N$1956:$N$1969))</f>
        <v>0</v>
      </c>
      <c r="Z1969">
        <f>IF(OR(N1969="",X1969="",Y1969="",Y1969=X1969),"",100*(N1969-X1969)/(Y1969-X1969))</f>
        <v>0</v>
      </c>
      <c r="AA1969">
        <f>IF(COUNT($Z$1967:$Z$1969)&lt;3,"",AVERAGE($Z$1967:$Z$1969))</f>
        <v>0</v>
      </c>
      <c r="AB1969">
        <f>IF(COUNT($AA$1967:$AA$1969)&lt;3,"",AVERAGE($AA$1967:$AA$1969))</f>
        <v>0</v>
      </c>
      <c r="AC1969">
        <f>IF($E1969="","",MAX($C1969-$D1969,ABS($C1969-$E1968),ABS($D1969-$E1968)))</f>
        <v>0</v>
      </c>
      <c r="AD1969">
        <f>IF(COUNT($E$2:$E1969)&lt;15,"",AVERAGE($AC$1956:$AC$1969))</f>
        <v>0</v>
      </c>
      <c r="AE1969">
        <f>IF(OR($E1969="",$E1968=""),"",IF(AND(($C1969-$C1968)&gt;($D1968-$D1969),($C1969-$C1968)&gt;0),$C1969-$C1968,0))</f>
        <v>0</v>
      </c>
      <c r="AF1969">
        <f>IF(OR($E1969="",$E1968=""),"",IF(AND(($D1968-$D1969)&gt;($C1969-$C1968),($D1968-$D1969)&gt;0),$D1968-$D1969,0))</f>
        <v>0</v>
      </c>
      <c r="AG1969">
        <f>IF(COUNT($E$2:$E1969)&lt;15,"",IF(SUM($AC$1956:$AC$1969)=0,0,100*SUM($AE$1956:$AE$1969)/SUM($AC$1956:$AC$1969)))</f>
        <v>0</v>
      </c>
      <c r="AH1969">
        <f>IF(COUNT($E$2:$E1969)&lt;15,"",IF(SUM($AC$1956:$AC$1969)=0,0,100*SUM($AF$1956:$AF$1969)/SUM($AC$1956:$AC$1969)))</f>
        <v>0</v>
      </c>
      <c r="AI1969">
        <f>IF(OR(AG1969="",AH1969=""),"",IF((AG1969+AH1969)=0,0,100*ABS(AG1969-AH1969)/(AG1969+AH1969)))</f>
        <v>0</v>
      </c>
      <c r="AJ1969">
        <f>IF(COUNT($AI$1956:$AI$1969)&lt;14,"",AVERAGE($AI$1956:$AI$1969))</f>
        <v>0</v>
      </c>
      <c r="AK1969">
        <f>IF(COUNT($E$2:$E1969)&lt;20,"",AVERAGE($E$1950:$E$1969))</f>
        <v>0</v>
      </c>
      <c r="AL1969">
        <f>IF(COUNT($E$2:$E1969)&lt;20,"",STDEVP($E$1950:$E$1969))</f>
        <v>0</v>
      </c>
      <c r="AM1969">
        <f>IF(AK1969="","",AK1969+2*AL1969)</f>
        <v>0</v>
      </c>
      <c r="AN1969">
        <f>IF(AK1969="","",AK1969-2*AL1969)</f>
        <v>0</v>
      </c>
      <c r="AO1969">
        <f>IF(OR(AM1969="",AN1969="",AM1969=AN1969),"",($E1969-AN1969)/(AM1969-AN1969))</f>
        <v>0</v>
      </c>
      <c r="AP1969">
        <f>IF(OR(AM1969="",AK1969="",AK1969=0),"",(AM1969-AN1969)/AK1969)</f>
        <v>0</v>
      </c>
      <c r="AQ1969">
        <f>IF(COUNT($E$2:$E1969)&lt;20,"",MAX($C$1950:$C$1969))</f>
        <v>0</v>
      </c>
      <c r="AR1969">
        <f>IF(COUNT($E$2:$E1969)&lt;20,"",MIN($D$1950:$D$1969))</f>
        <v>0</v>
      </c>
      <c r="AS1969">
        <f>IF(OR(AQ1969="",AR1969=""),"",(AQ1969+AR1969)/2)</f>
        <v>0</v>
      </c>
      <c r="AT1969">
        <f>IF(COUNT($G$1950:$G$1969)&lt;20,"",STDEV($G$1950:$G$1969)*SQRT(252))</f>
        <v>0</v>
      </c>
      <c r="AU1969">
        <f>IF(COUNT($E$2:$E1969)&lt;9,"",(MAX($C$1961:$C$1969)+MIN($D$1961:$D$1969))/2)</f>
        <v>0</v>
      </c>
      <c r="AV1969">
        <f>IF(COUNT($E$2:$E1969)&lt;26,"",(MAX($C$1944:$C$1969)+MIN($D$1944:$D$1969))/2)</f>
        <v>0</v>
      </c>
      <c r="AW1969">
        <f>IF(OR(AU1969="",AV1969=""),"",(AU1969+AV1969)/2)</f>
        <v>0</v>
      </c>
      <c r="AX1969">
        <f>IF(COUNT($E$2:$E1969)&lt;52,"",(MAX($C$1918:$C$1969)+MIN($D$1918:$D$1969))/2)</f>
        <v>0</v>
      </c>
      <c r="AY1969">
        <f>IF(COUNT($E$2:$E1969)&lt;20,"",MAX($C$1870:$C$1969))</f>
        <v>0</v>
      </c>
      <c r="AZ1969">
        <f>IF(COUNT($E$2:$E1969)&lt;20,"",MIN($D$1870:$D$1969))</f>
        <v>0</v>
      </c>
      <c r="BA1969">
        <f>IF(COUNT($E$2:$E1969)&lt;20,"",SLOPE($E$1870:$E$1969,$F$1870:$F$1969))</f>
        <v>0</v>
      </c>
      <c r="BB1969">
        <f>IF(COUNT($E$2:$E1969)&lt;20,"",INTERCEPT($E$1870:$E$1969,$F$1870:$F$1969))</f>
        <v>0</v>
      </c>
      <c r="BC1969">
        <f>IF(OR(BA1969="",BB1969=""),"",BB1969+BA1969*F1969)</f>
        <v>0</v>
      </c>
      <c r="BD1969">
        <f>IF(COUNT($E$2:$E1969)&lt;20,"",STEYX($E$1870:$E$1969,$F$1870:$F$1969))</f>
        <v>0</v>
      </c>
      <c r="BE1969">
        <f>IF($E1969="","",IF(AND(COUNT($E$1970:$E$1973)&gt;=4,$C1969=MAX($C$1965:$C$1973)),$C1969,""))</f>
        <v>0</v>
      </c>
      <c r="BF1969">
        <f>IF($E1969="","",IF(AND(COUNT($E$1970:$E$1973)&gt;=4,$D1969=MIN($D$1965:$D$1973)),$D1969,""))</f>
        <v>0</v>
      </c>
      <c r="BG1969">
        <f>IF($A1969="","",$A1969-WEEKDAY($A1969,2)+1)</f>
        <v>0</v>
      </c>
      <c r="BH1969">
        <f>IF($A1969="","",IF($A1968="",1,IF(BG1969&lt;&gt;BG1968,1,0)))</f>
        <v>0</v>
      </c>
      <c r="BI1969">
        <f>IF($A1969="","",IF($A1970="",1,IF(BG1970&lt;&gt;BG1969,1,0)))</f>
        <v>0</v>
      </c>
      <c r="BJ1969">
        <f>IF($A1969="","",IF(BH1969=1,$B1969,BJ1968))</f>
        <v>0</v>
      </c>
      <c r="BK1969">
        <f>IF($A1969="","",IF(BH1969=1,$C1969,MAX($C1969,BK1968)))</f>
        <v>0</v>
      </c>
      <c r="BL1969">
        <f>IF($A1969="","",IF(BH1969=1,$D1969,MIN($D1969,BL1968)))</f>
        <v>0</v>
      </c>
      <c r="BM1969">
        <f>IF($A1969="","",IF(BI1969=1,F1969,""))</f>
        <v>0</v>
      </c>
      <c r="BN1969">
        <f>IF($A1969="","",DATE(YEAR($A1969),MONTH($A1969),1))</f>
        <v>0</v>
      </c>
      <c r="BO1969">
        <f>IF($A1969="","",IF($A1968="",1,IF(BN1969&lt;&gt;BN1968,1,0)))</f>
        <v>0</v>
      </c>
      <c r="BP1969">
        <f>IF($A1969="","",IF($A1970="",1,IF(BN1970&lt;&gt;BN1969,1,0)))</f>
        <v>0</v>
      </c>
      <c r="BQ1969">
        <f>IF($A1969="","",IF(BO1969=1,$B1969,BQ1968))</f>
        <v>0</v>
      </c>
      <c r="BR1969">
        <f>IF($A1969="","",IF(BO1969=1,$C1969,MAX($C1969,BR1968)))</f>
        <v>0</v>
      </c>
      <c r="BS1969">
        <f>IF($A1969="","",IF(BO1969=1,$D1969,MIN($D1969,BS1968)))</f>
        <v>0</v>
      </c>
      <c r="BT1969">
        <f>IF($A1969="","",IF(BP1969=1,F1969,""))</f>
        <v>0</v>
      </c>
    </row>
    <row r="1970" spans="1:72">
      <c r="A1970" s="27">
        <f>IF(Data!$A1970="","",Data!$A1970)</f>
        <v>0</v>
      </c>
      <c r="B1970">
        <f>IF(Data!$B1970="","",Data!$B1970)</f>
        <v>0</v>
      </c>
      <c r="C1970">
        <f>IF(Data!$C1970="","",Data!$C1970)</f>
        <v>0</v>
      </c>
      <c r="D1970">
        <f>IF(Data!$D1970="","",Data!$D1970)</f>
        <v>0</v>
      </c>
      <c r="E1970">
        <f>IF(Data!$E1970="","",Data!$E1970)</f>
        <v>0</v>
      </c>
      <c r="F1970">
        <f>IF($E1970="","",N(F1969)+1)</f>
        <v>0</v>
      </c>
      <c r="G1970">
        <f>IF(OR($E1970="",$E1969=""),"",LN($E1970/$E1969))</f>
        <v>0</v>
      </c>
      <c r="H1970">
        <f>IF($E1970="","",IF($E1969="",$E1970,$E1970*0.0952380952+H1969*0.9047619048))</f>
        <v>0</v>
      </c>
      <c r="I1970">
        <f>IF($E1970="","",IF($E1969="",$E1970,$E1970*0.0392156863+I1969*0.9607843137))</f>
        <v>0</v>
      </c>
      <c r="J1970">
        <f>IF($E1970="","",IF($E1969="",$E1970,$E1970*0.0198019802+J1969*0.9801980198))</f>
        <v>0</v>
      </c>
      <c r="K1970">
        <f>IF($E1970="","",IF($E1969="",$E1970,$E1970*0.0099502488+K1969*0.9900497512))</f>
        <v>0</v>
      </c>
      <c r="L1970">
        <f>IF(OR($E1970="",$E1969=""),"",MAX($E1970-$E1969,0))</f>
        <v>0</v>
      </c>
      <c r="M1970">
        <f>IF(OR($E1970="",$E1969=""),"",MAX($E1969-$E1970,0))</f>
        <v>0</v>
      </c>
      <c r="N1970">
        <f>IF(COUNT($E$2:$E1970)&lt;15,"",IF(AVERAGE($M$1957:$M$1970)=0,100,100-100/(1+AVERAGE($L$1957:$L$1970)/AVERAGE($M$1957:$M$1970))))</f>
        <v>0</v>
      </c>
      <c r="O1970">
        <f>IF($E1970="","",IF($E1969="",$E1970,$E1970*0.1538461538+O1969*0.8461538462))</f>
        <v>0</v>
      </c>
      <c r="P1970">
        <f>IF($E1970="","",IF($E1969="",$E1970,$E1970*0.0740740741+P1969*0.9259259259))</f>
        <v>0</v>
      </c>
      <c r="Q1970">
        <f>IF(OR(O1970="",P1970=""),"",O1970-P1970)</f>
        <v>0</v>
      </c>
      <c r="R1970">
        <f>IF(Q1970="","",IF(R1969="",Q1970,Q1970*0.2000000000+R1969*0.8000000000))</f>
        <v>0</v>
      </c>
      <c r="S1970">
        <f>IF(OR(Q1970="",R1970=""),"",Q1970-R1970)</f>
        <v>0</v>
      </c>
      <c r="T1970">
        <f>IF(COUNT($E$2:$E1970)&lt;14,"",MAX($C$1957:$C$1970))</f>
        <v>0</v>
      </c>
      <c r="U1970">
        <f>IF(COUNT($E$2:$E1970)&lt;14,"",MIN($D$1957:$D$1970))</f>
        <v>0</v>
      </c>
      <c r="V1970">
        <f>IF(OR(T1970="",U1970="",T1970=U1970),"",100*($E1970-U1970)/(T1970-U1970))</f>
        <v>0</v>
      </c>
      <c r="W1970">
        <f>IF(COUNT($V$1968:$V$1970)&lt;3,"",AVERAGE($V$1968:$V$1970))</f>
        <v>0</v>
      </c>
      <c r="X1970">
        <f>IF(COUNT($N$1957:$N$1970)&lt;14,"",MIN($N$1957:$N$1970))</f>
        <v>0</v>
      </c>
      <c r="Y1970">
        <f>IF(COUNT($N$1957:$N$1970)&lt;14,"",MAX($N$1957:$N$1970))</f>
        <v>0</v>
      </c>
      <c r="Z1970">
        <f>IF(OR(N1970="",X1970="",Y1970="",Y1970=X1970),"",100*(N1970-X1970)/(Y1970-X1970))</f>
        <v>0</v>
      </c>
      <c r="AA1970">
        <f>IF(COUNT($Z$1968:$Z$1970)&lt;3,"",AVERAGE($Z$1968:$Z$1970))</f>
        <v>0</v>
      </c>
      <c r="AB1970">
        <f>IF(COUNT($AA$1968:$AA$1970)&lt;3,"",AVERAGE($AA$1968:$AA$1970))</f>
        <v>0</v>
      </c>
      <c r="AC1970">
        <f>IF($E1970="","",MAX($C1970-$D1970,ABS($C1970-$E1969),ABS($D1970-$E1969)))</f>
        <v>0</v>
      </c>
      <c r="AD1970">
        <f>IF(COUNT($E$2:$E1970)&lt;15,"",AVERAGE($AC$1957:$AC$1970))</f>
        <v>0</v>
      </c>
      <c r="AE1970">
        <f>IF(OR($E1970="",$E1969=""),"",IF(AND(($C1970-$C1969)&gt;($D1969-$D1970),($C1970-$C1969)&gt;0),$C1970-$C1969,0))</f>
        <v>0</v>
      </c>
      <c r="AF1970">
        <f>IF(OR($E1970="",$E1969=""),"",IF(AND(($D1969-$D1970)&gt;($C1970-$C1969),($D1969-$D1970)&gt;0),$D1969-$D1970,0))</f>
        <v>0</v>
      </c>
      <c r="AG1970">
        <f>IF(COUNT($E$2:$E1970)&lt;15,"",IF(SUM($AC$1957:$AC$1970)=0,0,100*SUM($AE$1957:$AE$1970)/SUM($AC$1957:$AC$1970)))</f>
        <v>0</v>
      </c>
      <c r="AH1970">
        <f>IF(COUNT($E$2:$E1970)&lt;15,"",IF(SUM($AC$1957:$AC$1970)=0,0,100*SUM($AF$1957:$AF$1970)/SUM($AC$1957:$AC$1970)))</f>
        <v>0</v>
      </c>
      <c r="AI1970">
        <f>IF(OR(AG1970="",AH1970=""),"",IF((AG1970+AH1970)=0,0,100*ABS(AG1970-AH1970)/(AG1970+AH1970)))</f>
        <v>0</v>
      </c>
      <c r="AJ1970">
        <f>IF(COUNT($AI$1957:$AI$1970)&lt;14,"",AVERAGE($AI$1957:$AI$1970))</f>
        <v>0</v>
      </c>
      <c r="AK1970">
        <f>IF(COUNT($E$2:$E1970)&lt;20,"",AVERAGE($E$1951:$E$1970))</f>
        <v>0</v>
      </c>
      <c r="AL1970">
        <f>IF(COUNT($E$2:$E1970)&lt;20,"",STDEVP($E$1951:$E$1970))</f>
        <v>0</v>
      </c>
      <c r="AM1970">
        <f>IF(AK1970="","",AK1970+2*AL1970)</f>
        <v>0</v>
      </c>
      <c r="AN1970">
        <f>IF(AK1970="","",AK1970-2*AL1970)</f>
        <v>0</v>
      </c>
      <c r="AO1970">
        <f>IF(OR(AM1970="",AN1970="",AM1970=AN1970),"",($E1970-AN1970)/(AM1970-AN1970))</f>
        <v>0</v>
      </c>
      <c r="AP1970">
        <f>IF(OR(AM1970="",AK1970="",AK1970=0),"",(AM1970-AN1970)/AK1970)</f>
        <v>0</v>
      </c>
      <c r="AQ1970">
        <f>IF(COUNT($E$2:$E1970)&lt;20,"",MAX($C$1951:$C$1970))</f>
        <v>0</v>
      </c>
      <c r="AR1970">
        <f>IF(COUNT($E$2:$E1970)&lt;20,"",MIN($D$1951:$D$1970))</f>
        <v>0</v>
      </c>
      <c r="AS1970">
        <f>IF(OR(AQ1970="",AR1970=""),"",(AQ1970+AR1970)/2)</f>
        <v>0</v>
      </c>
      <c r="AT1970">
        <f>IF(COUNT($G$1951:$G$1970)&lt;20,"",STDEV($G$1951:$G$1970)*SQRT(252))</f>
        <v>0</v>
      </c>
      <c r="AU1970">
        <f>IF(COUNT($E$2:$E1970)&lt;9,"",(MAX($C$1962:$C$1970)+MIN($D$1962:$D$1970))/2)</f>
        <v>0</v>
      </c>
      <c r="AV1970">
        <f>IF(COUNT($E$2:$E1970)&lt;26,"",(MAX($C$1945:$C$1970)+MIN($D$1945:$D$1970))/2)</f>
        <v>0</v>
      </c>
      <c r="AW1970">
        <f>IF(OR(AU1970="",AV1970=""),"",(AU1970+AV1970)/2)</f>
        <v>0</v>
      </c>
      <c r="AX1970">
        <f>IF(COUNT($E$2:$E1970)&lt;52,"",(MAX($C$1919:$C$1970)+MIN($D$1919:$D$1970))/2)</f>
        <v>0</v>
      </c>
      <c r="AY1970">
        <f>IF(COUNT($E$2:$E1970)&lt;20,"",MAX($C$1871:$C$1970))</f>
        <v>0</v>
      </c>
      <c r="AZ1970">
        <f>IF(COUNT($E$2:$E1970)&lt;20,"",MIN($D$1871:$D$1970))</f>
        <v>0</v>
      </c>
      <c r="BA1970">
        <f>IF(COUNT($E$2:$E1970)&lt;20,"",SLOPE($E$1871:$E$1970,$F$1871:$F$1970))</f>
        <v>0</v>
      </c>
      <c r="BB1970">
        <f>IF(COUNT($E$2:$E1970)&lt;20,"",INTERCEPT($E$1871:$E$1970,$F$1871:$F$1970))</f>
        <v>0</v>
      </c>
      <c r="BC1970">
        <f>IF(OR(BA1970="",BB1970=""),"",BB1970+BA1970*F1970)</f>
        <v>0</v>
      </c>
      <c r="BD1970">
        <f>IF(COUNT($E$2:$E1970)&lt;20,"",STEYX($E$1871:$E$1970,$F$1871:$F$1970))</f>
        <v>0</v>
      </c>
      <c r="BE1970">
        <f>IF($E1970="","",IF(AND(COUNT($E$1971:$E$1974)&gt;=4,$C1970=MAX($C$1966:$C$1974)),$C1970,""))</f>
        <v>0</v>
      </c>
      <c r="BF1970">
        <f>IF($E1970="","",IF(AND(COUNT($E$1971:$E$1974)&gt;=4,$D1970=MIN($D$1966:$D$1974)),$D1970,""))</f>
        <v>0</v>
      </c>
      <c r="BG1970">
        <f>IF($A1970="","",$A1970-WEEKDAY($A1970,2)+1)</f>
        <v>0</v>
      </c>
      <c r="BH1970">
        <f>IF($A1970="","",IF($A1969="",1,IF(BG1970&lt;&gt;BG1969,1,0)))</f>
        <v>0</v>
      </c>
      <c r="BI1970">
        <f>IF($A1970="","",IF($A1971="",1,IF(BG1971&lt;&gt;BG1970,1,0)))</f>
        <v>0</v>
      </c>
      <c r="BJ1970">
        <f>IF($A1970="","",IF(BH1970=1,$B1970,BJ1969))</f>
        <v>0</v>
      </c>
      <c r="BK1970">
        <f>IF($A1970="","",IF(BH1970=1,$C1970,MAX($C1970,BK1969)))</f>
        <v>0</v>
      </c>
      <c r="BL1970">
        <f>IF($A1970="","",IF(BH1970=1,$D1970,MIN($D1970,BL1969)))</f>
        <v>0</v>
      </c>
      <c r="BM1970">
        <f>IF($A1970="","",IF(BI1970=1,F1970,""))</f>
        <v>0</v>
      </c>
      <c r="BN1970">
        <f>IF($A1970="","",DATE(YEAR($A1970),MONTH($A1970),1))</f>
        <v>0</v>
      </c>
      <c r="BO1970">
        <f>IF($A1970="","",IF($A1969="",1,IF(BN1970&lt;&gt;BN1969,1,0)))</f>
        <v>0</v>
      </c>
      <c r="BP1970">
        <f>IF($A1970="","",IF($A1971="",1,IF(BN1971&lt;&gt;BN1970,1,0)))</f>
        <v>0</v>
      </c>
      <c r="BQ1970">
        <f>IF($A1970="","",IF(BO1970=1,$B1970,BQ1969))</f>
        <v>0</v>
      </c>
      <c r="BR1970">
        <f>IF($A1970="","",IF(BO1970=1,$C1970,MAX($C1970,BR1969)))</f>
        <v>0</v>
      </c>
      <c r="BS1970">
        <f>IF($A1970="","",IF(BO1970=1,$D1970,MIN($D1970,BS1969)))</f>
        <v>0</v>
      </c>
      <c r="BT1970">
        <f>IF($A1970="","",IF(BP1970=1,F1970,""))</f>
        <v>0</v>
      </c>
    </row>
    <row r="1971" spans="1:72">
      <c r="A1971" s="27">
        <f>IF(Data!$A1971="","",Data!$A1971)</f>
        <v>0</v>
      </c>
      <c r="B1971">
        <f>IF(Data!$B1971="","",Data!$B1971)</f>
        <v>0</v>
      </c>
      <c r="C1971">
        <f>IF(Data!$C1971="","",Data!$C1971)</f>
        <v>0</v>
      </c>
      <c r="D1971">
        <f>IF(Data!$D1971="","",Data!$D1971)</f>
        <v>0</v>
      </c>
      <c r="E1971">
        <f>IF(Data!$E1971="","",Data!$E1971)</f>
        <v>0</v>
      </c>
      <c r="F1971">
        <f>IF($E1971="","",N(F1970)+1)</f>
        <v>0</v>
      </c>
      <c r="G1971">
        <f>IF(OR($E1971="",$E1970=""),"",LN($E1971/$E1970))</f>
        <v>0</v>
      </c>
      <c r="H1971">
        <f>IF($E1971="","",IF($E1970="",$E1971,$E1971*0.0952380952+H1970*0.9047619048))</f>
        <v>0</v>
      </c>
      <c r="I1971">
        <f>IF($E1971="","",IF($E1970="",$E1971,$E1971*0.0392156863+I1970*0.9607843137))</f>
        <v>0</v>
      </c>
      <c r="J1971">
        <f>IF($E1971="","",IF($E1970="",$E1971,$E1971*0.0198019802+J1970*0.9801980198))</f>
        <v>0</v>
      </c>
      <c r="K1971">
        <f>IF($E1971="","",IF($E1970="",$E1971,$E1971*0.0099502488+K1970*0.9900497512))</f>
        <v>0</v>
      </c>
      <c r="L1971">
        <f>IF(OR($E1971="",$E1970=""),"",MAX($E1971-$E1970,0))</f>
        <v>0</v>
      </c>
      <c r="M1971">
        <f>IF(OR($E1971="",$E1970=""),"",MAX($E1970-$E1971,0))</f>
        <v>0</v>
      </c>
      <c r="N1971">
        <f>IF(COUNT($E$2:$E1971)&lt;15,"",IF(AVERAGE($M$1958:$M$1971)=0,100,100-100/(1+AVERAGE($L$1958:$L$1971)/AVERAGE($M$1958:$M$1971))))</f>
        <v>0</v>
      </c>
      <c r="O1971">
        <f>IF($E1971="","",IF($E1970="",$E1971,$E1971*0.1538461538+O1970*0.8461538462))</f>
        <v>0</v>
      </c>
      <c r="P1971">
        <f>IF($E1971="","",IF($E1970="",$E1971,$E1971*0.0740740741+P1970*0.9259259259))</f>
        <v>0</v>
      </c>
      <c r="Q1971">
        <f>IF(OR(O1971="",P1971=""),"",O1971-P1971)</f>
        <v>0</v>
      </c>
      <c r="R1971">
        <f>IF(Q1971="","",IF(R1970="",Q1971,Q1971*0.2000000000+R1970*0.8000000000))</f>
        <v>0</v>
      </c>
      <c r="S1971">
        <f>IF(OR(Q1971="",R1971=""),"",Q1971-R1971)</f>
        <v>0</v>
      </c>
      <c r="T1971">
        <f>IF(COUNT($E$2:$E1971)&lt;14,"",MAX($C$1958:$C$1971))</f>
        <v>0</v>
      </c>
      <c r="U1971">
        <f>IF(COUNT($E$2:$E1971)&lt;14,"",MIN($D$1958:$D$1971))</f>
        <v>0</v>
      </c>
      <c r="V1971">
        <f>IF(OR(T1971="",U1971="",T1971=U1971),"",100*($E1971-U1971)/(T1971-U1971))</f>
        <v>0</v>
      </c>
      <c r="W1971">
        <f>IF(COUNT($V$1969:$V$1971)&lt;3,"",AVERAGE($V$1969:$V$1971))</f>
        <v>0</v>
      </c>
      <c r="X1971">
        <f>IF(COUNT($N$1958:$N$1971)&lt;14,"",MIN($N$1958:$N$1971))</f>
        <v>0</v>
      </c>
      <c r="Y1971">
        <f>IF(COUNT($N$1958:$N$1971)&lt;14,"",MAX($N$1958:$N$1971))</f>
        <v>0</v>
      </c>
      <c r="Z1971">
        <f>IF(OR(N1971="",X1971="",Y1971="",Y1971=X1971),"",100*(N1971-X1971)/(Y1971-X1971))</f>
        <v>0</v>
      </c>
      <c r="AA1971">
        <f>IF(COUNT($Z$1969:$Z$1971)&lt;3,"",AVERAGE($Z$1969:$Z$1971))</f>
        <v>0</v>
      </c>
      <c r="AB1971">
        <f>IF(COUNT($AA$1969:$AA$1971)&lt;3,"",AVERAGE($AA$1969:$AA$1971))</f>
        <v>0</v>
      </c>
      <c r="AC1971">
        <f>IF($E1971="","",MAX($C1971-$D1971,ABS($C1971-$E1970),ABS($D1971-$E1970)))</f>
        <v>0</v>
      </c>
      <c r="AD1971">
        <f>IF(COUNT($E$2:$E1971)&lt;15,"",AVERAGE($AC$1958:$AC$1971))</f>
        <v>0</v>
      </c>
      <c r="AE1971">
        <f>IF(OR($E1971="",$E1970=""),"",IF(AND(($C1971-$C1970)&gt;($D1970-$D1971),($C1971-$C1970)&gt;0),$C1971-$C1970,0))</f>
        <v>0</v>
      </c>
      <c r="AF1971">
        <f>IF(OR($E1971="",$E1970=""),"",IF(AND(($D1970-$D1971)&gt;($C1971-$C1970),($D1970-$D1971)&gt;0),$D1970-$D1971,0))</f>
        <v>0</v>
      </c>
      <c r="AG1971">
        <f>IF(COUNT($E$2:$E1971)&lt;15,"",IF(SUM($AC$1958:$AC$1971)=0,0,100*SUM($AE$1958:$AE$1971)/SUM($AC$1958:$AC$1971)))</f>
        <v>0</v>
      </c>
      <c r="AH1971">
        <f>IF(COUNT($E$2:$E1971)&lt;15,"",IF(SUM($AC$1958:$AC$1971)=0,0,100*SUM($AF$1958:$AF$1971)/SUM($AC$1958:$AC$1971)))</f>
        <v>0</v>
      </c>
      <c r="AI1971">
        <f>IF(OR(AG1971="",AH1971=""),"",IF((AG1971+AH1971)=0,0,100*ABS(AG1971-AH1971)/(AG1971+AH1971)))</f>
        <v>0</v>
      </c>
      <c r="AJ1971">
        <f>IF(COUNT($AI$1958:$AI$1971)&lt;14,"",AVERAGE($AI$1958:$AI$1971))</f>
        <v>0</v>
      </c>
      <c r="AK1971">
        <f>IF(COUNT($E$2:$E1971)&lt;20,"",AVERAGE($E$1952:$E$1971))</f>
        <v>0</v>
      </c>
      <c r="AL1971">
        <f>IF(COUNT($E$2:$E1971)&lt;20,"",STDEVP($E$1952:$E$1971))</f>
        <v>0</v>
      </c>
      <c r="AM1971">
        <f>IF(AK1971="","",AK1971+2*AL1971)</f>
        <v>0</v>
      </c>
      <c r="AN1971">
        <f>IF(AK1971="","",AK1971-2*AL1971)</f>
        <v>0</v>
      </c>
      <c r="AO1971">
        <f>IF(OR(AM1971="",AN1971="",AM1971=AN1971),"",($E1971-AN1971)/(AM1971-AN1971))</f>
        <v>0</v>
      </c>
      <c r="AP1971">
        <f>IF(OR(AM1971="",AK1971="",AK1971=0),"",(AM1971-AN1971)/AK1971)</f>
        <v>0</v>
      </c>
      <c r="AQ1971">
        <f>IF(COUNT($E$2:$E1971)&lt;20,"",MAX($C$1952:$C$1971))</f>
        <v>0</v>
      </c>
      <c r="AR1971">
        <f>IF(COUNT($E$2:$E1971)&lt;20,"",MIN($D$1952:$D$1971))</f>
        <v>0</v>
      </c>
      <c r="AS1971">
        <f>IF(OR(AQ1971="",AR1971=""),"",(AQ1971+AR1971)/2)</f>
        <v>0</v>
      </c>
      <c r="AT1971">
        <f>IF(COUNT($G$1952:$G$1971)&lt;20,"",STDEV($G$1952:$G$1971)*SQRT(252))</f>
        <v>0</v>
      </c>
      <c r="AU1971">
        <f>IF(COUNT($E$2:$E1971)&lt;9,"",(MAX($C$1963:$C$1971)+MIN($D$1963:$D$1971))/2)</f>
        <v>0</v>
      </c>
      <c r="AV1971">
        <f>IF(COUNT($E$2:$E1971)&lt;26,"",(MAX($C$1946:$C$1971)+MIN($D$1946:$D$1971))/2)</f>
        <v>0</v>
      </c>
      <c r="AW1971">
        <f>IF(OR(AU1971="",AV1971=""),"",(AU1971+AV1971)/2)</f>
        <v>0</v>
      </c>
      <c r="AX1971">
        <f>IF(COUNT($E$2:$E1971)&lt;52,"",(MAX($C$1920:$C$1971)+MIN($D$1920:$D$1971))/2)</f>
        <v>0</v>
      </c>
      <c r="AY1971">
        <f>IF(COUNT($E$2:$E1971)&lt;20,"",MAX($C$1872:$C$1971))</f>
        <v>0</v>
      </c>
      <c r="AZ1971">
        <f>IF(COUNT($E$2:$E1971)&lt;20,"",MIN($D$1872:$D$1971))</f>
        <v>0</v>
      </c>
      <c r="BA1971">
        <f>IF(COUNT($E$2:$E1971)&lt;20,"",SLOPE($E$1872:$E$1971,$F$1872:$F$1971))</f>
        <v>0</v>
      </c>
      <c r="BB1971">
        <f>IF(COUNT($E$2:$E1971)&lt;20,"",INTERCEPT($E$1872:$E$1971,$F$1872:$F$1971))</f>
        <v>0</v>
      </c>
      <c r="BC1971">
        <f>IF(OR(BA1971="",BB1971=""),"",BB1971+BA1971*F1971)</f>
        <v>0</v>
      </c>
      <c r="BD1971">
        <f>IF(COUNT($E$2:$E1971)&lt;20,"",STEYX($E$1872:$E$1971,$F$1872:$F$1971))</f>
        <v>0</v>
      </c>
      <c r="BE1971">
        <f>IF($E1971="","",IF(AND(COUNT($E$1972:$E$1975)&gt;=4,$C1971=MAX($C$1967:$C$1975)),$C1971,""))</f>
        <v>0</v>
      </c>
      <c r="BF1971">
        <f>IF($E1971="","",IF(AND(COUNT($E$1972:$E$1975)&gt;=4,$D1971=MIN($D$1967:$D$1975)),$D1971,""))</f>
        <v>0</v>
      </c>
      <c r="BG1971">
        <f>IF($A1971="","",$A1971-WEEKDAY($A1971,2)+1)</f>
        <v>0</v>
      </c>
      <c r="BH1971">
        <f>IF($A1971="","",IF($A1970="",1,IF(BG1971&lt;&gt;BG1970,1,0)))</f>
        <v>0</v>
      </c>
      <c r="BI1971">
        <f>IF($A1971="","",IF($A1972="",1,IF(BG1972&lt;&gt;BG1971,1,0)))</f>
        <v>0</v>
      </c>
      <c r="BJ1971">
        <f>IF($A1971="","",IF(BH1971=1,$B1971,BJ1970))</f>
        <v>0</v>
      </c>
      <c r="BK1971">
        <f>IF($A1971="","",IF(BH1971=1,$C1971,MAX($C1971,BK1970)))</f>
        <v>0</v>
      </c>
      <c r="BL1971">
        <f>IF($A1971="","",IF(BH1971=1,$D1971,MIN($D1971,BL1970)))</f>
        <v>0</v>
      </c>
      <c r="BM1971">
        <f>IF($A1971="","",IF(BI1971=1,F1971,""))</f>
        <v>0</v>
      </c>
      <c r="BN1971">
        <f>IF($A1971="","",DATE(YEAR($A1971),MONTH($A1971),1))</f>
        <v>0</v>
      </c>
      <c r="BO1971">
        <f>IF($A1971="","",IF($A1970="",1,IF(BN1971&lt;&gt;BN1970,1,0)))</f>
        <v>0</v>
      </c>
      <c r="BP1971">
        <f>IF($A1971="","",IF($A1972="",1,IF(BN1972&lt;&gt;BN1971,1,0)))</f>
        <v>0</v>
      </c>
      <c r="BQ1971">
        <f>IF($A1971="","",IF(BO1971=1,$B1971,BQ1970))</f>
        <v>0</v>
      </c>
      <c r="BR1971">
        <f>IF($A1971="","",IF(BO1971=1,$C1971,MAX($C1971,BR1970)))</f>
        <v>0</v>
      </c>
      <c r="BS1971">
        <f>IF($A1971="","",IF(BO1971=1,$D1971,MIN($D1971,BS1970)))</f>
        <v>0</v>
      </c>
      <c r="BT1971">
        <f>IF($A1971="","",IF(BP1971=1,F1971,""))</f>
        <v>0</v>
      </c>
    </row>
    <row r="1972" spans="1:72">
      <c r="A1972" s="27">
        <f>IF(Data!$A1972="","",Data!$A1972)</f>
        <v>0</v>
      </c>
      <c r="B1972">
        <f>IF(Data!$B1972="","",Data!$B1972)</f>
        <v>0</v>
      </c>
      <c r="C1972">
        <f>IF(Data!$C1972="","",Data!$C1972)</f>
        <v>0</v>
      </c>
      <c r="D1972">
        <f>IF(Data!$D1972="","",Data!$D1972)</f>
        <v>0</v>
      </c>
      <c r="E1972">
        <f>IF(Data!$E1972="","",Data!$E1972)</f>
        <v>0</v>
      </c>
      <c r="F1972">
        <f>IF($E1972="","",N(F1971)+1)</f>
        <v>0</v>
      </c>
      <c r="G1972">
        <f>IF(OR($E1972="",$E1971=""),"",LN($E1972/$E1971))</f>
        <v>0</v>
      </c>
      <c r="H1972">
        <f>IF($E1972="","",IF($E1971="",$E1972,$E1972*0.0952380952+H1971*0.9047619048))</f>
        <v>0</v>
      </c>
      <c r="I1972">
        <f>IF($E1972="","",IF($E1971="",$E1972,$E1972*0.0392156863+I1971*0.9607843137))</f>
        <v>0</v>
      </c>
      <c r="J1972">
        <f>IF($E1972="","",IF($E1971="",$E1972,$E1972*0.0198019802+J1971*0.9801980198))</f>
        <v>0</v>
      </c>
      <c r="K1972">
        <f>IF($E1972="","",IF($E1971="",$E1972,$E1972*0.0099502488+K1971*0.9900497512))</f>
        <v>0</v>
      </c>
      <c r="L1972">
        <f>IF(OR($E1972="",$E1971=""),"",MAX($E1972-$E1971,0))</f>
        <v>0</v>
      </c>
      <c r="M1972">
        <f>IF(OR($E1972="",$E1971=""),"",MAX($E1971-$E1972,0))</f>
        <v>0</v>
      </c>
      <c r="N1972">
        <f>IF(COUNT($E$2:$E1972)&lt;15,"",IF(AVERAGE($M$1959:$M$1972)=0,100,100-100/(1+AVERAGE($L$1959:$L$1972)/AVERAGE($M$1959:$M$1972))))</f>
        <v>0</v>
      </c>
      <c r="O1972">
        <f>IF($E1972="","",IF($E1971="",$E1972,$E1972*0.1538461538+O1971*0.8461538462))</f>
        <v>0</v>
      </c>
      <c r="P1972">
        <f>IF($E1972="","",IF($E1971="",$E1972,$E1972*0.0740740741+P1971*0.9259259259))</f>
        <v>0</v>
      </c>
      <c r="Q1972">
        <f>IF(OR(O1972="",P1972=""),"",O1972-P1972)</f>
        <v>0</v>
      </c>
      <c r="R1972">
        <f>IF(Q1972="","",IF(R1971="",Q1972,Q1972*0.2000000000+R1971*0.8000000000))</f>
        <v>0</v>
      </c>
      <c r="S1972">
        <f>IF(OR(Q1972="",R1972=""),"",Q1972-R1972)</f>
        <v>0</v>
      </c>
      <c r="T1972">
        <f>IF(COUNT($E$2:$E1972)&lt;14,"",MAX($C$1959:$C$1972))</f>
        <v>0</v>
      </c>
      <c r="U1972">
        <f>IF(COUNT($E$2:$E1972)&lt;14,"",MIN($D$1959:$D$1972))</f>
        <v>0</v>
      </c>
      <c r="V1972">
        <f>IF(OR(T1972="",U1972="",T1972=U1972),"",100*($E1972-U1972)/(T1972-U1972))</f>
        <v>0</v>
      </c>
      <c r="W1972">
        <f>IF(COUNT($V$1970:$V$1972)&lt;3,"",AVERAGE($V$1970:$V$1972))</f>
        <v>0</v>
      </c>
      <c r="X1972">
        <f>IF(COUNT($N$1959:$N$1972)&lt;14,"",MIN($N$1959:$N$1972))</f>
        <v>0</v>
      </c>
      <c r="Y1972">
        <f>IF(COUNT($N$1959:$N$1972)&lt;14,"",MAX($N$1959:$N$1972))</f>
        <v>0</v>
      </c>
      <c r="Z1972">
        <f>IF(OR(N1972="",X1972="",Y1972="",Y1972=X1972),"",100*(N1972-X1972)/(Y1972-X1972))</f>
        <v>0</v>
      </c>
      <c r="AA1972">
        <f>IF(COUNT($Z$1970:$Z$1972)&lt;3,"",AVERAGE($Z$1970:$Z$1972))</f>
        <v>0</v>
      </c>
      <c r="AB1972">
        <f>IF(COUNT($AA$1970:$AA$1972)&lt;3,"",AVERAGE($AA$1970:$AA$1972))</f>
        <v>0</v>
      </c>
      <c r="AC1972">
        <f>IF($E1972="","",MAX($C1972-$D1972,ABS($C1972-$E1971),ABS($D1972-$E1971)))</f>
        <v>0</v>
      </c>
      <c r="AD1972">
        <f>IF(COUNT($E$2:$E1972)&lt;15,"",AVERAGE($AC$1959:$AC$1972))</f>
        <v>0</v>
      </c>
      <c r="AE1972">
        <f>IF(OR($E1972="",$E1971=""),"",IF(AND(($C1972-$C1971)&gt;($D1971-$D1972),($C1972-$C1971)&gt;0),$C1972-$C1971,0))</f>
        <v>0</v>
      </c>
      <c r="AF1972">
        <f>IF(OR($E1972="",$E1971=""),"",IF(AND(($D1971-$D1972)&gt;($C1972-$C1971),($D1971-$D1972)&gt;0),$D1971-$D1972,0))</f>
        <v>0</v>
      </c>
      <c r="AG1972">
        <f>IF(COUNT($E$2:$E1972)&lt;15,"",IF(SUM($AC$1959:$AC$1972)=0,0,100*SUM($AE$1959:$AE$1972)/SUM($AC$1959:$AC$1972)))</f>
        <v>0</v>
      </c>
      <c r="AH1972">
        <f>IF(COUNT($E$2:$E1972)&lt;15,"",IF(SUM($AC$1959:$AC$1972)=0,0,100*SUM($AF$1959:$AF$1972)/SUM($AC$1959:$AC$1972)))</f>
        <v>0</v>
      </c>
      <c r="AI1972">
        <f>IF(OR(AG1972="",AH1972=""),"",IF((AG1972+AH1972)=0,0,100*ABS(AG1972-AH1972)/(AG1972+AH1972)))</f>
        <v>0</v>
      </c>
      <c r="AJ1972">
        <f>IF(COUNT($AI$1959:$AI$1972)&lt;14,"",AVERAGE($AI$1959:$AI$1972))</f>
        <v>0</v>
      </c>
      <c r="AK1972">
        <f>IF(COUNT($E$2:$E1972)&lt;20,"",AVERAGE($E$1953:$E$1972))</f>
        <v>0</v>
      </c>
      <c r="AL1972">
        <f>IF(COUNT($E$2:$E1972)&lt;20,"",STDEVP($E$1953:$E$1972))</f>
        <v>0</v>
      </c>
      <c r="AM1972">
        <f>IF(AK1972="","",AK1972+2*AL1972)</f>
        <v>0</v>
      </c>
      <c r="AN1972">
        <f>IF(AK1972="","",AK1972-2*AL1972)</f>
        <v>0</v>
      </c>
      <c r="AO1972">
        <f>IF(OR(AM1972="",AN1972="",AM1972=AN1972),"",($E1972-AN1972)/(AM1972-AN1972))</f>
        <v>0</v>
      </c>
      <c r="AP1972">
        <f>IF(OR(AM1972="",AK1972="",AK1972=0),"",(AM1972-AN1972)/AK1972)</f>
        <v>0</v>
      </c>
      <c r="AQ1972">
        <f>IF(COUNT($E$2:$E1972)&lt;20,"",MAX($C$1953:$C$1972))</f>
        <v>0</v>
      </c>
      <c r="AR1972">
        <f>IF(COUNT($E$2:$E1972)&lt;20,"",MIN($D$1953:$D$1972))</f>
        <v>0</v>
      </c>
      <c r="AS1972">
        <f>IF(OR(AQ1972="",AR1972=""),"",(AQ1972+AR1972)/2)</f>
        <v>0</v>
      </c>
      <c r="AT1972">
        <f>IF(COUNT($G$1953:$G$1972)&lt;20,"",STDEV($G$1953:$G$1972)*SQRT(252))</f>
        <v>0</v>
      </c>
      <c r="AU1972">
        <f>IF(COUNT($E$2:$E1972)&lt;9,"",(MAX($C$1964:$C$1972)+MIN($D$1964:$D$1972))/2)</f>
        <v>0</v>
      </c>
      <c r="AV1972">
        <f>IF(COUNT($E$2:$E1972)&lt;26,"",(MAX($C$1947:$C$1972)+MIN($D$1947:$D$1972))/2)</f>
        <v>0</v>
      </c>
      <c r="AW1972">
        <f>IF(OR(AU1972="",AV1972=""),"",(AU1972+AV1972)/2)</f>
        <v>0</v>
      </c>
      <c r="AX1972">
        <f>IF(COUNT($E$2:$E1972)&lt;52,"",(MAX($C$1921:$C$1972)+MIN($D$1921:$D$1972))/2)</f>
        <v>0</v>
      </c>
      <c r="AY1972">
        <f>IF(COUNT($E$2:$E1972)&lt;20,"",MAX($C$1873:$C$1972))</f>
        <v>0</v>
      </c>
      <c r="AZ1972">
        <f>IF(COUNT($E$2:$E1972)&lt;20,"",MIN($D$1873:$D$1972))</f>
        <v>0</v>
      </c>
      <c r="BA1972">
        <f>IF(COUNT($E$2:$E1972)&lt;20,"",SLOPE($E$1873:$E$1972,$F$1873:$F$1972))</f>
        <v>0</v>
      </c>
      <c r="BB1972">
        <f>IF(COUNT($E$2:$E1972)&lt;20,"",INTERCEPT($E$1873:$E$1972,$F$1873:$F$1972))</f>
        <v>0</v>
      </c>
      <c r="BC1972">
        <f>IF(OR(BA1972="",BB1972=""),"",BB1972+BA1972*F1972)</f>
        <v>0</v>
      </c>
      <c r="BD1972">
        <f>IF(COUNT($E$2:$E1972)&lt;20,"",STEYX($E$1873:$E$1972,$F$1873:$F$1972))</f>
        <v>0</v>
      </c>
      <c r="BE1972">
        <f>IF($E1972="","",IF(AND(COUNT($E$1973:$E$1976)&gt;=4,$C1972=MAX($C$1968:$C$1976)),$C1972,""))</f>
        <v>0</v>
      </c>
      <c r="BF1972">
        <f>IF($E1972="","",IF(AND(COUNT($E$1973:$E$1976)&gt;=4,$D1972=MIN($D$1968:$D$1976)),$D1972,""))</f>
        <v>0</v>
      </c>
      <c r="BG1972">
        <f>IF($A1972="","",$A1972-WEEKDAY($A1972,2)+1)</f>
        <v>0</v>
      </c>
      <c r="BH1972">
        <f>IF($A1972="","",IF($A1971="",1,IF(BG1972&lt;&gt;BG1971,1,0)))</f>
        <v>0</v>
      </c>
      <c r="BI1972">
        <f>IF($A1972="","",IF($A1973="",1,IF(BG1973&lt;&gt;BG1972,1,0)))</f>
        <v>0</v>
      </c>
      <c r="BJ1972">
        <f>IF($A1972="","",IF(BH1972=1,$B1972,BJ1971))</f>
        <v>0</v>
      </c>
      <c r="BK1972">
        <f>IF($A1972="","",IF(BH1972=1,$C1972,MAX($C1972,BK1971)))</f>
        <v>0</v>
      </c>
      <c r="BL1972">
        <f>IF($A1972="","",IF(BH1972=1,$D1972,MIN($D1972,BL1971)))</f>
        <v>0</v>
      </c>
      <c r="BM1972">
        <f>IF($A1972="","",IF(BI1972=1,F1972,""))</f>
        <v>0</v>
      </c>
      <c r="BN1972">
        <f>IF($A1972="","",DATE(YEAR($A1972),MONTH($A1972),1))</f>
        <v>0</v>
      </c>
      <c r="BO1972">
        <f>IF($A1972="","",IF($A1971="",1,IF(BN1972&lt;&gt;BN1971,1,0)))</f>
        <v>0</v>
      </c>
      <c r="BP1972">
        <f>IF($A1972="","",IF($A1973="",1,IF(BN1973&lt;&gt;BN1972,1,0)))</f>
        <v>0</v>
      </c>
      <c r="BQ1972">
        <f>IF($A1972="","",IF(BO1972=1,$B1972,BQ1971))</f>
        <v>0</v>
      </c>
      <c r="BR1972">
        <f>IF($A1972="","",IF(BO1972=1,$C1972,MAX($C1972,BR1971)))</f>
        <v>0</v>
      </c>
      <c r="BS1972">
        <f>IF($A1972="","",IF(BO1972=1,$D1972,MIN($D1972,BS1971)))</f>
        <v>0</v>
      </c>
      <c r="BT1972">
        <f>IF($A1972="","",IF(BP1972=1,F1972,""))</f>
        <v>0</v>
      </c>
    </row>
    <row r="1973" spans="1:72">
      <c r="A1973" s="27">
        <f>IF(Data!$A1973="","",Data!$A1973)</f>
        <v>0</v>
      </c>
      <c r="B1973">
        <f>IF(Data!$B1973="","",Data!$B1973)</f>
        <v>0</v>
      </c>
      <c r="C1973">
        <f>IF(Data!$C1973="","",Data!$C1973)</f>
        <v>0</v>
      </c>
      <c r="D1973">
        <f>IF(Data!$D1973="","",Data!$D1973)</f>
        <v>0</v>
      </c>
      <c r="E1973">
        <f>IF(Data!$E1973="","",Data!$E1973)</f>
        <v>0</v>
      </c>
      <c r="F1973">
        <f>IF($E1973="","",N(F1972)+1)</f>
        <v>0</v>
      </c>
      <c r="G1973">
        <f>IF(OR($E1973="",$E1972=""),"",LN($E1973/$E1972))</f>
        <v>0</v>
      </c>
      <c r="H1973">
        <f>IF($E1973="","",IF($E1972="",$E1973,$E1973*0.0952380952+H1972*0.9047619048))</f>
        <v>0</v>
      </c>
      <c r="I1973">
        <f>IF($E1973="","",IF($E1972="",$E1973,$E1973*0.0392156863+I1972*0.9607843137))</f>
        <v>0</v>
      </c>
      <c r="J1973">
        <f>IF($E1973="","",IF($E1972="",$E1973,$E1973*0.0198019802+J1972*0.9801980198))</f>
        <v>0</v>
      </c>
      <c r="K1973">
        <f>IF($E1973="","",IF($E1972="",$E1973,$E1973*0.0099502488+K1972*0.9900497512))</f>
        <v>0</v>
      </c>
      <c r="L1973">
        <f>IF(OR($E1973="",$E1972=""),"",MAX($E1973-$E1972,0))</f>
        <v>0</v>
      </c>
      <c r="M1973">
        <f>IF(OR($E1973="",$E1972=""),"",MAX($E1972-$E1973,0))</f>
        <v>0</v>
      </c>
      <c r="N1973">
        <f>IF(COUNT($E$2:$E1973)&lt;15,"",IF(AVERAGE($M$1960:$M$1973)=0,100,100-100/(1+AVERAGE($L$1960:$L$1973)/AVERAGE($M$1960:$M$1973))))</f>
        <v>0</v>
      </c>
      <c r="O1973">
        <f>IF($E1973="","",IF($E1972="",$E1973,$E1973*0.1538461538+O1972*0.8461538462))</f>
        <v>0</v>
      </c>
      <c r="P1973">
        <f>IF($E1973="","",IF($E1972="",$E1973,$E1973*0.0740740741+P1972*0.9259259259))</f>
        <v>0</v>
      </c>
      <c r="Q1973">
        <f>IF(OR(O1973="",P1973=""),"",O1973-P1973)</f>
        <v>0</v>
      </c>
      <c r="R1973">
        <f>IF(Q1973="","",IF(R1972="",Q1973,Q1973*0.2000000000+R1972*0.8000000000))</f>
        <v>0</v>
      </c>
      <c r="S1973">
        <f>IF(OR(Q1973="",R1973=""),"",Q1973-R1973)</f>
        <v>0</v>
      </c>
      <c r="T1973">
        <f>IF(COUNT($E$2:$E1973)&lt;14,"",MAX($C$1960:$C$1973))</f>
        <v>0</v>
      </c>
      <c r="U1973">
        <f>IF(COUNT($E$2:$E1973)&lt;14,"",MIN($D$1960:$D$1973))</f>
        <v>0</v>
      </c>
      <c r="V1973">
        <f>IF(OR(T1973="",U1973="",T1973=U1973),"",100*($E1973-U1973)/(T1973-U1973))</f>
        <v>0</v>
      </c>
      <c r="W1973">
        <f>IF(COUNT($V$1971:$V$1973)&lt;3,"",AVERAGE($V$1971:$V$1973))</f>
        <v>0</v>
      </c>
      <c r="X1973">
        <f>IF(COUNT($N$1960:$N$1973)&lt;14,"",MIN($N$1960:$N$1973))</f>
        <v>0</v>
      </c>
      <c r="Y1973">
        <f>IF(COUNT($N$1960:$N$1973)&lt;14,"",MAX($N$1960:$N$1973))</f>
        <v>0</v>
      </c>
      <c r="Z1973">
        <f>IF(OR(N1973="",X1973="",Y1973="",Y1973=X1973),"",100*(N1973-X1973)/(Y1973-X1973))</f>
        <v>0</v>
      </c>
      <c r="AA1973">
        <f>IF(COUNT($Z$1971:$Z$1973)&lt;3,"",AVERAGE($Z$1971:$Z$1973))</f>
        <v>0</v>
      </c>
      <c r="AB1973">
        <f>IF(COUNT($AA$1971:$AA$1973)&lt;3,"",AVERAGE($AA$1971:$AA$1973))</f>
        <v>0</v>
      </c>
      <c r="AC1973">
        <f>IF($E1973="","",MAX($C1973-$D1973,ABS($C1973-$E1972),ABS($D1973-$E1972)))</f>
        <v>0</v>
      </c>
      <c r="AD1973">
        <f>IF(COUNT($E$2:$E1973)&lt;15,"",AVERAGE($AC$1960:$AC$1973))</f>
        <v>0</v>
      </c>
      <c r="AE1973">
        <f>IF(OR($E1973="",$E1972=""),"",IF(AND(($C1973-$C1972)&gt;($D1972-$D1973),($C1973-$C1972)&gt;0),$C1973-$C1972,0))</f>
        <v>0</v>
      </c>
      <c r="AF1973">
        <f>IF(OR($E1973="",$E1972=""),"",IF(AND(($D1972-$D1973)&gt;($C1973-$C1972),($D1972-$D1973)&gt;0),$D1972-$D1973,0))</f>
        <v>0</v>
      </c>
      <c r="AG1973">
        <f>IF(COUNT($E$2:$E1973)&lt;15,"",IF(SUM($AC$1960:$AC$1973)=0,0,100*SUM($AE$1960:$AE$1973)/SUM($AC$1960:$AC$1973)))</f>
        <v>0</v>
      </c>
      <c r="AH1973">
        <f>IF(COUNT($E$2:$E1973)&lt;15,"",IF(SUM($AC$1960:$AC$1973)=0,0,100*SUM($AF$1960:$AF$1973)/SUM($AC$1960:$AC$1973)))</f>
        <v>0</v>
      </c>
      <c r="AI1973">
        <f>IF(OR(AG1973="",AH1973=""),"",IF((AG1973+AH1973)=0,0,100*ABS(AG1973-AH1973)/(AG1973+AH1973)))</f>
        <v>0</v>
      </c>
      <c r="AJ1973">
        <f>IF(COUNT($AI$1960:$AI$1973)&lt;14,"",AVERAGE($AI$1960:$AI$1973))</f>
        <v>0</v>
      </c>
      <c r="AK1973">
        <f>IF(COUNT($E$2:$E1973)&lt;20,"",AVERAGE($E$1954:$E$1973))</f>
        <v>0</v>
      </c>
      <c r="AL1973">
        <f>IF(COUNT($E$2:$E1973)&lt;20,"",STDEVP($E$1954:$E$1973))</f>
        <v>0</v>
      </c>
      <c r="AM1973">
        <f>IF(AK1973="","",AK1973+2*AL1973)</f>
        <v>0</v>
      </c>
      <c r="AN1973">
        <f>IF(AK1973="","",AK1973-2*AL1973)</f>
        <v>0</v>
      </c>
      <c r="AO1973">
        <f>IF(OR(AM1973="",AN1973="",AM1973=AN1973),"",($E1973-AN1973)/(AM1973-AN1973))</f>
        <v>0</v>
      </c>
      <c r="AP1973">
        <f>IF(OR(AM1973="",AK1973="",AK1973=0),"",(AM1973-AN1973)/AK1973)</f>
        <v>0</v>
      </c>
      <c r="AQ1973">
        <f>IF(COUNT($E$2:$E1973)&lt;20,"",MAX($C$1954:$C$1973))</f>
        <v>0</v>
      </c>
      <c r="AR1973">
        <f>IF(COUNT($E$2:$E1973)&lt;20,"",MIN($D$1954:$D$1973))</f>
        <v>0</v>
      </c>
      <c r="AS1973">
        <f>IF(OR(AQ1973="",AR1973=""),"",(AQ1973+AR1973)/2)</f>
        <v>0</v>
      </c>
      <c r="AT1973">
        <f>IF(COUNT($G$1954:$G$1973)&lt;20,"",STDEV($G$1954:$G$1973)*SQRT(252))</f>
        <v>0</v>
      </c>
      <c r="AU1973">
        <f>IF(COUNT($E$2:$E1973)&lt;9,"",(MAX($C$1965:$C$1973)+MIN($D$1965:$D$1973))/2)</f>
        <v>0</v>
      </c>
      <c r="AV1973">
        <f>IF(COUNT($E$2:$E1973)&lt;26,"",(MAX($C$1948:$C$1973)+MIN($D$1948:$D$1973))/2)</f>
        <v>0</v>
      </c>
      <c r="AW1973">
        <f>IF(OR(AU1973="",AV1973=""),"",(AU1973+AV1973)/2)</f>
        <v>0</v>
      </c>
      <c r="AX1973">
        <f>IF(COUNT($E$2:$E1973)&lt;52,"",(MAX($C$1922:$C$1973)+MIN($D$1922:$D$1973))/2)</f>
        <v>0</v>
      </c>
      <c r="AY1973">
        <f>IF(COUNT($E$2:$E1973)&lt;20,"",MAX($C$1874:$C$1973))</f>
        <v>0</v>
      </c>
      <c r="AZ1973">
        <f>IF(COUNT($E$2:$E1973)&lt;20,"",MIN($D$1874:$D$1973))</f>
        <v>0</v>
      </c>
      <c r="BA1973">
        <f>IF(COUNT($E$2:$E1973)&lt;20,"",SLOPE($E$1874:$E$1973,$F$1874:$F$1973))</f>
        <v>0</v>
      </c>
      <c r="BB1973">
        <f>IF(COUNT($E$2:$E1973)&lt;20,"",INTERCEPT($E$1874:$E$1973,$F$1874:$F$1973))</f>
        <v>0</v>
      </c>
      <c r="BC1973">
        <f>IF(OR(BA1973="",BB1973=""),"",BB1973+BA1973*F1973)</f>
        <v>0</v>
      </c>
      <c r="BD1973">
        <f>IF(COUNT($E$2:$E1973)&lt;20,"",STEYX($E$1874:$E$1973,$F$1874:$F$1973))</f>
        <v>0</v>
      </c>
      <c r="BE1973">
        <f>IF($E1973="","",IF(AND(COUNT($E$1974:$E$1977)&gt;=4,$C1973=MAX($C$1969:$C$1977)),$C1973,""))</f>
        <v>0</v>
      </c>
      <c r="BF1973">
        <f>IF($E1973="","",IF(AND(COUNT($E$1974:$E$1977)&gt;=4,$D1973=MIN($D$1969:$D$1977)),$D1973,""))</f>
        <v>0</v>
      </c>
      <c r="BG1973">
        <f>IF($A1973="","",$A1973-WEEKDAY($A1973,2)+1)</f>
        <v>0</v>
      </c>
      <c r="BH1973">
        <f>IF($A1973="","",IF($A1972="",1,IF(BG1973&lt;&gt;BG1972,1,0)))</f>
        <v>0</v>
      </c>
      <c r="BI1973">
        <f>IF($A1973="","",IF($A1974="",1,IF(BG1974&lt;&gt;BG1973,1,0)))</f>
        <v>0</v>
      </c>
      <c r="BJ1973">
        <f>IF($A1973="","",IF(BH1973=1,$B1973,BJ1972))</f>
        <v>0</v>
      </c>
      <c r="BK1973">
        <f>IF($A1973="","",IF(BH1973=1,$C1973,MAX($C1973,BK1972)))</f>
        <v>0</v>
      </c>
      <c r="BL1973">
        <f>IF($A1973="","",IF(BH1973=1,$D1973,MIN($D1973,BL1972)))</f>
        <v>0</v>
      </c>
      <c r="BM1973">
        <f>IF($A1973="","",IF(BI1973=1,F1973,""))</f>
        <v>0</v>
      </c>
      <c r="BN1973">
        <f>IF($A1973="","",DATE(YEAR($A1973),MONTH($A1973),1))</f>
        <v>0</v>
      </c>
      <c r="BO1973">
        <f>IF($A1973="","",IF($A1972="",1,IF(BN1973&lt;&gt;BN1972,1,0)))</f>
        <v>0</v>
      </c>
      <c r="BP1973">
        <f>IF($A1973="","",IF($A1974="",1,IF(BN1974&lt;&gt;BN1973,1,0)))</f>
        <v>0</v>
      </c>
      <c r="BQ1973">
        <f>IF($A1973="","",IF(BO1973=1,$B1973,BQ1972))</f>
        <v>0</v>
      </c>
      <c r="BR1973">
        <f>IF($A1973="","",IF(BO1973=1,$C1973,MAX($C1973,BR1972)))</f>
        <v>0</v>
      </c>
      <c r="BS1973">
        <f>IF($A1973="","",IF(BO1973=1,$D1973,MIN($D1973,BS1972)))</f>
        <v>0</v>
      </c>
      <c r="BT1973">
        <f>IF($A1973="","",IF(BP1973=1,F1973,""))</f>
        <v>0</v>
      </c>
    </row>
    <row r="1974" spans="1:72">
      <c r="A1974" s="27">
        <f>IF(Data!$A1974="","",Data!$A1974)</f>
        <v>0</v>
      </c>
      <c r="B1974">
        <f>IF(Data!$B1974="","",Data!$B1974)</f>
        <v>0</v>
      </c>
      <c r="C1974">
        <f>IF(Data!$C1974="","",Data!$C1974)</f>
        <v>0</v>
      </c>
      <c r="D1974">
        <f>IF(Data!$D1974="","",Data!$D1974)</f>
        <v>0</v>
      </c>
      <c r="E1974">
        <f>IF(Data!$E1974="","",Data!$E1974)</f>
        <v>0</v>
      </c>
      <c r="F1974">
        <f>IF($E1974="","",N(F1973)+1)</f>
        <v>0</v>
      </c>
      <c r="G1974">
        <f>IF(OR($E1974="",$E1973=""),"",LN($E1974/$E1973))</f>
        <v>0</v>
      </c>
      <c r="H1974">
        <f>IF($E1974="","",IF($E1973="",$E1974,$E1974*0.0952380952+H1973*0.9047619048))</f>
        <v>0</v>
      </c>
      <c r="I1974">
        <f>IF($E1974="","",IF($E1973="",$E1974,$E1974*0.0392156863+I1973*0.9607843137))</f>
        <v>0</v>
      </c>
      <c r="J1974">
        <f>IF($E1974="","",IF($E1973="",$E1974,$E1974*0.0198019802+J1973*0.9801980198))</f>
        <v>0</v>
      </c>
      <c r="K1974">
        <f>IF($E1974="","",IF($E1973="",$E1974,$E1974*0.0099502488+K1973*0.9900497512))</f>
        <v>0</v>
      </c>
      <c r="L1974">
        <f>IF(OR($E1974="",$E1973=""),"",MAX($E1974-$E1973,0))</f>
        <v>0</v>
      </c>
      <c r="M1974">
        <f>IF(OR($E1974="",$E1973=""),"",MAX($E1973-$E1974,0))</f>
        <v>0</v>
      </c>
      <c r="N1974">
        <f>IF(COUNT($E$2:$E1974)&lt;15,"",IF(AVERAGE($M$1961:$M$1974)=0,100,100-100/(1+AVERAGE($L$1961:$L$1974)/AVERAGE($M$1961:$M$1974))))</f>
        <v>0</v>
      </c>
      <c r="O1974">
        <f>IF($E1974="","",IF($E1973="",$E1974,$E1974*0.1538461538+O1973*0.8461538462))</f>
        <v>0</v>
      </c>
      <c r="P1974">
        <f>IF($E1974="","",IF($E1973="",$E1974,$E1974*0.0740740741+P1973*0.9259259259))</f>
        <v>0</v>
      </c>
      <c r="Q1974">
        <f>IF(OR(O1974="",P1974=""),"",O1974-P1974)</f>
        <v>0</v>
      </c>
      <c r="R1974">
        <f>IF(Q1974="","",IF(R1973="",Q1974,Q1974*0.2000000000+R1973*0.8000000000))</f>
        <v>0</v>
      </c>
      <c r="S1974">
        <f>IF(OR(Q1974="",R1974=""),"",Q1974-R1974)</f>
        <v>0</v>
      </c>
      <c r="T1974">
        <f>IF(COUNT($E$2:$E1974)&lt;14,"",MAX($C$1961:$C$1974))</f>
        <v>0</v>
      </c>
      <c r="U1974">
        <f>IF(COUNT($E$2:$E1974)&lt;14,"",MIN($D$1961:$D$1974))</f>
        <v>0</v>
      </c>
      <c r="V1974">
        <f>IF(OR(T1974="",U1974="",T1974=U1974),"",100*($E1974-U1974)/(T1974-U1974))</f>
        <v>0</v>
      </c>
      <c r="W1974">
        <f>IF(COUNT($V$1972:$V$1974)&lt;3,"",AVERAGE($V$1972:$V$1974))</f>
        <v>0</v>
      </c>
      <c r="X1974">
        <f>IF(COUNT($N$1961:$N$1974)&lt;14,"",MIN($N$1961:$N$1974))</f>
        <v>0</v>
      </c>
      <c r="Y1974">
        <f>IF(COUNT($N$1961:$N$1974)&lt;14,"",MAX($N$1961:$N$1974))</f>
        <v>0</v>
      </c>
      <c r="Z1974">
        <f>IF(OR(N1974="",X1974="",Y1974="",Y1974=X1974),"",100*(N1974-X1974)/(Y1974-X1974))</f>
        <v>0</v>
      </c>
      <c r="AA1974">
        <f>IF(COUNT($Z$1972:$Z$1974)&lt;3,"",AVERAGE($Z$1972:$Z$1974))</f>
        <v>0</v>
      </c>
      <c r="AB1974">
        <f>IF(COUNT($AA$1972:$AA$1974)&lt;3,"",AVERAGE($AA$1972:$AA$1974))</f>
        <v>0</v>
      </c>
      <c r="AC1974">
        <f>IF($E1974="","",MAX($C1974-$D1974,ABS($C1974-$E1973),ABS($D1974-$E1973)))</f>
        <v>0</v>
      </c>
      <c r="AD1974">
        <f>IF(COUNT($E$2:$E1974)&lt;15,"",AVERAGE($AC$1961:$AC$1974))</f>
        <v>0</v>
      </c>
      <c r="AE1974">
        <f>IF(OR($E1974="",$E1973=""),"",IF(AND(($C1974-$C1973)&gt;($D1973-$D1974),($C1974-$C1973)&gt;0),$C1974-$C1973,0))</f>
        <v>0</v>
      </c>
      <c r="AF1974">
        <f>IF(OR($E1974="",$E1973=""),"",IF(AND(($D1973-$D1974)&gt;($C1974-$C1973),($D1973-$D1974)&gt;0),$D1973-$D1974,0))</f>
        <v>0</v>
      </c>
      <c r="AG1974">
        <f>IF(COUNT($E$2:$E1974)&lt;15,"",IF(SUM($AC$1961:$AC$1974)=0,0,100*SUM($AE$1961:$AE$1974)/SUM($AC$1961:$AC$1974)))</f>
        <v>0</v>
      </c>
      <c r="AH1974">
        <f>IF(COUNT($E$2:$E1974)&lt;15,"",IF(SUM($AC$1961:$AC$1974)=0,0,100*SUM($AF$1961:$AF$1974)/SUM($AC$1961:$AC$1974)))</f>
        <v>0</v>
      </c>
      <c r="AI1974">
        <f>IF(OR(AG1974="",AH1974=""),"",IF((AG1974+AH1974)=0,0,100*ABS(AG1974-AH1974)/(AG1974+AH1974)))</f>
        <v>0</v>
      </c>
      <c r="AJ1974">
        <f>IF(COUNT($AI$1961:$AI$1974)&lt;14,"",AVERAGE($AI$1961:$AI$1974))</f>
        <v>0</v>
      </c>
      <c r="AK1974">
        <f>IF(COUNT($E$2:$E1974)&lt;20,"",AVERAGE($E$1955:$E$1974))</f>
        <v>0</v>
      </c>
      <c r="AL1974">
        <f>IF(COUNT($E$2:$E1974)&lt;20,"",STDEVP($E$1955:$E$1974))</f>
        <v>0</v>
      </c>
      <c r="AM1974">
        <f>IF(AK1974="","",AK1974+2*AL1974)</f>
        <v>0</v>
      </c>
      <c r="AN1974">
        <f>IF(AK1974="","",AK1974-2*AL1974)</f>
        <v>0</v>
      </c>
      <c r="AO1974">
        <f>IF(OR(AM1974="",AN1974="",AM1974=AN1974),"",($E1974-AN1974)/(AM1974-AN1974))</f>
        <v>0</v>
      </c>
      <c r="AP1974">
        <f>IF(OR(AM1974="",AK1974="",AK1974=0),"",(AM1974-AN1974)/AK1974)</f>
        <v>0</v>
      </c>
      <c r="AQ1974">
        <f>IF(COUNT($E$2:$E1974)&lt;20,"",MAX($C$1955:$C$1974))</f>
        <v>0</v>
      </c>
      <c r="AR1974">
        <f>IF(COUNT($E$2:$E1974)&lt;20,"",MIN($D$1955:$D$1974))</f>
        <v>0</v>
      </c>
      <c r="AS1974">
        <f>IF(OR(AQ1974="",AR1974=""),"",(AQ1974+AR1974)/2)</f>
        <v>0</v>
      </c>
      <c r="AT1974">
        <f>IF(COUNT($G$1955:$G$1974)&lt;20,"",STDEV($G$1955:$G$1974)*SQRT(252))</f>
        <v>0</v>
      </c>
      <c r="AU1974">
        <f>IF(COUNT($E$2:$E1974)&lt;9,"",(MAX($C$1966:$C$1974)+MIN($D$1966:$D$1974))/2)</f>
        <v>0</v>
      </c>
      <c r="AV1974">
        <f>IF(COUNT($E$2:$E1974)&lt;26,"",(MAX($C$1949:$C$1974)+MIN($D$1949:$D$1974))/2)</f>
        <v>0</v>
      </c>
      <c r="AW1974">
        <f>IF(OR(AU1974="",AV1974=""),"",(AU1974+AV1974)/2)</f>
        <v>0</v>
      </c>
      <c r="AX1974">
        <f>IF(COUNT($E$2:$E1974)&lt;52,"",(MAX($C$1923:$C$1974)+MIN($D$1923:$D$1974))/2)</f>
        <v>0</v>
      </c>
      <c r="AY1974">
        <f>IF(COUNT($E$2:$E1974)&lt;20,"",MAX($C$1875:$C$1974))</f>
        <v>0</v>
      </c>
      <c r="AZ1974">
        <f>IF(COUNT($E$2:$E1974)&lt;20,"",MIN($D$1875:$D$1974))</f>
        <v>0</v>
      </c>
      <c r="BA1974">
        <f>IF(COUNT($E$2:$E1974)&lt;20,"",SLOPE($E$1875:$E$1974,$F$1875:$F$1974))</f>
        <v>0</v>
      </c>
      <c r="BB1974">
        <f>IF(COUNT($E$2:$E1974)&lt;20,"",INTERCEPT($E$1875:$E$1974,$F$1875:$F$1974))</f>
        <v>0</v>
      </c>
      <c r="BC1974">
        <f>IF(OR(BA1974="",BB1974=""),"",BB1974+BA1974*F1974)</f>
        <v>0</v>
      </c>
      <c r="BD1974">
        <f>IF(COUNT($E$2:$E1974)&lt;20,"",STEYX($E$1875:$E$1974,$F$1875:$F$1974))</f>
        <v>0</v>
      </c>
      <c r="BE1974">
        <f>IF($E1974="","",IF(AND(COUNT($E$1975:$E$1978)&gt;=4,$C1974=MAX($C$1970:$C$1978)),$C1974,""))</f>
        <v>0</v>
      </c>
      <c r="BF1974">
        <f>IF($E1974="","",IF(AND(COUNT($E$1975:$E$1978)&gt;=4,$D1974=MIN($D$1970:$D$1978)),$D1974,""))</f>
        <v>0</v>
      </c>
      <c r="BG1974">
        <f>IF($A1974="","",$A1974-WEEKDAY($A1974,2)+1)</f>
        <v>0</v>
      </c>
      <c r="BH1974">
        <f>IF($A1974="","",IF($A1973="",1,IF(BG1974&lt;&gt;BG1973,1,0)))</f>
        <v>0</v>
      </c>
      <c r="BI1974">
        <f>IF($A1974="","",IF($A1975="",1,IF(BG1975&lt;&gt;BG1974,1,0)))</f>
        <v>0</v>
      </c>
      <c r="BJ1974">
        <f>IF($A1974="","",IF(BH1974=1,$B1974,BJ1973))</f>
        <v>0</v>
      </c>
      <c r="BK1974">
        <f>IF($A1974="","",IF(BH1974=1,$C1974,MAX($C1974,BK1973)))</f>
        <v>0</v>
      </c>
      <c r="BL1974">
        <f>IF($A1974="","",IF(BH1974=1,$D1974,MIN($D1974,BL1973)))</f>
        <v>0</v>
      </c>
      <c r="BM1974">
        <f>IF($A1974="","",IF(BI1974=1,F1974,""))</f>
        <v>0</v>
      </c>
      <c r="BN1974">
        <f>IF($A1974="","",DATE(YEAR($A1974),MONTH($A1974),1))</f>
        <v>0</v>
      </c>
      <c r="BO1974">
        <f>IF($A1974="","",IF($A1973="",1,IF(BN1974&lt;&gt;BN1973,1,0)))</f>
        <v>0</v>
      </c>
      <c r="BP1974">
        <f>IF($A1974="","",IF($A1975="",1,IF(BN1975&lt;&gt;BN1974,1,0)))</f>
        <v>0</v>
      </c>
      <c r="BQ1974">
        <f>IF($A1974="","",IF(BO1974=1,$B1974,BQ1973))</f>
        <v>0</v>
      </c>
      <c r="BR1974">
        <f>IF($A1974="","",IF(BO1974=1,$C1974,MAX($C1974,BR1973)))</f>
        <v>0</v>
      </c>
      <c r="BS1974">
        <f>IF($A1974="","",IF(BO1974=1,$D1974,MIN($D1974,BS1973)))</f>
        <v>0</v>
      </c>
      <c r="BT1974">
        <f>IF($A1974="","",IF(BP1974=1,F1974,""))</f>
        <v>0</v>
      </c>
    </row>
    <row r="1975" spans="1:72">
      <c r="A1975" s="27">
        <f>IF(Data!$A1975="","",Data!$A1975)</f>
        <v>0</v>
      </c>
      <c r="B1975">
        <f>IF(Data!$B1975="","",Data!$B1975)</f>
        <v>0</v>
      </c>
      <c r="C1975">
        <f>IF(Data!$C1975="","",Data!$C1975)</f>
        <v>0</v>
      </c>
      <c r="D1975">
        <f>IF(Data!$D1975="","",Data!$D1975)</f>
        <v>0</v>
      </c>
      <c r="E1975">
        <f>IF(Data!$E1975="","",Data!$E1975)</f>
        <v>0</v>
      </c>
      <c r="F1975">
        <f>IF($E1975="","",N(F1974)+1)</f>
        <v>0</v>
      </c>
      <c r="G1975">
        <f>IF(OR($E1975="",$E1974=""),"",LN($E1975/$E1974))</f>
        <v>0</v>
      </c>
      <c r="H1975">
        <f>IF($E1975="","",IF($E1974="",$E1975,$E1975*0.0952380952+H1974*0.9047619048))</f>
        <v>0</v>
      </c>
      <c r="I1975">
        <f>IF($E1975="","",IF($E1974="",$E1975,$E1975*0.0392156863+I1974*0.9607843137))</f>
        <v>0</v>
      </c>
      <c r="J1975">
        <f>IF($E1975="","",IF($E1974="",$E1975,$E1975*0.0198019802+J1974*0.9801980198))</f>
        <v>0</v>
      </c>
      <c r="K1975">
        <f>IF($E1975="","",IF($E1974="",$E1975,$E1975*0.0099502488+K1974*0.9900497512))</f>
        <v>0</v>
      </c>
      <c r="L1975">
        <f>IF(OR($E1975="",$E1974=""),"",MAX($E1975-$E1974,0))</f>
        <v>0</v>
      </c>
      <c r="M1975">
        <f>IF(OR($E1975="",$E1974=""),"",MAX($E1974-$E1975,0))</f>
        <v>0</v>
      </c>
      <c r="N1975">
        <f>IF(COUNT($E$2:$E1975)&lt;15,"",IF(AVERAGE($M$1962:$M$1975)=0,100,100-100/(1+AVERAGE($L$1962:$L$1975)/AVERAGE($M$1962:$M$1975))))</f>
        <v>0</v>
      </c>
      <c r="O1975">
        <f>IF($E1975="","",IF($E1974="",$E1975,$E1975*0.1538461538+O1974*0.8461538462))</f>
        <v>0</v>
      </c>
      <c r="P1975">
        <f>IF($E1975="","",IF($E1974="",$E1975,$E1975*0.0740740741+P1974*0.9259259259))</f>
        <v>0</v>
      </c>
      <c r="Q1975">
        <f>IF(OR(O1975="",P1975=""),"",O1975-P1975)</f>
        <v>0</v>
      </c>
      <c r="R1975">
        <f>IF(Q1975="","",IF(R1974="",Q1975,Q1975*0.2000000000+R1974*0.8000000000))</f>
        <v>0</v>
      </c>
      <c r="S1975">
        <f>IF(OR(Q1975="",R1975=""),"",Q1975-R1975)</f>
        <v>0</v>
      </c>
      <c r="T1975">
        <f>IF(COUNT($E$2:$E1975)&lt;14,"",MAX($C$1962:$C$1975))</f>
        <v>0</v>
      </c>
      <c r="U1975">
        <f>IF(COUNT($E$2:$E1975)&lt;14,"",MIN($D$1962:$D$1975))</f>
        <v>0</v>
      </c>
      <c r="V1975">
        <f>IF(OR(T1975="",U1975="",T1975=U1975),"",100*($E1975-U1975)/(T1975-U1975))</f>
        <v>0</v>
      </c>
      <c r="W1975">
        <f>IF(COUNT($V$1973:$V$1975)&lt;3,"",AVERAGE($V$1973:$V$1975))</f>
        <v>0</v>
      </c>
      <c r="X1975">
        <f>IF(COUNT($N$1962:$N$1975)&lt;14,"",MIN($N$1962:$N$1975))</f>
        <v>0</v>
      </c>
      <c r="Y1975">
        <f>IF(COUNT($N$1962:$N$1975)&lt;14,"",MAX($N$1962:$N$1975))</f>
        <v>0</v>
      </c>
      <c r="Z1975">
        <f>IF(OR(N1975="",X1975="",Y1975="",Y1975=X1975),"",100*(N1975-X1975)/(Y1975-X1975))</f>
        <v>0</v>
      </c>
      <c r="AA1975">
        <f>IF(COUNT($Z$1973:$Z$1975)&lt;3,"",AVERAGE($Z$1973:$Z$1975))</f>
        <v>0</v>
      </c>
      <c r="AB1975">
        <f>IF(COUNT($AA$1973:$AA$1975)&lt;3,"",AVERAGE($AA$1973:$AA$1975))</f>
        <v>0</v>
      </c>
      <c r="AC1975">
        <f>IF($E1975="","",MAX($C1975-$D1975,ABS($C1975-$E1974),ABS($D1975-$E1974)))</f>
        <v>0</v>
      </c>
      <c r="AD1975">
        <f>IF(COUNT($E$2:$E1975)&lt;15,"",AVERAGE($AC$1962:$AC$1975))</f>
        <v>0</v>
      </c>
      <c r="AE1975">
        <f>IF(OR($E1975="",$E1974=""),"",IF(AND(($C1975-$C1974)&gt;($D1974-$D1975),($C1975-$C1974)&gt;0),$C1975-$C1974,0))</f>
        <v>0</v>
      </c>
      <c r="AF1975">
        <f>IF(OR($E1975="",$E1974=""),"",IF(AND(($D1974-$D1975)&gt;($C1975-$C1974),($D1974-$D1975)&gt;0),$D1974-$D1975,0))</f>
        <v>0</v>
      </c>
      <c r="AG1975">
        <f>IF(COUNT($E$2:$E1975)&lt;15,"",IF(SUM($AC$1962:$AC$1975)=0,0,100*SUM($AE$1962:$AE$1975)/SUM($AC$1962:$AC$1975)))</f>
        <v>0</v>
      </c>
      <c r="AH1975">
        <f>IF(COUNT($E$2:$E1975)&lt;15,"",IF(SUM($AC$1962:$AC$1975)=0,0,100*SUM($AF$1962:$AF$1975)/SUM($AC$1962:$AC$1975)))</f>
        <v>0</v>
      </c>
      <c r="AI1975">
        <f>IF(OR(AG1975="",AH1975=""),"",IF((AG1975+AH1975)=0,0,100*ABS(AG1975-AH1975)/(AG1975+AH1975)))</f>
        <v>0</v>
      </c>
      <c r="AJ1975">
        <f>IF(COUNT($AI$1962:$AI$1975)&lt;14,"",AVERAGE($AI$1962:$AI$1975))</f>
        <v>0</v>
      </c>
      <c r="AK1975">
        <f>IF(COUNT($E$2:$E1975)&lt;20,"",AVERAGE($E$1956:$E$1975))</f>
        <v>0</v>
      </c>
      <c r="AL1975">
        <f>IF(COUNT($E$2:$E1975)&lt;20,"",STDEVP($E$1956:$E$1975))</f>
        <v>0</v>
      </c>
      <c r="AM1975">
        <f>IF(AK1975="","",AK1975+2*AL1975)</f>
        <v>0</v>
      </c>
      <c r="AN1975">
        <f>IF(AK1975="","",AK1975-2*AL1975)</f>
        <v>0</v>
      </c>
      <c r="AO1975">
        <f>IF(OR(AM1975="",AN1975="",AM1975=AN1975),"",($E1975-AN1975)/(AM1975-AN1975))</f>
        <v>0</v>
      </c>
      <c r="AP1975">
        <f>IF(OR(AM1975="",AK1975="",AK1975=0),"",(AM1975-AN1975)/AK1975)</f>
        <v>0</v>
      </c>
      <c r="AQ1975">
        <f>IF(COUNT($E$2:$E1975)&lt;20,"",MAX($C$1956:$C$1975))</f>
        <v>0</v>
      </c>
      <c r="AR1975">
        <f>IF(COUNT($E$2:$E1975)&lt;20,"",MIN($D$1956:$D$1975))</f>
        <v>0</v>
      </c>
      <c r="AS1975">
        <f>IF(OR(AQ1975="",AR1975=""),"",(AQ1975+AR1975)/2)</f>
        <v>0</v>
      </c>
      <c r="AT1975">
        <f>IF(COUNT($G$1956:$G$1975)&lt;20,"",STDEV($G$1956:$G$1975)*SQRT(252))</f>
        <v>0</v>
      </c>
      <c r="AU1975">
        <f>IF(COUNT($E$2:$E1975)&lt;9,"",(MAX($C$1967:$C$1975)+MIN($D$1967:$D$1975))/2)</f>
        <v>0</v>
      </c>
      <c r="AV1975">
        <f>IF(COUNT($E$2:$E1975)&lt;26,"",(MAX($C$1950:$C$1975)+MIN($D$1950:$D$1975))/2)</f>
        <v>0</v>
      </c>
      <c r="AW1975">
        <f>IF(OR(AU1975="",AV1975=""),"",(AU1975+AV1975)/2)</f>
        <v>0</v>
      </c>
      <c r="AX1975">
        <f>IF(COUNT($E$2:$E1975)&lt;52,"",(MAX($C$1924:$C$1975)+MIN($D$1924:$D$1975))/2)</f>
        <v>0</v>
      </c>
      <c r="AY1975">
        <f>IF(COUNT($E$2:$E1975)&lt;20,"",MAX($C$1876:$C$1975))</f>
        <v>0</v>
      </c>
      <c r="AZ1975">
        <f>IF(COUNT($E$2:$E1975)&lt;20,"",MIN($D$1876:$D$1975))</f>
        <v>0</v>
      </c>
      <c r="BA1975">
        <f>IF(COUNT($E$2:$E1975)&lt;20,"",SLOPE($E$1876:$E$1975,$F$1876:$F$1975))</f>
        <v>0</v>
      </c>
      <c r="BB1975">
        <f>IF(COUNT($E$2:$E1975)&lt;20,"",INTERCEPT($E$1876:$E$1975,$F$1876:$F$1975))</f>
        <v>0</v>
      </c>
      <c r="BC1975">
        <f>IF(OR(BA1975="",BB1975=""),"",BB1975+BA1975*F1975)</f>
        <v>0</v>
      </c>
      <c r="BD1975">
        <f>IF(COUNT($E$2:$E1975)&lt;20,"",STEYX($E$1876:$E$1975,$F$1876:$F$1975))</f>
        <v>0</v>
      </c>
      <c r="BE1975">
        <f>IF($E1975="","",IF(AND(COUNT($E$1976:$E$1979)&gt;=4,$C1975=MAX($C$1971:$C$1979)),$C1975,""))</f>
        <v>0</v>
      </c>
      <c r="BF1975">
        <f>IF($E1975="","",IF(AND(COUNT($E$1976:$E$1979)&gt;=4,$D1975=MIN($D$1971:$D$1979)),$D1975,""))</f>
        <v>0</v>
      </c>
      <c r="BG1975">
        <f>IF($A1975="","",$A1975-WEEKDAY($A1975,2)+1)</f>
        <v>0</v>
      </c>
      <c r="BH1975">
        <f>IF($A1975="","",IF($A1974="",1,IF(BG1975&lt;&gt;BG1974,1,0)))</f>
        <v>0</v>
      </c>
      <c r="BI1975">
        <f>IF($A1975="","",IF($A1976="",1,IF(BG1976&lt;&gt;BG1975,1,0)))</f>
        <v>0</v>
      </c>
      <c r="BJ1975">
        <f>IF($A1975="","",IF(BH1975=1,$B1975,BJ1974))</f>
        <v>0</v>
      </c>
      <c r="BK1975">
        <f>IF($A1975="","",IF(BH1975=1,$C1975,MAX($C1975,BK1974)))</f>
        <v>0</v>
      </c>
      <c r="BL1975">
        <f>IF($A1975="","",IF(BH1975=1,$D1975,MIN($D1975,BL1974)))</f>
        <v>0</v>
      </c>
      <c r="BM1975">
        <f>IF($A1975="","",IF(BI1975=1,F1975,""))</f>
        <v>0</v>
      </c>
      <c r="BN1975">
        <f>IF($A1975="","",DATE(YEAR($A1975),MONTH($A1975),1))</f>
        <v>0</v>
      </c>
      <c r="BO1975">
        <f>IF($A1975="","",IF($A1974="",1,IF(BN1975&lt;&gt;BN1974,1,0)))</f>
        <v>0</v>
      </c>
      <c r="BP1975">
        <f>IF($A1975="","",IF($A1976="",1,IF(BN1976&lt;&gt;BN1975,1,0)))</f>
        <v>0</v>
      </c>
      <c r="BQ1975">
        <f>IF($A1975="","",IF(BO1975=1,$B1975,BQ1974))</f>
        <v>0</v>
      </c>
      <c r="BR1975">
        <f>IF($A1975="","",IF(BO1975=1,$C1975,MAX($C1975,BR1974)))</f>
        <v>0</v>
      </c>
      <c r="BS1975">
        <f>IF($A1975="","",IF(BO1975=1,$D1975,MIN($D1975,BS1974)))</f>
        <v>0</v>
      </c>
      <c r="BT1975">
        <f>IF($A1975="","",IF(BP1975=1,F1975,""))</f>
        <v>0</v>
      </c>
    </row>
    <row r="1976" spans="1:72">
      <c r="A1976" s="27">
        <f>IF(Data!$A1976="","",Data!$A1976)</f>
        <v>0</v>
      </c>
      <c r="B1976">
        <f>IF(Data!$B1976="","",Data!$B1976)</f>
        <v>0</v>
      </c>
      <c r="C1976">
        <f>IF(Data!$C1976="","",Data!$C1976)</f>
        <v>0</v>
      </c>
      <c r="D1976">
        <f>IF(Data!$D1976="","",Data!$D1976)</f>
        <v>0</v>
      </c>
      <c r="E1976">
        <f>IF(Data!$E1976="","",Data!$E1976)</f>
        <v>0</v>
      </c>
      <c r="F1976">
        <f>IF($E1976="","",N(F1975)+1)</f>
        <v>0</v>
      </c>
      <c r="G1976">
        <f>IF(OR($E1976="",$E1975=""),"",LN($E1976/$E1975))</f>
        <v>0</v>
      </c>
      <c r="H1976">
        <f>IF($E1976="","",IF($E1975="",$E1976,$E1976*0.0952380952+H1975*0.9047619048))</f>
        <v>0</v>
      </c>
      <c r="I1976">
        <f>IF($E1976="","",IF($E1975="",$E1976,$E1976*0.0392156863+I1975*0.9607843137))</f>
        <v>0</v>
      </c>
      <c r="J1976">
        <f>IF($E1976="","",IF($E1975="",$E1976,$E1976*0.0198019802+J1975*0.9801980198))</f>
        <v>0</v>
      </c>
      <c r="K1976">
        <f>IF($E1976="","",IF($E1975="",$E1976,$E1976*0.0099502488+K1975*0.9900497512))</f>
        <v>0</v>
      </c>
      <c r="L1976">
        <f>IF(OR($E1976="",$E1975=""),"",MAX($E1976-$E1975,0))</f>
        <v>0</v>
      </c>
      <c r="M1976">
        <f>IF(OR($E1976="",$E1975=""),"",MAX($E1975-$E1976,0))</f>
        <v>0</v>
      </c>
      <c r="N1976">
        <f>IF(COUNT($E$2:$E1976)&lt;15,"",IF(AVERAGE($M$1963:$M$1976)=0,100,100-100/(1+AVERAGE($L$1963:$L$1976)/AVERAGE($M$1963:$M$1976))))</f>
        <v>0</v>
      </c>
      <c r="O1976">
        <f>IF($E1976="","",IF($E1975="",$E1976,$E1976*0.1538461538+O1975*0.8461538462))</f>
        <v>0</v>
      </c>
      <c r="P1976">
        <f>IF($E1976="","",IF($E1975="",$E1976,$E1976*0.0740740741+P1975*0.9259259259))</f>
        <v>0</v>
      </c>
      <c r="Q1976">
        <f>IF(OR(O1976="",P1976=""),"",O1976-P1976)</f>
        <v>0</v>
      </c>
      <c r="R1976">
        <f>IF(Q1976="","",IF(R1975="",Q1976,Q1976*0.2000000000+R1975*0.8000000000))</f>
        <v>0</v>
      </c>
      <c r="S1976">
        <f>IF(OR(Q1976="",R1976=""),"",Q1976-R1976)</f>
        <v>0</v>
      </c>
      <c r="T1976">
        <f>IF(COUNT($E$2:$E1976)&lt;14,"",MAX($C$1963:$C$1976))</f>
        <v>0</v>
      </c>
      <c r="U1976">
        <f>IF(COUNT($E$2:$E1976)&lt;14,"",MIN($D$1963:$D$1976))</f>
        <v>0</v>
      </c>
      <c r="V1976">
        <f>IF(OR(T1976="",U1976="",T1976=U1976),"",100*($E1976-U1976)/(T1976-U1976))</f>
        <v>0</v>
      </c>
      <c r="W1976">
        <f>IF(COUNT($V$1974:$V$1976)&lt;3,"",AVERAGE($V$1974:$V$1976))</f>
        <v>0</v>
      </c>
      <c r="X1976">
        <f>IF(COUNT($N$1963:$N$1976)&lt;14,"",MIN($N$1963:$N$1976))</f>
        <v>0</v>
      </c>
      <c r="Y1976">
        <f>IF(COUNT($N$1963:$N$1976)&lt;14,"",MAX($N$1963:$N$1976))</f>
        <v>0</v>
      </c>
      <c r="Z1976">
        <f>IF(OR(N1976="",X1976="",Y1976="",Y1976=X1976),"",100*(N1976-X1976)/(Y1976-X1976))</f>
        <v>0</v>
      </c>
      <c r="AA1976">
        <f>IF(COUNT($Z$1974:$Z$1976)&lt;3,"",AVERAGE($Z$1974:$Z$1976))</f>
        <v>0</v>
      </c>
      <c r="AB1976">
        <f>IF(COUNT($AA$1974:$AA$1976)&lt;3,"",AVERAGE($AA$1974:$AA$1976))</f>
        <v>0</v>
      </c>
      <c r="AC1976">
        <f>IF($E1976="","",MAX($C1976-$D1976,ABS($C1976-$E1975),ABS($D1976-$E1975)))</f>
        <v>0</v>
      </c>
      <c r="AD1976">
        <f>IF(COUNT($E$2:$E1976)&lt;15,"",AVERAGE($AC$1963:$AC$1976))</f>
        <v>0</v>
      </c>
      <c r="AE1976">
        <f>IF(OR($E1976="",$E1975=""),"",IF(AND(($C1976-$C1975)&gt;($D1975-$D1976),($C1976-$C1975)&gt;0),$C1976-$C1975,0))</f>
        <v>0</v>
      </c>
      <c r="AF1976">
        <f>IF(OR($E1976="",$E1975=""),"",IF(AND(($D1975-$D1976)&gt;($C1976-$C1975),($D1975-$D1976)&gt;0),$D1975-$D1976,0))</f>
        <v>0</v>
      </c>
      <c r="AG1976">
        <f>IF(COUNT($E$2:$E1976)&lt;15,"",IF(SUM($AC$1963:$AC$1976)=0,0,100*SUM($AE$1963:$AE$1976)/SUM($AC$1963:$AC$1976)))</f>
        <v>0</v>
      </c>
      <c r="AH1976">
        <f>IF(COUNT($E$2:$E1976)&lt;15,"",IF(SUM($AC$1963:$AC$1976)=0,0,100*SUM($AF$1963:$AF$1976)/SUM($AC$1963:$AC$1976)))</f>
        <v>0</v>
      </c>
      <c r="AI1976">
        <f>IF(OR(AG1976="",AH1976=""),"",IF((AG1976+AH1976)=0,0,100*ABS(AG1976-AH1976)/(AG1976+AH1976)))</f>
        <v>0</v>
      </c>
      <c r="AJ1976">
        <f>IF(COUNT($AI$1963:$AI$1976)&lt;14,"",AVERAGE($AI$1963:$AI$1976))</f>
        <v>0</v>
      </c>
      <c r="AK1976">
        <f>IF(COUNT($E$2:$E1976)&lt;20,"",AVERAGE($E$1957:$E$1976))</f>
        <v>0</v>
      </c>
      <c r="AL1976">
        <f>IF(COUNT($E$2:$E1976)&lt;20,"",STDEVP($E$1957:$E$1976))</f>
        <v>0</v>
      </c>
      <c r="AM1976">
        <f>IF(AK1976="","",AK1976+2*AL1976)</f>
        <v>0</v>
      </c>
      <c r="AN1976">
        <f>IF(AK1976="","",AK1976-2*AL1976)</f>
        <v>0</v>
      </c>
      <c r="AO1976">
        <f>IF(OR(AM1976="",AN1976="",AM1976=AN1976),"",($E1976-AN1976)/(AM1976-AN1976))</f>
        <v>0</v>
      </c>
      <c r="AP1976">
        <f>IF(OR(AM1976="",AK1976="",AK1976=0),"",(AM1976-AN1976)/AK1976)</f>
        <v>0</v>
      </c>
      <c r="AQ1976">
        <f>IF(COUNT($E$2:$E1976)&lt;20,"",MAX($C$1957:$C$1976))</f>
        <v>0</v>
      </c>
      <c r="AR1976">
        <f>IF(COUNT($E$2:$E1976)&lt;20,"",MIN($D$1957:$D$1976))</f>
        <v>0</v>
      </c>
      <c r="AS1976">
        <f>IF(OR(AQ1976="",AR1976=""),"",(AQ1976+AR1976)/2)</f>
        <v>0</v>
      </c>
      <c r="AT1976">
        <f>IF(COUNT($G$1957:$G$1976)&lt;20,"",STDEV($G$1957:$G$1976)*SQRT(252))</f>
        <v>0</v>
      </c>
      <c r="AU1976">
        <f>IF(COUNT($E$2:$E1976)&lt;9,"",(MAX($C$1968:$C$1976)+MIN($D$1968:$D$1976))/2)</f>
        <v>0</v>
      </c>
      <c r="AV1976">
        <f>IF(COUNT($E$2:$E1976)&lt;26,"",(MAX($C$1951:$C$1976)+MIN($D$1951:$D$1976))/2)</f>
        <v>0</v>
      </c>
      <c r="AW1976">
        <f>IF(OR(AU1976="",AV1976=""),"",(AU1976+AV1976)/2)</f>
        <v>0</v>
      </c>
      <c r="AX1976">
        <f>IF(COUNT($E$2:$E1976)&lt;52,"",(MAX($C$1925:$C$1976)+MIN($D$1925:$D$1976))/2)</f>
        <v>0</v>
      </c>
      <c r="AY1976">
        <f>IF(COUNT($E$2:$E1976)&lt;20,"",MAX($C$1877:$C$1976))</f>
        <v>0</v>
      </c>
      <c r="AZ1976">
        <f>IF(COUNT($E$2:$E1976)&lt;20,"",MIN($D$1877:$D$1976))</f>
        <v>0</v>
      </c>
      <c r="BA1976">
        <f>IF(COUNT($E$2:$E1976)&lt;20,"",SLOPE($E$1877:$E$1976,$F$1877:$F$1976))</f>
        <v>0</v>
      </c>
      <c r="BB1976">
        <f>IF(COUNT($E$2:$E1976)&lt;20,"",INTERCEPT($E$1877:$E$1976,$F$1877:$F$1976))</f>
        <v>0</v>
      </c>
      <c r="BC1976">
        <f>IF(OR(BA1976="",BB1976=""),"",BB1976+BA1976*F1976)</f>
        <v>0</v>
      </c>
      <c r="BD1976">
        <f>IF(COUNT($E$2:$E1976)&lt;20,"",STEYX($E$1877:$E$1976,$F$1877:$F$1976))</f>
        <v>0</v>
      </c>
      <c r="BE1976">
        <f>IF($E1976="","",IF(AND(COUNT($E$1977:$E$1980)&gt;=4,$C1976=MAX($C$1972:$C$1980)),$C1976,""))</f>
        <v>0</v>
      </c>
      <c r="BF1976">
        <f>IF($E1976="","",IF(AND(COUNT($E$1977:$E$1980)&gt;=4,$D1976=MIN($D$1972:$D$1980)),$D1976,""))</f>
        <v>0</v>
      </c>
      <c r="BG1976">
        <f>IF($A1976="","",$A1976-WEEKDAY($A1976,2)+1)</f>
        <v>0</v>
      </c>
      <c r="BH1976">
        <f>IF($A1976="","",IF($A1975="",1,IF(BG1976&lt;&gt;BG1975,1,0)))</f>
        <v>0</v>
      </c>
      <c r="BI1976">
        <f>IF($A1976="","",IF($A1977="",1,IF(BG1977&lt;&gt;BG1976,1,0)))</f>
        <v>0</v>
      </c>
      <c r="BJ1976">
        <f>IF($A1976="","",IF(BH1976=1,$B1976,BJ1975))</f>
        <v>0</v>
      </c>
      <c r="BK1976">
        <f>IF($A1976="","",IF(BH1976=1,$C1976,MAX($C1976,BK1975)))</f>
        <v>0</v>
      </c>
      <c r="BL1976">
        <f>IF($A1976="","",IF(BH1976=1,$D1976,MIN($D1976,BL1975)))</f>
        <v>0</v>
      </c>
      <c r="BM1976">
        <f>IF($A1976="","",IF(BI1976=1,F1976,""))</f>
        <v>0</v>
      </c>
      <c r="BN1976">
        <f>IF($A1976="","",DATE(YEAR($A1976),MONTH($A1976),1))</f>
        <v>0</v>
      </c>
      <c r="BO1976">
        <f>IF($A1976="","",IF($A1975="",1,IF(BN1976&lt;&gt;BN1975,1,0)))</f>
        <v>0</v>
      </c>
      <c r="BP1976">
        <f>IF($A1976="","",IF($A1977="",1,IF(BN1977&lt;&gt;BN1976,1,0)))</f>
        <v>0</v>
      </c>
      <c r="BQ1976">
        <f>IF($A1976="","",IF(BO1976=1,$B1976,BQ1975))</f>
        <v>0</v>
      </c>
      <c r="BR1976">
        <f>IF($A1976="","",IF(BO1976=1,$C1976,MAX($C1976,BR1975)))</f>
        <v>0</v>
      </c>
      <c r="BS1976">
        <f>IF($A1976="","",IF(BO1976=1,$D1976,MIN($D1976,BS1975)))</f>
        <v>0</v>
      </c>
      <c r="BT1976">
        <f>IF($A1976="","",IF(BP1976=1,F1976,""))</f>
        <v>0</v>
      </c>
    </row>
    <row r="1977" spans="1:72">
      <c r="A1977" s="27">
        <f>IF(Data!$A1977="","",Data!$A1977)</f>
        <v>0</v>
      </c>
      <c r="B1977">
        <f>IF(Data!$B1977="","",Data!$B1977)</f>
        <v>0</v>
      </c>
      <c r="C1977">
        <f>IF(Data!$C1977="","",Data!$C1977)</f>
        <v>0</v>
      </c>
      <c r="D1977">
        <f>IF(Data!$D1977="","",Data!$D1977)</f>
        <v>0</v>
      </c>
      <c r="E1977">
        <f>IF(Data!$E1977="","",Data!$E1977)</f>
        <v>0</v>
      </c>
      <c r="F1977">
        <f>IF($E1977="","",N(F1976)+1)</f>
        <v>0</v>
      </c>
      <c r="G1977">
        <f>IF(OR($E1977="",$E1976=""),"",LN($E1977/$E1976))</f>
        <v>0</v>
      </c>
      <c r="H1977">
        <f>IF($E1977="","",IF($E1976="",$E1977,$E1977*0.0952380952+H1976*0.9047619048))</f>
        <v>0</v>
      </c>
      <c r="I1977">
        <f>IF($E1977="","",IF($E1976="",$E1977,$E1977*0.0392156863+I1976*0.9607843137))</f>
        <v>0</v>
      </c>
      <c r="J1977">
        <f>IF($E1977="","",IF($E1976="",$E1977,$E1977*0.0198019802+J1976*0.9801980198))</f>
        <v>0</v>
      </c>
      <c r="K1977">
        <f>IF($E1977="","",IF($E1976="",$E1977,$E1977*0.0099502488+K1976*0.9900497512))</f>
        <v>0</v>
      </c>
      <c r="L1977">
        <f>IF(OR($E1977="",$E1976=""),"",MAX($E1977-$E1976,0))</f>
        <v>0</v>
      </c>
      <c r="M1977">
        <f>IF(OR($E1977="",$E1976=""),"",MAX($E1976-$E1977,0))</f>
        <v>0</v>
      </c>
      <c r="N1977">
        <f>IF(COUNT($E$2:$E1977)&lt;15,"",IF(AVERAGE($M$1964:$M$1977)=0,100,100-100/(1+AVERAGE($L$1964:$L$1977)/AVERAGE($M$1964:$M$1977))))</f>
        <v>0</v>
      </c>
      <c r="O1977">
        <f>IF($E1977="","",IF($E1976="",$E1977,$E1977*0.1538461538+O1976*0.8461538462))</f>
        <v>0</v>
      </c>
      <c r="P1977">
        <f>IF($E1977="","",IF($E1976="",$E1977,$E1977*0.0740740741+P1976*0.9259259259))</f>
        <v>0</v>
      </c>
      <c r="Q1977">
        <f>IF(OR(O1977="",P1977=""),"",O1977-P1977)</f>
        <v>0</v>
      </c>
      <c r="R1977">
        <f>IF(Q1977="","",IF(R1976="",Q1977,Q1977*0.2000000000+R1976*0.8000000000))</f>
        <v>0</v>
      </c>
      <c r="S1977">
        <f>IF(OR(Q1977="",R1977=""),"",Q1977-R1977)</f>
        <v>0</v>
      </c>
      <c r="T1977">
        <f>IF(COUNT($E$2:$E1977)&lt;14,"",MAX($C$1964:$C$1977))</f>
        <v>0</v>
      </c>
      <c r="U1977">
        <f>IF(COUNT($E$2:$E1977)&lt;14,"",MIN($D$1964:$D$1977))</f>
        <v>0</v>
      </c>
      <c r="V1977">
        <f>IF(OR(T1977="",U1977="",T1977=U1977),"",100*($E1977-U1977)/(T1977-U1977))</f>
        <v>0</v>
      </c>
      <c r="W1977">
        <f>IF(COUNT($V$1975:$V$1977)&lt;3,"",AVERAGE($V$1975:$V$1977))</f>
        <v>0</v>
      </c>
      <c r="X1977">
        <f>IF(COUNT($N$1964:$N$1977)&lt;14,"",MIN($N$1964:$N$1977))</f>
        <v>0</v>
      </c>
      <c r="Y1977">
        <f>IF(COUNT($N$1964:$N$1977)&lt;14,"",MAX($N$1964:$N$1977))</f>
        <v>0</v>
      </c>
      <c r="Z1977">
        <f>IF(OR(N1977="",X1977="",Y1977="",Y1977=X1977),"",100*(N1977-X1977)/(Y1977-X1977))</f>
        <v>0</v>
      </c>
      <c r="AA1977">
        <f>IF(COUNT($Z$1975:$Z$1977)&lt;3,"",AVERAGE($Z$1975:$Z$1977))</f>
        <v>0</v>
      </c>
      <c r="AB1977">
        <f>IF(COUNT($AA$1975:$AA$1977)&lt;3,"",AVERAGE($AA$1975:$AA$1977))</f>
        <v>0</v>
      </c>
      <c r="AC1977">
        <f>IF($E1977="","",MAX($C1977-$D1977,ABS($C1977-$E1976),ABS($D1977-$E1976)))</f>
        <v>0</v>
      </c>
      <c r="AD1977">
        <f>IF(COUNT($E$2:$E1977)&lt;15,"",AVERAGE($AC$1964:$AC$1977))</f>
        <v>0</v>
      </c>
      <c r="AE1977">
        <f>IF(OR($E1977="",$E1976=""),"",IF(AND(($C1977-$C1976)&gt;($D1976-$D1977),($C1977-$C1976)&gt;0),$C1977-$C1976,0))</f>
        <v>0</v>
      </c>
      <c r="AF1977">
        <f>IF(OR($E1977="",$E1976=""),"",IF(AND(($D1976-$D1977)&gt;($C1977-$C1976),($D1976-$D1977)&gt;0),$D1976-$D1977,0))</f>
        <v>0</v>
      </c>
      <c r="AG1977">
        <f>IF(COUNT($E$2:$E1977)&lt;15,"",IF(SUM($AC$1964:$AC$1977)=0,0,100*SUM($AE$1964:$AE$1977)/SUM($AC$1964:$AC$1977)))</f>
        <v>0</v>
      </c>
      <c r="AH1977">
        <f>IF(COUNT($E$2:$E1977)&lt;15,"",IF(SUM($AC$1964:$AC$1977)=0,0,100*SUM($AF$1964:$AF$1977)/SUM($AC$1964:$AC$1977)))</f>
        <v>0</v>
      </c>
      <c r="AI1977">
        <f>IF(OR(AG1977="",AH1977=""),"",IF((AG1977+AH1977)=0,0,100*ABS(AG1977-AH1977)/(AG1977+AH1977)))</f>
        <v>0</v>
      </c>
      <c r="AJ1977">
        <f>IF(COUNT($AI$1964:$AI$1977)&lt;14,"",AVERAGE($AI$1964:$AI$1977))</f>
        <v>0</v>
      </c>
      <c r="AK1977">
        <f>IF(COUNT($E$2:$E1977)&lt;20,"",AVERAGE($E$1958:$E$1977))</f>
        <v>0</v>
      </c>
      <c r="AL1977">
        <f>IF(COUNT($E$2:$E1977)&lt;20,"",STDEVP($E$1958:$E$1977))</f>
        <v>0</v>
      </c>
      <c r="AM1977">
        <f>IF(AK1977="","",AK1977+2*AL1977)</f>
        <v>0</v>
      </c>
      <c r="AN1977">
        <f>IF(AK1977="","",AK1977-2*AL1977)</f>
        <v>0</v>
      </c>
      <c r="AO1977">
        <f>IF(OR(AM1977="",AN1977="",AM1977=AN1977),"",($E1977-AN1977)/(AM1977-AN1977))</f>
        <v>0</v>
      </c>
      <c r="AP1977">
        <f>IF(OR(AM1977="",AK1977="",AK1977=0),"",(AM1977-AN1977)/AK1977)</f>
        <v>0</v>
      </c>
      <c r="AQ1977">
        <f>IF(COUNT($E$2:$E1977)&lt;20,"",MAX($C$1958:$C$1977))</f>
        <v>0</v>
      </c>
      <c r="AR1977">
        <f>IF(COUNT($E$2:$E1977)&lt;20,"",MIN($D$1958:$D$1977))</f>
        <v>0</v>
      </c>
      <c r="AS1977">
        <f>IF(OR(AQ1977="",AR1977=""),"",(AQ1977+AR1977)/2)</f>
        <v>0</v>
      </c>
      <c r="AT1977">
        <f>IF(COUNT($G$1958:$G$1977)&lt;20,"",STDEV($G$1958:$G$1977)*SQRT(252))</f>
        <v>0</v>
      </c>
      <c r="AU1977">
        <f>IF(COUNT($E$2:$E1977)&lt;9,"",(MAX($C$1969:$C$1977)+MIN($D$1969:$D$1977))/2)</f>
        <v>0</v>
      </c>
      <c r="AV1977">
        <f>IF(COUNT($E$2:$E1977)&lt;26,"",(MAX($C$1952:$C$1977)+MIN($D$1952:$D$1977))/2)</f>
        <v>0</v>
      </c>
      <c r="AW1977">
        <f>IF(OR(AU1977="",AV1977=""),"",(AU1977+AV1977)/2)</f>
        <v>0</v>
      </c>
      <c r="AX1977">
        <f>IF(COUNT($E$2:$E1977)&lt;52,"",(MAX($C$1926:$C$1977)+MIN($D$1926:$D$1977))/2)</f>
        <v>0</v>
      </c>
      <c r="AY1977">
        <f>IF(COUNT($E$2:$E1977)&lt;20,"",MAX($C$1878:$C$1977))</f>
        <v>0</v>
      </c>
      <c r="AZ1977">
        <f>IF(COUNT($E$2:$E1977)&lt;20,"",MIN($D$1878:$D$1977))</f>
        <v>0</v>
      </c>
      <c r="BA1977">
        <f>IF(COUNT($E$2:$E1977)&lt;20,"",SLOPE($E$1878:$E$1977,$F$1878:$F$1977))</f>
        <v>0</v>
      </c>
      <c r="BB1977">
        <f>IF(COUNT($E$2:$E1977)&lt;20,"",INTERCEPT($E$1878:$E$1977,$F$1878:$F$1977))</f>
        <v>0</v>
      </c>
      <c r="BC1977">
        <f>IF(OR(BA1977="",BB1977=""),"",BB1977+BA1977*F1977)</f>
        <v>0</v>
      </c>
      <c r="BD1977">
        <f>IF(COUNT($E$2:$E1977)&lt;20,"",STEYX($E$1878:$E$1977,$F$1878:$F$1977))</f>
        <v>0</v>
      </c>
      <c r="BE1977">
        <f>IF($E1977="","",IF(AND(COUNT($E$1978:$E$1981)&gt;=4,$C1977=MAX($C$1973:$C$1981)),$C1977,""))</f>
        <v>0</v>
      </c>
      <c r="BF1977">
        <f>IF($E1977="","",IF(AND(COUNT($E$1978:$E$1981)&gt;=4,$D1977=MIN($D$1973:$D$1981)),$D1977,""))</f>
        <v>0</v>
      </c>
      <c r="BG1977">
        <f>IF($A1977="","",$A1977-WEEKDAY($A1977,2)+1)</f>
        <v>0</v>
      </c>
      <c r="BH1977">
        <f>IF($A1977="","",IF($A1976="",1,IF(BG1977&lt;&gt;BG1976,1,0)))</f>
        <v>0</v>
      </c>
      <c r="BI1977">
        <f>IF($A1977="","",IF($A1978="",1,IF(BG1978&lt;&gt;BG1977,1,0)))</f>
        <v>0</v>
      </c>
      <c r="BJ1977">
        <f>IF($A1977="","",IF(BH1977=1,$B1977,BJ1976))</f>
        <v>0</v>
      </c>
      <c r="BK1977">
        <f>IF($A1977="","",IF(BH1977=1,$C1977,MAX($C1977,BK1976)))</f>
        <v>0</v>
      </c>
      <c r="BL1977">
        <f>IF($A1977="","",IF(BH1977=1,$D1977,MIN($D1977,BL1976)))</f>
        <v>0</v>
      </c>
      <c r="BM1977">
        <f>IF($A1977="","",IF(BI1977=1,F1977,""))</f>
        <v>0</v>
      </c>
      <c r="BN1977">
        <f>IF($A1977="","",DATE(YEAR($A1977),MONTH($A1977),1))</f>
        <v>0</v>
      </c>
      <c r="BO1977">
        <f>IF($A1977="","",IF($A1976="",1,IF(BN1977&lt;&gt;BN1976,1,0)))</f>
        <v>0</v>
      </c>
      <c r="BP1977">
        <f>IF($A1977="","",IF($A1978="",1,IF(BN1978&lt;&gt;BN1977,1,0)))</f>
        <v>0</v>
      </c>
      <c r="BQ1977">
        <f>IF($A1977="","",IF(BO1977=1,$B1977,BQ1976))</f>
        <v>0</v>
      </c>
      <c r="BR1977">
        <f>IF($A1977="","",IF(BO1977=1,$C1977,MAX($C1977,BR1976)))</f>
        <v>0</v>
      </c>
      <c r="BS1977">
        <f>IF($A1977="","",IF(BO1977=1,$D1977,MIN($D1977,BS1976)))</f>
        <v>0</v>
      </c>
      <c r="BT1977">
        <f>IF($A1977="","",IF(BP1977=1,F1977,""))</f>
        <v>0</v>
      </c>
    </row>
    <row r="1978" spans="1:72">
      <c r="A1978" s="27">
        <f>IF(Data!$A1978="","",Data!$A1978)</f>
        <v>0</v>
      </c>
      <c r="B1978">
        <f>IF(Data!$B1978="","",Data!$B1978)</f>
        <v>0</v>
      </c>
      <c r="C1978">
        <f>IF(Data!$C1978="","",Data!$C1978)</f>
        <v>0</v>
      </c>
      <c r="D1978">
        <f>IF(Data!$D1978="","",Data!$D1978)</f>
        <v>0</v>
      </c>
      <c r="E1978">
        <f>IF(Data!$E1978="","",Data!$E1978)</f>
        <v>0</v>
      </c>
      <c r="F1978">
        <f>IF($E1978="","",N(F1977)+1)</f>
        <v>0</v>
      </c>
      <c r="G1978">
        <f>IF(OR($E1978="",$E1977=""),"",LN($E1978/$E1977))</f>
        <v>0</v>
      </c>
      <c r="H1978">
        <f>IF($E1978="","",IF($E1977="",$E1978,$E1978*0.0952380952+H1977*0.9047619048))</f>
        <v>0</v>
      </c>
      <c r="I1978">
        <f>IF($E1978="","",IF($E1977="",$E1978,$E1978*0.0392156863+I1977*0.9607843137))</f>
        <v>0</v>
      </c>
      <c r="J1978">
        <f>IF($E1978="","",IF($E1977="",$E1978,$E1978*0.0198019802+J1977*0.9801980198))</f>
        <v>0</v>
      </c>
      <c r="K1978">
        <f>IF($E1978="","",IF($E1977="",$E1978,$E1978*0.0099502488+K1977*0.9900497512))</f>
        <v>0</v>
      </c>
      <c r="L1978">
        <f>IF(OR($E1978="",$E1977=""),"",MAX($E1978-$E1977,0))</f>
        <v>0</v>
      </c>
      <c r="M1978">
        <f>IF(OR($E1978="",$E1977=""),"",MAX($E1977-$E1978,0))</f>
        <v>0</v>
      </c>
      <c r="N1978">
        <f>IF(COUNT($E$2:$E1978)&lt;15,"",IF(AVERAGE($M$1965:$M$1978)=0,100,100-100/(1+AVERAGE($L$1965:$L$1978)/AVERAGE($M$1965:$M$1978))))</f>
        <v>0</v>
      </c>
      <c r="O1978">
        <f>IF($E1978="","",IF($E1977="",$E1978,$E1978*0.1538461538+O1977*0.8461538462))</f>
        <v>0</v>
      </c>
      <c r="P1978">
        <f>IF($E1978="","",IF($E1977="",$E1978,$E1978*0.0740740741+P1977*0.9259259259))</f>
        <v>0</v>
      </c>
      <c r="Q1978">
        <f>IF(OR(O1978="",P1978=""),"",O1978-P1978)</f>
        <v>0</v>
      </c>
      <c r="R1978">
        <f>IF(Q1978="","",IF(R1977="",Q1978,Q1978*0.2000000000+R1977*0.8000000000))</f>
        <v>0</v>
      </c>
      <c r="S1978">
        <f>IF(OR(Q1978="",R1978=""),"",Q1978-R1978)</f>
        <v>0</v>
      </c>
      <c r="T1978">
        <f>IF(COUNT($E$2:$E1978)&lt;14,"",MAX($C$1965:$C$1978))</f>
        <v>0</v>
      </c>
      <c r="U1978">
        <f>IF(COUNT($E$2:$E1978)&lt;14,"",MIN($D$1965:$D$1978))</f>
        <v>0</v>
      </c>
      <c r="V1978">
        <f>IF(OR(T1978="",U1978="",T1978=U1978),"",100*($E1978-U1978)/(T1978-U1978))</f>
        <v>0</v>
      </c>
      <c r="W1978">
        <f>IF(COUNT($V$1976:$V$1978)&lt;3,"",AVERAGE($V$1976:$V$1978))</f>
        <v>0</v>
      </c>
      <c r="X1978">
        <f>IF(COUNT($N$1965:$N$1978)&lt;14,"",MIN($N$1965:$N$1978))</f>
        <v>0</v>
      </c>
      <c r="Y1978">
        <f>IF(COUNT($N$1965:$N$1978)&lt;14,"",MAX($N$1965:$N$1978))</f>
        <v>0</v>
      </c>
      <c r="Z1978">
        <f>IF(OR(N1978="",X1978="",Y1978="",Y1978=X1978),"",100*(N1978-X1978)/(Y1978-X1978))</f>
        <v>0</v>
      </c>
      <c r="AA1978">
        <f>IF(COUNT($Z$1976:$Z$1978)&lt;3,"",AVERAGE($Z$1976:$Z$1978))</f>
        <v>0</v>
      </c>
      <c r="AB1978">
        <f>IF(COUNT($AA$1976:$AA$1978)&lt;3,"",AVERAGE($AA$1976:$AA$1978))</f>
        <v>0</v>
      </c>
      <c r="AC1978">
        <f>IF($E1978="","",MAX($C1978-$D1978,ABS($C1978-$E1977),ABS($D1978-$E1977)))</f>
        <v>0</v>
      </c>
      <c r="AD1978">
        <f>IF(COUNT($E$2:$E1978)&lt;15,"",AVERAGE($AC$1965:$AC$1978))</f>
        <v>0</v>
      </c>
      <c r="AE1978">
        <f>IF(OR($E1978="",$E1977=""),"",IF(AND(($C1978-$C1977)&gt;($D1977-$D1978),($C1978-$C1977)&gt;0),$C1978-$C1977,0))</f>
        <v>0</v>
      </c>
      <c r="AF1978">
        <f>IF(OR($E1978="",$E1977=""),"",IF(AND(($D1977-$D1978)&gt;($C1978-$C1977),($D1977-$D1978)&gt;0),$D1977-$D1978,0))</f>
        <v>0</v>
      </c>
      <c r="AG1978">
        <f>IF(COUNT($E$2:$E1978)&lt;15,"",IF(SUM($AC$1965:$AC$1978)=0,0,100*SUM($AE$1965:$AE$1978)/SUM($AC$1965:$AC$1978)))</f>
        <v>0</v>
      </c>
      <c r="AH1978">
        <f>IF(COUNT($E$2:$E1978)&lt;15,"",IF(SUM($AC$1965:$AC$1978)=0,0,100*SUM($AF$1965:$AF$1978)/SUM($AC$1965:$AC$1978)))</f>
        <v>0</v>
      </c>
      <c r="AI1978">
        <f>IF(OR(AG1978="",AH1978=""),"",IF((AG1978+AH1978)=0,0,100*ABS(AG1978-AH1978)/(AG1978+AH1978)))</f>
        <v>0</v>
      </c>
      <c r="AJ1978">
        <f>IF(COUNT($AI$1965:$AI$1978)&lt;14,"",AVERAGE($AI$1965:$AI$1978))</f>
        <v>0</v>
      </c>
      <c r="AK1978">
        <f>IF(COUNT($E$2:$E1978)&lt;20,"",AVERAGE($E$1959:$E$1978))</f>
        <v>0</v>
      </c>
      <c r="AL1978">
        <f>IF(COUNT($E$2:$E1978)&lt;20,"",STDEVP($E$1959:$E$1978))</f>
        <v>0</v>
      </c>
      <c r="AM1978">
        <f>IF(AK1978="","",AK1978+2*AL1978)</f>
        <v>0</v>
      </c>
      <c r="AN1978">
        <f>IF(AK1978="","",AK1978-2*AL1978)</f>
        <v>0</v>
      </c>
      <c r="AO1978">
        <f>IF(OR(AM1978="",AN1978="",AM1978=AN1978),"",($E1978-AN1978)/(AM1978-AN1978))</f>
        <v>0</v>
      </c>
      <c r="AP1978">
        <f>IF(OR(AM1978="",AK1978="",AK1978=0),"",(AM1978-AN1978)/AK1978)</f>
        <v>0</v>
      </c>
      <c r="AQ1978">
        <f>IF(COUNT($E$2:$E1978)&lt;20,"",MAX($C$1959:$C$1978))</f>
        <v>0</v>
      </c>
      <c r="AR1978">
        <f>IF(COUNT($E$2:$E1978)&lt;20,"",MIN($D$1959:$D$1978))</f>
        <v>0</v>
      </c>
      <c r="AS1978">
        <f>IF(OR(AQ1978="",AR1978=""),"",(AQ1978+AR1978)/2)</f>
        <v>0</v>
      </c>
      <c r="AT1978">
        <f>IF(COUNT($G$1959:$G$1978)&lt;20,"",STDEV($G$1959:$G$1978)*SQRT(252))</f>
        <v>0</v>
      </c>
      <c r="AU1978">
        <f>IF(COUNT($E$2:$E1978)&lt;9,"",(MAX($C$1970:$C$1978)+MIN($D$1970:$D$1978))/2)</f>
        <v>0</v>
      </c>
      <c r="AV1978">
        <f>IF(COUNT($E$2:$E1978)&lt;26,"",(MAX($C$1953:$C$1978)+MIN($D$1953:$D$1978))/2)</f>
        <v>0</v>
      </c>
      <c r="AW1978">
        <f>IF(OR(AU1978="",AV1978=""),"",(AU1978+AV1978)/2)</f>
        <v>0</v>
      </c>
      <c r="AX1978">
        <f>IF(COUNT($E$2:$E1978)&lt;52,"",(MAX($C$1927:$C$1978)+MIN($D$1927:$D$1978))/2)</f>
        <v>0</v>
      </c>
      <c r="AY1978">
        <f>IF(COUNT($E$2:$E1978)&lt;20,"",MAX($C$1879:$C$1978))</f>
        <v>0</v>
      </c>
      <c r="AZ1978">
        <f>IF(COUNT($E$2:$E1978)&lt;20,"",MIN($D$1879:$D$1978))</f>
        <v>0</v>
      </c>
      <c r="BA1978">
        <f>IF(COUNT($E$2:$E1978)&lt;20,"",SLOPE($E$1879:$E$1978,$F$1879:$F$1978))</f>
        <v>0</v>
      </c>
      <c r="BB1978">
        <f>IF(COUNT($E$2:$E1978)&lt;20,"",INTERCEPT($E$1879:$E$1978,$F$1879:$F$1978))</f>
        <v>0</v>
      </c>
      <c r="BC1978">
        <f>IF(OR(BA1978="",BB1978=""),"",BB1978+BA1978*F1978)</f>
        <v>0</v>
      </c>
      <c r="BD1978">
        <f>IF(COUNT($E$2:$E1978)&lt;20,"",STEYX($E$1879:$E$1978,$F$1879:$F$1978))</f>
        <v>0</v>
      </c>
      <c r="BE1978">
        <f>IF($E1978="","",IF(AND(COUNT($E$1979:$E$1982)&gt;=4,$C1978=MAX($C$1974:$C$1982)),$C1978,""))</f>
        <v>0</v>
      </c>
      <c r="BF1978">
        <f>IF($E1978="","",IF(AND(COUNT($E$1979:$E$1982)&gt;=4,$D1978=MIN($D$1974:$D$1982)),$D1978,""))</f>
        <v>0</v>
      </c>
      <c r="BG1978">
        <f>IF($A1978="","",$A1978-WEEKDAY($A1978,2)+1)</f>
        <v>0</v>
      </c>
      <c r="BH1978">
        <f>IF($A1978="","",IF($A1977="",1,IF(BG1978&lt;&gt;BG1977,1,0)))</f>
        <v>0</v>
      </c>
      <c r="BI1978">
        <f>IF($A1978="","",IF($A1979="",1,IF(BG1979&lt;&gt;BG1978,1,0)))</f>
        <v>0</v>
      </c>
      <c r="BJ1978">
        <f>IF($A1978="","",IF(BH1978=1,$B1978,BJ1977))</f>
        <v>0</v>
      </c>
      <c r="BK1978">
        <f>IF($A1978="","",IF(BH1978=1,$C1978,MAX($C1978,BK1977)))</f>
        <v>0</v>
      </c>
      <c r="BL1978">
        <f>IF($A1978="","",IF(BH1978=1,$D1978,MIN($D1978,BL1977)))</f>
        <v>0</v>
      </c>
      <c r="BM1978">
        <f>IF($A1978="","",IF(BI1978=1,F1978,""))</f>
        <v>0</v>
      </c>
      <c r="BN1978">
        <f>IF($A1978="","",DATE(YEAR($A1978),MONTH($A1978),1))</f>
        <v>0</v>
      </c>
      <c r="BO1978">
        <f>IF($A1978="","",IF($A1977="",1,IF(BN1978&lt;&gt;BN1977,1,0)))</f>
        <v>0</v>
      </c>
      <c r="BP1978">
        <f>IF($A1978="","",IF($A1979="",1,IF(BN1979&lt;&gt;BN1978,1,0)))</f>
        <v>0</v>
      </c>
      <c r="BQ1978">
        <f>IF($A1978="","",IF(BO1978=1,$B1978,BQ1977))</f>
        <v>0</v>
      </c>
      <c r="BR1978">
        <f>IF($A1978="","",IF(BO1978=1,$C1978,MAX($C1978,BR1977)))</f>
        <v>0</v>
      </c>
      <c r="BS1978">
        <f>IF($A1978="","",IF(BO1978=1,$D1978,MIN($D1978,BS1977)))</f>
        <v>0</v>
      </c>
      <c r="BT1978">
        <f>IF($A1978="","",IF(BP1978=1,F1978,""))</f>
        <v>0</v>
      </c>
    </row>
    <row r="1979" spans="1:72">
      <c r="A1979" s="27">
        <f>IF(Data!$A1979="","",Data!$A1979)</f>
        <v>0</v>
      </c>
      <c r="B1979">
        <f>IF(Data!$B1979="","",Data!$B1979)</f>
        <v>0</v>
      </c>
      <c r="C1979">
        <f>IF(Data!$C1979="","",Data!$C1979)</f>
        <v>0</v>
      </c>
      <c r="D1979">
        <f>IF(Data!$D1979="","",Data!$D1979)</f>
        <v>0</v>
      </c>
      <c r="E1979">
        <f>IF(Data!$E1979="","",Data!$E1979)</f>
        <v>0</v>
      </c>
      <c r="F1979">
        <f>IF($E1979="","",N(F1978)+1)</f>
        <v>0</v>
      </c>
      <c r="G1979">
        <f>IF(OR($E1979="",$E1978=""),"",LN($E1979/$E1978))</f>
        <v>0</v>
      </c>
      <c r="H1979">
        <f>IF($E1979="","",IF($E1978="",$E1979,$E1979*0.0952380952+H1978*0.9047619048))</f>
        <v>0</v>
      </c>
      <c r="I1979">
        <f>IF($E1979="","",IF($E1978="",$E1979,$E1979*0.0392156863+I1978*0.9607843137))</f>
        <v>0</v>
      </c>
      <c r="J1979">
        <f>IF($E1979="","",IF($E1978="",$E1979,$E1979*0.0198019802+J1978*0.9801980198))</f>
        <v>0</v>
      </c>
      <c r="K1979">
        <f>IF($E1979="","",IF($E1978="",$E1979,$E1979*0.0099502488+K1978*0.9900497512))</f>
        <v>0</v>
      </c>
      <c r="L1979">
        <f>IF(OR($E1979="",$E1978=""),"",MAX($E1979-$E1978,0))</f>
        <v>0</v>
      </c>
      <c r="M1979">
        <f>IF(OR($E1979="",$E1978=""),"",MAX($E1978-$E1979,0))</f>
        <v>0</v>
      </c>
      <c r="N1979">
        <f>IF(COUNT($E$2:$E1979)&lt;15,"",IF(AVERAGE($M$1966:$M$1979)=0,100,100-100/(1+AVERAGE($L$1966:$L$1979)/AVERAGE($M$1966:$M$1979))))</f>
        <v>0</v>
      </c>
      <c r="O1979">
        <f>IF($E1979="","",IF($E1978="",$E1979,$E1979*0.1538461538+O1978*0.8461538462))</f>
        <v>0</v>
      </c>
      <c r="P1979">
        <f>IF($E1979="","",IF($E1978="",$E1979,$E1979*0.0740740741+P1978*0.9259259259))</f>
        <v>0</v>
      </c>
      <c r="Q1979">
        <f>IF(OR(O1979="",P1979=""),"",O1979-P1979)</f>
        <v>0</v>
      </c>
      <c r="R1979">
        <f>IF(Q1979="","",IF(R1978="",Q1979,Q1979*0.2000000000+R1978*0.8000000000))</f>
        <v>0</v>
      </c>
      <c r="S1979">
        <f>IF(OR(Q1979="",R1979=""),"",Q1979-R1979)</f>
        <v>0</v>
      </c>
      <c r="T1979">
        <f>IF(COUNT($E$2:$E1979)&lt;14,"",MAX($C$1966:$C$1979))</f>
        <v>0</v>
      </c>
      <c r="U1979">
        <f>IF(COUNT($E$2:$E1979)&lt;14,"",MIN($D$1966:$D$1979))</f>
        <v>0</v>
      </c>
      <c r="V1979">
        <f>IF(OR(T1979="",U1979="",T1979=U1979),"",100*($E1979-U1979)/(T1979-U1979))</f>
        <v>0</v>
      </c>
      <c r="W1979">
        <f>IF(COUNT($V$1977:$V$1979)&lt;3,"",AVERAGE($V$1977:$V$1979))</f>
        <v>0</v>
      </c>
      <c r="X1979">
        <f>IF(COUNT($N$1966:$N$1979)&lt;14,"",MIN($N$1966:$N$1979))</f>
        <v>0</v>
      </c>
      <c r="Y1979">
        <f>IF(COUNT($N$1966:$N$1979)&lt;14,"",MAX($N$1966:$N$1979))</f>
        <v>0</v>
      </c>
      <c r="Z1979">
        <f>IF(OR(N1979="",X1979="",Y1979="",Y1979=X1979),"",100*(N1979-X1979)/(Y1979-X1979))</f>
        <v>0</v>
      </c>
      <c r="AA1979">
        <f>IF(COUNT($Z$1977:$Z$1979)&lt;3,"",AVERAGE($Z$1977:$Z$1979))</f>
        <v>0</v>
      </c>
      <c r="AB1979">
        <f>IF(COUNT($AA$1977:$AA$1979)&lt;3,"",AVERAGE($AA$1977:$AA$1979))</f>
        <v>0</v>
      </c>
      <c r="AC1979">
        <f>IF($E1979="","",MAX($C1979-$D1979,ABS($C1979-$E1978),ABS($D1979-$E1978)))</f>
        <v>0</v>
      </c>
      <c r="AD1979">
        <f>IF(COUNT($E$2:$E1979)&lt;15,"",AVERAGE($AC$1966:$AC$1979))</f>
        <v>0</v>
      </c>
      <c r="AE1979">
        <f>IF(OR($E1979="",$E1978=""),"",IF(AND(($C1979-$C1978)&gt;($D1978-$D1979),($C1979-$C1978)&gt;0),$C1979-$C1978,0))</f>
        <v>0</v>
      </c>
      <c r="AF1979">
        <f>IF(OR($E1979="",$E1978=""),"",IF(AND(($D1978-$D1979)&gt;($C1979-$C1978),($D1978-$D1979)&gt;0),$D1978-$D1979,0))</f>
        <v>0</v>
      </c>
      <c r="AG1979">
        <f>IF(COUNT($E$2:$E1979)&lt;15,"",IF(SUM($AC$1966:$AC$1979)=0,0,100*SUM($AE$1966:$AE$1979)/SUM($AC$1966:$AC$1979)))</f>
        <v>0</v>
      </c>
      <c r="AH1979">
        <f>IF(COUNT($E$2:$E1979)&lt;15,"",IF(SUM($AC$1966:$AC$1979)=0,0,100*SUM($AF$1966:$AF$1979)/SUM($AC$1966:$AC$1979)))</f>
        <v>0</v>
      </c>
      <c r="AI1979">
        <f>IF(OR(AG1979="",AH1979=""),"",IF((AG1979+AH1979)=0,0,100*ABS(AG1979-AH1979)/(AG1979+AH1979)))</f>
        <v>0</v>
      </c>
      <c r="AJ1979">
        <f>IF(COUNT($AI$1966:$AI$1979)&lt;14,"",AVERAGE($AI$1966:$AI$1979))</f>
        <v>0</v>
      </c>
      <c r="AK1979">
        <f>IF(COUNT($E$2:$E1979)&lt;20,"",AVERAGE($E$1960:$E$1979))</f>
        <v>0</v>
      </c>
      <c r="AL1979">
        <f>IF(COUNT($E$2:$E1979)&lt;20,"",STDEVP($E$1960:$E$1979))</f>
        <v>0</v>
      </c>
      <c r="AM1979">
        <f>IF(AK1979="","",AK1979+2*AL1979)</f>
        <v>0</v>
      </c>
      <c r="AN1979">
        <f>IF(AK1979="","",AK1979-2*AL1979)</f>
        <v>0</v>
      </c>
      <c r="AO1979">
        <f>IF(OR(AM1979="",AN1979="",AM1979=AN1979),"",($E1979-AN1979)/(AM1979-AN1979))</f>
        <v>0</v>
      </c>
      <c r="AP1979">
        <f>IF(OR(AM1979="",AK1979="",AK1979=0),"",(AM1979-AN1979)/AK1979)</f>
        <v>0</v>
      </c>
      <c r="AQ1979">
        <f>IF(COUNT($E$2:$E1979)&lt;20,"",MAX($C$1960:$C$1979))</f>
        <v>0</v>
      </c>
      <c r="AR1979">
        <f>IF(COUNT($E$2:$E1979)&lt;20,"",MIN($D$1960:$D$1979))</f>
        <v>0</v>
      </c>
      <c r="AS1979">
        <f>IF(OR(AQ1979="",AR1979=""),"",(AQ1979+AR1979)/2)</f>
        <v>0</v>
      </c>
      <c r="AT1979">
        <f>IF(COUNT($G$1960:$G$1979)&lt;20,"",STDEV($G$1960:$G$1979)*SQRT(252))</f>
        <v>0</v>
      </c>
      <c r="AU1979">
        <f>IF(COUNT($E$2:$E1979)&lt;9,"",(MAX($C$1971:$C$1979)+MIN($D$1971:$D$1979))/2)</f>
        <v>0</v>
      </c>
      <c r="AV1979">
        <f>IF(COUNT($E$2:$E1979)&lt;26,"",(MAX($C$1954:$C$1979)+MIN($D$1954:$D$1979))/2)</f>
        <v>0</v>
      </c>
      <c r="AW1979">
        <f>IF(OR(AU1979="",AV1979=""),"",(AU1979+AV1979)/2)</f>
        <v>0</v>
      </c>
      <c r="AX1979">
        <f>IF(COUNT($E$2:$E1979)&lt;52,"",(MAX($C$1928:$C$1979)+MIN($D$1928:$D$1979))/2)</f>
        <v>0</v>
      </c>
      <c r="AY1979">
        <f>IF(COUNT($E$2:$E1979)&lt;20,"",MAX($C$1880:$C$1979))</f>
        <v>0</v>
      </c>
      <c r="AZ1979">
        <f>IF(COUNT($E$2:$E1979)&lt;20,"",MIN($D$1880:$D$1979))</f>
        <v>0</v>
      </c>
      <c r="BA1979">
        <f>IF(COUNT($E$2:$E1979)&lt;20,"",SLOPE($E$1880:$E$1979,$F$1880:$F$1979))</f>
        <v>0</v>
      </c>
      <c r="BB1979">
        <f>IF(COUNT($E$2:$E1979)&lt;20,"",INTERCEPT($E$1880:$E$1979,$F$1880:$F$1979))</f>
        <v>0</v>
      </c>
      <c r="BC1979">
        <f>IF(OR(BA1979="",BB1979=""),"",BB1979+BA1979*F1979)</f>
        <v>0</v>
      </c>
      <c r="BD1979">
        <f>IF(COUNT($E$2:$E1979)&lt;20,"",STEYX($E$1880:$E$1979,$F$1880:$F$1979))</f>
        <v>0</v>
      </c>
      <c r="BE1979">
        <f>IF($E1979="","",IF(AND(COUNT($E$1980:$E$1983)&gt;=4,$C1979=MAX($C$1975:$C$1983)),$C1979,""))</f>
        <v>0</v>
      </c>
      <c r="BF1979">
        <f>IF($E1979="","",IF(AND(COUNT($E$1980:$E$1983)&gt;=4,$D1979=MIN($D$1975:$D$1983)),$D1979,""))</f>
        <v>0</v>
      </c>
      <c r="BG1979">
        <f>IF($A1979="","",$A1979-WEEKDAY($A1979,2)+1)</f>
        <v>0</v>
      </c>
      <c r="BH1979">
        <f>IF($A1979="","",IF($A1978="",1,IF(BG1979&lt;&gt;BG1978,1,0)))</f>
        <v>0</v>
      </c>
      <c r="BI1979">
        <f>IF($A1979="","",IF($A1980="",1,IF(BG1980&lt;&gt;BG1979,1,0)))</f>
        <v>0</v>
      </c>
      <c r="BJ1979">
        <f>IF($A1979="","",IF(BH1979=1,$B1979,BJ1978))</f>
        <v>0</v>
      </c>
      <c r="BK1979">
        <f>IF($A1979="","",IF(BH1979=1,$C1979,MAX($C1979,BK1978)))</f>
        <v>0</v>
      </c>
      <c r="BL1979">
        <f>IF($A1979="","",IF(BH1979=1,$D1979,MIN($D1979,BL1978)))</f>
        <v>0</v>
      </c>
      <c r="BM1979">
        <f>IF($A1979="","",IF(BI1979=1,F1979,""))</f>
        <v>0</v>
      </c>
      <c r="BN1979">
        <f>IF($A1979="","",DATE(YEAR($A1979),MONTH($A1979),1))</f>
        <v>0</v>
      </c>
      <c r="BO1979">
        <f>IF($A1979="","",IF($A1978="",1,IF(BN1979&lt;&gt;BN1978,1,0)))</f>
        <v>0</v>
      </c>
      <c r="BP1979">
        <f>IF($A1979="","",IF($A1980="",1,IF(BN1980&lt;&gt;BN1979,1,0)))</f>
        <v>0</v>
      </c>
      <c r="BQ1979">
        <f>IF($A1979="","",IF(BO1979=1,$B1979,BQ1978))</f>
        <v>0</v>
      </c>
      <c r="BR1979">
        <f>IF($A1979="","",IF(BO1979=1,$C1979,MAX($C1979,BR1978)))</f>
        <v>0</v>
      </c>
      <c r="BS1979">
        <f>IF($A1979="","",IF(BO1979=1,$D1979,MIN($D1979,BS1978)))</f>
        <v>0</v>
      </c>
      <c r="BT1979">
        <f>IF($A1979="","",IF(BP1979=1,F1979,""))</f>
        <v>0</v>
      </c>
    </row>
    <row r="1980" spans="1:72">
      <c r="A1980" s="27">
        <f>IF(Data!$A1980="","",Data!$A1980)</f>
        <v>0</v>
      </c>
      <c r="B1980">
        <f>IF(Data!$B1980="","",Data!$B1980)</f>
        <v>0</v>
      </c>
      <c r="C1980">
        <f>IF(Data!$C1980="","",Data!$C1980)</f>
        <v>0</v>
      </c>
      <c r="D1980">
        <f>IF(Data!$D1980="","",Data!$D1980)</f>
        <v>0</v>
      </c>
      <c r="E1980">
        <f>IF(Data!$E1980="","",Data!$E1980)</f>
        <v>0</v>
      </c>
      <c r="F1980">
        <f>IF($E1980="","",N(F1979)+1)</f>
        <v>0</v>
      </c>
      <c r="G1980">
        <f>IF(OR($E1980="",$E1979=""),"",LN($E1980/$E1979))</f>
        <v>0</v>
      </c>
      <c r="H1980">
        <f>IF($E1980="","",IF($E1979="",$E1980,$E1980*0.0952380952+H1979*0.9047619048))</f>
        <v>0</v>
      </c>
      <c r="I1980">
        <f>IF($E1980="","",IF($E1979="",$E1980,$E1980*0.0392156863+I1979*0.9607843137))</f>
        <v>0</v>
      </c>
      <c r="J1980">
        <f>IF($E1980="","",IF($E1979="",$E1980,$E1980*0.0198019802+J1979*0.9801980198))</f>
        <v>0</v>
      </c>
      <c r="K1980">
        <f>IF($E1980="","",IF($E1979="",$E1980,$E1980*0.0099502488+K1979*0.9900497512))</f>
        <v>0</v>
      </c>
      <c r="L1980">
        <f>IF(OR($E1980="",$E1979=""),"",MAX($E1980-$E1979,0))</f>
        <v>0</v>
      </c>
      <c r="M1980">
        <f>IF(OR($E1980="",$E1979=""),"",MAX($E1979-$E1980,0))</f>
        <v>0</v>
      </c>
      <c r="N1980">
        <f>IF(COUNT($E$2:$E1980)&lt;15,"",IF(AVERAGE($M$1967:$M$1980)=0,100,100-100/(1+AVERAGE($L$1967:$L$1980)/AVERAGE($M$1967:$M$1980))))</f>
        <v>0</v>
      </c>
      <c r="O1980">
        <f>IF($E1980="","",IF($E1979="",$E1980,$E1980*0.1538461538+O1979*0.8461538462))</f>
        <v>0</v>
      </c>
      <c r="P1980">
        <f>IF($E1980="","",IF($E1979="",$E1980,$E1980*0.0740740741+P1979*0.9259259259))</f>
        <v>0</v>
      </c>
      <c r="Q1980">
        <f>IF(OR(O1980="",P1980=""),"",O1980-P1980)</f>
        <v>0</v>
      </c>
      <c r="R1980">
        <f>IF(Q1980="","",IF(R1979="",Q1980,Q1980*0.2000000000+R1979*0.8000000000))</f>
        <v>0</v>
      </c>
      <c r="S1980">
        <f>IF(OR(Q1980="",R1980=""),"",Q1980-R1980)</f>
        <v>0</v>
      </c>
      <c r="T1980">
        <f>IF(COUNT($E$2:$E1980)&lt;14,"",MAX($C$1967:$C$1980))</f>
        <v>0</v>
      </c>
      <c r="U1980">
        <f>IF(COUNT($E$2:$E1980)&lt;14,"",MIN($D$1967:$D$1980))</f>
        <v>0</v>
      </c>
      <c r="V1980">
        <f>IF(OR(T1980="",U1980="",T1980=U1980),"",100*($E1980-U1980)/(T1980-U1980))</f>
        <v>0</v>
      </c>
      <c r="W1980">
        <f>IF(COUNT($V$1978:$V$1980)&lt;3,"",AVERAGE($V$1978:$V$1980))</f>
        <v>0</v>
      </c>
      <c r="X1980">
        <f>IF(COUNT($N$1967:$N$1980)&lt;14,"",MIN($N$1967:$N$1980))</f>
        <v>0</v>
      </c>
      <c r="Y1980">
        <f>IF(COUNT($N$1967:$N$1980)&lt;14,"",MAX($N$1967:$N$1980))</f>
        <v>0</v>
      </c>
      <c r="Z1980">
        <f>IF(OR(N1980="",X1980="",Y1980="",Y1980=X1980),"",100*(N1980-X1980)/(Y1980-X1980))</f>
        <v>0</v>
      </c>
      <c r="AA1980">
        <f>IF(COUNT($Z$1978:$Z$1980)&lt;3,"",AVERAGE($Z$1978:$Z$1980))</f>
        <v>0</v>
      </c>
      <c r="AB1980">
        <f>IF(COUNT($AA$1978:$AA$1980)&lt;3,"",AVERAGE($AA$1978:$AA$1980))</f>
        <v>0</v>
      </c>
      <c r="AC1980">
        <f>IF($E1980="","",MAX($C1980-$D1980,ABS($C1980-$E1979),ABS($D1980-$E1979)))</f>
        <v>0</v>
      </c>
      <c r="AD1980">
        <f>IF(COUNT($E$2:$E1980)&lt;15,"",AVERAGE($AC$1967:$AC$1980))</f>
        <v>0</v>
      </c>
      <c r="AE1980">
        <f>IF(OR($E1980="",$E1979=""),"",IF(AND(($C1980-$C1979)&gt;($D1979-$D1980),($C1980-$C1979)&gt;0),$C1980-$C1979,0))</f>
        <v>0</v>
      </c>
      <c r="AF1980">
        <f>IF(OR($E1980="",$E1979=""),"",IF(AND(($D1979-$D1980)&gt;($C1980-$C1979),($D1979-$D1980)&gt;0),$D1979-$D1980,0))</f>
        <v>0</v>
      </c>
      <c r="AG1980">
        <f>IF(COUNT($E$2:$E1980)&lt;15,"",IF(SUM($AC$1967:$AC$1980)=0,0,100*SUM($AE$1967:$AE$1980)/SUM($AC$1967:$AC$1980)))</f>
        <v>0</v>
      </c>
      <c r="AH1980">
        <f>IF(COUNT($E$2:$E1980)&lt;15,"",IF(SUM($AC$1967:$AC$1980)=0,0,100*SUM($AF$1967:$AF$1980)/SUM($AC$1967:$AC$1980)))</f>
        <v>0</v>
      </c>
      <c r="AI1980">
        <f>IF(OR(AG1980="",AH1980=""),"",IF((AG1980+AH1980)=0,0,100*ABS(AG1980-AH1980)/(AG1980+AH1980)))</f>
        <v>0</v>
      </c>
      <c r="AJ1980">
        <f>IF(COUNT($AI$1967:$AI$1980)&lt;14,"",AVERAGE($AI$1967:$AI$1980))</f>
        <v>0</v>
      </c>
      <c r="AK1980">
        <f>IF(COUNT($E$2:$E1980)&lt;20,"",AVERAGE($E$1961:$E$1980))</f>
        <v>0</v>
      </c>
      <c r="AL1980">
        <f>IF(COUNT($E$2:$E1980)&lt;20,"",STDEVP($E$1961:$E$1980))</f>
        <v>0</v>
      </c>
      <c r="AM1980">
        <f>IF(AK1980="","",AK1980+2*AL1980)</f>
        <v>0</v>
      </c>
      <c r="AN1980">
        <f>IF(AK1980="","",AK1980-2*AL1980)</f>
        <v>0</v>
      </c>
      <c r="AO1980">
        <f>IF(OR(AM1980="",AN1980="",AM1980=AN1980),"",($E1980-AN1980)/(AM1980-AN1980))</f>
        <v>0</v>
      </c>
      <c r="AP1980">
        <f>IF(OR(AM1980="",AK1980="",AK1980=0),"",(AM1980-AN1980)/AK1980)</f>
        <v>0</v>
      </c>
      <c r="AQ1980">
        <f>IF(COUNT($E$2:$E1980)&lt;20,"",MAX($C$1961:$C$1980))</f>
        <v>0</v>
      </c>
      <c r="AR1980">
        <f>IF(COUNT($E$2:$E1980)&lt;20,"",MIN($D$1961:$D$1980))</f>
        <v>0</v>
      </c>
      <c r="AS1980">
        <f>IF(OR(AQ1980="",AR1980=""),"",(AQ1980+AR1980)/2)</f>
        <v>0</v>
      </c>
      <c r="AT1980">
        <f>IF(COUNT($G$1961:$G$1980)&lt;20,"",STDEV($G$1961:$G$1980)*SQRT(252))</f>
        <v>0</v>
      </c>
      <c r="AU1980">
        <f>IF(COUNT($E$2:$E1980)&lt;9,"",(MAX($C$1972:$C$1980)+MIN($D$1972:$D$1980))/2)</f>
        <v>0</v>
      </c>
      <c r="AV1980">
        <f>IF(COUNT($E$2:$E1980)&lt;26,"",(MAX($C$1955:$C$1980)+MIN($D$1955:$D$1980))/2)</f>
        <v>0</v>
      </c>
      <c r="AW1980">
        <f>IF(OR(AU1980="",AV1980=""),"",(AU1980+AV1980)/2)</f>
        <v>0</v>
      </c>
      <c r="AX1980">
        <f>IF(COUNT($E$2:$E1980)&lt;52,"",(MAX($C$1929:$C$1980)+MIN($D$1929:$D$1980))/2)</f>
        <v>0</v>
      </c>
      <c r="AY1980">
        <f>IF(COUNT($E$2:$E1980)&lt;20,"",MAX($C$1881:$C$1980))</f>
        <v>0</v>
      </c>
      <c r="AZ1980">
        <f>IF(COUNT($E$2:$E1980)&lt;20,"",MIN($D$1881:$D$1980))</f>
        <v>0</v>
      </c>
      <c r="BA1980">
        <f>IF(COUNT($E$2:$E1980)&lt;20,"",SLOPE($E$1881:$E$1980,$F$1881:$F$1980))</f>
        <v>0</v>
      </c>
      <c r="BB1980">
        <f>IF(COUNT($E$2:$E1980)&lt;20,"",INTERCEPT($E$1881:$E$1980,$F$1881:$F$1980))</f>
        <v>0</v>
      </c>
      <c r="BC1980">
        <f>IF(OR(BA1980="",BB1980=""),"",BB1980+BA1980*F1980)</f>
        <v>0</v>
      </c>
      <c r="BD1980">
        <f>IF(COUNT($E$2:$E1980)&lt;20,"",STEYX($E$1881:$E$1980,$F$1881:$F$1980))</f>
        <v>0</v>
      </c>
      <c r="BE1980">
        <f>IF($E1980="","",IF(AND(COUNT($E$1981:$E$1984)&gt;=4,$C1980=MAX($C$1976:$C$1984)),$C1980,""))</f>
        <v>0</v>
      </c>
      <c r="BF1980">
        <f>IF($E1980="","",IF(AND(COUNT($E$1981:$E$1984)&gt;=4,$D1980=MIN($D$1976:$D$1984)),$D1980,""))</f>
        <v>0</v>
      </c>
      <c r="BG1980">
        <f>IF($A1980="","",$A1980-WEEKDAY($A1980,2)+1)</f>
        <v>0</v>
      </c>
      <c r="BH1980">
        <f>IF($A1980="","",IF($A1979="",1,IF(BG1980&lt;&gt;BG1979,1,0)))</f>
        <v>0</v>
      </c>
      <c r="BI1980">
        <f>IF($A1980="","",IF($A1981="",1,IF(BG1981&lt;&gt;BG1980,1,0)))</f>
        <v>0</v>
      </c>
      <c r="BJ1980">
        <f>IF($A1980="","",IF(BH1980=1,$B1980,BJ1979))</f>
        <v>0</v>
      </c>
      <c r="BK1980">
        <f>IF($A1980="","",IF(BH1980=1,$C1980,MAX($C1980,BK1979)))</f>
        <v>0</v>
      </c>
      <c r="BL1980">
        <f>IF($A1980="","",IF(BH1980=1,$D1980,MIN($D1980,BL1979)))</f>
        <v>0</v>
      </c>
      <c r="BM1980">
        <f>IF($A1980="","",IF(BI1980=1,F1980,""))</f>
        <v>0</v>
      </c>
      <c r="BN1980">
        <f>IF($A1980="","",DATE(YEAR($A1980),MONTH($A1980),1))</f>
        <v>0</v>
      </c>
      <c r="BO1980">
        <f>IF($A1980="","",IF($A1979="",1,IF(BN1980&lt;&gt;BN1979,1,0)))</f>
        <v>0</v>
      </c>
      <c r="BP1980">
        <f>IF($A1980="","",IF($A1981="",1,IF(BN1981&lt;&gt;BN1980,1,0)))</f>
        <v>0</v>
      </c>
      <c r="BQ1980">
        <f>IF($A1980="","",IF(BO1980=1,$B1980,BQ1979))</f>
        <v>0</v>
      </c>
      <c r="BR1980">
        <f>IF($A1980="","",IF(BO1980=1,$C1980,MAX($C1980,BR1979)))</f>
        <v>0</v>
      </c>
      <c r="BS1980">
        <f>IF($A1980="","",IF(BO1980=1,$D1980,MIN($D1980,BS1979)))</f>
        <v>0</v>
      </c>
      <c r="BT1980">
        <f>IF($A1980="","",IF(BP1980=1,F1980,""))</f>
        <v>0</v>
      </c>
    </row>
    <row r="1981" spans="1:72">
      <c r="A1981" s="27">
        <f>IF(Data!$A1981="","",Data!$A1981)</f>
        <v>0</v>
      </c>
      <c r="B1981">
        <f>IF(Data!$B1981="","",Data!$B1981)</f>
        <v>0</v>
      </c>
      <c r="C1981">
        <f>IF(Data!$C1981="","",Data!$C1981)</f>
        <v>0</v>
      </c>
      <c r="D1981">
        <f>IF(Data!$D1981="","",Data!$D1981)</f>
        <v>0</v>
      </c>
      <c r="E1981">
        <f>IF(Data!$E1981="","",Data!$E1981)</f>
        <v>0</v>
      </c>
      <c r="F1981">
        <f>IF($E1981="","",N(F1980)+1)</f>
        <v>0</v>
      </c>
      <c r="G1981">
        <f>IF(OR($E1981="",$E1980=""),"",LN($E1981/$E1980))</f>
        <v>0</v>
      </c>
      <c r="H1981">
        <f>IF($E1981="","",IF($E1980="",$E1981,$E1981*0.0952380952+H1980*0.9047619048))</f>
        <v>0</v>
      </c>
      <c r="I1981">
        <f>IF($E1981="","",IF($E1980="",$E1981,$E1981*0.0392156863+I1980*0.9607843137))</f>
        <v>0</v>
      </c>
      <c r="J1981">
        <f>IF($E1981="","",IF($E1980="",$E1981,$E1981*0.0198019802+J1980*0.9801980198))</f>
        <v>0</v>
      </c>
      <c r="K1981">
        <f>IF($E1981="","",IF($E1980="",$E1981,$E1981*0.0099502488+K1980*0.9900497512))</f>
        <v>0</v>
      </c>
      <c r="L1981">
        <f>IF(OR($E1981="",$E1980=""),"",MAX($E1981-$E1980,0))</f>
        <v>0</v>
      </c>
      <c r="M1981">
        <f>IF(OR($E1981="",$E1980=""),"",MAX($E1980-$E1981,0))</f>
        <v>0</v>
      </c>
      <c r="N1981">
        <f>IF(COUNT($E$2:$E1981)&lt;15,"",IF(AVERAGE($M$1968:$M$1981)=0,100,100-100/(1+AVERAGE($L$1968:$L$1981)/AVERAGE($M$1968:$M$1981))))</f>
        <v>0</v>
      </c>
      <c r="O1981">
        <f>IF($E1981="","",IF($E1980="",$E1981,$E1981*0.1538461538+O1980*0.8461538462))</f>
        <v>0</v>
      </c>
      <c r="P1981">
        <f>IF($E1981="","",IF($E1980="",$E1981,$E1981*0.0740740741+P1980*0.9259259259))</f>
        <v>0</v>
      </c>
      <c r="Q1981">
        <f>IF(OR(O1981="",P1981=""),"",O1981-P1981)</f>
        <v>0</v>
      </c>
      <c r="R1981">
        <f>IF(Q1981="","",IF(R1980="",Q1981,Q1981*0.2000000000+R1980*0.8000000000))</f>
        <v>0</v>
      </c>
      <c r="S1981">
        <f>IF(OR(Q1981="",R1981=""),"",Q1981-R1981)</f>
        <v>0</v>
      </c>
      <c r="T1981">
        <f>IF(COUNT($E$2:$E1981)&lt;14,"",MAX($C$1968:$C$1981))</f>
        <v>0</v>
      </c>
      <c r="U1981">
        <f>IF(COUNT($E$2:$E1981)&lt;14,"",MIN($D$1968:$D$1981))</f>
        <v>0</v>
      </c>
      <c r="V1981">
        <f>IF(OR(T1981="",U1981="",T1981=U1981),"",100*($E1981-U1981)/(T1981-U1981))</f>
        <v>0</v>
      </c>
      <c r="W1981">
        <f>IF(COUNT($V$1979:$V$1981)&lt;3,"",AVERAGE($V$1979:$V$1981))</f>
        <v>0</v>
      </c>
      <c r="X1981">
        <f>IF(COUNT($N$1968:$N$1981)&lt;14,"",MIN($N$1968:$N$1981))</f>
        <v>0</v>
      </c>
      <c r="Y1981">
        <f>IF(COUNT($N$1968:$N$1981)&lt;14,"",MAX($N$1968:$N$1981))</f>
        <v>0</v>
      </c>
      <c r="Z1981">
        <f>IF(OR(N1981="",X1981="",Y1981="",Y1981=X1981),"",100*(N1981-X1981)/(Y1981-X1981))</f>
        <v>0</v>
      </c>
      <c r="AA1981">
        <f>IF(COUNT($Z$1979:$Z$1981)&lt;3,"",AVERAGE($Z$1979:$Z$1981))</f>
        <v>0</v>
      </c>
      <c r="AB1981">
        <f>IF(COUNT($AA$1979:$AA$1981)&lt;3,"",AVERAGE($AA$1979:$AA$1981))</f>
        <v>0</v>
      </c>
      <c r="AC1981">
        <f>IF($E1981="","",MAX($C1981-$D1981,ABS($C1981-$E1980),ABS($D1981-$E1980)))</f>
        <v>0</v>
      </c>
      <c r="AD1981">
        <f>IF(COUNT($E$2:$E1981)&lt;15,"",AVERAGE($AC$1968:$AC$1981))</f>
        <v>0</v>
      </c>
      <c r="AE1981">
        <f>IF(OR($E1981="",$E1980=""),"",IF(AND(($C1981-$C1980)&gt;($D1980-$D1981),($C1981-$C1980)&gt;0),$C1981-$C1980,0))</f>
        <v>0</v>
      </c>
      <c r="AF1981">
        <f>IF(OR($E1981="",$E1980=""),"",IF(AND(($D1980-$D1981)&gt;($C1981-$C1980),($D1980-$D1981)&gt;0),$D1980-$D1981,0))</f>
        <v>0</v>
      </c>
      <c r="AG1981">
        <f>IF(COUNT($E$2:$E1981)&lt;15,"",IF(SUM($AC$1968:$AC$1981)=0,0,100*SUM($AE$1968:$AE$1981)/SUM($AC$1968:$AC$1981)))</f>
        <v>0</v>
      </c>
      <c r="AH1981">
        <f>IF(COUNT($E$2:$E1981)&lt;15,"",IF(SUM($AC$1968:$AC$1981)=0,0,100*SUM($AF$1968:$AF$1981)/SUM($AC$1968:$AC$1981)))</f>
        <v>0</v>
      </c>
      <c r="AI1981">
        <f>IF(OR(AG1981="",AH1981=""),"",IF((AG1981+AH1981)=0,0,100*ABS(AG1981-AH1981)/(AG1981+AH1981)))</f>
        <v>0</v>
      </c>
      <c r="AJ1981">
        <f>IF(COUNT($AI$1968:$AI$1981)&lt;14,"",AVERAGE($AI$1968:$AI$1981))</f>
        <v>0</v>
      </c>
      <c r="AK1981">
        <f>IF(COUNT($E$2:$E1981)&lt;20,"",AVERAGE($E$1962:$E$1981))</f>
        <v>0</v>
      </c>
      <c r="AL1981">
        <f>IF(COUNT($E$2:$E1981)&lt;20,"",STDEVP($E$1962:$E$1981))</f>
        <v>0</v>
      </c>
      <c r="AM1981">
        <f>IF(AK1981="","",AK1981+2*AL1981)</f>
        <v>0</v>
      </c>
      <c r="AN1981">
        <f>IF(AK1981="","",AK1981-2*AL1981)</f>
        <v>0</v>
      </c>
      <c r="AO1981">
        <f>IF(OR(AM1981="",AN1981="",AM1981=AN1981),"",($E1981-AN1981)/(AM1981-AN1981))</f>
        <v>0</v>
      </c>
      <c r="AP1981">
        <f>IF(OR(AM1981="",AK1981="",AK1981=0),"",(AM1981-AN1981)/AK1981)</f>
        <v>0</v>
      </c>
      <c r="AQ1981">
        <f>IF(COUNT($E$2:$E1981)&lt;20,"",MAX($C$1962:$C$1981))</f>
        <v>0</v>
      </c>
      <c r="AR1981">
        <f>IF(COUNT($E$2:$E1981)&lt;20,"",MIN($D$1962:$D$1981))</f>
        <v>0</v>
      </c>
      <c r="AS1981">
        <f>IF(OR(AQ1981="",AR1981=""),"",(AQ1981+AR1981)/2)</f>
        <v>0</v>
      </c>
      <c r="AT1981">
        <f>IF(COUNT($G$1962:$G$1981)&lt;20,"",STDEV($G$1962:$G$1981)*SQRT(252))</f>
        <v>0</v>
      </c>
      <c r="AU1981">
        <f>IF(COUNT($E$2:$E1981)&lt;9,"",(MAX($C$1973:$C$1981)+MIN($D$1973:$D$1981))/2)</f>
        <v>0</v>
      </c>
      <c r="AV1981">
        <f>IF(COUNT($E$2:$E1981)&lt;26,"",(MAX($C$1956:$C$1981)+MIN($D$1956:$D$1981))/2)</f>
        <v>0</v>
      </c>
      <c r="AW1981">
        <f>IF(OR(AU1981="",AV1981=""),"",(AU1981+AV1981)/2)</f>
        <v>0</v>
      </c>
      <c r="AX1981">
        <f>IF(COUNT($E$2:$E1981)&lt;52,"",(MAX($C$1930:$C$1981)+MIN($D$1930:$D$1981))/2)</f>
        <v>0</v>
      </c>
      <c r="AY1981">
        <f>IF(COUNT($E$2:$E1981)&lt;20,"",MAX($C$1882:$C$1981))</f>
        <v>0</v>
      </c>
      <c r="AZ1981">
        <f>IF(COUNT($E$2:$E1981)&lt;20,"",MIN($D$1882:$D$1981))</f>
        <v>0</v>
      </c>
      <c r="BA1981">
        <f>IF(COUNT($E$2:$E1981)&lt;20,"",SLOPE($E$1882:$E$1981,$F$1882:$F$1981))</f>
        <v>0</v>
      </c>
      <c r="BB1981">
        <f>IF(COUNT($E$2:$E1981)&lt;20,"",INTERCEPT($E$1882:$E$1981,$F$1882:$F$1981))</f>
        <v>0</v>
      </c>
      <c r="BC1981">
        <f>IF(OR(BA1981="",BB1981=""),"",BB1981+BA1981*F1981)</f>
        <v>0</v>
      </c>
      <c r="BD1981">
        <f>IF(COUNT($E$2:$E1981)&lt;20,"",STEYX($E$1882:$E$1981,$F$1882:$F$1981))</f>
        <v>0</v>
      </c>
      <c r="BE1981">
        <f>IF($E1981="","",IF(AND(COUNT($E$1982:$E$1985)&gt;=4,$C1981=MAX($C$1977:$C$1985)),$C1981,""))</f>
        <v>0</v>
      </c>
      <c r="BF1981">
        <f>IF($E1981="","",IF(AND(COUNT($E$1982:$E$1985)&gt;=4,$D1981=MIN($D$1977:$D$1985)),$D1981,""))</f>
        <v>0</v>
      </c>
      <c r="BG1981">
        <f>IF($A1981="","",$A1981-WEEKDAY($A1981,2)+1)</f>
        <v>0</v>
      </c>
      <c r="BH1981">
        <f>IF($A1981="","",IF($A1980="",1,IF(BG1981&lt;&gt;BG1980,1,0)))</f>
        <v>0</v>
      </c>
      <c r="BI1981">
        <f>IF($A1981="","",IF($A1982="",1,IF(BG1982&lt;&gt;BG1981,1,0)))</f>
        <v>0</v>
      </c>
      <c r="BJ1981">
        <f>IF($A1981="","",IF(BH1981=1,$B1981,BJ1980))</f>
        <v>0</v>
      </c>
      <c r="BK1981">
        <f>IF($A1981="","",IF(BH1981=1,$C1981,MAX($C1981,BK1980)))</f>
        <v>0</v>
      </c>
      <c r="BL1981">
        <f>IF($A1981="","",IF(BH1981=1,$D1981,MIN($D1981,BL1980)))</f>
        <v>0</v>
      </c>
      <c r="BM1981">
        <f>IF($A1981="","",IF(BI1981=1,F1981,""))</f>
        <v>0</v>
      </c>
      <c r="BN1981">
        <f>IF($A1981="","",DATE(YEAR($A1981),MONTH($A1981),1))</f>
        <v>0</v>
      </c>
      <c r="BO1981">
        <f>IF($A1981="","",IF($A1980="",1,IF(BN1981&lt;&gt;BN1980,1,0)))</f>
        <v>0</v>
      </c>
      <c r="BP1981">
        <f>IF($A1981="","",IF($A1982="",1,IF(BN1982&lt;&gt;BN1981,1,0)))</f>
        <v>0</v>
      </c>
      <c r="BQ1981">
        <f>IF($A1981="","",IF(BO1981=1,$B1981,BQ1980))</f>
        <v>0</v>
      </c>
      <c r="BR1981">
        <f>IF($A1981="","",IF(BO1981=1,$C1981,MAX($C1981,BR1980)))</f>
        <v>0</v>
      </c>
      <c r="BS1981">
        <f>IF($A1981="","",IF(BO1981=1,$D1981,MIN($D1981,BS1980)))</f>
        <v>0</v>
      </c>
      <c r="BT1981">
        <f>IF($A1981="","",IF(BP1981=1,F1981,""))</f>
        <v>0</v>
      </c>
    </row>
    <row r="1982" spans="1:72">
      <c r="A1982" s="27">
        <f>IF(Data!$A1982="","",Data!$A1982)</f>
        <v>0</v>
      </c>
      <c r="B1982">
        <f>IF(Data!$B1982="","",Data!$B1982)</f>
        <v>0</v>
      </c>
      <c r="C1982">
        <f>IF(Data!$C1982="","",Data!$C1982)</f>
        <v>0</v>
      </c>
      <c r="D1982">
        <f>IF(Data!$D1982="","",Data!$D1982)</f>
        <v>0</v>
      </c>
      <c r="E1982">
        <f>IF(Data!$E1982="","",Data!$E1982)</f>
        <v>0</v>
      </c>
      <c r="F1982">
        <f>IF($E1982="","",N(F1981)+1)</f>
        <v>0</v>
      </c>
      <c r="G1982">
        <f>IF(OR($E1982="",$E1981=""),"",LN($E1982/$E1981))</f>
        <v>0</v>
      </c>
      <c r="H1982">
        <f>IF($E1982="","",IF($E1981="",$E1982,$E1982*0.0952380952+H1981*0.9047619048))</f>
        <v>0</v>
      </c>
      <c r="I1982">
        <f>IF($E1982="","",IF($E1981="",$E1982,$E1982*0.0392156863+I1981*0.9607843137))</f>
        <v>0</v>
      </c>
      <c r="J1982">
        <f>IF($E1982="","",IF($E1981="",$E1982,$E1982*0.0198019802+J1981*0.9801980198))</f>
        <v>0</v>
      </c>
      <c r="K1982">
        <f>IF($E1982="","",IF($E1981="",$E1982,$E1982*0.0099502488+K1981*0.9900497512))</f>
        <v>0</v>
      </c>
      <c r="L1982">
        <f>IF(OR($E1982="",$E1981=""),"",MAX($E1982-$E1981,0))</f>
        <v>0</v>
      </c>
      <c r="M1982">
        <f>IF(OR($E1982="",$E1981=""),"",MAX($E1981-$E1982,0))</f>
        <v>0</v>
      </c>
      <c r="N1982">
        <f>IF(COUNT($E$2:$E1982)&lt;15,"",IF(AVERAGE($M$1969:$M$1982)=0,100,100-100/(1+AVERAGE($L$1969:$L$1982)/AVERAGE($M$1969:$M$1982))))</f>
        <v>0</v>
      </c>
      <c r="O1982">
        <f>IF($E1982="","",IF($E1981="",$E1982,$E1982*0.1538461538+O1981*0.8461538462))</f>
        <v>0</v>
      </c>
      <c r="P1982">
        <f>IF($E1982="","",IF($E1981="",$E1982,$E1982*0.0740740741+P1981*0.9259259259))</f>
        <v>0</v>
      </c>
      <c r="Q1982">
        <f>IF(OR(O1982="",P1982=""),"",O1982-P1982)</f>
        <v>0</v>
      </c>
      <c r="R1982">
        <f>IF(Q1982="","",IF(R1981="",Q1982,Q1982*0.2000000000+R1981*0.8000000000))</f>
        <v>0</v>
      </c>
      <c r="S1982">
        <f>IF(OR(Q1982="",R1982=""),"",Q1982-R1982)</f>
        <v>0</v>
      </c>
      <c r="T1982">
        <f>IF(COUNT($E$2:$E1982)&lt;14,"",MAX($C$1969:$C$1982))</f>
        <v>0</v>
      </c>
      <c r="U1982">
        <f>IF(COUNT($E$2:$E1982)&lt;14,"",MIN($D$1969:$D$1982))</f>
        <v>0</v>
      </c>
      <c r="V1982">
        <f>IF(OR(T1982="",U1982="",T1982=U1982),"",100*($E1982-U1982)/(T1982-U1982))</f>
        <v>0</v>
      </c>
      <c r="W1982">
        <f>IF(COUNT($V$1980:$V$1982)&lt;3,"",AVERAGE($V$1980:$V$1982))</f>
        <v>0</v>
      </c>
      <c r="X1982">
        <f>IF(COUNT($N$1969:$N$1982)&lt;14,"",MIN($N$1969:$N$1982))</f>
        <v>0</v>
      </c>
      <c r="Y1982">
        <f>IF(COUNT($N$1969:$N$1982)&lt;14,"",MAX($N$1969:$N$1982))</f>
        <v>0</v>
      </c>
      <c r="Z1982">
        <f>IF(OR(N1982="",X1982="",Y1982="",Y1982=X1982),"",100*(N1982-X1982)/(Y1982-X1982))</f>
        <v>0</v>
      </c>
      <c r="AA1982">
        <f>IF(COUNT($Z$1980:$Z$1982)&lt;3,"",AVERAGE($Z$1980:$Z$1982))</f>
        <v>0</v>
      </c>
      <c r="AB1982">
        <f>IF(COUNT($AA$1980:$AA$1982)&lt;3,"",AVERAGE($AA$1980:$AA$1982))</f>
        <v>0</v>
      </c>
      <c r="AC1982">
        <f>IF($E1982="","",MAX($C1982-$D1982,ABS($C1982-$E1981),ABS($D1982-$E1981)))</f>
        <v>0</v>
      </c>
      <c r="AD1982">
        <f>IF(COUNT($E$2:$E1982)&lt;15,"",AVERAGE($AC$1969:$AC$1982))</f>
        <v>0</v>
      </c>
      <c r="AE1982">
        <f>IF(OR($E1982="",$E1981=""),"",IF(AND(($C1982-$C1981)&gt;($D1981-$D1982),($C1982-$C1981)&gt;0),$C1982-$C1981,0))</f>
        <v>0</v>
      </c>
      <c r="AF1982">
        <f>IF(OR($E1982="",$E1981=""),"",IF(AND(($D1981-$D1982)&gt;($C1982-$C1981),($D1981-$D1982)&gt;0),$D1981-$D1982,0))</f>
        <v>0</v>
      </c>
      <c r="AG1982">
        <f>IF(COUNT($E$2:$E1982)&lt;15,"",IF(SUM($AC$1969:$AC$1982)=0,0,100*SUM($AE$1969:$AE$1982)/SUM($AC$1969:$AC$1982)))</f>
        <v>0</v>
      </c>
      <c r="AH1982">
        <f>IF(COUNT($E$2:$E1982)&lt;15,"",IF(SUM($AC$1969:$AC$1982)=0,0,100*SUM($AF$1969:$AF$1982)/SUM($AC$1969:$AC$1982)))</f>
        <v>0</v>
      </c>
      <c r="AI1982">
        <f>IF(OR(AG1982="",AH1982=""),"",IF((AG1982+AH1982)=0,0,100*ABS(AG1982-AH1982)/(AG1982+AH1982)))</f>
        <v>0</v>
      </c>
      <c r="AJ1982">
        <f>IF(COUNT($AI$1969:$AI$1982)&lt;14,"",AVERAGE($AI$1969:$AI$1982))</f>
        <v>0</v>
      </c>
      <c r="AK1982">
        <f>IF(COUNT($E$2:$E1982)&lt;20,"",AVERAGE($E$1963:$E$1982))</f>
        <v>0</v>
      </c>
      <c r="AL1982">
        <f>IF(COUNT($E$2:$E1982)&lt;20,"",STDEVP($E$1963:$E$1982))</f>
        <v>0</v>
      </c>
      <c r="AM1982">
        <f>IF(AK1982="","",AK1982+2*AL1982)</f>
        <v>0</v>
      </c>
      <c r="AN1982">
        <f>IF(AK1982="","",AK1982-2*AL1982)</f>
        <v>0</v>
      </c>
      <c r="AO1982">
        <f>IF(OR(AM1982="",AN1982="",AM1982=AN1982),"",($E1982-AN1982)/(AM1982-AN1982))</f>
        <v>0</v>
      </c>
      <c r="AP1982">
        <f>IF(OR(AM1982="",AK1982="",AK1982=0),"",(AM1982-AN1982)/AK1982)</f>
        <v>0</v>
      </c>
      <c r="AQ1982">
        <f>IF(COUNT($E$2:$E1982)&lt;20,"",MAX($C$1963:$C$1982))</f>
        <v>0</v>
      </c>
      <c r="AR1982">
        <f>IF(COUNT($E$2:$E1982)&lt;20,"",MIN($D$1963:$D$1982))</f>
        <v>0</v>
      </c>
      <c r="AS1982">
        <f>IF(OR(AQ1982="",AR1982=""),"",(AQ1982+AR1982)/2)</f>
        <v>0</v>
      </c>
      <c r="AT1982">
        <f>IF(COUNT($G$1963:$G$1982)&lt;20,"",STDEV($G$1963:$G$1982)*SQRT(252))</f>
        <v>0</v>
      </c>
      <c r="AU1982">
        <f>IF(COUNT($E$2:$E1982)&lt;9,"",(MAX($C$1974:$C$1982)+MIN($D$1974:$D$1982))/2)</f>
        <v>0</v>
      </c>
      <c r="AV1982">
        <f>IF(COUNT($E$2:$E1982)&lt;26,"",(MAX($C$1957:$C$1982)+MIN($D$1957:$D$1982))/2)</f>
        <v>0</v>
      </c>
      <c r="AW1982">
        <f>IF(OR(AU1982="",AV1982=""),"",(AU1982+AV1982)/2)</f>
        <v>0</v>
      </c>
      <c r="AX1982">
        <f>IF(COUNT($E$2:$E1982)&lt;52,"",(MAX($C$1931:$C$1982)+MIN($D$1931:$D$1982))/2)</f>
        <v>0</v>
      </c>
      <c r="AY1982">
        <f>IF(COUNT($E$2:$E1982)&lt;20,"",MAX($C$1883:$C$1982))</f>
        <v>0</v>
      </c>
      <c r="AZ1982">
        <f>IF(COUNT($E$2:$E1982)&lt;20,"",MIN($D$1883:$D$1982))</f>
        <v>0</v>
      </c>
      <c r="BA1982">
        <f>IF(COUNT($E$2:$E1982)&lt;20,"",SLOPE($E$1883:$E$1982,$F$1883:$F$1982))</f>
        <v>0</v>
      </c>
      <c r="BB1982">
        <f>IF(COUNT($E$2:$E1982)&lt;20,"",INTERCEPT($E$1883:$E$1982,$F$1883:$F$1982))</f>
        <v>0</v>
      </c>
      <c r="BC1982">
        <f>IF(OR(BA1982="",BB1982=""),"",BB1982+BA1982*F1982)</f>
        <v>0</v>
      </c>
      <c r="BD1982">
        <f>IF(COUNT($E$2:$E1982)&lt;20,"",STEYX($E$1883:$E$1982,$F$1883:$F$1982))</f>
        <v>0</v>
      </c>
      <c r="BE1982">
        <f>IF($E1982="","",IF(AND(COUNT($E$1983:$E$1986)&gt;=4,$C1982=MAX($C$1978:$C$1986)),$C1982,""))</f>
        <v>0</v>
      </c>
      <c r="BF1982">
        <f>IF($E1982="","",IF(AND(COUNT($E$1983:$E$1986)&gt;=4,$D1982=MIN($D$1978:$D$1986)),$D1982,""))</f>
        <v>0</v>
      </c>
      <c r="BG1982">
        <f>IF($A1982="","",$A1982-WEEKDAY($A1982,2)+1)</f>
        <v>0</v>
      </c>
      <c r="BH1982">
        <f>IF($A1982="","",IF($A1981="",1,IF(BG1982&lt;&gt;BG1981,1,0)))</f>
        <v>0</v>
      </c>
      <c r="BI1982">
        <f>IF($A1982="","",IF($A1983="",1,IF(BG1983&lt;&gt;BG1982,1,0)))</f>
        <v>0</v>
      </c>
      <c r="BJ1982">
        <f>IF($A1982="","",IF(BH1982=1,$B1982,BJ1981))</f>
        <v>0</v>
      </c>
      <c r="BK1982">
        <f>IF($A1982="","",IF(BH1982=1,$C1982,MAX($C1982,BK1981)))</f>
        <v>0</v>
      </c>
      <c r="BL1982">
        <f>IF($A1982="","",IF(BH1982=1,$D1982,MIN($D1982,BL1981)))</f>
        <v>0</v>
      </c>
      <c r="BM1982">
        <f>IF($A1982="","",IF(BI1982=1,F1982,""))</f>
        <v>0</v>
      </c>
      <c r="BN1982">
        <f>IF($A1982="","",DATE(YEAR($A1982),MONTH($A1982),1))</f>
        <v>0</v>
      </c>
      <c r="BO1982">
        <f>IF($A1982="","",IF($A1981="",1,IF(BN1982&lt;&gt;BN1981,1,0)))</f>
        <v>0</v>
      </c>
      <c r="BP1982">
        <f>IF($A1982="","",IF($A1983="",1,IF(BN1983&lt;&gt;BN1982,1,0)))</f>
        <v>0</v>
      </c>
      <c r="BQ1982">
        <f>IF($A1982="","",IF(BO1982=1,$B1982,BQ1981))</f>
        <v>0</v>
      </c>
      <c r="BR1982">
        <f>IF($A1982="","",IF(BO1982=1,$C1982,MAX($C1982,BR1981)))</f>
        <v>0</v>
      </c>
      <c r="BS1982">
        <f>IF($A1982="","",IF(BO1982=1,$D1982,MIN($D1982,BS1981)))</f>
        <v>0</v>
      </c>
      <c r="BT1982">
        <f>IF($A1982="","",IF(BP1982=1,F1982,""))</f>
        <v>0</v>
      </c>
    </row>
    <row r="1983" spans="1:72">
      <c r="A1983" s="27">
        <f>IF(Data!$A1983="","",Data!$A1983)</f>
        <v>0</v>
      </c>
      <c r="B1983">
        <f>IF(Data!$B1983="","",Data!$B1983)</f>
        <v>0</v>
      </c>
      <c r="C1983">
        <f>IF(Data!$C1983="","",Data!$C1983)</f>
        <v>0</v>
      </c>
      <c r="D1983">
        <f>IF(Data!$D1983="","",Data!$D1983)</f>
        <v>0</v>
      </c>
      <c r="E1983">
        <f>IF(Data!$E1983="","",Data!$E1983)</f>
        <v>0</v>
      </c>
      <c r="F1983">
        <f>IF($E1983="","",N(F1982)+1)</f>
        <v>0</v>
      </c>
      <c r="G1983">
        <f>IF(OR($E1983="",$E1982=""),"",LN($E1983/$E1982))</f>
        <v>0</v>
      </c>
      <c r="H1983">
        <f>IF($E1983="","",IF($E1982="",$E1983,$E1983*0.0952380952+H1982*0.9047619048))</f>
        <v>0</v>
      </c>
      <c r="I1983">
        <f>IF($E1983="","",IF($E1982="",$E1983,$E1983*0.0392156863+I1982*0.9607843137))</f>
        <v>0</v>
      </c>
      <c r="J1983">
        <f>IF($E1983="","",IF($E1982="",$E1983,$E1983*0.0198019802+J1982*0.9801980198))</f>
        <v>0</v>
      </c>
      <c r="K1983">
        <f>IF($E1983="","",IF($E1982="",$E1983,$E1983*0.0099502488+K1982*0.9900497512))</f>
        <v>0</v>
      </c>
      <c r="L1983">
        <f>IF(OR($E1983="",$E1982=""),"",MAX($E1983-$E1982,0))</f>
        <v>0</v>
      </c>
      <c r="M1983">
        <f>IF(OR($E1983="",$E1982=""),"",MAX($E1982-$E1983,0))</f>
        <v>0</v>
      </c>
      <c r="N1983">
        <f>IF(COUNT($E$2:$E1983)&lt;15,"",IF(AVERAGE($M$1970:$M$1983)=0,100,100-100/(1+AVERAGE($L$1970:$L$1983)/AVERAGE($M$1970:$M$1983))))</f>
        <v>0</v>
      </c>
      <c r="O1983">
        <f>IF($E1983="","",IF($E1982="",$E1983,$E1983*0.1538461538+O1982*0.8461538462))</f>
        <v>0</v>
      </c>
      <c r="P1983">
        <f>IF($E1983="","",IF($E1982="",$E1983,$E1983*0.0740740741+P1982*0.9259259259))</f>
        <v>0</v>
      </c>
      <c r="Q1983">
        <f>IF(OR(O1983="",P1983=""),"",O1983-P1983)</f>
        <v>0</v>
      </c>
      <c r="R1983">
        <f>IF(Q1983="","",IF(R1982="",Q1983,Q1983*0.2000000000+R1982*0.8000000000))</f>
        <v>0</v>
      </c>
      <c r="S1983">
        <f>IF(OR(Q1983="",R1983=""),"",Q1983-R1983)</f>
        <v>0</v>
      </c>
      <c r="T1983">
        <f>IF(COUNT($E$2:$E1983)&lt;14,"",MAX($C$1970:$C$1983))</f>
        <v>0</v>
      </c>
      <c r="U1983">
        <f>IF(COUNT($E$2:$E1983)&lt;14,"",MIN($D$1970:$D$1983))</f>
        <v>0</v>
      </c>
      <c r="V1983">
        <f>IF(OR(T1983="",U1983="",T1983=U1983),"",100*($E1983-U1983)/(T1983-U1983))</f>
        <v>0</v>
      </c>
      <c r="W1983">
        <f>IF(COUNT($V$1981:$V$1983)&lt;3,"",AVERAGE($V$1981:$V$1983))</f>
        <v>0</v>
      </c>
      <c r="X1983">
        <f>IF(COUNT($N$1970:$N$1983)&lt;14,"",MIN($N$1970:$N$1983))</f>
        <v>0</v>
      </c>
      <c r="Y1983">
        <f>IF(COUNT($N$1970:$N$1983)&lt;14,"",MAX($N$1970:$N$1983))</f>
        <v>0</v>
      </c>
      <c r="Z1983">
        <f>IF(OR(N1983="",X1983="",Y1983="",Y1983=X1983),"",100*(N1983-X1983)/(Y1983-X1983))</f>
        <v>0</v>
      </c>
      <c r="AA1983">
        <f>IF(COUNT($Z$1981:$Z$1983)&lt;3,"",AVERAGE($Z$1981:$Z$1983))</f>
        <v>0</v>
      </c>
      <c r="AB1983">
        <f>IF(COUNT($AA$1981:$AA$1983)&lt;3,"",AVERAGE($AA$1981:$AA$1983))</f>
        <v>0</v>
      </c>
      <c r="AC1983">
        <f>IF($E1983="","",MAX($C1983-$D1983,ABS($C1983-$E1982),ABS($D1983-$E1982)))</f>
        <v>0</v>
      </c>
      <c r="AD1983">
        <f>IF(COUNT($E$2:$E1983)&lt;15,"",AVERAGE($AC$1970:$AC$1983))</f>
        <v>0</v>
      </c>
      <c r="AE1983">
        <f>IF(OR($E1983="",$E1982=""),"",IF(AND(($C1983-$C1982)&gt;($D1982-$D1983),($C1983-$C1982)&gt;0),$C1983-$C1982,0))</f>
        <v>0</v>
      </c>
      <c r="AF1983">
        <f>IF(OR($E1983="",$E1982=""),"",IF(AND(($D1982-$D1983)&gt;($C1983-$C1982),($D1982-$D1983)&gt;0),$D1982-$D1983,0))</f>
        <v>0</v>
      </c>
      <c r="AG1983">
        <f>IF(COUNT($E$2:$E1983)&lt;15,"",IF(SUM($AC$1970:$AC$1983)=0,0,100*SUM($AE$1970:$AE$1983)/SUM($AC$1970:$AC$1983)))</f>
        <v>0</v>
      </c>
      <c r="AH1983">
        <f>IF(COUNT($E$2:$E1983)&lt;15,"",IF(SUM($AC$1970:$AC$1983)=0,0,100*SUM($AF$1970:$AF$1983)/SUM($AC$1970:$AC$1983)))</f>
        <v>0</v>
      </c>
      <c r="AI1983">
        <f>IF(OR(AG1983="",AH1983=""),"",IF((AG1983+AH1983)=0,0,100*ABS(AG1983-AH1983)/(AG1983+AH1983)))</f>
        <v>0</v>
      </c>
      <c r="AJ1983">
        <f>IF(COUNT($AI$1970:$AI$1983)&lt;14,"",AVERAGE($AI$1970:$AI$1983))</f>
        <v>0</v>
      </c>
      <c r="AK1983">
        <f>IF(COUNT($E$2:$E1983)&lt;20,"",AVERAGE($E$1964:$E$1983))</f>
        <v>0</v>
      </c>
      <c r="AL1983">
        <f>IF(COUNT($E$2:$E1983)&lt;20,"",STDEVP($E$1964:$E$1983))</f>
        <v>0</v>
      </c>
      <c r="AM1983">
        <f>IF(AK1983="","",AK1983+2*AL1983)</f>
        <v>0</v>
      </c>
      <c r="AN1983">
        <f>IF(AK1983="","",AK1983-2*AL1983)</f>
        <v>0</v>
      </c>
      <c r="AO1983">
        <f>IF(OR(AM1983="",AN1983="",AM1983=AN1983),"",($E1983-AN1983)/(AM1983-AN1983))</f>
        <v>0</v>
      </c>
      <c r="AP1983">
        <f>IF(OR(AM1983="",AK1983="",AK1983=0),"",(AM1983-AN1983)/AK1983)</f>
        <v>0</v>
      </c>
      <c r="AQ1983">
        <f>IF(COUNT($E$2:$E1983)&lt;20,"",MAX($C$1964:$C$1983))</f>
        <v>0</v>
      </c>
      <c r="AR1983">
        <f>IF(COUNT($E$2:$E1983)&lt;20,"",MIN($D$1964:$D$1983))</f>
        <v>0</v>
      </c>
      <c r="AS1983">
        <f>IF(OR(AQ1983="",AR1983=""),"",(AQ1983+AR1983)/2)</f>
        <v>0</v>
      </c>
      <c r="AT1983">
        <f>IF(COUNT($G$1964:$G$1983)&lt;20,"",STDEV($G$1964:$G$1983)*SQRT(252))</f>
        <v>0</v>
      </c>
      <c r="AU1983">
        <f>IF(COUNT($E$2:$E1983)&lt;9,"",(MAX($C$1975:$C$1983)+MIN($D$1975:$D$1983))/2)</f>
        <v>0</v>
      </c>
      <c r="AV1983">
        <f>IF(COUNT($E$2:$E1983)&lt;26,"",(MAX($C$1958:$C$1983)+MIN($D$1958:$D$1983))/2)</f>
        <v>0</v>
      </c>
      <c r="AW1983">
        <f>IF(OR(AU1983="",AV1983=""),"",(AU1983+AV1983)/2)</f>
        <v>0</v>
      </c>
      <c r="AX1983">
        <f>IF(COUNT($E$2:$E1983)&lt;52,"",(MAX($C$1932:$C$1983)+MIN($D$1932:$D$1983))/2)</f>
        <v>0</v>
      </c>
      <c r="AY1983">
        <f>IF(COUNT($E$2:$E1983)&lt;20,"",MAX($C$1884:$C$1983))</f>
        <v>0</v>
      </c>
      <c r="AZ1983">
        <f>IF(COUNT($E$2:$E1983)&lt;20,"",MIN($D$1884:$D$1983))</f>
        <v>0</v>
      </c>
      <c r="BA1983">
        <f>IF(COUNT($E$2:$E1983)&lt;20,"",SLOPE($E$1884:$E$1983,$F$1884:$F$1983))</f>
        <v>0</v>
      </c>
      <c r="BB1983">
        <f>IF(COUNT($E$2:$E1983)&lt;20,"",INTERCEPT($E$1884:$E$1983,$F$1884:$F$1983))</f>
        <v>0</v>
      </c>
      <c r="BC1983">
        <f>IF(OR(BA1983="",BB1983=""),"",BB1983+BA1983*F1983)</f>
        <v>0</v>
      </c>
      <c r="BD1983">
        <f>IF(COUNT($E$2:$E1983)&lt;20,"",STEYX($E$1884:$E$1983,$F$1884:$F$1983))</f>
        <v>0</v>
      </c>
      <c r="BE1983">
        <f>IF($E1983="","",IF(AND(COUNT($E$1984:$E$1987)&gt;=4,$C1983=MAX($C$1979:$C$1987)),$C1983,""))</f>
        <v>0</v>
      </c>
      <c r="BF1983">
        <f>IF($E1983="","",IF(AND(COUNT($E$1984:$E$1987)&gt;=4,$D1983=MIN($D$1979:$D$1987)),$D1983,""))</f>
        <v>0</v>
      </c>
      <c r="BG1983">
        <f>IF($A1983="","",$A1983-WEEKDAY($A1983,2)+1)</f>
        <v>0</v>
      </c>
      <c r="BH1983">
        <f>IF($A1983="","",IF($A1982="",1,IF(BG1983&lt;&gt;BG1982,1,0)))</f>
        <v>0</v>
      </c>
      <c r="BI1983">
        <f>IF($A1983="","",IF($A1984="",1,IF(BG1984&lt;&gt;BG1983,1,0)))</f>
        <v>0</v>
      </c>
      <c r="BJ1983">
        <f>IF($A1983="","",IF(BH1983=1,$B1983,BJ1982))</f>
        <v>0</v>
      </c>
      <c r="BK1983">
        <f>IF($A1983="","",IF(BH1983=1,$C1983,MAX($C1983,BK1982)))</f>
        <v>0</v>
      </c>
      <c r="BL1983">
        <f>IF($A1983="","",IF(BH1983=1,$D1983,MIN($D1983,BL1982)))</f>
        <v>0</v>
      </c>
      <c r="BM1983">
        <f>IF($A1983="","",IF(BI1983=1,F1983,""))</f>
        <v>0</v>
      </c>
      <c r="BN1983">
        <f>IF($A1983="","",DATE(YEAR($A1983),MONTH($A1983),1))</f>
        <v>0</v>
      </c>
      <c r="BO1983">
        <f>IF($A1983="","",IF($A1982="",1,IF(BN1983&lt;&gt;BN1982,1,0)))</f>
        <v>0</v>
      </c>
      <c r="BP1983">
        <f>IF($A1983="","",IF($A1984="",1,IF(BN1984&lt;&gt;BN1983,1,0)))</f>
        <v>0</v>
      </c>
      <c r="BQ1983">
        <f>IF($A1983="","",IF(BO1983=1,$B1983,BQ1982))</f>
        <v>0</v>
      </c>
      <c r="BR1983">
        <f>IF($A1983="","",IF(BO1983=1,$C1983,MAX($C1983,BR1982)))</f>
        <v>0</v>
      </c>
      <c r="BS1983">
        <f>IF($A1983="","",IF(BO1983=1,$D1983,MIN($D1983,BS1982)))</f>
        <v>0</v>
      </c>
      <c r="BT1983">
        <f>IF($A1983="","",IF(BP1983=1,F1983,""))</f>
        <v>0</v>
      </c>
    </row>
    <row r="1984" spans="1:72">
      <c r="A1984" s="27">
        <f>IF(Data!$A1984="","",Data!$A1984)</f>
        <v>0</v>
      </c>
      <c r="B1984">
        <f>IF(Data!$B1984="","",Data!$B1984)</f>
        <v>0</v>
      </c>
      <c r="C1984">
        <f>IF(Data!$C1984="","",Data!$C1984)</f>
        <v>0</v>
      </c>
      <c r="D1984">
        <f>IF(Data!$D1984="","",Data!$D1984)</f>
        <v>0</v>
      </c>
      <c r="E1984">
        <f>IF(Data!$E1984="","",Data!$E1984)</f>
        <v>0</v>
      </c>
      <c r="F1984">
        <f>IF($E1984="","",N(F1983)+1)</f>
        <v>0</v>
      </c>
      <c r="G1984">
        <f>IF(OR($E1984="",$E1983=""),"",LN($E1984/$E1983))</f>
        <v>0</v>
      </c>
      <c r="H1984">
        <f>IF($E1984="","",IF($E1983="",$E1984,$E1984*0.0952380952+H1983*0.9047619048))</f>
        <v>0</v>
      </c>
      <c r="I1984">
        <f>IF($E1984="","",IF($E1983="",$E1984,$E1984*0.0392156863+I1983*0.9607843137))</f>
        <v>0</v>
      </c>
      <c r="J1984">
        <f>IF($E1984="","",IF($E1983="",$E1984,$E1984*0.0198019802+J1983*0.9801980198))</f>
        <v>0</v>
      </c>
      <c r="K1984">
        <f>IF($E1984="","",IF($E1983="",$E1984,$E1984*0.0099502488+K1983*0.9900497512))</f>
        <v>0</v>
      </c>
      <c r="L1984">
        <f>IF(OR($E1984="",$E1983=""),"",MAX($E1984-$E1983,0))</f>
        <v>0</v>
      </c>
      <c r="M1984">
        <f>IF(OR($E1984="",$E1983=""),"",MAX($E1983-$E1984,0))</f>
        <v>0</v>
      </c>
      <c r="N1984">
        <f>IF(COUNT($E$2:$E1984)&lt;15,"",IF(AVERAGE($M$1971:$M$1984)=0,100,100-100/(1+AVERAGE($L$1971:$L$1984)/AVERAGE($M$1971:$M$1984))))</f>
        <v>0</v>
      </c>
      <c r="O1984">
        <f>IF($E1984="","",IF($E1983="",$E1984,$E1984*0.1538461538+O1983*0.8461538462))</f>
        <v>0</v>
      </c>
      <c r="P1984">
        <f>IF($E1984="","",IF($E1983="",$E1984,$E1984*0.0740740741+P1983*0.9259259259))</f>
        <v>0</v>
      </c>
      <c r="Q1984">
        <f>IF(OR(O1984="",P1984=""),"",O1984-P1984)</f>
        <v>0</v>
      </c>
      <c r="R1984">
        <f>IF(Q1984="","",IF(R1983="",Q1984,Q1984*0.2000000000+R1983*0.8000000000))</f>
        <v>0</v>
      </c>
      <c r="S1984">
        <f>IF(OR(Q1984="",R1984=""),"",Q1984-R1984)</f>
        <v>0</v>
      </c>
      <c r="T1984">
        <f>IF(COUNT($E$2:$E1984)&lt;14,"",MAX($C$1971:$C$1984))</f>
        <v>0</v>
      </c>
      <c r="U1984">
        <f>IF(COUNT($E$2:$E1984)&lt;14,"",MIN($D$1971:$D$1984))</f>
        <v>0</v>
      </c>
      <c r="V1984">
        <f>IF(OR(T1984="",U1984="",T1984=U1984),"",100*($E1984-U1984)/(T1984-U1984))</f>
        <v>0</v>
      </c>
      <c r="W1984">
        <f>IF(COUNT($V$1982:$V$1984)&lt;3,"",AVERAGE($V$1982:$V$1984))</f>
        <v>0</v>
      </c>
      <c r="X1984">
        <f>IF(COUNT($N$1971:$N$1984)&lt;14,"",MIN($N$1971:$N$1984))</f>
        <v>0</v>
      </c>
      <c r="Y1984">
        <f>IF(COUNT($N$1971:$N$1984)&lt;14,"",MAX($N$1971:$N$1984))</f>
        <v>0</v>
      </c>
      <c r="Z1984">
        <f>IF(OR(N1984="",X1984="",Y1984="",Y1984=X1984),"",100*(N1984-X1984)/(Y1984-X1984))</f>
        <v>0</v>
      </c>
      <c r="AA1984">
        <f>IF(COUNT($Z$1982:$Z$1984)&lt;3,"",AVERAGE($Z$1982:$Z$1984))</f>
        <v>0</v>
      </c>
      <c r="AB1984">
        <f>IF(COUNT($AA$1982:$AA$1984)&lt;3,"",AVERAGE($AA$1982:$AA$1984))</f>
        <v>0</v>
      </c>
      <c r="AC1984">
        <f>IF($E1984="","",MAX($C1984-$D1984,ABS($C1984-$E1983),ABS($D1984-$E1983)))</f>
        <v>0</v>
      </c>
      <c r="AD1984">
        <f>IF(COUNT($E$2:$E1984)&lt;15,"",AVERAGE($AC$1971:$AC$1984))</f>
        <v>0</v>
      </c>
      <c r="AE1984">
        <f>IF(OR($E1984="",$E1983=""),"",IF(AND(($C1984-$C1983)&gt;($D1983-$D1984),($C1984-$C1983)&gt;0),$C1984-$C1983,0))</f>
        <v>0</v>
      </c>
      <c r="AF1984">
        <f>IF(OR($E1984="",$E1983=""),"",IF(AND(($D1983-$D1984)&gt;($C1984-$C1983),($D1983-$D1984)&gt;0),$D1983-$D1984,0))</f>
        <v>0</v>
      </c>
      <c r="AG1984">
        <f>IF(COUNT($E$2:$E1984)&lt;15,"",IF(SUM($AC$1971:$AC$1984)=0,0,100*SUM($AE$1971:$AE$1984)/SUM($AC$1971:$AC$1984)))</f>
        <v>0</v>
      </c>
      <c r="AH1984">
        <f>IF(COUNT($E$2:$E1984)&lt;15,"",IF(SUM($AC$1971:$AC$1984)=0,0,100*SUM($AF$1971:$AF$1984)/SUM($AC$1971:$AC$1984)))</f>
        <v>0</v>
      </c>
      <c r="AI1984">
        <f>IF(OR(AG1984="",AH1984=""),"",IF((AG1984+AH1984)=0,0,100*ABS(AG1984-AH1984)/(AG1984+AH1984)))</f>
        <v>0</v>
      </c>
      <c r="AJ1984">
        <f>IF(COUNT($AI$1971:$AI$1984)&lt;14,"",AVERAGE($AI$1971:$AI$1984))</f>
        <v>0</v>
      </c>
      <c r="AK1984">
        <f>IF(COUNT($E$2:$E1984)&lt;20,"",AVERAGE($E$1965:$E$1984))</f>
        <v>0</v>
      </c>
      <c r="AL1984">
        <f>IF(COUNT($E$2:$E1984)&lt;20,"",STDEVP($E$1965:$E$1984))</f>
        <v>0</v>
      </c>
      <c r="AM1984">
        <f>IF(AK1984="","",AK1984+2*AL1984)</f>
        <v>0</v>
      </c>
      <c r="AN1984">
        <f>IF(AK1984="","",AK1984-2*AL1984)</f>
        <v>0</v>
      </c>
      <c r="AO1984">
        <f>IF(OR(AM1984="",AN1984="",AM1984=AN1984),"",($E1984-AN1984)/(AM1984-AN1984))</f>
        <v>0</v>
      </c>
      <c r="AP1984">
        <f>IF(OR(AM1984="",AK1984="",AK1984=0),"",(AM1984-AN1984)/AK1984)</f>
        <v>0</v>
      </c>
      <c r="AQ1984">
        <f>IF(COUNT($E$2:$E1984)&lt;20,"",MAX($C$1965:$C$1984))</f>
        <v>0</v>
      </c>
      <c r="AR1984">
        <f>IF(COUNT($E$2:$E1984)&lt;20,"",MIN($D$1965:$D$1984))</f>
        <v>0</v>
      </c>
      <c r="AS1984">
        <f>IF(OR(AQ1984="",AR1984=""),"",(AQ1984+AR1984)/2)</f>
        <v>0</v>
      </c>
      <c r="AT1984">
        <f>IF(COUNT($G$1965:$G$1984)&lt;20,"",STDEV($G$1965:$G$1984)*SQRT(252))</f>
        <v>0</v>
      </c>
      <c r="AU1984">
        <f>IF(COUNT($E$2:$E1984)&lt;9,"",(MAX($C$1976:$C$1984)+MIN($D$1976:$D$1984))/2)</f>
        <v>0</v>
      </c>
      <c r="AV1984">
        <f>IF(COUNT($E$2:$E1984)&lt;26,"",(MAX($C$1959:$C$1984)+MIN($D$1959:$D$1984))/2)</f>
        <v>0</v>
      </c>
      <c r="AW1984">
        <f>IF(OR(AU1984="",AV1984=""),"",(AU1984+AV1984)/2)</f>
        <v>0</v>
      </c>
      <c r="AX1984">
        <f>IF(COUNT($E$2:$E1984)&lt;52,"",(MAX($C$1933:$C$1984)+MIN($D$1933:$D$1984))/2)</f>
        <v>0</v>
      </c>
      <c r="AY1984">
        <f>IF(COUNT($E$2:$E1984)&lt;20,"",MAX($C$1885:$C$1984))</f>
        <v>0</v>
      </c>
      <c r="AZ1984">
        <f>IF(COUNT($E$2:$E1984)&lt;20,"",MIN($D$1885:$D$1984))</f>
        <v>0</v>
      </c>
      <c r="BA1984">
        <f>IF(COUNT($E$2:$E1984)&lt;20,"",SLOPE($E$1885:$E$1984,$F$1885:$F$1984))</f>
        <v>0</v>
      </c>
      <c r="BB1984">
        <f>IF(COUNT($E$2:$E1984)&lt;20,"",INTERCEPT($E$1885:$E$1984,$F$1885:$F$1984))</f>
        <v>0</v>
      </c>
      <c r="BC1984">
        <f>IF(OR(BA1984="",BB1984=""),"",BB1984+BA1984*F1984)</f>
        <v>0</v>
      </c>
      <c r="BD1984">
        <f>IF(COUNT($E$2:$E1984)&lt;20,"",STEYX($E$1885:$E$1984,$F$1885:$F$1984))</f>
        <v>0</v>
      </c>
      <c r="BE1984">
        <f>IF($E1984="","",IF(AND(COUNT($E$1985:$E$1988)&gt;=4,$C1984=MAX($C$1980:$C$1988)),$C1984,""))</f>
        <v>0</v>
      </c>
      <c r="BF1984">
        <f>IF($E1984="","",IF(AND(COUNT($E$1985:$E$1988)&gt;=4,$D1984=MIN($D$1980:$D$1988)),$D1984,""))</f>
        <v>0</v>
      </c>
      <c r="BG1984">
        <f>IF($A1984="","",$A1984-WEEKDAY($A1984,2)+1)</f>
        <v>0</v>
      </c>
      <c r="BH1984">
        <f>IF($A1984="","",IF($A1983="",1,IF(BG1984&lt;&gt;BG1983,1,0)))</f>
        <v>0</v>
      </c>
      <c r="BI1984">
        <f>IF($A1984="","",IF($A1985="",1,IF(BG1985&lt;&gt;BG1984,1,0)))</f>
        <v>0</v>
      </c>
      <c r="BJ1984">
        <f>IF($A1984="","",IF(BH1984=1,$B1984,BJ1983))</f>
        <v>0</v>
      </c>
      <c r="BK1984">
        <f>IF($A1984="","",IF(BH1984=1,$C1984,MAX($C1984,BK1983)))</f>
        <v>0</v>
      </c>
      <c r="BL1984">
        <f>IF($A1984="","",IF(BH1984=1,$D1984,MIN($D1984,BL1983)))</f>
        <v>0</v>
      </c>
      <c r="BM1984">
        <f>IF($A1984="","",IF(BI1984=1,F1984,""))</f>
        <v>0</v>
      </c>
      <c r="BN1984">
        <f>IF($A1984="","",DATE(YEAR($A1984),MONTH($A1984),1))</f>
        <v>0</v>
      </c>
      <c r="BO1984">
        <f>IF($A1984="","",IF($A1983="",1,IF(BN1984&lt;&gt;BN1983,1,0)))</f>
        <v>0</v>
      </c>
      <c r="BP1984">
        <f>IF($A1984="","",IF($A1985="",1,IF(BN1985&lt;&gt;BN1984,1,0)))</f>
        <v>0</v>
      </c>
      <c r="BQ1984">
        <f>IF($A1984="","",IF(BO1984=1,$B1984,BQ1983))</f>
        <v>0</v>
      </c>
      <c r="BR1984">
        <f>IF($A1984="","",IF(BO1984=1,$C1984,MAX($C1984,BR1983)))</f>
        <v>0</v>
      </c>
      <c r="BS1984">
        <f>IF($A1984="","",IF(BO1984=1,$D1984,MIN($D1984,BS1983)))</f>
        <v>0</v>
      </c>
      <c r="BT1984">
        <f>IF($A1984="","",IF(BP1984=1,F1984,""))</f>
        <v>0</v>
      </c>
    </row>
    <row r="1985" spans="1:72">
      <c r="A1985" s="27">
        <f>IF(Data!$A1985="","",Data!$A1985)</f>
        <v>0</v>
      </c>
      <c r="B1985">
        <f>IF(Data!$B1985="","",Data!$B1985)</f>
        <v>0</v>
      </c>
      <c r="C1985">
        <f>IF(Data!$C1985="","",Data!$C1985)</f>
        <v>0</v>
      </c>
      <c r="D1985">
        <f>IF(Data!$D1985="","",Data!$D1985)</f>
        <v>0</v>
      </c>
      <c r="E1985">
        <f>IF(Data!$E1985="","",Data!$E1985)</f>
        <v>0</v>
      </c>
      <c r="F1985">
        <f>IF($E1985="","",N(F1984)+1)</f>
        <v>0</v>
      </c>
      <c r="G1985">
        <f>IF(OR($E1985="",$E1984=""),"",LN($E1985/$E1984))</f>
        <v>0</v>
      </c>
      <c r="H1985">
        <f>IF($E1985="","",IF($E1984="",$E1985,$E1985*0.0952380952+H1984*0.9047619048))</f>
        <v>0</v>
      </c>
      <c r="I1985">
        <f>IF($E1985="","",IF($E1984="",$E1985,$E1985*0.0392156863+I1984*0.9607843137))</f>
        <v>0</v>
      </c>
      <c r="J1985">
        <f>IF($E1985="","",IF($E1984="",$E1985,$E1985*0.0198019802+J1984*0.9801980198))</f>
        <v>0</v>
      </c>
      <c r="K1985">
        <f>IF($E1985="","",IF($E1984="",$E1985,$E1985*0.0099502488+K1984*0.9900497512))</f>
        <v>0</v>
      </c>
      <c r="L1985">
        <f>IF(OR($E1985="",$E1984=""),"",MAX($E1985-$E1984,0))</f>
        <v>0</v>
      </c>
      <c r="M1985">
        <f>IF(OR($E1985="",$E1984=""),"",MAX($E1984-$E1985,0))</f>
        <v>0</v>
      </c>
      <c r="N1985">
        <f>IF(COUNT($E$2:$E1985)&lt;15,"",IF(AVERAGE($M$1972:$M$1985)=0,100,100-100/(1+AVERAGE($L$1972:$L$1985)/AVERAGE($M$1972:$M$1985))))</f>
        <v>0</v>
      </c>
      <c r="O1985">
        <f>IF($E1985="","",IF($E1984="",$E1985,$E1985*0.1538461538+O1984*0.8461538462))</f>
        <v>0</v>
      </c>
      <c r="P1985">
        <f>IF($E1985="","",IF($E1984="",$E1985,$E1985*0.0740740741+P1984*0.9259259259))</f>
        <v>0</v>
      </c>
      <c r="Q1985">
        <f>IF(OR(O1985="",P1985=""),"",O1985-P1985)</f>
        <v>0</v>
      </c>
      <c r="R1985">
        <f>IF(Q1985="","",IF(R1984="",Q1985,Q1985*0.2000000000+R1984*0.8000000000))</f>
        <v>0</v>
      </c>
      <c r="S1985">
        <f>IF(OR(Q1985="",R1985=""),"",Q1985-R1985)</f>
        <v>0</v>
      </c>
      <c r="T1985">
        <f>IF(COUNT($E$2:$E1985)&lt;14,"",MAX($C$1972:$C$1985))</f>
        <v>0</v>
      </c>
      <c r="U1985">
        <f>IF(COUNT($E$2:$E1985)&lt;14,"",MIN($D$1972:$D$1985))</f>
        <v>0</v>
      </c>
      <c r="V1985">
        <f>IF(OR(T1985="",U1985="",T1985=U1985),"",100*($E1985-U1985)/(T1985-U1985))</f>
        <v>0</v>
      </c>
      <c r="W1985">
        <f>IF(COUNT($V$1983:$V$1985)&lt;3,"",AVERAGE($V$1983:$V$1985))</f>
        <v>0</v>
      </c>
      <c r="X1985">
        <f>IF(COUNT($N$1972:$N$1985)&lt;14,"",MIN($N$1972:$N$1985))</f>
        <v>0</v>
      </c>
      <c r="Y1985">
        <f>IF(COUNT($N$1972:$N$1985)&lt;14,"",MAX($N$1972:$N$1985))</f>
        <v>0</v>
      </c>
      <c r="Z1985">
        <f>IF(OR(N1985="",X1985="",Y1985="",Y1985=X1985),"",100*(N1985-X1985)/(Y1985-X1985))</f>
        <v>0</v>
      </c>
      <c r="AA1985">
        <f>IF(COUNT($Z$1983:$Z$1985)&lt;3,"",AVERAGE($Z$1983:$Z$1985))</f>
        <v>0</v>
      </c>
      <c r="AB1985">
        <f>IF(COUNT($AA$1983:$AA$1985)&lt;3,"",AVERAGE($AA$1983:$AA$1985))</f>
        <v>0</v>
      </c>
      <c r="AC1985">
        <f>IF($E1985="","",MAX($C1985-$D1985,ABS($C1985-$E1984),ABS($D1985-$E1984)))</f>
        <v>0</v>
      </c>
      <c r="AD1985">
        <f>IF(COUNT($E$2:$E1985)&lt;15,"",AVERAGE($AC$1972:$AC$1985))</f>
        <v>0</v>
      </c>
      <c r="AE1985">
        <f>IF(OR($E1985="",$E1984=""),"",IF(AND(($C1985-$C1984)&gt;($D1984-$D1985),($C1985-$C1984)&gt;0),$C1985-$C1984,0))</f>
        <v>0</v>
      </c>
      <c r="AF1985">
        <f>IF(OR($E1985="",$E1984=""),"",IF(AND(($D1984-$D1985)&gt;($C1985-$C1984),($D1984-$D1985)&gt;0),$D1984-$D1985,0))</f>
        <v>0</v>
      </c>
      <c r="AG1985">
        <f>IF(COUNT($E$2:$E1985)&lt;15,"",IF(SUM($AC$1972:$AC$1985)=0,0,100*SUM($AE$1972:$AE$1985)/SUM($AC$1972:$AC$1985)))</f>
        <v>0</v>
      </c>
      <c r="AH1985">
        <f>IF(COUNT($E$2:$E1985)&lt;15,"",IF(SUM($AC$1972:$AC$1985)=0,0,100*SUM($AF$1972:$AF$1985)/SUM($AC$1972:$AC$1985)))</f>
        <v>0</v>
      </c>
      <c r="AI1985">
        <f>IF(OR(AG1985="",AH1985=""),"",IF((AG1985+AH1985)=0,0,100*ABS(AG1985-AH1985)/(AG1985+AH1985)))</f>
        <v>0</v>
      </c>
      <c r="AJ1985">
        <f>IF(COUNT($AI$1972:$AI$1985)&lt;14,"",AVERAGE($AI$1972:$AI$1985))</f>
        <v>0</v>
      </c>
      <c r="AK1985">
        <f>IF(COUNT($E$2:$E1985)&lt;20,"",AVERAGE($E$1966:$E$1985))</f>
        <v>0</v>
      </c>
      <c r="AL1985">
        <f>IF(COUNT($E$2:$E1985)&lt;20,"",STDEVP($E$1966:$E$1985))</f>
        <v>0</v>
      </c>
      <c r="AM1985">
        <f>IF(AK1985="","",AK1985+2*AL1985)</f>
        <v>0</v>
      </c>
      <c r="AN1985">
        <f>IF(AK1985="","",AK1985-2*AL1985)</f>
        <v>0</v>
      </c>
      <c r="AO1985">
        <f>IF(OR(AM1985="",AN1985="",AM1985=AN1985),"",($E1985-AN1985)/(AM1985-AN1985))</f>
        <v>0</v>
      </c>
      <c r="AP1985">
        <f>IF(OR(AM1985="",AK1985="",AK1985=0),"",(AM1985-AN1985)/AK1985)</f>
        <v>0</v>
      </c>
      <c r="AQ1985">
        <f>IF(COUNT($E$2:$E1985)&lt;20,"",MAX($C$1966:$C$1985))</f>
        <v>0</v>
      </c>
      <c r="AR1985">
        <f>IF(COUNT($E$2:$E1985)&lt;20,"",MIN($D$1966:$D$1985))</f>
        <v>0</v>
      </c>
      <c r="AS1985">
        <f>IF(OR(AQ1985="",AR1985=""),"",(AQ1985+AR1985)/2)</f>
        <v>0</v>
      </c>
      <c r="AT1985">
        <f>IF(COUNT($G$1966:$G$1985)&lt;20,"",STDEV($G$1966:$G$1985)*SQRT(252))</f>
        <v>0</v>
      </c>
      <c r="AU1985">
        <f>IF(COUNT($E$2:$E1985)&lt;9,"",(MAX($C$1977:$C$1985)+MIN($D$1977:$D$1985))/2)</f>
        <v>0</v>
      </c>
      <c r="AV1985">
        <f>IF(COUNT($E$2:$E1985)&lt;26,"",(MAX($C$1960:$C$1985)+MIN($D$1960:$D$1985))/2)</f>
        <v>0</v>
      </c>
      <c r="AW1985">
        <f>IF(OR(AU1985="",AV1985=""),"",(AU1985+AV1985)/2)</f>
        <v>0</v>
      </c>
      <c r="AX1985">
        <f>IF(COUNT($E$2:$E1985)&lt;52,"",(MAX($C$1934:$C$1985)+MIN($D$1934:$D$1985))/2)</f>
        <v>0</v>
      </c>
      <c r="AY1985">
        <f>IF(COUNT($E$2:$E1985)&lt;20,"",MAX($C$1886:$C$1985))</f>
        <v>0</v>
      </c>
      <c r="AZ1985">
        <f>IF(COUNT($E$2:$E1985)&lt;20,"",MIN($D$1886:$D$1985))</f>
        <v>0</v>
      </c>
      <c r="BA1985">
        <f>IF(COUNT($E$2:$E1985)&lt;20,"",SLOPE($E$1886:$E$1985,$F$1886:$F$1985))</f>
        <v>0</v>
      </c>
      <c r="BB1985">
        <f>IF(COUNT($E$2:$E1985)&lt;20,"",INTERCEPT($E$1886:$E$1985,$F$1886:$F$1985))</f>
        <v>0</v>
      </c>
      <c r="BC1985">
        <f>IF(OR(BA1985="",BB1985=""),"",BB1985+BA1985*F1985)</f>
        <v>0</v>
      </c>
      <c r="BD1985">
        <f>IF(COUNT($E$2:$E1985)&lt;20,"",STEYX($E$1886:$E$1985,$F$1886:$F$1985))</f>
        <v>0</v>
      </c>
      <c r="BE1985">
        <f>IF($E1985="","",IF(AND(COUNT($E$1986:$E$1989)&gt;=4,$C1985=MAX($C$1981:$C$1989)),$C1985,""))</f>
        <v>0</v>
      </c>
      <c r="BF1985">
        <f>IF($E1985="","",IF(AND(COUNT($E$1986:$E$1989)&gt;=4,$D1985=MIN($D$1981:$D$1989)),$D1985,""))</f>
        <v>0</v>
      </c>
      <c r="BG1985">
        <f>IF($A1985="","",$A1985-WEEKDAY($A1985,2)+1)</f>
        <v>0</v>
      </c>
      <c r="BH1985">
        <f>IF($A1985="","",IF($A1984="",1,IF(BG1985&lt;&gt;BG1984,1,0)))</f>
        <v>0</v>
      </c>
      <c r="BI1985">
        <f>IF($A1985="","",IF($A1986="",1,IF(BG1986&lt;&gt;BG1985,1,0)))</f>
        <v>0</v>
      </c>
      <c r="BJ1985">
        <f>IF($A1985="","",IF(BH1985=1,$B1985,BJ1984))</f>
        <v>0</v>
      </c>
      <c r="BK1985">
        <f>IF($A1985="","",IF(BH1985=1,$C1985,MAX($C1985,BK1984)))</f>
        <v>0</v>
      </c>
      <c r="BL1985">
        <f>IF($A1985="","",IF(BH1985=1,$D1985,MIN($D1985,BL1984)))</f>
        <v>0</v>
      </c>
      <c r="BM1985">
        <f>IF($A1985="","",IF(BI1985=1,F1985,""))</f>
        <v>0</v>
      </c>
      <c r="BN1985">
        <f>IF($A1985="","",DATE(YEAR($A1985),MONTH($A1985),1))</f>
        <v>0</v>
      </c>
      <c r="BO1985">
        <f>IF($A1985="","",IF($A1984="",1,IF(BN1985&lt;&gt;BN1984,1,0)))</f>
        <v>0</v>
      </c>
      <c r="BP1985">
        <f>IF($A1985="","",IF($A1986="",1,IF(BN1986&lt;&gt;BN1985,1,0)))</f>
        <v>0</v>
      </c>
      <c r="BQ1985">
        <f>IF($A1985="","",IF(BO1985=1,$B1985,BQ1984))</f>
        <v>0</v>
      </c>
      <c r="BR1985">
        <f>IF($A1985="","",IF(BO1985=1,$C1985,MAX($C1985,BR1984)))</f>
        <v>0</v>
      </c>
      <c r="BS1985">
        <f>IF($A1985="","",IF(BO1985=1,$D1985,MIN($D1985,BS1984)))</f>
        <v>0</v>
      </c>
      <c r="BT1985">
        <f>IF($A1985="","",IF(BP1985=1,F1985,""))</f>
        <v>0</v>
      </c>
    </row>
    <row r="1986" spans="1:72">
      <c r="A1986" s="27">
        <f>IF(Data!$A1986="","",Data!$A1986)</f>
        <v>0</v>
      </c>
      <c r="B1986">
        <f>IF(Data!$B1986="","",Data!$B1986)</f>
        <v>0</v>
      </c>
      <c r="C1986">
        <f>IF(Data!$C1986="","",Data!$C1986)</f>
        <v>0</v>
      </c>
      <c r="D1986">
        <f>IF(Data!$D1986="","",Data!$D1986)</f>
        <v>0</v>
      </c>
      <c r="E1986">
        <f>IF(Data!$E1986="","",Data!$E1986)</f>
        <v>0</v>
      </c>
      <c r="F1986">
        <f>IF($E1986="","",N(F1985)+1)</f>
        <v>0</v>
      </c>
      <c r="G1986">
        <f>IF(OR($E1986="",$E1985=""),"",LN($E1986/$E1985))</f>
        <v>0</v>
      </c>
      <c r="H1986">
        <f>IF($E1986="","",IF($E1985="",$E1986,$E1986*0.0952380952+H1985*0.9047619048))</f>
        <v>0</v>
      </c>
      <c r="I1986">
        <f>IF($E1986="","",IF($E1985="",$E1986,$E1986*0.0392156863+I1985*0.9607843137))</f>
        <v>0</v>
      </c>
      <c r="J1986">
        <f>IF($E1986="","",IF($E1985="",$E1986,$E1986*0.0198019802+J1985*0.9801980198))</f>
        <v>0</v>
      </c>
      <c r="K1986">
        <f>IF($E1986="","",IF($E1985="",$E1986,$E1986*0.0099502488+K1985*0.9900497512))</f>
        <v>0</v>
      </c>
      <c r="L1986">
        <f>IF(OR($E1986="",$E1985=""),"",MAX($E1986-$E1985,0))</f>
        <v>0</v>
      </c>
      <c r="M1986">
        <f>IF(OR($E1986="",$E1985=""),"",MAX($E1985-$E1986,0))</f>
        <v>0</v>
      </c>
      <c r="N1986">
        <f>IF(COUNT($E$2:$E1986)&lt;15,"",IF(AVERAGE($M$1973:$M$1986)=0,100,100-100/(1+AVERAGE($L$1973:$L$1986)/AVERAGE($M$1973:$M$1986))))</f>
        <v>0</v>
      </c>
      <c r="O1986">
        <f>IF($E1986="","",IF($E1985="",$E1986,$E1986*0.1538461538+O1985*0.8461538462))</f>
        <v>0</v>
      </c>
      <c r="P1986">
        <f>IF($E1986="","",IF($E1985="",$E1986,$E1986*0.0740740741+P1985*0.9259259259))</f>
        <v>0</v>
      </c>
      <c r="Q1986">
        <f>IF(OR(O1986="",P1986=""),"",O1986-P1986)</f>
        <v>0</v>
      </c>
      <c r="R1986">
        <f>IF(Q1986="","",IF(R1985="",Q1986,Q1986*0.2000000000+R1985*0.8000000000))</f>
        <v>0</v>
      </c>
      <c r="S1986">
        <f>IF(OR(Q1986="",R1986=""),"",Q1986-R1986)</f>
        <v>0</v>
      </c>
      <c r="T1986">
        <f>IF(COUNT($E$2:$E1986)&lt;14,"",MAX($C$1973:$C$1986))</f>
        <v>0</v>
      </c>
      <c r="U1986">
        <f>IF(COUNT($E$2:$E1986)&lt;14,"",MIN($D$1973:$D$1986))</f>
        <v>0</v>
      </c>
      <c r="V1986">
        <f>IF(OR(T1986="",U1986="",T1986=U1986),"",100*($E1986-U1986)/(T1986-U1986))</f>
        <v>0</v>
      </c>
      <c r="W1986">
        <f>IF(COUNT($V$1984:$V$1986)&lt;3,"",AVERAGE($V$1984:$V$1986))</f>
        <v>0</v>
      </c>
      <c r="X1986">
        <f>IF(COUNT($N$1973:$N$1986)&lt;14,"",MIN($N$1973:$N$1986))</f>
        <v>0</v>
      </c>
      <c r="Y1986">
        <f>IF(COUNT($N$1973:$N$1986)&lt;14,"",MAX($N$1973:$N$1986))</f>
        <v>0</v>
      </c>
      <c r="Z1986">
        <f>IF(OR(N1986="",X1986="",Y1986="",Y1986=X1986),"",100*(N1986-X1986)/(Y1986-X1986))</f>
        <v>0</v>
      </c>
      <c r="AA1986">
        <f>IF(COUNT($Z$1984:$Z$1986)&lt;3,"",AVERAGE($Z$1984:$Z$1986))</f>
        <v>0</v>
      </c>
      <c r="AB1986">
        <f>IF(COUNT($AA$1984:$AA$1986)&lt;3,"",AVERAGE($AA$1984:$AA$1986))</f>
        <v>0</v>
      </c>
      <c r="AC1986">
        <f>IF($E1986="","",MAX($C1986-$D1986,ABS($C1986-$E1985),ABS($D1986-$E1985)))</f>
        <v>0</v>
      </c>
      <c r="AD1986">
        <f>IF(COUNT($E$2:$E1986)&lt;15,"",AVERAGE($AC$1973:$AC$1986))</f>
        <v>0</v>
      </c>
      <c r="AE1986">
        <f>IF(OR($E1986="",$E1985=""),"",IF(AND(($C1986-$C1985)&gt;($D1985-$D1986),($C1986-$C1985)&gt;0),$C1986-$C1985,0))</f>
        <v>0</v>
      </c>
      <c r="AF1986">
        <f>IF(OR($E1986="",$E1985=""),"",IF(AND(($D1985-$D1986)&gt;($C1986-$C1985),($D1985-$D1986)&gt;0),$D1985-$D1986,0))</f>
        <v>0</v>
      </c>
      <c r="AG1986">
        <f>IF(COUNT($E$2:$E1986)&lt;15,"",IF(SUM($AC$1973:$AC$1986)=0,0,100*SUM($AE$1973:$AE$1986)/SUM($AC$1973:$AC$1986)))</f>
        <v>0</v>
      </c>
      <c r="AH1986">
        <f>IF(COUNT($E$2:$E1986)&lt;15,"",IF(SUM($AC$1973:$AC$1986)=0,0,100*SUM($AF$1973:$AF$1986)/SUM($AC$1973:$AC$1986)))</f>
        <v>0</v>
      </c>
      <c r="AI1986">
        <f>IF(OR(AG1986="",AH1986=""),"",IF((AG1986+AH1986)=0,0,100*ABS(AG1986-AH1986)/(AG1986+AH1986)))</f>
        <v>0</v>
      </c>
      <c r="AJ1986">
        <f>IF(COUNT($AI$1973:$AI$1986)&lt;14,"",AVERAGE($AI$1973:$AI$1986))</f>
        <v>0</v>
      </c>
      <c r="AK1986">
        <f>IF(COUNT($E$2:$E1986)&lt;20,"",AVERAGE($E$1967:$E$1986))</f>
        <v>0</v>
      </c>
      <c r="AL1986">
        <f>IF(COUNT($E$2:$E1986)&lt;20,"",STDEVP($E$1967:$E$1986))</f>
        <v>0</v>
      </c>
      <c r="AM1986">
        <f>IF(AK1986="","",AK1986+2*AL1986)</f>
        <v>0</v>
      </c>
      <c r="AN1986">
        <f>IF(AK1986="","",AK1986-2*AL1986)</f>
        <v>0</v>
      </c>
      <c r="AO1986">
        <f>IF(OR(AM1986="",AN1986="",AM1986=AN1986),"",($E1986-AN1986)/(AM1986-AN1986))</f>
        <v>0</v>
      </c>
      <c r="AP1986">
        <f>IF(OR(AM1986="",AK1986="",AK1986=0),"",(AM1986-AN1986)/AK1986)</f>
        <v>0</v>
      </c>
      <c r="AQ1986">
        <f>IF(COUNT($E$2:$E1986)&lt;20,"",MAX($C$1967:$C$1986))</f>
        <v>0</v>
      </c>
      <c r="AR1986">
        <f>IF(COUNT($E$2:$E1986)&lt;20,"",MIN($D$1967:$D$1986))</f>
        <v>0</v>
      </c>
      <c r="AS1986">
        <f>IF(OR(AQ1986="",AR1986=""),"",(AQ1986+AR1986)/2)</f>
        <v>0</v>
      </c>
      <c r="AT1986">
        <f>IF(COUNT($G$1967:$G$1986)&lt;20,"",STDEV($G$1967:$G$1986)*SQRT(252))</f>
        <v>0</v>
      </c>
      <c r="AU1986">
        <f>IF(COUNT($E$2:$E1986)&lt;9,"",(MAX($C$1978:$C$1986)+MIN($D$1978:$D$1986))/2)</f>
        <v>0</v>
      </c>
      <c r="AV1986">
        <f>IF(COUNT($E$2:$E1986)&lt;26,"",(MAX($C$1961:$C$1986)+MIN($D$1961:$D$1986))/2)</f>
        <v>0</v>
      </c>
      <c r="AW1986">
        <f>IF(OR(AU1986="",AV1986=""),"",(AU1986+AV1986)/2)</f>
        <v>0</v>
      </c>
      <c r="AX1986">
        <f>IF(COUNT($E$2:$E1986)&lt;52,"",(MAX($C$1935:$C$1986)+MIN($D$1935:$D$1986))/2)</f>
        <v>0</v>
      </c>
      <c r="AY1986">
        <f>IF(COUNT($E$2:$E1986)&lt;20,"",MAX($C$1887:$C$1986))</f>
        <v>0</v>
      </c>
      <c r="AZ1986">
        <f>IF(COUNT($E$2:$E1986)&lt;20,"",MIN($D$1887:$D$1986))</f>
        <v>0</v>
      </c>
      <c r="BA1986">
        <f>IF(COUNT($E$2:$E1986)&lt;20,"",SLOPE($E$1887:$E$1986,$F$1887:$F$1986))</f>
        <v>0</v>
      </c>
      <c r="BB1986">
        <f>IF(COUNT($E$2:$E1986)&lt;20,"",INTERCEPT($E$1887:$E$1986,$F$1887:$F$1986))</f>
        <v>0</v>
      </c>
      <c r="BC1986">
        <f>IF(OR(BA1986="",BB1986=""),"",BB1986+BA1986*F1986)</f>
        <v>0</v>
      </c>
      <c r="BD1986">
        <f>IF(COUNT($E$2:$E1986)&lt;20,"",STEYX($E$1887:$E$1986,$F$1887:$F$1986))</f>
        <v>0</v>
      </c>
      <c r="BE1986">
        <f>IF($E1986="","",IF(AND(COUNT($E$1987:$E$1990)&gt;=4,$C1986=MAX($C$1982:$C$1990)),$C1986,""))</f>
        <v>0</v>
      </c>
      <c r="BF1986">
        <f>IF($E1986="","",IF(AND(COUNT($E$1987:$E$1990)&gt;=4,$D1986=MIN($D$1982:$D$1990)),$D1986,""))</f>
        <v>0</v>
      </c>
      <c r="BG1986">
        <f>IF($A1986="","",$A1986-WEEKDAY($A1986,2)+1)</f>
        <v>0</v>
      </c>
      <c r="BH1986">
        <f>IF($A1986="","",IF($A1985="",1,IF(BG1986&lt;&gt;BG1985,1,0)))</f>
        <v>0</v>
      </c>
      <c r="BI1986">
        <f>IF($A1986="","",IF($A1987="",1,IF(BG1987&lt;&gt;BG1986,1,0)))</f>
        <v>0</v>
      </c>
      <c r="BJ1986">
        <f>IF($A1986="","",IF(BH1986=1,$B1986,BJ1985))</f>
        <v>0</v>
      </c>
      <c r="BK1986">
        <f>IF($A1986="","",IF(BH1986=1,$C1986,MAX($C1986,BK1985)))</f>
        <v>0</v>
      </c>
      <c r="BL1986">
        <f>IF($A1986="","",IF(BH1986=1,$D1986,MIN($D1986,BL1985)))</f>
        <v>0</v>
      </c>
      <c r="BM1986">
        <f>IF($A1986="","",IF(BI1986=1,F1986,""))</f>
        <v>0</v>
      </c>
      <c r="BN1986">
        <f>IF($A1986="","",DATE(YEAR($A1986),MONTH($A1986),1))</f>
        <v>0</v>
      </c>
      <c r="BO1986">
        <f>IF($A1986="","",IF($A1985="",1,IF(BN1986&lt;&gt;BN1985,1,0)))</f>
        <v>0</v>
      </c>
      <c r="BP1986">
        <f>IF($A1986="","",IF($A1987="",1,IF(BN1987&lt;&gt;BN1986,1,0)))</f>
        <v>0</v>
      </c>
      <c r="BQ1986">
        <f>IF($A1986="","",IF(BO1986=1,$B1986,BQ1985))</f>
        <v>0</v>
      </c>
      <c r="BR1986">
        <f>IF($A1986="","",IF(BO1986=1,$C1986,MAX($C1986,BR1985)))</f>
        <v>0</v>
      </c>
      <c r="BS1986">
        <f>IF($A1986="","",IF(BO1986=1,$D1986,MIN($D1986,BS1985)))</f>
        <v>0</v>
      </c>
      <c r="BT1986">
        <f>IF($A1986="","",IF(BP1986=1,F1986,""))</f>
        <v>0</v>
      </c>
    </row>
    <row r="1987" spans="1:72">
      <c r="A1987" s="27">
        <f>IF(Data!$A1987="","",Data!$A1987)</f>
        <v>0</v>
      </c>
      <c r="B1987">
        <f>IF(Data!$B1987="","",Data!$B1987)</f>
        <v>0</v>
      </c>
      <c r="C1987">
        <f>IF(Data!$C1987="","",Data!$C1987)</f>
        <v>0</v>
      </c>
      <c r="D1987">
        <f>IF(Data!$D1987="","",Data!$D1987)</f>
        <v>0</v>
      </c>
      <c r="E1987">
        <f>IF(Data!$E1987="","",Data!$E1987)</f>
        <v>0</v>
      </c>
      <c r="F1987">
        <f>IF($E1987="","",N(F1986)+1)</f>
        <v>0</v>
      </c>
      <c r="G1987">
        <f>IF(OR($E1987="",$E1986=""),"",LN($E1987/$E1986))</f>
        <v>0</v>
      </c>
      <c r="H1987">
        <f>IF($E1987="","",IF($E1986="",$E1987,$E1987*0.0952380952+H1986*0.9047619048))</f>
        <v>0</v>
      </c>
      <c r="I1987">
        <f>IF($E1987="","",IF($E1986="",$E1987,$E1987*0.0392156863+I1986*0.9607843137))</f>
        <v>0</v>
      </c>
      <c r="J1987">
        <f>IF($E1987="","",IF($E1986="",$E1987,$E1987*0.0198019802+J1986*0.9801980198))</f>
        <v>0</v>
      </c>
      <c r="K1987">
        <f>IF($E1987="","",IF($E1986="",$E1987,$E1987*0.0099502488+K1986*0.9900497512))</f>
        <v>0</v>
      </c>
      <c r="L1987">
        <f>IF(OR($E1987="",$E1986=""),"",MAX($E1987-$E1986,0))</f>
        <v>0</v>
      </c>
      <c r="M1987">
        <f>IF(OR($E1987="",$E1986=""),"",MAX($E1986-$E1987,0))</f>
        <v>0</v>
      </c>
      <c r="N1987">
        <f>IF(COUNT($E$2:$E1987)&lt;15,"",IF(AVERAGE($M$1974:$M$1987)=0,100,100-100/(1+AVERAGE($L$1974:$L$1987)/AVERAGE($M$1974:$M$1987))))</f>
        <v>0</v>
      </c>
      <c r="O1987">
        <f>IF($E1987="","",IF($E1986="",$E1987,$E1987*0.1538461538+O1986*0.8461538462))</f>
        <v>0</v>
      </c>
      <c r="P1987">
        <f>IF($E1987="","",IF($E1986="",$E1987,$E1987*0.0740740741+P1986*0.9259259259))</f>
        <v>0</v>
      </c>
      <c r="Q1987">
        <f>IF(OR(O1987="",P1987=""),"",O1987-P1987)</f>
        <v>0</v>
      </c>
      <c r="R1987">
        <f>IF(Q1987="","",IF(R1986="",Q1987,Q1987*0.2000000000+R1986*0.8000000000))</f>
        <v>0</v>
      </c>
      <c r="S1987">
        <f>IF(OR(Q1987="",R1987=""),"",Q1987-R1987)</f>
        <v>0</v>
      </c>
      <c r="T1987">
        <f>IF(COUNT($E$2:$E1987)&lt;14,"",MAX($C$1974:$C$1987))</f>
        <v>0</v>
      </c>
      <c r="U1987">
        <f>IF(COUNT($E$2:$E1987)&lt;14,"",MIN($D$1974:$D$1987))</f>
        <v>0</v>
      </c>
      <c r="V1987">
        <f>IF(OR(T1987="",U1987="",T1987=U1987),"",100*($E1987-U1987)/(T1987-U1987))</f>
        <v>0</v>
      </c>
      <c r="W1987">
        <f>IF(COUNT($V$1985:$V$1987)&lt;3,"",AVERAGE($V$1985:$V$1987))</f>
        <v>0</v>
      </c>
      <c r="X1987">
        <f>IF(COUNT($N$1974:$N$1987)&lt;14,"",MIN($N$1974:$N$1987))</f>
        <v>0</v>
      </c>
      <c r="Y1987">
        <f>IF(COUNT($N$1974:$N$1987)&lt;14,"",MAX($N$1974:$N$1987))</f>
        <v>0</v>
      </c>
      <c r="Z1987">
        <f>IF(OR(N1987="",X1987="",Y1987="",Y1987=X1987),"",100*(N1987-X1987)/(Y1987-X1987))</f>
        <v>0</v>
      </c>
      <c r="AA1987">
        <f>IF(COUNT($Z$1985:$Z$1987)&lt;3,"",AVERAGE($Z$1985:$Z$1987))</f>
        <v>0</v>
      </c>
      <c r="AB1987">
        <f>IF(COUNT($AA$1985:$AA$1987)&lt;3,"",AVERAGE($AA$1985:$AA$1987))</f>
        <v>0</v>
      </c>
      <c r="AC1987">
        <f>IF($E1987="","",MAX($C1987-$D1987,ABS($C1987-$E1986),ABS($D1987-$E1986)))</f>
        <v>0</v>
      </c>
      <c r="AD1987">
        <f>IF(COUNT($E$2:$E1987)&lt;15,"",AVERAGE($AC$1974:$AC$1987))</f>
        <v>0</v>
      </c>
      <c r="AE1987">
        <f>IF(OR($E1987="",$E1986=""),"",IF(AND(($C1987-$C1986)&gt;($D1986-$D1987),($C1987-$C1986)&gt;0),$C1987-$C1986,0))</f>
        <v>0</v>
      </c>
      <c r="AF1987">
        <f>IF(OR($E1987="",$E1986=""),"",IF(AND(($D1986-$D1987)&gt;($C1987-$C1986),($D1986-$D1987)&gt;0),$D1986-$D1987,0))</f>
        <v>0</v>
      </c>
      <c r="AG1987">
        <f>IF(COUNT($E$2:$E1987)&lt;15,"",IF(SUM($AC$1974:$AC$1987)=0,0,100*SUM($AE$1974:$AE$1987)/SUM($AC$1974:$AC$1987)))</f>
        <v>0</v>
      </c>
      <c r="AH1987">
        <f>IF(COUNT($E$2:$E1987)&lt;15,"",IF(SUM($AC$1974:$AC$1987)=0,0,100*SUM($AF$1974:$AF$1987)/SUM($AC$1974:$AC$1987)))</f>
        <v>0</v>
      </c>
      <c r="AI1987">
        <f>IF(OR(AG1987="",AH1987=""),"",IF((AG1987+AH1987)=0,0,100*ABS(AG1987-AH1987)/(AG1987+AH1987)))</f>
        <v>0</v>
      </c>
      <c r="AJ1987">
        <f>IF(COUNT($AI$1974:$AI$1987)&lt;14,"",AVERAGE($AI$1974:$AI$1987))</f>
        <v>0</v>
      </c>
      <c r="AK1987">
        <f>IF(COUNT($E$2:$E1987)&lt;20,"",AVERAGE($E$1968:$E$1987))</f>
        <v>0</v>
      </c>
      <c r="AL1987">
        <f>IF(COUNT($E$2:$E1987)&lt;20,"",STDEVP($E$1968:$E$1987))</f>
        <v>0</v>
      </c>
      <c r="AM1987">
        <f>IF(AK1987="","",AK1987+2*AL1987)</f>
        <v>0</v>
      </c>
      <c r="AN1987">
        <f>IF(AK1987="","",AK1987-2*AL1987)</f>
        <v>0</v>
      </c>
      <c r="AO1987">
        <f>IF(OR(AM1987="",AN1987="",AM1987=AN1987),"",($E1987-AN1987)/(AM1987-AN1987))</f>
        <v>0</v>
      </c>
      <c r="AP1987">
        <f>IF(OR(AM1987="",AK1987="",AK1987=0),"",(AM1987-AN1987)/AK1987)</f>
        <v>0</v>
      </c>
      <c r="AQ1987">
        <f>IF(COUNT($E$2:$E1987)&lt;20,"",MAX($C$1968:$C$1987))</f>
        <v>0</v>
      </c>
      <c r="AR1987">
        <f>IF(COUNT($E$2:$E1987)&lt;20,"",MIN($D$1968:$D$1987))</f>
        <v>0</v>
      </c>
      <c r="AS1987">
        <f>IF(OR(AQ1987="",AR1987=""),"",(AQ1987+AR1987)/2)</f>
        <v>0</v>
      </c>
      <c r="AT1987">
        <f>IF(COUNT($G$1968:$G$1987)&lt;20,"",STDEV($G$1968:$G$1987)*SQRT(252))</f>
        <v>0</v>
      </c>
      <c r="AU1987">
        <f>IF(COUNT($E$2:$E1987)&lt;9,"",(MAX($C$1979:$C$1987)+MIN($D$1979:$D$1987))/2)</f>
        <v>0</v>
      </c>
      <c r="AV1987">
        <f>IF(COUNT($E$2:$E1987)&lt;26,"",(MAX($C$1962:$C$1987)+MIN($D$1962:$D$1987))/2)</f>
        <v>0</v>
      </c>
      <c r="AW1987">
        <f>IF(OR(AU1987="",AV1987=""),"",(AU1987+AV1987)/2)</f>
        <v>0</v>
      </c>
      <c r="AX1987">
        <f>IF(COUNT($E$2:$E1987)&lt;52,"",(MAX($C$1936:$C$1987)+MIN($D$1936:$D$1987))/2)</f>
        <v>0</v>
      </c>
      <c r="AY1987">
        <f>IF(COUNT($E$2:$E1987)&lt;20,"",MAX($C$1888:$C$1987))</f>
        <v>0</v>
      </c>
      <c r="AZ1987">
        <f>IF(COUNT($E$2:$E1987)&lt;20,"",MIN($D$1888:$D$1987))</f>
        <v>0</v>
      </c>
      <c r="BA1987">
        <f>IF(COUNT($E$2:$E1987)&lt;20,"",SLOPE($E$1888:$E$1987,$F$1888:$F$1987))</f>
        <v>0</v>
      </c>
      <c r="BB1987">
        <f>IF(COUNT($E$2:$E1987)&lt;20,"",INTERCEPT($E$1888:$E$1987,$F$1888:$F$1987))</f>
        <v>0</v>
      </c>
      <c r="BC1987">
        <f>IF(OR(BA1987="",BB1987=""),"",BB1987+BA1987*F1987)</f>
        <v>0</v>
      </c>
      <c r="BD1987">
        <f>IF(COUNT($E$2:$E1987)&lt;20,"",STEYX($E$1888:$E$1987,$F$1888:$F$1987))</f>
        <v>0</v>
      </c>
      <c r="BE1987">
        <f>IF($E1987="","",IF(AND(COUNT($E$1988:$E$1991)&gt;=4,$C1987=MAX($C$1983:$C$1991)),$C1987,""))</f>
        <v>0</v>
      </c>
      <c r="BF1987">
        <f>IF($E1987="","",IF(AND(COUNT($E$1988:$E$1991)&gt;=4,$D1987=MIN($D$1983:$D$1991)),$D1987,""))</f>
        <v>0</v>
      </c>
      <c r="BG1987">
        <f>IF($A1987="","",$A1987-WEEKDAY($A1987,2)+1)</f>
        <v>0</v>
      </c>
      <c r="BH1987">
        <f>IF($A1987="","",IF($A1986="",1,IF(BG1987&lt;&gt;BG1986,1,0)))</f>
        <v>0</v>
      </c>
      <c r="BI1987">
        <f>IF($A1987="","",IF($A1988="",1,IF(BG1988&lt;&gt;BG1987,1,0)))</f>
        <v>0</v>
      </c>
      <c r="BJ1987">
        <f>IF($A1987="","",IF(BH1987=1,$B1987,BJ1986))</f>
        <v>0</v>
      </c>
      <c r="BK1987">
        <f>IF($A1987="","",IF(BH1987=1,$C1987,MAX($C1987,BK1986)))</f>
        <v>0</v>
      </c>
      <c r="BL1987">
        <f>IF($A1987="","",IF(BH1987=1,$D1987,MIN($D1987,BL1986)))</f>
        <v>0</v>
      </c>
      <c r="BM1987">
        <f>IF($A1987="","",IF(BI1987=1,F1987,""))</f>
        <v>0</v>
      </c>
      <c r="BN1987">
        <f>IF($A1987="","",DATE(YEAR($A1987),MONTH($A1987),1))</f>
        <v>0</v>
      </c>
      <c r="BO1987">
        <f>IF($A1987="","",IF($A1986="",1,IF(BN1987&lt;&gt;BN1986,1,0)))</f>
        <v>0</v>
      </c>
      <c r="BP1987">
        <f>IF($A1987="","",IF($A1988="",1,IF(BN1988&lt;&gt;BN1987,1,0)))</f>
        <v>0</v>
      </c>
      <c r="BQ1987">
        <f>IF($A1987="","",IF(BO1987=1,$B1987,BQ1986))</f>
        <v>0</v>
      </c>
      <c r="BR1987">
        <f>IF($A1987="","",IF(BO1987=1,$C1987,MAX($C1987,BR1986)))</f>
        <v>0</v>
      </c>
      <c r="BS1987">
        <f>IF($A1987="","",IF(BO1987=1,$D1987,MIN($D1987,BS1986)))</f>
        <v>0</v>
      </c>
      <c r="BT1987">
        <f>IF($A1987="","",IF(BP1987=1,F1987,""))</f>
        <v>0</v>
      </c>
    </row>
    <row r="1988" spans="1:72">
      <c r="A1988" s="27">
        <f>IF(Data!$A1988="","",Data!$A1988)</f>
        <v>0</v>
      </c>
      <c r="B1988">
        <f>IF(Data!$B1988="","",Data!$B1988)</f>
        <v>0</v>
      </c>
      <c r="C1988">
        <f>IF(Data!$C1988="","",Data!$C1988)</f>
        <v>0</v>
      </c>
      <c r="D1988">
        <f>IF(Data!$D1988="","",Data!$D1988)</f>
        <v>0</v>
      </c>
      <c r="E1988">
        <f>IF(Data!$E1988="","",Data!$E1988)</f>
        <v>0</v>
      </c>
      <c r="F1988">
        <f>IF($E1988="","",N(F1987)+1)</f>
        <v>0</v>
      </c>
      <c r="G1988">
        <f>IF(OR($E1988="",$E1987=""),"",LN($E1988/$E1987))</f>
        <v>0</v>
      </c>
      <c r="H1988">
        <f>IF($E1988="","",IF($E1987="",$E1988,$E1988*0.0952380952+H1987*0.9047619048))</f>
        <v>0</v>
      </c>
      <c r="I1988">
        <f>IF($E1988="","",IF($E1987="",$E1988,$E1988*0.0392156863+I1987*0.9607843137))</f>
        <v>0</v>
      </c>
      <c r="J1988">
        <f>IF($E1988="","",IF($E1987="",$E1988,$E1988*0.0198019802+J1987*0.9801980198))</f>
        <v>0</v>
      </c>
      <c r="K1988">
        <f>IF($E1988="","",IF($E1987="",$E1988,$E1988*0.0099502488+K1987*0.9900497512))</f>
        <v>0</v>
      </c>
      <c r="L1988">
        <f>IF(OR($E1988="",$E1987=""),"",MAX($E1988-$E1987,0))</f>
        <v>0</v>
      </c>
      <c r="M1988">
        <f>IF(OR($E1988="",$E1987=""),"",MAX($E1987-$E1988,0))</f>
        <v>0</v>
      </c>
      <c r="N1988">
        <f>IF(COUNT($E$2:$E1988)&lt;15,"",IF(AVERAGE($M$1975:$M$1988)=0,100,100-100/(1+AVERAGE($L$1975:$L$1988)/AVERAGE($M$1975:$M$1988))))</f>
        <v>0</v>
      </c>
      <c r="O1988">
        <f>IF($E1988="","",IF($E1987="",$E1988,$E1988*0.1538461538+O1987*0.8461538462))</f>
        <v>0</v>
      </c>
      <c r="P1988">
        <f>IF($E1988="","",IF($E1987="",$E1988,$E1988*0.0740740741+P1987*0.9259259259))</f>
        <v>0</v>
      </c>
      <c r="Q1988">
        <f>IF(OR(O1988="",P1988=""),"",O1988-P1988)</f>
        <v>0</v>
      </c>
      <c r="R1988">
        <f>IF(Q1988="","",IF(R1987="",Q1988,Q1988*0.2000000000+R1987*0.8000000000))</f>
        <v>0</v>
      </c>
      <c r="S1988">
        <f>IF(OR(Q1988="",R1988=""),"",Q1988-R1988)</f>
        <v>0</v>
      </c>
      <c r="T1988">
        <f>IF(COUNT($E$2:$E1988)&lt;14,"",MAX($C$1975:$C$1988))</f>
        <v>0</v>
      </c>
      <c r="U1988">
        <f>IF(COUNT($E$2:$E1988)&lt;14,"",MIN($D$1975:$D$1988))</f>
        <v>0</v>
      </c>
      <c r="V1988">
        <f>IF(OR(T1988="",U1988="",T1988=U1988),"",100*($E1988-U1988)/(T1988-U1988))</f>
        <v>0</v>
      </c>
      <c r="W1988">
        <f>IF(COUNT($V$1986:$V$1988)&lt;3,"",AVERAGE($V$1986:$V$1988))</f>
        <v>0</v>
      </c>
      <c r="X1988">
        <f>IF(COUNT($N$1975:$N$1988)&lt;14,"",MIN($N$1975:$N$1988))</f>
        <v>0</v>
      </c>
      <c r="Y1988">
        <f>IF(COUNT($N$1975:$N$1988)&lt;14,"",MAX($N$1975:$N$1988))</f>
        <v>0</v>
      </c>
      <c r="Z1988">
        <f>IF(OR(N1988="",X1988="",Y1988="",Y1988=X1988),"",100*(N1988-X1988)/(Y1988-X1988))</f>
        <v>0</v>
      </c>
      <c r="AA1988">
        <f>IF(COUNT($Z$1986:$Z$1988)&lt;3,"",AVERAGE($Z$1986:$Z$1988))</f>
        <v>0</v>
      </c>
      <c r="AB1988">
        <f>IF(COUNT($AA$1986:$AA$1988)&lt;3,"",AVERAGE($AA$1986:$AA$1988))</f>
        <v>0</v>
      </c>
      <c r="AC1988">
        <f>IF($E1988="","",MAX($C1988-$D1988,ABS($C1988-$E1987),ABS($D1988-$E1987)))</f>
        <v>0</v>
      </c>
      <c r="AD1988">
        <f>IF(COUNT($E$2:$E1988)&lt;15,"",AVERAGE($AC$1975:$AC$1988))</f>
        <v>0</v>
      </c>
      <c r="AE1988">
        <f>IF(OR($E1988="",$E1987=""),"",IF(AND(($C1988-$C1987)&gt;($D1987-$D1988),($C1988-$C1987)&gt;0),$C1988-$C1987,0))</f>
        <v>0</v>
      </c>
      <c r="AF1988">
        <f>IF(OR($E1988="",$E1987=""),"",IF(AND(($D1987-$D1988)&gt;($C1988-$C1987),($D1987-$D1988)&gt;0),$D1987-$D1988,0))</f>
        <v>0</v>
      </c>
      <c r="AG1988">
        <f>IF(COUNT($E$2:$E1988)&lt;15,"",IF(SUM($AC$1975:$AC$1988)=0,0,100*SUM($AE$1975:$AE$1988)/SUM($AC$1975:$AC$1988)))</f>
        <v>0</v>
      </c>
      <c r="AH1988">
        <f>IF(COUNT($E$2:$E1988)&lt;15,"",IF(SUM($AC$1975:$AC$1988)=0,0,100*SUM($AF$1975:$AF$1988)/SUM($AC$1975:$AC$1988)))</f>
        <v>0</v>
      </c>
      <c r="AI1988">
        <f>IF(OR(AG1988="",AH1988=""),"",IF((AG1988+AH1988)=0,0,100*ABS(AG1988-AH1988)/(AG1988+AH1988)))</f>
        <v>0</v>
      </c>
      <c r="AJ1988">
        <f>IF(COUNT($AI$1975:$AI$1988)&lt;14,"",AVERAGE($AI$1975:$AI$1988))</f>
        <v>0</v>
      </c>
      <c r="AK1988">
        <f>IF(COUNT($E$2:$E1988)&lt;20,"",AVERAGE($E$1969:$E$1988))</f>
        <v>0</v>
      </c>
      <c r="AL1988">
        <f>IF(COUNT($E$2:$E1988)&lt;20,"",STDEVP($E$1969:$E$1988))</f>
        <v>0</v>
      </c>
      <c r="AM1988">
        <f>IF(AK1988="","",AK1988+2*AL1988)</f>
        <v>0</v>
      </c>
      <c r="AN1988">
        <f>IF(AK1988="","",AK1988-2*AL1988)</f>
        <v>0</v>
      </c>
      <c r="AO1988">
        <f>IF(OR(AM1988="",AN1988="",AM1988=AN1988),"",($E1988-AN1988)/(AM1988-AN1988))</f>
        <v>0</v>
      </c>
      <c r="AP1988">
        <f>IF(OR(AM1988="",AK1988="",AK1988=0),"",(AM1988-AN1988)/AK1988)</f>
        <v>0</v>
      </c>
      <c r="AQ1988">
        <f>IF(COUNT($E$2:$E1988)&lt;20,"",MAX($C$1969:$C$1988))</f>
        <v>0</v>
      </c>
      <c r="AR1988">
        <f>IF(COUNT($E$2:$E1988)&lt;20,"",MIN($D$1969:$D$1988))</f>
        <v>0</v>
      </c>
      <c r="AS1988">
        <f>IF(OR(AQ1988="",AR1988=""),"",(AQ1988+AR1988)/2)</f>
        <v>0</v>
      </c>
      <c r="AT1988">
        <f>IF(COUNT($G$1969:$G$1988)&lt;20,"",STDEV($G$1969:$G$1988)*SQRT(252))</f>
        <v>0</v>
      </c>
      <c r="AU1988">
        <f>IF(COUNT($E$2:$E1988)&lt;9,"",(MAX($C$1980:$C$1988)+MIN($D$1980:$D$1988))/2)</f>
        <v>0</v>
      </c>
      <c r="AV1988">
        <f>IF(COUNT($E$2:$E1988)&lt;26,"",(MAX($C$1963:$C$1988)+MIN($D$1963:$D$1988))/2)</f>
        <v>0</v>
      </c>
      <c r="AW1988">
        <f>IF(OR(AU1988="",AV1988=""),"",(AU1988+AV1988)/2)</f>
        <v>0</v>
      </c>
      <c r="AX1988">
        <f>IF(COUNT($E$2:$E1988)&lt;52,"",(MAX($C$1937:$C$1988)+MIN($D$1937:$D$1988))/2)</f>
        <v>0</v>
      </c>
      <c r="AY1988">
        <f>IF(COUNT($E$2:$E1988)&lt;20,"",MAX($C$1889:$C$1988))</f>
        <v>0</v>
      </c>
      <c r="AZ1988">
        <f>IF(COUNT($E$2:$E1988)&lt;20,"",MIN($D$1889:$D$1988))</f>
        <v>0</v>
      </c>
      <c r="BA1988">
        <f>IF(COUNT($E$2:$E1988)&lt;20,"",SLOPE($E$1889:$E$1988,$F$1889:$F$1988))</f>
        <v>0</v>
      </c>
      <c r="BB1988">
        <f>IF(COUNT($E$2:$E1988)&lt;20,"",INTERCEPT($E$1889:$E$1988,$F$1889:$F$1988))</f>
        <v>0</v>
      </c>
      <c r="BC1988">
        <f>IF(OR(BA1988="",BB1988=""),"",BB1988+BA1988*F1988)</f>
        <v>0</v>
      </c>
      <c r="BD1988">
        <f>IF(COUNT($E$2:$E1988)&lt;20,"",STEYX($E$1889:$E$1988,$F$1889:$F$1988))</f>
        <v>0</v>
      </c>
      <c r="BE1988">
        <f>IF($E1988="","",IF(AND(COUNT($E$1989:$E$1992)&gt;=4,$C1988=MAX($C$1984:$C$1992)),$C1988,""))</f>
        <v>0</v>
      </c>
      <c r="BF1988">
        <f>IF($E1988="","",IF(AND(COUNT($E$1989:$E$1992)&gt;=4,$D1988=MIN($D$1984:$D$1992)),$D1988,""))</f>
        <v>0</v>
      </c>
      <c r="BG1988">
        <f>IF($A1988="","",$A1988-WEEKDAY($A1988,2)+1)</f>
        <v>0</v>
      </c>
      <c r="BH1988">
        <f>IF($A1988="","",IF($A1987="",1,IF(BG1988&lt;&gt;BG1987,1,0)))</f>
        <v>0</v>
      </c>
      <c r="BI1988">
        <f>IF($A1988="","",IF($A1989="",1,IF(BG1989&lt;&gt;BG1988,1,0)))</f>
        <v>0</v>
      </c>
      <c r="BJ1988">
        <f>IF($A1988="","",IF(BH1988=1,$B1988,BJ1987))</f>
        <v>0</v>
      </c>
      <c r="BK1988">
        <f>IF($A1988="","",IF(BH1988=1,$C1988,MAX($C1988,BK1987)))</f>
        <v>0</v>
      </c>
      <c r="BL1988">
        <f>IF($A1988="","",IF(BH1988=1,$D1988,MIN($D1988,BL1987)))</f>
        <v>0</v>
      </c>
      <c r="BM1988">
        <f>IF($A1988="","",IF(BI1988=1,F1988,""))</f>
        <v>0</v>
      </c>
      <c r="BN1988">
        <f>IF($A1988="","",DATE(YEAR($A1988),MONTH($A1988),1))</f>
        <v>0</v>
      </c>
      <c r="BO1988">
        <f>IF($A1988="","",IF($A1987="",1,IF(BN1988&lt;&gt;BN1987,1,0)))</f>
        <v>0</v>
      </c>
      <c r="BP1988">
        <f>IF($A1988="","",IF($A1989="",1,IF(BN1989&lt;&gt;BN1988,1,0)))</f>
        <v>0</v>
      </c>
      <c r="BQ1988">
        <f>IF($A1988="","",IF(BO1988=1,$B1988,BQ1987))</f>
        <v>0</v>
      </c>
      <c r="BR1988">
        <f>IF($A1988="","",IF(BO1988=1,$C1988,MAX($C1988,BR1987)))</f>
        <v>0</v>
      </c>
      <c r="BS1988">
        <f>IF($A1988="","",IF(BO1988=1,$D1988,MIN($D1988,BS1987)))</f>
        <v>0</v>
      </c>
      <c r="BT1988">
        <f>IF($A1988="","",IF(BP1988=1,F1988,""))</f>
        <v>0</v>
      </c>
    </row>
    <row r="1989" spans="1:72">
      <c r="A1989" s="27">
        <f>IF(Data!$A1989="","",Data!$A1989)</f>
        <v>0</v>
      </c>
      <c r="B1989">
        <f>IF(Data!$B1989="","",Data!$B1989)</f>
        <v>0</v>
      </c>
      <c r="C1989">
        <f>IF(Data!$C1989="","",Data!$C1989)</f>
        <v>0</v>
      </c>
      <c r="D1989">
        <f>IF(Data!$D1989="","",Data!$D1989)</f>
        <v>0</v>
      </c>
      <c r="E1989">
        <f>IF(Data!$E1989="","",Data!$E1989)</f>
        <v>0</v>
      </c>
      <c r="F1989">
        <f>IF($E1989="","",N(F1988)+1)</f>
        <v>0</v>
      </c>
      <c r="G1989">
        <f>IF(OR($E1989="",$E1988=""),"",LN($E1989/$E1988))</f>
        <v>0</v>
      </c>
      <c r="H1989">
        <f>IF($E1989="","",IF($E1988="",$E1989,$E1989*0.0952380952+H1988*0.9047619048))</f>
        <v>0</v>
      </c>
      <c r="I1989">
        <f>IF($E1989="","",IF($E1988="",$E1989,$E1989*0.0392156863+I1988*0.9607843137))</f>
        <v>0</v>
      </c>
      <c r="J1989">
        <f>IF($E1989="","",IF($E1988="",$E1989,$E1989*0.0198019802+J1988*0.9801980198))</f>
        <v>0</v>
      </c>
      <c r="K1989">
        <f>IF($E1989="","",IF($E1988="",$E1989,$E1989*0.0099502488+K1988*0.9900497512))</f>
        <v>0</v>
      </c>
      <c r="L1989">
        <f>IF(OR($E1989="",$E1988=""),"",MAX($E1989-$E1988,0))</f>
        <v>0</v>
      </c>
      <c r="M1989">
        <f>IF(OR($E1989="",$E1988=""),"",MAX($E1988-$E1989,0))</f>
        <v>0</v>
      </c>
      <c r="N1989">
        <f>IF(COUNT($E$2:$E1989)&lt;15,"",IF(AVERAGE($M$1976:$M$1989)=0,100,100-100/(1+AVERAGE($L$1976:$L$1989)/AVERAGE($M$1976:$M$1989))))</f>
        <v>0</v>
      </c>
      <c r="O1989">
        <f>IF($E1989="","",IF($E1988="",$E1989,$E1989*0.1538461538+O1988*0.8461538462))</f>
        <v>0</v>
      </c>
      <c r="P1989">
        <f>IF($E1989="","",IF($E1988="",$E1989,$E1989*0.0740740741+P1988*0.9259259259))</f>
        <v>0</v>
      </c>
      <c r="Q1989">
        <f>IF(OR(O1989="",P1989=""),"",O1989-P1989)</f>
        <v>0</v>
      </c>
      <c r="R1989">
        <f>IF(Q1989="","",IF(R1988="",Q1989,Q1989*0.2000000000+R1988*0.8000000000))</f>
        <v>0</v>
      </c>
      <c r="S1989">
        <f>IF(OR(Q1989="",R1989=""),"",Q1989-R1989)</f>
        <v>0</v>
      </c>
      <c r="T1989">
        <f>IF(COUNT($E$2:$E1989)&lt;14,"",MAX($C$1976:$C$1989))</f>
        <v>0</v>
      </c>
      <c r="U1989">
        <f>IF(COUNT($E$2:$E1989)&lt;14,"",MIN($D$1976:$D$1989))</f>
        <v>0</v>
      </c>
      <c r="V1989">
        <f>IF(OR(T1989="",U1989="",T1989=U1989),"",100*($E1989-U1989)/(T1989-U1989))</f>
        <v>0</v>
      </c>
      <c r="W1989">
        <f>IF(COUNT($V$1987:$V$1989)&lt;3,"",AVERAGE($V$1987:$V$1989))</f>
        <v>0</v>
      </c>
      <c r="X1989">
        <f>IF(COUNT($N$1976:$N$1989)&lt;14,"",MIN($N$1976:$N$1989))</f>
        <v>0</v>
      </c>
      <c r="Y1989">
        <f>IF(COUNT($N$1976:$N$1989)&lt;14,"",MAX($N$1976:$N$1989))</f>
        <v>0</v>
      </c>
      <c r="Z1989">
        <f>IF(OR(N1989="",X1989="",Y1989="",Y1989=X1989),"",100*(N1989-X1989)/(Y1989-X1989))</f>
        <v>0</v>
      </c>
      <c r="AA1989">
        <f>IF(COUNT($Z$1987:$Z$1989)&lt;3,"",AVERAGE($Z$1987:$Z$1989))</f>
        <v>0</v>
      </c>
      <c r="AB1989">
        <f>IF(COUNT($AA$1987:$AA$1989)&lt;3,"",AVERAGE($AA$1987:$AA$1989))</f>
        <v>0</v>
      </c>
      <c r="AC1989">
        <f>IF($E1989="","",MAX($C1989-$D1989,ABS($C1989-$E1988),ABS($D1989-$E1988)))</f>
        <v>0</v>
      </c>
      <c r="AD1989">
        <f>IF(COUNT($E$2:$E1989)&lt;15,"",AVERAGE($AC$1976:$AC$1989))</f>
        <v>0</v>
      </c>
      <c r="AE1989">
        <f>IF(OR($E1989="",$E1988=""),"",IF(AND(($C1989-$C1988)&gt;($D1988-$D1989),($C1989-$C1988)&gt;0),$C1989-$C1988,0))</f>
        <v>0</v>
      </c>
      <c r="AF1989">
        <f>IF(OR($E1989="",$E1988=""),"",IF(AND(($D1988-$D1989)&gt;($C1989-$C1988),($D1988-$D1989)&gt;0),$D1988-$D1989,0))</f>
        <v>0</v>
      </c>
      <c r="AG1989">
        <f>IF(COUNT($E$2:$E1989)&lt;15,"",IF(SUM($AC$1976:$AC$1989)=0,0,100*SUM($AE$1976:$AE$1989)/SUM($AC$1976:$AC$1989)))</f>
        <v>0</v>
      </c>
      <c r="AH1989">
        <f>IF(COUNT($E$2:$E1989)&lt;15,"",IF(SUM($AC$1976:$AC$1989)=0,0,100*SUM($AF$1976:$AF$1989)/SUM($AC$1976:$AC$1989)))</f>
        <v>0</v>
      </c>
      <c r="AI1989">
        <f>IF(OR(AG1989="",AH1989=""),"",IF((AG1989+AH1989)=0,0,100*ABS(AG1989-AH1989)/(AG1989+AH1989)))</f>
        <v>0</v>
      </c>
      <c r="AJ1989">
        <f>IF(COUNT($AI$1976:$AI$1989)&lt;14,"",AVERAGE($AI$1976:$AI$1989))</f>
        <v>0</v>
      </c>
      <c r="AK1989">
        <f>IF(COUNT($E$2:$E1989)&lt;20,"",AVERAGE($E$1970:$E$1989))</f>
        <v>0</v>
      </c>
      <c r="AL1989">
        <f>IF(COUNT($E$2:$E1989)&lt;20,"",STDEVP($E$1970:$E$1989))</f>
        <v>0</v>
      </c>
      <c r="AM1989">
        <f>IF(AK1989="","",AK1989+2*AL1989)</f>
        <v>0</v>
      </c>
      <c r="AN1989">
        <f>IF(AK1989="","",AK1989-2*AL1989)</f>
        <v>0</v>
      </c>
      <c r="AO1989">
        <f>IF(OR(AM1989="",AN1989="",AM1989=AN1989),"",($E1989-AN1989)/(AM1989-AN1989))</f>
        <v>0</v>
      </c>
      <c r="AP1989">
        <f>IF(OR(AM1989="",AK1989="",AK1989=0),"",(AM1989-AN1989)/AK1989)</f>
        <v>0</v>
      </c>
      <c r="AQ1989">
        <f>IF(COUNT($E$2:$E1989)&lt;20,"",MAX($C$1970:$C$1989))</f>
        <v>0</v>
      </c>
      <c r="AR1989">
        <f>IF(COUNT($E$2:$E1989)&lt;20,"",MIN($D$1970:$D$1989))</f>
        <v>0</v>
      </c>
      <c r="AS1989">
        <f>IF(OR(AQ1989="",AR1989=""),"",(AQ1989+AR1989)/2)</f>
        <v>0</v>
      </c>
      <c r="AT1989">
        <f>IF(COUNT($G$1970:$G$1989)&lt;20,"",STDEV($G$1970:$G$1989)*SQRT(252))</f>
        <v>0</v>
      </c>
      <c r="AU1989">
        <f>IF(COUNT($E$2:$E1989)&lt;9,"",(MAX($C$1981:$C$1989)+MIN($D$1981:$D$1989))/2)</f>
        <v>0</v>
      </c>
      <c r="AV1989">
        <f>IF(COUNT($E$2:$E1989)&lt;26,"",(MAX($C$1964:$C$1989)+MIN($D$1964:$D$1989))/2)</f>
        <v>0</v>
      </c>
      <c r="AW1989">
        <f>IF(OR(AU1989="",AV1989=""),"",(AU1989+AV1989)/2)</f>
        <v>0</v>
      </c>
      <c r="AX1989">
        <f>IF(COUNT($E$2:$E1989)&lt;52,"",(MAX($C$1938:$C$1989)+MIN($D$1938:$D$1989))/2)</f>
        <v>0</v>
      </c>
      <c r="AY1989">
        <f>IF(COUNT($E$2:$E1989)&lt;20,"",MAX($C$1890:$C$1989))</f>
        <v>0</v>
      </c>
      <c r="AZ1989">
        <f>IF(COUNT($E$2:$E1989)&lt;20,"",MIN($D$1890:$D$1989))</f>
        <v>0</v>
      </c>
      <c r="BA1989">
        <f>IF(COUNT($E$2:$E1989)&lt;20,"",SLOPE($E$1890:$E$1989,$F$1890:$F$1989))</f>
        <v>0</v>
      </c>
      <c r="BB1989">
        <f>IF(COUNT($E$2:$E1989)&lt;20,"",INTERCEPT($E$1890:$E$1989,$F$1890:$F$1989))</f>
        <v>0</v>
      </c>
      <c r="BC1989">
        <f>IF(OR(BA1989="",BB1989=""),"",BB1989+BA1989*F1989)</f>
        <v>0</v>
      </c>
      <c r="BD1989">
        <f>IF(COUNT($E$2:$E1989)&lt;20,"",STEYX($E$1890:$E$1989,$F$1890:$F$1989))</f>
        <v>0</v>
      </c>
      <c r="BE1989">
        <f>IF($E1989="","",IF(AND(COUNT($E$1990:$E$1993)&gt;=4,$C1989=MAX($C$1985:$C$1993)),$C1989,""))</f>
        <v>0</v>
      </c>
      <c r="BF1989">
        <f>IF($E1989="","",IF(AND(COUNT($E$1990:$E$1993)&gt;=4,$D1989=MIN($D$1985:$D$1993)),$D1989,""))</f>
        <v>0</v>
      </c>
      <c r="BG1989">
        <f>IF($A1989="","",$A1989-WEEKDAY($A1989,2)+1)</f>
        <v>0</v>
      </c>
      <c r="BH1989">
        <f>IF($A1989="","",IF($A1988="",1,IF(BG1989&lt;&gt;BG1988,1,0)))</f>
        <v>0</v>
      </c>
      <c r="BI1989">
        <f>IF($A1989="","",IF($A1990="",1,IF(BG1990&lt;&gt;BG1989,1,0)))</f>
        <v>0</v>
      </c>
      <c r="BJ1989">
        <f>IF($A1989="","",IF(BH1989=1,$B1989,BJ1988))</f>
        <v>0</v>
      </c>
      <c r="BK1989">
        <f>IF($A1989="","",IF(BH1989=1,$C1989,MAX($C1989,BK1988)))</f>
        <v>0</v>
      </c>
      <c r="BL1989">
        <f>IF($A1989="","",IF(BH1989=1,$D1989,MIN($D1989,BL1988)))</f>
        <v>0</v>
      </c>
      <c r="BM1989">
        <f>IF($A1989="","",IF(BI1989=1,F1989,""))</f>
        <v>0</v>
      </c>
      <c r="BN1989">
        <f>IF($A1989="","",DATE(YEAR($A1989),MONTH($A1989),1))</f>
        <v>0</v>
      </c>
      <c r="BO1989">
        <f>IF($A1989="","",IF($A1988="",1,IF(BN1989&lt;&gt;BN1988,1,0)))</f>
        <v>0</v>
      </c>
      <c r="BP1989">
        <f>IF($A1989="","",IF($A1990="",1,IF(BN1990&lt;&gt;BN1989,1,0)))</f>
        <v>0</v>
      </c>
      <c r="BQ1989">
        <f>IF($A1989="","",IF(BO1989=1,$B1989,BQ1988))</f>
        <v>0</v>
      </c>
      <c r="BR1989">
        <f>IF($A1989="","",IF(BO1989=1,$C1989,MAX($C1989,BR1988)))</f>
        <v>0</v>
      </c>
      <c r="BS1989">
        <f>IF($A1989="","",IF(BO1989=1,$D1989,MIN($D1989,BS1988)))</f>
        <v>0</v>
      </c>
      <c r="BT1989">
        <f>IF($A1989="","",IF(BP1989=1,F1989,""))</f>
        <v>0</v>
      </c>
    </row>
    <row r="1990" spans="1:72">
      <c r="A1990" s="27">
        <f>IF(Data!$A1990="","",Data!$A1990)</f>
        <v>0</v>
      </c>
      <c r="B1990">
        <f>IF(Data!$B1990="","",Data!$B1990)</f>
        <v>0</v>
      </c>
      <c r="C1990">
        <f>IF(Data!$C1990="","",Data!$C1990)</f>
        <v>0</v>
      </c>
      <c r="D1990">
        <f>IF(Data!$D1990="","",Data!$D1990)</f>
        <v>0</v>
      </c>
      <c r="E1990">
        <f>IF(Data!$E1990="","",Data!$E1990)</f>
        <v>0</v>
      </c>
      <c r="F1990">
        <f>IF($E1990="","",N(F1989)+1)</f>
        <v>0</v>
      </c>
      <c r="G1990">
        <f>IF(OR($E1990="",$E1989=""),"",LN($E1990/$E1989))</f>
        <v>0</v>
      </c>
      <c r="H1990">
        <f>IF($E1990="","",IF($E1989="",$E1990,$E1990*0.0952380952+H1989*0.9047619048))</f>
        <v>0</v>
      </c>
      <c r="I1990">
        <f>IF($E1990="","",IF($E1989="",$E1990,$E1990*0.0392156863+I1989*0.9607843137))</f>
        <v>0</v>
      </c>
      <c r="J1990">
        <f>IF($E1990="","",IF($E1989="",$E1990,$E1990*0.0198019802+J1989*0.9801980198))</f>
        <v>0</v>
      </c>
      <c r="K1990">
        <f>IF($E1990="","",IF($E1989="",$E1990,$E1990*0.0099502488+K1989*0.9900497512))</f>
        <v>0</v>
      </c>
      <c r="L1990">
        <f>IF(OR($E1990="",$E1989=""),"",MAX($E1990-$E1989,0))</f>
        <v>0</v>
      </c>
      <c r="M1990">
        <f>IF(OR($E1990="",$E1989=""),"",MAX($E1989-$E1990,0))</f>
        <v>0</v>
      </c>
      <c r="N1990">
        <f>IF(COUNT($E$2:$E1990)&lt;15,"",IF(AVERAGE($M$1977:$M$1990)=0,100,100-100/(1+AVERAGE($L$1977:$L$1990)/AVERAGE($M$1977:$M$1990))))</f>
        <v>0</v>
      </c>
      <c r="O1990">
        <f>IF($E1990="","",IF($E1989="",$E1990,$E1990*0.1538461538+O1989*0.8461538462))</f>
        <v>0</v>
      </c>
      <c r="P1990">
        <f>IF($E1990="","",IF($E1989="",$E1990,$E1990*0.0740740741+P1989*0.9259259259))</f>
        <v>0</v>
      </c>
      <c r="Q1990">
        <f>IF(OR(O1990="",P1990=""),"",O1990-P1990)</f>
        <v>0</v>
      </c>
      <c r="R1990">
        <f>IF(Q1990="","",IF(R1989="",Q1990,Q1990*0.2000000000+R1989*0.8000000000))</f>
        <v>0</v>
      </c>
      <c r="S1990">
        <f>IF(OR(Q1990="",R1990=""),"",Q1990-R1990)</f>
        <v>0</v>
      </c>
      <c r="T1990">
        <f>IF(COUNT($E$2:$E1990)&lt;14,"",MAX($C$1977:$C$1990))</f>
        <v>0</v>
      </c>
      <c r="U1990">
        <f>IF(COUNT($E$2:$E1990)&lt;14,"",MIN($D$1977:$D$1990))</f>
        <v>0</v>
      </c>
      <c r="V1990">
        <f>IF(OR(T1990="",U1990="",T1990=U1990),"",100*($E1990-U1990)/(T1990-U1990))</f>
        <v>0</v>
      </c>
      <c r="W1990">
        <f>IF(COUNT($V$1988:$V$1990)&lt;3,"",AVERAGE($V$1988:$V$1990))</f>
        <v>0</v>
      </c>
      <c r="X1990">
        <f>IF(COUNT($N$1977:$N$1990)&lt;14,"",MIN($N$1977:$N$1990))</f>
        <v>0</v>
      </c>
      <c r="Y1990">
        <f>IF(COUNT($N$1977:$N$1990)&lt;14,"",MAX($N$1977:$N$1990))</f>
        <v>0</v>
      </c>
      <c r="Z1990">
        <f>IF(OR(N1990="",X1990="",Y1990="",Y1990=X1990),"",100*(N1990-X1990)/(Y1990-X1990))</f>
        <v>0</v>
      </c>
      <c r="AA1990">
        <f>IF(COUNT($Z$1988:$Z$1990)&lt;3,"",AVERAGE($Z$1988:$Z$1990))</f>
        <v>0</v>
      </c>
      <c r="AB1990">
        <f>IF(COUNT($AA$1988:$AA$1990)&lt;3,"",AVERAGE($AA$1988:$AA$1990))</f>
        <v>0</v>
      </c>
      <c r="AC1990">
        <f>IF($E1990="","",MAX($C1990-$D1990,ABS($C1990-$E1989),ABS($D1990-$E1989)))</f>
        <v>0</v>
      </c>
      <c r="AD1990">
        <f>IF(COUNT($E$2:$E1990)&lt;15,"",AVERAGE($AC$1977:$AC$1990))</f>
        <v>0</v>
      </c>
      <c r="AE1990">
        <f>IF(OR($E1990="",$E1989=""),"",IF(AND(($C1990-$C1989)&gt;($D1989-$D1990),($C1990-$C1989)&gt;0),$C1990-$C1989,0))</f>
        <v>0</v>
      </c>
      <c r="AF1990">
        <f>IF(OR($E1990="",$E1989=""),"",IF(AND(($D1989-$D1990)&gt;($C1990-$C1989),($D1989-$D1990)&gt;0),$D1989-$D1990,0))</f>
        <v>0</v>
      </c>
      <c r="AG1990">
        <f>IF(COUNT($E$2:$E1990)&lt;15,"",IF(SUM($AC$1977:$AC$1990)=0,0,100*SUM($AE$1977:$AE$1990)/SUM($AC$1977:$AC$1990)))</f>
        <v>0</v>
      </c>
      <c r="AH1990">
        <f>IF(COUNT($E$2:$E1990)&lt;15,"",IF(SUM($AC$1977:$AC$1990)=0,0,100*SUM($AF$1977:$AF$1990)/SUM($AC$1977:$AC$1990)))</f>
        <v>0</v>
      </c>
      <c r="AI1990">
        <f>IF(OR(AG1990="",AH1990=""),"",IF((AG1990+AH1990)=0,0,100*ABS(AG1990-AH1990)/(AG1990+AH1990)))</f>
        <v>0</v>
      </c>
      <c r="AJ1990">
        <f>IF(COUNT($AI$1977:$AI$1990)&lt;14,"",AVERAGE($AI$1977:$AI$1990))</f>
        <v>0</v>
      </c>
      <c r="AK1990">
        <f>IF(COUNT($E$2:$E1990)&lt;20,"",AVERAGE($E$1971:$E$1990))</f>
        <v>0</v>
      </c>
      <c r="AL1990">
        <f>IF(COUNT($E$2:$E1990)&lt;20,"",STDEVP($E$1971:$E$1990))</f>
        <v>0</v>
      </c>
      <c r="AM1990">
        <f>IF(AK1990="","",AK1990+2*AL1990)</f>
        <v>0</v>
      </c>
      <c r="AN1990">
        <f>IF(AK1990="","",AK1990-2*AL1990)</f>
        <v>0</v>
      </c>
      <c r="AO1990">
        <f>IF(OR(AM1990="",AN1990="",AM1990=AN1990),"",($E1990-AN1990)/(AM1990-AN1990))</f>
        <v>0</v>
      </c>
      <c r="AP1990">
        <f>IF(OR(AM1990="",AK1990="",AK1990=0),"",(AM1990-AN1990)/AK1990)</f>
        <v>0</v>
      </c>
      <c r="AQ1990">
        <f>IF(COUNT($E$2:$E1990)&lt;20,"",MAX($C$1971:$C$1990))</f>
        <v>0</v>
      </c>
      <c r="AR1990">
        <f>IF(COUNT($E$2:$E1990)&lt;20,"",MIN($D$1971:$D$1990))</f>
        <v>0</v>
      </c>
      <c r="AS1990">
        <f>IF(OR(AQ1990="",AR1990=""),"",(AQ1990+AR1990)/2)</f>
        <v>0</v>
      </c>
      <c r="AT1990">
        <f>IF(COUNT($G$1971:$G$1990)&lt;20,"",STDEV($G$1971:$G$1990)*SQRT(252))</f>
        <v>0</v>
      </c>
      <c r="AU1990">
        <f>IF(COUNT($E$2:$E1990)&lt;9,"",(MAX($C$1982:$C$1990)+MIN($D$1982:$D$1990))/2)</f>
        <v>0</v>
      </c>
      <c r="AV1990">
        <f>IF(COUNT($E$2:$E1990)&lt;26,"",(MAX($C$1965:$C$1990)+MIN($D$1965:$D$1990))/2)</f>
        <v>0</v>
      </c>
      <c r="AW1990">
        <f>IF(OR(AU1990="",AV1990=""),"",(AU1990+AV1990)/2)</f>
        <v>0</v>
      </c>
      <c r="AX1990">
        <f>IF(COUNT($E$2:$E1990)&lt;52,"",(MAX($C$1939:$C$1990)+MIN($D$1939:$D$1990))/2)</f>
        <v>0</v>
      </c>
      <c r="AY1990">
        <f>IF(COUNT($E$2:$E1990)&lt;20,"",MAX($C$1891:$C$1990))</f>
        <v>0</v>
      </c>
      <c r="AZ1990">
        <f>IF(COUNT($E$2:$E1990)&lt;20,"",MIN($D$1891:$D$1990))</f>
        <v>0</v>
      </c>
      <c r="BA1990">
        <f>IF(COUNT($E$2:$E1990)&lt;20,"",SLOPE($E$1891:$E$1990,$F$1891:$F$1990))</f>
        <v>0</v>
      </c>
      <c r="BB1990">
        <f>IF(COUNT($E$2:$E1990)&lt;20,"",INTERCEPT($E$1891:$E$1990,$F$1891:$F$1990))</f>
        <v>0</v>
      </c>
      <c r="BC1990">
        <f>IF(OR(BA1990="",BB1990=""),"",BB1990+BA1990*F1990)</f>
        <v>0</v>
      </c>
      <c r="BD1990">
        <f>IF(COUNT($E$2:$E1990)&lt;20,"",STEYX($E$1891:$E$1990,$F$1891:$F$1990))</f>
        <v>0</v>
      </c>
      <c r="BE1990">
        <f>IF($E1990="","",IF(AND(COUNT($E$1991:$E$1994)&gt;=4,$C1990=MAX($C$1986:$C$1994)),$C1990,""))</f>
        <v>0</v>
      </c>
      <c r="BF1990">
        <f>IF($E1990="","",IF(AND(COUNT($E$1991:$E$1994)&gt;=4,$D1990=MIN($D$1986:$D$1994)),$D1990,""))</f>
        <v>0</v>
      </c>
      <c r="BG1990">
        <f>IF($A1990="","",$A1990-WEEKDAY($A1990,2)+1)</f>
        <v>0</v>
      </c>
      <c r="BH1990">
        <f>IF($A1990="","",IF($A1989="",1,IF(BG1990&lt;&gt;BG1989,1,0)))</f>
        <v>0</v>
      </c>
      <c r="BI1990">
        <f>IF($A1990="","",IF($A1991="",1,IF(BG1991&lt;&gt;BG1990,1,0)))</f>
        <v>0</v>
      </c>
      <c r="BJ1990">
        <f>IF($A1990="","",IF(BH1990=1,$B1990,BJ1989))</f>
        <v>0</v>
      </c>
      <c r="BK1990">
        <f>IF($A1990="","",IF(BH1990=1,$C1990,MAX($C1990,BK1989)))</f>
        <v>0</v>
      </c>
      <c r="BL1990">
        <f>IF($A1990="","",IF(BH1990=1,$D1990,MIN($D1990,BL1989)))</f>
        <v>0</v>
      </c>
      <c r="BM1990">
        <f>IF($A1990="","",IF(BI1990=1,F1990,""))</f>
        <v>0</v>
      </c>
      <c r="BN1990">
        <f>IF($A1990="","",DATE(YEAR($A1990),MONTH($A1990),1))</f>
        <v>0</v>
      </c>
      <c r="BO1990">
        <f>IF($A1990="","",IF($A1989="",1,IF(BN1990&lt;&gt;BN1989,1,0)))</f>
        <v>0</v>
      </c>
      <c r="BP1990">
        <f>IF($A1990="","",IF($A1991="",1,IF(BN1991&lt;&gt;BN1990,1,0)))</f>
        <v>0</v>
      </c>
      <c r="BQ1990">
        <f>IF($A1990="","",IF(BO1990=1,$B1990,BQ1989))</f>
        <v>0</v>
      </c>
      <c r="BR1990">
        <f>IF($A1990="","",IF(BO1990=1,$C1990,MAX($C1990,BR1989)))</f>
        <v>0</v>
      </c>
      <c r="BS1990">
        <f>IF($A1990="","",IF(BO1990=1,$D1990,MIN($D1990,BS1989)))</f>
        <v>0</v>
      </c>
      <c r="BT1990">
        <f>IF($A1990="","",IF(BP1990=1,F1990,""))</f>
        <v>0</v>
      </c>
    </row>
    <row r="1991" spans="1:72">
      <c r="A1991" s="27">
        <f>IF(Data!$A1991="","",Data!$A1991)</f>
        <v>0</v>
      </c>
      <c r="B1991">
        <f>IF(Data!$B1991="","",Data!$B1991)</f>
        <v>0</v>
      </c>
      <c r="C1991">
        <f>IF(Data!$C1991="","",Data!$C1991)</f>
        <v>0</v>
      </c>
      <c r="D1991">
        <f>IF(Data!$D1991="","",Data!$D1991)</f>
        <v>0</v>
      </c>
      <c r="E1991">
        <f>IF(Data!$E1991="","",Data!$E1991)</f>
        <v>0</v>
      </c>
      <c r="F1991">
        <f>IF($E1991="","",N(F1990)+1)</f>
        <v>0</v>
      </c>
      <c r="G1991">
        <f>IF(OR($E1991="",$E1990=""),"",LN($E1991/$E1990))</f>
        <v>0</v>
      </c>
      <c r="H1991">
        <f>IF($E1991="","",IF($E1990="",$E1991,$E1991*0.0952380952+H1990*0.9047619048))</f>
        <v>0</v>
      </c>
      <c r="I1991">
        <f>IF($E1991="","",IF($E1990="",$E1991,$E1991*0.0392156863+I1990*0.9607843137))</f>
        <v>0</v>
      </c>
      <c r="J1991">
        <f>IF($E1991="","",IF($E1990="",$E1991,$E1991*0.0198019802+J1990*0.9801980198))</f>
        <v>0</v>
      </c>
      <c r="K1991">
        <f>IF($E1991="","",IF($E1990="",$E1991,$E1991*0.0099502488+K1990*0.9900497512))</f>
        <v>0</v>
      </c>
      <c r="L1991">
        <f>IF(OR($E1991="",$E1990=""),"",MAX($E1991-$E1990,0))</f>
        <v>0</v>
      </c>
      <c r="M1991">
        <f>IF(OR($E1991="",$E1990=""),"",MAX($E1990-$E1991,0))</f>
        <v>0</v>
      </c>
      <c r="N1991">
        <f>IF(COUNT($E$2:$E1991)&lt;15,"",IF(AVERAGE($M$1978:$M$1991)=0,100,100-100/(1+AVERAGE($L$1978:$L$1991)/AVERAGE($M$1978:$M$1991))))</f>
        <v>0</v>
      </c>
      <c r="O1991">
        <f>IF($E1991="","",IF($E1990="",$E1991,$E1991*0.1538461538+O1990*0.8461538462))</f>
        <v>0</v>
      </c>
      <c r="P1991">
        <f>IF($E1991="","",IF($E1990="",$E1991,$E1991*0.0740740741+P1990*0.9259259259))</f>
        <v>0</v>
      </c>
      <c r="Q1991">
        <f>IF(OR(O1991="",P1991=""),"",O1991-P1991)</f>
        <v>0</v>
      </c>
      <c r="R1991">
        <f>IF(Q1991="","",IF(R1990="",Q1991,Q1991*0.2000000000+R1990*0.8000000000))</f>
        <v>0</v>
      </c>
      <c r="S1991">
        <f>IF(OR(Q1991="",R1991=""),"",Q1991-R1991)</f>
        <v>0</v>
      </c>
      <c r="T1991">
        <f>IF(COUNT($E$2:$E1991)&lt;14,"",MAX($C$1978:$C$1991))</f>
        <v>0</v>
      </c>
      <c r="U1991">
        <f>IF(COUNT($E$2:$E1991)&lt;14,"",MIN($D$1978:$D$1991))</f>
        <v>0</v>
      </c>
      <c r="V1991">
        <f>IF(OR(T1991="",U1991="",T1991=U1991),"",100*($E1991-U1991)/(T1991-U1991))</f>
        <v>0</v>
      </c>
      <c r="W1991">
        <f>IF(COUNT($V$1989:$V$1991)&lt;3,"",AVERAGE($V$1989:$V$1991))</f>
        <v>0</v>
      </c>
      <c r="X1991">
        <f>IF(COUNT($N$1978:$N$1991)&lt;14,"",MIN($N$1978:$N$1991))</f>
        <v>0</v>
      </c>
      <c r="Y1991">
        <f>IF(COUNT($N$1978:$N$1991)&lt;14,"",MAX($N$1978:$N$1991))</f>
        <v>0</v>
      </c>
      <c r="Z1991">
        <f>IF(OR(N1991="",X1991="",Y1991="",Y1991=X1991),"",100*(N1991-X1991)/(Y1991-X1991))</f>
        <v>0</v>
      </c>
      <c r="AA1991">
        <f>IF(COUNT($Z$1989:$Z$1991)&lt;3,"",AVERAGE($Z$1989:$Z$1991))</f>
        <v>0</v>
      </c>
      <c r="AB1991">
        <f>IF(COUNT($AA$1989:$AA$1991)&lt;3,"",AVERAGE($AA$1989:$AA$1991))</f>
        <v>0</v>
      </c>
      <c r="AC1991">
        <f>IF($E1991="","",MAX($C1991-$D1991,ABS($C1991-$E1990),ABS($D1991-$E1990)))</f>
        <v>0</v>
      </c>
      <c r="AD1991">
        <f>IF(COUNT($E$2:$E1991)&lt;15,"",AVERAGE($AC$1978:$AC$1991))</f>
        <v>0</v>
      </c>
      <c r="AE1991">
        <f>IF(OR($E1991="",$E1990=""),"",IF(AND(($C1991-$C1990)&gt;($D1990-$D1991),($C1991-$C1990)&gt;0),$C1991-$C1990,0))</f>
        <v>0</v>
      </c>
      <c r="AF1991">
        <f>IF(OR($E1991="",$E1990=""),"",IF(AND(($D1990-$D1991)&gt;($C1991-$C1990),($D1990-$D1991)&gt;0),$D1990-$D1991,0))</f>
        <v>0</v>
      </c>
      <c r="AG1991">
        <f>IF(COUNT($E$2:$E1991)&lt;15,"",IF(SUM($AC$1978:$AC$1991)=0,0,100*SUM($AE$1978:$AE$1991)/SUM($AC$1978:$AC$1991)))</f>
        <v>0</v>
      </c>
      <c r="AH1991">
        <f>IF(COUNT($E$2:$E1991)&lt;15,"",IF(SUM($AC$1978:$AC$1991)=0,0,100*SUM($AF$1978:$AF$1991)/SUM($AC$1978:$AC$1991)))</f>
        <v>0</v>
      </c>
      <c r="AI1991">
        <f>IF(OR(AG1991="",AH1991=""),"",IF((AG1991+AH1991)=0,0,100*ABS(AG1991-AH1991)/(AG1991+AH1991)))</f>
        <v>0</v>
      </c>
      <c r="AJ1991">
        <f>IF(COUNT($AI$1978:$AI$1991)&lt;14,"",AVERAGE($AI$1978:$AI$1991))</f>
        <v>0</v>
      </c>
      <c r="AK1991">
        <f>IF(COUNT($E$2:$E1991)&lt;20,"",AVERAGE($E$1972:$E$1991))</f>
        <v>0</v>
      </c>
      <c r="AL1991">
        <f>IF(COUNT($E$2:$E1991)&lt;20,"",STDEVP($E$1972:$E$1991))</f>
        <v>0</v>
      </c>
      <c r="AM1991">
        <f>IF(AK1991="","",AK1991+2*AL1991)</f>
        <v>0</v>
      </c>
      <c r="AN1991">
        <f>IF(AK1991="","",AK1991-2*AL1991)</f>
        <v>0</v>
      </c>
      <c r="AO1991">
        <f>IF(OR(AM1991="",AN1991="",AM1991=AN1991),"",($E1991-AN1991)/(AM1991-AN1991))</f>
        <v>0</v>
      </c>
      <c r="AP1991">
        <f>IF(OR(AM1991="",AK1991="",AK1991=0),"",(AM1991-AN1991)/AK1991)</f>
        <v>0</v>
      </c>
      <c r="AQ1991">
        <f>IF(COUNT($E$2:$E1991)&lt;20,"",MAX($C$1972:$C$1991))</f>
        <v>0</v>
      </c>
      <c r="AR1991">
        <f>IF(COUNT($E$2:$E1991)&lt;20,"",MIN($D$1972:$D$1991))</f>
        <v>0</v>
      </c>
      <c r="AS1991">
        <f>IF(OR(AQ1991="",AR1991=""),"",(AQ1991+AR1991)/2)</f>
        <v>0</v>
      </c>
      <c r="AT1991">
        <f>IF(COUNT($G$1972:$G$1991)&lt;20,"",STDEV($G$1972:$G$1991)*SQRT(252))</f>
        <v>0</v>
      </c>
      <c r="AU1991">
        <f>IF(COUNT($E$2:$E1991)&lt;9,"",(MAX($C$1983:$C$1991)+MIN($D$1983:$D$1991))/2)</f>
        <v>0</v>
      </c>
      <c r="AV1991">
        <f>IF(COUNT($E$2:$E1991)&lt;26,"",(MAX($C$1966:$C$1991)+MIN($D$1966:$D$1991))/2)</f>
        <v>0</v>
      </c>
      <c r="AW1991">
        <f>IF(OR(AU1991="",AV1991=""),"",(AU1991+AV1991)/2)</f>
        <v>0</v>
      </c>
      <c r="AX1991">
        <f>IF(COUNT($E$2:$E1991)&lt;52,"",(MAX($C$1940:$C$1991)+MIN($D$1940:$D$1991))/2)</f>
        <v>0</v>
      </c>
      <c r="AY1991">
        <f>IF(COUNT($E$2:$E1991)&lt;20,"",MAX($C$1892:$C$1991))</f>
        <v>0</v>
      </c>
      <c r="AZ1991">
        <f>IF(COUNT($E$2:$E1991)&lt;20,"",MIN($D$1892:$D$1991))</f>
        <v>0</v>
      </c>
      <c r="BA1991">
        <f>IF(COUNT($E$2:$E1991)&lt;20,"",SLOPE($E$1892:$E$1991,$F$1892:$F$1991))</f>
        <v>0</v>
      </c>
      <c r="BB1991">
        <f>IF(COUNT($E$2:$E1991)&lt;20,"",INTERCEPT($E$1892:$E$1991,$F$1892:$F$1991))</f>
        <v>0</v>
      </c>
      <c r="BC1991">
        <f>IF(OR(BA1991="",BB1991=""),"",BB1991+BA1991*F1991)</f>
        <v>0</v>
      </c>
      <c r="BD1991">
        <f>IF(COUNT($E$2:$E1991)&lt;20,"",STEYX($E$1892:$E$1991,$F$1892:$F$1991))</f>
        <v>0</v>
      </c>
      <c r="BE1991">
        <f>IF($E1991="","",IF(AND(COUNT($E$1992:$E$1995)&gt;=4,$C1991=MAX($C$1987:$C$1995)),$C1991,""))</f>
        <v>0</v>
      </c>
      <c r="BF1991">
        <f>IF($E1991="","",IF(AND(COUNT($E$1992:$E$1995)&gt;=4,$D1991=MIN($D$1987:$D$1995)),$D1991,""))</f>
        <v>0</v>
      </c>
      <c r="BG1991">
        <f>IF($A1991="","",$A1991-WEEKDAY($A1991,2)+1)</f>
        <v>0</v>
      </c>
      <c r="BH1991">
        <f>IF($A1991="","",IF($A1990="",1,IF(BG1991&lt;&gt;BG1990,1,0)))</f>
        <v>0</v>
      </c>
      <c r="BI1991">
        <f>IF($A1991="","",IF($A1992="",1,IF(BG1992&lt;&gt;BG1991,1,0)))</f>
        <v>0</v>
      </c>
      <c r="BJ1991">
        <f>IF($A1991="","",IF(BH1991=1,$B1991,BJ1990))</f>
        <v>0</v>
      </c>
      <c r="BK1991">
        <f>IF($A1991="","",IF(BH1991=1,$C1991,MAX($C1991,BK1990)))</f>
        <v>0</v>
      </c>
      <c r="BL1991">
        <f>IF($A1991="","",IF(BH1991=1,$D1991,MIN($D1991,BL1990)))</f>
        <v>0</v>
      </c>
      <c r="BM1991">
        <f>IF($A1991="","",IF(BI1991=1,F1991,""))</f>
        <v>0</v>
      </c>
      <c r="BN1991">
        <f>IF($A1991="","",DATE(YEAR($A1991),MONTH($A1991),1))</f>
        <v>0</v>
      </c>
      <c r="BO1991">
        <f>IF($A1991="","",IF($A1990="",1,IF(BN1991&lt;&gt;BN1990,1,0)))</f>
        <v>0</v>
      </c>
      <c r="BP1991">
        <f>IF($A1991="","",IF($A1992="",1,IF(BN1992&lt;&gt;BN1991,1,0)))</f>
        <v>0</v>
      </c>
      <c r="BQ1991">
        <f>IF($A1991="","",IF(BO1991=1,$B1991,BQ1990))</f>
        <v>0</v>
      </c>
      <c r="BR1991">
        <f>IF($A1991="","",IF(BO1991=1,$C1991,MAX($C1991,BR1990)))</f>
        <v>0</v>
      </c>
      <c r="BS1991">
        <f>IF($A1991="","",IF(BO1991=1,$D1991,MIN($D1991,BS1990)))</f>
        <v>0</v>
      </c>
      <c r="BT1991">
        <f>IF($A1991="","",IF(BP1991=1,F1991,""))</f>
        <v>0</v>
      </c>
    </row>
    <row r="1992" spans="1:72">
      <c r="A1992" s="27">
        <f>IF(Data!$A1992="","",Data!$A1992)</f>
        <v>0</v>
      </c>
      <c r="B1992">
        <f>IF(Data!$B1992="","",Data!$B1992)</f>
        <v>0</v>
      </c>
      <c r="C1992">
        <f>IF(Data!$C1992="","",Data!$C1992)</f>
        <v>0</v>
      </c>
      <c r="D1992">
        <f>IF(Data!$D1992="","",Data!$D1992)</f>
        <v>0</v>
      </c>
      <c r="E1992">
        <f>IF(Data!$E1992="","",Data!$E1992)</f>
        <v>0</v>
      </c>
      <c r="F1992">
        <f>IF($E1992="","",N(F1991)+1)</f>
        <v>0</v>
      </c>
      <c r="G1992">
        <f>IF(OR($E1992="",$E1991=""),"",LN($E1992/$E1991))</f>
        <v>0</v>
      </c>
      <c r="H1992">
        <f>IF($E1992="","",IF($E1991="",$E1992,$E1992*0.0952380952+H1991*0.9047619048))</f>
        <v>0</v>
      </c>
      <c r="I1992">
        <f>IF($E1992="","",IF($E1991="",$E1992,$E1992*0.0392156863+I1991*0.9607843137))</f>
        <v>0</v>
      </c>
      <c r="J1992">
        <f>IF($E1992="","",IF($E1991="",$E1992,$E1992*0.0198019802+J1991*0.9801980198))</f>
        <v>0</v>
      </c>
      <c r="K1992">
        <f>IF($E1992="","",IF($E1991="",$E1992,$E1992*0.0099502488+K1991*0.9900497512))</f>
        <v>0</v>
      </c>
      <c r="L1992">
        <f>IF(OR($E1992="",$E1991=""),"",MAX($E1992-$E1991,0))</f>
        <v>0</v>
      </c>
      <c r="M1992">
        <f>IF(OR($E1992="",$E1991=""),"",MAX($E1991-$E1992,0))</f>
        <v>0</v>
      </c>
      <c r="N1992">
        <f>IF(COUNT($E$2:$E1992)&lt;15,"",IF(AVERAGE($M$1979:$M$1992)=0,100,100-100/(1+AVERAGE($L$1979:$L$1992)/AVERAGE($M$1979:$M$1992))))</f>
        <v>0</v>
      </c>
      <c r="O1992">
        <f>IF($E1992="","",IF($E1991="",$E1992,$E1992*0.1538461538+O1991*0.8461538462))</f>
        <v>0</v>
      </c>
      <c r="P1992">
        <f>IF($E1992="","",IF($E1991="",$E1992,$E1992*0.0740740741+P1991*0.9259259259))</f>
        <v>0</v>
      </c>
      <c r="Q1992">
        <f>IF(OR(O1992="",P1992=""),"",O1992-P1992)</f>
        <v>0</v>
      </c>
      <c r="R1992">
        <f>IF(Q1992="","",IF(R1991="",Q1992,Q1992*0.2000000000+R1991*0.8000000000))</f>
        <v>0</v>
      </c>
      <c r="S1992">
        <f>IF(OR(Q1992="",R1992=""),"",Q1992-R1992)</f>
        <v>0</v>
      </c>
      <c r="T1992">
        <f>IF(COUNT($E$2:$E1992)&lt;14,"",MAX($C$1979:$C$1992))</f>
        <v>0</v>
      </c>
      <c r="U1992">
        <f>IF(COUNT($E$2:$E1992)&lt;14,"",MIN($D$1979:$D$1992))</f>
        <v>0</v>
      </c>
      <c r="V1992">
        <f>IF(OR(T1992="",U1992="",T1992=U1992),"",100*($E1992-U1992)/(T1992-U1992))</f>
        <v>0</v>
      </c>
      <c r="W1992">
        <f>IF(COUNT($V$1990:$V$1992)&lt;3,"",AVERAGE($V$1990:$V$1992))</f>
        <v>0</v>
      </c>
      <c r="X1992">
        <f>IF(COUNT($N$1979:$N$1992)&lt;14,"",MIN($N$1979:$N$1992))</f>
        <v>0</v>
      </c>
      <c r="Y1992">
        <f>IF(COUNT($N$1979:$N$1992)&lt;14,"",MAX($N$1979:$N$1992))</f>
        <v>0</v>
      </c>
      <c r="Z1992">
        <f>IF(OR(N1992="",X1992="",Y1992="",Y1992=X1992),"",100*(N1992-X1992)/(Y1992-X1992))</f>
        <v>0</v>
      </c>
      <c r="AA1992">
        <f>IF(COUNT($Z$1990:$Z$1992)&lt;3,"",AVERAGE($Z$1990:$Z$1992))</f>
        <v>0</v>
      </c>
      <c r="AB1992">
        <f>IF(COUNT($AA$1990:$AA$1992)&lt;3,"",AVERAGE($AA$1990:$AA$1992))</f>
        <v>0</v>
      </c>
      <c r="AC1992">
        <f>IF($E1992="","",MAX($C1992-$D1992,ABS($C1992-$E1991),ABS($D1992-$E1991)))</f>
        <v>0</v>
      </c>
      <c r="AD1992">
        <f>IF(COUNT($E$2:$E1992)&lt;15,"",AVERAGE($AC$1979:$AC$1992))</f>
        <v>0</v>
      </c>
      <c r="AE1992">
        <f>IF(OR($E1992="",$E1991=""),"",IF(AND(($C1992-$C1991)&gt;($D1991-$D1992),($C1992-$C1991)&gt;0),$C1992-$C1991,0))</f>
        <v>0</v>
      </c>
      <c r="AF1992">
        <f>IF(OR($E1992="",$E1991=""),"",IF(AND(($D1991-$D1992)&gt;($C1992-$C1991),($D1991-$D1992)&gt;0),$D1991-$D1992,0))</f>
        <v>0</v>
      </c>
      <c r="AG1992">
        <f>IF(COUNT($E$2:$E1992)&lt;15,"",IF(SUM($AC$1979:$AC$1992)=0,0,100*SUM($AE$1979:$AE$1992)/SUM($AC$1979:$AC$1992)))</f>
        <v>0</v>
      </c>
      <c r="AH1992">
        <f>IF(COUNT($E$2:$E1992)&lt;15,"",IF(SUM($AC$1979:$AC$1992)=0,0,100*SUM($AF$1979:$AF$1992)/SUM($AC$1979:$AC$1992)))</f>
        <v>0</v>
      </c>
      <c r="AI1992">
        <f>IF(OR(AG1992="",AH1992=""),"",IF((AG1992+AH1992)=0,0,100*ABS(AG1992-AH1992)/(AG1992+AH1992)))</f>
        <v>0</v>
      </c>
      <c r="AJ1992">
        <f>IF(COUNT($AI$1979:$AI$1992)&lt;14,"",AVERAGE($AI$1979:$AI$1992))</f>
        <v>0</v>
      </c>
      <c r="AK1992">
        <f>IF(COUNT($E$2:$E1992)&lt;20,"",AVERAGE($E$1973:$E$1992))</f>
        <v>0</v>
      </c>
      <c r="AL1992">
        <f>IF(COUNT($E$2:$E1992)&lt;20,"",STDEVP($E$1973:$E$1992))</f>
        <v>0</v>
      </c>
      <c r="AM1992">
        <f>IF(AK1992="","",AK1992+2*AL1992)</f>
        <v>0</v>
      </c>
      <c r="AN1992">
        <f>IF(AK1992="","",AK1992-2*AL1992)</f>
        <v>0</v>
      </c>
      <c r="AO1992">
        <f>IF(OR(AM1992="",AN1992="",AM1992=AN1992),"",($E1992-AN1992)/(AM1992-AN1992))</f>
        <v>0</v>
      </c>
      <c r="AP1992">
        <f>IF(OR(AM1992="",AK1992="",AK1992=0),"",(AM1992-AN1992)/AK1992)</f>
        <v>0</v>
      </c>
      <c r="AQ1992">
        <f>IF(COUNT($E$2:$E1992)&lt;20,"",MAX($C$1973:$C$1992))</f>
        <v>0</v>
      </c>
      <c r="AR1992">
        <f>IF(COUNT($E$2:$E1992)&lt;20,"",MIN($D$1973:$D$1992))</f>
        <v>0</v>
      </c>
      <c r="AS1992">
        <f>IF(OR(AQ1992="",AR1992=""),"",(AQ1992+AR1992)/2)</f>
        <v>0</v>
      </c>
      <c r="AT1992">
        <f>IF(COUNT($G$1973:$G$1992)&lt;20,"",STDEV($G$1973:$G$1992)*SQRT(252))</f>
        <v>0</v>
      </c>
      <c r="AU1992">
        <f>IF(COUNT($E$2:$E1992)&lt;9,"",(MAX($C$1984:$C$1992)+MIN($D$1984:$D$1992))/2)</f>
        <v>0</v>
      </c>
      <c r="AV1992">
        <f>IF(COUNT($E$2:$E1992)&lt;26,"",(MAX($C$1967:$C$1992)+MIN($D$1967:$D$1992))/2)</f>
        <v>0</v>
      </c>
      <c r="AW1992">
        <f>IF(OR(AU1992="",AV1992=""),"",(AU1992+AV1992)/2)</f>
        <v>0</v>
      </c>
      <c r="AX1992">
        <f>IF(COUNT($E$2:$E1992)&lt;52,"",(MAX($C$1941:$C$1992)+MIN($D$1941:$D$1992))/2)</f>
        <v>0</v>
      </c>
      <c r="AY1992">
        <f>IF(COUNT($E$2:$E1992)&lt;20,"",MAX($C$1893:$C$1992))</f>
        <v>0</v>
      </c>
      <c r="AZ1992">
        <f>IF(COUNT($E$2:$E1992)&lt;20,"",MIN($D$1893:$D$1992))</f>
        <v>0</v>
      </c>
      <c r="BA1992">
        <f>IF(COUNT($E$2:$E1992)&lt;20,"",SLOPE($E$1893:$E$1992,$F$1893:$F$1992))</f>
        <v>0</v>
      </c>
      <c r="BB1992">
        <f>IF(COUNT($E$2:$E1992)&lt;20,"",INTERCEPT($E$1893:$E$1992,$F$1893:$F$1992))</f>
        <v>0</v>
      </c>
      <c r="BC1992">
        <f>IF(OR(BA1992="",BB1992=""),"",BB1992+BA1992*F1992)</f>
        <v>0</v>
      </c>
      <c r="BD1992">
        <f>IF(COUNT($E$2:$E1992)&lt;20,"",STEYX($E$1893:$E$1992,$F$1893:$F$1992))</f>
        <v>0</v>
      </c>
      <c r="BE1992">
        <f>IF($E1992="","",IF(AND(COUNT($E$1993:$E$1996)&gt;=4,$C1992=MAX($C$1988:$C$1996)),$C1992,""))</f>
        <v>0</v>
      </c>
      <c r="BF1992">
        <f>IF($E1992="","",IF(AND(COUNT($E$1993:$E$1996)&gt;=4,$D1992=MIN($D$1988:$D$1996)),$D1992,""))</f>
        <v>0</v>
      </c>
      <c r="BG1992">
        <f>IF($A1992="","",$A1992-WEEKDAY($A1992,2)+1)</f>
        <v>0</v>
      </c>
      <c r="BH1992">
        <f>IF($A1992="","",IF($A1991="",1,IF(BG1992&lt;&gt;BG1991,1,0)))</f>
        <v>0</v>
      </c>
      <c r="BI1992">
        <f>IF($A1992="","",IF($A1993="",1,IF(BG1993&lt;&gt;BG1992,1,0)))</f>
        <v>0</v>
      </c>
      <c r="BJ1992">
        <f>IF($A1992="","",IF(BH1992=1,$B1992,BJ1991))</f>
        <v>0</v>
      </c>
      <c r="BK1992">
        <f>IF($A1992="","",IF(BH1992=1,$C1992,MAX($C1992,BK1991)))</f>
        <v>0</v>
      </c>
      <c r="BL1992">
        <f>IF($A1992="","",IF(BH1992=1,$D1992,MIN($D1992,BL1991)))</f>
        <v>0</v>
      </c>
      <c r="BM1992">
        <f>IF($A1992="","",IF(BI1992=1,F1992,""))</f>
        <v>0</v>
      </c>
      <c r="BN1992">
        <f>IF($A1992="","",DATE(YEAR($A1992),MONTH($A1992),1))</f>
        <v>0</v>
      </c>
      <c r="BO1992">
        <f>IF($A1992="","",IF($A1991="",1,IF(BN1992&lt;&gt;BN1991,1,0)))</f>
        <v>0</v>
      </c>
      <c r="BP1992">
        <f>IF($A1992="","",IF($A1993="",1,IF(BN1993&lt;&gt;BN1992,1,0)))</f>
        <v>0</v>
      </c>
      <c r="BQ1992">
        <f>IF($A1992="","",IF(BO1992=1,$B1992,BQ1991))</f>
        <v>0</v>
      </c>
      <c r="BR1992">
        <f>IF($A1992="","",IF(BO1992=1,$C1992,MAX($C1992,BR1991)))</f>
        <v>0</v>
      </c>
      <c r="BS1992">
        <f>IF($A1992="","",IF(BO1992=1,$D1992,MIN($D1992,BS1991)))</f>
        <v>0</v>
      </c>
      <c r="BT1992">
        <f>IF($A1992="","",IF(BP1992=1,F1992,""))</f>
        <v>0</v>
      </c>
    </row>
    <row r="1993" spans="1:72">
      <c r="A1993" s="27">
        <f>IF(Data!$A1993="","",Data!$A1993)</f>
        <v>0</v>
      </c>
      <c r="B1993">
        <f>IF(Data!$B1993="","",Data!$B1993)</f>
        <v>0</v>
      </c>
      <c r="C1993">
        <f>IF(Data!$C1993="","",Data!$C1993)</f>
        <v>0</v>
      </c>
      <c r="D1993">
        <f>IF(Data!$D1993="","",Data!$D1993)</f>
        <v>0</v>
      </c>
      <c r="E1993">
        <f>IF(Data!$E1993="","",Data!$E1993)</f>
        <v>0</v>
      </c>
      <c r="F1993">
        <f>IF($E1993="","",N(F1992)+1)</f>
        <v>0</v>
      </c>
      <c r="G1993">
        <f>IF(OR($E1993="",$E1992=""),"",LN($E1993/$E1992))</f>
        <v>0</v>
      </c>
      <c r="H1993">
        <f>IF($E1993="","",IF($E1992="",$E1993,$E1993*0.0952380952+H1992*0.9047619048))</f>
        <v>0</v>
      </c>
      <c r="I1993">
        <f>IF($E1993="","",IF($E1992="",$E1993,$E1993*0.0392156863+I1992*0.9607843137))</f>
        <v>0</v>
      </c>
      <c r="J1993">
        <f>IF($E1993="","",IF($E1992="",$E1993,$E1993*0.0198019802+J1992*0.9801980198))</f>
        <v>0</v>
      </c>
      <c r="K1993">
        <f>IF($E1993="","",IF($E1992="",$E1993,$E1993*0.0099502488+K1992*0.9900497512))</f>
        <v>0</v>
      </c>
      <c r="L1993">
        <f>IF(OR($E1993="",$E1992=""),"",MAX($E1993-$E1992,0))</f>
        <v>0</v>
      </c>
      <c r="M1993">
        <f>IF(OR($E1993="",$E1992=""),"",MAX($E1992-$E1993,0))</f>
        <v>0</v>
      </c>
      <c r="N1993">
        <f>IF(COUNT($E$2:$E1993)&lt;15,"",IF(AVERAGE($M$1980:$M$1993)=0,100,100-100/(1+AVERAGE($L$1980:$L$1993)/AVERAGE($M$1980:$M$1993))))</f>
        <v>0</v>
      </c>
      <c r="O1993">
        <f>IF($E1993="","",IF($E1992="",$E1993,$E1993*0.1538461538+O1992*0.8461538462))</f>
        <v>0</v>
      </c>
      <c r="P1993">
        <f>IF($E1993="","",IF($E1992="",$E1993,$E1993*0.0740740741+P1992*0.9259259259))</f>
        <v>0</v>
      </c>
      <c r="Q1993">
        <f>IF(OR(O1993="",P1993=""),"",O1993-P1993)</f>
        <v>0</v>
      </c>
      <c r="R1993">
        <f>IF(Q1993="","",IF(R1992="",Q1993,Q1993*0.2000000000+R1992*0.8000000000))</f>
        <v>0</v>
      </c>
      <c r="S1993">
        <f>IF(OR(Q1993="",R1993=""),"",Q1993-R1993)</f>
        <v>0</v>
      </c>
      <c r="T1993">
        <f>IF(COUNT($E$2:$E1993)&lt;14,"",MAX($C$1980:$C$1993))</f>
        <v>0</v>
      </c>
      <c r="U1993">
        <f>IF(COUNT($E$2:$E1993)&lt;14,"",MIN($D$1980:$D$1993))</f>
        <v>0</v>
      </c>
      <c r="V1993">
        <f>IF(OR(T1993="",U1993="",T1993=U1993),"",100*($E1993-U1993)/(T1993-U1993))</f>
        <v>0</v>
      </c>
      <c r="W1993">
        <f>IF(COUNT($V$1991:$V$1993)&lt;3,"",AVERAGE($V$1991:$V$1993))</f>
        <v>0</v>
      </c>
      <c r="X1993">
        <f>IF(COUNT($N$1980:$N$1993)&lt;14,"",MIN($N$1980:$N$1993))</f>
        <v>0</v>
      </c>
      <c r="Y1993">
        <f>IF(COUNT($N$1980:$N$1993)&lt;14,"",MAX($N$1980:$N$1993))</f>
        <v>0</v>
      </c>
      <c r="Z1993">
        <f>IF(OR(N1993="",X1993="",Y1993="",Y1993=X1993),"",100*(N1993-X1993)/(Y1993-X1993))</f>
        <v>0</v>
      </c>
      <c r="AA1993">
        <f>IF(COUNT($Z$1991:$Z$1993)&lt;3,"",AVERAGE($Z$1991:$Z$1993))</f>
        <v>0</v>
      </c>
      <c r="AB1993">
        <f>IF(COUNT($AA$1991:$AA$1993)&lt;3,"",AVERAGE($AA$1991:$AA$1993))</f>
        <v>0</v>
      </c>
      <c r="AC1993">
        <f>IF($E1993="","",MAX($C1993-$D1993,ABS($C1993-$E1992),ABS($D1993-$E1992)))</f>
        <v>0</v>
      </c>
      <c r="AD1993">
        <f>IF(COUNT($E$2:$E1993)&lt;15,"",AVERAGE($AC$1980:$AC$1993))</f>
        <v>0</v>
      </c>
      <c r="AE1993">
        <f>IF(OR($E1993="",$E1992=""),"",IF(AND(($C1993-$C1992)&gt;($D1992-$D1993),($C1993-$C1992)&gt;0),$C1993-$C1992,0))</f>
        <v>0</v>
      </c>
      <c r="AF1993">
        <f>IF(OR($E1993="",$E1992=""),"",IF(AND(($D1992-$D1993)&gt;($C1993-$C1992),($D1992-$D1993)&gt;0),$D1992-$D1993,0))</f>
        <v>0</v>
      </c>
      <c r="AG1993">
        <f>IF(COUNT($E$2:$E1993)&lt;15,"",IF(SUM($AC$1980:$AC$1993)=0,0,100*SUM($AE$1980:$AE$1993)/SUM($AC$1980:$AC$1993)))</f>
        <v>0</v>
      </c>
      <c r="AH1993">
        <f>IF(COUNT($E$2:$E1993)&lt;15,"",IF(SUM($AC$1980:$AC$1993)=0,0,100*SUM($AF$1980:$AF$1993)/SUM($AC$1980:$AC$1993)))</f>
        <v>0</v>
      </c>
      <c r="AI1993">
        <f>IF(OR(AG1993="",AH1993=""),"",IF((AG1993+AH1993)=0,0,100*ABS(AG1993-AH1993)/(AG1993+AH1993)))</f>
        <v>0</v>
      </c>
      <c r="AJ1993">
        <f>IF(COUNT($AI$1980:$AI$1993)&lt;14,"",AVERAGE($AI$1980:$AI$1993))</f>
        <v>0</v>
      </c>
      <c r="AK1993">
        <f>IF(COUNT($E$2:$E1993)&lt;20,"",AVERAGE($E$1974:$E$1993))</f>
        <v>0</v>
      </c>
      <c r="AL1993">
        <f>IF(COUNT($E$2:$E1993)&lt;20,"",STDEVP($E$1974:$E$1993))</f>
        <v>0</v>
      </c>
      <c r="AM1993">
        <f>IF(AK1993="","",AK1993+2*AL1993)</f>
        <v>0</v>
      </c>
      <c r="AN1993">
        <f>IF(AK1993="","",AK1993-2*AL1993)</f>
        <v>0</v>
      </c>
      <c r="AO1993">
        <f>IF(OR(AM1993="",AN1993="",AM1993=AN1993),"",($E1993-AN1993)/(AM1993-AN1993))</f>
        <v>0</v>
      </c>
      <c r="AP1993">
        <f>IF(OR(AM1993="",AK1993="",AK1993=0),"",(AM1993-AN1993)/AK1993)</f>
        <v>0</v>
      </c>
      <c r="AQ1993">
        <f>IF(COUNT($E$2:$E1993)&lt;20,"",MAX($C$1974:$C$1993))</f>
        <v>0</v>
      </c>
      <c r="AR1993">
        <f>IF(COUNT($E$2:$E1993)&lt;20,"",MIN($D$1974:$D$1993))</f>
        <v>0</v>
      </c>
      <c r="AS1993">
        <f>IF(OR(AQ1993="",AR1993=""),"",(AQ1993+AR1993)/2)</f>
        <v>0</v>
      </c>
      <c r="AT1993">
        <f>IF(COUNT($G$1974:$G$1993)&lt;20,"",STDEV($G$1974:$G$1993)*SQRT(252))</f>
        <v>0</v>
      </c>
      <c r="AU1993">
        <f>IF(COUNT($E$2:$E1993)&lt;9,"",(MAX($C$1985:$C$1993)+MIN($D$1985:$D$1993))/2)</f>
        <v>0</v>
      </c>
      <c r="AV1993">
        <f>IF(COUNT($E$2:$E1993)&lt;26,"",(MAX($C$1968:$C$1993)+MIN($D$1968:$D$1993))/2)</f>
        <v>0</v>
      </c>
      <c r="AW1993">
        <f>IF(OR(AU1993="",AV1993=""),"",(AU1993+AV1993)/2)</f>
        <v>0</v>
      </c>
      <c r="AX1993">
        <f>IF(COUNT($E$2:$E1993)&lt;52,"",(MAX($C$1942:$C$1993)+MIN($D$1942:$D$1993))/2)</f>
        <v>0</v>
      </c>
      <c r="AY1993">
        <f>IF(COUNT($E$2:$E1993)&lt;20,"",MAX($C$1894:$C$1993))</f>
        <v>0</v>
      </c>
      <c r="AZ1993">
        <f>IF(COUNT($E$2:$E1993)&lt;20,"",MIN($D$1894:$D$1993))</f>
        <v>0</v>
      </c>
      <c r="BA1993">
        <f>IF(COUNT($E$2:$E1993)&lt;20,"",SLOPE($E$1894:$E$1993,$F$1894:$F$1993))</f>
        <v>0</v>
      </c>
      <c r="BB1993">
        <f>IF(COUNT($E$2:$E1993)&lt;20,"",INTERCEPT($E$1894:$E$1993,$F$1894:$F$1993))</f>
        <v>0</v>
      </c>
      <c r="BC1993">
        <f>IF(OR(BA1993="",BB1993=""),"",BB1993+BA1993*F1993)</f>
        <v>0</v>
      </c>
      <c r="BD1993">
        <f>IF(COUNT($E$2:$E1993)&lt;20,"",STEYX($E$1894:$E$1993,$F$1894:$F$1993))</f>
        <v>0</v>
      </c>
      <c r="BE1993">
        <f>IF($E1993="","",IF(AND(COUNT($E$1994:$E$1997)&gt;=4,$C1993=MAX($C$1989:$C$1997)),$C1993,""))</f>
        <v>0</v>
      </c>
      <c r="BF1993">
        <f>IF($E1993="","",IF(AND(COUNT($E$1994:$E$1997)&gt;=4,$D1993=MIN($D$1989:$D$1997)),$D1993,""))</f>
        <v>0</v>
      </c>
      <c r="BG1993">
        <f>IF($A1993="","",$A1993-WEEKDAY($A1993,2)+1)</f>
        <v>0</v>
      </c>
      <c r="BH1993">
        <f>IF($A1993="","",IF($A1992="",1,IF(BG1993&lt;&gt;BG1992,1,0)))</f>
        <v>0</v>
      </c>
      <c r="BI1993">
        <f>IF($A1993="","",IF($A1994="",1,IF(BG1994&lt;&gt;BG1993,1,0)))</f>
        <v>0</v>
      </c>
      <c r="BJ1993">
        <f>IF($A1993="","",IF(BH1993=1,$B1993,BJ1992))</f>
        <v>0</v>
      </c>
      <c r="BK1993">
        <f>IF($A1993="","",IF(BH1993=1,$C1993,MAX($C1993,BK1992)))</f>
        <v>0</v>
      </c>
      <c r="BL1993">
        <f>IF($A1993="","",IF(BH1993=1,$D1993,MIN($D1993,BL1992)))</f>
        <v>0</v>
      </c>
      <c r="BM1993">
        <f>IF($A1993="","",IF(BI1993=1,F1993,""))</f>
        <v>0</v>
      </c>
      <c r="BN1993">
        <f>IF($A1993="","",DATE(YEAR($A1993),MONTH($A1993),1))</f>
        <v>0</v>
      </c>
      <c r="BO1993">
        <f>IF($A1993="","",IF($A1992="",1,IF(BN1993&lt;&gt;BN1992,1,0)))</f>
        <v>0</v>
      </c>
      <c r="BP1993">
        <f>IF($A1993="","",IF($A1994="",1,IF(BN1994&lt;&gt;BN1993,1,0)))</f>
        <v>0</v>
      </c>
      <c r="BQ1993">
        <f>IF($A1993="","",IF(BO1993=1,$B1993,BQ1992))</f>
        <v>0</v>
      </c>
      <c r="BR1993">
        <f>IF($A1993="","",IF(BO1993=1,$C1993,MAX($C1993,BR1992)))</f>
        <v>0</v>
      </c>
      <c r="BS1993">
        <f>IF($A1993="","",IF(BO1993=1,$D1993,MIN($D1993,BS1992)))</f>
        <v>0</v>
      </c>
      <c r="BT1993">
        <f>IF($A1993="","",IF(BP1993=1,F1993,""))</f>
        <v>0</v>
      </c>
    </row>
    <row r="1994" spans="1:72">
      <c r="A1994" s="27">
        <f>IF(Data!$A1994="","",Data!$A1994)</f>
        <v>0</v>
      </c>
      <c r="B1994">
        <f>IF(Data!$B1994="","",Data!$B1994)</f>
        <v>0</v>
      </c>
      <c r="C1994">
        <f>IF(Data!$C1994="","",Data!$C1994)</f>
        <v>0</v>
      </c>
      <c r="D1994">
        <f>IF(Data!$D1994="","",Data!$D1994)</f>
        <v>0</v>
      </c>
      <c r="E1994">
        <f>IF(Data!$E1994="","",Data!$E1994)</f>
        <v>0</v>
      </c>
      <c r="F1994">
        <f>IF($E1994="","",N(F1993)+1)</f>
        <v>0</v>
      </c>
      <c r="G1994">
        <f>IF(OR($E1994="",$E1993=""),"",LN($E1994/$E1993))</f>
        <v>0</v>
      </c>
      <c r="H1994">
        <f>IF($E1994="","",IF($E1993="",$E1994,$E1994*0.0952380952+H1993*0.9047619048))</f>
        <v>0</v>
      </c>
      <c r="I1994">
        <f>IF($E1994="","",IF($E1993="",$E1994,$E1994*0.0392156863+I1993*0.9607843137))</f>
        <v>0</v>
      </c>
      <c r="J1994">
        <f>IF($E1994="","",IF($E1993="",$E1994,$E1994*0.0198019802+J1993*0.9801980198))</f>
        <v>0</v>
      </c>
      <c r="K1994">
        <f>IF($E1994="","",IF($E1993="",$E1994,$E1994*0.0099502488+K1993*0.9900497512))</f>
        <v>0</v>
      </c>
      <c r="L1994">
        <f>IF(OR($E1994="",$E1993=""),"",MAX($E1994-$E1993,0))</f>
        <v>0</v>
      </c>
      <c r="M1994">
        <f>IF(OR($E1994="",$E1993=""),"",MAX($E1993-$E1994,0))</f>
        <v>0</v>
      </c>
      <c r="N1994">
        <f>IF(COUNT($E$2:$E1994)&lt;15,"",IF(AVERAGE($M$1981:$M$1994)=0,100,100-100/(1+AVERAGE($L$1981:$L$1994)/AVERAGE($M$1981:$M$1994))))</f>
        <v>0</v>
      </c>
      <c r="O1994">
        <f>IF($E1994="","",IF($E1993="",$E1994,$E1994*0.1538461538+O1993*0.8461538462))</f>
        <v>0</v>
      </c>
      <c r="P1994">
        <f>IF($E1994="","",IF($E1993="",$E1994,$E1994*0.0740740741+P1993*0.9259259259))</f>
        <v>0</v>
      </c>
      <c r="Q1994">
        <f>IF(OR(O1994="",P1994=""),"",O1994-P1994)</f>
        <v>0</v>
      </c>
      <c r="R1994">
        <f>IF(Q1994="","",IF(R1993="",Q1994,Q1994*0.2000000000+R1993*0.8000000000))</f>
        <v>0</v>
      </c>
      <c r="S1994">
        <f>IF(OR(Q1994="",R1994=""),"",Q1994-R1994)</f>
        <v>0</v>
      </c>
      <c r="T1994">
        <f>IF(COUNT($E$2:$E1994)&lt;14,"",MAX($C$1981:$C$1994))</f>
        <v>0</v>
      </c>
      <c r="U1994">
        <f>IF(COUNT($E$2:$E1994)&lt;14,"",MIN($D$1981:$D$1994))</f>
        <v>0</v>
      </c>
      <c r="V1994">
        <f>IF(OR(T1994="",U1994="",T1994=U1994),"",100*($E1994-U1994)/(T1994-U1994))</f>
        <v>0</v>
      </c>
      <c r="W1994">
        <f>IF(COUNT($V$1992:$V$1994)&lt;3,"",AVERAGE($V$1992:$V$1994))</f>
        <v>0</v>
      </c>
      <c r="X1994">
        <f>IF(COUNT($N$1981:$N$1994)&lt;14,"",MIN($N$1981:$N$1994))</f>
        <v>0</v>
      </c>
      <c r="Y1994">
        <f>IF(COUNT($N$1981:$N$1994)&lt;14,"",MAX($N$1981:$N$1994))</f>
        <v>0</v>
      </c>
      <c r="Z1994">
        <f>IF(OR(N1994="",X1994="",Y1994="",Y1994=X1994),"",100*(N1994-X1994)/(Y1994-X1994))</f>
        <v>0</v>
      </c>
      <c r="AA1994">
        <f>IF(COUNT($Z$1992:$Z$1994)&lt;3,"",AVERAGE($Z$1992:$Z$1994))</f>
        <v>0</v>
      </c>
      <c r="AB1994">
        <f>IF(COUNT($AA$1992:$AA$1994)&lt;3,"",AVERAGE($AA$1992:$AA$1994))</f>
        <v>0</v>
      </c>
      <c r="AC1994">
        <f>IF($E1994="","",MAX($C1994-$D1994,ABS($C1994-$E1993),ABS($D1994-$E1993)))</f>
        <v>0</v>
      </c>
      <c r="AD1994">
        <f>IF(COUNT($E$2:$E1994)&lt;15,"",AVERAGE($AC$1981:$AC$1994))</f>
        <v>0</v>
      </c>
      <c r="AE1994">
        <f>IF(OR($E1994="",$E1993=""),"",IF(AND(($C1994-$C1993)&gt;($D1993-$D1994),($C1994-$C1993)&gt;0),$C1994-$C1993,0))</f>
        <v>0</v>
      </c>
      <c r="AF1994">
        <f>IF(OR($E1994="",$E1993=""),"",IF(AND(($D1993-$D1994)&gt;($C1994-$C1993),($D1993-$D1994)&gt;0),$D1993-$D1994,0))</f>
        <v>0</v>
      </c>
      <c r="AG1994">
        <f>IF(COUNT($E$2:$E1994)&lt;15,"",IF(SUM($AC$1981:$AC$1994)=0,0,100*SUM($AE$1981:$AE$1994)/SUM($AC$1981:$AC$1994)))</f>
        <v>0</v>
      </c>
      <c r="AH1994">
        <f>IF(COUNT($E$2:$E1994)&lt;15,"",IF(SUM($AC$1981:$AC$1994)=0,0,100*SUM($AF$1981:$AF$1994)/SUM($AC$1981:$AC$1994)))</f>
        <v>0</v>
      </c>
      <c r="AI1994">
        <f>IF(OR(AG1994="",AH1994=""),"",IF((AG1994+AH1994)=0,0,100*ABS(AG1994-AH1994)/(AG1994+AH1994)))</f>
        <v>0</v>
      </c>
      <c r="AJ1994">
        <f>IF(COUNT($AI$1981:$AI$1994)&lt;14,"",AVERAGE($AI$1981:$AI$1994))</f>
        <v>0</v>
      </c>
      <c r="AK1994">
        <f>IF(COUNT($E$2:$E1994)&lt;20,"",AVERAGE($E$1975:$E$1994))</f>
        <v>0</v>
      </c>
      <c r="AL1994">
        <f>IF(COUNT($E$2:$E1994)&lt;20,"",STDEVP($E$1975:$E$1994))</f>
        <v>0</v>
      </c>
      <c r="AM1994">
        <f>IF(AK1994="","",AK1994+2*AL1994)</f>
        <v>0</v>
      </c>
      <c r="AN1994">
        <f>IF(AK1994="","",AK1994-2*AL1994)</f>
        <v>0</v>
      </c>
      <c r="AO1994">
        <f>IF(OR(AM1994="",AN1994="",AM1994=AN1994),"",($E1994-AN1994)/(AM1994-AN1994))</f>
        <v>0</v>
      </c>
      <c r="AP1994">
        <f>IF(OR(AM1994="",AK1994="",AK1994=0),"",(AM1994-AN1994)/AK1994)</f>
        <v>0</v>
      </c>
      <c r="AQ1994">
        <f>IF(COUNT($E$2:$E1994)&lt;20,"",MAX($C$1975:$C$1994))</f>
        <v>0</v>
      </c>
      <c r="AR1994">
        <f>IF(COUNT($E$2:$E1994)&lt;20,"",MIN($D$1975:$D$1994))</f>
        <v>0</v>
      </c>
      <c r="AS1994">
        <f>IF(OR(AQ1994="",AR1994=""),"",(AQ1994+AR1994)/2)</f>
        <v>0</v>
      </c>
      <c r="AT1994">
        <f>IF(COUNT($G$1975:$G$1994)&lt;20,"",STDEV($G$1975:$G$1994)*SQRT(252))</f>
        <v>0</v>
      </c>
      <c r="AU1994">
        <f>IF(COUNT($E$2:$E1994)&lt;9,"",(MAX($C$1986:$C$1994)+MIN($D$1986:$D$1994))/2)</f>
        <v>0</v>
      </c>
      <c r="AV1994">
        <f>IF(COUNT($E$2:$E1994)&lt;26,"",(MAX($C$1969:$C$1994)+MIN($D$1969:$D$1994))/2)</f>
        <v>0</v>
      </c>
      <c r="AW1994">
        <f>IF(OR(AU1994="",AV1994=""),"",(AU1994+AV1994)/2)</f>
        <v>0</v>
      </c>
      <c r="AX1994">
        <f>IF(COUNT($E$2:$E1994)&lt;52,"",(MAX($C$1943:$C$1994)+MIN($D$1943:$D$1994))/2)</f>
        <v>0</v>
      </c>
      <c r="AY1994">
        <f>IF(COUNT($E$2:$E1994)&lt;20,"",MAX($C$1895:$C$1994))</f>
        <v>0</v>
      </c>
      <c r="AZ1994">
        <f>IF(COUNT($E$2:$E1994)&lt;20,"",MIN($D$1895:$D$1994))</f>
        <v>0</v>
      </c>
      <c r="BA1994">
        <f>IF(COUNT($E$2:$E1994)&lt;20,"",SLOPE($E$1895:$E$1994,$F$1895:$F$1994))</f>
        <v>0</v>
      </c>
      <c r="BB1994">
        <f>IF(COUNT($E$2:$E1994)&lt;20,"",INTERCEPT($E$1895:$E$1994,$F$1895:$F$1994))</f>
        <v>0</v>
      </c>
      <c r="BC1994">
        <f>IF(OR(BA1994="",BB1994=""),"",BB1994+BA1994*F1994)</f>
        <v>0</v>
      </c>
      <c r="BD1994">
        <f>IF(COUNT($E$2:$E1994)&lt;20,"",STEYX($E$1895:$E$1994,$F$1895:$F$1994))</f>
        <v>0</v>
      </c>
      <c r="BE1994">
        <f>IF($E1994="","",IF(AND(COUNT($E$1995:$E$1998)&gt;=4,$C1994=MAX($C$1990:$C$1998)),$C1994,""))</f>
        <v>0</v>
      </c>
      <c r="BF1994">
        <f>IF($E1994="","",IF(AND(COUNT($E$1995:$E$1998)&gt;=4,$D1994=MIN($D$1990:$D$1998)),$D1994,""))</f>
        <v>0</v>
      </c>
      <c r="BG1994">
        <f>IF($A1994="","",$A1994-WEEKDAY($A1994,2)+1)</f>
        <v>0</v>
      </c>
      <c r="BH1994">
        <f>IF($A1994="","",IF($A1993="",1,IF(BG1994&lt;&gt;BG1993,1,0)))</f>
        <v>0</v>
      </c>
      <c r="BI1994">
        <f>IF($A1994="","",IF($A1995="",1,IF(BG1995&lt;&gt;BG1994,1,0)))</f>
        <v>0</v>
      </c>
      <c r="BJ1994">
        <f>IF($A1994="","",IF(BH1994=1,$B1994,BJ1993))</f>
        <v>0</v>
      </c>
      <c r="BK1994">
        <f>IF($A1994="","",IF(BH1994=1,$C1994,MAX($C1994,BK1993)))</f>
        <v>0</v>
      </c>
      <c r="BL1994">
        <f>IF($A1994="","",IF(BH1994=1,$D1994,MIN($D1994,BL1993)))</f>
        <v>0</v>
      </c>
      <c r="BM1994">
        <f>IF($A1994="","",IF(BI1994=1,F1994,""))</f>
        <v>0</v>
      </c>
      <c r="BN1994">
        <f>IF($A1994="","",DATE(YEAR($A1994),MONTH($A1994),1))</f>
        <v>0</v>
      </c>
      <c r="BO1994">
        <f>IF($A1994="","",IF($A1993="",1,IF(BN1994&lt;&gt;BN1993,1,0)))</f>
        <v>0</v>
      </c>
      <c r="BP1994">
        <f>IF($A1994="","",IF($A1995="",1,IF(BN1995&lt;&gt;BN1994,1,0)))</f>
        <v>0</v>
      </c>
      <c r="BQ1994">
        <f>IF($A1994="","",IF(BO1994=1,$B1994,BQ1993))</f>
        <v>0</v>
      </c>
      <c r="BR1994">
        <f>IF($A1994="","",IF(BO1994=1,$C1994,MAX($C1994,BR1993)))</f>
        <v>0</v>
      </c>
      <c r="BS1994">
        <f>IF($A1994="","",IF(BO1994=1,$D1994,MIN($D1994,BS1993)))</f>
        <v>0</v>
      </c>
      <c r="BT1994">
        <f>IF($A1994="","",IF(BP1994=1,F1994,""))</f>
        <v>0</v>
      </c>
    </row>
    <row r="1995" spans="1:72">
      <c r="A1995" s="27">
        <f>IF(Data!$A1995="","",Data!$A1995)</f>
        <v>0</v>
      </c>
      <c r="B1995">
        <f>IF(Data!$B1995="","",Data!$B1995)</f>
        <v>0</v>
      </c>
      <c r="C1995">
        <f>IF(Data!$C1995="","",Data!$C1995)</f>
        <v>0</v>
      </c>
      <c r="D1995">
        <f>IF(Data!$D1995="","",Data!$D1995)</f>
        <v>0</v>
      </c>
      <c r="E1995">
        <f>IF(Data!$E1995="","",Data!$E1995)</f>
        <v>0</v>
      </c>
      <c r="F1995">
        <f>IF($E1995="","",N(F1994)+1)</f>
        <v>0</v>
      </c>
      <c r="G1995">
        <f>IF(OR($E1995="",$E1994=""),"",LN($E1995/$E1994))</f>
        <v>0</v>
      </c>
      <c r="H1995">
        <f>IF($E1995="","",IF($E1994="",$E1995,$E1995*0.0952380952+H1994*0.9047619048))</f>
        <v>0</v>
      </c>
      <c r="I1995">
        <f>IF($E1995="","",IF($E1994="",$E1995,$E1995*0.0392156863+I1994*0.9607843137))</f>
        <v>0</v>
      </c>
      <c r="J1995">
        <f>IF($E1995="","",IF($E1994="",$E1995,$E1995*0.0198019802+J1994*0.9801980198))</f>
        <v>0</v>
      </c>
      <c r="K1995">
        <f>IF($E1995="","",IF($E1994="",$E1995,$E1995*0.0099502488+K1994*0.9900497512))</f>
        <v>0</v>
      </c>
      <c r="L1995">
        <f>IF(OR($E1995="",$E1994=""),"",MAX($E1995-$E1994,0))</f>
        <v>0</v>
      </c>
      <c r="M1995">
        <f>IF(OR($E1995="",$E1994=""),"",MAX($E1994-$E1995,0))</f>
        <v>0</v>
      </c>
      <c r="N1995">
        <f>IF(COUNT($E$2:$E1995)&lt;15,"",IF(AVERAGE($M$1982:$M$1995)=0,100,100-100/(1+AVERAGE($L$1982:$L$1995)/AVERAGE($M$1982:$M$1995))))</f>
        <v>0</v>
      </c>
      <c r="O1995">
        <f>IF($E1995="","",IF($E1994="",$E1995,$E1995*0.1538461538+O1994*0.8461538462))</f>
        <v>0</v>
      </c>
      <c r="P1995">
        <f>IF($E1995="","",IF($E1994="",$E1995,$E1995*0.0740740741+P1994*0.9259259259))</f>
        <v>0</v>
      </c>
      <c r="Q1995">
        <f>IF(OR(O1995="",P1995=""),"",O1995-P1995)</f>
        <v>0</v>
      </c>
      <c r="R1995">
        <f>IF(Q1995="","",IF(R1994="",Q1995,Q1995*0.2000000000+R1994*0.8000000000))</f>
        <v>0</v>
      </c>
      <c r="S1995">
        <f>IF(OR(Q1995="",R1995=""),"",Q1995-R1995)</f>
        <v>0</v>
      </c>
      <c r="T1995">
        <f>IF(COUNT($E$2:$E1995)&lt;14,"",MAX($C$1982:$C$1995))</f>
        <v>0</v>
      </c>
      <c r="U1995">
        <f>IF(COUNT($E$2:$E1995)&lt;14,"",MIN($D$1982:$D$1995))</f>
        <v>0</v>
      </c>
      <c r="V1995">
        <f>IF(OR(T1995="",U1995="",T1995=U1995),"",100*($E1995-U1995)/(T1995-U1995))</f>
        <v>0</v>
      </c>
      <c r="W1995">
        <f>IF(COUNT($V$1993:$V$1995)&lt;3,"",AVERAGE($V$1993:$V$1995))</f>
        <v>0</v>
      </c>
      <c r="X1995">
        <f>IF(COUNT($N$1982:$N$1995)&lt;14,"",MIN($N$1982:$N$1995))</f>
        <v>0</v>
      </c>
      <c r="Y1995">
        <f>IF(COUNT($N$1982:$N$1995)&lt;14,"",MAX($N$1982:$N$1995))</f>
        <v>0</v>
      </c>
      <c r="Z1995">
        <f>IF(OR(N1995="",X1995="",Y1995="",Y1995=X1995),"",100*(N1995-X1995)/(Y1995-X1995))</f>
        <v>0</v>
      </c>
      <c r="AA1995">
        <f>IF(COUNT($Z$1993:$Z$1995)&lt;3,"",AVERAGE($Z$1993:$Z$1995))</f>
        <v>0</v>
      </c>
      <c r="AB1995">
        <f>IF(COUNT($AA$1993:$AA$1995)&lt;3,"",AVERAGE($AA$1993:$AA$1995))</f>
        <v>0</v>
      </c>
      <c r="AC1995">
        <f>IF($E1995="","",MAX($C1995-$D1995,ABS($C1995-$E1994),ABS($D1995-$E1994)))</f>
        <v>0</v>
      </c>
      <c r="AD1995">
        <f>IF(COUNT($E$2:$E1995)&lt;15,"",AVERAGE($AC$1982:$AC$1995))</f>
        <v>0</v>
      </c>
      <c r="AE1995">
        <f>IF(OR($E1995="",$E1994=""),"",IF(AND(($C1995-$C1994)&gt;($D1994-$D1995),($C1995-$C1994)&gt;0),$C1995-$C1994,0))</f>
        <v>0</v>
      </c>
      <c r="AF1995">
        <f>IF(OR($E1995="",$E1994=""),"",IF(AND(($D1994-$D1995)&gt;($C1995-$C1994),($D1994-$D1995)&gt;0),$D1994-$D1995,0))</f>
        <v>0</v>
      </c>
      <c r="AG1995">
        <f>IF(COUNT($E$2:$E1995)&lt;15,"",IF(SUM($AC$1982:$AC$1995)=0,0,100*SUM($AE$1982:$AE$1995)/SUM($AC$1982:$AC$1995)))</f>
        <v>0</v>
      </c>
      <c r="AH1995">
        <f>IF(COUNT($E$2:$E1995)&lt;15,"",IF(SUM($AC$1982:$AC$1995)=0,0,100*SUM($AF$1982:$AF$1995)/SUM($AC$1982:$AC$1995)))</f>
        <v>0</v>
      </c>
      <c r="AI1995">
        <f>IF(OR(AG1995="",AH1995=""),"",IF((AG1995+AH1995)=0,0,100*ABS(AG1995-AH1995)/(AG1995+AH1995)))</f>
        <v>0</v>
      </c>
      <c r="AJ1995">
        <f>IF(COUNT($AI$1982:$AI$1995)&lt;14,"",AVERAGE($AI$1982:$AI$1995))</f>
        <v>0</v>
      </c>
      <c r="AK1995">
        <f>IF(COUNT($E$2:$E1995)&lt;20,"",AVERAGE($E$1976:$E$1995))</f>
        <v>0</v>
      </c>
      <c r="AL1995">
        <f>IF(COUNT($E$2:$E1995)&lt;20,"",STDEVP($E$1976:$E$1995))</f>
        <v>0</v>
      </c>
      <c r="AM1995">
        <f>IF(AK1995="","",AK1995+2*AL1995)</f>
        <v>0</v>
      </c>
      <c r="AN1995">
        <f>IF(AK1995="","",AK1995-2*AL1995)</f>
        <v>0</v>
      </c>
      <c r="AO1995">
        <f>IF(OR(AM1995="",AN1995="",AM1995=AN1995),"",($E1995-AN1995)/(AM1995-AN1995))</f>
        <v>0</v>
      </c>
      <c r="AP1995">
        <f>IF(OR(AM1995="",AK1995="",AK1995=0),"",(AM1995-AN1995)/AK1995)</f>
        <v>0</v>
      </c>
      <c r="AQ1995">
        <f>IF(COUNT($E$2:$E1995)&lt;20,"",MAX($C$1976:$C$1995))</f>
        <v>0</v>
      </c>
      <c r="AR1995">
        <f>IF(COUNT($E$2:$E1995)&lt;20,"",MIN($D$1976:$D$1995))</f>
        <v>0</v>
      </c>
      <c r="AS1995">
        <f>IF(OR(AQ1995="",AR1995=""),"",(AQ1995+AR1995)/2)</f>
        <v>0</v>
      </c>
      <c r="AT1995">
        <f>IF(COUNT($G$1976:$G$1995)&lt;20,"",STDEV($G$1976:$G$1995)*SQRT(252))</f>
        <v>0</v>
      </c>
      <c r="AU1995">
        <f>IF(COUNT($E$2:$E1995)&lt;9,"",(MAX($C$1987:$C$1995)+MIN($D$1987:$D$1995))/2)</f>
        <v>0</v>
      </c>
      <c r="AV1995">
        <f>IF(COUNT($E$2:$E1995)&lt;26,"",(MAX($C$1970:$C$1995)+MIN($D$1970:$D$1995))/2)</f>
        <v>0</v>
      </c>
      <c r="AW1995">
        <f>IF(OR(AU1995="",AV1995=""),"",(AU1995+AV1995)/2)</f>
        <v>0</v>
      </c>
      <c r="AX1995">
        <f>IF(COUNT($E$2:$E1995)&lt;52,"",(MAX($C$1944:$C$1995)+MIN($D$1944:$D$1995))/2)</f>
        <v>0</v>
      </c>
      <c r="AY1995">
        <f>IF(COUNT($E$2:$E1995)&lt;20,"",MAX($C$1896:$C$1995))</f>
        <v>0</v>
      </c>
      <c r="AZ1995">
        <f>IF(COUNT($E$2:$E1995)&lt;20,"",MIN($D$1896:$D$1995))</f>
        <v>0</v>
      </c>
      <c r="BA1995">
        <f>IF(COUNT($E$2:$E1995)&lt;20,"",SLOPE($E$1896:$E$1995,$F$1896:$F$1995))</f>
        <v>0</v>
      </c>
      <c r="BB1995">
        <f>IF(COUNT($E$2:$E1995)&lt;20,"",INTERCEPT($E$1896:$E$1995,$F$1896:$F$1995))</f>
        <v>0</v>
      </c>
      <c r="BC1995">
        <f>IF(OR(BA1995="",BB1995=""),"",BB1995+BA1995*F1995)</f>
        <v>0</v>
      </c>
      <c r="BD1995">
        <f>IF(COUNT($E$2:$E1995)&lt;20,"",STEYX($E$1896:$E$1995,$F$1896:$F$1995))</f>
        <v>0</v>
      </c>
      <c r="BE1995">
        <f>IF($E1995="","",IF(AND(COUNT($E$1996:$E$1999)&gt;=4,$C1995=MAX($C$1991:$C$1999)),$C1995,""))</f>
        <v>0</v>
      </c>
      <c r="BF1995">
        <f>IF($E1995="","",IF(AND(COUNT($E$1996:$E$1999)&gt;=4,$D1995=MIN($D$1991:$D$1999)),$D1995,""))</f>
        <v>0</v>
      </c>
      <c r="BG1995">
        <f>IF($A1995="","",$A1995-WEEKDAY($A1995,2)+1)</f>
        <v>0</v>
      </c>
      <c r="BH1995">
        <f>IF($A1995="","",IF($A1994="",1,IF(BG1995&lt;&gt;BG1994,1,0)))</f>
        <v>0</v>
      </c>
      <c r="BI1995">
        <f>IF($A1995="","",IF($A1996="",1,IF(BG1996&lt;&gt;BG1995,1,0)))</f>
        <v>0</v>
      </c>
      <c r="BJ1995">
        <f>IF($A1995="","",IF(BH1995=1,$B1995,BJ1994))</f>
        <v>0</v>
      </c>
      <c r="BK1995">
        <f>IF($A1995="","",IF(BH1995=1,$C1995,MAX($C1995,BK1994)))</f>
        <v>0</v>
      </c>
      <c r="BL1995">
        <f>IF($A1995="","",IF(BH1995=1,$D1995,MIN($D1995,BL1994)))</f>
        <v>0</v>
      </c>
      <c r="BM1995">
        <f>IF($A1995="","",IF(BI1995=1,F1995,""))</f>
        <v>0</v>
      </c>
      <c r="BN1995">
        <f>IF($A1995="","",DATE(YEAR($A1995),MONTH($A1995),1))</f>
        <v>0</v>
      </c>
      <c r="BO1995">
        <f>IF($A1995="","",IF($A1994="",1,IF(BN1995&lt;&gt;BN1994,1,0)))</f>
        <v>0</v>
      </c>
      <c r="BP1995">
        <f>IF($A1995="","",IF($A1996="",1,IF(BN1996&lt;&gt;BN1995,1,0)))</f>
        <v>0</v>
      </c>
      <c r="BQ1995">
        <f>IF($A1995="","",IF(BO1995=1,$B1995,BQ1994))</f>
        <v>0</v>
      </c>
      <c r="BR1995">
        <f>IF($A1995="","",IF(BO1995=1,$C1995,MAX($C1995,BR1994)))</f>
        <v>0</v>
      </c>
      <c r="BS1995">
        <f>IF($A1995="","",IF(BO1995=1,$D1995,MIN($D1995,BS1994)))</f>
        <v>0</v>
      </c>
      <c r="BT1995">
        <f>IF($A1995="","",IF(BP1995=1,F1995,""))</f>
        <v>0</v>
      </c>
    </row>
    <row r="1996" spans="1:72">
      <c r="A1996" s="27">
        <f>IF(Data!$A1996="","",Data!$A1996)</f>
        <v>0</v>
      </c>
      <c r="B1996">
        <f>IF(Data!$B1996="","",Data!$B1996)</f>
        <v>0</v>
      </c>
      <c r="C1996">
        <f>IF(Data!$C1996="","",Data!$C1996)</f>
        <v>0</v>
      </c>
      <c r="D1996">
        <f>IF(Data!$D1996="","",Data!$D1996)</f>
        <v>0</v>
      </c>
      <c r="E1996">
        <f>IF(Data!$E1996="","",Data!$E1996)</f>
        <v>0</v>
      </c>
      <c r="F1996">
        <f>IF($E1996="","",N(F1995)+1)</f>
        <v>0</v>
      </c>
      <c r="G1996">
        <f>IF(OR($E1996="",$E1995=""),"",LN($E1996/$E1995))</f>
        <v>0</v>
      </c>
      <c r="H1996">
        <f>IF($E1996="","",IF($E1995="",$E1996,$E1996*0.0952380952+H1995*0.9047619048))</f>
        <v>0</v>
      </c>
      <c r="I1996">
        <f>IF($E1996="","",IF($E1995="",$E1996,$E1996*0.0392156863+I1995*0.9607843137))</f>
        <v>0</v>
      </c>
      <c r="J1996">
        <f>IF($E1996="","",IF($E1995="",$E1996,$E1996*0.0198019802+J1995*0.9801980198))</f>
        <v>0</v>
      </c>
      <c r="K1996">
        <f>IF($E1996="","",IF($E1995="",$E1996,$E1996*0.0099502488+K1995*0.9900497512))</f>
        <v>0</v>
      </c>
      <c r="L1996">
        <f>IF(OR($E1996="",$E1995=""),"",MAX($E1996-$E1995,0))</f>
        <v>0</v>
      </c>
      <c r="M1996">
        <f>IF(OR($E1996="",$E1995=""),"",MAX($E1995-$E1996,0))</f>
        <v>0</v>
      </c>
      <c r="N1996">
        <f>IF(COUNT($E$2:$E1996)&lt;15,"",IF(AVERAGE($M$1983:$M$1996)=0,100,100-100/(1+AVERAGE($L$1983:$L$1996)/AVERAGE($M$1983:$M$1996))))</f>
        <v>0</v>
      </c>
      <c r="O1996">
        <f>IF($E1996="","",IF($E1995="",$E1996,$E1996*0.1538461538+O1995*0.8461538462))</f>
        <v>0</v>
      </c>
      <c r="P1996">
        <f>IF($E1996="","",IF($E1995="",$E1996,$E1996*0.0740740741+P1995*0.9259259259))</f>
        <v>0</v>
      </c>
      <c r="Q1996">
        <f>IF(OR(O1996="",P1996=""),"",O1996-P1996)</f>
        <v>0</v>
      </c>
      <c r="R1996">
        <f>IF(Q1996="","",IF(R1995="",Q1996,Q1996*0.2000000000+R1995*0.8000000000))</f>
        <v>0</v>
      </c>
      <c r="S1996">
        <f>IF(OR(Q1996="",R1996=""),"",Q1996-R1996)</f>
        <v>0</v>
      </c>
      <c r="T1996">
        <f>IF(COUNT($E$2:$E1996)&lt;14,"",MAX($C$1983:$C$1996))</f>
        <v>0</v>
      </c>
      <c r="U1996">
        <f>IF(COUNT($E$2:$E1996)&lt;14,"",MIN($D$1983:$D$1996))</f>
        <v>0</v>
      </c>
      <c r="V1996">
        <f>IF(OR(T1996="",U1996="",T1996=U1996),"",100*($E1996-U1996)/(T1996-U1996))</f>
        <v>0</v>
      </c>
      <c r="W1996">
        <f>IF(COUNT($V$1994:$V$1996)&lt;3,"",AVERAGE($V$1994:$V$1996))</f>
        <v>0</v>
      </c>
      <c r="X1996">
        <f>IF(COUNT($N$1983:$N$1996)&lt;14,"",MIN($N$1983:$N$1996))</f>
        <v>0</v>
      </c>
      <c r="Y1996">
        <f>IF(COUNT($N$1983:$N$1996)&lt;14,"",MAX($N$1983:$N$1996))</f>
        <v>0</v>
      </c>
      <c r="Z1996">
        <f>IF(OR(N1996="",X1996="",Y1996="",Y1996=X1996),"",100*(N1996-X1996)/(Y1996-X1996))</f>
        <v>0</v>
      </c>
      <c r="AA1996">
        <f>IF(COUNT($Z$1994:$Z$1996)&lt;3,"",AVERAGE($Z$1994:$Z$1996))</f>
        <v>0</v>
      </c>
      <c r="AB1996">
        <f>IF(COUNT($AA$1994:$AA$1996)&lt;3,"",AVERAGE($AA$1994:$AA$1996))</f>
        <v>0</v>
      </c>
      <c r="AC1996">
        <f>IF($E1996="","",MAX($C1996-$D1996,ABS($C1996-$E1995),ABS($D1996-$E1995)))</f>
        <v>0</v>
      </c>
      <c r="AD1996">
        <f>IF(COUNT($E$2:$E1996)&lt;15,"",AVERAGE($AC$1983:$AC$1996))</f>
        <v>0</v>
      </c>
      <c r="AE1996">
        <f>IF(OR($E1996="",$E1995=""),"",IF(AND(($C1996-$C1995)&gt;($D1995-$D1996),($C1996-$C1995)&gt;0),$C1996-$C1995,0))</f>
        <v>0</v>
      </c>
      <c r="AF1996">
        <f>IF(OR($E1996="",$E1995=""),"",IF(AND(($D1995-$D1996)&gt;($C1996-$C1995),($D1995-$D1996)&gt;0),$D1995-$D1996,0))</f>
        <v>0</v>
      </c>
      <c r="AG1996">
        <f>IF(COUNT($E$2:$E1996)&lt;15,"",IF(SUM($AC$1983:$AC$1996)=0,0,100*SUM($AE$1983:$AE$1996)/SUM($AC$1983:$AC$1996)))</f>
        <v>0</v>
      </c>
      <c r="AH1996">
        <f>IF(COUNT($E$2:$E1996)&lt;15,"",IF(SUM($AC$1983:$AC$1996)=0,0,100*SUM($AF$1983:$AF$1996)/SUM($AC$1983:$AC$1996)))</f>
        <v>0</v>
      </c>
      <c r="AI1996">
        <f>IF(OR(AG1996="",AH1996=""),"",IF((AG1996+AH1996)=0,0,100*ABS(AG1996-AH1996)/(AG1996+AH1996)))</f>
        <v>0</v>
      </c>
      <c r="AJ1996">
        <f>IF(COUNT($AI$1983:$AI$1996)&lt;14,"",AVERAGE($AI$1983:$AI$1996))</f>
        <v>0</v>
      </c>
      <c r="AK1996">
        <f>IF(COUNT($E$2:$E1996)&lt;20,"",AVERAGE($E$1977:$E$1996))</f>
        <v>0</v>
      </c>
      <c r="AL1996">
        <f>IF(COUNT($E$2:$E1996)&lt;20,"",STDEVP($E$1977:$E$1996))</f>
        <v>0</v>
      </c>
      <c r="AM1996">
        <f>IF(AK1996="","",AK1996+2*AL1996)</f>
        <v>0</v>
      </c>
      <c r="AN1996">
        <f>IF(AK1996="","",AK1996-2*AL1996)</f>
        <v>0</v>
      </c>
      <c r="AO1996">
        <f>IF(OR(AM1996="",AN1996="",AM1996=AN1996),"",($E1996-AN1996)/(AM1996-AN1996))</f>
        <v>0</v>
      </c>
      <c r="AP1996">
        <f>IF(OR(AM1996="",AK1996="",AK1996=0),"",(AM1996-AN1996)/AK1996)</f>
        <v>0</v>
      </c>
      <c r="AQ1996">
        <f>IF(COUNT($E$2:$E1996)&lt;20,"",MAX($C$1977:$C$1996))</f>
        <v>0</v>
      </c>
      <c r="AR1996">
        <f>IF(COUNT($E$2:$E1996)&lt;20,"",MIN($D$1977:$D$1996))</f>
        <v>0</v>
      </c>
      <c r="AS1996">
        <f>IF(OR(AQ1996="",AR1996=""),"",(AQ1996+AR1996)/2)</f>
        <v>0</v>
      </c>
      <c r="AT1996">
        <f>IF(COUNT($G$1977:$G$1996)&lt;20,"",STDEV($G$1977:$G$1996)*SQRT(252))</f>
        <v>0</v>
      </c>
      <c r="AU1996">
        <f>IF(COUNT($E$2:$E1996)&lt;9,"",(MAX($C$1988:$C$1996)+MIN($D$1988:$D$1996))/2)</f>
        <v>0</v>
      </c>
      <c r="AV1996">
        <f>IF(COUNT($E$2:$E1996)&lt;26,"",(MAX($C$1971:$C$1996)+MIN($D$1971:$D$1996))/2)</f>
        <v>0</v>
      </c>
      <c r="AW1996">
        <f>IF(OR(AU1996="",AV1996=""),"",(AU1996+AV1996)/2)</f>
        <v>0</v>
      </c>
      <c r="AX1996">
        <f>IF(COUNT($E$2:$E1996)&lt;52,"",(MAX($C$1945:$C$1996)+MIN($D$1945:$D$1996))/2)</f>
        <v>0</v>
      </c>
      <c r="AY1996">
        <f>IF(COUNT($E$2:$E1996)&lt;20,"",MAX($C$1897:$C$1996))</f>
        <v>0</v>
      </c>
      <c r="AZ1996">
        <f>IF(COUNT($E$2:$E1996)&lt;20,"",MIN($D$1897:$D$1996))</f>
        <v>0</v>
      </c>
      <c r="BA1996">
        <f>IF(COUNT($E$2:$E1996)&lt;20,"",SLOPE($E$1897:$E$1996,$F$1897:$F$1996))</f>
        <v>0</v>
      </c>
      <c r="BB1996">
        <f>IF(COUNT($E$2:$E1996)&lt;20,"",INTERCEPT($E$1897:$E$1996,$F$1897:$F$1996))</f>
        <v>0</v>
      </c>
      <c r="BC1996">
        <f>IF(OR(BA1996="",BB1996=""),"",BB1996+BA1996*F1996)</f>
        <v>0</v>
      </c>
      <c r="BD1996">
        <f>IF(COUNT($E$2:$E1996)&lt;20,"",STEYX($E$1897:$E$1996,$F$1897:$F$1996))</f>
        <v>0</v>
      </c>
      <c r="BE1996">
        <f>IF($E1996="","",IF(AND(COUNT($E$1997:$E$2000)&gt;=4,$C1996=MAX($C$1992:$C$2000)),$C1996,""))</f>
        <v>0</v>
      </c>
      <c r="BF1996">
        <f>IF($E1996="","",IF(AND(COUNT($E$1997:$E$2000)&gt;=4,$D1996=MIN($D$1992:$D$2000)),$D1996,""))</f>
        <v>0</v>
      </c>
      <c r="BG1996">
        <f>IF($A1996="","",$A1996-WEEKDAY($A1996,2)+1)</f>
        <v>0</v>
      </c>
      <c r="BH1996">
        <f>IF($A1996="","",IF($A1995="",1,IF(BG1996&lt;&gt;BG1995,1,0)))</f>
        <v>0</v>
      </c>
      <c r="BI1996">
        <f>IF($A1996="","",IF($A1997="",1,IF(BG1997&lt;&gt;BG1996,1,0)))</f>
        <v>0</v>
      </c>
      <c r="BJ1996">
        <f>IF($A1996="","",IF(BH1996=1,$B1996,BJ1995))</f>
        <v>0</v>
      </c>
      <c r="BK1996">
        <f>IF($A1996="","",IF(BH1996=1,$C1996,MAX($C1996,BK1995)))</f>
        <v>0</v>
      </c>
      <c r="BL1996">
        <f>IF($A1996="","",IF(BH1996=1,$D1996,MIN($D1996,BL1995)))</f>
        <v>0</v>
      </c>
      <c r="BM1996">
        <f>IF($A1996="","",IF(BI1996=1,F1996,""))</f>
        <v>0</v>
      </c>
      <c r="BN1996">
        <f>IF($A1996="","",DATE(YEAR($A1996),MONTH($A1996),1))</f>
        <v>0</v>
      </c>
      <c r="BO1996">
        <f>IF($A1996="","",IF($A1995="",1,IF(BN1996&lt;&gt;BN1995,1,0)))</f>
        <v>0</v>
      </c>
      <c r="BP1996">
        <f>IF($A1996="","",IF($A1997="",1,IF(BN1997&lt;&gt;BN1996,1,0)))</f>
        <v>0</v>
      </c>
      <c r="BQ1996">
        <f>IF($A1996="","",IF(BO1996=1,$B1996,BQ1995))</f>
        <v>0</v>
      </c>
      <c r="BR1996">
        <f>IF($A1996="","",IF(BO1996=1,$C1996,MAX($C1996,BR1995)))</f>
        <v>0</v>
      </c>
      <c r="BS1996">
        <f>IF($A1996="","",IF(BO1996=1,$D1996,MIN($D1996,BS1995)))</f>
        <v>0</v>
      </c>
      <c r="BT1996">
        <f>IF($A1996="","",IF(BP1996=1,F1996,""))</f>
        <v>0</v>
      </c>
    </row>
    <row r="1997" spans="1:72">
      <c r="A1997" s="27">
        <f>IF(Data!$A1997="","",Data!$A1997)</f>
        <v>0</v>
      </c>
      <c r="B1997">
        <f>IF(Data!$B1997="","",Data!$B1997)</f>
        <v>0</v>
      </c>
      <c r="C1997">
        <f>IF(Data!$C1997="","",Data!$C1997)</f>
        <v>0</v>
      </c>
      <c r="D1997">
        <f>IF(Data!$D1997="","",Data!$D1997)</f>
        <v>0</v>
      </c>
      <c r="E1997">
        <f>IF(Data!$E1997="","",Data!$E1997)</f>
        <v>0</v>
      </c>
      <c r="F1997">
        <f>IF($E1997="","",N(F1996)+1)</f>
        <v>0</v>
      </c>
      <c r="G1997">
        <f>IF(OR($E1997="",$E1996=""),"",LN($E1997/$E1996))</f>
        <v>0</v>
      </c>
      <c r="H1997">
        <f>IF($E1997="","",IF($E1996="",$E1997,$E1997*0.0952380952+H1996*0.9047619048))</f>
        <v>0</v>
      </c>
      <c r="I1997">
        <f>IF($E1997="","",IF($E1996="",$E1997,$E1997*0.0392156863+I1996*0.9607843137))</f>
        <v>0</v>
      </c>
      <c r="J1997">
        <f>IF($E1997="","",IF($E1996="",$E1997,$E1997*0.0198019802+J1996*0.9801980198))</f>
        <v>0</v>
      </c>
      <c r="K1997">
        <f>IF($E1997="","",IF($E1996="",$E1997,$E1997*0.0099502488+K1996*0.9900497512))</f>
        <v>0</v>
      </c>
      <c r="L1997">
        <f>IF(OR($E1997="",$E1996=""),"",MAX($E1997-$E1996,0))</f>
        <v>0</v>
      </c>
      <c r="M1997">
        <f>IF(OR($E1997="",$E1996=""),"",MAX($E1996-$E1997,0))</f>
        <v>0</v>
      </c>
      <c r="N1997">
        <f>IF(COUNT($E$2:$E1997)&lt;15,"",IF(AVERAGE($M$1984:$M$1997)=0,100,100-100/(1+AVERAGE($L$1984:$L$1997)/AVERAGE($M$1984:$M$1997))))</f>
        <v>0</v>
      </c>
      <c r="O1997">
        <f>IF($E1997="","",IF($E1996="",$E1997,$E1997*0.1538461538+O1996*0.8461538462))</f>
        <v>0</v>
      </c>
      <c r="P1997">
        <f>IF($E1997="","",IF($E1996="",$E1997,$E1997*0.0740740741+P1996*0.9259259259))</f>
        <v>0</v>
      </c>
      <c r="Q1997">
        <f>IF(OR(O1997="",P1997=""),"",O1997-P1997)</f>
        <v>0</v>
      </c>
      <c r="R1997">
        <f>IF(Q1997="","",IF(R1996="",Q1997,Q1997*0.2000000000+R1996*0.8000000000))</f>
        <v>0</v>
      </c>
      <c r="S1997">
        <f>IF(OR(Q1997="",R1997=""),"",Q1997-R1997)</f>
        <v>0</v>
      </c>
      <c r="T1997">
        <f>IF(COUNT($E$2:$E1997)&lt;14,"",MAX($C$1984:$C$1997))</f>
        <v>0</v>
      </c>
      <c r="U1997">
        <f>IF(COUNT($E$2:$E1997)&lt;14,"",MIN($D$1984:$D$1997))</f>
        <v>0</v>
      </c>
      <c r="V1997">
        <f>IF(OR(T1997="",U1997="",T1997=U1997),"",100*($E1997-U1997)/(T1997-U1997))</f>
        <v>0</v>
      </c>
      <c r="W1997">
        <f>IF(COUNT($V$1995:$V$1997)&lt;3,"",AVERAGE($V$1995:$V$1997))</f>
        <v>0</v>
      </c>
      <c r="X1997">
        <f>IF(COUNT($N$1984:$N$1997)&lt;14,"",MIN($N$1984:$N$1997))</f>
        <v>0</v>
      </c>
      <c r="Y1997">
        <f>IF(COUNT($N$1984:$N$1997)&lt;14,"",MAX($N$1984:$N$1997))</f>
        <v>0</v>
      </c>
      <c r="Z1997">
        <f>IF(OR(N1997="",X1997="",Y1997="",Y1997=X1997),"",100*(N1997-X1997)/(Y1997-X1997))</f>
        <v>0</v>
      </c>
      <c r="AA1997">
        <f>IF(COUNT($Z$1995:$Z$1997)&lt;3,"",AVERAGE($Z$1995:$Z$1997))</f>
        <v>0</v>
      </c>
      <c r="AB1997">
        <f>IF(COUNT($AA$1995:$AA$1997)&lt;3,"",AVERAGE($AA$1995:$AA$1997))</f>
        <v>0</v>
      </c>
      <c r="AC1997">
        <f>IF($E1997="","",MAX($C1997-$D1997,ABS($C1997-$E1996),ABS($D1997-$E1996)))</f>
        <v>0</v>
      </c>
      <c r="AD1997">
        <f>IF(COUNT($E$2:$E1997)&lt;15,"",AVERAGE($AC$1984:$AC$1997))</f>
        <v>0</v>
      </c>
      <c r="AE1997">
        <f>IF(OR($E1997="",$E1996=""),"",IF(AND(($C1997-$C1996)&gt;($D1996-$D1997),($C1997-$C1996)&gt;0),$C1997-$C1996,0))</f>
        <v>0</v>
      </c>
      <c r="AF1997">
        <f>IF(OR($E1997="",$E1996=""),"",IF(AND(($D1996-$D1997)&gt;($C1997-$C1996),($D1996-$D1997)&gt;0),$D1996-$D1997,0))</f>
        <v>0</v>
      </c>
      <c r="AG1997">
        <f>IF(COUNT($E$2:$E1997)&lt;15,"",IF(SUM($AC$1984:$AC$1997)=0,0,100*SUM($AE$1984:$AE$1997)/SUM($AC$1984:$AC$1997)))</f>
        <v>0</v>
      </c>
      <c r="AH1997">
        <f>IF(COUNT($E$2:$E1997)&lt;15,"",IF(SUM($AC$1984:$AC$1997)=0,0,100*SUM($AF$1984:$AF$1997)/SUM($AC$1984:$AC$1997)))</f>
        <v>0</v>
      </c>
      <c r="AI1997">
        <f>IF(OR(AG1997="",AH1997=""),"",IF((AG1997+AH1997)=0,0,100*ABS(AG1997-AH1997)/(AG1997+AH1997)))</f>
        <v>0</v>
      </c>
      <c r="AJ1997">
        <f>IF(COUNT($AI$1984:$AI$1997)&lt;14,"",AVERAGE($AI$1984:$AI$1997))</f>
        <v>0</v>
      </c>
      <c r="AK1997">
        <f>IF(COUNT($E$2:$E1997)&lt;20,"",AVERAGE($E$1978:$E$1997))</f>
        <v>0</v>
      </c>
      <c r="AL1997">
        <f>IF(COUNT($E$2:$E1997)&lt;20,"",STDEVP($E$1978:$E$1997))</f>
        <v>0</v>
      </c>
      <c r="AM1997">
        <f>IF(AK1997="","",AK1997+2*AL1997)</f>
        <v>0</v>
      </c>
      <c r="AN1997">
        <f>IF(AK1997="","",AK1997-2*AL1997)</f>
        <v>0</v>
      </c>
      <c r="AO1997">
        <f>IF(OR(AM1997="",AN1997="",AM1997=AN1997),"",($E1997-AN1997)/(AM1997-AN1997))</f>
        <v>0</v>
      </c>
      <c r="AP1997">
        <f>IF(OR(AM1997="",AK1997="",AK1997=0),"",(AM1997-AN1997)/AK1997)</f>
        <v>0</v>
      </c>
      <c r="AQ1997">
        <f>IF(COUNT($E$2:$E1997)&lt;20,"",MAX($C$1978:$C$1997))</f>
        <v>0</v>
      </c>
      <c r="AR1997">
        <f>IF(COUNT($E$2:$E1997)&lt;20,"",MIN($D$1978:$D$1997))</f>
        <v>0</v>
      </c>
      <c r="AS1997">
        <f>IF(OR(AQ1997="",AR1997=""),"",(AQ1997+AR1997)/2)</f>
        <v>0</v>
      </c>
      <c r="AT1997">
        <f>IF(COUNT($G$1978:$G$1997)&lt;20,"",STDEV($G$1978:$G$1997)*SQRT(252))</f>
        <v>0</v>
      </c>
      <c r="AU1997">
        <f>IF(COUNT($E$2:$E1997)&lt;9,"",(MAX($C$1989:$C$1997)+MIN($D$1989:$D$1997))/2)</f>
        <v>0</v>
      </c>
      <c r="AV1997">
        <f>IF(COUNT($E$2:$E1997)&lt;26,"",(MAX($C$1972:$C$1997)+MIN($D$1972:$D$1997))/2)</f>
        <v>0</v>
      </c>
      <c r="AW1997">
        <f>IF(OR(AU1997="",AV1997=""),"",(AU1997+AV1997)/2)</f>
        <v>0</v>
      </c>
      <c r="AX1997">
        <f>IF(COUNT($E$2:$E1997)&lt;52,"",(MAX($C$1946:$C$1997)+MIN($D$1946:$D$1997))/2)</f>
        <v>0</v>
      </c>
      <c r="AY1997">
        <f>IF(COUNT($E$2:$E1997)&lt;20,"",MAX($C$1898:$C$1997))</f>
        <v>0</v>
      </c>
      <c r="AZ1997">
        <f>IF(COUNT($E$2:$E1997)&lt;20,"",MIN($D$1898:$D$1997))</f>
        <v>0</v>
      </c>
      <c r="BA1997">
        <f>IF(COUNT($E$2:$E1997)&lt;20,"",SLOPE($E$1898:$E$1997,$F$1898:$F$1997))</f>
        <v>0</v>
      </c>
      <c r="BB1997">
        <f>IF(COUNT($E$2:$E1997)&lt;20,"",INTERCEPT($E$1898:$E$1997,$F$1898:$F$1997))</f>
        <v>0</v>
      </c>
      <c r="BC1997">
        <f>IF(OR(BA1997="",BB1997=""),"",BB1997+BA1997*F1997)</f>
        <v>0</v>
      </c>
      <c r="BD1997">
        <f>IF(COUNT($E$2:$E1997)&lt;20,"",STEYX($E$1898:$E$1997,$F$1898:$F$1997))</f>
        <v>0</v>
      </c>
      <c r="BE1997">
        <f>IF($E1997="","",IF(AND(COUNT($E$1998:$E$2001)&gt;=4,$C1997=MAX($C$1993:$C$2001)),$C1997,""))</f>
        <v>0</v>
      </c>
      <c r="BF1997">
        <f>IF($E1997="","",IF(AND(COUNT($E$1998:$E$2001)&gt;=4,$D1997=MIN($D$1993:$D$2001)),$D1997,""))</f>
        <v>0</v>
      </c>
      <c r="BG1997">
        <f>IF($A1997="","",$A1997-WEEKDAY($A1997,2)+1)</f>
        <v>0</v>
      </c>
      <c r="BH1997">
        <f>IF($A1997="","",IF($A1996="",1,IF(BG1997&lt;&gt;BG1996,1,0)))</f>
        <v>0</v>
      </c>
      <c r="BI1997">
        <f>IF($A1997="","",IF($A1998="",1,IF(BG1998&lt;&gt;BG1997,1,0)))</f>
        <v>0</v>
      </c>
      <c r="BJ1997">
        <f>IF($A1997="","",IF(BH1997=1,$B1997,BJ1996))</f>
        <v>0</v>
      </c>
      <c r="BK1997">
        <f>IF($A1997="","",IF(BH1997=1,$C1997,MAX($C1997,BK1996)))</f>
        <v>0</v>
      </c>
      <c r="BL1997">
        <f>IF($A1997="","",IF(BH1997=1,$D1997,MIN($D1997,BL1996)))</f>
        <v>0</v>
      </c>
      <c r="BM1997">
        <f>IF($A1997="","",IF(BI1997=1,F1997,""))</f>
        <v>0</v>
      </c>
      <c r="BN1997">
        <f>IF($A1997="","",DATE(YEAR($A1997),MONTH($A1997),1))</f>
        <v>0</v>
      </c>
      <c r="BO1997">
        <f>IF($A1997="","",IF($A1996="",1,IF(BN1997&lt;&gt;BN1996,1,0)))</f>
        <v>0</v>
      </c>
      <c r="BP1997">
        <f>IF($A1997="","",IF($A1998="",1,IF(BN1998&lt;&gt;BN1997,1,0)))</f>
        <v>0</v>
      </c>
      <c r="BQ1997">
        <f>IF($A1997="","",IF(BO1997=1,$B1997,BQ1996))</f>
        <v>0</v>
      </c>
      <c r="BR1997">
        <f>IF($A1997="","",IF(BO1997=1,$C1997,MAX($C1997,BR1996)))</f>
        <v>0</v>
      </c>
      <c r="BS1997">
        <f>IF($A1997="","",IF(BO1997=1,$D1997,MIN($D1997,BS1996)))</f>
        <v>0</v>
      </c>
      <c r="BT1997">
        <f>IF($A1997="","",IF(BP1997=1,F1997,""))</f>
        <v>0</v>
      </c>
    </row>
    <row r="1998" spans="1:72">
      <c r="A1998" s="27">
        <f>IF(Data!$A1998="","",Data!$A1998)</f>
        <v>0</v>
      </c>
      <c r="B1998">
        <f>IF(Data!$B1998="","",Data!$B1998)</f>
        <v>0</v>
      </c>
      <c r="C1998">
        <f>IF(Data!$C1998="","",Data!$C1998)</f>
        <v>0</v>
      </c>
      <c r="D1998">
        <f>IF(Data!$D1998="","",Data!$D1998)</f>
        <v>0</v>
      </c>
      <c r="E1998">
        <f>IF(Data!$E1998="","",Data!$E1998)</f>
        <v>0</v>
      </c>
      <c r="F1998">
        <f>IF($E1998="","",N(F1997)+1)</f>
        <v>0</v>
      </c>
      <c r="G1998">
        <f>IF(OR($E1998="",$E1997=""),"",LN($E1998/$E1997))</f>
        <v>0</v>
      </c>
      <c r="H1998">
        <f>IF($E1998="","",IF($E1997="",$E1998,$E1998*0.0952380952+H1997*0.9047619048))</f>
        <v>0</v>
      </c>
      <c r="I1998">
        <f>IF($E1998="","",IF($E1997="",$E1998,$E1998*0.0392156863+I1997*0.9607843137))</f>
        <v>0</v>
      </c>
      <c r="J1998">
        <f>IF($E1998="","",IF($E1997="",$E1998,$E1998*0.0198019802+J1997*0.9801980198))</f>
        <v>0</v>
      </c>
      <c r="K1998">
        <f>IF($E1998="","",IF($E1997="",$E1998,$E1998*0.0099502488+K1997*0.9900497512))</f>
        <v>0</v>
      </c>
      <c r="L1998">
        <f>IF(OR($E1998="",$E1997=""),"",MAX($E1998-$E1997,0))</f>
        <v>0</v>
      </c>
      <c r="M1998">
        <f>IF(OR($E1998="",$E1997=""),"",MAX($E1997-$E1998,0))</f>
        <v>0</v>
      </c>
      <c r="N1998">
        <f>IF(COUNT($E$2:$E1998)&lt;15,"",IF(AVERAGE($M$1985:$M$1998)=0,100,100-100/(1+AVERAGE($L$1985:$L$1998)/AVERAGE($M$1985:$M$1998))))</f>
        <v>0</v>
      </c>
      <c r="O1998">
        <f>IF($E1998="","",IF($E1997="",$E1998,$E1998*0.1538461538+O1997*0.8461538462))</f>
        <v>0</v>
      </c>
      <c r="P1998">
        <f>IF($E1998="","",IF($E1997="",$E1998,$E1998*0.0740740741+P1997*0.9259259259))</f>
        <v>0</v>
      </c>
      <c r="Q1998">
        <f>IF(OR(O1998="",P1998=""),"",O1998-P1998)</f>
        <v>0</v>
      </c>
      <c r="R1998">
        <f>IF(Q1998="","",IF(R1997="",Q1998,Q1998*0.2000000000+R1997*0.8000000000))</f>
        <v>0</v>
      </c>
      <c r="S1998">
        <f>IF(OR(Q1998="",R1998=""),"",Q1998-R1998)</f>
        <v>0</v>
      </c>
      <c r="T1998">
        <f>IF(COUNT($E$2:$E1998)&lt;14,"",MAX($C$1985:$C$1998))</f>
        <v>0</v>
      </c>
      <c r="U1998">
        <f>IF(COUNT($E$2:$E1998)&lt;14,"",MIN($D$1985:$D$1998))</f>
        <v>0</v>
      </c>
      <c r="V1998">
        <f>IF(OR(T1998="",U1998="",T1998=U1998),"",100*($E1998-U1998)/(T1998-U1998))</f>
        <v>0</v>
      </c>
      <c r="W1998">
        <f>IF(COUNT($V$1996:$V$1998)&lt;3,"",AVERAGE($V$1996:$V$1998))</f>
        <v>0</v>
      </c>
      <c r="X1998">
        <f>IF(COUNT($N$1985:$N$1998)&lt;14,"",MIN($N$1985:$N$1998))</f>
        <v>0</v>
      </c>
      <c r="Y1998">
        <f>IF(COUNT($N$1985:$N$1998)&lt;14,"",MAX($N$1985:$N$1998))</f>
        <v>0</v>
      </c>
      <c r="Z1998">
        <f>IF(OR(N1998="",X1998="",Y1998="",Y1998=X1998),"",100*(N1998-X1998)/(Y1998-X1998))</f>
        <v>0</v>
      </c>
      <c r="AA1998">
        <f>IF(COUNT($Z$1996:$Z$1998)&lt;3,"",AVERAGE($Z$1996:$Z$1998))</f>
        <v>0</v>
      </c>
      <c r="AB1998">
        <f>IF(COUNT($AA$1996:$AA$1998)&lt;3,"",AVERAGE($AA$1996:$AA$1998))</f>
        <v>0</v>
      </c>
      <c r="AC1998">
        <f>IF($E1998="","",MAX($C1998-$D1998,ABS($C1998-$E1997),ABS($D1998-$E1997)))</f>
        <v>0</v>
      </c>
      <c r="AD1998">
        <f>IF(COUNT($E$2:$E1998)&lt;15,"",AVERAGE($AC$1985:$AC$1998))</f>
        <v>0</v>
      </c>
      <c r="AE1998">
        <f>IF(OR($E1998="",$E1997=""),"",IF(AND(($C1998-$C1997)&gt;($D1997-$D1998),($C1998-$C1997)&gt;0),$C1998-$C1997,0))</f>
        <v>0</v>
      </c>
      <c r="AF1998">
        <f>IF(OR($E1998="",$E1997=""),"",IF(AND(($D1997-$D1998)&gt;($C1998-$C1997),($D1997-$D1998)&gt;0),$D1997-$D1998,0))</f>
        <v>0</v>
      </c>
      <c r="AG1998">
        <f>IF(COUNT($E$2:$E1998)&lt;15,"",IF(SUM($AC$1985:$AC$1998)=0,0,100*SUM($AE$1985:$AE$1998)/SUM($AC$1985:$AC$1998)))</f>
        <v>0</v>
      </c>
      <c r="AH1998">
        <f>IF(COUNT($E$2:$E1998)&lt;15,"",IF(SUM($AC$1985:$AC$1998)=0,0,100*SUM($AF$1985:$AF$1998)/SUM($AC$1985:$AC$1998)))</f>
        <v>0</v>
      </c>
      <c r="AI1998">
        <f>IF(OR(AG1998="",AH1998=""),"",IF((AG1998+AH1998)=0,0,100*ABS(AG1998-AH1998)/(AG1998+AH1998)))</f>
        <v>0</v>
      </c>
      <c r="AJ1998">
        <f>IF(COUNT($AI$1985:$AI$1998)&lt;14,"",AVERAGE($AI$1985:$AI$1998))</f>
        <v>0</v>
      </c>
      <c r="AK1998">
        <f>IF(COUNT($E$2:$E1998)&lt;20,"",AVERAGE($E$1979:$E$1998))</f>
        <v>0</v>
      </c>
      <c r="AL1998">
        <f>IF(COUNT($E$2:$E1998)&lt;20,"",STDEVP($E$1979:$E$1998))</f>
        <v>0</v>
      </c>
      <c r="AM1998">
        <f>IF(AK1998="","",AK1998+2*AL1998)</f>
        <v>0</v>
      </c>
      <c r="AN1998">
        <f>IF(AK1998="","",AK1998-2*AL1998)</f>
        <v>0</v>
      </c>
      <c r="AO1998">
        <f>IF(OR(AM1998="",AN1998="",AM1998=AN1998),"",($E1998-AN1998)/(AM1998-AN1998))</f>
        <v>0</v>
      </c>
      <c r="AP1998">
        <f>IF(OR(AM1998="",AK1998="",AK1998=0),"",(AM1998-AN1998)/AK1998)</f>
        <v>0</v>
      </c>
      <c r="AQ1998">
        <f>IF(COUNT($E$2:$E1998)&lt;20,"",MAX($C$1979:$C$1998))</f>
        <v>0</v>
      </c>
      <c r="AR1998">
        <f>IF(COUNT($E$2:$E1998)&lt;20,"",MIN($D$1979:$D$1998))</f>
        <v>0</v>
      </c>
      <c r="AS1998">
        <f>IF(OR(AQ1998="",AR1998=""),"",(AQ1998+AR1998)/2)</f>
        <v>0</v>
      </c>
      <c r="AT1998">
        <f>IF(COUNT($G$1979:$G$1998)&lt;20,"",STDEV($G$1979:$G$1998)*SQRT(252))</f>
        <v>0</v>
      </c>
      <c r="AU1998">
        <f>IF(COUNT($E$2:$E1998)&lt;9,"",(MAX($C$1990:$C$1998)+MIN($D$1990:$D$1998))/2)</f>
        <v>0</v>
      </c>
      <c r="AV1998">
        <f>IF(COUNT($E$2:$E1998)&lt;26,"",(MAX($C$1973:$C$1998)+MIN($D$1973:$D$1998))/2)</f>
        <v>0</v>
      </c>
      <c r="AW1998">
        <f>IF(OR(AU1998="",AV1998=""),"",(AU1998+AV1998)/2)</f>
        <v>0</v>
      </c>
      <c r="AX1998">
        <f>IF(COUNT($E$2:$E1998)&lt;52,"",(MAX($C$1947:$C$1998)+MIN($D$1947:$D$1998))/2)</f>
        <v>0</v>
      </c>
      <c r="AY1998">
        <f>IF(COUNT($E$2:$E1998)&lt;20,"",MAX($C$1899:$C$1998))</f>
        <v>0</v>
      </c>
      <c r="AZ1998">
        <f>IF(COUNT($E$2:$E1998)&lt;20,"",MIN($D$1899:$D$1998))</f>
        <v>0</v>
      </c>
      <c r="BA1998">
        <f>IF(COUNT($E$2:$E1998)&lt;20,"",SLOPE($E$1899:$E$1998,$F$1899:$F$1998))</f>
        <v>0</v>
      </c>
      <c r="BB1998">
        <f>IF(COUNT($E$2:$E1998)&lt;20,"",INTERCEPT($E$1899:$E$1998,$F$1899:$F$1998))</f>
        <v>0</v>
      </c>
      <c r="BC1998">
        <f>IF(OR(BA1998="",BB1998=""),"",BB1998+BA1998*F1998)</f>
        <v>0</v>
      </c>
      <c r="BD1998">
        <f>IF(COUNT($E$2:$E1998)&lt;20,"",STEYX($E$1899:$E$1998,$F$1899:$F$1998))</f>
        <v>0</v>
      </c>
      <c r="BE1998">
        <f>""</f>
        <v>0</v>
      </c>
      <c r="BF1998">
        <f>""</f>
        <v>0</v>
      </c>
      <c r="BG1998">
        <f>IF($A1998="","",$A1998-WEEKDAY($A1998,2)+1)</f>
        <v>0</v>
      </c>
      <c r="BH1998">
        <f>IF($A1998="","",IF($A1997="",1,IF(BG1998&lt;&gt;BG1997,1,0)))</f>
        <v>0</v>
      </c>
      <c r="BI1998">
        <f>IF($A1998="","",IF($A1999="",1,IF(BG1999&lt;&gt;BG1998,1,0)))</f>
        <v>0</v>
      </c>
      <c r="BJ1998">
        <f>IF($A1998="","",IF(BH1998=1,$B1998,BJ1997))</f>
        <v>0</v>
      </c>
      <c r="BK1998">
        <f>IF($A1998="","",IF(BH1998=1,$C1998,MAX($C1998,BK1997)))</f>
        <v>0</v>
      </c>
      <c r="BL1998">
        <f>IF($A1998="","",IF(BH1998=1,$D1998,MIN($D1998,BL1997)))</f>
        <v>0</v>
      </c>
      <c r="BM1998">
        <f>IF($A1998="","",IF(BI1998=1,F1998,""))</f>
        <v>0</v>
      </c>
      <c r="BN1998">
        <f>IF($A1998="","",DATE(YEAR($A1998),MONTH($A1998),1))</f>
        <v>0</v>
      </c>
      <c r="BO1998">
        <f>IF($A1998="","",IF($A1997="",1,IF(BN1998&lt;&gt;BN1997,1,0)))</f>
        <v>0</v>
      </c>
      <c r="BP1998">
        <f>IF($A1998="","",IF($A1999="",1,IF(BN1999&lt;&gt;BN1998,1,0)))</f>
        <v>0</v>
      </c>
      <c r="BQ1998">
        <f>IF($A1998="","",IF(BO1998=1,$B1998,BQ1997))</f>
        <v>0</v>
      </c>
      <c r="BR1998">
        <f>IF($A1998="","",IF(BO1998=1,$C1998,MAX($C1998,BR1997)))</f>
        <v>0</v>
      </c>
      <c r="BS1998">
        <f>IF($A1998="","",IF(BO1998=1,$D1998,MIN($D1998,BS1997)))</f>
        <v>0</v>
      </c>
      <c r="BT1998">
        <f>IF($A1998="","",IF(BP1998=1,F1998,""))</f>
        <v>0</v>
      </c>
    </row>
    <row r="1999" spans="1:72">
      <c r="A1999" s="27">
        <f>IF(Data!$A1999="","",Data!$A1999)</f>
        <v>0</v>
      </c>
      <c r="B1999">
        <f>IF(Data!$B1999="","",Data!$B1999)</f>
        <v>0</v>
      </c>
      <c r="C1999">
        <f>IF(Data!$C1999="","",Data!$C1999)</f>
        <v>0</v>
      </c>
      <c r="D1999">
        <f>IF(Data!$D1999="","",Data!$D1999)</f>
        <v>0</v>
      </c>
      <c r="E1999">
        <f>IF(Data!$E1999="","",Data!$E1999)</f>
        <v>0</v>
      </c>
      <c r="F1999">
        <f>IF($E1999="","",N(F1998)+1)</f>
        <v>0</v>
      </c>
      <c r="G1999">
        <f>IF(OR($E1999="",$E1998=""),"",LN($E1999/$E1998))</f>
        <v>0</v>
      </c>
      <c r="H1999">
        <f>IF($E1999="","",IF($E1998="",$E1999,$E1999*0.0952380952+H1998*0.9047619048))</f>
        <v>0</v>
      </c>
      <c r="I1999">
        <f>IF($E1999="","",IF($E1998="",$E1999,$E1999*0.0392156863+I1998*0.9607843137))</f>
        <v>0</v>
      </c>
      <c r="J1999">
        <f>IF($E1999="","",IF($E1998="",$E1999,$E1999*0.0198019802+J1998*0.9801980198))</f>
        <v>0</v>
      </c>
      <c r="K1999">
        <f>IF($E1999="","",IF($E1998="",$E1999,$E1999*0.0099502488+K1998*0.9900497512))</f>
        <v>0</v>
      </c>
      <c r="L1999">
        <f>IF(OR($E1999="",$E1998=""),"",MAX($E1999-$E1998,0))</f>
        <v>0</v>
      </c>
      <c r="M1999">
        <f>IF(OR($E1999="",$E1998=""),"",MAX($E1998-$E1999,0))</f>
        <v>0</v>
      </c>
      <c r="N1999">
        <f>IF(COUNT($E$2:$E1999)&lt;15,"",IF(AVERAGE($M$1986:$M$1999)=0,100,100-100/(1+AVERAGE($L$1986:$L$1999)/AVERAGE($M$1986:$M$1999))))</f>
        <v>0</v>
      </c>
      <c r="O1999">
        <f>IF($E1999="","",IF($E1998="",$E1999,$E1999*0.1538461538+O1998*0.8461538462))</f>
        <v>0</v>
      </c>
      <c r="P1999">
        <f>IF($E1999="","",IF($E1998="",$E1999,$E1999*0.0740740741+P1998*0.9259259259))</f>
        <v>0</v>
      </c>
      <c r="Q1999">
        <f>IF(OR(O1999="",P1999=""),"",O1999-P1999)</f>
        <v>0</v>
      </c>
      <c r="R1999">
        <f>IF(Q1999="","",IF(R1998="",Q1999,Q1999*0.2000000000+R1998*0.8000000000))</f>
        <v>0</v>
      </c>
      <c r="S1999">
        <f>IF(OR(Q1999="",R1999=""),"",Q1999-R1999)</f>
        <v>0</v>
      </c>
      <c r="T1999">
        <f>IF(COUNT($E$2:$E1999)&lt;14,"",MAX($C$1986:$C$1999))</f>
        <v>0</v>
      </c>
      <c r="U1999">
        <f>IF(COUNT($E$2:$E1999)&lt;14,"",MIN($D$1986:$D$1999))</f>
        <v>0</v>
      </c>
      <c r="V1999">
        <f>IF(OR(T1999="",U1999="",T1999=U1999),"",100*($E1999-U1999)/(T1999-U1999))</f>
        <v>0</v>
      </c>
      <c r="W1999">
        <f>IF(COUNT($V$1997:$V$1999)&lt;3,"",AVERAGE($V$1997:$V$1999))</f>
        <v>0</v>
      </c>
      <c r="X1999">
        <f>IF(COUNT($N$1986:$N$1999)&lt;14,"",MIN($N$1986:$N$1999))</f>
        <v>0</v>
      </c>
      <c r="Y1999">
        <f>IF(COUNT($N$1986:$N$1999)&lt;14,"",MAX($N$1986:$N$1999))</f>
        <v>0</v>
      </c>
      <c r="Z1999">
        <f>IF(OR(N1999="",X1999="",Y1999="",Y1999=X1999),"",100*(N1999-X1999)/(Y1999-X1999))</f>
        <v>0</v>
      </c>
      <c r="AA1999">
        <f>IF(COUNT($Z$1997:$Z$1999)&lt;3,"",AVERAGE($Z$1997:$Z$1999))</f>
        <v>0</v>
      </c>
      <c r="AB1999">
        <f>IF(COUNT($AA$1997:$AA$1999)&lt;3,"",AVERAGE($AA$1997:$AA$1999))</f>
        <v>0</v>
      </c>
      <c r="AC1999">
        <f>IF($E1999="","",MAX($C1999-$D1999,ABS($C1999-$E1998),ABS($D1999-$E1998)))</f>
        <v>0</v>
      </c>
      <c r="AD1999">
        <f>IF(COUNT($E$2:$E1999)&lt;15,"",AVERAGE($AC$1986:$AC$1999))</f>
        <v>0</v>
      </c>
      <c r="AE1999">
        <f>IF(OR($E1999="",$E1998=""),"",IF(AND(($C1999-$C1998)&gt;($D1998-$D1999),($C1999-$C1998)&gt;0),$C1999-$C1998,0))</f>
        <v>0</v>
      </c>
      <c r="AF1999">
        <f>IF(OR($E1999="",$E1998=""),"",IF(AND(($D1998-$D1999)&gt;($C1999-$C1998),($D1998-$D1999)&gt;0),$D1998-$D1999,0))</f>
        <v>0</v>
      </c>
      <c r="AG1999">
        <f>IF(COUNT($E$2:$E1999)&lt;15,"",IF(SUM($AC$1986:$AC$1999)=0,0,100*SUM($AE$1986:$AE$1999)/SUM($AC$1986:$AC$1999)))</f>
        <v>0</v>
      </c>
      <c r="AH1999">
        <f>IF(COUNT($E$2:$E1999)&lt;15,"",IF(SUM($AC$1986:$AC$1999)=0,0,100*SUM($AF$1986:$AF$1999)/SUM($AC$1986:$AC$1999)))</f>
        <v>0</v>
      </c>
      <c r="AI1999">
        <f>IF(OR(AG1999="",AH1999=""),"",IF((AG1999+AH1999)=0,0,100*ABS(AG1999-AH1999)/(AG1999+AH1999)))</f>
        <v>0</v>
      </c>
      <c r="AJ1999">
        <f>IF(COUNT($AI$1986:$AI$1999)&lt;14,"",AVERAGE($AI$1986:$AI$1999))</f>
        <v>0</v>
      </c>
      <c r="AK1999">
        <f>IF(COUNT($E$2:$E1999)&lt;20,"",AVERAGE($E$1980:$E$1999))</f>
        <v>0</v>
      </c>
      <c r="AL1999">
        <f>IF(COUNT($E$2:$E1999)&lt;20,"",STDEVP($E$1980:$E$1999))</f>
        <v>0</v>
      </c>
      <c r="AM1999">
        <f>IF(AK1999="","",AK1999+2*AL1999)</f>
        <v>0</v>
      </c>
      <c r="AN1999">
        <f>IF(AK1999="","",AK1999-2*AL1999)</f>
        <v>0</v>
      </c>
      <c r="AO1999">
        <f>IF(OR(AM1999="",AN1999="",AM1999=AN1999),"",($E1999-AN1999)/(AM1999-AN1999))</f>
        <v>0</v>
      </c>
      <c r="AP1999">
        <f>IF(OR(AM1999="",AK1999="",AK1999=0),"",(AM1999-AN1999)/AK1999)</f>
        <v>0</v>
      </c>
      <c r="AQ1999">
        <f>IF(COUNT($E$2:$E1999)&lt;20,"",MAX($C$1980:$C$1999))</f>
        <v>0</v>
      </c>
      <c r="AR1999">
        <f>IF(COUNT($E$2:$E1999)&lt;20,"",MIN($D$1980:$D$1999))</f>
        <v>0</v>
      </c>
      <c r="AS1999">
        <f>IF(OR(AQ1999="",AR1999=""),"",(AQ1999+AR1999)/2)</f>
        <v>0</v>
      </c>
      <c r="AT1999">
        <f>IF(COUNT($G$1980:$G$1999)&lt;20,"",STDEV($G$1980:$G$1999)*SQRT(252))</f>
        <v>0</v>
      </c>
      <c r="AU1999">
        <f>IF(COUNT($E$2:$E1999)&lt;9,"",(MAX($C$1991:$C$1999)+MIN($D$1991:$D$1999))/2)</f>
        <v>0</v>
      </c>
      <c r="AV1999">
        <f>IF(COUNT($E$2:$E1999)&lt;26,"",(MAX($C$1974:$C$1999)+MIN($D$1974:$D$1999))/2)</f>
        <v>0</v>
      </c>
      <c r="AW1999">
        <f>IF(OR(AU1999="",AV1999=""),"",(AU1999+AV1999)/2)</f>
        <v>0</v>
      </c>
      <c r="AX1999">
        <f>IF(COUNT($E$2:$E1999)&lt;52,"",(MAX($C$1948:$C$1999)+MIN($D$1948:$D$1999))/2)</f>
        <v>0</v>
      </c>
      <c r="AY1999">
        <f>IF(COUNT($E$2:$E1999)&lt;20,"",MAX($C$1900:$C$1999))</f>
        <v>0</v>
      </c>
      <c r="AZ1999">
        <f>IF(COUNT($E$2:$E1999)&lt;20,"",MIN($D$1900:$D$1999))</f>
        <v>0</v>
      </c>
      <c r="BA1999">
        <f>IF(COUNT($E$2:$E1999)&lt;20,"",SLOPE($E$1900:$E$1999,$F$1900:$F$1999))</f>
        <v>0</v>
      </c>
      <c r="BB1999">
        <f>IF(COUNT($E$2:$E1999)&lt;20,"",INTERCEPT($E$1900:$E$1999,$F$1900:$F$1999))</f>
        <v>0</v>
      </c>
      <c r="BC1999">
        <f>IF(OR(BA1999="",BB1999=""),"",BB1999+BA1999*F1999)</f>
        <v>0</v>
      </c>
      <c r="BD1999">
        <f>IF(COUNT($E$2:$E1999)&lt;20,"",STEYX($E$1900:$E$1999,$F$1900:$F$1999))</f>
        <v>0</v>
      </c>
      <c r="BE1999">
        <f>""</f>
        <v>0</v>
      </c>
      <c r="BF1999">
        <f>""</f>
        <v>0</v>
      </c>
      <c r="BG1999">
        <f>IF($A1999="","",$A1999-WEEKDAY($A1999,2)+1)</f>
        <v>0</v>
      </c>
      <c r="BH1999">
        <f>IF($A1999="","",IF($A1998="",1,IF(BG1999&lt;&gt;BG1998,1,0)))</f>
        <v>0</v>
      </c>
      <c r="BI1999">
        <f>IF($A1999="","",IF($A2000="",1,IF(BG2000&lt;&gt;BG1999,1,0)))</f>
        <v>0</v>
      </c>
      <c r="BJ1999">
        <f>IF($A1999="","",IF(BH1999=1,$B1999,BJ1998))</f>
        <v>0</v>
      </c>
      <c r="BK1999">
        <f>IF($A1999="","",IF(BH1999=1,$C1999,MAX($C1999,BK1998)))</f>
        <v>0</v>
      </c>
      <c r="BL1999">
        <f>IF($A1999="","",IF(BH1999=1,$D1999,MIN($D1999,BL1998)))</f>
        <v>0</v>
      </c>
      <c r="BM1999">
        <f>IF($A1999="","",IF(BI1999=1,F1999,""))</f>
        <v>0</v>
      </c>
      <c r="BN1999">
        <f>IF($A1999="","",DATE(YEAR($A1999),MONTH($A1999),1))</f>
        <v>0</v>
      </c>
      <c r="BO1999">
        <f>IF($A1999="","",IF($A1998="",1,IF(BN1999&lt;&gt;BN1998,1,0)))</f>
        <v>0</v>
      </c>
      <c r="BP1999">
        <f>IF($A1999="","",IF($A2000="",1,IF(BN2000&lt;&gt;BN1999,1,0)))</f>
        <v>0</v>
      </c>
      <c r="BQ1999">
        <f>IF($A1999="","",IF(BO1999=1,$B1999,BQ1998))</f>
        <v>0</v>
      </c>
      <c r="BR1999">
        <f>IF($A1999="","",IF(BO1999=1,$C1999,MAX($C1999,BR1998)))</f>
        <v>0</v>
      </c>
      <c r="BS1999">
        <f>IF($A1999="","",IF(BO1999=1,$D1999,MIN($D1999,BS1998)))</f>
        <v>0</v>
      </c>
      <c r="BT1999">
        <f>IF($A1999="","",IF(BP1999=1,F1999,""))</f>
        <v>0</v>
      </c>
    </row>
    <row r="2000" spans="1:72">
      <c r="A2000" s="27">
        <f>IF(Data!$A2000="","",Data!$A2000)</f>
        <v>0</v>
      </c>
      <c r="B2000">
        <f>IF(Data!$B2000="","",Data!$B2000)</f>
        <v>0</v>
      </c>
      <c r="C2000">
        <f>IF(Data!$C2000="","",Data!$C2000)</f>
        <v>0</v>
      </c>
      <c r="D2000">
        <f>IF(Data!$D2000="","",Data!$D2000)</f>
        <v>0</v>
      </c>
      <c r="E2000">
        <f>IF(Data!$E2000="","",Data!$E2000)</f>
        <v>0</v>
      </c>
      <c r="F2000">
        <f>IF($E2000="","",N(F1999)+1)</f>
        <v>0</v>
      </c>
      <c r="G2000">
        <f>IF(OR($E2000="",$E1999=""),"",LN($E2000/$E1999))</f>
        <v>0</v>
      </c>
      <c r="H2000">
        <f>IF($E2000="","",IF($E1999="",$E2000,$E2000*0.0952380952+H1999*0.9047619048))</f>
        <v>0</v>
      </c>
      <c r="I2000">
        <f>IF($E2000="","",IF($E1999="",$E2000,$E2000*0.0392156863+I1999*0.9607843137))</f>
        <v>0</v>
      </c>
      <c r="J2000">
        <f>IF($E2000="","",IF($E1999="",$E2000,$E2000*0.0198019802+J1999*0.9801980198))</f>
        <v>0</v>
      </c>
      <c r="K2000">
        <f>IF($E2000="","",IF($E1999="",$E2000,$E2000*0.0099502488+K1999*0.9900497512))</f>
        <v>0</v>
      </c>
      <c r="L2000">
        <f>IF(OR($E2000="",$E1999=""),"",MAX($E2000-$E1999,0))</f>
        <v>0</v>
      </c>
      <c r="M2000">
        <f>IF(OR($E2000="",$E1999=""),"",MAX($E1999-$E2000,0))</f>
        <v>0</v>
      </c>
      <c r="N2000">
        <f>IF(COUNT($E$2:$E2000)&lt;15,"",IF(AVERAGE($M$1987:$M$2000)=0,100,100-100/(1+AVERAGE($L$1987:$L$2000)/AVERAGE($M$1987:$M$2000))))</f>
        <v>0</v>
      </c>
      <c r="O2000">
        <f>IF($E2000="","",IF($E1999="",$E2000,$E2000*0.1538461538+O1999*0.8461538462))</f>
        <v>0</v>
      </c>
      <c r="P2000">
        <f>IF($E2000="","",IF($E1999="",$E2000,$E2000*0.0740740741+P1999*0.9259259259))</f>
        <v>0</v>
      </c>
      <c r="Q2000">
        <f>IF(OR(O2000="",P2000=""),"",O2000-P2000)</f>
        <v>0</v>
      </c>
      <c r="R2000">
        <f>IF(Q2000="","",IF(R1999="",Q2000,Q2000*0.2000000000+R1999*0.8000000000))</f>
        <v>0</v>
      </c>
      <c r="S2000">
        <f>IF(OR(Q2000="",R2000=""),"",Q2000-R2000)</f>
        <v>0</v>
      </c>
      <c r="T2000">
        <f>IF(COUNT($E$2:$E2000)&lt;14,"",MAX($C$1987:$C$2000))</f>
        <v>0</v>
      </c>
      <c r="U2000">
        <f>IF(COUNT($E$2:$E2000)&lt;14,"",MIN($D$1987:$D$2000))</f>
        <v>0</v>
      </c>
      <c r="V2000">
        <f>IF(OR(T2000="",U2000="",T2000=U2000),"",100*($E2000-U2000)/(T2000-U2000))</f>
        <v>0</v>
      </c>
      <c r="W2000">
        <f>IF(COUNT($V$1998:$V$2000)&lt;3,"",AVERAGE($V$1998:$V$2000))</f>
        <v>0</v>
      </c>
      <c r="X2000">
        <f>IF(COUNT($N$1987:$N$2000)&lt;14,"",MIN($N$1987:$N$2000))</f>
        <v>0</v>
      </c>
      <c r="Y2000">
        <f>IF(COUNT($N$1987:$N$2000)&lt;14,"",MAX($N$1987:$N$2000))</f>
        <v>0</v>
      </c>
      <c r="Z2000">
        <f>IF(OR(N2000="",X2000="",Y2000="",Y2000=X2000),"",100*(N2000-X2000)/(Y2000-X2000))</f>
        <v>0</v>
      </c>
      <c r="AA2000">
        <f>IF(COUNT($Z$1998:$Z$2000)&lt;3,"",AVERAGE($Z$1998:$Z$2000))</f>
        <v>0</v>
      </c>
      <c r="AB2000">
        <f>IF(COUNT($AA$1998:$AA$2000)&lt;3,"",AVERAGE($AA$1998:$AA$2000))</f>
        <v>0</v>
      </c>
      <c r="AC2000">
        <f>IF($E2000="","",MAX($C2000-$D2000,ABS($C2000-$E1999),ABS($D2000-$E1999)))</f>
        <v>0</v>
      </c>
      <c r="AD2000">
        <f>IF(COUNT($E$2:$E2000)&lt;15,"",AVERAGE($AC$1987:$AC$2000))</f>
        <v>0</v>
      </c>
      <c r="AE2000">
        <f>IF(OR($E2000="",$E1999=""),"",IF(AND(($C2000-$C1999)&gt;($D1999-$D2000),($C2000-$C1999)&gt;0),$C2000-$C1999,0))</f>
        <v>0</v>
      </c>
      <c r="AF2000">
        <f>IF(OR($E2000="",$E1999=""),"",IF(AND(($D1999-$D2000)&gt;($C2000-$C1999),($D1999-$D2000)&gt;0),$D1999-$D2000,0))</f>
        <v>0</v>
      </c>
      <c r="AG2000">
        <f>IF(COUNT($E$2:$E2000)&lt;15,"",IF(SUM($AC$1987:$AC$2000)=0,0,100*SUM($AE$1987:$AE$2000)/SUM($AC$1987:$AC$2000)))</f>
        <v>0</v>
      </c>
      <c r="AH2000">
        <f>IF(COUNT($E$2:$E2000)&lt;15,"",IF(SUM($AC$1987:$AC$2000)=0,0,100*SUM($AF$1987:$AF$2000)/SUM($AC$1987:$AC$2000)))</f>
        <v>0</v>
      </c>
      <c r="AI2000">
        <f>IF(OR(AG2000="",AH2000=""),"",IF((AG2000+AH2000)=0,0,100*ABS(AG2000-AH2000)/(AG2000+AH2000)))</f>
        <v>0</v>
      </c>
      <c r="AJ2000">
        <f>IF(COUNT($AI$1987:$AI$2000)&lt;14,"",AVERAGE($AI$1987:$AI$2000))</f>
        <v>0</v>
      </c>
      <c r="AK2000">
        <f>IF(COUNT($E$2:$E2000)&lt;20,"",AVERAGE($E$1981:$E$2000))</f>
        <v>0</v>
      </c>
      <c r="AL2000">
        <f>IF(COUNT($E$2:$E2000)&lt;20,"",STDEVP($E$1981:$E$2000))</f>
        <v>0</v>
      </c>
      <c r="AM2000">
        <f>IF(AK2000="","",AK2000+2*AL2000)</f>
        <v>0</v>
      </c>
      <c r="AN2000">
        <f>IF(AK2000="","",AK2000-2*AL2000)</f>
        <v>0</v>
      </c>
      <c r="AO2000">
        <f>IF(OR(AM2000="",AN2000="",AM2000=AN2000),"",($E2000-AN2000)/(AM2000-AN2000))</f>
        <v>0</v>
      </c>
      <c r="AP2000">
        <f>IF(OR(AM2000="",AK2000="",AK2000=0),"",(AM2000-AN2000)/AK2000)</f>
        <v>0</v>
      </c>
      <c r="AQ2000">
        <f>IF(COUNT($E$2:$E2000)&lt;20,"",MAX($C$1981:$C$2000))</f>
        <v>0</v>
      </c>
      <c r="AR2000">
        <f>IF(COUNT($E$2:$E2000)&lt;20,"",MIN($D$1981:$D$2000))</f>
        <v>0</v>
      </c>
      <c r="AS2000">
        <f>IF(OR(AQ2000="",AR2000=""),"",(AQ2000+AR2000)/2)</f>
        <v>0</v>
      </c>
      <c r="AT2000">
        <f>IF(COUNT($G$1981:$G$2000)&lt;20,"",STDEV($G$1981:$G$2000)*SQRT(252))</f>
        <v>0</v>
      </c>
      <c r="AU2000">
        <f>IF(COUNT($E$2:$E2000)&lt;9,"",(MAX($C$1992:$C$2000)+MIN($D$1992:$D$2000))/2)</f>
        <v>0</v>
      </c>
      <c r="AV2000">
        <f>IF(COUNT($E$2:$E2000)&lt;26,"",(MAX($C$1975:$C$2000)+MIN($D$1975:$D$2000))/2)</f>
        <v>0</v>
      </c>
      <c r="AW2000">
        <f>IF(OR(AU2000="",AV2000=""),"",(AU2000+AV2000)/2)</f>
        <v>0</v>
      </c>
      <c r="AX2000">
        <f>IF(COUNT($E$2:$E2000)&lt;52,"",(MAX($C$1949:$C$2000)+MIN($D$1949:$D$2000))/2)</f>
        <v>0</v>
      </c>
      <c r="AY2000">
        <f>IF(COUNT($E$2:$E2000)&lt;20,"",MAX($C$1901:$C$2000))</f>
        <v>0</v>
      </c>
      <c r="AZ2000">
        <f>IF(COUNT($E$2:$E2000)&lt;20,"",MIN($D$1901:$D$2000))</f>
        <v>0</v>
      </c>
      <c r="BA2000">
        <f>IF(COUNT($E$2:$E2000)&lt;20,"",SLOPE($E$1901:$E$2000,$F$1901:$F$2000))</f>
        <v>0</v>
      </c>
      <c r="BB2000">
        <f>IF(COUNT($E$2:$E2000)&lt;20,"",INTERCEPT($E$1901:$E$2000,$F$1901:$F$2000))</f>
        <v>0</v>
      </c>
      <c r="BC2000">
        <f>IF(OR(BA2000="",BB2000=""),"",BB2000+BA2000*F2000)</f>
        <v>0</v>
      </c>
      <c r="BD2000">
        <f>IF(COUNT($E$2:$E2000)&lt;20,"",STEYX($E$1901:$E$2000,$F$1901:$F$2000))</f>
        <v>0</v>
      </c>
      <c r="BE2000">
        <f>""</f>
        <v>0</v>
      </c>
      <c r="BF2000">
        <f>""</f>
        <v>0</v>
      </c>
      <c r="BG2000">
        <f>IF($A2000="","",$A2000-WEEKDAY($A2000,2)+1)</f>
        <v>0</v>
      </c>
      <c r="BH2000">
        <f>IF($A2000="","",IF($A1999="",1,IF(BG2000&lt;&gt;BG1999,1,0)))</f>
        <v>0</v>
      </c>
      <c r="BI2000">
        <f>IF($A2000="","",IF($A2001="",1,IF(BG2001&lt;&gt;BG2000,1,0)))</f>
        <v>0</v>
      </c>
      <c r="BJ2000">
        <f>IF($A2000="","",IF(BH2000=1,$B2000,BJ1999))</f>
        <v>0</v>
      </c>
      <c r="BK2000">
        <f>IF($A2000="","",IF(BH2000=1,$C2000,MAX($C2000,BK1999)))</f>
        <v>0</v>
      </c>
      <c r="BL2000">
        <f>IF($A2000="","",IF(BH2000=1,$D2000,MIN($D2000,BL1999)))</f>
        <v>0</v>
      </c>
      <c r="BM2000">
        <f>IF($A2000="","",IF(BI2000=1,F2000,""))</f>
        <v>0</v>
      </c>
      <c r="BN2000">
        <f>IF($A2000="","",DATE(YEAR($A2000),MONTH($A2000),1))</f>
        <v>0</v>
      </c>
      <c r="BO2000">
        <f>IF($A2000="","",IF($A1999="",1,IF(BN2000&lt;&gt;BN1999,1,0)))</f>
        <v>0</v>
      </c>
      <c r="BP2000">
        <f>IF($A2000="","",IF($A2001="",1,IF(BN2001&lt;&gt;BN2000,1,0)))</f>
        <v>0</v>
      </c>
      <c r="BQ2000">
        <f>IF($A2000="","",IF(BO2000=1,$B2000,BQ1999))</f>
        <v>0</v>
      </c>
      <c r="BR2000">
        <f>IF($A2000="","",IF(BO2000=1,$C2000,MAX($C2000,BR1999)))</f>
        <v>0</v>
      </c>
      <c r="BS2000">
        <f>IF($A2000="","",IF(BO2000=1,$D2000,MIN($D2000,BS1999)))</f>
        <v>0</v>
      </c>
      <c r="BT2000">
        <f>IF($A2000="","",IF(BP2000=1,F2000,""))</f>
        <v>0</v>
      </c>
    </row>
    <row r="2001" spans="1:72">
      <c r="A2001" s="27">
        <f>IF(Data!$A2001="","",Data!$A2001)</f>
        <v>0</v>
      </c>
      <c r="B2001">
        <f>IF(Data!$B2001="","",Data!$B2001)</f>
        <v>0</v>
      </c>
      <c r="C2001">
        <f>IF(Data!$C2001="","",Data!$C2001)</f>
        <v>0</v>
      </c>
      <c r="D2001">
        <f>IF(Data!$D2001="","",Data!$D2001)</f>
        <v>0</v>
      </c>
      <c r="E2001">
        <f>IF(Data!$E2001="","",Data!$E2001)</f>
        <v>0</v>
      </c>
      <c r="F2001">
        <f>IF($E2001="","",N(F2000)+1)</f>
        <v>0</v>
      </c>
      <c r="G2001">
        <f>IF(OR($E2001="",$E2000=""),"",LN($E2001/$E2000))</f>
        <v>0</v>
      </c>
      <c r="H2001">
        <f>IF($E2001="","",IF($E2000="",$E2001,$E2001*0.0952380952+H2000*0.9047619048))</f>
        <v>0</v>
      </c>
      <c r="I2001">
        <f>IF($E2001="","",IF($E2000="",$E2001,$E2001*0.0392156863+I2000*0.9607843137))</f>
        <v>0</v>
      </c>
      <c r="J2001">
        <f>IF($E2001="","",IF($E2000="",$E2001,$E2001*0.0198019802+J2000*0.9801980198))</f>
        <v>0</v>
      </c>
      <c r="K2001">
        <f>IF($E2001="","",IF($E2000="",$E2001,$E2001*0.0099502488+K2000*0.9900497512))</f>
        <v>0</v>
      </c>
      <c r="L2001">
        <f>IF(OR($E2001="",$E2000=""),"",MAX($E2001-$E2000,0))</f>
        <v>0</v>
      </c>
      <c r="M2001">
        <f>IF(OR($E2001="",$E2000=""),"",MAX($E2000-$E2001,0))</f>
        <v>0</v>
      </c>
      <c r="N2001">
        <f>IF(COUNT($E$2:$E2001)&lt;15,"",IF(AVERAGE($M$1988:$M$2001)=0,100,100-100/(1+AVERAGE($L$1988:$L$2001)/AVERAGE($M$1988:$M$2001))))</f>
        <v>0</v>
      </c>
      <c r="O2001">
        <f>IF($E2001="","",IF($E2000="",$E2001,$E2001*0.1538461538+O2000*0.8461538462))</f>
        <v>0</v>
      </c>
      <c r="P2001">
        <f>IF($E2001="","",IF($E2000="",$E2001,$E2001*0.0740740741+P2000*0.9259259259))</f>
        <v>0</v>
      </c>
      <c r="Q2001">
        <f>IF(OR(O2001="",P2001=""),"",O2001-P2001)</f>
        <v>0</v>
      </c>
      <c r="R2001">
        <f>IF(Q2001="","",IF(R2000="",Q2001,Q2001*0.2000000000+R2000*0.8000000000))</f>
        <v>0</v>
      </c>
      <c r="S2001">
        <f>IF(OR(Q2001="",R2001=""),"",Q2001-R2001)</f>
        <v>0</v>
      </c>
      <c r="T2001">
        <f>IF(COUNT($E$2:$E2001)&lt;14,"",MAX($C$1988:$C$2001))</f>
        <v>0</v>
      </c>
      <c r="U2001">
        <f>IF(COUNT($E$2:$E2001)&lt;14,"",MIN($D$1988:$D$2001))</f>
        <v>0</v>
      </c>
      <c r="V2001">
        <f>IF(OR(T2001="",U2001="",T2001=U2001),"",100*($E2001-U2001)/(T2001-U2001))</f>
        <v>0</v>
      </c>
      <c r="W2001">
        <f>IF(COUNT($V$1999:$V$2001)&lt;3,"",AVERAGE($V$1999:$V$2001))</f>
        <v>0</v>
      </c>
      <c r="X2001">
        <f>IF(COUNT($N$1988:$N$2001)&lt;14,"",MIN($N$1988:$N$2001))</f>
        <v>0</v>
      </c>
      <c r="Y2001">
        <f>IF(COUNT($N$1988:$N$2001)&lt;14,"",MAX($N$1988:$N$2001))</f>
        <v>0</v>
      </c>
      <c r="Z2001">
        <f>IF(OR(N2001="",X2001="",Y2001="",Y2001=X2001),"",100*(N2001-X2001)/(Y2001-X2001))</f>
        <v>0</v>
      </c>
      <c r="AA2001">
        <f>IF(COUNT($Z$1999:$Z$2001)&lt;3,"",AVERAGE($Z$1999:$Z$2001))</f>
        <v>0</v>
      </c>
      <c r="AB2001">
        <f>IF(COUNT($AA$1999:$AA$2001)&lt;3,"",AVERAGE($AA$1999:$AA$2001))</f>
        <v>0</v>
      </c>
      <c r="AC2001">
        <f>IF($E2001="","",MAX($C2001-$D2001,ABS($C2001-$E2000),ABS($D2001-$E2000)))</f>
        <v>0</v>
      </c>
      <c r="AD2001">
        <f>IF(COUNT($E$2:$E2001)&lt;15,"",AVERAGE($AC$1988:$AC$2001))</f>
        <v>0</v>
      </c>
      <c r="AE2001">
        <f>IF(OR($E2001="",$E2000=""),"",IF(AND(($C2001-$C2000)&gt;($D2000-$D2001),($C2001-$C2000)&gt;0),$C2001-$C2000,0))</f>
        <v>0</v>
      </c>
      <c r="AF2001">
        <f>IF(OR($E2001="",$E2000=""),"",IF(AND(($D2000-$D2001)&gt;($C2001-$C2000),($D2000-$D2001)&gt;0),$D2000-$D2001,0))</f>
        <v>0</v>
      </c>
      <c r="AG2001">
        <f>IF(COUNT($E$2:$E2001)&lt;15,"",IF(SUM($AC$1988:$AC$2001)=0,0,100*SUM($AE$1988:$AE$2001)/SUM($AC$1988:$AC$2001)))</f>
        <v>0</v>
      </c>
      <c r="AH2001">
        <f>IF(COUNT($E$2:$E2001)&lt;15,"",IF(SUM($AC$1988:$AC$2001)=0,0,100*SUM($AF$1988:$AF$2001)/SUM($AC$1988:$AC$2001)))</f>
        <v>0</v>
      </c>
      <c r="AI2001">
        <f>IF(OR(AG2001="",AH2001=""),"",IF((AG2001+AH2001)=0,0,100*ABS(AG2001-AH2001)/(AG2001+AH2001)))</f>
        <v>0</v>
      </c>
      <c r="AJ2001">
        <f>IF(COUNT($AI$1988:$AI$2001)&lt;14,"",AVERAGE($AI$1988:$AI$2001))</f>
        <v>0</v>
      </c>
      <c r="AK2001">
        <f>IF(COUNT($E$2:$E2001)&lt;20,"",AVERAGE($E$1982:$E$2001))</f>
        <v>0</v>
      </c>
      <c r="AL2001">
        <f>IF(COUNT($E$2:$E2001)&lt;20,"",STDEVP($E$1982:$E$2001))</f>
        <v>0</v>
      </c>
      <c r="AM2001">
        <f>IF(AK2001="","",AK2001+2*AL2001)</f>
        <v>0</v>
      </c>
      <c r="AN2001">
        <f>IF(AK2001="","",AK2001-2*AL2001)</f>
        <v>0</v>
      </c>
      <c r="AO2001">
        <f>IF(OR(AM2001="",AN2001="",AM2001=AN2001),"",($E2001-AN2001)/(AM2001-AN2001))</f>
        <v>0</v>
      </c>
      <c r="AP2001">
        <f>IF(OR(AM2001="",AK2001="",AK2001=0),"",(AM2001-AN2001)/AK2001)</f>
        <v>0</v>
      </c>
      <c r="AQ2001">
        <f>IF(COUNT($E$2:$E2001)&lt;20,"",MAX($C$1982:$C$2001))</f>
        <v>0</v>
      </c>
      <c r="AR2001">
        <f>IF(COUNT($E$2:$E2001)&lt;20,"",MIN($D$1982:$D$2001))</f>
        <v>0</v>
      </c>
      <c r="AS2001">
        <f>IF(OR(AQ2001="",AR2001=""),"",(AQ2001+AR2001)/2)</f>
        <v>0</v>
      </c>
      <c r="AT2001">
        <f>IF(COUNT($G$1982:$G$2001)&lt;20,"",STDEV($G$1982:$G$2001)*SQRT(252))</f>
        <v>0</v>
      </c>
      <c r="AU2001">
        <f>IF(COUNT($E$2:$E2001)&lt;9,"",(MAX($C$1993:$C$2001)+MIN($D$1993:$D$2001))/2)</f>
        <v>0</v>
      </c>
      <c r="AV2001">
        <f>IF(COUNT($E$2:$E2001)&lt;26,"",(MAX($C$1976:$C$2001)+MIN($D$1976:$D$2001))/2)</f>
        <v>0</v>
      </c>
      <c r="AW2001">
        <f>IF(OR(AU2001="",AV2001=""),"",(AU2001+AV2001)/2)</f>
        <v>0</v>
      </c>
      <c r="AX2001">
        <f>IF(COUNT($E$2:$E2001)&lt;52,"",(MAX($C$1950:$C$2001)+MIN($D$1950:$D$2001))/2)</f>
        <v>0</v>
      </c>
      <c r="AY2001">
        <f>IF(COUNT($E$2:$E2001)&lt;20,"",MAX($C$1902:$C$2001))</f>
        <v>0</v>
      </c>
      <c r="AZ2001">
        <f>IF(COUNT($E$2:$E2001)&lt;20,"",MIN($D$1902:$D$2001))</f>
        <v>0</v>
      </c>
      <c r="BA2001">
        <f>IF(COUNT($E$2:$E2001)&lt;20,"",SLOPE($E$1902:$E$2001,$F$1902:$F$2001))</f>
        <v>0</v>
      </c>
      <c r="BB2001">
        <f>IF(COUNT($E$2:$E2001)&lt;20,"",INTERCEPT($E$1902:$E$2001,$F$1902:$F$2001))</f>
        <v>0</v>
      </c>
      <c r="BC2001">
        <f>IF(OR(BA2001="",BB2001=""),"",BB2001+BA2001*F2001)</f>
        <v>0</v>
      </c>
      <c r="BD2001">
        <f>IF(COUNT($E$2:$E2001)&lt;20,"",STEYX($E$1902:$E$2001,$F$1902:$F$2001))</f>
        <v>0</v>
      </c>
      <c r="BE2001">
        <f>""</f>
        <v>0</v>
      </c>
      <c r="BF2001">
        <f>""</f>
        <v>0</v>
      </c>
      <c r="BG2001">
        <f>IF($A2001="","",$A2001-WEEKDAY($A2001,2)+1)</f>
        <v>0</v>
      </c>
      <c r="BH2001">
        <f>IF($A2001="","",IF($A2000="",1,IF(BG2001&lt;&gt;BG2000,1,0)))</f>
        <v>0</v>
      </c>
      <c r="BI2001">
        <f>IF($A2001="","",IF($A2002="",1,IF(BG2002&lt;&gt;BG2001,1,0)))</f>
        <v>0</v>
      </c>
      <c r="BJ2001">
        <f>IF($A2001="","",IF(BH2001=1,$B2001,BJ2000))</f>
        <v>0</v>
      </c>
      <c r="BK2001">
        <f>IF($A2001="","",IF(BH2001=1,$C2001,MAX($C2001,BK2000)))</f>
        <v>0</v>
      </c>
      <c r="BL2001">
        <f>IF($A2001="","",IF(BH2001=1,$D2001,MIN($D2001,BL2000)))</f>
        <v>0</v>
      </c>
      <c r="BM2001">
        <f>IF($A2001="","",IF(BI2001=1,F2001,""))</f>
        <v>0</v>
      </c>
      <c r="BN2001">
        <f>IF($A2001="","",DATE(YEAR($A2001),MONTH($A2001),1))</f>
        <v>0</v>
      </c>
      <c r="BO2001">
        <f>IF($A2001="","",IF($A2000="",1,IF(BN2001&lt;&gt;BN2000,1,0)))</f>
        <v>0</v>
      </c>
      <c r="BP2001">
        <f>IF($A2001="","",IF($A2002="",1,IF(BN2002&lt;&gt;BN2001,1,0)))</f>
        <v>0</v>
      </c>
      <c r="BQ2001">
        <f>IF($A2001="","",IF(BO2001=1,$B2001,BQ2000))</f>
        <v>0</v>
      </c>
      <c r="BR2001">
        <f>IF($A2001="","",IF(BO2001=1,$C2001,MAX($C2001,BR2000)))</f>
        <v>0</v>
      </c>
      <c r="BS2001">
        <f>IF($A2001="","",IF(BO2001=1,$D2001,MIN($D2001,BS2000)))</f>
        <v>0</v>
      </c>
      <c r="BT2001">
        <f>IF($A2001="","",IF(BP2001=1,F2001,""))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BG441"/>
  <sheetViews>
    <sheetView workbookViewId="0"/>
  </sheetViews>
  <sheetFormatPr defaultRowHeight="15"/>
  <sheetData>
    <row r="2" spans="1:59">
      <c r="A2" s="27">
        <f>IF($BG2="","",INDEX(Calc_Daily!$A$2:$A$2001,$BG2))</f>
        <v>0</v>
      </c>
      <c r="B2">
        <f>IF($BG2="","",INDEX(Calc_Daily!$BJ$2:$BJ$2001,$BG2))</f>
        <v>0</v>
      </c>
      <c r="C2">
        <f>IF($BG2="","",INDEX(Calc_Daily!$BK$2:$BK$2001,$BG2))</f>
        <v>0</v>
      </c>
      <c r="D2">
        <f>IF($BG2="","",INDEX(Calc_Daily!$BL$2:$BL$2001,$BG2))</f>
        <v>0</v>
      </c>
      <c r="E2">
        <f>IF($BG2="","",INDEX(Calc_Daily!$E$2:$E$2001,$BG2))</f>
        <v>0</v>
      </c>
      <c r="F2">
        <f>IF($E2="","",N(F1)+1)</f>
        <v>0</v>
      </c>
      <c r="G2">
        <f>""</f>
        <v>0</v>
      </c>
      <c r="H2">
        <f>IF($E2="","",$E2)</f>
        <v>0</v>
      </c>
      <c r="I2">
        <f>IF($E2="","",$E2)</f>
        <v>0</v>
      </c>
      <c r="J2">
        <f>IF($E2="","",$E2)</f>
        <v>0</v>
      </c>
      <c r="K2">
        <f>IF($E2="","",$E2)</f>
        <v>0</v>
      </c>
      <c r="L2">
        <f>""</f>
        <v>0</v>
      </c>
      <c r="M2">
        <f>""</f>
        <v>0</v>
      </c>
      <c r="N2">
        <f>IF(COUNT($E$2:$E2)&lt;15,"",IF(AVERAGE($M$2:$M$2)=0,100,100-100/(1+AVERAGE($L$2:$L$2)/AVERAGE($M$2:$M$2))))</f>
        <v>0</v>
      </c>
      <c r="O2">
        <f>IF($E2="","",$E2)</f>
        <v>0</v>
      </c>
      <c r="P2">
        <f>IF($E2="","",$E2)</f>
        <v>0</v>
      </c>
      <c r="Q2">
        <f>IF(OR(O2="",P2=""),"",O2-P2)</f>
        <v>0</v>
      </c>
      <c r="R2">
        <f>IF(Q2="","",Q2)</f>
        <v>0</v>
      </c>
      <c r="S2">
        <f>IF(OR(Q2="",R2=""),"",Q2-R2)</f>
        <v>0</v>
      </c>
      <c r="T2">
        <f>IF(COUNT($E$2:$E2)&lt;14,"",MAX($C$2:$C$2))</f>
        <v>0</v>
      </c>
      <c r="U2">
        <f>IF(COUNT($E$2:$E2)&lt;14,"",MIN($D$2:$D$2))</f>
        <v>0</v>
      </c>
      <c r="V2">
        <f>IF(OR(T2="",U2="",T2=U2),"",100*($E2-U2)/(T2-U2))</f>
        <v>0</v>
      </c>
      <c r="W2">
        <f>IF(COUNT($V$2:$V$2)&lt;3,"",AVERAGE($V$2:$V$2))</f>
        <v>0</v>
      </c>
      <c r="X2">
        <f>IF(COUNT($N$2:$N$2)&lt;14,"",MIN($N$2:$N$2))</f>
        <v>0</v>
      </c>
      <c r="Y2">
        <f>IF(COUNT($N$2:$N$2)&lt;14,"",MAX($N$2:$N$2))</f>
        <v>0</v>
      </c>
      <c r="Z2">
        <f>IF(OR(N2="",X2="",Y2="",Y2=X2),"",100*(N2-X2)/(Y2-X2))</f>
        <v>0</v>
      </c>
      <c r="AA2">
        <f>IF(COUNT($Z$2:$Z$2)&lt;3,"",AVERAGE($Z$2:$Z$2))</f>
        <v>0</v>
      </c>
      <c r="AB2">
        <f>IF(COUNT($AA$2:$AA$2)&lt;3,"",AVERAGE($AA$2:$AA$2))</f>
        <v>0</v>
      </c>
      <c r="AC2">
        <f>IF($E2="","",$C2-$D2)</f>
        <v>0</v>
      </c>
      <c r="AD2">
        <f>IF(COUNT($E$2:$E2)&lt;15,"",AVERAGE($AC$2:$AC$2))</f>
        <v>0</v>
      </c>
      <c r="AE2">
        <f>IF($E2="","",0)</f>
        <v>0</v>
      </c>
      <c r="AF2">
        <f>IF($E2="","",0)</f>
        <v>0</v>
      </c>
      <c r="AG2">
        <f>IF(COUNT($E$2:$E2)&lt;15,"",IF(SUM($AC$2:$AC$2)=0,0,100*SUM($AE$2:$AE$2)/SUM($AC$2:$AC$2)))</f>
        <v>0</v>
      </c>
      <c r="AH2">
        <f>IF(COUNT($E$2:$E2)&lt;15,"",IF(SUM($AC$2:$AC$2)=0,0,100*SUM($AF$2:$AF$2)/SUM($AC$2:$AC$2)))</f>
        <v>0</v>
      </c>
      <c r="AI2">
        <f>IF(OR(AG2="",AH2=""),"",IF((AG2+AH2)=0,0,100*ABS(AG2-AH2)/(AG2+AH2)))</f>
        <v>0</v>
      </c>
      <c r="AJ2">
        <f>IF(COUNT($AI$2:$AI$2)&lt;14,"",AVERAGE($AI$2:$AI$2))</f>
        <v>0</v>
      </c>
      <c r="AK2">
        <f>IF(COUNT($E$2:$E2)&lt;20,"",AVERAGE($E$2:$E$2))</f>
        <v>0</v>
      </c>
      <c r="AL2">
        <f>IF(COUNT($E$2:$E2)&lt;20,"",STDEVP($E$2:$E$2))</f>
        <v>0</v>
      </c>
      <c r="AM2">
        <f>IF(AK2="","",AK2+2*AL2)</f>
        <v>0</v>
      </c>
      <c r="AN2">
        <f>IF(AK2="","",AK2-2*AL2)</f>
        <v>0</v>
      </c>
      <c r="AO2">
        <f>IF(OR(AM2="",AN2="",AM2=AN2),"",($E2-AN2)/(AM2-AN2))</f>
        <v>0</v>
      </c>
      <c r="AP2">
        <f>IF(OR(AM2="",AK2="",AK2=0),"",(AM2-AN2)/AK2)</f>
        <v>0</v>
      </c>
      <c r="AQ2">
        <f>IF(COUNT($E$2:$E2)&lt;20,"",MAX($C$2:$C$2))</f>
        <v>0</v>
      </c>
      <c r="AR2">
        <f>IF(COUNT($E$2:$E2)&lt;20,"",MIN($D$2:$D$2))</f>
        <v>0</v>
      </c>
      <c r="AS2">
        <f>IF(OR(AQ2="",AR2=""),"",(AQ2+AR2)/2)</f>
        <v>0</v>
      </c>
      <c r="AT2">
        <f>IF(COUNT($G$2:$G$2)&lt;20,"",STDEV($G$2:$G$2)*SQRT(52))</f>
        <v>0</v>
      </c>
      <c r="AU2">
        <f>IF(COUNT($E$2:$E2)&lt;9,"",(MAX($C$2:$C$2)+MIN($D$2:$D$2))/2)</f>
        <v>0</v>
      </c>
      <c r="AV2">
        <f>IF(COUNT($E$2:$E2)&lt;26,"",(MAX($C$2:$C$2)+MIN($D$2:$D$2))/2)</f>
        <v>0</v>
      </c>
      <c r="AW2">
        <f>IF(OR(AU2="",AV2=""),"",(AU2+AV2)/2)</f>
        <v>0</v>
      </c>
      <c r="AX2">
        <f>IF(COUNT($E$2:$E2)&lt;52,"",(MAX($C$2:$C$2)+MIN($D$2:$D$2))/2)</f>
        <v>0</v>
      </c>
      <c r="AY2">
        <f>IF(COUNT($E$2:$E2)&lt;20,"",MAX($C$2:$C$2))</f>
        <v>0</v>
      </c>
      <c r="AZ2">
        <f>IF(COUNT($E$2:$E2)&lt;20,"",MIN($D$2:$D$2))</f>
        <v>0</v>
      </c>
      <c r="BA2">
        <f>IF(COUNT($E$2:$E2)&lt;20,"",SLOPE($E$2:$E$2,$F$2:$F$2))</f>
        <v>0</v>
      </c>
      <c r="BB2">
        <f>IF(COUNT($E$2:$E2)&lt;20,"",INTERCEPT($E$2:$E$2,$F$2:$F$2))</f>
        <v>0</v>
      </c>
      <c r="BC2">
        <f>IF(OR(BA2="",BB2=""),"",BB2+BA2*F2)</f>
        <v>0</v>
      </c>
      <c r="BD2">
        <f>IF(COUNT($E$2:$E2)&lt;20,"",STEYX($E$2:$E$2,$F$2:$F$2))</f>
        <v>0</v>
      </c>
      <c r="BE2">
        <f>""</f>
        <v>0</v>
      </c>
      <c r="BF2">
        <f>""</f>
        <v>0</v>
      </c>
      <c r="BG2">
        <f>IFERROR(SMALL(Calc_Daily!$BM$2:$BM$2001,1),"")</f>
        <v>0</v>
      </c>
    </row>
    <row r="3" spans="1:59">
      <c r="A3" s="27">
        <f>IF($BG3="","",INDEX(Calc_Daily!$A$2:$A$2001,$BG3))</f>
        <v>0</v>
      </c>
      <c r="B3">
        <f>IF($BG3="","",INDEX(Calc_Daily!$BJ$2:$BJ$2001,$BG3))</f>
        <v>0</v>
      </c>
      <c r="C3">
        <f>IF($BG3="","",INDEX(Calc_Daily!$BK$2:$BK$2001,$BG3))</f>
        <v>0</v>
      </c>
      <c r="D3">
        <f>IF($BG3="","",INDEX(Calc_Daily!$BL$2:$BL$2001,$BG3))</f>
        <v>0</v>
      </c>
      <c r="E3">
        <f>IF($BG3="","",INDEX(Calc_Daily!$E$2:$E$2001,$BG3))</f>
        <v>0</v>
      </c>
      <c r="F3">
        <f>IF($E3="","",N(F2)+1)</f>
        <v>0</v>
      </c>
      <c r="G3">
        <f>IF(OR($E3="",$E2=""),"",LN($E3/$E2))</f>
        <v>0</v>
      </c>
      <c r="H3">
        <f>IF($E3="","",IF($E2="",$E3,$E3*0.0952380952+H2*0.9047619048))</f>
        <v>0</v>
      </c>
      <c r="I3">
        <f>IF($E3="","",IF($E2="",$E3,$E3*0.0392156863+I2*0.9607843137))</f>
        <v>0</v>
      </c>
      <c r="J3">
        <f>IF($E3="","",IF($E2="",$E3,$E3*0.0198019802+J2*0.9801980198))</f>
        <v>0</v>
      </c>
      <c r="K3">
        <f>IF($E3="","",IF($E2="",$E3,$E3*0.0099502488+K2*0.9900497512))</f>
        <v>0</v>
      </c>
      <c r="L3">
        <f>IF(OR($E3="",$E2=""),"",MAX($E3-$E2,0))</f>
        <v>0</v>
      </c>
      <c r="M3">
        <f>IF(OR($E3="",$E2=""),"",MAX($E2-$E3,0))</f>
        <v>0</v>
      </c>
      <c r="N3">
        <f>IF(COUNT($E$2:$E3)&lt;15,"",IF(AVERAGE($M$2:$M$3)=0,100,100-100/(1+AVERAGE($L$2:$L$3)/AVERAGE($M$2:$M$3))))</f>
        <v>0</v>
      </c>
      <c r="O3">
        <f>IF($E3="","",IF($E2="",$E3,$E3*0.1538461538+O2*0.8461538462))</f>
        <v>0</v>
      </c>
      <c r="P3">
        <f>IF($E3="","",IF($E2="",$E3,$E3*0.0740740741+P2*0.9259259259))</f>
        <v>0</v>
      </c>
      <c r="Q3">
        <f>IF(OR(O3="",P3=""),"",O3-P3)</f>
        <v>0</v>
      </c>
      <c r="R3">
        <f>IF(Q3="","",IF(R2="",Q3,Q3*0.2000000000+R2*0.8000000000))</f>
        <v>0</v>
      </c>
      <c r="S3">
        <f>IF(OR(Q3="",R3=""),"",Q3-R3)</f>
        <v>0</v>
      </c>
      <c r="T3">
        <f>IF(COUNT($E$2:$E3)&lt;14,"",MAX($C$2:$C$3))</f>
        <v>0</v>
      </c>
      <c r="U3">
        <f>IF(COUNT($E$2:$E3)&lt;14,"",MIN($D$2:$D$3))</f>
        <v>0</v>
      </c>
      <c r="V3">
        <f>IF(OR(T3="",U3="",T3=U3),"",100*($E3-U3)/(T3-U3))</f>
        <v>0</v>
      </c>
      <c r="W3">
        <f>IF(COUNT($V$2:$V$3)&lt;3,"",AVERAGE($V$2:$V$3))</f>
        <v>0</v>
      </c>
      <c r="X3">
        <f>IF(COUNT($N$2:$N$3)&lt;14,"",MIN($N$2:$N$3))</f>
        <v>0</v>
      </c>
      <c r="Y3">
        <f>IF(COUNT($N$2:$N$3)&lt;14,"",MAX($N$2:$N$3))</f>
        <v>0</v>
      </c>
      <c r="Z3">
        <f>IF(OR(N3="",X3="",Y3="",Y3=X3),"",100*(N3-X3)/(Y3-X3))</f>
        <v>0</v>
      </c>
      <c r="AA3">
        <f>IF(COUNT($Z$2:$Z$3)&lt;3,"",AVERAGE($Z$2:$Z$3))</f>
        <v>0</v>
      </c>
      <c r="AB3">
        <f>IF(COUNT($AA$2:$AA$3)&lt;3,"",AVERAGE($AA$2:$AA$3))</f>
        <v>0</v>
      </c>
      <c r="AC3">
        <f>IF($E3="","",MAX($C3-$D3,ABS($C3-$E2),ABS($D3-$E2)))</f>
        <v>0</v>
      </c>
      <c r="AD3">
        <f>IF(COUNT($E$2:$E3)&lt;15,"",AVERAGE($AC$2:$AC$3))</f>
        <v>0</v>
      </c>
      <c r="AE3">
        <f>IF(OR($E3="",$E2=""),"",IF(AND(($C3-$C2)&gt;($D2-$D3),($C3-$C2)&gt;0),$C3-$C2,0))</f>
        <v>0</v>
      </c>
      <c r="AF3">
        <f>IF(OR($E3="",$E2=""),"",IF(AND(($D2-$D3)&gt;($C3-$C2),($D2-$D3)&gt;0),$D2-$D3,0))</f>
        <v>0</v>
      </c>
      <c r="AG3">
        <f>IF(COUNT($E$2:$E3)&lt;15,"",IF(SUM($AC$2:$AC$3)=0,0,100*SUM($AE$2:$AE$3)/SUM($AC$2:$AC$3)))</f>
        <v>0</v>
      </c>
      <c r="AH3">
        <f>IF(COUNT($E$2:$E3)&lt;15,"",IF(SUM($AC$2:$AC$3)=0,0,100*SUM($AF$2:$AF$3)/SUM($AC$2:$AC$3)))</f>
        <v>0</v>
      </c>
      <c r="AI3">
        <f>IF(OR(AG3="",AH3=""),"",IF((AG3+AH3)=0,0,100*ABS(AG3-AH3)/(AG3+AH3)))</f>
        <v>0</v>
      </c>
      <c r="AJ3">
        <f>IF(COUNT($AI$2:$AI$3)&lt;14,"",AVERAGE($AI$2:$AI$3))</f>
        <v>0</v>
      </c>
      <c r="AK3">
        <f>IF(COUNT($E$2:$E3)&lt;20,"",AVERAGE($E$2:$E$3))</f>
        <v>0</v>
      </c>
      <c r="AL3">
        <f>IF(COUNT($E$2:$E3)&lt;20,"",STDEVP($E$2:$E$3))</f>
        <v>0</v>
      </c>
      <c r="AM3">
        <f>IF(AK3="","",AK3+2*AL3)</f>
        <v>0</v>
      </c>
      <c r="AN3">
        <f>IF(AK3="","",AK3-2*AL3)</f>
        <v>0</v>
      </c>
      <c r="AO3">
        <f>IF(OR(AM3="",AN3="",AM3=AN3),"",($E3-AN3)/(AM3-AN3))</f>
        <v>0</v>
      </c>
      <c r="AP3">
        <f>IF(OR(AM3="",AK3="",AK3=0),"",(AM3-AN3)/AK3)</f>
        <v>0</v>
      </c>
      <c r="AQ3">
        <f>IF(COUNT($E$2:$E3)&lt;20,"",MAX($C$2:$C$3))</f>
        <v>0</v>
      </c>
      <c r="AR3">
        <f>IF(COUNT($E$2:$E3)&lt;20,"",MIN($D$2:$D$3))</f>
        <v>0</v>
      </c>
      <c r="AS3">
        <f>IF(OR(AQ3="",AR3=""),"",(AQ3+AR3)/2)</f>
        <v>0</v>
      </c>
      <c r="AT3">
        <f>IF(COUNT($G$2:$G$3)&lt;20,"",STDEV($G$2:$G$3)*SQRT(52))</f>
        <v>0</v>
      </c>
      <c r="AU3">
        <f>IF(COUNT($E$2:$E3)&lt;9,"",(MAX($C$2:$C$3)+MIN($D$2:$D$3))/2)</f>
        <v>0</v>
      </c>
      <c r="AV3">
        <f>IF(COUNT($E$2:$E3)&lt;26,"",(MAX($C$2:$C$3)+MIN($D$2:$D$3))/2)</f>
        <v>0</v>
      </c>
      <c r="AW3">
        <f>IF(OR(AU3="",AV3=""),"",(AU3+AV3)/2)</f>
        <v>0</v>
      </c>
      <c r="AX3">
        <f>IF(COUNT($E$2:$E3)&lt;52,"",(MAX($C$2:$C$3)+MIN($D$2:$D$3))/2)</f>
        <v>0</v>
      </c>
      <c r="AY3">
        <f>IF(COUNT($E$2:$E3)&lt;20,"",MAX($C$2:$C$3))</f>
        <v>0</v>
      </c>
      <c r="AZ3">
        <f>IF(COUNT($E$2:$E3)&lt;20,"",MIN($D$2:$D$3))</f>
        <v>0</v>
      </c>
      <c r="BA3">
        <f>IF(COUNT($E$2:$E3)&lt;20,"",SLOPE($E$2:$E$3,$F$2:$F$3))</f>
        <v>0</v>
      </c>
      <c r="BB3">
        <f>IF(COUNT($E$2:$E3)&lt;20,"",INTERCEPT($E$2:$E$3,$F$2:$F$3))</f>
        <v>0</v>
      </c>
      <c r="BC3">
        <f>IF(OR(BA3="",BB3=""),"",BB3+BA3*F3)</f>
        <v>0</v>
      </c>
      <c r="BD3">
        <f>IF(COUNT($E$2:$E3)&lt;20,"",STEYX($E$2:$E$3,$F$2:$F$3))</f>
        <v>0</v>
      </c>
      <c r="BE3">
        <f>""</f>
        <v>0</v>
      </c>
      <c r="BF3">
        <f>""</f>
        <v>0</v>
      </c>
      <c r="BG3">
        <f>IFERROR(SMALL(Calc_Daily!$BM$2:$BM$2001,2),"")</f>
        <v>0</v>
      </c>
    </row>
    <row r="4" spans="1:59">
      <c r="A4" s="27">
        <f>IF($BG4="","",INDEX(Calc_Daily!$A$2:$A$2001,$BG4))</f>
        <v>0</v>
      </c>
      <c r="B4">
        <f>IF($BG4="","",INDEX(Calc_Daily!$BJ$2:$BJ$2001,$BG4))</f>
        <v>0</v>
      </c>
      <c r="C4">
        <f>IF($BG4="","",INDEX(Calc_Daily!$BK$2:$BK$2001,$BG4))</f>
        <v>0</v>
      </c>
      <c r="D4">
        <f>IF($BG4="","",INDEX(Calc_Daily!$BL$2:$BL$2001,$BG4))</f>
        <v>0</v>
      </c>
      <c r="E4">
        <f>IF($BG4="","",INDEX(Calc_Daily!$E$2:$E$2001,$BG4))</f>
        <v>0</v>
      </c>
      <c r="F4">
        <f>IF($E4="","",N(F3)+1)</f>
        <v>0</v>
      </c>
      <c r="G4">
        <f>IF(OR($E4="",$E3=""),"",LN($E4/$E3))</f>
        <v>0</v>
      </c>
      <c r="H4">
        <f>IF($E4="","",IF($E3="",$E4,$E4*0.0952380952+H3*0.9047619048))</f>
        <v>0</v>
      </c>
      <c r="I4">
        <f>IF($E4="","",IF($E3="",$E4,$E4*0.0392156863+I3*0.9607843137))</f>
        <v>0</v>
      </c>
      <c r="J4">
        <f>IF($E4="","",IF($E3="",$E4,$E4*0.0198019802+J3*0.9801980198))</f>
        <v>0</v>
      </c>
      <c r="K4">
        <f>IF($E4="","",IF($E3="",$E4,$E4*0.0099502488+K3*0.9900497512))</f>
        <v>0</v>
      </c>
      <c r="L4">
        <f>IF(OR($E4="",$E3=""),"",MAX($E4-$E3,0))</f>
        <v>0</v>
      </c>
      <c r="M4">
        <f>IF(OR($E4="",$E3=""),"",MAX($E3-$E4,0))</f>
        <v>0</v>
      </c>
      <c r="N4">
        <f>IF(COUNT($E$2:$E4)&lt;15,"",IF(AVERAGE($M$2:$M$4)=0,100,100-100/(1+AVERAGE($L$2:$L$4)/AVERAGE($M$2:$M$4))))</f>
        <v>0</v>
      </c>
      <c r="O4">
        <f>IF($E4="","",IF($E3="",$E4,$E4*0.1538461538+O3*0.8461538462))</f>
        <v>0</v>
      </c>
      <c r="P4">
        <f>IF($E4="","",IF($E3="",$E4,$E4*0.0740740741+P3*0.9259259259))</f>
        <v>0</v>
      </c>
      <c r="Q4">
        <f>IF(OR(O4="",P4=""),"",O4-P4)</f>
        <v>0</v>
      </c>
      <c r="R4">
        <f>IF(Q4="","",IF(R3="",Q4,Q4*0.2000000000+R3*0.8000000000))</f>
        <v>0</v>
      </c>
      <c r="S4">
        <f>IF(OR(Q4="",R4=""),"",Q4-R4)</f>
        <v>0</v>
      </c>
      <c r="T4">
        <f>IF(COUNT($E$2:$E4)&lt;14,"",MAX($C$2:$C$4))</f>
        <v>0</v>
      </c>
      <c r="U4">
        <f>IF(COUNT($E$2:$E4)&lt;14,"",MIN($D$2:$D$4))</f>
        <v>0</v>
      </c>
      <c r="V4">
        <f>IF(OR(T4="",U4="",T4=U4),"",100*($E4-U4)/(T4-U4))</f>
        <v>0</v>
      </c>
      <c r="W4">
        <f>IF(COUNT($V$2:$V$4)&lt;3,"",AVERAGE($V$2:$V$4))</f>
        <v>0</v>
      </c>
      <c r="X4">
        <f>IF(COUNT($N$2:$N$4)&lt;14,"",MIN($N$2:$N$4))</f>
        <v>0</v>
      </c>
      <c r="Y4">
        <f>IF(COUNT($N$2:$N$4)&lt;14,"",MAX($N$2:$N$4))</f>
        <v>0</v>
      </c>
      <c r="Z4">
        <f>IF(OR(N4="",X4="",Y4="",Y4=X4),"",100*(N4-X4)/(Y4-X4))</f>
        <v>0</v>
      </c>
      <c r="AA4">
        <f>IF(COUNT($Z$2:$Z$4)&lt;3,"",AVERAGE($Z$2:$Z$4))</f>
        <v>0</v>
      </c>
      <c r="AB4">
        <f>IF(COUNT($AA$2:$AA$4)&lt;3,"",AVERAGE($AA$2:$AA$4))</f>
        <v>0</v>
      </c>
      <c r="AC4">
        <f>IF($E4="","",MAX($C4-$D4,ABS($C4-$E3),ABS($D4-$E3)))</f>
        <v>0</v>
      </c>
      <c r="AD4">
        <f>IF(COUNT($E$2:$E4)&lt;15,"",AVERAGE($AC$2:$AC$4))</f>
        <v>0</v>
      </c>
      <c r="AE4">
        <f>IF(OR($E4="",$E3=""),"",IF(AND(($C4-$C3)&gt;($D3-$D4),($C4-$C3)&gt;0),$C4-$C3,0))</f>
        <v>0</v>
      </c>
      <c r="AF4">
        <f>IF(OR($E4="",$E3=""),"",IF(AND(($D3-$D4)&gt;($C4-$C3),($D3-$D4)&gt;0),$D3-$D4,0))</f>
        <v>0</v>
      </c>
      <c r="AG4">
        <f>IF(COUNT($E$2:$E4)&lt;15,"",IF(SUM($AC$2:$AC$4)=0,0,100*SUM($AE$2:$AE$4)/SUM($AC$2:$AC$4)))</f>
        <v>0</v>
      </c>
      <c r="AH4">
        <f>IF(COUNT($E$2:$E4)&lt;15,"",IF(SUM($AC$2:$AC$4)=0,0,100*SUM($AF$2:$AF$4)/SUM($AC$2:$AC$4)))</f>
        <v>0</v>
      </c>
      <c r="AI4">
        <f>IF(OR(AG4="",AH4=""),"",IF((AG4+AH4)=0,0,100*ABS(AG4-AH4)/(AG4+AH4)))</f>
        <v>0</v>
      </c>
      <c r="AJ4">
        <f>IF(COUNT($AI$2:$AI$4)&lt;14,"",AVERAGE($AI$2:$AI$4))</f>
        <v>0</v>
      </c>
      <c r="AK4">
        <f>IF(COUNT($E$2:$E4)&lt;20,"",AVERAGE($E$2:$E$4))</f>
        <v>0</v>
      </c>
      <c r="AL4">
        <f>IF(COUNT($E$2:$E4)&lt;20,"",STDEVP($E$2:$E$4))</f>
        <v>0</v>
      </c>
      <c r="AM4">
        <f>IF(AK4="","",AK4+2*AL4)</f>
        <v>0</v>
      </c>
      <c r="AN4">
        <f>IF(AK4="","",AK4-2*AL4)</f>
        <v>0</v>
      </c>
      <c r="AO4">
        <f>IF(OR(AM4="",AN4="",AM4=AN4),"",($E4-AN4)/(AM4-AN4))</f>
        <v>0</v>
      </c>
      <c r="AP4">
        <f>IF(OR(AM4="",AK4="",AK4=0),"",(AM4-AN4)/AK4)</f>
        <v>0</v>
      </c>
      <c r="AQ4">
        <f>IF(COUNT($E$2:$E4)&lt;20,"",MAX($C$2:$C$4))</f>
        <v>0</v>
      </c>
      <c r="AR4">
        <f>IF(COUNT($E$2:$E4)&lt;20,"",MIN($D$2:$D$4))</f>
        <v>0</v>
      </c>
      <c r="AS4">
        <f>IF(OR(AQ4="",AR4=""),"",(AQ4+AR4)/2)</f>
        <v>0</v>
      </c>
      <c r="AT4">
        <f>IF(COUNT($G$2:$G$4)&lt;20,"",STDEV($G$2:$G$4)*SQRT(52))</f>
        <v>0</v>
      </c>
      <c r="AU4">
        <f>IF(COUNT($E$2:$E4)&lt;9,"",(MAX($C$2:$C$4)+MIN($D$2:$D$4))/2)</f>
        <v>0</v>
      </c>
      <c r="AV4">
        <f>IF(COUNT($E$2:$E4)&lt;26,"",(MAX($C$2:$C$4)+MIN($D$2:$D$4))/2)</f>
        <v>0</v>
      </c>
      <c r="AW4">
        <f>IF(OR(AU4="",AV4=""),"",(AU4+AV4)/2)</f>
        <v>0</v>
      </c>
      <c r="AX4">
        <f>IF(COUNT($E$2:$E4)&lt;52,"",(MAX($C$2:$C$4)+MIN($D$2:$D$4))/2)</f>
        <v>0</v>
      </c>
      <c r="AY4">
        <f>IF(COUNT($E$2:$E4)&lt;20,"",MAX($C$2:$C$4))</f>
        <v>0</v>
      </c>
      <c r="AZ4">
        <f>IF(COUNT($E$2:$E4)&lt;20,"",MIN($D$2:$D$4))</f>
        <v>0</v>
      </c>
      <c r="BA4">
        <f>IF(COUNT($E$2:$E4)&lt;20,"",SLOPE($E$2:$E$4,$F$2:$F$4))</f>
        <v>0</v>
      </c>
      <c r="BB4">
        <f>IF(COUNT($E$2:$E4)&lt;20,"",INTERCEPT($E$2:$E$4,$F$2:$F$4))</f>
        <v>0</v>
      </c>
      <c r="BC4">
        <f>IF(OR(BA4="",BB4=""),"",BB4+BA4*F4)</f>
        <v>0</v>
      </c>
      <c r="BD4">
        <f>IF(COUNT($E$2:$E4)&lt;20,"",STEYX($E$2:$E$4,$F$2:$F$4))</f>
        <v>0</v>
      </c>
      <c r="BE4">
        <f>""</f>
        <v>0</v>
      </c>
      <c r="BF4">
        <f>""</f>
        <v>0</v>
      </c>
      <c r="BG4">
        <f>IFERROR(SMALL(Calc_Daily!$BM$2:$BM$2001,3),"")</f>
        <v>0</v>
      </c>
    </row>
    <row r="5" spans="1:59">
      <c r="A5" s="27">
        <f>IF($BG5="","",INDEX(Calc_Daily!$A$2:$A$2001,$BG5))</f>
        <v>0</v>
      </c>
      <c r="B5">
        <f>IF($BG5="","",INDEX(Calc_Daily!$BJ$2:$BJ$2001,$BG5))</f>
        <v>0</v>
      </c>
      <c r="C5">
        <f>IF($BG5="","",INDEX(Calc_Daily!$BK$2:$BK$2001,$BG5))</f>
        <v>0</v>
      </c>
      <c r="D5">
        <f>IF($BG5="","",INDEX(Calc_Daily!$BL$2:$BL$2001,$BG5))</f>
        <v>0</v>
      </c>
      <c r="E5">
        <f>IF($BG5="","",INDEX(Calc_Daily!$E$2:$E$2001,$BG5))</f>
        <v>0</v>
      </c>
      <c r="F5">
        <f>IF($E5="","",N(F4)+1)</f>
        <v>0</v>
      </c>
      <c r="G5">
        <f>IF(OR($E5="",$E4=""),"",LN($E5/$E4))</f>
        <v>0</v>
      </c>
      <c r="H5">
        <f>IF($E5="","",IF($E4="",$E5,$E5*0.0952380952+H4*0.9047619048))</f>
        <v>0</v>
      </c>
      <c r="I5">
        <f>IF($E5="","",IF($E4="",$E5,$E5*0.0392156863+I4*0.9607843137))</f>
        <v>0</v>
      </c>
      <c r="J5">
        <f>IF($E5="","",IF($E4="",$E5,$E5*0.0198019802+J4*0.9801980198))</f>
        <v>0</v>
      </c>
      <c r="K5">
        <f>IF($E5="","",IF($E4="",$E5,$E5*0.0099502488+K4*0.9900497512))</f>
        <v>0</v>
      </c>
      <c r="L5">
        <f>IF(OR($E5="",$E4=""),"",MAX($E5-$E4,0))</f>
        <v>0</v>
      </c>
      <c r="M5">
        <f>IF(OR($E5="",$E4=""),"",MAX($E4-$E5,0))</f>
        <v>0</v>
      </c>
      <c r="N5">
        <f>IF(COUNT($E$2:$E5)&lt;15,"",IF(AVERAGE($M$2:$M$5)=0,100,100-100/(1+AVERAGE($L$2:$L$5)/AVERAGE($M$2:$M$5))))</f>
        <v>0</v>
      </c>
      <c r="O5">
        <f>IF($E5="","",IF($E4="",$E5,$E5*0.1538461538+O4*0.8461538462))</f>
        <v>0</v>
      </c>
      <c r="P5">
        <f>IF($E5="","",IF($E4="",$E5,$E5*0.0740740741+P4*0.9259259259))</f>
        <v>0</v>
      </c>
      <c r="Q5">
        <f>IF(OR(O5="",P5=""),"",O5-P5)</f>
        <v>0</v>
      </c>
      <c r="R5">
        <f>IF(Q5="","",IF(R4="",Q5,Q5*0.2000000000+R4*0.8000000000))</f>
        <v>0</v>
      </c>
      <c r="S5">
        <f>IF(OR(Q5="",R5=""),"",Q5-R5)</f>
        <v>0</v>
      </c>
      <c r="T5">
        <f>IF(COUNT($E$2:$E5)&lt;14,"",MAX($C$2:$C$5))</f>
        <v>0</v>
      </c>
      <c r="U5">
        <f>IF(COUNT($E$2:$E5)&lt;14,"",MIN($D$2:$D$5))</f>
        <v>0</v>
      </c>
      <c r="V5">
        <f>IF(OR(T5="",U5="",T5=U5),"",100*($E5-U5)/(T5-U5))</f>
        <v>0</v>
      </c>
      <c r="W5">
        <f>IF(COUNT($V$3:$V$5)&lt;3,"",AVERAGE($V$3:$V$5))</f>
        <v>0</v>
      </c>
      <c r="X5">
        <f>IF(COUNT($N$2:$N$5)&lt;14,"",MIN($N$2:$N$5))</f>
        <v>0</v>
      </c>
      <c r="Y5">
        <f>IF(COUNT($N$2:$N$5)&lt;14,"",MAX($N$2:$N$5))</f>
        <v>0</v>
      </c>
      <c r="Z5">
        <f>IF(OR(N5="",X5="",Y5="",Y5=X5),"",100*(N5-X5)/(Y5-X5))</f>
        <v>0</v>
      </c>
      <c r="AA5">
        <f>IF(COUNT($Z$3:$Z$5)&lt;3,"",AVERAGE($Z$3:$Z$5))</f>
        <v>0</v>
      </c>
      <c r="AB5">
        <f>IF(COUNT($AA$3:$AA$5)&lt;3,"",AVERAGE($AA$3:$AA$5))</f>
        <v>0</v>
      </c>
      <c r="AC5">
        <f>IF($E5="","",MAX($C5-$D5,ABS($C5-$E4),ABS($D5-$E4)))</f>
        <v>0</v>
      </c>
      <c r="AD5">
        <f>IF(COUNT($E$2:$E5)&lt;15,"",AVERAGE($AC$2:$AC$5))</f>
        <v>0</v>
      </c>
      <c r="AE5">
        <f>IF(OR($E5="",$E4=""),"",IF(AND(($C5-$C4)&gt;($D4-$D5),($C5-$C4)&gt;0),$C5-$C4,0))</f>
        <v>0</v>
      </c>
      <c r="AF5">
        <f>IF(OR($E5="",$E4=""),"",IF(AND(($D4-$D5)&gt;($C5-$C4),($D4-$D5)&gt;0),$D4-$D5,0))</f>
        <v>0</v>
      </c>
      <c r="AG5">
        <f>IF(COUNT($E$2:$E5)&lt;15,"",IF(SUM($AC$2:$AC$5)=0,0,100*SUM($AE$2:$AE$5)/SUM($AC$2:$AC$5)))</f>
        <v>0</v>
      </c>
      <c r="AH5">
        <f>IF(COUNT($E$2:$E5)&lt;15,"",IF(SUM($AC$2:$AC$5)=0,0,100*SUM($AF$2:$AF$5)/SUM($AC$2:$AC$5)))</f>
        <v>0</v>
      </c>
      <c r="AI5">
        <f>IF(OR(AG5="",AH5=""),"",IF((AG5+AH5)=0,0,100*ABS(AG5-AH5)/(AG5+AH5)))</f>
        <v>0</v>
      </c>
      <c r="AJ5">
        <f>IF(COUNT($AI$2:$AI$5)&lt;14,"",AVERAGE($AI$2:$AI$5))</f>
        <v>0</v>
      </c>
      <c r="AK5">
        <f>IF(COUNT($E$2:$E5)&lt;20,"",AVERAGE($E$2:$E$5))</f>
        <v>0</v>
      </c>
      <c r="AL5">
        <f>IF(COUNT($E$2:$E5)&lt;20,"",STDEVP($E$2:$E$5))</f>
        <v>0</v>
      </c>
      <c r="AM5">
        <f>IF(AK5="","",AK5+2*AL5)</f>
        <v>0</v>
      </c>
      <c r="AN5">
        <f>IF(AK5="","",AK5-2*AL5)</f>
        <v>0</v>
      </c>
      <c r="AO5">
        <f>IF(OR(AM5="",AN5="",AM5=AN5),"",($E5-AN5)/(AM5-AN5))</f>
        <v>0</v>
      </c>
      <c r="AP5">
        <f>IF(OR(AM5="",AK5="",AK5=0),"",(AM5-AN5)/AK5)</f>
        <v>0</v>
      </c>
      <c r="AQ5">
        <f>IF(COUNT($E$2:$E5)&lt;20,"",MAX($C$2:$C$5))</f>
        <v>0</v>
      </c>
      <c r="AR5">
        <f>IF(COUNT($E$2:$E5)&lt;20,"",MIN($D$2:$D$5))</f>
        <v>0</v>
      </c>
      <c r="AS5">
        <f>IF(OR(AQ5="",AR5=""),"",(AQ5+AR5)/2)</f>
        <v>0</v>
      </c>
      <c r="AT5">
        <f>IF(COUNT($G$2:$G$5)&lt;20,"",STDEV($G$2:$G$5)*SQRT(52))</f>
        <v>0</v>
      </c>
      <c r="AU5">
        <f>IF(COUNT($E$2:$E5)&lt;9,"",(MAX($C$2:$C$5)+MIN($D$2:$D$5))/2)</f>
        <v>0</v>
      </c>
      <c r="AV5">
        <f>IF(COUNT($E$2:$E5)&lt;26,"",(MAX($C$2:$C$5)+MIN($D$2:$D$5))/2)</f>
        <v>0</v>
      </c>
      <c r="AW5">
        <f>IF(OR(AU5="",AV5=""),"",(AU5+AV5)/2)</f>
        <v>0</v>
      </c>
      <c r="AX5">
        <f>IF(COUNT($E$2:$E5)&lt;52,"",(MAX($C$2:$C$5)+MIN($D$2:$D$5))/2)</f>
        <v>0</v>
      </c>
      <c r="AY5">
        <f>IF(COUNT($E$2:$E5)&lt;20,"",MAX($C$2:$C$5))</f>
        <v>0</v>
      </c>
      <c r="AZ5">
        <f>IF(COUNT($E$2:$E5)&lt;20,"",MIN($D$2:$D$5))</f>
        <v>0</v>
      </c>
      <c r="BA5">
        <f>IF(COUNT($E$2:$E5)&lt;20,"",SLOPE($E$2:$E$5,$F$2:$F$5))</f>
        <v>0</v>
      </c>
      <c r="BB5">
        <f>IF(COUNT($E$2:$E5)&lt;20,"",INTERCEPT($E$2:$E$5,$F$2:$F$5))</f>
        <v>0</v>
      </c>
      <c r="BC5">
        <f>IF(OR(BA5="",BB5=""),"",BB5+BA5*F5)</f>
        <v>0</v>
      </c>
      <c r="BD5">
        <f>IF(COUNT($E$2:$E5)&lt;20,"",STEYX($E$2:$E$5,$F$2:$F$5))</f>
        <v>0</v>
      </c>
      <c r="BE5">
        <f>""</f>
        <v>0</v>
      </c>
      <c r="BF5">
        <f>""</f>
        <v>0</v>
      </c>
      <c r="BG5">
        <f>IFERROR(SMALL(Calc_Daily!$BM$2:$BM$2001,4),"")</f>
        <v>0</v>
      </c>
    </row>
    <row r="6" spans="1:59">
      <c r="A6" s="27">
        <f>IF($BG6="","",INDEX(Calc_Daily!$A$2:$A$2001,$BG6))</f>
        <v>0</v>
      </c>
      <c r="B6">
        <f>IF($BG6="","",INDEX(Calc_Daily!$BJ$2:$BJ$2001,$BG6))</f>
        <v>0</v>
      </c>
      <c r="C6">
        <f>IF($BG6="","",INDEX(Calc_Daily!$BK$2:$BK$2001,$BG6))</f>
        <v>0</v>
      </c>
      <c r="D6">
        <f>IF($BG6="","",INDEX(Calc_Daily!$BL$2:$BL$2001,$BG6))</f>
        <v>0</v>
      </c>
      <c r="E6">
        <f>IF($BG6="","",INDEX(Calc_Daily!$E$2:$E$2001,$BG6))</f>
        <v>0</v>
      </c>
      <c r="F6">
        <f>IF($E6="","",N(F5)+1)</f>
        <v>0</v>
      </c>
      <c r="G6">
        <f>IF(OR($E6="",$E5=""),"",LN($E6/$E5))</f>
        <v>0</v>
      </c>
      <c r="H6">
        <f>IF($E6="","",IF($E5="",$E6,$E6*0.0952380952+H5*0.9047619048))</f>
        <v>0</v>
      </c>
      <c r="I6">
        <f>IF($E6="","",IF($E5="",$E6,$E6*0.0392156863+I5*0.9607843137))</f>
        <v>0</v>
      </c>
      <c r="J6">
        <f>IF($E6="","",IF($E5="",$E6,$E6*0.0198019802+J5*0.9801980198))</f>
        <v>0</v>
      </c>
      <c r="K6">
        <f>IF($E6="","",IF($E5="",$E6,$E6*0.0099502488+K5*0.9900497512))</f>
        <v>0</v>
      </c>
      <c r="L6">
        <f>IF(OR($E6="",$E5=""),"",MAX($E6-$E5,0))</f>
        <v>0</v>
      </c>
      <c r="M6">
        <f>IF(OR($E6="",$E5=""),"",MAX($E5-$E6,0))</f>
        <v>0</v>
      </c>
      <c r="N6">
        <f>IF(COUNT($E$2:$E6)&lt;15,"",IF(AVERAGE($M$2:$M$6)=0,100,100-100/(1+AVERAGE($L$2:$L$6)/AVERAGE($M$2:$M$6))))</f>
        <v>0</v>
      </c>
      <c r="O6">
        <f>IF($E6="","",IF($E5="",$E6,$E6*0.1538461538+O5*0.8461538462))</f>
        <v>0</v>
      </c>
      <c r="P6">
        <f>IF($E6="","",IF($E5="",$E6,$E6*0.0740740741+P5*0.9259259259))</f>
        <v>0</v>
      </c>
      <c r="Q6">
        <f>IF(OR(O6="",P6=""),"",O6-P6)</f>
        <v>0</v>
      </c>
      <c r="R6">
        <f>IF(Q6="","",IF(R5="",Q6,Q6*0.2000000000+R5*0.8000000000))</f>
        <v>0</v>
      </c>
      <c r="S6">
        <f>IF(OR(Q6="",R6=""),"",Q6-R6)</f>
        <v>0</v>
      </c>
      <c r="T6">
        <f>IF(COUNT($E$2:$E6)&lt;14,"",MAX($C$2:$C$6))</f>
        <v>0</v>
      </c>
      <c r="U6">
        <f>IF(COUNT($E$2:$E6)&lt;14,"",MIN($D$2:$D$6))</f>
        <v>0</v>
      </c>
      <c r="V6">
        <f>IF(OR(T6="",U6="",T6=U6),"",100*($E6-U6)/(T6-U6))</f>
        <v>0</v>
      </c>
      <c r="W6">
        <f>IF(COUNT($V$4:$V$6)&lt;3,"",AVERAGE($V$4:$V$6))</f>
        <v>0</v>
      </c>
      <c r="X6">
        <f>IF(COUNT($N$2:$N$6)&lt;14,"",MIN($N$2:$N$6))</f>
        <v>0</v>
      </c>
      <c r="Y6">
        <f>IF(COUNT($N$2:$N$6)&lt;14,"",MAX($N$2:$N$6))</f>
        <v>0</v>
      </c>
      <c r="Z6">
        <f>IF(OR(N6="",X6="",Y6="",Y6=X6),"",100*(N6-X6)/(Y6-X6))</f>
        <v>0</v>
      </c>
      <c r="AA6">
        <f>IF(COUNT($Z$4:$Z$6)&lt;3,"",AVERAGE($Z$4:$Z$6))</f>
        <v>0</v>
      </c>
      <c r="AB6">
        <f>IF(COUNT($AA$4:$AA$6)&lt;3,"",AVERAGE($AA$4:$AA$6))</f>
        <v>0</v>
      </c>
      <c r="AC6">
        <f>IF($E6="","",MAX($C6-$D6,ABS($C6-$E5),ABS($D6-$E5)))</f>
        <v>0</v>
      </c>
      <c r="AD6">
        <f>IF(COUNT($E$2:$E6)&lt;15,"",AVERAGE($AC$2:$AC$6))</f>
        <v>0</v>
      </c>
      <c r="AE6">
        <f>IF(OR($E6="",$E5=""),"",IF(AND(($C6-$C5)&gt;($D5-$D6),($C6-$C5)&gt;0),$C6-$C5,0))</f>
        <v>0</v>
      </c>
      <c r="AF6">
        <f>IF(OR($E6="",$E5=""),"",IF(AND(($D5-$D6)&gt;($C6-$C5),($D5-$D6)&gt;0),$D5-$D6,0))</f>
        <v>0</v>
      </c>
      <c r="AG6">
        <f>IF(COUNT($E$2:$E6)&lt;15,"",IF(SUM($AC$2:$AC$6)=0,0,100*SUM($AE$2:$AE$6)/SUM($AC$2:$AC$6)))</f>
        <v>0</v>
      </c>
      <c r="AH6">
        <f>IF(COUNT($E$2:$E6)&lt;15,"",IF(SUM($AC$2:$AC$6)=0,0,100*SUM($AF$2:$AF$6)/SUM($AC$2:$AC$6)))</f>
        <v>0</v>
      </c>
      <c r="AI6">
        <f>IF(OR(AG6="",AH6=""),"",IF((AG6+AH6)=0,0,100*ABS(AG6-AH6)/(AG6+AH6)))</f>
        <v>0</v>
      </c>
      <c r="AJ6">
        <f>IF(COUNT($AI$2:$AI$6)&lt;14,"",AVERAGE($AI$2:$AI$6))</f>
        <v>0</v>
      </c>
      <c r="AK6">
        <f>IF(COUNT($E$2:$E6)&lt;20,"",AVERAGE($E$2:$E$6))</f>
        <v>0</v>
      </c>
      <c r="AL6">
        <f>IF(COUNT($E$2:$E6)&lt;20,"",STDEVP($E$2:$E$6))</f>
        <v>0</v>
      </c>
      <c r="AM6">
        <f>IF(AK6="","",AK6+2*AL6)</f>
        <v>0</v>
      </c>
      <c r="AN6">
        <f>IF(AK6="","",AK6-2*AL6)</f>
        <v>0</v>
      </c>
      <c r="AO6">
        <f>IF(OR(AM6="",AN6="",AM6=AN6),"",($E6-AN6)/(AM6-AN6))</f>
        <v>0</v>
      </c>
      <c r="AP6">
        <f>IF(OR(AM6="",AK6="",AK6=0),"",(AM6-AN6)/AK6)</f>
        <v>0</v>
      </c>
      <c r="AQ6">
        <f>IF(COUNT($E$2:$E6)&lt;20,"",MAX($C$2:$C$6))</f>
        <v>0</v>
      </c>
      <c r="AR6">
        <f>IF(COUNT($E$2:$E6)&lt;20,"",MIN($D$2:$D$6))</f>
        <v>0</v>
      </c>
      <c r="AS6">
        <f>IF(OR(AQ6="",AR6=""),"",(AQ6+AR6)/2)</f>
        <v>0</v>
      </c>
      <c r="AT6">
        <f>IF(COUNT($G$2:$G$6)&lt;20,"",STDEV($G$2:$G$6)*SQRT(52))</f>
        <v>0</v>
      </c>
      <c r="AU6">
        <f>IF(COUNT($E$2:$E6)&lt;9,"",(MAX($C$2:$C$6)+MIN($D$2:$D$6))/2)</f>
        <v>0</v>
      </c>
      <c r="AV6">
        <f>IF(COUNT($E$2:$E6)&lt;26,"",(MAX($C$2:$C$6)+MIN($D$2:$D$6))/2)</f>
        <v>0</v>
      </c>
      <c r="AW6">
        <f>IF(OR(AU6="",AV6=""),"",(AU6+AV6)/2)</f>
        <v>0</v>
      </c>
      <c r="AX6">
        <f>IF(COUNT($E$2:$E6)&lt;52,"",(MAX($C$2:$C$6)+MIN($D$2:$D$6))/2)</f>
        <v>0</v>
      </c>
      <c r="AY6">
        <f>IF(COUNT($E$2:$E6)&lt;20,"",MAX($C$2:$C$6))</f>
        <v>0</v>
      </c>
      <c r="AZ6">
        <f>IF(COUNT($E$2:$E6)&lt;20,"",MIN($D$2:$D$6))</f>
        <v>0</v>
      </c>
      <c r="BA6">
        <f>IF(COUNT($E$2:$E6)&lt;20,"",SLOPE($E$2:$E$6,$F$2:$F$6))</f>
        <v>0</v>
      </c>
      <c r="BB6">
        <f>IF(COUNT($E$2:$E6)&lt;20,"",INTERCEPT($E$2:$E$6,$F$2:$F$6))</f>
        <v>0</v>
      </c>
      <c r="BC6">
        <f>IF(OR(BA6="",BB6=""),"",BB6+BA6*F6)</f>
        <v>0</v>
      </c>
      <c r="BD6">
        <f>IF(COUNT($E$2:$E6)&lt;20,"",STEYX($E$2:$E$6,$F$2:$F$6))</f>
        <v>0</v>
      </c>
      <c r="BE6">
        <f>IF($E6="","",IF(AND(COUNT($E$7:$E$10)&gt;=4,$C6=MAX($C$2:$C$10)),$C6,""))</f>
        <v>0</v>
      </c>
      <c r="BF6">
        <f>IF($E6="","",IF(AND(COUNT($E$7:$E$10)&gt;=4,$D6=MIN($D$2:$D$10)),$D6,""))</f>
        <v>0</v>
      </c>
      <c r="BG6">
        <f>IFERROR(SMALL(Calc_Daily!$BM$2:$BM$2001,5),"")</f>
        <v>0</v>
      </c>
    </row>
    <row r="7" spans="1:59">
      <c r="A7" s="27">
        <f>IF($BG7="","",INDEX(Calc_Daily!$A$2:$A$2001,$BG7))</f>
        <v>0</v>
      </c>
      <c r="B7">
        <f>IF($BG7="","",INDEX(Calc_Daily!$BJ$2:$BJ$2001,$BG7))</f>
        <v>0</v>
      </c>
      <c r="C7">
        <f>IF($BG7="","",INDEX(Calc_Daily!$BK$2:$BK$2001,$BG7))</f>
        <v>0</v>
      </c>
      <c r="D7">
        <f>IF($BG7="","",INDEX(Calc_Daily!$BL$2:$BL$2001,$BG7))</f>
        <v>0</v>
      </c>
      <c r="E7">
        <f>IF($BG7="","",INDEX(Calc_Daily!$E$2:$E$2001,$BG7))</f>
        <v>0</v>
      </c>
      <c r="F7">
        <f>IF($E7="","",N(F6)+1)</f>
        <v>0</v>
      </c>
      <c r="G7">
        <f>IF(OR($E7="",$E6=""),"",LN($E7/$E6))</f>
        <v>0</v>
      </c>
      <c r="H7">
        <f>IF($E7="","",IF($E6="",$E7,$E7*0.0952380952+H6*0.9047619048))</f>
        <v>0</v>
      </c>
      <c r="I7">
        <f>IF($E7="","",IF($E6="",$E7,$E7*0.0392156863+I6*0.9607843137))</f>
        <v>0</v>
      </c>
      <c r="J7">
        <f>IF($E7="","",IF($E6="",$E7,$E7*0.0198019802+J6*0.9801980198))</f>
        <v>0</v>
      </c>
      <c r="K7">
        <f>IF($E7="","",IF($E6="",$E7,$E7*0.0099502488+K6*0.9900497512))</f>
        <v>0</v>
      </c>
      <c r="L7">
        <f>IF(OR($E7="",$E6=""),"",MAX($E7-$E6,0))</f>
        <v>0</v>
      </c>
      <c r="M7">
        <f>IF(OR($E7="",$E6=""),"",MAX($E6-$E7,0))</f>
        <v>0</v>
      </c>
      <c r="N7">
        <f>IF(COUNT($E$2:$E7)&lt;15,"",IF(AVERAGE($M$2:$M$7)=0,100,100-100/(1+AVERAGE($L$2:$L$7)/AVERAGE($M$2:$M$7))))</f>
        <v>0</v>
      </c>
      <c r="O7">
        <f>IF($E7="","",IF($E6="",$E7,$E7*0.1538461538+O6*0.8461538462))</f>
        <v>0</v>
      </c>
      <c r="P7">
        <f>IF($E7="","",IF($E6="",$E7,$E7*0.0740740741+P6*0.9259259259))</f>
        <v>0</v>
      </c>
      <c r="Q7">
        <f>IF(OR(O7="",P7=""),"",O7-P7)</f>
        <v>0</v>
      </c>
      <c r="R7">
        <f>IF(Q7="","",IF(R6="",Q7,Q7*0.2000000000+R6*0.8000000000))</f>
        <v>0</v>
      </c>
      <c r="S7">
        <f>IF(OR(Q7="",R7=""),"",Q7-R7)</f>
        <v>0</v>
      </c>
      <c r="T7">
        <f>IF(COUNT($E$2:$E7)&lt;14,"",MAX($C$2:$C$7))</f>
        <v>0</v>
      </c>
      <c r="U7">
        <f>IF(COUNT($E$2:$E7)&lt;14,"",MIN($D$2:$D$7))</f>
        <v>0</v>
      </c>
      <c r="V7">
        <f>IF(OR(T7="",U7="",T7=U7),"",100*($E7-U7)/(T7-U7))</f>
        <v>0</v>
      </c>
      <c r="W7">
        <f>IF(COUNT($V$5:$V$7)&lt;3,"",AVERAGE($V$5:$V$7))</f>
        <v>0</v>
      </c>
      <c r="X7">
        <f>IF(COUNT($N$2:$N$7)&lt;14,"",MIN($N$2:$N$7))</f>
        <v>0</v>
      </c>
      <c r="Y7">
        <f>IF(COUNT($N$2:$N$7)&lt;14,"",MAX($N$2:$N$7))</f>
        <v>0</v>
      </c>
      <c r="Z7">
        <f>IF(OR(N7="",X7="",Y7="",Y7=X7),"",100*(N7-X7)/(Y7-X7))</f>
        <v>0</v>
      </c>
      <c r="AA7">
        <f>IF(COUNT($Z$5:$Z$7)&lt;3,"",AVERAGE($Z$5:$Z$7))</f>
        <v>0</v>
      </c>
      <c r="AB7">
        <f>IF(COUNT($AA$5:$AA$7)&lt;3,"",AVERAGE($AA$5:$AA$7))</f>
        <v>0</v>
      </c>
      <c r="AC7">
        <f>IF($E7="","",MAX($C7-$D7,ABS($C7-$E6),ABS($D7-$E6)))</f>
        <v>0</v>
      </c>
      <c r="AD7">
        <f>IF(COUNT($E$2:$E7)&lt;15,"",AVERAGE($AC$2:$AC$7))</f>
        <v>0</v>
      </c>
      <c r="AE7">
        <f>IF(OR($E7="",$E6=""),"",IF(AND(($C7-$C6)&gt;($D6-$D7),($C7-$C6)&gt;0),$C7-$C6,0))</f>
        <v>0</v>
      </c>
      <c r="AF7">
        <f>IF(OR($E7="",$E6=""),"",IF(AND(($D6-$D7)&gt;($C7-$C6),($D6-$D7)&gt;0),$D6-$D7,0))</f>
        <v>0</v>
      </c>
      <c r="AG7">
        <f>IF(COUNT($E$2:$E7)&lt;15,"",IF(SUM($AC$2:$AC$7)=0,0,100*SUM($AE$2:$AE$7)/SUM($AC$2:$AC$7)))</f>
        <v>0</v>
      </c>
      <c r="AH7">
        <f>IF(COUNT($E$2:$E7)&lt;15,"",IF(SUM($AC$2:$AC$7)=0,0,100*SUM($AF$2:$AF$7)/SUM($AC$2:$AC$7)))</f>
        <v>0</v>
      </c>
      <c r="AI7">
        <f>IF(OR(AG7="",AH7=""),"",IF((AG7+AH7)=0,0,100*ABS(AG7-AH7)/(AG7+AH7)))</f>
        <v>0</v>
      </c>
      <c r="AJ7">
        <f>IF(COUNT($AI$2:$AI$7)&lt;14,"",AVERAGE($AI$2:$AI$7))</f>
        <v>0</v>
      </c>
      <c r="AK7">
        <f>IF(COUNT($E$2:$E7)&lt;20,"",AVERAGE($E$2:$E$7))</f>
        <v>0</v>
      </c>
      <c r="AL7">
        <f>IF(COUNT($E$2:$E7)&lt;20,"",STDEVP($E$2:$E$7))</f>
        <v>0</v>
      </c>
      <c r="AM7">
        <f>IF(AK7="","",AK7+2*AL7)</f>
        <v>0</v>
      </c>
      <c r="AN7">
        <f>IF(AK7="","",AK7-2*AL7)</f>
        <v>0</v>
      </c>
      <c r="AO7">
        <f>IF(OR(AM7="",AN7="",AM7=AN7),"",($E7-AN7)/(AM7-AN7))</f>
        <v>0</v>
      </c>
      <c r="AP7">
        <f>IF(OR(AM7="",AK7="",AK7=0),"",(AM7-AN7)/AK7)</f>
        <v>0</v>
      </c>
      <c r="AQ7">
        <f>IF(COUNT($E$2:$E7)&lt;20,"",MAX($C$2:$C$7))</f>
        <v>0</v>
      </c>
      <c r="AR7">
        <f>IF(COUNT($E$2:$E7)&lt;20,"",MIN($D$2:$D$7))</f>
        <v>0</v>
      </c>
      <c r="AS7">
        <f>IF(OR(AQ7="",AR7=""),"",(AQ7+AR7)/2)</f>
        <v>0</v>
      </c>
      <c r="AT7">
        <f>IF(COUNT($G$2:$G$7)&lt;20,"",STDEV($G$2:$G$7)*SQRT(52))</f>
        <v>0</v>
      </c>
      <c r="AU7">
        <f>IF(COUNT($E$2:$E7)&lt;9,"",(MAX($C$2:$C$7)+MIN($D$2:$D$7))/2)</f>
        <v>0</v>
      </c>
      <c r="AV7">
        <f>IF(COUNT($E$2:$E7)&lt;26,"",(MAX($C$2:$C$7)+MIN($D$2:$D$7))/2)</f>
        <v>0</v>
      </c>
      <c r="AW7">
        <f>IF(OR(AU7="",AV7=""),"",(AU7+AV7)/2)</f>
        <v>0</v>
      </c>
      <c r="AX7">
        <f>IF(COUNT($E$2:$E7)&lt;52,"",(MAX($C$2:$C$7)+MIN($D$2:$D$7))/2)</f>
        <v>0</v>
      </c>
      <c r="AY7">
        <f>IF(COUNT($E$2:$E7)&lt;20,"",MAX($C$2:$C$7))</f>
        <v>0</v>
      </c>
      <c r="AZ7">
        <f>IF(COUNT($E$2:$E7)&lt;20,"",MIN($D$2:$D$7))</f>
        <v>0</v>
      </c>
      <c r="BA7">
        <f>IF(COUNT($E$2:$E7)&lt;20,"",SLOPE($E$2:$E$7,$F$2:$F$7))</f>
        <v>0</v>
      </c>
      <c r="BB7">
        <f>IF(COUNT($E$2:$E7)&lt;20,"",INTERCEPT($E$2:$E$7,$F$2:$F$7))</f>
        <v>0</v>
      </c>
      <c r="BC7">
        <f>IF(OR(BA7="",BB7=""),"",BB7+BA7*F7)</f>
        <v>0</v>
      </c>
      <c r="BD7">
        <f>IF(COUNT($E$2:$E7)&lt;20,"",STEYX($E$2:$E$7,$F$2:$F$7))</f>
        <v>0</v>
      </c>
      <c r="BE7">
        <f>IF($E7="","",IF(AND(COUNT($E$8:$E$11)&gt;=4,$C7=MAX($C$3:$C$11)),$C7,""))</f>
        <v>0</v>
      </c>
      <c r="BF7">
        <f>IF($E7="","",IF(AND(COUNT($E$8:$E$11)&gt;=4,$D7=MIN($D$3:$D$11)),$D7,""))</f>
        <v>0</v>
      </c>
      <c r="BG7">
        <f>IFERROR(SMALL(Calc_Daily!$BM$2:$BM$2001,6),"")</f>
        <v>0</v>
      </c>
    </row>
    <row r="8" spans="1:59">
      <c r="A8" s="27">
        <f>IF($BG8="","",INDEX(Calc_Daily!$A$2:$A$2001,$BG8))</f>
        <v>0</v>
      </c>
      <c r="B8">
        <f>IF($BG8="","",INDEX(Calc_Daily!$BJ$2:$BJ$2001,$BG8))</f>
        <v>0</v>
      </c>
      <c r="C8">
        <f>IF($BG8="","",INDEX(Calc_Daily!$BK$2:$BK$2001,$BG8))</f>
        <v>0</v>
      </c>
      <c r="D8">
        <f>IF($BG8="","",INDEX(Calc_Daily!$BL$2:$BL$2001,$BG8))</f>
        <v>0</v>
      </c>
      <c r="E8">
        <f>IF($BG8="","",INDEX(Calc_Daily!$E$2:$E$2001,$BG8))</f>
        <v>0</v>
      </c>
      <c r="F8">
        <f>IF($E8="","",N(F7)+1)</f>
        <v>0</v>
      </c>
      <c r="G8">
        <f>IF(OR($E8="",$E7=""),"",LN($E8/$E7))</f>
        <v>0</v>
      </c>
      <c r="H8">
        <f>IF($E8="","",IF($E7="",$E8,$E8*0.0952380952+H7*0.9047619048))</f>
        <v>0</v>
      </c>
      <c r="I8">
        <f>IF($E8="","",IF($E7="",$E8,$E8*0.0392156863+I7*0.9607843137))</f>
        <v>0</v>
      </c>
      <c r="J8">
        <f>IF($E8="","",IF($E7="",$E8,$E8*0.0198019802+J7*0.9801980198))</f>
        <v>0</v>
      </c>
      <c r="K8">
        <f>IF($E8="","",IF($E7="",$E8,$E8*0.0099502488+K7*0.9900497512))</f>
        <v>0</v>
      </c>
      <c r="L8">
        <f>IF(OR($E8="",$E7=""),"",MAX($E8-$E7,0))</f>
        <v>0</v>
      </c>
      <c r="M8">
        <f>IF(OR($E8="",$E7=""),"",MAX($E7-$E8,0))</f>
        <v>0</v>
      </c>
      <c r="N8">
        <f>IF(COUNT($E$2:$E8)&lt;15,"",IF(AVERAGE($M$2:$M$8)=0,100,100-100/(1+AVERAGE($L$2:$L$8)/AVERAGE($M$2:$M$8))))</f>
        <v>0</v>
      </c>
      <c r="O8">
        <f>IF($E8="","",IF($E7="",$E8,$E8*0.1538461538+O7*0.8461538462))</f>
        <v>0</v>
      </c>
      <c r="P8">
        <f>IF($E8="","",IF($E7="",$E8,$E8*0.0740740741+P7*0.9259259259))</f>
        <v>0</v>
      </c>
      <c r="Q8">
        <f>IF(OR(O8="",P8=""),"",O8-P8)</f>
        <v>0</v>
      </c>
      <c r="R8">
        <f>IF(Q8="","",IF(R7="",Q8,Q8*0.2000000000+R7*0.8000000000))</f>
        <v>0</v>
      </c>
      <c r="S8">
        <f>IF(OR(Q8="",R8=""),"",Q8-R8)</f>
        <v>0</v>
      </c>
      <c r="T8">
        <f>IF(COUNT($E$2:$E8)&lt;14,"",MAX($C$2:$C$8))</f>
        <v>0</v>
      </c>
      <c r="U8">
        <f>IF(COUNT($E$2:$E8)&lt;14,"",MIN($D$2:$D$8))</f>
        <v>0</v>
      </c>
      <c r="V8">
        <f>IF(OR(T8="",U8="",T8=U8),"",100*($E8-U8)/(T8-U8))</f>
        <v>0</v>
      </c>
      <c r="W8">
        <f>IF(COUNT($V$6:$V$8)&lt;3,"",AVERAGE($V$6:$V$8))</f>
        <v>0</v>
      </c>
      <c r="X8">
        <f>IF(COUNT($N$2:$N$8)&lt;14,"",MIN($N$2:$N$8))</f>
        <v>0</v>
      </c>
      <c r="Y8">
        <f>IF(COUNT($N$2:$N$8)&lt;14,"",MAX($N$2:$N$8))</f>
        <v>0</v>
      </c>
      <c r="Z8">
        <f>IF(OR(N8="",X8="",Y8="",Y8=X8),"",100*(N8-X8)/(Y8-X8))</f>
        <v>0</v>
      </c>
      <c r="AA8">
        <f>IF(COUNT($Z$6:$Z$8)&lt;3,"",AVERAGE($Z$6:$Z$8))</f>
        <v>0</v>
      </c>
      <c r="AB8">
        <f>IF(COUNT($AA$6:$AA$8)&lt;3,"",AVERAGE($AA$6:$AA$8))</f>
        <v>0</v>
      </c>
      <c r="AC8">
        <f>IF($E8="","",MAX($C8-$D8,ABS($C8-$E7),ABS($D8-$E7)))</f>
        <v>0</v>
      </c>
      <c r="AD8">
        <f>IF(COUNT($E$2:$E8)&lt;15,"",AVERAGE($AC$2:$AC$8))</f>
        <v>0</v>
      </c>
      <c r="AE8">
        <f>IF(OR($E8="",$E7=""),"",IF(AND(($C8-$C7)&gt;($D7-$D8),($C8-$C7)&gt;0),$C8-$C7,0))</f>
        <v>0</v>
      </c>
      <c r="AF8">
        <f>IF(OR($E8="",$E7=""),"",IF(AND(($D7-$D8)&gt;($C8-$C7),($D7-$D8)&gt;0),$D7-$D8,0))</f>
        <v>0</v>
      </c>
      <c r="AG8">
        <f>IF(COUNT($E$2:$E8)&lt;15,"",IF(SUM($AC$2:$AC$8)=0,0,100*SUM($AE$2:$AE$8)/SUM($AC$2:$AC$8)))</f>
        <v>0</v>
      </c>
      <c r="AH8">
        <f>IF(COUNT($E$2:$E8)&lt;15,"",IF(SUM($AC$2:$AC$8)=0,0,100*SUM($AF$2:$AF$8)/SUM($AC$2:$AC$8)))</f>
        <v>0</v>
      </c>
      <c r="AI8">
        <f>IF(OR(AG8="",AH8=""),"",IF((AG8+AH8)=0,0,100*ABS(AG8-AH8)/(AG8+AH8)))</f>
        <v>0</v>
      </c>
      <c r="AJ8">
        <f>IF(COUNT($AI$2:$AI$8)&lt;14,"",AVERAGE($AI$2:$AI$8))</f>
        <v>0</v>
      </c>
      <c r="AK8">
        <f>IF(COUNT($E$2:$E8)&lt;20,"",AVERAGE($E$2:$E$8))</f>
        <v>0</v>
      </c>
      <c r="AL8">
        <f>IF(COUNT($E$2:$E8)&lt;20,"",STDEVP($E$2:$E$8))</f>
        <v>0</v>
      </c>
      <c r="AM8">
        <f>IF(AK8="","",AK8+2*AL8)</f>
        <v>0</v>
      </c>
      <c r="AN8">
        <f>IF(AK8="","",AK8-2*AL8)</f>
        <v>0</v>
      </c>
      <c r="AO8">
        <f>IF(OR(AM8="",AN8="",AM8=AN8),"",($E8-AN8)/(AM8-AN8))</f>
        <v>0</v>
      </c>
      <c r="AP8">
        <f>IF(OR(AM8="",AK8="",AK8=0),"",(AM8-AN8)/AK8)</f>
        <v>0</v>
      </c>
      <c r="AQ8">
        <f>IF(COUNT($E$2:$E8)&lt;20,"",MAX($C$2:$C$8))</f>
        <v>0</v>
      </c>
      <c r="AR8">
        <f>IF(COUNT($E$2:$E8)&lt;20,"",MIN($D$2:$D$8))</f>
        <v>0</v>
      </c>
      <c r="AS8">
        <f>IF(OR(AQ8="",AR8=""),"",(AQ8+AR8)/2)</f>
        <v>0</v>
      </c>
      <c r="AT8">
        <f>IF(COUNT($G$2:$G$8)&lt;20,"",STDEV($G$2:$G$8)*SQRT(52))</f>
        <v>0</v>
      </c>
      <c r="AU8">
        <f>IF(COUNT($E$2:$E8)&lt;9,"",(MAX($C$2:$C$8)+MIN($D$2:$D$8))/2)</f>
        <v>0</v>
      </c>
      <c r="AV8">
        <f>IF(COUNT($E$2:$E8)&lt;26,"",(MAX($C$2:$C$8)+MIN($D$2:$D$8))/2)</f>
        <v>0</v>
      </c>
      <c r="AW8">
        <f>IF(OR(AU8="",AV8=""),"",(AU8+AV8)/2)</f>
        <v>0</v>
      </c>
      <c r="AX8">
        <f>IF(COUNT($E$2:$E8)&lt;52,"",(MAX($C$2:$C$8)+MIN($D$2:$D$8))/2)</f>
        <v>0</v>
      </c>
      <c r="AY8">
        <f>IF(COUNT($E$2:$E8)&lt;20,"",MAX($C$2:$C$8))</f>
        <v>0</v>
      </c>
      <c r="AZ8">
        <f>IF(COUNT($E$2:$E8)&lt;20,"",MIN($D$2:$D$8))</f>
        <v>0</v>
      </c>
      <c r="BA8">
        <f>IF(COUNT($E$2:$E8)&lt;20,"",SLOPE($E$2:$E$8,$F$2:$F$8))</f>
        <v>0</v>
      </c>
      <c r="BB8">
        <f>IF(COUNT($E$2:$E8)&lt;20,"",INTERCEPT($E$2:$E$8,$F$2:$F$8))</f>
        <v>0</v>
      </c>
      <c r="BC8">
        <f>IF(OR(BA8="",BB8=""),"",BB8+BA8*F8)</f>
        <v>0</v>
      </c>
      <c r="BD8">
        <f>IF(COUNT($E$2:$E8)&lt;20,"",STEYX($E$2:$E$8,$F$2:$F$8))</f>
        <v>0</v>
      </c>
      <c r="BE8">
        <f>IF($E8="","",IF(AND(COUNT($E$9:$E$12)&gt;=4,$C8=MAX($C$4:$C$12)),$C8,""))</f>
        <v>0</v>
      </c>
      <c r="BF8">
        <f>IF($E8="","",IF(AND(COUNT($E$9:$E$12)&gt;=4,$D8=MIN($D$4:$D$12)),$D8,""))</f>
        <v>0</v>
      </c>
      <c r="BG8">
        <f>IFERROR(SMALL(Calc_Daily!$BM$2:$BM$2001,7),"")</f>
        <v>0</v>
      </c>
    </row>
    <row r="9" spans="1:59">
      <c r="A9" s="27">
        <f>IF($BG9="","",INDEX(Calc_Daily!$A$2:$A$2001,$BG9))</f>
        <v>0</v>
      </c>
      <c r="B9">
        <f>IF($BG9="","",INDEX(Calc_Daily!$BJ$2:$BJ$2001,$BG9))</f>
        <v>0</v>
      </c>
      <c r="C9">
        <f>IF($BG9="","",INDEX(Calc_Daily!$BK$2:$BK$2001,$BG9))</f>
        <v>0</v>
      </c>
      <c r="D9">
        <f>IF($BG9="","",INDEX(Calc_Daily!$BL$2:$BL$2001,$BG9))</f>
        <v>0</v>
      </c>
      <c r="E9">
        <f>IF($BG9="","",INDEX(Calc_Daily!$E$2:$E$2001,$BG9))</f>
        <v>0</v>
      </c>
      <c r="F9">
        <f>IF($E9="","",N(F8)+1)</f>
        <v>0</v>
      </c>
      <c r="G9">
        <f>IF(OR($E9="",$E8=""),"",LN($E9/$E8))</f>
        <v>0</v>
      </c>
      <c r="H9">
        <f>IF($E9="","",IF($E8="",$E9,$E9*0.0952380952+H8*0.9047619048))</f>
        <v>0</v>
      </c>
      <c r="I9">
        <f>IF($E9="","",IF($E8="",$E9,$E9*0.0392156863+I8*0.9607843137))</f>
        <v>0</v>
      </c>
      <c r="J9">
        <f>IF($E9="","",IF($E8="",$E9,$E9*0.0198019802+J8*0.9801980198))</f>
        <v>0</v>
      </c>
      <c r="K9">
        <f>IF($E9="","",IF($E8="",$E9,$E9*0.0099502488+K8*0.9900497512))</f>
        <v>0</v>
      </c>
      <c r="L9">
        <f>IF(OR($E9="",$E8=""),"",MAX($E9-$E8,0))</f>
        <v>0</v>
      </c>
      <c r="M9">
        <f>IF(OR($E9="",$E8=""),"",MAX($E8-$E9,0))</f>
        <v>0</v>
      </c>
      <c r="N9">
        <f>IF(COUNT($E$2:$E9)&lt;15,"",IF(AVERAGE($M$2:$M$9)=0,100,100-100/(1+AVERAGE($L$2:$L$9)/AVERAGE($M$2:$M$9))))</f>
        <v>0</v>
      </c>
      <c r="O9">
        <f>IF($E9="","",IF($E8="",$E9,$E9*0.1538461538+O8*0.8461538462))</f>
        <v>0</v>
      </c>
      <c r="P9">
        <f>IF($E9="","",IF($E8="",$E9,$E9*0.0740740741+P8*0.9259259259))</f>
        <v>0</v>
      </c>
      <c r="Q9">
        <f>IF(OR(O9="",P9=""),"",O9-P9)</f>
        <v>0</v>
      </c>
      <c r="R9">
        <f>IF(Q9="","",IF(R8="",Q9,Q9*0.2000000000+R8*0.8000000000))</f>
        <v>0</v>
      </c>
      <c r="S9">
        <f>IF(OR(Q9="",R9=""),"",Q9-R9)</f>
        <v>0</v>
      </c>
      <c r="T9">
        <f>IF(COUNT($E$2:$E9)&lt;14,"",MAX($C$2:$C$9))</f>
        <v>0</v>
      </c>
      <c r="U9">
        <f>IF(COUNT($E$2:$E9)&lt;14,"",MIN($D$2:$D$9))</f>
        <v>0</v>
      </c>
      <c r="V9">
        <f>IF(OR(T9="",U9="",T9=U9),"",100*($E9-U9)/(T9-U9))</f>
        <v>0</v>
      </c>
      <c r="W9">
        <f>IF(COUNT($V$7:$V$9)&lt;3,"",AVERAGE($V$7:$V$9))</f>
        <v>0</v>
      </c>
      <c r="X9">
        <f>IF(COUNT($N$2:$N$9)&lt;14,"",MIN($N$2:$N$9))</f>
        <v>0</v>
      </c>
      <c r="Y9">
        <f>IF(COUNT($N$2:$N$9)&lt;14,"",MAX($N$2:$N$9))</f>
        <v>0</v>
      </c>
      <c r="Z9">
        <f>IF(OR(N9="",X9="",Y9="",Y9=X9),"",100*(N9-X9)/(Y9-X9))</f>
        <v>0</v>
      </c>
      <c r="AA9">
        <f>IF(COUNT($Z$7:$Z$9)&lt;3,"",AVERAGE($Z$7:$Z$9))</f>
        <v>0</v>
      </c>
      <c r="AB9">
        <f>IF(COUNT($AA$7:$AA$9)&lt;3,"",AVERAGE($AA$7:$AA$9))</f>
        <v>0</v>
      </c>
      <c r="AC9">
        <f>IF($E9="","",MAX($C9-$D9,ABS($C9-$E8),ABS($D9-$E8)))</f>
        <v>0</v>
      </c>
      <c r="AD9">
        <f>IF(COUNT($E$2:$E9)&lt;15,"",AVERAGE($AC$2:$AC$9))</f>
        <v>0</v>
      </c>
      <c r="AE9">
        <f>IF(OR($E9="",$E8=""),"",IF(AND(($C9-$C8)&gt;($D8-$D9),($C9-$C8)&gt;0),$C9-$C8,0))</f>
        <v>0</v>
      </c>
      <c r="AF9">
        <f>IF(OR($E9="",$E8=""),"",IF(AND(($D8-$D9)&gt;($C9-$C8),($D8-$D9)&gt;0),$D8-$D9,0))</f>
        <v>0</v>
      </c>
      <c r="AG9">
        <f>IF(COUNT($E$2:$E9)&lt;15,"",IF(SUM($AC$2:$AC$9)=0,0,100*SUM($AE$2:$AE$9)/SUM($AC$2:$AC$9)))</f>
        <v>0</v>
      </c>
      <c r="AH9">
        <f>IF(COUNT($E$2:$E9)&lt;15,"",IF(SUM($AC$2:$AC$9)=0,0,100*SUM($AF$2:$AF$9)/SUM($AC$2:$AC$9)))</f>
        <v>0</v>
      </c>
      <c r="AI9">
        <f>IF(OR(AG9="",AH9=""),"",IF((AG9+AH9)=0,0,100*ABS(AG9-AH9)/(AG9+AH9)))</f>
        <v>0</v>
      </c>
      <c r="AJ9">
        <f>IF(COUNT($AI$2:$AI$9)&lt;14,"",AVERAGE($AI$2:$AI$9))</f>
        <v>0</v>
      </c>
      <c r="AK9">
        <f>IF(COUNT($E$2:$E9)&lt;20,"",AVERAGE($E$2:$E$9))</f>
        <v>0</v>
      </c>
      <c r="AL9">
        <f>IF(COUNT($E$2:$E9)&lt;20,"",STDEVP($E$2:$E$9))</f>
        <v>0</v>
      </c>
      <c r="AM9">
        <f>IF(AK9="","",AK9+2*AL9)</f>
        <v>0</v>
      </c>
      <c r="AN9">
        <f>IF(AK9="","",AK9-2*AL9)</f>
        <v>0</v>
      </c>
      <c r="AO9">
        <f>IF(OR(AM9="",AN9="",AM9=AN9),"",($E9-AN9)/(AM9-AN9))</f>
        <v>0</v>
      </c>
      <c r="AP9">
        <f>IF(OR(AM9="",AK9="",AK9=0),"",(AM9-AN9)/AK9)</f>
        <v>0</v>
      </c>
      <c r="AQ9">
        <f>IF(COUNT($E$2:$E9)&lt;20,"",MAX($C$2:$C$9))</f>
        <v>0</v>
      </c>
      <c r="AR9">
        <f>IF(COUNT($E$2:$E9)&lt;20,"",MIN($D$2:$D$9))</f>
        <v>0</v>
      </c>
      <c r="AS9">
        <f>IF(OR(AQ9="",AR9=""),"",(AQ9+AR9)/2)</f>
        <v>0</v>
      </c>
      <c r="AT9">
        <f>IF(COUNT($G$2:$G$9)&lt;20,"",STDEV($G$2:$G$9)*SQRT(52))</f>
        <v>0</v>
      </c>
      <c r="AU9">
        <f>IF(COUNT($E$2:$E9)&lt;9,"",(MAX($C$2:$C$9)+MIN($D$2:$D$9))/2)</f>
        <v>0</v>
      </c>
      <c r="AV9">
        <f>IF(COUNT($E$2:$E9)&lt;26,"",(MAX($C$2:$C$9)+MIN($D$2:$D$9))/2)</f>
        <v>0</v>
      </c>
      <c r="AW9">
        <f>IF(OR(AU9="",AV9=""),"",(AU9+AV9)/2)</f>
        <v>0</v>
      </c>
      <c r="AX9">
        <f>IF(COUNT($E$2:$E9)&lt;52,"",(MAX($C$2:$C$9)+MIN($D$2:$D$9))/2)</f>
        <v>0</v>
      </c>
      <c r="AY9">
        <f>IF(COUNT($E$2:$E9)&lt;20,"",MAX($C$2:$C$9))</f>
        <v>0</v>
      </c>
      <c r="AZ9">
        <f>IF(COUNT($E$2:$E9)&lt;20,"",MIN($D$2:$D$9))</f>
        <v>0</v>
      </c>
      <c r="BA9">
        <f>IF(COUNT($E$2:$E9)&lt;20,"",SLOPE($E$2:$E$9,$F$2:$F$9))</f>
        <v>0</v>
      </c>
      <c r="BB9">
        <f>IF(COUNT($E$2:$E9)&lt;20,"",INTERCEPT($E$2:$E$9,$F$2:$F$9))</f>
        <v>0</v>
      </c>
      <c r="BC9">
        <f>IF(OR(BA9="",BB9=""),"",BB9+BA9*F9)</f>
        <v>0</v>
      </c>
      <c r="BD9">
        <f>IF(COUNT($E$2:$E9)&lt;20,"",STEYX($E$2:$E$9,$F$2:$F$9))</f>
        <v>0</v>
      </c>
      <c r="BE9">
        <f>IF($E9="","",IF(AND(COUNT($E$10:$E$13)&gt;=4,$C9=MAX($C$5:$C$13)),$C9,""))</f>
        <v>0</v>
      </c>
      <c r="BF9">
        <f>IF($E9="","",IF(AND(COUNT($E$10:$E$13)&gt;=4,$D9=MIN($D$5:$D$13)),$D9,""))</f>
        <v>0</v>
      </c>
      <c r="BG9">
        <f>IFERROR(SMALL(Calc_Daily!$BM$2:$BM$2001,8),"")</f>
        <v>0</v>
      </c>
    </row>
    <row r="10" spans="1:59">
      <c r="A10" s="27">
        <f>IF($BG10="","",INDEX(Calc_Daily!$A$2:$A$2001,$BG10))</f>
        <v>0</v>
      </c>
      <c r="B10">
        <f>IF($BG10="","",INDEX(Calc_Daily!$BJ$2:$BJ$2001,$BG10))</f>
        <v>0</v>
      </c>
      <c r="C10">
        <f>IF($BG10="","",INDEX(Calc_Daily!$BK$2:$BK$2001,$BG10))</f>
        <v>0</v>
      </c>
      <c r="D10">
        <f>IF($BG10="","",INDEX(Calc_Daily!$BL$2:$BL$2001,$BG10))</f>
        <v>0</v>
      </c>
      <c r="E10">
        <f>IF($BG10="","",INDEX(Calc_Daily!$E$2:$E$2001,$BG10))</f>
        <v>0</v>
      </c>
      <c r="F10">
        <f>IF($E10="","",N(F9)+1)</f>
        <v>0</v>
      </c>
      <c r="G10">
        <f>IF(OR($E10="",$E9=""),"",LN($E10/$E9))</f>
        <v>0</v>
      </c>
      <c r="H10">
        <f>IF($E10="","",IF($E9="",$E10,$E10*0.0952380952+H9*0.9047619048))</f>
        <v>0</v>
      </c>
      <c r="I10">
        <f>IF($E10="","",IF($E9="",$E10,$E10*0.0392156863+I9*0.9607843137))</f>
        <v>0</v>
      </c>
      <c r="J10">
        <f>IF($E10="","",IF($E9="",$E10,$E10*0.0198019802+J9*0.9801980198))</f>
        <v>0</v>
      </c>
      <c r="K10">
        <f>IF($E10="","",IF($E9="",$E10,$E10*0.0099502488+K9*0.9900497512))</f>
        <v>0</v>
      </c>
      <c r="L10">
        <f>IF(OR($E10="",$E9=""),"",MAX($E10-$E9,0))</f>
        <v>0</v>
      </c>
      <c r="M10">
        <f>IF(OR($E10="",$E9=""),"",MAX($E9-$E10,0))</f>
        <v>0</v>
      </c>
      <c r="N10">
        <f>IF(COUNT($E$2:$E10)&lt;15,"",IF(AVERAGE($M$2:$M$10)=0,100,100-100/(1+AVERAGE($L$2:$L$10)/AVERAGE($M$2:$M$10))))</f>
        <v>0</v>
      </c>
      <c r="O10">
        <f>IF($E10="","",IF($E9="",$E10,$E10*0.1538461538+O9*0.8461538462))</f>
        <v>0</v>
      </c>
      <c r="P10">
        <f>IF($E10="","",IF($E9="",$E10,$E10*0.0740740741+P9*0.9259259259))</f>
        <v>0</v>
      </c>
      <c r="Q10">
        <f>IF(OR(O10="",P10=""),"",O10-P10)</f>
        <v>0</v>
      </c>
      <c r="R10">
        <f>IF(Q10="","",IF(R9="",Q10,Q10*0.2000000000+R9*0.8000000000))</f>
        <v>0</v>
      </c>
      <c r="S10">
        <f>IF(OR(Q10="",R10=""),"",Q10-R10)</f>
        <v>0</v>
      </c>
      <c r="T10">
        <f>IF(COUNT($E$2:$E10)&lt;14,"",MAX($C$2:$C$10))</f>
        <v>0</v>
      </c>
      <c r="U10">
        <f>IF(COUNT($E$2:$E10)&lt;14,"",MIN($D$2:$D$10))</f>
        <v>0</v>
      </c>
      <c r="V10">
        <f>IF(OR(T10="",U10="",T10=U10),"",100*($E10-U10)/(T10-U10))</f>
        <v>0</v>
      </c>
      <c r="W10">
        <f>IF(COUNT($V$8:$V$10)&lt;3,"",AVERAGE($V$8:$V$10))</f>
        <v>0</v>
      </c>
      <c r="X10">
        <f>IF(COUNT($N$2:$N$10)&lt;14,"",MIN($N$2:$N$10))</f>
        <v>0</v>
      </c>
      <c r="Y10">
        <f>IF(COUNT($N$2:$N$10)&lt;14,"",MAX($N$2:$N$10))</f>
        <v>0</v>
      </c>
      <c r="Z10">
        <f>IF(OR(N10="",X10="",Y10="",Y10=X10),"",100*(N10-X10)/(Y10-X10))</f>
        <v>0</v>
      </c>
      <c r="AA10">
        <f>IF(COUNT($Z$8:$Z$10)&lt;3,"",AVERAGE($Z$8:$Z$10))</f>
        <v>0</v>
      </c>
      <c r="AB10">
        <f>IF(COUNT($AA$8:$AA$10)&lt;3,"",AVERAGE($AA$8:$AA$10))</f>
        <v>0</v>
      </c>
      <c r="AC10">
        <f>IF($E10="","",MAX($C10-$D10,ABS($C10-$E9),ABS($D10-$E9)))</f>
        <v>0</v>
      </c>
      <c r="AD10">
        <f>IF(COUNT($E$2:$E10)&lt;15,"",AVERAGE($AC$2:$AC$10))</f>
        <v>0</v>
      </c>
      <c r="AE10">
        <f>IF(OR($E10="",$E9=""),"",IF(AND(($C10-$C9)&gt;($D9-$D10),($C10-$C9)&gt;0),$C10-$C9,0))</f>
        <v>0</v>
      </c>
      <c r="AF10">
        <f>IF(OR($E10="",$E9=""),"",IF(AND(($D9-$D10)&gt;($C10-$C9),($D9-$D10)&gt;0),$D9-$D10,0))</f>
        <v>0</v>
      </c>
      <c r="AG10">
        <f>IF(COUNT($E$2:$E10)&lt;15,"",IF(SUM($AC$2:$AC$10)=0,0,100*SUM($AE$2:$AE$10)/SUM($AC$2:$AC$10)))</f>
        <v>0</v>
      </c>
      <c r="AH10">
        <f>IF(COUNT($E$2:$E10)&lt;15,"",IF(SUM($AC$2:$AC$10)=0,0,100*SUM($AF$2:$AF$10)/SUM($AC$2:$AC$10)))</f>
        <v>0</v>
      </c>
      <c r="AI10">
        <f>IF(OR(AG10="",AH10=""),"",IF((AG10+AH10)=0,0,100*ABS(AG10-AH10)/(AG10+AH10)))</f>
        <v>0</v>
      </c>
      <c r="AJ10">
        <f>IF(COUNT($AI$2:$AI$10)&lt;14,"",AVERAGE($AI$2:$AI$10))</f>
        <v>0</v>
      </c>
      <c r="AK10">
        <f>IF(COUNT($E$2:$E10)&lt;20,"",AVERAGE($E$2:$E$10))</f>
        <v>0</v>
      </c>
      <c r="AL10">
        <f>IF(COUNT($E$2:$E10)&lt;20,"",STDEVP($E$2:$E$10))</f>
        <v>0</v>
      </c>
      <c r="AM10">
        <f>IF(AK10="","",AK10+2*AL10)</f>
        <v>0</v>
      </c>
      <c r="AN10">
        <f>IF(AK10="","",AK10-2*AL10)</f>
        <v>0</v>
      </c>
      <c r="AO10">
        <f>IF(OR(AM10="",AN10="",AM10=AN10),"",($E10-AN10)/(AM10-AN10))</f>
        <v>0</v>
      </c>
      <c r="AP10">
        <f>IF(OR(AM10="",AK10="",AK10=0),"",(AM10-AN10)/AK10)</f>
        <v>0</v>
      </c>
      <c r="AQ10">
        <f>IF(COUNT($E$2:$E10)&lt;20,"",MAX($C$2:$C$10))</f>
        <v>0</v>
      </c>
      <c r="AR10">
        <f>IF(COUNT($E$2:$E10)&lt;20,"",MIN($D$2:$D$10))</f>
        <v>0</v>
      </c>
      <c r="AS10">
        <f>IF(OR(AQ10="",AR10=""),"",(AQ10+AR10)/2)</f>
        <v>0</v>
      </c>
      <c r="AT10">
        <f>IF(COUNT($G$2:$G$10)&lt;20,"",STDEV($G$2:$G$10)*SQRT(52))</f>
        <v>0</v>
      </c>
      <c r="AU10">
        <f>IF(COUNT($E$2:$E10)&lt;9,"",(MAX($C$2:$C$10)+MIN($D$2:$D$10))/2)</f>
        <v>0</v>
      </c>
      <c r="AV10">
        <f>IF(COUNT($E$2:$E10)&lt;26,"",(MAX($C$2:$C$10)+MIN($D$2:$D$10))/2)</f>
        <v>0</v>
      </c>
      <c r="AW10">
        <f>IF(OR(AU10="",AV10=""),"",(AU10+AV10)/2)</f>
        <v>0</v>
      </c>
      <c r="AX10">
        <f>IF(COUNT($E$2:$E10)&lt;52,"",(MAX($C$2:$C$10)+MIN($D$2:$D$10))/2)</f>
        <v>0</v>
      </c>
      <c r="AY10">
        <f>IF(COUNT($E$2:$E10)&lt;20,"",MAX($C$2:$C$10))</f>
        <v>0</v>
      </c>
      <c r="AZ10">
        <f>IF(COUNT($E$2:$E10)&lt;20,"",MIN($D$2:$D$10))</f>
        <v>0</v>
      </c>
      <c r="BA10">
        <f>IF(COUNT($E$2:$E10)&lt;20,"",SLOPE($E$2:$E$10,$F$2:$F$10))</f>
        <v>0</v>
      </c>
      <c r="BB10">
        <f>IF(COUNT($E$2:$E10)&lt;20,"",INTERCEPT($E$2:$E$10,$F$2:$F$10))</f>
        <v>0</v>
      </c>
      <c r="BC10">
        <f>IF(OR(BA10="",BB10=""),"",BB10+BA10*F10)</f>
        <v>0</v>
      </c>
      <c r="BD10">
        <f>IF(COUNT($E$2:$E10)&lt;20,"",STEYX($E$2:$E$10,$F$2:$F$10))</f>
        <v>0</v>
      </c>
      <c r="BE10">
        <f>IF($E10="","",IF(AND(COUNT($E$11:$E$14)&gt;=4,$C10=MAX($C$6:$C$14)),$C10,""))</f>
        <v>0</v>
      </c>
      <c r="BF10">
        <f>IF($E10="","",IF(AND(COUNT($E$11:$E$14)&gt;=4,$D10=MIN($D$6:$D$14)),$D10,""))</f>
        <v>0</v>
      </c>
      <c r="BG10">
        <f>IFERROR(SMALL(Calc_Daily!$BM$2:$BM$2001,9),"")</f>
        <v>0</v>
      </c>
    </row>
    <row r="11" spans="1:59">
      <c r="A11" s="27">
        <f>IF($BG11="","",INDEX(Calc_Daily!$A$2:$A$2001,$BG11))</f>
        <v>0</v>
      </c>
      <c r="B11">
        <f>IF($BG11="","",INDEX(Calc_Daily!$BJ$2:$BJ$2001,$BG11))</f>
        <v>0</v>
      </c>
      <c r="C11">
        <f>IF($BG11="","",INDEX(Calc_Daily!$BK$2:$BK$2001,$BG11))</f>
        <v>0</v>
      </c>
      <c r="D11">
        <f>IF($BG11="","",INDEX(Calc_Daily!$BL$2:$BL$2001,$BG11))</f>
        <v>0</v>
      </c>
      <c r="E11">
        <f>IF($BG11="","",INDEX(Calc_Daily!$E$2:$E$2001,$BG11))</f>
        <v>0</v>
      </c>
      <c r="F11">
        <f>IF($E11="","",N(F10)+1)</f>
        <v>0</v>
      </c>
      <c r="G11">
        <f>IF(OR($E11="",$E10=""),"",LN($E11/$E10))</f>
        <v>0</v>
      </c>
      <c r="H11">
        <f>IF($E11="","",IF($E10="",$E11,$E11*0.0952380952+H10*0.9047619048))</f>
        <v>0</v>
      </c>
      <c r="I11">
        <f>IF($E11="","",IF($E10="",$E11,$E11*0.0392156863+I10*0.9607843137))</f>
        <v>0</v>
      </c>
      <c r="J11">
        <f>IF($E11="","",IF($E10="",$E11,$E11*0.0198019802+J10*0.9801980198))</f>
        <v>0</v>
      </c>
      <c r="K11">
        <f>IF($E11="","",IF($E10="",$E11,$E11*0.0099502488+K10*0.9900497512))</f>
        <v>0</v>
      </c>
      <c r="L11">
        <f>IF(OR($E11="",$E10=""),"",MAX($E11-$E10,0))</f>
        <v>0</v>
      </c>
      <c r="M11">
        <f>IF(OR($E11="",$E10=""),"",MAX($E10-$E11,0))</f>
        <v>0</v>
      </c>
      <c r="N11">
        <f>IF(COUNT($E$2:$E11)&lt;15,"",IF(AVERAGE($M$2:$M$11)=0,100,100-100/(1+AVERAGE($L$2:$L$11)/AVERAGE($M$2:$M$11))))</f>
        <v>0</v>
      </c>
      <c r="O11">
        <f>IF($E11="","",IF($E10="",$E11,$E11*0.1538461538+O10*0.8461538462))</f>
        <v>0</v>
      </c>
      <c r="P11">
        <f>IF($E11="","",IF($E10="",$E11,$E11*0.0740740741+P10*0.9259259259))</f>
        <v>0</v>
      </c>
      <c r="Q11">
        <f>IF(OR(O11="",P11=""),"",O11-P11)</f>
        <v>0</v>
      </c>
      <c r="R11">
        <f>IF(Q11="","",IF(R10="",Q11,Q11*0.2000000000+R10*0.8000000000))</f>
        <v>0</v>
      </c>
      <c r="S11">
        <f>IF(OR(Q11="",R11=""),"",Q11-R11)</f>
        <v>0</v>
      </c>
      <c r="T11">
        <f>IF(COUNT($E$2:$E11)&lt;14,"",MAX($C$2:$C$11))</f>
        <v>0</v>
      </c>
      <c r="U11">
        <f>IF(COUNT($E$2:$E11)&lt;14,"",MIN($D$2:$D$11))</f>
        <v>0</v>
      </c>
      <c r="V11">
        <f>IF(OR(T11="",U11="",T11=U11),"",100*($E11-U11)/(T11-U11))</f>
        <v>0</v>
      </c>
      <c r="W11">
        <f>IF(COUNT($V$9:$V$11)&lt;3,"",AVERAGE($V$9:$V$11))</f>
        <v>0</v>
      </c>
      <c r="X11">
        <f>IF(COUNT($N$2:$N$11)&lt;14,"",MIN($N$2:$N$11))</f>
        <v>0</v>
      </c>
      <c r="Y11">
        <f>IF(COUNT($N$2:$N$11)&lt;14,"",MAX($N$2:$N$11))</f>
        <v>0</v>
      </c>
      <c r="Z11">
        <f>IF(OR(N11="",X11="",Y11="",Y11=X11),"",100*(N11-X11)/(Y11-X11))</f>
        <v>0</v>
      </c>
      <c r="AA11">
        <f>IF(COUNT($Z$9:$Z$11)&lt;3,"",AVERAGE($Z$9:$Z$11))</f>
        <v>0</v>
      </c>
      <c r="AB11">
        <f>IF(COUNT($AA$9:$AA$11)&lt;3,"",AVERAGE($AA$9:$AA$11))</f>
        <v>0</v>
      </c>
      <c r="AC11">
        <f>IF($E11="","",MAX($C11-$D11,ABS($C11-$E10),ABS($D11-$E10)))</f>
        <v>0</v>
      </c>
      <c r="AD11">
        <f>IF(COUNT($E$2:$E11)&lt;15,"",AVERAGE($AC$2:$AC$11))</f>
        <v>0</v>
      </c>
      <c r="AE11">
        <f>IF(OR($E11="",$E10=""),"",IF(AND(($C11-$C10)&gt;($D10-$D11),($C11-$C10)&gt;0),$C11-$C10,0))</f>
        <v>0</v>
      </c>
      <c r="AF11">
        <f>IF(OR($E11="",$E10=""),"",IF(AND(($D10-$D11)&gt;($C11-$C10),($D10-$D11)&gt;0),$D10-$D11,0))</f>
        <v>0</v>
      </c>
      <c r="AG11">
        <f>IF(COUNT($E$2:$E11)&lt;15,"",IF(SUM($AC$2:$AC$11)=0,0,100*SUM($AE$2:$AE$11)/SUM($AC$2:$AC$11)))</f>
        <v>0</v>
      </c>
      <c r="AH11">
        <f>IF(COUNT($E$2:$E11)&lt;15,"",IF(SUM($AC$2:$AC$11)=0,0,100*SUM($AF$2:$AF$11)/SUM($AC$2:$AC$11)))</f>
        <v>0</v>
      </c>
      <c r="AI11">
        <f>IF(OR(AG11="",AH11=""),"",IF((AG11+AH11)=0,0,100*ABS(AG11-AH11)/(AG11+AH11)))</f>
        <v>0</v>
      </c>
      <c r="AJ11">
        <f>IF(COUNT($AI$2:$AI$11)&lt;14,"",AVERAGE($AI$2:$AI$11))</f>
        <v>0</v>
      </c>
      <c r="AK11">
        <f>IF(COUNT($E$2:$E11)&lt;20,"",AVERAGE($E$2:$E$11))</f>
        <v>0</v>
      </c>
      <c r="AL11">
        <f>IF(COUNT($E$2:$E11)&lt;20,"",STDEVP($E$2:$E$11))</f>
        <v>0</v>
      </c>
      <c r="AM11">
        <f>IF(AK11="","",AK11+2*AL11)</f>
        <v>0</v>
      </c>
      <c r="AN11">
        <f>IF(AK11="","",AK11-2*AL11)</f>
        <v>0</v>
      </c>
      <c r="AO11">
        <f>IF(OR(AM11="",AN11="",AM11=AN11),"",($E11-AN11)/(AM11-AN11))</f>
        <v>0</v>
      </c>
      <c r="AP11">
        <f>IF(OR(AM11="",AK11="",AK11=0),"",(AM11-AN11)/AK11)</f>
        <v>0</v>
      </c>
      <c r="AQ11">
        <f>IF(COUNT($E$2:$E11)&lt;20,"",MAX($C$2:$C$11))</f>
        <v>0</v>
      </c>
      <c r="AR11">
        <f>IF(COUNT($E$2:$E11)&lt;20,"",MIN($D$2:$D$11))</f>
        <v>0</v>
      </c>
      <c r="AS11">
        <f>IF(OR(AQ11="",AR11=""),"",(AQ11+AR11)/2)</f>
        <v>0</v>
      </c>
      <c r="AT11">
        <f>IF(COUNT($G$2:$G$11)&lt;20,"",STDEV($G$2:$G$11)*SQRT(52))</f>
        <v>0</v>
      </c>
      <c r="AU11">
        <f>IF(COUNT($E$2:$E11)&lt;9,"",(MAX($C$3:$C$11)+MIN($D$3:$D$11))/2)</f>
        <v>0</v>
      </c>
      <c r="AV11">
        <f>IF(COUNT($E$2:$E11)&lt;26,"",(MAX($C$2:$C$11)+MIN($D$2:$D$11))/2)</f>
        <v>0</v>
      </c>
      <c r="AW11">
        <f>IF(OR(AU11="",AV11=""),"",(AU11+AV11)/2)</f>
        <v>0</v>
      </c>
      <c r="AX11">
        <f>IF(COUNT($E$2:$E11)&lt;52,"",(MAX($C$2:$C$11)+MIN($D$2:$D$11))/2)</f>
        <v>0</v>
      </c>
      <c r="AY11">
        <f>IF(COUNT($E$2:$E11)&lt;20,"",MAX($C$2:$C$11))</f>
        <v>0</v>
      </c>
      <c r="AZ11">
        <f>IF(COUNT($E$2:$E11)&lt;20,"",MIN($D$2:$D$11))</f>
        <v>0</v>
      </c>
      <c r="BA11">
        <f>IF(COUNT($E$2:$E11)&lt;20,"",SLOPE($E$2:$E$11,$F$2:$F$11))</f>
        <v>0</v>
      </c>
      <c r="BB11">
        <f>IF(COUNT($E$2:$E11)&lt;20,"",INTERCEPT($E$2:$E$11,$F$2:$F$11))</f>
        <v>0</v>
      </c>
      <c r="BC11">
        <f>IF(OR(BA11="",BB11=""),"",BB11+BA11*F11)</f>
        <v>0</v>
      </c>
      <c r="BD11">
        <f>IF(COUNT($E$2:$E11)&lt;20,"",STEYX($E$2:$E$11,$F$2:$F$11))</f>
        <v>0</v>
      </c>
      <c r="BE11">
        <f>IF($E11="","",IF(AND(COUNT($E$12:$E$15)&gt;=4,$C11=MAX($C$7:$C$15)),$C11,""))</f>
        <v>0</v>
      </c>
      <c r="BF11">
        <f>IF($E11="","",IF(AND(COUNT($E$12:$E$15)&gt;=4,$D11=MIN($D$7:$D$15)),$D11,""))</f>
        <v>0</v>
      </c>
      <c r="BG11">
        <f>IFERROR(SMALL(Calc_Daily!$BM$2:$BM$2001,10),"")</f>
        <v>0</v>
      </c>
    </row>
    <row r="12" spans="1:59">
      <c r="A12" s="27">
        <f>IF($BG12="","",INDEX(Calc_Daily!$A$2:$A$2001,$BG12))</f>
        <v>0</v>
      </c>
      <c r="B12">
        <f>IF($BG12="","",INDEX(Calc_Daily!$BJ$2:$BJ$2001,$BG12))</f>
        <v>0</v>
      </c>
      <c r="C12">
        <f>IF($BG12="","",INDEX(Calc_Daily!$BK$2:$BK$2001,$BG12))</f>
        <v>0</v>
      </c>
      <c r="D12">
        <f>IF($BG12="","",INDEX(Calc_Daily!$BL$2:$BL$2001,$BG12))</f>
        <v>0</v>
      </c>
      <c r="E12">
        <f>IF($BG12="","",INDEX(Calc_Daily!$E$2:$E$2001,$BG12))</f>
        <v>0</v>
      </c>
      <c r="F12">
        <f>IF($E12="","",N(F11)+1)</f>
        <v>0</v>
      </c>
      <c r="G12">
        <f>IF(OR($E12="",$E11=""),"",LN($E12/$E11))</f>
        <v>0</v>
      </c>
      <c r="H12">
        <f>IF($E12="","",IF($E11="",$E12,$E12*0.0952380952+H11*0.9047619048))</f>
        <v>0</v>
      </c>
      <c r="I12">
        <f>IF($E12="","",IF($E11="",$E12,$E12*0.0392156863+I11*0.9607843137))</f>
        <v>0</v>
      </c>
      <c r="J12">
        <f>IF($E12="","",IF($E11="",$E12,$E12*0.0198019802+J11*0.9801980198))</f>
        <v>0</v>
      </c>
      <c r="K12">
        <f>IF($E12="","",IF($E11="",$E12,$E12*0.0099502488+K11*0.9900497512))</f>
        <v>0</v>
      </c>
      <c r="L12">
        <f>IF(OR($E12="",$E11=""),"",MAX($E12-$E11,0))</f>
        <v>0</v>
      </c>
      <c r="M12">
        <f>IF(OR($E12="",$E11=""),"",MAX($E11-$E12,0))</f>
        <v>0</v>
      </c>
      <c r="N12">
        <f>IF(COUNT($E$2:$E12)&lt;15,"",IF(AVERAGE($M$2:$M$12)=0,100,100-100/(1+AVERAGE($L$2:$L$12)/AVERAGE($M$2:$M$12))))</f>
        <v>0</v>
      </c>
      <c r="O12">
        <f>IF($E12="","",IF($E11="",$E12,$E12*0.1538461538+O11*0.8461538462))</f>
        <v>0</v>
      </c>
      <c r="P12">
        <f>IF($E12="","",IF($E11="",$E12,$E12*0.0740740741+P11*0.9259259259))</f>
        <v>0</v>
      </c>
      <c r="Q12">
        <f>IF(OR(O12="",P12=""),"",O12-P12)</f>
        <v>0</v>
      </c>
      <c r="R12">
        <f>IF(Q12="","",IF(R11="",Q12,Q12*0.2000000000+R11*0.8000000000))</f>
        <v>0</v>
      </c>
      <c r="S12">
        <f>IF(OR(Q12="",R12=""),"",Q12-R12)</f>
        <v>0</v>
      </c>
      <c r="T12">
        <f>IF(COUNT($E$2:$E12)&lt;14,"",MAX($C$2:$C$12))</f>
        <v>0</v>
      </c>
      <c r="U12">
        <f>IF(COUNT($E$2:$E12)&lt;14,"",MIN($D$2:$D$12))</f>
        <v>0</v>
      </c>
      <c r="V12">
        <f>IF(OR(T12="",U12="",T12=U12),"",100*($E12-U12)/(T12-U12))</f>
        <v>0</v>
      </c>
      <c r="W12">
        <f>IF(COUNT($V$10:$V$12)&lt;3,"",AVERAGE($V$10:$V$12))</f>
        <v>0</v>
      </c>
      <c r="X12">
        <f>IF(COUNT($N$2:$N$12)&lt;14,"",MIN($N$2:$N$12))</f>
        <v>0</v>
      </c>
      <c r="Y12">
        <f>IF(COUNT($N$2:$N$12)&lt;14,"",MAX($N$2:$N$12))</f>
        <v>0</v>
      </c>
      <c r="Z12">
        <f>IF(OR(N12="",X12="",Y12="",Y12=X12),"",100*(N12-X12)/(Y12-X12))</f>
        <v>0</v>
      </c>
      <c r="AA12">
        <f>IF(COUNT($Z$10:$Z$12)&lt;3,"",AVERAGE($Z$10:$Z$12))</f>
        <v>0</v>
      </c>
      <c r="AB12">
        <f>IF(COUNT($AA$10:$AA$12)&lt;3,"",AVERAGE($AA$10:$AA$12))</f>
        <v>0</v>
      </c>
      <c r="AC12">
        <f>IF($E12="","",MAX($C12-$D12,ABS($C12-$E11),ABS($D12-$E11)))</f>
        <v>0</v>
      </c>
      <c r="AD12">
        <f>IF(COUNT($E$2:$E12)&lt;15,"",AVERAGE($AC$2:$AC$12))</f>
        <v>0</v>
      </c>
      <c r="AE12">
        <f>IF(OR($E12="",$E11=""),"",IF(AND(($C12-$C11)&gt;($D11-$D12),($C12-$C11)&gt;0),$C12-$C11,0))</f>
        <v>0</v>
      </c>
      <c r="AF12">
        <f>IF(OR($E12="",$E11=""),"",IF(AND(($D11-$D12)&gt;($C12-$C11),($D11-$D12)&gt;0),$D11-$D12,0))</f>
        <v>0</v>
      </c>
      <c r="AG12">
        <f>IF(COUNT($E$2:$E12)&lt;15,"",IF(SUM($AC$2:$AC$12)=0,0,100*SUM($AE$2:$AE$12)/SUM($AC$2:$AC$12)))</f>
        <v>0</v>
      </c>
      <c r="AH12">
        <f>IF(COUNT($E$2:$E12)&lt;15,"",IF(SUM($AC$2:$AC$12)=0,0,100*SUM($AF$2:$AF$12)/SUM($AC$2:$AC$12)))</f>
        <v>0</v>
      </c>
      <c r="AI12">
        <f>IF(OR(AG12="",AH12=""),"",IF((AG12+AH12)=0,0,100*ABS(AG12-AH12)/(AG12+AH12)))</f>
        <v>0</v>
      </c>
      <c r="AJ12">
        <f>IF(COUNT($AI$2:$AI$12)&lt;14,"",AVERAGE($AI$2:$AI$12))</f>
        <v>0</v>
      </c>
      <c r="AK12">
        <f>IF(COUNT($E$2:$E12)&lt;20,"",AVERAGE($E$2:$E$12))</f>
        <v>0</v>
      </c>
      <c r="AL12">
        <f>IF(COUNT($E$2:$E12)&lt;20,"",STDEVP($E$2:$E$12))</f>
        <v>0</v>
      </c>
      <c r="AM12">
        <f>IF(AK12="","",AK12+2*AL12)</f>
        <v>0</v>
      </c>
      <c r="AN12">
        <f>IF(AK12="","",AK12-2*AL12)</f>
        <v>0</v>
      </c>
      <c r="AO12">
        <f>IF(OR(AM12="",AN12="",AM12=AN12),"",($E12-AN12)/(AM12-AN12))</f>
        <v>0</v>
      </c>
      <c r="AP12">
        <f>IF(OR(AM12="",AK12="",AK12=0),"",(AM12-AN12)/AK12)</f>
        <v>0</v>
      </c>
      <c r="AQ12">
        <f>IF(COUNT($E$2:$E12)&lt;20,"",MAX($C$2:$C$12))</f>
        <v>0</v>
      </c>
      <c r="AR12">
        <f>IF(COUNT($E$2:$E12)&lt;20,"",MIN($D$2:$D$12))</f>
        <v>0</v>
      </c>
      <c r="AS12">
        <f>IF(OR(AQ12="",AR12=""),"",(AQ12+AR12)/2)</f>
        <v>0</v>
      </c>
      <c r="AT12">
        <f>IF(COUNT($G$2:$G$12)&lt;20,"",STDEV($G$2:$G$12)*SQRT(52))</f>
        <v>0</v>
      </c>
      <c r="AU12">
        <f>IF(COUNT($E$2:$E12)&lt;9,"",(MAX($C$4:$C$12)+MIN($D$4:$D$12))/2)</f>
        <v>0</v>
      </c>
      <c r="AV12">
        <f>IF(COUNT($E$2:$E12)&lt;26,"",(MAX($C$2:$C$12)+MIN($D$2:$D$12))/2)</f>
        <v>0</v>
      </c>
      <c r="AW12">
        <f>IF(OR(AU12="",AV12=""),"",(AU12+AV12)/2)</f>
        <v>0</v>
      </c>
      <c r="AX12">
        <f>IF(COUNT($E$2:$E12)&lt;52,"",(MAX($C$2:$C$12)+MIN($D$2:$D$12))/2)</f>
        <v>0</v>
      </c>
      <c r="AY12">
        <f>IF(COUNT($E$2:$E12)&lt;20,"",MAX($C$2:$C$12))</f>
        <v>0</v>
      </c>
      <c r="AZ12">
        <f>IF(COUNT($E$2:$E12)&lt;20,"",MIN($D$2:$D$12))</f>
        <v>0</v>
      </c>
      <c r="BA12">
        <f>IF(COUNT($E$2:$E12)&lt;20,"",SLOPE($E$2:$E$12,$F$2:$F$12))</f>
        <v>0</v>
      </c>
      <c r="BB12">
        <f>IF(COUNT($E$2:$E12)&lt;20,"",INTERCEPT($E$2:$E$12,$F$2:$F$12))</f>
        <v>0</v>
      </c>
      <c r="BC12">
        <f>IF(OR(BA12="",BB12=""),"",BB12+BA12*F12)</f>
        <v>0</v>
      </c>
      <c r="BD12">
        <f>IF(COUNT($E$2:$E12)&lt;20,"",STEYX($E$2:$E$12,$F$2:$F$12))</f>
        <v>0</v>
      </c>
      <c r="BE12">
        <f>IF($E12="","",IF(AND(COUNT($E$13:$E$16)&gt;=4,$C12=MAX($C$8:$C$16)),$C12,""))</f>
        <v>0</v>
      </c>
      <c r="BF12">
        <f>IF($E12="","",IF(AND(COUNT($E$13:$E$16)&gt;=4,$D12=MIN($D$8:$D$16)),$D12,""))</f>
        <v>0</v>
      </c>
      <c r="BG12">
        <f>IFERROR(SMALL(Calc_Daily!$BM$2:$BM$2001,11),"")</f>
        <v>0</v>
      </c>
    </row>
    <row r="13" spans="1:59">
      <c r="A13" s="27">
        <f>IF($BG13="","",INDEX(Calc_Daily!$A$2:$A$2001,$BG13))</f>
        <v>0</v>
      </c>
      <c r="B13">
        <f>IF($BG13="","",INDEX(Calc_Daily!$BJ$2:$BJ$2001,$BG13))</f>
        <v>0</v>
      </c>
      <c r="C13">
        <f>IF($BG13="","",INDEX(Calc_Daily!$BK$2:$BK$2001,$BG13))</f>
        <v>0</v>
      </c>
      <c r="D13">
        <f>IF($BG13="","",INDEX(Calc_Daily!$BL$2:$BL$2001,$BG13))</f>
        <v>0</v>
      </c>
      <c r="E13">
        <f>IF($BG13="","",INDEX(Calc_Daily!$E$2:$E$2001,$BG13))</f>
        <v>0</v>
      </c>
      <c r="F13">
        <f>IF($E13="","",N(F12)+1)</f>
        <v>0</v>
      </c>
      <c r="G13">
        <f>IF(OR($E13="",$E12=""),"",LN($E13/$E12))</f>
        <v>0</v>
      </c>
      <c r="H13">
        <f>IF($E13="","",IF($E12="",$E13,$E13*0.0952380952+H12*0.9047619048))</f>
        <v>0</v>
      </c>
      <c r="I13">
        <f>IF($E13="","",IF($E12="",$E13,$E13*0.0392156863+I12*0.9607843137))</f>
        <v>0</v>
      </c>
      <c r="J13">
        <f>IF($E13="","",IF($E12="",$E13,$E13*0.0198019802+J12*0.9801980198))</f>
        <v>0</v>
      </c>
      <c r="K13">
        <f>IF($E13="","",IF($E12="",$E13,$E13*0.0099502488+K12*0.9900497512))</f>
        <v>0</v>
      </c>
      <c r="L13">
        <f>IF(OR($E13="",$E12=""),"",MAX($E13-$E12,0))</f>
        <v>0</v>
      </c>
      <c r="M13">
        <f>IF(OR($E13="",$E12=""),"",MAX($E12-$E13,0))</f>
        <v>0</v>
      </c>
      <c r="N13">
        <f>IF(COUNT($E$2:$E13)&lt;15,"",IF(AVERAGE($M$2:$M$13)=0,100,100-100/(1+AVERAGE($L$2:$L$13)/AVERAGE($M$2:$M$13))))</f>
        <v>0</v>
      </c>
      <c r="O13">
        <f>IF($E13="","",IF($E12="",$E13,$E13*0.1538461538+O12*0.8461538462))</f>
        <v>0</v>
      </c>
      <c r="P13">
        <f>IF($E13="","",IF($E12="",$E13,$E13*0.0740740741+P12*0.9259259259))</f>
        <v>0</v>
      </c>
      <c r="Q13">
        <f>IF(OR(O13="",P13=""),"",O13-P13)</f>
        <v>0</v>
      </c>
      <c r="R13">
        <f>IF(Q13="","",IF(R12="",Q13,Q13*0.2000000000+R12*0.8000000000))</f>
        <v>0</v>
      </c>
      <c r="S13">
        <f>IF(OR(Q13="",R13=""),"",Q13-R13)</f>
        <v>0</v>
      </c>
      <c r="T13">
        <f>IF(COUNT($E$2:$E13)&lt;14,"",MAX($C$2:$C$13))</f>
        <v>0</v>
      </c>
      <c r="U13">
        <f>IF(COUNT($E$2:$E13)&lt;14,"",MIN($D$2:$D$13))</f>
        <v>0</v>
      </c>
      <c r="V13">
        <f>IF(OR(T13="",U13="",T13=U13),"",100*($E13-U13)/(T13-U13))</f>
        <v>0</v>
      </c>
      <c r="W13">
        <f>IF(COUNT($V$11:$V$13)&lt;3,"",AVERAGE($V$11:$V$13))</f>
        <v>0</v>
      </c>
      <c r="X13">
        <f>IF(COUNT($N$2:$N$13)&lt;14,"",MIN($N$2:$N$13))</f>
        <v>0</v>
      </c>
      <c r="Y13">
        <f>IF(COUNT($N$2:$N$13)&lt;14,"",MAX($N$2:$N$13))</f>
        <v>0</v>
      </c>
      <c r="Z13">
        <f>IF(OR(N13="",X13="",Y13="",Y13=X13),"",100*(N13-X13)/(Y13-X13))</f>
        <v>0</v>
      </c>
      <c r="AA13">
        <f>IF(COUNT($Z$11:$Z$13)&lt;3,"",AVERAGE($Z$11:$Z$13))</f>
        <v>0</v>
      </c>
      <c r="AB13">
        <f>IF(COUNT($AA$11:$AA$13)&lt;3,"",AVERAGE($AA$11:$AA$13))</f>
        <v>0</v>
      </c>
      <c r="AC13">
        <f>IF($E13="","",MAX($C13-$D13,ABS($C13-$E12),ABS($D13-$E12)))</f>
        <v>0</v>
      </c>
      <c r="AD13">
        <f>IF(COUNT($E$2:$E13)&lt;15,"",AVERAGE($AC$2:$AC$13))</f>
        <v>0</v>
      </c>
      <c r="AE13">
        <f>IF(OR($E13="",$E12=""),"",IF(AND(($C13-$C12)&gt;($D12-$D13),($C13-$C12)&gt;0),$C13-$C12,0))</f>
        <v>0</v>
      </c>
      <c r="AF13">
        <f>IF(OR($E13="",$E12=""),"",IF(AND(($D12-$D13)&gt;($C13-$C12),($D12-$D13)&gt;0),$D12-$D13,0))</f>
        <v>0</v>
      </c>
      <c r="AG13">
        <f>IF(COUNT($E$2:$E13)&lt;15,"",IF(SUM($AC$2:$AC$13)=0,0,100*SUM($AE$2:$AE$13)/SUM($AC$2:$AC$13)))</f>
        <v>0</v>
      </c>
      <c r="AH13">
        <f>IF(COUNT($E$2:$E13)&lt;15,"",IF(SUM($AC$2:$AC$13)=0,0,100*SUM($AF$2:$AF$13)/SUM($AC$2:$AC$13)))</f>
        <v>0</v>
      </c>
      <c r="AI13">
        <f>IF(OR(AG13="",AH13=""),"",IF((AG13+AH13)=0,0,100*ABS(AG13-AH13)/(AG13+AH13)))</f>
        <v>0</v>
      </c>
      <c r="AJ13">
        <f>IF(COUNT($AI$2:$AI$13)&lt;14,"",AVERAGE($AI$2:$AI$13))</f>
        <v>0</v>
      </c>
      <c r="AK13">
        <f>IF(COUNT($E$2:$E13)&lt;20,"",AVERAGE($E$2:$E$13))</f>
        <v>0</v>
      </c>
      <c r="AL13">
        <f>IF(COUNT($E$2:$E13)&lt;20,"",STDEVP($E$2:$E$13))</f>
        <v>0</v>
      </c>
      <c r="AM13">
        <f>IF(AK13="","",AK13+2*AL13)</f>
        <v>0</v>
      </c>
      <c r="AN13">
        <f>IF(AK13="","",AK13-2*AL13)</f>
        <v>0</v>
      </c>
      <c r="AO13">
        <f>IF(OR(AM13="",AN13="",AM13=AN13),"",($E13-AN13)/(AM13-AN13))</f>
        <v>0</v>
      </c>
      <c r="AP13">
        <f>IF(OR(AM13="",AK13="",AK13=0),"",(AM13-AN13)/AK13)</f>
        <v>0</v>
      </c>
      <c r="AQ13">
        <f>IF(COUNT($E$2:$E13)&lt;20,"",MAX($C$2:$C$13))</f>
        <v>0</v>
      </c>
      <c r="AR13">
        <f>IF(COUNT($E$2:$E13)&lt;20,"",MIN($D$2:$D$13))</f>
        <v>0</v>
      </c>
      <c r="AS13">
        <f>IF(OR(AQ13="",AR13=""),"",(AQ13+AR13)/2)</f>
        <v>0</v>
      </c>
      <c r="AT13">
        <f>IF(COUNT($G$2:$G$13)&lt;20,"",STDEV($G$2:$G$13)*SQRT(52))</f>
        <v>0</v>
      </c>
      <c r="AU13">
        <f>IF(COUNT($E$2:$E13)&lt;9,"",(MAX($C$5:$C$13)+MIN($D$5:$D$13))/2)</f>
        <v>0</v>
      </c>
      <c r="AV13">
        <f>IF(COUNT($E$2:$E13)&lt;26,"",(MAX($C$2:$C$13)+MIN($D$2:$D$13))/2)</f>
        <v>0</v>
      </c>
      <c r="AW13">
        <f>IF(OR(AU13="",AV13=""),"",(AU13+AV13)/2)</f>
        <v>0</v>
      </c>
      <c r="AX13">
        <f>IF(COUNT($E$2:$E13)&lt;52,"",(MAX($C$2:$C$13)+MIN($D$2:$D$13))/2)</f>
        <v>0</v>
      </c>
      <c r="AY13">
        <f>IF(COUNT($E$2:$E13)&lt;20,"",MAX($C$2:$C$13))</f>
        <v>0</v>
      </c>
      <c r="AZ13">
        <f>IF(COUNT($E$2:$E13)&lt;20,"",MIN($D$2:$D$13))</f>
        <v>0</v>
      </c>
      <c r="BA13">
        <f>IF(COUNT($E$2:$E13)&lt;20,"",SLOPE($E$2:$E$13,$F$2:$F$13))</f>
        <v>0</v>
      </c>
      <c r="BB13">
        <f>IF(COUNT($E$2:$E13)&lt;20,"",INTERCEPT($E$2:$E$13,$F$2:$F$13))</f>
        <v>0</v>
      </c>
      <c r="BC13">
        <f>IF(OR(BA13="",BB13=""),"",BB13+BA13*F13)</f>
        <v>0</v>
      </c>
      <c r="BD13">
        <f>IF(COUNT($E$2:$E13)&lt;20,"",STEYX($E$2:$E$13,$F$2:$F$13))</f>
        <v>0</v>
      </c>
      <c r="BE13">
        <f>IF($E13="","",IF(AND(COUNT($E$14:$E$17)&gt;=4,$C13=MAX($C$9:$C$17)),$C13,""))</f>
        <v>0</v>
      </c>
      <c r="BF13">
        <f>IF($E13="","",IF(AND(COUNT($E$14:$E$17)&gt;=4,$D13=MIN($D$9:$D$17)),$D13,""))</f>
        <v>0</v>
      </c>
      <c r="BG13">
        <f>IFERROR(SMALL(Calc_Daily!$BM$2:$BM$2001,12),"")</f>
        <v>0</v>
      </c>
    </row>
    <row r="14" spans="1:59">
      <c r="A14" s="27">
        <f>IF($BG14="","",INDEX(Calc_Daily!$A$2:$A$2001,$BG14))</f>
        <v>0</v>
      </c>
      <c r="B14">
        <f>IF($BG14="","",INDEX(Calc_Daily!$BJ$2:$BJ$2001,$BG14))</f>
        <v>0</v>
      </c>
      <c r="C14">
        <f>IF($BG14="","",INDEX(Calc_Daily!$BK$2:$BK$2001,$BG14))</f>
        <v>0</v>
      </c>
      <c r="D14">
        <f>IF($BG14="","",INDEX(Calc_Daily!$BL$2:$BL$2001,$BG14))</f>
        <v>0</v>
      </c>
      <c r="E14">
        <f>IF($BG14="","",INDEX(Calc_Daily!$E$2:$E$2001,$BG14))</f>
        <v>0</v>
      </c>
      <c r="F14">
        <f>IF($E14="","",N(F13)+1)</f>
        <v>0</v>
      </c>
      <c r="G14">
        <f>IF(OR($E14="",$E13=""),"",LN($E14/$E13))</f>
        <v>0</v>
      </c>
      <c r="H14">
        <f>IF($E14="","",IF($E13="",$E14,$E14*0.0952380952+H13*0.9047619048))</f>
        <v>0</v>
      </c>
      <c r="I14">
        <f>IF($E14="","",IF($E13="",$E14,$E14*0.0392156863+I13*0.9607843137))</f>
        <v>0</v>
      </c>
      <c r="J14">
        <f>IF($E14="","",IF($E13="",$E14,$E14*0.0198019802+J13*0.9801980198))</f>
        <v>0</v>
      </c>
      <c r="K14">
        <f>IF($E14="","",IF($E13="",$E14,$E14*0.0099502488+K13*0.9900497512))</f>
        <v>0</v>
      </c>
      <c r="L14">
        <f>IF(OR($E14="",$E13=""),"",MAX($E14-$E13,0))</f>
        <v>0</v>
      </c>
      <c r="M14">
        <f>IF(OR($E14="",$E13=""),"",MAX($E13-$E14,0))</f>
        <v>0</v>
      </c>
      <c r="N14">
        <f>IF(COUNT($E$2:$E14)&lt;15,"",IF(AVERAGE($M$2:$M$14)=0,100,100-100/(1+AVERAGE($L$2:$L$14)/AVERAGE($M$2:$M$14))))</f>
        <v>0</v>
      </c>
      <c r="O14">
        <f>IF($E14="","",IF($E13="",$E14,$E14*0.1538461538+O13*0.8461538462))</f>
        <v>0</v>
      </c>
      <c r="P14">
        <f>IF($E14="","",IF($E13="",$E14,$E14*0.0740740741+P13*0.9259259259))</f>
        <v>0</v>
      </c>
      <c r="Q14">
        <f>IF(OR(O14="",P14=""),"",O14-P14)</f>
        <v>0</v>
      </c>
      <c r="R14">
        <f>IF(Q14="","",IF(R13="",Q14,Q14*0.2000000000+R13*0.8000000000))</f>
        <v>0</v>
      </c>
      <c r="S14">
        <f>IF(OR(Q14="",R14=""),"",Q14-R14)</f>
        <v>0</v>
      </c>
      <c r="T14">
        <f>IF(COUNT($E$2:$E14)&lt;14,"",MAX($C$2:$C$14))</f>
        <v>0</v>
      </c>
      <c r="U14">
        <f>IF(COUNT($E$2:$E14)&lt;14,"",MIN($D$2:$D$14))</f>
        <v>0</v>
      </c>
      <c r="V14">
        <f>IF(OR(T14="",U14="",T14=U14),"",100*($E14-U14)/(T14-U14))</f>
        <v>0</v>
      </c>
      <c r="W14">
        <f>IF(COUNT($V$12:$V$14)&lt;3,"",AVERAGE($V$12:$V$14))</f>
        <v>0</v>
      </c>
      <c r="X14">
        <f>IF(COUNT($N$2:$N$14)&lt;14,"",MIN($N$2:$N$14))</f>
        <v>0</v>
      </c>
      <c r="Y14">
        <f>IF(COUNT($N$2:$N$14)&lt;14,"",MAX($N$2:$N$14))</f>
        <v>0</v>
      </c>
      <c r="Z14">
        <f>IF(OR(N14="",X14="",Y14="",Y14=X14),"",100*(N14-X14)/(Y14-X14))</f>
        <v>0</v>
      </c>
      <c r="AA14">
        <f>IF(COUNT($Z$12:$Z$14)&lt;3,"",AVERAGE($Z$12:$Z$14))</f>
        <v>0</v>
      </c>
      <c r="AB14">
        <f>IF(COUNT($AA$12:$AA$14)&lt;3,"",AVERAGE($AA$12:$AA$14))</f>
        <v>0</v>
      </c>
      <c r="AC14">
        <f>IF($E14="","",MAX($C14-$D14,ABS($C14-$E13),ABS($D14-$E13)))</f>
        <v>0</v>
      </c>
      <c r="AD14">
        <f>IF(COUNT($E$2:$E14)&lt;15,"",AVERAGE($AC$2:$AC$14))</f>
        <v>0</v>
      </c>
      <c r="AE14">
        <f>IF(OR($E14="",$E13=""),"",IF(AND(($C14-$C13)&gt;($D13-$D14),($C14-$C13)&gt;0),$C14-$C13,0))</f>
        <v>0</v>
      </c>
      <c r="AF14">
        <f>IF(OR($E14="",$E13=""),"",IF(AND(($D13-$D14)&gt;($C14-$C13),($D13-$D14)&gt;0),$D13-$D14,0))</f>
        <v>0</v>
      </c>
      <c r="AG14">
        <f>IF(COUNT($E$2:$E14)&lt;15,"",IF(SUM($AC$2:$AC$14)=0,0,100*SUM($AE$2:$AE$14)/SUM($AC$2:$AC$14)))</f>
        <v>0</v>
      </c>
      <c r="AH14">
        <f>IF(COUNT($E$2:$E14)&lt;15,"",IF(SUM($AC$2:$AC$14)=0,0,100*SUM($AF$2:$AF$14)/SUM($AC$2:$AC$14)))</f>
        <v>0</v>
      </c>
      <c r="AI14">
        <f>IF(OR(AG14="",AH14=""),"",IF((AG14+AH14)=0,0,100*ABS(AG14-AH14)/(AG14+AH14)))</f>
        <v>0</v>
      </c>
      <c r="AJ14">
        <f>IF(COUNT($AI$2:$AI$14)&lt;14,"",AVERAGE($AI$2:$AI$14))</f>
        <v>0</v>
      </c>
      <c r="AK14">
        <f>IF(COUNT($E$2:$E14)&lt;20,"",AVERAGE($E$2:$E$14))</f>
        <v>0</v>
      </c>
      <c r="AL14">
        <f>IF(COUNT($E$2:$E14)&lt;20,"",STDEVP($E$2:$E$14))</f>
        <v>0</v>
      </c>
      <c r="AM14">
        <f>IF(AK14="","",AK14+2*AL14)</f>
        <v>0</v>
      </c>
      <c r="AN14">
        <f>IF(AK14="","",AK14-2*AL14)</f>
        <v>0</v>
      </c>
      <c r="AO14">
        <f>IF(OR(AM14="",AN14="",AM14=AN14),"",($E14-AN14)/(AM14-AN14))</f>
        <v>0</v>
      </c>
      <c r="AP14">
        <f>IF(OR(AM14="",AK14="",AK14=0),"",(AM14-AN14)/AK14)</f>
        <v>0</v>
      </c>
      <c r="AQ14">
        <f>IF(COUNT($E$2:$E14)&lt;20,"",MAX($C$2:$C$14))</f>
        <v>0</v>
      </c>
      <c r="AR14">
        <f>IF(COUNT($E$2:$E14)&lt;20,"",MIN($D$2:$D$14))</f>
        <v>0</v>
      </c>
      <c r="AS14">
        <f>IF(OR(AQ14="",AR14=""),"",(AQ14+AR14)/2)</f>
        <v>0</v>
      </c>
      <c r="AT14">
        <f>IF(COUNT($G$2:$G$14)&lt;20,"",STDEV($G$2:$G$14)*SQRT(52))</f>
        <v>0</v>
      </c>
      <c r="AU14">
        <f>IF(COUNT($E$2:$E14)&lt;9,"",(MAX($C$6:$C$14)+MIN($D$6:$D$14))/2)</f>
        <v>0</v>
      </c>
      <c r="AV14">
        <f>IF(COUNT($E$2:$E14)&lt;26,"",(MAX($C$2:$C$14)+MIN($D$2:$D$14))/2)</f>
        <v>0</v>
      </c>
      <c r="AW14">
        <f>IF(OR(AU14="",AV14=""),"",(AU14+AV14)/2)</f>
        <v>0</v>
      </c>
      <c r="AX14">
        <f>IF(COUNT($E$2:$E14)&lt;52,"",(MAX($C$2:$C$14)+MIN($D$2:$D$14))/2)</f>
        <v>0</v>
      </c>
      <c r="AY14">
        <f>IF(COUNT($E$2:$E14)&lt;20,"",MAX($C$2:$C$14))</f>
        <v>0</v>
      </c>
      <c r="AZ14">
        <f>IF(COUNT($E$2:$E14)&lt;20,"",MIN($D$2:$D$14))</f>
        <v>0</v>
      </c>
      <c r="BA14">
        <f>IF(COUNT($E$2:$E14)&lt;20,"",SLOPE($E$2:$E$14,$F$2:$F$14))</f>
        <v>0</v>
      </c>
      <c r="BB14">
        <f>IF(COUNT($E$2:$E14)&lt;20,"",INTERCEPT($E$2:$E$14,$F$2:$F$14))</f>
        <v>0</v>
      </c>
      <c r="BC14">
        <f>IF(OR(BA14="",BB14=""),"",BB14+BA14*F14)</f>
        <v>0</v>
      </c>
      <c r="BD14">
        <f>IF(COUNT($E$2:$E14)&lt;20,"",STEYX($E$2:$E$14,$F$2:$F$14))</f>
        <v>0</v>
      </c>
      <c r="BE14">
        <f>IF($E14="","",IF(AND(COUNT($E$15:$E$18)&gt;=4,$C14=MAX($C$10:$C$18)),$C14,""))</f>
        <v>0</v>
      </c>
      <c r="BF14">
        <f>IF($E14="","",IF(AND(COUNT($E$15:$E$18)&gt;=4,$D14=MIN($D$10:$D$18)),$D14,""))</f>
        <v>0</v>
      </c>
      <c r="BG14">
        <f>IFERROR(SMALL(Calc_Daily!$BM$2:$BM$2001,13),"")</f>
        <v>0</v>
      </c>
    </row>
    <row r="15" spans="1:59">
      <c r="A15" s="27">
        <f>IF($BG15="","",INDEX(Calc_Daily!$A$2:$A$2001,$BG15))</f>
        <v>0</v>
      </c>
      <c r="B15">
        <f>IF($BG15="","",INDEX(Calc_Daily!$BJ$2:$BJ$2001,$BG15))</f>
        <v>0</v>
      </c>
      <c r="C15">
        <f>IF($BG15="","",INDEX(Calc_Daily!$BK$2:$BK$2001,$BG15))</f>
        <v>0</v>
      </c>
      <c r="D15">
        <f>IF($BG15="","",INDEX(Calc_Daily!$BL$2:$BL$2001,$BG15))</f>
        <v>0</v>
      </c>
      <c r="E15">
        <f>IF($BG15="","",INDEX(Calc_Daily!$E$2:$E$2001,$BG15))</f>
        <v>0</v>
      </c>
      <c r="F15">
        <f>IF($E15="","",N(F14)+1)</f>
        <v>0</v>
      </c>
      <c r="G15">
        <f>IF(OR($E15="",$E14=""),"",LN($E15/$E14))</f>
        <v>0</v>
      </c>
      <c r="H15">
        <f>IF($E15="","",IF($E14="",$E15,$E15*0.0952380952+H14*0.9047619048))</f>
        <v>0</v>
      </c>
      <c r="I15">
        <f>IF($E15="","",IF($E14="",$E15,$E15*0.0392156863+I14*0.9607843137))</f>
        <v>0</v>
      </c>
      <c r="J15">
        <f>IF($E15="","",IF($E14="",$E15,$E15*0.0198019802+J14*0.9801980198))</f>
        <v>0</v>
      </c>
      <c r="K15">
        <f>IF($E15="","",IF($E14="",$E15,$E15*0.0099502488+K14*0.9900497512))</f>
        <v>0</v>
      </c>
      <c r="L15">
        <f>IF(OR($E15="",$E14=""),"",MAX($E15-$E14,0))</f>
        <v>0</v>
      </c>
      <c r="M15">
        <f>IF(OR($E15="",$E14=""),"",MAX($E14-$E15,0))</f>
        <v>0</v>
      </c>
      <c r="N15">
        <f>IF(COUNT($E$2:$E15)&lt;15,"",IF(AVERAGE($M$2:$M$15)=0,100,100-100/(1+AVERAGE($L$2:$L$15)/AVERAGE($M$2:$M$15))))</f>
        <v>0</v>
      </c>
      <c r="O15">
        <f>IF($E15="","",IF($E14="",$E15,$E15*0.1538461538+O14*0.8461538462))</f>
        <v>0</v>
      </c>
      <c r="P15">
        <f>IF($E15="","",IF($E14="",$E15,$E15*0.0740740741+P14*0.9259259259))</f>
        <v>0</v>
      </c>
      <c r="Q15">
        <f>IF(OR(O15="",P15=""),"",O15-P15)</f>
        <v>0</v>
      </c>
      <c r="R15">
        <f>IF(Q15="","",IF(R14="",Q15,Q15*0.2000000000+R14*0.8000000000))</f>
        <v>0</v>
      </c>
      <c r="S15">
        <f>IF(OR(Q15="",R15=""),"",Q15-R15)</f>
        <v>0</v>
      </c>
      <c r="T15">
        <f>IF(COUNT($E$2:$E15)&lt;14,"",MAX($C$2:$C$15))</f>
        <v>0</v>
      </c>
      <c r="U15">
        <f>IF(COUNT($E$2:$E15)&lt;14,"",MIN($D$2:$D$15))</f>
        <v>0</v>
      </c>
      <c r="V15">
        <f>IF(OR(T15="",U15="",T15=U15),"",100*($E15-U15)/(T15-U15))</f>
        <v>0</v>
      </c>
      <c r="W15">
        <f>IF(COUNT($V$13:$V$15)&lt;3,"",AVERAGE($V$13:$V$15))</f>
        <v>0</v>
      </c>
      <c r="X15">
        <f>IF(COUNT($N$2:$N$15)&lt;14,"",MIN($N$2:$N$15))</f>
        <v>0</v>
      </c>
      <c r="Y15">
        <f>IF(COUNT($N$2:$N$15)&lt;14,"",MAX($N$2:$N$15))</f>
        <v>0</v>
      </c>
      <c r="Z15">
        <f>IF(OR(N15="",X15="",Y15="",Y15=X15),"",100*(N15-X15)/(Y15-X15))</f>
        <v>0</v>
      </c>
      <c r="AA15">
        <f>IF(COUNT($Z$13:$Z$15)&lt;3,"",AVERAGE($Z$13:$Z$15))</f>
        <v>0</v>
      </c>
      <c r="AB15">
        <f>IF(COUNT($AA$13:$AA$15)&lt;3,"",AVERAGE($AA$13:$AA$15))</f>
        <v>0</v>
      </c>
      <c r="AC15">
        <f>IF($E15="","",MAX($C15-$D15,ABS($C15-$E14),ABS($D15-$E14)))</f>
        <v>0</v>
      </c>
      <c r="AD15">
        <f>IF(COUNT($E$2:$E15)&lt;15,"",AVERAGE($AC$2:$AC$15))</f>
        <v>0</v>
      </c>
      <c r="AE15">
        <f>IF(OR($E15="",$E14=""),"",IF(AND(($C15-$C14)&gt;($D14-$D15),($C15-$C14)&gt;0),$C15-$C14,0))</f>
        <v>0</v>
      </c>
      <c r="AF15">
        <f>IF(OR($E15="",$E14=""),"",IF(AND(($D14-$D15)&gt;($C15-$C14),($D14-$D15)&gt;0),$D14-$D15,0))</f>
        <v>0</v>
      </c>
      <c r="AG15">
        <f>IF(COUNT($E$2:$E15)&lt;15,"",IF(SUM($AC$2:$AC$15)=0,0,100*SUM($AE$2:$AE$15)/SUM($AC$2:$AC$15)))</f>
        <v>0</v>
      </c>
      <c r="AH15">
        <f>IF(COUNT($E$2:$E15)&lt;15,"",IF(SUM($AC$2:$AC$15)=0,0,100*SUM($AF$2:$AF$15)/SUM($AC$2:$AC$15)))</f>
        <v>0</v>
      </c>
      <c r="AI15">
        <f>IF(OR(AG15="",AH15=""),"",IF((AG15+AH15)=0,0,100*ABS(AG15-AH15)/(AG15+AH15)))</f>
        <v>0</v>
      </c>
      <c r="AJ15">
        <f>IF(COUNT($AI$2:$AI$15)&lt;14,"",AVERAGE($AI$2:$AI$15))</f>
        <v>0</v>
      </c>
      <c r="AK15">
        <f>IF(COUNT($E$2:$E15)&lt;20,"",AVERAGE($E$2:$E$15))</f>
        <v>0</v>
      </c>
      <c r="AL15">
        <f>IF(COUNT($E$2:$E15)&lt;20,"",STDEVP($E$2:$E$15))</f>
        <v>0</v>
      </c>
      <c r="AM15">
        <f>IF(AK15="","",AK15+2*AL15)</f>
        <v>0</v>
      </c>
      <c r="AN15">
        <f>IF(AK15="","",AK15-2*AL15)</f>
        <v>0</v>
      </c>
      <c r="AO15">
        <f>IF(OR(AM15="",AN15="",AM15=AN15),"",($E15-AN15)/(AM15-AN15))</f>
        <v>0</v>
      </c>
      <c r="AP15">
        <f>IF(OR(AM15="",AK15="",AK15=0),"",(AM15-AN15)/AK15)</f>
        <v>0</v>
      </c>
      <c r="AQ15">
        <f>IF(COUNT($E$2:$E15)&lt;20,"",MAX($C$2:$C$15))</f>
        <v>0</v>
      </c>
      <c r="AR15">
        <f>IF(COUNT($E$2:$E15)&lt;20,"",MIN($D$2:$D$15))</f>
        <v>0</v>
      </c>
      <c r="AS15">
        <f>IF(OR(AQ15="",AR15=""),"",(AQ15+AR15)/2)</f>
        <v>0</v>
      </c>
      <c r="AT15">
        <f>IF(COUNT($G$2:$G$15)&lt;20,"",STDEV($G$2:$G$15)*SQRT(52))</f>
        <v>0</v>
      </c>
      <c r="AU15">
        <f>IF(COUNT($E$2:$E15)&lt;9,"",(MAX($C$7:$C$15)+MIN($D$7:$D$15))/2)</f>
        <v>0</v>
      </c>
      <c r="AV15">
        <f>IF(COUNT($E$2:$E15)&lt;26,"",(MAX($C$2:$C$15)+MIN($D$2:$D$15))/2)</f>
        <v>0</v>
      </c>
      <c r="AW15">
        <f>IF(OR(AU15="",AV15=""),"",(AU15+AV15)/2)</f>
        <v>0</v>
      </c>
      <c r="AX15">
        <f>IF(COUNT($E$2:$E15)&lt;52,"",(MAX($C$2:$C$15)+MIN($D$2:$D$15))/2)</f>
        <v>0</v>
      </c>
      <c r="AY15">
        <f>IF(COUNT($E$2:$E15)&lt;20,"",MAX($C$2:$C$15))</f>
        <v>0</v>
      </c>
      <c r="AZ15">
        <f>IF(COUNT($E$2:$E15)&lt;20,"",MIN($D$2:$D$15))</f>
        <v>0</v>
      </c>
      <c r="BA15">
        <f>IF(COUNT($E$2:$E15)&lt;20,"",SLOPE($E$2:$E$15,$F$2:$F$15))</f>
        <v>0</v>
      </c>
      <c r="BB15">
        <f>IF(COUNT($E$2:$E15)&lt;20,"",INTERCEPT($E$2:$E$15,$F$2:$F$15))</f>
        <v>0</v>
      </c>
      <c r="BC15">
        <f>IF(OR(BA15="",BB15=""),"",BB15+BA15*F15)</f>
        <v>0</v>
      </c>
      <c r="BD15">
        <f>IF(COUNT($E$2:$E15)&lt;20,"",STEYX($E$2:$E$15,$F$2:$F$15))</f>
        <v>0</v>
      </c>
      <c r="BE15">
        <f>IF($E15="","",IF(AND(COUNT($E$16:$E$19)&gt;=4,$C15=MAX($C$11:$C$19)),$C15,""))</f>
        <v>0</v>
      </c>
      <c r="BF15">
        <f>IF($E15="","",IF(AND(COUNT($E$16:$E$19)&gt;=4,$D15=MIN($D$11:$D$19)),$D15,""))</f>
        <v>0</v>
      </c>
      <c r="BG15">
        <f>IFERROR(SMALL(Calc_Daily!$BM$2:$BM$2001,14),"")</f>
        <v>0</v>
      </c>
    </row>
    <row r="16" spans="1:59">
      <c r="A16" s="27">
        <f>IF($BG16="","",INDEX(Calc_Daily!$A$2:$A$2001,$BG16))</f>
        <v>0</v>
      </c>
      <c r="B16">
        <f>IF($BG16="","",INDEX(Calc_Daily!$BJ$2:$BJ$2001,$BG16))</f>
        <v>0</v>
      </c>
      <c r="C16">
        <f>IF($BG16="","",INDEX(Calc_Daily!$BK$2:$BK$2001,$BG16))</f>
        <v>0</v>
      </c>
      <c r="D16">
        <f>IF($BG16="","",INDEX(Calc_Daily!$BL$2:$BL$2001,$BG16))</f>
        <v>0</v>
      </c>
      <c r="E16">
        <f>IF($BG16="","",INDEX(Calc_Daily!$E$2:$E$2001,$BG16))</f>
        <v>0</v>
      </c>
      <c r="F16">
        <f>IF($E16="","",N(F15)+1)</f>
        <v>0</v>
      </c>
      <c r="G16">
        <f>IF(OR($E16="",$E15=""),"",LN($E16/$E15))</f>
        <v>0</v>
      </c>
      <c r="H16">
        <f>IF($E16="","",IF($E15="",$E16,$E16*0.0952380952+H15*0.9047619048))</f>
        <v>0</v>
      </c>
      <c r="I16">
        <f>IF($E16="","",IF($E15="",$E16,$E16*0.0392156863+I15*0.9607843137))</f>
        <v>0</v>
      </c>
      <c r="J16">
        <f>IF($E16="","",IF($E15="",$E16,$E16*0.0198019802+J15*0.9801980198))</f>
        <v>0</v>
      </c>
      <c r="K16">
        <f>IF($E16="","",IF($E15="",$E16,$E16*0.0099502488+K15*0.9900497512))</f>
        <v>0</v>
      </c>
      <c r="L16">
        <f>IF(OR($E16="",$E15=""),"",MAX($E16-$E15,0))</f>
        <v>0</v>
      </c>
      <c r="M16">
        <f>IF(OR($E16="",$E15=""),"",MAX($E15-$E16,0))</f>
        <v>0</v>
      </c>
      <c r="N16">
        <f>IF(COUNT($E$2:$E16)&lt;15,"",IF(AVERAGE($M$3:$M$16)=0,100,100-100/(1+AVERAGE($L$3:$L$16)/AVERAGE($M$3:$M$16))))</f>
        <v>0</v>
      </c>
      <c r="O16">
        <f>IF($E16="","",IF($E15="",$E16,$E16*0.1538461538+O15*0.8461538462))</f>
        <v>0</v>
      </c>
      <c r="P16">
        <f>IF($E16="","",IF($E15="",$E16,$E16*0.0740740741+P15*0.9259259259))</f>
        <v>0</v>
      </c>
      <c r="Q16">
        <f>IF(OR(O16="",P16=""),"",O16-P16)</f>
        <v>0</v>
      </c>
      <c r="R16">
        <f>IF(Q16="","",IF(R15="",Q16,Q16*0.2000000000+R15*0.8000000000))</f>
        <v>0</v>
      </c>
      <c r="S16">
        <f>IF(OR(Q16="",R16=""),"",Q16-R16)</f>
        <v>0</v>
      </c>
      <c r="T16">
        <f>IF(COUNT($E$2:$E16)&lt;14,"",MAX($C$3:$C$16))</f>
        <v>0</v>
      </c>
      <c r="U16">
        <f>IF(COUNT($E$2:$E16)&lt;14,"",MIN($D$3:$D$16))</f>
        <v>0</v>
      </c>
      <c r="V16">
        <f>IF(OR(T16="",U16="",T16=U16),"",100*($E16-U16)/(T16-U16))</f>
        <v>0</v>
      </c>
      <c r="W16">
        <f>IF(COUNT($V$14:$V$16)&lt;3,"",AVERAGE($V$14:$V$16))</f>
        <v>0</v>
      </c>
      <c r="X16">
        <f>IF(COUNT($N$3:$N$16)&lt;14,"",MIN($N$3:$N$16))</f>
        <v>0</v>
      </c>
      <c r="Y16">
        <f>IF(COUNT($N$3:$N$16)&lt;14,"",MAX($N$3:$N$16))</f>
        <v>0</v>
      </c>
      <c r="Z16">
        <f>IF(OR(N16="",X16="",Y16="",Y16=X16),"",100*(N16-X16)/(Y16-X16))</f>
        <v>0</v>
      </c>
      <c r="AA16">
        <f>IF(COUNT($Z$14:$Z$16)&lt;3,"",AVERAGE($Z$14:$Z$16))</f>
        <v>0</v>
      </c>
      <c r="AB16">
        <f>IF(COUNT($AA$14:$AA$16)&lt;3,"",AVERAGE($AA$14:$AA$16))</f>
        <v>0</v>
      </c>
      <c r="AC16">
        <f>IF($E16="","",MAX($C16-$D16,ABS($C16-$E15),ABS($D16-$E15)))</f>
        <v>0</v>
      </c>
      <c r="AD16">
        <f>IF(COUNT($E$2:$E16)&lt;15,"",AVERAGE($AC$3:$AC$16))</f>
        <v>0</v>
      </c>
      <c r="AE16">
        <f>IF(OR($E16="",$E15=""),"",IF(AND(($C16-$C15)&gt;($D15-$D16),($C16-$C15)&gt;0),$C16-$C15,0))</f>
        <v>0</v>
      </c>
      <c r="AF16">
        <f>IF(OR($E16="",$E15=""),"",IF(AND(($D15-$D16)&gt;($C16-$C15),($D15-$D16)&gt;0),$D15-$D16,0))</f>
        <v>0</v>
      </c>
      <c r="AG16">
        <f>IF(COUNT($E$2:$E16)&lt;15,"",IF(SUM($AC$3:$AC$16)=0,0,100*SUM($AE$3:$AE$16)/SUM($AC$3:$AC$16)))</f>
        <v>0</v>
      </c>
      <c r="AH16">
        <f>IF(COUNT($E$2:$E16)&lt;15,"",IF(SUM($AC$3:$AC$16)=0,0,100*SUM($AF$3:$AF$16)/SUM($AC$3:$AC$16)))</f>
        <v>0</v>
      </c>
      <c r="AI16">
        <f>IF(OR(AG16="",AH16=""),"",IF((AG16+AH16)=0,0,100*ABS(AG16-AH16)/(AG16+AH16)))</f>
        <v>0</v>
      </c>
      <c r="AJ16">
        <f>IF(COUNT($AI$3:$AI$16)&lt;14,"",AVERAGE($AI$3:$AI$16))</f>
        <v>0</v>
      </c>
      <c r="AK16">
        <f>IF(COUNT($E$2:$E16)&lt;20,"",AVERAGE($E$2:$E$16))</f>
        <v>0</v>
      </c>
      <c r="AL16">
        <f>IF(COUNT($E$2:$E16)&lt;20,"",STDEVP($E$2:$E$16))</f>
        <v>0</v>
      </c>
      <c r="AM16">
        <f>IF(AK16="","",AK16+2*AL16)</f>
        <v>0</v>
      </c>
      <c r="AN16">
        <f>IF(AK16="","",AK16-2*AL16)</f>
        <v>0</v>
      </c>
      <c r="AO16">
        <f>IF(OR(AM16="",AN16="",AM16=AN16),"",($E16-AN16)/(AM16-AN16))</f>
        <v>0</v>
      </c>
      <c r="AP16">
        <f>IF(OR(AM16="",AK16="",AK16=0),"",(AM16-AN16)/AK16)</f>
        <v>0</v>
      </c>
      <c r="AQ16">
        <f>IF(COUNT($E$2:$E16)&lt;20,"",MAX($C$2:$C$16))</f>
        <v>0</v>
      </c>
      <c r="AR16">
        <f>IF(COUNT($E$2:$E16)&lt;20,"",MIN($D$2:$D$16))</f>
        <v>0</v>
      </c>
      <c r="AS16">
        <f>IF(OR(AQ16="",AR16=""),"",(AQ16+AR16)/2)</f>
        <v>0</v>
      </c>
      <c r="AT16">
        <f>IF(COUNT($G$2:$G$16)&lt;20,"",STDEV($G$2:$G$16)*SQRT(52))</f>
        <v>0</v>
      </c>
      <c r="AU16">
        <f>IF(COUNT($E$2:$E16)&lt;9,"",(MAX($C$8:$C$16)+MIN($D$8:$D$16))/2)</f>
        <v>0</v>
      </c>
      <c r="AV16">
        <f>IF(COUNT($E$2:$E16)&lt;26,"",(MAX($C$2:$C$16)+MIN($D$2:$D$16))/2)</f>
        <v>0</v>
      </c>
      <c r="AW16">
        <f>IF(OR(AU16="",AV16=""),"",(AU16+AV16)/2)</f>
        <v>0</v>
      </c>
      <c r="AX16">
        <f>IF(COUNT($E$2:$E16)&lt;52,"",(MAX($C$2:$C$16)+MIN($D$2:$D$16))/2)</f>
        <v>0</v>
      </c>
      <c r="AY16">
        <f>IF(COUNT($E$2:$E16)&lt;20,"",MAX($C$2:$C$16))</f>
        <v>0</v>
      </c>
      <c r="AZ16">
        <f>IF(COUNT($E$2:$E16)&lt;20,"",MIN($D$2:$D$16))</f>
        <v>0</v>
      </c>
      <c r="BA16">
        <f>IF(COUNT($E$2:$E16)&lt;20,"",SLOPE($E$2:$E$16,$F$2:$F$16))</f>
        <v>0</v>
      </c>
      <c r="BB16">
        <f>IF(COUNT($E$2:$E16)&lt;20,"",INTERCEPT($E$2:$E$16,$F$2:$F$16))</f>
        <v>0</v>
      </c>
      <c r="BC16">
        <f>IF(OR(BA16="",BB16=""),"",BB16+BA16*F16)</f>
        <v>0</v>
      </c>
      <c r="BD16">
        <f>IF(COUNT($E$2:$E16)&lt;20,"",STEYX($E$2:$E$16,$F$2:$F$16))</f>
        <v>0</v>
      </c>
      <c r="BE16">
        <f>IF($E16="","",IF(AND(COUNT($E$17:$E$20)&gt;=4,$C16=MAX($C$12:$C$20)),$C16,""))</f>
        <v>0</v>
      </c>
      <c r="BF16">
        <f>IF($E16="","",IF(AND(COUNT($E$17:$E$20)&gt;=4,$D16=MIN($D$12:$D$20)),$D16,""))</f>
        <v>0</v>
      </c>
      <c r="BG16">
        <f>IFERROR(SMALL(Calc_Daily!$BM$2:$BM$2001,15),"")</f>
        <v>0</v>
      </c>
    </row>
    <row r="17" spans="1:59">
      <c r="A17" s="27">
        <f>IF($BG17="","",INDEX(Calc_Daily!$A$2:$A$2001,$BG17))</f>
        <v>0</v>
      </c>
      <c r="B17">
        <f>IF($BG17="","",INDEX(Calc_Daily!$BJ$2:$BJ$2001,$BG17))</f>
        <v>0</v>
      </c>
      <c r="C17">
        <f>IF($BG17="","",INDEX(Calc_Daily!$BK$2:$BK$2001,$BG17))</f>
        <v>0</v>
      </c>
      <c r="D17">
        <f>IF($BG17="","",INDEX(Calc_Daily!$BL$2:$BL$2001,$BG17))</f>
        <v>0</v>
      </c>
      <c r="E17">
        <f>IF($BG17="","",INDEX(Calc_Daily!$E$2:$E$2001,$BG17))</f>
        <v>0</v>
      </c>
      <c r="F17">
        <f>IF($E17="","",N(F16)+1)</f>
        <v>0</v>
      </c>
      <c r="G17">
        <f>IF(OR($E17="",$E16=""),"",LN($E17/$E16))</f>
        <v>0</v>
      </c>
      <c r="H17">
        <f>IF($E17="","",IF($E16="",$E17,$E17*0.0952380952+H16*0.9047619048))</f>
        <v>0</v>
      </c>
      <c r="I17">
        <f>IF($E17="","",IF($E16="",$E17,$E17*0.0392156863+I16*0.9607843137))</f>
        <v>0</v>
      </c>
      <c r="J17">
        <f>IF($E17="","",IF($E16="",$E17,$E17*0.0198019802+J16*0.9801980198))</f>
        <v>0</v>
      </c>
      <c r="K17">
        <f>IF($E17="","",IF($E16="",$E17,$E17*0.0099502488+K16*0.9900497512))</f>
        <v>0</v>
      </c>
      <c r="L17">
        <f>IF(OR($E17="",$E16=""),"",MAX($E17-$E16,0))</f>
        <v>0</v>
      </c>
      <c r="M17">
        <f>IF(OR($E17="",$E16=""),"",MAX($E16-$E17,0))</f>
        <v>0</v>
      </c>
      <c r="N17">
        <f>IF(COUNT($E$2:$E17)&lt;15,"",IF(AVERAGE($M$4:$M$17)=0,100,100-100/(1+AVERAGE($L$4:$L$17)/AVERAGE($M$4:$M$17))))</f>
        <v>0</v>
      </c>
      <c r="O17">
        <f>IF($E17="","",IF($E16="",$E17,$E17*0.1538461538+O16*0.8461538462))</f>
        <v>0</v>
      </c>
      <c r="P17">
        <f>IF($E17="","",IF($E16="",$E17,$E17*0.0740740741+P16*0.9259259259))</f>
        <v>0</v>
      </c>
      <c r="Q17">
        <f>IF(OR(O17="",P17=""),"",O17-P17)</f>
        <v>0</v>
      </c>
      <c r="R17">
        <f>IF(Q17="","",IF(R16="",Q17,Q17*0.2000000000+R16*0.8000000000))</f>
        <v>0</v>
      </c>
      <c r="S17">
        <f>IF(OR(Q17="",R17=""),"",Q17-R17)</f>
        <v>0</v>
      </c>
      <c r="T17">
        <f>IF(COUNT($E$2:$E17)&lt;14,"",MAX($C$4:$C$17))</f>
        <v>0</v>
      </c>
      <c r="U17">
        <f>IF(COUNT($E$2:$E17)&lt;14,"",MIN($D$4:$D$17))</f>
        <v>0</v>
      </c>
      <c r="V17">
        <f>IF(OR(T17="",U17="",T17=U17),"",100*($E17-U17)/(T17-U17))</f>
        <v>0</v>
      </c>
      <c r="W17">
        <f>IF(COUNT($V$15:$V$17)&lt;3,"",AVERAGE($V$15:$V$17))</f>
        <v>0</v>
      </c>
      <c r="X17">
        <f>IF(COUNT($N$4:$N$17)&lt;14,"",MIN($N$4:$N$17))</f>
        <v>0</v>
      </c>
      <c r="Y17">
        <f>IF(COUNT($N$4:$N$17)&lt;14,"",MAX($N$4:$N$17))</f>
        <v>0</v>
      </c>
      <c r="Z17">
        <f>IF(OR(N17="",X17="",Y17="",Y17=X17),"",100*(N17-X17)/(Y17-X17))</f>
        <v>0</v>
      </c>
      <c r="AA17">
        <f>IF(COUNT($Z$15:$Z$17)&lt;3,"",AVERAGE($Z$15:$Z$17))</f>
        <v>0</v>
      </c>
      <c r="AB17">
        <f>IF(COUNT($AA$15:$AA$17)&lt;3,"",AVERAGE($AA$15:$AA$17))</f>
        <v>0</v>
      </c>
      <c r="AC17">
        <f>IF($E17="","",MAX($C17-$D17,ABS($C17-$E16),ABS($D17-$E16)))</f>
        <v>0</v>
      </c>
      <c r="AD17">
        <f>IF(COUNT($E$2:$E17)&lt;15,"",AVERAGE($AC$4:$AC$17))</f>
        <v>0</v>
      </c>
      <c r="AE17">
        <f>IF(OR($E17="",$E16=""),"",IF(AND(($C17-$C16)&gt;($D16-$D17),($C17-$C16)&gt;0),$C17-$C16,0))</f>
        <v>0</v>
      </c>
      <c r="AF17">
        <f>IF(OR($E17="",$E16=""),"",IF(AND(($D16-$D17)&gt;($C17-$C16),($D16-$D17)&gt;0),$D16-$D17,0))</f>
        <v>0</v>
      </c>
      <c r="AG17">
        <f>IF(COUNT($E$2:$E17)&lt;15,"",IF(SUM($AC$4:$AC$17)=0,0,100*SUM($AE$4:$AE$17)/SUM($AC$4:$AC$17)))</f>
        <v>0</v>
      </c>
      <c r="AH17">
        <f>IF(COUNT($E$2:$E17)&lt;15,"",IF(SUM($AC$4:$AC$17)=0,0,100*SUM($AF$4:$AF$17)/SUM($AC$4:$AC$17)))</f>
        <v>0</v>
      </c>
      <c r="AI17">
        <f>IF(OR(AG17="",AH17=""),"",IF((AG17+AH17)=0,0,100*ABS(AG17-AH17)/(AG17+AH17)))</f>
        <v>0</v>
      </c>
      <c r="AJ17">
        <f>IF(COUNT($AI$4:$AI$17)&lt;14,"",AVERAGE($AI$4:$AI$17))</f>
        <v>0</v>
      </c>
      <c r="AK17">
        <f>IF(COUNT($E$2:$E17)&lt;20,"",AVERAGE($E$2:$E$17))</f>
        <v>0</v>
      </c>
      <c r="AL17">
        <f>IF(COUNT($E$2:$E17)&lt;20,"",STDEVP($E$2:$E$17))</f>
        <v>0</v>
      </c>
      <c r="AM17">
        <f>IF(AK17="","",AK17+2*AL17)</f>
        <v>0</v>
      </c>
      <c r="AN17">
        <f>IF(AK17="","",AK17-2*AL17)</f>
        <v>0</v>
      </c>
      <c r="AO17">
        <f>IF(OR(AM17="",AN17="",AM17=AN17),"",($E17-AN17)/(AM17-AN17))</f>
        <v>0</v>
      </c>
      <c r="AP17">
        <f>IF(OR(AM17="",AK17="",AK17=0),"",(AM17-AN17)/AK17)</f>
        <v>0</v>
      </c>
      <c r="AQ17">
        <f>IF(COUNT($E$2:$E17)&lt;20,"",MAX($C$2:$C$17))</f>
        <v>0</v>
      </c>
      <c r="AR17">
        <f>IF(COUNT($E$2:$E17)&lt;20,"",MIN($D$2:$D$17))</f>
        <v>0</v>
      </c>
      <c r="AS17">
        <f>IF(OR(AQ17="",AR17=""),"",(AQ17+AR17)/2)</f>
        <v>0</v>
      </c>
      <c r="AT17">
        <f>IF(COUNT($G$2:$G$17)&lt;20,"",STDEV($G$2:$G$17)*SQRT(52))</f>
        <v>0</v>
      </c>
      <c r="AU17">
        <f>IF(COUNT($E$2:$E17)&lt;9,"",(MAX($C$9:$C$17)+MIN($D$9:$D$17))/2)</f>
        <v>0</v>
      </c>
      <c r="AV17">
        <f>IF(COUNT($E$2:$E17)&lt;26,"",(MAX($C$2:$C$17)+MIN($D$2:$D$17))/2)</f>
        <v>0</v>
      </c>
      <c r="AW17">
        <f>IF(OR(AU17="",AV17=""),"",(AU17+AV17)/2)</f>
        <v>0</v>
      </c>
      <c r="AX17">
        <f>IF(COUNT($E$2:$E17)&lt;52,"",(MAX($C$2:$C$17)+MIN($D$2:$D$17))/2)</f>
        <v>0</v>
      </c>
      <c r="AY17">
        <f>IF(COUNT($E$2:$E17)&lt;20,"",MAX($C$2:$C$17))</f>
        <v>0</v>
      </c>
      <c r="AZ17">
        <f>IF(COUNT($E$2:$E17)&lt;20,"",MIN($D$2:$D$17))</f>
        <v>0</v>
      </c>
      <c r="BA17">
        <f>IF(COUNT($E$2:$E17)&lt;20,"",SLOPE($E$2:$E$17,$F$2:$F$17))</f>
        <v>0</v>
      </c>
      <c r="BB17">
        <f>IF(COUNT($E$2:$E17)&lt;20,"",INTERCEPT($E$2:$E$17,$F$2:$F$17))</f>
        <v>0</v>
      </c>
      <c r="BC17">
        <f>IF(OR(BA17="",BB17=""),"",BB17+BA17*F17)</f>
        <v>0</v>
      </c>
      <c r="BD17">
        <f>IF(COUNT($E$2:$E17)&lt;20,"",STEYX($E$2:$E$17,$F$2:$F$17))</f>
        <v>0</v>
      </c>
      <c r="BE17">
        <f>IF($E17="","",IF(AND(COUNT($E$18:$E$21)&gt;=4,$C17=MAX($C$13:$C$21)),$C17,""))</f>
        <v>0</v>
      </c>
      <c r="BF17">
        <f>IF($E17="","",IF(AND(COUNT($E$18:$E$21)&gt;=4,$D17=MIN($D$13:$D$21)),$D17,""))</f>
        <v>0</v>
      </c>
      <c r="BG17">
        <f>IFERROR(SMALL(Calc_Daily!$BM$2:$BM$2001,16),"")</f>
        <v>0</v>
      </c>
    </row>
    <row r="18" spans="1:59">
      <c r="A18" s="27">
        <f>IF($BG18="","",INDEX(Calc_Daily!$A$2:$A$2001,$BG18))</f>
        <v>0</v>
      </c>
      <c r="B18">
        <f>IF($BG18="","",INDEX(Calc_Daily!$BJ$2:$BJ$2001,$BG18))</f>
        <v>0</v>
      </c>
      <c r="C18">
        <f>IF($BG18="","",INDEX(Calc_Daily!$BK$2:$BK$2001,$BG18))</f>
        <v>0</v>
      </c>
      <c r="D18">
        <f>IF($BG18="","",INDEX(Calc_Daily!$BL$2:$BL$2001,$BG18))</f>
        <v>0</v>
      </c>
      <c r="E18">
        <f>IF($BG18="","",INDEX(Calc_Daily!$E$2:$E$2001,$BG18))</f>
        <v>0</v>
      </c>
      <c r="F18">
        <f>IF($E18="","",N(F17)+1)</f>
        <v>0</v>
      </c>
      <c r="G18">
        <f>IF(OR($E18="",$E17=""),"",LN($E18/$E17))</f>
        <v>0</v>
      </c>
      <c r="H18">
        <f>IF($E18="","",IF($E17="",$E18,$E18*0.0952380952+H17*0.9047619048))</f>
        <v>0</v>
      </c>
      <c r="I18">
        <f>IF($E18="","",IF($E17="",$E18,$E18*0.0392156863+I17*0.9607843137))</f>
        <v>0</v>
      </c>
      <c r="J18">
        <f>IF($E18="","",IF($E17="",$E18,$E18*0.0198019802+J17*0.9801980198))</f>
        <v>0</v>
      </c>
      <c r="K18">
        <f>IF($E18="","",IF($E17="",$E18,$E18*0.0099502488+K17*0.9900497512))</f>
        <v>0</v>
      </c>
      <c r="L18">
        <f>IF(OR($E18="",$E17=""),"",MAX($E18-$E17,0))</f>
        <v>0</v>
      </c>
      <c r="M18">
        <f>IF(OR($E18="",$E17=""),"",MAX($E17-$E18,0))</f>
        <v>0</v>
      </c>
      <c r="N18">
        <f>IF(COUNT($E$2:$E18)&lt;15,"",IF(AVERAGE($M$5:$M$18)=0,100,100-100/(1+AVERAGE($L$5:$L$18)/AVERAGE($M$5:$M$18))))</f>
        <v>0</v>
      </c>
      <c r="O18">
        <f>IF($E18="","",IF($E17="",$E18,$E18*0.1538461538+O17*0.8461538462))</f>
        <v>0</v>
      </c>
      <c r="P18">
        <f>IF($E18="","",IF($E17="",$E18,$E18*0.0740740741+P17*0.9259259259))</f>
        <v>0</v>
      </c>
      <c r="Q18">
        <f>IF(OR(O18="",P18=""),"",O18-P18)</f>
        <v>0</v>
      </c>
      <c r="R18">
        <f>IF(Q18="","",IF(R17="",Q18,Q18*0.2000000000+R17*0.8000000000))</f>
        <v>0</v>
      </c>
      <c r="S18">
        <f>IF(OR(Q18="",R18=""),"",Q18-R18)</f>
        <v>0</v>
      </c>
      <c r="T18">
        <f>IF(COUNT($E$2:$E18)&lt;14,"",MAX($C$5:$C$18))</f>
        <v>0</v>
      </c>
      <c r="U18">
        <f>IF(COUNT($E$2:$E18)&lt;14,"",MIN($D$5:$D$18))</f>
        <v>0</v>
      </c>
      <c r="V18">
        <f>IF(OR(T18="",U18="",T18=U18),"",100*($E18-U18)/(T18-U18))</f>
        <v>0</v>
      </c>
      <c r="W18">
        <f>IF(COUNT($V$16:$V$18)&lt;3,"",AVERAGE($V$16:$V$18))</f>
        <v>0</v>
      </c>
      <c r="X18">
        <f>IF(COUNT($N$5:$N$18)&lt;14,"",MIN($N$5:$N$18))</f>
        <v>0</v>
      </c>
      <c r="Y18">
        <f>IF(COUNT($N$5:$N$18)&lt;14,"",MAX($N$5:$N$18))</f>
        <v>0</v>
      </c>
      <c r="Z18">
        <f>IF(OR(N18="",X18="",Y18="",Y18=X18),"",100*(N18-X18)/(Y18-X18))</f>
        <v>0</v>
      </c>
      <c r="AA18">
        <f>IF(COUNT($Z$16:$Z$18)&lt;3,"",AVERAGE($Z$16:$Z$18))</f>
        <v>0</v>
      </c>
      <c r="AB18">
        <f>IF(COUNT($AA$16:$AA$18)&lt;3,"",AVERAGE($AA$16:$AA$18))</f>
        <v>0</v>
      </c>
      <c r="AC18">
        <f>IF($E18="","",MAX($C18-$D18,ABS($C18-$E17),ABS($D18-$E17)))</f>
        <v>0</v>
      </c>
      <c r="AD18">
        <f>IF(COUNT($E$2:$E18)&lt;15,"",AVERAGE($AC$5:$AC$18))</f>
        <v>0</v>
      </c>
      <c r="AE18">
        <f>IF(OR($E18="",$E17=""),"",IF(AND(($C18-$C17)&gt;($D17-$D18),($C18-$C17)&gt;0),$C18-$C17,0))</f>
        <v>0</v>
      </c>
      <c r="AF18">
        <f>IF(OR($E18="",$E17=""),"",IF(AND(($D17-$D18)&gt;($C18-$C17),($D17-$D18)&gt;0),$D17-$D18,0))</f>
        <v>0</v>
      </c>
      <c r="AG18">
        <f>IF(COUNT($E$2:$E18)&lt;15,"",IF(SUM($AC$5:$AC$18)=0,0,100*SUM($AE$5:$AE$18)/SUM($AC$5:$AC$18)))</f>
        <v>0</v>
      </c>
      <c r="AH18">
        <f>IF(COUNT($E$2:$E18)&lt;15,"",IF(SUM($AC$5:$AC$18)=0,0,100*SUM($AF$5:$AF$18)/SUM($AC$5:$AC$18)))</f>
        <v>0</v>
      </c>
      <c r="AI18">
        <f>IF(OR(AG18="",AH18=""),"",IF((AG18+AH18)=0,0,100*ABS(AG18-AH18)/(AG18+AH18)))</f>
        <v>0</v>
      </c>
      <c r="AJ18">
        <f>IF(COUNT($AI$5:$AI$18)&lt;14,"",AVERAGE($AI$5:$AI$18))</f>
        <v>0</v>
      </c>
      <c r="AK18">
        <f>IF(COUNT($E$2:$E18)&lt;20,"",AVERAGE($E$2:$E$18))</f>
        <v>0</v>
      </c>
      <c r="AL18">
        <f>IF(COUNT($E$2:$E18)&lt;20,"",STDEVP($E$2:$E$18))</f>
        <v>0</v>
      </c>
      <c r="AM18">
        <f>IF(AK18="","",AK18+2*AL18)</f>
        <v>0</v>
      </c>
      <c r="AN18">
        <f>IF(AK18="","",AK18-2*AL18)</f>
        <v>0</v>
      </c>
      <c r="AO18">
        <f>IF(OR(AM18="",AN18="",AM18=AN18),"",($E18-AN18)/(AM18-AN18))</f>
        <v>0</v>
      </c>
      <c r="AP18">
        <f>IF(OR(AM18="",AK18="",AK18=0),"",(AM18-AN18)/AK18)</f>
        <v>0</v>
      </c>
      <c r="AQ18">
        <f>IF(COUNT($E$2:$E18)&lt;20,"",MAX($C$2:$C$18))</f>
        <v>0</v>
      </c>
      <c r="AR18">
        <f>IF(COUNT($E$2:$E18)&lt;20,"",MIN($D$2:$D$18))</f>
        <v>0</v>
      </c>
      <c r="AS18">
        <f>IF(OR(AQ18="",AR18=""),"",(AQ18+AR18)/2)</f>
        <v>0</v>
      </c>
      <c r="AT18">
        <f>IF(COUNT($G$2:$G$18)&lt;20,"",STDEV($G$2:$G$18)*SQRT(52))</f>
        <v>0</v>
      </c>
      <c r="AU18">
        <f>IF(COUNT($E$2:$E18)&lt;9,"",(MAX($C$10:$C$18)+MIN($D$10:$D$18))/2)</f>
        <v>0</v>
      </c>
      <c r="AV18">
        <f>IF(COUNT($E$2:$E18)&lt;26,"",(MAX($C$2:$C$18)+MIN($D$2:$D$18))/2)</f>
        <v>0</v>
      </c>
      <c r="AW18">
        <f>IF(OR(AU18="",AV18=""),"",(AU18+AV18)/2)</f>
        <v>0</v>
      </c>
      <c r="AX18">
        <f>IF(COUNT($E$2:$E18)&lt;52,"",(MAX($C$2:$C$18)+MIN($D$2:$D$18))/2)</f>
        <v>0</v>
      </c>
      <c r="AY18">
        <f>IF(COUNT($E$2:$E18)&lt;20,"",MAX($C$2:$C$18))</f>
        <v>0</v>
      </c>
      <c r="AZ18">
        <f>IF(COUNT($E$2:$E18)&lt;20,"",MIN($D$2:$D$18))</f>
        <v>0</v>
      </c>
      <c r="BA18">
        <f>IF(COUNT($E$2:$E18)&lt;20,"",SLOPE($E$2:$E$18,$F$2:$F$18))</f>
        <v>0</v>
      </c>
      <c r="BB18">
        <f>IF(COUNT($E$2:$E18)&lt;20,"",INTERCEPT($E$2:$E$18,$F$2:$F$18))</f>
        <v>0</v>
      </c>
      <c r="BC18">
        <f>IF(OR(BA18="",BB18=""),"",BB18+BA18*F18)</f>
        <v>0</v>
      </c>
      <c r="BD18">
        <f>IF(COUNT($E$2:$E18)&lt;20,"",STEYX($E$2:$E$18,$F$2:$F$18))</f>
        <v>0</v>
      </c>
      <c r="BE18">
        <f>IF($E18="","",IF(AND(COUNT($E$19:$E$22)&gt;=4,$C18=MAX($C$14:$C$22)),$C18,""))</f>
        <v>0</v>
      </c>
      <c r="BF18">
        <f>IF($E18="","",IF(AND(COUNT($E$19:$E$22)&gt;=4,$D18=MIN($D$14:$D$22)),$D18,""))</f>
        <v>0</v>
      </c>
      <c r="BG18">
        <f>IFERROR(SMALL(Calc_Daily!$BM$2:$BM$2001,17),"")</f>
        <v>0</v>
      </c>
    </row>
    <row r="19" spans="1:59">
      <c r="A19" s="27">
        <f>IF($BG19="","",INDEX(Calc_Daily!$A$2:$A$2001,$BG19))</f>
        <v>0</v>
      </c>
      <c r="B19">
        <f>IF($BG19="","",INDEX(Calc_Daily!$BJ$2:$BJ$2001,$BG19))</f>
        <v>0</v>
      </c>
      <c r="C19">
        <f>IF($BG19="","",INDEX(Calc_Daily!$BK$2:$BK$2001,$BG19))</f>
        <v>0</v>
      </c>
      <c r="D19">
        <f>IF($BG19="","",INDEX(Calc_Daily!$BL$2:$BL$2001,$BG19))</f>
        <v>0</v>
      </c>
      <c r="E19">
        <f>IF($BG19="","",INDEX(Calc_Daily!$E$2:$E$2001,$BG19))</f>
        <v>0</v>
      </c>
      <c r="F19">
        <f>IF($E19="","",N(F18)+1)</f>
        <v>0</v>
      </c>
      <c r="G19">
        <f>IF(OR($E19="",$E18=""),"",LN($E19/$E18))</f>
        <v>0</v>
      </c>
      <c r="H19">
        <f>IF($E19="","",IF($E18="",$E19,$E19*0.0952380952+H18*0.9047619048))</f>
        <v>0</v>
      </c>
      <c r="I19">
        <f>IF($E19="","",IF($E18="",$E19,$E19*0.0392156863+I18*0.9607843137))</f>
        <v>0</v>
      </c>
      <c r="J19">
        <f>IF($E19="","",IF($E18="",$E19,$E19*0.0198019802+J18*0.9801980198))</f>
        <v>0</v>
      </c>
      <c r="K19">
        <f>IF($E19="","",IF($E18="",$E19,$E19*0.0099502488+K18*0.9900497512))</f>
        <v>0</v>
      </c>
      <c r="L19">
        <f>IF(OR($E19="",$E18=""),"",MAX($E19-$E18,0))</f>
        <v>0</v>
      </c>
      <c r="M19">
        <f>IF(OR($E19="",$E18=""),"",MAX($E18-$E19,0))</f>
        <v>0</v>
      </c>
      <c r="N19">
        <f>IF(COUNT($E$2:$E19)&lt;15,"",IF(AVERAGE($M$6:$M$19)=0,100,100-100/(1+AVERAGE($L$6:$L$19)/AVERAGE($M$6:$M$19))))</f>
        <v>0</v>
      </c>
      <c r="O19">
        <f>IF($E19="","",IF($E18="",$E19,$E19*0.1538461538+O18*0.8461538462))</f>
        <v>0</v>
      </c>
      <c r="P19">
        <f>IF($E19="","",IF($E18="",$E19,$E19*0.0740740741+P18*0.9259259259))</f>
        <v>0</v>
      </c>
      <c r="Q19">
        <f>IF(OR(O19="",P19=""),"",O19-P19)</f>
        <v>0</v>
      </c>
      <c r="R19">
        <f>IF(Q19="","",IF(R18="",Q19,Q19*0.2000000000+R18*0.8000000000))</f>
        <v>0</v>
      </c>
      <c r="S19">
        <f>IF(OR(Q19="",R19=""),"",Q19-R19)</f>
        <v>0</v>
      </c>
      <c r="T19">
        <f>IF(COUNT($E$2:$E19)&lt;14,"",MAX($C$6:$C$19))</f>
        <v>0</v>
      </c>
      <c r="U19">
        <f>IF(COUNT($E$2:$E19)&lt;14,"",MIN($D$6:$D$19))</f>
        <v>0</v>
      </c>
      <c r="V19">
        <f>IF(OR(T19="",U19="",T19=U19),"",100*($E19-U19)/(T19-U19))</f>
        <v>0</v>
      </c>
      <c r="W19">
        <f>IF(COUNT($V$17:$V$19)&lt;3,"",AVERAGE($V$17:$V$19))</f>
        <v>0</v>
      </c>
      <c r="X19">
        <f>IF(COUNT($N$6:$N$19)&lt;14,"",MIN($N$6:$N$19))</f>
        <v>0</v>
      </c>
      <c r="Y19">
        <f>IF(COUNT($N$6:$N$19)&lt;14,"",MAX($N$6:$N$19))</f>
        <v>0</v>
      </c>
      <c r="Z19">
        <f>IF(OR(N19="",X19="",Y19="",Y19=X19),"",100*(N19-X19)/(Y19-X19))</f>
        <v>0</v>
      </c>
      <c r="AA19">
        <f>IF(COUNT($Z$17:$Z$19)&lt;3,"",AVERAGE($Z$17:$Z$19))</f>
        <v>0</v>
      </c>
      <c r="AB19">
        <f>IF(COUNT($AA$17:$AA$19)&lt;3,"",AVERAGE($AA$17:$AA$19))</f>
        <v>0</v>
      </c>
      <c r="AC19">
        <f>IF($E19="","",MAX($C19-$D19,ABS($C19-$E18),ABS($D19-$E18)))</f>
        <v>0</v>
      </c>
      <c r="AD19">
        <f>IF(COUNT($E$2:$E19)&lt;15,"",AVERAGE($AC$6:$AC$19))</f>
        <v>0</v>
      </c>
      <c r="AE19">
        <f>IF(OR($E19="",$E18=""),"",IF(AND(($C19-$C18)&gt;($D18-$D19),($C19-$C18)&gt;0),$C19-$C18,0))</f>
        <v>0</v>
      </c>
      <c r="AF19">
        <f>IF(OR($E19="",$E18=""),"",IF(AND(($D18-$D19)&gt;($C19-$C18),($D18-$D19)&gt;0),$D18-$D19,0))</f>
        <v>0</v>
      </c>
      <c r="AG19">
        <f>IF(COUNT($E$2:$E19)&lt;15,"",IF(SUM($AC$6:$AC$19)=0,0,100*SUM($AE$6:$AE$19)/SUM($AC$6:$AC$19)))</f>
        <v>0</v>
      </c>
      <c r="AH19">
        <f>IF(COUNT($E$2:$E19)&lt;15,"",IF(SUM($AC$6:$AC$19)=0,0,100*SUM($AF$6:$AF$19)/SUM($AC$6:$AC$19)))</f>
        <v>0</v>
      </c>
      <c r="AI19">
        <f>IF(OR(AG19="",AH19=""),"",IF((AG19+AH19)=0,0,100*ABS(AG19-AH19)/(AG19+AH19)))</f>
        <v>0</v>
      </c>
      <c r="AJ19">
        <f>IF(COUNT($AI$6:$AI$19)&lt;14,"",AVERAGE($AI$6:$AI$19))</f>
        <v>0</v>
      </c>
      <c r="AK19">
        <f>IF(COUNT($E$2:$E19)&lt;20,"",AVERAGE($E$2:$E$19))</f>
        <v>0</v>
      </c>
      <c r="AL19">
        <f>IF(COUNT($E$2:$E19)&lt;20,"",STDEVP($E$2:$E$19))</f>
        <v>0</v>
      </c>
      <c r="AM19">
        <f>IF(AK19="","",AK19+2*AL19)</f>
        <v>0</v>
      </c>
      <c r="AN19">
        <f>IF(AK19="","",AK19-2*AL19)</f>
        <v>0</v>
      </c>
      <c r="AO19">
        <f>IF(OR(AM19="",AN19="",AM19=AN19),"",($E19-AN19)/(AM19-AN19))</f>
        <v>0</v>
      </c>
      <c r="AP19">
        <f>IF(OR(AM19="",AK19="",AK19=0),"",(AM19-AN19)/AK19)</f>
        <v>0</v>
      </c>
      <c r="AQ19">
        <f>IF(COUNT($E$2:$E19)&lt;20,"",MAX($C$2:$C$19))</f>
        <v>0</v>
      </c>
      <c r="AR19">
        <f>IF(COUNT($E$2:$E19)&lt;20,"",MIN($D$2:$D$19))</f>
        <v>0</v>
      </c>
      <c r="AS19">
        <f>IF(OR(AQ19="",AR19=""),"",(AQ19+AR19)/2)</f>
        <v>0</v>
      </c>
      <c r="AT19">
        <f>IF(COUNT($G$2:$G$19)&lt;20,"",STDEV($G$2:$G$19)*SQRT(52))</f>
        <v>0</v>
      </c>
      <c r="AU19">
        <f>IF(COUNT($E$2:$E19)&lt;9,"",(MAX($C$11:$C$19)+MIN($D$11:$D$19))/2)</f>
        <v>0</v>
      </c>
      <c r="AV19">
        <f>IF(COUNT($E$2:$E19)&lt;26,"",(MAX($C$2:$C$19)+MIN($D$2:$D$19))/2)</f>
        <v>0</v>
      </c>
      <c r="AW19">
        <f>IF(OR(AU19="",AV19=""),"",(AU19+AV19)/2)</f>
        <v>0</v>
      </c>
      <c r="AX19">
        <f>IF(COUNT($E$2:$E19)&lt;52,"",(MAX($C$2:$C$19)+MIN($D$2:$D$19))/2)</f>
        <v>0</v>
      </c>
      <c r="AY19">
        <f>IF(COUNT($E$2:$E19)&lt;20,"",MAX($C$2:$C$19))</f>
        <v>0</v>
      </c>
      <c r="AZ19">
        <f>IF(COUNT($E$2:$E19)&lt;20,"",MIN($D$2:$D$19))</f>
        <v>0</v>
      </c>
      <c r="BA19">
        <f>IF(COUNT($E$2:$E19)&lt;20,"",SLOPE($E$2:$E$19,$F$2:$F$19))</f>
        <v>0</v>
      </c>
      <c r="BB19">
        <f>IF(COUNT($E$2:$E19)&lt;20,"",INTERCEPT($E$2:$E$19,$F$2:$F$19))</f>
        <v>0</v>
      </c>
      <c r="BC19">
        <f>IF(OR(BA19="",BB19=""),"",BB19+BA19*F19)</f>
        <v>0</v>
      </c>
      <c r="BD19">
        <f>IF(COUNT($E$2:$E19)&lt;20,"",STEYX($E$2:$E$19,$F$2:$F$19))</f>
        <v>0</v>
      </c>
      <c r="BE19">
        <f>IF($E19="","",IF(AND(COUNT($E$20:$E$23)&gt;=4,$C19=MAX($C$15:$C$23)),$C19,""))</f>
        <v>0</v>
      </c>
      <c r="BF19">
        <f>IF($E19="","",IF(AND(COUNT($E$20:$E$23)&gt;=4,$D19=MIN($D$15:$D$23)),$D19,""))</f>
        <v>0</v>
      </c>
      <c r="BG19">
        <f>IFERROR(SMALL(Calc_Daily!$BM$2:$BM$2001,18),"")</f>
        <v>0</v>
      </c>
    </row>
    <row r="20" spans="1:59">
      <c r="A20" s="27">
        <f>IF($BG20="","",INDEX(Calc_Daily!$A$2:$A$2001,$BG20))</f>
        <v>0</v>
      </c>
      <c r="B20">
        <f>IF($BG20="","",INDEX(Calc_Daily!$BJ$2:$BJ$2001,$BG20))</f>
        <v>0</v>
      </c>
      <c r="C20">
        <f>IF($BG20="","",INDEX(Calc_Daily!$BK$2:$BK$2001,$BG20))</f>
        <v>0</v>
      </c>
      <c r="D20">
        <f>IF($BG20="","",INDEX(Calc_Daily!$BL$2:$BL$2001,$BG20))</f>
        <v>0</v>
      </c>
      <c r="E20">
        <f>IF($BG20="","",INDEX(Calc_Daily!$E$2:$E$2001,$BG20))</f>
        <v>0</v>
      </c>
      <c r="F20">
        <f>IF($E20="","",N(F19)+1)</f>
        <v>0</v>
      </c>
      <c r="G20">
        <f>IF(OR($E20="",$E19=""),"",LN($E20/$E19))</f>
        <v>0</v>
      </c>
      <c r="H20">
        <f>IF($E20="","",IF($E19="",$E20,$E20*0.0952380952+H19*0.9047619048))</f>
        <v>0</v>
      </c>
      <c r="I20">
        <f>IF($E20="","",IF($E19="",$E20,$E20*0.0392156863+I19*0.9607843137))</f>
        <v>0</v>
      </c>
      <c r="J20">
        <f>IF($E20="","",IF($E19="",$E20,$E20*0.0198019802+J19*0.9801980198))</f>
        <v>0</v>
      </c>
      <c r="K20">
        <f>IF($E20="","",IF($E19="",$E20,$E20*0.0099502488+K19*0.9900497512))</f>
        <v>0</v>
      </c>
      <c r="L20">
        <f>IF(OR($E20="",$E19=""),"",MAX($E20-$E19,0))</f>
        <v>0</v>
      </c>
      <c r="M20">
        <f>IF(OR($E20="",$E19=""),"",MAX($E19-$E20,0))</f>
        <v>0</v>
      </c>
      <c r="N20">
        <f>IF(COUNT($E$2:$E20)&lt;15,"",IF(AVERAGE($M$7:$M$20)=0,100,100-100/(1+AVERAGE($L$7:$L$20)/AVERAGE($M$7:$M$20))))</f>
        <v>0</v>
      </c>
      <c r="O20">
        <f>IF($E20="","",IF($E19="",$E20,$E20*0.1538461538+O19*0.8461538462))</f>
        <v>0</v>
      </c>
      <c r="P20">
        <f>IF($E20="","",IF($E19="",$E20,$E20*0.0740740741+P19*0.9259259259))</f>
        <v>0</v>
      </c>
      <c r="Q20">
        <f>IF(OR(O20="",P20=""),"",O20-P20)</f>
        <v>0</v>
      </c>
      <c r="R20">
        <f>IF(Q20="","",IF(R19="",Q20,Q20*0.2000000000+R19*0.8000000000))</f>
        <v>0</v>
      </c>
      <c r="S20">
        <f>IF(OR(Q20="",R20=""),"",Q20-R20)</f>
        <v>0</v>
      </c>
      <c r="T20">
        <f>IF(COUNT($E$2:$E20)&lt;14,"",MAX($C$7:$C$20))</f>
        <v>0</v>
      </c>
      <c r="U20">
        <f>IF(COUNT($E$2:$E20)&lt;14,"",MIN($D$7:$D$20))</f>
        <v>0</v>
      </c>
      <c r="V20">
        <f>IF(OR(T20="",U20="",T20=U20),"",100*($E20-U20)/(T20-U20))</f>
        <v>0</v>
      </c>
      <c r="W20">
        <f>IF(COUNT($V$18:$V$20)&lt;3,"",AVERAGE($V$18:$V$20))</f>
        <v>0</v>
      </c>
      <c r="X20">
        <f>IF(COUNT($N$7:$N$20)&lt;14,"",MIN($N$7:$N$20))</f>
        <v>0</v>
      </c>
      <c r="Y20">
        <f>IF(COUNT($N$7:$N$20)&lt;14,"",MAX($N$7:$N$20))</f>
        <v>0</v>
      </c>
      <c r="Z20">
        <f>IF(OR(N20="",X20="",Y20="",Y20=X20),"",100*(N20-X20)/(Y20-X20))</f>
        <v>0</v>
      </c>
      <c r="AA20">
        <f>IF(COUNT($Z$18:$Z$20)&lt;3,"",AVERAGE($Z$18:$Z$20))</f>
        <v>0</v>
      </c>
      <c r="AB20">
        <f>IF(COUNT($AA$18:$AA$20)&lt;3,"",AVERAGE($AA$18:$AA$20))</f>
        <v>0</v>
      </c>
      <c r="AC20">
        <f>IF($E20="","",MAX($C20-$D20,ABS($C20-$E19),ABS($D20-$E19)))</f>
        <v>0</v>
      </c>
      <c r="AD20">
        <f>IF(COUNT($E$2:$E20)&lt;15,"",AVERAGE($AC$7:$AC$20))</f>
        <v>0</v>
      </c>
      <c r="AE20">
        <f>IF(OR($E20="",$E19=""),"",IF(AND(($C20-$C19)&gt;($D19-$D20),($C20-$C19)&gt;0),$C20-$C19,0))</f>
        <v>0</v>
      </c>
      <c r="AF20">
        <f>IF(OR($E20="",$E19=""),"",IF(AND(($D19-$D20)&gt;($C20-$C19),($D19-$D20)&gt;0),$D19-$D20,0))</f>
        <v>0</v>
      </c>
      <c r="AG20">
        <f>IF(COUNT($E$2:$E20)&lt;15,"",IF(SUM($AC$7:$AC$20)=0,0,100*SUM($AE$7:$AE$20)/SUM($AC$7:$AC$20)))</f>
        <v>0</v>
      </c>
      <c r="AH20">
        <f>IF(COUNT($E$2:$E20)&lt;15,"",IF(SUM($AC$7:$AC$20)=0,0,100*SUM($AF$7:$AF$20)/SUM($AC$7:$AC$20)))</f>
        <v>0</v>
      </c>
      <c r="AI20">
        <f>IF(OR(AG20="",AH20=""),"",IF((AG20+AH20)=0,0,100*ABS(AG20-AH20)/(AG20+AH20)))</f>
        <v>0</v>
      </c>
      <c r="AJ20">
        <f>IF(COUNT($AI$7:$AI$20)&lt;14,"",AVERAGE($AI$7:$AI$20))</f>
        <v>0</v>
      </c>
      <c r="AK20">
        <f>IF(COUNT($E$2:$E20)&lt;20,"",AVERAGE($E$2:$E$20))</f>
        <v>0</v>
      </c>
      <c r="AL20">
        <f>IF(COUNT($E$2:$E20)&lt;20,"",STDEVP($E$2:$E$20))</f>
        <v>0</v>
      </c>
      <c r="AM20">
        <f>IF(AK20="","",AK20+2*AL20)</f>
        <v>0</v>
      </c>
      <c r="AN20">
        <f>IF(AK20="","",AK20-2*AL20)</f>
        <v>0</v>
      </c>
      <c r="AO20">
        <f>IF(OR(AM20="",AN20="",AM20=AN20),"",($E20-AN20)/(AM20-AN20))</f>
        <v>0</v>
      </c>
      <c r="AP20">
        <f>IF(OR(AM20="",AK20="",AK20=0),"",(AM20-AN20)/AK20)</f>
        <v>0</v>
      </c>
      <c r="AQ20">
        <f>IF(COUNT($E$2:$E20)&lt;20,"",MAX($C$2:$C$20))</f>
        <v>0</v>
      </c>
      <c r="AR20">
        <f>IF(COUNT($E$2:$E20)&lt;20,"",MIN($D$2:$D$20))</f>
        <v>0</v>
      </c>
      <c r="AS20">
        <f>IF(OR(AQ20="",AR20=""),"",(AQ20+AR20)/2)</f>
        <v>0</v>
      </c>
      <c r="AT20">
        <f>IF(COUNT($G$2:$G$20)&lt;20,"",STDEV($G$2:$G$20)*SQRT(52))</f>
        <v>0</v>
      </c>
      <c r="AU20">
        <f>IF(COUNT($E$2:$E20)&lt;9,"",(MAX($C$12:$C$20)+MIN($D$12:$D$20))/2)</f>
        <v>0</v>
      </c>
      <c r="AV20">
        <f>IF(COUNT($E$2:$E20)&lt;26,"",(MAX($C$2:$C$20)+MIN($D$2:$D$20))/2)</f>
        <v>0</v>
      </c>
      <c r="AW20">
        <f>IF(OR(AU20="",AV20=""),"",(AU20+AV20)/2)</f>
        <v>0</v>
      </c>
      <c r="AX20">
        <f>IF(COUNT($E$2:$E20)&lt;52,"",(MAX($C$2:$C$20)+MIN($D$2:$D$20))/2)</f>
        <v>0</v>
      </c>
      <c r="AY20">
        <f>IF(COUNT($E$2:$E20)&lt;20,"",MAX($C$2:$C$20))</f>
        <v>0</v>
      </c>
      <c r="AZ20">
        <f>IF(COUNT($E$2:$E20)&lt;20,"",MIN($D$2:$D$20))</f>
        <v>0</v>
      </c>
      <c r="BA20">
        <f>IF(COUNT($E$2:$E20)&lt;20,"",SLOPE($E$2:$E$20,$F$2:$F$20))</f>
        <v>0</v>
      </c>
      <c r="BB20">
        <f>IF(COUNT($E$2:$E20)&lt;20,"",INTERCEPT($E$2:$E$20,$F$2:$F$20))</f>
        <v>0</v>
      </c>
      <c r="BC20">
        <f>IF(OR(BA20="",BB20=""),"",BB20+BA20*F20)</f>
        <v>0</v>
      </c>
      <c r="BD20">
        <f>IF(COUNT($E$2:$E20)&lt;20,"",STEYX($E$2:$E$20,$F$2:$F$20))</f>
        <v>0</v>
      </c>
      <c r="BE20">
        <f>IF($E20="","",IF(AND(COUNT($E$21:$E$24)&gt;=4,$C20=MAX($C$16:$C$24)),$C20,""))</f>
        <v>0</v>
      </c>
      <c r="BF20">
        <f>IF($E20="","",IF(AND(COUNT($E$21:$E$24)&gt;=4,$D20=MIN($D$16:$D$24)),$D20,""))</f>
        <v>0</v>
      </c>
      <c r="BG20">
        <f>IFERROR(SMALL(Calc_Daily!$BM$2:$BM$2001,19),"")</f>
        <v>0</v>
      </c>
    </row>
    <row r="21" spans="1:59">
      <c r="A21" s="27">
        <f>IF($BG21="","",INDEX(Calc_Daily!$A$2:$A$2001,$BG21))</f>
        <v>0</v>
      </c>
      <c r="B21">
        <f>IF($BG21="","",INDEX(Calc_Daily!$BJ$2:$BJ$2001,$BG21))</f>
        <v>0</v>
      </c>
      <c r="C21">
        <f>IF($BG21="","",INDEX(Calc_Daily!$BK$2:$BK$2001,$BG21))</f>
        <v>0</v>
      </c>
      <c r="D21">
        <f>IF($BG21="","",INDEX(Calc_Daily!$BL$2:$BL$2001,$BG21))</f>
        <v>0</v>
      </c>
      <c r="E21">
        <f>IF($BG21="","",INDEX(Calc_Daily!$E$2:$E$2001,$BG21))</f>
        <v>0</v>
      </c>
      <c r="F21">
        <f>IF($E21="","",N(F20)+1)</f>
        <v>0</v>
      </c>
      <c r="G21">
        <f>IF(OR($E21="",$E20=""),"",LN($E21/$E20))</f>
        <v>0</v>
      </c>
      <c r="H21">
        <f>IF($E21="","",IF($E20="",$E21,$E21*0.0952380952+H20*0.9047619048))</f>
        <v>0</v>
      </c>
      <c r="I21">
        <f>IF($E21="","",IF($E20="",$E21,$E21*0.0392156863+I20*0.9607843137))</f>
        <v>0</v>
      </c>
      <c r="J21">
        <f>IF($E21="","",IF($E20="",$E21,$E21*0.0198019802+J20*0.9801980198))</f>
        <v>0</v>
      </c>
      <c r="K21">
        <f>IF($E21="","",IF($E20="",$E21,$E21*0.0099502488+K20*0.9900497512))</f>
        <v>0</v>
      </c>
      <c r="L21">
        <f>IF(OR($E21="",$E20=""),"",MAX($E21-$E20,0))</f>
        <v>0</v>
      </c>
      <c r="M21">
        <f>IF(OR($E21="",$E20=""),"",MAX($E20-$E21,0))</f>
        <v>0</v>
      </c>
      <c r="N21">
        <f>IF(COUNT($E$2:$E21)&lt;15,"",IF(AVERAGE($M$8:$M$21)=0,100,100-100/(1+AVERAGE($L$8:$L$21)/AVERAGE($M$8:$M$21))))</f>
        <v>0</v>
      </c>
      <c r="O21">
        <f>IF($E21="","",IF($E20="",$E21,$E21*0.1538461538+O20*0.8461538462))</f>
        <v>0</v>
      </c>
      <c r="P21">
        <f>IF($E21="","",IF($E20="",$E21,$E21*0.0740740741+P20*0.9259259259))</f>
        <v>0</v>
      </c>
      <c r="Q21">
        <f>IF(OR(O21="",P21=""),"",O21-P21)</f>
        <v>0</v>
      </c>
      <c r="R21">
        <f>IF(Q21="","",IF(R20="",Q21,Q21*0.2000000000+R20*0.8000000000))</f>
        <v>0</v>
      </c>
      <c r="S21">
        <f>IF(OR(Q21="",R21=""),"",Q21-R21)</f>
        <v>0</v>
      </c>
      <c r="T21">
        <f>IF(COUNT($E$2:$E21)&lt;14,"",MAX($C$8:$C$21))</f>
        <v>0</v>
      </c>
      <c r="U21">
        <f>IF(COUNT($E$2:$E21)&lt;14,"",MIN($D$8:$D$21))</f>
        <v>0</v>
      </c>
      <c r="V21">
        <f>IF(OR(T21="",U21="",T21=U21),"",100*($E21-U21)/(T21-U21))</f>
        <v>0</v>
      </c>
      <c r="W21">
        <f>IF(COUNT($V$19:$V$21)&lt;3,"",AVERAGE($V$19:$V$21))</f>
        <v>0</v>
      </c>
      <c r="X21">
        <f>IF(COUNT($N$8:$N$21)&lt;14,"",MIN($N$8:$N$21))</f>
        <v>0</v>
      </c>
      <c r="Y21">
        <f>IF(COUNT($N$8:$N$21)&lt;14,"",MAX($N$8:$N$21))</f>
        <v>0</v>
      </c>
      <c r="Z21">
        <f>IF(OR(N21="",X21="",Y21="",Y21=X21),"",100*(N21-X21)/(Y21-X21))</f>
        <v>0</v>
      </c>
      <c r="AA21">
        <f>IF(COUNT($Z$19:$Z$21)&lt;3,"",AVERAGE($Z$19:$Z$21))</f>
        <v>0</v>
      </c>
      <c r="AB21">
        <f>IF(COUNT($AA$19:$AA$21)&lt;3,"",AVERAGE($AA$19:$AA$21))</f>
        <v>0</v>
      </c>
      <c r="AC21">
        <f>IF($E21="","",MAX($C21-$D21,ABS($C21-$E20),ABS($D21-$E20)))</f>
        <v>0</v>
      </c>
      <c r="AD21">
        <f>IF(COUNT($E$2:$E21)&lt;15,"",AVERAGE($AC$8:$AC$21))</f>
        <v>0</v>
      </c>
      <c r="AE21">
        <f>IF(OR($E21="",$E20=""),"",IF(AND(($C21-$C20)&gt;($D20-$D21),($C21-$C20)&gt;0),$C21-$C20,0))</f>
        <v>0</v>
      </c>
      <c r="AF21">
        <f>IF(OR($E21="",$E20=""),"",IF(AND(($D20-$D21)&gt;($C21-$C20),($D20-$D21)&gt;0),$D20-$D21,0))</f>
        <v>0</v>
      </c>
      <c r="AG21">
        <f>IF(COUNT($E$2:$E21)&lt;15,"",IF(SUM($AC$8:$AC$21)=0,0,100*SUM($AE$8:$AE$21)/SUM($AC$8:$AC$21)))</f>
        <v>0</v>
      </c>
      <c r="AH21">
        <f>IF(COUNT($E$2:$E21)&lt;15,"",IF(SUM($AC$8:$AC$21)=0,0,100*SUM($AF$8:$AF$21)/SUM($AC$8:$AC$21)))</f>
        <v>0</v>
      </c>
      <c r="AI21">
        <f>IF(OR(AG21="",AH21=""),"",IF((AG21+AH21)=0,0,100*ABS(AG21-AH21)/(AG21+AH21)))</f>
        <v>0</v>
      </c>
      <c r="AJ21">
        <f>IF(COUNT($AI$8:$AI$21)&lt;14,"",AVERAGE($AI$8:$AI$21))</f>
        <v>0</v>
      </c>
      <c r="AK21">
        <f>IF(COUNT($E$2:$E21)&lt;20,"",AVERAGE($E$2:$E$21))</f>
        <v>0</v>
      </c>
      <c r="AL21">
        <f>IF(COUNT($E$2:$E21)&lt;20,"",STDEVP($E$2:$E$21))</f>
        <v>0</v>
      </c>
      <c r="AM21">
        <f>IF(AK21="","",AK21+2*AL21)</f>
        <v>0</v>
      </c>
      <c r="AN21">
        <f>IF(AK21="","",AK21-2*AL21)</f>
        <v>0</v>
      </c>
      <c r="AO21">
        <f>IF(OR(AM21="",AN21="",AM21=AN21),"",($E21-AN21)/(AM21-AN21))</f>
        <v>0</v>
      </c>
      <c r="AP21">
        <f>IF(OR(AM21="",AK21="",AK21=0),"",(AM21-AN21)/AK21)</f>
        <v>0</v>
      </c>
      <c r="AQ21">
        <f>IF(COUNT($E$2:$E21)&lt;20,"",MAX($C$2:$C$21))</f>
        <v>0</v>
      </c>
      <c r="AR21">
        <f>IF(COUNT($E$2:$E21)&lt;20,"",MIN($D$2:$D$21))</f>
        <v>0</v>
      </c>
      <c r="AS21">
        <f>IF(OR(AQ21="",AR21=""),"",(AQ21+AR21)/2)</f>
        <v>0</v>
      </c>
      <c r="AT21">
        <f>IF(COUNT($G$2:$G$21)&lt;20,"",STDEV($G$2:$G$21)*SQRT(52))</f>
        <v>0</v>
      </c>
      <c r="AU21">
        <f>IF(COUNT($E$2:$E21)&lt;9,"",(MAX($C$13:$C$21)+MIN($D$13:$D$21))/2)</f>
        <v>0</v>
      </c>
      <c r="AV21">
        <f>IF(COUNT($E$2:$E21)&lt;26,"",(MAX($C$2:$C$21)+MIN($D$2:$D$21))/2)</f>
        <v>0</v>
      </c>
      <c r="AW21">
        <f>IF(OR(AU21="",AV21=""),"",(AU21+AV21)/2)</f>
        <v>0</v>
      </c>
      <c r="AX21">
        <f>IF(COUNT($E$2:$E21)&lt;52,"",(MAX($C$2:$C$21)+MIN($D$2:$D$21))/2)</f>
        <v>0</v>
      </c>
      <c r="AY21">
        <f>IF(COUNT($E$2:$E21)&lt;20,"",MAX($C$2:$C$21))</f>
        <v>0</v>
      </c>
      <c r="AZ21">
        <f>IF(COUNT($E$2:$E21)&lt;20,"",MIN($D$2:$D$21))</f>
        <v>0</v>
      </c>
      <c r="BA21">
        <f>IF(COUNT($E$2:$E21)&lt;20,"",SLOPE($E$2:$E$21,$F$2:$F$21))</f>
        <v>0</v>
      </c>
      <c r="BB21">
        <f>IF(COUNT($E$2:$E21)&lt;20,"",INTERCEPT($E$2:$E$21,$F$2:$F$21))</f>
        <v>0</v>
      </c>
      <c r="BC21">
        <f>IF(OR(BA21="",BB21=""),"",BB21+BA21*F21)</f>
        <v>0</v>
      </c>
      <c r="BD21">
        <f>IF(COUNT($E$2:$E21)&lt;20,"",STEYX($E$2:$E$21,$F$2:$F$21))</f>
        <v>0</v>
      </c>
      <c r="BE21">
        <f>IF($E21="","",IF(AND(COUNT($E$22:$E$25)&gt;=4,$C21=MAX($C$17:$C$25)),$C21,""))</f>
        <v>0</v>
      </c>
      <c r="BF21">
        <f>IF($E21="","",IF(AND(COUNT($E$22:$E$25)&gt;=4,$D21=MIN($D$17:$D$25)),$D21,""))</f>
        <v>0</v>
      </c>
      <c r="BG21">
        <f>IFERROR(SMALL(Calc_Daily!$BM$2:$BM$2001,20),"")</f>
        <v>0</v>
      </c>
    </row>
    <row r="22" spans="1:59">
      <c r="A22" s="27">
        <f>IF($BG22="","",INDEX(Calc_Daily!$A$2:$A$2001,$BG22))</f>
        <v>0</v>
      </c>
      <c r="B22">
        <f>IF($BG22="","",INDEX(Calc_Daily!$BJ$2:$BJ$2001,$BG22))</f>
        <v>0</v>
      </c>
      <c r="C22">
        <f>IF($BG22="","",INDEX(Calc_Daily!$BK$2:$BK$2001,$BG22))</f>
        <v>0</v>
      </c>
      <c r="D22">
        <f>IF($BG22="","",INDEX(Calc_Daily!$BL$2:$BL$2001,$BG22))</f>
        <v>0</v>
      </c>
      <c r="E22">
        <f>IF($BG22="","",INDEX(Calc_Daily!$E$2:$E$2001,$BG22))</f>
        <v>0</v>
      </c>
      <c r="F22">
        <f>IF($E22="","",N(F21)+1)</f>
        <v>0</v>
      </c>
      <c r="G22">
        <f>IF(OR($E22="",$E21=""),"",LN($E22/$E21))</f>
        <v>0</v>
      </c>
      <c r="H22">
        <f>IF($E22="","",IF($E21="",$E22,$E22*0.0952380952+H21*0.9047619048))</f>
        <v>0</v>
      </c>
      <c r="I22">
        <f>IF($E22="","",IF($E21="",$E22,$E22*0.0392156863+I21*0.9607843137))</f>
        <v>0</v>
      </c>
      <c r="J22">
        <f>IF($E22="","",IF($E21="",$E22,$E22*0.0198019802+J21*0.9801980198))</f>
        <v>0</v>
      </c>
      <c r="K22">
        <f>IF($E22="","",IF($E21="",$E22,$E22*0.0099502488+K21*0.9900497512))</f>
        <v>0</v>
      </c>
      <c r="L22">
        <f>IF(OR($E22="",$E21=""),"",MAX($E22-$E21,0))</f>
        <v>0</v>
      </c>
      <c r="M22">
        <f>IF(OR($E22="",$E21=""),"",MAX($E21-$E22,0))</f>
        <v>0</v>
      </c>
      <c r="N22">
        <f>IF(COUNT($E$2:$E22)&lt;15,"",IF(AVERAGE($M$9:$M$22)=0,100,100-100/(1+AVERAGE($L$9:$L$22)/AVERAGE($M$9:$M$22))))</f>
        <v>0</v>
      </c>
      <c r="O22">
        <f>IF($E22="","",IF($E21="",$E22,$E22*0.1538461538+O21*0.8461538462))</f>
        <v>0</v>
      </c>
      <c r="P22">
        <f>IF($E22="","",IF($E21="",$E22,$E22*0.0740740741+P21*0.9259259259))</f>
        <v>0</v>
      </c>
      <c r="Q22">
        <f>IF(OR(O22="",P22=""),"",O22-P22)</f>
        <v>0</v>
      </c>
      <c r="R22">
        <f>IF(Q22="","",IF(R21="",Q22,Q22*0.2000000000+R21*0.8000000000))</f>
        <v>0</v>
      </c>
      <c r="S22">
        <f>IF(OR(Q22="",R22=""),"",Q22-R22)</f>
        <v>0</v>
      </c>
      <c r="T22">
        <f>IF(COUNT($E$2:$E22)&lt;14,"",MAX($C$9:$C$22))</f>
        <v>0</v>
      </c>
      <c r="U22">
        <f>IF(COUNT($E$2:$E22)&lt;14,"",MIN($D$9:$D$22))</f>
        <v>0</v>
      </c>
      <c r="V22">
        <f>IF(OR(T22="",U22="",T22=U22),"",100*($E22-U22)/(T22-U22))</f>
        <v>0</v>
      </c>
      <c r="W22">
        <f>IF(COUNT($V$20:$V$22)&lt;3,"",AVERAGE($V$20:$V$22))</f>
        <v>0</v>
      </c>
      <c r="X22">
        <f>IF(COUNT($N$9:$N$22)&lt;14,"",MIN($N$9:$N$22))</f>
        <v>0</v>
      </c>
      <c r="Y22">
        <f>IF(COUNT($N$9:$N$22)&lt;14,"",MAX($N$9:$N$22))</f>
        <v>0</v>
      </c>
      <c r="Z22">
        <f>IF(OR(N22="",X22="",Y22="",Y22=X22),"",100*(N22-X22)/(Y22-X22))</f>
        <v>0</v>
      </c>
      <c r="AA22">
        <f>IF(COUNT($Z$20:$Z$22)&lt;3,"",AVERAGE($Z$20:$Z$22))</f>
        <v>0</v>
      </c>
      <c r="AB22">
        <f>IF(COUNT($AA$20:$AA$22)&lt;3,"",AVERAGE($AA$20:$AA$22))</f>
        <v>0</v>
      </c>
      <c r="AC22">
        <f>IF($E22="","",MAX($C22-$D22,ABS($C22-$E21),ABS($D22-$E21)))</f>
        <v>0</v>
      </c>
      <c r="AD22">
        <f>IF(COUNT($E$2:$E22)&lt;15,"",AVERAGE($AC$9:$AC$22))</f>
        <v>0</v>
      </c>
      <c r="AE22">
        <f>IF(OR($E22="",$E21=""),"",IF(AND(($C22-$C21)&gt;($D21-$D22),($C22-$C21)&gt;0),$C22-$C21,0))</f>
        <v>0</v>
      </c>
      <c r="AF22">
        <f>IF(OR($E22="",$E21=""),"",IF(AND(($D21-$D22)&gt;($C22-$C21),($D21-$D22)&gt;0),$D21-$D22,0))</f>
        <v>0</v>
      </c>
      <c r="AG22">
        <f>IF(COUNT($E$2:$E22)&lt;15,"",IF(SUM($AC$9:$AC$22)=0,0,100*SUM($AE$9:$AE$22)/SUM($AC$9:$AC$22)))</f>
        <v>0</v>
      </c>
      <c r="AH22">
        <f>IF(COUNT($E$2:$E22)&lt;15,"",IF(SUM($AC$9:$AC$22)=0,0,100*SUM($AF$9:$AF$22)/SUM($AC$9:$AC$22)))</f>
        <v>0</v>
      </c>
      <c r="AI22">
        <f>IF(OR(AG22="",AH22=""),"",IF((AG22+AH22)=0,0,100*ABS(AG22-AH22)/(AG22+AH22)))</f>
        <v>0</v>
      </c>
      <c r="AJ22">
        <f>IF(COUNT($AI$9:$AI$22)&lt;14,"",AVERAGE($AI$9:$AI$22))</f>
        <v>0</v>
      </c>
      <c r="AK22">
        <f>IF(COUNT($E$2:$E22)&lt;20,"",AVERAGE($E$3:$E$22))</f>
        <v>0</v>
      </c>
      <c r="AL22">
        <f>IF(COUNT($E$2:$E22)&lt;20,"",STDEVP($E$3:$E$22))</f>
        <v>0</v>
      </c>
      <c r="AM22">
        <f>IF(AK22="","",AK22+2*AL22)</f>
        <v>0</v>
      </c>
      <c r="AN22">
        <f>IF(AK22="","",AK22-2*AL22)</f>
        <v>0</v>
      </c>
      <c r="AO22">
        <f>IF(OR(AM22="",AN22="",AM22=AN22),"",($E22-AN22)/(AM22-AN22))</f>
        <v>0</v>
      </c>
      <c r="AP22">
        <f>IF(OR(AM22="",AK22="",AK22=0),"",(AM22-AN22)/AK22)</f>
        <v>0</v>
      </c>
      <c r="AQ22">
        <f>IF(COUNT($E$2:$E22)&lt;20,"",MAX($C$3:$C$22))</f>
        <v>0</v>
      </c>
      <c r="AR22">
        <f>IF(COUNT($E$2:$E22)&lt;20,"",MIN($D$3:$D$22))</f>
        <v>0</v>
      </c>
      <c r="AS22">
        <f>IF(OR(AQ22="",AR22=""),"",(AQ22+AR22)/2)</f>
        <v>0</v>
      </c>
      <c r="AT22">
        <f>IF(COUNT($G$3:$G$22)&lt;20,"",STDEV($G$3:$G$22)*SQRT(52))</f>
        <v>0</v>
      </c>
      <c r="AU22">
        <f>IF(COUNT($E$2:$E22)&lt;9,"",(MAX($C$14:$C$22)+MIN($D$14:$D$22))/2)</f>
        <v>0</v>
      </c>
      <c r="AV22">
        <f>IF(COUNT($E$2:$E22)&lt;26,"",(MAX($C$2:$C$22)+MIN($D$2:$D$22))/2)</f>
        <v>0</v>
      </c>
      <c r="AW22">
        <f>IF(OR(AU22="",AV22=""),"",(AU22+AV22)/2)</f>
        <v>0</v>
      </c>
      <c r="AX22">
        <f>IF(COUNT($E$2:$E22)&lt;52,"",(MAX($C$2:$C$22)+MIN($D$2:$D$22))/2)</f>
        <v>0</v>
      </c>
      <c r="AY22">
        <f>IF(COUNT($E$2:$E22)&lt;20,"",MAX($C$2:$C$22))</f>
        <v>0</v>
      </c>
      <c r="AZ22">
        <f>IF(COUNT($E$2:$E22)&lt;20,"",MIN($D$2:$D$22))</f>
        <v>0</v>
      </c>
      <c r="BA22">
        <f>IF(COUNT($E$2:$E22)&lt;20,"",SLOPE($E$2:$E$22,$F$2:$F$22))</f>
        <v>0</v>
      </c>
      <c r="BB22">
        <f>IF(COUNT($E$2:$E22)&lt;20,"",INTERCEPT($E$2:$E$22,$F$2:$F$22))</f>
        <v>0</v>
      </c>
      <c r="BC22">
        <f>IF(OR(BA22="",BB22=""),"",BB22+BA22*F22)</f>
        <v>0</v>
      </c>
      <c r="BD22">
        <f>IF(COUNT($E$2:$E22)&lt;20,"",STEYX($E$2:$E$22,$F$2:$F$22))</f>
        <v>0</v>
      </c>
      <c r="BE22">
        <f>IF($E22="","",IF(AND(COUNT($E$23:$E$26)&gt;=4,$C22=MAX($C$18:$C$26)),$C22,""))</f>
        <v>0</v>
      </c>
      <c r="BF22">
        <f>IF($E22="","",IF(AND(COUNT($E$23:$E$26)&gt;=4,$D22=MIN($D$18:$D$26)),$D22,""))</f>
        <v>0</v>
      </c>
      <c r="BG22">
        <f>IFERROR(SMALL(Calc_Daily!$BM$2:$BM$2001,21),"")</f>
        <v>0</v>
      </c>
    </row>
    <row r="23" spans="1:59">
      <c r="A23" s="27">
        <f>IF($BG23="","",INDEX(Calc_Daily!$A$2:$A$2001,$BG23))</f>
        <v>0</v>
      </c>
      <c r="B23">
        <f>IF($BG23="","",INDEX(Calc_Daily!$BJ$2:$BJ$2001,$BG23))</f>
        <v>0</v>
      </c>
      <c r="C23">
        <f>IF($BG23="","",INDEX(Calc_Daily!$BK$2:$BK$2001,$BG23))</f>
        <v>0</v>
      </c>
      <c r="D23">
        <f>IF($BG23="","",INDEX(Calc_Daily!$BL$2:$BL$2001,$BG23))</f>
        <v>0</v>
      </c>
      <c r="E23">
        <f>IF($BG23="","",INDEX(Calc_Daily!$E$2:$E$2001,$BG23))</f>
        <v>0</v>
      </c>
      <c r="F23">
        <f>IF($E23="","",N(F22)+1)</f>
        <v>0</v>
      </c>
      <c r="G23">
        <f>IF(OR($E23="",$E22=""),"",LN($E23/$E22))</f>
        <v>0</v>
      </c>
      <c r="H23">
        <f>IF($E23="","",IF($E22="",$E23,$E23*0.0952380952+H22*0.9047619048))</f>
        <v>0</v>
      </c>
      <c r="I23">
        <f>IF($E23="","",IF($E22="",$E23,$E23*0.0392156863+I22*0.9607843137))</f>
        <v>0</v>
      </c>
      <c r="J23">
        <f>IF($E23="","",IF($E22="",$E23,$E23*0.0198019802+J22*0.9801980198))</f>
        <v>0</v>
      </c>
      <c r="K23">
        <f>IF($E23="","",IF($E22="",$E23,$E23*0.0099502488+K22*0.9900497512))</f>
        <v>0</v>
      </c>
      <c r="L23">
        <f>IF(OR($E23="",$E22=""),"",MAX($E23-$E22,0))</f>
        <v>0</v>
      </c>
      <c r="M23">
        <f>IF(OR($E23="",$E22=""),"",MAX($E22-$E23,0))</f>
        <v>0</v>
      </c>
      <c r="N23">
        <f>IF(COUNT($E$2:$E23)&lt;15,"",IF(AVERAGE($M$10:$M$23)=0,100,100-100/(1+AVERAGE($L$10:$L$23)/AVERAGE($M$10:$M$23))))</f>
        <v>0</v>
      </c>
      <c r="O23">
        <f>IF($E23="","",IF($E22="",$E23,$E23*0.1538461538+O22*0.8461538462))</f>
        <v>0</v>
      </c>
      <c r="P23">
        <f>IF($E23="","",IF($E22="",$E23,$E23*0.0740740741+P22*0.9259259259))</f>
        <v>0</v>
      </c>
      <c r="Q23">
        <f>IF(OR(O23="",P23=""),"",O23-P23)</f>
        <v>0</v>
      </c>
      <c r="R23">
        <f>IF(Q23="","",IF(R22="",Q23,Q23*0.2000000000+R22*0.8000000000))</f>
        <v>0</v>
      </c>
      <c r="S23">
        <f>IF(OR(Q23="",R23=""),"",Q23-R23)</f>
        <v>0</v>
      </c>
      <c r="T23">
        <f>IF(COUNT($E$2:$E23)&lt;14,"",MAX($C$10:$C$23))</f>
        <v>0</v>
      </c>
      <c r="U23">
        <f>IF(COUNT($E$2:$E23)&lt;14,"",MIN($D$10:$D$23))</f>
        <v>0</v>
      </c>
      <c r="V23">
        <f>IF(OR(T23="",U23="",T23=U23),"",100*($E23-U23)/(T23-U23))</f>
        <v>0</v>
      </c>
      <c r="W23">
        <f>IF(COUNT($V$21:$V$23)&lt;3,"",AVERAGE($V$21:$V$23))</f>
        <v>0</v>
      </c>
      <c r="X23">
        <f>IF(COUNT($N$10:$N$23)&lt;14,"",MIN($N$10:$N$23))</f>
        <v>0</v>
      </c>
      <c r="Y23">
        <f>IF(COUNT($N$10:$N$23)&lt;14,"",MAX($N$10:$N$23))</f>
        <v>0</v>
      </c>
      <c r="Z23">
        <f>IF(OR(N23="",X23="",Y23="",Y23=X23),"",100*(N23-X23)/(Y23-X23))</f>
        <v>0</v>
      </c>
      <c r="AA23">
        <f>IF(COUNT($Z$21:$Z$23)&lt;3,"",AVERAGE($Z$21:$Z$23))</f>
        <v>0</v>
      </c>
      <c r="AB23">
        <f>IF(COUNT($AA$21:$AA$23)&lt;3,"",AVERAGE($AA$21:$AA$23))</f>
        <v>0</v>
      </c>
      <c r="AC23">
        <f>IF($E23="","",MAX($C23-$D23,ABS($C23-$E22),ABS($D23-$E22)))</f>
        <v>0</v>
      </c>
      <c r="AD23">
        <f>IF(COUNT($E$2:$E23)&lt;15,"",AVERAGE($AC$10:$AC$23))</f>
        <v>0</v>
      </c>
      <c r="AE23">
        <f>IF(OR($E23="",$E22=""),"",IF(AND(($C23-$C22)&gt;($D22-$D23),($C23-$C22)&gt;0),$C23-$C22,0))</f>
        <v>0</v>
      </c>
      <c r="AF23">
        <f>IF(OR($E23="",$E22=""),"",IF(AND(($D22-$D23)&gt;($C23-$C22),($D22-$D23)&gt;0),$D22-$D23,0))</f>
        <v>0</v>
      </c>
      <c r="AG23">
        <f>IF(COUNT($E$2:$E23)&lt;15,"",IF(SUM($AC$10:$AC$23)=0,0,100*SUM($AE$10:$AE$23)/SUM($AC$10:$AC$23)))</f>
        <v>0</v>
      </c>
      <c r="AH23">
        <f>IF(COUNT($E$2:$E23)&lt;15,"",IF(SUM($AC$10:$AC$23)=0,0,100*SUM($AF$10:$AF$23)/SUM($AC$10:$AC$23)))</f>
        <v>0</v>
      </c>
      <c r="AI23">
        <f>IF(OR(AG23="",AH23=""),"",IF((AG23+AH23)=0,0,100*ABS(AG23-AH23)/(AG23+AH23)))</f>
        <v>0</v>
      </c>
      <c r="AJ23">
        <f>IF(COUNT($AI$10:$AI$23)&lt;14,"",AVERAGE($AI$10:$AI$23))</f>
        <v>0</v>
      </c>
      <c r="AK23">
        <f>IF(COUNT($E$2:$E23)&lt;20,"",AVERAGE($E$4:$E$23))</f>
        <v>0</v>
      </c>
      <c r="AL23">
        <f>IF(COUNT($E$2:$E23)&lt;20,"",STDEVP($E$4:$E$23))</f>
        <v>0</v>
      </c>
      <c r="AM23">
        <f>IF(AK23="","",AK23+2*AL23)</f>
        <v>0</v>
      </c>
      <c r="AN23">
        <f>IF(AK23="","",AK23-2*AL23)</f>
        <v>0</v>
      </c>
      <c r="AO23">
        <f>IF(OR(AM23="",AN23="",AM23=AN23),"",($E23-AN23)/(AM23-AN23))</f>
        <v>0</v>
      </c>
      <c r="AP23">
        <f>IF(OR(AM23="",AK23="",AK23=0),"",(AM23-AN23)/AK23)</f>
        <v>0</v>
      </c>
      <c r="AQ23">
        <f>IF(COUNT($E$2:$E23)&lt;20,"",MAX($C$4:$C$23))</f>
        <v>0</v>
      </c>
      <c r="AR23">
        <f>IF(COUNT($E$2:$E23)&lt;20,"",MIN($D$4:$D$23))</f>
        <v>0</v>
      </c>
      <c r="AS23">
        <f>IF(OR(AQ23="",AR23=""),"",(AQ23+AR23)/2)</f>
        <v>0</v>
      </c>
      <c r="AT23">
        <f>IF(COUNT($G$4:$G$23)&lt;20,"",STDEV($G$4:$G$23)*SQRT(52))</f>
        <v>0</v>
      </c>
      <c r="AU23">
        <f>IF(COUNT($E$2:$E23)&lt;9,"",(MAX($C$15:$C$23)+MIN($D$15:$D$23))/2)</f>
        <v>0</v>
      </c>
      <c r="AV23">
        <f>IF(COUNT($E$2:$E23)&lt;26,"",(MAX($C$2:$C$23)+MIN($D$2:$D$23))/2)</f>
        <v>0</v>
      </c>
      <c r="AW23">
        <f>IF(OR(AU23="",AV23=""),"",(AU23+AV23)/2)</f>
        <v>0</v>
      </c>
      <c r="AX23">
        <f>IF(COUNT($E$2:$E23)&lt;52,"",(MAX($C$2:$C$23)+MIN($D$2:$D$23))/2)</f>
        <v>0</v>
      </c>
      <c r="AY23">
        <f>IF(COUNT($E$2:$E23)&lt;20,"",MAX($C$2:$C$23))</f>
        <v>0</v>
      </c>
      <c r="AZ23">
        <f>IF(COUNT($E$2:$E23)&lt;20,"",MIN($D$2:$D$23))</f>
        <v>0</v>
      </c>
      <c r="BA23">
        <f>IF(COUNT($E$2:$E23)&lt;20,"",SLOPE($E$2:$E$23,$F$2:$F$23))</f>
        <v>0</v>
      </c>
      <c r="BB23">
        <f>IF(COUNT($E$2:$E23)&lt;20,"",INTERCEPT($E$2:$E$23,$F$2:$F$23))</f>
        <v>0</v>
      </c>
      <c r="BC23">
        <f>IF(OR(BA23="",BB23=""),"",BB23+BA23*F23)</f>
        <v>0</v>
      </c>
      <c r="BD23">
        <f>IF(COUNT($E$2:$E23)&lt;20,"",STEYX($E$2:$E$23,$F$2:$F$23))</f>
        <v>0</v>
      </c>
      <c r="BE23">
        <f>IF($E23="","",IF(AND(COUNT($E$24:$E$27)&gt;=4,$C23=MAX($C$19:$C$27)),$C23,""))</f>
        <v>0</v>
      </c>
      <c r="BF23">
        <f>IF($E23="","",IF(AND(COUNT($E$24:$E$27)&gt;=4,$D23=MIN($D$19:$D$27)),$D23,""))</f>
        <v>0</v>
      </c>
      <c r="BG23">
        <f>IFERROR(SMALL(Calc_Daily!$BM$2:$BM$2001,22),"")</f>
        <v>0</v>
      </c>
    </row>
    <row r="24" spans="1:59">
      <c r="A24" s="27">
        <f>IF($BG24="","",INDEX(Calc_Daily!$A$2:$A$2001,$BG24))</f>
        <v>0</v>
      </c>
      <c r="B24">
        <f>IF($BG24="","",INDEX(Calc_Daily!$BJ$2:$BJ$2001,$BG24))</f>
        <v>0</v>
      </c>
      <c r="C24">
        <f>IF($BG24="","",INDEX(Calc_Daily!$BK$2:$BK$2001,$BG24))</f>
        <v>0</v>
      </c>
      <c r="D24">
        <f>IF($BG24="","",INDEX(Calc_Daily!$BL$2:$BL$2001,$BG24))</f>
        <v>0</v>
      </c>
      <c r="E24">
        <f>IF($BG24="","",INDEX(Calc_Daily!$E$2:$E$2001,$BG24))</f>
        <v>0</v>
      </c>
      <c r="F24">
        <f>IF($E24="","",N(F23)+1)</f>
        <v>0</v>
      </c>
      <c r="G24">
        <f>IF(OR($E24="",$E23=""),"",LN($E24/$E23))</f>
        <v>0</v>
      </c>
      <c r="H24">
        <f>IF($E24="","",IF($E23="",$E24,$E24*0.0952380952+H23*0.9047619048))</f>
        <v>0</v>
      </c>
      <c r="I24">
        <f>IF($E24="","",IF($E23="",$E24,$E24*0.0392156863+I23*0.9607843137))</f>
        <v>0</v>
      </c>
      <c r="J24">
        <f>IF($E24="","",IF($E23="",$E24,$E24*0.0198019802+J23*0.9801980198))</f>
        <v>0</v>
      </c>
      <c r="K24">
        <f>IF($E24="","",IF($E23="",$E24,$E24*0.0099502488+K23*0.9900497512))</f>
        <v>0</v>
      </c>
      <c r="L24">
        <f>IF(OR($E24="",$E23=""),"",MAX($E24-$E23,0))</f>
        <v>0</v>
      </c>
      <c r="M24">
        <f>IF(OR($E24="",$E23=""),"",MAX($E23-$E24,0))</f>
        <v>0</v>
      </c>
      <c r="N24">
        <f>IF(COUNT($E$2:$E24)&lt;15,"",IF(AVERAGE($M$11:$M$24)=0,100,100-100/(1+AVERAGE($L$11:$L$24)/AVERAGE($M$11:$M$24))))</f>
        <v>0</v>
      </c>
      <c r="O24">
        <f>IF($E24="","",IF($E23="",$E24,$E24*0.1538461538+O23*0.8461538462))</f>
        <v>0</v>
      </c>
      <c r="P24">
        <f>IF($E24="","",IF($E23="",$E24,$E24*0.0740740741+P23*0.9259259259))</f>
        <v>0</v>
      </c>
      <c r="Q24">
        <f>IF(OR(O24="",P24=""),"",O24-P24)</f>
        <v>0</v>
      </c>
      <c r="R24">
        <f>IF(Q24="","",IF(R23="",Q24,Q24*0.2000000000+R23*0.8000000000))</f>
        <v>0</v>
      </c>
      <c r="S24">
        <f>IF(OR(Q24="",R24=""),"",Q24-R24)</f>
        <v>0</v>
      </c>
      <c r="T24">
        <f>IF(COUNT($E$2:$E24)&lt;14,"",MAX($C$11:$C$24))</f>
        <v>0</v>
      </c>
      <c r="U24">
        <f>IF(COUNT($E$2:$E24)&lt;14,"",MIN($D$11:$D$24))</f>
        <v>0</v>
      </c>
      <c r="V24">
        <f>IF(OR(T24="",U24="",T24=U24),"",100*($E24-U24)/(T24-U24))</f>
        <v>0</v>
      </c>
      <c r="W24">
        <f>IF(COUNT($V$22:$V$24)&lt;3,"",AVERAGE($V$22:$V$24))</f>
        <v>0</v>
      </c>
      <c r="X24">
        <f>IF(COUNT($N$11:$N$24)&lt;14,"",MIN($N$11:$N$24))</f>
        <v>0</v>
      </c>
      <c r="Y24">
        <f>IF(COUNT($N$11:$N$24)&lt;14,"",MAX($N$11:$N$24))</f>
        <v>0</v>
      </c>
      <c r="Z24">
        <f>IF(OR(N24="",X24="",Y24="",Y24=X24),"",100*(N24-X24)/(Y24-X24))</f>
        <v>0</v>
      </c>
      <c r="AA24">
        <f>IF(COUNT($Z$22:$Z$24)&lt;3,"",AVERAGE($Z$22:$Z$24))</f>
        <v>0</v>
      </c>
      <c r="AB24">
        <f>IF(COUNT($AA$22:$AA$24)&lt;3,"",AVERAGE($AA$22:$AA$24))</f>
        <v>0</v>
      </c>
      <c r="AC24">
        <f>IF($E24="","",MAX($C24-$D24,ABS($C24-$E23),ABS($D24-$E23)))</f>
        <v>0</v>
      </c>
      <c r="AD24">
        <f>IF(COUNT($E$2:$E24)&lt;15,"",AVERAGE($AC$11:$AC$24))</f>
        <v>0</v>
      </c>
      <c r="AE24">
        <f>IF(OR($E24="",$E23=""),"",IF(AND(($C24-$C23)&gt;($D23-$D24),($C24-$C23)&gt;0),$C24-$C23,0))</f>
        <v>0</v>
      </c>
      <c r="AF24">
        <f>IF(OR($E24="",$E23=""),"",IF(AND(($D23-$D24)&gt;($C24-$C23),($D23-$D24)&gt;0),$D23-$D24,0))</f>
        <v>0</v>
      </c>
      <c r="AG24">
        <f>IF(COUNT($E$2:$E24)&lt;15,"",IF(SUM($AC$11:$AC$24)=0,0,100*SUM($AE$11:$AE$24)/SUM($AC$11:$AC$24)))</f>
        <v>0</v>
      </c>
      <c r="AH24">
        <f>IF(COUNT($E$2:$E24)&lt;15,"",IF(SUM($AC$11:$AC$24)=0,0,100*SUM($AF$11:$AF$24)/SUM($AC$11:$AC$24)))</f>
        <v>0</v>
      </c>
      <c r="AI24">
        <f>IF(OR(AG24="",AH24=""),"",IF((AG24+AH24)=0,0,100*ABS(AG24-AH24)/(AG24+AH24)))</f>
        <v>0</v>
      </c>
      <c r="AJ24">
        <f>IF(COUNT($AI$11:$AI$24)&lt;14,"",AVERAGE($AI$11:$AI$24))</f>
        <v>0</v>
      </c>
      <c r="AK24">
        <f>IF(COUNT($E$2:$E24)&lt;20,"",AVERAGE($E$5:$E$24))</f>
        <v>0</v>
      </c>
      <c r="AL24">
        <f>IF(COUNT($E$2:$E24)&lt;20,"",STDEVP($E$5:$E$24))</f>
        <v>0</v>
      </c>
      <c r="AM24">
        <f>IF(AK24="","",AK24+2*AL24)</f>
        <v>0</v>
      </c>
      <c r="AN24">
        <f>IF(AK24="","",AK24-2*AL24)</f>
        <v>0</v>
      </c>
      <c r="AO24">
        <f>IF(OR(AM24="",AN24="",AM24=AN24),"",($E24-AN24)/(AM24-AN24))</f>
        <v>0</v>
      </c>
      <c r="AP24">
        <f>IF(OR(AM24="",AK24="",AK24=0),"",(AM24-AN24)/AK24)</f>
        <v>0</v>
      </c>
      <c r="AQ24">
        <f>IF(COUNT($E$2:$E24)&lt;20,"",MAX($C$5:$C$24))</f>
        <v>0</v>
      </c>
      <c r="AR24">
        <f>IF(COUNT($E$2:$E24)&lt;20,"",MIN($D$5:$D$24))</f>
        <v>0</v>
      </c>
      <c r="AS24">
        <f>IF(OR(AQ24="",AR24=""),"",(AQ24+AR24)/2)</f>
        <v>0</v>
      </c>
      <c r="AT24">
        <f>IF(COUNT($G$5:$G$24)&lt;20,"",STDEV($G$5:$G$24)*SQRT(52))</f>
        <v>0</v>
      </c>
      <c r="AU24">
        <f>IF(COUNT($E$2:$E24)&lt;9,"",(MAX($C$16:$C$24)+MIN($D$16:$D$24))/2)</f>
        <v>0</v>
      </c>
      <c r="AV24">
        <f>IF(COUNT($E$2:$E24)&lt;26,"",(MAX($C$2:$C$24)+MIN($D$2:$D$24))/2)</f>
        <v>0</v>
      </c>
      <c r="AW24">
        <f>IF(OR(AU24="",AV24=""),"",(AU24+AV24)/2)</f>
        <v>0</v>
      </c>
      <c r="AX24">
        <f>IF(COUNT($E$2:$E24)&lt;52,"",(MAX($C$2:$C$24)+MIN($D$2:$D$24))/2)</f>
        <v>0</v>
      </c>
      <c r="AY24">
        <f>IF(COUNT($E$2:$E24)&lt;20,"",MAX($C$2:$C$24))</f>
        <v>0</v>
      </c>
      <c r="AZ24">
        <f>IF(COUNT($E$2:$E24)&lt;20,"",MIN($D$2:$D$24))</f>
        <v>0</v>
      </c>
      <c r="BA24">
        <f>IF(COUNT($E$2:$E24)&lt;20,"",SLOPE($E$2:$E$24,$F$2:$F$24))</f>
        <v>0</v>
      </c>
      <c r="BB24">
        <f>IF(COUNT($E$2:$E24)&lt;20,"",INTERCEPT($E$2:$E$24,$F$2:$F$24))</f>
        <v>0</v>
      </c>
      <c r="BC24">
        <f>IF(OR(BA24="",BB24=""),"",BB24+BA24*F24)</f>
        <v>0</v>
      </c>
      <c r="BD24">
        <f>IF(COUNT($E$2:$E24)&lt;20,"",STEYX($E$2:$E$24,$F$2:$F$24))</f>
        <v>0</v>
      </c>
      <c r="BE24">
        <f>IF($E24="","",IF(AND(COUNT($E$25:$E$28)&gt;=4,$C24=MAX($C$20:$C$28)),$C24,""))</f>
        <v>0</v>
      </c>
      <c r="BF24">
        <f>IF($E24="","",IF(AND(COUNT($E$25:$E$28)&gt;=4,$D24=MIN($D$20:$D$28)),$D24,""))</f>
        <v>0</v>
      </c>
      <c r="BG24">
        <f>IFERROR(SMALL(Calc_Daily!$BM$2:$BM$2001,23),"")</f>
        <v>0</v>
      </c>
    </row>
    <row r="25" spans="1:59">
      <c r="A25" s="27">
        <f>IF($BG25="","",INDEX(Calc_Daily!$A$2:$A$2001,$BG25))</f>
        <v>0</v>
      </c>
      <c r="B25">
        <f>IF($BG25="","",INDEX(Calc_Daily!$BJ$2:$BJ$2001,$BG25))</f>
        <v>0</v>
      </c>
      <c r="C25">
        <f>IF($BG25="","",INDEX(Calc_Daily!$BK$2:$BK$2001,$BG25))</f>
        <v>0</v>
      </c>
      <c r="D25">
        <f>IF($BG25="","",INDEX(Calc_Daily!$BL$2:$BL$2001,$BG25))</f>
        <v>0</v>
      </c>
      <c r="E25">
        <f>IF($BG25="","",INDEX(Calc_Daily!$E$2:$E$2001,$BG25))</f>
        <v>0</v>
      </c>
      <c r="F25">
        <f>IF($E25="","",N(F24)+1)</f>
        <v>0</v>
      </c>
      <c r="G25">
        <f>IF(OR($E25="",$E24=""),"",LN($E25/$E24))</f>
        <v>0</v>
      </c>
      <c r="H25">
        <f>IF($E25="","",IF($E24="",$E25,$E25*0.0952380952+H24*0.9047619048))</f>
        <v>0</v>
      </c>
      <c r="I25">
        <f>IF($E25="","",IF($E24="",$E25,$E25*0.0392156863+I24*0.9607843137))</f>
        <v>0</v>
      </c>
      <c r="J25">
        <f>IF($E25="","",IF($E24="",$E25,$E25*0.0198019802+J24*0.9801980198))</f>
        <v>0</v>
      </c>
      <c r="K25">
        <f>IF($E25="","",IF($E24="",$E25,$E25*0.0099502488+K24*0.9900497512))</f>
        <v>0</v>
      </c>
      <c r="L25">
        <f>IF(OR($E25="",$E24=""),"",MAX($E25-$E24,0))</f>
        <v>0</v>
      </c>
      <c r="M25">
        <f>IF(OR($E25="",$E24=""),"",MAX($E24-$E25,0))</f>
        <v>0</v>
      </c>
      <c r="N25">
        <f>IF(COUNT($E$2:$E25)&lt;15,"",IF(AVERAGE($M$12:$M$25)=0,100,100-100/(1+AVERAGE($L$12:$L$25)/AVERAGE($M$12:$M$25))))</f>
        <v>0</v>
      </c>
      <c r="O25">
        <f>IF($E25="","",IF($E24="",$E25,$E25*0.1538461538+O24*0.8461538462))</f>
        <v>0</v>
      </c>
      <c r="P25">
        <f>IF($E25="","",IF($E24="",$E25,$E25*0.0740740741+P24*0.9259259259))</f>
        <v>0</v>
      </c>
      <c r="Q25">
        <f>IF(OR(O25="",P25=""),"",O25-P25)</f>
        <v>0</v>
      </c>
      <c r="R25">
        <f>IF(Q25="","",IF(R24="",Q25,Q25*0.2000000000+R24*0.8000000000))</f>
        <v>0</v>
      </c>
      <c r="S25">
        <f>IF(OR(Q25="",R25=""),"",Q25-R25)</f>
        <v>0</v>
      </c>
      <c r="T25">
        <f>IF(COUNT($E$2:$E25)&lt;14,"",MAX($C$12:$C$25))</f>
        <v>0</v>
      </c>
      <c r="U25">
        <f>IF(COUNT($E$2:$E25)&lt;14,"",MIN($D$12:$D$25))</f>
        <v>0</v>
      </c>
      <c r="V25">
        <f>IF(OR(T25="",U25="",T25=U25),"",100*($E25-U25)/(T25-U25))</f>
        <v>0</v>
      </c>
      <c r="W25">
        <f>IF(COUNT($V$23:$V$25)&lt;3,"",AVERAGE($V$23:$V$25))</f>
        <v>0</v>
      </c>
      <c r="X25">
        <f>IF(COUNT($N$12:$N$25)&lt;14,"",MIN($N$12:$N$25))</f>
        <v>0</v>
      </c>
      <c r="Y25">
        <f>IF(COUNT($N$12:$N$25)&lt;14,"",MAX($N$12:$N$25))</f>
        <v>0</v>
      </c>
      <c r="Z25">
        <f>IF(OR(N25="",X25="",Y25="",Y25=X25),"",100*(N25-X25)/(Y25-X25))</f>
        <v>0</v>
      </c>
      <c r="AA25">
        <f>IF(COUNT($Z$23:$Z$25)&lt;3,"",AVERAGE($Z$23:$Z$25))</f>
        <v>0</v>
      </c>
      <c r="AB25">
        <f>IF(COUNT($AA$23:$AA$25)&lt;3,"",AVERAGE($AA$23:$AA$25))</f>
        <v>0</v>
      </c>
      <c r="AC25">
        <f>IF($E25="","",MAX($C25-$D25,ABS($C25-$E24),ABS($D25-$E24)))</f>
        <v>0</v>
      </c>
      <c r="AD25">
        <f>IF(COUNT($E$2:$E25)&lt;15,"",AVERAGE($AC$12:$AC$25))</f>
        <v>0</v>
      </c>
      <c r="AE25">
        <f>IF(OR($E25="",$E24=""),"",IF(AND(($C25-$C24)&gt;($D24-$D25),($C25-$C24)&gt;0),$C25-$C24,0))</f>
        <v>0</v>
      </c>
      <c r="AF25">
        <f>IF(OR($E25="",$E24=""),"",IF(AND(($D24-$D25)&gt;($C25-$C24),($D24-$D25)&gt;0),$D24-$D25,0))</f>
        <v>0</v>
      </c>
      <c r="AG25">
        <f>IF(COUNT($E$2:$E25)&lt;15,"",IF(SUM($AC$12:$AC$25)=0,0,100*SUM($AE$12:$AE$25)/SUM($AC$12:$AC$25)))</f>
        <v>0</v>
      </c>
      <c r="AH25">
        <f>IF(COUNT($E$2:$E25)&lt;15,"",IF(SUM($AC$12:$AC$25)=0,0,100*SUM($AF$12:$AF$25)/SUM($AC$12:$AC$25)))</f>
        <v>0</v>
      </c>
      <c r="AI25">
        <f>IF(OR(AG25="",AH25=""),"",IF((AG25+AH25)=0,0,100*ABS(AG25-AH25)/(AG25+AH25)))</f>
        <v>0</v>
      </c>
      <c r="AJ25">
        <f>IF(COUNT($AI$12:$AI$25)&lt;14,"",AVERAGE($AI$12:$AI$25))</f>
        <v>0</v>
      </c>
      <c r="AK25">
        <f>IF(COUNT($E$2:$E25)&lt;20,"",AVERAGE($E$6:$E$25))</f>
        <v>0</v>
      </c>
      <c r="AL25">
        <f>IF(COUNT($E$2:$E25)&lt;20,"",STDEVP($E$6:$E$25))</f>
        <v>0</v>
      </c>
      <c r="AM25">
        <f>IF(AK25="","",AK25+2*AL25)</f>
        <v>0</v>
      </c>
      <c r="AN25">
        <f>IF(AK25="","",AK25-2*AL25)</f>
        <v>0</v>
      </c>
      <c r="AO25">
        <f>IF(OR(AM25="",AN25="",AM25=AN25),"",($E25-AN25)/(AM25-AN25))</f>
        <v>0</v>
      </c>
      <c r="AP25">
        <f>IF(OR(AM25="",AK25="",AK25=0),"",(AM25-AN25)/AK25)</f>
        <v>0</v>
      </c>
      <c r="AQ25">
        <f>IF(COUNT($E$2:$E25)&lt;20,"",MAX($C$6:$C$25))</f>
        <v>0</v>
      </c>
      <c r="AR25">
        <f>IF(COUNT($E$2:$E25)&lt;20,"",MIN($D$6:$D$25))</f>
        <v>0</v>
      </c>
      <c r="AS25">
        <f>IF(OR(AQ25="",AR25=""),"",(AQ25+AR25)/2)</f>
        <v>0</v>
      </c>
      <c r="AT25">
        <f>IF(COUNT($G$6:$G$25)&lt;20,"",STDEV($G$6:$G$25)*SQRT(52))</f>
        <v>0</v>
      </c>
      <c r="AU25">
        <f>IF(COUNT($E$2:$E25)&lt;9,"",(MAX($C$17:$C$25)+MIN($D$17:$D$25))/2)</f>
        <v>0</v>
      </c>
      <c r="AV25">
        <f>IF(COUNT($E$2:$E25)&lt;26,"",(MAX($C$2:$C$25)+MIN($D$2:$D$25))/2)</f>
        <v>0</v>
      </c>
      <c r="AW25">
        <f>IF(OR(AU25="",AV25=""),"",(AU25+AV25)/2)</f>
        <v>0</v>
      </c>
      <c r="AX25">
        <f>IF(COUNT($E$2:$E25)&lt;52,"",(MAX($C$2:$C$25)+MIN($D$2:$D$25))/2)</f>
        <v>0</v>
      </c>
      <c r="AY25">
        <f>IF(COUNT($E$2:$E25)&lt;20,"",MAX($C$2:$C$25))</f>
        <v>0</v>
      </c>
      <c r="AZ25">
        <f>IF(COUNT($E$2:$E25)&lt;20,"",MIN($D$2:$D$25))</f>
        <v>0</v>
      </c>
      <c r="BA25">
        <f>IF(COUNT($E$2:$E25)&lt;20,"",SLOPE($E$2:$E$25,$F$2:$F$25))</f>
        <v>0</v>
      </c>
      <c r="BB25">
        <f>IF(COUNT($E$2:$E25)&lt;20,"",INTERCEPT($E$2:$E$25,$F$2:$F$25))</f>
        <v>0</v>
      </c>
      <c r="BC25">
        <f>IF(OR(BA25="",BB25=""),"",BB25+BA25*F25)</f>
        <v>0</v>
      </c>
      <c r="BD25">
        <f>IF(COUNT($E$2:$E25)&lt;20,"",STEYX($E$2:$E$25,$F$2:$F$25))</f>
        <v>0</v>
      </c>
      <c r="BE25">
        <f>IF($E25="","",IF(AND(COUNT($E$26:$E$29)&gt;=4,$C25=MAX($C$21:$C$29)),$C25,""))</f>
        <v>0</v>
      </c>
      <c r="BF25">
        <f>IF($E25="","",IF(AND(COUNT($E$26:$E$29)&gt;=4,$D25=MIN($D$21:$D$29)),$D25,""))</f>
        <v>0</v>
      </c>
      <c r="BG25">
        <f>IFERROR(SMALL(Calc_Daily!$BM$2:$BM$2001,24),"")</f>
        <v>0</v>
      </c>
    </row>
    <row r="26" spans="1:59">
      <c r="A26" s="27">
        <f>IF($BG26="","",INDEX(Calc_Daily!$A$2:$A$2001,$BG26))</f>
        <v>0</v>
      </c>
      <c r="B26">
        <f>IF($BG26="","",INDEX(Calc_Daily!$BJ$2:$BJ$2001,$BG26))</f>
        <v>0</v>
      </c>
      <c r="C26">
        <f>IF($BG26="","",INDEX(Calc_Daily!$BK$2:$BK$2001,$BG26))</f>
        <v>0</v>
      </c>
      <c r="D26">
        <f>IF($BG26="","",INDEX(Calc_Daily!$BL$2:$BL$2001,$BG26))</f>
        <v>0</v>
      </c>
      <c r="E26">
        <f>IF($BG26="","",INDEX(Calc_Daily!$E$2:$E$2001,$BG26))</f>
        <v>0</v>
      </c>
      <c r="F26">
        <f>IF($E26="","",N(F25)+1)</f>
        <v>0</v>
      </c>
      <c r="G26">
        <f>IF(OR($E26="",$E25=""),"",LN($E26/$E25))</f>
        <v>0</v>
      </c>
      <c r="H26">
        <f>IF($E26="","",IF($E25="",$E26,$E26*0.0952380952+H25*0.9047619048))</f>
        <v>0</v>
      </c>
      <c r="I26">
        <f>IF($E26="","",IF($E25="",$E26,$E26*0.0392156863+I25*0.9607843137))</f>
        <v>0</v>
      </c>
      <c r="J26">
        <f>IF($E26="","",IF($E25="",$E26,$E26*0.0198019802+J25*0.9801980198))</f>
        <v>0</v>
      </c>
      <c r="K26">
        <f>IF($E26="","",IF($E25="",$E26,$E26*0.0099502488+K25*0.9900497512))</f>
        <v>0</v>
      </c>
      <c r="L26">
        <f>IF(OR($E26="",$E25=""),"",MAX($E26-$E25,0))</f>
        <v>0</v>
      </c>
      <c r="M26">
        <f>IF(OR($E26="",$E25=""),"",MAX($E25-$E26,0))</f>
        <v>0</v>
      </c>
      <c r="N26">
        <f>IF(COUNT($E$2:$E26)&lt;15,"",IF(AVERAGE($M$13:$M$26)=0,100,100-100/(1+AVERAGE($L$13:$L$26)/AVERAGE($M$13:$M$26))))</f>
        <v>0</v>
      </c>
      <c r="O26">
        <f>IF($E26="","",IF($E25="",$E26,$E26*0.1538461538+O25*0.8461538462))</f>
        <v>0</v>
      </c>
      <c r="P26">
        <f>IF($E26="","",IF($E25="",$E26,$E26*0.0740740741+P25*0.9259259259))</f>
        <v>0</v>
      </c>
      <c r="Q26">
        <f>IF(OR(O26="",P26=""),"",O26-P26)</f>
        <v>0</v>
      </c>
      <c r="R26">
        <f>IF(Q26="","",IF(R25="",Q26,Q26*0.2000000000+R25*0.8000000000))</f>
        <v>0</v>
      </c>
      <c r="S26">
        <f>IF(OR(Q26="",R26=""),"",Q26-R26)</f>
        <v>0</v>
      </c>
      <c r="T26">
        <f>IF(COUNT($E$2:$E26)&lt;14,"",MAX($C$13:$C$26))</f>
        <v>0</v>
      </c>
      <c r="U26">
        <f>IF(COUNT($E$2:$E26)&lt;14,"",MIN($D$13:$D$26))</f>
        <v>0</v>
      </c>
      <c r="V26">
        <f>IF(OR(T26="",U26="",T26=U26),"",100*($E26-U26)/(T26-U26))</f>
        <v>0</v>
      </c>
      <c r="W26">
        <f>IF(COUNT($V$24:$V$26)&lt;3,"",AVERAGE($V$24:$V$26))</f>
        <v>0</v>
      </c>
      <c r="X26">
        <f>IF(COUNT($N$13:$N$26)&lt;14,"",MIN($N$13:$N$26))</f>
        <v>0</v>
      </c>
      <c r="Y26">
        <f>IF(COUNT($N$13:$N$26)&lt;14,"",MAX($N$13:$N$26))</f>
        <v>0</v>
      </c>
      <c r="Z26">
        <f>IF(OR(N26="",X26="",Y26="",Y26=X26),"",100*(N26-X26)/(Y26-X26))</f>
        <v>0</v>
      </c>
      <c r="AA26">
        <f>IF(COUNT($Z$24:$Z$26)&lt;3,"",AVERAGE($Z$24:$Z$26))</f>
        <v>0</v>
      </c>
      <c r="AB26">
        <f>IF(COUNT($AA$24:$AA$26)&lt;3,"",AVERAGE($AA$24:$AA$26))</f>
        <v>0</v>
      </c>
      <c r="AC26">
        <f>IF($E26="","",MAX($C26-$D26,ABS($C26-$E25),ABS($D26-$E25)))</f>
        <v>0</v>
      </c>
      <c r="AD26">
        <f>IF(COUNT($E$2:$E26)&lt;15,"",AVERAGE($AC$13:$AC$26))</f>
        <v>0</v>
      </c>
      <c r="AE26">
        <f>IF(OR($E26="",$E25=""),"",IF(AND(($C26-$C25)&gt;($D25-$D26),($C26-$C25)&gt;0),$C26-$C25,0))</f>
        <v>0</v>
      </c>
      <c r="AF26">
        <f>IF(OR($E26="",$E25=""),"",IF(AND(($D25-$D26)&gt;($C26-$C25),($D25-$D26)&gt;0),$D25-$D26,0))</f>
        <v>0</v>
      </c>
      <c r="AG26">
        <f>IF(COUNT($E$2:$E26)&lt;15,"",IF(SUM($AC$13:$AC$26)=0,0,100*SUM($AE$13:$AE$26)/SUM($AC$13:$AC$26)))</f>
        <v>0</v>
      </c>
      <c r="AH26">
        <f>IF(COUNT($E$2:$E26)&lt;15,"",IF(SUM($AC$13:$AC$26)=0,0,100*SUM($AF$13:$AF$26)/SUM($AC$13:$AC$26)))</f>
        <v>0</v>
      </c>
      <c r="AI26">
        <f>IF(OR(AG26="",AH26=""),"",IF((AG26+AH26)=0,0,100*ABS(AG26-AH26)/(AG26+AH26)))</f>
        <v>0</v>
      </c>
      <c r="AJ26">
        <f>IF(COUNT($AI$13:$AI$26)&lt;14,"",AVERAGE($AI$13:$AI$26))</f>
        <v>0</v>
      </c>
      <c r="AK26">
        <f>IF(COUNT($E$2:$E26)&lt;20,"",AVERAGE($E$7:$E$26))</f>
        <v>0</v>
      </c>
      <c r="AL26">
        <f>IF(COUNT($E$2:$E26)&lt;20,"",STDEVP($E$7:$E$26))</f>
        <v>0</v>
      </c>
      <c r="AM26">
        <f>IF(AK26="","",AK26+2*AL26)</f>
        <v>0</v>
      </c>
      <c r="AN26">
        <f>IF(AK26="","",AK26-2*AL26)</f>
        <v>0</v>
      </c>
      <c r="AO26">
        <f>IF(OR(AM26="",AN26="",AM26=AN26),"",($E26-AN26)/(AM26-AN26))</f>
        <v>0</v>
      </c>
      <c r="AP26">
        <f>IF(OR(AM26="",AK26="",AK26=0),"",(AM26-AN26)/AK26)</f>
        <v>0</v>
      </c>
      <c r="AQ26">
        <f>IF(COUNT($E$2:$E26)&lt;20,"",MAX($C$7:$C$26))</f>
        <v>0</v>
      </c>
      <c r="AR26">
        <f>IF(COUNT($E$2:$E26)&lt;20,"",MIN($D$7:$D$26))</f>
        <v>0</v>
      </c>
      <c r="AS26">
        <f>IF(OR(AQ26="",AR26=""),"",(AQ26+AR26)/2)</f>
        <v>0</v>
      </c>
      <c r="AT26">
        <f>IF(COUNT($G$7:$G$26)&lt;20,"",STDEV($G$7:$G$26)*SQRT(52))</f>
        <v>0</v>
      </c>
      <c r="AU26">
        <f>IF(COUNT($E$2:$E26)&lt;9,"",(MAX($C$18:$C$26)+MIN($D$18:$D$26))/2)</f>
        <v>0</v>
      </c>
      <c r="AV26">
        <f>IF(COUNT($E$2:$E26)&lt;26,"",(MAX($C$2:$C$26)+MIN($D$2:$D$26))/2)</f>
        <v>0</v>
      </c>
      <c r="AW26">
        <f>IF(OR(AU26="",AV26=""),"",(AU26+AV26)/2)</f>
        <v>0</v>
      </c>
      <c r="AX26">
        <f>IF(COUNT($E$2:$E26)&lt;52,"",(MAX($C$2:$C$26)+MIN($D$2:$D$26))/2)</f>
        <v>0</v>
      </c>
      <c r="AY26">
        <f>IF(COUNT($E$2:$E26)&lt;20,"",MAX($C$2:$C$26))</f>
        <v>0</v>
      </c>
      <c r="AZ26">
        <f>IF(COUNT($E$2:$E26)&lt;20,"",MIN($D$2:$D$26))</f>
        <v>0</v>
      </c>
      <c r="BA26">
        <f>IF(COUNT($E$2:$E26)&lt;20,"",SLOPE($E$2:$E$26,$F$2:$F$26))</f>
        <v>0</v>
      </c>
      <c r="BB26">
        <f>IF(COUNT($E$2:$E26)&lt;20,"",INTERCEPT($E$2:$E$26,$F$2:$F$26))</f>
        <v>0</v>
      </c>
      <c r="BC26">
        <f>IF(OR(BA26="",BB26=""),"",BB26+BA26*F26)</f>
        <v>0</v>
      </c>
      <c r="BD26">
        <f>IF(COUNT($E$2:$E26)&lt;20,"",STEYX($E$2:$E$26,$F$2:$F$26))</f>
        <v>0</v>
      </c>
      <c r="BE26">
        <f>IF($E26="","",IF(AND(COUNT($E$27:$E$30)&gt;=4,$C26=MAX($C$22:$C$30)),$C26,""))</f>
        <v>0</v>
      </c>
      <c r="BF26">
        <f>IF($E26="","",IF(AND(COUNT($E$27:$E$30)&gt;=4,$D26=MIN($D$22:$D$30)),$D26,""))</f>
        <v>0</v>
      </c>
      <c r="BG26">
        <f>IFERROR(SMALL(Calc_Daily!$BM$2:$BM$2001,25),"")</f>
        <v>0</v>
      </c>
    </row>
    <row r="27" spans="1:59">
      <c r="A27" s="27">
        <f>IF($BG27="","",INDEX(Calc_Daily!$A$2:$A$2001,$BG27))</f>
        <v>0</v>
      </c>
      <c r="B27">
        <f>IF($BG27="","",INDEX(Calc_Daily!$BJ$2:$BJ$2001,$BG27))</f>
        <v>0</v>
      </c>
      <c r="C27">
        <f>IF($BG27="","",INDEX(Calc_Daily!$BK$2:$BK$2001,$BG27))</f>
        <v>0</v>
      </c>
      <c r="D27">
        <f>IF($BG27="","",INDEX(Calc_Daily!$BL$2:$BL$2001,$BG27))</f>
        <v>0</v>
      </c>
      <c r="E27">
        <f>IF($BG27="","",INDEX(Calc_Daily!$E$2:$E$2001,$BG27))</f>
        <v>0</v>
      </c>
      <c r="F27">
        <f>IF($E27="","",N(F26)+1)</f>
        <v>0</v>
      </c>
      <c r="G27">
        <f>IF(OR($E27="",$E26=""),"",LN($E27/$E26))</f>
        <v>0</v>
      </c>
      <c r="H27">
        <f>IF($E27="","",IF($E26="",$E27,$E27*0.0952380952+H26*0.9047619048))</f>
        <v>0</v>
      </c>
      <c r="I27">
        <f>IF($E27="","",IF($E26="",$E27,$E27*0.0392156863+I26*0.9607843137))</f>
        <v>0</v>
      </c>
      <c r="J27">
        <f>IF($E27="","",IF($E26="",$E27,$E27*0.0198019802+J26*0.9801980198))</f>
        <v>0</v>
      </c>
      <c r="K27">
        <f>IF($E27="","",IF($E26="",$E27,$E27*0.0099502488+K26*0.9900497512))</f>
        <v>0</v>
      </c>
      <c r="L27">
        <f>IF(OR($E27="",$E26=""),"",MAX($E27-$E26,0))</f>
        <v>0</v>
      </c>
      <c r="M27">
        <f>IF(OR($E27="",$E26=""),"",MAX($E26-$E27,0))</f>
        <v>0</v>
      </c>
      <c r="N27">
        <f>IF(COUNT($E$2:$E27)&lt;15,"",IF(AVERAGE($M$14:$M$27)=0,100,100-100/(1+AVERAGE($L$14:$L$27)/AVERAGE($M$14:$M$27))))</f>
        <v>0</v>
      </c>
      <c r="O27">
        <f>IF($E27="","",IF($E26="",$E27,$E27*0.1538461538+O26*0.8461538462))</f>
        <v>0</v>
      </c>
      <c r="P27">
        <f>IF($E27="","",IF($E26="",$E27,$E27*0.0740740741+P26*0.9259259259))</f>
        <v>0</v>
      </c>
      <c r="Q27">
        <f>IF(OR(O27="",P27=""),"",O27-P27)</f>
        <v>0</v>
      </c>
      <c r="R27">
        <f>IF(Q27="","",IF(R26="",Q27,Q27*0.2000000000+R26*0.8000000000))</f>
        <v>0</v>
      </c>
      <c r="S27">
        <f>IF(OR(Q27="",R27=""),"",Q27-R27)</f>
        <v>0</v>
      </c>
      <c r="T27">
        <f>IF(COUNT($E$2:$E27)&lt;14,"",MAX($C$14:$C$27))</f>
        <v>0</v>
      </c>
      <c r="U27">
        <f>IF(COUNT($E$2:$E27)&lt;14,"",MIN($D$14:$D$27))</f>
        <v>0</v>
      </c>
      <c r="V27">
        <f>IF(OR(T27="",U27="",T27=U27),"",100*($E27-U27)/(T27-U27))</f>
        <v>0</v>
      </c>
      <c r="W27">
        <f>IF(COUNT($V$25:$V$27)&lt;3,"",AVERAGE($V$25:$V$27))</f>
        <v>0</v>
      </c>
      <c r="X27">
        <f>IF(COUNT($N$14:$N$27)&lt;14,"",MIN($N$14:$N$27))</f>
        <v>0</v>
      </c>
      <c r="Y27">
        <f>IF(COUNT($N$14:$N$27)&lt;14,"",MAX($N$14:$N$27))</f>
        <v>0</v>
      </c>
      <c r="Z27">
        <f>IF(OR(N27="",X27="",Y27="",Y27=X27),"",100*(N27-X27)/(Y27-X27))</f>
        <v>0</v>
      </c>
      <c r="AA27">
        <f>IF(COUNT($Z$25:$Z$27)&lt;3,"",AVERAGE($Z$25:$Z$27))</f>
        <v>0</v>
      </c>
      <c r="AB27">
        <f>IF(COUNT($AA$25:$AA$27)&lt;3,"",AVERAGE($AA$25:$AA$27))</f>
        <v>0</v>
      </c>
      <c r="AC27">
        <f>IF($E27="","",MAX($C27-$D27,ABS($C27-$E26),ABS($D27-$E26)))</f>
        <v>0</v>
      </c>
      <c r="AD27">
        <f>IF(COUNT($E$2:$E27)&lt;15,"",AVERAGE($AC$14:$AC$27))</f>
        <v>0</v>
      </c>
      <c r="AE27">
        <f>IF(OR($E27="",$E26=""),"",IF(AND(($C27-$C26)&gt;($D26-$D27),($C27-$C26)&gt;0),$C27-$C26,0))</f>
        <v>0</v>
      </c>
      <c r="AF27">
        <f>IF(OR($E27="",$E26=""),"",IF(AND(($D26-$D27)&gt;($C27-$C26),($D26-$D27)&gt;0),$D26-$D27,0))</f>
        <v>0</v>
      </c>
      <c r="AG27">
        <f>IF(COUNT($E$2:$E27)&lt;15,"",IF(SUM($AC$14:$AC$27)=0,0,100*SUM($AE$14:$AE$27)/SUM($AC$14:$AC$27)))</f>
        <v>0</v>
      </c>
      <c r="AH27">
        <f>IF(COUNT($E$2:$E27)&lt;15,"",IF(SUM($AC$14:$AC$27)=0,0,100*SUM($AF$14:$AF$27)/SUM($AC$14:$AC$27)))</f>
        <v>0</v>
      </c>
      <c r="AI27">
        <f>IF(OR(AG27="",AH27=""),"",IF((AG27+AH27)=0,0,100*ABS(AG27-AH27)/(AG27+AH27)))</f>
        <v>0</v>
      </c>
      <c r="AJ27">
        <f>IF(COUNT($AI$14:$AI$27)&lt;14,"",AVERAGE($AI$14:$AI$27))</f>
        <v>0</v>
      </c>
      <c r="AK27">
        <f>IF(COUNT($E$2:$E27)&lt;20,"",AVERAGE($E$8:$E$27))</f>
        <v>0</v>
      </c>
      <c r="AL27">
        <f>IF(COUNT($E$2:$E27)&lt;20,"",STDEVP($E$8:$E$27))</f>
        <v>0</v>
      </c>
      <c r="AM27">
        <f>IF(AK27="","",AK27+2*AL27)</f>
        <v>0</v>
      </c>
      <c r="AN27">
        <f>IF(AK27="","",AK27-2*AL27)</f>
        <v>0</v>
      </c>
      <c r="AO27">
        <f>IF(OR(AM27="",AN27="",AM27=AN27),"",($E27-AN27)/(AM27-AN27))</f>
        <v>0</v>
      </c>
      <c r="AP27">
        <f>IF(OR(AM27="",AK27="",AK27=0),"",(AM27-AN27)/AK27)</f>
        <v>0</v>
      </c>
      <c r="AQ27">
        <f>IF(COUNT($E$2:$E27)&lt;20,"",MAX($C$8:$C$27))</f>
        <v>0</v>
      </c>
      <c r="AR27">
        <f>IF(COUNT($E$2:$E27)&lt;20,"",MIN($D$8:$D$27))</f>
        <v>0</v>
      </c>
      <c r="AS27">
        <f>IF(OR(AQ27="",AR27=""),"",(AQ27+AR27)/2)</f>
        <v>0</v>
      </c>
      <c r="AT27">
        <f>IF(COUNT($G$8:$G$27)&lt;20,"",STDEV($G$8:$G$27)*SQRT(52))</f>
        <v>0</v>
      </c>
      <c r="AU27">
        <f>IF(COUNT($E$2:$E27)&lt;9,"",(MAX($C$19:$C$27)+MIN($D$19:$D$27))/2)</f>
        <v>0</v>
      </c>
      <c r="AV27">
        <f>IF(COUNT($E$2:$E27)&lt;26,"",(MAX($C$2:$C$27)+MIN($D$2:$D$27))/2)</f>
        <v>0</v>
      </c>
      <c r="AW27">
        <f>IF(OR(AU27="",AV27=""),"",(AU27+AV27)/2)</f>
        <v>0</v>
      </c>
      <c r="AX27">
        <f>IF(COUNT($E$2:$E27)&lt;52,"",(MAX($C$2:$C$27)+MIN($D$2:$D$27))/2)</f>
        <v>0</v>
      </c>
      <c r="AY27">
        <f>IF(COUNT($E$2:$E27)&lt;20,"",MAX($C$2:$C$27))</f>
        <v>0</v>
      </c>
      <c r="AZ27">
        <f>IF(COUNT($E$2:$E27)&lt;20,"",MIN($D$2:$D$27))</f>
        <v>0</v>
      </c>
      <c r="BA27">
        <f>IF(COUNT($E$2:$E27)&lt;20,"",SLOPE($E$2:$E$27,$F$2:$F$27))</f>
        <v>0</v>
      </c>
      <c r="BB27">
        <f>IF(COUNT($E$2:$E27)&lt;20,"",INTERCEPT($E$2:$E$27,$F$2:$F$27))</f>
        <v>0</v>
      </c>
      <c r="BC27">
        <f>IF(OR(BA27="",BB27=""),"",BB27+BA27*F27)</f>
        <v>0</v>
      </c>
      <c r="BD27">
        <f>IF(COUNT($E$2:$E27)&lt;20,"",STEYX($E$2:$E$27,$F$2:$F$27))</f>
        <v>0</v>
      </c>
      <c r="BE27">
        <f>IF($E27="","",IF(AND(COUNT($E$28:$E$31)&gt;=4,$C27=MAX($C$23:$C$31)),$C27,""))</f>
        <v>0</v>
      </c>
      <c r="BF27">
        <f>IF($E27="","",IF(AND(COUNT($E$28:$E$31)&gt;=4,$D27=MIN($D$23:$D$31)),$D27,""))</f>
        <v>0</v>
      </c>
      <c r="BG27">
        <f>IFERROR(SMALL(Calc_Daily!$BM$2:$BM$2001,26),"")</f>
        <v>0</v>
      </c>
    </row>
    <row r="28" spans="1:59">
      <c r="A28" s="27">
        <f>IF($BG28="","",INDEX(Calc_Daily!$A$2:$A$2001,$BG28))</f>
        <v>0</v>
      </c>
      <c r="B28">
        <f>IF($BG28="","",INDEX(Calc_Daily!$BJ$2:$BJ$2001,$BG28))</f>
        <v>0</v>
      </c>
      <c r="C28">
        <f>IF($BG28="","",INDEX(Calc_Daily!$BK$2:$BK$2001,$BG28))</f>
        <v>0</v>
      </c>
      <c r="D28">
        <f>IF($BG28="","",INDEX(Calc_Daily!$BL$2:$BL$2001,$BG28))</f>
        <v>0</v>
      </c>
      <c r="E28">
        <f>IF($BG28="","",INDEX(Calc_Daily!$E$2:$E$2001,$BG28))</f>
        <v>0</v>
      </c>
      <c r="F28">
        <f>IF($E28="","",N(F27)+1)</f>
        <v>0</v>
      </c>
      <c r="G28">
        <f>IF(OR($E28="",$E27=""),"",LN($E28/$E27))</f>
        <v>0</v>
      </c>
      <c r="H28">
        <f>IF($E28="","",IF($E27="",$E28,$E28*0.0952380952+H27*0.9047619048))</f>
        <v>0</v>
      </c>
      <c r="I28">
        <f>IF($E28="","",IF($E27="",$E28,$E28*0.0392156863+I27*0.9607843137))</f>
        <v>0</v>
      </c>
      <c r="J28">
        <f>IF($E28="","",IF($E27="",$E28,$E28*0.0198019802+J27*0.9801980198))</f>
        <v>0</v>
      </c>
      <c r="K28">
        <f>IF($E28="","",IF($E27="",$E28,$E28*0.0099502488+K27*0.9900497512))</f>
        <v>0</v>
      </c>
      <c r="L28">
        <f>IF(OR($E28="",$E27=""),"",MAX($E28-$E27,0))</f>
        <v>0</v>
      </c>
      <c r="M28">
        <f>IF(OR($E28="",$E27=""),"",MAX($E27-$E28,0))</f>
        <v>0</v>
      </c>
      <c r="N28">
        <f>IF(COUNT($E$2:$E28)&lt;15,"",IF(AVERAGE($M$15:$M$28)=0,100,100-100/(1+AVERAGE($L$15:$L$28)/AVERAGE($M$15:$M$28))))</f>
        <v>0</v>
      </c>
      <c r="O28">
        <f>IF($E28="","",IF($E27="",$E28,$E28*0.1538461538+O27*0.8461538462))</f>
        <v>0</v>
      </c>
      <c r="P28">
        <f>IF($E28="","",IF($E27="",$E28,$E28*0.0740740741+P27*0.9259259259))</f>
        <v>0</v>
      </c>
      <c r="Q28">
        <f>IF(OR(O28="",P28=""),"",O28-P28)</f>
        <v>0</v>
      </c>
      <c r="R28">
        <f>IF(Q28="","",IF(R27="",Q28,Q28*0.2000000000+R27*0.8000000000))</f>
        <v>0</v>
      </c>
      <c r="S28">
        <f>IF(OR(Q28="",R28=""),"",Q28-R28)</f>
        <v>0</v>
      </c>
      <c r="T28">
        <f>IF(COUNT($E$2:$E28)&lt;14,"",MAX($C$15:$C$28))</f>
        <v>0</v>
      </c>
      <c r="U28">
        <f>IF(COUNT($E$2:$E28)&lt;14,"",MIN($D$15:$D$28))</f>
        <v>0</v>
      </c>
      <c r="V28">
        <f>IF(OR(T28="",U28="",T28=U28),"",100*($E28-U28)/(T28-U28))</f>
        <v>0</v>
      </c>
      <c r="W28">
        <f>IF(COUNT($V$26:$V$28)&lt;3,"",AVERAGE($V$26:$V$28))</f>
        <v>0</v>
      </c>
      <c r="X28">
        <f>IF(COUNT($N$15:$N$28)&lt;14,"",MIN($N$15:$N$28))</f>
        <v>0</v>
      </c>
      <c r="Y28">
        <f>IF(COUNT($N$15:$N$28)&lt;14,"",MAX($N$15:$N$28))</f>
        <v>0</v>
      </c>
      <c r="Z28">
        <f>IF(OR(N28="",X28="",Y28="",Y28=X28),"",100*(N28-X28)/(Y28-X28))</f>
        <v>0</v>
      </c>
      <c r="AA28">
        <f>IF(COUNT($Z$26:$Z$28)&lt;3,"",AVERAGE($Z$26:$Z$28))</f>
        <v>0</v>
      </c>
      <c r="AB28">
        <f>IF(COUNT($AA$26:$AA$28)&lt;3,"",AVERAGE($AA$26:$AA$28))</f>
        <v>0</v>
      </c>
      <c r="AC28">
        <f>IF($E28="","",MAX($C28-$D28,ABS($C28-$E27),ABS($D28-$E27)))</f>
        <v>0</v>
      </c>
      <c r="AD28">
        <f>IF(COUNT($E$2:$E28)&lt;15,"",AVERAGE($AC$15:$AC$28))</f>
        <v>0</v>
      </c>
      <c r="AE28">
        <f>IF(OR($E28="",$E27=""),"",IF(AND(($C28-$C27)&gt;($D27-$D28),($C28-$C27)&gt;0),$C28-$C27,0))</f>
        <v>0</v>
      </c>
      <c r="AF28">
        <f>IF(OR($E28="",$E27=""),"",IF(AND(($D27-$D28)&gt;($C28-$C27),($D27-$D28)&gt;0),$D27-$D28,0))</f>
        <v>0</v>
      </c>
      <c r="AG28">
        <f>IF(COUNT($E$2:$E28)&lt;15,"",IF(SUM($AC$15:$AC$28)=0,0,100*SUM($AE$15:$AE$28)/SUM($AC$15:$AC$28)))</f>
        <v>0</v>
      </c>
      <c r="AH28">
        <f>IF(COUNT($E$2:$E28)&lt;15,"",IF(SUM($AC$15:$AC$28)=0,0,100*SUM($AF$15:$AF$28)/SUM($AC$15:$AC$28)))</f>
        <v>0</v>
      </c>
      <c r="AI28">
        <f>IF(OR(AG28="",AH28=""),"",IF((AG28+AH28)=0,0,100*ABS(AG28-AH28)/(AG28+AH28)))</f>
        <v>0</v>
      </c>
      <c r="AJ28">
        <f>IF(COUNT($AI$15:$AI$28)&lt;14,"",AVERAGE($AI$15:$AI$28))</f>
        <v>0</v>
      </c>
      <c r="AK28">
        <f>IF(COUNT($E$2:$E28)&lt;20,"",AVERAGE($E$9:$E$28))</f>
        <v>0</v>
      </c>
      <c r="AL28">
        <f>IF(COUNT($E$2:$E28)&lt;20,"",STDEVP($E$9:$E$28))</f>
        <v>0</v>
      </c>
      <c r="AM28">
        <f>IF(AK28="","",AK28+2*AL28)</f>
        <v>0</v>
      </c>
      <c r="AN28">
        <f>IF(AK28="","",AK28-2*AL28)</f>
        <v>0</v>
      </c>
      <c r="AO28">
        <f>IF(OR(AM28="",AN28="",AM28=AN28),"",($E28-AN28)/(AM28-AN28))</f>
        <v>0</v>
      </c>
      <c r="AP28">
        <f>IF(OR(AM28="",AK28="",AK28=0),"",(AM28-AN28)/AK28)</f>
        <v>0</v>
      </c>
      <c r="AQ28">
        <f>IF(COUNT($E$2:$E28)&lt;20,"",MAX($C$9:$C$28))</f>
        <v>0</v>
      </c>
      <c r="AR28">
        <f>IF(COUNT($E$2:$E28)&lt;20,"",MIN($D$9:$D$28))</f>
        <v>0</v>
      </c>
      <c r="AS28">
        <f>IF(OR(AQ28="",AR28=""),"",(AQ28+AR28)/2)</f>
        <v>0</v>
      </c>
      <c r="AT28">
        <f>IF(COUNT($G$9:$G$28)&lt;20,"",STDEV($G$9:$G$28)*SQRT(52))</f>
        <v>0</v>
      </c>
      <c r="AU28">
        <f>IF(COUNT($E$2:$E28)&lt;9,"",(MAX($C$20:$C$28)+MIN($D$20:$D$28))/2)</f>
        <v>0</v>
      </c>
      <c r="AV28">
        <f>IF(COUNT($E$2:$E28)&lt;26,"",(MAX($C$3:$C$28)+MIN($D$3:$D$28))/2)</f>
        <v>0</v>
      </c>
      <c r="AW28">
        <f>IF(OR(AU28="",AV28=""),"",(AU28+AV28)/2)</f>
        <v>0</v>
      </c>
      <c r="AX28">
        <f>IF(COUNT($E$2:$E28)&lt;52,"",(MAX($C$2:$C$28)+MIN($D$2:$D$28))/2)</f>
        <v>0</v>
      </c>
      <c r="AY28">
        <f>IF(COUNT($E$2:$E28)&lt;20,"",MAX($C$2:$C$28))</f>
        <v>0</v>
      </c>
      <c r="AZ28">
        <f>IF(COUNT($E$2:$E28)&lt;20,"",MIN($D$2:$D$28))</f>
        <v>0</v>
      </c>
      <c r="BA28">
        <f>IF(COUNT($E$2:$E28)&lt;20,"",SLOPE($E$2:$E$28,$F$2:$F$28))</f>
        <v>0</v>
      </c>
      <c r="BB28">
        <f>IF(COUNT($E$2:$E28)&lt;20,"",INTERCEPT($E$2:$E$28,$F$2:$F$28))</f>
        <v>0</v>
      </c>
      <c r="BC28">
        <f>IF(OR(BA28="",BB28=""),"",BB28+BA28*F28)</f>
        <v>0</v>
      </c>
      <c r="BD28">
        <f>IF(COUNT($E$2:$E28)&lt;20,"",STEYX($E$2:$E$28,$F$2:$F$28))</f>
        <v>0</v>
      </c>
      <c r="BE28">
        <f>IF($E28="","",IF(AND(COUNT($E$29:$E$32)&gt;=4,$C28=MAX($C$24:$C$32)),$C28,""))</f>
        <v>0</v>
      </c>
      <c r="BF28">
        <f>IF($E28="","",IF(AND(COUNT($E$29:$E$32)&gt;=4,$D28=MIN($D$24:$D$32)),$D28,""))</f>
        <v>0</v>
      </c>
      <c r="BG28">
        <f>IFERROR(SMALL(Calc_Daily!$BM$2:$BM$2001,27),"")</f>
        <v>0</v>
      </c>
    </row>
    <row r="29" spans="1:59">
      <c r="A29" s="27">
        <f>IF($BG29="","",INDEX(Calc_Daily!$A$2:$A$2001,$BG29))</f>
        <v>0</v>
      </c>
      <c r="B29">
        <f>IF($BG29="","",INDEX(Calc_Daily!$BJ$2:$BJ$2001,$BG29))</f>
        <v>0</v>
      </c>
      <c r="C29">
        <f>IF($BG29="","",INDEX(Calc_Daily!$BK$2:$BK$2001,$BG29))</f>
        <v>0</v>
      </c>
      <c r="D29">
        <f>IF($BG29="","",INDEX(Calc_Daily!$BL$2:$BL$2001,$BG29))</f>
        <v>0</v>
      </c>
      <c r="E29">
        <f>IF($BG29="","",INDEX(Calc_Daily!$E$2:$E$2001,$BG29))</f>
        <v>0</v>
      </c>
      <c r="F29">
        <f>IF($E29="","",N(F28)+1)</f>
        <v>0</v>
      </c>
      <c r="G29">
        <f>IF(OR($E29="",$E28=""),"",LN($E29/$E28))</f>
        <v>0</v>
      </c>
      <c r="H29">
        <f>IF($E29="","",IF($E28="",$E29,$E29*0.0952380952+H28*0.9047619048))</f>
        <v>0</v>
      </c>
      <c r="I29">
        <f>IF($E29="","",IF($E28="",$E29,$E29*0.0392156863+I28*0.9607843137))</f>
        <v>0</v>
      </c>
      <c r="J29">
        <f>IF($E29="","",IF($E28="",$E29,$E29*0.0198019802+J28*0.9801980198))</f>
        <v>0</v>
      </c>
      <c r="K29">
        <f>IF($E29="","",IF($E28="",$E29,$E29*0.0099502488+K28*0.9900497512))</f>
        <v>0</v>
      </c>
      <c r="L29">
        <f>IF(OR($E29="",$E28=""),"",MAX($E29-$E28,0))</f>
        <v>0</v>
      </c>
      <c r="M29">
        <f>IF(OR($E29="",$E28=""),"",MAX($E28-$E29,0))</f>
        <v>0</v>
      </c>
      <c r="N29">
        <f>IF(COUNT($E$2:$E29)&lt;15,"",IF(AVERAGE($M$16:$M$29)=0,100,100-100/(1+AVERAGE($L$16:$L$29)/AVERAGE($M$16:$M$29))))</f>
        <v>0</v>
      </c>
      <c r="O29">
        <f>IF($E29="","",IF($E28="",$E29,$E29*0.1538461538+O28*0.8461538462))</f>
        <v>0</v>
      </c>
      <c r="P29">
        <f>IF($E29="","",IF($E28="",$E29,$E29*0.0740740741+P28*0.9259259259))</f>
        <v>0</v>
      </c>
      <c r="Q29">
        <f>IF(OR(O29="",P29=""),"",O29-P29)</f>
        <v>0</v>
      </c>
      <c r="R29">
        <f>IF(Q29="","",IF(R28="",Q29,Q29*0.2000000000+R28*0.8000000000))</f>
        <v>0</v>
      </c>
      <c r="S29">
        <f>IF(OR(Q29="",R29=""),"",Q29-R29)</f>
        <v>0</v>
      </c>
      <c r="T29">
        <f>IF(COUNT($E$2:$E29)&lt;14,"",MAX($C$16:$C$29))</f>
        <v>0</v>
      </c>
      <c r="U29">
        <f>IF(COUNT($E$2:$E29)&lt;14,"",MIN($D$16:$D$29))</f>
        <v>0</v>
      </c>
      <c r="V29">
        <f>IF(OR(T29="",U29="",T29=U29),"",100*($E29-U29)/(T29-U29))</f>
        <v>0</v>
      </c>
      <c r="W29">
        <f>IF(COUNT($V$27:$V$29)&lt;3,"",AVERAGE($V$27:$V$29))</f>
        <v>0</v>
      </c>
      <c r="X29">
        <f>IF(COUNT($N$16:$N$29)&lt;14,"",MIN($N$16:$N$29))</f>
        <v>0</v>
      </c>
      <c r="Y29">
        <f>IF(COUNT($N$16:$N$29)&lt;14,"",MAX($N$16:$N$29))</f>
        <v>0</v>
      </c>
      <c r="Z29">
        <f>IF(OR(N29="",X29="",Y29="",Y29=X29),"",100*(N29-X29)/(Y29-X29))</f>
        <v>0</v>
      </c>
      <c r="AA29">
        <f>IF(COUNT($Z$27:$Z$29)&lt;3,"",AVERAGE($Z$27:$Z$29))</f>
        <v>0</v>
      </c>
      <c r="AB29">
        <f>IF(COUNT($AA$27:$AA$29)&lt;3,"",AVERAGE($AA$27:$AA$29))</f>
        <v>0</v>
      </c>
      <c r="AC29">
        <f>IF($E29="","",MAX($C29-$D29,ABS($C29-$E28),ABS($D29-$E28)))</f>
        <v>0</v>
      </c>
      <c r="AD29">
        <f>IF(COUNT($E$2:$E29)&lt;15,"",AVERAGE($AC$16:$AC$29))</f>
        <v>0</v>
      </c>
      <c r="AE29">
        <f>IF(OR($E29="",$E28=""),"",IF(AND(($C29-$C28)&gt;($D28-$D29),($C29-$C28)&gt;0),$C29-$C28,0))</f>
        <v>0</v>
      </c>
      <c r="AF29">
        <f>IF(OR($E29="",$E28=""),"",IF(AND(($D28-$D29)&gt;($C29-$C28),($D28-$D29)&gt;0),$D28-$D29,0))</f>
        <v>0</v>
      </c>
      <c r="AG29">
        <f>IF(COUNT($E$2:$E29)&lt;15,"",IF(SUM($AC$16:$AC$29)=0,0,100*SUM($AE$16:$AE$29)/SUM($AC$16:$AC$29)))</f>
        <v>0</v>
      </c>
      <c r="AH29">
        <f>IF(COUNT($E$2:$E29)&lt;15,"",IF(SUM($AC$16:$AC$29)=0,0,100*SUM($AF$16:$AF$29)/SUM($AC$16:$AC$29)))</f>
        <v>0</v>
      </c>
      <c r="AI29">
        <f>IF(OR(AG29="",AH29=""),"",IF((AG29+AH29)=0,0,100*ABS(AG29-AH29)/(AG29+AH29)))</f>
        <v>0</v>
      </c>
      <c r="AJ29">
        <f>IF(COUNT($AI$16:$AI$29)&lt;14,"",AVERAGE($AI$16:$AI$29))</f>
        <v>0</v>
      </c>
      <c r="AK29">
        <f>IF(COUNT($E$2:$E29)&lt;20,"",AVERAGE($E$10:$E$29))</f>
        <v>0</v>
      </c>
      <c r="AL29">
        <f>IF(COUNT($E$2:$E29)&lt;20,"",STDEVP($E$10:$E$29))</f>
        <v>0</v>
      </c>
      <c r="AM29">
        <f>IF(AK29="","",AK29+2*AL29)</f>
        <v>0</v>
      </c>
      <c r="AN29">
        <f>IF(AK29="","",AK29-2*AL29)</f>
        <v>0</v>
      </c>
      <c r="AO29">
        <f>IF(OR(AM29="",AN29="",AM29=AN29),"",($E29-AN29)/(AM29-AN29))</f>
        <v>0</v>
      </c>
      <c r="AP29">
        <f>IF(OR(AM29="",AK29="",AK29=0),"",(AM29-AN29)/AK29)</f>
        <v>0</v>
      </c>
      <c r="AQ29">
        <f>IF(COUNT($E$2:$E29)&lt;20,"",MAX($C$10:$C$29))</f>
        <v>0</v>
      </c>
      <c r="AR29">
        <f>IF(COUNT($E$2:$E29)&lt;20,"",MIN($D$10:$D$29))</f>
        <v>0</v>
      </c>
      <c r="AS29">
        <f>IF(OR(AQ29="",AR29=""),"",(AQ29+AR29)/2)</f>
        <v>0</v>
      </c>
      <c r="AT29">
        <f>IF(COUNT($G$10:$G$29)&lt;20,"",STDEV($G$10:$G$29)*SQRT(52))</f>
        <v>0</v>
      </c>
      <c r="AU29">
        <f>IF(COUNT($E$2:$E29)&lt;9,"",(MAX($C$21:$C$29)+MIN($D$21:$D$29))/2)</f>
        <v>0</v>
      </c>
      <c r="AV29">
        <f>IF(COUNT($E$2:$E29)&lt;26,"",(MAX($C$4:$C$29)+MIN($D$4:$D$29))/2)</f>
        <v>0</v>
      </c>
      <c r="AW29">
        <f>IF(OR(AU29="",AV29=""),"",(AU29+AV29)/2)</f>
        <v>0</v>
      </c>
      <c r="AX29">
        <f>IF(COUNT($E$2:$E29)&lt;52,"",(MAX($C$2:$C$29)+MIN($D$2:$D$29))/2)</f>
        <v>0</v>
      </c>
      <c r="AY29">
        <f>IF(COUNT($E$2:$E29)&lt;20,"",MAX($C$2:$C$29))</f>
        <v>0</v>
      </c>
      <c r="AZ29">
        <f>IF(COUNT($E$2:$E29)&lt;20,"",MIN($D$2:$D$29))</f>
        <v>0</v>
      </c>
      <c r="BA29">
        <f>IF(COUNT($E$2:$E29)&lt;20,"",SLOPE($E$2:$E$29,$F$2:$F$29))</f>
        <v>0</v>
      </c>
      <c r="BB29">
        <f>IF(COUNT($E$2:$E29)&lt;20,"",INTERCEPT($E$2:$E$29,$F$2:$F$29))</f>
        <v>0</v>
      </c>
      <c r="BC29">
        <f>IF(OR(BA29="",BB29=""),"",BB29+BA29*F29)</f>
        <v>0</v>
      </c>
      <c r="BD29">
        <f>IF(COUNT($E$2:$E29)&lt;20,"",STEYX($E$2:$E$29,$F$2:$F$29))</f>
        <v>0</v>
      </c>
      <c r="BE29">
        <f>IF($E29="","",IF(AND(COUNT($E$30:$E$33)&gt;=4,$C29=MAX($C$25:$C$33)),$C29,""))</f>
        <v>0</v>
      </c>
      <c r="BF29">
        <f>IF($E29="","",IF(AND(COUNT($E$30:$E$33)&gt;=4,$D29=MIN($D$25:$D$33)),$D29,""))</f>
        <v>0</v>
      </c>
      <c r="BG29">
        <f>IFERROR(SMALL(Calc_Daily!$BM$2:$BM$2001,28),"")</f>
        <v>0</v>
      </c>
    </row>
    <row r="30" spans="1:59">
      <c r="A30" s="27">
        <f>IF($BG30="","",INDEX(Calc_Daily!$A$2:$A$2001,$BG30))</f>
        <v>0</v>
      </c>
      <c r="B30">
        <f>IF($BG30="","",INDEX(Calc_Daily!$BJ$2:$BJ$2001,$BG30))</f>
        <v>0</v>
      </c>
      <c r="C30">
        <f>IF($BG30="","",INDEX(Calc_Daily!$BK$2:$BK$2001,$BG30))</f>
        <v>0</v>
      </c>
      <c r="D30">
        <f>IF($BG30="","",INDEX(Calc_Daily!$BL$2:$BL$2001,$BG30))</f>
        <v>0</v>
      </c>
      <c r="E30">
        <f>IF($BG30="","",INDEX(Calc_Daily!$E$2:$E$2001,$BG30))</f>
        <v>0</v>
      </c>
      <c r="F30">
        <f>IF($E30="","",N(F29)+1)</f>
        <v>0</v>
      </c>
      <c r="G30">
        <f>IF(OR($E30="",$E29=""),"",LN($E30/$E29))</f>
        <v>0</v>
      </c>
      <c r="H30">
        <f>IF($E30="","",IF($E29="",$E30,$E30*0.0952380952+H29*0.9047619048))</f>
        <v>0</v>
      </c>
      <c r="I30">
        <f>IF($E30="","",IF($E29="",$E30,$E30*0.0392156863+I29*0.9607843137))</f>
        <v>0</v>
      </c>
      <c r="J30">
        <f>IF($E30="","",IF($E29="",$E30,$E30*0.0198019802+J29*0.9801980198))</f>
        <v>0</v>
      </c>
      <c r="K30">
        <f>IF($E30="","",IF($E29="",$E30,$E30*0.0099502488+K29*0.9900497512))</f>
        <v>0</v>
      </c>
      <c r="L30">
        <f>IF(OR($E30="",$E29=""),"",MAX($E30-$E29,0))</f>
        <v>0</v>
      </c>
      <c r="M30">
        <f>IF(OR($E30="",$E29=""),"",MAX($E29-$E30,0))</f>
        <v>0</v>
      </c>
      <c r="N30">
        <f>IF(COUNT($E$2:$E30)&lt;15,"",IF(AVERAGE($M$17:$M$30)=0,100,100-100/(1+AVERAGE($L$17:$L$30)/AVERAGE($M$17:$M$30))))</f>
        <v>0</v>
      </c>
      <c r="O30">
        <f>IF($E30="","",IF($E29="",$E30,$E30*0.1538461538+O29*0.8461538462))</f>
        <v>0</v>
      </c>
      <c r="P30">
        <f>IF($E30="","",IF($E29="",$E30,$E30*0.0740740741+P29*0.9259259259))</f>
        <v>0</v>
      </c>
      <c r="Q30">
        <f>IF(OR(O30="",P30=""),"",O30-P30)</f>
        <v>0</v>
      </c>
      <c r="R30">
        <f>IF(Q30="","",IF(R29="",Q30,Q30*0.2000000000+R29*0.8000000000))</f>
        <v>0</v>
      </c>
      <c r="S30">
        <f>IF(OR(Q30="",R30=""),"",Q30-R30)</f>
        <v>0</v>
      </c>
      <c r="T30">
        <f>IF(COUNT($E$2:$E30)&lt;14,"",MAX($C$17:$C$30))</f>
        <v>0</v>
      </c>
      <c r="U30">
        <f>IF(COUNT($E$2:$E30)&lt;14,"",MIN($D$17:$D$30))</f>
        <v>0</v>
      </c>
      <c r="V30">
        <f>IF(OR(T30="",U30="",T30=U30),"",100*($E30-U30)/(T30-U30))</f>
        <v>0</v>
      </c>
      <c r="W30">
        <f>IF(COUNT($V$28:$V$30)&lt;3,"",AVERAGE($V$28:$V$30))</f>
        <v>0</v>
      </c>
      <c r="X30">
        <f>IF(COUNT($N$17:$N$30)&lt;14,"",MIN($N$17:$N$30))</f>
        <v>0</v>
      </c>
      <c r="Y30">
        <f>IF(COUNT($N$17:$N$30)&lt;14,"",MAX($N$17:$N$30))</f>
        <v>0</v>
      </c>
      <c r="Z30">
        <f>IF(OR(N30="",X30="",Y30="",Y30=X30),"",100*(N30-X30)/(Y30-X30))</f>
        <v>0</v>
      </c>
      <c r="AA30">
        <f>IF(COUNT($Z$28:$Z$30)&lt;3,"",AVERAGE($Z$28:$Z$30))</f>
        <v>0</v>
      </c>
      <c r="AB30">
        <f>IF(COUNT($AA$28:$AA$30)&lt;3,"",AVERAGE($AA$28:$AA$30))</f>
        <v>0</v>
      </c>
      <c r="AC30">
        <f>IF($E30="","",MAX($C30-$D30,ABS($C30-$E29),ABS($D30-$E29)))</f>
        <v>0</v>
      </c>
      <c r="AD30">
        <f>IF(COUNT($E$2:$E30)&lt;15,"",AVERAGE($AC$17:$AC$30))</f>
        <v>0</v>
      </c>
      <c r="AE30">
        <f>IF(OR($E30="",$E29=""),"",IF(AND(($C30-$C29)&gt;($D29-$D30),($C30-$C29)&gt;0),$C30-$C29,0))</f>
        <v>0</v>
      </c>
      <c r="AF30">
        <f>IF(OR($E30="",$E29=""),"",IF(AND(($D29-$D30)&gt;($C30-$C29),($D29-$D30)&gt;0),$D29-$D30,0))</f>
        <v>0</v>
      </c>
      <c r="AG30">
        <f>IF(COUNT($E$2:$E30)&lt;15,"",IF(SUM($AC$17:$AC$30)=0,0,100*SUM($AE$17:$AE$30)/SUM($AC$17:$AC$30)))</f>
        <v>0</v>
      </c>
      <c r="AH30">
        <f>IF(COUNT($E$2:$E30)&lt;15,"",IF(SUM($AC$17:$AC$30)=0,0,100*SUM($AF$17:$AF$30)/SUM($AC$17:$AC$30)))</f>
        <v>0</v>
      </c>
      <c r="AI30">
        <f>IF(OR(AG30="",AH30=""),"",IF((AG30+AH30)=0,0,100*ABS(AG30-AH30)/(AG30+AH30)))</f>
        <v>0</v>
      </c>
      <c r="AJ30">
        <f>IF(COUNT($AI$17:$AI$30)&lt;14,"",AVERAGE($AI$17:$AI$30))</f>
        <v>0</v>
      </c>
      <c r="AK30">
        <f>IF(COUNT($E$2:$E30)&lt;20,"",AVERAGE($E$11:$E$30))</f>
        <v>0</v>
      </c>
      <c r="AL30">
        <f>IF(COUNT($E$2:$E30)&lt;20,"",STDEVP($E$11:$E$30))</f>
        <v>0</v>
      </c>
      <c r="AM30">
        <f>IF(AK30="","",AK30+2*AL30)</f>
        <v>0</v>
      </c>
      <c r="AN30">
        <f>IF(AK30="","",AK30-2*AL30)</f>
        <v>0</v>
      </c>
      <c r="AO30">
        <f>IF(OR(AM30="",AN30="",AM30=AN30),"",($E30-AN30)/(AM30-AN30))</f>
        <v>0</v>
      </c>
      <c r="AP30">
        <f>IF(OR(AM30="",AK30="",AK30=0),"",(AM30-AN30)/AK30)</f>
        <v>0</v>
      </c>
      <c r="AQ30">
        <f>IF(COUNT($E$2:$E30)&lt;20,"",MAX($C$11:$C$30))</f>
        <v>0</v>
      </c>
      <c r="AR30">
        <f>IF(COUNT($E$2:$E30)&lt;20,"",MIN($D$11:$D$30))</f>
        <v>0</v>
      </c>
      <c r="AS30">
        <f>IF(OR(AQ30="",AR30=""),"",(AQ30+AR30)/2)</f>
        <v>0</v>
      </c>
      <c r="AT30">
        <f>IF(COUNT($G$11:$G$30)&lt;20,"",STDEV($G$11:$G$30)*SQRT(52))</f>
        <v>0</v>
      </c>
      <c r="AU30">
        <f>IF(COUNT($E$2:$E30)&lt;9,"",(MAX($C$22:$C$30)+MIN($D$22:$D$30))/2)</f>
        <v>0</v>
      </c>
      <c r="AV30">
        <f>IF(COUNT($E$2:$E30)&lt;26,"",(MAX($C$5:$C$30)+MIN($D$5:$D$30))/2)</f>
        <v>0</v>
      </c>
      <c r="AW30">
        <f>IF(OR(AU30="",AV30=""),"",(AU30+AV30)/2)</f>
        <v>0</v>
      </c>
      <c r="AX30">
        <f>IF(COUNT($E$2:$E30)&lt;52,"",(MAX($C$2:$C$30)+MIN($D$2:$D$30))/2)</f>
        <v>0</v>
      </c>
      <c r="AY30">
        <f>IF(COUNT($E$2:$E30)&lt;20,"",MAX($C$2:$C$30))</f>
        <v>0</v>
      </c>
      <c r="AZ30">
        <f>IF(COUNT($E$2:$E30)&lt;20,"",MIN($D$2:$D$30))</f>
        <v>0</v>
      </c>
      <c r="BA30">
        <f>IF(COUNT($E$2:$E30)&lt;20,"",SLOPE($E$2:$E$30,$F$2:$F$30))</f>
        <v>0</v>
      </c>
      <c r="BB30">
        <f>IF(COUNT($E$2:$E30)&lt;20,"",INTERCEPT($E$2:$E$30,$F$2:$F$30))</f>
        <v>0</v>
      </c>
      <c r="BC30">
        <f>IF(OR(BA30="",BB30=""),"",BB30+BA30*F30)</f>
        <v>0</v>
      </c>
      <c r="BD30">
        <f>IF(COUNT($E$2:$E30)&lt;20,"",STEYX($E$2:$E$30,$F$2:$F$30))</f>
        <v>0</v>
      </c>
      <c r="BE30">
        <f>IF($E30="","",IF(AND(COUNT($E$31:$E$34)&gt;=4,$C30=MAX($C$26:$C$34)),$C30,""))</f>
        <v>0</v>
      </c>
      <c r="BF30">
        <f>IF($E30="","",IF(AND(COUNT($E$31:$E$34)&gt;=4,$D30=MIN($D$26:$D$34)),$D30,""))</f>
        <v>0</v>
      </c>
      <c r="BG30">
        <f>IFERROR(SMALL(Calc_Daily!$BM$2:$BM$2001,29),"")</f>
        <v>0</v>
      </c>
    </row>
    <row r="31" spans="1:59">
      <c r="A31" s="27">
        <f>IF($BG31="","",INDEX(Calc_Daily!$A$2:$A$2001,$BG31))</f>
        <v>0</v>
      </c>
      <c r="B31">
        <f>IF($BG31="","",INDEX(Calc_Daily!$BJ$2:$BJ$2001,$BG31))</f>
        <v>0</v>
      </c>
      <c r="C31">
        <f>IF($BG31="","",INDEX(Calc_Daily!$BK$2:$BK$2001,$BG31))</f>
        <v>0</v>
      </c>
      <c r="D31">
        <f>IF($BG31="","",INDEX(Calc_Daily!$BL$2:$BL$2001,$BG31))</f>
        <v>0</v>
      </c>
      <c r="E31">
        <f>IF($BG31="","",INDEX(Calc_Daily!$E$2:$E$2001,$BG31))</f>
        <v>0</v>
      </c>
      <c r="F31">
        <f>IF($E31="","",N(F30)+1)</f>
        <v>0</v>
      </c>
      <c r="G31">
        <f>IF(OR($E31="",$E30=""),"",LN($E31/$E30))</f>
        <v>0</v>
      </c>
      <c r="H31">
        <f>IF($E31="","",IF($E30="",$E31,$E31*0.0952380952+H30*0.9047619048))</f>
        <v>0</v>
      </c>
      <c r="I31">
        <f>IF($E31="","",IF($E30="",$E31,$E31*0.0392156863+I30*0.9607843137))</f>
        <v>0</v>
      </c>
      <c r="J31">
        <f>IF($E31="","",IF($E30="",$E31,$E31*0.0198019802+J30*0.9801980198))</f>
        <v>0</v>
      </c>
      <c r="K31">
        <f>IF($E31="","",IF($E30="",$E31,$E31*0.0099502488+K30*0.9900497512))</f>
        <v>0</v>
      </c>
      <c r="L31">
        <f>IF(OR($E31="",$E30=""),"",MAX($E31-$E30,0))</f>
        <v>0</v>
      </c>
      <c r="M31">
        <f>IF(OR($E31="",$E30=""),"",MAX($E30-$E31,0))</f>
        <v>0</v>
      </c>
      <c r="N31">
        <f>IF(COUNT($E$2:$E31)&lt;15,"",IF(AVERAGE($M$18:$M$31)=0,100,100-100/(1+AVERAGE($L$18:$L$31)/AVERAGE($M$18:$M$31))))</f>
        <v>0</v>
      </c>
      <c r="O31">
        <f>IF($E31="","",IF($E30="",$E31,$E31*0.1538461538+O30*0.8461538462))</f>
        <v>0</v>
      </c>
      <c r="P31">
        <f>IF($E31="","",IF($E30="",$E31,$E31*0.0740740741+P30*0.9259259259))</f>
        <v>0</v>
      </c>
      <c r="Q31">
        <f>IF(OR(O31="",P31=""),"",O31-P31)</f>
        <v>0</v>
      </c>
      <c r="R31">
        <f>IF(Q31="","",IF(R30="",Q31,Q31*0.2000000000+R30*0.8000000000))</f>
        <v>0</v>
      </c>
      <c r="S31">
        <f>IF(OR(Q31="",R31=""),"",Q31-R31)</f>
        <v>0</v>
      </c>
      <c r="T31">
        <f>IF(COUNT($E$2:$E31)&lt;14,"",MAX($C$18:$C$31))</f>
        <v>0</v>
      </c>
      <c r="U31">
        <f>IF(COUNT($E$2:$E31)&lt;14,"",MIN($D$18:$D$31))</f>
        <v>0</v>
      </c>
      <c r="V31">
        <f>IF(OR(T31="",U31="",T31=U31),"",100*($E31-U31)/(T31-U31))</f>
        <v>0</v>
      </c>
      <c r="W31">
        <f>IF(COUNT($V$29:$V$31)&lt;3,"",AVERAGE($V$29:$V$31))</f>
        <v>0</v>
      </c>
      <c r="X31">
        <f>IF(COUNT($N$18:$N$31)&lt;14,"",MIN($N$18:$N$31))</f>
        <v>0</v>
      </c>
      <c r="Y31">
        <f>IF(COUNT($N$18:$N$31)&lt;14,"",MAX($N$18:$N$31))</f>
        <v>0</v>
      </c>
      <c r="Z31">
        <f>IF(OR(N31="",X31="",Y31="",Y31=X31),"",100*(N31-X31)/(Y31-X31))</f>
        <v>0</v>
      </c>
      <c r="AA31">
        <f>IF(COUNT($Z$29:$Z$31)&lt;3,"",AVERAGE($Z$29:$Z$31))</f>
        <v>0</v>
      </c>
      <c r="AB31">
        <f>IF(COUNT($AA$29:$AA$31)&lt;3,"",AVERAGE($AA$29:$AA$31))</f>
        <v>0</v>
      </c>
      <c r="AC31">
        <f>IF($E31="","",MAX($C31-$D31,ABS($C31-$E30),ABS($D31-$E30)))</f>
        <v>0</v>
      </c>
      <c r="AD31">
        <f>IF(COUNT($E$2:$E31)&lt;15,"",AVERAGE($AC$18:$AC$31))</f>
        <v>0</v>
      </c>
      <c r="AE31">
        <f>IF(OR($E31="",$E30=""),"",IF(AND(($C31-$C30)&gt;($D30-$D31),($C31-$C30)&gt;0),$C31-$C30,0))</f>
        <v>0</v>
      </c>
      <c r="AF31">
        <f>IF(OR($E31="",$E30=""),"",IF(AND(($D30-$D31)&gt;($C31-$C30),($D30-$D31)&gt;0),$D30-$D31,0))</f>
        <v>0</v>
      </c>
      <c r="AG31">
        <f>IF(COUNT($E$2:$E31)&lt;15,"",IF(SUM($AC$18:$AC$31)=0,0,100*SUM($AE$18:$AE$31)/SUM($AC$18:$AC$31)))</f>
        <v>0</v>
      </c>
      <c r="AH31">
        <f>IF(COUNT($E$2:$E31)&lt;15,"",IF(SUM($AC$18:$AC$31)=0,0,100*SUM($AF$18:$AF$31)/SUM($AC$18:$AC$31)))</f>
        <v>0</v>
      </c>
      <c r="AI31">
        <f>IF(OR(AG31="",AH31=""),"",IF((AG31+AH31)=0,0,100*ABS(AG31-AH31)/(AG31+AH31)))</f>
        <v>0</v>
      </c>
      <c r="AJ31">
        <f>IF(COUNT($AI$18:$AI$31)&lt;14,"",AVERAGE($AI$18:$AI$31))</f>
        <v>0</v>
      </c>
      <c r="AK31">
        <f>IF(COUNT($E$2:$E31)&lt;20,"",AVERAGE($E$12:$E$31))</f>
        <v>0</v>
      </c>
      <c r="AL31">
        <f>IF(COUNT($E$2:$E31)&lt;20,"",STDEVP($E$12:$E$31))</f>
        <v>0</v>
      </c>
      <c r="AM31">
        <f>IF(AK31="","",AK31+2*AL31)</f>
        <v>0</v>
      </c>
      <c r="AN31">
        <f>IF(AK31="","",AK31-2*AL31)</f>
        <v>0</v>
      </c>
      <c r="AO31">
        <f>IF(OR(AM31="",AN31="",AM31=AN31),"",($E31-AN31)/(AM31-AN31))</f>
        <v>0</v>
      </c>
      <c r="AP31">
        <f>IF(OR(AM31="",AK31="",AK31=0),"",(AM31-AN31)/AK31)</f>
        <v>0</v>
      </c>
      <c r="AQ31">
        <f>IF(COUNT($E$2:$E31)&lt;20,"",MAX($C$12:$C$31))</f>
        <v>0</v>
      </c>
      <c r="AR31">
        <f>IF(COUNT($E$2:$E31)&lt;20,"",MIN($D$12:$D$31))</f>
        <v>0</v>
      </c>
      <c r="AS31">
        <f>IF(OR(AQ31="",AR31=""),"",(AQ31+AR31)/2)</f>
        <v>0</v>
      </c>
      <c r="AT31">
        <f>IF(COUNT($G$12:$G$31)&lt;20,"",STDEV($G$12:$G$31)*SQRT(52))</f>
        <v>0</v>
      </c>
      <c r="AU31">
        <f>IF(COUNT($E$2:$E31)&lt;9,"",(MAX($C$23:$C$31)+MIN($D$23:$D$31))/2)</f>
        <v>0</v>
      </c>
      <c r="AV31">
        <f>IF(COUNT($E$2:$E31)&lt;26,"",(MAX($C$6:$C$31)+MIN($D$6:$D$31))/2)</f>
        <v>0</v>
      </c>
      <c r="AW31">
        <f>IF(OR(AU31="",AV31=""),"",(AU31+AV31)/2)</f>
        <v>0</v>
      </c>
      <c r="AX31">
        <f>IF(COUNT($E$2:$E31)&lt;52,"",(MAX($C$2:$C$31)+MIN($D$2:$D$31))/2)</f>
        <v>0</v>
      </c>
      <c r="AY31">
        <f>IF(COUNT($E$2:$E31)&lt;20,"",MAX($C$2:$C$31))</f>
        <v>0</v>
      </c>
      <c r="AZ31">
        <f>IF(COUNT($E$2:$E31)&lt;20,"",MIN($D$2:$D$31))</f>
        <v>0</v>
      </c>
      <c r="BA31">
        <f>IF(COUNT($E$2:$E31)&lt;20,"",SLOPE($E$2:$E$31,$F$2:$F$31))</f>
        <v>0</v>
      </c>
      <c r="BB31">
        <f>IF(COUNT($E$2:$E31)&lt;20,"",INTERCEPT($E$2:$E$31,$F$2:$F$31))</f>
        <v>0</v>
      </c>
      <c r="BC31">
        <f>IF(OR(BA31="",BB31=""),"",BB31+BA31*F31)</f>
        <v>0</v>
      </c>
      <c r="BD31">
        <f>IF(COUNT($E$2:$E31)&lt;20,"",STEYX($E$2:$E$31,$F$2:$F$31))</f>
        <v>0</v>
      </c>
      <c r="BE31">
        <f>IF($E31="","",IF(AND(COUNT($E$32:$E$35)&gt;=4,$C31=MAX($C$27:$C$35)),$C31,""))</f>
        <v>0</v>
      </c>
      <c r="BF31">
        <f>IF($E31="","",IF(AND(COUNT($E$32:$E$35)&gt;=4,$D31=MIN($D$27:$D$35)),$D31,""))</f>
        <v>0</v>
      </c>
      <c r="BG31">
        <f>IFERROR(SMALL(Calc_Daily!$BM$2:$BM$2001,30),"")</f>
        <v>0</v>
      </c>
    </row>
    <row r="32" spans="1:59">
      <c r="A32" s="27">
        <f>IF($BG32="","",INDEX(Calc_Daily!$A$2:$A$2001,$BG32))</f>
        <v>0</v>
      </c>
      <c r="B32">
        <f>IF($BG32="","",INDEX(Calc_Daily!$BJ$2:$BJ$2001,$BG32))</f>
        <v>0</v>
      </c>
      <c r="C32">
        <f>IF($BG32="","",INDEX(Calc_Daily!$BK$2:$BK$2001,$BG32))</f>
        <v>0</v>
      </c>
      <c r="D32">
        <f>IF($BG32="","",INDEX(Calc_Daily!$BL$2:$BL$2001,$BG32))</f>
        <v>0</v>
      </c>
      <c r="E32">
        <f>IF($BG32="","",INDEX(Calc_Daily!$E$2:$E$2001,$BG32))</f>
        <v>0</v>
      </c>
      <c r="F32">
        <f>IF($E32="","",N(F31)+1)</f>
        <v>0</v>
      </c>
      <c r="G32">
        <f>IF(OR($E32="",$E31=""),"",LN($E32/$E31))</f>
        <v>0</v>
      </c>
      <c r="H32">
        <f>IF($E32="","",IF($E31="",$E32,$E32*0.0952380952+H31*0.9047619048))</f>
        <v>0</v>
      </c>
      <c r="I32">
        <f>IF($E32="","",IF($E31="",$E32,$E32*0.0392156863+I31*0.9607843137))</f>
        <v>0</v>
      </c>
      <c r="J32">
        <f>IF($E32="","",IF($E31="",$E32,$E32*0.0198019802+J31*0.9801980198))</f>
        <v>0</v>
      </c>
      <c r="K32">
        <f>IF($E32="","",IF($E31="",$E32,$E32*0.0099502488+K31*0.9900497512))</f>
        <v>0</v>
      </c>
      <c r="L32">
        <f>IF(OR($E32="",$E31=""),"",MAX($E32-$E31,0))</f>
        <v>0</v>
      </c>
      <c r="M32">
        <f>IF(OR($E32="",$E31=""),"",MAX($E31-$E32,0))</f>
        <v>0</v>
      </c>
      <c r="N32">
        <f>IF(COUNT($E$2:$E32)&lt;15,"",IF(AVERAGE($M$19:$M$32)=0,100,100-100/(1+AVERAGE($L$19:$L$32)/AVERAGE($M$19:$M$32))))</f>
        <v>0</v>
      </c>
      <c r="O32">
        <f>IF($E32="","",IF($E31="",$E32,$E32*0.1538461538+O31*0.8461538462))</f>
        <v>0</v>
      </c>
      <c r="P32">
        <f>IF($E32="","",IF($E31="",$E32,$E32*0.0740740741+P31*0.9259259259))</f>
        <v>0</v>
      </c>
      <c r="Q32">
        <f>IF(OR(O32="",P32=""),"",O32-P32)</f>
        <v>0</v>
      </c>
      <c r="R32">
        <f>IF(Q32="","",IF(R31="",Q32,Q32*0.2000000000+R31*0.8000000000))</f>
        <v>0</v>
      </c>
      <c r="S32">
        <f>IF(OR(Q32="",R32=""),"",Q32-R32)</f>
        <v>0</v>
      </c>
      <c r="T32">
        <f>IF(COUNT($E$2:$E32)&lt;14,"",MAX($C$19:$C$32))</f>
        <v>0</v>
      </c>
      <c r="U32">
        <f>IF(COUNT($E$2:$E32)&lt;14,"",MIN($D$19:$D$32))</f>
        <v>0</v>
      </c>
      <c r="V32">
        <f>IF(OR(T32="",U32="",T32=U32),"",100*($E32-U32)/(T32-U32))</f>
        <v>0</v>
      </c>
      <c r="W32">
        <f>IF(COUNT($V$30:$V$32)&lt;3,"",AVERAGE($V$30:$V$32))</f>
        <v>0</v>
      </c>
      <c r="X32">
        <f>IF(COUNT($N$19:$N$32)&lt;14,"",MIN($N$19:$N$32))</f>
        <v>0</v>
      </c>
      <c r="Y32">
        <f>IF(COUNT($N$19:$N$32)&lt;14,"",MAX($N$19:$N$32))</f>
        <v>0</v>
      </c>
      <c r="Z32">
        <f>IF(OR(N32="",X32="",Y32="",Y32=X32),"",100*(N32-X32)/(Y32-X32))</f>
        <v>0</v>
      </c>
      <c r="AA32">
        <f>IF(COUNT($Z$30:$Z$32)&lt;3,"",AVERAGE($Z$30:$Z$32))</f>
        <v>0</v>
      </c>
      <c r="AB32">
        <f>IF(COUNT($AA$30:$AA$32)&lt;3,"",AVERAGE($AA$30:$AA$32))</f>
        <v>0</v>
      </c>
      <c r="AC32">
        <f>IF($E32="","",MAX($C32-$D32,ABS($C32-$E31),ABS($D32-$E31)))</f>
        <v>0</v>
      </c>
      <c r="AD32">
        <f>IF(COUNT($E$2:$E32)&lt;15,"",AVERAGE($AC$19:$AC$32))</f>
        <v>0</v>
      </c>
      <c r="AE32">
        <f>IF(OR($E32="",$E31=""),"",IF(AND(($C32-$C31)&gt;($D31-$D32),($C32-$C31)&gt;0),$C32-$C31,0))</f>
        <v>0</v>
      </c>
      <c r="AF32">
        <f>IF(OR($E32="",$E31=""),"",IF(AND(($D31-$D32)&gt;($C32-$C31),($D31-$D32)&gt;0),$D31-$D32,0))</f>
        <v>0</v>
      </c>
      <c r="AG32">
        <f>IF(COUNT($E$2:$E32)&lt;15,"",IF(SUM($AC$19:$AC$32)=0,0,100*SUM($AE$19:$AE$32)/SUM($AC$19:$AC$32)))</f>
        <v>0</v>
      </c>
      <c r="AH32">
        <f>IF(COUNT($E$2:$E32)&lt;15,"",IF(SUM($AC$19:$AC$32)=0,0,100*SUM($AF$19:$AF$32)/SUM($AC$19:$AC$32)))</f>
        <v>0</v>
      </c>
      <c r="AI32">
        <f>IF(OR(AG32="",AH32=""),"",IF((AG32+AH32)=0,0,100*ABS(AG32-AH32)/(AG32+AH32)))</f>
        <v>0</v>
      </c>
      <c r="AJ32">
        <f>IF(COUNT($AI$19:$AI$32)&lt;14,"",AVERAGE($AI$19:$AI$32))</f>
        <v>0</v>
      </c>
      <c r="AK32">
        <f>IF(COUNT($E$2:$E32)&lt;20,"",AVERAGE($E$13:$E$32))</f>
        <v>0</v>
      </c>
      <c r="AL32">
        <f>IF(COUNT($E$2:$E32)&lt;20,"",STDEVP($E$13:$E$32))</f>
        <v>0</v>
      </c>
      <c r="AM32">
        <f>IF(AK32="","",AK32+2*AL32)</f>
        <v>0</v>
      </c>
      <c r="AN32">
        <f>IF(AK32="","",AK32-2*AL32)</f>
        <v>0</v>
      </c>
      <c r="AO32">
        <f>IF(OR(AM32="",AN32="",AM32=AN32),"",($E32-AN32)/(AM32-AN32))</f>
        <v>0</v>
      </c>
      <c r="AP32">
        <f>IF(OR(AM32="",AK32="",AK32=0),"",(AM32-AN32)/AK32)</f>
        <v>0</v>
      </c>
      <c r="AQ32">
        <f>IF(COUNT($E$2:$E32)&lt;20,"",MAX($C$13:$C$32))</f>
        <v>0</v>
      </c>
      <c r="AR32">
        <f>IF(COUNT($E$2:$E32)&lt;20,"",MIN($D$13:$D$32))</f>
        <v>0</v>
      </c>
      <c r="AS32">
        <f>IF(OR(AQ32="",AR32=""),"",(AQ32+AR32)/2)</f>
        <v>0</v>
      </c>
      <c r="AT32">
        <f>IF(COUNT($G$13:$G$32)&lt;20,"",STDEV($G$13:$G$32)*SQRT(52))</f>
        <v>0</v>
      </c>
      <c r="AU32">
        <f>IF(COUNT($E$2:$E32)&lt;9,"",(MAX($C$24:$C$32)+MIN($D$24:$D$32))/2)</f>
        <v>0</v>
      </c>
      <c r="AV32">
        <f>IF(COUNT($E$2:$E32)&lt;26,"",(MAX($C$7:$C$32)+MIN($D$7:$D$32))/2)</f>
        <v>0</v>
      </c>
      <c r="AW32">
        <f>IF(OR(AU32="",AV32=""),"",(AU32+AV32)/2)</f>
        <v>0</v>
      </c>
      <c r="AX32">
        <f>IF(COUNT($E$2:$E32)&lt;52,"",(MAX($C$2:$C$32)+MIN($D$2:$D$32))/2)</f>
        <v>0</v>
      </c>
      <c r="AY32">
        <f>IF(COUNT($E$2:$E32)&lt;20,"",MAX($C$2:$C$32))</f>
        <v>0</v>
      </c>
      <c r="AZ32">
        <f>IF(COUNT($E$2:$E32)&lt;20,"",MIN($D$2:$D$32))</f>
        <v>0</v>
      </c>
      <c r="BA32">
        <f>IF(COUNT($E$2:$E32)&lt;20,"",SLOPE($E$2:$E$32,$F$2:$F$32))</f>
        <v>0</v>
      </c>
      <c r="BB32">
        <f>IF(COUNT($E$2:$E32)&lt;20,"",INTERCEPT($E$2:$E$32,$F$2:$F$32))</f>
        <v>0</v>
      </c>
      <c r="BC32">
        <f>IF(OR(BA32="",BB32=""),"",BB32+BA32*F32)</f>
        <v>0</v>
      </c>
      <c r="BD32">
        <f>IF(COUNT($E$2:$E32)&lt;20,"",STEYX($E$2:$E$32,$F$2:$F$32))</f>
        <v>0</v>
      </c>
      <c r="BE32">
        <f>IF($E32="","",IF(AND(COUNT($E$33:$E$36)&gt;=4,$C32=MAX($C$28:$C$36)),$C32,""))</f>
        <v>0</v>
      </c>
      <c r="BF32">
        <f>IF($E32="","",IF(AND(COUNT($E$33:$E$36)&gt;=4,$D32=MIN($D$28:$D$36)),$D32,""))</f>
        <v>0</v>
      </c>
      <c r="BG32">
        <f>IFERROR(SMALL(Calc_Daily!$BM$2:$BM$2001,31),"")</f>
        <v>0</v>
      </c>
    </row>
    <row r="33" spans="1:59">
      <c r="A33" s="27">
        <f>IF($BG33="","",INDEX(Calc_Daily!$A$2:$A$2001,$BG33))</f>
        <v>0</v>
      </c>
      <c r="B33">
        <f>IF($BG33="","",INDEX(Calc_Daily!$BJ$2:$BJ$2001,$BG33))</f>
        <v>0</v>
      </c>
      <c r="C33">
        <f>IF($BG33="","",INDEX(Calc_Daily!$BK$2:$BK$2001,$BG33))</f>
        <v>0</v>
      </c>
      <c r="D33">
        <f>IF($BG33="","",INDEX(Calc_Daily!$BL$2:$BL$2001,$BG33))</f>
        <v>0</v>
      </c>
      <c r="E33">
        <f>IF($BG33="","",INDEX(Calc_Daily!$E$2:$E$2001,$BG33))</f>
        <v>0</v>
      </c>
      <c r="F33">
        <f>IF($E33="","",N(F32)+1)</f>
        <v>0</v>
      </c>
      <c r="G33">
        <f>IF(OR($E33="",$E32=""),"",LN($E33/$E32))</f>
        <v>0</v>
      </c>
      <c r="H33">
        <f>IF($E33="","",IF($E32="",$E33,$E33*0.0952380952+H32*0.9047619048))</f>
        <v>0</v>
      </c>
      <c r="I33">
        <f>IF($E33="","",IF($E32="",$E33,$E33*0.0392156863+I32*0.9607843137))</f>
        <v>0</v>
      </c>
      <c r="J33">
        <f>IF($E33="","",IF($E32="",$E33,$E33*0.0198019802+J32*0.9801980198))</f>
        <v>0</v>
      </c>
      <c r="K33">
        <f>IF($E33="","",IF($E32="",$E33,$E33*0.0099502488+K32*0.9900497512))</f>
        <v>0</v>
      </c>
      <c r="L33">
        <f>IF(OR($E33="",$E32=""),"",MAX($E33-$E32,0))</f>
        <v>0</v>
      </c>
      <c r="M33">
        <f>IF(OR($E33="",$E32=""),"",MAX($E32-$E33,0))</f>
        <v>0</v>
      </c>
      <c r="N33">
        <f>IF(COUNT($E$2:$E33)&lt;15,"",IF(AVERAGE($M$20:$M$33)=0,100,100-100/(1+AVERAGE($L$20:$L$33)/AVERAGE($M$20:$M$33))))</f>
        <v>0</v>
      </c>
      <c r="O33">
        <f>IF($E33="","",IF($E32="",$E33,$E33*0.1538461538+O32*0.8461538462))</f>
        <v>0</v>
      </c>
      <c r="P33">
        <f>IF($E33="","",IF($E32="",$E33,$E33*0.0740740741+P32*0.9259259259))</f>
        <v>0</v>
      </c>
      <c r="Q33">
        <f>IF(OR(O33="",P33=""),"",O33-P33)</f>
        <v>0</v>
      </c>
      <c r="R33">
        <f>IF(Q33="","",IF(R32="",Q33,Q33*0.2000000000+R32*0.8000000000))</f>
        <v>0</v>
      </c>
      <c r="S33">
        <f>IF(OR(Q33="",R33=""),"",Q33-R33)</f>
        <v>0</v>
      </c>
      <c r="T33">
        <f>IF(COUNT($E$2:$E33)&lt;14,"",MAX($C$20:$C$33))</f>
        <v>0</v>
      </c>
      <c r="U33">
        <f>IF(COUNT($E$2:$E33)&lt;14,"",MIN($D$20:$D$33))</f>
        <v>0</v>
      </c>
      <c r="V33">
        <f>IF(OR(T33="",U33="",T33=U33),"",100*($E33-U33)/(T33-U33))</f>
        <v>0</v>
      </c>
      <c r="W33">
        <f>IF(COUNT($V$31:$V$33)&lt;3,"",AVERAGE($V$31:$V$33))</f>
        <v>0</v>
      </c>
      <c r="X33">
        <f>IF(COUNT($N$20:$N$33)&lt;14,"",MIN($N$20:$N$33))</f>
        <v>0</v>
      </c>
      <c r="Y33">
        <f>IF(COUNT($N$20:$N$33)&lt;14,"",MAX($N$20:$N$33))</f>
        <v>0</v>
      </c>
      <c r="Z33">
        <f>IF(OR(N33="",X33="",Y33="",Y33=X33),"",100*(N33-X33)/(Y33-X33))</f>
        <v>0</v>
      </c>
      <c r="AA33">
        <f>IF(COUNT($Z$31:$Z$33)&lt;3,"",AVERAGE($Z$31:$Z$33))</f>
        <v>0</v>
      </c>
      <c r="AB33">
        <f>IF(COUNT($AA$31:$AA$33)&lt;3,"",AVERAGE($AA$31:$AA$33))</f>
        <v>0</v>
      </c>
      <c r="AC33">
        <f>IF($E33="","",MAX($C33-$D33,ABS($C33-$E32),ABS($D33-$E32)))</f>
        <v>0</v>
      </c>
      <c r="AD33">
        <f>IF(COUNT($E$2:$E33)&lt;15,"",AVERAGE($AC$20:$AC$33))</f>
        <v>0</v>
      </c>
      <c r="AE33">
        <f>IF(OR($E33="",$E32=""),"",IF(AND(($C33-$C32)&gt;($D32-$D33),($C33-$C32)&gt;0),$C33-$C32,0))</f>
        <v>0</v>
      </c>
      <c r="AF33">
        <f>IF(OR($E33="",$E32=""),"",IF(AND(($D32-$D33)&gt;($C33-$C32),($D32-$D33)&gt;0),$D32-$D33,0))</f>
        <v>0</v>
      </c>
      <c r="AG33">
        <f>IF(COUNT($E$2:$E33)&lt;15,"",IF(SUM($AC$20:$AC$33)=0,0,100*SUM($AE$20:$AE$33)/SUM($AC$20:$AC$33)))</f>
        <v>0</v>
      </c>
      <c r="AH33">
        <f>IF(COUNT($E$2:$E33)&lt;15,"",IF(SUM($AC$20:$AC$33)=0,0,100*SUM($AF$20:$AF$33)/SUM($AC$20:$AC$33)))</f>
        <v>0</v>
      </c>
      <c r="AI33">
        <f>IF(OR(AG33="",AH33=""),"",IF((AG33+AH33)=0,0,100*ABS(AG33-AH33)/(AG33+AH33)))</f>
        <v>0</v>
      </c>
      <c r="AJ33">
        <f>IF(COUNT($AI$20:$AI$33)&lt;14,"",AVERAGE($AI$20:$AI$33))</f>
        <v>0</v>
      </c>
      <c r="AK33">
        <f>IF(COUNT($E$2:$E33)&lt;20,"",AVERAGE($E$14:$E$33))</f>
        <v>0</v>
      </c>
      <c r="AL33">
        <f>IF(COUNT($E$2:$E33)&lt;20,"",STDEVP($E$14:$E$33))</f>
        <v>0</v>
      </c>
      <c r="AM33">
        <f>IF(AK33="","",AK33+2*AL33)</f>
        <v>0</v>
      </c>
      <c r="AN33">
        <f>IF(AK33="","",AK33-2*AL33)</f>
        <v>0</v>
      </c>
      <c r="AO33">
        <f>IF(OR(AM33="",AN33="",AM33=AN33),"",($E33-AN33)/(AM33-AN33))</f>
        <v>0</v>
      </c>
      <c r="AP33">
        <f>IF(OR(AM33="",AK33="",AK33=0),"",(AM33-AN33)/AK33)</f>
        <v>0</v>
      </c>
      <c r="AQ33">
        <f>IF(COUNT($E$2:$E33)&lt;20,"",MAX($C$14:$C$33))</f>
        <v>0</v>
      </c>
      <c r="AR33">
        <f>IF(COUNT($E$2:$E33)&lt;20,"",MIN($D$14:$D$33))</f>
        <v>0</v>
      </c>
      <c r="AS33">
        <f>IF(OR(AQ33="",AR33=""),"",(AQ33+AR33)/2)</f>
        <v>0</v>
      </c>
      <c r="AT33">
        <f>IF(COUNT($G$14:$G$33)&lt;20,"",STDEV($G$14:$G$33)*SQRT(52))</f>
        <v>0</v>
      </c>
      <c r="AU33">
        <f>IF(COUNT($E$2:$E33)&lt;9,"",(MAX($C$25:$C$33)+MIN($D$25:$D$33))/2)</f>
        <v>0</v>
      </c>
      <c r="AV33">
        <f>IF(COUNT($E$2:$E33)&lt;26,"",(MAX($C$8:$C$33)+MIN($D$8:$D$33))/2)</f>
        <v>0</v>
      </c>
      <c r="AW33">
        <f>IF(OR(AU33="",AV33=""),"",(AU33+AV33)/2)</f>
        <v>0</v>
      </c>
      <c r="AX33">
        <f>IF(COUNT($E$2:$E33)&lt;52,"",(MAX($C$2:$C$33)+MIN($D$2:$D$33))/2)</f>
        <v>0</v>
      </c>
      <c r="AY33">
        <f>IF(COUNT($E$2:$E33)&lt;20,"",MAX($C$2:$C$33))</f>
        <v>0</v>
      </c>
      <c r="AZ33">
        <f>IF(COUNT($E$2:$E33)&lt;20,"",MIN($D$2:$D$33))</f>
        <v>0</v>
      </c>
      <c r="BA33">
        <f>IF(COUNT($E$2:$E33)&lt;20,"",SLOPE($E$2:$E$33,$F$2:$F$33))</f>
        <v>0</v>
      </c>
      <c r="BB33">
        <f>IF(COUNT($E$2:$E33)&lt;20,"",INTERCEPT($E$2:$E$33,$F$2:$F$33))</f>
        <v>0</v>
      </c>
      <c r="BC33">
        <f>IF(OR(BA33="",BB33=""),"",BB33+BA33*F33)</f>
        <v>0</v>
      </c>
      <c r="BD33">
        <f>IF(COUNT($E$2:$E33)&lt;20,"",STEYX($E$2:$E$33,$F$2:$F$33))</f>
        <v>0</v>
      </c>
      <c r="BE33">
        <f>IF($E33="","",IF(AND(COUNT($E$34:$E$37)&gt;=4,$C33=MAX($C$29:$C$37)),$C33,""))</f>
        <v>0</v>
      </c>
      <c r="BF33">
        <f>IF($E33="","",IF(AND(COUNT($E$34:$E$37)&gt;=4,$D33=MIN($D$29:$D$37)),$D33,""))</f>
        <v>0</v>
      </c>
      <c r="BG33">
        <f>IFERROR(SMALL(Calc_Daily!$BM$2:$BM$2001,32),"")</f>
        <v>0</v>
      </c>
    </row>
    <row r="34" spans="1:59">
      <c r="A34" s="27">
        <f>IF($BG34="","",INDEX(Calc_Daily!$A$2:$A$2001,$BG34))</f>
        <v>0</v>
      </c>
      <c r="B34">
        <f>IF($BG34="","",INDEX(Calc_Daily!$BJ$2:$BJ$2001,$BG34))</f>
        <v>0</v>
      </c>
      <c r="C34">
        <f>IF($BG34="","",INDEX(Calc_Daily!$BK$2:$BK$2001,$BG34))</f>
        <v>0</v>
      </c>
      <c r="D34">
        <f>IF($BG34="","",INDEX(Calc_Daily!$BL$2:$BL$2001,$BG34))</f>
        <v>0</v>
      </c>
      <c r="E34">
        <f>IF($BG34="","",INDEX(Calc_Daily!$E$2:$E$2001,$BG34))</f>
        <v>0</v>
      </c>
      <c r="F34">
        <f>IF($E34="","",N(F33)+1)</f>
        <v>0</v>
      </c>
      <c r="G34">
        <f>IF(OR($E34="",$E33=""),"",LN($E34/$E33))</f>
        <v>0</v>
      </c>
      <c r="H34">
        <f>IF($E34="","",IF($E33="",$E34,$E34*0.0952380952+H33*0.9047619048))</f>
        <v>0</v>
      </c>
      <c r="I34">
        <f>IF($E34="","",IF($E33="",$E34,$E34*0.0392156863+I33*0.9607843137))</f>
        <v>0</v>
      </c>
      <c r="J34">
        <f>IF($E34="","",IF($E33="",$E34,$E34*0.0198019802+J33*0.9801980198))</f>
        <v>0</v>
      </c>
      <c r="K34">
        <f>IF($E34="","",IF($E33="",$E34,$E34*0.0099502488+K33*0.9900497512))</f>
        <v>0</v>
      </c>
      <c r="L34">
        <f>IF(OR($E34="",$E33=""),"",MAX($E34-$E33,0))</f>
        <v>0</v>
      </c>
      <c r="M34">
        <f>IF(OR($E34="",$E33=""),"",MAX($E33-$E34,0))</f>
        <v>0</v>
      </c>
      <c r="N34">
        <f>IF(COUNT($E$2:$E34)&lt;15,"",IF(AVERAGE($M$21:$M$34)=0,100,100-100/(1+AVERAGE($L$21:$L$34)/AVERAGE($M$21:$M$34))))</f>
        <v>0</v>
      </c>
      <c r="O34">
        <f>IF($E34="","",IF($E33="",$E34,$E34*0.1538461538+O33*0.8461538462))</f>
        <v>0</v>
      </c>
      <c r="P34">
        <f>IF($E34="","",IF($E33="",$E34,$E34*0.0740740741+P33*0.9259259259))</f>
        <v>0</v>
      </c>
      <c r="Q34">
        <f>IF(OR(O34="",P34=""),"",O34-P34)</f>
        <v>0</v>
      </c>
      <c r="R34">
        <f>IF(Q34="","",IF(R33="",Q34,Q34*0.2000000000+R33*0.8000000000))</f>
        <v>0</v>
      </c>
      <c r="S34">
        <f>IF(OR(Q34="",R34=""),"",Q34-R34)</f>
        <v>0</v>
      </c>
      <c r="T34">
        <f>IF(COUNT($E$2:$E34)&lt;14,"",MAX($C$21:$C$34))</f>
        <v>0</v>
      </c>
      <c r="U34">
        <f>IF(COUNT($E$2:$E34)&lt;14,"",MIN($D$21:$D$34))</f>
        <v>0</v>
      </c>
      <c r="V34">
        <f>IF(OR(T34="",U34="",T34=U34),"",100*($E34-U34)/(T34-U34))</f>
        <v>0</v>
      </c>
      <c r="W34">
        <f>IF(COUNT($V$32:$V$34)&lt;3,"",AVERAGE($V$32:$V$34))</f>
        <v>0</v>
      </c>
      <c r="X34">
        <f>IF(COUNT($N$21:$N$34)&lt;14,"",MIN($N$21:$N$34))</f>
        <v>0</v>
      </c>
      <c r="Y34">
        <f>IF(COUNT($N$21:$N$34)&lt;14,"",MAX($N$21:$N$34))</f>
        <v>0</v>
      </c>
      <c r="Z34">
        <f>IF(OR(N34="",X34="",Y34="",Y34=X34),"",100*(N34-X34)/(Y34-X34))</f>
        <v>0</v>
      </c>
      <c r="AA34">
        <f>IF(COUNT($Z$32:$Z$34)&lt;3,"",AVERAGE($Z$32:$Z$34))</f>
        <v>0</v>
      </c>
      <c r="AB34">
        <f>IF(COUNT($AA$32:$AA$34)&lt;3,"",AVERAGE($AA$32:$AA$34))</f>
        <v>0</v>
      </c>
      <c r="AC34">
        <f>IF($E34="","",MAX($C34-$D34,ABS($C34-$E33),ABS($D34-$E33)))</f>
        <v>0</v>
      </c>
      <c r="AD34">
        <f>IF(COUNT($E$2:$E34)&lt;15,"",AVERAGE($AC$21:$AC$34))</f>
        <v>0</v>
      </c>
      <c r="AE34">
        <f>IF(OR($E34="",$E33=""),"",IF(AND(($C34-$C33)&gt;($D33-$D34),($C34-$C33)&gt;0),$C34-$C33,0))</f>
        <v>0</v>
      </c>
      <c r="AF34">
        <f>IF(OR($E34="",$E33=""),"",IF(AND(($D33-$D34)&gt;($C34-$C33),($D33-$D34)&gt;0),$D33-$D34,0))</f>
        <v>0</v>
      </c>
      <c r="AG34">
        <f>IF(COUNT($E$2:$E34)&lt;15,"",IF(SUM($AC$21:$AC$34)=0,0,100*SUM($AE$21:$AE$34)/SUM($AC$21:$AC$34)))</f>
        <v>0</v>
      </c>
      <c r="AH34">
        <f>IF(COUNT($E$2:$E34)&lt;15,"",IF(SUM($AC$21:$AC$34)=0,0,100*SUM($AF$21:$AF$34)/SUM($AC$21:$AC$34)))</f>
        <v>0</v>
      </c>
      <c r="AI34">
        <f>IF(OR(AG34="",AH34=""),"",IF((AG34+AH34)=0,0,100*ABS(AG34-AH34)/(AG34+AH34)))</f>
        <v>0</v>
      </c>
      <c r="AJ34">
        <f>IF(COUNT($AI$21:$AI$34)&lt;14,"",AVERAGE($AI$21:$AI$34))</f>
        <v>0</v>
      </c>
      <c r="AK34">
        <f>IF(COUNT($E$2:$E34)&lt;20,"",AVERAGE($E$15:$E$34))</f>
        <v>0</v>
      </c>
      <c r="AL34">
        <f>IF(COUNT($E$2:$E34)&lt;20,"",STDEVP($E$15:$E$34))</f>
        <v>0</v>
      </c>
      <c r="AM34">
        <f>IF(AK34="","",AK34+2*AL34)</f>
        <v>0</v>
      </c>
      <c r="AN34">
        <f>IF(AK34="","",AK34-2*AL34)</f>
        <v>0</v>
      </c>
      <c r="AO34">
        <f>IF(OR(AM34="",AN34="",AM34=AN34),"",($E34-AN34)/(AM34-AN34))</f>
        <v>0</v>
      </c>
      <c r="AP34">
        <f>IF(OR(AM34="",AK34="",AK34=0),"",(AM34-AN34)/AK34)</f>
        <v>0</v>
      </c>
      <c r="AQ34">
        <f>IF(COUNT($E$2:$E34)&lt;20,"",MAX($C$15:$C$34))</f>
        <v>0</v>
      </c>
      <c r="AR34">
        <f>IF(COUNT($E$2:$E34)&lt;20,"",MIN($D$15:$D$34))</f>
        <v>0</v>
      </c>
      <c r="AS34">
        <f>IF(OR(AQ34="",AR34=""),"",(AQ34+AR34)/2)</f>
        <v>0</v>
      </c>
      <c r="AT34">
        <f>IF(COUNT($G$15:$G$34)&lt;20,"",STDEV($G$15:$G$34)*SQRT(52))</f>
        <v>0</v>
      </c>
      <c r="AU34">
        <f>IF(COUNT($E$2:$E34)&lt;9,"",(MAX($C$26:$C$34)+MIN($D$26:$D$34))/2)</f>
        <v>0</v>
      </c>
      <c r="AV34">
        <f>IF(COUNT($E$2:$E34)&lt;26,"",(MAX($C$9:$C$34)+MIN($D$9:$D$34))/2)</f>
        <v>0</v>
      </c>
      <c r="AW34">
        <f>IF(OR(AU34="",AV34=""),"",(AU34+AV34)/2)</f>
        <v>0</v>
      </c>
      <c r="AX34">
        <f>IF(COUNT($E$2:$E34)&lt;52,"",(MAX($C$2:$C$34)+MIN($D$2:$D$34))/2)</f>
        <v>0</v>
      </c>
      <c r="AY34">
        <f>IF(COUNT($E$2:$E34)&lt;20,"",MAX($C$2:$C$34))</f>
        <v>0</v>
      </c>
      <c r="AZ34">
        <f>IF(COUNT($E$2:$E34)&lt;20,"",MIN($D$2:$D$34))</f>
        <v>0</v>
      </c>
      <c r="BA34">
        <f>IF(COUNT($E$2:$E34)&lt;20,"",SLOPE($E$2:$E$34,$F$2:$F$34))</f>
        <v>0</v>
      </c>
      <c r="BB34">
        <f>IF(COUNT($E$2:$E34)&lt;20,"",INTERCEPT($E$2:$E$34,$F$2:$F$34))</f>
        <v>0</v>
      </c>
      <c r="BC34">
        <f>IF(OR(BA34="",BB34=""),"",BB34+BA34*F34)</f>
        <v>0</v>
      </c>
      <c r="BD34">
        <f>IF(COUNT($E$2:$E34)&lt;20,"",STEYX($E$2:$E$34,$F$2:$F$34))</f>
        <v>0</v>
      </c>
      <c r="BE34">
        <f>IF($E34="","",IF(AND(COUNT($E$35:$E$38)&gt;=4,$C34=MAX($C$30:$C$38)),$C34,""))</f>
        <v>0</v>
      </c>
      <c r="BF34">
        <f>IF($E34="","",IF(AND(COUNT($E$35:$E$38)&gt;=4,$D34=MIN($D$30:$D$38)),$D34,""))</f>
        <v>0</v>
      </c>
      <c r="BG34">
        <f>IFERROR(SMALL(Calc_Daily!$BM$2:$BM$2001,33),"")</f>
        <v>0</v>
      </c>
    </row>
    <row r="35" spans="1:59">
      <c r="A35" s="27">
        <f>IF($BG35="","",INDEX(Calc_Daily!$A$2:$A$2001,$BG35))</f>
        <v>0</v>
      </c>
      <c r="B35">
        <f>IF($BG35="","",INDEX(Calc_Daily!$BJ$2:$BJ$2001,$BG35))</f>
        <v>0</v>
      </c>
      <c r="C35">
        <f>IF($BG35="","",INDEX(Calc_Daily!$BK$2:$BK$2001,$BG35))</f>
        <v>0</v>
      </c>
      <c r="D35">
        <f>IF($BG35="","",INDEX(Calc_Daily!$BL$2:$BL$2001,$BG35))</f>
        <v>0</v>
      </c>
      <c r="E35">
        <f>IF($BG35="","",INDEX(Calc_Daily!$E$2:$E$2001,$BG35))</f>
        <v>0</v>
      </c>
      <c r="F35">
        <f>IF($E35="","",N(F34)+1)</f>
        <v>0</v>
      </c>
      <c r="G35">
        <f>IF(OR($E35="",$E34=""),"",LN($E35/$E34))</f>
        <v>0</v>
      </c>
      <c r="H35">
        <f>IF($E35="","",IF($E34="",$E35,$E35*0.0952380952+H34*0.9047619048))</f>
        <v>0</v>
      </c>
      <c r="I35">
        <f>IF($E35="","",IF($E34="",$E35,$E35*0.0392156863+I34*0.9607843137))</f>
        <v>0</v>
      </c>
      <c r="J35">
        <f>IF($E35="","",IF($E34="",$E35,$E35*0.0198019802+J34*0.9801980198))</f>
        <v>0</v>
      </c>
      <c r="K35">
        <f>IF($E35="","",IF($E34="",$E35,$E35*0.0099502488+K34*0.9900497512))</f>
        <v>0</v>
      </c>
      <c r="L35">
        <f>IF(OR($E35="",$E34=""),"",MAX($E35-$E34,0))</f>
        <v>0</v>
      </c>
      <c r="M35">
        <f>IF(OR($E35="",$E34=""),"",MAX($E34-$E35,0))</f>
        <v>0</v>
      </c>
      <c r="N35">
        <f>IF(COUNT($E$2:$E35)&lt;15,"",IF(AVERAGE($M$22:$M$35)=0,100,100-100/(1+AVERAGE($L$22:$L$35)/AVERAGE($M$22:$M$35))))</f>
        <v>0</v>
      </c>
      <c r="O35">
        <f>IF($E35="","",IF($E34="",$E35,$E35*0.1538461538+O34*0.8461538462))</f>
        <v>0</v>
      </c>
      <c r="P35">
        <f>IF($E35="","",IF($E34="",$E35,$E35*0.0740740741+P34*0.9259259259))</f>
        <v>0</v>
      </c>
      <c r="Q35">
        <f>IF(OR(O35="",P35=""),"",O35-P35)</f>
        <v>0</v>
      </c>
      <c r="R35">
        <f>IF(Q35="","",IF(R34="",Q35,Q35*0.2000000000+R34*0.8000000000))</f>
        <v>0</v>
      </c>
      <c r="S35">
        <f>IF(OR(Q35="",R35=""),"",Q35-R35)</f>
        <v>0</v>
      </c>
      <c r="T35">
        <f>IF(COUNT($E$2:$E35)&lt;14,"",MAX($C$22:$C$35))</f>
        <v>0</v>
      </c>
      <c r="U35">
        <f>IF(COUNT($E$2:$E35)&lt;14,"",MIN($D$22:$D$35))</f>
        <v>0</v>
      </c>
      <c r="V35">
        <f>IF(OR(T35="",U35="",T35=U35),"",100*($E35-U35)/(T35-U35))</f>
        <v>0</v>
      </c>
      <c r="W35">
        <f>IF(COUNT($V$33:$V$35)&lt;3,"",AVERAGE($V$33:$V$35))</f>
        <v>0</v>
      </c>
      <c r="X35">
        <f>IF(COUNT($N$22:$N$35)&lt;14,"",MIN($N$22:$N$35))</f>
        <v>0</v>
      </c>
      <c r="Y35">
        <f>IF(COUNT($N$22:$N$35)&lt;14,"",MAX($N$22:$N$35))</f>
        <v>0</v>
      </c>
      <c r="Z35">
        <f>IF(OR(N35="",X35="",Y35="",Y35=X35),"",100*(N35-X35)/(Y35-X35))</f>
        <v>0</v>
      </c>
      <c r="AA35">
        <f>IF(COUNT($Z$33:$Z$35)&lt;3,"",AVERAGE($Z$33:$Z$35))</f>
        <v>0</v>
      </c>
      <c r="AB35">
        <f>IF(COUNT($AA$33:$AA$35)&lt;3,"",AVERAGE($AA$33:$AA$35))</f>
        <v>0</v>
      </c>
      <c r="AC35">
        <f>IF($E35="","",MAX($C35-$D35,ABS($C35-$E34),ABS($D35-$E34)))</f>
        <v>0</v>
      </c>
      <c r="AD35">
        <f>IF(COUNT($E$2:$E35)&lt;15,"",AVERAGE($AC$22:$AC$35))</f>
        <v>0</v>
      </c>
      <c r="AE35">
        <f>IF(OR($E35="",$E34=""),"",IF(AND(($C35-$C34)&gt;($D34-$D35),($C35-$C34)&gt;0),$C35-$C34,0))</f>
        <v>0</v>
      </c>
      <c r="AF35">
        <f>IF(OR($E35="",$E34=""),"",IF(AND(($D34-$D35)&gt;($C35-$C34),($D34-$D35)&gt;0),$D34-$D35,0))</f>
        <v>0</v>
      </c>
      <c r="AG35">
        <f>IF(COUNT($E$2:$E35)&lt;15,"",IF(SUM($AC$22:$AC$35)=0,0,100*SUM($AE$22:$AE$35)/SUM($AC$22:$AC$35)))</f>
        <v>0</v>
      </c>
      <c r="AH35">
        <f>IF(COUNT($E$2:$E35)&lt;15,"",IF(SUM($AC$22:$AC$35)=0,0,100*SUM($AF$22:$AF$35)/SUM($AC$22:$AC$35)))</f>
        <v>0</v>
      </c>
      <c r="AI35">
        <f>IF(OR(AG35="",AH35=""),"",IF((AG35+AH35)=0,0,100*ABS(AG35-AH35)/(AG35+AH35)))</f>
        <v>0</v>
      </c>
      <c r="AJ35">
        <f>IF(COUNT($AI$22:$AI$35)&lt;14,"",AVERAGE($AI$22:$AI$35))</f>
        <v>0</v>
      </c>
      <c r="AK35">
        <f>IF(COUNT($E$2:$E35)&lt;20,"",AVERAGE($E$16:$E$35))</f>
        <v>0</v>
      </c>
      <c r="AL35">
        <f>IF(COUNT($E$2:$E35)&lt;20,"",STDEVP($E$16:$E$35))</f>
        <v>0</v>
      </c>
      <c r="AM35">
        <f>IF(AK35="","",AK35+2*AL35)</f>
        <v>0</v>
      </c>
      <c r="AN35">
        <f>IF(AK35="","",AK35-2*AL35)</f>
        <v>0</v>
      </c>
      <c r="AO35">
        <f>IF(OR(AM35="",AN35="",AM35=AN35),"",($E35-AN35)/(AM35-AN35))</f>
        <v>0</v>
      </c>
      <c r="AP35">
        <f>IF(OR(AM35="",AK35="",AK35=0),"",(AM35-AN35)/AK35)</f>
        <v>0</v>
      </c>
      <c r="AQ35">
        <f>IF(COUNT($E$2:$E35)&lt;20,"",MAX($C$16:$C$35))</f>
        <v>0</v>
      </c>
      <c r="AR35">
        <f>IF(COUNT($E$2:$E35)&lt;20,"",MIN($D$16:$D$35))</f>
        <v>0</v>
      </c>
      <c r="AS35">
        <f>IF(OR(AQ35="",AR35=""),"",(AQ35+AR35)/2)</f>
        <v>0</v>
      </c>
      <c r="AT35">
        <f>IF(COUNT($G$16:$G$35)&lt;20,"",STDEV($G$16:$G$35)*SQRT(52))</f>
        <v>0</v>
      </c>
      <c r="AU35">
        <f>IF(COUNT($E$2:$E35)&lt;9,"",(MAX($C$27:$C$35)+MIN($D$27:$D$35))/2)</f>
        <v>0</v>
      </c>
      <c r="AV35">
        <f>IF(COUNT($E$2:$E35)&lt;26,"",(MAX($C$10:$C$35)+MIN($D$10:$D$35))/2)</f>
        <v>0</v>
      </c>
      <c r="AW35">
        <f>IF(OR(AU35="",AV35=""),"",(AU35+AV35)/2)</f>
        <v>0</v>
      </c>
      <c r="AX35">
        <f>IF(COUNT($E$2:$E35)&lt;52,"",(MAX($C$2:$C$35)+MIN($D$2:$D$35))/2)</f>
        <v>0</v>
      </c>
      <c r="AY35">
        <f>IF(COUNT($E$2:$E35)&lt;20,"",MAX($C$2:$C$35))</f>
        <v>0</v>
      </c>
      <c r="AZ35">
        <f>IF(COUNT($E$2:$E35)&lt;20,"",MIN($D$2:$D$35))</f>
        <v>0</v>
      </c>
      <c r="BA35">
        <f>IF(COUNT($E$2:$E35)&lt;20,"",SLOPE($E$2:$E$35,$F$2:$F$35))</f>
        <v>0</v>
      </c>
      <c r="BB35">
        <f>IF(COUNT($E$2:$E35)&lt;20,"",INTERCEPT($E$2:$E$35,$F$2:$F$35))</f>
        <v>0</v>
      </c>
      <c r="BC35">
        <f>IF(OR(BA35="",BB35=""),"",BB35+BA35*F35)</f>
        <v>0</v>
      </c>
      <c r="BD35">
        <f>IF(COUNT($E$2:$E35)&lt;20,"",STEYX($E$2:$E$35,$F$2:$F$35))</f>
        <v>0</v>
      </c>
      <c r="BE35">
        <f>IF($E35="","",IF(AND(COUNT($E$36:$E$39)&gt;=4,$C35=MAX($C$31:$C$39)),$C35,""))</f>
        <v>0</v>
      </c>
      <c r="BF35">
        <f>IF($E35="","",IF(AND(COUNT($E$36:$E$39)&gt;=4,$D35=MIN($D$31:$D$39)),$D35,""))</f>
        <v>0</v>
      </c>
      <c r="BG35">
        <f>IFERROR(SMALL(Calc_Daily!$BM$2:$BM$2001,34),"")</f>
        <v>0</v>
      </c>
    </row>
    <row r="36" spans="1:59">
      <c r="A36" s="27">
        <f>IF($BG36="","",INDEX(Calc_Daily!$A$2:$A$2001,$BG36))</f>
        <v>0</v>
      </c>
      <c r="B36">
        <f>IF($BG36="","",INDEX(Calc_Daily!$BJ$2:$BJ$2001,$BG36))</f>
        <v>0</v>
      </c>
      <c r="C36">
        <f>IF($BG36="","",INDEX(Calc_Daily!$BK$2:$BK$2001,$BG36))</f>
        <v>0</v>
      </c>
      <c r="D36">
        <f>IF($BG36="","",INDEX(Calc_Daily!$BL$2:$BL$2001,$BG36))</f>
        <v>0</v>
      </c>
      <c r="E36">
        <f>IF($BG36="","",INDEX(Calc_Daily!$E$2:$E$2001,$BG36))</f>
        <v>0</v>
      </c>
      <c r="F36">
        <f>IF($E36="","",N(F35)+1)</f>
        <v>0</v>
      </c>
      <c r="G36">
        <f>IF(OR($E36="",$E35=""),"",LN($E36/$E35))</f>
        <v>0</v>
      </c>
      <c r="H36">
        <f>IF($E36="","",IF($E35="",$E36,$E36*0.0952380952+H35*0.9047619048))</f>
        <v>0</v>
      </c>
      <c r="I36">
        <f>IF($E36="","",IF($E35="",$E36,$E36*0.0392156863+I35*0.9607843137))</f>
        <v>0</v>
      </c>
      <c r="J36">
        <f>IF($E36="","",IF($E35="",$E36,$E36*0.0198019802+J35*0.9801980198))</f>
        <v>0</v>
      </c>
      <c r="K36">
        <f>IF($E36="","",IF($E35="",$E36,$E36*0.0099502488+K35*0.9900497512))</f>
        <v>0</v>
      </c>
      <c r="L36">
        <f>IF(OR($E36="",$E35=""),"",MAX($E36-$E35,0))</f>
        <v>0</v>
      </c>
      <c r="M36">
        <f>IF(OR($E36="",$E35=""),"",MAX($E35-$E36,0))</f>
        <v>0</v>
      </c>
      <c r="N36">
        <f>IF(COUNT($E$2:$E36)&lt;15,"",IF(AVERAGE($M$23:$M$36)=0,100,100-100/(1+AVERAGE($L$23:$L$36)/AVERAGE($M$23:$M$36))))</f>
        <v>0</v>
      </c>
      <c r="O36">
        <f>IF($E36="","",IF($E35="",$E36,$E36*0.1538461538+O35*0.8461538462))</f>
        <v>0</v>
      </c>
      <c r="P36">
        <f>IF($E36="","",IF($E35="",$E36,$E36*0.0740740741+P35*0.9259259259))</f>
        <v>0</v>
      </c>
      <c r="Q36">
        <f>IF(OR(O36="",P36=""),"",O36-P36)</f>
        <v>0</v>
      </c>
      <c r="R36">
        <f>IF(Q36="","",IF(R35="",Q36,Q36*0.2000000000+R35*0.8000000000))</f>
        <v>0</v>
      </c>
      <c r="S36">
        <f>IF(OR(Q36="",R36=""),"",Q36-R36)</f>
        <v>0</v>
      </c>
      <c r="T36">
        <f>IF(COUNT($E$2:$E36)&lt;14,"",MAX($C$23:$C$36))</f>
        <v>0</v>
      </c>
      <c r="U36">
        <f>IF(COUNT($E$2:$E36)&lt;14,"",MIN($D$23:$D$36))</f>
        <v>0</v>
      </c>
      <c r="V36">
        <f>IF(OR(T36="",U36="",T36=U36),"",100*($E36-U36)/(T36-U36))</f>
        <v>0</v>
      </c>
      <c r="W36">
        <f>IF(COUNT($V$34:$V$36)&lt;3,"",AVERAGE($V$34:$V$36))</f>
        <v>0</v>
      </c>
      <c r="X36">
        <f>IF(COUNT($N$23:$N$36)&lt;14,"",MIN($N$23:$N$36))</f>
        <v>0</v>
      </c>
      <c r="Y36">
        <f>IF(COUNT($N$23:$N$36)&lt;14,"",MAX($N$23:$N$36))</f>
        <v>0</v>
      </c>
      <c r="Z36">
        <f>IF(OR(N36="",X36="",Y36="",Y36=X36),"",100*(N36-X36)/(Y36-X36))</f>
        <v>0</v>
      </c>
      <c r="AA36">
        <f>IF(COUNT($Z$34:$Z$36)&lt;3,"",AVERAGE($Z$34:$Z$36))</f>
        <v>0</v>
      </c>
      <c r="AB36">
        <f>IF(COUNT($AA$34:$AA$36)&lt;3,"",AVERAGE($AA$34:$AA$36))</f>
        <v>0</v>
      </c>
      <c r="AC36">
        <f>IF($E36="","",MAX($C36-$D36,ABS($C36-$E35),ABS($D36-$E35)))</f>
        <v>0</v>
      </c>
      <c r="AD36">
        <f>IF(COUNT($E$2:$E36)&lt;15,"",AVERAGE($AC$23:$AC$36))</f>
        <v>0</v>
      </c>
      <c r="AE36">
        <f>IF(OR($E36="",$E35=""),"",IF(AND(($C36-$C35)&gt;($D35-$D36),($C36-$C35)&gt;0),$C36-$C35,0))</f>
        <v>0</v>
      </c>
      <c r="AF36">
        <f>IF(OR($E36="",$E35=""),"",IF(AND(($D35-$D36)&gt;($C36-$C35),($D35-$D36)&gt;0),$D35-$D36,0))</f>
        <v>0</v>
      </c>
      <c r="AG36">
        <f>IF(COUNT($E$2:$E36)&lt;15,"",IF(SUM($AC$23:$AC$36)=0,0,100*SUM($AE$23:$AE$36)/SUM($AC$23:$AC$36)))</f>
        <v>0</v>
      </c>
      <c r="AH36">
        <f>IF(COUNT($E$2:$E36)&lt;15,"",IF(SUM($AC$23:$AC$36)=0,0,100*SUM($AF$23:$AF$36)/SUM($AC$23:$AC$36)))</f>
        <v>0</v>
      </c>
      <c r="AI36">
        <f>IF(OR(AG36="",AH36=""),"",IF((AG36+AH36)=0,0,100*ABS(AG36-AH36)/(AG36+AH36)))</f>
        <v>0</v>
      </c>
      <c r="AJ36">
        <f>IF(COUNT($AI$23:$AI$36)&lt;14,"",AVERAGE($AI$23:$AI$36))</f>
        <v>0</v>
      </c>
      <c r="AK36">
        <f>IF(COUNT($E$2:$E36)&lt;20,"",AVERAGE($E$17:$E$36))</f>
        <v>0</v>
      </c>
      <c r="AL36">
        <f>IF(COUNT($E$2:$E36)&lt;20,"",STDEVP($E$17:$E$36))</f>
        <v>0</v>
      </c>
      <c r="AM36">
        <f>IF(AK36="","",AK36+2*AL36)</f>
        <v>0</v>
      </c>
      <c r="AN36">
        <f>IF(AK36="","",AK36-2*AL36)</f>
        <v>0</v>
      </c>
      <c r="AO36">
        <f>IF(OR(AM36="",AN36="",AM36=AN36),"",($E36-AN36)/(AM36-AN36))</f>
        <v>0</v>
      </c>
      <c r="AP36">
        <f>IF(OR(AM36="",AK36="",AK36=0),"",(AM36-AN36)/AK36)</f>
        <v>0</v>
      </c>
      <c r="AQ36">
        <f>IF(COUNT($E$2:$E36)&lt;20,"",MAX($C$17:$C$36))</f>
        <v>0</v>
      </c>
      <c r="AR36">
        <f>IF(COUNT($E$2:$E36)&lt;20,"",MIN($D$17:$D$36))</f>
        <v>0</v>
      </c>
      <c r="AS36">
        <f>IF(OR(AQ36="",AR36=""),"",(AQ36+AR36)/2)</f>
        <v>0</v>
      </c>
      <c r="AT36">
        <f>IF(COUNT($G$17:$G$36)&lt;20,"",STDEV($G$17:$G$36)*SQRT(52))</f>
        <v>0</v>
      </c>
      <c r="AU36">
        <f>IF(COUNT($E$2:$E36)&lt;9,"",(MAX($C$28:$C$36)+MIN($D$28:$D$36))/2)</f>
        <v>0</v>
      </c>
      <c r="AV36">
        <f>IF(COUNT($E$2:$E36)&lt;26,"",(MAX($C$11:$C$36)+MIN($D$11:$D$36))/2)</f>
        <v>0</v>
      </c>
      <c r="AW36">
        <f>IF(OR(AU36="",AV36=""),"",(AU36+AV36)/2)</f>
        <v>0</v>
      </c>
      <c r="AX36">
        <f>IF(COUNT($E$2:$E36)&lt;52,"",(MAX($C$2:$C$36)+MIN($D$2:$D$36))/2)</f>
        <v>0</v>
      </c>
      <c r="AY36">
        <f>IF(COUNT($E$2:$E36)&lt;20,"",MAX($C$2:$C$36))</f>
        <v>0</v>
      </c>
      <c r="AZ36">
        <f>IF(COUNT($E$2:$E36)&lt;20,"",MIN($D$2:$D$36))</f>
        <v>0</v>
      </c>
      <c r="BA36">
        <f>IF(COUNT($E$2:$E36)&lt;20,"",SLOPE($E$2:$E$36,$F$2:$F$36))</f>
        <v>0</v>
      </c>
      <c r="BB36">
        <f>IF(COUNT($E$2:$E36)&lt;20,"",INTERCEPT($E$2:$E$36,$F$2:$F$36))</f>
        <v>0</v>
      </c>
      <c r="BC36">
        <f>IF(OR(BA36="",BB36=""),"",BB36+BA36*F36)</f>
        <v>0</v>
      </c>
      <c r="BD36">
        <f>IF(COUNT($E$2:$E36)&lt;20,"",STEYX($E$2:$E$36,$F$2:$F$36))</f>
        <v>0</v>
      </c>
      <c r="BE36">
        <f>IF($E36="","",IF(AND(COUNT($E$37:$E$40)&gt;=4,$C36=MAX($C$32:$C$40)),$C36,""))</f>
        <v>0</v>
      </c>
      <c r="BF36">
        <f>IF($E36="","",IF(AND(COUNT($E$37:$E$40)&gt;=4,$D36=MIN($D$32:$D$40)),$D36,""))</f>
        <v>0</v>
      </c>
      <c r="BG36">
        <f>IFERROR(SMALL(Calc_Daily!$BM$2:$BM$2001,35),"")</f>
        <v>0</v>
      </c>
    </row>
    <row r="37" spans="1:59">
      <c r="A37" s="27">
        <f>IF($BG37="","",INDEX(Calc_Daily!$A$2:$A$2001,$BG37))</f>
        <v>0</v>
      </c>
      <c r="B37">
        <f>IF($BG37="","",INDEX(Calc_Daily!$BJ$2:$BJ$2001,$BG37))</f>
        <v>0</v>
      </c>
      <c r="C37">
        <f>IF($BG37="","",INDEX(Calc_Daily!$BK$2:$BK$2001,$BG37))</f>
        <v>0</v>
      </c>
      <c r="D37">
        <f>IF($BG37="","",INDEX(Calc_Daily!$BL$2:$BL$2001,$BG37))</f>
        <v>0</v>
      </c>
      <c r="E37">
        <f>IF($BG37="","",INDEX(Calc_Daily!$E$2:$E$2001,$BG37))</f>
        <v>0</v>
      </c>
      <c r="F37">
        <f>IF($E37="","",N(F36)+1)</f>
        <v>0</v>
      </c>
      <c r="G37">
        <f>IF(OR($E37="",$E36=""),"",LN($E37/$E36))</f>
        <v>0</v>
      </c>
      <c r="H37">
        <f>IF($E37="","",IF($E36="",$E37,$E37*0.0952380952+H36*0.9047619048))</f>
        <v>0</v>
      </c>
      <c r="I37">
        <f>IF($E37="","",IF($E36="",$E37,$E37*0.0392156863+I36*0.9607843137))</f>
        <v>0</v>
      </c>
      <c r="J37">
        <f>IF($E37="","",IF($E36="",$E37,$E37*0.0198019802+J36*0.9801980198))</f>
        <v>0</v>
      </c>
      <c r="K37">
        <f>IF($E37="","",IF($E36="",$E37,$E37*0.0099502488+K36*0.9900497512))</f>
        <v>0</v>
      </c>
      <c r="L37">
        <f>IF(OR($E37="",$E36=""),"",MAX($E37-$E36,0))</f>
        <v>0</v>
      </c>
      <c r="M37">
        <f>IF(OR($E37="",$E36=""),"",MAX($E36-$E37,0))</f>
        <v>0</v>
      </c>
      <c r="N37">
        <f>IF(COUNT($E$2:$E37)&lt;15,"",IF(AVERAGE($M$24:$M$37)=0,100,100-100/(1+AVERAGE($L$24:$L$37)/AVERAGE($M$24:$M$37))))</f>
        <v>0</v>
      </c>
      <c r="O37">
        <f>IF($E37="","",IF($E36="",$E37,$E37*0.1538461538+O36*0.8461538462))</f>
        <v>0</v>
      </c>
      <c r="P37">
        <f>IF($E37="","",IF($E36="",$E37,$E37*0.0740740741+P36*0.9259259259))</f>
        <v>0</v>
      </c>
      <c r="Q37">
        <f>IF(OR(O37="",P37=""),"",O37-P37)</f>
        <v>0</v>
      </c>
      <c r="R37">
        <f>IF(Q37="","",IF(R36="",Q37,Q37*0.2000000000+R36*0.8000000000))</f>
        <v>0</v>
      </c>
      <c r="S37">
        <f>IF(OR(Q37="",R37=""),"",Q37-R37)</f>
        <v>0</v>
      </c>
      <c r="T37">
        <f>IF(COUNT($E$2:$E37)&lt;14,"",MAX($C$24:$C$37))</f>
        <v>0</v>
      </c>
      <c r="U37">
        <f>IF(COUNT($E$2:$E37)&lt;14,"",MIN($D$24:$D$37))</f>
        <v>0</v>
      </c>
      <c r="V37">
        <f>IF(OR(T37="",U37="",T37=U37),"",100*($E37-U37)/(T37-U37))</f>
        <v>0</v>
      </c>
      <c r="W37">
        <f>IF(COUNT($V$35:$V$37)&lt;3,"",AVERAGE($V$35:$V$37))</f>
        <v>0</v>
      </c>
      <c r="X37">
        <f>IF(COUNT($N$24:$N$37)&lt;14,"",MIN($N$24:$N$37))</f>
        <v>0</v>
      </c>
      <c r="Y37">
        <f>IF(COUNT($N$24:$N$37)&lt;14,"",MAX($N$24:$N$37))</f>
        <v>0</v>
      </c>
      <c r="Z37">
        <f>IF(OR(N37="",X37="",Y37="",Y37=X37),"",100*(N37-X37)/(Y37-X37))</f>
        <v>0</v>
      </c>
      <c r="AA37">
        <f>IF(COUNT($Z$35:$Z$37)&lt;3,"",AVERAGE($Z$35:$Z$37))</f>
        <v>0</v>
      </c>
      <c r="AB37">
        <f>IF(COUNT($AA$35:$AA$37)&lt;3,"",AVERAGE($AA$35:$AA$37))</f>
        <v>0</v>
      </c>
      <c r="AC37">
        <f>IF($E37="","",MAX($C37-$D37,ABS($C37-$E36),ABS($D37-$E36)))</f>
        <v>0</v>
      </c>
      <c r="AD37">
        <f>IF(COUNT($E$2:$E37)&lt;15,"",AVERAGE($AC$24:$AC$37))</f>
        <v>0</v>
      </c>
      <c r="AE37">
        <f>IF(OR($E37="",$E36=""),"",IF(AND(($C37-$C36)&gt;($D36-$D37),($C37-$C36)&gt;0),$C37-$C36,0))</f>
        <v>0</v>
      </c>
      <c r="AF37">
        <f>IF(OR($E37="",$E36=""),"",IF(AND(($D36-$D37)&gt;($C37-$C36),($D36-$D37)&gt;0),$D36-$D37,0))</f>
        <v>0</v>
      </c>
      <c r="AG37">
        <f>IF(COUNT($E$2:$E37)&lt;15,"",IF(SUM($AC$24:$AC$37)=0,0,100*SUM($AE$24:$AE$37)/SUM($AC$24:$AC$37)))</f>
        <v>0</v>
      </c>
      <c r="AH37">
        <f>IF(COUNT($E$2:$E37)&lt;15,"",IF(SUM($AC$24:$AC$37)=0,0,100*SUM($AF$24:$AF$37)/SUM($AC$24:$AC$37)))</f>
        <v>0</v>
      </c>
      <c r="AI37">
        <f>IF(OR(AG37="",AH37=""),"",IF((AG37+AH37)=0,0,100*ABS(AG37-AH37)/(AG37+AH37)))</f>
        <v>0</v>
      </c>
      <c r="AJ37">
        <f>IF(COUNT($AI$24:$AI$37)&lt;14,"",AVERAGE($AI$24:$AI$37))</f>
        <v>0</v>
      </c>
      <c r="AK37">
        <f>IF(COUNT($E$2:$E37)&lt;20,"",AVERAGE($E$18:$E$37))</f>
        <v>0</v>
      </c>
      <c r="AL37">
        <f>IF(COUNT($E$2:$E37)&lt;20,"",STDEVP($E$18:$E$37))</f>
        <v>0</v>
      </c>
      <c r="AM37">
        <f>IF(AK37="","",AK37+2*AL37)</f>
        <v>0</v>
      </c>
      <c r="AN37">
        <f>IF(AK37="","",AK37-2*AL37)</f>
        <v>0</v>
      </c>
      <c r="AO37">
        <f>IF(OR(AM37="",AN37="",AM37=AN37),"",($E37-AN37)/(AM37-AN37))</f>
        <v>0</v>
      </c>
      <c r="AP37">
        <f>IF(OR(AM37="",AK37="",AK37=0),"",(AM37-AN37)/AK37)</f>
        <v>0</v>
      </c>
      <c r="AQ37">
        <f>IF(COUNT($E$2:$E37)&lt;20,"",MAX($C$18:$C$37))</f>
        <v>0</v>
      </c>
      <c r="AR37">
        <f>IF(COUNT($E$2:$E37)&lt;20,"",MIN($D$18:$D$37))</f>
        <v>0</v>
      </c>
      <c r="AS37">
        <f>IF(OR(AQ37="",AR37=""),"",(AQ37+AR37)/2)</f>
        <v>0</v>
      </c>
      <c r="AT37">
        <f>IF(COUNT($G$18:$G$37)&lt;20,"",STDEV($G$18:$G$37)*SQRT(52))</f>
        <v>0</v>
      </c>
      <c r="AU37">
        <f>IF(COUNT($E$2:$E37)&lt;9,"",(MAX($C$29:$C$37)+MIN($D$29:$D$37))/2)</f>
        <v>0</v>
      </c>
      <c r="AV37">
        <f>IF(COUNT($E$2:$E37)&lt;26,"",(MAX($C$12:$C$37)+MIN($D$12:$D$37))/2)</f>
        <v>0</v>
      </c>
      <c r="AW37">
        <f>IF(OR(AU37="",AV37=""),"",(AU37+AV37)/2)</f>
        <v>0</v>
      </c>
      <c r="AX37">
        <f>IF(COUNT($E$2:$E37)&lt;52,"",(MAX($C$2:$C$37)+MIN($D$2:$D$37))/2)</f>
        <v>0</v>
      </c>
      <c r="AY37">
        <f>IF(COUNT($E$2:$E37)&lt;20,"",MAX($C$2:$C$37))</f>
        <v>0</v>
      </c>
      <c r="AZ37">
        <f>IF(COUNT($E$2:$E37)&lt;20,"",MIN($D$2:$D$37))</f>
        <v>0</v>
      </c>
      <c r="BA37">
        <f>IF(COUNT($E$2:$E37)&lt;20,"",SLOPE($E$2:$E$37,$F$2:$F$37))</f>
        <v>0</v>
      </c>
      <c r="BB37">
        <f>IF(COUNT($E$2:$E37)&lt;20,"",INTERCEPT($E$2:$E$37,$F$2:$F$37))</f>
        <v>0</v>
      </c>
      <c r="BC37">
        <f>IF(OR(BA37="",BB37=""),"",BB37+BA37*F37)</f>
        <v>0</v>
      </c>
      <c r="BD37">
        <f>IF(COUNT($E$2:$E37)&lt;20,"",STEYX($E$2:$E$37,$F$2:$F$37))</f>
        <v>0</v>
      </c>
      <c r="BE37">
        <f>IF($E37="","",IF(AND(COUNT($E$38:$E$41)&gt;=4,$C37=MAX($C$33:$C$41)),$C37,""))</f>
        <v>0</v>
      </c>
      <c r="BF37">
        <f>IF($E37="","",IF(AND(COUNT($E$38:$E$41)&gt;=4,$D37=MIN($D$33:$D$41)),$D37,""))</f>
        <v>0</v>
      </c>
      <c r="BG37">
        <f>IFERROR(SMALL(Calc_Daily!$BM$2:$BM$2001,36),"")</f>
        <v>0</v>
      </c>
    </row>
    <row r="38" spans="1:59">
      <c r="A38" s="27">
        <f>IF($BG38="","",INDEX(Calc_Daily!$A$2:$A$2001,$BG38))</f>
        <v>0</v>
      </c>
      <c r="B38">
        <f>IF($BG38="","",INDEX(Calc_Daily!$BJ$2:$BJ$2001,$BG38))</f>
        <v>0</v>
      </c>
      <c r="C38">
        <f>IF($BG38="","",INDEX(Calc_Daily!$BK$2:$BK$2001,$BG38))</f>
        <v>0</v>
      </c>
      <c r="D38">
        <f>IF($BG38="","",INDEX(Calc_Daily!$BL$2:$BL$2001,$BG38))</f>
        <v>0</v>
      </c>
      <c r="E38">
        <f>IF($BG38="","",INDEX(Calc_Daily!$E$2:$E$2001,$BG38))</f>
        <v>0</v>
      </c>
      <c r="F38">
        <f>IF($E38="","",N(F37)+1)</f>
        <v>0</v>
      </c>
      <c r="G38">
        <f>IF(OR($E38="",$E37=""),"",LN($E38/$E37))</f>
        <v>0</v>
      </c>
      <c r="H38">
        <f>IF($E38="","",IF($E37="",$E38,$E38*0.0952380952+H37*0.9047619048))</f>
        <v>0</v>
      </c>
      <c r="I38">
        <f>IF($E38="","",IF($E37="",$E38,$E38*0.0392156863+I37*0.9607843137))</f>
        <v>0</v>
      </c>
      <c r="J38">
        <f>IF($E38="","",IF($E37="",$E38,$E38*0.0198019802+J37*0.9801980198))</f>
        <v>0</v>
      </c>
      <c r="K38">
        <f>IF($E38="","",IF($E37="",$E38,$E38*0.0099502488+K37*0.9900497512))</f>
        <v>0</v>
      </c>
      <c r="L38">
        <f>IF(OR($E38="",$E37=""),"",MAX($E38-$E37,0))</f>
        <v>0</v>
      </c>
      <c r="M38">
        <f>IF(OR($E38="",$E37=""),"",MAX($E37-$E38,0))</f>
        <v>0</v>
      </c>
      <c r="N38">
        <f>IF(COUNT($E$2:$E38)&lt;15,"",IF(AVERAGE($M$25:$M$38)=0,100,100-100/(1+AVERAGE($L$25:$L$38)/AVERAGE($M$25:$M$38))))</f>
        <v>0</v>
      </c>
      <c r="O38">
        <f>IF($E38="","",IF($E37="",$E38,$E38*0.1538461538+O37*0.8461538462))</f>
        <v>0</v>
      </c>
      <c r="P38">
        <f>IF($E38="","",IF($E37="",$E38,$E38*0.0740740741+P37*0.9259259259))</f>
        <v>0</v>
      </c>
      <c r="Q38">
        <f>IF(OR(O38="",P38=""),"",O38-P38)</f>
        <v>0</v>
      </c>
      <c r="R38">
        <f>IF(Q38="","",IF(R37="",Q38,Q38*0.2000000000+R37*0.8000000000))</f>
        <v>0</v>
      </c>
      <c r="S38">
        <f>IF(OR(Q38="",R38=""),"",Q38-R38)</f>
        <v>0</v>
      </c>
      <c r="T38">
        <f>IF(COUNT($E$2:$E38)&lt;14,"",MAX($C$25:$C$38))</f>
        <v>0</v>
      </c>
      <c r="U38">
        <f>IF(COUNT($E$2:$E38)&lt;14,"",MIN($D$25:$D$38))</f>
        <v>0</v>
      </c>
      <c r="V38">
        <f>IF(OR(T38="",U38="",T38=U38),"",100*($E38-U38)/(T38-U38))</f>
        <v>0</v>
      </c>
      <c r="W38">
        <f>IF(COUNT($V$36:$V$38)&lt;3,"",AVERAGE($V$36:$V$38))</f>
        <v>0</v>
      </c>
      <c r="X38">
        <f>IF(COUNT($N$25:$N$38)&lt;14,"",MIN($N$25:$N$38))</f>
        <v>0</v>
      </c>
      <c r="Y38">
        <f>IF(COUNT($N$25:$N$38)&lt;14,"",MAX($N$25:$N$38))</f>
        <v>0</v>
      </c>
      <c r="Z38">
        <f>IF(OR(N38="",X38="",Y38="",Y38=X38),"",100*(N38-X38)/(Y38-X38))</f>
        <v>0</v>
      </c>
      <c r="AA38">
        <f>IF(COUNT($Z$36:$Z$38)&lt;3,"",AVERAGE($Z$36:$Z$38))</f>
        <v>0</v>
      </c>
      <c r="AB38">
        <f>IF(COUNT($AA$36:$AA$38)&lt;3,"",AVERAGE($AA$36:$AA$38))</f>
        <v>0</v>
      </c>
      <c r="AC38">
        <f>IF($E38="","",MAX($C38-$D38,ABS($C38-$E37),ABS($D38-$E37)))</f>
        <v>0</v>
      </c>
      <c r="AD38">
        <f>IF(COUNT($E$2:$E38)&lt;15,"",AVERAGE($AC$25:$AC$38))</f>
        <v>0</v>
      </c>
      <c r="AE38">
        <f>IF(OR($E38="",$E37=""),"",IF(AND(($C38-$C37)&gt;($D37-$D38),($C38-$C37)&gt;0),$C38-$C37,0))</f>
        <v>0</v>
      </c>
      <c r="AF38">
        <f>IF(OR($E38="",$E37=""),"",IF(AND(($D37-$D38)&gt;($C38-$C37),($D37-$D38)&gt;0),$D37-$D38,0))</f>
        <v>0</v>
      </c>
      <c r="AG38">
        <f>IF(COUNT($E$2:$E38)&lt;15,"",IF(SUM($AC$25:$AC$38)=0,0,100*SUM($AE$25:$AE$38)/SUM($AC$25:$AC$38)))</f>
        <v>0</v>
      </c>
      <c r="AH38">
        <f>IF(COUNT($E$2:$E38)&lt;15,"",IF(SUM($AC$25:$AC$38)=0,0,100*SUM($AF$25:$AF$38)/SUM($AC$25:$AC$38)))</f>
        <v>0</v>
      </c>
      <c r="AI38">
        <f>IF(OR(AG38="",AH38=""),"",IF((AG38+AH38)=0,0,100*ABS(AG38-AH38)/(AG38+AH38)))</f>
        <v>0</v>
      </c>
      <c r="AJ38">
        <f>IF(COUNT($AI$25:$AI$38)&lt;14,"",AVERAGE($AI$25:$AI$38))</f>
        <v>0</v>
      </c>
      <c r="AK38">
        <f>IF(COUNT($E$2:$E38)&lt;20,"",AVERAGE($E$19:$E$38))</f>
        <v>0</v>
      </c>
      <c r="AL38">
        <f>IF(COUNT($E$2:$E38)&lt;20,"",STDEVP($E$19:$E$38))</f>
        <v>0</v>
      </c>
      <c r="AM38">
        <f>IF(AK38="","",AK38+2*AL38)</f>
        <v>0</v>
      </c>
      <c r="AN38">
        <f>IF(AK38="","",AK38-2*AL38)</f>
        <v>0</v>
      </c>
      <c r="AO38">
        <f>IF(OR(AM38="",AN38="",AM38=AN38),"",($E38-AN38)/(AM38-AN38))</f>
        <v>0</v>
      </c>
      <c r="AP38">
        <f>IF(OR(AM38="",AK38="",AK38=0),"",(AM38-AN38)/AK38)</f>
        <v>0</v>
      </c>
      <c r="AQ38">
        <f>IF(COUNT($E$2:$E38)&lt;20,"",MAX($C$19:$C$38))</f>
        <v>0</v>
      </c>
      <c r="AR38">
        <f>IF(COUNT($E$2:$E38)&lt;20,"",MIN($D$19:$D$38))</f>
        <v>0</v>
      </c>
      <c r="AS38">
        <f>IF(OR(AQ38="",AR38=""),"",(AQ38+AR38)/2)</f>
        <v>0</v>
      </c>
      <c r="AT38">
        <f>IF(COUNT($G$19:$G$38)&lt;20,"",STDEV($G$19:$G$38)*SQRT(52))</f>
        <v>0</v>
      </c>
      <c r="AU38">
        <f>IF(COUNT($E$2:$E38)&lt;9,"",(MAX($C$30:$C$38)+MIN($D$30:$D$38))/2)</f>
        <v>0</v>
      </c>
      <c r="AV38">
        <f>IF(COUNT($E$2:$E38)&lt;26,"",(MAX($C$13:$C$38)+MIN($D$13:$D$38))/2)</f>
        <v>0</v>
      </c>
      <c r="AW38">
        <f>IF(OR(AU38="",AV38=""),"",(AU38+AV38)/2)</f>
        <v>0</v>
      </c>
      <c r="AX38">
        <f>IF(COUNT($E$2:$E38)&lt;52,"",(MAX($C$2:$C$38)+MIN($D$2:$D$38))/2)</f>
        <v>0</v>
      </c>
      <c r="AY38">
        <f>IF(COUNT($E$2:$E38)&lt;20,"",MAX($C$2:$C$38))</f>
        <v>0</v>
      </c>
      <c r="AZ38">
        <f>IF(COUNT($E$2:$E38)&lt;20,"",MIN($D$2:$D$38))</f>
        <v>0</v>
      </c>
      <c r="BA38">
        <f>IF(COUNT($E$2:$E38)&lt;20,"",SLOPE($E$2:$E$38,$F$2:$F$38))</f>
        <v>0</v>
      </c>
      <c r="BB38">
        <f>IF(COUNT($E$2:$E38)&lt;20,"",INTERCEPT($E$2:$E$38,$F$2:$F$38))</f>
        <v>0</v>
      </c>
      <c r="BC38">
        <f>IF(OR(BA38="",BB38=""),"",BB38+BA38*F38)</f>
        <v>0</v>
      </c>
      <c r="BD38">
        <f>IF(COUNT($E$2:$E38)&lt;20,"",STEYX($E$2:$E$38,$F$2:$F$38))</f>
        <v>0</v>
      </c>
      <c r="BE38">
        <f>IF($E38="","",IF(AND(COUNT($E$39:$E$42)&gt;=4,$C38=MAX($C$34:$C$42)),$C38,""))</f>
        <v>0</v>
      </c>
      <c r="BF38">
        <f>IF($E38="","",IF(AND(COUNT($E$39:$E$42)&gt;=4,$D38=MIN($D$34:$D$42)),$D38,""))</f>
        <v>0</v>
      </c>
      <c r="BG38">
        <f>IFERROR(SMALL(Calc_Daily!$BM$2:$BM$2001,37),"")</f>
        <v>0</v>
      </c>
    </row>
    <row r="39" spans="1:59">
      <c r="A39" s="27">
        <f>IF($BG39="","",INDEX(Calc_Daily!$A$2:$A$2001,$BG39))</f>
        <v>0</v>
      </c>
      <c r="B39">
        <f>IF($BG39="","",INDEX(Calc_Daily!$BJ$2:$BJ$2001,$BG39))</f>
        <v>0</v>
      </c>
      <c r="C39">
        <f>IF($BG39="","",INDEX(Calc_Daily!$BK$2:$BK$2001,$BG39))</f>
        <v>0</v>
      </c>
      <c r="D39">
        <f>IF($BG39="","",INDEX(Calc_Daily!$BL$2:$BL$2001,$BG39))</f>
        <v>0</v>
      </c>
      <c r="E39">
        <f>IF($BG39="","",INDEX(Calc_Daily!$E$2:$E$2001,$BG39))</f>
        <v>0</v>
      </c>
      <c r="F39">
        <f>IF($E39="","",N(F38)+1)</f>
        <v>0</v>
      </c>
      <c r="G39">
        <f>IF(OR($E39="",$E38=""),"",LN($E39/$E38))</f>
        <v>0</v>
      </c>
      <c r="H39">
        <f>IF($E39="","",IF($E38="",$E39,$E39*0.0952380952+H38*0.9047619048))</f>
        <v>0</v>
      </c>
      <c r="I39">
        <f>IF($E39="","",IF($E38="",$E39,$E39*0.0392156863+I38*0.9607843137))</f>
        <v>0</v>
      </c>
      <c r="J39">
        <f>IF($E39="","",IF($E38="",$E39,$E39*0.0198019802+J38*0.9801980198))</f>
        <v>0</v>
      </c>
      <c r="K39">
        <f>IF($E39="","",IF($E38="",$E39,$E39*0.0099502488+K38*0.9900497512))</f>
        <v>0</v>
      </c>
      <c r="L39">
        <f>IF(OR($E39="",$E38=""),"",MAX($E39-$E38,0))</f>
        <v>0</v>
      </c>
      <c r="M39">
        <f>IF(OR($E39="",$E38=""),"",MAX($E38-$E39,0))</f>
        <v>0</v>
      </c>
      <c r="N39">
        <f>IF(COUNT($E$2:$E39)&lt;15,"",IF(AVERAGE($M$26:$M$39)=0,100,100-100/(1+AVERAGE($L$26:$L$39)/AVERAGE($M$26:$M$39))))</f>
        <v>0</v>
      </c>
      <c r="O39">
        <f>IF($E39="","",IF($E38="",$E39,$E39*0.1538461538+O38*0.8461538462))</f>
        <v>0</v>
      </c>
      <c r="P39">
        <f>IF($E39="","",IF($E38="",$E39,$E39*0.0740740741+P38*0.9259259259))</f>
        <v>0</v>
      </c>
      <c r="Q39">
        <f>IF(OR(O39="",P39=""),"",O39-P39)</f>
        <v>0</v>
      </c>
      <c r="R39">
        <f>IF(Q39="","",IF(R38="",Q39,Q39*0.2000000000+R38*0.8000000000))</f>
        <v>0</v>
      </c>
      <c r="S39">
        <f>IF(OR(Q39="",R39=""),"",Q39-R39)</f>
        <v>0</v>
      </c>
      <c r="T39">
        <f>IF(COUNT($E$2:$E39)&lt;14,"",MAX($C$26:$C$39))</f>
        <v>0</v>
      </c>
      <c r="U39">
        <f>IF(COUNT($E$2:$E39)&lt;14,"",MIN($D$26:$D$39))</f>
        <v>0</v>
      </c>
      <c r="V39">
        <f>IF(OR(T39="",U39="",T39=U39),"",100*($E39-U39)/(T39-U39))</f>
        <v>0</v>
      </c>
      <c r="W39">
        <f>IF(COUNT($V$37:$V$39)&lt;3,"",AVERAGE($V$37:$V$39))</f>
        <v>0</v>
      </c>
      <c r="X39">
        <f>IF(COUNT($N$26:$N$39)&lt;14,"",MIN($N$26:$N$39))</f>
        <v>0</v>
      </c>
      <c r="Y39">
        <f>IF(COUNT($N$26:$N$39)&lt;14,"",MAX($N$26:$N$39))</f>
        <v>0</v>
      </c>
      <c r="Z39">
        <f>IF(OR(N39="",X39="",Y39="",Y39=X39),"",100*(N39-X39)/(Y39-X39))</f>
        <v>0</v>
      </c>
      <c r="AA39">
        <f>IF(COUNT($Z$37:$Z$39)&lt;3,"",AVERAGE($Z$37:$Z$39))</f>
        <v>0</v>
      </c>
      <c r="AB39">
        <f>IF(COUNT($AA$37:$AA$39)&lt;3,"",AVERAGE($AA$37:$AA$39))</f>
        <v>0</v>
      </c>
      <c r="AC39">
        <f>IF($E39="","",MAX($C39-$D39,ABS($C39-$E38),ABS($D39-$E38)))</f>
        <v>0</v>
      </c>
      <c r="AD39">
        <f>IF(COUNT($E$2:$E39)&lt;15,"",AVERAGE($AC$26:$AC$39))</f>
        <v>0</v>
      </c>
      <c r="AE39">
        <f>IF(OR($E39="",$E38=""),"",IF(AND(($C39-$C38)&gt;($D38-$D39),($C39-$C38)&gt;0),$C39-$C38,0))</f>
        <v>0</v>
      </c>
      <c r="AF39">
        <f>IF(OR($E39="",$E38=""),"",IF(AND(($D38-$D39)&gt;($C39-$C38),($D38-$D39)&gt;0),$D38-$D39,0))</f>
        <v>0</v>
      </c>
      <c r="AG39">
        <f>IF(COUNT($E$2:$E39)&lt;15,"",IF(SUM($AC$26:$AC$39)=0,0,100*SUM($AE$26:$AE$39)/SUM($AC$26:$AC$39)))</f>
        <v>0</v>
      </c>
      <c r="AH39">
        <f>IF(COUNT($E$2:$E39)&lt;15,"",IF(SUM($AC$26:$AC$39)=0,0,100*SUM($AF$26:$AF$39)/SUM($AC$26:$AC$39)))</f>
        <v>0</v>
      </c>
      <c r="AI39">
        <f>IF(OR(AG39="",AH39=""),"",IF((AG39+AH39)=0,0,100*ABS(AG39-AH39)/(AG39+AH39)))</f>
        <v>0</v>
      </c>
      <c r="AJ39">
        <f>IF(COUNT($AI$26:$AI$39)&lt;14,"",AVERAGE($AI$26:$AI$39))</f>
        <v>0</v>
      </c>
      <c r="AK39">
        <f>IF(COUNT($E$2:$E39)&lt;20,"",AVERAGE($E$20:$E$39))</f>
        <v>0</v>
      </c>
      <c r="AL39">
        <f>IF(COUNT($E$2:$E39)&lt;20,"",STDEVP($E$20:$E$39))</f>
        <v>0</v>
      </c>
      <c r="AM39">
        <f>IF(AK39="","",AK39+2*AL39)</f>
        <v>0</v>
      </c>
      <c r="AN39">
        <f>IF(AK39="","",AK39-2*AL39)</f>
        <v>0</v>
      </c>
      <c r="AO39">
        <f>IF(OR(AM39="",AN39="",AM39=AN39),"",($E39-AN39)/(AM39-AN39))</f>
        <v>0</v>
      </c>
      <c r="AP39">
        <f>IF(OR(AM39="",AK39="",AK39=0),"",(AM39-AN39)/AK39)</f>
        <v>0</v>
      </c>
      <c r="AQ39">
        <f>IF(COUNT($E$2:$E39)&lt;20,"",MAX($C$20:$C$39))</f>
        <v>0</v>
      </c>
      <c r="AR39">
        <f>IF(COUNT($E$2:$E39)&lt;20,"",MIN($D$20:$D$39))</f>
        <v>0</v>
      </c>
      <c r="AS39">
        <f>IF(OR(AQ39="",AR39=""),"",(AQ39+AR39)/2)</f>
        <v>0</v>
      </c>
      <c r="AT39">
        <f>IF(COUNT($G$20:$G$39)&lt;20,"",STDEV($G$20:$G$39)*SQRT(52))</f>
        <v>0</v>
      </c>
      <c r="AU39">
        <f>IF(COUNT($E$2:$E39)&lt;9,"",(MAX($C$31:$C$39)+MIN($D$31:$D$39))/2)</f>
        <v>0</v>
      </c>
      <c r="AV39">
        <f>IF(COUNT($E$2:$E39)&lt;26,"",(MAX($C$14:$C$39)+MIN($D$14:$D$39))/2)</f>
        <v>0</v>
      </c>
      <c r="AW39">
        <f>IF(OR(AU39="",AV39=""),"",(AU39+AV39)/2)</f>
        <v>0</v>
      </c>
      <c r="AX39">
        <f>IF(COUNT($E$2:$E39)&lt;52,"",(MAX($C$2:$C$39)+MIN($D$2:$D$39))/2)</f>
        <v>0</v>
      </c>
      <c r="AY39">
        <f>IF(COUNT($E$2:$E39)&lt;20,"",MAX($C$2:$C$39))</f>
        <v>0</v>
      </c>
      <c r="AZ39">
        <f>IF(COUNT($E$2:$E39)&lt;20,"",MIN($D$2:$D$39))</f>
        <v>0</v>
      </c>
      <c r="BA39">
        <f>IF(COUNT($E$2:$E39)&lt;20,"",SLOPE($E$2:$E$39,$F$2:$F$39))</f>
        <v>0</v>
      </c>
      <c r="BB39">
        <f>IF(COUNT($E$2:$E39)&lt;20,"",INTERCEPT($E$2:$E$39,$F$2:$F$39))</f>
        <v>0</v>
      </c>
      <c r="BC39">
        <f>IF(OR(BA39="",BB39=""),"",BB39+BA39*F39)</f>
        <v>0</v>
      </c>
      <c r="BD39">
        <f>IF(COUNT($E$2:$E39)&lt;20,"",STEYX($E$2:$E$39,$F$2:$F$39))</f>
        <v>0</v>
      </c>
      <c r="BE39">
        <f>IF($E39="","",IF(AND(COUNT($E$40:$E$43)&gt;=4,$C39=MAX($C$35:$C$43)),$C39,""))</f>
        <v>0</v>
      </c>
      <c r="BF39">
        <f>IF($E39="","",IF(AND(COUNT($E$40:$E$43)&gt;=4,$D39=MIN($D$35:$D$43)),$D39,""))</f>
        <v>0</v>
      </c>
      <c r="BG39">
        <f>IFERROR(SMALL(Calc_Daily!$BM$2:$BM$2001,38),"")</f>
        <v>0</v>
      </c>
    </row>
    <row r="40" spans="1:59">
      <c r="A40" s="27">
        <f>IF($BG40="","",INDEX(Calc_Daily!$A$2:$A$2001,$BG40))</f>
        <v>0</v>
      </c>
      <c r="B40">
        <f>IF($BG40="","",INDEX(Calc_Daily!$BJ$2:$BJ$2001,$BG40))</f>
        <v>0</v>
      </c>
      <c r="C40">
        <f>IF($BG40="","",INDEX(Calc_Daily!$BK$2:$BK$2001,$BG40))</f>
        <v>0</v>
      </c>
      <c r="D40">
        <f>IF($BG40="","",INDEX(Calc_Daily!$BL$2:$BL$2001,$BG40))</f>
        <v>0</v>
      </c>
      <c r="E40">
        <f>IF($BG40="","",INDEX(Calc_Daily!$E$2:$E$2001,$BG40))</f>
        <v>0</v>
      </c>
      <c r="F40">
        <f>IF($E40="","",N(F39)+1)</f>
        <v>0</v>
      </c>
      <c r="G40">
        <f>IF(OR($E40="",$E39=""),"",LN($E40/$E39))</f>
        <v>0</v>
      </c>
      <c r="H40">
        <f>IF($E40="","",IF($E39="",$E40,$E40*0.0952380952+H39*0.9047619048))</f>
        <v>0</v>
      </c>
      <c r="I40">
        <f>IF($E40="","",IF($E39="",$E40,$E40*0.0392156863+I39*0.9607843137))</f>
        <v>0</v>
      </c>
      <c r="J40">
        <f>IF($E40="","",IF($E39="",$E40,$E40*0.0198019802+J39*0.9801980198))</f>
        <v>0</v>
      </c>
      <c r="K40">
        <f>IF($E40="","",IF($E39="",$E40,$E40*0.0099502488+K39*0.9900497512))</f>
        <v>0</v>
      </c>
      <c r="L40">
        <f>IF(OR($E40="",$E39=""),"",MAX($E40-$E39,0))</f>
        <v>0</v>
      </c>
      <c r="M40">
        <f>IF(OR($E40="",$E39=""),"",MAX($E39-$E40,0))</f>
        <v>0</v>
      </c>
      <c r="N40">
        <f>IF(COUNT($E$2:$E40)&lt;15,"",IF(AVERAGE($M$27:$M$40)=0,100,100-100/(1+AVERAGE($L$27:$L$40)/AVERAGE($M$27:$M$40))))</f>
        <v>0</v>
      </c>
      <c r="O40">
        <f>IF($E40="","",IF($E39="",$E40,$E40*0.1538461538+O39*0.8461538462))</f>
        <v>0</v>
      </c>
      <c r="P40">
        <f>IF($E40="","",IF($E39="",$E40,$E40*0.0740740741+P39*0.9259259259))</f>
        <v>0</v>
      </c>
      <c r="Q40">
        <f>IF(OR(O40="",P40=""),"",O40-P40)</f>
        <v>0</v>
      </c>
      <c r="R40">
        <f>IF(Q40="","",IF(R39="",Q40,Q40*0.2000000000+R39*0.8000000000))</f>
        <v>0</v>
      </c>
      <c r="S40">
        <f>IF(OR(Q40="",R40=""),"",Q40-R40)</f>
        <v>0</v>
      </c>
      <c r="T40">
        <f>IF(COUNT($E$2:$E40)&lt;14,"",MAX($C$27:$C$40))</f>
        <v>0</v>
      </c>
      <c r="U40">
        <f>IF(COUNT($E$2:$E40)&lt;14,"",MIN($D$27:$D$40))</f>
        <v>0</v>
      </c>
      <c r="V40">
        <f>IF(OR(T40="",U40="",T40=U40),"",100*($E40-U40)/(T40-U40))</f>
        <v>0</v>
      </c>
      <c r="W40">
        <f>IF(COUNT($V$38:$V$40)&lt;3,"",AVERAGE($V$38:$V$40))</f>
        <v>0</v>
      </c>
      <c r="X40">
        <f>IF(COUNT($N$27:$N$40)&lt;14,"",MIN($N$27:$N$40))</f>
        <v>0</v>
      </c>
      <c r="Y40">
        <f>IF(COUNT($N$27:$N$40)&lt;14,"",MAX($N$27:$N$40))</f>
        <v>0</v>
      </c>
      <c r="Z40">
        <f>IF(OR(N40="",X40="",Y40="",Y40=X40),"",100*(N40-X40)/(Y40-X40))</f>
        <v>0</v>
      </c>
      <c r="AA40">
        <f>IF(COUNT($Z$38:$Z$40)&lt;3,"",AVERAGE($Z$38:$Z$40))</f>
        <v>0</v>
      </c>
      <c r="AB40">
        <f>IF(COUNT($AA$38:$AA$40)&lt;3,"",AVERAGE($AA$38:$AA$40))</f>
        <v>0</v>
      </c>
      <c r="AC40">
        <f>IF($E40="","",MAX($C40-$D40,ABS($C40-$E39),ABS($D40-$E39)))</f>
        <v>0</v>
      </c>
      <c r="AD40">
        <f>IF(COUNT($E$2:$E40)&lt;15,"",AVERAGE($AC$27:$AC$40))</f>
        <v>0</v>
      </c>
      <c r="AE40">
        <f>IF(OR($E40="",$E39=""),"",IF(AND(($C40-$C39)&gt;($D39-$D40),($C40-$C39)&gt;0),$C40-$C39,0))</f>
        <v>0</v>
      </c>
      <c r="AF40">
        <f>IF(OR($E40="",$E39=""),"",IF(AND(($D39-$D40)&gt;($C40-$C39),($D39-$D40)&gt;0),$D39-$D40,0))</f>
        <v>0</v>
      </c>
      <c r="AG40">
        <f>IF(COUNT($E$2:$E40)&lt;15,"",IF(SUM($AC$27:$AC$40)=0,0,100*SUM($AE$27:$AE$40)/SUM($AC$27:$AC$40)))</f>
        <v>0</v>
      </c>
      <c r="AH40">
        <f>IF(COUNT($E$2:$E40)&lt;15,"",IF(SUM($AC$27:$AC$40)=0,0,100*SUM($AF$27:$AF$40)/SUM($AC$27:$AC$40)))</f>
        <v>0</v>
      </c>
      <c r="AI40">
        <f>IF(OR(AG40="",AH40=""),"",IF((AG40+AH40)=0,0,100*ABS(AG40-AH40)/(AG40+AH40)))</f>
        <v>0</v>
      </c>
      <c r="AJ40">
        <f>IF(COUNT($AI$27:$AI$40)&lt;14,"",AVERAGE($AI$27:$AI$40))</f>
        <v>0</v>
      </c>
      <c r="AK40">
        <f>IF(COUNT($E$2:$E40)&lt;20,"",AVERAGE($E$21:$E$40))</f>
        <v>0</v>
      </c>
      <c r="AL40">
        <f>IF(COUNT($E$2:$E40)&lt;20,"",STDEVP($E$21:$E$40))</f>
        <v>0</v>
      </c>
      <c r="AM40">
        <f>IF(AK40="","",AK40+2*AL40)</f>
        <v>0</v>
      </c>
      <c r="AN40">
        <f>IF(AK40="","",AK40-2*AL40)</f>
        <v>0</v>
      </c>
      <c r="AO40">
        <f>IF(OR(AM40="",AN40="",AM40=AN40),"",($E40-AN40)/(AM40-AN40))</f>
        <v>0</v>
      </c>
      <c r="AP40">
        <f>IF(OR(AM40="",AK40="",AK40=0),"",(AM40-AN40)/AK40)</f>
        <v>0</v>
      </c>
      <c r="AQ40">
        <f>IF(COUNT($E$2:$E40)&lt;20,"",MAX($C$21:$C$40))</f>
        <v>0</v>
      </c>
      <c r="AR40">
        <f>IF(COUNT($E$2:$E40)&lt;20,"",MIN($D$21:$D$40))</f>
        <v>0</v>
      </c>
      <c r="AS40">
        <f>IF(OR(AQ40="",AR40=""),"",(AQ40+AR40)/2)</f>
        <v>0</v>
      </c>
      <c r="AT40">
        <f>IF(COUNT($G$21:$G$40)&lt;20,"",STDEV($G$21:$G$40)*SQRT(52))</f>
        <v>0</v>
      </c>
      <c r="AU40">
        <f>IF(COUNT($E$2:$E40)&lt;9,"",(MAX($C$32:$C$40)+MIN($D$32:$D$40))/2)</f>
        <v>0</v>
      </c>
      <c r="AV40">
        <f>IF(COUNT($E$2:$E40)&lt;26,"",(MAX($C$15:$C$40)+MIN($D$15:$D$40))/2)</f>
        <v>0</v>
      </c>
      <c r="AW40">
        <f>IF(OR(AU40="",AV40=""),"",(AU40+AV40)/2)</f>
        <v>0</v>
      </c>
      <c r="AX40">
        <f>IF(COUNT($E$2:$E40)&lt;52,"",(MAX($C$2:$C$40)+MIN($D$2:$D$40))/2)</f>
        <v>0</v>
      </c>
      <c r="AY40">
        <f>IF(COUNT($E$2:$E40)&lt;20,"",MAX($C$2:$C$40))</f>
        <v>0</v>
      </c>
      <c r="AZ40">
        <f>IF(COUNT($E$2:$E40)&lt;20,"",MIN($D$2:$D$40))</f>
        <v>0</v>
      </c>
      <c r="BA40">
        <f>IF(COUNT($E$2:$E40)&lt;20,"",SLOPE($E$2:$E$40,$F$2:$F$40))</f>
        <v>0</v>
      </c>
      <c r="BB40">
        <f>IF(COUNT($E$2:$E40)&lt;20,"",INTERCEPT($E$2:$E$40,$F$2:$F$40))</f>
        <v>0</v>
      </c>
      <c r="BC40">
        <f>IF(OR(BA40="",BB40=""),"",BB40+BA40*F40)</f>
        <v>0</v>
      </c>
      <c r="BD40">
        <f>IF(COUNT($E$2:$E40)&lt;20,"",STEYX($E$2:$E$40,$F$2:$F$40))</f>
        <v>0</v>
      </c>
      <c r="BE40">
        <f>IF($E40="","",IF(AND(COUNT($E$41:$E$44)&gt;=4,$C40=MAX($C$36:$C$44)),$C40,""))</f>
        <v>0</v>
      </c>
      <c r="BF40">
        <f>IF($E40="","",IF(AND(COUNT($E$41:$E$44)&gt;=4,$D40=MIN($D$36:$D$44)),$D40,""))</f>
        <v>0</v>
      </c>
      <c r="BG40">
        <f>IFERROR(SMALL(Calc_Daily!$BM$2:$BM$2001,39),"")</f>
        <v>0</v>
      </c>
    </row>
    <row r="41" spans="1:59">
      <c r="A41" s="27">
        <f>IF($BG41="","",INDEX(Calc_Daily!$A$2:$A$2001,$BG41))</f>
        <v>0</v>
      </c>
      <c r="B41">
        <f>IF($BG41="","",INDEX(Calc_Daily!$BJ$2:$BJ$2001,$BG41))</f>
        <v>0</v>
      </c>
      <c r="C41">
        <f>IF($BG41="","",INDEX(Calc_Daily!$BK$2:$BK$2001,$BG41))</f>
        <v>0</v>
      </c>
      <c r="D41">
        <f>IF($BG41="","",INDEX(Calc_Daily!$BL$2:$BL$2001,$BG41))</f>
        <v>0</v>
      </c>
      <c r="E41">
        <f>IF($BG41="","",INDEX(Calc_Daily!$E$2:$E$2001,$BG41))</f>
        <v>0</v>
      </c>
      <c r="F41">
        <f>IF($E41="","",N(F40)+1)</f>
        <v>0</v>
      </c>
      <c r="G41">
        <f>IF(OR($E41="",$E40=""),"",LN($E41/$E40))</f>
        <v>0</v>
      </c>
      <c r="H41">
        <f>IF($E41="","",IF($E40="",$E41,$E41*0.0952380952+H40*0.9047619048))</f>
        <v>0</v>
      </c>
      <c r="I41">
        <f>IF($E41="","",IF($E40="",$E41,$E41*0.0392156863+I40*0.9607843137))</f>
        <v>0</v>
      </c>
      <c r="J41">
        <f>IF($E41="","",IF($E40="",$E41,$E41*0.0198019802+J40*0.9801980198))</f>
        <v>0</v>
      </c>
      <c r="K41">
        <f>IF($E41="","",IF($E40="",$E41,$E41*0.0099502488+K40*0.9900497512))</f>
        <v>0</v>
      </c>
      <c r="L41">
        <f>IF(OR($E41="",$E40=""),"",MAX($E41-$E40,0))</f>
        <v>0</v>
      </c>
      <c r="M41">
        <f>IF(OR($E41="",$E40=""),"",MAX($E40-$E41,0))</f>
        <v>0</v>
      </c>
      <c r="N41">
        <f>IF(COUNT($E$2:$E41)&lt;15,"",IF(AVERAGE($M$28:$M$41)=0,100,100-100/(1+AVERAGE($L$28:$L$41)/AVERAGE($M$28:$M$41))))</f>
        <v>0</v>
      </c>
      <c r="O41">
        <f>IF($E41="","",IF($E40="",$E41,$E41*0.1538461538+O40*0.8461538462))</f>
        <v>0</v>
      </c>
      <c r="P41">
        <f>IF($E41="","",IF($E40="",$E41,$E41*0.0740740741+P40*0.9259259259))</f>
        <v>0</v>
      </c>
      <c r="Q41">
        <f>IF(OR(O41="",P41=""),"",O41-P41)</f>
        <v>0</v>
      </c>
      <c r="R41">
        <f>IF(Q41="","",IF(R40="",Q41,Q41*0.2000000000+R40*0.8000000000))</f>
        <v>0</v>
      </c>
      <c r="S41">
        <f>IF(OR(Q41="",R41=""),"",Q41-R41)</f>
        <v>0</v>
      </c>
      <c r="T41">
        <f>IF(COUNT($E$2:$E41)&lt;14,"",MAX($C$28:$C$41))</f>
        <v>0</v>
      </c>
      <c r="U41">
        <f>IF(COUNT($E$2:$E41)&lt;14,"",MIN($D$28:$D$41))</f>
        <v>0</v>
      </c>
      <c r="V41">
        <f>IF(OR(T41="",U41="",T41=U41),"",100*($E41-U41)/(T41-U41))</f>
        <v>0</v>
      </c>
      <c r="W41">
        <f>IF(COUNT($V$39:$V$41)&lt;3,"",AVERAGE($V$39:$V$41))</f>
        <v>0</v>
      </c>
      <c r="X41">
        <f>IF(COUNT($N$28:$N$41)&lt;14,"",MIN($N$28:$N$41))</f>
        <v>0</v>
      </c>
      <c r="Y41">
        <f>IF(COUNT($N$28:$N$41)&lt;14,"",MAX($N$28:$N$41))</f>
        <v>0</v>
      </c>
      <c r="Z41">
        <f>IF(OR(N41="",X41="",Y41="",Y41=X41),"",100*(N41-X41)/(Y41-X41))</f>
        <v>0</v>
      </c>
      <c r="AA41">
        <f>IF(COUNT($Z$39:$Z$41)&lt;3,"",AVERAGE($Z$39:$Z$41))</f>
        <v>0</v>
      </c>
      <c r="AB41">
        <f>IF(COUNT($AA$39:$AA$41)&lt;3,"",AVERAGE($AA$39:$AA$41))</f>
        <v>0</v>
      </c>
      <c r="AC41">
        <f>IF($E41="","",MAX($C41-$D41,ABS($C41-$E40),ABS($D41-$E40)))</f>
        <v>0</v>
      </c>
      <c r="AD41">
        <f>IF(COUNT($E$2:$E41)&lt;15,"",AVERAGE($AC$28:$AC$41))</f>
        <v>0</v>
      </c>
      <c r="AE41">
        <f>IF(OR($E41="",$E40=""),"",IF(AND(($C41-$C40)&gt;($D40-$D41),($C41-$C40)&gt;0),$C41-$C40,0))</f>
        <v>0</v>
      </c>
      <c r="AF41">
        <f>IF(OR($E41="",$E40=""),"",IF(AND(($D40-$D41)&gt;($C41-$C40),($D40-$D41)&gt;0),$D40-$D41,0))</f>
        <v>0</v>
      </c>
      <c r="AG41">
        <f>IF(COUNT($E$2:$E41)&lt;15,"",IF(SUM($AC$28:$AC$41)=0,0,100*SUM($AE$28:$AE$41)/SUM($AC$28:$AC$41)))</f>
        <v>0</v>
      </c>
      <c r="AH41">
        <f>IF(COUNT($E$2:$E41)&lt;15,"",IF(SUM($AC$28:$AC$41)=0,0,100*SUM($AF$28:$AF$41)/SUM($AC$28:$AC$41)))</f>
        <v>0</v>
      </c>
      <c r="AI41">
        <f>IF(OR(AG41="",AH41=""),"",IF((AG41+AH41)=0,0,100*ABS(AG41-AH41)/(AG41+AH41)))</f>
        <v>0</v>
      </c>
      <c r="AJ41">
        <f>IF(COUNT($AI$28:$AI$41)&lt;14,"",AVERAGE($AI$28:$AI$41))</f>
        <v>0</v>
      </c>
      <c r="AK41">
        <f>IF(COUNT($E$2:$E41)&lt;20,"",AVERAGE($E$22:$E$41))</f>
        <v>0</v>
      </c>
      <c r="AL41">
        <f>IF(COUNT($E$2:$E41)&lt;20,"",STDEVP($E$22:$E$41))</f>
        <v>0</v>
      </c>
      <c r="AM41">
        <f>IF(AK41="","",AK41+2*AL41)</f>
        <v>0</v>
      </c>
      <c r="AN41">
        <f>IF(AK41="","",AK41-2*AL41)</f>
        <v>0</v>
      </c>
      <c r="AO41">
        <f>IF(OR(AM41="",AN41="",AM41=AN41),"",($E41-AN41)/(AM41-AN41))</f>
        <v>0</v>
      </c>
      <c r="AP41">
        <f>IF(OR(AM41="",AK41="",AK41=0),"",(AM41-AN41)/AK41)</f>
        <v>0</v>
      </c>
      <c r="AQ41">
        <f>IF(COUNT($E$2:$E41)&lt;20,"",MAX($C$22:$C$41))</f>
        <v>0</v>
      </c>
      <c r="AR41">
        <f>IF(COUNT($E$2:$E41)&lt;20,"",MIN($D$22:$D$41))</f>
        <v>0</v>
      </c>
      <c r="AS41">
        <f>IF(OR(AQ41="",AR41=""),"",(AQ41+AR41)/2)</f>
        <v>0</v>
      </c>
      <c r="AT41">
        <f>IF(COUNT($G$22:$G$41)&lt;20,"",STDEV($G$22:$G$41)*SQRT(52))</f>
        <v>0</v>
      </c>
      <c r="AU41">
        <f>IF(COUNT($E$2:$E41)&lt;9,"",(MAX($C$33:$C$41)+MIN($D$33:$D$41))/2)</f>
        <v>0</v>
      </c>
      <c r="AV41">
        <f>IF(COUNT($E$2:$E41)&lt;26,"",(MAX($C$16:$C$41)+MIN($D$16:$D$41))/2)</f>
        <v>0</v>
      </c>
      <c r="AW41">
        <f>IF(OR(AU41="",AV41=""),"",(AU41+AV41)/2)</f>
        <v>0</v>
      </c>
      <c r="AX41">
        <f>IF(COUNT($E$2:$E41)&lt;52,"",(MAX($C$2:$C$41)+MIN($D$2:$D$41))/2)</f>
        <v>0</v>
      </c>
      <c r="AY41">
        <f>IF(COUNT($E$2:$E41)&lt;20,"",MAX($C$2:$C$41))</f>
        <v>0</v>
      </c>
      <c r="AZ41">
        <f>IF(COUNT($E$2:$E41)&lt;20,"",MIN($D$2:$D$41))</f>
        <v>0</v>
      </c>
      <c r="BA41">
        <f>IF(COUNT($E$2:$E41)&lt;20,"",SLOPE($E$2:$E$41,$F$2:$F$41))</f>
        <v>0</v>
      </c>
      <c r="BB41">
        <f>IF(COUNT($E$2:$E41)&lt;20,"",INTERCEPT($E$2:$E$41,$F$2:$F$41))</f>
        <v>0</v>
      </c>
      <c r="BC41">
        <f>IF(OR(BA41="",BB41=""),"",BB41+BA41*F41)</f>
        <v>0</v>
      </c>
      <c r="BD41">
        <f>IF(COUNT($E$2:$E41)&lt;20,"",STEYX($E$2:$E$41,$F$2:$F$41))</f>
        <v>0</v>
      </c>
      <c r="BE41">
        <f>IF($E41="","",IF(AND(COUNT($E$42:$E$45)&gt;=4,$C41=MAX($C$37:$C$45)),$C41,""))</f>
        <v>0</v>
      </c>
      <c r="BF41">
        <f>IF($E41="","",IF(AND(COUNT($E$42:$E$45)&gt;=4,$D41=MIN($D$37:$D$45)),$D41,""))</f>
        <v>0</v>
      </c>
      <c r="BG41">
        <f>IFERROR(SMALL(Calc_Daily!$BM$2:$BM$2001,40),"")</f>
        <v>0</v>
      </c>
    </row>
    <row r="42" spans="1:59">
      <c r="A42" s="27">
        <f>IF($BG42="","",INDEX(Calc_Daily!$A$2:$A$2001,$BG42))</f>
        <v>0</v>
      </c>
      <c r="B42">
        <f>IF($BG42="","",INDEX(Calc_Daily!$BJ$2:$BJ$2001,$BG42))</f>
        <v>0</v>
      </c>
      <c r="C42">
        <f>IF($BG42="","",INDEX(Calc_Daily!$BK$2:$BK$2001,$BG42))</f>
        <v>0</v>
      </c>
      <c r="D42">
        <f>IF($BG42="","",INDEX(Calc_Daily!$BL$2:$BL$2001,$BG42))</f>
        <v>0</v>
      </c>
      <c r="E42">
        <f>IF($BG42="","",INDEX(Calc_Daily!$E$2:$E$2001,$BG42))</f>
        <v>0</v>
      </c>
      <c r="F42">
        <f>IF($E42="","",N(F41)+1)</f>
        <v>0</v>
      </c>
      <c r="G42">
        <f>IF(OR($E42="",$E41=""),"",LN($E42/$E41))</f>
        <v>0</v>
      </c>
      <c r="H42">
        <f>IF($E42="","",IF($E41="",$E42,$E42*0.0952380952+H41*0.9047619048))</f>
        <v>0</v>
      </c>
      <c r="I42">
        <f>IF($E42="","",IF($E41="",$E42,$E42*0.0392156863+I41*0.9607843137))</f>
        <v>0</v>
      </c>
      <c r="J42">
        <f>IF($E42="","",IF($E41="",$E42,$E42*0.0198019802+J41*0.9801980198))</f>
        <v>0</v>
      </c>
      <c r="K42">
        <f>IF($E42="","",IF($E41="",$E42,$E42*0.0099502488+K41*0.9900497512))</f>
        <v>0</v>
      </c>
      <c r="L42">
        <f>IF(OR($E42="",$E41=""),"",MAX($E42-$E41,0))</f>
        <v>0</v>
      </c>
      <c r="M42">
        <f>IF(OR($E42="",$E41=""),"",MAX($E41-$E42,0))</f>
        <v>0</v>
      </c>
      <c r="N42">
        <f>IF(COUNT($E$2:$E42)&lt;15,"",IF(AVERAGE($M$29:$M$42)=0,100,100-100/(1+AVERAGE($L$29:$L$42)/AVERAGE($M$29:$M$42))))</f>
        <v>0</v>
      </c>
      <c r="O42">
        <f>IF($E42="","",IF($E41="",$E42,$E42*0.1538461538+O41*0.8461538462))</f>
        <v>0</v>
      </c>
      <c r="P42">
        <f>IF($E42="","",IF($E41="",$E42,$E42*0.0740740741+P41*0.9259259259))</f>
        <v>0</v>
      </c>
      <c r="Q42">
        <f>IF(OR(O42="",P42=""),"",O42-P42)</f>
        <v>0</v>
      </c>
      <c r="R42">
        <f>IF(Q42="","",IF(R41="",Q42,Q42*0.2000000000+R41*0.8000000000))</f>
        <v>0</v>
      </c>
      <c r="S42">
        <f>IF(OR(Q42="",R42=""),"",Q42-R42)</f>
        <v>0</v>
      </c>
      <c r="T42">
        <f>IF(COUNT($E$2:$E42)&lt;14,"",MAX($C$29:$C$42))</f>
        <v>0</v>
      </c>
      <c r="U42">
        <f>IF(COUNT($E$2:$E42)&lt;14,"",MIN($D$29:$D$42))</f>
        <v>0</v>
      </c>
      <c r="V42">
        <f>IF(OR(T42="",U42="",T42=U42),"",100*($E42-U42)/(T42-U42))</f>
        <v>0</v>
      </c>
      <c r="W42">
        <f>IF(COUNT($V$40:$V$42)&lt;3,"",AVERAGE($V$40:$V$42))</f>
        <v>0</v>
      </c>
      <c r="X42">
        <f>IF(COUNT($N$29:$N$42)&lt;14,"",MIN($N$29:$N$42))</f>
        <v>0</v>
      </c>
      <c r="Y42">
        <f>IF(COUNT($N$29:$N$42)&lt;14,"",MAX($N$29:$N$42))</f>
        <v>0</v>
      </c>
      <c r="Z42">
        <f>IF(OR(N42="",X42="",Y42="",Y42=X42),"",100*(N42-X42)/(Y42-X42))</f>
        <v>0</v>
      </c>
      <c r="AA42">
        <f>IF(COUNT($Z$40:$Z$42)&lt;3,"",AVERAGE($Z$40:$Z$42))</f>
        <v>0</v>
      </c>
      <c r="AB42">
        <f>IF(COUNT($AA$40:$AA$42)&lt;3,"",AVERAGE($AA$40:$AA$42))</f>
        <v>0</v>
      </c>
      <c r="AC42">
        <f>IF($E42="","",MAX($C42-$D42,ABS($C42-$E41),ABS($D42-$E41)))</f>
        <v>0</v>
      </c>
      <c r="AD42">
        <f>IF(COUNT($E$2:$E42)&lt;15,"",AVERAGE($AC$29:$AC$42))</f>
        <v>0</v>
      </c>
      <c r="AE42">
        <f>IF(OR($E42="",$E41=""),"",IF(AND(($C42-$C41)&gt;($D41-$D42),($C42-$C41)&gt;0),$C42-$C41,0))</f>
        <v>0</v>
      </c>
      <c r="AF42">
        <f>IF(OR($E42="",$E41=""),"",IF(AND(($D41-$D42)&gt;($C42-$C41),($D41-$D42)&gt;0),$D41-$D42,0))</f>
        <v>0</v>
      </c>
      <c r="AG42">
        <f>IF(COUNT($E$2:$E42)&lt;15,"",IF(SUM($AC$29:$AC$42)=0,0,100*SUM($AE$29:$AE$42)/SUM($AC$29:$AC$42)))</f>
        <v>0</v>
      </c>
      <c r="AH42">
        <f>IF(COUNT($E$2:$E42)&lt;15,"",IF(SUM($AC$29:$AC$42)=0,0,100*SUM($AF$29:$AF$42)/SUM($AC$29:$AC$42)))</f>
        <v>0</v>
      </c>
      <c r="AI42">
        <f>IF(OR(AG42="",AH42=""),"",IF((AG42+AH42)=0,0,100*ABS(AG42-AH42)/(AG42+AH42)))</f>
        <v>0</v>
      </c>
      <c r="AJ42">
        <f>IF(COUNT($AI$29:$AI$42)&lt;14,"",AVERAGE($AI$29:$AI$42))</f>
        <v>0</v>
      </c>
      <c r="AK42">
        <f>IF(COUNT($E$2:$E42)&lt;20,"",AVERAGE($E$23:$E$42))</f>
        <v>0</v>
      </c>
      <c r="AL42">
        <f>IF(COUNT($E$2:$E42)&lt;20,"",STDEVP($E$23:$E$42))</f>
        <v>0</v>
      </c>
      <c r="AM42">
        <f>IF(AK42="","",AK42+2*AL42)</f>
        <v>0</v>
      </c>
      <c r="AN42">
        <f>IF(AK42="","",AK42-2*AL42)</f>
        <v>0</v>
      </c>
      <c r="AO42">
        <f>IF(OR(AM42="",AN42="",AM42=AN42),"",($E42-AN42)/(AM42-AN42))</f>
        <v>0</v>
      </c>
      <c r="AP42">
        <f>IF(OR(AM42="",AK42="",AK42=0),"",(AM42-AN42)/AK42)</f>
        <v>0</v>
      </c>
      <c r="AQ42">
        <f>IF(COUNT($E$2:$E42)&lt;20,"",MAX($C$23:$C$42))</f>
        <v>0</v>
      </c>
      <c r="AR42">
        <f>IF(COUNT($E$2:$E42)&lt;20,"",MIN($D$23:$D$42))</f>
        <v>0</v>
      </c>
      <c r="AS42">
        <f>IF(OR(AQ42="",AR42=""),"",(AQ42+AR42)/2)</f>
        <v>0</v>
      </c>
      <c r="AT42">
        <f>IF(COUNT($G$23:$G$42)&lt;20,"",STDEV($G$23:$G$42)*SQRT(52))</f>
        <v>0</v>
      </c>
      <c r="AU42">
        <f>IF(COUNT($E$2:$E42)&lt;9,"",(MAX($C$34:$C$42)+MIN($D$34:$D$42))/2)</f>
        <v>0</v>
      </c>
      <c r="AV42">
        <f>IF(COUNT($E$2:$E42)&lt;26,"",(MAX($C$17:$C$42)+MIN($D$17:$D$42))/2)</f>
        <v>0</v>
      </c>
      <c r="AW42">
        <f>IF(OR(AU42="",AV42=""),"",(AU42+AV42)/2)</f>
        <v>0</v>
      </c>
      <c r="AX42">
        <f>IF(COUNT($E$2:$E42)&lt;52,"",(MAX($C$2:$C$42)+MIN($D$2:$D$42))/2)</f>
        <v>0</v>
      </c>
      <c r="AY42">
        <f>IF(COUNT($E$2:$E42)&lt;20,"",MAX($C$2:$C$42))</f>
        <v>0</v>
      </c>
      <c r="AZ42">
        <f>IF(COUNT($E$2:$E42)&lt;20,"",MIN($D$2:$D$42))</f>
        <v>0</v>
      </c>
      <c r="BA42">
        <f>IF(COUNT($E$2:$E42)&lt;20,"",SLOPE($E$2:$E$42,$F$2:$F$42))</f>
        <v>0</v>
      </c>
      <c r="BB42">
        <f>IF(COUNT($E$2:$E42)&lt;20,"",INTERCEPT($E$2:$E$42,$F$2:$F$42))</f>
        <v>0</v>
      </c>
      <c r="BC42">
        <f>IF(OR(BA42="",BB42=""),"",BB42+BA42*F42)</f>
        <v>0</v>
      </c>
      <c r="BD42">
        <f>IF(COUNT($E$2:$E42)&lt;20,"",STEYX($E$2:$E$42,$F$2:$F$42))</f>
        <v>0</v>
      </c>
      <c r="BE42">
        <f>IF($E42="","",IF(AND(COUNT($E$43:$E$46)&gt;=4,$C42=MAX($C$38:$C$46)),$C42,""))</f>
        <v>0</v>
      </c>
      <c r="BF42">
        <f>IF($E42="","",IF(AND(COUNT($E$43:$E$46)&gt;=4,$D42=MIN($D$38:$D$46)),$D42,""))</f>
        <v>0</v>
      </c>
      <c r="BG42">
        <f>IFERROR(SMALL(Calc_Daily!$BM$2:$BM$2001,41),"")</f>
        <v>0</v>
      </c>
    </row>
    <row r="43" spans="1:59">
      <c r="A43" s="27">
        <f>IF($BG43="","",INDEX(Calc_Daily!$A$2:$A$2001,$BG43))</f>
        <v>0</v>
      </c>
      <c r="B43">
        <f>IF($BG43="","",INDEX(Calc_Daily!$BJ$2:$BJ$2001,$BG43))</f>
        <v>0</v>
      </c>
      <c r="C43">
        <f>IF($BG43="","",INDEX(Calc_Daily!$BK$2:$BK$2001,$BG43))</f>
        <v>0</v>
      </c>
      <c r="D43">
        <f>IF($BG43="","",INDEX(Calc_Daily!$BL$2:$BL$2001,$BG43))</f>
        <v>0</v>
      </c>
      <c r="E43">
        <f>IF($BG43="","",INDEX(Calc_Daily!$E$2:$E$2001,$BG43))</f>
        <v>0</v>
      </c>
      <c r="F43">
        <f>IF($E43="","",N(F42)+1)</f>
        <v>0</v>
      </c>
      <c r="G43">
        <f>IF(OR($E43="",$E42=""),"",LN($E43/$E42))</f>
        <v>0</v>
      </c>
      <c r="H43">
        <f>IF($E43="","",IF($E42="",$E43,$E43*0.0952380952+H42*0.9047619048))</f>
        <v>0</v>
      </c>
      <c r="I43">
        <f>IF($E43="","",IF($E42="",$E43,$E43*0.0392156863+I42*0.9607843137))</f>
        <v>0</v>
      </c>
      <c r="J43">
        <f>IF($E43="","",IF($E42="",$E43,$E43*0.0198019802+J42*0.9801980198))</f>
        <v>0</v>
      </c>
      <c r="K43">
        <f>IF($E43="","",IF($E42="",$E43,$E43*0.0099502488+K42*0.9900497512))</f>
        <v>0</v>
      </c>
      <c r="L43">
        <f>IF(OR($E43="",$E42=""),"",MAX($E43-$E42,0))</f>
        <v>0</v>
      </c>
      <c r="M43">
        <f>IF(OR($E43="",$E42=""),"",MAX($E42-$E43,0))</f>
        <v>0</v>
      </c>
      <c r="N43">
        <f>IF(COUNT($E$2:$E43)&lt;15,"",IF(AVERAGE($M$30:$M$43)=0,100,100-100/(1+AVERAGE($L$30:$L$43)/AVERAGE($M$30:$M$43))))</f>
        <v>0</v>
      </c>
      <c r="O43">
        <f>IF($E43="","",IF($E42="",$E43,$E43*0.1538461538+O42*0.8461538462))</f>
        <v>0</v>
      </c>
      <c r="P43">
        <f>IF($E43="","",IF($E42="",$E43,$E43*0.0740740741+P42*0.9259259259))</f>
        <v>0</v>
      </c>
      <c r="Q43">
        <f>IF(OR(O43="",P43=""),"",O43-P43)</f>
        <v>0</v>
      </c>
      <c r="R43">
        <f>IF(Q43="","",IF(R42="",Q43,Q43*0.2000000000+R42*0.8000000000))</f>
        <v>0</v>
      </c>
      <c r="S43">
        <f>IF(OR(Q43="",R43=""),"",Q43-R43)</f>
        <v>0</v>
      </c>
      <c r="T43">
        <f>IF(COUNT($E$2:$E43)&lt;14,"",MAX($C$30:$C$43))</f>
        <v>0</v>
      </c>
      <c r="U43">
        <f>IF(COUNT($E$2:$E43)&lt;14,"",MIN($D$30:$D$43))</f>
        <v>0</v>
      </c>
      <c r="V43">
        <f>IF(OR(T43="",U43="",T43=U43),"",100*($E43-U43)/(T43-U43))</f>
        <v>0</v>
      </c>
      <c r="W43">
        <f>IF(COUNT($V$41:$V$43)&lt;3,"",AVERAGE($V$41:$V$43))</f>
        <v>0</v>
      </c>
      <c r="X43">
        <f>IF(COUNT($N$30:$N$43)&lt;14,"",MIN($N$30:$N$43))</f>
        <v>0</v>
      </c>
      <c r="Y43">
        <f>IF(COUNT($N$30:$N$43)&lt;14,"",MAX($N$30:$N$43))</f>
        <v>0</v>
      </c>
      <c r="Z43">
        <f>IF(OR(N43="",X43="",Y43="",Y43=X43),"",100*(N43-X43)/(Y43-X43))</f>
        <v>0</v>
      </c>
      <c r="AA43">
        <f>IF(COUNT($Z$41:$Z$43)&lt;3,"",AVERAGE($Z$41:$Z$43))</f>
        <v>0</v>
      </c>
      <c r="AB43">
        <f>IF(COUNT($AA$41:$AA$43)&lt;3,"",AVERAGE($AA$41:$AA$43))</f>
        <v>0</v>
      </c>
      <c r="AC43">
        <f>IF($E43="","",MAX($C43-$D43,ABS($C43-$E42),ABS($D43-$E42)))</f>
        <v>0</v>
      </c>
      <c r="AD43">
        <f>IF(COUNT($E$2:$E43)&lt;15,"",AVERAGE($AC$30:$AC$43))</f>
        <v>0</v>
      </c>
      <c r="AE43">
        <f>IF(OR($E43="",$E42=""),"",IF(AND(($C43-$C42)&gt;($D42-$D43),($C43-$C42)&gt;0),$C43-$C42,0))</f>
        <v>0</v>
      </c>
      <c r="AF43">
        <f>IF(OR($E43="",$E42=""),"",IF(AND(($D42-$D43)&gt;($C43-$C42),($D42-$D43)&gt;0),$D42-$D43,0))</f>
        <v>0</v>
      </c>
      <c r="AG43">
        <f>IF(COUNT($E$2:$E43)&lt;15,"",IF(SUM($AC$30:$AC$43)=0,0,100*SUM($AE$30:$AE$43)/SUM($AC$30:$AC$43)))</f>
        <v>0</v>
      </c>
      <c r="AH43">
        <f>IF(COUNT($E$2:$E43)&lt;15,"",IF(SUM($AC$30:$AC$43)=0,0,100*SUM($AF$30:$AF$43)/SUM($AC$30:$AC$43)))</f>
        <v>0</v>
      </c>
      <c r="AI43">
        <f>IF(OR(AG43="",AH43=""),"",IF((AG43+AH43)=0,0,100*ABS(AG43-AH43)/(AG43+AH43)))</f>
        <v>0</v>
      </c>
      <c r="AJ43">
        <f>IF(COUNT($AI$30:$AI$43)&lt;14,"",AVERAGE($AI$30:$AI$43))</f>
        <v>0</v>
      </c>
      <c r="AK43">
        <f>IF(COUNT($E$2:$E43)&lt;20,"",AVERAGE($E$24:$E$43))</f>
        <v>0</v>
      </c>
      <c r="AL43">
        <f>IF(COUNT($E$2:$E43)&lt;20,"",STDEVP($E$24:$E$43))</f>
        <v>0</v>
      </c>
      <c r="AM43">
        <f>IF(AK43="","",AK43+2*AL43)</f>
        <v>0</v>
      </c>
      <c r="AN43">
        <f>IF(AK43="","",AK43-2*AL43)</f>
        <v>0</v>
      </c>
      <c r="AO43">
        <f>IF(OR(AM43="",AN43="",AM43=AN43),"",($E43-AN43)/(AM43-AN43))</f>
        <v>0</v>
      </c>
      <c r="AP43">
        <f>IF(OR(AM43="",AK43="",AK43=0),"",(AM43-AN43)/AK43)</f>
        <v>0</v>
      </c>
      <c r="AQ43">
        <f>IF(COUNT($E$2:$E43)&lt;20,"",MAX($C$24:$C$43))</f>
        <v>0</v>
      </c>
      <c r="AR43">
        <f>IF(COUNT($E$2:$E43)&lt;20,"",MIN($D$24:$D$43))</f>
        <v>0</v>
      </c>
      <c r="AS43">
        <f>IF(OR(AQ43="",AR43=""),"",(AQ43+AR43)/2)</f>
        <v>0</v>
      </c>
      <c r="AT43">
        <f>IF(COUNT($G$24:$G$43)&lt;20,"",STDEV($G$24:$G$43)*SQRT(52))</f>
        <v>0</v>
      </c>
      <c r="AU43">
        <f>IF(COUNT($E$2:$E43)&lt;9,"",(MAX($C$35:$C$43)+MIN($D$35:$D$43))/2)</f>
        <v>0</v>
      </c>
      <c r="AV43">
        <f>IF(COUNT($E$2:$E43)&lt;26,"",(MAX($C$18:$C$43)+MIN($D$18:$D$43))/2)</f>
        <v>0</v>
      </c>
      <c r="AW43">
        <f>IF(OR(AU43="",AV43=""),"",(AU43+AV43)/2)</f>
        <v>0</v>
      </c>
      <c r="AX43">
        <f>IF(COUNT($E$2:$E43)&lt;52,"",(MAX($C$2:$C$43)+MIN($D$2:$D$43))/2)</f>
        <v>0</v>
      </c>
      <c r="AY43">
        <f>IF(COUNT($E$2:$E43)&lt;20,"",MAX($C$2:$C$43))</f>
        <v>0</v>
      </c>
      <c r="AZ43">
        <f>IF(COUNT($E$2:$E43)&lt;20,"",MIN($D$2:$D$43))</f>
        <v>0</v>
      </c>
      <c r="BA43">
        <f>IF(COUNT($E$2:$E43)&lt;20,"",SLOPE($E$2:$E$43,$F$2:$F$43))</f>
        <v>0</v>
      </c>
      <c r="BB43">
        <f>IF(COUNT($E$2:$E43)&lt;20,"",INTERCEPT($E$2:$E$43,$F$2:$F$43))</f>
        <v>0</v>
      </c>
      <c r="BC43">
        <f>IF(OR(BA43="",BB43=""),"",BB43+BA43*F43)</f>
        <v>0</v>
      </c>
      <c r="BD43">
        <f>IF(COUNT($E$2:$E43)&lt;20,"",STEYX($E$2:$E$43,$F$2:$F$43))</f>
        <v>0</v>
      </c>
      <c r="BE43">
        <f>IF($E43="","",IF(AND(COUNT($E$44:$E$47)&gt;=4,$C43=MAX($C$39:$C$47)),$C43,""))</f>
        <v>0</v>
      </c>
      <c r="BF43">
        <f>IF($E43="","",IF(AND(COUNT($E$44:$E$47)&gt;=4,$D43=MIN($D$39:$D$47)),$D43,""))</f>
        <v>0</v>
      </c>
      <c r="BG43">
        <f>IFERROR(SMALL(Calc_Daily!$BM$2:$BM$2001,42),"")</f>
        <v>0</v>
      </c>
    </row>
    <row r="44" spans="1:59">
      <c r="A44" s="27">
        <f>IF($BG44="","",INDEX(Calc_Daily!$A$2:$A$2001,$BG44))</f>
        <v>0</v>
      </c>
      <c r="B44">
        <f>IF($BG44="","",INDEX(Calc_Daily!$BJ$2:$BJ$2001,$BG44))</f>
        <v>0</v>
      </c>
      <c r="C44">
        <f>IF($BG44="","",INDEX(Calc_Daily!$BK$2:$BK$2001,$BG44))</f>
        <v>0</v>
      </c>
      <c r="D44">
        <f>IF($BG44="","",INDEX(Calc_Daily!$BL$2:$BL$2001,$BG44))</f>
        <v>0</v>
      </c>
      <c r="E44">
        <f>IF($BG44="","",INDEX(Calc_Daily!$E$2:$E$2001,$BG44))</f>
        <v>0</v>
      </c>
      <c r="F44">
        <f>IF($E44="","",N(F43)+1)</f>
        <v>0</v>
      </c>
      <c r="G44">
        <f>IF(OR($E44="",$E43=""),"",LN($E44/$E43))</f>
        <v>0</v>
      </c>
      <c r="H44">
        <f>IF($E44="","",IF($E43="",$E44,$E44*0.0952380952+H43*0.9047619048))</f>
        <v>0</v>
      </c>
      <c r="I44">
        <f>IF($E44="","",IF($E43="",$E44,$E44*0.0392156863+I43*0.9607843137))</f>
        <v>0</v>
      </c>
      <c r="J44">
        <f>IF($E44="","",IF($E43="",$E44,$E44*0.0198019802+J43*0.9801980198))</f>
        <v>0</v>
      </c>
      <c r="K44">
        <f>IF($E44="","",IF($E43="",$E44,$E44*0.0099502488+K43*0.9900497512))</f>
        <v>0</v>
      </c>
      <c r="L44">
        <f>IF(OR($E44="",$E43=""),"",MAX($E44-$E43,0))</f>
        <v>0</v>
      </c>
      <c r="M44">
        <f>IF(OR($E44="",$E43=""),"",MAX($E43-$E44,0))</f>
        <v>0</v>
      </c>
      <c r="N44">
        <f>IF(COUNT($E$2:$E44)&lt;15,"",IF(AVERAGE($M$31:$M$44)=0,100,100-100/(1+AVERAGE($L$31:$L$44)/AVERAGE($M$31:$M$44))))</f>
        <v>0</v>
      </c>
      <c r="O44">
        <f>IF($E44="","",IF($E43="",$E44,$E44*0.1538461538+O43*0.8461538462))</f>
        <v>0</v>
      </c>
      <c r="P44">
        <f>IF($E44="","",IF($E43="",$E44,$E44*0.0740740741+P43*0.9259259259))</f>
        <v>0</v>
      </c>
      <c r="Q44">
        <f>IF(OR(O44="",P44=""),"",O44-P44)</f>
        <v>0</v>
      </c>
      <c r="R44">
        <f>IF(Q44="","",IF(R43="",Q44,Q44*0.2000000000+R43*0.8000000000))</f>
        <v>0</v>
      </c>
      <c r="S44">
        <f>IF(OR(Q44="",R44=""),"",Q44-R44)</f>
        <v>0</v>
      </c>
      <c r="T44">
        <f>IF(COUNT($E$2:$E44)&lt;14,"",MAX($C$31:$C$44))</f>
        <v>0</v>
      </c>
      <c r="U44">
        <f>IF(COUNT($E$2:$E44)&lt;14,"",MIN($D$31:$D$44))</f>
        <v>0</v>
      </c>
      <c r="V44">
        <f>IF(OR(T44="",U44="",T44=U44),"",100*($E44-U44)/(T44-U44))</f>
        <v>0</v>
      </c>
      <c r="W44">
        <f>IF(COUNT($V$42:$V$44)&lt;3,"",AVERAGE($V$42:$V$44))</f>
        <v>0</v>
      </c>
      <c r="X44">
        <f>IF(COUNT($N$31:$N$44)&lt;14,"",MIN($N$31:$N$44))</f>
        <v>0</v>
      </c>
      <c r="Y44">
        <f>IF(COUNT($N$31:$N$44)&lt;14,"",MAX($N$31:$N$44))</f>
        <v>0</v>
      </c>
      <c r="Z44">
        <f>IF(OR(N44="",X44="",Y44="",Y44=X44),"",100*(N44-X44)/(Y44-X44))</f>
        <v>0</v>
      </c>
      <c r="AA44">
        <f>IF(COUNT($Z$42:$Z$44)&lt;3,"",AVERAGE($Z$42:$Z$44))</f>
        <v>0</v>
      </c>
      <c r="AB44">
        <f>IF(COUNT($AA$42:$AA$44)&lt;3,"",AVERAGE($AA$42:$AA$44))</f>
        <v>0</v>
      </c>
      <c r="AC44">
        <f>IF($E44="","",MAX($C44-$D44,ABS($C44-$E43),ABS($D44-$E43)))</f>
        <v>0</v>
      </c>
      <c r="AD44">
        <f>IF(COUNT($E$2:$E44)&lt;15,"",AVERAGE($AC$31:$AC$44))</f>
        <v>0</v>
      </c>
      <c r="AE44">
        <f>IF(OR($E44="",$E43=""),"",IF(AND(($C44-$C43)&gt;($D43-$D44),($C44-$C43)&gt;0),$C44-$C43,0))</f>
        <v>0</v>
      </c>
      <c r="AF44">
        <f>IF(OR($E44="",$E43=""),"",IF(AND(($D43-$D44)&gt;($C44-$C43),($D43-$D44)&gt;0),$D43-$D44,0))</f>
        <v>0</v>
      </c>
      <c r="AG44">
        <f>IF(COUNT($E$2:$E44)&lt;15,"",IF(SUM($AC$31:$AC$44)=0,0,100*SUM($AE$31:$AE$44)/SUM($AC$31:$AC$44)))</f>
        <v>0</v>
      </c>
      <c r="AH44">
        <f>IF(COUNT($E$2:$E44)&lt;15,"",IF(SUM($AC$31:$AC$44)=0,0,100*SUM($AF$31:$AF$44)/SUM($AC$31:$AC$44)))</f>
        <v>0</v>
      </c>
      <c r="AI44">
        <f>IF(OR(AG44="",AH44=""),"",IF((AG44+AH44)=0,0,100*ABS(AG44-AH44)/(AG44+AH44)))</f>
        <v>0</v>
      </c>
      <c r="AJ44">
        <f>IF(COUNT($AI$31:$AI$44)&lt;14,"",AVERAGE($AI$31:$AI$44))</f>
        <v>0</v>
      </c>
      <c r="AK44">
        <f>IF(COUNT($E$2:$E44)&lt;20,"",AVERAGE($E$25:$E$44))</f>
        <v>0</v>
      </c>
      <c r="AL44">
        <f>IF(COUNT($E$2:$E44)&lt;20,"",STDEVP($E$25:$E$44))</f>
        <v>0</v>
      </c>
      <c r="AM44">
        <f>IF(AK44="","",AK44+2*AL44)</f>
        <v>0</v>
      </c>
      <c r="AN44">
        <f>IF(AK44="","",AK44-2*AL44)</f>
        <v>0</v>
      </c>
      <c r="AO44">
        <f>IF(OR(AM44="",AN44="",AM44=AN44),"",($E44-AN44)/(AM44-AN44))</f>
        <v>0</v>
      </c>
      <c r="AP44">
        <f>IF(OR(AM44="",AK44="",AK44=0),"",(AM44-AN44)/AK44)</f>
        <v>0</v>
      </c>
      <c r="AQ44">
        <f>IF(COUNT($E$2:$E44)&lt;20,"",MAX($C$25:$C$44))</f>
        <v>0</v>
      </c>
      <c r="AR44">
        <f>IF(COUNT($E$2:$E44)&lt;20,"",MIN($D$25:$D$44))</f>
        <v>0</v>
      </c>
      <c r="AS44">
        <f>IF(OR(AQ44="",AR44=""),"",(AQ44+AR44)/2)</f>
        <v>0</v>
      </c>
      <c r="AT44">
        <f>IF(COUNT($G$25:$G$44)&lt;20,"",STDEV($G$25:$G$44)*SQRT(52))</f>
        <v>0</v>
      </c>
      <c r="AU44">
        <f>IF(COUNT($E$2:$E44)&lt;9,"",(MAX($C$36:$C$44)+MIN($D$36:$D$44))/2)</f>
        <v>0</v>
      </c>
      <c r="AV44">
        <f>IF(COUNT($E$2:$E44)&lt;26,"",(MAX($C$19:$C$44)+MIN($D$19:$D$44))/2)</f>
        <v>0</v>
      </c>
      <c r="AW44">
        <f>IF(OR(AU44="",AV44=""),"",(AU44+AV44)/2)</f>
        <v>0</v>
      </c>
      <c r="AX44">
        <f>IF(COUNT($E$2:$E44)&lt;52,"",(MAX($C$2:$C$44)+MIN($D$2:$D$44))/2)</f>
        <v>0</v>
      </c>
      <c r="AY44">
        <f>IF(COUNT($E$2:$E44)&lt;20,"",MAX($C$2:$C$44))</f>
        <v>0</v>
      </c>
      <c r="AZ44">
        <f>IF(COUNT($E$2:$E44)&lt;20,"",MIN($D$2:$D$44))</f>
        <v>0</v>
      </c>
      <c r="BA44">
        <f>IF(COUNT($E$2:$E44)&lt;20,"",SLOPE($E$2:$E$44,$F$2:$F$44))</f>
        <v>0</v>
      </c>
      <c r="BB44">
        <f>IF(COUNT($E$2:$E44)&lt;20,"",INTERCEPT($E$2:$E$44,$F$2:$F$44))</f>
        <v>0</v>
      </c>
      <c r="BC44">
        <f>IF(OR(BA44="",BB44=""),"",BB44+BA44*F44)</f>
        <v>0</v>
      </c>
      <c r="BD44">
        <f>IF(COUNT($E$2:$E44)&lt;20,"",STEYX($E$2:$E$44,$F$2:$F$44))</f>
        <v>0</v>
      </c>
      <c r="BE44">
        <f>IF($E44="","",IF(AND(COUNT($E$45:$E$48)&gt;=4,$C44=MAX($C$40:$C$48)),$C44,""))</f>
        <v>0</v>
      </c>
      <c r="BF44">
        <f>IF($E44="","",IF(AND(COUNT($E$45:$E$48)&gt;=4,$D44=MIN($D$40:$D$48)),$D44,""))</f>
        <v>0</v>
      </c>
      <c r="BG44">
        <f>IFERROR(SMALL(Calc_Daily!$BM$2:$BM$2001,43),"")</f>
        <v>0</v>
      </c>
    </row>
    <row r="45" spans="1:59">
      <c r="A45" s="27">
        <f>IF($BG45="","",INDEX(Calc_Daily!$A$2:$A$2001,$BG45))</f>
        <v>0</v>
      </c>
      <c r="B45">
        <f>IF($BG45="","",INDEX(Calc_Daily!$BJ$2:$BJ$2001,$BG45))</f>
        <v>0</v>
      </c>
      <c r="C45">
        <f>IF($BG45="","",INDEX(Calc_Daily!$BK$2:$BK$2001,$BG45))</f>
        <v>0</v>
      </c>
      <c r="D45">
        <f>IF($BG45="","",INDEX(Calc_Daily!$BL$2:$BL$2001,$BG45))</f>
        <v>0</v>
      </c>
      <c r="E45">
        <f>IF($BG45="","",INDEX(Calc_Daily!$E$2:$E$2001,$BG45))</f>
        <v>0</v>
      </c>
      <c r="F45">
        <f>IF($E45="","",N(F44)+1)</f>
        <v>0</v>
      </c>
      <c r="G45">
        <f>IF(OR($E45="",$E44=""),"",LN($E45/$E44))</f>
        <v>0</v>
      </c>
      <c r="H45">
        <f>IF($E45="","",IF($E44="",$E45,$E45*0.0952380952+H44*0.9047619048))</f>
        <v>0</v>
      </c>
      <c r="I45">
        <f>IF($E45="","",IF($E44="",$E45,$E45*0.0392156863+I44*0.9607843137))</f>
        <v>0</v>
      </c>
      <c r="J45">
        <f>IF($E45="","",IF($E44="",$E45,$E45*0.0198019802+J44*0.9801980198))</f>
        <v>0</v>
      </c>
      <c r="K45">
        <f>IF($E45="","",IF($E44="",$E45,$E45*0.0099502488+K44*0.9900497512))</f>
        <v>0</v>
      </c>
      <c r="L45">
        <f>IF(OR($E45="",$E44=""),"",MAX($E45-$E44,0))</f>
        <v>0</v>
      </c>
      <c r="M45">
        <f>IF(OR($E45="",$E44=""),"",MAX($E44-$E45,0))</f>
        <v>0</v>
      </c>
      <c r="N45">
        <f>IF(COUNT($E$2:$E45)&lt;15,"",IF(AVERAGE($M$32:$M$45)=0,100,100-100/(1+AVERAGE($L$32:$L$45)/AVERAGE($M$32:$M$45))))</f>
        <v>0</v>
      </c>
      <c r="O45">
        <f>IF($E45="","",IF($E44="",$E45,$E45*0.1538461538+O44*0.8461538462))</f>
        <v>0</v>
      </c>
      <c r="P45">
        <f>IF($E45="","",IF($E44="",$E45,$E45*0.0740740741+P44*0.9259259259))</f>
        <v>0</v>
      </c>
      <c r="Q45">
        <f>IF(OR(O45="",P45=""),"",O45-P45)</f>
        <v>0</v>
      </c>
      <c r="R45">
        <f>IF(Q45="","",IF(R44="",Q45,Q45*0.2000000000+R44*0.8000000000))</f>
        <v>0</v>
      </c>
      <c r="S45">
        <f>IF(OR(Q45="",R45=""),"",Q45-R45)</f>
        <v>0</v>
      </c>
      <c r="T45">
        <f>IF(COUNT($E$2:$E45)&lt;14,"",MAX($C$32:$C$45))</f>
        <v>0</v>
      </c>
      <c r="U45">
        <f>IF(COUNT($E$2:$E45)&lt;14,"",MIN($D$32:$D$45))</f>
        <v>0</v>
      </c>
      <c r="V45">
        <f>IF(OR(T45="",U45="",T45=U45),"",100*($E45-U45)/(T45-U45))</f>
        <v>0</v>
      </c>
      <c r="W45">
        <f>IF(COUNT($V$43:$V$45)&lt;3,"",AVERAGE($V$43:$V$45))</f>
        <v>0</v>
      </c>
      <c r="X45">
        <f>IF(COUNT($N$32:$N$45)&lt;14,"",MIN($N$32:$N$45))</f>
        <v>0</v>
      </c>
      <c r="Y45">
        <f>IF(COUNT($N$32:$N$45)&lt;14,"",MAX($N$32:$N$45))</f>
        <v>0</v>
      </c>
      <c r="Z45">
        <f>IF(OR(N45="",X45="",Y45="",Y45=X45),"",100*(N45-X45)/(Y45-X45))</f>
        <v>0</v>
      </c>
      <c r="AA45">
        <f>IF(COUNT($Z$43:$Z$45)&lt;3,"",AVERAGE($Z$43:$Z$45))</f>
        <v>0</v>
      </c>
      <c r="AB45">
        <f>IF(COUNT($AA$43:$AA$45)&lt;3,"",AVERAGE($AA$43:$AA$45))</f>
        <v>0</v>
      </c>
      <c r="AC45">
        <f>IF($E45="","",MAX($C45-$D45,ABS($C45-$E44),ABS($D45-$E44)))</f>
        <v>0</v>
      </c>
      <c r="AD45">
        <f>IF(COUNT($E$2:$E45)&lt;15,"",AVERAGE($AC$32:$AC$45))</f>
        <v>0</v>
      </c>
      <c r="AE45">
        <f>IF(OR($E45="",$E44=""),"",IF(AND(($C45-$C44)&gt;($D44-$D45),($C45-$C44)&gt;0),$C45-$C44,0))</f>
        <v>0</v>
      </c>
      <c r="AF45">
        <f>IF(OR($E45="",$E44=""),"",IF(AND(($D44-$D45)&gt;($C45-$C44),($D44-$D45)&gt;0),$D44-$D45,0))</f>
        <v>0</v>
      </c>
      <c r="AG45">
        <f>IF(COUNT($E$2:$E45)&lt;15,"",IF(SUM($AC$32:$AC$45)=0,0,100*SUM($AE$32:$AE$45)/SUM($AC$32:$AC$45)))</f>
        <v>0</v>
      </c>
      <c r="AH45">
        <f>IF(COUNT($E$2:$E45)&lt;15,"",IF(SUM($AC$32:$AC$45)=0,0,100*SUM($AF$32:$AF$45)/SUM($AC$32:$AC$45)))</f>
        <v>0</v>
      </c>
      <c r="AI45">
        <f>IF(OR(AG45="",AH45=""),"",IF((AG45+AH45)=0,0,100*ABS(AG45-AH45)/(AG45+AH45)))</f>
        <v>0</v>
      </c>
      <c r="AJ45">
        <f>IF(COUNT($AI$32:$AI$45)&lt;14,"",AVERAGE($AI$32:$AI$45))</f>
        <v>0</v>
      </c>
      <c r="AK45">
        <f>IF(COUNT($E$2:$E45)&lt;20,"",AVERAGE($E$26:$E$45))</f>
        <v>0</v>
      </c>
      <c r="AL45">
        <f>IF(COUNT($E$2:$E45)&lt;20,"",STDEVP($E$26:$E$45))</f>
        <v>0</v>
      </c>
      <c r="AM45">
        <f>IF(AK45="","",AK45+2*AL45)</f>
        <v>0</v>
      </c>
      <c r="AN45">
        <f>IF(AK45="","",AK45-2*AL45)</f>
        <v>0</v>
      </c>
      <c r="AO45">
        <f>IF(OR(AM45="",AN45="",AM45=AN45),"",($E45-AN45)/(AM45-AN45))</f>
        <v>0</v>
      </c>
      <c r="AP45">
        <f>IF(OR(AM45="",AK45="",AK45=0),"",(AM45-AN45)/AK45)</f>
        <v>0</v>
      </c>
      <c r="AQ45">
        <f>IF(COUNT($E$2:$E45)&lt;20,"",MAX($C$26:$C$45))</f>
        <v>0</v>
      </c>
      <c r="AR45">
        <f>IF(COUNT($E$2:$E45)&lt;20,"",MIN($D$26:$D$45))</f>
        <v>0</v>
      </c>
      <c r="AS45">
        <f>IF(OR(AQ45="",AR45=""),"",(AQ45+AR45)/2)</f>
        <v>0</v>
      </c>
      <c r="AT45">
        <f>IF(COUNT($G$26:$G$45)&lt;20,"",STDEV($G$26:$G$45)*SQRT(52))</f>
        <v>0</v>
      </c>
      <c r="AU45">
        <f>IF(COUNT($E$2:$E45)&lt;9,"",(MAX($C$37:$C$45)+MIN($D$37:$D$45))/2)</f>
        <v>0</v>
      </c>
      <c r="AV45">
        <f>IF(COUNT($E$2:$E45)&lt;26,"",(MAX($C$20:$C$45)+MIN($D$20:$D$45))/2)</f>
        <v>0</v>
      </c>
      <c r="AW45">
        <f>IF(OR(AU45="",AV45=""),"",(AU45+AV45)/2)</f>
        <v>0</v>
      </c>
      <c r="AX45">
        <f>IF(COUNT($E$2:$E45)&lt;52,"",(MAX($C$2:$C$45)+MIN($D$2:$D$45))/2)</f>
        <v>0</v>
      </c>
      <c r="AY45">
        <f>IF(COUNT($E$2:$E45)&lt;20,"",MAX($C$2:$C$45))</f>
        <v>0</v>
      </c>
      <c r="AZ45">
        <f>IF(COUNT($E$2:$E45)&lt;20,"",MIN($D$2:$D$45))</f>
        <v>0</v>
      </c>
      <c r="BA45">
        <f>IF(COUNT($E$2:$E45)&lt;20,"",SLOPE($E$2:$E$45,$F$2:$F$45))</f>
        <v>0</v>
      </c>
      <c r="BB45">
        <f>IF(COUNT($E$2:$E45)&lt;20,"",INTERCEPT($E$2:$E$45,$F$2:$F$45))</f>
        <v>0</v>
      </c>
      <c r="BC45">
        <f>IF(OR(BA45="",BB45=""),"",BB45+BA45*F45)</f>
        <v>0</v>
      </c>
      <c r="BD45">
        <f>IF(COUNT($E$2:$E45)&lt;20,"",STEYX($E$2:$E$45,$F$2:$F$45))</f>
        <v>0</v>
      </c>
      <c r="BE45">
        <f>IF($E45="","",IF(AND(COUNT($E$46:$E$49)&gt;=4,$C45=MAX($C$41:$C$49)),$C45,""))</f>
        <v>0</v>
      </c>
      <c r="BF45">
        <f>IF($E45="","",IF(AND(COUNT($E$46:$E$49)&gt;=4,$D45=MIN($D$41:$D$49)),$D45,""))</f>
        <v>0</v>
      </c>
      <c r="BG45">
        <f>IFERROR(SMALL(Calc_Daily!$BM$2:$BM$2001,44),"")</f>
        <v>0</v>
      </c>
    </row>
    <row r="46" spans="1:59">
      <c r="A46" s="27">
        <f>IF($BG46="","",INDEX(Calc_Daily!$A$2:$A$2001,$BG46))</f>
        <v>0</v>
      </c>
      <c r="B46">
        <f>IF($BG46="","",INDEX(Calc_Daily!$BJ$2:$BJ$2001,$BG46))</f>
        <v>0</v>
      </c>
      <c r="C46">
        <f>IF($BG46="","",INDEX(Calc_Daily!$BK$2:$BK$2001,$BG46))</f>
        <v>0</v>
      </c>
      <c r="D46">
        <f>IF($BG46="","",INDEX(Calc_Daily!$BL$2:$BL$2001,$BG46))</f>
        <v>0</v>
      </c>
      <c r="E46">
        <f>IF($BG46="","",INDEX(Calc_Daily!$E$2:$E$2001,$BG46))</f>
        <v>0</v>
      </c>
      <c r="F46">
        <f>IF($E46="","",N(F45)+1)</f>
        <v>0</v>
      </c>
      <c r="G46">
        <f>IF(OR($E46="",$E45=""),"",LN($E46/$E45))</f>
        <v>0</v>
      </c>
      <c r="H46">
        <f>IF($E46="","",IF($E45="",$E46,$E46*0.0952380952+H45*0.9047619048))</f>
        <v>0</v>
      </c>
      <c r="I46">
        <f>IF($E46="","",IF($E45="",$E46,$E46*0.0392156863+I45*0.9607843137))</f>
        <v>0</v>
      </c>
      <c r="J46">
        <f>IF($E46="","",IF($E45="",$E46,$E46*0.0198019802+J45*0.9801980198))</f>
        <v>0</v>
      </c>
      <c r="K46">
        <f>IF($E46="","",IF($E45="",$E46,$E46*0.0099502488+K45*0.9900497512))</f>
        <v>0</v>
      </c>
      <c r="L46">
        <f>IF(OR($E46="",$E45=""),"",MAX($E46-$E45,0))</f>
        <v>0</v>
      </c>
      <c r="M46">
        <f>IF(OR($E46="",$E45=""),"",MAX($E45-$E46,0))</f>
        <v>0</v>
      </c>
      <c r="N46">
        <f>IF(COUNT($E$2:$E46)&lt;15,"",IF(AVERAGE($M$33:$M$46)=0,100,100-100/(1+AVERAGE($L$33:$L$46)/AVERAGE($M$33:$M$46))))</f>
        <v>0</v>
      </c>
      <c r="O46">
        <f>IF($E46="","",IF($E45="",$E46,$E46*0.1538461538+O45*0.8461538462))</f>
        <v>0</v>
      </c>
      <c r="P46">
        <f>IF($E46="","",IF($E45="",$E46,$E46*0.0740740741+P45*0.9259259259))</f>
        <v>0</v>
      </c>
      <c r="Q46">
        <f>IF(OR(O46="",P46=""),"",O46-P46)</f>
        <v>0</v>
      </c>
      <c r="R46">
        <f>IF(Q46="","",IF(R45="",Q46,Q46*0.2000000000+R45*0.8000000000))</f>
        <v>0</v>
      </c>
      <c r="S46">
        <f>IF(OR(Q46="",R46=""),"",Q46-R46)</f>
        <v>0</v>
      </c>
      <c r="T46">
        <f>IF(COUNT($E$2:$E46)&lt;14,"",MAX($C$33:$C$46))</f>
        <v>0</v>
      </c>
      <c r="U46">
        <f>IF(COUNT($E$2:$E46)&lt;14,"",MIN($D$33:$D$46))</f>
        <v>0</v>
      </c>
      <c r="V46">
        <f>IF(OR(T46="",U46="",T46=U46),"",100*($E46-U46)/(T46-U46))</f>
        <v>0</v>
      </c>
      <c r="W46">
        <f>IF(COUNT($V$44:$V$46)&lt;3,"",AVERAGE($V$44:$V$46))</f>
        <v>0</v>
      </c>
      <c r="X46">
        <f>IF(COUNT($N$33:$N$46)&lt;14,"",MIN($N$33:$N$46))</f>
        <v>0</v>
      </c>
      <c r="Y46">
        <f>IF(COUNT($N$33:$N$46)&lt;14,"",MAX($N$33:$N$46))</f>
        <v>0</v>
      </c>
      <c r="Z46">
        <f>IF(OR(N46="",X46="",Y46="",Y46=X46),"",100*(N46-X46)/(Y46-X46))</f>
        <v>0</v>
      </c>
      <c r="AA46">
        <f>IF(COUNT($Z$44:$Z$46)&lt;3,"",AVERAGE($Z$44:$Z$46))</f>
        <v>0</v>
      </c>
      <c r="AB46">
        <f>IF(COUNT($AA$44:$AA$46)&lt;3,"",AVERAGE($AA$44:$AA$46))</f>
        <v>0</v>
      </c>
      <c r="AC46">
        <f>IF($E46="","",MAX($C46-$D46,ABS($C46-$E45),ABS($D46-$E45)))</f>
        <v>0</v>
      </c>
      <c r="AD46">
        <f>IF(COUNT($E$2:$E46)&lt;15,"",AVERAGE($AC$33:$AC$46))</f>
        <v>0</v>
      </c>
      <c r="AE46">
        <f>IF(OR($E46="",$E45=""),"",IF(AND(($C46-$C45)&gt;($D45-$D46),($C46-$C45)&gt;0),$C46-$C45,0))</f>
        <v>0</v>
      </c>
      <c r="AF46">
        <f>IF(OR($E46="",$E45=""),"",IF(AND(($D45-$D46)&gt;($C46-$C45),($D45-$D46)&gt;0),$D45-$D46,0))</f>
        <v>0</v>
      </c>
      <c r="AG46">
        <f>IF(COUNT($E$2:$E46)&lt;15,"",IF(SUM($AC$33:$AC$46)=0,0,100*SUM($AE$33:$AE$46)/SUM($AC$33:$AC$46)))</f>
        <v>0</v>
      </c>
      <c r="AH46">
        <f>IF(COUNT($E$2:$E46)&lt;15,"",IF(SUM($AC$33:$AC$46)=0,0,100*SUM($AF$33:$AF$46)/SUM($AC$33:$AC$46)))</f>
        <v>0</v>
      </c>
      <c r="AI46">
        <f>IF(OR(AG46="",AH46=""),"",IF((AG46+AH46)=0,0,100*ABS(AG46-AH46)/(AG46+AH46)))</f>
        <v>0</v>
      </c>
      <c r="AJ46">
        <f>IF(COUNT($AI$33:$AI$46)&lt;14,"",AVERAGE($AI$33:$AI$46))</f>
        <v>0</v>
      </c>
      <c r="AK46">
        <f>IF(COUNT($E$2:$E46)&lt;20,"",AVERAGE($E$27:$E$46))</f>
        <v>0</v>
      </c>
      <c r="AL46">
        <f>IF(COUNT($E$2:$E46)&lt;20,"",STDEVP($E$27:$E$46))</f>
        <v>0</v>
      </c>
      <c r="AM46">
        <f>IF(AK46="","",AK46+2*AL46)</f>
        <v>0</v>
      </c>
      <c r="AN46">
        <f>IF(AK46="","",AK46-2*AL46)</f>
        <v>0</v>
      </c>
      <c r="AO46">
        <f>IF(OR(AM46="",AN46="",AM46=AN46),"",($E46-AN46)/(AM46-AN46))</f>
        <v>0</v>
      </c>
      <c r="AP46">
        <f>IF(OR(AM46="",AK46="",AK46=0),"",(AM46-AN46)/AK46)</f>
        <v>0</v>
      </c>
      <c r="AQ46">
        <f>IF(COUNT($E$2:$E46)&lt;20,"",MAX($C$27:$C$46))</f>
        <v>0</v>
      </c>
      <c r="AR46">
        <f>IF(COUNT($E$2:$E46)&lt;20,"",MIN($D$27:$D$46))</f>
        <v>0</v>
      </c>
      <c r="AS46">
        <f>IF(OR(AQ46="",AR46=""),"",(AQ46+AR46)/2)</f>
        <v>0</v>
      </c>
      <c r="AT46">
        <f>IF(COUNT($G$27:$G$46)&lt;20,"",STDEV($G$27:$G$46)*SQRT(52))</f>
        <v>0</v>
      </c>
      <c r="AU46">
        <f>IF(COUNT($E$2:$E46)&lt;9,"",(MAX($C$38:$C$46)+MIN($D$38:$D$46))/2)</f>
        <v>0</v>
      </c>
      <c r="AV46">
        <f>IF(COUNT($E$2:$E46)&lt;26,"",(MAX($C$21:$C$46)+MIN($D$21:$D$46))/2)</f>
        <v>0</v>
      </c>
      <c r="AW46">
        <f>IF(OR(AU46="",AV46=""),"",(AU46+AV46)/2)</f>
        <v>0</v>
      </c>
      <c r="AX46">
        <f>IF(COUNT($E$2:$E46)&lt;52,"",(MAX($C$2:$C$46)+MIN($D$2:$D$46))/2)</f>
        <v>0</v>
      </c>
      <c r="AY46">
        <f>IF(COUNT($E$2:$E46)&lt;20,"",MAX($C$2:$C$46))</f>
        <v>0</v>
      </c>
      <c r="AZ46">
        <f>IF(COUNT($E$2:$E46)&lt;20,"",MIN($D$2:$D$46))</f>
        <v>0</v>
      </c>
      <c r="BA46">
        <f>IF(COUNT($E$2:$E46)&lt;20,"",SLOPE($E$2:$E$46,$F$2:$F$46))</f>
        <v>0</v>
      </c>
      <c r="BB46">
        <f>IF(COUNT($E$2:$E46)&lt;20,"",INTERCEPT($E$2:$E$46,$F$2:$F$46))</f>
        <v>0</v>
      </c>
      <c r="BC46">
        <f>IF(OR(BA46="",BB46=""),"",BB46+BA46*F46)</f>
        <v>0</v>
      </c>
      <c r="BD46">
        <f>IF(COUNT($E$2:$E46)&lt;20,"",STEYX($E$2:$E$46,$F$2:$F$46))</f>
        <v>0</v>
      </c>
      <c r="BE46">
        <f>IF($E46="","",IF(AND(COUNT($E$47:$E$50)&gt;=4,$C46=MAX($C$42:$C$50)),$C46,""))</f>
        <v>0</v>
      </c>
      <c r="BF46">
        <f>IF($E46="","",IF(AND(COUNT($E$47:$E$50)&gt;=4,$D46=MIN($D$42:$D$50)),$D46,""))</f>
        <v>0</v>
      </c>
      <c r="BG46">
        <f>IFERROR(SMALL(Calc_Daily!$BM$2:$BM$2001,45),"")</f>
        <v>0</v>
      </c>
    </row>
    <row r="47" spans="1:59">
      <c r="A47" s="27">
        <f>IF($BG47="","",INDEX(Calc_Daily!$A$2:$A$2001,$BG47))</f>
        <v>0</v>
      </c>
      <c r="B47">
        <f>IF($BG47="","",INDEX(Calc_Daily!$BJ$2:$BJ$2001,$BG47))</f>
        <v>0</v>
      </c>
      <c r="C47">
        <f>IF($BG47="","",INDEX(Calc_Daily!$BK$2:$BK$2001,$BG47))</f>
        <v>0</v>
      </c>
      <c r="D47">
        <f>IF($BG47="","",INDEX(Calc_Daily!$BL$2:$BL$2001,$BG47))</f>
        <v>0</v>
      </c>
      <c r="E47">
        <f>IF($BG47="","",INDEX(Calc_Daily!$E$2:$E$2001,$BG47))</f>
        <v>0</v>
      </c>
      <c r="F47">
        <f>IF($E47="","",N(F46)+1)</f>
        <v>0</v>
      </c>
      <c r="G47">
        <f>IF(OR($E47="",$E46=""),"",LN($E47/$E46))</f>
        <v>0</v>
      </c>
      <c r="H47">
        <f>IF($E47="","",IF($E46="",$E47,$E47*0.0952380952+H46*0.9047619048))</f>
        <v>0</v>
      </c>
      <c r="I47">
        <f>IF($E47="","",IF($E46="",$E47,$E47*0.0392156863+I46*0.9607843137))</f>
        <v>0</v>
      </c>
      <c r="J47">
        <f>IF($E47="","",IF($E46="",$E47,$E47*0.0198019802+J46*0.9801980198))</f>
        <v>0</v>
      </c>
      <c r="K47">
        <f>IF($E47="","",IF($E46="",$E47,$E47*0.0099502488+K46*0.9900497512))</f>
        <v>0</v>
      </c>
      <c r="L47">
        <f>IF(OR($E47="",$E46=""),"",MAX($E47-$E46,0))</f>
        <v>0</v>
      </c>
      <c r="M47">
        <f>IF(OR($E47="",$E46=""),"",MAX($E46-$E47,0))</f>
        <v>0</v>
      </c>
      <c r="N47">
        <f>IF(COUNT($E$2:$E47)&lt;15,"",IF(AVERAGE($M$34:$M$47)=0,100,100-100/(1+AVERAGE($L$34:$L$47)/AVERAGE($M$34:$M$47))))</f>
        <v>0</v>
      </c>
      <c r="O47">
        <f>IF($E47="","",IF($E46="",$E47,$E47*0.1538461538+O46*0.8461538462))</f>
        <v>0</v>
      </c>
      <c r="P47">
        <f>IF($E47="","",IF($E46="",$E47,$E47*0.0740740741+P46*0.9259259259))</f>
        <v>0</v>
      </c>
      <c r="Q47">
        <f>IF(OR(O47="",P47=""),"",O47-P47)</f>
        <v>0</v>
      </c>
      <c r="R47">
        <f>IF(Q47="","",IF(R46="",Q47,Q47*0.2000000000+R46*0.8000000000))</f>
        <v>0</v>
      </c>
      <c r="S47">
        <f>IF(OR(Q47="",R47=""),"",Q47-R47)</f>
        <v>0</v>
      </c>
      <c r="T47">
        <f>IF(COUNT($E$2:$E47)&lt;14,"",MAX($C$34:$C$47))</f>
        <v>0</v>
      </c>
      <c r="U47">
        <f>IF(COUNT($E$2:$E47)&lt;14,"",MIN($D$34:$D$47))</f>
        <v>0</v>
      </c>
      <c r="V47">
        <f>IF(OR(T47="",U47="",T47=U47),"",100*($E47-U47)/(T47-U47))</f>
        <v>0</v>
      </c>
      <c r="W47">
        <f>IF(COUNT($V$45:$V$47)&lt;3,"",AVERAGE($V$45:$V$47))</f>
        <v>0</v>
      </c>
      <c r="X47">
        <f>IF(COUNT($N$34:$N$47)&lt;14,"",MIN($N$34:$N$47))</f>
        <v>0</v>
      </c>
      <c r="Y47">
        <f>IF(COUNT($N$34:$N$47)&lt;14,"",MAX($N$34:$N$47))</f>
        <v>0</v>
      </c>
      <c r="Z47">
        <f>IF(OR(N47="",X47="",Y47="",Y47=X47),"",100*(N47-X47)/(Y47-X47))</f>
        <v>0</v>
      </c>
      <c r="AA47">
        <f>IF(COUNT($Z$45:$Z$47)&lt;3,"",AVERAGE($Z$45:$Z$47))</f>
        <v>0</v>
      </c>
      <c r="AB47">
        <f>IF(COUNT($AA$45:$AA$47)&lt;3,"",AVERAGE($AA$45:$AA$47))</f>
        <v>0</v>
      </c>
      <c r="AC47">
        <f>IF($E47="","",MAX($C47-$D47,ABS($C47-$E46),ABS($D47-$E46)))</f>
        <v>0</v>
      </c>
      <c r="AD47">
        <f>IF(COUNT($E$2:$E47)&lt;15,"",AVERAGE($AC$34:$AC$47))</f>
        <v>0</v>
      </c>
      <c r="AE47">
        <f>IF(OR($E47="",$E46=""),"",IF(AND(($C47-$C46)&gt;($D46-$D47),($C47-$C46)&gt;0),$C47-$C46,0))</f>
        <v>0</v>
      </c>
      <c r="AF47">
        <f>IF(OR($E47="",$E46=""),"",IF(AND(($D46-$D47)&gt;($C47-$C46),($D46-$D47)&gt;0),$D46-$D47,0))</f>
        <v>0</v>
      </c>
      <c r="AG47">
        <f>IF(COUNT($E$2:$E47)&lt;15,"",IF(SUM($AC$34:$AC$47)=0,0,100*SUM($AE$34:$AE$47)/SUM($AC$34:$AC$47)))</f>
        <v>0</v>
      </c>
      <c r="AH47">
        <f>IF(COUNT($E$2:$E47)&lt;15,"",IF(SUM($AC$34:$AC$47)=0,0,100*SUM($AF$34:$AF$47)/SUM($AC$34:$AC$47)))</f>
        <v>0</v>
      </c>
      <c r="AI47">
        <f>IF(OR(AG47="",AH47=""),"",IF((AG47+AH47)=0,0,100*ABS(AG47-AH47)/(AG47+AH47)))</f>
        <v>0</v>
      </c>
      <c r="AJ47">
        <f>IF(COUNT($AI$34:$AI$47)&lt;14,"",AVERAGE($AI$34:$AI$47))</f>
        <v>0</v>
      </c>
      <c r="AK47">
        <f>IF(COUNT($E$2:$E47)&lt;20,"",AVERAGE($E$28:$E$47))</f>
        <v>0</v>
      </c>
      <c r="AL47">
        <f>IF(COUNT($E$2:$E47)&lt;20,"",STDEVP($E$28:$E$47))</f>
        <v>0</v>
      </c>
      <c r="AM47">
        <f>IF(AK47="","",AK47+2*AL47)</f>
        <v>0</v>
      </c>
      <c r="AN47">
        <f>IF(AK47="","",AK47-2*AL47)</f>
        <v>0</v>
      </c>
      <c r="AO47">
        <f>IF(OR(AM47="",AN47="",AM47=AN47),"",($E47-AN47)/(AM47-AN47))</f>
        <v>0</v>
      </c>
      <c r="AP47">
        <f>IF(OR(AM47="",AK47="",AK47=0),"",(AM47-AN47)/AK47)</f>
        <v>0</v>
      </c>
      <c r="AQ47">
        <f>IF(COUNT($E$2:$E47)&lt;20,"",MAX($C$28:$C$47))</f>
        <v>0</v>
      </c>
      <c r="AR47">
        <f>IF(COUNT($E$2:$E47)&lt;20,"",MIN($D$28:$D$47))</f>
        <v>0</v>
      </c>
      <c r="AS47">
        <f>IF(OR(AQ47="",AR47=""),"",(AQ47+AR47)/2)</f>
        <v>0</v>
      </c>
      <c r="AT47">
        <f>IF(COUNT($G$28:$G$47)&lt;20,"",STDEV($G$28:$G$47)*SQRT(52))</f>
        <v>0</v>
      </c>
      <c r="AU47">
        <f>IF(COUNT($E$2:$E47)&lt;9,"",(MAX($C$39:$C$47)+MIN($D$39:$D$47))/2)</f>
        <v>0</v>
      </c>
      <c r="AV47">
        <f>IF(COUNT($E$2:$E47)&lt;26,"",(MAX($C$22:$C$47)+MIN($D$22:$D$47))/2)</f>
        <v>0</v>
      </c>
      <c r="AW47">
        <f>IF(OR(AU47="",AV47=""),"",(AU47+AV47)/2)</f>
        <v>0</v>
      </c>
      <c r="AX47">
        <f>IF(COUNT($E$2:$E47)&lt;52,"",(MAX($C$2:$C$47)+MIN($D$2:$D$47))/2)</f>
        <v>0</v>
      </c>
      <c r="AY47">
        <f>IF(COUNT($E$2:$E47)&lt;20,"",MAX($C$2:$C$47))</f>
        <v>0</v>
      </c>
      <c r="AZ47">
        <f>IF(COUNT($E$2:$E47)&lt;20,"",MIN($D$2:$D$47))</f>
        <v>0</v>
      </c>
      <c r="BA47">
        <f>IF(COUNT($E$2:$E47)&lt;20,"",SLOPE($E$2:$E$47,$F$2:$F$47))</f>
        <v>0</v>
      </c>
      <c r="BB47">
        <f>IF(COUNT($E$2:$E47)&lt;20,"",INTERCEPT($E$2:$E$47,$F$2:$F$47))</f>
        <v>0</v>
      </c>
      <c r="BC47">
        <f>IF(OR(BA47="",BB47=""),"",BB47+BA47*F47)</f>
        <v>0</v>
      </c>
      <c r="BD47">
        <f>IF(COUNT($E$2:$E47)&lt;20,"",STEYX($E$2:$E$47,$F$2:$F$47))</f>
        <v>0</v>
      </c>
      <c r="BE47">
        <f>IF($E47="","",IF(AND(COUNT($E$48:$E$51)&gt;=4,$C47=MAX($C$43:$C$51)),$C47,""))</f>
        <v>0</v>
      </c>
      <c r="BF47">
        <f>IF($E47="","",IF(AND(COUNT($E$48:$E$51)&gt;=4,$D47=MIN($D$43:$D$51)),$D47,""))</f>
        <v>0</v>
      </c>
      <c r="BG47">
        <f>IFERROR(SMALL(Calc_Daily!$BM$2:$BM$2001,46),"")</f>
        <v>0</v>
      </c>
    </row>
    <row r="48" spans="1:59">
      <c r="A48" s="27">
        <f>IF($BG48="","",INDEX(Calc_Daily!$A$2:$A$2001,$BG48))</f>
        <v>0</v>
      </c>
      <c r="B48">
        <f>IF($BG48="","",INDEX(Calc_Daily!$BJ$2:$BJ$2001,$BG48))</f>
        <v>0</v>
      </c>
      <c r="C48">
        <f>IF($BG48="","",INDEX(Calc_Daily!$BK$2:$BK$2001,$BG48))</f>
        <v>0</v>
      </c>
      <c r="D48">
        <f>IF($BG48="","",INDEX(Calc_Daily!$BL$2:$BL$2001,$BG48))</f>
        <v>0</v>
      </c>
      <c r="E48">
        <f>IF($BG48="","",INDEX(Calc_Daily!$E$2:$E$2001,$BG48))</f>
        <v>0</v>
      </c>
      <c r="F48">
        <f>IF($E48="","",N(F47)+1)</f>
        <v>0</v>
      </c>
      <c r="G48">
        <f>IF(OR($E48="",$E47=""),"",LN($E48/$E47))</f>
        <v>0</v>
      </c>
      <c r="H48">
        <f>IF($E48="","",IF($E47="",$E48,$E48*0.0952380952+H47*0.9047619048))</f>
        <v>0</v>
      </c>
      <c r="I48">
        <f>IF($E48="","",IF($E47="",$E48,$E48*0.0392156863+I47*0.9607843137))</f>
        <v>0</v>
      </c>
      <c r="J48">
        <f>IF($E48="","",IF($E47="",$E48,$E48*0.0198019802+J47*0.9801980198))</f>
        <v>0</v>
      </c>
      <c r="K48">
        <f>IF($E48="","",IF($E47="",$E48,$E48*0.0099502488+K47*0.9900497512))</f>
        <v>0</v>
      </c>
      <c r="L48">
        <f>IF(OR($E48="",$E47=""),"",MAX($E48-$E47,0))</f>
        <v>0</v>
      </c>
      <c r="M48">
        <f>IF(OR($E48="",$E47=""),"",MAX($E47-$E48,0))</f>
        <v>0</v>
      </c>
      <c r="N48">
        <f>IF(COUNT($E$2:$E48)&lt;15,"",IF(AVERAGE($M$35:$M$48)=0,100,100-100/(1+AVERAGE($L$35:$L$48)/AVERAGE($M$35:$M$48))))</f>
        <v>0</v>
      </c>
      <c r="O48">
        <f>IF($E48="","",IF($E47="",$E48,$E48*0.1538461538+O47*0.8461538462))</f>
        <v>0</v>
      </c>
      <c r="P48">
        <f>IF($E48="","",IF($E47="",$E48,$E48*0.0740740741+P47*0.9259259259))</f>
        <v>0</v>
      </c>
      <c r="Q48">
        <f>IF(OR(O48="",P48=""),"",O48-P48)</f>
        <v>0</v>
      </c>
      <c r="R48">
        <f>IF(Q48="","",IF(R47="",Q48,Q48*0.2000000000+R47*0.8000000000))</f>
        <v>0</v>
      </c>
      <c r="S48">
        <f>IF(OR(Q48="",R48=""),"",Q48-R48)</f>
        <v>0</v>
      </c>
      <c r="T48">
        <f>IF(COUNT($E$2:$E48)&lt;14,"",MAX($C$35:$C$48))</f>
        <v>0</v>
      </c>
      <c r="U48">
        <f>IF(COUNT($E$2:$E48)&lt;14,"",MIN($D$35:$D$48))</f>
        <v>0</v>
      </c>
      <c r="V48">
        <f>IF(OR(T48="",U48="",T48=U48),"",100*($E48-U48)/(T48-U48))</f>
        <v>0</v>
      </c>
      <c r="W48">
        <f>IF(COUNT($V$46:$V$48)&lt;3,"",AVERAGE($V$46:$V$48))</f>
        <v>0</v>
      </c>
      <c r="X48">
        <f>IF(COUNT($N$35:$N$48)&lt;14,"",MIN($N$35:$N$48))</f>
        <v>0</v>
      </c>
      <c r="Y48">
        <f>IF(COUNT($N$35:$N$48)&lt;14,"",MAX($N$35:$N$48))</f>
        <v>0</v>
      </c>
      <c r="Z48">
        <f>IF(OR(N48="",X48="",Y48="",Y48=X48),"",100*(N48-X48)/(Y48-X48))</f>
        <v>0</v>
      </c>
      <c r="AA48">
        <f>IF(COUNT($Z$46:$Z$48)&lt;3,"",AVERAGE($Z$46:$Z$48))</f>
        <v>0</v>
      </c>
      <c r="AB48">
        <f>IF(COUNT($AA$46:$AA$48)&lt;3,"",AVERAGE($AA$46:$AA$48))</f>
        <v>0</v>
      </c>
      <c r="AC48">
        <f>IF($E48="","",MAX($C48-$D48,ABS($C48-$E47),ABS($D48-$E47)))</f>
        <v>0</v>
      </c>
      <c r="AD48">
        <f>IF(COUNT($E$2:$E48)&lt;15,"",AVERAGE($AC$35:$AC$48))</f>
        <v>0</v>
      </c>
      <c r="AE48">
        <f>IF(OR($E48="",$E47=""),"",IF(AND(($C48-$C47)&gt;($D47-$D48),($C48-$C47)&gt;0),$C48-$C47,0))</f>
        <v>0</v>
      </c>
      <c r="AF48">
        <f>IF(OR($E48="",$E47=""),"",IF(AND(($D47-$D48)&gt;($C48-$C47),($D47-$D48)&gt;0),$D47-$D48,0))</f>
        <v>0</v>
      </c>
      <c r="AG48">
        <f>IF(COUNT($E$2:$E48)&lt;15,"",IF(SUM($AC$35:$AC$48)=0,0,100*SUM($AE$35:$AE$48)/SUM($AC$35:$AC$48)))</f>
        <v>0</v>
      </c>
      <c r="AH48">
        <f>IF(COUNT($E$2:$E48)&lt;15,"",IF(SUM($AC$35:$AC$48)=0,0,100*SUM($AF$35:$AF$48)/SUM($AC$35:$AC$48)))</f>
        <v>0</v>
      </c>
      <c r="AI48">
        <f>IF(OR(AG48="",AH48=""),"",IF((AG48+AH48)=0,0,100*ABS(AG48-AH48)/(AG48+AH48)))</f>
        <v>0</v>
      </c>
      <c r="AJ48">
        <f>IF(COUNT($AI$35:$AI$48)&lt;14,"",AVERAGE($AI$35:$AI$48))</f>
        <v>0</v>
      </c>
      <c r="AK48">
        <f>IF(COUNT($E$2:$E48)&lt;20,"",AVERAGE($E$29:$E$48))</f>
        <v>0</v>
      </c>
      <c r="AL48">
        <f>IF(COUNT($E$2:$E48)&lt;20,"",STDEVP($E$29:$E$48))</f>
        <v>0</v>
      </c>
      <c r="AM48">
        <f>IF(AK48="","",AK48+2*AL48)</f>
        <v>0</v>
      </c>
      <c r="AN48">
        <f>IF(AK48="","",AK48-2*AL48)</f>
        <v>0</v>
      </c>
      <c r="AO48">
        <f>IF(OR(AM48="",AN48="",AM48=AN48),"",($E48-AN48)/(AM48-AN48))</f>
        <v>0</v>
      </c>
      <c r="AP48">
        <f>IF(OR(AM48="",AK48="",AK48=0),"",(AM48-AN48)/AK48)</f>
        <v>0</v>
      </c>
      <c r="AQ48">
        <f>IF(COUNT($E$2:$E48)&lt;20,"",MAX($C$29:$C$48))</f>
        <v>0</v>
      </c>
      <c r="AR48">
        <f>IF(COUNT($E$2:$E48)&lt;20,"",MIN($D$29:$D$48))</f>
        <v>0</v>
      </c>
      <c r="AS48">
        <f>IF(OR(AQ48="",AR48=""),"",(AQ48+AR48)/2)</f>
        <v>0</v>
      </c>
      <c r="AT48">
        <f>IF(COUNT($G$29:$G$48)&lt;20,"",STDEV($G$29:$G$48)*SQRT(52))</f>
        <v>0</v>
      </c>
      <c r="AU48">
        <f>IF(COUNT($E$2:$E48)&lt;9,"",(MAX($C$40:$C$48)+MIN($D$40:$D$48))/2)</f>
        <v>0</v>
      </c>
      <c r="AV48">
        <f>IF(COUNT($E$2:$E48)&lt;26,"",(MAX($C$23:$C$48)+MIN($D$23:$D$48))/2)</f>
        <v>0</v>
      </c>
      <c r="AW48">
        <f>IF(OR(AU48="",AV48=""),"",(AU48+AV48)/2)</f>
        <v>0</v>
      </c>
      <c r="AX48">
        <f>IF(COUNT($E$2:$E48)&lt;52,"",(MAX($C$2:$C$48)+MIN($D$2:$D$48))/2)</f>
        <v>0</v>
      </c>
      <c r="AY48">
        <f>IF(COUNT($E$2:$E48)&lt;20,"",MAX($C$2:$C$48))</f>
        <v>0</v>
      </c>
      <c r="AZ48">
        <f>IF(COUNT($E$2:$E48)&lt;20,"",MIN($D$2:$D$48))</f>
        <v>0</v>
      </c>
      <c r="BA48">
        <f>IF(COUNT($E$2:$E48)&lt;20,"",SLOPE($E$2:$E$48,$F$2:$F$48))</f>
        <v>0</v>
      </c>
      <c r="BB48">
        <f>IF(COUNT($E$2:$E48)&lt;20,"",INTERCEPT($E$2:$E$48,$F$2:$F$48))</f>
        <v>0</v>
      </c>
      <c r="BC48">
        <f>IF(OR(BA48="",BB48=""),"",BB48+BA48*F48)</f>
        <v>0</v>
      </c>
      <c r="BD48">
        <f>IF(COUNT($E$2:$E48)&lt;20,"",STEYX($E$2:$E$48,$F$2:$F$48))</f>
        <v>0</v>
      </c>
      <c r="BE48">
        <f>IF($E48="","",IF(AND(COUNT($E$49:$E$52)&gt;=4,$C48=MAX($C$44:$C$52)),$C48,""))</f>
        <v>0</v>
      </c>
      <c r="BF48">
        <f>IF($E48="","",IF(AND(COUNT($E$49:$E$52)&gt;=4,$D48=MIN($D$44:$D$52)),$D48,""))</f>
        <v>0</v>
      </c>
      <c r="BG48">
        <f>IFERROR(SMALL(Calc_Daily!$BM$2:$BM$2001,47),"")</f>
        <v>0</v>
      </c>
    </row>
    <row r="49" spans="1:59">
      <c r="A49" s="27">
        <f>IF($BG49="","",INDEX(Calc_Daily!$A$2:$A$2001,$BG49))</f>
        <v>0</v>
      </c>
      <c r="B49">
        <f>IF($BG49="","",INDEX(Calc_Daily!$BJ$2:$BJ$2001,$BG49))</f>
        <v>0</v>
      </c>
      <c r="C49">
        <f>IF($BG49="","",INDEX(Calc_Daily!$BK$2:$BK$2001,$BG49))</f>
        <v>0</v>
      </c>
      <c r="D49">
        <f>IF($BG49="","",INDEX(Calc_Daily!$BL$2:$BL$2001,$BG49))</f>
        <v>0</v>
      </c>
      <c r="E49">
        <f>IF($BG49="","",INDEX(Calc_Daily!$E$2:$E$2001,$BG49))</f>
        <v>0</v>
      </c>
      <c r="F49">
        <f>IF($E49="","",N(F48)+1)</f>
        <v>0</v>
      </c>
      <c r="G49">
        <f>IF(OR($E49="",$E48=""),"",LN($E49/$E48))</f>
        <v>0</v>
      </c>
      <c r="H49">
        <f>IF($E49="","",IF($E48="",$E49,$E49*0.0952380952+H48*0.9047619048))</f>
        <v>0</v>
      </c>
      <c r="I49">
        <f>IF($E49="","",IF($E48="",$E49,$E49*0.0392156863+I48*0.9607843137))</f>
        <v>0</v>
      </c>
      <c r="J49">
        <f>IF($E49="","",IF($E48="",$E49,$E49*0.0198019802+J48*0.9801980198))</f>
        <v>0</v>
      </c>
      <c r="K49">
        <f>IF($E49="","",IF($E48="",$E49,$E49*0.0099502488+K48*0.9900497512))</f>
        <v>0</v>
      </c>
      <c r="L49">
        <f>IF(OR($E49="",$E48=""),"",MAX($E49-$E48,0))</f>
        <v>0</v>
      </c>
      <c r="M49">
        <f>IF(OR($E49="",$E48=""),"",MAX($E48-$E49,0))</f>
        <v>0</v>
      </c>
      <c r="N49">
        <f>IF(COUNT($E$2:$E49)&lt;15,"",IF(AVERAGE($M$36:$M$49)=0,100,100-100/(1+AVERAGE($L$36:$L$49)/AVERAGE($M$36:$M$49))))</f>
        <v>0</v>
      </c>
      <c r="O49">
        <f>IF($E49="","",IF($E48="",$E49,$E49*0.1538461538+O48*0.8461538462))</f>
        <v>0</v>
      </c>
      <c r="P49">
        <f>IF($E49="","",IF($E48="",$E49,$E49*0.0740740741+P48*0.9259259259))</f>
        <v>0</v>
      </c>
      <c r="Q49">
        <f>IF(OR(O49="",P49=""),"",O49-P49)</f>
        <v>0</v>
      </c>
      <c r="R49">
        <f>IF(Q49="","",IF(R48="",Q49,Q49*0.2000000000+R48*0.8000000000))</f>
        <v>0</v>
      </c>
      <c r="S49">
        <f>IF(OR(Q49="",R49=""),"",Q49-R49)</f>
        <v>0</v>
      </c>
      <c r="T49">
        <f>IF(COUNT($E$2:$E49)&lt;14,"",MAX($C$36:$C$49))</f>
        <v>0</v>
      </c>
      <c r="U49">
        <f>IF(COUNT($E$2:$E49)&lt;14,"",MIN($D$36:$D$49))</f>
        <v>0</v>
      </c>
      <c r="V49">
        <f>IF(OR(T49="",U49="",T49=U49),"",100*($E49-U49)/(T49-U49))</f>
        <v>0</v>
      </c>
      <c r="W49">
        <f>IF(COUNT($V$47:$V$49)&lt;3,"",AVERAGE($V$47:$V$49))</f>
        <v>0</v>
      </c>
      <c r="X49">
        <f>IF(COUNT($N$36:$N$49)&lt;14,"",MIN($N$36:$N$49))</f>
        <v>0</v>
      </c>
      <c r="Y49">
        <f>IF(COUNT($N$36:$N$49)&lt;14,"",MAX($N$36:$N$49))</f>
        <v>0</v>
      </c>
      <c r="Z49">
        <f>IF(OR(N49="",X49="",Y49="",Y49=X49),"",100*(N49-X49)/(Y49-X49))</f>
        <v>0</v>
      </c>
      <c r="AA49">
        <f>IF(COUNT($Z$47:$Z$49)&lt;3,"",AVERAGE($Z$47:$Z$49))</f>
        <v>0</v>
      </c>
      <c r="AB49">
        <f>IF(COUNT($AA$47:$AA$49)&lt;3,"",AVERAGE($AA$47:$AA$49))</f>
        <v>0</v>
      </c>
      <c r="AC49">
        <f>IF($E49="","",MAX($C49-$D49,ABS($C49-$E48),ABS($D49-$E48)))</f>
        <v>0</v>
      </c>
      <c r="AD49">
        <f>IF(COUNT($E$2:$E49)&lt;15,"",AVERAGE($AC$36:$AC$49))</f>
        <v>0</v>
      </c>
      <c r="AE49">
        <f>IF(OR($E49="",$E48=""),"",IF(AND(($C49-$C48)&gt;($D48-$D49),($C49-$C48)&gt;0),$C49-$C48,0))</f>
        <v>0</v>
      </c>
      <c r="AF49">
        <f>IF(OR($E49="",$E48=""),"",IF(AND(($D48-$D49)&gt;($C49-$C48),($D48-$D49)&gt;0),$D48-$D49,0))</f>
        <v>0</v>
      </c>
      <c r="AG49">
        <f>IF(COUNT($E$2:$E49)&lt;15,"",IF(SUM($AC$36:$AC$49)=0,0,100*SUM($AE$36:$AE$49)/SUM($AC$36:$AC$49)))</f>
        <v>0</v>
      </c>
      <c r="AH49">
        <f>IF(COUNT($E$2:$E49)&lt;15,"",IF(SUM($AC$36:$AC$49)=0,0,100*SUM($AF$36:$AF$49)/SUM($AC$36:$AC$49)))</f>
        <v>0</v>
      </c>
      <c r="AI49">
        <f>IF(OR(AG49="",AH49=""),"",IF((AG49+AH49)=0,0,100*ABS(AG49-AH49)/(AG49+AH49)))</f>
        <v>0</v>
      </c>
      <c r="AJ49">
        <f>IF(COUNT($AI$36:$AI$49)&lt;14,"",AVERAGE($AI$36:$AI$49))</f>
        <v>0</v>
      </c>
      <c r="AK49">
        <f>IF(COUNT($E$2:$E49)&lt;20,"",AVERAGE($E$30:$E$49))</f>
        <v>0</v>
      </c>
      <c r="AL49">
        <f>IF(COUNT($E$2:$E49)&lt;20,"",STDEVP($E$30:$E$49))</f>
        <v>0</v>
      </c>
      <c r="AM49">
        <f>IF(AK49="","",AK49+2*AL49)</f>
        <v>0</v>
      </c>
      <c r="AN49">
        <f>IF(AK49="","",AK49-2*AL49)</f>
        <v>0</v>
      </c>
      <c r="AO49">
        <f>IF(OR(AM49="",AN49="",AM49=AN49),"",($E49-AN49)/(AM49-AN49))</f>
        <v>0</v>
      </c>
      <c r="AP49">
        <f>IF(OR(AM49="",AK49="",AK49=0),"",(AM49-AN49)/AK49)</f>
        <v>0</v>
      </c>
      <c r="AQ49">
        <f>IF(COUNT($E$2:$E49)&lt;20,"",MAX($C$30:$C$49))</f>
        <v>0</v>
      </c>
      <c r="AR49">
        <f>IF(COUNT($E$2:$E49)&lt;20,"",MIN($D$30:$D$49))</f>
        <v>0</v>
      </c>
      <c r="AS49">
        <f>IF(OR(AQ49="",AR49=""),"",(AQ49+AR49)/2)</f>
        <v>0</v>
      </c>
      <c r="AT49">
        <f>IF(COUNT($G$30:$G$49)&lt;20,"",STDEV($G$30:$G$49)*SQRT(52))</f>
        <v>0</v>
      </c>
      <c r="AU49">
        <f>IF(COUNT($E$2:$E49)&lt;9,"",(MAX($C$41:$C$49)+MIN($D$41:$D$49))/2)</f>
        <v>0</v>
      </c>
      <c r="AV49">
        <f>IF(COUNT($E$2:$E49)&lt;26,"",(MAX($C$24:$C$49)+MIN($D$24:$D$49))/2)</f>
        <v>0</v>
      </c>
      <c r="AW49">
        <f>IF(OR(AU49="",AV49=""),"",(AU49+AV49)/2)</f>
        <v>0</v>
      </c>
      <c r="AX49">
        <f>IF(COUNT($E$2:$E49)&lt;52,"",(MAX($C$2:$C$49)+MIN($D$2:$D$49))/2)</f>
        <v>0</v>
      </c>
      <c r="AY49">
        <f>IF(COUNT($E$2:$E49)&lt;20,"",MAX($C$2:$C$49))</f>
        <v>0</v>
      </c>
      <c r="AZ49">
        <f>IF(COUNT($E$2:$E49)&lt;20,"",MIN($D$2:$D$49))</f>
        <v>0</v>
      </c>
      <c r="BA49">
        <f>IF(COUNT($E$2:$E49)&lt;20,"",SLOPE($E$2:$E$49,$F$2:$F$49))</f>
        <v>0</v>
      </c>
      <c r="BB49">
        <f>IF(COUNT($E$2:$E49)&lt;20,"",INTERCEPT($E$2:$E$49,$F$2:$F$49))</f>
        <v>0</v>
      </c>
      <c r="BC49">
        <f>IF(OR(BA49="",BB49=""),"",BB49+BA49*F49)</f>
        <v>0</v>
      </c>
      <c r="BD49">
        <f>IF(COUNT($E$2:$E49)&lt;20,"",STEYX($E$2:$E$49,$F$2:$F$49))</f>
        <v>0</v>
      </c>
      <c r="BE49">
        <f>IF($E49="","",IF(AND(COUNT($E$50:$E$53)&gt;=4,$C49=MAX($C$45:$C$53)),$C49,""))</f>
        <v>0</v>
      </c>
      <c r="BF49">
        <f>IF($E49="","",IF(AND(COUNT($E$50:$E$53)&gt;=4,$D49=MIN($D$45:$D$53)),$D49,""))</f>
        <v>0</v>
      </c>
      <c r="BG49">
        <f>IFERROR(SMALL(Calc_Daily!$BM$2:$BM$2001,48),"")</f>
        <v>0</v>
      </c>
    </row>
    <row r="50" spans="1:59">
      <c r="A50" s="27">
        <f>IF($BG50="","",INDEX(Calc_Daily!$A$2:$A$2001,$BG50))</f>
        <v>0</v>
      </c>
      <c r="B50">
        <f>IF($BG50="","",INDEX(Calc_Daily!$BJ$2:$BJ$2001,$BG50))</f>
        <v>0</v>
      </c>
      <c r="C50">
        <f>IF($BG50="","",INDEX(Calc_Daily!$BK$2:$BK$2001,$BG50))</f>
        <v>0</v>
      </c>
      <c r="D50">
        <f>IF($BG50="","",INDEX(Calc_Daily!$BL$2:$BL$2001,$BG50))</f>
        <v>0</v>
      </c>
      <c r="E50">
        <f>IF($BG50="","",INDEX(Calc_Daily!$E$2:$E$2001,$BG50))</f>
        <v>0</v>
      </c>
      <c r="F50">
        <f>IF($E50="","",N(F49)+1)</f>
        <v>0</v>
      </c>
      <c r="G50">
        <f>IF(OR($E50="",$E49=""),"",LN($E50/$E49))</f>
        <v>0</v>
      </c>
      <c r="H50">
        <f>IF($E50="","",IF($E49="",$E50,$E50*0.0952380952+H49*0.9047619048))</f>
        <v>0</v>
      </c>
      <c r="I50">
        <f>IF($E50="","",IF($E49="",$E50,$E50*0.0392156863+I49*0.9607843137))</f>
        <v>0</v>
      </c>
      <c r="J50">
        <f>IF($E50="","",IF($E49="",$E50,$E50*0.0198019802+J49*0.9801980198))</f>
        <v>0</v>
      </c>
      <c r="K50">
        <f>IF($E50="","",IF($E49="",$E50,$E50*0.0099502488+K49*0.9900497512))</f>
        <v>0</v>
      </c>
      <c r="L50">
        <f>IF(OR($E50="",$E49=""),"",MAX($E50-$E49,0))</f>
        <v>0</v>
      </c>
      <c r="M50">
        <f>IF(OR($E50="",$E49=""),"",MAX($E49-$E50,0))</f>
        <v>0</v>
      </c>
      <c r="N50">
        <f>IF(COUNT($E$2:$E50)&lt;15,"",IF(AVERAGE($M$37:$M$50)=0,100,100-100/(1+AVERAGE($L$37:$L$50)/AVERAGE($M$37:$M$50))))</f>
        <v>0</v>
      </c>
      <c r="O50">
        <f>IF($E50="","",IF($E49="",$E50,$E50*0.1538461538+O49*0.8461538462))</f>
        <v>0</v>
      </c>
      <c r="P50">
        <f>IF($E50="","",IF($E49="",$E50,$E50*0.0740740741+P49*0.9259259259))</f>
        <v>0</v>
      </c>
      <c r="Q50">
        <f>IF(OR(O50="",P50=""),"",O50-P50)</f>
        <v>0</v>
      </c>
      <c r="R50">
        <f>IF(Q50="","",IF(R49="",Q50,Q50*0.2000000000+R49*0.8000000000))</f>
        <v>0</v>
      </c>
      <c r="S50">
        <f>IF(OR(Q50="",R50=""),"",Q50-R50)</f>
        <v>0</v>
      </c>
      <c r="T50">
        <f>IF(COUNT($E$2:$E50)&lt;14,"",MAX($C$37:$C$50))</f>
        <v>0</v>
      </c>
      <c r="U50">
        <f>IF(COUNT($E$2:$E50)&lt;14,"",MIN($D$37:$D$50))</f>
        <v>0</v>
      </c>
      <c r="V50">
        <f>IF(OR(T50="",U50="",T50=U50),"",100*($E50-U50)/(T50-U50))</f>
        <v>0</v>
      </c>
      <c r="W50">
        <f>IF(COUNT($V$48:$V$50)&lt;3,"",AVERAGE($V$48:$V$50))</f>
        <v>0</v>
      </c>
      <c r="X50">
        <f>IF(COUNT($N$37:$N$50)&lt;14,"",MIN($N$37:$N$50))</f>
        <v>0</v>
      </c>
      <c r="Y50">
        <f>IF(COUNT($N$37:$N$50)&lt;14,"",MAX($N$37:$N$50))</f>
        <v>0</v>
      </c>
      <c r="Z50">
        <f>IF(OR(N50="",X50="",Y50="",Y50=X50),"",100*(N50-X50)/(Y50-X50))</f>
        <v>0</v>
      </c>
      <c r="AA50">
        <f>IF(COUNT($Z$48:$Z$50)&lt;3,"",AVERAGE($Z$48:$Z$50))</f>
        <v>0</v>
      </c>
      <c r="AB50">
        <f>IF(COUNT($AA$48:$AA$50)&lt;3,"",AVERAGE($AA$48:$AA$50))</f>
        <v>0</v>
      </c>
      <c r="AC50">
        <f>IF($E50="","",MAX($C50-$D50,ABS($C50-$E49),ABS($D50-$E49)))</f>
        <v>0</v>
      </c>
      <c r="AD50">
        <f>IF(COUNT($E$2:$E50)&lt;15,"",AVERAGE($AC$37:$AC$50))</f>
        <v>0</v>
      </c>
      <c r="AE50">
        <f>IF(OR($E50="",$E49=""),"",IF(AND(($C50-$C49)&gt;($D49-$D50),($C50-$C49)&gt;0),$C50-$C49,0))</f>
        <v>0</v>
      </c>
      <c r="AF50">
        <f>IF(OR($E50="",$E49=""),"",IF(AND(($D49-$D50)&gt;($C50-$C49),($D49-$D50)&gt;0),$D49-$D50,0))</f>
        <v>0</v>
      </c>
      <c r="AG50">
        <f>IF(COUNT($E$2:$E50)&lt;15,"",IF(SUM($AC$37:$AC$50)=0,0,100*SUM($AE$37:$AE$50)/SUM($AC$37:$AC$50)))</f>
        <v>0</v>
      </c>
      <c r="AH50">
        <f>IF(COUNT($E$2:$E50)&lt;15,"",IF(SUM($AC$37:$AC$50)=0,0,100*SUM($AF$37:$AF$50)/SUM($AC$37:$AC$50)))</f>
        <v>0</v>
      </c>
      <c r="AI50">
        <f>IF(OR(AG50="",AH50=""),"",IF((AG50+AH50)=0,0,100*ABS(AG50-AH50)/(AG50+AH50)))</f>
        <v>0</v>
      </c>
      <c r="AJ50">
        <f>IF(COUNT($AI$37:$AI$50)&lt;14,"",AVERAGE($AI$37:$AI$50))</f>
        <v>0</v>
      </c>
      <c r="AK50">
        <f>IF(COUNT($E$2:$E50)&lt;20,"",AVERAGE($E$31:$E$50))</f>
        <v>0</v>
      </c>
      <c r="AL50">
        <f>IF(COUNT($E$2:$E50)&lt;20,"",STDEVP($E$31:$E$50))</f>
        <v>0</v>
      </c>
      <c r="AM50">
        <f>IF(AK50="","",AK50+2*AL50)</f>
        <v>0</v>
      </c>
      <c r="AN50">
        <f>IF(AK50="","",AK50-2*AL50)</f>
        <v>0</v>
      </c>
      <c r="AO50">
        <f>IF(OR(AM50="",AN50="",AM50=AN50),"",($E50-AN50)/(AM50-AN50))</f>
        <v>0</v>
      </c>
      <c r="AP50">
        <f>IF(OR(AM50="",AK50="",AK50=0),"",(AM50-AN50)/AK50)</f>
        <v>0</v>
      </c>
      <c r="AQ50">
        <f>IF(COUNT($E$2:$E50)&lt;20,"",MAX($C$31:$C$50))</f>
        <v>0</v>
      </c>
      <c r="AR50">
        <f>IF(COUNT($E$2:$E50)&lt;20,"",MIN($D$31:$D$50))</f>
        <v>0</v>
      </c>
      <c r="AS50">
        <f>IF(OR(AQ50="",AR50=""),"",(AQ50+AR50)/2)</f>
        <v>0</v>
      </c>
      <c r="AT50">
        <f>IF(COUNT($G$31:$G$50)&lt;20,"",STDEV($G$31:$G$50)*SQRT(52))</f>
        <v>0</v>
      </c>
      <c r="AU50">
        <f>IF(COUNT($E$2:$E50)&lt;9,"",(MAX($C$42:$C$50)+MIN($D$42:$D$50))/2)</f>
        <v>0</v>
      </c>
      <c r="AV50">
        <f>IF(COUNT($E$2:$E50)&lt;26,"",(MAX($C$25:$C$50)+MIN($D$25:$D$50))/2)</f>
        <v>0</v>
      </c>
      <c r="AW50">
        <f>IF(OR(AU50="",AV50=""),"",(AU50+AV50)/2)</f>
        <v>0</v>
      </c>
      <c r="AX50">
        <f>IF(COUNT($E$2:$E50)&lt;52,"",(MAX($C$2:$C$50)+MIN($D$2:$D$50))/2)</f>
        <v>0</v>
      </c>
      <c r="AY50">
        <f>IF(COUNT($E$2:$E50)&lt;20,"",MAX($C$2:$C$50))</f>
        <v>0</v>
      </c>
      <c r="AZ50">
        <f>IF(COUNT($E$2:$E50)&lt;20,"",MIN($D$2:$D$50))</f>
        <v>0</v>
      </c>
      <c r="BA50">
        <f>IF(COUNT($E$2:$E50)&lt;20,"",SLOPE($E$2:$E$50,$F$2:$F$50))</f>
        <v>0</v>
      </c>
      <c r="BB50">
        <f>IF(COUNT($E$2:$E50)&lt;20,"",INTERCEPT($E$2:$E$50,$F$2:$F$50))</f>
        <v>0</v>
      </c>
      <c r="BC50">
        <f>IF(OR(BA50="",BB50=""),"",BB50+BA50*F50)</f>
        <v>0</v>
      </c>
      <c r="BD50">
        <f>IF(COUNT($E$2:$E50)&lt;20,"",STEYX($E$2:$E$50,$F$2:$F$50))</f>
        <v>0</v>
      </c>
      <c r="BE50">
        <f>IF($E50="","",IF(AND(COUNT($E$51:$E$54)&gt;=4,$C50=MAX($C$46:$C$54)),$C50,""))</f>
        <v>0</v>
      </c>
      <c r="BF50">
        <f>IF($E50="","",IF(AND(COUNT($E$51:$E$54)&gt;=4,$D50=MIN($D$46:$D$54)),$D50,""))</f>
        <v>0</v>
      </c>
      <c r="BG50">
        <f>IFERROR(SMALL(Calc_Daily!$BM$2:$BM$2001,49),"")</f>
        <v>0</v>
      </c>
    </row>
    <row r="51" spans="1:59">
      <c r="A51" s="27">
        <f>IF($BG51="","",INDEX(Calc_Daily!$A$2:$A$2001,$BG51))</f>
        <v>0</v>
      </c>
      <c r="B51">
        <f>IF($BG51="","",INDEX(Calc_Daily!$BJ$2:$BJ$2001,$BG51))</f>
        <v>0</v>
      </c>
      <c r="C51">
        <f>IF($BG51="","",INDEX(Calc_Daily!$BK$2:$BK$2001,$BG51))</f>
        <v>0</v>
      </c>
      <c r="D51">
        <f>IF($BG51="","",INDEX(Calc_Daily!$BL$2:$BL$2001,$BG51))</f>
        <v>0</v>
      </c>
      <c r="E51">
        <f>IF($BG51="","",INDEX(Calc_Daily!$E$2:$E$2001,$BG51))</f>
        <v>0</v>
      </c>
      <c r="F51">
        <f>IF($E51="","",N(F50)+1)</f>
        <v>0</v>
      </c>
      <c r="G51">
        <f>IF(OR($E51="",$E50=""),"",LN($E51/$E50))</f>
        <v>0</v>
      </c>
      <c r="H51">
        <f>IF($E51="","",IF($E50="",$E51,$E51*0.0952380952+H50*0.9047619048))</f>
        <v>0</v>
      </c>
      <c r="I51">
        <f>IF($E51="","",IF($E50="",$E51,$E51*0.0392156863+I50*0.9607843137))</f>
        <v>0</v>
      </c>
      <c r="J51">
        <f>IF($E51="","",IF($E50="",$E51,$E51*0.0198019802+J50*0.9801980198))</f>
        <v>0</v>
      </c>
      <c r="K51">
        <f>IF($E51="","",IF($E50="",$E51,$E51*0.0099502488+K50*0.9900497512))</f>
        <v>0</v>
      </c>
      <c r="L51">
        <f>IF(OR($E51="",$E50=""),"",MAX($E51-$E50,0))</f>
        <v>0</v>
      </c>
      <c r="M51">
        <f>IF(OR($E51="",$E50=""),"",MAX($E50-$E51,0))</f>
        <v>0</v>
      </c>
      <c r="N51">
        <f>IF(COUNT($E$2:$E51)&lt;15,"",IF(AVERAGE($M$38:$M$51)=0,100,100-100/(1+AVERAGE($L$38:$L$51)/AVERAGE($M$38:$M$51))))</f>
        <v>0</v>
      </c>
      <c r="O51">
        <f>IF($E51="","",IF($E50="",$E51,$E51*0.1538461538+O50*0.8461538462))</f>
        <v>0</v>
      </c>
      <c r="P51">
        <f>IF($E51="","",IF($E50="",$E51,$E51*0.0740740741+P50*0.9259259259))</f>
        <v>0</v>
      </c>
      <c r="Q51">
        <f>IF(OR(O51="",P51=""),"",O51-P51)</f>
        <v>0</v>
      </c>
      <c r="R51">
        <f>IF(Q51="","",IF(R50="",Q51,Q51*0.2000000000+R50*0.8000000000))</f>
        <v>0</v>
      </c>
      <c r="S51">
        <f>IF(OR(Q51="",R51=""),"",Q51-R51)</f>
        <v>0</v>
      </c>
      <c r="T51">
        <f>IF(COUNT($E$2:$E51)&lt;14,"",MAX($C$38:$C$51))</f>
        <v>0</v>
      </c>
      <c r="U51">
        <f>IF(COUNT($E$2:$E51)&lt;14,"",MIN($D$38:$D$51))</f>
        <v>0</v>
      </c>
      <c r="V51">
        <f>IF(OR(T51="",U51="",T51=U51),"",100*($E51-U51)/(T51-U51))</f>
        <v>0</v>
      </c>
      <c r="W51">
        <f>IF(COUNT($V$49:$V$51)&lt;3,"",AVERAGE($V$49:$V$51))</f>
        <v>0</v>
      </c>
      <c r="X51">
        <f>IF(COUNT($N$38:$N$51)&lt;14,"",MIN($N$38:$N$51))</f>
        <v>0</v>
      </c>
      <c r="Y51">
        <f>IF(COUNT($N$38:$N$51)&lt;14,"",MAX($N$38:$N$51))</f>
        <v>0</v>
      </c>
      <c r="Z51">
        <f>IF(OR(N51="",X51="",Y51="",Y51=X51),"",100*(N51-X51)/(Y51-X51))</f>
        <v>0</v>
      </c>
      <c r="AA51">
        <f>IF(COUNT($Z$49:$Z$51)&lt;3,"",AVERAGE($Z$49:$Z$51))</f>
        <v>0</v>
      </c>
      <c r="AB51">
        <f>IF(COUNT($AA$49:$AA$51)&lt;3,"",AVERAGE($AA$49:$AA$51))</f>
        <v>0</v>
      </c>
      <c r="AC51">
        <f>IF($E51="","",MAX($C51-$D51,ABS($C51-$E50),ABS($D51-$E50)))</f>
        <v>0</v>
      </c>
      <c r="AD51">
        <f>IF(COUNT($E$2:$E51)&lt;15,"",AVERAGE($AC$38:$AC$51))</f>
        <v>0</v>
      </c>
      <c r="AE51">
        <f>IF(OR($E51="",$E50=""),"",IF(AND(($C51-$C50)&gt;($D50-$D51),($C51-$C50)&gt;0),$C51-$C50,0))</f>
        <v>0</v>
      </c>
      <c r="AF51">
        <f>IF(OR($E51="",$E50=""),"",IF(AND(($D50-$D51)&gt;($C51-$C50),($D50-$D51)&gt;0),$D50-$D51,0))</f>
        <v>0</v>
      </c>
      <c r="AG51">
        <f>IF(COUNT($E$2:$E51)&lt;15,"",IF(SUM($AC$38:$AC$51)=0,0,100*SUM($AE$38:$AE$51)/SUM($AC$38:$AC$51)))</f>
        <v>0</v>
      </c>
      <c r="AH51">
        <f>IF(COUNT($E$2:$E51)&lt;15,"",IF(SUM($AC$38:$AC$51)=0,0,100*SUM($AF$38:$AF$51)/SUM($AC$38:$AC$51)))</f>
        <v>0</v>
      </c>
      <c r="AI51">
        <f>IF(OR(AG51="",AH51=""),"",IF((AG51+AH51)=0,0,100*ABS(AG51-AH51)/(AG51+AH51)))</f>
        <v>0</v>
      </c>
      <c r="AJ51">
        <f>IF(COUNT($AI$38:$AI$51)&lt;14,"",AVERAGE($AI$38:$AI$51))</f>
        <v>0</v>
      </c>
      <c r="AK51">
        <f>IF(COUNT($E$2:$E51)&lt;20,"",AVERAGE($E$32:$E$51))</f>
        <v>0</v>
      </c>
      <c r="AL51">
        <f>IF(COUNT($E$2:$E51)&lt;20,"",STDEVP($E$32:$E$51))</f>
        <v>0</v>
      </c>
      <c r="AM51">
        <f>IF(AK51="","",AK51+2*AL51)</f>
        <v>0</v>
      </c>
      <c r="AN51">
        <f>IF(AK51="","",AK51-2*AL51)</f>
        <v>0</v>
      </c>
      <c r="AO51">
        <f>IF(OR(AM51="",AN51="",AM51=AN51),"",($E51-AN51)/(AM51-AN51))</f>
        <v>0</v>
      </c>
      <c r="AP51">
        <f>IF(OR(AM51="",AK51="",AK51=0),"",(AM51-AN51)/AK51)</f>
        <v>0</v>
      </c>
      <c r="AQ51">
        <f>IF(COUNT($E$2:$E51)&lt;20,"",MAX($C$32:$C$51))</f>
        <v>0</v>
      </c>
      <c r="AR51">
        <f>IF(COUNT($E$2:$E51)&lt;20,"",MIN($D$32:$D$51))</f>
        <v>0</v>
      </c>
      <c r="AS51">
        <f>IF(OR(AQ51="",AR51=""),"",(AQ51+AR51)/2)</f>
        <v>0</v>
      </c>
      <c r="AT51">
        <f>IF(COUNT($G$32:$G$51)&lt;20,"",STDEV($G$32:$G$51)*SQRT(52))</f>
        <v>0</v>
      </c>
      <c r="AU51">
        <f>IF(COUNT($E$2:$E51)&lt;9,"",(MAX($C$43:$C$51)+MIN($D$43:$D$51))/2)</f>
        <v>0</v>
      </c>
      <c r="AV51">
        <f>IF(COUNT($E$2:$E51)&lt;26,"",(MAX($C$26:$C$51)+MIN($D$26:$D$51))/2)</f>
        <v>0</v>
      </c>
      <c r="AW51">
        <f>IF(OR(AU51="",AV51=""),"",(AU51+AV51)/2)</f>
        <v>0</v>
      </c>
      <c r="AX51">
        <f>IF(COUNT($E$2:$E51)&lt;52,"",(MAX($C$2:$C$51)+MIN($D$2:$D$51))/2)</f>
        <v>0</v>
      </c>
      <c r="AY51">
        <f>IF(COUNT($E$2:$E51)&lt;20,"",MAX($C$2:$C$51))</f>
        <v>0</v>
      </c>
      <c r="AZ51">
        <f>IF(COUNT($E$2:$E51)&lt;20,"",MIN($D$2:$D$51))</f>
        <v>0</v>
      </c>
      <c r="BA51">
        <f>IF(COUNT($E$2:$E51)&lt;20,"",SLOPE($E$2:$E$51,$F$2:$F$51))</f>
        <v>0</v>
      </c>
      <c r="BB51">
        <f>IF(COUNT($E$2:$E51)&lt;20,"",INTERCEPT($E$2:$E$51,$F$2:$F$51))</f>
        <v>0</v>
      </c>
      <c r="BC51">
        <f>IF(OR(BA51="",BB51=""),"",BB51+BA51*F51)</f>
        <v>0</v>
      </c>
      <c r="BD51">
        <f>IF(COUNT($E$2:$E51)&lt;20,"",STEYX($E$2:$E$51,$F$2:$F$51))</f>
        <v>0</v>
      </c>
      <c r="BE51">
        <f>IF($E51="","",IF(AND(COUNT($E$52:$E$55)&gt;=4,$C51=MAX($C$47:$C$55)),$C51,""))</f>
        <v>0</v>
      </c>
      <c r="BF51">
        <f>IF($E51="","",IF(AND(COUNT($E$52:$E$55)&gt;=4,$D51=MIN($D$47:$D$55)),$D51,""))</f>
        <v>0</v>
      </c>
      <c r="BG51">
        <f>IFERROR(SMALL(Calc_Daily!$BM$2:$BM$2001,50),"")</f>
        <v>0</v>
      </c>
    </row>
    <row r="52" spans="1:59">
      <c r="A52" s="27">
        <f>IF($BG52="","",INDEX(Calc_Daily!$A$2:$A$2001,$BG52))</f>
        <v>0</v>
      </c>
      <c r="B52">
        <f>IF($BG52="","",INDEX(Calc_Daily!$BJ$2:$BJ$2001,$BG52))</f>
        <v>0</v>
      </c>
      <c r="C52">
        <f>IF($BG52="","",INDEX(Calc_Daily!$BK$2:$BK$2001,$BG52))</f>
        <v>0</v>
      </c>
      <c r="D52">
        <f>IF($BG52="","",INDEX(Calc_Daily!$BL$2:$BL$2001,$BG52))</f>
        <v>0</v>
      </c>
      <c r="E52">
        <f>IF($BG52="","",INDEX(Calc_Daily!$E$2:$E$2001,$BG52))</f>
        <v>0</v>
      </c>
      <c r="F52">
        <f>IF($E52="","",N(F51)+1)</f>
        <v>0</v>
      </c>
      <c r="G52">
        <f>IF(OR($E52="",$E51=""),"",LN($E52/$E51))</f>
        <v>0</v>
      </c>
      <c r="H52">
        <f>IF($E52="","",IF($E51="",$E52,$E52*0.0952380952+H51*0.9047619048))</f>
        <v>0</v>
      </c>
      <c r="I52">
        <f>IF($E52="","",IF($E51="",$E52,$E52*0.0392156863+I51*0.9607843137))</f>
        <v>0</v>
      </c>
      <c r="J52">
        <f>IF($E52="","",IF($E51="",$E52,$E52*0.0198019802+J51*0.9801980198))</f>
        <v>0</v>
      </c>
      <c r="K52">
        <f>IF($E52="","",IF($E51="",$E52,$E52*0.0099502488+K51*0.9900497512))</f>
        <v>0</v>
      </c>
      <c r="L52">
        <f>IF(OR($E52="",$E51=""),"",MAX($E52-$E51,0))</f>
        <v>0</v>
      </c>
      <c r="M52">
        <f>IF(OR($E52="",$E51=""),"",MAX($E51-$E52,0))</f>
        <v>0</v>
      </c>
      <c r="N52">
        <f>IF(COUNT($E$2:$E52)&lt;15,"",IF(AVERAGE($M$39:$M$52)=0,100,100-100/(1+AVERAGE($L$39:$L$52)/AVERAGE($M$39:$M$52))))</f>
        <v>0</v>
      </c>
      <c r="O52">
        <f>IF($E52="","",IF($E51="",$E52,$E52*0.1538461538+O51*0.8461538462))</f>
        <v>0</v>
      </c>
      <c r="P52">
        <f>IF($E52="","",IF($E51="",$E52,$E52*0.0740740741+P51*0.9259259259))</f>
        <v>0</v>
      </c>
      <c r="Q52">
        <f>IF(OR(O52="",P52=""),"",O52-P52)</f>
        <v>0</v>
      </c>
      <c r="R52">
        <f>IF(Q52="","",IF(R51="",Q52,Q52*0.2000000000+R51*0.8000000000))</f>
        <v>0</v>
      </c>
      <c r="S52">
        <f>IF(OR(Q52="",R52=""),"",Q52-R52)</f>
        <v>0</v>
      </c>
      <c r="T52">
        <f>IF(COUNT($E$2:$E52)&lt;14,"",MAX($C$39:$C$52))</f>
        <v>0</v>
      </c>
      <c r="U52">
        <f>IF(COUNT($E$2:$E52)&lt;14,"",MIN($D$39:$D$52))</f>
        <v>0</v>
      </c>
      <c r="V52">
        <f>IF(OR(T52="",U52="",T52=U52),"",100*($E52-U52)/(T52-U52))</f>
        <v>0</v>
      </c>
      <c r="W52">
        <f>IF(COUNT($V$50:$V$52)&lt;3,"",AVERAGE($V$50:$V$52))</f>
        <v>0</v>
      </c>
      <c r="X52">
        <f>IF(COUNT($N$39:$N$52)&lt;14,"",MIN($N$39:$N$52))</f>
        <v>0</v>
      </c>
      <c r="Y52">
        <f>IF(COUNT($N$39:$N$52)&lt;14,"",MAX($N$39:$N$52))</f>
        <v>0</v>
      </c>
      <c r="Z52">
        <f>IF(OR(N52="",X52="",Y52="",Y52=X52),"",100*(N52-X52)/(Y52-X52))</f>
        <v>0</v>
      </c>
      <c r="AA52">
        <f>IF(COUNT($Z$50:$Z$52)&lt;3,"",AVERAGE($Z$50:$Z$52))</f>
        <v>0</v>
      </c>
      <c r="AB52">
        <f>IF(COUNT($AA$50:$AA$52)&lt;3,"",AVERAGE($AA$50:$AA$52))</f>
        <v>0</v>
      </c>
      <c r="AC52">
        <f>IF($E52="","",MAX($C52-$D52,ABS($C52-$E51),ABS($D52-$E51)))</f>
        <v>0</v>
      </c>
      <c r="AD52">
        <f>IF(COUNT($E$2:$E52)&lt;15,"",AVERAGE($AC$39:$AC$52))</f>
        <v>0</v>
      </c>
      <c r="AE52">
        <f>IF(OR($E52="",$E51=""),"",IF(AND(($C52-$C51)&gt;($D51-$D52),($C52-$C51)&gt;0),$C52-$C51,0))</f>
        <v>0</v>
      </c>
      <c r="AF52">
        <f>IF(OR($E52="",$E51=""),"",IF(AND(($D51-$D52)&gt;($C52-$C51),($D51-$D52)&gt;0),$D51-$D52,0))</f>
        <v>0</v>
      </c>
      <c r="AG52">
        <f>IF(COUNT($E$2:$E52)&lt;15,"",IF(SUM($AC$39:$AC$52)=0,0,100*SUM($AE$39:$AE$52)/SUM($AC$39:$AC$52)))</f>
        <v>0</v>
      </c>
      <c r="AH52">
        <f>IF(COUNT($E$2:$E52)&lt;15,"",IF(SUM($AC$39:$AC$52)=0,0,100*SUM($AF$39:$AF$52)/SUM($AC$39:$AC$52)))</f>
        <v>0</v>
      </c>
      <c r="AI52">
        <f>IF(OR(AG52="",AH52=""),"",IF((AG52+AH52)=0,0,100*ABS(AG52-AH52)/(AG52+AH52)))</f>
        <v>0</v>
      </c>
      <c r="AJ52">
        <f>IF(COUNT($AI$39:$AI$52)&lt;14,"",AVERAGE($AI$39:$AI$52))</f>
        <v>0</v>
      </c>
      <c r="AK52">
        <f>IF(COUNT($E$2:$E52)&lt;20,"",AVERAGE($E$33:$E$52))</f>
        <v>0</v>
      </c>
      <c r="AL52">
        <f>IF(COUNT($E$2:$E52)&lt;20,"",STDEVP($E$33:$E$52))</f>
        <v>0</v>
      </c>
      <c r="AM52">
        <f>IF(AK52="","",AK52+2*AL52)</f>
        <v>0</v>
      </c>
      <c r="AN52">
        <f>IF(AK52="","",AK52-2*AL52)</f>
        <v>0</v>
      </c>
      <c r="AO52">
        <f>IF(OR(AM52="",AN52="",AM52=AN52),"",($E52-AN52)/(AM52-AN52))</f>
        <v>0</v>
      </c>
      <c r="AP52">
        <f>IF(OR(AM52="",AK52="",AK52=0),"",(AM52-AN52)/AK52)</f>
        <v>0</v>
      </c>
      <c r="AQ52">
        <f>IF(COUNT($E$2:$E52)&lt;20,"",MAX($C$33:$C$52))</f>
        <v>0</v>
      </c>
      <c r="AR52">
        <f>IF(COUNT($E$2:$E52)&lt;20,"",MIN($D$33:$D$52))</f>
        <v>0</v>
      </c>
      <c r="AS52">
        <f>IF(OR(AQ52="",AR52=""),"",(AQ52+AR52)/2)</f>
        <v>0</v>
      </c>
      <c r="AT52">
        <f>IF(COUNT($G$33:$G$52)&lt;20,"",STDEV($G$33:$G$52)*SQRT(52))</f>
        <v>0</v>
      </c>
      <c r="AU52">
        <f>IF(COUNT($E$2:$E52)&lt;9,"",(MAX($C$44:$C$52)+MIN($D$44:$D$52))/2)</f>
        <v>0</v>
      </c>
      <c r="AV52">
        <f>IF(COUNT($E$2:$E52)&lt;26,"",(MAX($C$27:$C$52)+MIN($D$27:$D$52))/2)</f>
        <v>0</v>
      </c>
      <c r="AW52">
        <f>IF(OR(AU52="",AV52=""),"",(AU52+AV52)/2)</f>
        <v>0</v>
      </c>
      <c r="AX52">
        <f>IF(COUNT($E$2:$E52)&lt;52,"",(MAX($C$2:$C$52)+MIN($D$2:$D$52))/2)</f>
        <v>0</v>
      </c>
      <c r="AY52">
        <f>IF(COUNT($E$2:$E52)&lt;20,"",MAX($C$2:$C$52))</f>
        <v>0</v>
      </c>
      <c r="AZ52">
        <f>IF(COUNT($E$2:$E52)&lt;20,"",MIN($D$2:$D$52))</f>
        <v>0</v>
      </c>
      <c r="BA52">
        <f>IF(COUNT($E$2:$E52)&lt;20,"",SLOPE($E$2:$E$52,$F$2:$F$52))</f>
        <v>0</v>
      </c>
      <c r="BB52">
        <f>IF(COUNT($E$2:$E52)&lt;20,"",INTERCEPT($E$2:$E$52,$F$2:$F$52))</f>
        <v>0</v>
      </c>
      <c r="BC52">
        <f>IF(OR(BA52="",BB52=""),"",BB52+BA52*F52)</f>
        <v>0</v>
      </c>
      <c r="BD52">
        <f>IF(COUNT($E$2:$E52)&lt;20,"",STEYX($E$2:$E$52,$F$2:$F$52))</f>
        <v>0</v>
      </c>
      <c r="BE52">
        <f>IF($E52="","",IF(AND(COUNT($E$53:$E$56)&gt;=4,$C52=MAX($C$48:$C$56)),$C52,""))</f>
        <v>0</v>
      </c>
      <c r="BF52">
        <f>IF($E52="","",IF(AND(COUNT($E$53:$E$56)&gt;=4,$D52=MIN($D$48:$D$56)),$D52,""))</f>
        <v>0</v>
      </c>
      <c r="BG52">
        <f>IFERROR(SMALL(Calc_Daily!$BM$2:$BM$2001,51),"")</f>
        <v>0</v>
      </c>
    </row>
    <row r="53" spans="1:59">
      <c r="A53" s="27">
        <f>IF($BG53="","",INDEX(Calc_Daily!$A$2:$A$2001,$BG53))</f>
        <v>0</v>
      </c>
      <c r="B53">
        <f>IF($BG53="","",INDEX(Calc_Daily!$BJ$2:$BJ$2001,$BG53))</f>
        <v>0</v>
      </c>
      <c r="C53">
        <f>IF($BG53="","",INDEX(Calc_Daily!$BK$2:$BK$2001,$BG53))</f>
        <v>0</v>
      </c>
      <c r="D53">
        <f>IF($BG53="","",INDEX(Calc_Daily!$BL$2:$BL$2001,$BG53))</f>
        <v>0</v>
      </c>
      <c r="E53">
        <f>IF($BG53="","",INDEX(Calc_Daily!$E$2:$E$2001,$BG53))</f>
        <v>0</v>
      </c>
      <c r="F53">
        <f>IF($E53="","",N(F52)+1)</f>
        <v>0</v>
      </c>
      <c r="G53">
        <f>IF(OR($E53="",$E52=""),"",LN($E53/$E52))</f>
        <v>0</v>
      </c>
      <c r="H53">
        <f>IF($E53="","",IF($E52="",$E53,$E53*0.0952380952+H52*0.9047619048))</f>
        <v>0</v>
      </c>
      <c r="I53">
        <f>IF($E53="","",IF($E52="",$E53,$E53*0.0392156863+I52*0.9607843137))</f>
        <v>0</v>
      </c>
      <c r="J53">
        <f>IF($E53="","",IF($E52="",$E53,$E53*0.0198019802+J52*0.9801980198))</f>
        <v>0</v>
      </c>
      <c r="K53">
        <f>IF($E53="","",IF($E52="",$E53,$E53*0.0099502488+K52*0.9900497512))</f>
        <v>0</v>
      </c>
      <c r="L53">
        <f>IF(OR($E53="",$E52=""),"",MAX($E53-$E52,0))</f>
        <v>0</v>
      </c>
      <c r="M53">
        <f>IF(OR($E53="",$E52=""),"",MAX($E52-$E53,0))</f>
        <v>0</v>
      </c>
      <c r="N53">
        <f>IF(COUNT($E$2:$E53)&lt;15,"",IF(AVERAGE($M$40:$M$53)=0,100,100-100/(1+AVERAGE($L$40:$L$53)/AVERAGE($M$40:$M$53))))</f>
        <v>0</v>
      </c>
      <c r="O53">
        <f>IF($E53="","",IF($E52="",$E53,$E53*0.1538461538+O52*0.8461538462))</f>
        <v>0</v>
      </c>
      <c r="P53">
        <f>IF($E53="","",IF($E52="",$E53,$E53*0.0740740741+P52*0.9259259259))</f>
        <v>0</v>
      </c>
      <c r="Q53">
        <f>IF(OR(O53="",P53=""),"",O53-P53)</f>
        <v>0</v>
      </c>
      <c r="R53">
        <f>IF(Q53="","",IF(R52="",Q53,Q53*0.2000000000+R52*0.8000000000))</f>
        <v>0</v>
      </c>
      <c r="S53">
        <f>IF(OR(Q53="",R53=""),"",Q53-R53)</f>
        <v>0</v>
      </c>
      <c r="T53">
        <f>IF(COUNT($E$2:$E53)&lt;14,"",MAX($C$40:$C$53))</f>
        <v>0</v>
      </c>
      <c r="U53">
        <f>IF(COUNT($E$2:$E53)&lt;14,"",MIN($D$40:$D$53))</f>
        <v>0</v>
      </c>
      <c r="V53">
        <f>IF(OR(T53="",U53="",T53=U53),"",100*($E53-U53)/(T53-U53))</f>
        <v>0</v>
      </c>
      <c r="W53">
        <f>IF(COUNT($V$51:$V$53)&lt;3,"",AVERAGE($V$51:$V$53))</f>
        <v>0</v>
      </c>
      <c r="X53">
        <f>IF(COUNT($N$40:$N$53)&lt;14,"",MIN($N$40:$N$53))</f>
        <v>0</v>
      </c>
      <c r="Y53">
        <f>IF(COUNT($N$40:$N$53)&lt;14,"",MAX($N$40:$N$53))</f>
        <v>0</v>
      </c>
      <c r="Z53">
        <f>IF(OR(N53="",X53="",Y53="",Y53=X53),"",100*(N53-X53)/(Y53-X53))</f>
        <v>0</v>
      </c>
      <c r="AA53">
        <f>IF(COUNT($Z$51:$Z$53)&lt;3,"",AVERAGE($Z$51:$Z$53))</f>
        <v>0</v>
      </c>
      <c r="AB53">
        <f>IF(COUNT($AA$51:$AA$53)&lt;3,"",AVERAGE($AA$51:$AA$53))</f>
        <v>0</v>
      </c>
      <c r="AC53">
        <f>IF($E53="","",MAX($C53-$D53,ABS($C53-$E52),ABS($D53-$E52)))</f>
        <v>0</v>
      </c>
      <c r="AD53">
        <f>IF(COUNT($E$2:$E53)&lt;15,"",AVERAGE($AC$40:$AC$53))</f>
        <v>0</v>
      </c>
      <c r="AE53">
        <f>IF(OR($E53="",$E52=""),"",IF(AND(($C53-$C52)&gt;($D52-$D53),($C53-$C52)&gt;0),$C53-$C52,0))</f>
        <v>0</v>
      </c>
      <c r="AF53">
        <f>IF(OR($E53="",$E52=""),"",IF(AND(($D52-$D53)&gt;($C53-$C52),($D52-$D53)&gt;0),$D52-$D53,0))</f>
        <v>0</v>
      </c>
      <c r="AG53">
        <f>IF(COUNT($E$2:$E53)&lt;15,"",IF(SUM($AC$40:$AC$53)=0,0,100*SUM($AE$40:$AE$53)/SUM($AC$40:$AC$53)))</f>
        <v>0</v>
      </c>
      <c r="AH53">
        <f>IF(COUNT($E$2:$E53)&lt;15,"",IF(SUM($AC$40:$AC$53)=0,0,100*SUM($AF$40:$AF$53)/SUM($AC$40:$AC$53)))</f>
        <v>0</v>
      </c>
      <c r="AI53">
        <f>IF(OR(AG53="",AH53=""),"",IF((AG53+AH53)=0,0,100*ABS(AG53-AH53)/(AG53+AH53)))</f>
        <v>0</v>
      </c>
      <c r="AJ53">
        <f>IF(COUNT($AI$40:$AI$53)&lt;14,"",AVERAGE($AI$40:$AI$53))</f>
        <v>0</v>
      </c>
      <c r="AK53">
        <f>IF(COUNT($E$2:$E53)&lt;20,"",AVERAGE($E$34:$E$53))</f>
        <v>0</v>
      </c>
      <c r="AL53">
        <f>IF(COUNT($E$2:$E53)&lt;20,"",STDEVP($E$34:$E$53))</f>
        <v>0</v>
      </c>
      <c r="AM53">
        <f>IF(AK53="","",AK53+2*AL53)</f>
        <v>0</v>
      </c>
      <c r="AN53">
        <f>IF(AK53="","",AK53-2*AL53)</f>
        <v>0</v>
      </c>
      <c r="AO53">
        <f>IF(OR(AM53="",AN53="",AM53=AN53),"",($E53-AN53)/(AM53-AN53))</f>
        <v>0</v>
      </c>
      <c r="AP53">
        <f>IF(OR(AM53="",AK53="",AK53=0),"",(AM53-AN53)/AK53)</f>
        <v>0</v>
      </c>
      <c r="AQ53">
        <f>IF(COUNT($E$2:$E53)&lt;20,"",MAX($C$34:$C$53))</f>
        <v>0</v>
      </c>
      <c r="AR53">
        <f>IF(COUNT($E$2:$E53)&lt;20,"",MIN($D$34:$D$53))</f>
        <v>0</v>
      </c>
      <c r="AS53">
        <f>IF(OR(AQ53="",AR53=""),"",(AQ53+AR53)/2)</f>
        <v>0</v>
      </c>
      <c r="AT53">
        <f>IF(COUNT($G$34:$G$53)&lt;20,"",STDEV($G$34:$G$53)*SQRT(52))</f>
        <v>0</v>
      </c>
      <c r="AU53">
        <f>IF(COUNT($E$2:$E53)&lt;9,"",(MAX($C$45:$C$53)+MIN($D$45:$D$53))/2)</f>
        <v>0</v>
      </c>
      <c r="AV53">
        <f>IF(COUNT($E$2:$E53)&lt;26,"",(MAX($C$28:$C$53)+MIN($D$28:$D$53))/2)</f>
        <v>0</v>
      </c>
      <c r="AW53">
        <f>IF(OR(AU53="",AV53=""),"",(AU53+AV53)/2)</f>
        <v>0</v>
      </c>
      <c r="AX53">
        <f>IF(COUNT($E$2:$E53)&lt;52,"",(MAX($C$2:$C$53)+MIN($D$2:$D$53))/2)</f>
        <v>0</v>
      </c>
      <c r="AY53">
        <f>IF(COUNT($E$2:$E53)&lt;20,"",MAX($C$2:$C$53))</f>
        <v>0</v>
      </c>
      <c r="AZ53">
        <f>IF(COUNT($E$2:$E53)&lt;20,"",MIN($D$2:$D$53))</f>
        <v>0</v>
      </c>
      <c r="BA53">
        <f>IF(COUNT($E$2:$E53)&lt;20,"",SLOPE($E$2:$E$53,$F$2:$F$53))</f>
        <v>0</v>
      </c>
      <c r="BB53">
        <f>IF(COUNT($E$2:$E53)&lt;20,"",INTERCEPT($E$2:$E$53,$F$2:$F$53))</f>
        <v>0</v>
      </c>
      <c r="BC53">
        <f>IF(OR(BA53="",BB53=""),"",BB53+BA53*F53)</f>
        <v>0</v>
      </c>
      <c r="BD53">
        <f>IF(COUNT($E$2:$E53)&lt;20,"",STEYX($E$2:$E$53,$F$2:$F$53))</f>
        <v>0</v>
      </c>
      <c r="BE53">
        <f>IF($E53="","",IF(AND(COUNT($E$54:$E$57)&gt;=4,$C53=MAX($C$49:$C$57)),$C53,""))</f>
        <v>0</v>
      </c>
      <c r="BF53">
        <f>IF($E53="","",IF(AND(COUNT($E$54:$E$57)&gt;=4,$D53=MIN($D$49:$D$57)),$D53,""))</f>
        <v>0</v>
      </c>
      <c r="BG53">
        <f>IFERROR(SMALL(Calc_Daily!$BM$2:$BM$2001,52),"")</f>
        <v>0</v>
      </c>
    </row>
    <row r="54" spans="1:59">
      <c r="A54" s="27">
        <f>IF($BG54="","",INDEX(Calc_Daily!$A$2:$A$2001,$BG54))</f>
        <v>0</v>
      </c>
      <c r="B54">
        <f>IF($BG54="","",INDEX(Calc_Daily!$BJ$2:$BJ$2001,$BG54))</f>
        <v>0</v>
      </c>
      <c r="C54">
        <f>IF($BG54="","",INDEX(Calc_Daily!$BK$2:$BK$2001,$BG54))</f>
        <v>0</v>
      </c>
      <c r="D54">
        <f>IF($BG54="","",INDEX(Calc_Daily!$BL$2:$BL$2001,$BG54))</f>
        <v>0</v>
      </c>
      <c r="E54">
        <f>IF($BG54="","",INDEX(Calc_Daily!$E$2:$E$2001,$BG54))</f>
        <v>0</v>
      </c>
      <c r="F54">
        <f>IF($E54="","",N(F53)+1)</f>
        <v>0</v>
      </c>
      <c r="G54">
        <f>IF(OR($E54="",$E53=""),"",LN($E54/$E53))</f>
        <v>0</v>
      </c>
      <c r="H54">
        <f>IF($E54="","",IF($E53="",$E54,$E54*0.0952380952+H53*0.9047619048))</f>
        <v>0</v>
      </c>
      <c r="I54">
        <f>IF($E54="","",IF($E53="",$E54,$E54*0.0392156863+I53*0.9607843137))</f>
        <v>0</v>
      </c>
      <c r="J54">
        <f>IF($E54="","",IF($E53="",$E54,$E54*0.0198019802+J53*0.9801980198))</f>
        <v>0</v>
      </c>
      <c r="K54">
        <f>IF($E54="","",IF($E53="",$E54,$E54*0.0099502488+K53*0.9900497512))</f>
        <v>0</v>
      </c>
      <c r="L54">
        <f>IF(OR($E54="",$E53=""),"",MAX($E54-$E53,0))</f>
        <v>0</v>
      </c>
      <c r="M54">
        <f>IF(OR($E54="",$E53=""),"",MAX($E53-$E54,0))</f>
        <v>0</v>
      </c>
      <c r="N54">
        <f>IF(COUNT($E$2:$E54)&lt;15,"",IF(AVERAGE($M$41:$M$54)=0,100,100-100/(1+AVERAGE($L$41:$L$54)/AVERAGE($M$41:$M$54))))</f>
        <v>0</v>
      </c>
      <c r="O54">
        <f>IF($E54="","",IF($E53="",$E54,$E54*0.1538461538+O53*0.8461538462))</f>
        <v>0</v>
      </c>
      <c r="P54">
        <f>IF($E54="","",IF($E53="",$E54,$E54*0.0740740741+P53*0.9259259259))</f>
        <v>0</v>
      </c>
      <c r="Q54">
        <f>IF(OR(O54="",P54=""),"",O54-P54)</f>
        <v>0</v>
      </c>
      <c r="R54">
        <f>IF(Q54="","",IF(R53="",Q54,Q54*0.2000000000+R53*0.8000000000))</f>
        <v>0</v>
      </c>
      <c r="S54">
        <f>IF(OR(Q54="",R54=""),"",Q54-R54)</f>
        <v>0</v>
      </c>
      <c r="T54">
        <f>IF(COUNT($E$2:$E54)&lt;14,"",MAX($C$41:$C$54))</f>
        <v>0</v>
      </c>
      <c r="U54">
        <f>IF(COUNT($E$2:$E54)&lt;14,"",MIN($D$41:$D$54))</f>
        <v>0</v>
      </c>
      <c r="V54">
        <f>IF(OR(T54="",U54="",T54=U54),"",100*($E54-U54)/(T54-U54))</f>
        <v>0</v>
      </c>
      <c r="W54">
        <f>IF(COUNT($V$52:$V$54)&lt;3,"",AVERAGE($V$52:$V$54))</f>
        <v>0</v>
      </c>
      <c r="X54">
        <f>IF(COUNT($N$41:$N$54)&lt;14,"",MIN($N$41:$N$54))</f>
        <v>0</v>
      </c>
      <c r="Y54">
        <f>IF(COUNT($N$41:$N$54)&lt;14,"",MAX($N$41:$N$54))</f>
        <v>0</v>
      </c>
      <c r="Z54">
        <f>IF(OR(N54="",X54="",Y54="",Y54=X54),"",100*(N54-X54)/(Y54-X54))</f>
        <v>0</v>
      </c>
      <c r="AA54">
        <f>IF(COUNT($Z$52:$Z$54)&lt;3,"",AVERAGE($Z$52:$Z$54))</f>
        <v>0</v>
      </c>
      <c r="AB54">
        <f>IF(COUNT($AA$52:$AA$54)&lt;3,"",AVERAGE($AA$52:$AA$54))</f>
        <v>0</v>
      </c>
      <c r="AC54">
        <f>IF($E54="","",MAX($C54-$D54,ABS($C54-$E53),ABS($D54-$E53)))</f>
        <v>0</v>
      </c>
      <c r="AD54">
        <f>IF(COUNT($E$2:$E54)&lt;15,"",AVERAGE($AC$41:$AC$54))</f>
        <v>0</v>
      </c>
      <c r="AE54">
        <f>IF(OR($E54="",$E53=""),"",IF(AND(($C54-$C53)&gt;($D53-$D54),($C54-$C53)&gt;0),$C54-$C53,0))</f>
        <v>0</v>
      </c>
      <c r="AF54">
        <f>IF(OR($E54="",$E53=""),"",IF(AND(($D53-$D54)&gt;($C54-$C53),($D53-$D54)&gt;0),$D53-$D54,0))</f>
        <v>0</v>
      </c>
      <c r="AG54">
        <f>IF(COUNT($E$2:$E54)&lt;15,"",IF(SUM($AC$41:$AC$54)=0,0,100*SUM($AE$41:$AE$54)/SUM($AC$41:$AC$54)))</f>
        <v>0</v>
      </c>
      <c r="AH54">
        <f>IF(COUNT($E$2:$E54)&lt;15,"",IF(SUM($AC$41:$AC$54)=0,0,100*SUM($AF$41:$AF$54)/SUM($AC$41:$AC$54)))</f>
        <v>0</v>
      </c>
      <c r="AI54">
        <f>IF(OR(AG54="",AH54=""),"",IF((AG54+AH54)=0,0,100*ABS(AG54-AH54)/(AG54+AH54)))</f>
        <v>0</v>
      </c>
      <c r="AJ54">
        <f>IF(COUNT($AI$41:$AI$54)&lt;14,"",AVERAGE($AI$41:$AI$54))</f>
        <v>0</v>
      </c>
      <c r="AK54">
        <f>IF(COUNT($E$2:$E54)&lt;20,"",AVERAGE($E$35:$E$54))</f>
        <v>0</v>
      </c>
      <c r="AL54">
        <f>IF(COUNT($E$2:$E54)&lt;20,"",STDEVP($E$35:$E$54))</f>
        <v>0</v>
      </c>
      <c r="AM54">
        <f>IF(AK54="","",AK54+2*AL54)</f>
        <v>0</v>
      </c>
      <c r="AN54">
        <f>IF(AK54="","",AK54-2*AL54)</f>
        <v>0</v>
      </c>
      <c r="AO54">
        <f>IF(OR(AM54="",AN54="",AM54=AN54),"",($E54-AN54)/(AM54-AN54))</f>
        <v>0</v>
      </c>
      <c r="AP54">
        <f>IF(OR(AM54="",AK54="",AK54=0),"",(AM54-AN54)/AK54)</f>
        <v>0</v>
      </c>
      <c r="AQ54">
        <f>IF(COUNT($E$2:$E54)&lt;20,"",MAX($C$35:$C$54))</f>
        <v>0</v>
      </c>
      <c r="AR54">
        <f>IF(COUNT($E$2:$E54)&lt;20,"",MIN($D$35:$D$54))</f>
        <v>0</v>
      </c>
      <c r="AS54">
        <f>IF(OR(AQ54="",AR54=""),"",(AQ54+AR54)/2)</f>
        <v>0</v>
      </c>
      <c r="AT54">
        <f>IF(COUNT($G$35:$G$54)&lt;20,"",STDEV($G$35:$G$54)*SQRT(52))</f>
        <v>0</v>
      </c>
      <c r="AU54">
        <f>IF(COUNT($E$2:$E54)&lt;9,"",(MAX($C$46:$C$54)+MIN($D$46:$D$54))/2)</f>
        <v>0</v>
      </c>
      <c r="AV54">
        <f>IF(COUNT($E$2:$E54)&lt;26,"",(MAX($C$29:$C$54)+MIN($D$29:$D$54))/2)</f>
        <v>0</v>
      </c>
      <c r="AW54">
        <f>IF(OR(AU54="",AV54=""),"",(AU54+AV54)/2)</f>
        <v>0</v>
      </c>
      <c r="AX54">
        <f>IF(COUNT($E$2:$E54)&lt;52,"",(MAX($C$3:$C$54)+MIN($D$3:$D$54))/2)</f>
        <v>0</v>
      </c>
      <c r="AY54">
        <f>IF(COUNT($E$2:$E54)&lt;20,"",MAX($C$2:$C$54))</f>
        <v>0</v>
      </c>
      <c r="AZ54">
        <f>IF(COUNT($E$2:$E54)&lt;20,"",MIN($D$2:$D$54))</f>
        <v>0</v>
      </c>
      <c r="BA54">
        <f>IF(COUNT($E$2:$E54)&lt;20,"",SLOPE($E$2:$E$54,$F$2:$F$54))</f>
        <v>0</v>
      </c>
      <c r="BB54">
        <f>IF(COUNT($E$2:$E54)&lt;20,"",INTERCEPT($E$2:$E$54,$F$2:$F$54))</f>
        <v>0</v>
      </c>
      <c r="BC54">
        <f>IF(OR(BA54="",BB54=""),"",BB54+BA54*F54)</f>
        <v>0</v>
      </c>
      <c r="BD54">
        <f>IF(COUNT($E$2:$E54)&lt;20,"",STEYX($E$2:$E$54,$F$2:$F$54))</f>
        <v>0</v>
      </c>
      <c r="BE54">
        <f>IF($E54="","",IF(AND(COUNT($E$55:$E$58)&gt;=4,$C54=MAX($C$50:$C$58)),$C54,""))</f>
        <v>0</v>
      </c>
      <c r="BF54">
        <f>IF($E54="","",IF(AND(COUNT($E$55:$E$58)&gt;=4,$D54=MIN($D$50:$D$58)),$D54,""))</f>
        <v>0</v>
      </c>
      <c r="BG54">
        <f>IFERROR(SMALL(Calc_Daily!$BM$2:$BM$2001,53),"")</f>
        <v>0</v>
      </c>
    </row>
    <row r="55" spans="1:59">
      <c r="A55" s="27">
        <f>IF($BG55="","",INDEX(Calc_Daily!$A$2:$A$2001,$BG55))</f>
        <v>0</v>
      </c>
      <c r="B55">
        <f>IF($BG55="","",INDEX(Calc_Daily!$BJ$2:$BJ$2001,$BG55))</f>
        <v>0</v>
      </c>
      <c r="C55">
        <f>IF($BG55="","",INDEX(Calc_Daily!$BK$2:$BK$2001,$BG55))</f>
        <v>0</v>
      </c>
      <c r="D55">
        <f>IF($BG55="","",INDEX(Calc_Daily!$BL$2:$BL$2001,$BG55))</f>
        <v>0</v>
      </c>
      <c r="E55">
        <f>IF($BG55="","",INDEX(Calc_Daily!$E$2:$E$2001,$BG55))</f>
        <v>0</v>
      </c>
      <c r="F55">
        <f>IF($E55="","",N(F54)+1)</f>
        <v>0</v>
      </c>
      <c r="G55">
        <f>IF(OR($E55="",$E54=""),"",LN($E55/$E54))</f>
        <v>0</v>
      </c>
      <c r="H55">
        <f>IF($E55="","",IF($E54="",$E55,$E55*0.0952380952+H54*0.9047619048))</f>
        <v>0</v>
      </c>
      <c r="I55">
        <f>IF($E55="","",IF($E54="",$E55,$E55*0.0392156863+I54*0.9607843137))</f>
        <v>0</v>
      </c>
      <c r="J55">
        <f>IF($E55="","",IF($E54="",$E55,$E55*0.0198019802+J54*0.9801980198))</f>
        <v>0</v>
      </c>
      <c r="K55">
        <f>IF($E55="","",IF($E54="",$E55,$E55*0.0099502488+K54*0.9900497512))</f>
        <v>0</v>
      </c>
      <c r="L55">
        <f>IF(OR($E55="",$E54=""),"",MAX($E55-$E54,0))</f>
        <v>0</v>
      </c>
      <c r="M55">
        <f>IF(OR($E55="",$E54=""),"",MAX($E54-$E55,0))</f>
        <v>0</v>
      </c>
      <c r="N55">
        <f>IF(COUNT($E$2:$E55)&lt;15,"",IF(AVERAGE($M$42:$M$55)=0,100,100-100/(1+AVERAGE($L$42:$L$55)/AVERAGE($M$42:$M$55))))</f>
        <v>0</v>
      </c>
      <c r="O55">
        <f>IF($E55="","",IF($E54="",$E55,$E55*0.1538461538+O54*0.8461538462))</f>
        <v>0</v>
      </c>
      <c r="P55">
        <f>IF($E55="","",IF($E54="",$E55,$E55*0.0740740741+P54*0.9259259259))</f>
        <v>0</v>
      </c>
      <c r="Q55">
        <f>IF(OR(O55="",P55=""),"",O55-P55)</f>
        <v>0</v>
      </c>
      <c r="R55">
        <f>IF(Q55="","",IF(R54="",Q55,Q55*0.2000000000+R54*0.8000000000))</f>
        <v>0</v>
      </c>
      <c r="S55">
        <f>IF(OR(Q55="",R55=""),"",Q55-R55)</f>
        <v>0</v>
      </c>
      <c r="T55">
        <f>IF(COUNT($E$2:$E55)&lt;14,"",MAX($C$42:$C$55))</f>
        <v>0</v>
      </c>
      <c r="U55">
        <f>IF(COUNT($E$2:$E55)&lt;14,"",MIN($D$42:$D$55))</f>
        <v>0</v>
      </c>
      <c r="V55">
        <f>IF(OR(T55="",U55="",T55=U55),"",100*($E55-U55)/(T55-U55))</f>
        <v>0</v>
      </c>
      <c r="W55">
        <f>IF(COUNT($V$53:$V$55)&lt;3,"",AVERAGE($V$53:$V$55))</f>
        <v>0</v>
      </c>
      <c r="X55">
        <f>IF(COUNT($N$42:$N$55)&lt;14,"",MIN($N$42:$N$55))</f>
        <v>0</v>
      </c>
      <c r="Y55">
        <f>IF(COUNT($N$42:$N$55)&lt;14,"",MAX($N$42:$N$55))</f>
        <v>0</v>
      </c>
      <c r="Z55">
        <f>IF(OR(N55="",X55="",Y55="",Y55=X55),"",100*(N55-X55)/(Y55-X55))</f>
        <v>0</v>
      </c>
      <c r="AA55">
        <f>IF(COUNT($Z$53:$Z$55)&lt;3,"",AVERAGE($Z$53:$Z$55))</f>
        <v>0</v>
      </c>
      <c r="AB55">
        <f>IF(COUNT($AA$53:$AA$55)&lt;3,"",AVERAGE($AA$53:$AA$55))</f>
        <v>0</v>
      </c>
      <c r="AC55">
        <f>IF($E55="","",MAX($C55-$D55,ABS($C55-$E54),ABS($D55-$E54)))</f>
        <v>0</v>
      </c>
      <c r="AD55">
        <f>IF(COUNT($E$2:$E55)&lt;15,"",AVERAGE($AC$42:$AC$55))</f>
        <v>0</v>
      </c>
      <c r="AE55">
        <f>IF(OR($E55="",$E54=""),"",IF(AND(($C55-$C54)&gt;($D54-$D55),($C55-$C54)&gt;0),$C55-$C54,0))</f>
        <v>0</v>
      </c>
      <c r="AF55">
        <f>IF(OR($E55="",$E54=""),"",IF(AND(($D54-$D55)&gt;($C55-$C54),($D54-$D55)&gt;0),$D54-$D55,0))</f>
        <v>0</v>
      </c>
      <c r="AG55">
        <f>IF(COUNT($E$2:$E55)&lt;15,"",IF(SUM($AC$42:$AC$55)=0,0,100*SUM($AE$42:$AE$55)/SUM($AC$42:$AC$55)))</f>
        <v>0</v>
      </c>
      <c r="AH55">
        <f>IF(COUNT($E$2:$E55)&lt;15,"",IF(SUM($AC$42:$AC$55)=0,0,100*SUM($AF$42:$AF$55)/SUM($AC$42:$AC$55)))</f>
        <v>0</v>
      </c>
      <c r="AI55">
        <f>IF(OR(AG55="",AH55=""),"",IF((AG55+AH55)=0,0,100*ABS(AG55-AH55)/(AG55+AH55)))</f>
        <v>0</v>
      </c>
      <c r="AJ55">
        <f>IF(COUNT($AI$42:$AI$55)&lt;14,"",AVERAGE($AI$42:$AI$55))</f>
        <v>0</v>
      </c>
      <c r="AK55">
        <f>IF(COUNT($E$2:$E55)&lt;20,"",AVERAGE($E$36:$E$55))</f>
        <v>0</v>
      </c>
      <c r="AL55">
        <f>IF(COUNT($E$2:$E55)&lt;20,"",STDEVP($E$36:$E$55))</f>
        <v>0</v>
      </c>
      <c r="AM55">
        <f>IF(AK55="","",AK55+2*AL55)</f>
        <v>0</v>
      </c>
      <c r="AN55">
        <f>IF(AK55="","",AK55-2*AL55)</f>
        <v>0</v>
      </c>
      <c r="AO55">
        <f>IF(OR(AM55="",AN55="",AM55=AN55),"",($E55-AN55)/(AM55-AN55))</f>
        <v>0</v>
      </c>
      <c r="AP55">
        <f>IF(OR(AM55="",AK55="",AK55=0),"",(AM55-AN55)/AK55)</f>
        <v>0</v>
      </c>
      <c r="AQ55">
        <f>IF(COUNT($E$2:$E55)&lt;20,"",MAX($C$36:$C$55))</f>
        <v>0</v>
      </c>
      <c r="AR55">
        <f>IF(COUNT($E$2:$E55)&lt;20,"",MIN($D$36:$D$55))</f>
        <v>0</v>
      </c>
      <c r="AS55">
        <f>IF(OR(AQ55="",AR55=""),"",(AQ55+AR55)/2)</f>
        <v>0</v>
      </c>
      <c r="AT55">
        <f>IF(COUNT($G$36:$G$55)&lt;20,"",STDEV($G$36:$G$55)*SQRT(52))</f>
        <v>0</v>
      </c>
      <c r="AU55">
        <f>IF(COUNT($E$2:$E55)&lt;9,"",(MAX($C$47:$C$55)+MIN($D$47:$D$55))/2)</f>
        <v>0</v>
      </c>
      <c r="AV55">
        <f>IF(COUNT($E$2:$E55)&lt;26,"",(MAX($C$30:$C$55)+MIN($D$30:$D$55))/2)</f>
        <v>0</v>
      </c>
      <c r="AW55">
        <f>IF(OR(AU55="",AV55=""),"",(AU55+AV55)/2)</f>
        <v>0</v>
      </c>
      <c r="AX55">
        <f>IF(COUNT($E$2:$E55)&lt;52,"",(MAX($C$4:$C$55)+MIN($D$4:$D$55))/2)</f>
        <v>0</v>
      </c>
      <c r="AY55">
        <f>IF(COUNT($E$2:$E55)&lt;20,"",MAX($C$2:$C$55))</f>
        <v>0</v>
      </c>
      <c r="AZ55">
        <f>IF(COUNT($E$2:$E55)&lt;20,"",MIN($D$2:$D$55))</f>
        <v>0</v>
      </c>
      <c r="BA55">
        <f>IF(COUNT($E$2:$E55)&lt;20,"",SLOPE($E$2:$E$55,$F$2:$F$55))</f>
        <v>0</v>
      </c>
      <c r="BB55">
        <f>IF(COUNT($E$2:$E55)&lt;20,"",INTERCEPT($E$2:$E$55,$F$2:$F$55))</f>
        <v>0</v>
      </c>
      <c r="BC55">
        <f>IF(OR(BA55="",BB55=""),"",BB55+BA55*F55)</f>
        <v>0</v>
      </c>
      <c r="BD55">
        <f>IF(COUNT($E$2:$E55)&lt;20,"",STEYX($E$2:$E$55,$F$2:$F$55))</f>
        <v>0</v>
      </c>
      <c r="BE55">
        <f>IF($E55="","",IF(AND(COUNT($E$56:$E$59)&gt;=4,$C55=MAX($C$51:$C$59)),$C55,""))</f>
        <v>0</v>
      </c>
      <c r="BF55">
        <f>IF($E55="","",IF(AND(COUNT($E$56:$E$59)&gt;=4,$D55=MIN($D$51:$D$59)),$D55,""))</f>
        <v>0</v>
      </c>
      <c r="BG55">
        <f>IFERROR(SMALL(Calc_Daily!$BM$2:$BM$2001,54),"")</f>
        <v>0</v>
      </c>
    </row>
    <row r="56" spans="1:59">
      <c r="A56" s="27">
        <f>IF($BG56="","",INDEX(Calc_Daily!$A$2:$A$2001,$BG56))</f>
        <v>0</v>
      </c>
      <c r="B56">
        <f>IF($BG56="","",INDEX(Calc_Daily!$BJ$2:$BJ$2001,$BG56))</f>
        <v>0</v>
      </c>
      <c r="C56">
        <f>IF($BG56="","",INDEX(Calc_Daily!$BK$2:$BK$2001,$BG56))</f>
        <v>0</v>
      </c>
      <c r="D56">
        <f>IF($BG56="","",INDEX(Calc_Daily!$BL$2:$BL$2001,$BG56))</f>
        <v>0</v>
      </c>
      <c r="E56">
        <f>IF($BG56="","",INDEX(Calc_Daily!$E$2:$E$2001,$BG56))</f>
        <v>0</v>
      </c>
      <c r="F56">
        <f>IF($E56="","",N(F55)+1)</f>
        <v>0</v>
      </c>
      <c r="G56">
        <f>IF(OR($E56="",$E55=""),"",LN($E56/$E55))</f>
        <v>0</v>
      </c>
      <c r="H56">
        <f>IF($E56="","",IF($E55="",$E56,$E56*0.0952380952+H55*0.9047619048))</f>
        <v>0</v>
      </c>
      <c r="I56">
        <f>IF($E56="","",IF($E55="",$E56,$E56*0.0392156863+I55*0.9607843137))</f>
        <v>0</v>
      </c>
      <c r="J56">
        <f>IF($E56="","",IF($E55="",$E56,$E56*0.0198019802+J55*0.9801980198))</f>
        <v>0</v>
      </c>
      <c r="K56">
        <f>IF($E56="","",IF($E55="",$E56,$E56*0.0099502488+K55*0.9900497512))</f>
        <v>0</v>
      </c>
      <c r="L56">
        <f>IF(OR($E56="",$E55=""),"",MAX($E56-$E55,0))</f>
        <v>0</v>
      </c>
      <c r="M56">
        <f>IF(OR($E56="",$E55=""),"",MAX($E55-$E56,0))</f>
        <v>0</v>
      </c>
      <c r="N56">
        <f>IF(COUNT($E$2:$E56)&lt;15,"",IF(AVERAGE($M$43:$M$56)=0,100,100-100/(1+AVERAGE($L$43:$L$56)/AVERAGE($M$43:$M$56))))</f>
        <v>0</v>
      </c>
      <c r="O56">
        <f>IF($E56="","",IF($E55="",$E56,$E56*0.1538461538+O55*0.8461538462))</f>
        <v>0</v>
      </c>
      <c r="P56">
        <f>IF($E56="","",IF($E55="",$E56,$E56*0.0740740741+P55*0.9259259259))</f>
        <v>0</v>
      </c>
      <c r="Q56">
        <f>IF(OR(O56="",P56=""),"",O56-P56)</f>
        <v>0</v>
      </c>
      <c r="R56">
        <f>IF(Q56="","",IF(R55="",Q56,Q56*0.2000000000+R55*0.8000000000))</f>
        <v>0</v>
      </c>
      <c r="S56">
        <f>IF(OR(Q56="",R56=""),"",Q56-R56)</f>
        <v>0</v>
      </c>
      <c r="T56">
        <f>IF(COUNT($E$2:$E56)&lt;14,"",MAX($C$43:$C$56))</f>
        <v>0</v>
      </c>
      <c r="U56">
        <f>IF(COUNT($E$2:$E56)&lt;14,"",MIN($D$43:$D$56))</f>
        <v>0</v>
      </c>
      <c r="V56">
        <f>IF(OR(T56="",U56="",T56=U56),"",100*($E56-U56)/(T56-U56))</f>
        <v>0</v>
      </c>
      <c r="W56">
        <f>IF(COUNT($V$54:$V$56)&lt;3,"",AVERAGE($V$54:$V$56))</f>
        <v>0</v>
      </c>
      <c r="X56">
        <f>IF(COUNT($N$43:$N$56)&lt;14,"",MIN($N$43:$N$56))</f>
        <v>0</v>
      </c>
      <c r="Y56">
        <f>IF(COUNT($N$43:$N$56)&lt;14,"",MAX($N$43:$N$56))</f>
        <v>0</v>
      </c>
      <c r="Z56">
        <f>IF(OR(N56="",X56="",Y56="",Y56=X56),"",100*(N56-X56)/(Y56-X56))</f>
        <v>0</v>
      </c>
      <c r="AA56">
        <f>IF(COUNT($Z$54:$Z$56)&lt;3,"",AVERAGE($Z$54:$Z$56))</f>
        <v>0</v>
      </c>
      <c r="AB56">
        <f>IF(COUNT($AA$54:$AA$56)&lt;3,"",AVERAGE($AA$54:$AA$56))</f>
        <v>0</v>
      </c>
      <c r="AC56">
        <f>IF($E56="","",MAX($C56-$D56,ABS($C56-$E55),ABS($D56-$E55)))</f>
        <v>0</v>
      </c>
      <c r="AD56">
        <f>IF(COUNT($E$2:$E56)&lt;15,"",AVERAGE($AC$43:$AC$56))</f>
        <v>0</v>
      </c>
      <c r="AE56">
        <f>IF(OR($E56="",$E55=""),"",IF(AND(($C56-$C55)&gt;($D55-$D56),($C56-$C55)&gt;0),$C56-$C55,0))</f>
        <v>0</v>
      </c>
      <c r="AF56">
        <f>IF(OR($E56="",$E55=""),"",IF(AND(($D55-$D56)&gt;($C56-$C55),($D55-$D56)&gt;0),$D55-$D56,0))</f>
        <v>0</v>
      </c>
      <c r="AG56">
        <f>IF(COUNT($E$2:$E56)&lt;15,"",IF(SUM($AC$43:$AC$56)=0,0,100*SUM($AE$43:$AE$56)/SUM($AC$43:$AC$56)))</f>
        <v>0</v>
      </c>
      <c r="AH56">
        <f>IF(COUNT($E$2:$E56)&lt;15,"",IF(SUM($AC$43:$AC$56)=0,0,100*SUM($AF$43:$AF$56)/SUM($AC$43:$AC$56)))</f>
        <v>0</v>
      </c>
      <c r="AI56">
        <f>IF(OR(AG56="",AH56=""),"",IF((AG56+AH56)=0,0,100*ABS(AG56-AH56)/(AG56+AH56)))</f>
        <v>0</v>
      </c>
      <c r="AJ56">
        <f>IF(COUNT($AI$43:$AI$56)&lt;14,"",AVERAGE($AI$43:$AI$56))</f>
        <v>0</v>
      </c>
      <c r="AK56">
        <f>IF(COUNT($E$2:$E56)&lt;20,"",AVERAGE($E$37:$E$56))</f>
        <v>0</v>
      </c>
      <c r="AL56">
        <f>IF(COUNT($E$2:$E56)&lt;20,"",STDEVP($E$37:$E$56))</f>
        <v>0</v>
      </c>
      <c r="AM56">
        <f>IF(AK56="","",AK56+2*AL56)</f>
        <v>0</v>
      </c>
      <c r="AN56">
        <f>IF(AK56="","",AK56-2*AL56)</f>
        <v>0</v>
      </c>
      <c r="AO56">
        <f>IF(OR(AM56="",AN56="",AM56=AN56),"",($E56-AN56)/(AM56-AN56))</f>
        <v>0</v>
      </c>
      <c r="AP56">
        <f>IF(OR(AM56="",AK56="",AK56=0),"",(AM56-AN56)/AK56)</f>
        <v>0</v>
      </c>
      <c r="AQ56">
        <f>IF(COUNT($E$2:$E56)&lt;20,"",MAX($C$37:$C$56))</f>
        <v>0</v>
      </c>
      <c r="AR56">
        <f>IF(COUNT($E$2:$E56)&lt;20,"",MIN($D$37:$D$56))</f>
        <v>0</v>
      </c>
      <c r="AS56">
        <f>IF(OR(AQ56="",AR56=""),"",(AQ56+AR56)/2)</f>
        <v>0</v>
      </c>
      <c r="AT56">
        <f>IF(COUNT($G$37:$G$56)&lt;20,"",STDEV($G$37:$G$56)*SQRT(52))</f>
        <v>0</v>
      </c>
      <c r="AU56">
        <f>IF(COUNT($E$2:$E56)&lt;9,"",(MAX($C$48:$C$56)+MIN($D$48:$D$56))/2)</f>
        <v>0</v>
      </c>
      <c r="AV56">
        <f>IF(COUNT($E$2:$E56)&lt;26,"",(MAX($C$31:$C$56)+MIN($D$31:$D$56))/2)</f>
        <v>0</v>
      </c>
      <c r="AW56">
        <f>IF(OR(AU56="",AV56=""),"",(AU56+AV56)/2)</f>
        <v>0</v>
      </c>
      <c r="AX56">
        <f>IF(COUNT($E$2:$E56)&lt;52,"",(MAX($C$5:$C$56)+MIN($D$5:$D$56))/2)</f>
        <v>0</v>
      </c>
      <c r="AY56">
        <f>IF(COUNT($E$2:$E56)&lt;20,"",MAX($C$2:$C$56))</f>
        <v>0</v>
      </c>
      <c r="AZ56">
        <f>IF(COUNT($E$2:$E56)&lt;20,"",MIN($D$2:$D$56))</f>
        <v>0</v>
      </c>
      <c r="BA56">
        <f>IF(COUNT($E$2:$E56)&lt;20,"",SLOPE($E$2:$E$56,$F$2:$F$56))</f>
        <v>0</v>
      </c>
      <c r="BB56">
        <f>IF(COUNT($E$2:$E56)&lt;20,"",INTERCEPT($E$2:$E$56,$F$2:$F$56))</f>
        <v>0</v>
      </c>
      <c r="BC56">
        <f>IF(OR(BA56="",BB56=""),"",BB56+BA56*F56)</f>
        <v>0</v>
      </c>
      <c r="BD56">
        <f>IF(COUNT($E$2:$E56)&lt;20,"",STEYX($E$2:$E$56,$F$2:$F$56))</f>
        <v>0</v>
      </c>
      <c r="BE56">
        <f>IF($E56="","",IF(AND(COUNT($E$57:$E$60)&gt;=4,$C56=MAX($C$52:$C$60)),$C56,""))</f>
        <v>0</v>
      </c>
      <c r="BF56">
        <f>IF($E56="","",IF(AND(COUNT($E$57:$E$60)&gt;=4,$D56=MIN($D$52:$D$60)),$D56,""))</f>
        <v>0</v>
      </c>
      <c r="BG56">
        <f>IFERROR(SMALL(Calc_Daily!$BM$2:$BM$2001,55),"")</f>
        <v>0</v>
      </c>
    </row>
    <row r="57" spans="1:59">
      <c r="A57" s="27">
        <f>IF($BG57="","",INDEX(Calc_Daily!$A$2:$A$2001,$BG57))</f>
        <v>0</v>
      </c>
      <c r="B57">
        <f>IF($BG57="","",INDEX(Calc_Daily!$BJ$2:$BJ$2001,$BG57))</f>
        <v>0</v>
      </c>
      <c r="C57">
        <f>IF($BG57="","",INDEX(Calc_Daily!$BK$2:$BK$2001,$BG57))</f>
        <v>0</v>
      </c>
      <c r="D57">
        <f>IF($BG57="","",INDEX(Calc_Daily!$BL$2:$BL$2001,$BG57))</f>
        <v>0</v>
      </c>
      <c r="E57">
        <f>IF($BG57="","",INDEX(Calc_Daily!$E$2:$E$2001,$BG57))</f>
        <v>0</v>
      </c>
      <c r="F57">
        <f>IF($E57="","",N(F56)+1)</f>
        <v>0</v>
      </c>
      <c r="G57">
        <f>IF(OR($E57="",$E56=""),"",LN($E57/$E56))</f>
        <v>0</v>
      </c>
      <c r="H57">
        <f>IF($E57="","",IF($E56="",$E57,$E57*0.0952380952+H56*0.9047619048))</f>
        <v>0</v>
      </c>
      <c r="I57">
        <f>IF($E57="","",IF($E56="",$E57,$E57*0.0392156863+I56*0.9607843137))</f>
        <v>0</v>
      </c>
      <c r="J57">
        <f>IF($E57="","",IF($E56="",$E57,$E57*0.0198019802+J56*0.9801980198))</f>
        <v>0</v>
      </c>
      <c r="K57">
        <f>IF($E57="","",IF($E56="",$E57,$E57*0.0099502488+K56*0.9900497512))</f>
        <v>0</v>
      </c>
      <c r="L57">
        <f>IF(OR($E57="",$E56=""),"",MAX($E57-$E56,0))</f>
        <v>0</v>
      </c>
      <c r="M57">
        <f>IF(OR($E57="",$E56=""),"",MAX($E56-$E57,0))</f>
        <v>0</v>
      </c>
      <c r="N57">
        <f>IF(COUNT($E$2:$E57)&lt;15,"",IF(AVERAGE($M$44:$M$57)=0,100,100-100/(1+AVERAGE($L$44:$L$57)/AVERAGE($M$44:$M$57))))</f>
        <v>0</v>
      </c>
      <c r="O57">
        <f>IF($E57="","",IF($E56="",$E57,$E57*0.1538461538+O56*0.8461538462))</f>
        <v>0</v>
      </c>
      <c r="P57">
        <f>IF($E57="","",IF($E56="",$E57,$E57*0.0740740741+P56*0.9259259259))</f>
        <v>0</v>
      </c>
      <c r="Q57">
        <f>IF(OR(O57="",P57=""),"",O57-P57)</f>
        <v>0</v>
      </c>
      <c r="R57">
        <f>IF(Q57="","",IF(R56="",Q57,Q57*0.2000000000+R56*0.8000000000))</f>
        <v>0</v>
      </c>
      <c r="S57">
        <f>IF(OR(Q57="",R57=""),"",Q57-R57)</f>
        <v>0</v>
      </c>
      <c r="T57">
        <f>IF(COUNT($E$2:$E57)&lt;14,"",MAX($C$44:$C$57))</f>
        <v>0</v>
      </c>
      <c r="U57">
        <f>IF(COUNT($E$2:$E57)&lt;14,"",MIN($D$44:$D$57))</f>
        <v>0</v>
      </c>
      <c r="V57">
        <f>IF(OR(T57="",U57="",T57=U57),"",100*($E57-U57)/(T57-U57))</f>
        <v>0</v>
      </c>
      <c r="W57">
        <f>IF(COUNT($V$55:$V$57)&lt;3,"",AVERAGE($V$55:$V$57))</f>
        <v>0</v>
      </c>
      <c r="X57">
        <f>IF(COUNT($N$44:$N$57)&lt;14,"",MIN($N$44:$N$57))</f>
        <v>0</v>
      </c>
      <c r="Y57">
        <f>IF(COUNT($N$44:$N$57)&lt;14,"",MAX($N$44:$N$57))</f>
        <v>0</v>
      </c>
      <c r="Z57">
        <f>IF(OR(N57="",X57="",Y57="",Y57=X57),"",100*(N57-X57)/(Y57-X57))</f>
        <v>0</v>
      </c>
      <c r="AA57">
        <f>IF(COUNT($Z$55:$Z$57)&lt;3,"",AVERAGE($Z$55:$Z$57))</f>
        <v>0</v>
      </c>
      <c r="AB57">
        <f>IF(COUNT($AA$55:$AA$57)&lt;3,"",AVERAGE($AA$55:$AA$57))</f>
        <v>0</v>
      </c>
      <c r="AC57">
        <f>IF($E57="","",MAX($C57-$D57,ABS($C57-$E56),ABS($D57-$E56)))</f>
        <v>0</v>
      </c>
      <c r="AD57">
        <f>IF(COUNT($E$2:$E57)&lt;15,"",AVERAGE($AC$44:$AC$57))</f>
        <v>0</v>
      </c>
      <c r="AE57">
        <f>IF(OR($E57="",$E56=""),"",IF(AND(($C57-$C56)&gt;($D56-$D57),($C57-$C56)&gt;0),$C57-$C56,0))</f>
        <v>0</v>
      </c>
      <c r="AF57">
        <f>IF(OR($E57="",$E56=""),"",IF(AND(($D56-$D57)&gt;($C57-$C56),($D56-$D57)&gt;0),$D56-$D57,0))</f>
        <v>0</v>
      </c>
      <c r="AG57">
        <f>IF(COUNT($E$2:$E57)&lt;15,"",IF(SUM($AC$44:$AC$57)=0,0,100*SUM($AE$44:$AE$57)/SUM($AC$44:$AC$57)))</f>
        <v>0</v>
      </c>
      <c r="AH57">
        <f>IF(COUNT($E$2:$E57)&lt;15,"",IF(SUM($AC$44:$AC$57)=0,0,100*SUM($AF$44:$AF$57)/SUM($AC$44:$AC$57)))</f>
        <v>0</v>
      </c>
      <c r="AI57">
        <f>IF(OR(AG57="",AH57=""),"",IF((AG57+AH57)=0,0,100*ABS(AG57-AH57)/(AG57+AH57)))</f>
        <v>0</v>
      </c>
      <c r="AJ57">
        <f>IF(COUNT($AI$44:$AI$57)&lt;14,"",AVERAGE($AI$44:$AI$57))</f>
        <v>0</v>
      </c>
      <c r="AK57">
        <f>IF(COUNT($E$2:$E57)&lt;20,"",AVERAGE($E$38:$E$57))</f>
        <v>0</v>
      </c>
      <c r="AL57">
        <f>IF(COUNT($E$2:$E57)&lt;20,"",STDEVP($E$38:$E$57))</f>
        <v>0</v>
      </c>
      <c r="AM57">
        <f>IF(AK57="","",AK57+2*AL57)</f>
        <v>0</v>
      </c>
      <c r="AN57">
        <f>IF(AK57="","",AK57-2*AL57)</f>
        <v>0</v>
      </c>
      <c r="AO57">
        <f>IF(OR(AM57="",AN57="",AM57=AN57),"",($E57-AN57)/(AM57-AN57))</f>
        <v>0</v>
      </c>
      <c r="AP57">
        <f>IF(OR(AM57="",AK57="",AK57=0),"",(AM57-AN57)/AK57)</f>
        <v>0</v>
      </c>
      <c r="AQ57">
        <f>IF(COUNT($E$2:$E57)&lt;20,"",MAX($C$38:$C$57))</f>
        <v>0</v>
      </c>
      <c r="AR57">
        <f>IF(COUNT($E$2:$E57)&lt;20,"",MIN($D$38:$D$57))</f>
        <v>0</v>
      </c>
      <c r="AS57">
        <f>IF(OR(AQ57="",AR57=""),"",(AQ57+AR57)/2)</f>
        <v>0</v>
      </c>
      <c r="AT57">
        <f>IF(COUNT($G$38:$G$57)&lt;20,"",STDEV($G$38:$G$57)*SQRT(52))</f>
        <v>0</v>
      </c>
      <c r="AU57">
        <f>IF(COUNT($E$2:$E57)&lt;9,"",(MAX($C$49:$C$57)+MIN($D$49:$D$57))/2)</f>
        <v>0</v>
      </c>
      <c r="AV57">
        <f>IF(COUNT($E$2:$E57)&lt;26,"",(MAX($C$32:$C$57)+MIN($D$32:$D$57))/2)</f>
        <v>0</v>
      </c>
      <c r="AW57">
        <f>IF(OR(AU57="",AV57=""),"",(AU57+AV57)/2)</f>
        <v>0</v>
      </c>
      <c r="AX57">
        <f>IF(COUNT($E$2:$E57)&lt;52,"",(MAX($C$6:$C$57)+MIN($D$6:$D$57))/2)</f>
        <v>0</v>
      </c>
      <c r="AY57">
        <f>IF(COUNT($E$2:$E57)&lt;20,"",MAX($C$2:$C$57))</f>
        <v>0</v>
      </c>
      <c r="AZ57">
        <f>IF(COUNT($E$2:$E57)&lt;20,"",MIN($D$2:$D$57))</f>
        <v>0</v>
      </c>
      <c r="BA57">
        <f>IF(COUNT($E$2:$E57)&lt;20,"",SLOPE($E$2:$E$57,$F$2:$F$57))</f>
        <v>0</v>
      </c>
      <c r="BB57">
        <f>IF(COUNT($E$2:$E57)&lt;20,"",INTERCEPT($E$2:$E$57,$F$2:$F$57))</f>
        <v>0</v>
      </c>
      <c r="BC57">
        <f>IF(OR(BA57="",BB57=""),"",BB57+BA57*F57)</f>
        <v>0</v>
      </c>
      <c r="BD57">
        <f>IF(COUNT($E$2:$E57)&lt;20,"",STEYX($E$2:$E$57,$F$2:$F$57))</f>
        <v>0</v>
      </c>
      <c r="BE57">
        <f>IF($E57="","",IF(AND(COUNT($E$58:$E$61)&gt;=4,$C57=MAX($C$53:$C$61)),$C57,""))</f>
        <v>0</v>
      </c>
      <c r="BF57">
        <f>IF($E57="","",IF(AND(COUNT($E$58:$E$61)&gt;=4,$D57=MIN($D$53:$D$61)),$D57,""))</f>
        <v>0</v>
      </c>
      <c r="BG57">
        <f>IFERROR(SMALL(Calc_Daily!$BM$2:$BM$2001,56),"")</f>
        <v>0</v>
      </c>
    </row>
    <row r="58" spans="1:59">
      <c r="A58" s="27">
        <f>IF($BG58="","",INDEX(Calc_Daily!$A$2:$A$2001,$BG58))</f>
        <v>0</v>
      </c>
      <c r="B58">
        <f>IF($BG58="","",INDEX(Calc_Daily!$BJ$2:$BJ$2001,$BG58))</f>
        <v>0</v>
      </c>
      <c r="C58">
        <f>IF($BG58="","",INDEX(Calc_Daily!$BK$2:$BK$2001,$BG58))</f>
        <v>0</v>
      </c>
      <c r="D58">
        <f>IF($BG58="","",INDEX(Calc_Daily!$BL$2:$BL$2001,$BG58))</f>
        <v>0</v>
      </c>
      <c r="E58">
        <f>IF($BG58="","",INDEX(Calc_Daily!$E$2:$E$2001,$BG58))</f>
        <v>0</v>
      </c>
      <c r="F58">
        <f>IF($E58="","",N(F57)+1)</f>
        <v>0</v>
      </c>
      <c r="G58">
        <f>IF(OR($E58="",$E57=""),"",LN($E58/$E57))</f>
        <v>0</v>
      </c>
      <c r="H58">
        <f>IF($E58="","",IF($E57="",$E58,$E58*0.0952380952+H57*0.9047619048))</f>
        <v>0</v>
      </c>
      <c r="I58">
        <f>IF($E58="","",IF($E57="",$E58,$E58*0.0392156863+I57*0.9607843137))</f>
        <v>0</v>
      </c>
      <c r="J58">
        <f>IF($E58="","",IF($E57="",$E58,$E58*0.0198019802+J57*0.9801980198))</f>
        <v>0</v>
      </c>
      <c r="K58">
        <f>IF($E58="","",IF($E57="",$E58,$E58*0.0099502488+K57*0.9900497512))</f>
        <v>0</v>
      </c>
      <c r="L58">
        <f>IF(OR($E58="",$E57=""),"",MAX($E58-$E57,0))</f>
        <v>0</v>
      </c>
      <c r="M58">
        <f>IF(OR($E58="",$E57=""),"",MAX($E57-$E58,0))</f>
        <v>0</v>
      </c>
      <c r="N58">
        <f>IF(COUNT($E$2:$E58)&lt;15,"",IF(AVERAGE($M$45:$M$58)=0,100,100-100/(1+AVERAGE($L$45:$L$58)/AVERAGE($M$45:$M$58))))</f>
        <v>0</v>
      </c>
      <c r="O58">
        <f>IF($E58="","",IF($E57="",$E58,$E58*0.1538461538+O57*0.8461538462))</f>
        <v>0</v>
      </c>
      <c r="P58">
        <f>IF($E58="","",IF($E57="",$E58,$E58*0.0740740741+P57*0.9259259259))</f>
        <v>0</v>
      </c>
      <c r="Q58">
        <f>IF(OR(O58="",P58=""),"",O58-P58)</f>
        <v>0</v>
      </c>
      <c r="R58">
        <f>IF(Q58="","",IF(R57="",Q58,Q58*0.2000000000+R57*0.8000000000))</f>
        <v>0</v>
      </c>
      <c r="S58">
        <f>IF(OR(Q58="",R58=""),"",Q58-R58)</f>
        <v>0</v>
      </c>
      <c r="T58">
        <f>IF(COUNT($E$2:$E58)&lt;14,"",MAX($C$45:$C$58))</f>
        <v>0</v>
      </c>
      <c r="U58">
        <f>IF(COUNT($E$2:$E58)&lt;14,"",MIN($D$45:$D$58))</f>
        <v>0</v>
      </c>
      <c r="V58">
        <f>IF(OR(T58="",U58="",T58=U58),"",100*($E58-U58)/(T58-U58))</f>
        <v>0</v>
      </c>
      <c r="W58">
        <f>IF(COUNT($V$56:$V$58)&lt;3,"",AVERAGE($V$56:$V$58))</f>
        <v>0</v>
      </c>
      <c r="X58">
        <f>IF(COUNT($N$45:$N$58)&lt;14,"",MIN($N$45:$N$58))</f>
        <v>0</v>
      </c>
      <c r="Y58">
        <f>IF(COUNT($N$45:$N$58)&lt;14,"",MAX($N$45:$N$58))</f>
        <v>0</v>
      </c>
      <c r="Z58">
        <f>IF(OR(N58="",X58="",Y58="",Y58=X58),"",100*(N58-X58)/(Y58-X58))</f>
        <v>0</v>
      </c>
      <c r="AA58">
        <f>IF(COUNT($Z$56:$Z$58)&lt;3,"",AVERAGE($Z$56:$Z$58))</f>
        <v>0</v>
      </c>
      <c r="AB58">
        <f>IF(COUNT($AA$56:$AA$58)&lt;3,"",AVERAGE($AA$56:$AA$58))</f>
        <v>0</v>
      </c>
      <c r="AC58">
        <f>IF($E58="","",MAX($C58-$D58,ABS($C58-$E57),ABS($D58-$E57)))</f>
        <v>0</v>
      </c>
      <c r="AD58">
        <f>IF(COUNT($E$2:$E58)&lt;15,"",AVERAGE($AC$45:$AC$58))</f>
        <v>0</v>
      </c>
      <c r="AE58">
        <f>IF(OR($E58="",$E57=""),"",IF(AND(($C58-$C57)&gt;($D57-$D58),($C58-$C57)&gt;0),$C58-$C57,0))</f>
        <v>0</v>
      </c>
      <c r="AF58">
        <f>IF(OR($E58="",$E57=""),"",IF(AND(($D57-$D58)&gt;($C58-$C57),($D57-$D58)&gt;0),$D57-$D58,0))</f>
        <v>0</v>
      </c>
      <c r="AG58">
        <f>IF(COUNT($E$2:$E58)&lt;15,"",IF(SUM($AC$45:$AC$58)=0,0,100*SUM($AE$45:$AE$58)/SUM($AC$45:$AC$58)))</f>
        <v>0</v>
      </c>
      <c r="AH58">
        <f>IF(COUNT($E$2:$E58)&lt;15,"",IF(SUM($AC$45:$AC$58)=0,0,100*SUM($AF$45:$AF$58)/SUM($AC$45:$AC$58)))</f>
        <v>0</v>
      </c>
      <c r="AI58">
        <f>IF(OR(AG58="",AH58=""),"",IF((AG58+AH58)=0,0,100*ABS(AG58-AH58)/(AG58+AH58)))</f>
        <v>0</v>
      </c>
      <c r="AJ58">
        <f>IF(COUNT($AI$45:$AI$58)&lt;14,"",AVERAGE($AI$45:$AI$58))</f>
        <v>0</v>
      </c>
      <c r="AK58">
        <f>IF(COUNT($E$2:$E58)&lt;20,"",AVERAGE($E$39:$E$58))</f>
        <v>0</v>
      </c>
      <c r="AL58">
        <f>IF(COUNT($E$2:$E58)&lt;20,"",STDEVP($E$39:$E$58))</f>
        <v>0</v>
      </c>
      <c r="AM58">
        <f>IF(AK58="","",AK58+2*AL58)</f>
        <v>0</v>
      </c>
      <c r="AN58">
        <f>IF(AK58="","",AK58-2*AL58)</f>
        <v>0</v>
      </c>
      <c r="AO58">
        <f>IF(OR(AM58="",AN58="",AM58=AN58),"",($E58-AN58)/(AM58-AN58))</f>
        <v>0</v>
      </c>
      <c r="AP58">
        <f>IF(OR(AM58="",AK58="",AK58=0),"",(AM58-AN58)/AK58)</f>
        <v>0</v>
      </c>
      <c r="AQ58">
        <f>IF(COUNT($E$2:$E58)&lt;20,"",MAX($C$39:$C$58))</f>
        <v>0</v>
      </c>
      <c r="AR58">
        <f>IF(COUNT($E$2:$E58)&lt;20,"",MIN($D$39:$D$58))</f>
        <v>0</v>
      </c>
      <c r="AS58">
        <f>IF(OR(AQ58="",AR58=""),"",(AQ58+AR58)/2)</f>
        <v>0</v>
      </c>
      <c r="AT58">
        <f>IF(COUNT($G$39:$G$58)&lt;20,"",STDEV($G$39:$G$58)*SQRT(52))</f>
        <v>0</v>
      </c>
      <c r="AU58">
        <f>IF(COUNT($E$2:$E58)&lt;9,"",(MAX($C$50:$C$58)+MIN($D$50:$D$58))/2)</f>
        <v>0</v>
      </c>
      <c r="AV58">
        <f>IF(COUNT($E$2:$E58)&lt;26,"",(MAX($C$33:$C$58)+MIN($D$33:$D$58))/2)</f>
        <v>0</v>
      </c>
      <c r="AW58">
        <f>IF(OR(AU58="",AV58=""),"",(AU58+AV58)/2)</f>
        <v>0</v>
      </c>
      <c r="AX58">
        <f>IF(COUNT($E$2:$E58)&lt;52,"",(MAX($C$7:$C$58)+MIN($D$7:$D$58))/2)</f>
        <v>0</v>
      </c>
      <c r="AY58">
        <f>IF(COUNT($E$2:$E58)&lt;20,"",MAX($C$2:$C$58))</f>
        <v>0</v>
      </c>
      <c r="AZ58">
        <f>IF(COUNT($E$2:$E58)&lt;20,"",MIN($D$2:$D$58))</f>
        <v>0</v>
      </c>
      <c r="BA58">
        <f>IF(COUNT($E$2:$E58)&lt;20,"",SLOPE($E$2:$E$58,$F$2:$F$58))</f>
        <v>0</v>
      </c>
      <c r="BB58">
        <f>IF(COUNT($E$2:$E58)&lt;20,"",INTERCEPT($E$2:$E$58,$F$2:$F$58))</f>
        <v>0</v>
      </c>
      <c r="BC58">
        <f>IF(OR(BA58="",BB58=""),"",BB58+BA58*F58)</f>
        <v>0</v>
      </c>
      <c r="BD58">
        <f>IF(COUNT($E$2:$E58)&lt;20,"",STEYX($E$2:$E$58,$F$2:$F$58))</f>
        <v>0</v>
      </c>
      <c r="BE58">
        <f>IF($E58="","",IF(AND(COUNT($E$59:$E$62)&gt;=4,$C58=MAX($C$54:$C$62)),$C58,""))</f>
        <v>0</v>
      </c>
      <c r="BF58">
        <f>IF($E58="","",IF(AND(COUNT($E$59:$E$62)&gt;=4,$D58=MIN($D$54:$D$62)),$D58,""))</f>
        <v>0</v>
      </c>
      <c r="BG58">
        <f>IFERROR(SMALL(Calc_Daily!$BM$2:$BM$2001,57),"")</f>
        <v>0</v>
      </c>
    </row>
    <row r="59" spans="1:59">
      <c r="A59" s="27">
        <f>IF($BG59="","",INDEX(Calc_Daily!$A$2:$A$2001,$BG59))</f>
        <v>0</v>
      </c>
      <c r="B59">
        <f>IF($BG59="","",INDEX(Calc_Daily!$BJ$2:$BJ$2001,$BG59))</f>
        <v>0</v>
      </c>
      <c r="C59">
        <f>IF($BG59="","",INDEX(Calc_Daily!$BK$2:$BK$2001,$BG59))</f>
        <v>0</v>
      </c>
      <c r="D59">
        <f>IF($BG59="","",INDEX(Calc_Daily!$BL$2:$BL$2001,$BG59))</f>
        <v>0</v>
      </c>
      <c r="E59">
        <f>IF($BG59="","",INDEX(Calc_Daily!$E$2:$E$2001,$BG59))</f>
        <v>0</v>
      </c>
      <c r="F59">
        <f>IF($E59="","",N(F58)+1)</f>
        <v>0</v>
      </c>
      <c r="G59">
        <f>IF(OR($E59="",$E58=""),"",LN($E59/$E58))</f>
        <v>0</v>
      </c>
      <c r="H59">
        <f>IF($E59="","",IF($E58="",$E59,$E59*0.0952380952+H58*0.9047619048))</f>
        <v>0</v>
      </c>
      <c r="I59">
        <f>IF($E59="","",IF($E58="",$E59,$E59*0.0392156863+I58*0.9607843137))</f>
        <v>0</v>
      </c>
      <c r="J59">
        <f>IF($E59="","",IF($E58="",$E59,$E59*0.0198019802+J58*0.9801980198))</f>
        <v>0</v>
      </c>
      <c r="K59">
        <f>IF($E59="","",IF($E58="",$E59,$E59*0.0099502488+K58*0.9900497512))</f>
        <v>0</v>
      </c>
      <c r="L59">
        <f>IF(OR($E59="",$E58=""),"",MAX($E59-$E58,0))</f>
        <v>0</v>
      </c>
      <c r="M59">
        <f>IF(OR($E59="",$E58=""),"",MAX($E58-$E59,0))</f>
        <v>0</v>
      </c>
      <c r="N59">
        <f>IF(COUNT($E$2:$E59)&lt;15,"",IF(AVERAGE($M$46:$M$59)=0,100,100-100/(1+AVERAGE($L$46:$L$59)/AVERAGE($M$46:$M$59))))</f>
        <v>0</v>
      </c>
      <c r="O59">
        <f>IF($E59="","",IF($E58="",$E59,$E59*0.1538461538+O58*0.8461538462))</f>
        <v>0</v>
      </c>
      <c r="P59">
        <f>IF($E59="","",IF($E58="",$E59,$E59*0.0740740741+P58*0.9259259259))</f>
        <v>0</v>
      </c>
      <c r="Q59">
        <f>IF(OR(O59="",P59=""),"",O59-P59)</f>
        <v>0</v>
      </c>
      <c r="R59">
        <f>IF(Q59="","",IF(R58="",Q59,Q59*0.2000000000+R58*0.8000000000))</f>
        <v>0</v>
      </c>
      <c r="S59">
        <f>IF(OR(Q59="",R59=""),"",Q59-R59)</f>
        <v>0</v>
      </c>
      <c r="T59">
        <f>IF(COUNT($E$2:$E59)&lt;14,"",MAX($C$46:$C$59))</f>
        <v>0</v>
      </c>
      <c r="U59">
        <f>IF(COUNT($E$2:$E59)&lt;14,"",MIN($D$46:$D$59))</f>
        <v>0</v>
      </c>
      <c r="V59">
        <f>IF(OR(T59="",U59="",T59=U59),"",100*($E59-U59)/(T59-U59))</f>
        <v>0</v>
      </c>
      <c r="W59">
        <f>IF(COUNT($V$57:$V$59)&lt;3,"",AVERAGE($V$57:$V$59))</f>
        <v>0</v>
      </c>
      <c r="X59">
        <f>IF(COUNT($N$46:$N$59)&lt;14,"",MIN($N$46:$N$59))</f>
        <v>0</v>
      </c>
      <c r="Y59">
        <f>IF(COUNT($N$46:$N$59)&lt;14,"",MAX($N$46:$N$59))</f>
        <v>0</v>
      </c>
      <c r="Z59">
        <f>IF(OR(N59="",X59="",Y59="",Y59=X59),"",100*(N59-X59)/(Y59-X59))</f>
        <v>0</v>
      </c>
      <c r="AA59">
        <f>IF(COUNT($Z$57:$Z$59)&lt;3,"",AVERAGE($Z$57:$Z$59))</f>
        <v>0</v>
      </c>
      <c r="AB59">
        <f>IF(COUNT($AA$57:$AA$59)&lt;3,"",AVERAGE($AA$57:$AA$59))</f>
        <v>0</v>
      </c>
      <c r="AC59">
        <f>IF($E59="","",MAX($C59-$D59,ABS($C59-$E58),ABS($D59-$E58)))</f>
        <v>0</v>
      </c>
      <c r="AD59">
        <f>IF(COUNT($E$2:$E59)&lt;15,"",AVERAGE($AC$46:$AC$59))</f>
        <v>0</v>
      </c>
      <c r="AE59">
        <f>IF(OR($E59="",$E58=""),"",IF(AND(($C59-$C58)&gt;($D58-$D59),($C59-$C58)&gt;0),$C59-$C58,0))</f>
        <v>0</v>
      </c>
      <c r="AF59">
        <f>IF(OR($E59="",$E58=""),"",IF(AND(($D58-$D59)&gt;($C59-$C58),($D58-$D59)&gt;0),$D58-$D59,0))</f>
        <v>0</v>
      </c>
      <c r="AG59">
        <f>IF(COUNT($E$2:$E59)&lt;15,"",IF(SUM($AC$46:$AC$59)=0,0,100*SUM($AE$46:$AE$59)/SUM($AC$46:$AC$59)))</f>
        <v>0</v>
      </c>
      <c r="AH59">
        <f>IF(COUNT($E$2:$E59)&lt;15,"",IF(SUM($AC$46:$AC$59)=0,0,100*SUM($AF$46:$AF$59)/SUM($AC$46:$AC$59)))</f>
        <v>0</v>
      </c>
      <c r="AI59">
        <f>IF(OR(AG59="",AH59=""),"",IF((AG59+AH59)=0,0,100*ABS(AG59-AH59)/(AG59+AH59)))</f>
        <v>0</v>
      </c>
      <c r="AJ59">
        <f>IF(COUNT($AI$46:$AI$59)&lt;14,"",AVERAGE($AI$46:$AI$59))</f>
        <v>0</v>
      </c>
      <c r="AK59">
        <f>IF(COUNT($E$2:$E59)&lt;20,"",AVERAGE($E$40:$E$59))</f>
        <v>0</v>
      </c>
      <c r="AL59">
        <f>IF(COUNT($E$2:$E59)&lt;20,"",STDEVP($E$40:$E$59))</f>
        <v>0</v>
      </c>
      <c r="AM59">
        <f>IF(AK59="","",AK59+2*AL59)</f>
        <v>0</v>
      </c>
      <c r="AN59">
        <f>IF(AK59="","",AK59-2*AL59)</f>
        <v>0</v>
      </c>
      <c r="AO59">
        <f>IF(OR(AM59="",AN59="",AM59=AN59),"",($E59-AN59)/(AM59-AN59))</f>
        <v>0</v>
      </c>
      <c r="AP59">
        <f>IF(OR(AM59="",AK59="",AK59=0),"",(AM59-AN59)/AK59)</f>
        <v>0</v>
      </c>
      <c r="AQ59">
        <f>IF(COUNT($E$2:$E59)&lt;20,"",MAX($C$40:$C$59))</f>
        <v>0</v>
      </c>
      <c r="AR59">
        <f>IF(COUNT($E$2:$E59)&lt;20,"",MIN($D$40:$D$59))</f>
        <v>0</v>
      </c>
      <c r="AS59">
        <f>IF(OR(AQ59="",AR59=""),"",(AQ59+AR59)/2)</f>
        <v>0</v>
      </c>
      <c r="AT59">
        <f>IF(COUNT($G$40:$G$59)&lt;20,"",STDEV($G$40:$G$59)*SQRT(52))</f>
        <v>0</v>
      </c>
      <c r="AU59">
        <f>IF(COUNT($E$2:$E59)&lt;9,"",(MAX($C$51:$C$59)+MIN($D$51:$D$59))/2)</f>
        <v>0</v>
      </c>
      <c r="AV59">
        <f>IF(COUNT($E$2:$E59)&lt;26,"",(MAX($C$34:$C$59)+MIN($D$34:$D$59))/2)</f>
        <v>0</v>
      </c>
      <c r="AW59">
        <f>IF(OR(AU59="",AV59=""),"",(AU59+AV59)/2)</f>
        <v>0</v>
      </c>
      <c r="AX59">
        <f>IF(COUNT($E$2:$E59)&lt;52,"",(MAX($C$8:$C$59)+MIN($D$8:$D$59))/2)</f>
        <v>0</v>
      </c>
      <c r="AY59">
        <f>IF(COUNT($E$2:$E59)&lt;20,"",MAX($C$2:$C$59))</f>
        <v>0</v>
      </c>
      <c r="AZ59">
        <f>IF(COUNT($E$2:$E59)&lt;20,"",MIN($D$2:$D$59))</f>
        <v>0</v>
      </c>
      <c r="BA59">
        <f>IF(COUNT($E$2:$E59)&lt;20,"",SLOPE($E$2:$E$59,$F$2:$F$59))</f>
        <v>0</v>
      </c>
      <c r="BB59">
        <f>IF(COUNT($E$2:$E59)&lt;20,"",INTERCEPT($E$2:$E$59,$F$2:$F$59))</f>
        <v>0</v>
      </c>
      <c r="BC59">
        <f>IF(OR(BA59="",BB59=""),"",BB59+BA59*F59)</f>
        <v>0</v>
      </c>
      <c r="BD59">
        <f>IF(COUNT($E$2:$E59)&lt;20,"",STEYX($E$2:$E$59,$F$2:$F$59))</f>
        <v>0</v>
      </c>
      <c r="BE59">
        <f>IF($E59="","",IF(AND(COUNT($E$60:$E$63)&gt;=4,$C59=MAX($C$55:$C$63)),$C59,""))</f>
        <v>0</v>
      </c>
      <c r="BF59">
        <f>IF($E59="","",IF(AND(COUNT($E$60:$E$63)&gt;=4,$D59=MIN($D$55:$D$63)),$D59,""))</f>
        <v>0</v>
      </c>
      <c r="BG59">
        <f>IFERROR(SMALL(Calc_Daily!$BM$2:$BM$2001,58),"")</f>
        <v>0</v>
      </c>
    </row>
    <row r="60" spans="1:59">
      <c r="A60" s="27">
        <f>IF($BG60="","",INDEX(Calc_Daily!$A$2:$A$2001,$BG60))</f>
        <v>0</v>
      </c>
      <c r="B60">
        <f>IF($BG60="","",INDEX(Calc_Daily!$BJ$2:$BJ$2001,$BG60))</f>
        <v>0</v>
      </c>
      <c r="C60">
        <f>IF($BG60="","",INDEX(Calc_Daily!$BK$2:$BK$2001,$BG60))</f>
        <v>0</v>
      </c>
      <c r="D60">
        <f>IF($BG60="","",INDEX(Calc_Daily!$BL$2:$BL$2001,$BG60))</f>
        <v>0</v>
      </c>
      <c r="E60">
        <f>IF($BG60="","",INDEX(Calc_Daily!$E$2:$E$2001,$BG60))</f>
        <v>0</v>
      </c>
      <c r="F60">
        <f>IF($E60="","",N(F59)+1)</f>
        <v>0</v>
      </c>
      <c r="G60">
        <f>IF(OR($E60="",$E59=""),"",LN($E60/$E59))</f>
        <v>0</v>
      </c>
      <c r="H60">
        <f>IF($E60="","",IF($E59="",$E60,$E60*0.0952380952+H59*0.9047619048))</f>
        <v>0</v>
      </c>
      <c r="I60">
        <f>IF($E60="","",IF($E59="",$E60,$E60*0.0392156863+I59*0.9607843137))</f>
        <v>0</v>
      </c>
      <c r="J60">
        <f>IF($E60="","",IF($E59="",$E60,$E60*0.0198019802+J59*0.9801980198))</f>
        <v>0</v>
      </c>
      <c r="K60">
        <f>IF($E60="","",IF($E59="",$E60,$E60*0.0099502488+K59*0.9900497512))</f>
        <v>0</v>
      </c>
      <c r="L60">
        <f>IF(OR($E60="",$E59=""),"",MAX($E60-$E59,0))</f>
        <v>0</v>
      </c>
      <c r="M60">
        <f>IF(OR($E60="",$E59=""),"",MAX($E59-$E60,0))</f>
        <v>0</v>
      </c>
      <c r="N60">
        <f>IF(COUNT($E$2:$E60)&lt;15,"",IF(AVERAGE($M$47:$M$60)=0,100,100-100/(1+AVERAGE($L$47:$L$60)/AVERAGE($M$47:$M$60))))</f>
        <v>0</v>
      </c>
      <c r="O60">
        <f>IF($E60="","",IF($E59="",$E60,$E60*0.1538461538+O59*0.8461538462))</f>
        <v>0</v>
      </c>
      <c r="P60">
        <f>IF($E60="","",IF($E59="",$E60,$E60*0.0740740741+P59*0.9259259259))</f>
        <v>0</v>
      </c>
      <c r="Q60">
        <f>IF(OR(O60="",P60=""),"",O60-P60)</f>
        <v>0</v>
      </c>
      <c r="R60">
        <f>IF(Q60="","",IF(R59="",Q60,Q60*0.2000000000+R59*0.8000000000))</f>
        <v>0</v>
      </c>
      <c r="S60">
        <f>IF(OR(Q60="",R60=""),"",Q60-R60)</f>
        <v>0</v>
      </c>
      <c r="T60">
        <f>IF(COUNT($E$2:$E60)&lt;14,"",MAX($C$47:$C$60))</f>
        <v>0</v>
      </c>
      <c r="U60">
        <f>IF(COUNT($E$2:$E60)&lt;14,"",MIN($D$47:$D$60))</f>
        <v>0</v>
      </c>
      <c r="V60">
        <f>IF(OR(T60="",U60="",T60=U60),"",100*($E60-U60)/(T60-U60))</f>
        <v>0</v>
      </c>
      <c r="W60">
        <f>IF(COUNT($V$58:$V$60)&lt;3,"",AVERAGE($V$58:$V$60))</f>
        <v>0</v>
      </c>
      <c r="X60">
        <f>IF(COUNT($N$47:$N$60)&lt;14,"",MIN($N$47:$N$60))</f>
        <v>0</v>
      </c>
      <c r="Y60">
        <f>IF(COUNT($N$47:$N$60)&lt;14,"",MAX($N$47:$N$60))</f>
        <v>0</v>
      </c>
      <c r="Z60">
        <f>IF(OR(N60="",X60="",Y60="",Y60=X60),"",100*(N60-X60)/(Y60-X60))</f>
        <v>0</v>
      </c>
      <c r="AA60">
        <f>IF(COUNT($Z$58:$Z$60)&lt;3,"",AVERAGE($Z$58:$Z$60))</f>
        <v>0</v>
      </c>
      <c r="AB60">
        <f>IF(COUNT($AA$58:$AA$60)&lt;3,"",AVERAGE($AA$58:$AA$60))</f>
        <v>0</v>
      </c>
      <c r="AC60">
        <f>IF($E60="","",MAX($C60-$D60,ABS($C60-$E59),ABS($D60-$E59)))</f>
        <v>0</v>
      </c>
      <c r="AD60">
        <f>IF(COUNT($E$2:$E60)&lt;15,"",AVERAGE($AC$47:$AC$60))</f>
        <v>0</v>
      </c>
      <c r="AE60">
        <f>IF(OR($E60="",$E59=""),"",IF(AND(($C60-$C59)&gt;($D59-$D60),($C60-$C59)&gt;0),$C60-$C59,0))</f>
        <v>0</v>
      </c>
      <c r="AF60">
        <f>IF(OR($E60="",$E59=""),"",IF(AND(($D59-$D60)&gt;($C60-$C59),($D59-$D60)&gt;0),$D59-$D60,0))</f>
        <v>0</v>
      </c>
      <c r="AG60">
        <f>IF(COUNT($E$2:$E60)&lt;15,"",IF(SUM($AC$47:$AC$60)=0,0,100*SUM($AE$47:$AE$60)/SUM($AC$47:$AC$60)))</f>
        <v>0</v>
      </c>
      <c r="AH60">
        <f>IF(COUNT($E$2:$E60)&lt;15,"",IF(SUM($AC$47:$AC$60)=0,0,100*SUM($AF$47:$AF$60)/SUM($AC$47:$AC$60)))</f>
        <v>0</v>
      </c>
      <c r="AI60">
        <f>IF(OR(AG60="",AH60=""),"",IF((AG60+AH60)=0,0,100*ABS(AG60-AH60)/(AG60+AH60)))</f>
        <v>0</v>
      </c>
      <c r="AJ60">
        <f>IF(COUNT($AI$47:$AI$60)&lt;14,"",AVERAGE($AI$47:$AI$60))</f>
        <v>0</v>
      </c>
      <c r="AK60">
        <f>IF(COUNT($E$2:$E60)&lt;20,"",AVERAGE($E$41:$E$60))</f>
        <v>0</v>
      </c>
      <c r="AL60">
        <f>IF(COUNT($E$2:$E60)&lt;20,"",STDEVP($E$41:$E$60))</f>
        <v>0</v>
      </c>
      <c r="AM60">
        <f>IF(AK60="","",AK60+2*AL60)</f>
        <v>0</v>
      </c>
      <c r="AN60">
        <f>IF(AK60="","",AK60-2*AL60)</f>
        <v>0</v>
      </c>
      <c r="AO60">
        <f>IF(OR(AM60="",AN60="",AM60=AN60),"",($E60-AN60)/(AM60-AN60))</f>
        <v>0</v>
      </c>
      <c r="AP60">
        <f>IF(OR(AM60="",AK60="",AK60=0),"",(AM60-AN60)/AK60)</f>
        <v>0</v>
      </c>
      <c r="AQ60">
        <f>IF(COUNT($E$2:$E60)&lt;20,"",MAX($C$41:$C$60))</f>
        <v>0</v>
      </c>
      <c r="AR60">
        <f>IF(COUNT($E$2:$E60)&lt;20,"",MIN($D$41:$D$60))</f>
        <v>0</v>
      </c>
      <c r="AS60">
        <f>IF(OR(AQ60="",AR60=""),"",(AQ60+AR60)/2)</f>
        <v>0</v>
      </c>
      <c r="AT60">
        <f>IF(COUNT($G$41:$G$60)&lt;20,"",STDEV($G$41:$G$60)*SQRT(52))</f>
        <v>0</v>
      </c>
      <c r="AU60">
        <f>IF(COUNT($E$2:$E60)&lt;9,"",(MAX($C$52:$C$60)+MIN($D$52:$D$60))/2)</f>
        <v>0</v>
      </c>
      <c r="AV60">
        <f>IF(COUNT($E$2:$E60)&lt;26,"",(MAX($C$35:$C$60)+MIN($D$35:$D$60))/2)</f>
        <v>0</v>
      </c>
      <c r="AW60">
        <f>IF(OR(AU60="",AV60=""),"",(AU60+AV60)/2)</f>
        <v>0</v>
      </c>
      <c r="AX60">
        <f>IF(COUNT($E$2:$E60)&lt;52,"",(MAX($C$9:$C$60)+MIN($D$9:$D$60))/2)</f>
        <v>0</v>
      </c>
      <c r="AY60">
        <f>IF(COUNT($E$2:$E60)&lt;20,"",MAX($C$2:$C$60))</f>
        <v>0</v>
      </c>
      <c r="AZ60">
        <f>IF(COUNT($E$2:$E60)&lt;20,"",MIN($D$2:$D$60))</f>
        <v>0</v>
      </c>
      <c r="BA60">
        <f>IF(COUNT($E$2:$E60)&lt;20,"",SLOPE($E$2:$E$60,$F$2:$F$60))</f>
        <v>0</v>
      </c>
      <c r="BB60">
        <f>IF(COUNT($E$2:$E60)&lt;20,"",INTERCEPT($E$2:$E$60,$F$2:$F$60))</f>
        <v>0</v>
      </c>
      <c r="BC60">
        <f>IF(OR(BA60="",BB60=""),"",BB60+BA60*F60)</f>
        <v>0</v>
      </c>
      <c r="BD60">
        <f>IF(COUNT($E$2:$E60)&lt;20,"",STEYX($E$2:$E$60,$F$2:$F$60))</f>
        <v>0</v>
      </c>
      <c r="BE60">
        <f>IF($E60="","",IF(AND(COUNT($E$61:$E$64)&gt;=4,$C60=MAX($C$56:$C$64)),$C60,""))</f>
        <v>0</v>
      </c>
      <c r="BF60">
        <f>IF($E60="","",IF(AND(COUNT($E$61:$E$64)&gt;=4,$D60=MIN($D$56:$D$64)),$D60,""))</f>
        <v>0</v>
      </c>
      <c r="BG60">
        <f>IFERROR(SMALL(Calc_Daily!$BM$2:$BM$2001,59),"")</f>
        <v>0</v>
      </c>
    </row>
    <row r="61" spans="1:59">
      <c r="A61" s="27">
        <f>IF($BG61="","",INDEX(Calc_Daily!$A$2:$A$2001,$BG61))</f>
        <v>0</v>
      </c>
      <c r="B61">
        <f>IF($BG61="","",INDEX(Calc_Daily!$BJ$2:$BJ$2001,$BG61))</f>
        <v>0</v>
      </c>
      <c r="C61">
        <f>IF($BG61="","",INDEX(Calc_Daily!$BK$2:$BK$2001,$BG61))</f>
        <v>0</v>
      </c>
      <c r="D61">
        <f>IF($BG61="","",INDEX(Calc_Daily!$BL$2:$BL$2001,$BG61))</f>
        <v>0</v>
      </c>
      <c r="E61">
        <f>IF($BG61="","",INDEX(Calc_Daily!$E$2:$E$2001,$BG61))</f>
        <v>0</v>
      </c>
      <c r="F61">
        <f>IF($E61="","",N(F60)+1)</f>
        <v>0</v>
      </c>
      <c r="G61">
        <f>IF(OR($E61="",$E60=""),"",LN($E61/$E60))</f>
        <v>0</v>
      </c>
      <c r="H61">
        <f>IF($E61="","",IF($E60="",$E61,$E61*0.0952380952+H60*0.9047619048))</f>
        <v>0</v>
      </c>
      <c r="I61">
        <f>IF($E61="","",IF($E60="",$E61,$E61*0.0392156863+I60*0.9607843137))</f>
        <v>0</v>
      </c>
      <c r="J61">
        <f>IF($E61="","",IF($E60="",$E61,$E61*0.0198019802+J60*0.9801980198))</f>
        <v>0</v>
      </c>
      <c r="K61">
        <f>IF($E61="","",IF($E60="",$E61,$E61*0.0099502488+K60*0.9900497512))</f>
        <v>0</v>
      </c>
      <c r="L61">
        <f>IF(OR($E61="",$E60=""),"",MAX($E61-$E60,0))</f>
        <v>0</v>
      </c>
      <c r="M61">
        <f>IF(OR($E61="",$E60=""),"",MAX($E60-$E61,0))</f>
        <v>0</v>
      </c>
      <c r="N61">
        <f>IF(COUNT($E$2:$E61)&lt;15,"",IF(AVERAGE($M$48:$M$61)=0,100,100-100/(1+AVERAGE($L$48:$L$61)/AVERAGE($M$48:$M$61))))</f>
        <v>0</v>
      </c>
      <c r="O61">
        <f>IF($E61="","",IF($E60="",$E61,$E61*0.1538461538+O60*0.8461538462))</f>
        <v>0</v>
      </c>
      <c r="P61">
        <f>IF($E61="","",IF($E60="",$E61,$E61*0.0740740741+P60*0.9259259259))</f>
        <v>0</v>
      </c>
      <c r="Q61">
        <f>IF(OR(O61="",P61=""),"",O61-P61)</f>
        <v>0</v>
      </c>
      <c r="R61">
        <f>IF(Q61="","",IF(R60="",Q61,Q61*0.2000000000+R60*0.8000000000))</f>
        <v>0</v>
      </c>
      <c r="S61">
        <f>IF(OR(Q61="",R61=""),"",Q61-R61)</f>
        <v>0</v>
      </c>
      <c r="T61">
        <f>IF(COUNT($E$2:$E61)&lt;14,"",MAX($C$48:$C$61))</f>
        <v>0</v>
      </c>
      <c r="U61">
        <f>IF(COUNT($E$2:$E61)&lt;14,"",MIN($D$48:$D$61))</f>
        <v>0</v>
      </c>
      <c r="V61">
        <f>IF(OR(T61="",U61="",T61=U61),"",100*($E61-U61)/(T61-U61))</f>
        <v>0</v>
      </c>
      <c r="W61">
        <f>IF(COUNT($V$59:$V$61)&lt;3,"",AVERAGE($V$59:$V$61))</f>
        <v>0</v>
      </c>
      <c r="X61">
        <f>IF(COUNT($N$48:$N$61)&lt;14,"",MIN($N$48:$N$61))</f>
        <v>0</v>
      </c>
      <c r="Y61">
        <f>IF(COUNT($N$48:$N$61)&lt;14,"",MAX($N$48:$N$61))</f>
        <v>0</v>
      </c>
      <c r="Z61">
        <f>IF(OR(N61="",X61="",Y61="",Y61=X61),"",100*(N61-X61)/(Y61-X61))</f>
        <v>0</v>
      </c>
      <c r="AA61">
        <f>IF(COUNT($Z$59:$Z$61)&lt;3,"",AVERAGE($Z$59:$Z$61))</f>
        <v>0</v>
      </c>
      <c r="AB61">
        <f>IF(COUNT($AA$59:$AA$61)&lt;3,"",AVERAGE($AA$59:$AA$61))</f>
        <v>0</v>
      </c>
      <c r="AC61">
        <f>IF($E61="","",MAX($C61-$D61,ABS($C61-$E60),ABS($D61-$E60)))</f>
        <v>0</v>
      </c>
      <c r="AD61">
        <f>IF(COUNT($E$2:$E61)&lt;15,"",AVERAGE($AC$48:$AC$61))</f>
        <v>0</v>
      </c>
      <c r="AE61">
        <f>IF(OR($E61="",$E60=""),"",IF(AND(($C61-$C60)&gt;($D60-$D61),($C61-$C60)&gt;0),$C61-$C60,0))</f>
        <v>0</v>
      </c>
      <c r="AF61">
        <f>IF(OR($E61="",$E60=""),"",IF(AND(($D60-$D61)&gt;($C61-$C60),($D60-$D61)&gt;0),$D60-$D61,0))</f>
        <v>0</v>
      </c>
      <c r="AG61">
        <f>IF(COUNT($E$2:$E61)&lt;15,"",IF(SUM($AC$48:$AC$61)=0,0,100*SUM($AE$48:$AE$61)/SUM($AC$48:$AC$61)))</f>
        <v>0</v>
      </c>
      <c r="AH61">
        <f>IF(COUNT($E$2:$E61)&lt;15,"",IF(SUM($AC$48:$AC$61)=0,0,100*SUM($AF$48:$AF$61)/SUM($AC$48:$AC$61)))</f>
        <v>0</v>
      </c>
      <c r="AI61">
        <f>IF(OR(AG61="",AH61=""),"",IF((AG61+AH61)=0,0,100*ABS(AG61-AH61)/(AG61+AH61)))</f>
        <v>0</v>
      </c>
      <c r="AJ61">
        <f>IF(COUNT($AI$48:$AI$61)&lt;14,"",AVERAGE($AI$48:$AI$61))</f>
        <v>0</v>
      </c>
      <c r="AK61">
        <f>IF(COUNT($E$2:$E61)&lt;20,"",AVERAGE($E$42:$E$61))</f>
        <v>0</v>
      </c>
      <c r="AL61">
        <f>IF(COUNT($E$2:$E61)&lt;20,"",STDEVP($E$42:$E$61))</f>
        <v>0</v>
      </c>
      <c r="AM61">
        <f>IF(AK61="","",AK61+2*AL61)</f>
        <v>0</v>
      </c>
      <c r="AN61">
        <f>IF(AK61="","",AK61-2*AL61)</f>
        <v>0</v>
      </c>
      <c r="AO61">
        <f>IF(OR(AM61="",AN61="",AM61=AN61),"",($E61-AN61)/(AM61-AN61))</f>
        <v>0</v>
      </c>
      <c r="AP61">
        <f>IF(OR(AM61="",AK61="",AK61=0),"",(AM61-AN61)/AK61)</f>
        <v>0</v>
      </c>
      <c r="AQ61">
        <f>IF(COUNT($E$2:$E61)&lt;20,"",MAX($C$42:$C$61))</f>
        <v>0</v>
      </c>
      <c r="AR61">
        <f>IF(COUNT($E$2:$E61)&lt;20,"",MIN($D$42:$D$61))</f>
        <v>0</v>
      </c>
      <c r="AS61">
        <f>IF(OR(AQ61="",AR61=""),"",(AQ61+AR61)/2)</f>
        <v>0</v>
      </c>
      <c r="AT61">
        <f>IF(COUNT($G$42:$G$61)&lt;20,"",STDEV($G$42:$G$61)*SQRT(52))</f>
        <v>0</v>
      </c>
      <c r="AU61">
        <f>IF(COUNT($E$2:$E61)&lt;9,"",(MAX($C$53:$C$61)+MIN($D$53:$D$61))/2)</f>
        <v>0</v>
      </c>
      <c r="AV61">
        <f>IF(COUNT($E$2:$E61)&lt;26,"",(MAX($C$36:$C$61)+MIN($D$36:$D$61))/2)</f>
        <v>0</v>
      </c>
      <c r="AW61">
        <f>IF(OR(AU61="",AV61=""),"",(AU61+AV61)/2)</f>
        <v>0</v>
      </c>
      <c r="AX61">
        <f>IF(COUNT($E$2:$E61)&lt;52,"",(MAX($C$10:$C$61)+MIN($D$10:$D$61))/2)</f>
        <v>0</v>
      </c>
      <c r="AY61">
        <f>IF(COUNT($E$2:$E61)&lt;20,"",MAX($C$2:$C$61))</f>
        <v>0</v>
      </c>
      <c r="AZ61">
        <f>IF(COUNT($E$2:$E61)&lt;20,"",MIN($D$2:$D$61))</f>
        <v>0</v>
      </c>
      <c r="BA61">
        <f>IF(COUNT($E$2:$E61)&lt;20,"",SLOPE($E$2:$E$61,$F$2:$F$61))</f>
        <v>0</v>
      </c>
      <c r="BB61">
        <f>IF(COUNT($E$2:$E61)&lt;20,"",INTERCEPT($E$2:$E$61,$F$2:$F$61))</f>
        <v>0</v>
      </c>
      <c r="BC61">
        <f>IF(OR(BA61="",BB61=""),"",BB61+BA61*F61)</f>
        <v>0</v>
      </c>
      <c r="BD61">
        <f>IF(COUNT($E$2:$E61)&lt;20,"",STEYX($E$2:$E$61,$F$2:$F$61))</f>
        <v>0</v>
      </c>
      <c r="BE61">
        <f>IF($E61="","",IF(AND(COUNT($E$62:$E$65)&gt;=4,$C61=MAX($C$57:$C$65)),$C61,""))</f>
        <v>0</v>
      </c>
      <c r="BF61">
        <f>IF($E61="","",IF(AND(COUNT($E$62:$E$65)&gt;=4,$D61=MIN($D$57:$D$65)),$D61,""))</f>
        <v>0</v>
      </c>
      <c r="BG61">
        <f>IFERROR(SMALL(Calc_Daily!$BM$2:$BM$2001,60),"")</f>
        <v>0</v>
      </c>
    </row>
    <row r="62" spans="1:59">
      <c r="A62" s="27">
        <f>IF($BG62="","",INDEX(Calc_Daily!$A$2:$A$2001,$BG62))</f>
        <v>0</v>
      </c>
      <c r="B62">
        <f>IF($BG62="","",INDEX(Calc_Daily!$BJ$2:$BJ$2001,$BG62))</f>
        <v>0</v>
      </c>
      <c r="C62">
        <f>IF($BG62="","",INDEX(Calc_Daily!$BK$2:$BK$2001,$BG62))</f>
        <v>0</v>
      </c>
      <c r="D62">
        <f>IF($BG62="","",INDEX(Calc_Daily!$BL$2:$BL$2001,$BG62))</f>
        <v>0</v>
      </c>
      <c r="E62">
        <f>IF($BG62="","",INDEX(Calc_Daily!$E$2:$E$2001,$BG62))</f>
        <v>0</v>
      </c>
      <c r="F62">
        <f>IF($E62="","",N(F61)+1)</f>
        <v>0</v>
      </c>
      <c r="G62">
        <f>IF(OR($E62="",$E61=""),"",LN($E62/$E61))</f>
        <v>0</v>
      </c>
      <c r="H62">
        <f>IF($E62="","",IF($E61="",$E62,$E62*0.0952380952+H61*0.9047619048))</f>
        <v>0</v>
      </c>
      <c r="I62">
        <f>IF($E62="","",IF($E61="",$E62,$E62*0.0392156863+I61*0.9607843137))</f>
        <v>0</v>
      </c>
      <c r="J62">
        <f>IF($E62="","",IF($E61="",$E62,$E62*0.0198019802+J61*0.9801980198))</f>
        <v>0</v>
      </c>
      <c r="K62">
        <f>IF($E62="","",IF($E61="",$E62,$E62*0.0099502488+K61*0.9900497512))</f>
        <v>0</v>
      </c>
      <c r="L62">
        <f>IF(OR($E62="",$E61=""),"",MAX($E62-$E61,0))</f>
        <v>0</v>
      </c>
      <c r="M62">
        <f>IF(OR($E62="",$E61=""),"",MAX($E61-$E62,0))</f>
        <v>0</v>
      </c>
      <c r="N62">
        <f>IF(COUNT($E$2:$E62)&lt;15,"",IF(AVERAGE($M$49:$M$62)=0,100,100-100/(1+AVERAGE($L$49:$L$62)/AVERAGE($M$49:$M$62))))</f>
        <v>0</v>
      </c>
      <c r="O62">
        <f>IF($E62="","",IF($E61="",$E62,$E62*0.1538461538+O61*0.8461538462))</f>
        <v>0</v>
      </c>
      <c r="P62">
        <f>IF($E62="","",IF($E61="",$E62,$E62*0.0740740741+P61*0.9259259259))</f>
        <v>0</v>
      </c>
      <c r="Q62">
        <f>IF(OR(O62="",P62=""),"",O62-P62)</f>
        <v>0</v>
      </c>
      <c r="R62">
        <f>IF(Q62="","",IF(R61="",Q62,Q62*0.2000000000+R61*0.8000000000))</f>
        <v>0</v>
      </c>
      <c r="S62">
        <f>IF(OR(Q62="",R62=""),"",Q62-R62)</f>
        <v>0</v>
      </c>
      <c r="T62">
        <f>IF(COUNT($E$2:$E62)&lt;14,"",MAX($C$49:$C$62))</f>
        <v>0</v>
      </c>
      <c r="U62">
        <f>IF(COUNT($E$2:$E62)&lt;14,"",MIN($D$49:$D$62))</f>
        <v>0</v>
      </c>
      <c r="V62">
        <f>IF(OR(T62="",U62="",T62=U62),"",100*($E62-U62)/(T62-U62))</f>
        <v>0</v>
      </c>
      <c r="W62">
        <f>IF(COUNT($V$60:$V$62)&lt;3,"",AVERAGE($V$60:$V$62))</f>
        <v>0</v>
      </c>
      <c r="X62">
        <f>IF(COUNT($N$49:$N$62)&lt;14,"",MIN($N$49:$N$62))</f>
        <v>0</v>
      </c>
      <c r="Y62">
        <f>IF(COUNT($N$49:$N$62)&lt;14,"",MAX($N$49:$N$62))</f>
        <v>0</v>
      </c>
      <c r="Z62">
        <f>IF(OR(N62="",X62="",Y62="",Y62=X62),"",100*(N62-X62)/(Y62-X62))</f>
        <v>0</v>
      </c>
      <c r="AA62">
        <f>IF(COUNT($Z$60:$Z$62)&lt;3,"",AVERAGE($Z$60:$Z$62))</f>
        <v>0</v>
      </c>
      <c r="AB62">
        <f>IF(COUNT($AA$60:$AA$62)&lt;3,"",AVERAGE($AA$60:$AA$62))</f>
        <v>0</v>
      </c>
      <c r="AC62">
        <f>IF($E62="","",MAX($C62-$D62,ABS($C62-$E61),ABS($D62-$E61)))</f>
        <v>0</v>
      </c>
      <c r="AD62">
        <f>IF(COUNT($E$2:$E62)&lt;15,"",AVERAGE($AC$49:$AC$62))</f>
        <v>0</v>
      </c>
      <c r="AE62">
        <f>IF(OR($E62="",$E61=""),"",IF(AND(($C62-$C61)&gt;($D61-$D62),($C62-$C61)&gt;0),$C62-$C61,0))</f>
        <v>0</v>
      </c>
      <c r="AF62">
        <f>IF(OR($E62="",$E61=""),"",IF(AND(($D61-$D62)&gt;($C62-$C61),($D61-$D62)&gt;0),$D61-$D62,0))</f>
        <v>0</v>
      </c>
      <c r="AG62">
        <f>IF(COUNT($E$2:$E62)&lt;15,"",IF(SUM($AC$49:$AC$62)=0,0,100*SUM($AE$49:$AE$62)/SUM($AC$49:$AC$62)))</f>
        <v>0</v>
      </c>
      <c r="AH62">
        <f>IF(COUNT($E$2:$E62)&lt;15,"",IF(SUM($AC$49:$AC$62)=0,0,100*SUM($AF$49:$AF$62)/SUM($AC$49:$AC$62)))</f>
        <v>0</v>
      </c>
      <c r="AI62">
        <f>IF(OR(AG62="",AH62=""),"",IF((AG62+AH62)=0,0,100*ABS(AG62-AH62)/(AG62+AH62)))</f>
        <v>0</v>
      </c>
      <c r="AJ62">
        <f>IF(COUNT($AI$49:$AI$62)&lt;14,"",AVERAGE($AI$49:$AI$62))</f>
        <v>0</v>
      </c>
      <c r="AK62">
        <f>IF(COUNT($E$2:$E62)&lt;20,"",AVERAGE($E$43:$E$62))</f>
        <v>0</v>
      </c>
      <c r="AL62">
        <f>IF(COUNT($E$2:$E62)&lt;20,"",STDEVP($E$43:$E$62))</f>
        <v>0</v>
      </c>
      <c r="AM62">
        <f>IF(AK62="","",AK62+2*AL62)</f>
        <v>0</v>
      </c>
      <c r="AN62">
        <f>IF(AK62="","",AK62-2*AL62)</f>
        <v>0</v>
      </c>
      <c r="AO62">
        <f>IF(OR(AM62="",AN62="",AM62=AN62),"",($E62-AN62)/(AM62-AN62))</f>
        <v>0</v>
      </c>
      <c r="AP62">
        <f>IF(OR(AM62="",AK62="",AK62=0),"",(AM62-AN62)/AK62)</f>
        <v>0</v>
      </c>
      <c r="AQ62">
        <f>IF(COUNT($E$2:$E62)&lt;20,"",MAX($C$43:$C$62))</f>
        <v>0</v>
      </c>
      <c r="AR62">
        <f>IF(COUNT($E$2:$E62)&lt;20,"",MIN($D$43:$D$62))</f>
        <v>0</v>
      </c>
      <c r="AS62">
        <f>IF(OR(AQ62="",AR62=""),"",(AQ62+AR62)/2)</f>
        <v>0</v>
      </c>
      <c r="AT62">
        <f>IF(COUNT($G$43:$G$62)&lt;20,"",STDEV($G$43:$G$62)*SQRT(52))</f>
        <v>0</v>
      </c>
      <c r="AU62">
        <f>IF(COUNT($E$2:$E62)&lt;9,"",(MAX($C$54:$C$62)+MIN($D$54:$D$62))/2)</f>
        <v>0</v>
      </c>
      <c r="AV62">
        <f>IF(COUNT($E$2:$E62)&lt;26,"",(MAX($C$37:$C$62)+MIN($D$37:$D$62))/2)</f>
        <v>0</v>
      </c>
      <c r="AW62">
        <f>IF(OR(AU62="",AV62=""),"",(AU62+AV62)/2)</f>
        <v>0</v>
      </c>
      <c r="AX62">
        <f>IF(COUNT($E$2:$E62)&lt;52,"",(MAX($C$11:$C$62)+MIN($D$11:$D$62))/2)</f>
        <v>0</v>
      </c>
      <c r="AY62">
        <f>IF(COUNT($E$2:$E62)&lt;20,"",MAX($C$2:$C$62))</f>
        <v>0</v>
      </c>
      <c r="AZ62">
        <f>IF(COUNT($E$2:$E62)&lt;20,"",MIN($D$2:$D$62))</f>
        <v>0</v>
      </c>
      <c r="BA62">
        <f>IF(COUNT($E$2:$E62)&lt;20,"",SLOPE($E$2:$E$62,$F$2:$F$62))</f>
        <v>0</v>
      </c>
      <c r="BB62">
        <f>IF(COUNT($E$2:$E62)&lt;20,"",INTERCEPT($E$2:$E$62,$F$2:$F$62))</f>
        <v>0</v>
      </c>
      <c r="BC62">
        <f>IF(OR(BA62="",BB62=""),"",BB62+BA62*F62)</f>
        <v>0</v>
      </c>
      <c r="BD62">
        <f>IF(COUNT($E$2:$E62)&lt;20,"",STEYX($E$2:$E$62,$F$2:$F$62))</f>
        <v>0</v>
      </c>
      <c r="BE62">
        <f>IF($E62="","",IF(AND(COUNT($E$63:$E$66)&gt;=4,$C62=MAX($C$58:$C$66)),$C62,""))</f>
        <v>0</v>
      </c>
      <c r="BF62">
        <f>IF($E62="","",IF(AND(COUNT($E$63:$E$66)&gt;=4,$D62=MIN($D$58:$D$66)),$D62,""))</f>
        <v>0</v>
      </c>
      <c r="BG62">
        <f>IFERROR(SMALL(Calc_Daily!$BM$2:$BM$2001,61),"")</f>
        <v>0</v>
      </c>
    </row>
    <row r="63" spans="1:59">
      <c r="A63" s="27">
        <f>IF($BG63="","",INDEX(Calc_Daily!$A$2:$A$2001,$BG63))</f>
        <v>0</v>
      </c>
      <c r="B63">
        <f>IF($BG63="","",INDEX(Calc_Daily!$BJ$2:$BJ$2001,$BG63))</f>
        <v>0</v>
      </c>
      <c r="C63">
        <f>IF($BG63="","",INDEX(Calc_Daily!$BK$2:$BK$2001,$BG63))</f>
        <v>0</v>
      </c>
      <c r="D63">
        <f>IF($BG63="","",INDEX(Calc_Daily!$BL$2:$BL$2001,$BG63))</f>
        <v>0</v>
      </c>
      <c r="E63">
        <f>IF($BG63="","",INDEX(Calc_Daily!$E$2:$E$2001,$BG63))</f>
        <v>0</v>
      </c>
      <c r="F63">
        <f>IF($E63="","",N(F62)+1)</f>
        <v>0</v>
      </c>
      <c r="G63">
        <f>IF(OR($E63="",$E62=""),"",LN($E63/$E62))</f>
        <v>0</v>
      </c>
      <c r="H63">
        <f>IF($E63="","",IF($E62="",$E63,$E63*0.0952380952+H62*0.9047619048))</f>
        <v>0</v>
      </c>
      <c r="I63">
        <f>IF($E63="","",IF($E62="",$E63,$E63*0.0392156863+I62*0.9607843137))</f>
        <v>0</v>
      </c>
      <c r="J63">
        <f>IF($E63="","",IF($E62="",$E63,$E63*0.0198019802+J62*0.9801980198))</f>
        <v>0</v>
      </c>
      <c r="K63">
        <f>IF($E63="","",IF($E62="",$E63,$E63*0.0099502488+K62*0.9900497512))</f>
        <v>0</v>
      </c>
      <c r="L63">
        <f>IF(OR($E63="",$E62=""),"",MAX($E63-$E62,0))</f>
        <v>0</v>
      </c>
      <c r="M63">
        <f>IF(OR($E63="",$E62=""),"",MAX($E62-$E63,0))</f>
        <v>0</v>
      </c>
      <c r="N63">
        <f>IF(COUNT($E$2:$E63)&lt;15,"",IF(AVERAGE($M$50:$M$63)=0,100,100-100/(1+AVERAGE($L$50:$L$63)/AVERAGE($M$50:$M$63))))</f>
        <v>0</v>
      </c>
      <c r="O63">
        <f>IF($E63="","",IF($E62="",$E63,$E63*0.1538461538+O62*0.8461538462))</f>
        <v>0</v>
      </c>
      <c r="P63">
        <f>IF($E63="","",IF($E62="",$E63,$E63*0.0740740741+P62*0.9259259259))</f>
        <v>0</v>
      </c>
      <c r="Q63">
        <f>IF(OR(O63="",P63=""),"",O63-P63)</f>
        <v>0</v>
      </c>
      <c r="R63">
        <f>IF(Q63="","",IF(R62="",Q63,Q63*0.2000000000+R62*0.8000000000))</f>
        <v>0</v>
      </c>
      <c r="S63">
        <f>IF(OR(Q63="",R63=""),"",Q63-R63)</f>
        <v>0</v>
      </c>
      <c r="T63">
        <f>IF(COUNT($E$2:$E63)&lt;14,"",MAX($C$50:$C$63))</f>
        <v>0</v>
      </c>
      <c r="U63">
        <f>IF(COUNT($E$2:$E63)&lt;14,"",MIN($D$50:$D$63))</f>
        <v>0</v>
      </c>
      <c r="V63">
        <f>IF(OR(T63="",U63="",T63=U63),"",100*($E63-U63)/(T63-U63))</f>
        <v>0</v>
      </c>
      <c r="W63">
        <f>IF(COUNT($V$61:$V$63)&lt;3,"",AVERAGE($V$61:$V$63))</f>
        <v>0</v>
      </c>
      <c r="X63">
        <f>IF(COUNT($N$50:$N$63)&lt;14,"",MIN($N$50:$N$63))</f>
        <v>0</v>
      </c>
      <c r="Y63">
        <f>IF(COUNT($N$50:$N$63)&lt;14,"",MAX($N$50:$N$63))</f>
        <v>0</v>
      </c>
      <c r="Z63">
        <f>IF(OR(N63="",X63="",Y63="",Y63=X63),"",100*(N63-X63)/(Y63-X63))</f>
        <v>0</v>
      </c>
      <c r="AA63">
        <f>IF(COUNT($Z$61:$Z$63)&lt;3,"",AVERAGE($Z$61:$Z$63))</f>
        <v>0</v>
      </c>
      <c r="AB63">
        <f>IF(COUNT($AA$61:$AA$63)&lt;3,"",AVERAGE($AA$61:$AA$63))</f>
        <v>0</v>
      </c>
      <c r="AC63">
        <f>IF($E63="","",MAX($C63-$D63,ABS($C63-$E62),ABS($D63-$E62)))</f>
        <v>0</v>
      </c>
      <c r="AD63">
        <f>IF(COUNT($E$2:$E63)&lt;15,"",AVERAGE($AC$50:$AC$63))</f>
        <v>0</v>
      </c>
      <c r="AE63">
        <f>IF(OR($E63="",$E62=""),"",IF(AND(($C63-$C62)&gt;($D62-$D63),($C63-$C62)&gt;0),$C63-$C62,0))</f>
        <v>0</v>
      </c>
      <c r="AF63">
        <f>IF(OR($E63="",$E62=""),"",IF(AND(($D62-$D63)&gt;($C63-$C62),($D62-$D63)&gt;0),$D62-$D63,0))</f>
        <v>0</v>
      </c>
      <c r="AG63">
        <f>IF(COUNT($E$2:$E63)&lt;15,"",IF(SUM($AC$50:$AC$63)=0,0,100*SUM($AE$50:$AE$63)/SUM($AC$50:$AC$63)))</f>
        <v>0</v>
      </c>
      <c r="AH63">
        <f>IF(COUNT($E$2:$E63)&lt;15,"",IF(SUM($AC$50:$AC$63)=0,0,100*SUM($AF$50:$AF$63)/SUM($AC$50:$AC$63)))</f>
        <v>0</v>
      </c>
      <c r="AI63">
        <f>IF(OR(AG63="",AH63=""),"",IF((AG63+AH63)=0,0,100*ABS(AG63-AH63)/(AG63+AH63)))</f>
        <v>0</v>
      </c>
      <c r="AJ63">
        <f>IF(COUNT($AI$50:$AI$63)&lt;14,"",AVERAGE($AI$50:$AI$63))</f>
        <v>0</v>
      </c>
      <c r="AK63">
        <f>IF(COUNT($E$2:$E63)&lt;20,"",AVERAGE($E$44:$E$63))</f>
        <v>0</v>
      </c>
      <c r="AL63">
        <f>IF(COUNT($E$2:$E63)&lt;20,"",STDEVP($E$44:$E$63))</f>
        <v>0</v>
      </c>
      <c r="AM63">
        <f>IF(AK63="","",AK63+2*AL63)</f>
        <v>0</v>
      </c>
      <c r="AN63">
        <f>IF(AK63="","",AK63-2*AL63)</f>
        <v>0</v>
      </c>
      <c r="AO63">
        <f>IF(OR(AM63="",AN63="",AM63=AN63),"",($E63-AN63)/(AM63-AN63))</f>
        <v>0</v>
      </c>
      <c r="AP63">
        <f>IF(OR(AM63="",AK63="",AK63=0),"",(AM63-AN63)/AK63)</f>
        <v>0</v>
      </c>
      <c r="AQ63">
        <f>IF(COUNT($E$2:$E63)&lt;20,"",MAX($C$44:$C$63))</f>
        <v>0</v>
      </c>
      <c r="AR63">
        <f>IF(COUNT($E$2:$E63)&lt;20,"",MIN($D$44:$D$63))</f>
        <v>0</v>
      </c>
      <c r="AS63">
        <f>IF(OR(AQ63="",AR63=""),"",(AQ63+AR63)/2)</f>
        <v>0</v>
      </c>
      <c r="AT63">
        <f>IF(COUNT($G$44:$G$63)&lt;20,"",STDEV($G$44:$G$63)*SQRT(52))</f>
        <v>0</v>
      </c>
      <c r="AU63">
        <f>IF(COUNT($E$2:$E63)&lt;9,"",(MAX($C$55:$C$63)+MIN($D$55:$D$63))/2)</f>
        <v>0</v>
      </c>
      <c r="AV63">
        <f>IF(COUNT($E$2:$E63)&lt;26,"",(MAX($C$38:$C$63)+MIN($D$38:$D$63))/2)</f>
        <v>0</v>
      </c>
      <c r="AW63">
        <f>IF(OR(AU63="",AV63=""),"",(AU63+AV63)/2)</f>
        <v>0</v>
      </c>
      <c r="AX63">
        <f>IF(COUNT($E$2:$E63)&lt;52,"",(MAX($C$12:$C$63)+MIN($D$12:$D$63))/2)</f>
        <v>0</v>
      </c>
      <c r="AY63">
        <f>IF(COUNT($E$2:$E63)&lt;20,"",MAX($C$2:$C$63))</f>
        <v>0</v>
      </c>
      <c r="AZ63">
        <f>IF(COUNT($E$2:$E63)&lt;20,"",MIN($D$2:$D$63))</f>
        <v>0</v>
      </c>
      <c r="BA63">
        <f>IF(COUNT($E$2:$E63)&lt;20,"",SLOPE($E$2:$E$63,$F$2:$F$63))</f>
        <v>0</v>
      </c>
      <c r="BB63">
        <f>IF(COUNT($E$2:$E63)&lt;20,"",INTERCEPT($E$2:$E$63,$F$2:$F$63))</f>
        <v>0</v>
      </c>
      <c r="BC63">
        <f>IF(OR(BA63="",BB63=""),"",BB63+BA63*F63)</f>
        <v>0</v>
      </c>
      <c r="BD63">
        <f>IF(COUNT($E$2:$E63)&lt;20,"",STEYX($E$2:$E$63,$F$2:$F$63))</f>
        <v>0</v>
      </c>
      <c r="BE63">
        <f>IF($E63="","",IF(AND(COUNT($E$64:$E$67)&gt;=4,$C63=MAX($C$59:$C$67)),$C63,""))</f>
        <v>0</v>
      </c>
      <c r="BF63">
        <f>IF($E63="","",IF(AND(COUNT($E$64:$E$67)&gt;=4,$D63=MIN($D$59:$D$67)),$D63,""))</f>
        <v>0</v>
      </c>
      <c r="BG63">
        <f>IFERROR(SMALL(Calc_Daily!$BM$2:$BM$2001,62),"")</f>
        <v>0</v>
      </c>
    </row>
    <row r="64" spans="1:59">
      <c r="A64" s="27">
        <f>IF($BG64="","",INDEX(Calc_Daily!$A$2:$A$2001,$BG64))</f>
        <v>0</v>
      </c>
      <c r="B64">
        <f>IF($BG64="","",INDEX(Calc_Daily!$BJ$2:$BJ$2001,$BG64))</f>
        <v>0</v>
      </c>
      <c r="C64">
        <f>IF($BG64="","",INDEX(Calc_Daily!$BK$2:$BK$2001,$BG64))</f>
        <v>0</v>
      </c>
      <c r="D64">
        <f>IF($BG64="","",INDEX(Calc_Daily!$BL$2:$BL$2001,$BG64))</f>
        <v>0</v>
      </c>
      <c r="E64">
        <f>IF($BG64="","",INDEX(Calc_Daily!$E$2:$E$2001,$BG64))</f>
        <v>0</v>
      </c>
      <c r="F64">
        <f>IF($E64="","",N(F63)+1)</f>
        <v>0</v>
      </c>
      <c r="G64">
        <f>IF(OR($E64="",$E63=""),"",LN($E64/$E63))</f>
        <v>0</v>
      </c>
      <c r="H64">
        <f>IF($E64="","",IF($E63="",$E64,$E64*0.0952380952+H63*0.9047619048))</f>
        <v>0</v>
      </c>
      <c r="I64">
        <f>IF($E64="","",IF($E63="",$E64,$E64*0.0392156863+I63*0.9607843137))</f>
        <v>0</v>
      </c>
      <c r="J64">
        <f>IF($E64="","",IF($E63="",$E64,$E64*0.0198019802+J63*0.9801980198))</f>
        <v>0</v>
      </c>
      <c r="K64">
        <f>IF($E64="","",IF($E63="",$E64,$E64*0.0099502488+K63*0.9900497512))</f>
        <v>0</v>
      </c>
      <c r="L64">
        <f>IF(OR($E64="",$E63=""),"",MAX($E64-$E63,0))</f>
        <v>0</v>
      </c>
      <c r="M64">
        <f>IF(OR($E64="",$E63=""),"",MAX($E63-$E64,0))</f>
        <v>0</v>
      </c>
      <c r="N64">
        <f>IF(COUNT($E$2:$E64)&lt;15,"",IF(AVERAGE($M$51:$M$64)=0,100,100-100/(1+AVERAGE($L$51:$L$64)/AVERAGE($M$51:$M$64))))</f>
        <v>0</v>
      </c>
      <c r="O64">
        <f>IF($E64="","",IF($E63="",$E64,$E64*0.1538461538+O63*0.8461538462))</f>
        <v>0</v>
      </c>
      <c r="P64">
        <f>IF($E64="","",IF($E63="",$E64,$E64*0.0740740741+P63*0.9259259259))</f>
        <v>0</v>
      </c>
      <c r="Q64">
        <f>IF(OR(O64="",P64=""),"",O64-P64)</f>
        <v>0</v>
      </c>
      <c r="R64">
        <f>IF(Q64="","",IF(R63="",Q64,Q64*0.2000000000+R63*0.8000000000))</f>
        <v>0</v>
      </c>
      <c r="S64">
        <f>IF(OR(Q64="",R64=""),"",Q64-R64)</f>
        <v>0</v>
      </c>
      <c r="T64">
        <f>IF(COUNT($E$2:$E64)&lt;14,"",MAX($C$51:$C$64))</f>
        <v>0</v>
      </c>
      <c r="U64">
        <f>IF(COUNT($E$2:$E64)&lt;14,"",MIN($D$51:$D$64))</f>
        <v>0</v>
      </c>
      <c r="V64">
        <f>IF(OR(T64="",U64="",T64=U64),"",100*($E64-U64)/(T64-U64))</f>
        <v>0</v>
      </c>
      <c r="W64">
        <f>IF(COUNT($V$62:$V$64)&lt;3,"",AVERAGE($V$62:$V$64))</f>
        <v>0</v>
      </c>
      <c r="X64">
        <f>IF(COUNT($N$51:$N$64)&lt;14,"",MIN($N$51:$N$64))</f>
        <v>0</v>
      </c>
      <c r="Y64">
        <f>IF(COUNT($N$51:$N$64)&lt;14,"",MAX($N$51:$N$64))</f>
        <v>0</v>
      </c>
      <c r="Z64">
        <f>IF(OR(N64="",X64="",Y64="",Y64=X64),"",100*(N64-X64)/(Y64-X64))</f>
        <v>0</v>
      </c>
      <c r="AA64">
        <f>IF(COUNT($Z$62:$Z$64)&lt;3,"",AVERAGE($Z$62:$Z$64))</f>
        <v>0</v>
      </c>
      <c r="AB64">
        <f>IF(COUNT($AA$62:$AA$64)&lt;3,"",AVERAGE($AA$62:$AA$64))</f>
        <v>0</v>
      </c>
      <c r="AC64">
        <f>IF($E64="","",MAX($C64-$D64,ABS($C64-$E63),ABS($D64-$E63)))</f>
        <v>0</v>
      </c>
      <c r="AD64">
        <f>IF(COUNT($E$2:$E64)&lt;15,"",AVERAGE($AC$51:$AC$64))</f>
        <v>0</v>
      </c>
      <c r="AE64">
        <f>IF(OR($E64="",$E63=""),"",IF(AND(($C64-$C63)&gt;($D63-$D64),($C64-$C63)&gt;0),$C64-$C63,0))</f>
        <v>0</v>
      </c>
      <c r="AF64">
        <f>IF(OR($E64="",$E63=""),"",IF(AND(($D63-$D64)&gt;($C64-$C63),($D63-$D64)&gt;0),$D63-$D64,0))</f>
        <v>0</v>
      </c>
      <c r="AG64">
        <f>IF(COUNT($E$2:$E64)&lt;15,"",IF(SUM($AC$51:$AC$64)=0,0,100*SUM($AE$51:$AE$64)/SUM($AC$51:$AC$64)))</f>
        <v>0</v>
      </c>
      <c r="AH64">
        <f>IF(COUNT($E$2:$E64)&lt;15,"",IF(SUM($AC$51:$AC$64)=0,0,100*SUM($AF$51:$AF$64)/SUM($AC$51:$AC$64)))</f>
        <v>0</v>
      </c>
      <c r="AI64">
        <f>IF(OR(AG64="",AH64=""),"",IF((AG64+AH64)=0,0,100*ABS(AG64-AH64)/(AG64+AH64)))</f>
        <v>0</v>
      </c>
      <c r="AJ64">
        <f>IF(COUNT($AI$51:$AI$64)&lt;14,"",AVERAGE($AI$51:$AI$64))</f>
        <v>0</v>
      </c>
      <c r="AK64">
        <f>IF(COUNT($E$2:$E64)&lt;20,"",AVERAGE($E$45:$E$64))</f>
        <v>0</v>
      </c>
      <c r="AL64">
        <f>IF(COUNT($E$2:$E64)&lt;20,"",STDEVP($E$45:$E$64))</f>
        <v>0</v>
      </c>
      <c r="AM64">
        <f>IF(AK64="","",AK64+2*AL64)</f>
        <v>0</v>
      </c>
      <c r="AN64">
        <f>IF(AK64="","",AK64-2*AL64)</f>
        <v>0</v>
      </c>
      <c r="AO64">
        <f>IF(OR(AM64="",AN64="",AM64=AN64),"",($E64-AN64)/(AM64-AN64))</f>
        <v>0</v>
      </c>
      <c r="AP64">
        <f>IF(OR(AM64="",AK64="",AK64=0),"",(AM64-AN64)/AK64)</f>
        <v>0</v>
      </c>
      <c r="AQ64">
        <f>IF(COUNT($E$2:$E64)&lt;20,"",MAX($C$45:$C$64))</f>
        <v>0</v>
      </c>
      <c r="AR64">
        <f>IF(COUNT($E$2:$E64)&lt;20,"",MIN($D$45:$D$64))</f>
        <v>0</v>
      </c>
      <c r="AS64">
        <f>IF(OR(AQ64="",AR64=""),"",(AQ64+AR64)/2)</f>
        <v>0</v>
      </c>
      <c r="AT64">
        <f>IF(COUNT($G$45:$G$64)&lt;20,"",STDEV($G$45:$G$64)*SQRT(52))</f>
        <v>0</v>
      </c>
      <c r="AU64">
        <f>IF(COUNT($E$2:$E64)&lt;9,"",(MAX($C$56:$C$64)+MIN($D$56:$D$64))/2)</f>
        <v>0</v>
      </c>
      <c r="AV64">
        <f>IF(COUNT($E$2:$E64)&lt;26,"",(MAX($C$39:$C$64)+MIN($D$39:$D$64))/2)</f>
        <v>0</v>
      </c>
      <c r="AW64">
        <f>IF(OR(AU64="",AV64=""),"",(AU64+AV64)/2)</f>
        <v>0</v>
      </c>
      <c r="AX64">
        <f>IF(COUNT($E$2:$E64)&lt;52,"",(MAX($C$13:$C$64)+MIN($D$13:$D$64))/2)</f>
        <v>0</v>
      </c>
      <c r="AY64">
        <f>IF(COUNT($E$2:$E64)&lt;20,"",MAX($C$2:$C$64))</f>
        <v>0</v>
      </c>
      <c r="AZ64">
        <f>IF(COUNT($E$2:$E64)&lt;20,"",MIN($D$2:$D$64))</f>
        <v>0</v>
      </c>
      <c r="BA64">
        <f>IF(COUNT($E$2:$E64)&lt;20,"",SLOPE($E$2:$E$64,$F$2:$F$64))</f>
        <v>0</v>
      </c>
      <c r="BB64">
        <f>IF(COUNT($E$2:$E64)&lt;20,"",INTERCEPT($E$2:$E$64,$F$2:$F$64))</f>
        <v>0</v>
      </c>
      <c r="BC64">
        <f>IF(OR(BA64="",BB64=""),"",BB64+BA64*F64)</f>
        <v>0</v>
      </c>
      <c r="BD64">
        <f>IF(COUNT($E$2:$E64)&lt;20,"",STEYX($E$2:$E$64,$F$2:$F$64))</f>
        <v>0</v>
      </c>
      <c r="BE64">
        <f>IF($E64="","",IF(AND(COUNT($E$65:$E$68)&gt;=4,$C64=MAX($C$60:$C$68)),$C64,""))</f>
        <v>0</v>
      </c>
      <c r="BF64">
        <f>IF($E64="","",IF(AND(COUNT($E$65:$E$68)&gt;=4,$D64=MIN($D$60:$D$68)),$D64,""))</f>
        <v>0</v>
      </c>
      <c r="BG64">
        <f>IFERROR(SMALL(Calc_Daily!$BM$2:$BM$2001,63),"")</f>
        <v>0</v>
      </c>
    </row>
    <row r="65" spans="1:59">
      <c r="A65" s="27">
        <f>IF($BG65="","",INDEX(Calc_Daily!$A$2:$A$2001,$BG65))</f>
        <v>0</v>
      </c>
      <c r="B65">
        <f>IF($BG65="","",INDEX(Calc_Daily!$BJ$2:$BJ$2001,$BG65))</f>
        <v>0</v>
      </c>
      <c r="C65">
        <f>IF($BG65="","",INDEX(Calc_Daily!$BK$2:$BK$2001,$BG65))</f>
        <v>0</v>
      </c>
      <c r="D65">
        <f>IF($BG65="","",INDEX(Calc_Daily!$BL$2:$BL$2001,$BG65))</f>
        <v>0</v>
      </c>
      <c r="E65">
        <f>IF($BG65="","",INDEX(Calc_Daily!$E$2:$E$2001,$BG65))</f>
        <v>0</v>
      </c>
      <c r="F65">
        <f>IF($E65="","",N(F64)+1)</f>
        <v>0</v>
      </c>
      <c r="G65">
        <f>IF(OR($E65="",$E64=""),"",LN($E65/$E64))</f>
        <v>0</v>
      </c>
      <c r="H65">
        <f>IF($E65="","",IF($E64="",$E65,$E65*0.0952380952+H64*0.9047619048))</f>
        <v>0</v>
      </c>
      <c r="I65">
        <f>IF($E65="","",IF($E64="",$E65,$E65*0.0392156863+I64*0.9607843137))</f>
        <v>0</v>
      </c>
      <c r="J65">
        <f>IF($E65="","",IF($E64="",$E65,$E65*0.0198019802+J64*0.9801980198))</f>
        <v>0</v>
      </c>
      <c r="K65">
        <f>IF($E65="","",IF($E64="",$E65,$E65*0.0099502488+K64*0.9900497512))</f>
        <v>0</v>
      </c>
      <c r="L65">
        <f>IF(OR($E65="",$E64=""),"",MAX($E65-$E64,0))</f>
        <v>0</v>
      </c>
      <c r="M65">
        <f>IF(OR($E65="",$E64=""),"",MAX($E64-$E65,0))</f>
        <v>0</v>
      </c>
      <c r="N65">
        <f>IF(COUNT($E$2:$E65)&lt;15,"",IF(AVERAGE($M$52:$M$65)=0,100,100-100/(1+AVERAGE($L$52:$L$65)/AVERAGE($M$52:$M$65))))</f>
        <v>0</v>
      </c>
      <c r="O65">
        <f>IF($E65="","",IF($E64="",$E65,$E65*0.1538461538+O64*0.8461538462))</f>
        <v>0</v>
      </c>
      <c r="P65">
        <f>IF($E65="","",IF($E64="",$E65,$E65*0.0740740741+P64*0.9259259259))</f>
        <v>0</v>
      </c>
      <c r="Q65">
        <f>IF(OR(O65="",P65=""),"",O65-P65)</f>
        <v>0</v>
      </c>
      <c r="R65">
        <f>IF(Q65="","",IF(R64="",Q65,Q65*0.2000000000+R64*0.8000000000))</f>
        <v>0</v>
      </c>
      <c r="S65">
        <f>IF(OR(Q65="",R65=""),"",Q65-R65)</f>
        <v>0</v>
      </c>
      <c r="T65">
        <f>IF(COUNT($E$2:$E65)&lt;14,"",MAX($C$52:$C$65))</f>
        <v>0</v>
      </c>
      <c r="U65">
        <f>IF(COUNT($E$2:$E65)&lt;14,"",MIN($D$52:$D$65))</f>
        <v>0</v>
      </c>
      <c r="V65">
        <f>IF(OR(T65="",U65="",T65=U65),"",100*($E65-U65)/(T65-U65))</f>
        <v>0</v>
      </c>
      <c r="W65">
        <f>IF(COUNT($V$63:$V$65)&lt;3,"",AVERAGE($V$63:$V$65))</f>
        <v>0</v>
      </c>
      <c r="X65">
        <f>IF(COUNT($N$52:$N$65)&lt;14,"",MIN($N$52:$N$65))</f>
        <v>0</v>
      </c>
      <c r="Y65">
        <f>IF(COUNT($N$52:$N$65)&lt;14,"",MAX($N$52:$N$65))</f>
        <v>0</v>
      </c>
      <c r="Z65">
        <f>IF(OR(N65="",X65="",Y65="",Y65=X65),"",100*(N65-X65)/(Y65-X65))</f>
        <v>0</v>
      </c>
      <c r="AA65">
        <f>IF(COUNT($Z$63:$Z$65)&lt;3,"",AVERAGE($Z$63:$Z$65))</f>
        <v>0</v>
      </c>
      <c r="AB65">
        <f>IF(COUNT($AA$63:$AA$65)&lt;3,"",AVERAGE($AA$63:$AA$65))</f>
        <v>0</v>
      </c>
      <c r="AC65">
        <f>IF($E65="","",MAX($C65-$D65,ABS($C65-$E64),ABS($D65-$E64)))</f>
        <v>0</v>
      </c>
      <c r="AD65">
        <f>IF(COUNT($E$2:$E65)&lt;15,"",AVERAGE($AC$52:$AC$65))</f>
        <v>0</v>
      </c>
      <c r="AE65">
        <f>IF(OR($E65="",$E64=""),"",IF(AND(($C65-$C64)&gt;($D64-$D65),($C65-$C64)&gt;0),$C65-$C64,0))</f>
        <v>0</v>
      </c>
      <c r="AF65">
        <f>IF(OR($E65="",$E64=""),"",IF(AND(($D64-$D65)&gt;($C65-$C64),($D64-$D65)&gt;0),$D64-$D65,0))</f>
        <v>0</v>
      </c>
      <c r="AG65">
        <f>IF(COUNT($E$2:$E65)&lt;15,"",IF(SUM($AC$52:$AC$65)=0,0,100*SUM($AE$52:$AE$65)/SUM($AC$52:$AC$65)))</f>
        <v>0</v>
      </c>
      <c r="AH65">
        <f>IF(COUNT($E$2:$E65)&lt;15,"",IF(SUM($AC$52:$AC$65)=0,0,100*SUM($AF$52:$AF$65)/SUM($AC$52:$AC$65)))</f>
        <v>0</v>
      </c>
      <c r="AI65">
        <f>IF(OR(AG65="",AH65=""),"",IF((AG65+AH65)=0,0,100*ABS(AG65-AH65)/(AG65+AH65)))</f>
        <v>0</v>
      </c>
      <c r="AJ65">
        <f>IF(COUNT($AI$52:$AI$65)&lt;14,"",AVERAGE($AI$52:$AI$65))</f>
        <v>0</v>
      </c>
      <c r="AK65">
        <f>IF(COUNT($E$2:$E65)&lt;20,"",AVERAGE($E$46:$E$65))</f>
        <v>0</v>
      </c>
      <c r="AL65">
        <f>IF(COUNT($E$2:$E65)&lt;20,"",STDEVP($E$46:$E$65))</f>
        <v>0</v>
      </c>
      <c r="AM65">
        <f>IF(AK65="","",AK65+2*AL65)</f>
        <v>0</v>
      </c>
      <c r="AN65">
        <f>IF(AK65="","",AK65-2*AL65)</f>
        <v>0</v>
      </c>
      <c r="AO65">
        <f>IF(OR(AM65="",AN65="",AM65=AN65),"",($E65-AN65)/(AM65-AN65))</f>
        <v>0</v>
      </c>
      <c r="AP65">
        <f>IF(OR(AM65="",AK65="",AK65=0),"",(AM65-AN65)/AK65)</f>
        <v>0</v>
      </c>
      <c r="AQ65">
        <f>IF(COUNT($E$2:$E65)&lt;20,"",MAX($C$46:$C$65))</f>
        <v>0</v>
      </c>
      <c r="AR65">
        <f>IF(COUNT($E$2:$E65)&lt;20,"",MIN($D$46:$D$65))</f>
        <v>0</v>
      </c>
      <c r="AS65">
        <f>IF(OR(AQ65="",AR65=""),"",(AQ65+AR65)/2)</f>
        <v>0</v>
      </c>
      <c r="AT65">
        <f>IF(COUNT($G$46:$G$65)&lt;20,"",STDEV($G$46:$G$65)*SQRT(52))</f>
        <v>0</v>
      </c>
      <c r="AU65">
        <f>IF(COUNT($E$2:$E65)&lt;9,"",(MAX($C$57:$C$65)+MIN($D$57:$D$65))/2)</f>
        <v>0</v>
      </c>
      <c r="AV65">
        <f>IF(COUNT($E$2:$E65)&lt;26,"",(MAX($C$40:$C$65)+MIN($D$40:$D$65))/2)</f>
        <v>0</v>
      </c>
      <c r="AW65">
        <f>IF(OR(AU65="",AV65=""),"",(AU65+AV65)/2)</f>
        <v>0</v>
      </c>
      <c r="AX65">
        <f>IF(COUNT($E$2:$E65)&lt;52,"",(MAX($C$14:$C$65)+MIN($D$14:$D$65))/2)</f>
        <v>0</v>
      </c>
      <c r="AY65">
        <f>IF(COUNT($E$2:$E65)&lt;20,"",MAX($C$2:$C$65))</f>
        <v>0</v>
      </c>
      <c r="AZ65">
        <f>IF(COUNT($E$2:$E65)&lt;20,"",MIN($D$2:$D$65))</f>
        <v>0</v>
      </c>
      <c r="BA65">
        <f>IF(COUNT($E$2:$E65)&lt;20,"",SLOPE($E$2:$E$65,$F$2:$F$65))</f>
        <v>0</v>
      </c>
      <c r="BB65">
        <f>IF(COUNT($E$2:$E65)&lt;20,"",INTERCEPT($E$2:$E$65,$F$2:$F$65))</f>
        <v>0</v>
      </c>
      <c r="BC65">
        <f>IF(OR(BA65="",BB65=""),"",BB65+BA65*F65)</f>
        <v>0</v>
      </c>
      <c r="BD65">
        <f>IF(COUNT($E$2:$E65)&lt;20,"",STEYX($E$2:$E$65,$F$2:$F$65))</f>
        <v>0</v>
      </c>
      <c r="BE65">
        <f>IF($E65="","",IF(AND(COUNT($E$66:$E$69)&gt;=4,$C65=MAX($C$61:$C$69)),$C65,""))</f>
        <v>0</v>
      </c>
      <c r="BF65">
        <f>IF($E65="","",IF(AND(COUNT($E$66:$E$69)&gt;=4,$D65=MIN($D$61:$D$69)),$D65,""))</f>
        <v>0</v>
      </c>
      <c r="BG65">
        <f>IFERROR(SMALL(Calc_Daily!$BM$2:$BM$2001,64),"")</f>
        <v>0</v>
      </c>
    </row>
    <row r="66" spans="1:59">
      <c r="A66" s="27">
        <f>IF($BG66="","",INDEX(Calc_Daily!$A$2:$A$2001,$BG66))</f>
        <v>0</v>
      </c>
      <c r="B66">
        <f>IF($BG66="","",INDEX(Calc_Daily!$BJ$2:$BJ$2001,$BG66))</f>
        <v>0</v>
      </c>
      <c r="C66">
        <f>IF($BG66="","",INDEX(Calc_Daily!$BK$2:$BK$2001,$BG66))</f>
        <v>0</v>
      </c>
      <c r="D66">
        <f>IF($BG66="","",INDEX(Calc_Daily!$BL$2:$BL$2001,$BG66))</f>
        <v>0</v>
      </c>
      <c r="E66">
        <f>IF($BG66="","",INDEX(Calc_Daily!$E$2:$E$2001,$BG66))</f>
        <v>0</v>
      </c>
      <c r="F66">
        <f>IF($E66="","",N(F65)+1)</f>
        <v>0</v>
      </c>
      <c r="G66">
        <f>IF(OR($E66="",$E65=""),"",LN($E66/$E65))</f>
        <v>0</v>
      </c>
      <c r="H66">
        <f>IF($E66="","",IF($E65="",$E66,$E66*0.0952380952+H65*0.9047619048))</f>
        <v>0</v>
      </c>
      <c r="I66">
        <f>IF($E66="","",IF($E65="",$E66,$E66*0.0392156863+I65*0.9607843137))</f>
        <v>0</v>
      </c>
      <c r="J66">
        <f>IF($E66="","",IF($E65="",$E66,$E66*0.0198019802+J65*0.9801980198))</f>
        <v>0</v>
      </c>
      <c r="K66">
        <f>IF($E66="","",IF($E65="",$E66,$E66*0.0099502488+K65*0.9900497512))</f>
        <v>0</v>
      </c>
      <c r="L66">
        <f>IF(OR($E66="",$E65=""),"",MAX($E66-$E65,0))</f>
        <v>0</v>
      </c>
      <c r="M66">
        <f>IF(OR($E66="",$E65=""),"",MAX($E65-$E66,0))</f>
        <v>0</v>
      </c>
      <c r="N66">
        <f>IF(COUNT($E$2:$E66)&lt;15,"",IF(AVERAGE($M$53:$M$66)=0,100,100-100/(1+AVERAGE($L$53:$L$66)/AVERAGE($M$53:$M$66))))</f>
        <v>0</v>
      </c>
      <c r="O66">
        <f>IF($E66="","",IF($E65="",$E66,$E66*0.1538461538+O65*0.8461538462))</f>
        <v>0</v>
      </c>
      <c r="P66">
        <f>IF($E66="","",IF($E65="",$E66,$E66*0.0740740741+P65*0.9259259259))</f>
        <v>0</v>
      </c>
      <c r="Q66">
        <f>IF(OR(O66="",P66=""),"",O66-P66)</f>
        <v>0</v>
      </c>
      <c r="R66">
        <f>IF(Q66="","",IF(R65="",Q66,Q66*0.2000000000+R65*0.8000000000))</f>
        <v>0</v>
      </c>
      <c r="S66">
        <f>IF(OR(Q66="",R66=""),"",Q66-R66)</f>
        <v>0</v>
      </c>
      <c r="T66">
        <f>IF(COUNT($E$2:$E66)&lt;14,"",MAX($C$53:$C$66))</f>
        <v>0</v>
      </c>
      <c r="U66">
        <f>IF(COUNT($E$2:$E66)&lt;14,"",MIN($D$53:$D$66))</f>
        <v>0</v>
      </c>
      <c r="V66">
        <f>IF(OR(T66="",U66="",T66=U66),"",100*($E66-U66)/(T66-U66))</f>
        <v>0</v>
      </c>
      <c r="W66">
        <f>IF(COUNT($V$64:$V$66)&lt;3,"",AVERAGE($V$64:$V$66))</f>
        <v>0</v>
      </c>
      <c r="X66">
        <f>IF(COUNT($N$53:$N$66)&lt;14,"",MIN($N$53:$N$66))</f>
        <v>0</v>
      </c>
      <c r="Y66">
        <f>IF(COUNT($N$53:$N$66)&lt;14,"",MAX($N$53:$N$66))</f>
        <v>0</v>
      </c>
      <c r="Z66">
        <f>IF(OR(N66="",X66="",Y66="",Y66=X66),"",100*(N66-X66)/(Y66-X66))</f>
        <v>0</v>
      </c>
      <c r="AA66">
        <f>IF(COUNT($Z$64:$Z$66)&lt;3,"",AVERAGE($Z$64:$Z$66))</f>
        <v>0</v>
      </c>
      <c r="AB66">
        <f>IF(COUNT($AA$64:$AA$66)&lt;3,"",AVERAGE($AA$64:$AA$66))</f>
        <v>0</v>
      </c>
      <c r="AC66">
        <f>IF($E66="","",MAX($C66-$D66,ABS($C66-$E65),ABS($D66-$E65)))</f>
        <v>0</v>
      </c>
      <c r="AD66">
        <f>IF(COUNT($E$2:$E66)&lt;15,"",AVERAGE($AC$53:$AC$66))</f>
        <v>0</v>
      </c>
      <c r="AE66">
        <f>IF(OR($E66="",$E65=""),"",IF(AND(($C66-$C65)&gt;($D65-$D66),($C66-$C65)&gt;0),$C66-$C65,0))</f>
        <v>0</v>
      </c>
      <c r="AF66">
        <f>IF(OR($E66="",$E65=""),"",IF(AND(($D65-$D66)&gt;($C66-$C65),($D65-$D66)&gt;0),$D65-$D66,0))</f>
        <v>0</v>
      </c>
      <c r="AG66">
        <f>IF(COUNT($E$2:$E66)&lt;15,"",IF(SUM($AC$53:$AC$66)=0,0,100*SUM($AE$53:$AE$66)/SUM($AC$53:$AC$66)))</f>
        <v>0</v>
      </c>
      <c r="AH66">
        <f>IF(COUNT($E$2:$E66)&lt;15,"",IF(SUM($AC$53:$AC$66)=0,0,100*SUM($AF$53:$AF$66)/SUM($AC$53:$AC$66)))</f>
        <v>0</v>
      </c>
      <c r="AI66">
        <f>IF(OR(AG66="",AH66=""),"",IF((AG66+AH66)=0,0,100*ABS(AG66-AH66)/(AG66+AH66)))</f>
        <v>0</v>
      </c>
      <c r="AJ66">
        <f>IF(COUNT($AI$53:$AI$66)&lt;14,"",AVERAGE($AI$53:$AI$66))</f>
        <v>0</v>
      </c>
      <c r="AK66">
        <f>IF(COUNT($E$2:$E66)&lt;20,"",AVERAGE($E$47:$E$66))</f>
        <v>0</v>
      </c>
      <c r="AL66">
        <f>IF(COUNT($E$2:$E66)&lt;20,"",STDEVP($E$47:$E$66))</f>
        <v>0</v>
      </c>
      <c r="AM66">
        <f>IF(AK66="","",AK66+2*AL66)</f>
        <v>0</v>
      </c>
      <c r="AN66">
        <f>IF(AK66="","",AK66-2*AL66)</f>
        <v>0</v>
      </c>
      <c r="AO66">
        <f>IF(OR(AM66="",AN66="",AM66=AN66),"",($E66-AN66)/(AM66-AN66))</f>
        <v>0</v>
      </c>
      <c r="AP66">
        <f>IF(OR(AM66="",AK66="",AK66=0),"",(AM66-AN66)/AK66)</f>
        <v>0</v>
      </c>
      <c r="AQ66">
        <f>IF(COUNT($E$2:$E66)&lt;20,"",MAX($C$47:$C$66))</f>
        <v>0</v>
      </c>
      <c r="AR66">
        <f>IF(COUNT($E$2:$E66)&lt;20,"",MIN($D$47:$D$66))</f>
        <v>0</v>
      </c>
      <c r="AS66">
        <f>IF(OR(AQ66="",AR66=""),"",(AQ66+AR66)/2)</f>
        <v>0</v>
      </c>
      <c r="AT66">
        <f>IF(COUNT($G$47:$G$66)&lt;20,"",STDEV($G$47:$G$66)*SQRT(52))</f>
        <v>0</v>
      </c>
      <c r="AU66">
        <f>IF(COUNT($E$2:$E66)&lt;9,"",(MAX($C$58:$C$66)+MIN($D$58:$D$66))/2)</f>
        <v>0</v>
      </c>
      <c r="AV66">
        <f>IF(COUNT($E$2:$E66)&lt;26,"",(MAX($C$41:$C$66)+MIN($D$41:$D$66))/2)</f>
        <v>0</v>
      </c>
      <c r="AW66">
        <f>IF(OR(AU66="",AV66=""),"",(AU66+AV66)/2)</f>
        <v>0</v>
      </c>
      <c r="AX66">
        <f>IF(COUNT($E$2:$E66)&lt;52,"",(MAX($C$15:$C$66)+MIN($D$15:$D$66))/2)</f>
        <v>0</v>
      </c>
      <c r="AY66">
        <f>IF(COUNT($E$2:$E66)&lt;20,"",MAX($C$2:$C$66))</f>
        <v>0</v>
      </c>
      <c r="AZ66">
        <f>IF(COUNT($E$2:$E66)&lt;20,"",MIN($D$2:$D$66))</f>
        <v>0</v>
      </c>
      <c r="BA66">
        <f>IF(COUNT($E$2:$E66)&lt;20,"",SLOPE($E$2:$E$66,$F$2:$F$66))</f>
        <v>0</v>
      </c>
      <c r="BB66">
        <f>IF(COUNT($E$2:$E66)&lt;20,"",INTERCEPT($E$2:$E$66,$F$2:$F$66))</f>
        <v>0</v>
      </c>
      <c r="BC66">
        <f>IF(OR(BA66="",BB66=""),"",BB66+BA66*F66)</f>
        <v>0</v>
      </c>
      <c r="BD66">
        <f>IF(COUNT($E$2:$E66)&lt;20,"",STEYX($E$2:$E$66,$F$2:$F$66))</f>
        <v>0</v>
      </c>
      <c r="BE66">
        <f>IF($E66="","",IF(AND(COUNT($E$67:$E$70)&gt;=4,$C66=MAX($C$62:$C$70)),$C66,""))</f>
        <v>0</v>
      </c>
      <c r="BF66">
        <f>IF($E66="","",IF(AND(COUNT($E$67:$E$70)&gt;=4,$D66=MIN($D$62:$D$70)),$D66,""))</f>
        <v>0</v>
      </c>
      <c r="BG66">
        <f>IFERROR(SMALL(Calc_Daily!$BM$2:$BM$2001,65),"")</f>
        <v>0</v>
      </c>
    </row>
    <row r="67" spans="1:59">
      <c r="A67" s="27">
        <f>IF($BG67="","",INDEX(Calc_Daily!$A$2:$A$2001,$BG67))</f>
        <v>0</v>
      </c>
      <c r="B67">
        <f>IF($BG67="","",INDEX(Calc_Daily!$BJ$2:$BJ$2001,$BG67))</f>
        <v>0</v>
      </c>
      <c r="C67">
        <f>IF($BG67="","",INDEX(Calc_Daily!$BK$2:$BK$2001,$BG67))</f>
        <v>0</v>
      </c>
      <c r="D67">
        <f>IF($BG67="","",INDEX(Calc_Daily!$BL$2:$BL$2001,$BG67))</f>
        <v>0</v>
      </c>
      <c r="E67">
        <f>IF($BG67="","",INDEX(Calc_Daily!$E$2:$E$2001,$BG67))</f>
        <v>0</v>
      </c>
      <c r="F67">
        <f>IF($E67="","",N(F66)+1)</f>
        <v>0</v>
      </c>
      <c r="G67">
        <f>IF(OR($E67="",$E66=""),"",LN($E67/$E66))</f>
        <v>0</v>
      </c>
      <c r="H67">
        <f>IF($E67="","",IF($E66="",$E67,$E67*0.0952380952+H66*0.9047619048))</f>
        <v>0</v>
      </c>
      <c r="I67">
        <f>IF($E67="","",IF($E66="",$E67,$E67*0.0392156863+I66*0.9607843137))</f>
        <v>0</v>
      </c>
      <c r="J67">
        <f>IF($E67="","",IF($E66="",$E67,$E67*0.0198019802+J66*0.9801980198))</f>
        <v>0</v>
      </c>
      <c r="K67">
        <f>IF($E67="","",IF($E66="",$E67,$E67*0.0099502488+K66*0.9900497512))</f>
        <v>0</v>
      </c>
      <c r="L67">
        <f>IF(OR($E67="",$E66=""),"",MAX($E67-$E66,0))</f>
        <v>0</v>
      </c>
      <c r="M67">
        <f>IF(OR($E67="",$E66=""),"",MAX($E66-$E67,0))</f>
        <v>0</v>
      </c>
      <c r="N67">
        <f>IF(COUNT($E$2:$E67)&lt;15,"",IF(AVERAGE($M$54:$M$67)=0,100,100-100/(1+AVERAGE($L$54:$L$67)/AVERAGE($M$54:$M$67))))</f>
        <v>0</v>
      </c>
      <c r="O67">
        <f>IF($E67="","",IF($E66="",$E67,$E67*0.1538461538+O66*0.8461538462))</f>
        <v>0</v>
      </c>
      <c r="P67">
        <f>IF($E67="","",IF($E66="",$E67,$E67*0.0740740741+P66*0.9259259259))</f>
        <v>0</v>
      </c>
      <c r="Q67">
        <f>IF(OR(O67="",P67=""),"",O67-P67)</f>
        <v>0</v>
      </c>
      <c r="R67">
        <f>IF(Q67="","",IF(R66="",Q67,Q67*0.2000000000+R66*0.8000000000))</f>
        <v>0</v>
      </c>
      <c r="S67">
        <f>IF(OR(Q67="",R67=""),"",Q67-R67)</f>
        <v>0</v>
      </c>
      <c r="T67">
        <f>IF(COUNT($E$2:$E67)&lt;14,"",MAX($C$54:$C$67))</f>
        <v>0</v>
      </c>
      <c r="U67">
        <f>IF(COUNT($E$2:$E67)&lt;14,"",MIN($D$54:$D$67))</f>
        <v>0</v>
      </c>
      <c r="V67">
        <f>IF(OR(T67="",U67="",T67=U67),"",100*($E67-U67)/(T67-U67))</f>
        <v>0</v>
      </c>
      <c r="W67">
        <f>IF(COUNT($V$65:$V$67)&lt;3,"",AVERAGE($V$65:$V$67))</f>
        <v>0</v>
      </c>
      <c r="X67">
        <f>IF(COUNT($N$54:$N$67)&lt;14,"",MIN($N$54:$N$67))</f>
        <v>0</v>
      </c>
      <c r="Y67">
        <f>IF(COUNT($N$54:$N$67)&lt;14,"",MAX($N$54:$N$67))</f>
        <v>0</v>
      </c>
      <c r="Z67">
        <f>IF(OR(N67="",X67="",Y67="",Y67=X67),"",100*(N67-X67)/(Y67-X67))</f>
        <v>0</v>
      </c>
      <c r="AA67">
        <f>IF(COUNT($Z$65:$Z$67)&lt;3,"",AVERAGE($Z$65:$Z$67))</f>
        <v>0</v>
      </c>
      <c r="AB67">
        <f>IF(COUNT($AA$65:$AA$67)&lt;3,"",AVERAGE($AA$65:$AA$67))</f>
        <v>0</v>
      </c>
      <c r="AC67">
        <f>IF($E67="","",MAX($C67-$D67,ABS($C67-$E66),ABS($D67-$E66)))</f>
        <v>0</v>
      </c>
      <c r="AD67">
        <f>IF(COUNT($E$2:$E67)&lt;15,"",AVERAGE($AC$54:$AC$67))</f>
        <v>0</v>
      </c>
      <c r="AE67">
        <f>IF(OR($E67="",$E66=""),"",IF(AND(($C67-$C66)&gt;($D66-$D67),($C67-$C66)&gt;0),$C67-$C66,0))</f>
        <v>0</v>
      </c>
      <c r="AF67">
        <f>IF(OR($E67="",$E66=""),"",IF(AND(($D66-$D67)&gt;($C67-$C66),($D66-$D67)&gt;0),$D66-$D67,0))</f>
        <v>0</v>
      </c>
      <c r="AG67">
        <f>IF(COUNT($E$2:$E67)&lt;15,"",IF(SUM($AC$54:$AC$67)=0,0,100*SUM($AE$54:$AE$67)/SUM($AC$54:$AC$67)))</f>
        <v>0</v>
      </c>
      <c r="AH67">
        <f>IF(COUNT($E$2:$E67)&lt;15,"",IF(SUM($AC$54:$AC$67)=0,0,100*SUM($AF$54:$AF$67)/SUM($AC$54:$AC$67)))</f>
        <v>0</v>
      </c>
      <c r="AI67">
        <f>IF(OR(AG67="",AH67=""),"",IF((AG67+AH67)=0,0,100*ABS(AG67-AH67)/(AG67+AH67)))</f>
        <v>0</v>
      </c>
      <c r="AJ67">
        <f>IF(COUNT($AI$54:$AI$67)&lt;14,"",AVERAGE($AI$54:$AI$67))</f>
        <v>0</v>
      </c>
      <c r="AK67">
        <f>IF(COUNT($E$2:$E67)&lt;20,"",AVERAGE($E$48:$E$67))</f>
        <v>0</v>
      </c>
      <c r="AL67">
        <f>IF(COUNT($E$2:$E67)&lt;20,"",STDEVP($E$48:$E$67))</f>
        <v>0</v>
      </c>
      <c r="AM67">
        <f>IF(AK67="","",AK67+2*AL67)</f>
        <v>0</v>
      </c>
      <c r="AN67">
        <f>IF(AK67="","",AK67-2*AL67)</f>
        <v>0</v>
      </c>
      <c r="AO67">
        <f>IF(OR(AM67="",AN67="",AM67=AN67),"",($E67-AN67)/(AM67-AN67))</f>
        <v>0</v>
      </c>
      <c r="AP67">
        <f>IF(OR(AM67="",AK67="",AK67=0),"",(AM67-AN67)/AK67)</f>
        <v>0</v>
      </c>
      <c r="AQ67">
        <f>IF(COUNT($E$2:$E67)&lt;20,"",MAX($C$48:$C$67))</f>
        <v>0</v>
      </c>
      <c r="AR67">
        <f>IF(COUNT($E$2:$E67)&lt;20,"",MIN($D$48:$D$67))</f>
        <v>0</v>
      </c>
      <c r="AS67">
        <f>IF(OR(AQ67="",AR67=""),"",(AQ67+AR67)/2)</f>
        <v>0</v>
      </c>
      <c r="AT67">
        <f>IF(COUNT($G$48:$G$67)&lt;20,"",STDEV($G$48:$G$67)*SQRT(52))</f>
        <v>0</v>
      </c>
      <c r="AU67">
        <f>IF(COUNT($E$2:$E67)&lt;9,"",(MAX($C$59:$C$67)+MIN($D$59:$D$67))/2)</f>
        <v>0</v>
      </c>
      <c r="AV67">
        <f>IF(COUNT($E$2:$E67)&lt;26,"",(MAX($C$42:$C$67)+MIN($D$42:$D$67))/2)</f>
        <v>0</v>
      </c>
      <c r="AW67">
        <f>IF(OR(AU67="",AV67=""),"",(AU67+AV67)/2)</f>
        <v>0</v>
      </c>
      <c r="AX67">
        <f>IF(COUNT($E$2:$E67)&lt;52,"",(MAX($C$16:$C$67)+MIN($D$16:$D$67))/2)</f>
        <v>0</v>
      </c>
      <c r="AY67">
        <f>IF(COUNT($E$2:$E67)&lt;20,"",MAX($C$2:$C$67))</f>
        <v>0</v>
      </c>
      <c r="AZ67">
        <f>IF(COUNT($E$2:$E67)&lt;20,"",MIN($D$2:$D$67))</f>
        <v>0</v>
      </c>
      <c r="BA67">
        <f>IF(COUNT($E$2:$E67)&lt;20,"",SLOPE($E$2:$E$67,$F$2:$F$67))</f>
        <v>0</v>
      </c>
      <c r="BB67">
        <f>IF(COUNT($E$2:$E67)&lt;20,"",INTERCEPT($E$2:$E$67,$F$2:$F$67))</f>
        <v>0</v>
      </c>
      <c r="BC67">
        <f>IF(OR(BA67="",BB67=""),"",BB67+BA67*F67)</f>
        <v>0</v>
      </c>
      <c r="BD67">
        <f>IF(COUNT($E$2:$E67)&lt;20,"",STEYX($E$2:$E$67,$F$2:$F$67))</f>
        <v>0</v>
      </c>
      <c r="BE67">
        <f>IF($E67="","",IF(AND(COUNT($E$68:$E$71)&gt;=4,$C67=MAX($C$63:$C$71)),$C67,""))</f>
        <v>0</v>
      </c>
      <c r="BF67">
        <f>IF($E67="","",IF(AND(COUNT($E$68:$E$71)&gt;=4,$D67=MIN($D$63:$D$71)),$D67,""))</f>
        <v>0</v>
      </c>
      <c r="BG67">
        <f>IFERROR(SMALL(Calc_Daily!$BM$2:$BM$2001,66),"")</f>
        <v>0</v>
      </c>
    </row>
    <row r="68" spans="1:59">
      <c r="A68" s="27">
        <f>IF($BG68="","",INDEX(Calc_Daily!$A$2:$A$2001,$BG68))</f>
        <v>0</v>
      </c>
      <c r="B68">
        <f>IF($BG68="","",INDEX(Calc_Daily!$BJ$2:$BJ$2001,$BG68))</f>
        <v>0</v>
      </c>
      <c r="C68">
        <f>IF($BG68="","",INDEX(Calc_Daily!$BK$2:$BK$2001,$BG68))</f>
        <v>0</v>
      </c>
      <c r="D68">
        <f>IF($BG68="","",INDEX(Calc_Daily!$BL$2:$BL$2001,$BG68))</f>
        <v>0</v>
      </c>
      <c r="E68">
        <f>IF($BG68="","",INDEX(Calc_Daily!$E$2:$E$2001,$BG68))</f>
        <v>0</v>
      </c>
      <c r="F68">
        <f>IF($E68="","",N(F67)+1)</f>
        <v>0</v>
      </c>
      <c r="G68">
        <f>IF(OR($E68="",$E67=""),"",LN($E68/$E67))</f>
        <v>0</v>
      </c>
      <c r="H68">
        <f>IF($E68="","",IF($E67="",$E68,$E68*0.0952380952+H67*0.9047619048))</f>
        <v>0</v>
      </c>
      <c r="I68">
        <f>IF($E68="","",IF($E67="",$E68,$E68*0.0392156863+I67*0.9607843137))</f>
        <v>0</v>
      </c>
      <c r="J68">
        <f>IF($E68="","",IF($E67="",$E68,$E68*0.0198019802+J67*0.9801980198))</f>
        <v>0</v>
      </c>
      <c r="K68">
        <f>IF($E68="","",IF($E67="",$E68,$E68*0.0099502488+K67*0.9900497512))</f>
        <v>0</v>
      </c>
      <c r="L68">
        <f>IF(OR($E68="",$E67=""),"",MAX($E68-$E67,0))</f>
        <v>0</v>
      </c>
      <c r="M68">
        <f>IF(OR($E68="",$E67=""),"",MAX($E67-$E68,0))</f>
        <v>0</v>
      </c>
      <c r="N68">
        <f>IF(COUNT($E$2:$E68)&lt;15,"",IF(AVERAGE($M$55:$M$68)=0,100,100-100/(1+AVERAGE($L$55:$L$68)/AVERAGE($M$55:$M$68))))</f>
        <v>0</v>
      </c>
      <c r="O68">
        <f>IF($E68="","",IF($E67="",$E68,$E68*0.1538461538+O67*0.8461538462))</f>
        <v>0</v>
      </c>
      <c r="P68">
        <f>IF($E68="","",IF($E67="",$E68,$E68*0.0740740741+P67*0.9259259259))</f>
        <v>0</v>
      </c>
      <c r="Q68">
        <f>IF(OR(O68="",P68=""),"",O68-P68)</f>
        <v>0</v>
      </c>
      <c r="R68">
        <f>IF(Q68="","",IF(R67="",Q68,Q68*0.2000000000+R67*0.8000000000))</f>
        <v>0</v>
      </c>
      <c r="S68">
        <f>IF(OR(Q68="",R68=""),"",Q68-R68)</f>
        <v>0</v>
      </c>
      <c r="T68">
        <f>IF(COUNT($E$2:$E68)&lt;14,"",MAX($C$55:$C$68))</f>
        <v>0</v>
      </c>
      <c r="U68">
        <f>IF(COUNT($E$2:$E68)&lt;14,"",MIN($D$55:$D$68))</f>
        <v>0</v>
      </c>
      <c r="V68">
        <f>IF(OR(T68="",U68="",T68=U68),"",100*($E68-U68)/(T68-U68))</f>
        <v>0</v>
      </c>
      <c r="W68">
        <f>IF(COUNT($V$66:$V$68)&lt;3,"",AVERAGE($V$66:$V$68))</f>
        <v>0</v>
      </c>
      <c r="X68">
        <f>IF(COUNT($N$55:$N$68)&lt;14,"",MIN($N$55:$N$68))</f>
        <v>0</v>
      </c>
      <c r="Y68">
        <f>IF(COUNT($N$55:$N$68)&lt;14,"",MAX($N$55:$N$68))</f>
        <v>0</v>
      </c>
      <c r="Z68">
        <f>IF(OR(N68="",X68="",Y68="",Y68=X68),"",100*(N68-X68)/(Y68-X68))</f>
        <v>0</v>
      </c>
      <c r="AA68">
        <f>IF(COUNT($Z$66:$Z$68)&lt;3,"",AVERAGE($Z$66:$Z$68))</f>
        <v>0</v>
      </c>
      <c r="AB68">
        <f>IF(COUNT($AA$66:$AA$68)&lt;3,"",AVERAGE($AA$66:$AA$68))</f>
        <v>0</v>
      </c>
      <c r="AC68">
        <f>IF($E68="","",MAX($C68-$D68,ABS($C68-$E67),ABS($D68-$E67)))</f>
        <v>0</v>
      </c>
      <c r="AD68">
        <f>IF(COUNT($E$2:$E68)&lt;15,"",AVERAGE($AC$55:$AC$68))</f>
        <v>0</v>
      </c>
      <c r="AE68">
        <f>IF(OR($E68="",$E67=""),"",IF(AND(($C68-$C67)&gt;($D67-$D68),($C68-$C67)&gt;0),$C68-$C67,0))</f>
        <v>0</v>
      </c>
      <c r="AF68">
        <f>IF(OR($E68="",$E67=""),"",IF(AND(($D67-$D68)&gt;($C68-$C67),($D67-$D68)&gt;0),$D67-$D68,0))</f>
        <v>0</v>
      </c>
      <c r="AG68">
        <f>IF(COUNT($E$2:$E68)&lt;15,"",IF(SUM($AC$55:$AC$68)=0,0,100*SUM($AE$55:$AE$68)/SUM($AC$55:$AC$68)))</f>
        <v>0</v>
      </c>
      <c r="AH68">
        <f>IF(COUNT($E$2:$E68)&lt;15,"",IF(SUM($AC$55:$AC$68)=0,0,100*SUM($AF$55:$AF$68)/SUM($AC$55:$AC$68)))</f>
        <v>0</v>
      </c>
      <c r="AI68">
        <f>IF(OR(AG68="",AH68=""),"",IF((AG68+AH68)=0,0,100*ABS(AG68-AH68)/(AG68+AH68)))</f>
        <v>0</v>
      </c>
      <c r="AJ68">
        <f>IF(COUNT($AI$55:$AI$68)&lt;14,"",AVERAGE($AI$55:$AI$68))</f>
        <v>0</v>
      </c>
      <c r="AK68">
        <f>IF(COUNT($E$2:$E68)&lt;20,"",AVERAGE($E$49:$E$68))</f>
        <v>0</v>
      </c>
      <c r="AL68">
        <f>IF(COUNT($E$2:$E68)&lt;20,"",STDEVP($E$49:$E$68))</f>
        <v>0</v>
      </c>
      <c r="AM68">
        <f>IF(AK68="","",AK68+2*AL68)</f>
        <v>0</v>
      </c>
      <c r="AN68">
        <f>IF(AK68="","",AK68-2*AL68)</f>
        <v>0</v>
      </c>
      <c r="AO68">
        <f>IF(OR(AM68="",AN68="",AM68=AN68),"",($E68-AN68)/(AM68-AN68))</f>
        <v>0</v>
      </c>
      <c r="AP68">
        <f>IF(OR(AM68="",AK68="",AK68=0),"",(AM68-AN68)/AK68)</f>
        <v>0</v>
      </c>
      <c r="AQ68">
        <f>IF(COUNT($E$2:$E68)&lt;20,"",MAX($C$49:$C$68))</f>
        <v>0</v>
      </c>
      <c r="AR68">
        <f>IF(COUNT($E$2:$E68)&lt;20,"",MIN($D$49:$D$68))</f>
        <v>0</v>
      </c>
      <c r="AS68">
        <f>IF(OR(AQ68="",AR68=""),"",(AQ68+AR68)/2)</f>
        <v>0</v>
      </c>
      <c r="AT68">
        <f>IF(COUNT($G$49:$G$68)&lt;20,"",STDEV($G$49:$G$68)*SQRT(52))</f>
        <v>0</v>
      </c>
      <c r="AU68">
        <f>IF(COUNT($E$2:$E68)&lt;9,"",(MAX($C$60:$C$68)+MIN($D$60:$D$68))/2)</f>
        <v>0</v>
      </c>
      <c r="AV68">
        <f>IF(COUNT($E$2:$E68)&lt;26,"",(MAX($C$43:$C$68)+MIN($D$43:$D$68))/2)</f>
        <v>0</v>
      </c>
      <c r="AW68">
        <f>IF(OR(AU68="",AV68=""),"",(AU68+AV68)/2)</f>
        <v>0</v>
      </c>
      <c r="AX68">
        <f>IF(COUNT($E$2:$E68)&lt;52,"",(MAX($C$17:$C$68)+MIN($D$17:$D$68))/2)</f>
        <v>0</v>
      </c>
      <c r="AY68">
        <f>IF(COUNT($E$2:$E68)&lt;20,"",MAX($C$2:$C$68))</f>
        <v>0</v>
      </c>
      <c r="AZ68">
        <f>IF(COUNT($E$2:$E68)&lt;20,"",MIN($D$2:$D$68))</f>
        <v>0</v>
      </c>
      <c r="BA68">
        <f>IF(COUNT($E$2:$E68)&lt;20,"",SLOPE($E$2:$E$68,$F$2:$F$68))</f>
        <v>0</v>
      </c>
      <c r="BB68">
        <f>IF(COUNT($E$2:$E68)&lt;20,"",INTERCEPT($E$2:$E$68,$F$2:$F$68))</f>
        <v>0</v>
      </c>
      <c r="BC68">
        <f>IF(OR(BA68="",BB68=""),"",BB68+BA68*F68)</f>
        <v>0</v>
      </c>
      <c r="BD68">
        <f>IF(COUNT($E$2:$E68)&lt;20,"",STEYX($E$2:$E$68,$F$2:$F$68))</f>
        <v>0</v>
      </c>
      <c r="BE68">
        <f>IF($E68="","",IF(AND(COUNT($E$69:$E$72)&gt;=4,$C68=MAX($C$64:$C$72)),$C68,""))</f>
        <v>0</v>
      </c>
      <c r="BF68">
        <f>IF($E68="","",IF(AND(COUNT($E$69:$E$72)&gt;=4,$D68=MIN($D$64:$D$72)),$D68,""))</f>
        <v>0</v>
      </c>
      <c r="BG68">
        <f>IFERROR(SMALL(Calc_Daily!$BM$2:$BM$2001,67),"")</f>
        <v>0</v>
      </c>
    </row>
    <row r="69" spans="1:59">
      <c r="A69" s="27">
        <f>IF($BG69="","",INDEX(Calc_Daily!$A$2:$A$2001,$BG69))</f>
        <v>0</v>
      </c>
      <c r="B69">
        <f>IF($BG69="","",INDEX(Calc_Daily!$BJ$2:$BJ$2001,$BG69))</f>
        <v>0</v>
      </c>
      <c r="C69">
        <f>IF($BG69="","",INDEX(Calc_Daily!$BK$2:$BK$2001,$BG69))</f>
        <v>0</v>
      </c>
      <c r="D69">
        <f>IF($BG69="","",INDEX(Calc_Daily!$BL$2:$BL$2001,$BG69))</f>
        <v>0</v>
      </c>
      <c r="E69">
        <f>IF($BG69="","",INDEX(Calc_Daily!$E$2:$E$2001,$BG69))</f>
        <v>0</v>
      </c>
      <c r="F69">
        <f>IF($E69="","",N(F68)+1)</f>
        <v>0</v>
      </c>
      <c r="G69">
        <f>IF(OR($E69="",$E68=""),"",LN($E69/$E68))</f>
        <v>0</v>
      </c>
      <c r="H69">
        <f>IF($E69="","",IF($E68="",$E69,$E69*0.0952380952+H68*0.9047619048))</f>
        <v>0</v>
      </c>
      <c r="I69">
        <f>IF($E69="","",IF($E68="",$E69,$E69*0.0392156863+I68*0.9607843137))</f>
        <v>0</v>
      </c>
      <c r="J69">
        <f>IF($E69="","",IF($E68="",$E69,$E69*0.0198019802+J68*0.9801980198))</f>
        <v>0</v>
      </c>
      <c r="K69">
        <f>IF($E69="","",IF($E68="",$E69,$E69*0.0099502488+K68*0.9900497512))</f>
        <v>0</v>
      </c>
      <c r="L69">
        <f>IF(OR($E69="",$E68=""),"",MAX($E69-$E68,0))</f>
        <v>0</v>
      </c>
      <c r="M69">
        <f>IF(OR($E69="",$E68=""),"",MAX($E68-$E69,0))</f>
        <v>0</v>
      </c>
      <c r="N69">
        <f>IF(COUNT($E$2:$E69)&lt;15,"",IF(AVERAGE($M$56:$M$69)=0,100,100-100/(1+AVERAGE($L$56:$L$69)/AVERAGE($M$56:$M$69))))</f>
        <v>0</v>
      </c>
      <c r="O69">
        <f>IF($E69="","",IF($E68="",$E69,$E69*0.1538461538+O68*0.8461538462))</f>
        <v>0</v>
      </c>
      <c r="P69">
        <f>IF($E69="","",IF($E68="",$E69,$E69*0.0740740741+P68*0.9259259259))</f>
        <v>0</v>
      </c>
      <c r="Q69">
        <f>IF(OR(O69="",P69=""),"",O69-P69)</f>
        <v>0</v>
      </c>
      <c r="R69">
        <f>IF(Q69="","",IF(R68="",Q69,Q69*0.2000000000+R68*0.8000000000))</f>
        <v>0</v>
      </c>
      <c r="S69">
        <f>IF(OR(Q69="",R69=""),"",Q69-R69)</f>
        <v>0</v>
      </c>
      <c r="T69">
        <f>IF(COUNT($E$2:$E69)&lt;14,"",MAX($C$56:$C$69))</f>
        <v>0</v>
      </c>
      <c r="U69">
        <f>IF(COUNT($E$2:$E69)&lt;14,"",MIN($D$56:$D$69))</f>
        <v>0</v>
      </c>
      <c r="V69">
        <f>IF(OR(T69="",U69="",T69=U69),"",100*($E69-U69)/(T69-U69))</f>
        <v>0</v>
      </c>
      <c r="W69">
        <f>IF(COUNT($V$67:$V$69)&lt;3,"",AVERAGE($V$67:$V$69))</f>
        <v>0</v>
      </c>
      <c r="X69">
        <f>IF(COUNT($N$56:$N$69)&lt;14,"",MIN($N$56:$N$69))</f>
        <v>0</v>
      </c>
      <c r="Y69">
        <f>IF(COUNT($N$56:$N$69)&lt;14,"",MAX($N$56:$N$69))</f>
        <v>0</v>
      </c>
      <c r="Z69">
        <f>IF(OR(N69="",X69="",Y69="",Y69=X69),"",100*(N69-X69)/(Y69-X69))</f>
        <v>0</v>
      </c>
      <c r="AA69">
        <f>IF(COUNT($Z$67:$Z$69)&lt;3,"",AVERAGE($Z$67:$Z$69))</f>
        <v>0</v>
      </c>
      <c r="AB69">
        <f>IF(COUNT($AA$67:$AA$69)&lt;3,"",AVERAGE($AA$67:$AA$69))</f>
        <v>0</v>
      </c>
      <c r="AC69">
        <f>IF($E69="","",MAX($C69-$D69,ABS($C69-$E68),ABS($D69-$E68)))</f>
        <v>0</v>
      </c>
      <c r="AD69">
        <f>IF(COUNT($E$2:$E69)&lt;15,"",AVERAGE($AC$56:$AC$69))</f>
        <v>0</v>
      </c>
      <c r="AE69">
        <f>IF(OR($E69="",$E68=""),"",IF(AND(($C69-$C68)&gt;($D68-$D69),($C69-$C68)&gt;0),$C69-$C68,0))</f>
        <v>0</v>
      </c>
      <c r="AF69">
        <f>IF(OR($E69="",$E68=""),"",IF(AND(($D68-$D69)&gt;($C69-$C68),($D68-$D69)&gt;0),$D68-$D69,0))</f>
        <v>0</v>
      </c>
      <c r="AG69">
        <f>IF(COUNT($E$2:$E69)&lt;15,"",IF(SUM($AC$56:$AC$69)=0,0,100*SUM($AE$56:$AE$69)/SUM($AC$56:$AC$69)))</f>
        <v>0</v>
      </c>
      <c r="AH69">
        <f>IF(COUNT($E$2:$E69)&lt;15,"",IF(SUM($AC$56:$AC$69)=0,0,100*SUM($AF$56:$AF$69)/SUM($AC$56:$AC$69)))</f>
        <v>0</v>
      </c>
      <c r="AI69">
        <f>IF(OR(AG69="",AH69=""),"",IF((AG69+AH69)=0,0,100*ABS(AG69-AH69)/(AG69+AH69)))</f>
        <v>0</v>
      </c>
      <c r="AJ69">
        <f>IF(COUNT($AI$56:$AI$69)&lt;14,"",AVERAGE($AI$56:$AI$69))</f>
        <v>0</v>
      </c>
      <c r="AK69">
        <f>IF(COUNT($E$2:$E69)&lt;20,"",AVERAGE($E$50:$E$69))</f>
        <v>0</v>
      </c>
      <c r="AL69">
        <f>IF(COUNT($E$2:$E69)&lt;20,"",STDEVP($E$50:$E$69))</f>
        <v>0</v>
      </c>
      <c r="AM69">
        <f>IF(AK69="","",AK69+2*AL69)</f>
        <v>0</v>
      </c>
      <c r="AN69">
        <f>IF(AK69="","",AK69-2*AL69)</f>
        <v>0</v>
      </c>
      <c r="AO69">
        <f>IF(OR(AM69="",AN69="",AM69=AN69),"",($E69-AN69)/(AM69-AN69))</f>
        <v>0</v>
      </c>
      <c r="AP69">
        <f>IF(OR(AM69="",AK69="",AK69=0),"",(AM69-AN69)/AK69)</f>
        <v>0</v>
      </c>
      <c r="AQ69">
        <f>IF(COUNT($E$2:$E69)&lt;20,"",MAX($C$50:$C$69))</f>
        <v>0</v>
      </c>
      <c r="AR69">
        <f>IF(COUNT($E$2:$E69)&lt;20,"",MIN($D$50:$D$69))</f>
        <v>0</v>
      </c>
      <c r="AS69">
        <f>IF(OR(AQ69="",AR69=""),"",(AQ69+AR69)/2)</f>
        <v>0</v>
      </c>
      <c r="AT69">
        <f>IF(COUNT($G$50:$G$69)&lt;20,"",STDEV($G$50:$G$69)*SQRT(52))</f>
        <v>0</v>
      </c>
      <c r="AU69">
        <f>IF(COUNT($E$2:$E69)&lt;9,"",(MAX($C$61:$C$69)+MIN($D$61:$D$69))/2)</f>
        <v>0</v>
      </c>
      <c r="AV69">
        <f>IF(COUNT($E$2:$E69)&lt;26,"",(MAX($C$44:$C$69)+MIN($D$44:$D$69))/2)</f>
        <v>0</v>
      </c>
      <c r="AW69">
        <f>IF(OR(AU69="",AV69=""),"",(AU69+AV69)/2)</f>
        <v>0</v>
      </c>
      <c r="AX69">
        <f>IF(COUNT($E$2:$E69)&lt;52,"",(MAX($C$18:$C$69)+MIN($D$18:$D$69))/2)</f>
        <v>0</v>
      </c>
      <c r="AY69">
        <f>IF(COUNT($E$2:$E69)&lt;20,"",MAX($C$2:$C$69))</f>
        <v>0</v>
      </c>
      <c r="AZ69">
        <f>IF(COUNT($E$2:$E69)&lt;20,"",MIN($D$2:$D$69))</f>
        <v>0</v>
      </c>
      <c r="BA69">
        <f>IF(COUNT($E$2:$E69)&lt;20,"",SLOPE($E$2:$E$69,$F$2:$F$69))</f>
        <v>0</v>
      </c>
      <c r="BB69">
        <f>IF(COUNT($E$2:$E69)&lt;20,"",INTERCEPT($E$2:$E$69,$F$2:$F$69))</f>
        <v>0</v>
      </c>
      <c r="BC69">
        <f>IF(OR(BA69="",BB69=""),"",BB69+BA69*F69)</f>
        <v>0</v>
      </c>
      <c r="BD69">
        <f>IF(COUNT($E$2:$E69)&lt;20,"",STEYX($E$2:$E$69,$F$2:$F$69))</f>
        <v>0</v>
      </c>
      <c r="BE69">
        <f>IF($E69="","",IF(AND(COUNT($E$70:$E$73)&gt;=4,$C69=MAX($C$65:$C$73)),$C69,""))</f>
        <v>0</v>
      </c>
      <c r="BF69">
        <f>IF($E69="","",IF(AND(COUNT($E$70:$E$73)&gt;=4,$D69=MIN($D$65:$D$73)),$D69,""))</f>
        <v>0</v>
      </c>
      <c r="BG69">
        <f>IFERROR(SMALL(Calc_Daily!$BM$2:$BM$2001,68),"")</f>
        <v>0</v>
      </c>
    </row>
    <row r="70" spans="1:59">
      <c r="A70" s="27">
        <f>IF($BG70="","",INDEX(Calc_Daily!$A$2:$A$2001,$BG70))</f>
        <v>0</v>
      </c>
      <c r="B70">
        <f>IF($BG70="","",INDEX(Calc_Daily!$BJ$2:$BJ$2001,$BG70))</f>
        <v>0</v>
      </c>
      <c r="C70">
        <f>IF($BG70="","",INDEX(Calc_Daily!$BK$2:$BK$2001,$BG70))</f>
        <v>0</v>
      </c>
      <c r="D70">
        <f>IF($BG70="","",INDEX(Calc_Daily!$BL$2:$BL$2001,$BG70))</f>
        <v>0</v>
      </c>
      <c r="E70">
        <f>IF($BG70="","",INDEX(Calc_Daily!$E$2:$E$2001,$BG70))</f>
        <v>0</v>
      </c>
      <c r="F70">
        <f>IF($E70="","",N(F69)+1)</f>
        <v>0</v>
      </c>
      <c r="G70">
        <f>IF(OR($E70="",$E69=""),"",LN($E70/$E69))</f>
        <v>0</v>
      </c>
      <c r="H70">
        <f>IF($E70="","",IF($E69="",$E70,$E70*0.0952380952+H69*0.9047619048))</f>
        <v>0</v>
      </c>
      <c r="I70">
        <f>IF($E70="","",IF($E69="",$E70,$E70*0.0392156863+I69*0.9607843137))</f>
        <v>0</v>
      </c>
      <c r="J70">
        <f>IF($E70="","",IF($E69="",$E70,$E70*0.0198019802+J69*0.9801980198))</f>
        <v>0</v>
      </c>
      <c r="K70">
        <f>IF($E70="","",IF($E69="",$E70,$E70*0.0099502488+K69*0.9900497512))</f>
        <v>0</v>
      </c>
      <c r="L70">
        <f>IF(OR($E70="",$E69=""),"",MAX($E70-$E69,0))</f>
        <v>0</v>
      </c>
      <c r="M70">
        <f>IF(OR($E70="",$E69=""),"",MAX($E69-$E70,0))</f>
        <v>0</v>
      </c>
      <c r="N70">
        <f>IF(COUNT($E$2:$E70)&lt;15,"",IF(AVERAGE($M$57:$M$70)=0,100,100-100/(1+AVERAGE($L$57:$L$70)/AVERAGE($M$57:$M$70))))</f>
        <v>0</v>
      </c>
      <c r="O70">
        <f>IF($E70="","",IF($E69="",$E70,$E70*0.1538461538+O69*0.8461538462))</f>
        <v>0</v>
      </c>
      <c r="P70">
        <f>IF($E70="","",IF($E69="",$E70,$E70*0.0740740741+P69*0.9259259259))</f>
        <v>0</v>
      </c>
      <c r="Q70">
        <f>IF(OR(O70="",P70=""),"",O70-P70)</f>
        <v>0</v>
      </c>
      <c r="R70">
        <f>IF(Q70="","",IF(R69="",Q70,Q70*0.2000000000+R69*0.8000000000))</f>
        <v>0</v>
      </c>
      <c r="S70">
        <f>IF(OR(Q70="",R70=""),"",Q70-R70)</f>
        <v>0</v>
      </c>
      <c r="T70">
        <f>IF(COUNT($E$2:$E70)&lt;14,"",MAX($C$57:$C$70))</f>
        <v>0</v>
      </c>
      <c r="U70">
        <f>IF(COUNT($E$2:$E70)&lt;14,"",MIN($D$57:$D$70))</f>
        <v>0</v>
      </c>
      <c r="V70">
        <f>IF(OR(T70="",U70="",T70=U70),"",100*($E70-U70)/(T70-U70))</f>
        <v>0</v>
      </c>
      <c r="W70">
        <f>IF(COUNT($V$68:$V$70)&lt;3,"",AVERAGE($V$68:$V$70))</f>
        <v>0</v>
      </c>
      <c r="X70">
        <f>IF(COUNT($N$57:$N$70)&lt;14,"",MIN($N$57:$N$70))</f>
        <v>0</v>
      </c>
      <c r="Y70">
        <f>IF(COUNT($N$57:$N$70)&lt;14,"",MAX($N$57:$N$70))</f>
        <v>0</v>
      </c>
      <c r="Z70">
        <f>IF(OR(N70="",X70="",Y70="",Y70=X70),"",100*(N70-X70)/(Y70-X70))</f>
        <v>0</v>
      </c>
      <c r="AA70">
        <f>IF(COUNT($Z$68:$Z$70)&lt;3,"",AVERAGE($Z$68:$Z$70))</f>
        <v>0</v>
      </c>
      <c r="AB70">
        <f>IF(COUNT($AA$68:$AA$70)&lt;3,"",AVERAGE($AA$68:$AA$70))</f>
        <v>0</v>
      </c>
      <c r="AC70">
        <f>IF($E70="","",MAX($C70-$D70,ABS($C70-$E69),ABS($D70-$E69)))</f>
        <v>0</v>
      </c>
      <c r="AD70">
        <f>IF(COUNT($E$2:$E70)&lt;15,"",AVERAGE($AC$57:$AC$70))</f>
        <v>0</v>
      </c>
      <c r="AE70">
        <f>IF(OR($E70="",$E69=""),"",IF(AND(($C70-$C69)&gt;($D69-$D70),($C70-$C69)&gt;0),$C70-$C69,0))</f>
        <v>0</v>
      </c>
      <c r="AF70">
        <f>IF(OR($E70="",$E69=""),"",IF(AND(($D69-$D70)&gt;($C70-$C69),($D69-$D70)&gt;0),$D69-$D70,0))</f>
        <v>0</v>
      </c>
      <c r="AG70">
        <f>IF(COUNT($E$2:$E70)&lt;15,"",IF(SUM($AC$57:$AC$70)=0,0,100*SUM($AE$57:$AE$70)/SUM($AC$57:$AC$70)))</f>
        <v>0</v>
      </c>
      <c r="AH70">
        <f>IF(COUNT($E$2:$E70)&lt;15,"",IF(SUM($AC$57:$AC$70)=0,0,100*SUM($AF$57:$AF$70)/SUM($AC$57:$AC$70)))</f>
        <v>0</v>
      </c>
      <c r="AI70">
        <f>IF(OR(AG70="",AH70=""),"",IF((AG70+AH70)=0,0,100*ABS(AG70-AH70)/(AG70+AH70)))</f>
        <v>0</v>
      </c>
      <c r="AJ70">
        <f>IF(COUNT($AI$57:$AI$70)&lt;14,"",AVERAGE($AI$57:$AI$70))</f>
        <v>0</v>
      </c>
      <c r="AK70">
        <f>IF(COUNT($E$2:$E70)&lt;20,"",AVERAGE($E$51:$E$70))</f>
        <v>0</v>
      </c>
      <c r="AL70">
        <f>IF(COUNT($E$2:$E70)&lt;20,"",STDEVP($E$51:$E$70))</f>
        <v>0</v>
      </c>
      <c r="AM70">
        <f>IF(AK70="","",AK70+2*AL70)</f>
        <v>0</v>
      </c>
      <c r="AN70">
        <f>IF(AK70="","",AK70-2*AL70)</f>
        <v>0</v>
      </c>
      <c r="AO70">
        <f>IF(OR(AM70="",AN70="",AM70=AN70),"",($E70-AN70)/(AM70-AN70))</f>
        <v>0</v>
      </c>
      <c r="AP70">
        <f>IF(OR(AM70="",AK70="",AK70=0),"",(AM70-AN70)/AK70)</f>
        <v>0</v>
      </c>
      <c r="AQ70">
        <f>IF(COUNT($E$2:$E70)&lt;20,"",MAX($C$51:$C$70))</f>
        <v>0</v>
      </c>
      <c r="AR70">
        <f>IF(COUNT($E$2:$E70)&lt;20,"",MIN($D$51:$D$70))</f>
        <v>0</v>
      </c>
      <c r="AS70">
        <f>IF(OR(AQ70="",AR70=""),"",(AQ70+AR70)/2)</f>
        <v>0</v>
      </c>
      <c r="AT70">
        <f>IF(COUNT($G$51:$G$70)&lt;20,"",STDEV($G$51:$G$70)*SQRT(52))</f>
        <v>0</v>
      </c>
      <c r="AU70">
        <f>IF(COUNT($E$2:$E70)&lt;9,"",(MAX($C$62:$C$70)+MIN($D$62:$D$70))/2)</f>
        <v>0</v>
      </c>
      <c r="AV70">
        <f>IF(COUNT($E$2:$E70)&lt;26,"",(MAX($C$45:$C$70)+MIN($D$45:$D$70))/2)</f>
        <v>0</v>
      </c>
      <c r="AW70">
        <f>IF(OR(AU70="",AV70=""),"",(AU70+AV70)/2)</f>
        <v>0</v>
      </c>
      <c r="AX70">
        <f>IF(COUNT($E$2:$E70)&lt;52,"",(MAX($C$19:$C$70)+MIN($D$19:$D$70))/2)</f>
        <v>0</v>
      </c>
      <c r="AY70">
        <f>IF(COUNT($E$2:$E70)&lt;20,"",MAX($C$2:$C$70))</f>
        <v>0</v>
      </c>
      <c r="AZ70">
        <f>IF(COUNT($E$2:$E70)&lt;20,"",MIN($D$2:$D$70))</f>
        <v>0</v>
      </c>
      <c r="BA70">
        <f>IF(COUNT($E$2:$E70)&lt;20,"",SLOPE($E$2:$E$70,$F$2:$F$70))</f>
        <v>0</v>
      </c>
      <c r="BB70">
        <f>IF(COUNT($E$2:$E70)&lt;20,"",INTERCEPT($E$2:$E$70,$F$2:$F$70))</f>
        <v>0</v>
      </c>
      <c r="BC70">
        <f>IF(OR(BA70="",BB70=""),"",BB70+BA70*F70)</f>
        <v>0</v>
      </c>
      <c r="BD70">
        <f>IF(COUNT($E$2:$E70)&lt;20,"",STEYX($E$2:$E$70,$F$2:$F$70))</f>
        <v>0</v>
      </c>
      <c r="BE70">
        <f>IF($E70="","",IF(AND(COUNT($E$71:$E$74)&gt;=4,$C70=MAX($C$66:$C$74)),$C70,""))</f>
        <v>0</v>
      </c>
      <c r="BF70">
        <f>IF($E70="","",IF(AND(COUNT($E$71:$E$74)&gt;=4,$D70=MIN($D$66:$D$74)),$D70,""))</f>
        <v>0</v>
      </c>
      <c r="BG70">
        <f>IFERROR(SMALL(Calc_Daily!$BM$2:$BM$2001,69),"")</f>
        <v>0</v>
      </c>
    </row>
    <row r="71" spans="1:59">
      <c r="A71" s="27">
        <f>IF($BG71="","",INDEX(Calc_Daily!$A$2:$A$2001,$BG71))</f>
        <v>0</v>
      </c>
      <c r="B71">
        <f>IF($BG71="","",INDEX(Calc_Daily!$BJ$2:$BJ$2001,$BG71))</f>
        <v>0</v>
      </c>
      <c r="C71">
        <f>IF($BG71="","",INDEX(Calc_Daily!$BK$2:$BK$2001,$BG71))</f>
        <v>0</v>
      </c>
      <c r="D71">
        <f>IF($BG71="","",INDEX(Calc_Daily!$BL$2:$BL$2001,$BG71))</f>
        <v>0</v>
      </c>
      <c r="E71">
        <f>IF($BG71="","",INDEX(Calc_Daily!$E$2:$E$2001,$BG71))</f>
        <v>0</v>
      </c>
      <c r="F71">
        <f>IF($E71="","",N(F70)+1)</f>
        <v>0</v>
      </c>
      <c r="G71">
        <f>IF(OR($E71="",$E70=""),"",LN($E71/$E70))</f>
        <v>0</v>
      </c>
      <c r="H71">
        <f>IF($E71="","",IF($E70="",$E71,$E71*0.0952380952+H70*0.9047619048))</f>
        <v>0</v>
      </c>
      <c r="I71">
        <f>IF($E71="","",IF($E70="",$E71,$E71*0.0392156863+I70*0.9607843137))</f>
        <v>0</v>
      </c>
      <c r="J71">
        <f>IF($E71="","",IF($E70="",$E71,$E71*0.0198019802+J70*0.9801980198))</f>
        <v>0</v>
      </c>
      <c r="K71">
        <f>IF($E71="","",IF($E70="",$E71,$E71*0.0099502488+K70*0.9900497512))</f>
        <v>0</v>
      </c>
      <c r="L71">
        <f>IF(OR($E71="",$E70=""),"",MAX($E71-$E70,0))</f>
        <v>0</v>
      </c>
      <c r="M71">
        <f>IF(OR($E71="",$E70=""),"",MAX($E70-$E71,0))</f>
        <v>0</v>
      </c>
      <c r="N71">
        <f>IF(COUNT($E$2:$E71)&lt;15,"",IF(AVERAGE($M$58:$M$71)=0,100,100-100/(1+AVERAGE($L$58:$L$71)/AVERAGE($M$58:$M$71))))</f>
        <v>0</v>
      </c>
      <c r="O71">
        <f>IF($E71="","",IF($E70="",$E71,$E71*0.1538461538+O70*0.8461538462))</f>
        <v>0</v>
      </c>
      <c r="P71">
        <f>IF($E71="","",IF($E70="",$E71,$E71*0.0740740741+P70*0.9259259259))</f>
        <v>0</v>
      </c>
      <c r="Q71">
        <f>IF(OR(O71="",P71=""),"",O71-P71)</f>
        <v>0</v>
      </c>
      <c r="R71">
        <f>IF(Q71="","",IF(R70="",Q71,Q71*0.2000000000+R70*0.8000000000))</f>
        <v>0</v>
      </c>
      <c r="S71">
        <f>IF(OR(Q71="",R71=""),"",Q71-R71)</f>
        <v>0</v>
      </c>
      <c r="T71">
        <f>IF(COUNT($E$2:$E71)&lt;14,"",MAX($C$58:$C$71))</f>
        <v>0</v>
      </c>
      <c r="U71">
        <f>IF(COUNT($E$2:$E71)&lt;14,"",MIN($D$58:$D$71))</f>
        <v>0</v>
      </c>
      <c r="V71">
        <f>IF(OR(T71="",U71="",T71=U71),"",100*($E71-U71)/(T71-U71))</f>
        <v>0</v>
      </c>
      <c r="W71">
        <f>IF(COUNT($V$69:$V$71)&lt;3,"",AVERAGE($V$69:$V$71))</f>
        <v>0</v>
      </c>
      <c r="X71">
        <f>IF(COUNT($N$58:$N$71)&lt;14,"",MIN($N$58:$N$71))</f>
        <v>0</v>
      </c>
      <c r="Y71">
        <f>IF(COUNT($N$58:$N$71)&lt;14,"",MAX($N$58:$N$71))</f>
        <v>0</v>
      </c>
      <c r="Z71">
        <f>IF(OR(N71="",X71="",Y71="",Y71=X71),"",100*(N71-X71)/(Y71-X71))</f>
        <v>0</v>
      </c>
      <c r="AA71">
        <f>IF(COUNT($Z$69:$Z$71)&lt;3,"",AVERAGE($Z$69:$Z$71))</f>
        <v>0</v>
      </c>
      <c r="AB71">
        <f>IF(COUNT($AA$69:$AA$71)&lt;3,"",AVERAGE($AA$69:$AA$71))</f>
        <v>0</v>
      </c>
      <c r="AC71">
        <f>IF($E71="","",MAX($C71-$D71,ABS($C71-$E70),ABS($D71-$E70)))</f>
        <v>0</v>
      </c>
      <c r="AD71">
        <f>IF(COUNT($E$2:$E71)&lt;15,"",AVERAGE($AC$58:$AC$71))</f>
        <v>0</v>
      </c>
      <c r="AE71">
        <f>IF(OR($E71="",$E70=""),"",IF(AND(($C71-$C70)&gt;($D70-$D71),($C71-$C70)&gt;0),$C71-$C70,0))</f>
        <v>0</v>
      </c>
      <c r="AF71">
        <f>IF(OR($E71="",$E70=""),"",IF(AND(($D70-$D71)&gt;($C71-$C70),($D70-$D71)&gt;0),$D70-$D71,0))</f>
        <v>0</v>
      </c>
      <c r="AG71">
        <f>IF(COUNT($E$2:$E71)&lt;15,"",IF(SUM($AC$58:$AC$71)=0,0,100*SUM($AE$58:$AE$71)/SUM($AC$58:$AC$71)))</f>
        <v>0</v>
      </c>
      <c r="AH71">
        <f>IF(COUNT($E$2:$E71)&lt;15,"",IF(SUM($AC$58:$AC$71)=0,0,100*SUM($AF$58:$AF$71)/SUM($AC$58:$AC$71)))</f>
        <v>0</v>
      </c>
      <c r="AI71">
        <f>IF(OR(AG71="",AH71=""),"",IF((AG71+AH71)=0,0,100*ABS(AG71-AH71)/(AG71+AH71)))</f>
        <v>0</v>
      </c>
      <c r="AJ71">
        <f>IF(COUNT($AI$58:$AI$71)&lt;14,"",AVERAGE($AI$58:$AI$71))</f>
        <v>0</v>
      </c>
      <c r="AK71">
        <f>IF(COUNT($E$2:$E71)&lt;20,"",AVERAGE($E$52:$E$71))</f>
        <v>0</v>
      </c>
      <c r="AL71">
        <f>IF(COUNT($E$2:$E71)&lt;20,"",STDEVP($E$52:$E$71))</f>
        <v>0</v>
      </c>
      <c r="AM71">
        <f>IF(AK71="","",AK71+2*AL71)</f>
        <v>0</v>
      </c>
      <c r="AN71">
        <f>IF(AK71="","",AK71-2*AL71)</f>
        <v>0</v>
      </c>
      <c r="AO71">
        <f>IF(OR(AM71="",AN71="",AM71=AN71),"",($E71-AN71)/(AM71-AN71))</f>
        <v>0</v>
      </c>
      <c r="AP71">
        <f>IF(OR(AM71="",AK71="",AK71=0),"",(AM71-AN71)/AK71)</f>
        <v>0</v>
      </c>
      <c r="AQ71">
        <f>IF(COUNT($E$2:$E71)&lt;20,"",MAX($C$52:$C$71))</f>
        <v>0</v>
      </c>
      <c r="AR71">
        <f>IF(COUNT($E$2:$E71)&lt;20,"",MIN($D$52:$D$71))</f>
        <v>0</v>
      </c>
      <c r="AS71">
        <f>IF(OR(AQ71="",AR71=""),"",(AQ71+AR71)/2)</f>
        <v>0</v>
      </c>
      <c r="AT71">
        <f>IF(COUNT($G$52:$G$71)&lt;20,"",STDEV($G$52:$G$71)*SQRT(52))</f>
        <v>0</v>
      </c>
      <c r="AU71">
        <f>IF(COUNT($E$2:$E71)&lt;9,"",(MAX($C$63:$C$71)+MIN($D$63:$D$71))/2)</f>
        <v>0</v>
      </c>
      <c r="AV71">
        <f>IF(COUNT($E$2:$E71)&lt;26,"",(MAX($C$46:$C$71)+MIN($D$46:$D$71))/2)</f>
        <v>0</v>
      </c>
      <c r="AW71">
        <f>IF(OR(AU71="",AV71=""),"",(AU71+AV71)/2)</f>
        <v>0</v>
      </c>
      <c r="AX71">
        <f>IF(COUNT($E$2:$E71)&lt;52,"",(MAX($C$20:$C$71)+MIN($D$20:$D$71))/2)</f>
        <v>0</v>
      </c>
      <c r="AY71">
        <f>IF(COUNT($E$2:$E71)&lt;20,"",MAX($C$2:$C$71))</f>
        <v>0</v>
      </c>
      <c r="AZ71">
        <f>IF(COUNT($E$2:$E71)&lt;20,"",MIN($D$2:$D$71))</f>
        <v>0</v>
      </c>
      <c r="BA71">
        <f>IF(COUNT($E$2:$E71)&lt;20,"",SLOPE($E$2:$E$71,$F$2:$F$71))</f>
        <v>0</v>
      </c>
      <c r="BB71">
        <f>IF(COUNT($E$2:$E71)&lt;20,"",INTERCEPT($E$2:$E$71,$F$2:$F$71))</f>
        <v>0</v>
      </c>
      <c r="BC71">
        <f>IF(OR(BA71="",BB71=""),"",BB71+BA71*F71)</f>
        <v>0</v>
      </c>
      <c r="BD71">
        <f>IF(COUNT($E$2:$E71)&lt;20,"",STEYX($E$2:$E$71,$F$2:$F$71))</f>
        <v>0</v>
      </c>
      <c r="BE71">
        <f>IF($E71="","",IF(AND(COUNT($E$72:$E$75)&gt;=4,$C71=MAX($C$67:$C$75)),$C71,""))</f>
        <v>0</v>
      </c>
      <c r="BF71">
        <f>IF($E71="","",IF(AND(COUNT($E$72:$E$75)&gt;=4,$D71=MIN($D$67:$D$75)),$D71,""))</f>
        <v>0</v>
      </c>
      <c r="BG71">
        <f>IFERROR(SMALL(Calc_Daily!$BM$2:$BM$2001,70),"")</f>
        <v>0</v>
      </c>
    </row>
    <row r="72" spans="1:59">
      <c r="A72" s="27">
        <f>IF($BG72="","",INDEX(Calc_Daily!$A$2:$A$2001,$BG72))</f>
        <v>0</v>
      </c>
      <c r="B72">
        <f>IF($BG72="","",INDEX(Calc_Daily!$BJ$2:$BJ$2001,$BG72))</f>
        <v>0</v>
      </c>
      <c r="C72">
        <f>IF($BG72="","",INDEX(Calc_Daily!$BK$2:$BK$2001,$BG72))</f>
        <v>0</v>
      </c>
      <c r="D72">
        <f>IF($BG72="","",INDEX(Calc_Daily!$BL$2:$BL$2001,$BG72))</f>
        <v>0</v>
      </c>
      <c r="E72">
        <f>IF($BG72="","",INDEX(Calc_Daily!$E$2:$E$2001,$BG72))</f>
        <v>0</v>
      </c>
      <c r="F72">
        <f>IF($E72="","",N(F71)+1)</f>
        <v>0</v>
      </c>
      <c r="G72">
        <f>IF(OR($E72="",$E71=""),"",LN($E72/$E71))</f>
        <v>0</v>
      </c>
      <c r="H72">
        <f>IF($E72="","",IF($E71="",$E72,$E72*0.0952380952+H71*0.9047619048))</f>
        <v>0</v>
      </c>
      <c r="I72">
        <f>IF($E72="","",IF($E71="",$E72,$E72*0.0392156863+I71*0.9607843137))</f>
        <v>0</v>
      </c>
      <c r="J72">
        <f>IF($E72="","",IF($E71="",$E72,$E72*0.0198019802+J71*0.9801980198))</f>
        <v>0</v>
      </c>
      <c r="K72">
        <f>IF($E72="","",IF($E71="",$E72,$E72*0.0099502488+K71*0.9900497512))</f>
        <v>0</v>
      </c>
      <c r="L72">
        <f>IF(OR($E72="",$E71=""),"",MAX($E72-$E71,0))</f>
        <v>0</v>
      </c>
      <c r="M72">
        <f>IF(OR($E72="",$E71=""),"",MAX($E71-$E72,0))</f>
        <v>0</v>
      </c>
      <c r="N72">
        <f>IF(COUNT($E$2:$E72)&lt;15,"",IF(AVERAGE($M$59:$M$72)=0,100,100-100/(1+AVERAGE($L$59:$L$72)/AVERAGE($M$59:$M$72))))</f>
        <v>0</v>
      </c>
      <c r="O72">
        <f>IF($E72="","",IF($E71="",$E72,$E72*0.1538461538+O71*0.8461538462))</f>
        <v>0</v>
      </c>
      <c r="P72">
        <f>IF($E72="","",IF($E71="",$E72,$E72*0.0740740741+P71*0.9259259259))</f>
        <v>0</v>
      </c>
      <c r="Q72">
        <f>IF(OR(O72="",P72=""),"",O72-P72)</f>
        <v>0</v>
      </c>
      <c r="R72">
        <f>IF(Q72="","",IF(R71="",Q72,Q72*0.2000000000+R71*0.8000000000))</f>
        <v>0</v>
      </c>
      <c r="S72">
        <f>IF(OR(Q72="",R72=""),"",Q72-R72)</f>
        <v>0</v>
      </c>
      <c r="T72">
        <f>IF(COUNT($E$2:$E72)&lt;14,"",MAX($C$59:$C$72))</f>
        <v>0</v>
      </c>
      <c r="U72">
        <f>IF(COUNT($E$2:$E72)&lt;14,"",MIN($D$59:$D$72))</f>
        <v>0</v>
      </c>
      <c r="V72">
        <f>IF(OR(T72="",U72="",T72=U72),"",100*($E72-U72)/(T72-U72))</f>
        <v>0</v>
      </c>
      <c r="W72">
        <f>IF(COUNT($V$70:$V$72)&lt;3,"",AVERAGE($V$70:$V$72))</f>
        <v>0</v>
      </c>
      <c r="X72">
        <f>IF(COUNT($N$59:$N$72)&lt;14,"",MIN($N$59:$N$72))</f>
        <v>0</v>
      </c>
      <c r="Y72">
        <f>IF(COUNT($N$59:$N$72)&lt;14,"",MAX($N$59:$N$72))</f>
        <v>0</v>
      </c>
      <c r="Z72">
        <f>IF(OR(N72="",X72="",Y72="",Y72=X72),"",100*(N72-X72)/(Y72-X72))</f>
        <v>0</v>
      </c>
      <c r="AA72">
        <f>IF(COUNT($Z$70:$Z$72)&lt;3,"",AVERAGE($Z$70:$Z$72))</f>
        <v>0</v>
      </c>
      <c r="AB72">
        <f>IF(COUNT($AA$70:$AA$72)&lt;3,"",AVERAGE($AA$70:$AA$72))</f>
        <v>0</v>
      </c>
      <c r="AC72">
        <f>IF($E72="","",MAX($C72-$D72,ABS($C72-$E71),ABS($D72-$E71)))</f>
        <v>0</v>
      </c>
      <c r="AD72">
        <f>IF(COUNT($E$2:$E72)&lt;15,"",AVERAGE($AC$59:$AC$72))</f>
        <v>0</v>
      </c>
      <c r="AE72">
        <f>IF(OR($E72="",$E71=""),"",IF(AND(($C72-$C71)&gt;($D71-$D72),($C72-$C71)&gt;0),$C72-$C71,0))</f>
        <v>0</v>
      </c>
      <c r="AF72">
        <f>IF(OR($E72="",$E71=""),"",IF(AND(($D71-$D72)&gt;($C72-$C71),($D71-$D72)&gt;0),$D71-$D72,0))</f>
        <v>0</v>
      </c>
      <c r="AG72">
        <f>IF(COUNT($E$2:$E72)&lt;15,"",IF(SUM($AC$59:$AC$72)=0,0,100*SUM($AE$59:$AE$72)/SUM($AC$59:$AC$72)))</f>
        <v>0</v>
      </c>
      <c r="AH72">
        <f>IF(COUNT($E$2:$E72)&lt;15,"",IF(SUM($AC$59:$AC$72)=0,0,100*SUM($AF$59:$AF$72)/SUM($AC$59:$AC$72)))</f>
        <v>0</v>
      </c>
      <c r="AI72">
        <f>IF(OR(AG72="",AH72=""),"",IF((AG72+AH72)=0,0,100*ABS(AG72-AH72)/(AG72+AH72)))</f>
        <v>0</v>
      </c>
      <c r="AJ72">
        <f>IF(COUNT($AI$59:$AI$72)&lt;14,"",AVERAGE($AI$59:$AI$72))</f>
        <v>0</v>
      </c>
      <c r="AK72">
        <f>IF(COUNT($E$2:$E72)&lt;20,"",AVERAGE($E$53:$E$72))</f>
        <v>0</v>
      </c>
      <c r="AL72">
        <f>IF(COUNT($E$2:$E72)&lt;20,"",STDEVP($E$53:$E$72))</f>
        <v>0</v>
      </c>
      <c r="AM72">
        <f>IF(AK72="","",AK72+2*AL72)</f>
        <v>0</v>
      </c>
      <c r="AN72">
        <f>IF(AK72="","",AK72-2*AL72)</f>
        <v>0</v>
      </c>
      <c r="AO72">
        <f>IF(OR(AM72="",AN72="",AM72=AN72),"",($E72-AN72)/(AM72-AN72))</f>
        <v>0</v>
      </c>
      <c r="AP72">
        <f>IF(OR(AM72="",AK72="",AK72=0),"",(AM72-AN72)/AK72)</f>
        <v>0</v>
      </c>
      <c r="AQ72">
        <f>IF(COUNT($E$2:$E72)&lt;20,"",MAX($C$53:$C$72))</f>
        <v>0</v>
      </c>
      <c r="AR72">
        <f>IF(COUNT($E$2:$E72)&lt;20,"",MIN($D$53:$D$72))</f>
        <v>0</v>
      </c>
      <c r="AS72">
        <f>IF(OR(AQ72="",AR72=""),"",(AQ72+AR72)/2)</f>
        <v>0</v>
      </c>
      <c r="AT72">
        <f>IF(COUNT($G$53:$G$72)&lt;20,"",STDEV($G$53:$G$72)*SQRT(52))</f>
        <v>0</v>
      </c>
      <c r="AU72">
        <f>IF(COUNT($E$2:$E72)&lt;9,"",(MAX($C$64:$C$72)+MIN($D$64:$D$72))/2)</f>
        <v>0</v>
      </c>
      <c r="AV72">
        <f>IF(COUNT($E$2:$E72)&lt;26,"",(MAX($C$47:$C$72)+MIN($D$47:$D$72))/2)</f>
        <v>0</v>
      </c>
      <c r="AW72">
        <f>IF(OR(AU72="",AV72=""),"",(AU72+AV72)/2)</f>
        <v>0</v>
      </c>
      <c r="AX72">
        <f>IF(COUNT($E$2:$E72)&lt;52,"",(MAX($C$21:$C$72)+MIN($D$21:$D$72))/2)</f>
        <v>0</v>
      </c>
      <c r="AY72">
        <f>IF(COUNT($E$2:$E72)&lt;20,"",MAX($C$2:$C$72))</f>
        <v>0</v>
      </c>
      <c r="AZ72">
        <f>IF(COUNT($E$2:$E72)&lt;20,"",MIN($D$2:$D$72))</f>
        <v>0</v>
      </c>
      <c r="BA72">
        <f>IF(COUNT($E$2:$E72)&lt;20,"",SLOPE($E$2:$E$72,$F$2:$F$72))</f>
        <v>0</v>
      </c>
      <c r="BB72">
        <f>IF(COUNT($E$2:$E72)&lt;20,"",INTERCEPT($E$2:$E$72,$F$2:$F$72))</f>
        <v>0</v>
      </c>
      <c r="BC72">
        <f>IF(OR(BA72="",BB72=""),"",BB72+BA72*F72)</f>
        <v>0</v>
      </c>
      <c r="BD72">
        <f>IF(COUNT($E$2:$E72)&lt;20,"",STEYX($E$2:$E$72,$F$2:$F$72))</f>
        <v>0</v>
      </c>
      <c r="BE72">
        <f>IF($E72="","",IF(AND(COUNT($E$73:$E$76)&gt;=4,$C72=MAX($C$68:$C$76)),$C72,""))</f>
        <v>0</v>
      </c>
      <c r="BF72">
        <f>IF($E72="","",IF(AND(COUNT($E$73:$E$76)&gt;=4,$D72=MIN($D$68:$D$76)),$D72,""))</f>
        <v>0</v>
      </c>
      <c r="BG72">
        <f>IFERROR(SMALL(Calc_Daily!$BM$2:$BM$2001,71),"")</f>
        <v>0</v>
      </c>
    </row>
    <row r="73" spans="1:59">
      <c r="A73" s="27">
        <f>IF($BG73="","",INDEX(Calc_Daily!$A$2:$A$2001,$BG73))</f>
        <v>0</v>
      </c>
      <c r="B73">
        <f>IF($BG73="","",INDEX(Calc_Daily!$BJ$2:$BJ$2001,$BG73))</f>
        <v>0</v>
      </c>
      <c r="C73">
        <f>IF($BG73="","",INDEX(Calc_Daily!$BK$2:$BK$2001,$BG73))</f>
        <v>0</v>
      </c>
      <c r="D73">
        <f>IF($BG73="","",INDEX(Calc_Daily!$BL$2:$BL$2001,$BG73))</f>
        <v>0</v>
      </c>
      <c r="E73">
        <f>IF($BG73="","",INDEX(Calc_Daily!$E$2:$E$2001,$BG73))</f>
        <v>0</v>
      </c>
      <c r="F73">
        <f>IF($E73="","",N(F72)+1)</f>
        <v>0</v>
      </c>
      <c r="G73">
        <f>IF(OR($E73="",$E72=""),"",LN($E73/$E72))</f>
        <v>0</v>
      </c>
      <c r="H73">
        <f>IF($E73="","",IF($E72="",$E73,$E73*0.0952380952+H72*0.9047619048))</f>
        <v>0</v>
      </c>
      <c r="I73">
        <f>IF($E73="","",IF($E72="",$E73,$E73*0.0392156863+I72*0.9607843137))</f>
        <v>0</v>
      </c>
      <c r="J73">
        <f>IF($E73="","",IF($E72="",$E73,$E73*0.0198019802+J72*0.9801980198))</f>
        <v>0</v>
      </c>
      <c r="K73">
        <f>IF($E73="","",IF($E72="",$E73,$E73*0.0099502488+K72*0.9900497512))</f>
        <v>0</v>
      </c>
      <c r="L73">
        <f>IF(OR($E73="",$E72=""),"",MAX($E73-$E72,0))</f>
        <v>0</v>
      </c>
      <c r="M73">
        <f>IF(OR($E73="",$E72=""),"",MAX($E72-$E73,0))</f>
        <v>0</v>
      </c>
      <c r="N73">
        <f>IF(COUNT($E$2:$E73)&lt;15,"",IF(AVERAGE($M$60:$M$73)=0,100,100-100/(1+AVERAGE($L$60:$L$73)/AVERAGE($M$60:$M$73))))</f>
        <v>0</v>
      </c>
      <c r="O73">
        <f>IF($E73="","",IF($E72="",$E73,$E73*0.1538461538+O72*0.8461538462))</f>
        <v>0</v>
      </c>
      <c r="P73">
        <f>IF($E73="","",IF($E72="",$E73,$E73*0.0740740741+P72*0.9259259259))</f>
        <v>0</v>
      </c>
      <c r="Q73">
        <f>IF(OR(O73="",P73=""),"",O73-P73)</f>
        <v>0</v>
      </c>
      <c r="R73">
        <f>IF(Q73="","",IF(R72="",Q73,Q73*0.2000000000+R72*0.8000000000))</f>
        <v>0</v>
      </c>
      <c r="S73">
        <f>IF(OR(Q73="",R73=""),"",Q73-R73)</f>
        <v>0</v>
      </c>
      <c r="T73">
        <f>IF(COUNT($E$2:$E73)&lt;14,"",MAX($C$60:$C$73))</f>
        <v>0</v>
      </c>
      <c r="U73">
        <f>IF(COUNT($E$2:$E73)&lt;14,"",MIN($D$60:$D$73))</f>
        <v>0</v>
      </c>
      <c r="V73">
        <f>IF(OR(T73="",U73="",T73=U73),"",100*($E73-U73)/(T73-U73))</f>
        <v>0</v>
      </c>
      <c r="W73">
        <f>IF(COUNT($V$71:$V$73)&lt;3,"",AVERAGE($V$71:$V$73))</f>
        <v>0</v>
      </c>
      <c r="X73">
        <f>IF(COUNT($N$60:$N$73)&lt;14,"",MIN($N$60:$N$73))</f>
        <v>0</v>
      </c>
      <c r="Y73">
        <f>IF(COUNT($N$60:$N$73)&lt;14,"",MAX($N$60:$N$73))</f>
        <v>0</v>
      </c>
      <c r="Z73">
        <f>IF(OR(N73="",X73="",Y73="",Y73=X73),"",100*(N73-X73)/(Y73-X73))</f>
        <v>0</v>
      </c>
      <c r="AA73">
        <f>IF(COUNT($Z$71:$Z$73)&lt;3,"",AVERAGE($Z$71:$Z$73))</f>
        <v>0</v>
      </c>
      <c r="AB73">
        <f>IF(COUNT($AA$71:$AA$73)&lt;3,"",AVERAGE($AA$71:$AA$73))</f>
        <v>0</v>
      </c>
      <c r="AC73">
        <f>IF($E73="","",MAX($C73-$D73,ABS($C73-$E72),ABS($D73-$E72)))</f>
        <v>0</v>
      </c>
      <c r="AD73">
        <f>IF(COUNT($E$2:$E73)&lt;15,"",AVERAGE($AC$60:$AC$73))</f>
        <v>0</v>
      </c>
      <c r="AE73">
        <f>IF(OR($E73="",$E72=""),"",IF(AND(($C73-$C72)&gt;($D72-$D73),($C73-$C72)&gt;0),$C73-$C72,0))</f>
        <v>0</v>
      </c>
      <c r="AF73">
        <f>IF(OR($E73="",$E72=""),"",IF(AND(($D72-$D73)&gt;($C73-$C72),($D72-$D73)&gt;0),$D72-$D73,0))</f>
        <v>0</v>
      </c>
      <c r="AG73">
        <f>IF(COUNT($E$2:$E73)&lt;15,"",IF(SUM($AC$60:$AC$73)=0,0,100*SUM($AE$60:$AE$73)/SUM($AC$60:$AC$73)))</f>
        <v>0</v>
      </c>
      <c r="AH73">
        <f>IF(COUNT($E$2:$E73)&lt;15,"",IF(SUM($AC$60:$AC$73)=0,0,100*SUM($AF$60:$AF$73)/SUM($AC$60:$AC$73)))</f>
        <v>0</v>
      </c>
      <c r="AI73">
        <f>IF(OR(AG73="",AH73=""),"",IF((AG73+AH73)=0,0,100*ABS(AG73-AH73)/(AG73+AH73)))</f>
        <v>0</v>
      </c>
      <c r="AJ73">
        <f>IF(COUNT($AI$60:$AI$73)&lt;14,"",AVERAGE($AI$60:$AI$73))</f>
        <v>0</v>
      </c>
      <c r="AK73">
        <f>IF(COUNT($E$2:$E73)&lt;20,"",AVERAGE($E$54:$E$73))</f>
        <v>0</v>
      </c>
      <c r="AL73">
        <f>IF(COUNT($E$2:$E73)&lt;20,"",STDEVP($E$54:$E$73))</f>
        <v>0</v>
      </c>
      <c r="AM73">
        <f>IF(AK73="","",AK73+2*AL73)</f>
        <v>0</v>
      </c>
      <c r="AN73">
        <f>IF(AK73="","",AK73-2*AL73)</f>
        <v>0</v>
      </c>
      <c r="AO73">
        <f>IF(OR(AM73="",AN73="",AM73=AN73),"",($E73-AN73)/(AM73-AN73))</f>
        <v>0</v>
      </c>
      <c r="AP73">
        <f>IF(OR(AM73="",AK73="",AK73=0),"",(AM73-AN73)/AK73)</f>
        <v>0</v>
      </c>
      <c r="AQ73">
        <f>IF(COUNT($E$2:$E73)&lt;20,"",MAX($C$54:$C$73))</f>
        <v>0</v>
      </c>
      <c r="AR73">
        <f>IF(COUNT($E$2:$E73)&lt;20,"",MIN($D$54:$D$73))</f>
        <v>0</v>
      </c>
      <c r="AS73">
        <f>IF(OR(AQ73="",AR73=""),"",(AQ73+AR73)/2)</f>
        <v>0</v>
      </c>
      <c r="AT73">
        <f>IF(COUNT($G$54:$G$73)&lt;20,"",STDEV($G$54:$G$73)*SQRT(52))</f>
        <v>0</v>
      </c>
      <c r="AU73">
        <f>IF(COUNT($E$2:$E73)&lt;9,"",(MAX($C$65:$C$73)+MIN($D$65:$D$73))/2)</f>
        <v>0</v>
      </c>
      <c r="AV73">
        <f>IF(COUNT($E$2:$E73)&lt;26,"",(MAX($C$48:$C$73)+MIN($D$48:$D$73))/2)</f>
        <v>0</v>
      </c>
      <c r="AW73">
        <f>IF(OR(AU73="",AV73=""),"",(AU73+AV73)/2)</f>
        <v>0</v>
      </c>
      <c r="AX73">
        <f>IF(COUNT($E$2:$E73)&lt;52,"",(MAX($C$22:$C$73)+MIN($D$22:$D$73))/2)</f>
        <v>0</v>
      </c>
      <c r="AY73">
        <f>IF(COUNT($E$2:$E73)&lt;20,"",MAX($C$2:$C$73))</f>
        <v>0</v>
      </c>
      <c r="AZ73">
        <f>IF(COUNT($E$2:$E73)&lt;20,"",MIN($D$2:$D$73))</f>
        <v>0</v>
      </c>
      <c r="BA73">
        <f>IF(COUNT($E$2:$E73)&lt;20,"",SLOPE($E$2:$E$73,$F$2:$F$73))</f>
        <v>0</v>
      </c>
      <c r="BB73">
        <f>IF(COUNT($E$2:$E73)&lt;20,"",INTERCEPT($E$2:$E$73,$F$2:$F$73))</f>
        <v>0</v>
      </c>
      <c r="BC73">
        <f>IF(OR(BA73="",BB73=""),"",BB73+BA73*F73)</f>
        <v>0</v>
      </c>
      <c r="BD73">
        <f>IF(COUNT($E$2:$E73)&lt;20,"",STEYX($E$2:$E$73,$F$2:$F$73))</f>
        <v>0</v>
      </c>
      <c r="BE73">
        <f>IF($E73="","",IF(AND(COUNT($E$74:$E$77)&gt;=4,$C73=MAX($C$69:$C$77)),$C73,""))</f>
        <v>0</v>
      </c>
      <c r="BF73">
        <f>IF($E73="","",IF(AND(COUNT($E$74:$E$77)&gt;=4,$D73=MIN($D$69:$D$77)),$D73,""))</f>
        <v>0</v>
      </c>
      <c r="BG73">
        <f>IFERROR(SMALL(Calc_Daily!$BM$2:$BM$2001,72),"")</f>
        <v>0</v>
      </c>
    </row>
    <row r="74" spans="1:59">
      <c r="A74" s="27">
        <f>IF($BG74="","",INDEX(Calc_Daily!$A$2:$A$2001,$BG74))</f>
        <v>0</v>
      </c>
      <c r="B74">
        <f>IF($BG74="","",INDEX(Calc_Daily!$BJ$2:$BJ$2001,$BG74))</f>
        <v>0</v>
      </c>
      <c r="C74">
        <f>IF($BG74="","",INDEX(Calc_Daily!$BK$2:$BK$2001,$BG74))</f>
        <v>0</v>
      </c>
      <c r="D74">
        <f>IF($BG74="","",INDEX(Calc_Daily!$BL$2:$BL$2001,$BG74))</f>
        <v>0</v>
      </c>
      <c r="E74">
        <f>IF($BG74="","",INDEX(Calc_Daily!$E$2:$E$2001,$BG74))</f>
        <v>0</v>
      </c>
      <c r="F74">
        <f>IF($E74="","",N(F73)+1)</f>
        <v>0</v>
      </c>
      <c r="G74">
        <f>IF(OR($E74="",$E73=""),"",LN($E74/$E73))</f>
        <v>0</v>
      </c>
      <c r="H74">
        <f>IF($E74="","",IF($E73="",$E74,$E74*0.0952380952+H73*0.9047619048))</f>
        <v>0</v>
      </c>
      <c r="I74">
        <f>IF($E74="","",IF($E73="",$E74,$E74*0.0392156863+I73*0.9607843137))</f>
        <v>0</v>
      </c>
      <c r="J74">
        <f>IF($E74="","",IF($E73="",$E74,$E74*0.0198019802+J73*0.9801980198))</f>
        <v>0</v>
      </c>
      <c r="K74">
        <f>IF($E74="","",IF($E73="",$E74,$E74*0.0099502488+K73*0.9900497512))</f>
        <v>0</v>
      </c>
      <c r="L74">
        <f>IF(OR($E74="",$E73=""),"",MAX($E74-$E73,0))</f>
        <v>0</v>
      </c>
      <c r="M74">
        <f>IF(OR($E74="",$E73=""),"",MAX($E73-$E74,0))</f>
        <v>0</v>
      </c>
      <c r="N74">
        <f>IF(COUNT($E$2:$E74)&lt;15,"",IF(AVERAGE($M$61:$M$74)=0,100,100-100/(1+AVERAGE($L$61:$L$74)/AVERAGE($M$61:$M$74))))</f>
        <v>0</v>
      </c>
      <c r="O74">
        <f>IF($E74="","",IF($E73="",$E74,$E74*0.1538461538+O73*0.8461538462))</f>
        <v>0</v>
      </c>
      <c r="P74">
        <f>IF($E74="","",IF($E73="",$E74,$E74*0.0740740741+P73*0.9259259259))</f>
        <v>0</v>
      </c>
      <c r="Q74">
        <f>IF(OR(O74="",P74=""),"",O74-P74)</f>
        <v>0</v>
      </c>
      <c r="R74">
        <f>IF(Q74="","",IF(R73="",Q74,Q74*0.2000000000+R73*0.8000000000))</f>
        <v>0</v>
      </c>
      <c r="S74">
        <f>IF(OR(Q74="",R74=""),"",Q74-R74)</f>
        <v>0</v>
      </c>
      <c r="T74">
        <f>IF(COUNT($E$2:$E74)&lt;14,"",MAX($C$61:$C$74))</f>
        <v>0</v>
      </c>
      <c r="U74">
        <f>IF(COUNT($E$2:$E74)&lt;14,"",MIN($D$61:$D$74))</f>
        <v>0</v>
      </c>
      <c r="V74">
        <f>IF(OR(T74="",U74="",T74=U74),"",100*($E74-U74)/(T74-U74))</f>
        <v>0</v>
      </c>
      <c r="W74">
        <f>IF(COUNT($V$72:$V$74)&lt;3,"",AVERAGE($V$72:$V$74))</f>
        <v>0</v>
      </c>
      <c r="X74">
        <f>IF(COUNT($N$61:$N$74)&lt;14,"",MIN($N$61:$N$74))</f>
        <v>0</v>
      </c>
      <c r="Y74">
        <f>IF(COUNT($N$61:$N$74)&lt;14,"",MAX($N$61:$N$74))</f>
        <v>0</v>
      </c>
      <c r="Z74">
        <f>IF(OR(N74="",X74="",Y74="",Y74=X74),"",100*(N74-X74)/(Y74-X74))</f>
        <v>0</v>
      </c>
      <c r="AA74">
        <f>IF(COUNT($Z$72:$Z$74)&lt;3,"",AVERAGE($Z$72:$Z$74))</f>
        <v>0</v>
      </c>
      <c r="AB74">
        <f>IF(COUNT($AA$72:$AA$74)&lt;3,"",AVERAGE($AA$72:$AA$74))</f>
        <v>0</v>
      </c>
      <c r="AC74">
        <f>IF($E74="","",MAX($C74-$D74,ABS($C74-$E73),ABS($D74-$E73)))</f>
        <v>0</v>
      </c>
      <c r="AD74">
        <f>IF(COUNT($E$2:$E74)&lt;15,"",AVERAGE($AC$61:$AC$74))</f>
        <v>0</v>
      </c>
      <c r="AE74">
        <f>IF(OR($E74="",$E73=""),"",IF(AND(($C74-$C73)&gt;($D73-$D74),($C74-$C73)&gt;0),$C74-$C73,0))</f>
        <v>0</v>
      </c>
      <c r="AF74">
        <f>IF(OR($E74="",$E73=""),"",IF(AND(($D73-$D74)&gt;($C74-$C73),($D73-$D74)&gt;0),$D73-$D74,0))</f>
        <v>0</v>
      </c>
      <c r="AG74">
        <f>IF(COUNT($E$2:$E74)&lt;15,"",IF(SUM($AC$61:$AC$74)=0,0,100*SUM($AE$61:$AE$74)/SUM($AC$61:$AC$74)))</f>
        <v>0</v>
      </c>
      <c r="AH74">
        <f>IF(COUNT($E$2:$E74)&lt;15,"",IF(SUM($AC$61:$AC$74)=0,0,100*SUM($AF$61:$AF$74)/SUM($AC$61:$AC$74)))</f>
        <v>0</v>
      </c>
      <c r="AI74">
        <f>IF(OR(AG74="",AH74=""),"",IF((AG74+AH74)=0,0,100*ABS(AG74-AH74)/(AG74+AH74)))</f>
        <v>0</v>
      </c>
      <c r="AJ74">
        <f>IF(COUNT($AI$61:$AI$74)&lt;14,"",AVERAGE($AI$61:$AI$74))</f>
        <v>0</v>
      </c>
      <c r="AK74">
        <f>IF(COUNT($E$2:$E74)&lt;20,"",AVERAGE($E$55:$E$74))</f>
        <v>0</v>
      </c>
      <c r="AL74">
        <f>IF(COUNT($E$2:$E74)&lt;20,"",STDEVP($E$55:$E$74))</f>
        <v>0</v>
      </c>
      <c r="AM74">
        <f>IF(AK74="","",AK74+2*AL74)</f>
        <v>0</v>
      </c>
      <c r="AN74">
        <f>IF(AK74="","",AK74-2*AL74)</f>
        <v>0</v>
      </c>
      <c r="AO74">
        <f>IF(OR(AM74="",AN74="",AM74=AN74),"",($E74-AN74)/(AM74-AN74))</f>
        <v>0</v>
      </c>
      <c r="AP74">
        <f>IF(OR(AM74="",AK74="",AK74=0),"",(AM74-AN74)/AK74)</f>
        <v>0</v>
      </c>
      <c r="AQ74">
        <f>IF(COUNT($E$2:$E74)&lt;20,"",MAX($C$55:$C$74))</f>
        <v>0</v>
      </c>
      <c r="AR74">
        <f>IF(COUNT($E$2:$E74)&lt;20,"",MIN($D$55:$D$74))</f>
        <v>0</v>
      </c>
      <c r="AS74">
        <f>IF(OR(AQ74="",AR74=""),"",(AQ74+AR74)/2)</f>
        <v>0</v>
      </c>
      <c r="AT74">
        <f>IF(COUNT($G$55:$G$74)&lt;20,"",STDEV($G$55:$G$74)*SQRT(52))</f>
        <v>0</v>
      </c>
      <c r="AU74">
        <f>IF(COUNT($E$2:$E74)&lt;9,"",(MAX($C$66:$C$74)+MIN($D$66:$D$74))/2)</f>
        <v>0</v>
      </c>
      <c r="AV74">
        <f>IF(COUNT($E$2:$E74)&lt;26,"",(MAX($C$49:$C$74)+MIN($D$49:$D$74))/2)</f>
        <v>0</v>
      </c>
      <c r="AW74">
        <f>IF(OR(AU74="",AV74=""),"",(AU74+AV74)/2)</f>
        <v>0</v>
      </c>
      <c r="AX74">
        <f>IF(COUNT($E$2:$E74)&lt;52,"",(MAX($C$23:$C$74)+MIN($D$23:$D$74))/2)</f>
        <v>0</v>
      </c>
      <c r="AY74">
        <f>IF(COUNT($E$2:$E74)&lt;20,"",MAX($C$2:$C$74))</f>
        <v>0</v>
      </c>
      <c r="AZ74">
        <f>IF(COUNT($E$2:$E74)&lt;20,"",MIN($D$2:$D$74))</f>
        <v>0</v>
      </c>
      <c r="BA74">
        <f>IF(COUNT($E$2:$E74)&lt;20,"",SLOPE($E$2:$E$74,$F$2:$F$74))</f>
        <v>0</v>
      </c>
      <c r="BB74">
        <f>IF(COUNT($E$2:$E74)&lt;20,"",INTERCEPT($E$2:$E$74,$F$2:$F$74))</f>
        <v>0</v>
      </c>
      <c r="BC74">
        <f>IF(OR(BA74="",BB74=""),"",BB74+BA74*F74)</f>
        <v>0</v>
      </c>
      <c r="BD74">
        <f>IF(COUNT($E$2:$E74)&lt;20,"",STEYX($E$2:$E$74,$F$2:$F$74))</f>
        <v>0</v>
      </c>
      <c r="BE74">
        <f>IF($E74="","",IF(AND(COUNT($E$75:$E$78)&gt;=4,$C74=MAX($C$70:$C$78)),$C74,""))</f>
        <v>0</v>
      </c>
      <c r="BF74">
        <f>IF($E74="","",IF(AND(COUNT($E$75:$E$78)&gt;=4,$D74=MIN($D$70:$D$78)),$D74,""))</f>
        <v>0</v>
      </c>
      <c r="BG74">
        <f>IFERROR(SMALL(Calc_Daily!$BM$2:$BM$2001,73),"")</f>
        <v>0</v>
      </c>
    </row>
    <row r="75" spans="1:59">
      <c r="A75" s="27">
        <f>IF($BG75="","",INDEX(Calc_Daily!$A$2:$A$2001,$BG75))</f>
        <v>0</v>
      </c>
      <c r="B75">
        <f>IF($BG75="","",INDEX(Calc_Daily!$BJ$2:$BJ$2001,$BG75))</f>
        <v>0</v>
      </c>
      <c r="C75">
        <f>IF($BG75="","",INDEX(Calc_Daily!$BK$2:$BK$2001,$BG75))</f>
        <v>0</v>
      </c>
      <c r="D75">
        <f>IF($BG75="","",INDEX(Calc_Daily!$BL$2:$BL$2001,$BG75))</f>
        <v>0</v>
      </c>
      <c r="E75">
        <f>IF($BG75="","",INDEX(Calc_Daily!$E$2:$E$2001,$BG75))</f>
        <v>0</v>
      </c>
      <c r="F75">
        <f>IF($E75="","",N(F74)+1)</f>
        <v>0</v>
      </c>
      <c r="G75">
        <f>IF(OR($E75="",$E74=""),"",LN($E75/$E74))</f>
        <v>0</v>
      </c>
      <c r="H75">
        <f>IF($E75="","",IF($E74="",$E75,$E75*0.0952380952+H74*0.9047619048))</f>
        <v>0</v>
      </c>
      <c r="I75">
        <f>IF($E75="","",IF($E74="",$E75,$E75*0.0392156863+I74*0.9607843137))</f>
        <v>0</v>
      </c>
      <c r="J75">
        <f>IF($E75="","",IF($E74="",$E75,$E75*0.0198019802+J74*0.9801980198))</f>
        <v>0</v>
      </c>
      <c r="K75">
        <f>IF($E75="","",IF($E74="",$E75,$E75*0.0099502488+K74*0.9900497512))</f>
        <v>0</v>
      </c>
      <c r="L75">
        <f>IF(OR($E75="",$E74=""),"",MAX($E75-$E74,0))</f>
        <v>0</v>
      </c>
      <c r="M75">
        <f>IF(OR($E75="",$E74=""),"",MAX($E74-$E75,0))</f>
        <v>0</v>
      </c>
      <c r="N75">
        <f>IF(COUNT($E$2:$E75)&lt;15,"",IF(AVERAGE($M$62:$M$75)=0,100,100-100/(1+AVERAGE($L$62:$L$75)/AVERAGE($M$62:$M$75))))</f>
        <v>0</v>
      </c>
      <c r="O75">
        <f>IF($E75="","",IF($E74="",$E75,$E75*0.1538461538+O74*0.8461538462))</f>
        <v>0</v>
      </c>
      <c r="P75">
        <f>IF($E75="","",IF($E74="",$E75,$E75*0.0740740741+P74*0.9259259259))</f>
        <v>0</v>
      </c>
      <c r="Q75">
        <f>IF(OR(O75="",P75=""),"",O75-P75)</f>
        <v>0</v>
      </c>
      <c r="R75">
        <f>IF(Q75="","",IF(R74="",Q75,Q75*0.2000000000+R74*0.8000000000))</f>
        <v>0</v>
      </c>
      <c r="S75">
        <f>IF(OR(Q75="",R75=""),"",Q75-R75)</f>
        <v>0</v>
      </c>
      <c r="T75">
        <f>IF(COUNT($E$2:$E75)&lt;14,"",MAX($C$62:$C$75))</f>
        <v>0</v>
      </c>
      <c r="U75">
        <f>IF(COUNT($E$2:$E75)&lt;14,"",MIN($D$62:$D$75))</f>
        <v>0</v>
      </c>
      <c r="V75">
        <f>IF(OR(T75="",U75="",T75=U75),"",100*($E75-U75)/(T75-U75))</f>
        <v>0</v>
      </c>
      <c r="W75">
        <f>IF(COUNT($V$73:$V$75)&lt;3,"",AVERAGE($V$73:$V$75))</f>
        <v>0</v>
      </c>
      <c r="X75">
        <f>IF(COUNT($N$62:$N$75)&lt;14,"",MIN($N$62:$N$75))</f>
        <v>0</v>
      </c>
      <c r="Y75">
        <f>IF(COUNT($N$62:$N$75)&lt;14,"",MAX($N$62:$N$75))</f>
        <v>0</v>
      </c>
      <c r="Z75">
        <f>IF(OR(N75="",X75="",Y75="",Y75=X75),"",100*(N75-X75)/(Y75-X75))</f>
        <v>0</v>
      </c>
      <c r="AA75">
        <f>IF(COUNT($Z$73:$Z$75)&lt;3,"",AVERAGE($Z$73:$Z$75))</f>
        <v>0</v>
      </c>
      <c r="AB75">
        <f>IF(COUNT($AA$73:$AA$75)&lt;3,"",AVERAGE($AA$73:$AA$75))</f>
        <v>0</v>
      </c>
      <c r="AC75">
        <f>IF($E75="","",MAX($C75-$D75,ABS($C75-$E74),ABS($D75-$E74)))</f>
        <v>0</v>
      </c>
      <c r="AD75">
        <f>IF(COUNT($E$2:$E75)&lt;15,"",AVERAGE($AC$62:$AC$75))</f>
        <v>0</v>
      </c>
      <c r="AE75">
        <f>IF(OR($E75="",$E74=""),"",IF(AND(($C75-$C74)&gt;($D74-$D75),($C75-$C74)&gt;0),$C75-$C74,0))</f>
        <v>0</v>
      </c>
      <c r="AF75">
        <f>IF(OR($E75="",$E74=""),"",IF(AND(($D74-$D75)&gt;($C75-$C74),($D74-$D75)&gt;0),$D74-$D75,0))</f>
        <v>0</v>
      </c>
      <c r="AG75">
        <f>IF(COUNT($E$2:$E75)&lt;15,"",IF(SUM($AC$62:$AC$75)=0,0,100*SUM($AE$62:$AE$75)/SUM($AC$62:$AC$75)))</f>
        <v>0</v>
      </c>
      <c r="AH75">
        <f>IF(COUNT($E$2:$E75)&lt;15,"",IF(SUM($AC$62:$AC$75)=0,0,100*SUM($AF$62:$AF$75)/SUM($AC$62:$AC$75)))</f>
        <v>0</v>
      </c>
      <c r="AI75">
        <f>IF(OR(AG75="",AH75=""),"",IF((AG75+AH75)=0,0,100*ABS(AG75-AH75)/(AG75+AH75)))</f>
        <v>0</v>
      </c>
      <c r="AJ75">
        <f>IF(COUNT($AI$62:$AI$75)&lt;14,"",AVERAGE($AI$62:$AI$75))</f>
        <v>0</v>
      </c>
      <c r="AK75">
        <f>IF(COUNT($E$2:$E75)&lt;20,"",AVERAGE($E$56:$E$75))</f>
        <v>0</v>
      </c>
      <c r="AL75">
        <f>IF(COUNT($E$2:$E75)&lt;20,"",STDEVP($E$56:$E$75))</f>
        <v>0</v>
      </c>
      <c r="AM75">
        <f>IF(AK75="","",AK75+2*AL75)</f>
        <v>0</v>
      </c>
      <c r="AN75">
        <f>IF(AK75="","",AK75-2*AL75)</f>
        <v>0</v>
      </c>
      <c r="AO75">
        <f>IF(OR(AM75="",AN75="",AM75=AN75),"",($E75-AN75)/(AM75-AN75))</f>
        <v>0</v>
      </c>
      <c r="AP75">
        <f>IF(OR(AM75="",AK75="",AK75=0),"",(AM75-AN75)/AK75)</f>
        <v>0</v>
      </c>
      <c r="AQ75">
        <f>IF(COUNT($E$2:$E75)&lt;20,"",MAX($C$56:$C$75))</f>
        <v>0</v>
      </c>
      <c r="AR75">
        <f>IF(COUNT($E$2:$E75)&lt;20,"",MIN($D$56:$D$75))</f>
        <v>0</v>
      </c>
      <c r="AS75">
        <f>IF(OR(AQ75="",AR75=""),"",(AQ75+AR75)/2)</f>
        <v>0</v>
      </c>
      <c r="AT75">
        <f>IF(COUNT($G$56:$G$75)&lt;20,"",STDEV($G$56:$G$75)*SQRT(52))</f>
        <v>0</v>
      </c>
      <c r="AU75">
        <f>IF(COUNT($E$2:$E75)&lt;9,"",(MAX($C$67:$C$75)+MIN($D$67:$D$75))/2)</f>
        <v>0</v>
      </c>
      <c r="AV75">
        <f>IF(COUNT($E$2:$E75)&lt;26,"",(MAX($C$50:$C$75)+MIN($D$50:$D$75))/2)</f>
        <v>0</v>
      </c>
      <c r="AW75">
        <f>IF(OR(AU75="",AV75=""),"",(AU75+AV75)/2)</f>
        <v>0</v>
      </c>
      <c r="AX75">
        <f>IF(COUNT($E$2:$E75)&lt;52,"",(MAX($C$24:$C$75)+MIN($D$24:$D$75))/2)</f>
        <v>0</v>
      </c>
      <c r="AY75">
        <f>IF(COUNT($E$2:$E75)&lt;20,"",MAX($C$2:$C$75))</f>
        <v>0</v>
      </c>
      <c r="AZ75">
        <f>IF(COUNT($E$2:$E75)&lt;20,"",MIN($D$2:$D$75))</f>
        <v>0</v>
      </c>
      <c r="BA75">
        <f>IF(COUNT($E$2:$E75)&lt;20,"",SLOPE($E$2:$E$75,$F$2:$F$75))</f>
        <v>0</v>
      </c>
      <c r="BB75">
        <f>IF(COUNT($E$2:$E75)&lt;20,"",INTERCEPT($E$2:$E$75,$F$2:$F$75))</f>
        <v>0</v>
      </c>
      <c r="BC75">
        <f>IF(OR(BA75="",BB75=""),"",BB75+BA75*F75)</f>
        <v>0</v>
      </c>
      <c r="BD75">
        <f>IF(COUNT($E$2:$E75)&lt;20,"",STEYX($E$2:$E$75,$F$2:$F$75))</f>
        <v>0</v>
      </c>
      <c r="BE75">
        <f>IF($E75="","",IF(AND(COUNT($E$76:$E$79)&gt;=4,$C75=MAX($C$71:$C$79)),$C75,""))</f>
        <v>0</v>
      </c>
      <c r="BF75">
        <f>IF($E75="","",IF(AND(COUNT($E$76:$E$79)&gt;=4,$D75=MIN($D$71:$D$79)),$D75,""))</f>
        <v>0</v>
      </c>
      <c r="BG75">
        <f>IFERROR(SMALL(Calc_Daily!$BM$2:$BM$2001,74),"")</f>
        <v>0</v>
      </c>
    </row>
    <row r="76" spans="1:59">
      <c r="A76" s="27">
        <f>IF($BG76="","",INDEX(Calc_Daily!$A$2:$A$2001,$BG76))</f>
        <v>0</v>
      </c>
      <c r="B76">
        <f>IF($BG76="","",INDEX(Calc_Daily!$BJ$2:$BJ$2001,$BG76))</f>
        <v>0</v>
      </c>
      <c r="C76">
        <f>IF($BG76="","",INDEX(Calc_Daily!$BK$2:$BK$2001,$BG76))</f>
        <v>0</v>
      </c>
      <c r="D76">
        <f>IF($BG76="","",INDEX(Calc_Daily!$BL$2:$BL$2001,$BG76))</f>
        <v>0</v>
      </c>
      <c r="E76">
        <f>IF($BG76="","",INDEX(Calc_Daily!$E$2:$E$2001,$BG76))</f>
        <v>0</v>
      </c>
      <c r="F76">
        <f>IF($E76="","",N(F75)+1)</f>
        <v>0</v>
      </c>
      <c r="G76">
        <f>IF(OR($E76="",$E75=""),"",LN($E76/$E75))</f>
        <v>0</v>
      </c>
      <c r="H76">
        <f>IF($E76="","",IF($E75="",$E76,$E76*0.0952380952+H75*0.9047619048))</f>
        <v>0</v>
      </c>
      <c r="I76">
        <f>IF($E76="","",IF($E75="",$E76,$E76*0.0392156863+I75*0.9607843137))</f>
        <v>0</v>
      </c>
      <c r="J76">
        <f>IF($E76="","",IF($E75="",$E76,$E76*0.0198019802+J75*0.9801980198))</f>
        <v>0</v>
      </c>
      <c r="K76">
        <f>IF($E76="","",IF($E75="",$E76,$E76*0.0099502488+K75*0.9900497512))</f>
        <v>0</v>
      </c>
      <c r="L76">
        <f>IF(OR($E76="",$E75=""),"",MAX($E76-$E75,0))</f>
        <v>0</v>
      </c>
      <c r="M76">
        <f>IF(OR($E76="",$E75=""),"",MAX($E75-$E76,0))</f>
        <v>0</v>
      </c>
      <c r="N76">
        <f>IF(COUNT($E$2:$E76)&lt;15,"",IF(AVERAGE($M$63:$M$76)=0,100,100-100/(1+AVERAGE($L$63:$L$76)/AVERAGE($M$63:$M$76))))</f>
        <v>0</v>
      </c>
      <c r="O76">
        <f>IF($E76="","",IF($E75="",$E76,$E76*0.1538461538+O75*0.8461538462))</f>
        <v>0</v>
      </c>
      <c r="P76">
        <f>IF($E76="","",IF($E75="",$E76,$E76*0.0740740741+P75*0.9259259259))</f>
        <v>0</v>
      </c>
      <c r="Q76">
        <f>IF(OR(O76="",P76=""),"",O76-P76)</f>
        <v>0</v>
      </c>
      <c r="R76">
        <f>IF(Q76="","",IF(R75="",Q76,Q76*0.2000000000+R75*0.8000000000))</f>
        <v>0</v>
      </c>
      <c r="S76">
        <f>IF(OR(Q76="",R76=""),"",Q76-R76)</f>
        <v>0</v>
      </c>
      <c r="T76">
        <f>IF(COUNT($E$2:$E76)&lt;14,"",MAX($C$63:$C$76))</f>
        <v>0</v>
      </c>
      <c r="U76">
        <f>IF(COUNT($E$2:$E76)&lt;14,"",MIN($D$63:$D$76))</f>
        <v>0</v>
      </c>
      <c r="V76">
        <f>IF(OR(T76="",U76="",T76=U76),"",100*($E76-U76)/(T76-U76))</f>
        <v>0</v>
      </c>
      <c r="W76">
        <f>IF(COUNT($V$74:$V$76)&lt;3,"",AVERAGE($V$74:$V$76))</f>
        <v>0</v>
      </c>
      <c r="X76">
        <f>IF(COUNT($N$63:$N$76)&lt;14,"",MIN($N$63:$N$76))</f>
        <v>0</v>
      </c>
      <c r="Y76">
        <f>IF(COUNT($N$63:$N$76)&lt;14,"",MAX($N$63:$N$76))</f>
        <v>0</v>
      </c>
      <c r="Z76">
        <f>IF(OR(N76="",X76="",Y76="",Y76=X76),"",100*(N76-X76)/(Y76-X76))</f>
        <v>0</v>
      </c>
      <c r="AA76">
        <f>IF(COUNT($Z$74:$Z$76)&lt;3,"",AVERAGE($Z$74:$Z$76))</f>
        <v>0</v>
      </c>
      <c r="AB76">
        <f>IF(COUNT($AA$74:$AA$76)&lt;3,"",AVERAGE($AA$74:$AA$76))</f>
        <v>0</v>
      </c>
      <c r="AC76">
        <f>IF($E76="","",MAX($C76-$D76,ABS($C76-$E75),ABS($D76-$E75)))</f>
        <v>0</v>
      </c>
      <c r="AD76">
        <f>IF(COUNT($E$2:$E76)&lt;15,"",AVERAGE($AC$63:$AC$76))</f>
        <v>0</v>
      </c>
      <c r="AE76">
        <f>IF(OR($E76="",$E75=""),"",IF(AND(($C76-$C75)&gt;($D75-$D76),($C76-$C75)&gt;0),$C76-$C75,0))</f>
        <v>0</v>
      </c>
      <c r="AF76">
        <f>IF(OR($E76="",$E75=""),"",IF(AND(($D75-$D76)&gt;($C76-$C75),($D75-$D76)&gt;0),$D75-$D76,0))</f>
        <v>0</v>
      </c>
      <c r="AG76">
        <f>IF(COUNT($E$2:$E76)&lt;15,"",IF(SUM($AC$63:$AC$76)=0,0,100*SUM($AE$63:$AE$76)/SUM($AC$63:$AC$76)))</f>
        <v>0</v>
      </c>
      <c r="AH76">
        <f>IF(COUNT($E$2:$E76)&lt;15,"",IF(SUM($AC$63:$AC$76)=0,0,100*SUM($AF$63:$AF$76)/SUM($AC$63:$AC$76)))</f>
        <v>0</v>
      </c>
      <c r="AI76">
        <f>IF(OR(AG76="",AH76=""),"",IF((AG76+AH76)=0,0,100*ABS(AG76-AH76)/(AG76+AH76)))</f>
        <v>0</v>
      </c>
      <c r="AJ76">
        <f>IF(COUNT($AI$63:$AI$76)&lt;14,"",AVERAGE($AI$63:$AI$76))</f>
        <v>0</v>
      </c>
      <c r="AK76">
        <f>IF(COUNT($E$2:$E76)&lt;20,"",AVERAGE($E$57:$E$76))</f>
        <v>0</v>
      </c>
      <c r="AL76">
        <f>IF(COUNT($E$2:$E76)&lt;20,"",STDEVP($E$57:$E$76))</f>
        <v>0</v>
      </c>
      <c r="AM76">
        <f>IF(AK76="","",AK76+2*AL76)</f>
        <v>0</v>
      </c>
      <c r="AN76">
        <f>IF(AK76="","",AK76-2*AL76)</f>
        <v>0</v>
      </c>
      <c r="AO76">
        <f>IF(OR(AM76="",AN76="",AM76=AN76),"",($E76-AN76)/(AM76-AN76))</f>
        <v>0</v>
      </c>
      <c r="AP76">
        <f>IF(OR(AM76="",AK76="",AK76=0),"",(AM76-AN76)/AK76)</f>
        <v>0</v>
      </c>
      <c r="AQ76">
        <f>IF(COUNT($E$2:$E76)&lt;20,"",MAX($C$57:$C$76))</f>
        <v>0</v>
      </c>
      <c r="AR76">
        <f>IF(COUNT($E$2:$E76)&lt;20,"",MIN($D$57:$D$76))</f>
        <v>0</v>
      </c>
      <c r="AS76">
        <f>IF(OR(AQ76="",AR76=""),"",(AQ76+AR76)/2)</f>
        <v>0</v>
      </c>
      <c r="AT76">
        <f>IF(COUNT($G$57:$G$76)&lt;20,"",STDEV($G$57:$G$76)*SQRT(52))</f>
        <v>0</v>
      </c>
      <c r="AU76">
        <f>IF(COUNT($E$2:$E76)&lt;9,"",(MAX($C$68:$C$76)+MIN($D$68:$D$76))/2)</f>
        <v>0</v>
      </c>
      <c r="AV76">
        <f>IF(COUNT($E$2:$E76)&lt;26,"",(MAX($C$51:$C$76)+MIN($D$51:$D$76))/2)</f>
        <v>0</v>
      </c>
      <c r="AW76">
        <f>IF(OR(AU76="",AV76=""),"",(AU76+AV76)/2)</f>
        <v>0</v>
      </c>
      <c r="AX76">
        <f>IF(COUNT($E$2:$E76)&lt;52,"",(MAX($C$25:$C$76)+MIN($D$25:$D$76))/2)</f>
        <v>0</v>
      </c>
      <c r="AY76">
        <f>IF(COUNT($E$2:$E76)&lt;20,"",MAX($C$2:$C$76))</f>
        <v>0</v>
      </c>
      <c r="AZ76">
        <f>IF(COUNT($E$2:$E76)&lt;20,"",MIN($D$2:$D$76))</f>
        <v>0</v>
      </c>
      <c r="BA76">
        <f>IF(COUNT($E$2:$E76)&lt;20,"",SLOPE($E$2:$E$76,$F$2:$F$76))</f>
        <v>0</v>
      </c>
      <c r="BB76">
        <f>IF(COUNT($E$2:$E76)&lt;20,"",INTERCEPT($E$2:$E$76,$F$2:$F$76))</f>
        <v>0</v>
      </c>
      <c r="BC76">
        <f>IF(OR(BA76="",BB76=""),"",BB76+BA76*F76)</f>
        <v>0</v>
      </c>
      <c r="BD76">
        <f>IF(COUNT($E$2:$E76)&lt;20,"",STEYX($E$2:$E$76,$F$2:$F$76))</f>
        <v>0</v>
      </c>
      <c r="BE76">
        <f>IF($E76="","",IF(AND(COUNT($E$77:$E$80)&gt;=4,$C76=MAX($C$72:$C$80)),$C76,""))</f>
        <v>0</v>
      </c>
      <c r="BF76">
        <f>IF($E76="","",IF(AND(COUNT($E$77:$E$80)&gt;=4,$D76=MIN($D$72:$D$80)),$D76,""))</f>
        <v>0</v>
      </c>
      <c r="BG76">
        <f>IFERROR(SMALL(Calc_Daily!$BM$2:$BM$2001,75),"")</f>
        <v>0</v>
      </c>
    </row>
    <row r="77" spans="1:59">
      <c r="A77" s="27">
        <f>IF($BG77="","",INDEX(Calc_Daily!$A$2:$A$2001,$BG77))</f>
        <v>0</v>
      </c>
      <c r="B77">
        <f>IF($BG77="","",INDEX(Calc_Daily!$BJ$2:$BJ$2001,$BG77))</f>
        <v>0</v>
      </c>
      <c r="C77">
        <f>IF($BG77="","",INDEX(Calc_Daily!$BK$2:$BK$2001,$BG77))</f>
        <v>0</v>
      </c>
      <c r="D77">
        <f>IF($BG77="","",INDEX(Calc_Daily!$BL$2:$BL$2001,$BG77))</f>
        <v>0</v>
      </c>
      <c r="E77">
        <f>IF($BG77="","",INDEX(Calc_Daily!$E$2:$E$2001,$BG77))</f>
        <v>0</v>
      </c>
      <c r="F77">
        <f>IF($E77="","",N(F76)+1)</f>
        <v>0</v>
      </c>
      <c r="G77">
        <f>IF(OR($E77="",$E76=""),"",LN($E77/$E76))</f>
        <v>0</v>
      </c>
      <c r="H77">
        <f>IF($E77="","",IF($E76="",$E77,$E77*0.0952380952+H76*0.9047619048))</f>
        <v>0</v>
      </c>
      <c r="I77">
        <f>IF($E77="","",IF($E76="",$E77,$E77*0.0392156863+I76*0.9607843137))</f>
        <v>0</v>
      </c>
      <c r="J77">
        <f>IF($E77="","",IF($E76="",$E77,$E77*0.0198019802+J76*0.9801980198))</f>
        <v>0</v>
      </c>
      <c r="K77">
        <f>IF($E77="","",IF($E76="",$E77,$E77*0.0099502488+K76*0.9900497512))</f>
        <v>0</v>
      </c>
      <c r="L77">
        <f>IF(OR($E77="",$E76=""),"",MAX($E77-$E76,0))</f>
        <v>0</v>
      </c>
      <c r="M77">
        <f>IF(OR($E77="",$E76=""),"",MAX($E76-$E77,0))</f>
        <v>0</v>
      </c>
      <c r="N77">
        <f>IF(COUNT($E$2:$E77)&lt;15,"",IF(AVERAGE($M$64:$M$77)=0,100,100-100/(1+AVERAGE($L$64:$L$77)/AVERAGE($M$64:$M$77))))</f>
        <v>0</v>
      </c>
      <c r="O77">
        <f>IF($E77="","",IF($E76="",$E77,$E77*0.1538461538+O76*0.8461538462))</f>
        <v>0</v>
      </c>
      <c r="P77">
        <f>IF($E77="","",IF($E76="",$E77,$E77*0.0740740741+P76*0.9259259259))</f>
        <v>0</v>
      </c>
      <c r="Q77">
        <f>IF(OR(O77="",P77=""),"",O77-P77)</f>
        <v>0</v>
      </c>
      <c r="R77">
        <f>IF(Q77="","",IF(R76="",Q77,Q77*0.2000000000+R76*0.8000000000))</f>
        <v>0</v>
      </c>
      <c r="S77">
        <f>IF(OR(Q77="",R77=""),"",Q77-R77)</f>
        <v>0</v>
      </c>
      <c r="T77">
        <f>IF(COUNT($E$2:$E77)&lt;14,"",MAX($C$64:$C$77))</f>
        <v>0</v>
      </c>
      <c r="U77">
        <f>IF(COUNT($E$2:$E77)&lt;14,"",MIN($D$64:$D$77))</f>
        <v>0</v>
      </c>
      <c r="V77">
        <f>IF(OR(T77="",U77="",T77=U77),"",100*($E77-U77)/(T77-U77))</f>
        <v>0</v>
      </c>
      <c r="W77">
        <f>IF(COUNT($V$75:$V$77)&lt;3,"",AVERAGE($V$75:$V$77))</f>
        <v>0</v>
      </c>
      <c r="X77">
        <f>IF(COUNT($N$64:$N$77)&lt;14,"",MIN($N$64:$N$77))</f>
        <v>0</v>
      </c>
      <c r="Y77">
        <f>IF(COUNT($N$64:$N$77)&lt;14,"",MAX($N$64:$N$77))</f>
        <v>0</v>
      </c>
      <c r="Z77">
        <f>IF(OR(N77="",X77="",Y77="",Y77=X77),"",100*(N77-X77)/(Y77-X77))</f>
        <v>0</v>
      </c>
      <c r="AA77">
        <f>IF(COUNT($Z$75:$Z$77)&lt;3,"",AVERAGE($Z$75:$Z$77))</f>
        <v>0</v>
      </c>
      <c r="AB77">
        <f>IF(COUNT($AA$75:$AA$77)&lt;3,"",AVERAGE($AA$75:$AA$77))</f>
        <v>0</v>
      </c>
      <c r="AC77">
        <f>IF($E77="","",MAX($C77-$D77,ABS($C77-$E76),ABS($D77-$E76)))</f>
        <v>0</v>
      </c>
      <c r="AD77">
        <f>IF(COUNT($E$2:$E77)&lt;15,"",AVERAGE($AC$64:$AC$77))</f>
        <v>0</v>
      </c>
      <c r="AE77">
        <f>IF(OR($E77="",$E76=""),"",IF(AND(($C77-$C76)&gt;($D76-$D77),($C77-$C76)&gt;0),$C77-$C76,0))</f>
        <v>0</v>
      </c>
      <c r="AF77">
        <f>IF(OR($E77="",$E76=""),"",IF(AND(($D76-$D77)&gt;($C77-$C76),($D76-$D77)&gt;0),$D76-$D77,0))</f>
        <v>0</v>
      </c>
      <c r="AG77">
        <f>IF(COUNT($E$2:$E77)&lt;15,"",IF(SUM($AC$64:$AC$77)=0,0,100*SUM($AE$64:$AE$77)/SUM($AC$64:$AC$77)))</f>
        <v>0</v>
      </c>
      <c r="AH77">
        <f>IF(COUNT($E$2:$E77)&lt;15,"",IF(SUM($AC$64:$AC$77)=0,0,100*SUM($AF$64:$AF$77)/SUM($AC$64:$AC$77)))</f>
        <v>0</v>
      </c>
      <c r="AI77">
        <f>IF(OR(AG77="",AH77=""),"",IF((AG77+AH77)=0,0,100*ABS(AG77-AH77)/(AG77+AH77)))</f>
        <v>0</v>
      </c>
      <c r="AJ77">
        <f>IF(COUNT($AI$64:$AI$77)&lt;14,"",AVERAGE($AI$64:$AI$77))</f>
        <v>0</v>
      </c>
      <c r="AK77">
        <f>IF(COUNT($E$2:$E77)&lt;20,"",AVERAGE($E$58:$E$77))</f>
        <v>0</v>
      </c>
      <c r="AL77">
        <f>IF(COUNT($E$2:$E77)&lt;20,"",STDEVP($E$58:$E$77))</f>
        <v>0</v>
      </c>
      <c r="AM77">
        <f>IF(AK77="","",AK77+2*AL77)</f>
        <v>0</v>
      </c>
      <c r="AN77">
        <f>IF(AK77="","",AK77-2*AL77)</f>
        <v>0</v>
      </c>
      <c r="AO77">
        <f>IF(OR(AM77="",AN77="",AM77=AN77),"",($E77-AN77)/(AM77-AN77))</f>
        <v>0</v>
      </c>
      <c r="AP77">
        <f>IF(OR(AM77="",AK77="",AK77=0),"",(AM77-AN77)/AK77)</f>
        <v>0</v>
      </c>
      <c r="AQ77">
        <f>IF(COUNT($E$2:$E77)&lt;20,"",MAX($C$58:$C$77))</f>
        <v>0</v>
      </c>
      <c r="AR77">
        <f>IF(COUNT($E$2:$E77)&lt;20,"",MIN($D$58:$D$77))</f>
        <v>0</v>
      </c>
      <c r="AS77">
        <f>IF(OR(AQ77="",AR77=""),"",(AQ77+AR77)/2)</f>
        <v>0</v>
      </c>
      <c r="AT77">
        <f>IF(COUNT($G$58:$G$77)&lt;20,"",STDEV($G$58:$G$77)*SQRT(52))</f>
        <v>0</v>
      </c>
      <c r="AU77">
        <f>IF(COUNT($E$2:$E77)&lt;9,"",(MAX($C$69:$C$77)+MIN($D$69:$D$77))/2)</f>
        <v>0</v>
      </c>
      <c r="AV77">
        <f>IF(COUNT($E$2:$E77)&lt;26,"",(MAX($C$52:$C$77)+MIN($D$52:$D$77))/2)</f>
        <v>0</v>
      </c>
      <c r="AW77">
        <f>IF(OR(AU77="",AV77=""),"",(AU77+AV77)/2)</f>
        <v>0</v>
      </c>
      <c r="AX77">
        <f>IF(COUNT($E$2:$E77)&lt;52,"",(MAX($C$26:$C$77)+MIN($D$26:$D$77))/2)</f>
        <v>0</v>
      </c>
      <c r="AY77">
        <f>IF(COUNT($E$2:$E77)&lt;20,"",MAX($C$2:$C$77))</f>
        <v>0</v>
      </c>
      <c r="AZ77">
        <f>IF(COUNT($E$2:$E77)&lt;20,"",MIN($D$2:$D$77))</f>
        <v>0</v>
      </c>
      <c r="BA77">
        <f>IF(COUNT($E$2:$E77)&lt;20,"",SLOPE($E$2:$E$77,$F$2:$F$77))</f>
        <v>0</v>
      </c>
      <c r="BB77">
        <f>IF(COUNT($E$2:$E77)&lt;20,"",INTERCEPT($E$2:$E$77,$F$2:$F$77))</f>
        <v>0</v>
      </c>
      <c r="BC77">
        <f>IF(OR(BA77="",BB77=""),"",BB77+BA77*F77)</f>
        <v>0</v>
      </c>
      <c r="BD77">
        <f>IF(COUNT($E$2:$E77)&lt;20,"",STEYX($E$2:$E$77,$F$2:$F$77))</f>
        <v>0</v>
      </c>
      <c r="BE77">
        <f>IF($E77="","",IF(AND(COUNT($E$78:$E$81)&gt;=4,$C77=MAX($C$73:$C$81)),$C77,""))</f>
        <v>0</v>
      </c>
      <c r="BF77">
        <f>IF($E77="","",IF(AND(COUNT($E$78:$E$81)&gt;=4,$D77=MIN($D$73:$D$81)),$D77,""))</f>
        <v>0</v>
      </c>
      <c r="BG77">
        <f>IFERROR(SMALL(Calc_Daily!$BM$2:$BM$2001,76),"")</f>
        <v>0</v>
      </c>
    </row>
    <row r="78" spans="1:59">
      <c r="A78" s="27">
        <f>IF($BG78="","",INDEX(Calc_Daily!$A$2:$A$2001,$BG78))</f>
        <v>0</v>
      </c>
      <c r="B78">
        <f>IF($BG78="","",INDEX(Calc_Daily!$BJ$2:$BJ$2001,$BG78))</f>
        <v>0</v>
      </c>
      <c r="C78">
        <f>IF($BG78="","",INDEX(Calc_Daily!$BK$2:$BK$2001,$BG78))</f>
        <v>0</v>
      </c>
      <c r="D78">
        <f>IF($BG78="","",INDEX(Calc_Daily!$BL$2:$BL$2001,$BG78))</f>
        <v>0</v>
      </c>
      <c r="E78">
        <f>IF($BG78="","",INDEX(Calc_Daily!$E$2:$E$2001,$BG78))</f>
        <v>0</v>
      </c>
      <c r="F78">
        <f>IF($E78="","",N(F77)+1)</f>
        <v>0</v>
      </c>
      <c r="G78">
        <f>IF(OR($E78="",$E77=""),"",LN($E78/$E77))</f>
        <v>0</v>
      </c>
      <c r="H78">
        <f>IF($E78="","",IF($E77="",$E78,$E78*0.0952380952+H77*0.9047619048))</f>
        <v>0</v>
      </c>
      <c r="I78">
        <f>IF($E78="","",IF($E77="",$E78,$E78*0.0392156863+I77*0.9607843137))</f>
        <v>0</v>
      </c>
      <c r="J78">
        <f>IF($E78="","",IF($E77="",$E78,$E78*0.0198019802+J77*0.9801980198))</f>
        <v>0</v>
      </c>
      <c r="K78">
        <f>IF($E78="","",IF($E77="",$E78,$E78*0.0099502488+K77*0.9900497512))</f>
        <v>0</v>
      </c>
      <c r="L78">
        <f>IF(OR($E78="",$E77=""),"",MAX($E78-$E77,0))</f>
        <v>0</v>
      </c>
      <c r="M78">
        <f>IF(OR($E78="",$E77=""),"",MAX($E77-$E78,0))</f>
        <v>0</v>
      </c>
      <c r="N78">
        <f>IF(COUNT($E$2:$E78)&lt;15,"",IF(AVERAGE($M$65:$M$78)=0,100,100-100/(1+AVERAGE($L$65:$L$78)/AVERAGE($M$65:$M$78))))</f>
        <v>0</v>
      </c>
      <c r="O78">
        <f>IF($E78="","",IF($E77="",$E78,$E78*0.1538461538+O77*0.8461538462))</f>
        <v>0</v>
      </c>
      <c r="P78">
        <f>IF($E78="","",IF($E77="",$E78,$E78*0.0740740741+P77*0.9259259259))</f>
        <v>0</v>
      </c>
      <c r="Q78">
        <f>IF(OR(O78="",P78=""),"",O78-P78)</f>
        <v>0</v>
      </c>
      <c r="R78">
        <f>IF(Q78="","",IF(R77="",Q78,Q78*0.2000000000+R77*0.8000000000))</f>
        <v>0</v>
      </c>
      <c r="S78">
        <f>IF(OR(Q78="",R78=""),"",Q78-R78)</f>
        <v>0</v>
      </c>
      <c r="T78">
        <f>IF(COUNT($E$2:$E78)&lt;14,"",MAX($C$65:$C$78))</f>
        <v>0</v>
      </c>
      <c r="U78">
        <f>IF(COUNT($E$2:$E78)&lt;14,"",MIN($D$65:$D$78))</f>
        <v>0</v>
      </c>
      <c r="V78">
        <f>IF(OR(T78="",U78="",T78=U78),"",100*($E78-U78)/(T78-U78))</f>
        <v>0</v>
      </c>
      <c r="W78">
        <f>IF(COUNT($V$76:$V$78)&lt;3,"",AVERAGE($V$76:$V$78))</f>
        <v>0</v>
      </c>
      <c r="X78">
        <f>IF(COUNT($N$65:$N$78)&lt;14,"",MIN($N$65:$N$78))</f>
        <v>0</v>
      </c>
      <c r="Y78">
        <f>IF(COUNT($N$65:$N$78)&lt;14,"",MAX($N$65:$N$78))</f>
        <v>0</v>
      </c>
      <c r="Z78">
        <f>IF(OR(N78="",X78="",Y78="",Y78=X78),"",100*(N78-X78)/(Y78-X78))</f>
        <v>0</v>
      </c>
      <c r="AA78">
        <f>IF(COUNT($Z$76:$Z$78)&lt;3,"",AVERAGE($Z$76:$Z$78))</f>
        <v>0</v>
      </c>
      <c r="AB78">
        <f>IF(COUNT($AA$76:$AA$78)&lt;3,"",AVERAGE($AA$76:$AA$78))</f>
        <v>0</v>
      </c>
      <c r="AC78">
        <f>IF($E78="","",MAX($C78-$D78,ABS($C78-$E77),ABS($D78-$E77)))</f>
        <v>0</v>
      </c>
      <c r="AD78">
        <f>IF(COUNT($E$2:$E78)&lt;15,"",AVERAGE($AC$65:$AC$78))</f>
        <v>0</v>
      </c>
      <c r="AE78">
        <f>IF(OR($E78="",$E77=""),"",IF(AND(($C78-$C77)&gt;($D77-$D78),($C78-$C77)&gt;0),$C78-$C77,0))</f>
        <v>0</v>
      </c>
      <c r="AF78">
        <f>IF(OR($E78="",$E77=""),"",IF(AND(($D77-$D78)&gt;($C78-$C77),($D77-$D78)&gt;0),$D77-$D78,0))</f>
        <v>0</v>
      </c>
      <c r="AG78">
        <f>IF(COUNT($E$2:$E78)&lt;15,"",IF(SUM($AC$65:$AC$78)=0,0,100*SUM($AE$65:$AE$78)/SUM($AC$65:$AC$78)))</f>
        <v>0</v>
      </c>
      <c r="AH78">
        <f>IF(COUNT($E$2:$E78)&lt;15,"",IF(SUM($AC$65:$AC$78)=0,0,100*SUM($AF$65:$AF$78)/SUM($AC$65:$AC$78)))</f>
        <v>0</v>
      </c>
      <c r="AI78">
        <f>IF(OR(AG78="",AH78=""),"",IF((AG78+AH78)=0,0,100*ABS(AG78-AH78)/(AG78+AH78)))</f>
        <v>0</v>
      </c>
      <c r="AJ78">
        <f>IF(COUNT($AI$65:$AI$78)&lt;14,"",AVERAGE($AI$65:$AI$78))</f>
        <v>0</v>
      </c>
      <c r="AK78">
        <f>IF(COUNT($E$2:$E78)&lt;20,"",AVERAGE($E$59:$E$78))</f>
        <v>0</v>
      </c>
      <c r="AL78">
        <f>IF(COUNT($E$2:$E78)&lt;20,"",STDEVP($E$59:$E$78))</f>
        <v>0</v>
      </c>
      <c r="AM78">
        <f>IF(AK78="","",AK78+2*AL78)</f>
        <v>0</v>
      </c>
      <c r="AN78">
        <f>IF(AK78="","",AK78-2*AL78)</f>
        <v>0</v>
      </c>
      <c r="AO78">
        <f>IF(OR(AM78="",AN78="",AM78=AN78),"",($E78-AN78)/(AM78-AN78))</f>
        <v>0</v>
      </c>
      <c r="AP78">
        <f>IF(OR(AM78="",AK78="",AK78=0),"",(AM78-AN78)/AK78)</f>
        <v>0</v>
      </c>
      <c r="AQ78">
        <f>IF(COUNT($E$2:$E78)&lt;20,"",MAX($C$59:$C$78))</f>
        <v>0</v>
      </c>
      <c r="AR78">
        <f>IF(COUNT($E$2:$E78)&lt;20,"",MIN($D$59:$D$78))</f>
        <v>0</v>
      </c>
      <c r="AS78">
        <f>IF(OR(AQ78="",AR78=""),"",(AQ78+AR78)/2)</f>
        <v>0</v>
      </c>
      <c r="AT78">
        <f>IF(COUNT($G$59:$G$78)&lt;20,"",STDEV($G$59:$G$78)*SQRT(52))</f>
        <v>0</v>
      </c>
      <c r="AU78">
        <f>IF(COUNT($E$2:$E78)&lt;9,"",(MAX($C$70:$C$78)+MIN($D$70:$D$78))/2)</f>
        <v>0</v>
      </c>
      <c r="AV78">
        <f>IF(COUNT($E$2:$E78)&lt;26,"",(MAX($C$53:$C$78)+MIN($D$53:$D$78))/2)</f>
        <v>0</v>
      </c>
      <c r="AW78">
        <f>IF(OR(AU78="",AV78=""),"",(AU78+AV78)/2)</f>
        <v>0</v>
      </c>
      <c r="AX78">
        <f>IF(COUNT($E$2:$E78)&lt;52,"",(MAX($C$27:$C$78)+MIN($D$27:$D$78))/2)</f>
        <v>0</v>
      </c>
      <c r="AY78">
        <f>IF(COUNT($E$2:$E78)&lt;20,"",MAX($C$2:$C$78))</f>
        <v>0</v>
      </c>
      <c r="AZ78">
        <f>IF(COUNT($E$2:$E78)&lt;20,"",MIN($D$2:$D$78))</f>
        <v>0</v>
      </c>
      <c r="BA78">
        <f>IF(COUNT($E$2:$E78)&lt;20,"",SLOPE($E$2:$E$78,$F$2:$F$78))</f>
        <v>0</v>
      </c>
      <c r="BB78">
        <f>IF(COUNT($E$2:$E78)&lt;20,"",INTERCEPT($E$2:$E$78,$F$2:$F$78))</f>
        <v>0</v>
      </c>
      <c r="BC78">
        <f>IF(OR(BA78="",BB78=""),"",BB78+BA78*F78)</f>
        <v>0</v>
      </c>
      <c r="BD78">
        <f>IF(COUNT($E$2:$E78)&lt;20,"",STEYX($E$2:$E$78,$F$2:$F$78))</f>
        <v>0</v>
      </c>
      <c r="BE78">
        <f>IF($E78="","",IF(AND(COUNT($E$79:$E$82)&gt;=4,$C78=MAX($C$74:$C$82)),$C78,""))</f>
        <v>0</v>
      </c>
      <c r="BF78">
        <f>IF($E78="","",IF(AND(COUNT($E$79:$E$82)&gt;=4,$D78=MIN($D$74:$D$82)),$D78,""))</f>
        <v>0</v>
      </c>
      <c r="BG78">
        <f>IFERROR(SMALL(Calc_Daily!$BM$2:$BM$2001,77),"")</f>
        <v>0</v>
      </c>
    </row>
    <row r="79" spans="1:59">
      <c r="A79" s="27">
        <f>IF($BG79="","",INDEX(Calc_Daily!$A$2:$A$2001,$BG79))</f>
        <v>0</v>
      </c>
      <c r="B79">
        <f>IF($BG79="","",INDEX(Calc_Daily!$BJ$2:$BJ$2001,$BG79))</f>
        <v>0</v>
      </c>
      <c r="C79">
        <f>IF($BG79="","",INDEX(Calc_Daily!$BK$2:$BK$2001,$BG79))</f>
        <v>0</v>
      </c>
      <c r="D79">
        <f>IF($BG79="","",INDEX(Calc_Daily!$BL$2:$BL$2001,$BG79))</f>
        <v>0</v>
      </c>
      <c r="E79">
        <f>IF($BG79="","",INDEX(Calc_Daily!$E$2:$E$2001,$BG79))</f>
        <v>0</v>
      </c>
      <c r="F79">
        <f>IF($E79="","",N(F78)+1)</f>
        <v>0</v>
      </c>
      <c r="G79">
        <f>IF(OR($E79="",$E78=""),"",LN($E79/$E78))</f>
        <v>0</v>
      </c>
      <c r="H79">
        <f>IF($E79="","",IF($E78="",$E79,$E79*0.0952380952+H78*0.9047619048))</f>
        <v>0</v>
      </c>
      <c r="I79">
        <f>IF($E79="","",IF($E78="",$E79,$E79*0.0392156863+I78*0.9607843137))</f>
        <v>0</v>
      </c>
      <c r="J79">
        <f>IF($E79="","",IF($E78="",$E79,$E79*0.0198019802+J78*0.9801980198))</f>
        <v>0</v>
      </c>
      <c r="K79">
        <f>IF($E79="","",IF($E78="",$E79,$E79*0.0099502488+K78*0.9900497512))</f>
        <v>0</v>
      </c>
      <c r="L79">
        <f>IF(OR($E79="",$E78=""),"",MAX($E79-$E78,0))</f>
        <v>0</v>
      </c>
      <c r="M79">
        <f>IF(OR($E79="",$E78=""),"",MAX($E78-$E79,0))</f>
        <v>0</v>
      </c>
      <c r="N79">
        <f>IF(COUNT($E$2:$E79)&lt;15,"",IF(AVERAGE($M$66:$M$79)=0,100,100-100/(1+AVERAGE($L$66:$L$79)/AVERAGE($M$66:$M$79))))</f>
        <v>0</v>
      </c>
      <c r="O79">
        <f>IF($E79="","",IF($E78="",$E79,$E79*0.1538461538+O78*0.8461538462))</f>
        <v>0</v>
      </c>
      <c r="P79">
        <f>IF($E79="","",IF($E78="",$E79,$E79*0.0740740741+P78*0.9259259259))</f>
        <v>0</v>
      </c>
      <c r="Q79">
        <f>IF(OR(O79="",P79=""),"",O79-P79)</f>
        <v>0</v>
      </c>
      <c r="R79">
        <f>IF(Q79="","",IF(R78="",Q79,Q79*0.2000000000+R78*0.8000000000))</f>
        <v>0</v>
      </c>
      <c r="S79">
        <f>IF(OR(Q79="",R79=""),"",Q79-R79)</f>
        <v>0</v>
      </c>
      <c r="T79">
        <f>IF(COUNT($E$2:$E79)&lt;14,"",MAX($C$66:$C$79))</f>
        <v>0</v>
      </c>
      <c r="U79">
        <f>IF(COUNT($E$2:$E79)&lt;14,"",MIN($D$66:$D$79))</f>
        <v>0</v>
      </c>
      <c r="V79">
        <f>IF(OR(T79="",U79="",T79=U79),"",100*($E79-U79)/(T79-U79))</f>
        <v>0</v>
      </c>
      <c r="W79">
        <f>IF(COUNT($V$77:$V$79)&lt;3,"",AVERAGE($V$77:$V$79))</f>
        <v>0</v>
      </c>
      <c r="X79">
        <f>IF(COUNT($N$66:$N$79)&lt;14,"",MIN($N$66:$N$79))</f>
        <v>0</v>
      </c>
      <c r="Y79">
        <f>IF(COUNT($N$66:$N$79)&lt;14,"",MAX($N$66:$N$79))</f>
        <v>0</v>
      </c>
      <c r="Z79">
        <f>IF(OR(N79="",X79="",Y79="",Y79=X79),"",100*(N79-X79)/(Y79-X79))</f>
        <v>0</v>
      </c>
      <c r="AA79">
        <f>IF(COUNT($Z$77:$Z$79)&lt;3,"",AVERAGE($Z$77:$Z$79))</f>
        <v>0</v>
      </c>
      <c r="AB79">
        <f>IF(COUNT($AA$77:$AA$79)&lt;3,"",AVERAGE($AA$77:$AA$79))</f>
        <v>0</v>
      </c>
      <c r="AC79">
        <f>IF($E79="","",MAX($C79-$D79,ABS($C79-$E78),ABS($D79-$E78)))</f>
        <v>0</v>
      </c>
      <c r="AD79">
        <f>IF(COUNT($E$2:$E79)&lt;15,"",AVERAGE($AC$66:$AC$79))</f>
        <v>0</v>
      </c>
      <c r="AE79">
        <f>IF(OR($E79="",$E78=""),"",IF(AND(($C79-$C78)&gt;($D78-$D79),($C79-$C78)&gt;0),$C79-$C78,0))</f>
        <v>0</v>
      </c>
      <c r="AF79">
        <f>IF(OR($E79="",$E78=""),"",IF(AND(($D78-$D79)&gt;($C79-$C78),($D78-$D79)&gt;0),$D78-$D79,0))</f>
        <v>0</v>
      </c>
      <c r="AG79">
        <f>IF(COUNT($E$2:$E79)&lt;15,"",IF(SUM($AC$66:$AC$79)=0,0,100*SUM($AE$66:$AE$79)/SUM($AC$66:$AC$79)))</f>
        <v>0</v>
      </c>
      <c r="AH79">
        <f>IF(COUNT($E$2:$E79)&lt;15,"",IF(SUM($AC$66:$AC$79)=0,0,100*SUM($AF$66:$AF$79)/SUM($AC$66:$AC$79)))</f>
        <v>0</v>
      </c>
      <c r="AI79">
        <f>IF(OR(AG79="",AH79=""),"",IF((AG79+AH79)=0,0,100*ABS(AG79-AH79)/(AG79+AH79)))</f>
        <v>0</v>
      </c>
      <c r="AJ79">
        <f>IF(COUNT($AI$66:$AI$79)&lt;14,"",AVERAGE($AI$66:$AI$79))</f>
        <v>0</v>
      </c>
      <c r="AK79">
        <f>IF(COUNT($E$2:$E79)&lt;20,"",AVERAGE($E$60:$E$79))</f>
        <v>0</v>
      </c>
      <c r="AL79">
        <f>IF(COUNT($E$2:$E79)&lt;20,"",STDEVP($E$60:$E$79))</f>
        <v>0</v>
      </c>
      <c r="AM79">
        <f>IF(AK79="","",AK79+2*AL79)</f>
        <v>0</v>
      </c>
      <c r="AN79">
        <f>IF(AK79="","",AK79-2*AL79)</f>
        <v>0</v>
      </c>
      <c r="AO79">
        <f>IF(OR(AM79="",AN79="",AM79=AN79),"",($E79-AN79)/(AM79-AN79))</f>
        <v>0</v>
      </c>
      <c r="AP79">
        <f>IF(OR(AM79="",AK79="",AK79=0),"",(AM79-AN79)/AK79)</f>
        <v>0</v>
      </c>
      <c r="AQ79">
        <f>IF(COUNT($E$2:$E79)&lt;20,"",MAX($C$60:$C$79))</f>
        <v>0</v>
      </c>
      <c r="AR79">
        <f>IF(COUNT($E$2:$E79)&lt;20,"",MIN($D$60:$D$79))</f>
        <v>0</v>
      </c>
      <c r="AS79">
        <f>IF(OR(AQ79="",AR79=""),"",(AQ79+AR79)/2)</f>
        <v>0</v>
      </c>
      <c r="AT79">
        <f>IF(COUNT($G$60:$G$79)&lt;20,"",STDEV($G$60:$G$79)*SQRT(52))</f>
        <v>0</v>
      </c>
      <c r="AU79">
        <f>IF(COUNT($E$2:$E79)&lt;9,"",(MAX($C$71:$C$79)+MIN($D$71:$D$79))/2)</f>
        <v>0</v>
      </c>
      <c r="AV79">
        <f>IF(COUNT($E$2:$E79)&lt;26,"",(MAX($C$54:$C$79)+MIN($D$54:$D$79))/2)</f>
        <v>0</v>
      </c>
      <c r="AW79">
        <f>IF(OR(AU79="",AV79=""),"",(AU79+AV79)/2)</f>
        <v>0</v>
      </c>
      <c r="AX79">
        <f>IF(COUNT($E$2:$E79)&lt;52,"",(MAX($C$28:$C$79)+MIN($D$28:$D$79))/2)</f>
        <v>0</v>
      </c>
      <c r="AY79">
        <f>IF(COUNT($E$2:$E79)&lt;20,"",MAX($C$2:$C$79))</f>
        <v>0</v>
      </c>
      <c r="AZ79">
        <f>IF(COUNT($E$2:$E79)&lt;20,"",MIN($D$2:$D$79))</f>
        <v>0</v>
      </c>
      <c r="BA79">
        <f>IF(COUNT($E$2:$E79)&lt;20,"",SLOPE($E$2:$E$79,$F$2:$F$79))</f>
        <v>0</v>
      </c>
      <c r="BB79">
        <f>IF(COUNT($E$2:$E79)&lt;20,"",INTERCEPT($E$2:$E$79,$F$2:$F$79))</f>
        <v>0</v>
      </c>
      <c r="BC79">
        <f>IF(OR(BA79="",BB79=""),"",BB79+BA79*F79)</f>
        <v>0</v>
      </c>
      <c r="BD79">
        <f>IF(COUNT($E$2:$E79)&lt;20,"",STEYX($E$2:$E$79,$F$2:$F$79))</f>
        <v>0</v>
      </c>
      <c r="BE79">
        <f>IF($E79="","",IF(AND(COUNT($E$80:$E$83)&gt;=4,$C79=MAX($C$75:$C$83)),$C79,""))</f>
        <v>0</v>
      </c>
      <c r="BF79">
        <f>IF($E79="","",IF(AND(COUNT($E$80:$E$83)&gt;=4,$D79=MIN($D$75:$D$83)),$D79,""))</f>
        <v>0</v>
      </c>
      <c r="BG79">
        <f>IFERROR(SMALL(Calc_Daily!$BM$2:$BM$2001,78),"")</f>
        <v>0</v>
      </c>
    </row>
    <row r="80" spans="1:59">
      <c r="A80" s="27">
        <f>IF($BG80="","",INDEX(Calc_Daily!$A$2:$A$2001,$BG80))</f>
        <v>0</v>
      </c>
      <c r="B80">
        <f>IF($BG80="","",INDEX(Calc_Daily!$BJ$2:$BJ$2001,$BG80))</f>
        <v>0</v>
      </c>
      <c r="C80">
        <f>IF($BG80="","",INDEX(Calc_Daily!$BK$2:$BK$2001,$BG80))</f>
        <v>0</v>
      </c>
      <c r="D80">
        <f>IF($BG80="","",INDEX(Calc_Daily!$BL$2:$BL$2001,$BG80))</f>
        <v>0</v>
      </c>
      <c r="E80">
        <f>IF($BG80="","",INDEX(Calc_Daily!$E$2:$E$2001,$BG80))</f>
        <v>0</v>
      </c>
      <c r="F80">
        <f>IF($E80="","",N(F79)+1)</f>
        <v>0</v>
      </c>
      <c r="G80">
        <f>IF(OR($E80="",$E79=""),"",LN($E80/$E79))</f>
        <v>0</v>
      </c>
      <c r="H80">
        <f>IF($E80="","",IF($E79="",$E80,$E80*0.0952380952+H79*0.9047619048))</f>
        <v>0</v>
      </c>
      <c r="I80">
        <f>IF($E80="","",IF($E79="",$E80,$E80*0.0392156863+I79*0.9607843137))</f>
        <v>0</v>
      </c>
      <c r="J80">
        <f>IF($E80="","",IF($E79="",$E80,$E80*0.0198019802+J79*0.9801980198))</f>
        <v>0</v>
      </c>
      <c r="K80">
        <f>IF($E80="","",IF($E79="",$E80,$E80*0.0099502488+K79*0.9900497512))</f>
        <v>0</v>
      </c>
      <c r="L80">
        <f>IF(OR($E80="",$E79=""),"",MAX($E80-$E79,0))</f>
        <v>0</v>
      </c>
      <c r="M80">
        <f>IF(OR($E80="",$E79=""),"",MAX($E79-$E80,0))</f>
        <v>0</v>
      </c>
      <c r="N80">
        <f>IF(COUNT($E$2:$E80)&lt;15,"",IF(AVERAGE($M$67:$M$80)=0,100,100-100/(1+AVERAGE($L$67:$L$80)/AVERAGE($M$67:$M$80))))</f>
        <v>0</v>
      </c>
      <c r="O80">
        <f>IF($E80="","",IF($E79="",$E80,$E80*0.1538461538+O79*0.8461538462))</f>
        <v>0</v>
      </c>
      <c r="P80">
        <f>IF($E80="","",IF($E79="",$E80,$E80*0.0740740741+P79*0.9259259259))</f>
        <v>0</v>
      </c>
      <c r="Q80">
        <f>IF(OR(O80="",P80=""),"",O80-P80)</f>
        <v>0</v>
      </c>
      <c r="R80">
        <f>IF(Q80="","",IF(R79="",Q80,Q80*0.2000000000+R79*0.8000000000))</f>
        <v>0</v>
      </c>
      <c r="S80">
        <f>IF(OR(Q80="",R80=""),"",Q80-R80)</f>
        <v>0</v>
      </c>
      <c r="T80">
        <f>IF(COUNT($E$2:$E80)&lt;14,"",MAX($C$67:$C$80))</f>
        <v>0</v>
      </c>
      <c r="U80">
        <f>IF(COUNT($E$2:$E80)&lt;14,"",MIN($D$67:$D$80))</f>
        <v>0</v>
      </c>
      <c r="V80">
        <f>IF(OR(T80="",U80="",T80=U80),"",100*($E80-U80)/(T80-U80))</f>
        <v>0</v>
      </c>
      <c r="W80">
        <f>IF(COUNT($V$78:$V$80)&lt;3,"",AVERAGE($V$78:$V$80))</f>
        <v>0</v>
      </c>
      <c r="X80">
        <f>IF(COUNT($N$67:$N$80)&lt;14,"",MIN($N$67:$N$80))</f>
        <v>0</v>
      </c>
      <c r="Y80">
        <f>IF(COUNT($N$67:$N$80)&lt;14,"",MAX($N$67:$N$80))</f>
        <v>0</v>
      </c>
      <c r="Z80">
        <f>IF(OR(N80="",X80="",Y80="",Y80=X80),"",100*(N80-X80)/(Y80-X80))</f>
        <v>0</v>
      </c>
      <c r="AA80">
        <f>IF(COUNT($Z$78:$Z$80)&lt;3,"",AVERAGE($Z$78:$Z$80))</f>
        <v>0</v>
      </c>
      <c r="AB80">
        <f>IF(COUNT($AA$78:$AA$80)&lt;3,"",AVERAGE($AA$78:$AA$80))</f>
        <v>0</v>
      </c>
      <c r="AC80">
        <f>IF($E80="","",MAX($C80-$D80,ABS($C80-$E79),ABS($D80-$E79)))</f>
        <v>0</v>
      </c>
      <c r="AD80">
        <f>IF(COUNT($E$2:$E80)&lt;15,"",AVERAGE($AC$67:$AC$80))</f>
        <v>0</v>
      </c>
      <c r="AE80">
        <f>IF(OR($E80="",$E79=""),"",IF(AND(($C80-$C79)&gt;($D79-$D80),($C80-$C79)&gt;0),$C80-$C79,0))</f>
        <v>0</v>
      </c>
      <c r="AF80">
        <f>IF(OR($E80="",$E79=""),"",IF(AND(($D79-$D80)&gt;($C80-$C79),($D79-$D80)&gt;0),$D79-$D80,0))</f>
        <v>0</v>
      </c>
      <c r="AG80">
        <f>IF(COUNT($E$2:$E80)&lt;15,"",IF(SUM($AC$67:$AC$80)=0,0,100*SUM($AE$67:$AE$80)/SUM($AC$67:$AC$80)))</f>
        <v>0</v>
      </c>
      <c r="AH80">
        <f>IF(COUNT($E$2:$E80)&lt;15,"",IF(SUM($AC$67:$AC$80)=0,0,100*SUM($AF$67:$AF$80)/SUM($AC$67:$AC$80)))</f>
        <v>0</v>
      </c>
      <c r="AI80">
        <f>IF(OR(AG80="",AH80=""),"",IF((AG80+AH80)=0,0,100*ABS(AG80-AH80)/(AG80+AH80)))</f>
        <v>0</v>
      </c>
      <c r="AJ80">
        <f>IF(COUNT($AI$67:$AI$80)&lt;14,"",AVERAGE($AI$67:$AI$80))</f>
        <v>0</v>
      </c>
      <c r="AK80">
        <f>IF(COUNT($E$2:$E80)&lt;20,"",AVERAGE($E$61:$E$80))</f>
        <v>0</v>
      </c>
      <c r="AL80">
        <f>IF(COUNT($E$2:$E80)&lt;20,"",STDEVP($E$61:$E$80))</f>
        <v>0</v>
      </c>
      <c r="AM80">
        <f>IF(AK80="","",AK80+2*AL80)</f>
        <v>0</v>
      </c>
      <c r="AN80">
        <f>IF(AK80="","",AK80-2*AL80)</f>
        <v>0</v>
      </c>
      <c r="AO80">
        <f>IF(OR(AM80="",AN80="",AM80=AN80),"",($E80-AN80)/(AM80-AN80))</f>
        <v>0</v>
      </c>
      <c r="AP80">
        <f>IF(OR(AM80="",AK80="",AK80=0),"",(AM80-AN80)/AK80)</f>
        <v>0</v>
      </c>
      <c r="AQ80">
        <f>IF(COUNT($E$2:$E80)&lt;20,"",MAX($C$61:$C$80))</f>
        <v>0</v>
      </c>
      <c r="AR80">
        <f>IF(COUNT($E$2:$E80)&lt;20,"",MIN($D$61:$D$80))</f>
        <v>0</v>
      </c>
      <c r="AS80">
        <f>IF(OR(AQ80="",AR80=""),"",(AQ80+AR80)/2)</f>
        <v>0</v>
      </c>
      <c r="AT80">
        <f>IF(COUNT($G$61:$G$80)&lt;20,"",STDEV($G$61:$G$80)*SQRT(52))</f>
        <v>0</v>
      </c>
      <c r="AU80">
        <f>IF(COUNT($E$2:$E80)&lt;9,"",(MAX($C$72:$C$80)+MIN($D$72:$D$80))/2)</f>
        <v>0</v>
      </c>
      <c r="AV80">
        <f>IF(COUNT($E$2:$E80)&lt;26,"",(MAX($C$55:$C$80)+MIN($D$55:$D$80))/2)</f>
        <v>0</v>
      </c>
      <c r="AW80">
        <f>IF(OR(AU80="",AV80=""),"",(AU80+AV80)/2)</f>
        <v>0</v>
      </c>
      <c r="AX80">
        <f>IF(COUNT($E$2:$E80)&lt;52,"",(MAX($C$29:$C$80)+MIN($D$29:$D$80))/2)</f>
        <v>0</v>
      </c>
      <c r="AY80">
        <f>IF(COUNT($E$2:$E80)&lt;20,"",MAX($C$2:$C$80))</f>
        <v>0</v>
      </c>
      <c r="AZ80">
        <f>IF(COUNT($E$2:$E80)&lt;20,"",MIN($D$2:$D$80))</f>
        <v>0</v>
      </c>
      <c r="BA80">
        <f>IF(COUNT($E$2:$E80)&lt;20,"",SLOPE($E$2:$E$80,$F$2:$F$80))</f>
        <v>0</v>
      </c>
      <c r="BB80">
        <f>IF(COUNT($E$2:$E80)&lt;20,"",INTERCEPT($E$2:$E$80,$F$2:$F$80))</f>
        <v>0</v>
      </c>
      <c r="BC80">
        <f>IF(OR(BA80="",BB80=""),"",BB80+BA80*F80)</f>
        <v>0</v>
      </c>
      <c r="BD80">
        <f>IF(COUNT($E$2:$E80)&lt;20,"",STEYX($E$2:$E$80,$F$2:$F$80))</f>
        <v>0</v>
      </c>
      <c r="BE80">
        <f>IF($E80="","",IF(AND(COUNT($E$81:$E$84)&gt;=4,$C80=MAX($C$76:$C$84)),$C80,""))</f>
        <v>0</v>
      </c>
      <c r="BF80">
        <f>IF($E80="","",IF(AND(COUNT($E$81:$E$84)&gt;=4,$D80=MIN($D$76:$D$84)),$D80,""))</f>
        <v>0</v>
      </c>
      <c r="BG80">
        <f>IFERROR(SMALL(Calc_Daily!$BM$2:$BM$2001,79),"")</f>
        <v>0</v>
      </c>
    </row>
    <row r="81" spans="1:59">
      <c r="A81" s="27">
        <f>IF($BG81="","",INDEX(Calc_Daily!$A$2:$A$2001,$BG81))</f>
        <v>0</v>
      </c>
      <c r="B81">
        <f>IF($BG81="","",INDEX(Calc_Daily!$BJ$2:$BJ$2001,$BG81))</f>
        <v>0</v>
      </c>
      <c r="C81">
        <f>IF($BG81="","",INDEX(Calc_Daily!$BK$2:$BK$2001,$BG81))</f>
        <v>0</v>
      </c>
      <c r="D81">
        <f>IF($BG81="","",INDEX(Calc_Daily!$BL$2:$BL$2001,$BG81))</f>
        <v>0</v>
      </c>
      <c r="E81">
        <f>IF($BG81="","",INDEX(Calc_Daily!$E$2:$E$2001,$BG81))</f>
        <v>0</v>
      </c>
      <c r="F81">
        <f>IF($E81="","",N(F80)+1)</f>
        <v>0</v>
      </c>
      <c r="G81">
        <f>IF(OR($E81="",$E80=""),"",LN($E81/$E80))</f>
        <v>0</v>
      </c>
      <c r="H81">
        <f>IF($E81="","",IF($E80="",$E81,$E81*0.0952380952+H80*0.9047619048))</f>
        <v>0</v>
      </c>
      <c r="I81">
        <f>IF($E81="","",IF($E80="",$E81,$E81*0.0392156863+I80*0.9607843137))</f>
        <v>0</v>
      </c>
      <c r="J81">
        <f>IF($E81="","",IF($E80="",$E81,$E81*0.0198019802+J80*0.9801980198))</f>
        <v>0</v>
      </c>
      <c r="K81">
        <f>IF($E81="","",IF($E80="",$E81,$E81*0.0099502488+K80*0.9900497512))</f>
        <v>0</v>
      </c>
      <c r="L81">
        <f>IF(OR($E81="",$E80=""),"",MAX($E81-$E80,0))</f>
        <v>0</v>
      </c>
      <c r="M81">
        <f>IF(OR($E81="",$E80=""),"",MAX($E80-$E81,0))</f>
        <v>0</v>
      </c>
      <c r="N81">
        <f>IF(COUNT($E$2:$E81)&lt;15,"",IF(AVERAGE($M$68:$M$81)=0,100,100-100/(1+AVERAGE($L$68:$L$81)/AVERAGE($M$68:$M$81))))</f>
        <v>0</v>
      </c>
      <c r="O81">
        <f>IF($E81="","",IF($E80="",$E81,$E81*0.1538461538+O80*0.8461538462))</f>
        <v>0</v>
      </c>
      <c r="P81">
        <f>IF($E81="","",IF($E80="",$E81,$E81*0.0740740741+P80*0.9259259259))</f>
        <v>0</v>
      </c>
      <c r="Q81">
        <f>IF(OR(O81="",P81=""),"",O81-P81)</f>
        <v>0</v>
      </c>
      <c r="R81">
        <f>IF(Q81="","",IF(R80="",Q81,Q81*0.2000000000+R80*0.8000000000))</f>
        <v>0</v>
      </c>
      <c r="S81">
        <f>IF(OR(Q81="",R81=""),"",Q81-R81)</f>
        <v>0</v>
      </c>
      <c r="T81">
        <f>IF(COUNT($E$2:$E81)&lt;14,"",MAX($C$68:$C$81))</f>
        <v>0</v>
      </c>
      <c r="U81">
        <f>IF(COUNT($E$2:$E81)&lt;14,"",MIN($D$68:$D$81))</f>
        <v>0</v>
      </c>
      <c r="V81">
        <f>IF(OR(T81="",U81="",T81=U81),"",100*($E81-U81)/(T81-U81))</f>
        <v>0</v>
      </c>
      <c r="W81">
        <f>IF(COUNT($V$79:$V$81)&lt;3,"",AVERAGE($V$79:$V$81))</f>
        <v>0</v>
      </c>
      <c r="X81">
        <f>IF(COUNT($N$68:$N$81)&lt;14,"",MIN($N$68:$N$81))</f>
        <v>0</v>
      </c>
      <c r="Y81">
        <f>IF(COUNT($N$68:$N$81)&lt;14,"",MAX($N$68:$N$81))</f>
        <v>0</v>
      </c>
      <c r="Z81">
        <f>IF(OR(N81="",X81="",Y81="",Y81=X81),"",100*(N81-X81)/(Y81-X81))</f>
        <v>0</v>
      </c>
      <c r="AA81">
        <f>IF(COUNT($Z$79:$Z$81)&lt;3,"",AVERAGE($Z$79:$Z$81))</f>
        <v>0</v>
      </c>
      <c r="AB81">
        <f>IF(COUNT($AA$79:$AA$81)&lt;3,"",AVERAGE($AA$79:$AA$81))</f>
        <v>0</v>
      </c>
      <c r="AC81">
        <f>IF($E81="","",MAX($C81-$D81,ABS($C81-$E80),ABS($D81-$E80)))</f>
        <v>0</v>
      </c>
      <c r="AD81">
        <f>IF(COUNT($E$2:$E81)&lt;15,"",AVERAGE($AC$68:$AC$81))</f>
        <v>0</v>
      </c>
      <c r="AE81">
        <f>IF(OR($E81="",$E80=""),"",IF(AND(($C81-$C80)&gt;($D80-$D81),($C81-$C80)&gt;0),$C81-$C80,0))</f>
        <v>0</v>
      </c>
      <c r="AF81">
        <f>IF(OR($E81="",$E80=""),"",IF(AND(($D80-$D81)&gt;($C81-$C80),($D80-$D81)&gt;0),$D80-$D81,0))</f>
        <v>0</v>
      </c>
      <c r="AG81">
        <f>IF(COUNT($E$2:$E81)&lt;15,"",IF(SUM($AC$68:$AC$81)=0,0,100*SUM($AE$68:$AE$81)/SUM($AC$68:$AC$81)))</f>
        <v>0</v>
      </c>
      <c r="AH81">
        <f>IF(COUNT($E$2:$E81)&lt;15,"",IF(SUM($AC$68:$AC$81)=0,0,100*SUM($AF$68:$AF$81)/SUM($AC$68:$AC$81)))</f>
        <v>0</v>
      </c>
      <c r="AI81">
        <f>IF(OR(AG81="",AH81=""),"",IF((AG81+AH81)=0,0,100*ABS(AG81-AH81)/(AG81+AH81)))</f>
        <v>0</v>
      </c>
      <c r="AJ81">
        <f>IF(COUNT($AI$68:$AI$81)&lt;14,"",AVERAGE($AI$68:$AI$81))</f>
        <v>0</v>
      </c>
      <c r="AK81">
        <f>IF(COUNT($E$2:$E81)&lt;20,"",AVERAGE($E$62:$E$81))</f>
        <v>0</v>
      </c>
      <c r="AL81">
        <f>IF(COUNT($E$2:$E81)&lt;20,"",STDEVP($E$62:$E$81))</f>
        <v>0</v>
      </c>
      <c r="AM81">
        <f>IF(AK81="","",AK81+2*AL81)</f>
        <v>0</v>
      </c>
      <c r="AN81">
        <f>IF(AK81="","",AK81-2*AL81)</f>
        <v>0</v>
      </c>
      <c r="AO81">
        <f>IF(OR(AM81="",AN81="",AM81=AN81),"",($E81-AN81)/(AM81-AN81))</f>
        <v>0</v>
      </c>
      <c r="AP81">
        <f>IF(OR(AM81="",AK81="",AK81=0),"",(AM81-AN81)/AK81)</f>
        <v>0</v>
      </c>
      <c r="AQ81">
        <f>IF(COUNT($E$2:$E81)&lt;20,"",MAX($C$62:$C$81))</f>
        <v>0</v>
      </c>
      <c r="AR81">
        <f>IF(COUNT($E$2:$E81)&lt;20,"",MIN($D$62:$D$81))</f>
        <v>0</v>
      </c>
      <c r="AS81">
        <f>IF(OR(AQ81="",AR81=""),"",(AQ81+AR81)/2)</f>
        <v>0</v>
      </c>
      <c r="AT81">
        <f>IF(COUNT($G$62:$G$81)&lt;20,"",STDEV($G$62:$G$81)*SQRT(52))</f>
        <v>0</v>
      </c>
      <c r="AU81">
        <f>IF(COUNT($E$2:$E81)&lt;9,"",(MAX($C$73:$C$81)+MIN($D$73:$D$81))/2)</f>
        <v>0</v>
      </c>
      <c r="AV81">
        <f>IF(COUNT($E$2:$E81)&lt;26,"",(MAX($C$56:$C$81)+MIN($D$56:$D$81))/2)</f>
        <v>0</v>
      </c>
      <c r="AW81">
        <f>IF(OR(AU81="",AV81=""),"",(AU81+AV81)/2)</f>
        <v>0</v>
      </c>
      <c r="AX81">
        <f>IF(COUNT($E$2:$E81)&lt;52,"",(MAX($C$30:$C$81)+MIN($D$30:$D$81))/2)</f>
        <v>0</v>
      </c>
      <c r="AY81">
        <f>IF(COUNT($E$2:$E81)&lt;20,"",MAX($C$2:$C$81))</f>
        <v>0</v>
      </c>
      <c r="AZ81">
        <f>IF(COUNT($E$2:$E81)&lt;20,"",MIN($D$2:$D$81))</f>
        <v>0</v>
      </c>
      <c r="BA81">
        <f>IF(COUNT($E$2:$E81)&lt;20,"",SLOPE($E$2:$E$81,$F$2:$F$81))</f>
        <v>0</v>
      </c>
      <c r="BB81">
        <f>IF(COUNT($E$2:$E81)&lt;20,"",INTERCEPT($E$2:$E$81,$F$2:$F$81))</f>
        <v>0</v>
      </c>
      <c r="BC81">
        <f>IF(OR(BA81="",BB81=""),"",BB81+BA81*F81)</f>
        <v>0</v>
      </c>
      <c r="BD81">
        <f>IF(COUNT($E$2:$E81)&lt;20,"",STEYX($E$2:$E$81,$F$2:$F$81))</f>
        <v>0</v>
      </c>
      <c r="BE81">
        <f>IF($E81="","",IF(AND(COUNT($E$82:$E$85)&gt;=4,$C81=MAX($C$77:$C$85)),$C81,""))</f>
        <v>0</v>
      </c>
      <c r="BF81">
        <f>IF($E81="","",IF(AND(COUNT($E$82:$E$85)&gt;=4,$D81=MIN($D$77:$D$85)),$D81,""))</f>
        <v>0</v>
      </c>
      <c r="BG81">
        <f>IFERROR(SMALL(Calc_Daily!$BM$2:$BM$2001,80),"")</f>
        <v>0</v>
      </c>
    </row>
    <row r="82" spans="1:59">
      <c r="A82" s="27">
        <f>IF($BG82="","",INDEX(Calc_Daily!$A$2:$A$2001,$BG82))</f>
        <v>0</v>
      </c>
      <c r="B82">
        <f>IF($BG82="","",INDEX(Calc_Daily!$BJ$2:$BJ$2001,$BG82))</f>
        <v>0</v>
      </c>
      <c r="C82">
        <f>IF($BG82="","",INDEX(Calc_Daily!$BK$2:$BK$2001,$BG82))</f>
        <v>0</v>
      </c>
      <c r="D82">
        <f>IF($BG82="","",INDEX(Calc_Daily!$BL$2:$BL$2001,$BG82))</f>
        <v>0</v>
      </c>
      <c r="E82">
        <f>IF($BG82="","",INDEX(Calc_Daily!$E$2:$E$2001,$BG82))</f>
        <v>0</v>
      </c>
      <c r="F82">
        <f>IF($E82="","",N(F81)+1)</f>
        <v>0</v>
      </c>
      <c r="G82">
        <f>IF(OR($E82="",$E81=""),"",LN($E82/$E81))</f>
        <v>0</v>
      </c>
      <c r="H82">
        <f>IF($E82="","",IF($E81="",$E82,$E82*0.0952380952+H81*0.9047619048))</f>
        <v>0</v>
      </c>
      <c r="I82">
        <f>IF($E82="","",IF($E81="",$E82,$E82*0.0392156863+I81*0.9607843137))</f>
        <v>0</v>
      </c>
      <c r="J82">
        <f>IF($E82="","",IF($E81="",$E82,$E82*0.0198019802+J81*0.9801980198))</f>
        <v>0</v>
      </c>
      <c r="K82">
        <f>IF($E82="","",IF($E81="",$E82,$E82*0.0099502488+K81*0.9900497512))</f>
        <v>0</v>
      </c>
      <c r="L82">
        <f>IF(OR($E82="",$E81=""),"",MAX($E82-$E81,0))</f>
        <v>0</v>
      </c>
      <c r="M82">
        <f>IF(OR($E82="",$E81=""),"",MAX($E81-$E82,0))</f>
        <v>0</v>
      </c>
      <c r="N82">
        <f>IF(COUNT($E$2:$E82)&lt;15,"",IF(AVERAGE($M$69:$M$82)=0,100,100-100/(1+AVERAGE($L$69:$L$82)/AVERAGE($M$69:$M$82))))</f>
        <v>0</v>
      </c>
      <c r="O82">
        <f>IF($E82="","",IF($E81="",$E82,$E82*0.1538461538+O81*0.8461538462))</f>
        <v>0</v>
      </c>
      <c r="P82">
        <f>IF($E82="","",IF($E81="",$E82,$E82*0.0740740741+P81*0.9259259259))</f>
        <v>0</v>
      </c>
      <c r="Q82">
        <f>IF(OR(O82="",P82=""),"",O82-P82)</f>
        <v>0</v>
      </c>
      <c r="R82">
        <f>IF(Q82="","",IF(R81="",Q82,Q82*0.2000000000+R81*0.8000000000))</f>
        <v>0</v>
      </c>
      <c r="S82">
        <f>IF(OR(Q82="",R82=""),"",Q82-R82)</f>
        <v>0</v>
      </c>
      <c r="T82">
        <f>IF(COUNT($E$2:$E82)&lt;14,"",MAX($C$69:$C$82))</f>
        <v>0</v>
      </c>
      <c r="U82">
        <f>IF(COUNT($E$2:$E82)&lt;14,"",MIN($D$69:$D$82))</f>
        <v>0</v>
      </c>
      <c r="V82">
        <f>IF(OR(T82="",U82="",T82=U82),"",100*($E82-U82)/(T82-U82))</f>
        <v>0</v>
      </c>
      <c r="W82">
        <f>IF(COUNT($V$80:$V$82)&lt;3,"",AVERAGE($V$80:$V$82))</f>
        <v>0</v>
      </c>
      <c r="X82">
        <f>IF(COUNT($N$69:$N$82)&lt;14,"",MIN($N$69:$N$82))</f>
        <v>0</v>
      </c>
      <c r="Y82">
        <f>IF(COUNT($N$69:$N$82)&lt;14,"",MAX($N$69:$N$82))</f>
        <v>0</v>
      </c>
      <c r="Z82">
        <f>IF(OR(N82="",X82="",Y82="",Y82=X82),"",100*(N82-X82)/(Y82-X82))</f>
        <v>0</v>
      </c>
      <c r="AA82">
        <f>IF(COUNT($Z$80:$Z$82)&lt;3,"",AVERAGE($Z$80:$Z$82))</f>
        <v>0</v>
      </c>
      <c r="AB82">
        <f>IF(COUNT($AA$80:$AA$82)&lt;3,"",AVERAGE($AA$80:$AA$82))</f>
        <v>0</v>
      </c>
      <c r="AC82">
        <f>IF($E82="","",MAX($C82-$D82,ABS($C82-$E81),ABS($D82-$E81)))</f>
        <v>0</v>
      </c>
      <c r="AD82">
        <f>IF(COUNT($E$2:$E82)&lt;15,"",AVERAGE($AC$69:$AC$82))</f>
        <v>0</v>
      </c>
      <c r="AE82">
        <f>IF(OR($E82="",$E81=""),"",IF(AND(($C82-$C81)&gt;($D81-$D82),($C82-$C81)&gt;0),$C82-$C81,0))</f>
        <v>0</v>
      </c>
      <c r="AF82">
        <f>IF(OR($E82="",$E81=""),"",IF(AND(($D81-$D82)&gt;($C82-$C81),($D81-$D82)&gt;0),$D81-$D82,0))</f>
        <v>0</v>
      </c>
      <c r="AG82">
        <f>IF(COUNT($E$2:$E82)&lt;15,"",IF(SUM($AC$69:$AC$82)=0,0,100*SUM($AE$69:$AE$82)/SUM($AC$69:$AC$82)))</f>
        <v>0</v>
      </c>
      <c r="AH82">
        <f>IF(COUNT($E$2:$E82)&lt;15,"",IF(SUM($AC$69:$AC$82)=0,0,100*SUM($AF$69:$AF$82)/SUM($AC$69:$AC$82)))</f>
        <v>0</v>
      </c>
      <c r="AI82">
        <f>IF(OR(AG82="",AH82=""),"",IF((AG82+AH82)=0,0,100*ABS(AG82-AH82)/(AG82+AH82)))</f>
        <v>0</v>
      </c>
      <c r="AJ82">
        <f>IF(COUNT($AI$69:$AI$82)&lt;14,"",AVERAGE($AI$69:$AI$82))</f>
        <v>0</v>
      </c>
      <c r="AK82">
        <f>IF(COUNT($E$2:$E82)&lt;20,"",AVERAGE($E$63:$E$82))</f>
        <v>0</v>
      </c>
      <c r="AL82">
        <f>IF(COUNT($E$2:$E82)&lt;20,"",STDEVP($E$63:$E$82))</f>
        <v>0</v>
      </c>
      <c r="AM82">
        <f>IF(AK82="","",AK82+2*AL82)</f>
        <v>0</v>
      </c>
      <c r="AN82">
        <f>IF(AK82="","",AK82-2*AL82)</f>
        <v>0</v>
      </c>
      <c r="AO82">
        <f>IF(OR(AM82="",AN82="",AM82=AN82),"",($E82-AN82)/(AM82-AN82))</f>
        <v>0</v>
      </c>
      <c r="AP82">
        <f>IF(OR(AM82="",AK82="",AK82=0),"",(AM82-AN82)/AK82)</f>
        <v>0</v>
      </c>
      <c r="AQ82">
        <f>IF(COUNT($E$2:$E82)&lt;20,"",MAX($C$63:$C$82))</f>
        <v>0</v>
      </c>
      <c r="AR82">
        <f>IF(COUNT($E$2:$E82)&lt;20,"",MIN($D$63:$D$82))</f>
        <v>0</v>
      </c>
      <c r="AS82">
        <f>IF(OR(AQ82="",AR82=""),"",(AQ82+AR82)/2)</f>
        <v>0</v>
      </c>
      <c r="AT82">
        <f>IF(COUNT($G$63:$G$82)&lt;20,"",STDEV($G$63:$G$82)*SQRT(52))</f>
        <v>0</v>
      </c>
      <c r="AU82">
        <f>IF(COUNT($E$2:$E82)&lt;9,"",(MAX($C$74:$C$82)+MIN($D$74:$D$82))/2)</f>
        <v>0</v>
      </c>
      <c r="AV82">
        <f>IF(COUNT($E$2:$E82)&lt;26,"",(MAX($C$57:$C$82)+MIN($D$57:$D$82))/2)</f>
        <v>0</v>
      </c>
      <c r="AW82">
        <f>IF(OR(AU82="",AV82=""),"",(AU82+AV82)/2)</f>
        <v>0</v>
      </c>
      <c r="AX82">
        <f>IF(COUNT($E$2:$E82)&lt;52,"",(MAX($C$31:$C$82)+MIN($D$31:$D$82))/2)</f>
        <v>0</v>
      </c>
      <c r="AY82">
        <f>IF(COUNT($E$2:$E82)&lt;20,"",MAX($C$2:$C$82))</f>
        <v>0</v>
      </c>
      <c r="AZ82">
        <f>IF(COUNT($E$2:$E82)&lt;20,"",MIN($D$2:$D$82))</f>
        <v>0</v>
      </c>
      <c r="BA82">
        <f>IF(COUNT($E$2:$E82)&lt;20,"",SLOPE($E$2:$E$82,$F$2:$F$82))</f>
        <v>0</v>
      </c>
      <c r="BB82">
        <f>IF(COUNT($E$2:$E82)&lt;20,"",INTERCEPT($E$2:$E$82,$F$2:$F$82))</f>
        <v>0</v>
      </c>
      <c r="BC82">
        <f>IF(OR(BA82="",BB82=""),"",BB82+BA82*F82)</f>
        <v>0</v>
      </c>
      <c r="BD82">
        <f>IF(COUNT($E$2:$E82)&lt;20,"",STEYX($E$2:$E$82,$F$2:$F$82))</f>
        <v>0</v>
      </c>
      <c r="BE82">
        <f>IF($E82="","",IF(AND(COUNT($E$83:$E$86)&gt;=4,$C82=MAX($C$78:$C$86)),$C82,""))</f>
        <v>0</v>
      </c>
      <c r="BF82">
        <f>IF($E82="","",IF(AND(COUNT($E$83:$E$86)&gt;=4,$D82=MIN($D$78:$D$86)),$D82,""))</f>
        <v>0</v>
      </c>
      <c r="BG82">
        <f>IFERROR(SMALL(Calc_Daily!$BM$2:$BM$2001,81),"")</f>
        <v>0</v>
      </c>
    </row>
    <row r="83" spans="1:59">
      <c r="A83" s="27">
        <f>IF($BG83="","",INDEX(Calc_Daily!$A$2:$A$2001,$BG83))</f>
        <v>0</v>
      </c>
      <c r="B83">
        <f>IF($BG83="","",INDEX(Calc_Daily!$BJ$2:$BJ$2001,$BG83))</f>
        <v>0</v>
      </c>
      <c r="C83">
        <f>IF($BG83="","",INDEX(Calc_Daily!$BK$2:$BK$2001,$BG83))</f>
        <v>0</v>
      </c>
      <c r="D83">
        <f>IF($BG83="","",INDEX(Calc_Daily!$BL$2:$BL$2001,$BG83))</f>
        <v>0</v>
      </c>
      <c r="E83">
        <f>IF($BG83="","",INDEX(Calc_Daily!$E$2:$E$2001,$BG83))</f>
        <v>0</v>
      </c>
      <c r="F83">
        <f>IF($E83="","",N(F82)+1)</f>
        <v>0</v>
      </c>
      <c r="G83">
        <f>IF(OR($E83="",$E82=""),"",LN($E83/$E82))</f>
        <v>0</v>
      </c>
      <c r="H83">
        <f>IF($E83="","",IF($E82="",$E83,$E83*0.0952380952+H82*0.9047619048))</f>
        <v>0</v>
      </c>
      <c r="I83">
        <f>IF($E83="","",IF($E82="",$E83,$E83*0.0392156863+I82*0.9607843137))</f>
        <v>0</v>
      </c>
      <c r="J83">
        <f>IF($E83="","",IF($E82="",$E83,$E83*0.0198019802+J82*0.9801980198))</f>
        <v>0</v>
      </c>
      <c r="K83">
        <f>IF($E83="","",IF($E82="",$E83,$E83*0.0099502488+K82*0.9900497512))</f>
        <v>0</v>
      </c>
      <c r="L83">
        <f>IF(OR($E83="",$E82=""),"",MAX($E83-$E82,0))</f>
        <v>0</v>
      </c>
      <c r="M83">
        <f>IF(OR($E83="",$E82=""),"",MAX($E82-$E83,0))</f>
        <v>0</v>
      </c>
      <c r="N83">
        <f>IF(COUNT($E$2:$E83)&lt;15,"",IF(AVERAGE($M$70:$M$83)=0,100,100-100/(1+AVERAGE($L$70:$L$83)/AVERAGE($M$70:$M$83))))</f>
        <v>0</v>
      </c>
      <c r="O83">
        <f>IF($E83="","",IF($E82="",$E83,$E83*0.1538461538+O82*0.8461538462))</f>
        <v>0</v>
      </c>
      <c r="P83">
        <f>IF($E83="","",IF($E82="",$E83,$E83*0.0740740741+P82*0.9259259259))</f>
        <v>0</v>
      </c>
      <c r="Q83">
        <f>IF(OR(O83="",P83=""),"",O83-P83)</f>
        <v>0</v>
      </c>
      <c r="R83">
        <f>IF(Q83="","",IF(R82="",Q83,Q83*0.2000000000+R82*0.8000000000))</f>
        <v>0</v>
      </c>
      <c r="S83">
        <f>IF(OR(Q83="",R83=""),"",Q83-R83)</f>
        <v>0</v>
      </c>
      <c r="T83">
        <f>IF(COUNT($E$2:$E83)&lt;14,"",MAX($C$70:$C$83))</f>
        <v>0</v>
      </c>
      <c r="U83">
        <f>IF(COUNT($E$2:$E83)&lt;14,"",MIN($D$70:$D$83))</f>
        <v>0</v>
      </c>
      <c r="V83">
        <f>IF(OR(T83="",U83="",T83=U83),"",100*($E83-U83)/(T83-U83))</f>
        <v>0</v>
      </c>
      <c r="W83">
        <f>IF(COUNT($V$81:$V$83)&lt;3,"",AVERAGE($V$81:$V$83))</f>
        <v>0</v>
      </c>
      <c r="X83">
        <f>IF(COUNT($N$70:$N$83)&lt;14,"",MIN($N$70:$N$83))</f>
        <v>0</v>
      </c>
      <c r="Y83">
        <f>IF(COUNT($N$70:$N$83)&lt;14,"",MAX($N$70:$N$83))</f>
        <v>0</v>
      </c>
      <c r="Z83">
        <f>IF(OR(N83="",X83="",Y83="",Y83=X83),"",100*(N83-X83)/(Y83-X83))</f>
        <v>0</v>
      </c>
      <c r="AA83">
        <f>IF(COUNT($Z$81:$Z$83)&lt;3,"",AVERAGE($Z$81:$Z$83))</f>
        <v>0</v>
      </c>
      <c r="AB83">
        <f>IF(COUNT($AA$81:$AA$83)&lt;3,"",AVERAGE($AA$81:$AA$83))</f>
        <v>0</v>
      </c>
      <c r="AC83">
        <f>IF($E83="","",MAX($C83-$D83,ABS($C83-$E82),ABS($D83-$E82)))</f>
        <v>0</v>
      </c>
      <c r="AD83">
        <f>IF(COUNT($E$2:$E83)&lt;15,"",AVERAGE($AC$70:$AC$83))</f>
        <v>0</v>
      </c>
      <c r="AE83">
        <f>IF(OR($E83="",$E82=""),"",IF(AND(($C83-$C82)&gt;($D82-$D83),($C83-$C82)&gt;0),$C83-$C82,0))</f>
        <v>0</v>
      </c>
      <c r="AF83">
        <f>IF(OR($E83="",$E82=""),"",IF(AND(($D82-$D83)&gt;($C83-$C82),($D82-$D83)&gt;0),$D82-$D83,0))</f>
        <v>0</v>
      </c>
      <c r="AG83">
        <f>IF(COUNT($E$2:$E83)&lt;15,"",IF(SUM($AC$70:$AC$83)=0,0,100*SUM($AE$70:$AE$83)/SUM($AC$70:$AC$83)))</f>
        <v>0</v>
      </c>
      <c r="AH83">
        <f>IF(COUNT($E$2:$E83)&lt;15,"",IF(SUM($AC$70:$AC$83)=0,0,100*SUM($AF$70:$AF$83)/SUM($AC$70:$AC$83)))</f>
        <v>0</v>
      </c>
      <c r="AI83">
        <f>IF(OR(AG83="",AH83=""),"",IF((AG83+AH83)=0,0,100*ABS(AG83-AH83)/(AG83+AH83)))</f>
        <v>0</v>
      </c>
      <c r="AJ83">
        <f>IF(COUNT($AI$70:$AI$83)&lt;14,"",AVERAGE($AI$70:$AI$83))</f>
        <v>0</v>
      </c>
      <c r="AK83">
        <f>IF(COUNT($E$2:$E83)&lt;20,"",AVERAGE($E$64:$E$83))</f>
        <v>0</v>
      </c>
      <c r="AL83">
        <f>IF(COUNT($E$2:$E83)&lt;20,"",STDEVP($E$64:$E$83))</f>
        <v>0</v>
      </c>
      <c r="AM83">
        <f>IF(AK83="","",AK83+2*AL83)</f>
        <v>0</v>
      </c>
      <c r="AN83">
        <f>IF(AK83="","",AK83-2*AL83)</f>
        <v>0</v>
      </c>
      <c r="AO83">
        <f>IF(OR(AM83="",AN83="",AM83=AN83),"",($E83-AN83)/(AM83-AN83))</f>
        <v>0</v>
      </c>
      <c r="AP83">
        <f>IF(OR(AM83="",AK83="",AK83=0),"",(AM83-AN83)/AK83)</f>
        <v>0</v>
      </c>
      <c r="AQ83">
        <f>IF(COUNT($E$2:$E83)&lt;20,"",MAX($C$64:$C$83))</f>
        <v>0</v>
      </c>
      <c r="AR83">
        <f>IF(COUNT($E$2:$E83)&lt;20,"",MIN($D$64:$D$83))</f>
        <v>0</v>
      </c>
      <c r="AS83">
        <f>IF(OR(AQ83="",AR83=""),"",(AQ83+AR83)/2)</f>
        <v>0</v>
      </c>
      <c r="AT83">
        <f>IF(COUNT($G$64:$G$83)&lt;20,"",STDEV($G$64:$G$83)*SQRT(52))</f>
        <v>0</v>
      </c>
      <c r="AU83">
        <f>IF(COUNT($E$2:$E83)&lt;9,"",(MAX($C$75:$C$83)+MIN($D$75:$D$83))/2)</f>
        <v>0</v>
      </c>
      <c r="AV83">
        <f>IF(COUNT($E$2:$E83)&lt;26,"",(MAX($C$58:$C$83)+MIN($D$58:$D$83))/2)</f>
        <v>0</v>
      </c>
      <c r="AW83">
        <f>IF(OR(AU83="",AV83=""),"",(AU83+AV83)/2)</f>
        <v>0</v>
      </c>
      <c r="AX83">
        <f>IF(COUNT($E$2:$E83)&lt;52,"",(MAX($C$32:$C$83)+MIN($D$32:$D$83))/2)</f>
        <v>0</v>
      </c>
      <c r="AY83">
        <f>IF(COUNT($E$2:$E83)&lt;20,"",MAX($C$2:$C$83))</f>
        <v>0</v>
      </c>
      <c r="AZ83">
        <f>IF(COUNT($E$2:$E83)&lt;20,"",MIN($D$2:$D$83))</f>
        <v>0</v>
      </c>
      <c r="BA83">
        <f>IF(COUNT($E$2:$E83)&lt;20,"",SLOPE($E$2:$E$83,$F$2:$F$83))</f>
        <v>0</v>
      </c>
      <c r="BB83">
        <f>IF(COUNT($E$2:$E83)&lt;20,"",INTERCEPT($E$2:$E$83,$F$2:$F$83))</f>
        <v>0</v>
      </c>
      <c r="BC83">
        <f>IF(OR(BA83="",BB83=""),"",BB83+BA83*F83)</f>
        <v>0</v>
      </c>
      <c r="BD83">
        <f>IF(COUNT($E$2:$E83)&lt;20,"",STEYX($E$2:$E$83,$F$2:$F$83))</f>
        <v>0</v>
      </c>
      <c r="BE83">
        <f>IF($E83="","",IF(AND(COUNT($E$84:$E$87)&gt;=4,$C83=MAX($C$79:$C$87)),$C83,""))</f>
        <v>0</v>
      </c>
      <c r="BF83">
        <f>IF($E83="","",IF(AND(COUNT($E$84:$E$87)&gt;=4,$D83=MIN($D$79:$D$87)),$D83,""))</f>
        <v>0</v>
      </c>
      <c r="BG83">
        <f>IFERROR(SMALL(Calc_Daily!$BM$2:$BM$2001,82),"")</f>
        <v>0</v>
      </c>
    </row>
    <row r="84" spans="1:59">
      <c r="A84" s="27">
        <f>IF($BG84="","",INDEX(Calc_Daily!$A$2:$A$2001,$BG84))</f>
        <v>0</v>
      </c>
      <c r="B84">
        <f>IF($BG84="","",INDEX(Calc_Daily!$BJ$2:$BJ$2001,$BG84))</f>
        <v>0</v>
      </c>
      <c r="C84">
        <f>IF($BG84="","",INDEX(Calc_Daily!$BK$2:$BK$2001,$BG84))</f>
        <v>0</v>
      </c>
      <c r="D84">
        <f>IF($BG84="","",INDEX(Calc_Daily!$BL$2:$BL$2001,$BG84))</f>
        <v>0</v>
      </c>
      <c r="E84">
        <f>IF($BG84="","",INDEX(Calc_Daily!$E$2:$E$2001,$BG84))</f>
        <v>0</v>
      </c>
      <c r="F84">
        <f>IF($E84="","",N(F83)+1)</f>
        <v>0</v>
      </c>
      <c r="G84">
        <f>IF(OR($E84="",$E83=""),"",LN($E84/$E83))</f>
        <v>0</v>
      </c>
      <c r="H84">
        <f>IF($E84="","",IF($E83="",$E84,$E84*0.0952380952+H83*0.9047619048))</f>
        <v>0</v>
      </c>
      <c r="I84">
        <f>IF($E84="","",IF($E83="",$E84,$E84*0.0392156863+I83*0.9607843137))</f>
        <v>0</v>
      </c>
      <c r="J84">
        <f>IF($E84="","",IF($E83="",$E84,$E84*0.0198019802+J83*0.9801980198))</f>
        <v>0</v>
      </c>
      <c r="K84">
        <f>IF($E84="","",IF($E83="",$E84,$E84*0.0099502488+K83*0.9900497512))</f>
        <v>0</v>
      </c>
      <c r="L84">
        <f>IF(OR($E84="",$E83=""),"",MAX($E84-$E83,0))</f>
        <v>0</v>
      </c>
      <c r="M84">
        <f>IF(OR($E84="",$E83=""),"",MAX($E83-$E84,0))</f>
        <v>0</v>
      </c>
      <c r="N84">
        <f>IF(COUNT($E$2:$E84)&lt;15,"",IF(AVERAGE($M$71:$M$84)=0,100,100-100/(1+AVERAGE($L$71:$L$84)/AVERAGE($M$71:$M$84))))</f>
        <v>0</v>
      </c>
      <c r="O84">
        <f>IF($E84="","",IF($E83="",$E84,$E84*0.1538461538+O83*0.8461538462))</f>
        <v>0</v>
      </c>
      <c r="P84">
        <f>IF($E84="","",IF($E83="",$E84,$E84*0.0740740741+P83*0.9259259259))</f>
        <v>0</v>
      </c>
      <c r="Q84">
        <f>IF(OR(O84="",P84=""),"",O84-P84)</f>
        <v>0</v>
      </c>
      <c r="R84">
        <f>IF(Q84="","",IF(R83="",Q84,Q84*0.2000000000+R83*0.8000000000))</f>
        <v>0</v>
      </c>
      <c r="S84">
        <f>IF(OR(Q84="",R84=""),"",Q84-R84)</f>
        <v>0</v>
      </c>
      <c r="T84">
        <f>IF(COUNT($E$2:$E84)&lt;14,"",MAX($C$71:$C$84))</f>
        <v>0</v>
      </c>
      <c r="U84">
        <f>IF(COUNT($E$2:$E84)&lt;14,"",MIN($D$71:$D$84))</f>
        <v>0</v>
      </c>
      <c r="V84">
        <f>IF(OR(T84="",U84="",T84=U84),"",100*($E84-U84)/(T84-U84))</f>
        <v>0</v>
      </c>
      <c r="W84">
        <f>IF(COUNT($V$82:$V$84)&lt;3,"",AVERAGE($V$82:$V$84))</f>
        <v>0</v>
      </c>
      <c r="X84">
        <f>IF(COUNT($N$71:$N$84)&lt;14,"",MIN($N$71:$N$84))</f>
        <v>0</v>
      </c>
      <c r="Y84">
        <f>IF(COUNT($N$71:$N$84)&lt;14,"",MAX($N$71:$N$84))</f>
        <v>0</v>
      </c>
      <c r="Z84">
        <f>IF(OR(N84="",X84="",Y84="",Y84=X84),"",100*(N84-X84)/(Y84-X84))</f>
        <v>0</v>
      </c>
      <c r="AA84">
        <f>IF(COUNT($Z$82:$Z$84)&lt;3,"",AVERAGE($Z$82:$Z$84))</f>
        <v>0</v>
      </c>
      <c r="AB84">
        <f>IF(COUNT($AA$82:$AA$84)&lt;3,"",AVERAGE($AA$82:$AA$84))</f>
        <v>0</v>
      </c>
      <c r="AC84">
        <f>IF($E84="","",MAX($C84-$D84,ABS($C84-$E83),ABS($D84-$E83)))</f>
        <v>0</v>
      </c>
      <c r="AD84">
        <f>IF(COUNT($E$2:$E84)&lt;15,"",AVERAGE($AC$71:$AC$84))</f>
        <v>0</v>
      </c>
      <c r="AE84">
        <f>IF(OR($E84="",$E83=""),"",IF(AND(($C84-$C83)&gt;($D83-$D84),($C84-$C83)&gt;0),$C84-$C83,0))</f>
        <v>0</v>
      </c>
      <c r="AF84">
        <f>IF(OR($E84="",$E83=""),"",IF(AND(($D83-$D84)&gt;($C84-$C83),($D83-$D84)&gt;0),$D83-$D84,0))</f>
        <v>0</v>
      </c>
      <c r="AG84">
        <f>IF(COUNT($E$2:$E84)&lt;15,"",IF(SUM($AC$71:$AC$84)=0,0,100*SUM($AE$71:$AE$84)/SUM($AC$71:$AC$84)))</f>
        <v>0</v>
      </c>
      <c r="AH84">
        <f>IF(COUNT($E$2:$E84)&lt;15,"",IF(SUM($AC$71:$AC$84)=0,0,100*SUM($AF$71:$AF$84)/SUM($AC$71:$AC$84)))</f>
        <v>0</v>
      </c>
      <c r="AI84">
        <f>IF(OR(AG84="",AH84=""),"",IF((AG84+AH84)=0,0,100*ABS(AG84-AH84)/(AG84+AH84)))</f>
        <v>0</v>
      </c>
      <c r="AJ84">
        <f>IF(COUNT($AI$71:$AI$84)&lt;14,"",AVERAGE($AI$71:$AI$84))</f>
        <v>0</v>
      </c>
      <c r="AK84">
        <f>IF(COUNT($E$2:$E84)&lt;20,"",AVERAGE($E$65:$E$84))</f>
        <v>0</v>
      </c>
      <c r="AL84">
        <f>IF(COUNT($E$2:$E84)&lt;20,"",STDEVP($E$65:$E$84))</f>
        <v>0</v>
      </c>
      <c r="AM84">
        <f>IF(AK84="","",AK84+2*AL84)</f>
        <v>0</v>
      </c>
      <c r="AN84">
        <f>IF(AK84="","",AK84-2*AL84)</f>
        <v>0</v>
      </c>
      <c r="AO84">
        <f>IF(OR(AM84="",AN84="",AM84=AN84),"",($E84-AN84)/(AM84-AN84))</f>
        <v>0</v>
      </c>
      <c r="AP84">
        <f>IF(OR(AM84="",AK84="",AK84=0),"",(AM84-AN84)/AK84)</f>
        <v>0</v>
      </c>
      <c r="AQ84">
        <f>IF(COUNT($E$2:$E84)&lt;20,"",MAX($C$65:$C$84))</f>
        <v>0</v>
      </c>
      <c r="AR84">
        <f>IF(COUNT($E$2:$E84)&lt;20,"",MIN($D$65:$D$84))</f>
        <v>0</v>
      </c>
      <c r="AS84">
        <f>IF(OR(AQ84="",AR84=""),"",(AQ84+AR84)/2)</f>
        <v>0</v>
      </c>
      <c r="AT84">
        <f>IF(COUNT($G$65:$G$84)&lt;20,"",STDEV($G$65:$G$84)*SQRT(52))</f>
        <v>0</v>
      </c>
      <c r="AU84">
        <f>IF(COUNT($E$2:$E84)&lt;9,"",(MAX($C$76:$C$84)+MIN($D$76:$D$84))/2)</f>
        <v>0</v>
      </c>
      <c r="AV84">
        <f>IF(COUNT($E$2:$E84)&lt;26,"",(MAX($C$59:$C$84)+MIN($D$59:$D$84))/2)</f>
        <v>0</v>
      </c>
      <c r="AW84">
        <f>IF(OR(AU84="",AV84=""),"",(AU84+AV84)/2)</f>
        <v>0</v>
      </c>
      <c r="AX84">
        <f>IF(COUNT($E$2:$E84)&lt;52,"",(MAX($C$33:$C$84)+MIN($D$33:$D$84))/2)</f>
        <v>0</v>
      </c>
      <c r="AY84">
        <f>IF(COUNT($E$2:$E84)&lt;20,"",MAX($C$2:$C$84))</f>
        <v>0</v>
      </c>
      <c r="AZ84">
        <f>IF(COUNT($E$2:$E84)&lt;20,"",MIN($D$2:$D$84))</f>
        <v>0</v>
      </c>
      <c r="BA84">
        <f>IF(COUNT($E$2:$E84)&lt;20,"",SLOPE($E$2:$E$84,$F$2:$F$84))</f>
        <v>0</v>
      </c>
      <c r="BB84">
        <f>IF(COUNT($E$2:$E84)&lt;20,"",INTERCEPT($E$2:$E$84,$F$2:$F$84))</f>
        <v>0</v>
      </c>
      <c r="BC84">
        <f>IF(OR(BA84="",BB84=""),"",BB84+BA84*F84)</f>
        <v>0</v>
      </c>
      <c r="BD84">
        <f>IF(COUNT($E$2:$E84)&lt;20,"",STEYX($E$2:$E$84,$F$2:$F$84))</f>
        <v>0</v>
      </c>
      <c r="BE84">
        <f>IF($E84="","",IF(AND(COUNT($E$85:$E$88)&gt;=4,$C84=MAX($C$80:$C$88)),$C84,""))</f>
        <v>0</v>
      </c>
      <c r="BF84">
        <f>IF($E84="","",IF(AND(COUNT($E$85:$E$88)&gt;=4,$D84=MIN($D$80:$D$88)),$D84,""))</f>
        <v>0</v>
      </c>
      <c r="BG84">
        <f>IFERROR(SMALL(Calc_Daily!$BM$2:$BM$2001,83),"")</f>
        <v>0</v>
      </c>
    </row>
    <row r="85" spans="1:59">
      <c r="A85" s="27">
        <f>IF($BG85="","",INDEX(Calc_Daily!$A$2:$A$2001,$BG85))</f>
        <v>0</v>
      </c>
      <c r="B85">
        <f>IF($BG85="","",INDEX(Calc_Daily!$BJ$2:$BJ$2001,$BG85))</f>
        <v>0</v>
      </c>
      <c r="C85">
        <f>IF($BG85="","",INDEX(Calc_Daily!$BK$2:$BK$2001,$BG85))</f>
        <v>0</v>
      </c>
      <c r="D85">
        <f>IF($BG85="","",INDEX(Calc_Daily!$BL$2:$BL$2001,$BG85))</f>
        <v>0</v>
      </c>
      <c r="E85">
        <f>IF($BG85="","",INDEX(Calc_Daily!$E$2:$E$2001,$BG85))</f>
        <v>0</v>
      </c>
      <c r="F85">
        <f>IF($E85="","",N(F84)+1)</f>
        <v>0</v>
      </c>
      <c r="G85">
        <f>IF(OR($E85="",$E84=""),"",LN($E85/$E84))</f>
        <v>0</v>
      </c>
      <c r="H85">
        <f>IF($E85="","",IF($E84="",$E85,$E85*0.0952380952+H84*0.9047619048))</f>
        <v>0</v>
      </c>
      <c r="I85">
        <f>IF($E85="","",IF($E84="",$E85,$E85*0.0392156863+I84*0.9607843137))</f>
        <v>0</v>
      </c>
      <c r="J85">
        <f>IF($E85="","",IF($E84="",$E85,$E85*0.0198019802+J84*0.9801980198))</f>
        <v>0</v>
      </c>
      <c r="K85">
        <f>IF($E85="","",IF($E84="",$E85,$E85*0.0099502488+K84*0.9900497512))</f>
        <v>0</v>
      </c>
      <c r="L85">
        <f>IF(OR($E85="",$E84=""),"",MAX($E85-$E84,0))</f>
        <v>0</v>
      </c>
      <c r="M85">
        <f>IF(OR($E85="",$E84=""),"",MAX($E84-$E85,0))</f>
        <v>0</v>
      </c>
      <c r="N85">
        <f>IF(COUNT($E$2:$E85)&lt;15,"",IF(AVERAGE($M$72:$M$85)=0,100,100-100/(1+AVERAGE($L$72:$L$85)/AVERAGE($M$72:$M$85))))</f>
        <v>0</v>
      </c>
      <c r="O85">
        <f>IF($E85="","",IF($E84="",$E85,$E85*0.1538461538+O84*0.8461538462))</f>
        <v>0</v>
      </c>
      <c r="P85">
        <f>IF($E85="","",IF($E84="",$E85,$E85*0.0740740741+P84*0.9259259259))</f>
        <v>0</v>
      </c>
      <c r="Q85">
        <f>IF(OR(O85="",P85=""),"",O85-P85)</f>
        <v>0</v>
      </c>
      <c r="R85">
        <f>IF(Q85="","",IF(R84="",Q85,Q85*0.2000000000+R84*0.8000000000))</f>
        <v>0</v>
      </c>
      <c r="S85">
        <f>IF(OR(Q85="",R85=""),"",Q85-R85)</f>
        <v>0</v>
      </c>
      <c r="T85">
        <f>IF(COUNT($E$2:$E85)&lt;14,"",MAX($C$72:$C$85))</f>
        <v>0</v>
      </c>
      <c r="U85">
        <f>IF(COUNT($E$2:$E85)&lt;14,"",MIN($D$72:$D$85))</f>
        <v>0</v>
      </c>
      <c r="V85">
        <f>IF(OR(T85="",U85="",T85=U85),"",100*($E85-U85)/(T85-U85))</f>
        <v>0</v>
      </c>
      <c r="W85">
        <f>IF(COUNT($V$83:$V$85)&lt;3,"",AVERAGE($V$83:$V$85))</f>
        <v>0</v>
      </c>
      <c r="X85">
        <f>IF(COUNT($N$72:$N$85)&lt;14,"",MIN($N$72:$N$85))</f>
        <v>0</v>
      </c>
      <c r="Y85">
        <f>IF(COUNT($N$72:$N$85)&lt;14,"",MAX($N$72:$N$85))</f>
        <v>0</v>
      </c>
      <c r="Z85">
        <f>IF(OR(N85="",X85="",Y85="",Y85=X85),"",100*(N85-X85)/(Y85-X85))</f>
        <v>0</v>
      </c>
      <c r="AA85">
        <f>IF(COUNT($Z$83:$Z$85)&lt;3,"",AVERAGE($Z$83:$Z$85))</f>
        <v>0</v>
      </c>
      <c r="AB85">
        <f>IF(COUNT($AA$83:$AA$85)&lt;3,"",AVERAGE($AA$83:$AA$85))</f>
        <v>0</v>
      </c>
      <c r="AC85">
        <f>IF($E85="","",MAX($C85-$D85,ABS($C85-$E84),ABS($D85-$E84)))</f>
        <v>0</v>
      </c>
      <c r="AD85">
        <f>IF(COUNT($E$2:$E85)&lt;15,"",AVERAGE($AC$72:$AC$85))</f>
        <v>0</v>
      </c>
      <c r="AE85">
        <f>IF(OR($E85="",$E84=""),"",IF(AND(($C85-$C84)&gt;($D84-$D85),($C85-$C84)&gt;0),$C85-$C84,0))</f>
        <v>0</v>
      </c>
      <c r="AF85">
        <f>IF(OR($E85="",$E84=""),"",IF(AND(($D84-$D85)&gt;($C85-$C84),($D84-$D85)&gt;0),$D84-$D85,0))</f>
        <v>0</v>
      </c>
      <c r="AG85">
        <f>IF(COUNT($E$2:$E85)&lt;15,"",IF(SUM($AC$72:$AC$85)=0,0,100*SUM($AE$72:$AE$85)/SUM($AC$72:$AC$85)))</f>
        <v>0</v>
      </c>
      <c r="AH85">
        <f>IF(COUNT($E$2:$E85)&lt;15,"",IF(SUM($AC$72:$AC$85)=0,0,100*SUM($AF$72:$AF$85)/SUM($AC$72:$AC$85)))</f>
        <v>0</v>
      </c>
      <c r="AI85">
        <f>IF(OR(AG85="",AH85=""),"",IF((AG85+AH85)=0,0,100*ABS(AG85-AH85)/(AG85+AH85)))</f>
        <v>0</v>
      </c>
      <c r="AJ85">
        <f>IF(COUNT($AI$72:$AI$85)&lt;14,"",AVERAGE($AI$72:$AI$85))</f>
        <v>0</v>
      </c>
      <c r="AK85">
        <f>IF(COUNT($E$2:$E85)&lt;20,"",AVERAGE($E$66:$E$85))</f>
        <v>0</v>
      </c>
      <c r="AL85">
        <f>IF(COUNT($E$2:$E85)&lt;20,"",STDEVP($E$66:$E$85))</f>
        <v>0</v>
      </c>
      <c r="AM85">
        <f>IF(AK85="","",AK85+2*AL85)</f>
        <v>0</v>
      </c>
      <c r="AN85">
        <f>IF(AK85="","",AK85-2*AL85)</f>
        <v>0</v>
      </c>
      <c r="AO85">
        <f>IF(OR(AM85="",AN85="",AM85=AN85),"",($E85-AN85)/(AM85-AN85))</f>
        <v>0</v>
      </c>
      <c r="AP85">
        <f>IF(OR(AM85="",AK85="",AK85=0),"",(AM85-AN85)/AK85)</f>
        <v>0</v>
      </c>
      <c r="AQ85">
        <f>IF(COUNT($E$2:$E85)&lt;20,"",MAX($C$66:$C$85))</f>
        <v>0</v>
      </c>
      <c r="AR85">
        <f>IF(COUNT($E$2:$E85)&lt;20,"",MIN($D$66:$D$85))</f>
        <v>0</v>
      </c>
      <c r="AS85">
        <f>IF(OR(AQ85="",AR85=""),"",(AQ85+AR85)/2)</f>
        <v>0</v>
      </c>
      <c r="AT85">
        <f>IF(COUNT($G$66:$G$85)&lt;20,"",STDEV($G$66:$G$85)*SQRT(52))</f>
        <v>0</v>
      </c>
      <c r="AU85">
        <f>IF(COUNT($E$2:$E85)&lt;9,"",(MAX($C$77:$C$85)+MIN($D$77:$D$85))/2)</f>
        <v>0</v>
      </c>
      <c r="AV85">
        <f>IF(COUNT($E$2:$E85)&lt;26,"",(MAX($C$60:$C$85)+MIN($D$60:$D$85))/2)</f>
        <v>0</v>
      </c>
      <c r="AW85">
        <f>IF(OR(AU85="",AV85=""),"",(AU85+AV85)/2)</f>
        <v>0</v>
      </c>
      <c r="AX85">
        <f>IF(COUNT($E$2:$E85)&lt;52,"",(MAX($C$34:$C$85)+MIN($D$34:$D$85))/2)</f>
        <v>0</v>
      </c>
      <c r="AY85">
        <f>IF(COUNT($E$2:$E85)&lt;20,"",MAX($C$2:$C$85))</f>
        <v>0</v>
      </c>
      <c r="AZ85">
        <f>IF(COUNT($E$2:$E85)&lt;20,"",MIN($D$2:$D$85))</f>
        <v>0</v>
      </c>
      <c r="BA85">
        <f>IF(COUNT($E$2:$E85)&lt;20,"",SLOPE($E$2:$E$85,$F$2:$F$85))</f>
        <v>0</v>
      </c>
      <c r="BB85">
        <f>IF(COUNT($E$2:$E85)&lt;20,"",INTERCEPT($E$2:$E$85,$F$2:$F$85))</f>
        <v>0</v>
      </c>
      <c r="BC85">
        <f>IF(OR(BA85="",BB85=""),"",BB85+BA85*F85)</f>
        <v>0</v>
      </c>
      <c r="BD85">
        <f>IF(COUNT($E$2:$E85)&lt;20,"",STEYX($E$2:$E$85,$F$2:$F$85))</f>
        <v>0</v>
      </c>
      <c r="BE85">
        <f>IF($E85="","",IF(AND(COUNT($E$86:$E$89)&gt;=4,$C85=MAX($C$81:$C$89)),$C85,""))</f>
        <v>0</v>
      </c>
      <c r="BF85">
        <f>IF($E85="","",IF(AND(COUNT($E$86:$E$89)&gt;=4,$D85=MIN($D$81:$D$89)),$D85,""))</f>
        <v>0</v>
      </c>
      <c r="BG85">
        <f>IFERROR(SMALL(Calc_Daily!$BM$2:$BM$2001,84),"")</f>
        <v>0</v>
      </c>
    </row>
    <row r="86" spans="1:59">
      <c r="A86" s="27">
        <f>IF($BG86="","",INDEX(Calc_Daily!$A$2:$A$2001,$BG86))</f>
        <v>0</v>
      </c>
      <c r="B86">
        <f>IF($BG86="","",INDEX(Calc_Daily!$BJ$2:$BJ$2001,$BG86))</f>
        <v>0</v>
      </c>
      <c r="C86">
        <f>IF($BG86="","",INDEX(Calc_Daily!$BK$2:$BK$2001,$BG86))</f>
        <v>0</v>
      </c>
      <c r="D86">
        <f>IF($BG86="","",INDEX(Calc_Daily!$BL$2:$BL$2001,$BG86))</f>
        <v>0</v>
      </c>
      <c r="E86">
        <f>IF($BG86="","",INDEX(Calc_Daily!$E$2:$E$2001,$BG86))</f>
        <v>0</v>
      </c>
      <c r="F86">
        <f>IF($E86="","",N(F85)+1)</f>
        <v>0</v>
      </c>
      <c r="G86">
        <f>IF(OR($E86="",$E85=""),"",LN($E86/$E85))</f>
        <v>0</v>
      </c>
      <c r="H86">
        <f>IF($E86="","",IF($E85="",$E86,$E86*0.0952380952+H85*0.9047619048))</f>
        <v>0</v>
      </c>
      <c r="I86">
        <f>IF($E86="","",IF($E85="",$E86,$E86*0.0392156863+I85*0.9607843137))</f>
        <v>0</v>
      </c>
      <c r="J86">
        <f>IF($E86="","",IF($E85="",$E86,$E86*0.0198019802+J85*0.9801980198))</f>
        <v>0</v>
      </c>
      <c r="K86">
        <f>IF($E86="","",IF($E85="",$E86,$E86*0.0099502488+K85*0.9900497512))</f>
        <v>0</v>
      </c>
      <c r="L86">
        <f>IF(OR($E86="",$E85=""),"",MAX($E86-$E85,0))</f>
        <v>0</v>
      </c>
      <c r="M86">
        <f>IF(OR($E86="",$E85=""),"",MAX($E85-$E86,0))</f>
        <v>0</v>
      </c>
      <c r="N86">
        <f>IF(COUNT($E$2:$E86)&lt;15,"",IF(AVERAGE($M$73:$M$86)=0,100,100-100/(1+AVERAGE($L$73:$L$86)/AVERAGE($M$73:$M$86))))</f>
        <v>0</v>
      </c>
      <c r="O86">
        <f>IF($E86="","",IF($E85="",$E86,$E86*0.1538461538+O85*0.8461538462))</f>
        <v>0</v>
      </c>
      <c r="P86">
        <f>IF($E86="","",IF($E85="",$E86,$E86*0.0740740741+P85*0.9259259259))</f>
        <v>0</v>
      </c>
      <c r="Q86">
        <f>IF(OR(O86="",P86=""),"",O86-P86)</f>
        <v>0</v>
      </c>
      <c r="R86">
        <f>IF(Q86="","",IF(R85="",Q86,Q86*0.2000000000+R85*0.8000000000))</f>
        <v>0</v>
      </c>
      <c r="S86">
        <f>IF(OR(Q86="",R86=""),"",Q86-R86)</f>
        <v>0</v>
      </c>
      <c r="T86">
        <f>IF(COUNT($E$2:$E86)&lt;14,"",MAX($C$73:$C$86))</f>
        <v>0</v>
      </c>
      <c r="U86">
        <f>IF(COUNT($E$2:$E86)&lt;14,"",MIN($D$73:$D$86))</f>
        <v>0</v>
      </c>
      <c r="V86">
        <f>IF(OR(T86="",U86="",T86=U86),"",100*($E86-U86)/(T86-U86))</f>
        <v>0</v>
      </c>
      <c r="W86">
        <f>IF(COUNT($V$84:$V$86)&lt;3,"",AVERAGE($V$84:$V$86))</f>
        <v>0</v>
      </c>
      <c r="X86">
        <f>IF(COUNT($N$73:$N$86)&lt;14,"",MIN($N$73:$N$86))</f>
        <v>0</v>
      </c>
      <c r="Y86">
        <f>IF(COUNT($N$73:$N$86)&lt;14,"",MAX($N$73:$N$86))</f>
        <v>0</v>
      </c>
      <c r="Z86">
        <f>IF(OR(N86="",X86="",Y86="",Y86=X86),"",100*(N86-X86)/(Y86-X86))</f>
        <v>0</v>
      </c>
      <c r="AA86">
        <f>IF(COUNT($Z$84:$Z$86)&lt;3,"",AVERAGE($Z$84:$Z$86))</f>
        <v>0</v>
      </c>
      <c r="AB86">
        <f>IF(COUNT($AA$84:$AA$86)&lt;3,"",AVERAGE($AA$84:$AA$86))</f>
        <v>0</v>
      </c>
      <c r="AC86">
        <f>IF($E86="","",MAX($C86-$D86,ABS($C86-$E85),ABS($D86-$E85)))</f>
        <v>0</v>
      </c>
      <c r="AD86">
        <f>IF(COUNT($E$2:$E86)&lt;15,"",AVERAGE($AC$73:$AC$86))</f>
        <v>0</v>
      </c>
      <c r="AE86">
        <f>IF(OR($E86="",$E85=""),"",IF(AND(($C86-$C85)&gt;($D85-$D86),($C86-$C85)&gt;0),$C86-$C85,0))</f>
        <v>0</v>
      </c>
      <c r="AF86">
        <f>IF(OR($E86="",$E85=""),"",IF(AND(($D85-$D86)&gt;($C86-$C85),($D85-$D86)&gt;0),$D85-$D86,0))</f>
        <v>0</v>
      </c>
      <c r="AG86">
        <f>IF(COUNT($E$2:$E86)&lt;15,"",IF(SUM($AC$73:$AC$86)=0,0,100*SUM($AE$73:$AE$86)/SUM($AC$73:$AC$86)))</f>
        <v>0</v>
      </c>
      <c r="AH86">
        <f>IF(COUNT($E$2:$E86)&lt;15,"",IF(SUM($AC$73:$AC$86)=0,0,100*SUM($AF$73:$AF$86)/SUM($AC$73:$AC$86)))</f>
        <v>0</v>
      </c>
      <c r="AI86">
        <f>IF(OR(AG86="",AH86=""),"",IF((AG86+AH86)=0,0,100*ABS(AG86-AH86)/(AG86+AH86)))</f>
        <v>0</v>
      </c>
      <c r="AJ86">
        <f>IF(COUNT($AI$73:$AI$86)&lt;14,"",AVERAGE($AI$73:$AI$86))</f>
        <v>0</v>
      </c>
      <c r="AK86">
        <f>IF(COUNT($E$2:$E86)&lt;20,"",AVERAGE($E$67:$E$86))</f>
        <v>0</v>
      </c>
      <c r="AL86">
        <f>IF(COUNT($E$2:$E86)&lt;20,"",STDEVP($E$67:$E$86))</f>
        <v>0</v>
      </c>
      <c r="AM86">
        <f>IF(AK86="","",AK86+2*AL86)</f>
        <v>0</v>
      </c>
      <c r="AN86">
        <f>IF(AK86="","",AK86-2*AL86)</f>
        <v>0</v>
      </c>
      <c r="AO86">
        <f>IF(OR(AM86="",AN86="",AM86=AN86),"",($E86-AN86)/(AM86-AN86))</f>
        <v>0</v>
      </c>
      <c r="AP86">
        <f>IF(OR(AM86="",AK86="",AK86=0),"",(AM86-AN86)/AK86)</f>
        <v>0</v>
      </c>
      <c r="AQ86">
        <f>IF(COUNT($E$2:$E86)&lt;20,"",MAX($C$67:$C$86))</f>
        <v>0</v>
      </c>
      <c r="AR86">
        <f>IF(COUNT($E$2:$E86)&lt;20,"",MIN($D$67:$D$86))</f>
        <v>0</v>
      </c>
      <c r="AS86">
        <f>IF(OR(AQ86="",AR86=""),"",(AQ86+AR86)/2)</f>
        <v>0</v>
      </c>
      <c r="AT86">
        <f>IF(COUNT($G$67:$G$86)&lt;20,"",STDEV($G$67:$G$86)*SQRT(52))</f>
        <v>0</v>
      </c>
      <c r="AU86">
        <f>IF(COUNT($E$2:$E86)&lt;9,"",(MAX($C$78:$C$86)+MIN($D$78:$D$86))/2)</f>
        <v>0</v>
      </c>
      <c r="AV86">
        <f>IF(COUNT($E$2:$E86)&lt;26,"",(MAX($C$61:$C$86)+MIN($D$61:$D$86))/2)</f>
        <v>0</v>
      </c>
      <c r="AW86">
        <f>IF(OR(AU86="",AV86=""),"",(AU86+AV86)/2)</f>
        <v>0</v>
      </c>
      <c r="AX86">
        <f>IF(COUNT($E$2:$E86)&lt;52,"",(MAX($C$35:$C$86)+MIN($D$35:$D$86))/2)</f>
        <v>0</v>
      </c>
      <c r="AY86">
        <f>IF(COUNT($E$2:$E86)&lt;20,"",MAX($C$2:$C$86))</f>
        <v>0</v>
      </c>
      <c r="AZ86">
        <f>IF(COUNT($E$2:$E86)&lt;20,"",MIN($D$2:$D$86))</f>
        <v>0</v>
      </c>
      <c r="BA86">
        <f>IF(COUNT($E$2:$E86)&lt;20,"",SLOPE($E$2:$E$86,$F$2:$F$86))</f>
        <v>0</v>
      </c>
      <c r="BB86">
        <f>IF(COUNT($E$2:$E86)&lt;20,"",INTERCEPT($E$2:$E$86,$F$2:$F$86))</f>
        <v>0</v>
      </c>
      <c r="BC86">
        <f>IF(OR(BA86="",BB86=""),"",BB86+BA86*F86)</f>
        <v>0</v>
      </c>
      <c r="BD86">
        <f>IF(COUNT($E$2:$E86)&lt;20,"",STEYX($E$2:$E$86,$F$2:$F$86))</f>
        <v>0</v>
      </c>
      <c r="BE86">
        <f>IF($E86="","",IF(AND(COUNT($E$87:$E$90)&gt;=4,$C86=MAX($C$82:$C$90)),$C86,""))</f>
        <v>0</v>
      </c>
      <c r="BF86">
        <f>IF($E86="","",IF(AND(COUNT($E$87:$E$90)&gt;=4,$D86=MIN($D$82:$D$90)),$D86,""))</f>
        <v>0</v>
      </c>
      <c r="BG86">
        <f>IFERROR(SMALL(Calc_Daily!$BM$2:$BM$2001,85),"")</f>
        <v>0</v>
      </c>
    </row>
    <row r="87" spans="1:59">
      <c r="A87" s="27">
        <f>IF($BG87="","",INDEX(Calc_Daily!$A$2:$A$2001,$BG87))</f>
        <v>0</v>
      </c>
      <c r="B87">
        <f>IF($BG87="","",INDEX(Calc_Daily!$BJ$2:$BJ$2001,$BG87))</f>
        <v>0</v>
      </c>
      <c r="C87">
        <f>IF($BG87="","",INDEX(Calc_Daily!$BK$2:$BK$2001,$BG87))</f>
        <v>0</v>
      </c>
      <c r="D87">
        <f>IF($BG87="","",INDEX(Calc_Daily!$BL$2:$BL$2001,$BG87))</f>
        <v>0</v>
      </c>
      <c r="E87">
        <f>IF($BG87="","",INDEX(Calc_Daily!$E$2:$E$2001,$BG87))</f>
        <v>0</v>
      </c>
      <c r="F87">
        <f>IF($E87="","",N(F86)+1)</f>
        <v>0</v>
      </c>
      <c r="G87">
        <f>IF(OR($E87="",$E86=""),"",LN($E87/$E86))</f>
        <v>0</v>
      </c>
      <c r="H87">
        <f>IF($E87="","",IF($E86="",$E87,$E87*0.0952380952+H86*0.9047619048))</f>
        <v>0</v>
      </c>
      <c r="I87">
        <f>IF($E87="","",IF($E86="",$E87,$E87*0.0392156863+I86*0.9607843137))</f>
        <v>0</v>
      </c>
      <c r="J87">
        <f>IF($E87="","",IF($E86="",$E87,$E87*0.0198019802+J86*0.9801980198))</f>
        <v>0</v>
      </c>
      <c r="K87">
        <f>IF($E87="","",IF($E86="",$E87,$E87*0.0099502488+K86*0.9900497512))</f>
        <v>0</v>
      </c>
      <c r="L87">
        <f>IF(OR($E87="",$E86=""),"",MAX($E87-$E86,0))</f>
        <v>0</v>
      </c>
      <c r="M87">
        <f>IF(OR($E87="",$E86=""),"",MAX($E86-$E87,0))</f>
        <v>0</v>
      </c>
      <c r="N87">
        <f>IF(COUNT($E$2:$E87)&lt;15,"",IF(AVERAGE($M$74:$M$87)=0,100,100-100/(1+AVERAGE($L$74:$L$87)/AVERAGE($M$74:$M$87))))</f>
        <v>0</v>
      </c>
      <c r="O87">
        <f>IF($E87="","",IF($E86="",$E87,$E87*0.1538461538+O86*0.8461538462))</f>
        <v>0</v>
      </c>
      <c r="P87">
        <f>IF($E87="","",IF($E86="",$E87,$E87*0.0740740741+P86*0.9259259259))</f>
        <v>0</v>
      </c>
      <c r="Q87">
        <f>IF(OR(O87="",P87=""),"",O87-P87)</f>
        <v>0</v>
      </c>
      <c r="R87">
        <f>IF(Q87="","",IF(R86="",Q87,Q87*0.2000000000+R86*0.8000000000))</f>
        <v>0</v>
      </c>
      <c r="S87">
        <f>IF(OR(Q87="",R87=""),"",Q87-R87)</f>
        <v>0</v>
      </c>
      <c r="T87">
        <f>IF(COUNT($E$2:$E87)&lt;14,"",MAX($C$74:$C$87))</f>
        <v>0</v>
      </c>
      <c r="U87">
        <f>IF(COUNT($E$2:$E87)&lt;14,"",MIN($D$74:$D$87))</f>
        <v>0</v>
      </c>
      <c r="V87">
        <f>IF(OR(T87="",U87="",T87=U87),"",100*($E87-U87)/(T87-U87))</f>
        <v>0</v>
      </c>
      <c r="W87">
        <f>IF(COUNT($V$85:$V$87)&lt;3,"",AVERAGE($V$85:$V$87))</f>
        <v>0</v>
      </c>
      <c r="X87">
        <f>IF(COUNT($N$74:$N$87)&lt;14,"",MIN($N$74:$N$87))</f>
        <v>0</v>
      </c>
      <c r="Y87">
        <f>IF(COUNT($N$74:$N$87)&lt;14,"",MAX($N$74:$N$87))</f>
        <v>0</v>
      </c>
      <c r="Z87">
        <f>IF(OR(N87="",X87="",Y87="",Y87=X87),"",100*(N87-X87)/(Y87-X87))</f>
        <v>0</v>
      </c>
      <c r="AA87">
        <f>IF(COUNT($Z$85:$Z$87)&lt;3,"",AVERAGE($Z$85:$Z$87))</f>
        <v>0</v>
      </c>
      <c r="AB87">
        <f>IF(COUNT($AA$85:$AA$87)&lt;3,"",AVERAGE($AA$85:$AA$87))</f>
        <v>0</v>
      </c>
      <c r="AC87">
        <f>IF($E87="","",MAX($C87-$D87,ABS($C87-$E86),ABS($D87-$E86)))</f>
        <v>0</v>
      </c>
      <c r="AD87">
        <f>IF(COUNT($E$2:$E87)&lt;15,"",AVERAGE($AC$74:$AC$87))</f>
        <v>0</v>
      </c>
      <c r="AE87">
        <f>IF(OR($E87="",$E86=""),"",IF(AND(($C87-$C86)&gt;($D86-$D87),($C87-$C86)&gt;0),$C87-$C86,0))</f>
        <v>0</v>
      </c>
      <c r="AF87">
        <f>IF(OR($E87="",$E86=""),"",IF(AND(($D86-$D87)&gt;($C87-$C86),($D86-$D87)&gt;0),$D86-$D87,0))</f>
        <v>0</v>
      </c>
      <c r="AG87">
        <f>IF(COUNT($E$2:$E87)&lt;15,"",IF(SUM($AC$74:$AC$87)=0,0,100*SUM($AE$74:$AE$87)/SUM($AC$74:$AC$87)))</f>
        <v>0</v>
      </c>
      <c r="AH87">
        <f>IF(COUNT($E$2:$E87)&lt;15,"",IF(SUM($AC$74:$AC$87)=0,0,100*SUM($AF$74:$AF$87)/SUM($AC$74:$AC$87)))</f>
        <v>0</v>
      </c>
      <c r="AI87">
        <f>IF(OR(AG87="",AH87=""),"",IF((AG87+AH87)=0,0,100*ABS(AG87-AH87)/(AG87+AH87)))</f>
        <v>0</v>
      </c>
      <c r="AJ87">
        <f>IF(COUNT($AI$74:$AI$87)&lt;14,"",AVERAGE($AI$74:$AI$87))</f>
        <v>0</v>
      </c>
      <c r="AK87">
        <f>IF(COUNT($E$2:$E87)&lt;20,"",AVERAGE($E$68:$E$87))</f>
        <v>0</v>
      </c>
      <c r="AL87">
        <f>IF(COUNT($E$2:$E87)&lt;20,"",STDEVP($E$68:$E$87))</f>
        <v>0</v>
      </c>
      <c r="AM87">
        <f>IF(AK87="","",AK87+2*AL87)</f>
        <v>0</v>
      </c>
      <c r="AN87">
        <f>IF(AK87="","",AK87-2*AL87)</f>
        <v>0</v>
      </c>
      <c r="AO87">
        <f>IF(OR(AM87="",AN87="",AM87=AN87),"",($E87-AN87)/(AM87-AN87))</f>
        <v>0</v>
      </c>
      <c r="AP87">
        <f>IF(OR(AM87="",AK87="",AK87=0),"",(AM87-AN87)/AK87)</f>
        <v>0</v>
      </c>
      <c r="AQ87">
        <f>IF(COUNT($E$2:$E87)&lt;20,"",MAX($C$68:$C$87))</f>
        <v>0</v>
      </c>
      <c r="AR87">
        <f>IF(COUNT($E$2:$E87)&lt;20,"",MIN($D$68:$D$87))</f>
        <v>0</v>
      </c>
      <c r="AS87">
        <f>IF(OR(AQ87="",AR87=""),"",(AQ87+AR87)/2)</f>
        <v>0</v>
      </c>
      <c r="AT87">
        <f>IF(COUNT($G$68:$G$87)&lt;20,"",STDEV($G$68:$G$87)*SQRT(52))</f>
        <v>0</v>
      </c>
      <c r="AU87">
        <f>IF(COUNT($E$2:$E87)&lt;9,"",(MAX($C$79:$C$87)+MIN($D$79:$D$87))/2)</f>
        <v>0</v>
      </c>
      <c r="AV87">
        <f>IF(COUNT($E$2:$E87)&lt;26,"",(MAX($C$62:$C$87)+MIN($D$62:$D$87))/2)</f>
        <v>0</v>
      </c>
      <c r="AW87">
        <f>IF(OR(AU87="",AV87=""),"",(AU87+AV87)/2)</f>
        <v>0</v>
      </c>
      <c r="AX87">
        <f>IF(COUNT($E$2:$E87)&lt;52,"",(MAX($C$36:$C$87)+MIN($D$36:$D$87))/2)</f>
        <v>0</v>
      </c>
      <c r="AY87">
        <f>IF(COUNT($E$2:$E87)&lt;20,"",MAX($C$2:$C$87))</f>
        <v>0</v>
      </c>
      <c r="AZ87">
        <f>IF(COUNT($E$2:$E87)&lt;20,"",MIN($D$2:$D$87))</f>
        <v>0</v>
      </c>
      <c r="BA87">
        <f>IF(COUNT($E$2:$E87)&lt;20,"",SLOPE($E$2:$E$87,$F$2:$F$87))</f>
        <v>0</v>
      </c>
      <c r="BB87">
        <f>IF(COUNT($E$2:$E87)&lt;20,"",INTERCEPT($E$2:$E$87,$F$2:$F$87))</f>
        <v>0</v>
      </c>
      <c r="BC87">
        <f>IF(OR(BA87="",BB87=""),"",BB87+BA87*F87)</f>
        <v>0</v>
      </c>
      <c r="BD87">
        <f>IF(COUNT($E$2:$E87)&lt;20,"",STEYX($E$2:$E$87,$F$2:$F$87))</f>
        <v>0</v>
      </c>
      <c r="BE87">
        <f>IF($E87="","",IF(AND(COUNT($E$88:$E$91)&gt;=4,$C87=MAX($C$83:$C$91)),$C87,""))</f>
        <v>0</v>
      </c>
      <c r="BF87">
        <f>IF($E87="","",IF(AND(COUNT($E$88:$E$91)&gt;=4,$D87=MIN($D$83:$D$91)),$D87,""))</f>
        <v>0</v>
      </c>
      <c r="BG87">
        <f>IFERROR(SMALL(Calc_Daily!$BM$2:$BM$2001,86),"")</f>
        <v>0</v>
      </c>
    </row>
    <row r="88" spans="1:59">
      <c r="A88" s="27">
        <f>IF($BG88="","",INDEX(Calc_Daily!$A$2:$A$2001,$BG88))</f>
        <v>0</v>
      </c>
      <c r="B88">
        <f>IF($BG88="","",INDEX(Calc_Daily!$BJ$2:$BJ$2001,$BG88))</f>
        <v>0</v>
      </c>
      <c r="C88">
        <f>IF($BG88="","",INDEX(Calc_Daily!$BK$2:$BK$2001,$BG88))</f>
        <v>0</v>
      </c>
      <c r="D88">
        <f>IF($BG88="","",INDEX(Calc_Daily!$BL$2:$BL$2001,$BG88))</f>
        <v>0</v>
      </c>
      <c r="E88">
        <f>IF($BG88="","",INDEX(Calc_Daily!$E$2:$E$2001,$BG88))</f>
        <v>0</v>
      </c>
      <c r="F88">
        <f>IF($E88="","",N(F87)+1)</f>
        <v>0</v>
      </c>
      <c r="G88">
        <f>IF(OR($E88="",$E87=""),"",LN($E88/$E87))</f>
        <v>0</v>
      </c>
      <c r="H88">
        <f>IF($E88="","",IF($E87="",$E88,$E88*0.0952380952+H87*0.9047619048))</f>
        <v>0</v>
      </c>
      <c r="I88">
        <f>IF($E88="","",IF($E87="",$E88,$E88*0.0392156863+I87*0.9607843137))</f>
        <v>0</v>
      </c>
      <c r="J88">
        <f>IF($E88="","",IF($E87="",$E88,$E88*0.0198019802+J87*0.9801980198))</f>
        <v>0</v>
      </c>
      <c r="K88">
        <f>IF($E88="","",IF($E87="",$E88,$E88*0.0099502488+K87*0.9900497512))</f>
        <v>0</v>
      </c>
      <c r="L88">
        <f>IF(OR($E88="",$E87=""),"",MAX($E88-$E87,0))</f>
        <v>0</v>
      </c>
      <c r="M88">
        <f>IF(OR($E88="",$E87=""),"",MAX($E87-$E88,0))</f>
        <v>0</v>
      </c>
      <c r="N88">
        <f>IF(COUNT($E$2:$E88)&lt;15,"",IF(AVERAGE($M$75:$M$88)=0,100,100-100/(1+AVERAGE($L$75:$L$88)/AVERAGE($M$75:$M$88))))</f>
        <v>0</v>
      </c>
      <c r="O88">
        <f>IF($E88="","",IF($E87="",$E88,$E88*0.1538461538+O87*0.8461538462))</f>
        <v>0</v>
      </c>
      <c r="P88">
        <f>IF($E88="","",IF($E87="",$E88,$E88*0.0740740741+P87*0.9259259259))</f>
        <v>0</v>
      </c>
      <c r="Q88">
        <f>IF(OR(O88="",P88=""),"",O88-P88)</f>
        <v>0</v>
      </c>
      <c r="R88">
        <f>IF(Q88="","",IF(R87="",Q88,Q88*0.2000000000+R87*0.8000000000))</f>
        <v>0</v>
      </c>
      <c r="S88">
        <f>IF(OR(Q88="",R88=""),"",Q88-R88)</f>
        <v>0</v>
      </c>
      <c r="T88">
        <f>IF(COUNT($E$2:$E88)&lt;14,"",MAX($C$75:$C$88))</f>
        <v>0</v>
      </c>
      <c r="U88">
        <f>IF(COUNT($E$2:$E88)&lt;14,"",MIN($D$75:$D$88))</f>
        <v>0</v>
      </c>
      <c r="V88">
        <f>IF(OR(T88="",U88="",T88=U88),"",100*($E88-U88)/(T88-U88))</f>
        <v>0</v>
      </c>
      <c r="W88">
        <f>IF(COUNT($V$86:$V$88)&lt;3,"",AVERAGE($V$86:$V$88))</f>
        <v>0</v>
      </c>
      <c r="X88">
        <f>IF(COUNT($N$75:$N$88)&lt;14,"",MIN($N$75:$N$88))</f>
        <v>0</v>
      </c>
      <c r="Y88">
        <f>IF(COUNT($N$75:$N$88)&lt;14,"",MAX($N$75:$N$88))</f>
        <v>0</v>
      </c>
      <c r="Z88">
        <f>IF(OR(N88="",X88="",Y88="",Y88=X88),"",100*(N88-X88)/(Y88-X88))</f>
        <v>0</v>
      </c>
      <c r="AA88">
        <f>IF(COUNT($Z$86:$Z$88)&lt;3,"",AVERAGE($Z$86:$Z$88))</f>
        <v>0</v>
      </c>
      <c r="AB88">
        <f>IF(COUNT($AA$86:$AA$88)&lt;3,"",AVERAGE($AA$86:$AA$88))</f>
        <v>0</v>
      </c>
      <c r="AC88">
        <f>IF($E88="","",MAX($C88-$D88,ABS($C88-$E87),ABS($D88-$E87)))</f>
        <v>0</v>
      </c>
      <c r="AD88">
        <f>IF(COUNT($E$2:$E88)&lt;15,"",AVERAGE($AC$75:$AC$88))</f>
        <v>0</v>
      </c>
      <c r="AE88">
        <f>IF(OR($E88="",$E87=""),"",IF(AND(($C88-$C87)&gt;($D87-$D88),($C88-$C87)&gt;0),$C88-$C87,0))</f>
        <v>0</v>
      </c>
      <c r="AF88">
        <f>IF(OR($E88="",$E87=""),"",IF(AND(($D87-$D88)&gt;($C88-$C87),($D87-$D88)&gt;0),$D87-$D88,0))</f>
        <v>0</v>
      </c>
      <c r="AG88">
        <f>IF(COUNT($E$2:$E88)&lt;15,"",IF(SUM($AC$75:$AC$88)=0,0,100*SUM($AE$75:$AE$88)/SUM($AC$75:$AC$88)))</f>
        <v>0</v>
      </c>
      <c r="AH88">
        <f>IF(COUNT($E$2:$E88)&lt;15,"",IF(SUM($AC$75:$AC$88)=0,0,100*SUM($AF$75:$AF$88)/SUM($AC$75:$AC$88)))</f>
        <v>0</v>
      </c>
      <c r="AI88">
        <f>IF(OR(AG88="",AH88=""),"",IF((AG88+AH88)=0,0,100*ABS(AG88-AH88)/(AG88+AH88)))</f>
        <v>0</v>
      </c>
      <c r="AJ88">
        <f>IF(COUNT($AI$75:$AI$88)&lt;14,"",AVERAGE($AI$75:$AI$88))</f>
        <v>0</v>
      </c>
      <c r="AK88">
        <f>IF(COUNT($E$2:$E88)&lt;20,"",AVERAGE($E$69:$E$88))</f>
        <v>0</v>
      </c>
      <c r="AL88">
        <f>IF(COUNT($E$2:$E88)&lt;20,"",STDEVP($E$69:$E$88))</f>
        <v>0</v>
      </c>
      <c r="AM88">
        <f>IF(AK88="","",AK88+2*AL88)</f>
        <v>0</v>
      </c>
      <c r="AN88">
        <f>IF(AK88="","",AK88-2*AL88)</f>
        <v>0</v>
      </c>
      <c r="AO88">
        <f>IF(OR(AM88="",AN88="",AM88=AN88),"",($E88-AN88)/(AM88-AN88))</f>
        <v>0</v>
      </c>
      <c r="AP88">
        <f>IF(OR(AM88="",AK88="",AK88=0),"",(AM88-AN88)/AK88)</f>
        <v>0</v>
      </c>
      <c r="AQ88">
        <f>IF(COUNT($E$2:$E88)&lt;20,"",MAX($C$69:$C$88))</f>
        <v>0</v>
      </c>
      <c r="AR88">
        <f>IF(COUNT($E$2:$E88)&lt;20,"",MIN($D$69:$D$88))</f>
        <v>0</v>
      </c>
      <c r="AS88">
        <f>IF(OR(AQ88="",AR88=""),"",(AQ88+AR88)/2)</f>
        <v>0</v>
      </c>
      <c r="AT88">
        <f>IF(COUNT($G$69:$G$88)&lt;20,"",STDEV($G$69:$G$88)*SQRT(52))</f>
        <v>0</v>
      </c>
      <c r="AU88">
        <f>IF(COUNT($E$2:$E88)&lt;9,"",(MAX($C$80:$C$88)+MIN($D$80:$D$88))/2)</f>
        <v>0</v>
      </c>
      <c r="AV88">
        <f>IF(COUNT($E$2:$E88)&lt;26,"",(MAX($C$63:$C$88)+MIN($D$63:$D$88))/2)</f>
        <v>0</v>
      </c>
      <c r="AW88">
        <f>IF(OR(AU88="",AV88=""),"",(AU88+AV88)/2)</f>
        <v>0</v>
      </c>
      <c r="AX88">
        <f>IF(COUNT($E$2:$E88)&lt;52,"",(MAX($C$37:$C$88)+MIN($D$37:$D$88))/2)</f>
        <v>0</v>
      </c>
      <c r="AY88">
        <f>IF(COUNT($E$2:$E88)&lt;20,"",MAX($C$2:$C$88))</f>
        <v>0</v>
      </c>
      <c r="AZ88">
        <f>IF(COUNT($E$2:$E88)&lt;20,"",MIN($D$2:$D$88))</f>
        <v>0</v>
      </c>
      <c r="BA88">
        <f>IF(COUNT($E$2:$E88)&lt;20,"",SLOPE($E$2:$E$88,$F$2:$F$88))</f>
        <v>0</v>
      </c>
      <c r="BB88">
        <f>IF(COUNT($E$2:$E88)&lt;20,"",INTERCEPT($E$2:$E$88,$F$2:$F$88))</f>
        <v>0</v>
      </c>
      <c r="BC88">
        <f>IF(OR(BA88="",BB88=""),"",BB88+BA88*F88)</f>
        <v>0</v>
      </c>
      <c r="BD88">
        <f>IF(COUNT($E$2:$E88)&lt;20,"",STEYX($E$2:$E$88,$F$2:$F$88))</f>
        <v>0</v>
      </c>
      <c r="BE88">
        <f>IF($E88="","",IF(AND(COUNT($E$89:$E$92)&gt;=4,$C88=MAX($C$84:$C$92)),$C88,""))</f>
        <v>0</v>
      </c>
      <c r="BF88">
        <f>IF($E88="","",IF(AND(COUNT($E$89:$E$92)&gt;=4,$D88=MIN($D$84:$D$92)),$D88,""))</f>
        <v>0</v>
      </c>
      <c r="BG88">
        <f>IFERROR(SMALL(Calc_Daily!$BM$2:$BM$2001,87),"")</f>
        <v>0</v>
      </c>
    </row>
    <row r="89" spans="1:59">
      <c r="A89" s="27">
        <f>IF($BG89="","",INDEX(Calc_Daily!$A$2:$A$2001,$BG89))</f>
        <v>0</v>
      </c>
      <c r="B89">
        <f>IF($BG89="","",INDEX(Calc_Daily!$BJ$2:$BJ$2001,$BG89))</f>
        <v>0</v>
      </c>
      <c r="C89">
        <f>IF($BG89="","",INDEX(Calc_Daily!$BK$2:$BK$2001,$BG89))</f>
        <v>0</v>
      </c>
      <c r="D89">
        <f>IF($BG89="","",INDEX(Calc_Daily!$BL$2:$BL$2001,$BG89))</f>
        <v>0</v>
      </c>
      <c r="E89">
        <f>IF($BG89="","",INDEX(Calc_Daily!$E$2:$E$2001,$BG89))</f>
        <v>0</v>
      </c>
      <c r="F89">
        <f>IF($E89="","",N(F88)+1)</f>
        <v>0</v>
      </c>
      <c r="G89">
        <f>IF(OR($E89="",$E88=""),"",LN($E89/$E88))</f>
        <v>0</v>
      </c>
      <c r="H89">
        <f>IF($E89="","",IF($E88="",$E89,$E89*0.0952380952+H88*0.9047619048))</f>
        <v>0</v>
      </c>
      <c r="I89">
        <f>IF($E89="","",IF($E88="",$E89,$E89*0.0392156863+I88*0.9607843137))</f>
        <v>0</v>
      </c>
      <c r="J89">
        <f>IF($E89="","",IF($E88="",$E89,$E89*0.0198019802+J88*0.9801980198))</f>
        <v>0</v>
      </c>
      <c r="K89">
        <f>IF($E89="","",IF($E88="",$E89,$E89*0.0099502488+K88*0.9900497512))</f>
        <v>0</v>
      </c>
      <c r="L89">
        <f>IF(OR($E89="",$E88=""),"",MAX($E89-$E88,0))</f>
        <v>0</v>
      </c>
      <c r="M89">
        <f>IF(OR($E89="",$E88=""),"",MAX($E88-$E89,0))</f>
        <v>0</v>
      </c>
      <c r="N89">
        <f>IF(COUNT($E$2:$E89)&lt;15,"",IF(AVERAGE($M$76:$M$89)=0,100,100-100/(1+AVERAGE($L$76:$L$89)/AVERAGE($M$76:$M$89))))</f>
        <v>0</v>
      </c>
      <c r="O89">
        <f>IF($E89="","",IF($E88="",$E89,$E89*0.1538461538+O88*0.8461538462))</f>
        <v>0</v>
      </c>
      <c r="P89">
        <f>IF($E89="","",IF($E88="",$E89,$E89*0.0740740741+P88*0.9259259259))</f>
        <v>0</v>
      </c>
      <c r="Q89">
        <f>IF(OR(O89="",P89=""),"",O89-P89)</f>
        <v>0</v>
      </c>
      <c r="R89">
        <f>IF(Q89="","",IF(R88="",Q89,Q89*0.2000000000+R88*0.8000000000))</f>
        <v>0</v>
      </c>
      <c r="S89">
        <f>IF(OR(Q89="",R89=""),"",Q89-R89)</f>
        <v>0</v>
      </c>
      <c r="T89">
        <f>IF(COUNT($E$2:$E89)&lt;14,"",MAX($C$76:$C$89))</f>
        <v>0</v>
      </c>
      <c r="U89">
        <f>IF(COUNT($E$2:$E89)&lt;14,"",MIN($D$76:$D$89))</f>
        <v>0</v>
      </c>
      <c r="V89">
        <f>IF(OR(T89="",U89="",T89=U89),"",100*($E89-U89)/(T89-U89))</f>
        <v>0</v>
      </c>
      <c r="W89">
        <f>IF(COUNT($V$87:$V$89)&lt;3,"",AVERAGE($V$87:$V$89))</f>
        <v>0</v>
      </c>
      <c r="X89">
        <f>IF(COUNT($N$76:$N$89)&lt;14,"",MIN($N$76:$N$89))</f>
        <v>0</v>
      </c>
      <c r="Y89">
        <f>IF(COUNT($N$76:$N$89)&lt;14,"",MAX($N$76:$N$89))</f>
        <v>0</v>
      </c>
      <c r="Z89">
        <f>IF(OR(N89="",X89="",Y89="",Y89=X89),"",100*(N89-X89)/(Y89-X89))</f>
        <v>0</v>
      </c>
      <c r="AA89">
        <f>IF(COUNT($Z$87:$Z$89)&lt;3,"",AVERAGE($Z$87:$Z$89))</f>
        <v>0</v>
      </c>
      <c r="AB89">
        <f>IF(COUNT($AA$87:$AA$89)&lt;3,"",AVERAGE($AA$87:$AA$89))</f>
        <v>0</v>
      </c>
      <c r="AC89">
        <f>IF($E89="","",MAX($C89-$D89,ABS($C89-$E88),ABS($D89-$E88)))</f>
        <v>0</v>
      </c>
      <c r="AD89">
        <f>IF(COUNT($E$2:$E89)&lt;15,"",AVERAGE($AC$76:$AC$89))</f>
        <v>0</v>
      </c>
      <c r="AE89">
        <f>IF(OR($E89="",$E88=""),"",IF(AND(($C89-$C88)&gt;($D88-$D89),($C89-$C88)&gt;0),$C89-$C88,0))</f>
        <v>0</v>
      </c>
      <c r="AF89">
        <f>IF(OR($E89="",$E88=""),"",IF(AND(($D88-$D89)&gt;($C89-$C88),($D88-$D89)&gt;0),$D88-$D89,0))</f>
        <v>0</v>
      </c>
      <c r="AG89">
        <f>IF(COUNT($E$2:$E89)&lt;15,"",IF(SUM($AC$76:$AC$89)=0,0,100*SUM($AE$76:$AE$89)/SUM($AC$76:$AC$89)))</f>
        <v>0</v>
      </c>
      <c r="AH89">
        <f>IF(COUNT($E$2:$E89)&lt;15,"",IF(SUM($AC$76:$AC$89)=0,0,100*SUM($AF$76:$AF$89)/SUM($AC$76:$AC$89)))</f>
        <v>0</v>
      </c>
      <c r="AI89">
        <f>IF(OR(AG89="",AH89=""),"",IF((AG89+AH89)=0,0,100*ABS(AG89-AH89)/(AG89+AH89)))</f>
        <v>0</v>
      </c>
      <c r="AJ89">
        <f>IF(COUNT($AI$76:$AI$89)&lt;14,"",AVERAGE($AI$76:$AI$89))</f>
        <v>0</v>
      </c>
      <c r="AK89">
        <f>IF(COUNT($E$2:$E89)&lt;20,"",AVERAGE($E$70:$E$89))</f>
        <v>0</v>
      </c>
      <c r="AL89">
        <f>IF(COUNT($E$2:$E89)&lt;20,"",STDEVP($E$70:$E$89))</f>
        <v>0</v>
      </c>
      <c r="AM89">
        <f>IF(AK89="","",AK89+2*AL89)</f>
        <v>0</v>
      </c>
      <c r="AN89">
        <f>IF(AK89="","",AK89-2*AL89)</f>
        <v>0</v>
      </c>
      <c r="AO89">
        <f>IF(OR(AM89="",AN89="",AM89=AN89),"",($E89-AN89)/(AM89-AN89))</f>
        <v>0</v>
      </c>
      <c r="AP89">
        <f>IF(OR(AM89="",AK89="",AK89=0),"",(AM89-AN89)/AK89)</f>
        <v>0</v>
      </c>
      <c r="AQ89">
        <f>IF(COUNT($E$2:$E89)&lt;20,"",MAX($C$70:$C$89))</f>
        <v>0</v>
      </c>
      <c r="AR89">
        <f>IF(COUNT($E$2:$E89)&lt;20,"",MIN($D$70:$D$89))</f>
        <v>0</v>
      </c>
      <c r="AS89">
        <f>IF(OR(AQ89="",AR89=""),"",(AQ89+AR89)/2)</f>
        <v>0</v>
      </c>
      <c r="AT89">
        <f>IF(COUNT($G$70:$G$89)&lt;20,"",STDEV($G$70:$G$89)*SQRT(52))</f>
        <v>0</v>
      </c>
      <c r="AU89">
        <f>IF(COUNT($E$2:$E89)&lt;9,"",(MAX($C$81:$C$89)+MIN($D$81:$D$89))/2)</f>
        <v>0</v>
      </c>
      <c r="AV89">
        <f>IF(COUNT($E$2:$E89)&lt;26,"",(MAX($C$64:$C$89)+MIN($D$64:$D$89))/2)</f>
        <v>0</v>
      </c>
      <c r="AW89">
        <f>IF(OR(AU89="",AV89=""),"",(AU89+AV89)/2)</f>
        <v>0</v>
      </c>
      <c r="AX89">
        <f>IF(COUNT($E$2:$E89)&lt;52,"",(MAX($C$38:$C$89)+MIN($D$38:$D$89))/2)</f>
        <v>0</v>
      </c>
      <c r="AY89">
        <f>IF(COUNT($E$2:$E89)&lt;20,"",MAX($C$2:$C$89))</f>
        <v>0</v>
      </c>
      <c r="AZ89">
        <f>IF(COUNT($E$2:$E89)&lt;20,"",MIN($D$2:$D$89))</f>
        <v>0</v>
      </c>
      <c r="BA89">
        <f>IF(COUNT($E$2:$E89)&lt;20,"",SLOPE($E$2:$E$89,$F$2:$F$89))</f>
        <v>0</v>
      </c>
      <c r="BB89">
        <f>IF(COUNT($E$2:$E89)&lt;20,"",INTERCEPT($E$2:$E$89,$F$2:$F$89))</f>
        <v>0</v>
      </c>
      <c r="BC89">
        <f>IF(OR(BA89="",BB89=""),"",BB89+BA89*F89)</f>
        <v>0</v>
      </c>
      <c r="BD89">
        <f>IF(COUNT($E$2:$E89)&lt;20,"",STEYX($E$2:$E$89,$F$2:$F$89))</f>
        <v>0</v>
      </c>
      <c r="BE89">
        <f>IF($E89="","",IF(AND(COUNT($E$90:$E$93)&gt;=4,$C89=MAX($C$85:$C$93)),$C89,""))</f>
        <v>0</v>
      </c>
      <c r="BF89">
        <f>IF($E89="","",IF(AND(COUNT($E$90:$E$93)&gt;=4,$D89=MIN($D$85:$D$93)),$D89,""))</f>
        <v>0</v>
      </c>
      <c r="BG89">
        <f>IFERROR(SMALL(Calc_Daily!$BM$2:$BM$2001,88),"")</f>
        <v>0</v>
      </c>
    </row>
    <row r="90" spans="1:59">
      <c r="A90" s="27">
        <f>IF($BG90="","",INDEX(Calc_Daily!$A$2:$A$2001,$BG90))</f>
        <v>0</v>
      </c>
      <c r="B90">
        <f>IF($BG90="","",INDEX(Calc_Daily!$BJ$2:$BJ$2001,$BG90))</f>
        <v>0</v>
      </c>
      <c r="C90">
        <f>IF($BG90="","",INDEX(Calc_Daily!$BK$2:$BK$2001,$BG90))</f>
        <v>0</v>
      </c>
      <c r="D90">
        <f>IF($BG90="","",INDEX(Calc_Daily!$BL$2:$BL$2001,$BG90))</f>
        <v>0</v>
      </c>
      <c r="E90">
        <f>IF($BG90="","",INDEX(Calc_Daily!$E$2:$E$2001,$BG90))</f>
        <v>0</v>
      </c>
      <c r="F90">
        <f>IF($E90="","",N(F89)+1)</f>
        <v>0</v>
      </c>
      <c r="G90">
        <f>IF(OR($E90="",$E89=""),"",LN($E90/$E89))</f>
        <v>0</v>
      </c>
      <c r="H90">
        <f>IF($E90="","",IF($E89="",$E90,$E90*0.0952380952+H89*0.9047619048))</f>
        <v>0</v>
      </c>
      <c r="I90">
        <f>IF($E90="","",IF($E89="",$E90,$E90*0.0392156863+I89*0.9607843137))</f>
        <v>0</v>
      </c>
      <c r="J90">
        <f>IF($E90="","",IF($E89="",$E90,$E90*0.0198019802+J89*0.9801980198))</f>
        <v>0</v>
      </c>
      <c r="K90">
        <f>IF($E90="","",IF($E89="",$E90,$E90*0.0099502488+K89*0.9900497512))</f>
        <v>0</v>
      </c>
      <c r="L90">
        <f>IF(OR($E90="",$E89=""),"",MAX($E90-$E89,0))</f>
        <v>0</v>
      </c>
      <c r="M90">
        <f>IF(OR($E90="",$E89=""),"",MAX($E89-$E90,0))</f>
        <v>0</v>
      </c>
      <c r="N90">
        <f>IF(COUNT($E$2:$E90)&lt;15,"",IF(AVERAGE($M$77:$M$90)=0,100,100-100/(1+AVERAGE($L$77:$L$90)/AVERAGE($M$77:$M$90))))</f>
        <v>0</v>
      </c>
      <c r="O90">
        <f>IF($E90="","",IF($E89="",$E90,$E90*0.1538461538+O89*0.8461538462))</f>
        <v>0</v>
      </c>
      <c r="P90">
        <f>IF($E90="","",IF($E89="",$E90,$E90*0.0740740741+P89*0.9259259259))</f>
        <v>0</v>
      </c>
      <c r="Q90">
        <f>IF(OR(O90="",P90=""),"",O90-P90)</f>
        <v>0</v>
      </c>
      <c r="R90">
        <f>IF(Q90="","",IF(R89="",Q90,Q90*0.2000000000+R89*0.8000000000))</f>
        <v>0</v>
      </c>
      <c r="S90">
        <f>IF(OR(Q90="",R90=""),"",Q90-R90)</f>
        <v>0</v>
      </c>
      <c r="T90">
        <f>IF(COUNT($E$2:$E90)&lt;14,"",MAX($C$77:$C$90))</f>
        <v>0</v>
      </c>
      <c r="U90">
        <f>IF(COUNT($E$2:$E90)&lt;14,"",MIN($D$77:$D$90))</f>
        <v>0</v>
      </c>
      <c r="V90">
        <f>IF(OR(T90="",U90="",T90=U90),"",100*($E90-U90)/(T90-U90))</f>
        <v>0</v>
      </c>
      <c r="W90">
        <f>IF(COUNT($V$88:$V$90)&lt;3,"",AVERAGE($V$88:$V$90))</f>
        <v>0</v>
      </c>
      <c r="X90">
        <f>IF(COUNT($N$77:$N$90)&lt;14,"",MIN($N$77:$N$90))</f>
        <v>0</v>
      </c>
      <c r="Y90">
        <f>IF(COUNT($N$77:$N$90)&lt;14,"",MAX($N$77:$N$90))</f>
        <v>0</v>
      </c>
      <c r="Z90">
        <f>IF(OR(N90="",X90="",Y90="",Y90=X90),"",100*(N90-X90)/(Y90-X90))</f>
        <v>0</v>
      </c>
      <c r="AA90">
        <f>IF(COUNT($Z$88:$Z$90)&lt;3,"",AVERAGE($Z$88:$Z$90))</f>
        <v>0</v>
      </c>
      <c r="AB90">
        <f>IF(COUNT($AA$88:$AA$90)&lt;3,"",AVERAGE($AA$88:$AA$90))</f>
        <v>0</v>
      </c>
      <c r="AC90">
        <f>IF($E90="","",MAX($C90-$D90,ABS($C90-$E89),ABS($D90-$E89)))</f>
        <v>0</v>
      </c>
      <c r="AD90">
        <f>IF(COUNT($E$2:$E90)&lt;15,"",AVERAGE($AC$77:$AC$90))</f>
        <v>0</v>
      </c>
      <c r="AE90">
        <f>IF(OR($E90="",$E89=""),"",IF(AND(($C90-$C89)&gt;($D89-$D90),($C90-$C89)&gt;0),$C90-$C89,0))</f>
        <v>0</v>
      </c>
      <c r="AF90">
        <f>IF(OR($E90="",$E89=""),"",IF(AND(($D89-$D90)&gt;($C90-$C89),($D89-$D90)&gt;0),$D89-$D90,0))</f>
        <v>0</v>
      </c>
      <c r="AG90">
        <f>IF(COUNT($E$2:$E90)&lt;15,"",IF(SUM($AC$77:$AC$90)=0,0,100*SUM($AE$77:$AE$90)/SUM($AC$77:$AC$90)))</f>
        <v>0</v>
      </c>
      <c r="AH90">
        <f>IF(COUNT($E$2:$E90)&lt;15,"",IF(SUM($AC$77:$AC$90)=0,0,100*SUM($AF$77:$AF$90)/SUM($AC$77:$AC$90)))</f>
        <v>0</v>
      </c>
      <c r="AI90">
        <f>IF(OR(AG90="",AH90=""),"",IF((AG90+AH90)=0,0,100*ABS(AG90-AH90)/(AG90+AH90)))</f>
        <v>0</v>
      </c>
      <c r="AJ90">
        <f>IF(COUNT($AI$77:$AI$90)&lt;14,"",AVERAGE($AI$77:$AI$90))</f>
        <v>0</v>
      </c>
      <c r="AK90">
        <f>IF(COUNT($E$2:$E90)&lt;20,"",AVERAGE($E$71:$E$90))</f>
        <v>0</v>
      </c>
      <c r="AL90">
        <f>IF(COUNT($E$2:$E90)&lt;20,"",STDEVP($E$71:$E$90))</f>
        <v>0</v>
      </c>
      <c r="AM90">
        <f>IF(AK90="","",AK90+2*AL90)</f>
        <v>0</v>
      </c>
      <c r="AN90">
        <f>IF(AK90="","",AK90-2*AL90)</f>
        <v>0</v>
      </c>
      <c r="AO90">
        <f>IF(OR(AM90="",AN90="",AM90=AN90),"",($E90-AN90)/(AM90-AN90))</f>
        <v>0</v>
      </c>
      <c r="AP90">
        <f>IF(OR(AM90="",AK90="",AK90=0),"",(AM90-AN90)/AK90)</f>
        <v>0</v>
      </c>
      <c r="AQ90">
        <f>IF(COUNT($E$2:$E90)&lt;20,"",MAX($C$71:$C$90))</f>
        <v>0</v>
      </c>
      <c r="AR90">
        <f>IF(COUNT($E$2:$E90)&lt;20,"",MIN($D$71:$D$90))</f>
        <v>0</v>
      </c>
      <c r="AS90">
        <f>IF(OR(AQ90="",AR90=""),"",(AQ90+AR90)/2)</f>
        <v>0</v>
      </c>
      <c r="AT90">
        <f>IF(COUNT($G$71:$G$90)&lt;20,"",STDEV($G$71:$G$90)*SQRT(52))</f>
        <v>0</v>
      </c>
      <c r="AU90">
        <f>IF(COUNT($E$2:$E90)&lt;9,"",(MAX($C$82:$C$90)+MIN($D$82:$D$90))/2)</f>
        <v>0</v>
      </c>
      <c r="AV90">
        <f>IF(COUNT($E$2:$E90)&lt;26,"",(MAX($C$65:$C$90)+MIN($D$65:$D$90))/2)</f>
        <v>0</v>
      </c>
      <c r="AW90">
        <f>IF(OR(AU90="",AV90=""),"",(AU90+AV90)/2)</f>
        <v>0</v>
      </c>
      <c r="AX90">
        <f>IF(COUNT($E$2:$E90)&lt;52,"",(MAX($C$39:$C$90)+MIN($D$39:$D$90))/2)</f>
        <v>0</v>
      </c>
      <c r="AY90">
        <f>IF(COUNT($E$2:$E90)&lt;20,"",MAX($C$2:$C$90))</f>
        <v>0</v>
      </c>
      <c r="AZ90">
        <f>IF(COUNT($E$2:$E90)&lt;20,"",MIN($D$2:$D$90))</f>
        <v>0</v>
      </c>
      <c r="BA90">
        <f>IF(COUNT($E$2:$E90)&lt;20,"",SLOPE($E$2:$E$90,$F$2:$F$90))</f>
        <v>0</v>
      </c>
      <c r="BB90">
        <f>IF(COUNT($E$2:$E90)&lt;20,"",INTERCEPT($E$2:$E$90,$F$2:$F$90))</f>
        <v>0</v>
      </c>
      <c r="BC90">
        <f>IF(OR(BA90="",BB90=""),"",BB90+BA90*F90)</f>
        <v>0</v>
      </c>
      <c r="BD90">
        <f>IF(COUNT($E$2:$E90)&lt;20,"",STEYX($E$2:$E$90,$F$2:$F$90))</f>
        <v>0</v>
      </c>
      <c r="BE90">
        <f>IF($E90="","",IF(AND(COUNT($E$91:$E$94)&gt;=4,$C90=MAX($C$86:$C$94)),$C90,""))</f>
        <v>0</v>
      </c>
      <c r="BF90">
        <f>IF($E90="","",IF(AND(COUNT($E$91:$E$94)&gt;=4,$D90=MIN($D$86:$D$94)),$D90,""))</f>
        <v>0</v>
      </c>
      <c r="BG90">
        <f>IFERROR(SMALL(Calc_Daily!$BM$2:$BM$2001,89),"")</f>
        <v>0</v>
      </c>
    </row>
    <row r="91" spans="1:59">
      <c r="A91" s="27">
        <f>IF($BG91="","",INDEX(Calc_Daily!$A$2:$A$2001,$BG91))</f>
        <v>0</v>
      </c>
      <c r="B91">
        <f>IF($BG91="","",INDEX(Calc_Daily!$BJ$2:$BJ$2001,$BG91))</f>
        <v>0</v>
      </c>
      <c r="C91">
        <f>IF($BG91="","",INDEX(Calc_Daily!$BK$2:$BK$2001,$BG91))</f>
        <v>0</v>
      </c>
      <c r="D91">
        <f>IF($BG91="","",INDEX(Calc_Daily!$BL$2:$BL$2001,$BG91))</f>
        <v>0</v>
      </c>
      <c r="E91">
        <f>IF($BG91="","",INDEX(Calc_Daily!$E$2:$E$2001,$BG91))</f>
        <v>0</v>
      </c>
      <c r="F91">
        <f>IF($E91="","",N(F90)+1)</f>
        <v>0</v>
      </c>
      <c r="G91">
        <f>IF(OR($E91="",$E90=""),"",LN($E91/$E90))</f>
        <v>0</v>
      </c>
      <c r="H91">
        <f>IF($E91="","",IF($E90="",$E91,$E91*0.0952380952+H90*0.9047619048))</f>
        <v>0</v>
      </c>
      <c r="I91">
        <f>IF($E91="","",IF($E90="",$E91,$E91*0.0392156863+I90*0.9607843137))</f>
        <v>0</v>
      </c>
      <c r="J91">
        <f>IF($E91="","",IF($E90="",$E91,$E91*0.0198019802+J90*0.9801980198))</f>
        <v>0</v>
      </c>
      <c r="K91">
        <f>IF($E91="","",IF($E90="",$E91,$E91*0.0099502488+K90*0.9900497512))</f>
        <v>0</v>
      </c>
      <c r="L91">
        <f>IF(OR($E91="",$E90=""),"",MAX($E91-$E90,0))</f>
        <v>0</v>
      </c>
      <c r="M91">
        <f>IF(OR($E91="",$E90=""),"",MAX($E90-$E91,0))</f>
        <v>0</v>
      </c>
      <c r="N91">
        <f>IF(COUNT($E$2:$E91)&lt;15,"",IF(AVERAGE($M$78:$M$91)=0,100,100-100/(1+AVERAGE($L$78:$L$91)/AVERAGE($M$78:$M$91))))</f>
        <v>0</v>
      </c>
      <c r="O91">
        <f>IF($E91="","",IF($E90="",$E91,$E91*0.1538461538+O90*0.8461538462))</f>
        <v>0</v>
      </c>
      <c r="P91">
        <f>IF($E91="","",IF($E90="",$E91,$E91*0.0740740741+P90*0.9259259259))</f>
        <v>0</v>
      </c>
      <c r="Q91">
        <f>IF(OR(O91="",P91=""),"",O91-P91)</f>
        <v>0</v>
      </c>
      <c r="R91">
        <f>IF(Q91="","",IF(R90="",Q91,Q91*0.2000000000+R90*0.8000000000))</f>
        <v>0</v>
      </c>
      <c r="S91">
        <f>IF(OR(Q91="",R91=""),"",Q91-R91)</f>
        <v>0</v>
      </c>
      <c r="T91">
        <f>IF(COUNT($E$2:$E91)&lt;14,"",MAX($C$78:$C$91))</f>
        <v>0</v>
      </c>
      <c r="U91">
        <f>IF(COUNT($E$2:$E91)&lt;14,"",MIN($D$78:$D$91))</f>
        <v>0</v>
      </c>
      <c r="V91">
        <f>IF(OR(T91="",U91="",T91=U91),"",100*($E91-U91)/(T91-U91))</f>
        <v>0</v>
      </c>
      <c r="W91">
        <f>IF(COUNT($V$89:$V$91)&lt;3,"",AVERAGE($V$89:$V$91))</f>
        <v>0</v>
      </c>
      <c r="X91">
        <f>IF(COUNT($N$78:$N$91)&lt;14,"",MIN($N$78:$N$91))</f>
        <v>0</v>
      </c>
      <c r="Y91">
        <f>IF(COUNT($N$78:$N$91)&lt;14,"",MAX($N$78:$N$91))</f>
        <v>0</v>
      </c>
      <c r="Z91">
        <f>IF(OR(N91="",X91="",Y91="",Y91=X91),"",100*(N91-X91)/(Y91-X91))</f>
        <v>0</v>
      </c>
      <c r="AA91">
        <f>IF(COUNT($Z$89:$Z$91)&lt;3,"",AVERAGE($Z$89:$Z$91))</f>
        <v>0</v>
      </c>
      <c r="AB91">
        <f>IF(COUNT($AA$89:$AA$91)&lt;3,"",AVERAGE($AA$89:$AA$91))</f>
        <v>0</v>
      </c>
      <c r="AC91">
        <f>IF($E91="","",MAX($C91-$D91,ABS($C91-$E90),ABS($D91-$E90)))</f>
        <v>0</v>
      </c>
      <c r="AD91">
        <f>IF(COUNT($E$2:$E91)&lt;15,"",AVERAGE($AC$78:$AC$91))</f>
        <v>0</v>
      </c>
      <c r="AE91">
        <f>IF(OR($E91="",$E90=""),"",IF(AND(($C91-$C90)&gt;($D90-$D91),($C91-$C90)&gt;0),$C91-$C90,0))</f>
        <v>0</v>
      </c>
      <c r="AF91">
        <f>IF(OR($E91="",$E90=""),"",IF(AND(($D90-$D91)&gt;($C91-$C90),($D90-$D91)&gt;0),$D90-$D91,0))</f>
        <v>0</v>
      </c>
      <c r="AG91">
        <f>IF(COUNT($E$2:$E91)&lt;15,"",IF(SUM($AC$78:$AC$91)=0,0,100*SUM($AE$78:$AE$91)/SUM($AC$78:$AC$91)))</f>
        <v>0</v>
      </c>
      <c r="AH91">
        <f>IF(COUNT($E$2:$E91)&lt;15,"",IF(SUM($AC$78:$AC$91)=0,0,100*SUM($AF$78:$AF$91)/SUM($AC$78:$AC$91)))</f>
        <v>0</v>
      </c>
      <c r="AI91">
        <f>IF(OR(AG91="",AH91=""),"",IF((AG91+AH91)=0,0,100*ABS(AG91-AH91)/(AG91+AH91)))</f>
        <v>0</v>
      </c>
      <c r="AJ91">
        <f>IF(COUNT($AI$78:$AI$91)&lt;14,"",AVERAGE($AI$78:$AI$91))</f>
        <v>0</v>
      </c>
      <c r="AK91">
        <f>IF(COUNT($E$2:$E91)&lt;20,"",AVERAGE($E$72:$E$91))</f>
        <v>0</v>
      </c>
      <c r="AL91">
        <f>IF(COUNT($E$2:$E91)&lt;20,"",STDEVP($E$72:$E$91))</f>
        <v>0</v>
      </c>
      <c r="AM91">
        <f>IF(AK91="","",AK91+2*AL91)</f>
        <v>0</v>
      </c>
      <c r="AN91">
        <f>IF(AK91="","",AK91-2*AL91)</f>
        <v>0</v>
      </c>
      <c r="AO91">
        <f>IF(OR(AM91="",AN91="",AM91=AN91),"",($E91-AN91)/(AM91-AN91))</f>
        <v>0</v>
      </c>
      <c r="AP91">
        <f>IF(OR(AM91="",AK91="",AK91=0),"",(AM91-AN91)/AK91)</f>
        <v>0</v>
      </c>
      <c r="AQ91">
        <f>IF(COUNT($E$2:$E91)&lt;20,"",MAX($C$72:$C$91))</f>
        <v>0</v>
      </c>
      <c r="AR91">
        <f>IF(COUNT($E$2:$E91)&lt;20,"",MIN($D$72:$D$91))</f>
        <v>0</v>
      </c>
      <c r="AS91">
        <f>IF(OR(AQ91="",AR91=""),"",(AQ91+AR91)/2)</f>
        <v>0</v>
      </c>
      <c r="AT91">
        <f>IF(COUNT($G$72:$G$91)&lt;20,"",STDEV($G$72:$G$91)*SQRT(52))</f>
        <v>0</v>
      </c>
      <c r="AU91">
        <f>IF(COUNT($E$2:$E91)&lt;9,"",(MAX($C$83:$C$91)+MIN($D$83:$D$91))/2)</f>
        <v>0</v>
      </c>
      <c r="AV91">
        <f>IF(COUNT($E$2:$E91)&lt;26,"",(MAX($C$66:$C$91)+MIN($D$66:$D$91))/2)</f>
        <v>0</v>
      </c>
      <c r="AW91">
        <f>IF(OR(AU91="",AV91=""),"",(AU91+AV91)/2)</f>
        <v>0</v>
      </c>
      <c r="AX91">
        <f>IF(COUNT($E$2:$E91)&lt;52,"",(MAX($C$40:$C$91)+MIN($D$40:$D$91))/2)</f>
        <v>0</v>
      </c>
      <c r="AY91">
        <f>IF(COUNT($E$2:$E91)&lt;20,"",MAX($C$2:$C$91))</f>
        <v>0</v>
      </c>
      <c r="AZ91">
        <f>IF(COUNT($E$2:$E91)&lt;20,"",MIN($D$2:$D$91))</f>
        <v>0</v>
      </c>
      <c r="BA91">
        <f>IF(COUNT($E$2:$E91)&lt;20,"",SLOPE($E$2:$E$91,$F$2:$F$91))</f>
        <v>0</v>
      </c>
      <c r="BB91">
        <f>IF(COUNT($E$2:$E91)&lt;20,"",INTERCEPT($E$2:$E$91,$F$2:$F$91))</f>
        <v>0</v>
      </c>
      <c r="BC91">
        <f>IF(OR(BA91="",BB91=""),"",BB91+BA91*F91)</f>
        <v>0</v>
      </c>
      <c r="BD91">
        <f>IF(COUNT($E$2:$E91)&lt;20,"",STEYX($E$2:$E$91,$F$2:$F$91))</f>
        <v>0</v>
      </c>
      <c r="BE91">
        <f>IF($E91="","",IF(AND(COUNT($E$92:$E$95)&gt;=4,$C91=MAX($C$87:$C$95)),$C91,""))</f>
        <v>0</v>
      </c>
      <c r="BF91">
        <f>IF($E91="","",IF(AND(COUNT($E$92:$E$95)&gt;=4,$D91=MIN($D$87:$D$95)),$D91,""))</f>
        <v>0</v>
      </c>
      <c r="BG91">
        <f>IFERROR(SMALL(Calc_Daily!$BM$2:$BM$2001,90),"")</f>
        <v>0</v>
      </c>
    </row>
    <row r="92" spans="1:59">
      <c r="A92" s="27">
        <f>IF($BG92="","",INDEX(Calc_Daily!$A$2:$A$2001,$BG92))</f>
        <v>0</v>
      </c>
      <c r="B92">
        <f>IF($BG92="","",INDEX(Calc_Daily!$BJ$2:$BJ$2001,$BG92))</f>
        <v>0</v>
      </c>
      <c r="C92">
        <f>IF($BG92="","",INDEX(Calc_Daily!$BK$2:$BK$2001,$BG92))</f>
        <v>0</v>
      </c>
      <c r="D92">
        <f>IF($BG92="","",INDEX(Calc_Daily!$BL$2:$BL$2001,$BG92))</f>
        <v>0</v>
      </c>
      <c r="E92">
        <f>IF($BG92="","",INDEX(Calc_Daily!$E$2:$E$2001,$BG92))</f>
        <v>0</v>
      </c>
      <c r="F92">
        <f>IF($E92="","",N(F91)+1)</f>
        <v>0</v>
      </c>
      <c r="G92">
        <f>IF(OR($E92="",$E91=""),"",LN($E92/$E91))</f>
        <v>0</v>
      </c>
      <c r="H92">
        <f>IF($E92="","",IF($E91="",$E92,$E92*0.0952380952+H91*0.9047619048))</f>
        <v>0</v>
      </c>
      <c r="I92">
        <f>IF($E92="","",IF($E91="",$E92,$E92*0.0392156863+I91*0.9607843137))</f>
        <v>0</v>
      </c>
      <c r="J92">
        <f>IF($E92="","",IF($E91="",$E92,$E92*0.0198019802+J91*0.9801980198))</f>
        <v>0</v>
      </c>
      <c r="K92">
        <f>IF($E92="","",IF($E91="",$E92,$E92*0.0099502488+K91*0.9900497512))</f>
        <v>0</v>
      </c>
      <c r="L92">
        <f>IF(OR($E92="",$E91=""),"",MAX($E92-$E91,0))</f>
        <v>0</v>
      </c>
      <c r="M92">
        <f>IF(OR($E92="",$E91=""),"",MAX($E91-$E92,0))</f>
        <v>0</v>
      </c>
      <c r="N92">
        <f>IF(COUNT($E$2:$E92)&lt;15,"",IF(AVERAGE($M$79:$M$92)=0,100,100-100/(1+AVERAGE($L$79:$L$92)/AVERAGE($M$79:$M$92))))</f>
        <v>0</v>
      </c>
      <c r="O92">
        <f>IF($E92="","",IF($E91="",$E92,$E92*0.1538461538+O91*0.8461538462))</f>
        <v>0</v>
      </c>
      <c r="P92">
        <f>IF($E92="","",IF($E91="",$E92,$E92*0.0740740741+P91*0.9259259259))</f>
        <v>0</v>
      </c>
      <c r="Q92">
        <f>IF(OR(O92="",P92=""),"",O92-P92)</f>
        <v>0</v>
      </c>
      <c r="R92">
        <f>IF(Q92="","",IF(R91="",Q92,Q92*0.2000000000+R91*0.8000000000))</f>
        <v>0</v>
      </c>
      <c r="S92">
        <f>IF(OR(Q92="",R92=""),"",Q92-R92)</f>
        <v>0</v>
      </c>
      <c r="T92">
        <f>IF(COUNT($E$2:$E92)&lt;14,"",MAX($C$79:$C$92))</f>
        <v>0</v>
      </c>
      <c r="U92">
        <f>IF(COUNT($E$2:$E92)&lt;14,"",MIN($D$79:$D$92))</f>
        <v>0</v>
      </c>
      <c r="V92">
        <f>IF(OR(T92="",U92="",T92=U92),"",100*($E92-U92)/(T92-U92))</f>
        <v>0</v>
      </c>
      <c r="W92">
        <f>IF(COUNT($V$90:$V$92)&lt;3,"",AVERAGE($V$90:$V$92))</f>
        <v>0</v>
      </c>
      <c r="X92">
        <f>IF(COUNT($N$79:$N$92)&lt;14,"",MIN($N$79:$N$92))</f>
        <v>0</v>
      </c>
      <c r="Y92">
        <f>IF(COUNT($N$79:$N$92)&lt;14,"",MAX($N$79:$N$92))</f>
        <v>0</v>
      </c>
      <c r="Z92">
        <f>IF(OR(N92="",X92="",Y92="",Y92=X92),"",100*(N92-X92)/(Y92-X92))</f>
        <v>0</v>
      </c>
      <c r="AA92">
        <f>IF(COUNT($Z$90:$Z$92)&lt;3,"",AVERAGE($Z$90:$Z$92))</f>
        <v>0</v>
      </c>
      <c r="AB92">
        <f>IF(COUNT($AA$90:$AA$92)&lt;3,"",AVERAGE($AA$90:$AA$92))</f>
        <v>0</v>
      </c>
      <c r="AC92">
        <f>IF($E92="","",MAX($C92-$D92,ABS($C92-$E91),ABS($D92-$E91)))</f>
        <v>0</v>
      </c>
      <c r="AD92">
        <f>IF(COUNT($E$2:$E92)&lt;15,"",AVERAGE($AC$79:$AC$92))</f>
        <v>0</v>
      </c>
      <c r="AE92">
        <f>IF(OR($E92="",$E91=""),"",IF(AND(($C92-$C91)&gt;($D91-$D92),($C92-$C91)&gt;0),$C92-$C91,0))</f>
        <v>0</v>
      </c>
      <c r="AF92">
        <f>IF(OR($E92="",$E91=""),"",IF(AND(($D91-$D92)&gt;($C92-$C91),($D91-$D92)&gt;0),$D91-$D92,0))</f>
        <v>0</v>
      </c>
      <c r="AG92">
        <f>IF(COUNT($E$2:$E92)&lt;15,"",IF(SUM($AC$79:$AC$92)=0,0,100*SUM($AE$79:$AE$92)/SUM($AC$79:$AC$92)))</f>
        <v>0</v>
      </c>
      <c r="AH92">
        <f>IF(COUNT($E$2:$E92)&lt;15,"",IF(SUM($AC$79:$AC$92)=0,0,100*SUM($AF$79:$AF$92)/SUM($AC$79:$AC$92)))</f>
        <v>0</v>
      </c>
      <c r="AI92">
        <f>IF(OR(AG92="",AH92=""),"",IF((AG92+AH92)=0,0,100*ABS(AG92-AH92)/(AG92+AH92)))</f>
        <v>0</v>
      </c>
      <c r="AJ92">
        <f>IF(COUNT($AI$79:$AI$92)&lt;14,"",AVERAGE($AI$79:$AI$92))</f>
        <v>0</v>
      </c>
      <c r="AK92">
        <f>IF(COUNT($E$2:$E92)&lt;20,"",AVERAGE($E$73:$E$92))</f>
        <v>0</v>
      </c>
      <c r="AL92">
        <f>IF(COUNT($E$2:$E92)&lt;20,"",STDEVP($E$73:$E$92))</f>
        <v>0</v>
      </c>
      <c r="AM92">
        <f>IF(AK92="","",AK92+2*AL92)</f>
        <v>0</v>
      </c>
      <c r="AN92">
        <f>IF(AK92="","",AK92-2*AL92)</f>
        <v>0</v>
      </c>
      <c r="AO92">
        <f>IF(OR(AM92="",AN92="",AM92=AN92),"",($E92-AN92)/(AM92-AN92))</f>
        <v>0</v>
      </c>
      <c r="AP92">
        <f>IF(OR(AM92="",AK92="",AK92=0),"",(AM92-AN92)/AK92)</f>
        <v>0</v>
      </c>
      <c r="AQ92">
        <f>IF(COUNT($E$2:$E92)&lt;20,"",MAX($C$73:$C$92))</f>
        <v>0</v>
      </c>
      <c r="AR92">
        <f>IF(COUNT($E$2:$E92)&lt;20,"",MIN($D$73:$D$92))</f>
        <v>0</v>
      </c>
      <c r="AS92">
        <f>IF(OR(AQ92="",AR92=""),"",(AQ92+AR92)/2)</f>
        <v>0</v>
      </c>
      <c r="AT92">
        <f>IF(COUNT($G$73:$G$92)&lt;20,"",STDEV($G$73:$G$92)*SQRT(52))</f>
        <v>0</v>
      </c>
      <c r="AU92">
        <f>IF(COUNT($E$2:$E92)&lt;9,"",(MAX($C$84:$C$92)+MIN($D$84:$D$92))/2)</f>
        <v>0</v>
      </c>
      <c r="AV92">
        <f>IF(COUNT($E$2:$E92)&lt;26,"",(MAX($C$67:$C$92)+MIN($D$67:$D$92))/2)</f>
        <v>0</v>
      </c>
      <c r="AW92">
        <f>IF(OR(AU92="",AV92=""),"",(AU92+AV92)/2)</f>
        <v>0</v>
      </c>
      <c r="AX92">
        <f>IF(COUNT($E$2:$E92)&lt;52,"",(MAX($C$41:$C$92)+MIN($D$41:$D$92))/2)</f>
        <v>0</v>
      </c>
      <c r="AY92">
        <f>IF(COUNT($E$2:$E92)&lt;20,"",MAX($C$2:$C$92))</f>
        <v>0</v>
      </c>
      <c r="AZ92">
        <f>IF(COUNT($E$2:$E92)&lt;20,"",MIN($D$2:$D$92))</f>
        <v>0</v>
      </c>
      <c r="BA92">
        <f>IF(COUNT($E$2:$E92)&lt;20,"",SLOPE($E$2:$E$92,$F$2:$F$92))</f>
        <v>0</v>
      </c>
      <c r="BB92">
        <f>IF(COUNT($E$2:$E92)&lt;20,"",INTERCEPT($E$2:$E$92,$F$2:$F$92))</f>
        <v>0</v>
      </c>
      <c r="BC92">
        <f>IF(OR(BA92="",BB92=""),"",BB92+BA92*F92)</f>
        <v>0</v>
      </c>
      <c r="BD92">
        <f>IF(COUNT($E$2:$E92)&lt;20,"",STEYX($E$2:$E$92,$F$2:$F$92))</f>
        <v>0</v>
      </c>
      <c r="BE92">
        <f>IF($E92="","",IF(AND(COUNT($E$93:$E$96)&gt;=4,$C92=MAX($C$88:$C$96)),$C92,""))</f>
        <v>0</v>
      </c>
      <c r="BF92">
        <f>IF($E92="","",IF(AND(COUNT($E$93:$E$96)&gt;=4,$D92=MIN($D$88:$D$96)),$D92,""))</f>
        <v>0</v>
      </c>
      <c r="BG92">
        <f>IFERROR(SMALL(Calc_Daily!$BM$2:$BM$2001,91),"")</f>
        <v>0</v>
      </c>
    </row>
    <row r="93" spans="1:59">
      <c r="A93" s="27">
        <f>IF($BG93="","",INDEX(Calc_Daily!$A$2:$A$2001,$BG93))</f>
        <v>0</v>
      </c>
      <c r="B93">
        <f>IF($BG93="","",INDEX(Calc_Daily!$BJ$2:$BJ$2001,$BG93))</f>
        <v>0</v>
      </c>
      <c r="C93">
        <f>IF($BG93="","",INDEX(Calc_Daily!$BK$2:$BK$2001,$BG93))</f>
        <v>0</v>
      </c>
      <c r="D93">
        <f>IF($BG93="","",INDEX(Calc_Daily!$BL$2:$BL$2001,$BG93))</f>
        <v>0</v>
      </c>
      <c r="E93">
        <f>IF($BG93="","",INDEX(Calc_Daily!$E$2:$E$2001,$BG93))</f>
        <v>0</v>
      </c>
      <c r="F93">
        <f>IF($E93="","",N(F92)+1)</f>
        <v>0</v>
      </c>
      <c r="G93">
        <f>IF(OR($E93="",$E92=""),"",LN($E93/$E92))</f>
        <v>0</v>
      </c>
      <c r="H93">
        <f>IF($E93="","",IF($E92="",$E93,$E93*0.0952380952+H92*0.9047619048))</f>
        <v>0</v>
      </c>
      <c r="I93">
        <f>IF($E93="","",IF($E92="",$E93,$E93*0.0392156863+I92*0.9607843137))</f>
        <v>0</v>
      </c>
      <c r="J93">
        <f>IF($E93="","",IF($E92="",$E93,$E93*0.0198019802+J92*0.9801980198))</f>
        <v>0</v>
      </c>
      <c r="K93">
        <f>IF($E93="","",IF($E92="",$E93,$E93*0.0099502488+K92*0.9900497512))</f>
        <v>0</v>
      </c>
      <c r="L93">
        <f>IF(OR($E93="",$E92=""),"",MAX($E93-$E92,0))</f>
        <v>0</v>
      </c>
      <c r="M93">
        <f>IF(OR($E93="",$E92=""),"",MAX($E92-$E93,0))</f>
        <v>0</v>
      </c>
      <c r="N93">
        <f>IF(COUNT($E$2:$E93)&lt;15,"",IF(AVERAGE($M$80:$M$93)=0,100,100-100/(1+AVERAGE($L$80:$L$93)/AVERAGE($M$80:$M$93))))</f>
        <v>0</v>
      </c>
      <c r="O93">
        <f>IF($E93="","",IF($E92="",$E93,$E93*0.1538461538+O92*0.8461538462))</f>
        <v>0</v>
      </c>
      <c r="P93">
        <f>IF($E93="","",IF($E92="",$E93,$E93*0.0740740741+P92*0.9259259259))</f>
        <v>0</v>
      </c>
      <c r="Q93">
        <f>IF(OR(O93="",P93=""),"",O93-P93)</f>
        <v>0</v>
      </c>
      <c r="R93">
        <f>IF(Q93="","",IF(R92="",Q93,Q93*0.2000000000+R92*0.8000000000))</f>
        <v>0</v>
      </c>
      <c r="S93">
        <f>IF(OR(Q93="",R93=""),"",Q93-R93)</f>
        <v>0</v>
      </c>
      <c r="T93">
        <f>IF(COUNT($E$2:$E93)&lt;14,"",MAX($C$80:$C$93))</f>
        <v>0</v>
      </c>
      <c r="U93">
        <f>IF(COUNT($E$2:$E93)&lt;14,"",MIN($D$80:$D$93))</f>
        <v>0</v>
      </c>
      <c r="V93">
        <f>IF(OR(T93="",U93="",T93=U93),"",100*($E93-U93)/(T93-U93))</f>
        <v>0</v>
      </c>
      <c r="W93">
        <f>IF(COUNT($V$91:$V$93)&lt;3,"",AVERAGE($V$91:$V$93))</f>
        <v>0</v>
      </c>
      <c r="X93">
        <f>IF(COUNT($N$80:$N$93)&lt;14,"",MIN($N$80:$N$93))</f>
        <v>0</v>
      </c>
      <c r="Y93">
        <f>IF(COUNT($N$80:$N$93)&lt;14,"",MAX($N$80:$N$93))</f>
        <v>0</v>
      </c>
      <c r="Z93">
        <f>IF(OR(N93="",X93="",Y93="",Y93=X93),"",100*(N93-X93)/(Y93-X93))</f>
        <v>0</v>
      </c>
      <c r="AA93">
        <f>IF(COUNT($Z$91:$Z$93)&lt;3,"",AVERAGE($Z$91:$Z$93))</f>
        <v>0</v>
      </c>
      <c r="AB93">
        <f>IF(COUNT($AA$91:$AA$93)&lt;3,"",AVERAGE($AA$91:$AA$93))</f>
        <v>0</v>
      </c>
      <c r="AC93">
        <f>IF($E93="","",MAX($C93-$D93,ABS($C93-$E92),ABS($D93-$E92)))</f>
        <v>0</v>
      </c>
      <c r="AD93">
        <f>IF(COUNT($E$2:$E93)&lt;15,"",AVERAGE($AC$80:$AC$93))</f>
        <v>0</v>
      </c>
      <c r="AE93">
        <f>IF(OR($E93="",$E92=""),"",IF(AND(($C93-$C92)&gt;($D92-$D93),($C93-$C92)&gt;0),$C93-$C92,0))</f>
        <v>0</v>
      </c>
      <c r="AF93">
        <f>IF(OR($E93="",$E92=""),"",IF(AND(($D92-$D93)&gt;($C93-$C92),($D92-$D93)&gt;0),$D92-$D93,0))</f>
        <v>0</v>
      </c>
      <c r="AG93">
        <f>IF(COUNT($E$2:$E93)&lt;15,"",IF(SUM($AC$80:$AC$93)=0,0,100*SUM($AE$80:$AE$93)/SUM($AC$80:$AC$93)))</f>
        <v>0</v>
      </c>
      <c r="AH93">
        <f>IF(COUNT($E$2:$E93)&lt;15,"",IF(SUM($AC$80:$AC$93)=0,0,100*SUM($AF$80:$AF$93)/SUM($AC$80:$AC$93)))</f>
        <v>0</v>
      </c>
      <c r="AI93">
        <f>IF(OR(AG93="",AH93=""),"",IF((AG93+AH93)=0,0,100*ABS(AG93-AH93)/(AG93+AH93)))</f>
        <v>0</v>
      </c>
      <c r="AJ93">
        <f>IF(COUNT($AI$80:$AI$93)&lt;14,"",AVERAGE($AI$80:$AI$93))</f>
        <v>0</v>
      </c>
      <c r="AK93">
        <f>IF(COUNT($E$2:$E93)&lt;20,"",AVERAGE($E$74:$E$93))</f>
        <v>0</v>
      </c>
      <c r="AL93">
        <f>IF(COUNT($E$2:$E93)&lt;20,"",STDEVP($E$74:$E$93))</f>
        <v>0</v>
      </c>
      <c r="AM93">
        <f>IF(AK93="","",AK93+2*AL93)</f>
        <v>0</v>
      </c>
      <c r="AN93">
        <f>IF(AK93="","",AK93-2*AL93)</f>
        <v>0</v>
      </c>
      <c r="AO93">
        <f>IF(OR(AM93="",AN93="",AM93=AN93),"",($E93-AN93)/(AM93-AN93))</f>
        <v>0</v>
      </c>
      <c r="AP93">
        <f>IF(OR(AM93="",AK93="",AK93=0),"",(AM93-AN93)/AK93)</f>
        <v>0</v>
      </c>
      <c r="AQ93">
        <f>IF(COUNT($E$2:$E93)&lt;20,"",MAX($C$74:$C$93))</f>
        <v>0</v>
      </c>
      <c r="AR93">
        <f>IF(COUNT($E$2:$E93)&lt;20,"",MIN($D$74:$D$93))</f>
        <v>0</v>
      </c>
      <c r="AS93">
        <f>IF(OR(AQ93="",AR93=""),"",(AQ93+AR93)/2)</f>
        <v>0</v>
      </c>
      <c r="AT93">
        <f>IF(COUNT($G$74:$G$93)&lt;20,"",STDEV($G$74:$G$93)*SQRT(52))</f>
        <v>0</v>
      </c>
      <c r="AU93">
        <f>IF(COUNT($E$2:$E93)&lt;9,"",(MAX($C$85:$C$93)+MIN($D$85:$D$93))/2)</f>
        <v>0</v>
      </c>
      <c r="AV93">
        <f>IF(COUNT($E$2:$E93)&lt;26,"",(MAX($C$68:$C$93)+MIN($D$68:$D$93))/2)</f>
        <v>0</v>
      </c>
      <c r="AW93">
        <f>IF(OR(AU93="",AV93=""),"",(AU93+AV93)/2)</f>
        <v>0</v>
      </c>
      <c r="AX93">
        <f>IF(COUNT($E$2:$E93)&lt;52,"",(MAX($C$42:$C$93)+MIN($D$42:$D$93))/2)</f>
        <v>0</v>
      </c>
      <c r="AY93">
        <f>IF(COUNT($E$2:$E93)&lt;20,"",MAX($C$2:$C$93))</f>
        <v>0</v>
      </c>
      <c r="AZ93">
        <f>IF(COUNT($E$2:$E93)&lt;20,"",MIN($D$2:$D$93))</f>
        <v>0</v>
      </c>
      <c r="BA93">
        <f>IF(COUNT($E$2:$E93)&lt;20,"",SLOPE($E$2:$E$93,$F$2:$F$93))</f>
        <v>0</v>
      </c>
      <c r="BB93">
        <f>IF(COUNT($E$2:$E93)&lt;20,"",INTERCEPT($E$2:$E$93,$F$2:$F$93))</f>
        <v>0</v>
      </c>
      <c r="BC93">
        <f>IF(OR(BA93="",BB93=""),"",BB93+BA93*F93)</f>
        <v>0</v>
      </c>
      <c r="BD93">
        <f>IF(COUNT($E$2:$E93)&lt;20,"",STEYX($E$2:$E$93,$F$2:$F$93))</f>
        <v>0</v>
      </c>
      <c r="BE93">
        <f>IF($E93="","",IF(AND(COUNT($E$94:$E$97)&gt;=4,$C93=MAX($C$89:$C$97)),$C93,""))</f>
        <v>0</v>
      </c>
      <c r="BF93">
        <f>IF($E93="","",IF(AND(COUNT($E$94:$E$97)&gt;=4,$D93=MIN($D$89:$D$97)),$D93,""))</f>
        <v>0</v>
      </c>
      <c r="BG93">
        <f>IFERROR(SMALL(Calc_Daily!$BM$2:$BM$2001,92),"")</f>
        <v>0</v>
      </c>
    </row>
    <row r="94" spans="1:59">
      <c r="A94" s="27">
        <f>IF($BG94="","",INDEX(Calc_Daily!$A$2:$A$2001,$BG94))</f>
        <v>0</v>
      </c>
      <c r="B94">
        <f>IF($BG94="","",INDEX(Calc_Daily!$BJ$2:$BJ$2001,$BG94))</f>
        <v>0</v>
      </c>
      <c r="C94">
        <f>IF($BG94="","",INDEX(Calc_Daily!$BK$2:$BK$2001,$BG94))</f>
        <v>0</v>
      </c>
      <c r="D94">
        <f>IF($BG94="","",INDEX(Calc_Daily!$BL$2:$BL$2001,$BG94))</f>
        <v>0</v>
      </c>
      <c r="E94">
        <f>IF($BG94="","",INDEX(Calc_Daily!$E$2:$E$2001,$BG94))</f>
        <v>0</v>
      </c>
      <c r="F94">
        <f>IF($E94="","",N(F93)+1)</f>
        <v>0</v>
      </c>
      <c r="G94">
        <f>IF(OR($E94="",$E93=""),"",LN($E94/$E93))</f>
        <v>0</v>
      </c>
      <c r="H94">
        <f>IF($E94="","",IF($E93="",$E94,$E94*0.0952380952+H93*0.9047619048))</f>
        <v>0</v>
      </c>
      <c r="I94">
        <f>IF($E94="","",IF($E93="",$E94,$E94*0.0392156863+I93*0.9607843137))</f>
        <v>0</v>
      </c>
      <c r="J94">
        <f>IF($E94="","",IF($E93="",$E94,$E94*0.0198019802+J93*0.9801980198))</f>
        <v>0</v>
      </c>
      <c r="K94">
        <f>IF($E94="","",IF($E93="",$E94,$E94*0.0099502488+K93*0.9900497512))</f>
        <v>0</v>
      </c>
      <c r="L94">
        <f>IF(OR($E94="",$E93=""),"",MAX($E94-$E93,0))</f>
        <v>0</v>
      </c>
      <c r="M94">
        <f>IF(OR($E94="",$E93=""),"",MAX($E93-$E94,0))</f>
        <v>0</v>
      </c>
      <c r="N94">
        <f>IF(COUNT($E$2:$E94)&lt;15,"",IF(AVERAGE($M$81:$M$94)=0,100,100-100/(1+AVERAGE($L$81:$L$94)/AVERAGE($M$81:$M$94))))</f>
        <v>0</v>
      </c>
      <c r="O94">
        <f>IF($E94="","",IF($E93="",$E94,$E94*0.1538461538+O93*0.8461538462))</f>
        <v>0</v>
      </c>
      <c r="P94">
        <f>IF($E94="","",IF($E93="",$E94,$E94*0.0740740741+P93*0.9259259259))</f>
        <v>0</v>
      </c>
      <c r="Q94">
        <f>IF(OR(O94="",P94=""),"",O94-P94)</f>
        <v>0</v>
      </c>
      <c r="R94">
        <f>IF(Q94="","",IF(R93="",Q94,Q94*0.2000000000+R93*0.8000000000))</f>
        <v>0</v>
      </c>
      <c r="S94">
        <f>IF(OR(Q94="",R94=""),"",Q94-R94)</f>
        <v>0</v>
      </c>
      <c r="T94">
        <f>IF(COUNT($E$2:$E94)&lt;14,"",MAX($C$81:$C$94))</f>
        <v>0</v>
      </c>
      <c r="U94">
        <f>IF(COUNT($E$2:$E94)&lt;14,"",MIN($D$81:$D$94))</f>
        <v>0</v>
      </c>
      <c r="V94">
        <f>IF(OR(T94="",U94="",T94=U94),"",100*($E94-U94)/(T94-U94))</f>
        <v>0</v>
      </c>
      <c r="W94">
        <f>IF(COUNT($V$92:$V$94)&lt;3,"",AVERAGE($V$92:$V$94))</f>
        <v>0</v>
      </c>
      <c r="X94">
        <f>IF(COUNT($N$81:$N$94)&lt;14,"",MIN($N$81:$N$94))</f>
        <v>0</v>
      </c>
      <c r="Y94">
        <f>IF(COUNT($N$81:$N$94)&lt;14,"",MAX($N$81:$N$94))</f>
        <v>0</v>
      </c>
      <c r="Z94">
        <f>IF(OR(N94="",X94="",Y94="",Y94=X94),"",100*(N94-X94)/(Y94-X94))</f>
        <v>0</v>
      </c>
      <c r="AA94">
        <f>IF(COUNT($Z$92:$Z$94)&lt;3,"",AVERAGE($Z$92:$Z$94))</f>
        <v>0</v>
      </c>
      <c r="AB94">
        <f>IF(COUNT($AA$92:$AA$94)&lt;3,"",AVERAGE($AA$92:$AA$94))</f>
        <v>0</v>
      </c>
      <c r="AC94">
        <f>IF($E94="","",MAX($C94-$D94,ABS($C94-$E93),ABS($D94-$E93)))</f>
        <v>0</v>
      </c>
      <c r="AD94">
        <f>IF(COUNT($E$2:$E94)&lt;15,"",AVERAGE($AC$81:$AC$94))</f>
        <v>0</v>
      </c>
      <c r="AE94">
        <f>IF(OR($E94="",$E93=""),"",IF(AND(($C94-$C93)&gt;($D93-$D94),($C94-$C93)&gt;0),$C94-$C93,0))</f>
        <v>0</v>
      </c>
      <c r="AF94">
        <f>IF(OR($E94="",$E93=""),"",IF(AND(($D93-$D94)&gt;($C94-$C93),($D93-$D94)&gt;0),$D93-$D94,0))</f>
        <v>0</v>
      </c>
      <c r="AG94">
        <f>IF(COUNT($E$2:$E94)&lt;15,"",IF(SUM($AC$81:$AC$94)=0,0,100*SUM($AE$81:$AE$94)/SUM($AC$81:$AC$94)))</f>
        <v>0</v>
      </c>
      <c r="AH94">
        <f>IF(COUNT($E$2:$E94)&lt;15,"",IF(SUM($AC$81:$AC$94)=0,0,100*SUM($AF$81:$AF$94)/SUM($AC$81:$AC$94)))</f>
        <v>0</v>
      </c>
      <c r="AI94">
        <f>IF(OR(AG94="",AH94=""),"",IF((AG94+AH94)=0,0,100*ABS(AG94-AH94)/(AG94+AH94)))</f>
        <v>0</v>
      </c>
      <c r="AJ94">
        <f>IF(COUNT($AI$81:$AI$94)&lt;14,"",AVERAGE($AI$81:$AI$94))</f>
        <v>0</v>
      </c>
      <c r="AK94">
        <f>IF(COUNT($E$2:$E94)&lt;20,"",AVERAGE($E$75:$E$94))</f>
        <v>0</v>
      </c>
      <c r="AL94">
        <f>IF(COUNT($E$2:$E94)&lt;20,"",STDEVP($E$75:$E$94))</f>
        <v>0</v>
      </c>
      <c r="AM94">
        <f>IF(AK94="","",AK94+2*AL94)</f>
        <v>0</v>
      </c>
      <c r="AN94">
        <f>IF(AK94="","",AK94-2*AL94)</f>
        <v>0</v>
      </c>
      <c r="AO94">
        <f>IF(OR(AM94="",AN94="",AM94=AN94),"",($E94-AN94)/(AM94-AN94))</f>
        <v>0</v>
      </c>
      <c r="AP94">
        <f>IF(OR(AM94="",AK94="",AK94=0),"",(AM94-AN94)/AK94)</f>
        <v>0</v>
      </c>
      <c r="AQ94">
        <f>IF(COUNT($E$2:$E94)&lt;20,"",MAX($C$75:$C$94))</f>
        <v>0</v>
      </c>
      <c r="AR94">
        <f>IF(COUNT($E$2:$E94)&lt;20,"",MIN($D$75:$D$94))</f>
        <v>0</v>
      </c>
      <c r="AS94">
        <f>IF(OR(AQ94="",AR94=""),"",(AQ94+AR94)/2)</f>
        <v>0</v>
      </c>
      <c r="AT94">
        <f>IF(COUNT($G$75:$G$94)&lt;20,"",STDEV($G$75:$G$94)*SQRT(52))</f>
        <v>0</v>
      </c>
      <c r="AU94">
        <f>IF(COUNT($E$2:$E94)&lt;9,"",(MAX($C$86:$C$94)+MIN($D$86:$D$94))/2)</f>
        <v>0</v>
      </c>
      <c r="AV94">
        <f>IF(COUNT($E$2:$E94)&lt;26,"",(MAX($C$69:$C$94)+MIN($D$69:$D$94))/2)</f>
        <v>0</v>
      </c>
      <c r="AW94">
        <f>IF(OR(AU94="",AV94=""),"",(AU94+AV94)/2)</f>
        <v>0</v>
      </c>
      <c r="AX94">
        <f>IF(COUNT($E$2:$E94)&lt;52,"",(MAX($C$43:$C$94)+MIN($D$43:$D$94))/2)</f>
        <v>0</v>
      </c>
      <c r="AY94">
        <f>IF(COUNT($E$2:$E94)&lt;20,"",MAX($C$2:$C$94))</f>
        <v>0</v>
      </c>
      <c r="AZ94">
        <f>IF(COUNT($E$2:$E94)&lt;20,"",MIN($D$2:$D$94))</f>
        <v>0</v>
      </c>
      <c r="BA94">
        <f>IF(COUNT($E$2:$E94)&lt;20,"",SLOPE($E$2:$E$94,$F$2:$F$94))</f>
        <v>0</v>
      </c>
      <c r="BB94">
        <f>IF(COUNT($E$2:$E94)&lt;20,"",INTERCEPT($E$2:$E$94,$F$2:$F$94))</f>
        <v>0</v>
      </c>
      <c r="BC94">
        <f>IF(OR(BA94="",BB94=""),"",BB94+BA94*F94)</f>
        <v>0</v>
      </c>
      <c r="BD94">
        <f>IF(COUNT($E$2:$E94)&lt;20,"",STEYX($E$2:$E$94,$F$2:$F$94))</f>
        <v>0</v>
      </c>
      <c r="BE94">
        <f>IF($E94="","",IF(AND(COUNT($E$95:$E$98)&gt;=4,$C94=MAX($C$90:$C$98)),$C94,""))</f>
        <v>0</v>
      </c>
      <c r="BF94">
        <f>IF($E94="","",IF(AND(COUNT($E$95:$E$98)&gt;=4,$D94=MIN($D$90:$D$98)),$D94,""))</f>
        <v>0</v>
      </c>
      <c r="BG94">
        <f>IFERROR(SMALL(Calc_Daily!$BM$2:$BM$2001,93),"")</f>
        <v>0</v>
      </c>
    </row>
    <row r="95" spans="1:59">
      <c r="A95" s="27">
        <f>IF($BG95="","",INDEX(Calc_Daily!$A$2:$A$2001,$BG95))</f>
        <v>0</v>
      </c>
      <c r="B95">
        <f>IF($BG95="","",INDEX(Calc_Daily!$BJ$2:$BJ$2001,$BG95))</f>
        <v>0</v>
      </c>
      <c r="C95">
        <f>IF($BG95="","",INDEX(Calc_Daily!$BK$2:$BK$2001,$BG95))</f>
        <v>0</v>
      </c>
      <c r="D95">
        <f>IF($BG95="","",INDEX(Calc_Daily!$BL$2:$BL$2001,$BG95))</f>
        <v>0</v>
      </c>
      <c r="E95">
        <f>IF($BG95="","",INDEX(Calc_Daily!$E$2:$E$2001,$BG95))</f>
        <v>0</v>
      </c>
      <c r="F95">
        <f>IF($E95="","",N(F94)+1)</f>
        <v>0</v>
      </c>
      <c r="G95">
        <f>IF(OR($E95="",$E94=""),"",LN($E95/$E94))</f>
        <v>0</v>
      </c>
      <c r="H95">
        <f>IF($E95="","",IF($E94="",$E95,$E95*0.0952380952+H94*0.9047619048))</f>
        <v>0</v>
      </c>
      <c r="I95">
        <f>IF($E95="","",IF($E94="",$E95,$E95*0.0392156863+I94*0.9607843137))</f>
        <v>0</v>
      </c>
      <c r="J95">
        <f>IF($E95="","",IF($E94="",$E95,$E95*0.0198019802+J94*0.9801980198))</f>
        <v>0</v>
      </c>
      <c r="K95">
        <f>IF($E95="","",IF($E94="",$E95,$E95*0.0099502488+K94*0.9900497512))</f>
        <v>0</v>
      </c>
      <c r="L95">
        <f>IF(OR($E95="",$E94=""),"",MAX($E95-$E94,0))</f>
        <v>0</v>
      </c>
      <c r="M95">
        <f>IF(OR($E95="",$E94=""),"",MAX($E94-$E95,0))</f>
        <v>0</v>
      </c>
      <c r="N95">
        <f>IF(COUNT($E$2:$E95)&lt;15,"",IF(AVERAGE($M$82:$M$95)=0,100,100-100/(1+AVERAGE($L$82:$L$95)/AVERAGE($M$82:$M$95))))</f>
        <v>0</v>
      </c>
      <c r="O95">
        <f>IF($E95="","",IF($E94="",$E95,$E95*0.1538461538+O94*0.8461538462))</f>
        <v>0</v>
      </c>
      <c r="P95">
        <f>IF($E95="","",IF($E94="",$E95,$E95*0.0740740741+P94*0.9259259259))</f>
        <v>0</v>
      </c>
      <c r="Q95">
        <f>IF(OR(O95="",P95=""),"",O95-P95)</f>
        <v>0</v>
      </c>
      <c r="R95">
        <f>IF(Q95="","",IF(R94="",Q95,Q95*0.2000000000+R94*0.8000000000))</f>
        <v>0</v>
      </c>
      <c r="S95">
        <f>IF(OR(Q95="",R95=""),"",Q95-R95)</f>
        <v>0</v>
      </c>
      <c r="T95">
        <f>IF(COUNT($E$2:$E95)&lt;14,"",MAX($C$82:$C$95))</f>
        <v>0</v>
      </c>
      <c r="U95">
        <f>IF(COUNT($E$2:$E95)&lt;14,"",MIN($D$82:$D$95))</f>
        <v>0</v>
      </c>
      <c r="V95">
        <f>IF(OR(T95="",U95="",T95=U95),"",100*($E95-U95)/(T95-U95))</f>
        <v>0</v>
      </c>
      <c r="W95">
        <f>IF(COUNT($V$93:$V$95)&lt;3,"",AVERAGE($V$93:$V$95))</f>
        <v>0</v>
      </c>
      <c r="X95">
        <f>IF(COUNT($N$82:$N$95)&lt;14,"",MIN($N$82:$N$95))</f>
        <v>0</v>
      </c>
      <c r="Y95">
        <f>IF(COUNT($N$82:$N$95)&lt;14,"",MAX($N$82:$N$95))</f>
        <v>0</v>
      </c>
      <c r="Z95">
        <f>IF(OR(N95="",X95="",Y95="",Y95=X95),"",100*(N95-X95)/(Y95-X95))</f>
        <v>0</v>
      </c>
      <c r="AA95">
        <f>IF(COUNT($Z$93:$Z$95)&lt;3,"",AVERAGE($Z$93:$Z$95))</f>
        <v>0</v>
      </c>
      <c r="AB95">
        <f>IF(COUNT($AA$93:$AA$95)&lt;3,"",AVERAGE($AA$93:$AA$95))</f>
        <v>0</v>
      </c>
      <c r="AC95">
        <f>IF($E95="","",MAX($C95-$D95,ABS($C95-$E94),ABS($D95-$E94)))</f>
        <v>0</v>
      </c>
      <c r="AD95">
        <f>IF(COUNT($E$2:$E95)&lt;15,"",AVERAGE($AC$82:$AC$95))</f>
        <v>0</v>
      </c>
      <c r="AE95">
        <f>IF(OR($E95="",$E94=""),"",IF(AND(($C95-$C94)&gt;($D94-$D95),($C95-$C94)&gt;0),$C95-$C94,0))</f>
        <v>0</v>
      </c>
      <c r="AF95">
        <f>IF(OR($E95="",$E94=""),"",IF(AND(($D94-$D95)&gt;($C95-$C94),($D94-$D95)&gt;0),$D94-$D95,0))</f>
        <v>0</v>
      </c>
      <c r="AG95">
        <f>IF(COUNT($E$2:$E95)&lt;15,"",IF(SUM($AC$82:$AC$95)=0,0,100*SUM($AE$82:$AE$95)/SUM($AC$82:$AC$95)))</f>
        <v>0</v>
      </c>
      <c r="AH95">
        <f>IF(COUNT($E$2:$E95)&lt;15,"",IF(SUM($AC$82:$AC$95)=0,0,100*SUM($AF$82:$AF$95)/SUM($AC$82:$AC$95)))</f>
        <v>0</v>
      </c>
      <c r="AI95">
        <f>IF(OR(AG95="",AH95=""),"",IF((AG95+AH95)=0,0,100*ABS(AG95-AH95)/(AG95+AH95)))</f>
        <v>0</v>
      </c>
      <c r="AJ95">
        <f>IF(COUNT($AI$82:$AI$95)&lt;14,"",AVERAGE($AI$82:$AI$95))</f>
        <v>0</v>
      </c>
      <c r="AK95">
        <f>IF(COUNT($E$2:$E95)&lt;20,"",AVERAGE($E$76:$E$95))</f>
        <v>0</v>
      </c>
      <c r="AL95">
        <f>IF(COUNT($E$2:$E95)&lt;20,"",STDEVP($E$76:$E$95))</f>
        <v>0</v>
      </c>
      <c r="AM95">
        <f>IF(AK95="","",AK95+2*AL95)</f>
        <v>0</v>
      </c>
      <c r="AN95">
        <f>IF(AK95="","",AK95-2*AL95)</f>
        <v>0</v>
      </c>
      <c r="AO95">
        <f>IF(OR(AM95="",AN95="",AM95=AN95),"",($E95-AN95)/(AM95-AN95))</f>
        <v>0</v>
      </c>
      <c r="AP95">
        <f>IF(OR(AM95="",AK95="",AK95=0),"",(AM95-AN95)/AK95)</f>
        <v>0</v>
      </c>
      <c r="AQ95">
        <f>IF(COUNT($E$2:$E95)&lt;20,"",MAX($C$76:$C$95))</f>
        <v>0</v>
      </c>
      <c r="AR95">
        <f>IF(COUNT($E$2:$E95)&lt;20,"",MIN($D$76:$D$95))</f>
        <v>0</v>
      </c>
      <c r="AS95">
        <f>IF(OR(AQ95="",AR95=""),"",(AQ95+AR95)/2)</f>
        <v>0</v>
      </c>
      <c r="AT95">
        <f>IF(COUNT($G$76:$G$95)&lt;20,"",STDEV($G$76:$G$95)*SQRT(52))</f>
        <v>0</v>
      </c>
      <c r="AU95">
        <f>IF(COUNT($E$2:$E95)&lt;9,"",(MAX($C$87:$C$95)+MIN($D$87:$D$95))/2)</f>
        <v>0</v>
      </c>
      <c r="AV95">
        <f>IF(COUNT($E$2:$E95)&lt;26,"",(MAX($C$70:$C$95)+MIN($D$70:$D$95))/2)</f>
        <v>0</v>
      </c>
      <c r="AW95">
        <f>IF(OR(AU95="",AV95=""),"",(AU95+AV95)/2)</f>
        <v>0</v>
      </c>
      <c r="AX95">
        <f>IF(COUNT($E$2:$E95)&lt;52,"",(MAX($C$44:$C$95)+MIN($D$44:$D$95))/2)</f>
        <v>0</v>
      </c>
      <c r="AY95">
        <f>IF(COUNT($E$2:$E95)&lt;20,"",MAX($C$2:$C$95))</f>
        <v>0</v>
      </c>
      <c r="AZ95">
        <f>IF(COUNT($E$2:$E95)&lt;20,"",MIN($D$2:$D$95))</f>
        <v>0</v>
      </c>
      <c r="BA95">
        <f>IF(COUNT($E$2:$E95)&lt;20,"",SLOPE($E$2:$E$95,$F$2:$F$95))</f>
        <v>0</v>
      </c>
      <c r="BB95">
        <f>IF(COUNT($E$2:$E95)&lt;20,"",INTERCEPT($E$2:$E$95,$F$2:$F$95))</f>
        <v>0</v>
      </c>
      <c r="BC95">
        <f>IF(OR(BA95="",BB95=""),"",BB95+BA95*F95)</f>
        <v>0</v>
      </c>
      <c r="BD95">
        <f>IF(COUNT($E$2:$E95)&lt;20,"",STEYX($E$2:$E$95,$F$2:$F$95))</f>
        <v>0</v>
      </c>
      <c r="BE95">
        <f>IF($E95="","",IF(AND(COUNT($E$96:$E$99)&gt;=4,$C95=MAX($C$91:$C$99)),$C95,""))</f>
        <v>0</v>
      </c>
      <c r="BF95">
        <f>IF($E95="","",IF(AND(COUNT($E$96:$E$99)&gt;=4,$D95=MIN($D$91:$D$99)),$D95,""))</f>
        <v>0</v>
      </c>
      <c r="BG95">
        <f>IFERROR(SMALL(Calc_Daily!$BM$2:$BM$2001,94),"")</f>
        <v>0</v>
      </c>
    </row>
    <row r="96" spans="1:59">
      <c r="A96" s="27">
        <f>IF($BG96="","",INDEX(Calc_Daily!$A$2:$A$2001,$BG96))</f>
        <v>0</v>
      </c>
      <c r="B96">
        <f>IF($BG96="","",INDEX(Calc_Daily!$BJ$2:$BJ$2001,$BG96))</f>
        <v>0</v>
      </c>
      <c r="C96">
        <f>IF($BG96="","",INDEX(Calc_Daily!$BK$2:$BK$2001,$BG96))</f>
        <v>0</v>
      </c>
      <c r="D96">
        <f>IF($BG96="","",INDEX(Calc_Daily!$BL$2:$BL$2001,$BG96))</f>
        <v>0</v>
      </c>
      <c r="E96">
        <f>IF($BG96="","",INDEX(Calc_Daily!$E$2:$E$2001,$BG96))</f>
        <v>0</v>
      </c>
      <c r="F96">
        <f>IF($E96="","",N(F95)+1)</f>
        <v>0</v>
      </c>
      <c r="G96">
        <f>IF(OR($E96="",$E95=""),"",LN($E96/$E95))</f>
        <v>0</v>
      </c>
      <c r="H96">
        <f>IF($E96="","",IF($E95="",$E96,$E96*0.0952380952+H95*0.9047619048))</f>
        <v>0</v>
      </c>
      <c r="I96">
        <f>IF($E96="","",IF($E95="",$E96,$E96*0.0392156863+I95*0.9607843137))</f>
        <v>0</v>
      </c>
      <c r="J96">
        <f>IF($E96="","",IF($E95="",$E96,$E96*0.0198019802+J95*0.9801980198))</f>
        <v>0</v>
      </c>
      <c r="K96">
        <f>IF($E96="","",IF($E95="",$E96,$E96*0.0099502488+K95*0.9900497512))</f>
        <v>0</v>
      </c>
      <c r="L96">
        <f>IF(OR($E96="",$E95=""),"",MAX($E96-$E95,0))</f>
        <v>0</v>
      </c>
      <c r="M96">
        <f>IF(OR($E96="",$E95=""),"",MAX($E95-$E96,0))</f>
        <v>0</v>
      </c>
      <c r="N96">
        <f>IF(COUNT($E$2:$E96)&lt;15,"",IF(AVERAGE($M$83:$M$96)=0,100,100-100/(1+AVERAGE($L$83:$L$96)/AVERAGE($M$83:$M$96))))</f>
        <v>0</v>
      </c>
      <c r="O96">
        <f>IF($E96="","",IF($E95="",$E96,$E96*0.1538461538+O95*0.8461538462))</f>
        <v>0</v>
      </c>
      <c r="P96">
        <f>IF($E96="","",IF($E95="",$E96,$E96*0.0740740741+P95*0.9259259259))</f>
        <v>0</v>
      </c>
      <c r="Q96">
        <f>IF(OR(O96="",P96=""),"",O96-P96)</f>
        <v>0</v>
      </c>
      <c r="R96">
        <f>IF(Q96="","",IF(R95="",Q96,Q96*0.2000000000+R95*0.8000000000))</f>
        <v>0</v>
      </c>
      <c r="S96">
        <f>IF(OR(Q96="",R96=""),"",Q96-R96)</f>
        <v>0</v>
      </c>
      <c r="T96">
        <f>IF(COUNT($E$2:$E96)&lt;14,"",MAX($C$83:$C$96))</f>
        <v>0</v>
      </c>
      <c r="U96">
        <f>IF(COUNT($E$2:$E96)&lt;14,"",MIN($D$83:$D$96))</f>
        <v>0</v>
      </c>
      <c r="V96">
        <f>IF(OR(T96="",U96="",T96=U96),"",100*($E96-U96)/(T96-U96))</f>
        <v>0</v>
      </c>
      <c r="W96">
        <f>IF(COUNT($V$94:$V$96)&lt;3,"",AVERAGE($V$94:$V$96))</f>
        <v>0</v>
      </c>
      <c r="X96">
        <f>IF(COUNT($N$83:$N$96)&lt;14,"",MIN($N$83:$N$96))</f>
        <v>0</v>
      </c>
      <c r="Y96">
        <f>IF(COUNT($N$83:$N$96)&lt;14,"",MAX($N$83:$N$96))</f>
        <v>0</v>
      </c>
      <c r="Z96">
        <f>IF(OR(N96="",X96="",Y96="",Y96=X96),"",100*(N96-X96)/(Y96-X96))</f>
        <v>0</v>
      </c>
      <c r="AA96">
        <f>IF(COUNT($Z$94:$Z$96)&lt;3,"",AVERAGE($Z$94:$Z$96))</f>
        <v>0</v>
      </c>
      <c r="AB96">
        <f>IF(COUNT($AA$94:$AA$96)&lt;3,"",AVERAGE($AA$94:$AA$96))</f>
        <v>0</v>
      </c>
      <c r="AC96">
        <f>IF($E96="","",MAX($C96-$D96,ABS($C96-$E95),ABS($D96-$E95)))</f>
        <v>0</v>
      </c>
      <c r="AD96">
        <f>IF(COUNT($E$2:$E96)&lt;15,"",AVERAGE($AC$83:$AC$96))</f>
        <v>0</v>
      </c>
      <c r="AE96">
        <f>IF(OR($E96="",$E95=""),"",IF(AND(($C96-$C95)&gt;($D95-$D96),($C96-$C95)&gt;0),$C96-$C95,0))</f>
        <v>0</v>
      </c>
      <c r="AF96">
        <f>IF(OR($E96="",$E95=""),"",IF(AND(($D95-$D96)&gt;($C96-$C95),($D95-$D96)&gt;0),$D95-$D96,0))</f>
        <v>0</v>
      </c>
      <c r="AG96">
        <f>IF(COUNT($E$2:$E96)&lt;15,"",IF(SUM($AC$83:$AC$96)=0,0,100*SUM($AE$83:$AE$96)/SUM($AC$83:$AC$96)))</f>
        <v>0</v>
      </c>
      <c r="AH96">
        <f>IF(COUNT($E$2:$E96)&lt;15,"",IF(SUM($AC$83:$AC$96)=0,0,100*SUM($AF$83:$AF$96)/SUM($AC$83:$AC$96)))</f>
        <v>0</v>
      </c>
      <c r="AI96">
        <f>IF(OR(AG96="",AH96=""),"",IF((AG96+AH96)=0,0,100*ABS(AG96-AH96)/(AG96+AH96)))</f>
        <v>0</v>
      </c>
      <c r="AJ96">
        <f>IF(COUNT($AI$83:$AI$96)&lt;14,"",AVERAGE($AI$83:$AI$96))</f>
        <v>0</v>
      </c>
      <c r="AK96">
        <f>IF(COUNT($E$2:$E96)&lt;20,"",AVERAGE($E$77:$E$96))</f>
        <v>0</v>
      </c>
      <c r="AL96">
        <f>IF(COUNT($E$2:$E96)&lt;20,"",STDEVP($E$77:$E$96))</f>
        <v>0</v>
      </c>
      <c r="AM96">
        <f>IF(AK96="","",AK96+2*AL96)</f>
        <v>0</v>
      </c>
      <c r="AN96">
        <f>IF(AK96="","",AK96-2*AL96)</f>
        <v>0</v>
      </c>
      <c r="AO96">
        <f>IF(OR(AM96="",AN96="",AM96=AN96),"",($E96-AN96)/(AM96-AN96))</f>
        <v>0</v>
      </c>
      <c r="AP96">
        <f>IF(OR(AM96="",AK96="",AK96=0),"",(AM96-AN96)/AK96)</f>
        <v>0</v>
      </c>
      <c r="AQ96">
        <f>IF(COUNT($E$2:$E96)&lt;20,"",MAX($C$77:$C$96))</f>
        <v>0</v>
      </c>
      <c r="AR96">
        <f>IF(COUNT($E$2:$E96)&lt;20,"",MIN($D$77:$D$96))</f>
        <v>0</v>
      </c>
      <c r="AS96">
        <f>IF(OR(AQ96="",AR96=""),"",(AQ96+AR96)/2)</f>
        <v>0</v>
      </c>
      <c r="AT96">
        <f>IF(COUNT($G$77:$G$96)&lt;20,"",STDEV($G$77:$G$96)*SQRT(52))</f>
        <v>0</v>
      </c>
      <c r="AU96">
        <f>IF(COUNT($E$2:$E96)&lt;9,"",(MAX($C$88:$C$96)+MIN($D$88:$D$96))/2)</f>
        <v>0</v>
      </c>
      <c r="AV96">
        <f>IF(COUNT($E$2:$E96)&lt;26,"",(MAX($C$71:$C$96)+MIN($D$71:$D$96))/2)</f>
        <v>0</v>
      </c>
      <c r="AW96">
        <f>IF(OR(AU96="",AV96=""),"",(AU96+AV96)/2)</f>
        <v>0</v>
      </c>
      <c r="AX96">
        <f>IF(COUNT($E$2:$E96)&lt;52,"",(MAX($C$45:$C$96)+MIN($D$45:$D$96))/2)</f>
        <v>0</v>
      </c>
      <c r="AY96">
        <f>IF(COUNT($E$2:$E96)&lt;20,"",MAX($C$2:$C$96))</f>
        <v>0</v>
      </c>
      <c r="AZ96">
        <f>IF(COUNT($E$2:$E96)&lt;20,"",MIN($D$2:$D$96))</f>
        <v>0</v>
      </c>
      <c r="BA96">
        <f>IF(COUNT($E$2:$E96)&lt;20,"",SLOPE($E$2:$E$96,$F$2:$F$96))</f>
        <v>0</v>
      </c>
      <c r="BB96">
        <f>IF(COUNT($E$2:$E96)&lt;20,"",INTERCEPT($E$2:$E$96,$F$2:$F$96))</f>
        <v>0</v>
      </c>
      <c r="BC96">
        <f>IF(OR(BA96="",BB96=""),"",BB96+BA96*F96)</f>
        <v>0</v>
      </c>
      <c r="BD96">
        <f>IF(COUNT($E$2:$E96)&lt;20,"",STEYX($E$2:$E$96,$F$2:$F$96))</f>
        <v>0</v>
      </c>
      <c r="BE96">
        <f>IF($E96="","",IF(AND(COUNT($E$97:$E$100)&gt;=4,$C96=MAX($C$92:$C$100)),$C96,""))</f>
        <v>0</v>
      </c>
      <c r="BF96">
        <f>IF($E96="","",IF(AND(COUNT($E$97:$E$100)&gt;=4,$D96=MIN($D$92:$D$100)),$D96,""))</f>
        <v>0</v>
      </c>
      <c r="BG96">
        <f>IFERROR(SMALL(Calc_Daily!$BM$2:$BM$2001,95),"")</f>
        <v>0</v>
      </c>
    </row>
    <row r="97" spans="1:59">
      <c r="A97" s="27">
        <f>IF($BG97="","",INDEX(Calc_Daily!$A$2:$A$2001,$BG97))</f>
        <v>0</v>
      </c>
      <c r="B97">
        <f>IF($BG97="","",INDEX(Calc_Daily!$BJ$2:$BJ$2001,$BG97))</f>
        <v>0</v>
      </c>
      <c r="C97">
        <f>IF($BG97="","",INDEX(Calc_Daily!$BK$2:$BK$2001,$BG97))</f>
        <v>0</v>
      </c>
      <c r="D97">
        <f>IF($BG97="","",INDEX(Calc_Daily!$BL$2:$BL$2001,$BG97))</f>
        <v>0</v>
      </c>
      <c r="E97">
        <f>IF($BG97="","",INDEX(Calc_Daily!$E$2:$E$2001,$BG97))</f>
        <v>0</v>
      </c>
      <c r="F97">
        <f>IF($E97="","",N(F96)+1)</f>
        <v>0</v>
      </c>
      <c r="G97">
        <f>IF(OR($E97="",$E96=""),"",LN($E97/$E96))</f>
        <v>0</v>
      </c>
      <c r="H97">
        <f>IF($E97="","",IF($E96="",$E97,$E97*0.0952380952+H96*0.9047619048))</f>
        <v>0</v>
      </c>
      <c r="I97">
        <f>IF($E97="","",IF($E96="",$E97,$E97*0.0392156863+I96*0.9607843137))</f>
        <v>0</v>
      </c>
      <c r="J97">
        <f>IF($E97="","",IF($E96="",$E97,$E97*0.0198019802+J96*0.9801980198))</f>
        <v>0</v>
      </c>
      <c r="K97">
        <f>IF($E97="","",IF($E96="",$E97,$E97*0.0099502488+K96*0.9900497512))</f>
        <v>0</v>
      </c>
      <c r="L97">
        <f>IF(OR($E97="",$E96=""),"",MAX($E97-$E96,0))</f>
        <v>0</v>
      </c>
      <c r="M97">
        <f>IF(OR($E97="",$E96=""),"",MAX($E96-$E97,0))</f>
        <v>0</v>
      </c>
      <c r="N97">
        <f>IF(COUNT($E$2:$E97)&lt;15,"",IF(AVERAGE($M$84:$M$97)=0,100,100-100/(1+AVERAGE($L$84:$L$97)/AVERAGE($M$84:$M$97))))</f>
        <v>0</v>
      </c>
      <c r="O97">
        <f>IF($E97="","",IF($E96="",$E97,$E97*0.1538461538+O96*0.8461538462))</f>
        <v>0</v>
      </c>
      <c r="P97">
        <f>IF($E97="","",IF($E96="",$E97,$E97*0.0740740741+P96*0.9259259259))</f>
        <v>0</v>
      </c>
      <c r="Q97">
        <f>IF(OR(O97="",P97=""),"",O97-P97)</f>
        <v>0</v>
      </c>
      <c r="R97">
        <f>IF(Q97="","",IF(R96="",Q97,Q97*0.2000000000+R96*0.8000000000))</f>
        <v>0</v>
      </c>
      <c r="S97">
        <f>IF(OR(Q97="",R97=""),"",Q97-R97)</f>
        <v>0</v>
      </c>
      <c r="T97">
        <f>IF(COUNT($E$2:$E97)&lt;14,"",MAX($C$84:$C$97))</f>
        <v>0</v>
      </c>
      <c r="U97">
        <f>IF(COUNT($E$2:$E97)&lt;14,"",MIN($D$84:$D$97))</f>
        <v>0</v>
      </c>
      <c r="V97">
        <f>IF(OR(T97="",U97="",T97=U97),"",100*($E97-U97)/(T97-U97))</f>
        <v>0</v>
      </c>
      <c r="W97">
        <f>IF(COUNT($V$95:$V$97)&lt;3,"",AVERAGE($V$95:$V$97))</f>
        <v>0</v>
      </c>
      <c r="X97">
        <f>IF(COUNT($N$84:$N$97)&lt;14,"",MIN($N$84:$N$97))</f>
        <v>0</v>
      </c>
      <c r="Y97">
        <f>IF(COUNT($N$84:$N$97)&lt;14,"",MAX($N$84:$N$97))</f>
        <v>0</v>
      </c>
      <c r="Z97">
        <f>IF(OR(N97="",X97="",Y97="",Y97=X97),"",100*(N97-X97)/(Y97-X97))</f>
        <v>0</v>
      </c>
      <c r="AA97">
        <f>IF(COUNT($Z$95:$Z$97)&lt;3,"",AVERAGE($Z$95:$Z$97))</f>
        <v>0</v>
      </c>
      <c r="AB97">
        <f>IF(COUNT($AA$95:$AA$97)&lt;3,"",AVERAGE($AA$95:$AA$97))</f>
        <v>0</v>
      </c>
      <c r="AC97">
        <f>IF($E97="","",MAX($C97-$D97,ABS($C97-$E96),ABS($D97-$E96)))</f>
        <v>0</v>
      </c>
      <c r="AD97">
        <f>IF(COUNT($E$2:$E97)&lt;15,"",AVERAGE($AC$84:$AC$97))</f>
        <v>0</v>
      </c>
      <c r="AE97">
        <f>IF(OR($E97="",$E96=""),"",IF(AND(($C97-$C96)&gt;($D96-$D97),($C97-$C96)&gt;0),$C97-$C96,0))</f>
        <v>0</v>
      </c>
      <c r="AF97">
        <f>IF(OR($E97="",$E96=""),"",IF(AND(($D96-$D97)&gt;($C97-$C96),($D96-$D97)&gt;0),$D96-$D97,0))</f>
        <v>0</v>
      </c>
      <c r="AG97">
        <f>IF(COUNT($E$2:$E97)&lt;15,"",IF(SUM($AC$84:$AC$97)=0,0,100*SUM($AE$84:$AE$97)/SUM($AC$84:$AC$97)))</f>
        <v>0</v>
      </c>
      <c r="AH97">
        <f>IF(COUNT($E$2:$E97)&lt;15,"",IF(SUM($AC$84:$AC$97)=0,0,100*SUM($AF$84:$AF$97)/SUM($AC$84:$AC$97)))</f>
        <v>0</v>
      </c>
      <c r="AI97">
        <f>IF(OR(AG97="",AH97=""),"",IF((AG97+AH97)=0,0,100*ABS(AG97-AH97)/(AG97+AH97)))</f>
        <v>0</v>
      </c>
      <c r="AJ97">
        <f>IF(COUNT($AI$84:$AI$97)&lt;14,"",AVERAGE($AI$84:$AI$97))</f>
        <v>0</v>
      </c>
      <c r="AK97">
        <f>IF(COUNT($E$2:$E97)&lt;20,"",AVERAGE($E$78:$E$97))</f>
        <v>0</v>
      </c>
      <c r="AL97">
        <f>IF(COUNT($E$2:$E97)&lt;20,"",STDEVP($E$78:$E$97))</f>
        <v>0</v>
      </c>
      <c r="AM97">
        <f>IF(AK97="","",AK97+2*AL97)</f>
        <v>0</v>
      </c>
      <c r="AN97">
        <f>IF(AK97="","",AK97-2*AL97)</f>
        <v>0</v>
      </c>
      <c r="AO97">
        <f>IF(OR(AM97="",AN97="",AM97=AN97),"",($E97-AN97)/(AM97-AN97))</f>
        <v>0</v>
      </c>
      <c r="AP97">
        <f>IF(OR(AM97="",AK97="",AK97=0),"",(AM97-AN97)/AK97)</f>
        <v>0</v>
      </c>
      <c r="AQ97">
        <f>IF(COUNT($E$2:$E97)&lt;20,"",MAX($C$78:$C$97))</f>
        <v>0</v>
      </c>
      <c r="AR97">
        <f>IF(COUNT($E$2:$E97)&lt;20,"",MIN($D$78:$D$97))</f>
        <v>0</v>
      </c>
      <c r="AS97">
        <f>IF(OR(AQ97="",AR97=""),"",(AQ97+AR97)/2)</f>
        <v>0</v>
      </c>
      <c r="AT97">
        <f>IF(COUNT($G$78:$G$97)&lt;20,"",STDEV($G$78:$G$97)*SQRT(52))</f>
        <v>0</v>
      </c>
      <c r="AU97">
        <f>IF(COUNT($E$2:$E97)&lt;9,"",(MAX($C$89:$C$97)+MIN($D$89:$D$97))/2)</f>
        <v>0</v>
      </c>
      <c r="AV97">
        <f>IF(COUNT($E$2:$E97)&lt;26,"",(MAX($C$72:$C$97)+MIN($D$72:$D$97))/2)</f>
        <v>0</v>
      </c>
      <c r="AW97">
        <f>IF(OR(AU97="",AV97=""),"",(AU97+AV97)/2)</f>
        <v>0</v>
      </c>
      <c r="AX97">
        <f>IF(COUNT($E$2:$E97)&lt;52,"",(MAX($C$46:$C$97)+MIN($D$46:$D$97))/2)</f>
        <v>0</v>
      </c>
      <c r="AY97">
        <f>IF(COUNT($E$2:$E97)&lt;20,"",MAX($C$2:$C$97))</f>
        <v>0</v>
      </c>
      <c r="AZ97">
        <f>IF(COUNT($E$2:$E97)&lt;20,"",MIN($D$2:$D$97))</f>
        <v>0</v>
      </c>
      <c r="BA97">
        <f>IF(COUNT($E$2:$E97)&lt;20,"",SLOPE($E$2:$E$97,$F$2:$F$97))</f>
        <v>0</v>
      </c>
      <c r="BB97">
        <f>IF(COUNT($E$2:$E97)&lt;20,"",INTERCEPT($E$2:$E$97,$F$2:$F$97))</f>
        <v>0</v>
      </c>
      <c r="BC97">
        <f>IF(OR(BA97="",BB97=""),"",BB97+BA97*F97)</f>
        <v>0</v>
      </c>
      <c r="BD97">
        <f>IF(COUNT($E$2:$E97)&lt;20,"",STEYX($E$2:$E$97,$F$2:$F$97))</f>
        <v>0</v>
      </c>
      <c r="BE97">
        <f>IF($E97="","",IF(AND(COUNT($E$98:$E$101)&gt;=4,$C97=MAX($C$93:$C$101)),$C97,""))</f>
        <v>0</v>
      </c>
      <c r="BF97">
        <f>IF($E97="","",IF(AND(COUNT($E$98:$E$101)&gt;=4,$D97=MIN($D$93:$D$101)),$D97,""))</f>
        <v>0</v>
      </c>
      <c r="BG97">
        <f>IFERROR(SMALL(Calc_Daily!$BM$2:$BM$2001,96),"")</f>
        <v>0</v>
      </c>
    </row>
    <row r="98" spans="1:59">
      <c r="A98" s="27">
        <f>IF($BG98="","",INDEX(Calc_Daily!$A$2:$A$2001,$BG98))</f>
        <v>0</v>
      </c>
      <c r="B98">
        <f>IF($BG98="","",INDEX(Calc_Daily!$BJ$2:$BJ$2001,$BG98))</f>
        <v>0</v>
      </c>
      <c r="C98">
        <f>IF($BG98="","",INDEX(Calc_Daily!$BK$2:$BK$2001,$BG98))</f>
        <v>0</v>
      </c>
      <c r="D98">
        <f>IF($BG98="","",INDEX(Calc_Daily!$BL$2:$BL$2001,$BG98))</f>
        <v>0</v>
      </c>
      <c r="E98">
        <f>IF($BG98="","",INDEX(Calc_Daily!$E$2:$E$2001,$BG98))</f>
        <v>0</v>
      </c>
      <c r="F98">
        <f>IF($E98="","",N(F97)+1)</f>
        <v>0</v>
      </c>
      <c r="G98">
        <f>IF(OR($E98="",$E97=""),"",LN($E98/$E97))</f>
        <v>0</v>
      </c>
      <c r="H98">
        <f>IF($E98="","",IF($E97="",$E98,$E98*0.0952380952+H97*0.9047619048))</f>
        <v>0</v>
      </c>
      <c r="I98">
        <f>IF($E98="","",IF($E97="",$E98,$E98*0.0392156863+I97*0.9607843137))</f>
        <v>0</v>
      </c>
      <c r="J98">
        <f>IF($E98="","",IF($E97="",$E98,$E98*0.0198019802+J97*0.9801980198))</f>
        <v>0</v>
      </c>
      <c r="K98">
        <f>IF($E98="","",IF($E97="",$E98,$E98*0.0099502488+K97*0.9900497512))</f>
        <v>0</v>
      </c>
      <c r="L98">
        <f>IF(OR($E98="",$E97=""),"",MAX($E98-$E97,0))</f>
        <v>0</v>
      </c>
      <c r="M98">
        <f>IF(OR($E98="",$E97=""),"",MAX($E97-$E98,0))</f>
        <v>0</v>
      </c>
      <c r="N98">
        <f>IF(COUNT($E$2:$E98)&lt;15,"",IF(AVERAGE($M$85:$M$98)=0,100,100-100/(1+AVERAGE($L$85:$L$98)/AVERAGE($M$85:$M$98))))</f>
        <v>0</v>
      </c>
      <c r="O98">
        <f>IF($E98="","",IF($E97="",$E98,$E98*0.1538461538+O97*0.8461538462))</f>
        <v>0</v>
      </c>
      <c r="P98">
        <f>IF($E98="","",IF($E97="",$E98,$E98*0.0740740741+P97*0.9259259259))</f>
        <v>0</v>
      </c>
      <c r="Q98">
        <f>IF(OR(O98="",P98=""),"",O98-P98)</f>
        <v>0</v>
      </c>
      <c r="R98">
        <f>IF(Q98="","",IF(R97="",Q98,Q98*0.2000000000+R97*0.8000000000))</f>
        <v>0</v>
      </c>
      <c r="S98">
        <f>IF(OR(Q98="",R98=""),"",Q98-R98)</f>
        <v>0</v>
      </c>
      <c r="T98">
        <f>IF(COUNT($E$2:$E98)&lt;14,"",MAX($C$85:$C$98))</f>
        <v>0</v>
      </c>
      <c r="U98">
        <f>IF(COUNT($E$2:$E98)&lt;14,"",MIN($D$85:$D$98))</f>
        <v>0</v>
      </c>
      <c r="V98">
        <f>IF(OR(T98="",U98="",T98=U98),"",100*($E98-U98)/(T98-U98))</f>
        <v>0</v>
      </c>
      <c r="W98">
        <f>IF(COUNT($V$96:$V$98)&lt;3,"",AVERAGE($V$96:$V$98))</f>
        <v>0</v>
      </c>
      <c r="X98">
        <f>IF(COUNT($N$85:$N$98)&lt;14,"",MIN($N$85:$N$98))</f>
        <v>0</v>
      </c>
      <c r="Y98">
        <f>IF(COUNT($N$85:$N$98)&lt;14,"",MAX($N$85:$N$98))</f>
        <v>0</v>
      </c>
      <c r="Z98">
        <f>IF(OR(N98="",X98="",Y98="",Y98=X98),"",100*(N98-X98)/(Y98-X98))</f>
        <v>0</v>
      </c>
      <c r="AA98">
        <f>IF(COUNT($Z$96:$Z$98)&lt;3,"",AVERAGE($Z$96:$Z$98))</f>
        <v>0</v>
      </c>
      <c r="AB98">
        <f>IF(COUNT($AA$96:$AA$98)&lt;3,"",AVERAGE($AA$96:$AA$98))</f>
        <v>0</v>
      </c>
      <c r="AC98">
        <f>IF($E98="","",MAX($C98-$D98,ABS($C98-$E97),ABS($D98-$E97)))</f>
        <v>0</v>
      </c>
      <c r="AD98">
        <f>IF(COUNT($E$2:$E98)&lt;15,"",AVERAGE($AC$85:$AC$98))</f>
        <v>0</v>
      </c>
      <c r="AE98">
        <f>IF(OR($E98="",$E97=""),"",IF(AND(($C98-$C97)&gt;($D97-$D98),($C98-$C97)&gt;0),$C98-$C97,0))</f>
        <v>0</v>
      </c>
      <c r="AF98">
        <f>IF(OR($E98="",$E97=""),"",IF(AND(($D97-$D98)&gt;($C98-$C97),($D97-$D98)&gt;0),$D97-$D98,0))</f>
        <v>0</v>
      </c>
      <c r="AG98">
        <f>IF(COUNT($E$2:$E98)&lt;15,"",IF(SUM($AC$85:$AC$98)=0,0,100*SUM($AE$85:$AE$98)/SUM($AC$85:$AC$98)))</f>
        <v>0</v>
      </c>
      <c r="AH98">
        <f>IF(COUNT($E$2:$E98)&lt;15,"",IF(SUM($AC$85:$AC$98)=0,0,100*SUM($AF$85:$AF$98)/SUM($AC$85:$AC$98)))</f>
        <v>0</v>
      </c>
      <c r="AI98">
        <f>IF(OR(AG98="",AH98=""),"",IF((AG98+AH98)=0,0,100*ABS(AG98-AH98)/(AG98+AH98)))</f>
        <v>0</v>
      </c>
      <c r="AJ98">
        <f>IF(COUNT($AI$85:$AI$98)&lt;14,"",AVERAGE($AI$85:$AI$98))</f>
        <v>0</v>
      </c>
      <c r="AK98">
        <f>IF(COUNT($E$2:$E98)&lt;20,"",AVERAGE($E$79:$E$98))</f>
        <v>0</v>
      </c>
      <c r="AL98">
        <f>IF(COUNT($E$2:$E98)&lt;20,"",STDEVP($E$79:$E$98))</f>
        <v>0</v>
      </c>
      <c r="AM98">
        <f>IF(AK98="","",AK98+2*AL98)</f>
        <v>0</v>
      </c>
      <c r="AN98">
        <f>IF(AK98="","",AK98-2*AL98)</f>
        <v>0</v>
      </c>
      <c r="AO98">
        <f>IF(OR(AM98="",AN98="",AM98=AN98),"",($E98-AN98)/(AM98-AN98))</f>
        <v>0</v>
      </c>
      <c r="AP98">
        <f>IF(OR(AM98="",AK98="",AK98=0),"",(AM98-AN98)/AK98)</f>
        <v>0</v>
      </c>
      <c r="AQ98">
        <f>IF(COUNT($E$2:$E98)&lt;20,"",MAX($C$79:$C$98))</f>
        <v>0</v>
      </c>
      <c r="AR98">
        <f>IF(COUNT($E$2:$E98)&lt;20,"",MIN($D$79:$D$98))</f>
        <v>0</v>
      </c>
      <c r="AS98">
        <f>IF(OR(AQ98="",AR98=""),"",(AQ98+AR98)/2)</f>
        <v>0</v>
      </c>
      <c r="AT98">
        <f>IF(COUNT($G$79:$G$98)&lt;20,"",STDEV($G$79:$G$98)*SQRT(52))</f>
        <v>0</v>
      </c>
      <c r="AU98">
        <f>IF(COUNT($E$2:$E98)&lt;9,"",(MAX($C$90:$C$98)+MIN($D$90:$D$98))/2)</f>
        <v>0</v>
      </c>
      <c r="AV98">
        <f>IF(COUNT($E$2:$E98)&lt;26,"",(MAX($C$73:$C$98)+MIN($D$73:$D$98))/2)</f>
        <v>0</v>
      </c>
      <c r="AW98">
        <f>IF(OR(AU98="",AV98=""),"",(AU98+AV98)/2)</f>
        <v>0</v>
      </c>
      <c r="AX98">
        <f>IF(COUNT($E$2:$E98)&lt;52,"",(MAX($C$47:$C$98)+MIN($D$47:$D$98))/2)</f>
        <v>0</v>
      </c>
      <c r="AY98">
        <f>IF(COUNT($E$2:$E98)&lt;20,"",MAX($C$2:$C$98))</f>
        <v>0</v>
      </c>
      <c r="AZ98">
        <f>IF(COUNT($E$2:$E98)&lt;20,"",MIN($D$2:$D$98))</f>
        <v>0</v>
      </c>
      <c r="BA98">
        <f>IF(COUNT($E$2:$E98)&lt;20,"",SLOPE($E$2:$E$98,$F$2:$F$98))</f>
        <v>0</v>
      </c>
      <c r="BB98">
        <f>IF(COUNT($E$2:$E98)&lt;20,"",INTERCEPT($E$2:$E$98,$F$2:$F$98))</f>
        <v>0</v>
      </c>
      <c r="BC98">
        <f>IF(OR(BA98="",BB98=""),"",BB98+BA98*F98)</f>
        <v>0</v>
      </c>
      <c r="BD98">
        <f>IF(COUNT($E$2:$E98)&lt;20,"",STEYX($E$2:$E$98,$F$2:$F$98))</f>
        <v>0</v>
      </c>
      <c r="BE98">
        <f>IF($E98="","",IF(AND(COUNT($E$99:$E$102)&gt;=4,$C98=MAX($C$94:$C$102)),$C98,""))</f>
        <v>0</v>
      </c>
      <c r="BF98">
        <f>IF($E98="","",IF(AND(COUNT($E$99:$E$102)&gt;=4,$D98=MIN($D$94:$D$102)),$D98,""))</f>
        <v>0</v>
      </c>
      <c r="BG98">
        <f>IFERROR(SMALL(Calc_Daily!$BM$2:$BM$2001,97),"")</f>
        <v>0</v>
      </c>
    </row>
    <row r="99" spans="1:59">
      <c r="A99" s="27">
        <f>IF($BG99="","",INDEX(Calc_Daily!$A$2:$A$2001,$BG99))</f>
        <v>0</v>
      </c>
      <c r="B99">
        <f>IF($BG99="","",INDEX(Calc_Daily!$BJ$2:$BJ$2001,$BG99))</f>
        <v>0</v>
      </c>
      <c r="C99">
        <f>IF($BG99="","",INDEX(Calc_Daily!$BK$2:$BK$2001,$BG99))</f>
        <v>0</v>
      </c>
      <c r="D99">
        <f>IF($BG99="","",INDEX(Calc_Daily!$BL$2:$BL$2001,$BG99))</f>
        <v>0</v>
      </c>
      <c r="E99">
        <f>IF($BG99="","",INDEX(Calc_Daily!$E$2:$E$2001,$BG99))</f>
        <v>0</v>
      </c>
      <c r="F99">
        <f>IF($E99="","",N(F98)+1)</f>
        <v>0</v>
      </c>
      <c r="G99">
        <f>IF(OR($E99="",$E98=""),"",LN($E99/$E98))</f>
        <v>0</v>
      </c>
      <c r="H99">
        <f>IF($E99="","",IF($E98="",$E99,$E99*0.0952380952+H98*0.9047619048))</f>
        <v>0</v>
      </c>
      <c r="I99">
        <f>IF($E99="","",IF($E98="",$E99,$E99*0.0392156863+I98*0.9607843137))</f>
        <v>0</v>
      </c>
      <c r="J99">
        <f>IF($E99="","",IF($E98="",$E99,$E99*0.0198019802+J98*0.9801980198))</f>
        <v>0</v>
      </c>
      <c r="K99">
        <f>IF($E99="","",IF($E98="",$E99,$E99*0.0099502488+K98*0.9900497512))</f>
        <v>0</v>
      </c>
      <c r="L99">
        <f>IF(OR($E99="",$E98=""),"",MAX($E99-$E98,0))</f>
        <v>0</v>
      </c>
      <c r="M99">
        <f>IF(OR($E99="",$E98=""),"",MAX($E98-$E99,0))</f>
        <v>0</v>
      </c>
      <c r="N99">
        <f>IF(COUNT($E$2:$E99)&lt;15,"",IF(AVERAGE($M$86:$M$99)=0,100,100-100/(1+AVERAGE($L$86:$L$99)/AVERAGE($M$86:$M$99))))</f>
        <v>0</v>
      </c>
      <c r="O99">
        <f>IF($E99="","",IF($E98="",$E99,$E99*0.1538461538+O98*0.8461538462))</f>
        <v>0</v>
      </c>
      <c r="P99">
        <f>IF($E99="","",IF($E98="",$E99,$E99*0.0740740741+P98*0.9259259259))</f>
        <v>0</v>
      </c>
      <c r="Q99">
        <f>IF(OR(O99="",P99=""),"",O99-P99)</f>
        <v>0</v>
      </c>
      <c r="R99">
        <f>IF(Q99="","",IF(R98="",Q99,Q99*0.2000000000+R98*0.8000000000))</f>
        <v>0</v>
      </c>
      <c r="S99">
        <f>IF(OR(Q99="",R99=""),"",Q99-R99)</f>
        <v>0</v>
      </c>
      <c r="T99">
        <f>IF(COUNT($E$2:$E99)&lt;14,"",MAX($C$86:$C$99))</f>
        <v>0</v>
      </c>
      <c r="U99">
        <f>IF(COUNT($E$2:$E99)&lt;14,"",MIN($D$86:$D$99))</f>
        <v>0</v>
      </c>
      <c r="V99">
        <f>IF(OR(T99="",U99="",T99=U99),"",100*($E99-U99)/(T99-U99))</f>
        <v>0</v>
      </c>
      <c r="W99">
        <f>IF(COUNT($V$97:$V$99)&lt;3,"",AVERAGE($V$97:$V$99))</f>
        <v>0</v>
      </c>
      <c r="X99">
        <f>IF(COUNT($N$86:$N$99)&lt;14,"",MIN($N$86:$N$99))</f>
        <v>0</v>
      </c>
      <c r="Y99">
        <f>IF(COUNT($N$86:$N$99)&lt;14,"",MAX($N$86:$N$99))</f>
        <v>0</v>
      </c>
      <c r="Z99">
        <f>IF(OR(N99="",X99="",Y99="",Y99=X99),"",100*(N99-X99)/(Y99-X99))</f>
        <v>0</v>
      </c>
      <c r="AA99">
        <f>IF(COUNT($Z$97:$Z$99)&lt;3,"",AVERAGE($Z$97:$Z$99))</f>
        <v>0</v>
      </c>
      <c r="AB99">
        <f>IF(COUNT($AA$97:$AA$99)&lt;3,"",AVERAGE($AA$97:$AA$99))</f>
        <v>0</v>
      </c>
      <c r="AC99">
        <f>IF($E99="","",MAX($C99-$D99,ABS($C99-$E98),ABS($D99-$E98)))</f>
        <v>0</v>
      </c>
      <c r="AD99">
        <f>IF(COUNT($E$2:$E99)&lt;15,"",AVERAGE($AC$86:$AC$99))</f>
        <v>0</v>
      </c>
      <c r="AE99">
        <f>IF(OR($E99="",$E98=""),"",IF(AND(($C99-$C98)&gt;($D98-$D99),($C99-$C98)&gt;0),$C99-$C98,0))</f>
        <v>0</v>
      </c>
      <c r="AF99">
        <f>IF(OR($E99="",$E98=""),"",IF(AND(($D98-$D99)&gt;($C99-$C98),($D98-$D99)&gt;0),$D98-$D99,0))</f>
        <v>0</v>
      </c>
      <c r="AG99">
        <f>IF(COUNT($E$2:$E99)&lt;15,"",IF(SUM($AC$86:$AC$99)=0,0,100*SUM($AE$86:$AE$99)/SUM($AC$86:$AC$99)))</f>
        <v>0</v>
      </c>
      <c r="AH99">
        <f>IF(COUNT($E$2:$E99)&lt;15,"",IF(SUM($AC$86:$AC$99)=0,0,100*SUM($AF$86:$AF$99)/SUM($AC$86:$AC$99)))</f>
        <v>0</v>
      </c>
      <c r="AI99">
        <f>IF(OR(AG99="",AH99=""),"",IF((AG99+AH99)=0,0,100*ABS(AG99-AH99)/(AG99+AH99)))</f>
        <v>0</v>
      </c>
      <c r="AJ99">
        <f>IF(COUNT($AI$86:$AI$99)&lt;14,"",AVERAGE($AI$86:$AI$99))</f>
        <v>0</v>
      </c>
      <c r="AK99">
        <f>IF(COUNT($E$2:$E99)&lt;20,"",AVERAGE($E$80:$E$99))</f>
        <v>0</v>
      </c>
      <c r="AL99">
        <f>IF(COUNT($E$2:$E99)&lt;20,"",STDEVP($E$80:$E$99))</f>
        <v>0</v>
      </c>
      <c r="AM99">
        <f>IF(AK99="","",AK99+2*AL99)</f>
        <v>0</v>
      </c>
      <c r="AN99">
        <f>IF(AK99="","",AK99-2*AL99)</f>
        <v>0</v>
      </c>
      <c r="AO99">
        <f>IF(OR(AM99="",AN99="",AM99=AN99),"",($E99-AN99)/(AM99-AN99))</f>
        <v>0</v>
      </c>
      <c r="AP99">
        <f>IF(OR(AM99="",AK99="",AK99=0),"",(AM99-AN99)/AK99)</f>
        <v>0</v>
      </c>
      <c r="AQ99">
        <f>IF(COUNT($E$2:$E99)&lt;20,"",MAX($C$80:$C$99))</f>
        <v>0</v>
      </c>
      <c r="AR99">
        <f>IF(COUNT($E$2:$E99)&lt;20,"",MIN($D$80:$D$99))</f>
        <v>0</v>
      </c>
      <c r="AS99">
        <f>IF(OR(AQ99="",AR99=""),"",(AQ99+AR99)/2)</f>
        <v>0</v>
      </c>
      <c r="AT99">
        <f>IF(COUNT($G$80:$G$99)&lt;20,"",STDEV($G$80:$G$99)*SQRT(52))</f>
        <v>0</v>
      </c>
      <c r="AU99">
        <f>IF(COUNT($E$2:$E99)&lt;9,"",(MAX($C$91:$C$99)+MIN($D$91:$D$99))/2)</f>
        <v>0</v>
      </c>
      <c r="AV99">
        <f>IF(COUNT($E$2:$E99)&lt;26,"",(MAX($C$74:$C$99)+MIN($D$74:$D$99))/2)</f>
        <v>0</v>
      </c>
      <c r="AW99">
        <f>IF(OR(AU99="",AV99=""),"",(AU99+AV99)/2)</f>
        <v>0</v>
      </c>
      <c r="AX99">
        <f>IF(COUNT($E$2:$E99)&lt;52,"",(MAX($C$48:$C$99)+MIN($D$48:$D$99))/2)</f>
        <v>0</v>
      </c>
      <c r="AY99">
        <f>IF(COUNT($E$2:$E99)&lt;20,"",MAX($C$2:$C$99))</f>
        <v>0</v>
      </c>
      <c r="AZ99">
        <f>IF(COUNT($E$2:$E99)&lt;20,"",MIN($D$2:$D$99))</f>
        <v>0</v>
      </c>
      <c r="BA99">
        <f>IF(COUNT($E$2:$E99)&lt;20,"",SLOPE($E$2:$E$99,$F$2:$F$99))</f>
        <v>0</v>
      </c>
      <c r="BB99">
        <f>IF(COUNT($E$2:$E99)&lt;20,"",INTERCEPT($E$2:$E$99,$F$2:$F$99))</f>
        <v>0</v>
      </c>
      <c r="BC99">
        <f>IF(OR(BA99="",BB99=""),"",BB99+BA99*F99)</f>
        <v>0</v>
      </c>
      <c r="BD99">
        <f>IF(COUNT($E$2:$E99)&lt;20,"",STEYX($E$2:$E$99,$F$2:$F$99))</f>
        <v>0</v>
      </c>
      <c r="BE99">
        <f>IF($E99="","",IF(AND(COUNT($E$100:$E$103)&gt;=4,$C99=MAX($C$95:$C$103)),$C99,""))</f>
        <v>0</v>
      </c>
      <c r="BF99">
        <f>IF($E99="","",IF(AND(COUNT($E$100:$E$103)&gt;=4,$D99=MIN($D$95:$D$103)),$D99,""))</f>
        <v>0</v>
      </c>
      <c r="BG99">
        <f>IFERROR(SMALL(Calc_Daily!$BM$2:$BM$2001,98),"")</f>
        <v>0</v>
      </c>
    </row>
    <row r="100" spans="1:59">
      <c r="A100" s="27">
        <f>IF($BG100="","",INDEX(Calc_Daily!$A$2:$A$2001,$BG100))</f>
        <v>0</v>
      </c>
      <c r="B100">
        <f>IF($BG100="","",INDEX(Calc_Daily!$BJ$2:$BJ$2001,$BG100))</f>
        <v>0</v>
      </c>
      <c r="C100">
        <f>IF($BG100="","",INDEX(Calc_Daily!$BK$2:$BK$2001,$BG100))</f>
        <v>0</v>
      </c>
      <c r="D100">
        <f>IF($BG100="","",INDEX(Calc_Daily!$BL$2:$BL$2001,$BG100))</f>
        <v>0</v>
      </c>
      <c r="E100">
        <f>IF($BG100="","",INDEX(Calc_Daily!$E$2:$E$2001,$BG100))</f>
        <v>0</v>
      </c>
      <c r="F100">
        <f>IF($E100="","",N(F99)+1)</f>
        <v>0</v>
      </c>
      <c r="G100">
        <f>IF(OR($E100="",$E99=""),"",LN($E100/$E99))</f>
        <v>0</v>
      </c>
      <c r="H100">
        <f>IF($E100="","",IF($E99="",$E100,$E100*0.0952380952+H99*0.9047619048))</f>
        <v>0</v>
      </c>
      <c r="I100">
        <f>IF($E100="","",IF($E99="",$E100,$E100*0.0392156863+I99*0.9607843137))</f>
        <v>0</v>
      </c>
      <c r="J100">
        <f>IF($E100="","",IF($E99="",$E100,$E100*0.0198019802+J99*0.9801980198))</f>
        <v>0</v>
      </c>
      <c r="K100">
        <f>IF($E100="","",IF($E99="",$E100,$E100*0.0099502488+K99*0.9900497512))</f>
        <v>0</v>
      </c>
      <c r="L100">
        <f>IF(OR($E100="",$E99=""),"",MAX($E100-$E99,0))</f>
        <v>0</v>
      </c>
      <c r="M100">
        <f>IF(OR($E100="",$E99=""),"",MAX($E99-$E100,0))</f>
        <v>0</v>
      </c>
      <c r="N100">
        <f>IF(COUNT($E$2:$E100)&lt;15,"",IF(AVERAGE($M$87:$M$100)=0,100,100-100/(1+AVERAGE($L$87:$L$100)/AVERAGE($M$87:$M$100))))</f>
        <v>0</v>
      </c>
      <c r="O100">
        <f>IF($E100="","",IF($E99="",$E100,$E100*0.1538461538+O99*0.8461538462))</f>
        <v>0</v>
      </c>
      <c r="P100">
        <f>IF($E100="","",IF($E99="",$E100,$E100*0.0740740741+P99*0.9259259259))</f>
        <v>0</v>
      </c>
      <c r="Q100">
        <f>IF(OR(O100="",P100=""),"",O100-P100)</f>
        <v>0</v>
      </c>
      <c r="R100">
        <f>IF(Q100="","",IF(R99="",Q100,Q100*0.2000000000+R99*0.8000000000))</f>
        <v>0</v>
      </c>
      <c r="S100">
        <f>IF(OR(Q100="",R100=""),"",Q100-R100)</f>
        <v>0</v>
      </c>
      <c r="T100">
        <f>IF(COUNT($E$2:$E100)&lt;14,"",MAX($C$87:$C$100))</f>
        <v>0</v>
      </c>
      <c r="U100">
        <f>IF(COUNT($E$2:$E100)&lt;14,"",MIN($D$87:$D$100))</f>
        <v>0</v>
      </c>
      <c r="V100">
        <f>IF(OR(T100="",U100="",T100=U100),"",100*($E100-U100)/(T100-U100))</f>
        <v>0</v>
      </c>
      <c r="W100">
        <f>IF(COUNT($V$98:$V$100)&lt;3,"",AVERAGE($V$98:$V$100))</f>
        <v>0</v>
      </c>
      <c r="X100">
        <f>IF(COUNT($N$87:$N$100)&lt;14,"",MIN($N$87:$N$100))</f>
        <v>0</v>
      </c>
      <c r="Y100">
        <f>IF(COUNT($N$87:$N$100)&lt;14,"",MAX($N$87:$N$100))</f>
        <v>0</v>
      </c>
      <c r="Z100">
        <f>IF(OR(N100="",X100="",Y100="",Y100=X100),"",100*(N100-X100)/(Y100-X100))</f>
        <v>0</v>
      </c>
      <c r="AA100">
        <f>IF(COUNT($Z$98:$Z$100)&lt;3,"",AVERAGE($Z$98:$Z$100))</f>
        <v>0</v>
      </c>
      <c r="AB100">
        <f>IF(COUNT($AA$98:$AA$100)&lt;3,"",AVERAGE($AA$98:$AA$100))</f>
        <v>0</v>
      </c>
      <c r="AC100">
        <f>IF($E100="","",MAX($C100-$D100,ABS($C100-$E99),ABS($D100-$E99)))</f>
        <v>0</v>
      </c>
      <c r="AD100">
        <f>IF(COUNT($E$2:$E100)&lt;15,"",AVERAGE($AC$87:$AC$100))</f>
        <v>0</v>
      </c>
      <c r="AE100">
        <f>IF(OR($E100="",$E99=""),"",IF(AND(($C100-$C99)&gt;($D99-$D100),($C100-$C99)&gt;0),$C100-$C99,0))</f>
        <v>0</v>
      </c>
      <c r="AF100">
        <f>IF(OR($E100="",$E99=""),"",IF(AND(($D99-$D100)&gt;($C100-$C99),($D99-$D100)&gt;0),$D99-$D100,0))</f>
        <v>0</v>
      </c>
      <c r="AG100">
        <f>IF(COUNT($E$2:$E100)&lt;15,"",IF(SUM($AC$87:$AC$100)=0,0,100*SUM($AE$87:$AE$100)/SUM($AC$87:$AC$100)))</f>
        <v>0</v>
      </c>
      <c r="AH100">
        <f>IF(COUNT($E$2:$E100)&lt;15,"",IF(SUM($AC$87:$AC$100)=0,0,100*SUM($AF$87:$AF$100)/SUM($AC$87:$AC$100)))</f>
        <v>0</v>
      </c>
      <c r="AI100">
        <f>IF(OR(AG100="",AH100=""),"",IF((AG100+AH100)=0,0,100*ABS(AG100-AH100)/(AG100+AH100)))</f>
        <v>0</v>
      </c>
      <c r="AJ100">
        <f>IF(COUNT($AI$87:$AI$100)&lt;14,"",AVERAGE($AI$87:$AI$100))</f>
        <v>0</v>
      </c>
      <c r="AK100">
        <f>IF(COUNT($E$2:$E100)&lt;20,"",AVERAGE($E$81:$E$100))</f>
        <v>0</v>
      </c>
      <c r="AL100">
        <f>IF(COUNT($E$2:$E100)&lt;20,"",STDEVP($E$81:$E$100))</f>
        <v>0</v>
      </c>
      <c r="AM100">
        <f>IF(AK100="","",AK100+2*AL100)</f>
        <v>0</v>
      </c>
      <c r="AN100">
        <f>IF(AK100="","",AK100-2*AL100)</f>
        <v>0</v>
      </c>
      <c r="AO100">
        <f>IF(OR(AM100="",AN100="",AM100=AN100),"",($E100-AN100)/(AM100-AN100))</f>
        <v>0</v>
      </c>
      <c r="AP100">
        <f>IF(OR(AM100="",AK100="",AK100=0),"",(AM100-AN100)/AK100)</f>
        <v>0</v>
      </c>
      <c r="AQ100">
        <f>IF(COUNT($E$2:$E100)&lt;20,"",MAX($C$81:$C$100))</f>
        <v>0</v>
      </c>
      <c r="AR100">
        <f>IF(COUNT($E$2:$E100)&lt;20,"",MIN($D$81:$D$100))</f>
        <v>0</v>
      </c>
      <c r="AS100">
        <f>IF(OR(AQ100="",AR100=""),"",(AQ100+AR100)/2)</f>
        <v>0</v>
      </c>
      <c r="AT100">
        <f>IF(COUNT($G$81:$G$100)&lt;20,"",STDEV($G$81:$G$100)*SQRT(52))</f>
        <v>0</v>
      </c>
      <c r="AU100">
        <f>IF(COUNT($E$2:$E100)&lt;9,"",(MAX($C$92:$C$100)+MIN($D$92:$D$100))/2)</f>
        <v>0</v>
      </c>
      <c r="AV100">
        <f>IF(COUNT($E$2:$E100)&lt;26,"",(MAX($C$75:$C$100)+MIN($D$75:$D$100))/2)</f>
        <v>0</v>
      </c>
      <c r="AW100">
        <f>IF(OR(AU100="",AV100=""),"",(AU100+AV100)/2)</f>
        <v>0</v>
      </c>
      <c r="AX100">
        <f>IF(COUNT($E$2:$E100)&lt;52,"",(MAX($C$49:$C$100)+MIN($D$49:$D$100))/2)</f>
        <v>0</v>
      </c>
      <c r="AY100">
        <f>IF(COUNT($E$2:$E100)&lt;20,"",MAX($C$2:$C$100))</f>
        <v>0</v>
      </c>
      <c r="AZ100">
        <f>IF(COUNT($E$2:$E100)&lt;20,"",MIN($D$2:$D$100))</f>
        <v>0</v>
      </c>
      <c r="BA100">
        <f>IF(COUNT($E$2:$E100)&lt;20,"",SLOPE($E$2:$E$100,$F$2:$F$100))</f>
        <v>0</v>
      </c>
      <c r="BB100">
        <f>IF(COUNT($E$2:$E100)&lt;20,"",INTERCEPT($E$2:$E$100,$F$2:$F$100))</f>
        <v>0</v>
      </c>
      <c r="BC100">
        <f>IF(OR(BA100="",BB100=""),"",BB100+BA100*F100)</f>
        <v>0</v>
      </c>
      <c r="BD100">
        <f>IF(COUNT($E$2:$E100)&lt;20,"",STEYX($E$2:$E$100,$F$2:$F$100))</f>
        <v>0</v>
      </c>
      <c r="BE100">
        <f>IF($E100="","",IF(AND(COUNT($E$101:$E$104)&gt;=4,$C100=MAX($C$96:$C$104)),$C100,""))</f>
        <v>0</v>
      </c>
      <c r="BF100">
        <f>IF($E100="","",IF(AND(COUNT($E$101:$E$104)&gt;=4,$D100=MIN($D$96:$D$104)),$D100,""))</f>
        <v>0</v>
      </c>
      <c r="BG100">
        <f>IFERROR(SMALL(Calc_Daily!$BM$2:$BM$2001,99),"")</f>
        <v>0</v>
      </c>
    </row>
    <row r="101" spans="1:59">
      <c r="A101" s="27">
        <f>IF($BG101="","",INDEX(Calc_Daily!$A$2:$A$2001,$BG101))</f>
        <v>0</v>
      </c>
      <c r="B101">
        <f>IF($BG101="","",INDEX(Calc_Daily!$BJ$2:$BJ$2001,$BG101))</f>
        <v>0</v>
      </c>
      <c r="C101">
        <f>IF($BG101="","",INDEX(Calc_Daily!$BK$2:$BK$2001,$BG101))</f>
        <v>0</v>
      </c>
      <c r="D101">
        <f>IF($BG101="","",INDEX(Calc_Daily!$BL$2:$BL$2001,$BG101))</f>
        <v>0</v>
      </c>
      <c r="E101">
        <f>IF($BG101="","",INDEX(Calc_Daily!$E$2:$E$2001,$BG101))</f>
        <v>0</v>
      </c>
      <c r="F101">
        <f>IF($E101="","",N(F100)+1)</f>
        <v>0</v>
      </c>
      <c r="G101">
        <f>IF(OR($E101="",$E100=""),"",LN($E101/$E100))</f>
        <v>0</v>
      </c>
      <c r="H101">
        <f>IF($E101="","",IF($E100="",$E101,$E101*0.0952380952+H100*0.9047619048))</f>
        <v>0</v>
      </c>
      <c r="I101">
        <f>IF($E101="","",IF($E100="",$E101,$E101*0.0392156863+I100*0.9607843137))</f>
        <v>0</v>
      </c>
      <c r="J101">
        <f>IF($E101="","",IF($E100="",$E101,$E101*0.0198019802+J100*0.9801980198))</f>
        <v>0</v>
      </c>
      <c r="K101">
        <f>IF($E101="","",IF($E100="",$E101,$E101*0.0099502488+K100*0.9900497512))</f>
        <v>0</v>
      </c>
      <c r="L101">
        <f>IF(OR($E101="",$E100=""),"",MAX($E101-$E100,0))</f>
        <v>0</v>
      </c>
      <c r="M101">
        <f>IF(OR($E101="",$E100=""),"",MAX($E100-$E101,0))</f>
        <v>0</v>
      </c>
      <c r="N101">
        <f>IF(COUNT($E$2:$E101)&lt;15,"",IF(AVERAGE($M$88:$M$101)=0,100,100-100/(1+AVERAGE($L$88:$L$101)/AVERAGE($M$88:$M$101))))</f>
        <v>0</v>
      </c>
      <c r="O101">
        <f>IF($E101="","",IF($E100="",$E101,$E101*0.1538461538+O100*0.8461538462))</f>
        <v>0</v>
      </c>
      <c r="P101">
        <f>IF($E101="","",IF($E100="",$E101,$E101*0.0740740741+P100*0.9259259259))</f>
        <v>0</v>
      </c>
      <c r="Q101">
        <f>IF(OR(O101="",P101=""),"",O101-P101)</f>
        <v>0</v>
      </c>
      <c r="R101">
        <f>IF(Q101="","",IF(R100="",Q101,Q101*0.2000000000+R100*0.8000000000))</f>
        <v>0</v>
      </c>
      <c r="S101">
        <f>IF(OR(Q101="",R101=""),"",Q101-R101)</f>
        <v>0</v>
      </c>
      <c r="T101">
        <f>IF(COUNT($E$2:$E101)&lt;14,"",MAX($C$88:$C$101))</f>
        <v>0</v>
      </c>
      <c r="U101">
        <f>IF(COUNT($E$2:$E101)&lt;14,"",MIN($D$88:$D$101))</f>
        <v>0</v>
      </c>
      <c r="V101">
        <f>IF(OR(T101="",U101="",T101=U101),"",100*($E101-U101)/(T101-U101))</f>
        <v>0</v>
      </c>
      <c r="W101">
        <f>IF(COUNT($V$99:$V$101)&lt;3,"",AVERAGE($V$99:$V$101))</f>
        <v>0</v>
      </c>
      <c r="X101">
        <f>IF(COUNT($N$88:$N$101)&lt;14,"",MIN($N$88:$N$101))</f>
        <v>0</v>
      </c>
      <c r="Y101">
        <f>IF(COUNT($N$88:$N$101)&lt;14,"",MAX($N$88:$N$101))</f>
        <v>0</v>
      </c>
      <c r="Z101">
        <f>IF(OR(N101="",X101="",Y101="",Y101=X101),"",100*(N101-X101)/(Y101-X101))</f>
        <v>0</v>
      </c>
      <c r="AA101">
        <f>IF(COUNT($Z$99:$Z$101)&lt;3,"",AVERAGE($Z$99:$Z$101))</f>
        <v>0</v>
      </c>
      <c r="AB101">
        <f>IF(COUNT($AA$99:$AA$101)&lt;3,"",AVERAGE($AA$99:$AA$101))</f>
        <v>0</v>
      </c>
      <c r="AC101">
        <f>IF($E101="","",MAX($C101-$D101,ABS($C101-$E100),ABS($D101-$E100)))</f>
        <v>0</v>
      </c>
      <c r="AD101">
        <f>IF(COUNT($E$2:$E101)&lt;15,"",AVERAGE($AC$88:$AC$101))</f>
        <v>0</v>
      </c>
      <c r="AE101">
        <f>IF(OR($E101="",$E100=""),"",IF(AND(($C101-$C100)&gt;($D100-$D101),($C101-$C100)&gt;0),$C101-$C100,0))</f>
        <v>0</v>
      </c>
      <c r="AF101">
        <f>IF(OR($E101="",$E100=""),"",IF(AND(($D100-$D101)&gt;($C101-$C100),($D100-$D101)&gt;0),$D100-$D101,0))</f>
        <v>0</v>
      </c>
      <c r="AG101">
        <f>IF(COUNT($E$2:$E101)&lt;15,"",IF(SUM($AC$88:$AC$101)=0,0,100*SUM($AE$88:$AE$101)/SUM($AC$88:$AC$101)))</f>
        <v>0</v>
      </c>
      <c r="AH101">
        <f>IF(COUNT($E$2:$E101)&lt;15,"",IF(SUM($AC$88:$AC$101)=0,0,100*SUM($AF$88:$AF$101)/SUM($AC$88:$AC$101)))</f>
        <v>0</v>
      </c>
      <c r="AI101">
        <f>IF(OR(AG101="",AH101=""),"",IF((AG101+AH101)=0,0,100*ABS(AG101-AH101)/(AG101+AH101)))</f>
        <v>0</v>
      </c>
      <c r="AJ101">
        <f>IF(COUNT($AI$88:$AI$101)&lt;14,"",AVERAGE($AI$88:$AI$101))</f>
        <v>0</v>
      </c>
      <c r="AK101">
        <f>IF(COUNT($E$2:$E101)&lt;20,"",AVERAGE($E$82:$E$101))</f>
        <v>0</v>
      </c>
      <c r="AL101">
        <f>IF(COUNT($E$2:$E101)&lt;20,"",STDEVP($E$82:$E$101))</f>
        <v>0</v>
      </c>
      <c r="AM101">
        <f>IF(AK101="","",AK101+2*AL101)</f>
        <v>0</v>
      </c>
      <c r="AN101">
        <f>IF(AK101="","",AK101-2*AL101)</f>
        <v>0</v>
      </c>
      <c r="AO101">
        <f>IF(OR(AM101="",AN101="",AM101=AN101),"",($E101-AN101)/(AM101-AN101))</f>
        <v>0</v>
      </c>
      <c r="AP101">
        <f>IF(OR(AM101="",AK101="",AK101=0),"",(AM101-AN101)/AK101)</f>
        <v>0</v>
      </c>
      <c r="AQ101">
        <f>IF(COUNT($E$2:$E101)&lt;20,"",MAX($C$82:$C$101))</f>
        <v>0</v>
      </c>
      <c r="AR101">
        <f>IF(COUNT($E$2:$E101)&lt;20,"",MIN($D$82:$D$101))</f>
        <v>0</v>
      </c>
      <c r="AS101">
        <f>IF(OR(AQ101="",AR101=""),"",(AQ101+AR101)/2)</f>
        <v>0</v>
      </c>
      <c r="AT101">
        <f>IF(COUNT($G$82:$G$101)&lt;20,"",STDEV($G$82:$G$101)*SQRT(52))</f>
        <v>0</v>
      </c>
      <c r="AU101">
        <f>IF(COUNT($E$2:$E101)&lt;9,"",(MAX($C$93:$C$101)+MIN($D$93:$D$101))/2)</f>
        <v>0</v>
      </c>
      <c r="AV101">
        <f>IF(COUNT($E$2:$E101)&lt;26,"",(MAX($C$76:$C$101)+MIN($D$76:$D$101))/2)</f>
        <v>0</v>
      </c>
      <c r="AW101">
        <f>IF(OR(AU101="",AV101=""),"",(AU101+AV101)/2)</f>
        <v>0</v>
      </c>
      <c r="AX101">
        <f>IF(COUNT($E$2:$E101)&lt;52,"",(MAX($C$50:$C$101)+MIN($D$50:$D$101))/2)</f>
        <v>0</v>
      </c>
      <c r="AY101">
        <f>IF(COUNT($E$2:$E101)&lt;20,"",MAX($C$2:$C$101))</f>
        <v>0</v>
      </c>
      <c r="AZ101">
        <f>IF(COUNT($E$2:$E101)&lt;20,"",MIN($D$2:$D$101))</f>
        <v>0</v>
      </c>
      <c r="BA101">
        <f>IF(COUNT($E$2:$E101)&lt;20,"",SLOPE($E$2:$E$101,$F$2:$F$101))</f>
        <v>0</v>
      </c>
      <c r="BB101">
        <f>IF(COUNT($E$2:$E101)&lt;20,"",INTERCEPT($E$2:$E$101,$F$2:$F$101))</f>
        <v>0</v>
      </c>
      <c r="BC101">
        <f>IF(OR(BA101="",BB101=""),"",BB101+BA101*F101)</f>
        <v>0</v>
      </c>
      <c r="BD101">
        <f>IF(COUNT($E$2:$E101)&lt;20,"",STEYX($E$2:$E$101,$F$2:$F$101))</f>
        <v>0</v>
      </c>
      <c r="BE101">
        <f>IF($E101="","",IF(AND(COUNT($E$102:$E$105)&gt;=4,$C101=MAX($C$97:$C$105)),$C101,""))</f>
        <v>0</v>
      </c>
      <c r="BF101">
        <f>IF($E101="","",IF(AND(COUNT($E$102:$E$105)&gt;=4,$D101=MIN($D$97:$D$105)),$D101,""))</f>
        <v>0</v>
      </c>
      <c r="BG101">
        <f>IFERROR(SMALL(Calc_Daily!$BM$2:$BM$2001,100),"")</f>
        <v>0</v>
      </c>
    </row>
    <row r="102" spans="1:59">
      <c r="A102" s="27">
        <f>IF($BG102="","",INDEX(Calc_Daily!$A$2:$A$2001,$BG102))</f>
        <v>0</v>
      </c>
      <c r="B102">
        <f>IF($BG102="","",INDEX(Calc_Daily!$BJ$2:$BJ$2001,$BG102))</f>
        <v>0</v>
      </c>
      <c r="C102">
        <f>IF($BG102="","",INDEX(Calc_Daily!$BK$2:$BK$2001,$BG102))</f>
        <v>0</v>
      </c>
      <c r="D102">
        <f>IF($BG102="","",INDEX(Calc_Daily!$BL$2:$BL$2001,$BG102))</f>
        <v>0</v>
      </c>
      <c r="E102">
        <f>IF($BG102="","",INDEX(Calc_Daily!$E$2:$E$2001,$BG102))</f>
        <v>0</v>
      </c>
      <c r="F102">
        <f>IF($E102="","",N(F101)+1)</f>
        <v>0</v>
      </c>
      <c r="G102">
        <f>IF(OR($E102="",$E101=""),"",LN($E102/$E101))</f>
        <v>0</v>
      </c>
      <c r="H102">
        <f>IF($E102="","",IF($E101="",$E102,$E102*0.0952380952+H101*0.9047619048))</f>
        <v>0</v>
      </c>
      <c r="I102">
        <f>IF($E102="","",IF($E101="",$E102,$E102*0.0392156863+I101*0.9607843137))</f>
        <v>0</v>
      </c>
      <c r="J102">
        <f>IF($E102="","",IF($E101="",$E102,$E102*0.0198019802+J101*0.9801980198))</f>
        <v>0</v>
      </c>
      <c r="K102">
        <f>IF($E102="","",IF($E101="",$E102,$E102*0.0099502488+K101*0.9900497512))</f>
        <v>0</v>
      </c>
      <c r="L102">
        <f>IF(OR($E102="",$E101=""),"",MAX($E102-$E101,0))</f>
        <v>0</v>
      </c>
      <c r="M102">
        <f>IF(OR($E102="",$E101=""),"",MAX($E101-$E102,0))</f>
        <v>0</v>
      </c>
      <c r="N102">
        <f>IF(COUNT($E$2:$E102)&lt;15,"",IF(AVERAGE($M$89:$M$102)=0,100,100-100/(1+AVERAGE($L$89:$L$102)/AVERAGE($M$89:$M$102))))</f>
        <v>0</v>
      </c>
      <c r="O102">
        <f>IF($E102="","",IF($E101="",$E102,$E102*0.1538461538+O101*0.8461538462))</f>
        <v>0</v>
      </c>
      <c r="P102">
        <f>IF($E102="","",IF($E101="",$E102,$E102*0.0740740741+P101*0.9259259259))</f>
        <v>0</v>
      </c>
      <c r="Q102">
        <f>IF(OR(O102="",P102=""),"",O102-P102)</f>
        <v>0</v>
      </c>
      <c r="R102">
        <f>IF(Q102="","",IF(R101="",Q102,Q102*0.2000000000+R101*0.8000000000))</f>
        <v>0</v>
      </c>
      <c r="S102">
        <f>IF(OR(Q102="",R102=""),"",Q102-R102)</f>
        <v>0</v>
      </c>
      <c r="T102">
        <f>IF(COUNT($E$2:$E102)&lt;14,"",MAX($C$89:$C$102))</f>
        <v>0</v>
      </c>
      <c r="U102">
        <f>IF(COUNT($E$2:$E102)&lt;14,"",MIN($D$89:$D$102))</f>
        <v>0</v>
      </c>
      <c r="V102">
        <f>IF(OR(T102="",U102="",T102=U102),"",100*($E102-U102)/(T102-U102))</f>
        <v>0</v>
      </c>
      <c r="W102">
        <f>IF(COUNT($V$100:$V$102)&lt;3,"",AVERAGE($V$100:$V$102))</f>
        <v>0</v>
      </c>
      <c r="X102">
        <f>IF(COUNT($N$89:$N$102)&lt;14,"",MIN($N$89:$N$102))</f>
        <v>0</v>
      </c>
      <c r="Y102">
        <f>IF(COUNT($N$89:$N$102)&lt;14,"",MAX($N$89:$N$102))</f>
        <v>0</v>
      </c>
      <c r="Z102">
        <f>IF(OR(N102="",X102="",Y102="",Y102=X102),"",100*(N102-X102)/(Y102-X102))</f>
        <v>0</v>
      </c>
      <c r="AA102">
        <f>IF(COUNT($Z$100:$Z$102)&lt;3,"",AVERAGE($Z$100:$Z$102))</f>
        <v>0</v>
      </c>
      <c r="AB102">
        <f>IF(COUNT($AA$100:$AA$102)&lt;3,"",AVERAGE($AA$100:$AA$102))</f>
        <v>0</v>
      </c>
      <c r="AC102">
        <f>IF($E102="","",MAX($C102-$D102,ABS($C102-$E101),ABS($D102-$E101)))</f>
        <v>0</v>
      </c>
      <c r="AD102">
        <f>IF(COUNT($E$2:$E102)&lt;15,"",AVERAGE($AC$89:$AC$102))</f>
        <v>0</v>
      </c>
      <c r="AE102">
        <f>IF(OR($E102="",$E101=""),"",IF(AND(($C102-$C101)&gt;($D101-$D102),($C102-$C101)&gt;0),$C102-$C101,0))</f>
        <v>0</v>
      </c>
      <c r="AF102">
        <f>IF(OR($E102="",$E101=""),"",IF(AND(($D101-$D102)&gt;($C102-$C101),($D101-$D102)&gt;0),$D101-$D102,0))</f>
        <v>0</v>
      </c>
      <c r="AG102">
        <f>IF(COUNT($E$2:$E102)&lt;15,"",IF(SUM($AC$89:$AC$102)=0,0,100*SUM($AE$89:$AE$102)/SUM($AC$89:$AC$102)))</f>
        <v>0</v>
      </c>
      <c r="AH102">
        <f>IF(COUNT($E$2:$E102)&lt;15,"",IF(SUM($AC$89:$AC$102)=0,0,100*SUM($AF$89:$AF$102)/SUM($AC$89:$AC$102)))</f>
        <v>0</v>
      </c>
      <c r="AI102">
        <f>IF(OR(AG102="",AH102=""),"",IF((AG102+AH102)=0,0,100*ABS(AG102-AH102)/(AG102+AH102)))</f>
        <v>0</v>
      </c>
      <c r="AJ102">
        <f>IF(COUNT($AI$89:$AI$102)&lt;14,"",AVERAGE($AI$89:$AI$102))</f>
        <v>0</v>
      </c>
      <c r="AK102">
        <f>IF(COUNT($E$2:$E102)&lt;20,"",AVERAGE($E$83:$E$102))</f>
        <v>0</v>
      </c>
      <c r="AL102">
        <f>IF(COUNT($E$2:$E102)&lt;20,"",STDEVP($E$83:$E$102))</f>
        <v>0</v>
      </c>
      <c r="AM102">
        <f>IF(AK102="","",AK102+2*AL102)</f>
        <v>0</v>
      </c>
      <c r="AN102">
        <f>IF(AK102="","",AK102-2*AL102)</f>
        <v>0</v>
      </c>
      <c r="AO102">
        <f>IF(OR(AM102="",AN102="",AM102=AN102),"",($E102-AN102)/(AM102-AN102))</f>
        <v>0</v>
      </c>
      <c r="AP102">
        <f>IF(OR(AM102="",AK102="",AK102=0),"",(AM102-AN102)/AK102)</f>
        <v>0</v>
      </c>
      <c r="AQ102">
        <f>IF(COUNT($E$2:$E102)&lt;20,"",MAX($C$83:$C$102))</f>
        <v>0</v>
      </c>
      <c r="AR102">
        <f>IF(COUNT($E$2:$E102)&lt;20,"",MIN($D$83:$D$102))</f>
        <v>0</v>
      </c>
      <c r="AS102">
        <f>IF(OR(AQ102="",AR102=""),"",(AQ102+AR102)/2)</f>
        <v>0</v>
      </c>
      <c r="AT102">
        <f>IF(COUNT($G$83:$G$102)&lt;20,"",STDEV($G$83:$G$102)*SQRT(52))</f>
        <v>0</v>
      </c>
      <c r="AU102">
        <f>IF(COUNT($E$2:$E102)&lt;9,"",(MAX($C$94:$C$102)+MIN($D$94:$D$102))/2)</f>
        <v>0</v>
      </c>
      <c r="AV102">
        <f>IF(COUNT($E$2:$E102)&lt;26,"",(MAX($C$77:$C$102)+MIN($D$77:$D$102))/2)</f>
        <v>0</v>
      </c>
      <c r="AW102">
        <f>IF(OR(AU102="",AV102=""),"",(AU102+AV102)/2)</f>
        <v>0</v>
      </c>
      <c r="AX102">
        <f>IF(COUNT($E$2:$E102)&lt;52,"",(MAX($C$51:$C$102)+MIN($D$51:$D$102))/2)</f>
        <v>0</v>
      </c>
      <c r="AY102">
        <f>IF(COUNT($E$2:$E102)&lt;20,"",MAX($C$3:$C$102))</f>
        <v>0</v>
      </c>
      <c r="AZ102">
        <f>IF(COUNT($E$2:$E102)&lt;20,"",MIN($D$3:$D$102))</f>
        <v>0</v>
      </c>
      <c r="BA102">
        <f>IF(COUNT($E$2:$E102)&lt;20,"",SLOPE($E$3:$E$102,$F$3:$F$102))</f>
        <v>0</v>
      </c>
      <c r="BB102">
        <f>IF(COUNT($E$2:$E102)&lt;20,"",INTERCEPT($E$3:$E$102,$F$3:$F$102))</f>
        <v>0</v>
      </c>
      <c r="BC102">
        <f>IF(OR(BA102="",BB102=""),"",BB102+BA102*F102)</f>
        <v>0</v>
      </c>
      <c r="BD102">
        <f>IF(COUNT($E$2:$E102)&lt;20,"",STEYX($E$3:$E$102,$F$3:$F$102))</f>
        <v>0</v>
      </c>
      <c r="BE102">
        <f>IF($E102="","",IF(AND(COUNT($E$103:$E$106)&gt;=4,$C102=MAX($C$98:$C$106)),$C102,""))</f>
        <v>0</v>
      </c>
      <c r="BF102">
        <f>IF($E102="","",IF(AND(COUNT($E$103:$E$106)&gt;=4,$D102=MIN($D$98:$D$106)),$D102,""))</f>
        <v>0</v>
      </c>
      <c r="BG102">
        <f>IFERROR(SMALL(Calc_Daily!$BM$2:$BM$2001,101),"")</f>
        <v>0</v>
      </c>
    </row>
    <row r="103" spans="1:59">
      <c r="A103" s="27">
        <f>IF($BG103="","",INDEX(Calc_Daily!$A$2:$A$2001,$BG103))</f>
        <v>0</v>
      </c>
      <c r="B103">
        <f>IF($BG103="","",INDEX(Calc_Daily!$BJ$2:$BJ$2001,$BG103))</f>
        <v>0</v>
      </c>
      <c r="C103">
        <f>IF($BG103="","",INDEX(Calc_Daily!$BK$2:$BK$2001,$BG103))</f>
        <v>0</v>
      </c>
      <c r="D103">
        <f>IF($BG103="","",INDEX(Calc_Daily!$BL$2:$BL$2001,$BG103))</f>
        <v>0</v>
      </c>
      <c r="E103">
        <f>IF($BG103="","",INDEX(Calc_Daily!$E$2:$E$2001,$BG103))</f>
        <v>0</v>
      </c>
      <c r="F103">
        <f>IF($E103="","",N(F102)+1)</f>
        <v>0</v>
      </c>
      <c r="G103">
        <f>IF(OR($E103="",$E102=""),"",LN($E103/$E102))</f>
        <v>0</v>
      </c>
      <c r="H103">
        <f>IF($E103="","",IF($E102="",$E103,$E103*0.0952380952+H102*0.9047619048))</f>
        <v>0</v>
      </c>
      <c r="I103">
        <f>IF($E103="","",IF($E102="",$E103,$E103*0.0392156863+I102*0.9607843137))</f>
        <v>0</v>
      </c>
      <c r="J103">
        <f>IF($E103="","",IF($E102="",$E103,$E103*0.0198019802+J102*0.9801980198))</f>
        <v>0</v>
      </c>
      <c r="K103">
        <f>IF($E103="","",IF($E102="",$E103,$E103*0.0099502488+K102*0.9900497512))</f>
        <v>0</v>
      </c>
      <c r="L103">
        <f>IF(OR($E103="",$E102=""),"",MAX($E103-$E102,0))</f>
        <v>0</v>
      </c>
      <c r="M103">
        <f>IF(OR($E103="",$E102=""),"",MAX($E102-$E103,0))</f>
        <v>0</v>
      </c>
      <c r="N103">
        <f>IF(COUNT($E$2:$E103)&lt;15,"",IF(AVERAGE($M$90:$M$103)=0,100,100-100/(1+AVERAGE($L$90:$L$103)/AVERAGE($M$90:$M$103))))</f>
        <v>0</v>
      </c>
      <c r="O103">
        <f>IF($E103="","",IF($E102="",$E103,$E103*0.1538461538+O102*0.8461538462))</f>
        <v>0</v>
      </c>
      <c r="P103">
        <f>IF($E103="","",IF($E102="",$E103,$E103*0.0740740741+P102*0.9259259259))</f>
        <v>0</v>
      </c>
      <c r="Q103">
        <f>IF(OR(O103="",P103=""),"",O103-P103)</f>
        <v>0</v>
      </c>
      <c r="R103">
        <f>IF(Q103="","",IF(R102="",Q103,Q103*0.2000000000+R102*0.8000000000))</f>
        <v>0</v>
      </c>
      <c r="S103">
        <f>IF(OR(Q103="",R103=""),"",Q103-R103)</f>
        <v>0</v>
      </c>
      <c r="T103">
        <f>IF(COUNT($E$2:$E103)&lt;14,"",MAX($C$90:$C$103))</f>
        <v>0</v>
      </c>
      <c r="U103">
        <f>IF(COUNT($E$2:$E103)&lt;14,"",MIN($D$90:$D$103))</f>
        <v>0</v>
      </c>
      <c r="V103">
        <f>IF(OR(T103="",U103="",T103=U103),"",100*($E103-U103)/(T103-U103))</f>
        <v>0</v>
      </c>
      <c r="W103">
        <f>IF(COUNT($V$101:$V$103)&lt;3,"",AVERAGE($V$101:$V$103))</f>
        <v>0</v>
      </c>
      <c r="X103">
        <f>IF(COUNT($N$90:$N$103)&lt;14,"",MIN($N$90:$N$103))</f>
        <v>0</v>
      </c>
      <c r="Y103">
        <f>IF(COUNT($N$90:$N$103)&lt;14,"",MAX($N$90:$N$103))</f>
        <v>0</v>
      </c>
      <c r="Z103">
        <f>IF(OR(N103="",X103="",Y103="",Y103=X103),"",100*(N103-X103)/(Y103-X103))</f>
        <v>0</v>
      </c>
      <c r="AA103">
        <f>IF(COUNT($Z$101:$Z$103)&lt;3,"",AVERAGE($Z$101:$Z$103))</f>
        <v>0</v>
      </c>
      <c r="AB103">
        <f>IF(COUNT($AA$101:$AA$103)&lt;3,"",AVERAGE($AA$101:$AA$103))</f>
        <v>0</v>
      </c>
      <c r="AC103">
        <f>IF($E103="","",MAX($C103-$D103,ABS($C103-$E102),ABS($D103-$E102)))</f>
        <v>0</v>
      </c>
      <c r="AD103">
        <f>IF(COUNT($E$2:$E103)&lt;15,"",AVERAGE($AC$90:$AC$103))</f>
        <v>0</v>
      </c>
      <c r="AE103">
        <f>IF(OR($E103="",$E102=""),"",IF(AND(($C103-$C102)&gt;($D102-$D103),($C103-$C102)&gt;0),$C103-$C102,0))</f>
        <v>0</v>
      </c>
      <c r="AF103">
        <f>IF(OR($E103="",$E102=""),"",IF(AND(($D102-$D103)&gt;($C103-$C102),($D102-$D103)&gt;0),$D102-$D103,0))</f>
        <v>0</v>
      </c>
      <c r="AG103">
        <f>IF(COUNT($E$2:$E103)&lt;15,"",IF(SUM($AC$90:$AC$103)=0,0,100*SUM($AE$90:$AE$103)/SUM($AC$90:$AC$103)))</f>
        <v>0</v>
      </c>
      <c r="AH103">
        <f>IF(COUNT($E$2:$E103)&lt;15,"",IF(SUM($AC$90:$AC$103)=0,0,100*SUM($AF$90:$AF$103)/SUM($AC$90:$AC$103)))</f>
        <v>0</v>
      </c>
      <c r="AI103">
        <f>IF(OR(AG103="",AH103=""),"",IF((AG103+AH103)=0,0,100*ABS(AG103-AH103)/(AG103+AH103)))</f>
        <v>0</v>
      </c>
      <c r="AJ103">
        <f>IF(COUNT($AI$90:$AI$103)&lt;14,"",AVERAGE($AI$90:$AI$103))</f>
        <v>0</v>
      </c>
      <c r="AK103">
        <f>IF(COUNT($E$2:$E103)&lt;20,"",AVERAGE($E$84:$E$103))</f>
        <v>0</v>
      </c>
      <c r="AL103">
        <f>IF(COUNT($E$2:$E103)&lt;20,"",STDEVP($E$84:$E$103))</f>
        <v>0</v>
      </c>
      <c r="AM103">
        <f>IF(AK103="","",AK103+2*AL103)</f>
        <v>0</v>
      </c>
      <c r="AN103">
        <f>IF(AK103="","",AK103-2*AL103)</f>
        <v>0</v>
      </c>
      <c r="AO103">
        <f>IF(OR(AM103="",AN103="",AM103=AN103),"",($E103-AN103)/(AM103-AN103))</f>
        <v>0</v>
      </c>
      <c r="AP103">
        <f>IF(OR(AM103="",AK103="",AK103=0),"",(AM103-AN103)/AK103)</f>
        <v>0</v>
      </c>
      <c r="AQ103">
        <f>IF(COUNT($E$2:$E103)&lt;20,"",MAX($C$84:$C$103))</f>
        <v>0</v>
      </c>
      <c r="AR103">
        <f>IF(COUNT($E$2:$E103)&lt;20,"",MIN($D$84:$D$103))</f>
        <v>0</v>
      </c>
      <c r="AS103">
        <f>IF(OR(AQ103="",AR103=""),"",(AQ103+AR103)/2)</f>
        <v>0</v>
      </c>
      <c r="AT103">
        <f>IF(COUNT($G$84:$G$103)&lt;20,"",STDEV($G$84:$G$103)*SQRT(52))</f>
        <v>0</v>
      </c>
      <c r="AU103">
        <f>IF(COUNT($E$2:$E103)&lt;9,"",(MAX($C$95:$C$103)+MIN($D$95:$D$103))/2)</f>
        <v>0</v>
      </c>
      <c r="AV103">
        <f>IF(COUNT($E$2:$E103)&lt;26,"",(MAX($C$78:$C$103)+MIN($D$78:$D$103))/2)</f>
        <v>0</v>
      </c>
      <c r="AW103">
        <f>IF(OR(AU103="",AV103=""),"",(AU103+AV103)/2)</f>
        <v>0</v>
      </c>
      <c r="AX103">
        <f>IF(COUNT($E$2:$E103)&lt;52,"",(MAX($C$52:$C$103)+MIN($D$52:$D$103))/2)</f>
        <v>0</v>
      </c>
      <c r="AY103">
        <f>IF(COUNT($E$2:$E103)&lt;20,"",MAX($C$4:$C$103))</f>
        <v>0</v>
      </c>
      <c r="AZ103">
        <f>IF(COUNT($E$2:$E103)&lt;20,"",MIN($D$4:$D$103))</f>
        <v>0</v>
      </c>
      <c r="BA103">
        <f>IF(COUNT($E$2:$E103)&lt;20,"",SLOPE($E$4:$E$103,$F$4:$F$103))</f>
        <v>0</v>
      </c>
      <c r="BB103">
        <f>IF(COUNT($E$2:$E103)&lt;20,"",INTERCEPT($E$4:$E$103,$F$4:$F$103))</f>
        <v>0</v>
      </c>
      <c r="BC103">
        <f>IF(OR(BA103="",BB103=""),"",BB103+BA103*F103)</f>
        <v>0</v>
      </c>
      <c r="BD103">
        <f>IF(COUNT($E$2:$E103)&lt;20,"",STEYX($E$4:$E$103,$F$4:$F$103))</f>
        <v>0</v>
      </c>
      <c r="BE103">
        <f>IF($E103="","",IF(AND(COUNT($E$104:$E$107)&gt;=4,$C103=MAX($C$99:$C$107)),$C103,""))</f>
        <v>0</v>
      </c>
      <c r="BF103">
        <f>IF($E103="","",IF(AND(COUNT($E$104:$E$107)&gt;=4,$D103=MIN($D$99:$D$107)),$D103,""))</f>
        <v>0</v>
      </c>
      <c r="BG103">
        <f>IFERROR(SMALL(Calc_Daily!$BM$2:$BM$2001,102),"")</f>
        <v>0</v>
      </c>
    </row>
    <row r="104" spans="1:59">
      <c r="A104" s="27">
        <f>IF($BG104="","",INDEX(Calc_Daily!$A$2:$A$2001,$BG104))</f>
        <v>0</v>
      </c>
      <c r="B104">
        <f>IF($BG104="","",INDEX(Calc_Daily!$BJ$2:$BJ$2001,$BG104))</f>
        <v>0</v>
      </c>
      <c r="C104">
        <f>IF($BG104="","",INDEX(Calc_Daily!$BK$2:$BK$2001,$BG104))</f>
        <v>0</v>
      </c>
      <c r="D104">
        <f>IF($BG104="","",INDEX(Calc_Daily!$BL$2:$BL$2001,$BG104))</f>
        <v>0</v>
      </c>
      <c r="E104">
        <f>IF($BG104="","",INDEX(Calc_Daily!$E$2:$E$2001,$BG104))</f>
        <v>0</v>
      </c>
      <c r="F104">
        <f>IF($E104="","",N(F103)+1)</f>
        <v>0</v>
      </c>
      <c r="G104">
        <f>IF(OR($E104="",$E103=""),"",LN($E104/$E103))</f>
        <v>0</v>
      </c>
      <c r="H104">
        <f>IF($E104="","",IF($E103="",$E104,$E104*0.0952380952+H103*0.9047619048))</f>
        <v>0</v>
      </c>
      <c r="I104">
        <f>IF($E104="","",IF($E103="",$E104,$E104*0.0392156863+I103*0.9607843137))</f>
        <v>0</v>
      </c>
      <c r="J104">
        <f>IF($E104="","",IF($E103="",$E104,$E104*0.0198019802+J103*0.9801980198))</f>
        <v>0</v>
      </c>
      <c r="K104">
        <f>IF($E104="","",IF($E103="",$E104,$E104*0.0099502488+K103*0.9900497512))</f>
        <v>0</v>
      </c>
      <c r="L104">
        <f>IF(OR($E104="",$E103=""),"",MAX($E104-$E103,0))</f>
        <v>0</v>
      </c>
      <c r="M104">
        <f>IF(OR($E104="",$E103=""),"",MAX($E103-$E104,0))</f>
        <v>0</v>
      </c>
      <c r="N104">
        <f>IF(COUNT($E$2:$E104)&lt;15,"",IF(AVERAGE($M$91:$M$104)=0,100,100-100/(1+AVERAGE($L$91:$L$104)/AVERAGE($M$91:$M$104))))</f>
        <v>0</v>
      </c>
      <c r="O104">
        <f>IF($E104="","",IF($E103="",$E104,$E104*0.1538461538+O103*0.8461538462))</f>
        <v>0</v>
      </c>
      <c r="P104">
        <f>IF($E104="","",IF($E103="",$E104,$E104*0.0740740741+P103*0.9259259259))</f>
        <v>0</v>
      </c>
      <c r="Q104">
        <f>IF(OR(O104="",P104=""),"",O104-P104)</f>
        <v>0</v>
      </c>
      <c r="R104">
        <f>IF(Q104="","",IF(R103="",Q104,Q104*0.2000000000+R103*0.8000000000))</f>
        <v>0</v>
      </c>
      <c r="S104">
        <f>IF(OR(Q104="",R104=""),"",Q104-R104)</f>
        <v>0</v>
      </c>
      <c r="T104">
        <f>IF(COUNT($E$2:$E104)&lt;14,"",MAX($C$91:$C$104))</f>
        <v>0</v>
      </c>
      <c r="U104">
        <f>IF(COUNT($E$2:$E104)&lt;14,"",MIN($D$91:$D$104))</f>
        <v>0</v>
      </c>
      <c r="V104">
        <f>IF(OR(T104="",U104="",T104=U104),"",100*($E104-U104)/(T104-U104))</f>
        <v>0</v>
      </c>
      <c r="W104">
        <f>IF(COUNT($V$102:$V$104)&lt;3,"",AVERAGE($V$102:$V$104))</f>
        <v>0</v>
      </c>
      <c r="X104">
        <f>IF(COUNT($N$91:$N$104)&lt;14,"",MIN($N$91:$N$104))</f>
        <v>0</v>
      </c>
      <c r="Y104">
        <f>IF(COUNT($N$91:$N$104)&lt;14,"",MAX($N$91:$N$104))</f>
        <v>0</v>
      </c>
      <c r="Z104">
        <f>IF(OR(N104="",X104="",Y104="",Y104=X104),"",100*(N104-X104)/(Y104-X104))</f>
        <v>0</v>
      </c>
      <c r="AA104">
        <f>IF(COUNT($Z$102:$Z$104)&lt;3,"",AVERAGE($Z$102:$Z$104))</f>
        <v>0</v>
      </c>
      <c r="AB104">
        <f>IF(COUNT($AA$102:$AA$104)&lt;3,"",AVERAGE($AA$102:$AA$104))</f>
        <v>0</v>
      </c>
      <c r="AC104">
        <f>IF($E104="","",MAX($C104-$D104,ABS($C104-$E103),ABS($D104-$E103)))</f>
        <v>0</v>
      </c>
      <c r="AD104">
        <f>IF(COUNT($E$2:$E104)&lt;15,"",AVERAGE($AC$91:$AC$104))</f>
        <v>0</v>
      </c>
      <c r="AE104">
        <f>IF(OR($E104="",$E103=""),"",IF(AND(($C104-$C103)&gt;($D103-$D104),($C104-$C103)&gt;0),$C104-$C103,0))</f>
        <v>0</v>
      </c>
      <c r="AF104">
        <f>IF(OR($E104="",$E103=""),"",IF(AND(($D103-$D104)&gt;($C104-$C103),($D103-$D104)&gt;0),$D103-$D104,0))</f>
        <v>0</v>
      </c>
      <c r="AG104">
        <f>IF(COUNT($E$2:$E104)&lt;15,"",IF(SUM($AC$91:$AC$104)=0,0,100*SUM($AE$91:$AE$104)/SUM($AC$91:$AC$104)))</f>
        <v>0</v>
      </c>
      <c r="AH104">
        <f>IF(COUNT($E$2:$E104)&lt;15,"",IF(SUM($AC$91:$AC$104)=0,0,100*SUM($AF$91:$AF$104)/SUM($AC$91:$AC$104)))</f>
        <v>0</v>
      </c>
      <c r="AI104">
        <f>IF(OR(AG104="",AH104=""),"",IF((AG104+AH104)=0,0,100*ABS(AG104-AH104)/(AG104+AH104)))</f>
        <v>0</v>
      </c>
      <c r="AJ104">
        <f>IF(COUNT($AI$91:$AI$104)&lt;14,"",AVERAGE($AI$91:$AI$104))</f>
        <v>0</v>
      </c>
      <c r="AK104">
        <f>IF(COUNT($E$2:$E104)&lt;20,"",AVERAGE($E$85:$E$104))</f>
        <v>0</v>
      </c>
      <c r="AL104">
        <f>IF(COUNT($E$2:$E104)&lt;20,"",STDEVP($E$85:$E$104))</f>
        <v>0</v>
      </c>
      <c r="AM104">
        <f>IF(AK104="","",AK104+2*AL104)</f>
        <v>0</v>
      </c>
      <c r="AN104">
        <f>IF(AK104="","",AK104-2*AL104)</f>
        <v>0</v>
      </c>
      <c r="AO104">
        <f>IF(OR(AM104="",AN104="",AM104=AN104),"",($E104-AN104)/(AM104-AN104))</f>
        <v>0</v>
      </c>
      <c r="AP104">
        <f>IF(OR(AM104="",AK104="",AK104=0),"",(AM104-AN104)/AK104)</f>
        <v>0</v>
      </c>
      <c r="AQ104">
        <f>IF(COUNT($E$2:$E104)&lt;20,"",MAX($C$85:$C$104))</f>
        <v>0</v>
      </c>
      <c r="AR104">
        <f>IF(COUNT($E$2:$E104)&lt;20,"",MIN($D$85:$D$104))</f>
        <v>0</v>
      </c>
      <c r="AS104">
        <f>IF(OR(AQ104="",AR104=""),"",(AQ104+AR104)/2)</f>
        <v>0</v>
      </c>
      <c r="AT104">
        <f>IF(COUNT($G$85:$G$104)&lt;20,"",STDEV($G$85:$G$104)*SQRT(52))</f>
        <v>0</v>
      </c>
      <c r="AU104">
        <f>IF(COUNT($E$2:$E104)&lt;9,"",(MAX($C$96:$C$104)+MIN($D$96:$D$104))/2)</f>
        <v>0</v>
      </c>
      <c r="AV104">
        <f>IF(COUNT($E$2:$E104)&lt;26,"",(MAX($C$79:$C$104)+MIN($D$79:$D$104))/2)</f>
        <v>0</v>
      </c>
      <c r="AW104">
        <f>IF(OR(AU104="",AV104=""),"",(AU104+AV104)/2)</f>
        <v>0</v>
      </c>
      <c r="AX104">
        <f>IF(COUNT($E$2:$E104)&lt;52,"",(MAX($C$53:$C$104)+MIN($D$53:$D$104))/2)</f>
        <v>0</v>
      </c>
      <c r="AY104">
        <f>IF(COUNT($E$2:$E104)&lt;20,"",MAX($C$5:$C$104))</f>
        <v>0</v>
      </c>
      <c r="AZ104">
        <f>IF(COUNT($E$2:$E104)&lt;20,"",MIN($D$5:$D$104))</f>
        <v>0</v>
      </c>
      <c r="BA104">
        <f>IF(COUNT($E$2:$E104)&lt;20,"",SLOPE($E$5:$E$104,$F$5:$F$104))</f>
        <v>0</v>
      </c>
      <c r="BB104">
        <f>IF(COUNT($E$2:$E104)&lt;20,"",INTERCEPT($E$5:$E$104,$F$5:$F$104))</f>
        <v>0</v>
      </c>
      <c r="BC104">
        <f>IF(OR(BA104="",BB104=""),"",BB104+BA104*F104)</f>
        <v>0</v>
      </c>
      <c r="BD104">
        <f>IF(COUNT($E$2:$E104)&lt;20,"",STEYX($E$5:$E$104,$F$5:$F$104))</f>
        <v>0</v>
      </c>
      <c r="BE104">
        <f>IF($E104="","",IF(AND(COUNT($E$105:$E$108)&gt;=4,$C104=MAX($C$100:$C$108)),$C104,""))</f>
        <v>0</v>
      </c>
      <c r="BF104">
        <f>IF($E104="","",IF(AND(COUNT($E$105:$E$108)&gt;=4,$D104=MIN($D$100:$D$108)),$D104,""))</f>
        <v>0</v>
      </c>
      <c r="BG104">
        <f>IFERROR(SMALL(Calc_Daily!$BM$2:$BM$2001,103),"")</f>
        <v>0</v>
      </c>
    </row>
    <row r="105" spans="1:59">
      <c r="A105" s="27">
        <f>IF($BG105="","",INDEX(Calc_Daily!$A$2:$A$2001,$BG105))</f>
        <v>0</v>
      </c>
      <c r="B105">
        <f>IF($BG105="","",INDEX(Calc_Daily!$BJ$2:$BJ$2001,$BG105))</f>
        <v>0</v>
      </c>
      <c r="C105">
        <f>IF($BG105="","",INDEX(Calc_Daily!$BK$2:$BK$2001,$BG105))</f>
        <v>0</v>
      </c>
      <c r="D105">
        <f>IF($BG105="","",INDEX(Calc_Daily!$BL$2:$BL$2001,$BG105))</f>
        <v>0</v>
      </c>
      <c r="E105">
        <f>IF($BG105="","",INDEX(Calc_Daily!$E$2:$E$2001,$BG105))</f>
        <v>0</v>
      </c>
      <c r="F105">
        <f>IF($E105="","",N(F104)+1)</f>
        <v>0</v>
      </c>
      <c r="G105">
        <f>IF(OR($E105="",$E104=""),"",LN($E105/$E104))</f>
        <v>0</v>
      </c>
      <c r="H105">
        <f>IF($E105="","",IF($E104="",$E105,$E105*0.0952380952+H104*0.9047619048))</f>
        <v>0</v>
      </c>
      <c r="I105">
        <f>IF($E105="","",IF($E104="",$E105,$E105*0.0392156863+I104*0.9607843137))</f>
        <v>0</v>
      </c>
      <c r="J105">
        <f>IF($E105="","",IF($E104="",$E105,$E105*0.0198019802+J104*0.9801980198))</f>
        <v>0</v>
      </c>
      <c r="K105">
        <f>IF($E105="","",IF($E104="",$E105,$E105*0.0099502488+K104*0.9900497512))</f>
        <v>0</v>
      </c>
      <c r="L105">
        <f>IF(OR($E105="",$E104=""),"",MAX($E105-$E104,0))</f>
        <v>0</v>
      </c>
      <c r="M105">
        <f>IF(OR($E105="",$E104=""),"",MAX($E104-$E105,0))</f>
        <v>0</v>
      </c>
      <c r="N105">
        <f>IF(COUNT($E$2:$E105)&lt;15,"",IF(AVERAGE($M$92:$M$105)=0,100,100-100/(1+AVERAGE($L$92:$L$105)/AVERAGE($M$92:$M$105))))</f>
        <v>0</v>
      </c>
      <c r="O105">
        <f>IF($E105="","",IF($E104="",$E105,$E105*0.1538461538+O104*0.8461538462))</f>
        <v>0</v>
      </c>
      <c r="P105">
        <f>IF($E105="","",IF($E104="",$E105,$E105*0.0740740741+P104*0.9259259259))</f>
        <v>0</v>
      </c>
      <c r="Q105">
        <f>IF(OR(O105="",P105=""),"",O105-P105)</f>
        <v>0</v>
      </c>
      <c r="R105">
        <f>IF(Q105="","",IF(R104="",Q105,Q105*0.2000000000+R104*0.8000000000))</f>
        <v>0</v>
      </c>
      <c r="S105">
        <f>IF(OR(Q105="",R105=""),"",Q105-R105)</f>
        <v>0</v>
      </c>
      <c r="T105">
        <f>IF(COUNT($E$2:$E105)&lt;14,"",MAX($C$92:$C$105))</f>
        <v>0</v>
      </c>
      <c r="U105">
        <f>IF(COUNT($E$2:$E105)&lt;14,"",MIN($D$92:$D$105))</f>
        <v>0</v>
      </c>
      <c r="V105">
        <f>IF(OR(T105="",U105="",T105=U105),"",100*($E105-U105)/(T105-U105))</f>
        <v>0</v>
      </c>
      <c r="W105">
        <f>IF(COUNT($V$103:$V$105)&lt;3,"",AVERAGE($V$103:$V$105))</f>
        <v>0</v>
      </c>
      <c r="X105">
        <f>IF(COUNT($N$92:$N$105)&lt;14,"",MIN($N$92:$N$105))</f>
        <v>0</v>
      </c>
      <c r="Y105">
        <f>IF(COUNT($N$92:$N$105)&lt;14,"",MAX($N$92:$N$105))</f>
        <v>0</v>
      </c>
      <c r="Z105">
        <f>IF(OR(N105="",X105="",Y105="",Y105=X105),"",100*(N105-X105)/(Y105-X105))</f>
        <v>0</v>
      </c>
      <c r="AA105">
        <f>IF(COUNT($Z$103:$Z$105)&lt;3,"",AVERAGE($Z$103:$Z$105))</f>
        <v>0</v>
      </c>
      <c r="AB105">
        <f>IF(COUNT($AA$103:$AA$105)&lt;3,"",AVERAGE($AA$103:$AA$105))</f>
        <v>0</v>
      </c>
      <c r="AC105">
        <f>IF($E105="","",MAX($C105-$D105,ABS($C105-$E104),ABS($D105-$E104)))</f>
        <v>0</v>
      </c>
      <c r="AD105">
        <f>IF(COUNT($E$2:$E105)&lt;15,"",AVERAGE($AC$92:$AC$105))</f>
        <v>0</v>
      </c>
      <c r="AE105">
        <f>IF(OR($E105="",$E104=""),"",IF(AND(($C105-$C104)&gt;($D104-$D105),($C105-$C104)&gt;0),$C105-$C104,0))</f>
        <v>0</v>
      </c>
      <c r="AF105">
        <f>IF(OR($E105="",$E104=""),"",IF(AND(($D104-$D105)&gt;($C105-$C104),($D104-$D105)&gt;0),$D104-$D105,0))</f>
        <v>0</v>
      </c>
      <c r="AG105">
        <f>IF(COUNT($E$2:$E105)&lt;15,"",IF(SUM($AC$92:$AC$105)=0,0,100*SUM($AE$92:$AE$105)/SUM($AC$92:$AC$105)))</f>
        <v>0</v>
      </c>
      <c r="AH105">
        <f>IF(COUNT($E$2:$E105)&lt;15,"",IF(SUM($AC$92:$AC$105)=0,0,100*SUM($AF$92:$AF$105)/SUM($AC$92:$AC$105)))</f>
        <v>0</v>
      </c>
      <c r="AI105">
        <f>IF(OR(AG105="",AH105=""),"",IF((AG105+AH105)=0,0,100*ABS(AG105-AH105)/(AG105+AH105)))</f>
        <v>0</v>
      </c>
      <c r="AJ105">
        <f>IF(COUNT($AI$92:$AI$105)&lt;14,"",AVERAGE($AI$92:$AI$105))</f>
        <v>0</v>
      </c>
      <c r="AK105">
        <f>IF(COUNT($E$2:$E105)&lt;20,"",AVERAGE($E$86:$E$105))</f>
        <v>0</v>
      </c>
      <c r="AL105">
        <f>IF(COUNT($E$2:$E105)&lt;20,"",STDEVP($E$86:$E$105))</f>
        <v>0</v>
      </c>
      <c r="AM105">
        <f>IF(AK105="","",AK105+2*AL105)</f>
        <v>0</v>
      </c>
      <c r="AN105">
        <f>IF(AK105="","",AK105-2*AL105)</f>
        <v>0</v>
      </c>
      <c r="AO105">
        <f>IF(OR(AM105="",AN105="",AM105=AN105),"",($E105-AN105)/(AM105-AN105))</f>
        <v>0</v>
      </c>
      <c r="AP105">
        <f>IF(OR(AM105="",AK105="",AK105=0),"",(AM105-AN105)/AK105)</f>
        <v>0</v>
      </c>
      <c r="AQ105">
        <f>IF(COUNT($E$2:$E105)&lt;20,"",MAX($C$86:$C$105))</f>
        <v>0</v>
      </c>
      <c r="AR105">
        <f>IF(COUNT($E$2:$E105)&lt;20,"",MIN($D$86:$D$105))</f>
        <v>0</v>
      </c>
      <c r="AS105">
        <f>IF(OR(AQ105="",AR105=""),"",(AQ105+AR105)/2)</f>
        <v>0</v>
      </c>
      <c r="AT105">
        <f>IF(COUNT($G$86:$G$105)&lt;20,"",STDEV($G$86:$G$105)*SQRT(52))</f>
        <v>0</v>
      </c>
      <c r="AU105">
        <f>IF(COUNT($E$2:$E105)&lt;9,"",(MAX($C$97:$C$105)+MIN($D$97:$D$105))/2)</f>
        <v>0</v>
      </c>
      <c r="AV105">
        <f>IF(COUNT($E$2:$E105)&lt;26,"",(MAX($C$80:$C$105)+MIN($D$80:$D$105))/2)</f>
        <v>0</v>
      </c>
      <c r="AW105">
        <f>IF(OR(AU105="",AV105=""),"",(AU105+AV105)/2)</f>
        <v>0</v>
      </c>
      <c r="AX105">
        <f>IF(COUNT($E$2:$E105)&lt;52,"",(MAX($C$54:$C$105)+MIN($D$54:$D$105))/2)</f>
        <v>0</v>
      </c>
      <c r="AY105">
        <f>IF(COUNT($E$2:$E105)&lt;20,"",MAX($C$6:$C$105))</f>
        <v>0</v>
      </c>
      <c r="AZ105">
        <f>IF(COUNT($E$2:$E105)&lt;20,"",MIN($D$6:$D$105))</f>
        <v>0</v>
      </c>
      <c r="BA105">
        <f>IF(COUNT($E$2:$E105)&lt;20,"",SLOPE($E$6:$E$105,$F$6:$F$105))</f>
        <v>0</v>
      </c>
      <c r="BB105">
        <f>IF(COUNT($E$2:$E105)&lt;20,"",INTERCEPT($E$6:$E$105,$F$6:$F$105))</f>
        <v>0</v>
      </c>
      <c r="BC105">
        <f>IF(OR(BA105="",BB105=""),"",BB105+BA105*F105)</f>
        <v>0</v>
      </c>
      <c r="BD105">
        <f>IF(COUNT($E$2:$E105)&lt;20,"",STEYX($E$6:$E$105,$F$6:$F$105))</f>
        <v>0</v>
      </c>
      <c r="BE105">
        <f>IF($E105="","",IF(AND(COUNT($E$106:$E$109)&gt;=4,$C105=MAX($C$101:$C$109)),$C105,""))</f>
        <v>0</v>
      </c>
      <c r="BF105">
        <f>IF($E105="","",IF(AND(COUNT($E$106:$E$109)&gt;=4,$D105=MIN($D$101:$D$109)),$D105,""))</f>
        <v>0</v>
      </c>
      <c r="BG105">
        <f>IFERROR(SMALL(Calc_Daily!$BM$2:$BM$2001,104),"")</f>
        <v>0</v>
      </c>
    </row>
    <row r="106" spans="1:59">
      <c r="A106" s="27">
        <f>IF($BG106="","",INDEX(Calc_Daily!$A$2:$A$2001,$BG106))</f>
        <v>0</v>
      </c>
      <c r="B106">
        <f>IF($BG106="","",INDEX(Calc_Daily!$BJ$2:$BJ$2001,$BG106))</f>
        <v>0</v>
      </c>
      <c r="C106">
        <f>IF($BG106="","",INDEX(Calc_Daily!$BK$2:$BK$2001,$BG106))</f>
        <v>0</v>
      </c>
      <c r="D106">
        <f>IF($BG106="","",INDEX(Calc_Daily!$BL$2:$BL$2001,$BG106))</f>
        <v>0</v>
      </c>
      <c r="E106">
        <f>IF($BG106="","",INDEX(Calc_Daily!$E$2:$E$2001,$BG106))</f>
        <v>0</v>
      </c>
      <c r="F106">
        <f>IF($E106="","",N(F105)+1)</f>
        <v>0</v>
      </c>
      <c r="G106">
        <f>IF(OR($E106="",$E105=""),"",LN($E106/$E105))</f>
        <v>0</v>
      </c>
      <c r="H106">
        <f>IF($E106="","",IF($E105="",$E106,$E106*0.0952380952+H105*0.9047619048))</f>
        <v>0</v>
      </c>
      <c r="I106">
        <f>IF($E106="","",IF($E105="",$E106,$E106*0.0392156863+I105*0.9607843137))</f>
        <v>0</v>
      </c>
      <c r="J106">
        <f>IF($E106="","",IF($E105="",$E106,$E106*0.0198019802+J105*0.9801980198))</f>
        <v>0</v>
      </c>
      <c r="K106">
        <f>IF($E106="","",IF($E105="",$E106,$E106*0.0099502488+K105*0.9900497512))</f>
        <v>0</v>
      </c>
      <c r="L106">
        <f>IF(OR($E106="",$E105=""),"",MAX($E106-$E105,0))</f>
        <v>0</v>
      </c>
      <c r="M106">
        <f>IF(OR($E106="",$E105=""),"",MAX($E105-$E106,0))</f>
        <v>0</v>
      </c>
      <c r="N106">
        <f>IF(COUNT($E$2:$E106)&lt;15,"",IF(AVERAGE($M$93:$M$106)=0,100,100-100/(1+AVERAGE($L$93:$L$106)/AVERAGE($M$93:$M$106))))</f>
        <v>0</v>
      </c>
      <c r="O106">
        <f>IF($E106="","",IF($E105="",$E106,$E106*0.1538461538+O105*0.8461538462))</f>
        <v>0</v>
      </c>
      <c r="P106">
        <f>IF($E106="","",IF($E105="",$E106,$E106*0.0740740741+P105*0.9259259259))</f>
        <v>0</v>
      </c>
      <c r="Q106">
        <f>IF(OR(O106="",P106=""),"",O106-P106)</f>
        <v>0</v>
      </c>
      <c r="R106">
        <f>IF(Q106="","",IF(R105="",Q106,Q106*0.2000000000+R105*0.8000000000))</f>
        <v>0</v>
      </c>
      <c r="S106">
        <f>IF(OR(Q106="",R106=""),"",Q106-R106)</f>
        <v>0</v>
      </c>
      <c r="T106">
        <f>IF(COUNT($E$2:$E106)&lt;14,"",MAX($C$93:$C$106))</f>
        <v>0</v>
      </c>
      <c r="U106">
        <f>IF(COUNT($E$2:$E106)&lt;14,"",MIN($D$93:$D$106))</f>
        <v>0</v>
      </c>
      <c r="V106">
        <f>IF(OR(T106="",U106="",T106=U106),"",100*($E106-U106)/(T106-U106))</f>
        <v>0</v>
      </c>
      <c r="W106">
        <f>IF(COUNT($V$104:$V$106)&lt;3,"",AVERAGE($V$104:$V$106))</f>
        <v>0</v>
      </c>
      <c r="X106">
        <f>IF(COUNT($N$93:$N$106)&lt;14,"",MIN($N$93:$N$106))</f>
        <v>0</v>
      </c>
      <c r="Y106">
        <f>IF(COUNT($N$93:$N$106)&lt;14,"",MAX($N$93:$N$106))</f>
        <v>0</v>
      </c>
      <c r="Z106">
        <f>IF(OR(N106="",X106="",Y106="",Y106=X106),"",100*(N106-X106)/(Y106-X106))</f>
        <v>0</v>
      </c>
      <c r="AA106">
        <f>IF(COUNT($Z$104:$Z$106)&lt;3,"",AVERAGE($Z$104:$Z$106))</f>
        <v>0</v>
      </c>
      <c r="AB106">
        <f>IF(COUNT($AA$104:$AA$106)&lt;3,"",AVERAGE($AA$104:$AA$106))</f>
        <v>0</v>
      </c>
      <c r="AC106">
        <f>IF($E106="","",MAX($C106-$D106,ABS($C106-$E105),ABS($D106-$E105)))</f>
        <v>0</v>
      </c>
      <c r="AD106">
        <f>IF(COUNT($E$2:$E106)&lt;15,"",AVERAGE($AC$93:$AC$106))</f>
        <v>0</v>
      </c>
      <c r="AE106">
        <f>IF(OR($E106="",$E105=""),"",IF(AND(($C106-$C105)&gt;($D105-$D106),($C106-$C105)&gt;0),$C106-$C105,0))</f>
        <v>0</v>
      </c>
      <c r="AF106">
        <f>IF(OR($E106="",$E105=""),"",IF(AND(($D105-$D106)&gt;($C106-$C105),($D105-$D106)&gt;0),$D105-$D106,0))</f>
        <v>0</v>
      </c>
      <c r="AG106">
        <f>IF(COUNT($E$2:$E106)&lt;15,"",IF(SUM($AC$93:$AC$106)=0,0,100*SUM($AE$93:$AE$106)/SUM($AC$93:$AC$106)))</f>
        <v>0</v>
      </c>
      <c r="AH106">
        <f>IF(COUNT($E$2:$E106)&lt;15,"",IF(SUM($AC$93:$AC$106)=0,0,100*SUM($AF$93:$AF$106)/SUM($AC$93:$AC$106)))</f>
        <v>0</v>
      </c>
      <c r="AI106">
        <f>IF(OR(AG106="",AH106=""),"",IF((AG106+AH106)=0,0,100*ABS(AG106-AH106)/(AG106+AH106)))</f>
        <v>0</v>
      </c>
      <c r="AJ106">
        <f>IF(COUNT($AI$93:$AI$106)&lt;14,"",AVERAGE($AI$93:$AI$106))</f>
        <v>0</v>
      </c>
      <c r="AK106">
        <f>IF(COUNT($E$2:$E106)&lt;20,"",AVERAGE($E$87:$E$106))</f>
        <v>0</v>
      </c>
      <c r="AL106">
        <f>IF(COUNT($E$2:$E106)&lt;20,"",STDEVP($E$87:$E$106))</f>
        <v>0</v>
      </c>
      <c r="AM106">
        <f>IF(AK106="","",AK106+2*AL106)</f>
        <v>0</v>
      </c>
      <c r="AN106">
        <f>IF(AK106="","",AK106-2*AL106)</f>
        <v>0</v>
      </c>
      <c r="AO106">
        <f>IF(OR(AM106="",AN106="",AM106=AN106),"",($E106-AN106)/(AM106-AN106))</f>
        <v>0</v>
      </c>
      <c r="AP106">
        <f>IF(OR(AM106="",AK106="",AK106=0),"",(AM106-AN106)/AK106)</f>
        <v>0</v>
      </c>
      <c r="AQ106">
        <f>IF(COUNT($E$2:$E106)&lt;20,"",MAX($C$87:$C$106))</f>
        <v>0</v>
      </c>
      <c r="AR106">
        <f>IF(COUNT($E$2:$E106)&lt;20,"",MIN($D$87:$D$106))</f>
        <v>0</v>
      </c>
      <c r="AS106">
        <f>IF(OR(AQ106="",AR106=""),"",(AQ106+AR106)/2)</f>
        <v>0</v>
      </c>
      <c r="AT106">
        <f>IF(COUNT($G$87:$G$106)&lt;20,"",STDEV($G$87:$G$106)*SQRT(52))</f>
        <v>0</v>
      </c>
      <c r="AU106">
        <f>IF(COUNT($E$2:$E106)&lt;9,"",(MAX($C$98:$C$106)+MIN($D$98:$D$106))/2)</f>
        <v>0</v>
      </c>
      <c r="AV106">
        <f>IF(COUNT($E$2:$E106)&lt;26,"",(MAX($C$81:$C$106)+MIN($D$81:$D$106))/2)</f>
        <v>0</v>
      </c>
      <c r="AW106">
        <f>IF(OR(AU106="",AV106=""),"",(AU106+AV106)/2)</f>
        <v>0</v>
      </c>
      <c r="AX106">
        <f>IF(COUNT($E$2:$E106)&lt;52,"",(MAX($C$55:$C$106)+MIN($D$55:$D$106))/2)</f>
        <v>0</v>
      </c>
      <c r="AY106">
        <f>IF(COUNT($E$2:$E106)&lt;20,"",MAX($C$7:$C$106))</f>
        <v>0</v>
      </c>
      <c r="AZ106">
        <f>IF(COUNT($E$2:$E106)&lt;20,"",MIN($D$7:$D$106))</f>
        <v>0</v>
      </c>
      <c r="BA106">
        <f>IF(COUNT($E$2:$E106)&lt;20,"",SLOPE($E$7:$E$106,$F$7:$F$106))</f>
        <v>0</v>
      </c>
      <c r="BB106">
        <f>IF(COUNT($E$2:$E106)&lt;20,"",INTERCEPT($E$7:$E$106,$F$7:$F$106))</f>
        <v>0</v>
      </c>
      <c r="BC106">
        <f>IF(OR(BA106="",BB106=""),"",BB106+BA106*F106)</f>
        <v>0</v>
      </c>
      <c r="BD106">
        <f>IF(COUNT($E$2:$E106)&lt;20,"",STEYX($E$7:$E$106,$F$7:$F$106))</f>
        <v>0</v>
      </c>
      <c r="BE106">
        <f>IF($E106="","",IF(AND(COUNT($E$107:$E$110)&gt;=4,$C106=MAX($C$102:$C$110)),$C106,""))</f>
        <v>0</v>
      </c>
      <c r="BF106">
        <f>IF($E106="","",IF(AND(COUNT($E$107:$E$110)&gt;=4,$D106=MIN($D$102:$D$110)),$D106,""))</f>
        <v>0</v>
      </c>
      <c r="BG106">
        <f>IFERROR(SMALL(Calc_Daily!$BM$2:$BM$2001,105),"")</f>
        <v>0</v>
      </c>
    </row>
    <row r="107" spans="1:59">
      <c r="A107" s="27">
        <f>IF($BG107="","",INDEX(Calc_Daily!$A$2:$A$2001,$BG107))</f>
        <v>0</v>
      </c>
      <c r="B107">
        <f>IF($BG107="","",INDEX(Calc_Daily!$BJ$2:$BJ$2001,$BG107))</f>
        <v>0</v>
      </c>
      <c r="C107">
        <f>IF($BG107="","",INDEX(Calc_Daily!$BK$2:$BK$2001,$BG107))</f>
        <v>0</v>
      </c>
      <c r="D107">
        <f>IF($BG107="","",INDEX(Calc_Daily!$BL$2:$BL$2001,$BG107))</f>
        <v>0</v>
      </c>
      <c r="E107">
        <f>IF($BG107="","",INDEX(Calc_Daily!$E$2:$E$2001,$BG107))</f>
        <v>0</v>
      </c>
      <c r="F107">
        <f>IF($E107="","",N(F106)+1)</f>
        <v>0</v>
      </c>
      <c r="G107">
        <f>IF(OR($E107="",$E106=""),"",LN($E107/$E106))</f>
        <v>0</v>
      </c>
      <c r="H107">
        <f>IF($E107="","",IF($E106="",$E107,$E107*0.0952380952+H106*0.9047619048))</f>
        <v>0</v>
      </c>
      <c r="I107">
        <f>IF($E107="","",IF($E106="",$E107,$E107*0.0392156863+I106*0.9607843137))</f>
        <v>0</v>
      </c>
      <c r="J107">
        <f>IF($E107="","",IF($E106="",$E107,$E107*0.0198019802+J106*0.9801980198))</f>
        <v>0</v>
      </c>
      <c r="K107">
        <f>IF($E107="","",IF($E106="",$E107,$E107*0.0099502488+K106*0.9900497512))</f>
        <v>0</v>
      </c>
      <c r="L107">
        <f>IF(OR($E107="",$E106=""),"",MAX($E107-$E106,0))</f>
        <v>0</v>
      </c>
      <c r="M107">
        <f>IF(OR($E107="",$E106=""),"",MAX($E106-$E107,0))</f>
        <v>0</v>
      </c>
      <c r="N107">
        <f>IF(COUNT($E$2:$E107)&lt;15,"",IF(AVERAGE($M$94:$M$107)=0,100,100-100/(1+AVERAGE($L$94:$L$107)/AVERAGE($M$94:$M$107))))</f>
        <v>0</v>
      </c>
      <c r="O107">
        <f>IF($E107="","",IF($E106="",$E107,$E107*0.1538461538+O106*0.8461538462))</f>
        <v>0</v>
      </c>
      <c r="P107">
        <f>IF($E107="","",IF($E106="",$E107,$E107*0.0740740741+P106*0.9259259259))</f>
        <v>0</v>
      </c>
      <c r="Q107">
        <f>IF(OR(O107="",P107=""),"",O107-P107)</f>
        <v>0</v>
      </c>
      <c r="R107">
        <f>IF(Q107="","",IF(R106="",Q107,Q107*0.2000000000+R106*0.8000000000))</f>
        <v>0</v>
      </c>
      <c r="S107">
        <f>IF(OR(Q107="",R107=""),"",Q107-R107)</f>
        <v>0</v>
      </c>
      <c r="T107">
        <f>IF(COUNT($E$2:$E107)&lt;14,"",MAX($C$94:$C$107))</f>
        <v>0</v>
      </c>
      <c r="U107">
        <f>IF(COUNT($E$2:$E107)&lt;14,"",MIN($D$94:$D$107))</f>
        <v>0</v>
      </c>
      <c r="V107">
        <f>IF(OR(T107="",U107="",T107=U107),"",100*($E107-U107)/(T107-U107))</f>
        <v>0</v>
      </c>
      <c r="W107">
        <f>IF(COUNT($V$105:$V$107)&lt;3,"",AVERAGE($V$105:$V$107))</f>
        <v>0</v>
      </c>
      <c r="X107">
        <f>IF(COUNT($N$94:$N$107)&lt;14,"",MIN($N$94:$N$107))</f>
        <v>0</v>
      </c>
      <c r="Y107">
        <f>IF(COUNT($N$94:$N$107)&lt;14,"",MAX($N$94:$N$107))</f>
        <v>0</v>
      </c>
      <c r="Z107">
        <f>IF(OR(N107="",X107="",Y107="",Y107=X107),"",100*(N107-X107)/(Y107-X107))</f>
        <v>0</v>
      </c>
      <c r="AA107">
        <f>IF(COUNT($Z$105:$Z$107)&lt;3,"",AVERAGE($Z$105:$Z$107))</f>
        <v>0</v>
      </c>
      <c r="AB107">
        <f>IF(COUNT($AA$105:$AA$107)&lt;3,"",AVERAGE($AA$105:$AA$107))</f>
        <v>0</v>
      </c>
      <c r="AC107">
        <f>IF($E107="","",MAX($C107-$D107,ABS($C107-$E106),ABS($D107-$E106)))</f>
        <v>0</v>
      </c>
      <c r="AD107">
        <f>IF(COUNT($E$2:$E107)&lt;15,"",AVERAGE($AC$94:$AC$107))</f>
        <v>0</v>
      </c>
      <c r="AE107">
        <f>IF(OR($E107="",$E106=""),"",IF(AND(($C107-$C106)&gt;($D106-$D107),($C107-$C106)&gt;0),$C107-$C106,0))</f>
        <v>0</v>
      </c>
      <c r="AF107">
        <f>IF(OR($E107="",$E106=""),"",IF(AND(($D106-$D107)&gt;($C107-$C106),($D106-$D107)&gt;0),$D106-$D107,0))</f>
        <v>0</v>
      </c>
      <c r="AG107">
        <f>IF(COUNT($E$2:$E107)&lt;15,"",IF(SUM($AC$94:$AC$107)=0,0,100*SUM($AE$94:$AE$107)/SUM($AC$94:$AC$107)))</f>
        <v>0</v>
      </c>
      <c r="AH107">
        <f>IF(COUNT($E$2:$E107)&lt;15,"",IF(SUM($AC$94:$AC$107)=0,0,100*SUM($AF$94:$AF$107)/SUM($AC$94:$AC$107)))</f>
        <v>0</v>
      </c>
      <c r="AI107">
        <f>IF(OR(AG107="",AH107=""),"",IF((AG107+AH107)=0,0,100*ABS(AG107-AH107)/(AG107+AH107)))</f>
        <v>0</v>
      </c>
      <c r="AJ107">
        <f>IF(COUNT($AI$94:$AI$107)&lt;14,"",AVERAGE($AI$94:$AI$107))</f>
        <v>0</v>
      </c>
      <c r="AK107">
        <f>IF(COUNT($E$2:$E107)&lt;20,"",AVERAGE($E$88:$E$107))</f>
        <v>0</v>
      </c>
      <c r="AL107">
        <f>IF(COUNT($E$2:$E107)&lt;20,"",STDEVP($E$88:$E$107))</f>
        <v>0</v>
      </c>
      <c r="AM107">
        <f>IF(AK107="","",AK107+2*AL107)</f>
        <v>0</v>
      </c>
      <c r="AN107">
        <f>IF(AK107="","",AK107-2*AL107)</f>
        <v>0</v>
      </c>
      <c r="AO107">
        <f>IF(OR(AM107="",AN107="",AM107=AN107),"",($E107-AN107)/(AM107-AN107))</f>
        <v>0</v>
      </c>
      <c r="AP107">
        <f>IF(OR(AM107="",AK107="",AK107=0),"",(AM107-AN107)/AK107)</f>
        <v>0</v>
      </c>
      <c r="AQ107">
        <f>IF(COUNT($E$2:$E107)&lt;20,"",MAX($C$88:$C$107))</f>
        <v>0</v>
      </c>
      <c r="AR107">
        <f>IF(COUNT($E$2:$E107)&lt;20,"",MIN($D$88:$D$107))</f>
        <v>0</v>
      </c>
      <c r="AS107">
        <f>IF(OR(AQ107="",AR107=""),"",(AQ107+AR107)/2)</f>
        <v>0</v>
      </c>
      <c r="AT107">
        <f>IF(COUNT($G$88:$G$107)&lt;20,"",STDEV($G$88:$G$107)*SQRT(52))</f>
        <v>0</v>
      </c>
      <c r="AU107">
        <f>IF(COUNT($E$2:$E107)&lt;9,"",(MAX($C$99:$C$107)+MIN($D$99:$D$107))/2)</f>
        <v>0</v>
      </c>
      <c r="AV107">
        <f>IF(COUNT($E$2:$E107)&lt;26,"",(MAX($C$82:$C$107)+MIN($D$82:$D$107))/2)</f>
        <v>0</v>
      </c>
      <c r="AW107">
        <f>IF(OR(AU107="",AV107=""),"",(AU107+AV107)/2)</f>
        <v>0</v>
      </c>
      <c r="AX107">
        <f>IF(COUNT($E$2:$E107)&lt;52,"",(MAX($C$56:$C$107)+MIN($D$56:$D$107))/2)</f>
        <v>0</v>
      </c>
      <c r="AY107">
        <f>IF(COUNT($E$2:$E107)&lt;20,"",MAX($C$8:$C$107))</f>
        <v>0</v>
      </c>
      <c r="AZ107">
        <f>IF(COUNT($E$2:$E107)&lt;20,"",MIN($D$8:$D$107))</f>
        <v>0</v>
      </c>
      <c r="BA107">
        <f>IF(COUNT($E$2:$E107)&lt;20,"",SLOPE($E$8:$E$107,$F$8:$F$107))</f>
        <v>0</v>
      </c>
      <c r="BB107">
        <f>IF(COUNT($E$2:$E107)&lt;20,"",INTERCEPT($E$8:$E$107,$F$8:$F$107))</f>
        <v>0</v>
      </c>
      <c r="BC107">
        <f>IF(OR(BA107="",BB107=""),"",BB107+BA107*F107)</f>
        <v>0</v>
      </c>
      <c r="BD107">
        <f>IF(COUNT($E$2:$E107)&lt;20,"",STEYX($E$8:$E$107,$F$8:$F$107))</f>
        <v>0</v>
      </c>
      <c r="BE107">
        <f>IF($E107="","",IF(AND(COUNT($E$108:$E$111)&gt;=4,$C107=MAX($C$103:$C$111)),$C107,""))</f>
        <v>0</v>
      </c>
      <c r="BF107">
        <f>IF($E107="","",IF(AND(COUNT($E$108:$E$111)&gt;=4,$D107=MIN($D$103:$D$111)),$D107,""))</f>
        <v>0</v>
      </c>
      <c r="BG107">
        <f>IFERROR(SMALL(Calc_Daily!$BM$2:$BM$2001,106),"")</f>
        <v>0</v>
      </c>
    </row>
    <row r="108" spans="1:59">
      <c r="A108" s="27">
        <f>IF($BG108="","",INDEX(Calc_Daily!$A$2:$A$2001,$BG108))</f>
        <v>0</v>
      </c>
      <c r="B108">
        <f>IF($BG108="","",INDEX(Calc_Daily!$BJ$2:$BJ$2001,$BG108))</f>
        <v>0</v>
      </c>
      <c r="C108">
        <f>IF($BG108="","",INDEX(Calc_Daily!$BK$2:$BK$2001,$BG108))</f>
        <v>0</v>
      </c>
      <c r="D108">
        <f>IF($BG108="","",INDEX(Calc_Daily!$BL$2:$BL$2001,$BG108))</f>
        <v>0</v>
      </c>
      <c r="E108">
        <f>IF($BG108="","",INDEX(Calc_Daily!$E$2:$E$2001,$BG108))</f>
        <v>0</v>
      </c>
      <c r="F108">
        <f>IF($E108="","",N(F107)+1)</f>
        <v>0</v>
      </c>
      <c r="G108">
        <f>IF(OR($E108="",$E107=""),"",LN($E108/$E107))</f>
        <v>0</v>
      </c>
      <c r="H108">
        <f>IF($E108="","",IF($E107="",$E108,$E108*0.0952380952+H107*0.9047619048))</f>
        <v>0</v>
      </c>
      <c r="I108">
        <f>IF($E108="","",IF($E107="",$E108,$E108*0.0392156863+I107*0.9607843137))</f>
        <v>0</v>
      </c>
      <c r="J108">
        <f>IF($E108="","",IF($E107="",$E108,$E108*0.0198019802+J107*0.9801980198))</f>
        <v>0</v>
      </c>
      <c r="K108">
        <f>IF($E108="","",IF($E107="",$E108,$E108*0.0099502488+K107*0.9900497512))</f>
        <v>0</v>
      </c>
      <c r="L108">
        <f>IF(OR($E108="",$E107=""),"",MAX($E108-$E107,0))</f>
        <v>0</v>
      </c>
      <c r="M108">
        <f>IF(OR($E108="",$E107=""),"",MAX($E107-$E108,0))</f>
        <v>0</v>
      </c>
      <c r="N108">
        <f>IF(COUNT($E$2:$E108)&lt;15,"",IF(AVERAGE($M$95:$M$108)=0,100,100-100/(1+AVERAGE($L$95:$L$108)/AVERAGE($M$95:$M$108))))</f>
        <v>0</v>
      </c>
      <c r="O108">
        <f>IF($E108="","",IF($E107="",$E108,$E108*0.1538461538+O107*0.8461538462))</f>
        <v>0</v>
      </c>
      <c r="P108">
        <f>IF($E108="","",IF($E107="",$E108,$E108*0.0740740741+P107*0.9259259259))</f>
        <v>0</v>
      </c>
      <c r="Q108">
        <f>IF(OR(O108="",P108=""),"",O108-P108)</f>
        <v>0</v>
      </c>
      <c r="R108">
        <f>IF(Q108="","",IF(R107="",Q108,Q108*0.2000000000+R107*0.8000000000))</f>
        <v>0</v>
      </c>
      <c r="S108">
        <f>IF(OR(Q108="",R108=""),"",Q108-R108)</f>
        <v>0</v>
      </c>
      <c r="T108">
        <f>IF(COUNT($E$2:$E108)&lt;14,"",MAX($C$95:$C$108))</f>
        <v>0</v>
      </c>
      <c r="U108">
        <f>IF(COUNT($E$2:$E108)&lt;14,"",MIN($D$95:$D$108))</f>
        <v>0</v>
      </c>
      <c r="V108">
        <f>IF(OR(T108="",U108="",T108=U108),"",100*($E108-U108)/(T108-U108))</f>
        <v>0</v>
      </c>
      <c r="W108">
        <f>IF(COUNT($V$106:$V$108)&lt;3,"",AVERAGE($V$106:$V$108))</f>
        <v>0</v>
      </c>
      <c r="X108">
        <f>IF(COUNT($N$95:$N$108)&lt;14,"",MIN($N$95:$N$108))</f>
        <v>0</v>
      </c>
      <c r="Y108">
        <f>IF(COUNT($N$95:$N$108)&lt;14,"",MAX($N$95:$N$108))</f>
        <v>0</v>
      </c>
      <c r="Z108">
        <f>IF(OR(N108="",X108="",Y108="",Y108=X108),"",100*(N108-X108)/(Y108-X108))</f>
        <v>0</v>
      </c>
      <c r="AA108">
        <f>IF(COUNT($Z$106:$Z$108)&lt;3,"",AVERAGE($Z$106:$Z$108))</f>
        <v>0</v>
      </c>
      <c r="AB108">
        <f>IF(COUNT($AA$106:$AA$108)&lt;3,"",AVERAGE($AA$106:$AA$108))</f>
        <v>0</v>
      </c>
      <c r="AC108">
        <f>IF($E108="","",MAX($C108-$D108,ABS($C108-$E107),ABS($D108-$E107)))</f>
        <v>0</v>
      </c>
      <c r="AD108">
        <f>IF(COUNT($E$2:$E108)&lt;15,"",AVERAGE($AC$95:$AC$108))</f>
        <v>0</v>
      </c>
      <c r="AE108">
        <f>IF(OR($E108="",$E107=""),"",IF(AND(($C108-$C107)&gt;($D107-$D108),($C108-$C107)&gt;0),$C108-$C107,0))</f>
        <v>0</v>
      </c>
      <c r="AF108">
        <f>IF(OR($E108="",$E107=""),"",IF(AND(($D107-$D108)&gt;($C108-$C107),($D107-$D108)&gt;0),$D107-$D108,0))</f>
        <v>0</v>
      </c>
      <c r="AG108">
        <f>IF(COUNT($E$2:$E108)&lt;15,"",IF(SUM($AC$95:$AC$108)=0,0,100*SUM($AE$95:$AE$108)/SUM($AC$95:$AC$108)))</f>
        <v>0</v>
      </c>
      <c r="AH108">
        <f>IF(COUNT($E$2:$E108)&lt;15,"",IF(SUM($AC$95:$AC$108)=0,0,100*SUM($AF$95:$AF$108)/SUM($AC$95:$AC$108)))</f>
        <v>0</v>
      </c>
      <c r="AI108">
        <f>IF(OR(AG108="",AH108=""),"",IF((AG108+AH108)=0,0,100*ABS(AG108-AH108)/(AG108+AH108)))</f>
        <v>0</v>
      </c>
      <c r="AJ108">
        <f>IF(COUNT($AI$95:$AI$108)&lt;14,"",AVERAGE($AI$95:$AI$108))</f>
        <v>0</v>
      </c>
      <c r="AK108">
        <f>IF(COUNT($E$2:$E108)&lt;20,"",AVERAGE($E$89:$E$108))</f>
        <v>0</v>
      </c>
      <c r="AL108">
        <f>IF(COUNT($E$2:$E108)&lt;20,"",STDEVP($E$89:$E$108))</f>
        <v>0</v>
      </c>
      <c r="AM108">
        <f>IF(AK108="","",AK108+2*AL108)</f>
        <v>0</v>
      </c>
      <c r="AN108">
        <f>IF(AK108="","",AK108-2*AL108)</f>
        <v>0</v>
      </c>
      <c r="AO108">
        <f>IF(OR(AM108="",AN108="",AM108=AN108),"",($E108-AN108)/(AM108-AN108))</f>
        <v>0</v>
      </c>
      <c r="AP108">
        <f>IF(OR(AM108="",AK108="",AK108=0),"",(AM108-AN108)/AK108)</f>
        <v>0</v>
      </c>
      <c r="AQ108">
        <f>IF(COUNT($E$2:$E108)&lt;20,"",MAX($C$89:$C$108))</f>
        <v>0</v>
      </c>
      <c r="AR108">
        <f>IF(COUNT($E$2:$E108)&lt;20,"",MIN($D$89:$D$108))</f>
        <v>0</v>
      </c>
      <c r="AS108">
        <f>IF(OR(AQ108="",AR108=""),"",(AQ108+AR108)/2)</f>
        <v>0</v>
      </c>
      <c r="AT108">
        <f>IF(COUNT($G$89:$G$108)&lt;20,"",STDEV($G$89:$G$108)*SQRT(52))</f>
        <v>0</v>
      </c>
      <c r="AU108">
        <f>IF(COUNT($E$2:$E108)&lt;9,"",(MAX($C$100:$C$108)+MIN($D$100:$D$108))/2)</f>
        <v>0</v>
      </c>
      <c r="AV108">
        <f>IF(COUNT($E$2:$E108)&lt;26,"",(MAX($C$83:$C$108)+MIN($D$83:$D$108))/2)</f>
        <v>0</v>
      </c>
      <c r="AW108">
        <f>IF(OR(AU108="",AV108=""),"",(AU108+AV108)/2)</f>
        <v>0</v>
      </c>
      <c r="AX108">
        <f>IF(COUNT($E$2:$E108)&lt;52,"",(MAX($C$57:$C$108)+MIN($D$57:$D$108))/2)</f>
        <v>0</v>
      </c>
      <c r="AY108">
        <f>IF(COUNT($E$2:$E108)&lt;20,"",MAX($C$9:$C$108))</f>
        <v>0</v>
      </c>
      <c r="AZ108">
        <f>IF(COUNT($E$2:$E108)&lt;20,"",MIN($D$9:$D$108))</f>
        <v>0</v>
      </c>
      <c r="BA108">
        <f>IF(COUNT($E$2:$E108)&lt;20,"",SLOPE($E$9:$E$108,$F$9:$F$108))</f>
        <v>0</v>
      </c>
      <c r="BB108">
        <f>IF(COUNT($E$2:$E108)&lt;20,"",INTERCEPT($E$9:$E$108,$F$9:$F$108))</f>
        <v>0</v>
      </c>
      <c r="BC108">
        <f>IF(OR(BA108="",BB108=""),"",BB108+BA108*F108)</f>
        <v>0</v>
      </c>
      <c r="BD108">
        <f>IF(COUNT($E$2:$E108)&lt;20,"",STEYX($E$9:$E$108,$F$9:$F$108))</f>
        <v>0</v>
      </c>
      <c r="BE108">
        <f>IF($E108="","",IF(AND(COUNT($E$109:$E$112)&gt;=4,$C108=MAX($C$104:$C$112)),$C108,""))</f>
        <v>0</v>
      </c>
      <c r="BF108">
        <f>IF($E108="","",IF(AND(COUNT($E$109:$E$112)&gt;=4,$D108=MIN($D$104:$D$112)),$D108,""))</f>
        <v>0</v>
      </c>
      <c r="BG108">
        <f>IFERROR(SMALL(Calc_Daily!$BM$2:$BM$2001,107),"")</f>
        <v>0</v>
      </c>
    </row>
    <row r="109" spans="1:59">
      <c r="A109" s="27">
        <f>IF($BG109="","",INDEX(Calc_Daily!$A$2:$A$2001,$BG109))</f>
        <v>0</v>
      </c>
      <c r="B109">
        <f>IF($BG109="","",INDEX(Calc_Daily!$BJ$2:$BJ$2001,$BG109))</f>
        <v>0</v>
      </c>
      <c r="C109">
        <f>IF($BG109="","",INDEX(Calc_Daily!$BK$2:$BK$2001,$BG109))</f>
        <v>0</v>
      </c>
      <c r="D109">
        <f>IF($BG109="","",INDEX(Calc_Daily!$BL$2:$BL$2001,$BG109))</f>
        <v>0</v>
      </c>
      <c r="E109">
        <f>IF($BG109="","",INDEX(Calc_Daily!$E$2:$E$2001,$BG109))</f>
        <v>0</v>
      </c>
      <c r="F109">
        <f>IF($E109="","",N(F108)+1)</f>
        <v>0</v>
      </c>
      <c r="G109">
        <f>IF(OR($E109="",$E108=""),"",LN($E109/$E108))</f>
        <v>0</v>
      </c>
      <c r="H109">
        <f>IF($E109="","",IF($E108="",$E109,$E109*0.0952380952+H108*0.9047619048))</f>
        <v>0</v>
      </c>
      <c r="I109">
        <f>IF($E109="","",IF($E108="",$E109,$E109*0.0392156863+I108*0.9607843137))</f>
        <v>0</v>
      </c>
      <c r="J109">
        <f>IF($E109="","",IF($E108="",$E109,$E109*0.0198019802+J108*0.9801980198))</f>
        <v>0</v>
      </c>
      <c r="K109">
        <f>IF($E109="","",IF($E108="",$E109,$E109*0.0099502488+K108*0.9900497512))</f>
        <v>0</v>
      </c>
      <c r="L109">
        <f>IF(OR($E109="",$E108=""),"",MAX($E109-$E108,0))</f>
        <v>0</v>
      </c>
      <c r="M109">
        <f>IF(OR($E109="",$E108=""),"",MAX($E108-$E109,0))</f>
        <v>0</v>
      </c>
      <c r="N109">
        <f>IF(COUNT($E$2:$E109)&lt;15,"",IF(AVERAGE($M$96:$M$109)=0,100,100-100/(1+AVERAGE($L$96:$L$109)/AVERAGE($M$96:$M$109))))</f>
        <v>0</v>
      </c>
      <c r="O109">
        <f>IF($E109="","",IF($E108="",$E109,$E109*0.1538461538+O108*0.8461538462))</f>
        <v>0</v>
      </c>
      <c r="P109">
        <f>IF($E109="","",IF($E108="",$E109,$E109*0.0740740741+P108*0.9259259259))</f>
        <v>0</v>
      </c>
      <c r="Q109">
        <f>IF(OR(O109="",P109=""),"",O109-P109)</f>
        <v>0</v>
      </c>
      <c r="R109">
        <f>IF(Q109="","",IF(R108="",Q109,Q109*0.2000000000+R108*0.8000000000))</f>
        <v>0</v>
      </c>
      <c r="S109">
        <f>IF(OR(Q109="",R109=""),"",Q109-R109)</f>
        <v>0</v>
      </c>
      <c r="T109">
        <f>IF(COUNT($E$2:$E109)&lt;14,"",MAX($C$96:$C$109))</f>
        <v>0</v>
      </c>
      <c r="U109">
        <f>IF(COUNT($E$2:$E109)&lt;14,"",MIN($D$96:$D$109))</f>
        <v>0</v>
      </c>
      <c r="V109">
        <f>IF(OR(T109="",U109="",T109=U109),"",100*($E109-U109)/(T109-U109))</f>
        <v>0</v>
      </c>
      <c r="W109">
        <f>IF(COUNT($V$107:$V$109)&lt;3,"",AVERAGE($V$107:$V$109))</f>
        <v>0</v>
      </c>
      <c r="X109">
        <f>IF(COUNT($N$96:$N$109)&lt;14,"",MIN($N$96:$N$109))</f>
        <v>0</v>
      </c>
      <c r="Y109">
        <f>IF(COUNT($N$96:$N$109)&lt;14,"",MAX($N$96:$N$109))</f>
        <v>0</v>
      </c>
      <c r="Z109">
        <f>IF(OR(N109="",X109="",Y109="",Y109=X109),"",100*(N109-X109)/(Y109-X109))</f>
        <v>0</v>
      </c>
      <c r="AA109">
        <f>IF(COUNT($Z$107:$Z$109)&lt;3,"",AVERAGE($Z$107:$Z$109))</f>
        <v>0</v>
      </c>
      <c r="AB109">
        <f>IF(COUNT($AA$107:$AA$109)&lt;3,"",AVERAGE($AA$107:$AA$109))</f>
        <v>0</v>
      </c>
      <c r="AC109">
        <f>IF($E109="","",MAX($C109-$D109,ABS($C109-$E108),ABS($D109-$E108)))</f>
        <v>0</v>
      </c>
      <c r="AD109">
        <f>IF(COUNT($E$2:$E109)&lt;15,"",AVERAGE($AC$96:$AC$109))</f>
        <v>0</v>
      </c>
      <c r="AE109">
        <f>IF(OR($E109="",$E108=""),"",IF(AND(($C109-$C108)&gt;($D108-$D109),($C109-$C108)&gt;0),$C109-$C108,0))</f>
        <v>0</v>
      </c>
      <c r="AF109">
        <f>IF(OR($E109="",$E108=""),"",IF(AND(($D108-$D109)&gt;($C109-$C108),($D108-$D109)&gt;0),$D108-$D109,0))</f>
        <v>0</v>
      </c>
      <c r="AG109">
        <f>IF(COUNT($E$2:$E109)&lt;15,"",IF(SUM($AC$96:$AC$109)=0,0,100*SUM($AE$96:$AE$109)/SUM($AC$96:$AC$109)))</f>
        <v>0</v>
      </c>
      <c r="AH109">
        <f>IF(COUNT($E$2:$E109)&lt;15,"",IF(SUM($AC$96:$AC$109)=0,0,100*SUM($AF$96:$AF$109)/SUM($AC$96:$AC$109)))</f>
        <v>0</v>
      </c>
      <c r="AI109">
        <f>IF(OR(AG109="",AH109=""),"",IF((AG109+AH109)=0,0,100*ABS(AG109-AH109)/(AG109+AH109)))</f>
        <v>0</v>
      </c>
      <c r="AJ109">
        <f>IF(COUNT($AI$96:$AI$109)&lt;14,"",AVERAGE($AI$96:$AI$109))</f>
        <v>0</v>
      </c>
      <c r="AK109">
        <f>IF(COUNT($E$2:$E109)&lt;20,"",AVERAGE($E$90:$E$109))</f>
        <v>0</v>
      </c>
      <c r="AL109">
        <f>IF(COUNT($E$2:$E109)&lt;20,"",STDEVP($E$90:$E$109))</f>
        <v>0</v>
      </c>
      <c r="AM109">
        <f>IF(AK109="","",AK109+2*AL109)</f>
        <v>0</v>
      </c>
      <c r="AN109">
        <f>IF(AK109="","",AK109-2*AL109)</f>
        <v>0</v>
      </c>
      <c r="AO109">
        <f>IF(OR(AM109="",AN109="",AM109=AN109),"",($E109-AN109)/(AM109-AN109))</f>
        <v>0</v>
      </c>
      <c r="AP109">
        <f>IF(OR(AM109="",AK109="",AK109=0),"",(AM109-AN109)/AK109)</f>
        <v>0</v>
      </c>
      <c r="AQ109">
        <f>IF(COUNT($E$2:$E109)&lt;20,"",MAX($C$90:$C$109))</f>
        <v>0</v>
      </c>
      <c r="AR109">
        <f>IF(COUNT($E$2:$E109)&lt;20,"",MIN($D$90:$D$109))</f>
        <v>0</v>
      </c>
      <c r="AS109">
        <f>IF(OR(AQ109="",AR109=""),"",(AQ109+AR109)/2)</f>
        <v>0</v>
      </c>
      <c r="AT109">
        <f>IF(COUNT($G$90:$G$109)&lt;20,"",STDEV($G$90:$G$109)*SQRT(52))</f>
        <v>0</v>
      </c>
      <c r="AU109">
        <f>IF(COUNT($E$2:$E109)&lt;9,"",(MAX($C$101:$C$109)+MIN($D$101:$D$109))/2)</f>
        <v>0</v>
      </c>
      <c r="AV109">
        <f>IF(COUNT($E$2:$E109)&lt;26,"",(MAX($C$84:$C$109)+MIN($D$84:$D$109))/2)</f>
        <v>0</v>
      </c>
      <c r="AW109">
        <f>IF(OR(AU109="",AV109=""),"",(AU109+AV109)/2)</f>
        <v>0</v>
      </c>
      <c r="AX109">
        <f>IF(COUNT($E$2:$E109)&lt;52,"",(MAX($C$58:$C$109)+MIN($D$58:$D$109))/2)</f>
        <v>0</v>
      </c>
      <c r="AY109">
        <f>IF(COUNT($E$2:$E109)&lt;20,"",MAX($C$10:$C$109))</f>
        <v>0</v>
      </c>
      <c r="AZ109">
        <f>IF(COUNT($E$2:$E109)&lt;20,"",MIN($D$10:$D$109))</f>
        <v>0</v>
      </c>
      <c r="BA109">
        <f>IF(COUNT($E$2:$E109)&lt;20,"",SLOPE($E$10:$E$109,$F$10:$F$109))</f>
        <v>0</v>
      </c>
      <c r="BB109">
        <f>IF(COUNT($E$2:$E109)&lt;20,"",INTERCEPT($E$10:$E$109,$F$10:$F$109))</f>
        <v>0</v>
      </c>
      <c r="BC109">
        <f>IF(OR(BA109="",BB109=""),"",BB109+BA109*F109)</f>
        <v>0</v>
      </c>
      <c r="BD109">
        <f>IF(COUNT($E$2:$E109)&lt;20,"",STEYX($E$10:$E$109,$F$10:$F$109))</f>
        <v>0</v>
      </c>
      <c r="BE109">
        <f>IF($E109="","",IF(AND(COUNT($E$110:$E$113)&gt;=4,$C109=MAX($C$105:$C$113)),$C109,""))</f>
        <v>0</v>
      </c>
      <c r="BF109">
        <f>IF($E109="","",IF(AND(COUNT($E$110:$E$113)&gt;=4,$D109=MIN($D$105:$D$113)),$D109,""))</f>
        <v>0</v>
      </c>
      <c r="BG109">
        <f>IFERROR(SMALL(Calc_Daily!$BM$2:$BM$2001,108),"")</f>
        <v>0</v>
      </c>
    </row>
    <row r="110" spans="1:59">
      <c r="A110" s="27">
        <f>IF($BG110="","",INDEX(Calc_Daily!$A$2:$A$2001,$BG110))</f>
        <v>0</v>
      </c>
      <c r="B110">
        <f>IF($BG110="","",INDEX(Calc_Daily!$BJ$2:$BJ$2001,$BG110))</f>
        <v>0</v>
      </c>
      <c r="C110">
        <f>IF($BG110="","",INDEX(Calc_Daily!$BK$2:$BK$2001,$BG110))</f>
        <v>0</v>
      </c>
      <c r="D110">
        <f>IF($BG110="","",INDEX(Calc_Daily!$BL$2:$BL$2001,$BG110))</f>
        <v>0</v>
      </c>
      <c r="E110">
        <f>IF($BG110="","",INDEX(Calc_Daily!$E$2:$E$2001,$BG110))</f>
        <v>0</v>
      </c>
      <c r="F110">
        <f>IF($E110="","",N(F109)+1)</f>
        <v>0</v>
      </c>
      <c r="G110">
        <f>IF(OR($E110="",$E109=""),"",LN($E110/$E109))</f>
        <v>0</v>
      </c>
      <c r="H110">
        <f>IF($E110="","",IF($E109="",$E110,$E110*0.0952380952+H109*0.9047619048))</f>
        <v>0</v>
      </c>
      <c r="I110">
        <f>IF($E110="","",IF($E109="",$E110,$E110*0.0392156863+I109*0.9607843137))</f>
        <v>0</v>
      </c>
      <c r="J110">
        <f>IF($E110="","",IF($E109="",$E110,$E110*0.0198019802+J109*0.9801980198))</f>
        <v>0</v>
      </c>
      <c r="K110">
        <f>IF($E110="","",IF($E109="",$E110,$E110*0.0099502488+K109*0.9900497512))</f>
        <v>0</v>
      </c>
      <c r="L110">
        <f>IF(OR($E110="",$E109=""),"",MAX($E110-$E109,0))</f>
        <v>0</v>
      </c>
      <c r="M110">
        <f>IF(OR($E110="",$E109=""),"",MAX($E109-$E110,0))</f>
        <v>0</v>
      </c>
      <c r="N110">
        <f>IF(COUNT($E$2:$E110)&lt;15,"",IF(AVERAGE($M$97:$M$110)=0,100,100-100/(1+AVERAGE($L$97:$L$110)/AVERAGE($M$97:$M$110))))</f>
        <v>0</v>
      </c>
      <c r="O110">
        <f>IF($E110="","",IF($E109="",$E110,$E110*0.1538461538+O109*0.8461538462))</f>
        <v>0</v>
      </c>
      <c r="P110">
        <f>IF($E110="","",IF($E109="",$E110,$E110*0.0740740741+P109*0.9259259259))</f>
        <v>0</v>
      </c>
      <c r="Q110">
        <f>IF(OR(O110="",P110=""),"",O110-P110)</f>
        <v>0</v>
      </c>
      <c r="R110">
        <f>IF(Q110="","",IF(R109="",Q110,Q110*0.2000000000+R109*0.8000000000))</f>
        <v>0</v>
      </c>
      <c r="S110">
        <f>IF(OR(Q110="",R110=""),"",Q110-R110)</f>
        <v>0</v>
      </c>
      <c r="T110">
        <f>IF(COUNT($E$2:$E110)&lt;14,"",MAX($C$97:$C$110))</f>
        <v>0</v>
      </c>
      <c r="U110">
        <f>IF(COUNT($E$2:$E110)&lt;14,"",MIN($D$97:$D$110))</f>
        <v>0</v>
      </c>
      <c r="V110">
        <f>IF(OR(T110="",U110="",T110=U110),"",100*($E110-U110)/(T110-U110))</f>
        <v>0</v>
      </c>
      <c r="W110">
        <f>IF(COUNT($V$108:$V$110)&lt;3,"",AVERAGE($V$108:$V$110))</f>
        <v>0</v>
      </c>
      <c r="X110">
        <f>IF(COUNT($N$97:$N$110)&lt;14,"",MIN($N$97:$N$110))</f>
        <v>0</v>
      </c>
      <c r="Y110">
        <f>IF(COUNT($N$97:$N$110)&lt;14,"",MAX($N$97:$N$110))</f>
        <v>0</v>
      </c>
      <c r="Z110">
        <f>IF(OR(N110="",X110="",Y110="",Y110=X110),"",100*(N110-X110)/(Y110-X110))</f>
        <v>0</v>
      </c>
      <c r="AA110">
        <f>IF(COUNT($Z$108:$Z$110)&lt;3,"",AVERAGE($Z$108:$Z$110))</f>
        <v>0</v>
      </c>
      <c r="AB110">
        <f>IF(COUNT($AA$108:$AA$110)&lt;3,"",AVERAGE($AA$108:$AA$110))</f>
        <v>0</v>
      </c>
      <c r="AC110">
        <f>IF($E110="","",MAX($C110-$D110,ABS($C110-$E109),ABS($D110-$E109)))</f>
        <v>0</v>
      </c>
      <c r="AD110">
        <f>IF(COUNT($E$2:$E110)&lt;15,"",AVERAGE($AC$97:$AC$110))</f>
        <v>0</v>
      </c>
      <c r="AE110">
        <f>IF(OR($E110="",$E109=""),"",IF(AND(($C110-$C109)&gt;($D109-$D110),($C110-$C109)&gt;0),$C110-$C109,0))</f>
        <v>0</v>
      </c>
      <c r="AF110">
        <f>IF(OR($E110="",$E109=""),"",IF(AND(($D109-$D110)&gt;($C110-$C109),($D109-$D110)&gt;0),$D109-$D110,0))</f>
        <v>0</v>
      </c>
      <c r="AG110">
        <f>IF(COUNT($E$2:$E110)&lt;15,"",IF(SUM($AC$97:$AC$110)=0,0,100*SUM($AE$97:$AE$110)/SUM($AC$97:$AC$110)))</f>
        <v>0</v>
      </c>
      <c r="AH110">
        <f>IF(COUNT($E$2:$E110)&lt;15,"",IF(SUM($AC$97:$AC$110)=0,0,100*SUM($AF$97:$AF$110)/SUM($AC$97:$AC$110)))</f>
        <v>0</v>
      </c>
      <c r="AI110">
        <f>IF(OR(AG110="",AH110=""),"",IF((AG110+AH110)=0,0,100*ABS(AG110-AH110)/(AG110+AH110)))</f>
        <v>0</v>
      </c>
      <c r="AJ110">
        <f>IF(COUNT($AI$97:$AI$110)&lt;14,"",AVERAGE($AI$97:$AI$110))</f>
        <v>0</v>
      </c>
      <c r="AK110">
        <f>IF(COUNT($E$2:$E110)&lt;20,"",AVERAGE($E$91:$E$110))</f>
        <v>0</v>
      </c>
      <c r="AL110">
        <f>IF(COUNT($E$2:$E110)&lt;20,"",STDEVP($E$91:$E$110))</f>
        <v>0</v>
      </c>
      <c r="AM110">
        <f>IF(AK110="","",AK110+2*AL110)</f>
        <v>0</v>
      </c>
      <c r="AN110">
        <f>IF(AK110="","",AK110-2*AL110)</f>
        <v>0</v>
      </c>
      <c r="AO110">
        <f>IF(OR(AM110="",AN110="",AM110=AN110),"",($E110-AN110)/(AM110-AN110))</f>
        <v>0</v>
      </c>
      <c r="AP110">
        <f>IF(OR(AM110="",AK110="",AK110=0),"",(AM110-AN110)/AK110)</f>
        <v>0</v>
      </c>
      <c r="AQ110">
        <f>IF(COUNT($E$2:$E110)&lt;20,"",MAX($C$91:$C$110))</f>
        <v>0</v>
      </c>
      <c r="AR110">
        <f>IF(COUNT($E$2:$E110)&lt;20,"",MIN($D$91:$D$110))</f>
        <v>0</v>
      </c>
      <c r="AS110">
        <f>IF(OR(AQ110="",AR110=""),"",(AQ110+AR110)/2)</f>
        <v>0</v>
      </c>
      <c r="AT110">
        <f>IF(COUNT($G$91:$G$110)&lt;20,"",STDEV($G$91:$G$110)*SQRT(52))</f>
        <v>0</v>
      </c>
      <c r="AU110">
        <f>IF(COUNT($E$2:$E110)&lt;9,"",(MAX($C$102:$C$110)+MIN($D$102:$D$110))/2)</f>
        <v>0</v>
      </c>
      <c r="AV110">
        <f>IF(COUNT($E$2:$E110)&lt;26,"",(MAX($C$85:$C$110)+MIN($D$85:$D$110))/2)</f>
        <v>0</v>
      </c>
      <c r="AW110">
        <f>IF(OR(AU110="",AV110=""),"",(AU110+AV110)/2)</f>
        <v>0</v>
      </c>
      <c r="AX110">
        <f>IF(COUNT($E$2:$E110)&lt;52,"",(MAX($C$59:$C$110)+MIN($D$59:$D$110))/2)</f>
        <v>0</v>
      </c>
      <c r="AY110">
        <f>IF(COUNT($E$2:$E110)&lt;20,"",MAX($C$11:$C$110))</f>
        <v>0</v>
      </c>
      <c r="AZ110">
        <f>IF(COUNT($E$2:$E110)&lt;20,"",MIN($D$11:$D$110))</f>
        <v>0</v>
      </c>
      <c r="BA110">
        <f>IF(COUNT($E$2:$E110)&lt;20,"",SLOPE($E$11:$E$110,$F$11:$F$110))</f>
        <v>0</v>
      </c>
      <c r="BB110">
        <f>IF(COUNT($E$2:$E110)&lt;20,"",INTERCEPT($E$11:$E$110,$F$11:$F$110))</f>
        <v>0</v>
      </c>
      <c r="BC110">
        <f>IF(OR(BA110="",BB110=""),"",BB110+BA110*F110)</f>
        <v>0</v>
      </c>
      <c r="BD110">
        <f>IF(COUNT($E$2:$E110)&lt;20,"",STEYX($E$11:$E$110,$F$11:$F$110))</f>
        <v>0</v>
      </c>
      <c r="BE110">
        <f>IF($E110="","",IF(AND(COUNT($E$111:$E$114)&gt;=4,$C110=MAX($C$106:$C$114)),$C110,""))</f>
        <v>0</v>
      </c>
      <c r="BF110">
        <f>IF($E110="","",IF(AND(COUNT($E$111:$E$114)&gt;=4,$D110=MIN($D$106:$D$114)),$D110,""))</f>
        <v>0</v>
      </c>
      <c r="BG110">
        <f>IFERROR(SMALL(Calc_Daily!$BM$2:$BM$2001,109),"")</f>
        <v>0</v>
      </c>
    </row>
    <row r="111" spans="1:59">
      <c r="A111" s="27">
        <f>IF($BG111="","",INDEX(Calc_Daily!$A$2:$A$2001,$BG111))</f>
        <v>0</v>
      </c>
      <c r="B111">
        <f>IF($BG111="","",INDEX(Calc_Daily!$BJ$2:$BJ$2001,$BG111))</f>
        <v>0</v>
      </c>
      <c r="C111">
        <f>IF($BG111="","",INDEX(Calc_Daily!$BK$2:$BK$2001,$BG111))</f>
        <v>0</v>
      </c>
      <c r="D111">
        <f>IF($BG111="","",INDEX(Calc_Daily!$BL$2:$BL$2001,$BG111))</f>
        <v>0</v>
      </c>
      <c r="E111">
        <f>IF($BG111="","",INDEX(Calc_Daily!$E$2:$E$2001,$BG111))</f>
        <v>0</v>
      </c>
      <c r="F111">
        <f>IF($E111="","",N(F110)+1)</f>
        <v>0</v>
      </c>
      <c r="G111">
        <f>IF(OR($E111="",$E110=""),"",LN($E111/$E110))</f>
        <v>0</v>
      </c>
      <c r="H111">
        <f>IF($E111="","",IF($E110="",$E111,$E111*0.0952380952+H110*0.9047619048))</f>
        <v>0</v>
      </c>
      <c r="I111">
        <f>IF($E111="","",IF($E110="",$E111,$E111*0.0392156863+I110*0.9607843137))</f>
        <v>0</v>
      </c>
      <c r="J111">
        <f>IF($E111="","",IF($E110="",$E111,$E111*0.0198019802+J110*0.9801980198))</f>
        <v>0</v>
      </c>
      <c r="K111">
        <f>IF($E111="","",IF($E110="",$E111,$E111*0.0099502488+K110*0.9900497512))</f>
        <v>0</v>
      </c>
      <c r="L111">
        <f>IF(OR($E111="",$E110=""),"",MAX($E111-$E110,0))</f>
        <v>0</v>
      </c>
      <c r="M111">
        <f>IF(OR($E111="",$E110=""),"",MAX($E110-$E111,0))</f>
        <v>0</v>
      </c>
      <c r="N111">
        <f>IF(COUNT($E$2:$E111)&lt;15,"",IF(AVERAGE($M$98:$M$111)=0,100,100-100/(1+AVERAGE($L$98:$L$111)/AVERAGE($M$98:$M$111))))</f>
        <v>0</v>
      </c>
      <c r="O111">
        <f>IF($E111="","",IF($E110="",$E111,$E111*0.1538461538+O110*0.8461538462))</f>
        <v>0</v>
      </c>
      <c r="P111">
        <f>IF($E111="","",IF($E110="",$E111,$E111*0.0740740741+P110*0.9259259259))</f>
        <v>0</v>
      </c>
      <c r="Q111">
        <f>IF(OR(O111="",P111=""),"",O111-P111)</f>
        <v>0</v>
      </c>
      <c r="R111">
        <f>IF(Q111="","",IF(R110="",Q111,Q111*0.2000000000+R110*0.8000000000))</f>
        <v>0</v>
      </c>
      <c r="S111">
        <f>IF(OR(Q111="",R111=""),"",Q111-R111)</f>
        <v>0</v>
      </c>
      <c r="T111">
        <f>IF(COUNT($E$2:$E111)&lt;14,"",MAX($C$98:$C$111))</f>
        <v>0</v>
      </c>
      <c r="U111">
        <f>IF(COUNT($E$2:$E111)&lt;14,"",MIN($D$98:$D$111))</f>
        <v>0</v>
      </c>
      <c r="V111">
        <f>IF(OR(T111="",U111="",T111=U111),"",100*($E111-U111)/(T111-U111))</f>
        <v>0</v>
      </c>
      <c r="W111">
        <f>IF(COUNT($V$109:$V$111)&lt;3,"",AVERAGE($V$109:$V$111))</f>
        <v>0</v>
      </c>
      <c r="X111">
        <f>IF(COUNT($N$98:$N$111)&lt;14,"",MIN($N$98:$N$111))</f>
        <v>0</v>
      </c>
      <c r="Y111">
        <f>IF(COUNT($N$98:$N$111)&lt;14,"",MAX($N$98:$N$111))</f>
        <v>0</v>
      </c>
      <c r="Z111">
        <f>IF(OR(N111="",X111="",Y111="",Y111=X111),"",100*(N111-X111)/(Y111-X111))</f>
        <v>0</v>
      </c>
      <c r="AA111">
        <f>IF(COUNT($Z$109:$Z$111)&lt;3,"",AVERAGE($Z$109:$Z$111))</f>
        <v>0</v>
      </c>
      <c r="AB111">
        <f>IF(COUNT($AA$109:$AA$111)&lt;3,"",AVERAGE($AA$109:$AA$111))</f>
        <v>0</v>
      </c>
      <c r="AC111">
        <f>IF($E111="","",MAX($C111-$D111,ABS($C111-$E110),ABS($D111-$E110)))</f>
        <v>0</v>
      </c>
      <c r="AD111">
        <f>IF(COUNT($E$2:$E111)&lt;15,"",AVERAGE($AC$98:$AC$111))</f>
        <v>0</v>
      </c>
      <c r="AE111">
        <f>IF(OR($E111="",$E110=""),"",IF(AND(($C111-$C110)&gt;($D110-$D111),($C111-$C110)&gt;0),$C111-$C110,0))</f>
        <v>0</v>
      </c>
      <c r="AF111">
        <f>IF(OR($E111="",$E110=""),"",IF(AND(($D110-$D111)&gt;($C111-$C110),($D110-$D111)&gt;0),$D110-$D111,0))</f>
        <v>0</v>
      </c>
      <c r="AG111">
        <f>IF(COUNT($E$2:$E111)&lt;15,"",IF(SUM($AC$98:$AC$111)=0,0,100*SUM($AE$98:$AE$111)/SUM($AC$98:$AC$111)))</f>
        <v>0</v>
      </c>
      <c r="AH111">
        <f>IF(COUNT($E$2:$E111)&lt;15,"",IF(SUM($AC$98:$AC$111)=0,0,100*SUM($AF$98:$AF$111)/SUM($AC$98:$AC$111)))</f>
        <v>0</v>
      </c>
      <c r="AI111">
        <f>IF(OR(AG111="",AH111=""),"",IF((AG111+AH111)=0,0,100*ABS(AG111-AH111)/(AG111+AH111)))</f>
        <v>0</v>
      </c>
      <c r="AJ111">
        <f>IF(COUNT($AI$98:$AI$111)&lt;14,"",AVERAGE($AI$98:$AI$111))</f>
        <v>0</v>
      </c>
      <c r="AK111">
        <f>IF(COUNT($E$2:$E111)&lt;20,"",AVERAGE($E$92:$E$111))</f>
        <v>0</v>
      </c>
      <c r="AL111">
        <f>IF(COUNT($E$2:$E111)&lt;20,"",STDEVP($E$92:$E$111))</f>
        <v>0</v>
      </c>
      <c r="AM111">
        <f>IF(AK111="","",AK111+2*AL111)</f>
        <v>0</v>
      </c>
      <c r="AN111">
        <f>IF(AK111="","",AK111-2*AL111)</f>
        <v>0</v>
      </c>
      <c r="AO111">
        <f>IF(OR(AM111="",AN111="",AM111=AN111),"",($E111-AN111)/(AM111-AN111))</f>
        <v>0</v>
      </c>
      <c r="AP111">
        <f>IF(OR(AM111="",AK111="",AK111=0),"",(AM111-AN111)/AK111)</f>
        <v>0</v>
      </c>
      <c r="AQ111">
        <f>IF(COUNT($E$2:$E111)&lt;20,"",MAX($C$92:$C$111))</f>
        <v>0</v>
      </c>
      <c r="AR111">
        <f>IF(COUNT($E$2:$E111)&lt;20,"",MIN($D$92:$D$111))</f>
        <v>0</v>
      </c>
      <c r="AS111">
        <f>IF(OR(AQ111="",AR111=""),"",(AQ111+AR111)/2)</f>
        <v>0</v>
      </c>
      <c r="AT111">
        <f>IF(COUNT($G$92:$G$111)&lt;20,"",STDEV($G$92:$G$111)*SQRT(52))</f>
        <v>0</v>
      </c>
      <c r="AU111">
        <f>IF(COUNT($E$2:$E111)&lt;9,"",(MAX($C$103:$C$111)+MIN($D$103:$D$111))/2)</f>
        <v>0</v>
      </c>
      <c r="AV111">
        <f>IF(COUNT($E$2:$E111)&lt;26,"",(MAX($C$86:$C$111)+MIN($D$86:$D$111))/2)</f>
        <v>0</v>
      </c>
      <c r="AW111">
        <f>IF(OR(AU111="",AV111=""),"",(AU111+AV111)/2)</f>
        <v>0</v>
      </c>
      <c r="AX111">
        <f>IF(COUNT($E$2:$E111)&lt;52,"",(MAX($C$60:$C$111)+MIN($D$60:$D$111))/2)</f>
        <v>0</v>
      </c>
      <c r="AY111">
        <f>IF(COUNT($E$2:$E111)&lt;20,"",MAX($C$12:$C$111))</f>
        <v>0</v>
      </c>
      <c r="AZ111">
        <f>IF(COUNT($E$2:$E111)&lt;20,"",MIN($D$12:$D$111))</f>
        <v>0</v>
      </c>
      <c r="BA111">
        <f>IF(COUNT($E$2:$E111)&lt;20,"",SLOPE($E$12:$E$111,$F$12:$F$111))</f>
        <v>0</v>
      </c>
      <c r="BB111">
        <f>IF(COUNT($E$2:$E111)&lt;20,"",INTERCEPT($E$12:$E$111,$F$12:$F$111))</f>
        <v>0</v>
      </c>
      <c r="BC111">
        <f>IF(OR(BA111="",BB111=""),"",BB111+BA111*F111)</f>
        <v>0</v>
      </c>
      <c r="BD111">
        <f>IF(COUNT($E$2:$E111)&lt;20,"",STEYX($E$12:$E$111,$F$12:$F$111))</f>
        <v>0</v>
      </c>
      <c r="BE111">
        <f>IF($E111="","",IF(AND(COUNT($E$112:$E$115)&gt;=4,$C111=MAX($C$107:$C$115)),$C111,""))</f>
        <v>0</v>
      </c>
      <c r="BF111">
        <f>IF($E111="","",IF(AND(COUNT($E$112:$E$115)&gt;=4,$D111=MIN($D$107:$D$115)),$D111,""))</f>
        <v>0</v>
      </c>
      <c r="BG111">
        <f>IFERROR(SMALL(Calc_Daily!$BM$2:$BM$2001,110),"")</f>
        <v>0</v>
      </c>
    </row>
    <row r="112" spans="1:59">
      <c r="A112" s="27">
        <f>IF($BG112="","",INDEX(Calc_Daily!$A$2:$A$2001,$BG112))</f>
        <v>0</v>
      </c>
      <c r="B112">
        <f>IF($BG112="","",INDEX(Calc_Daily!$BJ$2:$BJ$2001,$BG112))</f>
        <v>0</v>
      </c>
      <c r="C112">
        <f>IF($BG112="","",INDEX(Calc_Daily!$BK$2:$BK$2001,$BG112))</f>
        <v>0</v>
      </c>
      <c r="D112">
        <f>IF($BG112="","",INDEX(Calc_Daily!$BL$2:$BL$2001,$BG112))</f>
        <v>0</v>
      </c>
      <c r="E112">
        <f>IF($BG112="","",INDEX(Calc_Daily!$E$2:$E$2001,$BG112))</f>
        <v>0</v>
      </c>
      <c r="F112">
        <f>IF($E112="","",N(F111)+1)</f>
        <v>0</v>
      </c>
      <c r="G112">
        <f>IF(OR($E112="",$E111=""),"",LN($E112/$E111))</f>
        <v>0</v>
      </c>
      <c r="H112">
        <f>IF($E112="","",IF($E111="",$E112,$E112*0.0952380952+H111*0.9047619048))</f>
        <v>0</v>
      </c>
      <c r="I112">
        <f>IF($E112="","",IF($E111="",$E112,$E112*0.0392156863+I111*0.9607843137))</f>
        <v>0</v>
      </c>
      <c r="J112">
        <f>IF($E112="","",IF($E111="",$E112,$E112*0.0198019802+J111*0.9801980198))</f>
        <v>0</v>
      </c>
      <c r="K112">
        <f>IF($E112="","",IF($E111="",$E112,$E112*0.0099502488+K111*0.9900497512))</f>
        <v>0</v>
      </c>
      <c r="L112">
        <f>IF(OR($E112="",$E111=""),"",MAX($E112-$E111,0))</f>
        <v>0</v>
      </c>
      <c r="M112">
        <f>IF(OR($E112="",$E111=""),"",MAX($E111-$E112,0))</f>
        <v>0</v>
      </c>
      <c r="N112">
        <f>IF(COUNT($E$2:$E112)&lt;15,"",IF(AVERAGE($M$99:$M$112)=0,100,100-100/(1+AVERAGE($L$99:$L$112)/AVERAGE($M$99:$M$112))))</f>
        <v>0</v>
      </c>
      <c r="O112">
        <f>IF($E112="","",IF($E111="",$E112,$E112*0.1538461538+O111*0.8461538462))</f>
        <v>0</v>
      </c>
      <c r="P112">
        <f>IF($E112="","",IF($E111="",$E112,$E112*0.0740740741+P111*0.9259259259))</f>
        <v>0</v>
      </c>
      <c r="Q112">
        <f>IF(OR(O112="",P112=""),"",O112-P112)</f>
        <v>0</v>
      </c>
      <c r="R112">
        <f>IF(Q112="","",IF(R111="",Q112,Q112*0.2000000000+R111*0.8000000000))</f>
        <v>0</v>
      </c>
      <c r="S112">
        <f>IF(OR(Q112="",R112=""),"",Q112-R112)</f>
        <v>0</v>
      </c>
      <c r="T112">
        <f>IF(COUNT($E$2:$E112)&lt;14,"",MAX($C$99:$C$112))</f>
        <v>0</v>
      </c>
      <c r="U112">
        <f>IF(COUNT($E$2:$E112)&lt;14,"",MIN($D$99:$D$112))</f>
        <v>0</v>
      </c>
      <c r="V112">
        <f>IF(OR(T112="",U112="",T112=U112),"",100*($E112-U112)/(T112-U112))</f>
        <v>0</v>
      </c>
      <c r="W112">
        <f>IF(COUNT($V$110:$V$112)&lt;3,"",AVERAGE($V$110:$V$112))</f>
        <v>0</v>
      </c>
      <c r="X112">
        <f>IF(COUNT($N$99:$N$112)&lt;14,"",MIN($N$99:$N$112))</f>
        <v>0</v>
      </c>
      <c r="Y112">
        <f>IF(COUNT($N$99:$N$112)&lt;14,"",MAX($N$99:$N$112))</f>
        <v>0</v>
      </c>
      <c r="Z112">
        <f>IF(OR(N112="",X112="",Y112="",Y112=X112),"",100*(N112-X112)/(Y112-X112))</f>
        <v>0</v>
      </c>
      <c r="AA112">
        <f>IF(COUNT($Z$110:$Z$112)&lt;3,"",AVERAGE($Z$110:$Z$112))</f>
        <v>0</v>
      </c>
      <c r="AB112">
        <f>IF(COUNT($AA$110:$AA$112)&lt;3,"",AVERAGE($AA$110:$AA$112))</f>
        <v>0</v>
      </c>
      <c r="AC112">
        <f>IF($E112="","",MAX($C112-$D112,ABS($C112-$E111),ABS($D112-$E111)))</f>
        <v>0</v>
      </c>
      <c r="AD112">
        <f>IF(COUNT($E$2:$E112)&lt;15,"",AVERAGE($AC$99:$AC$112))</f>
        <v>0</v>
      </c>
      <c r="AE112">
        <f>IF(OR($E112="",$E111=""),"",IF(AND(($C112-$C111)&gt;($D111-$D112),($C112-$C111)&gt;0),$C112-$C111,0))</f>
        <v>0</v>
      </c>
      <c r="AF112">
        <f>IF(OR($E112="",$E111=""),"",IF(AND(($D111-$D112)&gt;($C112-$C111),($D111-$D112)&gt;0),$D111-$D112,0))</f>
        <v>0</v>
      </c>
      <c r="AG112">
        <f>IF(COUNT($E$2:$E112)&lt;15,"",IF(SUM($AC$99:$AC$112)=0,0,100*SUM($AE$99:$AE$112)/SUM($AC$99:$AC$112)))</f>
        <v>0</v>
      </c>
      <c r="AH112">
        <f>IF(COUNT($E$2:$E112)&lt;15,"",IF(SUM($AC$99:$AC$112)=0,0,100*SUM($AF$99:$AF$112)/SUM($AC$99:$AC$112)))</f>
        <v>0</v>
      </c>
      <c r="AI112">
        <f>IF(OR(AG112="",AH112=""),"",IF((AG112+AH112)=0,0,100*ABS(AG112-AH112)/(AG112+AH112)))</f>
        <v>0</v>
      </c>
      <c r="AJ112">
        <f>IF(COUNT($AI$99:$AI$112)&lt;14,"",AVERAGE($AI$99:$AI$112))</f>
        <v>0</v>
      </c>
      <c r="AK112">
        <f>IF(COUNT($E$2:$E112)&lt;20,"",AVERAGE($E$93:$E$112))</f>
        <v>0</v>
      </c>
      <c r="AL112">
        <f>IF(COUNT($E$2:$E112)&lt;20,"",STDEVP($E$93:$E$112))</f>
        <v>0</v>
      </c>
      <c r="AM112">
        <f>IF(AK112="","",AK112+2*AL112)</f>
        <v>0</v>
      </c>
      <c r="AN112">
        <f>IF(AK112="","",AK112-2*AL112)</f>
        <v>0</v>
      </c>
      <c r="AO112">
        <f>IF(OR(AM112="",AN112="",AM112=AN112),"",($E112-AN112)/(AM112-AN112))</f>
        <v>0</v>
      </c>
      <c r="AP112">
        <f>IF(OR(AM112="",AK112="",AK112=0),"",(AM112-AN112)/AK112)</f>
        <v>0</v>
      </c>
      <c r="AQ112">
        <f>IF(COUNT($E$2:$E112)&lt;20,"",MAX($C$93:$C$112))</f>
        <v>0</v>
      </c>
      <c r="AR112">
        <f>IF(COUNT($E$2:$E112)&lt;20,"",MIN($D$93:$D$112))</f>
        <v>0</v>
      </c>
      <c r="AS112">
        <f>IF(OR(AQ112="",AR112=""),"",(AQ112+AR112)/2)</f>
        <v>0</v>
      </c>
      <c r="AT112">
        <f>IF(COUNT($G$93:$G$112)&lt;20,"",STDEV($G$93:$G$112)*SQRT(52))</f>
        <v>0</v>
      </c>
      <c r="AU112">
        <f>IF(COUNT($E$2:$E112)&lt;9,"",(MAX($C$104:$C$112)+MIN($D$104:$D$112))/2)</f>
        <v>0</v>
      </c>
      <c r="AV112">
        <f>IF(COUNT($E$2:$E112)&lt;26,"",(MAX($C$87:$C$112)+MIN($D$87:$D$112))/2)</f>
        <v>0</v>
      </c>
      <c r="AW112">
        <f>IF(OR(AU112="",AV112=""),"",(AU112+AV112)/2)</f>
        <v>0</v>
      </c>
      <c r="AX112">
        <f>IF(COUNT($E$2:$E112)&lt;52,"",(MAX($C$61:$C$112)+MIN($D$61:$D$112))/2)</f>
        <v>0</v>
      </c>
      <c r="AY112">
        <f>IF(COUNT($E$2:$E112)&lt;20,"",MAX($C$13:$C$112))</f>
        <v>0</v>
      </c>
      <c r="AZ112">
        <f>IF(COUNT($E$2:$E112)&lt;20,"",MIN($D$13:$D$112))</f>
        <v>0</v>
      </c>
      <c r="BA112">
        <f>IF(COUNT($E$2:$E112)&lt;20,"",SLOPE($E$13:$E$112,$F$13:$F$112))</f>
        <v>0</v>
      </c>
      <c r="BB112">
        <f>IF(COUNT($E$2:$E112)&lt;20,"",INTERCEPT($E$13:$E$112,$F$13:$F$112))</f>
        <v>0</v>
      </c>
      <c r="BC112">
        <f>IF(OR(BA112="",BB112=""),"",BB112+BA112*F112)</f>
        <v>0</v>
      </c>
      <c r="BD112">
        <f>IF(COUNT($E$2:$E112)&lt;20,"",STEYX($E$13:$E$112,$F$13:$F$112))</f>
        <v>0</v>
      </c>
      <c r="BE112">
        <f>IF($E112="","",IF(AND(COUNT($E$113:$E$116)&gt;=4,$C112=MAX($C$108:$C$116)),$C112,""))</f>
        <v>0</v>
      </c>
      <c r="BF112">
        <f>IF($E112="","",IF(AND(COUNT($E$113:$E$116)&gt;=4,$D112=MIN($D$108:$D$116)),$D112,""))</f>
        <v>0</v>
      </c>
      <c r="BG112">
        <f>IFERROR(SMALL(Calc_Daily!$BM$2:$BM$2001,111),"")</f>
        <v>0</v>
      </c>
    </row>
    <row r="113" spans="1:59">
      <c r="A113" s="27">
        <f>IF($BG113="","",INDEX(Calc_Daily!$A$2:$A$2001,$BG113))</f>
        <v>0</v>
      </c>
      <c r="B113">
        <f>IF($BG113="","",INDEX(Calc_Daily!$BJ$2:$BJ$2001,$BG113))</f>
        <v>0</v>
      </c>
      <c r="C113">
        <f>IF($BG113="","",INDEX(Calc_Daily!$BK$2:$BK$2001,$BG113))</f>
        <v>0</v>
      </c>
      <c r="D113">
        <f>IF($BG113="","",INDEX(Calc_Daily!$BL$2:$BL$2001,$BG113))</f>
        <v>0</v>
      </c>
      <c r="E113">
        <f>IF($BG113="","",INDEX(Calc_Daily!$E$2:$E$2001,$BG113))</f>
        <v>0</v>
      </c>
      <c r="F113">
        <f>IF($E113="","",N(F112)+1)</f>
        <v>0</v>
      </c>
      <c r="G113">
        <f>IF(OR($E113="",$E112=""),"",LN($E113/$E112))</f>
        <v>0</v>
      </c>
      <c r="H113">
        <f>IF($E113="","",IF($E112="",$E113,$E113*0.0952380952+H112*0.9047619048))</f>
        <v>0</v>
      </c>
      <c r="I113">
        <f>IF($E113="","",IF($E112="",$E113,$E113*0.0392156863+I112*0.9607843137))</f>
        <v>0</v>
      </c>
      <c r="J113">
        <f>IF($E113="","",IF($E112="",$E113,$E113*0.0198019802+J112*0.9801980198))</f>
        <v>0</v>
      </c>
      <c r="K113">
        <f>IF($E113="","",IF($E112="",$E113,$E113*0.0099502488+K112*0.9900497512))</f>
        <v>0</v>
      </c>
      <c r="L113">
        <f>IF(OR($E113="",$E112=""),"",MAX($E113-$E112,0))</f>
        <v>0</v>
      </c>
      <c r="M113">
        <f>IF(OR($E113="",$E112=""),"",MAX($E112-$E113,0))</f>
        <v>0</v>
      </c>
      <c r="N113">
        <f>IF(COUNT($E$2:$E113)&lt;15,"",IF(AVERAGE($M$100:$M$113)=0,100,100-100/(1+AVERAGE($L$100:$L$113)/AVERAGE($M$100:$M$113))))</f>
        <v>0</v>
      </c>
      <c r="O113">
        <f>IF($E113="","",IF($E112="",$E113,$E113*0.1538461538+O112*0.8461538462))</f>
        <v>0</v>
      </c>
      <c r="P113">
        <f>IF($E113="","",IF($E112="",$E113,$E113*0.0740740741+P112*0.9259259259))</f>
        <v>0</v>
      </c>
      <c r="Q113">
        <f>IF(OR(O113="",P113=""),"",O113-P113)</f>
        <v>0</v>
      </c>
      <c r="R113">
        <f>IF(Q113="","",IF(R112="",Q113,Q113*0.2000000000+R112*0.8000000000))</f>
        <v>0</v>
      </c>
      <c r="S113">
        <f>IF(OR(Q113="",R113=""),"",Q113-R113)</f>
        <v>0</v>
      </c>
      <c r="T113">
        <f>IF(COUNT($E$2:$E113)&lt;14,"",MAX($C$100:$C$113))</f>
        <v>0</v>
      </c>
      <c r="U113">
        <f>IF(COUNT($E$2:$E113)&lt;14,"",MIN($D$100:$D$113))</f>
        <v>0</v>
      </c>
      <c r="V113">
        <f>IF(OR(T113="",U113="",T113=U113),"",100*($E113-U113)/(T113-U113))</f>
        <v>0</v>
      </c>
      <c r="W113">
        <f>IF(COUNT($V$111:$V$113)&lt;3,"",AVERAGE($V$111:$V$113))</f>
        <v>0</v>
      </c>
      <c r="X113">
        <f>IF(COUNT($N$100:$N$113)&lt;14,"",MIN($N$100:$N$113))</f>
        <v>0</v>
      </c>
      <c r="Y113">
        <f>IF(COUNT($N$100:$N$113)&lt;14,"",MAX($N$100:$N$113))</f>
        <v>0</v>
      </c>
      <c r="Z113">
        <f>IF(OR(N113="",X113="",Y113="",Y113=X113),"",100*(N113-X113)/(Y113-X113))</f>
        <v>0</v>
      </c>
      <c r="AA113">
        <f>IF(COUNT($Z$111:$Z$113)&lt;3,"",AVERAGE($Z$111:$Z$113))</f>
        <v>0</v>
      </c>
      <c r="AB113">
        <f>IF(COUNT($AA$111:$AA$113)&lt;3,"",AVERAGE($AA$111:$AA$113))</f>
        <v>0</v>
      </c>
      <c r="AC113">
        <f>IF($E113="","",MAX($C113-$D113,ABS($C113-$E112),ABS($D113-$E112)))</f>
        <v>0</v>
      </c>
      <c r="AD113">
        <f>IF(COUNT($E$2:$E113)&lt;15,"",AVERAGE($AC$100:$AC$113))</f>
        <v>0</v>
      </c>
      <c r="AE113">
        <f>IF(OR($E113="",$E112=""),"",IF(AND(($C113-$C112)&gt;($D112-$D113),($C113-$C112)&gt;0),$C113-$C112,0))</f>
        <v>0</v>
      </c>
      <c r="AF113">
        <f>IF(OR($E113="",$E112=""),"",IF(AND(($D112-$D113)&gt;($C113-$C112),($D112-$D113)&gt;0),$D112-$D113,0))</f>
        <v>0</v>
      </c>
      <c r="AG113">
        <f>IF(COUNT($E$2:$E113)&lt;15,"",IF(SUM($AC$100:$AC$113)=0,0,100*SUM($AE$100:$AE$113)/SUM($AC$100:$AC$113)))</f>
        <v>0</v>
      </c>
      <c r="AH113">
        <f>IF(COUNT($E$2:$E113)&lt;15,"",IF(SUM($AC$100:$AC$113)=0,0,100*SUM($AF$100:$AF$113)/SUM($AC$100:$AC$113)))</f>
        <v>0</v>
      </c>
      <c r="AI113">
        <f>IF(OR(AG113="",AH113=""),"",IF((AG113+AH113)=0,0,100*ABS(AG113-AH113)/(AG113+AH113)))</f>
        <v>0</v>
      </c>
      <c r="AJ113">
        <f>IF(COUNT($AI$100:$AI$113)&lt;14,"",AVERAGE($AI$100:$AI$113))</f>
        <v>0</v>
      </c>
      <c r="AK113">
        <f>IF(COUNT($E$2:$E113)&lt;20,"",AVERAGE($E$94:$E$113))</f>
        <v>0</v>
      </c>
      <c r="AL113">
        <f>IF(COUNT($E$2:$E113)&lt;20,"",STDEVP($E$94:$E$113))</f>
        <v>0</v>
      </c>
      <c r="AM113">
        <f>IF(AK113="","",AK113+2*AL113)</f>
        <v>0</v>
      </c>
      <c r="AN113">
        <f>IF(AK113="","",AK113-2*AL113)</f>
        <v>0</v>
      </c>
      <c r="AO113">
        <f>IF(OR(AM113="",AN113="",AM113=AN113),"",($E113-AN113)/(AM113-AN113))</f>
        <v>0</v>
      </c>
      <c r="AP113">
        <f>IF(OR(AM113="",AK113="",AK113=0),"",(AM113-AN113)/AK113)</f>
        <v>0</v>
      </c>
      <c r="AQ113">
        <f>IF(COUNT($E$2:$E113)&lt;20,"",MAX($C$94:$C$113))</f>
        <v>0</v>
      </c>
      <c r="AR113">
        <f>IF(COUNT($E$2:$E113)&lt;20,"",MIN($D$94:$D$113))</f>
        <v>0</v>
      </c>
      <c r="AS113">
        <f>IF(OR(AQ113="",AR113=""),"",(AQ113+AR113)/2)</f>
        <v>0</v>
      </c>
      <c r="AT113">
        <f>IF(COUNT($G$94:$G$113)&lt;20,"",STDEV($G$94:$G$113)*SQRT(52))</f>
        <v>0</v>
      </c>
      <c r="AU113">
        <f>IF(COUNT($E$2:$E113)&lt;9,"",(MAX($C$105:$C$113)+MIN($D$105:$D$113))/2)</f>
        <v>0</v>
      </c>
      <c r="AV113">
        <f>IF(COUNT($E$2:$E113)&lt;26,"",(MAX($C$88:$C$113)+MIN($D$88:$D$113))/2)</f>
        <v>0</v>
      </c>
      <c r="AW113">
        <f>IF(OR(AU113="",AV113=""),"",(AU113+AV113)/2)</f>
        <v>0</v>
      </c>
      <c r="AX113">
        <f>IF(COUNT($E$2:$E113)&lt;52,"",(MAX($C$62:$C$113)+MIN($D$62:$D$113))/2)</f>
        <v>0</v>
      </c>
      <c r="AY113">
        <f>IF(COUNT($E$2:$E113)&lt;20,"",MAX($C$14:$C$113))</f>
        <v>0</v>
      </c>
      <c r="AZ113">
        <f>IF(COUNT($E$2:$E113)&lt;20,"",MIN($D$14:$D$113))</f>
        <v>0</v>
      </c>
      <c r="BA113">
        <f>IF(COUNT($E$2:$E113)&lt;20,"",SLOPE($E$14:$E$113,$F$14:$F$113))</f>
        <v>0</v>
      </c>
      <c r="BB113">
        <f>IF(COUNT($E$2:$E113)&lt;20,"",INTERCEPT($E$14:$E$113,$F$14:$F$113))</f>
        <v>0</v>
      </c>
      <c r="BC113">
        <f>IF(OR(BA113="",BB113=""),"",BB113+BA113*F113)</f>
        <v>0</v>
      </c>
      <c r="BD113">
        <f>IF(COUNT($E$2:$E113)&lt;20,"",STEYX($E$14:$E$113,$F$14:$F$113))</f>
        <v>0</v>
      </c>
      <c r="BE113">
        <f>IF($E113="","",IF(AND(COUNT($E$114:$E$117)&gt;=4,$C113=MAX($C$109:$C$117)),$C113,""))</f>
        <v>0</v>
      </c>
      <c r="BF113">
        <f>IF($E113="","",IF(AND(COUNT($E$114:$E$117)&gt;=4,$D113=MIN($D$109:$D$117)),$D113,""))</f>
        <v>0</v>
      </c>
      <c r="BG113">
        <f>IFERROR(SMALL(Calc_Daily!$BM$2:$BM$2001,112),"")</f>
        <v>0</v>
      </c>
    </row>
    <row r="114" spans="1:59">
      <c r="A114" s="27">
        <f>IF($BG114="","",INDEX(Calc_Daily!$A$2:$A$2001,$BG114))</f>
        <v>0</v>
      </c>
      <c r="B114">
        <f>IF($BG114="","",INDEX(Calc_Daily!$BJ$2:$BJ$2001,$BG114))</f>
        <v>0</v>
      </c>
      <c r="C114">
        <f>IF($BG114="","",INDEX(Calc_Daily!$BK$2:$BK$2001,$BG114))</f>
        <v>0</v>
      </c>
      <c r="D114">
        <f>IF($BG114="","",INDEX(Calc_Daily!$BL$2:$BL$2001,$BG114))</f>
        <v>0</v>
      </c>
      <c r="E114">
        <f>IF($BG114="","",INDEX(Calc_Daily!$E$2:$E$2001,$BG114))</f>
        <v>0</v>
      </c>
      <c r="F114">
        <f>IF($E114="","",N(F113)+1)</f>
        <v>0</v>
      </c>
      <c r="G114">
        <f>IF(OR($E114="",$E113=""),"",LN($E114/$E113))</f>
        <v>0</v>
      </c>
      <c r="H114">
        <f>IF($E114="","",IF($E113="",$E114,$E114*0.0952380952+H113*0.9047619048))</f>
        <v>0</v>
      </c>
      <c r="I114">
        <f>IF($E114="","",IF($E113="",$E114,$E114*0.0392156863+I113*0.9607843137))</f>
        <v>0</v>
      </c>
      <c r="J114">
        <f>IF($E114="","",IF($E113="",$E114,$E114*0.0198019802+J113*0.9801980198))</f>
        <v>0</v>
      </c>
      <c r="K114">
        <f>IF($E114="","",IF($E113="",$E114,$E114*0.0099502488+K113*0.9900497512))</f>
        <v>0</v>
      </c>
      <c r="L114">
        <f>IF(OR($E114="",$E113=""),"",MAX($E114-$E113,0))</f>
        <v>0</v>
      </c>
      <c r="M114">
        <f>IF(OR($E114="",$E113=""),"",MAX($E113-$E114,0))</f>
        <v>0</v>
      </c>
      <c r="N114">
        <f>IF(COUNT($E$2:$E114)&lt;15,"",IF(AVERAGE($M$101:$M$114)=0,100,100-100/(1+AVERAGE($L$101:$L$114)/AVERAGE($M$101:$M$114))))</f>
        <v>0</v>
      </c>
      <c r="O114">
        <f>IF($E114="","",IF($E113="",$E114,$E114*0.1538461538+O113*0.8461538462))</f>
        <v>0</v>
      </c>
      <c r="P114">
        <f>IF($E114="","",IF($E113="",$E114,$E114*0.0740740741+P113*0.9259259259))</f>
        <v>0</v>
      </c>
      <c r="Q114">
        <f>IF(OR(O114="",P114=""),"",O114-P114)</f>
        <v>0</v>
      </c>
      <c r="R114">
        <f>IF(Q114="","",IF(R113="",Q114,Q114*0.2000000000+R113*0.8000000000))</f>
        <v>0</v>
      </c>
      <c r="S114">
        <f>IF(OR(Q114="",R114=""),"",Q114-R114)</f>
        <v>0</v>
      </c>
      <c r="T114">
        <f>IF(COUNT($E$2:$E114)&lt;14,"",MAX($C$101:$C$114))</f>
        <v>0</v>
      </c>
      <c r="U114">
        <f>IF(COUNT($E$2:$E114)&lt;14,"",MIN($D$101:$D$114))</f>
        <v>0</v>
      </c>
      <c r="V114">
        <f>IF(OR(T114="",U114="",T114=U114),"",100*($E114-U114)/(T114-U114))</f>
        <v>0</v>
      </c>
      <c r="W114">
        <f>IF(COUNT($V$112:$V$114)&lt;3,"",AVERAGE($V$112:$V$114))</f>
        <v>0</v>
      </c>
      <c r="X114">
        <f>IF(COUNT($N$101:$N$114)&lt;14,"",MIN($N$101:$N$114))</f>
        <v>0</v>
      </c>
      <c r="Y114">
        <f>IF(COUNT($N$101:$N$114)&lt;14,"",MAX($N$101:$N$114))</f>
        <v>0</v>
      </c>
      <c r="Z114">
        <f>IF(OR(N114="",X114="",Y114="",Y114=X114),"",100*(N114-X114)/(Y114-X114))</f>
        <v>0</v>
      </c>
      <c r="AA114">
        <f>IF(COUNT($Z$112:$Z$114)&lt;3,"",AVERAGE($Z$112:$Z$114))</f>
        <v>0</v>
      </c>
      <c r="AB114">
        <f>IF(COUNT($AA$112:$AA$114)&lt;3,"",AVERAGE($AA$112:$AA$114))</f>
        <v>0</v>
      </c>
      <c r="AC114">
        <f>IF($E114="","",MAX($C114-$D114,ABS($C114-$E113),ABS($D114-$E113)))</f>
        <v>0</v>
      </c>
      <c r="AD114">
        <f>IF(COUNT($E$2:$E114)&lt;15,"",AVERAGE($AC$101:$AC$114))</f>
        <v>0</v>
      </c>
      <c r="AE114">
        <f>IF(OR($E114="",$E113=""),"",IF(AND(($C114-$C113)&gt;($D113-$D114),($C114-$C113)&gt;0),$C114-$C113,0))</f>
        <v>0</v>
      </c>
      <c r="AF114">
        <f>IF(OR($E114="",$E113=""),"",IF(AND(($D113-$D114)&gt;($C114-$C113),($D113-$D114)&gt;0),$D113-$D114,0))</f>
        <v>0</v>
      </c>
      <c r="AG114">
        <f>IF(COUNT($E$2:$E114)&lt;15,"",IF(SUM($AC$101:$AC$114)=0,0,100*SUM($AE$101:$AE$114)/SUM($AC$101:$AC$114)))</f>
        <v>0</v>
      </c>
      <c r="AH114">
        <f>IF(COUNT($E$2:$E114)&lt;15,"",IF(SUM($AC$101:$AC$114)=0,0,100*SUM($AF$101:$AF$114)/SUM($AC$101:$AC$114)))</f>
        <v>0</v>
      </c>
      <c r="AI114">
        <f>IF(OR(AG114="",AH114=""),"",IF((AG114+AH114)=0,0,100*ABS(AG114-AH114)/(AG114+AH114)))</f>
        <v>0</v>
      </c>
      <c r="AJ114">
        <f>IF(COUNT($AI$101:$AI$114)&lt;14,"",AVERAGE($AI$101:$AI$114))</f>
        <v>0</v>
      </c>
      <c r="AK114">
        <f>IF(COUNT($E$2:$E114)&lt;20,"",AVERAGE($E$95:$E$114))</f>
        <v>0</v>
      </c>
      <c r="AL114">
        <f>IF(COUNT($E$2:$E114)&lt;20,"",STDEVP($E$95:$E$114))</f>
        <v>0</v>
      </c>
      <c r="AM114">
        <f>IF(AK114="","",AK114+2*AL114)</f>
        <v>0</v>
      </c>
      <c r="AN114">
        <f>IF(AK114="","",AK114-2*AL114)</f>
        <v>0</v>
      </c>
      <c r="AO114">
        <f>IF(OR(AM114="",AN114="",AM114=AN114),"",($E114-AN114)/(AM114-AN114))</f>
        <v>0</v>
      </c>
      <c r="AP114">
        <f>IF(OR(AM114="",AK114="",AK114=0),"",(AM114-AN114)/AK114)</f>
        <v>0</v>
      </c>
      <c r="AQ114">
        <f>IF(COUNT($E$2:$E114)&lt;20,"",MAX($C$95:$C$114))</f>
        <v>0</v>
      </c>
      <c r="AR114">
        <f>IF(COUNT($E$2:$E114)&lt;20,"",MIN($D$95:$D$114))</f>
        <v>0</v>
      </c>
      <c r="AS114">
        <f>IF(OR(AQ114="",AR114=""),"",(AQ114+AR114)/2)</f>
        <v>0</v>
      </c>
      <c r="AT114">
        <f>IF(COUNT($G$95:$G$114)&lt;20,"",STDEV($G$95:$G$114)*SQRT(52))</f>
        <v>0</v>
      </c>
      <c r="AU114">
        <f>IF(COUNT($E$2:$E114)&lt;9,"",(MAX($C$106:$C$114)+MIN($D$106:$D$114))/2)</f>
        <v>0</v>
      </c>
      <c r="AV114">
        <f>IF(COUNT($E$2:$E114)&lt;26,"",(MAX($C$89:$C$114)+MIN($D$89:$D$114))/2)</f>
        <v>0</v>
      </c>
      <c r="AW114">
        <f>IF(OR(AU114="",AV114=""),"",(AU114+AV114)/2)</f>
        <v>0</v>
      </c>
      <c r="AX114">
        <f>IF(COUNT($E$2:$E114)&lt;52,"",(MAX($C$63:$C$114)+MIN($D$63:$D$114))/2)</f>
        <v>0</v>
      </c>
      <c r="AY114">
        <f>IF(COUNT($E$2:$E114)&lt;20,"",MAX($C$15:$C$114))</f>
        <v>0</v>
      </c>
      <c r="AZ114">
        <f>IF(COUNT($E$2:$E114)&lt;20,"",MIN($D$15:$D$114))</f>
        <v>0</v>
      </c>
      <c r="BA114">
        <f>IF(COUNT($E$2:$E114)&lt;20,"",SLOPE($E$15:$E$114,$F$15:$F$114))</f>
        <v>0</v>
      </c>
      <c r="BB114">
        <f>IF(COUNT($E$2:$E114)&lt;20,"",INTERCEPT($E$15:$E$114,$F$15:$F$114))</f>
        <v>0</v>
      </c>
      <c r="BC114">
        <f>IF(OR(BA114="",BB114=""),"",BB114+BA114*F114)</f>
        <v>0</v>
      </c>
      <c r="BD114">
        <f>IF(COUNT($E$2:$E114)&lt;20,"",STEYX($E$15:$E$114,$F$15:$F$114))</f>
        <v>0</v>
      </c>
      <c r="BE114">
        <f>IF($E114="","",IF(AND(COUNT($E$115:$E$118)&gt;=4,$C114=MAX($C$110:$C$118)),$C114,""))</f>
        <v>0</v>
      </c>
      <c r="BF114">
        <f>IF($E114="","",IF(AND(COUNT($E$115:$E$118)&gt;=4,$D114=MIN($D$110:$D$118)),$D114,""))</f>
        <v>0</v>
      </c>
      <c r="BG114">
        <f>IFERROR(SMALL(Calc_Daily!$BM$2:$BM$2001,113),"")</f>
        <v>0</v>
      </c>
    </row>
    <row r="115" spans="1:59">
      <c r="A115" s="27">
        <f>IF($BG115="","",INDEX(Calc_Daily!$A$2:$A$2001,$BG115))</f>
        <v>0</v>
      </c>
      <c r="B115">
        <f>IF($BG115="","",INDEX(Calc_Daily!$BJ$2:$BJ$2001,$BG115))</f>
        <v>0</v>
      </c>
      <c r="C115">
        <f>IF($BG115="","",INDEX(Calc_Daily!$BK$2:$BK$2001,$BG115))</f>
        <v>0</v>
      </c>
      <c r="D115">
        <f>IF($BG115="","",INDEX(Calc_Daily!$BL$2:$BL$2001,$BG115))</f>
        <v>0</v>
      </c>
      <c r="E115">
        <f>IF($BG115="","",INDEX(Calc_Daily!$E$2:$E$2001,$BG115))</f>
        <v>0</v>
      </c>
      <c r="F115">
        <f>IF($E115="","",N(F114)+1)</f>
        <v>0</v>
      </c>
      <c r="G115">
        <f>IF(OR($E115="",$E114=""),"",LN($E115/$E114))</f>
        <v>0</v>
      </c>
      <c r="H115">
        <f>IF($E115="","",IF($E114="",$E115,$E115*0.0952380952+H114*0.9047619048))</f>
        <v>0</v>
      </c>
      <c r="I115">
        <f>IF($E115="","",IF($E114="",$E115,$E115*0.0392156863+I114*0.9607843137))</f>
        <v>0</v>
      </c>
      <c r="J115">
        <f>IF($E115="","",IF($E114="",$E115,$E115*0.0198019802+J114*0.9801980198))</f>
        <v>0</v>
      </c>
      <c r="K115">
        <f>IF($E115="","",IF($E114="",$E115,$E115*0.0099502488+K114*0.9900497512))</f>
        <v>0</v>
      </c>
      <c r="L115">
        <f>IF(OR($E115="",$E114=""),"",MAX($E115-$E114,0))</f>
        <v>0</v>
      </c>
      <c r="M115">
        <f>IF(OR($E115="",$E114=""),"",MAX($E114-$E115,0))</f>
        <v>0</v>
      </c>
      <c r="N115">
        <f>IF(COUNT($E$2:$E115)&lt;15,"",IF(AVERAGE($M$102:$M$115)=0,100,100-100/(1+AVERAGE($L$102:$L$115)/AVERAGE($M$102:$M$115))))</f>
        <v>0</v>
      </c>
      <c r="O115">
        <f>IF($E115="","",IF($E114="",$E115,$E115*0.1538461538+O114*0.8461538462))</f>
        <v>0</v>
      </c>
      <c r="P115">
        <f>IF($E115="","",IF($E114="",$E115,$E115*0.0740740741+P114*0.9259259259))</f>
        <v>0</v>
      </c>
      <c r="Q115">
        <f>IF(OR(O115="",P115=""),"",O115-P115)</f>
        <v>0</v>
      </c>
      <c r="R115">
        <f>IF(Q115="","",IF(R114="",Q115,Q115*0.2000000000+R114*0.8000000000))</f>
        <v>0</v>
      </c>
      <c r="S115">
        <f>IF(OR(Q115="",R115=""),"",Q115-R115)</f>
        <v>0</v>
      </c>
      <c r="T115">
        <f>IF(COUNT($E$2:$E115)&lt;14,"",MAX($C$102:$C$115))</f>
        <v>0</v>
      </c>
      <c r="U115">
        <f>IF(COUNT($E$2:$E115)&lt;14,"",MIN($D$102:$D$115))</f>
        <v>0</v>
      </c>
      <c r="V115">
        <f>IF(OR(T115="",U115="",T115=U115),"",100*($E115-U115)/(T115-U115))</f>
        <v>0</v>
      </c>
      <c r="W115">
        <f>IF(COUNT($V$113:$V$115)&lt;3,"",AVERAGE($V$113:$V$115))</f>
        <v>0</v>
      </c>
      <c r="X115">
        <f>IF(COUNT($N$102:$N$115)&lt;14,"",MIN($N$102:$N$115))</f>
        <v>0</v>
      </c>
      <c r="Y115">
        <f>IF(COUNT($N$102:$N$115)&lt;14,"",MAX($N$102:$N$115))</f>
        <v>0</v>
      </c>
      <c r="Z115">
        <f>IF(OR(N115="",X115="",Y115="",Y115=X115),"",100*(N115-X115)/(Y115-X115))</f>
        <v>0</v>
      </c>
      <c r="AA115">
        <f>IF(COUNT($Z$113:$Z$115)&lt;3,"",AVERAGE($Z$113:$Z$115))</f>
        <v>0</v>
      </c>
      <c r="AB115">
        <f>IF(COUNT($AA$113:$AA$115)&lt;3,"",AVERAGE($AA$113:$AA$115))</f>
        <v>0</v>
      </c>
      <c r="AC115">
        <f>IF($E115="","",MAX($C115-$D115,ABS($C115-$E114),ABS($D115-$E114)))</f>
        <v>0</v>
      </c>
      <c r="AD115">
        <f>IF(COUNT($E$2:$E115)&lt;15,"",AVERAGE($AC$102:$AC$115))</f>
        <v>0</v>
      </c>
      <c r="AE115">
        <f>IF(OR($E115="",$E114=""),"",IF(AND(($C115-$C114)&gt;($D114-$D115),($C115-$C114)&gt;0),$C115-$C114,0))</f>
        <v>0</v>
      </c>
      <c r="AF115">
        <f>IF(OR($E115="",$E114=""),"",IF(AND(($D114-$D115)&gt;($C115-$C114),($D114-$D115)&gt;0),$D114-$D115,0))</f>
        <v>0</v>
      </c>
      <c r="AG115">
        <f>IF(COUNT($E$2:$E115)&lt;15,"",IF(SUM($AC$102:$AC$115)=0,0,100*SUM($AE$102:$AE$115)/SUM($AC$102:$AC$115)))</f>
        <v>0</v>
      </c>
      <c r="AH115">
        <f>IF(COUNT($E$2:$E115)&lt;15,"",IF(SUM($AC$102:$AC$115)=0,0,100*SUM($AF$102:$AF$115)/SUM($AC$102:$AC$115)))</f>
        <v>0</v>
      </c>
      <c r="AI115">
        <f>IF(OR(AG115="",AH115=""),"",IF((AG115+AH115)=0,0,100*ABS(AG115-AH115)/(AG115+AH115)))</f>
        <v>0</v>
      </c>
      <c r="AJ115">
        <f>IF(COUNT($AI$102:$AI$115)&lt;14,"",AVERAGE($AI$102:$AI$115))</f>
        <v>0</v>
      </c>
      <c r="AK115">
        <f>IF(COUNT($E$2:$E115)&lt;20,"",AVERAGE($E$96:$E$115))</f>
        <v>0</v>
      </c>
      <c r="AL115">
        <f>IF(COUNT($E$2:$E115)&lt;20,"",STDEVP($E$96:$E$115))</f>
        <v>0</v>
      </c>
      <c r="AM115">
        <f>IF(AK115="","",AK115+2*AL115)</f>
        <v>0</v>
      </c>
      <c r="AN115">
        <f>IF(AK115="","",AK115-2*AL115)</f>
        <v>0</v>
      </c>
      <c r="AO115">
        <f>IF(OR(AM115="",AN115="",AM115=AN115),"",($E115-AN115)/(AM115-AN115))</f>
        <v>0</v>
      </c>
      <c r="AP115">
        <f>IF(OR(AM115="",AK115="",AK115=0),"",(AM115-AN115)/AK115)</f>
        <v>0</v>
      </c>
      <c r="AQ115">
        <f>IF(COUNT($E$2:$E115)&lt;20,"",MAX($C$96:$C$115))</f>
        <v>0</v>
      </c>
      <c r="AR115">
        <f>IF(COUNT($E$2:$E115)&lt;20,"",MIN($D$96:$D$115))</f>
        <v>0</v>
      </c>
      <c r="AS115">
        <f>IF(OR(AQ115="",AR115=""),"",(AQ115+AR115)/2)</f>
        <v>0</v>
      </c>
      <c r="AT115">
        <f>IF(COUNT($G$96:$G$115)&lt;20,"",STDEV($G$96:$G$115)*SQRT(52))</f>
        <v>0</v>
      </c>
      <c r="AU115">
        <f>IF(COUNT($E$2:$E115)&lt;9,"",(MAX($C$107:$C$115)+MIN($D$107:$D$115))/2)</f>
        <v>0</v>
      </c>
      <c r="AV115">
        <f>IF(COUNT($E$2:$E115)&lt;26,"",(MAX($C$90:$C$115)+MIN($D$90:$D$115))/2)</f>
        <v>0</v>
      </c>
      <c r="AW115">
        <f>IF(OR(AU115="",AV115=""),"",(AU115+AV115)/2)</f>
        <v>0</v>
      </c>
      <c r="AX115">
        <f>IF(COUNT($E$2:$E115)&lt;52,"",(MAX($C$64:$C$115)+MIN($D$64:$D$115))/2)</f>
        <v>0</v>
      </c>
      <c r="AY115">
        <f>IF(COUNT($E$2:$E115)&lt;20,"",MAX($C$16:$C$115))</f>
        <v>0</v>
      </c>
      <c r="AZ115">
        <f>IF(COUNT($E$2:$E115)&lt;20,"",MIN($D$16:$D$115))</f>
        <v>0</v>
      </c>
      <c r="BA115">
        <f>IF(COUNT($E$2:$E115)&lt;20,"",SLOPE($E$16:$E$115,$F$16:$F$115))</f>
        <v>0</v>
      </c>
      <c r="BB115">
        <f>IF(COUNT($E$2:$E115)&lt;20,"",INTERCEPT($E$16:$E$115,$F$16:$F$115))</f>
        <v>0</v>
      </c>
      <c r="BC115">
        <f>IF(OR(BA115="",BB115=""),"",BB115+BA115*F115)</f>
        <v>0</v>
      </c>
      <c r="BD115">
        <f>IF(COUNT($E$2:$E115)&lt;20,"",STEYX($E$16:$E$115,$F$16:$F$115))</f>
        <v>0</v>
      </c>
      <c r="BE115">
        <f>IF($E115="","",IF(AND(COUNT($E$116:$E$119)&gt;=4,$C115=MAX($C$111:$C$119)),$C115,""))</f>
        <v>0</v>
      </c>
      <c r="BF115">
        <f>IF($E115="","",IF(AND(COUNT($E$116:$E$119)&gt;=4,$D115=MIN($D$111:$D$119)),$D115,""))</f>
        <v>0</v>
      </c>
      <c r="BG115">
        <f>IFERROR(SMALL(Calc_Daily!$BM$2:$BM$2001,114),"")</f>
        <v>0</v>
      </c>
    </row>
    <row r="116" spans="1:59">
      <c r="A116" s="27">
        <f>IF($BG116="","",INDEX(Calc_Daily!$A$2:$A$2001,$BG116))</f>
        <v>0</v>
      </c>
      <c r="B116">
        <f>IF($BG116="","",INDEX(Calc_Daily!$BJ$2:$BJ$2001,$BG116))</f>
        <v>0</v>
      </c>
      <c r="C116">
        <f>IF($BG116="","",INDEX(Calc_Daily!$BK$2:$BK$2001,$BG116))</f>
        <v>0</v>
      </c>
      <c r="D116">
        <f>IF($BG116="","",INDEX(Calc_Daily!$BL$2:$BL$2001,$BG116))</f>
        <v>0</v>
      </c>
      <c r="E116">
        <f>IF($BG116="","",INDEX(Calc_Daily!$E$2:$E$2001,$BG116))</f>
        <v>0</v>
      </c>
      <c r="F116">
        <f>IF($E116="","",N(F115)+1)</f>
        <v>0</v>
      </c>
      <c r="G116">
        <f>IF(OR($E116="",$E115=""),"",LN($E116/$E115))</f>
        <v>0</v>
      </c>
      <c r="H116">
        <f>IF($E116="","",IF($E115="",$E116,$E116*0.0952380952+H115*0.9047619048))</f>
        <v>0</v>
      </c>
      <c r="I116">
        <f>IF($E116="","",IF($E115="",$E116,$E116*0.0392156863+I115*0.9607843137))</f>
        <v>0</v>
      </c>
      <c r="J116">
        <f>IF($E116="","",IF($E115="",$E116,$E116*0.0198019802+J115*0.9801980198))</f>
        <v>0</v>
      </c>
      <c r="K116">
        <f>IF($E116="","",IF($E115="",$E116,$E116*0.0099502488+K115*0.9900497512))</f>
        <v>0</v>
      </c>
      <c r="L116">
        <f>IF(OR($E116="",$E115=""),"",MAX($E116-$E115,0))</f>
        <v>0</v>
      </c>
      <c r="M116">
        <f>IF(OR($E116="",$E115=""),"",MAX($E115-$E116,0))</f>
        <v>0</v>
      </c>
      <c r="N116">
        <f>IF(COUNT($E$2:$E116)&lt;15,"",IF(AVERAGE($M$103:$M$116)=0,100,100-100/(1+AVERAGE($L$103:$L$116)/AVERAGE($M$103:$M$116))))</f>
        <v>0</v>
      </c>
      <c r="O116">
        <f>IF($E116="","",IF($E115="",$E116,$E116*0.1538461538+O115*0.8461538462))</f>
        <v>0</v>
      </c>
      <c r="P116">
        <f>IF($E116="","",IF($E115="",$E116,$E116*0.0740740741+P115*0.9259259259))</f>
        <v>0</v>
      </c>
      <c r="Q116">
        <f>IF(OR(O116="",P116=""),"",O116-P116)</f>
        <v>0</v>
      </c>
      <c r="R116">
        <f>IF(Q116="","",IF(R115="",Q116,Q116*0.2000000000+R115*0.8000000000))</f>
        <v>0</v>
      </c>
      <c r="S116">
        <f>IF(OR(Q116="",R116=""),"",Q116-R116)</f>
        <v>0</v>
      </c>
      <c r="T116">
        <f>IF(COUNT($E$2:$E116)&lt;14,"",MAX($C$103:$C$116))</f>
        <v>0</v>
      </c>
      <c r="U116">
        <f>IF(COUNT($E$2:$E116)&lt;14,"",MIN($D$103:$D$116))</f>
        <v>0</v>
      </c>
      <c r="V116">
        <f>IF(OR(T116="",U116="",T116=U116),"",100*($E116-U116)/(T116-U116))</f>
        <v>0</v>
      </c>
      <c r="W116">
        <f>IF(COUNT($V$114:$V$116)&lt;3,"",AVERAGE($V$114:$V$116))</f>
        <v>0</v>
      </c>
      <c r="X116">
        <f>IF(COUNT($N$103:$N$116)&lt;14,"",MIN($N$103:$N$116))</f>
        <v>0</v>
      </c>
      <c r="Y116">
        <f>IF(COUNT($N$103:$N$116)&lt;14,"",MAX($N$103:$N$116))</f>
        <v>0</v>
      </c>
      <c r="Z116">
        <f>IF(OR(N116="",X116="",Y116="",Y116=X116),"",100*(N116-X116)/(Y116-X116))</f>
        <v>0</v>
      </c>
      <c r="AA116">
        <f>IF(COUNT($Z$114:$Z$116)&lt;3,"",AVERAGE($Z$114:$Z$116))</f>
        <v>0</v>
      </c>
      <c r="AB116">
        <f>IF(COUNT($AA$114:$AA$116)&lt;3,"",AVERAGE($AA$114:$AA$116))</f>
        <v>0</v>
      </c>
      <c r="AC116">
        <f>IF($E116="","",MAX($C116-$D116,ABS($C116-$E115),ABS($D116-$E115)))</f>
        <v>0</v>
      </c>
      <c r="AD116">
        <f>IF(COUNT($E$2:$E116)&lt;15,"",AVERAGE($AC$103:$AC$116))</f>
        <v>0</v>
      </c>
      <c r="AE116">
        <f>IF(OR($E116="",$E115=""),"",IF(AND(($C116-$C115)&gt;($D115-$D116),($C116-$C115)&gt;0),$C116-$C115,0))</f>
        <v>0</v>
      </c>
      <c r="AF116">
        <f>IF(OR($E116="",$E115=""),"",IF(AND(($D115-$D116)&gt;($C116-$C115),($D115-$D116)&gt;0),$D115-$D116,0))</f>
        <v>0</v>
      </c>
      <c r="AG116">
        <f>IF(COUNT($E$2:$E116)&lt;15,"",IF(SUM($AC$103:$AC$116)=0,0,100*SUM($AE$103:$AE$116)/SUM($AC$103:$AC$116)))</f>
        <v>0</v>
      </c>
      <c r="AH116">
        <f>IF(COUNT($E$2:$E116)&lt;15,"",IF(SUM($AC$103:$AC$116)=0,0,100*SUM($AF$103:$AF$116)/SUM($AC$103:$AC$116)))</f>
        <v>0</v>
      </c>
      <c r="AI116">
        <f>IF(OR(AG116="",AH116=""),"",IF((AG116+AH116)=0,0,100*ABS(AG116-AH116)/(AG116+AH116)))</f>
        <v>0</v>
      </c>
      <c r="AJ116">
        <f>IF(COUNT($AI$103:$AI$116)&lt;14,"",AVERAGE($AI$103:$AI$116))</f>
        <v>0</v>
      </c>
      <c r="AK116">
        <f>IF(COUNT($E$2:$E116)&lt;20,"",AVERAGE($E$97:$E$116))</f>
        <v>0</v>
      </c>
      <c r="AL116">
        <f>IF(COUNT($E$2:$E116)&lt;20,"",STDEVP($E$97:$E$116))</f>
        <v>0</v>
      </c>
      <c r="AM116">
        <f>IF(AK116="","",AK116+2*AL116)</f>
        <v>0</v>
      </c>
      <c r="AN116">
        <f>IF(AK116="","",AK116-2*AL116)</f>
        <v>0</v>
      </c>
      <c r="AO116">
        <f>IF(OR(AM116="",AN116="",AM116=AN116),"",($E116-AN116)/(AM116-AN116))</f>
        <v>0</v>
      </c>
      <c r="AP116">
        <f>IF(OR(AM116="",AK116="",AK116=0),"",(AM116-AN116)/AK116)</f>
        <v>0</v>
      </c>
      <c r="AQ116">
        <f>IF(COUNT($E$2:$E116)&lt;20,"",MAX($C$97:$C$116))</f>
        <v>0</v>
      </c>
      <c r="AR116">
        <f>IF(COUNT($E$2:$E116)&lt;20,"",MIN($D$97:$D$116))</f>
        <v>0</v>
      </c>
      <c r="AS116">
        <f>IF(OR(AQ116="",AR116=""),"",(AQ116+AR116)/2)</f>
        <v>0</v>
      </c>
      <c r="AT116">
        <f>IF(COUNT($G$97:$G$116)&lt;20,"",STDEV($G$97:$G$116)*SQRT(52))</f>
        <v>0</v>
      </c>
      <c r="AU116">
        <f>IF(COUNT($E$2:$E116)&lt;9,"",(MAX($C$108:$C$116)+MIN($D$108:$D$116))/2)</f>
        <v>0</v>
      </c>
      <c r="AV116">
        <f>IF(COUNT($E$2:$E116)&lt;26,"",(MAX($C$91:$C$116)+MIN($D$91:$D$116))/2)</f>
        <v>0</v>
      </c>
      <c r="AW116">
        <f>IF(OR(AU116="",AV116=""),"",(AU116+AV116)/2)</f>
        <v>0</v>
      </c>
      <c r="AX116">
        <f>IF(COUNT($E$2:$E116)&lt;52,"",(MAX($C$65:$C$116)+MIN($D$65:$D$116))/2)</f>
        <v>0</v>
      </c>
      <c r="AY116">
        <f>IF(COUNT($E$2:$E116)&lt;20,"",MAX($C$17:$C$116))</f>
        <v>0</v>
      </c>
      <c r="AZ116">
        <f>IF(COUNT($E$2:$E116)&lt;20,"",MIN($D$17:$D$116))</f>
        <v>0</v>
      </c>
      <c r="BA116">
        <f>IF(COUNT($E$2:$E116)&lt;20,"",SLOPE($E$17:$E$116,$F$17:$F$116))</f>
        <v>0</v>
      </c>
      <c r="BB116">
        <f>IF(COUNT($E$2:$E116)&lt;20,"",INTERCEPT($E$17:$E$116,$F$17:$F$116))</f>
        <v>0</v>
      </c>
      <c r="BC116">
        <f>IF(OR(BA116="",BB116=""),"",BB116+BA116*F116)</f>
        <v>0</v>
      </c>
      <c r="BD116">
        <f>IF(COUNT($E$2:$E116)&lt;20,"",STEYX($E$17:$E$116,$F$17:$F$116))</f>
        <v>0</v>
      </c>
      <c r="BE116">
        <f>IF($E116="","",IF(AND(COUNT($E$117:$E$120)&gt;=4,$C116=MAX($C$112:$C$120)),$C116,""))</f>
        <v>0</v>
      </c>
      <c r="BF116">
        <f>IF($E116="","",IF(AND(COUNT($E$117:$E$120)&gt;=4,$D116=MIN($D$112:$D$120)),$D116,""))</f>
        <v>0</v>
      </c>
      <c r="BG116">
        <f>IFERROR(SMALL(Calc_Daily!$BM$2:$BM$2001,115),"")</f>
        <v>0</v>
      </c>
    </row>
    <row r="117" spans="1:59">
      <c r="A117" s="27">
        <f>IF($BG117="","",INDEX(Calc_Daily!$A$2:$A$2001,$BG117))</f>
        <v>0</v>
      </c>
      <c r="B117">
        <f>IF($BG117="","",INDEX(Calc_Daily!$BJ$2:$BJ$2001,$BG117))</f>
        <v>0</v>
      </c>
      <c r="C117">
        <f>IF($BG117="","",INDEX(Calc_Daily!$BK$2:$BK$2001,$BG117))</f>
        <v>0</v>
      </c>
      <c r="D117">
        <f>IF($BG117="","",INDEX(Calc_Daily!$BL$2:$BL$2001,$BG117))</f>
        <v>0</v>
      </c>
      <c r="E117">
        <f>IF($BG117="","",INDEX(Calc_Daily!$E$2:$E$2001,$BG117))</f>
        <v>0</v>
      </c>
      <c r="F117">
        <f>IF($E117="","",N(F116)+1)</f>
        <v>0</v>
      </c>
      <c r="G117">
        <f>IF(OR($E117="",$E116=""),"",LN($E117/$E116))</f>
        <v>0</v>
      </c>
      <c r="H117">
        <f>IF($E117="","",IF($E116="",$E117,$E117*0.0952380952+H116*0.9047619048))</f>
        <v>0</v>
      </c>
      <c r="I117">
        <f>IF($E117="","",IF($E116="",$E117,$E117*0.0392156863+I116*0.9607843137))</f>
        <v>0</v>
      </c>
      <c r="J117">
        <f>IF($E117="","",IF($E116="",$E117,$E117*0.0198019802+J116*0.9801980198))</f>
        <v>0</v>
      </c>
      <c r="K117">
        <f>IF($E117="","",IF($E116="",$E117,$E117*0.0099502488+K116*0.9900497512))</f>
        <v>0</v>
      </c>
      <c r="L117">
        <f>IF(OR($E117="",$E116=""),"",MAX($E117-$E116,0))</f>
        <v>0</v>
      </c>
      <c r="M117">
        <f>IF(OR($E117="",$E116=""),"",MAX($E116-$E117,0))</f>
        <v>0</v>
      </c>
      <c r="N117">
        <f>IF(COUNT($E$2:$E117)&lt;15,"",IF(AVERAGE($M$104:$M$117)=0,100,100-100/(1+AVERAGE($L$104:$L$117)/AVERAGE($M$104:$M$117))))</f>
        <v>0</v>
      </c>
      <c r="O117">
        <f>IF($E117="","",IF($E116="",$E117,$E117*0.1538461538+O116*0.8461538462))</f>
        <v>0</v>
      </c>
      <c r="P117">
        <f>IF($E117="","",IF($E116="",$E117,$E117*0.0740740741+P116*0.9259259259))</f>
        <v>0</v>
      </c>
      <c r="Q117">
        <f>IF(OR(O117="",P117=""),"",O117-P117)</f>
        <v>0</v>
      </c>
      <c r="R117">
        <f>IF(Q117="","",IF(R116="",Q117,Q117*0.2000000000+R116*0.8000000000))</f>
        <v>0</v>
      </c>
      <c r="S117">
        <f>IF(OR(Q117="",R117=""),"",Q117-R117)</f>
        <v>0</v>
      </c>
      <c r="T117">
        <f>IF(COUNT($E$2:$E117)&lt;14,"",MAX($C$104:$C$117))</f>
        <v>0</v>
      </c>
      <c r="U117">
        <f>IF(COUNT($E$2:$E117)&lt;14,"",MIN($D$104:$D$117))</f>
        <v>0</v>
      </c>
      <c r="V117">
        <f>IF(OR(T117="",U117="",T117=U117),"",100*($E117-U117)/(T117-U117))</f>
        <v>0</v>
      </c>
      <c r="W117">
        <f>IF(COUNT($V$115:$V$117)&lt;3,"",AVERAGE($V$115:$V$117))</f>
        <v>0</v>
      </c>
      <c r="X117">
        <f>IF(COUNT($N$104:$N$117)&lt;14,"",MIN($N$104:$N$117))</f>
        <v>0</v>
      </c>
      <c r="Y117">
        <f>IF(COUNT($N$104:$N$117)&lt;14,"",MAX($N$104:$N$117))</f>
        <v>0</v>
      </c>
      <c r="Z117">
        <f>IF(OR(N117="",X117="",Y117="",Y117=X117),"",100*(N117-X117)/(Y117-X117))</f>
        <v>0</v>
      </c>
      <c r="AA117">
        <f>IF(COUNT($Z$115:$Z$117)&lt;3,"",AVERAGE($Z$115:$Z$117))</f>
        <v>0</v>
      </c>
      <c r="AB117">
        <f>IF(COUNT($AA$115:$AA$117)&lt;3,"",AVERAGE($AA$115:$AA$117))</f>
        <v>0</v>
      </c>
      <c r="AC117">
        <f>IF($E117="","",MAX($C117-$D117,ABS($C117-$E116),ABS($D117-$E116)))</f>
        <v>0</v>
      </c>
      <c r="AD117">
        <f>IF(COUNT($E$2:$E117)&lt;15,"",AVERAGE($AC$104:$AC$117))</f>
        <v>0</v>
      </c>
      <c r="AE117">
        <f>IF(OR($E117="",$E116=""),"",IF(AND(($C117-$C116)&gt;($D116-$D117),($C117-$C116)&gt;0),$C117-$C116,0))</f>
        <v>0</v>
      </c>
      <c r="AF117">
        <f>IF(OR($E117="",$E116=""),"",IF(AND(($D116-$D117)&gt;($C117-$C116),($D116-$D117)&gt;0),$D116-$D117,0))</f>
        <v>0</v>
      </c>
      <c r="AG117">
        <f>IF(COUNT($E$2:$E117)&lt;15,"",IF(SUM($AC$104:$AC$117)=0,0,100*SUM($AE$104:$AE$117)/SUM($AC$104:$AC$117)))</f>
        <v>0</v>
      </c>
      <c r="AH117">
        <f>IF(COUNT($E$2:$E117)&lt;15,"",IF(SUM($AC$104:$AC$117)=0,0,100*SUM($AF$104:$AF$117)/SUM($AC$104:$AC$117)))</f>
        <v>0</v>
      </c>
      <c r="AI117">
        <f>IF(OR(AG117="",AH117=""),"",IF((AG117+AH117)=0,0,100*ABS(AG117-AH117)/(AG117+AH117)))</f>
        <v>0</v>
      </c>
      <c r="AJ117">
        <f>IF(COUNT($AI$104:$AI$117)&lt;14,"",AVERAGE($AI$104:$AI$117))</f>
        <v>0</v>
      </c>
      <c r="AK117">
        <f>IF(COUNT($E$2:$E117)&lt;20,"",AVERAGE($E$98:$E$117))</f>
        <v>0</v>
      </c>
      <c r="AL117">
        <f>IF(COUNT($E$2:$E117)&lt;20,"",STDEVP($E$98:$E$117))</f>
        <v>0</v>
      </c>
      <c r="AM117">
        <f>IF(AK117="","",AK117+2*AL117)</f>
        <v>0</v>
      </c>
      <c r="AN117">
        <f>IF(AK117="","",AK117-2*AL117)</f>
        <v>0</v>
      </c>
      <c r="AO117">
        <f>IF(OR(AM117="",AN117="",AM117=AN117),"",($E117-AN117)/(AM117-AN117))</f>
        <v>0</v>
      </c>
      <c r="AP117">
        <f>IF(OR(AM117="",AK117="",AK117=0),"",(AM117-AN117)/AK117)</f>
        <v>0</v>
      </c>
      <c r="AQ117">
        <f>IF(COUNT($E$2:$E117)&lt;20,"",MAX($C$98:$C$117))</f>
        <v>0</v>
      </c>
      <c r="AR117">
        <f>IF(COUNT($E$2:$E117)&lt;20,"",MIN($D$98:$D$117))</f>
        <v>0</v>
      </c>
      <c r="AS117">
        <f>IF(OR(AQ117="",AR117=""),"",(AQ117+AR117)/2)</f>
        <v>0</v>
      </c>
      <c r="AT117">
        <f>IF(COUNT($G$98:$G$117)&lt;20,"",STDEV($G$98:$G$117)*SQRT(52))</f>
        <v>0</v>
      </c>
      <c r="AU117">
        <f>IF(COUNT($E$2:$E117)&lt;9,"",(MAX($C$109:$C$117)+MIN($D$109:$D$117))/2)</f>
        <v>0</v>
      </c>
      <c r="AV117">
        <f>IF(COUNT($E$2:$E117)&lt;26,"",(MAX($C$92:$C$117)+MIN($D$92:$D$117))/2)</f>
        <v>0</v>
      </c>
      <c r="AW117">
        <f>IF(OR(AU117="",AV117=""),"",(AU117+AV117)/2)</f>
        <v>0</v>
      </c>
      <c r="AX117">
        <f>IF(COUNT($E$2:$E117)&lt;52,"",(MAX($C$66:$C$117)+MIN($D$66:$D$117))/2)</f>
        <v>0</v>
      </c>
      <c r="AY117">
        <f>IF(COUNT($E$2:$E117)&lt;20,"",MAX($C$18:$C$117))</f>
        <v>0</v>
      </c>
      <c r="AZ117">
        <f>IF(COUNT($E$2:$E117)&lt;20,"",MIN($D$18:$D$117))</f>
        <v>0</v>
      </c>
      <c r="BA117">
        <f>IF(COUNT($E$2:$E117)&lt;20,"",SLOPE($E$18:$E$117,$F$18:$F$117))</f>
        <v>0</v>
      </c>
      <c r="BB117">
        <f>IF(COUNT($E$2:$E117)&lt;20,"",INTERCEPT($E$18:$E$117,$F$18:$F$117))</f>
        <v>0</v>
      </c>
      <c r="BC117">
        <f>IF(OR(BA117="",BB117=""),"",BB117+BA117*F117)</f>
        <v>0</v>
      </c>
      <c r="BD117">
        <f>IF(COUNT($E$2:$E117)&lt;20,"",STEYX($E$18:$E$117,$F$18:$F$117))</f>
        <v>0</v>
      </c>
      <c r="BE117">
        <f>IF($E117="","",IF(AND(COUNT($E$118:$E$121)&gt;=4,$C117=MAX($C$113:$C$121)),$C117,""))</f>
        <v>0</v>
      </c>
      <c r="BF117">
        <f>IF($E117="","",IF(AND(COUNT($E$118:$E$121)&gt;=4,$D117=MIN($D$113:$D$121)),$D117,""))</f>
        <v>0</v>
      </c>
      <c r="BG117">
        <f>IFERROR(SMALL(Calc_Daily!$BM$2:$BM$2001,116),"")</f>
        <v>0</v>
      </c>
    </row>
    <row r="118" spans="1:59">
      <c r="A118" s="27">
        <f>IF($BG118="","",INDEX(Calc_Daily!$A$2:$A$2001,$BG118))</f>
        <v>0</v>
      </c>
      <c r="B118">
        <f>IF($BG118="","",INDEX(Calc_Daily!$BJ$2:$BJ$2001,$BG118))</f>
        <v>0</v>
      </c>
      <c r="C118">
        <f>IF($BG118="","",INDEX(Calc_Daily!$BK$2:$BK$2001,$BG118))</f>
        <v>0</v>
      </c>
      <c r="D118">
        <f>IF($BG118="","",INDEX(Calc_Daily!$BL$2:$BL$2001,$BG118))</f>
        <v>0</v>
      </c>
      <c r="E118">
        <f>IF($BG118="","",INDEX(Calc_Daily!$E$2:$E$2001,$BG118))</f>
        <v>0</v>
      </c>
      <c r="F118">
        <f>IF($E118="","",N(F117)+1)</f>
        <v>0</v>
      </c>
      <c r="G118">
        <f>IF(OR($E118="",$E117=""),"",LN($E118/$E117))</f>
        <v>0</v>
      </c>
      <c r="H118">
        <f>IF($E118="","",IF($E117="",$E118,$E118*0.0952380952+H117*0.9047619048))</f>
        <v>0</v>
      </c>
      <c r="I118">
        <f>IF($E118="","",IF($E117="",$E118,$E118*0.0392156863+I117*0.9607843137))</f>
        <v>0</v>
      </c>
      <c r="J118">
        <f>IF($E118="","",IF($E117="",$E118,$E118*0.0198019802+J117*0.9801980198))</f>
        <v>0</v>
      </c>
      <c r="K118">
        <f>IF($E118="","",IF($E117="",$E118,$E118*0.0099502488+K117*0.9900497512))</f>
        <v>0</v>
      </c>
      <c r="L118">
        <f>IF(OR($E118="",$E117=""),"",MAX($E118-$E117,0))</f>
        <v>0</v>
      </c>
      <c r="M118">
        <f>IF(OR($E118="",$E117=""),"",MAX($E117-$E118,0))</f>
        <v>0</v>
      </c>
      <c r="N118">
        <f>IF(COUNT($E$2:$E118)&lt;15,"",IF(AVERAGE($M$105:$M$118)=0,100,100-100/(1+AVERAGE($L$105:$L$118)/AVERAGE($M$105:$M$118))))</f>
        <v>0</v>
      </c>
      <c r="O118">
        <f>IF($E118="","",IF($E117="",$E118,$E118*0.1538461538+O117*0.8461538462))</f>
        <v>0</v>
      </c>
      <c r="P118">
        <f>IF($E118="","",IF($E117="",$E118,$E118*0.0740740741+P117*0.9259259259))</f>
        <v>0</v>
      </c>
      <c r="Q118">
        <f>IF(OR(O118="",P118=""),"",O118-P118)</f>
        <v>0</v>
      </c>
      <c r="R118">
        <f>IF(Q118="","",IF(R117="",Q118,Q118*0.2000000000+R117*0.8000000000))</f>
        <v>0</v>
      </c>
      <c r="S118">
        <f>IF(OR(Q118="",R118=""),"",Q118-R118)</f>
        <v>0</v>
      </c>
      <c r="T118">
        <f>IF(COUNT($E$2:$E118)&lt;14,"",MAX($C$105:$C$118))</f>
        <v>0</v>
      </c>
      <c r="U118">
        <f>IF(COUNT($E$2:$E118)&lt;14,"",MIN($D$105:$D$118))</f>
        <v>0</v>
      </c>
      <c r="V118">
        <f>IF(OR(T118="",U118="",T118=U118),"",100*($E118-U118)/(T118-U118))</f>
        <v>0</v>
      </c>
      <c r="W118">
        <f>IF(COUNT($V$116:$V$118)&lt;3,"",AVERAGE($V$116:$V$118))</f>
        <v>0</v>
      </c>
      <c r="X118">
        <f>IF(COUNT($N$105:$N$118)&lt;14,"",MIN($N$105:$N$118))</f>
        <v>0</v>
      </c>
      <c r="Y118">
        <f>IF(COUNT($N$105:$N$118)&lt;14,"",MAX($N$105:$N$118))</f>
        <v>0</v>
      </c>
      <c r="Z118">
        <f>IF(OR(N118="",X118="",Y118="",Y118=X118),"",100*(N118-X118)/(Y118-X118))</f>
        <v>0</v>
      </c>
      <c r="AA118">
        <f>IF(COUNT($Z$116:$Z$118)&lt;3,"",AVERAGE($Z$116:$Z$118))</f>
        <v>0</v>
      </c>
      <c r="AB118">
        <f>IF(COUNT($AA$116:$AA$118)&lt;3,"",AVERAGE($AA$116:$AA$118))</f>
        <v>0</v>
      </c>
      <c r="AC118">
        <f>IF($E118="","",MAX($C118-$D118,ABS($C118-$E117),ABS($D118-$E117)))</f>
        <v>0</v>
      </c>
      <c r="AD118">
        <f>IF(COUNT($E$2:$E118)&lt;15,"",AVERAGE($AC$105:$AC$118))</f>
        <v>0</v>
      </c>
      <c r="AE118">
        <f>IF(OR($E118="",$E117=""),"",IF(AND(($C118-$C117)&gt;($D117-$D118),($C118-$C117)&gt;0),$C118-$C117,0))</f>
        <v>0</v>
      </c>
      <c r="AF118">
        <f>IF(OR($E118="",$E117=""),"",IF(AND(($D117-$D118)&gt;($C118-$C117),($D117-$D118)&gt;0),$D117-$D118,0))</f>
        <v>0</v>
      </c>
      <c r="AG118">
        <f>IF(COUNT($E$2:$E118)&lt;15,"",IF(SUM($AC$105:$AC$118)=0,0,100*SUM($AE$105:$AE$118)/SUM($AC$105:$AC$118)))</f>
        <v>0</v>
      </c>
      <c r="AH118">
        <f>IF(COUNT($E$2:$E118)&lt;15,"",IF(SUM($AC$105:$AC$118)=0,0,100*SUM($AF$105:$AF$118)/SUM($AC$105:$AC$118)))</f>
        <v>0</v>
      </c>
      <c r="AI118">
        <f>IF(OR(AG118="",AH118=""),"",IF((AG118+AH118)=0,0,100*ABS(AG118-AH118)/(AG118+AH118)))</f>
        <v>0</v>
      </c>
      <c r="AJ118">
        <f>IF(COUNT($AI$105:$AI$118)&lt;14,"",AVERAGE($AI$105:$AI$118))</f>
        <v>0</v>
      </c>
      <c r="AK118">
        <f>IF(COUNT($E$2:$E118)&lt;20,"",AVERAGE($E$99:$E$118))</f>
        <v>0</v>
      </c>
      <c r="AL118">
        <f>IF(COUNT($E$2:$E118)&lt;20,"",STDEVP($E$99:$E$118))</f>
        <v>0</v>
      </c>
      <c r="AM118">
        <f>IF(AK118="","",AK118+2*AL118)</f>
        <v>0</v>
      </c>
      <c r="AN118">
        <f>IF(AK118="","",AK118-2*AL118)</f>
        <v>0</v>
      </c>
      <c r="AO118">
        <f>IF(OR(AM118="",AN118="",AM118=AN118),"",($E118-AN118)/(AM118-AN118))</f>
        <v>0</v>
      </c>
      <c r="AP118">
        <f>IF(OR(AM118="",AK118="",AK118=0),"",(AM118-AN118)/AK118)</f>
        <v>0</v>
      </c>
      <c r="AQ118">
        <f>IF(COUNT($E$2:$E118)&lt;20,"",MAX($C$99:$C$118))</f>
        <v>0</v>
      </c>
      <c r="AR118">
        <f>IF(COUNT($E$2:$E118)&lt;20,"",MIN($D$99:$D$118))</f>
        <v>0</v>
      </c>
      <c r="AS118">
        <f>IF(OR(AQ118="",AR118=""),"",(AQ118+AR118)/2)</f>
        <v>0</v>
      </c>
      <c r="AT118">
        <f>IF(COUNT($G$99:$G$118)&lt;20,"",STDEV($G$99:$G$118)*SQRT(52))</f>
        <v>0</v>
      </c>
      <c r="AU118">
        <f>IF(COUNT($E$2:$E118)&lt;9,"",(MAX($C$110:$C$118)+MIN($D$110:$D$118))/2)</f>
        <v>0</v>
      </c>
      <c r="AV118">
        <f>IF(COUNT($E$2:$E118)&lt;26,"",(MAX($C$93:$C$118)+MIN($D$93:$D$118))/2)</f>
        <v>0</v>
      </c>
      <c r="AW118">
        <f>IF(OR(AU118="",AV118=""),"",(AU118+AV118)/2)</f>
        <v>0</v>
      </c>
      <c r="AX118">
        <f>IF(COUNT($E$2:$E118)&lt;52,"",(MAX($C$67:$C$118)+MIN($D$67:$D$118))/2)</f>
        <v>0</v>
      </c>
      <c r="AY118">
        <f>IF(COUNT($E$2:$E118)&lt;20,"",MAX($C$19:$C$118))</f>
        <v>0</v>
      </c>
      <c r="AZ118">
        <f>IF(COUNT($E$2:$E118)&lt;20,"",MIN($D$19:$D$118))</f>
        <v>0</v>
      </c>
      <c r="BA118">
        <f>IF(COUNT($E$2:$E118)&lt;20,"",SLOPE($E$19:$E$118,$F$19:$F$118))</f>
        <v>0</v>
      </c>
      <c r="BB118">
        <f>IF(COUNT($E$2:$E118)&lt;20,"",INTERCEPT($E$19:$E$118,$F$19:$F$118))</f>
        <v>0</v>
      </c>
      <c r="BC118">
        <f>IF(OR(BA118="",BB118=""),"",BB118+BA118*F118)</f>
        <v>0</v>
      </c>
      <c r="BD118">
        <f>IF(COUNT($E$2:$E118)&lt;20,"",STEYX($E$19:$E$118,$F$19:$F$118))</f>
        <v>0</v>
      </c>
      <c r="BE118">
        <f>IF($E118="","",IF(AND(COUNT($E$119:$E$122)&gt;=4,$C118=MAX($C$114:$C$122)),$C118,""))</f>
        <v>0</v>
      </c>
      <c r="BF118">
        <f>IF($E118="","",IF(AND(COUNT($E$119:$E$122)&gt;=4,$D118=MIN($D$114:$D$122)),$D118,""))</f>
        <v>0</v>
      </c>
      <c r="BG118">
        <f>IFERROR(SMALL(Calc_Daily!$BM$2:$BM$2001,117),"")</f>
        <v>0</v>
      </c>
    </row>
    <row r="119" spans="1:59">
      <c r="A119" s="27">
        <f>IF($BG119="","",INDEX(Calc_Daily!$A$2:$A$2001,$BG119))</f>
        <v>0</v>
      </c>
      <c r="B119">
        <f>IF($BG119="","",INDEX(Calc_Daily!$BJ$2:$BJ$2001,$BG119))</f>
        <v>0</v>
      </c>
      <c r="C119">
        <f>IF($BG119="","",INDEX(Calc_Daily!$BK$2:$BK$2001,$BG119))</f>
        <v>0</v>
      </c>
      <c r="D119">
        <f>IF($BG119="","",INDEX(Calc_Daily!$BL$2:$BL$2001,$BG119))</f>
        <v>0</v>
      </c>
      <c r="E119">
        <f>IF($BG119="","",INDEX(Calc_Daily!$E$2:$E$2001,$BG119))</f>
        <v>0</v>
      </c>
      <c r="F119">
        <f>IF($E119="","",N(F118)+1)</f>
        <v>0</v>
      </c>
      <c r="G119">
        <f>IF(OR($E119="",$E118=""),"",LN($E119/$E118))</f>
        <v>0</v>
      </c>
      <c r="H119">
        <f>IF($E119="","",IF($E118="",$E119,$E119*0.0952380952+H118*0.9047619048))</f>
        <v>0</v>
      </c>
      <c r="I119">
        <f>IF($E119="","",IF($E118="",$E119,$E119*0.0392156863+I118*0.9607843137))</f>
        <v>0</v>
      </c>
      <c r="J119">
        <f>IF($E119="","",IF($E118="",$E119,$E119*0.0198019802+J118*0.9801980198))</f>
        <v>0</v>
      </c>
      <c r="K119">
        <f>IF($E119="","",IF($E118="",$E119,$E119*0.0099502488+K118*0.9900497512))</f>
        <v>0</v>
      </c>
      <c r="L119">
        <f>IF(OR($E119="",$E118=""),"",MAX($E119-$E118,0))</f>
        <v>0</v>
      </c>
      <c r="M119">
        <f>IF(OR($E119="",$E118=""),"",MAX($E118-$E119,0))</f>
        <v>0</v>
      </c>
      <c r="N119">
        <f>IF(COUNT($E$2:$E119)&lt;15,"",IF(AVERAGE($M$106:$M$119)=0,100,100-100/(1+AVERAGE($L$106:$L$119)/AVERAGE($M$106:$M$119))))</f>
        <v>0</v>
      </c>
      <c r="O119">
        <f>IF($E119="","",IF($E118="",$E119,$E119*0.1538461538+O118*0.8461538462))</f>
        <v>0</v>
      </c>
      <c r="P119">
        <f>IF($E119="","",IF($E118="",$E119,$E119*0.0740740741+P118*0.9259259259))</f>
        <v>0</v>
      </c>
      <c r="Q119">
        <f>IF(OR(O119="",P119=""),"",O119-P119)</f>
        <v>0</v>
      </c>
      <c r="R119">
        <f>IF(Q119="","",IF(R118="",Q119,Q119*0.2000000000+R118*0.8000000000))</f>
        <v>0</v>
      </c>
      <c r="S119">
        <f>IF(OR(Q119="",R119=""),"",Q119-R119)</f>
        <v>0</v>
      </c>
      <c r="T119">
        <f>IF(COUNT($E$2:$E119)&lt;14,"",MAX($C$106:$C$119))</f>
        <v>0</v>
      </c>
      <c r="U119">
        <f>IF(COUNT($E$2:$E119)&lt;14,"",MIN($D$106:$D$119))</f>
        <v>0</v>
      </c>
      <c r="V119">
        <f>IF(OR(T119="",U119="",T119=U119),"",100*($E119-U119)/(T119-U119))</f>
        <v>0</v>
      </c>
      <c r="W119">
        <f>IF(COUNT($V$117:$V$119)&lt;3,"",AVERAGE($V$117:$V$119))</f>
        <v>0</v>
      </c>
      <c r="X119">
        <f>IF(COUNT($N$106:$N$119)&lt;14,"",MIN($N$106:$N$119))</f>
        <v>0</v>
      </c>
      <c r="Y119">
        <f>IF(COUNT($N$106:$N$119)&lt;14,"",MAX($N$106:$N$119))</f>
        <v>0</v>
      </c>
      <c r="Z119">
        <f>IF(OR(N119="",X119="",Y119="",Y119=X119),"",100*(N119-X119)/(Y119-X119))</f>
        <v>0</v>
      </c>
      <c r="AA119">
        <f>IF(COUNT($Z$117:$Z$119)&lt;3,"",AVERAGE($Z$117:$Z$119))</f>
        <v>0</v>
      </c>
      <c r="AB119">
        <f>IF(COUNT($AA$117:$AA$119)&lt;3,"",AVERAGE($AA$117:$AA$119))</f>
        <v>0</v>
      </c>
      <c r="AC119">
        <f>IF($E119="","",MAX($C119-$D119,ABS($C119-$E118),ABS($D119-$E118)))</f>
        <v>0</v>
      </c>
      <c r="AD119">
        <f>IF(COUNT($E$2:$E119)&lt;15,"",AVERAGE($AC$106:$AC$119))</f>
        <v>0</v>
      </c>
      <c r="AE119">
        <f>IF(OR($E119="",$E118=""),"",IF(AND(($C119-$C118)&gt;($D118-$D119),($C119-$C118)&gt;0),$C119-$C118,0))</f>
        <v>0</v>
      </c>
      <c r="AF119">
        <f>IF(OR($E119="",$E118=""),"",IF(AND(($D118-$D119)&gt;($C119-$C118),($D118-$D119)&gt;0),$D118-$D119,0))</f>
        <v>0</v>
      </c>
      <c r="AG119">
        <f>IF(COUNT($E$2:$E119)&lt;15,"",IF(SUM($AC$106:$AC$119)=0,0,100*SUM($AE$106:$AE$119)/SUM($AC$106:$AC$119)))</f>
        <v>0</v>
      </c>
      <c r="AH119">
        <f>IF(COUNT($E$2:$E119)&lt;15,"",IF(SUM($AC$106:$AC$119)=0,0,100*SUM($AF$106:$AF$119)/SUM($AC$106:$AC$119)))</f>
        <v>0</v>
      </c>
      <c r="AI119">
        <f>IF(OR(AG119="",AH119=""),"",IF((AG119+AH119)=0,0,100*ABS(AG119-AH119)/(AG119+AH119)))</f>
        <v>0</v>
      </c>
      <c r="AJ119">
        <f>IF(COUNT($AI$106:$AI$119)&lt;14,"",AVERAGE($AI$106:$AI$119))</f>
        <v>0</v>
      </c>
      <c r="AK119">
        <f>IF(COUNT($E$2:$E119)&lt;20,"",AVERAGE($E$100:$E$119))</f>
        <v>0</v>
      </c>
      <c r="AL119">
        <f>IF(COUNT($E$2:$E119)&lt;20,"",STDEVP($E$100:$E$119))</f>
        <v>0</v>
      </c>
      <c r="AM119">
        <f>IF(AK119="","",AK119+2*AL119)</f>
        <v>0</v>
      </c>
      <c r="AN119">
        <f>IF(AK119="","",AK119-2*AL119)</f>
        <v>0</v>
      </c>
      <c r="AO119">
        <f>IF(OR(AM119="",AN119="",AM119=AN119),"",($E119-AN119)/(AM119-AN119))</f>
        <v>0</v>
      </c>
      <c r="AP119">
        <f>IF(OR(AM119="",AK119="",AK119=0),"",(AM119-AN119)/AK119)</f>
        <v>0</v>
      </c>
      <c r="AQ119">
        <f>IF(COUNT($E$2:$E119)&lt;20,"",MAX($C$100:$C$119))</f>
        <v>0</v>
      </c>
      <c r="AR119">
        <f>IF(COUNT($E$2:$E119)&lt;20,"",MIN($D$100:$D$119))</f>
        <v>0</v>
      </c>
      <c r="AS119">
        <f>IF(OR(AQ119="",AR119=""),"",(AQ119+AR119)/2)</f>
        <v>0</v>
      </c>
      <c r="AT119">
        <f>IF(COUNT($G$100:$G$119)&lt;20,"",STDEV($G$100:$G$119)*SQRT(52))</f>
        <v>0</v>
      </c>
      <c r="AU119">
        <f>IF(COUNT($E$2:$E119)&lt;9,"",(MAX($C$111:$C$119)+MIN($D$111:$D$119))/2)</f>
        <v>0</v>
      </c>
      <c r="AV119">
        <f>IF(COUNT($E$2:$E119)&lt;26,"",(MAX($C$94:$C$119)+MIN($D$94:$D$119))/2)</f>
        <v>0</v>
      </c>
      <c r="AW119">
        <f>IF(OR(AU119="",AV119=""),"",(AU119+AV119)/2)</f>
        <v>0</v>
      </c>
      <c r="AX119">
        <f>IF(COUNT($E$2:$E119)&lt;52,"",(MAX($C$68:$C$119)+MIN($D$68:$D$119))/2)</f>
        <v>0</v>
      </c>
      <c r="AY119">
        <f>IF(COUNT($E$2:$E119)&lt;20,"",MAX($C$20:$C$119))</f>
        <v>0</v>
      </c>
      <c r="AZ119">
        <f>IF(COUNT($E$2:$E119)&lt;20,"",MIN($D$20:$D$119))</f>
        <v>0</v>
      </c>
      <c r="BA119">
        <f>IF(COUNT($E$2:$E119)&lt;20,"",SLOPE($E$20:$E$119,$F$20:$F$119))</f>
        <v>0</v>
      </c>
      <c r="BB119">
        <f>IF(COUNT($E$2:$E119)&lt;20,"",INTERCEPT($E$20:$E$119,$F$20:$F$119))</f>
        <v>0</v>
      </c>
      <c r="BC119">
        <f>IF(OR(BA119="",BB119=""),"",BB119+BA119*F119)</f>
        <v>0</v>
      </c>
      <c r="BD119">
        <f>IF(COUNT($E$2:$E119)&lt;20,"",STEYX($E$20:$E$119,$F$20:$F$119))</f>
        <v>0</v>
      </c>
      <c r="BE119">
        <f>IF($E119="","",IF(AND(COUNT($E$120:$E$123)&gt;=4,$C119=MAX($C$115:$C$123)),$C119,""))</f>
        <v>0</v>
      </c>
      <c r="BF119">
        <f>IF($E119="","",IF(AND(COUNT($E$120:$E$123)&gt;=4,$D119=MIN($D$115:$D$123)),$D119,""))</f>
        <v>0</v>
      </c>
      <c r="BG119">
        <f>IFERROR(SMALL(Calc_Daily!$BM$2:$BM$2001,118),"")</f>
        <v>0</v>
      </c>
    </row>
    <row r="120" spans="1:59">
      <c r="A120" s="27">
        <f>IF($BG120="","",INDEX(Calc_Daily!$A$2:$A$2001,$BG120))</f>
        <v>0</v>
      </c>
      <c r="B120">
        <f>IF($BG120="","",INDEX(Calc_Daily!$BJ$2:$BJ$2001,$BG120))</f>
        <v>0</v>
      </c>
      <c r="C120">
        <f>IF($BG120="","",INDEX(Calc_Daily!$BK$2:$BK$2001,$BG120))</f>
        <v>0</v>
      </c>
      <c r="D120">
        <f>IF($BG120="","",INDEX(Calc_Daily!$BL$2:$BL$2001,$BG120))</f>
        <v>0</v>
      </c>
      <c r="E120">
        <f>IF($BG120="","",INDEX(Calc_Daily!$E$2:$E$2001,$BG120))</f>
        <v>0</v>
      </c>
      <c r="F120">
        <f>IF($E120="","",N(F119)+1)</f>
        <v>0</v>
      </c>
      <c r="G120">
        <f>IF(OR($E120="",$E119=""),"",LN($E120/$E119))</f>
        <v>0</v>
      </c>
      <c r="H120">
        <f>IF($E120="","",IF($E119="",$E120,$E120*0.0952380952+H119*0.9047619048))</f>
        <v>0</v>
      </c>
      <c r="I120">
        <f>IF($E120="","",IF($E119="",$E120,$E120*0.0392156863+I119*0.9607843137))</f>
        <v>0</v>
      </c>
      <c r="J120">
        <f>IF($E120="","",IF($E119="",$E120,$E120*0.0198019802+J119*0.9801980198))</f>
        <v>0</v>
      </c>
      <c r="K120">
        <f>IF($E120="","",IF($E119="",$E120,$E120*0.0099502488+K119*0.9900497512))</f>
        <v>0</v>
      </c>
      <c r="L120">
        <f>IF(OR($E120="",$E119=""),"",MAX($E120-$E119,0))</f>
        <v>0</v>
      </c>
      <c r="M120">
        <f>IF(OR($E120="",$E119=""),"",MAX($E119-$E120,0))</f>
        <v>0</v>
      </c>
      <c r="N120">
        <f>IF(COUNT($E$2:$E120)&lt;15,"",IF(AVERAGE($M$107:$M$120)=0,100,100-100/(1+AVERAGE($L$107:$L$120)/AVERAGE($M$107:$M$120))))</f>
        <v>0</v>
      </c>
      <c r="O120">
        <f>IF($E120="","",IF($E119="",$E120,$E120*0.1538461538+O119*0.8461538462))</f>
        <v>0</v>
      </c>
      <c r="P120">
        <f>IF($E120="","",IF($E119="",$E120,$E120*0.0740740741+P119*0.9259259259))</f>
        <v>0</v>
      </c>
      <c r="Q120">
        <f>IF(OR(O120="",P120=""),"",O120-P120)</f>
        <v>0</v>
      </c>
      <c r="R120">
        <f>IF(Q120="","",IF(R119="",Q120,Q120*0.2000000000+R119*0.8000000000))</f>
        <v>0</v>
      </c>
      <c r="S120">
        <f>IF(OR(Q120="",R120=""),"",Q120-R120)</f>
        <v>0</v>
      </c>
      <c r="T120">
        <f>IF(COUNT($E$2:$E120)&lt;14,"",MAX($C$107:$C$120))</f>
        <v>0</v>
      </c>
      <c r="U120">
        <f>IF(COUNT($E$2:$E120)&lt;14,"",MIN($D$107:$D$120))</f>
        <v>0</v>
      </c>
      <c r="V120">
        <f>IF(OR(T120="",U120="",T120=U120),"",100*($E120-U120)/(T120-U120))</f>
        <v>0</v>
      </c>
      <c r="W120">
        <f>IF(COUNT($V$118:$V$120)&lt;3,"",AVERAGE($V$118:$V$120))</f>
        <v>0</v>
      </c>
      <c r="X120">
        <f>IF(COUNT($N$107:$N$120)&lt;14,"",MIN($N$107:$N$120))</f>
        <v>0</v>
      </c>
      <c r="Y120">
        <f>IF(COUNT($N$107:$N$120)&lt;14,"",MAX($N$107:$N$120))</f>
        <v>0</v>
      </c>
      <c r="Z120">
        <f>IF(OR(N120="",X120="",Y120="",Y120=X120),"",100*(N120-X120)/(Y120-X120))</f>
        <v>0</v>
      </c>
      <c r="AA120">
        <f>IF(COUNT($Z$118:$Z$120)&lt;3,"",AVERAGE($Z$118:$Z$120))</f>
        <v>0</v>
      </c>
      <c r="AB120">
        <f>IF(COUNT($AA$118:$AA$120)&lt;3,"",AVERAGE($AA$118:$AA$120))</f>
        <v>0</v>
      </c>
      <c r="AC120">
        <f>IF($E120="","",MAX($C120-$D120,ABS($C120-$E119),ABS($D120-$E119)))</f>
        <v>0</v>
      </c>
      <c r="AD120">
        <f>IF(COUNT($E$2:$E120)&lt;15,"",AVERAGE($AC$107:$AC$120))</f>
        <v>0</v>
      </c>
      <c r="AE120">
        <f>IF(OR($E120="",$E119=""),"",IF(AND(($C120-$C119)&gt;($D119-$D120),($C120-$C119)&gt;0),$C120-$C119,0))</f>
        <v>0</v>
      </c>
      <c r="AF120">
        <f>IF(OR($E120="",$E119=""),"",IF(AND(($D119-$D120)&gt;($C120-$C119),($D119-$D120)&gt;0),$D119-$D120,0))</f>
        <v>0</v>
      </c>
      <c r="AG120">
        <f>IF(COUNT($E$2:$E120)&lt;15,"",IF(SUM($AC$107:$AC$120)=0,0,100*SUM($AE$107:$AE$120)/SUM($AC$107:$AC$120)))</f>
        <v>0</v>
      </c>
      <c r="AH120">
        <f>IF(COUNT($E$2:$E120)&lt;15,"",IF(SUM($AC$107:$AC$120)=0,0,100*SUM($AF$107:$AF$120)/SUM($AC$107:$AC$120)))</f>
        <v>0</v>
      </c>
      <c r="AI120">
        <f>IF(OR(AG120="",AH120=""),"",IF((AG120+AH120)=0,0,100*ABS(AG120-AH120)/(AG120+AH120)))</f>
        <v>0</v>
      </c>
      <c r="AJ120">
        <f>IF(COUNT($AI$107:$AI$120)&lt;14,"",AVERAGE($AI$107:$AI$120))</f>
        <v>0</v>
      </c>
      <c r="AK120">
        <f>IF(COUNT($E$2:$E120)&lt;20,"",AVERAGE($E$101:$E$120))</f>
        <v>0</v>
      </c>
      <c r="AL120">
        <f>IF(COUNT($E$2:$E120)&lt;20,"",STDEVP($E$101:$E$120))</f>
        <v>0</v>
      </c>
      <c r="AM120">
        <f>IF(AK120="","",AK120+2*AL120)</f>
        <v>0</v>
      </c>
      <c r="AN120">
        <f>IF(AK120="","",AK120-2*AL120)</f>
        <v>0</v>
      </c>
      <c r="AO120">
        <f>IF(OR(AM120="",AN120="",AM120=AN120),"",($E120-AN120)/(AM120-AN120))</f>
        <v>0</v>
      </c>
      <c r="AP120">
        <f>IF(OR(AM120="",AK120="",AK120=0),"",(AM120-AN120)/AK120)</f>
        <v>0</v>
      </c>
      <c r="AQ120">
        <f>IF(COUNT($E$2:$E120)&lt;20,"",MAX($C$101:$C$120))</f>
        <v>0</v>
      </c>
      <c r="AR120">
        <f>IF(COUNT($E$2:$E120)&lt;20,"",MIN($D$101:$D$120))</f>
        <v>0</v>
      </c>
      <c r="AS120">
        <f>IF(OR(AQ120="",AR120=""),"",(AQ120+AR120)/2)</f>
        <v>0</v>
      </c>
      <c r="AT120">
        <f>IF(COUNT($G$101:$G$120)&lt;20,"",STDEV($G$101:$G$120)*SQRT(52))</f>
        <v>0</v>
      </c>
      <c r="AU120">
        <f>IF(COUNT($E$2:$E120)&lt;9,"",(MAX($C$112:$C$120)+MIN($D$112:$D$120))/2)</f>
        <v>0</v>
      </c>
      <c r="AV120">
        <f>IF(COUNT($E$2:$E120)&lt;26,"",(MAX($C$95:$C$120)+MIN($D$95:$D$120))/2)</f>
        <v>0</v>
      </c>
      <c r="AW120">
        <f>IF(OR(AU120="",AV120=""),"",(AU120+AV120)/2)</f>
        <v>0</v>
      </c>
      <c r="AX120">
        <f>IF(COUNT($E$2:$E120)&lt;52,"",(MAX($C$69:$C$120)+MIN($D$69:$D$120))/2)</f>
        <v>0</v>
      </c>
      <c r="AY120">
        <f>IF(COUNT($E$2:$E120)&lt;20,"",MAX($C$21:$C$120))</f>
        <v>0</v>
      </c>
      <c r="AZ120">
        <f>IF(COUNT($E$2:$E120)&lt;20,"",MIN($D$21:$D$120))</f>
        <v>0</v>
      </c>
      <c r="BA120">
        <f>IF(COUNT($E$2:$E120)&lt;20,"",SLOPE($E$21:$E$120,$F$21:$F$120))</f>
        <v>0</v>
      </c>
      <c r="BB120">
        <f>IF(COUNT($E$2:$E120)&lt;20,"",INTERCEPT($E$21:$E$120,$F$21:$F$120))</f>
        <v>0</v>
      </c>
      <c r="BC120">
        <f>IF(OR(BA120="",BB120=""),"",BB120+BA120*F120)</f>
        <v>0</v>
      </c>
      <c r="BD120">
        <f>IF(COUNT($E$2:$E120)&lt;20,"",STEYX($E$21:$E$120,$F$21:$F$120))</f>
        <v>0</v>
      </c>
      <c r="BE120">
        <f>IF($E120="","",IF(AND(COUNT($E$121:$E$124)&gt;=4,$C120=MAX($C$116:$C$124)),$C120,""))</f>
        <v>0</v>
      </c>
      <c r="BF120">
        <f>IF($E120="","",IF(AND(COUNT($E$121:$E$124)&gt;=4,$D120=MIN($D$116:$D$124)),$D120,""))</f>
        <v>0</v>
      </c>
      <c r="BG120">
        <f>IFERROR(SMALL(Calc_Daily!$BM$2:$BM$2001,119),"")</f>
        <v>0</v>
      </c>
    </row>
    <row r="121" spans="1:59">
      <c r="A121" s="27">
        <f>IF($BG121="","",INDEX(Calc_Daily!$A$2:$A$2001,$BG121))</f>
        <v>0</v>
      </c>
      <c r="B121">
        <f>IF($BG121="","",INDEX(Calc_Daily!$BJ$2:$BJ$2001,$BG121))</f>
        <v>0</v>
      </c>
      <c r="C121">
        <f>IF($BG121="","",INDEX(Calc_Daily!$BK$2:$BK$2001,$BG121))</f>
        <v>0</v>
      </c>
      <c r="D121">
        <f>IF($BG121="","",INDEX(Calc_Daily!$BL$2:$BL$2001,$BG121))</f>
        <v>0</v>
      </c>
      <c r="E121">
        <f>IF($BG121="","",INDEX(Calc_Daily!$E$2:$E$2001,$BG121))</f>
        <v>0</v>
      </c>
      <c r="F121">
        <f>IF($E121="","",N(F120)+1)</f>
        <v>0</v>
      </c>
      <c r="G121">
        <f>IF(OR($E121="",$E120=""),"",LN($E121/$E120))</f>
        <v>0</v>
      </c>
      <c r="H121">
        <f>IF($E121="","",IF($E120="",$E121,$E121*0.0952380952+H120*0.9047619048))</f>
        <v>0</v>
      </c>
      <c r="I121">
        <f>IF($E121="","",IF($E120="",$E121,$E121*0.0392156863+I120*0.9607843137))</f>
        <v>0</v>
      </c>
      <c r="J121">
        <f>IF($E121="","",IF($E120="",$E121,$E121*0.0198019802+J120*0.9801980198))</f>
        <v>0</v>
      </c>
      <c r="K121">
        <f>IF($E121="","",IF($E120="",$E121,$E121*0.0099502488+K120*0.9900497512))</f>
        <v>0</v>
      </c>
      <c r="L121">
        <f>IF(OR($E121="",$E120=""),"",MAX($E121-$E120,0))</f>
        <v>0</v>
      </c>
      <c r="M121">
        <f>IF(OR($E121="",$E120=""),"",MAX($E120-$E121,0))</f>
        <v>0</v>
      </c>
      <c r="N121">
        <f>IF(COUNT($E$2:$E121)&lt;15,"",IF(AVERAGE($M$108:$M$121)=0,100,100-100/(1+AVERAGE($L$108:$L$121)/AVERAGE($M$108:$M$121))))</f>
        <v>0</v>
      </c>
      <c r="O121">
        <f>IF($E121="","",IF($E120="",$E121,$E121*0.1538461538+O120*0.8461538462))</f>
        <v>0</v>
      </c>
      <c r="P121">
        <f>IF($E121="","",IF($E120="",$E121,$E121*0.0740740741+P120*0.9259259259))</f>
        <v>0</v>
      </c>
      <c r="Q121">
        <f>IF(OR(O121="",P121=""),"",O121-P121)</f>
        <v>0</v>
      </c>
      <c r="R121">
        <f>IF(Q121="","",IF(R120="",Q121,Q121*0.2000000000+R120*0.8000000000))</f>
        <v>0</v>
      </c>
      <c r="S121">
        <f>IF(OR(Q121="",R121=""),"",Q121-R121)</f>
        <v>0</v>
      </c>
      <c r="T121">
        <f>IF(COUNT($E$2:$E121)&lt;14,"",MAX($C$108:$C$121))</f>
        <v>0</v>
      </c>
      <c r="U121">
        <f>IF(COUNT($E$2:$E121)&lt;14,"",MIN($D$108:$D$121))</f>
        <v>0</v>
      </c>
      <c r="V121">
        <f>IF(OR(T121="",U121="",T121=U121),"",100*($E121-U121)/(T121-U121))</f>
        <v>0</v>
      </c>
      <c r="W121">
        <f>IF(COUNT($V$119:$V$121)&lt;3,"",AVERAGE($V$119:$V$121))</f>
        <v>0</v>
      </c>
      <c r="X121">
        <f>IF(COUNT($N$108:$N$121)&lt;14,"",MIN($N$108:$N$121))</f>
        <v>0</v>
      </c>
      <c r="Y121">
        <f>IF(COUNT($N$108:$N$121)&lt;14,"",MAX($N$108:$N$121))</f>
        <v>0</v>
      </c>
      <c r="Z121">
        <f>IF(OR(N121="",X121="",Y121="",Y121=X121),"",100*(N121-X121)/(Y121-X121))</f>
        <v>0</v>
      </c>
      <c r="AA121">
        <f>IF(COUNT($Z$119:$Z$121)&lt;3,"",AVERAGE($Z$119:$Z$121))</f>
        <v>0</v>
      </c>
      <c r="AB121">
        <f>IF(COUNT($AA$119:$AA$121)&lt;3,"",AVERAGE($AA$119:$AA$121))</f>
        <v>0</v>
      </c>
      <c r="AC121">
        <f>IF($E121="","",MAX($C121-$D121,ABS($C121-$E120),ABS($D121-$E120)))</f>
        <v>0</v>
      </c>
      <c r="AD121">
        <f>IF(COUNT($E$2:$E121)&lt;15,"",AVERAGE($AC$108:$AC$121))</f>
        <v>0</v>
      </c>
      <c r="AE121">
        <f>IF(OR($E121="",$E120=""),"",IF(AND(($C121-$C120)&gt;($D120-$D121),($C121-$C120)&gt;0),$C121-$C120,0))</f>
        <v>0</v>
      </c>
      <c r="AF121">
        <f>IF(OR($E121="",$E120=""),"",IF(AND(($D120-$D121)&gt;($C121-$C120),($D120-$D121)&gt;0),$D120-$D121,0))</f>
        <v>0</v>
      </c>
      <c r="AG121">
        <f>IF(COUNT($E$2:$E121)&lt;15,"",IF(SUM($AC$108:$AC$121)=0,0,100*SUM($AE$108:$AE$121)/SUM($AC$108:$AC$121)))</f>
        <v>0</v>
      </c>
      <c r="AH121">
        <f>IF(COUNT($E$2:$E121)&lt;15,"",IF(SUM($AC$108:$AC$121)=0,0,100*SUM($AF$108:$AF$121)/SUM($AC$108:$AC$121)))</f>
        <v>0</v>
      </c>
      <c r="AI121">
        <f>IF(OR(AG121="",AH121=""),"",IF((AG121+AH121)=0,0,100*ABS(AG121-AH121)/(AG121+AH121)))</f>
        <v>0</v>
      </c>
      <c r="AJ121">
        <f>IF(COUNT($AI$108:$AI$121)&lt;14,"",AVERAGE($AI$108:$AI$121))</f>
        <v>0</v>
      </c>
      <c r="AK121">
        <f>IF(COUNT($E$2:$E121)&lt;20,"",AVERAGE($E$102:$E$121))</f>
        <v>0</v>
      </c>
      <c r="AL121">
        <f>IF(COUNT($E$2:$E121)&lt;20,"",STDEVP($E$102:$E$121))</f>
        <v>0</v>
      </c>
      <c r="AM121">
        <f>IF(AK121="","",AK121+2*AL121)</f>
        <v>0</v>
      </c>
      <c r="AN121">
        <f>IF(AK121="","",AK121-2*AL121)</f>
        <v>0</v>
      </c>
      <c r="AO121">
        <f>IF(OR(AM121="",AN121="",AM121=AN121),"",($E121-AN121)/(AM121-AN121))</f>
        <v>0</v>
      </c>
      <c r="AP121">
        <f>IF(OR(AM121="",AK121="",AK121=0),"",(AM121-AN121)/AK121)</f>
        <v>0</v>
      </c>
      <c r="AQ121">
        <f>IF(COUNT($E$2:$E121)&lt;20,"",MAX($C$102:$C$121))</f>
        <v>0</v>
      </c>
      <c r="AR121">
        <f>IF(COUNT($E$2:$E121)&lt;20,"",MIN($D$102:$D$121))</f>
        <v>0</v>
      </c>
      <c r="AS121">
        <f>IF(OR(AQ121="",AR121=""),"",(AQ121+AR121)/2)</f>
        <v>0</v>
      </c>
      <c r="AT121">
        <f>IF(COUNT($G$102:$G$121)&lt;20,"",STDEV($G$102:$G$121)*SQRT(52))</f>
        <v>0</v>
      </c>
      <c r="AU121">
        <f>IF(COUNT($E$2:$E121)&lt;9,"",(MAX($C$113:$C$121)+MIN($D$113:$D$121))/2)</f>
        <v>0</v>
      </c>
      <c r="AV121">
        <f>IF(COUNT($E$2:$E121)&lt;26,"",(MAX($C$96:$C$121)+MIN($D$96:$D$121))/2)</f>
        <v>0</v>
      </c>
      <c r="AW121">
        <f>IF(OR(AU121="",AV121=""),"",(AU121+AV121)/2)</f>
        <v>0</v>
      </c>
      <c r="AX121">
        <f>IF(COUNT($E$2:$E121)&lt;52,"",(MAX($C$70:$C$121)+MIN($D$70:$D$121))/2)</f>
        <v>0</v>
      </c>
      <c r="AY121">
        <f>IF(COUNT($E$2:$E121)&lt;20,"",MAX($C$22:$C$121))</f>
        <v>0</v>
      </c>
      <c r="AZ121">
        <f>IF(COUNT($E$2:$E121)&lt;20,"",MIN($D$22:$D$121))</f>
        <v>0</v>
      </c>
      <c r="BA121">
        <f>IF(COUNT($E$2:$E121)&lt;20,"",SLOPE($E$22:$E$121,$F$22:$F$121))</f>
        <v>0</v>
      </c>
      <c r="BB121">
        <f>IF(COUNT($E$2:$E121)&lt;20,"",INTERCEPT($E$22:$E$121,$F$22:$F$121))</f>
        <v>0</v>
      </c>
      <c r="BC121">
        <f>IF(OR(BA121="",BB121=""),"",BB121+BA121*F121)</f>
        <v>0</v>
      </c>
      <c r="BD121">
        <f>IF(COUNT($E$2:$E121)&lt;20,"",STEYX($E$22:$E$121,$F$22:$F$121))</f>
        <v>0</v>
      </c>
      <c r="BE121">
        <f>IF($E121="","",IF(AND(COUNT($E$122:$E$125)&gt;=4,$C121=MAX($C$117:$C$125)),$C121,""))</f>
        <v>0</v>
      </c>
      <c r="BF121">
        <f>IF($E121="","",IF(AND(COUNT($E$122:$E$125)&gt;=4,$D121=MIN($D$117:$D$125)),$D121,""))</f>
        <v>0</v>
      </c>
      <c r="BG121">
        <f>IFERROR(SMALL(Calc_Daily!$BM$2:$BM$2001,120),"")</f>
        <v>0</v>
      </c>
    </row>
    <row r="122" spans="1:59">
      <c r="A122" s="27">
        <f>IF($BG122="","",INDEX(Calc_Daily!$A$2:$A$2001,$BG122))</f>
        <v>0</v>
      </c>
      <c r="B122">
        <f>IF($BG122="","",INDEX(Calc_Daily!$BJ$2:$BJ$2001,$BG122))</f>
        <v>0</v>
      </c>
      <c r="C122">
        <f>IF($BG122="","",INDEX(Calc_Daily!$BK$2:$BK$2001,$BG122))</f>
        <v>0</v>
      </c>
      <c r="D122">
        <f>IF($BG122="","",INDEX(Calc_Daily!$BL$2:$BL$2001,$BG122))</f>
        <v>0</v>
      </c>
      <c r="E122">
        <f>IF($BG122="","",INDEX(Calc_Daily!$E$2:$E$2001,$BG122))</f>
        <v>0</v>
      </c>
      <c r="F122">
        <f>IF($E122="","",N(F121)+1)</f>
        <v>0</v>
      </c>
      <c r="G122">
        <f>IF(OR($E122="",$E121=""),"",LN($E122/$E121))</f>
        <v>0</v>
      </c>
      <c r="H122">
        <f>IF($E122="","",IF($E121="",$E122,$E122*0.0952380952+H121*0.9047619048))</f>
        <v>0</v>
      </c>
      <c r="I122">
        <f>IF($E122="","",IF($E121="",$E122,$E122*0.0392156863+I121*0.9607843137))</f>
        <v>0</v>
      </c>
      <c r="J122">
        <f>IF($E122="","",IF($E121="",$E122,$E122*0.0198019802+J121*0.9801980198))</f>
        <v>0</v>
      </c>
      <c r="K122">
        <f>IF($E122="","",IF($E121="",$E122,$E122*0.0099502488+K121*0.9900497512))</f>
        <v>0</v>
      </c>
      <c r="L122">
        <f>IF(OR($E122="",$E121=""),"",MAX($E122-$E121,0))</f>
        <v>0</v>
      </c>
      <c r="M122">
        <f>IF(OR($E122="",$E121=""),"",MAX($E121-$E122,0))</f>
        <v>0</v>
      </c>
      <c r="N122">
        <f>IF(COUNT($E$2:$E122)&lt;15,"",IF(AVERAGE($M$109:$M$122)=0,100,100-100/(1+AVERAGE($L$109:$L$122)/AVERAGE($M$109:$M$122))))</f>
        <v>0</v>
      </c>
      <c r="O122">
        <f>IF($E122="","",IF($E121="",$E122,$E122*0.1538461538+O121*0.8461538462))</f>
        <v>0</v>
      </c>
      <c r="P122">
        <f>IF($E122="","",IF($E121="",$E122,$E122*0.0740740741+P121*0.9259259259))</f>
        <v>0</v>
      </c>
      <c r="Q122">
        <f>IF(OR(O122="",P122=""),"",O122-P122)</f>
        <v>0</v>
      </c>
      <c r="R122">
        <f>IF(Q122="","",IF(R121="",Q122,Q122*0.2000000000+R121*0.8000000000))</f>
        <v>0</v>
      </c>
      <c r="S122">
        <f>IF(OR(Q122="",R122=""),"",Q122-R122)</f>
        <v>0</v>
      </c>
      <c r="T122">
        <f>IF(COUNT($E$2:$E122)&lt;14,"",MAX($C$109:$C$122))</f>
        <v>0</v>
      </c>
      <c r="U122">
        <f>IF(COUNT($E$2:$E122)&lt;14,"",MIN($D$109:$D$122))</f>
        <v>0</v>
      </c>
      <c r="V122">
        <f>IF(OR(T122="",U122="",T122=U122),"",100*($E122-U122)/(T122-U122))</f>
        <v>0</v>
      </c>
      <c r="W122">
        <f>IF(COUNT($V$120:$V$122)&lt;3,"",AVERAGE($V$120:$V$122))</f>
        <v>0</v>
      </c>
      <c r="X122">
        <f>IF(COUNT($N$109:$N$122)&lt;14,"",MIN($N$109:$N$122))</f>
        <v>0</v>
      </c>
      <c r="Y122">
        <f>IF(COUNT($N$109:$N$122)&lt;14,"",MAX($N$109:$N$122))</f>
        <v>0</v>
      </c>
      <c r="Z122">
        <f>IF(OR(N122="",X122="",Y122="",Y122=X122),"",100*(N122-X122)/(Y122-X122))</f>
        <v>0</v>
      </c>
      <c r="AA122">
        <f>IF(COUNT($Z$120:$Z$122)&lt;3,"",AVERAGE($Z$120:$Z$122))</f>
        <v>0</v>
      </c>
      <c r="AB122">
        <f>IF(COUNT($AA$120:$AA$122)&lt;3,"",AVERAGE($AA$120:$AA$122))</f>
        <v>0</v>
      </c>
      <c r="AC122">
        <f>IF($E122="","",MAX($C122-$D122,ABS($C122-$E121),ABS($D122-$E121)))</f>
        <v>0</v>
      </c>
      <c r="AD122">
        <f>IF(COUNT($E$2:$E122)&lt;15,"",AVERAGE($AC$109:$AC$122))</f>
        <v>0</v>
      </c>
      <c r="AE122">
        <f>IF(OR($E122="",$E121=""),"",IF(AND(($C122-$C121)&gt;($D121-$D122),($C122-$C121)&gt;0),$C122-$C121,0))</f>
        <v>0</v>
      </c>
      <c r="AF122">
        <f>IF(OR($E122="",$E121=""),"",IF(AND(($D121-$D122)&gt;($C122-$C121),($D121-$D122)&gt;0),$D121-$D122,0))</f>
        <v>0</v>
      </c>
      <c r="AG122">
        <f>IF(COUNT($E$2:$E122)&lt;15,"",IF(SUM($AC$109:$AC$122)=0,0,100*SUM($AE$109:$AE$122)/SUM($AC$109:$AC$122)))</f>
        <v>0</v>
      </c>
      <c r="AH122">
        <f>IF(COUNT($E$2:$E122)&lt;15,"",IF(SUM($AC$109:$AC$122)=0,0,100*SUM($AF$109:$AF$122)/SUM($AC$109:$AC$122)))</f>
        <v>0</v>
      </c>
      <c r="AI122">
        <f>IF(OR(AG122="",AH122=""),"",IF((AG122+AH122)=0,0,100*ABS(AG122-AH122)/(AG122+AH122)))</f>
        <v>0</v>
      </c>
      <c r="AJ122">
        <f>IF(COUNT($AI$109:$AI$122)&lt;14,"",AVERAGE($AI$109:$AI$122))</f>
        <v>0</v>
      </c>
      <c r="AK122">
        <f>IF(COUNT($E$2:$E122)&lt;20,"",AVERAGE($E$103:$E$122))</f>
        <v>0</v>
      </c>
      <c r="AL122">
        <f>IF(COUNT($E$2:$E122)&lt;20,"",STDEVP($E$103:$E$122))</f>
        <v>0</v>
      </c>
      <c r="AM122">
        <f>IF(AK122="","",AK122+2*AL122)</f>
        <v>0</v>
      </c>
      <c r="AN122">
        <f>IF(AK122="","",AK122-2*AL122)</f>
        <v>0</v>
      </c>
      <c r="AO122">
        <f>IF(OR(AM122="",AN122="",AM122=AN122),"",($E122-AN122)/(AM122-AN122))</f>
        <v>0</v>
      </c>
      <c r="AP122">
        <f>IF(OR(AM122="",AK122="",AK122=0),"",(AM122-AN122)/AK122)</f>
        <v>0</v>
      </c>
      <c r="AQ122">
        <f>IF(COUNT($E$2:$E122)&lt;20,"",MAX($C$103:$C$122))</f>
        <v>0</v>
      </c>
      <c r="AR122">
        <f>IF(COUNT($E$2:$E122)&lt;20,"",MIN($D$103:$D$122))</f>
        <v>0</v>
      </c>
      <c r="AS122">
        <f>IF(OR(AQ122="",AR122=""),"",(AQ122+AR122)/2)</f>
        <v>0</v>
      </c>
      <c r="AT122">
        <f>IF(COUNT($G$103:$G$122)&lt;20,"",STDEV($G$103:$G$122)*SQRT(52))</f>
        <v>0</v>
      </c>
      <c r="AU122">
        <f>IF(COUNT($E$2:$E122)&lt;9,"",(MAX($C$114:$C$122)+MIN($D$114:$D$122))/2)</f>
        <v>0</v>
      </c>
      <c r="AV122">
        <f>IF(COUNT($E$2:$E122)&lt;26,"",(MAX($C$97:$C$122)+MIN($D$97:$D$122))/2)</f>
        <v>0</v>
      </c>
      <c r="AW122">
        <f>IF(OR(AU122="",AV122=""),"",(AU122+AV122)/2)</f>
        <v>0</v>
      </c>
      <c r="AX122">
        <f>IF(COUNT($E$2:$E122)&lt;52,"",(MAX($C$71:$C$122)+MIN($D$71:$D$122))/2)</f>
        <v>0</v>
      </c>
      <c r="AY122">
        <f>IF(COUNT($E$2:$E122)&lt;20,"",MAX($C$23:$C$122))</f>
        <v>0</v>
      </c>
      <c r="AZ122">
        <f>IF(COUNT($E$2:$E122)&lt;20,"",MIN($D$23:$D$122))</f>
        <v>0</v>
      </c>
      <c r="BA122">
        <f>IF(COUNT($E$2:$E122)&lt;20,"",SLOPE($E$23:$E$122,$F$23:$F$122))</f>
        <v>0</v>
      </c>
      <c r="BB122">
        <f>IF(COUNT($E$2:$E122)&lt;20,"",INTERCEPT($E$23:$E$122,$F$23:$F$122))</f>
        <v>0</v>
      </c>
      <c r="BC122">
        <f>IF(OR(BA122="",BB122=""),"",BB122+BA122*F122)</f>
        <v>0</v>
      </c>
      <c r="BD122">
        <f>IF(COUNT($E$2:$E122)&lt;20,"",STEYX($E$23:$E$122,$F$23:$F$122))</f>
        <v>0</v>
      </c>
      <c r="BE122">
        <f>IF($E122="","",IF(AND(COUNT($E$123:$E$126)&gt;=4,$C122=MAX($C$118:$C$126)),$C122,""))</f>
        <v>0</v>
      </c>
      <c r="BF122">
        <f>IF($E122="","",IF(AND(COUNT($E$123:$E$126)&gt;=4,$D122=MIN($D$118:$D$126)),$D122,""))</f>
        <v>0</v>
      </c>
      <c r="BG122">
        <f>IFERROR(SMALL(Calc_Daily!$BM$2:$BM$2001,121),"")</f>
        <v>0</v>
      </c>
    </row>
    <row r="123" spans="1:59">
      <c r="A123" s="27">
        <f>IF($BG123="","",INDEX(Calc_Daily!$A$2:$A$2001,$BG123))</f>
        <v>0</v>
      </c>
      <c r="B123">
        <f>IF($BG123="","",INDEX(Calc_Daily!$BJ$2:$BJ$2001,$BG123))</f>
        <v>0</v>
      </c>
      <c r="C123">
        <f>IF($BG123="","",INDEX(Calc_Daily!$BK$2:$BK$2001,$BG123))</f>
        <v>0</v>
      </c>
      <c r="D123">
        <f>IF($BG123="","",INDEX(Calc_Daily!$BL$2:$BL$2001,$BG123))</f>
        <v>0</v>
      </c>
      <c r="E123">
        <f>IF($BG123="","",INDEX(Calc_Daily!$E$2:$E$2001,$BG123))</f>
        <v>0</v>
      </c>
      <c r="F123">
        <f>IF($E123="","",N(F122)+1)</f>
        <v>0</v>
      </c>
      <c r="G123">
        <f>IF(OR($E123="",$E122=""),"",LN($E123/$E122))</f>
        <v>0</v>
      </c>
      <c r="H123">
        <f>IF($E123="","",IF($E122="",$E123,$E123*0.0952380952+H122*0.9047619048))</f>
        <v>0</v>
      </c>
      <c r="I123">
        <f>IF($E123="","",IF($E122="",$E123,$E123*0.0392156863+I122*0.9607843137))</f>
        <v>0</v>
      </c>
      <c r="J123">
        <f>IF($E123="","",IF($E122="",$E123,$E123*0.0198019802+J122*0.9801980198))</f>
        <v>0</v>
      </c>
      <c r="K123">
        <f>IF($E123="","",IF($E122="",$E123,$E123*0.0099502488+K122*0.9900497512))</f>
        <v>0</v>
      </c>
      <c r="L123">
        <f>IF(OR($E123="",$E122=""),"",MAX($E123-$E122,0))</f>
        <v>0</v>
      </c>
      <c r="M123">
        <f>IF(OR($E123="",$E122=""),"",MAX($E122-$E123,0))</f>
        <v>0</v>
      </c>
      <c r="N123">
        <f>IF(COUNT($E$2:$E123)&lt;15,"",IF(AVERAGE($M$110:$M$123)=0,100,100-100/(1+AVERAGE($L$110:$L$123)/AVERAGE($M$110:$M$123))))</f>
        <v>0</v>
      </c>
      <c r="O123">
        <f>IF($E123="","",IF($E122="",$E123,$E123*0.1538461538+O122*0.8461538462))</f>
        <v>0</v>
      </c>
      <c r="P123">
        <f>IF($E123="","",IF($E122="",$E123,$E123*0.0740740741+P122*0.9259259259))</f>
        <v>0</v>
      </c>
      <c r="Q123">
        <f>IF(OR(O123="",P123=""),"",O123-P123)</f>
        <v>0</v>
      </c>
      <c r="R123">
        <f>IF(Q123="","",IF(R122="",Q123,Q123*0.2000000000+R122*0.8000000000))</f>
        <v>0</v>
      </c>
      <c r="S123">
        <f>IF(OR(Q123="",R123=""),"",Q123-R123)</f>
        <v>0</v>
      </c>
      <c r="T123">
        <f>IF(COUNT($E$2:$E123)&lt;14,"",MAX($C$110:$C$123))</f>
        <v>0</v>
      </c>
      <c r="U123">
        <f>IF(COUNT($E$2:$E123)&lt;14,"",MIN($D$110:$D$123))</f>
        <v>0</v>
      </c>
      <c r="V123">
        <f>IF(OR(T123="",U123="",T123=U123),"",100*($E123-U123)/(T123-U123))</f>
        <v>0</v>
      </c>
      <c r="W123">
        <f>IF(COUNT($V$121:$V$123)&lt;3,"",AVERAGE($V$121:$V$123))</f>
        <v>0</v>
      </c>
      <c r="X123">
        <f>IF(COUNT($N$110:$N$123)&lt;14,"",MIN($N$110:$N$123))</f>
        <v>0</v>
      </c>
      <c r="Y123">
        <f>IF(COUNT($N$110:$N$123)&lt;14,"",MAX($N$110:$N$123))</f>
        <v>0</v>
      </c>
      <c r="Z123">
        <f>IF(OR(N123="",X123="",Y123="",Y123=X123),"",100*(N123-X123)/(Y123-X123))</f>
        <v>0</v>
      </c>
      <c r="AA123">
        <f>IF(COUNT($Z$121:$Z$123)&lt;3,"",AVERAGE($Z$121:$Z$123))</f>
        <v>0</v>
      </c>
      <c r="AB123">
        <f>IF(COUNT($AA$121:$AA$123)&lt;3,"",AVERAGE($AA$121:$AA$123))</f>
        <v>0</v>
      </c>
      <c r="AC123">
        <f>IF($E123="","",MAX($C123-$D123,ABS($C123-$E122),ABS($D123-$E122)))</f>
        <v>0</v>
      </c>
      <c r="AD123">
        <f>IF(COUNT($E$2:$E123)&lt;15,"",AVERAGE($AC$110:$AC$123))</f>
        <v>0</v>
      </c>
      <c r="AE123">
        <f>IF(OR($E123="",$E122=""),"",IF(AND(($C123-$C122)&gt;($D122-$D123),($C123-$C122)&gt;0),$C123-$C122,0))</f>
        <v>0</v>
      </c>
      <c r="AF123">
        <f>IF(OR($E123="",$E122=""),"",IF(AND(($D122-$D123)&gt;($C123-$C122),($D122-$D123)&gt;0),$D122-$D123,0))</f>
        <v>0</v>
      </c>
      <c r="AG123">
        <f>IF(COUNT($E$2:$E123)&lt;15,"",IF(SUM($AC$110:$AC$123)=0,0,100*SUM($AE$110:$AE$123)/SUM($AC$110:$AC$123)))</f>
        <v>0</v>
      </c>
      <c r="AH123">
        <f>IF(COUNT($E$2:$E123)&lt;15,"",IF(SUM($AC$110:$AC$123)=0,0,100*SUM($AF$110:$AF$123)/SUM($AC$110:$AC$123)))</f>
        <v>0</v>
      </c>
      <c r="AI123">
        <f>IF(OR(AG123="",AH123=""),"",IF((AG123+AH123)=0,0,100*ABS(AG123-AH123)/(AG123+AH123)))</f>
        <v>0</v>
      </c>
      <c r="AJ123">
        <f>IF(COUNT($AI$110:$AI$123)&lt;14,"",AVERAGE($AI$110:$AI$123))</f>
        <v>0</v>
      </c>
      <c r="AK123">
        <f>IF(COUNT($E$2:$E123)&lt;20,"",AVERAGE($E$104:$E$123))</f>
        <v>0</v>
      </c>
      <c r="AL123">
        <f>IF(COUNT($E$2:$E123)&lt;20,"",STDEVP($E$104:$E$123))</f>
        <v>0</v>
      </c>
      <c r="AM123">
        <f>IF(AK123="","",AK123+2*AL123)</f>
        <v>0</v>
      </c>
      <c r="AN123">
        <f>IF(AK123="","",AK123-2*AL123)</f>
        <v>0</v>
      </c>
      <c r="AO123">
        <f>IF(OR(AM123="",AN123="",AM123=AN123),"",($E123-AN123)/(AM123-AN123))</f>
        <v>0</v>
      </c>
      <c r="AP123">
        <f>IF(OR(AM123="",AK123="",AK123=0),"",(AM123-AN123)/AK123)</f>
        <v>0</v>
      </c>
      <c r="AQ123">
        <f>IF(COUNT($E$2:$E123)&lt;20,"",MAX($C$104:$C$123))</f>
        <v>0</v>
      </c>
      <c r="AR123">
        <f>IF(COUNT($E$2:$E123)&lt;20,"",MIN($D$104:$D$123))</f>
        <v>0</v>
      </c>
      <c r="AS123">
        <f>IF(OR(AQ123="",AR123=""),"",(AQ123+AR123)/2)</f>
        <v>0</v>
      </c>
      <c r="AT123">
        <f>IF(COUNT($G$104:$G$123)&lt;20,"",STDEV($G$104:$G$123)*SQRT(52))</f>
        <v>0</v>
      </c>
      <c r="AU123">
        <f>IF(COUNT($E$2:$E123)&lt;9,"",(MAX($C$115:$C$123)+MIN($D$115:$D$123))/2)</f>
        <v>0</v>
      </c>
      <c r="AV123">
        <f>IF(COUNT($E$2:$E123)&lt;26,"",(MAX($C$98:$C$123)+MIN($D$98:$D$123))/2)</f>
        <v>0</v>
      </c>
      <c r="AW123">
        <f>IF(OR(AU123="",AV123=""),"",(AU123+AV123)/2)</f>
        <v>0</v>
      </c>
      <c r="AX123">
        <f>IF(COUNT($E$2:$E123)&lt;52,"",(MAX($C$72:$C$123)+MIN($D$72:$D$123))/2)</f>
        <v>0</v>
      </c>
      <c r="AY123">
        <f>IF(COUNT($E$2:$E123)&lt;20,"",MAX($C$24:$C$123))</f>
        <v>0</v>
      </c>
      <c r="AZ123">
        <f>IF(COUNT($E$2:$E123)&lt;20,"",MIN($D$24:$D$123))</f>
        <v>0</v>
      </c>
      <c r="BA123">
        <f>IF(COUNT($E$2:$E123)&lt;20,"",SLOPE($E$24:$E$123,$F$24:$F$123))</f>
        <v>0</v>
      </c>
      <c r="BB123">
        <f>IF(COUNT($E$2:$E123)&lt;20,"",INTERCEPT($E$24:$E$123,$F$24:$F$123))</f>
        <v>0</v>
      </c>
      <c r="BC123">
        <f>IF(OR(BA123="",BB123=""),"",BB123+BA123*F123)</f>
        <v>0</v>
      </c>
      <c r="BD123">
        <f>IF(COUNT($E$2:$E123)&lt;20,"",STEYX($E$24:$E$123,$F$24:$F$123))</f>
        <v>0</v>
      </c>
      <c r="BE123">
        <f>IF($E123="","",IF(AND(COUNT($E$124:$E$127)&gt;=4,$C123=MAX($C$119:$C$127)),$C123,""))</f>
        <v>0</v>
      </c>
      <c r="BF123">
        <f>IF($E123="","",IF(AND(COUNT($E$124:$E$127)&gt;=4,$D123=MIN($D$119:$D$127)),$D123,""))</f>
        <v>0</v>
      </c>
      <c r="BG123">
        <f>IFERROR(SMALL(Calc_Daily!$BM$2:$BM$2001,122),"")</f>
        <v>0</v>
      </c>
    </row>
    <row r="124" spans="1:59">
      <c r="A124" s="27">
        <f>IF($BG124="","",INDEX(Calc_Daily!$A$2:$A$2001,$BG124))</f>
        <v>0</v>
      </c>
      <c r="B124">
        <f>IF($BG124="","",INDEX(Calc_Daily!$BJ$2:$BJ$2001,$BG124))</f>
        <v>0</v>
      </c>
      <c r="C124">
        <f>IF($BG124="","",INDEX(Calc_Daily!$BK$2:$BK$2001,$BG124))</f>
        <v>0</v>
      </c>
      <c r="D124">
        <f>IF($BG124="","",INDEX(Calc_Daily!$BL$2:$BL$2001,$BG124))</f>
        <v>0</v>
      </c>
      <c r="E124">
        <f>IF($BG124="","",INDEX(Calc_Daily!$E$2:$E$2001,$BG124))</f>
        <v>0</v>
      </c>
      <c r="F124">
        <f>IF($E124="","",N(F123)+1)</f>
        <v>0</v>
      </c>
      <c r="G124">
        <f>IF(OR($E124="",$E123=""),"",LN($E124/$E123))</f>
        <v>0</v>
      </c>
      <c r="H124">
        <f>IF($E124="","",IF($E123="",$E124,$E124*0.0952380952+H123*0.9047619048))</f>
        <v>0</v>
      </c>
      <c r="I124">
        <f>IF($E124="","",IF($E123="",$E124,$E124*0.0392156863+I123*0.9607843137))</f>
        <v>0</v>
      </c>
      <c r="J124">
        <f>IF($E124="","",IF($E123="",$E124,$E124*0.0198019802+J123*0.9801980198))</f>
        <v>0</v>
      </c>
      <c r="K124">
        <f>IF($E124="","",IF($E123="",$E124,$E124*0.0099502488+K123*0.9900497512))</f>
        <v>0</v>
      </c>
      <c r="L124">
        <f>IF(OR($E124="",$E123=""),"",MAX($E124-$E123,0))</f>
        <v>0</v>
      </c>
      <c r="M124">
        <f>IF(OR($E124="",$E123=""),"",MAX($E123-$E124,0))</f>
        <v>0</v>
      </c>
      <c r="N124">
        <f>IF(COUNT($E$2:$E124)&lt;15,"",IF(AVERAGE($M$111:$M$124)=0,100,100-100/(1+AVERAGE($L$111:$L$124)/AVERAGE($M$111:$M$124))))</f>
        <v>0</v>
      </c>
      <c r="O124">
        <f>IF($E124="","",IF($E123="",$E124,$E124*0.1538461538+O123*0.8461538462))</f>
        <v>0</v>
      </c>
      <c r="P124">
        <f>IF($E124="","",IF($E123="",$E124,$E124*0.0740740741+P123*0.9259259259))</f>
        <v>0</v>
      </c>
      <c r="Q124">
        <f>IF(OR(O124="",P124=""),"",O124-P124)</f>
        <v>0</v>
      </c>
      <c r="R124">
        <f>IF(Q124="","",IF(R123="",Q124,Q124*0.2000000000+R123*0.8000000000))</f>
        <v>0</v>
      </c>
      <c r="S124">
        <f>IF(OR(Q124="",R124=""),"",Q124-R124)</f>
        <v>0</v>
      </c>
      <c r="T124">
        <f>IF(COUNT($E$2:$E124)&lt;14,"",MAX($C$111:$C$124))</f>
        <v>0</v>
      </c>
      <c r="U124">
        <f>IF(COUNT($E$2:$E124)&lt;14,"",MIN($D$111:$D$124))</f>
        <v>0</v>
      </c>
      <c r="V124">
        <f>IF(OR(T124="",U124="",T124=U124),"",100*($E124-U124)/(T124-U124))</f>
        <v>0</v>
      </c>
      <c r="W124">
        <f>IF(COUNT($V$122:$V$124)&lt;3,"",AVERAGE($V$122:$V$124))</f>
        <v>0</v>
      </c>
      <c r="X124">
        <f>IF(COUNT($N$111:$N$124)&lt;14,"",MIN($N$111:$N$124))</f>
        <v>0</v>
      </c>
      <c r="Y124">
        <f>IF(COUNT($N$111:$N$124)&lt;14,"",MAX($N$111:$N$124))</f>
        <v>0</v>
      </c>
      <c r="Z124">
        <f>IF(OR(N124="",X124="",Y124="",Y124=X124),"",100*(N124-X124)/(Y124-X124))</f>
        <v>0</v>
      </c>
      <c r="AA124">
        <f>IF(COUNT($Z$122:$Z$124)&lt;3,"",AVERAGE($Z$122:$Z$124))</f>
        <v>0</v>
      </c>
      <c r="AB124">
        <f>IF(COUNT($AA$122:$AA$124)&lt;3,"",AVERAGE($AA$122:$AA$124))</f>
        <v>0</v>
      </c>
      <c r="AC124">
        <f>IF($E124="","",MAX($C124-$D124,ABS($C124-$E123),ABS($D124-$E123)))</f>
        <v>0</v>
      </c>
      <c r="AD124">
        <f>IF(COUNT($E$2:$E124)&lt;15,"",AVERAGE($AC$111:$AC$124))</f>
        <v>0</v>
      </c>
      <c r="AE124">
        <f>IF(OR($E124="",$E123=""),"",IF(AND(($C124-$C123)&gt;($D123-$D124),($C124-$C123)&gt;0),$C124-$C123,0))</f>
        <v>0</v>
      </c>
      <c r="AF124">
        <f>IF(OR($E124="",$E123=""),"",IF(AND(($D123-$D124)&gt;($C124-$C123),($D123-$D124)&gt;0),$D123-$D124,0))</f>
        <v>0</v>
      </c>
      <c r="AG124">
        <f>IF(COUNT($E$2:$E124)&lt;15,"",IF(SUM($AC$111:$AC$124)=0,0,100*SUM($AE$111:$AE$124)/SUM($AC$111:$AC$124)))</f>
        <v>0</v>
      </c>
      <c r="AH124">
        <f>IF(COUNT($E$2:$E124)&lt;15,"",IF(SUM($AC$111:$AC$124)=0,0,100*SUM($AF$111:$AF$124)/SUM($AC$111:$AC$124)))</f>
        <v>0</v>
      </c>
      <c r="AI124">
        <f>IF(OR(AG124="",AH124=""),"",IF((AG124+AH124)=0,0,100*ABS(AG124-AH124)/(AG124+AH124)))</f>
        <v>0</v>
      </c>
      <c r="AJ124">
        <f>IF(COUNT($AI$111:$AI$124)&lt;14,"",AVERAGE($AI$111:$AI$124))</f>
        <v>0</v>
      </c>
      <c r="AK124">
        <f>IF(COUNT($E$2:$E124)&lt;20,"",AVERAGE($E$105:$E$124))</f>
        <v>0</v>
      </c>
      <c r="AL124">
        <f>IF(COUNT($E$2:$E124)&lt;20,"",STDEVP($E$105:$E$124))</f>
        <v>0</v>
      </c>
      <c r="AM124">
        <f>IF(AK124="","",AK124+2*AL124)</f>
        <v>0</v>
      </c>
      <c r="AN124">
        <f>IF(AK124="","",AK124-2*AL124)</f>
        <v>0</v>
      </c>
      <c r="AO124">
        <f>IF(OR(AM124="",AN124="",AM124=AN124),"",($E124-AN124)/(AM124-AN124))</f>
        <v>0</v>
      </c>
      <c r="AP124">
        <f>IF(OR(AM124="",AK124="",AK124=0),"",(AM124-AN124)/AK124)</f>
        <v>0</v>
      </c>
      <c r="AQ124">
        <f>IF(COUNT($E$2:$E124)&lt;20,"",MAX($C$105:$C$124))</f>
        <v>0</v>
      </c>
      <c r="AR124">
        <f>IF(COUNT($E$2:$E124)&lt;20,"",MIN($D$105:$D$124))</f>
        <v>0</v>
      </c>
      <c r="AS124">
        <f>IF(OR(AQ124="",AR124=""),"",(AQ124+AR124)/2)</f>
        <v>0</v>
      </c>
      <c r="AT124">
        <f>IF(COUNT($G$105:$G$124)&lt;20,"",STDEV($G$105:$G$124)*SQRT(52))</f>
        <v>0</v>
      </c>
      <c r="AU124">
        <f>IF(COUNT($E$2:$E124)&lt;9,"",(MAX($C$116:$C$124)+MIN($D$116:$D$124))/2)</f>
        <v>0</v>
      </c>
      <c r="AV124">
        <f>IF(COUNT($E$2:$E124)&lt;26,"",(MAX($C$99:$C$124)+MIN($D$99:$D$124))/2)</f>
        <v>0</v>
      </c>
      <c r="AW124">
        <f>IF(OR(AU124="",AV124=""),"",(AU124+AV124)/2)</f>
        <v>0</v>
      </c>
      <c r="AX124">
        <f>IF(COUNT($E$2:$E124)&lt;52,"",(MAX($C$73:$C$124)+MIN($D$73:$D$124))/2)</f>
        <v>0</v>
      </c>
      <c r="AY124">
        <f>IF(COUNT($E$2:$E124)&lt;20,"",MAX($C$25:$C$124))</f>
        <v>0</v>
      </c>
      <c r="AZ124">
        <f>IF(COUNT($E$2:$E124)&lt;20,"",MIN($D$25:$D$124))</f>
        <v>0</v>
      </c>
      <c r="BA124">
        <f>IF(COUNT($E$2:$E124)&lt;20,"",SLOPE($E$25:$E$124,$F$25:$F$124))</f>
        <v>0</v>
      </c>
      <c r="BB124">
        <f>IF(COUNT($E$2:$E124)&lt;20,"",INTERCEPT($E$25:$E$124,$F$25:$F$124))</f>
        <v>0</v>
      </c>
      <c r="BC124">
        <f>IF(OR(BA124="",BB124=""),"",BB124+BA124*F124)</f>
        <v>0</v>
      </c>
      <c r="BD124">
        <f>IF(COUNT($E$2:$E124)&lt;20,"",STEYX($E$25:$E$124,$F$25:$F$124))</f>
        <v>0</v>
      </c>
      <c r="BE124">
        <f>IF($E124="","",IF(AND(COUNT($E$125:$E$128)&gt;=4,$C124=MAX($C$120:$C$128)),$C124,""))</f>
        <v>0</v>
      </c>
      <c r="BF124">
        <f>IF($E124="","",IF(AND(COUNT($E$125:$E$128)&gt;=4,$D124=MIN($D$120:$D$128)),$D124,""))</f>
        <v>0</v>
      </c>
      <c r="BG124">
        <f>IFERROR(SMALL(Calc_Daily!$BM$2:$BM$2001,123),"")</f>
        <v>0</v>
      </c>
    </row>
    <row r="125" spans="1:59">
      <c r="A125" s="27">
        <f>IF($BG125="","",INDEX(Calc_Daily!$A$2:$A$2001,$BG125))</f>
        <v>0</v>
      </c>
      <c r="B125">
        <f>IF($BG125="","",INDEX(Calc_Daily!$BJ$2:$BJ$2001,$BG125))</f>
        <v>0</v>
      </c>
      <c r="C125">
        <f>IF($BG125="","",INDEX(Calc_Daily!$BK$2:$BK$2001,$BG125))</f>
        <v>0</v>
      </c>
      <c r="D125">
        <f>IF($BG125="","",INDEX(Calc_Daily!$BL$2:$BL$2001,$BG125))</f>
        <v>0</v>
      </c>
      <c r="E125">
        <f>IF($BG125="","",INDEX(Calc_Daily!$E$2:$E$2001,$BG125))</f>
        <v>0</v>
      </c>
      <c r="F125">
        <f>IF($E125="","",N(F124)+1)</f>
        <v>0</v>
      </c>
      <c r="G125">
        <f>IF(OR($E125="",$E124=""),"",LN($E125/$E124))</f>
        <v>0</v>
      </c>
      <c r="H125">
        <f>IF($E125="","",IF($E124="",$E125,$E125*0.0952380952+H124*0.9047619048))</f>
        <v>0</v>
      </c>
      <c r="I125">
        <f>IF($E125="","",IF($E124="",$E125,$E125*0.0392156863+I124*0.9607843137))</f>
        <v>0</v>
      </c>
      <c r="J125">
        <f>IF($E125="","",IF($E124="",$E125,$E125*0.0198019802+J124*0.9801980198))</f>
        <v>0</v>
      </c>
      <c r="K125">
        <f>IF($E125="","",IF($E124="",$E125,$E125*0.0099502488+K124*0.9900497512))</f>
        <v>0</v>
      </c>
      <c r="L125">
        <f>IF(OR($E125="",$E124=""),"",MAX($E125-$E124,0))</f>
        <v>0</v>
      </c>
      <c r="M125">
        <f>IF(OR($E125="",$E124=""),"",MAX($E124-$E125,0))</f>
        <v>0</v>
      </c>
      <c r="N125">
        <f>IF(COUNT($E$2:$E125)&lt;15,"",IF(AVERAGE($M$112:$M$125)=0,100,100-100/(1+AVERAGE($L$112:$L$125)/AVERAGE($M$112:$M$125))))</f>
        <v>0</v>
      </c>
      <c r="O125">
        <f>IF($E125="","",IF($E124="",$E125,$E125*0.1538461538+O124*0.8461538462))</f>
        <v>0</v>
      </c>
      <c r="P125">
        <f>IF($E125="","",IF($E124="",$E125,$E125*0.0740740741+P124*0.9259259259))</f>
        <v>0</v>
      </c>
      <c r="Q125">
        <f>IF(OR(O125="",P125=""),"",O125-P125)</f>
        <v>0</v>
      </c>
      <c r="R125">
        <f>IF(Q125="","",IF(R124="",Q125,Q125*0.2000000000+R124*0.8000000000))</f>
        <v>0</v>
      </c>
      <c r="S125">
        <f>IF(OR(Q125="",R125=""),"",Q125-R125)</f>
        <v>0</v>
      </c>
      <c r="T125">
        <f>IF(COUNT($E$2:$E125)&lt;14,"",MAX($C$112:$C$125))</f>
        <v>0</v>
      </c>
      <c r="U125">
        <f>IF(COUNT($E$2:$E125)&lt;14,"",MIN($D$112:$D$125))</f>
        <v>0</v>
      </c>
      <c r="V125">
        <f>IF(OR(T125="",U125="",T125=U125),"",100*($E125-U125)/(T125-U125))</f>
        <v>0</v>
      </c>
      <c r="W125">
        <f>IF(COUNT($V$123:$V$125)&lt;3,"",AVERAGE($V$123:$V$125))</f>
        <v>0</v>
      </c>
      <c r="X125">
        <f>IF(COUNT($N$112:$N$125)&lt;14,"",MIN($N$112:$N$125))</f>
        <v>0</v>
      </c>
      <c r="Y125">
        <f>IF(COUNT($N$112:$N$125)&lt;14,"",MAX($N$112:$N$125))</f>
        <v>0</v>
      </c>
      <c r="Z125">
        <f>IF(OR(N125="",X125="",Y125="",Y125=X125),"",100*(N125-X125)/(Y125-X125))</f>
        <v>0</v>
      </c>
      <c r="AA125">
        <f>IF(COUNT($Z$123:$Z$125)&lt;3,"",AVERAGE($Z$123:$Z$125))</f>
        <v>0</v>
      </c>
      <c r="AB125">
        <f>IF(COUNT($AA$123:$AA$125)&lt;3,"",AVERAGE($AA$123:$AA$125))</f>
        <v>0</v>
      </c>
      <c r="AC125">
        <f>IF($E125="","",MAX($C125-$D125,ABS($C125-$E124),ABS($D125-$E124)))</f>
        <v>0</v>
      </c>
      <c r="AD125">
        <f>IF(COUNT($E$2:$E125)&lt;15,"",AVERAGE($AC$112:$AC$125))</f>
        <v>0</v>
      </c>
      <c r="AE125">
        <f>IF(OR($E125="",$E124=""),"",IF(AND(($C125-$C124)&gt;($D124-$D125),($C125-$C124)&gt;0),$C125-$C124,0))</f>
        <v>0</v>
      </c>
      <c r="AF125">
        <f>IF(OR($E125="",$E124=""),"",IF(AND(($D124-$D125)&gt;($C125-$C124),($D124-$D125)&gt;0),$D124-$D125,0))</f>
        <v>0</v>
      </c>
      <c r="AG125">
        <f>IF(COUNT($E$2:$E125)&lt;15,"",IF(SUM($AC$112:$AC$125)=0,0,100*SUM($AE$112:$AE$125)/SUM($AC$112:$AC$125)))</f>
        <v>0</v>
      </c>
      <c r="AH125">
        <f>IF(COUNT($E$2:$E125)&lt;15,"",IF(SUM($AC$112:$AC$125)=0,0,100*SUM($AF$112:$AF$125)/SUM($AC$112:$AC$125)))</f>
        <v>0</v>
      </c>
      <c r="AI125">
        <f>IF(OR(AG125="",AH125=""),"",IF((AG125+AH125)=0,0,100*ABS(AG125-AH125)/(AG125+AH125)))</f>
        <v>0</v>
      </c>
      <c r="AJ125">
        <f>IF(COUNT($AI$112:$AI$125)&lt;14,"",AVERAGE($AI$112:$AI$125))</f>
        <v>0</v>
      </c>
      <c r="AK125">
        <f>IF(COUNT($E$2:$E125)&lt;20,"",AVERAGE($E$106:$E$125))</f>
        <v>0</v>
      </c>
      <c r="AL125">
        <f>IF(COUNT($E$2:$E125)&lt;20,"",STDEVP($E$106:$E$125))</f>
        <v>0</v>
      </c>
      <c r="AM125">
        <f>IF(AK125="","",AK125+2*AL125)</f>
        <v>0</v>
      </c>
      <c r="AN125">
        <f>IF(AK125="","",AK125-2*AL125)</f>
        <v>0</v>
      </c>
      <c r="AO125">
        <f>IF(OR(AM125="",AN125="",AM125=AN125),"",($E125-AN125)/(AM125-AN125))</f>
        <v>0</v>
      </c>
      <c r="AP125">
        <f>IF(OR(AM125="",AK125="",AK125=0),"",(AM125-AN125)/AK125)</f>
        <v>0</v>
      </c>
      <c r="AQ125">
        <f>IF(COUNT($E$2:$E125)&lt;20,"",MAX($C$106:$C$125))</f>
        <v>0</v>
      </c>
      <c r="AR125">
        <f>IF(COUNT($E$2:$E125)&lt;20,"",MIN($D$106:$D$125))</f>
        <v>0</v>
      </c>
      <c r="AS125">
        <f>IF(OR(AQ125="",AR125=""),"",(AQ125+AR125)/2)</f>
        <v>0</v>
      </c>
      <c r="AT125">
        <f>IF(COUNT($G$106:$G$125)&lt;20,"",STDEV($G$106:$G$125)*SQRT(52))</f>
        <v>0</v>
      </c>
      <c r="AU125">
        <f>IF(COUNT($E$2:$E125)&lt;9,"",(MAX($C$117:$C$125)+MIN($D$117:$D$125))/2)</f>
        <v>0</v>
      </c>
      <c r="AV125">
        <f>IF(COUNT($E$2:$E125)&lt;26,"",(MAX($C$100:$C$125)+MIN($D$100:$D$125))/2)</f>
        <v>0</v>
      </c>
      <c r="AW125">
        <f>IF(OR(AU125="",AV125=""),"",(AU125+AV125)/2)</f>
        <v>0</v>
      </c>
      <c r="AX125">
        <f>IF(COUNT($E$2:$E125)&lt;52,"",(MAX($C$74:$C$125)+MIN($D$74:$D$125))/2)</f>
        <v>0</v>
      </c>
      <c r="AY125">
        <f>IF(COUNT($E$2:$E125)&lt;20,"",MAX($C$26:$C$125))</f>
        <v>0</v>
      </c>
      <c r="AZ125">
        <f>IF(COUNT($E$2:$E125)&lt;20,"",MIN($D$26:$D$125))</f>
        <v>0</v>
      </c>
      <c r="BA125">
        <f>IF(COUNT($E$2:$E125)&lt;20,"",SLOPE($E$26:$E$125,$F$26:$F$125))</f>
        <v>0</v>
      </c>
      <c r="BB125">
        <f>IF(COUNT($E$2:$E125)&lt;20,"",INTERCEPT($E$26:$E$125,$F$26:$F$125))</f>
        <v>0</v>
      </c>
      <c r="BC125">
        <f>IF(OR(BA125="",BB125=""),"",BB125+BA125*F125)</f>
        <v>0</v>
      </c>
      <c r="BD125">
        <f>IF(COUNT($E$2:$E125)&lt;20,"",STEYX($E$26:$E$125,$F$26:$F$125))</f>
        <v>0</v>
      </c>
      <c r="BE125">
        <f>IF($E125="","",IF(AND(COUNT($E$126:$E$129)&gt;=4,$C125=MAX($C$121:$C$129)),$C125,""))</f>
        <v>0</v>
      </c>
      <c r="BF125">
        <f>IF($E125="","",IF(AND(COUNT($E$126:$E$129)&gt;=4,$D125=MIN($D$121:$D$129)),$D125,""))</f>
        <v>0</v>
      </c>
      <c r="BG125">
        <f>IFERROR(SMALL(Calc_Daily!$BM$2:$BM$2001,124),"")</f>
        <v>0</v>
      </c>
    </row>
    <row r="126" spans="1:59">
      <c r="A126" s="27">
        <f>IF($BG126="","",INDEX(Calc_Daily!$A$2:$A$2001,$BG126))</f>
        <v>0</v>
      </c>
      <c r="B126">
        <f>IF($BG126="","",INDEX(Calc_Daily!$BJ$2:$BJ$2001,$BG126))</f>
        <v>0</v>
      </c>
      <c r="C126">
        <f>IF($BG126="","",INDEX(Calc_Daily!$BK$2:$BK$2001,$BG126))</f>
        <v>0</v>
      </c>
      <c r="D126">
        <f>IF($BG126="","",INDEX(Calc_Daily!$BL$2:$BL$2001,$BG126))</f>
        <v>0</v>
      </c>
      <c r="E126">
        <f>IF($BG126="","",INDEX(Calc_Daily!$E$2:$E$2001,$BG126))</f>
        <v>0</v>
      </c>
      <c r="F126">
        <f>IF($E126="","",N(F125)+1)</f>
        <v>0</v>
      </c>
      <c r="G126">
        <f>IF(OR($E126="",$E125=""),"",LN($E126/$E125))</f>
        <v>0</v>
      </c>
      <c r="H126">
        <f>IF($E126="","",IF($E125="",$E126,$E126*0.0952380952+H125*0.9047619048))</f>
        <v>0</v>
      </c>
      <c r="I126">
        <f>IF($E126="","",IF($E125="",$E126,$E126*0.0392156863+I125*0.9607843137))</f>
        <v>0</v>
      </c>
      <c r="J126">
        <f>IF($E126="","",IF($E125="",$E126,$E126*0.0198019802+J125*0.9801980198))</f>
        <v>0</v>
      </c>
      <c r="K126">
        <f>IF($E126="","",IF($E125="",$E126,$E126*0.0099502488+K125*0.9900497512))</f>
        <v>0</v>
      </c>
      <c r="L126">
        <f>IF(OR($E126="",$E125=""),"",MAX($E126-$E125,0))</f>
        <v>0</v>
      </c>
      <c r="M126">
        <f>IF(OR($E126="",$E125=""),"",MAX($E125-$E126,0))</f>
        <v>0</v>
      </c>
      <c r="N126">
        <f>IF(COUNT($E$2:$E126)&lt;15,"",IF(AVERAGE($M$113:$M$126)=0,100,100-100/(1+AVERAGE($L$113:$L$126)/AVERAGE($M$113:$M$126))))</f>
        <v>0</v>
      </c>
      <c r="O126">
        <f>IF($E126="","",IF($E125="",$E126,$E126*0.1538461538+O125*0.8461538462))</f>
        <v>0</v>
      </c>
      <c r="P126">
        <f>IF($E126="","",IF($E125="",$E126,$E126*0.0740740741+P125*0.9259259259))</f>
        <v>0</v>
      </c>
      <c r="Q126">
        <f>IF(OR(O126="",P126=""),"",O126-P126)</f>
        <v>0</v>
      </c>
      <c r="R126">
        <f>IF(Q126="","",IF(R125="",Q126,Q126*0.2000000000+R125*0.8000000000))</f>
        <v>0</v>
      </c>
      <c r="S126">
        <f>IF(OR(Q126="",R126=""),"",Q126-R126)</f>
        <v>0</v>
      </c>
      <c r="T126">
        <f>IF(COUNT($E$2:$E126)&lt;14,"",MAX($C$113:$C$126))</f>
        <v>0</v>
      </c>
      <c r="U126">
        <f>IF(COUNT($E$2:$E126)&lt;14,"",MIN($D$113:$D$126))</f>
        <v>0</v>
      </c>
      <c r="V126">
        <f>IF(OR(T126="",U126="",T126=U126),"",100*($E126-U126)/(T126-U126))</f>
        <v>0</v>
      </c>
      <c r="W126">
        <f>IF(COUNT($V$124:$V$126)&lt;3,"",AVERAGE($V$124:$V$126))</f>
        <v>0</v>
      </c>
      <c r="X126">
        <f>IF(COUNT($N$113:$N$126)&lt;14,"",MIN($N$113:$N$126))</f>
        <v>0</v>
      </c>
      <c r="Y126">
        <f>IF(COUNT($N$113:$N$126)&lt;14,"",MAX($N$113:$N$126))</f>
        <v>0</v>
      </c>
      <c r="Z126">
        <f>IF(OR(N126="",X126="",Y126="",Y126=X126),"",100*(N126-X126)/(Y126-X126))</f>
        <v>0</v>
      </c>
      <c r="AA126">
        <f>IF(COUNT($Z$124:$Z$126)&lt;3,"",AVERAGE($Z$124:$Z$126))</f>
        <v>0</v>
      </c>
      <c r="AB126">
        <f>IF(COUNT($AA$124:$AA$126)&lt;3,"",AVERAGE($AA$124:$AA$126))</f>
        <v>0</v>
      </c>
      <c r="AC126">
        <f>IF($E126="","",MAX($C126-$D126,ABS($C126-$E125),ABS($D126-$E125)))</f>
        <v>0</v>
      </c>
      <c r="AD126">
        <f>IF(COUNT($E$2:$E126)&lt;15,"",AVERAGE($AC$113:$AC$126))</f>
        <v>0</v>
      </c>
      <c r="AE126">
        <f>IF(OR($E126="",$E125=""),"",IF(AND(($C126-$C125)&gt;($D125-$D126),($C126-$C125)&gt;0),$C126-$C125,0))</f>
        <v>0</v>
      </c>
      <c r="AF126">
        <f>IF(OR($E126="",$E125=""),"",IF(AND(($D125-$D126)&gt;($C126-$C125),($D125-$D126)&gt;0),$D125-$D126,0))</f>
        <v>0</v>
      </c>
      <c r="AG126">
        <f>IF(COUNT($E$2:$E126)&lt;15,"",IF(SUM($AC$113:$AC$126)=0,0,100*SUM($AE$113:$AE$126)/SUM($AC$113:$AC$126)))</f>
        <v>0</v>
      </c>
      <c r="AH126">
        <f>IF(COUNT($E$2:$E126)&lt;15,"",IF(SUM($AC$113:$AC$126)=0,0,100*SUM($AF$113:$AF$126)/SUM($AC$113:$AC$126)))</f>
        <v>0</v>
      </c>
      <c r="AI126">
        <f>IF(OR(AG126="",AH126=""),"",IF((AG126+AH126)=0,0,100*ABS(AG126-AH126)/(AG126+AH126)))</f>
        <v>0</v>
      </c>
      <c r="AJ126">
        <f>IF(COUNT($AI$113:$AI$126)&lt;14,"",AVERAGE($AI$113:$AI$126))</f>
        <v>0</v>
      </c>
      <c r="AK126">
        <f>IF(COUNT($E$2:$E126)&lt;20,"",AVERAGE($E$107:$E$126))</f>
        <v>0</v>
      </c>
      <c r="AL126">
        <f>IF(COUNT($E$2:$E126)&lt;20,"",STDEVP($E$107:$E$126))</f>
        <v>0</v>
      </c>
      <c r="AM126">
        <f>IF(AK126="","",AK126+2*AL126)</f>
        <v>0</v>
      </c>
      <c r="AN126">
        <f>IF(AK126="","",AK126-2*AL126)</f>
        <v>0</v>
      </c>
      <c r="AO126">
        <f>IF(OR(AM126="",AN126="",AM126=AN126),"",($E126-AN126)/(AM126-AN126))</f>
        <v>0</v>
      </c>
      <c r="AP126">
        <f>IF(OR(AM126="",AK126="",AK126=0),"",(AM126-AN126)/AK126)</f>
        <v>0</v>
      </c>
      <c r="AQ126">
        <f>IF(COUNT($E$2:$E126)&lt;20,"",MAX($C$107:$C$126))</f>
        <v>0</v>
      </c>
      <c r="AR126">
        <f>IF(COUNT($E$2:$E126)&lt;20,"",MIN($D$107:$D$126))</f>
        <v>0</v>
      </c>
      <c r="AS126">
        <f>IF(OR(AQ126="",AR126=""),"",(AQ126+AR126)/2)</f>
        <v>0</v>
      </c>
      <c r="AT126">
        <f>IF(COUNT($G$107:$G$126)&lt;20,"",STDEV($G$107:$G$126)*SQRT(52))</f>
        <v>0</v>
      </c>
      <c r="AU126">
        <f>IF(COUNT($E$2:$E126)&lt;9,"",(MAX($C$118:$C$126)+MIN($D$118:$D$126))/2)</f>
        <v>0</v>
      </c>
      <c r="AV126">
        <f>IF(COUNT($E$2:$E126)&lt;26,"",(MAX($C$101:$C$126)+MIN($D$101:$D$126))/2)</f>
        <v>0</v>
      </c>
      <c r="AW126">
        <f>IF(OR(AU126="",AV126=""),"",(AU126+AV126)/2)</f>
        <v>0</v>
      </c>
      <c r="AX126">
        <f>IF(COUNT($E$2:$E126)&lt;52,"",(MAX($C$75:$C$126)+MIN($D$75:$D$126))/2)</f>
        <v>0</v>
      </c>
      <c r="AY126">
        <f>IF(COUNT($E$2:$E126)&lt;20,"",MAX($C$27:$C$126))</f>
        <v>0</v>
      </c>
      <c r="AZ126">
        <f>IF(COUNT($E$2:$E126)&lt;20,"",MIN($D$27:$D$126))</f>
        <v>0</v>
      </c>
      <c r="BA126">
        <f>IF(COUNT($E$2:$E126)&lt;20,"",SLOPE($E$27:$E$126,$F$27:$F$126))</f>
        <v>0</v>
      </c>
      <c r="BB126">
        <f>IF(COUNT($E$2:$E126)&lt;20,"",INTERCEPT($E$27:$E$126,$F$27:$F$126))</f>
        <v>0</v>
      </c>
      <c r="BC126">
        <f>IF(OR(BA126="",BB126=""),"",BB126+BA126*F126)</f>
        <v>0</v>
      </c>
      <c r="BD126">
        <f>IF(COUNT($E$2:$E126)&lt;20,"",STEYX($E$27:$E$126,$F$27:$F$126))</f>
        <v>0</v>
      </c>
      <c r="BE126">
        <f>IF($E126="","",IF(AND(COUNT($E$127:$E$130)&gt;=4,$C126=MAX($C$122:$C$130)),$C126,""))</f>
        <v>0</v>
      </c>
      <c r="BF126">
        <f>IF($E126="","",IF(AND(COUNT($E$127:$E$130)&gt;=4,$D126=MIN($D$122:$D$130)),$D126,""))</f>
        <v>0</v>
      </c>
      <c r="BG126">
        <f>IFERROR(SMALL(Calc_Daily!$BM$2:$BM$2001,125),"")</f>
        <v>0</v>
      </c>
    </row>
    <row r="127" spans="1:59">
      <c r="A127" s="27">
        <f>IF($BG127="","",INDEX(Calc_Daily!$A$2:$A$2001,$BG127))</f>
        <v>0</v>
      </c>
      <c r="B127">
        <f>IF($BG127="","",INDEX(Calc_Daily!$BJ$2:$BJ$2001,$BG127))</f>
        <v>0</v>
      </c>
      <c r="C127">
        <f>IF($BG127="","",INDEX(Calc_Daily!$BK$2:$BK$2001,$BG127))</f>
        <v>0</v>
      </c>
      <c r="D127">
        <f>IF($BG127="","",INDEX(Calc_Daily!$BL$2:$BL$2001,$BG127))</f>
        <v>0</v>
      </c>
      <c r="E127">
        <f>IF($BG127="","",INDEX(Calc_Daily!$E$2:$E$2001,$BG127))</f>
        <v>0</v>
      </c>
      <c r="F127">
        <f>IF($E127="","",N(F126)+1)</f>
        <v>0</v>
      </c>
      <c r="G127">
        <f>IF(OR($E127="",$E126=""),"",LN($E127/$E126))</f>
        <v>0</v>
      </c>
      <c r="H127">
        <f>IF($E127="","",IF($E126="",$E127,$E127*0.0952380952+H126*0.9047619048))</f>
        <v>0</v>
      </c>
      <c r="I127">
        <f>IF($E127="","",IF($E126="",$E127,$E127*0.0392156863+I126*0.9607843137))</f>
        <v>0</v>
      </c>
      <c r="J127">
        <f>IF($E127="","",IF($E126="",$E127,$E127*0.0198019802+J126*0.9801980198))</f>
        <v>0</v>
      </c>
      <c r="K127">
        <f>IF($E127="","",IF($E126="",$E127,$E127*0.0099502488+K126*0.9900497512))</f>
        <v>0</v>
      </c>
      <c r="L127">
        <f>IF(OR($E127="",$E126=""),"",MAX($E127-$E126,0))</f>
        <v>0</v>
      </c>
      <c r="M127">
        <f>IF(OR($E127="",$E126=""),"",MAX($E126-$E127,0))</f>
        <v>0</v>
      </c>
      <c r="N127">
        <f>IF(COUNT($E$2:$E127)&lt;15,"",IF(AVERAGE($M$114:$M$127)=0,100,100-100/(1+AVERAGE($L$114:$L$127)/AVERAGE($M$114:$M$127))))</f>
        <v>0</v>
      </c>
      <c r="O127">
        <f>IF($E127="","",IF($E126="",$E127,$E127*0.1538461538+O126*0.8461538462))</f>
        <v>0</v>
      </c>
      <c r="P127">
        <f>IF($E127="","",IF($E126="",$E127,$E127*0.0740740741+P126*0.9259259259))</f>
        <v>0</v>
      </c>
      <c r="Q127">
        <f>IF(OR(O127="",P127=""),"",O127-P127)</f>
        <v>0</v>
      </c>
      <c r="R127">
        <f>IF(Q127="","",IF(R126="",Q127,Q127*0.2000000000+R126*0.8000000000))</f>
        <v>0</v>
      </c>
      <c r="S127">
        <f>IF(OR(Q127="",R127=""),"",Q127-R127)</f>
        <v>0</v>
      </c>
      <c r="T127">
        <f>IF(COUNT($E$2:$E127)&lt;14,"",MAX($C$114:$C$127))</f>
        <v>0</v>
      </c>
      <c r="U127">
        <f>IF(COUNT($E$2:$E127)&lt;14,"",MIN($D$114:$D$127))</f>
        <v>0</v>
      </c>
      <c r="V127">
        <f>IF(OR(T127="",U127="",T127=U127),"",100*($E127-U127)/(T127-U127))</f>
        <v>0</v>
      </c>
      <c r="W127">
        <f>IF(COUNT($V$125:$V$127)&lt;3,"",AVERAGE($V$125:$V$127))</f>
        <v>0</v>
      </c>
      <c r="X127">
        <f>IF(COUNT($N$114:$N$127)&lt;14,"",MIN($N$114:$N$127))</f>
        <v>0</v>
      </c>
      <c r="Y127">
        <f>IF(COUNT($N$114:$N$127)&lt;14,"",MAX($N$114:$N$127))</f>
        <v>0</v>
      </c>
      <c r="Z127">
        <f>IF(OR(N127="",X127="",Y127="",Y127=X127),"",100*(N127-X127)/(Y127-X127))</f>
        <v>0</v>
      </c>
      <c r="AA127">
        <f>IF(COUNT($Z$125:$Z$127)&lt;3,"",AVERAGE($Z$125:$Z$127))</f>
        <v>0</v>
      </c>
      <c r="AB127">
        <f>IF(COUNT($AA$125:$AA$127)&lt;3,"",AVERAGE($AA$125:$AA$127))</f>
        <v>0</v>
      </c>
      <c r="AC127">
        <f>IF($E127="","",MAX($C127-$D127,ABS($C127-$E126),ABS($D127-$E126)))</f>
        <v>0</v>
      </c>
      <c r="AD127">
        <f>IF(COUNT($E$2:$E127)&lt;15,"",AVERAGE($AC$114:$AC$127))</f>
        <v>0</v>
      </c>
      <c r="AE127">
        <f>IF(OR($E127="",$E126=""),"",IF(AND(($C127-$C126)&gt;($D126-$D127),($C127-$C126)&gt;0),$C127-$C126,0))</f>
        <v>0</v>
      </c>
      <c r="AF127">
        <f>IF(OR($E127="",$E126=""),"",IF(AND(($D126-$D127)&gt;($C127-$C126),($D126-$D127)&gt;0),$D126-$D127,0))</f>
        <v>0</v>
      </c>
      <c r="AG127">
        <f>IF(COUNT($E$2:$E127)&lt;15,"",IF(SUM($AC$114:$AC$127)=0,0,100*SUM($AE$114:$AE$127)/SUM($AC$114:$AC$127)))</f>
        <v>0</v>
      </c>
      <c r="AH127">
        <f>IF(COUNT($E$2:$E127)&lt;15,"",IF(SUM($AC$114:$AC$127)=0,0,100*SUM($AF$114:$AF$127)/SUM($AC$114:$AC$127)))</f>
        <v>0</v>
      </c>
      <c r="AI127">
        <f>IF(OR(AG127="",AH127=""),"",IF((AG127+AH127)=0,0,100*ABS(AG127-AH127)/(AG127+AH127)))</f>
        <v>0</v>
      </c>
      <c r="AJ127">
        <f>IF(COUNT($AI$114:$AI$127)&lt;14,"",AVERAGE($AI$114:$AI$127))</f>
        <v>0</v>
      </c>
      <c r="AK127">
        <f>IF(COUNT($E$2:$E127)&lt;20,"",AVERAGE($E$108:$E$127))</f>
        <v>0</v>
      </c>
      <c r="AL127">
        <f>IF(COUNT($E$2:$E127)&lt;20,"",STDEVP($E$108:$E$127))</f>
        <v>0</v>
      </c>
      <c r="AM127">
        <f>IF(AK127="","",AK127+2*AL127)</f>
        <v>0</v>
      </c>
      <c r="AN127">
        <f>IF(AK127="","",AK127-2*AL127)</f>
        <v>0</v>
      </c>
      <c r="AO127">
        <f>IF(OR(AM127="",AN127="",AM127=AN127),"",($E127-AN127)/(AM127-AN127))</f>
        <v>0</v>
      </c>
      <c r="AP127">
        <f>IF(OR(AM127="",AK127="",AK127=0),"",(AM127-AN127)/AK127)</f>
        <v>0</v>
      </c>
      <c r="AQ127">
        <f>IF(COUNT($E$2:$E127)&lt;20,"",MAX($C$108:$C$127))</f>
        <v>0</v>
      </c>
      <c r="AR127">
        <f>IF(COUNT($E$2:$E127)&lt;20,"",MIN($D$108:$D$127))</f>
        <v>0</v>
      </c>
      <c r="AS127">
        <f>IF(OR(AQ127="",AR127=""),"",(AQ127+AR127)/2)</f>
        <v>0</v>
      </c>
      <c r="AT127">
        <f>IF(COUNT($G$108:$G$127)&lt;20,"",STDEV($G$108:$G$127)*SQRT(52))</f>
        <v>0</v>
      </c>
      <c r="AU127">
        <f>IF(COUNT($E$2:$E127)&lt;9,"",(MAX($C$119:$C$127)+MIN($D$119:$D$127))/2)</f>
        <v>0</v>
      </c>
      <c r="AV127">
        <f>IF(COUNT($E$2:$E127)&lt;26,"",(MAX($C$102:$C$127)+MIN($D$102:$D$127))/2)</f>
        <v>0</v>
      </c>
      <c r="AW127">
        <f>IF(OR(AU127="",AV127=""),"",(AU127+AV127)/2)</f>
        <v>0</v>
      </c>
      <c r="AX127">
        <f>IF(COUNT($E$2:$E127)&lt;52,"",(MAX($C$76:$C$127)+MIN($D$76:$D$127))/2)</f>
        <v>0</v>
      </c>
      <c r="AY127">
        <f>IF(COUNT($E$2:$E127)&lt;20,"",MAX($C$28:$C$127))</f>
        <v>0</v>
      </c>
      <c r="AZ127">
        <f>IF(COUNT($E$2:$E127)&lt;20,"",MIN($D$28:$D$127))</f>
        <v>0</v>
      </c>
      <c r="BA127">
        <f>IF(COUNT($E$2:$E127)&lt;20,"",SLOPE($E$28:$E$127,$F$28:$F$127))</f>
        <v>0</v>
      </c>
      <c r="BB127">
        <f>IF(COUNT($E$2:$E127)&lt;20,"",INTERCEPT($E$28:$E$127,$F$28:$F$127))</f>
        <v>0</v>
      </c>
      <c r="BC127">
        <f>IF(OR(BA127="",BB127=""),"",BB127+BA127*F127)</f>
        <v>0</v>
      </c>
      <c r="BD127">
        <f>IF(COUNT($E$2:$E127)&lt;20,"",STEYX($E$28:$E$127,$F$28:$F$127))</f>
        <v>0</v>
      </c>
      <c r="BE127">
        <f>IF($E127="","",IF(AND(COUNT($E$128:$E$131)&gt;=4,$C127=MAX($C$123:$C$131)),$C127,""))</f>
        <v>0</v>
      </c>
      <c r="BF127">
        <f>IF($E127="","",IF(AND(COUNT($E$128:$E$131)&gt;=4,$D127=MIN($D$123:$D$131)),$D127,""))</f>
        <v>0</v>
      </c>
      <c r="BG127">
        <f>IFERROR(SMALL(Calc_Daily!$BM$2:$BM$2001,126),"")</f>
        <v>0</v>
      </c>
    </row>
    <row r="128" spans="1:59">
      <c r="A128" s="27">
        <f>IF($BG128="","",INDEX(Calc_Daily!$A$2:$A$2001,$BG128))</f>
        <v>0</v>
      </c>
      <c r="B128">
        <f>IF($BG128="","",INDEX(Calc_Daily!$BJ$2:$BJ$2001,$BG128))</f>
        <v>0</v>
      </c>
      <c r="C128">
        <f>IF($BG128="","",INDEX(Calc_Daily!$BK$2:$BK$2001,$BG128))</f>
        <v>0</v>
      </c>
      <c r="D128">
        <f>IF($BG128="","",INDEX(Calc_Daily!$BL$2:$BL$2001,$BG128))</f>
        <v>0</v>
      </c>
      <c r="E128">
        <f>IF($BG128="","",INDEX(Calc_Daily!$E$2:$E$2001,$BG128))</f>
        <v>0</v>
      </c>
      <c r="F128">
        <f>IF($E128="","",N(F127)+1)</f>
        <v>0</v>
      </c>
      <c r="G128">
        <f>IF(OR($E128="",$E127=""),"",LN($E128/$E127))</f>
        <v>0</v>
      </c>
      <c r="H128">
        <f>IF($E128="","",IF($E127="",$E128,$E128*0.0952380952+H127*0.9047619048))</f>
        <v>0</v>
      </c>
      <c r="I128">
        <f>IF($E128="","",IF($E127="",$E128,$E128*0.0392156863+I127*0.9607843137))</f>
        <v>0</v>
      </c>
      <c r="J128">
        <f>IF($E128="","",IF($E127="",$E128,$E128*0.0198019802+J127*0.9801980198))</f>
        <v>0</v>
      </c>
      <c r="K128">
        <f>IF($E128="","",IF($E127="",$E128,$E128*0.0099502488+K127*0.9900497512))</f>
        <v>0</v>
      </c>
      <c r="L128">
        <f>IF(OR($E128="",$E127=""),"",MAX($E128-$E127,0))</f>
        <v>0</v>
      </c>
      <c r="M128">
        <f>IF(OR($E128="",$E127=""),"",MAX($E127-$E128,0))</f>
        <v>0</v>
      </c>
      <c r="N128">
        <f>IF(COUNT($E$2:$E128)&lt;15,"",IF(AVERAGE($M$115:$M$128)=0,100,100-100/(1+AVERAGE($L$115:$L$128)/AVERAGE($M$115:$M$128))))</f>
        <v>0</v>
      </c>
      <c r="O128">
        <f>IF($E128="","",IF($E127="",$E128,$E128*0.1538461538+O127*0.8461538462))</f>
        <v>0</v>
      </c>
      <c r="P128">
        <f>IF($E128="","",IF($E127="",$E128,$E128*0.0740740741+P127*0.9259259259))</f>
        <v>0</v>
      </c>
      <c r="Q128">
        <f>IF(OR(O128="",P128=""),"",O128-P128)</f>
        <v>0</v>
      </c>
      <c r="R128">
        <f>IF(Q128="","",IF(R127="",Q128,Q128*0.2000000000+R127*0.8000000000))</f>
        <v>0</v>
      </c>
      <c r="S128">
        <f>IF(OR(Q128="",R128=""),"",Q128-R128)</f>
        <v>0</v>
      </c>
      <c r="T128">
        <f>IF(COUNT($E$2:$E128)&lt;14,"",MAX($C$115:$C$128))</f>
        <v>0</v>
      </c>
      <c r="U128">
        <f>IF(COUNT($E$2:$E128)&lt;14,"",MIN($D$115:$D$128))</f>
        <v>0</v>
      </c>
      <c r="V128">
        <f>IF(OR(T128="",U128="",T128=U128),"",100*($E128-U128)/(T128-U128))</f>
        <v>0</v>
      </c>
      <c r="W128">
        <f>IF(COUNT($V$126:$V$128)&lt;3,"",AVERAGE($V$126:$V$128))</f>
        <v>0</v>
      </c>
      <c r="X128">
        <f>IF(COUNT($N$115:$N$128)&lt;14,"",MIN($N$115:$N$128))</f>
        <v>0</v>
      </c>
      <c r="Y128">
        <f>IF(COUNT($N$115:$N$128)&lt;14,"",MAX($N$115:$N$128))</f>
        <v>0</v>
      </c>
      <c r="Z128">
        <f>IF(OR(N128="",X128="",Y128="",Y128=X128),"",100*(N128-X128)/(Y128-X128))</f>
        <v>0</v>
      </c>
      <c r="AA128">
        <f>IF(COUNT($Z$126:$Z$128)&lt;3,"",AVERAGE($Z$126:$Z$128))</f>
        <v>0</v>
      </c>
      <c r="AB128">
        <f>IF(COUNT($AA$126:$AA$128)&lt;3,"",AVERAGE($AA$126:$AA$128))</f>
        <v>0</v>
      </c>
      <c r="AC128">
        <f>IF($E128="","",MAX($C128-$D128,ABS($C128-$E127),ABS($D128-$E127)))</f>
        <v>0</v>
      </c>
      <c r="AD128">
        <f>IF(COUNT($E$2:$E128)&lt;15,"",AVERAGE($AC$115:$AC$128))</f>
        <v>0</v>
      </c>
      <c r="AE128">
        <f>IF(OR($E128="",$E127=""),"",IF(AND(($C128-$C127)&gt;($D127-$D128),($C128-$C127)&gt;0),$C128-$C127,0))</f>
        <v>0</v>
      </c>
      <c r="AF128">
        <f>IF(OR($E128="",$E127=""),"",IF(AND(($D127-$D128)&gt;($C128-$C127),($D127-$D128)&gt;0),$D127-$D128,0))</f>
        <v>0</v>
      </c>
      <c r="AG128">
        <f>IF(COUNT($E$2:$E128)&lt;15,"",IF(SUM($AC$115:$AC$128)=0,0,100*SUM($AE$115:$AE$128)/SUM($AC$115:$AC$128)))</f>
        <v>0</v>
      </c>
      <c r="AH128">
        <f>IF(COUNT($E$2:$E128)&lt;15,"",IF(SUM($AC$115:$AC$128)=0,0,100*SUM($AF$115:$AF$128)/SUM($AC$115:$AC$128)))</f>
        <v>0</v>
      </c>
      <c r="AI128">
        <f>IF(OR(AG128="",AH128=""),"",IF((AG128+AH128)=0,0,100*ABS(AG128-AH128)/(AG128+AH128)))</f>
        <v>0</v>
      </c>
      <c r="AJ128">
        <f>IF(COUNT($AI$115:$AI$128)&lt;14,"",AVERAGE($AI$115:$AI$128))</f>
        <v>0</v>
      </c>
      <c r="AK128">
        <f>IF(COUNT($E$2:$E128)&lt;20,"",AVERAGE($E$109:$E$128))</f>
        <v>0</v>
      </c>
      <c r="AL128">
        <f>IF(COUNT($E$2:$E128)&lt;20,"",STDEVP($E$109:$E$128))</f>
        <v>0</v>
      </c>
      <c r="AM128">
        <f>IF(AK128="","",AK128+2*AL128)</f>
        <v>0</v>
      </c>
      <c r="AN128">
        <f>IF(AK128="","",AK128-2*AL128)</f>
        <v>0</v>
      </c>
      <c r="AO128">
        <f>IF(OR(AM128="",AN128="",AM128=AN128),"",($E128-AN128)/(AM128-AN128))</f>
        <v>0</v>
      </c>
      <c r="AP128">
        <f>IF(OR(AM128="",AK128="",AK128=0),"",(AM128-AN128)/AK128)</f>
        <v>0</v>
      </c>
      <c r="AQ128">
        <f>IF(COUNT($E$2:$E128)&lt;20,"",MAX($C$109:$C$128))</f>
        <v>0</v>
      </c>
      <c r="AR128">
        <f>IF(COUNT($E$2:$E128)&lt;20,"",MIN($D$109:$D$128))</f>
        <v>0</v>
      </c>
      <c r="AS128">
        <f>IF(OR(AQ128="",AR128=""),"",(AQ128+AR128)/2)</f>
        <v>0</v>
      </c>
      <c r="AT128">
        <f>IF(COUNT($G$109:$G$128)&lt;20,"",STDEV($G$109:$G$128)*SQRT(52))</f>
        <v>0</v>
      </c>
      <c r="AU128">
        <f>IF(COUNT($E$2:$E128)&lt;9,"",(MAX($C$120:$C$128)+MIN($D$120:$D$128))/2)</f>
        <v>0</v>
      </c>
      <c r="AV128">
        <f>IF(COUNT($E$2:$E128)&lt;26,"",(MAX($C$103:$C$128)+MIN($D$103:$D$128))/2)</f>
        <v>0</v>
      </c>
      <c r="AW128">
        <f>IF(OR(AU128="",AV128=""),"",(AU128+AV128)/2)</f>
        <v>0</v>
      </c>
      <c r="AX128">
        <f>IF(COUNT($E$2:$E128)&lt;52,"",(MAX($C$77:$C$128)+MIN($D$77:$D$128))/2)</f>
        <v>0</v>
      </c>
      <c r="AY128">
        <f>IF(COUNT($E$2:$E128)&lt;20,"",MAX($C$29:$C$128))</f>
        <v>0</v>
      </c>
      <c r="AZ128">
        <f>IF(COUNT($E$2:$E128)&lt;20,"",MIN($D$29:$D$128))</f>
        <v>0</v>
      </c>
      <c r="BA128">
        <f>IF(COUNT($E$2:$E128)&lt;20,"",SLOPE($E$29:$E$128,$F$29:$F$128))</f>
        <v>0</v>
      </c>
      <c r="BB128">
        <f>IF(COUNT($E$2:$E128)&lt;20,"",INTERCEPT($E$29:$E$128,$F$29:$F$128))</f>
        <v>0</v>
      </c>
      <c r="BC128">
        <f>IF(OR(BA128="",BB128=""),"",BB128+BA128*F128)</f>
        <v>0</v>
      </c>
      <c r="BD128">
        <f>IF(COUNT($E$2:$E128)&lt;20,"",STEYX($E$29:$E$128,$F$29:$F$128))</f>
        <v>0</v>
      </c>
      <c r="BE128">
        <f>IF($E128="","",IF(AND(COUNT($E$129:$E$132)&gt;=4,$C128=MAX($C$124:$C$132)),$C128,""))</f>
        <v>0</v>
      </c>
      <c r="BF128">
        <f>IF($E128="","",IF(AND(COUNT($E$129:$E$132)&gt;=4,$D128=MIN($D$124:$D$132)),$D128,""))</f>
        <v>0</v>
      </c>
      <c r="BG128">
        <f>IFERROR(SMALL(Calc_Daily!$BM$2:$BM$2001,127),"")</f>
        <v>0</v>
      </c>
    </row>
    <row r="129" spans="1:59">
      <c r="A129" s="27">
        <f>IF($BG129="","",INDEX(Calc_Daily!$A$2:$A$2001,$BG129))</f>
        <v>0</v>
      </c>
      <c r="B129">
        <f>IF($BG129="","",INDEX(Calc_Daily!$BJ$2:$BJ$2001,$BG129))</f>
        <v>0</v>
      </c>
      <c r="C129">
        <f>IF($BG129="","",INDEX(Calc_Daily!$BK$2:$BK$2001,$BG129))</f>
        <v>0</v>
      </c>
      <c r="D129">
        <f>IF($BG129="","",INDEX(Calc_Daily!$BL$2:$BL$2001,$BG129))</f>
        <v>0</v>
      </c>
      <c r="E129">
        <f>IF($BG129="","",INDEX(Calc_Daily!$E$2:$E$2001,$BG129))</f>
        <v>0</v>
      </c>
      <c r="F129">
        <f>IF($E129="","",N(F128)+1)</f>
        <v>0</v>
      </c>
      <c r="G129">
        <f>IF(OR($E129="",$E128=""),"",LN($E129/$E128))</f>
        <v>0</v>
      </c>
      <c r="H129">
        <f>IF($E129="","",IF($E128="",$E129,$E129*0.0952380952+H128*0.9047619048))</f>
        <v>0</v>
      </c>
      <c r="I129">
        <f>IF($E129="","",IF($E128="",$E129,$E129*0.0392156863+I128*0.9607843137))</f>
        <v>0</v>
      </c>
      <c r="J129">
        <f>IF($E129="","",IF($E128="",$E129,$E129*0.0198019802+J128*0.9801980198))</f>
        <v>0</v>
      </c>
      <c r="K129">
        <f>IF($E129="","",IF($E128="",$E129,$E129*0.0099502488+K128*0.9900497512))</f>
        <v>0</v>
      </c>
      <c r="L129">
        <f>IF(OR($E129="",$E128=""),"",MAX($E129-$E128,0))</f>
        <v>0</v>
      </c>
      <c r="M129">
        <f>IF(OR($E129="",$E128=""),"",MAX($E128-$E129,0))</f>
        <v>0</v>
      </c>
      <c r="N129">
        <f>IF(COUNT($E$2:$E129)&lt;15,"",IF(AVERAGE($M$116:$M$129)=0,100,100-100/(1+AVERAGE($L$116:$L$129)/AVERAGE($M$116:$M$129))))</f>
        <v>0</v>
      </c>
      <c r="O129">
        <f>IF($E129="","",IF($E128="",$E129,$E129*0.1538461538+O128*0.8461538462))</f>
        <v>0</v>
      </c>
      <c r="P129">
        <f>IF($E129="","",IF($E128="",$E129,$E129*0.0740740741+P128*0.9259259259))</f>
        <v>0</v>
      </c>
      <c r="Q129">
        <f>IF(OR(O129="",P129=""),"",O129-P129)</f>
        <v>0</v>
      </c>
      <c r="R129">
        <f>IF(Q129="","",IF(R128="",Q129,Q129*0.2000000000+R128*0.8000000000))</f>
        <v>0</v>
      </c>
      <c r="S129">
        <f>IF(OR(Q129="",R129=""),"",Q129-R129)</f>
        <v>0</v>
      </c>
      <c r="T129">
        <f>IF(COUNT($E$2:$E129)&lt;14,"",MAX($C$116:$C$129))</f>
        <v>0</v>
      </c>
      <c r="U129">
        <f>IF(COUNT($E$2:$E129)&lt;14,"",MIN($D$116:$D$129))</f>
        <v>0</v>
      </c>
      <c r="V129">
        <f>IF(OR(T129="",U129="",T129=U129),"",100*($E129-U129)/(T129-U129))</f>
        <v>0</v>
      </c>
      <c r="W129">
        <f>IF(COUNT($V$127:$V$129)&lt;3,"",AVERAGE($V$127:$V$129))</f>
        <v>0</v>
      </c>
      <c r="X129">
        <f>IF(COUNT($N$116:$N$129)&lt;14,"",MIN($N$116:$N$129))</f>
        <v>0</v>
      </c>
      <c r="Y129">
        <f>IF(COUNT($N$116:$N$129)&lt;14,"",MAX($N$116:$N$129))</f>
        <v>0</v>
      </c>
      <c r="Z129">
        <f>IF(OR(N129="",X129="",Y129="",Y129=X129),"",100*(N129-X129)/(Y129-X129))</f>
        <v>0</v>
      </c>
      <c r="AA129">
        <f>IF(COUNT($Z$127:$Z$129)&lt;3,"",AVERAGE($Z$127:$Z$129))</f>
        <v>0</v>
      </c>
      <c r="AB129">
        <f>IF(COUNT($AA$127:$AA$129)&lt;3,"",AVERAGE($AA$127:$AA$129))</f>
        <v>0</v>
      </c>
      <c r="AC129">
        <f>IF($E129="","",MAX($C129-$D129,ABS($C129-$E128),ABS($D129-$E128)))</f>
        <v>0</v>
      </c>
      <c r="AD129">
        <f>IF(COUNT($E$2:$E129)&lt;15,"",AVERAGE($AC$116:$AC$129))</f>
        <v>0</v>
      </c>
      <c r="AE129">
        <f>IF(OR($E129="",$E128=""),"",IF(AND(($C129-$C128)&gt;($D128-$D129),($C129-$C128)&gt;0),$C129-$C128,0))</f>
        <v>0</v>
      </c>
      <c r="AF129">
        <f>IF(OR($E129="",$E128=""),"",IF(AND(($D128-$D129)&gt;($C129-$C128),($D128-$D129)&gt;0),$D128-$D129,0))</f>
        <v>0</v>
      </c>
      <c r="AG129">
        <f>IF(COUNT($E$2:$E129)&lt;15,"",IF(SUM($AC$116:$AC$129)=0,0,100*SUM($AE$116:$AE$129)/SUM($AC$116:$AC$129)))</f>
        <v>0</v>
      </c>
      <c r="AH129">
        <f>IF(COUNT($E$2:$E129)&lt;15,"",IF(SUM($AC$116:$AC$129)=0,0,100*SUM($AF$116:$AF$129)/SUM($AC$116:$AC$129)))</f>
        <v>0</v>
      </c>
      <c r="AI129">
        <f>IF(OR(AG129="",AH129=""),"",IF((AG129+AH129)=0,0,100*ABS(AG129-AH129)/(AG129+AH129)))</f>
        <v>0</v>
      </c>
      <c r="AJ129">
        <f>IF(COUNT($AI$116:$AI$129)&lt;14,"",AVERAGE($AI$116:$AI$129))</f>
        <v>0</v>
      </c>
      <c r="AK129">
        <f>IF(COUNT($E$2:$E129)&lt;20,"",AVERAGE($E$110:$E$129))</f>
        <v>0</v>
      </c>
      <c r="AL129">
        <f>IF(COUNT($E$2:$E129)&lt;20,"",STDEVP($E$110:$E$129))</f>
        <v>0</v>
      </c>
      <c r="AM129">
        <f>IF(AK129="","",AK129+2*AL129)</f>
        <v>0</v>
      </c>
      <c r="AN129">
        <f>IF(AK129="","",AK129-2*AL129)</f>
        <v>0</v>
      </c>
      <c r="AO129">
        <f>IF(OR(AM129="",AN129="",AM129=AN129),"",($E129-AN129)/(AM129-AN129))</f>
        <v>0</v>
      </c>
      <c r="AP129">
        <f>IF(OR(AM129="",AK129="",AK129=0),"",(AM129-AN129)/AK129)</f>
        <v>0</v>
      </c>
      <c r="AQ129">
        <f>IF(COUNT($E$2:$E129)&lt;20,"",MAX($C$110:$C$129))</f>
        <v>0</v>
      </c>
      <c r="AR129">
        <f>IF(COUNT($E$2:$E129)&lt;20,"",MIN($D$110:$D$129))</f>
        <v>0</v>
      </c>
      <c r="AS129">
        <f>IF(OR(AQ129="",AR129=""),"",(AQ129+AR129)/2)</f>
        <v>0</v>
      </c>
      <c r="AT129">
        <f>IF(COUNT($G$110:$G$129)&lt;20,"",STDEV($G$110:$G$129)*SQRT(52))</f>
        <v>0</v>
      </c>
      <c r="AU129">
        <f>IF(COUNT($E$2:$E129)&lt;9,"",(MAX($C$121:$C$129)+MIN($D$121:$D$129))/2)</f>
        <v>0</v>
      </c>
      <c r="AV129">
        <f>IF(COUNT($E$2:$E129)&lt;26,"",(MAX($C$104:$C$129)+MIN($D$104:$D$129))/2)</f>
        <v>0</v>
      </c>
      <c r="AW129">
        <f>IF(OR(AU129="",AV129=""),"",(AU129+AV129)/2)</f>
        <v>0</v>
      </c>
      <c r="AX129">
        <f>IF(COUNT($E$2:$E129)&lt;52,"",(MAX($C$78:$C$129)+MIN($D$78:$D$129))/2)</f>
        <v>0</v>
      </c>
      <c r="AY129">
        <f>IF(COUNT($E$2:$E129)&lt;20,"",MAX($C$30:$C$129))</f>
        <v>0</v>
      </c>
      <c r="AZ129">
        <f>IF(COUNT($E$2:$E129)&lt;20,"",MIN($D$30:$D$129))</f>
        <v>0</v>
      </c>
      <c r="BA129">
        <f>IF(COUNT($E$2:$E129)&lt;20,"",SLOPE($E$30:$E$129,$F$30:$F$129))</f>
        <v>0</v>
      </c>
      <c r="BB129">
        <f>IF(COUNT($E$2:$E129)&lt;20,"",INTERCEPT($E$30:$E$129,$F$30:$F$129))</f>
        <v>0</v>
      </c>
      <c r="BC129">
        <f>IF(OR(BA129="",BB129=""),"",BB129+BA129*F129)</f>
        <v>0</v>
      </c>
      <c r="BD129">
        <f>IF(COUNT($E$2:$E129)&lt;20,"",STEYX($E$30:$E$129,$F$30:$F$129))</f>
        <v>0</v>
      </c>
      <c r="BE129">
        <f>IF($E129="","",IF(AND(COUNT($E$130:$E$133)&gt;=4,$C129=MAX($C$125:$C$133)),$C129,""))</f>
        <v>0</v>
      </c>
      <c r="BF129">
        <f>IF($E129="","",IF(AND(COUNT($E$130:$E$133)&gt;=4,$D129=MIN($D$125:$D$133)),$D129,""))</f>
        <v>0</v>
      </c>
      <c r="BG129">
        <f>IFERROR(SMALL(Calc_Daily!$BM$2:$BM$2001,128),"")</f>
        <v>0</v>
      </c>
    </row>
    <row r="130" spans="1:59">
      <c r="A130" s="27">
        <f>IF($BG130="","",INDEX(Calc_Daily!$A$2:$A$2001,$BG130))</f>
        <v>0</v>
      </c>
      <c r="B130">
        <f>IF($BG130="","",INDEX(Calc_Daily!$BJ$2:$BJ$2001,$BG130))</f>
        <v>0</v>
      </c>
      <c r="C130">
        <f>IF($BG130="","",INDEX(Calc_Daily!$BK$2:$BK$2001,$BG130))</f>
        <v>0</v>
      </c>
      <c r="D130">
        <f>IF($BG130="","",INDEX(Calc_Daily!$BL$2:$BL$2001,$BG130))</f>
        <v>0</v>
      </c>
      <c r="E130">
        <f>IF($BG130="","",INDEX(Calc_Daily!$E$2:$E$2001,$BG130))</f>
        <v>0</v>
      </c>
      <c r="F130">
        <f>IF($E130="","",N(F129)+1)</f>
        <v>0</v>
      </c>
      <c r="G130">
        <f>IF(OR($E130="",$E129=""),"",LN($E130/$E129))</f>
        <v>0</v>
      </c>
      <c r="H130">
        <f>IF($E130="","",IF($E129="",$E130,$E130*0.0952380952+H129*0.9047619048))</f>
        <v>0</v>
      </c>
      <c r="I130">
        <f>IF($E130="","",IF($E129="",$E130,$E130*0.0392156863+I129*0.9607843137))</f>
        <v>0</v>
      </c>
      <c r="J130">
        <f>IF($E130="","",IF($E129="",$E130,$E130*0.0198019802+J129*0.9801980198))</f>
        <v>0</v>
      </c>
      <c r="K130">
        <f>IF($E130="","",IF($E129="",$E130,$E130*0.0099502488+K129*0.9900497512))</f>
        <v>0</v>
      </c>
      <c r="L130">
        <f>IF(OR($E130="",$E129=""),"",MAX($E130-$E129,0))</f>
        <v>0</v>
      </c>
      <c r="M130">
        <f>IF(OR($E130="",$E129=""),"",MAX($E129-$E130,0))</f>
        <v>0</v>
      </c>
      <c r="N130">
        <f>IF(COUNT($E$2:$E130)&lt;15,"",IF(AVERAGE($M$117:$M$130)=0,100,100-100/(1+AVERAGE($L$117:$L$130)/AVERAGE($M$117:$M$130))))</f>
        <v>0</v>
      </c>
      <c r="O130">
        <f>IF($E130="","",IF($E129="",$E130,$E130*0.1538461538+O129*0.8461538462))</f>
        <v>0</v>
      </c>
      <c r="P130">
        <f>IF($E130="","",IF($E129="",$E130,$E130*0.0740740741+P129*0.9259259259))</f>
        <v>0</v>
      </c>
      <c r="Q130">
        <f>IF(OR(O130="",P130=""),"",O130-P130)</f>
        <v>0</v>
      </c>
      <c r="R130">
        <f>IF(Q130="","",IF(R129="",Q130,Q130*0.2000000000+R129*0.8000000000))</f>
        <v>0</v>
      </c>
      <c r="S130">
        <f>IF(OR(Q130="",R130=""),"",Q130-R130)</f>
        <v>0</v>
      </c>
      <c r="T130">
        <f>IF(COUNT($E$2:$E130)&lt;14,"",MAX($C$117:$C$130))</f>
        <v>0</v>
      </c>
      <c r="U130">
        <f>IF(COUNT($E$2:$E130)&lt;14,"",MIN($D$117:$D$130))</f>
        <v>0</v>
      </c>
      <c r="V130">
        <f>IF(OR(T130="",U130="",T130=U130),"",100*($E130-U130)/(T130-U130))</f>
        <v>0</v>
      </c>
      <c r="W130">
        <f>IF(COUNT($V$128:$V$130)&lt;3,"",AVERAGE($V$128:$V$130))</f>
        <v>0</v>
      </c>
      <c r="X130">
        <f>IF(COUNT($N$117:$N$130)&lt;14,"",MIN($N$117:$N$130))</f>
        <v>0</v>
      </c>
      <c r="Y130">
        <f>IF(COUNT($N$117:$N$130)&lt;14,"",MAX($N$117:$N$130))</f>
        <v>0</v>
      </c>
      <c r="Z130">
        <f>IF(OR(N130="",X130="",Y130="",Y130=X130),"",100*(N130-X130)/(Y130-X130))</f>
        <v>0</v>
      </c>
      <c r="AA130">
        <f>IF(COUNT($Z$128:$Z$130)&lt;3,"",AVERAGE($Z$128:$Z$130))</f>
        <v>0</v>
      </c>
      <c r="AB130">
        <f>IF(COUNT($AA$128:$AA$130)&lt;3,"",AVERAGE($AA$128:$AA$130))</f>
        <v>0</v>
      </c>
      <c r="AC130">
        <f>IF($E130="","",MAX($C130-$D130,ABS($C130-$E129),ABS($D130-$E129)))</f>
        <v>0</v>
      </c>
      <c r="AD130">
        <f>IF(COUNT($E$2:$E130)&lt;15,"",AVERAGE($AC$117:$AC$130))</f>
        <v>0</v>
      </c>
      <c r="AE130">
        <f>IF(OR($E130="",$E129=""),"",IF(AND(($C130-$C129)&gt;($D129-$D130),($C130-$C129)&gt;0),$C130-$C129,0))</f>
        <v>0</v>
      </c>
      <c r="AF130">
        <f>IF(OR($E130="",$E129=""),"",IF(AND(($D129-$D130)&gt;($C130-$C129),($D129-$D130)&gt;0),$D129-$D130,0))</f>
        <v>0</v>
      </c>
      <c r="AG130">
        <f>IF(COUNT($E$2:$E130)&lt;15,"",IF(SUM($AC$117:$AC$130)=0,0,100*SUM($AE$117:$AE$130)/SUM($AC$117:$AC$130)))</f>
        <v>0</v>
      </c>
      <c r="AH130">
        <f>IF(COUNT($E$2:$E130)&lt;15,"",IF(SUM($AC$117:$AC$130)=0,0,100*SUM($AF$117:$AF$130)/SUM($AC$117:$AC$130)))</f>
        <v>0</v>
      </c>
      <c r="AI130">
        <f>IF(OR(AG130="",AH130=""),"",IF((AG130+AH130)=0,0,100*ABS(AG130-AH130)/(AG130+AH130)))</f>
        <v>0</v>
      </c>
      <c r="AJ130">
        <f>IF(COUNT($AI$117:$AI$130)&lt;14,"",AVERAGE($AI$117:$AI$130))</f>
        <v>0</v>
      </c>
      <c r="AK130">
        <f>IF(COUNT($E$2:$E130)&lt;20,"",AVERAGE($E$111:$E$130))</f>
        <v>0</v>
      </c>
      <c r="AL130">
        <f>IF(COUNT($E$2:$E130)&lt;20,"",STDEVP($E$111:$E$130))</f>
        <v>0</v>
      </c>
      <c r="AM130">
        <f>IF(AK130="","",AK130+2*AL130)</f>
        <v>0</v>
      </c>
      <c r="AN130">
        <f>IF(AK130="","",AK130-2*AL130)</f>
        <v>0</v>
      </c>
      <c r="AO130">
        <f>IF(OR(AM130="",AN130="",AM130=AN130),"",($E130-AN130)/(AM130-AN130))</f>
        <v>0</v>
      </c>
      <c r="AP130">
        <f>IF(OR(AM130="",AK130="",AK130=0),"",(AM130-AN130)/AK130)</f>
        <v>0</v>
      </c>
      <c r="AQ130">
        <f>IF(COUNT($E$2:$E130)&lt;20,"",MAX($C$111:$C$130))</f>
        <v>0</v>
      </c>
      <c r="AR130">
        <f>IF(COUNT($E$2:$E130)&lt;20,"",MIN($D$111:$D$130))</f>
        <v>0</v>
      </c>
      <c r="AS130">
        <f>IF(OR(AQ130="",AR130=""),"",(AQ130+AR130)/2)</f>
        <v>0</v>
      </c>
      <c r="AT130">
        <f>IF(COUNT($G$111:$G$130)&lt;20,"",STDEV($G$111:$G$130)*SQRT(52))</f>
        <v>0</v>
      </c>
      <c r="AU130">
        <f>IF(COUNT($E$2:$E130)&lt;9,"",(MAX($C$122:$C$130)+MIN($D$122:$D$130))/2)</f>
        <v>0</v>
      </c>
      <c r="AV130">
        <f>IF(COUNT($E$2:$E130)&lt;26,"",(MAX($C$105:$C$130)+MIN($D$105:$D$130))/2)</f>
        <v>0</v>
      </c>
      <c r="AW130">
        <f>IF(OR(AU130="",AV130=""),"",(AU130+AV130)/2)</f>
        <v>0</v>
      </c>
      <c r="AX130">
        <f>IF(COUNT($E$2:$E130)&lt;52,"",(MAX($C$79:$C$130)+MIN($D$79:$D$130))/2)</f>
        <v>0</v>
      </c>
      <c r="AY130">
        <f>IF(COUNT($E$2:$E130)&lt;20,"",MAX($C$31:$C$130))</f>
        <v>0</v>
      </c>
      <c r="AZ130">
        <f>IF(COUNT($E$2:$E130)&lt;20,"",MIN($D$31:$D$130))</f>
        <v>0</v>
      </c>
      <c r="BA130">
        <f>IF(COUNT($E$2:$E130)&lt;20,"",SLOPE($E$31:$E$130,$F$31:$F$130))</f>
        <v>0</v>
      </c>
      <c r="BB130">
        <f>IF(COUNT($E$2:$E130)&lt;20,"",INTERCEPT($E$31:$E$130,$F$31:$F$130))</f>
        <v>0</v>
      </c>
      <c r="BC130">
        <f>IF(OR(BA130="",BB130=""),"",BB130+BA130*F130)</f>
        <v>0</v>
      </c>
      <c r="BD130">
        <f>IF(COUNT($E$2:$E130)&lt;20,"",STEYX($E$31:$E$130,$F$31:$F$130))</f>
        <v>0</v>
      </c>
      <c r="BE130">
        <f>IF($E130="","",IF(AND(COUNT($E$131:$E$134)&gt;=4,$C130=MAX($C$126:$C$134)),$C130,""))</f>
        <v>0</v>
      </c>
      <c r="BF130">
        <f>IF($E130="","",IF(AND(COUNT($E$131:$E$134)&gt;=4,$D130=MIN($D$126:$D$134)),$D130,""))</f>
        <v>0</v>
      </c>
      <c r="BG130">
        <f>IFERROR(SMALL(Calc_Daily!$BM$2:$BM$2001,129),"")</f>
        <v>0</v>
      </c>
    </row>
    <row r="131" spans="1:59">
      <c r="A131" s="27">
        <f>IF($BG131="","",INDEX(Calc_Daily!$A$2:$A$2001,$BG131))</f>
        <v>0</v>
      </c>
      <c r="B131">
        <f>IF($BG131="","",INDEX(Calc_Daily!$BJ$2:$BJ$2001,$BG131))</f>
        <v>0</v>
      </c>
      <c r="C131">
        <f>IF($BG131="","",INDEX(Calc_Daily!$BK$2:$BK$2001,$BG131))</f>
        <v>0</v>
      </c>
      <c r="D131">
        <f>IF($BG131="","",INDEX(Calc_Daily!$BL$2:$BL$2001,$BG131))</f>
        <v>0</v>
      </c>
      <c r="E131">
        <f>IF($BG131="","",INDEX(Calc_Daily!$E$2:$E$2001,$BG131))</f>
        <v>0</v>
      </c>
      <c r="F131">
        <f>IF($E131="","",N(F130)+1)</f>
        <v>0</v>
      </c>
      <c r="G131">
        <f>IF(OR($E131="",$E130=""),"",LN($E131/$E130))</f>
        <v>0</v>
      </c>
      <c r="H131">
        <f>IF($E131="","",IF($E130="",$E131,$E131*0.0952380952+H130*0.9047619048))</f>
        <v>0</v>
      </c>
      <c r="I131">
        <f>IF($E131="","",IF($E130="",$E131,$E131*0.0392156863+I130*0.9607843137))</f>
        <v>0</v>
      </c>
      <c r="J131">
        <f>IF($E131="","",IF($E130="",$E131,$E131*0.0198019802+J130*0.9801980198))</f>
        <v>0</v>
      </c>
      <c r="K131">
        <f>IF($E131="","",IF($E130="",$E131,$E131*0.0099502488+K130*0.9900497512))</f>
        <v>0</v>
      </c>
      <c r="L131">
        <f>IF(OR($E131="",$E130=""),"",MAX($E131-$E130,0))</f>
        <v>0</v>
      </c>
      <c r="M131">
        <f>IF(OR($E131="",$E130=""),"",MAX($E130-$E131,0))</f>
        <v>0</v>
      </c>
      <c r="N131">
        <f>IF(COUNT($E$2:$E131)&lt;15,"",IF(AVERAGE($M$118:$M$131)=0,100,100-100/(1+AVERAGE($L$118:$L$131)/AVERAGE($M$118:$M$131))))</f>
        <v>0</v>
      </c>
      <c r="O131">
        <f>IF($E131="","",IF($E130="",$E131,$E131*0.1538461538+O130*0.8461538462))</f>
        <v>0</v>
      </c>
      <c r="P131">
        <f>IF($E131="","",IF($E130="",$E131,$E131*0.0740740741+P130*0.9259259259))</f>
        <v>0</v>
      </c>
      <c r="Q131">
        <f>IF(OR(O131="",P131=""),"",O131-P131)</f>
        <v>0</v>
      </c>
      <c r="R131">
        <f>IF(Q131="","",IF(R130="",Q131,Q131*0.2000000000+R130*0.8000000000))</f>
        <v>0</v>
      </c>
      <c r="S131">
        <f>IF(OR(Q131="",R131=""),"",Q131-R131)</f>
        <v>0</v>
      </c>
      <c r="T131">
        <f>IF(COUNT($E$2:$E131)&lt;14,"",MAX($C$118:$C$131))</f>
        <v>0</v>
      </c>
      <c r="U131">
        <f>IF(COUNT($E$2:$E131)&lt;14,"",MIN($D$118:$D$131))</f>
        <v>0</v>
      </c>
      <c r="V131">
        <f>IF(OR(T131="",U131="",T131=U131),"",100*($E131-U131)/(T131-U131))</f>
        <v>0</v>
      </c>
      <c r="W131">
        <f>IF(COUNT($V$129:$V$131)&lt;3,"",AVERAGE($V$129:$V$131))</f>
        <v>0</v>
      </c>
      <c r="X131">
        <f>IF(COUNT($N$118:$N$131)&lt;14,"",MIN($N$118:$N$131))</f>
        <v>0</v>
      </c>
      <c r="Y131">
        <f>IF(COUNT($N$118:$N$131)&lt;14,"",MAX($N$118:$N$131))</f>
        <v>0</v>
      </c>
      <c r="Z131">
        <f>IF(OR(N131="",X131="",Y131="",Y131=X131),"",100*(N131-X131)/(Y131-X131))</f>
        <v>0</v>
      </c>
      <c r="AA131">
        <f>IF(COUNT($Z$129:$Z$131)&lt;3,"",AVERAGE($Z$129:$Z$131))</f>
        <v>0</v>
      </c>
      <c r="AB131">
        <f>IF(COUNT($AA$129:$AA$131)&lt;3,"",AVERAGE($AA$129:$AA$131))</f>
        <v>0</v>
      </c>
      <c r="AC131">
        <f>IF($E131="","",MAX($C131-$D131,ABS($C131-$E130),ABS($D131-$E130)))</f>
        <v>0</v>
      </c>
      <c r="AD131">
        <f>IF(COUNT($E$2:$E131)&lt;15,"",AVERAGE($AC$118:$AC$131))</f>
        <v>0</v>
      </c>
      <c r="AE131">
        <f>IF(OR($E131="",$E130=""),"",IF(AND(($C131-$C130)&gt;($D130-$D131),($C131-$C130)&gt;0),$C131-$C130,0))</f>
        <v>0</v>
      </c>
      <c r="AF131">
        <f>IF(OR($E131="",$E130=""),"",IF(AND(($D130-$D131)&gt;($C131-$C130),($D130-$D131)&gt;0),$D130-$D131,0))</f>
        <v>0</v>
      </c>
      <c r="AG131">
        <f>IF(COUNT($E$2:$E131)&lt;15,"",IF(SUM($AC$118:$AC$131)=0,0,100*SUM($AE$118:$AE$131)/SUM($AC$118:$AC$131)))</f>
        <v>0</v>
      </c>
      <c r="AH131">
        <f>IF(COUNT($E$2:$E131)&lt;15,"",IF(SUM($AC$118:$AC$131)=0,0,100*SUM($AF$118:$AF$131)/SUM($AC$118:$AC$131)))</f>
        <v>0</v>
      </c>
      <c r="AI131">
        <f>IF(OR(AG131="",AH131=""),"",IF((AG131+AH131)=0,0,100*ABS(AG131-AH131)/(AG131+AH131)))</f>
        <v>0</v>
      </c>
      <c r="AJ131">
        <f>IF(COUNT($AI$118:$AI$131)&lt;14,"",AVERAGE($AI$118:$AI$131))</f>
        <v>0</v>
      </c>
      <c r="AK131">
        <f>IF(COUNT($E$2:$E131)&lt;20,"",AVERAGE($E$112:$E$131))</f>
        <v>0</v>
      </c>
      <c r="AL131">
        <f>IF(COUNT($E$2:$E131)&lt;20,"",STDEVP($E$112:$E$131))</f>
        <v>0</v>
      </c>
      <c r="AM131">
        <f>IF(AK131="","",AK131+2*AL131)</f>
        <v>0</v>
      </c>
      <c r="AN131">
        <f>IF(AK131="","",AK131-2*AL131)</f>
        <v>0</v>
      </c>
      <c r="AO131">
        <f>IF(OR(AM131="",AN131="",AM131=AN131),"",($E131-AN131)/(AM131-AN131))</f>
        <v>0</v>
      </c>
      <c r="AP131">
        <f>IF(OR(AM131="",AK131="",AK131=0),"",(AM131-AN131)/AK131)</f>
        <v>0</v>
      </c>
      <c r="AQ131">
        <f>IF(COUNT($E$2:$E131)&lt;20,"",MAX($C$112:$C$131))</f>
        <v>0</v>
      </c>
      <c r="AR131">
        <f>IF(COUNT($E$2:$E131)&lt;20,"",MIN($D$112:$D$131))</f>
        <v>0</v>
      </c>
      <c r="AS131">
        <f>IF(OR(AQ131="",AR131=""),"",(AQ131+AR131)/2)</f>
        <v>0</v>
      </c>
      <c r="AT131">
        <f>IF(COUNT($G$112:$G$131)&lt;20,"",STDEV($G$112:$G$131)*SQRT(52))</f>
        <v>0</v>
      </c>
      <c r="AU131">
        <f>IF(COUNT($E$2:$E131)&lt;9,"",(MAX($C$123:$C$131)+MIN($D$123:$D$131))/2)</f>
        <v>0</v>
      </c>
      <c r="AV131">
        <f>IF(COUNT($E$2:$E131)&lt;26,"",(MAX($C$106:$C$131)+MIN($D$106:$D$131))/2)</f>
        <v>0</v>
      </c>
      <c r="AW131">
        <f>IF(OR(AU131="",AV131=""),"",(AU131+AV131)/2)</f>
        <v>0</v>
      </c>
      <c r="AX131">
        <f>IF(COUNT($E$2:$E131)&lt;52,"",(MAX($C$80:$C$131)+MIN($D$80:$D$131))/2)</f>
        <v>0</v>
      </c>
      <c r="AY131">
        <f>IF(COUNT($E$2:$E131)&lt;20,"",MAX($C$32:$C$131))</f>
        <v>0</v>
      </c>
      <c r="AZ131">
        <f>IF(COUNT($E$2:$E131)&lt;20,"",MIN($D$32:$D$131))</f>
        <v>0</v>
      </c>
      <c r="BA131">
        <f>IF(COUNT($E$2:$E131)&lt;20,"",SLOPE($E$32:$E$131,$F$32:$F$131))</f>
        <v>0</v>
      </c>
      <c r="BB131">
        <f>IF(COUNT($E$2:$E131)&lt;20,"",INTERCEPT($E$32:$E$131,$F$32:$F$131))</f>
        <v>0</v>
      </c>
      <c r="BC131">
        <f>IF(OR(BA131="",BB131=""),"",BB131+BA131*F131)</f>
        <v>0</v>
      </c>
      <c r="BD131">
        <f>IF(COUNT($E$2:$E131)&lt;20,"",STEYX($E$32:$E$131,$F$32:$F$131))</f>
        <v>0</v>
      </c>
      <c r="BE131">
        <f>IF($E131="","",IF(AND(COUNT($E$132:$E$135)&gt;=4,$C131=MAX($C$127:$C$135)),$C131,""))</f>
        <v>0</v>
      </c>
      <c r="BF131">
        <f>IF($E131="","",IF(AND(COUNT($E$132:$E$135)&gt;=4,$D131=MIN($D$127:$D$135)),$D131,""))</f>
        <v>0</v>
      </c>
      <c r="BG131">
        <f>IFERROR(SMALL(Calc_Daily!$BM$2:$BM$2001,130),"")</f>
        <v>0</v>
      </c>
    </row>
    <row r="132" spans="1:59">
      <c r="A132" s="27">
        <f>IF($BG132="","",INDEX(Calc_Daily!$A$2:$A$2001,$BG132))</f>
        <v>0</v>
      </c>
      <c r="B132">
        <f>IF($BG132="","",INDEX(Calc_Daily!$BJ$2:$BJ$2001,$BG132))</f>
        <v>0</v>
      </c>
      <c r="C132">
        <f>IF($BG132="","",INDEX(Calc_Daily!$BK$2:$BK$2001,$BG132))</f>
        <v>0</v>
      </c>
      <c r="D132">
        <f>IF($BG132="","",INDEX(Calc_Daily!$BL$2:$BL$2001,$BG132))</f>
        <v>0</v>
      </c>
      <c r="E132">
        <f>IF($BG132="","",INDEX(Calc_Daily!$E$2:$E$2001,$BG132))</f>
        <v>0</v>
      </c>
      <c r="F132">
        <f>IF($E132="","",N(F131)+1)</f>
        <v>0</v>
      </c>
      <c r="G132">
        <f>IF(OR($E132="",$E131=""),"",LN($E132/$E131))</f>
        <v>0</v>
      </c>
      <c r="H132">
        <f>IF($E132="","",IF($E131="",$E132,$E132*0.0952380952+H131*0.9047619048))</f>
        <v>0</v>
      </c>
      <c r="I132">
        <f>IF($E132="","",IF($E131="",$E132,$E132*0.0392156863+I131*0.9607843137))</f>
        <v>0</v>
      </c>
      <c r="J132">
        <f>IF($E132="","",IF($E131="",$E132,$E132*0.0198019802+J131*0.9801980198))</f>
        <v>0</v>
      </c>
      <c r="K132">
        <f>IF($E132="","",IF($E131="",$E132,$E132*0.0099502488+K131*0.9900497512))</f>
        <v>0</v>
      </c>
      <c r="L132">
        <f>IF(OR($E132="",$E131=""),"",MAX($E132-$E131,0))</f>
        <v>0</v>
      </c>
      <c r="M132">
        <f>IF(OR($E132="",$E131=""),"",MAX($E131-$E132,0))</f>
        <v>0</v>
      </c>
      <c r="N132">
        <f>IF(COUNT($E$2:$E132)&lt;15,"",IF(AVERAGE($M$119:$M$132)=0,100,100-100/(1+AVERAGE($L$119:$L$132)/AVERAGE($M$119:$M$132))))</f>
        <v>0</v>
      </c>
      <c r="O132">
        <f>IF($E132="","",IF($E131="",$E132,$E132*0.1538461538+O131*0.8461538462))</f>
        <v>0</v>
      </c>
      <c r="P132">
        <f>IF($E132="","",IF($E131="",$E132,$E132*0.0740740741+P131*0.9259259259))</f>
        <v>0</v>
      </c>
      <c r="Q132">
        <f>IF(OR(O132="",P132=""),"",O132-P132)</f>
        <v>0</v>
      </c>
      <c r="R132">
        <f>IF(Q132="","",IF(R131="",Q132,Q132*0.2000000000+R131*0.8000000000))</f>
        <v>0</v>
      </c>
      <c r="S132">
        <f>IF(OR(Q132="",R132=""),"",Q132-R132)</f>
        <v>0</v>
      </c>
      <c r="T132">
        <f>IF(COUNT($E$2:$E132)&lt;14,"",MAX($C$119:$C$132))</f>
        <v>0</v>
      </c>
      <c r="U132">
        <f>IF(COUNT($E$2:$E132)&lt;14,"",MIN($D$119:$D$132))</f>
        <v>0</v>
      </c>
      <c r="V132">
        <f>IF(OR(T132="",U132="",T132=U132),"",100*($E132-U132)/(T132-U132))</f>
        <v>0</v>
      </c>
      <c r="W132">
        <f>IF(COUNT($V$130:$V$132)&lt;3,"",AVERAGE($V$130:$V$132))</f>
        <v>0</v>
      </c>
      <c r="X132">
        <f>IF(COUNT($N$119:$N$132)&lt;14,"",MIN($N$119:$N$132))</f>
        <v>0</v>
      </c>
      <c r="Y132">
        <f>IF(COUNT($N$119:$N$132)&lt;14,"",MAX($N$119:$N$132))</f>
        <v>0</v>
      </c>
      <c r="Z132">
        <f>IF(OR(N132="",X132="",Y132="",Y132=X132),"",100*(N132-X132)/(Y132-X132))</f>
        <v>0</v>
      </c>
      <c r="AA132">
        <f>IF(COUNT($Z$130:$Z$132)&lt;3,"",AVERAGE($Z$130:$Z$132))</f>
        <v>0</v>
      </c>
      <c r="AB132">
        <f>IF(COUNT($AA$130:$AA$132)&lt;3,"",AVERAGE($AA$130:$AA$132))</f>
        <v>0</v>
      </c>
      <c r="AC132">
        <f>IF($E132="","",MAX($C132-$D132,ABS($C132-$E131),ABS($D132-$E131)))</f>
        <v>0</v>
      </c>
      <c r="AD132">
        <f>IF(COUNT($E$2:$E132)&lt;15,"",AVERAGE($AC$119:$AC$132))</f>
        <v>0</v>
      </c>
      <c r="AE132">
        <f>IF(OR($E132="",$E131=""),"",IF(AND(($C132-$C131)&gt;($D131-$D132),($C132-$C131)&gt;0),$C132-$C131,0))</f>
        <v>0</v>
      </c>
      <c r="AF132">
        <f>IF(OR($E132="",$E131=""),"",IF(AND(($D131-$D132)&gt;($C132-$C131),($D131-$D132)&gt;0),$D131-$D132,0))</f>
        <v>0</v>
      </c>
      <c r="AG132">
        <f>IF(COUNT($E$2:$E132)&lt;15,"",IF(SUM($AC$119:$AC$132)=0,0,100*SUM($AE$119:$AE$132)/SUM($AC$119:$AC$132)))</f>
        <v>0</v>
      </c>
      <c r="AH132">
        <f>IF(COUNT($E$2:$E132)&lt;15,"",IF(SUM($AC$119:$AC$132)=0,0,100*SUM($AF$119:$AF$132)/SUM($AC$119:$AC$132)))</f>
        <v>0</v>
      </c>
      <c r="AI132">
        <f>IF(OR(AG132="",AH132=""),"",IF((AG132+AH132)=0,0,100*ABS(AG132-AH132)/(AG132+AH132)))</f>
        <v>0</v>
      </c>
      <c r="AJ132">
        <f>IF(COUNT($AI$119:$AI$132)&lt;14,"",AVERAGE($AI$119:$AI$132))</f>
        <v>0</v>
      </c>
      <c r="AK132">
        <f>IF(COUNT($E$2:$E132)&lt;20,"",AVERAGE($E$113:$E$132))</f>
        <v>0</v>
      </c>
      <c r="AL132">
        <f>IF(COUNT($E$2:$E132)&lt;20,"",STDEVP($E$113:$E$132))</f>
        <v>0</v>
      </c>
      <c r="AM132">
        <f>IF(AK132="","",AK132+2*AL132)</f>
        <v>0</v>
      </c>
      <c r="AN132">
        <f>IF(AK132="","",AK132-2*AL132)</f>
        <v>0</v>
      </c>
      <c r="AO132">
        <f>IF(OR(AM132="",AN132="",AM132=AN132),"",($E132-AN132)/(AM132-AN132))</f>
        <v>0</v>
      </c>
      <c r="AP132">
        <f>IF(OR(AM132="",AK132="",AK132=0),"",(AM132-AN132)/AK132)</f>
        <v>0</v>
      </c>
      <c r="AQ132">
        <f>IF(COUNT($E$2:$E132)&lt;20,"",MAX($C$113:$C$132))</f>
        <v>0</v>
      </c>
      <c r="AR132">
        <f>IF(COUNT($E$2:$E132)&lt;20,"",MIN($D$113:$D$132))</f>
        <v>0</v>
      </c>
      <c r="AS132">
        <f>IF(OR(AQ132="",AR132=""),"",(AQ132+AR132)/2)</f>
        <v>0</v>
      </c>
      <c r="AT132">
        <f>IF(COUNT($G$113:$G$132)&lt;20,"",STDEV($G$113:$G$132)*SQRT(52))</f>
        <v>0</v>
      </c>
      <c r="AU132">
        <f>IF(COUNT($E$2:$E132)&lt;9,"",(MAX($C$124:$C$132)+MIN($D$124:$D$132))/2)</f>
        <v>0</v>
      </c>
      <c r="AV132">
        <f>IF(COUNT($E$2:$E132)&lt;26,"",(MAX($C$107:$C$132)+MIN($D$107:$D$132))/2)</f>
        <v>0</v>
      </c>
      <c r="AW132">
        <f>IF(OR(AU132="",AV132=""),"",(AU132+AV132)/2)</f>
        <v>0</v>
      </c>
      <c r="AX132">
        <f>IF(COUNT($E$2:$E132)&lt;52,"",(MAX($C$81:$C$132)+MIN($D$81:$D$132))/2)</f>
        <v>0</v>
      </c>
      <c r="AY132">
        <f>IF(COUNT($E$2:$E132)&lt;20,"",MAX($C$33:$C$132))</f>
        <v>0</v>
      </c>
      <c r="AZ132">
        <f>IF(COUNT($E$2:$E132)&lt;20,"",MIN($D$33:$D$132))</f>
        <v>0</v>
      </c>
      <c r="BA132">
        <f>IF(COUNT($E$2:$E132)&lt;20,"",SLOPE($E$33:$E$132,$F$33:$F$132))</f>
        <v>0</v>
      </c>
      <c r="BB132">
        <f>IF(COUNT($E$2:$E132)&lt;20,"",INTERCEPT($E$33:$E$132,$F$33:$F$132))</f>
        <v>0</v>
      </c>
      <c r="BC132">
        <f>IF(OR(BA132="",BB132=""),"",BB132+BA132*F132)</f>
        <v>0</v>
      </c>
      <c r="BD132">
        <f>IF(COUNT($E$2:$E132)&lt;20,"",STEYX($E$33:$E$132,$F$33:$F$132))</f>
        <v>0</v>
      </c>
      <c r="BE132">
        <f>IF($E132="","",IF(AND(COUNT($E$133:$E$136)&gt;=4,$C132=MAX($C$128:$C$136)),$C132,""))</f>
        <v>0</v>
      </c>
      <c r="BF132">
        <f>IF($E132="","",IF(AND(COUNT($E$133:$E$136)&gt;=4,$D132=MIN($D$128:$D$136)),$D132,""))</f>
        <v>0</v>
      </c>
      <c r="BG132">
        <f>IFERROR(SMALL(Calc_Daily!$BM$2:$BM$2001,131),"")</f>
        <v>0</v>
      </c>
    </row>
    <row r="133" spans="1:59">
      <c r="A133" s="27">
        <f>IF($BG133="","",INDEX(Calc_Daily!$A$2:$A$2001,$BG133))</f>
        <v>0</v>
      </c>
      <c r="B133">
        <f>IF($BG133="","",INDEX(Calc_Daily!$BJ$2:$BJ$2001,$BG133))</f>
        <v>0</v>
      </c>
      <c r="C133">
        <f>IF($BG133="","",INDEX(Calc_Daily!$BK$2:$BK$2001,$BG133))</f>
        <v>0</v>
      </c>
      <c r="D133">
        <f>IF($BG133="","",INDEX(Calc_Daily!$BL$2:$BL$2001,$BG133))</f>
        <v>0</v>
      </c>
      <c r="E133">
        <f>IF($BG133="","",INDEX(Calc_Daily!$E$2:$E$2001,$BG133))</f>
        <v>0</v>
      </c>
      <c r="F133">
        <f>IF($E133="","",N(F132)+1)</f>
        <v>0</v>
      </c>
      <c r="G133">
        <f>IF(OR($E133="",$E132=""),"",LN($E133/$E132))</f>
        <v>0</v>
      </c>
      <c r="H133">
        <f>IF($E133="","",IF($E132="",$E133,$E133*0.0952380952+H132*0.9047619048))</f>
        <v>0</v>
      </c>
      <c r="I133">
        <f>IF($E133="","",IF($E132="",$E133,$E133*0.0392156863+I132*0.9607843137))</f>
        <v>0</v>
      </c>
      <c r="J133">
        <f>IF($E133="","",IF($E132="",$E133,$E133*0.0198019802+J132*0.9801980198))</f>
        <v>0</v>
      </c>
      <c r="K133">
        <f>IF($E133="","",IF($E132="",$E133,$E133*0.0099502488+K132*0.9900497512))</f>
        <v>0</v>
      </c>
      <c r="L133">
        <f>IF(OR($E133="",$E132=""),"",MAX($E133-$E132,0))</f>
        <v>0</v>
      </c>
      <c r="M133">
        <f>IF(OR($E133="",$E132=""),"",MAX($E132-$E133,0))</f>
        <v>0</v>
      </c>
      <c r="N133">
        <f>IF(COUNT($E$2:$E133)&lt;15,"",IF(AVERAGE($M$120:$M$133)=0,100,100-100/(1+AVERAGE($L$120:$L$133)/AVERAGE($M$120:$M$133))))</f>
        <v>0</v>
      </c>
      <c r="O133">
        <f>IF($E133="","",IF($E132="",$E133,$E133*0.1538461538+O132*0.8461538462))</f>
        <v>0</v>
      </c>
      <c r="P133">
        <f>IF($E133="","",IF($E132="",$E133,$E133*0.0740740741+P132*0.9259259259))</f>
        <v>0</v>
      </c>
      <c r="Q133">
        <f>IF(OR(O133="",P133=""),"",O133-P133)</f>
        <v>0</v>
      </c>
      <c r="R133">
        <f>IF(Q133="","",IF(R132="",Q133,Q133*0.2000000000+R132*0.8000000000))</f>
        <v>0</v>
      </c>
      <c r="S133">
        <f>IF(OR(Q133="",R133=""),"",Q133-R133)</f>
        <v>0</v>
      </c>
      <c r="T133">
        <f>IF(COUNT($E$2:$E133)&lt;14,"",MAX($C$120:$C$133))</f>
        <v>0</v>
      </c>
      <c r="U133">
        <f>IF(COUNT($E$2:$E133)&lt;14,"",MIN($D$120:$D$133))</f>
        <v>0</v>
      </c>
      <c r="V133">
        <f>IF(OR(T133="",U133="",T133=U133),"",100*($E133-U133)/(T133-U133))</f>
        <v>0</v>
      </c>
      <c r="W133">
        <f>IF(COUNT($V$131:$V$133)&lt;3,"",AVERAGE($V$131:$V$133))</f>
        <v>0</v>
      </c>
      <c r="X133">
        <f>IF(COUNT($N$120:$N$133)&lt;14,"",MIN($N$120:$N$133))</f>
        <v>0</v>
      </c>
      <c r="Y133">
        <f>IF(COUNT($N$120:$N$133)&lt;14,"",MAX($N$120:$N$133))</f>
        <v>0</v>
      </c>
      <c r="Z133">
        <f>IF(OR(N133="",X133="",Y133="",Y133=X133),"",100*(N133-X133)/(Y133-X133))</f>
        <v>0</v>
      </c>
      <c r="AA133">
        <f>IF(COUNT($Z$131:$Z$133)&lt;3,"",AVERAGE($Z$131:$Z$133))</f>
        <v>0</v>
      </c>
      <c r="AB133">
        <f>IF(COUNT($AA$131:$AA$133)&lt;3,"",AVERAGE($AA$131:$AA$133))</f>
        <v>0</v>
      </c>
      <c r="AC133">
        <f>IF($E133="","",MAX($C133-$D133,ABS($C133-$E132),ABS($D133-$E132)))</f>
        <v>0</v>
      </c>
      <c r="AD133">
        <f>IF(COUNT($E$2:$E133)&lt;15,"",AVERAGE($AC$120:$AC$133))</f>
        <v>0</v>
      </c>
      <c r="AE133">
        <f>IF(OR($E133="",$E132=""),"",IF(AND(($C133-$C132)&gt;($D132-$D133),($C133-$C132)&gt;0),$C133-$C132,0))</f>
        <v>0</v>
      </c>
      <c r="AF133">
        <f>IF(OR($E133="",$E132=""),"",IF(AND(($D132-$D133)&gt;($C133-$C132),($D132-$D133)&gt;0),$D132-$D133,0))</f>
        <v>0</v>
      </c>
      <c r="AG133">
        <f>IF(COUNT($E$2:$E133)&lt;15,"",IF(SUM($AC$120:$AC$133)=0,0,100*SUM($AE$120:$AE$133)/SUM($AC$120:$AC$133)))</f>
        <v>0</v>
      </c>
      <c r="AH133">
        <f>IF(COUNT($E$2:$E133)&lt;15,"",IF(SUM($AC$120:$AC$133)=0,0,100*SUM($AF$120:$AF$133)/SUM($AC$120:$AC$133)))</f>
        <v>0</v>
      </c>
      <c r="AI133">
        <f>IF(OR(AG133="",AH133=""),"",IF((AG133+AH133)=0,0,100*ABS(AG133-AH133)/(AG133+AH133)))</f>
        <v>0</v>
      </c>
      <c r="AJ133">
        <f>IF(COUNT($AI$120:$AI$133)&lt;14,"",AVERAGE($AI$120:$AI$133))</f>
        <v>0</v>
      </c>
      <c r="AK133">
        <f>IF(COUNT($E$2:$E133)&lt;20,"",AVERAGE($E$114:$E$133))</f>
        <v>0</v>
      </c>
      <c r="AL133">
        <f>IF(COUNT($E$2:$E133)&lt;20,"",STDEVP($E$114:$E$133))</f>
        <v>0</v>
      </c>
      <c r="AM133">
        <f>IF(AK133="","",AK133+2*AL133)</f>
        <v>0</v>
      </c>
      <c r="AN133">
        <f>IF(AK133="","",AK133-2*AL133)</f>
        <v>0</v>
      </c>
      <c r="AO133">
        <f>IF(OR(AM133="",AN133="",AM133=AN133),"",($E133-AN133)/(AM133-AN133))</f>
        <v>0</v>
      </c>
      <c r="AP133">
        <f>IF(OR(AM133="",AK133="",AK133=0),"",(AM133-AN133)/AK133)</f>
        <v>0</v>
      </c>
      <c r="AQ133">
        <f>IF(COUNT($E$2:$E133)&lt;20,"",MAX($C$114:$C$133))</f>
        <v>0</v>
      </c>
      <c r="AR133">
        <f>IF(COUNT($E$2:$E133)&lt;20,"",MIN($D$114:$D$133))</f>
        <v>0</v>
      </c>
      <c r="AS133">
        <f>IF(OR(AQ133="",AR133=""),"",(AQ133+AR133)/2)</f>
        <v>0</v>
      </c>
      <c r="AT133">
        <f>IF(COUNT($G$114:$G$133)&lt;20,"",STDEV($G$114:$G$133)*SQRT(52))</f>
        <v>0</v>
      </c>
      <c r="AU133">
        <f>IF(COUNT($E$2:$E133)&lt;9,"",(MAX($C$125:$C$133)+MIN($D$125:$D$133))/2)</f>
        <v>0</v>
      </c>
      <c r="AV133">
        <f>IF(COUNT($E$2:$E133)&lt;26,"",(MAX($C$108:$C$133)+MIN($D$108:$D$133))/2)</f>
        <v>0</v>
      </c>
      <c r="AW133">
        <f>IF(OR(AU133="",AV133=""),"",(AU133+AV133)/2)</f>
        <v>0</v>
      </c>
      <c r="AX133">
        <f>IF(COUNT($E$2:$E133)&lt;52,"",(MAX($C$82:$C$133)+MIN($D$82:$D$133))/2)</f>
        <v>0</v>
      </c>
      <c r="AY133">
        <f>IF(COUNT($E$2:$E133)&lt;20,"",MAX($C$34:$C$133))</f>
        <v>0</v>
      </c>
      <c r="AZ133">
        <f>IF(COUNT($E$2:$E133)&lt;20,"",MIN($D$34:$D$133))</f>
        <v>0</v>
      </c>
      <c r="BA133">
        <f>IF(COUNT($E$2:$E133)&lt;20,"",SLOPE($E$34:$E$133,$F$34:$F$133))</f>
        <v>0</v>
      </c>
      <c r="BB133">
        <f>IF(COUNT($E$2:$E133)&lt;20,"",INTERCEPT($E$34:$E$133,$F$34:$F$133))</f>
        <v>0</v>
      </c>
      <c r="BC133">
        <f>IF(OR(BA133="",BB133=""),"",BB133+BA133*F133)</f>
        <v>0</v>
      </c>
      <c r="BD133">
        <f>IF(COUNT($E$2:$E133)&lt;20,"",STEYX($E$34:$E$133,$F$34:$F$133))</f>
        <v>0</v>
      </c>
      <c r="BE133">
        <f>IF($E133="","",IF(AND(COUNT($E$134:$E$137)&gt;=4,$C133=MAX($C$129:$C$137)),$C133,""))</f>
        <v>0</v>
      </c>
      <c r="BF133">
        <f>IF($E133="","",IF(AND(COUNT($E$134:$E$137)&gt;=4,$D133=MIN($D$129:$D$137)),$D133,""))</f>
        <v>0</v>
      </c>
      <c r="BG133">
        <f>IFERROR(SMALL(Calc_Daily!$BM$2:$BM$2001,132),"")</f>
        <v>0</v>
      </c>
    </row>
    <row r="134" spans="1:59">
      <c r="A134" s="27">
        <f>IF($BG134="","",INDEX(Calc_Daily!$A$2:$A$2001,$BG134))</f>
        <v>0</v>
      </c>
      <c r="B134">
        <f>IF($BG134="","",INDEX(Calc_Daily!$BJ$2:$BJ$2001,$BG134))</f>
        <v>0</v>
      </c>
      <c r="C134">
        <f>IF($BG134="","",INDEX(Calc_Daily!$BK$2:$BK$2001,$BG134))</f>
        <v>0</v>
      </c>
      <c r="D134">
        <f>IF($BG134="","",INDEX(Calc_Daily!$BL$2:$BL$2001,$BG134))</f>
        <v>0</v>
      </c>
      <c r="E134">
        <f>IF($BG134="","",INDEX(Calc_Daily!$E$2:$E$2001,$BG134))</f>
        <v>0</v>
      </c>
      <c r="F134">
        <f>IF($E134="","",N(F133)+1)</f>
        <v>0</v>
      </c>
      <c r="G134">
        <f>IF(OR($E134="",$E133=""),"",LN($E134/$E133))</f>
        <v>0</v>
      </c>
      <c r="H134">
        <f>IF($E134="","",IF($E133="",$E134,$E134*0.0952380952+H133*0.9047619048))</f>
        <v>0</v>
      </c>
      <c r="I134">
        <f>IF($E134="","",IF($E133="",$E134,$E134*0.0392156863+I133*0.9607843137))</f>
        <v>0</v>
      </c>
      <c r="J134">
        <f>IF($E134="","",IF($E133="",$E134,$E134*0.0198019802+J133*0.9801980198))</f>
        <v>0</v>
      </c>
      <c r="K134">
        <f>IF($E134="","",IF($E133="",$E134,$E134*0.0099502488+K133*0.9900497512))</f>
        <v>0</v>
      </c>
      <c r="L134">
        <f>IF(OR($E134="",$E133=""),"",MAX($E134-$E133,0))</f>
        <v>0</v>
      </c>
      <c r="M134">
        <f>IF(OR($E134="",$E133=""),"",MAX($E133-$E134,0))</f>
        <v>0</v>
      </c>
      <c r="N134">
        <f>IF(COUNT($E$2:$E134)&lt;15,"",IF(AVERAGE($M$121:$M$134)=0,100,100-100/(1+AVERAGE($L$121:$L$134)/AVERAGE($M$121:$M$134))))</f>
        <v>0</v>
      </c>
      <c r="O134">
        <f>IF($E134="","",IF($E133="",$E134,$E134*0.1538461538+O133*0.8461538462))</f>
        <v>0</v>
      </c>
      <c r="P134">
        <f>IF($E134="","",IF($E133="",$E134,$E134*0.0740740741+P133*0.9259259259))</f>
        <v>0</v>
      </c>
      <c r="Q134">
        <f>IF(OR(O134="",P134=""),"",O134-P134)</f>
        <v>0</v>
      </c>
      <c r="R134">
        <f>IF(Q134="","",IF(R133="",Q134,Q134*0.2000000000+R133*0.8000000000))</f>
        <v>0</v>
      </c>
      <c r="S134">
        <f>IF(OR(Q134="",R134=""),"",Q134-R134)</f>
        <v>0</v>
      </c>
      <c r="T134">
        <f>IF(COUNT($E$2:$E134)&lt;14,"",MAX($C$121:$C$134))</f>
        <v>0</v>
      </c>
      <c r="U134">
        <f>IF(COUNT($E$2:$E134)&lt;14,"",MIN($D$121:$D$134))</f>
        <v>0</v>
      </c>
      <c r="V134">
        <f>IF(OR(T134="",U134="",T134=U134),"",100*($E134-U134)/(T134-U134))</f>
        <v>0</v>
      </c>
      <c r="W134">
        <f>IF(COUNT($V$132:$V$134)&lt;3,"",AVERAGE($V$132:$V$134))</f>
        <v>0</v>
      </c>
      <c r="X134">
        <f>IF(COUNT($N$121:$N$134)&lt;14,"",MIN($N$121:$N$134))</f>
        <v>0</v>
      </c>
      <c r="Y134">
        <f>IF(COUNT($N$121:$N$134)&lt;14,"",MAX($N$121:$N$134))</f>
        <v>0</v>
      </c>
      <c r="Z134">
        <f>IF(OR(N134="",X134="",Y134="",Y134=X134),"",100*(N134-X134)/(Y134-X134))</f>
        <v>0</v>
      </c>
      <c r="AA134">
        <f>IF(COUNT($Z$132:$Z$134)&lt;3,"",AVERAGE($Z$132:$Z$134))</f>
        <v>0</v>
      </c>
      <c r="AB134">
        <f>IF(COUNT($AA$132:$AA$134)&lt;3,"",AVERAGE($AA$132:$AA$134))</f>
        <v>0</v>
      </c>
      <c r="AC134">
        <f>IF($E134="","",MAX($C134-$D134,ABS($C134-$E133),ABS($D134-$E133)))</f>
        <v>0</v>
      </c>
      <c r="AD134">
        <f>IF(COUNT($E$2:$E134)&lt;15,"",AVERAGE($AC$121:$AC$134))</f>
        <v>0</v>
      </c>
      <c r="AE134">
        <f>IF(OR($E134="",$E133=""),"",IF(AND(($C134-$C133)&gt;($D133-$D134),($C134-$C133)&gt;0),$C134-$C133,0))</f>
        <v>0</v>
      </c>
      <c r="AF134">
        <f>IF(OR($E134="",$E133=""),"",IF(AND(($D133-$D134)&gt;($C134-$C133),($D133-$D134)&gt;0),$D133-$D134,0))</f>
        <v>0</v>
      </c>
      <c r="AG134">
        <f>IF(COUNT($E$2:$E134)&lt;15,"",IF(SUM($AC$121:$AC$134)=0,0,100*SUM($AE$121:$AE$134)/SUM($AC$121:$AC$134)))</f>
        <v>0</v>
      </c>
      <c r="AH134">
        <f>IF(COUNT($E$2:$E134)&lt;15,"",IF(SUM($AC$121:$AC$134)=0,0,100*SUM($AF$121:$AF$134)/SUM($AC$121:$AC$134)))</f>
        <v>0</v>
      </c>
      <c r="AI134">
        <f>IF(OR(AG134="",AH134=""),"",IF((AG134+AH134)=0,0,100*ABS(AG134-AH134)/(AG134+AH134)))</f>
        <v>0</v>
      </c>
      <c r="AJ134">
        <f>IF(COUNT($AI$121:$AI$134)&lt;14,"",AVERAGE($AI$121:$AI$134))</f>
        <v>0</v>
      </c>
      <c r="AK134">
        <f>IF(COUNT($E$2:$E134)&lt;20,"",AVERAGE($E$115:$E$134))</f>
        <v>0</v>
      </c>
      <c r="AL134">
        <f>IF(COUNT($E$2:$E134)&lt;20,"",STDEVP($E$115:$E$134))</f>
        <v>0</v>
      </c>
      <c r="AM134">
        <f>IF(AK134="","",AK134+2*AL134)</f>
        <v>0</v>
      </c>
      <c r="AN134">
        <f>IF(AK134="","",AK134-2*AL134)</f>
        <v>0</v>
      </c>
      <c r="AO134">
        <f>IF(OR(AM134="",AN134="",AM134=AN134),"",($E134-AN134)/(AM134-AN134))</f>
        <v>0</v>
      </c>
      <c r="AP134">
        <f>IF(OR(AM134="",AK134="",AK134=0),"",(AM134-AN134)/AK134)</f>
        <v>0</v>
      </c>
      <c r="AQ134">
        <f>IF(COUNT($E$2:$E134)&lt;20,"",MAX($C$115:$C$134))</f>
        <v>0</v>
      </c>
      <c r="AR134">
        <f>IF(COUNT($E$2:$E134)&lt;20,"",MIN($D$115:$D$134))</f>
        <v>0</v>
      </c>
      <c r="AS134">
        <f>IF(OR(AQ134="",AR134=""),"",(AQ134+AR134)/2)</f>
        <v>0</v>
      </c>
      <c r="AT134">
        <f>IF(COUNT($G$115:$G$134)&lt;20,"",STDEV($G$115:$G$134)*SQRT(52))</f>
        <v>0</v>
      </c>
      <c r="AU134">
        <f>IF(COUNT($E$2:$E134)&lt;9,"",(MAX($C$126:$C$134)+MIN($D$126:$D$134))/2)</f>
        <v>0</v>
      </c>
      <c r="AV134">
        <f>IF(COUNT($E$2:$E134)&lt;26,"",(MAX($C$109:$C$134)+MIN($D$109:$D$134))/2)</f>
        <v>0</v>
      </c>
      <c r="AW134">
        <f>IF(OR(AU134="",AV134=""),"",(AU134+AV134)/2)</f>
        <v>0</v>
      </c>
      <c r="AX134">
        <f>IF(COUNT($E$2:$E134)&lt;52,"",(MAX($C$83:$C$134)+MIN($D$83:$D$134))/2)</f>
        <v>0</v>
      </c>
      <c r="AY134">
        <f>IF(COUNT($E$2:$E134)&lt;20,"",MAX($C$35:$C$134))</f>
        <v>0</v>
      </c>
      <c r="AZ134">
        <f>IF(COUNT($E$2:$E134)&lt;20,"",MIN($D$35:$D$134))</f>
        <v>0</v>
      </c>
      <c r="BA134">
        <f>IF(COUNT($E$2:$E134)&lt;20,"",SLOPE($E$35:$E$134,$F$35:$F$134))</f>
        <v>0</v>
      </c>
      <c r="BB134">
        <f>IF(COUNT($E$2:$E134)&lt;20,"",INTERCEPT($E$35:$E$134,$F$35:$F$134))</f>
        <v>0</v>
      </c>
      <c r="BC134">
        <f>IF(OR(BA134="",BB134=""),"",BB134+BA134*F134)</f>
        <v>0</v>
      </c>
      <c r="BD134">
        <f>IF(COUNT($E$2:$E134)&lt;20,"",STEYX($E$35:$E$134,$F$35:$F$134))</f>
        <v>0</v>
      </c>
      <c r="BE134">
        <f>IF($E134="","",IF(AND(COUNT($E$135:$E$138)&gt;=4,$C134=MAX($C$130:$C$138)),$C134,""))</f>
        <v>0</v>
      </c>
      <c r="BF134">
        <f>IF($E134="","",IF(AND(COUNT($E$135:$E$138)&gt;=4,$D134=MIN($D$130:$D$138)),$D134,""))</f>
        <v>0</v>
      </c>
      <c r="BG134">
        <f>IFERROR(SMALL(Calc_Daily!$BM$2:$BM$2001,133),"")</f>
        <v>0</v>
      </c>
    </row>
    <row r="135" spans="1:59">
      <c r="A135" s="27">
        <f>IF($BG135="","",INDEX(Calc_Daily!$A$2:$A$2001,$BG135))</f>
        <v>0</v>
      </c>
      <c r="B135">
        <f>IF($BG135="","",INDEX(Calc_Daily!$BJ$2:$BJ$2001,$BG135))</f>
        <v>0</v>
      </c>
      <c r="C135">
        <f>IF($BG135="","",INDEX(Calc_Daily!$BK$2:$BK$2001,$BG135))</f>
        <v>0</v>
      </c>
      <c r="D135">
        <f>IF($BG135="","",INDEX(Calc_Daily!$BL$2:$BL$2001,$BG135))</f>
        <v>0</v>
      </c>
      <c r="E135">
        <f>IF($BG135="","",INDEX(Calc_Daily!$E$2:$E$2001,$BG135))</f>
        <v>0</v>
      </c>
      <c r="F135">
        <f>IF($E135="","",N(F134)+1)</f>
        <v>0</v>
      </c>
      <c r="G135">
        <f>IF(OR($E135="",$E134=""),"",LN($E135/$E134))</f>
        <v>0</v>
      </c>
      <c r="H135">
        <f>IF($E135="","",IF($E134="",$E135,$E135*0.0952380952+H134*0.9047619048))</f>
        <v>0</v>
      </c>
      <c r="I135">
        <f>IF($E135="","",IF($E134="",$E135,$E135*0.0392156863+I134*0.9607843137))</f>
        <v>0</v>
      </c>
      <c r="J135">
        <f>IF($E135="","",IF($E134="",$E135,$E135*0.0198019802+J134*0.9801980198))</f>
        <v>0</v>
      </c>
      <c r="K135">
        <f>IF($E135="","",IF($E134="",$E135,$E135*0.0099502488+K134*0.9900497512))</f>
        <v>0</v>
      </c>
      <c r="L135">
        <f>IF(OR($E135="",$E134=""),"",MAX($E135-$E134,0))</f>
        <v>0</v>
      </c>
      <c r="M135">
        <f>IF(OR($E135="",$E134=""),"",MAX($E134-$E135,0))</f>
        <v>0</v>
      </c>
      <c r="N135">
        <f>IF(COUNT($E$2:$E135)&lt;15,"",IF(AVERAGE($M$122:$M$135)=0,100,100-100/(1+AVERAGE($L$122:$L$135)/AVERAGE($M$122:$M$135))))</f>
        <v>0</v>
      </c>
      <c r="O135">
        <f>IF($E135="","",IF($E134="",$E135,$E135*0.1538461538+O134*0.8461538462))</f>
        <v>0</v>
      </c>
      <c r="P135">
        <f>IF($E135="","",IF($E134="",$E135,$E135*0.0740740741+P134*0.9259259259))</f>
        <v>0</v>
      </c>
      <c r="Q135">
        <f>IF(OR(O135="",P135=""),"",O135-P135)</f>
        <v>0</v>
      </c>
      <c r="R135">
        <f>IF(Q135="","",IF(R134="",Q135,Q135*0.2000000000+R134*0.8000000000))</f>
        <v>0</v>
      </c>
      <c r="S135">
        <f>IF(OR(Q135="",R135=""),"",Q135-R135)</f>
        <v>0</v>
      </c>
      <c r="T135">
        <f>IF(COUNT($E$2:$E135)&lt;14,"",MAX($C$122:$C$135))</f>
        <v>0</v>
      </c>
      <c r="U135">
        <f>IF(COUNT($E$2:$E135)&lt;14,"",MIN($D$122:$D$135))</f>
        <v>0</v>
      </c>
      <c r="V135">
        <f>IF(OR(T135="",U135="",T135=U135),"",100*($E135-U135)/(T135-U135))</f>
        <v>0</v>
      </c>
      <c r="W135">
        <f>IF(COUNT($V$133:$V$135)&lt;3,"",AVERAGE($V$133:$V$135))</f>
        <v>0</v>
      </c>
      <c r="X135">
        <f>IF(COUNT($N$122:$N$135)&lt;14,"",MIN($N$122:$N$135))</f>
        <v>0</v>
      </c>
      <c r="Y135">
        <f>IF(COUNT($N$122:$N$135)&lt;14,"",MAX($N$122:$N$135))</f>
        <v>0</v>
      </c>
      <c r="Z135">
        <f>IF(OR(N135="",X135="",Y135="",Y135=X135),"",100*(N135-X135)/(Y135-X135))</f>
        <v>0</v>
      </c>
      <c r="AA135">
        <f>IF(COUNT($Z$133:$Z$135)&lt;3,"",AVERAGE($Z$133:$Z$135))</f>
        <v>0</v>
      </c>
      <c r="AB135">
        <f>IF(COUNT($AA$133:$AA$135)&lt;3,"",AVERAGE($AA$133:$AA$135))</f>
        <v>0</v>
      </c>
      <c r="AC135">
        <f>IF($E135="","",MAX($C135-$D135,ABS($C135-$E134),ABS($D135-$E134)))</f>
        <v>0</v>
      </c>
      <c r="AD135">
        <f>IF(COUNT($E$2:$E135)&lt;15,"",AVERAGE($AC$122:$AC$135))</f>
        <v>0</v>
      </c>
      <c r="AE135">
        <f>IF(OR($E135="",$E134=""),"",IF(AND(($C135-$C134)&gt;($D134-$D135),($C135-$C134)&gt;0),$C135-$C134,0))</f>
        <v>0</v>
      </c>
      <c r="AF135">
        <f>IF(OR($E135="",$E134=""),"",IF(AND(($D134-$D135)&gt;($C135-$C134),($D134-$D135)&gt;0),$D134-$D135,0))</f>
        <v>0</v>
      </c>
      <c r="AG135">
        <f>IF(COUNT($E$2:$E135)&lt;15,"",IF(SUM($AC$122:$AC$135)=0,0,100*SUM($AE$122:$AE$135)/SUM($AC$122:$AC$135)))</f>
        <v>0</v>
      </c>
      <c r="AH135">
        <f>IF(COUNT($E$2:$E135)&lt;15,"",IF(SUM($AC$122:$AC$135)=0,0,100*SUM($AF$122:$AF$135)/SUM($AC$122:$AC$135)))</f>
        <v>0</v>
      </c>
      <c r="AI135">
        <f>IF(OR(AG135="",AH135=""),"",IF((AG135+AH135)=0,0,100*ABS(AG135-AH135)/(AG135+AH135)))</f>
        <v>0</v>
      </c>
      <c r="AJ135">
        <f>IF(COUNT($AI$122:$AI$135)&lt;14,"",AVERAGE($AI$122:$AI$135))</f>
        <v>0</v>
      </c>
      <c r="AK135">
        <f>IF(COUNT($E$2:$E135)&lt;20,"",AVERAGE($E$116:$E$135))</f>
        <v>0</v>
      </c>
      <c r="AL135">
        <f>IF(COUNT($E$2:$E135)&lt;20,"",STDEVP($E$116:$E$135))</f>
        <v>0</v>
      </c>
      <c r="AM135">
        <f>IF(AK135="","",AK135+2*AL135)</f>
        <v>0</v>
      </c>
      <c r="AN135">
        <f>IF(AK135="","",AK135-2*AL135)</f>
        <v>0</v>
      </c>
      <c r="AO135">
        <f>IF(OR(AM135="",AN135="",AM135=AN135),"",($E135-AN135)/(AM135-AN135))</f>
        <v>0</v>
      </c>
      <c r="AP135">
        <f>IF(OR(AM135="",AK135="",AK135=0),"",(AM135-AN135)/AK135)</f>
        <v>0</v>
      </c>
      <c r="AQ135">
        <f>IF(COUNT($E$2:$E135)&lt;20,"",MAX($C$116:$C$135))</f>
        <v>0</v>
      </c>
      <c r="AR135">
        <f>IF(COUNT($E$2:$E135)&lt;20,"",MIN($D$116:$D$135))</f>
        <v>0</v>
      </c>
      <c r="AS135">
        <f>IF(OR(AQ135="",AR135=""),"",(AQ135+AR135)/2)</f>
        <v>0</v>
      </c>
      <c r="AT135">
        <f>IF(COUNT($G$116:$G$135)&lt;20,"",STDEV($G$116:$G$135)*SQRT(52))</f>
        <v>0</v>
      </c>
      <c r="AU135">
        <f>IF(COUNT($E$2:$E135)&lt;9,"",(MAX($C$127:$C$135)+MIN($D$127:$D$135))/2)</f>
        <v>0</v>
      </c>
      <c r="AV135">
        <f>IF(COUNT($E$2:$E135)&lt;26,"",(MAX($C$110:$C$135)+MIN($D$110:$D$135))/2)</f>
        <v>0</v>
      </c>
      <c r="AW135">
        <f>IF(OR(AU135="",AV135=""),"",(AU135+AV135)/2)</f>
        <v>0</v>
      </c>
      <c r="AX135">
        <f>IF(COUNT($E$2:$E135)&lt;52,"",(MAX($C$84:$C$135)+MIN($D$84:$D$135))/2)</f>
        <v>0</v>
      </c>
      <c r="AY135">
        <f>IF(COUNT($E$2:$E135)&lt;20,"",MAX($C$36:$C$135))</f>
        <v>0</v>
      </c>
      <c r="AZ135">
        <f>IF(COUNT($E$2:$E135)&lt;20,"",MIN($D$36:$D$135))</f>
        <v>0</v>
      </c>
      <c r="BA135">
        <f>IF(COUNT($E$2:$E135)&lt;20,"",SLOPE($E$36:$E$135,$F$36:$F$135))</f>
        <v>0</v>
      </c>
      <c r="BB135">
        <f>IF(COUNT($E$2:$E135)&lt;20,"",INTERCEPT($E$36:$E$135,$F$36:$F$135))</f>
        <v>0</v>
      </c>
      <c r="BC135">
        <f>IF(OR(BA135="",BB135=""),"",BB135+BA135*F135)</f>
        <v>0</v>
      </c>
      <c r="BD135">
        <f>IF(COUNT($E$2:$E135)&lt;20,"",STEYX($E$36:$E$135,$F$36:$F$135))</f>
        <v>0</v>
      </c>
      <c r="BE135">
        <f>IF($E135="","",IF(AND(COUNT($E$136:$E$139)&gt;=4,$C135=MAX($C$131:$C$139)),$C135,""))</f>
        <v>0</v>
      </c>
      <c r="BF135">
        <f>IF($E135="","",IF(AND(COUNT($E$136:$E$139)&gt;=4,$D135=MIN($D$131:$D$139)),$D135,""))</f>
        <v>0</v>
      </c>
      <c r="BG135">
        <f>IFERROR(SMALL(Calc_Daily!$BM$2:$BM$2001,134),"")</f>
        <v>0</v>
      </c>
    </row>
    <row r="136" spans="1:59">
      <c r="A136" s="27">
        <f>IF($BG136="","",INDEX(Calc_Daily!$A$2:$A$2001,$BG136))</f>
        <v>0</v>
      </c>
      <c r="B136">
        <f>IF($BG136="","",INDEX(Calc_Daily!$BJ$2:$BJ$2001,$BG136))</f>
        <v>0</v>
      </c>
      <c r="C136">
        <f>IF($BG136="","",INDEX(Calc_Daily!$BK$2:$BK$2001,$BG136))</f>
        <v>0</v>
      </c>
      <c r="D136">
        <f>IF($BG136="","",INDEX(Calc_Daily!$BL$2:$BL$2001,$BG136))</f>
        <v>0</v>
      </c>
      <c r="E136">
        <f>IF($BG136="","",INDEX(Calc_Daily!$E$2:$E$2001,$BG136))</f>
        <v>0</v>
      </c>
      <c r="F136">
        <f>IF($E136="","",N(F135)+1)</f>
        <v>0</v>
      </c>
      <c r="G136">
        <f>IF(OR($E136="",$E135=""),"",LN($E136/$E135))</f>
        <v>0</v>
      </c>
      <c r="H136">
        <f>IF($E136="","",IF($E135="",$E136,$E136*0.0952380952+H135*0.9047619048))</f>
        <v>0</v>
      </c>
      <c r="I136">
        <f>IF($E136="","",IF($E135="",$E136,$E136*0.0392156863+I135*0.9607843137))</f>
        <v>0</v>
      </c>
      <c r="J136">
        <f>IF($E136="","",IF($E135="",$E136,$E136*0.0198019802+J135*0.9801980198))</f>
        <v>0</v>
      </c>
      <c r="K136">
        <f>IF($E136="","",IF($E135="",$E136,$E136*0.0099502488+K135*0.9900497512))</f>
        <v>0</v>
      </c>
      <c r="L136">
        <f>IF(OR($E136="",$E135=""),"",MAX($E136-$E135,0))</f>
        <v>0</v>
      </c>
      <c r="M136">
        <f>IF(OR($E136="",$E135=""),"",MAX($E135-$E136,0))</f>
        <v>0</v>
      </c>
      <c r="N136">
        <f>IF(COUNT($E$2:$E136)&lt;15,"",IF(AVERAGE($M$123:$M$136)=0,100,100-100/(1+AVERAGE($L$123:$L$136)/AVERAGE($M$123:$M$136))))</f>
        <v>0</v>
      </c>
      <c r="O136">
        <f>IF($E136="","",IF($E135="",$E136,$E136*0.1538461538+O135*0.8461538462))</f>
        <v>0</v>
      </c>
      <c r="P136">
        <f>IF($E136="","",IF($E135="",$E136,$E136*0.0740740741+P135*0.9259259259))</f>
        <v>0</v>
      </c>
      <c r="Q136">
        <f>IF(OR(O136="",P136=""),"",O136-P136)</f>
        <v>0</v>
      </c>
      <c r="R136">
        <f>IF(Q136="","",IF(R135="",Q136,Q136*0.2000000000+R135*0.8000000000))</f>
        <v>0</v>
      </c>
      <c r="S136">
        <f>IF(OR(Q136="",R136=""),"",Q136-R136)</f>
        <v>0</v>
      </c>
      <c r="T136">
        <f>IF(COUNT($E$2:$E136)&lt;14,"",MAX($C$123:$C$136))</f>
        <v>0</v>
      </c>
      <c r="U136">
        <f>IF(COUNT($E$2:$E136)&lt;14,"",MIN($D$123:$D$136))</f>
        <v>0</v>
      </c>
      <c r="V136">
        <f>IF(OR(T136="",U136="",T136=U136),"",100*($E136-U136)/(T136-U136))</f>
        <v>0</v>
      </c>
      <c r="W136">
        <f>IF(COUNT($V$134:$V$136)&lt;3,"",AVERAGE($V$134:$V$136))</f>
        <v>0</v>
      </c>
      <c r="X136">
        <f>IF(COUNT($N$123:$N$136)&lt;14,"",MIN($N$123:$N$136))</f>
        <v>0</v>
      </c>
      <c r="Y136">
        <f>IF(COUNT($N$123:$N$136)&lt;14,"",MAX($N$123:$N$136))</f>
        <v>0</v>
      </c>
      <c r="Z136">
        <f>IF(OR(N136="",X136="",Y136="",Y136=X136),"",100*(N136-X136)/(Y136-X136))</f>
        <v>0</v>
      </c>
      <c r="AA136">
        <f>IF(COUNT($Z$134:$Z$136)&lt;3,"",AVERAGE($Z$134:$Z$136))</f>
        <v>0</v>
      </c>
      <c r="AB136">
        <f>IF(COUNT($AA$134:$AA$136)&lt;3,"",AVERAGE($AA$134:$AA$136))</f>
        <v>0</v>
      </c>
      <c r="AC136">
        <f>IF($E136="","",MAX($C136-$D136,ABS($C136-$E135),ABS($D136-$E135)))</f>
        <v>0</v>
      </c>
      <c r="AD136">
        <f>IF(COUNT($E$2:$E136)&lt;15,"",AVERAGE($AC$123:$AC$136))</f>
        <v>0</v>
      </c>
      <c r="AE136">
        <f>IF(OR($E136="",$E135=""),"",IF(AND(($C136-$C135)&gt;($D135-$D136),($C136-$C135)&gt;0),$C136-$C135,0))</f>
        <v>0</v>
      </c>
      <c r="AF136">
        <f>IF(OR($E136="",$E135=""),"",IF(AND(($D135-$D136)&gt;($C136-$C135),($D135-$D136)&gt;0),$D135-$D136,0))</f>
        <v>0</v>
      </c>
      <c r="AG136">
        <f>IF(COUNT($E$2:$E136)&lt;15,"",IF(SUM($AC$123:$AC$136)=0,0,100*SUM($AE$123:$AE$136)/SUM($AC$123:$AC$136)))</f>
        <v>0</v>
      </c>
      <c r="AH136">
        <f>IF(COUNT($E$2:$E136)&lt;15,"",IF(SUM($AC$123:$AC$136)=0,0,100*SUM($AF$123:$AF$136)/SUM($AC$123:$AC$136)))</f>
        <v>0</v>
      </c>
      <c r="AI136">
        <f>IF(OR(AG136="",AH136=""),"",IF((AG136+AH136)=0,0,100*ABS(AG136-AH136)/(AG136+AH136)))</f>
        <v>0</v>
      </c>
      <c r="AJ136">
        <f>IF(COUNT($AI$123:$AI$136)&lt;14,"",AVERAGE($AI$123:$AI$136))</f>
        <v>0</v>
      </c>
      <c r="AK136">
        <f>IF(COUNT($E$2:$E136)&lt;20,"",AVERAGE($E$117:$E$136))</f>
        <v>0</v>
      </c>
      <c r="AL136">
        <f>IF(COUNT($E$2:$E136)&lt;20,"",STDEVP($E$117:$E$136))</f>
        <v>0</v>
      </c>
      <c r="AM136">
        <f>IF(AK136="","",AK136+2*AL136)</f>
        <v>0</v>
      </c>
      <c r="AN136">
        <f>IF(AK136="","",AK136-2*AL136)</f>
        <v>0</v>
      </c>
      <c r="AO136">
        <f>IF(OR(AM136="",AN136="",AM136=AN136),"",($E136-AN136)/(AM136-AN136))</f>
        <v>0</v>
      </c>
      <c r="AP136">
        <f>IF(OR(AM136="",AK136="",AK136=0),"",(AM136-AN136)/AK136)</f>
        <v>0</v>
      </c>
      <c r="AQ136">
        <f>IF(COUNT($E$2:$E136)&lt;20,"",MAX($C$117:$C$136))</f>
        <v>0</v>
      </c>
      <c r="AR136">
        <f>IF(COUNT($E$2:$E136)&lt;20,"",MIN($D$117:$D$136))</f>
        <v>0</v>
      </c>
      <c r="AS136">
        <f>IF(OR(AQ136="",AR136=""),"",(AQ136+AR136)/2)</f>
        <v>0</v>
      </c>
      <c r="AT136">
        <f>IF(COUNT($G$117:$G$136)&lt;20,"",STDEV($G$117:$G$136)*SQRT(52))</f>
        <v>0</v>
      </c>
      <c r="AU136">
        <f>IF(COUNT($E$2:$E136)&lt;9,"",(MAX($C$128:$C$136)+MIN($D$128:$D$136))/2)</f>
        <v>0</v>
      </c>
      <c r="AV136">
        <f>IF(COUNT($E$2:$E136)&lt;26,"",(MAX($C$111:$C$136)+MIN($D$111:$D$136))/2)</f>
        <v>0</v>
      </c>
      <c r="AW136">
        <f>IF(OR(AU136="",AV136=""),"",(AU136+AV136)/2)</f>
        <v>0</v>
      </c>
      <c r="AX136">
        <f>IF(COUNT($E$2:$E136)&lt;52,"",(MAX($C$85:$C$136)+MIN($D$85:$D$136))/2)</f>
        <v>0</v>
      </c>
      <c r="AY136">
        <f>IF(COUNT($E$2:$E136)&lt;20,"",MAX($C$37:$C$136))</f>
        <v>0</v>
      </c>
      <c r="AZ136">
        <f>IF(COUNT($E$2:$E136)&lt;20,"",MIN($D$37:$D$136))</f>
        <v>0</v>
      </c>
      <c r="BA136">
        <f>IF(COUNT($E$2:$E136)&lt;20,"",SLOPE($E$37:$E$136,$F$37:$F$136))</f>
        <v>0</v>
      </c>
      <c r="BB136">
        <f>IF(COUNT($E$2:$E136)&lt;20,"",INTERCEPT($E$37:$E$136,$F$37:$F$136))</f>
        <v>0</v>
      </c>
      <c r="BC136">
        <f>IF(OR(BA136="",BB136=""),"",BB136+BA136*F136)</f>
        <v>0</v>
      </c>
      <c r="BD136">
        <f>IF(COUNT($E$2:$E136)&lt;20,"",STEYX($E$37:$E$136,$F$37:$F$136))</f>
        <v>0</v>
      </c>
      <c r="BE136">
        <f>IF($E136="","",IF(AND(COUNT($E$137:$E$140)&gt;=4,$C136=MAX($C$132:$C$140)),$C136,""))</f>
        <v>0</v>
      </c>
      <c r="BF136">
        <f>IF($E136="","",IF(AND(COUNT($E$137:$E$140)&gt;=4,$D136=MIN($D$132:$D$140)),$D136,""))</f>
        <v>0</v>
      </c>
      <c r="BG136">
        <f>IFERROR(SMALL(Calc_Daily!$BM$2:$BM$2001,135),"")</f>
        <v>0</v>
      </c>
    </row>
    <row r="137" spans="1:59">
      <c r="A137" s="27">
        <f>IF($BG137="","",INDEX(Calc_Daily!$A$2:$A$2001,$BG137))</f>
        <v>0</v>
      </c>
      <c r="B137">
        <f>IF($BG137="","",INDEX(Calc_Daily!$BJ$2:$BJ$2001,$BG137))</f>
        <v>0</v>
      </c>
      <c r="C137">
        <f>IF($BG137="","",INDEX(Calc_Daily!$BK$2:$BK$2001,$BG137))</f>
        <v>0</v>
      </c>
      <c r="D137">
        <f>IF($BG137="","",INDEX(Calc_Daily!$BL$2:$BL$2001,$BG137))</f>
        <v>0</v>
      </c>
      <c r="E137">
        <f>IF($BG137="","",INDEX(Calc_Daily!$E$2:$E$2001,$BG137))</f>
        <v>0</v>
      </c>
      <c r="F137">
        <f>IF($E137="","",N(F136)+1)</f>
        <v>0</v>
      </c>
      <c r="G137">
        <f>IF(OR($E137="",$E136=""),"",LN($E137/$E136))</f>
        <v>0</v>
      </c>
      <c r="H137">
        <f>IF($E137="","",IF($E136="",$E137,$E137*0.0952380952+H136*0.9047619048))</f>
        <v>0</v>
      </c>
      <c r="I137">
        <f>IF($E137="","",IF($E136="",$E137,$E137*0.0392156863+I136*0.9607843137))</f>
        <v>0</v>
      </c>
      <c r="J137">
        <f>IF($E137="","",IF($E136="",$E137,$E137*0.0198019802+J136*0.9801980198))</f>
        <v>0</v>
      </c>
      <c r="K137">
        <f>IF($E137="","",IF($E136="",$E137,$E137*0.0099502488+K136*0.9900497512))</f>
        <v>0</v>
      </c>
      <c r="L137">
        <f>IF(OR($E137="",$E136=""),"",MAX($E137-$E136,0))</f>
        <v>0</v>
      </c>
      <c r="M137">
        <f>IF(OR($E137="",$E136=""),"",MAX($E136-$E137,0))</f>
        <v>0</v>
      </c>
      <c r="N137">
        <f>IF(COUNT($E$2:$E137)&lt;15,"",IF(AVERAGE($M$124:$M$137)=0,100,100-100/(1+AVERAGE($L$124:$L$137)/AVERAGE($M$124:$M$137))))</f>
        <v>0</v>
      </c>
      <c r="O137">
        <f>IF($E137="","",IF($E136="",$E137,$E137*0.1538461538+O136*0.8461538462))</f>
        <v>0</v>
      </c>
      <c r="P137">
        <f>IF($E137="","",IF($E136="",$E137,$E137*0.0740740741+P136*0.9259259259))</f>
        <v>0</v>
      </c>
      <c r="Q137">
        <f>IF(OR(O137="",P137=""),"",O137-P137)</f>
        <v>0</v>
      </c>
      <c r="R137">
        <f>IF(Q137="","",IF(R136="",Q137,Q137*0.2000000000+R136*0.8000000000))</f>
        <v>0</v>
      </c>
      <c r="S137">
        <f>IF(OR(Q137="",R137=""),"",Q137-R137)</f>
        <v>0</v>
      </c>
      <c r="T137">
        <f>IF(COUNT($E$2:$E137)&lt;14,"",MAX($C$124:$C$137))</f>
        <v>0</v>
      </c>
      <c r="U137">
        <f>IF(COUNT($E$2:$E137)&lt;14,"",MIN($D$124:$D$137))</f>
        <v>0</v>
      </c>
      <c r="V137">
        <f>IF(OR(T137="",U137="",T137=U137),"",100*($E137-U137)/(T137-U137))</f>
        <v>0</v>
      </c>
      <c r="W137">
        <f>IF(COUNT($V$135:$V$137)&lt;3,"",AVERAGE($V$135:$V$137))</f>
        <v>0</v>
      </c>
      <c r="X137">
        <f>IF(COUNT($N$124:$N$137)&lt;14,"",MIN($N$124:$N$137))</f>
        <v>0</v>
      </c>
      <c r="Y137">
        <f>IF(COUNT($N$124:$N$137)&lt;14,"",MAX($N$124:$N$137))</f>
        <v>0</v>
      </c>
      <c r="Z137">
        <f>IF(OR(N137="",X137="",Y137="",Y137=X137),"",100*(N137-X137)/(Y137-X137))</f>
        <v>0</v>
      </c>
      <c r="AA137">
        <f>IF(COUNT($Z$135:$Z$137)&lt;3,"",AVERAGE($Z$135:$Z$137))</f>
        <v>0</v>
      </c>
      <c r="AB137">
        <f>IF(COUNT($AA$135:$AA$137)&lt;3,"",AVERAGE($AA$135:$AA$137))</f>
        <v>0</v>
      </c>
      <c r="AC137">
        <f>IF($E137="","",MAX($C137-$D137,ABS($C137-$E136),ABS($D137-$E136)))</f>
        <v>0</v>
      </c>
      <c r="AD137">
        <f>IF(COUNT($E$2:$E137)&lt;15,"",AVERAGE($AC$124:$AC$137))</f>
        <v>0</v>
      </c>
      <c r="AE137">
        <f>IF(OR($E137="",$E136=""),"",IF(AND(($C137-$C136)&gt;($D136-$D137),($C137-$C136)&gt;0),$C137-$C136,0))</f>
        <v>0</v>
      </c>
      <c r="AF137">
        <f>IF(OR($E137="",$E136=""),"",IF(AND(($D136-$D137)&gt;($C137-$C136),($D136-$D137)&gt;0),$D136-$D137,0))</f>
        <v>0</v>
      </c>
      <c r="AG137">
        <f>IF(COUNT($E$2:$E137)&lt;15,"",IF(SUM($AC$124:$AC$137)=0,0,100*SUM($AE$124:$AE$137)/SUM($AC$124:$AC$137)))</f>
        <v>0</v>
      </c>
      <c r="AH137">
        <f>IF(COUNT($E$2:$E137)&lt;15,"",IF(SUM($AC$124:$AC$137)=0,0,100*SUM($AF$124:$AF$137)/SUM($AC$124:$AC$137)))</f>
        <v>0</v>
      </c>
      <c r="AI137">
        <f>IF(OR(AG137="",AH137=""),"",IF((AG137+AH137)=0,0,100*ABS(AG137-AH137)/(AG137+AH137)))</f>
        <v>0</v>
      </c>
      <c r="AJ137">
        <f>IF(COUNT($AI$124:$AI$137)&lt;14,"",AVERAGE($AI$124:$AI$137))</f>
        <v>0</v>
      </c>
      <c r="AK137">
        <f>IF(COUNT($E$2:$E137)&lt;20,"",AVERAGE($E$118:$E$137))</f>
        <v>0</v>
      </c>
      <c r="AL137">
        <f>IF(COUNT($E$2:$E137)&lt;20,"",STDEVP($E$118:$E$137))</f>
        <v>0</v>
      </c>
      <c r="AM137">
        <f>IF(AK137="","",AK137+2*AL137)</f>
        <v>0</v>
      </c>
      <c r="AN137">
        <f>IF(AK137="","",AK137-2*AL137)</f>
        <v>0</v>
      </c>
      <c r="AO137">
        <f>IF(OR(AM137="",AN137="",AM137=AN137),"",($E137-AN137)/(AM137-AN137))</f>
        <v>0</v>
      </c>
      <c r="AP137">
        <f>IF(OR(AM137="",AK137="",AK137=0),"",(AM137-AN137)/AK137)</f>
        <v>0</v>
      </c>
      <c r="AQ137">
        <f>IF(COUNT($E$2:$E137)&lt;20,"",MAX($C$118:$C$137))</f>
        <v>0</v>
      </c>
      <c r="AR137">
        <f>IF(COUNT($E$2:$E137)&lt;20,"",MIN($D$118:$D$137))</f>
        <v>0</v>
      </c>
      <c r="AS137">
        <f>IF(OR(AQ137="",AR137=""),"",(AQ137+AR137)/2)</f>
        <v>0</v>
      </c>
      <c r="AT137">
        <f>IF(COUNT($G$118:$G$137)&lt;20,"",STDEV($G$118:$G$137)*SQRT(52))</f>
        <v>0</v>
      </c>
      <c r="AU137">
        <f>IF(COUNT($E$2:$E137)&lt;9,"",(MAX($C$129:$C$137)+MIN($D$129:$D$137))/2)</f>
        <v>0</v>
      </c>
      <c r="AV137">
        <f>IF(COUNT($E$2:$E137)&lt;26,"",(MAX($C$112:$C$137)+MIN($D$112:$D$137))/2)</f>
        <v>0</v>
      </c>
      <c r="AW137">
        <f>IF(OR(AU137="",AV137=""),"",(AU137+AV137)/2)</f>
        <v>0</v>
      </c>
      <c r="AX137">
        <f>IF(COUNT($E$2:$E137)&lt;52,"",(MAX($C$86:$C$137)+MIN($D$86:$D$137))/2)</f>
        <v>0</v>
      </c>
      <c r="AY137">
        <f>IF(COUNT($E$2:$E137)&lt;20,"",MAX($C$38:$C$137))</f>
        <v>0</v>
      </c>
      <c r="AZ137">
        <f>IF(COUNT($E$2:$E137)&lt;20,"",MIN($D$38:$D$137))</f>
        <v>0</v>
      </c>
      <c r="BA137">
        <f>IF(COUNT($E$2:$E137)&lt;20,"",SLOPE($E$38:$E$137,$F$38:$F$137))</f>
        <v>0</v>
      </c>
      <c r="BB137">
        <f>IF(COUNT($E$2:$E137)&lt;20,"",INTERCEPT($E$38:$E$137,$F$38:$F$137))</f>
        <v>0</v>
      </c>
      <c r="BC137">
        <f>IF(OR(BA137="",BB137=""),"",BB137+BA137*F137)</f>
        <v>0</v>
      </c>
      <c r="BD137">
        <f>IF(COUNT($E$2:$E137)&lt;20,"",STEYX($E$38:$E$137,$F$38:$F$137))</f>
        <v>0</v>
      </c>
      <c r="BE137">
        <f>IF($E137="","",IF(AND(COUNT($E$138:$E$141)&gt;=4,$C137=MAX($C$133:$C$141)),$C137,""))</f>
        <v>0</v>
      </c>
      <c r="BF137">
        <f>IF($E137="","",IF(AND(COUNT($E$138:$E$141)&gt;=4,$D137=MIN($D$133:$D$141)),$D137,""))</f>
        <v>0</v>
      </c>
      <c r="BG137">
        <f>IFERROR(SMALL(Calc_Daily!$BM$2:$BM$2001,136),"")</f>
        <v>0</v>
      </c>
    </row>
    <row r="138" spans="1:59">
      <c r="A138" s="27">
        <f>IF($BG138="","",INDEX(Calc_Daily!$A$2:$A$2001,$BG138))</f>
        <v>0</v>
      </c>
      <c r="B138">
        <f>IF($BG138="","",INDEX(Calc_Daily!$BJ$2:$BJ$2001,$BG138))</f>
        <v>0</v>
      </c>
      <c r="C138">
        <f>IF($BG138="","",INDEX(Calc_Daily!$BK$2:$BK$2001,$BG138))</f>
        <v>0</v>
      </c>
      <c r="D138">
        <f>IF($BG138="","",INDEX(Calc_Daily!$BL$2:$BL$2001,$BG138))</f>
        <v>0</v>
      </c>
      <c r="E138">
        <f>IF($BG138="","",INDEX(Calc_Daily!$E$2:$E$2001,$BG138))</f>
        <v>0</v>
      </c>
      <c r="F138">
        <f>IF($E138="","",N(F137)+1)</f>
        <v>0</v>
      </c>
      <c r="G138">
        <f>IF(OR($E138="",$E137=""),"",LN($E138/$E137))</f>
        <v>0</v>
      </c>
      <c r="H138">
        <f>IF($E138="","",IF($E137="",$E138,$E138*0.0952380952+H137*0.9047619048))</f>
        <v>0</v>
      </c>
      <c r="I138">
        <f>IF($E138="","",IF($E137="",$E138,$E138*0.0392156863+I137*0.9607843137))</f>
        <v>0</v>
      </c>
      <c r="J138">
        <f>IF($E138="","",IF($E137="",$E138,$E138*0.0198019802+J137*0.9801980198))</f>
        <v>0</v>
      </c>
      <c r="K138">
        <f>IF($E138="","",IF($E137="",$E138,$E138*0.0099502488+K137*0.9900497512))</f>
        <v>0</v>
      </c>
      <c r="L138">
        <f>IF(OR($E138="",$E137=""),"",MAX($E138-$E137,0))</f>
        <v>0</v>
      </c>
      <c r="M138">
        <f>IF(OR($E138="",$E137=""),"",MAX($E137-$E138,0))</f>
        <v>0</v>
      </c>
      <c r="N138">
        <f>IF(COUNT($E$2:$E138)&lt;15,"",IF(AVERAGE($M$125:$M$138)=0,100,100-100/(1+AVERAGE($L$125:$L$138)/AVERAGE($M$125:$M$138))))</f>
        <v>0</v>
      </c>
      <c r="O138">
        <f>IF($E138="","",IF($E137="",$E138,$E138*0.1538461538+O137*0.8461538462))</f>
        <v>0</v>
      </c>
      <c r="P138">
        <f>IF($E138="","",IF($E137="",$E138,$E138*0.0740740741+P137*0.9259259259))</f>
        <v>0</v>
      </c>
      <c r="Q138">
        <f>IF(OR(O138="",P138=""),"",O138-P138)</f>
        <v>0</v>
      </c>
      <c r="R138">
        <f>IF(Q138="","",IF(R137="",Q138,Q138*0.2000000000+R137*0.8000000000))</f>
        <v>0</v>
      </c>
      <c r="S138">
        <f>IF(OR(Q138="",R138=""),"",Q138-R138)</f>
        <v>0</v>
      </c>
      <c r="T138">
        <f>IF(COUNT($E$2:$E138)&lt;14,"",MAX($C$125:$C$138))</f>
        <v>0</v>
      </c>
      <c r="U138">
        <f>IF(COUNT($E$2:$E138)&lt;14,"",MIN($D$125:$D$138))</f>
        <v>0</v>
      </c>
      <c r="V138">
        <f>IF(OR(T138="",U138="",T138=U138),"",100*($E138-U138)/(T138-U138))</f>
        <v>0</v>
      </c>
      <c r="W138">
        <f>IF(COUNT($V$136:$V$138)&lt;3,"",AVERAGE($V$136:$V$138))</f>
        <v>0</v>
      </c>
      <c r="X138">
        <f>IF(COUNT($N$125:$N$138)&lt;14,"",MIN($N$125:$N$138))</f>
        <v>0</v>
      </c>
      <c r="Y138">
        <f>IF(COUNT($N$125:$N$138)&lt;14,"",MAX($N$125:$N$138))</f>
        <v>0</v>
      </c>
      <c r="Z138">
        <f>IF(OR(N138="",X138="",Y138="",Y138=X138),"",100*(N138-X138)/(Y138-X138))</f>
        <v>0</v>
      </c>
      <c r="AA138">
        <f>IF(COUNT($Z$136:$Z$138)&lt;3,"",AVERAGE($Z$136:$Z$138))</f>
        <v>0</v>
      </c>
      <c r="AB138">
        <f>IF(COUNT($AA$136:$AA$138)&lt;3,"",AVERAGE($AA$136:$AA$138))</f>
        <v>0</v>
      </c>
      <c r="AC138">
        <f>IF($E138="","",MAX($C138-$D138,ABS($C138-$E137),ABS($D138-$E137)))</f>
        <v>0</v>
      </c>
      <c r="AD138">
        <f>IF(COUNT($E$2:$E138)&lt;15,"",AVERAGE($AC$125:$AC$138))</f>
        <v>0</v>
      </c>
      <c r="AE138">
        <f>IF(OR($E138="",$E137=""),"",IF(AND(($C138-$C137)&gt;($D137-$D138),($C138-$C137)&gt;0),$C138-$C137,0))</f>
        <v>0</v>
      </c>
      <c r="AF138">
        <f>IF(OR($E138="",$E137=""),"",IF(AND(($D137-$D138)&gt;($C138-$C137),($D137-$D138)&gt;0),$D137-$D138,0))</f>
        <v>0</v>
      </c>
      <c r="AG138">
        <f>IF(COUNT($E$2:$E138)&lt;15,"",IF(SUM($AC$125:$AC$138)=0,0,100*SUM($AE$125:$AE$138)/SUM($AC$125:$AC$138)))</f>
        <v>0</v>
      </c>
      <c r="AH138">
        <f>IF(COUNT($E$2:$E138)&lt;15,"",IF(SUM($AC$125:$AC$138)=0,0,100*SUM($AF$125:$AF$138)/SUM($AC$125:$AC$138)))</f>
        <v>0</v>
      </c>
      <c r="AI138">
        <f>IF(OR(AG138="",AH138=""),"",IF((AG138+AH138)=0,0,100*ABS(AG138-AH138)/(AG138+AH138)))</f>
        <v>0</v>
      </c>
      <c r="AJ138">
        <f>IF(COUNT($AI$125:$AI$138)&lt;14,"",AVERAGE($AI$125:$AI$138))</f>
        <v>0</v>
      </c>
      <c r="AK138">
        <f>IF(COUNT($E$2:$E138)&lt;20,"",AVERAGE($E$119:$E$138))</f>
        <v>0</v>
      </c>
      <c r="AL138">
        <f>IF(COUNT($E$2:$E138)&lt;20,"",STDEVP($E$119:$E$138))</f>
        <v>0</v>
      </c>
      <c r="AM138">
        <f>IF(AK138="","",AK138+2*AL138)</f>
        <v>0</v>
      </c>
      <c r="AN138">
        <f>IF(AK138="","",AK138-2*AL138)</f>
        <v>0</v>
      </c>
      <c r="AO138">
        <f>IF(OR(AM138="",AN138="",AM138=AN138),"",($E138-AN138)/(AM138-AN138))</f>
        <v>0</v>
      </c>
      <c r="AP138">
        <f>IF(OR(AM138="",AK138="",AK138=0),"",(AM138-AN138)/AK138)</f>
        <v>0</v>
      </c>
      <c r="AQ138">
        <f>IF(COUNT($E$2:$E138)&lt;20,"",MAX($C$119:$C$138))</f>
        <v>0</v>
      </c>
      <c r="AR138">
        <f>IF(COUNT($E$2:$E138)&lt;20,"",MIN($D$119:$D$138))</f>
        <v>0</v>
      </c>
      <c r="AS138">
        <f>IF(OR(AQ138="",AR138=""),"",(AQ138+AR138)/2)</f>
        <v>0</v>
      </c>
      <c r="AT138">
        <f>IF(COUNT($G$119:$G$138)&lt;20,"",STDEV($G$119:$G$138)*SQRT(52))</f>
        <v>0</v>
      </c>
      <c r="AU138">
        <f>IF(COUNT($E$2:$E138)&lt;9,"",(MAX($C$130:$C$138)+MIN($D$130:$D$138))/2)</f>
        <v>0</v>
      </c>
      <c r="AV138">
        <f>IF(COUNT($E$2:$E138)&lt;26,"",(MAX($C$113:$C$138)+MIN($D$113:$D$138))/2)</f>
        <v>0</v>
      </c>
      <c r="AW138">
        <f>IF(OR(AU138="",AV138=""),"",(AU138+AV138)/2)</f>
        <v>0</v>
      </c>
      <c r="AX138">
        <f>IF(COUNT($E$2:$E138)&lt;52,"",(MAX($C$87:$C$138)+MIN($D$87:$D$138))/2)</f>
        <v>0</v>
      </c>
      <c r="AY138">
        <f>IF(COUNT($E$2:$E138)&lt;20,"",MAX($C$39:$C$138))</f>
        <v>0</v>
      </c>
      <c r="AZ138">
        <f>IF(COUNT($E$2:$E138)&lt;20,"",MIN($D$39:$D$138))</f>
        <v>0</v>
      </c>
      <c r="BA138">
        <f>IF(COUNT($E$2:$E138)&lt;20,"",SLOPE($E$39:$E$138,$F$39:$F$138))</f>
        <v>0</v>
      </c>
      <c r="BB138">
        <f>IF(COUNT($E$2:$E138)&lt;20,"",INTERCEPT($E$39:$E$138,$F$39:$F$138))</f>
        <v>0</v>
      </c>
      <c r="BC138">
        <f>IF(OR(BA138="",BB138=""),"",BB138+BA138*F138)</f>
        <v>0</v>
      </c>
      <c r="BD138">
        <f>IF(COUNT($E$2:$E138)&lt;20,"",STEYX($E$39:$E$138,$F$39:$F$138))</f>
        <v>0</v>
      </c>
      <c r="BE138">
        <f>IF($E138="","",IF(AND(COUNT($E$139:$E$142)&gt;=4,$C138=MAX($C$134:$C$142)),$C138,""))</f>
        <v>0</v>
      </c>
      <c r="BF138">
        <f>IF($E138="","",IF(AND(COUNT($E$139:$E$142)&gt;=4,$D138=MIN($D$134:$D$142)),$D138,""))</f>
        <v>0</v>
      </c>
      <c r="BG138">
        <f>IFERROR(SMALL(Calc_Daily!$BM$2:$BM$2001,137),"")</f>
        <v>0</v>
      </c>
    </row>
    <row r="139" spans="1:59">
      <c r="A139" s="27">
        <f>IF($BG139="","",INDEX(Calc_Daily!$A$2:$A$2001,$BG139))</f>
        <v>0</v>
      </c>
      <c r="B139">
        <f>IF($BG139="","",INDEX(Calc_Daily!$BJ$2:$BJ$2001,$BG139))</f>
        <v>0</v>
      </c>
      <c r="C139">
        <f>IF($BG139="","",INDEX(Calc_Daily!$BK$2:$BK$2001,$BG139))</f>
        <v>0</v>
      </c>
      <c r="D139">
        <f>IF($BG139="","",INDEX(Calc_Daily!$BL$2:$BL$2001,$BG139))</f>
        <v>0</v>
      </c>
      <c r="E139">
        <f>IF($BG139="","",INDEX(Calc_Daily!$E$2:$E$2001,$BG139))</f>
        <v>0</v>
      </c>
      <c r="F139">
        <f>IF($E139="","",N(F138)+1)</f>
        <v>0</v>
      </c>
      <c r="G139">
        <f>IF(OR($E139="",$E138=""),"",LN($E139/$E138))</f>
        <v>0</v>
      </c>
      <c r="H139">
        <f>IF($E139="","",IF($E138="",$E139,$E139*0.0952380952+H138*0.9047619048))</f>
        <v>0</v>
      </c>
      <c r="I139">
        <f>IF($E139="","",IF($E138="",$E139,$E139*0.0392156863+I138*0.9607843137))</f>
        <v>0</v>
      </c>
      <c r="J139">
        <f>IF($E139="","",IF($E138="",$E139,$E139*0.0198019802+J138*0.9801980198))</f>
        <v>0</v>
      </c>
      <c r="K139">
        <f>IF($E139="","",IF($E138="",$E139,$E139*0.0099502488+K138*0.9900497512))</f>
        <v>0</v>
      </c>
      <c r="L139">
        <f>IF(OR($E139="",$E138=""),"",MAX($E139-$E138,0))</f>
        <v>0</v>
      </c>
      <c r="M139">
        <f>IF(OR($E139="",$E138=""),"",MAX($E138-$E139,0))</f>
        <v>0</v>
      </c>
      <c r="N139">
        <f>IF(COUNT($E$2:$E139)&lt;15,"",IF(AVERAGE($M$126:$M$139)=0,100,100-100/(1+AVERAGE($L$126:$L$139)/AVERAGE($M$126:$M$139))))</f>
        <v>0</v>
      </c>
      <c r="O139">
        <f>IF($E139="","",IF($E138="",$E139,$E139*0.1538461538+O138*0.8461538462))</f>
        <v>0</v>
      </c>
      <c r="P139">
        <f>IF($E139="","",IF($E138="",$E139,$E139*0.0740740741+P138*0.9259259259))</f>
        <v>0</v>
      </c>
      <c r="Q139">
        <f>IF(OR(O139="",P139=""),"",O139-P139)</f>
        <v>0</v>
      </c>
      <c r="R139">
        <f>IF(Q139="","",IF(R138="",Q139,Q139*0.2000000000+R138*0.8000000000))</f>
        <v>0</v>
      </c>
      <c r="S139">
        <f>IF(OR(Q139="",R139=""),"",Q139-R139)</f>
        <v>0</v>
      </c>
      <c r="T139">
        <f>IF(COUNT($E$2:$E139)&lt;14,"",MAX($C$126:$C$139))</f>
        <v>0</v>
      </c>
      <c r="U139">
        <f>IF(COUNT($E$2:$E139)&lt;14,"",MIN($D$126:$D$139))</f>
        <v>0</v>
      </c>
      <c r="V139">
        <f>IF(OR(T139="",U139="",T139=U139),"",100*($E139-U139)/(T139-U139))</f>
        <v>0</v>
      </c>
      <c r="W139">
        <f>IF(COUNT($V$137:$V$139)&lt;3,"",AVERAGE($V$137:$V$139))</f>
        <v>0</v>
      </c>
      <c r="X139">
        <f>IF(COUNT($N$126:$N$139)&lt;14,"",MIN($N$126:$N$139))</f>
        <v>0</v>
      </c>
      <c r="Y139">
        <f>IF(COUNT($N$126:$N$139)&lt;14,"",MAX($N$126:$N$139))</f>
        <v>0</v>
      </c>
      <c r="Z139">
        <f>IF(OR(N139="",X139="",Y139="",Y139=X139),"",100*(N139-X139)/(Y139-X139))</f>
        <v>0</v>
      </c>
      <c r="AA139">
        <f>IF(COUNT($Z$137:$Z$139)&lt;3,"",AVERAGE($Z$137:$Z$139))</f>
        <v>0</v>
      </c>
      <c r="AB139">
        <f>IF(COUNT($AA$137:$AA$139)&lt;3,"",AVERAGE($AA$137:$AA$139))</f>
        <v>0</v>
      </c>
      <c r="AC139">
        <f>IF($E139="","",MAX($C139-$D139,ABS($C139-$E138),ABS($D139-$E138)))</f>
        <v>0</v>
      </c>
      <c r="AD139">
        <f>IF(COUNT($E$2:$E139)&lt;15,"",AVERAGE($AC$126:$AC$139))</f>
        <v>0</v>
      </c>
      <c r="AE139">
        <f>IF(OR($E139="",$E138=""),"",IF(AND(($C139-$C138)&gt;($D138-$D139),($C139-$C138)&gt;0),$C139-$C138,0))</f>
        <v>0</v>
      </c>
      <c r="AF139">
        <f>IF(OR($E139="",$E138=""),"",IF(AND(($D138-$D139)&gt;($C139-$C138),($D138-$D139)&gt;0),$D138-$D139,0))</f>
        <v>0</v>
      </c>
      <c r="AG139">
        <f>IF(COUNT($E$2:$E139)&lt;15,"",IF(SUM($AC$126:$AC$139)=0,0,100*SUM($AE$126:$AE$139)/SUM($AC$126:$AC$139)))</f>
        <v>0</v>
      </c>
      <c r="AH139">
        <f>IF(COUNT($E$2:$E139)&lt;15,"",IF(SUM($AC$126:$AC$139)=0,0,100*SUM($AF$126:$AF$139)/SUM($AC$126:$AC$139)))</f>
        <v>0</v>
      </c>
      <c r="AI139">
        <f>IF(OR(AG139="",AH139=""),"",IF((AG139+AH139)=0,0,100*ABS(AG139-AH139)/(AG139+AH139)))</f>
        <v>0</v>
      </c>
      <c r="AJ139">
        <f>IF(COUNT($AI$126:$AI$139)&lt;14,"",AVERAGE($AI$126:$AI$139))</f>
        <v>0</v>
      </c>
      <c r="AK139">
        <f>IF(COUNT($E$2:$E139)&lt;20,"",AVERAGE($E$120:$E$139))</f>
        <v>0</v>
      </c>
      <c r="AL139">
        <f>IF(COUNT($E$2:$E139)&lt;20,"",STDEVP($E$120:$E$139))</f>
        <v>0</v>
      </c>
      <c r="AM139">
        <f>IF(AK139="","",AK139+2*AL139)</f>
        <v>0</v>
      </c>
      <c r="AN139">
        <f>IF(AK139="","",AK139-2*AL139)</f>
        <v>0</v>
      </c>
      <c r="AO139">
        <f>IF(OR(AM139="",AN139="",AM139=AN139),"",($E139-AN139)/(AM139-AN139))</f>
        <v>0</v>
      </c>
      <c r="AP139">
        <f>IF(OR(AM139="",AK139="",AK139=0),"",(AM139-AN139)/AK139)</f>
        <v>0</v>
      </c>
      <c r="AQ139">
        <f>IF(COUNT($E$2:$E139)&lt;20,"",MAX($C$120:$C$139))</f>
        <v>0</v>
      </c>
      <c r="AR139">
        <f>IF(COUNT($E$2:$E139)&lt;20,"",MIN($D$120:$D$139))</f>
        <v>0</v>
      </c>
      <c r="AS139">
        <f>IF(OR(AQ139="",AR139=""),"",(AQ139+AR139)/2)</f>
        <v>0</v>
      </c>
      <c r="AT139">
        <f>IF(COUNT($G$120:$G$139)&lt;20,"",STDEV($G$120:$G$139)*SQRT(52))</f>
        <v>0</v>
      </c>
      <c r="AU139">
        <f>IF(COUNT($E$2:$E139)&lt;9,"",(MAX($C$131:$C$139)+MIN($D$131:$D$139))/2)</f>
        <v>0</v>
      </c>
      <c r="AV139">
        <f>IF(COUNT($E$2:$E139)&lt;26,"",(MAX($C$114:$C$139)+MIN($D$114:$D$139))/2)</f>
        <v>0</v>
      </c>
      <c r="AW139">
        <f>IF(OR(AU139="",AV139=""),"",(AU139+AV139)/2)</f>
        <v>0</v>
      </c>
      <c r="AX139">
        <f>IF(COUNT($E$2:$E139)&lt;52,"",(MAX($C$88:$C$139)+MIN($D$88:$D$139))/2)</f>
        <v>0</v>
      </c>
      <c r="AY139">
        <f>IF(COUNT($E$2:$E139)&lt;20,"",MAX($C$40:$C$139))</f>
        <v>0</v>
      </c>
      <c r="AZ139">
        <f>IF(COUNT($E$2:$E139)&lt;20,"",MIN($D$40:$D$139))</f>
        <v>0</v>
      </c>
      <c r="BA139">
        <f>IF(COUNT($E$2:$E139)&lt;20,"",SLOPE($E$40:$E$139,$F$40:$F$139))</f>
        <v>0</v>
      </c>
      <c r="BB139">
        <f>IF(COUNT($E$2:$E139)&lt;20,"",INTERCEPT($E$40:$E$139,$F$40:$F$139))</f>
        <v>0</v>
      </c>
      <c r="BC139">
        <f>IF(OR(BA139="",BB139=""),"",BB139+BA139*F139)</f>
        <v>0</v>
      </c>
      <c r="BD139">
        <f>IF(COUNT($E$2:$E139)&lt;20,"",STEYX($E$40:$E$139,$F$40:$F$139))</f>
        <v>0</v>
      </c>
      <c r="BE139">
        <f>IF($E139="","",IF(AND(COUNT($E$140:$E$143)&gt;=4,$C139=MAX($C$135:$C$143)),$C139,""))</f>
        <v>0</v>
      </c>
      <c r="BF139">
        <f>IF($E139="","",IF(AND(COUNT($E$140:$E$143)&gt;=4,$D139=MIN($D$135:$D$143)),$D139,""))</f>
        <v>0</v>
      </c>
      <c r="BG139">
        <f>IFERROR(SMALL(Calc_Daily!$BM$2:$BM$2001,138),"")</f>
        <v>0</v>
      </c>
    </row>
    <row r="140" spans="1:59">
      <c r="A140" s="27">
        <f>IF($BG140="","",INDEX(Calc_Daily!$A$2:$A$2001,$BG140))</f>
        <v>0</v>
      </c>
      <c r="B140">
        <f>IF($BG140="","",INDEX(Calc_Daily!$BJ$2:$BJ$2001,$BG140))</f>
        <v>0</v>
      </c>
      <c r="C140">
        <f>IF($BG140="","",INDEX(Calc_Daily!$BK$2:$BK$2001,$BG140))</f>
        <v>0</v>
      </c>
      <c r="D140">
        <f>IF($BG140="","",INDEX(Calc_Daily!$BL$2:$BL$2001,$BG140))</f>
        <v>0</v>
      </c>
      <c r="E140">
        <f>IF($BG140="","",INDEX(Calc_Daily!$E$2:$E$2001,$BG140))</f>
        <v>0</v>
      </c>
      <c r="F140">
        <f>IF($E140="","",N(F139)+1)</f>
        <v>0</v>
      </c>
      <c r="G140">
        <f>IF(OR($E140="",$E139=""),"",LN($E140/$E139))</f>
        <v>0</v>
      </c>
      <c r="H140">
        <f>IF($E140="","",IF($E139="",$E140,$E140*0.0952380952+H139*0.9047619048))</f>
        <v>0</v>
      </c>
      <c r="I140">
        <f>IF($E140="","",IF($E139="",$E140,$E140*0.0392156863+I139*0.9607843137))</f>
        <v>0</v>
      </c>
      <c r="J140">
        <f>IF($E140="","",IF($E139="",$E140,$E140*0.0198019802+J139*0.9801980198))</f>
        <v>0</v>
      </c>
      <c r="K140">
        <f>IF($E140="","",IF($E139="",$E140,$E140*0.0099502488+K139*0.9900497512))</f>
        <v>0</v>
      </c>
      <c r="L140">
        <f>IF(OR($E140="",$E139=""),"",MAX($E140-$E139,0))</f>
        <v>0</v>
      </c>
      <c r="M140">
        <f>IF(OR($E140="",$E139=""),"",MAX($E139-$E140,0))</f>
        <v>0</v>
      </c>
      <c r="N140">
        <f>IF(COUNT($E$2:$E140)&lt;15,"",IF(AVERAGE($M$127:$M$140)=0,100,100-100/(1+AVERAGE($L$127:$L$140)/AVERAGE($M$127:$M$140))))</f>
        <v>0</v>
      </c>
      <c r="O140">
        <f>IF($E140="","",IF($E139="",$E140,$E140*0.1538461538+O139*0.8461538462))</f>
        <v>0</v>
      </c>
      <c r="P140">
        <f>IF($E140="","",IF($E139="",$E140,$E140*0.0740740741+P139*0.9259259259))</f>
        <v>0</v>
      </c>
      <c r="Q140">
        <f>IF(OR(O140="",P140=""),"",O140-P140)</f>
        <v>0</v>
      </c>
      <c r="R140">
        <f>IF(Q140="","",IF(R139="",Q140,Q140*0.2000000000+R139*0.8000000000))</f>
        <v>0</v>
      </c>
      <c r="S140">
        <f>IF(OR(Q140="",R140=""),"",Q140-R140)</f>
        <v>0</v>
      </c>
      <c r="T140">
        <f>IF(COUNT($E$2:$E140)&lt;14,"",MAX($C$127:$C$140))</f>
        <v>0</v>
      </c>
      <c r="U140">
        <f>IF(COUNT($E$2:$E140)&lt;14,"",MIN($D$127:$D$140))</f>
        <v>0</v>
      </c>
      <c r="V140">
        <f>IF(OR(T140="",U140="",T140=U140),"",100*($E140-U140)/(T140-U140))</f>
        <v>0</v>
      </c>
      <c r="W140">
        <f>IF(COUNT($V$138:$V$140)&lt;3,"",AVERAGE($V$138:$V$140))</f>
        <v>0</v>
      </c>
      <c r="X140">
        <f>IF(COUNT($N$127:$N$140)&lt;14,"",MIN($N$127:$N$140))</f>
        <v>0</v>
      </c>
      <c r="Y140">
        <f>IF(COUNT($N$127:$N$140)&lt;14,"",MAX($N$127:$N$140))</f>
        <v>0</v>
      </c>
      <c r="Z140">
        <f>IF(OR(N140="",X140="",Y140="",Y140=X140),"",100*(N140-X140)/(Y140-X140))</f>
        <v>0</v>
      </c>
      <c r="AA140">
        <f>IF(COUNT($Z$138:$Z$140)&lt;3,"",AVERAGE($Z$138:$Z$140))</f>
        <v>0</v>
      </c>
      <c r="AB140">
        <f>IF(COUNT($AA$138:$AA$140)&lt;3,"",AVERAGE($AA$138:$AA$140))</f>
        <v>0</v>
      </c>
      <c r="AC140">
        <f>IF($E140="","",MAX($C140-$D140,ABS($C140-$E139),ABS($D140-$E139)))</f>
        <v>0</v>
      </c>
      <c r="AD140">
        <f>IF(COUNT($E$2:$E140)&lt;15,"",AVERAGE($AC$127:$AC$140))</f>
        <v>0</v>
      </c>
      <c r="AE140">
        <f>IF(OR($E140="",$E139=""),"",IF(AND(($C140-$C139)&gt;($D139-$D140),($C140-$C139)&gt;0),$C140-$C139,0))</f>
        <v>0</v>
      </c>
      <c r="AF140">
        <f>IF(OR($E140="",$E139=""),"",IF(AND(($D139-$D140)&gt;($C140-$C139),($D139-$D140)&gt;0),$D139-$D140,0))</f>
        <v>0</v>
      </c>
      <c r="AG140">
        <f>IF(COUNT($E$2:$E140)&lt;15,"",IF(SUM($AC$127:$AC$140)=0,0,100*SUM($AE$127:$AE$140)/SUM($AC$127:$AC$140)))</f>
        <v>0</v>
      </c>
      <c r="AH140">
        <f>IF(COUNT($E$2:$E140)&lt;15,"",IF(SUM($AC$127:$AC$140)=0,0,100*SUM($AF$127:$AF$140)/SUM($AC$127:$AC$140)))</f>
        <v>0</v>
      </c>
      <c r="AI140">
        <f>IF(OR(AG140="",AH140=""),"",IF((AG140+AH140)=0,0,100*ABS(AG140-AH140)/(AG140+AH140)))</f>
        <v>0</v>
      </c>
      <c r="AJ140">
        <f>IF(COUNT($AI$127:$AI$140)&lt;14,"",AVERAGE($AI$127:$AI$140))</f>
        <v>0</v>
      </c>
      <c r="AK140">
        <f>IF(COUNT($E$2:$E140)&lt;20,"",AVERAGE($E$121:$E$140))</f>
        <v>0</v>
      </c>
      <c r="AL140">
        <f>IF(COUNT($E$2:$E140)&lt;20,"",STDEVP($E$121:$E$140))</f>
        <v>0</v>
      </c>
      <c r="AM140">
        <f>IF(AK140="","",AK140+2*AL140)</f>
        <v>0</v>
      </c>
      <c r="AN140">
        <f>IF(AK140="","",AK140-2*AL140)</f>
        <v>0</v>
      </c>
      <c r="AO140">
        <f>IF(OR(AM140="",AN140="",AM140=AN140),"",($E140-AN140)/(AM140-AN140))</f>
        <v>0</v>
      </c>
      <c r="AP140">
        <f>IF(OR(AM140="",AK140="",AK140=0),"",(AM140-AN140)/AK140)</f>
        <v>0</v>
      </c>
      <c r="AQ140">
        <f>IF(COUNT($E$2:$E140)&lt;20,"",MAX($C$121:$C$140))</f>
        <v>0</v>
      </c>
      <c r="AR140">
        <f>IF(COUNT($E$2:$E140)&lt;20,"",MIN($D$121:$D$140))</f>
        <v>0</v>
      </c>
      <c r="AS140">
        <f>IF(OR(AQ140="",AR140=""),"",(AQ140+AR140)/2)</f>
        <v>0</v>
      </c>
      <c r="AT140">
        <f>IF(COUNT($G$121:$G$140)&lt;20,"",STDEV($G$121:$G$140)*SQRT(52))</f>
        <v>0</v>
      </c>
      <c r="AU140">
        <f>IF(COUNT($E$2:$E140)&lt;9,"",(MAX($C$132:$C$140)+MIN($D$132:$D$140))/2)</f>
        <v>0</v>
      </c>
      <c r="AV140">
        <f>IF(COUNT($E$2:$E140)&lt;26,"",(MAX($C$115:$C$140)+MIN($D$115:$D$140))/2)</f>
        <v>0</v>
      </c>
      <c r="AW140">
        <f>IF(OR(AU140="",AV140=""),"",(AU140+AV140)/2)</f>
        <v>0</v>
      </c>
      <c r="AX140">
        <f>IF(COUNT($E$2:$E140)&lt;52,"",(MAX($C$89:$C$140)+MIN($D$89:$D$140))/2)</f>
        <v>0</v>
      </c>
      <c r="AY140">
        <f>IF(COUNT($E$2:$E140)&lt;20,"",MAX($C$41:$C$140))</f>
        <v>0</v>
      </c>
      <c r="AZ140">
        <f>IF(COUNT($E$2:$E140)&lt;20,"",MIN($D$41:$D$140))</f>
        <v>0</v>
      </c>
      <c r="BA140">
        <f>IF(COUNT($E$2:$E140)&lt;20,"",SLOPE($E$41:$E$140,$F$41:$F$140))</f>
        <v>0</v>
      </c>
      <c r="BB140">
        <f>IF(COUNT($E$2:$E140)&lt;20,"",INTERCEPT($E$41:$E$140,$F$41:$F$140))</f>
        <v>0</v>
      </c>
      <c r="BC140">
        <f>IF(OR(BA140="",BB140=""),"",BB140+BA140*F140)</f>
        <v>0</v>
      </c>
      <c r="BD140">
        <f>IF(COUNT($E$2:$E140)&lt;20,"",STEYX($E$41:$E$140,$F$41:$F$140))</f>
        <v>0</v>
      </c>
      <c r="BE140">
        <f>IF($E140="","",IF(AND(COUNT($E$141:$E$144)&gt;=4,$C140=MAX($C$136:$C$144)),$C140,""))</f>
        <v>0</v>
      </c>
      <c r="BF140">
        <f>IF($E140="","",IF(AND(COUNT($E$141:$E$144)&gt;=4,$D140=MIN($D$136:$D$144)),$D140,""))</f>
        <v>0</v>
      </c>
      <c r="BG140">
        <f>IFERROR(SMALL(Calc_Daily!$BM$2:$BM$2001,139),"")</f>
        <v>0</v>
      </c>
    </row>
    <row r="141" spans="1:59">
      <c r="A141" s="27">
        <f>IF($BG141="","",INDEX(Calc_Daily!$A$2:$A$2001,$BG141))</f>
        <v>0</v>
      </c>
      <c r="B141">
        <f>IF($BG141="","",INDEX(Calc_Daily!$BJ$2:$BJ$2001,$BG141))</f>
        <v>0</v>
      </c>
      <c r="C141">
        <f>IF($BG141="","",INDEX(Calc_Daily!$BK$2:$BK$2001,$BG141))</f>
        <v>0</v>
      </c>
      <c r="D141">
        <f>IF($BG141="","",INDEX(Calc_Daily!$BL$2:$BL$2001,$BG141))</f>
        <v>0</v>
      </c>
      <c r="E141">
        <f>IF($BG141="","",INDEX(Calc_Daily!$E$2:$E$2001,$BG141))</f>
        <v>0</v>
      </c>
      <c r="F141">
        <f>IF($E141="","",N(F140)+1)</f>
        <v>0</v>
      </c>
      <c r="G141">
        <f>IF(OR($E141="",$E140=""),"",LN($E141/$E140))</f>
        <v>0</v>
      </c>
      <c r="H141">
        <f>IF($E141="","",IF($E140="",$E141,$E141*0.0952380952+H140*0.9047619048))</f>
        <v>0</v>
      </c>
      <c r="I141">
        <f>IF($E141="","",IF($E140="",$E141,$E141*0.0392156863+I140*0.9607843137))</f>
        <v>0</v>
      </c>
      <c r="J141">
        <f>IF($E141="","",IF($E140="",$E141,$E141*0.0198019802+J140*0.9801980198))</f>
        <v>0</v>
      </c>
      <c r="K141">
        <f>IF($E141="","",IF($E140="",$E141,$E141*0.0099502488+K140*0.9900497512))</f>
        <v>0</v>
      </c>
      <c r="L141">
        <f>IF(OR($E141="",$E140=""),"",MAX($E141-$E140,0))</f>
        <v>0</v>
      </c>
      <c r="M141">
        <f>IF(OR($E141="",$E140=""),"",MAX($E140-$E141,0))</f>
        <v>0</v>
      </c>
      <c r="N141">
        <f>IF(COUNT($E$2:$E141)&lt;15,"",IF(AVERAGE($M$128:$M$141)=0,100,100-100/(1+AVERAGE($L$128:$L$141)/AVERAGE($M$128:$M$141))))</f>
        <v>0</v>
      </c>
      <c r="O141">
        <f>IF($E141="","",IF($E140="",$E141,$E141*0.1538461538+O140*0.8461538462))</f>
        <v>0</v>
      </c>
      <c r="P141">
        <f>IF($E141="","",IF($E140="",$E141,$E141*0.0740740741+P140*0.9259259259))</f>
        <v>0</v>
      </c>
      <c r="Q141">
        <f>IF(OR(O141="",P141=""),"",O141-P141)</f>
        <v>0</v>
      </c>
      <c r="R141">
        <f>IF(Q141="","",IF(R140="",Q141,Q141*0.2000000000+R140*0.8000000000))</f>
        <v>0</v>
      </c>
      <c r="S141">
        <f>IF(OR(Q141="",R141=""),"",Q141-R141)</f>
        <v>0</v>
      </c>
      <c r="T141">
        <f>IF(COUNT($E$2:$E141)&lt;14,"",MAX($C$128:$C$141))</f>
        <v>0</v>
      </c>
      <c r="U141">
        <f>IF(COUNT($E$2:$E141)&lt;14,"",MIN($D$128:$D$141))</f>
        <v>0</v>
      </c>
      <c r="V141">
        <f>IF(OR(T141="",U141="",T141=U141),"",100*($E141-U141)/(T141-U141))</f>
        <v>0</v>
      </c>
      <c r="W141">
        <f>IF(COUNT($V$139:$V$141)&lt;3,"",AVERAGE($V$139:$V$141))</f>
        <v>0</v>
      </c>
      <c r="X141">
        <f>IF(COUNT($N$128:$N$141)&lt;14,"",MIN($N$128:$N$141))</f>
        <v>0</v>
      </c>
      <c r="Y141">
        <f>IF(COUNT($N$128:$N$141)&lt;14,"",MAX($N$128:$N$141))</f>
        <v>0</v>
      </c>
      <c r="Z141">
        <f>IF(OR(N141="",X141="",Y141="",Y141=X141),"",100*(N141-X141)/(Y141-X141))</f>
        <v>0</v>
      </c>
      <c r="AA141">
        <f>IF(COUNT($Z$139:$Z$141)&lt;3,"",AVERAGE($Z$139:$Z$141))</f>
        <v>0</v>
      </c>
      <c r="AB141">
        <f>IF(COUNT($AA$139:$AA$141)&lt;3,"",AVERAGE($AA$139:$AA$141))</f>
        <v>0</v>
      </c>
      <c r="AC141">
        <f>IF($E141="","",MAX($C141-$D141,ABS($C141-$E140),ABS($D141-$E140)))</f>
        <v>0</v>
      </c>
      <c r="AD141">
        <f>IF(COUNT($E$2:$E141)&lt;15,"",AVERAGE($AC$128:$AC$141))</f>
        <v>0</v>
      </c>
      <c r="AE141">
        <f>IF(OR($E141="",$E140=""),"",IF(AND(($C141-$C140)&gt;($D140-$D141),($C141-$C140)&gt;0),$C141-$C140,0))</f>
        <v>0</v>
      </c>
      <c r="AF141">
        <f>IF(OR($E141="",$E140=""),"",IF(AND(($D140-$D141)&gt;($C141-$C140),($D140-$D141)&gt;0),$D140-$D141,0))</f>
        <v>0</v>
      </c>
      <c r="AG141">
        <f>IF(COUNT($E$2:$E141)&lt;15,"",IF(SUM($AC$128:$AC$141)=0,0,100*SUM($AE$128:$AE$141)/SUM($AC$128:$AC$141)))</f>
        <v>0</v>
      </c>
      <c r="AH141">
        <f>IF(COUNT($E$2:$E141)&lt;15,"",IF(SUM($AC$128:$AC$141)=0,0,100*SUM($AF$128:$AF$141)/SUM($AC$128:$AC$141)))</f>
        <v>0</v>
      </c>
      <c r="AI141">
        <f>IF(OR(AG141="",AH141=""),"",IF((AG141+AH141)=0,0,100*ABS(AG141-AH141)/(AG141+AH141)))</f>
        <v>0</v>
      </c>
      <c r="AJ141">
        <f>IF(COUNT($AI$128:$AI$141)&lt;14,"",AVERAGE($AI$128:$AI$141))</f>
        <v>0</v>
      </c>
      <c r="AK141">
        <f>IF(COUNT($E$2:$E141)&lt;20,"",AVERAGE($E$122:$E$141))</f>
        <v>0</v>
      </c>
      <c r="AL141">
        <f>IF(COUNT($E$2:$E141)&lt;20,"",STDEVP($E$122:$E$141))</f>
        <v>0</v>
      </c>
      <c r="AM141">
        <f>IF(AK141="","",AK141+2*AL141)</f>
        <v>0</v>
      </c>
      <c r="AN141">
        <f>IF(AK141="","",AK141-2*AL141)</f>
        <v>0</v>
      </c>
      <c r="AO141">
        <f>IF(OR(AM141="",AN141="",AM141=AN141),"",($E141-AN141)/(AM141-AN141))</f>
        <v>0</v>
      </c>
      <c r="AP141">
        <f>IF(OR(AM141="",AK141="",AK141=0),"",(AM141-AN141)/AK141)</f>
        <v>0</v>
      </c>
      <c r="AQ141">
        <f>IF(COUNT($E$2:$E141)&lt;20,"",MAX($C$122:$C$141))</f>
        <v>0</v>
      </c>
      <c r="AR141">
        <f>IF(COUNT($E$2:$E141)&lt;20,"",MIN($D$122:$D$141))</f>
        <v>0</v>
      </c>
      <c r="AS141">
        <f>IF(OR(AQ141="",AR141=""),"",(AQ141+AR141)/2)</f>
        <v>0</v>
      </c>
      <c r="AT141">
        <f>IF(COUNT($G$122:$G$141)&lt;20,"",STDEV($G$122:$G$141)*SQRT(52))</f>
        <v>0</v>
      </c>
      <c r="AU141">
        <f>IF(COUNT($E$2:$E141)&lt;9,"",(MAX($C$133:$C$141)+MIN($D$133:$D$141))/2)</f>
        <v>0</v>
      </c>
      <c r="AV141">
        <f>IF(COUNT($E$2:$E141)&lt;26,"",(MAX($C$116:$C$141)+MIN($D$116:$D$141))/2)</f>
        <v>0</v>
      </c>
      <c r="AW141">
        <f>IF(OR(AU141="",AV141=""),"",(AU141+AV141)/2)</f>
        <v>0</v>
      </c>
      <c r="AX141">
        <f>IF(COUNT($E$2:$E141)&lt;52,"",(MAX($C$90:$C$141)+MIN($D$90:$D$141))/2)</f>
        <v>0</v>
      </c>
      <c r="AY141">
        <f>IF(COUNT($E$2:$E141)&lt;20,"",MAX($C$42:$C$141))</f>
        <v>0</v>
      </c>
      <c r="AZ141">
        <f>IF(COUNT($E$2:$E141)&lt;20,"",MIN($D$42:$D$141))</f>
        <v>0</v>
      </c>
      <c r="BA141">
        <f>IF(COUNT($E$2:$E141)&lt;20,"",SLOPE($E$42:$E$141,$F$42:$F$141))</f>
        <v>0</v>
      </c>
      <c r="BB141">
        <f>IF(COUNT($E$2:$E141)&lt;20,"",INTERCEPT($E$42:$E$141,$F$42:$F$141))</f>
        <v>0</v>
      </c>
      <c r="BC141">
        <f>IF(OR(BA141="",BB141=""),"",BB141+BA141*F141)</f>
        <v>0</v>
      </c>
      <c r="BD141">
        <f>IF(COUNT($E$2:$E141)&lt;20,"",STEYX($E$42:$E$141,$F$42:$F$141))</f>
        <v>0</v>
      </c>
      <c r="BE141">
        <f>IF($E141="","",IF(AND(COUNT($E$142:$E$145)&gt;=4,$C141=MAX($C$137:$C$145)),$C141,""))</f>
        <v>0</v>
      </c>
      <c r="BF141">
        <f>IF($E141="","",IF(AND(COUNT($E$142:$E$145)&gt;=4,$D141=MIN($D$137:$D$145)),$D141,""))</f>
        <v>0</v>
      </c>
      <c r="BG141">
        <f>IFERROR(SMALL(Calc_Daily!$BM$2:$BM$2001,140),"")</f>
        <v>0</v>
      </c>
    </row>
    <row r="142" spans="1:59">
      <c r="A142" s="27">
        <f>IF($BG142="","",INDEX(Calc_Daily!$A$2:$A$2001,$BG142))</f>
        <v>0</v>
      </c>
      <c r="B142">
        <f>IF($BG142="","",INDEX(Calc_Daily!$BJ$2:$BJ$2001,$BG142))</f>
        <v>0</v>
      </c>
      <c r="C142">
        <f>IF($BG142="","",INDEX(Calc_Daily!$BK$2:$BK$2001,$BG142))</f>
        <v>0</v>
      </c>
      <c r="D142">
        <f>IF($BG142="","",INDEX(Calc_Daily!$BL$2:$BL$2001,$BG142))</f>
        <v>0</v>
      </c>
      <c r="E142">
        <f>IF($BG142="","",INDEX(Calc_Daily!$E$2:$E$2001,$BG142))</f>
        <v>0</v>
      </c>
      <c r="F142">
        <f>IF($E142="","",N(F141)+1)</f>
        <v>0</v>
      </c>
      <c r="G142">
        <f>IF(OR($E142="",$E141=""),"",LN($E142/$E141))</f>
        <v>0</v>
      </c>
      <c r="H142">
        <f>IF($E142="","",IF($E141="",$E142,$E142*0.0952380952+H141*0.9047619048))</f>
        <v>0</v>
      </c>
      <c r="I142">
        <f>IF($E142="","",IF($E141="",$E142,$E142*0.0392156863+I141*0.9607843137))</f>
        <v>0</v>
      </c>
      <c r="J142">
        <f>IF($E142="","",IF($E141="",$E142,$E142*0.0198019802+J141*0.9801980198))</f>
        <v>0</v>
      </c>
      <c r="K142">
        <f>IF($E142="","",IF($E141="",$E142,$E142*0.0099502488+K141*0.9900497512))</f>
        <v>0</v>
      </c>
      <c r="L142">
        <f>IF(OR($E142="",$E141=""),"",MAX($E142-$E141,0))</f>
        <v>0</v>
      </c>
      <c r="M142">
        <f>IF(OR($E142="",$E141=""),"",MAX($E141-$E142,0))</f>
        <v>0</v>
      </c>
      <c r="N142">
        <f>IF(COUNT($E$2:$E142)&lt;15,"",IF(AVERAGE($M$129:$M$142)=0,100,100-100/(1+AVERAGE($L$129:$L$142)/AVERAGE($M$129:$M$142))))</f>
        <v>0</v>
      </c>
      <c r="O142">
        <f>IF($E142="","",IF($E141="",$E142,$E142*0.1538461538+O141*0.8461538462))</f>
        <v>0</v>
      </c>
      <c r="P142">
        <f>IF($E142="","",IF($E141="",$E142,$E142*0.0740740741+P141*0.9259259259))</f>
        <v>0</v>
      </c>
      <c r="Q142">
        <f>IF(OR(O142="",P142=""),"",O142-P142)</f>
        <v>0</v>
      </c>
      <c r="R142">
        <f>IF(Q142="","",IF(R141="",Q142,Q142*0.2000000000+R141*0.8000000000))</f>
        <v>0</v>
      </c>
      <c r="S142">
        <f>IF(OR(Q142="",R142=""),"",Q142-R142)</f>
        <v>0</v>
      </c>
      <c r="T142">
        <f>IF(COUNT($E$2:$E142)&lt;14,"",MAX($C$129:$C$142))</f>
        <v>0</v>
      </c>
      <c r="U142">
        <f>IF(COUNT($E$2:$E142)&lt;14,"",MIN($D$129:$D$142))</f>
        <v>0</v>
      </c>
      <c r="V142">
        <f>IF(OR(T142="",U142="",T142=U142),"",100*($E142-U142)/(T142-U142))</f>
        <v>0</v>
      </c>
      <c r="W142">
        <f>IF(COUNT($V$140:$V$142)&lt;3,"",AVERAGE($V$140:$V$142))</f>
        <v>0</v>
      </c>
      <c r="X142">
        <f>IF(COUNT($N$129:$N$142)&lt;14,"",MIN($N$129:$N$142))</f>
        <v>0</v>
      </c>
      <c r="Y142">
        <f>IF(COUNT($N$129:$N$142)&lt;14,"",MAX($N$129:$N$142))</f>
        <v>0</v>
      </c>
      <c r="Z142">
        <f>IF(OR(N142="",X142="",Y142="",Y142=X142),"",100*(N142-X142)/(Y142-X142))</f>
        <v>0</v>
      </c>
      <c r="AA142">
        <f>IF(COUNT($Z$140:$Z$142)&lt;3,"",AVERAGE($Z$140:$Z$142))</f>
        <v>0</v>
      </c>
      <c r="AB142">
        <f>IF(COUNT($AA$140:$AA$142)&lt;3,"",AVERAGE($AA$140:$AA$142))</f>
        <v>0</v>
      </c>
      <c r="AC142">
        <f>IF($E142="","",MAX($C142-$D142,ABS($C142-$E141),ABS($D142-$E141)))</f>
        <v>0</v>
      </c>
      <c r="AD142">
        <f>IF(COUNT($E$2:$E142)&lt;15,"",AVERAGE($AC$129:$AC$142))</f>
        <v>0</v>
      </c>
      <c r="AE142">
        <f>IF(OR($E142="",$E141=""),"",IF(AND(($C142-$C141)&gt;($D141-$D142),($C142-$C141)&gt;0),$C142-$C141,0))</f>
        <v>0</v>
      </c>
      <c r="AF142">
        <f>IF(OR($E142="",$E141=""),"",IF(AND(($D141-$D142)&gt;($C142-$C141),($D141-$D142)&gt;0),$D141-$D142,0))</f>
        <v>0</v>
      </c>
      <c r="AG142">
        <f>IF(COUNT($E$2:$E142)&lt;15,"",IF(SUM($AC$129:$AC$142)=0,0,100*SUM($AE$129:$AE$142)/SUM($AC$129:$AC$142)))</f>
        <v>0</v>
      </c>
      <c r="AH142">
        <f>IF(COUNT($E$2:$E142)&lt;15,"",IF(SUM($AC$129:$AC$142)=0,0,100*SUM($AF$129:$AF$142)/SUM($AC$129:$AC$142)))</f>
        <v>0</v>
      </c>
      <c r="AI142">
        <f>IF(OR(AG142="",AH142=""),"",IF((AG142+AH142)=0,0,100*ABS(AG142-AH142)/(AG142+AH142)))</f>
        <v>0</v>
      </c>
      <c r="AJ142">
        <f>IF(COUNT($AI$129:$AI$142)&lt;14,"",AVERAGE($AI$129:$AI$142))</f>
        <v>0</v>
      </c>
      <c r="AK142">
        <f>IF(COUNT($E$2:$E142)&lt;20,"",AVERAGE($E$123:$E$142))</f>
        <v>0</v>
      </c>
      <c r="AL142">
        <f>IF(COUNT($E$2:$E142)&lt;20,"",STDEVP($E$123:$E$142))</f>
        <v>0</v>
      </c>
      <c r="AM142">
        <f>IF(AK142="","",AK142+2*AL142)</f>
        <v>0</v>
      </c>
      <c r="AN142">
        <f>IF(AK142="","",AK142-2*AL142)</f>
        <v>0</v>
      </c>
      <c r="AO142">
        <f>IF(OR(AM142="",AN142="",AM142=AN142),"",($E142-AN142)/(AM142-AN142))</f>
        <v>0</v>
      </c>
      <c r="AP142">
        <f>IF(OR(AM142="",AK142="",AK142=0),"",(AM142-AN142)/AK142)</f>
        <v>0</v>
      </c>
      <c r="AQ142">
        <f>IF(COUNT($E$2:$E142)&lt;20,"",MAX($C$123:$C$142))</f>
        <v>0</v>
      </c>
      <c r="AR142">
        <f>IF(COUNT($E$2:$E142)&lt;20,"",MIN($D$123:$D$142))</f>
        <v>0</v>
      </c>
      <c r="AS142">
        <f>IF(OR(AQ142="",AR142=""),"",(AQ142+AR142)/2)</f>
        <v>0</v>
      </c>
      <c r="AT142">
        <f>IF(COUNT($G$123:$G$142)&lt;20,"",STDEV($G$123:$G$142)*SQRT(52))</f>
        <v>0</v>
      </c>
      <c r="AU142">
        <f>IF(COUNT($E$2:$E142)&lt;9,"",(MAX($C$134:$C$142)+MIN($D$134:$D$142))/2)</f>
        <v>0</v>
      </c>
      <c r="AV142">
        <f>IF(COUNT($E$2:$E142)&lt;26,"",(MAX($C$117:$C$142)+MIN($D$117:$D$142))/2)</f>
        <v>0</v>
      </c>
      <c r="AW142">
        <f>IF(OR(AU142="",AV142=""),"",(AU142+AV142)/2)</f>
        <v>0</v>
      </c>
      <c r="AX142">
        <f>IF(COUNT($E$2:$E142)&lt;52,"",(MAX($C$91:$C$142)+MIN($D$91:$D$142))/2)</f>
        <v>0</v>
      </c>
      <c r="AY142">
        <f>IF(COUNT($E$2:$E142)&lt;20,"",MAX($C$43:$C$142))</f>
        <v>0</v>
      </c>
      <c r="AZ142">
        <f>IF(COUNT($E$2:$E142)&lt;20,"",MIN($D$43:$D$142))</f>
        <v>0</v>
      </c>
      <c r="BA142">
        <f>IF(COUNT($E$2:$E142)&lt;20,"",SLOPE($E$43:$E$142,$F$43:$F$142))</f>
        <v>0</v>
      </c>
      <c r="BB142">
        <f>IF(COUNT($E$2:$E142)&lt;20,"",INTERCEPT($E$43:$E$142,$F$43:$F$142))</f>
        <v>0</v>
      </c>
      <c r="BC142">
        <f>IF(OR(BA142="",BB142=""),"",BB142+BA142*F142)</f>
        <v>0</v>
      </c>
      <c r="BD142">
        <f>IF(COUNT($E$2:$E142)&lt;20,"",STEYX($E$43:$E$142,$F$43:$F$142))</f>
        <v>0</v>
      </c>
      <c r="BE142">
        <f>IF($E142="","",IF(AND(COUNT($E$143:$E$146)&gt;=4,$C142=MAX($C$138:$C$146)),$C142,""))</f>
        <v>0</v>
      </c>
      <c r="BF142">
        <f>IF($E142="","",IF(AND(COUNT($E$143:$E$146)&gt;=4,$D142=MIN($D$138:$D$146)),$D142,""))</f>
        <v>0</v>
      </c>
      <c r="BG142">
        <f>IFERROR(SMALL(Calc_Daily!$BM$2:$BM$2001,141),"")</f>
        <v>0</v>
      </c>
    </row>
    <row r="143" spans="1:59">
      <c r="A143" s="27">
        <f>IF($BG143="","",INDEX(Calc_Daily!$A$2:$A$2001,$BG143))</f>
        <v>0</v>
      </c>
      <c r="B143">
        <f>IF($BG143="","",INDEX(Calc_Daily!$BJ$2:$BJ$2001,$BG143))</f>
        <v>0</v>
      </c>
      <c r="C143">
        <f>IF($BG143="","",INDEX(Calc_Daily!$BK$2:$BK$2001,$BG143))</f>
        <v>0</v>
      </c>
      <c r="D143">
        <f>IF($BG143="","",INDEX(Calc_Daily!$BL$2:$BL$2001,$BG143))</f>
        <v>0</v>
      </c>
      <c r="E143">
        <f>IF($BG143="","",INDEX(Calc_Daily!$E$2:$E$2001,$BG143))</f>
        <v>0</v>
      </c>
      <c r="F143">
        <f>IF($E143="","",N(F142)+1)</f>
        <v>0</v>
      </c>
      <c r="G143">
        <f>IF(OR($E143="",$E142=""),"",LN($E143/$E142))</f>
        <v>0</v>
      </c>
      <c r="H143">
        <f>IF($E143="","",IF($E142="",$E143,$E143*0.0952380952+H142*0.9047619048))</f>
        <v>0</v>
      </c>
      <c r="I143">
        <f>IF($E143="","",IF($E142="",$E143,$E143*0.0392156863+I142*0.9607843137))</f>
        <v>0</v>
      </c>
      <c r="J143">
        <f>IF($E143="","",IF($E142="",$E143,$E143*0.0198019802+J142*0.9801980198))</f>
        <v>0</v>
      </c>
      <c r="K143">
        <f>IF($E143="","",IF($E142="",$E143,$E143*0.0099502488+K142*0.9900497512))</f>
        <v>0</v>
      </c>
      <c r="L143">
        <f>IF(OR($E143="",$E142=""),"",MAX($E143-$E142,0))</f>
        <v>0</v>
      </c>
      <c r="M143">
        <f>IF(OR($E143="",$E142=""),"",MAX($E142-$E143,0))</f>
        <v>0</v>
      </c>
      <c r="N143">
        <f>IF(COUNT($E$2:$E143)&lt;15,"",IF(AVERAGE($M$130:$M$143)=0,100,100-100/(1+AVERAGE($L$130:$L$143)/AVERAGE($M$130:$M$143))))</f>
        <v>0</v>
      </c>
      <c r="O143">
        <f>IF($E143="","",IF($E142="",$E143,$E143*0.1538461538+O142*0.8461538462))</f>
        <v>0</v>
      </c>
      <c r="P143">
        <f>IF($E143="","",IF($E142="",$E143,$E143*0.0740740741+P142*0.9259259259))</f>
        <v>0</v>
      </c>
      <c r="Q143">
        <f>IF(OR(O143="",P143=""),"",O143-P143)</f>
        <v>0</v>
      </c>
      <c r="R143">
        <f>IF(Q143="","",IF(R142="",Q143,Q143*0.2000000000+R142*0.8000000000))</f>
        <v>0</v>
      </c>
      <c r="S143">
        <f>IF(OR(Q143="",R143=""),"",Q143-R143)</f>
        <v>0</v>
      </c>
      <c r="T143">
        <f>IF(COUNT($E$2:$E143)&lt;14,"",MAX($C$130:$C$143))</f>
        <v>0</v>
      </c>
      <c r="U143">
        <f>IF(COUNT($E$2:$E143)&lt;14,"",MIN($D$130:$D$143))</f>
        <v>0</v>
      </c>
      <c r="V143">
        <f>IF(OR(T143="",U143="",T143=U143),"",100*($E143-U143)/(T143-U143))</f>
        <v>0</v>
      </c>
      <c r="W143">
        <f>IF(COUNT($V$141:$V$143)&lt;3,"",AVERAGE($V$141:$V$143))</f>
        <v>0</v>
      </c>
      <c r="X143">
        <f>IF(COUNT($N$130:$N$143)&lt;14,"",MIN($N$130:$N$143))</f>
        <v>0</v>
      </c>
      <c r="Y143">
        <f>IF(COUNT($N$130:$N$143)&lt;14,"",MAX($N$130:$N$143))</f>
        <v>0</v>
      </c>
      <c r="Z143">
        <f>IF(OR(N143="",X143="",Y143="",Y143=X143),"",100*(N143-X143)/(Y143-X143))</f>
        <v>0</v>
      </c>
      <c r="AA143">
        <f>IF(COUNT($Z$141:$Z$143)&lt;3,"",AVERAGE($Z$141:$Z$143))</f>
        <v>0</v>
      </c>
      <c r="AB143">
        <f>IF(COUNT($AA$141:$AA$143)&lt;3,"",AVERAGE($AA$141:$AA$143))</f>
        <v>0</v>
      </c>
      <c r="AC143">
        <f>IF($E143="","",MAX($C143-$D143,ABS($C143-$E142),ABS($D143-$E142)))</f>
        <v>0</v>
      </c>
      <c r="AD143">
        <f>IF(COUNT($E$2:$E143)&lt;15,"",AVERAGE($AC$130:$AC$143))</f>
        <v>0</v>
      </c>
      <c r="AE143">
        <f>IF(OR($E143="",$E142=""),"",IF(AND(($C143-$C142)&gt;($D142-$D143),($C143-$C142)&gt;0),$C143-$C142,0))</f>
        <v>0</v>
      </c>
      <c r="AF143">
        <f>IF(OR($E143="",$E142=""),"",IF(AND(($D142-$D143)&gt;($C143-$C142),($D142-$D143)&gt;0),$D142-$D143,0))</f>
        <v>0</v>
      </c>
      <c r="AG143">
        <f>IF(COUNT($E$2:$E143)&lt;15,"",IF(SUM($AC$130:$AC$143)=0,0,100*SUM($AE$130:$AE$143)/SUM($AC$130:$AC$143)))</f>
        <v>0</v>
      </c>
      <c r="AH143">
        <f>IF(COUNT($E$2:$E143)&lt;15,"",IF(SUM($AC$130:$AC$143)=0,0,100*SUM($AF$130:$AF$143)/SUM($AC$130:$AC$143)))</f>
        <v>0</v>
      </c>
      <c r="AI143">
        <f>IF(OR(AG143="",AH143=""),"",IF((AG143+AH143)=0,0,100*ABS(AG143-AH143)/(AG143+AH143)))</f>
        <v>0</v>
      </c>
      <c r="AJ143">
        <f>IF(COUNT($AI$130:$AI$143)&lt;14,"",AVERAGE($AI$130:$AI$143))</f>
        <v>0</v>
      </c>
      <c r="AK143">
        <f>IF(COUNT($E$2:$E143)&lt;20,"",AVERAGE($E$124:$E$143))</f>
        <v>0</v>
      </c>
      <c r="AL143">
        <f>IF(COUNT($E$2:$E143)&lt;20,"",STDEVP($E$124:$E$143))</f>
        <v>0</v>
      </c>
      <c r="AM143">
        <f>IF(AK143="","",AK143+2*AL143)</f>
        <v>0</v>
      </c>
      <c r="AN143">
        <f>IF(AK143="","",AK143-2*AL143)</f>
        <v>0</v>
      </c>
      <c r="AO143">
        <f>IF(OR(AM143="",AN143="",AM143=AN143),"",($E143-AN143)/(AM143-AN143))</f>
        <v>0</v>
      </c>
      <c r="AP143">
        <f>IF(OR(AM143="",AK143="",AK143=0),"",(AM143-AN143)/AK143)</f>
        <v>0</v>
      </c>
      <c r="AQ143">
        <f>IF(COUNT($E$2:$E143)&lt;20,"",MAX($C$124:$C$143))</f>
        <v>0</v>
      </c>
      <c r="AR143">
        <f>IF(COUNT($E$2:$E143)&lt;20,"",MIN($D$124:$D$143))</f>
        <v>0</v>
      </c>
      <c r="AS143">
        <f>IF(OR(AQ143="",AR143=""),"",(AQ143+AR143)/2)</f>
        <v>0</v>
      </c>
      <c r="AT143">
        <f>IF(COUNT($G$124:$G$143)&lt;20,"",STDEV($G$124:$G$143)*SQRT(52))</f>
        <v>0</v>
      </c>
      <c r="AU143">
        <f>IF(COUNT($E$2:$E143)&lt;9,"",(MAX($C$135:$C$143)+MIN($D$135:$D$143))/2)</f>
        <v>0</v>
      </c>
      <c r="AV143">
        <f>IF(COUNT($E$2:$E143)&lt;26,"",(MAX($C$118:$C$143)+MIN($D$118:$D$143))/2)</f>
        <v>0</v>
      </c>
      <c r="AW143">
        <f>IF(OR(AU143="",AV143=""),"",(AU143+AV143)/2)</f>
        <v>0</v>
      </c>
      <c r="AX143">
        <f>IF(COUNT($E$2:$E143)&lt;52,"",(MAX($C$92:$C$143)+MIN($D$92:$D$143))/2)</f>
        <v>0</v>
      </c>
      <c r="AY143">
        <f>IF(COUNT($E$2:$E143)&lt;20,"",MAX($C$44:$C$143))</f>
        <v>0</v>
      </c>
      <c r="AZ143">
        <f>IF(COUNT($E$2:$E143)&lt;20,"",MIN($D$44:$D$143))</f>
        <v>0</v>
      </c>
      <c r="BA143">
        <f>IF(COUNT($E$2:$E143)&lt;20,"",SLOPE($E$44:$E$143,$F$44:$F$143))</f>
        <v>0</v>
      </c>
      <c r="BB143">
        <f>IF(COUNT($E$2:$E143)&lt;20,"",INTERCEPT($E$44:$E$143,$F$44:$F$143))</f>
        <v>0</v>
      </c>
      <c r="BC143">
        <f>IF(OR(BA143="",BB143=""),"",BB143+BA143*F143)</f>
        <v>0</v>
      </c>
      <c r="BD143">
        <f>IF(COUNT($E$2:$E143)&lt;20,"",STEYX($E$44:$E$143,$F$44:$F$143))</f>
        <v>0</v>
      </c>
      <c r="BE143">
        <f>IF($E143="","",IF(AND(COUNT($E$144:$E$147)&gt;=4,$C143=MAX($C$139:$C$147)),$C143,""))</f>
        <v>0</v>
      </c>
      <c r="BF143">
        <f>IF($E143="","",IF(AND(COUNT($E$144:$E$147)&gt;=4,$D143=MIN($D$139:$D$147)),$D143,""))</f>
        <v>0</v>
      </c>
      <c r="BG143">
        <f>IFERROR(SMALL(Calc_Daily!$BM$2:$BM$2001,142),"")</f>
        <v>0</v>
      </c>
    </row>
    <row r="144" spans="1:59">
      <c r="A144" s="27">
        <f>IF($BG144="","",INDEX(Calc_Daily!$A$2:$A$2001,$BG144))</f>
        <v>0</v>
      </c>
      <c r="B144">
        <f>IF($BG144="","",INDEX(Calc_Daily!$BJ$2:$BJ$2001,$BG144))</f>
        <v>0</v>
      </c>
      <c r="C144">
        <f>IF($BG144="","",INDEX(Calc_Daily!$BK$2:$BK$2001,$BG144))</f>
        <v>0</v>
      </c>
      <c r="D144">
        <f>IF($BG144="","",INDEX(Calc_Daily!$BL$2:$BL$2001,$BG144))</f>
        <v>0</v>
      </c>
      <c r="E144">
        <f>IF($BG144="","",INDEX(Calc_Daily!$E$2:$E$2001,$BG144))</f>
        <v>0</v>
      </c>
      <c r="F144">
        <f>IF($E144="","",N(F143)+1)</f>
        <v>0</v>
      </c>
      <c r="G144">
        <f>IF(OR($E144="",$E143=""),"",LN($E144/$E143))</f>
        <v>0</v>
      </c>
      <c r="H144">
        <f>IF($E144="","",IF($E143="",$E144,$E144*0.0952380952+H143*0.9047619048))</f>
        <v>0</v>
      </c>
      <c r="I144">
        <f>IF($E144="","",IF($E143="",$E144,$E144*0.0392156863+I143*0.9607843137))</f>
        <v>0</v>
      </c>
      <c r="J144">
        <f>IF($E144="","",IF($E143="",$E144,$E144*0.0198019802+J143*0.9801980198))</f>
        <v>0</v>
      </c>
      <c r="K144">
        <f>IF($E144="","",IF($E143="",$E144,$E144*0.0099502488+K143*0.9900497512))</f>
        <v>0</v>
      </c>
      <c r="L144">
        <f>IF(OR($E144="",$E143=""),"",MAX($E144-$E143,0))</f>
        <v>0</v>
      </c>
      <c r="M144">
        <f>IF(OR($E144="",$E143=""),"",MAX($E143-$E144,0))</f>
        <v>0</v>
      </c>
      <c r="N144">
        <f>IF(COUNT($E$2:$E144)&lt;15,"",IF(AVERAGE($M$131:$M$144)=0,100,100-100/(1+AVERAGE($L$131:$L$144)/AVERAGE($M$131:$M$144))))</f>
        <v>0</v>
      </c>
      <c r="O144">
        <f>IF($E144="","",IF($E143="",$E144,$E144*0.1538461538+O143*0.8461538462))</f>
        <v>0</v>
      </c>
      <c r="P144">
        <f>IF($E144="","",IF($E143="",$E144,$E144*0.0740740741+P143*0.9259259259))</f>
        <v>0</v>
      </c>
      <c r="Q144">
        <f>IF(OR(O144="",P144=""),"",O144-P144)</f>
        <v>0</v>
      </c>
      <c r="R144">
        <f>IF(Q144="","",IF(R143="",Q144,Q144*0.2000000000+R143*0.8000000000))</f>
        <v>0</v>
      </c>
      <c r="S144">
        <f>IF(OR(Q144="",R144=""),"",Q144-R144)</f>
        <v>0</v>
      </c>
      <c r="T144">
        <f>IF(COUNT($E$2:$E144)&lt;14,"",MAX($C$131:$C$144))</f>
        <v>0</v>
      </c>
      <c r="U144">
        <f>IF(COUNT($E$2:$E144)&lt;14,"",MIN($D$131:$D$144))</f>
        <v>0</v>
      </c>
      <c r="V144">
        <f>IF(OR(T144="",U144="",T144=U144),"",100*($E144-U144)/(T144-U144))</f>
        <v>0</v>
      </c>
      <c r="W144">
        <f>IF(COUNT($V$142:$V$144)&lt;3,"",AVERAGE($V$142:$V$144))</f>
        <v>0</v>
      </c>
      <c r="X144">
        <f>IF(COUNT($N$131:$N$144)&lt;14,"",MIN($N$131:$N$144))</f>
        <v>0</v>
      </c>
      <c r="Y144">
        <f>IF(COUNT($N$131:$N$144)&lt;14,"",MAX($N$131:$N$144))</f>
        <v>0</v>
      </c>
      <c r="Z144">
        <f>IF(OR(N144="",X144="",Y144="",Y144=X144),"",100*(N144-X144)/(Y144-X144))</f>
        <v>0</v>
      </c>
      <c r="AA144">
        <f>IF(COUNT($Z$142:$Z$144)&lt;3,"",AVERAGE($Z$142:$Z$144))</f>
        <v>0</v>
      </c>
      <c r="AB144">
        <f>IF(COUNT($AA$142:$AA$144)&lt;3,"",AVERAGE($AA$142:$AA$144))</f>
        <v>0</v>
      </c>
      <c r="AC144">
        <f>IF($E144="","",MAX($C144-$D144,ABS($C144-$E143),ABS($D144-$E143)))</f>
        <v>0</v>
      </c>
      <c r="AD144">
        <f>IF(COUNT($E$2:$E144)&lt;15,"",AVERAGE($AC$131:$AC$144))</f>
        <v>0</v>
      </c>
      <c r="AE144">
        <f>IF(OR($E144="",$E143=""),"",IF(AND(($C144-$C143)&gt;($D143-$D144),($C144-$C143)&gt;0),$C144-$C143,0))</f>
        <v>0</v>
      </c>
      <c r="AF144">
        <f>IF(OR($E144="",$E143=""),"",IF(AND(($D143-$D144)&gt;($C144-$C143),($D143-$D144)&gt;0),$D143-$D144,0))</f>
        <v>0</v>
      </c>
      <c r="AG144">
        <f>IF(COUNT($E$2:$E144)&lt;15,"",IF(SUM($AC$131:$AC$144)=0,0,100*SUM($AE$131:$AE$144)/SUM($AC$131:$AC$144)))</f>
        <v>0</v>
      </c>
      <c r="AH144">
        <f>IF(COUNT($E$2:$E144)&lt;15,"",IF(SUM($AC$131:$AC$144)=0,0,100*SUM($AF$131:$AF$144)/SUM($AC$131:$AC$144)))</f>
        <v>0</v>
      </c>
      <c r="AI144">
        <f>IF(OR(AG144="",AH144=""),"",IF((AG144+AH144)=0,0,100*ABS(AG144-AH144)/(AG144+AH144)))</f>
        <v>0</v>
      </c>
      <c r="AJ144">
        <f>IF(COUNT($AI$131:$AI$144)&lt;14,"",AVERAGE($AI$131:$AI$144))</f>
        <v>0</v>
      </c>
      <c r="AK144">
        <f>IF(COUNT($E$2:$E144)&lt;20,"",AVERAGE($E$125:$E$144))</f>
        <v>0</v>
      </c>
      <c r="AL144">
        <f>IF(COUNT($E$2:$E144)&lt;20,"",STDEVP($E$125:$E$144))</f>
        <v>0</v>
      </c>
      <c r="AM144">
        <f>IF(AK144="","",AK144+2*AL144)</f>
        <v>0</v>
      </c>
      <c r="AN144">
        <f>IF(AK144="","",AK144-2*AL144)</f>
        <v>0</v>
      </c>
      <c r="AO144">
        <f>IF(OR(AM144="",AN144="",AM144=AN144),"",($E144-AN144)/(AM144-AN144))</f>
        <v>0</v>
      </c>
      <c r="AP144">
        <f>IF(OR(AM144="",AK144="",AK144=0),"",(AM144-AN144)/AK144)</f>
        <v>0</v>
      </c>
      <c r="AQ144">
        <f>IF(COUNT($E$2:$E144)&lt;20,"",MAX($C$125:$C$144))</f>
        <v>0</v>
      </c>
      <c r="AR144">
        <f>IF(COUNT($E$2:$E144)&lt;20,"",MIN($D$125:$D$144))</f>
        <v>0</v>
      </c>
      <c r="AS144">
        <f>IF(OR(AQ144="",AR144=""),"",(AQ144+AR144)/2)</f>
        <v>0</v>
      </c>
      <c r="AT144">
        <f>IF(COUNT($G$125:$G$144)&lt;20,"",STDEV($G$125:$G$144)*SQRT(52))</f>
        <v>0</v>
      </c>
      <c r="AU144">
        <f>IF(COUNT($E$2:$E144)&lt;9,"",(MAX($C$136:$C$144)+MIN($D$136:$D$144))/2)</f>
        <v>0</v>
      </c>
      <c r="AV144">
        <f>IF(COUNT($E$2:$E144)&lt;26,"",(MAX($C$119:$C$144)+MIN($D$119:$D$144))/2)</f>
        <v>0</v>
      </c>
      <c r="AW144">
        <f>IF(OR(AU144="",AV144=""),"",(AU144+AV144)/2)</f>
        <v>0</v>
      </c>
      <c r="AX144">
        <f>IF(COUNT($E$2:$E144)&lt;52,"",(MAX($C$93:$C$144)+MIN($D$93:$D$144))/2)</f>
        <v>0</v>
      </c>
      <c r="AY144">
        <f>IF(COUNT($E$2:$E144)&lt;20,"",MAX($C$45:$C$144))</f>
        <v>0</v>
      </c>
      <c r="AZ144">
        <f>IF(COUNT($E$2:$E144)&lt;20,"",MIN($D$45:$D$144))</f>
        <v>0</v>
      </c>
      <c r="BA144">
        <f>IF(COUNT($E$2:$E144)&lt;20,"",SLOPE($E$45:$E$144,$F$45:$F$144))</f>
        <v>0</v>
      </c>
      <c r="BB144">
        <f>IF(COUNT($E$2:$E144)&lt;20,"",INTERCEPT($E$45:$E$144,$F$45:$F$144))</f>
        <v>0</v>
      </c>
      <c r="BC144">
        <f>IF(OR(BA144="",BB144=""),"",BB144+BA144*F144)</f>
        <v>0</v>
      </c>
      <c r="BD144">
        <f>IF(COUNT($E$2:$E144)&lt;20,"",STEYX($E$45:$E$144,$F$45:$F$144))</f>
        <v>0</v>
      </c>
      <c r="BE144">
        <f>IF($E144="","",IF(AND(COUNT($E$145:$E$148)&gt;=4,$C144=MAX($C$140:$C$148)),$C144,""))</f>
        <v>0</v>
      </c>
      <c r="BF144">
        <f>IF($E144="","",IF(AND(COUNT($E$145:$E$148)&gt;=4,$D144=MIN($D$140:$D$148)),$D144,""))</f>
        <v>0</v>
      </c>
      <c r="BG144">
        <f>IFERROR(SMALL(Calc_Daily!$BM$2:$BM$2001,143),"")</f>
        <v>0</v>
      </c>
    </row>
    <row r="145" spans="1:59">
      <c r="A145" s="27">
        <f>IF($BG145="","",INDEX(Calc_Daily!$A$2:$A$2001,$BG145))</f>
        <v>0</v>
      </c>
      <c r="B145">
        <f>IF($BG145="","",INDEX(Calc_Daily!$BJ$2:$BJ$2001,$BG145))</f>
        <v>0</v>
      </c>
      <c r="C145">
        <f>IF($BG145="","",INDEX(Calc_Daily!$BK$2:$BK$2001,$BG145))</f>
        <v>0</v>
      </c>
      <c r="D145">
        <f>IF($BG145="","",INDEX(Calc_Daily!$BL$2:$BL$2001,$BG145))</f>
        <v>0</v>
      </c>
      <c r="E145">
        <f>IF($BG145="","",INDEX(Calc_Daily!$E$2:$E$2001,$BG145))</f>
        <v>0</v>
      </c>
      <c r="F145">
        <f>IF($E145="","",N(F144)+1)</f>
        <v>0</v>
      </c>
      <c r="G145">
        <f>IF(OR($E145="",$E144=""),"",LN($E145/$E144))</f>
        <v>0</v>
      </c>
      <c r="H145">
        <f>IF($E145="","",IF($E144="",$E145,$E145*0.0952380952+H144*0.9047619048))</f>
        <v>0</v>
      </c>
      <c r="I145">
        <f>IF($E145="","",IF($E144="",$E145,$E145*0.0392156863+I144*0.9607843137))</f>
        <v>0</v>
      </c>
      <c r="J145">
        <f>IF($E145="","",IF($E144="",$E145,$E145*0.0198019802+J144*0.9801980198))</f>
        <v>0</v>
      </c>
      <c r="K145">
        <f>IF($E145="","",IF($E144="",$E145,$E145*0.0099502488+K144*0.9900497512))</f>
        <v>0</v>
      </c>
      <c r="L145">
        <f>IF(OR($E145="",$E144=""),"",MAX($E145-$E144,0))</f>
        <v>0</v>
      </c>
      <c r="M145">
        <f>IF(OR($E145="",$E144=""),"",MAX($E144-$E145,0))</f>
        <v>0</v>
      </c>
      <c r="N145">
        <f>IF(COUNT($E$2:$E145)&lt;15,"",IF(AVERAGE($M$132:$M$145)=0,100,100-100/(1+AVERAGE($L$132:$L$145)/AVERAGE($M$132:$M$145))))</f>
        <v>0</v>
      </c>
      <c r="O145">
        <f>IF($E145="","",IF($E144="",$E145,$E145*0.1538461538+O144*0.8461538462))</f>
        <v>0</v>
      </c>
      <c r="P145">
        <f>IF($E145="","",IF($E144="",$E145,$E145*0.0740740741+P144*0.9259259259))</f>
        <v>0</v>
      </c>
      <c r="Q145">
        <f>IF(OR(O145="",P145=""),"",O145-P145)</f>
        <v>0</v>
      </c>
      <c r="R145">
        <f>IF(Q145="","",IF(R144="",Q145,Q145*0.2000000000+R144*0.8000000000))</f>
        <v>0</v>
      </c>
      <c r="S145">
        <f>IF(OR(Q145="",R145=""),"",Q145-R145)</f>
        <v>0</v>
      </c>
      <c r="T145">
        <f>IF(COUNT($E$2:$E145)&lt;14,"",MAX($C$132:$C$145))</f>
        <v>0</v>
      </c>
      <c r="U145">
        <f>IF(COUNT($E$2:$E145)&lt;14,"",MIN($D$132:$D$145))</f>
        <v>0</v>
      </c>
      <c r="V145">
        <f>IF(OR(T145="",U145="",T145=U145),"",100*($E145-U145)/(T145-U145))</f>
        <v>0</v>
      </c>
      <c r="W145">
        <f>IF(COUNT($V$143:$V$145)&lt;3,"",AVERAGE($V$143:$V$145))</f>
        <v>0</v>
      </c>
      <c r="X145">
        <f>IF(COUNT($N$132:$N$145)&lt;14,"",MIN($N$132:$N$145))</f>
        <v>0</v>
      </c>
      <c r="Y145">
        <f>IF(COUNT($N$132:$N$145)&lt;14,"",MAX($N$132:$N$145))</f>
        <v>0</v>
      </c>
      <c r="Z145">
        <f>IF(OR(N145="",X145="",Y145="",Y145=X145),"",100*(N145-X145)/(Y145-X145))</f>
        <v>0</v>
      </c>
      <c r="AA145">
        <f>IF(COUNT($Z$143:$Z$145)&lt;3,"",AVERAGE($Z$143:$Z$145))</f>
        <v>0</v>
      </c>
      <c r="AB145">
        <f>IF(COUNT($AA$143:$AA$145)&lt;3,"",AVERAGE($AA$143:$AA$145))</f>
        <v>0</v>
      </c>
      <c r="AC145">
        <f>IF($E145="","",MAX($C145-$D145,ABS($C145-$E144),ABS($D145-$E144)))</f>
        <v>0</v>
      </c>
      <c r="AD145">
        <f>IF(COUNT($E$2:$E145)&lt;15,"",AVERAGE($AC$132:$AC$145))</f>
        <v>0</v>
      </c>
      <c r="AE145">
        <f>IF(OR($E145="",$E144=""),"",IF(AND(($C145-$C144)&gt;($D144-$D145),($C145-$C144)&gt;0),$C145-$C144,0))</f>
        <v>0</v>
      </c>
      <c r="AF145">
        <f>IF(OR($E145="",$E144=""),"",IF(AND(($D144-$D145)&gt;($C145-$C144),($D144-$D145)&gt;0),$D144-$D145,0))</f>
        <v>0</v>
      </c>
      <c r="AG145">
        <f>IF(COUNT($E$2:$E145)&lt;15,"",IF(SUM($AC$132:$AC$145)=0,0,100*SUM($AE$132:$AE$145)/SUM($AC$132:$AC$145)))</f>
        <v>0</v>
      </c>
      <c r="AH145">
        <f>IF(COUNT($E$2:$E145)&lt;15,"",IF(SUM($AC$132:$AC$145)=0,0,100*SUM($AF$132:$AF$145)/SUM($AC$132:$AC$145)))</f>
        <v>0</v>
      </c>
      <c r="AI145">
        <f>IF(OR(AG145="",AH145=""),"",IF((AG145+AH145)=0,0,100*ABS(AG145-AH145)/(AG145+AH145)))</f>
        <v>0</v>
      </c>
      <c r="AJ145">
        <f>IF(COUNT($AI$132:$AI$145)&lt;14,"",AVERAGE($AI$132:$AI$145))</f>
        <v>0</v>
      </c>
      <c r="AK145">
        <f>IF(COUNT($E$2:$E145)&lt;20,"",AVERAGE($E$126:$E$145))</f>
        <v>0</v>
      </c>
      <c r="AL145">
        <f>IF(COUNT($E$2:$E145)&lt;20,"",STDEVP($E$126:$E$145))</f>
        <v>0</v>
      </c>
      <c r="AM145">
        <f>IF(AK145="","",AK145+2*AL145)</f>
        <v>0</v>
      </c>
      <c r="AN145">
        <f>IF(AK145="","",AK145-2*AL145)</f>
        <v>0</v>
      </c>
      <c r="AO145">
        <f>IF(OR(AM145="",AN145="",AM145=AN145),"",($E145-AN145)/(AM145-AN145))</f>
        <v>0</v>
      </c>
      <c r="AP145">
        <f>IF(OR(AM145="",AK145="",AK145=0),"",(AM145-AN145)/AK145)</f>
        <v>0</v>
      </c>
      <c r="AQ145">
        <f>IF(COUNT($E$2:$E145)&lt;20,"",MAX($C$126:$C$145))</f>
        <v>0</v>
      </c>
      <c r="AR145">
        <f>IF(COUNT($E$2:$E145)&lt;20,"",MIN($D$126:$D$145))</f>
        <v>0</v>
      </c>
      <c r="AS145">
        <f>IF(OR(AQ145="",AR145=""),"",(AQ145+AR145)/2)</f>
        <v>0</v>
      </c>
      <c r="AT145">
        <f>IF(COUNT($G$126:$G$145)&lt;20,"",STDEV($G$126:$G$145)*SQRT(52))</f>
        <v>0</v>
      </c>
      <c r="AU145">
        <f>IF(COUNT($E$2:$E145)&lt;9,"",(MAX($C$137:$C$145)+MIN($D$137:$D$145))/2)</f>
        <v>0</v>
      </c>
      <c r="AV145">
        <f>IF(COUNT($E$2:$E145)&lt;26,"",(MAX($C$120:$C$145)+MIN($D$120:$D$145))/2)</f>
        <v>0</v>
      </c>
      <c r="AW145">
        <f>IF(OR(AU145="",AV145=""),"",(AU145+AV145)/2)</f>
        <v>0</v>
      </c>
      <c r="AX145">
        <f>IF(COUNT($E$2:$E145)&lt;52,"",(MAX($C$94:$C$145)+MIN($D$94:$D$145))/2)</f>
        <v>0</v>
      </c>
      <c r="AY145">
        <f>IF(COUNT($E$2:$E145)&lt;20,"",MAX($C$46:$C$145))</f>
        <v>0</v>
      </c>
      <c r="AZ145">
        <f>IF(COUNT($E$2:$E145)&lt;20,"",MIN($D$46:$D$145))</f>
        <v>0</v>
      </c>
      <c r="BA145">
        <f>IF(COUNT($E$2:$E145)&lt;20,"",SLOPE($E$46:$E$145,$F$46:$F$145))</f>
        <v>0</v>
      </c>
      <c r="BB145">
        <f>IF(COUNT($E$2:$E145)&lt;20,"",INTERCEPT($E$46:$E$145,$F$46:$F$145))</f>
        <v>0</v>
      </c>
      <c r="BC145">
        <f>IF(OR(BA145="",BB145=""),"",BB145+BA145*F145)</f>
        <v>0</v>
      </c>
      <c r="BD145">
        <f>IF(COUNT($E$2:$E145)&lt;20,"",STEYX($E$46:$E$145,$F$46:$F$145))</f>
        <v>0</v>
      </c>
      <c r="BE145">
        <f>IF($E145="","",IF(AND(COUNT($E$146:$E$149)&gt;=4,$C145=MAX($C$141:$C$149)),$C145,""))</f>
        <v>0</v>
      </c>
      <c r="BF145">
        <f>IF($E145="","",IF(AND(COUNT($E$146:$E$149)&gt;=4,$D145=MIN($D$141:$D$149)),$D145,""))</f>
        <v>0</v>
      </c>
      <c r="BG145">
        <f>IFERROR(SMALL(Calc_Daily!$BM$2:$BM$2001,144),"")</f>
        <v>0</v>
      </c>
    </row>
    <row r="146" spans="1:59">
      <c r="A146" s="27">
        <f>IF($BG146="","",INDEX(Calc_Daily!$A$2:$A$2001,$BG146))</f>
        <v>0</v>
      </c>
      <c r="B146">
        <f>IF($BG146="","",INDEX(Calc_Daily!$BJ$2:$BJ$2001,$BG146))</f>
        <v>0</v>
      </c>
      <c r="C146">
        <f>IF($BG146="","",INDEX(Calc_Daily!$BK$2:$BK$2001,$BG146))</f>
        <v>0</v>
      </c>
      <c r="D146">
        <f>IF($BG146="","",INDEX(Calc_Daily!$BL$2:$BL$2001,$BG146))</f>
        <v>0</v>
      </c>
      <c r="E146">
        <f>IF($BG146="","",INDEX(Calc_Daily!$E$2:$E$2001,$BG146))</f>
        <v>0</v>
      </c>
      <c r="F146">
        <f>IF($E146="","",N(F145)+1)</f>
        <v>0</v>
      </c>
      <c r="G146">
        <f>IF(OR($E146="",$E145=""),"",LN($E146/$E145))</f>
        <v>0</v>
      </c>
      <c r="H146">
        <f>IF($E146="","",IF($E145="",$E146,$E146*0.0952380952+H145*0.9047619048))</f>
        <v>0</v>
      </c>
      <c r="I146">
        <f>IF($E146="","",IF($E145="",$E146,$E146*0.0392156863+I145*0.9607843137))</f>
        <v>0</v>
      </c>
      <c r="J146">
        <f>IF($E146="","",IF($E145="",$E146,$E146*0.0198019802+J145*0.9801980198))</f>
        <v>0</v>
      </c>
      <c r="K146">
        <f>IF($E146="","",IF($E145="",$E146,$E146*0.0099502488+K145*0.9900497512))</f>
        <v>0</v>
      </c>
      <c r="L146">
        <f>IF(OR($E146="",$E145=""),"",MAX($E146-$E145,0))</f>
        <v>0</v>
      </c>
      <c r="M146">
        <f>IF(OR($E146="",$E145=""),"",MAX($E145-$E146,0))</f>
        <v>0</v>
      </c>
      <c r="N146">
        <f>IF(COUNT($E$2:$E146)&lt;15,"",IF(AVERAGE($M$133:$M$146)=0,100,100-100/(1+AVERAGE($L$133:$L$146)/AVERAGE($M$133:$M$146))))</f>
        <v>0</v>
      </c>
      <c r="O146">
        <f>IF($E146="","",IF($E145="",$E146,$E146*0.1538461538+O145*0.8461538462))</f>
        <v>0</v>
      </c>
      <c r="P146">
        <f>IF($E146="","",IF($E145="",$E146,$E146*0.0740740741+P145*0.9259259259))</f>
        <v>0</v>
      </c>
      <c r="Q146">
        <f>IF(OR(O146="",P146=""),"",O146-P146)</f>
        <v>0</v>
      </c>
      <c r="R146">
        <f>IF(Q146="","",IF(R145="",Q146,Q146*0.2000000000+R145*0.8000000000))</f>
        <v>0</v>
      </c>
      <c r="S146">
        <f>IF(OR(Q146="",R146=""),"",Q146-R146)</f>
        <v>0</v>
      </c>
      <c r="T146">
        <f>IF(COUNT($E$2:$E146)&lt;14,"",MAX($C$133:$C$146))</f>
        <v>0</v>
      </c>
      <c r="U146">
        <f>IF(COUNT($E$2:$E146)&lt;14,"",MIN($D$133:$D$146))</f>
        <v>0</v>
      </c>
      <c r="V146">
        <f>IF(OR(T146="",U146="",T146=U146),"",100*($E146-U146)/(T146-U146))</f>
        <v>0</v>
      </c>
      <c r="W146">
        <f>IF(COUNT($V$144:$V$146)&lt;3,"",AVERAGE($V$144:$V$146))</f>
        <v>0</v>
      </c>
      <c r="X146">
        <f>IF(COUNT($N$133:$N$146)&lt;14,"",MIN($N$133:$N$146))</f>
        <v>0</v>
      </c>
      <c r="Y146">
        <f>IF(COUNT($N$133:$N$146)&lt;14,"",MAX($N$133:$N$146))</f>
        <v>0</v>
      </c>
      <c r="Z146">
        <f>IF(OR(N146="",X146="",Y146="",Y146=X146),"",100*(N146-X146)/(Y146-X146))</f>
        <v>0</v>
      </c>
      <c r="AA146">
        <f>IF(COUNT($Z$144:$Z$146)&lt;3,"",AVERAGE($Z$144:$Z$146))</f>
        <v>0</v>
      </c>
      <c r="AB146">
        <f>IF(COUNT($AA$144:$AA$146)&lt;3,"",AVERAGE($AA$144:$AA$146))</f>
        <v>0</v>
      </c>
      <c r="AC146">
        <f>IF($E146="","",MAX($C146-$D146,ABS($C146-$E145),ABS($D146-$E145)))</f>
        <v>0</v>
      </c>
      <c r="AD146">
        <f>IF(COUNT($E$2:$E146)&lt;15,"",AVERAGE($AC$133:$AC$146))</f>
        <v>0</v>
      </c>
      <c r="AE146">
        <f>IF(OR($E146="",$E145=""),"",IF(AND(($C146-$C145)&gt;($D145-$D146),($C146-$C145)&gt;0),$C146-$C145,0))</f>
        <v>0</v>
      </c>
      <c r="AF146">
        <f>IF(OR($E146="",$E145=""),"",IF(AND(($D145-$D146)&gt;($C146-$C145),($D145-$D146)&gt;0),$D145-$D146,0))</f>
        <v>0</v>
      </c>
      <c r="AG146">
        <f>IF(COUNT($E$2:$E146)&lt;15,"",IF(SUM($AC$133:$AC$146)=0,0,100*SUM($AE$133:$AE$146)/SUM($AC$133:$AC$146)))</f>
        <v>0</v>
      </c>
      <c r="AH146">
        <f>IF(COUNT($E$2:$E146)&lt;15,"",IF(SUM($AC$133:$AC$146)=0,0,100*SUM($AF$133:$AF$146)/SUM($AC$133:$AC$146)))</f>
        <v>0</v>
      </c>
      <c r="AI146">
        <f>IF(OR(AG146="",AH146=""),"",IF((AG146+AH146)=0,0,100*ABS(AG146-AH146)/(AG146+AH146)))</f>
        <v>0</v>
      </c>
      <c r="AJ146">
        <f>IF(COUNT($AI$133:$AI$146)&lt;14,"",AVERAGE($AI$133:$AI$146))</f>
        <v>0</v>
      </c>
      <c r="AK146">
        <f>IF(COUNT($E$2:$E146)&lt;20,"",AVERAGE($E$127:$E$146))</f>
        <v>0</v>
      </c>
      <c r="AL146">
        <f>IF(COUNT($E$2:$E146)&lt;20,"",STDEVP($E$127:$E$146))</f>
        <v>0</v>
      </c>
      <c r="AM146">
        <f>IF(AK146="","",AK146+2*AL146)</f>
        <v>0</v>
      </c>
      <c r="AN146">
        <f>IF(AK146="","",AK146-2*AL146)</f>
        <v>0</v>
      </c>
      <c r="AO146">
        <f>IF(OR(AM146="",AN146="",AM146=AN146),"",($E146-AN146)/(AM146-AN146))</f>
        <v>0</v>
      </c>
      <c r="AP146">
        <f>IF(OR(AM146="",AK146="",AK146=0),"",(AM146-AN146)/AK146)</f>
        <v>0</v>
      </c>
      <c r="AQ146">
        <f>IF(COUNT($E$2:$E146)&lt;20,"",MAX($C$127:$C$146))</f>
        <v>0</v>
      </c>
      <c r="AR146">
        <f>IF(COUNT($E$2:$E146)&lt;20,"",MIN($D$127:$D$146))</f>
        <v>0</v>
      </c>
      <c r="AS146">
        <f>IF(OR(AQ146="",AR146=""),"",(AQ146+AR146)/2)</f>
        <v>0</v>
      </c>
      <c r="AT146">
        <f>IF(COUNT($G$127:$G$146)&lt;20,"",STDEV($G$127:$G$146)*SQRT(52))</f>
        <v>0</v>
      </c>
      <c r="AU146">
        <f>IF(COUNT($E$2:$E146)&lt;9,"",(MAX($C$138:$C$146)+MIN($D$138:$D$146))/2)</f>
        <v>0</v>
      </c>
      <c r="AV146">
        <f>IF(COUNT($E$2:$E146)&lt;26,"",(MAX($C$121:$C$146)+MIN($D$121:$D$146))/2)</f>
        <v>0</v>
      </c>
      <c r="AW146">
        <f>IF(OR(AU146="",AV146=""),"",(AU146+AV146)/2)</f>
        <v>0</v>
      </c>
      <c r="AX146">
        <f>IF(COUNT($E$2:$E146)&lt;52,"",(MAX($C$95:$C$146)+MIN($D$95:$D$146))/2)</f>
        <v>0</v>
      </c>
      <c r="AY146">
        <f>IF(COUNT($E$2:$E146)&lt;20,"",MAX($C$47:$C$146))</f>
        <v>0</v>
      </c>
      <c r="AZ146">
        <f>IF(COUNT($E$2:$E146)&lt;20,"",MIN($D$47:$D$146))</f>
        <v>0</v>
      </c>
      <c r="BA146">
        <f>IF(COUNT($E$2:$E146)&lt;20,"",SLOPE($E$47:$E$146,$F$47:$F$146))</f>
        <v>0</v>
      </c>
      <c r="BB146">
        <f>IF(COUNT($E$2:$E146)&lt;20,"",INTERCEPT($E$47:$E$146,$F$47:$F$146))</f>
        <v>0</v>
      </c>
      <c r="BC146">
        <f>IF(OR(BA146="",BB146=""),"",BB146+BA146*F146)</f>
        <v>0</v>
      </c>
      <c r="BD146">
        <f>IF(COUNT($E$2:$E146)&lt;20,"",STEYX($E$47:$E$146,$F$47:$F$146))</f>
        <v>0</v>
      </c>
      <c r="BE146">
        <f>IF($E146="","",IF(AND(COUNT($E$147:$E$150)&gt;=4,$C146=MAX($C$142:$C$150)),$C146,""))</f>
        <v>0</v>
      </c>
      <c r="BF146">
        <f>IF($E146="","",IF(AND(COUNT($E$147:$E$150)&gt;=4,$D146=MIN($D$142:$D$150)),$D146,""))</f>
        <v>0</v>
      </c>
      <c r="BG146">
        <f>IFERROR(SMALL(Calc_Daily!$BM$2:$BM$2001,145),"")</f>
        <v>0</v>
      </c>
    </row>
    <row r="147" spans="1:59">
      <c r="A147" s="27">
        <f>IF($BG147="","",INDEX(Calc_Daily!$A$2:$A$2001,$BG147))</f>
        <v>0</v>
      </c>
      <c r="B147">
        <f>IF($BG147="","",INDEX(Calc_Daily!$BJ$2:$BJ$2001,$BG147))</f>
        <v>0</v>
      </c>
      <c r="C147">
        <f>IF($BG147="","",INDEX(Calc_Daily!$BK$2:$BK$2001,$BG147))</f>
        <v>0</v>
      </c>
      <c r="D147">
        <f>IF($BG147="","",INDEX(Calc_Daily!$BL$2:$BL$2001,$BG147))</f>
        <v>0</v>
      </c>
      <c r="E147">
        <f>IF($BG147="","",INDEX(Calc_Daily!$E$2:$E$2001,$BG147))</f>
        <v>0</v>
      </c>
      <c r="F147">
        <f>IF($E147="","",N(F146)+1)</f>
        <v>0</v>
      </c>
      <c r="G147">
        <f>IF(OR($E147="",$E146=""),"",LN($E147/$E146))</f>
        <v>0</v>
      </c>
      <c r="H147">
        <f>IF($E147="","",IF($E146="",$E147,$E147*0.0952380952+H146*0.9047619048))</f>
        <v>0</v>
      </c>
      <c r="I147">
        <f>IF($E147="","",IF($E146="",$E147,$E147*0.0392156863+I146*0.9607843137))</f>
        <v>0</v>
      </c>
      <c r="J147">
        <f>IF($E147="","",IF($E146="",$E147,$E147*0.0198019802+J146*0.9801980198))</f>
        <v>0</v>
      </c>
      <c r="K147">
        <f>IF($E147="","",IF($E146="",$E147,$E147*0.0099502488+K146*0.9900497512))</f>
        <v>0</v>
      </c>
      <c r="L147">
        <f>IF(OR($E147="",$E146=""),"",MAX($E147-$E146,0))</f>
        <v>0</v>
      </c>
      <c r="M147">
        <f>IF(OR($E147="",$E146=""),"",MAX($E146-$E147,0))</f>
        <v>0</v>
      </c>
      <c r="N147">
        <f>IF(COUNT($E$2:$E147)&lt;15,"",IF(AVERAGE($M$134:$M$147)=0,100,100-100/(1+AVERAGE($L$134:$L$147)/AVERAGE($M$134:$M$147))))</f>
        <v>0</v>
      </c>
      <c r="O147">
        <f>IF($E147="","",IF($E146="",$E147,$E147*0.1538461538+O146*0.8461538462))</f>
        <v>0</v>
      </c>
      <c r="P147">
        <f>IF($E147="","",IF($E146="",$E147,$E147*0.0740740741+P146*0.9259259259))</f>
        <v>0</v>
      </c>
      <c r="Q147">
        <f>IF(OR(O147="",P147=""),"",O147-P147)</f>
        <v>0</v>
      </c>
      <c r="R147">
        <f>IF(Q147="","",IF(R146="",Q147,Q147*0.2000000000+R146*0.8000000000))</f>
        <v>0</v>
      </c>
      <c r="S147">
        <f>IF(OR(Q147="",R147=""),"",Q147-R147)</f>
        <v>0</v>
      </c>
      <c r="T147">
        <f>IF(COUNT($E$2:$E147)&lt;14,"",MAX($C$134:$C$147))</f>
        <v>0</v>
      </c>
      <c r="U147">
        <f>IF(COUNT($E$2:$E147)&lt;14,"",MIN($D$134:$D$147))</f>
        <v>0</v>
      </c>
      <c r="V147">
        <f>IF(OR(T147="",U147="",T147=U147),"",100*($E147-U147)/(T147-U147))</f>
        <v>0</v>
      </c>
      <c r="W147">
        <f>IF(COUNT($V$145:$V$147)&lt;3,"",AVERAGE($V$145:$V$147))</f>
        <v>0</v>
      </c>
      <c r="X147">
        <f>IF(COUNT($N$134:$N$147)&lt;14,"",MIN($N$134:$N$147))</f>
        <v>0</v>
      </c>
      <c r="Y147">
        <f>IF(COUNT($N$134:$N$147)&lt;14,"",MAX($N$134:$N$147))</f>
        <v>0</v>
      </c>
      <c r="Z147">
        <f>IF(OR(N147="",X147="",Y147="",Y147=X147),"",100*(N147-X147)/(Y147-X147))</f>
        <v>0</v>
      </c>
      <c r="AA147">
        <f>IF(COUNT($Z$145:$Z$147)&lt;3,"",AVERAGE($Z$145:$Z$147))</f>
        <v>0</v>
      </c>
      <c r="AB147">
        <f>IF(COUNT($AA$145:$AA$147)&lt;3,"",AVERAGE($AA$145:$AA$147))</f>
        <v>0</v>
      </c>
      <c r="AC147">
        <f>IF($E147="","",MAX($C147-$D147,ABS($C147-$E146),ABS($D147-$E146)))</f>
        <v>0</v>
      </c>
      <c r="AD147">
        <f>IF(COUNT($E$2:$E147)&lt;15,"",AVERAGE($AC$134:$AC$147))</f>
        <v>0</v>
      </c>
      <c r="AE147">
        <f>IF(OR($E147="",$E146=""),"",IF(AND(($C147-$C146)&gt;($D146-$D147),($C147-$C146)&gt;0),$C147-$C146,0))</f>
        <v>0</v>
      </c>
      <c r="AF147">
        <f>IF(OR($E147="",$E146=""),"",IF(AND(($D146-$D147)&gt;($C147-$C146),($D146-$D147)&gt;0),$D146-$D147,0))</f>
        <v>0</v>
      </c>
      <c r="AG147">
        <f>IF(COUNT($E$2:$E147)&lt;15,"",IF(SUM($AC$134:$AC$147)=0,0,100*SUM($AE$134:$AE$147)/SUM($AC$134:$AC$147)))</f>
        <v>0</v>
      </c>
      <c r="AH147">
        <f>IF(COUNT($E$2:$E147)&lt;15,"",IF(SUM($AC$134:$AC$147)=0,0,100*SUM($AF$134:$AF$147)/SUM($AC$134:$AC$147)))</f>
        <v>0</v>
      </c>
      <c r="AI147">
        <f>IF(OR(AG147="",AH147=""),"",IF((AG147+AH147)=0,0,100*ABS(AG147-AH147)/(AG147+AH147)))</f>
        <v>0</v>
      </c>
      <c r="AJ147">
        <f>IF(COUNT($AI$134:$AI$147)&lt;14,"",AVERAGE($AI$134:$AI$147))</f>
        <v>0</v>
      </c>
      <c r="AK147">
        <f>IF(COUNT($E$2:$E147)&lt;20,"",AVERAGE($E$128:$E$147))</f>
        <v>0</v>
      </c>
      <c r="AL147">
        <f>IF(COUNT($E$2:$E147)&lt;20,"",STDEVP($E$128:$E$147))</f>
        <v>0</v>
      </c>
      <c r="AM147">
        <f>IF(AK147="","",AK147+2*AL147)</f>
        <v>0</v>
      </c>
      <c r="AN147">
        <f>IF(AK147="","",AK147-2*AL147)</f>
        <v>0</v>
      </c>
      <c r="AO147">
        <f>IF(OR(AM147="",AN147="",AM147=AN147),"",($E147-AN147)/(AM147-AN147))</f>
        <v>0</v>
      </c>
      <c r="AP147">
        <f>IF(OR(AM147="",AK147="",AK147=0),"",(AM147-AN147)/AK147)</f>
        <v>0</v>
      </c>
      <c r="AQ147">
        <f>IF(COUNT($E$2:$E147)&lt;20,"",MAX($C$128:$C$147))</f>
        <v>0</v>
      </c>
      <c r="AR147">
        <f>IF(COUNT($E$2:$E147)&lt;20,"",MIN($D$128:$D$147))</f>
        <v>0</v>
      </c>
      <c r="AS147">
        <f>IF(OR(AQ147="",AR147=""),"",(AQ147+AR147)/2)</f>
        <v>0</v>
      </c>
      <c r="AT147">
        <f>IF(COUNT($G$128:$G$147)&lt;20,"",STDEV($G$128:$G$147)*SQRT(52))</f>
        <v>0</v>
      </c>
      <c r="AU147">
        <f>IF(COUNT($E$2:$E147)&lt;9,"",(MAX($C$139:$C$147)+MIN($D$139:$D$147))/2)</f>
        <v>0</v>
      </c>
      <c r="AV147">
        <f>IF(COUNT($E$2:$E147)&lt;26,"",(MAX($C$122:$C$147)+MIN($D$122:$D$147))/2)</f>
        <v>0</v>
      </c>
      <c r="AW147">
        <f>IF(OR(AU147="",AV147=""),"",(AU147+AV147)/2)</f>
        <v>0</v>
      </c>
      <c r="AX147">
        <f>IF(COUNT($E$2:$E147)&lt;52,"",(MAX($C$96:$C$147)+MIN($D$96:$D$147))/2)</f>
        <v>0</v>
      </c>
      <c r="AY147">
        <f>IF(COUNT($E$2:$E147)&lt;20,"",MAX($C$48:$C$147))</f>
        <v>0</v>
      </c>
      <c r="AZ147">
        <f>IF(COUNT($E$2:$E147)&lt;20,"",MIN($D$48:$D$147))</f>
        <v>0</v>
      </c>
      <c r="BA147">
        <f>IF(COUNT($E$2:$E147)&lt;20,"",SLOPE($E$48:$E$147,$F$48:$F$147))</f>
        <v>0</v>
      </c>
      <c r="BB147">
        <f>IF(COUNT($E$2:$E147)&lt;20,"",INTERCEPT($E$48:$E$147,$F$48:$F$147))</f>
        <v>0</v>
      </c>
      <c r="BC147">
        <f>IF(OR(BA147="",BB147=""),"",BB147+BA147*F147)</f>
        <v>0</v>
      </c>
      <c r="BD147">
        <f>IF(COUNT($E$2:$E147)&lt;20,"",STEYX($E$48:$E$147,$F$48:$F$147))</f>
        <v>0</v>
      </c>
      <c r="BE147">
        <f>IF($E147="","",IF(AND(COUNT($E$148:$E$151)&gt;=4,$C147=MAX($C$143:$C$151)),$C147,""))</f>
        <v>0</v>
      </c>
      <c r="BF147">
        <f>IF($E147="","",IF(AND(COUNT($E$148:$E$151)&gt;=4,$D147=MIN($D$143:$D$151)),$D147,""))</f>
        <v>0</v>
      </c>
      <c r="BG147">
        <f>IFERROR(SMALL(Calc_Daily!$BM$2:$BM$2001,146),"")</f>
        <v>0</v>
      </c>
    </row>
    <row r="148" spans="1:59">
      <c r="A148" s="27">
        <f>IF($BG148="","",INDEX(Calc_Daily!$A$2:$A$2001,$BG148))</f>
        <v>0</v>
      </c>
      <c r="B148">
        <f>IF($BG148="","",INDEX(Calc_Daily!$BJ$2:$BJ$2001,$BG148))</f>
        <v>0</v>
      </c>
      <c r="C148">
        <f>IF($BG148="","",INDEX(Calc_Daily!$BK$2:$BK$2001,$BG148))</f>
        <v>0</v>
      </c>
      <c r="D148">
        <f>IF($BG148="","",INDEX(Calc_Daily!$BL$2:$BL$2001,$BG148))</f>
        <v>0</v>
      </c>
      <c r="E148">
        <f>IF($BG148="","",INDEX(Calc_Daily!$E$2:$E$2001,$BG148))</f>
        <v>0</v>
      </c>
      <c r="F148">
        <f>IF($E148="","",N(F147)+1)</f>
        <v>0</v>
      </c>
      <c r="G148">
        <f>IF(OR($E148="",$E147=""),"",LN($E148/$E147))</f>
        <v>0</v>
      </c>
      <c r="H148">
        <f>IF($E148="","",IF($E147="",$E148,$E148*0.0952380952+H147*0.9047619048))</f>
        <v>0</v>
      </c>
      <c r="I148">
        <f>IF($E148="","",IF($E147="",$E148,$E148*0.0392156863+I147*0.9607843137))</f>
        <v>0</v>
      </c>
      <c r="J148">
        <f>IF($E148="","",IF($E147="",$E148,$E148*0.0198019802+J147*0.9801980198))</f>
        <v>0</v>
      </c>
      <c r="K148">
        <f>IF($E148="","",IF($E147="",$E148,$E148*0.0099502488+K147*0.9900497512))</f>
        <v>0</v>
      </c>
      <c r="L148">
        <f>IF(OR($E148="",$E147=""),"",MAX($E148-$E147,0))</f>
        <v>0</v>
      </c>
      <c r="M148">
        <f>IF(OR($E148="",$E147=""),"",MAX($E147-$E148,0))</f>
        <v>0</v>
      </c>
      <c r="N148">
        <f>IF(COUNT($E$2:$E148)&lt;15,"",IF(AVERAGE($M$135:$M$148)=0,100,100-100/(1+AVERAGE($L$135:$L$148)/AVERAGE($M$135:$M$148))))</f>
        <v>0</v>
      </c>
      <c r="O148">
        <f>IF($E148="","",IF($E147="",$E148,$E148*0.1538461538+O147*0.8461538462))</f>
        <v>0</v>
      </c>
      <c r="P148">
        <f>IF($E148="","",IF($E147="",$E148,$E148*0.0740740741+P147*0.9259259259))</f>
        <v>0</v>
      </c>
      <c r="Q148">
        <f>IF(OR(O148="",P148=""),"",O148-P148)</f>
        <v>0</v>
      </c>
      <c r="R148">
        <f>IF(Q148="","",IF(R147="",Q148,Q148*0.2000000000+R147*0.8000000000))</f>
        <v>0</v>
      </c>
      <c r="S148">
        <f>IF(OR(Q148="",R148=""),"",Q148-R148)</f>
        <v>0</v>
      </c>
      <c r="T148">
        <f>IF(COUNT($E$2:$E148)&lt;14,"",MAX($C$135:$C$148))</f>
        <v>0</v>
      </c>
      <c r="U148">
        <f>IF(COUNT($E$2:$E148)&lt;14,"",MIN($D$135:$D$148))</f>
        <v>0</v>
      </c>
      <c r="V148">
        <f>IF(OR(T148="",U148="",T148=U148),"",100*($E148-U148)/(T148-U148))</f>
        <v>0</v>
      </c>
      <c r="W148">
        <f>IF(COUNT($V$146:$V$148)&lt;3,"",AVERAGE($V$146:$V$148))</f>
        <v>0</v>
      </c>
      <c r="X148">
        <f>IF(COUNT($N$135:$N$148)&lt;14,"",MIN($N$135:$N$148))</f>
        <v>0</v>
      </c>
      <c r="Y148">
        <f>IF(COUNT($N$135:$N$148)&lt;14,"",MAX($N$135:$N$148))</f>
        <v>0</v>
      </c>
      <c r="Z148">
        <f>IF(OR(N148="",X148="",Y148="",Y148=X148),"",100*(N148-X148)/(Y148-X148))</f>
        <v>0</v>
      </c>
      <c r="AA148">
        <f>IF(COUNT($Z$146:$Z$148)&lt;3,"",AVERAGE($Z$146:$Z$148))</f>
        <v>0</v>
      </c>
      <c r="AB148">
        <f>IF(COUNT($AA$146:$AA$148)&lt;3,"",AVERAGE($AA$146:$AA$148))</f>
        <v>0</v>
      </c>
      <c r="AC148">
        <f>IF($E148="","",MAX($C148-$D148,ABS($C148-$E147),ABS($D148-$E147)))</f>
        <v>0</v>
      </c>
      <c r="AD148">
        <f>IF(COUNT($E$2:$E148)&lt;15,"",AVERAGE($AC$135:$AC$148))</f>
        <v>0</v>
      </c>
      <c r="AE148">
        <f>IF(OR($E148="",$E147=""),"",IF(AND(($C148-$C147)&gt;($D147-$D148),($C148-$C147)&gt;0),$C148-$C147,0))</f>
        <v>0</v>
      </c>
      <c r="AF148">
        <f>IF(OR($E148="",$E147=""),"",IF(AND(($D147-$D148)&gt;($C148-$C147),($D147-$D148)&gt;0),$D147-$D148,0))</f>
        <v>0</v>
      </c>
      <c r="AG148">
        <f>IF(COUNT($E$2:$E148)&lt;15,"",IF(SUM($AC$135:$AC$148)=0,0,100*SUM($AE$135:$AE$148)/SUM($AC$135:$AC$148)))</f>
        <v>0</v>
      </c>
      <c r="AH148">
        <f>IF(COUNT($E$2:$E148)&lt;15,"",IF(SUM($AC$135:$AC$148)=0,0,100*SUM($AF$135:$AF$148)/SUM($AC$135:$AC$148)))</f>
        <v>0</v>
      </c>
      <c r="AI148">
        <f>IF(OR(AG148="",AH148=""),"",IF((AG148+AH148)=0,0,100*ABS(AG148-AH148)/(AG148+AH148)))</f>
        <v>0</v>
      </c>
      <c r="AJ148">
        <f>IF(COUNT($AI$135:$AI$148)&lt;14,"",AVERAGE($AI$135:$AI$148))</f>
        <v>0</v>
      </c>
      <c r="AK148">
        <f>IF(COUNT($E$2:$E148)&lt;20,"",AVERAGE($E$129:$E$148))</f>
        <v>0</v>
      </c>
      <c r="AL148">
        <f>IF(COUNT($E$2:$E148)&lt;20,"",STDEVP($E$129:$E$148))</f>
        <v>0</v>
      </c>
      <c r="AM148">
        <f>IF(AK148="","",AK148+2*AL148)</f>
        <v>0</v>
      </c>
      <c r="AN148">
        <f>IF(AK148="","",AK148-2*AL148)</f>
        <v>0</v>
      </c>
      <c r="AO148">
        <f>IF(OR(AM148="",AN148="",AM148=AN148),"",($E148-AN148)/(AM148-AN148))</f>
        <v>0</v>
      </c>
      <c r="AP148">
        <f>IF(OR(AM148="",AK148="",AK148=0),"",(AM148-AN148)/AK148)</f>
        <v>0</v>
      </c>
      <c r="AQ148">
        <f>IF(COUNT($E$2:$E148)&lt;20,"",MAX($C$129:$C$148))</f>
        <v>0</v>
      </c>
      <c r="AR148">
        <f>IF(COUNT($E$2:$E148)&lt;20,"",MIN($D$129:$D$148))</f>
        <v>0</v>
      </c>
      <c r="AS148">
        <f>IF(OR(AQ148="",AR148=""),"",(AQ148+AR148)/2)</f>
        <v>0</v>
      </c>
      <c r="AT148">
        <f>IF(COUNT($G$129:$G$148)&lt;20,"",STDEV($G$129:$G$148)*SQRT(52))</f>
        <v>0</v>
      </c>
      <c r="AU148">
        <f>IF(COUNT($E$2:$E148)&lt;9,"",(MAX($C$140:$C$148)+MIN($D$140:$D$148))/2)</f>
        <v>0</v>
      </c>
      <c r="AV148">
        <f>IF(COUNT($E$2:$E148)&lt;26,"",(MAX($C$123:$C$148)+MIN($D$123:$D$148))/2)</f>
        <v>0</v>
      </c>
      <c r="AW148">
        <f>IF(OR(AU148="",AV148=""),"",(AU148+AV148)/2)</f>
        <v>0</v>
      </c>
      <c r="AX148">
        <f>IF(COUNT($E$2:$E148)&lt;52,"",(MAX($C$97:$C$148)+MIN($D$97:$D$148))/2)</f>
        <v>0</v>
      </c>
      <c r="AY148">
        <f>IF(COUNT($E$2:$E148)&lt;20,"",MAX($C$49:$C$148))</f>
        <v>0</v>
      </c>
      <c r="AZ148">
        <f>IF(COUNT($E$2:$E148)&lt;20,"",MIN($D$49:$D$148))</f>
        <v>0</v>
      </c>
      <c r="BA148">
        <f>IF(COUNT($E$2:$E148)&lt;20,"",SLOPE($E$49:$E$148,$F$49:$F$148))</f>
        <v>0</v>
      </c>
      <c r="BB148">
        <f>IF(COUNT($E$2:$E148)&lt;20,"",INTERCEPT($E$49:$E$148,$F$49:$F$148))</f>
        <v>0</v>
      </c>
      <c r="BC148">
        <f>IF(OR(BA148="",BB148=""),"",BB148+BA148*F148)</f>
        <v>0</v>
      </c>
      <c r="BD148">
        <f>IF(COUNT($E$2:$E148)&lt;20,"",STEYX($E$49:$E$148,$F$49:$F$148))</f>
        <v>0</v>
      </c>
      <c r="BE148">
        <f>IF($E148="","",IF(AND(COUNT($E$149:$E$152)&gt;=4,$C148=MAX($C$144:$C$152)),$C148,""))</f>
        <v>0</v>
      </c>
      <c r="BF148">
        <f>IF($E148="","",IF(AND(COUNT($E$149:$E$152)&gt;=4,$D148=MIN($D$144:$D$152)),$D148,""))</f>
        <v>0</v>
      </c>
      <c r="BG148">
        <f>IFERROR(SMALL(Calc_Daily!$BM$2:$BM$2001,147),"")</f>
        <v>0</v>
      </c>
    </row>
    <row r="149" spans="1:59">
      <c r="A149" s="27">
        <f>IF($BG149="","",INDEX(Calc_Daily!$A$2:$A$2001,$BG149))</f>
        <v>0</v>
      </c>
      <c r="B149">
        <f>IF($BG149="","",INDEX(Calc_Daily!$BJ$2:$BJ$2001,$BG149))</f>
        <v>0</v>
      </c>
      <c r="C149">
        <f>IF($BG149="","",INDEX(Calc_Daily!$BK$2:$BK$2001,$BG149))</f>
        <v>0</v>
      </c>
      <c r="D149">
        <f>IF($BG149="","",INDEX(Calc_Daily!$BL$2:$BL$2001,$BG149))</f>
        <v>0</v>
      </c>
      <c r="E149">
        <f>IF($BG149="","",INDEX(Calc_Daily!$E$2:$E$2001,$BG149))</f>
        <v>0</v>
      </c>
      <c r="F149">
        <f>IF($E149="","",N(F148)+1)</f>
        <v>0</v>
      </c>
      <c r="G149">
        <f>IF(OR($E149="",$E148=""),"",LN($E149/$E148))</f>
        <v>0</v>
      </c>
      <c r="H149">
        <f>IF($E149="","",IF($E148="",$E149,$E149*0.0952380952+H148*0.9047619048))</f>
        <v>0</v>
      </c>
      <c r="I149">
        <f>IF($E149="","",IF($E148="",$E149,$E149*0.0392156863+I148*0.9607843137))</f>
        <v>0</v>
      </c>
      <c r="J149">
        <f>IF($E149="","",IF($E148="",$E149,$E149*0.0198019802+J148*0.9801980198))</f>
        <v>0</v>
      </c>
      <c r="K149">
        <f>IF($E149="","",IF($E148="",$E149,$E149*0.0099502488+K148*0.9900497512))</f>
        <v>0</v>
      </c>
      <c r="L149">
        <f>IF(OR($E149="",$E148=""),"",MAX($E149-$E148,0))</f>
        <v>0</v>
      </c>
      <c r="M149">
        <f>IF(OR($E149="",$E148=""),"",MAX($E148-$E149,0))</f>
        <v>0</v>
      </c>
      <c r="N149">
        <f>IF(COUNT($E$2:$E149)&lt;15,"",IF(AVERAGE($M$136:$M$149)=0,100,100-100/(1+AVERAGE($L$136:$L$149)/AVERAGE($M$136:$M$149))))</f>
        <v>0</v>
      </c>
      <c r="O149">
        <f>IF($E149="","",IF($E148="",$E149,$E149*0.1538461538+O148*0.8461538462))</f>
        <v>0</v>
      </c>
      <c r="P149">
        <f>IF($E149="","",IF($E148="",$E149,$E149*0.0740740741+P148*0.9259259259))</f>
        <v>0</v>
      </c>
      <c r="Q149">
        <f>IF(OR(O149="",P149=""),"",O149-P149)</f>
        <v>0</v>
      </c>
      <c r="R149">
        <f>IF(Q149="","",IF(R148="",Q149,Q149*0.2000000000+R148*0.8000000000))</f>
        <v>0</v>
      </c>
      <c r="S149">
        <f>IF(OR(Q149="",R149=""),"",Q149-R149)</f>
        <v>0</v>
      </c>
      <c r="T149">
        <f>IF(COUNT($E$2:$E149)&lt;14,"",MAX($C$136:$C$149))</f>
        <v>0</v>
      </c>
      <c r="U149">
        <f>IF(COUNT($E$2:$E149)&lt;14,"",MIN($D$136:$D$149))</f>
        <v>0</v>
      </c>
      <c r="V149">
        <f>IF(OR(T149="",U149="",T149=U149),"",100*($E149-U149)/(T149-U149))</f>
        <v>0</v>
      </c>
      <c r="W149">
        <f>IF(COUNT($V$147:$V$149)&lt;3,"",AVERAGE($V$147:$V$149))</f>
        <v>0</v>
      </c>
      <c r="X149">
        <f>IF(COUNT($N$136:$N$149)&lt;14,"",MIN($N$136:$N$149))</f>
        <v>0</v>
      </c>
      <c r="Y149">
        <f>IF(COUNT($N$136:$N$149)&lt;14,"",MAX($N$136:$N$149))</f>
        <v>0</v>
      </c>
      <c r="Z149">
        <f>IF(OR(N149="",X149="",Y149="",Y149=X149),"",100*(N149-X149)/(Y149-X149))</f>
        <v>0</v>
      </c>
      <c r="AA149">
        <f>IF(COUNT($Z$147:$Z$149)&lt;3,"",AVERAGE($Z$147:$Z$149))</f>
        <v>0</v>
      </c>
      <c r="AB149">
        <f>IF(COUNT($AA$147:$AA$149)&lt;3,"",AVERAGE($AA$147:$AA$149))</f>
        <v>0</v>
      </c>
      <c r="AC149">
        <f>IF($E149="","",MAX($C149-$D149,ABS($C149-$E148),ABS($D149-$E148)))</f>
        <v>0</v>
      </c>
      <c r="AD149">
        <f>IF(COUNT($E$2:$E149)&lt;15,"",AVERAGE($AC$136:$AC$149))</f>
        <v>0</v>
      </c>
      <c r="AE149">
        <f>IF(OR($E149="",$E148=""),"",IF(AND(($C149-$C148)&gt;($D148-$D149),($C149-$C148)&gt;0),$C149-$C148,0))</f>
        <v>0</v>
      </c>
      <c r="AF149">
        <f>IF(OR($E149="",$E148=""),"",IF(AND(($D148-$D149)&gt;($C149-$C148),($D148-$D149)&gt;0),$D148-$D149,0))</f>
        <v>0</v>
      </c>
      <c r="AG149">
        <f>IF(COUNT($E$2:$E149)&lt;15,"",IF(SUM($AC$136:$AC$149)=0,0,100*SUM($AE$136:$AE$149)/SUM($AC$136:$AC$149)))</f>
        <v>0</v>
      </c>
      <c r="AH149">
        <f>IF(COUNT($E$2:$E149)&lt;15,"",IF(SUM($AC$136:$AC$149)=0,0,100*SUM($AF$136:$AF$149)/SUM($AC$136:$AC$149)))</f>
        <v>0</v>
      </c>
      <c r="AI149">
        <f>IF(OR(AG149="",AH149=""),"",IF((AG149+AH149)=0,0,100*ABS(AG149-AH149)/(AG149+AH149)))</f>
        <v>0</v>
      </c>
      <c r="AJ149">
        <f>IF(COUNT($AI$136:$AI$149)&lt;14,"",AVERAGE($AI$136:$AI$149))</f>
        <v>0</v>
      </c>
      <c r="AK149">
        <f>IF(COUNT($E$2:$E149)&lt;20,"",AVERAGE($E$130:$E$149))</f>
        <v>0</v>
      </c>
      <c r="AL149">
        <f>IF(COUNT($E$2:$E149)&lt;20,"",STDEVP($E$130:$E$149))</f>
        <v>0</v>
      </c>
      <c r="AM149">
        <f>IF(AK149="","",AK149+2*AL149)</f>
        <v>0</v>
      </c>
      <c r="AN149">
        <f>IF(AK149="","",AK149-2*AL149)</f>
        <v>0</v>
      </c>
      <c r="AO149">
        <f>IF(OR(AM149="",AN149="",AM149=AN149),"",($E149-AN149)/(AM149-AN149))</f>
        <v>0</v>
      </c>
      <c r="AP149">
        <f>IF(OR(AM149="",AK149="",AK149=0),"",(AM149-AN149)/AK149)</f>
        <v>0</v>
      </c>
      <c r="AQ149">
        <f>IF(COUNT($E$2:$E149)&lt;20,"",MAX($C$130:$C$149))</f>
        <v>0</v>
      </c>
      <c r="AR149">
        <f>IF(COUNT($E$2:$E149)&lt;20,"",MIN($D$130:$D$149))</f>
        <v>0</v>
      </c>
      <c r="AS149">
        <f>IF(OR(AQ149="",AR149=""),"",(AQ149+AR149)/2)</f>
        <v>0</v>
      </c>
      <c r="AT149">
        <f>IF(COUNT($G$130:$G$149)&lt;20,"",STDEV($G$130:$G$149)*SQRT(52))</f>
        <v>0</v>
      </c>
      <c r="AU149">
        <f>IF(COUNT($E$2:$E149)&lt;9,"",(MAX($C$141:$C$149)+MIN($D$141:$D$149))/2)</f>
        <v>0</v>
      </c>
      <c r="AV149">
        <f>IF(COUNT($E$2:$E149)&lt;26,"",(MAX($C$124:$C$149)+MIN($D$124:$D$149))/2)</f>
        <v>0</v>
      </c>
      <c r="AW149">
        <f>IF(OR(AU149="",AV149=""),"",(AU149+AV149)/2)</f>
        <v>0</v>
      </c>
      <c r="AX149">
        <f>IF(COUNT($E$2:$E149)&lt;52,"",(MAX($C$98:$C$149)+MIN($D$98:$D$149))/2)</f>
        <v>0</v>
      </c>
      <c r="AY149">
        <f>IF(COUNT($E$2:$E149)&lt;20,"",MAX($C$50:$C$149))</f>
        <v>0</v>
      </c>
      <c r="AZ149">
        <f>IF(COUNT($E$2:$E149)&lt;20,"",MIN($D$50:$D$149))</f>
        <v>0</v>
      </c>
      <c r="BA149">
        <f>IF(COUNT($E$2:$E149)&lt;20,"",SLOPE($E$50:$E$149,$F$50:$F$149))</f>
        <v>0</v>
      </c>
      <c r="BB149">
        <f>IF(COUNT($E$2:$E149)&lt;20,"",INTERCEPT($E$50:$E$149,$F$50:$F$149))</f>
        <v>0</v>
      </c>
      <c r="BC149">
        <f>IF(OR(BA149="",BB149=""),"",BB149+BA149*F149)</f>
        <v>0</v>
      </c>
      <c r="BD149">
        <f>IF(COUNT($E$2:$E149)&lt;20,"",STEYX($E$50:$E$149,$F$50:$F$149))</f>
        <v>0</v>
      </c>
      <c r="BE149">
        <f>IF($E149="","",IF(AND(COUNT($E$150:$E$153)&gt;=4,$C149=MAX($C$145:$C$153)),$C149,""))</f>
        <v>0</v>
      </c>
      <c r="BF149">
        <f>IF($E149="","",IF(AND(COUNT($E$150:$E$153)&gt;=4,$D149=MIN($D$145:$D$153)),$D149,""))</f>
        <v>0</v>
      </c>
      <c r="BG149">
        <f>IFERROR(SMALL(Calc_Daily!$BM$2:$BM$2001,148),"")</f>
        <v>0</v>
      </c>
    </row>
    <row r="150" spans="1:59">
      <c r="A150" s="27">
        <f>IF($BG150="","",INDEX(Calc_Daily!$A$2:$A$2001,$BG150))</f>
        <v>0</v>
      </c>
      <c r="B150">
        <f>IF($BG150="","",INDEX(Calc_Daily!$BJ$2:$BJ$2001,$BG150))</f>
        <v>0</v>
      </c>
      <c r="C150">
        <f>IF($BG150="","",INDEX(Calc_Daily!$BK$2:$BK$2001,$BG150))</f>
        <v>0</v>
      </c>
      <c r="D150">
        <f>IF($BG150="","",INDEX(Calc_Daily!$BL$2:$BL$2001,$BG150))</f>
        <v>0</v>
      </c>
      <c r="E150">
        <f>IF($BG150="","",INDEX(Calc_Daily!$E$2:$E$2001,$BG150))</f>
        <v>0</v>
      </c>
      <c r="F150">
        <f>IF($E150="","",N(F149)+1)</f>
        <v>0</v>
      </c>
      <c r="G150">
        <f>IF(OR($E150="",$E149=""),"",LN($E150/$E149))</f>
        <v>0</v>
      </c>
      <c r="H150">
        <f>IF($E150="","",IF($E149="",$E150,$E150*0.0952380952+H149*0.9047619048))</f>
        <v>0</v>
      </c>
      <c r="I150">
        <f>IF($E150="","",IF($E149="",$E150,$E150*0.0392156863+I149*0.9607843137))</f>
        <v>0</v>
      </c>
      <c r="J150">
        <f>IF($E150="","",IF($E149="",$E150,$E150*0.0198019802+J149*0.9801980198))</f>
        <v>0</v>
      </c>
      <c r="K150">
        <f>IF($E150="","",IF($E149="",$E150,$E150*0.0099502488+K149*0.9900497512))</f>
        <v>0</v>
      </c>
      <c r="L150">
        <f>IF(OR($E150="",$E149=""),"",MAX($E150-$E149,0))</f>
        <v>0</v>
      </c>
      <c r="M150">
        <f>IF(OR($E150="",$E149=""),"",MAX($E149-$E150,0))</f>
        <v>0</v>
      </c>
      <c r="N150">
        <f>IF(COUNT($E$2:$E150)&lt;15,"",IF(AVERAGE($M$137:$M$150)=0,100,100-100/(1+AVERAGE($L$137:$L$150)/AVERAGE($M$137:$M$150))))</f>
        <v>0</v>
      </c>
      <c r="O150">
        <f>IF($E150="","",IF($E149="",$E150,$E150*0.1538461538+O149*0.8461538462))</f>
        <v>0</v>
      </c>
      <c r="P150">
        <f>IF($E150="","",IF($E149="",$E150,$E150*0.0740740741+P149*0.9259259259))</f>
        <v>0</v>
      </c>
      <c r="Q150">
        <f>IF(OR(O150="",P150=""),"",O150-P150)</f>
        <v>0</v>
      </c>
      <c r="R150">
        <f>IF(Q150="","",IF(R149="",Q150,Q150*0.2000000000+R149*0.8000000000))</f>
        <v>0</v>
      </c>
      <c r="S150">
        <f>IF(OR(Q150="",R150=""),"",Q150-R150)</f>
        <v>0</v>
      </c>
      <c r="T150">
        <f>IF(COUNT($E$2:$E150)&lt;14,"",MAX($C$137:$C$150))</f>
        <v>0</v>
      </c>
      <c r="U150">
        <f>IF(COUNT($E$2:$E150)&lt;14,"",MIN($D$137:$D$150))</f>
        <v>0</v>
      </c>
      <c r="V150">
        <f>IF(OR(T150="",U150="",T150=U150),"",100*($E150-U150)/(T150-U150))</f>
        <v>0</v>
      </c>
      <c r="W150">
        <f>IF(COUNT($V$148:$V$150)&lt;3,"",AVERAGE($V$148:$V$150))</f>
        <v>0</v>
      </c>
      <c r="X150">
        <f>IF(COUNT($N$137:$N$150)&lt;14,"",MIN($N$137:$N$150))</f>
        <v>0</v>
      </c>
      <c r="Y150">
        <f>IF(COUNT($N$137:$N$150)&lt;14,"",MAX($N$137:$N$150))</f>
        <v>0</v>
      </c>
      <c r="Z150">
        <f>IF(OR(N150="",X150="",Y150="",Y150=X150),"",100*(N150-X150)/(Y150-X150))</f>
        <v>0</v>
      </c>
      <c r="AA150">
        <f>IF(COUNT($Z$148:$Z$150)&lt;3,"",AVERAGE($Z$148:$Z$150))</f>
        <v>0</v>
      </c>
      <c r="AB150">
        <f>IF(COUNT($AA$148:$AA$150)&lt;3,"",AVERAGE($AA$148:$AA$150))</f>
        <v>0</v>
      </c>
      <c r="AC150">
        <f>IF($E150="","",MAX($C150-$D150,ABS($C150-$E149),ABS($D150-$E149)))</f>
        <v>0</v>
      </c>
      <c r="AD150">
        <f>IF(COUNT($E$2:$E150)&lt;15,"",AVERAGE($AC$137:$AC$150))</f>
        <v>0</v>
      </c>
      <c r="AE150">
        <f>IF(OR($E150="",$E149=""),"",IF(AND(($C150-$C149)&gt;($D149-$D150),($C150-$C149)&gt;0),$C150-$C149,0))</f>
        <v>0</v>
      </c>
      <c r="AF150">
        <f>IF(OR($E150="",$E149=""),"",IF(AND(($D149-$D150)&gt;($C150-$C149),($D149-$D150)&gt;0),$D149-$D150,0))</f>
        <v>0</v>
      </c>
      <c r="AG150">
        <f>IF(COUNT($E$2:$E150)&lt;15,"",IF(SUM($AC$137:$AC$150)=0,0,100*SUM($AE$137:$AE$150)/SUM($AC$137:$AC$150)))</f>
        <v>0</v>
      </c>
      <c r="AH150">
        <f>IF(COUNT($E$2:$E150)&lt;15,"",IF(SUM($AC$137:$AC$150)=0,0,100*SUM($AF$137:$AF$150)/SUM($AC$137:$AC$150)))</f>
        <v>0</v>
      </c>
      <c r="AI150">
        <f>IF(OR(AG150="",AH150=""),"",IF((AG150+AH150)=0,0,100*ABS(AG150-AH150)/(AG150+AH150)))</f>
        <v>0</v>
      </c>
      <c r="AJ150">
        <f>IF(COUNT($AI$137:$AI$150)&lt;14,"",AVERAGE($AI$137:$AI$150))</f>
        <v>0</v>
      </c>
      <c r="AK150">
        <f>IF(COUNT($E$2:$E150)&lt;20,"",AVERAGE($E$131:$E$150))</f>
        <v>0</v>
      </c>
      <c r="AL150">
        <f>IF(COUNT($E$2:$E150)&lt;20,"",STDEVP($E$131:$E$150))</f>
        <v>0</v>
      </c>
      <c r="AM150">
        <f>IF(AK150="","",AK150+2*AL150)</f>
        <v>0</v>
      </c>
      <c r="AN150">
        <f>IF(AK150="","",AK150-2*AL150)</f>
        <v>0</v>
      </c>
      <c r="AO150">
        <f>IF(OR(AM150="",AN150="",AM150=AN150),"",($E150-AN150)/(AM150-AN150))</f>
        <v>0</v>
      </c>
      <c r="AP150">
        <f>IF(OR(AM150="",AK150="",AK150=0),"",(AM150-AN150)/AK150)</f>
        <v>0</v>
      </c>
      <c r="AQ150">
        <f>IF(COUNT($E$2:$E150)&lt;20,"",MAX($C$131:$C$150))</f>
        <v>0</v>
      </c>
      <c r="AR150">
        <f>IF(COUNT($E$2:$E150)&lt;20,"",MIN($D$131:$D$150))</f>
        <v>0</v>
      </c>
      <c r="AS150">
        <f>IF(OR(AQ150="",AR150=""),"",(AQ150+AR150)/2)</f>
        <v>0</v>
      </c>
      <c r="AT150">
        <f>IF(COUNT($G$131:$G$150)&lt;20,"",STDEV($G$131:$G$150)*SQRT(52))</f>
        <v>0</v>
      </c>
      <c r="AU150">
        <f>IF(COUNT($E$2:$E150)&lt;9,"",(MAX($C$142:$C$150)+MIN($D$142:$D$150))/2)</f>
        <v>0</v>
      </c>
      <c r="AV150">
        <f>IF(COUNT($E$2:$E150)&lt;26,"",(MAX($C$125:$C$150)+MIN($D$125:$D$150))/2)</f>
        <v>0</v>
      </c>
      <c r="AW150">
        <f>IF(OR(AU150="",AV150=""),"",(AU150+AV150)/2)</f>
        <v>0</v>
      </c>
      <c r="AX150">
        <f>IF(COUNT($E$2:$E150)&lt;52,"",(MAX($C$99:$C$150)+MIN($D$99:$D$150))/2)</f>
        <v>0</v>
      </c>
      <c r="AY150">
        <f>IF(COUNT($E$2:$E150)&lt;20,"",MAX($C$51:$C$150))</f>
        <v>0</v>
      </c>
      <c r="AZ150">
        <f>IF(COUNT($E$2:$E150)&lt;20,"",MIN($D$51:$D$150))</f>
        <v>0</v>
      </c>
      <c r="BA150">
        <f>IF(COUNT($E$2:$E150)&lt;20,"",SLOPE($E$51:$E$150,$F$51:$F$150))</f>
        <v>0</v>
      </c>
      <c r="BB150">
        <f>IF(COUNT($E$2:$E150)&lt;20,"",INTERCEPT($E$51:$E$150,$F$51:$F$150))</f>
        <v>0</v>
      </c>
      <c r="BC150">
        <f>IF(OR(BA150="",BB150=""),"",BB150+BA150*F150)</f>
        <v>0</v>
      </c>
      <c r="BD150">
        <f>IF(COUNT($E$2:$E150)&lt;20,"",STEYX($E$51:$E$150,$F$51:$F$150))</f>
        <v>0</v>
      </c>
      <c r="BE150">
        <f>IF($E150="","",IF(AND(COUNT($E$151:$E$154)&gt;=4,$C150=MAX($C$146:$C$154)),$C150,""))</f>
        <v>0</v>
      </c>
      <c r="BF150">
        <f>IF($E150="","",IF(AND(COUNT($E$151:$E$154)&gt;=4,$D150=MIN($D$146:$D$154)),$D150,""))</f>
        <v>0</v>
      </c>
      <c r="BG150">
        <f>IFERROR(SMALL(Calc_Daily!$BM$2:$BM$2001,149),"")</f>
        <v>0</v>
      </c>
    </row>
    <row r="151" spans="1:59">
      <c r="A151" s="27">
        <f>IF($BG151="","",INDEX(Calc_Daily!$A$2:$A$2001,$BG151))</f>
        <v>0</v>
      </c>
      <c r="B151">
        <f>IF($BG151="","",INDEX(Calc_Daily!$BJ$2:$BJ$2001,$BG151))</f>
        <v>0</v>
      </c>
      <c r="C151">
        <f>IF($BG151="","",INDEX(Calc_Daily!$BK$2:$BK$2001,$BG151))</f>
        <v>0</v>
      </c>
      <c r="D151">
        <f>IF($BG151="","",INDEX(Calc_Daily!$BL$2:$BL$2001,$BG151))</f>
        <v>0</v>
      </c>
      <c r="E151">
        <f>IF($BG151="","",INDEX(Calc_Daily!$E$2:$E$2001,$BG151))</f>
        <v>0</v>
      </c>
      <c r="F151">
        <f>IF($E151="","",N(F150)+1)</f>
        <v>0</v>
      </c>
      <c r="G151">
        <f>IF(OR($E151="",$E150=""),"",LN($E151/$E150))</f>
        <v>0</v>
      </c>
      <c r="H151">
        <f>IF($E151="","",IF($E150="",$E151,$E151*0.0952380952+H150*0.9047619048))</f>
        <v>0</v>
      </c>
      <c r="I151">
        <f>IF($E151="","",IF($E150="",$E151,$E151*0.0392156863+I150*0.9607843137))</f>
        <v>0</v>
      </c>
      <c r="J151">
        <f>IF($E151="","",IF($E150="",$E151,$E151*0.0198019802+J150*0.9801980198))</f>
        <v>0</v>
      </c>
      <c r="K151">
        <f>IF($E151="","",IF($E150="",$E151,$E151*0.0099502488+K150*0.9900497512))</f>
        <v>0</v>
      </c>
      <c r="L151">
        <f>IF(OR($E151="",$E150=""),"",MAX($E151-$E150,0))</f>
        <v>0</v>
      </c>
      <c r="M151">
        <f>IF(OR($E151="",$E150=""),"",MAX($E150-$E151,0))</f>
        <v>0</v>
      </c>
      <c r="N151">
        <f>IF(COUNT($E$2:$E151)&lt;15,"",IF(AVERAGE($M$138:$M$151)=0,100,100-100/(1+AVERAGE($L$138:$L$151)/AVERAGE($M$138:$M$151))))</f>
        <v>0</v>
      </c>
      <c r="O151">
        <f>IF($E151="","",IF($E150="",$E151,$E151*0.1538461538+O150*0.8461538462))</f>
        <v>0</v>
      </c>
      <c r="P151">
        <f>IF($E151="","",IF($E150="",$E151,$E151*0.0740740741+P150*0.9259259259))</f>
        <v>0</v>
      </c>
      <c r="Q151">
        <f>IF(OR(O151="",P151=""),"",O151-P151)</f>
        <v>0</v>
      </c>
      <c r="R151">
        <f>IF(Q151="","",IF(R150="",Q151,Q151*0.2000000000+R150*0.8000000000))</f>
        <v>0</v>
      </c>
      <c r="S151">
        <f>IF(OR(Q151="",R151=""),"",Q151-R151)</f>
        <v>0</v>
      </c>
      <c r="T151">
        <f>IF(COUNT($E$2:$E151)&lt;14,"",MAX($C$138:$C$151))</f>
        <v>0</v>
      </c>
      <c r="U151">
        <f>IF(COUNT($E$2:$E151)&lt;14,"",MIN($D$138:$D$151))</f>
        <v>0</v>
      </c>
      <c r="V151">
        <f>IF(OR(T151="",U151="",T151=U151),"",100*($E151-U151)/(T151-U151))</f>
        <v>0</v>
      </c>
      <c r="W151">
        <f>IF(COUNT($V$149:$V$151)&lt;3,"",AVERAGE($V$149:$V$151))</f>
        <v>0</v>
      </c>
      <c r="X151">
        <f>IF(COUNT($N$138:$N$151)&lt;14,"",MIN($N$138:$N$151))</f>
        <v>0</v>
      </c>
      <c r="Y151">
        <f>IF(COUNT($N$138:$N$151)&lt;14,"",MAX($N$138:$N$151))</f>
        <v>0</v>
      </c>
      <c r="Z151">
        <f>IF(OR(N151="",X151="",Y151="",Y151=X151),"",100*(N151-X151)/(Y151-X151))</f>
        <v>0</v>
      </c>
      <c r="AA151">
        <f>IF(COUNT($Z$149:$Z$151)&lt;3,"",AVERAGE($Z$149:$Z$151))</f>
        <v>0</v>
      </c>
      <c r="AB151">
        <f>IF(COUNT($AA$149:$AA$151)&lt;3,"",AVERAGE($AA$149:$AA$151))</f>
        <v>0</v>
      </c>
      <c r="AC151">
        <f>IF($E151="","",MAX($C151-$D151,ABS($C151-$E150),ABS($D151-$E150)))</f>
        <v>0</v>
      </c>
      <c r="AD151">
        <f>IF(COUNT($E$2:$E151)&lt;15,"",AVERAGE($AC$138:$AC$151))</f>
        <v>0</v>
      </c>
      <c r="AE151">
        <f>IF(OR($E151="",$E150=""),"",IF(AND(($C151-$C150)&gt;($D150-$D151),($C151-$C150)&gt;0),$C151-$C150,0))</f>
        <v>0</v>
      </c>
      <c r="AF151">
        <f>IF(OR($E151="",$E150=""),"",IF(AND(($D150-$D151)&gt;($C151-$C150),($D150-$D151)&gt;0),$D150-$D151,0))</f>
        <v>0</v>
      </c>
      <c r="AG151">
        <f>IF(COUNT($E$2:$E151)&lt;15,"",IF(SUM($AC$138:$AC$151)=0,0,100*SUM($AE$138:$AE$151)/SUM($AC$138:$AC$151)))</f>
        <v>0</v>
      </c>
      <c r="AH151">
        <f>IF(COUNT($E$2:$E151)&lt;15,"",IF(SUM($AC$138:$AC$151)=0,0,100*SUM($AF$138:$AF$151)/SUM($AC$138:$AC$151)))</f>
        <v>0</v>
      </c>
      <c r="AI151">
        <f>IF(OR(AG151="",AH151=""),"",IF((AG151+AH151)=0,0,100*ABS(AG151-AH151)/(AG151+AH151)))</f>
        <v>0</v>
      </c>
      <c r="AJ151">
        <f>IF(COUNT($AI$138:$AI$151)&lt;14,"",AVERAGE($AI$138:$AI$151))</f>
        <v>0</v>
      </c>
      <c r="AK151">
        <f>IF(COUNT($E$2:$E151)&lt;20,"",AVERAGE($E$132:$E$151))</f>
        <v>0</v>
      </c>
      <c r="AL151">
        <f>IF(COUNT($E$2:$E151)&lt;20,"",STDEVP($E$132:$E$151))</f>
        <v>0</v>
      </c>
      <c r="AM151">
        <f>IF(AK151="","",AK151+2*AL151)</f>
        <v>0</v>
      </c>
      <c r="AN151">
        <f>IF(AK151="","",AK151-2*AL151)</f>
        <v>0</v>
      </c>
      <c r="AO151">
        <f>IF(OR(AM151="",AN151="",AM151=AN151),"",($E151-AN151)/(AM151-AN151))</f>
        <v>0</v>
      </c>
      <c r="AP151">
        <f>IF(OR(AM151="",AK151="",AK151=0),"",(AM151-AN151)/AK151)</f>
        <v>0</v>
      </c>
      <c r="AQ151">
        <f>IF(COUNT($E$2:$E151)&lt;20,"",MAX($C$132:$C$151))</f>
        <v>0</v>
      </c>
      <c r="AR151">
        <f>IF(COUNT($E$2:$E151)&lt;20,"",MIN($D$132:$D$151))</f>
        <v>0</v>
      </c>
      <c r="AS151">
        <f>IF(OR(AQ151="",AR151=""),"",(AQ151+AR151)/2)</f>
        <v>0</v>
      </c>
      <c r="AT151">
        <f>IF(COUNT($G$132:$G$151)&lt;20,"",STDEV($G$132:$G$151)*SQRT(52))</f>
        <v>0</v>
      </c>
      <c r="AU151">
        <f>IF(COUNT($E$2:$E151)&lt;9,"",(MAX($C$143:$C$151)+MIN($D$143:$D$151))/2)</f>
        <v>0</v>
      </c>
      <c r="AV151">
        <f>IF(COUNT($E$2:$E151)&lt;26,"",(MAX($C$126:$C$151)+MIN($D$126:$D$151))/2)</f>
        <v>0</v>
      </c>
      <c r="AW151">
        <f>IF(OR(AU151="",AV151=""),"",(AU151+AV151)/2)</f>
        <v>0</v>
      </c>
      <c r="AX151">
        <f>IF(COUNT($E$2:$E151)&lt;52,"",(MAX($C$100:$C$151)+MIN($D$100:$D$151))/2)</f>
        <v>0</v>
      </c>
      <c r="AY151">
        <f>IF(COUNT($E$2:$E151)&lt;20,"",MAX($C$52:$C$151))</f>
        <v>0</v>
      </c>
      <c r="AZ151">
        <f>IF(COUNT($E$2:$E151)&lt;20,"",MIN($D$52:$D$151))</f>
        <v>0</v>
      </c>
      <c r="BA151">
        <f>IF(COUNT($E$2:$E151)&lt;20,"",SLOPE($E$52:$E$151,$F$52:$F$151))</f>
        <v>0</v>
      </c>
      <c r="BB151">
        <f>IF(COUNT($E$2:$E151)&lt;20,"",INTERCEPT($E$52:$E$151,$F$52:$F$151))</f>
        <v>0</v>
      </c>
      <c r="BC151">
        <f>IF(OR(BA151="",BB151=""),"",BB151+BA151*F151)</f>
        <v>0</v>
      </c>
      <c r="BD151">
        <f>IF(COUNT($E$2:$E151)&lt;20,"",STEYX($E$52:$E$151,$F$52:$F$151))</f>
        <v>0</v>
      </c>
      <c r="BE151">
        <f>IF($E151="","",IF(AND(COUNT($E$152:$E$155)&gt;=4,$C151=MAX($C$147:$C$155)),$C151,""))</f>
        <v>0</v>
      </c>
      <c r="BF151">
        <f>IF($E151="","",IF(AND(COUNT($E$152:$E$155)&gt;=4,$D151=MIN($D$147:$D$155)),$D151,""))</f>
        <v>0</v>
      </c>
      <c r="BG151">
        <f>IFERROR(SMALL(Calc_Daily!$BM$2:$BM$2001,150),"")</f>
        <v>0</v>
      </c>
    </row>
    <row r="152" spans="1:59">
      <c r="A152" s="27">
        <f>IF($BG152="","",INDEX(Calc_Daily!$A$2:$A$2001,$BG152))</f>
        <v>0</v>
      </c>
      <c r="B152">
        <f>IF($BG152="","",INDEX(Calc_Daily!$BJ$2:$BJ$2001,$BG152))</f>
        <v>0</v>
      </c>
      <c r="C152">
        <f>IF($BG152="","",INDEX(Calc_Daily!$BK$2:$BK$2001,$BG152))</f>
        <v>0</v>
      </c>
      <c r="D152">
        <f>IF($BG152="","",INDEX(Calc_Daily!$BL$2:$BL$2001,$BG152))</f>
        <v>0</v>
      </c>
      <c r="E152">
        <f>IF($BG152="","",INDEX(Calc_Daily!$E$2:$E$2001,$BG152))</f>
        <v>0</v>
      </c>
      <c r="F152">
        <f>IF($E152="","",N(F151)+1)</f>
        <v>0</v>
      </c>
      <c r="G152">
        <f>IF(OR($E152="",$E151=""),"",LN($E152/$E151))</f>
        <v>0</v>
      </c>
      <c r="H152">
        <f>IF($E152="","",IF($E151="",$E152,$E152*0.0952380952+H151*0.9047619048))</f>
        <v>0</v>
      </c>
      <c r="I152">
        <f>IF($E152="","",IF($E151="",$E152,$E152*0.0392156863+I151*0.9607843137))</f>
        <v>0</v>
      </c>
      <c r="J152">
        <f>IF($E152="","",IF($E151="",$E152,$E152*0.0198019802+J151*0.9801980198))</f>
        <v>0</v>
      </c>
      <c r="K152">
        <f>IF($E152="","",IF($E151="",$E152,$E152*0.0099502488+K151*0.9900497512))</f>
        <v>0</v>
      </c>
      <c r="L152">
        <f>IF(OR($E152="",$E151=""),"",MAX($E152-$E151,0))</f>
        <v>0</v>
      </c>
      <c r="M152">
        <f>IF(OR($E152="",$E151=""),"",MAX($E151-$E152,0))</f>
        <v>0</v>
      </c>
      <c r="N152">
        <f>IF(COUNT($E$2:$E152)&lt;15,"",IF(AVERAGE($M$139:$M$152)=0,100,100-100/(1+AVERAGE($L$139:$L$152)/AVERAGE($M$139:$M$152))))</f>
        <v>0</v>
      </c>
      <c r="O152">
        <f>IF($E152="","",IF($E151="",$E152,$E152*0.1538461538+O151*0.8461538462))</f>
        <v>0</v>
      </c>
      <c r="P152">
        <f>IF($E152="","",IF($E151="",$E152,$E152*0.0740740741+P151*0.9259259259))</f>
        <v>0</v>
      </c>
      <c r="Q152">
        <f>IF(OR(O152="",P152=""),"",O152-P152)</f>
        <v>0</v>
      </c>
      <c r="R152">
        <f>IF(Q152="","",IF(R151="",Q152,Q152*0.2000000000+R151*0.8000000000))</f>
        <v>0</v>
      </c>
      <c r="S152">
        <f>IF(OR(Q152="",R152=""),"",Q152-R152)</f>
        <v>0</v>
      </c>
      <c r="T152">
        <f>IF(COUNT($E$2:$E152)&lt;14,"",MAX($C$139:$C$152))</f>
        <v>0</v>
      </c>
      <c r="U152">
        <f>IF(COUNT($E$2:$E152)&lt;14,"",MIN($D$139:$D$152))</f>
        <v>0</v>
      </c>
      <c r="V152">
        <f>IF(OR(T152="",U152="",T152=U152),"",100*($E152-U152)/(T152-U152))</f>
        <v>0</v>
      </c>
      <c r="W152">
        <f>IF(COUNT($V$150:$V$152)&lt;3,"",AVERAGE($V$150:$V$152))</f>
        <v>0</v>
      </c>
      <c r="X152">
        <f>IF(COUNT($N$139:$N$152)&lt;14,"",MIN($N$139:$N$152))</f>
        <v>0</v>
      </c>
      <c r="Y152">
        <f>IF(COUNT($N$139:$N$152)&lt;14,"",MAX($N$139:$N$152))</f>
        <v>0</v>
      </c>
      <c r="Z152">
        <f>IF(OR(N152="",X152="",Y152="",Y152=X152),"",100*(N152-X152)/(Y152-X152))</f>
        <v>0</v>
      </c>
      <c r="AA152">
        <f>IF(COUNT($Z$150:$Z$152)&lt;3,"",AVERAGE($Z$150:$Z$152))</f>
        <v>0</v>
      </c>
      <c r="AB152">
        <f>IF(COUNT($AA$150:$AA$152)&lt;3,"",AVERAGE($AA$150:$AA$152))</f>
        <v>0</v>
      </c>
      <c r="AC152">
        <f>IF($E152="","",MAX($C152-$D152,ABS($C152-$E151),ABS($D152-$E151)))</f>
        <v>0</v>
      </c>
      <c r="AD152">
        <f>IF(COUNT($E$2:$E152)&lt;15,"",AVERAGE($AC$139:$AC$152))</f>
        <v>0</v>
      </c>
      <c r="AE152">
        <f>IF(OR($E152="",$E151=""),"",IF(AND(($C152-$C151)&gt;($D151-$D152),($C152-$C151)&gt;0),$C152-$C151,0))</f>
        <v>0</v>
      </c>
      <c r="AF152">
        <f>IF(OR($E152="",$E151=""),"",IF(AND(($D151-$D152)&gt;($C152-$C151),($D151-$D152)&gt;0),$D151-$D152,0))</f>
        <v>0</v>
      </c>
      <c r="AG152">
        <f>IF(COUNT($E$2:$E152)&lt;15,"",IF(SUM($AC$139:$AC$152)=0,0,100*SUM($AE$139:$AE$152)/SUM($AC$139:$AC$152)))</f>
        <v>0</v>
      </c>
      <c r="AH152">
        <f>IF(COUNT($E$2:$E152)&lt;15,"",IF(SUM($AC$139:$AC$152)=0,0,100*SUM($AF$139:$AF$152)/SUM($AC$139:$AC$152)))</f>
        <v>0</v>
      </c>
      <c r="AI152">
        <f>IF(OR(AG152="",AH152=""),"",IF((AG152+AH152)=0,0,100*ABS(AG152-AH152)/(AG152+AH152)))</f>
        <v>0</v>
      </c>
      <c r="AJ152">
        <f>IF(COUNT($AI$139:$AI$152)&lt;14,"",AVERAGE($AI$139:$AI$152))</f>
        <v>0</v>
      </c>
      <c r="AK152">
        <f>IF(COUNT($E$2:$E152)&lt;20,"",AVERAGE($E$133:$E$152))</f>
        <v>0</v>
      </c>
      <c r="AL152">
        <f>IF(COUNT($E$2:$E152)&lt;20,"",STDEVP($E$133:$E$152))</f>
        <v>0</v>
      </c>
      <c r="AM152">
        <f>IF(AK152="","",AK152+2*AL152)</f>
        <v>0</v>
      </c>
      <c r="AN152">
        <f>IF(AK152="","",AK152-2*AL152)</f>
        <v>0</v>
      </c>
      <c r="AO152">
        <f>IF(OR(AM152="",AN152="",AM152=AN152),"",($E152-AN152)/(AM152-AN152))</f>
        <v>0</v>
      </c>
      <c r="AP152">
        <f>IF(OR(AM152="",AK152="",AK152=0),"",(AM152-AN152)/AK152)</f>
        <v>0</v>
      </c>
      <c r="AQ152">
        <f>IF(COUNT($E$2:$E152)&lt;20,"",MAX($C$133:$C$152))</f>
        <v>0</v>
      </c>
      <c r="AR152">
        <f>IF(COUNT($E$2:$E152)&lt;20,"",MIN($D$133:$D$152))</f>
        <v>0</v>
      </c>
      <c r="AS152">
        <f>IF(OR(AQ152="",AR152=""),"",(AQ152+AR152)/2)</f>
        <v>0</v>
      </c>
      <c r="AT152">
        <f>IF(COUNT($G$133:$G$152)&lt;20,"",STDEV($G$133:$G$152)*SQRT(52))</f>
        <v>0</v>
      </c>
      <c r="AU152">
        <f>IF(COUNT($E$2:$E152)&lt;9,"",(MAX($C$144:$C$152)+MIN($D$144:$D$152))/2)</f>
        <v>0</v>
      </c>
      <c r="AV152">
        <f>IF(COUNT($E$2:$E152)&lt;26,"",(MAX($C$127:$C$152)+MIN($D$127:$D$152))/2)</f>
        <v>0</v>
      </c>
      <c r="AW152">
        <f>IF(OR(AU152="",AV152=""),"",(AU152+AV152)/2)</f>
        <v>0</v>
      </c>
      <c r="AX152">
        <f>IF(COUNT($E$2:$E152)&lt;52,"",(MAX($C$101:$C$152)+MIN($D$101:$D$152))/2)</f>
        <v>0</v>
      </c>
      <c r="AY152">
        <f>IF(COUNT($E$2:$E152)&lt;20,"",MAX($C$53:$C$152))</f>
        <v>0</v>
      </c>
      <c r="AZ152">
        <f>IF(COUNT($E$2:$E152)&lt;20,"",MIN($D$53:$D$152))</f>
        <v>0</v>
      </c>
      <c r="BA152">
        <f>IF(COUNT($E$2:$E152)&lt;20,"",SLOPE($E$53:$E$152,$F$53:$F$152))</f>
        <v>0</v>
      </c>
      <c r="BB152">
        <f>IF(COUNT($E$2:$E152)&lt;20,"",INTERCEPT($E$53:$E$152,$F$53:$F$152))</f>
        <v>0</v>
      </c>
      <c r="BC152">
        <f>IF(OR(BA152="",BB152=""),"",BB152+BA152*F152)</f>
        <v>0</v>
      </c>
      <c r="BD152">
        <f>IF(COUNT($E$2:$E152)&lt;20,"",STEYX($E$53:$E$152,$F$53:$F$152))</f>
        <v>0</v>
      </c>
      <c r="BE152">
        <f>IF($E152="","",IF(AND(COUNT($E$153:$E$156)&gt;=4,$C152=MAX($C$148:$C$156)),$C152,""))</f>
        <v>0</v>
      </c>
      <c r="BF152">
        <f>IF($E152="","",IF(AND(COUNT($E$153:$E$156)&gt;=4,$D152=MIN($D$148:$D$156)),$D152,""))</f>
        <v>0</v>
      </c>
      <c r="BG152">
        <f>IFERROR(SMALL(Calc_Daily!$BM$2:$BM$2001,151),"")</f>
        <v>0</v>
      </c>
    </row>
    <row r="153" spans="1:59">
      <c r="A153" s="27">
        <f>IF($BG153="","",INDEX(Calc_Daily!$A$2:$A$2001,$BG153))</f>
        <v>0</v>
      </c>
      <c r="B153">
        <f>IF($BG153="","",INDEX(Calc_Daily!$BJ$2:$BJ$2001,$BG153))</f>
        <v>0</v>
      </c>
      <c r="C153">
        <f>IF($BG153="","",INDEX(Calc_Daily!$BK$2:$BK$2001,$BG153))</f>
        <v>0</v>
      </c>
      <c r="D153">
        <f>IF($BG153="","",INDEX(Calc_Daily!$BL$2:$BL$2001,$BG153))</f>
        <v>0</v>
      </c>
      <c r="E153">
        <f>IF($BG153="","",INDEX(Calc_Daily!$E$2:$E$2001,$BG153))</f>
        <v>0</v>
      </c>
      <c r="F153">
        <f>IF($E153="","",N(F152)+1)</f>
        <v>0</v>
      </c>
      <c r="G153">
        <f>IF(OR($E153="",$E152=""),"",LN($E153/$E152))</f>
        <v>0</v>
      </c>
      <c r="H153">
        <f>IF($E153="","",IF($E152="",$E153,$E153*0.0952380952+H152*0.9047619048))</f>
        <v>0</v>
      </c>
      <c r="I153">
        <f>IF($E153="","",IF($E152="",$E153,$E153*0.0392156863+I152*0.9607843137))</f>
        <v>0</v>
      </c>
      <c r="J153">
        <f>IF($E153="","",IF($E152="",$E153,$E153*0.0198019802+J152*0.9801980198))</f>
        <v>0</v>
      </c>
      <c r="K153">
        <f>IF($E153="","",IF($E152="",$E153,$E153*0.0099502488+K152*0.9900497512))</f>
        <v>0</v>
      </c>
      <c r="L153">
        <f>IF(OR($E153="",$E152=""),"",MAX($E153-$E152,0))</f>
        <v>0</v>
      </c>
      <c r="M153">
        <f>IF(OR($E153="",$E152=""),"",MAX($E152-$E153,0))</f>
        <v>0</v>
      </c>
      <c r="N153">
        <f>IF(COUNT($E$2:$E153)&lt;15,"",IF(AVERAGE($M$140:$M$153)=0,100,100-100/(1+AVERAGE($L$140:$L$153)/AVERAGE($M$140:$M$153))))</f>
        <v>0</v>
      </c>
      <c r="O153">
        <f>IF($E153="","",IF($E152="",$E153,$E153*0.1538461538+O152*0.8461538462))</f>
        <v>0</v>
      </c>
      <c r="P153">
        <f>IF($E153="","",IF($E152="",$E153,$E153*0.0740740741+P152*0.9259259259))</f>
        <v>0</v>
      </c>
      <c r="Q153">
        <f>IF(OR(O153="",P153=""),"",O153-P153)</f>
        <v>0</v>
      </c>
      <c r="R153">
        <f>IF(Q153="","",IF(R152="",Q153,Q153*0.2000000000+R152*0.8000000000))</f>
        <v>0</v>
      </c>
      <c r="S153">
        <f>IF(OR(Q153="",R153=""),"",Q153-R153)</f>
        <v>0</v>
      </c>
      <c r="T153">
        <f>IF(COUNT($E$2:$E153)&lt;14,"",MAX($C$140:$C$153))</f>
        <v>0</v>
      </c>
      <c r="U153">
        <f>IF(COUNT($E$2:$E153)&lt;14,"",MIN($D$140:$D$153))</f>
        <v>0</v>
      </c>
      <c r="V153">
        <f>IF(OR(T153="",U153="",T153=U153),"",100*($E153-U153)/(T153-U153))</f>
        <v>0</v>
      </c>
      <c r="W153">
        <f>IF(COUNT($V$151:$V$153)&lt;3,"",AVERAGE($V$151:$V$153))</f>
        <v>0</v>
      </c>
      <c r="X153">
        <f>IF(COUNT($N$140:$N$153)&lt;14,"",MIN($N$140:$N$153))</f>
        <v>0</v>
      </c>
      <c r="Y153">
        <f>IF(COUNT($N$140:$N$153)&lt;14,"",MAX($N$140:$N$153))</f>
        <v>0</v>
      </c>
      <c r="Z153">
        <f>IF(OR(N153="",X153="",Y153="",Y153=X153),"",100*(N153-X153)/(Y153-X153))</f>
        <v>0</v>
      </c>
      <c r="AA153">
        <f>IF(COUNT($Z$151:$Z$153)&lt;3,"",AVERAGE($Z$151:$Z$153))</f>
        <v>0</v>
      </c>
      <c r="AB153">
        <f>IF(COUNT($AA$151:$AA$153)&lt;3,"",AVERAGE($AA$151:$AA$153))</f>
        <v>0</v>
      </c>
      <c r="AC153">
        <f>IF($E153="","",MAX($C153-$D153,ABS($C153-$E152),ABS($D153-$E152)))</f>
        <v>0</v>
      </c>
      <c r="AD153">
        <f>IF(COUNT($E$2:$E153)&lt;15,"",AVERAGE($AC$140:$AC$153))</f>
        <v>0</v>
      </c>
      <c r="AE153">
        <f>IF(OR($E153="",$E152=""),"",IF(AND(($C153-$C152)&gt;($D152-$D153),($C153-$C152)&gt;0),$C153-$C152,0))</f>
        <v>0</v>
      </c>
      <c r="AF153">
        <f>IF(OR($E153="",$E152=""),"",IF(AND(($D152-$D153)&gt;($C153-$C152),($D152-$D153)&gt;0),$D152-$D153,0))</f>
        <v>0</v>
      </c>
      <c r="AG153">
        <f>IF(COUNT($E$2:$E153)&lt;15,"",IF(SUM($AC$140:$AC$153)=0,0,100*SUM($AE$140:$AE$153)/SUM($AC$140:$AC$153)))</f>
        <v>0</v>
      </c>
      <c r="AH153">
        <f>IF(COUNT($E$2:$E153)&lt;15,"",IF(SUM($AC$140:$AC$153)=0,0,100*SUM($AF$140:$AF$153)/SUM($AC$140:$AC$153)))</f>
        <v>0</v>
      </c>
      <c r="AI153">
        <f>IF(OR(AG153="",AH153=""),"",IF((AG153+AH153)=0,0,100*ABS(AG153-AH153)/(AG153+AH153)))</f>
        <v>0</v>
      </c>
      <c r="AJ153">
        <f>IF(COUNT($AI$140:$AI$153)&lt;14,"",AVERAGE($AI$140:$AI$153))</f>
        <v>0</v>
      </c>
      <c r="AK153">
        <f>IF(COUNT($E$2:$E153)&lt;20,"",AVERAGE($E$134:$E$153))</f>
        <v>0</v>
      </c>
      <c r="AL153">
        <f>IF(COUNT($E$2:$E153)&lt;20,"",STDEVP($E$134:$E$153))</f>
        <v>0</v>
      </c>
      <c r="AM153">
        <f>IF(AK153="","",AK153+2*AL153)</f>
        <v>0</v>
      </c>
      <c r="AN153">
        <f>IF(AK153="","",AK153-2*AL153)</f>
        <v>0</v>
      </c>
      <c r="AO153">
        <f>IF(OR(AM153="",AN153="",AM153=AN153),"",($E153-AN153)/(AM153-AN153))</f>
        <v>0</v>
      </c>
      <c r="AP153">
        <f>IF(OR(AM153="",AK153="",AK153=0),"",(AM153-AN153)/AK153)</f>
        <v>0</v>
      </c>
      <c r="AQ153">
        <f>IF(COUNT($E$2:$E153)&lt;20,"",MAX($C$134:$C$153))</f>
        <v>0</v>
      </c>
      <c r="AR153">
        <f>IF(COUNT($E$2:$E153)&lt;20,"",MIN($D$134:$D$153))</f>
        <v>0</v>
      </c>
      <c r="AS153">
        <f>IF(OR(AQ153="",AR153=""),"",(AQ153+AR153)/2)</f>
        <v>0</v>
      </c>
      <c r="AT153">
        <f>IF(COUNT($G$134:$G$153)&lt;20,"",STDEV($G$134:$G$153)*SQRT(52))</f>
        <v>0</v>
      </c>
      <c r="AU153">
        <f>IF(COUNT($E$2:$E153)&lt;9,"",(MAX($C$145:$C$153)+MIN($D$145:$D$153))/2)</f>
        <v>0</v>
      </c>
      <c r="AV153">
        <f>IF(COUNT($E$2:$E153)&lt;26,"",(MAX($C$128:$C$153)+MIN($D$128:$D$153))/2)</f>
        <v>0</v>
      </c>
      <c r="AW153">
        <f>IF(OR(AU153="",AV153=""),"",(AU153+AV153)/2)</f>
        <v>0</v>
      </c>
      <c r="AX153">
        <f>IF(COUNT($E$2:$E153)&lt;52,"",(MAX($C$102:$C$153)+MIN($D$102:$D$153))/2)</f>
        <v>0</v>
      </c>
      <c r="AY153">
        <f>IF(COUNT($E$2:$E153)&lt;20,"",MAX($C$54:$C$153))</f>
        <v>0</v>
      </c>
      <c r="AZ153">
        <f>IF(COUNT($E$2:$E153)&lt;20,"",MIN($D$54:$D$153))</f>
        <v>0</v>
      </c>
      <c r="BA153">
        <f>IF(COUNT($E$2:$E153)&lt;20,"",SLOPE($E$54:$E$153,$F$54:$F$153))</f>
        <v>0</v>
      </c>
      <c r="BB153">
        <f>IF(COUNT($E$2:$E153)&lt;20,"",INTERCEPT($E$54:$E$153,$F$54:$F$153))</f>
        <v>0</v>
      </c>
      <c r="BC153">
        <f>IF(OR(BA153="",BB153=""),"",BB153+BA153*F153)</f>
        <v>0</v>
      </c>
      <c r="BD153">
        <f>IF(COUNT($E$2:$E153)&lt;20,"",STEYX($E$54:$E$153,$F$54:$F$153))</f>
        <v>0</v>
      </c>
      <c r="BE153">
        <f>IF($E153="","",IF(AND(COUNT($E$154:$E$157)&gt;=4,$C153=MAX($C$149:$C$157)),$C153,""))</f>
        <v>0</v>
      </c>
      <c r="BF153">
        <f>IF($E153="","",IF(AND(COUNT($E$154:$E$157)&gt;=4,$D153=MIN($D$149:$D$157)),$D153,""))</f>
        <v>0</v>
      </c>
      <c r="BG153">
        <f>IFERROR(SMALL(Calc_Daily!$BM$2:$BM$2001,152),"")</f>
        <v>0</v>
      </c>
    </row>
    <row r="154" spans="1:59">
      <c r="A154" s="27">
        <f>IF($BG154="","",INDEX(Calc_Daily!$A$2:$A$2001,$BG154))</f>
        <v>0</v>
      </c>
      <c r="B154">
        <f>IF($BG154="","",INDEX(Calc_Daily!$BJ$2:$BJ$2001,$BG154))</f>
        <v>0</v>
      </c>
      <c r="C154">
        <f>IF($BG154="","",INDEX(Calc_Daily!$BK$2:$BK$2001,$BG154))</f>
        <v>0</v>
      </c>
      <c r="D154">
        <f>IF($BG154="","",INDEX(Calc_Daily!$BL$2:$BL$2001,$BG154))</f>
        <v>0</v>
      </c>
      <c r="E154">
        <f>IF($BG154="","",INDEX(Calc_Daily!$E$2:$E$2001,$BG154))</f>
        <v>0</v>
      </c>
      <c r="F154">
        <f>IF($E154="","",N(F153)+1)</f>
        <v>0</v>
      </c>
      <c r="G154">
        <f>IF(OR($E154="",$E153=""),"",LN($E154/$E153))</f>
        <v>0</v>
      </c>
      <c r="H154">
        <f>IF($E154="","",IF($E153="",$E154,$E154*0.0952380952+H153*0.9047619048))</f>
        <v>0</v>
      </c>
      <c r="I154">
        <f>IF($E154="","",IF($E153="",$E154,$E154*0.0392156863+I153*0.9607843137))</f>
        <v>0</v>
      </c>
      <c r="J154">
        <f>IF($E154="","",IF($E153="",$E154,$E154*0.0198019802+J153*0.9801980198))</f>
        <v>0</v>
      </c>
      <c r="K154">
        <f>IF($E154="","",IF($E153="",$E154,$E154*0.0099502488+K153*0.9900497512))</f>
        <v>0</v>
      </c>
      <c r="L154">
        <f>IF(OR($E154="",$E153=""),"",MAX($E154-$E153,0))</f>
        <v>0</v>
      </c>
      <c r="M154">
        <f>IF(OR($E154="",$E153=""),"",MAX($E153-$E154,0))</f>
        <v>0</v>
      </c>
      <c r="N154">
        <f>IF(COUNT($E$2:$E154)&lt;15,"",IF(AVERAGE($M$141:$M$154)=0,100,100-100/(1+AVERAGE($L$141:$L$154)/AVERAGE($M$141:$M$154))))</f>
        <v>0</v>
      </c>
      <c r="O154">
        <f>IF($E154="","",IF($E153="",$E154,$E154*0.1538461538+O153*0.8461538462))</f>
        <v>0</v>
      </c>
      <c r="P154">
        <f>IF($E154="","",IF($E153="",$E154,$E154*0.0740740741+P153*0.9259259259))</f>
        <v>0</v>
      </c>
      <c r="Q154">
        <f>IF(OR(O154="",P154=""),"",O154-P154)</f>
        <v>0</v>
      </c>
      <c r="R154">
        <f>IF(Q154="","",IF(R153="",Q154,Q154*0.2000000000+R153*0.8000000000))</f>
        <v>0</v>
      </c>
      <c r="S154">
        <f>IF(OR(Q154="",R154=""),"",Q154-R154)</f>
        <v>0</v>
      </c>
      <c r="T154">
        <f>IF(COUNT($E$2:$E154)&lt;14,"",MAX($C$141:$C$154))</f>
        <v>0</v>
      </c>
      <c r="U154">
        <f>IF(COUNT($E$2:$E154)&lt;14,"",MIN($D$141:$D$154))</f>
        <v>0</v>
      </c>
      <c r="V154">
        <f>IF(OR(T154="",U154="",T154=U154),"",100*($E154-U154)/(T154-U154))</f>
        <v>0</v>
      </c>
      <c r="W154">
        <f>IF(COUNT($V$152:$V$154)&lt;3,"",AVERAGE($V$152:$V$154))</f>
        <v>0</v>
      </c>
      <c r="X154">
        <f>IF(COUNT($N$141:$N$154)&lt;14,"",MIN($N$141:$N$154))</f>
        <v>0</v>
      </c>
      <c r="Y154">
        <f>IF(COUNT($N$141:$N$154)&lt;14,"",MAX($N$141:$N$154))</f>
        <v>0</v>
      </c>
      <c r="Z154">
        <f>IF(OR(N154="",X154="",Y154="",Y154=X154),"",100*(N154-X154)/(Y154-X154))</f>
        <v>0</v>
      </c>
      <c r="AA154">
        <f>IF(COUNT($Z$152:$Z$154)&lt;3,"",AVERAGE($Z$152:$Z$154))</f>
        <v>0</v>
      </c>
      <c r="AB154">
        <f>IF(COUNT($AA$152:$AA$154)&lt;3,"",AVERAGE($AA$152:$AA$154))</f>
        <v>0</v>
      </c>
      <c r="AC154">
        <f>IF($E154="","",MAX($C154-$D154,ABS($C154-$E153),ABS($D154-$E153)))</f>
        <v>0</v>
      </c>
      <c r="AD154">
        <f>IF(COUNT($E$2:$E154)&lt;15,"",AVERAGE($AC$141:$AC$154))</f>
        <v>0</v>
      </c>
      <c r="AE154">
        <f>IF(OR($E154="",$E153=""),"",IF(AND(($C154-$C153)&gt;($D153-$D154),($C154-$C153)&gt;0),$C154-$C153,0))</f>
        <v>0</v>
      </c>
      <c r="AF154">
        <f>IF(OR($E154="",$E153=""),"",IF(AND(($D153-$D154)&gt;($C154-$C153),($D153-$D154)&gt;0),$D153-$D154,0))</f>
        <v>0</v>
      </c>
      <c r="AG154">
        <f>IF(COUNT($E$2:$E154)&lt;15,"",IF(SUM($AC$141:$AC$154)=0,0,100*SUM($AE$141:$AE$154)/SUM($AC$141:$AC$154)))</f>
        <v>0</v>
      </c>
      <c r="AH154">
        <f>IF(COUNT($E$2:$E154)&lt;15,"",IF(SUM($AC$141:$AC$154)=0,0,100*SUM($AF$141:$AF$154)/SUM($AC$141:$AC$154)))</f>
        <v>0</v>
      </c>
      <c r="AI154">
        <f>IF(OR(AG154="",AH154=""),"",IF((AG154+AH154)=0,0,100*ABS(AG154-AH154)/(AG154+AH154)))</f>
        <v>0</v>
      </c>
      <c r="AJ154">
        <f>IF(COUNT($AI$141:$AI$154)&lt;14,"",AVERAGE($AI$141:$AI$154))</f>
        <v>0</v>
      </c>
      <c r="AK154">
        <f>IF(COUNT($E$2:$E154)&lt;20,"",AVERAGE($E$135:$E$154))</f>
        <v>0</v>
      </c>
      <c r="AL154">
        <f>IF(COUNT($E$2:$E154)&lt;20,"",STDEVP($E$135:$E$154))</f>
        <v>0</v>
      </c>
      <c r="AM154">
        <f>IF(AK154="","",AK154+2*AL154)</f>
        <v>0</v>
      </c>
      <c r="AN154">
        <f>IF(AK154="","",AK154-2*AL154)</f>
        <v>0</v>
      </c>
      <c r="AO154">
        <f>IF(OR(AM154="",AN154="",AM154=AN154),"",($E154-AN154)/(AM154-AN154))</f>
        <v>0</v>
      </c>
      <c r="AP154">
        <f>IF(OR(AM154="",AK154="",AK154=0),"",(AM154-AN154)/AK154)</f>
        <v>0</v>
      </c>
      <c r="AQ154">
        <f>IF(COUNT($E$2:$E154)&lt;20,"",MAX($C$135:$C$154))</f>
        <v>0</v>
      </c>
      <c r="AR154">
        <f>IF(COUNT($E$2:$E154)&lt;20,"",MIN($D$135:$D$154))</f>
        <v>0</v>
      </c>
      <c r="AS154">
        <f>IF(OR(AQ154="",AR154=""),"",(AQ154+AR154)/2)</f>
        <v>0</v>
      </c>
      <c r="AT154">
        <f>IF(COUNT($G$135:$G$154)&lt;20,"",STDEV($G$135:$G$154)*SQRT(52))</f>
        <v>0</v>
      </c>
      <c r="AU154">
        <f>IF(COUNT($E$2:$E154)&lt;9,"",(MAX($C$146:$C$154)+MIN($D$146:$D$154))/2)</f>
        <v>0</v>
      </c>
      <c r="AV154">
        <f>IF(COUNT($E$2:$E154)&lt;26,"",(MAX($C$129:$C$154)+MIN($D$129:$D$154))/2)</f>
        <v>0</v>
      </c>
      <c r="AW154">
        <f>IF(OR(AU154="",AV154=""),"",(AU154+AV154)/2)</f>
        <v>0</v>
      </c>
      <c r="AX154">
        <f>IF(COUNT($E$2:$E154)&lt;52,"",(MAX($C$103:$C$154)+MIN($D$103:$D$154))/2)</f>
        <v>0</v>
      </c>
      <c r="AY154">
        <f>IF(COUNT($E$2:$E154)&lt;20,"",MAX($C$55:$C$154))</f>
        <v>0</v>
      </c>
      <c r="AZ154">
        <f>IF(COUNT($E$2:$E154)&lt;20,"",MIN($D$55:$D$154))</f>
        <v>0</v>
      </c>
      <c r="BA154">
        <f>IF(COUNT($E$2:$E154)&lt;20,"",SLOPE($E$55:$E$154,$F$55:$F$154))</f>
        <v>0</v>
      </c>
      <c r="BB154">
        <f>IF(COUNT($E$2:$E154)&lt;20,"",INTERCEPT($E$55:$E$154,$F$55:$F$154))</f>
        <v>0</v>
      </c>
      <c r="BC154">
        <f>IF(OR(BA154="",BB154=""),"",BB154+BA154*F154)</f>
        <v>0</v>
      </c>
      <c r="BD154">
        <f>IF(COUNT($E$2:$E154)&lt;20,"",STEYX($E$55:$E$154,$F$55:$F$154))</f>
        <v>0</v>
      </c>
      <c r="BE154">
        <f>IF($E154="","",IF(AND(COUNT($E$155:$E$158)&gt;=4,$C154=MAX($C$150:$C$158)),$C154,""))</f>
        <v>0</v>
      </c>
      <c r="BF154">
        <f>IF($E154="","",IF(AND(COUNT($E$155:$E$158)&gt;=4,$D154=MIN($D$150:$D$158)),$D154,""))</f>
        <v>0</v>
      </c>
      <c r="BG154">
        <f>IFERROR(SMALL(Calc_Daily!$BM$2:$BM$2001,153),"")</f>
        <v>0</v>
      </c>
    </row>
    <row r="155" spans="1:59">
      <c r="A155" s="27">
        <f>IF($BG155="","",INDEX(Calc_Daily!$A$2:$A$2001,$BG155))</f>
        <v>0</v>
      </c>
      <c r="B155">
        <f>IF($BG155="","",INDEX(Calc_Daily!$BJ$2:$BJ$2001,$BG155))</f>
        <v>0</v>
      </c>
      <c r="C155">
        <f>IF($BG155="","",INDEX(Calc_Daily!$BK$2:$BK$2001,$BG155))</f>
        <v>0</v>
      </c>
      <c r="D155">
        <f>IF($BG155="","",INDEX(Calc_Daily!$BL$2:$BL$2001,$BG155))</f>
        <v>0</v>
      </c>
      <c r="E155">
        <f>IF($BG155="","",INDEX(Calc_Daily!$E$2:$E$2001,$BG155))</f>
        <v>0</v>
      </c>
      <c r="F155">
        <f>IF($E155="","",N(F154)+1)</f>
        <v>0</v>
      </c>
      <c r="G155">
        <f>IF(OR($E155="",$E154=""),"",LN($E155/$E154))</f>
        <v>0</v>
      </c>
      <c r="H155">
        <f>IF($E155="","",IF($E154="",$E155,$E155*0.0952380952+H154*0.9047619048))</f>
        <v>0</v>
      </c>
      <c r="I155">
        <f>IF($E155="","",IF($E154="",$E155,$E155*0.0392156863+I154*0.9607843137))</f>
        <v>0</v>
      </c>
      <c r="J155">
        <f>IF($E155="","",IF($E154="",$E155,$E155*0.0198019802+J154*0.9801980198))</f>
        <v>0</v>
      </c>
      <c r="K155">
        <f>IF($E155="","",IF($E154="",$E155,$E155*0.0099502488+K154*0.9900497512))</f>
        <v>0</v>
      </c>
      <c r="L155">
        <f>IF(OR($E155="",$E154=""),"",MAX($E155-$E154,0))</f>
        <v>0</v>
      </c>
      <c r="M155">
        <f>IF(OR($E155="",$E154=""),"",MAX($E154-$E155,0))</f>
        <v>0</v>
      </c>
      <c r="N155">
        <f>IF(COUNT($E$2:$E155)&lt;15,"",IF(AVERAGE($M$142:$M$155)=0,100,100-100/(1+AVERAGE($L$142:$L$155)/AVERAGE($M$142:$M$155))))</f>
        <v>0</v>
      </c>
      <c r="O155">
        <f>IF($E155="","",IF($E154="",$E155,$E155*0.1538461538+O154*0.8461538462))</f>
        <v>0</v>
      </c>
      <c r="P155">
        <f>IF($E155="","",IF($E154="",$E155,$E155*0.0740740741+P154*0.9259259259))</f>
        <v>0</v>
      </c>
      <c r="Q155">
        <f>IF(OR(O155="",P155=""),"",O155-P155)</f>
        <v>0</v>
      </c>
      <c r="R155">
        <f>IF(Q155="","",IF(R154="",Q155,Q155*0.2000000000+R154*0.8000000000))</f>
        <v>0</v>
      </c>
      <c r="S155">
        <f>IF(OR(Q155="",R155=""),"",Q155-R155)</f>
        <v>0</v>
      </c>
      <c r="T155">
        <f>IF(COUNT($E$2:$E155)&lt;14,"",MAX($C$142:$C$155))</f>
        <v>0</v>
      </c>
      <c r="U155">
        <f>IF(COUNT($E$2:$E155)&lt;14,"",MIN($D$142:$D$155))</f>
        <v>0</v>
      </c>
      <c r="V155">
        <f>IF(OR(T155="",U155="",T155=U155),"",100*($E155-U155)/(T155-U155))</f>
        <v>0</v>
      </c>
      <c r="W155">
        <f>IF(COUNT($V$153:$V$155)&lt;3,"",AVERAGE($V$153:$V$155))</f>
        <v>0</v>
      </c>
      <c r="X155">
        <f>IF(COUNT($N$142:$N$155)&lt;14,"",MIN($N$142:$N$155))</f>
        <v>0</v>
      </c>
      <c r="Y155">
        <f>IF(COUNT($N$142:$N$155)&lt;14,"",MAX($N$142:$N$155))</f>
        <v>0</v>
      </c>
      <c r="Z155">
        <f>IF(OR(N155="",X155="",Y155="",Y155=X155),"",100*(N155-X155)/(Y155-X155))</f>
        <v>0</v>
      </c>
      <c r="AA155">
        <f>IF(COUNT($Z$153:$Z$155)&lt;3,"",AVERAGE($Z$153:$Z$155))</f>
        <v>0</v>
      </c>
      <c r="AB155">
        <f>IF(COUNT($AA$153:$AA$155)&lt;3,"",AVERAGE($AA$153:$AA$155))</f>
        <v>0</v>
      </c>
      <c r="AC155">
        <f>IF($E155="","",MAX($C155-$D155,ABS($C155-$E154),ABS($D155-$E154)))</f>
        <v>0</v>
      </c>
      <c r="AD155">
        <f>IF(COUNT($E$2:$E155)&lt;15,"",AVERAGE($AC$142:$AC$155))</f>
        <v>0</v>
      </c>
      <c r="AE155">
        <f>IF(OR($E155="",$E154=""),"",IF(AND(($C155-$C154)&gt;($D154-$D155),($C155-$C154)&gt;0),$C155-$C154,0))</f>
        <v>0</v>
      </c>
      <c r="AF155">
        <f>IF(OR($E155="",$E154=""),"",IF(AND(($D154-$D155)&gt;($C155-$C154),($D154-$D155)&gt;0),$D154-$D155,0))</f>
        <v>0</v>
      </c>
      <c r="AG155">
        <f>IF(COUNT($E$2:$E155)&lt;15,"",IF(SUM($AC$142:$AC$155)=0,0,100*SUM($AE$142:$AE$155)/SUM($AC$142:$AC$155)))</f>
        <v>0</v>
      </c>
      <c r="AH155">
        <f>IF(COUNT($E$2:$E155)&lt;15,"",IF(SUM($AC$142:$AC$155)=0,0,100*SUM($AF$142:$AF$155)/SUM($AC$142:$AC$155)))</f>
        <v>0</v>
      </c>
      <c r="AI155">
        <f>IF(OR(AG155="",AH155=""),"",IF((AG155+AH155)=0,0,100*ABS(AG155-AH155)/(AG155+AH155)))</f>
        <v>0</v>
      </c>
      <c r="AJ155">
        <f>IF(COUNT($AI$142:$AI$155)&lt;14,"",AVERAGE($AI$142:$AI$155))</f>
        <v>0</v>
      </c>
      <c r="AK155">
        <f>IF(COUNT($E$2:$E155)&lt;20,"",AVERAGE($E$136:$E$155))</f>
        <v>0</v>
      </c>
      <c r="AL155">
        <f>IF(COUNT($E$2:$E155)&lt;20,"",STDEVP($E$136:$E$155))</f>
        <v>0</v>
      </c>
      <c r="AM155">
        <f>IF(AK155="","",AK155+2*AL155)</f>
        <v>0</v>
      </c>
      <c r="AN155">
        <f>IF(AK155="","",AK155-2*AL155)</f>
        <v>0</v>
      </c>
      <c r="AO155">
        <f>IF(OR(AM155="",AN155="",AM155=AN155),"",($E155-AN155)/(AM155-AN155))</f>
        <v>0</v>
      </c>
      <c r="AP155">
        <f>IF(OR(AM155="",AK155="",AK155=0),"",(AM155-AN155)/AK155)</f>
        <v>0</v>
      </c>
      <c r="AQ155">
        <f>IF(COUNT($E$2:$E155)&lt;20,"",MAX($C$136:$C$155))</f>
        <v>0</v>
      </c>
      <c r="AR155">
        <f>IF(COUNT($E$2:$E155)&lt;20,"",MIN($D$136:$D$155))</f>
        <v>0</v>
      </c>
      <c r="AS155">
        <f>IF(OR(AQ155="",AR155=""),"",(AQ155+AR155)/2)</f>
        <v>0</v>
      </c>
      <c r="AT155">
        <f>IF(COUNT($G$136:$G$155)&lt;20,"",STDEV($G$136:$G$155)*SQRT(52))</f>
        <v>0</v>
      </c>
      <c r="AU155">
        <f>IF(COUNT($E$2:$E155)&lt;9,"",(MAX($C$147:$C$155)+MIN($D$147:$D$155))/2)</f>
        <v>0</v>
      </c>
      <c r="AV155">
        <f>IF(COUNT($E$2:$E155)&lt;26,"",(MAX($C$130:$C$155)+MIN($D$130:$D$155))/2)</f>
        <v>0</v>
      </c>
      <c r="AW155">
        <f>IF(OR(AU155="",AV155=""),"",(AU155+AV155)/2)</f>
        <v>0</v>
      </c>
      <c r="AX155">
        <f>IF(COUNT($E$2:$E155)&lt;52,"",(MAX($C$104:$C$155)+MIN($D$104:$D$155))/2)</f>
        <v>0</v>
      </c>
      <c r="AY155">
        <f>IF(COUNT($E$2:$E155)&lt;20,"",MAX($C$56:$C$155))</f>
        <v>0</v>
      </c>
      <c r="AZ155">
        <f>IF(COUNT($E$2:$E155)&lt;20,"",MIN($D$56:$D$155))</f>
        <v>0</v>
      </c>
      <c r="BA155">
        <f>IF(COUNT($E$2:$E155)&lt;20,"",SLOPE($E$56:$E$155,$F$56:$F$155))</f>
        <v>0</v>
      </c>
      <c r="BB155">
        <f>IF(COUNT($E$2:$E155)&lt;20,"",INTERCEPT($E$56:$E$155,$F$56:$F$155))</f>
        <v>0</v>
      </c>
      <c r="BC155">
        <f>IF(OR(BA155="",BB155=""),"",BB155+BA155*F155)</f>
        <v>0</v>
      </c>
      <c r="BD155">
        <f>IF(COUNT($E$2:$E155)&lt;20,"",STEYX($E$56:$E$155,$F$56:$F$155))</f>
        <v>0</v>
      </c>
      <c r="BE155">
        <f>IF($E155="","",IF(AND(COUNT($E$156:$E$159)&gt;=4,$C155=MAX($C$151:$C$159)),$C155,""))</f>
        <v>0</v>
      </c>
      <c r="BF155">
        <f>IF($E155="","",IF(AND(COUNT($E$156:$E$159)&gt;=4,$D155=MIN($D$151:$D$159)),$D155,""))</f>
        <v>0</v>
      </c>
      <c r="BG155">
        <f>IFERROR(SMALL(Calc_Daily!$BM$2:$BM$2001,154),"")</f>
        <v>0</v>
      </c>
    </row>
    <row r="156" spans="1:59">
      <c r="A156" s="27">
        <f>IF($BG156="","",INDEX(Calc_Daily!$A$2:$A$2001,$BG156))</f>
        <v>0</v>
      </c>
      <c r="B156">
        <f>IF($BG156="","",INDEX(Calc_Daily!$BJ$2:$BJ$2001,$BG156))</f>
        <v>0</v>
      </c>
      <c r="C156">
        <f>IF($BG156="","",INDEX(Calc_Daily!$BK$2:$BK$2001,$BG156))</f>
        <v>0</v>
      </c>
      <c r="D156">
        <f>IF($BG156="","",INDEX(Calc_Daily!$BL$2:$BL$2001,$BG156))</f>
        <v>0</v>
      </c>
      <c r="E156">
        <f>IF($BG156="","",INDEX(Calc_Daily!$E$2:$E$2001,$BG156))</f>
        <v>0</v>
      </c>
      <c r="F156">
        <f>IF($E156="","",N(F155)+1)</f>
        <v>0</v>
      </c>
      <c r="G156">
        <f>IF(OR($E156="",$E155=""),"",LN($E156/$E155))</f>
        <v>0</v>
      </c>
      <c r="H156">
        <f>IF($E156="","",IF($E155="",$E156,$E156*0.0952380952+H155*0.9047619048))</f>
        <v>0</v>
      </c>
      <c r="I156">
        <f>IF($E156="","",IF($E155="",$E156,$E156*0.0392156863+I155*0.9607843137))</f>
        <v>0</v>
      </c>
      <c r="J156">
        <f>IF($E156="","",IF($E155="",$E156,$E156*0.0198019802+J155*0.9801980198))</f>
        <v>0</v>
      </c>
      <c r="K156">
        <f>IF($E156="","",IF($E155="",$E156,$E156*0.0099502488+K155*0.9900497512))</f>
        <v>0</v>
      </c>
      <c r="L156">
        <f>IF(OR($E156="",$E155=""),"",MAX($E156-$E155,0))</f>
        <v>0</v>
      </c>
      <c r="M156">
        <f>IF(OR($E156="",$E155=""),"",MAX($E155-$E156,0))</f>
        <v>0</v>
      </c>
      <c r="N156">
        <f>IF(COUNT($E$2:$E156)&lt;15,"",IF(AVERAGE($M$143:$M$156)=0,100,100-100/(1+AVERAGE($L$143:$L$156)/AVERAGE($M$143:$M$156))))</f>
        <v>0</v>
      </c>
      <c r="O156">
        <f>IF($E156="","",IF($E155="",$E156,$E156*0.1538461538+O155*0.8461538462))</f>
        <v>0</v>
      </c>
      <c r="P156">
        <f>IF($E156="","",IF($E155="",$E156,$E156*0.0740740741+P155*0.9259259259))</f>
        <v>0</v>
      </c>
      <c r="Q156">
        <f>IF(OR(O156="",P156=""),"",O156-P156)</f>
        <v>0</v>
      </c>
      <c r="R156">
        <f>IF(Q156="","",IF(R155="",Q156,Q156*0.2000000000+R155*0.8000000000))</f>
        <v>0</v>
      </c>
      <c r="S156">
        <f>IF(OR(Q156="",R156=""),"",Q156-R156)</f>
        <v>0</v>
      </c>
      <c r="T156">
        <f>IF(COUNT($E$2:$E156)&lt;14,"",MAX($C$143:$C$156))</f>
        <v>0</v>
      </c>
      <c r="U156">
        <f>IF(COUNT($E$2:$E156)&lt;14,"",MIN($D$143:$D$156))</f>
        <v>0</v>
      </c>
      <c r="V156">
        <f>IF(OR(T156="",U156="",T156=U156),"",100*($E156-U156)/(T156-U156))</f>
        <v>0</v>
      </c>
      <c r="W156">
        <f>IF(COUNT($V$154:$V$156)&lt;3,"",AVERAGE($V$154:$V$156))</f>
        <v>0</v>
      </c>
      <c r="X156">
        <f>IF(COUNT($N$143:$N$156)&lt;14,"",MIN($N$143:$N$156))</f>
        <v>0</v>
      </c>
      <c r="Y156">
        <f>IF(COUNT($N$143:$N$156)&lt;14,"",MAX($N$143:$N$156))</f>
        <v>0</v>
      </c>
      <c r="Z156">
        <f>IF(OR(N156="",X156="",Y156="",Y156=X156),"",100*(N156-X156)/(Y156-X156))</f>
        <v>0</v>
      </c>
      <c r="AA156">
        <f>IF(COUNT($Z$154:$Z$156)&lt;3,"",AVERAGE($Z$154:$Z$156))</f>
        <v>0</v>
      </c>
      <c r="AB156">
        <f>IF(COUNT($AA$154:$AA$156)&lt;3,"",AVERAGE($AA$154:$AA$156))</f>
        <v>0</v>
      </c>
      <c r="AC156">
        <f>IF($E156="","",MAX($C156-$D156,ABS($C156-$E155),ABS($D156-$E155)))</f>
        <v>0</v>
      </c>
      <c r="AD156">
        <f>IF(COUNT($E$2:$E156)&lt;15,"",AVERAGE($AC$143:$AC$156))</f>
        <v>0</v>
      </c>
      <c r="AE156">
        <f>IF(OR($E156="",$E155=""),"",IF(AND(($C156-$C155)&gt;($D155-$D156),($C156-$C155)&gt;0),$C156-$C155,0))</f>
        <v>0</v>
      </c>
      <c r="AF156">
        <f>IF(OR($E156="",$E155=""),"",IF(AND(($D155-$D156)&gt;($C156-$C155),($D155-$D156)&gt;0),$D155-$D156,0))</f>
        <v>0</v>
      </c>
      <c r="AG156">
        <f>IF(COUNT($E$2:$E156)&lt;15,"",IF(SUM($AC$143:$AC$156)=0,0,100*SUM($AE$143:$AE$156)/SUM($AC$143:$AC$156)))</f>
        <v>0</v>
      </c>
      <c r="AH156">
        <f>IF(COUNT($E$2:$E156)&lt;15,"",IF(SUM($AC$143:$AC$156)=0,0,100*SUM($AF$143:$AF$156)/SUM($AC$143:$AC$156)))</f>
        <v>0</v>
      </c>
      <c r="AI156">
        <f>IF(OR(AG156="",AH156=""),"",IF((AG156+AH156)=0,0,100*ABS(AG156-AH156)/(AG156+AH156)))</f>
        <v>0</v>
      </c>
      <c r="AJ156">
        <f>IF(COUNT($AI$143:$AI$156)&lt;14,"",AVERAGE($AI$143:$AI$156))</f>
        <v>0</v>
      </c>
      <c r="AK156">
        <f>IF(COUNT($E$2:$E156)&lt;20,"",AVERAGE($E$137:$E$156))</f>
        <v>0</v>
      </c>
      <c r="AL156">
        <f>IF(COUNT($E$2:$E156)&lt;20,"",STDEVP($E$137:$E$156))</f>
        <v>0</v>
      </c>
      <c r="AM156">
        <f>IF(AK156="","",AK156+2*AL156)</f>
        <v>0</v>
      </c>
      <c r="AN156">
        <f>IF(AK156="","",AK156-2*AL156)</f>
        <v>0</v>
      </c>
      <c r="AO156">
        <f>IF(OR(AM156="",AN156="",AM156=AN156),"",($E156-AN156)/(AM156-AN156))</f>
        <v>0</v>
      </c>
      <c r="AP156">
        <f>IF(OR(AM156="",AK156="",AK156=0),"",(AM156-AN156)/AK156)</f>
        <v>0</v>
      </c>
      <c r="AQ156">
        <f>IF(COUNT($E$2:$E156)&lt;20,"",MAX($C$137:$C$156))</f>
        <v>0</v>
      </c>
      <c r="AR156">
        <f>IF(COUNT($E$2:$E156)&lt;20,"",MIN($D$137:$D$156))</f>
        <v>0</v>
      </c>
      <c r="AS156">
        <f>IF(OR(AQ156="",AR156=""),"",(AQ156+AR156)/2)</f>
        <v>0</v>
      </c>
      <c r="AT156">
        <f>IF(COUNT($G$137:$G$156)&lt;20,"",STDEV($G$137:$G$156)*SQRT(52))</f>
        <v>0</v>
      </c>
      <c r="AU156">
        <f>IF(COUNT($E$2:$E156)&lt;9,"",(MAX($C$148:$C$156)+MIN($D$148:$D$156))/2)</f>
        <v>0</v>
      </c>
      <c r="AV156">
        <f>IF(COUNT($E$2:$E156)&lt;26,"",(MAX($C$131:$C$156)+MIN($D$131:$D$156))/2)</f>
        <v>0</v>
      </c>
      <c r="AW156">
        <f>IF(OR(AU156="",AV156=""),"",(AU156+AV156)/2)</f>
        <v>0</v>
      </c>
      <c r="AX156">
        <f>IF(COUNT($E$2:$E156)&lt;52,"",(MAX($C$105:$C$156)+MIN($D$105:$D$156))/2)</f>
        <v>0</v>
      </c>
      <c r="AY156">
        <f>IF(COUNT($E$2:$E156)&lt;20,"",MAX($C$57:$C$156))</f>
        <v>0</v>
      </c>
      <c r="AZ156">
        <f>IF(COUNT($E$2:$E156)&lt;20,"",MIN($D$57:$D$156))</f>
        <v>0</v>
      </c>
      <c r="BA156">
        <f>IF(COUNT($E$2:$E156)&lt;20,"",SLOPE($E$57:$E$156,$F$57:$F$156))</f>
        <v>0</v>
      </c>
      <c r="BB156">
        <f>IF(COUNT($E$2:$E156)&lt;20,"",INTERCEPT($E$57:$E$156,$F$57:$F$156))</f>
        <v>0</v>
      </c>
      <c r="BC156">
        <f>IF(OR(BA156="",BB156=""),"",BB156+BA156*F156)</f>
        <v>0</v>
      </c>
      <c r="BD156">
        <f>IF(COUNT($E$2:$E156)&lt;20,"",STEYX($E$57:$E$156,$F$57:$F$156))</f>
        <v>0</v>
      </c>
      <c r="BE156">
        <f>IF($E156="","",IF(AND(COUNT($E$157:$E$160)&gt;=4,$C156=MAX($C$152:$C$160)),$C156,""))</f>
        <v>0</v>
      </c>
      <c r="BF156">
        <f>IF($E156="","",IF(AND(COUNT($E$157:$E$160)&gt;=4,$D156=MIN($D$152:$D$160)),$D156,""))</f>
        <v>0</v>
      </c>
      <c r="BG156">
        <f>IFERROR(SMALL(Calc_Daily!$BM$2:$BM$2001,155),"")</f>
        <v>0</v>
      </c>
    </row>
    <row r="157" spans="1:59">
      <c r="A157" s="27">
        <f>IF($BG157="","",INDEX(Calc_Daily!$A$2:$A$2001,$BG157))</f>
        <v>0</v>
      </c>
      <c r="B157">
        <f>IF($BG157="","",INDEX(Calc_Daily!$BJ$2:$BJ$2001,$BG157))</f>
        <v>0</v>
      </c>
      <c r="C157">
        <f>IF($BG157="","",INDEX(Calc_Daily!$BK$2:$BK$2001,$BG157))</f>
        <v>0</v>
      </c>
      <c r="D157">
        <f>IF($BG157="","",INDEX(Calc_Daily!$BL$2:$BL$2001,$BG157))</f>
        <v>0</v>
      </c>
      <c r="E157">
        <f>IF($BG157="","",INDEX(Calc_Daily!$E$2:$E$2001,$BG157))</f>
        <v>0</v>
      </c>
      <c r="F157">
        <f>IF($E157="","",N(F156)+1)</f>
        <v>0</v>
      </c>
      <c r="G157">
        <f>IF(OR($E157="",$E156=""),"",LN($E157/$E156))</f>
        <v>0</v>
      </c>
      <c r="H157">
        <f>IF($E157="","",IF($E156="",$E157,$E157*0.0952380952+H156*0.9047619048))</f>
        <v>0</v>
      </c>
      <c r="I157">
        <f>IF($E157="","",IF($E156="",$E157,$E157*0.0392156863+I156*0.9607843137))</f>
        <v>0</v>
      </c>
      <c r="J157">
        <f>IF($E157="","",IF($E156="",$E157,$E157*0.0198019802+J156*0.9801980198))</f>
        <v>0</v>
      </c>
      <c r="K157">
        <f>IF($E157="","",IF($E156="",$E157,$E157*0.0099502488+K156*0.9900497512))</f>
        <v>0</v>
      </c>
      <c r="L157">
        <f>IF(OR($E157="",$E156=""),"",MAX($E157-$E156,0))</f>
        <v>0</v>
      </c>
      <c r="M157">
        <f>IF(OR($E157="",$E156=""),"",MAX($E156-$E157,0))</f>
        <v>0</v>
      </c>
      <c r="N157">
        <f>IF(COUNT($E$2:$E157)&lt;15,"",IF(AVERAGE($M$144:$M$157)=0,100,100-100/(1+AVERAGE($L$144:$L$157)/AVERAGE($M$144:$M$157))))</f>
        <v>0</v>
      </c>
      <c r="O157">
        <f>IF($E157="","",IF($E156="",$E157,$E157*0.1538461538+O156*0.8461538462))</f>
        <v>0</v>
      </c>
      <c r="P157">
        <f>IF($E157="","",IF($E156="",$E157,$E157*0.0740740741+P156*0.9259259259))</f>
        <v>0</v>
      </c>
      <c r="Q157">
        <f>IF(OR(O157="",P157=""),"",O157-P157)</f>
        <v>0</v>
      </c>
      <c r="R157">
        <f>IF(Q157="","",IF(R156="",Q157,Q157*0.2000000000+R156*0.8000000000))</f>
        <v>0</v>
      </c>
      <c r="S157">
        <f>IF(OR(Q157="",R157=""),"",Q157-R157)</f>
        <v>0</v>
      </c>
      <c r="T157">
        <f>IF(COUNT($E$2:$E157)&lt;14,"",MAX($C$144:$C$157))</f>
        <v>0</v>
      </c>
      <c r="U157">
        <f>IF(COUNT($E$2:$E157)&lt;14,"",MIN($D$144:$D$157))</f>
        <v>0</v>
      </c>
      <c r="V157">
        <f>IF(OR(T157="",U157="",T157=U157),"",100*($E157-U157)/(T157-U157))</f>
        <v>0</v>
      </c>
      <c r="W157">
        <f>IF(COUNT($V$155:$V$157)&lt;3,"",AVERAGE($V$155:$V$157))</f>
        <v>0</v>
      </c>
      <c r="X157">
        <f>IF(COUNT($N$144:$N$157)&lt;14,"",MIN($N$144:$N$157))</f>
        <v>0</v>
      </c>
      <c r="Y157">
        <f>IF(COUNT($N$144:$N$157)&lt;14,"",MAX($N$144:$N$157))</f>
        <v>0</v>
      </c>
      <c r="Z157">
        <f>IF(OR(N157="",X157="",Y157="",Y157=X157),"",100*(N157-X157)/(Y157-X157))</f>
        <v>0</v>
      </c>
      <c r="AA157">
        <f>IF(COUNT($Z$155:$Z$157)&lt;3,"",AVERAGE($Z$155:$Z$157))</f>
        <v>0</v>
      </c>
      <c r="AB157">
        <f>IF(COUNT($AA$155:$AA$157)&lt;3,"",AVERAGE($AA$155:$AA$157))</f>
        <v>0</v>
      </c>
      <c r="AC157">
        <f>IF($E157="","",MAX($C157-$D157,ABS($C157-$E156),ABS($D157-$E156)))</f>
        <v>0</v>
      </c>
      <c r="AD157">
        <f>IF(COUNT($E$2:$E157)&lt;15,"",AVERAGE($AC$144:$AC$157))</f>
        <v>0</v>
      </c>
      <c r="AE157">
        <f>IF(OR($E157="",$E156=""),"",IF(AND(($C157-$C156)&gt;($D156-$D157),($C157-$C156)&gt;0),$C157-$C156,0))</f>
        <v>0</v>
      </c>
      <c r="AF157">
        <f>IF(OR($E157="",$E156=""),"",IF(AND(($D156-$D157)&gt;($C157-$C156),($D156-$D157)&gt;0),$D156-$D157,0))</f>
        <v>0</v>
      </c>
      <c r="AG157">
        <f>IF(COUNT($E$2:$E157)&lt;15,"",IF(SUM($AC$144:$AC$157)=0,0,100*SUM($AE$144:$AE$157)/SUM($AC$144:$AC$157)))</f>
        <v>0</v>
      </c>
      <c r="AH157">
        <f>IF(COUNT($E$2:$E157)&lt;15,"",IF(SUM($AC$144:$AC$157)=0,0,100*SUM($AF$144:$AF$157)/SUM($AC$144:$AC$157)))</f>
        <v>0</v>
      </c>
      <c r="AI157">
        <f>IF(OR(AG157="",AH157=""),"",IF((AG157+AH157)=0,0,100*ABS(AG157-AH157)/(AG157+AH157)))</f>
        <v>0</v>
      </c>
      <c r="AJ157">
        <f>IF(COUNT($AI$144:$AI$157)&lt;14,"",AVERAGE($AI$144:$AI$157))</f>
        <v>0</v>
      </c>
      <c r="AK157">
        <f>IF(COUNT($E$2:$E157)&lt;20,"",AVERAGE($E$138:$E$157))</f>
        <v>0</v>
      </c>
      <c r="AL157">
        <f>IF(COUNT($E$2:$E157)&lt;20,"",STDEVP($E$138:$E$157))</f>
        <v>0</v>
      </c>
      <c r="AM157">
        <f>IF(AK157="","",AK157+2*AL157)</f>
        <v>0</v>
      </c>
      <c r="AN157">
        <f>IF(AK157="","",AK157-2*AL157)</f>
        <v>0</v>
      </c>
      <c r="AO157">
        <f>IF(OR(AM157="",AN157="",AM157=AN157),"",($E157-AN157)/(AM157-AN157))</f>
        <v>0</v>
      </c>
      <c r="AP157">
        <f>IF(OR(AM157="",AK157="",AK157=0),"",(AM157-AN157)/AK157)</f>
        <v>0</v>
      </c>
      <c r="AQ157">
        <f>IF(COUNT($E$2:$E157)&lt;20,"",MAX($C$138:$C$157))</f>
        <v>0</v>
      </c>
      <c r="AR157">
        <f>IF(COUNT($E$2:$E157)&lt;20,"",MIN($D$138:$D$157))</f>
        <v>0</v>
      </c>
      <c r="AS157">
        <f>IF(OR(AQ157="",AR157=""),"",(AQ157+AR157)/2)</f>
        <v>0</v>
      </c>
      <c r="AT157">
        <f>IF(COUNT($G$138:$G$157)&lt;20,"",STDEV($G$138:$G$157)*SQRT(52))</f>
        <v>0</v>
      </c>
      <c r="AU157">
        <f>IF(COUNT($E$2:$E157)&lt;9,"",(MAX($C$149:$C$157)+MIN($D$149:$D$157))/2)</f>
        <v>0</v>
      </c>
      <c r="AV157">
        <f>IF(COUNT($E$2:$E157)&lt;26,"",(MAX($C$132:$C$157)+MIN($D$132:$D$157))/2)</f>
        <v>0</v>
      </c>
      <c r="AW157">
        <f>IF(OR(AU157="",AV157=""),"",(AU157+AV157)/2)</f>
        <v>0</v>
      </c>
      <c r="AX157">
        <f>IF(COUNT($E$2:$E157)&lt;52,"",(MAX($C$106:$C$157)+MIN($D$106:$D$157))/2)</f>
        <v>0</v>
      </c>
      <c r="AY157">
        <f>IF(COUNT($E$2:$E157)&lt;20,"",MAX($C$58:$C$157))</f>
        <v>0</v>
      </c>
      <c r="AZ157">
        <f>IF(COUNT($E$2:$E157)&lt;20,"",MIN($D$58:$D$157))</f>
        <v>0</v>
      </c>
      <c r="BA157">
        <f>IF(COUNT($E$2:$E157)&lt;20,"",SLOPE($E$58:$E$157,$F$58:$F$157))</f>
        <v>0</v>
      </c>
      <c r="BB157">
        <f>IF(COUNT($E$2:$E157)&lt;20,"",INTERCEPT($E$58:$E$157,$F$58:$F$157))</f>
        <v>0</v>
      </c>
      <c r="BC157">
        <f>IF(OR(BA157="",BB157=""),"",BB157+BA157*F157)</f>
        <v>0</v>
      </c>
      <c r="BD157">
        <f>IF(COUNT($E$2:$E157)&lt;20,"",STEYX($E$58:$E$157,$F$58:$F$157))</f>
        <v>0</v>
      </c>
      <c r="BE157">
        <f>IF($E157="","",IF(AND(COUNT($E$158:$E$161)&gt;=4,$C157=MAX($C$153:$C$161)),$C157,""))</f>
        <v>0</v>
      </c>
      <c r="BF157">
        <f>IF($E157="","",IF(AND(COUNT($E$158:$E$161)&gt;=4,$D157=MIN($D$153:$D$161)),$D157,""))</f>
        <v>0</v>
      </c>
      <c r="BG157">
        <f>IFERROR(SMALL(Calc_Daily!$BM$2:$BM$2001,156),"")</f>
        <v>0</v>
      </c>
    </row>
    <row r="158" spans="1:59">
      <c r="A158" s="27">
        <f>IF($BG158="","",INDEX(Calc_Daily!$A$2:$A$2001,$BG158))</f>
        <v>0</v>
      </c>
      <c r="B158">
        <f>IF($BG158="","",INDEX(Calc_Daily!$BJ$2:$BJ$2001,$BG158))</f>
        <v>0</v>
      </c>
      <c r="C158">
        <f>IF($BG158="","",INDEX(Calc_Daily!$BK$2:$BK$2001,$BG158))</f>
        <v>0</v>
      </c>
      <c r="D158">
        <f>IF($BG158="","",INDEX(Calc_Daily!$BL$2:$BL$2001,$BG158))</f>
        <v>0</v>
      </c>
      <c r="E158">
        <f>IF($BG158="","",INDEX(Calc_Daily!$E$2:$E$2001,$BG158))</f>
        <v>0</v>
      </c>
      <c r="F158">
        <f>IF($E158="","",N(F157)+1)</f>
        <v>0</v>
      </c>
      <c r="G158">
        <f>IF(OR($E158="",$E157=""),"",LN($E158/$E157))</f>
        <v>0</v>
      </c>
      <c r="H158">
        <f>IF($E158="","",IF($E157="",$E158,$E158*0.0952380952+H157*0.9047619048))</f>
        <v>0</v>
      </c>
      <c r="I158">
        <f>IF($E158="","",IF($E157="",$E158,$E158*0.0392156863+I157*0.9607843137))</f>
        <v>0</v>
      </c>
      <c r="J158">
        <f>IF($E158="","",IF($E157="",$E158,$E158*0.0198019802+J157*0.9801980198))</f>
        <v>0</v>
      </c>
      <c r="K158">
        <f>IF($E158="","",IF($E157="",$E158,$E158*0.0099502488+K157*0.9900497512))</f>
        <v>0</v>
      </c>
      <c r="L158">
        <f>IF(OR($E158="",$E157=""),"",MAX($E158-$E157,0))</f>
        <v>0</v>
      </c>
      <c r="M158">
        <f>IF(OR($E158="",$E157=""),"",MAX($E157-$E158,0))</f>
        <v>0</v>
      </c>
      <c r="N158">
        <f>IF(COUNT($E$2:$E158)&lt;15,"",IF(AVERAGE($M$145:$M$158)=0,100,100-100/(1+AVERAGE($L$145:$L$158)/AVERAGE($M$145:$M$158))))</f>
        <v>0</v>
      </c>
      <c r="O158">
        <f>IF($E158="","",IF($E157="",$E158,$E158*0.1538461538+O157*0.8461538462))</f>
        <v>0</v>
      </c>
      <c r="P158">
        <f>IF($E158="","",IF($E157="",$E158,$E158*0.0740740741+P157*0.9259259259))</f>
        <v>0</v>
      </c>
      <c r="Q158">
        <f>IF(OR(O158="",P158=""),"",O158-P158)</f>
        <v>0</v>
      </c>
      <c r="R158">
        <f>IF(Q158="","",IF(R157="",Q158,Q158*0.2000000000+R157*0.8000000000))</f>
        <v>0</v>
      </c>
      <c r="S158">
        <f>IF(OR(Q158="",R158=""),"",Q158-R158)</f>
        <v>0</v>
      </c>
      <c r="T158">
        <f>IF(COUNT($E$2:$E158)&lt;14,"",MAX($C$145:$C$158))</f>
        <v>0</v>
      </c>
      <c r="U158">
        <f>IF(COUNT($E$2:$E158)&lt;14,"",MIN($D$145:$D$158))</f>
        <v>0</v>
      </c>
      <c r="V158">
        <f>IF(OR(T158="",U158="",T158=U158),"",100*($E158-U158)/(T158-U158))</f>
        <v>0</v>
      </c>
      <c r="W158">
        <f>IF(COUNT($V$156:$V$158)&lt;3,"",AVERAGE($V$156:$V$158))</f>
        <v>0</v>
      </c>
      <c r="X158">
        <f>IF(COUNT($N$145:$N$158)&lt;14,"",MIN($N$145:$N$158))</f>
        <v>0</v>
      </c>
      <c r="Y158">
        <f>IF(COUNT($N$145:$N$158)&lt;14,"",MAX($N$145:$N$158))</f>
        <v>0</v>
      </c>
      <c r="Z158">
        <f>IF(OR(N158="",X158="",Y158="",Y158=X158),"",100*(N158-X158)/(Y158-X158))</f>
        <v>0</v>
      </c>
      <c r="AA158">
        <f>IF(COUNT($Z$156:$Z$158)&lt;3,"",AVERAGE($Z$156:$Z$158))</f>
        <v>0</v>
      </c>
      <c r="AB158">
        <f>IF(COUNT($AA$156:$AA$158)&lt;3,"",AVERAGE($AA$156:$AA$158))</f>
        <v>0</v>
      </c>
      <c r="AC158">
        <f>IF($E158="","",MAX($C158-$D158,ABS($C158-$E157),ABS($D158-$E157)))</f>
        <v>0</v>
      </c>
      <c r="AD158">
        <f>IF(COUNT($E$2:$E158)&lt;15,"",AVERAGE($AC$145:$AC$158))</f>
        <v>0</v>
      </c>
      <c r="AE158">
        <f>IF(OR($E158="",$E157=""),"",IF(AND(($C158-$C157)&gt;($D157-$D158),($C158-$C157)&gt;0),$C158-$C157,0))</f>
        <v>0</v>
      </c>
      <c r="AF158">
        <f>IF(OR($E158="",$E157=""),"",IF(AND(($D157-$D158)&gt;($C158-$C157),($D157-$D158)&gt;0),$D157-$D158,0))</f>
        <v>0</v>
      </c>
      <c r="AG158">
        <f>IF(COUNT($E$2:$E158)&lt;15,"",IF(SUM($AC$145:$AC$158)=0,0,100*SUM($AE$145:$AE$158)/SUM($AC$145:$AC$158)))</f>
        <v>0</v>
      </c>
      <c r="AH158">
        <f>IF(COUNT($E$2:$E158)&lt;15,"",IF(SUM($AC$145:$AC$158)=0,0,100*SUM($AF$145:$AF$158)/SUM($AC$145:$AC$158)))</f>
        <v>0</v>
      </c>
      <c r="AI158">
        <f>IF(OR(AG158="",AH158=""),"",IF((AG158+AH158)=0,0,100*ABS(AG158-AH158)/(AG158+AH158)))</f>
        <v>0</v>
      </c>
      <c r="AJ158">
        <f>IF(COUNT($AI$145:$AI$158)&lt;14,"",AVERAGE($AI$145:$AI$158))</f>
        <v>0</v>
      </c>
      <c r="AK158">
        <f>IF(COUNT($E$2:$E158)&lt;20,"",AVERAGE($E$139:$E$158))</f>
        <v>0</v>
      </c>
      <c r="AL158">
        <f>IF(COUNT($E$2:$E158)&lt;20,"",STDEVP($E$139:$E$158))</f>
        <v>0</v>
      </c>
      <c r="AM158">
        <f>IF(AK158="","",AK158+2*AL158)</f>
        <v>0</v>
      </c>
      <c r="AN158">
        <f>IF(AK158="","",AK158-2*AL158)</f>
        <v>0</v>
      </c>
      <c r="AO158">
        <f>IF(OR(AM158="",AN158="",AM158=AN158),"",($E158-AN158)/(AM158-AN158))</f>
        <v>0</v>
      </c>
      <c r="AP158">
        <f>IF(OR(AM158="",AK158="",AK158=0),"",(AM158-AN158)/AK158)</f>
        <v>0</v>
      </c>
      <c r="AQ158">
        <f>IF(COUNT($E$2:$E158)&lt;20,"",MAX($C$139:$C$158))</f>
        <v>0</v>
      </c>
      <c r="AR158">
        <f>IF(COUNT($E$2:$E158)&lt;20,"",MIN($D$139:$D$158))</f>
        <v>0</v>
      </c>
      <c r="AS158">
        <f>IF(OR(AQ158="",AR158=""),"",(AQ158+AR158)/2)</f>
        <v>0</v>
      </c>
      <c r="AT158">
        <f>IF(COUNT($G$139:$G$158)&lt;20,"",STDEV($G$139:$G$158)*SQRT(52))</f>
        <v>0</v>
      </c>
      <c r="AU158">
        <f>IF(COUNT($E$2:$E158)&lt;9,"",(MAX($C$150:$C$158)+MIN($D$150:$D$158))/2)</f>
        <v>0</v>
      </c>
      <c r="AV158">
        <f>IF(COUNT($E$2:$E158)&lt;26,"",(MAX($C$133:$C$158)+MIN($D$133:$D$158))/2)</f>
        <v>0</v>
      </c>
      <c r="AW158">
        <f>IF(OR(AU158="",AV158=""),"",(AU158+AV158)/2)</f>
        <v>0</v>
      </c>
      <c r="AX158">
        <f>IF(COUNT($E$2:$E158)&lt;52,"",(MAX($C$107:$C$158)+MIN($D$107:$D$158))/2)</f>
        <v>0</v>
      </c>
      <c r="AY158">
        <f>IF(COUNT($E$2:$E158)&lt;20,"",MAX($C$59:$C$158))</f>
        <v>0</v>
      </c>
      <c r="AZ158">
        <f>IF(COUNT($E$2:$E158)&lt;20,"",MIN($D$59:$D$158))</f>
        <v>0</v>
      </c>
      <c r="BA158">
        <f>IF(COUNT($E$2:$E158)&lt;20,"",SLOPE($E$59:$E$158,$F$59:$F$158))</f>
        <v>0</v>
      </c>
      <c r="BB158">
        <f>IF(COUNT($E$2:$E158)&lt;20,"",INTERCEPT($E$59:$E$158,$F$59:$F$158))</f>
        <v>0</v>
      </c>
      <c r="BC158">
        <f>IF(OR(BA158="",BB158=""),"",BB158+BA158*F158)</f>
        <v>0</v>
      </c>
      <c r="BD158">
        <f>IF(COUNT($E$2:$E158)&lt;20,"",STEYX($E$59:$E$158,$F$59:$F$158))</f>
        <v>0</v>
      </c>
      <c r="BE158">
        <f>IF($E158="","",IF(AND(COUNT($E$159:$E$162)&gt;=4,$C158=MAX($C$154:$C$162)),$C158,""))</f>
        <v>0</v>
      </c>
      <c r="BF158">
        <f>IF($E158="","",IF(AND(COUNT($E$159:$E$162)&gt;=4,$D158=MIN($D$154:$D$162)),$D158,""))</f>
        <v>0</v>
      </c>
      <c r="BG158">
        <f>IFERROR(SMALL(Calc_Daily!$BM$2:$BM$2001,157),"")</f>
        <v>0</v>
      </c>
    </row>
    <row r="159" spans="1:59">
      <c r="A159" s="27">
        <f>IF($BG159="","",INDEX(Calc_Daily!$A$2:$A$2001,$BG159))</f>
        <v>0</v>
      </c>
      <c r="B159">
        <f>IF($BG159="","",INDEX(Calc_Daily!$BJ$2:$BJ$2001,$BG159))</f>
        <v>0</v>
      </c>
      <c r="C159">
        <f>IF($BG159="","",INDEX(Calc_Daily!$BK$2:$BK$2001,$BG159))</f>
        <v>0</v>
      </c>
      <c r="D159">
        <f>IF($BG159="","",INDEX(Calc_Daily!$BL$2:$BL$2001,$BG159))</f>
        <v>0</v>
      </c>
      <c r="E159">
        <f>IF($BG159="","",INDEX(Calc_Daily!$E$2:$E$2001,$BG159))</f>
        <v>0</v>
      </c>
      <c r="F159">
        <f>IF($E159="","",N(F158)+1)</f>
        <v>0</v>
      </c>
      <c r="G159">
        <f>IF(OR($E159="",$E158=""),"",LN($E159/$E158))</f>
        <v>0</v>
      </c>
      <c r="H159">
        <f>IF($E159="","",IF($E158="",$E159,$E159*0.0952380952+H158*0.9047619048))</f>
        <v>0</v>
      </c>
      <c r="I159">
        <f>IF($E159="","",IF($E158="",$E159,$E159*0.0392156863+I158*0.9607843137))</f>
        <v>0</v>
      </c>
      <c r="J159">
        <f>IF($E159="","",IF($E158="",$E159,$E159*0.0198019802+J158*0.9801980198))</f>
        <v>0</v>
      </c>
      <c r="K159">
        <f>IF($E159="","",IF($E158="",$E159,$E159*0.0099502488+K158*0.9900497512))</f>
        <v>0</v>
      </c>
      <c r="L159">
        <f>IF(OR($E159="",$E158=""),"",MAX($E159-$E158,0))</f>
        <v>0</v>
      </c>
      <c r="M159">
        <f>IF(OR($E159="",$E158=""),"",MAX($E158-$E159,0))</f>
        <v>0</v>
      </c>
      <c r="N159">
        <f>IF(COUNT($E$2:$E159)&lt;15,"",IF(AVERAGE($M$146:$M$159)=0,100,100-100/(1+AVERAGE($L$146:$L$159)/AVERAGE($M$146:$M$159))))</f>
        <v>0</v>
      </c>
      <c r="O159">
        <f>IF($E159="","",IF($E158="",$E159,$E159*0.1538461538+O158*0.8461538462))</f>
        <v>0</v>
      </c>
      <c r="P159">
        <f>IF($E159="","",IF($E158="",$E159,$E159*0.0740740741+P158*0.9259259259))</f>
        <v>0</v>
      </c>
      <c r="Q159">
        <f>IF(OR(O159="",P159=""),"",O159-P159)</f>
        <v>0</v>
      </c>
      <c r="R159">
        <f>IF(Q159="","",IF(R158="",Q159,Q159*0.2000000000+R158*0.8000000000))</f>
        <v>0</v>
      </c>
      <c r="S159">
        <f>IF(OR(Q159="",R159=""),"",Q159-R159)</f>
        <v>0</v>
      </c>
      <c r="T159">
        <f>IF(COUNT($E$2:$E159)&lt;14,"",MAX($C$146:$C$159))</f>
        <v>0</v>
      </c>
      <c r="U159">
        <f>IF(COUNT($E$2:$E159)&lt;14,"",MIN($D$146:$D$159))</f>
        <v>0</v>
      </c>
      <c r="V159">
        <f>IF(OR(T159="",U159="",T159=U159),"",100*($E159-U159)/(T159-U159))</f>
        <v>0</v>
      </c>
      <c r="W159">
        <f>IF(COUNT($V$157:$V$159)&lt;3,"",AVERAGE($V$157:$V$159))</f>
        <v>0</v>
      </c>
      <c r="X159">
        <f>IF(COUNT($N$146:$N$159)&lt;14,"",MIN($N$146:$N$159))</f>
        <v>0</v>
      </c>
      <c r="Y159">
        <f>IF(COUNT($N$146:$N$159)&lt;14,"",MAX($N$146:$N$159))</f>
        <v>0</v>
      </c>
      <c r="Z159">
        <f>IF(OR(N159="",X159="",Y159="",Y159=X159),"",100*(N159-X159)/(Y159-X159))</f>
        <v>0</v>
      </c>
      <c r="AA159">
        <f>IF(COUNT($Z$157:$Z$159)&lt;3,"",AVERAGE($Z$157:$Z$159))</f>
        <v>0</v>
      </c>
      <c r="AB159">
        <f>IF(COUNT($AA$157:$AA$159)&lt;3,"",AVERAGE($AA$157:$AA$159))</f>
        <v>0</v>
      </c>
      <c r="AC159">
        <f>IF($E159="","",MAX($C159-$D159,ABS($C159-$E158),ABS($D159-$E158)))</f>
        <v>0</v>
      </c>
      <c r="AD159">
        <f>IF(COUNT($E$2:$E159)&lt;15,"",AVERAGE($AC$146:$AC$159))</f>
        <v>0</v>
      </c>
      <c r="AE159">
        <f>IF(OR($E159="",$E158=""),"",IF(AND(($C159-$C158)&gt;($D158-$D159),($C159-$C158)&gt;0),$C159-$C158,0))</f>
        <v>0</v>
      </c>
      <c r="AF159">
        <f>IF(OR($E159="",$E158=""),"",IF(AND(($D158-$D159)&gt;($C159-$C158),($D158-$D159)&gt;0),$D158-$D159,0))</f>
        <v>0</v>
      </c>
      <c r="AG159">
        <f>IF(COUNT($E$2:$E159)&lt;15,"",IF(SUM($AC$146:$AC$159)=0,0,100*SUM($AE$146:$AE$159)/SUM($AC$146:$AC$159)))</f>
        <v>0</v>
      </c>
      <c r="AH159">
        <f>IF(COUNT($E$2:$E159)&lt;15,"",IF(SUM($AC$146:$AC$159)=0,0,100*SUM($AF$146:$AF$159)/SUM($AC$146:$AC$159)))</f>
        <v>0</v>
      </c>
      <c r="AI159">
        <f>IF(OR(AG159="",AH159=""),"",IF((AG159+AH159)=0,0,100*ABS(AG159-AH159)/(AG159+AH159)))</f>
        <v>0</v>
      </c>
      <c r="AJ159">
        <f>IF(COUNT($AI$146:$AI$159)&lt;14,"",AVERAGE($AI$146:$AI$159))</f>
        <v>0</v>
      </c>
      <c r="AK159">
        <f>IF(COUNT($E$2:$E159)&lt;20,"",AVERAGE($E$140:$E$159))</f>
        <v>0</v>
      </c>
      <c r="AL159">
        <f>IF(COUNT($E$2:$E159)&lt;20,"",STDEVP($E$140:$E$159))</f>
        <v>0</v>
      </c>
      <c r="AM159">
        <f>IF(AK159="","",AK159+2*AL159)</f>
        <v>0</v>
      </c>
      <c r="AN159">
        <f>IF(AK159="","",AK159-2*AL159)</f>
        <v>0</v>
      </c>
      <c r="AO159">
        <f>IF(OR(AM159="",AN159="",AM159=AN159),"",($E159-AN159)/(AM159-AN159))</f>
        <v>0</v>
      </c>
      <c r="AP159">
        <f>IF(OR(AM159="",AK159="",AK159=0),"",(AM159-AN159)/AK159)</f>
        <v>0</v>
      </c>
      <c r="AQ159">
        <f>IF(COUNT($E$2:$E159)&lt;20,"",MAX($C$140:$C$159))</f>
        <v>0</v>
      </c>
      <c r="AR159">
        <f>IF(COUNT($E$2:$E159)&lt;20,"",MIN($D$140:$D$159))</f>
        <v>0</v>
      </c>
      <c r="AS159">
        <f>IF(OR(AQ159="",AR159=""),"",(AQ159+AR159)/2)</f>
        <v>0</v>
      </c>
      <c r="AT159">
        <f>IF(COUNT($G$140:$G$159)&lt;20,"",STDEV($G$140:$G$159)*SQRT(52))</f>
        <v>0</v>
      </c>
      <c r="AU159">
        <f>IF(COUNT($E$2:$E159)&lt;9,"",(MAX($C$151:$C$159)+MIN($D$151:$D$159))/2)</f>
        <v>0</v>
      </c>
      <c r="AV159">
        <f>IF(COUNT($E$2:$E159)&lt;26,"",(MAX($C$134:$C$159)+MIN($D$134:$D$159))/2)</f>
        <v>0</v>
      </c>
      <c r="AW159">
        <f>IF(OR(AU159="",AV159=""),"",(AU159+AV159)/2)</f>
        <v>0</v>
      </c>
      <c r="AX159">
        <f>IF(COUNT($E$2:$E159)&lt;52,"",(MAX($C$108:$C$159)+MIN($D$108:$D$159))/2)</f>
        <v>0</v>
      </c>
      <c r="AY159">
        <f>IF(COUNT($E$2:$E159)&lt;20,"",MAX($C$60:$C$159))</f>
        <v>0</v>
      </c>
      <c r="AZ159">
        <f>IF(COUNT($E$2:$E159)&lt;20,"",MIN($D$60:$D$159))</f>
        <v>0</v>
      </c>
      <c r="BA159">
        <f>IF(COUNT($E$2:$E159)&lt;20,"",SLOPE($E$60:$E$159,$F$60:$F$159))</f>
        <v>0</v>
      </c>
      <c r="BB159">
        <f>IF(COUNT($E$2:$E159)&lt;20,"",INTERCEPT($E$60:$E$159,$F$60:$F$159))</f>
        <v>0</v>
      </c>
      <c r="BC159">
        <f>IF(OR(BA159="",BB159=""),"",BB159+BA159*F159)</f>
        <v>0</v>
      </c>
      <c r="BD159">
        <f>IF(COUNT($E$2:$E159)&lt;20,"",STEYX($E$60:$E$159,$F$60:$F$159))</f>
        <v>0</v>
      </c>
      <c r="BE159">
        <f>IF($E159="","",IF(AND(COUNT($E$160:$E$163)&gt;=4,$C159=MAX($C$155:$C$163)),$C159,""))</f>
        <v>0</v>
      </c>
      <c r="BF159">
        <f>IF($E159="","",IF(AND(COUNT($E$160:$E$163)&gt;=4,$D159=MIN($D$155:$D$163)),$D159,""))</f>
        <v>0</v>
      </c>
      <c r="BG159">
        <f>IFERROR(SMALL(Calc_Daily!$BM$2:$BM$2001,158),"")</f>
        <v>0</v>
      </c>
    </row>
    <row r="160" spans="1:59">
      <c r="A160" s="27">
        <f>IF($BG160="","",INDEX(Calc_Daily!$A$2:$A$2001,$BG160))</f>
        <v>0</v>
      </c>
      <c r="B160">
        <f>IF($BG160="","",INDEX(Calc_Daily!$BJ$2:$BJ$2001,$BG160))</f>
        <v>0</v>
      </c>
      <c r="C160">
        <f>IF($BG160="","",INDEX(Calc_Daily!$BK$2:$BK$2001,$BG160))</f>
        <v>0</v>
      </c>
      <c r="D160">
        <f>IF($BG160="","",INDEX(Calc_Daily!$BL$2:$BL$2001,$BG160))</f>
        <v>0</v>
      </c>
      <c r="E160">
        <f>IF($BG160="","",INDEX(Calc_Daily!$E$2:$E$2001,$BG160))</f>
        <v>0</v>
      </c>
      <c r="F160">
        <f>IF($E160="","",N(F159)+1)</f>
        <v>0</v>
      </c>
      <c r="G160">
        <f>IF(OR($E160="",$E159=""),"",LN($E160/$E159))</f>
        <v>0</v>
      </c>
      <c r="H160">
        <f>IF($E160="","",IF($E159="",$E160,$E160*0.0952380952+H159*0.9047619048))</f>
        <v>0</v>
      </c>
      <c r="I160">
        <f>IF($E160="","",IF($E159="",$E160,$E160*0.0392156863+I159*0.9607843137))</f>
        <v>0</v>
      </c>
      <c r="J160">
        <f>IF($E160="","",IF($E159="",$E160,$E160*0.0198019802+J159*0.9801980198))</f>
        <v>0</v>
      </c>
      <c r="K160">
        <f>IF($E160="","",IF($E159="",$E160,$E160*0.0099502488+K159*0.9900497512))</f>
        <v>0</v>
      </c>
      <c r="L160">
        <f>IF(OR($E160="",$E159=""),"",MAX($E160-$E159,0))</f>
        <v>0</v>
      </c>
      <c r="M160">
        <f>IF(OR($E160="",$E159=""),"",MAX($E159-$E160,0))</f>
        <v>0</v>
      </c>
      <c r="N160">
        <f>IF(COUNT($E$2:$E160)&lt;15,"",IF(AVERAGE($M$147:$M$160)=0,100,100-100/(1+AVERAGE($L$147:$L$160)/AVERAGE($M$147:$M$160))))</f>
        <v>0</v>
      </c>
      <c r="O160">
        <f>IF($E160="","",IF($E159="",$E160,$E160*0.1538461538+O159*0.8461538462))</f>
        <v>0</v>
      </c>
      <c r="P160">
        <f>IF($E160="","",IF($E159="",$E160,$E160*0.0740740741+P159*0.9259259259))</f>
        <v>0</v>
      </c>
      <c r="Q160">
        <f>IF(OR(O160="",P160=""),"",O160-P160)</f>
        <v>0</v>
      </c>
      <c r="R160">
        <f>IF(Q160="","",IF(R159="",Q160,Q160*0.2000000000+R159*0.8000000000))</f>
        <v>0</v>
      </c>
      <c r="S160">
        <f>IF(OR(Q160="",R160=""),"",Q160-R160)</f>
        <v>0</v>
      </c>
      <c r="T160">
        <f>IF(COUNT($E$2:$E160)&lt;14,"",MAX($C$147:$C$160))</f>
        <v>0</v>
      </c>
      <c r="U160">
        <f>IF(COUNT($E$2:$E160)&lt;14,"",MIN($D$147:$D$160))</f>
        <v>0</v>
      </c>
      <c r="V160">
        <f>IF(OR(T160="",U160="",T160=U160),"",100*($E160-U160)/(T160-U160))</f>
        <v>0</v>
      </c>
      <c r="W160">
        <f>IF(COUNT($V$158:$V$160)&lt;3,"",AVERAGE($V$158:$V$160))</f>
        <v>0</v>
      </c>
      <c r="X160">
        <f>IF(COUNT($N$147:$N$160)&lt;14,"",MIN($N$147:$N$160))</f>
        <v>0</v>
      </c>
      <c r="Y160">
        <f>IF(COUNT($N$147:$N$160)&lt;14,"",MAX($N$147:$N$160))</f>
        <v>0</v>
      </c>
      <c r="Z160">
        <f>IF(OR(N160="",X160="",Y160="",Y160=X160),"",100*(N160-X160)/(Y160-X160))</f>
        <v>0</v>
      </c>
      <c r="AA160">
        <f>IF(COUNT($Z$158:$Z$160)&lt;3,"",AVERAGE($Z$158:$Z$160))</f>
        <v>0</v>
      </c>
      <c r="AB160">
        <f>IF(COUNT($AA$158:$AA$160)&lt;3,"",AVERAGE($AA$158:$AA$160))</f>
        <v>0</v>
      </c>
      <c r="AC160">
        <f>IF($E160="","",MAX($C160-$D160,ABS($C160-$E159),ABS($D160-$E159)))</f>
        <v>0</v>
      </c>
      <c r="AD160">
        <f>IF(COUNT($E$2:$E160)&lt;15,"",AVERAGE($AC$147:$AC$160))</f>
        <v>0</v>
      </c>
      <c r="AE160">
        <f>IF(OR($E160="",$E159=""),"",IF(AND(($C160-$C159)&gt;($D159-$D160),($C160-$C159)&gt;0),$C160-$C159,0))</f>
        <v>0</v>
      </c>
      <c r="AF160">
        <f>IF(OR($E160="",$E159=""),"",IF(AND(($D159-$D160)&gt;($C160-$C159),($D159-$D160)&gt;0),$D159-$D160,0))</f>
        <v>0</v>
      </c>
      <c r="AG160">
        <f>IF(COUNT($E$2:$E160)&lt;15,"",IF(SUM($AC$147:$AC$160)=0,0,100*SUM($AE$147:$AE$160)/SUM($AC$147:$AC$160)))</f>
        <v>0</v>
      </c>
      <c r="AH160">
        <f>IF(COUNT($E$2:$E160)&lt;15,"",IF(SUM($AC$147:$AC$160)=0,0,100*SUM($AF$147:$AF$160)/SUM($AC$147:$AC$160)))</f>
        <v>0</v>
      </c>
      <c r="AI160">
        <f>IF(OR(AG160="",AH160=""),"",IF((AG160+AH160)=0,0,100*ABS(AG160-AH160)/(AG160+AH160)))</f>
        <v>0</v>
      </c>
      <c r="AJ160">
        <f>IF(COUNT($AI$147:$AI$160)&lt;14,"",AVERAGE($AI$147:$AI$160))</f>
        <v>0</v>
      </c>
      <c r="AK160">
        <f>IF(COUNT($E$2:$E160)&lt;20,"",AVERAGE($E$141:$E$160))</f>
        <v>0</v>
      </c>
      <c r="AL160">
        <f>IF(COUNT($E$2:$E160)&lt;20,"",STDEVP($E$141:$E$160))</f>
        <v>0</v>
      </c>
      <c r="AM160">
        <f>IF(AK160="","",AK160+2*AL160)</f>
        <v>0</v>
      </c>
      <c r="AN160">
        <f>IF(AK160="","",AK160-2*AL160)</f>
        <v>0</v>
      </c>
      <c r="AO160">
        <f>IF(OR(AM160="",AN160="",AM160=AN160),"",($E160-AN160)/(AM160-AN160))</f>
        <v>0</v>
      </c>
      <c r="AP160">
        <f>IF(OR(AM160="",AK160="",AK160=0),"",(AM160-AN160)/AK160)</f>
        <v>0</v>
      </c>
      <c r="AQ160">
        <f>IF(COUNT($E$2:$E160)&lt;20,"",MAX($C$141:$C$160))</f>
        <v>0</v>
      </c>
      <c r="AR160">
        <f>IF(COUNT($E$2:$E160)&lt;20,"",MIN($D$141:$D$160))</f>
        <v>0</v>
      </c>
      <c r="AS160">
        <f>IF(OR(AQ160="",AR160=""),"",(AQ160+AR160)/2)</f>
        <v>0</v>
      </c>
      <c r="AT160">
        <f>IF(COUNT($G$141:$G$160)&lt;20,"",STDEV($G$141:$G$160)*SQRT(52))</f>
        <v>0</v>
      </c>
      <c r="AU160">
        <f>IF(COUNT($E$2:$E160)&lt;9,"",(MAX($C$152:$C$160)+MIN($D$152:$D$160))/2)</f>
        <v>0</v>
      </c>
      <c r="AV160">
        <f>IF(COUNT($E$2:$E160)&lt;26,"",(MAX($C$135:$C$160)+MIN($D$135:$D$160))/2)</f>
        <v>0</v>
      </c>
      <c r="AW160">
        <f>IF(OR(AU160="",AV160=""),"",(AU160+AV160)/2)</f>
        <v>0</v>
      </c>
      <c r="AX160">
        <f>IF(COUNT($E$2:$E160)&lt;52,"",(MAX($C$109:$C$160)+MIN($D$109:$D$160))/2)</f>
        <v>0</v>
      </c>
      <c r="AY160">
        <f>IF(COUNT($E$2:$E160)&lt;20,"",MAX($C$61:$C$160))</f>
        <v>0</v>
      </c>
      <c r="AZ160">
        <f>IF(COUNT($E$2:$E160)&lt;20,"",MIN($D$61:$D$160))</f>
        <v>0</v>
      </c>
      <c r="BA160">
        <f>IF(COUNT($E$2:$E160)&lt;20,"",SLOPE($E$61:$E$160,$F$61:$F$160))</f>
        <v>0</v>
      </c>
      <c r="BB160">
        <f>IF(COUNT($E$2:$E160)&lt;20,"",INTERCEPT($E$61:$E$160,$F$61:$F$160))</f>
        <v>0</v>
      </c>
      <c r="BC160">
        <f>IF(OR(BA160="",BB160=""),"",BB160+BA160*F160)</f>
        <v>0</v>
      </c>
      <c r="BD160">
        <f>IF(COUNT($E$2:$E160)&lt;20,"",STEYX($E$61:$E$160,$F$61:$F$160))</f>
        <v>0</v>
      </c>
      <c r="BE160">
        <f>IF($E160="","",IF(AND(COUNT($E$161:$E$164)&gt;=4,$C160=MAX($C$156:$C$164)),$C160,""))</f>
        <v>0</v>
      </c>
      <c r="BF160">
        <f>IF($E160="","",IF(AND(COUNT($E$161:$E$164)&gt;=4,$D160=MIN($D$156:$D$164)),$D160,""))</f>
        <v>0</v>
      </c>
      <c r="BG160">
        <f>IFERROR(SMALL(Calc_Daily!$BM$2:$BM$2001,159),"")</f>
        <v>0</v>
      </c>
    </row>
    <row r="161" spans="1:59">
      <c r="A161" s="27">
        <f>IF($BG161="","",INDEX(Calc_Daily!$A$2:$A$2001,$BG161))</f>
        <v>0</v>
      </c>
      <c r="B161">
        <f>IF($BG161="","",INDEX(Calc_Daily!$BJ$2:$BJ$2001,$BG161))</f>
        <v>0</v>
      </c>
      <c r="C161">
        <f>IF($BG161="","",INDEX(Calc_Daily!$BK$2:$BK$2001,$BG161))</f>
        <v>0</v>
      </c>
      <c r="D161">
        <f>IF($BG161="","",INDEX(Calc_Daily!$BL$2:$BL$2001,$BG161))</f>
        <v>0</v>
      </c>
      <c r="E161">
        <f>IF($BG161="","",INDEX(Calc_Daily!$E$2:$E$2001,$BG161))</f>
        <v>0</v>
      </c>
      <c r="F161">
        <f>IF($E161="","",N(F160)+1)</f>
        <v>0</v>
      </c>
      <c r="G161">
        <f>IF(OR($E161="",$E160=""),"",LN($E161/$E160))</f>
        <v>0</v>
      </c>
      <c r="H161">
        <f>IF($E161="","",IF($E160="",$E161,$E161*0.0952380952+H160*0.9047619048))</f>
        <v>0</v>
      </c>
      <c r="I161">
        <f>IF($E161="","",IF($E160="",$E161,$E161*0.0392156863+I160*0.9607843137))</f>
        <v>0</v>
      </c>
      <c r="J161">
        <f>IF($E161="","",IF($E160="",$E161,$E161*0.0198019802+J160*0.9801980198))</f>
        <v>0</v>
      </c>
      <c r="K161">
        <f>IF($E161="","",IF($E160="",$E161,$E161*0.0099502488+K160*0.9900497512))</f>
        <v>0</v>
      </c>
      <c r="L161">
        <f>IF(OR($E161="",$E160=""),"",MAX($E161-$E160,0))</f>
        <v>0</v>
      </c>
      <c r="M161">
        <f>IF(OR($E161="",$E160=""),"",MAX($E160-$E161,0))</f>
        <v>0</v>
      </c>
      <c r="N161">
        <f>IF(COUNT($E$2:$E161)&lt;15,"",IF(AVERAGE($M$148:$M$161)=0,100,100-100/(1+AVERAGE($L$148:$L$161)/AVERAGE($M$148:$M$161))))</f>
        <v>0</v>
      </c>
      <c r="O161">
        <f>IF($E161="","",IF($E160="",$E161,$E161*0.1538461538+O160*0.8461538462))</f>
        <v>0</v>
      </c>
      <c r="P161">
        <f>IF($E161="","",IF($E160="",$E161,$E161*0.0740740741+P160*0.9259259259))</f>
        <v>0</v>
      </c>
      <c r="Q161">
        <f>IF(OR(O161="",P161=""),"",O161-P161)</f>
        <v>0</v>
      </c>
      <c r="R161">
        <f>IF(Q161="","",IF(R160="",Q161,Q161*0.2000000000+R160*0.8000000000))</f>
        <v>0</v>
      </c>
      <c r="S161">
        <f>IF(OR(Q161="",R161=""),"",Q161-R161)</f>
        <v>0</v>
      </c>
      <c r="T161">
        <f>IF(COUNT($E$2:$E161)&lt;14,"",MAX($C$148:$C$161))</f>
        <v>0</v>
      </c>
      <c r="U161">
        <f>IF(COUNT($E$2:$E161)&lt;14,"",MIN($D$148:$D$161))</f>
        <v>0</v>
      </c>
      <c r="V161">
        <f>IF(OR(T161="",U161="",T161=U161),"",100*($E161-U161)/(T161-U161))</f>
        <v>0</v>
      </c>
      <c r="W161">
        <f>IF(COUNT($V$159:$V$161)&lt;3,"",AVERAGE($V$159:$V$161))</f>
        <v>0</v>
      </c>
      <c r="X161">
        <f>IF(COUNT($N$148:$N$161)&lt;14,"",MIN($N$148:$N$161))</f>
        <v>0</v>
      </c>
      <c r="Y161">
        <f>IF(COUNT($N$148:$N$161)&lt;14,"",MAX($N$148:$N$161))</f>
        <v>0</v>
      </c>
      <c r="Z161">
        <f>IF(OR(N161="",X161="",Y161="",Y161=X161),"",100*(N161-X161)/(Y161-X161))</f>
        <v>0</v>
      </c>
      <c r="AA161">
        <f>IF(COUNT($Z$159:$Z$161)&lt;3,"",AVERAGE($Z$159:$Z$161))</f>
        <v>0</v>
      </c>
      <c r="AB161">
        <f>IF(COUNT($AA$159:$AA$161)&lt;3,"",AVERAGE($AA$159:$AA$161))</f>
        <v>0</v>
      </c>
      <c r="AC161">
        <f>IF($E161="","",MAX($C161-$D161,ABS($C161-$E160),ABS($D161-$E160)))</f>
        <v>0</v>
      </c>
      <c r="AD161">
        <f>IF(COUNT($E$2:$E161)&lt;15,"",AVERAGE($AC$148:$AC$161))</f>
        <v>0</v>
      </c>
      <c r="AE161">
        <f>IF(OR($E161="",$E160=""),"",IF(AND(($C161-$C160)&gt;($D160-$D161),($C161-$C160)&gt;0),$C161-$C160,0))</f>
        <v>0</v>
      </c>
      <c r="AF161">
        <f>IF(OR($E161="",$E160=""),"",IF(AND(($D160-$D161)&gt;($C161-$C160),($D160-$D161)&gt;0),$D160-$D161,0))</f>
        <v>0</v>
      </c>
      <c r="AG161">
        <f>IF(COUNT($E$2:$E161)&lt;15,"",IF(SUM($AC$148:$AC$161)=0,0,100*SUM($AE$148:$AE$161)/SUM($AC$148:$AC$161)))</f>
        <v>0</v>
      </c>
      <c r="AH161">
        <f>IF(COUNT($E$2:$E161)&lt;15,"",IF(SUM($AC$148:$AC$161)=0,0,100*SUM($AF$148:$AF$161)/SUM($AC$148:$AC$161)))</f>
        <v>0</v>
      </c>
      <c r="AI161">
        <f>IF(OR(AG161="",AH161=""),"",IF((AG161+AH161)=0,0,100*ABS(AG161-AH161)/(AG161+AH161)))</f>
        <v>0</v>
      </c>
      <c r="AJ161">
        <f>IF(COUNT($AI$148:$AI$161)&lt;14,"",AVERAGE($AI$148:$AI$161))</f>
        <v>0</v>
      </c>
      <c r="AK161">
        <f>IF(COUNT($E$2:$E161)&lt;20,"",AVERAGE($E$142:$E$161))</f>
        <v>0</v>
      </c>
      <c r="AL161">
        <f>IF(COUNT($E$2:$E161)&lt;20,"",STDEVP($E$142:$E$161))</f>
        <v>0</v>
      </c>
      <c r="AM161">
        <f>IF(AK161="","",AK161+2*AL161)</f>
        <v>0</v>
      </c>
      <c r="AN161">
        <f>IF(AK161="","",AK161-2*AL161)</f>
        <v>0</v>
      </c>
      <c r="AO161">
        <f>IF(OR(AM161="",AN161="",AM161=AN161),"",($E161-AN161)/(AM161-AN161))</f>
        <v>0</v>
      </c>
      <c r="AP161">
        <f>IF(OR(AM161="",AK161="",AK161=0),"",(AM161-AN161)/AK161)</f>
        <v>0</v>
      </c>
      <c r="AQ161">
        <f>IF(COUNT($E$2:$E161)&lt;20,"",MAX($C$142:$C$161))</f>
        <v>0</v>
      </c>
      <c r="AR161">
        <f>IF(COUNT($E$2:$E161)&lt;20,"",MIN($D$142:$D$161))</f>
        <v>0</v>
      </c>
      <c r="AS161">
        <f>IF(OR(AQ161="",AR161=""),"",(AQ161+AR161)/2)</f>
        <v>0</v>
      </c>
      <c r="AT161">
        <f>IF(COUNT($G$142:$G$161)&lt;20,"",STDEV($G$142:$G$161)*SQRT(52))</f>
        <v>0</v>
      </c>
      <c r="AU161">
        <f>IF(COUNT($E$2:$E161)&lt;9,"",(MAX($C$153:$C$161)+MIN($D$153:$D$161))/2)</f>
        <v>0</v>
      </c>
      <c r="AV161">
        <f>IF(COUNT($E$2:$E161)&lt;26,"",(MAX($C$136:$C$161)+MIN($D$136:$D$161))/2)</f>
        <v>0</v>
      </c>
      <c r="AW161">
        <f>IF(OR(AU161="",AV161=""),"",(AU161+AV161)/2)</f>
        <v>0</v>
      </c>
      <c r="AX161">
        <f>IF(COUNT($E$2:$E161)&lt;52,"",(MAX($C$110:$C$161)+MIN($D$110:$D$161))/2)</f>
        <v>0</v>
      </c>
      <c r="AY161">
        <f>IF(COUNT($E$2:$E161)&lt;20,"",MAX($C$62:$C$161))</f>
        <v>0</v>
      </c>
      <c r="AZ161">
        <f>IF(COUNT($E$2:$E161)&lt;20,"",MIN($D$62:$D$161))</f>
        <v>0</v>
      </c>
      <c r="BA161">
        <f>IF(COUNT($E$2:$E161)&lt;20,"",SLOPE($E$62:$E$161,$F$62:$F$161))</f>
        <v>0</v>
      </c>
      <c r="BB161">
        <f>IF(COUNT($E$2:$E161)&lt;20,"",INTERCEPT($E$62:$E$161,$F$62:$F$161))</f>
        <v>0</v>
      </c>
      <c r="BC161">
        <f>IF(OR(BA161="",BB161=""),"",BB161+BA161*F161)</f>
        <v>0</v>
      </c>
      <c r="BD161">
        <f>IF(COUNT($E$2:$E161)&lt;20,"",STEYX($E$62:$E$161,$F$62:$F$161))</f>
        <v>0</v>
      </c>
      <c r="BE161">
        <f>IF($E161="","",IF(AND(COUNT($E$162:$E$165)&gt;=4,$C161=MAX($C$157:$C$165)),$C161,""))</f>
        <v>0</v>
      </c>
      <c r="BF161">
        <f>IF($E161="","",IF(AND(COUNT($E$162:$E$165)&gt;=4,$D161=MIN($D$157:$D$165)),$D161,""))</f>
        <v>0</v>
      </c>
      <c r="BG161">
        <f>IFERROR(SMALL(Calc_Daily!$BM$2:$BM$2001,160),"")</f>
        <v>0</v>
      </c>
    </row>
    <row r="162" spans="1:59">
      <c r="A162" s="27">
        <f>IF($BG162="","",INDEX(Calc_Daily!$A$2:$A$2001,$BG162))</f>
        <v>0</v>
      </c>
      <c r="B162">
        <f>IF($BG162="","",INDEX(Calc_Daily!$BJ$2:$BJ$2001,$BG162))</f>
        <v>0</v>
      </c>
      <c r="C162">
        <f>IF($BG162="","",INDEX(Calc_Daily!$BK$2:$BK$2001,$BG162))</f>
        <v>0</v>
      </c>
      <c r="D162">
        <f>IF($BG162="","",INDEX(Calc_Daily!$BL$2:$BL$2001,$BG162))</f>
        <v>0</v>
      </c>
      <c r="E162">
        <f>IF($BG162="","",INDEX(Calc_Daily!$E$2:$E$2001,$BG162))</f>
        <v>0</v>
      </c>
      <c r="F162">
        <f>IF($E162="","",N(F161)+1)</f>
        <v>0</v>
      </c>
      <c r="G162">
        <f>IF(OR($E162="",$E161=""),"",LN($E162/$E161))</f>
        <v>0</v>
      </c>
      <c r="H162">
        <f>IF($E162="","",IF($E161="",$E162,$E162*0.0952380952+H161*0.9047619048))</f>
        <v>0</v>
      </c>
      <c r="I162">
        <f>IF($E162="","",IF($E161="",$E162,$E162*0.0392156863+I161*0.9607843137))</f>
        <v>0</v>
      </c>
      <c r="J162">
        <f>IF($E162="","",IF($E161="",$E162,$E162*0.0198019802+J161*0.9801980198))</f>
        <v>0</v>
      </c>
      <c r="K162">
        <f>IF($E162="","",IF($E161="",$E162,$E162*0.0099502488+K161*0.9900497512))</f>
        <v>0</v>
      </c>
      <c r="L162">
        <f>IF(OR($E162="",$E161=""),"",MAX($E162-$E161,0))</f>
        <v>0</v>
      </c>
      <c r="M162">
        <f>IF(OR($E162="",$E161=""),"",MAX($E161-$E162,0))</f>
        <v>0</v>
      </c>
      <c r="N162">
        <f>IF(COUNT($E$2:$E162)&lt;15,"",IF(AVERAGE($M$149:$M$162)=0,100,100-100/(1+AVERAGE($L$149:$L$162)/AVERAGE($M$149:$M$162))))</f>
        <v>0</v>
      </c>
      <c r="O162">
        <f>IF($E162="","",IF($E161="",$E162,$E162*0.1538461538+O161*0.8461538462))</f>
        <v>0</v>
      </c>
      <c r="P162">
        <f>IF($E162="","",IF($E161="",$E162,$E162*0.0740740741+P161*0.9259259259))</f>
        <v>0</v>
      </c>
      <c r="Q162">
        <f>IF(OR(O162="",P162=""),"",O162-P162)</f>
        <v>0</v>
      </c>
      <c r="R162">
        <f>IF(Q162="","",IF(R161="",Q162,Q162*0.2000000000+R161*0.8000000000))</f>
        <v>0</v>
      </c>
      <c r="S162">
        <f>IF(OR(Q162="",R162=""),"",Q162-R162)</f>
        <v>0</v>
      </c>
      <c r="T162">
        <f>IF(COUNT($E$2:$E162)&lt;14,"",MAX($C$149:$C$162))</f>
        <v>0</v>
      </c>
      <c r="U162">
        <f>IF(COUNT($E$2:$E162)&lt;14,"",MIN($D$149:$D$162))</f>
        <v>0</v>
      </c>
      <c r="V162">
        <f>IF(OR(T162="",U162="",T162=U162),"",100*($E162-U162)/(T162-U162))</f>
        <v>0</v>
      </c>
      <c r="W162">
        <f>IF(COUNT($V$160:$V$162)&lt;3,"",AVERAGE($V$160:$V$162))</f>
        <v>0</v>
      </c>
      <c r="X162">
        <f>IF(COUNT($N$149:$N$162)&lt;14,"",MIN($N$149:$N$162))</f>
        <v>0</v>
      </c>
      <c r="Y162">
        <f>IF(COUNT($N$149:$N$162)&lt;14,"",MAX($N$149:$N$162))</f>
        <v>0</v>
      </c>
      <c r="Z162">
        <f>IF(OR(N162="",X162="",Y162="",Y162=X162),"",100*(N162-X162)/(Y162-X162))</f>
        <v>0</v>
      </c>
      <c r="AA162">
        <f>IF(COUNT($Z$160:$Z$162)&lt;3,"",AVERAGE($Z$160:$Z$162))</f>
        <v>0</v>
      </c>
      <c r="AB162">
        <f>IF(COUNT($AA$160:$AA$162)&lt;3,"",AVERAGE($AA$160:$AA$162))</f>
        <v>0</v>
      </c>
      <c r="AC162">
        <f>IF($E162="","",MAX($C162-$D162,ABS($C162-$E161),ABS($D162-$E161)))</f>
        <v>0</v>
      </c>
      <c r="AD162">
        <f>IF(COUNT($E$2:$E162)&lt;15,"",AVERAGE($AC$149:$AC$162))</f>
        <v>0</v>
      </c>
      <c r="AE162">
        <f>IF(OR($E162="",$E161=""),"",IF(AND(($C162-$C161)&gt;($D161-$D162),($C162-$C161)&gt;0),$C162-$C161,0))</f>
        <v>0</v>
      </c>
      <c r="AF162">
        <f>IF(OR($E162="",$E161=""),"",IF(AND(($D161-$D162)&gt;($C162-$C161),($D161-$D162)&gt;0),$D161-$D162,0))</f>
        <v>0</v>
      </c>
      <c r="AG162">
        <f>IF(COUNT($E$2:$E162)&lt;15,"",IF(SUM($AC$149:$AC$162)=0,0,100*SUM($AE$149:$AE$162)/SUM($AC$149:$AC$162)))</f>
        <v>0</v>
      </c>
      <c r="AH162">
        <f>IF(COUNT($E$2:$E162)&lt;15,"",IF(SUM($AC$149:$AC$162)=0,0,100*SUM($AF$149:$AF$162)/SUM($AC$149:$AC$162)))</f>
        <v>0</v>
      </c>
      <c r="AI162">
        <f>IF(OR(AG162="",AH162=""),"",IF((AG162+AH162)=0,0,100*ABS(AG162-AH162)/(AG162+AH162)))</f>
        <v>0</v>
      </c>
      <c r="AJ162">
        <f>IF(COUNT($AI$149:$AI$162)&lt;14,"",AVERAGE($AI$149:$AI$162))</f>
        <v>0</v>
      </c>
      <c r="AK162">
        <f>IF(COUNT($E$2:$E162)&lt;20,"",AVERAGE($E$143:$E$162))</f>
        <v>0</v>
      </c>
      <c r="AL162">
        <f>IF(COUNT($E$2:$E162)&lt;20,"",STDEVP($E$143:$E$162))</f>
        <v>0</v>
      </c>
      <c r="AM162">
        <f>IF(AK162="","",AK162+2*AL162)</f>
        <v>0</v>
      </c>
      <c r="AN162">
        <f>IF(AK162="","",AK162-2*AL162)</f>
        <v>0</v>
      </c>
      <c r="AO162">
        <f>IF(OR(AM162="",AN162="",AM162=AN162),"",($E162-AN162)/(AM162-AN162))</f>
        <v>0</v>
      </c>
      <c r="AP162">
        <f>IF(OR(AM162="",AK162="",AK162=0),"",(AM162-AN162)/AK162)</f>
        <v>0</v>
      </c>
      <c r="AQ162">
        <f>IF(COUNT($E$2:$E162)&lt;20,"",MAX($C$143:$C$162))</f>
        <v>0</v>
      </c>
      <c r="AR162">
        <f>IF(COUNT($E$2:$E162)&lt;20,"",MIN($D$143:$D$162))</f>
        <v>0</v>
      </c>
      <c r="AS162">
        <f>IF(OR(AQ162="",AR162=""),"",(AQ162+AR162)/2)</f>
        <v>0</v>
      </c>
      <c r="AT162">
        <f>IF(COUNT($G$143:$G$162)&lt;20,"",STDEV($G$143:$G$162)*SQRT(52))</f>
        <v>0</v>
      </c>
      <c r="AU162">
        <f>IF(COUNT($E$2:$E162)&lt;9,"",(MAX($C$154:$C$162)+MIN($D$154:$D$162))/2)</f>
        <v>0</v>
      </c>
      <c r="AV162">
        <f>IF(COUNT($E$2:$E162)&lt;26,"",(MAX($C$137:$C$162)+MIN($D$137:$D$162))/2)</f>
        <v>0</v>
      </c>
      <c r="AW162">
        <f>IF(OR(AU162="",AV162=""),"",(AU162+AV162)/2)</f>
        <v>0</v>
      </c>
      <c r="AX162">
        <f>IF(COUNT($E$2:$E162)&lt;52,"",(MAX($C$111:$C$162)+MIN($D$111:$D$162))/2)</f>
        <v>0</v>
      </c>
      <c r="AY162">
        <f>IF(COUNT($E$2:$E162)&lt;20,"",MAX($C$63:$C$162))</f>
        <v>0</v>
      </c>
      <c r="AZ162">
        <f>IF(COUNT($E$2:$E162)&lt;20,"",MIN($D$63:$D$162))</f>
        <v>0</v>
      </c>
      <c r="BA162">
        <f>IF(COUNT($E$2:$E162)&lt;20,"",SLOPE($E$63:$E$162,$F$63:$F$162))</f>
        <v>0</v>
      </c>
      <c r="BB162">
        <f>IF(COUNT($E$2:$E162)&lt;20,"",INTERCEPT($E$63:$E$162,$F$63:$F$162))</f>
        <v>0</v>
      </c>
      <c r="BC162">
        <f>IF(OR(BA162="",BB162=""),"",BB162+BA162*F162)</f>
        <v>0</v>
      </c>
      <c r="BD162">
        <f>IF(COUNT($E$2:$E162)&lt;20,"",STEYX($E$63:$E$162,$F$63:$F$162))</f>
        <v>0</v>
      </c>
      <c r="BE162">
        <f>IF($E162="","",IF(AND(COUNT($E$163:$E$166)&gt;=4,$C162=MAX($C$158:$C$166)),$C162,""))</f>
        <v>0</v>
      </c>
      <c r="BF162">
        <f>IF($E162="","",IF(AND(COUNT($E$163:$E$166)&gt;=4,$D162=MIN($D$158:$D$166)),$D162,""))</f>
        <v>0</v>
      </c>
      <c r="BG162">
        <f>IFERROR(SMALL(Calc_Daily!$BM$2:$BM$2001,161),"")</f>
        <v>0</v>
      </c>
    </row>
    <row r="163" spans="1:59">
      <c r="A163" s="27">
        <f>IF($BG163="","",INDEX(Calc_Daily!$A$2:$A$2001,$BG163))</f>
        <v>0</v>
      </c>
      <c r="B163">
        <f>IF($BG163="","",INDEX(Calc_Daily!$BJ$2:$BJ$2001,$BG163))</f>
        <v>0</v>
      </c>
      <c r="C163">
        <f>IF($BG163="","",INDEX(Calc_Daily!$BK$2:$BK$2001,$BG163))</f>
        <v>0</v>
      </c>
      <c r="D163">
        <f>IF($BG163="","",INDEX(Calc_Daily!$BL$2:$BL$2001,$BG163))</f>
        <v>0</v>
      </c>
      <c r="E163">
        <f>IF($BG163="","",INDEX(Calc_Daily!$E$2:$E$2001,$BG163))</f>
        <v>0</v>
      </c>
      <c r="F163">
        <f>IF($E163="","",N(F162)+1)</f>
        <v>0</v>
      </c>
      <c r="G163">
        <f>IF(OR($E163="",$E162=""),"",LN($E163/$E162))</f>
        <v>0</v>
      </c>
      <c r="H163">
        <f>IF($E163="","",IF($E162="",$E163,$E163*0.0952380952+H162*0.9047619048))</f>
        <v>0</v>
      </c>
      <c r="I163">
        <f>IF($E163="","",IF($E162="",$E163,$E163*0.0392156863+I162*0.9607843137))</f>
        <v>0</v>
      </c>
      <c r="J163">
        <f>IF($E163="","",IF($E162="",$E163,$E163*0.0198019802+J162*0.9801980198))</f>
        <v>0</v>
      </c>
      <c r="K163">
        <f>IF($E163="","",IF($E162="",$E163,$E163*0.0099502488+K162*0.9900497512))</f>
        <v>0</v>
      </c>
      <c r="L163">
        <f>IF(OR($E163="",$E162=""),"",MAX($E163-$E162,0))</f>
        <v>0</v>
      </c>
      <c r="M163">
        <f>IF(OR($E163="",$E162=""),"",MAX($E162-$E163,0))</f>
        <v>0</v>
      </c>
      <c r="N163">
        <f>IF(COUNT($E$2:$E163)&lt;15,"",IF(AVERAGE($M$150:$M$163)=0,100,100-100/(1+AVERAGE($L$150:$L$163)/AVERAGE($M$150:$M$163))))</f>
        <v>0</v>
      </c>
      <c r="O163">
        <f>IF($E163="","",IF($E162="",$E163,$E163*0.1538461538+O162*0.8461538462))</f>
        <v>0</v>
      </c>
      <c r="P163">
        <f>IF($E163="","",IF($E162="",$E163,$E163*0.0740740741+P162*0.9259259259))</f>
        <v>0</v>
      </c>
      <c r="Q163">
        <f>IF(OR(O163="",P163=""),"",O163-P163)</f>
        <v>0</v>
      </c>
      <c r="R163">
        <f>IF(Q163="","",IF(R162="",Q163,Q163*0.2000000000+R162*0.8000000000))</f>
        <v>0</v>
      </c>
      <c r="S163">
        <f>IF(OR(Q163="",R163=""),"",Q163-R163)</f>
        <v>0</v>
      </c>
      <c r="T163">
        <f>IF(COUNT($E$2:$E163)&lt;14,"",MAX($C$150:$C$163))</f>
        <v>0</v>
      </c>
      <c r="U163">
        <f>IF(COUNT($E$2:$E163)&lt;14,"",MIN($D$150:$D$163))</f>
        <v>0</v>
      </c>
      <c r="V163">
        <f>IF(OR(T163="",U163="",T163=U163),"",100*($E163-U163)/(T163-U163))</f>
        <v>0</v>
      </c>
      <c r="W163">
        <f>IF(COUNT($V$161:$V$163)&lt;3,"",AVERAGE($V$161:$V$163))</f>
        <v>0</v>
      </c>
      <c r="X163">
        <f>IF(COUNT($N$150:$N$163)&lt;14,"",MIN($N$150:$N$163))</f>
        <v>0</v>
      </c>
      <c r="Y163">
        <f>IF(COUNT($N$150:$N$163)&lt;14,"",MAX($N$150:$N$163))</f>
        <v>0</v>
      </c>
      <c r="Z163">
        <f>IF(OR(N163="",X163="",Y163="",Y163=X163),"",100*(N163-X163)/(Y163-X163))</f>
        <v>0</v>
      </c>
      <c r="AA163">
        <f>IF(COUNT($Z$161:$Z$163)&lt;3,"",AVERAGE($Z$161:$Z$163))</f>
        <v>0</v>
      </c>
      <c r="AB163">
        <f>IF(COUNT($AA$161:$AA$163)&lt;3,"",AVERAGE($AA$161:$AA$163))</f>
        <v>0</v>
      </c>
      <c r="AC163">
        <f>IF($E163="","",MAX($C163-$D163,ABS($C163-$E162),ABS($D163-$E162)))</f>
        <v>0</v>
      </c>
      <c r="AD163">
        <f>IF(COUNT($E$2:$E163)&lt;15,"",AVERAGE($AC$150:$AC$163))</f>
        <v>0</v>
      </c>
      <c r="AE163">
        <f>IF(OR($E163="",$E162=""),"",IF(AND(($C163-$C162)&gt;($D162-$D163),($C163-$C162)&gt;0),$C163-$C162,0))</f>
        <v>0</v>
      </c>
      <c r="AF163">
        <f>IF(OR($E163="",$E162=""),"",IF(AND(($D162-$D163)&gt;($C163-$C162),($D162-$D163)&gt;0),$D162-$D163,0))</f>
        <v>0</v>
      </c>
      <c r="AG163">
        <f>IF(COUNT($E$2:$E163)&lt;15,"",IF(SUM($AC$150:$AC$163)=0,0,100*SUM($AE$150:$AE$163)/SUM($AC$150:$AC$163)))</f>
        <v>0</v>
      </c>
      <c r="AH163">
        <f>IF(COUNT($E$2:$E163)&lt;15,"",IF(SUM($AC$150:$AC$163)=0,0,100*SUM($AF$150:$AF$163)/SUM($AC$150:$AC$163)))</f>
        <v>0</v>
      </c>
      <c r="AI163">
        <f>IF(OR(AG163="",AH163=""),"",IF((AG163+AH163)=0,0,100*ABS(AG163-AH163)/(AG163+AH163)))</f>
        <v>0</v>
      </c>
      <c r="AJ163">
        <f>IF(COUNT($AI$150:$AI$163)&lt;14,"",AVERAGE($AI$150:$AI$163))</f>
        <v>0</v>
      </c>
      <c r="AK163">
        <f>IF(COUNT($E$2:$E163)&lt;20,"",AVERAGE($E$144:$E$163))</f>
        <v>0</v>
      </c>
      <c r="AL163">
        <f>IF(COUNT($E$2:$E163)&lt;20,"",STDEVP($E$144:$E$163))</f>
        <v>0</v>
      </c>
      <c r="AM163">
        <f>IF(AK163="","",AK163+2*AL163)</f>
        <v>0</v>
      </c>
      <c r="AN163">
        <f>IF(AK163="","",AK163-2*AL163)</f>
        <v>0</v>
      </c>
      <c r="AO163">
        <f>IF(OR(AM163="",AN163="",AM163=AN163),"",($E163-AN163)/(AM163-AN163))</f>
        <v>0</v>
      </c>
      <c r="AP163">
        <f>IF(OR(AM163="",AK163="",AK163=0),"",(AM163-AN163)/AK163)</f>
        <v>0</v>
      </c>
      <c r="AQ163">
        <f>IF(COUNT($E$2:$E163)&lt;20,"",MAX($C$144:$C$163))</f>
        <v>0</v>
      </c>
      <c r="AR163">
        <f>IF(COUNT($E$2:$E163)&lt;20,"",MIN($D$144:$D$163))</f>
        <v>0</v>
      </c>
      <c r="AS163">
        <f>IF(OR(AQ163="",AR163=""),"",(AQ163+AR163)/2)</f>
        <v>0</v>
      </c>
      <c r="AT163">
        <f>IF(COUNT($G$144:$G$163)&lt;20,"",STDEV($G$144:$G$163)*SQRT(52))</f>
        <v>0</v>
      </c>
      <c r="AU163">
        <f>IF(COUNT($E$2:$E163)&lt;9,"",(MAX($C$155:$C$163)+MIN($D$155:$D$163))/2)</f>
        <v>0</v>
      </c>
      <c r="AV163">
        <f>IF(COUNT($E$2:$E163)&lt;26,"",(MAX($C$138:$C$163)+MIN($D$138:$D$163))/2)</f>
        <v>0</v>
      </c>
      <c r="AW163">
        <f>IF(OR(AU163="",AV163=""),"",(AU163+AV163)/2)</f>
        <v>0</v>
      </c>
      <c r="AX163">
        <f>IF(COUNT($E$2:$E163)&lt;52,"",(MAX($C$112:$C$163)+MIN($D$112:$D$163))/2)</f>
        <v>0</v>
      </c>
      <c r="AY163">
        <f>IF(COUNT($E$2:$E163)&lt;20,"",MAX($C$64:$C$163))</f>
        <v>0</v>
      </c>
      <c r="AZ163">
        <f>IF(COUNT($E$2:$E163)&lt;20,"",MIN($D$64:$D$163))</f>
        <v>0</v>
      </c>
      <c r="BA163">
        <f>IF(COUNT($E$2:$E163)&lt;20,"",SLOPE($E$64:$E$163,$F$64:$F$163))</f>
        <v>0</v>
      </c>
      <c r="BB163">
        <f>IF(COUNT($E$2:$E163)&lt;20,"",INTERCEPT($E$64:$E$163,$F$64:$F$163))</f>
        <v>0</v>
      </c>
      <c r="BC163">
        <f>IF(OR(BA163="",BB163=""),"",BB163+BA163*F163)</f>
        <v>0</v>
      </c>
      <c r="BD163">
        <f>IF(COUNT($E$2:$E163)&lt;20,"",STEYX($E$64:$E$163,$F$64:$F$163))</f>
        <v>0</v>
      </c>
      <c r="BE163">
        <f>IF($E163="","",IF(AND(COUNT($E$164:$E$167)&gt;=4,$C163=MAX($C$159:$C$167)),$C163,""))</f>
        <v>0</v>
      </c>
      <c r="BF163">
        <f>IF($E163="","",IF(AND(COUNT($E$164:$E$167)&gt;=4,$D163=MIN($D$159:$D$167)),$D163,""))</f>
        <v>0</v>
      </c>
      <c r="BG163">
        <f>IFERROR(SMALL(Calc_Daily!$BM$2:$BM$2001,162),"")</f>
        <v>0</v>
      </c>
    </row>
    <row r="164" spans="1:59">
      <c r="A164" s="27">
        <f>IF($BG164="","",INDEX(Calc_Daily!$A$2:$A$2001,$BG164))</f>
        <v>0</v>
      </c>
      <c r="B164">
        <f>IF($BG164="","",INDEX(Calc_Daily!$BJ$2:$BJ$2001,$BG164))</f>
        <v>0</v>
      </c>
      <c r="C164">
        <f>IF($BG164="","",INDEX(Calc_Daily!$BK$2:$BK$2001,$BG164))</f>
        <v>0</v>
      </c>
      <c r="D164">
        <f>IF($BG164="","",INDEX(Calc_Daily!$BL$2:$BL$2001,$BG164))</f>
        <v>0</v>
      </c>
      <c r="E164">
        <f>IF($BG164="","",INDEX(Calc_Daily!$E$2:$E$2001,$BG164))</f>
        <v>0</v>
      </c>
      <c r="F164">
        <f>IF($E164="","",N(F163)+1)</f>
        <v>0</v>
      </c>
      <c r="G164">
        <f>IF(OR($E164="",$E163=""),"",LN($E164/$E163))</f>
        <v>0</v>
      </c>
      <c r="H164">
        <f>IF($E164="","",IF($E163="",$E164,$E164*0.0952380952+H163*0.9047619048))</f>
        <v>0</v>
      </c>
      <c r="I164">
        <f>IF($E164="","",IF($E163="",$E164,$E164*0.0392156863+I163*0.9607843137))</f>
        <v>0</v>
      </c>
      <c r="J164">
        <f>IF($E164="","",IF($E163="",$E164,$E164*0.0198019802+J163*0.9801980198))</f>
        <v>0</v>
      </c>
      <c r="K164">
        <f>IF($E164="","",IF($E163="",$E164,$E164*0.0099502488+K163*0.9900497512))</f>
        <v>0</v>
      </c>
      <c r="L164">
        <f>IF(OR($E164="",$E163=""),"",MAX($E164-$E163,0))</f>
        <v>0</v>
      </c>
      <c r="M164">
        <f>IF(OR($E164="",$E163=""),"",MAX($E163-$E164,0))</f>
        <v>0</v>
      </c>
      <c r="N164">
        <f>IF(COUNT($E$2:$E164)&lt;15,"",IF(AVERAGE($M$151:$M$164)=0,100,100-100/(1+AVERAGE($L$151:$L$164)/AVERAGE($M$151:$M$164))))</f>
        <v>0</v>
      </c>
      <c r="O164">
        <f>IF($E164="","",IF($E163="",$E164,$E164*0.1538461538+O163*0.8461538462))</f>
        <v>0</v>
      </c>
      <c r="P164">
        <f>IF($E164="","",IF($E163="",$E164,$E164*0.0740740741+P163*0.9259259259))</f>
        <v>0</v>
      </c>
      <c r="Q164">
        <f>IF(OR(O164="",P164=""),"",O164-P164)</f>
        <v>0</v>
      </c>
      <c r="R164">
        <f>IF(Q164="","",IF(R163="",Q164,Q164*0.2000000000+R163*0.8000000000))</f>
        <v>0</v>
      </c>
      <c r="S164">
        <f>IF(OR(Q164="",R164=""),"",Q164-R164)</f>
        <v>0</v>
      </c>
      <c r="T164">
        <f>IF(COUNT($E$2:$E164)&lt;14,"",MAX($C$151:$C$164))</f>
        <v>0</v>
      </c>
      <c r="U164">
        <f>IF(COUNT($E$2:$E164)&lt;14,"",MIN($D$151:$D$164))</f>
        <v>0</v>
      </c>
      <c r="V164">
        <f>IF(OR(T164="",U164="",T164=U164),"",100*($E164-U164)/(T164-U164))</f>
        <v>0</v>
      </c>
      <c r="W164">
        <f>IF(COUNT($V$162:$V$164)&lt;3,"",AVERAGE($V$162:$V$164))</f>
        <v>0</v>
      </c>
      <c r="X164">
        <f>IF(COUNT($N$151:$N$164)&lt;14,"",MIN($N$151:$N$164))</f>
        <v>0</v>
      </c>
      <c r="Y164">
        <f>IF(COUNT($N$151:$N$164)&lt;14,"",MAX($N$151:$N$164))</f>
        <v>0</v>
      </c>
      <c r="Z164">
        <f>IF(OR(N164="",X164="",Y164="",Y164=X164),"",100*(N164-X164)/(Y164-X164))</f>
        <v>0</v>
      </c>
      <c r="AA164">
        <f>IF(COUNT($Z$162:$Z$164)&lt;3,"",AVERAGE($Z$162:$Z$164))</f>
        <v>0</v>
      </c>
      <c r="AB164">
        <f>IF(COUNT($AA$162:$AA$164)&lt;3,"",AVERAGE($AA$162:$AA$164))</f>
        <v>0</v>
      </c>
      <c r="AC164">
        <f>IF($E164="","",MAX($C164-$D164,ABS($C164-$E163),ABS($D164-$E163)))</f>
        <v>0</v>
      </c>
      <c r="AD164">
        <f>IF(COUNT($E$2:$E164)&lt;15,"",AVERAGE($AC$151:$AC$164))</f>
        <v>0</v>
      </c>
      <c r="AE164">
        <f>IF(OR($E164="",$E163=""),"",IF(AND(($C164-$C163)&gt;($D163-$D164),($C164-$C163)&gt;0),$C164-$C163,0))</f>
        <v>0</v>
      </c>
      <c r="AF164">
        <f>IF(OR($E164="",$E163=""),"",IF(AND(($D163-$D164)&gt;($C164-$C163),($D163-$D164)&gt;0),$D163-$D164,0))</f>
        <v>0</v>
      </c>
      <c r="AG164">
        <f>IF(COUNT($E$2:$E164)&lt;15,"",IF(SUM($AC$151:$AC$164)=0,0,100*SUM($AE$151:$AE$164)/SUM($AC$151:$AC$164)))</f>
        <v>0</v>
      </c>
      <c r="AH164">
        <f>IF(COUNT($E$2:$E164)&lt;15,"",IF(SUM($AC$151:$AC$164)=0,0,100*SUM($AF$151:$AF$164)/SUM($AC$151:$AC$164)))</f>
        <v>0</v>
      </c>
      <c r="AI164">
        <f>IF(OR(AG164="",AH164=""),"",IF((AG164+AH164)=0,0,100*ABS(AG164-AH164)/(AG164+AH164)))</f>
        <v>0</v>
      </c>
      <c r="AJ164">
        <f>IF(COUNT($AI$151:$AI$164)&lt;14,"",AVERAGE($AI$151:$AI$164))</f>
        <v>0</v>
      </c>
      <c r="AK164">
        <f>IF(COUNT($E$2:$E164)&lt;20,"",AVERAGE($E$145:$E$164))</f>
        <v>0</v>
      </c>
      <c r="AL164">
        <f>IF(COUNT($E$2:$E164)&lt;20,"",STDEVP($E$145:$E$164))</f>
        <v>0</v>
      </c>
      <c r="AM164">
        <f>IF(AK164="","",AK164+2*AL164)</f>
        <v>0</v>
      </c>
      <c r="AN164">
        <f>IF(AK164="","",AK164-2*AL164)</f>
        <v>0</v>
      </c>
      <c r="AO164">
        <f>IF(OR(AM164="",AN164="",AM164=AN164),"",($E164-AN164)/(AM164-AN164))</f>
        <v>0</v>
      </c>
      <c r="AP164">
        <f>IF(OR(AM164="",AK164="",AK164=0),"",(AM164-AN164)/AK164)</f>
        <v>0</v>
      </c>
      <c r="AQ164">
        <f>IF(COUNT($E$2:$E164)&lt;20,"",MAX($C$145:$C$164))</f>
        <v>0</v>
      </c>
      <c r="AR164">
        <f>IF(COUNT($E$2:$E164)&lt;20,"",MIN($D$145:$D$164))</f>
        <v>0</v>
      </c>
      <c r="AS164">
        <f>IF(OR(AQ164="",AR164=""),"",(AQ164+AR164)/2)</f>
        <v>0</v>
      </c>
      <c r="AT164">
        <f>IF(COUNT($G$145:$G$164)&lt;20,"",STDEV($G$145:$G$164)*SQRT(52))</f>
        <v>0</v>
      </c>
      <c r="AU164">
        <f>IF(COUNT($E$2:$E164)&lt;9,"",(MAX($C$156:$C$164)+MIN($D$156:$D$164))/2)</f>
        <v>0</v>
      </c>
      <c r="AV164">
        <f>IF(COUNT($E$2:$E164)&lt;26,"",(MAX($C$139:$C$164)+MIN($D$139:$D$164))/2)</f>
        <v>0</v>
      </c>
      <c r="AW164">
        <f>IF(OR(AU164="",AV164=""),"",(AU164+AV164)/2)</f>
        <v>0</v>
      </c>
      <c r="AX164">
        <f>IF(COUNT($E$2:$E164)&lt;52,"",(MAX($C$113:$C$164)+MIN($D$113:$D$164))/2)</f>
        <v>0</v>
      </c>
      <c r="AY164">
        <f>IF(COUNT($E$2:$E164)&lt;20,"",MAX($C$65:$C$164))</f>
        <v>0</v>
      </c>
      <c r="AZ164">
        <f>IF(COUNT($E$2:$E164)&lt;20,"",MIN($D$65:$D$164))</f>
        <v>0</v>
      </c>
      <c r="BA164">
        <f>IF(COUNT($E$2:$E164)&lt;20,"",SLOPE($E$65:$E$164,$F$65:$F$164))</f>
        <v>0</v>
      </c>
      <c r="BB164">
        <f>IF(COUNT($E$2:$E164)&lt;20,"",INTERCEPT($E$65:$E$164,$F$65:$F$164))</f>
        <v>0</v>
      </c>
      <c r="BC164">
        <f>IF(OR(BA164="",BB164=""),"",BB164+BA164*F164)</f>
        <v>0</v>
      </c>
      <c r="BD164">
        <f>IF(COUNT($E$2:$E164)&lt;20,"",STEYX($E$65:$E$164,$F$65:$F$164))</f>
        <v>0</v>
      </c>
      <c r="BE164">
        <f>IF($E164="","",IF(AND(COUNT($E$165:$E$168)&gt;=4,$C164=MAX($C$160:$C$168)),$C164,""))</f>
        <v>0</v>
      </c>
      <c r="BF164">
        <f>IF($E164="","",IF(AND(COUNT($E$165:$E$168)&gt;=4,$D164=MIN($D$160:$D$168)),$D164,""))</f>
        <v>0</v>
      </c>
      <c r="BG164">
        <f>IFERROR(SMALL(Calc_Daily!$BM$2:$BM$2001,163),"")</f>
        <v>0</v>
      </c>
    </row>
    <row r="165" spans="1:59">
      <c r="A165" s="27">
        <f>IF($BG165="","",INDEX(Calc_Daily!$A$2:$A$2001,$BG165))</f>
        <v>0</v>
      </c>
      <c r="B165">
        <f>IF($BG165="","",INDEX(Calc_Daily!$BJ$2:$BJ$2001,$BG165))</f>
        <v>0</v>
      </c>
      <c r="C165">
        <f>IF($BG165="","",INDEX(Calc_Daily!$BK$2:$BK$2001,$BG165))</f>
        <v>0</v>
      </c>
      <c r="D165">
        <f>IF($BG165="","",INDEX(Calc_Daily!$BL$2:$BL$2001,$BG165))</f>
        <v>0</v>
      </c>
      <c r="E165">
        <f>IF($BG165="","",INDEX(Calc_Daily!$E$2:$E$2001,$BG165))</f>
        <v>0</v>
      </c>
      <c r="F165">
        <f>IF($E165="","",N(F164)+1)</f>
        <v>0</v>
      </c>
      <c r="G165">
        <f>IF(OR($E165="",$E164=""),"",LN($E165/$E164))</f>
        <v>0</v>
      </c>
      <c r="H165">
        <f>IF($E165="","",IF($E164="",$E165,$E165*0.0952380952+H164*0.9047619048))</f>
        <v>0</v>
      </c>
      <c r="I165">
        <f>IF($E165="","",IF($E164="",$E165,$E165*0.0392156863+I164*0.9607843137))</f>
        <v>0</v>
      </c>
      <c r="J165">
        <f>IF($E165="","",IF($E164="",$E165,$E165*0.0198019802+J164*0.9801980198))</f>
        <v>0</v>
      </c>
      <c r="K165">
        <f>IF($E165="","",IF($E164="",$E165,$E165*0.0099502488+K164*0.9900497512))</f>
        <v>0</v>
      </c>
      <c r="L165">
        <f>IF(OR($E165="",$E164=""),"",MAX($E165-$E164,0))</f>
        <v>0</v>
      </c>
      <c r="M165">
        <f>IF(OR($E165="",$E164=""),"",MAX($E164-$E165,0))</f>
        <v>0</v>
      </c>
      <c r="N165">
        <f>IF(COUNT($E$2:$E165)&lt;15,"",IF(AVERAGE($M$152:$M$165)=0,100,100-100/(1+AVERAGE($L$152:$L$165)/AVERAGE($M$152:$M$165))))</f>
        <v>0</v>
      </c>
      <c r="O165">
        <f>IF($E165="","",IF($E164="",$E165,$E165*0.1538461538+O164*0.8461538462))</f>
        <v>0</v>
      </c>
      <c r="P165">
        <f>IF($E165="","",IF($E164="",$E165,$E165*0.0740740741+P164*0.9259259259))</f>
        <v>0</v>
      </c>
      <c r="Q165">
        <f>IF(OR(O165="",P165=""),"",O165-P165)</f>
        <v>0</v>
      </c>
      <c r="R165">
        <f>IF(Q165="","",IF(R164="",Q165,Q165*0.2000000000+R164*0.8000000000))</f>
        <v>0</v>
      </c>
      <c r="S165">
        <f>IF(OR(Q165="",R165=""),"",Q165-R165)</f>
        <v>0</v>
      </c>
      <c r="T165">
        <f>IF(COUNT($E$2:$E165)&lt;14,"",MAX($C$152:$C$165))</f>
        <v>0</v>
      </c>
      <c r="U165">
        <f>IF(COUNT($E$2:$E165)&lt;14,"",MIN($D$152:$D$165))</f>
        <v>0</v>
      </c>
      <c r="V165">
        <f>IF(OR(T165="",U165="",T165=U165),"",100*($E165-U165)/(T165-U165))</f>
        <v>0</v>
      </c>
      <c r="W165">
        <f>IF(COUNT($V$163:$V$165)&lt;3,"",AVERAGE($V$163:$V$165))</f>
        <v>0</v>
      </c>
      <c r="X165">
        <f>IF(COUNT($N$152:$N$165)&lt;14,"",MIN($N$152:$N$165))</f>
        <v>0</v>
      </c>
      <c r="Y165">
        <f>IF(COUNT($N$152:$N$165)&lt;14,"",MAX($N$152:$N$165))</f>
        <v>0</v>
      </c>
      <c r="Z165">
        <f>IF(OR(N165="",X165="",Y165="",Y165=X165),"",100*(N165-X165)/(Y165-X165))</f>
        <v>0</v>
      </c>
      <c r="AA165">
        <f>IF(COUNT($Z$163:$Z$165)&lt;3,"",AVERAGE($Z$163:$Z$165))</f>
        <v>0</v>
      </c>
      <c r="AB165">
        <f>IF(COUNT($AA$163:$AA$165)&lt;3,"",AVERAGE($AA$163:$AA$165))</f>
        <v>0</v>
      </c>
      <c r="AC165">
        <f>IF($E165="","",MAX($C165-$D165,ABS($C165-$E164),ABS($D165-$E164)))</f>
        <v>0</v>
      </c>
      <c r="AD165">
        <f>IF(COUNT($E$2:$E165)&lt;15,"",AVERAGE($AC$152:$AC$165))</f>
        <v>0</v>
      </c>
      <c r="AE165">
        <f>IF(OR($E165="",$E164=""),"",IF(AND(($C165-$C164)&gt;($D164-$D165),($C165-$C164)&gt;0),$C165-$C164,0))</f>
        <v>0</v>
      </c>
      <c r="AF165">
        <f>IF(OR($E165="",$E164=""),"",IF(AND(($D164-$D165)&gt;($C165-$C164),($D164-$D165)&gt;0),$D164-$D165,0))</f>
        <v>0</v>
      </c>
      <c r="AG165">
        <f>IF(COUNT($E$2:$E165)&lt;15,"",IF(SUM($AC$152:$AC$165)=0,0,100*SUM($AE$152:$AE$165)/SUM($AC$152:$AC$165)))</f>
        <v>0</v>
      </c>
      <c r="AH165">
        <f>IF(COUNT($E$2:$E165)&lt;15,"",IF(SUM($AC$152:$AC$165)=0,0,100*SUM($AF$152:$AF$165)/SUM($AC$152:$AC$165)))</f>
        <v>0</v>
      </c>
      <c r="AI165">
        <f>IF(OR(AG165="",AH165=""),"",IF((AG165+AH165)=0,0,100*ABS(AG165-AH165)/(AG165+AH165)))</f>
        <v>0</v>
      </c>
      <c r="AJ165">
        <f>IF(COUNT($AI$152:$AI$165)&lt;14,"",AVERAGE($AI$152:$AI$165))</f>
        <v>0</v>
      </c>
      <c r="AK165">
        <f>IF(COUNT($E$2:$E165)&lt;20,"",AVERAGE($E$146:$E$165))</f>
        <v>0</v>
      </c>
      <c r="AL165">
        <f>IF(COUNT($E$2:$E165)&lt;20,"",STDEVP($E$146:$E$165))</f>
        <v>0</v>
      </c>
      <c r="AM165">
        <f>IF(AK165="","",AK165+2*AL165)</f>
        <v>0</v>
      </c>
      <c r="AN165">
        <f>IF(AK165="","",AK165-2*AL165)</f>
        <v>0</v>
      </c>
      <c r="AO165">
        <f>IF(OR(AM165="",AN165="",AM165=AN165),"",($E165-AN165)/(AM165-AN165))</f>
        <v>0</v>
      </c>
      <c r="AP165">
        <f>IF(OR(AM165="",AK165="",AK165=0),"",(AM165-AN165)/AK165)</f>
        <v>0</v>
      </c>
      <c r="AQ165">
        <f>IF(COUNT($E$2:$E165)&lt;20,"",MAX($C$146:$C$165))</f>
        <v>0</v>
      </c>
      <c r="AR165">
        <f>IF(COUNT($E$2:$E165)&lt;20,"",MIN($D$146:$D$165))</f>
        <v>0</v>
      </c>
      <c r="AS165">
        <f>IF(OR(AQ165="",AR165=""),"",(AQ165+AR165)/2)</f>
        <v>0</v>
      </c>
      <c r="AT165">
        <f>IF(COUNT($G$146:$G$165)&lt;20,"",STDEV($G$146:$G$165)*SQRT(52))</f>
        <v>0</v>
      </c>
      <c r="AU165">
        <f>IF(COUNT($E$2:$E165)&lt;9,"",(MAX($C$157:$C$165)+MIN($D$157:$D$165))/2)</f>
        <v>0</v>
      </c>
      <c r="AV165">
        <f>IF(COUNT($E$2:$E165)&lt;26,"",(MAX($C$140:$C$165)+MIN($D$140:$D$165))/2)</f>
        <v>0</v>
      </c>
      <c r="AW165">
        <f>IF(OR(AU165="",AV165=""),"",(AU165+AV165)/2)</f>
        <v>0</v>
      </c>
      <c r="AX165">
        <f>IF(COUNT($E$2:$E165)&lt;52,"",(MAX($C$114:$C$165)+MIN($D$114:$D$165))/2)</f>
        <v>0</v>
      </c>
      <c r="AY165">
        <f>IF(COUNT($E$2:$E165)&lt;20,"",MAX($C$66:$C$165))</f>
        <v>0</v>
      </c>
      <c r="AZ165">
        <f>IF(COUNT($E$2:$E165)&lt;20,"",MIN($D$66:$D$165))</f>
        <v>0</v>
      </c>
      <c r="BA165">
        <f>IF(COUNT($E$2:$E165)&lt;20,"",SLOPE($E$66:$E$165,$F$66:$F$165))</f>
        <v>0</v>
      </c>
      <c r="BB165">
        <f>IF(COUNT($E$2:$E165)&lt;20,"",INTERCEPT($E$66:$E$165,$F$66:$F$165))</f>
        <v>0</v>
      </c>
      <c r="BC165">
        <f>IF(OR(BA165="",BB165=""),"",BB165+BA165*F165)</f>
        <v>0</v>
      </c>
      <c r="BD165">
        <f>IF(COUNT($E$2:$E165)&lt;20,"",STEYX($E$66:$E$165,$F$66:$F$165))</f>
        <v>0</v>
      </c>
      <c r="BE165">
        <f>IF($E165="","",IF(AND(COUNT($E$166:$E$169)&gt;=4,$C165=MAX($C$161:$C$169)),$C165,""))</f>
        <v>0</v>
      </c>
      <c r="BF165">
        <f>IF($E165="","",IF(AND(COUNT($E$166:$E$169)&gt;=4,$D165=MIN($D$161:$D$169)),$D165,""))</f>
        <v>0</v>
      </c>
      <c r="BG165">
        <f>IFERROR(SMALL(Calc_Daily!$BM$2:$BM$2001,164),"")</f>
        <v>0</v>
      </c>
    </row>
    <row r="166" spans="1:59">
      <c r="A166" s="27">
        <f>IF($BG166="","",INDEX(Calc_Daily!$A$2:$A$2001,$BG166))</f>
        <v>0</v>
      </c>
      <c r="B166">
        <f>IF($BG166="","",INDEX(Calc_Daily!$BJ$2:$BJ$2001,$BG166))</f>
        <v>0</v>
      </c>
      <c r="C166">
        <f>IF($BG166="","",INDEX(Calc_Daily!$BK$2:$BK$2001,$BG166))</f>
        <v>0</v>
      </c>
      <c r="D166">
        <f>IF($BG166="","",INDEX(Calc_Daily!$BL$2:$BL$2001,$BG166))</f>
        <v>0</v>
      </c>
      <c r="E166">
        <f>IF($BG166="","",INDEX(Calc_Daily!$E$2:$E$2001,$BG166))</f>
        <v>0</v>
      </c>
      <c r="F166">
        <f>IF($E166="","",N(F165)+1)</f>
        <v>0</v>
      </c>
      <c r="G166">
        <f>IF(OR($E166="",$E165=""),"",LN($E166/$E165))</f>
        <v>0</v>
      </c>
      <c r="H166">
        <f>IF($E166="","",IF($E165="",$E166,$E166*0.0952380952+H165*0.9047619048))</f>
        <v>0</v>
      </c>
      <c r="I166">
        <f>IF($E166="","",IF($E165="",$E166,$E166*0.0392156863+I165*0.9607843137))</f>
        <v>0</v>
      </c>
      <c r="J166">
        <f>IF($E166="","",IF($E165="",$E166,$E166*0.0198019802+J165*0.9801980198))</f>
        <v>0</v>
      </c>
      <c r="K166">
        <f>IF($E166="","",IF($E165="",$E166,$E166*0.0099502488+K165*0.9900497512))</f>
        <v>0</v>
      </c>
      <c r="L166">
        <f>IF(OR($E166="",$E165=""),"",MAX($E166-$E165,0))</f>
        <v>0</v>
      </c>
      <c r="M166">
        <f>IF(OR($E166="",$E165=""),"",MAX($E165-$E166,0))</f>
        <v>0</v>
      </c>
      <c r="N166">
        <f>IF(COUNT($E$2:$E166)&lt;15,"",IF(AVERAGE($M$153:$M$166)=0,100,100-100/(1+AVERAGE($L$153:$L$166)/AVERAGE($M$153:$M$166))))</f>
        <v>0</v>
      </c>
      <c r="O166">
        <f>IF($E166="","",IF($E165="",$E166,$E166*0.1538461538+O165*0.8461538462))</f>
        <v>0</v>
      </c>
      <c r="P166">
        <f>IF($E166="","",IF($E165="",$E166,$E166*0.0740740741+P165*0.9259259259))</f>
        <v>0</v>
      </c>
      <c r="Q166">
        <f>IF(OR(O166="",P166=""),"",O166-P166)</f>
        <v>0</v>
      </c>
      <c r="R166">
        <f>IF(Q166="","",IF(R165="",Q166,Q166*0.2000000000+R165*0.8000000000))</f>
        <v>0</v>
      </c>
      <c r="S166">
        <f>IF(OR(Q166="",R166=""),"",Q166-R166)</f>
        <v>0</v>
      </c>
      <c r="T166">
        <f>IF(COUNT($E$2:$E166)&lt;14,"",MAX($C$153:$C$166))</f>
        <v>0</v>
      </c>
      <c r="U166">
        <f>IF(COUNT($E$2:$E166)&lt;14,"",MIN($D$153:$D$166))</f>
        <v>0</v>
      </c>
      <c r="V166">
        <f>IF(OR(T166="",U166="",T166=U166),"",100*($E166-U166)/(T166-U166))</f>
        <v>0</v>
      </c>
      <c r="W166">
        <f>IF(COUNT($V$164:$V$166)&lt;3,"",AVERAGE($V$164:$V$166))</f>
        <v>0</v>
      </c>
      <c r="X166">
        <f>IF(COUNT($N$153:$N$166)&lt;14,"",MIN($N$153:$N$166))</f>
        <v>0</v>
      </c>
      <c r="Y166">
        <f>IF(COUNT($N$153:$N$166)&lt;14,"",MAX($N$153:$N$166))</f>
        <v>0</v>
      </c>
      <c r="Z166">
        <f>IF(OR(N166="",X166="",Y166="",Y166=X166),"",100*(N166-X166)/(Y166-X166))</f>
        <v>0</v>
      </c>
      <c r="AA166">
        <f>IF(COUNT($Z$164:$Z$166)&lt;3,"",AVERAGE($Z$164:$Z$166))</f>
        <v>0</v>
      </c>
      <c r="AB166">
        <f>IF(COUNT($AA$164:$AA$166)&lt;3,"",AVERAGE($AA$164:$AA$166))</f>
        <v>0</v>
      </c>
      <c r="AC166">
        <f>IF($E166="","",MAX($C166-$D166,ABS($C166-$E165),ABS($D166-$E165)))</f>
        <v>0</v>
      </c>
      <c r="AD166">
        <f>IF(COUNT($E$2:$E166)&lt;15,"",AVERAGE($AC$153:$AC$166))</f>
        <v>0</v>
      </c>
      <c r="AE166">
        <f>IF(OR($E166="",$E165=""),"",IF(AND(($C166-$C165)&gt;($D165-$D166),($C166-$C165)&gt;0),$C166-$C165,0))</f>
        <v>0</v>
      </c>
      <c r="AF166">
        <f>IF(OR($E166="",$E165=""),"",IF(AND(($D165-$D166)&gt;($C166-$C165),($D165-$D166)&gt;0),$D165-$D166,0))</f>
        <v>0</v>
      </c>
      <c r="AG166">
        <f>IF(COUNT($E$2:$E166)&lt;15,"",IF(SUM($AC$153:$AC$166)=0,0,100*SUM($AE$153:$AE$166)/SUM($AC$153:$AC$166)))</f>
        <v>0</v>
      </c>
      <c r="AH166">
        <f>IF(COUNT($E$2:$E166)&lt;15,"",IF(SUM($AC$153:$AC$166)=0,0,100*SUM($AF$153:$AF$166)/SUM($AC$153:$AC$166)))</f>
        <v>0</v>
      </c>
      <c r="AI166">
        <f>IF(OR(AG166="",AH166=""),"",IF((AG166+AH166)=0,0,100*ABS(AG166-AH166)/(AG166+AH166)))</f>
        <v>0</v>
      </c>
      <c r="AJ166">
        <f>IF(COUNT($AI$153:$AI$166)&lt;14,"",AVERAGE($AI$153:$AI$166))</f>
        <v>0</v>
      </c>
      <c r="AK166">
        <f>IF(COUNT($E$2:$E166)&lt;20,"",AVERAGE($E$147:$E$166))</f>
        <v>0</v>
      </c>
      <c r="AL166">
        <f>IF(COUNT($E$2:$E166)&lt;20,"",STDEVP($E$147:$E$166))</f>
        <v>0</v>
      </c>
      <c r="AM166">
        <f>IF(AK166="","",AK166+2*AL166)</f>
        <v>0</v>
      </c>
      <c r="AN166">
        <f>IF(AK166="","",AK166-2*AL166)</f>
        <v>0</v>
      </c>
      <c r="AO166">
        <f>IF(OR(AM166="",AN166="",AM166=AN166),"",($E166-AN166)/(AM166-AN166))</f>
        <v>0</v>
      </c>
      <c r="AP166">
        <f>IF(OR(AM166="",AK166="",AK166=0),"",(AM166-AN166)/AK166)</f>
        <v>0</v>
      </c>
      <c r="AQ166">
        <f>IF(COUNT($E$2:$E166)&lt;20,"",MAX($C$147:$C$166))</f>
        <v>0</v>
      </c>
      <c r="AR166">
        <f>IF(COUNT($E$2:$E166)&lt;20,"",MIN($D$147:$D$166))</f>
        <v>0</v>
      </c>
      <c r="AS166">
        <f>IF(OR(AQ166="",AR166=""),"",(AQ166+AR166)/2)</f>
        <v>0</v>
      </c>
      <c r="AT166">
        <f>IF(COUNT($G$147:$G$166)&lt;20,"",STDEV($G$147:$G$166)*SQRT(52))</f>
        <v>0</v>
      </c>
      <c r="AU166">
        <f>IF(COUNT($E$2:$E166)&lt;9,"",(MAX($C$158:$C$166)+MIN($D$158:$D$166))/2)</f>
        <v>0</v>
      </c>
      <c r="AV166">
        <f>IF(COUNT($E$2:$E166)&lt;26,"",(MAX($C$141:$C$166)+MIN($D$141:$D$166))/2)</f>
        <v>0</v>
      </c>
      <c r="AW166">
        <f>IF(OR(AU166="",AV166=""),"",(AU166+AV166)/2)</f>
        <v>0</v>
      </c>
      <c r="AX166">
        <f>IF(COUNT($E$2:$E166)&lt;52,"",(MAX($C$115:$C$166)+MIN($D$115:$D$166))/2)</f>
        <v>0</v>
      </c>
      <c r="AY166">
        <f>IF(COUNT($E$2:$E166)&lt;20,"",MAX($C$67:$C$166))</f>
        <v>0</v>
      </c>
      <c r="AZ166">
        <f>IF(COUNT($E$2:$E166)&lt;20,"",MIN($D$67:$D$166))</f>
        <v>0</v>
      </c>
      <c r="BA166">
        <f>IF(COUNT($E$2:$E166)&lt;20,"",SLOPE($E$67:$E$166,$F$67:$F$166))</f>
        <v>0</v>
      </c>
      <c r="BB166">
        <f>IF(COUNT($E$2:$E166)&lt;20,"",INTERCEPT($E$67:$E$166,$F$67:$F$166))</f>
        <v>0</v>
      </c>
      <c r="BC166">
        <f>IF(OR(BA166="",BB166=""),"",BB166+BA166*F166)</f>
        <v>0</v>
      </c>
      <c r="BD166">
        <f>IF(COUNT($E$2:$E166)&lt;20,"",STEYX($E$67:$E$166,$F$67:$F$166))</f>
        <v>0</v>
      </c>
      <c r="BE166">
        <f>IF($E166="","",IF(AND(COUNT($E$167:$E$170)&gt;=4,$C166=MAX($C$162:$C$170)),$C166,""))</f>
        <v>0</v>
      </c>
      <c r="BF166">
        <f>IF($E166="","",IF(AND(COUNT($E$167:$E$170)&gt;=4,$D166=MIN($D$162:$D$170)),$D166,""))</f>
        <v>0</v>
      </c>
      <c r="BG166">
        <f>IFERROR(SMALL(Calc_Daily!$BM$2:$BM$2001,165),"")</f>
        <v>0</v>
      </c>
    </row>
    <row r="167" spans="1:59">
      <c r="A167" s="27">
        <f>IF($BG167="","",INDEX(Calc_Daily!$A$2:$A$2001,$BG167))</f>
        <v>0</v>
      </c>
      <c r="B167">
        <f>IF($BG167="","",INDEX(Calc_Daily!$BJ$2:$BJ$2001,$BG167))</f>
        <v>0</v>
      </c>
      <c r="C167">
        <f>IF($BG167="","",INDEX(Calc_Daily!$BK$2:$BK$2001,$BG167))</f>
        <v>0</v>
      </c>
      <c r="D167">
        <f>IF($BG167="","",INDEX(Calc_Daily!$BL$2:$BL$2001,$BG167))</f>
        <v>0</v>
      </c>
      <c r="E167">
        <f>IF($BG167="","",INDEX(Calc_Daily!$E$2:$E$2001,$BG167))</f>
        <v>0</v>
      </c>
      <c r="F167">
        <f>IF($E167="","",N(F166)+1)</f>
        <v>0</v>
      </c>
      <c r="G167">
        <f>IF(OR($E167="",$E166=""),"",LN($E167/$E166))</f>
        <v>0</v>
      </c>
      <c r="H167">
        <f>IF($E167="","",IF($E166="",$E167,$E167*0.0952380952+H166*0.9047619048))</f>
        <v>0</v>
      </c>
      <c r="I167">
        <f>IF($E167="","",IF($E166="",$E167,$E167*0.0392156863+I166*0.9607843137))</f>
        <v>0</v>
      </c>
      <c r="J167">
        <f>IF($E167="","",IF($E166="",$E167,$E167*0.0198019802+J166*0.9801980198))</f>
        <v>0</v>
      </c>
      <c r="K167">
        <f>IF($E167="","",IF($E166="",$E167,$E167*0.0099502488+K166*0.9900497512))</f>
        <v>0</v>
      </c>
      <c r="L167">
        <f>IF(OR($E167="",$E166=""),"",MAX($E167-$E166,0))</f>
        <v>0</v>
      </c>
      <c r="M167">
        <f>IF(OR($E167="",$E166=""),"",MAX($E166-$E167,0))</f>
        <v>0</v>
      </c>
      <c r="N167">
        <f>IF(COUNT($E$2:$E167)&lt;15,"",IF(AVERAGE($M$154:$M$167)=0,100,100-100/(1+AVERAGE($L$154:$L$167)/AVERAGE($M$154:$M$167))))</f>
        <v>0</v>
      </c>
      <c r="O167">
        <f>IF($E167="","",IF($E166="",$E167,$E167*0.1538461538+O166*0.8461538462))</f>
        <v>0</v>
      </c>
      <c r="P167">
        <f>IF($E167="","",IF($E166="",$E167,$E167*0.0740740741+P166*0.9259259259))</f>
        <v>0</v>
      </c>
      <c r="Q167">
        <f>IF(OR(O167="",P167=""),"",O167-P167)</f>
        <v>0</v>
      </c>
      <c r="R167">
        <f>IF(Q167="","",IF(R166="",Q167,Q167*0.2000000000+R166*0.8000000000))</f>
        <v>0</v>
      </c>
      <c r="S167">
        <f>IF(OR(Q167="",R167=""),"",Q167-R167)</f>
        <v>0</v>
      </c>
      <c r="T167">
        <f>IF(COUNT($E$2:$E167)&lt;14,"",MAX($C$154:$C$167))</f>
        <v>0</v>
      </c>
      <c r="U167">
        <f>IF(COUNT($E$2:$E167)&lt;14,"",MIN($D$154:$D$167))</f>
        <v>0</v>
      </c>
      <c r="V167">
        <f>IF(OR(T167="",U167="",T167=U167),"",100*($E167-U167)/(T167-U167))</f>
        <v>0</v>
      </c>
      <c r="W167">
        <f>IF(COUNT($V$165:$V$167)&lt;3,"",AVERAGE($V$165:$V$167))</f>
        <v>0</v>
      </c>
      <c r="X167">
        <f>IF(COUNT($N$154:$N$167)&lt;14,"",MIN($N$154:$N$167))</f>
        <v>0</v>
      </c>
      <c r="Y167">
        <f>IF(COUNT($N$154:$N$167)&lt;14,"",MAX($N$154:$N$167))</f>
        <v>0</v>
      </c>
      <c r="Z167">
        <f>IF(OR(N167="",X167="",Y167="",Y167=X167),"",100*(N167-X167)/(Y167-X167))</f>
        <v>0</v>
      </c>
      <c r="AA167">
        <f>IF(COUNT($Z$165:$Z$167)&lt;3,"",AVERAGE($Z$165:$Z$167))</f>
        <v>0</v>
      </c>
      <c r="AB167">
        <f>IF(COUNT($AA$165:$AA$167)&lt;3,"",AVERAGE($AA$165:$AA$167))</f>
        <v>0</v>
      </c>
      <c r="AC167">
        <f>IF($E167="","",MAX($C167-$D167,ABS($C167-$E166),ABS($D167-$E166)))</f>
        <v>0</v>
      </c>
      <c r="AD167">
        <f>IF(COUNT($E$2:$E167)&lt;15,"",AVERAGE($AC$154:$AC$167))</f>
        <v>0</v>
      </c>
      <c r="AE167">
        <f>IF(OR($E167="",$E166=""),"",IF(AND(($C167-$C166)&gt;($D166-$D167),($C167-$C166)&gt;0),$C167-$C166,0))</f>
        <v>0</v>
      </c>
      <c r="AF167">
        <f>IF(OR($E167="",$E166=""),"",IF(AND(($D166-$D167)&gt;($C167-$C166),($D166-$D167)&gt;0),$D166-$D167,0))</f>
        <v>0</v>
      </c>
      <c r="AG167">
        <f>IF(COUNT($E$2:$E167)&lt;15,"",IF(SUM($AC$154:$AC$167)=0,0,100*SUM($AE$154:$AE$167)/SUM($AC$154:$AC$167)))</f>
        <v>0</v>
      </c>
      <c r="AH167">
        <f>IF(COUNT($E$2:$E167)&lt;15,"",IF(SUM($AC$154:$AC$167)=0,0,100*SUM($AF$154:$AF$167)/SUM($AC$154:$AC$167)))</f>
        <v>0</v>
      </c>
      <c r="AI167">
        <f>IF(OR(AG167="",AH167=""),"",IF((AG167+AH167)=0,0,100*ABS(AG167-AH167)/(AG167+AH167)))</f>
        <v>0</v>
      </c>
      <c r="AJ167">
        <f>IF(COUNT($AI$154:$AI$167)&lt;14,"",AVERAGE($AI$154:$AI$167))</f>
        <v>0</v>
      </c>
      <c r="AK167">
        <f>IF(COUNT($E$2:$E167)&lt;20,"",AVERAGE($E$148:$E$167))</f>
        <v>0</v>
      </c>
      <c r="AL167">
        <f>IF(COUNT($E$2:$E167)&lt;20,"",STDEVP($E$148:$E$167))</f>
        <v>0</v>
      </c>
      <c r="AM167">
        <f>IF(AK167="","",AK167+2*AL167)</f>
        <v>0</v>
      </c>
      <c r="AN167">
        <f>IF(AK167="","",AK167-2*AL167)</f>
        <v>0</v>
      </c>
      <c r="AO167">
        <f>IF(OR(AM167="",AN167="",AM167=AN167),"",($E167-AN167)/(AM167-AN167))</f>
        <v>0</v>
      </c>
      <c r="AP167">
        <f>IF(OR(AM167="",AK167="",AK167=0),"",(AM167-AN167)/AK167)</f>
        <v>0</v>
      </c>
      <c r="AQ167">
        <f>IF(COUNT($E$2:$E167)&lt;20,"",MAX($C$148:$C$167))</f>
        <v>0</v>
      </c>
      <c r="AR167">
        <f>IF(COUNT($E$2:$E167)&lt;20,"",MIN($D$148:$D$167))</f>
        <v>0</v>
      </c>
      <c r="AS167">
        <f>IF(OR(AQ167="",AR167=""),"",(AQ167+AR167)/2)</f>
        <v>0</v>
      </c>
      <c r="AT167">
        <f>IF(COUNT($G$148:$G$167)&lt;20,"",STDEV($G$148:$G$167)*SQRT(52))</f>
        <v>0</v>
      </c>
      <c r="AU167">
        <f>IF(COUNT($E$2:$E167)&lt;9,"",(MAX($C$159:$C$167)+MIN($D$159:$D$167))/2)</f>
        <v>0</v>
      </c>
      <c r="AV167">
        <f>IF(COUNT($E$2:$E167)&lt;26,"",(MAX($C$142:$C$167)+MIN($D$142:$D$167))/2)</f>
        <v>0</v>
      </c>
      <c r="AW167">
        <f>IF(OR(AU167="",AV167=""),"",(AU167+AV167)/2)</f>
        <v>0</v>
      </c>
      <c r="AX167">
        <f>IF(COUNT($E$2:$E167)&lt;52,"",(MAX($C$116:$C$167)+MIN($D$116:$D$167))/2)</f>
        <v>0</v>
      </c>
      <c r="AY167">
        <f>IF(COUNT($E$2:$E167)&lt;20,"",MAX($C$68:$C$167))</f>
        <v>0</v>
      </c>
      <c r="AZ167">
        <f>IF(COUNT($E$2:$E167)&lt;20,"",MIN($D$68:$D$167))</f>
        <v>0</v>
      </c>
      <c r="BA167">
        <f>IF(COUNT($E$2:$E167)&lt;20,"",SLOPE($E$68:$E$167,$F$68:$F$167))</f>
        <v>0</v>
      </c>
      <c r="BB167">
        <f>IF(COUNT($E$2:$E167)&lt;20,"",INTERCEPT($E$68:$E$167,$F$68:$F$167))</f>
        <v>0</v>
      </c>
      <c r="BC167">
        <f>IF(OR(BA167="",BB167=""),"",BB167+BA167*F167)</f>
        <v>0</v>
      </c>
      <c r="BD167">
        <f>IF(COUNT($E$2:$E167)&lt;20,"",STEYX($E$68:$E$167,$F$68:$F$167))</f>
        <v>0</v>
      </c>
      <c r="BE167">
        <f>IF($E167="","",IF(AND(COUNT($E$168:$E$171)&gt;=4,$C167=MAX($C$163:$C$171)),$C167,""))</f>
        <v>0</v>
      </c>
      <c r="BF167">
        <f>IF($E167="","",IF(AND(COUNT($E$168:$E$171)&gt;=4,$D167=MIN($D$163:$D$171)),$D167,""))</f>
        <v>0</v>
      </c>
      <c r="BG167">
        <f>IFERROR(SMALL(Calc_Daily!$BM$2:$BM$2001,166),"")</f>
        <v>0</v>
      </c>
    </row>
    <row r="168" spans="1:59">
      <c r="A168" s="27">
        <f>IF($BG168="","",INDEX(Calc_Daily!$A$2:$A$2001,$BG168))</f>
        <v>0</v>
      </c>
      <c r="B168">
        <f>IF($BG168="","",INDEX(Calc_Daily!$BJ$2:$BJ$2001,$BG168))</f>
        <v>0</v>
      </c>
      <c r="C168">
        <f>IF($BG168="","",INDEX(Calc_Daily!$BK$2:$BK$2001,$BG168))</f>
        <v>0</v>
      </c>
      <c r="D168">
        <f>IF($BG168="","",INDEX(Calc_Daily!$BL$2:$BL$2001,$BG168))</f>
        <v>0</v>
      </c>
      <c r="E168">
        <f>IF($BG168="","",INDEX(Calc_Daily!$E$2:$E$2001,$BG168))</f>
        <v>0</v>
      </c>
      <c r="F168">
        <f>IF($E168="","",N(F167)+1)</f>
        <v>0</v>
      </c>
      <c r="G168">
        <f>IF(OR($E168="",$E167=""),"",LN($E168/$E167))</f>
        <v>0</v>
      </c>
      <c r="H168">
        <f>IF($E168="","",IF($E167="",$E168,$E168*0.0952380952+H167*0.9047619048))</f>
        <v>0</v>
      </c>
      <c r="I168">
        <f>IF($E168="","",IF($E167="",$E168,$E168*0.0392156863+I167*0.9607843137))</f>
        <v>0</v>
      </c>
      <c r="J168">
        <f>IF($E168="","",IF($E167="",$E168,$E168*0.0198019802+J167*0.9801980198))</f>
        <v>0</v>
      </c>
      <c r="K168">
        <f>IF($E168="","",IF($E167="",$E168,$E168*0.0099502488+K167*0.9900497512))</f>
        <v>0</v>
      </c>
      <c r="L168">
        <f>IF(OR($E168="",$E167=""),"",MAX($E168-$E167,0))</f>
        <v>0</v>
      </c>
      <c r="M168">
        <f>IF(OR($E168="",$E167=""),"",MAX($E167-$E168,0))</f>
        <v>0</v>
      </c>
      <c r="N168">
        <f>IF(COUNT($E$2:$E168)&lt;15,"",IF(AVERAGE($M$155:$M$168)=0,100,100-100/(1+AVERAGE($L$155:$L$168)/AVERAGE($M$155:$M$168))))</f>
        <v>0</v>
      </c>
      <c r="O168">
        <f>IF($E168="","",IF($E167="",$E168,$E168*0.1538461538+O167*0.8461538462))</f>
        <v>0</v>
      </c>
      <c r="P168">
        <f>IF($E168="","",IF($E167="",$E168,$E168*0.0740740741+P167*0.9259259259))</f>
        <v>0</v>
      </c>
      <c r="Q168">
        <f>IF(OR(O168="",P168=""),"",O168-P168)</f>
        <v>0</v>
      </c>
      <c r="R168">
        <f>IF(Q168="","",IF(R167="",Q168,Q168*0.2000000000+R167*0.8000000000))</f>
        <v>0</v>
      </c>
      <c r="S168">
        <f>IF(OR(Q168="",R168=""),"",Q168-R168)</f>
        <v>0</v>
      </c>
      <c r="T168">
        <f>IF(COUNT($E$2:$E168)&lt;14,"",MAX($C$155:$C$168))</f>
        <v>0</v>
      </c>
      <c r="U168">
        <f>IF(COUNT($E$2:$E168)&lt;14,"",MIN($D$155:$D$168))</f>
        <v>0</v>
      </c>
      <c r="V168">
        <f>IF(OR(T168="",U168="",T168=U168),"",100*($E168-U168)/(T168-U168))</f>
        <v>0</v>
      </c>
      <c r="W168">
        <f>IF(COUNT($V$166:$V$168)&lt;3,"",AVERAGE($V$166:$V$168))</f>
        <v>0</v>
      </c>
      <c r="X168">
        <f>IF(COUNT($N$155:$N$168)&lt;14,"",MIN($N$155:$N$168))</f>
        <v>0</v>
      </c>
      <c r="Y168">
        <f>IF(COUNT($N$155:$N$168)&lt;14,"",MAX($N$155:$N$168))</f>
        <v>0</v>
      </c>
      <c r="Z168">
        <f>IF(OR(N168="",X168="",Y168="",Y168=X168),"",100*(N168-X168)/(Y168-X168))</f>
        <v>0</v>
      </c>
      <c r="AA168">
        <f>IF(COUNT($Z$166:$Z$168)&lt;3,"",AVERAGE($Z$166:$Z$168))</f>
        <v>0</v>
      </c>
      <c r="AB168">
        <f>IF(COUNT($AA$166:$AA$168)&lt;3,"",AVERAGE($AA$166:$AA$168))</f>
        <v>0</v>
      </c>
      <c r="AC168">
        <f>IF($E168="","",MAX($C168-$D168,ABS($C168-$E167),ABS($D168-$E167)))</f>
        <v>0</v>
      </c>
      <c r="AD168">
        <f>IF(COUNT($E$2:$E168)&lt;15,"",AVERAGE($AC$155:$AC$168))</f>
        <v>0</v>
      </c>
      <c r="AE168">
        <f>IF(OR($E168="",$E167=""),"",IF(AND(($C168-$C167)&gt;($D167-$D168),($C168-$C167)&gt;0),$C168-$C167,0))</f>
        <v>0</v>
      </c>
      <c r="AF168">
        <f>IF(OR($E168="",$E167=""),"",IF(AND(($D167-$D168)&gt;($C168-$C167),($D167-$D168)&gt;0),$D167-$D168,0))</f>
        <v>0</v>
      </c>
      <c r="AG168">
        <f>IF(COUNT($E$2:$E168)&lt;15,"",IF(SUM($AC$155:$AC$168)=0,0,100*SUM($AE$155:$AE$168)/SUM($AC$155:$AC$168)))</f>
        <v>0</v>
      </c>
      <c r="AH168">
        <f>IF(COUNT($E$2:$E168)&lt;15,"",IF(SUM($AC$155:$AC$168)=0,0,100*SUM($AF$155:$AF$168)/SUM($AC$155:$AC$168)))</f>
        <v>0</v>
      </c>
      <c r="AI168">
        <f>IF(OR(AG168="",AH168=""),"",IF((AG168+AH168)=0,0,100*ABS(AG168-AH168)/(AG168+AH168)))</f>
        <v>0</v>
      </c>
      <c r="AJ168">
        <f>IF(COUNT($AI$155:$AI$168)&lt;14,"",AVERAGE($AI$155:$AI$168))</f>
        <v>0</v>
      </c>
      <c r="AK168">
        <f>IF(COUNT($E$2:$E168)&lt;20,"",AVERAGE($E$149:$E$168))</f>
        <v>0</v>
      </c>
      <c r="AL168">
        <f>IF(COUNT($E$2:$E168)&lt;20,"",STDEVP($E$149:$E$168))</f>
        <v>0</v>
      </c>
      <c r="AM168">
        <f>IF(AK168="","",AK168+2*AL168)</f>
        <v>0</v>
      </c>
      <c r="AN168">
        <f>IF(AK168="","",AK168-2*AL168)</f>
        <v>0</v>
      </c>
      <c r="AO168">
        <f>IF(OR(AM168="",AN168="",AM168=AN168),"",($E168-AN168)/(AM168-AN168))</f>
        <v>0</v>
      </c>
      <c r="AP168">
        <f>IF(OR(AM168="",AK168="",AK168=0),"",(AM168-AN168)/AK168)</f>
        <v>0</v>
      </c>
      <c r="AQ168">
        <f>IF(COUNT($E$2:$E168)&lt;20,"",MAX($C$149:$C$168))</f>
        <v>0</v>
      </c>
      <c r="AR168">
        <f>IF(COUNT($E$2:$E168)&lt;20,"",MIN($D$149:$D$168))</f>
        <v>0</v>
      </c>
      <c r="AS168">
        <f>IF(OR(AQ168="",AR168=""),"",(AQ168+AR168)/2)</f>
        <v>0</v>
      </c>
      <c r="AT168">
        <f>IF(COUNT($G$149:$G$168)&lt;20,"",STDEV($G$149:$G$168)*SQRT(52))</f>
        <v>0</v>
      </c>
      <c r="AU168">
        <f>IF(COUNT($E$2:$E168)&lt;9,"",(MAX($C$160:$C$168)+MIN($D$160:$D$168))/2)</f>
        <v>0</v>
      </c>
      <c r="AV168">
        <f>IF(COUNT($E$2:$E168)&lt;26,"",(MAX($C$143:$C$168)+MIN($D$143:$D$168))/2)</f>
        <v>0</v>
      </c>
      <c r="AW168">
        <f>IF(OR(AU168="",AV168=""),"",(AU168+AV168)/2)</f>
        <v>0</v>
      </c>
      <c r="AX168">
        <f>IF(COUNT($E$2:$E168)&lt;52,"",(MAX($C$117:$C$168)+MIN($D$117:$D$168))/2)</f>
        <v>0</v>
      </c>
      <c r="AY168">
        <f>IF(COUNT($E$2:$E168)&lt;20,"",MAX($C$69:$C$168))</f>
        <v>0</v>
      </c>
      <c r="AZ168">
        <f>IF(COUNT($E$2:$E168)&lt;20,"",MIN($D$69:$D$168))</f>
        <v>0</v>
      </c>
      <c r="BA168">
        <f>IF(COUNT($E$2:$E168)&lt;20,"",SLOPE($E$69:$E$168,$F$69:$F$168))</f>
        <v>0</v>
      </c>
      <c r="BB168">
        <f>IF(COUNT($E$2:$E168)&lt;20,"",INTERCEPT($E$69:$E$168,$F$69:$F$168))</f>
        <v>0</v>
      </c>
      <c r="BC168">
        <f>IF(OR(BA168="",BB168=""),"",BB168+BA168*F168)</f>
        <v>0</v>
      </c>
      <c r="BD168">
        <f>IF(COUNT($E$2:$E168)&lt;20,"",STEYX($E$69:$E$168,$F$69:$F$168))</f>
        <v>0</v>
      </c>
      <c r="BE168">
        <f>IF($E168="","",IF(AND(COUNT($E$169:$E$172)&gt;=4,$C168=MAX($C$164:$C$172)),$C168,""))</f>
        <v>0</v>
      </c>
      <c r="BF168">
        <f>IF($E168="","",IF(AND(COUNT($E$169:$E$172)&gt;=4,$D168=MIN($D$164:$D$172)),$D168,""))</f>
        <v>0</v>
      </c>
      <c r="BG168">
        <f>IFERROR(SMALL(Calc_Daily!$BM$2:$BM$2001,167),"")</f>
        <v>0</v>
      </c>
    </row>
    <row r="169" spans="1:59">
      <c r="A169" s="27">
        <f>IF($BG169="","",INDEX(Calc_Daily!$A$2:$A$2001,$BG169))</f>
        <v>0</v>
      </c>
      <c r="B169">
        <f>IF($BG169="","",INDEX(Calc_Daily!$BJ$2:$BJ$2001,$BG169))</f>
        <v>0</v>
      </c>
      <c r="C169">
        <f>IF($BG169="","",INDEX(Calc_Daily!$BK$2:$BK$2001,$BG169))</f>
        <v>0</v>
      </c>
      <c r="D169">
        <f>IF($BG169="","",INDEX(Calc_Daily!$BL$2:$BL$2001,$BG169))</f>
        <v>0</v>
      </c>
      <c r="E169">
        <f>IF($BG169="","",INDEX(Calc_Daily!$E$2:$E$2001,$BG169))</f>
        <v>0</v>
      </c>
      <c r="F169">
        <f>IF($E169="","",N(F168)+1)</f>
        <v>0</v>
      </c>
      <c r="G169">
        <f>IF(OR($E169="",$E168=""),"",LN($E169/$E168))</f>
        <v>0</v>
      </c>
      <c r="H169">
        <f>IF($E169="","",IF($E168="",$E169,$E169*0.0952380952+H168*0.9047619048))</f>
        <v>0</v>
      </c>
      <c r="I169">
        <f>IF($E169="","",IF($E168="",$E169,$E169*0.0392156863+I168*0.9607843137))</f>
        <v>0</v>
      </c>
      <c r="J169">
        <f>IF($E169="","",IF($E168="",$E169,$E169*0.0198019802+J168*0.9801980198))</f>
        <v>0</v>
      </c>
      <c r="K169">
        <f>IF($E169="","",IF($E168="",$E169,$E169*0.0099502488+K168*0.9900497512))</f>
        <v>0</v>
      </c>
      <c r="L169">
        <f>IF(OR($E169="",$E168=""),"",MAX($E169-$E168,0))</f>
        <v>0</v>
      </c>
      <c r="M169">
        <f>IF(OR($E169="",$E168=""),"",MAX($E168-$E169,0))</f>
        <v>0</v>
      </c>
      <c r="N169">
        <f>IF(COUNT($E$2:$E169)&lt;15,"",IF(AVERAGE($M$156:$M$169)=0,100,100-100/(1+AVERAGE($L$156:$L$169)/AVERAGE($M$156:$M$169))))</f>
        <v>0</v>
      </c>
      <c r="O169">
        <f>IF($E169="","",IF($E168="",$E169,$E169*0.1538461538+O168*0.8461538462))</f>
        <v>0</v>
      </c>
      <c r="P169">
        <f>IF($E169="","",IF($E168="",$E169,$E169*0.0740740741+P168*0.9259259259))</f>
        <v>0</v>
      </c>
      <c r="Q169">
        <f>IF(OR(O169="",P169=""),"",O169-P169)</f>
        <v>0</v>
      </c>
      <c r="R169">
        <f>IF(Q169="","",IF(R168="",Q169,Q169*0.2000000000+R168*0.8000000000))</f>
        <v>0</v>
      </c>
      <c r="S169">
        <f>IF(OR(Q169="",R169=""),"",Q169-R169)</f>
        <v>0</v>
      </c>
      <c r="T169">
        <f>IF(COUNT($E$2:$E169)&lt;14,"",MAX($C$156:$C$169))</f>
        <v>0</v>
      </c>
      <c r="U169">
        <f>IF(COUNT($E$2:$E169)&lt;14,"",MIN($D$156:$D$169))</f>
        <v>0</v>
      </c>
      <c r="V169">
        <f>IF(OR(T169="",U169="",T169=U169),"",100*($E169-U169)/(T169-U169))</f>
        <v>0</v>
      </c>
      <c r="W169">
        <f>IF(COUNT($V$167:$V$169)&lt;3,"",AVERAGE($V$167:$V$169))</f>
        <v>0</v>
      </c>
      <c r="X169">
        <f>IF(COUNT($N$156:$N$169)&lt;14,"",MIN($N$156:$N$169))</f>
        <v>0</v>
      </c>
      <c r="Y169">
        <f>IF(COUNT($N$156:$N$169)&lt;14,"",MAX($N$156:$N$169))</f>
        <v>0</v>
      </c>
      <c r="Z169">
        <f>IF(OR(N169="",X169="",Y169="",Y169=X169),"",100*(N169-X169)/(Y169-X169))</f>
        <v>0</v>
      </c>
      <c r="AA169">
        <f>IF(COUNT($Z$167:$Z$169)&lt;3,"",AVERAGE($Z$167:$Z$169))</f>
        <v>0</v>
      </c>
      <c r="AB169">
        <f>IF(COUNT($AA$167:$AA$169)&lt;3,"",AVERAGE($AA$167:$AA$169))</f>
        <v>0</v>
      </c>
      <c r="AC169">
        <f>IF($E169="","",MAX($C169-$D169,ABS($C169-$E168),ABS($D169-$E168)))</f>
        <v>0</v>
      </c>
      <c r="AD169">
        <f>IF(COUNT($E$2:$E169)&lt;15,"",AVERAGE($AC$156:$AC$169))</f>
        <v>0</v>
      </c>
      <c r="AE169">
        <f>IF(OR($E169="",$E168=""),"",IF(AND(($C169-$C168)&gt;($D168-$D169),($C169-$C168)&gt;0),$C169-$C168,0))</f>
        <v>0</v>
      </c>
      <c r="AF169">
        <f>IF(OR($E169="",$E168=""),"",IF(AND(($D168-$D169)&gt;($C169-$C168),($D168-$D169)&gt;0),$D168-$D169,0))</f>
        <v>0</v>
      </c>
      <c r="AG169">
        <f>IF(COUNT($E$2:$E169)&lt;15,"",IF(SUM($AC$156:$AC$169)=0,0,100*SUM($AE$156:$AE$169)/SUM($AC$156:$AC$169)))</f>
        <v>0</v>
      </c>
      <c r="AH169">
        <f>IF(COUNT($E$2:$E169)&lt;15,"",IF(SUM($AC$156:$AC$169)=0,0,100*SUM($AF$156:$AF$169)/SUM($AC$156:$AC$169)))</f>
        <v>0</v>
      </c>
      <c r="AI169">
        <f>IF(OR(AG169="",AH169=""),"",IF((AG169+AH169)=0,0,100*ABS(AG169-AH169)/(AG169+AH169)))</f>
        <v>0</v>
      </c>
      <c r="AJ169">
        <f>IF(COUNT($AI$156:$AI$169)&lt;14,"",AVERAGE($AI$156:$AI$169))</f>
        <v>0</v>
      </c>
      <c r="AK169">
        <f>IF(COUNT($E$2:$E169)&lt;20,"",AVERAGE($E$150:$E$169))</f>
        <v>0</v>
      </c>
      <c r="AL169">
        <f>IF(COUNT($E$2:$E169)&lt;20,"",STDEVP($E$150:$E$169))</f>
        <v>0</v>
      </c>
      <c r="AM169">
        <f>IF(AK169="","",AK169+2*AL169)</f>
        <v>0</v>
      </c>
      <c r="AN169">
        <f>IF(AK169="","",AK169-2*AL169)</f>
        <v>0</v>
      </c>
      <c r="AO169">
        <f>IF(OR(AM169="",AN169="",AM169=AN169),"",($E169-AN169)/(AM169-AN169))</f>
        <v>0</v>
      </c>
      <c r="AP169">
        <f>IF(OR(AM169="",AK169="",AK169=0),"",(AM169-AN169)/AK169)</f>
        <v>0</v>
      </c>
      <c r="AQ169">
        <f>IF(COUNT($E$2:$E169)&lt;20,"",MAX($C$150:$C$169))</f>
        <v>0</v>
      </c>
      <c r="AR169">
        <f>IF(COUNT($E$2:$E169)&lt;20,"",MIN($D$150:$D$169))</f>
        <v>0</v>
      </c>
      <c r="AS169">
        <f>IF(OR(AQ169="",AR169=""),"",(AQ169+AR169)/2)</f>
        <v>0</v>
      </c>
      <c r="AT169">
        <f>IF(COUNT($G$150:$G$169)&lt;20,"",STDEV($G$150:$G$169)*SQRT(52))</f>
        <v>0</v>
      </c>
      <c r="AU169">
        <f>IF(COUNT($E$2:$E169)&lt;9,"",(MAX($C$161:$C$169)+MIN($D$161:$D$169))/2)</f>
        <v>0</v>
      </c>
      <c r="AV169">
        <f>IF(COUNT($E$2:$E169)&lt;26,"",(MAX($C$144:$C$169)+MIN($D$144:$D$169))/2)</f>
        <v>0</v>
      </c>
      <c r="AW169">
        <f>IF(OR(AU169="",AV169=""),"",(AU169+AV169)/2)</f>
        <v>0</v>
      </c>
      <c r="AX169">
        <f>IF(COUNT($E$2:$E169)&lt;52,"",(MAX($C$118:$C$169)+MIN($D$118:$D$169))/2)</f>
        <v>0</v>
      </c>
      <c r="AY169">
        <f>IF(COUNT($E$2:$E169)&lt;20,"",MAX($C$70:$C$169))</f>
        <v>0</v>
      </c>
      <c r="AZ169">
        <f>IF(COUNT($E$2:$E169)&lt;20,"",MIN($D$70:$D$169))</f>
        <v>0</v>
      </c>
      <c r="BA169">
        <f>IF(COUNT($E$2:$E169)&lt;20,"",SLOPE($E$70:$E$169,$F$70:$F$169))</f>
        <v>0</v>
      </c>
      <c r="BB169">
        <f>IF(COUNT($E$2:$E169)&lt;20,"",INTERCEPT($E$70:$E$169,$F$70:$F$169))</f>
        <v>0</v>
      </c>
      <c r="BC169">
        <f>IF(OR(BA169="",BB169=""),"",BB169+BA169*F169)</f>
        <v>0</v>
      </c>
      <c r="BD169">
        <f>IF(COUNT($E$2:$E169)&lt;20,"",STEYX($E$70:$E$169,$F$70:$F$169))</f>
        <v>0</v>
      </c>
      <c r="BE169">
        <f>IF($E169="","",IF(AND(COUNT($E$170:$E$173)&gt;=4,$C169=MAX($C$165:$C$173)),$C169,""))</f>
        <v>0</v>
      </c>
      <c r="BF169">
        <f>IF($E169="","",IF(AND(COUNT($E$170:$E$173)&gt;=4,$D169=MIN($D$165:$D$173)),$D169,""))</f>
        <v>0</v>
      </c>
      <c r="BG169">
        <f>IFERROR(SMALL(Calc_Daily!$BM$2:$BM$2001,168),"")</f>
        <v>0</v>
      </c>
    </row>
    <row r="170" spans="1:59">
      <c r="A170" s="27">
        <f>IF($BG170="","",INDEX(Calc_Daily!$A$2:$A$2001,$BG170))</f>
        <v>0</v>
      </c>
      <c r="B170">
        <f>IF($BG170="","",INDEX(Calc_Daily!$BJ$2:$BJ$2001,$BG170))</f>
        <v>0</v>
      </c>
      <c r="C170">
        <f>IF($BG170="","",INDEX(Calc_Daily!$BK$2:$BK$2001,$BG170))</f>
        <v>0</v>
      </c>
      <c r="D170">
        <f>IF($BG170="","",INDEX(Calc_Daily!$BL$2:$BL$2001,$BG170))</f>
        <v>0</v>
      </c>
      <c r="E170">
        <f>IF($BG170="","",INDEX(Calc_Daily!$E$2:$E$2001,$BG170))</f>
        <v>0</v>
      </c>
      <c r="F170">
        <f>IF($E170="","",N(F169)+1)</f>
        <v>0</v>
      </c>
      <c r="G170">
        <f>IF(OR($E170="",$E169=""),"",LN($E170/$E169))</f>
        <v>0</v>
      </c>
      <c r="H170">
        <f>IF($E170="","",IF($E169="",$E170,$E170*0.0952380952+H169*0.9047619048))</f>
        <v>0</v>
      </c>
      <c r="I170">
        <f>IF($E170="","",IF($E169="",$E170,$E170*0.0392156863+I169*0.9607843137))</f>
        <v>0</v>
      </c>
      <c r="J170">
        <f>IF($E170="","",IF($E169="",$E170,$E170*0.0198019802+J169*0.9801980198))</f>
        <v>0</v>
      </c>
      <c r="K170">
        <f>IF($E170="","",IF($E169="",$E170,$E170*0.0099502488+K169*0.9900497512))</f>
        <v>0</v>
      </c>
      <c r="L170">
        <f>IF(OR($E170="",$E169=""),"",MAX($E170-$E169,0))</f>
        <v>0</v>
      </c>
      <c r="M170">
        <f>IF(OR($E170="",$E169=""),"",MAX($E169-$E170,0))</f>
        <v>0</v>
      </c>
      <c r="N170">
        <f>IF(COUNT($E$2:$E170)&lt;15,"",IF(AVERAGE($M$157:$M$170)=0,100,100-100/(1+AVERAGE($L$157:$L$170)/AVERAGE($M$157:$M$170))))</f>
        <v>0</v>
      </c>
      <c r="O170">
        <f>IF($E170="","",IF($E169="",$E170,$E170*0.1538461538+O169*0.8461538462))</f>
        <v>0</v>
      </c>
      <c r="P170">
        <f>IF($E170="","",IF($E169="",$E170,$E170*0.0740740741+P169*0.9259259259))</f>
        <v>0</v>
      </c>
      <c r="Q170">
        <f>IF(OR(O170="",P170=""),"",O170-P170)</f>
        <v>0</v>
      </c>
      <c r="R170">
        <f>IF(Q170="","",IF(R169="",Q170,Q170*0.2000000000+R169*0.8000000000))</f>
        <v>0</v>
      </c>
      <c r="S170">
        <f>IF(OR(Q170="",R170=""),"",Q170-R170)</f>
        <v>0</v>
      </c>
      <c r="T170">
        <f>IF(COUNT($E$2:$E170)&lt;14,"",MAX($C$157:$C$170))</f>
        <v>0</v>
      </c>
      <c r="U170">
        <f>IF(COUNT($E$2:$E170)&lt;14,"",MIN($D$157:$D$170))</f>
        <v>0</v>
      </c>
      <c r="V170">
        <f>IF(OR(T170="",U170="",T170=U170),"",100*($E170-U170)/(T170-U170))</f>
        <v>0</v>
      </c>
      <c r="W170">
        <f>IF(COUNT($V$168:$V$170)&lt;3,"",AVERAGE($V$168:$V$170))</f>
        <v>0</v>
      </c>
      <c r="X170">
        <f>IF(COUNT($N$157:$N$170)&lt;14,"",MIN($N$157:$N$170))</f>
        <v>0</v>
      </c>
      <c r="Y170">
        <f>IF(COUNT($N$157:$N$170)&lt;14,"",MAX($N$157:$N$170))</f>
        <v>0</v>
      </c>
      <c r="Z170">
        <f>IF(OR(N170="",X170="",Y170="",Y170=X170),"",100*(N170-X170)/(Y170-X170))</f>
        <v>0</v>
      </c>
      <c r="AA170">
        <f>IF(COUNT($Z$168:$Z$170)&lt;3,"",AVERAGE($Z$168:$Z$170))</f>
        <v>0</v>
      </c>
      <c r="AB170">
        <f>IF(COUNT($AA$168:$AA$170)&lt;3,"",AVERAGE($AA$168:$AA$170))</f>
        <v>0</v>
      </c>
      <c r="AC170">
        <f>IF($E170="","",MAX($C170-$D170,ABS($C170-$E169),ABS($D170-$E169)))</f>
        <v>0</v>
      </c>
      <c r="AD170">
        <f>IF(COUNT($E$2:$E170)&lt;15,"",AVERAGE($AC$157:$AC$170))</f>
        <v>0</v>
      </c>
      <c r="AE170">
        <f>IF(OR($E170="",$E169=""),"",IF(AND(($C170-$C169)&gt;($D169-$D170),($C170-$C169)&gt;0),$C170-$C169,0))</f>
        <v>0</v>
      </c>
      <c r="AF170">
        <f>IF(OR($E170="",$E169=""),"",IF(AND(($D169-$D170)&gt;($C170-$C169),($D169-$D170)&gt;0),$D169-$D170,0))</f>
        <v>0</v>
      </c>
      <c r="AG170">
        <f>IF(COUNT($E$2:$E170)&lt;15,"",IF(SUM($AC$157:$AC$170)=0,0,100*SUM($AE$157:$AE$170)/SUM($AC$157:$AC$170)))</f>
        <v>0</v>
      </c>
      <c r="AH170">
        <f>IF(COUNT($E$2:$E170)&lt;15,"",IF(SUM($AC$157:$AC$170)=0,0,100*SUM($AF$157:$AF$170)/SUM($AC$157:$AC$170)))</f>
        <v>0</v>
      </c>
      <c r="AI170">
        <f>IF(OR(AG170="",AH170=""),"",IF((AG170+AH170)=0,0,100*ABS(AG170-AH170)/(AG170+AH170)))</f>
        <v>0</v>
      </c>
      <c r="AJ170">
        <f>IF(COUNT($AI$157:$AI$170)&lt;14,"",AVERAGE($AI$157:$AI$170))</f>
        <v>0</v>
      </c>
      <c r="AK170">
        <f>IF(COUNT($E$2:$E170)&lt;20,"",AVERAGE($E$151:$E$170))</f>
        <v>0</v>
      </c>
      <c r="AL170">
        <f>IF(COUNT($E$2:$E170)&lt;20,"",STDEVP($E$151:$E$170))</f>
        <v>0</v>
      </c>
      <c r="AM170">
        <f>IF(AK170="","",AK170+2*AL170)</f>
        <v>0</v>
      </c>
      <c r="AN170">
        <f>IF(AK170="","",AK170-2*AL170)</f>
        <v>0</v>
      </c>
      <c r="AO170">
        <f>IF(OR(AM170="",AN170="",AM170=AN170),"",($E170-AN170)/(AM170-AN170))</f>
        <v>0</v>
      </c>
      <c r="AP170">
        <f>IF(OR(AM170="",AK170="",AK170=0),"",(AM170-AN170)/AK170)</f>
        <v>0</v>
      </c>
      <c r="AQ170">
        <f>IF(COUNT($E$2:$E170)&lt;20,"",MAX($C$151:$C$170))</f>
        <v>0</v>
      </c>
      <c r="AR170">
        <f>IF(COUNT($E$2:$E170)&lt;20,"",MIN($D$151:$D$170))</f>
        <v>0</v>
      </c>
      <c r="AS170">
        <f>IF(OR(AQ170="",AR170=""),"",(AQ170+AR170)/2)</f>
        <v>0</v>
      </c>
      <c r="AT170">
        <f>IF(COUNT($G$151:$G$170)&lt;20,"",STDEV($G$151:$G$170)*SQRT(52))</f>
        <v>0</v>
      </c>
      <c r="AU170">
        <f>IF(COUNT($E$2:$E170)&lt;9,"",(MAX($C$162:$C$170)+MIN($D$162:$D$170))/2)</f>
        <v>0</v>
      </c>
      <c r="AV170">
        <f>IF(COUNT($E$2:$E170)&lt;26,"",(MAX($C$145:$C$170)+MIN($D$145:$D$170))/2)</f>
        <v>0</v>
      </c>
      <c r="AW170">
        <f>IF(OR(AU170="",AV170=""),"",(AU170+AV170)/2)</f>
        <v>0</v>
      </c>
      <c r="AX170">
        <f>IF(COUNT($E$2:$E170)&lt;52,"",(MAX($C$119:$C$170)+MIN($D$119:$D$170))/2)</f>
        <v>0</v>
      </c>
      <c r="AY170">
        <f>IF(COUNT($E$2:$E170)&lt;20,"",MAX($C$71:$C$170))</f>
        <v>0</v>
      </c>
      <c r="AZ170">
        <f>IF(COUNT($E$2:$E170)&lt;20,"",MIN($D$71:$D$170))</f>
        <v>0</v>
      </c>
      <c r="BA170">
        <f>IF(COUNT($E$2:$E170)&lt;20,"",SLOPE($E$71:$E$170,$F$71:$F$170))</f>
        <v>0</v>
      </c>
      <c r="BB170">
        <f>IF(COUNT($E$2:$E170)&lt;20,"",INTERCEPT($E$71:$E$170,$F$71:$F$170))</f>
        <v>0</v>
      </c>
      <c r="BC170">
        <f>IF(OR(BA170="",BB170=""),"",BB170+BA170*F170)</f>
        <v>0</v>
      </c>
      <c r="BD170">
        <f>IF(COUNT($E$2:$E170)&lt;20,"",STEYX($E$71:$E$170,$F$71:$F$170))</f>
        <v>0</v>
      </c>
      <c r="BE170">
        <f>IF($E170="","",IF(AND(COUNT($E$171:$E$174)&gt;=4,$C170=MAX($C$166:$C$174)),$C170,""))</f>
        <v>0</v>
      </c>
      <c r="BF170">
        <f>IF($E170="","",IF(AND(COUNT($E$171:$E$174)&gt;=4,$D170=MIN($D$166:$D$174)),$D170,""))</f>
        <v>0</v>
      </c>
      <c r="BG170">
        <f>IFERROR(SMALL(Calc_Daily!$BM$2:$BM$2001,169),"")</f>
        <v>0</v>
      </c>
    </row>
    <row r="171" spans="1:59">
      <c r="A171" s="27">
        <f>IF($BG171="","",INDEX(Calc_Daily!$A$2:$A$2001,$BG171))</f>
        <v>0</v>
      </c>
      <c r="B171">
        <f>IF($BG171="","",INDEX(Calc_Daily!$BJ$2:$BJ$2001,$BG171))</f>
        <v>0</v>
      </c>
      <c r="C171">
        <f>IF($BG171="","",INDEX(Calc_Daily!$BK$2:$BK$2001,$BG171))</f>
        <v>0</v>
      </c>
      <c r="D171">
        <f>IF($BG171="","",INDEX(Calc_Daily!$BL$2:$BL$2001,$BG171))</f>
        <v>0</v>
      </c>
      <c r="E171">
        <f>IF($BG171="","",INDEX(Calc_Daily!$E$2:$E$2001,$BG171))</f>
        <v>0</v>
      </c>
      <c r="F171">
        <f>IF($E171="","",N(F170)+1)</f>
        <v>0</v>
      </c>
      <c r="G171">
        <f>IF(OR($E171="",$E170=""),"",LN($E171/$E170))</f>
        <v>0</v>
      </c>
      <c r="H171">
        <f>IF($E171="","",IF($E170="",$E171,$E171*0.0952380952+H170*0.9047619048))</f>
        <v>0</v>
      </c>
      <c r="I171">
        <f>IF($E171="","",IF($E170="",$E171,$E171*0.0392156863+I170*0.9607843137))</f>
        <v>0</v>
      </c>
      <c r="J171">
        <f>IF($E171="","",IF($E170="",$E171,$E171*0.0198019802+J170*0.9801980198))</f>
        <v>0</v>
      </c>
      <c r="K171">
        <f>IF($E171="","",IF($E170="",$E171,$E171*0.0099502488+K170*0.9900497512))</f>
        <v>0</v>
      </c>
      <c r="L171">
        <f>IF(OR($E171="",$E170=""),"",MAX($E171-$E170,0))</f>
        <v>0</v>
      </c>
      <c r="M171">
        <f>IF(OR($E171="",$E170=""),"",MAX($E170-$E171,0))</f>
        <v>0</v>
      </c>
      <c r="N171">
        <f>IF(COUNT($E$2:$E171)&lt;15,"",IF(AVERAGE($M$158:$M$171)=0,100,100-100/(1+AVERAGE($L$158:$L$171)/AVERAGE($M$158:$M$171))))</f>
        <v>0</v>
      </c>
      <c r="O171">
        <f>IF($E171="","",IF($E170="",$E171,$E171*0.1538461538+O170*0.8461538462))</f>
        <v>0</v>
      </c>
      <c r="P171">
        <f>IF($E171="","",IF($E170="",$E171,$E171*0.0740740741+P170*0.9259259259))</f>
        <v>0</v>
      </c>
      <c r="Q171">
        <f>IF(OR(O171="",P171=""),"",O171-P171)</f>
        <v>0</v>
      </c>
      <c r="R171">
        <f>IF(Q171="","",IF(R170="",Q171,Q171*0.2000000000+R170*0.8000000000))</f>
        <v>0</v>
      </c>
      <c r="S171">
        <f>IF(OR(Q171="",R171=""),"",Q171-R171)</f>
        <v>0</v>
      </c>
      <c r="T171">
        <f>IF(COUNT($E$2:$E171)&lt;14,"",MAX($C$158:$C$171))</f>
        <v>0</v>
      </c>
      <c r="U171">
        <f>IF(COUNT($E$2:$E171)&lt;14,"",MIN($D$158:$D$171))</f>
        <v>0</v>
      </c>
      <c r="V171">
        <f>IF(OR(T171="",U171="",T171=U171),"",100*($E171-U171)/(T171-U171))</f>
        <v>0</v>
      </c>
      <c r="W171">
        <f>IF(COUNT($V$169:$V$171)&lt;3,"",AVERAGE($V$169:$V$171))</f>
        <v>0</v>
      </c>
      <c r="X171">
        <f>IF(COUNT($N$158:$N$171)&lt;14,"",MIN($N$158:$N$171))</f>
        <v>0</v>
      </c>
      <c r="Y171">
        <f>IF(COUNT($N$158:$N$171)&lt;14,"",MAX($N$158:$N$171))</f>
        <v>0</v>
      </c>
      <c r="Z171">
        <f>IF(OR(N171="",X171="",Y171="",Y171=X171),"",100*(N171-X171)/(Y171-X171))</f>
        <v>0</v>
      </c>
      <c r="AA171">
        <f>IF(COUNT($Z$169:$Z$171)&lt;3,"",AVERAGE($Z$169:$Z$171))</f>
        <v>0</v>
      </c>
      <c r="AB171">
        <f>IF(COUNT($AA$169:$AA$171)&lt;3,"",AVERAGE($AA$169:$AA$171))</f>
        <v>0</v>
      </c>
      <c r="AC171">
        <f>IF($E171="","",MAX($C171-$D171,ABS($C171-$E170),ABS($D171-$E170)))</f>
        <v>0</v>
      </c>
      <c r="AD171">
        <f>IF(COUNT($E$2:$E171)&lt;15,"",AVERAGE($AC$158:$AC$171))</f>
        <v>0</v>
      </c>
      <c r="AE171">
        <f>IF(OR($E171="",$E170=""),"",IF(AND(($C171-$C170)&gt;($D170-$D171),($C171-$C170)&gt;0),$C171-$C170,0))</f>
        <v>0</v>
      </c>
      <c r="AF171">
        <f>IF(OR($E171="",$E170=""),"",IF(AND(($D170-$D171)&gt;($C171-$C170),($D170-$D171)&gt;0),$D170-$D171,0))</f>
        <v>0</v>
      </c>
      <c r="AG171">
        <f>IF(COUNT($E$2:$E171)&lt;15,"",IF(SUM($AC$158:$AC$171)=0,0,100*SUM($AE$158:$AE$171)/SUM($AC$158:$AC$171)))</f>
        <v>0</v>
      </c>
      <c r="AH171">
        <f>IF(COUNT($E$2:$E171)&lt;15,"",IF(SUM($AC$158:$AC$171)=0,0,100*SUM($AF$158:$AF$171)/SUM($AC$158:$AC$171)))</f>
        <v>0</v>
      </c>
      <c r="AI171">
        <f>IF(OR(AG171="",AH171=""),"",IF((AG171+AH171)=0,0,100*ABS(AG171-AH171)/(AG171+AH171)))</f>
        <v>0</v>
      </c>
      <c r="AJ171">
        <f>IF(COUNT($AI$158:$AI$171)&lt;14,"",AVERAGE($AI$158:$AI$171))</f>
        <v>0</v>
      </c>
      <c r="AK171">
        <f>IF(COUNT($E$2:$E171)&lt;20,"",AVERAGE($E$152:$E$171))</f>
        <v>0</v>
      </c>
      <c r="AL171">
        <f>IF(COUNT($E$2:$E171)&lt;20,"",STDEVP($E$152:$E$171))</f>
        <v>0</v>
      </c>
      <c r="AM171">
        <f>IF(AK171="","",AK171+2*AL171)</f>
        <v>0</v>
      </c>
      <c r="AN171">
        <f>IF(AK171="","",AK171-2*AL171)</f>
        <v>0</v>
      </c>
      <c r="AO171">
        <f>IF(OR(AM171="",AN171="",AM171=AN171),"",($E171-AN171)/(AM171-AN171))</f>
        <v>0</v>
      </c>
      <c r="AP171">
        <f>IF(OR(AM171="",AK171="",AK171=0),"",(AM171-AN171)/AK171)</f>
        <v>0</v>
      </c>
      <c r="AQ171">
        <f>IF(COUNT($E$2:$E171)&lt;20,"",MAX($C$152:$C$171))</f>
        <v>0</v>
      </c>
      <c r="AR171">
        <f>IF(COUNT($E$2:$E171)&lt;20,"",MIN($D$152:$D$171))</f>
        <v>0</v>
      </c>
      <c r="AS171">
        <f>IF(OR(AQ171="",AR171=""),"",(AQ171+AR171)/2)</f>
        <v>0</v>
      </c>
      <c r="AT171">
        <f>IF(COUNT($G$152:$G$171)&lt;20,"",STDEV($G$152:$G$171)*SQRT(52))</f>
        <v>0</v>
      </c>
      <c r="AU171">
        <f>IF(COUNT($E$2:$E171)&lt;9,"",(MAX($C$163:$C$171)+MIN($D$163:$D$171))/2)</f>
        <v>0</v>
      </c>
      <c r="AV171">
        <f>IF(COUNT($E$2:$E171)&lt;26,"",(MAX($C$146:$C$171)+MIN($D$146:$D$171))/2)</f>
        <v>0</v>
      </c>
      <c r="AW171">
        <f>IF(OR(AU171="",AV171=""),"",(AU171+AV171)/2)</f>
        <v>0</v>
      </c>
      <c r="AX171">
        <f>IF(COUNT($E$2:$E171)&lt;52,"",(MAX($C$120:$C$171)+MIN($D$120:$D$171))/2)</f>
        <v>0</v>
      </c>
      <c r="AY171">
        <f>IF(COUNT($E$2:$E171)&lt;20,"",MAX($C$72:$C$171))</f>
        <v>0</v>
      </c>
      <c r="AZ171">
        <f>IF(COUNT($E$2:$E171)&lt;20,"",MIN($D$72:$D$171))</f>
        <v>0</v>
      </c>
      <c r="BA171">
        <f>IF(COUNT($E$2:$E171)&lt;20,"",SLOPE($E$72:$E$171,$F$72:$F$171))</f>
        <v>0</v>
      </c>
      <c r="BB171">
        <f>IF(COUNT($E$2:$E171)&lt;20,"",INTERCEPT($E$72:$E$171,$F$72:$F$171))</f>
        <v>0</v>
      </c>
      <c r="BC171">
        <f>IF(OR(BA171="",BB171=""),"",BB171+BA171*F171)</f>
        <v>0</v>
      </c>
      <c r="BD171">
        <f>IF(COUNT($E$2:$E171)&lt;20,"",STEYX($E$72:$E$171,$F$72:$F$171))</f>
        <v>0</v>
      </c>
      <c r="BE171">
        <f>IF($E171="","",IF(AND(COUNT($E$172:$E$175)&gt;=4,$C171=MAX($C$167:$C$175)),$C171,""))</f>
        <v>0</v>
      </c>
      <c r="BF171">
        <f>IF($E171="","",IF(AND(COUNT($E$172:$E$175)&gt;=4,$D171=MIN($D$167:$D$175)),$D171,""))</f>
        <v>0</v>
      </c>
      <c r="BG171">
        <f>IFERROR(SMALL(Calc_Daily!$BM$2:$BM$2001,170),"")</f>
        <v>0</v>
      </c>
    </row>
    <row r="172" spans="1:59">
      <c r="A172" s="27">
        <f>IF($BG172="","",INDEX(Calc_Daily!$A$2:$A$2001,$BG172))</f>
        <v>0</v>
      </c>
      <c r="B172">
        <f>IF($BG172="","",INDEX(Calc_Daily!$BJ$2:$BJ$2001,$BG172))</f>
        <v>0</v>
      </c>
      <c r="C172">
        <f>IF($BG172="","",INDEX(Calc_Daily!$BK$2:$BK$2001,$BG172))</f>
        <v>0</v>
      </c>
      <c r="D172">
        <f>IF($BG172="","",INDEX(Calc_Daily!$BL$2:$BL$2001,$BG172))</f>
        <v>0</v>
      </c>
      <c r="E172">
        <f>IF($BG172="","",INDEX(Calc_Daily!$E$2:$E$2001,$BG172))</f>
        <v>0</v>
      </c>
      <c r="F172">
        <f>IF($E172="","",N(F171)+1)</f>
        <v>0</v>
      </c>
      <c r="G172">
        <f>IF(OR($E172="",$E171=""),"",LN($E172/$E171))</f>
        <v>0</v>
      </c>
      <c r="H172">
        <f>IF($E172="","",IF($E171="",$E172,$E172*0.0952380952+H171*0.9047619048))</f>
        <v>0</v>
      </c>
      <c r="I172">
        <f>IF($E172="","",IF($E171="",$E172,$E172*0.0392156863+I171*0.9607843137))</f>
        <v>0</v>
      </c>
      <c r="J172">
        <f>IF($E172="","",IF($E171="",$E172,$E172*0.0198019802+J171*0.9801980198))</f>
        <v>0</v>
      </c>
      <c r="K172">
        <f>IF($E172="","",IF($E171="",$E172,$E172*0.0099502488+K171*0.9900497512))</f>
        <v>0</v>
      </c>
      <c r="L172">
        <f>IF(OR($E172="",$E171=""),"",MAX($E172-$E171,0))</f>
        <v>0</v>
      </c>
      <c r="M172">
        <f>IF(OR($E172="",$E171=""),"",MAX($E171-$E172,0))</f>
        <v>0</v>
      </c>
      <c r="N172">
        <f>IF(COUNT($E$2:$E172)&lt;15,"",IF(AVERAGE($M$159:$M$172)=0,100,100-100/(1+AVERAGE($L$159:$L$172)/AVERAGE($M$159:$M$172))))</f>
        <v>0</v>
      </c>
      <c r="O172">
        <f>IF($E172="","",IF($E171="",$E172,$E172*0.1538461538+O171*0.8461538462))</f>
        <v>0</v>
      </c>
      <c r="P172">
        <f>IF($E172="","",IF($E171="",$E172,$E172*0.0740740741+P171*0.9259259259))</f>
        <v>0</v>
      </c>
      <c r="Q172">
        <f>IF(OR(O172="",P172=""),"",O172-P172)</f>
        <v>0</v>
      </c>
      <c r="R172">
        <f>IF(Q172="","",IF(R171="",Q172,Q172*0.2000000000+R171*0.8000000000))</f>
        <v>0</v>
      </c>
      <c r="S172">
        <f>IF(OR(Q172="",R172=""),"",Q172-R172)</f>
        <v>0</v>
      </c>
      <c r="T172">
        <f>IF(COUNT($E$2:$E172)&lt;14,"",MAX($C$159:$C$172))</f>
        <v>0</v>
      </c>
      <c r="U172">
        <f>IF(COUNT($E$2:$E172)&lt;14,"",MIN($D$159:$D$172))</f>
        <v>0</v>
      </c>
      <c r="V172">
        <f>IF(OR(T172="",U172="",T172=U172),"",100*($E172-U172)/(T172-U172))</f>
        <v>0</v>
      </c>
      <c r="W172">
        <f>IF(COUNT($V$170:$V$172)&lt;3,"",AVERAGE($V$170:$V$172))</f>
        <v>0</v>
      </c>
      <c r="X172">
        <f>IF(COUNT($N$159:$N$172)&lt;14,"",MIN($N$159:$N$172))</f>
        <v>0</v>
      </c>
      <c r="Y172">
        <f>IF(COUNT($N$159:$N$172)&lt;14,"",MAX($N$159:$N$172))</f>
        <v>0</v>
      </c>
      <c r="Z172">
        <f>IF(OR(N172="",X172="",Y172="",Y172=X172),"",100*(N172-X172)/(Y172-X172))</f>
        <v>0</v>
      </c>
      <c r="AA172">
        <f>IF(COUNT($Z$170:$Z$172)&lt;3,"",AVERAGE($Z$170:$Z$172))</f>
        <v>0</v>
      </c>
      <c r="AB172">
        <f>IF(COUNT($AA$170:$AA$172)&lt;3,"",AVERAGE($AA$170:$AA$172))</f>
        <v>0</v>
      </c>
      <c r="AC172">
        <f>IF($E172="","",MAX($C172-$D172,ABS($C172-$E171),ABS($D172-$E171)))</f>
        <v>0</v>
      </c>
      <c r="AD172">
        <f>IF(COUNT($E$2:$E172)&lt;15,"",AVERAGE($AC$159:$AC$172))</f>
        <v>0</v>
      </c>
      <c r="AE172">
        <f>IF(OR($E172="",$E171=""),"",IF(AND(($C172-$C171)&gt;($D171-$D172),($C172-$C171)&gt;0),$C172-$C171,0))</f>
        <v>0</v>
      </c>
      <c r="AF172">
        <f>IF(OR($E172="",$E171=""),"",IF(AND(($D171-$D172)&gt;($C172-$C171),($D171-$D172)&gt;0),$D171-$D172,0))</f>
        <v>0</v>
      </c>
      <c r="AG172">
        <f>IF(COUNT($E$2:$E172)&lt;15,"",IF(SUM($AC$159:$AC$172)=0,0,100*SUM($AE$159:$AE$172)/SUM($AC$159:$AC$172)))</f>
        <v>0</v>
      </c>
      <c r="AH172">
        <f>IF(COUNT($E$2:$E172)&lt;15,"",IF(SUM($AC$159:$AC$172)=0,0,100*SUM($AF$159:$AF$172)/SUM($AC$159:$AC$172)))</f>
        <v>0</v>
      </c>
      <c r="AI172">
        <f>IF(OR(AG172="",AH172=""),"",IF((AG172+AH172)=0,0,100*ABS(AG172-AH172)/(AG172+AH172)))</f>
        <v>0</v>
      </c>
      <c r="AJ172">
        <f>IF(COUNT($AI$159:$AI$172)&lt;14,"",AVERAGE($AI$159:$AI$172))</f>
        <v>0</v>
      </c>
      <c r="AK172">
        <f>IF(COUNT($E$2:$E172)&lt;20,"",AVERAGE($E$153:$E$172))</f>
        <v>0</v>
      </c>
      <c r="AL172">
        <f>IF(COUNT($E$2:$E172)&lt;20,"",STDEVP($E$153:$E$172))</f>
        <v>0</v>
      </c>
      <c r="AM172">
        <f>IF(AK172="","",AK172+2*AL172)</f>
        <v>0</v>
      </c>
      <c r="AN172">
        <f>IF(AK172="","",AK172-2*AL172)</f>
        <v>0</v>
      </c>
      <c r="AO172">
        <f>IF(OR(AM172="",AN172="",AM172=AN172),"",($E172-AN172)/(AM172-AN172))</f>
        <v>0</v>
      </c>
      <c r="AP172">
        <f>IF(OR(AM172="",AK172="",AK172=0),"",(AM172-AN172)/AK172)</f>
        <v>0</v>
      </c>
      <c r="AQ172">
        <f>IF(COUNT($E$2:$E172)&lt;20,"",MAX($C$153:$C$172))</f>
        <v>0</v>
      </c>
      <c r="AR172">
        <f>IF(COUNT($E$2:$E172)&lt;20,"",MIN($D$153:$D$172))</f>
        <v>0</v>
      </c>
      <c r="AS172">
        <f>IF(OR(AQ172="",AR172=""),"",(AQ172+AR172)/2)</f>
        <v>0</v>
      </c>
      <c r="AT172">
        <f>IF(COUNT($G$153:$G$172)&lt;20,"",STDEV($G$153:$G$172)*SQRT(52))</f>
        <v>0</v>
      </c>
      <c r="AU172">
        <f>IF(COUNT($E$2:$E172)&lt;9,"",(MAX($C$164:$C$172)+MIN($D$164:$D$172))/2)</f>
        <v>0</v>
      </c>
      <c r="AV172">
        <f>IF(COUNT($E$2:$E172)&lt;26,"",(MAX($C$147:$C$172)+MIN($D$147:$D$172))/2)</f>
        <v>0</v>
      </c>
      <c r="AW172">
        <f>IF(OR(AU172="",AV172=""),"",(AU172+AV172)/2)</f>
        <v>0</v>
      </c>
      <c r="AX172">
        <f>IF(COUNT($E$2:$E172)&lt;52,"",(MAX($C$121:$C$172)+MIN($D$121:$D$172))/2)</f>
        <v>0</v>
      </c>
      <c r="AY172">
        <f>IF(COUNT($E$2:$E172)&lt;20,"",MAX($C$73:$C$172))</f>
        <v>0</v>
      </c>
      <c r="AZ172">
        <f>IF(COUNT($E$2:$E172)&lt;20,"",MIN($D$73:$D$172))</f>
        <v>0</v>
      </c>
      <c r="BA172">
        <f>IF(COUNT($E$2:$E172)&lt;20,"",SLOPE($E$73:$E$172,$F$73:$F$172))</f>
        <v>0</v>
      </c>
      <c r="BB172">
        <f>IF(COUNT($E$2:$E172)&lt;20,"",INTERCEPT($E$73:$E$172,$F$73:$F$172))</f>
        <v>0</v>
      </c>
      <c r="BC172">
        <f>IF(OR(BA172="",BB172=""),"",BB172+BA172*F172)</f>
        <v>0</v>
      </c>
      <c r="BD172">
        <f>IF(COUNT($E$2:$E172)&lt;20,"",STEYX($E$73:$E$172,$F$73:$F$172))</f>
        <v>0</v>
      </c>
      <c r="BE172">
        <f>IF($E172="","",IF(AND(COUNT($E$173:$E$176)&gt;=4,$C172=MAX($C$168:$C$176)),$C172,""))</f>
        <v>0</v>
      </c>
      <c r="BF172">
        <f>IF($E172="","",IF(AND(COUNT($E$173:$E$176)&gt;=4,$D172=MIN($D$168:$D$176)),$D172,""))</f>
        <v>0</v>
      </c>
      <c r="BG172">
        <f>IFERROR(SMALL(Calc_Daily!$BM$2:$BM$2001,171),"")</f>
        <v>0</v>
      </c>
    </row>
    <row r="173" spans="1:59">
      <c r="A173" s="27">
        <f>IF($BG173="","",INDEX(Calc_Daily!$A$2:$A$2001,$BG173))</f>
        <v>0</v>
      </c>
      <c r="B173">
        <f>IF($BG173="","",INDEX(Calc_Daily!$BJ$2:$BJ$2001,$BG173))</f>
        <v>0</v>
      </c>
      <c r="C173">
        <f>IF($BG173="","",INDEX(Calc_Daily!$BK$2:$BK$2001,$BG173))</f>
        <v>0</v>
      </c>
      <c r="D173">
        <f>IF($BG173="","",INDEX(Calc_Daily!$BL$2:$BL$2001,$BG173))</f>
        <v>0</v>
      </c>
      <c r="E173">
        <f>IF($BG173="","",INDEX(Calc_Daily!$E$2:$E$2001,$BG173))</f>
        <v>0</v>
      </c>
      <c r="F173">
        <f>IF($E173="","",N(F172)+1)</f>
        <v>0</v>
      </c>
      <c r="G173">
        <f>IF(OR($E173="",$E172=""),"",LN($E173/$E172))</f>
        <v>0</v>
      </c>
      <c r="H173">
        <f>IF($E173="","",IF($E172="",$E173,$E173*0.0952380952+H172*0.9047619048))</f>
        <v>0</v>
      </c>
      <c r="I173">
        <f>IF($E173="","",IF($E172="",$E173,$E173*0.0392156863+I172*0.9607843137))</f>
        <v>0</v>
      </c>
      <c r="J173">
        <f>IF($E173="","",IF($E172="",$E173,$E173*0.0198019802+J172*0.9801980198))</f>
        <v>0</v>
      </c>
      <c r="K173">
        <f>IF($E173="","",IF($E172="",$E173,$E173*0.0099502488+K172*0.9900497512))</f>
        <v>0</v>
      </c>
      <c r="L173">
        <f>IF(OR($E173="",$E172=""),"",MAX($E173-$E172,0))</f>
        <v>0</v>
      </c>
      <c r="M173">
        <f>IF(OR($E173="",$E172=""),"",MAX($E172-$E173,0))</f>
        <v>0</v>
      </c>
      <c r="N173">
        <f>IF(COUNT($E$2:$E173)&lt;15,"",IF(AVERAGE($M$160:$M$173)=0,100,100-100/(1+AVERAGE($L$160:$L$173)/AVERAGE($M$160:$M$173))))</f>
        <v>0</v>
      </c>
      <c r="O173">
        <f>IF($E173="","",IF($E172="",$E173,$E173*0.1538461538+O172*0.8461538462))</f>
        <v>0</v>
      </c>
      <c r="P173">
        <f>IF($E173="","",IF($E172="",$E173,$E173*0.0740740741+P172*0.9259259259))</f>
        <v>0</v>
      </c>
      <c r="Q173">
        <f>IF(OR(O173="",P173=""),"",O173-P173)</f>
        <v>0</v>
      </c>
      <c r="R173">
        <f>IF(Q173="","",IF(R172="",Q173,Q173*0.2000000000+R172*0.8000000000))</f>
        <v>0</v>
      </c>
      <c r="S173">
        <f>IF(OR(Q173="",R173=""),"",Q173-R173)</f>
        <v>0</v>
      </c>
      <c r="T173">
        <f>IF(COUNT($E$2:$E173)&lt;14,"",MAX($C$160:$C$173))</f>
        <v>0</v>
      </c>
      <c r="U173">
        <f>IF(COUNT($E$2:$E173)&lt;14,"",MIN($D$160:$D$173))</f>
        <v>0</v>
      </c>
      <c r="V173">
        <f>IF(OR(T173="",U173="",T173=U173),"",100*($E173-U173)/(T173-U173))</f>
        <v>0</v>
      </c>
      <c r="W173">
        <f>IF(COUNT($V$171:$V$173)&lt;3,"",AVERAGE($V$171:$V$173))</f>
        <v>0</v>
      </c>
      <c r="X173">
        <f>IF(COUNT($N$160:$N$173)&lt;14,"",MIN($N$160:$N$173))</f>
        <v>0</v>
      </c>
      <c r="Y173">
        <f>IF(COUNT($N$160:$N$173)&lt;14,"",MAX($N$160:$N$173))</f>
        <v>0</v>
      </c>
      <c r="Z173">
        <f>IF(OR(N173="",X173="",Y173="",Y173=X173),"",100*(N173-X173)/(Y173-X173))</f>
        <v>0</v>
      </c>
      <c r="AA173">
        <f>IF(COUNT($Z$171:$Z$173)&lt;3,"",AVERAGE($Z$171:$Z$173))</f>
        <v>0</v>
      </c>
      <c r="AB173">
        <f>IF(COUNT($AA$171:$AA$173)&lt;3,"",AVERAGE($AA$171:$AA$173))</f>
        <v>0</v>
      </c>
      <c r="AC173">
        <f>IF($E173="","",MAX($C173-$D173,ABS($C173-$E172),ABS($D173-$E172)))</f>
        <v>0</v>
      </c>
      <c r="AD173">
        <f>IF(COUNT($E$2:$E173)&lt;15,"",AVERAGE($AC$160:$AC$173))</f>
        <v>0</v>
      </c>
      <c r="AE173">
        <f>IF(OR($E173="",$E172=""),"",IF(AND(($C173-$C172)&gt;($D172-$D173),($C173-$C172)&gt;0),$C173-$C172,0))</f>
        <v>0</v>
      </c>
      <c r="AF173">
        <f>IF(OR($E173="",$E172=""),"",IF(AND(($D172-$D173)&gt;($C173-$C172),($D172-$D173)&gt;0),$D172-$D173,0))</f>
        <v>0</v>
      </c>
      <c r="AG173">
        <f>IF(COUNT($E$2:$E173)&lt;15,"",IF(SUM($AC$160:$AC$173)=0,0,100*SUM($AE$160:$AE$173)/SUM($AC$160:$AC$173)))</f>
        <v>0</v>
      </c>
      <c r="AH173">
        <f>IF(COUNT($E$2:$E173)&lt;15,"",IF(SUM($AC$160:$AC$173)=0,0,100*SUM($AF$160:$AF$173)/SUM($AC$160:$AC$173)))</f>
        <v>0</v>
      </c>
      <c r="AI173">
        <f>IF(OR(AG173="",AH173=""),"",IF((AG173+AH173)=0,0,100*ABS(AG173-AH173)/(AG173+AH173)))</f>
        <v>0</v>
      </c>
      <c r="AJ173">
        <f>IF(COUNT($AI$160:$AI$173)&lt;14,"",AVERAGE($AI$160:$AI$173))</f>
        <v>0</v>
      </c>
      <c r="AK173">
        <f>IF(COUNT($E$2:$E173)&lt;20,"",AVERAGE($E$154:$E$173))</f>
        <v>0</v>
      </c>
      <c r="AL173">
        <f>IF(COUNT($E$2:$E173)&lt;20,"",STDEVP($E$154:$E$173))</f>
        <v>0</v>
      </c>
      <c r="AM173">
        <f>IF(AK173="","",AK173+2*AL173)</f>
        <v>0</v>
      </c>
      <c r="AN173">
        <f>IF(AK173="","",AK173-2*AL173)</f>
        <v>0</v>
      </c>
      <c r="AO173">
        <f>IF(OR(AM173="",AN173="",AM173=AN173),"",($E173-AN173)/(AM173-AN173))</f>
        <v>0</v>
      </c>
      <c r="AP173">
        <f>IF(OR(AM173="",AK173="",AK173=0),"",(AM173-AN173)/AK173)</f>
        <v>0</v>
      </c>
      <c r="AQ173">
        <f>IF(COUNT($E$2:$E173)&lt;20,"",MAX($C$154:$C$173))</f>
        <v>0</v>
      </c>
      <c r="AR173">
        <f>IF(COUNT($E$2:$E173)&lt;20,"",MIN($D$154:$D$173))</f>
        <v>0</v>
      </c>
      <c r="AS173">
        <f>IF(OR(AQ173="",AR173=""),"",(AQ173+AR173)/2)</f>
        <v>0</v>
      </c>
      <c r="AT173">
        <f>IF(COUNT($G$154:$G$173)&lt;20,"",STDEV($G$154:$G$173)*SQRT(52))</f>
        <v>0</v>
      </c>
      <c r="AU173">
        <f>IF(COUNT($E$2:$E173)&lt;9,"",(MAX($C$165:$C$173)+MIN($D$165:$D$173))/2)</f>
        <v>0</v>
      </c>
      <c r="AV173">
        <f>IF(COUNT($E$2:$E173)&lt;26,"",(MAX($C$148:$C$173)+MIN($D$148:$D$173))/2)</f>
        <v>0</v>
      </c>
      <c r="AW173">
        <f>IF(OR(AU173="",AV173=""),"",(AU173+AV173)/2)</f>
        <v>0</v>
      </c>
      <c r="AX173">
        <f>IF(COUNT($E$2:$E173)&lt;52,"",(MAX($C$122:$C$173)+MIN($D$122:$D$173))/2)</f>
        <v>0</v>
      </c>
      <c r="AY173">
        <f>IF(COUNT($E$2:$E173)&lt;20,"",MAX($C$74:$C$173))</f>
        <v>0</v>
      </c>
      <c r="AZ173">
        <f>IF(COUNT($E$2:$E173)&lt;20,"",MIN($D$74:$D$173))</f>
        <v>0</v>
      </c>
      <c r="BA173">
        <f>IF(COUNT($E$2:$E173)&lt;20,"",SLOPE($E$74:$E$173,$F$74:$F$173))</f>
        <v>0</v>
      </c>
      <c r="BB173">
        <f>IF(COUNT($E$2:$E173)&lt;20,"",INTERCEPT($E$74:$E$173,$F$74:$F$173))</f>
        <v>0</v>
      </c>
      <c r="BC173">
        <f>IF(OR(BA173="",BB173=""),"",BB173+BA173*F173)</f>
        <v>0</v>
      </c>
      <c r="BD173">
        <f>IF(COUNT($E$2:$E173)&lt;20,"",STEYX($E$74:$E$173,$F$74:$F$173))</f>
        <v>0</v>
      </c>
      <c r="BE173">
        <f>IF($E173="","",IF(AND(COUNT($E$174:$E$177)&gt;=4,$C173=MAX($C$169:$C$177)),$C173,""))</f>
        <v>0</v>
      </c>
      <c r="BF173">
        <f>IF($E173="","",IF(AND(COUNT($E$174:$E$177)&gt;=4,$D173=MIN($D$169:$D$177)),$D173,""))</f>
        <v>0</v>
      </c>
      <c r="BG173">
        <f>IFERROR(SMALL(Calc_Daily!$BM$2:$BM$2001,172),"")</f>
        <v>0</v>
      </c>
    </row>
    <row r="174" spans="1:59">
      <c r="A174" s="27">
        <f>IF($BG174="","",INDEX(Calc_Daily!$A$2:$A$2001,$BG174))</f>
        <v>0</v>
      </c>
      <c r="B174">
        <f>IF($BG174="","",INDEX(Calc_Daily!$BJ$2:$BJ$2001,$BG174))</f>
        <v>0</v>
      </c>
      <c r="C174">
        <f>IF($BG174="","",INDEX(Calc_Daily!$BK$2:$BK$2001,$BG174))</f>
        <v>0</v>
      </c>
      <c r="D174">
        <f>IF($BG174="","",INDEX(Calc_Daily!$BL$2:$BL$2001,$BG174))</f>
        <v>0</v>
      </c>
      <c r="E174">
        <f>IF($BG174="","",INDEX(Calc_Daily!$E$2:$E$2001,$BG174))</f>
        <v>0</v>
      </c>
      <c r="F174">
        <f>IF($E174="","",N(F173)+1)</f>
        <v>0</v>
      </c>
      <c r="G174">
        <f>IF(OR($E174="",$E173=""),"",LN($E174/$E173))</f>
        <v>0</v>
      </c>
      <c r="H174">
        <f>IF($E174="","",IF($E173="",$E174,$E174*0.0952380952+H173*0.9047619048))</f>
        <v>0</v>
      </c>
      <c r="I174">
        <f>IF($E174="","",IF($E173="",$E174,$E174*0.0392156863+I173*0.9607843137))</f>
        <v>0</v>
      </c>
      <c r="J174">
        <f>IF($E174="","",IF($E173="",$E174,$E174*0.0198019802+J173*0.9801980198))</f>
        <v>0</v>
      </c>
      <c r="K174">
        <f>IF($E174="","",IF($E173="",$E174,$E174*0.0099502488+K173*0.9900497512))</f>
        <v>0</v>
      </c>
      <c r="L174">
        <f>IF(OR($E174="",$E173=""),"",MAX($E174-$E173,0))</f>
        <v>0</v>
      </c>
      <c r="M174">
        <f>IF(OR($E174="",$E173=""),"",MAX($E173-$E174,0))</f>
        <v>0</v>
      </c>
      <c r="N174">
        <f>IF(COUNT($E$2:$E174)&lt;15,"",IF(AVERAGE($M$161:$M$174)=0,100,100-100/(1+AVERAGE($L$161:$L$174)/AVERAGE($M$161:$M$174))))</f>
        <v>0</v>
      </c>
      <c r="O174">
        <f>IF($E174="","",IF($E173="",$E174,$E174*0.1538461538+O173*0.8461538462))</f>
        <v>0</v>
      </c>
      <c r="P174">
        <f>IF($E174="","",IF($E173="",$E174,$E174*0.0740740741+P173*0.9259259259))</f>
        <v>0</v>
      </c>
      <c r="Q174">
        <f>IF(OR(O174="",P174=""),"",O174-P174)</f>
        <v>0</v>
      </c>
      <c r="R174">
        <f>IF(Q174="","",IF(R173="",Q174,Q174*0.2000000000+R173*0.8000000000))</f>
        <v>0</v>
      </c>
      <c r="S174">
        <f>IF(OR(Q174="",R174=""),"",Q174-R174)</f>
        <v>0</v>
      </c>
      <c r="T174">
        <f>IF(COUNT($E$2:$E174)&lt;14,"",MAX($C$161:$C$174))</f>
        <v>0</v>
      </c>
      <c r="U174">
        <f>IF(COUNT($E$2:$E174)&lt;14,"",MIN($D$161:$D$174))</f>
        <v>0</v>
      </c>
      <c r="V174">
        <f>IF(OR(T174="",U174="",T174=U174),"",100*($E174-U174)/(T174-U174))</f>
        <v>0</v>
      </c>
      <c r="W174">
        <f>IF(COUNT($V$172:$V$174)&lt;3,"",AVERAGE($V$172:$V$174))</f>
        <v>0</v>
      </c>
      <c r="X174">
        <f>IF(COUNT($N$161:$N$174)&lt;14,"",MIN($N$161:$N$174))</f>
        <v>0</v>
      </c>
      <c r="Y174">
        <f>IF(COUNT($N$161:$N$174)&lt;14,"",MAX($N$161:$N$174))</f>
        <v>0</v>
      </c>
      <c r="Z174">
        <f>IF(OR(N174="",X174="",Y174="",Y174=X174),"",100*(N174-X174)/(Y174-X174))</f>
        <v>0</v>
      </c>
      <c r="AA174">
        <f>IF(COUNT($Z$172:$Z$174)&lt;3,"",AVERAGE($Z$172:$Z$174))</f>
        <v>0</v>
      </c>
      <c r="AB174">
        <f>IF(COUNT($AA$172:$AA$174)&lt;3,"",AVERAGE($AA$172:$AA$174))</f>
        <v>0</v>
      </c>
      <c r="AC174">
        <f>IF($E174="","",MAX($C174-$D174,ABS($C174-$E173),ABS($D174-$E173)))</f>
        <v>0</v>
      </c>
      <c r="AD174">
        <f>IF(COUNT($E$2:$E174)&lt;15,"",AVERAGE($AC$161:$AC$174))</f>
        <v>0</v>
      </c>
      <c r="AE174">
        <f>IF(OR($E174="",$E173=""),"",IF(AND(($C174-$C173)&gt;($D173-$D174),($C174-$C173)&gt;0),$C174-$C173,0))</f>
        <v>0</v>
      </c>
      <c r="AF174">
        <f>IF(OR($E174="",$E173=""),"",IF(AND(($D173-$D174)&gt;($C174-$C173),($D173-$D174)&gt;0),$D173-$D174,0))</f>
        <v>0</v>
      </c>
      <c r="AG174">
        <f>IF(COUNT($E$2:$E174)&lt;15,"",IF(SUM($AC$161:$AC$174)=0,0,100*SUM($AE$161:$AE$174)/SUM($AC$161:$AC$174)))</f>
        <v>0</v>
      </c>
      <c r="AH174">
        <f>IF(COUNT($E$2:$E174)&lt;15,"",IF(SUM($AC$161:$AC$174)=0,0,100*SUM($AF$161:$AF$174)/SUM($AC$161:$AC$174)))</f>
        <v>0</v>
      </c>
      <c r="AI174">
        <f>IF(OR(AG174="",AH174=""),"",IF((AG174+AH174)=0,0,100*ABS(AG174-AH174)/(AG174+AH174)))</f>
        <v>0</v>
      </c>
      <c r="AJ174">
        <f>IF(COUNT($AI$161:$AI$174)&lt;14,"",AVERAGE($AI$161:$AI$174))</f>
        <v>0</v>
      </c>
      <c r="AK174">
        <f>IF(COUNT($E$2:$E174)&lt;20,"",AVERAGE($E$155:$E$174))</f>
        <v>0</v>
      </c>
      <c r="AL174">
        <f>IF(COUNT($E$2:$E174)&lt;20,"",STDEVP($E$155:$E$174))</f>
        <v>0</v>
      </c>
      <c r="AM174">
        <f>IF(AK174="","",AK174+2*AL174)</f>
        <v>0</v>
      </c>
      <c r="AN174">
        <f>IF(AK174="","",AK174-2*AL174)</f>
        <v>0</v>
      </c>
      <c r="AO174">
        <f>IF(OR(AM174="",AN174="",AM174=AN174),"",($E174-AN174)/(AM174-AN174))</f>
        <v>0</v>
      </c>
      <c r="AP174">
        <f>IF(OR(AM174="",AK174="",AK174=0),"",(AM174-AN174)/AK174)</f>
        <v>0</v>
      </c>
      <c r="AQ174">
        <f>IF(COUNT($E$2:$E174)&lt;20,"",MAX($C$155:$C$174))</f>
        <v>0</v>
      </c>
      <c r="AR174">
        <f>IF(COUNT($E$2:$E174)&lt;20,"",MIN($D$155:$D$174))</f>
        <v>0</v>
      </c>
      <c r="AS174">
        <f>IF(OR(AQ174="",AR174=""),"",(AQ174+AR174)/2)</f>
        <v>0</v>
      </c>
      <c r="AT174">
        <f>IF(COUNT($G$155:$G$174)&lt;20,"",STDEV($G$155:$G$174)*SQRT(52))</f>
        <v>0</v>
      </c>
      <c r="AU174">
        <f>IF(COUNT($E$2:$E174)&lt;9,"",(MAX($C$166:$C$174)+MIN($D$166:$D$174))/2)</f>
        <v>0</v>
      </c>
      <c r="AV174">
        <f>IF(COUNT($E$2:$E174)&lt;26,"",(MAX($C$149:$C$174)+MIN($D$149:$D$174))/2)</f>
        <v>0</v>
      </c>
      <c r="AW174">
        <f>IF(OR(AU174="",AV174=""),"",(AU174+AV174)/2)</f>
        <v>0</v>
      </c>
      <c r="AX174">
        <f>IF(COUNT($E$2:$E174)&lt;52,"",(MAX($C$123:$C$174)+MIN($D$123:$D$174))/2)</f>
        <v>0</v>
      </c>
      <c r="AY174">
        <f>IF(COUNT($E$2:$E174)&lt;20,"",MAX($C$75:$C$174))</f>
        <v>0</v>
      </c>
      <c r="AZ174">
        <f>IF(COUNT($E$2:$E174)&lt;20,"",MIN($D$75:$D$174))</f>
        <v>0</v>
      </c>
      <c r="BA174">
        <f>IF(COUNT($E$2:$E174)&lt;20,"",SLOPE($E$75:$E$174,$F$75:$F$174))</f>
        <v>0</v>
      </c>
      <c r="BB174">
        <f>IF(COUNT($E$2:$E174)&lt;20,"",INTERCEPT($E$75:$E$174,$F$75:$F$174))</f>
        <v>0</v>
      </c>
      <c r="BC174">
        <f>IF(OR(BA174="",BB174=""),"",BB174+BA174*F174)</f>
        <v>0</v>
      </c>
      <c r="BD174">
        <f>IF(COUNT($E$2:$E174)&lt;20,"",STEYX($E$75:$E$174,$F$75:$F$174))</f>
        <v>0</v>
      </c>
      <c r="BE174">
        <f>IF($E174="","",IF(AND(COUNT($E$175:$E$178)&gt;=4,$C174=MAX($C$170:$C$178)),$C174,""))</f>
        <v>0</v>
      </c>
      <c r="BF174">
        <f>IF($E174="","",IF(AND(COUNT($E$175:$E$178)&gt;=4,$D174=MIN($D$170:$D$178)),$D174,""))</f>
        <v>0</v>
      </c>
      <c r="BG174">
        <f>IFERROR(SMALL(Calc_Daily!$BM$2:$BM$2001,173),"")</f>
        <v>0</v>
      </c>
    </row>
    <row r="175" spans="1:59">
      <c r="A175" s="27">
        <f>IF($BG175="","",INDEX(Calc_Daily!$A$2:$A$2001,$BG175))</f>
        <v>0</v>
      </c>
      <c r="B175">
        <f>IF($BG175="","",INDEX(Calc_Daily!$BJ$2:$BJ$2001,$BG175))</f>
        <v>0</v>
      </c>
      <c r="C175">
        <f>IF($BG175="","",INDEX(Calc_Daily!$BK$2:$BK$2001,$BG175))</f>
        <v>0</v>
      </c>
      <c r="D175">
        <f>IF($BG175="","",INDEX(Calc_Daily!$BL$2:$BL$2001,$BG175))</f>
        <v>0</v>
      </c>
      <c r="E175">
        <f>IF($BG175="","",INDEX(Calc_Daily!$E$2:$E$2001,$BG175))</f>
        <v>0</v>
      </c>
      <c r="F175">
        <f>IF($E175="","",N(F174)+1)</f>
        <v>0</v>
      </c>
      <c r="G175">
        <f>IF(OR($E175="",$E174=""),"",LN($E175/$E174))</f>
        <v>0</v>
      </c>
      <c r="H175">
        <f>IF($E175="","",IF($E174="",$E175,$E175*0.0952380952+H174*0.9047619048))</f>
        <v>0</v>
      </c>
      <c r="I175">
        <f>IF($E175="","",IF($E174="",$E175,$E175*0.0392156863+I174*0.9607843137))</f>
        <v>0</v>
      </c>
      <c r="J175">
        <f>IF($E175="","",IF($E174="",$E175,$E175*0.0198019802+J174*0.9801980198))</f>
        <v>0</v>
      </c>
      <c r="K175">
        <f>IF($E175="","",IF($E174="",$E175,$E175*0.0099502488+K174*0.9900497512))</f>
        <v>0</v>
      </c>
      <c r="L175">
        <f>IF(OR($E175="",$E174=""),"",MAX($E175-$E174,0))</f>
        <v>0</v>
      </c>
      <c r="M175">
        <f>IF(OR($E175="",$E174=""),"",MAX($E174-$E175,0))</f>
        <v>0</v>
      </c>
      <c r="N175">
        <f>IF(COUNT($E$2:$E175)&lt;15,"",IF(AVERAGE($M$162:$M$175)=0,100,100-100/(1+AVERAGE($L$162:$L$175)/AVERAGE($M$162:$M$175))))</f>
        <v>0</v>
      </c>
      <c r="O175">
        <f>IF($E175="","",IF($E174="",$E175,$E175*0.1538461538+O174*0.8461538462))</f>
        <v>0</v>
      </c>
      <c r="P175">
        <f>IF($E175="","",IF($E174="",$E175,$E175*0.0740740741+P174*0.9259259259))</f>
        <v>0</v>
      </c>
      <c r="Q175">
        <f>IF(OR(O175="",P175=""),"",O175-P175)</f>
        <v>0</v>
      </c>
      <c r="R175">
        <f>IF(Q175="","",IF(R174="",Q175,Q175*0.2000000000+R174*0.8000000000))</f>
        <v>0</v>
      </c>
      <c r="S175">
        <f>IF(OR(Q175="",R175=""),"",Q175-R175)</f>
        <v>0</v>
      </c>
      <c r="T175">
        <f>IF(COUNT($E$2:$E175)&lt;14,"",MAX($C$162:$C$175))</f>
        <v>0</v>
      </c>
      <c r="U175">
        <f>IF(COUNT($E$2:$E175)&lt;14,"",MIN($D$162:$D$175))</f>
        <v>0</v>
      </c>
      <c r="V175">
        <f>IF(OR(T175="",U175="",T175=U175),"",100*($E175-U175)/(T175-U175))</f>
        <v>0</v>
      </c>
      <c r="W175">
        <f>IF(COUNT($V$173:$V$175)&lt;3,"",AVERAGE($V$173:$V$175))</f>
        <v>0</v>
      </c>
      <c r="X175">
        <f>IF(COUNT($N$162:$N$175)&lt;14,"",MIN($N$162:$N$175))</f>
        <v>0</v>
      </c>
      <c r="Y175">
        <f>IF(COUNT($N$162:$N$175)&lt;14,"",MAX($N$162:$N$175))</f>
        <v>0</v>
      </c>
      <c r="Z175">
        <f>IF(OR(N175="",X175="",Y175="",Y175=X175),"",100*(N175-X175)/(Y175-X175))</f>
        <v>0</v>
      </c>
      <c r="AA175">
        <f>IF(COUNT($Z$173:$Z$175)&lt;3,"",AVERAGE($Z$173:$Z$175))</f>
        <v>0</v>
      </c>
      <c r="AB175">
        <f>IF(COUNT($AA$173:$AA$175)&lt;3,"",AVERAGE($AA$173:$AA$175))</f>
        <v>0</v>
      </c>
      <c r="AC175">
        <f>IF($E175="","",MAX($C175-$D175,ABS($C175-$E174),ABS($D175-$E174)))</f>
        <v>0</v>
      </c>
      <c r="AD175">
        <f>IF(COUNT($E$2:$E175)&lt;15,"",AVERAGE($AC$162:$AC$175))</f>
        <v>0</v>
      </c>
      <c r="AE175">
        <f>IF(OR($E175="",$E174=""),"",IF(AND(($C175-$C174)&gt;($D174-$D175),($C175-$C174)&gt;0),$C175-$C174,0))</f>
        <v>0</v>
      </c>
      <c r="AF175">
        <f>IF(OR($E175="",$E174=""),"",IF(AND(($D174-$D175)&gt;($C175-$C174),($D174-$D175)&gt;0),$D174-$D175,0))</f>
        <v>0</v>
      </c>
      <c r="AG175">
        <f>IF(COUNT($E$2:$E175)&lt;15,"",IF(SUM($AC$162:$AC$175)=0,0,100*SUM($AE$162:$AE$175)/SUM($AC$162:$AC$175)))</f>
        <v>0</v>
      </c>
      <c r="AH175">
        <f>IF(COUNT($E$2:$E175)&lt;15,"",IF(SUM($AC$162:$AC$175)=0,0,100*SUM($AF$162:$AF$175)/SUM($AC$162:$AC$175)))</f>
        <v>0</v>
      </c>
      <c r="AI175">
        <f>IF(OR(AG175="",AH175=""),"",IF((AG175+AH175)=0,0,100*ABS(AG175-AH175)/(AG175+AH175)))</f>
        <v>0</v>
      </c>
      <c r="AJ175">
        <f>IF(COUNT($AI$162:$AI$175)&lt;14,"",AVERAGE($AI$162:$AI$175))</f>
        <v>0</v>
      </c>
      <c r="AK175">
        <f>IF(COUNT($E$2:$E175)&lt;20,"",AVERAGE($E$156:$E$175))</f>
        <v>0</v>
      </c>
      <c r="AL175">
        <f>IF(COUNT($E$2:$E175)&lt;20,"",STDEVP($E$156:$E$175))</f>
        <v>0</v>
      </c>
      <c r="AM175">
        <f>IF(AK175="","",AK175+2*AL175)</f>
        <v>0</v>
      </c>
      <c r="AN175">
        <f>IF(AK175="","",AK175-2*AL175)</f>
        <v>0</v>
      </c>
      <c r="AO175">
        <f>IF(OR(AM175="",AN175="",AM175=AN175),"",($E175-AN175)/(AM175-AN175))</f>
        <v>0</v>
      </c>
      <c r="AP175">
        <f>IF(OR(AM175="",AK175="",AK175=0),"",(AM175-AN175)/AK175)</f>
        <v>0</v>
      </c>
      <c r="AQ175">
        <f>IF(COUNT($E$2:$E175)&lt;20,"",MAX($C$156:$C$175))</f>
        <v>0</v>
      </c>
      <c r="AR175">
        <f>IF(COUNT($E$2:$E175)&lt;20,"",MIN($D$156:$D$175))</f>
        <v>0</v>
      </c>
      <c r="AS175">
        <f>IF(OR(AQ175="",AR175=""),"",(AQ175+AR175)/2)</f>
        <v>0</v>
      </c>
      <c r="AT175">
        <f>IF(COUNT($G$156:$G$175)&lt;20,"",STDEV($G$156:$G$175)*SQRT(52))</f>
        <v>0</v>
      </c>
      <c r="AU175">
        <f>IF(COUNT($E$2:$E175)&lt;9,"",(MAX($C$167:$C$175)+MIN($D$167:$D$175))/2)</f>
        <v>0</v>
      </c>
      <c r="AV175">
        <f>IF(COUNT($E$2:$E175)&lt;26,"",(MAX($C$150:$C$175)+MIN($D$150:$D$175))/2)</f>
        <v>0</v>
      </c>
      <c r="AW175">
        <f>IF(OR(AU175="",AV175=""),"",(AU175+AV175)/2)</f>
        <v>0</v>
      </c>
      <c r="AX175">
        <f>IF(COUNT($E$2:$E175)&lt;52,"",(MAX($C$124:$C$175)+MIN($D$124:$D$175))/2)</f>
        <v>0</v>
      </c>
      <c r="AY175">
        <f>IF(COUNT($E$2:$E175)&lt;20,"",MAX($C$76:$C$175))</f>
        <v>0</v>
      </c>
      <c r="AZ175">
        <f>IF(COUNT($E$2:$E175)&lt;20,"",MIN($D$76:$D$175))</f>
        <v>0</v>
      </c>
      <c r="BA175">
        <f>IF(COUNT($E$2:$E175)&lt;20,"",SLOPE($E$76:$E$175,$F$76:$F$175))</f>
        <v>0</v>
      </c>
      <c r="BB175">
        <f>IF(COUNT($E$2:$E175)&lt;20,"",INTERCEPT($E$76:$E$175,$F$76:$F$175))</f>
        <v>0</v>
      </c>
      <c r="BC175">
        <f>IF(OR(BA175="",BB175=""),"",BB175+BA175*F175)</f>
        <v>0</v>
      </c>
      <c r="BD175">
        <f>IF(COUNT($E$2:$E175)&lt;20,"",STEYX($E$76:$E$175,$F$76:$F$175))</f>
        <v>0</v>
      </c>
      <c r="BE175">
        <f>IF($E175="","",IF(AND(COUNT($E$176:$E$179)&gt;=4,$C175=MAX($C$171:$C$179)),$C175,""))</f>
        <v>0</v>
      </c>
      <c r="BF175">
        <f>IF($E175="","",IF(AND(COUNT($E$176:$E$179)&gt;=4,$D175=MIN($D$171:$D$179)),$D175,""))</f>
        <v>0</v>
      </c>
      <c r="BG175">
        <f>IFERROR(SMALL(Calc_Daily!$BM$2:$BM$2001,174),"")</f>
        <v>0</v>
      </c>
    </row>
    <row r="176" spans="1:59">
      <c r="A176" s="27">
        <f>IF($BG176="","",INDEX(Calc_Daily!$A$2:$A$2001,$BG176))</f>
        <v>0</v>
      </c>
      <c r="B176">
        <f>IF($BG176="","",INDEX(Calc_Daily!$BJ$2:$BJ$2001,$BG176))</f>
        <v>0</v>
      </c>
      <c r="C176">
        <f>IF($BG176="","",INDEX(Calc_Daily!$BK$2:$BK$2001,$BG176))</f>
        <v>0</v>
      </c>
      <c r="D176">
        <f>IF($BG176="","",INDEX(Calc_Daily!$BL$2:$BL$2001,$BG176))</f>
        <v>0</v>
      </c>
      <c r="E176">
        <f>IF($BG176="","",INDEX(Calc_Daily!$E$2:$E$2001,$BG176))</f>
        <v>0</v>
      </c>
      <c r="F176">
        <f>IF($E176="","",N(F175)+1)</f>
        <v>0</v>
      </c>
      <c r="G176">
        <f>IF(OR($E176="",$E175=""),"",LN($E176/$E175))</f>
        <v>0</v>
      </c>
      <c r="H176">
        <f>IF($E176="","",IF($E175="",$E176,$E176*0.0952380952+H175*0.9047619048))</f>
        <v>0</v>
      </c>
      <c r="I176">
        <f>IF($E176="","",IF($E175="",$E176,$E176*0.0392156863+I175*0.9607843137))</f>
        <v>0</v>
      </c>
      <c r="J176">
        <f>IF($E176="","",IF($E175="",$E176,$E176*0.0198019802+J175*0.9801980198))</f>
        <v>0</v>
      </c>
      <c r="K176">
        <f>IF($E176="","",IF($E175="",$E176,$E176*0.0099502488+K175*0.9900497512))</f>
        <v>0</v>
      </c>
      <c r="L176">
        <f>IF(OR($E176="",$E175=""),"",MAX($E176-$E175,0))</f>
        <v>0</v>
      </c>
      <c r="M176">
        <f>IF(OR($E176="",$E175=""),"",MAX($E175-$E176,0))</f>
        <v>0</v>
      </c>
      <c r="N176">
        <f>IF(COUNT($E$2:$E176)&lt;15,"",IF(AVERAGE($M$163:$M$176)=0,100,100-100/(1+AVERAGE($L$163:$L$176)/AVERAGE($M$163:$M$176))))</f>
        <v>0</v>
      </c>
      <c r="O176">
        <f>IF($E176="","",IF($E175="",$E176,$E176*0.1538461538+O175*0.8461538462))</f>
        <v>0</v>
      </c>
      <c r="P176">
        <f>IF($E176="","",IF($E175="",$E176,$E176*0.0740740741+P175*0.9259259259))</f>
        <v>0</v>
      </c>
      <c r="Q176">
        <f>IF(OR(O176="",P176=""),"",O176-P176)</f>
        <v>0</v>
      </c>
      <c r="R176">
        <f>IF(Q176="","",IF(R175="",Q176,Q176*0.2000000000+R175*0.8000000000))</f>
        <v>0</v>
      </c>
      <c r="S176">
        <f>IF(OR(Q176="",R176=""),"",Q176-R176)</f>
        <v>0</v>
      </c>
      <c r="T176">
        <f>IF(COUNT($E$2:$E176)&lt;14,"",MAX($C$163:$C$176))</f>
        <v>0</v>
      </c>
      <c r="U176">
        <f>IF(COUNT($E$2:$E176)&lt;14,"",MIN($D$163:$D$176))</f>
        <v>0</v>
      </c>
      <c r="V176">
        <f>IF(OR(T176="",U176="",T176=U176),"",100*($E176-U176)/(T176-U176))</f>
        <v>0</v>
      </c>
      <c r="W176">
        <f>IF(COUNT($V$174:$V$176)&lt;3,"",AVERAGE($V$174:$V$176))</f>
        <v>0</v>
      </c>
      <c r="X176">
        <f>IF(COUNT($N$163:$N$176)&lt;14,"",MIN($N$163:$N$176))</f>
        <v>0</v>
      </c>
      <c r="Y176">
        <f>IF(COUNT($N$163:$N$176)&lt;14,"",MAX($N$163:$N$176))</f>
        <v>0</v>
      </c>
      <c r="Z176">
        <f>IF(OR(N176="",X176="",Y176="",Y176=X176),"",100*(N176-X176)/(Y176-X176))</f>
        <v>0</v>
      </c>
      <c r="AA176">
        <f>IF(COUNT($Z$174:$Z$176)&lt;3,"",AVERAGE($Z$174:$Z$176))</f>
        <v>0</v>
      </c>
      <c r="AB176">
        <f>IF(COUNT($AA$174:$AA$176)&lt;3,"",AVERAGE($AA$174:$AA$176))</f>
        <v>0</v>
      </c>
      <c r="AC176">
        <f>IF($E176="","",MAX($C176-$D176,ABS($C176-$E175),ABS($D176-$E175)))</f>
        <v>0</v>
      </c>
      <c r="AD176">
        <f>IF(COUNT($E$2:$E176)&lt;15,"",AVERAGE($AC$163:$AC$176))</f>
        <v>0</v>
      </c>
      <c r="AE176">
        <f>IF(OR($E176="",$E175=""),"",IF(AND(($C176-$C175)&gt;($D175-$D176),($C176-$C175)&gt;0),$C176-$C175,0))</f>
        <v>0</v>
      </c>
      <c r="AF176">
        <f>IF(OR($E176="",$E175=""),"",IF(AND(($D175-$D176)&gt;($C176-$C175),($D175-$D176)&gt;0),$D175-$D176,0))</f>
        <v>0</v>
      </c>
      <c r="AG176">
        <f>IF(COUNT($E$2:$E176)&lt;15,"",IF(SUM($AC$163:$AC$176)=0,0,100*SUM($AE$163:$AE$176)/SUM($AC$163:$AC$176)))</f>
        <v>0</v>
      </c>
      <c r="AH176">
        <f>IF(COUNT($E$2:$E176)&lt;15,"",IF(SUM($AC$163:$AC$176)=0,0,100*SUM($AF$163:$AF$176)/SUM($AC$163:$AC$176)))</f>
        <v>0</v>
      </c>
      <c r="AI176">
        <f>IF(OR(AG176="",AH176=""),"",IF((AG176+AH176)=0,0,100*ABS(AG176-AH176)/(AG176+AH176)))</f>
        <v>0</v>
      </c>
      <c r="AJ176">
        <f>IF(COUNT($AI$163:$AI$176)&lt;14,"",AVERAGE($AI$163:$AI$176))</f>
        <v>0</v>
      </c>
      <c r="AK176">
        <f>IF(COUNT($E$2:$E176)&lt;20,"",AVERAGE($E$157:$E$176))</f>
        <v>0</v>
      </c>
      <c r="AL176">
        <f>IF(COUNT($E$2:$E176)&lt;20,"",STDEVP($E$157:$E$176))</f>
        <v>0</v>
      </c>
      <c r="AM176">
        <f>IF(AK176="","",AK176+2*AL176)</f>
        <v>0</v>
      </c>
      <c r="AN176">
        <f>IF(AK176="","",AK176-2*AL176)</f>
        <v>0</v>
      </c>
      <c r="AO176">
        <f>IF(OR(AM176="",AN176="",AM176=AN176),"",($E176-AN176)/(AM176-AN176))</f>
        <v>0</v>
      </c>
      <c r="AP176">
        <f>IF(OR(AM176="",AK176="",AK176=0),"",(AM176-AN176)/AK176)</f>
        <v>0</v>
      </c>
      <c r="AQ176">
        <f>IF(COUNT($E$2:$E176)&lt;20,"",MAX($C$157:$C$176))</f>
        <v>0</v>
      </c>
      <c r="AR176">
        <f>IF(COUNT($E$2:$E176)&lt;20,"",MIN($D$157:$D$176))</f>
        <v>0</v>
      </c>
      <c r="AS176">
        <f>IF(OR(AQ176="",AR176=""),"",(AQ176+AR176)/2)</f>
        <v>0</v>
      </c>
      <c r="AT176">
        <f>IF(COUNT($G$157:$G$176)&lt;20,"",STDEV($G$157:$G$176)*SQRT(52))</f>
        <v>0</v>
      </c>
      <c r="AU176">
        <f>IF(COUNT($E$2:$E176)&lt;9,"",(MAX($C$168:$C$176)+MIN($D$168:$D$176))/2)</f>
        <v>0</v>
      </c>
      <c r="AV176">
        <f>IF(COUNT($E$2:$E176)&lt;26,"",(MAX($C$151:$C$176)+MIN($D$151:$D$176))/2)</f>
        <v>0</v>
      </c>
      <c r="AW176">
        <f>IF(OR(AU176="",AV176=""),"",(AU176+AV176)/2)</f>
        <v>0</v>
      </c>
      <c r="AX176">
        <f>IF(COUNT($E$2:$E176)&lt;52,"",(MAX($C$125:$C$176)+MIN($D$125:$D$176))/2)</f>
        <v>0</v>
      </c>
      <c r="AY176">
        <f>IF(COUNT($E$2:$E176)&lt;20,"",MAX($C$77:$C$176))</f>
        <v>0</v>
      </c>
      <c r="AZ176">
        <f>IF(COUNT($E$2:$E176)&lt;20,"",MIN($D$77:$D$176))</f>
        <v>0</v>
      </c>
      <c r="BA176">
        <f>IF(COUNT($E$2:$E176)&lt;20,"",SLOPE($E$77:$E$176,$F$77:$F$176))</f>
        <v>0</v>
      </c>
      <c r="BB176">
        <f>IF(COUNT($E$2:$E176)&lt;20,"",INTERCEPT($E$77:$E$176,$F$77:$F$176))</f>
        <v>0</v>
      </c>
      <c r="BC176">
        <f>IF(OR(BA176="",BB176=""),"",BB176+BA176*F176)</f>
        <v>0</v>
      </c>
      <c r="BD176">
        <f>IF(COUNT($E$2:$E176)&lt;20,"",STEYX($E$77:$E$176,$F$77:$F$176))</f>
        <v>0</v>
      </c>
      <c r="BE176">
        <f>IF($E176="","",IF(AND(COUNT($E$177:$E$180)&gt;=4,$C176=MAX($C$172:$C$180)),$C176,""))</f>
        <v>0</v>
      </c>
      <c r="BF176">
        <f>IF($E176="","",IF(AND(COUNT($E$177:$E$180)&gt;=4,$D176=MIN($D$172:$D$180)),$D176,""))</f>
        <v>0</v>
      </c>
      <c r="BG176">
        <f>IFERROR(SMALL(Calc_Daily!$BM$2:$BM$2001,175),"")</f>
        <v>0</v>
      </c>
    </row>
    <row r="177" spans="1:59">
      <c r="A177" s="27">
        <f>IF($BG177="","",INDEX(Calc_Daily!$A$2:$A$2001,$BG177))</f>
        <v>0</v>
      </c>
      <c r="B177">
        <f>IF($BG177="","",INDEX(Calc_Daily!$BJ$2:$BJ$2001,$BG177))</f>
        <v>0</v>
      </c>
      <c r="C177">
        <f>IF($BG177="","",INDEX(Calc_Daily!$BK$2:$BK$2001,$BG177))</f>
        <v>0</v>
      </c>
      <c r="D177">
        <f>IF($BG177="","",INDEX(Calc_Daily!$BL$2:$BL$2001,$BG177))</f>
        <v>0</v>
      </c>
      <c r="E177">
        <f>IF($BG177="","",INDEX(Calc_Daily!$E$2:$E$2001,$BG177))</f>
        <v>0</v>
      </c>
      <c r="F177">
        <f>IF($E177="","",N(F176)+1)</f>
        <v>0</v>
      </c>
      <c r="G177">
        <f>IF(OR($E177="",$E176=""),"",LN($E177/$E176))</f>
        <v>0</v>
      </c>
      <c r="H177">
        <f>IF($E177="","",IF($E176="",$E177,$E177*0.0952380952+H176*0.9047619048))</f>
        <v>0</v>
      </c>
      <c r="I177">
        <f>IF($E177="","",IF($E176="",$E177,$E177*0.0392156863+I176*0.9607843137))</f>
        <v>0</v>
      </c>
      <c r="J177">
        <f>IF($E177="","",IF($E176="",$E177,$E177*0.0198019802+J176*0.9801980198))</f>
        <v>0</v>
      </c>
      <c r="K177">
        <f>IF($E177="","",IF($E176="",$E177,$E177*0.0099502488+K176*0.9900497512))</f>
        <v>0</v>
      </c>
      <c r="L177">
        <f>IF(OR($E177="",$E176=""),"",MAX($E177-$E176,0))</f>
        <v>0</v>
      </c>
      <c r="M177">
        <f>IF(OR($E177="",$E176=""),"",MAX($E176-$E177,0))</f>
        <v>0</v>
      </c>
      <c r="N177">
        <f>IF(COUNT($E$2:$E177)&lt;15,"",IF(AVERAGE($M$164:$M$177)=0,100,100-100/(1+AVERAGE($L$164:$L$177)/AVERAGE($M$164:$M$177))))</f>
        <v>0</v>
      </c>
      <c r="O177">
        <f>IF($E177="","",IF($E176="",$E177,$E177*0.1538461538+O176*0.8461538462))</f>
        <v>0</v>
      </c>
      <c r="P177">
        <f>IF($E177="","",IF($E176="",$E177,$E177*0.0740740741+P176*0.9259259259))</f>
        <v>0</v>
      </c>
      <c r="Q177">
        <f>IF(OR(O177="",P177=""),"",O177-P177)</f>
        <v>0</v>
      </c>
      <c r="R177">
        <f>IF(Q177="","",IF(R176="",Q177,Q177*0.2000000000+R176*0.8000000000))</f>
        <v>0</v>
      </c>
      <c r="S177">
        <f>IF(OR(Q177="",R177=""),"",Q177-R177)</f>
        <v>0</v>
      </c>
      <c r="T177">
        <f>IF(COUNT($E$2:$E177)&lt;14,"",MAX($C$164:$C$177))</f>
        <v>0</v>
      </c>
      <c r="U177">
        <f>IF(COUNT($E$2:$E177)&lt;14,"",MIN($D$164:$D$177))</f>
        <v>0</v>
      </c>
      <c r="V177">
        <f>IF(OR(T177="",U177="",T177=U177),"",100*($E177-U177)/(T177-U177))</f>
        <v>0</v>
      </c>
      <c r="W177">
        <f>IF(COUNT($V$175:$V$177)&lt;3,"",AVERAGE($V$175:$V$177))</f>
        <v>0</v>
      </c>
      <c r="X177">
        <f>IF(COUNT($N$164:$N$177)&lt;14,"",MIN($N$164:$N$177))</f>
        <v>0</v>
      </c>
      <c r="Y177">
        <f>IF(COUNT($N$164:$N$177)&lt;14,"",MAX($N$164:$N$177))</f>
        <v>0</v>
      </c>
      <c r="Z177">
        <f>IF(OR(N177="",X177="",Y177="",Y177=X177),"",100*(N177-X177)/(Y177-X177))</f>
        <v>0</v>
      </c>
      <c r="AA177">
        <f>IF(COUNT($Z$175:$Z$177)&lt;3,"",AVERAGE($Z$175:$Z$177))</f>
        <v>0</v>
      </c>
      <c r="AB177">
        <f>IF(COUNT($AA$175:$AA$177)&lt;3,"",AVERAGE($AA$175:$AA$177))</f>
        <v>0</v>
      </c>
      <c r="AC177">
        <f>IF($E177="","",MAX($C177-$D177,ABS($C177-$E176),ABS($D177-$E176)))</f>
        <v>0</v>
      </c>
      <c r="AD177">
        <f>IF(COUNT($E$2:$E177)&lt;15,"",AVERAGE($AC$164:$AC$177))</f>
        <v>0</v>
      </c>
      <c r="AE177">
        <f>IF(OR($E177="",$E176=""),"",IF(AND(($C177-$C176)&gt;($D176-$D177),($C177-$C176)&gt;0),$C177-$C176,0))</f>
        <v>0</v>
      </c>
      <c r="AF177">
        <f>IF(OR($E177="",$E176=""),"",IF(AND(($D176-$D177)&gt;($C177-$C176),($D176-$D177)&gt;0),$D176-$D177,0))</f>
        <v>0</v>
      </c>
      <c r="AG177">
        <f>IF(COUNT($E$2:$E177)&lt;15,"",IF(SUM($AC$164:$AC$177)=0,0,100*SUM($AE$164:$AE$177)/SUM($AC$164:$AC$177)))</f>
        <v>0</v>
      </c>
      <c r="AH177">
        <f>IF(COUNT($E$2:$E177)&lt;15,"",IF(SUM($AC$164:$AC$177)=0,0,100*SUM($AF$164:$AF$177)/SUM($AC$164:$AC$177)))</f>
        <v>0</v>
      </c>
      <c r="AI177">
        <f>IF(OR(AG177="",AH177=""),"",IF((AG177+AH177)=0,0,100*ABS(AG177-AH177)/(AG177+AH177)))</f>
        <v>0</v>
      </c>
      <c r="AJ177">
        <f>IF(COUNT($AI$164:$AI$177)&lt;14,"",AVERAGE($AI$164:$AI$177))</f>
        <v>0</v>
      </c>
      <c r="AK177">
        <f>IF(COUNT($E$2:$E177)&lt;20,"",AVERAGE($E$158:$E$177))</f>
        <v>0</v>
      </c>
      <c r="AL177">
        <f>IF(COUNT($E$2:$E177)&lt;20,"",STDEVP($E$158:$E$177))</f>
        <v>0</v>
      </c>
      <c r="AM177">
        <f>IF(AK177="","",AK177+2*AL177)</f>
        <v>0</v>
      </c>
      <c r="AN177">
        <f>IF(AK177="","",AK177-2*AL177)</f>
        <v>0</v>
      </c>
      <c r="AO177">
        <f>IF(OR(AM177="",AN177="",AM177=AN177),"",($E177-AN177)/(AM177-AN177))</f>
        <v>0</v>
      </c>
      <c r="AP177">
        <f>IF(OR(AM177="",AK177="",AK177=0),"",(AM177-AN177)/AK177)</f>
        <v>0</v>
      </c>
      <c r="AQ177">
        <f>IF(COUNT($E$2:$E177)&lt;20,"",MAX($C$158:$C$177))</f>
        <v>0</v>
      </c>
      <c r="AR177">
        <f>IF(COUNT($E$2:$E177)&lt;20,"",MIN($D$158:$D$177))</f>
        <v>0</v>
      </c>
      <c r="AS177">
        <f>IF(OR(AQ177="",AR177=""),"",(AQ177+AR177)/2)</f>
        <v>0</v>
      </c>
      <c r="AT177">
        <f>IF(COUNT($G$158:$G$177)&lt;20,"",STDEV($G$158:$G$177)*SQRT(52))</f>
        <v>0</v>
      </c>
      <c r="AU177">
        <f>IF(COUNT($E$2:$E177)&lt;9,"",(MAX($C$169:$C$177)+MIN($D$169:$D$177))/2)</f>
        <v>0</v>
      </c>
      <c r="AV177">
        <f>IF(COUNT($E$2:$E177)&lt;26,"",(MAX($C$152:$C$177)+MIN($D$152:$D$177))/2)</f>
        <v>0</v>
      </c>
      <c r="AW177">
        <f>IF(OR(AU177="",AV177=""),"",(AU177+AV177)/2)</f>
        <v>0</v>
      </c>
      <c r="AX177">
        <f>IF(COUNT($E$2:$E177)&lt;52,"",(MAX($C$126:$C$177)+MIN($D$126:$D$177))/2)</f>
        <v>0</v>
      </c>
      <c r="AY177">
        <f>IF(COUNT($E$2:$E177)&lt;20,"",MAX($C$78:$C$177))</f>
        <v>0</v>
      </c>
      <c r="AZ177">
        <f>IF(COUNT($E$2:$E177)&lt;20,"",MIN($D$78:$D$177))</f>
        <v>0</v>
      </c>
      <c r="BA177">
        <f>IF(COUNT($E$2:$E177)&lt;20,"",SLOPE($E$78:$E$177,$F$78:$F$177))</f>
        <v>0</v>
      </c>
      <c r="BB177">
        <f>IF(COUNT($E$2:$E177)&lt;20,"",INTERCEPT($E$78:$E$177,$F$78:$F$177))</f>
        <v>0</v>
      </c>
      <c r="BC177">
        <f>IF(OR(BA177="",BB177=""),"",BB177+BA177*F177)</f>
        <v>0</v>
      </c>
      <c r="BD177">
        <f>IF(COUNT($E$2:$E177)&lt;20,"",STEYX($E$78:$E$177,$F$78:$F$177))</f>
        <v>0</v>
      </c>
      <c r="BE177">
        <f>IF($E177="","",IF(AND(COUNT($E$178:$E$181)&gt;=4,$C177=MAX($C$173:$C$181)),$C177,""))</f>
        <v>0</v>
      </c>
      <c r="BF177">
        <f>IF($E177="","",IF(AND(COUNT($E$178:$E$181)&gt;=4,$D177=MIN($D$173:$D$181)),$D177,""))</f>
        <v>0</v>
      </c>
      <c r="BG177">
        <f>IFERROR(SMALL(Calc_Daily!$BM$2:$BM$2001,176),"")</f>
        <v>0</v>
      </c>
    </row>
    <row r="178" spans="1:59">
      <c r="A178" s="27">
        <f>IF($BG178="","",INDEX(Calc_Daily!$A$2:$A$2001,$BG178))</f>
        <v>0</v>
      </c>
      <c r="B178">
        <f>IF($BG178="","",INDEX(Calc_Daily!$BJ$2:$BJ$2001,$BG178))</f>
        <v>0</v>
      </c>
      <c r="C178">
        <f>IF($BG178="","",INDEX(Calc_Daily!$BK$2:$BK$2001,$BG178))</f>
        <v>0</v>
      </c>
      <c r="D178">
        <f>IF($BG178="","",INDEX(Calc_Daily!$BL$2:$BL$2001,$BG178))</f>
        <v>0</v>
      </c>
      <c r="E178">
        <f>IF($BG178="","",INDEX(Calc_Daily!$E$2:$E$2001,$BG178))</f>
        <v>0</v>
      </c>
      <c r="F178">
        <f>IF($E178="","",N(F177)+1)</f>
        <v>0</v>
      </c>
      <c r="G178">
        <f>IF(OR($E178="",$E177=""),"",LN($E178/$E177))</f>
        <v>0</v>
      </c>
      <c r="H178">
        <f>IF($E178="","",IF($E177="",$E178,$E178*0.0952380952+H177*0.9047619048))</f>
        <v>0</v>
      </c>
      <c r="I178">
        <f>IF($E178="","",IF($E177="",$E178,$E178*0.0392156863+I177*0.9607843137))</f>
        <v>0</v>
      </c>
      <c r="J178">
        <f>IF($E178="","",IF($E177="",$E178,$E178*0.0198019802+J177*0.9801980198))</f>
        <v>0</v>
      </c>
      <c r="K178">
        <f>IF($E178="","",IF($E177="",$E178,$E178*0.0099502488+K177*0.9900497512))</f>
        <v>0</v>
      </c>
      <c r="L178">
        <f>IF(OR($E178="",$E177=""),"",MAX($E178-$E177,0))</f>
        <v>0</v>
      </c>
      <c r="M178">
        <f>IF(OR($E178="",$E177=""),"",MAX($E177-$E178,0))</f>
        <v>0</v>
      </c>
      <c r="N178">
        <f>IF(COUNT($E$2:$E178)&lt;15,"",IF(AVERAGE($M$165:$M$178)=0,100,100-100/(1+AVERAGE($L$165:$L$178)/AVERAGE($M$165:$M$178))))</f>
        <v>0</v>
      </c>
      <c r="O178">
        <f>IF($E178="","",IF($E177="",$E178,$E178*0.1538461538+O177*0.8461538462))</f>
        <v>0</v>
      </c>
      <c r="P178">
        <f>IF($E178="","",IF($E177="",$E178,$E178*0.0740740741+P177*0.9259259259))</f>
        <v>0</v>
      </c>
      <c r="Q178">
        <f>IF(OR(O178="",P178=""),"",O178-P178)</f>
        <v>0</v>
      </c>
      <c r="R178">
        <f>IF(Q178="","",IF(R177="",Q178,Q178*0.2000000000+R177*0.8000000000))</f>
        <v>0</v>
      </c>
      <c r="S178">
        <f>IF(OR(Q178="",R178=""),"",Q178-R178)</f>
        <v>0</v>
      </c>
      <c r="T178">
        <f>IF(COUNT($E$2:$E178)&lt;14,"",MAX($C$165:$C$178))</f>
        <v>0</v>
      </c>
      <c r="U178">
        <f>IF(COUNT($E$2:$E178)&lt;14,"",MIN($D$165:$D$178))</f>
        <v>0</v>
      </c>
      <c r="V178">
        <f>IF(OR(T178="",U178="",T178=U178),"",100*($E178-U178)/(T178-U178))</f>
        <v>0</v>
      </c>
      <c r="W178">
        <f>IF(COUNT($V$176:$V$178)&lt;3,"",AVERAGE($V$176:$V$178))</f>
        <v>0</v>
      </c>
      <c r="X178">
        <f>IF(COUNT($N$165:$N$178)&lt;14,"",MIN($N$165:$N$178))</f>
        <v>0</v>
      </c>
      <c r="Y178">
        <f>IF(COUNT($N$165:$N$178)&lt;14,"",MAX($N$165:$N$178))</f>
        <v>0</v>
      </c>
      <c r="Z178">
        <f>IF(OR(N178="",X178="",Y178="",Y178=X178),"",100*(N178-X178)/(Y178-X178))</f>
        <v>0</v>
      </c>
      <c r="AA178">
        <f>IF(COUNT($Z$176:$Z$178)&lt;3,"",AVERAGE($Z$176:$Z$178))</f>
        <v>0</v>
      </c>
      <c r="AB178">
        <f>IF(COUNT($AA$176:$AA$178)&lt;3,"",AVERAGE($AA$176:$AA$178))</f>
        <v>0</v>
      </c>
      <c r="AC178">
        <f>IF($E178="","",MAX($C178-$D178,ABS($C178-$E177),ABS($D178-$E177)))</f>
        <v>0</v>
      </c>
      <c r="AD178">
        <f>IF(COUNT($E$2:$E178)&lt;15,"",AVERAGE($AC$165:$AC$178))</f>
        <v>0</v>
      </c>
      <c r="AE178">
        <f>IF(OR($E178="",$E177=""),"",IF(AND(($C178-$C177)&gt;($D177-$D178),($C178-$C177)&gt;0),$C178-$C177,0))</f>
        <v>0</v>
      </c>
      <c r="AF178">
        <f>IF(OR($E178="",$E177=""),"",IF(AND(($D177-$D178)&gt;($C178-$C177),($D177-$D178)&gt;0),$D177-$D178,0))</f>
        <v>0</v>
      </c>
      <c r="AG178">
        <f>IF(COUNT($E$2:$E178)&lt;15,"",IF(SUM($AC$165:$AC$178)=0,0,100*SUM($AE$165:$AE$178)/SUM($AC$165:$AC$178)))</f>
        <v>0</v>
      </c>
      <c r="AH178">
        <f>IF(COUNT($E$2:$E178)&lt;15,"",IF(SUM($AC$165:$AC$178)=0,0,100*SUM($AF$165:$AF$178)/SUM($AC$165:$AC$178)))</f>
        <v>0</v>
      </c>
      <c r="AI178">
        <f>IF(OR(AG178="",AH178=""),"",IF((AG178+AH178)=0,0,100*ABS(AG178-AH178)/(AG178+AH178)))</f>
        <v>0</v>
      </c>
      <c r="AJ178">
        <f>IF(COUNT($AI$165:$AI$178)&lt;14,"",AVERAGE($AI$165:$AI$178))</f>
        <v>0</v>
      </c>
      <c r="AK178">
        <f>IF(COUNT($E$2:$E178)&lt;20,"",AVERAGE($E$159:$E$178))</f>
        <v>0</v>
      </c>
      <c r="AL178">
        <f>IF(COUNT($E$2:$E178)&lt;20,"",STDEVP($E$159:$E$178))</f>
        <v>0</v>
      </c>
      <c r="AM178">
        <f>IF(AK178="","",AK178+2*AL178)</f>
        <v>0</v>
      </c>
      <c r="AN178">
        <f>IF(AK178="","",AK178-2*AL178)</f>
        <v>0</v>
      </c>
      <c r="AO178">
        <f>IF(OR(AM178="",AN178="",AM178=AN178),"",($E178-AN178)/(AM178-AN178))</f>
        <v>0</v>
      </c>
      <c r="AP178">
        <f>IF(OR(AM178="",AK178="",AK178=0),"",(AM178-AN178)/AK178)</f>
        <v>0</v>
      </c>
      <c r="AQ178">
        <f>IF(COUNT($E$2:$E178)&lt;20,"",MAX($C$159:$C$178))</f>
        <v>0</v>
      </c>
      <c r="AR178">
        <f>IF(COUNT($E$2:$E178)&lt;20,"",MIN($D$159:$D$178))</f>
        <v>0</v>
      </c>
      <c r="AS178">
        <f>IF(OR(AQ178="",AR178=""),"",(AQ178+AR178)/2)</f>
        <v>0</v>
      </c>
      <c r="AT178">
        <f>IF(COUNT($G$159:$G$178)&lt;20,"",STDEV($G$159:$G$178)*SQRT(52))</f>
        <v>0</v>
      </c>
      <c r="AU178">
        <f>IF(COUNT($E$2:$E178)&lt;9,"",(MAX($C$170:$C$178)+MIN($D$170:$D$178))/2)</f>
        <v>0</v>
      </c>
      <c r="AV178">
        <f>IF(COUNT($E$2:$E178)&lt;26,"",(MAX($C$153:$C$178)+MIN($D$153:$D$178))/2)</f>
        <v>0</v>
      </c>
      <c r="AW178">
        <f>IF(OR(AU178="",AV178=""),"",(AU178+AV178)/2)</f>
        <v>0</v>
      </c>
      <c r="AX178">
        <f>IF(COUNT($E$2:$E178)&lt;52,"",(MAX($C$127:$C$178)+MIN($D$127:$D$178))/2)</f>
        <v>0</v>
      </c>
      <c r="AY178">
        <f>IF(COUNT($E$2:$E178)&lt;20,"",MAX($C$79:$C$178))</f>
        <v>0</v>
      </c>
      <c r="AZ178">
        <f>IF(COUNT($E$2:$E178)&lt;20,"",MIN($D$79:$D$178))</f>
        <v>0</v>
      </c>
      <c r="BA178">
        <f>IF(COUNT($E$2:$E178)&lt;20,"",SLOPE($E$79:$E$178,$F$79:$F$178))</f>
        <v>0</v>
      </c>
      <c r="BB178">
        <f>IF(COUNT($E$2:$E178)&lt;20,"",INTERCEPT($E$79:$E$178,$F$79:$F$178))</f>
        <v>0</v>
      </c>
      <c r="BC178">
        <f>IF(OR(BA178="",BB178=""),"",BB178+BA178*F178)</f>
        <v>0</v>
      </c>
      <c r="BD178">
        <f>IF(COUNT($E$2:$E178)&lt;20,"",STEYX($E$79:$E$178,$F$79:$F$178))</f>
        <v>0</v>
      </c>
      <c r="BE178">
        <f>IF($E178="","",IF(AND(COUNT($E$179:$E$182)&gt;=4,$C178=MAX($C$174:$C$182)),$C178,""))</f>
        <v>0</v>
      </c>
      <c r="BF178">
        <f>IF($E178="","",IF(AND(COUNT($E$179:$E$182)&gt;=4,$D178=MIN($D$174:$D$182)),$D178,""))</f>
        <v>0</v>
      </c>
      <c r="BG178">
        <f>IFERROR(SMALL(Calc_Daily!$BM$2:$BM$2001,177),"")</f>
        <v>0</v>
      </c>
    </row>
    <row r="179" spans="1:59">
      <c r="A179" s="27">
        <f>IF($BG179="","",INDEX(Calc_Daily!$A$2:$A$2001,$BG179))</f>
        <v>0</v>
      </c>
      <c r="B179">
        <f>IF($BG179="","",INDEX(Calc_Daily!$BJ$2:$BJ$2001,$BG179))</f>
        <v>0</v>
      </c>
      <c r="C179">
        <f>IF($BG179="","",INDEX(Calc_Daily!$BK$2:$BK$2001,$BG179))</f>
        <v>0</v>
      </c>
      <c r="D179">
        <f>IF($BG179="","",INDEX(Calc_Daily!$BL$2:$BL$2001,$BG179))</f>
        <v>0</v>
      </c>
      <c r="E179">
        <f>IF($BG179="","",INDEX(Calc_Daily!$E$2:$E$2001,$BG179))</f>
        <v>0</v>
      </c>
      <c r="F179">
        <f>IF($E179="","",N(F178)+1)</f>
        <v>0</v>
      </c>
      <c r="G179">
        <f>IF(OR($E179="",$E178=""),"",LN($E179/$E178))</f>
        <v>0</v>
      </c>
      <c r="H179">
        <f>IF($E179="","",IF($E178="",$E179,$E179*0.0952380952+H178*0.9047619048))</f>
        <v>0</v>
      </c>
      <c r="I179">
        <f>IF($E179="","",IF($E178="",$E179,$E179*0.0392156863+I178*0.9607843137))</f>
        <v>0</v>
      </c>
      <c r="J179">
        <f>IF($E179="","",IF($E178="",$E179,$E179*0.0198019802+J178*0.9801980198))</f>
        <v>0</v>
      </c>
      <c r="K179">
        <f>IF($E179="","",IF($E178="",$E179,$E179*0.0099502488+K178*0.9900497512))</f>
        <v>0</v>
      </c>
      <c r="L179">
        <f>IF(OR($E179="",$E178=""),"",MAX($E179-$E178,0))</f>
        <v>0</v>
      </c>
      <c r="M179">
        <f>IF(OR($E179="",$E178=""),"",MAX($E178-$E179,0))</f>
        <v>0</v>
      </c>
      <c r="N179">
        <f>IF(COUNT($E$2:$E179)&lt;15,"",IF(AVERAGE($M$166:$M$179)=0,100,100-100/(1+AVERAGE($L$166:$L$179)/AVERAGE($M$166:$M$179))))</f>
        <v>0</v>
      </c>
      <c r="O179">
        <f>IF($E179="","",IF($E178="",$E179,$E179*0.1538461538+O178*0.8461538462))</f>
        <v>0</v>
      </c>
      <c r="P179">
        <f>IF($E179="","",IF($E178="",$E179,$E179*0.0740740741+P178*0.9259259259))</f>
        <v>0</v>
      </c>
      <c r="Q179">
        <f>IF(OR(O179="",P179=""),"",O179-P179)</f>
        <v>0</v>
      </c>
      <c r="R179">
        <f>IF(Q179="","",IF(R178="",Q179,Q179*0.2000000000+R178*0.8000000000))</f>
        <v>0</v>
      </c>
      <c r="S179">
        <f>IF(OR(Q179="",R179=""),"",Q179-R179)</f>
        <v>0</v>
      </c>
      <c r="T179">
        <f>IF(COUNT($E$2:$E179)&lt;14,"",MAX($C$166:$C$179))</f>
        <v>0</v>
      </c>
      <c r="U179">
        <f>IF(COUNT($E$2:$E179)&lt;14,"",MIN($D$166:$D$179))</f>
        <v>0</v>
      </c>
      <c r="V179">
        <f>IF(OR(T179="",U179="",T179=U179),"",100*($E179-U179)/(T179-U179))</f>
        <v>0</v>
      </c>
      <c r="W179">
        <f>IF(COUNT($V$177:$V$179)&lt;3,"",AVERAGE($V$177:$V$179))</f>
        <v>0</v>
      </c>
      <c r="X179">
        <f>IF(COUNT($N$166:$N$179)&lt;14,"",MIN($N$166:$N$179))</f>
        <v>0</v>
      </c>
      <c r="Y179">
        <f>IF(COUNT($N$166:$N$179)&lt;14,"",MAX($N$166:$N$179))</f>
        <v>0</v>
      </c>
      <c r="Z179">
        <f>IF(OR(N179="",X179="",Y179="",Y179=X179),"",100*(N179-X179)/(Y179-X179))</f>
        <v>0</v>
      </c>
      <c r="AA179">
        <f>IF(COUNT($Z$177:$Z$179)&lt;3,"",AVERAGE($Z$177:$Z$179))</f>
        <v>0</v>
      </c>
      <c r="AB179">
        <f>IF(COUNT($AA$177:$AA$179)&lt;3,"",AVERAGE($AA$177:$AA$179))</f>
        <v>0</v>
      </c>
      <c r="AC179">
        <f>IF($E179="","",MAX($C179-$D179,ABS($C179-$E178),ABS($D179-$E178)))</f>
        <v>0</v>
      </c>
      <c r="AD179">
        <f>IF(COUNT($E$2:$E179)&lt;15,"",AVERAGE($AC$166:$AC$179))</f>
        <v>0</v>
      </c>
      <c r="AE179">
        <f>IF(OR($E179="",$E178=""),"",IF(AND(($C179-$C178)&gt;($D178-$D179),($C179-$C178)&gt;0),$C179-$C178,0))</f>
        <v>0</v>
      </c>
      <c r="AF179">
        <f>IF(OR($E179="",$E178=""),"",IF(AND(($D178-$D179)&gt;($C179-$C178),($D178-$D179)&gt;0),$D178-$D179,0))</f>
        <v>0</v>
      </c>
      <c r="AG179">
        <f>IF(COUNT($E$2:$E179)&lt;15,"",IF(SUM($AC$166:$AC$179)=0,0,100*SUM($AE$166:$AE$179)/SUM($AC$166:$AC$179)))</f>
        <v>0</v>
      </c>
      <c r="AH179">
        <f>IF(COUNT($E$2:$E179)&lt;15,"",IF(SUM($AC$166:$AC$179)=0,0,100*SUM($AF$166:$AF$179)/SUM($AC$166:$AC$179)))</f>
        <v>0</v>
      </c>
      <c r="AI179">
        <f>IF(OR(AG179="",AH179=""),"",IF((AG179+AH179)=0,0,100*ABS(AG179-AH179)/(AG179+AH179)))</f>
        <v>0</v>
      </c>
      <c r="AJ179">
        <f>IF(COUNT($AI$166:$AI$179)&lt;14,"",AVERAGE($AI$166:$AI$179))</f>
        <v>0</v>
      </c>
      <c r="AK179">
        <f>IF(COUNT($E$2:$E179)&lt;20,"",AVERAGE($E$160:$E$179))</f>
        <v>0</v>
      </c>
      <c r="AL179">
        <f>IF(COUNT($E$2:$E179)&lt;20,"",STDEVP($E$160:$E$179))</f>
        <v>0</v>
      </c>
      <c r="AM179">
        <f>IF(AK179="","",AK179+2*AL179)</f>
        <v>0</v>
      </c>
      <c r="AN179">
        <f>IF(AK179="","",AK179-2*AL179)</f>
        <v>0</v>
      </c>
      <c r="AO179">
        <f>IF(OR(AM179="",AN179="",AM179=AN179),"",($E179-AN179)/(AM179-AN179))</f>
        <v>0</v>
      </c>
      <c r="AP179">
        <f>IF(OR(AM179="",AK179="",AK179=0),"",(AM179-AN179)/AK179)</f>
        <v>0</v>
      </c>
      <c r="AQ179">
        <f>IF(COUNT($E$2:$E179)&lt;20,"",MAX($C$160:$C$179))</f>
        <v>0</v>
      </c>
      <c r="AR179">
        <f>IF(COUNT($E$2:$E179)&lt;20,"",MIN($D$160:$D$179))</f>
        <v>0</v>
      </c>
      <c r="AS179">
        <f>IF(OR(AQ179="",AR179=""),"",(AQ179+AR179)/2)</f>
        <v>0</v>
      </c>
      <c r="AT179">
        <f>IF(COUNT($G$160:$G$179)&lt;20,"",STDEV($G$160:$G$179)*SQRT(52))</f>
        <v>0</v>
      </c>
      <c r="AU179">
        <f>IF(COUNT($E$2:$E179)&lt;9,"",(MAX($C$171:$C$179)+MIN($D$171:$D$179))/2)</f>
        <v>0</v>
      </c>
      <c r="AV179">
        <f>IF(COUNT($E$2:$E179)&lt;26,"",(MAX($C$154:$C$179)+MIN($D$154:$D$179))/2)</f>
        <v>0</v>
      </c>
      <c r="AW179">
        <f>IF(OR(AU179="",AV179=""),"",(AU179+AV179)/2)</f>
        <v>0</v>
      </c>
      <c r="AX179">
        <f>IF(COUNT($E$2:$E179)&lt;52,"",(MAX($C$128:$C$179)+MIN($D$128:$D$179))/2)</f>
        <v>0</v>
      </c>
      <c r="AY179">
        <f>IF(COUNT($E$2:$E179)&lt;20,"",MAX($C$80:$C$179))</f>
        <v>0</v>
      </c>
      <c r="AZ179">
        <f>IF(COUNT($E$2:$E179)&lt;20,"",MIN($D$80:$D$179))</f>
        <v>0</v>
      </c>
      <c r="BA179">
        <f>IF(COUNT($E$2:$E179)&lt;20,"",SLOPE($E$80:$E$179,$F$80:$F$179))</f>
        <v>0</v>
      </c>
      <c r="BB179">
        <f>IF(COUNT($E$2:$E179)&lt;20,"",INTERCEPT($E$80:$E$179,$F$80:$F$179))</f>
        <v>0</v>
      </c>
      <c r="BC179">
        <f>IF(OR(BA179="",BB179=""),"",BB179+BA179*F179)</f>
        <v>0</v>
      </c>
      <c r="BD179">
        <f>IF(COUNT($E$2:$E179)&lt;20,"",STEYX($E$80:$E$179,$F$80:$F$179))</f>
        <v>0</v>
      </c>
      <c r="BE179">
        <f>IF($E179="","",IF(AND(COUNT($E$180:$E$183)&gt;=4,$C179=MAX($C$175:$C$183)),$C179,""))</f>
        <v>0</v>
      </c>
      <c r="BF179">
        <f>IF($E179="","",IF(AND(COUNT($E$180:$E$183)&gt;=4,$D179=MIN($D$175:$D$183)),$D179,""))</f>
        <v>0</v>
      </c>
      <c r="BG179">
        <f>IFERROR(SMALL(Calc_Daily!$BM$2:$BM$2001,178),"")</f>
        <v>0</v>
      </c>
    </row>
    <row r="180" spans="1:59">
      <c r="A180" s="27">
        <f>IF($BG180="","",INDEX(Calc_Daily!$A$2:$A$2001,$BG180))</f>
        <v>0</v>
      </c>
      <c r="B180">
        <f>IF($BG180="","",INDEX(Calc_Daily!$BJ$2:$BJ$2001,$BG180))</f>
        <v>0</v>
      </c>
      <c r="C180">
        <f>IF($BG180="","",INDEX(Calc_Daily!$BK$2:$BK$2001,$BG180))</f>
        <v>0</v>
      </c>
      <c r="D180">
        <f>IF($BG180="","",INDEX(Calc_Daily!$BL$2:$BL$2001,$BG180))</f>
        <v>0</v>
      </c>
      <c r="E180">
        <f>IF($BG180="","",INDEX(Calc_Daily!$E$2:$E$2001,$BG180))</f>
        <v>0</v>
      </c>
      <c r="F180">
        <f>IF($E180="","",N(F179)+1)</f>
        <v>0</v>
      </c>
      <c r="G180">
        <f>IF(OR($E180="",$E179=""),"",LN($E180/$E179))</f>
        <v>0</v>
      </c>
      <c r="H180">
        <f>IF($E180="","",IF($E179="",$E180,$E180*0.0952380952+H179*0.9047619048))</f>
        <v>0</v>
      </c>
      <c r="I180">
        <f>IF($E180="","",IF($E179="",$E180,$E180*0.0392156863+I179*0.9607843137))</f>
        <v>0</v>
      </c>
      <c r="J180">
        <f>IF($E180="","",IF($E179="",$E180,$E180*0.0198019802+J179*0.9801980198))</f>
        <v>0</v>
      </c>
      <c r="K180">
        <f>IF($E180="","",IF($E179="",$E180,$E180*0.0099502488+K179*0.9900497512))</f>
        <v>0</v>
      </c>
      <c r="L180">
        <f>IF(OR($E180="",$E179=""),"",MAX($E180-$E179,0))</f>
        <v>0</v>
      </c>
      <c r="M180">
        <f>IF(OR($E180="",$E179=""),"",MAX($E179-$E180,0))</f>
        <v>0</v>
      </c>
      <c r="N180">
        <f>IF(COUNT($E$2:$E180)&lt;15,"",IF(AVERAGE($M$167:$M$180)=0,100,100-100/(1+AVERAGE($L$167:$L$180)/AVERAGE($M$167:$M$180))))</f>
        <v>0</v>
      </c>
      <c r="O180">
        <f>IF($E180="","",IF($E179="",$E180,$E180*0.1538461538+O179*0.8461538462))</f>
        <v>0</v>
      </c>
      <c r="P180">
        <f>IF($E180="","",IF($E179="",$E180,$E180*0.0740740741+P179*0.9259259259))</f>
        <v>0</v>
      </c>
      <c r="Q180">
        <f>IF(OR(O180="",P180=""),"",O180-P180)</f>
        <v>0</v>
      </c>
      <c r="R180">
        <f>IF(Q180="","",IF(R179="",Q180,Q180*0.2000000000+R179*0.8000000000))</f>
        <v>0</v>
      </c>
      <c r="S180">
        <f>IF(OR(Q180="",R180=""),"",Q180-R180)</f>
        <v>0</v>
      </c>
      <c r="T180">
        <f>IF(COUNT($E$2:$E180)&lt;14,"",MAX($C$167:$C$180))</f>
        <v>0</v>
      </c>
      <c r="U180">
        <f>IF(COUNT($E$2:$E180)&lt;14,"",MIN($D$167:$D$180))</f>
        <v>0</v>
      </c>
      <c r="V180">
        <f>IF(OR(T180="",U180="",T180=U180),"",100*($E180-U180)/(T180-U180))</f>
        <v>0</v>
      </c>
      <c r="W180">
        <f>IF(COUNT($V$178:$V$180)&lt;3,"",AVERAGE($V$178:$V$180))</f>
        <v>0</v>
      </c>
      <c r="X180">
        <f>IF(COUNT($N$167:$N$180)&lt;14,"",MIN($N$167:$N$180))</f>
        <v>0</v>
      </c>
      <c r="Y180">
        <f>IF(COUNT($N$167:$N$180)&lt;14,"",MAX($N$167:$N$180))</f>
        <v>0</v>
      </c>
      <c r="Z180">
        <f>IF(OR(N180="",X180="",Y180="",Y180=X180),"",100*(N180-X180)/(Y180-X180))</f>
        <v>0</v>
      </c>
      <c r="AA180">
        <f>IF(COUNT($Z$178:$Z$180)&lt;3,"",AVERAGE($Z$178:$Z$180))</f>
        <v>0</v>
      </c>
      <c r="AB180">
        <f>IF(COUNT($AA$178:$AA$180)&lt;3,"",AVERAGE($AA$178:$AA$180))</f>
        <v>0</v>
      </c>
      <c r="AC180">
        <f>IF($E180="","",MAX($C180-$D180,ABS($C180-$E179),ABS($D180-$E179)))</f>
        <v>0</v>
      </c>
      <c r="AD180">
        <f>IF(COUNT($E$2:$E180)&lt;15,"",AVERAGE($AC$167:$AC$180))</f>
        <v>0</v>
      </c>
      <c r="AE180">
        <f>IF(OR($E180="",$E179=""),"",IF(AND(($C180-$C179)&gt;($D179-$D180),($C180-$C179)&gt;0),$C180-$C179,0))</f>
        <v>0</v>
      </c>
      <c r="AF180">
        <f>IF(OR($E180="",$E179=""),"",IF(AND(($D179-$D180)&gt;($C180-$C179),($D179-$D180)&gt;0),$D179-$D180,0))</f>
        <v>0</v>
      </c>
      <c r="AG180">
        <f>IF(COUNT($E$2:$E180)&lt;15,"",IF(SUM($AC$167:$AC$180)=0,0,100*SUM($AE$167:$AE$180)/SUM($AC$167:$AC$180)))</f>
        <v>0</v>
      </c>
      <c r="AH180">
        <f>IF(COUNT($E$2:$E180)&lt;15,"",IF(SUM($AC$167:$AC$180)=0,0,100*SUM($AF$167:$AF$180)/SUM($AC$167:$AC$180)))</f>
        <v>0</v>
      </c>
      <c r="AI180">
        <f>IF(OR(AG180="",AH180=""),"",IF((AG180+AH180)=0,0,100*ABS(AG180-AH180)/(AG180+AH180)))</f>
        <v>0</v>
      </c>
      <c r="AJ180">
        <f>IF(COUNT($AI$167:$AI$180)&lt;14,"",AVERAGE($AI$167:$AI$180))</f>
        <v>0</v>
      </c>
      <c r="AK180">
        <f>IF(COUNT($E$2:$E180)&lt;20,"",AVERAGE($E$161:$E$180))</f>
        <v>0</v>
      </c>
      <c r="AL180">
        <f>IF(COUNT($E$2:$E180)&lt;20,"",STDEVP($E$161:$E$180))</f>
        <v>0</v>
      </c>
      <c r="AM180">
        <f>IF(AK180="","",AK180+2*AL180)</f>
        <v>0</v>
      </c>
      <c r="AN180">
        <f>IF(AK180="","",AK180-2*AL180)</f>
        <v>0</v>
      </c>
      <c r="AO180">
        <f>IF(OR(AM180="",AN180="",AM180=AN180),"",($E180-AN180)/(AM180-AN180))</f>
        <v>0</v>
      </c>
      <c r="AP180">
        <f>IF(OR(AM180="",AK180="",AK180=0),"",(AM180-AN180)/AK180)</f>
        <v>0</v>
      </c>
      <c r="AQ180">
        <f>IF(COUNT($E$2:$E180)&lt;20,"",MAX($C$161:$C$180))</f>
        <v>0</v>
      </c>
      <c r="AR180">
        <f>IF(COUNT($E$2:$E180)&lt;20,"",MIN($D$161:$D$180))</f>
        <v>0</v>
      </c>
      <c r="AS180">
        <f>IF(OR(AQ180="",AR180=""),"",(AQ180+AR180)/2)</f>
        <v>0</v>
      </c>
      <c r="AT180">
        <f>IF(COUNT($G$161:$G$180)&lt;20,"",STDEV($G$161:$G$180)*SQRT(52))</f>
        <v>0</v>
      </c>
      <c r="AU180">
        <f>IF(COUNT($E$2:$E180)&lt;9,"",(MAX($C$172:$C$180)+MIN($D$172:$D$180))/2)</f>
        <v>0</v>
      </c>
      <c r="AV180">
        <f>IF(COUNT($E$2:$E180)&lt;26,"",(MAX($C$155:$C$180)+MIN($D$155:$D$180))/2)</f>
        <v>0</v>
      </c>
      <c r="AW180">
        <f>IF(OR(AU180="",AV180=""),"",(AU180+AV180)/2)</f>
        <v>0</v>
      </c>
      <c r="AX180">
        <f>IF(COUNT($E$2:$E180)&lt;52,"",(MAX($C$129:$C$180)+MIN($D$129:$D$180))/2)</f>
        <v>0</v>
      </c>
      <c r="AY180">
        <f>IF(COUNT($E$2:$E180)&lt;20,"",MAX($C$81:$C$180))</f>
        <v>0</v>
      </c>
      <c r="AZ180">
        <f>IF(COUNT($E$2:$E180)&lt;20,"",MIN($D$81:$D$180))</f>
        <v>0</v>
      </c>
      <c r="BA180">
        <f>IF(COUNT($E$2:$E180)&lt;20,"",SLOPE($E$81:$E$180,$F$81:$F$180))</f>
        <v>0</v>
      </c>
      <c r="BB180">
        <f>IF(COUNT($E$2:$E180)&lt;20,"",INTERCEPT($E$81:$E$180,$F$81:$F$180))</f>
        <v>0</v>
      </c>
      <c r="BC180">
        <f>IF(OR(BA180="",BB180=""),"",BB180+BA180*F180)</f>
        <v>0</v>
      </c>
      <c r="BD180">
        <f>IF(COUNT($E$2:$E180)&lt;20,"",STEYX($E$81:$E$180,$F$81:$F$180))</f>
        <v>0</v>
      </c>
      <c r="BE180">
        <f>IF($E180="","",IF(AND(COUNT($E$181:$E$184)&gt;=4,$C180=MAX($C$176:$C$184)),$C180,""))</f>
        <v>0</v>
      </c>
      <c r="BF180">
        <f>IF($E180="","",IF(AND(COUNT($E$181:$E$184)&gt;=4,$D180=MIN($D$176:$D$184)),$D180,""))</f>
        <v>0</v>
      </c>
      <c r="BG180">
        <f>IFERROR(SMALL(Calc_Daily!$BM$2:$BM$2001,179),"")</f>
        <v>0</v>
      </c>
    </row>
    <row r="181" spans="1:59">
      <c r="A181" s="27">
        <f>IF($BG181="","",INDEX(Calc_Daily!$A$2:$A$2001,$BG181))</f>
        <v>0</v>
      </c>
      <c r="B181">
        <f>IF($BG181="","",INDEX(Calc_Daily!$BJ$2:$BJ$2001,$BG181))</f>
        <v>0</v>
      </c>
      <c r="C181">
        <f>IF($BG181="","",INDEX(Calc_Daily!$BK$2:$BK$2001,$BG181))</f>
        <v>0</v>
      </c>
      <c r="D181">
        <f>IF($BG181="","",INDEX(Calc_Daily!$BL$2:$BL$2001,$BG181))</f>
        <v>0</v>
      </c>
      <c r="E181">
        <f>IF($BG181="","",INDEX(Calc_Daily!$E$2:$E$2001,$BG181))</f>
        <v>0</v>
      </c>
      <c r="F181">
        <f>IF($E181="","",N(F180)+1)</f>
        <v>0</v>
      </c>
      <c r="G181">
        <f>IF(OR($E181="",$E180=""),"",LN($E181/$E180))</f>
        <v>0</v>
      </c>
      <c r="H181">
        <f>IF($E181="","",IF($E180="",$E181,$E181*0.0952380952+H180*0.9047619048))</f>
        <v>0</v>
      </c>
      <c r="I181">
        <f>IF($E181="","",IF($E180="",$E181,$E181*0.0392156863+I180*0.9607843137))</f>
        <v>0</v>
      </c>
      <c r="J181">
        <f>IF($E181="","",IF($E180="",$E181,$E181*0.0198019802+J180*0.9801980198))</f>
        <v>0</v>
      </c>
      <c r="K181">
        <f>IF($E181="","",IF($E180="",$E181,$E181*0.0099502488+K180*0.9900497512))</f>
        <v>0</v>
      </c>
      <c r="L181">
        <f>IF(OR($E181="",$E180=""),"",MAX($E181-$E180,0))</f>
        <v>0</v>
      </c>
      <c r="M181">
        <f>IF(OR($E181="",$E180=""),"",MAX($E180-$E181,0))</f>
        <v>0</v>
      </c>
      <c r="N181">
        <f>IF(COUNT($E$2:$E181)&lt;15,"",IF(AVERAGE($M$168:$M$181)=0,100,100-100/(1+AVERAGE($L$168:$L$181)/AVERAGE($M$168:$M$181))))</f>
        <v>0</v>
      </c>
      <c r="O181">
        <f>IF($E181="","",IF($E180="",$E181,$E181*0.1538461538+O180*0.8461538462))</f>
        <v>0</v>
      </c>
      <c r="P181">
        <f>IF($E181="","",IF($E180="",$E181,$E181*0.0740740741+P180*0.9259259259))</f>
        <v>0</v>
      </c>
      <c r="Q181">
        <f>IF(OR(O181="",P181=""),"",O181-P181)</f>
        <v>0</v>
      </c>
      <c r="R181">
        <f>IF(Q181="","",IF(R180="",Q181,Q181*0.2000000000+R180*0.8000000000))</f>
        <v>0</v>
      </c>
      <c r="S181">
        <f>IF(OR(Q181="",R181=""),"",Q181-R181)</f>
        <v>0</v>
      </c>
      <c r="T181">
        <f>IF(COUNT($E$2:$E181)&lt;14,"",MAX($C$168:$C$181))</f>
        <v>0</v>
      </c>
      <c r="U181">
        <f>IF(COUNT($E$2:$E181)&lt;14,"",MIN($D$168:$D$181))</f>
        <v>0</v>
      </c>
      <c r="V181">
        <f>IF(OR(T181="",U181="",T181=U181),"",100*($E181-U181)/(T181-U181))</f>
        <v>0</v>
      </c>
      <c r="W181">
        <f>IF(COUNT($V$179:$V$181)&lt;3,"",AVERAGE($V$179:$V$181))</f>
        <v>0</v>
      </c>
      <c r="X181">
        <f>IF(COUNT($N$168:$N$181)&lt;14,"",MIN($N$168:$N$181))</f>
        <v>0</v>
      </c>
      <c r="Y181">
        <f>IF(COUNT($N$168:$N$181)&lt;14,"",MAX($N$168:$N$181))</f>
        <v>0</v>
      </c>
      <c r="Z181">
        <f>IF(OR(N181="",X181="",Y181="",Y181=X181),"",100*(N181-X181)/(Y181-X181))</f>
        <v>0</v>
      </c>
      <c r="AA181">
        <f>IF(COUNT($Z$179:$Z$181)&lt;3,"",AVERAGE($Z$179:$Z$181))</f>
        <v>0</v>
      </c>
      <c r="AB181">
        <f>IF(COUNT($AA$179:$AA$181)&lt;3,"",AVERAGE($AA$179:$AA$181))</f>
        <v>0</v>
      </c>
      <c r="AC181">
        <f>IF($E181="","",MAX($C181-$D181,ABS($C181-$E180),ABS($D181-$E180)))</f>
        <v>0</v>
      </c>
      <c r="AD181">
        <f>IF(COUNT($E$2:$E181)&lt;15,"",AVERAGE($AC$168:$AC$181))</f>
        <v>0</v>
      </c>
      <c r="AE181">
        <f>IF(OR($E181="",$E180=""),"",IF(AND(($C181-$C180)&gt;($D180-$D181),($C181-$C180)&gt;0),$C181-$C180,0))</f>
        <v>0</v>
      </c>
      <c r="AF181">
        <f>IF(OR($E181="",$E180=""),"",IF(AND(($D180-$D181)&gt;($C181-$C180),($D180-$D181)&gt;0),$D180-$D181,0))</f>
        <v>0</v>
      </c>
      <c r="AG181">
        <f>IF(COUNT($E$2:$E181)&lt;15,"",IF(SUM($AC$168:$AC$181)=0,0,100*SUM($AE$168:$AE$181)/SUM($AC$168:$AC$181)))</f>
        <v>0</v>
      </c>
      <c r="AH181">
        <f>IF(COUNT($E$2:$E181)&lt;15,"",IF(SUM($AC$168:$AC$181)=0,0,100*SUM($AF$168:$AF$181)/SUM($AC$168:$AC$181)))</f>
        <v>0</v>
      </c>
      <c r="AI181">
        <f>IF(OR(AG181="",AH181=""),"",IF((AG181+AH181)=0,0,100*ABS(AG181-AH181)/(AG181+AH181)))</f>
        <v>0</v>
      </c>
      <c r="AJ181">
        <f>IF(COUNT($AI$168:$AI$181)&lt;14,"",AVERAGE($AI$168:$AI$181))</f>
        <v>0</v>
      </c>
      <c r="AK181">
        <f>IF(COUNT($E$2:$E181)&lt;20,"",AVERAGE($E$162:$E$181))</f>
        <v>0</v>
      </c>
      <c r="AL181">
        <f>IF(COUNT($E$2:$E181)&lt;20,"",STDEVP($E$162:$E$181))</f>
        <v>0</v>
      </c>
      <c r="AM181">
        <f>IF(AK181="","",AK181+2*AL181)</f>
        <v>0</v>
      </c>
      <c r="AN181">
        <f>IF(AK181="","",AK181-2*AL181)</f>
        <v>0</v>
      </c>
      <c r="AO181">
        <f>IF(OR(AM181="",AN181="",AM181=AN181),"",($E181-AN181)/(AM181-AN181))</f>
        <v>0</v>
      </c>
      <c r="AP181">
        <f>IF(OR(AM181="",AK181="",AK181=0),"",(AM181-AN181)/AK181)</f>
        <v>0</v>
      </c>
      <c r="AQ181">
        <f>IF(COUNT($E$2:$E181)&lt;20,"",MAX($C$162:$C$181))</f>
        <v>0</v>
      </c>
      <c r="AR181">
        <f>IF(COUNT($E$2:$E181)&lt;20,"",MIN($D$162:$D$181))</f>
        <v>0</v>
      </c>
      <c r="AS181">
        <f>IF(OR(AQ181="",AR181=""),"",(AQ181+AR181)/2)</f>
        <v>0</v>
      </c>
      <c r="AT181">
        <f>IF(COUNT($G$162:$G$181)&lt;20,"",STDEV($G$162:$G$181)*SQRT(52))</f>
        <v>0</v>
      </c>
      <c r="AU181">
        <f>IF(COUNT($E$2:$E181)&lt;9,"",(MAX($C$173:$C$181)+MIN($D$173:$D$181))/2)</f>
        <v>0</v>
      </c>
      <c r="AV181">
        <f>IF(COUNT($E$2:$E181)&lt;26,"",(MAX($C$156:$C$181)+MIN($D$156:$D$181))/2)</f>
        <v>0</v>
      </c>
      <c r="AW181">
        <f>IF(OR(AU181="",AV181=""),"",(AU181+AV181)/2)</f>
        <v>0</v>
      </c>
      <c r="AX181">
        <f>IF(COUNT($E$2:$E181)&lt;52,"",(MAX($C$130:$C$181)+MIN($D$130:$D$181))/2)</f>
        <v>0</v>
      </c>
      <c r="AY181">
        <f>IF(COUNT($E$2:$E181)&lt;20,"",MAX($C$82:$C$181))</f>
        <v>0</v>
      </c>
      <c r="AZ181">
        <f>IF(COUNT($E$2:$E181)&lt;20,"",MIN($D$82:$D$181))</f>
        <v>0</v>
      </c>
      <c r="BA181">
        <f>IF(COUNT($E$2:$E181)&lt;20,"",SLOPE($E$82:$E$181,$F$82:$F$181))</f>
        <v>0</v>
      </c>
      <c r="BB181">
        <f>IF(COUNT($E$2:$E181)&lt;20,"",INTERCEPT($E$82:$E$181,$F$82:$F$181))</f>
        <v>0</v>
      </c>
      <c r="BC181">
        <f>IF(OR(BA181="",BB181=""),"",BB181+BA181*F181)</f>
        <v>0</v>
      </c>
      <c r="BD181">
        <f>IF(COUNT($E$2:$E181)&lt;20,"",STEYX($E$82:$E$181,$F$82:$F$181))</f>
        <v>0</v>
      </c>
      <c r="BE181">
        <f>IF($E181="","",IF(AND(COUNT($E$182:$E$185)&gt;=4,$C181=MAX($C$177:$C$185)),$C181,""))</f>
        <v>0</v>
      </c>
      <c r="BF181">
        <f>IF($E181="","",IF(AND(COUNT($E$182:$E$185)&gt;=4,$D181=MIN($D$177:$D$185)),$D181,""))</f>
        <v>0</v>
      </c>
      <c r="BG181">
        <f>IFERROR(SMALL(Calc_Daily!$BM$2:$BM$2001,180),"")</f>
        <v>0</v>
      </c>
    </row>
    <row r="182" spans="1:59">
      <c r="A182" s="27">
        <f>IF($BG182="","",INDEX(Calc_Daily!$A$2:$A$2001,$BG182))</f>
        <v>0</v>
      </c>
      <c r="B182">
        <f>IF($BG182="","",INDEX(Calc_Daily!$BJ$2:$BJ$2001,$BG182))</f>
        <v>0</v>
      </c>
      <c r="C182">
        <f>IF($BG182="","",INDEX(Calc_Daily!$BK$2:$BK$2001,$BG182))</f>
        <v>0</v>
      </c>
      <c r="D182">
        <f>IF($BG182="","",INDEX(Calc_Daily!$BL$2:$BL$2001,$BG182))</f>
        <v>0</v>
      </c>
      <c r="E182">
        <f>IF($BG182="","",INDEX(Calc_Daily!$E$2:$E$2001,$BG182))</f>
        <v>0</v>
      </c>
      <c r="F182">
        <f>IF($E182="","",N(F181)+1)</f>
        <v>0</v>
      </c>
      <c r="G182">
        <f>IF(OR($E182="",$E181=""),"",LN($E182/$E181))</f>
        <v>0</v>
      </c>
      <c r="H182">
        <f>IF($E182="","",IF($E181="",$E182,$E182*0.0952380952+H181*0.9047619048))</f>
        <v>0</v>
      </c>
      <c r="I182">
        <f>IF($E182="","",IF($E181="",$E182,$E182*0.0392156863+I181*0.9607843137))</f>
        <v>0</v>
      </c>
      <c r="J182">
        <f>IF($E182="","",IF($E181="",$E182,$E182*0.0198019802+J181*0.9801980198))</f>
        <v>0</v>
      </c>
      <c r="K182">
        <f>IF($E182="","",IF($E181="",$E182,$E182*0.0099502488+K181*0.9900497512))</f>
        <v>0</v>
      </c>
      <c r="L182">
        <f>IF(OR($E182="",$E181=""),"",MAX($E182-$E181,0))</f>
        <v>0</v>
      </c>
      <c r="M182">
        <f>IF(OR($E182="",$E181=""),"",MAX($E181-$E182,0))</f>
        <v>0</v>
      </c>
      <c r="N182">
        <f>IF(COUNT($E$2:$E182)&lt;15,"",IF(AVERAGE($M$169:$M$182)=0,100,100-100/(1+AVERAGE($L$169:$L$182)/AVERAGE($M$169:$M$182))))</f>
        <v>0</v>
      </c>
      <c r="O182">
        <f>IF($E182="","",IF($E181="",$E182,$E182*0.1538461538+O181*0.8461538462))</f>
        <v>0</v>
      </c>
      <c r="P182">
        <f>IF($E182="","",IF($E181="",$E182,$E182*0.0740740741+P181*0.9259259259))</f>
        <v>0</v>
      </c>
      <c r="Q182">
        <f>IF(OR(O182="",P182=""),"",O182-P182)</f>
        <v>0</v>
      </c>
      <c r="R182">
        <f>IF(Q182="","",IF(R181="",Q182,Q182*0.2000000000+R181*0.8000000000))</f>
        <v>0</v>
      </c>
      <c r="S182">
        <f>IF(OR(Q182="",R182=""),"",Q182-R182)</f>
        <v>0</v>
      </c>
      <c r="T182">
        <f>IF(COUNT($E$2:$E182)&lt;14,"",MAX($C$169:$C$182))</f>
        <v>0</v>
      </c>
      <c r="U182">
        <f>IF(COUNT($E$2:$E182)&lt;14,"",MIN($D$169:$D$182))</f>
        <v>0</v>
      </c>
      <c r="V182">
        <f>IF(OR(T182="",U182="",T182=U182),"",100*($E182-U182)/(T182-U182))</f>
        <v>0</v>
      </c>
      <c r="W182">
        <f>IF(COUNT($V$180:$V$182)&lt;3,"",AVERAGE($V$180:$V$182))</f>
        <v>0</v>
      </c>
      <c r="X182">
        <f>IF(COUNT($N$169:$N$182)&lt;14,"",MIN($N$169:$N$182))</f>
        <v>0</v>
      </c>
      <c r="Y182">
        <f>IF(COUNT($N$169:$N$182)&lt;14,"",MAX($N$169:$N$182))</f>
        <v>0</v>
      </c>
      <c r="Z182">
        <f>IF(OR(N182="",X182="",Y182="",Y182=X182),"",100*(N182-X182)/(Y182-X182))</f>
        <v>0</v>
      </c>
      <c r="AA182">
        <f>IF(COUNT($Z$180:$Z$182)&lt;3,"",AVERAGE($Z$180:$Z$182))</f>
        <v>0</v>
      </c>
      <c r="AB182">
        <f>IF(COUNT($AA$180:$AA$182)&lt;3,"",AVERAGE($AA$180:$AA$182))</f>
        <v>0</v>
      </c>
      <c r="AC182">
        <f>IF($E182="","",MAX($C182-$D182,ABS($C182-$E181),ABS($D182-$E181)))</f>
        <v>0</v>
      </c>
      <c r="AD182">
        <f>IF(COUNT($E$2:$E182)&lt;15,"",AVERAGE($AC$169:$AC$182))</f>
        <v>0</v>
      </c>
      <c r="AE182">
        <f>IF(OR($E182="",$E181=""),"",IF(AND(($C182-$C181)&gt;($D181-$D182),($C182-$C181)&gt;0),$C182-$C181,0))</f>
        <v>0</v>
      </c>
      <c r="AF182">
        <f>IF(OR($E182="",$E181=""),"",IF(AND(($D181-$D182)&gt;($C182-$C181),($D181-$D182)&gt;0),$D181-$D182,0))</f>
        <v>0</v>
      </c>
      <c r="AG182">
        <f>IF(COUNT($E$2:$E182)&lt;15,"",IF(SUM($AC$169:$AC$182)=0,0,100*SUM($AE$169:$AE$182)/SUM($AC$169:$AC$182)))</f>
        <v>0</v>
      </c>
      <c r="AH182">
        <f>IF(COUNT($E$2:$E182)&lt;15,"",IF(SUM($AC$169:$AC$182)=0,0,100*SUM($AF$169:$AF$182)/SUM($AC$169:$AC$182)))</f>
        <v>0</v>
      </c>
      <c r="AI182">
        <f>IF(OR(AG182="",AH182=""),"",IF((AG182+AH182)=0,0,100*ABS(AG182-AH182)/(AG182+AH182)))</f>
        <v>0</v>
      </c>
      <c r="AJ182">
        <f>IF(COUNT($AI$169:$AI$182)&lt;14,"",AVERAGE($AI$169:$AI$182))</f>
        <v>0</v>
      </c>
      <c r="AK182">
        <f>IF(COUNT($E$2:$E182)&lt;20,"",AVERAGE($E$163:$E$182))</f>
        <v>0</v>
      </c>
      <c r="AL182">
        <f>IF(COUNT($E$2:$E182)&lt;20,"",STDEVP($E$163:$E$182))</f>
        <v>0</v>
      </c>
      <c r="AM182">
        <f>IF(AK182="","",AK182+2*AL182)</f>
        <v>0</v>
      </c>
      <c r="AN182">
        <f>IF(AK182="","",AK182-2*AL182)</f>
        <v>0</v>
      </c>
      <c r="AO182">
        <f>IF(OR(AM182="",AN182="",AM182=AN182),"",($E182-AN182)/(AM182-AN182))</f>
        <v>0</v>
      </c>
      <c r="AP182">
        <f>IF(OR(AM182="",AK182="",AK182=0),"",(AM182-AN182)/AK182)</f>
        <v>0</v>
      </c>
      <c r="AQ182">
        <f>IF(COUNT($E$2:$E182)&lt;20,"",MAX($C$163:$C$182))</f>
        <v>0</v>
      </c>
      <c r="AR182">
        <f>IF(COUNT($E$2:$E182)&lt;20,"",MIN($D$163:$D$182))</f>
        <v>0</v>
      </c>
      <c r="AS182">
        <f>IF(OR(AQ182="",AR182=""),"",(AQ182+AR182)/2)</f>
        <v>0</v>
      </c>
      <c r="AT182">
        <f>IF(COUNT($G$163:$G$182)&lt;20,"",STDEV($G$163:$G$182)*SQRT(52))</f>
        <v>0</v>
      </c>
      <c r="AU182">
        <f>IF(COUNT($E$2:$E182)&lt;9,"",(MAX($C$174:$C$182)+MIN($D$174:$D$182))/2)</f>
        <v>0</v>
      </c>
      <c r="AV182">
        <f>IF(COUNT($E$2:$E182)&lt;26,"",(MAX($C$157:$C$182)+MIN($D$157:$D$182))/2)</f>
        <v>0</v>
      </c>
      <c r="AW182">
        <f>IF(OR(AU182="",AV182=""),"",(AU182+AV182)/2)</f>
        <v>0</v>
      </c>
      <c r="AX182">
        <f>IF(COUNT($E$2:$E182)&lt;52,"",(MAX($C$131:$C$182)+MIN($D$131:$D$182))/2)</f>
        <v>0</v>
      </c>
      <c r="AY182">
        <f>IF(COUNT($E$2:$E182)&lt;20,"",MAX($C$83:$C$182))</f>
        <v>0</v>
      </c>
      <c r="AZ182">
        <f>IF(COUNT($E$2:$E182)&lt;20,"",MIN($D$83:$D$182))</f>
        <v>0</v>
      </c>
      <c r="BA182">
        <f>IF(COUNT($E$2:$E182)&lt;20,"",SLOPE($E$83:$E$182,$F$83:$F$182))</f>
        <v>0</v>
      </c>
      <c r="BB182">
        <f>IF(COUNT($E$2:$E182)&lt;20,"",INTERCEPT($E$83:$E$182,$F$83:$F$182))</f>
        <v>0</v>
      </c>
      <c r="BC182">
        <f>IF(OR(BA182="",BB182=""),"",BB182+BA182*F182)</f>
        <v>0</v>
      </c>
      <c r="BD182">
        <f>IF(COUNT($E$2:$E182)&lt;20,"",STEYX($E$83:$E$182,$F$83:$F$182))</f>
        <v>0</v>
      </c>
      <c r="BE182">
        <f>IF($E182="","",IF(AND(COUNT($E$183:$E$186)&gt;=4,$C182=MAX($C$178:$C$186)),$C182,""))</f>
        <v>0</v>
      </c>
      <c r="BF182">
        <f>IF($E182="","",IF(AND(COUNT($E$183:$E$186)&gt;=4,$D182=MIN($D$178:$D$186)),$D182,""))</f>
        <v>0</v>
      </c>
      <c r="BG182">
        <f>IFERROR(SMALL(Calc_Daily!$BM$2:$BM$2001,181),"")</f>
        <v>0</v>
      </c>
    </row>
    <row r="183" spans="1:59">
      <c r="A183" s="27">
        <f>IF($BG183="","",INDEX(Calc_Daily!$A$2:$A$2001,$BG183))</f>
        <v>0</v>
      </c>
      <c r="B183">
        <f>IF($BG183="","",INDEX(Calc_Daily!$BJ$2:$BJ$2001,$BG183))</f>
        <v>0</v>
      </c>
      <c r="C183">
        <f>IF($BG183="","",INDEX(Calc_Daily!$BK$2:$BK$2001,$BG183))</f>
        <v>0</v>
      </c>
      <c r="D183">
        <f>IF($BG183="","",INDEX(Calc_Daily!$BL$2:$BL$2001,$BG183))</f>
        <v>0</v>
      </c>
      <c r="E183">
        <f>IF($BG183="","",INDEX(Calc_Daily!$E$2:$E$2001,$BG183))</f>
        <v>0</v>
      </c>
      <c r="F183">
        <f>IF($E183="","",N(F182)+1)</f>
        <v>0</v>
      </c>
      <c r="G183">
        <f>IF(OR($E183="",$E182=""),"",LN($E183/$E182))</f>
        <v>0</v>
      </c>
      <c r="H183">
        <f>IF($E183="","",IF($E182="",$E183,$E183*0.0952380952+H182*0.9047619048))</f>
        <v>0</v>
      </c>
      <c r="I183">
        <f>IF($E183="","",IF($E182="",$E183,$E183*0.0392156863+I182*0.9607843137))</f>
        <v>0</v>
      </c>
      <c r="J183">
        <f>IF($E183="","",IF($E182="",$E183,$E183*0.0198019802+J182*0.9801980198))</f>
        <v>0</v>
      </c>
      <c r="K183">
        <f>IF($E183="","",IF($E182="",$E183,$E183*0.0099502488+K182*0.9900497512))</f>
        <v>0</v>
      </c>
      <c r="L183">
        <f>IF(OR($E183="",$E182=""),"",MAX($E183-$E182,0))</f>
        <v>0</v>
      </c>
      <c r="M183">
        <f>IF(OR($E183="",$E182=""),"",MAX($E182-$E183,0))</f>
        <v>0</v>
      </c>
      <c r="N183">
        <f>IF(COUNT($E$2:$E183)&lt;15,"",IF(AVERAGE($M$170:$M$183)=0,100,100-100/(1+AVERAGE($L$170:$L$183)/AVERAGE($M$170:$M$183))))</f>
        <v>0</v>
      </c>
      <c r="O183">
        <f>IF($E183="","",IF($E182="",$E183,$E183*0.1538461538+O182*0.8461538462))</f>
        <v>0</v>
      </c>
      <c r="P183">
        <f>IF($E183="","",IF($E182="",$E183,$E183*0.0740740741+P182*0.9259259259))</f>
        <v>0</v>
      </c>
      <c r="Q183">
        <f>IF(OR(O183="",P183=""),"",O183-P183)</f>
        <v>0</v>
      </c>
      <c r="R183">
        <f>IF(Q183="","",IF(R182="",Q183,Q183*0.2000000000+R182*0.8000000000))</f>
        <v>0</v>
      </c>
      <c r="S183">
        <f>IF(OR(Q183="",R183=""),"",Q183-R183)</f>
        <v>0</v>
      </c>
      <c r="T183">
        <f>IF(COUNT($E$2:$E183)&lt;14,"",MAX($C$170:$C$183))</f>
        <v>0</v>
      </c>
      <c r="U183">
        <f>IF(COUNT($E$2:$E183)&lt;14,"",MIN($D$170:$D$183))</f>
        <v>0</v>
      </c>
      <c r="V183">
        <f>IF(OR(T183="",U183="",T183=U183),"",100*($E183-U183)/(T183-U183))</f>
        <v>0</v>
      </c>
      <c r="W183">
        <f>IF(COUNT($V$181:$V$183)&lt;3,"",AVERAGE($V$181:$V$183))</f>
        <v>0</v>
      </c>
      <c r="X183">
        <f>IF(COUNT($N$170:$N$183)&lt;14,"",MIN($N$170:$N$183))</f>
        <v>0</v>
      </c>
      <c r="Y183">
        <f>IF(COUNT($N$170:$N$183)&lt;14,"",MAX($N$170:$N$183))</f>
        <v>0</v>
      </c>
      <c r="Z183">
        <f>IF(OR(N183="",X183="",Y183="",Y183=X183),"",100*(N183-X183)/(Y183-X183))</f>
        <v>0</v>
      </c>
      <c r="AA183">
        <f>IF(COUNT($Z$181:$Z$183)&lt;3,"",AVERAGE($Z$181:$Z$183))</f>
        <v>0</v>
      </c>
      <c r="AB183">
        <f>IF(COUNT($AA$181:$AA$183)&lt;3,"",AVERAGE($AA$181:$AA$183))</f>
        <v>0</v>
      </c>
      <c r="AC183">
        <f>IF($E183="","",MAX($C183-$D183,ABS($C183-$E182),ABS($D183-$E182)))</f>
        <v>0</v>
      </c>
      <c r="AD183">
        <f>IF(COUNT($E$2:$E183)&lt;15,"",AVERAGE($AC$170:$AC$183))</f>
        <v>0</v>
      </c>
      <c r="AE183">
        <f>IF(OR($E183="",$E182=""),"",IF(AND(($C183-$C182)&gt;($D182-$D183),($C183-$C182)&gt;0),$C183-$C182,0))</f>
        <v>0</v>
      </c>
      <c r="AF183">
        <f>IF(OR($E183="",$E182=""),"",IF(AND(($D182-$D183)&gt;($C183-$C182),($D182-$D183)&gt;0),$D182-$D183,0))</f>
        <v>0</v>
      </c>
      <c r="AG183">
        <f>IF(COUNT($E$2:$E183)&lt;15,"",IF(SUM($AC$170:$AC$183)=0,0,100*SUM($AE$170:$AE$183)/SUM($AC$170:$AC$183)))</f>
        <v>0</v>
      </c>
      <c r="AH183">
        <f>IF(COUNT($E$2:$E183)&lt;15,"",IF(SUM($AC$170:$AC$183)=0,0,100*SUM($AF$170:$AF$183)/SUM($AC$170:$AC$183)))</f>
        <v>0</v>
      </c>
      <c r="AI183">
        <f>IF(OR(AG183="",AH183=""),"",IF((AG183+AH183)=0,0,100*ABS(AG183-AH183)/(AG183+AH183)))</f>
        <v>0</v>
      </c>
      <c r="AJ183">
        <f>IF(COUNT($AI$170:$AI$183)&lt;14,"",AVERAGE($AI$170:$AI$183))</f>
        <v>0</v>
      </c>
      <c r="AK183">
        <f>IF(COUNT($E$2:$E183)&lt;20,"",AVERAGE($E$164:$E$183))</f>
        <v>0</v>
      </c>
      <c r="AL183">
        <f>IF(COUNT($E$2:$E183)&lt;20,"",STDEVP($E$164:$E$183))</f>
        <v>0</v>
      </c>
      <c r="AM183">
        <f>IF(AK183="","",AK183+2*AL183)</f>
        <v>0</v>
      </c>
      <c r="AN183">
        <f>IF(AK183="","",AK183-2*AL183)</f>
        <v>0</v>
      </c>
      <c r="AO183">
        <f>IF(OR(AM183="",AN183="",AM183=AN183),"",($E183-AN183)/(AM183-AN183))</f>
        <v>0</v>
      </c>
      <c r="AP183">
        <f>IF(OR(AM183="",AK183="",AK183=0),"",(AM183-AN183)/AK183)</f>
        <v>0</v>
      </c>
      <c r="AQ183">
        <f>IF(COUNT($E$2:$E183)&lt;20,"",MAX($C$164:$C$183))</f>
        <v>0</v>
      </c>
      <c r="AR183">
        <f>IF(COUNT($E$2:$E183)&lt;20,"",MIN($D$164:$D$183))</f>
        <v>0</v>
      </c>
      <c r="AS183">
        <f>IF(OR(AQ183="",AR183=""),"",(AQ183+AR183)/2)</f>
        <v>0</v>
      </c>
      <c r="AT183">
        <f>IF(COUNT($G$164:$G$183)&lt;20,"",STDEV($G$164:$G$183)*SQRT(52))</f>
        <v>0</v>
      </c>
      <c r="AU183">
        <f>IF(COUNT($E$2:$E183)&lt;9,"",(MAX($C$175:$C$183)+MIN($D$175:$D$183))/2)</f>
        <v>0</v>
      </c>
      <c r="AV183">
        <f>IF(COUNT($E$2:$E183)&lt;26,"",(MAX($C$158:$C$183)+MIN($D$158:$D$183))/2)</f>
        <v>0</v>
      </c>
      <c r="AW183">
        <f>IF(OR(AU183="",AV183=""),"",(AU183+AV183)/2)</f>
        <v>0</v>
      </c>
      <c r="AX183">
        <f>IF(COUNT($E$2:$E183)&lt;52,"",(MAX($C$132:$C$183)+MIN($D$132:$D$183))/2)</f>
        <v>0</v>
      </c>
      <c r="AY183">
        <f>IF(COUNT($E$2:$E183)&lt;20,"",MAX($C$84:$C$183))</f>
        <v>0</v>
      </c>
      <c r="AZ183">
        <f>IF(COUNT($E$2:$E183)&lt;20,"",MIN($D$84:$D$183))</f>
        <v>0</v>
      </c>
      <c r="BA183">
        <f>IF(COUNT($E$2:$E183)&lt;20,"",SLOPE($E$84:$E$183,$F$84:$F$183))</f>
        <v>0</v>
      </c>
      <c r="BB183">
        <f>IF(COUNT($E$2:$E183)&lt;20,"",INTERCEPT($E$84:$E$183,$F$84:$F$183))</f>
        <v>0</v>
      </c>
      <c r="BC183">
        <f>IF(OR(BA183="",BB183=""),"",BB183+BA183*F183)</f>
        <v>0</v>
      </c>
      <c r="BD183">
        <f>IF(COUNT($E$2:$E183)&lt;20,"",STEYX($E$84:$E$183,$F$84:$F$183))</f>
        <v>0</v>
      </c>
      <c r="BE183">
        <f>IF($E183="","",IF(AND(COUNT($E$184:$E$187)&gt;=4,$C183=MAX($C$179:$C$187)),$C183,""))</f>
        <v>0</v>
      </c>
      <c r="BF183">
        <f>IF($E183="","",IF(AND(COUNT($E$184:$E$187)&gt;=4,$D183=MIN($D$179:$D$187)),$D183,""))</f>
        <v>0</v>
      </c>
      <c r="BG183">
        <f>IFERROR(SMALL(Calc_Daily!$BM$2:$BM$2001,182),"")</f>
        <v>0</v>
      </c>
    </row>
    <row r="184" spans="1:59">
      <c r="A184" s="27">
        <f>IF($BG184="","",INDEX(Calc_Daily!$A$2:$A$2001,$BG184))</f>
        <v>0</v>
      </c>
      <c r="B184">
        <f>IF($BG184="","",INDEX(Calc_Daily!$BJ$2:$BJ$2001,$BG184))</f>
        <v>0</v>
      </c>
      <c r="C184">
        <f>IF($BG184="","",INDEX(Calc_Daily!$BK$2:$BK$2001,$BG184))</f>
        <v>0</v>
      </c>
      <c r="D184">
        <f>IF($BG184="","",INDEX(Calc_Daily!$BL$2:$BL$2001,$BG184))</f>
        <v>0</v>
      </c>
      <c r="E184">
        <f>IF($BG184="","",INDEX(Calc_Daily!$E$2:$E$2001,$BG184))</f>
        <v>0</v>
      </c>
      <c r="F184">
        <f>IF($E184="","",N(F183)+1)</f>
        <v>0</v>
      </c>
      <c r="G184">
        <f>IF(OR($E184="",$E183=""),"",LN($E184/$E183))</f>
        <v>0</v>
      </c>
      <c r="H184">
        <f>IF($E184="","",IF($E183="",$E184,$E184*0.0952380952+H183*0.9047619048))</f>
        <v>0</v>
      </c>
      <c r="I184">
        <f>IF($E184="","",IF($E183="",$E184,$E184*0.0392156863+I183*0.9607843137))</f>
        <v>0</v>
      </c>
      <c r="J184">
        <f>IF($E184="","",IF($E183="",$E184,$E184*0.0198019802+J183*0.9801980198))</f>
        <v>0</v>
      </c>
      <c r="K184">
        <f>IF($E184="","",IF($E183="",$E184,$E184*0.0099502488+K183*0.9900497512))</f>
        <v>0</v>
      </c>
      <c r="L184">
        <f>IF(OR($E184="",$E183=""),"",MAX($E184-$E183,0))</f>
        <v>0</v>
      </c>
      <c r="M184">
        <f>IF(OR($E184="",$E183=""),"",MAX($E183-$E184,0))</f>
        <v>0</v>
      </c>
      <c r="N184">
        <f>IF(COUNT($E$2:$E184)&lt;15,"",IF(AVERAGE($M$171:$M$184)=0,100,100-100/(1+AVERAGE($L$171:$L$184)/AVERAGE($M$171:$M$184))))</f>
        <v>0</v>
      </c>
      <c r="O184">
        <f>IF($E184="","",IF($E183="",$E184,$E184*0.1538461538+O183*0.8461538462))</f>
        <v>0</v>
      </c>
      <c r="P184">
        <f>IF($E184="","",IF($E183="",$E184,$E184*0.0740740741+P183*0.9259259259))</f>
        <v>0</v>
      </c>
      <c r="Q184">
        <f>IF(OR(O184="",P184=""),"",O184-P184)</f>
        <v>0</v>
      </c>
      <c r="R184">
        <f>IF(Q184="","",IF(R183="",Q184,Q184*0.2000000000+R183*0.8000000000))</f>
        <v>0</v>
      </c>
      <c r="S184">
        <f>IF(OR(Q184="",R184=""),"",Q184-R184)</f>
        <v>0</v>
      </c>
      <c r="T184">
        <f>IF(COUNT($E$2:$E184)&lt;14,"",MAX($C$171:$C$184))</f>
        <v>0</v>
      </c>
      <c r="U184">
        <f>IF(COUNT($E$2:$E184)&lt;14,"",MIN($D$171:$D$184))</f>
        <v>0</v>
      </c>
      <c r="V184">
        <f>IF(OR(T184="",U184="",T184=U184),"",100*($E184-U184)/(T184-U184))</f>
        <v>0</v>
      </c>
      <c r="W184">
        <f>IF(COUNT($V$182:$V$184)&lt;3,"",AVERAGE($V$182:$V$184))</f>
        <v>0</v>
      </c>
      <c r="X184">
        <f>IF(COUNT($N$171:$N$184)&lt;14,"",MIN($N$171:$N$184))</f>
        <v>0</v>
      </c>
      <c r="Y184">
        <f>IF(COUNT($N$171:$N$184)&lt;14,"",MAX($N$171:$N$184))</f>
        <v>0</v>
      </c>
      <c r="Z184">
        <f>IF(OR(N184="",X184="",Y184="",Y184=X184),"",100*(N184-X184)/(Y184-X184))</f>
        <v>0</v>
      </c>
      <c r="AA184">
        <f>IF(COUNT($Z$182:$Z$184)&lt;3,"",AVERAGE($Z$182:$Z$184))</f>
        <v>0</v>
      </c>
      <c r="AB184">
        <f>IF(COUNT($AA$182:$AA$184)&lt;3,"",AVERAGE($AA$182:$AA$184))</f>
        <v>0</v>
      </c>
      <c r="AC184">
        <f>IF($E184="","",MAX($C184-$D184,ABS($C184-$E183),ABS($D184-$E183)))</f>
        <v>0</v>
      </c>
      <c r="AD184">
        <f>IF(COUNT($E$2:$E184)&lt;15,"",AVERAGE($AC$171:$AC$184))</f>
        <v>0</v>
      </c>
      <c r="AE184">
        <f>IF(OR($E184="",$E183=""),"",IF(AND(($C184-$C183)&gt;($D183-$D184),($C184-$C183)&gt;0),$C184-$C183,0))</f>
        <v>0</v>
      </c>
      <c r="AF184">
        <f>IF(OR($E184="",$E183=""),"",IF(AND(($D183-$D184)&gt;($C184-$C183),($D183-$D184)&gt;0),$D183-$D184,0))</f>
        <v>0</v>
      </c>
      <c r="AG184">
        <f>IF(COUNT($E$2:$E184)&lt;15,"",IF(SUM($AC$171:$AC$184)=0,0,100*SUM($AE$171:$AE$184)/SUM($AC$171:$AC$184)))</f>
        <v>0</v>
      </c>
      <c r="AH184">
        <f>IF(COUNT($E$2:$E184)&lt;15,"",IF(SUM($AC$171:$AC$184)=0,0,100*SUM($AF$171:$AF$184)/SUM($AC$171:$AC$184)))</f>
        <v>0</v>
      </c>
      <c r="AI184">
        <f>IF(OR(AG184="",AH184=""),"",IF((AG184+AH184)=0,0,100*ABS(AG184-AH184)/(AG184+AH184)))</f>
        <v>0</v>
      </c>
      <c r="AJ184">
        <f>IF(COUNT($AI$171:$AI$184)&lt;14,"",AVERAGE($AI$171:$AI$184))</f>
        <v>0</v>
      </c>
      <c r="AK184">
        <f>IF(COUNT($E$2:$E184)&lt;20,"",AVERAGE($E$165:$E$184))</f>
        <v>0</v>
      </c>
      <c r="AL184">
        <f>IF(COUNT($E$2:$E184)&lt;20,"",STDEVP($E$165:$E$184))</f>
        <v>0</v>
      </c>
      <c r="AM184">
        <f>IF(AK184="","",AK184+2*AL184)</f>
        <v>0</v>
      </c>
      <c r="AN184">
        <f>IF(AK184="","",AK184-2*AL184)</f>
        <v>0</v>
      </c>
      <c r="AO184">
        <f>IF(OR(AM184="",AN184="",AM184=AN184),"",($E184-AN184)/(AM184-AN184))</f>
        <v>0</v>
      </c>
      <c r="AP184">
        <f>IF(OR(AM184="",AK184="",AK184=0),"",(AM184-AN184)/AK184)</f>
        <v>0</v>
      </c>
      <c r="AQ184">
        <f>IF(COUNT($E$2:$E184)&lt;20,"",MAX($C$165:$C$184))</f>
        <v>0</v>
      </c>
      <c r="AR184">
        <f>IF(COUNT($E$2:$E184)&lt;20,"",MIN($D$165:$D$184))</f>
        <v>0</v>
      </c>
      <c r="AS184">
        <f>IF(OR(AQ184="",AR184=""),"",(AQ184+AR184)/2)</f>
        <v>0</v>
      </c>
      <c r="AT184">
        <f>IF(COUNT($G$165:$G$184)&lt;20,"",STDEV($G$165:$G$184)*SQRT(52))</f>
        <v>0</v>
      </c>
      <c r="AU184">
        <f>IF(COUNT($E$2:$E184)&lt;9,"",(MAX($C$176:$C$184)+MIN($D$176:$D$184))/2)</f>
        <v>0</v>
      </c>
      <c r="AV184">
        <f>IF(COUNT($E$2:$E184)&lt;26,"",(MAX($C$159:$C$184)+MIN($D$159:$D$184))/2)</f>
        <v>0</v>
      </c>
      <c r="AW184">
        <f>IF(OR(AU184="",AV184=""),"",(AU184+AV184)/2)</f>
        <v>0</v>
      </c>
      <c r="AX184">
        <f>IF(COUNT($E$2:$E184)&lt;52,"",(MAX($C$133:$C$184)+MIN($D$133:$D$184))/2)</f>
        <v>0</v>
      </c>
      <c r="AY184">
        <f>IF(COUNT($E$2:$E184)&lt;20,"",MAX($C$85:$C$184))</f>
        <v>0</v>
      </c>
      <c r="AZ184">
        <f>IF(COUNT($E$2:$E184)&lt;20,"",MIN($D$85:$D$184))</f>
        <v>0</v>
      </c>
      <c r="BA184">
        <f>IF(COUNT($E$2:$E184)&lt;20,"",SLOPE($E$85:$E$184,$F$85:$F$184))</f>
        <v>0</v>
      </c>
      <c r="BB184">
        <f>IF(COUNT($E$2:$E184)&lt;20,"",INTERCEPT($E$85:$E$184,$F$85:$F$184))</f>
        <v>0</v>
      </c>
      <c r="BC184">
        <f>IF(OR(BA184="",BB184=""),"",BB184+BA184*F184)</f>
        <v>0</v>
      </c>
      <c r="BD184">
        <f>IF(COUNT($E$2:$E184)&lt;20,"",STEYX($E$85:$E$184,$F$85:$F$184))</f>
        <v>0</v>
      </c>
      <c r="BE184">
        <f>IF($E184="","",IF(AND(COUNT($E$185:$E$188)&gt;=4,$C184=MAX($C$180:$C$188)),$C184,""))</f>
        <v>0</v>
      </c>
      <c r="BF184">
        <f>IF($E184="","",IF(AND(COUNT($E$185:$E$188)&gt;=4,$D184=MIN($D$180:$D$188)),$D184,""))</f>
        <v>0</v>
      </c>
      <c r="BG184">
        <f>IFERROR(SMALL(Calc_Daily!$BM$2:$BM$2001,183),"")</f>
        <v>0</v>
      </c>
    </row>
    <row r="185" spans="1:59">
      <c r="A185" s="27">
        <f>IF($BG185="","",INDEX(Calc_Daily!$A$2:$A$2001,$BG185))</f>
        <v>0</v>
      </c>
      <c r="B185">
        <f>IF($BG185="","",INDEX(Calc_Daily!$BJ$2:$BJ$2001,$BG185))</f>
        <v>0</v>
      </c>
      <c r="C185">
        <f>IF($BG185="","",INDEX(Calc_Daily!$BK$2:$BK$2001,$BG185))</f>
        <v>0</v>
      </c>
      <c r="D185">
        <f>IF($BG185="","",INDEX(Calc_Daily!$BL$2:$BL$2001,$BG185))</f>
        <v>0</v>
      </c>
      <c r="E185">
        <f>IF($BG185="","",INDEX(Calc_Daily!$E$2:$E$2001,$BG185))</f>
        <v>0</v>
      </c>
      <c r="F185">
        <f>IF($E185="","",N(F184)+1)</f>
        <v>0</v>
      </c>
      <c r="G185">
        <f>IF(OR($E185="",$E184=""),"",LN($E185/$E184))</f>
        <v>0</v>
      </c>
      <c r="H185">
        <f>IF($E185="","",IF($E184="",$E185,$E185*0.0952380952+H184*0.9047619048))</f>
        <v>0</v>
      </c>
      <c r="I185">
        <f>IF($E185="","",IF($E184="",$E185,$E185*0.0392156863+I184*0.9607843137))</f>
        <v>0</v>
      </c>
      <c r="J185">
        <f>IF($E185="","",IF($E184="",$E185,$E185*0.0198019802+J184*0.9801980198))</f>
        <v>0</v>
      </c>
      <c r="K185">
        <f>IF($E185="","",IF($E184="",$E185,$E185*0.0099502488+K184*0.9900497512))</f>
        <v>0</v>
      </c>
      <c r="L185">
        <f>IF(OR($E185="",$E184=""),"",MAX($E185-$E184,0))</f>
        <v>0</v>
      </c>
      <c r="M185">
        <f>IF(OR($E185="",$E184=""),"",MAX($E184-$E185,0))</f>
        <v>0</v>
      </c>
      <c r="N185">
        <f>IF(COUNT($E$2:$E185)&lt;15,"",IF(AVERAGE($M$172:$M$185)=0,100,100-100/(1+AVERAGE($L$172:$L$185)/AVERAGE($M$172:$M$185))))</f>
        <v>0</v>
      </c>
      <c r="O185">
        <f>IF($E185="","",IF($E184="",$E185,$E185*0.1538461538+O184*0.8461538462))</f>
        <v>0</v>
      </c>
      <c r="P185">
        <f>IF($E185="","",IF($E184="",$E185,$E185*0.0740740741+P184*0.9259259259))</f>
        <v>0</v>
      </c>
      <c r="Q185">
        <f>IF(OR(O185="",P185=""),"",O185-P185)</f>
        <v>0</v>
      </c>
      <c r="R185">
        <f>IF(Q185="","",IF(R184="",Q185,Q185*0.2000000000+R184*0.8000000000))</f>
        <v>0</v>
      </c>
      <c r="S185">
        <f>IF(OR(Q185="",R185=""),"",Q185-R185)</f>
        <v>0</v>
      </c>
      <c r="T185">
        <f>IF(COUNT($E$2:$E185)&lt;14,"",MAX($C$172:$C$185))</f>
        <v>0</v>
      </c>
      <c r="U185">
        <f>IF(COUNT($E$2:$E185)&lt;14,"",MIN($D$172:$D$185))</f>
        <v>0</v>
      </c>
      <c r="V185">
        <f>IF(OR(T185="",U185="",T185=U185),"",100*($E185-U185)/(T185-U185))</f>
        <v>0</v>
      </c>
      <c r="W185">
        <f>IF(COUNT($V$183:$V$185)&lt;3,"",AVERAGE($V$183:$V$185))</f>
        <v>0</v>
      </c>
      <c r="X185">
        <f>IF(COUNT($N$172:$N$185)&lt;14,"",MIN($N$172:$N$185))</f>
        <v>0</v>
      </c>
      <c r="Y185">
        <f>IF(COUNT($N$172:$N$185)&lt;14,"",MAX($N$172:$N$185))</f>
        <v>0</v>
      </c>
      <c r="Z185">
        <f>IF(OR(N185="",X185="",Y185="",Y185=X185),"",100*(N185-X185)/(Y185-X185))</f>
        <v>0</v>
      </c>
      <c r="AA185">
        <f>IF(COUNT($Z$183:$Z$185)&lt;3,"",AVERAGE($Z$183:$Z$185))</f>
        <v>0</v>
      </c>
      <c r="AB185">
        <f>IF(COUNT($AA$183:$AA$185)&lt;3,"",AVERAGE($AA$183:$AA$185))</f>
        <v>0</v>
      </c>
      <c r="AC185">
        <f>IF($E185="","",MAX($C185-$D185,ABS($C185-$E184),ABS($D185-$E184)))</f>
        <v>0</v>
      </c>
      <c r="AD185">
        <f>IF(COUNT($E$2:$E185)&lt;15,"",AVERAGE($AC$172:$AC$185))</f>
        <v>0</v>
      </c>
      <c r="AE185">
        <f>IF(OR($E185="",$E184=""),"",IF(AND(($C185-$C184)&gt;($D184-$D185),($C185-$C184)&gt;0),$C185-$C184,0))</f>
        <v>0</v>
      </c>
      <c r="AF185">
        <f>IF(OR($E185="",$E184=""),"",IF(AND(($D184-$D185)&gt;($C185-$C184),($D184-$D185)&gt;0),$D184-$D185,0))</f>
        <v>0</v>
      </c>
      <c r="AG185">
        <f>IF(COUNT($E$2:$E185)&lt;15,"",IF(SUM($AC$172:$AC$185)=0,0,100*SUM($AE$172:$AE$185)/SUM($AC$172:$AC$185)))</f>
        <v>0</v>
      </c>
      <c r="AH185">
        <f>IF(COUNT($E$2:$E185)&lt;15,"",IF(SUM($AC$172:$AC$185)=0,0,100*SUM($AF$172:$AF$185)/SUM($AC$172:$AC$185)))</f>
        <v>0</v>
      </c>
      <c r="AI185">
        <f>IF(OR(AG185="",AH185=""),"",IF((AG185+AH185)=0,0,100*ABS(AG185-AH185)/(AG185+AH185)))</f>
        <v>0</v>
      </c>
      <c r="AJ185">
        <f>IF(COUNT($AI$172:$AI$185)&lt;14,"",AVERAGE($AI$172:$AI$185))</f>
        <v>0</v>
      </c>
      <c r="AK185">
        <f>IF(COUNT($E$2:$E185)&lt;20,"",AVERAGE($E$166:$E$185))</f>
        <v>0</v>
      </c>
      <c r="AL185">
        <f>IF(COUNT($E$2:$E185)&lt;20,"",STDEVP($E$166:$E$185))</f>
        <v>0</v>
      </c>
      <c r="AM185">
        <f>IF(AK185="","",AK185+2*AL185)</f>
        <v>0</v>
      </c>
      <c r="AN185">
        <f>IF(AK185="","",AK185-2*AL185)</f>
        <v>0</v>
      </c>
      <c r="AO185">
        <f>IF(OR(AM185="",AN185="",AM185=AN185),"",($E185-AN185)/(AM185-AN185))</f>
        <v>0</v>
      </c>
      <c r="AP185">
        <f>IF(OR(AM185="",AK185="",AK185=0),"",(AM185-AN185)/AK185)</f>
        <v>0</v>
      </c>
      <c r="AQ185">
        <f>IF(COUNT($E$2:$E185)&lt;20,"",MAX($C$166:$C$185))</f>
        <v>0</v>
      </c>
      <c r="AR185">
        <f>IF(COUNT($E$2:$E185)&lt;20,"",MIN($D$166:$D$185))</f>
        <v>0</v>
      </c>
      <c r="AS185">
        <f>IF(OR(AQ185="",AR185=""),"",(AQ185+AR185)/2)</f>
        <v>0</v>
      </c>
      <c r="AT185">
        <f>IF(COUNT($G$166:$G$185)&lt;20,"",STDEV($G$166:$G$185)*SQRT(52))</f>
        <v>0</v>
      </c>
      <c r="AU185">
        <f>IF(COUNT($E$2:$E185)&lt;9,"",(MAX($C$177:$C$185)+MIN($D$177:$D$185))/2)</f>
        <v>0</v>
      </c>
      <c r="AV185">
        <f>IF(COUNT($E$2:$E185)&lt;26,"",(MAX($C$160:$C$185)+MIN($D$160:$D$185))/2)</f>
        <v>0</v>
      </c>
      <c r="AW185">
        <f>IF(OR(AU185="",AV185=""),"",(AU185+AV185)/2)</f>
        <v>0</v>
      </c>
      <c r="AX185">
        <f>IF(COUNT($E$2:$E185)&lt;52,"",(MAX($C$134:$C$185)+MIN($D$134:$D$185))/2)</f>
        <v>0</v>
      </c>
      <c r="AY185">
        <f>IF(COUNT($E$2:$E185)&lt;20,"",MAX($C$86:$C$185))</f>
        <v>0</v>
      </c>
      <c r="AZ185">
        <f>IF(COUNT($E$2:$E185)&lt;20,"",MIN($D$86:$D$185))</f>
        <v>0</v>
      </c>
      <c r="BA185">
        <f>IF(COUNT($E$2:$E185)&lt;20,"",SLOPE($E$86:$E$185,$F$86:$F$185))</f>
        <v>0</v>
      </c>
      <c r="BB185">
        <f>IF(COUNT($E$2:$E185)&lt;20,"",INTERCEPT($E$86:$E$185,$F$86:$F$185))</f>
        <v>0</v>
      </c>
      <c r="BC185">
        <f>IF(OR(BA185="",BB185=""),"",BB185+BA185*F185)</f>
        <v>0</v>
      </c>
      <c r="BD185">
        <f>IF(COUNT($E$2:$E185)&lt;20,"",STEYX($E$86:$E$185,$F$86:$F$185))</f>
        <v>0</v>
      </c>
      <c r="BE185">
        <f>IF($E185="","",IF(AND(COUNT($E$186:$E$189)&gt;=4,$C185=MAX($C$181:$C$189)),$C185,""))</f>
        <v>0</v>
      </c>
      <c r="BF185">
        <f>IF($E185="","",IF(AND(COUNT($E$186:$E$189)&gt;=4,$D185=MIN($D$181:$D$189)),$D185,""))</f>
        <v>0</v>
      </c>
      <c r="BG185">
        <f>IFERROR(SMALL(Calc_Daily!$BM$2:$BM$2001,184),"")</f>
        <v>0</v>
      </c>
    </row>
    <row r="186" spans="1:59">
      <c r="A186" s="27">
        <f>IF($BG186="","",INDEX(Calc_Daily!$A$2:$A$2001,$BG186))</f>
        <v>0</v>
      </c>
      <c r="B186">
        <f>IF($BG186="","",INDEX(Calc_Daily!$BJ$2:$BJ$2001,$BG186))</f>
        <v>0</v>
      </c>
      <c r="C186">
        <f>IF($BG186="","",INDEX(Calc_Daily!$BK$2:$BK$2001,$BG186))</f>
        <v>0</v>
      </c>
      <c r="D186">
        <f>IF($BG186="","",INDEX(Calc_Daily!$BL$2:$BL$2001,$BG186))</f>
        <v>0</v>
      </c>
      <c r="E186">
        <f>IF($BG186="","",INDEX(Calc_Daily!$E$2:$E$2001,$BG186))</f>
        <v>0</v>
      </c>
      <c r="F186">
        <f>IF($E186="","",N(F185)+1)</f>
        <v>0</v>
      </c>
      <c r="G186">
        <f>IF(OR($E186="",$E185=""),"",LN($E186/$E185))</f>
        <v>0</v>
      </c>
      <c r="H186">
        <f>IF($E186="","",IF($E185="",$E186,$E186*0.0952380952+H185*0.9047619048))</f>
        <v>0</v>
      </c>
      <c r="I186">
        <f>IF($E186="","",IF($E185="",$E186,$E186*0.0392156863+I185*0.9607843137))</f>
        <v>0</v>
      </c>
      <c r="J186">
        <f>IF($E186="","",IF($E185="",$E186,$E186*0.0198019802+J185*0.9801980198))</f>
        <v>0</v>
      </c>
      <c r="K186">
        <f>IF($E186="","",IF($E185="",$E186,$E186*0.0099502488+K185*0.9900497512))</f>
        <v>0</v>
      </c>
      <c r="L186">
        <f>IF(OR($E186="",$E185=""),"",MAX($E186-$E185,0))</f>
        <v>0</v>
      </c>
      <c r="M186">
        <f>IF(OR($E186="",$E185=""),"",MAX($E185-$E186,0))</f>
        <v>0</v>
      </c>
      <c r="N186">
        <f>IF(COUNT($E$2:$E186)&lt;15,"",IF(AVERAGE($M$173:$M$186)=0,100,100-100/(1+AVERAGE($L$173:$L$186)/AVERAGE($M$173:$M$186))))</f>
        <v>0</v>
      </c>
      <c r="O186">
        <f>IF($E186="","",IF($E185="",$E186,$E186*0.1538461538+O185*0.8461538462))</f>
        <v>0</v>
      </c>
      <c r="P186">
        <f>IF($E186="","",IF($E185="",$E186,$E186*0.0740740741+P185*0.9259259259))</f>
        <v>0</v>
      </c>
      <c r="Q186">
        <f>IF(OR(O186="",P186=""),"",O186-P186)</f>
        <v>0</v>
      </c>
      <c r="R186">
        <f>IF(Q186="","",IF(R185="",Q186,Q186*0.2000000000+R185*0.8000000000))</f>
        <v>0</v>
      </c>
      <c r="S186">
        <f>IF(OR(Q186="",R186=""),"",Q186-R186)</f>
        <v>0</v>
      </c>
      <c r="T186">
        <f>IF(COUNT($E$2:$E186)&lt;14,"",MAX($C$173:$C$186))</f>
        <v>0</v>
      </c>
      <c r="U186">
        <f>IF(COUNT($E$2:$E186)&lt;14,"",MIN($D$173:$D$186))</f>
        <v>0</v>
      </c>
      <c r="V186">
        <f>IF(OR(T186="",U186="",T186=U186),"",100*($E186-U186)/(T186-U186))</f>
        <v>0</v>
      </c>
      <c r="W186">
        <f>IF(COUNT($V$184:$V$186)&lt;3,"",AVERAGE($V$184:$V$186))</f>
        <v>0</v>
      </c>
      <c r="X186">
        <f>IF(COUNT($N$173:$N$186)&lt;14,"",MIN($N$173:$N$186))</f>
        <v>0</v>
      </c>
      <c r="Y186">
        <f>IF(COUNT($N$173:$N$186)&lt;14,"",MAX($N$173:$N$186))</f>
        <v>0</v>
      </c>
      <c r="Z186">
        <f>IF(OR(N186="",X186="",Y186="",Y186=X186),"",100*(N186-X186)/(Y186-X186))</f>
        <v>0</v>
      </c>
      <c r="AA186">
        <f>IF(COUNT($Z$184:$Z$186)&lt;3,"",AVERAGE($Z$184:$Z$186))</f>
        <v>0</v>
      </c>
      <c r="AB186">
        <f>IF(COUNT($AA$184:$AA$186)&lt;3,"",AVERAGE($AA$184:$AA$186))</f>
        <v>0</v>
      </c>
      <c r="AC186">
        <f>IF($E186="","",MAX($C186-$D186,ABS($C186-$E185),ABS($D186-$E185)))</f>
        <v>0</v>
      </c>
      <c r="AD186">
        <f>IF(COUNT($E$2:$E186)&lt;15,"",AVERAGE($AC$173:$AC$186))</f>
        <v>0</v>
      </c>
      <c r="AE186">
        <f>IF(OR($E186="",$E185=""),"",IF(AND(($C186-$C185)&gt;($D185-$D186),($C186-$C185)&gt;0),$C186-$C185,0))</f>
        <v>0</v>
      </c>
      <c r="AF186">
        <f>IF(OR($E186="",$E185=""),"",IF(AND(($D185-$D186)&gt;($C186-$C185),($D185-$D186)&gt;0),$D185-$D186,0))</f>
        <v>0</v>
      </c>
      <c r="AG186">
        <f>IF(COUNT($E$2:$E186)&lt;15,"",IF(SUM($AC$173:$AC$186)=0,0,100*SUM($AE$173:$AE$186)/SUM($AC$173:$AC$186)))</f>
        <v>0</v>
      </c>
      <c r="AH186">
        <f>IF(COUNT($E$2:$E186)&lt;15,"",IF(SUM($AC$173:$AC$186)=0,0,100*SUM($AF$173:$AF$186)/SUM($AC$173:$AC$186)))</f>
        <v>0</v>
      </c>
      <c r="AI186">
        <f>IF(OR(AG186="",AH186=""),"",IF((AG186+AH186)=0,0,100*ABS(AG186-AH186)/(AG186+AH186)))</f>
        <v>0</v>
      </c>
      <c r="AJ186">
        <f>IF(COUNT($AI$173:$AI$186)&lt;14,"",AVERAGE($AI$173:$AI$186))</f>
        <v>0</v>
      </c>
      <c r="AK186">
        <f>IF(COUNT($E$2:$E186)&lt;20,"",AVERAGE($E$167:$E$186))</f>
        <v>0</v>
      </c>
      <c r="AL186">
        <f>IF(COUNT($E$2:$E186)&lt;20,"",STDEVP($E$167:$E$186))</f>
        <v>0</v>
      </c>
      <c r="AM186">
        <f>IF(AK186="","",AK186+2*AL186)</f>
        <v>0</v>
      </c>
      <c r="AN186">
        <f>IF(AK186="","",AK186-2*AL186)</f>
        <v>0</v>
      </c>
      <c r="AO186">
        <f>IF(OR(AM186="",AN186="",AM186=AN186),"",($E186-AN186)/(AM186-AN186))</f>
        <v>0</v>
      </c>
      <c r="AP186">
        <f>IF(OR(AM186="",AK186="",AK186=0),"",(AM186-AN186)/AK186)</f>
        <v>0</v>
      </c>
      <c r="AQ186">
        <f>IF(COUNT($E$2:$E186)&lt;20,"",MAX($C$167:$C$186))</f>
        <v>0</v>
      </c>
      <c r="AR186">
        <f>IF(COUNT($E$2:$E186)&lt;20,"",MIN($D$167:$D$186))</f>
        <v>0</v>
      </c>
      <c r="AS186">
        <f>IF(OR(AQ186="",AR186=""),"",(AQ186+AR186)/2)</f>
        <v>0</v>
      </c>
      <c r="AT186">
        <f>IF(COUNT($G$167:$G$186)&lt;20,"",STDEV($G$167:$G$186)*SQRT(52))</f>
        <v>0</v>
      </c>
      <c r="AU186">
        <f>IF(COUNT($E$2:$E186)&lt;9,"",(MAX($C$178:$C$186)+MIN($D$178:$D$186))/2)</f>
        <v>0</v>
      </c>
      <c r="AV186">
        <f>IF(COUNT($E$2:$E186)&lt;26,"",(MAX($C$161:$C$186)+MIN($D$161:$D$186))/2)</f>
        <v>0</v>
      </c>
      <c r="AW186">
        <f>IF(OR(AU186="",AV186=""),"",(AU186+AV186)/2)</f>
        <v>0</v>
      </c>
      <c r="AX186">
        <f>IF(COUNT($E$2:$E186)&lt;52,"",(MAX($C$135:$C$186)+MIN($D$135:$D$186))/2)</f>
        <v>0</v>
      </c>
      <c r="AY186">
        <f>IF(COUNT($E$2:$E186)&lt;20,"",MAX($C$87:$C$186))</f>
        <v>0</v>
      </c>
      <c r="AZ186">
        <f>IF(COUNT($E$2:$E186)&lt;20,"",MIN($D$87:$D$186))</f>
        <v>0</v>
      </c>
      <c r="BA186">
        <f>IF(COUNT($E$2:$E186)&lt;20,"",SLOPE($E$87:$E$186,$F$87:$F$186))</f>
        <v>0</v>
      </c>
      <c r="BB186">
        <f>IF(COUNT($E$2:$E186)&lt;20,"",INTERCEPT($E$87:$E$186,$F$87:$F$186))</f>
        <v>0</v>
      </c>
      <c r="BC186">
        <f>IF(OR(BA186="",BB186=""),"",BB186+BA186*F186)</f>
        <v>0</v>
      </c>
      <c r="BD186">
        <f>IF(COUNT($E$2:$E186)&lt;20,"",STEYX($E$87:$E$186,$F$87:$F$186))</f>
        <v>0</v>
      </c>
      <c r="BE186">
        <f>IF($E186="","",IF(AND(COUNT($E$187:$E$190)&gt;=4,$C186=MAX($C$182:$C$190)),$C186,""))</f>
        <v>0</v>
      </c>
      <c r="BF186">
        <f>IF($E186="","",IF(AND(COUNT($E$187:$E$190)&gt;=4,$D186=MIN($D$182:$D$190)),$D186,""))</f>
        <v>0</v>
      </c>
      <c r="BG186">
        <f>IFERROR(SMALL(Calc_Daily!$BM$2:$BM$2001,185),"")</f>
        <v>0</v>
      </c>
    </row>
    <row r="187" spans="1:59">
      <c r="A187" s="27">
        <f>IF($BG187="","",INDEX(Calc_Daily!$A$2:$A$2001,$BG187))</f>
        <v>0</v>
      </c>
      <c r="B187">
        <f>IF($BG187="","",INDEX(Calc_Daily!$BJ$2:$BJ$2001,$BG187))</f>
        <v>0</v>
      </c>
      <c r="C187">
        <f>IF($BG187="","",INDEX(Calc_Daily!$BK$2:$BK$2001,$BG187))</f>
        <v>0</v>
      </c>
      <c r="D187">
        <f>IF($BG187="","",INDEX(Calc_Daily!$BL$2:$BL$2001,$BG187))</f>
        <v>0</v>
      </c>
      <c r="E187">
        <f>IF($BG187="","",INDEX(Calc_Daily!$E$2:$E$2001,$BG187))</f>
        <v>0</v>
      </c>
      <c r="F187">
        <f>IF($E187="","",N(F186)+1)</f>
        <v>0</v>
      </c>
      <c r="G187">
        <f>IF(OR($E187="",$E186=""),"",LN($E187/$E186))</f>
        <v>0</v>
      </c>
      <c r="H187">
        <f>IF($E187="","",IF($E186="",$E187,$E187*0.0952380952+H186*0.9047619048))</f>
        <v>0</v>
      </c>
      <c r="I187">
        <f>IF($E187="","",IF($E186="",$E187,$E187*0.0392156863+I186*0.9607843137))</f>
        <v>0</v>
      </c>
      <c r="J187">
        <f>IF($E187="","",IF($E186="",$E187,$E187*0.0198019802+J186*0.9801980198))</f>
        <v>0</v>
      </c>
      <c r="K187">
        <f>IF($E187="","",IF($E186="",$E187,$E187*0.0099502488+K186*0.9900497512))</f>
        <v>0</v>
      </c>
      <c r="L187">
        <f>IF(OR($E187="",$E186=""),"",MAX($E187-$E186,0))</f>
        <v>0</v>
      </c>
      <c r="M187">
        <f>IF(OR($E187="",$E186=""),"",MAX($E186-$E187,0))</f>
        <v>0</v>
      </c>
      <c r="N187">
        <f>IF(COUNT($E$2:$E187)&lt;15,"",IF(AVERAGE($M$174:$M$187)=0,100,100-100/(1+AVERAGE($L$174:$L$187)/AVERAGE($M$174:$M$187))))</f>
        <v>0</v>
      </c>
      <c r="O187">
        <f>IF($E187="","",IF($E186="",$E187,$E187*0.1538461538+O186*0.8461538462))</f>
        <v>0</v>
      </c>
      <c r="P187">
        <f>IF($E187="","",IF($E186="",$E187,$E187*0.0740740741+P186*0.9259259259))</f>
        <v>0</v>
      </c>
      <c r="Q187">
        <f>IF(OR(O187="",P187=""),"",O187-P187)</f>
        <v>0</v>
      </c>
      <c r="R187">
        <f>IF(Q187="","",IF(R186="",Q187,Q187*0.2000000000+R186*0.8000000000))</f>
        <v>0</v>
      </c>
      <c r="S187">
        <f>IF(OR(Q187="",R187=""),"",Q187-R187)</f>
        <v>0</v>
      </c>
      <c r="T187">
        <f>IF(COUNT($E$2:$E187)&lt;14,"",MAX($C$174:$C$187))</f>
        <v>0</v>
      </c>
      <c r="U187">
        <f>IF(COUNT($E$2:$E187)&lt;14,"",MIN($D$174:$D$187))</f>
        <v>0</v>
      </c>
      <c r="V187">
        <f>IF(OR(T187="",U187="",T187=U187),"",100*($E187-U187)/(T187-U187))</f>
        <v>0</v>
      </c>
      <c r="W187">
        <f>IF(COUNT($V$185:$V$187)&lt;3,"",AVERAGE($V$185:$V$187))</f>
        <v>0</v>
      </c>
      <c r="X187">
        <f>IF(COUNT($N$174:$N$187)&lt;14,"",MIN($N$174:$N$187))</f>
        <v>0</v>
      </c>
      <c r="Y187">
        <f>IF(COUNT($N$174:$N$187)&lt;14,"",MAX($N$174:$N$187))</f>
        <v>0</v>
      </c>
      <c r="Z187">
        <f>IF(OR(N187="",X187="",Y187="",Y187=X187),"",100*(N187-X187)/(Y187-X187))</f>
        <v>0</v>
      </c>
      <c r="AA187">
        <f>IF(COUNT($Z$185:$Z$187)&lt;3,"",AVERAGE($Z$185:$Z$187))</f>
        <v>0</v>
      </c>
      <c r="AB187">
        <f>IF(COUNT($AA$185:$AA$187)&lt;3,"",AVERAGE($AA$185:$AA$187))</f>
        <v>0</v>
      </c>
      <c r="AC187">
        <f>IF($E187="","",MAX($C187-$D187,ABS($C187-$E186),ABS($D187-$E186)))</f>
        <v>0</v>
      </c>
      <c r="AD187">
        <f>IF(COUNT($E$2:$E187)&lt;15,"",AVERAGE($AC$174:$AC$187))</f>
        <v>0</v>
      </c>
      <c r="AE187">
        <f>IF(OR($E187="",$E186=""),"",IF(AND(($C187-$C186)&gt;($D186-$D187),($C187-$C186)&gt;0),$C187-$C186,0))</f>
        <v>0</v>
      </c>
      <c r="AF187">
        <f>IF(OR($E187="",$E186=""),"",IF(AND(($D186-$D187)&gt;($C187-$C186),($D186-$D187)&gt;0),$D186-$D187,0))</f>
        <v>0</v>
      </c>
      <c r="AG187">
        <f>IF(COUNT($E$2:$E187)&lt;15,"",IF(SUM($AC$174:$AC$187)=0,0,100*SUM($AE$174:$AE$187)/SUM($AC$174:$AC$187)))</f>
        <v>0</v>
      </c>
      <c r="AH187">
        <f>IF(COUNT($E$2:$E187)&lt;15,"",IF(SUM($AC$174:$AC$187)=0,0,100*SUM($AF$174:$AF$187)/SUM($AC$174:$AC$187)))</f>
        <v>0</v>
      </c>
      <c r="AI187">
        <f>IF(OR(AG187="",AH187=""),"",IF((AG187+AH187)=0,0,100*ABS(AG187-AH187)/(AG187+AH187)))</f>
        <v>0</v>
      </c>
      <c r="AJ187">
        <f>IF(COUNT($AI$174:$AI$187)&lt;14,"",AVERAGE($AI$174:$AI$187))</f>
        <v>0</v>
      </c>
      <c r="AK187">
        <f>IF(COUNT($E$2:$E187)&lt;20,"",AVERAGE($E$168:$E$187))</f>
        <v>0</v>
      </c>
      <c r="AL187">
        <f>IF(COUNT($E$2:$E187)&lt;20,"",STDEVP($E$168:$E$187))</f>
        <v>0</v>
      </c>
      <c r="AM187">
        <f>IF(AK187="","",AK187+2*AL187)</f>
        <v>0</v>
      </c>
      <c r="AN187">
        <f>IF(AK187="","",AK187-2*AL187)</f>
        <v>0</v>
      </c>
      <c r="AO187">
        <f>IF(OR(AM187="",AN187="",AM187=AN187),"",($E187-AN187)/(AM187-AN187))</f>
        <v>0</v>
      </c>
      <c r="AP187">
        <f>IF(OR(AM187="",AK187="",AK187=0),"",(AM187-AN187)/AK187)</f>
        <v>0</v>
      </c>
      <c r="AQ187">
        <f>IF(COUNT($E$2:$E187)&lt;20,"",MAX($C$168:$C$187))</f>
        <v>0</v>
      </c>
      <c r="AR187">
        <f>IF(COUNT($E$2:$E187)&lt;20,"",MIN($D$168:$D$187))</f>
        <v>0</v>
      </c>
      <c r="AS187">
        <f>IF(OR(AQ187="",AR187=""),"",(AQ187+AR187)/2)</f>
        <v>0</v>
      </c>
      <c r="AT187">
        <f>IF(COUNT($G$168:$G$187)&lt;20,"",STDEV($G$168:$G$187)*SQRT(52))</f>
        <v>0</v>
      </c>
      <c r="AU187">
        <f>IF(COUNT($E$2:$E187)&lt;9,"",(MAX($C$179:$C$187)+MIN($D$179:$D$187))/2)</f>
        <v>0</v>
      </c>
      <c r="AV187">
        <f>IF(COUNT($E$2:$E187)&lt;26,"",(MAX($C$162:$C$187)+MIN($D$162:$D$187))/2)</f>
        <v>0</v>
      </c>
      <c r="AW187">
        <f>IF(OR(AU187="",AV187=""),"",(AU187+AV187)/2)</f>
        <v>0</v>
      </c>
      <c r="AX187">
        <f>IF(COUNT($E$2:$E187)&lt;52,"",(MAX($C$136:$C$187)+MIN($D$136:$D$187))/2)</f>
        <v>0</v>
      </c>
      <c r="AY187">
        <f>IF(COUNT($E$2:$E187)&lt;20,"",MAX($C$88:$C$187))</f>
        <v>0</v>
      </c>
      <c r="AZ187">
        <f>IF(COUNT($E$2:$E187)&lt;20,"",MIN($D$88:$D$187))</f>
        <v>0</v>
      </c>
      <c r="BA187">
        <f>IF(COUNT($E$2:$E187)&lt;20,"",SLOPE($E$88:$E$187,$F$88:$F$187))</f>
        <v>0</v>
      </c>
      <c r="BB187">
        <f>IF(COUNT($E$2:$E187)&lt;20,"",INTERCEPT($E$88:$E$187,$F$88:$F$187))</f>
        <v>0</v>
      </c>
      <c r="BC187">
        <f>IF(OR(BA187="",BB187=""),"",BB187+BA187*F187)</f>
        <v>0</v>
      </c>
      <c r="BD187">
        <f>IF(COUNT($E$2:$E187)&lt;20,"",STEYX($E$88:$E$187,$F$88:$F$187))</f>
        <v>0</v>
      </c>
      <c r="BE187">
        <f>IF($E187="","",IF(AND(COUNT($E$188:$E$191)&gt;=4,$C187=MAX($C$183:$C$191)),$C187,""))</f>
        <v>0</v>
      </c>
      <c r="BF187">
        <f>IF($E187="","",IF(AND(COUNT($E$188:$E$191)&gt;=4,$D187=MIN($D$183:$D$191)),$D187,""))</f>
        <v>0</v>
      </c>
      <c r="BG187">
        <f>IFERROR(SMALL(Calc_Daily!$BM$2:$BM$2001,186),"")</f>
        <v>0</v>
      </c>
    </row>
    <row r="188" spans="1:59">
      <c r="A188" s="27">
        <f>IF($BG188="","",INDEX(Calc_Daily!$A$2:$A$2001,$BG188))</f>
        <v>0</v>
      </c>
      <c r="B188">
        <f>IF($BG188="","",INDEX(Calc_Daily!$BJ$2:$BJ$2001,$BG188))</f>
        <v>0</v>
      </c>
      <c r="C188">
        <f>IF($BG188="","",INDEX(Calc_Daily!$BK$2:$BK$2001,$BG188))</f>
        <v>0</v>
      </c>
      <c r="D188">
        <f>IF($BG188="","",INDEX(Calc_Daily!$BL$2:$BL$2001,$BG188))</f>
        <v>0</v>
      </c>
      <c r="E188">
        <f>IF($BG188="","",INDEX(Calc_Daily!$E$2:$E$2001,$BG188))</f>
        <v>0</v>
      </c>
      <c r="F188">
        <f>IF($E188="","",N(F187)+1)</f>
        <v>0</v>
      </c>
      <c r="G188">
        <f>IF(OR($E188="",$E187=""),"",LN($E188/$E187))</f>
        <v>0</v>
      </c>
      <c r="H188">
        <f>IF($E188="","",IF($E187="",$E188,$E188*0.0952380952+H187*0.9047619048))</f>
        <v>0</v>
      </c>
      <c r="I188">
        <f>IF($E188="","",IF($E187="",$E188,$E188*0.0392156863+I187*0.9607843137))</f>
        <v>0</v>
      </c>
      <c r="J188">
        <f>IF($E188="","",IF($E187="",$E188,$E188*0.0198019802+J187*0.9801980198))</f>
        <v>0</v>
      </c>
      <c r="K188">
        <f>IF($E188="","",IF($E187="",$E188,$E188*0.0099502488+K187*0.9900497512))</f>
        <v>0</v>
      </c>
      <c r="L188">
        <f>IF(OR($E188="",$E187=""),"",MAX($E188-$E187,0))</f>
        <v>0</v>
      </c>
      <c r="M188">
        <f>IF(OR($E188="",$E187=""),"",MAX($E187-$E188,0))</f>
        <v>0</v>
      </c>
      <c r="N188">
        <f>IF(COUNT($E$2:$E188)&lt;15,"",IF(AVERAGE($M$175:$M$188)=0,100,100-100/(1+AVERAGE($L$175:$L$188)/AVERAGE($M$175:$M$188))))</f>
        <v>0</v>
      </c>
      <c r="O188">
        <f>IF($E188="","",IF($E187="",$E188,$E188*0.1538461538+O187*0.8461538462))</f>
        <v>0</v>
      </c>
      <c r="P188">
        <f>IF($E188="","",IF($E187="",$E188,$E188*0.0740740741+P187*0.9259259259))</f>
        <v>0</v>
      </c>
      <c r="Q188">
        <f>IF(OR(O188="",P188=""),"",O188-P188)</f>
        <v>0</v>
      </c>
      <c r="R188">
        <f>IF(Q188="","",IF(R187="",Q188,Q188*0.2000000000+R187*0.8000000000))</f>
        <v>0</v>
      </c>
      <c r="S188">
        <f>IF(OR(Q188="",R188=""),"",Q188-R188)</f>
        <v>0</v>
      </c>
      <c r="T188">
        <f>IF(COUNT($E$2:$E188)&lt;14,"",MAX($C$175:$C$188))</f>
        <v>0</v>
      </c>
      <c r="U188">
        <f>IF(COUNT($E$2:$E188)&lt;14,"",MIN($D$175:$D$188))</f>
        <v>0</v>
      </c>
      <c r="V188">
        <f>IF(OR(T188="",U188="",T188=U188),"",100*($E188-U188)/(T188-U188))</f>
        <v>0</v>
      </c>
      <c r="W188">
        <f>IF(COUNT($V$186:$V$188)&lt;3,"",AVERAGE($V$186:$V$188))</f>
        <v>0</v>
      </c>
      <c r="X188">
        <f>IF(COUNT($N$175:$N$188)&lt;14,"",MIN($N$175:$N$188))</f>
        <v>0</v>
      </c>
      <c r="Y188">
        <f>IF(COUNT($N$175:$N$188)&lt;14,"",MAX($N$175:$N$188))</f>
        <v>0</v>
      </c>
      <c r="Z188">
        <f>IF(OR(N188="",X188="",Y188="",Y188=X188),"",100*(N188-X188)/(Y188-X188))</f>
        <v>0</v>
      </c>
      <c r="AA188">
        <f>IF(COUNT($Z$186:$Z$188)&lt;3,"",AVERAGE($Z$186:$Z$188))</f>
        <v>0</v>
      </c>
      <c r="AB188">
        <f>IF(COUNT($AA$186:$AA$188)&lt;3,"",AVERAGE($AA$186:$AA$188))</f>
        <v>0</v>
      </c>
      <c r="AC188">
        <f>IF($E188="","",MAX($C188-$D188,ABS($C188-$E187),ABS($D188-$E187)))</f>
        <v>0</v>
      </c>
      <c r="AD188">
        <f>IF(COUNT($E$2:$E188)&lt;15,"",AVERAGE($AC$175:$AC$188))</f>
        <v>0</v>
      </c>
      <c r="AE188">
        <f>IF(OR($E188="",$E187=""),"",IF(AND(($C188-$C187)&gt;($D187-$D188),($C188-$C187)&gt;0),$C188-$C187,0))</f>
        <v>0</v>
      </c>
      <c r="AF188">
        <f>IF(OR($E188="",$E187=""),"",IF(AND(($D187-$D188)&gt;($C188-$C187),($D187-$D188)&gt;0),$D187-$D188,0))</f>
        <v>0</v>
      </c>
      <c r="AG188">
        <f>IF(COUNT($E$2:$E188)&lt;15,"",IF(SUM($AC$175:$AC$188)=0,0,100*SUM($AE$175:$AE$188)/SUM($AC$175:$AC$188)))</f>
        <v>0</v>
      </c>
      <c r="AH188">
        <f>IF(COUNT($E$2:$E188)&lt;15,"",IF(SUM($AC$175:$AC$188)=0,0,100*SUM($AF$175:$AF$188)/SUM($AC$175:$AC$188)))</f>
        <v>0</v>
      </c>
      <c r="AI188">
        <f>IF(OR(AG188="",AH188=""),"",IF((AG188+AH188)=0,0,100*ABS(AG188-AH188)/(AG188+AH188)))</f>
        <v>0</v>
      </c>
      <c r="AJ188">
        <f>IF(COUNT($AI$175:$AI$188)&lt;14,"",AVERAGE($AI$175:$AI$188))</f>
        <v>0</v>
      </c>
      <c r="AK188">
        <f>IF(COUNT($E$2:$E188)&lt;20,"",AVERAGE($E$169:$E$188))</f>
        <v>0</v>
      </c>
      <c r="AL188">
        <f>IF(COUNT($E$2:$E188)&lt;20,"",STDEVP($E$169:$E$188))</f>
        <v>0</v>
      </c>
      <c r="AM188">
        <f>IF(AK188="","",AK188+2*AL188)</f>
        <v>0</v>
      </c>
      <c r="AN188">
        <f>IF(AK188="","",AK188-2*AL188)</f>
        <v>0</v>
      </c>
      <c r="AO188">
        <f>IF(OR(AM188="",AN188="",AM188=AN188),"",($E188-AN188)/(AM188-AN188))</f>
        <v>0</v>
      </c>
      <c r="AP188">
        <f>IF(OR(AM188="",AK188="",AK188=0),"",(AM188-AN188)/AK188)</f>
        <v>0</v>
      </c>
      <c r="AQ188">
        <f>IF(COUNT($E$2:$E188)&lt;20,"",MAX($C$169:$C$188))</f>
        <v>0</v>
      </c>
      <c r="AR188">
        <f>IF(COUNT($E$2:$E188)&lt;20,"",MIN($D$169:$D$188))</f>
        <v>0</v>
      </c>
      <c r="AS188">
        <f>IF(OR(AQ188="",AR188=""),"",(AQ188+AR188)/2)</f>
        <v>0</v>
      </c>
      <c r="AT188">
        <f>IF(COUNT($G$169:$G$188)&lt;20,"",STDEV($G$169:$G$188)*SQRT(52))</f>
        <v>0</v>
      </c>
      <c r="AU188">
        <f>IF(COUNT($E$2:$E188)&lt;9,"",(MAX($C$180:$C$188)+MIN($D$180:$D$188))/2)</f>
        <v>0</v>
      </c>
      <c r="AV188">
        <f>IF(COUNT($E$2:$E188)&lt;26,"",(MAX($C$163:$C$188)+MIN($D$163:$D$188))/2)</f>
        <v>0</v>
      </c>
      <c r="AW188">
        <f>IF(OR(AU188="",AV188=""),"",(AU188+AV188)/2)</f>
        <v>0</v>
      </c>
      <c r="AX188">
        <f>IF(COUNT($E$2:$E188)&lt;52,"",(MAX($C$137:$C$188)+MIN($D$137:$D$188))/2)</f>
        <v>0</v>
      </c>
      <c r="AY188">
        <f>IF(COUNT($E$2:$E188)&lt;20,"",MAX($C$89:$C$188))</f>
        <v>0</v>
      </c>
      <c r="AZ188">
        <f>IF(COUNT($E$2:$E188)&lt;20,"",MIN($D$89:$D$188))</f>
        <v>0</v>
      </c>
      <c r="BA188">
        <f>IF(COUNT($E$2:$E188)&lt;20,"",SLOPE($E$89:$E$188,$F$89:$F$188))</f>
        <v>0</v>
      </c>
      <c r="BB188">
        <f>IF(COUNT($E$2:$E188)&lt;20,"",INTERCEPT($E$89:$E$188,$F$89:$F$188))</f>
        <v>0</v>
      </c>
      <c r="BC188">
        <f>IF(OR(BA188="",BB188=""),"",BB188+BA188*F188)</f>
        <v>0</v>
      </c>
      <c r="BD188">
        <f>IF(COUNT($E$2:$E188)&lt;20,"",STEYX($E$89:$E$188,$F$89:$F$188))</f>
        <v>0</v>
      </c>
      <c r="BE188">
        <f>IF($E188="","",IF(AND(COUNT($E$189:$E$192)&gt;=4,$C188=MAX($C$184:$C$192)),$C188,""))</f>
        <v>0</v>
      </c>
      <c r="BF188">
        <f>IF($E188="","",IF(AND(COUNT($E$189:$E$192)&gt;=4,$D188=MIN($D$184:$D$192)),$D188,""))</f>
        <v>0</v>
      </c>
      <c r="BG188">
        <f>IFERROR(SMALL(Calc_Daily!$BM$2:$BM$2001,187),"")</f>
        <v>0</v>
      </c>
    </row>
    <row r="189" spans="1:59">
      <c r="A189" s="27">
        <f>IF($BG189="","",INDEX(Calc_Daily!$A$2:$A$2001,$BG189))</f>
        <v>0</v>
      </c>
      <c r="B189">
        <f>IF($BG189="","",INDEX(Calc_Daily!$BJ$2:$BJ$2001,$BG189))</f>
        <v>0</v>
      </c>
      <c r="C189">
        <f>IF($BG189="","",INDEX(Calc_Daily!$BK$2:$BK$2001,$BG189))</f>
        <v>0</v>
      </c>
      <c r="D189">
        <f>IF($BG189="","",INDEX(Calc_Daily!$BL$2:$BL$2001,$BG189))</f>
        <v>0</v>
      </c>
      <c r="E189">
        <f>IF($BG189="","",INDEX(Calc_Daily!$E$2:$E$2001,$BG189))</f>
        <v>0</v>
      </c>
      <c r="F189">
        <f>IF($E189="","",N(F188)+1)</f>
        <v>0</v>
      </c>
      <c r="G189">
        <f>IF(OR($E189="",$E188=""),"",LN($E189/$E188))</f>
        <v>0</v>
      </c>
      <c r="H189">
        <f>IF($E189="","",IF($E188="",$E189,$E189*0.0952380952+H188*0.9047619048))</f>
        <v>0</v>
      </c>
      <c r="I189">
        <f>IF($E189="","",IF($E188="",$E189,$E189*0.0392156863+I188*0.9607843137))</f>
        <v>0</v>
      </c>
      <c r="J189">
        <f>IF($E189="","",IF($E188="",$E189,$E189*0.0198019802+J188*0.9801980198))</f>
        <v>0</v>
      </c>
      <c r="K189">
        <f>IF($E189="","",IF($E188="",$E189,$E189*0.0099502488+K188*0.9900497512))</f>
        <v>0</v>
      </c>
      <c r="L189">
        <f>IF(OR($E189="",$E188=""),"",MAX($E189-$E188,0))</f>
        <v>0</v>
      </c>
      <c r="M189">
        <f>IF(OR($E189="",$E188=""),"",MAX($E188-$E189,0))</f>
        <v>0</v>
      </c>
      <c r="N189">
        <f>IF(COUNT($E$2:$E189)&lt;15,"",IF(AVERAGE($M$176:$M$189)=0,100,100-100/(1+AVERAGE($L$176:$L$189)/AVERAGE($M$176:$M$189))))</f>
        <v>0</v>
      </c>
      <c r="O189">
        <f>IF($E189="","",IF($E188="",$E189,$E189*0.1538461538+O188*0.8461538462))</f>
        <v>0</v>
      </c>
      <c r="P189">
        <f>IF($E189="","",IF($E188="",$E189,$E189*0.0740740741+P188*0.9259259259))</f>
        <v>0</v>
      </c>
      <c r="Q189">
        <f>IF(OR(O189="",P189=""),"",O189-P189)</f>
        <v>0</v>
      </c>
      <c r="R189">
        <f>IF(Q189="","",IF(R188="",Q189,Q189*0.2000000000+R188*0.8000000000))</f>
        <v>0</v>
      </c>
      <c r="S189">
        <f>IF(OR(Q189="",R189=""),"",Q189-R189)</f>
        <v>0</v>
      </c>
      <c r="T189">
        <f>IF(COUNT($E$2:$E189)&lt;14,"",MAX($C$176:$C$189))</f>
        <v>0</v>
      </c>
      <c r="U189">
        <f>IF(COUNT($E$2:$E189)&lt;14,"",MIN($D$176:$D$189))</f>
        <v>0</v>
      </c>
      <c r="V189">
        <f>IF(OR(T189="",U189="",T189=U189),"",100*($E189-U189)/(T189-U189))</f>
        <v>0</v>
      </c>
      <c r="W189">
        <f>IF(COUNT($V$187:$V$189)&lt;3,"",AVERAGE($V$187:$V$189))</f>
        <v>0</v>
      </c>
      <c r="X189">
        <f>IF(COUNT($N$176:$N$189)&lt;14,"",MIN($N$176:$N$189))</f>
        <v>0</v>
      </c>
      <c r="Y189">
        <f>IF(COUNT($N$176:$N$189)&lt;14,"",MAX($N$176:$N$189))</f>
        <v>0</v>
      </c>
      <c r="Z189">
        <f>IF(OR(N189="",X189="",Y189="",Y189=X189),"",100*(N189-X189)/(Y189-X189))</f>
        <v>0</v>
      </c>
      <c r="AA189">
        <f>IF(COUNT($Z$187:$Z$189)&lt;3,"",AVERAGE($Z$187:$Z$189))</f>
        <v>0</v>
      </c>
      <c r="AB189">
        <f>IF(COUNT($AA$187:$AA$189)&lt;3,"",AVERAGE($AA$187:$AA$189))</f>
        <v>0</v>
      </c>
      <c r="AC189">
        <f>IF($E189="","",MAX($C189-$D189,ABS($C189-$E188),ABS($D189-$E188)))</f>
        <v>0</v>
      </c>
      <c r="AD189">
        <f>IF(COUNT($E$2:$E189)&lt;15,"",AVERAGE($AC$176:$AC$189))</f>
        <v>0</v>
      </c>
      <c r="AE189">
        <f>IF(OR($E189="",$E188=""),"",IF(AND(($C189-$C188)&gt;($D188-$D189),($C189-$C188)&gt;0),$C189-$C188,0))</f>
        <v>0</v>
      </c>
      <c r="AF189">
        <f>IF(OR($E189="",$E188=""),"",IF(AND(($D188-$D189)&gt;($C189-$C188),($D188-$D189)&gt;0),$D188-$D189,0))</f>
        <v>0</v>
      </c>
      <c r="AG189">
        <f>IF(COUNT($E$2:$E189)&lt;15,"",IF(SUM($AC$176:$AC$189)=0,0,100*SUM($AE$176:$AE$189)/SUM($AC$176:$AC$189)))</f>
        <v>0</v>
      </c>
      <c r="AH189">
        <f>IF(COUNT($E$2:$E189)&lt;15,"",IF(SUM($AC$176:$AC$189)=0,0,100*SUM($AF$176:$AF$189)/SUM($AC$176:$AC$189)))</f>
        <v>0</v>
      </c>
      <c r="AI189">
        <f>IF(OR(AG189="",AH189=""),"",IF((AG189+AH189)=0,0,100*ABS(AG189-AH189)/(AG189+AH189)))</f>
        <v>0</v>
      </c>
      <c r="AJ189">
        <f>IF(COUNT($AI$176:$AI$189)&lt;14,"",AVERAGE($AI$176:$AI$189))</f>
        <v>0</v>
      </c>
      <c r="AK189">
        <f>IF(COUNT($E$2:$E189)&lt;20,"",AVERAGE($E$170:$E$189))</f>
        <v>0</v>
      </c>
      <c r="AL189">
        <f>IF(COUNT($E$2:$E189)&lt;20,"",STDEVP($E$170:$E$189))</f>
        <v>0</v>
      </c>
      <c r="AM189">
        <f>IF(AK189="","",AK189+2*AL189)</f>
        <v>0</v>
      </c>
      <c r="AN189">
        <f>IF(AK189="","",AK189-2*AL189)</f>
        <v>0</v>
      </c>
      <c r="AO189">
        <f>IF(OR(AM189="",AN189="",AM189=AN189),"",($E189-AN189)/(AM189-AN189))</f>
        <v>0</v>
      </c>
      <c r="AP189">
        <f>IF(OR(AM189="",AK189="",AK189=0),"",(AM189-AN189)/AK189)</f>
        <v>0</v>
      </c>
      <c r="AQ189">
        <f>IF(COUNT($E$2:$E189)&lt;20,"",MAX($C$170:$C$189))</f>
        <v>0</v>
      </c>
      <c r="AR189">
        <f>IF(COUNT($E$2:$E189)&lt;20,"",MIN($D$170:$D$189))</f>
        <v>0</v>
      </c>
      <c r="AS189">
        <f>IF(OR(AQ189="",AR189=""),"",(AQ189+AR189)/2)</f>
        <v>0</v>
      </c>
      <c r="AT189">
        <f>IF(COUNT($G$170:$G$189)&lt;20,"",STDEV($G$170:$G$189)*SQRT(52))</f>
        <v>0</v>
      </c>
      <c r="AU189">
        <f>IF(COUNT($E$2:$E189)&lt;9,"",(MAX($C$181:$C$189)+MIN($D$181:$D$189))/2)</f>
        <v>0</v>
      </c>
      <c r="AV189">
        <f>IF(COUNT($E$2:$E189)&lt;26,"",(MAX($C$164:$C$189)+MIN($D$164:$D$189))/2)</f>
        <v>0</v>
      </c>
      <c r="AW189">
        <f>IF(OR(AU189="",AV189=""),"",(AU189+AV189)/2)</f>
        <v>0</v>
      </c>
      <c r="AX189">
        <f>IF(COUNT($E$2:$E189)&lt;52,"",(MAX($C$138:$C$189)+MIN($D$138:$D$189))/2)</f>
        <v>0</v>
      </c>
      <c r="AY189">
        <f>IF(COUNT($E$2:$E189)&lt;20,"",MAX($C$90:$C$189))</f>
        <v>0</v>
      </c>
      <c r="AZ189">
        <f>IF(COUNT($E$2:$E189)&lt;20,"",MIN($D$90:$D$189))</f>
        <v>0</v>
      </c>
      <c r="BA189">
        <f>IF(COUNT($E$2:$E189)&lt;20,"",SLOPE($E$90:$E$189,$F$90:$F$189))</f>
        <v>0</v>
      </c>
      <c r="BB189">
        <f>IF(COUNT($E$2:$E189)&lt;20,"",INTERCEPT($E$90:$E$189,$F$90:$F$189))</f>
        <v>0</v>
      </c>
      <c r="BC189">
        <f>IF(OR(BA189="",BB189=""),"",BB189+BA189*F189)</f>
        <v>0</v>
      </c>
      <c r="BD189">
        <f>IF(COUNT($E$2:$E189)&lt;20,"",STEYX($E$90:$E$189,$F$90:$F$189))</f>
        <v>0</v>
      </c>
      <c r="BE189">
        <f>IF($E189="","",IF(AND(COUNT($E$190:$E$193)&gt;=4,$C189=MAX($C$185:$C$193)),$C189,""))</f>
        <v>0</v>
      </c>
      <c r="BF189">
        <f>IF($E189="","",IF(AND(COUNT($E$190:$E$193)&gt;=4,$D189=MIN($D$185:$D$193)),$D189,""))</f>
        <v>0</v>
      </c>
      <c r="BG189">
        <f>IFERROR(SMALL(Calc_Daily!$BM$2:$BM$2001,188),"")</f>
        <v>0</v>
      </c>
    </row>
    <row r="190" spans="1:59">
      <c r="A190" s="27">
        <f>IF($BG190="","",INDEX(Calc_Daily!$A$2:$A$2001,$BG190))</f>
        <v>0</v>
      </c>
      <c r="B190">
        <f>IF($BG190="","",INDEX(Calc_Daily!$BJ$2:$BJ$2001,$BG190))</f>
        <v>0</v>
      </c>
      <c r="C190">
        <f>IF($BG190="","",INDEX(Calc_Daily!$BK$2:$BK$2001,$BG190))</f>
        <v>0</v>
      </c>
      <c r="D190">
        <f>IF($BG190="","",INDEX(Calc_Daily!$BL$2:$BL$2001,$BG190))</f>
        <v>0</v>
      </c>
      <c r="E190">
        <f>IF($BG190="","",INDEX(Calc_Daily!$E$2:$E$2001,$BG190))</f>
        <v>0</v>
      </c>
      <c r="F190">
        <f>IF($E190="","",N(F189)+1)</f>
        <v>0</v>
      </c>
      <c r="G190">
        <f>IF(OR($E190="",$E189=""),"",LN($E190/$E189))</f>
        <v>0</v>
      </c>
      <c r="H190">
        <f>IF($E190="","",IF($E189="",$E190,$E190*0.0952380952+H189*0.9047619048))</f>
        <v>0</v>
      </c>
      <c r="I190">
        <f>IF($E190="","",IF($E189="",$E190,$E190*0.0392156863+I189*0.9607843137))</f>
        <v>0</v>
      </c>
      <c r="J190">
        <f>IF($E190="","",IF($E189="",$E190,$E190*0.0198019802+J189*0.9801980198))</f>
        <v>0</v>
      </c>
      <c r="K190">
        <f>IF($E190="","",IF($E189="",$E190,$E190*0.0099502488+K189*0.9900497512))</f>
        <v>0</v>
      </c>
      <c r="L190">
        <f>IF(OR($E190="",$E189=""),"",MAX($E190-$E189,0))</f>
        <v>0</v>
      </c>
      <c r="M190">
        <f>IF(OR($E190="",$E189=""),"",MAX($E189-$E190,0))</f>
        <v>0</v>
      </c>
      <c r="N190">
        <f>IF(COUNT($E$2:$E190)&lt;15,"",IF(AVERAGE($M$177:$M$190)=0,100,100-100/(1+AVERAGE($L$177:$L$190)/AVERAGE($M$177:$M$190))))</f>
        <v>0</v>
      </c>
      <c r="O190">
        <f>IF($E190="","",IF($E189="",$E190,$E190*0.1538461538+O189*0.8461538462))</f>
        <v>0</v>
      </c>
      <c r="P190">
        <f>IF($E190="","",IF($E189="",$E190,$E190*0.0740740741+P189*0.9259259259))</f>
        <v>0</v>
      </c>
      <c r="Q190">
        <f>IF(OR(O190="",P190=""),"",O190-P190)</f>
        <v>0</v>
      </c>
      <c r="R190">
        <f>IF(Q190="","",IF(R189="",Q190,Q190*0.2000000000+R189*0.8000000000))</f>
        <v>0</v>
      </c>
      <c r="S190">
        <f>IF(OR(Q190="",R190=""),"",Q190-R190)</f>
        <v>0</v>
      </c>
      <c r="T190">
        <f>IF(COUNT($E$2:$E190)&lt;14,"",MAX($C$177:$C$190))</f>
        <v>0</v>
      </c>
      <c r="U190">
        <f>IF(COUNT($E$2:$E190)&lt;14,"",MIN($D$177:$D$190))</f>
        <v>0</v>
      </c>
      <c r="V190">
        <f>IF(OR(T190="",U190="",T190=U190),"",100*($E190-U190)/(T190-U190))</f>
        <v>0</v>
      </c>
      <c r="W190">
        <f>IF(COUNT($V$188:$V$190)&lt;3,"",AVERAGE($V$188:$V$190))</f>
        <v>0</v>
      </c>
      <c r="X190">
        <f>IF(COUNT($N$177:$N$190)&lt;14,"",MIN($N$177:$N$190))</f>
        <v>0</v>
      </c>
      <c r="Y190">
        <f>IF(COUNT($N$177:$N$190)&lt;14,"",MAX($N$177:$N$190))</f>
        <v>0</v>
      </c>
      <c r="Z190">
        <f>IF(OR(N190="",X190="",Y190="",Y190=X190),"",100*(N190-X190)/(Y190-X190))</f>
        <v>0</v>
      </c>
      <c r="AA190">
        <f>IF(COUNT($Z$188:$Z$190)&lt;3,"",AVERAGE($Z$188:$Z$190))</f>
        <v>0</v>
      </c>
      <c r="AB190">
        <f>IF(COUNT($AA$188:$AA$190)&lt;3,"",AVERAGE($AA$188:$AA$190))</f>
        <v>0</v>
      </c>
      <c r="AC190">
        <f>IF($E190="","",MAX($C190-$D190,ABS($C190-$E189),ABS($D190-$E189)))</f>
        <v>0</v>
      </c>
      <c r="AD190">
        <f>IF(COUNT($E$2:$E190)&lt;15,"",AVERAGE($AC$177:$AC$190))</f>
        <v>0</v>
      </c>
      <c r="AE190">
        <f>IF(OR($E190="",$E189=""),"",IF(AND(($C190-$C189)&gt;($D189-$D190),($C190-$C189)&gt;0),$C190-$C189,0))</f>
        <v>0</v>
      </c>
      <c r="AF190">
        <f>IF(OR($E190="",$E189=""),"",IF(AND(($D189-$D190)&gt;($C190-$C189),($D189-$D190)&gt;0),$D189-$D190,0))</f>
        <v>0</v>
      </c>
      <c r="AG190">
        <f>IF(COUNT($E$2:$E190)&lt;15,"",IF(SUM($AC$177:$AC$190)=0,0,100*SUM($AE$177:$AE$190)/SUM($AC$177:$AC$190)))</f>
        <v>0</v>
      </c>
      <c r="AH190">
        <f>IF(COUNT($E$2:$E190)&lt;15,"",IF(SUM($AC$177:$AC$190)=0,0,100*SUM($AF$177:$AF$190)/SUM($AC$177:$AC$190)))</f>
        <v>0</v>
      </c>
      <c r="AI190">
        <f>IF(OR(AG190="",AH190=""),"",IF((AG190+AH190)=0,0,100*ABS(AG190-AH190)/(AG190+AH190)))</f>
        <v>0</v>
      </c>
      <c r="AJ190">
        <f>IF(COUNT($AI$177:$AI$190)&lt;14,"",AVERAGE($AI$177:$AI$190))</f>
        <v>0</v>
      </c>
      <c r="AK190">
        <f>IF(COUNT($E$2:$E190)&lt;20,"",AVERAGE($E$171:$E$190))</f>
        <v>0</v>
      </c>
      <c r="AL190">
        <f>IF(COUNT($E$2:$E190)&lt;20,"",STDEVP($E$171:$E$190))</f>
        <v>0</v>
      </c>
      <c r="AM190">
        <f>IF(AK190="","",AK190+2*AL190)</f>
        <v>0</v>
      </c>
      <c r="AN190">
        <f>IF(AK190="","",AK190-2*AL190)</f>
        <v>0</v>
      </c>
      <c r="AO190">
        <f>IF(OR(AM190="",AN190="",AM190=AN190),"",($E190-AN190)/(AM190-AN190))</f>
        <v>0</v>
      </c>
      <c r="AP190">
        <f>IF(OR(AM190="",AK190="",AK190=0),"",(AM190-AN190)/AK190)</f>
        <v>0</v>
      </c>
      <c r="AQ190">
        <f>IF(COUNT($E$2:$E190)&lt;20,"",MAX($C$171:$C$190))</f>
        <v>0</v>
      </c>
      <c r="AR190">
        <f>IF(COUNT($E$2:$E190)&lt;20,"",MIN($D$171:$D$190))</f>
        <v>0</v>
      </c>
      <c r="AS190">
        <f>IF(OR(AQ190="",AR190=""),"",(AQ190+AR190)/2)</f>
        <v>0</v>
      </c>
      <c r="AT190">
        <f>IF(COUNT($G$171:$G$190)&lt;20,"",STDEV($G$171:$G$190)*SQRT(52))</f>
        <v>0</v>
      </c>
      <c r="AU190">
        <f>IF(COUNT($E$2:$E190)&lt;9,"",(MAX($C$182:$C$190)+MIN($D$182:$D$190))/2)</f>
        <v>0</v>
      </c>
      <c r="AV190">
        <f>IF(COUNT($E$2:$E190)&lt;26,"",(MAX($C$165:$C$190)+MIN($D$165:$D$190))/2)</f>
        <v>0</v>
      </c>
      <c r="AW190">
        <f>IF(OR(AU190="",AV190=""),"",(AU190+AV190)/2)</f>
        <v>0</v>
      </c>
      <c r="AX190">
        <f>IF(COUNT($E$2:$E190)&lt;52,"",(MAX($C$139:$C$190)+MIN($D$139:$D$190))/2)</f>
        <v>0</v>
      </c>
      <c r="AY190">
        <f>IF(COUNT($E$2:$E190)&lt;20,"",MAX($C$91:$C$190))</f>
        <v>0</v>
      </c>
      <c r="AZ190">
        <f>IF(COUNT($E$2:$E190)&lt;20,"",MIN($D$91:$D$190))</f>
        <v>0</v>
      </c>
      <c r="BA190">
        <f>IF(COUNT($E$2:$E190)&lt;20,"",SLOPE($E$91:$E$190,$F$91:$F$190))</f>
        <v>0</v>
      </c>
      <c r="BB190">
        <f>IF(COUNT($E$2:$E190)&lt;20,"",INTERCEPT($E$91:$E$190,$F$91:$F$190))</f>
        <v>0</v>
      </c>
      <c r="BC190">
        <f>IF(OR(BA190="",BB190=""),"",BB190+BA190*F190)</f>
        <v>0</v>
      </c>
      <c r="BD190">
        <f>IF(COUNT($E$2:$E190)&lt;20,"",STEYX($E$91:$E$190,$F$91:$F$190))</f>
        <v>0</v>
      </c>
      <c r="BE190">
        <f>IF($E190="","",IF(AND(COUNT($E$191:$E$194)&gt;=4,$C190=MAX($C$186:$C$194)),$C190,""))</f>
        <v>0</v>
      </c>
      <c r="BF190">
        <f>IF($E190="","",IF(AND(COUNT($E$191:$E$194)&gt;=4,$D190=MIN($D$186:$D$194)),$D190,""))</f>
        <v>0</v>
      </c>
      <c r="BG190">
        <f>IFERROR(SMALL(Calc_Daily!$BM$2:$BM$2001,189),"")</f>
        <v>0</v>
      </c>
    </row>
    <row r="191" spans="1:59">
      <c r="A191" s="27">
        <f>IF($BG191="","",INDEX(Calc_Daily!$A$2:$A$2001,$BG191))</f>
        <v>0</v>
      </c>
      <c r="B191">
        <f>IF($BG191="","",INDEX(Calc_Daily!$BJ$2:$BJ$2001,$BG191))</f>
        <v>0</v>
      </c>
      <c r="C191">
        <f>IF($BG191="","",INDEX(Calc_Daily!$BK$2:$BK$2001,$BG191))</f>
        <v>0</v>
      </c>
      <c r="D191">
        <f>IF($BG191="","",INDEX(Calc_Daily!$BL$2:$BL$2001,$BG191))</f>
        <v>0</v>
      </c>
      <c r="E191">
        <f>IF($BG191="","",INDEX(Calc_Daily!$E$2:$E$2001,$BG191))</f>
        <v>0</v>
      </c>
      <c r="F191">
        <f>IF($E191="","",N(F190)+1)</f>
        <v>0</v>
      </c>
      <c r="G191">
        <f>IF(OR($E191="",$E190=""),"",LN($E191/$E190))</f>
        <v>0</v>
      </c>
      <c r="H191">
        <f>IF($E191="","",IF($E190="",$E191,$E191*0.0952380952+H190*0.9047619048))</f>
        <v>0</v>
      </c>
      <c r="I191">
        <f>IF($E191="","",IF($E190="",$E191,$E191*0.0392156863+I190*0.9607843137))</f>
        <v>0</v>
      </c>
      <c r="J191">
        <f>IF($E191="","",IF($E190="",$E191,$E191*0.0198019802+J190*0.9801980198))</f>
        <v>0</v>
      </c>
      <c r="K191">
        <f>IF($E191="","",IF($E190="",$E191,$E191*0.0099502488+K190*0.9900497512))</f>
        <v>0</v>
      </c>
      <c r="L191">
        <f>IF(OR($E191="",$E190=""),"",MAX($E191-$E190,0))</f>
        <v>0</v>
      </c>
      <c r="M191">
        <f>IF(OR($E191="",$E190=""),"",MAX($E190-$E191,0))</f>
        <v>0</v>
      </c>
      <c r="N191">
        <f>IF(COUNT($E$2:$E191)&lt;15,"",IF(AVERAGE($M$178:$M$191)=0,100,100-100/(1+AVERAGE($L$178:$L$191)/AVERAGE($M$178:$M$191))))</f>
        <v>0</v>
      </c>
      <c r="O191">
        <f>IF($E191="","",IF($E190="",$E191,$E191*0.1538461538+O190*0.8461538462))</f>
        <v>0</v>
      </c>
      <c r="P191">
        <f>IF($E191="","",IF($E190="",$E191,$E191*0.0740740741+P190*0.9259259259))</f>
        <v>0</v>
      </c>
      <c r="Q191">
        <f>IF(OR(O191="",P191=""),"",O191-P191)</f>
        <v>0</v>
      </c>
      <c r="R191">
        <f>IF(Q191="","",IF(R190="",Q191,Q191*0.2000000000+R190*0.8000000000))</f>
        <v>0</v>
      </c>
      <c r="S191">
        <f>IF(OR(Q191="",R191=""),"",Q191-R191)</f>
        <v>0</v>
      </c>
      <c r="T191">
        <f>IF(COUNT($E$2:$E191)&lt;14,"",MAX($C$178:$C$191))</f>
        <v>0</v>
      </c>
      <c r="U191">
        <f>IF(COUNT($E$2:$E191)&lt;14,"",MIN($D$178:$D$191))</f>
        <v>0</v>
      </c>
      <c r="V191">
        <f>IF(OR(T191="",U191="",T191=U191),"",100*($E191-U191)/(T191-U191))</f>
        <v>0</v>
      </c>
      <c r="W191">
        <f>IF(COUNT($V$189:$V$191)&lt;3,"",AVERAGE($V$189:$V$191))</f>
        <v>0</v>
      </c>
      <c r="X191">
        <f>IF(COUNT($N$178:$N$191)&lt;14,"",MIN($N$178:$N$191))</f>
        <v>0</v>
      </c>
      <c r="Y191">
        <f>IF(COUNT($N$178:$N$191)&lt;14,"",MAX($N$178:$N$191))</f>
        <v>0</v>
      </c>
      <c r="Z191">
        <f>IF(OR(N191="",X191="",Y191="",Y191=X191),"",100*(N191-X191)/(Y191-X191))</f>
        <v>0</v>
      </c>
      <c r="AA191">
        <f>IF(COUNT($Z$189:$Z$191)&lt;3,"",AVERAGE($Z$189:$Z$191))</f>
        <v>0</v>
      </c>
      <c r="AB191">
        <f>IF(COUNT($AA$189:$AA$191)&lt;3,"",AVERAGE($AA$189:$AA$191))</f>
        <v>0</v>
      </c>
      <c r="AC191">
        <f>IF($E191="","",MAX($C191-$D191,ABS($C191-$E190),ABS($D191-$E190)))</f>
        <v>0</v>
      </c>
      <c r="AD191">
        <f>IF(COUNT($E$2:$E191)&lt;15,"",AVERAGE($AC$178:$AC$191))</f>
        <v>0</v>
      </c>
      <c r="AE191">
        <f>IF(OR($E191="",$E190=""),"",IF(AND(($C191-$C190)&gt;($D190-$D191),($C191-$C190)&gt;0),$C191-$C190,0))</f>
        <v>0</v>
      </c>
      <c r="AF191">
        <f>IF(OR($E191="",$E190=""),"",IF(AND(($D190-$D191)&gt;($C191-$C190),($D190-$D191)&gt;0),$D190-$D191,0))</f>
        <v>0</v>
      </c>
      <c r="AG191">
        <f>IF(COUNT($E$2:$E191)&lt;15,"",IF(SUM($AC$178:$AC$191)=0,0,100*SUM($AE$178:$AE$191)/SUM($AC$178:$AC$191)))</f>
        <v>0</v>
      </c>
      <c r="AH191">
        <f>IF(COUNT($E$2:$E191)&lt;15,"",IF(SUM($AC$178:$AC$191)=0,0,100*SUM($AF$178:$AF$191)/SUM($AC$178:$AC$191)))</f>
        <v>0</v>
      </c>
      <c r="AI191">
        <f>IF(OR(AG191="",AH191=""),"",IF((AG191+AH191)=0,0,100*ABS(AG191-AH191)/(AG191+AH191)))</f>
        <v>0</v>
      </c>
      <c r="AJ191">
        <f>IF(COUNT($AI$178:$AI$191)&lt;14,"",AVERAGE($AI$178:$AI$191))</f>
        <v>0</v>
      </c>
      <c r="AK191">
        <f>IF(COUNT($E$2:$E191)&lt;20,"",AVERAGE($E$172:$E$191))</f>
        <v>0</v>
      </c>
      <c r="AL191">
        <f>IF(COUNT($E$2:$E191)&lt;20,"",STDEVP($E$172:$E$191))</f>
        <v>0</v>
      </c>
      <c r="AM191">
        <f>IF(AK191="","",AK191+2*AL191)</f>
        <v>0</v>
      </c>
      <c r="AN191">
        <f>IF(AK191="","",AK191-2*AL191)</f>
        <v>0</v>
      </c>
      <c r="AO191">
        <f>IF(OR(AM191="",AN191="",AM191=AN191),"",($E191-AN191)/(AM191-AN191))</f>
        <v>0</v>
      </c>
      <c r="AP191">
        <f>IF(OR(AM191="",AK191="",AK191=0),"",(AM191-AN191)/AK191)</f>
        <v>0</v>
      </c>
      <c r="AQ191">
        <f>IF(COUNT($E$2:$E191)&lt;20,"",MAX($C$172:$C$191))</f>
        <v>0</v>
      </c>
      <c r="AR191">
        <f>IF(COUNT($E$2:$E191)&lt;20,"",MIN($D$172:$D$191))</f>
        <v>0</v>
      </c>
      <c r="AS191">
        <f>IF(OR(AQ191="",AR191=""),"",(AQ191+AR191)/2)</f>
        <v>0</v>
      </c>
      <c r="AT191">
        <f>IF(COUNT($G$172:$G$191)&lt;20,"",STDEV($G$172:$G$191)*SQRT(52))</f>
        <v>0</v>
      </c>
      <c r="AU191">
        <f>IF(COUNT($E$2:$E191)&lt;9,"",(MAX($C$183:$C$191)+MIN($D$183:$D$191))/2)</f>
        <v>0</v>
      </c>
      <c r="AV191">
        <f>IF(COUNT($E$2:$E191)&lt;26,"",(MAX($C$166:$C$191)+MIN($D$166:$D$191))/2)</f>
        <v>0</v>
      </c>
      <c r="AW191">
        <f>IF(OR(AU191="",AV191=""),"",(AU191+AV191)/2)</f>
        <v>0</v>
      </c>
      <c r="AX191">
        <f>IF(COUNT($E$2:$E191)&lt;52,"",(MAX($C$140:$C$191)+MIN($D$140:$D$191))/2)</f>
        <v>0</v>
      </c>
      <c r="AY191">
        <f>IF(COUNT($E$2:$E191)&lt;20,"",MAX($C$92:$C$191))</f>
        <v>0</v>
      </c>
      <c r="AZ191">
        <f>IF(COUNT($E$2:$E191)&lt;20,"",MIN($D$92:$D$191))</f>
        <v>0</v>
      </c>
      <c r="BA191">
        <f>IF(COUNT($E$2:$E191)&lt;20,"",SLOPE($E$92:$E$191,$F$92:$F$191))</f>
        <v>0</v>
      </c>
      <c r="BB191">
        <f>IF(COUNT($E$2:$E191)&lt;20,"",INTERCEPT($E$92:$E$191,$F$92:$F$191))</f>
        <v>0</v>
      </c>
      <c r="BC191">
        <f>IF(OR(BA191="",BB191=""),"",BB191+BA191*F191)</f>
        <v>0</v>
      </c>
      <c r="BD191">
        <f>IF(COUNT($E$2:$E191)&lt;20,"",STEYX($E$92:$E$191,$F$92:$F$191))</f>
        <v>0</v>
      </c>
      <c r="BE191">
        <f>IF($E191="","",IF(AND(COUNT($E$192:$E$195)&gt;=4,$C191=MAX($C$187:$C$195)),$C191,""))</f>
        <v>0</v>
      </c>
      <c r="BF191">
        <f>IF($E191="","",IF(AND(COUNT($E$192:$E$195)&gt;=4,$D191=MIN($D$187:$D$195)),$D191,""))</f>
        <v>0</v>
      </c>
      <c r="BG191">
        <f>IFERROR(SMALL(Calc_Daily!$BM$2:$BM$2001,190),"")</f>
        <v>0</v>
      </c>
    </row>
    <row r="192" spans="1:59">
      <c r="A192" s="27">
        <f>IF($BG192="","",INDEX(Calc_Daily!$A$2:$A$2001,$BG192))</f>
        <v>0</v>
      </c>
      <c r="B192">
        <f>IF($BG192="","",INDEX(Calc_Daily!$BJ$2:$BJ$2001,$BG192))</f>
        <v>0</v>
      </c>
      <c r="C192">
        <f>IF($BG192="","",INDEX(Calc_Daily!$BK$2:$BK$2001,$BG192))</f>
        <v>0</v>
      </c>
      <c r="D192">
        <f>IF($BG192="","",INDEX(Calc_Daily!$BL$2:$BL$2001,$BG192))</f>
        <v>0</v>
      </c>
      <c r="E192">
        <f>IF($BG192="","",INDEX(Calc_Daily!$E$2:$E$2001,$BG192))</f>
        <v>0</v>
      </c>
      <c r="F192">
        <f>IF($E192="","",N(F191)+1)</f>
        <v>0</v>
      </c>
      <c r="G192">
        <f>IF(OR($E192="",$E191=""),"",LN($E192/$E191))</f>
        <v>0</v>
      </c>
      <c r="H192">
        <f>IF($E192="","",IF($E191="",$E192,$E192*0.0952380952+H191*0.9047619048))</f>
        <v>0</v>
      </c>
      <c r="I192">
        <f>IF($E192="","",IF($E191="",$E192,$E192*0.0392156863+I191*0.9607843137))</f>
        <v>0</v>
      </c>
      <c r="J192">
        <f>IF($E192="","",IF($E191="",$E192,$E192*0.0198019802+J191*0.9801980198))</f>
        <v>0</v>
      </c>
      <c r="K192">
        <f>IF($E192="","",IF($E191="",$E192,$E192*0.0099502488+K191*0.9900497512))</f>
        <v>0</v>
      </c>
      <c r="L192">
        <f>IF(OR($E192="",$E191=""),"",MAX($E192-$E191,0))</f>
        <v>0</v>
      </c>
      <c r="M192">
        <f>IF(OR($E192="",$E191=""),"",MAX($E191-$E192,0))</f>
        <v>0</v>
      </c>
      <c r="N192">
        <f>IF(COUNT($E$2:$E192)&lt;15,"",IF(AVERAGE($M$179:$M$192)=0,100,100-100/(1+AVERAGE($L$179:$L$192)/AVERAGE($M$179:$M$192))))</f>
        <v>0</v>
      </c>
      <c r="O192">
        <f>IF($E192="","",IF($E191="",$E192,$E192*0.1538461538+O191*0.8461538462))</f>
        <v>0</v>
      </c>
      <c r="P192">
        <f>IF($E192="","",IF($E191="",$E192,$E192*0.0740740741+P191*0.9259259259))</f>
        <v>0</v>
      </c>
      <c r="Q192">
        <f>IF(OR(O192="",P192=""),"",O192-P192)</f>
        <v>0</v>
      </c>
      <c r="R192">
        <f>IF(Q192="","",IF(R191="",Q192,Q192*0.2000000000+R191*0.8000000000))</f>
        <v>0</v>
      </c>
      <c r="S192">
        <f>IF(OR(Q192="",R192=""),"",Q192-R192)</f>
        <v>0</v>
      </c>
      <c r="T192">
        <f>IF(COUNT($E$2:$E192)&lt;14,"",MAX($C$179:$C$192))</f>
        <v>0</v>
      </c>
      <c r="U192">
        <f>IF(COUNT($E$2:$E192)&lt;14,"",MIN($D$179:$D$192))</f>
        <v>0</v>
      </c>
      <c r="V192">
        <f>IF(OR(T192="",U192="",T192=U192),"",100*($E192-U192)/(T192-U192))</f>
        <v>0</v>
      </c>
      <c r="W192">
        <f>IF(COUNT($V$190:$V$192)&lt;3,"",AVERAGE($V$190:$V$192))</f>
        <v>0</v>
      </c>
      <c r="X192">
        <f>IF(COUNT($N$179:$N$192)&lt;14,"",MIN($N$179:$N$192))</f>
        <v>0</v>
      </c>
      <c r="Y192">
        <f>IF(COUNT($N$179:$N$192)&lt;14,"",MAX($N$179:$N$192))</f>
        <v>0</v>
      </c>
      <c r="Z192">
        <f>IF(OR(N192="",X192="",Y192="",Y192=X192),"",100*(N192-X192)/(Y192-X192))</f>
        <v>0</v>
      </c>
      <c r="AA192">
        <f>IF(COUNT($Z$190:$Z$192)&lt;3,"",AVERAGE($Z$190:$Z$192))</f>
        <v>0</v>
      </c>
      <c r="AB192">
        <f>IF(COUNT($AA$190:$AA$192)&lt;3,"",AVERAGE($AA$190:$AA$192))</f>
        <v>0</v>
      </c>
      <c r="AC192">
        <f>IF($E192="","",MAX($C192-$D192,ABS($C192-$E191),ABS($D192-$E191)))</f>
        <v>0</v>
      </c>
      <c r="AD192">
        <f>IF(COUNT($E$2:$E192)&lt;15,"",AVERAGE($AC$179:$AC$192))</f>
        <v>0</v>
      </c>
      <c r="AE192">
        <f>IF(OR($E192="",$E191=""),"",IF(AND(($C192-$C191)&gt;($D191-$D192),($C192-$C191)&gt;0),$C192-$C191,0))</f>
        <v>0</v>
      </c>
      <c r="AF192">
        <f>IF(OR($E192="",$E191=""),"",IF(AND(($D191-$D192)&gt;($C192-$C191),($D191-$D192)&gt;0),$D191-$D192,0))</f>
        <v>0</v>
      </c>
      <c r="AG192">
        <f>IF(COUNT($E$2:$E192)&lt;15,"",IF(SUM($AC$179:$AC$192)=0,0,100*SUM($AE$179:$AE$192)/SUM($AC$179:$AC$192)))</f>
        <v>0</v>
      </c>
      <c r="AH192">
        <f>IF(COUNT($E$2:$E192)&lt;15,"",IF(SUM($AC$179:$AC$192)=0,0,100*SUM($AF$179:$AF$192)/SUM($AC$179:$AC$192)))</f>
        <v>0</v>
      </c>
      <c r="AI192">
        <f>IF(OR(AG192="",AH192=""),"",IF((AG192+AH192)=0,0,100*ABS(AG192-AH192)/(AG192+AH192)))</f>
        <v>0</v>
      </c>
      <c r="AJ192">
        <f>IF(COUNT($AI$179:$AI$192)&lt;14,"",AVERAGE($AI$179:$AI$192))</f>
        <v>0</v>
      </c>
      <c r="AK192">
        <f>IF(COUNT($E$2:$E192)&lt;20,"",AVERAGE($E$173:$E$192))</f>
        <v>0</v>
      </c>
      <c r="AL192">
        <f>IF(COUNT($E$2:$E192)&lt;20,"",STDEVP($E$173:$E$192))</f>
        <v>0</v>
      </c>
      <c r="AM192">
        <f>IF(AK192="","",AK192+2*AL192)</f>
        <v>0</v>
      </c>
      <c r="AN192">
        <f>IF(AK192="","",AK192-2*AL192)</f>
        <v>0</v>
      </c>
      <c r="AO192">
        <f>IF(OR(AM192="",AN192="",AM192=AN192),"",($E192-AN192)/(AM192-AN192))</f>
        <v>0</v>
      </c>
      <c r="AP192">
        <f>IF(OR(AM192="",AK192="",AK192=0),"",(AM192-AN192)/AK192)</f>
        <v>0</v>
      </c>
      <c r="AQ192">
        <f>IF(COUNT($E$2:$E192)&lt;20,"",MAX($C$173:$C$192))</f>
        <v>0</v>
      </c>
      <c r="AR192">
        <f>IF(COUNT($E$2:$E192)&lt;20,"",MIN($D$173:$D$192))</f>
        <v>0</v>
      </c>
      <c r="AS192">
        <f>IF(OR(AQ192="",AR192=""),"",(AQ192+AR192)/2)</f>
        <v>0</v>
      </c>
      <c r="AT192">
        <f>IF(COUNT($G$173:$G$192)&lt;20,"",STDEV($G$173:$G$192)*SQRT(52))</f>
        <v>0</v>
      </c>
      <c r="AU192">
        <f>IF(COUNT($E$2:$E192)&lt;9,"",(MAX($C$184:$C$192)+MIN($D$184:$D$192))/2)</f>
        <v>0</v>
      </c>
      <c r="AV192">
        <f>IF(COUNT($E$2:$E192)&lt;26,"",(MAX($C$167:$C$192)+MIN($D$167:$D$192))/2)</f>
        <v>0</v>
      </c>
      <c r="AW192">
        <f>IF(OR(AU192="",AV192=""),"",(AU192+AV192)/2)</f>
        <v>0</v>
      </c>
      <c r="AX192">
        <f>IF(COUNT($E$2:$E192)&lt;52,"",(MAX($C$141:$C$192)+MIN($D$141:$D$192))/2)</f>
        <v>0</v>
      </c>
      <c r="AY192">
        <f>IF(COUNT($E$2:$E192)&lt;20,"",MAX($C$93:$C$192))</f>
        <v>0</v>
      </c>
      <c r="AZ192">
        <f>IF(COUNT($E$2:$E192)&lt;20,"",MIN($D$93:$D$192))</f>
        <v>0</v>
      </c>
      <c r="BA192">
        <f>IF(COUNT($E$2:$E192)&lt;20,"",SLOPE($E$93:$E$192,$F$93:$F$192))</f>
        <v>0</v>
      </c>
      <c r="BB192">
        <f>IF(COUNT($E$2:$E192)&lt;20,"",INTERCEPT($E$93:$E$192,$F$93:$F$192))</f>
        <v>0</v>
      </c>
      <c r="BC192">
        <f>IF(OR(BA192="",BB192=""),"",BB192+BA192*F192)</f>
        <v>0</v>
      </c>
      <c r="BD192">
        <f>IF(COUNT($E$2:$E192)&lt;20,"",STEYX($E$93:$E$192,$F$93:$F$192))</f>
        <v>0</v>
      </c>
      <c r="BE192">
        <f>IF($E192="","",IF(AND(COUNT($E$193:$E$196)&gt;=4,$C192=MAX($C$188:$C$196)),$C192,""))</f>
        <v>0</v>
      </c>
      <c r="BF192">
        <f>IF($E192="","",IF(AND(COUNT($E$193:$E$196)&gt;=4,$D192=MIN($D$188:$D$196)),$D192,""))</f>
        <v>0</v>
      </c>
      <c r="BG192">
        <f>IFERROR(SMALL(Calc_Daily!$BM$2:$BM$2001,191),"")</f>
        <v>0</v>
      </c>
    </row>
    <row r="193" spans="1:59">
      <c r="A193" s="27">
        <f>IF($BG193="","",INDEX(Calc_Daily!$A$2:$A$2001,$BG193))</f>
        <v>0</v>
      </c>
      <c r="B193">
        <f>IF($BG193="","",INDEX(Calc_Daily!$BJ$2:$BJ$2001,$BG193))</f>
        <v>0</v>
      </c>
      <c r="C193">
        <f>IF($BG193="","",INDEX(Calc_Daily!$BK$2:$BK$2001,$BG193))</f>
        <v>0</v>
      </c>
      <c r="D193">
        <f>IF($BG193="","",INDEX(Calc_Daily!$BL$2:$BL$2001,$BG193))</f>
        <v>0</v>
      </c>
      <c r="E193">
        <f>IF($BG193="","",INDEX(Calc_Daily!$E$2:$E$2001,$BG193))</f>
        <v>0</v>
      </c>
      <c r="F193">
        <f>IF($E193="","",N(F192)+1)</f>
        <v>0</v>
      </c>
      <c r="G193">
        <f>IF(OR($E193="",$E192=""),"",LN($E193/$E192))</f>
        <v>0</v>
      </c>
      <c r="H193">
        <f>IF($E193="","",IF($E192="",$E193,$E193*0.0952380952+H192*0.9047619048))</f>
        <v>0</v>
      </c>
      <c r="I193">
        <f>IF($E193="","",IF($E192="",$E193,$E193*0.0392156863+I192*0.9607843137))</f>
        <v>0</v>
      </c>
      <c r="J193">
        <f>IF($E193="","",IF($E192="",$E193,$E193*0.0198019802+J192*0.9801980198))</f>
        <v>0</v>
      </c>
      <c r="K193">
        <f>IF($E193="","",IF($E192="",$E193,$E193*0.0099502488+K192*0.9900497512))</f>
        <v>0</v>
      </c>
      <c r="L193">
        <f>IF(OR($E193="",$E192=""),"",MAX($E193-$E192,0))</f>
        <v>0</v>
      </c>
      <c r="M193">
        <f>IF(OR($E193="",$E192=""),"",MAX($E192-$E193,0))</f>
        <v>0</v>
      </c>
      <c r="N193">
        <f>IF(COUNT($E$2:$E193)&lt;15,"",IF(AVERAGE($M$180:$M$193)=0,100,100-100/(1+AVERAGE($L$180:$L$193)/AVERAGE($M$180:$M$193))))</f>
        <v>0</v>
      </c>
      <c r="O193">
        <f>IF($E193="","",IF($E192="",$E193,$E193*0.1538461538+O192*0.8461538462))</f>
        <v>0</v>
      </c>
      <c r="P193">
        <f>IF($E193="","",IF($E192="",$E193,$E193*0.0740740741+P192*0.9259259259))</f>
        <v>0</v>
      </c>
      <c r="Q193">
        <f>IF(OR(O193="",P193=""),"",O193-P193)</f>
        <v>0</v>
      </c>
      <c r="R193">
        <f>IF(Q193="","",IF(R192="",Q193,Q193*0.2000000000+R192*0.8000000000))</f>
        <v>0</v>
      </c>
      <c r="S193">
        <f>IF(OR(Q193="",R193=""),"",Q193-R193)</f>
        <v>0</v>
      </c>
      <c r="T193">
        <f>IF(COUNT($E$2:$E193)&lt;14,"",MAX($C$180:$C$193))</f>
        <v>0</v>
      </c>
      <c r="U193">
        <f>IF(COUNT($E$2:$E193)&lt;14,"",MIN($D$180:$D$193))</f>
        <v>0</v>
      </c>
      <c r="V193">
        <f>IF(OR(T193="",U193="",T193=U193),"",100*($E193-U193)/(T193-U193))</f>
        <v>0</v>
      </c>
      <c r="W193">
        <f>IF(COUNT($V$191:$V$193)&lt;3,"",AVERAGE($V$191:$V$193))</f>
        <v>0</v>
      </c>
      <c r="X193">
        <f>IF(COUNT($N$180:$N$193)&lt;14,"",MIN($N$180:$N$193))</f>
        <v>0</v>
      </c>
      <c r="Y193">
        <f>IF(COUNT($N$180:$N$193)&lt;14,"",MAX($N$180:$N$193))</f>
        <v>0</v>
      </c>
      <c r="Z193">
        <f>IF(OR(N193="",X193="",Y193="",Y193=X193),"",100*(N193-X193)/(Y193-X193))</f>
        <v>0</v>
      </c>
      <c r="AA193">
        <f>IF(COUNT($Z$191:$Z$193)&lt;3,"",AVERAGE($Z$191:$Z$193))</f>
        <v>0</v>
      </c>
      <c r="AB193">
        <f>IF(COUNT($AA$191:$AA$193)&lt;3,"",AVERAGE($AA$191:$AA$193))</f>
        <v>0</v>
      </c>
      <c r="AC193">
        <f>IF($E193="","",MAX($C193-$D193,ABS($C193-$E192),ABS($D193-$E192)))</f>
        <v>0</v>
      </c>
      <c r="AD193">
        <f>IF(COUNT($E$2:$E193)&lt;15,"",AVERAGE($AC$180:$AC$193))</f>
        <v>0</v>
      </c>
      <c r="AE193">
        <f>IF(OR($E193="",$E192=""),"",IF(AND(($C193-$C192)&gt;($D192-$D193),($C193-$C192)&gt;0),$C193-$C192,0))</f>
        <v>0</v>
      </c>
      <c r="AF193">
        <f>IF(OR($E193="",$E192=""),"",IF(AND(($D192-$D193)&gt;($C193-$C192),($D192-$D193)&gt;0),$D192-$D193,0))</f>
        <v>0</v>
      </c>
      <c r="AG193">
        <f>IF(COUNT($E$2:$E193)&lt;15,"",IF(SUM($AC$180:$AC$193)=0,0,100*SUM($AE$180:$AE$193)/SUM($AC$180:$AC$193)))</f>
        <v>0</v>
      </c>
      <c r="AH193">
        <f>IF(COUNT($E$2:$E193)&lt;15,"",IF(SUM($AC$180:$AC$193)=0,0,100*SUM($AF$180:$AF$193)/SUM($AC$180:$AC$193)))</f>
        <v>0</v>
      </c>
      <c r="AI193">
        <f>IF(OR(AG193="",AH193=""),"",IF((AG193+AH193)=0,0,100*ABS(AG193-AH193)/(AG193+AH193)))</f>
        <v>0</v>
      </c>
      <c r="AJ193">
        <f>IF(COUNT($AI$180:$AI$193)&lt;14,"",AVERAGE($AI$180:$AI$193))</f>
        <v>0</v>
      </c>
      <c r="AK193">
        <f>IF(COUNT($E$2:$E193)&lt;20,"",AVERAGE($E$174:$E$193))</f>
        <v>0</v>
      </c>
      <c r="AL193">
        <f>IF(COUNT($E$2:$E193)&lt;20,"",STDEVP($E$174:$E$193))</f>
        <v>0</v>
      </c>
      <c r="AM193">
        <f>IF(AK193="","",AK193+2*AL193)</f>
        <v>0</v>
      </c>
      <c r="AN193">
        <f>IF(AK193="","",AK193-2*AL193)</f>
        <v>0</v>
      </c>
      <c r="AO193">
        <f>IF(OR(AM193="",AN193="",AM193=AN193),"",($E193-AN193)/(AM193-AN193))</f>
        <v>0</v>
      </c>
      <c r="AP193">
        <f>IF(OR(AM193="",AK193="",AK193=0),"",(AM193-AN193)/AK193)</f>
        <v>0</v>
      </c>
      <c r="AQ193">
        <f>IF(COUNT($E$2:$E193)&lt;20,"",MAX($C$174:$C$193))</f>
        <v>0</v>
      </c>
      <c r="AR193">
        <f>IF(COUNT($E$2:$E193)&lt;20,"",MIN($D$174:$D$193))</f>
        <v>0</v>
      </c>
      <c r="AS193">
        <f>IF(OR(AQ193="",AR193=""),"",(AQ193+AR193)/2)</f>
        <v>0</v>
      </c>
      <c r="AT193">
        <f>IF(COUNT($G$174:$G$193)&lt;20,"",STDEV($G$174:$G$193)*SQRT(52))</f>
        <v>0</v>
      </c>
      <c r="AU193">
        <f>IF(COUNT($E$2:$E193)&lt;9,"",(MAX($C$185:$C$193)+MIN($D$185:$D$193))/2)</f>
        <v>0</v>
      </c>
      <c r="AV193">
        <f>IF(COUNT($E$2:$E193)&lt;26,"",(MAX($C$168:$C$193)+MIN($D$168:$D$193))/2)</f>
        <v>0</v>
      </c>
      <c r="AW193">
        <f>IF(OR(AU193="",AV193=""),"",(AU193+AV193)/2)</f>
        <v>0</v>
      </c>
      <c r="AX193">
        <f>IF(COUNT($E$2:$E193)&lt;52,"",(MAX($C$142:$C$193)+MIN($D$142:$D$193))/2)</f>
        <v>0</v>
      </c>
      <c r="AY193">
        <f>IF(COUNT($E$2:$E193)&lt;20,"",MAX($C$94:$C$193))</f>
        <v>0</v>
      </c>
      <c r="AZ193">
        <f>IF(COUNT($E$2:$E193)&lt;20,"",MIN($D$94:$D$193))</f>
        <v>0</v>
      </c>
      <c r="BA193">
        <f>IF(COUNT($E$2:$E193)&lt;20,"",SLOPE($E$94:$E$193,$F$94:$F$193))</f>
        <v>0</v>
      </c>
      <c r="BB193">
        <f>IF(COUNT($E$2:$E193)&lt;20,"",INTERCEPT($E$94:$E$193,$F$94:$F$193))</f>
        <v>0</v>
      </c>
      <c r="BC193">
        <f>IF(OR(BA193="",BB193=""),"",BB193+BA193*F193)</f>
        <v>0</v>
      </c>
      <c r="BD193">
        <f>IF(COUNT($E$2:$E193)&lt;20,"",STEYX($E$94:$E$193,$F$94:$F$193))</f>
        <v>0</v>
      </c>
      <c r="BE193">
        <f>IF($E193="","",IF(AND(COUNT($E$194:$E$197)&gt;=4,$C193=MAX($C$189:$C$197)),$C193,""))</f>
        <v>0</v>
      </c>
      <c r="BF193">
        <f>IF($E193="","",IF(AND(COUNT($E$194:$E$197)&gt;=4,$D193=MIN($D$189:$D$197)),$D193,""))</f>
        <v>0</v>
      </c>
      <c r="BG193">
        <f>IFERROR(SMALL(Calc_Daily!$BM$2:$BM$2001,192),"")</f>
        <v>0</v>
      </c>
    </row>
    <row r="194" spans="1:59">
      <c r="A194" s="27">
        <f>IF($BG194="","",INDEX(Calc_Daily!$A$2:$A$2001,$BG194))</f>
        <v>0</v>
      </c>
      <c r="B194">
        <f>IF($BG194="","",INDEX(Calc_Daily!$BJ$2:$BJ$2001,$BG194))</f>
        <v>0</v>
      </c>
      <c r="C194">
        <f>IF($BG194="","",INDEX(Calc_Daily!$BK$2:$BK$2001,$BG194))</f>
        <v>0</v>
      </c>
      <c r="D194">
        <f>IF($BG194="","",INDEX(Calc_Daily!$BL$2:$BL$2001,$BG194))</f>
        <v>0</v>
      </c>
      <c r="E194">
        <f>IF($BG194="","",INDEX(Calc_Daily!$E$2:$E$2001,$BG194))</f>
        <v>0</v>
      </c>
      <c r="F194">
        <f>IF($E194="","",N(F193)+1)</f>
        <v>0</v>
      </c>
      <c r="G194">
        <f>IF(OR($E194="",$E193=""),"",LN($E194/$E193))</f>
        <v>0</v>
      </c>
      <c r="H194">
        <f>IF($E194="","",IF($E193="",$E194,$E194*0.0952380952+H193*0.9047619048))</f>
        <v>0</v>
      </c>
      <c r="I194">
        <f>IF($E194="","",IF($E193="",$E194,$E194*0.0392156863+I193*0.9607843137))</f>
        <v>0</v>
      </c>
      <c r="J194">
        <f>IF($E194="","",IF($E193="",$E194,$E194*0.0198019802+J193*0.9801980198))</f>
        <v>0</v>
      </c>
      <c r="K194">
        <f>IF($E194="","",IF($E193="",$E194,$E194*0.0099502488+K193*0.9900497512))</f>
        <v>0</v>
      </c>
      <c r="L194">
        <f>IF(OR($E194="",$E193=""),"",MAX($E194-$E193,0))</f>
        <v>0</v>
      </c>
      <c r="M194">
        <f>IF(OR($E194="",$E193=""),"",MAX($E193-$E194,0))</f>
        <v>0</v>
      </c>
      <c r="N194">
        <f>IF(COUNT($E$2:$E194)&lt;15,"",IF(AVERAGE($M$181:$M$194)=0,100,100-100/(1+AVERAGE($L$181:$L$194)/AVERAGE($M$181:$M$194))))</f>
        <v>0</v>
      </c>
      <c r="O194">
        <f>IF($E194="","",IF($E193="",$E194,$E194*0.1538461538+O193*0.8461538462))</f>
        <v>0</v>
      </c>
      <c r="P194">
        <f>IF($E194="","",IF($E193="",$E194,$E194*0.0740740741+P193*0.9259259259))</f>
        <v>0</v>
      </c>
      <c r="Q194">
        <f>IF(OR(O194="",P194=""),"",O194-P194)</f>
        <v>0</v>
      </c>
      <c r="R194">
        <f>IF(Q194="","",IF(R193="",Q194,Q194*0.2000000000+R193*0.8000000000))</f>
        <v>0</v>
      </c>
      <c r="S194">
        <f>IF(OR(Q194="",R194=""),"",Q194-R194)</f>
        <v>0</v>
      </c>
      <c r="T194">
        <f>IF(COUNT($E$2:$E194)&lt;14,"",MAX($C$181:$C$194))</f>
        <v>0</v>
      </c>
      <c r="U194">
        <f>IF(COUNT($E$2:$E194)&lt;14,"",MIN($D$181:$D$194))</f>
        <v>0</v>
      </c>
      <c r="V194">
        <f>IF(OR(T194="",U194="",T194=U194),"",100*($E194-U194)/(T194-U194))</f>
        <v>0</v>
      </c>
      <c r="W194">
        <f>IF(COUNT($V$192:$V$194)&lt;3,"",AVERAGE($V$192:$V$194))</f>
        <v>0</v>
      </c>
      <c r="X194">
        <f>IF(COUNT($N$181:$N$194)&lt;14,"",MIN($N$181:$N$194))</f>
        <v>0</v>
      </c>
      <c r="Y194">
        <f>IF(COUNT($N$181:$N$194)&lt;14,"",MAX($N$181:$N$194))</f>
        <v>0</v>
      </c>
      <c r="Z194">
        <f>IF(OR(N194="",X194="",Y194="",Y194=X194),"",100*(N194-X194)/(Y194-X194))</f>
        <v>0</v>
      </c>
      <c r="AA194">
        <f>IF(COUNT($Z$192:$Z$194)&lt;3,"",AVERAGE($Z$192:$Z$194))</f>
        <v>0</v>
      </c>
      <c r="AB194">
        <f>IF(COUNT($AA$192:$AA$194)&lt;3,"",AVERAGE($AA$192:$AA$194))</f>
        <v>0</v>
      </c>
      <c r="AC194">
        <f>IF($E194="","",MAX($C194-$D194,ABS($C194-$E193),ABS($D194-$E193)))</f>
        <v>0</v>
      </c>
      <c r="AD194">
        <f>IF(COUNT($E$2:$E194)&lt;15,"",AVERAGE($AC$181:$AC$194))</f>
        <v>0</v>
      </c>
      <c r="AE194">
        <f>IF(OR($E194="",$E193=""),"",IF(AND(($C194-$C193)&gt;($D193-$D194),($C194-$C193)&gt;0),$C194-$C193,0))</f>
        <v>0</v>
      </c>
      <c r="AF194">
        <f>IF(OR($E194="",$E193=""),"",IF(AND(($D193-$D194)&gt;($C194-$C193),($D193-$D194)&gt;0),$D193-$D194,0))</f>
        <v>0</v>
      </c>
      <c r="AG194">
        <f>IF(COUNT($E$2:$E194)&lt;15,"",IF(SUM($AC$181:$AC$194)=0,0,100*SUM($AE$181:$AE$194)/SUM($AC$181:$AC$194)))</f>
        <v>0</v>
      </c>
      <c r="AH194">
        <f>IF(COUNT($E$2:$E194)&lt;15,"",IF(SUM($AC$181:$AC$194)=0,0,100*SUM($AF$181:$AF$194)/SUM($AC$181:$AC$194)))</f>
        <v>0</v>
      </c>
      <c r="AI194">
        <f>IF(OR(AG194="",AH194=""),"",IF((AG194+AH194)=0,0,100*ABS(AG194-AH194)/(AG194+AH194)))</f>
        <v>0</v>
      </c>
      <c r="AJ194">
        <f>IF(COUNT($AI$181:$AI$194)&lt;14,"",AVERAGE($AI$181:$AI$194))</f>
        <v>0</v>
      </c>
      <c r="AK194">
        <f>IF(COUNT($E$2:$E194)&lt;20,"",AVERAGE($E$175:$E$194))</f>
        <v>0</v>
      </c>
      <c r="AL194">
        <f>IF(COUNT($E$2:$E194)&lt;20,"",STDEVP($E$175:$E$194))</f>
        <v>0</v>
      </c>
      <c r="AM194">
        <f>IF(AK194="","",AK194+2*AL194)</f>
        <v>0</v>
      </c>
      <c r="AN194">
        <f>IF(AK194="","",AK194-2*AL194)</f>
        <v>0</v>
      </c>
      <c r="AO194">
        <f>IF(OR(AM194="",AN194="",AM194=AN194),"",($E194-AN194)/(AM194-AN194))</f>
        <v>0</v>
      </c>
      <c r="AP194">
        <f>IF(OR(AM194="",AK194="",AK194=0),"",(AM194-AN194)/AK194)</f>
        <v>0</v>
      </c>
      <c r="AQ194">
        <f>IF(COUNT($E$2:$E194)&lt;20,"",MAX($C$175:$C$194))</f>
        <v>0</v>
      </c>
      <c r="AR194">
        <f>IF(COUNT($E$2:$E194)&lt;20,"",MIN($D$175:$D$194))</f>
        <v>0</v>
      </c>
      <c r="AS194">
        <f>IF(OR(AQ194="",AR194=""),"",(AQ194+AR194)/2)</f>
        <v>0</v>
      </c>
      <c r="AT194">
        <f>IF(COUNT($G$175:$G$194)&lt;20,"",STDEV($G$175:$G$194)*SQRT(52))</f>
        <v>0</v>
      </c>
      <c r="AU194">
        <f>IF(COUNT($E$2:$E194)&lt;9,"",(MAX($C$186:$C$194)+MIN($D$186:$D$194))/2)</f>
        <v>0</v>
      </c>
      <c r="AV194">
        <f>IF(COUNT($E$2:$E194)&lt;26,"",(MAX($C$169:$C$194)+MIN($D$169:$D$194))/2)</f>
        <v>0</v>
      </c>
      <c r="AW194">
        <f>IF(OR(AU194="",AV194=""),"",(AU194+AV194)/2)</f>
        <v>0</v>
      </c>
      <c r="AX194">
        <f>IF(COUNT($E$2:$E194)&lt;52,"",(MAX($C$143:$C$194)+MIN($D$143:$D$194))/2)</f>
        <v>0</v>
      </c>
      <c r="AY194">
        <f>IF(COUNT($E$2:$E194)&lt;20,"",MAX($C$95:$C$194))</f>
        <v>0</v>
      </c>
      <c r="AZ194">
        <f>IF(COUNT($E$2:$E194)&lt;20,"",MIN($D$95:$D$194))</f>
        <v>0</v>
      </c>
      <c r="BA194">
        <f>IF(COUNT($E$2:$E194)&lt;20,"",SLOPE($E$95:$E$194,$F$95:$F$194))</f>
        <v>0</v>
      </c>
      <c r="BB194">
        <f>IF(COUNT($E$2:$E194)&lt;20,"",INTERCEPT($E$95:$E$194,$F$95:$F$194))</f>
        <v>0</v>
      </c>
      <c r="BC194">
        <f>IF(OR(BA194="",BB194=""),"",BB194+BA194*F194)</f>
        <v>0</v>
      </c>
      <c r="BD194">
        <f>IF(COUNT($E$2:$E194)&lt;20,"",STEYX($E$95:$E$194,$F$95:$F$194))</f>
        <v>0</v>
      </c>
      <c r="BE194">
        <f>IF($E194="","",IF(AND(COUNT($E$195:$E$198)&gt;=4,$C194=MAX($C$190:$C$198)),$C194,""))</f>
        <v>0</v>
      </c>
      <c r="BF194">
        <f>IF($E194="","",IF(AND(COUNT($E$195:$E$198)&gt;=4,$D194=MIN($D$190:$D$198)),$D194,""))</f>
        <v>0</v>
      </c>
      <c r="BG194">
        <f>IFERROR(SMALL(Calc_Daily!$BM$2:$BM$2001,193),"")</f>
        <v>0</v>
      </c>
    </row>
    <row r="195" spans="1:59">
      <c r="A195" s="27">
        <f>IF($BG195="","",INDEX(Calc_Daily!$A$2:$A$2001,$BG195))</f>
        <v>0</v>
      </c>
      <c r="B195">
        <f>IF($BG195="","",INDEX(Calc_Daily!$BJ$2:$BJ$2001,$BG195))</f>
        <v>0</v>
      </c>
      <c r="C195">
        <f>IF($BG195="","",INDEX(Calc_Daily!$BK$2:$BK$2001,$BG195))</f>
        <v>0</v>
      </c>
      <c r="D195">
        <f>IF($BG195="","",INDEX(Calc_Daily!$BL$2:$BL$2001,$BG195))</f>
        <v>0</v>
      </c>
      <c r="E195">
        <f>IF($BG195="","",INDEX(Calc_Daily!$E$2:$E$2001,$BG195))</f>
        <v>0</v>
      </c>
      <c r="F195">
        <f>IF($E195="","",N(F194)+1)</f>
        <v>0</v>
      </c>
      <c r="G195">
        <f>IF(OR($E195="",$E194=""),"",LN($E195/$E194))</f>
        <v>0</v>
      </c>
      <c r="H195">
        <f>IF($E195="","",IF($E194="",$E195,$E195*0.0952380952+H194*0.9047619048))</f>
        <v>0</v>
      </c>
      <c r="I195">
        <f>IF($E195="","",IF($E194="",$E195,$E195*0.0392156863+I194*0.9607843137))</f>
        <v>0</v>
      </c>
      <c r="J195">
        <f>IF($E195="","",IF($E194="",$E195,$E195*0.0198019802+J194*0.9801980198))</f>
        <v>0</v>
      </c>
      <c r="K195">
        <f>IF($E195="","",IF($E194="",$E195,$E195*0.0099502488+K194*0.9900497512))</f>
        <v>0</v>
      </c>
      <c r="L195">
        <f>IF(OR($E195="",$E194=""),"",MAX($E195-$E194,0))</f>
        <v>0</v>
      </c>
      <c r="M195">
        <f>IF(OR($E195="",$E194=""),"",MAX($E194-$E195,0))</f>
        <v>0</v>
      </c>
      <c r="N195">
        <f>IF(COUNT($E$2:$E195)&lt;15,"",IF(AVERAGE($M$182:$M$195)=0,100,100-100/(1+AVERAGE($L$182:$L$195)/AVERAGE($M$182:$M$195))))</f>
        <v>0</v>
      </c>
      <c r="O195">
        <f>IF($E195="","",IF($E194="",$E195,$E195*0.1538461538+O194*0.8461538462))</f>
        <v>0</v>
      </c>
      <c r="P195">
        <f>IF($E195="","",IF($E194="",$E195,$E195*0.0740740741+P194*0.9259259259))</f>
        <v>0</v>
      </c>
      <c r="Q195">
        <f>IF(OR(O195="",P195=""),"",O195-P195)</f>
        <v>0</v>
      </c>
      <c r="R195">
        <f>IF(Q195="","",IF(R194="",Q195,Q195*0.2000000000+R194*0.8000000000))</f>
        <v>0</v>
      </c>
      <c r="S195">
        <f>IF(OR(Q195="",R195=""),"",Q195-R195)</f>
        <v>0</v>
      </c>
      <c r="T195">
        <f>IF(COUNT($E$2:$E195)&lt;14,"",MAX($C$182:$C$195))</f>
        <v>0</v>
      </c>
      <c r="U195">
        <f>IF(COUNT($E$2:$E195)&lt;14,"",MIN($D$182:$D$195))</f>
        <v>0</v>
      </c>
      <c r="V195">
        <f>IF(OR(T195="",U195="",T195=U195),"",100*($E195-U195)/(T195-U195))</f>
        <v>0</v>
      </c>
      <c r="W195">
        <f>IF(COUNT($V$193:$V$195)&lt;3,"",AVERAGE($V$193:$V$195))</f>
        <v>0</v>
      </c>
      <c r="X195">
        <f>IF(COUNT($N$182:$N$195)&lt;14,"",MIN($N$182:$N$195))</f>
        <v>0</v>
      </c>
      <c r="Y195">
        <f>IF(COUNT($N$182:$N$195)&lt;14,"",MAX($N$182:$N$195))</f>
        <v>0</v>
      </c>
      <c r="Z195">
        <f>IF(OR(N195="",X195="",Y195="",Y195=X195),"",100*(N195-X195)/(Y195-X195))</f>
        <v>0</v>
      </c>
      <c r="AA195">
        <f>IF(COUNT($Z$193:$Z$195)&lt;3,"",AVERAGE($Z$193:$Z$195))</f>
        <v>0</v>
      </c>
      <c r="AB195">
        <f>IF(COUNT($AA$193:$AA$195)&lt;3,"",AVERAGE($AA$193:$AA$195))</f>
        <v>0</v>
      </c>
      <c r="AC195">
        <f>IF($E195="","",MAX($C195-$D195,ABS($C195-$E194),ABS($D195-$E194)))</f>
        <v>0</v>
      </c>
      <c r="AD195">
        <f>IF(COUNT($E$2:$E195)&lt;15,"",AVERAGE($AC$182:$AC$195))</f>
        <v>0</v>
      </c>
      <c r="AE195">
        <f>IF(OR($E195="",$E194=""),"",IF(AND(($C195-$C194)&gt;($D194-$D195),($C195-$C194)&gt;0),$C195-$C194,0))</f>
        <v>0</v>
      </c>
      <c r="AF195">
        <f>IF(OR($E195="",$E194=""),"",IF(AND(($D194-$D195)&gt;($C195-$C194),($D194-$D195)&gt;0),$D194-$D195,0))</f>
        <v>0</v>
      </c>
      <c r="AG195">
        <f>IF(COUNT($E$2:$E195)&lt;15,"",IF(SUM($AC$182:$AC$195)=0,0,100*SUM($AE$182:$AE$195)/SUM($AC$182:$AC$195)))</f>
        <v>0</v>
      </c>
      <c r="AH195">
        <f>IF(COUNT($E$2:$E195)&lt;15,"",IF(SUM($AC$182:$AC$195)=0,0,100*SUM($AF$182:$AF$195)/SUM($AC$182:$AC$195)))</f>
        <v>0</v>
      </c>
      <c r="AI195">
        <f>IF(OR(AG195="",AH195=""),"",IF((AG195+AH195)=0,0,100*ABS(AG195-AH195)/(AG195+AH195)))</f>
        <v>0</v>
      </c>
      <c r="AJ195">
        <f>IF(COUNT($AI$182:$AI$195)&lt;14,"",AVERAGE($AI$182:$AI$195))</f>
        <v>0</v>
      </c>
      <c r="AK195">
        <f>IF(COUNT($E$2:$E195)&lt;20,"",AVERAGE($E$176:$E$195))</f>
        <v>0</v>
      </c>
      <c r="AL195">
        <f>IF(COUNT($E$2:$E195)&lt;20,"",STDEVP($E$176:$E$195))</f>
        <v>0</v>
      </c>
      <c r="AM195">
        <f>IF(AK195="","",AK195+2*AL195)</f>
        <v>0</v>
      </c>
      <c r="AN195">
        <f>IF(AK195="","",AK195-2*AL195)</f>
        <v>0</v>
      </c>
      <c r="AO195">
        <f>IF(OR(AM195="",AN195="",AM195=AN195),"",($E195-AN195)/(AM195-AN195))</f>
        <v>0</v>
      </c>
      <c r="AP195">
        <f>IF(OR(AM195="",AK195="",AK195=0),"",(AM195-AN195)/AK195)</f>
        <v>0</v>
      </c>
      <c r="AQ195">
        <f>IF(COUNT($E$2:$E195)&lt;20,"",MAX($C$176:$C$195))</f>
        <v>0</v>
      </c>
      <c r="AR195">
        <f>IF(COUNT($E$2:$E195)&lt;20,"",MIN($D$176:$D$195))</f>
        <v>0</v>
      </c>
      <c r="AS195">
        <f>IF(OR(AQ195="",AR195=""),"",(AQ195+AR195)/2)</f>
        <v>0</v>
      </c>
      <c r="AT195">
        <f>IF(COUNT($G$176:$G$195)&lt;20,"",STDEV($G$176:$G$195)*SQRT(52))</f>
        <v>0</v>
      </c>
      <c r="AU195">
        <f>IF(COUNT($E$2:$E195)&lt;9,"",(MAX($C$187:$C$195)+MIN($D$187:$D$195))/2)</f>
        <v>0</v>
      </c>
      <c r="AV195">
        <f>IF(COUNT($E$2:$E195)&lt;26,"",(MAX($C$170:$C$195)+MIN($D$170:$D$195))/2)</f>
        <v>0</v>
      </c>
      <c r="AW195">
        <f>IF(OR(AU195="",AV195=""),"",(AU195+AV195)/2)</f>
        <v>0</v>
      </c>
      <c r="AX195">
        <f>IF(COUNT($E$2:$E195)&lt;52,"",(MAX($C$144:$C$195)+MIN($D$144:$D$195))/2)</f>
        <v>0</v>
      </c>
      <c r="AY195">
        <f>IF(COUNT($E$2:$E195)&lt;20,"",MAX($C$96:$C$195))</f>
        <v>0</v>
      </c>
      <c r="AZ195">
        <f>IF(COUNT($E$2:$E195)&lt;20,"",MIN($D$96:$D$195))</f>
        <v>0</v>
      </c>
      <c r="BA195">
        <f>IF(COUNT($E$2:$E195)&lt;20,"",SLOPE($E$96:$E$195,$F$96:$F$195))</f>
        <v>0</v>
      </c>
      <c r="BB195">
        <f>IF(COUNT($E$2:$E195)&lt;20,"",INTERCEPT($E$96:$E$195,$F$96:$F$195))</f>
        <v>0</v>
      </c>
      <c r="BC195">
        <f>IF(OR(BA195="",BB195=""),"",BB195+BA195*F195)</f>
        <v>0</v>
      </c>
      <c r="BD195">
        <f>IF(COUNT($E$2:$E195)&lt;20,"",STEYX($E$96:$E$195,$F$96:$F$195))</f>
        <v>0</v>
      </c>
      <c r="BE195">
        <f>IF($E195="","",IF(AND(COUNT($E$196:$E$199)&gt;=4,$C195=MAX($C$191:$C$199)),$C195,""))</f>
        <v>0</v>
      </c>
      <c r="BF195">
        <f>IF($E195="","",IF(AND(COUNT($E$196:$E$199)&gt;=4,$D195=MIN($D$191:$D$199)),$D195,""))</f>
        <v>0</v>
      </c>
      <c r="BG195">
        <f>IFERROR(SMALL(Calc_Daily!$BM$2:$BM$2001,194),"")</f>
        <v>0</v>
      </c>
    </row>
    <row r="196" spans="1:59">
      <c r="A196" s="27">
        <f>IF($BG196="","",INDEX(Calc_Daily!$A$2:$A$2001,$BG196))</f>
        <v>0</v>
      </c>
      <c r="B196">
        <f>IF($BG196="","",INDEX(Calc_Daily!$BJ$2:$BJ$2001,$BG196))</f>
        <v>0</v>
      </c>
      <c r="C196">
        <f>IF($BG196="","",INDEX(Calc_Daily!$BK$2:$BK$2001,$BG196))</f>
        <v>0</v>
      </c>
      <c r="D196">
        <f>IF($BG196="","",INDEX(Calc_Daily!$BL$2:$BL$2001,$BG196))</f>
        <v>0</v>
      </c>
      <c r="E196">
        <f>IF($BG196="","",INDEX(Calc_Daily!$E$2:$E$2001,$BG196))</f>
        <v>0</v>
      </c>
      <c r="F196">
        <f>IF($E196="","",N(F195)+1)</f>
        <v>0</v>
      </c>
      <c r="G196">
        <f>IF(OR($E196="",$E195=""),"",LN($E196/$E195))</f>
        <v>0</v>
      </c>
      <c r="H196">
        <f>IF($E196="","",IF($E195="",$E196,$E196*0.0952380952+H195*0.9047619048))</f>
        <v>0</v>
      </c>
      <c r="I196">
        <f>IF($E196="","",IF($E195="",$E196,$E196*0.0392156863+I195*0.9607843137))</f>
        <v>0</v>
      </c>
      <c r="J196">
        <f>IF($E196="","",IF($E195="",$E196,$E196*0.0198019802+J195*0.9801980198))</f>
        <v>0</v>
      </c>
      <c r="K196">
        <f>IF($E196="","",IF($E195="",$E196,$E196*0.0099502488+K195*0.9900497512))</f>
        <v>0</v>
      </c>
      <c r="L196">
        <f>IF(OR($E196="",$E195=""),"",MAX($E196-$E195,0))</f>
        <v>0</v>
      </c>
      <c r="M196">
        <f>IF(OR($E196="",$E195=""),"",MAX($E195-$E196,0))</f>
        <v>0</v>
      </c>
      <c r="N196">
        <f>IF(COUNT($E$2:$E196)&lt;15,"",IF(AVERAGE($M$183:$M$196)=0,100,100-100/(1+AVERAGE($L$183:$L$196)/AVERAGE($M$183:$M$196))))</f>
        <v>0</v>
      </c>
      <c r="O196">
        <f>IF($E196="","",IF($E195="",$E196,$E196*0.1538461538+O195*0.8461538462))</f>
        <v>0</v>
      </c>
      <c r="P196">
        <f>IF($E196="","",IF($E195="",$E196,$E196*0.0740740741+P195*0.9259259259))</f>
        <v>0</v>
      </c>
      <c r="Q196">
        <f>IF(OR(O196="",P196=""),"",O196-P196)</f>
        <v>0</v>
      </c>
      <c r="R196">
        <f>IF(Q196="","",IF(R195="",Q196,Q196*0.2000000000+R195*0.8000000000))</f>
        <v>0</v>
      </c>
      <c r="S196">
        <f>IF(OR(Q196="",R196=""),"",Q196-R196)</f>
        <v>0</v>
      </c>
      <c r="T196">
        <f>IF(COUNT($E$2:$E196)&lt;14,"",MAX($C$183:$C$196))</f>
        <v>0</v>
      </c>
      <c r="U196">
        <f>IF(COUNT($E$2:$E196)&lt;14,"",MIN($D$183:$D$196))</f>
        <v>0</v>
      </c>
      <c r="V196">
        <f>IF(OR(T196="",U196="",T196=U196),"",100*($E196-U196)/(T196-U196))</f>
        <v>0</v>
      </c>
      <c r="W196">
        <f>IF(COUNT($V$194:$V$196)&lt;3,"",AVERAGE($V$194:$V$196))</f>
        <v>0</v>
      </c>
      <c r="X196">
        <f>IF(COUNT($N$183:$N$196)&lt;14,"",MIN($N$183:$N$196))</f>
        <v>0</v>
      </c>
      <c r="Y196">
        <f>IF(COUNT($N$183:$N$196)&lt;14,"",MAX($N$183:$N$196))</f>
        <v>0</v>
      </c>
      <c r="Z196">
        <f>IF(OR(N196="",X196="",Y196="",Y196=X196),"",100*(N196-X196)/(Y196-X196))</f>
        <v>0</v>
      </c>
      <c r="AA196">
        <f>IF(COUNT($Z$194:$Z$196)&lt;3,"",AVERAGE($Z$194:$Z$196))</f>
        <v>0</v>
      </c>
      <c r="AB196">
        <f>IF(COUNT($AA$194:$AA$196)&lt;3,"",AVERAGE($AA$194:$AA$196))</f>
        <v>0</v>
      </c>
      <c r="AC196">
        <f>IF($E196="","",MAX($C196-$D196,ABS($C196-$E195),ABS($D196-$E195)))</f>
        <v>0</v>
      </c>
      <c r="AD196">
        <f>IF(COUNT($E$2:$E196)&lt;15,"",AVERAGE($AC$183:$AC$196))</f>
        <v>0</v>
      </c>
      <c r="AE196">
        <f>IF(OR($E196="",$E195=""),"",IF(AND(($C196-$C195)&gt;($D195-$D196),($C196-$C195)&gt;0),$C196-$C195,0))</f>
        <v>0</v>
      </c>
      <c r="AF196">
        <f>IF(OR($E196="",$E195=""),"",IF(AND(($D195-$D196)&gt;($C196-$C195),($D195-$D196)&gt;0),$D195-$D196,0))</f>
        <v>0</v>
      </c>
      <c r="AG196">
        <f>IF(COUNT($E$2:$E196)&lt;15,"",IF(SUM($AC$183:$AC$196)=0,0,100*SUM($AE$183:$AE$196)/SUM($AC$183:$AC$196)))</f>
        <v>0</v>
      </c>
      <c r="AH196">
        <f>IF(COUNT($E$2:$E196)&lt;15,"",IF(SUM($AC$183:$AC$196)=0,0,100*SUM($AF$183:$AF$196)/SUM($AC$183:$AC$196)))</f>
        <v>0</v>
      </c>
      <c r="AI196">
        <f>IF(OR(AG196="",AH196=""),"",IF((AG196+AH196)=0,0,100*ABS(AG196-AH196)/(AG196+AH196)))</f>
        <v>0</v>
      </c>
      <c r="AJ196">
        <f>IF(COUNT($AI$183:$AI$196)&lt;14,"",AVERAGE($AI$183:$AI$196))</f>
        <v>0</v>
      </c>
      <c r="AK196">
        <f>IF(COUNT($E$2:$E196)&lt;20,"",AVERAGE($E$177:$E$196))</f>
        <v>0</v>
      </c>
      <c r="AL196">
        <f>IF(COUNT($E$2:$E196)&lt;20,"",STDEVP($E$177:$E$196))</f>
        <v>0</v>
      </c>
      <c r="AM196">
        <f>IF(AK196="","",AK196+2*AL196)</f>
        <v>0</v>
      </c>
      <c r="AN196">
        <f>IF(AK196="","",AK196-2*AL196)</f>
        <v>0</v>
      </c>
      <c r="AO196">
        <f>IF(OR(AM196="",AN196="",AM196=AN196),"",($E196-AN196)/(AM196-AN196))</f>
        <v>0</v>
      </c>
      <c r="AP196">
        <f>IF(OR(AM196="",AK196="",AK196=0),"",(AM196-AN196)/AK196)</f>
        <v>0</v>
      </c>
      <c r="AQ196">
        <f>IF(COUNT($E$2:$E196)&lt;20,"",MAX($C$177:$C$196))</f>
        <v>0</v>
      </c>
      <c r="AR196">
        <f>IF(COUNT($E$2:$E196)&lt;20,"",MIN($D$177:$D$196))</f>
        <v>0</v>
      </c>
      <c r="AS196">
        <f>IF(OR(AQ196="",AR196=""),"",(AQ196+AR196)/2)</f>
        <v>0</v>
      </c>
      <c r="AT196">
        <f>IF(COUNT($G$177:$G$196)&lt;20,"",STDEV($G$177:$G$196)*SQRT(52))</f>
        <v>0</v>
      </c>
      <c r="AU196">
        <f>IF(COUNT($E$2:$E196)&lt;9,"",(MAX($C$188:$C$196)+MIN($D$188:$D$196))/2)</f>
        <v>0</v>
      </c>
      <c r="AV196">
        <f>IF(COUNT($E$2:$E196)&lt;26,"",(MAX($C$171:$C$196)+MIN($D$171:$D$196))/2)</f>
        <v>0</v>
      </c>
      <c r="AW196">
        <f>IF(OR(AU196="",AV196=""),"",(AU196+AV196)/2)</f>
        <v>0</v>
      </c>
      <c r="AX196">
        <f>IF(COUNT($E$2:$E196)&lt;52,"",(MAX($C$145:$C$196)+MIN($D$145:$D$196))/2)</f>
        <v>0</v>
      </c>
      <c r="AY196">
        <f>IF(COUNT($E$2:$E196)&lt;20,"",MAX($C$97:$C$196))</f>
        <v>0</v>
      </c>
      <c r="AZ196">
        <f>IF(COUNT($E$2:$E196)&lt;20,"",MIN($D$97:$D$196))</f>
        <v>0</v>
      </c>
      <c r="BA196">
        <f>IF(COUNT($E$2:$E196)&lt;20,"",SLOPE($E$97:$E$196,$F$97:$F$196))</f>
        <v>0</v>
      </c>
      <c r="BB196">
        <f>IF(COUNT($E$2:$E196)&lt;20,"",INTERCEPT($E$97:$E$196,$F$97:$F$196))</f>
        <v>0</v>
      </c>
      <c r="BC196">
        <f>IF(OR(BA196="",BB196=""),"",BB196+BA196*F196)</f>
        <v>0</v>
      </c>
      <c r="BD196">
        <f>IF(COUNT($E$2:$E196)&lt;20,"",STEYX($E$97:$E$196,$F$97:$F$196))</f>
        <v>0</v>
      </c>
      <c r="BE196">
        <f>IF($E196="","",IF(AND(COUNT($E$197:$E$200)&gt;=4,$C196=MAX($C$192:$C$200)),$C196,""))</f>
        <v>0</v>
      </c>
      <c r="BF196">
        <f>IF($E196="","",IF(AND(COUNT($E$197:$E$200)&gt;=4,$D196=MIN($D$192:$D$200)),$D196,""))</f>
        <v>0</v>
      </c>
      <c r="BG196">
        <f>IFERROR(SMALL(Calc_Daily!$BM$2:$BM$2001,195),"")</f>
        <v>0</v>
      </c>
    </row>
    <row r="197" spans="1:59">
      <c r="A197" s="27">
        <f>IF($BG197="","",INDEX(Calc_Daily!$A$2:$A$2001,$BG197))</f>
        <v>0</v>
      </c>
      <c r="B197">
        <f>IF($BG197="","",INDEX(Calc_Daily!$BJ$2:$BJ$2001,$BG197))</f>
        <v>0</v>
      </c>
      <c r="C197">
        <f>IF($BG197="","",INDEX(Calc_Daily!$BK$2:$BK$2001,$BG197))</f>
        <v>0</v>
      </c>
      <c r="D197">
        <f>IF($BG197="","",INDEX(Calc_Daily!$BL$2:$BL$2001,$BG197))</f>
        <v>0</v>
      </c>
      <c r="E197">
        <f>IF($BG197="","",INDEX(Calc_Daily!$E$2:$E$2001,$BG197))</f>
        <v>0</v>
      </c>
      <c r="F197">
        <f>IF($E197="","",N(F196)+1)</f>
        <v>0</v>
      </c>
      <c r="G197">
        <f>IF(OR($E197="",$E196=""),"",LN($E197/$E196))</f>
        <v>0</v>
      </c>
      <c r="H197">
        <f>IF($E197="","",IF($E196="",$E197,$E197*0.0952380952+H196*0.9047619048))</f>
        <v>0</v>
      </c>
      <c r="I197">
        <f>IF($E197="","",IF($E196="",$E197,$E197*0.0392156863+I196*0.9607843137))</f>
        <v>0</v>
      </c>
      <c r="J197">
        <f>IF($E197="","",IF($E196="",$E197,$E197*0.0198019802+J196*0.9801980198))</f>
        <v>0</v>
      </c>
      <c r="K197">
        <f>IF($E197="","",IF($E196="",$E197,$E197*0.0099502488+K196*0.9900497512))</f>
        <v>0</v>
      </c>
      <c r="L197">
        <f>IF(OR($E197="",$E196=""),"",MAX($E197-$E196,0))</f>
        <v>0</v>
      </c>
      <c r="M197">
        <f>IF(OR($E197="",$E196=""),"",MAX($E196-$E197,0))</f>
        <v>0</v>
      </c>
      <c r="N197">
        <f>IF(COUNT($E$2:$E197)&lt;15,"",IF(AVERAGE($M$184:$M$197)=0,100,100-100/(1+AVERAGE($L$184:$L$197)/AVERAGE($M$184:$M$197))))</f>
        <v>0</v>
      </c>
      <c r="O197">
        <f>IF($E197="","",IF($E196="",$E197,$E197*0.1538461538+O196*0.8461538462))</f>
        <v>0</v>
      </c>
      <c r="P197">
        <f>IF($E197="","",IF($E196="",$E197,$E197*0.0740740741+P196*0.9259259259))</f>
        <v>0</v>
      </c>
      <c r="Q197">
        <f>IF(OR(O197="",P197=""),"",O197-P197)</f>
        <v>0</v>
      </c>
      <c r="R197">
        <f>IF(Q197="","",IF(R196="",Q197,Q197*0.2000000000+R196*0.8000000000))</f>
        <v>0</v>
      </c>
      <c r="S197">
        <f>IF(OR(Q197="",R197=""),"",Q197-R197)</f>
        <v>0</v>
      </c>
      <c r="T197">
        <f>IF(COUNT($E$2:$E197)&lt;14,"",MAX($C$184:$C$197))</f>
        <v>0</v>
      </c>
      <c r="U197">
        <f>IF(COUNT($E$2:$E197)&lt;14,"",MIN($D$184:$D$197))</f>
        <v>0</v>
      </c>
      <c r="V197">
        <f>IF(OR(T197="",U197="",T197=U197),"",100*($E197-U197)/(T197-U197))</f>
        <v>0</v>
      </c>
      <c r="W197">
        <f>IF(COUNT($V$195:$V$197)&lt;3,"",AVERAGE($V$195:$V$197))</f>
        <v>0</v>
      </c>
      <c r="X197">
        <f>IF(COUNT($N$184:$N$197)&lt;14,"",MIN($N$184:$N$197))</f>
        <v>0</v>
      </c>
      <c r="Y197">
        <f>IF(COUNT($N$184:$N$197)&lt;14,"",MAX($N$184:$N$197))</f>
        <v>0</v>
      </c>
      <c r="Z197">
        <f>IF(OR(N197="",X197="",Y197="",Y197=X197),"",100*(N197-X197)/(Y197-X197))</f>
        <v>0</v>
      </c>
      <c r="AA197">
        <f>IF(COUNT($Z$195:$Z$197)&lt;3,"",AVERAGE($Z$195:$Z$197))</f>
        <v>0</v>
      </c>
      <c r="AB197">
        <f>IF(COUNT($AA$195:$AA$197)&lt;3,"",AVERAGE($AA$195:$AA$197))</f>
        <v>0</v>
      </c>
      <c r="AC197">
        <f>IF($E197="","",MAX($C197-$D197,ABS($C197-$E196),ABS($D197-$E196)))</f>
        <v>0</v>
      </c>
      <c r="AD197">
        <f>IF(COUNT($E$2:$E197)&lt;15,"",AVERAGE($AC$184:$AC$197))</f>
        <v>0</v>
      </c>
      <c r="AE197">
        <f>IF(OR($E197="",$E196=""),"",IF(AND(($C197-$C196)&gt;($D196-$D197),($C197-$C196)&gt;0),$C197-$C196,0))</f>
        <v>0</v>
      </c>
      <c r="AF197">
        <f>IF(OR($E197="",$E196=""),"",IF(AND(($D196-$D197)&gt;($C197-$C196),($D196-$D197)&gt;0),$D196-$D197,0))</f>
        <v>0</v>
      </c>
      <c r="AG197">
        <f>IF(COUNT($E$2:$E197)&lt;15,"",IF(SUM($AC$184:$AC$197)=0,0,100*SUM($AE$184:$AE$197)/SUM($AC$184:$AC$197)))</f>
        <v>0</v>
      </c>
      <c r="AH197">
        <f>IF(COUNT($E$2:$E197)&lt;15,"",IF(SUM($AC$184:$AC$197)=0,0,100*SUM($AF$184:$AF$197)/SUM($AC$184:$AC$197)))</f>
        <v>0</v>
      </c>
      <c r="AI197">
        <f>IF(OR(AG197="",AH197=""),"",IF((AG197+AH197)=0,0,100*ABS(AG197-AH197)/(AG197+AH197)))</f>
        <v>0</v>
      </c>
      <c r="AJ197">
        <f>IF(COUNT($AI$184:$AI$197)&lt;14,"",AVERAGE($AI$184:$AI$197))</f>
        <v>0</v>
      </c>
      <c r="AK197">
        <f>IF(COUNT($E$2:$E197)&lt;20,"",AVERAGE($E$178:$E$197))</f>
        <v>0</v>
      </c>
      <c r="AL197">
        <f>IF(COUNT($E$2:$E197)&lt;20,"",STDEVP($E$178:$E$197))</f>
        <v>0</v>
      </c>
      <c r="AM197">
        <f>IF(AK197="","",AK197+2*AL197)</f>
        <v>0</v>
      </c>
      <c r="AN197">
        <f>IF(AK197="","",AK197-2*AL197)</f>
        <v>0</v>
      </c>
      <c r="AO197">
        <f>IF(OR(AM197="",AN197="",AM197=AN197),"",($E197-AN197)/(AM197-AN197))</f>
        <v>0</v>
      </c>
      <c r="AP197">
        <f>IF(OR(AM197="",AK197="",AK197=0),"",(AM197-AN197)/AK197)</f>
        <v>0</v>
      </c>
      <c r="AQ197">
        <f>IF(COUNT($E$2:$E197)&lt;20,"",MAX($C$178:$C$197))</f>
        <v>0</v>
      </c>
      <c r="AR197">
        <f>IF(COUNT($E$2:$E197)&lt;20,"",MIN($D$178:$D$197))</f>
        <v>0</v>
      </c>
      <c r="AS197">
        <f>IF(OR(AQ197="",AR197=""),"",(AQ197+AR197)/2)</f>
        <v>0</v>
      </c>
      <c r="AT197">
        <f>IF(COUNT($G$178:$G$197)&lt;20,"",STDEV($G$178:$G$197)*SQRT(52))</f>
        <v>0</v>
      </c>
      <c r="AU197">
        <f>IF(COUNT($E$2:$E197)&lt;9,"",(MAX($C$189:$C$197)+MIN($D$189:$D$197))/2)</f>
        <v>0</v>
      </c>
      <c r="AV197">
        <f>IF(COUNT($E$2:$E197)&lt;26,"",(MAX($C$172:$C$197)+MIN($D$172:$D$197))/2)</f>
        <v>0</v>
      </c>
      <c r="AW197">
        <f>IF(OR(AU197="",AV197=""),"",(AU197+AV197)/2)</f>
        <v>0</v>
      </c>
      <c r="AX197">
        <f>IF(COUNT($E$2:$E197)&lt;52,"",(MAX($C$146:$C$197)+MIN($D$146:$D$197))/2)</f>
        <v>0</v>
      </c>
      <c r="AY197">
        <f>IF(COUNT($E$2:$E197)&lt;20,"",MAX($C$98:$C$197))</f>
        <v>0</v>
      </c>
      <c r="AZ197">
        <f>IF(COUNT($E$2:$E197)&lt;20,"",MIN($D$98:$D$197))</f>
        <v>0</v>
      </c>
      <c r="BA197">
        <f>IF(COUNT($E$2:$E197)&lt;20,"",SLOPE($E$98:$E$197,$F$98:$F$197))</f>
        <v>0</v>
      </c>
      <c r="BB197">
        <f>IF(COUNT($E$2:$E197)&lt;20,"",INTERCEPT($E$98:$E$197,$F$98:$F$197))</f>
        <v>0</v>
      </c>
      <c r="BC197">
        <f>IF(OR(BA197="",BB197=""),"",BB197+BA197*F197)</f>
        <v>0</v>
      </c>
      <c r="BD197">
        <f>IF(COUNT($E$2:$E197)&lt;20,"",STEYX($E$98:$E$197,$F$98:$F$197))</f>
        <v>0</v>
      </c>
      <c r="BE197">
        <f>IF($E197="","",IF(AND(COUNT($E$198:$E$201)&gt;=4,$C197=MAX($C$193:$C$201)),$C197,""))</f>
        <v>0</v>
      </c>
      <c r="BF197">
        <f>IF($E197="","",IF(AND(COUNT($E$198:$E$201)&gt;=4,$D197=MIN($D$193:$D$201)),$D197,""))</f>
        <v>0</v>
      </c>
      <c r="BG197">
        <f>IFERROR(SMALL(Calc_Daily!$BM$2:$BM$2001,196),"")</f>
        <v>0</v>
      </c>
    </row>
    <row r="198" spans="1:59">
      <c r="A198" s="27">
        <f>IF($BG198="","",INDEX(Calc_Daily!$A$2:$A$2001,$BG198))</f>
        <v>0</v>
      </c>
      <c r="B198">
        <f>IF($BG198="","",INDEX(Calc_Daily!$BJ$2:$BJ$2001,$BG198))</f>
        <v>0</v>
      </c>
      <c r="C198">
        <f>IF($BG198="","",INDEX(Calc_Daily!$BK$2:$BK$2001,$BG198))</f>
        <v>0</v>
      </c>
      <c r="D198">
        <f>IF($BG198="","",INDEX(Calc_Daily!$BL$2:$BL$2001,$BG198))</f>
        <v>0</v>
      </c>
      <c r="E198">
        <f>IF($BG198="","",INDEX(Calc_Daily!$E$2:$E$2001,$BG198))</f>
        <v>0</v>
      </c>
      <c r="F198">
        <f>IF($E198="","",N(F197)+1)</f>
        <v>0</v>
      </c>
      <c r="G198">
        <f>IF(OR($E198="",$E197=""),"",LN($E198/$E197))</f>
        <v>0</v>
      </c>
      <c r="H198">
        <f>IF($E198="","",IF($E197="",$E198,$E198*0.0952380952+H197*0.9047619048))</f>
        <v>0</v>
      </c>
      <c r="I198">
        <f>IF($E198="","",IF($E197="",$E198,$E198*0.0392156863+I197*0.9607843137))</f>
        <v>0</v>
      </c>
      <c r="J198">
        <f>IF($E198="","",IF($E197="",$E198,$E198*0.0198019802+J197*0.9801980198))</f>
        <v>0</v>
      </c>
      <c r="K198">
        <f>IF($E198="","",IF($E197="",$E198,$E198*0.0099502488+K197*0.9900497512))</f>
        <v>0</v>
      </c>
      <c r="L198">
        <f>IF(OR($E198="",$E197=""),"",MAX($E198-$E197,0))</f>
        <v>0</v>
      </c>
      <c r="M198">
        <f>IF(OR($E198="",$E197=""),"",MAX($E197-$E198,0))</f>
        <v>0</v>
      </c>
      <c r="N198">
        <f>IF(COUNT($E$2:$E198)&lt;15,"",IF(AVERAGE($M$185:$M$198)=0,100,100-100/(1+AVERAGE($L$185:$L$198)/AVERAGE($M$185:$M$198))))</f>
        <v>0</v>
      </c>
      <c r="O198">
        <f>IF($E198="","",IF($E197="",$E198,$E198*0.1538461538+O197*0.8461538462))</f>
        <v>0</v>
      </c>
      <c r="P198">
        <f>IF($E198="","",IF($E197="",$E198,$E198*0.0740740741+P197*0.9259259259))</f>
        <v>0</v>
      </c>
      <c r="Q198">
        <f>IF(OR(O198="",P198=""),"",O198-P198)</f>
        <v>0</v>
      </c>
      <c r="R198">
        <f>IF(Q198="","",IF(R197="",Q198,Q198*0.2000000000+R197*0.8000000000))</f>
        <v>0</v>
      </c>
      <c r="S198">
        <f>IF(OR(Q198="",R198=""),"",Q198-R198)</f>
        <v>0</v>
      </c>
      <c r="T198">
        <f>IF(COUNT($E$2:$E198)&lt;14,"",MAX($C$185:$C$198))</f>
        <v>0</v>
      </c>
      <c r="U198">
        <f>IF(COUNT($E$2:$E198)&lt;14,"",MIN($D$185:$D$198))</f>
        <v>0</v>
      </c>
      <c r="V198">
        <f>IF(OR(T198="",U198="",T198=U198),"",100*($E198-U198)/(T198-U198))</f>
        <v>0</v>
      </c>
      <c r="W198">
        <f>IF(COUNT($V$196:$V$198)&lt;3,"",AVERAGE($V$196:$V$198))</f>
        <v>0</v>
      </c>
      <c r="X198">
        <f>IF(COUNT($N$185:$N$198)&lt;14,"",MIN($N$185:$N$198))</f>
        <v>0</v>
      </c>
      <c r="Y198">
        <f>IF(COUNT($N$185:$N$198)&lt;14,"",MAX($N$185:$N$198))</f>
        <v>0</v>
      </c>
      <c r="Z198">
        <f>IF(OR(N198="",X198="",Y198="",Y198=X198),"",100*(N198-X198)/(Y198-X198))</f>
        <v>0</v>
      </c>
      <c r="AA198">
        <f>IF(COUNT($Z$196:$Z$198)&lt;3,"",AVERAGE($Z$196:$Z$198))</f>
        <v>0</v>
      </c>
      <c r="AB198">
        <f>IF(COUNT($AA$196:$AA$198)&lt;3,"",AVERAGE($AA$196:$AA$198))</f>
        <v>0</v>
      </c>
      <c r="AC198">
        <f>IF($E198="","",MAX($C198-$D198,ABS($C198-$E197),ABS($D198-$E197)))</f>
        <v>0</v>
      </c>
      <c r="AD198">
        <f>IF(COUNT($E$2:$E198)&lt;15,"",AVERAGE($AC$185:$AC$198))</f>
        <v>0</v>
      </c>
      <c r="AE198">
        <f>IF(OR($E198="",$E197=""),"",IF(AND(($C198-$C197)&gt;($D197-$D198),($C198-$C197)&gt;0),$C198-$C197,0))</f>
        <v>0</v>
      </c>
      <c r="AF198">
        <f>IF(OR($E198="",$E197=""),"",IF(AND(($D197-$D198)&gt;($C198-$C197),($D197-$D198)&gt;0),$D197-$D198,0))</f>
        <v>0</v>
      </c>
      <c r="AG198">
        <f>IF(COUNT($E$2:$E198)&lt;15,"",IF(SUM($AC$185:$AC$198)=0,0,100*SUM($AE$185:$AE$198)/SUM($AC$185:$AC$198)))</f>
        <v>0</v>
      </c>
      <c r="AH198">
        <f>IF(COUNT($E$2:$E198)&lt;15,"",IF(SUM($AC$185:$AC$198)=0,0,100*SUM($AF$185:$AF$198)/SUM($AC$185:$AC$198)))</f>
        <v>0</v>
      </c>
      <c r="AI198">
        <f>IF(OR(AG198="",AH198=""),"",IF((AG198+AH198)=0,0,100*ABS(AG198-AH198)/(AG198+AH198)))</f>
        <v>0</v>
      </c>
      <c r="AJ198">
        <f>IF(COUNT($AI$185:$AI$198)&lt;14,"",AVERAGE($AI$185:$AI$198))</f>
        <v>0</v>
      </c>
      <c r="AK198">
        <f>IF(COUNT($E$2:$E198)&lt;20,"",AVERAGE($E$179:$E$198))</f>
        <v>0</v>
      </c>
      <c r="AL198">
        <f>IF(COUNT($E$2:$E198)&lt;20,"",STDEVP($E$179:$E$198))</f>
        <v>0</v>
      </c>
      <c r="AM198">
        <f>IF(AK198="","",AK198+2*AL198)</f>
        <v>0</v>
      </c>
      <c r="AN198">
        <f>IF(AK198="","",AK198-2*AL198)</f>
        <v>0</v>
      </c>
      <c r="AO198">
        <f>IF(OR(AM198="",AN198="",AM198=AN198),"",($E198-AN198)/(AM198-AN198))</f>
        <v>0</v>
      </c>
      <c r="AP198">
        <f>IF(OR(AM198="",AK198="",AK198=0),"",(AM198-AN198)/AK198)</f>
        <v>0</v>
      </c>
      <c r="AQ198">
        <f>IF(COUNT($E$2:$E198)&lt;20,"",MAX($C$179:$C$198))</f>
        <v>0</v>
      </c>
      <c r="AR198">
        <f>IF(COUNT($E$2:$E198)&lt;20,"",MIN($D$179:$D$198))</f>
        <v>0</v>
      </c>
      <c r="AS198">
        <f>IF(OR(AQ198="",AR198=""),"",(AQ198+AR198)/2)</f>
        <v>0</v>
      </c>
      <c r="AT198">
        <f>IF(COUNT($G$179:$G$198)&lt;20,"",STDEV($G$179:$G$198)*SQRT(52))</f>
        <v>0</v>
      </c>
      <c r="AU198">
        <f>IF(COUNT($E$2:$E198)&lt;9,"",(MAX($C$190:$C$198)+MIN($D$190:$D$198))/2)</f>
        <v>0</v>
      </c>
      <c r="AV198">
        <f>IF(COUNT($E$2:$E198)&lt;26,"",(MAX($C$173:$C$198)+MIN($D$173:$D$198))/2)</f>
        <v>0</v>
      </c>
      <c r="AW198">
        <f>IF(OR(AU198="",AV198=""),"",(AU198+AV198)/2)</f>
        <v>0</v>
      </c>
      <c r="AX198">
        <f>IF(COUNT($E$2:$E198)&lt;52,"",(MAX($C$147:$C$198)+MIN($D$147:$D$198))/2)</f>
        <v>0</v>
      </c>
      <c r="AY198">
        <f>IF(COUNT($E$2:$E198)&lt;20,"",MAX($C$99:$C$198))</f>
        <v>0</v>
      </c>
      <c r="AZ198">
        <f>IF(COUNT($E$2:$E198)&lt;20,"",MIN($D$99:$D$198))</f>
        <v>0</v>
      </c>
      <c r="BA198">
        <f>IF(COUNT($E$2:$E198)&lt;20,"",SLOPE($E$99:$E$198,$F$99:$F$198))</f>
        <v>0</v>
      </c>
      <c r="BB198">
        <f>IF(COUNT($E$2:$E198)&lt;20,"",INTERCEPT($E$99:$E$198,$F$99:$F$198))</f>
        <v>0</v>
      </c>
      <c r="BC198">
        <f>IF(OR(BA198="",BB198=""),"",BB198+BA198*F198)</f>
        <v>0</v>
      </c>
      <c r="BD198">
        <f>IF(COUNT($E$2:$E198)&lt;20,"",STEYX($E$99:$E$198,$F$99:$F$198))</f>
        <v>0</v>
      </c>
      <c r="BE198">
        <f>IF($E198="","",IF(AND(COUNT($E$199:$E$202)&gt;=4,$C198=MAX($C$194:$C$202)),$C198,""))</f>
        <v>0</v>
      </c>
      <c r="BF198">
        <f>IF($E198="","",IF(AND(COUNT($E$199:$E$202)&gt;=4,$D198=MIN($D$194:$D$202)),$D198,""))</f>
        <v>0</v>
      </c>
      <c r="BG198">
        <f>IFERROR(SMALL(Calc_Daily!$BM$2:$BM$2001,197),"")</f>
        <v>0</v>
      </c>
    </row>
    <row r="199" spans="1:59">
      <c r="A199" s="27">
        <f>IF($BG199="","",INDEX(Calc_Daily!$A$2:$A$2001,$BG199))</f>
        <v>0</v>
      </c>
      <c r="B199">
        <f>IF($BG199="","",INDEX(Calc_Daily!$BJ$2:$BJ$2001,$BG199))</f>
        <v>0</v>
      </c>
      <c r="C199">
        <f>IF($BG199="","",INDEX(Calc_Daily!$BK$2:$BK$2001,$BG199))</f>
        <v>0</v>
      </c>
      <c r="D199">
        <f>IF($BG199="","",INDEX(Calc_Daily!$BL$2:$BL$2001,$BG199))</f>
        <v>0</v>
      </c>
      <c r="E199">
        <f>IF($BG199="","",INDEX(Calc_Daily!$E$2:$E$2001,$BG199))</f>
        <v>0</v>
      </c>
      <c r="F199">
        <f>IF($E199="","",N(F198)+1)</f>
        <v>0</v>
      </c>
      <c r="G199">
        <f>IF(OR($E199="",$E198=""),"",LN($E199/$E198))</f>
        <v>0</v>
      </c>
      <c r="H199">
        <f>IF($E199="","",IF($E198="",$E199,$E199*0.0952380952+H198*0.9047619048))</f>
        <v>0</v>
      </c>
      <c r="I199">
        <f>IF($E199="","",IF($E198="",$E199,$E199*0.0392156863+I198*0.9607843137))</f>
        <v>0</v>
      </c>
      <c r="J199">
        <f>IF($E199="","",IF($E198="",$E199,$E199*0.0198019802+J198*0.9801980198))</f>
        <v>0</v>
      </c>
      <c r="K199">
        <f>IF($E199="","",IF($E198="",$E199,$E199*0.0099502488+K198*0.9900497512))</f>
        <v>0</v>
      </c>
      <c r="L199">
        <f>IF(OR($E199="",$E198=""),"",MAX($E199-$E198,0))</f>
        <v>0</v>
      </c>
      <c r="M199">
        <f>IF(OR($E199="",$E198=""),"",MAX($E198-$E199,0))</f>
        <v>0</v>
      </c>
      <c r="N199">
        <f>IF(COUNT($E$2:$E199)&lt;15,"",IF(AVERAGE($M$186:$M$199)=0,100,100-100/(1+AVERAGE($L$186:$L$199)/AVERAGE($M$186:$M$199))))</f>
        <v>0</v>
      </c>
      <c r="O199">
        <f>IF($E199="","",IF($E198="",$E199,$E199*0.1538461538+O198*0.8461538462))</f>
        <v>0</v>
      </c>
      <c r="P199">
        <f>IF($E199="","",IF($E198="",$E199,$E199*0.0740740741+P198*0.9259259259))</f>
        <v>0</v>
      </c>
      <c r="Q199">
        <f>IF(OR(O199="",P199=""),"",O199-P199)</f>
        <v>0</v>
      </c>
      <c r="R199">
        <f>IF(Q199="","",IF(R198="",Q199,Q199*0.2000000000+R198*0.8000000000))</f>
        <v>0</v>
      </c>
      <c r="S199">
        <f>IF(OR(Q199="",R199=""),"",Q199-R199)</f>
        <v>0</v>
      </c>
      <c r="T199">
        <f>IF(COUNT($E$2:$E199)&lt;14,"",MAX($C$186:$C$199))</f>
        <v>0</v>
      </c>
      <c r="U199">
        <f>IF(COUNT($E$2:$E199)&lt;14,"",MIN($D$186:$D$199))</f>
        <v>0</v>
      </c>
      <c r="V199">
        <f>IF(OR(T199="",U199="",T199=U199),"",100*($E199-U199)/(T199-U199))</f>
        <v>0</v>
      </c>
      <c r="W199">
        <f>IF(COUNT($V$197:$V$199)&lt;3,"",AVERAGE($V$197:$V$199))</f>
        <v>0</v>
      </c>
      <c r="X199">
        <f>IF(COUNT($N$186:$N$199)&lt;14,"",MIN($N$186:$N$199))</f>
        <v>0</v>
      </c>
      <c r="Y199">
        <f>IF(COUNT($N$186:$N$199)&lt;14,"",MAX($N$186:$N$199))</f>
        <v>0</v>
      </c>
      <c r="Z199">
        <f>IF(OR(N199="",X199="",Y199="",Y199=X199),"",100*(N199-X199)/(Y199-X199))</f>
        <v>0</v>
      </c>
      <c r="AA199">
        <f>IF(COUNT($Z$197:$Z$199)&lt;3,"",AVERAGE($Z$197:$Z$199))</f>
        <v>0</v>
      </c>
      <c r="AB199">
        <f>IF(COUNT($AA$197:$AA$199)&lt;3,"",AVERAGE($AA$197:$AA$199))</f>
        <v>0</v>
      </c>
      <c r="AC199">
        <f>IF($E199="","",MAX($C199-$D199,ABS($C199-$E198),ABS($D199-$E198)))</f>
        <v>0</v>
      </c>
      <c r="AD199">
        <f>IF(COUNT($E$2:$E199)&lt;15,"",AVERAGE($AC$186:$AC$199))</f>
        <v>0</v>
      </c>
      <c r="AE199">
        <f>IF(OR($E199="",$E198=""),"",IF(AND(($C199-$C198)&gt;($D198-$D199),($C199-$C198)&gt;0),$C199-$C198,0))</f>
        <v>0</v>
      </c>
      <c r="AF199">
        <f>IF(OR($E199="",$E198=""),"",IF(AND(($D198-$D199)&gt;($C199-$C198),($D198-$D199)&gt;0),$D198-$D199,0))</f>
        <v>0</v>
      </c>
      <c r="AG199">
        <f>IF(COUNT($E$2:$E199)&lt;15,"",IF(SUM($AC$186:$AC$199)=0,0,100*SUM($AE$186:$AE$199)/SUM($AC$186:$AC$199)))</f>
        <v>0</v>
      </c>
      <c r="AH199">
        <f>IF(COUNT($E$2:$E199)&lt;15,"",IF(SUM($AC$186:$AC$199)=0,0,100*SUM($AF$186:$AF$199)/SUM($AC$186:$AC$199)))</f>
        <v>0</v>
      </c>
      <c r="AI199">
        <f>IF(OR(AG199="",AH199=""),"",IF((AG199+AH199)=0,0,100*ABS(AG199-AH199)/(AG199+AH199)))</f>
        <v>0</v>
      </c>
      <c r="AJ199">
        <f>IF(COUNT($AI$186:$AI$199)&lt;14,"",AVERAGE($AI$186:$AI$199))</f>
        <v>0</v>
      </c>
      <c r="AK199">
        <f>IF(COUNT($E$2:$E199)&lt;20,"",AVERAGE($E$180:$E$199))</f>
        <v>0</v>
      </c>
      <c r="AL199">
        <f>IF(COUNT($E$2:$E199)&lt;20,"",STDEVP($E$180:$E$199))</f>
        <v>0</v>
      </c>
      <c r="AM199">
        <f>IF(AK199="","",AK199+2*AL199)</f>
        <v>0</v>
      </c>
      <c r="AN199">
        <f>IF(AK199="","",AK199-2*AL199)</f>
        <v>0</v>
      </c>
      <c r="AO199">
        <f>IF(OR(AM199="",AN199="",AM199=AN199),"",($E199-AN199)/(AM199-AN199))</f>
        <v>0</v>
      </c>
      <c r="AP199">
        <f>IF(OR(AM199="",AK199="",AK199=0),"",(AM199-AN199)/AK199)</f>
        <v>0</v>
      </c>
      <c r="AQ199">
        <f>IF(COUNT($E$2:$E199)&lt;20,"",MAX($C$180:$C$199))</f>
        <v>0</v>
      </c>
      <c r="AR199">
        <f>IF(COUNT($E$2:$E199)&lt;20,"",MIN($D$180:$D$199))</f>
        <v>0</v>
      </c>
      <c r="AS199">
        <f>IF(OR(AQ199="",AR199=""),"",(AQ199+AR199)/2)</f>
        <v>0</v>
      </c>
      <c r="AT199">
        <f>IF(COUNT($G$180:$G$199)&lt;20,"",STDEV($G$180:$G$199)*SQRT(52))</f>
        <v>0</v>
      </c>
      <c r="AU199">
        <f>IF(COUNT($E$2:$E199)&lt;9,"",(MAX($C$191:$C$199)+MIN($D$191:$D$199))/2)</f>
        <v>0</v>
      </c>
      <c r="AV199">
        <f>IF(COUNT($E$2:$E199)&lt;26,"",(MAX($C$174:$C$199)+MIN($D$174:$D$199))/2)</f>
        <v>0</v>
      </c>
      <c r="AW199">
        <f>IF(OR(AU199="",AV199=""),"",(AU199+AV199)/2)</f>
        <v>0</v>
      </c>
      <c r="AX199">
        <f>IF(COUNT($E$2:$E199)&lt;52,"",(MAX($C$148:$C$199)+MIN($D$148:$D$199))/2)</f>
        <v>0</v>
      </c>
      <c r="AY199">
        <f>IF(COUNT($E$2:$E199)&lt;20,"",MAX($C$100:$C$199))</f>
        <v>0</v>
      </c>
      <c r="AZ199">
        <f>IF(COUNT($E$2:$E199)&lt;20,"",MIN($D$100:$D$199))</f>
        <v>0</v>
      </c>
      <c r="BA199">
        <f>IF(COUNT($E$2:$E199)&lt;20,"",SLOPE($E$100:$E$199,$F$100:$F$199))</f>
        <v>0</v>
      </c>
      <c r="BB199">
        <f>IF(COUNT($E$2:$E199)&lt;20,"",INTERCEPT($E$100:$E$199,$F$100:$F$199))</f>
        <v>0</v>
      </c>
      <c r="BC199">
        <f>IF(OR(BA199="",BB199=""),"",BB199+BA199*F199)</f>
        <v>0</v>
      </c>
      <c r="BD199">
        <f>IF(COUNT($E$2:$E199)&lt;20,"",STEYX($E$100:$E$199,$F$100:$F$199))</f>
        <v>0</v>
      </c>
      <c r="BE199">
        <f>IF($E199="","",IF(AND(COUNT($E$200:$E$203)&gt;=4,$C199=MAX($C$195:$C$203)),$C199,""))</f>
        <v>0</v>
      </c>
      <c r="BF199">
        <f>IF($E199="","",IF(AND(COUNT($E$200:$E$203)&gt;=4,$D199=MIN($D$195:$D$203)),$D199,""))</f>
        <v>0</v>
      </c>
      <c r="BG199">
        <f>IFERROR(SMALL(Calc_Daily!$BM$2:$BM$2001,198),"")</f>
        <v>0</v>
      </c>
    </row>
    <row r="200" spans="1:59">
      <c r="A200" s="27">
        <f>IF($BG200="","",INDEX(Calc_Daily!$A$2:$A$2001,$BG200))</f>
        <v>0</v>
      </c>
      <c r="B200">
        <f>IF($BG200="","",INDEX(Calc_Daily!$BJ$2:$BJ$2001,$BG200))</f>
        <v>0</v>
      </c>
      <c r="C200">
        <f>IF($BG200="","",INDEX(Calc_Daily!$BK$2:$BK$2001,$BG200))</f>
        <v>0</v>
      </c>
      <c r="D200">
        <f>IF($BG200="","",INDEX(Calc_Daily!$BL$2:$BL$2001,$BG200))</f>
        <v>0</v>
      </c>
      <c r="E200">
        <f>IF($BG200="","",INDEX(Calc_Daily!$E$2:$E$2001,$BG200))</f>
        <v>0</v>
      </c>
      <c r="F200">
        <f>IF($E200="","",N(F199)+1)</f>
        <v>0</v>
      </c>
      <c r="G200">
        <f>IF(OR($E200="",$E199=""),"",LN($E200/$E199))</f>
        <v>0</v>
      </c>
      <c r="H200">
        <f>IF($E200="","",IF($E199="",$E200,$E200*0.0952380952+H199*0.9047619048))</f>
        <v>0</v>
      </c>
      <c r="I200">
        <f>IF($E200="","",IF($E199="",$E200,$E200*0.0392156863+I199*0.9607843137))</f>
        <v>0</v>
      </c>
      <c r="J200">
        <f>IF($E200="","",IF($E199="",$E200,$E200*0.0198019802+J199*0.9801980198))</f>
        <v>0</v>
      </c>
      <c r="K200">
        <f>IF($E200="","",IF($E199="",$E200,$E200*0.0099502488+K199*0.9900497512))</f>
        <v>0</v>
      </c>
      <c r="L200">
        <f>IF(OR($E200="",$E199=""),"",MAX($E200-$E199,0))</f>
        <v>0</v>
      </c>
      <c r="M200">
        <f>IF(OR($E200="",$E199=""),"",MAX($E199-$E200,0))</f>
        <v>0</v>
      </c>
      <c r="N200">
        <f>IF(COUNT($E$2:$E200)&lt;15,"",IF(AVERAGE($M$187:$M$200)=0,100,100-100/(1+AVERAGE($L$187:$L$200)/AVERAGE($M$187:$M$200))))</f>
        <v>0</v>
      </c>
      <c r="O200">
        <f>IF($E200="","",IF($E199="",$E200,$E200*0.1538461538+O199*0.8461538462))</f>
        <v>0</v>
      </c>
      <c r="P200">
        <f>IF($E200="","",IF($E199="",$E200,$E200*0.0740740741+P199*0.9259259259))</f>
        <v>0</v>
      </c>
      <c r="Q200">
        <f>IF(OR(O200="",P200=""),"",O200-P200)</f>
        <v>0</v>
      </c>
      <c r="R200">
        <f>IF(Q200="","",IF(R199="",Q200,Q200*0.2000000000+R199*0.8000000000))</f>
        <v>0</v>
      </c>
      <c r="S200">
        <f>IF(OR(Q200="",R200=""),"",Q200-R200)</f>
        <v>0</v>
      </c>
      <c r="T200">
        <f>IF(COUNT($E$2:$E200)&lt;14,"",MAX($C$187:$C$200))</f>
        <v>0</v>
      </c>
      <c r="U200">
        <f>IF(COUNT($E$2:$E200)&lt;14,"",MIN($D$187:$D$200))</f>
        <v>0</v>
      </c>
      <c r="V200">
        <f>IF(OR(T200="",U200="",T200=U200),"",100*($E200-U200)/(T200-U200))</f>
        <v>0</v>
      </c>
      <c r="W200">
        <f>IF(COUNT($V$198:$V$200)&lt;3,"",AVERAGE($V$198:$V$200))</f>
        <v>0</v>
      </c>
      <c r="X200">
        <f>IF(COUNT($N$187:$N$200)&lt;14,"",MIN($N$187:$N$200))</f>
        <v>0</v>
      </c>
      <c r="Y200">
        <f>IF(COUNT($N$187:$N$200)&lt;14,"",MAX($N$187:$N$200))</f>
        <v>0</v>
      </c>
      <c r="Z200">
        <f>IF(OR(N200="",X200="",Y200="",Y200=X200),"",100*(N200-X200)/(Y200-X200))</f>
        <v>0</v>
      </c>
      <c r="AA200">
        <f>IF(COUNT($Z$198:$Z$200)&lt;3,"",AVERAGE($Z$198:$Z$200))</f>
        <v>0</v>
      </c>
      <c r="AB200">
        <f>IF(COUNT($AA$198:$AA$200)&lt;3,"",AVERAGE($AA$198:$AA$200))</f>
        <v>0</v>
      </c>
      <c r="AC200">
        <f>IF($E200="","",MAX($C200-$D200,ABS($C200-$E199),ABS($D200-$E199)))</f>
        <v>0</v>
      </c>
      <c r="AD200">
        <f>IF(COUNT($E$2:$E200)&lt;15,"",AVERAGE($AC$187:$AC$200))</f>
        <v>0</v>
      </c>
      <c r="AE200">
        <f>IF(OR($E200="",$E199=""),"",IF(AND(($C200-$C199)&gt;($D199-$D200),($C200-$C199)&gt;0),$C200-$C199,0))</f>
        <v>0</v>
      </c>
      <c r="AF200">
        <f>IF(OR($E200="",$E199=""),"",IF(AND(($D199-$D200)&gt;($C200-$C199),($D199-$D200)&gt;0),$D199-$D200,0))</f>
        <v>0</v>
      </c>
      <c r="AG200">
        <f>IF(COUNT($E$2:$E200)&lt;15,"",IF(SUM($AC$187:$AC$200)=0,0,100*SUM($AE$187:$AE$200)/SUM($AC$187:$AC$200)))</f>
        <v>0</v>
      </c>
      <c r="AH200">
        <f>IF(COUNT($E$2:$E200)&lt;15,"",IF(SUM($AC$187:$AC$200)=0,0,100*SUM($AF$187:$AF$200)/SUM($AC$187:$AC$200)))</f>
        <v>0</v>
      </c>
      <c r="AI200">
        <f>IF(OR(AG200="",AH200=""),"",IF((AG200+AH200)=0,0,100*ABS(AG200-AH200)/(AG200+AH200)))</f>
        <v>0</v>
      </c>
      <c r="AJ200">
        <f>IF(COUNT($AI$187:$AI$200)&lt;14,"",AVERAGE($AI$187:$AI$200))</f>
        <v>0</v>
      </c>
      <c r="AK200">
        <f>IF(COUNT($E$2:$E200)&lt;20,"",AVERAGE($E$181:$E$200))</f>
        <v>0</v>
      </c>
      <c r="AL200">
        <f>IF(COUNT($E$2:$E200)&lt;20,"",STDEVP($E$181:$E$200))</f>
        <v>0</v>
      </c>
      <c r="AM200">
        <f>IF(AK200="","",AK200+2*AL200)</f>
        <v>0</v>
      </c>
      <c r="AN200">
        <f>IF(AK200="","",AK200-2*AL200)</f>
        <v>0</v>
      </c>
      <c r="AO200">
        <f>IF(OR(AM200="",AN200="",AM200=AN200),"",($E200-AN200)/(AM200-AN200))</f>
        <v>0</v>
      </c>
      <c r="AP200">
        <f>IF(OR(AM200="",AK200="",AK200=0),"",(AM200-AN200)/AK200)</f>
        <v>0</v>
      </c>
      <c r="AQ200">
        <f>IF(COUNT($E$2:$E200)&lt;20,"",MAX($C$181:$C$200))</f>
        <v>0</v>
      </c>
      <c r="AR200">
        <f>IF(COUNT($E$2:$E200)&lt;20,"",MIN($D$181:$D$200))</f>
        <v>0</v>
      </c>
      <c r="AS200">
        <f>IF(OR(AQ200="",AR200=""),"",(AQ200+AR200)/2)</f>
        <v>0</v>
      </c>
      <c r="AT200">
        <f>IF(COUNT($G$181:$G$200)&lt;20,"",STDEV($G$181:$G$200)*SQRT(52))</f>
        <v>0</v>
      </c>
      <c r="AU200">
        <f>IF(COUNT($E$2:$E200)&lt;9,"",(MAX($C$192:$C$200)+MIN($D$192:$D$200))/2)</f>
        <v>0</v>
      </c>
      <c r="AV200">
        <f>IF(COUNT($E$2:$E200)&lt;26,"",(MAX($C$175:$C$200)+MIN($D$175:$D$200))/2)</f>
        <v>0</v>
      </c>
      <c r="AW200">
        <f>IF(OR(AU200="",AV200=""),"",(AU200+AV200)/2)</f>
        <v>0</v>
      </c>
      <c r="AX200">
        <f>IF(COUNT($E$2:$E200)&lt;52,"",(MAX($C$149:$C$200)+MIN($D$149:$D$200))/2)</f>
        <v>0</v>
      </c>
      <c r="AY200">
        <f>IF(COUNT($E$2:$E200)&lt;20,"",MAX($C$101:$C$200))</f>
        <v>0</v>
      </c>
      <c r="AZ200">
        <f>IF(COUNT($E$2:$E200)&lt;20,"",MIN($D$101:$D$200))</f>
        <v>0</v>
      </c>
      <c r="BA200">
        <f>IF(COUNT($E$2:$E200)&lt;20,"",SLOPE($E$101:$E$200,$F$101:$F$200))</f>
        <v>0</v>
      </c>
      <c r="BB200">
        <f>IF(COUNT($E$2:$E200)&lt;20,"",INTERCEPT($E$101:$E$200,$F$101:$F$200))</f>
        <v>0</v>
      </c>
      <c r="BC200">
        <f>IF(OR(BA200="",BB200=""),"",BB200+BA200*F200)</f>
        <v>0</v>
      </c>
      <c r="BD200">
        <f>IF(COUNT($E$2:$E200)&lt;20,"",STEYX($E$101:$E$200,$F$101:$F$200))</f>
        <v>0</v>
      </c>
      <c r="BE200">
        <f>IF($E200="","",IF(AND(COUNT($E$201:$E$204)&gt;=4,$C200=MAX($C$196:$C$204)),$C200,""))</f>
        <v>0</v>
      </c>
      <c r="BF200">
        <f>IF($E200="","",IF(AND(COUNT($E$201:$E$204)&gt;=4,$D200=MIN($D$196:$D$204)),$D200,""))</f>
        <v>0</v>
      </c>
      <c r="BG200">
        <f>IFERROR(SMALL(Calc_Daily!$BM$2:$BM$2001,199),"")</f>
        <v>0</v>
      </c>
    </row>
    <row r="201" spans="1:59">
      <c r="A201" s="27">
        <f>IF($BG201="","",INDEX(Calc_Daily!$A$2:$A$2001,$BG201))</f>
        <v>0</v>
      </c>
      <c r="B201">
        <f>IF($BG201="","",INDEX(Calc_Daily!$BJ$2:$BJ$2001,$BG201))</f>
        <v>0</v>
      </c>
      <c r="C201">
        <f>IF($BG201="","",INDEX(Calc_Daily!$BK$2:$BK$2001,$BG201))</f>
        <v>0</v>
      </c>
      <c r="D201">
        <f>IF($BG201="","",INDEX(Calc_Daily!$BL$2:$BL$2001,$BG201))</f>
        <v>0</v>
      </c>
      <c r="E201">
        <f>IF($BG201="","",INDEX(Calc_Daily!$E$2:$E$2001,$BG201))</f>
        <v>0</v>
      </c>
      <c r="F201">
        <f>IF($E201="","",N(F200)+1)</f>
        <v>0</v>
      </c>
      <c r="G201">
        <f>IF(OR($E201="",$E200=""),"",LN($E201/$E200))</f>
        <v>0</v>
      </c>
      <c r="H201">
        <f>IF($E201="","",IF($E200="",$E201,$E201*0.0952380952+H200*0.9047619048))</f>
        <v>0</v>
      </c>
      <c r="I201">
        <f>IF($E201="","",IF($E200="",$E201,$E201*0.0392156863+I200*0.9607843137))</f>
        <v>0</v>
      </c>
      <c r="J201">
        <f>IF($E201="","",IF($E200="",$E201,$E201*0.0198019802+J200*0.9801980198))</f>
        <v>0</v>
      </c>
      <c r="K201">
        <f>IF($E201="","",IF($E200="",$E201,$E201*0.0099502488+K200*0.9900497512))</f>
        <v>0</v>
      </c>
      <c r="L201">
        <f>IF(OR($E201="",$E200=""),"",MAX($E201-$E200,0))</f>
        <v>0</v>
      </c>
      <c r="M201">
        <f>IF(OR($E201="",$E200=""),"",MAX($E200-$E201,0))</f>
        <v>0</v>
      </c>
      <c r="N201">
        <f>IF(COUNT($E$2:$E201)&lt;15,"",IF(AVERAGE($M$188:$M$201)=0,100,100-100/(1+AVERAGE($L$188:$L$201)/AVERAGE($M$188:$M$201))))</f>
        <v>0</v>
      </c>
      <c r="O201">
        <f>IF($E201="","",IF($E200="",$E201,$E201*0.1538461538+O200*0.8461538462))</f>
        <v>0</v>
      </c>
      <c r="P201">
        <f>IF($E201="","",IF($E200="",$E201,$E201*0.0740740741+P200*0.9259259259))</f>
        <v>0</v>
      </c>
      <c r="Q201">
        <f>IF(OR(O201="",P201=""),"",O201-P201)</f>
        <v>0</v>
      </c>
      <c r="R201">
        <f>IF(Q201="","",IF(R200="",Q201,Q201*0.2000000000+R200*0.8000000000))</f>
        <v>0</v>
      </c>
      <c r="S201">
        <f>IF(OR(Q201="",R201=""),"",Q201-R201)</f>
        <v>0</v>
      </c>
      <c r="T201">
        <f>IF(COUNT($E$2:$E201)&lt;14,"",MAX($C$188:$C$201))</f>
        <v>0</v>
      </c>
      <c r="U201">
        <f>IF(COUNT($E$2:$E201)&lt;14,"",MIN($D$188:$D$201))</f>
        <v>0</v>
      </c>
      <c r="V201">
        <f>IF(OR(T201="",U201="",T201=U201),"",100*($E201-U201)/(T201-U201))</f>
        <v>0</v>
      </c>
      <c r="W201">
        <f>IF(COUNT($V$199:$V$201)&lt;3,"",AVERAGE($V$199:$V$201))</f>
        <v>0</v>
      </c>
      <c r="X201">
        <f>IF(COUNT($N$188:$N$201)&lt;14,"",MIN($N$188:$N$201))</f>
        <v>0</v>
      </c>
      <c r="Y201">
        <f>IF(COUNT($N$188:$N$201)&lt;14,"",MAX($N$188:$N$201))</f>
        <v>0</v>
      </c>
      <c r="Z201">
        <f>IF(OR(N201="",X201="",Y201="",Y201=X201),"",100*(N201-X201)/(Y201-X201))</f>
        <v>0</v>
      </c>
      <c r="AA201">
        <f>IF(COUNT($Z$199:$Z$201)&lt;3,"",AVERAGE($Z$199:$Z$201))</f>
        <v>0</v>
      </c>
      <c r="AB201">
        <f>IF(COUNT($AA$199:$AA$201)&lt;3,"",AVERAGE($AA$199:$AA$201))</f>
        <v>0</v>
      </c>
      <c r="AC201">
        <f>IF($E201="","",MAX($C201-$D201,ABS($C201-$E200),ABS($D201-$E200)))</f>
        <v>0</v>
      </c>
      <c r="AD201">
        <f>IF(COUNT($E$2:$E201)&lt;15,"",AVERAGE($AC$188:$AC$201))</f>
        <v>0</v>
      </c>
      <c r="AE201">
        <f>IF(OR($E201="",$E200=""),"",IF(AND(($C201-$C200)&gt;($D200-$D201),($C201-$C200)&gt;0),$C201-$C200,0))</f>
        <v>0</v>
      </c>
      <c r="AF201">
        <f>IF(OR($E201="",$E200=""),"",IF(AND(($D200-$D201)&gt;($C201-$C200),($D200-$D201)&gt;0),$D200-$D201,0))</f>
        <v>0</v>
      </c>
      <c r="AG201">
        <f>IF(COUNT($E$2:$E201)&lt;15,"",IF(SUM($AC$188:$AC$201)=0,0,100*SUM($AE$188:$AE$201)/SUM($AC$188:$AC$201)))</f>
        <v>0</v>
      </c>
      <c r="AH201">
        <f>IF(COUNT($E$2:$E201)&lt;15,"",IF(SUM($AC$188:$AC$201)=0,0,100*SUM($AF$188:$AF$201)/SUM($AC$188:$AC$201)))</f>
        <v>0</v>
      </c>
      <c r="AI201">
        <f>IF(OR(AG201="",AH201=""),"",IF((AG201+AH201)=0,0,100*ABS(AG201-AH201)/(AG201+AH201)))</f>
        <v>0</v>
      </c>
      <c r="AJ201">
        <f>IF(COUNT($AI$188:$AI$201)&lt;14,"",AVERAGE($AI$188:$AI$201))</f>
        <v>0</v>
      </c>
      <c r="AK201">
        <f>IF(COUNT($E$2:$E201)&lt;20,"",AVERAGE($E$182:$E$201))</f>
        <v>0</v>
      </c>
      <c r="AL201">
        <f>IF(COUNT($E$2:$E201)&lt;20,"",STDEVP($E$182:$E$201))</f>
        <v>0</v>
      </c>
      <c r="AM201">
        <f>IF(AK201="","",AK201+2*AL201)</f>
        <v>0</v>
      </c>
      <c r="AN201">
        <f>IF(AK201="","",AK201-2*AL201)</f>
        <v>0</v>
      </c>
      <c r="AO201">
        <f>IF(OR(AM201="",AN201="",AM201=AN201),"",($E201-AN201)/(AM201-AN201))</f>
        <v>0</v>
      </c>
      <c r="AP201">
        <f>IF(OR(AM201="",AK201="",AK201=0),"",(AM201-AN201)/AK201)</f>
        <v>0</v>
      </c>
      <c r="AQ201">
        <f>IF(COUNT($E$2:$E201)&lt;20,"",MAX($C$182:$C$201))</f>
        <v>0</v>
      </c>
      <c r="AR201">
        <f>IF(COUNT($E$2:$E201)&lt;20,"",MIN($D$182:$D$201))</f>
        <v>0</v>
      </c>
      <c r="AS201">
        <f>IF(OR(AQ201="",AR201=""),"",(AQ201+AR201)/2)</f>
        <v>0</v>
      </c>
      <c r="AT201">
        <f>IF(COUNT($G$182:$G$201)&lt;20,"",STDEV($G$182:$G$201)*SQRT(52))</f>
        <v>0</v>
      </c>
      <c r="AU201">
        <f>IF(COUNT($E$2:$E201)&lt;9,"",(MAX($C$193:$C$201)+MIN($D$193:$D$201))/2)</f>
        <v>0</v>
      </c>
      <c r="AV201">
        <f>IF(COUNT($E$2:$E201)&lt;26,"",(MAX($C$176:$C$201)+MIN($D$176:$D$201))/2)</f>
        <v>0</v>
      </c>
      <c r="AW201">
        <f>IF(OR(AU201="",AV201=""),"",(AU201+AV201)/2)</f>
        <v>0</v>
      </c>
      <c r="AX201">
        <f>IF(COUNT($E$2:$E201)&lt;52,"",(MAX($C$150:$C$201)+MIN($D$150:$D$201))/2)</f>
        <v>0</v>
      </c>
      <c r="AY201">
        <f>IF(COUNT($E$2:$E201)&lt;20,"",MAX($C$102:$C$201))</f>
        <v>0</v>
      </c>
      <c r="AZ201">
        <f>IF(COUNT($E$2:$E201)&lt;20,"",MIN($D$102:$D$201))</f>
        <v>0</v>
      </c>
      <c r="BA201">
        <f>IF(COUNT($E$2:$E201)&lt;20,"",SLOPE($E$102:$E$201,$F$102:$F$201))</f>
        <v>0</v>
      </c>
      <c r="BB201">
        <f>IF(COUNT($E$2:$E201)&lt;20,"",INTERCEPT($E$102:$E$201,$F$102:$F$201))</f>
        <v>0</v>
      </c>
      <c r="BC201">
        <f>IF(OR(BA201="",BB201=""),"",BB201+BA201*F201)</f>
        <v>0</v>
      </c>
      <c r="BD201">
        <f>IF(COUNT($E$2:$E201)&lt;20,"",STEYX($E$102:$E$201,$F$102:$F$201))</f>
        <v>0</v>
      </c>
      <c r="BE201">
        <f>IF($E201="","",IF(AND(COUNT($E$202:$E$205)&gt;=4,$C201=MAX($C$197:$C$205)),$C201,""))</f>
        <v>0</v>
      </c>
      <c r="BF201">
        <f>IF($E201="","",IF(AND(COUNT($E$202:$E$205)&gt;=4,$D201=MIN($D$197:$D$205)),$D201,""))</f>
        <v>0</v>
      </c>
      <c r="BG201">
        <f>IFERROR(SMALL(Calc_Daily!$BM$2:$BM$2001,200),"")</f>
        <v>0</v>
      </c>
    </row>
    <row r="202" spans="1:59">
      <c r="A202" s="27">
        <f>IF($BG202="","",INDEX(Calc_Daily!$A$2:$A$2001,$BG202))</f>
        <v>0</v>
      </c>
      <c r="B202">
        <f>IF($BG202="","",INDEX(Calc_Daily!$BJ$2:$BJ$2001,$BG202))</f>
        <v>0</v>
      </c>
      <c r="C202">
        <f>IF($BG202="","",INDEX(Calc_Daily!$BK$2:$BK$2001,$BG202))</f>
        <v>0</v>
      </c>
      <c r="D202">
        <f>IF($BG202="","",INDEX(Calc_Daily!$BL$2:$BL$2001,$BG202))</f>
        <v>0</v>
      </c>
      <c r="E202">
        <f>IF($BG202="","",INDEX(Calc_Daily!$E$2:$E$2001,$BG202))</f>
        <v>0</v>
      </c>
      <c r="F202">
        <f>IF($E202="","",N(F201)+1)</f>
        <v>0</v>
      </c>
      <c r="G202">
        <f>IF(OR($E202="",$E201=""),"",LN($E202/$E201))</f>
        <v>0</v>
      </c>
      <c r="H202">
        <f>IF($E202="","",IF($E201="",$E202,$E202*0.0952380952+H201*0.9047619048))</f>
        <v>0</v>
      </c>
      <c r="I202">
        <f>IF($E202="","",IF($E201="",$E202,$E202*0.0392156863+I201*0.9607843137))</f>
        <v>0</v>
      </c>
      <c r="J202">
        <f>IF($E202="","",IF($E201="",$E202,$E202*0.0198019802+J201*0.9801980198))</f>
        <v>0</v>
      </c>
      <c r="K202">
        <f>IF($E202="","",IF($E201="",$E202,$E202*0.0099502488+K201*0.9900497512))</f>
        <v>0</v>
      </c>
      <c r="L202">
        <f>IF(OR($E202="",$E201=""),"",MAX($E202-$E201,0))</f>
        <v>0</v>
      </c>
      <c r="M202">
        <f>IF(OR($E202="",$E201=""),"",MAX($E201-$E202,0))</f>
        <v>0</v>
      </c>
      <c r="N202">
        <f>IF(COUNT($E$2:$E202)&lt;15,"",IF(AVERAGE($M$189:$M$202)=0,100,100-100/(1+AVERAGE($L$189:$L$202)/AVERAGE($M$189:$M$202))))</f>
        <v>0</v>
      </c>
      <c r="O202">
        <f>IF($E202="","",IF($E201="",$E202,$E202*0.1538461538+O201*0.8461538462))</f>
        <v>0</v>
      </c>
      <c r="P202">
        <f>IF($E202="","",IF($E201="",$E202,$E202*0.0740740741+P201*0.9259259259))</f>
        <v>0</v>
      </c>
      <c r="Q202">
        <f>IF(OR(O202="",P202=""),"",O202-P202)</f>
        <v>0</v>
      </c>
      <c r="R202">
        <f>IF(Q202="","",IF(R201="",Q202,Q202*0.2000000000+R201*0.8000000000))</f>
        <v>0</v>
      </c>
      <c r="S202">
        <f>IF(OR(Q202="",R202=""),"",Q202-R202)</f>
        <v>0</v>
      </c>
      <c r="T202">
        <f>IF(COUNT($E$2:$E202)&lt;14,"",MAX($C$189:$C$202))</f>
        <v>0</v>
      </c>
      <c r="U202">
        <f>IF(COUNT($E$2:$E202)&lt;14,"",MIN($D$189:$D$202))</f>
        <v>0</v>
      </c>
      <c r="V202">
        <f>IF(OR(T202="",U202="",T202=U202),"",100*($E202-U202)/(T202-U202))</f>
        <v>0</v>
      </c>
      <c r="W202">
        <f>IF(COUNT($V$200:$V$202)&lt;3,"",AVERAGE($V$200:$V$202))</f>
        <v>0</v>
      </c>
      <c r="X202">
        <f>IF(COUNT($N$189:$N$202)&lt;14,"",MIN($N$189:$N$202))</f>
        <v>0</v>
      </c>
      <c r="Y202">
        <f>IF(COUNT($N$189:$N$202)&lt;14,"",MAX($N$189:$N$202))</f>
        <v>0</v>
      </c>
      <c r="Z202">
        <f>IF(OR(N202="",X202="",Y202="",Y202=X202),"",100*(N202-X202)/(Y202-X202))</f>
        <v>0</v>
      </c>
      <c r="AA202">
        <f>IF(COUNT($Z$200:$Z$202)&lt;3,"",AVERAGE($Z$200:$Z$202))</f>
        <v>0</v>
      </c>
      <c r="AB202">
        <f>IF(COUNT($AA$200:$AA$202)&lt;3,"",AVERAGE($AA$200:$AA$202))</f>
        <v>0</v>
      </c>
      <c r="AC202">
        <f>IF($E202="","",MAX($C202-$D202,ABS($C202-$E201),ABS($D202-$E201)))</f>
        <v>0</v>
      </c>
      <c r="AD202">
        <f>IF(COUNT($E$2:$E202)&lt;15,"",AVERAGE($AC$189:$AC$202))</f>
        <v>0</v>
      </c>
      <c r="AE202">
        <f>IF(OR($E202="",$E201=""),"",IF(AND(($C202-$C201)&gt;($D201-$D202),($C202-$C201)&gt;0),$C202-$C201,0))</f>
        <v>0</v>
      </c>
      <c r="AF202">
        <f>IF(OR($E202="",$E201=""),"",IF(AND(($D201-$D202)&gt;($C202-$C201),($D201-$D202)&gt;0),$D201-$D202,0))</f>
        <v>0</v>
      </c>
      <c r="AG202">
        <f>IF(COUNT($E$2:$E202)&lt;15,"",IF(SUM($AC$189:$AC$202)=0,0,100*SUM($AE$189:$AE$202)/SUM($AC$189:$AC$202)))</f>
        <v>0</v>
      </c>
      <c r="AH202">
        <f>IF(COUNT($E$2:$E202)&lt;15,"",IF(SUM($AC$189:$AC$202)=0,0,100*SUM($AF$189:$AF$202)/SUM($AC$189:$AC$202)))</f>
        <v>0</v>
      </c>
      <c r="AI202">
        <f>IF(OR(AG202="",AH202=""),"",IF((AG202+AH202)=0,0,100*ABS(AG202-AH202)/(AG202+AH202)))</f>
        <v>0</v>
      </c>
      <c r="AJ202">
        <f>IF(COUNT($AI$189:$AI$202)&lt;14,"",AVERAGE($AI$189:$AI$202))</f>
        <v>0</v>
      </c>
      <c r="AK202">
        <f>IF(COUNT($E$2:$E202)&lt;20,"",AVERAGE($E$183:$E$202))</f>
        <v>0</v>
      </c>
      <c r="AL202">
        <f>IF(COUNT($E$2:$E202)&lt;20,"",STDEVP($E$183:$E$202))</f>
        <v>0</v>
      </c>
      <c r="AM202">
        <f>IF(AK202="","",AK202+2*AL202)</f>
        <v>0</v>
      </c>
      <c r="AN202">
        <f>IF(AK202="","",AK202-2*AL202)</f>
        <v>0</v>
      </c>
      <c r="AO202">
        <f>IF(OR(AM202="",AN202="",AM202=AN202),"",($E202-AN202)/(AM202-AN202))</f>
        <v>0</v>
      </c>
      <c r="AP202">
        <f>IF(OR(AM202="",AK202="",AK202=0),"",(AM202-AN202)/AK202)</f>
        <v>0</v>
      </c>
      <c r="AQ202">
        <f>IF(COUNT($E$2:$E202)&lt;20,"",MAX($C$183:$C$202))</f>
        <v>0</v>
      </c>
      <c r="AR202">
        <f>IF(COUNT($E$2:$E202)&lt;20,"",MIN($D$183:$D$202))</f>
        <v>0</v>
      </c>
      <c r="AS202">
        <f>IF(OR(AQ202="",AR202=""),"",(AQ202+AR202)/2)</f>
        <v>0</v>
      </c>
      <c r="AT202">
        <f>IF(COUNT($G$183:$G$202)&lt;20,"",STDEV($G$183:$G$202)*SQRT(52))</f>
        <v>0</v>
      </c>
      <c r="AU202">
        <f>IF(COUNT($E$2:$E202)&lt;9,"",(MAX($C$194:$C$202)+MIN($D$194:$D$202))/2)</f>
        <v>0</v>
      </c>
      <c r="AV202">
        <f>IF(COUNT($E$2:$E202)&lt;26,"",(MAX($C$177:$C$202)+MIN($D$177:$D$202))/2)</f>
        <v>0</v>
      </c>
      <c r="AW202">
        <f>IF(OR(AU202="",AV202=""),"",(AU202+AV202)/2)</f>
        <v>0</v>
      </c>
      <c r="AX202">
        <f>IF(COUNT($E$2:$E202)&lt;52,"",(MAX($C$151:$C$202)+MIN($D$151:$D$202))/2)</f>
        <v>0</v>
      </c>
      <c r="AY202">
        <f>IF(COUNT($E$2:$E202)&lt;20,"",MAX($C$103:$C$202))</f>
        <v>0</v>
      </c>
      <c r="AZ202">
        <f>IF(COUNT($E$2:$E202)&lt;20,"",MIN($D$103:$D$202))</f>
        <v>0</v>
      </c>
      <c r="BA202">
        <f>IF(COUNT($E$2:$E202)&lt;20,"",SLOPE($E$103:$E$202,$F$103:$F$202))</f>
        <v>0</v>
      </c>
      <c r="BB202">
        <f>IF(COUNT($E$2:$E202)&lt;20,"",INTERCEPT($E$103:$E$202,$F$103:$F$202))</f>
        <v>0</v>
      </c>
      <c r="BC202">
        <f>IF(OR(BA202="",BB202=""),"",BB202+BA202*F202)</f>
        <v>0</v>
      </c>
      <c r="BD202">
        <f>IF(COUNT($E$2:$E202)&lt;20,"",STEYX($E$103:$E$202,$F$103:$F$202))</f>
        <v>0</v>
      </c>
      <c r="BE202">
        <f>IF($E202="","",IF(AND(COUNT($E$203:$E$206)&gt;=4,$C202=MAX($C$198:$C$206)),$C202,""))</f>
        <v>0</v>
      </c>
      <c r="BF202">
        <f>IF($E202="","",IF(AND(COUNT($E$203:$E$206)&gt;=4,$D202=MIN($D$198:$D$206)),$D202,""))</f>
        <v>0</v>
      </c>
      <c r="BG202">
        <f>IFERROR(SMALL(Calc_Daily!$BM$2:$BM$2001,201),"")</f>
        <v>0</v>
      </c>
    </row>
    <row r="203" spans="1:59">
      <c r="A203" s="27">
        <f>IF($BG203="","",INDEX(Calc_Daily!$A$2:$A$2001,$BG203))</f>
        <v>0</v>
      </c>
      <c r="B203">
        <f>IF($BG203="","",INDEX(Calc_Daily!$BJ$2:$BJ$2001,$BG203))</f>
        <v>0</v>
      </c>
      <c r="C203">
        <f>IF($BG203="","",INDEX(Calc_Daily!$BK$2:$BK$2001,$BG203))</f>
        <v>0</v>
      </c>
      <c r="D203">
        <f>IF($BG203="","",INDEX(Calc_Daily!$BL$2:$BL$2001,$BG203))</f>
        <v>0</v>
      </c>
      <c r="E203">
        <f>IF($BG203="","",INDEX(Calc_Daily!$E$2:$E$2001,$BG203))</f>
        <v>0</v>
      </c>
      <c r="F203">
        <f>IF($E203="","",N(F202)+1)</f>
        <v>0</v>
      </c>
      <c r="G203">
        <f>IF(OR($E203="",$E202=""),"",LN($E203/$E202))</f>
        <v>0</v>
      </c>
      <c r="H203">
        <f>IF($E203="","",IF($E202="",$E203,$E203*0.0952380952+H202*0.9047619048))</f>
        <v>0</v>
      </c>
      <c r="I203">
        <f>IF($E203="","",IF($E202="",$E203,$E203*0.0392156863+I202*0.9607843137))</f>
        <v>0</v>
      </c>
      <c r="J203">
        <f>IF($E203="","",IF($E202="",$E203,$E203*0.0198019802+J202*0.9801980198))</f>
        <v>0</v>
      </c>
      <c r="K203">
        <f>IF($E203="","",IF($E202="",$E203,$E203*0.0099502488+K202*0.9900497512))</f>
        <v>0</v>
      </c>
      <c r="L203">
        <f>IF(OR($E203="",$E202=""),"",MAX($E203-$E202,0))</f>
        <v>0</v>
      </c>
      <c r="M203">
        <f>IF(OR($E203="",$E202=""),"",MAX($E202-$E203,0))</f>
        <v>0</v>
      </c>
      <c r="N203">
        <f>IF(COUNT($E$2:$E203)&lt;15,"",IF(AVERAGE($M$190:$M$203)=0,100,100-100/(1+AVERAGE($L$190:$L$203)/AVERAGE($M$190:$M$203))))</f>
        <v>0</v>
      </c>
      <c r="O203">
        <f>IF($E203="","",IF($E202="",$E203,$E203*0.1538461538+O202*0.8461538462))</f>
        <v>0</v>
      </c>
      <c r="P203">
        <f>IF($E203="","",IF($E202="",$E203,$E203*0.0740740741+P202*0.9259259259))</f>
        <v>0</v>
      </c>
      <c r="Q203">
        <f>IF(OR(O203="",P203=""),"",O203-P203)</f>
        <v>0</v>
      </c>
      <c r="R203">
        <f>IF(Q203="","",IF(R202="",Q203,Q203*0.2000000000+R202*0.8000000000))</f>
        <v>0</v>
      </c>
      <c r="S203">
        <f>IF(OR(Q203="",R203=""),"",Q203-R203)</f>
        <v>0</v>
      </c>
      <c r="T203">
        <f>IF(COUNT($E$2:$E203)&lt;14,"",MAX($C$190:$C$203))</f>
        <v>0</v>
      </c>
      <c r="U203">
        <f>IF(COUNT($E$2:$E203)&lt;14,"",MIN($D$190:$D$203))</f>
        <v>0</v>
      </c>
      <c r="V203">
        <f>IF(OR(T203="",U203="",T203=U203),"",100*($E203-U203)/(T203-U203))</f>
        <v>0</v>
      </c>
      <c r="W203">
        <f>IF(COUNT($V$201:$V$203)&lt;3,"",AVERAGE($V$201:$V$203))</f>
        <v>0</v>
      </c>
      <c r="X203">
        <f>IF(COUNT($N$190:$N$203)&lt;14,"",MIN($N$190:$N$203))</f>
        <v>0</v>
      </c>
      <c r="Y203">
        <f>IF(COUNT($N$190:$N$203)&lt;14,"",MAX($N$190:$N$203))</f>
        <v>0</v>
      </c>
      <c r="Z203">
        <f>IF(OR(N203="",X203="",Y203="",Y203=X203),"",100*(N203-X203)/(Y203-X203))</f>
        <v>0</v>
      </c>
      <c r="AA203">
        <f>IF(COUNT($Z$201:$Z$203)&lt;3,"",AVERAGE($Z$201:$Z$203))</f>
        <v>0</v>
      </c>
      <c r="AB203">
        <f>IF(COUNT($AA$201:$AA$203)&lt;3,"",AVERAGE($AA$201:$AA$203))</f>
        <v>0</v>
      </c>
      <c r="AC203">
        <f>IF($E203="","",MAX($C203-$D203,ABS($C203-$E202),ABS($D203-$E202)))</f>
        <v>0</v>
      </c>
      <c r="AD203">
        <f>IF(COUNT($E$2:$E203)&lt;15,"",AVERAGE($AC$190:$AC$203))</f>
        <v>0</v>
      </c>
      <c r="AE203">
        <f>IF(OR($E203="",$E202=""),"",IF(AND(($C203-$C202)&gt;($D202-$D203),($C203-$C202)&gt;0),$C203-$C202,0))</f>
        <v>0</v>
      </c>
      <c r="AF203">
        <f>IF(OR($E203="",$E202=""),"",IF(AND(($D202-$D203)&gt;($C203-$C202),($D202-$D203)&gt;0),$D202-$D203,0))</f>
        <v>0</v>
      </c>
      <c r="AG203">
        <f>IF(COUNT($E$2:$E203)&lt;15,"",IF(SUM($AC$190:$AC$203)=0,0,100*SUM($AE$190:$AE$203)/SUM($AC$190:$AC$203)))</f>
        <v>0</v>
      </c>
      <c r="AH203">
        <f>IF(COUNT($E$2:$E203)&lt;15,"",IF(SUM($AC$190:$AC$203)=0,0,100*SUM($AF$190:$AF$203)/SUM($AC$190:$AC$203)))</f>
        <v>0</v>
      </c>
      <c r="AI203">
        <f>IF(OR(AG203="",AH203=""),"",IF((AG203+AH203)=0,0,100*ABS(AG203-AH203)/(AG203+AH203)))</f>
        <v>0</v>
      </c>
      <c r="AJ203">
        <f>IF(COUNT($AI$190:$AI$203)&lt;14,"",AVERAGE($AI$190:$AI$203))</f>
        <v>0</v>
      </c>
      <c r="AK203">
        <f>IF(COUNT($E$2:$E203)&lt;20,"",AVERAGE($E$184:$E$203))</f>
        <v>0</v>
      </c>
      <c r="AL203">
        <f>IF(COUNT($E$2:$E203)&lt;20,"",STDEVP($E$184:$E$203))</f>
        <v>0</v>
      </c>
      <c r="AM203">
        <f>IF(AK203="","",AK203+2*AL203)</f>
        <v>0</v>
      </c>
      <c r="AN203">
        <f>IF(AK203="","",AK203-2*AL203)</f>
        <v>0</v>
      </c>
      <c r="AO203">
        <f>IF(OR(AM203="",AN203="",AM203=AN203),"",($E203-AN203)/(AM203-AN203))</f>
        <v>0</v>
      </c>
      <c r="AP203">
        <f>IF(OR(AM203="",AK203="",AK203=0),"",(AM203-AN203)/AK203)</f>
        <v>0</v>
      </c>
      <c r="AQ203">
        <f>IF(COUNT($E$2:$E203)&lt;20,"",MAX($C$184:$C$203))</f>
        <v>0</v>
      </c>
      <c r="AR203">
        <f>IF(COUNT($E$2:$E203)&lt;20,"",MIN($D$184:$D$203))</f>
        <v>0</v>
      </c>
      <c r="AS203">
        <f>IF(OR(AQ203="",AR203=""),"",(AQ203+AR203)/2)</f>
        <v>0</v>
      </c>
      <c r="AT203">
        <f>IF(COUNT($G$184:$G$203)&lt;20,"",STDEV($G$184:$G$203)*SQRT(52))</f>
        <v>0</v>
      </c>
      <c r="AU203">
        <f>IF(COUNT($E$2:$E203)&lt;9,"",(MAX($C$195:$C$203)+MIN($D$195:$D$203))/2)</f>
        <v>0</v>
      </c>
      <c r="AV203">
        <f>IF(COUNT($E$2:$E203)&lt;26,"",(MAX($C$178:$C$203)+MIN($D$178:$D$203))/2)</f>
        <v>0</v>
      </c>
      <c r="AW203">
        <f>IF(OR(AU203="",AV203=""),"",(AU203+AV203)/2)</f>
        <v>0</v>
      </c>
      <c r="AX203">
        <f>IF(COUNT($E$2:$E203)&lt;52,"",(MAX($C$152:$C$203)+MIN($D$152:$D$203))/2)</f>
        <v>0</v>
      </c>
      <c r="AY203">
        <f>IF(COUNT($E$2:$E203)&lt;20,"",MAX($C$104:$C$203))</f>
        <v>0</v>
      </c>
      <c r="AZ203">
        <f>IF(COUNT($E$2:$E203)&lt;20,"",MIN($D$104:$D$203))</f>
        <v>0</v>
      </c>
      <c r="BA203">
        <f>IF(COUNT($E$2:$E203)&lt;20,"",SLOPE($E$104:$E$203,$F$104:$F$203))</f>
        <v>0</v>
      </c>
      <c r="BB203">
        <f>IF(COUNT($E$2:$E203)&lt;20,"",INTERCEPT($E$104:$E$203,$F$104:$F$203))</f>
        <v>0</v>
      </c>
      <c r="BC203">
        <f>IF(OR(BA203="",BB203=""),"",BB203+BA203*F203)</f>
        <v>0</v>
      </c>
      <c r="BD203">
        <f>IF(COUNT($E$2:$E203)&lt;20,"",STEYX($E$104:$E$203,$F$104:$F$203))</f>
        <v>0</v>
      </c>
      <c r="BE203">
        <f>IF($E203="","",IF(AND(COUNT($E$204:$E$207)&gt;=4,$C203=MAX($C$199:$C$207)),$C203,""))</f>
        <v>0</v>
      </c>
      <c r="BF203">
        <f>IF($E203="","",IF(AND(COUNT($E$204:$E$207)&gt;=4,$D203=MIN($D$199:$D$207)),$D203,""))</f>
        <v>0</v>
      </c>
      <c r="BG203">
        <f>IFERROR(SMALL(Calc_Daily!$BM$2:$BM$2001,202),"")</f>
        <v>0</v>
      </c>
    </row>
    <row r="204" spans="1:59">
      <c r="A204" s="27">
        <f>IF($BG204="","",INDEX(Calc_Daily!$A$2:$A$2001,$BG204))</f>
        <v>0</v>
      </c>
      <c r="B204">
        <f>IF($BG204="","",INDEX(Calc_Daily!$BJ$2:$BJ$2001,$BG204))</f>
        <v>0</v>
      </c>
      <c r="C204">
        <f>IF($BG204="","",INDEX(Calc_Daily!$BK$2:$BK$2001,$BG204))</f>
        <v>0</v>
      </c>
      <c r="D204">
        <f>IF($BG204="","",INDEX(Calc_Daily!$BL$2:$BL$2001,$BG204))</f>
        <v>0</v>
      </c>
      <c r="E204">
        <f>IF($BG204="","",INDEX(Calc_Daily!$E$2:$E$2001,$BG204))</f>
        <v>0</v>
      </c>
      <c r="F204">
        <f>IF($E204="","",N(F203)+1)</f>
        <v>0</v>
      </c>
      <c r="G204">
        <f>IF(OR($E204="",$E203=""),"",LN($E204/$E203))</f>
        <v>0</v>
      </c>
      <c r="H204">
        <f>IF($E204="","",IF($E203="",$E204,$E204*0.0952380952+H203*0.9047619048))</f>
        <v>0</v>
      </c>
      <c r="I204">
        <f>IF($E204="","",IF($E203="",$E204,$E204*0.0392156863+I203*0.9607843137))</f>
        <v>0</v>
      </c>
      <c r="J204">
        <f>IF($E204="","",IF($E203="",$E204,$E204*0.0198019802+J203*0.9801980198))</f>
        <v>0</v>
      </c>
      <c r="K204">
        <f>IF($E204="","",IF($E203="",$E204,$E204*0.0099502488+K203*0.9900497512))</f>
        <v>0</v>
      </c>
      <c r="L204">
        <f>IF(OR($E204="",$E203=""),"",MAX($E204-$E203,0))</f>
        <v>0</v>
      </c>
      <c r="M204">
        <f>IF(OR($E204="",$E203=""),"",MAX($E203-$E204,0))</f>
        <v>0</v>
      </c>
      <c r="N204">
        <f>IF(COUNT($E$2:$E204)&lt;15,"",IF(AVERAGE($M$191:$M$204)=0,100,100-100/(1+AVERAGE($L$191:$L$204)/AVERAGE($M$191:$M$204))))</f>
        <v>0</v>
      </c>
      <c r="O204">
        <f>IF($E204="","",IF($E203="",$E204,$E204*0.1538461538+O203*0.8461538462))</f>
        <v>0</v>
      </c>
      <c r="P204">
        <f>IF($E204="","",IF($E203="",$E204,$E204*0.0740740741+P203*0.9259259259))</f>
        <v>0</v>
      </c>
      <c r="Q204">
        <f>IF(OR(O204="",P204=""),"",O204-P204)</f>
        <v>0</v>
      </c>
      <c r="R204">
        <f>IF(Q204="","",IF(R203="",Q204,Q204*0.2000000000+R203*0.8000000000))</f>
        <v>0</v>
      </c>
      <c r="S204">
        <f>IF(OR(Q204="",R204=""),"",Q204-R204)</f>
        <v>0</v>
      </c>
      <c r="T204">
        <f>IF(COUNT($E$2:$E204)&lt;14,"",MAX($C$191:$C$204))</f>
        <v>0</v>
      </c>
      <c r="U204">
        <f>IF(COUNT($E$2:$E204)&lt;14,"",MIN($D$191:$D$204))</f>
        <v>0</v>
      </c>
      <c r="V204">
        <f>IF(OR(T204="",U204="",T204=U204),"",100*($E204-U204)/(T204-U204))</f>
        <v>0</v>
      </c>
      <c r="W204">
        <f>IF(COUNT($V$202:$V$204)&lt;3,"",AVERAGE($V$202:$V$204))</f>
        <v>0</v>
      </c>
      <c r="X204">
        <f>IF(COUNT($N$191:$N$204)&lt;14,"",MIN($N$191:$N$204))</f>
        <v>0</v>
      </c>
      <c r="Y204">
        <f>IF(COUNT($N$191:$N$204)&lt;14,"",MAX($N$191:$N$204))</f>
        <v>0</v>
      </c>
      <c r="Z204">
        <f>IF(OR(N204="",X204="",Y204="",Y204=X204),"",100*(N204-X204)/(Y204-X204))</f>
        <v>0</v>
      </c>
      <c r="AA204">
        <f>IF(COUNT($Z$202:$Z$204)&lt;3,"",AVERAGE($Z$202:$Z$204))</f>
        <v>0</v>
      </c>
      <c r="AB204">
        <f>IF(COUNT($AA$202:$AA$204)&lt;3,"",AVERAGE($AA$202:$AA$204))</f>
        <v>0</v>
      </c>
      <c r="AC204">
        <f>IF($E204="","",MAX($C204-$D204,ABS($C204-$E203),ABS($D204-$E203)))</f>
        <v>0</v>
      </c>
      <c r="AD204">
        <f>IF(COUNT($E$2:$E204)&lt;15,"",AVERAGE($AC$191:$AC$204))</f>
        <v>0</v>
      </c>
      <c r="AE204">
        <f>IF(OR($E204="",$E203=""),"",IF(AND(($C204-$C203)&gt;($D203-$D204),($C204-$C203)&gt;0),$C204-$C203,0))</f>
        <v>0</v>
      </c>
      <c r="AF204">
        <f>IF(OR($E204="",$E203=""),"",IF(AND(($D203-$D204)&gt;($C204-$C203),($D203-$D204)&gt;0),$D203-$D204,0))</f>
        <v>0</v>
      </c>
      <c r="AG204">
        <f>IF(COUNT($E$2:$E204)&lt;15,"",IF(SUM($AC$191:$AC$204)=0,0,100*SUM($AE$191:$AE$204)/SUM($AC$191:$AC$204)))</f>
        <v>0</v>
      </c>
      <c r="AH204">
        <f>IF(COUNT($E$2:$E204)&lt;15,"",IF(SUM($AC$191:$AC$204)=0,0,100*SUM($AF$191:$AF$204)/SUM($AC$191:$AC$204)))</f>
        <v>0</v>
      </c>
      <c r="AI204">
        <f>IF(OR(AG204="",AH204=""),"",IF((AG204+AH204)=0,0,100*ABS(AG204-AH204)/(AG204+AH204)))</f>
        <v>0</v>
      </c>
      <c r="AJ204">
        <f>IF(COUNT($AI$191:$AI$204)&lt;14,"",AVERAGE($AI$191:$AI$204))</f>
        <v>0</v>
      </c>
      <c r="AK204">
        <f>IF(COUNT($E$2:$E204)&lt;20,"",AVERAGE($E$185:$E$204))</f>
        <v>0</v>
      </c>
      <c r="AL204">
        <f>IF(COUNT($E$2:$E204)&lt;20,"",STDEVP($E$185:$E$204))</f>
        <v>0</v>
      </c>
      <c r="AM204">
        <f>IF(AK204="","",AK204+2*AL204)</f>
        <v>0</v>
      </c>
      <c r="AN204">
        <f>IF(AK204="","",AK204-2*AL204)</f>
        <v>0</v>
      </c>
      <c r="AO204">
        <f>IF(OR(AM204="",AN204="",AM204=AN204),"",($E204-AN204)/(AM204-AN204))</f>
        <v>0</v>
      </c>
      <c r="AP204">
        <f>IF(OR(AM204="",AK204="",AK204=0),"",(AM204-AN204)/AK204)</f>
        <v>0</v>
      </c>
      <c r="AQ204">
        <f>IF(COUNT($E$2:$E204)&lt;20,"",MAX($C$185:$C$204))</f>
        <v>0</v>
      </c>
      <c r="AR204">
        <f>IF(COUNT($E$2:$E204)&lt;20,"",MIN($D$185:$D$204))</f>
        <v>0</v>
      </c>
      <c r="AS204">
        <f>IF(OR(AQ204="",AR204=""),"",(AQ204+AR204)/2)</f>
        <v>0</v>
      </c>
      <c r="AT204">
        <f>IF(COUNT($G$185:$G$204)&lt;20,"",STDEV($G$185:$G$204)*SQRT(52))</f>
        <v>0</v>
      </c>
      <c r="AU204">
        <f>IF(COUNT($E$2:$E204)&lt;9,"",(MAX($C$196:$C$204)+MIN($D$196:$D$204))/2)</f>
        <v>0</v>
      </c>
      <c r="AV204">
        <f>IF(COUNT($E$2:$E204)&lt;26,"",(MAX($C$179:$C$204)+MIN($D$179:$D$204))/2)</f>
        <v>0</v>
      </c>
      <c r="AW204">
        <f>IF(OR(AU204="",AV204=""),"",(AU204+AV204)/2)</f>
        <v>0</v>
      </c>
      <c r="AX204">
        <f>IF(COUNT($E$2:$E204)&lt;52,"",(MAX($C$153:$C$204)+MIN($D$153:$D$204))/2)</f>
        <v>0</v>
      </c>
      <c r="AY204">
        <f>IF(COUNT($E$2:$E204)&lt;20,"",MAX($C$105:$C$204))</f>
        <v>0</v>
      </c>
      <c r="AZ204">
        <f>IF(COUNT($E$2:$E204)&lt;20,"",MIN($D$105:$D$204))</f>
        <v>0</v>
      </c>
      <c r="BA204">
        <f>IF(COUNT($E$2:$E204)&lt;20,"",SLOPE($E$105:$E$204,$F$105:$F$204))</f>
        <v>0</v>
      </c>
      <c r="BB204">
        <f>IF(COUNT($E$2:$E204)&lt;20,"",INTERCEPT($E$105:$E$204,$F$105:$F$204))</f>
        <v>0</v>
      </c>
      <c r="BC204">
        <f>IF(OR(BA204="",BB204=""),"",BB204+BA204*F204)</f>
        <v>0</v>
      </c>
      <c r="BD204">
        <f>IF(COUNT($E$2:$E204)&lt;20,"",STEYX($E$105:$E$204,$F$105:$F$204))</f>
        <v>0</v>
      </c>
      <c r="BE204">
        <f>IF($E204="","",IF(AND(COUNT($E$205:$E$208)&gt;=4,$C204=MAX($C$200:$C$208)),$C204,""))</f>
        <v>0</v>
      </c>
      <c r="BF204">
        <f>IF($E204="","",IF(AND(COUNT($E$205:$E$208)&gt;=4,$D204=MIN($D$200:$D$208)),$D204,""))</f>
        <v>0</v>
      </c>
      <c r="BG204">
        <f>IFERROR(SMALL(Calc_Daily!$BM$2:$BM$2001,203),"")</f>
        <v>0</v>
      </c>
    </row>
    <row r="205" spans="1:59">
      <c r="A205" s="27">
        <f>IF($BG205="","",INDEX(Calc_Daily!$A$2:$A$2001,$BG205))</f>
        <v>0</v>
      </c>
      <c r="B205">
        <f>IF($BG205="","",INDEX(Calc_Daily!$BJ$2:$BJ$2001,$BG205))</f>
        <v>0</v>
      </c>
      <c r="C205">
        <f>IF($BG205="","",INDEX(Calc_Daily!$BK$2:$BK$2001,$BG205))</f>
        <v>0</v>
      </c>
      <c r="D205">
        <f>IF($BG205="","",INDEX(Calc_Daily!$BL$2:$BL$2001,$BG205))</f>
        <v>0</v>
      </c>
      <c r="E205">
        <f>IF($BG205="","",INDEX(Calc_Daily!$E$2:$E$2001,$BG205))</f>
        <v>0</v>
      </c>
      <c r="F205">
        <f>IF($E205="","",N(F204)+1)</f>
        <v>0</v>
      </c>
      <c r="G205">
        <f>IF(OR($E205="",$E204=""),"",LN($E205/$E204))</f>
        <v>0</v>
      </c>
      <c r="H205">
        <f>IF($E205="","",IF($E204="",$E205,$E205*0.0952380952+H204*0.9047619048))</f>
        <v>0</v>
      </c>
      <c r="I205">
        <f>IF($E205="","",IF($E204="",$E205,$E205*0.0392156863+I204*0.9607843137))</f>
        <v>0</v>
      </c>
      <c r="J205">
        <f>IF($E205="","",IF($E204="",$E205,$E205*0.0198019802+J204*0.9801980198))</f>
        <v>0</v>
      </c>
      <c r="K205">
        <f>IF($E205="","",IF($E204="",$E205,$E205*0.0099502488+K204*0.9900497512))</f>
        <v>0</v>
      </c>
      <c r="L205">
        <f>IF(OR($E205="",$E204=""),"",MAX($E205-$E204,0))</f>
        <v>0</v>
      </c>
      <c r="M205">
        <f>IF(OR($E205="",$E204=""),"",MAX($E204-$E205,0))</f>
        <v>0</v>
      </c>
      <c r="N205">
        <f>IF(COUNT($E$2:$E205)&lt;15,"",IF(AVERAGE($M$192:$M$205)=0,100,100-100/(1+AVERAGE($L$192:$L$205)/AVERAGE($M$192:$M$205))))</f>
        <v>0</v>
      </c>
      <c r="O205">
        <f>IF($E205="","",IF($E204="",$E205,$E205*0.1538461538+O204*0.8461538462))</f>
        <v>0</v>
      </c>
      <c r="P205">
        <f>IF($E205="","",IF($E204="",$E205,$E205*0.0740740741+P204*0.9259259259))</f>
        <v>0</v>
      </c>
      <c r="Q205">
        <f>IF(OR(O205="",P205=""),"",O205-P205)</f>
        <v>0</v>
      </c>
      <c r="R205">
        <f>IF(Q205="","",IF(R204="",Q205,Q205*0.2000000000+R204*0.8000000000))</f>
        <v>0</v>
      </c>
      <c r="S205">
        <f>IF(OR(Q205="",R205=""),"",Q205-R205)</f>
        <v>0</v>
      </c>
      <c r="T205">
        <f>IF(COUNT($E$2:$E205)&lt;14,"",MAX($C$192:$C$205))</f>
        <v>0</v>
      </c>
      <c r="U205">
        <f>IF(COUNT($E$2:$E205)&lt;14,"",MIN($D$192:$D$205))</f>
        <v>0</v>
      </c>
      <c r="V205">
        <f>IF(OR(T205="",U205="",T205=U205),"",100*($E205-U205)/(T205-U205))</f>
        <v>0</v>
      </c>
      <c r="W205">
        <f>IF(COUNT($V$203:$V$205)&lt;3,"",AVERAGE($V$203:$V$205))</f>
        <v>0</v>
      </c>
      <c r="X205">
        <f>IF(COUNT($N$192:$N$205)&lt;14,"",MIN($N$192:$N$205))</f>
        <v>0</v>
      </c>
      <c r="Y205">
        <f>IF(COUNT($N$192:$N$205)&lt;14,"",MAX($N$192:$N$205))</f>
        <v>0</v>
      </c>
      <c r="Z205">
        <f>IF(OR(N205="",X205="",Y205="",Y205=X205),"",100*(N205-X205)/(Y205-X205))</f>
        <v>0</v>
      </c>
      <c r="AA205">
        <f>IF(COUNT($Z$203:$Z$205)&lt;3,"",AVERAGE($Z$203:$Z$205))</f>
        <v>0</v>
      </c>
      <c r="AB205">
        <f>IF(COUNT($AA$203:$AA$205)&lt;3,"",AVERAGE($AA$203:$AA$205))</f>
        <v>0</v>
      </c>
      <c r="AC205">
        <f>IF($E205="","",MAX($C205-$D205,ABS($C205-$E204),ABS($D205-$E204)))</f>
        <v>0</v>
      </c>
      <c r="AD205">
        <f>IF(COUNT($E$2:$E205)&lt;15,"",AVERAGE($AC$192:$AC$205))</f>
        <v>0</v>
      </c>
      <c r="AE205">
        <f>IF(OR($E205="",$E204=""),"",IF(AND(($C205-$C204)&gt;($D204-$D205),($C205-$C204)&gt;0),$C205-$C204,0))</f>
        <v>0</v>
      </c>
      <c r="AF205">
        <f>IF(OR($E205="",$E204=""),"",IF(AND(($D204-$D205)&gt;($C205-$C204),($D204-$D205)&gt;0),$D204-$D205,0))</f>
        <v>0</v>
      </c>
      <c r="AG205">
        <f>IF(COUNT($E$2:$E205)&lt;15,"",IF(SUM($AC$192:$AC$205)=0,0,100*SUM($AE$192:$AE$205)/SUM($AC$192:$AC$205)))</f>
        <v>0</v>
      </c>
      <c r="AH205">
        <f>IF(COUNT($E$2:$E205)&lt;15,"",IF(SUM($AC$192:$AC$205)=0,0,100*SUM($AF$192:$AF$205)/SUM($AC$192:$AC$205)))</f>
        <v>0</v>
      </c>
      <c r="AI205">
        <f>IF(OR(AG205="",AH205=""),"",IF((AG205+AH205)=0,0,100*ABS(AG205-AH205)/(AG205+AH205)))</f>
        <v>0</v>
      </c>
      <c r="AJ205">
        <f>IF(COUNT($AI$192:$AI$205)&lt;14,"",AVERAGE($AI$192:$AI$205))</f>
        <v>0</v>
      </c>
      <c r="AK205">
        <f>IF(COUNT($E$2:$E205)&lt;20,"",AVERAGE($E$186:$E$205))</f>
        <v>0</v>
      </c>
      <c r="AL205">
        <f>IF(COUNT($E$2:$E205)&lt;20,"",STDEVP($E$186:$E$205))</f>
        <v>0</v>
      </c>
      <c r="AM205">
        <f>IF(AK205="","",AK205+2*AL205)</f>
        <v>0</v>
      </c>
      <c r="AN205">
        <f>IF(AK205="","",AK205-2*AL205)</f>
        <v>0</v>
      </c>
      <c r="AO205">
        <f>IF(OR(AM205="",AN205="",AM205=AN205),"",($E205-AN205)/(AM205-AN205))</f>
        <v>0</v>
      </c>
      <c r="AP205">
        <f>IF(OR(AM205="",AK205="",AK205=0),"",(AM205-AN205)/AK205)</f>
        <v>0</v>
      </c>
      <c r="AQ205">
        <f>IF(COUNT($E$2:$E205)&lt;20,"",MAX($C$186:$C$205))</f>
        <v>0</v>
      </c>
      <c r="AR205">
        <f>IF(COUNT($E$2:$E205)&lt;20,"",MIN($D$186:$D$205))</f>
        <v>0</v>
      </c>
      <c r="AS205">
        <f>IF(OR(AQ205="",AR205=""),"",(AQ205+AR205)/2)</f>
        <v>0</v>
      </c>
      <c r="AT205">
        <f>IF(COUNT($G$186:$G$205)&lt;20,"",STDEV($G$186:$G$205)*SQRT(52))</f>
        <v>0</v>
      </c>
      <c r="AU205">
        <f>IF(COUNT($E$2:$E205)&lt;9,"",(MAX($C$197:$C$205)+MIN($D$197:$D$205))/2)</f>
        <v>0</v>
      </c>
      <c r="AV205">
        <f>IF(COUNT($E$2:$E205)&lt;26,"",(MAX($C$180:$C$205)+MIN($D$180:$D$205))/2)</f>
        <v>0</v>
      </c>
      <c r="AW205">
        <f>IF(OR(AU205="",AV205=""),"",(AU205+AV205)/2)</f>
        <v>0</v>
      </c>
      <c r="AX205">
        <f>IF(COUNT($E$2:$E205)&lt;52,"",(MAX($C$154:$C$205)+MIN($D$154:$D$205))/2)</f>
        <v>0</v>
      </c>
      <c r="AY205">
        <f>IF(COUNT($E$2:$E205)&lt;20,"",MAX($C$106:$C$205))</f>
        <v>0</v>
      </c>
      <c r="AZ205">
        <f>IF(COUNT($E$2:$E205)&lt;20,"",MIN($D$106:$D$205))</f>
        <v>0</v>
      </c>
      <c r="BA205">
        <f>IF(COUNT($E$2:$E205)&lt;20,"",SLOPE($E$106:$E$205,$F$106:$F$205))</f>
        <v>0</v>
      </c>
      <c r="BB205">
        <f>IF(COUNT($E$2:$E205)&lt;20,"",INTERCEPT($E$106:$E$205,$F$106:$F$205))</f>
        <v>0</v>
      </c>
      <c r="BC205">
        <f>IF(OR(BA205="",BB205=""),"",BB205+BA205*F205)</f>
        <v>0</v>
      </c>
      <c r="BD205">
        <f>IF(COUNT($E$2:$E205)&lt;20,"",STEYX($E$106:$E$205,$F$106:$F$205))</f>
        <v>0</v>
      </c>
      <c r="BE205">
        <f>IF($E205="","",IF(AND(COUNT($E$206:$E$209)&gt;=4,$C205=MAX($C$201:$C$209)),$C205,""))</f>
        <v>0</v>
      </c>
      <c r="BF205">
        <f>IF($E205="","",IF(AND(COUNT($E$206:$E$209)&gt;=4,$D205=MIN($D$201:$D$209)),$D205,""))</f>
        <v>0</v>
      </c>
      <c r="BG205">
        <f>IFERROR(SMALL(Calc_Daily!$BM$2:$BM$2001,204),"")</f>
        <v>0</v>
      </c>
    </row>
    <row r="206" spans="1:59">
      <c r="A206" s="27">
        <f>IF($BG206="","",INDEX(Calc_Daily!$A$2:$A$2001,$BG206))</f>
        <v>0</v>
      </c>
      <c r="B206">
        <f>IF($BG206="","",INDEX(Calc_Daily!$BJ$2:$BJ$2001,$BG206))</f>
        <v>0</v>
      </c>
      <c r="C206">
        <f>IF($BG206="","",INDEX(Calc_Daily!$BK$2:$BK$2001,$BG206))</f>
        <v>0</v>
      </c>
      <c r="D206">
        <f>IF($BG206="","",INDEX(Calc_Daily!$BL$2:$BL$2001,$BG206))</f>
        <v>0</v>
      </c>
      <c r="E206">
        <f>IF($BG206="","",INDEX(Calc_Daily!$E$2:$E$2001,$BG206))</f>
        <v>0</v>
      </c>
      <c r="F206">
        <f>IF($E206="","",N(F205)+1)</f>
        <v>0</v>
      </c>
      <c r="G206">
        <f>IF(OR($E206="",$E205=""),"",LN($E206/$E205))</f>
        <v>0</v>
      </c>
      <c r="H206">
        <f>IF($E206="","",IF($E205="",$E206,$E206*0.0952380952+H205*0.9047619048))</f>
        <v>0</v>
      </c>
      <c r="I206">
        <f>IF($E206="","",IF($E205="",$E206,$E206*0.0392156863+I205*0.9607843137))</f>
        <v>0</v>
      </c>
      <c r="J206">
        <f>IF($E206="","",IF($E205="",$E206,$E206*0.0198019802+J205*0.9801980198))</f>
        <v>0</v>
      </c>
      <c r="K206">
        <f>IF($E206="","",IF($E205="",$E206,$E206*0.0099502488+K205*0.9900497512))</f>
        <v>0</v>
      </c>
      <c r="L206">
        <f>IF(OR($E206="",$E205=""),"",MAX($E206-$E205,0))</f>
        <v>0</v>
      </c>
      <c r="M206">
        <f>IF(OR($E206="",$E205=""),"",MAX($E205-$E206,0))</f>
        <v>0</v>
      </c>
      <c r="N206">
        <f>IF(COUNT($E$2:$E206)&lt;15,"",IF(AVERAGE($M$193:$M$206)=0,100,100-100/(1+AVERAGE($L$193:$L$206)/AVERAGE($M$193:$M$206))))</f>
        <v>0</v>
      </c>
      <c r="O206">
        <f>IF($E206="","",IF($E205="",$E206,$E206*0.1538461538+O205*0.8461538462))</f>
        <v>0</v>
      </c>
      <c r="P206">
        <f>IF($E206="","",IF($E205="",$E206,$E206*0.0740740741+P205*0.9259259259))</f>
        <v>0</v>
      </c>
      <c r="Q206">
        <f>IF(OR(O206="",P206=""),"",O206-P206)</f>
        <v>0</v>
      </c>
      <c r="R206">
        <f>IF(Q206="","",IF(R205="",Q206,Q206*0.2000000000+R205*0.8000000000))</f>
        <v>0</v>
      </c>
      <c r="S206">
        <f>IF(OR(Q206="",R206=""),"",Q206-R206)</f>
        <v>0</v>
      </c>
      <c r="T206">
        <f>IF(COUNT($E$2:$E206)&lt;14,"",MAX($C$193:$C$206))</f>
        <v>0</v>
      </c>
      <c r="U206">
        <f>IF(COUNT($E$2:$E206)&lt;14,"",MIN($D$193:$D$206))</f>
        <v>0</v>
      </c>
      <c r="V206">
        <f>IF(OR(T206="",U206="",T206=U206),"",100*($E206-U206)/(T206-U206))</f>
        <v>0</v>
      </c>
      <c r="W206">
        <f>IF(COUNT($V$204:$V$206)&lt;3,"",AVERAGE($V$204:$V$206))</f>
        <v>0</v>
      </c>
      <c r="X206">
        <f>IF(COUNT($N$193:$N$206)&lt;14,"",MIN($N$193:$N$206))</f>
        <v>0</v>
      </c>
      <c r="Y206">
        <f>IF(COUNT($N$193:$N$206)&lt;14,"",MAX($N$193:$N$206))</f>
        <v>0</v>
      </c>
      <c r="Z206">
        <f>IF(OR(N206="",X206="",Y206="",Y206=X206),"",100*(N206-X206)/(Y206-X206))</f>
        <v>0</v>
      </c>
      <c r="AA206">
        <f>IF(COUNT($Z$204:$Z$206)&lt;3,"",AVERAGE($Z$204:$Z$206))</f>
        <v>0</v>
      </c>
      <c r="AB206">
        <f>IF(COUNT($AA$204:$AA$206)&lt;3,"",AVERAGE($AA$204:$AA$206))</f>
        <v>0</v>
      </c>
      <c r="AC206">
        <f>IF($E206="","",MAX($C206-$D206,ABS($C206-$E205),ABS($D206-$E205)))</f>
        <v>0</v>
      </c>
      <c r="AD206">
        <f>IF(COUNT($E$2:$E206)&lt;15,"",AVERAGE($AC$193:$AC$206))</f>
        <v>0</v>
      </c>
      <c r="AE206">
        <f>IF(OR($E206="",$E205=""),"",IF(AND(($C206-$C205)&gt;($D205-$D206),($C206-$C205)&gt;0),$C206-$C205,0))</f>
        <v>0</v>
      </c>
      <c r="AF206">
        <f>IF(OR($E206="",$E205=""),"",IF(AND(($D205-$D206)&gt;($C206-$C205),($D205-$D206)&gt;0),$D205-$D206,0))</f>
        <v>0</v>
      </c>
      <c r="AG206">
        <f>IF(COUNT($E$2:$E206)&lt;15,"",IF(SUM($AC$193:$AC$206)=0,0,100*SUM($AE$193:$AE$206)/SUM($AC$193:$AC$206)))</f>
        <v>0</v>
      </c>
      <c r="AH206">
        <f>IF(COUNT($E$2:$E206)&lt;15,"",IF(SUM($AC$193:$AC$206)=0,0,100*SUM($AF$193:$AF$206)/SUM($AC$193:$AC$206)))</f>
        <v>0</v>
      </c>
      <c r="AI206">
        <f>IF(OR(AG206="",AH206=""),"",IF((AG206+AH206)=0,0,100*ABS(AG206-AH206)/(AG206+AH206)))</f>
        <v>0</v>
      </c>
      <c r="AJ206">
        <f>IF(COUNT($AI$193:$AI$206)&lt;14,"",AVERAGE($AI$193:$AI$206))</f>
        <v>0</v>
      </c>
      <c r="AK206">
        <f>IF(COUNT($E$2:$E206)&lt;20,"",AVERAGE($E$187:$E$206))</f>
        <v>0</v>
      </c>
      <c r="AL206">
        <f>IF(COUNT($E$2:$E206)&lt;20,"",STDEVP($E$187:$E$206))</f>
        <v>0</v>
      </c>
      <c r="AM206">
        <f>IF(AK206="","",AK206+2*AL206)</f>
        <v>0</v>
      </c>
      <c r="AN206">
        <f>IF(AK206="","",AK206-2*AL206)</f>
        <v>0</v>
      </c>
      <c r="AO206">
        <f>IF(OR(AM206="",AN206="",AM206=AN206),"",($E206-AN206)/(AM206-AN206))</f>
        <v>0</v>
      </c>
      <c r="AP206">
        <f>IF(OR(AM206="",AK206="",AK206=0),"",(AM206-AN206)/AK206)</f>
        <v>0</v>
      </c>
      <c r="AQ206">
        <f>IF(COUNT($E$2:$E206)&lt;20,"",MAX($C$187:$C$206))</f>
        <v>0</v>
      </c>
      <c r="AR206">
        <f>IF(COUNT($E$2:$E206)&lt;20,"",MIN($D$187:$D$206))</f>
        <v>0</v>
      </c>
      <c r="AS206">
        <f>IF(OR(AQ206="",AR206=""),"",(AQ206+AR206)/2)</f>
        <v>0</v>
      </c>
      <c r="AT206">
        <f>IF(COUNT($G$187:$G$206)&lt;20,"",STDEV($G$187:$G$206)*SQRT(52))</f>
        <v>0</v>
      </c>
      <c r="AU206">
        <f>IF(COUNT($E$2:$E206)&lt;9,"",(MAX($C$198:$C$206)+MIN($D$198:$D$206))/2)</f>
        <v>0</v>
      </c>
      <c r="AV206">
        <f>IF(COUNT($E$2:$E206)&lt;26,"",(MAX($C$181:$C$206)+MIN($D$181:$D$206))/2)</f>
        <v>0</v>
      </c>
      <c r="AW206">
        <f>IF(OR(AU206="",AV206=""),"",(AU206+AV206)/2)</f>
        <v>0</v>
      </c>
      <c r="AX206">
        <f>IF(COUNT($E$2:$E206)&lt;52,"",(MAX($C$155:$C$206)+MIN($D$155:$D$206))/2)</f>
        <v>0</v>
      </c>
      <c r="AY206">
        <f>IF(COUNT($E$2:$E206)&lt;20,"",MAX($C$107:$C$206))</f>
        <v>0</v>
      </c>
      <c r="AZ206">
        <f>IF(COUNT($E$2:$E206)&lt;20,"",MIN($D$107:$D$206))</f>
        <v>0</v>
      </c>
      <c r="BA206">
        <f>IF(COUNT($E$2:$E206)&lt;20,"",SLOPE($E$107:$E$206,$F$107:$F$206))</f>
        <v>0</v>
      </c>
      <c r="BB206">
        <f>IF(COUNT($E$2:$E206)&lt;20,"",INTERCEPT($E$107:$E$206,$F$107:$F$206))</f>
        <v>0</v>
      </c>
      <c r="BC206">
        <f>IF(OR(BA206="",BB206=""),"",BB206+BA206*F206)</f>
        <v>0</v>
      </c>
      <c r="BD206">
        <f>IF(COUNT($E$2:$E206)&lt;20,"",STEYX($E$107:$E$206,$F$107:$F$206))</f>
        <v>0</v>
      </c>
      <c r="BE206">
        <f>IF($E206="","",IF(AND(COUNT($E$207:$E$210)&gt;=4,$C206=MAX($C$202:$C$210)),$C206,""))</f>
        <v>0</v>
      </c>
      <c r="BF206">
        <f>IF($E206="","",IF(AND(COUNT($E$207:$E$210)&gt;=4,$D206=MIN($D$202:$D$210)),$D206,""))</f>
        <v>0</v>
      </c>
      <c r="BG206">
        <f>IFERROR(SMALL(Calc_Daily!$BM$2:$BM$2001,205),"")</f>
        <v>0</v>
      </c>
    </row>
    <row r="207" spans="1:59">
      <c r="A207" s="27">
        <f>IF($BG207="","",INDEX(Calc_Daily!$A$2:$A$2001,$BG207))</f>
        <v>0</v>
      </c>
      <c r="B207">
        <f>IF($BG207="","",INDEX(Calc_Daily!$BJ$2:$BJ$2001,$BG207))</f>
        <v>0</v>
      </c>
      <c r="C207">
        <f>IF($BG207="","",INDEX(Calc_Daily!$BK$2:$BK$2001,$BG207))</f>
        <v>0</v>
      </c>
      <c r="D207">
        <f>IF($BG207="","",INDEX(Calc_Daily!$BL$2:$BL$2001,$BG207))</f>
        <v>0</v>
      </c>
      <c r="E207">
        <f>IF($BG207="","",INDEX(Calc_Daily!$E$2:$E$2001,$BG207))</f>
        <v>0</v>
      </c>
      <c r="F207">
        <f>IF($E207="","",N(F206)+1)</f>
        <v>0</v>
      </c>
      <c r="G207">
        <f>IF(OR($E207="",$E206=""),"",LN($E207/$E206))</f>
        <v>0</v>
      </c>
      <c r="H207">
        <f>IF($E207="","",IF($E206="",$E207,$E207*0.0952380952+H206*0.9047619048))</f>
        <v>0</v>
      </c>
      <c r="I207">
        <f>IF($E207="","",IF($E206="",$E207,$E207*0.0392156863+I206*0.9607843137))</f>
        <v>0</v>
      </c>
      <c r="J207">
        <f>IF($E207="","",IF($E206="",$E207,$E207*0.0198019802+J206*0.9801980198))</f>
        <v>0</v>
      </c>
      <c r="K207">
        <f>IF($E207="","",IF($E206="",$E207,$E207*0.0099502488+K206*0.9900497512))</f>
        <v>0</v>
      </c>
      <c r="L207">
        <f>IF(OR($E207="",$E206=""),"",MAX($E207-$E206,0))</f>
        <v>0</v>
      </c>
      <c r="M207">
        <f>IF(OR($E207="",$E206=""),"",MAX($E206-$E207,0))</f>
        <v>0</v>
      </c>
      <c r="N207">
        <f>IF(COUNT($E$2:$E207)&lt;15,"",IF(AVERAGE($M$194:$M$207)=0,100,100-100/(1+AVERAGE($L$194:$L$207)/AVERAGE($M$194:$M$207))))</f>
        <v>0</v>
      </c>
      <c r="O207">
        <f>IF($E207="","",IF($E206="",$E207,$E207*0.1538461538+O206*0.8461538462))</f>
        <v>0</v>
      </c>
      <c r="P207">
        <f>IF($E207="","",IF($E206="",$E207,$E207*0.0740740741+P206*0.9259259259))</f>
        <v>0</v>
      </c>
      <c r="Q207">
        <f>IF(OR(O207="",P207=""),"",O207-P207)</f>
        <v>0</v>
      </c>
      <c r="R207">
        <f>IF(Q207="","",IF(R206="",Q207,Q207*0.2000000000+R206*0.8000000000))</f>
        <v>0</v>
      </c>
      <c r="S207">
        <f>IF(OR(Q207="",R207=""),"",Q207-R207)</f>
        <v>0</v>
      </c>
      <c r="T207">
        <f>IF(COUNT($E$2:$E207)&lt;14,"",MAX($C$194:$C$207))</f>
        <v>0</v>
      </c>
      <c r="U207">
        <f>IF(COUNT($E$2:$E207)&lt;14,"",MIN($D$194:$D$207))</f>
        <v>0</v>
      </c>
      <c r="V207">
        <f>IF(OR(T207="",U207="",T207=U207),"",100*($E207-U207)/(T207-U207))</f>
        <v>0</v>
      </c>
      <c r="W207">
        <f>IF(COUNT($V$205:$V$207)&lt;3,"",AVERAGE($V$205:$V$207))</f>
        <v>0</v>
      </c>
      <c r="X207">
        <f>IF(COUNT($N$194:$N$207)&lt;14,"",MIN($N$194:$N$207))</f>
        <v>0</v>
      </c>
      <c r="Y207">
        <f>IF(COUNT($N$194:$N$207)&lt;14,"",MAX($N$194:$N$207))</f>
        <v>0</v>
      </c>
      <c r="Z207">
        <f>IF(OR(N207="",X207="",Y207="",Y207=X207),"",100*(N207-X207)/(Y207-X207))</f>
        <v>0</v>
      </c>
      <c r="AA207">
        <f>IF(COUNT($Z$205:$Z$207)&lt;3,"",AVERAGE($Z$205:$Z$207))</f>
        <v>0</v>
      </c>
      <c r="AB207">
        <f>IF(COUNT($AA$205:$AA$207)&lt;3,"",AVERAGE($AA$205:$AA$207))</f>
        <v>0</v>
      </c>
      <c r="AC207">
        <f>IF($E207="","",MAX($C207-$D207,ABS($C207-$E206),ABS($D207-$E206)))</f>
        <v>0</v>
      </c>
      <c r="AD207">
        <f>IF(COUNT($E$2:$E207)&lt;15,"",AVERAGE($AC$194:$AC$207))</f>
        <v>0</v>
      </c>
      <c r="AE207">
        <f>IF(OR($E207="",$E206=""),"",IF(AND(($C207-$C206)&gt;($D206-$D207),($C207-$C206)&gt;0),$C207-$C206,0))</f>
        <v>0</v>
      </c>
      <c r="AF207">
        <f>IF(OR($E207="",$E206=""),"",IF(AND(($D206-$D207)&gt;($C207-$C206),($D206-$D207)&gt;0),$D206-$D207,0))</f>
        <v>0</v>
      </c>
      <c r="AG207">
        <f>IF(COUNT($E$2:$E207)&lt;15,"",IF(SUM($AC$194:$AC$207)=0,0,100*SUM($AE$194:$AE$207)/SUM($AC$194:$AC$207)))</f>
        <v>0</v>
      </c>
      <c r="AH207">
        <f>IF(COUNT($E$2:$E207)&lt;15,"",IF(SUM($AC$194:$AC$207)=0,0,100*SUM($AF$194:$AF$207)/SUM($AC$194:$AC$207)))</f>
        <v>0</v>
      </c>
      <c r="AI207">
        <f>IF(OR(AG207="",AH207=""),"",IF((AG207+AH207)=0,0,100*ABS(AG207-AH207)/(AG207+AH207)))</f>
        <v>0</v>
      </c>
      <c r="AJ207">
        <f>IF(COUNT($AI$194:$AI$207)&lt;14,"",AVERAGE($AI$194:$AI$207))</f>
        <v>0</v>
      </c>
      <c r="AK207">
        <f>IF(COUNT($E$2:$E207)&lt;20,"",AVERAGE($E$188:$E$207))</f>
        <v>0</v>
      </c>
      <c r="AL207">
        <f>IF(COUNT($E$2:$E207)&lt;20,"",STDEVP($E$188:$E$207))</f>
        <v>0</v>
      </c>
      <c r="AM207">
        <f>IF(AK207="","",AK207+2*AL207)</f>
        <v>0</v>
      </c>
      <c r="AN207">
        <f>IF(AK207="","",AK207-2*AL207)</f>
        <v>0</v>
      </c>
      <c r="AO207">
        <f>IF(OR(AM207="",AN207="",AM207=AN207),"",($E207-AN207)/(AM207-AN207))</f>
        <v>0</v>
      </c>
      <c r="AP207">
        <f>IF(OR(AM207="",AK207="",AK207=0),"",(AM207-AN207)/AK207)</f>
        <v>0</v>
      </c>
      <c r="AQ207">
        <f>IF(COUNT($E$2:$E207)&lt;20,"",MAX($C$188:$C$207))</f>
        <v>0</v>
      </c>
      <c r="AR207">
        <f>IF(COUNT($E$2:$E207)&lt;20,"",MIN($D$188:$D$207))</f>
        <v>0</v>
      </c>
      <c r="AS207">
        <f>IF(OR(AQ207="",AR207=""),"",(AQ207+AR207)/2)</f>
        <v>0</v>
      </c>
      <c r="AT207">
        <f>IF(COUNT($G$188:$G$207)&lt;20,"",STDEV($G$188:$G$207)*SQRT(52))</f>
        <v>0</v>
      </c>
      <c r="AU207">
        <f>IF(COUNT($E$2:$E207)&lt;9,"",(MAX($C$199:$C$207)+MIN($D$199:$D$207))/2)</f>
        <v>0</v>
      </c>
      <c r="AV207">
        <f>IF(COUNT($E$2:$E207)&lt;26,"",(MAX($C$182:$C$207)+MIN($D$182:$D$207))/2)</f>
        <v>0</v>
      </c>
      <c r="AW207">
        <f>IF(OR(AU207="",AV207=""),"",(AU207+AV207)/2)</f>
        <v>0</v>
      </c>
      <c r="AX207">
        <f>IF(COUNT($E$2:$E207)&lt;52,"",(MAX($C$156:$C$207)+MIN($D$156:$D$207))/2)</f>
        <v>0</v>
      </c>
      <c r="AY207">
        <f>IF(COUNT($E$2:$E207)&lt;20,"",MAX($C$108:$C$207))</f>
        <v>0</v>
      </c>
      <c r="AZ207">
        <f>IF(COUNT($E$2:$E207)&lt;20,"",MIN($D$108:$D$207))</f>
        <v>0</v>
      </c>
      <c r="BA207">
        <f>IF(COUNT($E$2:$E207)&lt;20,"",SLOPE($E$108:$E$207,$F$108:$F$207))</f>
        <v>0</v>
      </c>
      <c r="BB207">
        <f>IF(COUNT($E$2:$E207)&lt;20,"",INTERCEPT($E$108:$E$207,$F$108:$F$207))</f>
        <v>0</v>
      </c>
      <c r="BC207">
        <f>IF(OR(BA207="",BB207=""),"",BB207+BA207*F207)</f>
        <v>0</v>
      </c>
      <c r="BD207">
        <f>IF(COUNT($E$2:$E207)&lt;20,"",STEYX($E$108:$E$207,$F$108:$F$207))</f>
        <v>0</v>
      </c>
      <c r="BE207">
        <f>IF($E207="","",IF(AND(COUNT($E$208:$E$211)&gt;=4,$C207=MAX($C$203:$C$211)),$C207,""))</f>
        <v>0</v>
      </c>
      <c r="BF207">
        <f>IF($E207="","",IF(AND(COUNT($E$208:$E$211)&gt;=4,$D207=MIN($D$203:$D$211)),$D207,""))</f>
        <v>0</v>
      </c>
      <c r="BG207">
        <f>IFERROR(SMALL(Calc_Daily!$BM$2:$BM$2001,206),"")</f>
        <v>0</v>
      </c>
    </row>
    <row r="208" spans="1:59">
      <c r="A208" s="27">
        <f>IF($BG208="","",INDEX(Calc_Daily!$A$2:$A$2001,$BG208))</f>
        <v>0</v>
      </c>
      <c r="B208">
        <f>IF($BG208="","",INDEX(Calc_Daily!$BJ$2:$BJ$2001,$BG208))</f>
        <v>0</v>
      </c>
      <c r="C208">
        <f>IF($BG208="","",INDEX(Calc_Daily!$BK$2:$BK$2001,$BG208))</f>
        <v>0</v>
      </c>
      <c r="D208">
        <f>IF($BG208="","",INDEX(Calc_Daily!$BL$2:$BL$2001,$BG208))</f>
        <v>0</v>
      </c>
      <c r="E208">
        <f>IF($BG208="","",INDEX(Calc_Daily!$E$2:$E$2001,$BG208))</f>
        <v>0</v>
      </c>
      <c r="F208">
        <f>IF($E208="","",N(F207)+1)</f>
        <v>0</v>
      </c>
      <c r="G208">
        <f>IF(OR($E208="",$E207=""),"",LN($E208/$E207))</f>
        <v>0</v>
      </c>
      <c r="H208">
        <f>IF($E208="","",IF($E207="",$E208,$E208*0.0952380952+H207*0.9047619048))</f>
        <v>0</v>
      </c>
      <c r="I208">
        <f>IF($E208="","",IF($E207="",$E208,$E208*0.0392156863+I207*0.9607843137))</f>
        <v>0</v>
      </c>
      <c r="J208">
        <f>IF($E208="","",IF($E207="",$E208,$E208*0.0198019802+J207*0.9801980198))</f>
        <v>0</v>
      </c>
      <c r="K208">
        <f>IF($E208="","",IF($E207="",$E208,$E208*0.0099502488+K207*0.9900497512))</f>
        <v>0</v>
      </c>
      <c r="L208">
        <f>IF(OR($E208="",$E207=""),"",MAX($E208-$E207,0))</f>
        <v>0</v>
      </c>
      <c r="M208">
        <f>IF(OR($E208="",$E207=""),"",MAX($E207-$E208,0))</f>
        <v>0</v>
      </c>
      <c r="N208">
        <f>IF(COUNT($E$2:$E208)&lt;15,"",IF(AVERAGE($M$195:$M$208)=0,100,100-100/(1+AVERAGE($L$195:$L$208)/AVERAGE($M$195:$M$208))))</f>
        <v>0</v>
      </c>
      <c r="O208">
        <f>IF($E208="","",IF($E207="",$E208,$E208*0.1538461538+O207*0.8461538462))</f>
        <v>0</v>
      </c>
      <c r="P208">
        <f>IF($E208="","",IF($E207="",$E208,$E208*0.0740740741+P207*0.9259259259))</f>
        <v>0</v>
      </c>
      <c r="Q208">
        <f>IF(OR(O208="",P208=""),"",O208-P208)</f>
        <v>0</v>
      </c>
      <c r="R208">
        <f>IF(Q208="","",IF(R207="",Q208,Q208*0.2000000000+R207*0.8000000000))</f>
        <v>0</v>
      </c>
      <c r="S208">
        <f>IF(OR(Q208="",R208=""),"",Q208-R208)</f>
        <v>0</v>
      </c>
      <c r="T208">
        <f>IF(COUNT($E$2:$E208)&lt;14,"",MAX($C$195:$C$208))</f>
        <v>0</v>
      </c>
      <c r="U208">
        <f>IF(COUNT($E$2:$E208)&lt;14,"",MIN($D$195:$D$208))</f>
        <v>0</v>
      </c>
      <c r="V208">
        <f>IF(OR(T208="",U208="",T208=U208),"",100*($E208-U208)/(T208-U208))</f>
        <v>0</v>
      </c>
      <c r="W208">
        <f>IF(COUNT($V$206:$V$208)&lt;3,"",AVERAGE($V$206:$V$208))</f>
        <v>0</v>
      </c>
      <c r="X208">
        <f>IF(COUNT($N$195:$N$208)&lt;14,"",MIN($N$195:$N$208))</f>
        <v>0</v>
      </c>
      <c r="Y208">
        <f>IF(COUNT($N$195:$N$208)&lt;14,"",MAX($N$195:$N$208))</f>
        <v>0</v>
      </c>
      <c r="Z208">
        <f>IF(OR(N208="",X208="",Y208="",Y208=X208),"",100*(N208-X208)/(Y208-X208))</f>
        <v>0</v>
      </c>
      <c r="AA208">
        <f>IF(COUNT($Z$206:$Z$208)&lt;3,"",AVERAGE($Z$206:$Z$208))</f>
        <v>0</v>
      </c>
      <c r="AB208">
        <f>IF(COUNT($AA$206:$AA$208)&lt;3,"",AVERAGE($AA$206:$AA$208))</f>
        <v>0</v>
      </c>
      <c r="AC208">
        <f>IF($E208="","",MAX($C208-$D208,ABS($C208-$E207),ABS($D208-$E207)))</f>
        <v>0</v>
      </c>
      <c r="AD208">
        <f>IF(COUNT($E$2:$E208)&lt;15,"",AVERAGE($AC$195:$AC$208))</f>
        <v>0</v>
      </c>
      <c r="AE208">
        <f>IF(OR($E208="",$E207=""),"",IF(AND(($C208-$C207)&gt;($D207-$D208),($C208-$C207)&gt;0),$C208-$C207,0))</f>
        <v>0</v>
      </c>
      <c r="AF208">
        <f>IF(OR($E208="",$E207=""),"",IF(AND(($D207-$D208)&gt;($C208-$C207),($D207-$D208)&gt;0),$D207-$D208,0))</f>
        <v>0</v>
      </c>
      <c r="AG208">
        <f>IF(COUNT($E$2:$E208)&lt;15,"",IF(SUM($AC$195:$AC$208)=0,0,100*SUM($AE$195:$AE$208)/SUM($AC$195:$AC$208)))</f>
        <v>0</v>
      </c>
      <c r="AH208">
        <f>IF(COUNT($E$2:$E208)&lt;15,"",IF(SUM($AC$195:$AC$208)=0,0,100*SUM($AF$195:$AF$208)/SUM($AC$195:$AC$208)))</f>
        <v>0</v>
      </c>
      <c r="AI208">
        <f>IF(OR(AG208="",AH208=""),"",IF((AG208+AH208)=0,0,100*ABS(AG208-AH208)/(AG208+AH208)))</f>
        <v>0</v>
      </c>
      <c r="AJ208">
        <f>IF(COUNT($AI$195:$AI$208)&lt;14,"",AVERAGE($AI$195:$AI$208))</f>
        <v>0</v>
      </c>
      <c r="AK208">
        <f>IF(COUNT($E$2:$E208)&lt;20,"",AVERAGE($E$189:$E$208))</f>
        <v>0</v>
      </c>
      <c r="AL208">
        <f>IF(COUNT($E$2:$E208)&lt;20,"",STDEVP($E$189:$E$208))</f>
        <v>0</v>
      </c>
      <c r="AM208">
        <f>IF(AK208="","",AK208+2*AL208)</f>
        <v>0</v>
      </c>
      <c r="AN208">
        <f>IF(AK208="","",AK208-2*AL208)</f>
        <v>0</v>
      </c>
      <c r="AO208">
        <f>IF(OR(AM208="",AN208="",AM208=AN208),"",($E208-AN208)/(AM208-AN208))</f>
        <v>0</v>
      </c>
      <c r="AP208">
        <f>IF(OR(AM208="",AK208="",AK208=0),"",(AM208-AN208)/AK208)</f>
        <v>0</v>
      </c>
      <c r="AQ208">
        <f>IF(COUNT($E$2:$E208)&lt;20,"",MAX($C$189:$C$208))</f>
        <v>0</v>
      </c>
      <c r="AR208">
        <f>IF(COUNT($E$2:$E208)&lt;20,"",MIN($D$189:$D$208))</f>
        <v>0</v>
      </c>
      <c r="AS208">
        <f>IF(OR(AQ208="",AR208=""),"",(AQ208+AR208)/2)</f>
        <v>0</v>
      </c>
      <c r="AT208">
        <f>IF(COUNT($G$189:$G$208)&lt;20,"",STDEV($G$189:$G$208)*SQRT(52))</f>
        <v>0</v>
      </c>
      <c r="AU208">
        <f>IF(COUNT($E$2:$E208)&lt;9,"",(MAX($C$200:$C$208)+MIN($D$200:$D$208))/2)</f>
        <v>0</v>
      </c>
      <c r="AV208">
        <f>IF(COUNT($E$2:$E208)&lt;26,"",(MAX($C$183:$C$208)+MIN($D$183:$D$208))/2)</f>
        <v>0</v>
      </c>
      <c r="AW208">
        <f>IF(OR(AU208="",AV208=""),"",(AU208+AV208)/2)</f>
        <v>0</v>
      </c>
      <c r="AX208">
        <f>IF(COUNT($E$2:$E208)&lt;52,"",(MAX($C$157:$C$208)+MIN($D$157:$D$208))/2)</f>
        <v>0</v>
      </c>
      <c r="AY208">
        <f>IF(COUNT($E$2:$E208)&lt;20,"",MAX($C$109:$C$208))</f>
        <v>0</v>
      </c>
      <c r="AZ208">
        <f>IF(COUNT($E$2:$E208)&lt;20,"",MIN($D$109:$D$208))</f>
        <v>0</v>
      </c>
      <c r="BA208">
        <f>IF(COUNT($E$2:$E208)&lt;20,"",SLOPE($E$109:$E$208,$F$109:$F$208))</f>
        <v>0</v>
      </c>
      <c r="BB208">
        <f>IF(COUNT($E$2:$E208)&lt;20,"",INTERCEPT($E$109:$E$208,$F$109:$F$208))</f>
        <v>0</v>
      </c>
      <c r="BC208">
        <f>IF(OR(BA208="",BB208=""),"",BB208+BA208*F208)</f>
        <v>0</v>
      </c>
      <c r="BD208">
        <f>IF(COUNT($E$2:$E208)&lt;20,"",STEYX($E$109:$E$208,$F$109:$F$208))</f>
        <v>0</v>
      </c>
      <c r="BE208">
        <f>IF($E208="","",IF(AND(COUNT($E$209:$E$212)&gt;=4,$C208=MAX($C$204:$C$212)),$C208,""))</f>
        <v>0</v>
      </c>
      <c r="BF208">
        <f>IF($E208="","",IF(AND(COUNT($E$209:$E$212)&gt;=4,$D208=MIN($D$204:$D$212)),$D208,""))</f>
        <v>0</v>
      </c>
      <c r="BG208">
        <f>IFERROR(SMALL(Calc_Daily!$BM$2:$BM$2001,207),"")</f>
        <v>0</v>
      </c>
    </row>
    <row r="209" spans="1:59">
      <c r="A209" s="27">
        <f>IF($BG209="","",INDEX(Calc_Daily!$A$2:$A$2001,$BG209))</f>
        <v>0</v>
      </c>
      <c r="B209">
        <f>IF($BG209="","",INDEX(Calc_Daily!$BJ$2:$BJ$2001,$BG209))</f>
        <v>0</v>
      </c>
      <c r="C209">
        <f>IF($BG209="","",INDEX(Calc_Daily!$BK$2:$BK$2001,$BG209))</f>
        <v>0</v>
      </c>
      <c r="D209">
        <f>IF($BG209="","",INDEX(Calc_Daily!$BL$2:$BL$2001,$BG209))</f>
        <v>0</v>
      </c>
      <c r="E209">
        <f>IF($BG209="","",INDEX(Calc_Daily!$E$2:$E$2001,$BG209))</f>
        <v>0</v>
      </c>
      <c r="F209">
        <f>IF($E209="","",N(F208)+1)</f>
        <v>0</v>
      </c>
      <c r="G209">
        <f>IF(OR($E209="",$E208=""),"",LN($E209/$E208))</f>
        <v>0</v>
      </c>
      <c r="H209">
        <f>IF($E209="","",IF($E208="",$E209,$E209*0.0952380952+H208*0.9047619048))</f>
        <v>0</v>
      </c>
      <c r="I209">
        <f>IF($E209="","",IF($E208="",$E209,$E209*0.0392156863+I208*0.9607843137))</f>
        <v>0</v>
      </c>
      <c r="J209">
        <f>IF($E209="","",IF($E208="",$E209,$E209*0.0198019802+J208*0.9801980198))</f>
        <v>0</v>
      </c>
      <c r="K209">
        <f>IF($E209="","",IF($E208="",$E209,$E209*0.0099502488+K208*0.9900497512))</f>
        <v>0</v>
      </c>
      <c r="L209">
        <f>IF(OR($E209="",$E208=""),"",MAX($E209-$E208,0))</f>
        <v>0</v>
      </c>
      <c r="M209">
        <f>IF(OR($E209="",$E208=""),"",MAX($E208-$E209,0))</f>
        <v>0</v>
      </c>
      <c r="N209">
        <f>IF(COUNT($E$2:$E209)&lt;15,"",IF(AVERAGE($M$196:$M$209)=0,100,100-100/(1+AVERAGE($L$196:$L$209)/AVERAGE($M$196:$M$209))))</f>
        <v>0</v>
      </c>
      <c r="O209">
        <f>IF($E209="","",IF($E208="",$E209,$E209*0.1538461538+O208*0.8461538462))</f>
        <v>0</v>
      </c>
      <c r="P209">
        <f>IF($E209="","",IF($E208="",$E209,$E209*0.0740740741+P208*0.9259259259))</f>
        <v>0</v>
      </c>
      <c r="Q209">
        <f>IF(OR(O209="",P209=""),"",O209-P209)</f>
        <v>0</v>
      </c>
      <c r="R209">
        <f>IF(Q209="","",IF(R208="",Q209,Q209*0.2000000000+R208*0.8000000000))</f>
        <v>0</v>
      </c>
      <c r="S209">
        <f>IF(OR(Q209="",R209=""),"",Q209-R209)</f>
        <v>0</v>
      </c>
      <c r="T209">
        <f>IF(COUNT($E$2:$E209)&lt;14,"",MAX($C$196:$C$209))</f>
        <v>0</v>
      </c>
      <c r="U209">
        <f>IF(COUNT($E$2:$E209)&lt;14,"",MIN($D$196:$D$209))</f>
        <v>0</v>
      </c>
      <c r="V209">
        <f>IF(OR(T209="",U209="",T209=U209),"",100*($E209-U209)/(T209-U209))</f>
        <v>0</v>
      </c>
      <c r="W209">
        <f>IF(COUNT($V$207:$V$209)&lt;3,"",AVERAGE($V$207:$V$209))</f>
        <v>0</v>
      </c>
      <c r="X209">
        <f>IF(COUNT($N$196:$N$209)&lt;14,"",MIN($N$196:$N$209))</f>
        <v>0</v>
      </c>
      <c r="Y209">
        <f>IF(COUNT($N$196:$N$209)&lt;14,"",MAX($N$196:$N$209))</f>
        <v>0</v>
      </c>
      <c r="Z209">
        <f>IF(OR(N209="",X209="",Y209="",Y209=X209),"",100*(N209-X209)/(Y209-X209))</f>
        <v>0</v>
      </c>
      <c r="AA209">
        <f>IF(COUNT($Z$207:$Z$209)&lt;3,"",AVERAGE($Z$207:$Z$209))</f>
        <v>0</v>
      </c>
      <c r="AB209">
        <f>IF(COUNT($AA$207:$AA$209)&lt;3,"",AVERAGE($AA$207:$AA$209))</f>
        <v>0</v>
      </c>
      <c r="AC209">
        <f>IF($E209="","",MAX($C209-$D209,ABS($C209-$E208),ABS($D209-$E208)))</f>
        <v>0</v>
      </c>
      <c r="AD209">
        <f>IF(COUNT($E$2:$E209)&lt;15,"",AVERAGE($AC$196:$AC$209))</f>
        <v>0</v>
      </c>
      <c r="AE209">
        <f>IF(OR($E209="",$E208=""),"",IF(AND(($C209-$C208)&gt;($D208-$D209),($C209-$C208)&gt;0),$C209-$C208,0))</f>
        <v>0</v>
      </c>
      <c r="AF209">
        <f>IF(OR($E209="",$E208=""),"",IF(AND(($D208-$D209)&gt;($C209-$C208),($D208-$D209)&gt;0),$D208-$D209,0))</f>
        <v>0</v>
      </c>
      <c r="AG209">
        <f>IF(COUNT($E$2:$E209)&lt;15,"",IF(SUM($AC$196:$AC$209)=0,0,100*SUM($AE$196:$AE$209)/SUM($AC$196:$AC$209)))</f>
        <v>0</v>
      </c>
      <c r="AH209">
        <f>IF(COUNT($E$2:$E209)&lt;15,"",IF(SUM($AC$196:$AC$209)=0,0,100*SUM($AF$196:$AF$209)/SUM($AC$196:$AC$209)))</f>
        <v>0</v>
      </c>
      <c r="AI209">
        <f>IF(OR(AG209="",AH209=""),"",IF((AG209+AH209)=0,0,100*ABS(AG209-AH209)/(AG209+AH209)))</f>
        <v>0</v>
      </c>
      <c r="AJ209">
        <f>IF(COUNT($AI$196:$AI$209)&lt;14,"",AVERAGE($AI$196:$AI$209))</f>
        <v>0</v>
      </c>
      <c r="AK209">
        <f>IF(COUNT($E$2:$E209)&lt;20,"",AVERAGE($E$190:$E$209))</f>
        <v>0</v>
      </c>
      <c r="AL209">
        <f>IF(COUNT($E$2:$E209)&lt;20,"",STDEVP($E$190:$E$209))</f>
        <v>0</v>
      </c>
      <c r="AM209">
        <f>IF(AK209="","",AK209+2*AL209)</f>
        <v>0</v>
      </c>
      <c r="AN209">
        <f>IF(AK209="","",AK209-2*AL209)</f>
        <v>0</v>
      </c>
      <c r="AO209">
        <f>IF(OR(AM209="",AN209="",AM209=AN209),"",($E209-AN209)/(AM209-AN209))</f>
        <v>0</v>
      </c>
      <c r="AP209">
        <f>IF(OR(AM209="",AK209="",AK209=0),"",(AM209-AN209)/AK209)</f>
        <v>0</v>
      </c>
      <c r="AQ209">
        <f>IF(COUNT($E$2:$E209)&lt;20,"",MAX($C$190:$C$209))</f>
        <v>0</v>
      </c>
      <c r="AR209">
        <f>IF(COUNT($E$2:$E209)&lt;20,"",MIN($D$190:$D$209))</f>
        <v>0</v>
      </c>
      <c r="AS209">
        <f>IF(OR(AQ209="",AR209=""),"",(AQ209+AR209)/2)</f>
        <v>0</v>
      </c>
      <c r="AT209">
        <f>IF(COUNT($G$190:$G$209)&lt;20,"",STDEV($G$190:$G$209)*SQRT(52))</f>
        <v>0</v>
      </c>
      <c r="AU209">
        <f>IF(COUNT($E$2:$E209)&lt;9,"",(MAX($C$201:$C$209)+MIN($D$201:$D$209))/2)</f>
        <v>0</v>
      </c>
      <c r="AV209">
        <f>IF(COUNT($E$2:$E209)&lt;26,"",(MAX($C$184:$C$209)+MIN($D$184:$D$209))/2)</f>
        <v>0</v>
      </c>
      <c r="AW209">
        <f>IF(OR(AU209="",AV209=""),"",(AU209+AV209)/2)</f>
        <v>0</v>
      </c>
      <c r="AX209">
        <f>IF(COUNT($E$2:$E209)&lt;52,"",(MAX($C$158:$C$209)+MIN($D$158:$D$209))/2)</f>
        <v>0</v>
      </c>
      <c r="AY209">
        <f>IF(COUNT($E$2:$E209)&lt;20,"",MAX($C$110:$C$209))</f>
        <v>0</v>
      </c>
      <c r="AZ209">
        <f>IF(COUNT($E$2:$E209)&lt;20,"",MIN($D$110:$D$209))</f>
        <v>0</v>
      </c>
      <c r="BA209">
        <f>IF(COUNT($E$2:$E209)&lt;20,"",SLOPE($E$110:$E$209,$F$110:$F$209))</f>
        <v>0</v>
      </c>
      <c r="BB209">
        <f>IF(COUNT($E$2:$E209)&lt;20,"",INTERCEPT($E$110:$E$209,$F$110:$F$209))</f>
        <v>0</v>
      </c>
      <c r="BC209">
        <f>IF(OR(BA209="",BB209=""),"",BB209+BA209*F209)</f>
        <v>0</v>
      </c>
      <c r="BD209">
        <f>IF(COUNT($E$2:$E209)&lt;20,"",STEYX($E$110:$E$209,$F$110:$F$209))</f>
        <v>0</v>
      </c>
      <c r="BE209">
        <f>IF($E209="","",IF(AND(COUNT($E$210:$E$213)&gt;=4,$C209=MAX($C$205:$C$213)),$C209,""))</f>
        <v>0</v>
      </c>
      <c r="BF209">
        <f>IF($E209="","",IF(AND(COUNT($E$210:$E$213)&gt;=4,$D209=MIN($D$205:$D$213)),$D209,""))</f>
        <v>0</v>
      </c>
      <c r="BG209">
        <f>IFERROR(SMALL(Calc_Daily!$BM$2:$BM$2001,208),"")</f>
        <v>0</v>
      </c>
    </row>
    <row r="210" spans="1:59">
      <c r="A210" s="27">
        <f>IF($BG210="","",INDEX(Calc_Daily!$A$2:$A$2001,$BG210))</f>
        <v>0</v>
      </c>
      <c r="B210">
        <f>IF($BG210="","",INDEX(Calc_Daily!$BJ$2:$BJ$2001,$BG210))</f>
        <v>0</v>
      </c>
      <c r="C210">
        <f>IF($BG210="","",INDEX(Calc_Daily!$BK$2:$BK$2001,$BG210))</f>
        <v>0</v>
      </c>
      <c r="D210">
        <f>IF($BG210="","",INDEX(Calc_Daily!$BL$2:$BL$2001,$BG210))</f>
        <v>0</v>
      </c>
      <c r="E210">
        <f>IF($BG210="","",INDEX(Calc_Daily!$E$2:$E$2001,$BG210))</f>
        <v>0</v>
      </c>
      <c r="F210">
        <f>IF($E210="","",N(F209)+1)</f>
        <v>0</v>
      </c>
      <c r="G210">
        <f>IF(OR($E210="",$E209=""),"",LN($E210/$E209))</f>
        <v>0</v>
      </c>
      <c r="H210">
        <f>IF($E210="","",IF($E209="",$E210,$E210*0.0952380952+H209*0.9047619048))</f>
        <v>0</v>
      </c>
      <c r="I210">
        <f>IF($E210="","",IF($E209="",$E210,$E210*0.0392156863+I209*0.9607843137))</f>
        <v>0</v>
      </c>
      <c r="J210">
        <f>IF($E210="","",IF($E209="",$E210,$E210*0.0198019802+J209*0.9801980198))</f>
        <v>0</v>
      </c>
      <c r="K210">
        <f>IF($E210="","",IF($E209="",$E210,$E210*0.0099502488+K209*0.9900497512))</f>
        <v>0</v>
      </c>
      <c r="L210">
        <f>IF(OR($E210="",$E209=""),"",MAX($E210-$E209,0))</f>
        <v>0</v>
      </c>
      <c r="M210">
        <f>IF(OR($E210="",$E209=""),"",MAX($E209-$E210,0))</f>
        <v>0</v>
      </c>
      <c r="N210">
        <f>IF(COUNT($E$2:$E210)&lt;15,"",IF(AVERAGE($M$197:$M$210)=0,100,100-100/(1+AVERAGE($L$197:$L$210)/AVERAGE($M$197:$M$210))))</f>
        <v>0</v>
      </c>
      <c r="O210">
        <f>IF($E210="","",IF($E209="",$E210,$E210*0.1538461538+O209*0.8461538462))</f>
        <v>0</v>
      </c>
      <c r="P210">
        <f>IF($E210="","",IF($E209="",$E210,$E210*0.0740740741+P209*0.9259259259))</f>
        <v>0</v>
      </c>
      <c r="Q210">
        <f>IF(OR(O210="",P210=""),"",O210-P210)</f>
        <v>0</v>
      </c>
      <c r="R210">
        <f>IF(Q210="","",IF(R209="",Q210,Q210*0.2000000000+R209*0.8000000000))</f>
        <v>0</v>
      </c>
      <c r="S210">
        <f>IF(OR(Q210="",R210=""),"",Q210-R210)</f>
        <v>0</v>
      </c>
      <c r="T210">
        <f>IF(COUNT($E$2:$E210)&lt;14,"",MAX($C$197:$C$210))</f>
        <v>0</v>
      </c>
      <c r="U210">
        <f>IF(COUNT($E$2:$E210)&lt;14,"",MIN($D$197:$D$210))</f>
        <v>0</v>
      </c>
      <c r="V210">
        <f>IF(OR(T210="",U210="",T210=U210),"",100*($E210-U210)/(T210-U210))</f>
        <v>0</v>
      </c>
      <c r="W210">
        <f>IF(COUNT($V$208:$V$210)&lt;3,"",AVERAGE($V$208:$V$210))</f>
        <v>0</v>
      </c>
      <c r="X210">
        <f>IF(COUNT($N$197:$N$210)&lt;14,"",MIN($N$197:$N$210))</f>
        <v>0</v>
      </c>
      <c r="Y210">
        <f>IF(COUNT($N$197:$N$210)&lt;14,"",MAX($N$197:$N$210))</f>
        <v>0</v>
      </c>
      <c r="Z210">
        <f>IF(OR(N210="",X210="",Y210="",Y210=X210),"",100*(N210-X210)/(Y210-X210))</f>
        <v>0</v>
      </c>
      <c r="AA210">
        <f>IF(COUNT($Z$208:$Z$210)&lt;3,"",AVERAGE($Z$208:$Z$210))</f>
        <v>0</v>
      </c>
      <c r="AB210">
        <f>IF(COUNT($AA$208:$AA$210)&lt;3,"",AVERAGE($AA$208:$AA$210))</f>
        <v>0</v>
      </c>
      <c r="AC210">
        <f>IF($E210="","",MAX($C210-$D210,ABS($C210-$E209),ABS($D210-$E209)))</f>
        <v>0</v>
      </c>
      <c r="AD210">
        <f>IF(COUNT($E$2:$E210)&lt;15,"",AVERAGE($AC$197:$AC$210))</f>
        <v>0</v>
      </c>
      <c r="AE210">
        <f>IF(OR($E210="",$E209=""),"",IF(AND(($C210-$C209)&gt;($D209-$D210),($C210-$C209)&gt;0),$C210-$C209,0))</f>
        <v>0</v>
      </c>
      <c r="AF210">
        <f>IF(OR($E210="",$E209=""),"",IF(AND(($D209-$D210)&gt;($C210-$C209),($D209-$D210)&gt;0),$D209-$D210,0))</f>
        <v>0</v>
      </c>
      <c r="AG210">
        <f>IF(COUNT($E$2:$E210)&lt;15,"",IF(SUM($AC$197:$AC$210)=0,0,100*SUM($AE$197:$AE$210)/SUM($AC$197:$AC$210)))</f>
        <v>0</v>
      </c>
      <c r="AH210">
        <f>IF(COUNT($E$2:$E210)&lt;15,"",IF(SUM($AC$197:$AC$210)=0,0,100*SUM($AF$197:$AF$210)/SUM($AC$197:$AC$210)))</f>
        <v>0</v>
      </c>
      <c r="AI210">
        <f>IF(OR(AG210="",AH210=""),"",IF((AG210+AH210)=0,0,100*ABS(AG210-AH210)/(AG210+AH210)))</f>
        <v>0</v>
      </c>
      <c r="AJ210">
        <f>IF(COUNT($AI$197:$AI$210)&lt;14,"",AVERAGE($AI$197:$AI$210))</f>
        <v>0</v>
      </c>
      <c r="AK210">
        <f>IF(COUNT($E$2:$E210)&lt;20,"",AVERAGE($E$191:$E$210))</f>
        <v>0</v>
      </c>
      <c r="AL210">
        <f>IF(COUNT($E$2:$E210)&lt;20,"",STDEVP($E$191:$E$210))</f>
        <v>0</v>
      </c>
      <c r="AM210">
        <f>IF(AK210="","",AK210+2*AL210)</f>
        <v>0</v>
      </c>
      <c r="AN210">
        <f>IF(AK210="","",AK210-2*AL210)</f>
        <v>0</v>
      </c>
      <c r="AO210">
        <f>IF(OR(AM210="",AN210="",AM210=AN210),"",($E210-AN210)/(AM210-AN210))</f>
        <v>0</v>
      </c>
      <c r="AP210">
        <f>IF(OR(AM210="",AK210="",AK210=0),"",(AM210-AN210)/AK210)</f>
        <v>0</v>
      </c>
      <c r="AQ210">
        <f>IF(COUNT($E$2:$E210)&lt;20,"",MAX($C$191:$C$210))</f>
        <v>0</v>
      </c>
      <c r="AR210">
        <f>IF(COUNT($E$2:$E210)&lt;20,"",MIN($D$191:$D$210))</f>
        <v>0</v>
      </c>
      <c r="AS210">
        <f>IF(OR(AQ210="",AR210=""),"",(AQ210+AR210)/2)</f>
        <v>0</v>
      </c>
      <c r="AT210">
        <f>IF(COUNT($G$191:$G$210)&lt;20,"",STDEV($G$191:$G$210)*SQRT(52))</f>
        <v>0</v>
      </c>
      <c r="AU210">
        <f>IF(COUNT($E$2:$E210)&lt;9,"",(MAX($C$202:$C$210)+MIN($D$202:$D$210))/2)</f>
        <v>0</v>
      </c>
      <c r="AV210">
        <f>IF(COUNT($E$2:$E210)&lt;26,"",(MAX($C$185:$C$210)+MIN($D$185:$D$210))/2)</f>
        <v>0</v>
      </c>
      <c r="AW210">
        <f>IF(OR(AU210="",AV210=""),"",(AU210+AV210)/2)</f>
        <v>0</v>
      </c>
      <c r="AX210">
        <f>IF(COUNT($E$2:$E210)&lt;52,"",(MAX($C$159:$C$210)+MIN($D$159:$D$210))/2)</f>
        <v>0</v>
      </c>
      <c r="AY210">
        <f>IF(COUNT($E$2:$E210)&lt;20,"",MAX($C$111:$C$210))</f>
        <v>0</v>
      </c>
      <c r="AZ210">
        <f>IF(COUNT($E$2:$E210)&lt;20,"",MIN($D$111:$D$210))</f>
        <v>0</v>
      </c>
      <c r="BA210">
        <f>IF(COUNT($E$2:$E210)&lt;20,"",SLOPE($E$111:$E$210,$F$111:$F$210))</f>
        <v>0</v>
      </c>
      <c r="BB210">
        <f>IF(COUNT($E$2:$E210)&lt;20,"",INTERCEPT($E$111:$E$210,$F$111:$F$210))</f>
        <v>0</v>
      </c>
      <c r="BC210">
        <f>IF(OR(BA210="",BB210=""),"",BB210+BA210*F210)</f>
        <v>0</v>
      </c>
      <c r="BD210">
        <f>IF(COUNT($E$2:$E210)&lt;20,"",STEYX($E$111:$E$210,$F$111:$F$210))</f>
        <v>0</v>
      </c>
      <c r="BE210">
        <f>IF($E210="","",IF(AND(COUNT($E$211:$E$214)&gt;=4,$C210=MAX($C$206:$C$214)),$C210,""))</f>
        <v>0</v>
      </c>
      <c r="BF210">
        <f>IF($E210="","",IF(AND(COUNT($E$211:$E$214)&gt;=4,$D210=MIN($D$206:$D$214)),$D210,""))</f>
        <v>0</v>
      </c>
      <c r="BG210">
        <f>IFERROR(SMALL(Calc_Daily!$BM$2:$BM$2001,209),"")</f>
        <v>0</v>
      </c>
    </row>
    <row r="211" spans="1:59">
      <c r="A211" s="27">
        <f>IF($BG211="","",INDEX(Calc_Daily!$A$2:$A$2001,$BG211))</f>
        <v>0</v>
      </c>
      <c r="B211">
        <f>IF($BG211="","",INDEX(Calc_Daily!$BJ$2:$BJ$2001,$BG211))</f>
        <v>0</v>
      </c>
      <c r="C211">
        <f>IF($BG211="","",INDEX(Calc_Daily!$BK$2:$BK$2001,$BG211))</f>
        <v>0</v>
      </c>
      <c r="D211">
        <f>IF($BG211="","",INDEX(Calc_Daily!$BL$2:$BL$2001,$BG211))</f>
        <v>0</v>
      </c>
      <c r="E211">
        <f>IF($BG211="","",INDEX(Calc_Daily!$E$2:$E$2001,$BG211))</f>
        <v>0</v>
      </c>
      <c r="F211">
        <f>IF($E211="","",N(F210)+1)</f>
        <v>0</v>
      </c>
      <c r="G211">
        <f>IF(OR($E211="",$E210=""),"",LN($E211/$E210))</f>
        <v>0</v>
      </c>
      <c r="H211">
        <f>IF($E211="","",IF($E210="",$E211,$E211*0.0952380952+H210*0.9047619048))</f>
        <v>0</v>
      </c>
      <c r="I211">
        <f>IF($E211="","",IF($E210="",$E211,$E211*0.0392156863+I210*0.9607843137))</f>
        <v>0</v>
      </c>
      <c r="J211">
        <f>IF($E211="","",IF($E210="",$E211,$E211*0.0198019802+J210*0.9801980198))</f>
        <v>0</v>
      </c>
      <c r="K211">
        <f>IF($E211="","",IF($E210="",$E211,$E211*0.0099502488+K210*0.9900497512))</f>
        <v>0</v>
      </c>
      <c r="L211">
        <f>IF(OR($E211="",$E210=""),"",MAX($E211-$E210,0))</f>
        <v>0</v>
      </c>
      <c r="M211">
        <f>IF(OR($E211="",$E210=""),"",MAX($E210-$E211,0))</f>
        <v>0</v>
      </c>
      <c r="N211">
        <f>IF(COUNT($E$2:$E211)&lt;15,"",IF(AVERAGE($M$198:$M$211)=0,100,100-100/(1+AVERAGE($L$198:$L$211)/AVERAGE($M$198:$M$211))))</f>
        <v>0</v>
      </c>
      <c r="O211">
        <f>IF($E211="","",IF($E210="",$E211,$E211*0.1538461538+O210*0.8461538462))</f>
        <v>0</v>
      </c>
      <c r="P211">
        <f>IF($E211="","",IF($E210="",$E211,$E211*0.0740740741+P210*0.9259259259))</f>
        <v>0</v>
      </c>
      <c r="Q211">
        <f>IF(OR(O211="",P211=""),"",O211-P211)</f>
        <v>0</v>
      </c>
      <c r="R211">
        <f>IF(Q211="","",IF(R210="",Q211,Q211*0.2000000000+R210*0.8000000000))</f>
        <v>0</v>
      </c>
      <c r="S211">
        <f>IF(OR(Q211="",R211=""),"",Q211-R211)</f>
        <v>0</v>
      </c>
      <c r="T211">
        <f>IF(COUNT($E$2:$E211)&lt;14,"",MAX($C$198:$C$211))</f>
        <v>0</v>
      </c>
      <c r="U211">
        <f>IF(COUNT($E$2:$E211)&lt;14,"",MIN($D$198:$D$211))</f>
        <v>0</v>
      </c>
      <c r="V211">
        <f>IF(OR(T211="",U211="",T211=U211),"",100*($E211-U211)/(T211-U211))</f>
        <v>0</v>
      </c>
      <c r="W211">
        <f>IF(COUNT($V$209:$V$211)&lt;3,"",AVERAGE($V$209:$V$211))</f>
        <v>0</v>
      </c>
      <c r="X211">
        <f>IF(COUNT($N$198:$N$211)&lt;14,"",MIN($N$198:$N$211))</f>
        <v>0</v>
      </c>
      <c r="Y211">
        <f>IF(COUNT($N$198:$N$211)&lt;14,"",MAX($N$198:$N$211))</f>
        <v>0</v>
      </c>
      <c r="Z211">
        <f>IF(OR(N211="",X211="",Y211="",Y211=X211),"",100*(N211-X211)/(Y211-X211))</f>
        <v>0</v>
      </c>
      <c r="AA211">
        <f>IF(COUNT($Z$209:$Z$211)&lt;3,"",AVERAGE($Z$209:$Z$211))</f>
        <v>0</v>
      </c>
      <c r="AB211">
        <f>IF(COUNT($AA$209:$AA$211)&lt;3,"",AVERAGE($AA$209:$AA$211))</f>
        <v>0</v>
      </c>
      <c r="AC211">
        <f>IF($E211="","",MAX($C211-$D211,ABS($C211-$E210),ABS($D211-$E210)))</f>
        <v>0</v>
      </c>
      <c r="AD211">
        <f>IF(COUNT($E$2:$E211)&lt;15,"",AVERAGE($AC$198:$AC$211))</f>
        <v>0</v>
      </c>
      <c r="AE211">
        <f>IF(OR($E211="",$E210=""),"",IF(AND(($C211-$C210)&gt;($D210-$D211),($C211-$C210)&gt;0),$C211-$C210,0))</f>
        <v>0</v>
      </c>
      <c r="AF211">
        <f>IF(OR($E211="",$E210=""),"",IF(AND(($D210-$D211)&gt;($C211-$C210),($D210-$D211)&gt;0),$D210-$D211,0))</f>
        <v>0</v>
      </c>
      <c r="AG211">
        <f>IF(COUNT($E$2:$E211)&lt;15,"",IF(SUM($AC$198:$AC$211)=0,0,100*SUM($AE$198:$AE$211)/SUM($AC$198:$AC$211)))</f>
        <v>0</v>
      </c>
      <c r="AH211">
        <f>IF(COUNT($E$2:$E211)&lt;15,"",IF(SUM($AC$198:$AC$211)=0,0,100*SUM($AF$198:$AF$211)/SUM($AC$198:$AC$211)))</f>
        <v>0</v>
      </c>
      <c r="AI211">
        <f>IF(OR(AG211="",AH211=""),"",IF((AG211+AH211)=0,0,100*ABS(AG211-AH211)/(AG211+AH211)))</f>
        <v>0</v>
      </c>
      <c r="AJ211">
        <f>IF(COUNT($AI$198:$AI$211)&lt;14,"",AVERAGE($AI$198:$AI$211))</f>
        <v>0</v>
      </c>
      <c r="AK211">
        <f>IF(COUNT($E$2:$E211)&lt;20,"",AVERAGE($E$192:$E$211))</f>
        <v>0</v>
      </c>
      <c r="AL211">
        <f>IF(COUNT($E$2:$E211)&lt;20,"",STDEVP($E$192:$E$211))</f>
        <v>0</v>
      </c>
      <c r="AM211">
        <f>IF(AK211="","",AK211+2*AL211)</f>
        <v>0</v>
      </c>
      <c r="AN211">
        <f>IF(AK211="","",AK211-2*AL211)</f>
        <v>0</v>
      </c>
      <c r="AO211">
        <f>IF(OR(AM211="",AN211="",AM211=AN211),"",($E211-AN211)/(AM211-AN211))</f>
        <v>0</v>
      </c>
      <c r="AP211">
        <f>IF(OR(AM211="",AK211="",AK211=0),"",(AM211-AN211)/AK211)</f>
        <v>0</v>
      </c>
      <c r="AQ211">
        <f>IF(COUNT($E$2:$E211)&lt;20,"",MAX($C$192:$C$211))</f>
        <v>0</v>
      </c>
      <c r="AR211">
        <f>IF(COUNT($E$2:$E211)&lt;20,"",MIN($D$192:$D$211))</f>
        <v>0</v>
      </c>
      <c r="AS211">
        <f>IF(OR(AQ211="",AR211=""),"",(AQ211+AR211)/2)</f>
        <v>0</v>
      </c>
      <c r="AT211">
        <f>IF(COUNT($G$192:$G$211)&lt;20,"",STDEV($G$192:$G$211)*SQRT(52))</f>
        <v>0</v>
      </c>
      <c r="AU211">
        <f>IF(COUNT($E$2:$E211)&lt;9,"",(MAX($C$203:$C$211)+MIN($D$203:$D$211))/2)</f>
        <v>0</v>
      </c>
      <c r="AV211">
        <f>IF(COUNT($E$2:$E211)&lt;26,"",(MAX($C$186:$C$211)+MIN($D$186:$D$211))/2)</f>
        <v>0</v>
      </c>
      <c r="AW211">
        <f>IF(OR(AU211="",AV211=""),"",(AU211+AV211)/2)</f>
        <v>0</v>
      </c>
      <c r="AX211">
        <f>IF(COUNT($E$2:$E211)&lt;52,"",(MAX($C$160:$C$211)+MIN($D$160:$D$211))/2)</f>
        <v>0</v>
      </c>
      <c r="AY211">
        <f>IF(COUNT($E$2:$E211)&lt;20,"",MAX($C$112:$C$211))</f>
        <v>0</v>
      </c>
      <c r="AZ211">
        <f>IF(COUNT($E$2:$E211)&lt;20,"",MIN($D$112:$D$211))</f>
        <v>0</v>
      </c>
      <c r="BA211">
        <f>IF(COUNT($E$2:$E211)&lt;20,"",SLOPE($E$112:$E$211,$F$112:$F$211))</f>
        <v>0</v>
      </c>
      <c r="BB211">
        <f>IF(COUNT($E$2:$E211)&lt;20,"",INTERCEPT($E$112:$E$211,$F$112:$F$211))</f>
        <v>0</v>
      </c>
      <c r="BC211">
        <f>IF(OR(BA211="",BB211=""),"",BB211+BA211*F211)</f>
        <v>0</v>
      </c>
      <c r="BD211">
        <f>IF(COUNT($E$2:$E211)&lt;20,"",STEYX($E$112:$E$211,$F$112:$F$211))</f>
        <v>0</v>
      </c>
      <c r="BE211">
        <f>IF($E211="","",IF(AND(COUNT($E$212:$E$215)&gt;=4,$C211=MAX($C$207:$C$215)),$C211,""))</f>
        <v>0</v>
      </c>
      <c r="BF211">
        <f>IF($E211="","",IF(AND(COUNT($E$212:$E$215)&gt;=4,$D211=MIN($D$207:$D$215)),$D211,""))</f>
        <v>0</v>
      </c>
      <c r="BG211">
        <f>IFERROR(SMALL(Calc_Daily!$BM$2:$BM$2001,210),"")</f>
        <v>0</v>
      </c>
    </row>
    <row r="212" spans="1:59">
      <c r="A212" s="27">
        <f>IF($BG212="","",INDEX(Calc_Daily!$A$2:$A$2001,$BG212))</f>
        <v>0</v>
      </c>
      <c r="B212">
        <f>IF($BG212="","",INDEX(Calc_Daily!$BJ$2:$BJ$2001,$BG212))</f>
        <v>0</v>
      </c>
      <c r="C212">
        <f>IF($BG212="","",INDEX(Calc_Daily!$BK$2:$BK$2001,$BG212))</f>
        <v>0</v>
      </c>
      <c r="D212">
        <f>IF($BG212="","",INDEX(Calc_Daily!$BL$2:$BL$2001,$BG212))</f>
        <v>0</v>
      </c>
      <c r="E212">
        <f>IF($BG212="","",INDEX(Calc_Daily!$E$2:$E$2001,$BG212))</f>
        <v>0</v>
      </c>
      <c r="F212">
        <f>IF($E212="","",N(F211)+1)</f>
        <v>0</v>
      </c>
      <c r="G212">
        <f>IF(OR($E212="",$E211=""),"",LN($E212/$E211))</f>
        <v>0</v>
      </c>
      <c r="H212">
        <f>IF($E212="","",IF($E211="",$E212,$E212*0.0952380952+H211*0.9047619048))</f>
        <v>0</v>
      </c>
      <c r="I212">
        <f>IF($E212="","",IF($E211="",$E212,$E212*0.0392156863+I211*0.9607843137))</f>
        <v>0</v>
      </c>
      <c r="J212">
        <f>IF($E212="","",IF($E211="",$E212,$E212*0.0198019802+J211*0.9801980198))</f>
        <v>0</v>
      </c>
      <c r="K212">
        <f>IF($E212="","",IF($E211="",$E212,$E212*0.0099502488+K211*0.9900497512))</f>
        <v>0</v>
      </c>
      <c r="L212">
        <f>IF(OR($E212="",$E211=""),"",MAX($E212-$E211,0))</f>
        <v>0</v>
      </c>
      <c r="M212">
        <f>IF(OR($E212="",$E211=""),"",MAX($E211-$E212,0))</f>
        <v>0</v>
      </c>
      <c r="N212">
        <f>IF(COUNT($E$2:$E212)&lt;15,"",IF(AVERAGE($M$199:$M$212)=0,100,100-100/(1+AVERAGE($L$199:$L$212)/AVERAGE($M$199:$M$212))))</f>
        <v>0</v>
      </c>
      <c r="O212">
        <f>IF($E212="","",IF($E211="",$E212,$E212*0.1538461538+O211*0.8461538462))</f>
        <v>0</v>
      </c>
      <c r="P212">
        <f>IF($E212="","",IF($E211="",$E212,$E212*0.0740740741+P211*0.9259259259))</f>
        <v>0</v>
      </c>
      <c r="Q212">
        <f>IF(OR(O212="",P212=""),"",O212-P212)</f>
        <v>0</v>
      </c>
      <c r="R212">
        <f>IF(Q212="","",IF(R211="",Q212,Q212*0.2000000000+R211*0.8000000000))</f>
        <v>0</v>
      </c>
      <c r="S212">
        <f>IF(OR(Q212="",R212=""),"",Q212-R212)</f>
        <v>0</v>
      </c>
      <c r="T212">
        <f>IF(COUNT($E$2:$E212)&lt;14,"",MAX($C$199:$C$212))</f>
        <v>0</v>
      </c>
      <c r="U212">
        <f>IF(COUNT($E$2:$E212)&lt;14,"",MIN($D$199:$D$212))</f>
        <v>0</v>
      </c>
      <c r="V212">
        <f>IF(OR(T212="",U212="",T212=U212),"",100*($E212-U212)/(T212-U212))</f>
        <v>0</v>
      </c>
      <c r="W212">
        <f>IF(COUNT($V$210:$V$212)&lt;3,"",AVERAGE($V$210:$V$212))</f>
        <v>0</v>
      </c>
      <c r="X212">
        <f>IF(COUNT($N$199:$N$212)&lt;14,"",MIN($N$199:$N$212))</f>
        <v>0</v>
      </c>
      <c r="Y212">
        <f>IF(COUNT($N$199:$N$212)&lt;14,"",MAX($N$199:$N$212))</f>
        <v>0</v>
      </c>
      <c r="Z212">
        <f>IF(OR(N212="",X212="",Y212="",Y212=X212),"",100*(N212-X212)/(Y212-X212))</f>
        <v>0</v>
      </c>
      <c r="AA212">
        <f>IF(COUNT($Z$210:$Z$212)&lt;3,"",AVERAGE($Z$210:$Z$212))</f>
        <v>0</v>
      </c>
      <c r="AB212">
        <f>IF(COUNT($AA$210:$AA$212)&lt;3,"",AVERAGE($AA$210:$AA$212))</f>
        <v>0</v>
      </c>
      <c r="AC212">
        <f>IF($E212="","",MAX($C212-$D212,ABS($C212-$E211),ABS($D212-$E211)))</f>
        <v>0</v>
      </c>
      <c r="AD212">
        <f>IF(COUNT($E$2:$E212)&lt;15,"",AVERAGE($AC$199:$AC$212))</f>
        <v>0</v>
      </c>
      <c r="AE212">
        <f>IF(OR($E212="",$E211=""),"",IF(AND(($C212-$C211)&gt;($D211-$D212),($C212-$C211)&gt;0),$C212-$C211,0))</f>
        <v>0</v>
      </c>
      <c r="AF212">
        <f>IF(OR($E212="",$E211=""),"",IF(AND(($D211-$D212)&gt;($C212-$C211),($D211-$D212)&gt;0),$D211-$D212,0))</f>
        <v>0</v>
      </c>
      <c r="AG212">
        <f>IF(COUNT($E$2:$E212)&lt;15,"",IF(SUM($AC$199:$AC$212)=0,0,100*SUM($AE$199:$AE$212)/SUM($AC$199:$AC$212)))</f>
        <v>0</v>
      </c>
      <c r="AH212">
        <f>IF(COUNT($E$2:$E212)&lt;15,"",IF(SUM($AC$199:$AC$212)=0,0,100*SUM($AF$199:$AF$212)/SUM($AC$199:$AC$212)))</f>
        <v>0</v>
      </c>
      <c r="AI212">
        <f>IF(OR(AG212="",AH212=""),"",IF((AG212+AH212)=0,0,100*ABS(AG212-AH212)/(AG212+AH212)))</f>
        <v>0</v>
      </c>
      <c r="AJ212">
        <f>IF(COUNT($AI$199:$AI$212)&lt;14,"",AVERAGE($AI$199:$AI$212))</f>
        <v>0</v>
      </c>
      <c r="AK212">
        <f>IF(COUNT($E$2:$E212)&lt;20,"",AVERAGE($E$193:$E$212))</f>
        <v>0</v>
      </c>
      <c r="AL212">
        <f>IF(COUNT($E$2:$E212)&lt;20,"",STDEVP($E$193:$E$212))</f>
        <v>0</v>
      </c>
      <c r="AM212">
        <f>IF(AK212="","",AK212+2*AL212)</f>
        <v>0</v>
      </c>
      <c r="AN212">
        <f>IF(AK212="","",AK212-2*AL212)</f>
        <v>0</v>
      </c>
      <c r="AO212">
        <f>IF(OR(AM212="",AN212="",AM212=AN212),"",($E212-AN212)/(AM212-AN212))</f>
        <v>0</v>
      </c>
      <c r="AP212">
        <f>IF(OR(AM212="",AK212="",AK212=0),"",(AM212-AN212)/AK212)</f>
        <v>0</v>
      </c>
      <c r="AQ212">
        <f>IF(COUNT($E$2:$E212)&lt;20,"",MAX($C$193:$C$212))</f>
        <v>0</v>
      </c>
      <c r="AR212">
        <f>IF(COUNT($E$2:$E212)&lt;20,"",MIN($D$193:$D$212))</f>
        <v>0</v>
      </c>
      <c r="AS212">
        <f>IF(OR(AQ212="",AR212=""),"",(AQ212+AR212)/2)</f>
        <v>0</v>
      </c>
      <c r="AT212">
        <f>IF(COUNT($G$193:$G$212)&lt;20,"",STDEV($G$193:$G$212)*SQRT(52))</f>
        <v>0</v>
      </c>
      <c r="AU212">
        <f>IF(COUNT($E$2:$E212)&lt;9,"",(MAX($C$204:$C$212)+MIN($D$204:$D$212))/2)</f>
        <v>0</v>
      </c>
      <c r="AV212">
        <f>IF(COUNT($E$2:$E212)&lt;26,"",(MAX($C$187:$C$212)+MIN($D$187:$D$212))/2)</f>
        <v>0</v>
      </c>
      <c r="AW212">
        <f>IF(OR(AU212="",AV212=""),"",(AU212+AV212)/2)</f>
        <v>0</v>
      </c>
      <c r="AX212">
        <f>IF(COUNT($E$2:$E212)&lt;52,"",(MAX($C$161:$C$212)+MIN($D$161:$D$212))/2)</f>
        <v>0</v>
      </c>
      <c r="AY212">
        <f>IF(COUNT($E$2:$E212)&lt;20,"",MAX($C$113:$C$212))</f>
        <v>0</v>
      </c>
      <c r="AZ212">
        <f>IF(COUNT($E$2:$E212)&lt;20,"",MIN($D$113:$D$212))</f>
        <v>0</v>
      </c>
      <c r="BA212">
        <f>IF(COUNT($E$2:$E212)&lt;20,"",SLOPE($E$113:$E$212,$F$113:$F$212))</f>
        <v>0</v>
      </c>
      <c r="BB212">
        <f>IF(COUNT($E$2:$E212)&lt;20,"",INTERCEPT($E$113:$E$212,$F$113:$F$212))</f>
        <v>0</v>
      </c>
      <c r="BC212">
        <f>IF(OR(BA212="",BB212=""),"",BB212+BA212*F212)</f>
        <v>0</v>
      </c>
      <c r="BD212">
        <f>IF(COUNT($E$2:$E212)&lt;20,"",STEYX($E$113:$E$212,$F$113:$F$212))</f>
        <v>0</v>
      </c>
      <c r="BE212">
        <f>IF($E212="","",IF(AND(COUNT($E$213:$E$216)&gt;=4,$C212=MAX($C$208:$C$216)),$C212,""))</f>
        <v>0</v>
      </c>
      <c r="BF212">
        <f>IF($E212="","",IF(AND(COUNT($E$213:$E$216)&gt;=4,$D212=MIN($D$208:$D$216)),$D212,""))</f>
        <v>0</v>
      </c>
      <c r="BG212">
        <f>IFERROR(SMALL(Calc_Daily!$BM$2:$BM$2001,211),"")</f>
        <v>0</v>
      </c>
    </row>
    <row r="213" spans="1:59">
      <c r="A213" s="27">
        <f>IF($BG213="","",INDEX(Calc_Daily!$A$2:$A$2001,$BG213))</f>
        <v>0</v>
      </c>
      <c r="B213">
        <f>IF($BG213="","",INDEX(Calc_Daily!$BJ$2:$BJ$2001,$BG213))</f>
        <v>0</v>
      </c>
      <c r="C213">
        <f>IF($BG213="","",INDEX(Calc_Daily!$BK$2:$BK$2001,$BG213))</f>
        <v>0</v>
      </c>
      <c r="D213">
        <f>IF($BG213="","",INDEX(Calc_Daily!$BL$2:$BL$2001,$BG213))</f>
        <v>0</v>
      </c>
      <c r="E213">
        <f>IF($BG213="","",INDEX(Calc_Daily!$E$2:$E$2001,$BG213))</f>
        <v>0</v>
      </c>
      <c r="F213">
        <f>IF($E213="","",N(F212)+1)</f>
        <v>0</v>
      </c>
      <c r="G213">
        <f>IF(OR($E213="",$E212=""),"",LN($E213/$E212))</f>
        <v>0</v>
      </c>
      <c r="H213">
        <f>IF($E213="","",IF($E212="",$E213,$E213*0.0952380952+H212*0.9047619048))</f>
        <v>0</v>
      </c>
      <c r="I213">
        <f>IF($E213="","",IF($E212="",$E213,$E213*0.0392156863+I212*0.9607843137))</f>
        <v>0</v>
      </c>
      <c r="J213">
        <f>IF($E213="","",IF($E212="",$E213,$E213*0.0198019802+J212*0.9801980198))</f>
        <v>0</v>
      </c>
      <c r="K213">
        <f>IF($E213="","",IF($E212="",$E213,$E213*0.0099502488+K212*0.9900497512))</f>
        <v>0</v>
      </c>
      <c r="L213">
        <f>IF(OR($E213="",$E212=""),"",MAX($E213-$E212,0))</f>
        <v>0</v>
      </c>
      <c r="M213">
        <f>IF(OR($E213="",$E212=""),"",MAX($E212-$E213,0))</f>
        <v>0</v>
      </c>
      <c r="N213">
        <f>IF(COUNT($E$2:$E213)&lt;15,"",IF(AVERAGE($M$200:$M$213)=0,100,100-100/(1+AVERAGE($L$200:$L$213)/AVERAGE($M$200:$M$213))))</f>
        <v>0</v>
      </c>
      <c r="O213">
        <f>IF($E213="","",IF($E212="",$E213,$E213*0.1538461538+O212*0.8461538462))</f>
        <v>0</v>
      </c>
      <c r="P213">
        <f>IF($E213="","",IF($E212="",$E213,$E213*0.0740740741+P212*0.9259259259))</f>
        <v>0</v>
      </c>
      <c r="Q213">
        <f>IF(OR(O213="",P213=""),"",O213-P213)</f>
        <v>0</v>
      </c>
      <c r="R213">
        <f>IF(Q213="","",IF(R212="",Q213,Q213*0.2000000000+R212*0.8000000000))</f>
        <v>0</v>
      </c>
      <c r="S213">
        <f>IF(OR(Q213="",R213=""),"",Q213-R213)</f>
        <v>0</v>
      </c>
      <c r="T213">
        <f>IF(COUNT($E$2:$E213)&lt;14,"",MAX($C$200:$C$213))</f>
        <v>0</v>
      </c>
      <c r="U213">
        <f>IF(COUNT($E$2:$E213)&lt;14,"",MIN($D$200:$D$213))</f>
        <v>0</v>
      </c>
      <c r="V213">
        <f>IF(OR(T213="",U213="",T213=U213),"",100*($E213-U213)/(T213-U213))</f>
        <v>0</v>
      </c>
      <c r="W213">
        <f>IF(COUNT($V$211:$V$213)&lt;3,"",AVERAGE($V$211:$V$213))</f>
        <v>0</v>
      </c>
      <c r="X213">
        <f>IF(COUNT($N$200:$N$213)&lt;14,"",MIN($N$200:$N$213))</f>
        <v>0</v>
      </c>
      <c r="Y213">
        <f>IF(COUNT($N$200:$N$213)&lt;14,"",MAX($N$200:$N$213))</f>
        <v>0</v>
      </c>
      <c r="Z213">
        <f>IF(OR(N213="",X213="",Y213="",Y213=X213),"",100*(N213-X213)/(Y213-X213))</f>
        <v>0</v>
      </c>
      <c r="AA213">
        <f>IF(COUNT($Z$211:$Z$213)&lt;3,"",AVERAGE($Z$211:$Z$213))</f>
        <v>0</v>
      </c>
      <c r="AB213">
        <f>IF(COUNT($AA$211:$AA$213)&lt;3,"",AVERAGE($AA$211:$AA$213))</f>
        <v>0</v>
      </c>
      <c r="AC213">
        <f>IF($E213="","",MAX($C213-$D213,ABS($C213-$E212),ABS($D213-$E212)))</f>
        <v>0</v>
      </c>
      <c r="AD213">
        <f>IF(COUNT($E$2:$E213)&lt;15,"",AVERAGE($AC$200:$AC$213))</f>
        <v>0</v>
      </c>
      <c r="AE213">
        <f>IF(OR($E213="",$E212=""),"",IF(AND(($C213-$C212)&gt;($D212-$D213),($C213-$C212)&gt;0),$C213-$C212,0))</f>
        <v>0</v>
      </c>
      <c r="AF213">
        <f>IF(OR($E213="",$E212=""),"",IF(AND(($D212-$D213)&gt;($C213-$C212),($D212-$D213)&gt;0),$D212-$D213,0))</f>
        <v>0</v>
      </c>
      <c r="AG213">
        <f>IF(COUNT($E$2:$E213)&lt;15,"",IF(SUM($AC$200:$AC$213)=0,0,100*SUM($AE$200:$AE$213)/SUM($AC$200:$AC$213)))</f>
        <v>0</v>
      </c>
      <c r="AH213">
        <f>IF(COUNT($E$2:$E213)&lt;15,"",IF(SUM($AC$200:$AC$213)=0,0,100*SUM($AF$200:$AF$213)/SUM($AC$200:$AC$213)))</f>
        <v>0</v>
      </c>
      <c r="AI213">
        <f>IF(OR(AG213="",AH213=""),"",IF((AG213+AH213)=0,0,100*ABS(AG213-AH213)/(AG213+AH213)))</f>
        <v>0</v>
      </c>
      <c r="AJ213">
        <f>IF(COUNT($AI$200:$AI$213)&lt;14,"",AVERAGE($AI$200:$AI$213))</f>
        <v>0</v>
      </c>
      <c r="AK213">
        <f>IF(COUNT($E$2:$E213)&lt;20,"",AVERAGE($E$194:$E$213))</f>
        <v>0</v>
      </c>
      <c r="AL213">
        <f>IF(COUNT($E$2:$E213)&lt;20,"",STDEVP($E$194:$E$213))</f>
        <v>0</v>
      </c>
      <c r="AM213">
        <f>IF(AK213="","",AK213+2*AL213)</f>
        <v>0</v>
      </c>
      <c r="AN213">
        <f>IF(AK213="","",AK213-2*AL213)</f>
        <v>0</v>
      </c>
      <c r="AO213">
        <f>IF(OR(AM213="",AN213="",AM213=AN213),"",($E213-AN213)/(AM213-AN213))</f>
        <v>0</v>
      </c>
      <c r="AP213">
        <f>IF(OR(AM213="",AK213="",AK213=0),"",(AM213-AN213)/AK213)</f>
        <v>0</v>
      </c>
      <c r="AQ213">
        <f>IF(COUNT($E$2:$E213)&lt;20,"",MAX($C$194:$C$213))</f>
        <v>0</v>
      </c>
      <c r="AR213">
        <f>IF(COUNT($E$2:$E213)&lt;20,"",MIN($D$194:$D$213))</f>
        <v>0</v>
      </c>
      <c r="AS213">
        <f>IF(OR(AQ213="",AR213=""),"",(AQ213+AR213)/2)</f>
        <v>0</v>
      </c>
      <c r="AT213">
        <f>IF(COUNT($G$194:$G$213)&lt;20,"",STDEV($G$194:$G$213)*SQRT(52))</f>
        <v>0</v>
      </c>
      <c r="AU213">
        <f>IF(COUNT($E$2:$E213)&lt;9,"",(MAX($C$205:$C$213)+MIN($D$205:$D$213))/2)</f>
        <v>0</v>
      </c>
      <c r="AV213">
        <f>IF(COUNT($E$2:$E213)&lt;26,"",(MAX($C$188:$C$213)+MIN($D$188:$D$213))/2)</f>
        <v>0</v>
      </c>
      <c r="AW213">
        <f>IF(OR(AU213="",AV213=""),"",(AU213+AV213)/2)</f>
        <v>0</v>
      </c>
      <c r="AX213">
        <f>IF(COUNT($E$2:$E213)&lt;52,"",(MAX($C$162:$C$213)+MIN($D$162:$D$213))/2)</f>
        <v>0</v>
      </c>
      <c r="AY213">
        <f>IF(COUNT($E$2:$E213)&lt;20,"",MAX($C$114:$C$213))</f>
        <v>0</v>
      </c>
      <c r="AZ213">
        <f>IF(COUNT($E$2:$E213)&lt;20,"",MIN($D$114:$D$213))</f>
        <v>0</v>
      </c>
      <c r="BA213">
        <f>IF(COUNT($E$2:$E213)&lt;20,"",SLOPE($E$114:$E$213,$F$114:$F$213))</f>
        <v>0</v>
      </c>
      <c r="BB213">
        <f>IF(COUNT($E$2:$E213)&lt;20,"",INTERCEPT($E$114:$E$213,$F$114:$F$213))</f>
        <v>0</v>
      </c>
      <c r="BC213">
        <f>IF(OR(BA213="",BB213=""),"",BB213+BA213*F213)</f>
        <v>0</v>
      </c>
      <c r="BD213">
        <f>IF(COUNT($E$2:$E213)&lt;20,"",STEYX($E$114:$E$213,$F$114:$F$213))</f>
        <v>0</v>
      </c>
      <c r="BE213">
        <f>IF($E213="","",IF(AND(COUNT($E$214:$E$217)&gt;=4,$C213=MAX($C$209:$C$217)),$C213,""))</f>
        <v>0</v>
      </c>
      <c r="BF213">
        <f>IF($E213="","",IF(AND(COUNT($E$214:$E$217)&gt;=4,$D213=MIN($D$209:$D$217)),$D213,""))</f>
        <v>0</v>
      </c>
      <c r="BG213">
        <f>IFERROR(SMALL(Calc_Daily!$BM$2:$BM$2001,212),"")</f>
        <v>0</v>
      </c>
    </row>
    <row r="214" spans="1:59">
      <c r="A214" s="27">
        <f>IF($BG214="","",INDEX(Calc_Daily!$A$2:$A$2001,$BG214))</f>
        <v>0</v>
      </c>
      <c r="B214">
        <f>IF($BG214="","",INDEX(Calc_Daily!$BJ$2:$BJ$2001,$BG214))</f>
        <v>0</v>
      </c>
      <c r="C214">
        <f>IF($BG214="","",INDEX(Calc_Daily!$BK$2:$BK$2001,$BG214))</f>
        <v>0</v>
      </c>
      <c r="D214">
        <f>IF($BG214="","",INDEX(Calc_Daily!$BL$2:$BL$2001,$BG214))</f>
        <v>0</v>
      </c>
      <c r="E214">
        <f>IF($BG214="","",INDEX(Calc_Daily!$E$2:$E$2001,$BG214))</f>
        <v>0</v>
      </c>
      <c r="F214">
        <f>IF($E214="","",N(F213)+1)</f>
        <v>0</v>
      </c>
      <c r="G214">
        <f>IF(OR($E214="",$E213=""),"",LN($E214/$E213))</f>
        <v>0</v>
      </c>
      <c r="H214">
        <f>IF($E214="","",IF($E213="",$E214,$E214*0.0952380952+H213*0.9047619048))</f>
        <v>0</v>
      </c>
      <c r="I214">
        <f>IF($E214="","",IF($E213="",$E214,$E214*0.0392156863+I213*0.9607843137))</f>
        <v>0</v>
      </c>
      <c r="J214">
        <f>IF($E214="","",IF($E213="",$E214,$E214*0.0198019802+J213*0.9801980198))</f>
        <v>0</v>
      </c>
      <c r="K214">
        <f>IF($E214="","",IF($E213="",$E214,$E214*0.0099502488+K213*0.9900497512))</f>
        <v>0</v>
      </c>
      <c r="L214">
        <f>IF(OR($E214="",$E213=""),"",MAX($E214-$E213,0))</f>
        <v>0</v>
      </c>
      <c r="M214">
        <f>IF(OR($E214="",$E213=""),"",MAX($E213-$E214,0))</f>
        <v>0</v>
      </c>
      <c r="N214">
        <f>IF(COUNT($E$2:$E214)&lt;15,"",IF(AVERAGE($M$201:$M$214)=0,100,100-100/(1+AVERAGE($L$201:$L$214)/AVERAGE($M$201:$M$214))))</f>
        <v>0</v>
      </c>
      <c r="O214">
        <f>IF($E214="","",IF($E213="",$E214,$E214*0.1538461538+O213*0.8461538462))</f>
        <v>0</v>
      </c>
      <c r="P214">
        <f>IF($E214="","",IF($E213="",$E214,$E214*0.0740740741+P213*0.9259259259))</f>
        <v>0</v>
      </c>
      <c r="Q214">
        <f>IF(OR(O214="",P214=""),"",O214-P214)</f>
        <v>0</v>
      </c>
      <c r="R214">
        <f>IF(Q214="","",IF(R213="",Q214,Q214*0.2000000000+R213*0.8000000000))</f>
        <v>0</v>
      </c>
      <c r="S214">
        <f>IF(OR(Q214="",R214=""),"",Q214-R214)</f>
        <v>0</v>
      </c>
      <c r="T214">
        <f>IF(COUNT($E$2:$E214)&lt;14,"",MAX($C$201:$C$214))</f>
        <v>0</v>
      </c>
      <c r="U214">
        <f>IF(COUNT($E$2:$E214)&lt;14,"",MIN($D$201:$D$214))</f>
        <v>0</v>
      </c>
      <c r="V214">
        <f>IF(OR(T214="",U214="",T214=U214),"",100*($E214-U214)/(T214-U214))</f>
        <v>0</v>
      </c>
      <c r="W214">
        <f>IF(COUNT($V$212:$V$214)&lt;3,"",AVERAGE($V$212:$V$214))</f>
        <v>0</v>
      </c>
      <c r="X214">
        <f>IF(COUNT($N$201:$N$214)&lt;14,"",MIN($N$201:$N$214))</f>
        <v>0</v>
      </c>
      <c r="Y214">
        <f>IF(COUNT($N$201:$N$214)&lt;14,"",MAX($N$201:$N$214))</f>
        <v>0</v>
      </c>
      <c r="Z214">
        <f>IF(OR(N214="",X214="",Y214="",Y214=X214),"",100*(N214-X214)/(Y214-X214))</f>
        <v>0</v>
      </c>
      <c r="AA214">
        <f>IF(COUNT($Z$212:$Z$214)&lt;3,"",AVERAGE($Z$212:$Z$214))</f>
        <v>0</v>
      </c>
      <c r="AB214">
        <f>IF(COUNT($AA$212:$AA$214)&lt;3,"",AVERAGE($AA$212:$AA$214))</f>
        <v>0</v>
      </c>
      <c r="AC214">
        <f>IF($E214="","",MAX($C214-$D214,ABS($C214-$E213),ABS($D214-$E213)))</f>
        <v>0</v>
      </c>
      <c r="AD214">
        <f>IF(COUNT($E$2:$E214)&lt;15,"",AVERAGE($AC$201:$AC$214))</f>
        <v>0</v>
      </c>
      <c r="AE214">
        <f>IF(OR($E214="",$E213=""),"",IF(AND(($C214-$C213)&gt;($D213-$D214),($C214-$C213)&gt;0),$C214-$C213,0))</f>
        <v>0</v>
      </c>
      <c r="AF214">
        <f>IF(OR($E214="",$E213=""),"",IF(AND(($D213-$D214)&gt;($C214-$C213),($D213-$D214)&gt;0),$D213-$D214,0))</f>
        <v>0</v>
      </c>
      <c r="AG214">
        <f>IF(COUNT($E$2:$E214)&lt;15,"",IF(SUM($AC$201:$AC$214)=0,0,100*SUM($AE$201:$AE$214)/SUM($AC$201:$AC$214)))</f>
        <v>0</v>
      </c>
      <c r="AH214">
        <f>IF(COUNT($E$2:$E214)&lt;15,"",IF(SUM($AC$201:$AC$214)=0,0,100*SUM($AF$201:$AF$214)/SUM($AC$201:$AC$214)))</f>
        <v>0</v>
      </c>
      <c r="AI214">
        <f>IF(OR(AG214="",AH214=""),"",IF((AG214+AH214)=0,0,100*ABS(AG214-AH214)/(AG214+AH214)))</f>
        <v>0</v>
      </c>
      <c r="AJ214">
        <f>IF(COUNT($AI$201:$AI$214)&lt;14,"",AVERAGE($AI$201:$AI$214))</f>
        <v>0</v>
      </c>
      <c r="AK214">
        <f>IF(COUNT($E$2:$E214)&lt;20,"",AVERAGE($E$195:$E$214))</f>
        <v>0</v>
      </c>
      <c r="AL214">
        <f>IF(COUNT($E$2:$E214)&lt;20,"",STDEVP($E$195:$E$214))</f>
        <v>0</v>
      </c>
      <c r="AM214">
        <f>IF(AK214="","",AK214+2*AL214)</f>
        <v>0</v>
      </c>
      <c r="AN214">
        <f>IF(AK214="","",AK214-2*AL214)</f>
        <v>0</v>
      </c>
      <c r="AO214">
        <f>IF(OR(AM214="",AN214="",AM214=AN214),"",($E214-AN214)/(AM214-AN214))</f>
        <v>0</v>
      </c>
      <c r="AP214">
        <f>IF(OR(AM214="",AK214="",AK214=0),"",(AM214-AN214)/AK214)</f>
        <v>0</v>
      </c>
      <c r="AQ214">
        <f>IF(COUNT($E$2:$E214)&lt;20,"",MAX($C$195:$C$214))</f>
        <v>0</v>
      </c>
      <c r="AR214">
        <f>IF(COUNT($E$2:$E214)&lt;20,"",MIN($D$195:$D$214))</f>
        <v>0</v>
      </c>
      <c r="AS214">
        <f>IF(OR(AQ214="",AR214=""),"",(AQ214+AR214)/2)</f>
        <v>0</v>
      </c>
      <c r="AT214">
        <f>IF(COUNT($G$195:$G$214)&lt;20,"",STDEV($G$195:$G$214)*SQRT(52))</f>
        <v>0</v>
      </c>
      <c r="AU214">
        <f>IF(COUNT($E$2:$E214)&lt;9,"",(MAX($C$206:$C$214)+MIN($D$206:$D$214))/2)</f>
        <v>0</v>
      </c>
      <c r="AV214">
        <f>IF(COUNT($E$2:$E214)&lt;26,"",(MAX($C$189:$C$214)+MIN($D$189:$D$214))/2)</f>
        <v>0</v>
      </c>
      <c r="AW214">
        <f>IF(OR(AU214="",AV214=""),"",(AU214+AV214)/2)</f>
        <v>0</v>
      </c>
      <c r="AX214">
        <f>IF(COUNT($E$2:$E214)&lt;52,"",(MAX($C$163:$C$214)+MIN($D$163:$D$214))/2)</f>
        <v>0</v>
      </c>
      <c r="AY214">
        <f>IF(COUNT($E$2:$E214)&lt;20,"",MAX($C$115:$C$214))</f>
        <v>0</v>
      </c>
      <c r="AZ214">
        <f>IF(COUNT($E$2:$E214)&lt;20,"",MIN($D$115:$D$214))</f>
        <v>0</v>
      </c>
      <c r="BA214">
        <f>IF(COUNT($E$2:$E214)&lt;20,"",SLOPE($E$115:$E$214,$F$115:$F$214))</f>
        <v>0</v>
      </c>
      <c r="BB214">
        <f>IF(COUNT($E$2:$E214)&lt;20,"",INTERCEPT($E$115:$E$214,$F$115:$F$214))</f>
        <v>0</v>
      </c>
      <c r="BC214">
        <f>IF(OR(BA214="",BB214=""),"",BB214+BA214*F214)</f>
        <v>0</v>
      </c>
      <c r="BD214">
        <f>IF(COUNT($E$2:$E214)&lt;20,"",STEYX($E$115:$E$214,$F$115:$F$214))</f>
        <v>0</v>
      </c>
      <c r="BE214">
        <f>IF($E214="","",IF(AND(COUNT($E$215:$E$218)&gt;=4,$C214=MAX($C$210:$C$218)),$C214,""))</f>
        <v>0</v>
      </c>
      <c r="BF214">
        <f>IF($E214="","",IF(AND(COUNT($E$215:$E$218)&gt;=4,$D214=MIN($D$210:$D$218)),$D214,""))</f>
        <v>0</v>
      </c>
      <c r="BG214">
        <f>IFERROR(SMALL(Calc_Daily!$BM$2:$BM$2001,213),"")</f>
        <v>0</v>
      </c>
    </row>
    <row r="215" spans="1:59">
      <c r="A215" s="27">
        <f>IF($BG215="","",INDEX(Calc_Daily!$A$2:$A$2001,$BG215))</f>
        <v>0</v>
      </c>
      <c r="B215">
        <f>IF($BG215="","",INDEX(Calc_Daily!$BJ$2:$BJ$2001,$BG215))</f>
        <v>0</v>
      </c>
      <c r="C215">
        <f>IF($BG215="","",INDEX(Calc_Daily!$BK$2:$BK$2001,$BG215))</f>
        <v>0</v>
      </c>
      <c r="D215">
        <f>IF($BG215="","",INDEX(Calc_Daily!$BL$2:$BL$2001,$BG215))</f>
        <v>0</v>
      </c>
      <c r="E215">
        <f>IF($BG215="","",INDEX(Calc_Daily!$E$2:$E$2001,$BG215))</f>
        <v>0</v>
      </c>
      <c r="F215">
        <f>IF($E215="","",N(F214)+1)</f>
        <v>0</v>
      </c>
      <c r="G215">
        <f>IF(OR($E215="",$E214=""),"",LN($E215/$E214))</f>
        <v>0</v>
      </c>
      <c r="H215">
        <f>IF($E215="","",IF($E214="",$E215,$E215*0.0952380952+H214*0.9047619048))</f>
        <v>0</v>
      </c>
      <c r="I215">
        <f>IF($E215="","",IF($E214="",$E215,$E215*0.0392156863+I214*0.9607843137))</f>
        <v>0</v>
      </c>
      <c r="J215">
        <f>IF($E215="","",IF($E214="",$E215,$E215*0.0198019802+J214*0.9801980198))</f>
        <v>0</v>
      </c>
      <c r="K215">
        <f>IF($E215="","",IF($E214="",$E215,$E215*0.0099502488+K214*0.9900497512))</f>
        <v>0</v>
      </c>
      <c r="L215">
        <f>IF(OR($E215="",$E214=""),"",MAX($E215-$E214,0))</f>
        <v>0</v>
      </c>
      <c r="M215">
        <f>IF(OR($E215="",$E214=""),"",MAX($E214-$E215,0))</f>
        <v>0</v>
      </c>
      <c r="N215">
        <f>IF(COUNT($E$2:$E215)&lt;15,"",IF(AVERAGE($M$202:$M$215)=0,100,100-100/(1+AVERAGE($L$202:$L$215)/AVERAGE($M$202:$M$215))))</f>
        <v>0</v>
      </c>
      <c r="O215">
        <f>IF($E215="","",IF($E214="",$E215,$E215*0.1538461538+O214*0.8461538462))</f>
        <v>0</v>
      </c>
      <c r="P215">
        <f>IF($E215="","",IF($E214="",$E215,$E215*0.0740740741+P214*0.9259259259))</f>
        <v>0</v>
      </c>
      <c r="Q215">
        <f>IF(OR(O215="",P215=""),"",O215-P215)</f>
        <v>0</v>
      </c>
      <c r="R215">
        <f>IF(Q215="","",IF(R214="",Q215,Q215*0.2000000000+R214*0.8000000000))</f>
        <v>0</v>
      </c>
      <c r="S215">
        <f>IF(OR(Q215="",R215=""),"",Q215-R215)</f>
        <v>0</v>
      </c>
      <c r="T215">
        <f>IF(COUNT($E$2:$E215)&lt;14,"",MAX($C$202:$C$215))</f>
        <v>0</v>
      </c>
      <c r="U215">
        <f>IF(COUNT($E$2:$E215)&lt;14,"",MIN($D$202:$D$215))</f>
        <v>0</v>
      </c>
      <c r="V215">
        <f>IF(OR(T215="",U215="",T215=U215),"",100*($E215-U215)/(T215-U215))</f>
        <v>0</v>
      </c>
      <c r="W215">
        <f>IF(COUNT($V$213:$V$215)&lt;3,"",AVERAGE($V$213:$V$215))</f>
        <v>0</v>
      </c>
      <c r="X215">
        <f>IF(COUNT($N$202:$N$215)&lt;14,"",MIN($N$202:$N$215))</f>
        <v>0</v>
      </c>
      <c r="Y215">
        <f>IF(COUNT($N$202:$N$215)&lt;14,"",MAX($N$202:$N$215))</f>
        <v>0</v>
      </c>
      <c r="Z215">
        <f>IF(OR(N215="",X215="",Y215="",Y215=X215),"",100*(N215-X215)/(Y215-X215))</f>
        <v>0</v>
      </c>
      <c r="AA215">
        <f>IF(COUNT($Z$213:$Z$215)&lt;3,"",AVERAGE($Z$213:$Z$215))</f>
        <v>0</v>
      </c>
      <c r="AB215">
        <f>IF(COUNT($AA$213:$AA$215)&lt;3,"",AVERAGE($AA$213:$AA$215))</f>
        <v>0</v>
      </c>
      <c r="AC215">
        <f>IF($E215="","",MAX($C215-$D215,ABS($C215-$E214),ABS($D215-$E214)))</f>
        <v>0</v>
      </c>
      <c r="AD215">
        <f>IF(COUNT($E$2:$E215)&lt;15,"",AVERAGE($AC$202:$AC$215))</f>
        <v>0</v>
      </c>
      <c r="AE215">
        <f>IF(OR($E215="",$E214=""),"",IF(AND(($C215-$C214)&gt;($D214-$D215),($C215-$C214)&gt;0),$C215-$C214,0))</f>
        <v>0</v>
      </c>
      <c r="AF215">
        <f>IF(OR($E215="",$E214=""),"",IF(AND(($D214-$D215)&gt;($C215-$C214),($D214-$D215)&gt;0),$D214-$D215,0))</f>
        <v>0</v>
      </c>
      <c r="AG215">
        <f>IF(COUNT($E$2:$E215)&lt;15,"",IF(SUM($AC$202:$AC$215)=0,0,100*SUM($AE$202:$AE$215)/SUM($AC$202:$AC$215)))</f>
        <v>0</v>
      </c>
      <c r="AH215">
        <f>IF(COUNT($E$2:$E215)&lt;15,"",IF(SUM($AC$202:$AC$215)=0,0,100*SUM($AF$202:$AF$215)/SUM($AC$202:$AC$215)))</f>
        <v>0</v>
      </c>
      <c r="AI215">
        <f>IF(OR(AG215="",AH215=""),"",IF((AG215+AH215)=0,0,100*ABS(AG215-AH215)/(AG215+AH215)))</f>
        <v>0</v>
      </c>
      <c r="AJ215">
        <f>IF(COUNT($AI$202:$AI$215)&lt;14,"",AVERAGE($AI$202:$AI$215))</f>
        <v>0</v>
      </c>
      <c r="AK215">
        <f>IF(COUNT($E$2:$E215)&lt;20,"",AVERAGE($E$196:$E$215))</f>
        <v>0</v>
      </c>
      <c r="AL215">
        <f>IF(COUNT($E$2:$E215)&lt;20,"",STDEVP($E$196:$E$215))</f>
        <v>0</v>
      </c>
      <c r="AM215">
        <f>IF(AK215="","",AK215+2*AL215)</f>
        <v>0</v>
      </c>
      <c r="AN215">
        <f>IF(AK215="","",AK215-2*AL215)</f>
        <v>0</v>
      </c>
      <c r="AO215">
        <f>IF(OR(AM215="",AN215="",AM215=AN215),"",($E215-AN215)/(AM215-AN215))</f>
        <v>0</v>
      </c>
      <c r="AP215">
        <f>IF(OR(AM215="",AK215="",AK215=0),"",(AM215-AN215)/AK215)</f>
        <v>0</v>
      </c>
      <c r="AQ215">
        <f>IF(COUNT($E$2:$E215)&lt;20,"",MAX($C$196:$C$215))</f>
        <v>0</v>
      </c>
      <c r="AR215">
        <f>IF(COUNT($E$2:$E215)&lt;20,"",MIN($D$196:$D$215))</f>
        <v>0</v>
      </c>
      <c r="AS215">
        <f>IF(OR(AQ215="",AR215=""),"",(AQ215+AR215)/2)</f>
        <v>0</v>
      </c>
      <c r="AT215">
        <f>IF(COUNT($G$196:$G$215)&lt;20,"",STDEV($G$196:$G$215)*SQRT(52))</f>
        <v>0</v>
      </c>
      <c r="AU215">
        <f>IF(COUNT($E$2:$E215)&lt;9,"",(MAX($C$207:$C$215)+MIN($D$207:$D$215))/2)</f>
        <v>0</v>
      </c>
      <c r="AV215">
        <f>IF(COUNT($E$2:$E215)&lt;26,"",(MAX($C$190:$C$215)+MIN($D$190:$D$215))/2)</f>
        <v>0</v>
      </c>
      <c r="AW215">
        <f>IF(OR(AU215="",AV215=""),"",(AU215+AV215)/2)</f>
        <v>0</v>
      </c>
      <c r="AX215">
        <f>IF(COUNT($E$2:$E215)&lt;52,"",(MAX($C$164:$C$215)+MIN($D$164:$D$215))/2)</f>
        <v>0</v>
      </c>
      <c r="AY215">
        <f>IF(COUNT($E$2:$E215)&lt;20,"",MAX($C$116:$C$215))</f>
        <v>0</v>
      </c>
      <c r="AZ215">
        <f>IF(COUNT($E$2:$E215)&lt;20,"",MIN($D$116:$D$215))</f>
        <v>0</v>
      </c>
      <c r="BA215">
        <f>IF(COUNT($E$2:$E215)&lt;20,"",SLOPE($E$116:$E$215,$F$116:$F$215))</f>
        <v>0</v>
      </c>
      <c r="BB215">
        <f>IF(COUNT($E$2:$E215)&lt;20,"",INTERCEPT($E$116:$E$215,$F$116:$F$215))</f>
        <v>0</v>
      </c>
      <c r="BC215">
        <f>IF(OR(BA215="",BB215=""),"",BB215+BA215*F215)</f>
        <v>0</v>
      </c>
      <c r="BD215">
        <f>IF(COUNT($E$2:$E215)&lt;20,"",STEYX($E$116:$E$215,$F$116:$F$215))</f>
        <v>0</v>
      </c>
      <c r="BE215">
        <f>IF($E215="","",IF(AND(COUNT($E$216:$E$219)&gt;=4,$C215=MAX($C$211:$C$219)),$C215,""))</f>
        <v>0</v>
      </c>
      <c r="BF215">
        <f>IF($E215="","",IF(AND(COUNT($E$216:$E$219)&gt;=4,$D215=MIN($D$211:$D$219)),$D215,""))</f>
        <v>0</v>
      </c>
      <c r="BG215">
        <f>IFERROR(SMALL(Calc_Daily!$BM$2:$BM$2001,214),"")</f>
        <v>0</v>
      </c>
    </row>
    <row r="216" spans="1:59">
      <c r="A216" s="27">
        <f>IF($BG216="","",INDEX(Calc_Daily!$A$2:$A$2001,$BG216))</f>
        <v>0</v>
      </c>
      <c r="B216">
        <f>IF($BG216="","",INDEX(Calc_Daily!$BJ$2:$BJ$2001,$BG216))</f>
        <v>0</v>
      </c>
      <c r="C216">
        <f>IF($BG216="","",INDEX(Calc_Daily!$BK$2:$BK$2001,$BG216))</f>
        <v>0</v>
      </c>
      <c r="D216">
        <f>IF($BG216="","",INDEX(Calc_Daily!$BL$2:$BL$2001,$BG216))</f>
        <v>0</v>
      </c>
      <c r="E216">
        <f>IF($BG216="","",INDEX(Calc_Daily!$E$2:$E$2001,$BG216))</f>
        <v>0</v>
      </c>
      <c r="F216">
        <f>IF($E216="","",N(F215)+1)</f>
        <v>0</v>
      </c>
      <c r="G216">
        <f>IF(OR($E216="",$E215=""),"",LN($E216/$E215))</f>
        <v>0</v>
      </c>
      <c r="H216">
        <f>IF($E216="","",IF($E215="",$E216,$E216*0.0952380952+H215*0.9047619048))</f>
        <v>0</v>
      </c>
      <c r="I216">
        <f>IF($E216="","",IF($E215="",$E216,$E216*0.0392156863+I215*0.9607843137))</f>
        <v>0</v>
      </c>
      <c r="J216">
        <f>IF($E216="","",IF($E215="",$E216,$E216*0.0198019802+J215*0.9801980198))</f>
        <v>0</v>
      </c>
      <c r="K216">
        <f>IF($E216="","",IF($E215="",$E216,$E216*0.0099502488+K215*0.9900497512))</f>
        <v>0</v>
      </c>
      <c r="L216">
        <f>IF(OR($E216="",$E215=""),"",MAX($E216-$E215,0))</f>
        <v>0</v>
      </c>
      <c r="M216">
        <f>IF(OR($E216="",$E215=""),"",MAX($E215-$E216,0))</f>
        <v>0</v>
      </c>
      <c r="N216">
        <f>IF(COUNT($E$2:$E216)&lt;15,"",IF(AVERAGE($M$203:$M$216)=0,100,100-100/(1+AVERAGE($L$203:$L$216)/AVERAGE($M$203:$M$216))))</f>
        <v>0</v>
      </c>
      <c r="O216">
        <f>IF($E216="","",IF($E215="",$E216,$E216*0.1538461538+O215*0.8461538462))</f>
        <v>0</v>
      </c>
      <c r="P216">
        <f>IF($E216="","",IF($E215="",$E216,$E216*0.0740740741+P215*0.9259259259))</f>
        <v>0</v>
      </c>
      <c r="Q216">
        <f>IF(OR(O216="",P216=""),"",O216-P216)</f>
        <v>0</v>
      </c>
      <c r="R216">
        <f>IF(Q216="","",IF(R215="",Q216,Q216*0.2000000000+R215*0.8000000000))</f>
        <v>0</v>
      </c>
      <c r="S216">
        <f>IF(OR(Q216="",R216=""),"",Q216-R216)</f>
        <v>0</v>
      </c>
      <c r="T216">
        <f>IF(COUNT($E$2:$E216)&lt;14,"",MAX($C$203:$C$216))</f>
        <v>0</v>
      </c>
      <c r="U216">
        <f>IF(COUNT($E$2:$E216)&lt;14,"",MIN($D$203:$D$216))</f>
        <v>0</v>
      </c>
      <c r="V216">
        <f>IF(OR(T216="",U216="",T216=U216),"",100*($E216-U216)/(T216-U216))</f>
        <v>0</v>
      </c>
      <c r="W216">
        <f>IF(COUNT($V$214:$V$216)&lt;3,"",AVERAGE($V$214:$V$216))</f>
        <v>0</v>
      </c>
      <c r="X216">
        <f>IF(COUNT($N$203:$N$216)&lt;14,"",MIN($N$203:$N$216))</f>
        <v>0</v>
      </c>
      <c r="Y216">
        <f>IF(COUNT($N$203:$N$216)&lt;14,"",MAX($N$203:$N$216))</f>
        <v>0</v>
      </c>
      <c r="Z216">
        <f>IF(OR(N216="",X216="",Y216="",Y216=X216),"",100*(N216-X216)/(Y216-X216))</f>
        <v>0</v>
      </c>
      <c r="AA216">
        <f>IF(COUNT($Z$214:$Z$216)&lt;3,"",AVERAGE($Z$214:$Z$216))</f>
        <v>0</v>
      </c>
      <c r="AB216">
        <f>IF(COUNT($AA$214:$AA$216)&lt;3,"",AVERAGE($AA$214:$AA$216))</f>
        <v>0</v>
      </c>
      <c r="AC216">
        <f>IF($E216="","",MAX($C216-$D216,ABS($C216-$E215),ABS($D216-$E215)))</f>
        <v>0</v>
      </c>
      <c r="AD216">
        <f>IF(COUNT($E$2:$E216)&lt;15,"",AVERAGE($AC$203:$AC$216))</f>
        <v>0</v>
      </c>
      <c r="AE216">
        <f>IF(OR($E216="",$E215=""),"",IF(AND(($C216-$C215)&gt;($D215-$D216),($C216-$C215)&gt;0),$C216-$C215,0))</f>
        <v>0</v>
      </c>
      <c r="AF216">
        <f>IF(OR($E216="",$E215=""),"",IF(AND(($D215-$D216)&gt;($C216-$C215),($D215-$D216)&gt;0),$D215-$D216,0))</f>
        <v>0</v>
      </c>
      <c r="AG216">
        <f>IF(COUNT($E$2:$E216)&lt;15,"",IF(SUM($AC$203:$AC$216)=0,0,100*SUM($AE$203:$AE$216)/SUM($AC$203:$AC$216)))</f>
        <v>0</v>
      </c>
      <c r="AH216">
        <f>IF(COUNT($E$2:$E216)&lt;15,"",IF(SUM($AC$203:$AC$216)=0,0,100*SUM($AF$203:$AF$216)/SUM($AC$203:$AC$216)))</f>
        <v>0</v>
      </c>
      <c r="AI216">
        <f>IF(OR(AG216="",AH216=""),"",IF((AG216+AH216)=0,0,100*ABS(AG216-AH216)/(AG216+AH216)))</f>
        <v>0</v>
      </c>
      <c r="AJ216">
        <f>IF(COUNT($AI$203:$AI$216)&lt;14,"",AVERAGE($AI$203:$AI$216))</f>
        <v>0</v>
      </c>
      <c r="AK216">
        <f>IF(COUNT($E$2:$E216)&lt;20,"",AVERAGE($E$197:$E$216))</f>
        <v>0</v>
      </c>
      <c r="AL216">
        <f>IF(COUNT($E$2:$E216)&lt;20,"",STDEVP($E$197:$E$216))</f>
        <v>0</v>
      </c>
      <c r="AM216">
        <f>IF(AK216="","",AK216+2*AL216)</f>
        <v>0</v>
      </c>
      <c r="AN216">
        <f>IF(AK216="","",AK216-2*AL216)</f>
        <v>0</v>
      </c>
      <c r="AO216">
        <f>IF(OR(AM216="",AN216="",AM216=AN216),"",($E216-AN216)/(AM216-AN216))</f>
        <v>0</v>
      </c>
      <c r="AP216">
        <f>IF(OR(AM216="",AK216="",AK216=0),"",(AM216-AN216)/AK216)</f>
        <v>0</v>
      </c>
      <c r="AQ216">
        <f>IF(COUNT($E$2:$E216)&lt;20,"",MAX($C$197:$C$216))</f>
        <v>0</v>
      </c>
      <c r="AR216">
        <f>IF(COUNT($E$2:$E216)&lt;20,"",MIN($D$197:$D$216))</f>
        <v>0</v>
      </c>
      <c r="AS216">
        <f>IF(OR(AQ216="",AR216=""),"",(AQ216+AR216)/2)</f>
        <v>0</v>
      </c>
      <c r="AT216">
        <f>IF(COUNT($G$197:$G$216)&lt;20,"",STDEV($G$197:$G$216)*SQRT(52))</f>
        <v>0</v>
      </c>
      <c r="AU216">
        <f>IF(COUNT($E$2:$E216)&lt;9,"",(MAX($C$208:$C$216)+MIN($D$208:$D$216))/2)</f>
        <v>0</v>
      </c>
      <c r="AV216">
        <f>IF(COUNT($E$2:$E216)&lt;26,"",(MAX($C$191:$C$216)+MIN($D$191:$D$216))/2)</f>
        <v>0</v>
      </c>
      <c r="AW216">
        <f>IF(OR(AU216="",AV216=""),"",(AU216+AV216)/2)</f>
        <v>0</v>
      </c>
      <c r="AX216">
        <f>IF(COUNT($E$2:$E216)&lt;52,"",(MAX($C$165:$C$216)+MIN($D$165:$D$216))/2)</f>
        <v>0</v>
      </c>
      <c r="AY216">
        <f>IF(COUNT($E$2:$E216)&lt;20,"",MAX($C$117:$C$216))</f>
        <v>0</v>
      </c>
      <c r="AZ216">
        <f>IF(COUNT($E$2:$E216)&lt;20,"",MIN($D$117:$D$216))</f>
        <v>0</v>
      </c>
      <c r="BA216">
        <f>IF(COUNT($E$2:$E216)&lt;20,"",SLOPE($E$117:$E$216,$F$117:$F$216))</f>
        <v>0</v>
      </c>
      <c r="BB216">
        <f>IF(COUNT($E$2:$E216)&lt;20,"",INTERCEPT($E$117:$E$216,$F$117:$F$216))</f>
        <v>0</v>
      </c>
      <c r="BC216">
        <f>IF(OR(BA216="",BB216=""),"",BB216+BA216*F216)</f>
        <v>0</v>
      </c>
      <c r="BD216">
        <f>IF(COUNT($E$2:$E216)&lt;20,"",STEYX($E$117:$E$216,$F$117:$F$216))</f>
        <v>0</v>
      </c>
      <c r="BE216">
        <f>IF($E216="","",IF(AND(COUNT($E$217:$E$220)&gt;=4,$C216=MAX($C$212:$C$220)),$C216,""))</f>
        <v>0</v>
      </c>
      <c r="BF216">
        <f>IF($E216="","",IF(AND(COUNT($E$217:$E$220)&gt;=4,$D216=MIN($D$212:$D$220)),$D216,""))</f>
        <v>0</v>
      </c>
      <c r="BG216">
        <f>IFERROR(SMALL(Calc_Daily!$BM$2:$BM$2001,215),"")</f>
        <v>0</v>
      </c>
    </row>
    <row r="217" spans="1:59">
      <c r="A217" s="27">
        <f>IF($BG217="","",INDEX(Calc_Daily!$A$2:$A$2001,$BG217))</f>
        <v>0</v>
      </c>
      <c r="B217">
        <f>IF($BG217="","",INDEX(Calc_Daily!$BJ$2:$BJ$2001,$BG217))</f>
        <v>0</v>
      </c>
      <c r="C217">
        <f>IF($BG217="","",INDEX(Calc_Daily!$BK$2:$BK$2001,$BG217))</f>
        <v>0</v>
      </c>
      <c r="D217">
        <f>IF($BG217="","",INDEX(Calc_Daily!$BL$2:$BL$2001,$BG217))</f>
        <v>0</v>
      </c>
      <c r="E217">
        <f>IF($BG217="","",INDEX(Calc_Daily!$E$2:$E$2001,$BG217))</f>
        <v>0</v>
      </c>
      <c r="F217">
        <f>IF($E217="","",N(F216)+1)</f>
        <v>0</v>
      </c>
      <c r="G217">
        <f>IF(OR($E217="",$E216=""),"",LN($E217/$E216))</f>
        <v>0</v>
      </c>
      <c r="H217">
        <f>IF($E217="","",IF($E216="",$E217,$E217*0.0952380952+H216*0.9047619048))</f>
        <v>0</v>
      </c>
      <c r="I217">
        <f>IF($E217="","",IF($E216="",$E217,$E217*0.0392156863+I216*0.9607843137))</f>
        <v>0</v>
      </c>
      <c r="J217">
        <f>IF($E217="","",IF($E216="",$E217,$E217*0.0198019802+J216*0.9801980198))</f>
        <v>0</v>
      </c>
      <c r="K217">
        <f>IF($E217="","",IF($E216="",$E217,$E217*0.0099502488+K216*0.9900497512))</f>
        <v>0</v>
      </c>
      <c r="L217">
        <f>IF(OR($E217="",$E216=""),"",MAX($E217-$E216,0))</f>
        <v>0</v>
      </c>
      <c r="M217">
        <f>IF(OR($E217="",$E216=""),"",MAX($E216-$E217,0))</f>
        <v>0</v>
      </c>
      <c r="N217">
        <f>IF(COUNT($E$2:$E217)&lt;15,"",IF(AVERAGE($M$204:$M$217)=0,100,100-100/(1+AVERAGE($L$204:$L$217)/AVERAGE($M$204:$M$217))))</f>
        <v>0</v>
      </c>
      <c r="O217">
        <f>IF($E217="","",IF($E216="",$E217,$E217*0.1538461538+O216*0.8461538462))</f>
        <v>0</v>
      </c>
      <c r="P217">
        <f>IF($E217="","",IF($E216="",$E217,$E217*0.0740740741+P216*0.9259259259))</f>
        <v>0</v>
      </c>
      <c r="Q217">
        <f>IF(OR(O217="",P217=""),"",O217-P217)</f>
        <v>0</v>
      </c>
      <c r="R217">
        <f>IF(Q217="","",IF(R216="",Q217,Q217*0.2000000000+R216*0.8000000000))</f>
        <v>0</v>
      </c>
      <c r="S217">
        <f>IF(OR(Q217="",R217=""),"",Q217-R217)</f>
        <v>0</v>
      </c>
      <c r="T217">
        <f>IF(COUNT($E$2:$E217)&lt;14,"",MAX($C$204:$C$217))</f>
        <v>0</v>
      </c>
      <c r="U217">
        <f>IF(COUNT($E$2:$E217)&lt;14,"",MIN($D$204:$D$217))</f>
        <v>0</v>
      </c>
      <c r="V217">
        <f>IF(OR(T217="",U217="",T217=U217),"",100*($E217-U217)/(T217-U217))</f>
        <v>0</v>
      </c>
      <c r="W217">
        <f>IF(COUNT($V$215:$V$217)&lt;3,"",AVERAGE($V$215:$V$217))</f>
        <v>0</v>
      </c>
      <c r="X217">
        <f>IF(COUNT($N$204:$N$217)&lt;14,"",MIN($N$204:$N$217))</f>
        <v>0</v>
      </c>
      <c r="Y217">
        <f>IF(COUNT($N$204:$N$217)&lt;14,"",MAX($N$204:$N$217))</f>
        <v>0</v>
      </c>
      <c r="Z217">
        <f>IF(OR(N217="",X217="",Y217="",Y217=X217),"",100*(N217-X217)/(Y217-X217))</f>
        <v>0</v>
      </c>
      <c r="AA217">
        <f>IF(COUNT($Z$215:$Z$217)&lt;3,"",AVERAGE($Z$215:$Z$217))</f>
        <v>0</v>
      </c>
      <c r="AB217">
        <f>IF(COUNT($AA$215:$AA$217)&lt;3,"",AVERAGE($AA$215:$AA$217))</f>
        <v>0</v>
      </c>
      <c r="AC217">
        <f>IF($E217="","",MAX($C217-$D217,ABS($C217-$E216),ABS($D217-$E216)))</f>
        <v>0</v>
      </c>
      <c r="AD217">
        <f>IF(COUNT($E$2:$E217)&lt;15,"",AVERAGE($AC$204:$AC$217))</f>
        <v>0</v>
      </c>
      <c r="AE217">
        <f>IF(OR($E217="",$E216=""),"",IF(AND(($C217-$C216)&gt;($D216-$D217),($C217-$C216)&gt;0),$C217-$C216,0))</f>
        <v>0</v>
      </c>
      <c r="AF217">
        <f>IF(OR($E217="",$E216=""),"",IF(AND(($D216-$D217)&gt;($C217-$C216),($D216-$D217)&gt;0),$D216-$D217,0))</f>
        <v>0</v>
      </c>
      <c r="AG217">
        <f>IF(COUNT($E$2:$E217)&lt;15,"",IF(SUM($AC$204:$AC$217)=0,0,100*SUM($AE$204:$AE$217)/SUM($AC$204:$AC$217)))</f>
        <v>0</v>
      </c>
      <c r="AH217">
        <f>IF(COUNT($E$2:$E217)&lt;15,"",IF(SUM($AC$204:$AC$217)=0,0,100*SUM($AF$204:$AF$217)/SUM($AC$204:$AC$217)))</f>
        <v>0</v>
      </c>
      <c r="AI217">
        <f>IF(OR(AG217="",AH217=""),"",IF((AG217+AH217)=0,0,100*ABS(AG217-AH217)/(AG217+AH217)))</f>
        <v>0</v>
      </c>
      <c r="AJ217">
        <f>IF(COUNT($AI$204:$AI$217)&lt;14,"",AVERAGE($AI$204:$AI$217))</f>
        <v>0</v>
      </c>
      <c r="AK217">
        <f>IF(COUNT($E$2:$E217)&lt;20,"",AVERAGE($E$198:$E$217))</f>
        <v>0</v>
      </c>
      <c r="AL217">
        <f>IF(COUNT($E$2:$E217)&lt;20,"",STDEVP($E$198:$E$217))</f>
        <v>0</v>
      </c>
      <c r="AM217">
        <f>IF(AK217="","",AK217+2*AL217)</f>
        <v>0</v>
      </c>
      <c r="AN217">
        <f>IF(AK217="","",AK217-2*AL217)</f>
        <v>0</v>
      </c>
      <c r="AO217">
        <f>IF(OR(AM217="",AN217="",AM217=AN217),"",($E217-AN217)/(AM217-AN217))</f>
        <v>0</v>
      </c>
      <c r="AP217">
        <f>IF(OR(AM217="",AK217="",AK217=0),"",(AM217-AN217)/AK217)</f>
        <v>0</v>
      </c>
      <c r="AQ217">
        <f>IF(COUNT($E$2:$E217)&lt;20,"",MAX($C$198:$C$217))</f>
        <v>0</v>
      </c>
      <c r="AR217">
        <f>IF(COUNT($E$2:$E217)&lt;20,"",MIN($D$198:$D$217))</f>
        <v>0</v>
      </c>
      <c r="AS217">
        <f>IF(OR(AQ217="",AR217=""),"",(AQ217+AR217)/2)</f>
        <v>0</v>
      </c>
      <c r="AT217">
        <f>IF(COUNT($G$198:$G$217)&lt;20,"",STDEV($G$198:$G$217)*SQRT(52))</f>
        <v>0</v>
      </c>
      <c r="AU217">
        <f>IF(COUNT($E$2:$E217)&lt;9,"",(MAX($C$209:$C$217)+MIN($D$209:$D$217))/2)</f>
        <v>0</v>
      </c>
      <c r="AV217">
        <f>IF(COUNT($E$2:$E217)&lt;26,"",(MAX($C$192:$C$217)+MIN($D$192:$D$217))/2)</f>
        <v>0</v>
      </c>
      <c r="AW217">
        <f>IF(OR(AU217="",AV217=""),"",(AU217+AV217)/2)</f>
        <v>0</v>
      </c>
      <c r="AX217">
        <f>IF(COUNT($E$2:$E217)&lt;52,"",(MAX($C$166:$C$217)+MIN($D$166:$D$217))/2)</f>
        <v>0</v>
      </c>
      <c r="AY217">
        <f>IF(COUNT($E$2:$E217)&lt;20,"",MAX($C$118:$C$217))</f>
        <v>0</v>
      </c>
      <c r="AZ217">
        <f>IF(COUNT($E$2:$E217)&lt;20,"",MIN($D$118:$D$217))</f>
        <v>0</v>
      </c>
      <c r="BA217">
        <f>IF(COUNT($E$2:$E217)&lt;20,"",SLOPE($E$118:$E$217,$F$118:$F$217))</f>
        <v>0</v>
      </c>
      <c r="BB217">
        <f>IF(COUNT($E$2:$E217)&lt;20,"",INTERCEPT($E$118:$E$217,$F$118:$F$217))</f>
        <v>0</v>
      </c>
      <c r="BC217">
        <f>IF(OR(BA217="",BB217=""),"",BB217+BA217*F217)</f>
        <v>0</v>
      </c>
      <c r="BD217">
        <f>IF(COUNT($E$2:$E217)&lt;20,"",STEYX($E$118:$E$217,$F$118:$F$217))</f>
        <v>0</v>
      </c>
      <c r="BE217">
        <f>IF($E217="","",IF(AND(COUNT($E$218:$E$221)&gt;=4,$C217=MAX($C$213:$C$221)),$C217,""))</f>
        <v>0</v>
      </c>
      <c r="BF217">
        <f>IF($E217="","",IF(AND(COUNT($E$218:$E$221)&gt;=4,$D217=MIN($D$213:$D$221)),$D217,""))</f>
        <v>0</v>
      </c>
      <c r="BG217">
        <f>IFERROR(SMALL(Calc_Daily!$BM$2:$BM$2001,216),"")</f>
        <v>0</v>
      </c>
    </row>
    <row r="218" spans="1:59">
      <c r="A218" s="27">
        <f>IF($BG218="","",INDEX(Calc_Daily!$A$2:$A$2001,$BG218))</f>
        <v>0</v>
      </c>
      <c r="B218">
        <f>IF($BG218="","",INDEX(Calc_Daily!$BJ$2:$BJ$2001,$BG218))</f>
        <v>0</v>
      </c>
      <c r="C218">
        <f>IF($BG218="","",INDEX(Calc_Daily!$BK$2:$BK$2001,$BG218))</f>
        <v>0</v>
      </c>
      <c r="D218">
        <f>IF($BG218="","",INDEX(Calc_Daily!$BL$2:$BL$2001,$BG218))</f>
        <v>0</v>
      </c>
      <c r="E218">
        <f>IF($BG218="","",INDEX(Calc_Daily!$E$2:$E$2001,$BG218))</f>
        <v>0</v>
      </c>
      <c r="F218">
        <f>IF($E218="","",N(F217)+1)</f>
        <v>0</v>
      </c>
      <c r="G218">
        <f>IF(OR($E218="",$E217=""),"",LN($E218/$E217))</f>
        <v>0</v>
      </c>
      <c r="H218">
        <f>IF($E218="","",IF($E217="",$E218,$E218*0.0952380952+H217*0.9047619048))</f>
        <v>0</v>
      </c>
      <c r="I218">
        <f>IF($E218="","",IF($E217="",$E218,$E218*0.0392156863+I217*0.9607843137))</f>
        <v>0</v>
      </c>
      <c r="J218">
        <f>IF($E218="","",IF($E217="",$E218,$E218*0.0198019802+J217*0.9801980198))</f>
        <v>0</v>
      </c>
      <c r="K218">
        <f>IF($E218="","",IF($E217="",$E218,$E218*0.0099502488+K217*0.9900497512))</f>
        <v>0</v>
      </c>
      <c r="L218">
        <f>IF(OR($E218="",$E217=""),"",MAX($E218-$E217,0))</f>
        <v>0</v>
      </c>
      <c r="M218">
        <f>IF(OR($E218="",$E217=""),"",MAX($E217-$E218,0))</f>
        <v>0</v>
      </c>
      <c r="N218">
        <f>IF(COUNT($E$2:$E218)&lt;15,"",IF(AVERAGE($M$205:$M$218)=0,100,100-100/(1+AVERAGE($L$205:$L$218)/AVERAGE($M$205:$M$218))))</f>
        <v>0</v>
      </c>
      <c r="O218">
        <f>IF($E218="","",IF($E217="",$E218,$E218*0.1538461538+O217*0.8461538462))</f>
        <v>0</v>
      </c>
      <c r="P218">
        <f>IF($E218="","",IF($E217="",$E218,$E218*0.0740740741+P217*0.9259259259))</f>
        <v>0</v>
      </c>
      <c r="Q218">
        <f>IF(OR(O218="",P218=""),"",O218-P218)</f>
        <v>0</v>
      </c>
      <c r="R218">
        <f>IF(Q218="","",IF(R217="",Q218,Q218*0.2000000000+R217*0.8000000000))</f>
        <v>0</v>
      </c>
      <c r="S218">
        <f>IF(OR(Q218="",R218=""),"",Q218-R218)</f>
        <v>0</v>
      </c>
      <c r="T218">
        <f>IF(COUNT($E$2:$E218)&lt;14,"",MAX($C$205:$C$218))</f>
        <v>0</v>
      </c>
      <c r="U218">
        <f>IF(COUNT($E$2:$E218)&lt;14,"",MIN($D$205:$D$218))</f>
        <v>0</v>
      </c>
      <c r="V218">
        <f>IF(OR(T218="",U218="",T218=U218),"",100*($E218-U218)/(T218-U218))</f>
        <v>0</v>
      </c>
      <c r="W218">
        <f>IF(COUNT($V$216:$V$218)&lt;3,"",AVERAGE($V$216:$V$218))</f>
        <v>0</v>
      </c>
      <c r="X218">
        <f>IF(COUNT($N$205:$N$218)&lt;14,"",MIN($N$205:$N$218))</f>
        <v>0</v>
      </c>
      <c r="Y218">
        <f>IF(COUNT($N$205:$N$218)&lt;14,"",MAX($N$205:$N$218))</f>
        <v>0</v>
      </c>
      <c r="Z218">
        <f>IF(OR(N218="",X218="",Y218="",Y218=X218),"",100*(N218-X218)/(Y218-X218))</f>
        <v>0</v>
      </c>
      <c r="AA218">
        <f>IF(COUNT($Z$216:$Z$218)&lt;3,"",AVERAGE($Z$216:$Z$218))</f>
        <v>0</v>
      </c>
      <c r="AB218">
        <f>IF(COUNT($AA$216:$AA$218)&lt;3,"",AVERAGE($AA$216:$AA$218))</f>
        <v>0</v>
      </c>
      <c r="AC218">
        <f>IF($E218="","",MAX($C218-$D218,ABS($C218-$E217),ABS($D218-$E217)))</f>
        <v>0</v>
      </c>
      <c r="AD218">
        <f>IF(COUNT($E$2:$E218)&lt;15,"",AVERAGE($AC$205:$AC$218))</f>
        <v>0</v>
      </c>
      <c r="AE218">
        <f>IF(OR($E218="",$E217=""),"",IF(AND(($C218-$C217)&gt;($D217-$D218),($C218-$C217)&gt;0),$C218-$C217,0))</f>
        <v>0</v>
      </c>
      <c r="AF218">
        <f>IF(OR($E218="",$E217=""),"",IF(AND(($D217-$D218)&gt;($C218-$C217),($D217-$D218)&gt;0),$D217-$D218,0))</f>
        <v>0</v>
      </c>
      <c r="AG218">
        <f>IF(COUNT($E$2:$E218)&lt;15,"",IF(SUM($AC$205:$AC$218)=0,0,100*SUM($AE$205:$AE$218)/SUM($AC$205:$AC$218)))</f>
        <v>0</v>
      </c>
      <c r="AH218">
        <f>IF(COUNT($E$2:$E218)&lt;15,"",IF(SUM($AC$205:$AC$218)=0,0,100*SUM($AF$205:$AF$218)/SUM($AC$205:$AC$218)))</f>
        <v>0</v>
      </c>
      <c r="AI218">
        <f>IF(OR(AG218="",AH218=""),"",IF((AG218+AH218)=0,0,100*ABS(AG218-AH218)/(AG218+AH218)))</f>
        <v>0</v>
      </c>
      <c r="AJ218">
        <f>IF(COUNT($AI$205:$AI$218)&lt;14,"",AVERAGE($AI$205:$AI$218))</f>
        <v>0</v>
      </c>
      <c r="AK218">
        <f>IF(COUNT($E$2:$E218)&lt;20,"",AVERAGE($E$199:$E$218))</f>
        <v>0</v>
      </c>
      <c r="AL218">
        <f>IF(COUNT($E$2:$E218)&lt;20,"",STDEVP($E$199:$E$218))</f>
        <v>0</v>
      </c>
      <c r="AM218">
        <f>IF(AK218="","",AK218+2*AL218)</f>
        <v>0</v>
      </c>
      <c r="AN218">
        <f>IF(AK218="","",AK218-2*AL218)</f>
        <v>0</v>
      </c>
      <c r="AO218">
        <f>IF(OR(AM218="",AN218="",AM218=AN218),"",($E218-AN218)/(AM218-AN218))</f>
        <v>0</v>
      </c>
      <c r="AP218">
        <f>IF(OR(AM218="",AK218="",AK218=0),"",(AM218-AN218)/AK218)</f>
        <v>0</v>
      </c>
      <c r="AQ218">
        <f>IF(COUNT($E$2:$E218)&lt;20,"",MAX($C$199:$C$218))</f>
        <v>0</v>
      </c>
      <c r="AR218">
        <f>IF(COUNT($E$2:$E218)&lt;20,"",MIN($D$199:$D$218))</f>
        <v>0</v>
      </c>
      <c r="AS218">
        <f>IF(OR(AQ218="",AR218=""),"",(AQ218+AR218)/2)</f>
        <v>0</v>
      </c>
      <c r="AT218">
        <f>IF(COUNT($G$199:$G$218)&lt;20,"",STDEV($G$199:$G$218)*SQRT(52))</f>
        <v>0</v>
      </c>
      <c r="AU218">
        <f>IF(COUNT($E$2:$E218)&lt;9,"",(MAX($C$210:$C$218)+MIN($D$210:$D$218))/2)</f>
        <v>0</v>
      </c>
      <c r="AV218">
        <f>IF(COUNT($E$2:$E218)&lt;26,"",(MAX($C$193:$C$218)+MIN($D$193:$D$218))/2)</f>
        <v>0</v>
      </c>
      <c r="AW218">
        <f>IF(OR(AU218="",AV218=""),"",(AU218+AV218)/2)</f>
        <v>0</v>
      </c>
      <c r="AX218">
        <f>IF(COUNT($E$2:$E218)&lt;52,"",(MAX($C$167:$C$218)+MIN($D$167:$D$218))/2)</f>
        <v>0</v>
      </c>
      <c r="AY218">
        <f>IF(COUNT($E$2:$E218)&lt;20,"",MAX($C$119:$C$218))</f>
        <v>0</v>
      </c>
      <c r="AZ218">
        <f>IF(COUNT($E$2:$E218)&lt;20,"",MIN($D$119:$D$218))</f>
        <v>0</v>
      </c>
      <c r="BA218">
        <f>IF(COUNT($E$2:$E218)&lt;20,"",SLOPE($E$119:$E$218,$F$119:$F$218))</f>
        <v>0</v>
      </c>
      <c r="BB218">
        <f>IF(COUNT($E$2:$E218)&lt;20,"",INTERCEPT($E$119:$E$218,$F$119:$F$218))</f>
        <v>0</v>
      </c>
      <c r="BC218">
        <f>IF(OR(BA218="",BB218=""),"",BB218+BA218*F218)</f>
        <v>0</v>
      </c>
      <c r="BD218">
        <f>IF(COUNT($E$2:$E218)&lt;20,"",STEYX($E$119:$E$218,$F$119:$F$218))</f>
        <v>0</v>
      </c>
      <c r="BE218">
        <f>IF($E218="","",IF(AND(COUNT($E$219:$E$222)&gt;=4,$C218=MAX($C$214:$C$222)),$C218,""))</f>
        <v>0</v>
      </c>
      <c r="BF218">
        <f>IF($E218="","",IF(AND(COUNT($E$219:$E$222)&gt;=4,$D218=MIN($D$214:$D$222)),$D218,""))</f>
        <v>0</v>
      </c>
      <c r="BG218">
        <f>IFERROR(SMALL(Calc_Daily!$BM$2:$BM$2001,217),"")</f>
        <v>0</v>
      </c>
    </row>
    <row r="219" spans="1:59">
      <c r="A219" s="27">
        <f>IF($BG219="","",INDEX(Calc_Daily!$A$2:$A$2001,$BG219))</f>
        <v>0</v>
      </c>
      <c r="B219">
        <f>IF($BG219="","",INDEX(Calc_Daily!$BJ$2:$BJ$2001,$BG219))</f>
        <v>0</v>
      </c>
      <c r="C219">
        <f>IF($BG219="","",INDEX(Calc_Daily!$BK$2:$BK$2001,$BG219))</f>
        <v>0</v>
      </c>
      <c r="D219">
        <f>IF($BG219="","",INDEX(Calc_Daily!$BL$2:$BL$2001,$BG219))</f>
        <v>0</v>
      </c>
      <c r="E219">
        <f>IF($BG219="","",INDEX(Calc_Daily!$E$2:$E$2001,$BG219))</f>
        <v>0</v>
      </c>
      <c r="F219">
        <f>IF($E219="","",N(F218)+1)</f>
        <v>0</v>
      </c>
      <c r="G219">
        <f>IF(OR($E219="",$E218=""),"",LN($E219/$E218))</f>
        <v>0</v>
      </c>
      <c r="H219">
        <f>IF($E219="","",IF($E218="",$E219,$E219*0.0952380952+H218*0.9047619048))</f>
        <v>0</v>
      </c>
      <c r="I219">
        <f>IF($E219="","",IF($E218="",$E219,$E219*0.0392156863+I218*0.9607843137))</f>
        <v>0</v>
      </c>
      <c r="J219">
        <f>IF($E219="","",IF($E218="",$E219,$E219*0.0198019802+J218*0.9801980198))</f>
        <v>0</v>
      </c>
      <c r="K219">
        <f>IF($E219="","",IF($E218="",$E219,$E219*0.0099502488+K218*0.9900497512))</f>
        <v>0</v>
      </c>
      <c r="L219">
        <f>IF(OR($E219="",$E218=""),"",MAX($E219-$E218,0))</f>
        <v>0</v>
      </c>
      <c r="M219">
        <f>IF(OR($E219="",$E218=""),"",MAX($E218-$E219,0))</f>
        <v>0</v>
      </c>
      <c r="N219">
        <f>IF(COUNT($E$2:$E219)&lt;15,"",IF(AVERAGE($M$206:$M$219)=0,100,100-100/(1+AVERAGE($L$206:$L$219)/AVERAGE($M$206:$M$219))))</f>
        <v>0</v>
      </c>
      <c r="O219">
        <f>IF($E219="","",IF($E218="",$E219,$E219*0.1538461538+O218*0.8461538462))</f>
        <v>0</v>
      </c>
      <c r="P219">
        <f>IF($E219="","",IF($E218="",$E219,$E219*0.0740740741+P218*0.9259259259))</f>
        <v>0</v>
      </c>
      <c r="Q219">
        <f>IF(OR(O219="",P219=""),"",O219-P219)</f>
        <v>0</v>
      </c>
      <c r="R219">
        <f>IF(Q219="","",IF(R218="",Q219,Q219*0.2000000000+R218*0.8000000000))</f>
        <v>0</v>
      </c>
      <c r="S219">
        <f>IF(OR(Q219="",R219=""),"",Q219-R219)</f>
        <v>0</v>
      </c>
      <c r="T219">
        <f>IF(COUNT($E$2:$E219)&lt;14,"",MAX($C$206:$C$219))</f>
        <v>0</v>
      </c>
      <c r="U219">
        <f>IF(COUNT($E$2:$E219)&lt;14,"",MIN($D$206:$D$219))</f>
        <v>0</v>
      </c>
      <c r="V219">
        <f>IF(OR(T219="",U219="",T219=U219),"",100*($E219-U219)/(T219-U219))</f>
        <v>0</v>
      </c>
      <c r="W219">
        <f>IF(COUNT($V$217:$V$219)&lt;3,"",AVERAGE($V$217:$V$219))</f>
        <v>0</v>
      </c>
      <c r="X219">
        <f>IF(COUNT($N$206:$N$219)&lt;14,"",MIN($N$206:$N$219))</f>
        <v>0</v>
      </c>
      <c r="Y219">
        <f>IF(COUNT($N$206:$N$219)&lt;14,"",MAX($N$206:$N$219))</f>
        <v>0</v>
      </c>
      <c r="Z219">
        <f>IF(OR(N219="",X219="",Y219="",Y219=X219),"",100*(N219-X219)/(Y219-X219))</f>
        <v>0</v>
      </c>
      <c r="AA219">
        <f>IF(COUNT($Z$217:$Z$219)&lt;3,"",AVERAGE($Z$217:$Z$219))</f>
        <v>0</v>
      </c>
      <c r="AB219">
        <f>IF(COUNT($AA$217:$AA$219)&lt;3,"",AVERAGE($AA$217:$AA$219))</f>
        <v>0</v>
      </c>
      <c r="AC219">
        <f>IF($E219="","",MAX($C219-$D219,ABS($C219-$E218),ABS($D219-$E218)))</f>
        <v>0</v>
      </c>
      <c r="AD219">
        <f>IF(COUNT($E$2:$E219)&lt;15,"",AVERAGE($AC$206:$AC$219))</f>
        <v>0</v>
      </c>
      <c r="AE219">
        <f>IF(OR($E219="",$E218=""),"",IF(AND(($C219-$C218)&gt;($D218-$D219),($C219-$C218)&gt;0),$C219-$C218,0))</f>
        <v>0</v>
      </c>
      <c r="AF219">
        <f>IF(OR($E219="",$E218=""),"",IF(AND(($D218-$D219)&gt;($C219-$C218),($D218-$D219)&gt;0),$D218-$D219,0))</f>
        <v>0</v>
      </c>
      <c r="AG219">
        <f>IF(COUNT($E$2:$E219)&lt;15,"",IF(SUM($AC$206:$AC$219)=0,0,100*SUM($AE$206:$AE$219)/SUM($AC$206:$AC$219)))</f>
        <v>0</v>
      </c>
      <c r="AH219">
        <f>IF(COUNT($E$2:$E219)&lt;15,"",IF(SUM($AC$206:$AC$219)=0,0,100*SUM($AF$206:$AF$219)/SUM($AC$206:$AC$219)))</f>
        <v>0</v>
      </c>
      <c r="AI219">
        <f>IF(OR(AG219="",AH219=""),"",IF((AG219+AH219)=0,0,100*ABS(AG219-AH219)/(AG219+AH219)))</f>
        <v>0</v>
      </c>
      <c r="AJ219">
        <f>IF(COUNT($AI$206:$AI$219)&lt;14,"",AVERAGE($AI$206:$AI$219))</f>
        <v>0</v>
      </c>
      <c r="AK219">
        <f>IF(COUNT($E$2:$E219)&lt;20,"",AVERAGE($E$200:$E$219))</f>
        <v>0</v>
      </c>
      <c r="AL219">
        <f>IF(COUNT($E$2:$E219)&lt;20,"",STDEVP($E$200:$E$219))</f>
        <v>0</v>
      </c>
      <c r="AM219">
        <f>IF(AK219="","",AK219+2*AL219)</f>
        <v>0</v>
      </c>
      <c r="AN219">
        <f>IF(AK219="","",AK219-2*AL219)</f>
        <v>0</v>
      </c>
      <c r="AO219">
        <f>IF(OR(AM219="",AN219="",AM219=AN219),"",($E219-AN219)/(AM219-AN219))</f>
        <v>0</v>
      </c>
      <c r="AP219">
        <f>IF(OR(AM219="",AK219="",AK219=0),"",(AM219-AN219)/AK219)</f>
        <v>0</v>
      </c>
      <c r="AQ219">
        <f>IF(COUNT($E$2:$E219)&lt;20,"",MAX($C$200:$C$219))</f>
        <v>0</v>
      </c>
      <c r="AR219">
        <f>IF(COUNT($E$2:$E219)&lt;20,"",MIN($D$200:$D$219))</f>
        <v>0</v>
      </c>
      <c r="AS219">
        <f>IF(OR(AQ219="",AR219=""),"",(AQ219+AR219)/2)</f>
        <v>0</v>
      </c>
      <c r="AT219">
        <f>IF(COUNT($G$200:$G$219)&lt;20,"",STDEV($G$200:$G$219)*SQRT(52))</f>
        <v>0</v>
      </c>
      <c r="AU219">
        <f>IF(COUNT($E$2:$E219)&lt;9,"",(MAX($C$211:$C$219)+MIN($D$211:$D$219))/2)</f>
        <v>0</v>
      </c>
      <c r="AV219">
        <f>IF(COUNT($E$2:$E219)&lt;26,"",(MAX($C$194:$C$219)+MIN($D$194:$D$219))/2)</f>
        <v>0</v>
      </c>
      <c r="AW219">
        <f>IF(OR(AU219="",AV219=""),"",(AU219+AV219)/2)</f>
        <v>0</v>
      </c>
      <c r="AX219">
        <f>IF(COUNT($E$2:$E219)&lt;52,"",(MAX($C$168:$C$219)+MIN($D$168:$D$219))/2)</f>
        <v>0</v>
      </c>
      <c r="AY219">
        <f>IF(COUNT($E$2:$E219)&lt;20,"",MAX($C$120:$C$219))</f>
        <v>0</v>
      </c>
      <c r="AZ219">
        <f>IF(COUNT($E$2:$E219)&lt;20,"",MIN($D$120:$D$219))</f>
        <v>0</v>
      </c>
      <c r="BA219">
        <f>IF(COUNT($E$2:$E219)&lt;20,"",SLOPE($E$120:$E$219,$F$120:$F$219))</f>
        <v>0</v>
      </c>
      <c r="BB219">
        <f>IF(COUNT($E$2:$E219)&lt;20,"",INTERCEPT($E$120:$E$219,$F$120:$F$219))</f>
        <v>0</v>
      </c>
      <c r="BC219">
        <f>IF(OR(BA219="",BB219=""),"",BB219+BA219*F219)</f>
        <v>0</v>
      </c>
      <c r="BD219">
        <f>IF(COUNT($E$2:$E219)&lt;20,"",STEYX($E$120:$E$219,$F$120:$F$219))</f>
        <v>0</v>
      </c>
      <c r="BE219">
        <f>IF($E219="","",IF(AND(COUNT($E$220:$E$223)&gt;=4,$C219=MAX($C$215:$C$223)),$C219,""))</f>
        <v>0</v>
      </c>
      <c r="BF219">
        <f>IF($E219="","",IF(AND(COUNT($E$220:$E$223)&gt;=4,$D219=MIN($D$215:$D$223)),$D219,""))</f>
        <v>0</v>
      </c>
      <c r="BG219">
        <f>IFERROR(SMALL(Calc_Daily!$BM$2:$BM$2001,218),"")</f>
        <v>0</v>
      </c>
    </row>
    <row r="220" spans="1:59">
      <c r="A220" s="27">
        <f>IF($BG220="","",INDEX(Calc_Daily!$A$2:$A$2001,$BG220))</f>
        <v>0</v>
      </c>
      <c r="B220">
        <f>IF($BG220="","",INDEX(Calc_Daily!$BJ$2:$BJ$2001,$BG220))</f>
        <v>0</v>
      </c>
      <c r="C220">
        <f>IF($BG220="","",INDEX(Calc_Daily!$BK$2:$BK$2001,$BG220))</f>
        <v>0</v>
      </c>
      <c r="D220">
        <f>IF($BG220="","",INDEX(Calc_Daily!$BL$2:$BL$2001,$BG220))</f>
        <v>0</v>
      </c>
      <c r="E220">
        <f>IF($BG220="","",INDEX(Calc_Daily!$E$2:$E$2001,$BG220))</f>
        <v>0</v>
      </c>
      <c r="F220">
        <f>IF($E220="","",N(F219)+1)</f>
        <v>0</v>
      </c>
      <c r="G220">
        <f>IF(OR($E220="",$E219=""),"",LN($E220/$E219))</f>
        <v>0</v>
      </c>
      <c r="H220">
        <f>IF($E220="","",IF($E219="",$E220,$E220*0.0952380952+H219*0.9047619048))</f>
        <v>0</v>
      </c>
      <c r="I220">
        <f>IF($E220="","",IF($E219="",$E220,$E220*0.0392156863+I219*0.9607843137))</f>
        <v>0</v>
      </c>
      <c r="J220">
        <f>IF($E220="","",IF($E219="",$E220,$E220*0.0198019802+J219*0.9801980198))</f>
        <v>0</v>
      </c>
      <c r="K220">
        <f>IF($E220="","",IF($E219="",$E220,$E220*0.0099502488+K219*0.9900497512))</f>
        <v>0</v>
      </c>
      <c r="L220">
        <f>IF(OR($E220="",$E219=""),"",MAX($E220-$E219,0))</f>
        <v>0</v>
      </c>
      <c r="M220">
        <f>IF(OR($E220="",$E219=""),"",MAX($E219-$E220,0))</f>
        <v>0</v>
      </c>
      <c r="N220">
        <f>IF(COUNT($E$2:$E220)&lt;15,"",IF(AVERAGE($M$207:$M$220)=0,100,100-100/(1+AVERAGE($L$207:$L$220)/AVERAGE($M$207:$M$220))))</f>
        <v>0</v>
      </c>
      <c r="O220">
        <f>IF($E220="","",IF($E219="",$E220,$E220*0.1538461538+O219*0.8461538462))</f>
        <v>0</v>
      </c>
      <c r="P220">
        <f>IF($E220="","",IF($E219="",$E220,$E220*0.0740740741+P219*0.9259259259))</f>
        <v>0</v>
      </c>
      <c r="Q220">
        <f>IF(OR(O220="",P220=""),"",O220-P220)</f>
        <v>0</v>
      </c>
      <c r="R220">
        <f>IF(Q220="","",IF(R219="",Q220,Q220*0.2000000000+R219*0.8000000000))</f>
        <v>0</v>
      </c>
      <c r="S220">
        <f>IF(OR(Q220="",R220=""),"",Q220-R220)</f>
        <v>0</v>
      </c>
      <c r="T220">
        <f>IF(COUNT($E$2:$E220)&lt;14,"",MAX($C$207:$C$220))</f>
        <v>0</v>
      </c>
      <c r="U220">
        <f>IF(COUNT($E$2:$E220)&lt;14,"",MIN($D$207:$D$220))</f>
        <v>0</v>
      </c>
      <c r="V220">
        <f>IF(OR(T220="",U220="",T220=U220),"",100*($E220-U220)/(T220-U220))</f>
        <v>0</v>
      </c>
      <c r="W220">
        <f>IF(COUNT($V$218:$V$220)&lt;3,"",AVERAGE($V$218:$V$220))</f>
        <v>0</v>
      </c>
      <c r="X220">
        <f>IF(COUNT($N$207:$N$220)&lt;14,"",MIN($N$207:$N$220))</f>
        <v>0</v>
      </c>
      <c r="Y220">
        <f>IF(COUNT($N$207:$N$220)&lt;14,"",MAX($N$207:$N$220))</f>
        <v>0</v>
      </c>
      <c r="Z220">
        <f>IF(OR(N220="",X220="",Y220="",Y220=X220),"",100*(N220-X220)/(Y220-X220))</f>
        <v>0</v>
      </c>
      <c r="AA220">
        <f>IF(COUNT($Z$218:$Z$220)&lt;3,"",AVERAGE($Z$218:$Z$220))</f>
        <v>0</v>
      </c>
      <c r="AB220">
        <f>IF(COUNT($AA$218:$AA$220)&lt;3,"",AVERAGE($AA$218:$AA$220))</f>
        <v>0</v>
      </c>
      <c r="AC220">
        <f>IF($E220="","",MAX($C220-$D220,ABS($C220-$E219),ABS($D220-$E219)))</f>
        <v>0</v>
      </c>
      <c r="AD220">
        <f>IF(COUNT($E$2:$E220)&lt;15,"",AVERAGE($AC$207:$AC$220))</f>
        <v>0</v>
      </c>
      <c r="AE220">
        <f>IF(OR($E220="",$E219=""),"",IF(AND(($C220-$C219)&gt;($D219-$D220),($C220-$C219)&gt;0),$C220-$C219,0))</f>
        <v>0</v>
      </c>
      <c r="AF220">
        <f>IF(OR($E220="",$E219=""),"",IF(AND(($D219-$D220)&gt;($C220-$C219),($D219-$D220)&gt;0),$D219-$D220,0))</f>
        <v>0</v>
      </c>
      <c r="AG220">
        <f>IF(COUNT($E$2:$E220)&lt;15,"",IF(SUM($AC$207:$AC$220)=0,0,100*SUM($AE$207:$AE$220)/SUM($AC$207:$AC$220)))</f>
        <v>0</v>
      </c>
      <c r="AH220">
        <f>IF(COUNT($E$2:$E220)&lt;15,"",IF(SUM($AC$207:$AC$220)=0,0,100*SUM($AF$207:$AF$220)/SUM($AC$207:$AC$220)))</f>
        <v>0</v>
      </c>
      <c r="AI220">
        <f>IF(OR(AG220="",AH220=""),"",IF((AG220+AH220)=0,0,100*ABS(AG220-AH220)/(AG220+AH220)))</f>
        <v>0</v>
      </c>
      <c r="AJ220">
        <f>IF(COUNT($AI$207:$AI$220)&lt;14,"",AVERAGE($AI$207:$AI$220))</f>
        <v>0</v>
      </c>
      <c r="AK220">
        <f>IF(COUNT($E$2:$E220)&lt;20,"",AVERAGE($E$201:$E$220))</f>
        <v>0</v>
      </c>
      <c r="AL220">
        <f>IF(COUNT($E$2:$E220)&lt;20,"",STDEVP($E$201:$E$220))</f>
        <v>0</v>
      </c>
      <c r="AM220">
        <f>IF(AK220="","",AK220+2*AL220)</f>
        <v>0</v>
      </c>
      <c r="AN220">
        <f>IF(AK220="","",AK220-2*AL220)</f>
        <v>0</v>
      </c>
      <c r="AO220">
        <f>IF(OR(AM220="",AN220="",AM220=AN220),"",($E220-AN220)/(AM220-AN220))</f>
        <v>0</v>
      </c>
      <c r="AP220">
        <f>IF(OR(AM220="",AK220="",AK220=0),"",(AM220-AN220)/AK220)</f>
        <v>0</v>
      </c>
      <c r="AQ220">
        <f>IF(COUNT($E$2:$E220)&lt;20,"",MAX($C$201:$C$220))</f>
        <v>0</v>
      </c>
      <c r="AR220">
        <f>IF(COUNT($E$2:$E220)&lt;20,"",MIN($D$201:$D$220))</f>
        <v>0</v>
      </c>
      <c r="AS220">
        <f>IF(OR(AQ220="",AR220=""),"",(AQ220+AR220)/2)</f>
        <v>0</v>
      </c>
      <c r="AT220">
        <f>IF(COUNT($G$201:$G$220)&lt;20,"",STDEV($G$201:$G$220)*SQRT(52))</f>
        <v>0</v>
      </c>
      <c r="AU220">
        <f>IF(COUNT($E$2:$E220)&lt;9,"",(MAX($C$212:$C$220)+MIN($D$212:$D$220))/2)</f>
        <v>0</v>
      </c>
      <c r="AV220">
        <f>IF(COUNT($E$2:$E220)&lt;26,"",(MAX($C$195:$C$220)+MIN($D$195:$D$220))/2)</f>
        <v>0</v>
      </c>
      <c r="AW220">
        <f>IF(OR(AU220="",AV220=""),"",(AU220+AV220)/2)</f>
        <v>0</v>
      </c>
      <c r="AX220">
        <f>IF(COUNT($E$2:$E220)&lt;52,"",(MAX($C$169:$C$220)+MIN($D$169:$D$220))/2)</f>
        <v>0</v>
      </c>
      <c r="AY220">
        <f>IF(COUNT($E$2:$E220)&lt;20,"",MAX($C$121:$C$220))</f>
        <v>0</v>
      </c>
      <c r="AZ220">
        <f>IF(COUNT($E$2:$E220)&lt;20,"",MIN($D$121:$D$220))</f>
        <v>0</v>
      </c>
      <c r="BA220">
        <f>IF(COUNT($E$2:$E220)&lt;20,"",SLOPE($E$121:$E$220,$F$121:$F$220))</f>
        <v>0</v>
      </c>
      <c r="BB220">
        <f>IF(COUNT($E$2:$E220)&lt;20,"",INTERCEPT($E$121:$E$220,$F$121:$F$220))</f>
        <v>0</v>
      </c>
      <c r="BC220">
        <f>IF(OR(BA220="",BB220=""),"",BB220+BA220*F220)</f>
        <v>0</v>
      </c>
      <c r="BD220">
        <f>IF(COUNT($E$2:$E220)&lt;20,"",STEYX($E$121:$E$220,$F$121:$F$220))</f>
        <v>0</v>
      </c>
      <c r="BE220">
        <f>IF($E220="","",IF(AND(COUNT($E$221:$E$224)&gt;=4,$C220=MAX($C$216:$C$224)),$C220,""))</f>
        <v>0</v>
      </c>
      <c r="BF220">
        <f>IF($E220="","",IF(AND(COUNT($E$221:$E$224)&gt;=4,$D220=MIN($D$216:$D$224)),$D220,""))</f>
        <v>0</v>
      </c>
      <c r="BG220">
        <f>IFERROR(SMALL(Calc_Daily!$BM$2:$BM$2001,219),"")</f>
        <v>0</v>
      </c>
    </row>
    <row r="221" spans="1:59">
      <c r="A221" s="27">
        <f>IF($BG221="","",INDEX(Calc_Daily!$A$2:$A$2001,$BG221))</f>
        <v>0</v>
      </c>
      <c r="B221">
        <f>IF($BG221="","",INDEX(Calc_Daily!$BJ$2:$BJ$2001,$BG221))</f>
        <v>0</v>
      </c>
      <c r="C221">
        <f>IF($BG221="","",INDEX(Calc_Daily!$BK$2:$BK$2001,$BG221))</f>
        <v>0</v>
      </c>
      <c r="D221">
        <f>IF($BG221="","",INDEX(Calc_Daily!$BL$2:$BL$2001,$BG221))</f>
        <v>0</v>
      </c>
      <c r="E221">
        <f>IF($BG221="","",INDEX(Calc_Daily!$E$2:$E$2001,$BG221))</f>
        <v>0</v>
      </c>
      <c r="F221">
        <f>IF($E221="","",N(F220)+1)</f>
        <v>0</v>
      </c>
      <c r="G221">
        <f>IF(OR($E221="",$E220=""),"",LN($E221/$E220))</f>
        <v>0</v>
      </c>
      <c r="H221">
        <f>IF($E221="","",IF($E220="",$E221,$E221*0.0952380952+H220*0.9047619048))</f>
        <v>0</v>
      </c>
      <c r="I221">
        <f>IF($E221="","",IF($E220="",$E221,$E221*0.0392156863+I220*0.9607843137))</f>
        <v>0</v>
      </c>
      <c r="J221">
        <f>IF($E221="","",IF($E220="",$E221,$E221*0.0198019802+J220*0.9801980198))</f>
        <v>0</v>
      </c>
      <c r="K221">
        <f>IF($E221="","",IF($E220="",$E221,$E221*0.0099502488+K220*0.9900497512))</f>
        <v>0</v>
      </c>
      <c r="L221">
        <f>IF(OR($E221="",$E220=""),"",MAX($E221-$E220,0))</f>
        <v>0</v>
      </c>
      <c r="M221">
        <f>IF(OR($E221="",$E220=""),"",MAX($E220-$E221,0))</f>
        <v>0</v>
      </c>
      <c r="N221">
        <f>IF(COUNT($E$2:$E221)&lt;15,"",IF(AVERAGE($M$208:$M$221)=0,100,100-100/(1+AVERAGE($L$208:$L$221)/AVERAGE($M$208:$M$221))))</f>
        <v>0</v>
      </c>
      <c r="O221">
        <f>IF($E221="","",IF($E220="",$E221,$E221*0.1538461538+O220*0.8461538462))</f>
        <v>0</v>
      </c>
      <c r="P221">
        <f>IF($E221="","",IF($E220="",$E221,$E221*0.0740740741+P220*0.9259259259))</f>
        <v>0</v>
      </c>
      <c r="Q221">
        <f>IF(OR(O221="",P221=""),"",O221-P221)</f>
        <v>0</v>
      </c>
      <c r="R221">
        <f>IF(Q221="","",IF(R220="",Q221,Q221*0.2000000000+R220*0.8000000000))</f>
        <v>0</v>
      </c>
      <c r="S221">
        <f>IF(OR(Q221="",R221=""),"",Q221-R221)</f>
        <v>0</v>
      </c>
      <c r="T221">
        <f>IF(COUNT($E$2:$E221)&lt;14,"",MAX($C$208:$C$221))</f>
        <v>0</v>
      </c>
      <c r="U221">
        <f>IF(COUNT($E$2:$E221)&lt;14,"",MIN($D$208:$D$221))</f>
        <v>0</v>
      </c>
      <c r="V221">
        <f>IF(OR(T221="",U221="",T221=U221),"",100*($E221-U221)/(T221-U221))</f>
        <v>0</v>
      </c>
      <c r="W221">
        <f>IF(COUNT($V$219:$V$221)&lt;3,"",AVERAGE($V$219:$V$221))</f>
        <v>0</v>
      </c>
      <c r="X221">
        <f>IF(COUNT($N$208:$N$221)&lt;14,"",MIN($N$208:$N$221))</f>
        <v>0</v>
      </c>
      <c r="Y221">
        <f>IF(COUNT($N$208:$N$221)&lt;14,"",MAX($N$208:$N$221))</f>
        <v>0</v>
      </c>
      <c r="Z221">
        <f>IF(OR(N221="",X221="",Y221="",Y221=X221),"",100*(N221-X221)/(Y221-X221))</f>
        <v>0</v>
      </c>
      <c r="AA221">
        <f>IF(COUNT($Z$219:$Z$221)&lt;3,"",AVERAGE($Z$219:$Z$221))</f>
        <v>0</v>
      </c>
      <c r="AB221">
        <f>IF(COUNT($AA$219:$AA$221)&lt;3,"",AVERAGE($AA$219:$AA$221))</f>
        <v>0</v>
      </c>
      <c r="AC221">
        <f>IF($E221="","",MAX($C221-$D221,ABS($C221-$E220),ABS($D221-$E220)))</f>
        <v>0</v>
      </c>
      <c r="AD221">
        <f>IF(COUNT($E$2:$E221)&lt;15,"",AVERAGE($AC$208:$AC$221))</f>
        <v>0</v>
      </c>
      <c r="AE221">
        <f>IF(OR($E221="",$E220=""),"",IF(AND(($C221-$C220)&gt;($D220-$D221),($C221-$C220)&gt;0),$C221-$C220,0))</f>
        <v>0</v>
      </c>
      <c r="AF221">
        <f>IF(OR($E221="",$E220=""),"",IF(AND(($D220-$D221)&gt;($C221-$C220),($D220-$D221)&gt;0),$D220-$D221,0))</f>
        <v>0</v>
      </c>
      <c r="AG221">
        <f>IF(COUNT($E$2:$E221)&lt;15,"",IF(SUM($AC$208:$AC$221)=0,0,100*SUM($AE$208:$AE$221)/SUM($AC$208:$AC$221)))</f>
        <v>0</v>
      </c>
      <c r="AH221">
        <f>IF(COUNT($E$2:$E221)&lt;15,"",IF(SUM($AC$208:$AC$221)=0,0,100*SUM($AF$208:$AF$221)/SUM($AC$208:$AC$221)))</f>
        <v>0</v>
      </c>
      <c r="AI221">
        <f>IF(OR(AG221="",AH221=""),"",IF((AG221+AH221)=0,0,100*ABS(AG221-AH221)/(AG221+AH221)))</f>
        <v>0</v>
      </c>
      <c r="AJ221">
        <f>IF(COUNT($AI$208:$AI$221)&lt;14,"",AVERAGE($AI$208:$AI$221))</f>
        <v>0</v>
      </c>
      <c r="AK221">
        <f>IF(COUNT($E$2:$E221)&lt;20,"",AVERAGE($E$202:$E$221))</f>
        <v>0</v>
      </c>
      <c r="AL221">
        <f>IF(COUNT($E$2:$E221)&lt;20,"",STDEVP($E$202:$E$221))</f>
        <v>0</v>
      </c>
      <c r="AM221">
        <f>IF(AK221="","",AK221+2*AL221)</f>
        <v>0</v>
      </c>
      <c r="AN221">
        <f>IF(AK221="","",AK221-2*AL221)</f>
        <v>0</v>
      </c>
      <c r="AO221">
        <f>IF(OR(AM221="",AN221="",AM221=AN221),"",($E221-AN221)/(AM221-AN221))</f>
        <v>0</v>
      </c>
      <c r="AP221">
        <f>IF(OR(AM221="",AK221="",AK221=0),"",(AM221-AN221)/AK221)</f>
        <v>0</v>
      </c>
      <c r="AQ221">
        <f>IF(COUNT($E$2:$E221)&lt;20,"",MAX($C$202:$C$221))</f>
        <v>0</v>
      </c>
      <c r="AR221">
        <f>IF(COUNT($E$2:$E221)&lt;20,"",MIN($D$202:$D$221))</f>
        <v>0</v>
      </c>
      <c r="AS221">
        <f>IF(OR(AQ221="",AR221=""),"",(AQ221+AR221)/2)</f>
        <v>0</v>
      </c>
      <c r="AT221">
        <f>IF(COUNT($G$202:$G$221)&lt;20,"",STDEV($G$202:$G$221)*SQRT(52))</f>
        <v>0</v>
      </c>
      <c r="AU221">
        <f>IF(COUNT($E$2:$E221)&lt;9,"",(MAX($C$213:$C$221)+MIN($D$213:$D$221))/2)</f>
        <v>0</v>
      </c>
      <c r="AV221">
        <f>IF(COUNT($E$2:$E221)&lt;26,"",(MAX($C$196:$C$221)+MIN($D$196:$D$221))/2)</f>
        <v>0</v>
      </c>
      <c r="AW221">
        <f>IF(OR(AU221="",AV221=""),"",(AU221+AV221)/2)</f>
        <v>0</v>
      </c>
      <c r="AX221">
        <f>IF(COUNT($E$2:$E221)&lt;52,"",(MAX($C$170:$C$221)+MIN($D$170:$D$221))/2)</f>
        <v>0</v>
      </c>
      <c r="AY221">
        <f>IF(COUNT($E$2:$E221)&lt;20,"",MAX($C$122:$C$221))</f>
        <v>0</v>
      </c>
      <c r="AZ221">
        <f>IF(COUNT($E$2:$E221)&lt;20,"",MIN($D$122:$D$221))</f>
        <v>0</v>
      </c>
      <c r="BA221">
        <f>IF(COUNT($E$2:$E221)&lt;20,"",SLOPE($E$122:$E$221,$F$122:$F$221))</f>
        <v>0</v>
      </c>
      <c r="BB221">
        <f>IF(COUNT($E$2:$E221)&lt;20,"",INTERCEPT($E$122:$E$221,$F$122:$F$221))</f>
        <v>0</v>
      </c>
      <c r="BC221">
        <f>IF(OR(BA221="",BB221=""),"",BB221+BA221*F221)</f>
        <v>0</v>
      </c>
      <c r="BD221">
        <f>IF(COUNT($E$2:$E221)&lt;20,"",STEYX($E$122:$E$221,$F$122:$F$221))</f>
        <v>0</v>
      </c>
      <c r="BE221">
        <f>IF($E221="","",IF(AND(COUNT($E$222:$E$225)&gt;=4,$C221=MAX($C$217:$C$225)),$C221,""))</f>
        <v>0</v>
      </c>
      <c r="BF221">
        <f>IF($E221="","",IF(AND(COUNT($E$222:$E$225)&gt;=4,$D221=MIN($D$217:$D$225)),$D221,""))</f>
        <v>0</v>
      </c>
      <c r="BG221">
        <f>IFERROR(SMALL(Calc_Daily!$BM$2:$BM$2001,220),"")</f>
        <v>0</v>
      </c>
    </row>
    <row r="222" spans="1:59">
      <c r="A222" s="27">
        <f>IF($BG222="","",INDEX(Calc_Daily!$A$2:$A$2001,$BG222))</f>
        <v>0</v>
      </c>
      <c r="B222">
        <f>IF($BG222="","",INDEX(Calc_Daily!$BJ$2:$BJ$2001,$BG222))</f>
        <v>0</v>
      </c>
      <c r="C222">
        <f>IF($BG222="","",INDEX(Calc_Daily!$BK$2:$BK$2001,$BG222))</f>
        <v>0</v>
      </c>
      <c r="D222">
        <f>IF($BG222="","",INDEX(Calc_Daily!$BL$2:$BL$2001,$BG222))</f>
        <v>0</v>
      </c>
      <c r="E222">
        <f>IF($BG222="","",INDEX(Calc_Daily!$E$2:$E$2001,$BG222))</f>
        <v>0</v>
      </c>
      <c r="F222">
        <f>IF($E222="","",N(F221)+1)</f>
        <v>0</v>
      </c>
      <c r="G222">
        <f>IF(OR($E222="",$E221=""),"",LN($E222/$E221))</f>
        <v>0</v>
      </c>
      <c r="H222">
        <f>IF($E222="","",IF($E221="",$E222,$E222*0.0952380952+H221*0.9047619048))</f>
        <v>0</v>
      </c>
      <c r="I222">
        <f>IF($E222="","",IF($E221="",$E222,$E222*0.0392156863+I221*0.9607843137))</f>
        <v>0</v>
      </c>
      <c r="J222">
        <f>IF($E222="","",IF($E221="",$E222,$E222*0.0198019802+J221*0.9801980198))</f>
        <v>0</v>
      </c>
      <c r="K222">
        <f>IF($E222="","",IF($E221="",$E222,$E222*0.0099502488+K221*0.9900497512))</f>
        <v>0</v>
      </c>
      <c r="L222">
        <f>IF(OR($E222="",$E221=""),"",MAX($E222-$E221,0))</f>
        <v>0</v>
      </c>
      <c r="M222">
        <f>IF(OR($E222="",$E221=""),"",MAX($E221-$E222,0))</f>
        <v>0</v>
      </c>
      <c r="N222">
        <f>IF(COUNT($E$2:$E222)&lt;15,"",IF(AVERAGE($M$209:$M$222)=0,100,100-100/(1+AVERAGE($L$209:$L$222)/AVERAGE($M$209:$M$222))))</f>
        <v>0</v>
      </c>
      <c r="O222">
        <f>IF($E222="","",IF($E221="",$E222,$E222*0.1538461538+O221*0.8461538462))</f>
        <v>0</v>
      </c>
      <c r="P222">
        <f>IF($E222="","",IF($E221="",$E222,$E222*0.0740740741+P221*0.9259259259))</f>
        <v>0</v>
      </c>
      <c r="Q222">
        <f>IF(OR(O222="",P222=""),"",O222-P222)</f>
        <v>0</v>
      </c>
      <c r="R222">
        <f>IF(Q222="","",IF(R221="",Q222,Q222*0.2000000000+R221*0.8000000000))</f>
        <v>0</v>
      </c>
      <c r="S222">
        <f>IF(OR(Q222="",R222=""),"",Q222-R222)</f>
        <v>0</v>
      </c>
      <c r="T222">
        <f>IF(COUNT($E$2:$E222)&lt;14,"",MAX($C$209:$C$222))</f>
        <v>0</v>
      </c>
      <c r="U222">
        <f>IF(COUNT($E$2:$E222)&lt;14,"",MIN($D$209:$D$222))</f>
        <v>0</v>
      </c>
      <c r="V222">
        <f>IF(OR(T222="",U222="",T222=U222),"",100*($E222-U222)/(T222-U222))</f>
        <v>0</v>
      </c>
      <c r="W222">
        <f>IF(COUNT($V$220:$V$222)&lt;3,"",AVERAGE($V$220:$V$222))</f>
        <v>0</v>
      </c>
      <c r="X222">
        <f>IF(COUNT($N$209:$N$222)&lt;14,"",MIN($N$209:$N$222))</f>
        <v>0</v>
      </c>
      <c r="Y222">
        <f>IF(COUNT($N$209:$N$222)&lt;14,"",MAX($N$209:$N$222))</f>
        <v>0</v>
      </c>
      <c r="Z222">
        <f>IF(OR(N222="",X222="",Y222="",Y222=X222),"",100*(N222-X222)/(Y222-X222))</f>
        <v>0</v>
      </c>
      <c r="AA222">
        <f>IF(COUNT($Z$220:$Z$222)&lt;3,"",AVERAGE($Z$220:$Z$222))</f>
        <v>0</v>
      </c>
      <c r="AB222">
        <f>IF(COUNT($AA$220:$AA$222)&lt;3,"",AVERAGE($AA$220:$AA$222))</f>
        <v>0</v>
      </c>
      <c r="AC222">
        <f>IF($E222="","",MAX($C222-$D222,ABS($C222-$E221),ABS($D222-$E221)))</f>
        <v>0</v>
      </c>
      <c r="AD222">
        <f>IF(COUNT($E$2:$E222)&lt;15,"",AVERAGE($AC$209:$AC$222))</f>
        <v>0</v>
      </c>
      <c r="AE222">
        <f>IF(OR($E222="",$E221=""),"",IF(AND(($C222-$C221)&gt;($D221-$D222),($C222-$C221)&gt;0),$C222-$C221,0))</f>
        <v>0</v>
      </c>
      <c r="AF222">
        <f>IF(OR($E222="",$E221=""),"",IF(AND(($D221-$D222)&gt;($C222-$C221),($D221-$D222)&gt;0),$D221-$D222,0))</f>
        <v>0</v>
      </c>
      <c r="AG222">
        <f>IF(COUNT($E$2:$E222)&lt;15,"",IF(SUM($AC$209:$AC$222)=0,0,100*SUM($AE$209:$AE$222)/SUM($AC$209:$AC$222)))</f>
        <v>0</v>
      </c>
      <c r="AH222">
        <f>IF(COUNT($E$2:$E222)&lt;15,"",IF(SUM($AC$209:$AC$222)=0,0,100*SUM($AF$209:$AF$222)/SUM($AC$209:$AC$222)))</f>
        <v>0</v>
      </c>
      <c r="AI222">
        <f>IF(OR(AG222="",AH222=""),"",IF((AG222+AH222)=0,0,100*ABS(AG222-AH222)/(AG222+AH222)))</f>
        <v>0</v>
      </c>
      <c r="AJ222">
        <f>IF(COUNT($AI$209:$AI$222)&lt;14,"",AVERAGE($AI$209:$AI$222))</f>
        <v>0</v>
      </c>
      <c r="AK222">
        <f>IF(COUNT($E$2:$E222)&lt;20,"",AVERAGE($E$203:$E$222))</f>
        <v>0</v>
      </c>
      <c r="AL222">
        <f>IF(COUNT($E$2:$E222)&lt;20,"",STDEVP($E$203:$E$222))</f>
        <v>0</v>
      </c>
      <c r="AM222">
        <f>IF(AK222="","",AK222+2*AL222)</f>
        <v>0</v>
      </c>
      <c r="AN222">
        <f>IF(AK222="","",AK222-2*AL222)</f>
        <v>0</v>
      </c>
      <c r="AO222">
        <f>IF(OR(AM222="",AN222="",AM222=AN222),"",($E222-AN222)/(AM222-AN222))</f>
        <v>0</v>
      </c>
      <c r="AP222">
        <f>IF(OR(AM222="",AK222="",AK222=0),"",(AM222-AN222)/AK222)</f>
        <v>0</v>
      </c>
      <c r="AQ222">
        <f>IF(COUNT($E$2:$E222)&lt;20,"",MAX($C$203:$C$222))</f>
        <v>0</v>
      </c>
      <c r="AR222">
        <f>IF(COUNT($E$2:$E222)&lt;20,"",MIN($D$203:$D$222))</f>
        <v>0</v>
      </c>
      <c r="AS222">
        <f>IF(OR(AQ222="",AR222=""),"",(AQ222+AR222)/2)</f>
        <v>0</v>
      </c>
      <c r="AT222">
        <f>IF(COUNT($G$203:$G$222)&lt;20,"",STDEV($G$203:$G$222)*SQRT(52))</f>
        <v>0</v>
      </c>
      <c r="AU222">
        <f>IF(COUNT($E$2:$E222)&lt;9,"",(MAX($C$214:$C$222)+MIN($D$214:$D$222))/2)</f>
        <v>0</v>
      </c>
      <c r="AV222">
        <f>IF(COUNT($E$2:$E222)&lt;26,"",(MAX($C$197:$C$222)+MIN($D$197:$D$222))/2)</f>
        <v>0</v>
      </c>
      <c r="AW222">
        <f>IF(OR(AU222="",AV222=""),"",(AU222+AV222)/2)</f>
        <v>0</v>
      </c>
      <c r="AX222">
        <f>IF(COUNT($E$2:$E222)&lt;52,"",(MAX($C$171:$C$222)+MIN($D$171:$D$222))/2)</f>
        <v>0</v>
      </c>
      <c r="AY222">
        <f>IF(COUNT($E$2:$E222)&lt;20,"",MAX($C$123:$C$222))</f>
        <v>0</v>
      </c>
      <c r="AZ222">
        <f>IF(COUNT($E$2:$E222)&lt;20,"",MIN($D$123:$D$222))</f>
        <v>0</v>
      </c>
      <c r="BA222">
        <f>IF(COUNT($E$2:$E222)&lt;20,"",SLOPE($E$123:$E$222,$F$123:$F$222))</f>
        <v>0</v>
      </c>
      <c r="BB222">
        <f>IF(COUNT($E$2:$E222)&lt;20,"",INTERCEPT($E$123:$E$222,$F$123:$F$222))</f>
        <v>0</v>
      </c>
      <c r="BC222">
        <f>IF(OR(BA222="",BB222=""),"",BB222+BA222*F222)</f>
        <v>0</v>
      </c>
      <c r="BD222">
        <f>IF(COUNT($E$2:$E222)&lt;20,"",STEYX($E$123:$E$222,$F$123:$F$222))</f>
        <v>0</v>
      </c>
      <c r="BE222">
        <f>IF($E222="","",IF(AND(COUNT($E$223:$E$226)&gt;=4,$C222=MAX($C$218:$C$226)),$C222,""))</f>
        <v>0</v>
      </c>
      <c r="BF222">
        <f>IF($E222="","",IF(AND(COUNT($E$223:$E$226)&gt;=4,$D222=MIN($D$218:$D$226)),$D222,""))</f>
        <v>0</v>
      </c>
      <c r="BG222">
        <f>IFERROR(SMALL(Calc_Daily!$BM$2:$BM$2001,221),"")</f>
        <v>0</v>
      </c>
    </row>
    <row r="223" spans="1:59">
      <c r="A223" s="27">
        <f>IF($BG223="","",INDEX(Calc_Daily!$A$2:$A$2001,$BG223))</f>
        <v>0</v>
      </c>
      <c r="B223">
        <f>IF($BG223="","",INDEX(Calc_Daily!$BJ$2:$BJ$2001,$BG223))</f>
        <v>0</v>
      </c>
      <c r="C223">
        <f>IF($BG223="","",INDEX(Calc_Daily!$BK$2:$BK$2001,$BG223))</f>
        <v>0</v>
      </c>
      <c r="D223">
        <f>IF($BG223="","",INDEX(Calc_Daily!$BL$2:$BL$2001,$BG223))</f>
        <v>0</v>
      </c>
      <c r="E223">
        <f>IF($BG223="","",INDEX(Calc_Daily!$E$2:$E$2001,$BG223))</f>
        <v>0</v>
      </c>
      <c r="F223">
        <f>IF($E223="","",N(F222)+1)</f>
        <v>0</v>
      </c>
      <c r="G223">
        <f>IF(OR($E223="",$E222=""),"",LN($E223/$E222))</f>
        <v>0</v>
      </c>
      <c r="H223">
        <f>IF($E223="","",IF($E222="",$E223,$E223*0.0952380952+H222*0.9047619048))</f>
        <v>0</v>
      </c>
      <c r="I223">
        <f>IF($E223="","",IF($E222="",$E223,$E223*0.0392156863+I222*0.9607843137))</f>
        <v>0</v>
      </c>
      <c r="J223">
        <f>IF($E223="","",IF($E222="",$E223,$E223*0.0198019802+J222*0.9801980198))</f>
        <v>0</v>
      </c>
      <c r="K223">
        <f>IF($E223="","",IF($E222="",$E223,$E223*0.0099502488+K222*0.9900497512))</f>
        <v>0</v>
      </c>
      <c r="L223">
        <f>IF(OR($E223="",$E222=""),"",MAX($E223-$E222,0))</f>
        <v>0</v>
      </c>
      <c r="M223">
        <f>IF(OR($E223="",$E222=""),"",MAX($E222-$E223,0))</f>
        <v>0</v>
      </c>
      <c r="N223">
        <f>IF(COUNT($E$2:$E223)&lt;15,"",IF(AVERAGE($M$210:$M$223)=0,100,100-100/(1+AVERAGE($L$210:$L$223)/AVERAGE($M$210:$M$223))))</f>
        <v>0</v>
      </c>
      <c r="O223">
        <f>IF($E223="","",IF($E222="",$E223,$E223*0.1538461538+O222*0.8461538462))</f>
        <v>0</v>
      </c>
      <c r="P223">
        <f>IF($E223="","",IF($E222="",$E223,$E223*0.0740740741+P222*0.9259259259))</f>
        <v>0</v>
      </c>
      <c r="Q223">
        <f>IF(OR(O223="",P223=""),"",O223-P223)</f>
        <v>0</v>
      </c>
      <c r="R223">
        <f>IF(Q223="","",IF(R222="",Q223,Q223*0.2000000000+R222*0.8000000000))</f>
        <v>0</v>
      </c>
      <c r="S223">
        <f>IF(OR(Q223="",R223=""),"",Q223-R223)</f>
        <v>0</v>
      </c>
      <c r="T223">
        <f>IF(COUNT($E$2:$E223)&lt;14,"",MAX($C$210:$C$223))</f>
        <v>0</v>
      </c>
      <c r="U223">
        <f>IF(COUNT($E$2:$E223)&lt;14,"",MIN($D$210:$D$223))</f>
        <v>0</v>
      </c>
      <c r="V223">
        <f>IF(OR(T223="",U223="",T223=U223),"",100*($E223-U223)/(T223-U223))</f>
        <v>0</v>
      </c>
      <c r="W223">
        <f>IF(COUNT($V$221:$V$223)&lt;3,"",AVERAGE($V$221:$V$223))</f>
        <v>0</v>
      </c>
      <c r="X223">
        <f>IF(COUNT($N$210:$N$223)&lt;14,"",MIN($N$210:$N$223))</f>
        <v>0</v>
      </c>
      <c r="Y223">
        <f>IF(COUNT($N$210:$N$223)&lt;14,"",MAX($N$210:$N$223))</f>
        <v>0</v>
      </c>
      <c r="Z223">
        <f>IF(OR(N223="",X223="",Y223="",Y223=X223),"",100*(N223-X223)/(Y223-X223))</f>
        <v>0</v>
      </c>
      <c r="AA223">
        <f>IF(COUNT($Z$221:$Z$223)&lt;3,"",AVERAGE($Z$221:$Z$223))</f>
        <v>0</v>
      </c>
      <c r="AB223">
        <f>IF(COUNT($AA$221:$AA$223)&lt;3,"",AVERAGE($AA$221:$AA$223))</f>
        <v>0</v>
      </c>
      <c r="AC223">
        <f>IF($E223="","",MAX($C223-$D223,ABS($C223-$E222),ABS($D223-$E222)))</f>
        <v>0</v>
      </c>
      <c r="AD223">
        <f>IF(COUNT($E$2:$E223)&lt;15,"",AVERAGE($AC$210:$AC$223))</f>
        <v>0</v>
      </c>
      <c r="AE223">
        <f>IF(OR($E223="",$E222=""),"",IF(AND(($C223-$C222)&gt;($D222-$D223),($C223-$C222)&gt;0),$C223-$C222,0))</f>
        <v>0</v>
      </c>
      <c r="AF223">
        <f>IF(OR($E223="",$E222=""),"",IF(AND(($D222-$D223)&gt;($C223-$C222),($D222-$D223)&gt;0),$D222-$D223,0))</f>
        <v>0</v>
      </c>
      <c r="AG223">
        <f>IF(COUNT($E$2:$E223)&lt;15,"",IF(SUM($AC$210:$AC$223)=0,0,100*SUM($AE$210:$AE$223)/SUM($AC$210:$AC$223)))</f>
        <v>0</v>
      </c>
      <c r="AH223">
        <f>IF(COUNT($E$2:$E223)&lt;15,"",IF(SUM($AC$210:$AC$223)=0,0,100*SUM($AF$210:$AF$223)/SUM($AC$210:$AC$223)))</f>
        <v>0</v>
      </c>
      <c r="AI223">
        <f>IF(OR(AG223="",AH223=""),"",IF((AG223+AH223)=0,0,100*ABS(AG223-AH223)/(AG223+AH223)))</f>
        <v>0</v>
      </c>
      <c r="AJ223">
        <f>IF(COUNT($AI$210:$AI$223)&lt;14,"",AVERAGE($AI$210:$AI$223))</f>
        <v>0</v>
      </c>
      <c r="AK223">
        <f>IF(COUNT($E$2:$E223)&lt;20,"",AVERAGE($E$204:$E$223))</f>
        <v>0</v>
      </c>
      <c r="AL223">
        <f>IF(COUNT($E$2:$E223)&lt;20,"",STDEVP($E$204:$E$223))</f>
        <v>0</v>
      </c>
      <c r="AM223">
        <f>IF(AK223="","",AK223+2*AL223)</f>
        <v>0</v>
      </c>
      <c r="AN223">
        <f>IF(AK223="","",AK223-2*AL223)</f>
        <v>0</v>
      </c>
      <c r="AO223">
        <f>IF(OR(AM223="",AN223="",AM223=AN223),"",($E223-AN223)/(AM223-AN223))</f>
        <v>0</v>
      </c>
      <c r="AP223">
        <f>IF(OR(AM223="",AK223="",AK223=0),"",(AM223-AN223)/AK223)</f>
        <v>0</v>
      </c>
      <c r="AQ223">
        <f>IF(COUNT($E$2:$E223)&lt;20,"",MAX($C$204:$C$223))</f>
        <v>0</v>
      </c>
      <c r="AR223">
        <f>IF(COUNT($E$2:$E223)&lt;20,"",MIN($D$204:$D$223))</f>
        <v>0</v>
      </c>
      <c r="AS223">
        <f>IF(OR(AQ223="",AR223=""),"",(AQ223+AR223)/2)</f>
        <v>0</v>
      </c>
      <c r="AT223">
        <f>IF(COUNT($G$204:$G$223)&lt;20,"",STDEV($G$204:$G$223)*SQRT(52))</f>
        <v>0</v>
      </c>
      <c r="AU223">
        <f>IF(COUNT($E$2:$E223)&lt;9,"",(MAX($C$215:$C$223)+MIN($D$215:$D$223))/2)</f>
        <v>0</v>
      </c>
      <c r="AV223">
        <f>IF(COUNT($E$2:$E223)&lt;26,"",(MAX($C$198:$C$223)+MIN($D$198:$D$223))/2)</f>
        <v>0</v>
      </c>
      <c r="AW223">
        <f>IF(OR(AU223="",AV223=""),"",(AU223+AV223)/2)</f>
        <v>0</v>
      </c>
      <c r="AX223">
        <f>IF(COUNT($E$2:$E223)&lt;52,"",(MAX($C$172:$C$223)+MIN($D$172:$D$223))/2)</f>
        <v>0</v>
      </c>
      <c r="AY223">
        <f>IF(COUNT($E$2:$E223)&lt;20,"",MAX($C$124:$C$223))</f>
        <v>0</v>
      </c>
      <c r="AZ223">
        <f>IF(COUNT($E$2:$E223)&lt;20,"",MIN($D$124:$D$223))</f>
        <v>0</v>
      </c>
      <c r="BA223">
        <f>IF(COUNT($E$2:$E223)&lt;20,"",SLOPE($E$124:$E$223,$F$124:$F$223))</f>
        <v>0</v>
      </c>
      <c r="BB223">
        <f>IF(COUNT($E$2:$E223)&lt;20,"",INTERCEPT($E$124:$E$223,$F$124:$F$223))</f>
        <v>0</v>
      </c>
      <c r="BC223">
        <f>IF(OR(BA223="",BB223=""),"",BB223+BA223*F223)</f>
        <v>0</v>
      </c>
      <c r="BD223">
        <f>IF(COUNT($E$2:$E223)&lt;20,"",STEYX($E$124:$E$223,$F$124:$F$223))</f>
        <v>0</v>
      </c>
      <c r="BE223">
        <f>IF($E223="","",IF(AND(COUNT($E$224:$E$227)&gt;=4,$C223=MAX($C$219:$C$227)),$C223,""))</f>
        <v>0</v>
      </c>
      <c r="BF223">
        <f>IF($E223="","",IF(AND(COUNT($E$224:$E$227)&gt;=4,$D223=MIN($D$219:$D$227)),$D223,""))</f>
        <v>0</v>
      </c>
      <c r="BG223">
        <f>IFERROR(SMALL(Calc_Daily!$BM$2:$BM$2001,222),"")</f>
        <v>0</v>
      </c>
    </row>
    <row r="224" spans="1:59">
      <c r="A224" s="27">
        <f>IF($BG224="","",INDEX(Calc_Daily!$A$2:$A$2001,$BG224))</f>
        <v>0</v>
      </c>
      <c r="B224">
        <f>IF($BG224="","",INDEX(Calc_Daily!$BJ$2:$BJ$2001,$BG224))</f>
        <v>0</v>
      </c>
      <c r="C224">
        <f>IF($BG224="","",INDEX(Calc_Daily!$BK$2:$BK$2001,$BG224))</f>
        <v>0</v>
      </c>
      <c r="D224">
        <f>IF($BG224="","",INDEX(Calc_Daily!$BL$2:$BL$2001,$BG224))</f>
        <v>0</v>
      </c>
      <c r="E224">
        <f>IF($BG224="","",INDEX(Calc_Daily!$E$2:$E$2001,$BG224))</f>
        <v>0</v>
      </c>
      <c r="F224">
        <f>IF($E224="","",N(F223)+1)</f>
        <v>0</v>
      </c>
      <c r="G224">
        <f>IF(OR($E224="",$E223=""),"",LN($E224/$E223))</f>
        <v>0</v>
      </c>
      <c r="H224">
        <f>IF($E224="","",IF($E223="",$E224,$E224*0.0952380952+H223*0.9047619048))</f>
        <v>0</v>
      </c>
      <c r="I224">
        <f>IF($E224="","",IF($E223="",$E224,$E224*0.0392156863+I223*0.9607843137))</f>
        <v>0</v>
      </c>
      <c r="J224">
        <f>IF($E224="","",IF($E223="",$E224,$E224*0.0198019802+J223*0.9801980198))</f>
        <v>0</v>
      </c>
      <c r="K224">
        <f>IF($E224="","",IF($E223="",$E224,$E224*0.0099502488+K223*0.9900497512))</f>
        <v>0</v>
      </c>
      <c r="L224">
        <f>IF(OR($E224="",$E223=""),"",MAX($E224-$E223,0))</f>
        <v>0</v>
      </c>
      <c r="M224">
        <f>IF(OR($E224="",$E223=""),"",MAX($E223-$E224,0))</f>
        <v>0</v>
      </c>
      <c r="N224">
        <f>IF(COUNT($E$2:$E224)&lt;15,"",IF(AVERAGE($M$211:$M$224)=0,100,100-100/(1+AVERAGE($L$211:$L$224)/AVERAGE($M$211:$M$224))))</f>
        <v>0</v>
      </c>
      <c r="O224">
        <f>IF($E224="","",IF($E223="",$E224,$E224*0.1538461538+O223*0.8461538462))</f>
        <v>0</v>
      </c>
      <c r="P224">
        <f>IF($E224="","",IF($E223="",$E224,$E224*0.0740740741+P223*0.9259259259))</f>
        <v>0</v>
      </c>
      <c r="Q224">
        <f>IF(OR(O224="",P224=""),"",O224-P224)</f>
        <v>0</v>
      </c>
      <c r="R224">
        <f>IF(Q224="","",IF(R223="",Q224,Q224*0.2000000000+R223*0.8000000000))</f>
        <v>0</v>
      </c>
      <c r="S224">
        <f>IF(OR(Q224="",R224=""),"",Q224-R224)</f>
        <v>0</v>
      </c>
      <c r="T224">
        <f>IF(COUNT($E$2:$E224)&lt;14,"",MAX($C$211:$C$224))</f>
        <v>0</v>
      </c>
      <c r="U224">
        <f>IF(COUNT($E$2:$E224)&lt;14,"",MIN($D$211:$D$224))</f>
        <v>0</v>
      </c>
      <c r="V224">
        <f>IF(OR(T224="",U224="",T224=U224),"",100*($E224-U224)/(T224-U224))</f>
        <v>0</v>
      </c>
      <c r="W224">
        <f>IF(COUNT($V$222:$V$224)&lt;3,"",AVERAGE($V$222:$V$224))</f>
        <v>0</v>
      </c>
      <c r="X224">
        <f>IF(COUNT($N$211:$N$224)&lt;14,"",MIN($N$211:$N$224))</f>
        <v>0</v>
      </c>
      <c r="Y224">
        <f>IF(COUNT($N$211:$N$224)&lt;14,"",MAX($N$211:$N$224))</f>
        <v>0</v>
      </c>
      <c r="Z224">
        <f>IF(OR(N224="",X224="",Y224="",Y224=X224),"",100*(N224-X224)/(Y224-X224))</f>
        <v>0</v>
      </c>
      <c r="AA224">
        <f>IF(COUNT($Z$222:$Z$224)&lt;3,"",AVERAGE($Z$222:$Z$224))</f>
        <v>0</v>
      </c>
      <c r="AB224">
        <f>IF(COUNT($AA$222:$AA$224)&lt;3,"",AVERAGE($AA$222:$AA$224))</f>
        <v>0</v>
      </c>
      <c r="AC224">
        <f>IF($E224="","",MAX($C224-$D224,ABS($C224-$E223),ABS($D224-$E223)))</f>
        <v>0</v>
      </c>
      <c r="AD224">
        <f>IF(COUNT($E$2:$E224)&lt;15,"",AVERAGE($AC$211:$AC$224))</f>
        <v>0</v>
      </c>
      <c r="AE224">
        <f>IF(OR($E224="",$E223=""),"",IF(AND(($C224-$C223)&gt;($D223-$D224),($C224-$C223)&gt;0),$C224-$C223,0))</f>
        <v>0</v>
      </c>
      <c r="AF224">
        <f>IF(OR($E224="",$E223=""),"",IF(AND(($D223-$D224)&gt;($C224-$C223),($D223-$D224)&gt;0),$D223-$D224,0))</f>
        <v>0</v>
      </c>
      <c r="AG224">
        <f>IF(COUNT($E$2:$E224)&lt;15,"",IF(SUM($AC$211:$AC$224)=0,0,100*SUM($AE$211:$AE$224)/SUM($AC$211:$AC$224)))</f>
        <v>0</v>
      </c>
      <c r="AH224">
        <f>IF(COUNT($E$2:$E224)&lt;15,"",IF(SUM($AC$211:$AC$224)=0,0,100*SUM($AF$211:$AF$224)/SUM($AC$211:$AC$224)))</f>
        <v>0</v>
      </c>
      <c r="AI224">
        <f>IF(OR(AG224="",AH224=""),"",IF((AG224+AH224)=0,0,100*ABS(AG224-AH224)/(AG224+AH224)))</f>
        <v>0</v>
      </c>
      <c r="AJ224">
        <f>IF(COUNT($AI$211:$AI$224)&lt;14,"",AVERAGE($AI$211:$AI$224))</f>
        <v>0</v>
      </c>
      <c r="AK224">
        <f>IF(COUNT($E$2:$E224)&lt;20,"",AVERAGE($E$205:$E$224))</f>
        <v>0</v>
      </c>
      <c r="AL224">
        <f>IF(COUNT($E$2:$E224)&lt;20,"",STDEVP($E$205:$E$224))</f>
        <v>0</v>
      </c>
      <c r="AM224">
        <f>IF(AK224="","",AK224+2*AL224)</f>
        <v>0</v>
      </c>
      <c r="AN224">
        <f>IF(AK224="","",AK224-2*AL224)</f>
        <v>0</v>
      </c>
      <c r="AO224">
        <f>IF(OR(AM224="",AN224="",AM224=AN224),"",($E224-AN224)/(AM224-AN224))</f>
        <v>0</v>
      </c>
      <c r="AP224">
        <f>IF(OR(AM224="",AK224="",AK224=0),"",(AM224-AN224)/AK224)</f>
        <v>0</v>
      </c>
      <c r="AQ224">
        <f>IF(COUNT($E$2:$E224)&lt;20,"",MAX($C$205:$C$224))</f>
        <v>0</v>
      </c>
      <c r="AR224">
        <f>IF(COUNT($E$2:$E224)&lt;20,"",MIN($D$205:$D$224))</f>
        <v>0</v>
      </c>
      <c r="AS224">
        <f>IF(OR(AQ224="",AR224=""),"",(AQ224+AR224)/2)</f>
        <v>0</v>
      </c>
      <c r="AT224">
        <f>IF(COUNT($G$205:$G$224)&lt;20,"",STDEV($G$205:$G$224)*SQRT(52))</f>
        <v>0</v>
      </c>
      <c r="AU224">
        <f>IF(COUNT($E$2:$E224)&lt;9,"",(MAX($C$216:$C$224)+MIN($D$216:$D$224))/2)</f>
        <v>0</v>
      </c>
      <c r="AV224">
        <f>IF(COUNT($E$2:$E224)&lt;26,"",(MAX($C$199:$C$224)+MIN($D$199:$D$224))/2)</f>
        <v>0</v>
      </c>
      <c r="AW224">
        <f>IF(OR(AU224="",AV224=""),"",(AU224+AV224)/2)</f>
        <v>0</v>
      </c>
      <c r="AX224">
        <f>IF(COUNT($E$2:$E224)&lt;52,"",(MAX($C$173:$C$224)+MIN($D$173:$D$224))/2)</f>
        <v>0</v>
      </c>
      <c r="AY224">
        <f>IF(COUNT($E$2:$E224)&lt;20,"",MAX($C$125:$C$224))</f>
        <v>0</v>
      </c>
      <c r="AZ224">
        <f>IF(COUNT($E$2:$E224)&lt;20,"",MIN($D$125:$D$224))</f>
        <v>0</v>
      </c>
      <c r="BA224">
        <f>IF(COUNT($E$2:$E224)&lt;20,"",SLOPE($E$125:$E$224,$F$125:$F$224))</f>
        <v>0</v>
      </c>
      <c r="BB224">
        <f>IF(COUNT($E$2:$E224)&lt;20,"",INTERCEPT($E$125:$E$224,$F$125:$F$224))</f>
        <v>0</v>
      </c>
      <c r="BC224">
        <f>IF(OR(BA224="",BB224=""),"",BB224+BA224*F224)</f>
        <v>0</v>
      </c>
      <c r="BD224">
        <f>IF(COUNT($E$2:$E224)&lt;20,"",STEYX($E$125:$E$224,$F$125:$F$224))</f>
        <v>0</v>
      </c>
      <c r="BE224">
        <f>IF($E224="","",IF(AND(COUNT($E$225:$E$228)&gt;=4,$C224=MAX($C$220:$C$228)),$C224,""))</f>
        <v>0</v>
      </c>
      <c r="BF224">
        <f>IF($E224="","",IF(AND(COUNT($E$225:$E$228)&gt;=4,$D224=MIN($D$220:$D$228)),$D224,""))</f>
        <v>0</v>
      </c>
      <c r="BG224">
        <f>IFERROR(SMALL(Calc_Daily!$BM$2:$BM$2001,223),"")</f>
        <v>0</v>
      </c>
    </row>
    <row r="225" spans="1:59">
      <c r="A225" s="27">
        <f>IF($BG225="","",INDEX(Calc_Daily!$A$2:$A$2001,$BG225))</f>
        <v>0</v>
      </c>
      <c r="B225">
        <f>IF($BG225="","",INDEX(Calc_Daily!$BJ$2:$BJ$2001,$BG225))</f>
        <v>0</v>
      </c>
      <c r="C225">
        <f>IF($BG225="","",INDEX(Calc_Daily!$BK$2:$BK$2001,$BG225))</f>
        <v>0</v>
      </c>
      <c r="D225">
        <f>IF($BG225="","",INDEX(Calc_Daily!$BL$2:$BL$2001,$BG225))</f>
        <v>0</v>
      </c>
      <c r="E225">
        <f>IF($BG225="","",INDEX(Calc_Daily!$E$2:$E$2001,$BG225))</f>
        <v>0</v>
      </c>
      <c r="F225">
        <f>IF($E225="","",N(F224)+1)</f>
        <v>0</v>
      </c>
      <c r="G225">
        <f>IF(OR($E225="",$E224=""),"",LN($E225/$E224))</f>
        <v>0</v>
      </c>
      <c r="H225">
        <f>IF($E225="","",IF($E224="",$E225,$E225*0.0952380952+H224*0.9047619048))</f>
        <v>0</v>
      </c>
      <c r="I225">
        <f>IF($E225="","",IF($E224="",$E225,$E225*0.0392156863+I224*0.9607843137))</f>
        <v>0</v>
      </c>
      <c r="J225">
        <f>IF($E225="","",IF($E224="",$E225,$E225*0.0198019802+J224*0.9801980198))</f>
        <v>0</v>
      </c>
      <c r="K225">
        <f>IF($E225="","",IF($E224="",$E225,$E225*0.0099502488+K224*0.9900497512))</f>
        <v>0</v>
      </c>
      <c r="L225">
        <f>IF(OR($E225="",$E224=""),"",MAX($E225-$E224,0))</f>
        <v>0</v>
      </c>
      <c r="M225">
        <f>IF(OR($E225="",$E224=""),"",MAX($E224-$E225,0))</f>
        <v>0</v>
      </c>
      <c r="N225">
        <f>IF(COUNT($E$2:$E225)&lt;15,"",IF(AVERAGE($M$212:$M$225)=0,100,100-100/(1+AVERAGE($L$212:$L$225)/AVERAGE($M$212:$M$225))))</f>
        <v>0</v>
      </c>
      <c r="O225">
        <f>IF($E225="","",IF($E224="",$E225,$E225*0.1538461538+O224*0.8461538462))</f>
        <v>0</v>
      </c>
      <c r="P225">
        <f>IF($E225="","",IF($E224="",$E225,$E225*0.0740740741+P224*0.9259259259))</f>
        <v>0</v>
      </c>
      <c r="Q225">
        <f>IF(OR(O225="",P225=""),"",O225-P225)</f>
        <v>0</v>
      </c>
      <c r="R225">
        <f>IF(Q225="","",IF(R224="",Q225,Q225*0.2000000000+R224*0.8000000000))</f>
        <v>0</v>
      </c>
      <c r="S225">
        <f>IF(OR(Q225="",R225=""),"",Q225-R225)</f>
        <v>0</v>
      </c>
      <c r="T225">
        <f>IF(COUNT($E$2:$E225)&lt;14,"",MAX($C$212:$C$225))</f>
        <v>0</v>
      </c>
      <c r="U225">
        <f>IF(COUNT($E$2:$E225)&lt;14,"",MIN($D$212:$D$225))</f>
        <v>0</v>
      </c>
      <c r="V225">
        <f>IF(OR(T225="",U225="",T225=U225),"",100*($E225-U225)/(T225-U225))</f>
        <v>0</v>
      </c>
      <c r="W225">
        <f>IF(COUNT($V$223:$V$225)&lt;3,"",AVERAGE($V$223:$V$225))</f>
        <v>0</v>
      </c>
      <c r="X225">
        <f>IF(COUNT($N$212:$N$225)&lt;14,"",MIN($N$212:$N$225))</f>
        <v>0</v>
      </c>
      <c r="Y225">
        <f>IF(COUNT($N$212:$N$225)&lt;14,"",MAX($N$212:$N$225))</f>
        <v>0</v>
      </c>
      <c r="Z225">
        <f>IF(OR(N225="",X225="",Y225="",Y225=X225),"",100*(N225-X225)/(Y225-X225))</f>
        <v>0</v>
      </c>
      <c r="AA225">
        <f>IF(COUNT($Z$223:$Z$225)&lt;3,"",AVERAGE($Z$223:$Z$225))</f>
        <v>0</v>
      </c>
      <c r="AB225">
        <f>IF(COUNT($AA$223:$AA$225)&lt;3,"",AVERAGE($AA$223:$AA$225))</f>
        <v>0</v>
      </c>
      <c r="AC225">
        <f>IF($E225="","",MAX($C225-$D225,ABS($C225-$E224),ABS($D225-$E224)))</f>
        <v>0</v>
      </c>
      <c r="AD225">
        <f>IF(COUNT($E$2:$E225)&lt;15,"",AVERAGE($AC$212:$AC$225))</f>
        <v>0</v>
      </c>
      <c r="AE225">
        <f>IF(OR($E225="",$E224=""),"",IF(AND(($C225-$C224)&gt;($D224-$D225),($C225-$C224)&gt;0),$C225-$C224,0))</f>
        <v>0</v>
      </c>
      <c r="AF225">
        <f>IF(OR($E225="",$E224=""),"",IF(AND(($D224-$D225)&gt;($C225-$C224),($D224-$D225)&gt;0),$D224-$D225,0))</f>
        <v>0</v>
      </c>
      <c r="AG225">
        <f>IF(COUNT($E$2:$E225)&lt;15,"",IF(SUM($AC$212:$AC$225)=0,0,100*SUM($AE$212:$AE$225)/SUM($AC$212:$AC$225)))</f>
        <v>0</v>
      </c>
      <c r="AH225">
        <f>IF(COUNT($E$2:$E225)&lt;15,"",IF(SUM($AC$212:$AC$225)=0,0,100*SUM($AF$212:$AF$225)/SUM($AC$212:$AC$225)))</f>
        <v>0</v>
      </c>
      <c r="AI225">
        <f>IF(OR(AG225="",AH225=""),"",IF((AG225+AH225)=0,0,100*ABS(AG225-AH225)/(AG225+AH225)))</f>
        <v>0</v>
      </c>
      <c r="AJ225">
        <f>IF(COUNT($AI$212:$AI$225)&lt;14,"",AVERAGE($AI$212:$AI$225))</f>
        <v>0</v>
      </c>
      <c r="AK225">
        <f>IF(COUNT($E$2:$E225)&lt;20,"",AVERAGE($E$206:$E$225))</f>
        <v>0</v>
      </c>
      <c r="AL225">
        <f>IF(COUNT($E$2:$E225)&lt;20,"",STDEVP($E$206:$E$225))</f>
        <v>0</v>
      </c>
      <c r="AM225">
        <f>IF(AK225="","",AK225+2*AL225)</f>
        <v>0</v>
      </c>
      <c r="AN225">
        <f>IF(AK225="","",AK225-2*AL225)</f>
        <v>0</v>
      </c>
      <c r="AO225">
        <f>IF(OR(AM225="",AN225="",AM225=AN225),"",($E225-AN225)/(AM225-AN225))</f>
        <v>0</v>
      </c>
      <c r="AP225">
        <f>IF(OR(AM225="",AK225="",AK225=0),"",(AM225-AN225)/AK225)</f>
        <v>0</v>
      </c>
      <c r="AQ225">
        <f>IF(COUNT($E$2:$E225)&lt;20,"",MAX($C$206:$C$225))</f>
        <v>0</v>
      </c>
      <c r="AR225">
        <f>IF(COUNT($E$2:$E225)&lt;20,"",MIN($D$206:$D$225))</f>
        <v>0</v>
      </c>
      <c r="AS225">
        <f>IF(OR(AQ225="",AR225=""),"",(AQ225+AR225)/2)</f>
        <v>0</v>
      </c>
      <c r="AT225">
        <f>IF(COUNT($G$206:$G$225)&lt;20,"",STDEV($G$206:$G$225)*SQRT(52))</f>
        <v>0</v>
      </c>
      <c r="AU225">
        <f>IF(COUNT($E$2:$E225)&lt;9,"",(MAX($C$217:$C$225)+MIN($D$217:$D$225))/2)</f>
        <v>0</v>
      </c>
      <c r="AV225">
        <f>IF(COUNT($E$2:$E225)&lt;26,"",(MAX($C$200:$C$225)+MIN($D$200:$D$225))/2)</f>
        <v>0</v>
      </c>
      <c r="AW225">
        <f>IF(OR(AU225="",AV225=""),"",(AU225+AV225)/2)</f>
        <v>0</v>
      </c>
      <c r="AX225">
        <f>IF(COUNT($E$2:$E225)&lt;52,"",(MAX($C$174:$C$225)+MIN($D$174:$D$225))/2)</f>
        <v>0</v>
      </c>
      <c r="AY225">
        <f>IF(COUNT($E$2:$E225)&lt;20,"",MAX($C$126:$C$225))</f>
        <v>0</v>
      </c>
      <c r="AZ225">
        <f>IF(COUNT($E$2:$E225)&lt;20,"",MIN($D$126:$D$225))</f>
        <v>0</v>
      </c>
      <c r="BA225">
        <f>IF(COUNT($E$2:$E225)&lt;20,"",SLOPE($E$126:$E$225,$F$126:$F$225))</f>
        <v>0</v>
      </c>
      <c r="BB225">
        <f>IF(COUNT($E$2:$E225)&lt;20,"",INTERCEPT($E$126:$E$225,$F$126:$F$225))</f>
        <v>0</v>
      </c>
      <c r="BC225">
        <f>IF(OR(BA225="",BB225=""),"",BB225+BA225*F225)</f>
        <v>0</v>
      </c>
      <c r="BD225">
        <f>IF(COUNT($E$2:$E225)&lt;20,"",STEYX($E$126:$E$225,$F$126:$F$225))</f>
        <v>0</v>
      </c>
      <c r="BE225">
        <f>IF($E225="","",IF(AND(COUNT($E$226:$E$229)&gt;=4,$C225=MAX($C$221:$C$229)),$C225,""))</f>
        <v>0</v>
      </c>
      <c r="BF225">
        <f>IF($E225="","",IF(AND(COUNT($E$226:$E$229)&gt;=4,$D225=MIN($D$221:$D$229)),$D225,""))</f>
        <v>0</v>
      </c>
      <c r="BG225">
        <f>IFERROR(SMALL(Calc_Daily!$BM$2:$BM$2001,224),"")</f>
        <v>0</v>
      </c>
    </row>
    <row r="226" spans="1:59">
      <c r="A226" s="27">
        <f>IF($BG226="","",INDEX(Calc_Daily!$A$2:$A$2001,$BG226))</f>
        <v>0</v>
      </c>
      <c r="B226">
        <f>IF($BG226="","",INDEX(Calc_Daily!$BJ$2:$BJ$2001,$BG226))</f>
        <v>0</v>
      </c>
      <c r="C226">
        <f>IF($BG226="","",INDEX(Calc_Daily!$BK$2:$BK$2001,$BG226))</f>
        <v>0</v>
      </c>
      <c r="D226">
        <f>IF($BG226="","",INDEX(Calc_Daily!$BL$2:$BL$2001,$BG226))</f>
        <v>0</v>
      </c>
      <c r="E226">
        <f>IF($BG226="","",INDEX(Calc_Daily!$E$2:$E$2001,$BG226))</f>
        <v>0</v>
      </c>
      <c r="F226">
        <f>IF($E226="","",N(F225)+1)</f>
        <v>0</v>
      </c>
      <c r="G226">
        <f>IF(OR($E226="",$E225=""),"",LN($E226/$E225))</f>
        <v>0</v>
      </c>
      <c r="H226">
        <f>IF($E226="","",IF($E225="",$E226,$E226*0.0952380952+H225*0.9047619048))</f>
        <v>0</v>
      </c>
      <c r="I226">
        <f>IF($E226="","",IF($E225="",$E226,$E226*0.0392156863+I225*0.9607843137))</f>
        <v>0</v>
      </c>
      <c r="J226">
        <f>IF($E226="","",IF($E225="",$E226,$E226*0.0198019802+J225*0.9801980198))</f>
        <v>0</v>
      </c>
      <c r="K226">
        <f>IF($E226="","",IF($E225="",$E226,$E226*0.0099502488+K225*0.9900497512))</f>
        <v>0</v>
      </c>
      <c r="L226">
        <f>IF(OR($E226="",$E225=""),"",MAX($E226-$E225,0))</f>
        <v>0</v>
      </c>
      <c r="M226">
        <f>IF(OR($E226="",$E225=""),"",MAX($E225-$E226,0))</f>
        <v>0</v>
      </c>
      <c r="N226">
        <f>IF(COUNT($E$2:$E226)&lt;15,"",IF(AVERAGE($M$213:$M$226)=0,100,100-100/(1+AVERAGE($L$213:$L$226)/AVERAGE($M$213:$M$226))))</f>
        <v>0</v>
      </c>
      <c r="O226">
        <f>IF($E226="","",IF($E225="",$E226,$E226*0.1538461538+O225*0.8461538462))</f>
        <v>0</v>
      </c>
      <c r="P226">
        <f>IF($E226="","",IF($E225="",$E226,$E226*0.0740740741+P225*0.9259259259))</f>
        <v>0</v>
      </c>
      <c r="Q226">
        <f>IF(OR(O226="",P226=""),"",O226-P226)</f>
        <v>0</v>
      </c>
      <c r="R226">
        <f>IF(Q226="","",IF(R225="",Q226,Q226*0.2000000000+R225*0.8000000000))</f>
        <v>0</v>
      </c>
      <c r="S226">
        <f>IF(OR(Q226="",R226=""),"",Q226-R226)</f>
        <v>0</v>
      </c>
      <c r="T226">
        <f>IF(COUNT($E$2:$E226)&lt;14,"",MAX($C$213:$C$226))</f>
        <v>0</v>
      </c>
      <c r="U226">
        <f>IF(COUNT($E$2:$E226)&lt;14,"",MIN($D$213:$D$226))</f>
        <v>0</v>
      </c>
      <c r="V226">
        <f>IF(OR(T226="",U226="",T226=U226),"",100*($E226-U226)/(T226-U226))</f>
        <v>0</v>
      </c>
      <c r="W226">
        <f>IF(COUNT($V$224:$V$226)&lt;3,"",AVERAGE($V$224:$V$226))</f>
        <v>0</v>
      </c>
      <c r="X226">
        <f>IF(COUNT($N$213:$N$226)&lt;14,"",MIN($N$213:$N$226))</f>
        <v>0</v>
      </c>
      <c r="Y226">
        <f>IF(COUNT($N$213:$N$226)&lt;14,"",MAX($N$213:$N$226))</f>
        <v>0</v>
      </c>
      <c r="Z226">
        <f>IF(OR(N226="",X226="",Y226="",Y226=X226),"",100*(N226-X226)/(Y226-X226))</f>
        <v>0</v>
      </c>
      <c r="AA226">
        <f>IF(COUNT($Z$224:$Z$226)&lt;3,"",AVERAGE($Z$224:$Z$226))</f>
        <v>0</v>
      </c>
      <c r="AB226">
        <f>IF(COUNT($AA$224:$AA$226)&lt;3,"",AVERAGE($AA$224:$AA$226))</f>
        <v>0</v>
      </c>
      <c r="AC226">
        <f>IF($E226="","",MAX($C226-$D226,ABS($C226-$E225),ABS($D226-$E225)))</f>
        <v>0</v>
      </c>
      <c r="AD226">
        <f>IF(COUNT($E$2:$E226)&lt;15,"",AVERAGE($AC$213:$AC$226))</f>
        <v>0</v>
      </c>
      <c r="AE226">
        <f>IF(OR($E226="",$E225=""),"",IF(AND(($C226-$C225)&gt;($D225-$D226),($C226-$C225)&gt;0),$C226-$C225,0))</f>
        <v>0</v>
      </c>
      <c r="AF226">
        <f>IF(OR($E226="",$E225=""),"",IF(AND(($D225-$D226)&gt;($C226-$C225),($D225-$D226)&gt;0),$D225-$D226,0))</f>
        <v>0</v>
      </c>
      <c r="AG226">
        <f>IF(COUNT($E$2:$E226)&lt;15,"",IF(SUM($AC$213:$AC$226)=0,0,100*SUM($AE$213:$AE$226)/SUM($AC$213:$AC$226)))</f>
        <v>0</v>
      </c>
      <c r="AH226">
        <f>IF(COUNT($E$2:$E226)&lt;15,"",IF(SUM($AC$213:$AC$226)=0,0,100*SUM($AF$213:$AF$226)/SUM($AC$213:$AC$226)))</f>
        <v>0</v>
      </c>
      <c r="AI226">
        <f>IF(OR(AG226="",AH226=""),"",IF((AG226+AH226)=0,0,100*ABS(AG226-AH226)/(AG226+AH226)))</f>
        <v>0</v>
      </c>
      <c r="AJ226">
        <f>IF(COUNT($AI$213:$AI$226)&lt;14,"",AVERAGE($AI$213:$AI$226))</f>
        <v>0</v>
      </c>
      <c r="AK226">
        <f>IF(COUNT($E$2:$E226)&lt;20,"",AVERAGE($E$207:$E$226))</f>
        <v>0</v>
      </c>
      <c r="AL226">
        <f>IF(COUNT($E$2:$E226)&lt;20,"",STDEVP($E$207:$E$226))</f>
        <v>0</v>
      </c>
      <c r="AM226">
        <f>IF(AK226="","",AK226+2*AL226)</f>
        <v>0</v>
      </c>
      <c r="AN226">
        <f>IF(AK226="","",AK226-2*AL226)</f>
        <v>0</v>
      </c>
      <c r="AO226">
        <f>IF(OR(AM226="",AN226="",AM226=AN226),"",($E226-AN226)/(AM226-AN226))</f>
        <v>0</v>
      </c>
      <c r="AP226">
        <f>IF(OR(AM226="",AK226="",AK226=0),"",(AM226-AN226)/AK226)</f>
        <v>0</v>
      </c>
      <c r="AQ226">
        <f>IF(COUNT($E$2:$E226)&lt;20,"",MAX($C$207:$C$226))</f>
        <v>0</v>
      </c>
      <c r="AR226">
        <f>IF(COUNT($E$2:$E226)&lt;20,"",MIN($D$207:$D$226))</f>
        <v>0</v>
      </c>
      <c r="AS226">
        <f>IF(OR(AQ226="",AR226=""),"",(AQ226+AR226)/2)</f>
        <v>0</v>
      </c>
      <c r="AT226">
        <f>IF(COUNT($G$207:$G$226)&lt;20,"",STDEV($G$207:$G$226)*SQRT(52))</f>
        <v>0</v>
      </c>
      <c r="AU226">
        <f>IF(COUNT($E$2:$E226)&lt;9,"",(MAX($C$218:$C$226)+MIN($D$218:$D$226))/2)</f>
        <v>0</v>
      </c>
      <c r="AV226">
        <f>IF(COUNT($E$2:$E226)&lt;26,"",(MAX($C$201:$C$226)+MIN($D$201:$D$226))/2)</f>
        <v>0</v>
      </c>
      <c r="AW226">
        <f>IF(OR(AU226="",AV226=""),"",(AU226+AV226)/2)</f>
        <v>0</v>
      </c>
      <c r="AX226">
        <f>IF(COUNT($E$2:$E226)&lt;52,"",(MAX($C$175:$C$226)+MIN($D$175:$D$226))/2)</f>
        <v>0</v>
      </c>
      <c r="AY226">
        <f>IF(COUNT($E$2:$E226)&lt;20,"",MAX($C$127:$C$226))</f>
        <v>0</v>
      </c>
      <c r="AZ226">
        <f>IF(COUNT($E$2:$E226)&lt;20,"",MIN($D$127:$D$226))</f>
        <v>0</v>
      </c>
      <c r="BA226">
        <f>IF(COUNT($E$2:$E226)&lt;20,"",SLOPE($E$127:$E$226,$F$127:$F$226))</f>
        <v>0</v>
      </c>
      <c r="BB226">
        <f>IF(COUNT($E$2:$E226)&lt;20,"",INTERCEPT($E$127:$E$226,$F$127:$F$226))</f>
        <v>0</v>
      </c>
      <c r="BC226">
        <f>IF(OR(BA226="",BB226=""),"",BB226+BA226*F226)</f>
        <v>0</v>
      </c>
      <c r="BD226">
        <f>IF(COUNT($E$2:$E226)&lt;20,"",STEYX($E$127:$E$226,$F$127:$F$226))</f>
        <v>0</v>
      </c>
      <c r="BE226">
        <f>IF($E226="","",IF(AND(COUNT($E$227:$E$230)&gt;=4,$C226=MAX($C$222:$C$230)),$C226,""))</f>
        <v>0</v>
      </c>
      <c r="BF226">
        <f>IF($E226="","",IF(AND(COUNT($E$227:$E$230)&gt;=4,$D226=MIN($D$222:$D$230)),$D226,""))</f>
        <v>0</v>
      </c>
      <c r="BG226">
        <f>IFERROR(SMALL(Calc_Daily!$BM$2:$BM$2001,225),"")</f>
        <v>0</v>
      </c>
    </row>
    <row r="227" spans="1:59">
      <c r="A227" s="27">
        <f>IF($BG227="","",INDEX(Calc_Daily!$A$2:$A$2001,$BG227))</f>
        <v>0</v>
      </c>
      <c r="B227">
        <f>IF($BG227="","",INDEX(Calc_Daily!$BJ$2:$BJ$2001,$BG227))</f>
        <v>0</v>
      </c>
      <c r="C227">
        <f>IF($BG227="","",INDEX(Calc_Daily!$BK$2:$BK$2001,$BG227))</f>
        <v>0</v>
      </c>
      <c r="D227">
        <f>IF($BG227="","",INDEX(Calc_Daily!$BL$2:$BL$2001,$BG227))</f>
        <v>0</v>
      </c>
      <c r="E227">
        <f>IF($BG227="","",INDEX(Calc_Daily!$E$2:$E$2001,$BG227))</f>
        <v>0</v>
      </c>
      <c r="F227">
        <f>IF($E227="","",N(F226)+1)</f>
        <v>0</v>
      </c>
      <c r="G227">
        <f>IF(OR($E227="",$E226=""),"",LN($E227/$E226))</f>
        <v>0</v>
      </c>
      <c r="H227">
        <f>IF($E227="","",IF($E226="",$E227,$E227*0.0952380952+H226*0.9047619048))</f>
        <v>0</v>
      </c>
      <c r="I227">
        <f>IF($E227="","",IF($E226="",$E227,$E227*0.0392156863+I226*0.9607843137))</f>
        <v>0</v>
      </c>
      <c r="J227">
        <f>IF($E227="","",IF($E226="",$E227,$E227*0.0198019802+J226*0.9801980198))</f>
        <v>0</v>
      </c>
      <c r="K227">
        <f>IF($E227="","",IF($E226="",$E227,$E227*0.0099502488+K226*0.9900497512))</f>
        <v>0</v>
      </c>
      <c r="L227">
        <f>IF(OR($E227="",$E226=""),"",MAX($E227-$E226,0))</f>
        <v>0</v>
      </c>
      <c r="M227">
        <f>IF(OR($E227="",$E226=""),"",MAX($E226-$E227,0))</f>
        <v>0</v>
      </c>
      <c r="N227">
        <f>IF(COUNT($E$2:$E227)&lt;15,"",IF(AVERAGE($M$214:$M$227)=0,100,100-100/(1+AVERAGE($L$214:$L$227)/AVERAGE($M$214:$M$227))))</f>
        <v>0</v>
      </c>
      <c r="O227">
        <f>IF($E227="","",IF($E226="",$E227,$E227*0.1538461538+O226*0.8461538462))</f>
        <v>0</v>
      </c>
      <c r="P227">
        <f>IF($E227="","",IF($E226="",$E227,$E227*0.0740740741+P226*0.9259259259))</f>
        <v>0</v>
      </c>
      <c r="Q227">
        <f>IF(OR(O227="",P227=""),"",O227-P227)</f>
        <v>0</v>
      </c>
      <c r="R227">
        <f>IF(Q227="","",IF(R226="",Q227,Q227*0.2000000000+R226*0.8000000000))</f>
        <v>0</v>
      </c>
      <c r="S227">
        <f>IF(OR(Q227="",R227=""),"",Q227-R227)</f>
        <v>0</v>
      </c>
      <c r="T227">
        <f>IF(COUNT($E$2:$E227)&lt;14,"",MAX($C$214:$C$227))</f>
        <v>0</v>
      </c>
      <c r="U227">
        <f>IF(COUNT($E$2:$E227)&lt;14,"",MIN($D$214:$D$227))</f>
        <v>0</v>
      </c>
      <c r="V227">
        <f>IF(OR(T227="",U227="",T227=U227),"",100*($E227-U227)/(T227-U227))</f>
        <v>0</v>
      </c>
      <c r="W227">
        <f>IF(COUNT($V$225:$V$227)&lt;3,"",AVERAGE($V$225:$V$227))</f>
        <v>0</v>
      </c>
      <c r="X227">
        <f>IF(COUNT($N$214:$N$227)&lt;14,"",MIN($N$214:$N$227))</f>
        <v>0</v>
      </c>
      <c r="Y227">
        <f>IF(COUNT($N$214:$N$227)&lt;14,"",MAX($N$214:$N$227))</f>
        <v>0</v>
      </c>
      <c r="Z227">
        <f>IF(OR(N227="",X227="",Y227="",Y227=X227),"",100*(N227-X227)/(Y227-X227))</f>
        <v>0</v>
      </c>
      <c r="AA227">
        <f>IF(COUNT($Z$225:$Z$227)&lt;3,"",AVERAGE($Z$225:$Z$227))</f>
        <v>0</v>
      </c>
      <c r="AB227">
        <f>IF(COUNT($AA$225:$AA$227)&lt;3,"",AVERAGE($AA$225:$AA$227))</f>
        <v>0</v>
      </c>
      <c r="AC227">
        <f>IF($E227="","",MAX($C227-$D227,ABS($C227-$E226),ABS($D227-$E226)))</f>
        <v>0</v>
      </c>
      <c r="AD227">
        <f>IF(COUNT($E$2:$E227)&lt;15,"",AVERAGE($AC$214:$AC$227))</f>
        <v>0</v>
      </c>
      <c r="AE227">
        <f>IF(OR($E227="",$E226=""),"",IF(AND(($C227-$C226)&gt;($D226-$D227),($C227-$C226)&gt;0),$C227-$C226,0))</f>
        <v>0</v>
      </c>
      <c r="AF227">
        <f>IF(OR($E227="",$E226=""),"",IF(AND(($D226-$D227)&gt;($C227-$C226),($D226-$D227)&gt;0),$D226-$D227,0))</f>
        <v>0</v>
      </c>
      <c r="AG227">
        <f>IF(COUNT($E$2:$E227)&lt;15,"",IF(SUM($AC$214:$AC$227)=0,0,100*SUM($AE$214:$AE$227)/SUM($AC$214:$AC$227)))</f>
        <v>0</v>
      </c>
      <c r="AH227">
        <f>IF(COUNT($E$2:$E227)&lt;15,"",IF(SUM($AC$214:$AC$227)=0,0,100*SUM($AF$214:$AF$227)/SUM($AC$214:$AC$227)))</f>
        <v>0</v>
      </c>
      <c r="AI227">
        <f>IF(OR(AG227="",AH227=""),"",IF((AG227+AH227)=0,0,100*ABS(AG227-AH227)/(AG227+AH227)))</f>
        <v>0</v>
      </c>
      <c r="AJ227">
        <f>IF(COUNT($AI$214:$AI$227)&lt;14,"",AVERAGE($AI$214:$AI$227))</f>
        <v>0</v>
      </c>
      <c r="AK227">
        <f>IF(COUNT($E$2:$E227)&lt;20,"",AVERAGE($E$208:$E$227))</f>
        <v>0</v>
      </c>
      <c r="AL227">
        <f>IF(COUNT($E$2:$E227)&lt;20,"",STDEVP($E$208:$E$227))</f>
        <v>0</v>
      </c>
      <c r="AM227">
        <f>IF(AK227="","",AK227+2*AL227)</f>
        <v>0</v>
      </c>
      <c r="AN227">
        <f>IF(AK227="","",AK227-2*AL227)</f>
        <v>0</v>
      </c>
      <c r="AO227">
        <f>IF(OR(AM227="",AN227="",AM227=AN227),"",($E227-AN227)/(AM227-AN227))</f>
        <v>0</v>
      </c>
      <c r="AP227">
        <f>IF(OR(AM227="",AK227="",AK227=0),"",(AM227-AN227)/AK227)</f>
        <v>0</v>
      </c>
      <c r="AQ227">
        <f>IF(COUNT($E$2:$E227)&lt;20,"",MAX($C$208:$C$227))</f>
        <v>0</v>
      </c>
      <c r="AR227">
        <f>IF(COUNT($E$2:$E227)&lt;20,"",MIN($D$208:$D$227))</f>
        <v>0</v>
      </c>
      <c r="AS227">
        <f>IF(OR(AQ227="",AR227=""),"",(AQ227+AR227)/2)</f>
        <v>0</v>
      </c>
      <c r="AT227">
        <f>IF(COUNT($G$208:$G$227)&lt;20,"",STDEV($G$208:$G$227)*SQRT(52))</f>
        <v>0</v>
      </c>
      <c r="AU227">
        <f>IF(COUNT($E$2:$E227)&lt;9,"",(MAX($C$219:$C$227)+MIN($D$219:$D$227))/2)</f>
        <v>0</v>
      </c>
      <c r="AV227">
        <f>IF(COUNT($E$2:$E227)&lt;26,"",(MAX($C$202:$C$227)+MIN($D$202:$D$227))/2)</f>
        <v>0</v>
      </c>
      <c r="AW227">
        <f>IF(OR(AU227="",AV227=""),"",(AU227+AV227)/2)</f>
        <v>0</v>
      </c>
      <c r="AX227">
        <f>IF(COUNT($E$2:$E227)&lt;52,"",(MAX($C$176:$C$227)+MIN($D$176:$D$227))/2)</f>
        <v>0</v>
      </c>
      <c r="AY227">
        <f>IF(COUNT($E$2:$E227)&lt;20,"",MAX($C$128:$C$227))</f>
        <v>0</v>
      </c>
      <c r="AZ227">
        <f>IF(COUNT($E$2:$E227)&lt;20,"",MIN($D$128:$D$227))</f>
        <v>0</v>
      </c>
      <c r="BA227">
        <f>IF(COUNT($E$2:$E227)&lt;20,"",SLOPE($E$128:$E$227,$F$128:$F$227))</f>
        <v>0</v>
      </c>
      <c r="BB227">
        <f>IF(COUNT($E$2:$E227)&lt;20,"",INTERCEPT($E$128:$E$227,$F$128:$F$227))</f>
        <v>0</v>
      </c>
      <c r="BC227">
        <f>IF(OR(BA227="",BB227=""),"",BB227+BA227*F227)</f>
        <v>0</v>
      </c>
      <c r="BD227">
        <f>IF(COUNT($E$2:$E227)&lt;20,"",STEYX($E$128:$E$227,$F$128:$F$227))</f>
        <v>0</v>
      </c>
      <c r="BE227">
        <f>IF($E227="","",IF(AND(COUNT($E$228:$E$231)&gt;=4,$C227=MAX($C$223:$C$231)),$C227,""))</f>
        <v>0</v>
      </c>
      <c r="BF227">
        <f>IF($E227="","",IF(AND(COUNT($E$228:$E$231)&gt;=4,$D227=MIN($D$223:$D$231)),$D227,""))</f>
        <v>0</v>
      </c>
      <c r="BG227">
        <f>IFERROR(SMALL(Calc_Daily!$BM$2:$BM$2001,226),"")</f>
        <v>0</v>
      </c>
    </row>
    <row r="228" spans="1:59">
      <c r="A228" s="27">
        <f>IF($BG228="","",INDEX(Calc_Daily!$A$2:$A$2001,$BG228))</f>
        <v>0</v>
      </c>
      <c r="B228">
        <f>IF($BG228="","",INDEX(Calc_Daily!$BJ$2:$BJ$2001,$BG228))</f>
        <v>0</v>
      </c>
      <c r="C228">
        <f>IF($BG228="","",INDEX(Calc_Daily!$BK$2:$BK$2001,$BG228))</f>
        <v>0</v>
      </c>
      <c r="D228">
        <f>IF($BG228="","",INDEX(Calc_Daily!$BL$2:$BL$2001,$BG228))</f>
        <v>0</v>
      </c>
      <c r="E228">
        <f>IF($BG228="","",INDEX(Calc_Daily!$E$2:$E$2001,$BG228))</f>
        <v>0</v>
      </c>
      <c r="F228">
        <f>IF($E228="","",N(F227)+1)</f>
        <v>0</v>
      </c>
      <c r="G228">
        <f>IF(OR($E228="",$E227=""),"",LN($E228/$E227))</f>
        <v>0</v>
      </c>
      <c r="H228">
        <f>IF($E228="","",IF($E227="",$E228,$E228*0.0952380952+H227*0.9047619048))</f>
        <v>0</v>
      </c>
      <c r="I228">
        <f>IF($E228="","",IF($E227="",$E228,$E228*0.0392156863+I227*0.9607843137))</f>
        <v>0</v>
      </c>
      <c r="J228">
        <f>IF($E228="","",IF($E227="",$E228,$E228*0.0198019802+J227*0.9801980198))</f>
        <v>0</v>
      </c>
      <c r="K228">
        <f>IF($E228="","",IF($E227="",$E228,$E228*0.0099502488+K227*0.9900497512))</f>
        <v>0</v>
      </c>
      <c r="L228">
        <f>IF(OR($E228="",$E227=""),"",MAX($E228-$E227,0))</f>
        <v>0</v>
      </c>
      <c r="M228">
        <f>IF(OR($E228="",$E227=""),"",MAX($E227-$E228,0))</f>
        <v>0</v>
      </c>
      <c r="N228">
        <f>IF(COUNT($E$2:$E228)&lt;15,"",IF(AVERAGE($M$215:$M$228)=0,100,100-100/(1+AVERAGE($L$215:$L$228)/AVERAGE($M$215:$M$228))))</f>
        <v>0</v>
      </c>
      <c r="O228">
        <f>IF($E228="","",IF($E227="",$E228,$E228*0.1538461538+O227*0.8461538462))</f>
        <v>0</v>
      </c>
      <c r="P228">
        <f>IF($E228="","",IF($E227="",$E228,$E228*0.0740740741+P227*0.9259259259))</f>
        <v>0</v>
      </c>
      <c r="Q228">
        <f>IF(OR(O228="",P228=""),"",O228-P228)</f>
        <v>0</v>
      </c>
      <c r="R228">
        <f>IF(Q228="","",IF(R227="",Q228,Q228*0.2000000000+R227*0.8000000000))</f>
        <v>0</v>
      </c>
      <c r="S228">
        <f>IF(OR(Q228="",R228=""),"",Q228-R228)</f>
        <v>0</v>
      </c>
      <c r="T228">
        <f>IF(COUNT($E$2:$E228)&lt;14,"",MAX($C$215:$C$228))</f>
        <v>0</v>
      </c>
      <c r="U228">
        <f>IF(COUNT($E$2:$E228)&lt;14,"",MIN($D$215:$D$228))</f>
        <v>0</v>
      </c>
      <c r="V228">
        <f>IF(OR(T228="",U228="",T228=U228),"",100*($E228-U228)/(T228-U228))</f>
        <v>0</v>
      </c>
      <c r="W228">
        <f>IF(COUNT($V$226:$V$228)&lt;3,"",AVERAGE($V$226:$V$228))</f>
        <v>0</v>
      </c>
      <c r="X228">
        <f>IF(COUNT($N$215:$N$228)&lt;14,"",MIN($N$215:$N$228))</f>
        <v>0</v>
      </c>
      <c r="Y228">
        <f>IF(COUNT($N$215:$N$228)&lt;14,"",MAX($N$215:$N$228))</f>
        <v>0</v>
      </c>
      <c r="Z228">
        <f>IF(OR(N228="",X228="",Y228="",Y228=X228),"",100*(N228-X228)/(Y228-X228))</f>
        <v>0</v>
      </c>
      <c r="AA228">
        <f>IF(COUNT($Z$226:$Z$228)&lt;3,"",AVERAGE($Z$226:$Z$228))</f>
        <v>0</v>
      </c>
      <c r="AB228">
        <f>IF(COUNT($AA$226:$AA$228)&lt;3,"",AVERAGE($AA$226:$AA$228))</f>
        <v>0</v>
      </c>
      <c r="AC228">
        <f>IF($E228="","",MAX($C228-$D228,ABS($C228-$E227),ABS($D228-$E227)))</f>
        <v>0</v>
      </c>
      <c r="AD228">
        <f>IF(COUNT($E$2:$E228)&lt;15,"",AVERAGE($AC$215:$AC$228))</f>
        <v>0</v>
      </c>
      <c r="AE228">
        <f>IF(OR($E228="",$E227=""),"",IF(AND(($C228-$C227)&gt;($D227-$D228),($C228-$C227)&gt;0),$C228-$C227,0))</f>
        <v>0</v>
      </c>
      <c r="AF228">
        <f>IF(OR($E228="",$E227=""),"",IF(AND(($D227-$D228)&gt;($C228-$C227),($D227-$D228)&gt;0),$D227-$D228,0))</f>
        <v>0</v>
      </c>
      <c r="AG228">
        <f>IF(COUNT($E$2:$E228)&lt;15,"",IF(SUM($AC$215:$AC$228)=0,0,100*SUM($AE$215:$AE$228)/SUM($AC$215:$AC$228)))</f>
        <v>0</v>
      </c>
      <c r="AH228">
        <f>IF(COUNT($E$2:$E228)&lt;15,"",IF(SUM($AC$215:$AC$228)=0,0,100*SUM($AF$215:$AF$228)/SUM($AC$215:$AC$228)))</f>
        <v>0</v>
      </c>
      <c r="AI228">
        <f>IF(OR(AG228="",AH228=""),"",IF((AG228+AH228)=0,0,100*ABS(AG228-AH228)/(AG228+AH228)))</f>
        <v>0</v>
      </c>
      <c r="AJ228">
        <f>IF(COUNT($AI$215:$AI$228)&lt;14,"",AVERAGE($AI$215:$AI$228))</f>
        <v>0</v>
      </c>
      <c r="AK228">
        <f>IF(COUNT($E$2:$E228)&lt;20,"",AVERAGE($E$209:$E$228))</f>
        <v>0</v>
      </c>
      <c r="AL228">
        <f>IF(COUNT($E$2:$E228)&lt;20,"",STDEVP($E$209:$E$228))</f>
        <v>0</v>
      </c>
      <c r="AM228">
        <f>IF(AK228="","",AK228+2*AL228)</f>
        <v>0</v>
      </c>
      <c r="AN228">
        <f>IF(AK228="","",AK228-2*AL228)</f>
        <v>0</v>
      </c>
      <c r="AO228">
        <f>IF(OR(AM228="",AN228="",AM228=AN228),"",($E228-AN228)/(AM228-AN228))</f>
        <v>0</v>
      </c>
      <c r="AP228">
        <f>IF(OR(AM228="",AK228="",AK228=0),"",(AM228-AN228)/AK228)</f>
        <v>0</v>
      </c>
      <c r="AQ228">
        <f>IF(COUNT($E$2:$E228)&lt;20,"",MAX($C$209:$C$228))</f>
        <v>0</v>
      </c>
      <c r="AR228">
        <f>IF(COUNT($E$2:$E228)&lt;20,"",MIN($D$209:$D$228))</f>
        <v>0</v>
      </c>
      <c r="AS228">
        <f>IF(OR(AQ228="",AR228=""),"",(AQ228+AR228)/2)</f>
        <v>0</v>
      </c>
      <c r="AT228">
        <f>IF(COUNT($G$209:$G$228)&lt;20,"",STDEV($G$209:$G$228)*SQRT(52))</f>
        <v>0</v>
      </c>
      <c r="AU228">
        <f>IF(COUNT($E$2:$E228)&lt;9,"",(MAX($C$220:$C$228)+MIN($D$220:$D$228))/2)</f>
        <v>0</v>
      </c>
      <c r="AV228">
        <f>IF(COUNT($E$2:$E228)&lt;26,"",(MAX($C$203:$C$228)+MIN($D$203:$D$228))/2)</f>
        <v>0</v>
      </c>
      <c r="AW228">
        <f>IF(OR(AU228="",AV228=""),"",(AU228+AV228)/2)</f>
        <v>0</v>
      </c>
      <c r="AX228">
        <f>IF(COUNT($E$2:$E228)&lt;52,"",(MAX($C$177:$C$228)+MIN($D$177:$D$228))/2)</f>
        <v>0</v>
      </c>
      <c r="AY228">
        <f>IF(COUNT($E$2:$E228)&lt;20,"",MAX($C$129:$C$228))</f>
        <v>0</v>
      </c>
      <c r="AZ228">
        <f>IF(COUNT($E$2:$E228)&lt;20,"",MIN($D$129:$D$228))</f>
        <v>0</v>
      </c>
      <c r="BA228">
        <f>IF(COUNT($E$2:$E228)&lt;20,"",SLOPE($E$129:$E$228,$F$129:$F$228))</f>
        <v>0</v>
      </c>
      <c r="BB228">
        <f>IF(COUNT($E$2:$E228)&lt;20,"",INTERCEPT($E$129:$E$228,$F$129:$F$228))</f>
        <v>0</v>
      </c>
      <c r="BC228">
        <f>IF(OR(BA228="",BB228=""),"",BB228+BA228*F228)</f>
        <v>0</v>
      </c>
      <c r="BD228">
        <f>IF(COUNT($E$2:$E228)&lt;20,"",STEYX($E$129:$E$228,$F$129:$F$228))</f>
        <v>0</v>
      </c>
      <c r="BE228">
        <f>IF($E228="","",IF(AND(COUNT($E$229:$E$232)&gt;=4,$C228=MAX($C$224:$C$232)),$C228,""))</f>
        <v>0</v>
      </c>
      <c r="BF228">
        <f>IF($E228="","",IF(AND(COUNT($E$229:$E$232)&gt;=4,$D228=MIN($D$224:$D$232)),$D228,""))</f>
        <v>0</v>
      </c>
      <c r="BG228">
        <f>IFERROR(SMALL(Calc_Daily!$BM$2:$BM$2001,227),"")</f>
        <v>0</v>
      </c>
    </row>
    <row r="229" spans="1:59">
      <c r="A229" s="27">
        <f>IF($BG229="","",INDEX(Calc_Daily!$A$2:$A$2001,$BG229))</f>
        <v>0</v>
      </c>
      <c r="B229">
        <f>IF($BG229="","",INDEX(Calc_Daily!$BJ$2:$BJ$2001,$BG229))</f>
        <v>0</v>
      </c>
      <c r="C229">
        <f>IF($BG229="","",INDEX(Calc_Daily!$BK$2:$BK$2001,$BG229))</f>
        <v>0</v>
      </c>
      <c r="D229">
        <f>IF($BG229="","",INDEX(Calc_Daily!$BL$2:$BL$2001,$BG229))</f>
        <v>0</v>
      </c>
      <c r="E229">
        <f>IF($BG229="","",INDEX(Calc_Daily!$E$2:$E$2001,$BG229))</f>
        <v>0</v>
      </c>
      <c r="F229">
        <f>IF($E229="","",N(F228)+1)</f>
        <v>0</v>
      </c>
      <c r="G229">
        <f>IF(OR($E229="",$E228=""),"",LN($E229/$E228))</f>
        <v>0</v>
      </c>
      <c r="H229">
        <f>IF($E229="","",IF($E228="",$E229,$E229*0.0952380952+H228*0.9047619048))</f>
        <v>0</v>
      </c>
      <c r="I229">
        <f>IF($E229="","",IF($E228="",$E229,$E229*0.0392156863+I228*0.9607843137))</f>
        <v>0</v>
      </c>
      <c r="J229">
        <f>IF($E229="","",IF($E228="",$E229,$E229*0.0198019802+J228*0.9801980198))</f>
        <v>0</v>
      </c>
      <c r="K229">
        <f>IF($E229="","",IF($E228="",$E229,$E229*0.0099502488+K228*0.9900497512))</f>
        <v>0</v>
      </c>
      <c r="L229">
        <f>IF(OR($E229="",$E228=""),"",MAX($E229-$E228,0))</f>
        <v>0</v>
      </c>
      <c r="M229">
        <f>IF(OR($E229="",$E228=""),"",MAX($E228-$E229,0))</f>
        <v>0</v>
      </c>
      <c r="N229">
        <f>IF(COUNT($E$2:$E229)&lt;15,"",IF(AVERAGE($M$216:$M$229)=0,100,100-100/(1+AVERAGE($L$216:$L$229)/AVERAGE($M$216:$M$229))))</f>
        <v>0</v>
      </c>
      <c r="O229">
        <f>IF($E229="","",IF($E228="",$E229,$E229*0.1538461538+O228*0.8461538462))</f>
        <v>0</v>
      </c>
      <c r="P229">
        <f>IF($E229="","",IF($E228="",$E229,$E229*0.0740740741+P228*0.9259259259))</f>
        <v>0</v>
      </c>
      <c r="Q229">
        <f>IF(OR(O229="",P229=""),"",O229-P229)</f>
        <v>0</v>
      </c>
      <c r="R229">
        <f>IF(Q229="","",IF(R228="",Q229,Q229*0.2000000000+R228*0.8000000000))</f>
        <v>0</v>
      </c>
      <c r="S229">
        <f>IF(OR(Q229="",R229=""),"",Q229-R229)</f>
        <v>0</v>
      </c>
      <c r="T229">
        <f>IF(COUNT($E$2:$E229)&lt;14,"",MAX($C$216:$C$229))</f>
        <v>0</v>
      </c>
      <c r="U229">
        <f>IF(COUNT($E$2:$E229)&lt;14,"",MIN($D$216:$D$229))</f>
        <v>0</v>
      </c>
      <c r="V229">
        <f>IF(OR(T229="",U229="",T229=U229),"",100*($E229-U229)/(T229-U229))</f>
        <v>0</v>
      </c>
      <c r="W229">
        <f>IF(COUNT($V$227:$V$229)&lt;3,"",AVERAGE($V$227:$V$229))</f>
        <v>0</v>
      </c>
      <c r="X229">
        <f>IF(COUNT($N$216:$N$229)&lt;14,"",MIN($N$216:$N$229))</f>
        <v>0</v>
      </c>
      <c r="Y229">
        <f>IF(COUNT($N$216:$N$229)&lt;14,"",MAX($N$216:$N$229))</f>
        <v>0</v>
      </c>
      <c r="Z229">
        <f>IF(OR(N229="",X229="",Y229="",Y229=X229),"",100*(N229-X229)/(Y229-X229))</f>
        <v>0</v>
      </c>
      <c r="AA229">
        <f>IF(COUNT($Z$227:$Z$229)&lt;3,"",AVERAGE($Z$227:$Z$229))</f>
        <v>0</v>
      </c>
      <c r="AB229">
        <f>IF(COUNT($AA$227:$AA$229)&lt;3,"",AVERAGE($AA$227:$AA$229))</f>
        <v>0</v>
      </c>
      <c r="AC229">
        <f>IF($E229="","",MAX($C229-$D229,ABS($C229-$E228),ABS($D229-$E228)))</f>
        <v>0</v>
      </c>
      <c r="AD229">
        <f>IF(COUNT($E$2:$E229)&lt;15,"",AVERAGE($AC$216:$AC$229))</f>
        <v>0</v>
      </c>
      <c r="AE229">
        <f>IF(OR($E229="",$E228=""),"",IF(AND(($C229-$C228)&gt;($D228-$D229),($C229-$C228)&gt;0),$C229-$C228,0))</f>
        <v>0</v>
      </c>
      <c r="AF229">
        <f>IF(OR($E229="",$E228=""),"",IF(AND(($D228-$D229)&gt;($C229-$C228),($D228-$D229)&gt;0),$D228-$D229,0))</f>
        <v>0</v>
      </c>
      <c r="AG229">
        <f>IF(COUNT($E$2:$E229)&lt;15,"",IF(SUM($AC$216:$AC$229)=0,0,100*SUM($AE$216:$AE$229)/SUM($AC$216:$AC$229)))</f>
        <v>0</v>
      </c>
      <c r="AH229">
        <f>IF(COUNT($E$2:$E229)&lt;15,"",IF(SUM($AC$216:$AC$229)=0,0,100*SUM($AF$216:$AF$229)/SUM($AC$216:$AC$229)))</f>
        <v>0</v>
      </c>
      <c r="AI229">
        <f>IF(OR(AG229="",AH229=""),"",IF((AG229+AH229)=0,0,100*ABS(AG229-AH229)/(AG229+AH229)))</f>
        <v>0</v>
      </c>
      <c r="AJ229">
        <f>IF(COUNT($AI$216:$AI$229)&lt;14,"",AVERAGE($AI$216:$AI$229))</f>
        <v>0</v>
      </c>
      <c r="AK229">
        <f>IF(COUNT($E$2:$E229)&lt;20,"",AVERAGE($E$210:$E$229))</f>
        <v>0</v>
      </c>
      <c r="AL229">
        <f>IF(COUNT($E$2:$E229)&lt;20,"",STDEVP($E$210:$E$229))</f>
        <v>0</v>
      </c>
      <c r="AM229">
        <f>IF(AK229="","",AK229+2*AL229)</f>
        <v>0</v>
      </c>
      <c r="AN229">
        <f>IF(AK229="","",AK229-2*AL229)</f>
        <v>0</v>
      </c>
      <c r="AO229">
        <f>IF(OR(AM229="",AN229="",AM229=AN229),"",($E229-AN229)/(AM229-AN229))</f>
        <v>0</v>
      </c>
      <c r="AP229">
        <f>IF(OR(AM229="",AK229="",AK229=0),"",(AM229-AN229)/AK229)</f>
        <v>0</v>
      </c>
      <c r="AQ229">
        <f>IF(COUNT($E$2:$E229)&lt;20,"",MAX($C$210:$C$229))</f>
        <v>0</v>
      </c>
      <c r="AR229">
        <f>IF(COUNT($E$2:$E229)&lt;20,"",MIN($D$210:$D$229))</f>
        <v>0</v>
      </c>
      <c r="AS229">
        <f>IF(OR(AQ229="",AR229=""),"",(AQ229+AR229)/2)</f>
        <v>0</v>
      </c>
      <c r="AT229">
        <f>IF(COUNT($G$210:$G$229)&lt;20,"",STDEV($G$210:$G$229)*SQRT(52))</f>
        <v>0</v>
      </c>
      <c r="AU229">
        <f>IF(COUNT($E$2:$E229)&lt;9,"",(MAX($C$221:$C$229)+MIN($D$221:$D$229))/2)</f>
        <v>0</v>
      </c>
      <c r="AV229">
        <f>IF(COUNT($E$2:$E229)&lt;26,"",(MAX($C$204:$C$229)+MIN($D$204:$D$229))/2)</f>
        <v>0</v>
      </c>
      <c r="AW229">
        <f>IF(OR(AU229="",AV229=""),"",(AU229+AV229)/2)</f>
        <v>0</v>
      </c>
      <c r="AX229">
        <f>IF(COUNT($E$2:$E229)&lt;52,"",(MAX($C$178:$C$229)+MIN($D$178:$D$229))/2)</f>
        <v>0</v>
      </c>
      <c r="AY229">
        <f>IF(COUNT($E$2:$E229)&lt;20,"",MAX($C$130:$C$229))</f>
        <v>0</v>
      </c>
      <c r="AZ229">
        <f>IF(COUNT($E$2:$E229)&lt;20,"",MIN($D$130:$D$229))</f>
        <v>0</v>
      </c>
      <c r="BA229">
        <f>IF(COUNT($E$2:$E229)&lt;20,"",SLOPE($E$130:$E$229,$F$130:$F$229))</f>
        <v>0</v>
      </c>
      <c r="BB229">
        <f>IF(COUNT($E$2:$E229)&lt;20,"",INTERCEPT($E$130:$E$229,$F$130:$F$229))</f>
        <v>0</v>
      </c>
      <c r="BC229">
        <f>IF(OR(BA229="",BB229=""),"",BB229+BA229*F229)</f>
        <v>0</v>
      </c>
      <c r="BD229">
        <f>IF(COUNT($E$2:$E229)&lt;20,"",STEYX($E$130:$E$229,$F$130:$F$229))</f>
        <v>0</v>
      </c>
      <c r="BE229">
        <f>IF($E229="","",IF(AND(COUNT($E$230:$E$233)&gt;=4,$C229=MAX($C$225:$C$233)),$C229,""))</f>
        <v>0</v>
      </c>
      <c r="BF229">
        <f>IF($E229="","",IF(AND(COUNT($E$230:$E$233)&gt;=4,$D229=MIN($D$225:$D$233)),$D229,""))</f>
        <v>0</v>
      </c>
      <c r="BG229">
        <f>IFERROR(SMALL(Calc_Daily!$BM$2:$BM$2001,228),"")</f>
        <v>0</v>
      </c>
    </row>
    <row r="230" spans="1:59">
      <c r="A230" s="27">
        <f>IF($BG230="","",INDEX(Calc_Daily!$A$2:$A$2001,$BG230))</f>
        <v>0</v>
      </c>
      <c r="B230">
        <f>IF($BG230="","",INDEX(Calc_Daily!$BJ$2:$BJ$2001,$BG230))</f>
        <v>0</v>
      </c>
      <c r="C230">
        <f>IF($BG230="","",INDEX(Calc_Daily!$BK$2:$BK$2001,$BG230))</f>
        <v>0</v>
      </c>
      <c r="D230">
        <f>IF($BG230="","",INDEX(Calc_Daily!$BL$2:$BL$2001,$BG230))</f>
        <v>0</v>
      </c>
      <c r="E230">
        <f>IF($BG230="","",INDEX(Calc_Daily!$E$2:$E$2001,$BG230))</f>
        <v>0</v>
      </c>
      <c r="F230">
        <f>IF($E230="","",N(F229)+1)</f>
        <v>0</v>
      </c>
      <c r="G230">
        <f>IF(OR($E230="",$E229=""),"",LN($E230/$E229))</f>
        <v>0</v>
      </c>
      <c r="H230">
        <f>IF($E230="","",IF($E229="",$E230,$E230*0.0952380952+H229*0.9047619048))</f>
        <v>0</v>
      </c>
      <c r="I230">
        <f>IF($E230="","",IF($E229="",$E230,$E230*0.0392156863+I229*0.9607843137))</f>
        <v>0</v>
      </c>
      <c r="J230">
        <f>IF($E230="","",IF($E229="",$E230,$E230*0.0198019802+J229*0.9801980198))</f>
        <v>0</v>
      </c>
      <c r="K230">
        <f>IF($E230="","",IF($E229="",$E230,$E230*0.0099502488+K229*0.9900497512))</f>
        <v>0</v>
      </c>
      <c r="L230">
        <f>IF(OR($E230="",$E229=""),"",MAX($E230-$E229,0))</f>
        <v>0</v>
      </c>
      <c r="M230">
        <f>IF(OR($E230="",$E229=""),"",MAX($E229-$E230,0))</f>
        <v>0</v>
      </c>
      <c r="N230">
        <f>IF(COUNT($E$2:$E230)&lt;15,"",IF(AVERAGE($M$217:$M$230)=0,100,100-100/(1+AVERAGE($L$217:$L$230)/AVERAGE($M$217:$M$230))))</f>
        <v>0</v>
      </c>
      <c r="O230">
        <f>IF($E230="","",IF($E229="",$E230,$E230*0.1538461538+O229*0.8461538462))</f>
        <v>0</v>
      </c>
      <c r="P230">
        <f>IF($E230="","",IF($E229="",$E230,$E230*0.0740740741+P229*0.9259259259))</f>
        <v>0</v>
      </c>
      <c r="Q230">
        <f>IF(OR(O230="",P230=""),"",O230-P230)</f>
        <v>0</v>
      </c>
      <c r="R230">
        <f>IF(Q230="","",IF(R229="",Q230,Q230*0.2000000000+R229*0.8000000000))</f>
        <v>0</v>
      </c>
      <c r="S230">
        <f>IF(OR(Q230="",R230=""),"",Q230-R230)</f>
        <v>0</v>
      </c>
      <c r="T230">
        <f>IF(COUNT($E$2:$E230)&lt;14,"",MAX($C$217:$C$230))</f>
        <v>0</v>
      </c>
      <c r="U230">
        <f>IF(COUNT($E$2:$E230)&lt;14,"",MIN($D$217:$D$230))</f>
        <v>0</v>
      </c>
      <c r="V230">
        <f>IF(OR(T230="",U230="",T230=U230),"",100*($E230-U230)/(T230-U230))</f>
        <v>0</v>
      </c>
      <c r="W230">
        <f>IF(COUNT($V$228:$V$230)&lt;3,"",AVERAGE($V$228:$V$230))</f>
        <v>0</v>
      </c>
      <c r="X230">
        <f>IF(COUNT($N$217:$N$230)&lt;14,"",MIN($N$217:$N$230))</f>
        <v>0</v>
      </c>
      <c r="Y230">
        <f>IF(COUNT($N$217:$N$230)&lt;14,"",MAX($N$217:$N$230))</f>
        <v>0</v>
      </c>
      <c r="Z230">
        <f>IF(OR(N230="",X230="",Y230="",Y230=X230),"",100*(N230-X230)/(Y230-X230))</f>
        <v>0</v>
      </c>
      <c r="AA230">
        <f>IF(COUNT($Z$228:$Z$230)&lt;3,"",AVERAGE($Z$228:$Z$230))</f>
        <v>0</v>
      </c>
      <c r="AB230">
        <f>IF(COUNT($AA$228:$AA$230)&lt;3,"",AVERAGE($AA$228:$AA$230))</f>
        <v>0</v>
      </c>
      <c r="AC230">
        <f>IF($E230="","",MAX($C230-$D230,ABS($C230-$E229),ABS($D230-$E229)))</f>
        <v>0</v>
      </c>
      <c r="AD230">
        <f>IF(COUNT($E$2:$E230)&lt;15,"",AVERAGE($AC$217:$AC$230))</f>
        <v>0</v>
      </c>
      <c r="AE230">
        <f>IF(OR($E230="",$E229=""),"",IF(AND(($C230-$C229)&gt;($D229-$D230),($C230-$C229)&gt;0),$C230-$C229,0))</f>
        <v>0</v>
      </c>
      <c r="AF230">
        <f>IF(OR($E230="",$E229=""),"",IF(AND(($D229-$D230)&gt;($C230-$C229),($D229-$D230)&gt;0),$D229-$D230,0))</f>
        <v>0</v>
      </c>
      <c r="AG230">
        <f>IF(COUNT($E$2:$E230)&lt;15,"",IF(SUM($AC$217:$AC$230)=0,0,100*SUM($AE$217:$AE$230)/SUM($AC$217:$AC$230)))</f>
        <v>0</v>
      </c>
      <c r="AH230">
        <f>IF(COUNT($E$2:$E230)&lt;15,"",IF(SUM($AC$217:$AC$230)=0,0,100*SUM($AF$217:$AF$230)/SUM($AC$217:$AC$230)))</f>
        <v>0</v>
      </c>
      <c r="AI230">
        <f>IF(OR(AG230="",AH230=""),"",IF((AG230+AH230)=0,0,100*ABS(AG230-AH230)/(AG230+AH230)))</f>
        <v>0</v>
      </c>
      <c r="AJ230">
        <f>IF(COUNT($AI$217:$AI$230)&lt;14,"",AVERAGE($AI$217:$AI$230))</f>
        <v>0</v>
      </c>
      <c r="AK230">
        <f>IF(COUNT($E$2:$E230)&lt;20,"",AVERAGE($E$211:$E$230))</f>
        <v>0</v>
      </c>
      <c r="AL230">
        <f>IF(COUNT($E$2:$E230)&lt;20,"",STDEVP($E$211:$E$230))</f>
        <v>0</v>
      </c>
      <c r="AM230">
        <f>IF(AK230="","",AK230+2*AL230)</f>
        <v>0</v>
      </c>
      <c r="AN230">
        <f>IF(AK230="","",AK230-2*AL230)</f>
        <v>0</v>
      </c>
      <c r="AO230">
        <f>IF(OR(AM230="",AN230="",AM230=AN230),"",($E230-AN230)/(AM230-AN230))</f>
        <v>0</v>
      </c>
      <c r="AP230">
        <f>IF(OR(AM230="",AK230="",AK230=0),"",(AM230-AN230)/AK230)</f>
        <v>0</v>
      </c>
      <c r="AQ230">
        <f>IF(COUNT($E$2:$E230)&lt;20,"",MAX($C$211:$C$230))</f>
        <v>0</v>
      </c>
      <c r="AR230">
        <f>IF(COUNT($E$2:$E230)&lt;20,"",MIN($D$211:$D$230))</f>
        <v>0</v>
      </c>
      <c r="AS230">
        <f>IF(OR(AQ230="",AR230=""),"",(AQ230+AR230)/2)</f>
        <v>0</v>
      </c>
      <c r="AT230">
        <f>IF(COUNT($G$211:$G$230)&lt;20,"",STDEV($G$211:$G$230)*SQRT(52))</f>
        <v>0</v>
      </c>
      <c r="AU230">
        <f>IF(COUNT($E$2:$E230)&lt;9,"",(MAX($C$222:$C$230)+MIN($D$222:$D$230))/2)</f>
        <v>0</v>
      </c>
      <c r="AV230">
        <f>IF(COUNT($E$2:$E230)&lt;26,"",(MAX($C$205:$C$230)+MIN($D$205:$D$230))/2)</f>
        <v>0</v>
      </c>
      <c r="AW230">
        <f>IF(OR(AU230="",AV230=""),"",(AU230+AV230)/2)</f>
        <v>0</v>
      </c>
      <c r="AX230">
        <f>IF(COUNT($E$2:$E230)&lt;52,"",(MAX($C$179:$C$230)+MIN($D$179:$D$230))/2)</f>
        <v>0</v>
      </c>
      <c r="AY230">
        <f>IF(COUNT($E$2:$E230)&lt;20,"",MAX($C$131:$C$230))</f>
        <v>0</v>
      </c>
      <c r="AZ230">
        <f>IF(COUNT($E$2:$E230)&lt;20,"",MIN($D$131:$D$230))</f>
        <v>0</v>
      </c>
      <c r="BA230">
        <f>IF(COUNT($E$2:$E230)&lt;20,"",SLOPE($E$131:$E$230,$F$131:$F$230))</f>
        <v>0</v>
      </c>
      <c r="BB230">
        <f>IF(COUNT($E$2:$E230)&lt;20,"",INTERCEPT($E$131:$E$230,$F$131:$F$230))</f>
        <v>0</v>
      </c>
      <c r="BC230">
        <f>IF(OR(BA230="",BB230=""),"",BB230+BA230*F230)</f>
        <v>0</v>
      </c>
      <c r="BD230">
        <f>IF(COUNT($E$2:$E230)&lt;20,"",STEYX($E$131:$E$230,$F$131:$F$230))</f>
        <v>0</v>
      </c>
      <c r="BE230">
        <f>IF($E230="","",IF(AND(COUNT($E$231:$E$234)&gt;=4,$C230=MAX($C$226:$C$234)),$C230,""))</f>
        <v>0</v>
      </c>
      <c r="BF230">
        <f>IF($E230="","",IF(AND(COUNT($E$231:$E$234)&gt;=4,$D230=MIN($D$226:$D$234)),$D230,""))</f>
        <v>0</v>
      </c>
      <c r="BG230">
        <f>IFERROR(SMALL(Calc_Daily!$BM$2:$BM$2001,229),"")</f>
        <v>0</v>
      </c>
    </row>
    <row r="231" spans="1:59">
      <c r="A231" s="27">
        <f>IF($BG231="","",INDEX(Calc_Daily!$A$2:$A$2001,$BG231))</f>
        <v>0</v>
      </c>
      <c r="B231">
        <f>IF($BG231="","",INDEX(Calc_Daily!$BJ$2:$BJ$2001,$BG231))</f>
        <v>0</v>
      </c>
      <c r="C231">
        <f>IF($BG231="","",INDEX(Calc_Daily!$BK$2:$BK$2001,$BG231))</f>
        <v>0</v>
      </c>
      <c r="D231">
        <f>IF($BG231="","",INDEX(Calc_Daily!$BL$2:$BL$2001,$BG231))</f>
        <v>0</v>
      </c>
      <c r="E231">
        <f>IF($BG231="","",INDEX(Calc_Daily!$E$2:$E$2001,$BG231))</f>
        <v>0</v>
      </c>
      <c r="F231">
        <f>IF($E231="","",N(F230)+1)</f>
        <v>0</v>
      </c>
      <c r="G231">
        <f>IF(OR($E231="",$E230=""),"",LN($E231/$E230))</f>
        <v>0</v>
      </c>
      <c r="H231">
        <f>IF($E231="","",IF($E230="",$E231,$E231*0.0952380952+H230*0.9047619048))</f>
        <v>0</v>
      </c>
      <c r="I231">
        <f>IF($E231="","",IF($E230="",$E231,$E231*0.0392156863+I230*0.9607843137))</f>
        <v>0</v>
      </c>
      <c r="J231">
        <f>IF($E231="","",IF($E230="",$E231,$E231*0.0198019802+J230*0.9801980198))</f>
        <v>0</v>
      </c>
      <c r="K231">
        <f>IF($E231="","",IF($E230="",$E231,$E231*0.0099502488+K230*0.9900497512))</f>
        <v>0</v>
      </c>
      <c r="L231">
        <f>IF(OR($E231="",$E230=""),"",MAX($E231-$E230,0))</f>
        <v>0</v>
      </c>
      <c r="M231">
        <f>IF(OR($E231="",$E230=""),"",MAX($E230-$E231,0))</f>
        <v>0</v>
      </c>
      <c r="N231">
        <f>IF(COUNT($E$2:$E231)&lt;15,"",IF(AVERAGE($M$218:$M$231)=0,100,100-100/(1+AVERAGE($L$218:$L$231)/AVERAGE($M$218:$M$231))))</f>
        <v>0</v>
      </c>
      <c r="O231">
        <f>IF($E231="","",IF($E230="",$E231,$E231*0.1538461538+O230*0.8461538462))</f>
        <v>0</v>
      </c>
      <c r="P231">
        <f>IF($E231="","",IF($E230="",$E231,$E231*0.0740740741+P230*0.9259259259))</f>
        <v>0</v>
      </c>
      <c r="Q231">
        <f>IF(OR(O231="",P231=""),"",O231-P231)</f>
        <v>0</v>
      </c>
      <c r="R231">
        <f>IF(Q231="","",IF(R230="",Q231,Q231*0.2000000000+R230*0.8000000000))</f>
        <v>0</v>
      </c>
      <c r="S231">
        <f>IF(OR(Q231="",R231=""),"",Q231-R231)</f>
        <v>0</v>
      </c>
      <c r="T231">
        <f>IF(COUNT($E$2:$E231)&lt;14,"",MAX($C$218:$C$231))</f>
        <v>0</v>
      </c>
      <c r="U231">
        <f>IF(COUNT($E$2:$E231)&lt;14,"",MIN($D$218:$D$231))</f>
        <v>0</v>
      </c>
      <c r="V231">
        <f>IF(OR(T231="",U231="",T231=U231),"",100*($E231-U231)/(T231-U231))</f>
        <v>0</v>
      </c>
      <c r="W231">
        <f>IF(COUNT($V$229:$V$231)&lt;3,"",AVERAGE($V$229:$V$231))</f>
        <v>0</v>
      </c>
      <c r="X231">
        <f>IF(COUNT($N$218:$N$231)&lt;14,"",MIN($N$218:$N$231))</f>
        <v>0</v>
      </c>
      <c r="Y231">
        <f>IF(COUNT($N$218:$N$231)&lt;14,"",MAX($N$218:$N$231))</f>
        <v>0</v>
      </c>
      <c r="Z231">
        <f>IF(OR(N231="",X231="",Y231="",Y231=X231),"",100*(N231-X231)/(Y231-X231))</f>
        <v>0</v>
      </c>
      <c r="AA231">
        <f>IF(COUNT($Z$229:$Z$231)&lt;3,"",AVERAGE($Z$229:$Z$231))</f>
        <v>0</v>
      </c>
      <c r="AB231">
        <f>IF(COUNT($AA$229:$AA$231)&lt;3,"",AVERAGE($AA$229:$AA$231))</f>
        <v>0</v>
      </c>
      <c r="AC231">
        <f>IF($E231="","",MAX($C231-$D231,ABS($C231-$E230),ABS($D231-$E230)))</f>
        <v>0</v>
      </c>
      <c r="AD231">
        <f>IF(COUNT($E$2:$E231)&lt;15,"",AVERAGE($AC$218:$AC$231))</f>
        <v>0</v>
      </c>
      <c r="AE231">
        <f>IF(OR($E231="",$E230=""),"",IF(AND(($C231-$C230)&gt;($D230-$D231),($C231-$C230)&gt;0),$C231-$C230,0))</f>
        <v>0</v>
      </c>
      <c r="AF231">
        <f>IF(OR($E231="",$E230=""),"",IF(AND(($D230-$D231)&gt;($C231-$C230),($D230-$D231)&gt;0),$D230-$D231,0))</f>
        <v>0</v>
      </c>
      <c r="AG231">
        <f>IF(COUNT($E$2:$E231)&lt;15,"",IF(SUM($AC$218:$AC$231)=0,0,100*SUM($AE$218:$AE$231)/SUM($AC$218:$AC$231)))</f>
        <v>0</v>
      </c>
      <c r="AH231">
        <f>IF(COUNT($E$2:$E231)&lt;15,"",IF(SUM($AC$218:$AC$231)=0,0,100*SUM($AF$218:$AF$231)/SUM($AC$218:$AC$231)))</f>
        <v>0</v>
      </c>
      <c r="AI231">
        <f>IF(OR(AG231="",AH231=""),"",IF((AG231+AH231)=0,0,100*ABS(AG231-AH231)/(AG231+AH231)))</f>
        <v>0</v>
      </c>
      <c r="AJ231">
        <f>IF(COUNT($AI$218:$AI$231)&lt;14,"",AVERAGE($AI$218:$AI$231))</f>
        <v>0</v>
      </c>
      <c r="AK231">
        <f>IF(COUNT($E$2:$E231)&lt;20,"",AVERAGE($E$212:$E$231))</f>
        <v>0</v>
      </c>
      <c r="AL231">
        <f>IF(COUNT($E$2:$E231)&lt;20,"",STDEVP($E$212:$E$231))</f>
        <v>0</v>
      </c>
      <c r="AM231">
        <f>IF(AK231="","",AK231+2*AL231)</f>
        <v>0</v>
      </c>
      <c r="AN231">
        <f>IF(AK231="","",AK231-2*AL231)</f>
        <v>0</v>
      </c>
      <c r="AO231">
        <f>IF(OR(AM231="",AN231="",AM231=AN231),"",($E231-AN231)/(AM231-AN231))</f>
        <v>0</v>
      </c>
      <c r="AP231">
        <f>IF(OR(AM231="",AK231="",AK231=0),"",(AM231-AN231)/AK231)</f>
        <v>0</v>
      </c>
      <c r="AQ231">
        <f>IF(COUNT($E$2:$E231)&lt;20,"",MAX($C$212:$C$231))</f>
        <v>0</v>
      </c>
      <c r="AR231">
        <f>IF(COUNT($E$2:$E231)&lt;20,"",MIN($D$212:$D$231))</f>
        <v>0</v>
      </c>
      <c r="AS231">
        <f>IF(OR(AQ231="",AR231=""),"",(AQ231+AR231)/2)</f>
        <v>0</v>
      </c>
      <c r="AT231">
        <f>IF(COUNT($G$212:$G$231)&lt;20,"",STDEV($G$212:$G$231)*SQRT(52))</f>
        <v>0</v>
      </c>
      <c r="AU231">
        <f>IF(COUNT($E$2:$E231)&lt;9,"",(MAX($C$223:$C$231)+MIN($D$223:$D$231))/2)</f>
        <v>0</v>
      </c>
      <c r="AV231">
        <f>IF(COUNT($E$2:$E231)&lt;26,"",(MAX($C$206:$C$231)+MIN($D$206:$D$231))/2)</f>
        <v>0</v>
      </c>
      <c r="AW231">
        <f>IF(OR(AU231="",AV231=""),"",(AU231+AV231)/2)</f>
        <v>0</v>
      </c>
      <c r="AX231">
        <f>IF(COUNT($E$2:$E231)&lt;52,"",(MAX($C$180:$C$231)+MIN($D$180:$D$231))/2)</f>
        <v>0</v>
      </c>
      <c r="AY231">
        <f>IF(COUNT($E$2:$E231)&lt;20,"",MAX($C$132:$C$231))</f>
        <v>0</v>
      </c>
      <c r="AZ231">
        <f>IF(COUNT($E$2:$E231)&lt;20,"",MIN($D$132:$D$231))</f>
        <v>0</v>
      </c>
      <c r="BA231">
        <f>IF(COUNT($E$2:$E231)&lt;20,"",SLOPE($E$132:$E$231,$F$132:$F$231))</f>
        <v>0</v>
      </c>
      <c r="BB231">
        <f>IF(COUNT($E$2:$E231)&lt;20,"",INTERCEPT($E$132:$E$231,$F$132:$F$231))</f>
        <v>0</v>
      </c>
      <c r="BC231">
        <f>IF(OR(BA231="",BB231=""),"",BB231+BA231*F231)</f>
        <v>0</v>
      </c>
      <c r="BD231">
        <f>IF(COUNT($E$2:$E231)&lt;20,"",STEYX($E$132:$E$231,$F$132:$F$231))</f>
        <v>0</v>
      </c>
      <c r="BE231">
        <f>IF($E231="","",IF(AND(COUNT($E$232:$E$235)&gt;=4,$C231=MAX($C$227:$C$235)),$C231,""))</f>
        <v>0</v>
      </c>
      <c r="BF231">
        <f>IF($E231="","",IF(AND(COUNT($E$232:$E$235)&gt;=4,$D231=MIN($D$227:$D$235)),$D231,""))</f>
        <v>0</v>
      </c>
      <c r="BG231">
        <f>IFERROR(SMALL(Calc_Daily!$BM$2:$BM$2001,230),"")</f>
        <v>0</v>
      </c>
    </row>
    <row r="232" spans="1:59">
      <c r="A232" s="27">
        <f>IF($BG232="","",INDEX(Calc_Daily!$A$2:$A$2001,$BG232))</f>
        <v>0</v>
      </c>
      <c r="B232">
        <f>IF($BG232="","",INDEX(Calc_Daily!$BJ$2:$BJ$2001,$BG232))</f>
        <v>0</v>
      </c>
      <c r="C232">
        <f>IF($BG232="","",INDEX(Calc_Daily!$BK$2:$BK$2001,$BG232))</f>
        <v>0</v>
      </c>
      <c r="D232">
        <f>IF($BG232="","",INDEX(Calc_Daily!$BL$2:$BL$2001,$BG232))</f>
        <v>0</v>
      </c>
      <c r="E232">
        <f>IF($BG232="","",INDEX(Calc_Daily!$E$2:$E$2001,$BG232))</f>
        <v>0</v>
      </c>
      <c r="F232">
        <f>IF($E232="","",N(F231)+1)</f>
        <v>0</v>
      </c>
      <c r="G232">
        <f>IF(OR($E232="",$E231=""),"",LN($E232/$E231))</f>
        <v>0</v>
      </c>
      <c r="H232">
        <f>IF($E232="","",IF($E231="",$E232,$E232*0.0952380952+H231*0.9047619048))</f>
        <v>0</v>
      </c>
      <c r="I232">
        <f>IF($E232="","",IF($E231="",$E232,$E232*0.0392156863+I231*0.9607843137))</f>
        <v>0</v>
      </c>
      <c r="J232">
        <f>IF($E232="","",IF($E231="",$E232,$E232*0.0198019802+J231*0.9801980198))</f>
        <v>0</v>
      </c>
      <c r="K232">
        <f>IF($E232="","",IF($E231="",$E232,$E232*0.0099502488+K231*0.9900497512))</f>
        <v>0</v>
      </c>
      <c r="L232">
        <f>IF(OR($E232="",$E231=""),"",MAX($E232-$E231,0))</f>
        <v>0</v>
      </c>
      <c r="M232">
        <f>IF(OR($E232="",$E231=""),"",MAX($E231-$E232,0))</f>
        <v>0</v>
      </c>
      <c r="N232">
        <f>IF(COUNT($E$2:$E232)&lt;15,"",IF(AVERAGE($M$219:$M$232)=0,100,100-100/(1+AVERAGE($L$219:$L$232)/AVERAGE($M$219:$M$232))))</f>
        <v>0</v>
      </c>
      <c r="O232">
        <f>IF($E232="","",IF($E231="",$E232,$E232*0.1538461538+O231*0.8461538462))</f>
        <v>0</v>
      </c>
      <c r="P232">
        <f>IF($E232="","",IF($E231="",$E232,$E232*0.0740740741+P231*0.9259259259))</f>
        <v>0</v>
      </c>
      <c r="Q232">
        <f>IF(OR(O232="",P232=""),"",O232-P232)</f>
        <v>0</v>
      </c>
      <c r="R232">
        <f>IF(Q232="","",IF(R231="",Q232,Q232*0.2000000000+R231*0.8000000000))</f>
        <v>0</v>
      </c>
      <c r="S232">
        <f>IF(OR(Q232="",R232=""),"",Q232-R232)</f>
        <v>0</v>
      </c>
      <c r="T232">
        <f>IF(COUNT($E$2:$E232)&lt;14,"",MAX($C$219:$C$232))</f>
        <v>0</v>
      </c>
      <c r="U232">
        <f>IF(COUNT($E$2:$E232)&lt;14,"",MIN($D$219:$D$232))</f>
        <v>0</v>
      </c>
      <c r="V232">
        <f>IF(OR(T232="",U232="",T232=U232),"",100*($E232-U232)/(T232-U232))</f>
        <v>0</v>
      </c>
      <c r="W232">
        <f>IF(COUNT($V$230:$V$232)&lt;3,"",AVERAGE($V$230:$V$232))</f>
        <v>0</v>
      </c>
      <c r="X232">
        <f>IF(COUNT($N$219:$N$232)&lt;14,"",MIN($N$219:$N$232))</f>
        <v>0</v>
      </c>
      <c r="Y232">
        <f>IF(COUNT($N$219:$N$232)&lt;14,"",MAX($N$219:$N$232))</f>
        <v>0</v>
      </c>
      <c r="Z232">
        <f>IF(OR(N232="",X232="",Y232="",Y232=X232),"",100*(N232-X232)/(Y232-X232))</f>
        <v>0</v>
      </c>
      <c r="AA232">
        <f>IF(COUNT($Z$230:$Z$232)&lt;3,"",AVERAGE($Z$230:$Z$232))</f>
        <v>0</v>
      </c>
      <c r="AB232">
        <f>IF(COUNT($AA$230:$AA$232)&lt;3,"",AVERAGE($AA$230:$AA$232))</f>
        <v>0</v>
      </c>
      <c r="AC232">
        <f>IF($E232="","",MAX($C232-$D232,ABS($C232-$E231),ABS($D232-$E231)))</f>
        <v>0</v>
      </c>
      <c r="AD232">
        <f>IF(COUNT($E$2:$E232)&lt;15,"",AVERAGE($AC$219:$AC$232))</f>
        <v>0</v>
      </c>
      <c r="AE232">
        <f>IF(OR($E232="",$E231=""),"",IF(AND(($C232-$C231)&gt;($D231-$D232),($C232-$C231)&gt;0),$C232-$C231,0))</f>
        <v>0</v>
      </c>
      <c r="AF232">
        <f>IF(OR($E232="",$E231=""),"",IF(AND(($D231-$D232)&gt;($C232-$C231),($D231-$D232)&gt;0),$D231-$D232,0))</f>
        <v>0</v>
      </c>
      <c r="AG232">
        <f>IF(COUNT($E$2:$E232)&lt;15,"",IF(SUM($AC$219:$AC$232)=0,0,100*SUM($AE$219:$AE$232)/SUM($AC$219:$AC$232)))</f>
        <v>0</v>
      </c>
      <c r="AH232">
        <f>IF(COUNT($E$2:$E232)&lt;15,"",IF(SUM($AC$219:$AC$232)=0,0,100*SUM($AF$219:$AF$232)/SUM($AC$219:$AC$232)))</f>
        <v>0</v>
      </c>
      <c r="AI232">
        <f>IF(OR(AG232="",AH232=""),"",IF((AG232+AH232)=0,0,100*ABS(AG232-AH232)/(AG232+AH232)))</f>
        <v>0</v>
      </c>
      <c r="AJ232">
        <f>IF(COUNT($AI$219:$AI$232)&lt;14,"",AVERAGE($AI$219:$AI$232))</f>
        <v>0</v>
      </c>
      <c r="AK232">
        <f>IF(COUNT($E$2:$E232)&lt;20,"",AVERAGE($E$213:$E$232))</f>
        <v>0</v>
      </c>
      <c r="AL232">
        <f>IF(COUNT($E$2:$E232)&lt;20,"",STDEVP($E$213:$E$232))</f>
        <v>0</v>
      </c>
      <c r="AM232">
        <f>IF(AK232="","",AK232+2*AL232)</f>
        <v>0</v>
      </c>
      <c r="AN232">
        <f>IF(AK232="","",AK232-2*AL232)</f>
        <v>0</v>
      </c>
      <c r="AO232">
        <f>IF(OR(AM232="",AN232="",AM232=AN232),"",($E232-AN232)/(AM232-AN232))</f>
        <v>0</v>
      </c>
      <c r="AP232">
        <f>IF(OR(AM232="",AK232="",AK232=0),"",(AM232-AN232)/AK232)</f>
        <v>0</v>
      </c>
      <c r="AQ232">
        <f>IF(COUNT($E$2:$E232)&lt;20,"",MAX($C$213:$C$232))</f>
        <v>0</v>
      </c>
      <c r="AR232">
        <f>IF(COUNT($E$2:$E232)&lt;20,"",MIN($D$213:$D$232))</f>
        <v>0</v>
      </c>
      <c r="AS232">
        <f>IF(OR(AQ232="",AR232=""),"",(AQ232+AR232)/2)</f>
        <v>0</v>
      </c>
      <c r="AT232">
        <f>IF(COUNT($G$213:$G$232)&lt;20,"",STDEV($G$213:$G$232)*SQRT(52))</f>
        <v>0</v>
      </c>
      <c r="AU232">
        <f>IF(COUNT($E$2:$E232)&lt;9,"",(MAX($C$224:$C$232)+MIN($D$224:$D$232))/2)</f>
        <v>0</v>
      </c>
      <c r="AV232">
        <f>IF(COUNT($E$2:$E232)&lt;26,"",(MAX($C$207:$C$232)+MIN($D$207:$D$232))/2)</f>
        <v>0</v>
      </c>
      <c r="AW232">
        <f>IF(OR(AU232="",AV232=""),"",(AU232+AV232)/2)</f>
        <v>0</v>
      </c>
      <c r="AX232">
        <f>IF(COUNT($E$2:$E232)&lt;52,"",(MAX($C$181:$C$232)+MIN($D$181:$D$232))/2)</f>
        <v>0</v>
      </c>
      <c r="AY232">
        <f>IF(COUNT($E$2:$E232)&lt;20,"",MAX($C$133:$C$232))</f>
        <v>0</v>
      </c>
      <c r="AZ232">
        <f>IF(COUNT($E$2:$E232)&lt;20,"",MIN($D$133:$D$232))</f>
        <v>0</v>
      </c>
      <c r="BA232">
        <f>IF(COUNT($E$2:$E232)&lt;20,"",SLOPE($E$133:$E$232,$F$133:$F$232))</f>
        <v>0</v>
      </c>
      <c r="BB232">
        <f>IF(COUNT($E$2:$E232)&lt;20,"",INTERCEPT($E$133:$E$232,$F$133:$F$232))</f>
        <v>0</v>
      </c>
      <c r="BC232">
        <f>IF(OR(BA232="",BB232=""),"",BB232+BA232*F232)</f>
        <v>0</v>
      </c>
      <c r="BD232">
        <f>IF(COUNT($E$2:$E232)&lt;20,"",STEYX($E$133:$E$232,$F$133:$F$232))</f>
        <v>0</v>
      </c>
      <c r="BE232">
        <f>IF($E232="","",IF(AND(COUNT($E$233:$E$236)&gt;=4,$C232=MAX($C$228:$C$236)),$C232,""))</f>
        <v>0</v>
      </c>
      <c r="BF232">
        <f>IF($E232="","",IF(AND(COUNT($E$233:$E$236)&gt;=4,$D232=MIN($D$228:$D$236)),$D232,""))</f>
        <v>0</v>
      </c>
      <c r="BG232">
        <f>IFERROR(SMALL(Calc_Daily!$BM$2:$BM$2001,231),"")</f>
        <v>0</v>
      </c>
    </row>
    <row r="233" spans="1:59">
      <c r="A233" s="27">
        <f>IF($BG233="","",INDEX(Calc_Daily!$A$2:$A$2001,$BG233))</f>
        <v>0</v>
      </c>
      <c r="B233">
        <f>IF($BG233="","",INDEX(Calc_Daily!$BJ$2:$BJ$2001,$BG233))</f>
        <v>0</v>
      </c>
      <c r="C233">
        <f>IF($BG233="","",INDEX(Calc_Daily!$BK$2:$BK$2001,$BG233))</f>
        <v>0</v>
      </c>
      <c r="D233">
        <f>IF($BG233="","",INDEX(Calc_Daily!$BL$2:$BL$2001,$BG233))</f>
        <v>0</v>
      </c>
      <c r="E233">
        <f>IF($BG233="","",INDEX(Calc_Daily!$E$2:$E$2001,$BG233))</f>
        <v>0</v>
      </c>
      <c r="F233">
        <f>IF($E233="","",N(F232)+1)</f>
        <v>0</v>
      </c>
      <c r="G233">
        <f>IF(OR($E233="",$E232=""),"",LN($E233/$E232))</f>
        <v>0</v>
      </c>
      <c r="H233">
        <f>IF($E233="","",IF($E232="",$E233,$E233*0.0952380952+H232*0.9047619048))</f>
        <v>0</v>
      </c>
      <c r="I233">
        <f>IF($E233="","",IF($E232="",$E233,$E233*0.0392156863+I232*0.9607843137))</f>
        <v>0</v>
      </c>
      <c r="J233">
        <f>IF($E233="","",IF($E232="",$E233,$E233*0.0198019802+J232*0.9801980198))</f>
        <v>0</v>
      </c>
      <c r="K233">
        <f>IF($E233="","",IF($E232="",$E233,$E233*0.0099502488+K232*0.9900497512))</f>
        <v>0</v>
      </c>
      <c r="L233">
        <f>IF(OR($E233="",$E232=""),"",MAX($E233-$E232,0))</f>
        <v>0</v>
      </c>
      <c r="M233">
        <f>IF(OR($E233="",$E232=""),"",MAX($E232-$E233,0))</f>
        <v>0</v>
      </c>
      <c r="N233">
        <f>IF(COUNT($E$2:$E233)&lt;15,"",IF(AVERAGE($M$220:$M$233)=0,100,100-100/(1+AVERAGE($L$220:$L$233)/AVERAGE($M$220:$M$233))))</f>
        <v>0</v>
      </c>
      <c r="O233">
        <f>IF($E233="","",IF($E232="",$E233,$E233*0.1538461538+O232*0.8461538462))</f>
        <v>0</v>
      </c>
      <c r="P233">
        <f>IF($E233="","",IF($E232="",$E233,$E233*0.0740740741+P232*0.9259259259))</f>
        <v>0</v>
      </c>
      <c r="Q233">
        <f>IF(OR(O233="",P233=""),"",O233-P233)</f>
        <v>0</v>
      </c>
      <c r="R233">
        <f>IF(Q233="","",IF(R232="",Q233,Q233*0.2000000000+R232*0.8000000000))</f>
        <v>0</v>
      </c>
      <c r="S233">
        <f>IF(OR(Q233="",R233=""),"",Q233-R233)</f>
        <v>0</v>
      </c>
      <c r="T233">
        <f>IF(COUNT($E$2:$E233)&lt;14,"",MAX($C$220:$C$233))</f>
        <v>0</v>
      </c>
      <c r="U233">
        <f>IF(COUNT($E$2:$E233)&lt;14,"",MIN($D$220:$D$233))</f>
        <v>0</v>
      </c>
      <c r="V233">
        <f>IF(OR(T233="",U233="",T233=U233),"",100*($E233-U233)/(T233-U233))</f>
        <v>0</v>
      </c>
      <c r="W233">
        <f>IF(COUNT($V$231:$V$233)&lt;3,"",AVERAGE($V$231:$V$233))</f>
        <v>0</v>
      </c>
      <c r="X233">
        <f>IF(COUNT($N$220:$N$233)&lt;14,"",MIN($N$220:$N$233))</f>
        <v>0</v>
      </c>
      <c r="Y233">
        <f>IF(COUNT($N$220:$N$233)&lt;14,"",MAX($N$220:$N$233))</f>
        <v>0</v>
      </c>
      <c r="Z233">
        <f>IF(OR(N233="",X233="",Y233="",Y233=X233),"",100*(N233-X233)/(Y233-X233))</f>
        <v>0</v>
      </c>
      <c r="AA233">
        <f>IF(COUNT($Z$231:$Z$233)&lt;3,"",AVERAGE($Z$231:$Z$233))</f>
        <v>0</v>
      </c>
      <c r="AB233">
        <f>IF(COUNT($AA$231:$AA$233)&lt;3,"",AVERAGE($AA$231:$AA$233))</f>
        <v>0</v>
      </c>
      <c r="AC233">
        <f>IF($E233="","",MAX($C233-$D233,ABS($C233-$E232),ABS($D233-$E232)))</f>
        <v>0</v>
      </c>
      <c r="AD233">
        <f>IF(COUNT($E$2:$E233)&lt;15,"",AVERAGE($AC$220:$AC$233))</f>
        <v>0</v>
      </c>
      <c r="AE233">
        <f>IF(OR($E233="",$E232=""),"",IF(AND(($C233-$C232)&gt;($D232-$D233),($C233-$C232)&gt;0),$C233-$C232,0))</f>
        <v>0</v>
      </c>
      <c r="AF233">
        <f>IF(OR($E233="",$E232=""),"",IF(AND(($D232-$D233)&gt;($C233-$C232),($D232-$D233)&gt;0),$D232-$D233,0))</f>
        <v>0</v>
      </c>
      <c r="AG233">
        <f>IF(COUNT($E$2:$E233)&lt;15,"",IF(SUM($AC$220:$AC$233)=0,0,100*SUM($AE$220:$AE$233)/SUM($AC$220:$AC$233)))</f>
        <v>0</v>
      </c>
      <c r="AH233">
        <f>IF(COUNT($E$2:$E233)&lt;15,"",IF(SUM($AC$220:$AC$233)=0,0,100*SUM($AF$220:$AF$233)/SUM($AC$220:$AC$233)))</f>
        <v>0</v>
      </c>
      <c r="AI233">
        <f>IF(OR(AG233="",AH233=""),"",IF((AG233+AH233)=0,0,100*ABS(AG233-AH233)/(AG233+AH233)))</f>
        <v>0</v>
      </c>
      <c r="AJ233">
        <f>IF(COUNT($AI$220:$AI$233)&lt;14,"",AVERAGE($AI$220:$AI$233))</f>
        <v>0</v>
      </c>
      <c r="AK233">
        <f>IF(COUNT($E$2:$E233)&lt;20,"",AVERAGE($E$214:$E$233))</f>
        <v>0</v>
      </c>
      <c r="AL233">
        <f>IF(COUNT($E$2:$E233)&lt;20,"",STDEVP($E$214:$E$233))</f>
        <v>0</v>
      </c>
      <c r="AM233">
        <f>IF(AK233="","",AK233+2*AL233)</f>
        <v>0</v>
      </c>
      <c r="AN233">
        <f>IF(AK233="","",AK233-2*AL233)</f>
        <v>0</v>
      </c>
      <c r="AO233">
        <f>IF(OR(AM233="",AN233="",AM233=AN233),"",($E233-AN233)/(AM233-AN233))</f>
        <v>0</v>
      </c>
      <c r="AP233">
        <f>IF(OR(AM233="",AK233="",AK233=0),"",(AM233-AN233)/AK233)</f>
        <v>0</v>
      </c>
      <c r="AQ233">
        <f>IF(COUNT($E$2:$E233)&lt;20,"",MAX($C$214:$C$233))</f>
        <v>0</v>
      </c>
      <c r="AR233">
        <f>IF(COUNT($E$2:$E233)&lt;20,"",MIN($D$214:$D$233))</f>
        <v>0</v>
      </c>
      <c r="AS233">
        <f>IF(OR(AQ233="",AR233=""),"",(AQ233+AR233)/2)</f>
        <v>0</v>
      </c>
      <c r="AT233">
        <f>IF(COUNT($G$214:$G$233)&lt;20,"",STDEV($G$214:$G$233)*SQRT(52))</f>
        <v>0</v>
      </c>
      <c r="AU233">
        <f>IF(COUNT($E$2:$E233)&lt;9,"",(MAX($C$225:$C$233)+MIN($D$225:$D$233))/2)</f>
        <v>0</v>
      </c>
      <c r="AV233">
        <f>IF(COUNT($E$2:$E233)&lt;26,"",(MAX($C$208:$C$233)+MIN($D$208:$D$233))/2)</f>
        <v>0</v>
      </c>
      <c r="AW233">
        <f>IF(OR(AU233="",AV233=""),"",(AU233+AV233)/2)</f>
        <v>0</v>
      </c>
      <c r="AX233">
        <f>IF(COUNT($E$2:$E233)&lt;52,"",(MAX($C$182:$C$233)+MIN($D$182:$D$233))/2)</f>
        <v>0</v>
      </c>
      <c r="AY233">
        <f>IF(COUNT($E$2:$E233)&lt;20,"",MAX($C$134:$C$233))</f>
        <v>0</v>
      </c>
      <c r="AZ233">
        <f>IF(COUNT($E$2:$E233)&lt;20,"",MIN($D$134:$D$233))</f>
        <v>0</v>
      </c>
      <c r="BA233">
        <f>IF(COUNT($E$2:$E233)&lt;20,"",SLOPE($E$134:$E$233,$F$134:$F$233))</f>
        <v>0</v>
      </c>
      <c r="BB233">
        <f>IF(COUNT($E$2:$E233)&lt;20,"",INTERCEPT($E$134:$E$233,$F$134:$F$233))</f>
        <v>0</v>
      </c>
      <c r="BC233">
        <f>IF(OR(BA233="",BB233=""),"",BB233+BA233*F233)</f>
        <v>0</v>
      </c>
      <c r="BD233">
        <f>IF(COUNT($E$2:$E233)&lt;20,"",STEYX($E$134:$E$233,$F$134:$F$233))</f>
        <v>0</v>
      </c>
      <c r="BE233">
        <f>IF($E233="","",IF(AND(COUNT($E$234:$E$237)&gt;=4,$C233=MAX($C$229:$C$237)),$C233,""))</f>
        <v>0</v>
      </c>
      <c r="BF233">
        <f>IF($E233="","",IF(AND(COUNT($E$234:$E$237)&gt;=4,$D233=MIN($D$229:$D$237)),$D233,""))</f>
        <v>0</v>
      </c>
      <c r="BG233">
        <f>IFERROR(SMALL(Calc_Daily!$BM$2:$BM$2001,232),"")</f>
        <v>0</v>
      </c>
    </row>
    <row r="234" spans="1:59">
      <c r="A234" s="27">
        <f>IF($BG234="","",INDEX(Calc_Daily!$A$2:$A$2001,$BG234))</f>
        <v>0</v>
      </c>
      <c r="B234">
        <f>IF($BG234="","",INDEX(Calc_Daily!$BJ$2:$BJ$2001,$BG234))</f>
        <v>0</v>
      </c>
      <c r="C234">
        <f>IF($BG234="","",INDEX(Calc_Daily!$BK$2:$BK$2001,$BG234))</f>
        <v>0</v>
      </c>
      <c r="D234">
        <f>IF($BG234="","",INDEX(Calc_Daily!$BL$2:$BL$2001,$BG234))</f>
        <v>0</v>
      </c>
      <c r="E234">
        <f>IF($BG234="","",INDEX(Calc_Daily!$E$2:$E$2001,$BG234))</f>
        <v>0</v>
      </c>
      <c r="F234">
        <f>IF($E234="","",N(F233)+1)</f>
        <v>0</v>
      </c>
      <c r="G234">
        <f>IF(OR($E234="",$E233=""),"",LN($E234/$E233))</f>
        <v>0</v>
      </c>
      <c r="H234">
        <f>IF($E234="","",IF($E233="",$E234,$E234*0.0952380952+H233*0.9047619048))</f>
        <v>0</v>
      </c>
      <c r="I234">
        <f>IF($E234="","",IF($E233="",$E234,$E234*0.0392156863+I233*0.9607843137))</f>
        <v>0</v>
      </c>
      <c r="J234">
        <f>IF($E234="","",IF($E233="",$E234,$E234*0.0198019802+J233*0.9801980198))</f>
        <v>0</v>
      </c>
      <c r="K234">
        <f>IF($E234="","",IF($E233="",$E234,$E234*0.0099502488+K233*0.9900497512))</f>
        <v>0</v>
      </c>
      <c r="L234">
        <f>IF(OR($E234="",$E233=""),"",MAX($E234-$E233,0))</f>
        <v>0</v>
      </c>
      <c r="M234">
        <f>IF(OR($E234="",$E233=""),"",MAX($E233-$E234,0))</f>
        <v>0</v>
      </c>
      <c r="N234">
        <f>IF(COUNT($E$2:$E234)&lt;15,"",IF(AVERAGE($M$221:$M$234)=0,100,100-100/(1+AVERAGE($L$221:$L$234)/AVERAGE($M$221:$M$234))))</f>
        <v>0</v>
      </c>
      <c r="O234">
        <f>IF($E234="","",IF($E233="",$E234,$E234*0.1538461538+O233*0.8461538462))</f>
        <v>0</v>
      </c>
      <c r="P234">
        <f>IF($E234="","",IF($E233="",$E234,$E234*0.0740740741+P233*0.9259259259))</f>
        <v>0</v>
      </c>
      <c r="Q234">
        <f>IF(OR(O234="",P234=""),"",O234-P234)</f>
        <v>0</v>
      </c>
      <c r="R234">
        <f>IF(Q234="","",IF(R233="",Q234,Q234*0.2000000000+R233*0.8000000000))</f>
        <v>0</v>
      </c>
      <c r="S234">
        <f>IF(OR(Q234="",R234=""),"",Q234-R234)</f>
        <v>0</v>
      </c>
      <c r="T234">
        <f>IF(COUNT($E$2:$E234)&lt;14,"",MAX($C$221:$C$234))</f>
        <v>0</v>
      </c>
      <c r="U234">
        <f>IF(COUNT($E$2:$E234)&lt;14,"",MIN($D$221:$D$234))</f>
        <v>0</v>
      </c>
      <c r="V234">
        <f>IF(OR(T234="",U234="",T234=U234),"",100*($E234-U234)/(T234-U234))</f>
        <v>0</v>
      </c>
      <c r="W234">
        <f>IF(COUNT($V$232:$V$234)&lt;3,"",AVERAGE($V$232:$V$234))</f>
        <v>0</v>
      </c>
      <c r="X234">
        <f>IF(COUNT($N$221:$N$234)&lt;14,"",MIN($N$221:$N$234))</f>
        <v>0</v>
      </c>
      <c r="Y234">
        <f>IF(COUNT($N$221:$N$234)&lt;14,"",MAX($N$221:$N$234))</f>
        <v>0</v>
      </c>
      <c r="Z234">
        <f>IF(OR(N234="",X234="",Y234="",Y234=X234),"",100*(N234-X234)/(Y234-X234))</f>
        <v>0</v>
      </c>
      <c r="AA234">
        <f>IF(COUNT($Z$232:$Z$234)&lt;3,"",AVERAGE($Z$232:$Z$234))</f>
        <v>0</v>
      </c>
      <c r="AB234">
        <f>IF(COUNT($AA$232:$AA$234)&lt;3,"",AVERAGE($AA$232:$AA$234))</f>
        <v>0</v>
      </c>
      <c r="AC234">
        <f>IF($E234="","",MAX($C234-$D234,ABS($C234-$E233),ABS($D234-$E233)))</f>
        <v>0</v>
      </c>
      <c r="AD234">
        <f>IF(COUNT($E$2:$E234)&lt;15,"",AVERAGE($AC$221:$AC$234))</f>
        <v>0</v>
      </c>
      <c r="AE234">
        <f>IF(OR($E234="",$E233=""),"",IF(AND(($C234-$C233)&gt;($D233-$D234),($C234-$C233)&gt;0),$C234-$C233,0))</f>
        <v>0</v>
      </c>
      <c r="AF234">
        <f>IF(OR($E234="",$E233=""),"",IF(AND(($D233-$D234)&gt;($C234-$C233),($D233-$D234)&gt;0),$D233-$D234,0))</f>
        <v>0</v>
      </c>
      <c r="AG234">
        <f>IF(COUNT($E$2:$E234)&lt;15,"",IF(SUM($AC$221:$AC$234)=0,0,100*SUM($AE$221:$AE$234)/SUM($AC$221:$AC$234)))</f>
        <v>0</v>
      </c>
      <c r="AH234">
        <f>IF(COUNT($E$2:$E234)&lt;15,"",IF(SUM($AC$221:$AC$234)=0,0,100*SUM($AF$221:$AF$234)/SUM($AC$221:$AC$234)))</f>
        <v>0</v>
      </c>
      <c r="AI234">
        <f>IF(OR(AG234="",AH234=""),"",IF((AG234+AH234)=0,0,100*ABS(AG234-AH234)/(AG234+AH234)))</f>
        <v>0</v>
      </c>
      <c r="AJ234">
        <f>IF(COUNT($AI$221:$AI$234)&lt;14,"",AVERAGE($AI$221:$AI$234))</f>
        <v>0</v>
      </c>
      <c r="AK234">
        <f>IF(COUNT($E$2:$E234)&lt;20,"",AVERAGE($E$215:$E$234))</f>
        <v>0</v>
      </c>
      <c r="AL234">
        <f>IF(COUNT($E$2:$E234)&lt;20,"",STDEVP($E$215:$E$234))</f>
        <v>0</v>
      </c>
      <c r="AM234">
        <f>IF(AK234="","",AK234+2*AL234)</f>
        <v>0</v>
      </c>
      <c r="AN234">
        <f>IF(AK234="","",AK234-2*AL234)</f>
        <v>0</v>
      </c>
      <c r="AO234">
        <f>IF(OR(AM234="",AN234="",AM234=AN234),"",($E234-AN234)/(AM234-AN234))</f>
        <v>0</v>
      </c>
      <c r="AP234">
        <f>IF(OR(AM234="",AK234="",AK234=0),"",(AM234-AN234)/AK234)</f>
        <v>0</v>
      </c>
      <c r="AQ234">
        <f>IF(COUNT($E$2:$E234)&lt;20,"",MAX($C$215:$C$234))</f>
        <v>0</v>
      </c>
      <c r="AR234">
        <f>IF(COUNT($E$2:$E234)&lt;20,"",MIN($D$215:$D$234))</f>
        <v>0</v>
      </c>
      <c r="AS234">
        <f>IF(OR(AQ234="",AR234=""),"",(AQ234+AR234)/2)</f>
        <v>0</v>
      </c>
      <c r="AT234">
        <f>IF(COUNT($G$215:$G$234)&lt;20,"",STDEV($G$215:$G$234)*SQRT(52))</f>
        <v>0</v>
      </c>
      <c r="AU234">
        <f>IF(COUNT($E$2:$E234)&lt;9,"",(MAX($C$226:$C$234)+MIN($D$226:$D$234))/2)</f>
        <v>0</v>
      </c>
      <c r="AV234">
        <f>IF(COUNT($E$2:$E234)&lt;26,"",(MAX($C$209:$C$234)+MIN($D$209:$D$234))/2)</f>
        <v>0</v>
      </c>
      <c r="AW234">
        <f>IF(OR(AU234="",AV234=""),"",(AU234+AV234)/2)</f>
        <v>0</v>
      </c>
      <c r="AX234">
        <f>IF(COUNT($E$2:$E234)&lt;52,"",(MAX($C$183:$C$234)+MIN($D$183:$D$234))/2)</f>
        <v>0</v>
      </c>
      <c r="AY234">
        <f>IF(COUNT($E$2:$E234)&lt;20,"",MAX($C$135:$C$234))</f>
        <v>0</v>
      </c>
      <c r="AZ234">
        <f>IF(COUNT($E$2:$E234)&lt;20,"",MIN($D$135:$D$234))</f>
        <v>0</v>
      </c>
      <c r="BA234">
        <f>IF(COUNT($E$2:$E234)&lt;20,"",SLOPE($E$135:$E$234,$F$135:$F$234))</f>
        <v>0</v>
      </c>
      <c r="BB234">
        <f>IF(COUNT($E$2:$E234)&lt;20,"",INTERCEPT($E$135:$E$234,$F$135:$F$234))</f>
        <v>0</v>
      </c>
      <c r="BC234">
        <f>IF(OR(BA234="",BB234=""),"",BB234+BA234*F234)</f>
        <v>0</v>
      </c>
      <c r="BD234">
        <f>IF(COUNT($E$2:$E234)&lt;20,"",STEYX($E$135:$E$234,$F$135:$F$234))</f>
        <v>0</v>
      </c>
      <c r="BE234">
        <f>IF($E234="","",IF(AND(COUNT($E$235:$E$238)&gt;=4,$C234=MAX($C$230:$C$238)),$C234,""))</f>
        <v>0</v>
      </c>
      <c r="BF234">
        <f>IF($E234="","",IF(AND(COUNT($E$235:$E$238)&gt;=4,$D234=MIN($D$230:$D$238)),$D234,""))</f>
        <v>0</v>
      </c>
      <c r="BG234">
        <f>IFERROR(SMALL(Calc_Daily!$BM$2:$BM$2001,233),"")</f>
        <v>0</v>
      </c>
    </row>
    <row r="235" spans="1:59">
      <c r="A235" s="27">
        <f>IF($BG235="","",INDEX(Calc_Daily!$A$2:$A$2001,$BG235))</f>
        <v>0</v>
      </c>
      <c r="B235">
        <f>IF($BG235="","",INDEX(Calc_Daily!$BJ$2:$BJ$2001,$BG235))</f>
        <v>0</v>
      </c>
      <c r="C235">
        <f>IF($BG235="","",INDEX(Calc_Daily!$BK$2:$BK$2001,$BG235))</f>
        <v>0</v>
      </c>
      <c r="D235">
        <f>IF($BG235="","",INDEX(Calc_Daily!$BL$2:$BL$2001,$BG235))</f>
        <v>0</v>
      </c>
      <c r="E235">
        <f>IF($BG235="","",INDEX(Calc_Daily!$E$2:$E$2001,$BG235))</f>
        <v>0</v>
      </c>
      <c r="F235">
        <f>IF($E235="","",N(F234)+1)</f>
        <v>0</v>
      </c>
      <c r="G235">
        <f>IF(OR($E235="",$E234=""),"",LN($E235/$E234))</f>
        <v>0</v>
      </c>
      <c r="H235">
        <f>IF($E235="","",IF($E234="",$E235,$E235*0.0952380952+H234*0.9047619048))</f>
        <v>0</v>
      </c>
      <c r="I235">
        <f>IF($E235="","",IF($E234="",$E235,$E235*0.0392156863+I234*0.9607843137))</f>
        <v>0</v>
      </c>
      <c r="J235">
        <f>IF($E235="","",IF($E234="",$E235,$E235*0.0198019802+J234*0.9801980198))</f>
        <v>0</v>
      </c>
      <c r="K235">
        <f>IF($E235="","",IF($E234="",$E235,$E235*0.0099502488+K234*0.9900497512))</f>
        <v>0</v>
      </c>
      <c r="L235">
        <f>IF(OR($E235="",$E234=""),"",MAX($E235-$E234,0))</f>
        <v>0</v>
      </c>
      <c r="M235">
        <f>IF(OR($E235="",$E234=""),"",MAX($E234-$E235,0))</f>
        <v>0</v>
      </c>
      <c r="N235">
        <f>IF(COUNT($E$2:$E235)&lt;15,"",IF(AVERAGE($M$222:$M$235)=0,100,100-100/(1+AVERAGE($L$222:$L$235)/AVERAGE($M$222:$M$235))))</f>
        <v>0</v>
      </c>
      <c r="O235">
        <f>IF($E235="","",IF($E234="",$E235,$E235*0.1538461538+O234*0.8461538462))</f>
        <v>0</v>
      </c>
      <c r="P235">
        <f>IF($E235="","",IF($E234="",$E235,$E235*0.0740740741+P234*0.9259259259))</f>
        <v>0</v>
      </c>
      <c r="Q235">
        <f>IF(OR(O235="",P235=""),"",O235-P235)</f>
        <v>0</v>
      </c>
      <c r="R235">
        <f>IF(Q235="","",IF(R234="",Q235,Q235*0.2000000000+R234*0.8000000000))</f>
        <v>0</v>
      </c>
      <c r="S235">
        <f>IF(OR(Q235="",R235=""),"",Q235-R235)</f>
        <v>0</v>
      </c>
      <c r="T235">
        <f>IF(COUNT($E$2:$E235)&lt;14,"",MAX($C$222:$C$235))</f>
        <v>0</v>
      </c>
      <c r="U235">
        <f>IF(COUNT($E$2:$E235)&lt;14,"",MIN($D$222:$D$235))</f>
        <v>0</v>
      </c>
      <c r="V235">
        <f>IF(OR(T235="",U235="",T235=U235),"",100*($E235-U235)/(T235-U235))</f>
        <v>0</v>
      </c>
      <c r="W235">
        <f>IF(COUNT($V$233:$V$235)&lt;3,"",AVERAGE($V$233:$V$235))</f>
        <v>0</v>
      </c>
      <c r="X235">
        <f>IF(COUNT($N$222:$N$235)&lt;14,"",MIN($N$222:$N$235))</f>
        <v>0</v>
      </c>
      <c r="Y235">
        <f>IF(COUNT($N$222:$N$235)&lt;14,"",MAX($N$222:$N$235))</f>
        <v>0</v>
      </c>
      <c r="Z235">
        <f>IF(OR(N235="",X235="",Y235="",Y235=X235),"",100*(N235-X235)/(Y235-X235))</f>
        <v>0</v>
      </c>
      <c r="AA235">
        <f>IF(COUNT($Z$233:$Z$235)&lt;3,"",AVERAGE($Z$233:$Z$235))</f>
        <v>0</v>
      </c>
      <c r="AB235">
        <f>IF(COUNT($AA$233:$AA$235)&lt;3,"",AVERAGE($AA$233:$AA$235))</f>
        <v>0</v>
      </c>
      <c r="AC235">
        <f>IF($E235="","",MAX($C235-$D235,ABS($C235-$E234),ABS($D235-$E234)))</f>
        <v>0</v>
      </c>
      <c r="AD235">
        <f>IF(COUNT($E$2:$E235)&lt;15,"",AVERAGE($AC$222:$AC$235))</f>
        <v>0</v>
      </c>
      <c r="AE235">
        <f>IF(OR($E235="",$E234=""),"",IF(AND(($C235-$C234)&gt;($D234-$D235),($C235-$C234)&gt;0),$C235-$C234,0))</f>
        <v>0</v>
      </c>
      <c r="AF235">
        <f>IF(OR($E235="",$E234=""),"",IF(AND(($D234-$D235)&gt;($C235-$C234),($D234-$D235)&gt;0),$D234-$D235,0))</f>
        <v>0</v>
      </c>
      <c r="AG235">
        <f>IF(COUNT($E$2:$E235)&lt;15,"",IF(SUM($AC$222:$AC$235)=0,0,100*SUM($AE$222:$AE$235)/SUM($AC$222:$AC$235)))</f>
        <v>0</v>
      </c>
      <c r="AH235">
        <f>IF(COUNT($E$2:$E235)&lt;15,"",IF(SUM($AC$222:$AC$235)=0,0,100*SUM($AF$222:$AF$235)/SUM($AC$222:$AC$235)))</f>
        <v>0</v>
      </c>
      <c r="AI235">
        <f>IF(OR(AG235="",AH235=""),"",IF((AG235+AH235)=0,0,100*ABS(AG235-AH235)/(AG235+AH235)))</f>
        <v>0</v>
      </c>
      <c r="AJ235">
        <f>IF(COUNT($AI$222:$AI$235)&lt;14,"",AVERAGE($AI$222:$AI$235))</f>
        <v>0</v>
      </c>
      <c r="AK235">
        <f>IF(COUNT($E$2:$E235)&lt;20,"",AVERAGE($E$216:$E$235))</f>
        <v>0</v>
      </c>
      <c r="AL235">
        <f>IF(COUNT($E$2:$E235)&lt;20,"",STDEVP($E$216:$E$235))</f>
        <v>0</v>
      </c>
      <c r="AM235">
        <f>IF(AK235="","",AK235+2*AL235)</f>
        <v>0</v>
      </c>
      <c r="AN235">
        <f>IF(AK235="","",AK235-2*AL235)</f>
        <v>0</v>
      </c>
      <c r="AO235">
        <f>IF(OR(AM235="",AN235="",AM235=AN235),"",($E235-AN235)/(AM235-AN235))</f>
        <v>0</v>
      </c>
      <c r="AP235">
        <f>IF(OR(AM235="",AK235="",AK235=0),"",(AM235-AN235)/AK235)</f>
        <v>0</v>
      </c>
      <c r="AQ235">
        <f>IF(COUNT($E$2:$E235)&lt;20,"",MAX($C$216:$C$235))</f>
        <v>0</v>
      </c>
      <c r="AR235">
        <f>IF(COUNT($E$2:$E235)&lt;20,"",MIN($D$216:$D$235))</f>
        <v>0</v>
      </c>
      <c r="AS235">
        <f>IF(OR(AQ235="",AR235=""),"",(AQ235+AR235)/2)</f>
        <v>0</v>
      </c>
      <c r="AT235">
        <f>IF(COUNT($G$216:$G$235)&lt;20,"",STDEV($G$216:$G$235)*SQRT(52))</f>
        <v>0</v>
      </c>
      <c r="AU235">
        <f>IF(COUNT($E$2:$E235)&lt;9,"",(MAX($C$227:$C$235)+MIN($D$227:$D$235))/2)</f>
        <v>0</v>
      </c>
      <c r="AV235">
        <f>IF(COUNT($E$2:$E235)&lt;26,"",(MAX($C$210:$C$235)+MIN($D$210:$D$235))/2)</f>
        <v>0</v>
      </c>
      <c r="AW235">
        <f>IF(OR(AU235="",AV235=""),"",(AU235+AV235)/2)</f>
        <v>0</v>
      </c>
      <c r="AX235">
        <f>IF(COUNT($E$2:$E235)&lt;52,"",(MAX($C$184:$C$235)+MIN($D$184:$D$235))/2)</f>
        <v>0</v>
      </c>
      <c r="AY235">
        <f>IF(COUNT($E$2:$E235)&lt;20,"",MAX($C$136:$C$235))</f>
        <v>0</v>
      </c>
      <c r="AZ235">
        <f>IF(COUNT($E$2:$E235)&lt;20,"",MIN($D$136:$D$235))</f>
        <v>0</v>
      </c>
      <c r="BA235">
        <f>IF(COUNT($E$2:$E235)&lt;20,"",SLOPE($E$136:$E$235,$F$136:$F$235))</f>
        <v>0</v>
      </c>
      <c r="BB235">
        <f>IF(COUNT($E$2:$E235)&lt;20,"",INTERCEPT($E$136:$E$235,$F$136:$F$235))</f>
        <v>0</v>
      </c>
      <c r="BC235">
        <f>IF(OR(BA235="",BB235=""),"",BB235+BA235*F235)</f>
        <v>0</v>
      </c>
      <c r="BD235">
        <f>IF(COUNT($E$2:$E235)&lt;20,"",STEYX($E$136:$E$235,$F$136:$F$235))</f>
        <v>0</v>
      </c>
      <c r="BE235">
        <f>IF($E235="","",IF(AND(COUNT($E$236:$E$239)&gt;=4,$C235=MAX($C$231:$C$239)),$C235,""))</f>
        <v>0</v>
      </c>
      <c r="BF235">
        <f>IF($E235="","",IF(AND(COUNT($E$236:$E$239)&gt;=4,$D235=MIN($D$231:$D$239)),$D235,""))</f>
        <v>0</v>
      </c>
      <c r="BG235">
        <f>IFERROR(SMALL(Calc_Daily!$BM$2:$BM$2001,234),"")</f>
        <v>0</v>
      </c>
    </row>
    <row r="236" spans="1:59">
      <c r="A236" s="27">
        <f>IF($BG236="","",INDEX(Calc_Daily!$A$2:$A$2001,$BG236))</f>
        <v>0</v>
      </c>
      <c r="B236">
        <f>IF($BG236="","",INDEX(Calc_Daily!$BJ$2:$BJ$2001,$BG236))</f>
        <v>0</v>
      </c>
      <c r="C236">
        <f>IF($BG236="","",INDEX(Calc_Daily!$BK$2:$BK$2001,$BG236))</f>
        <v>0</v>
      </c>
      <c r="D236">
        <f>IF($BG236="","",INDEX(Calc_Daily!$BL$2:$BL$2001,$BG236))</f>
        <v>0</v>
      </c>
      <c r="E236">
        <f>IF($BG236="","",INDEX(Calc_Daily!$E$2:$E$2001,$BG236))</f>
        <v>0</v>
      </c>
      <c r="F236">
        <f>IF($E236="","",N(F235)+1)</f>
        <v>0</v>
      </c>
      <c r="G236">
        <f>IF(OR($E236="",$E235=""),"",LN($E236/$E235))</f>
        <v>0</v>
      </c>
      <c r="H236">
        <f>IF($E236="","",IF($E235="",$E236,$E236*0.0952380952+H235*0.9047619048))</f>
        <v>0</v>
      </c>
      <c r="I236">
        <f>IF($E236="","",IF($E235="",$E236,$E236*0.0392156863+I235*0.9607843137))</f>
        <v>0</v>
      </c>
      <c r="J236">
        <f>IF($E236="","",IF($E235="",$E236,$E236*0.0198019802+J235*0.9801980198))</f>
        <v>0</v>
      </c>
      <c r="K236">
        <f>IF($E236="","",IF($E235="",$E236,$E236*0.0099502488+K235*0.9900497512))</f>
        <v>0</v>
      </c>
      <c r="L236">
        <f>IF(OR($E236="",$E235=""),"",MAX($E236-$E235,0))</f>
        <v>0</v>
      </c>
      <c r="M236">
        <f>IF(OR($E236="",$E235=""),"",MAX($E235-$E236,0))</f>
        <v>0</v>
      </c>
      <c r="N236">
        <f>IF(COUNT($E$2:$E236)&lt;15,"",IF(AVERAGE($M$223:$M$236)=0,100,100-100/(1+AVERAGE($L$223:$L$236)/AVERAGE($M$223:$M$236))))</f>
        <v>0</v>
      </c>
      <c r="O236">
        <f>IF($E236="","",IF($E235="",$E236,$E236*0.1538461538+O235*0.8461538462))</f>
        <v>0</v>
      </c>
      <c r="P236">
        <f>IF($E236="","",IF($E235="",$E236,$E236*0.0740740741+P235*0.9259259259))</f>
        <v>0</v>
      </c>
      <c r="Q236">
        <f>IF(OR(O236="",P236=""),"",O236-P236)</f>
        <v>0</v>
      </c>
      <c r="R236">
        <f>IF(Q236="","",IF(R235="",Q236,Q236*0.2000000000+R235*0.8000000000))</f>
        <v>0</v>
      </c>
      <c r="S236">
        <f>IF(OR(Q236="",R236=""),"",Q236-R236)</f>
        <v>0</v>
      </c>
      <c r="T236">
        <f>IF(COUNT($E$2:$E236)&lt;14,"",MAX($C$223:$C$236))</f>
        <v>0</v>
      </c>
      <c r="U236">
        <f>IF(COUNT($E$2:$E236)&lt;14,"",MIN($D$223:$D$236))</f>
        <v>0</v>
      </c>
      <c r="V236">
        <f>IF(OR(T236="",U236="",T236=U236),"",100*($E236-U236)/(T236-U236))</f>
        <v>0</v>
      </c>
      <c r="W236">
        <f>IF(COUNT($V$234:$V$236)&lt;3,"",AVERAGE($V$234:$V$236))</f>
        <v>0</v>
      </c>
      <c r="X236">
        <f>IF(COUNT($N$223:$N$236)&lt;14,"",MIN($N$223:$N$236))</f>
        <v>0</v>
      </c>
      <c r="Y236">
        <f>IF(COUNT($N$223:$N$236)&lt;14,"",MAX($N$223:$N$236))</f>
        <v>0</v>
      </c>
      <c r="Z236">
        <f>IF(OR(N236="",X236="",Y236="",Y236=X236),"",100*(N236-X236)/(Y236-X236))</f>
        <v>0</v>
      </c>
      <c r="AA236">
        <f>IF(COUNT($Z$234:$Z$236)&lt;3,"",AVERAGE($Z$234:$Z$236))</f>
        <v>0</v>
      </c>
      <c r="AB236">
        <f>IF(COUNT($AA$234:$AA$236)&lt;3,"",AVERAGE($AA$234:$AA$236))</f>
        <v>0</v>
      </c>
      <c r="AC236">
        <f>IF($E236="","",MAX($C236-$D236,ABS($C236-$E235),ABS($D236-$E235)))</f>
        <v>0</v>
      </c>
      <c r="AD236">
        <f>IF(COUNT($E$2:$E236)&lt;15,"",AVERAGE($AC$223:$AC$236))</f>
        <v>0</v>
      </c>
      <c r="AE236">
        <f>IF(OR($E236="",$E235=""),"",IF(AND(($C236-$C235)&gt;($D235-$D236),($C236-$C235)&gt;0),$C236-$C235,0))</f>
        <v>0</v>
      </c>
      <c r="AF236">
        <f>IF(OR($E236="",$E235=""),"",IF(AND(($D235-$D236)&gt;($C236-$C235),($D235-$D236)&gt;0),$D235-$D236,0))</f>
        <v>0</v>
      </c>
      <c r="AG236">
        <f>IF(COUNT($E$2:$E236)&lt;15,"",IF(SUM($AC$223:$AC$236)=0,0,100*SUM($AE$223:$AE$236)/SUM($AC$223:$AC$236)))</f>
        <v>0</v>
      </c>
      <c r="AH236">
        <f>IF(COUNT($E$2:$E236)&lt;15,"",IF(SUM($AC$223:$AC$236)=0,0,100*SUM($AF$223:$AF$236)/SUM($AC$223:$AC$236)))</f>
        <v>0</v>
      </c>
      <c r="AI236">
        <f>IF(OR(AG236="",AH236=""),"",IF((AG236+AH236)=0,0,100*ABS(AG236-AH236)/(AG236+AH236)))</f>
        <v>0</v>
      </c>
      <c r="AJ236">
        <f>IF(COUNT($AI$223:$AI$236)&lt;14,"",AVERAGE($AI$223:$AI$236))</f>
        <v>0</v>
      </c>
      <c r="AK236">
        <f>IF(COUNT($E$2:$E236)&lt;20,"",AVERAGE($E$217:$E$236))</f>
        <v>0</v>
      </c>
      <c r="AL236">
        <f>IF(COUNT($E$2:$E236)&lt;20,"",STDEVP($E$217:$E$236))</f>
        <v>0</v>
      </c>
      <c r="AM236">
        <f>IF(AK236="","",AK236+2*AL236)</f>
        <v>0</v>
      </c>
      <c r="AN236">
        <f>IF(AK236="","",AK236-2*AL236)</f>
        <v>0</v>
      </c>
      <c r="AO236">
        <f>IF(OR(AM236="",AN236="",AM236=AN236),"",($E236-AN236)/(AM236-AN236))</f>
        <v>0</v>
      </c>
      <c r="AP236">
        <f>IF(OR(AM236="",AK236="",AK236=0),"",(AM236-AN236)/AK236)</f>
        <v>0</v>
      </c>
      <c r="AQ236">
        <f>IF(COUNT($E$2:$E236)&lt;20,"",MAX($C$217:$C$236))</f>
        <v>0</v>
      </c>
      <c r="AR236">
        <f>IF(COUNT($E$2:$E236)&lt;20,"",MIN($D$217:$D$236))</f>
        <v>0</v>
      </c>
      <c r="AS236">
        <f>IF(OR(AQ236="",AR236=""),"",(AQ236+AR236)/2)</f>
        <v>0</v>
      </c>
      <c r="AT236">
        <f>IF(COUNT($G$217:$G$236)&lt;20,"",STDEV($G$217:$G$236)*SQRT(52))</f>
        <v>0</v>
      </c>
      <c r="AU236">
        <f>IF(COUNT($E$2:$E236)&lt;9,"",(MAX($C$228:$C$236)+MIN($D$228:$D$236))/2)</f>
        <v>0</v>
      </c>
      <c r="AV236">
        <f>IF(COUNT($E$2:$E236)&lt;26,"",(MAX($C$211:$C$236)+MIN($D$211:$D$236))/2)</f>
        <v>0</v>
      </c>
      <c r="AW236">
        <f>IF(OR(AU236="",AV236=""),"",(AU236+AV236)/2)</f>
        <v>0</v>
      </c>
      <c r="AX236">
        <f>IF(COUNT($E$2:$E236)&lt;52,"",(MAX($C$185:$C$236)+MIN($D$185:$D$236))/2)</f>
        <v>0</v>
      </c>
      <c r="AY236">
        <f>IF(COUNT($E$2:$E236)&lt;20,"",MAX($C$137:$C$236))</f>
        <v>0</v>
      </c>
      <c r="AZ236">
        <f>IF(COUNT($E$2:$E236)&lt;20,"",MIN($D$137:$D$236))</f>
        <v>0</v>
      </c>
      <c r="BA236">
        <f>IF(COUNT($E$2:$E236)&lt;20,"",SLOPE($E$137:$E$236,$F$137:$F$236))</f>
        <v>0</v>
      </c>
      <c r="BB236">
        <f>IF(COUNT($E$2:$E236)&lt;20,"",INTERCEPT($E$137:$E$236,$F$137:$F$236))</f>
        <v>0</v>
      </c>
      <c r="BC236">
        <f>IF(OR(BA236="",BB236=""),"",BB236+BA236*F236)</f>
        <v>0</v>
      </c>
      <c r="BD236">
        <f>IF(COUNT($E$2:$E236)&lt;20,"",STEYX($E$137:$E$236,$F$137:$F$236))</f>
        <v>0</v>
      </c>
      <c r="BE236">
        <f>IF($E236="","",IF(AND(COUNT($E$237:$E$240)&gt;=4,$C236=MAX($C$232:$C$240)),$C236,""))</f>
        <v>0</v>
      </c>
      <c r="BF236">
        <f>IF($E236="","",IF(AND(COUNT($E$237:$E$240)&gt;=4,$D236=MIN($D$232:$D$240)),$D236,""))</f>
        <v>0</v>
      </c>
      <c r="BG236">
        <f>IFERROR(SMALL(Calc_Daily!$BM$2:$BM$2001,235),"")</f>
        <v>0</v>
      </c>
    </row>
    <row r="237" spans="1:59">
      <c r="A237" s="27">
        <f>IF($BG237="","",INDEX(Calc_Daily!$A$2:$A$2001,$BG237))</f>
        <v>0</v>
      </c>
      <c r="B237">
        <f>IF($BG237="","",INDEX(Calc_Daily!$BJ$2:$BJ$2001,$BG237))</f>
        <v>0</v>
      </c>
      <c r="C237">
        <f>IF($BG237="","",INDEX(Calc_Daily!$BK$2:$BK$2001,$BG237))</f>
        <v>0</v>
      </c>
      <c r="D237">
        <f>IF($BG237="","",INDEX(Calc_Daily!$BL$2:$BL$2001,$BG237))</f>
        <v>0</v>
      </c>
      <c r="E237">
        <f>IF($BG237="","",INDEX(Calc_Daily!$E$2:$E$2001,$BG237))</f>
        <v>0</v>
      </c>
      <c r="F237">
        <f>IF($E237="","",N(F236)+1)</f>
        <v>0</v>
      </c>
      <c r="G237">
        <f>IF(OR($E237="",$E236=""),"",LN($E237/$E236))</f>
        <v>0</v>
      </c>
      <c r="H237">
        <f>IF($E237="","",IF($E236="",$E237,$E237*0.0952380952+H236*0.9047619048))</f>
        <v>0</v>
      </c>
      <c r="I237">
        <f>IF($E237="","",IF($E236="",$E237,$E237*0.0392156863+I236*0.9607843137))</f>
        <v>0</v>
      </c>
      <c r="J237">
        <f>IF($E237="","",IF($E236="",$E237,$E237*0.0198019802+J236*0.9801980198))</f>
        <v>0</v>
      </c>
      <c r="K237">
        <f>IF($E237="","",IF($E236="",$E237,$E237*0.0099502488+K236*0.9900497512))</f>
        <v>0</v>
      </c>
      <c r="L237">
        <f>IF(OR($E237="",$E236=""),"",MAX($E237-$E236,0))</f>
        <v>0</v>
      </c>
      <c r="M237">
        <f>IF(OR($E237="",$E236=""),"",MAX($E236-$E237,0))</f>
        <v>0</v>
      </c>
      <c r="N237">
        <f>IF(COUNT($E$2:$E237)&lt;15,"",IF(AVERAGE($M$224:$M$237)=0,100,100-100/(1+AVERAGE($L$224:$L$237)/AVERAGE($M$224:$M$237))))</f>
        <v>0</v>
      </c>
      <c r="O237">
        <f>IF($E237="","",IF($E236="",$E237,$E237*0.1538461538+O236*0.8461538462))</f>
        <v>0</v>
      </c>
      <c r="P237">
        <f>IF($E237="","",IF($E236="",$E237,$E237*0.0740740741+P236*0.9259259259))</f>
        <v>0</v>
      </c>
      <c r="Q237">
        <f>IF(OR(O237="",P237=""),"",O237-P237)</f>
        <v>0</v>
      </c>
      <c r="R237">
        <f>IF(Q237="","",IF(R236="",Q237,Q237*0.2000000000+R236*0.8000000000))</f>
        <v>0</v>
      </c>
      <c r="S237">
        <f>IF(OR(Q237="",R237=""),"",Q237-R237)</f>
        <v>0</v>
      </c>
      <c r="T237">
        <f>IF(COUNT($E$2:$E237)&lt;14,"",MAX($C$224:$C$237))</f>
        <v>0</v>
      </c>
      <c r="U237">
        <f>IF(COUNT($E$2:$E237)&lt;14,"",MIN($D$224:$D$237))</f>
        <v>0</v>
      </c>
      <c r="V237">
        <f>IF(OR(T237="",U237="",T237=U237),"",100*($E237-U237)/(T237-U237))</f>
        <v>0</v>
      </c>
      <c r="W237">
        <f>IF(COUNT($V$235:$V$237)&lt;3,"",AVERAGE($V$235:$V$237))</f>
        <v>0</v>
      </c>
      <c r="X237">
        <f>IF(COUNT($N$224:$N$237)&lt;14,"",MIN($N$224:$N$237))</f>
        <v>0</v>
      </c>
      <c r="Y237">
        <f>IF(COUNT($N$224:$N$237)&lt;14,"",MAX($N$224:$N$237))</f>
        <v>0</v>
      </c>
      <c r="Z237">
        <f>IF(OR(N237="",X237="",Y237="",Y237=X237),"",100*(N237-X237)/(Y237-X237))</f>
        <v>0</v>
      </c>
      <c r="AA237">
        <f>IF(COUNT($Z$235:$Z$237)&lt;3,"",AVERAGE($Z$235:$Z$237))</f>
        <v>0</v>
      </c>
      <c r="AB237">
        <f>IF(COUNT($AA$235:$AA$237)&lt;3,"",AVERAGE($AA$235:$AA$237))</f>
        <v>0</v>
      </c>
      <c r="AC237">
        <f>IF($E237="","",MAX($C237-$D237,ABS($C237-$E236),ABS($D237-$E236)))</f>
        <v>0</v>
      </c>
      <c r="AD237">
        <f>IF(COUNT($E$2:$E237)&lt;15,"",AVERAGE($AC$224:$AC$237))</f>
        <v>0</v>
      </c>
      <c r="AE237">
        <f>IF(OR($E237="",$E236=""),"",IF(AND(($C237-$C236)&gt;($D236-$D237),($C237-$C236)&gt;0),$C237-$C236,0))</f>
        <v>0</v>
      </c>
      <c r="AF237">
        <f>IF(OR($E237="",$E236=""),"",IF(AND(($D236-$D237)&gt;($C237-$C236),($D236-$D237)&gt;0),$D236-$D237,0))</f>
        <v>0</v>
      </c>
      <c r="AG237">
        <f>IF(COUNT($E$2:$E237)&lt;15,"",IF(SUM($AC$224:$AC$237)=0,0,100*SUM($AE$224:$AE$237)/SUM($AC$224:$AC$237)))</f>
        <v>0</v>
      </c>
      <c r="AH237">
        <f>IF(COUNT($E$2:$E237)&lt;15,"",IF(SUM($AC$224:$AC$237)=0,0,100*SUM($AF$224:$AF$237)/SUM($AC$224:$AC$237)))</f>
        <v>0</v>
      </c>
      <c r="AI237">
        <f>IF(OR(AG237="",AH237=""),"",IF((AG237+AH237)=0,0,100*ABS(AG237-AH237)/(AG237+AH237)))</f>
        <v>0</v>
      </c>
      <c r="AJ237">
        <f>IF(COUNT($AI$224:$AI$237)&lt;14,"",AVERAGE($AI$224:$AI$237))</f>
        <v>0</v>
      </c>
      <c r="AK237">
        <f>IF(COUNT($E$2:$E237)&lt;20,"",AVERAGE($E$218:$E$237))</f>
        <v>0</v>
      </c>
      <c r="AL237">
        <f>IF(COUNT($E$2:$E237)&lt;20,"",STDEVP($E$218:$E$237))</f>
        <v>0</v>
      </c>
      <c r="AM237">
        <f>IF(AK237="","",AK237+2*AL237)</f>
        <v>0</v>
      </c>
      <c r="AN237">
        <f>IF(AK237="","",AK237-2*AL237)</f>
        <v>0</v>
      </c>
      <c r="AO237">
        <f>IF(OR(AM237="",AN237="",AM237=AN237),"",($E237-AN237)/(AM237-AN237))</f>
        <v>0</v>
      </c>
      <c r="AP237">
        <f>IF(OR(AM237="",AK237="",AK237=0),"",(AM237-AN237)/AK237)</f>
        <v>0</v>
      </c>
      <c r="AQ237">
        <f>IF(COUNT($E$2:$E237)&lt;20,"",MAX($C$218:$C$237))</f>
        <v>0</v>
      </c>
      <c r="AR237">
        <f>IF(COUNT($E$2:$E237)&lt;20,"",MIN($D$218:$D$237))</f>
        <v>0</v>
      </c>
      <c r="AS237">
        <f>IF(OR(AQ237="",AR237=""),"",(AQ237+AR237)/2)</f>
        <v>0</v>
      </c>
      <c r="AT237">
        <f>IF(COUNT($G$218:$G$237)&lt;20,"",STDEV($G$218:$G$237)*SQRT(52))</f>
        <v>0</v>
      </c>
      <c r="AU237">
        <f>IF(COUNT($E$2:$E237)&lt;9,"",(MAX($C$229:$C$237)+MIN($D$229:$D$237))/2)</f>
        <v>0</v>
      </c>
      <c r="AV237">
        <f>IF(COUNT($E$2:$E237)&lt;26,"",(MAX($C$212:$C$237)+MIN($D$212:$D$237))/2)</f>
        <v>0</v>
      </c>
      <c r="AW237">
        <f>IF(OR(AU237="",AV237=""),"",(AU237+AV237)/2)</f>
        <v>0</v>
      </c>
      <c r="AX237">
        <f>IF(COUNT($E$2:$E237)&lt;52,"",(MAX($C$186:$C$237)+MIN($D$186:$D$237))/2)</f>
        <v>0</v>
      </c>
      <c r="AY237">
        <f>IF(COUNT($E$2:$E237)&lt;20,"",MAX($C$138:$C$237))</f>
        <v>0</v>
      </c>
      <c r="AZ237">
        <f>IF(COUNT($E$2:$E237)&lt;20,"",MIN($D$138:$D$237))</f>
        <v>0</v>
      </c>
      <c r="BA237">
        <f>IF(COUNT($E$2:$E237)&lt;20,"",SLOPE($E$138:$E$237,$F$138:$F$237))</f>
        <v>0</v>
      </c>
      <c r="BB237">
        <f>IF(COUNT($E$2:$E237)&lt;20,"",INTERCEPT($E$138:$E$237,$F$138:$F$237))</f>
        <v>0</v>
      </c>
      <c r="BC237">
        <f>IF(OR(BA237="",BB237=""),"",BB237+BA237*F237)</f>
        <v>0</v>
      </c>
      <c r="BD237">
        <f>IF(COUNT($E$2:$E237)&lt;20,"",STEYX($E$138:$E$237,$F$138:$F$237))</f>
        <v>0</v>
      </c>
      <c r="BE237">
        <f>IF($E237="","",IF(AND(COUNT($E$238:$E$241)&gt;=4,$C237=MAX($C$233:$C$241)),$C237,""))</f>
        <v>0</v>
      </c>
      <c r="BF237">
        <f>IF($E237="","",IF(AND(COUNT($E$238:$E$241)&gt;=4,$D237=MIN($D$233:$D$241)),$D237,""))</f>
        <v>0</v>
      </c>
      <c r="BG237">
        <f>IFERROR(SMALL(Calc_Daily!$BM$2:$BM$2001,236),"")</f>
        <v>0</v>
      </c>
    </row>
    <row r="238" spans="1:59">
      <c r="A238" s="27">
        <f>IF($BG238="","",INDEX(Calc_Daily!$A$2:$A$2001,$BG238))</f>
        <v>0</v>
      </c>
      <c r="B238">
        <f>IF($BG238="","",INDEX(Calc_Daily!$BJ$2:$BJ$2001,$BG238))</f>
        <v>0</v>
      </c>
      <c r="C238">
        <f>IF($BG238="","",INDEX(Calc_Daily!$BK$2:$BK$2001,$BG238))</f>
        <v>0</v>
      </c>
      <c r="D238">
        <f>IF($BG238="","",INDEX(Calc_Daily!$BL$2:$BL$2001,$BG238))</f>
        <v>0</v>
      </c>
      <c r="E238">
        <f>IF($BG238="","",INDEX(Calc_Daily!$E$2:$E$2001,$BG238))</f>
        <v>0</v>
      </c>
      <c r="F238">
        <f>IF($E238="","",N(F237)+1)</f>
        <v>0</v>
      </c>
      <c r="G238">
        <f>IF(OR($E238="",$E237=""),"",LN($E238/$E237))</f>
        <v>0</v>
      </c>
      <c r="H238">
        <f>IF($E238="","",IF($E237="",$E238,$E238*0.0952380952+H237*0.9047619048))</f>
        <v>0</v>
      </c>
      <c r="I238">
        <f>IF($E238="","",IF($E237="",$E238,$E238*0.0392156863+I237*0.9607843137))</f>
        <v>0</v>
      </c>
      <c r="J238">
        <f>IF($E238="","",IF($E237="",$E238,$E238*0.0198019802+J237*0.9801980198))</f>
        <v>0</v>
      </c>
      <c r="K238">
        <f>IF($E238="","",IF($E237="",$E238,$E238*0.0099502488+K237*0.9900497512))</f>
        <v>0</v>
      </c>
      <c r="L238">
        <f>IF(OR($E238="",$E237=""),"",MAX($E238-$E237,0))</f>
        <v>0</v>
      </c>
      <c r="M238">
        <f>IF(OR($E238="",$E237=""),"",MAX($E237-$E238,0))</f>
        <v>0</v>
      </c>
      <c r="N238">
        <f>IF(COUNT($E$2:$E238)&lt;15,"",IF(AVERAGE($M$225:$M$238)=0,100,100-100/(1+AVERAGE($L$225:$L$238)/AVERAGE($M$225:$M$238))))</f>
        <v>0</v>
      </c>
      <c r="O238">
        <f>IF($E238="","",IF($E237="",$E238,$E238*0.1538461538+O237*0.8461538462))</f>
        <v>0</v>
      </c>
      <c r="P238">
        <f>IF($E238="","",IF($E237="",$E238,$E238*0.0740740741+P237*0.9259259259))</f>
        <v>0</v>
      </c>
      <c r="Q238">
        <f>IF(OR(O238="",P238=""),"",O238-P238)</f>
        <v>0</v>
      </c>
      <c r="R238">
        <f>IF(Q238="","",IF(R237="",Q238,Q238*0.2000000000+R237*0.8000000000))</f>
        <v>0</v>
      </c>
      <c r="S238">
        <f>IF(OR(Q238="",R238=""),"",Q238-R238)</f>
        <v>0</v>
      </c>
      <c r="T238">
        <f>IF(COUNT($E$2:$E238)&lt;14,"",MAX($C$225:$C$238))</f>
        <v>0</v>
      </c>
      <c r="U238">
        <f>IF(COUNT($E$2:$E238)&lt;14,"",MIN($D$225:$D$238))</f>
        <v>0</v>
      </c>
      <c r="V238">
        <f>IF(OR(T238="",U238="",T238=U238),"",100*($E238-U238)/(T238-U238))</f>
        <v>0</v>
      </c>
      <c r="W238">
        <f>IF(COUNT($V$236:$V$238)&lt;3,"",AVERAGE($V$236:$V$238))</f>
        <v>0</v>
      </c>
      <c r="X238">
        <f>IF(COUNT($N$225:$N$238)&lt;14,"",MIN($N$225:$N$238))</f>
        <v>0</v>
      </c>
      <c r="Y238">
        <f>IF(COUNT($N$225:$N$238)&lt;14,"",MAX($N$225:$N$238))</f>
        <v>0</v>
      </c>
      <c r="Z238">
        <f>IF(OR(N238="",X238="",Y238="",Y238=X238),"",100*(N238-X238)/(Y238-X238))</f>
        <v>0</v>
      </c>
      <c r="AA238">
        <f>IF(COUNT($Z$236:$Z$238)&lt;3,"",AVERAGE($Z$236:$Z$238))</f>
        <v>0</v>
      </c>
      <c r="AB238">
        <f>IF(COUNT($AA$236:$AA$238)&lt;3,"",AVERAGE($AA$236:$AA$238))</f>
        <v>0</v>
      </c>
      <c r="AC238">
        <f>IF($E238="","",MAX($C238-$D238,ABS($C238-$E237),ABS($D238-$E237)))</f>
        <v>0</v>
      </c>
      <c r="AD238">
        <f>IF(COUNT($E$2:$E238)&lt;15,"",AVERAGE($AC$225:$AC$238))</f>
        <v>0</v>
      </c>
      <c r="AE238">
        <f>IF(OR($E238="",$E237=""),"",IF(AND(($C238-$C237)&gt;($D237-$D238),($C238-$C237)&gt;0),$C238-$C237,0))</f>
        <v>0</v>
      </c>
      <c r="AF238">
        <f>IF(OR($E238="",$E237=""),"",IF(AND(($D237-$D238)&gt;($C238-$C237),($D237-$D238)&gt;0),$D237-$D238,0))</f>
        <v>0</v>
      </c>
      <c r="AG238">
        <f>IF(COUNT($E$2:$E238)&lt;15,"",IF(SUM($AC$225:$AC$238)=0,0,100*SUM($AE$225:$AE$238)/SUM($AC$225:$AC$238)))</f>
        <v>0</v>
      </c>
      <c r="AH238">
        <f>IF(COUNT($E$2:$E238)&lt;15,"",IF(SUM($AC$225:$AC$238)=0,0,100*SUM($AF$225:$AF$238)/SUM($AC$225:$AC$238)))</f>
        <v>0</v>
      </c>
      <c r="AI238">
        <f>IF(OR(AG238="",AH238=""),"",IF((AG238+AH238)=0,0,100*ABS(AG238-AH238)/(AG238+AH238)))</f>
        <v>0</v>
      </c>
      <c r="AJ238">
        <f>IF(COUNT($AI$225:$AI$238)&lt;14,"",AVERAGE($AI$225:$AI$238))</f>
        <v>0</v>
      </c>
      <c r="AK238">
        <f>IF(COUNT($E$2:$E238)&lt;20,"",AVERAGE($E$219:$E$238))</f>
        <v>0</v>
      </c>
      <c r="AL238">
        <f>IF(COUNT($E$2:$E238)&lt;20,"",STDEVP($E$219:$E$238))</f>
        <v>0</v>
      </c>
      <c r="AM238">
        <f>IF(AK238="","",AK238+2*AL238)</f>
        <v>0</v>
      </c>
      <c r="AN238">
        <f>IF(AK238="","",AK238-2*AL238)</f>
        <v>0</v>
      </c>
      <c r="AO238">
        <f>IF(OR(AM238="",AN238="",AM238=AN238),"",($E238-AN238)/(AM238-AN238))</f>
        <v>0</v>
      </c>
      <c r="AP238">
        <f>IF(OR(AM238="",AK238="",AK238=0),"",(AM238-AN238)/AK238)</f>
        <v>0</v>
      </c>
      <c r="AQ238">
        <f>IF(COUNT($E$2:$E238)&lt;20,"",MAX($C$219:$C$238))</f>
        <v>0</v>
      </c>
      <c r="AR238">
        <f>IF(COUNT($E$2:$E238)&lt;20,"",MIN($D$219:$D$238))</f>
        <v>0</v>
      </c>
      <c r="AS238">
        <f>IF(OR(AQ238="",AR238=""),"",(AQ238+AR238)/2)</f>
        <v>0</v>
      </c>
      <c r="AT238">
        <f>IF(COUNT($G$219:$G$238)&lt;20,"",STDEV($G$219:$G$238)*SQRT(52))</f>
        <v>0</v>
      </c>
      <c r="AU238">
        <f>IF(COUNT($E$2:$E238)&lt;9,"",(MAX($C$230:$C$238)+MIN($D$230:$D$238))/2)</f>
        <v>0</v>
      </c>
      <c r="AV238">
        <f>IF(COUNT($E$2:$E238)&lt;26,"",(MAX($C$213:$C$238)+MIN($D$213:$D$238))/2)</f>
        <v>0</v>
      </c>
      <c r="AW238">
        <f>IF(OR(AU238="",AV238=""),"",(AU238+AV238)/2)</f>
        <v>0</v>
      </c>
      <c r="AX238">
        <f>IF(COUNT($E$2:$E238)&lt;52,"",(MAX($C$187:$C$238)+MIN($D$187:$D$238))/2)</f>
        <v>0</v>
      </c>
      <c r="AY238">
        <f>IF(COUNT($E$2:$E238)&lt;20,"",MAX($C$139:$C$238))</f>
        <v>0</v>
      </c>
      <c r="AZ238">
        <f>IF(COUNT($E$2:$E238)&lt;20,"",MIN($D$139:$D$238))</f>
        <v>0</v>
      </c>
      <c r="BA238">
        <f>IF(COUNT($E$2:$E238)&lt;20,"",SLOPE($E$139:$E$238,$F$139:$F$238))</f>
        <v>0</v>
      </c>
      <c r="BB238">
        <f>IF(COUNT($E$2:$E238)&lt;20,"",INTERCEPT($E$139:$E$238,$F$139:$F$238))</f>
        <v>0</v>
      </c>
      <c r="BC238">
        <f>IF(OR(BA238="",BB238=""),"",BB238+BA238*F238)</f>
        <v>0</v>
      </c>
      <c r="BD238">
        <f>IF(COUNT($E$2:$E238)&lt;20,"",STEYX($E$139:$E$238,$F$139:$F$238))</f>
        <v>0</v>
      </c>
      <c r="BE238">
        <f>IF($E238="","",IF(AND(COUNT($E$239:$E$242)&gt;=4,$C238=MAX($C$234:$C$242)),$C238,""))</f>
        <v>0</v>
      </c>
      <c r="BF238">
        <f>IF($E238="","",IF(AND(COUNT($E$239:$E$242)&gt;=4,$D238=MIN($D$234:$D$242)),$D238,""))</f>
        <v>0</v>
      </c>
      <c r="BG238">
        <f>IFERROR(SMALL(Calc_Daily!$BM$2:$BM$2001,237),"")</f>
        <v>0</v>
      </c>
    </row>
    <row r="239" spans="1:59">
      <c r="A239" s="27">
        <f>IF($BG239="","",INDEX(Calc_Daily!$A$2:$A$2001,$BG239))</f>
        <v>0</v>
      </c>
      <c r="B239">
        <f>IF($BG239="","",INDEX(Calc_Daily!$BJ$2:$BJ$2001,$BG239))</f>
        <v>0</v>
      </c>
      <c r="C239">
        <f>IF($BG239="","",INDEX(Calc_Daily!$BK$2:$BK$2001,$BG239))</f>
        <v>0</v>
      </c>
      <c r="D239">
        <f>IF($BG239="","",INDEX(Calc_Daily!$BL$2:$BL$2001,$BG239))</f>
        <v>0</v>
      </c>
      <c r="E239">
        <f>IF($BG239="","",INDEX(Calc_Daily!$E$2:$E$2001,$BG239))</f>
        <v>0</v>
      </c>
      <c r="F239">
        <f>IF($E239="","",N(F238)+1)</f>
        <v>0</v>
      </c>
      <c r="G239">
        <f>IF(OR($E239="",$E238=""),"",LN($E239/$E238))</f>
        <v>0</v>
      </c>
      <c r="H239">
        <f>IF($E239="","",IF($E238="",$E239,$E239*0.0952380952+H238*0.9047619048))</f>
        <v>0</v>
      </c>
      <c r="I239">
        <f>IF($E239="","",IF($E238="",$E239,$E239*0.0392156863+I238*0.9607843137))</f>
        <v>0</v>
      </c>
      <c r="J239">
        <f>IF($E239="","",IF($E238="",$E239,$E239*0.0198019802+J238*0.9801980198))</f>
        <v>0</v>
      </c>
      <c r="K239">
        <f>IF($E239="","",IF($E238="",$E239,$E239*0.0099502488+K238*0.9900497512))</f>
        <v>0</v>
      </c>
      <c r="L239">
        <f>IF(OR($E239="",$E238=""),"",MAX($E239-$E238,0))</f>
        <v>0</v>
      </c>
      <c r="M239">
        <f>IF(OR($E239="",$E238=""),"",MAX($E238-$E239,0))</f>
        <v>0</v>
      </c>
      <c r="N239">
        <f>IF(COUNT($E$2:$E239)&lt;15,"",IF(AVERAGE($M$226:$M$239)=0,100,100-100/(1+AVERAGE($L$226:$L$239)/AVERAGE($M$226:$M$239))))</f>
        <v>0</v>
      </c>
      <c r="O239">
        <f>IF($E239="","",IF($E238="",$E239,$E239*0.1538461538+O238*0.8461538462))</f>
        <v>0</v>
      </c>
      <c r="P239">
        <f>IF($E239="","",IF($E238="",$E239,$E239*0.0740740741+P238*0.9259259259))</f>
        <v>0</v>
      </c>
      <c r="Q239">
        <f>IF(OR(O239="",P239=""),"",O239-P239)</f>
        <v>0</v>
      </c>
      <c r="R239">
        <f>IF(Q239="","",IF(R238="",Q239,Q239*0.2000000000+R238*0.8000000000))</f>
        <v>0</v>
      </c>
      <c r="S239">
        <f>IF(OR(Q239="",R239=""),"",Q239-R239)</f>
        <v>0</v>
      </c>
      <c r="T239">
        <f>IF(COUNT($E$2:$E239)&lt;14,"",MAX($C$226:$C$239))</f>
        <v>0</v>
      </c>
      <c r="U239">
        <f>IF(COUNT($E$2:$E239)&lt;14,"",MIN($D$226:$D$239))</f>
        <v>0</v>
      </c>
      <c r="V239">
        <f>IF(OR(T239="",U239="",T239=U239),"",100*($E239-U239)/(T239-U239))</f>
        <v>0</v>
      </c>
      <c r="W239">
        <f>IF(COUNT($V$237:$V$239)&lt;3,"",AVERAGE($V$237:$V$239))</f>
        <v>0</v>
      </c>
      <c r="X239">
        <f>IF(COUNT($N$226:$N$239)&lt;14,"",MIN($N$226:$N$239))</f>
        <v>0</v>
      </c>
      <c r="Y239">
        <f>IF(COUNT($N$226:$N$239)&lt;14,"",MAX($N$226:$N$239))</f>
        <v>0</v>
      </c>
      <c r="Z239">
        <f>IF(OR(N239="",X239="",Y239="",Y239=X239),"",100*(N239-X239)/(Y239-X239))</f>
        <v>0</v>
      </c>
      <c r="AA239">
        <f>IF(COUNT($Z$237:$Z$239)&lt;3,"",AVERAGE($Z$237:$Z$239))</f>
        <v>0</v>
      </c>
      <c r="AB239">
        <f>IF(COUNT($AA$237:$AA$239)&lt;3,"",AVERAGE($AA$237:$AA$239))</f>
        <v>0</v>
      </c>
      <c r="AC239">
        <f>IF($E239="","",MAX($C239-$D239,ABS($C239-$E238),ABS($D239-$E238)))</f>
        <v>0</v>
      </c>
      <c r="AD239">
        <f>IF(COUNT($E$2:$E239)&lt;15,"",AVERAGE($AC$226:$AC$239))</f>
        <v>0</v>
      </c>
      <c r="AE239">
        <f>IF(OR($E239="",$E238=""),"",IF(AND(($C239-$C238)&gt;($D238-$D239),($C239-$C238)&gt;0),$C239-$C238,0))</f>
        <v>0</v>
      </c>
      <c r="AF239">
        <f>IF(OR($E239="",$E238=""),"",IF(AND(($D238-$D239)&gt;($C239-$C238),($D238-$D239)&gt;0),$D238-$D239,0))</f>
        <v>0</v>
      </c>
      <c r="AG239">
        <f>IF(COUNT($E$2:$E239)&lt;15,"",IF(SUM($AC$226:$AC$239)=0,0,100*SUM($AE$226:$AE$239)/SUM($AC$226:$AC$239)))</f>
        <v>0</v>
      </c>
      <c r="AH239">
        <f>IF(COUNT($E$2:$E239)&lt;15,"",IF(SUM($AC$226:$AC$239)=0,0,100*SUM($AF$226:$AF$239)/SUM($AC$226:$AC$239)))</f>
        <v>0</v>
      </c>
      <c r="AI239">
        <f>IF(OR(AG239="",AH239=""),"",IF((AG239+AH239)=0,0,100*ABS(AG239-AH239)/(AG239+AH239)))</f>
        <v>0</v>
      </c>
      <c r="AJ239">
        <f>IF(COUNT($AI$226:$AI$239)&lt;14,"",AVERAGE($AI$226:$AI$239))</f>
        <v>0</v>
      </c>
      <c r="AK239">
        <f>IF(COUNT($E$2:$E239)&lt;20,"",AVERAGE($E$220:$E$239))</f>
        <v>0</v>
      </c>
      <c r="AL239">
        <f>IF(COUNT($E$2:$E239)&lt;20,"",STDEVP($E$220:$E$239))</f>
        <v>0</v>
      </c>
      <c r="AM239">
        <f>IF(AK239="","",AK239+2*AL239)</f>
        <v>0</v>
      </c>
      <c r="AN239">
        <f>IF(AK239="","",AK239-2*AL239)</f>
        <v>0</v>
      </c>
      <c r="AO239">
        <f>IF(OR(AM239="",AN239="",AM239=AN239),"",($E239-AN239)/(AM239-AN239))</f>
        <v>0</v>
      </c>
      <c r="AP239">
        <f>IF(OR(AM239="",AK239="",AK239=0),"",(AM239-AN239)/AK239)</f>
        <v>0</v>
      </c>
      <c r="AQ239">
        <f>IF(COUNT($E$2:$E239)&lt;20,"",MAX($C$220:$C$239))</f>
        <v>0</v>
      </c>
      <c r="AR239">
        <f>IF(COUNT($E$2:$E239)&lt;20,"",MIN($D$220:$D$239))</f>
        <v>0</v>
      </c>
      <c r="AS239">
        <f>IF(OR(AQ239="",AR239=""),"",(AQ239+AR239)/2)</f>
        <v>0</v>
      </c>
      <c r="AT239">
        <f>IF(COUNT($G$220:$G$239)&lt;20,"",STDEV($G$220:$G$239)*SQRT(52))</f>
        <v>0</v>
      </c>
      <c r="AU239">
        <f>IF(COUNT($E$2:$E239)&lt;9,"",(MAX($C$231:$C$239)+MIN($D$231:$D$239))/2)</f>
        <v>0</v>
      </c>
      <c r="AV239">
        <f>IF(COUNT($E$2:$E239)&lt;26,"",(MAX($C$214:$C$239)+MIN($D$214:$D$239))/2)</f>
        <v>0</v>
      </c>
      <c r="AW239">
        <f>IF(OR(AU239="",AV239=""),"",(AU239+AV239)/2)</f>
        <v>0</v>
      </c>
      <c r="AX239">
        <f>IF(COUNT($E$2:$E239)&lt;52,"",(MAX($C$188:$C$239)+MIN($D$188:$D$239))/2)</f>
        <v>0</v>
      </c>
      <c r="AY239">
        <f>IF(COUNT($E$2:$E239)&lt;20,"",MAX($C$140:$C$239))</f>
        <v>0</v>
      </c>
      <c r="AZ239">
        <f>IF(COUNT($E$2:$E239)&lt;20,"",MIN($D$140:$D$239))</f>
        <v>0</v>
      </c>
      <c r="BA239">
        <f>IF(COUNT($E$2:$E239)&lt;20,"",SLOPE($E$140:$E$239,$F$140:$F$239))</f>
        <v>0</v>
      </c>
      <c r="BB239">
        <f>IF(COUNT($E$2:$E239)&lt;20,"",INTERCEPT($E$140:$E$239,$F$140:$F$239))</f>
        <v>0</v>
      </c>
      <c r="BC239">
        <f>IF(OR(BA239="",BB239=""),"",BB239+BA239*F239)</f>
        <v>0</v>
      </c>
      <c r="BD239">
        <f>IF(COUNT($E$2:$E239)&lt;20,"",STEYX($E$140:$E$239,$F$140:$F$239))</f>
        <v>0</v>
      </c>
      <c r="BE239">
        <f>IF($E239="","",IF(AND(COUNT($E$240:$E$243)&gt;=4,$C239=MAX($C$235:$C$243)),$C239,""))</f>
        <v>0</v>
      </c>
      <c r="BF239">
        <f>IF($E239="","",IF(AND(COUNT($E$240:$E$243)&gt;=4,$D239=MIN($D$235:$D$243)),$D239,""))</f>
        <v>0</v>
      </c>
      <c r="BG239">
        <f>IFERROR(SMALL(Calc_Daily!$BM$2:$BM$2001,238),"")</f>
        <v>0</v>
      </c>
    </row>
    <row r="240" spans="1:59">
      <c r="A240" s="27">
        <f>IF($BG240="","",INDEX(Calc_Daily!$A$2:$A$2001,$BG240))</f>
        <v>0</v>
      </c>
      <c r="B240">
        <f>IF($BG240="","",INDEX(Calc_Daily!$BJ$2:$BJ$2001,$BG240))</f>
        <v>0</v>
      </c>
      <c r="C240">
        <f>IF($BG240="","",INDEX(Calc_Daily!$BK$2:$BK$2001,$BG240))</f>
        <v>0</v>
      </c>
      <c r="D240">
        <f>IF($BG240="","",INDEX(Calc_Daily!$BL$2:$BL$2001,$BG240))</f>
        <v>0</v>
      </c>
      <c r="E240">
        <f>IF($BG240="","",INDEX(Calc_Daily!$E$2:$E$2001,$BG240))</f>
        <v>0</v>
      </c>
      <c r="F240">
        <f>IF($E240="","",N(F239)+1)</f>
        <v>0</v>
      </c>
      <c r="G240">
        <f>IF(OR($E240="",$E239=""),"",LN($E240/$E239))</f>
        <v>0</v>
      </c>
      <c r="H240">
        <f>IF($E240="","",IF($E239="",$E240,$E240*0.0952380952+H239*0.9047619048))</f>
        <v>0</v>
      </c>
      <c r="I240">
        <f>IF($E240="","",IF($E239="",$E240,$E240*0.0392156863+I239*0.9607843137))</f>
        <v>0</v>
      </c>
      <c r="J240">
        <f>IF($E240="","",IF($E239="",$E240,$E240*0.0198019802+J239*0.9801980198))</f>
        <v>0</v>
      </c>
      <c r="K240">
        <f>IF($E240="","",IF($E239="",$E240,$E240*0.0099502488+K239*0.9900497512))</f>
        <v>0</v>
      </c>
      <c r="L240">
        <f>IF(OR($E240="",$E239=""),"",MAX($E240-$E239,0))</f>
        <v>0</v>
      </c>
      <c r="M240">
        <f>IF(OR($E240="",$E239=""),"",MAX($E239-$E240,0))</f>
        <v>0</v>
      </c>
      <c r="N240">
        <f>IF(COUNT($E$2:$E240)&lt;15,"",IF(AVERAGE($M$227:$M$240)=0,100,100-100/(1+AVERAGE($L$227:$L$240)/AVERAGE($M$227:$M$240))))</f>
        <v>0</v>
      </c>
      <c r="O240">
        <f>IF($E240="","",IF($E239="",$E240,$E240*0.1538461538+O239*0.8461538462))</f>
        <v>0</v>
      </c>
      <c r="P240">
        <f>IF($E240="","",IF($E239="",$E240,$E240*0.0740740741+P239*0.9259259259))</f>
        <v>0</v>
      </c>
      <c r="Q240">
        <f>IF(OR(O240="",P240=""),"",O240-P240)</f>
        <v>0</v>
      </c>
      <c r="R240">
        <f>IF(Q240="","",IF(R239="",Q240,Q240*0.2000000000+R239*0.8000000000))</f>
        <v>0</v>
      </c>
      <c r="S240">
        <f>IF(OR(Q240="",R240=""),"",Q240-R240)</f>
        <v>0</v>
      </c>
      <c r="T240">
        <f>IF(COUNT($E$2:$E240)&lt;14,"",MAX($C$227:$C$240))</f>
        <v>0</v>
      </c>
      <c r="U240">
        <f>IF(COUNT($E$2:$E240)&lt;14,"",MIN($D$227:$D$240))</f>
        <v>0</v>
      </c>
      <c r="V240">
        <f>IF(OR(T240="",U240="",T240=U240),"",100*($E240-U240)/(T240-U240))</f>
        <v>0</v>
      </c>
      <c r="W240">
        <f>IF(COUNT($V$238:$V$240)&lt;3,"",AVERAGE($V$238:$V$240))</f>
        <v>0</v>
      </c>
      <c r="X240">
        <f>IF(COUNT($N$227:$N$240)&lt;14,"",MIN($N$227:$N$240))</f>
        <v>0</v>
      </c>
      <c r="Y240">
        <f>IF(COUNT($N$227:$N$240)&lt;14,"",MAX($N$227:$N$240))</f>
        <v>0</v>
      </c>
      <c r="Z240">
        <f>IF(OR(N240="",X240="",Y240="",Y240=X240),"",100*(N240-X240)/(Y240-X240))</f>
        <v>0</v>
      </c>
      <c r="AA240">
        <f>IF(COUNT($Z$238:$Z$240)&lt;3,"",AVERAGE($Z$238:$Z$240))</f>
        <v>0</v>
      </c>
      <c r="AB240">
        <f>IF(COUNT($AA$238:$AA$240)&lt;3,"",AVERAGE($AA$238:$AA$240))</f>
        <v>0</v>
      </c>
      <c r="AC240">
        <f>IF($E240="","",MAX($C240-$D240,ABS($C240-$E239),ABS($D240-$E239)))</f>
        <v>0</v>
      </c>
      <c r="AD240">
        <f>IF(COUNT($E$2:$E240)&lt;15,"",AVERAGE($AC$227:$AC$240))</f>
        <v>0</v>
      </c>
      <c r="AE240">
        <f>IF(OR($E240="",$E239=""),"",IF(AND(($C240-$C239)&gt;($D239-$D240),($C240-$C239)&gt;0),$C240-$C239,0))</f>
        <v>0</v>
      </c>
      <c r="AF240">
        <f>IF(OR($E240="",$E239=""),"",IF(AND(($D239-$D240)&gt;($C240-$C239),($D239-$D240)&gt;0),$D239-$D240,0))</f>
        <v>0</v>
      </c>
      <c r="AG240">
        <f>IF(COUNT($E$2:$E240)&lt;15,"",IF(SUM($AC$227:$AC$240)=0,0,100*SUM($AE$227:$AE$240)/SUM($AC$227:$AC$240)))</f>
        <v>0</v>
      </c>
      <c r="AH240">
        <f>IF(COUNT($E$2:$E240)&lt;15,"",IF(SUM($AC$227:$AC$240)=0,0,100*SUM($AF$227:$AF$240)/SUM($AC$227:$AC$240)))</f>
        <v>0</v>
      </c>
      <c r="AI240">
        <f>IF(OR(AG240="",AH240=""),"",IF((AG240+AH240)=0,0,100*ABS(AG240-AH240)/(AG240+AH240)))</f>
        <v>0</v>
      </c>
      <c r="AJ240">
        <f>IF(COUNT($AI$227:$AI$240)&lt;14,"",AVERAGE($AI$227:$AI$240))</f>
        <v>0</v>
      </c>
      <c r="AK240">
        <f>IF(COUNT($E$2:$E240)&lt;20,"",AVERAGE($E$221:$E$240))</f>
        <v>0</v>
      </c>
      <c r="AL240">
        <f>IF(COUNT($E$2:$E240)&lt;20,"",STDEVP($E$221:$E$240))</f>
        <v>0</v>
      </c>
      <c r="AM240">
        <f>IF(AK240="","",AK240+2*AL240)</f>
        <v>0</v>
      </c>
      <c r="AN240">
        <f>IF(AK240="","",AK240-2*AL240)</f>
        <v>0</v>
      </c>
      <c r="AO240">
        <f>IF(OR(AM240="",AN240="",AM240=AN240),"",($E240-AN240)/(AM240-AN240))</f>
        <v>0</v>
      </c>
      <c r="AP240">
        <f>IF(OR(AM240="",AK240="",AK240=0),"",(AM240-AN240)/AK240)</f>
        <v>0</v>
      </c>
      <c r="AQ240">
        <f>IF(COUNT($E$2:$E240)&lt;20,"",MAX($C$221:$C$240))</f>
        <v>0</v>
      </c>
      <c r="AR240">
        <f>IF(COUNT($E$2:$E240)&lt;20,"",MIN($D$221:$D$240))</f>
        <v>0</v>
      </c>
      <c r="AS240">
        <f>IF(OR(AQ240="",AR240=""),"",(AQ240+AR240)/2)</f>
        <v>0</v>
      </c>
      <c r="AT240">
        <f>IF(COUNT($G$221:$G$240)&lt;20,"",STDEV($G$221:$G$240)*SQRT(52))</f>
        <v>0</v>
      </c>
      <c r="AU240">
        <f>IF(COUNT($E$2:$E240)&lt;9,"",(MAX($C$232:$C$240)+MIN($D$232:$D$240))/2)</f>
        <v>0</v>
      </c>
      <c r="AV240">
        <f>IF(COUNT($E$2:$E240)&lt;26,"",(MAX($C$215:$C$240)+MIN($D$215:$D$240))/2)</f>
        <v>0</v>
      </c>
      <c r="AW240">
        <f>IF(OR(AU240="",AV240=""),"",(AU240+AV240)/2)</f>
        <v>0</v>
      </c>
      <c r="AX240">
        <f>IF(COUNT($E$2:$E240)&lt;52,"",(MAX($C$189:$C$240)+MIN($D$189:$D$240))/2)</f>
        <v>0</v>
      </c>
      <c r="AY240">
        <f>IF(COUNT($E$2:$E240)&lt;20,"",MAX($C$141:$C$240))</f>
        <v>0</v>
      </c>
      <c r="AZ240">
        <f>IF(COUNT($E$2:$E240)&lt;20,"",MIN($D$141:$D$240))</f>
        <v>0</v>
      </c>
      <c r="BA240">
        <f>IF(COUNT($E$2:$E240)&lt;20,"",SLOPE($E$141:$E$240,$F$141:$F$240))</f>
        <v>0</v>
      </c>
      <c r="BB240">
        <f>IF(COUNT($E$2:$E240)&lt;20,"",INTERCEPT($E$141:$E$240,$F$141:$F$240))</f>
        <v>0</v>
      </c>
      <c r="BC240">
        <f>IF(OR(BA240="",BB240=""),"",BB240+BA240*F240)</f>
        <v>0</v>
      </c>
      <c r="BD240">
        <f>IF(COUNT($E$2:$E240)&lt;20,"",STEYX($E$141:$E$240,$F$141:$F$240))</f>
        <v>0</v>
      </c>
      <c r="BE240">
        <f>IF($E240="","",IF(AND(COUNT($E$241:$E$244)&gt;=4,$C240=MAX($C$236:$C$244)),$C240,""))</f>
        <v>0</v>
      </c>
      <c r="BF240">
        <f>IF($E240="","",IF(AND(COUNT($E$241:$E$244)&gt;=4,$D240=MIN($D$236:$D$244)),$D240,""))</f>
        <v>0</v>
      </c>
      <c r="BG240">
        <f>IFERROR(SMALL(Calc_Daily!$BM$2:$BM$2001,239),"")</f>
        <v>0</v>
      </c>
    </row>
    <row r="241" spans="1:59">
      <c r="A241" s="27">
        <f>IF($BG241="","",INDEX(Calc_Daily!$A$2:$A$2001,$BG241))</f>
        <v>0</v>
      </c>
      <c r="B241">
        <f>IF($BG241="","",INDEX(Calc_Daily!$BJ$2:$BJ$2001,$BG241))</f>
        <v>0</v>
      </c>
      <c r="C241">
        <f>IF($BG241="","",INDEX(Calc_Daily!$BK$2:$BK$2001,$BG241))</f>
        <v>0</v>
      </c>
      <c r="D241">
        <f>IF($BG241="","",INDEX(Calc_Daily!$BL$2:$BL$2001,$BG241))</f>
        <v>0</v>
      </c>
      <c r="E241">
        <f>IF($BG241="","",INDEX(Calc_Daily!$E$2:$E$2001,$BG241))</f>
        <v>0</v>
      </c>
      <c r="F241">
        <f>IF($E241="","",N(F240)+1)</f>
        <v>0</v>
      </c>
      <c r="G241">
        <f>IF(OR($E241="",$E240=""),"",LN($E241/$E240))</f>
        <v>0</v>
      </c>
      <c r="H241">
        <f>IF($E241="","",IF($E240="",$E241,$E241*0.0952380952+H240*0.9047619048))</f>
        <v>0</v>
      </c>
      <c r="I241">
        <f>IF($E241="","",IF($E240="",$E241,$E241*0.0392156863+I240*0.9607843137))</f>
        <v>0</v>
      </c>
      <c r="J241">
        <f>IF($E241="","",IF($E240="",$E241,$E241*0.0198019802+J240*0.9801980198))</f>
        <v>0</v>
      </c>
      <c r="K241">
        <f>IF($E241="","",IF($E240="",$E241,$E241*0.0099502488+K240*0.9900497512))</f>
        <v>0</v>
      </c>
      <c r="L241">
        <f>IF(OR($E241="",$E240=""),"",MAX($E241-$E240,0))</f>
        <v>0</v>
      </c>
      <c r="M241">
        <f>IF(OR($E241="",$E240=""),"",MAX($E240-$E241,0))</f>
        <v>0</v>
      </c>
      <c r="N241">
        <f>IF(COUNT($E$2:$E241)&lt;15,"",IF(AVERAGE($M$228:$M$241)=0,100,100-100/(1+AVERAGE($L$228:$L$241)/AVERAGE($M$228:$M$241))))</f>
        <v>0</v>
      </c>
      <c r="O241">
        <f>IF($E241="","",IF($E240="",$E241,$E241*0.1538461538+O240*0.8461538462))</f>
        <v>0</v>
      </c>
      <c r="P241">
        <f>IF($E241="","",IF($E240="",$E241,$E241*0.0740740741+P240*0.9259259259))</f>
        <v>0</v>
      </c>
      <c r="Q241">
        <f>IF(OR(O241="",P241=""),"",O241-P241)</f>
        <v>0</v>
      </c>
      <c r="R241">
        <f>IF(Q241="","",IF(R240="",Q241,Q241*0.2000000000+R240*0.8000000000))</f>
        <v>0</v>
      </c>
      <c r="S241">
        <f>IF(OR(Q241="",R241=""),"",Q241-R241)</f>
        <v>0</v>
      </c>
      <c r="T241">
        <f>IF(COUNT($E$2:$E241)&lt;14,"",MAX($C$228:$C$241))</f>
        <v>0</v>
      </c>
      <c r="U241">
        <f>IF(COUNT($E$2:$E241)&lt;14,"",MIN($D$228:$D$241))</f>
        <v>0</v>
      </c>
      <c r="V241">
        <f>IF(OR(T241="",U241="",T241=U241),"",100*($E241-U241)/(T241-U241))</f>
        <v>0</v>
      </c>
      <c r="W241">
        <f>IF(COUNT($V$239:$V$241)&lt;3,"",AVERAGE($V$239:$V$241))</f>
        <v>0</v>
      </c>
      <c r="X241">
        <f>IF(COUNT($N$228:$N$241)&lt;14,"",MIN($N$228:$N$241))</f>
        <v>0</v>
      </c>
      <c r="Y241">
        <f>IF(COUNT($N$228:$N$241)&lt;14,"",MAX($N$228:$N$241))</f>
        <v>0</v>
      </c>
      <c r="Z241">
        <f>IF(OR(N241="",X241="",Y241="",Y241=X241),"",100*(N241-X241)/(Y241-X241))</f>
        <v>0</v>
      </c>
      <c r="AA241">
        <f>IF(COUNT($Z$239:$Z$241)&lt;3,"",AVERAGE($Z$239:$Z$241))</f>
        <v>0</v>
      </c>
      <c r="AB241">
        <f>IF(COUNT($AA$239:$AA$241)&lt;3,"",AVERAGE($AA$239:$AA$241))</f>
        <v>0</v>
      </c>
      <c r="AC241">
        <f>IF($E241="","",MAX($C241-$D241,ABS($C241-$E240),ABS($D241-$E240)))</f>
        <v>0</v>
      </c>
      <c r="AD241">
        <f>IF(COUNT($E$2:$E241)&lt;15,"",AVERAGE($AC$228:$AC$241))</f>
        <v>0</v>
      </c>
      <c r="AE241">
        <f>IF(OR($E241="",$E240=""),"",IF(AND(($C241-$C240)&gt;($D240-$D241),($C241-$C240)&gt;0),$C241-$C240,0))</f>
        <v>0</v>
      </c>
      <c r="AF241">
        <f>IF(OR($E241="",$E240=""),"",IF(AND(($D240-$D241)&gt;($C241-$C240),($D240-$D241)&gt;0),$D240-$D241,0))</f>
        <v>0</v>
      </c>
      <c r="AG241">
        <f>IF(COUNT($E$2:$E241)&lt;15,"",IF(SUM($AC$228:$AC$241)=0,0,100*SUM($AE$228:$AE$241)/SUM($AC$228:$AC$241)))</f>
        <v>0</v>
      </c>
      <c r="AH241">
        <f>IF(COUNT($E$2:$E241)&lt;15,"",IF(SUM($AC$228:$AC$241)=0,0,100*SUM($AF$228:$AF$241)/SUM($AC$228:$AC$241)))</f>
        <v>0</v>
      </c>
      <c r="AI241">
        <f>IF(OR(AG241="",AH241=""),"",IF((AG241+AH241)=0,0,100*ABS(AG241-AH241)/(AG241+AH241)))</f>
        <v>0</v>
      </c>
      <c r="AJ241">
        <f>IF(COUNT($AI$228:$AI$241)&lt;14,"",AVERAGE($AI$228:$AI$241))</f>
        <v>0</v>
      </c>
      <c r="AK241">
        <f>IF(COUNT($E$2:$E241)&lt;20,"",AVERAGE($E$222:$E$241))</f>
        <v>0</v>
      </c>
      <c r="AL241">
        <f>IF(COUNT($E$2:$E241)&lt;20,"",STDEVP($E$222:$E$241))</f>
        <v>0</v>
      </c>
      <c r="AM241">
        <f>IF(AK241="","",AK241+2*AL241)</f>
        <v>0</v>
      </c>
      <c r="AN241">
        <f>IF(AK241="","",AK241-2*AL241)</f>
        <v>0</v>
      </c>
      <c r="AO241">
        <f>IF(OR(AM241="",AN241="",AM241=AN241),"",($E241-AN241)/(AM241-AN241))</f>
        <v>0</v>
      </c>
      <c r="AP241">
        <f>IF(OR(AM241="",AK241="",AK241=0),"",(AM241-AN241)/AK241)</f>
        <v>0</v>
      </c>
      <c r="AQ241">
        <f>IF(COUNT($E$2:$E241)&lt;20,"",MAX($C$222:$C$241))</f>
        <v>0</v>
      </c>
      <c r="AR241">
        <f>IF(COUNT($E$2:$E241)&lt;20,"",MIN($D$222:$D$241))</f>
        <v>0</v>
      </c>
      <c r="AS241">
        <f>IF(OR(AQ241="",AR241=""),"",(AQ241+AR241)/2)</f>
        <v>0</v>
      </c>
      <c r="AT241">
        <f>IF(COUNT($G$222:$G$241)&lt;20,"",STDEV($G$222:$G$241)*SQRT(52))</f>
        <v>0</v>
      </c>
      <c r="AU241">
        <f>IF(COUNT($E$2:$E241)&lt;9,"",(MAX($C$233:$C$241)+MIN($D$233:$D$241))/2)</f>
        <v>0</v>
      </c>
      <c r="AV241">
        <f>IF(COUNT($E$2:$E241)&lt;26,"",(MAX($C$216:$C$241)+MIN($D$216:$D$241))/2)</f>
        <v>0</v>
      </c>
      <c r="AW241">
        <f>IF(OR(AU241="",AV241=""),"",(AU241+AV241)/2)</f>
        <v>0</v>
      </c>
      <c r="AX241">
        <f>IF(COUNT($E$2:$E241)&lt;52,"",(MAX($C$190:$C$241)+MIN($D$190:$D$241))/2)</f>
        <v>0</v>
      </c>
      <c r="AY241">
        <f>IF(COUNT($E$2:$E241)&lt;20,"",MAX($C$142:$C$241))</f>
        <v>0</v>
      </c>
      <c r="AZ241">
        <f>IF(COUNT($E$2:$E241)&lt;20,"",MIN($D$142:$D$241))</f>
        <v>0</v>
      </c>
      <c r="BA241">
        <f>IF(COUNT($E$2:$E241)&lt;20,"",SLOPE($E$142:$E$241,$F$142:$F$241))</f>
        <v>0</v>
      </c>
      <c r="BB241">
        <f>IF(COUNT($E$2:$E241)&lt;20,"",INTERCEPT($E$142:$E$241,$F$142:$F$241))</f>
        <v>0</v>
      </c>
      <c r="BC241">
        <f>IF(OR(BA241="",BB241=""),"",BB241+BA241*F241)</f>
        <v>0</v>
      </c>
      <c r="BD241">
        <f>IF(COUNT($E$2:$E241)&lt;20,"",STEYX($E$142:$E$241,$F$142:$F$241))</f>
        <v>0</v>
      </c>
      <c r="BE241">
        <f>IF($E241="","",IF(AND(COUNT($E$242:$E$245)&gt;=4,$C241=MAX($C$237:$C$245)),$C241,""))</f>
        <v>0</v>
      </c>
      <c r="BF241">
        <f>IF($E241="","",IF(AND(COUNT($E$242:$E$245)&gt;=4,$D241=MIN($D$237:$D$245)),$D241,""))</f>
        <v>0</v>
      </c>
      <c r="BG241">
        <f>IFERROR(SMALL(Calc_Daily!$BM$2:$BM$2001,240),"")</f>
        <v>0</v>
      </c>
    </row>
    <row r="242" spans="1:59">
      <c r="A242" s="27">
        <f>IF($BG242="","",INDEX(Calc_Daily!$A$2:$A$2001,$BG242))</f>
        <v>0</v>
      </c>
      <c r="B242">
        <f>IF($BG242="","",INDEX(Calc_Daily!$BJ$2:$BJ$2001,$BG242))</f>
        <v>0</v>
      </c>
      <c r="C242">
        <f>IF($BG242="","",INDEX(Calc_Daily!$BK$2:$BK$2001,$BG242))</f>
        <v>0</v>
      </c>
      <c r="D242">
        <f>IF($BG242="","",INDEX(Calc_Daily!$BL$2:$BL$2001,$BG242))</f>
        <v>0</v>
      </c>
      <c r="E242">
        <f>IF($BG242="","",INDEX(Calc_Daily!$E$2:$E$2001,$BG242))</f>
        <v>0</v>
      </c>
      <c r="F242">
        <f>IF($E242="","",N(F241)+1)</f>
        <v>0</v>
      </c>
      <c r="G242">
        <f>IF(OR($E242="",$E241=""),"",LN($E242/$E241))</f>
        <v>0</v>
      </c>
      <c r="H242">
        <f>IF($E242="","",IF($E241="",$E242,$E242*0.0952380952+H241*0.9047619048))</f>
        <v>0</v>
      </c>
      <c r="I242">
        <f>IF($E242="","",IF($E241="",$E242,$E242*0.0392156863+I241*0.9607843137))</f>
        <v>0</v>
      </c>
      <c r="J242">
        <f>IF($E242="","",IF($E241="",$E242,$E242*0.0198019802+J241*0.9801980198))</f>
        <v>0</v>
      </c>
      <c r="K242">
        <f>IF($E242="","",IF($E241="",$E242,$E242*0.0099502488+K241*0.9900497512))</f>
        <v>0</v>
      </c>
      <c r="L242">
        <f>IF(OR($E242="",$E241=""),"",MAX($E242-$E241,0))</f>
        <v>0</v>
      </c>
      <c r="M242">
        <f>IF(OR($E242="",$E241=""),"",MAX($E241-$E242,0))</f>
        <v>0</v>
      </c>
      <c r="N242">
        <f>IF(COUNT($E$2:$E242)&lt;15,"",IF(AVERAGE($M$229:$M$242)=0,100,100-100/(1+AVERAGE($L$229:$L$242)/AVERAGE($M$229:$M$242))))</f>
        <v>0</v>
      </c>
      <c r="O242">
        <f>IF($E242="","",IF($E241="",$E242,$E242*0.1538461538+O241*0.8461538462))</f>
        <v>0</v>
      </c>
      <c r="P242">
        <f>IF($E242="","",IF($E241="",$E242,$E242*0.0740740741+P241*0.9259259259))</f>
        <v>0</v>
      </c>
      <c r="Q242">
        <f>IF(OR(O242="",P242=""),"",O242-P242)</f>
        <v>0</v>
      </c>
      <c r="R242">
        <f>IF(Q242="","",IF(R241="",Q242,Q242*0.2000000000+R241*0.8000000000))</f>
        <v>0</v>
      </c>
      <c r="S242">
        <f>IF(OR(Q242="",R242=""),"",Q242-R242)</f>
        <v>0</v>
      </c>
      <c r="T242">
        <f>IF(COUNT($E$2:$E242)&lt;14,"",MAX($C$229:$C$242))</f>
        <v>0</v>
      </c>
      <c r="U242">
        <f>IF(COUNT($E$2:$E242)&lt;14,"",MIN($D$229:$D$242))</f>
        <v>0</v>
      </c>
      <c r="V242">
        <f>IF(OR(T242="",U242="",T242=U242),"",100*($E242-U242)/(T242-U242))</f>
        <v>0</v>
      </c>
      <c r="W242">
        <f>IF(COUNT($V$240:$V$242)&lt;3,"",AVERAGE($V$240:$V$242))</f>
        <v>0</v>
      </c>
      <c r="X242">
        <f>IF(COUNT($N$229:$N$242)&lt;14,"",MIN($N$229:$N$242))</f>
        <v>0</v>
      </c>
      <c r="Y242">
        <f>IF(COUNT($N$229:$N$242)&lt;14,"",MAX($N$229:$N$242))</f>
        <v>0</v>
      </c>
      <c r="Z242">
        <f>IF(OR(N242="",X242="",Y242="",Y242=X242),"",100*(N242-X242)/(Y242-X242))</f>
        <v>0</v>
      </c>
      <c r="AA242">
        <f>IF(COUNT($Z$240:$Z$242)&lt;3,"",AVERAGE($Z$240:$Z$242))</f>
        <v>0</v>
      </c>
      <c r="AB242">
        <f>IF(COUNT($AA$240:$AA$242)&lt;3,"",AVERAGE($AA$240:$AA$242))</f>
        <v>0</v>
      </c>
      <c r="AC242">
        <f>IF($E242="","",MAX($C242-$D242,ABS($C242-$E241),ABS($D242-$E241)))</f>
        <v>0</v>
      </c>
      <c r="AD242">
        <f>IF(COUNT($E$2:$E242)&lt;15,"",AVERAGE($AC$229:$AC$242))</f>
        <v>0</v>
      </c>
      <c r="AE242">
        <f>IF(OR($E242="",$E241=""),"",IF(AND(($C242-$C241)&gt;($D241-$D242),($C242-$C241)&gt;0),$C242-$C241,0))</f>
        <v>0</v>
      </c>
      <c r="AF242">
        <f>IF(OR($E242="",$E241=""),"",IF(AND(($D241-$D242)&gt;($C242-$C241),($D241-$D242)&gt;0),$D241-$D242,0))</f>
        <v>0</v>
      </c>
      <c r="AG242">
        <f>IF(COUNT($E$2:$E242)&lt;15,"",IF(SUM($AC$229:$AC$242)=0,0,100*SUM($AE$229:$AE$242)/SUM($AC$229:$AC$242)))</f>
        <v>0</v>
      </c>
      <c r="AH242">
        <f>IF(COUNT($E$2:$E242)&lt;15,"",IF(SUM($AC$229:$AC$242)=0,0,100*SUM($AF$229:$AF$242)/SUM($AC$229:$AC$242)))</f>
        <v>0</v>
      </c>
      <c r="AI242">
        <f>IF(OR(AG242="",AH242=""),"",IF((AG242+AH242)=0,0,100*ABS(AG242-AH242)/(AG242+AH242)))</f>
        <v>0</v>
      </c>
      <c r="AJ242">
        <f>IF(COUNT($AI$229:$AI$242)&lt;14,"",AVERAGE($AI$229:$AI$242))</f>
        <v>0</v>
      </c>
      <c r="AK242">
        <f>IF(COUNT($E$2:$E242)&lt;20,"",AVERAGE($E$223:$E$242))</f>
        <v>0</v>
      </c>
      <c r="AL242">
        <f>IF(COUNT($E$2:$E242)&lt;20,"",STDEVP($E$223:$E$242))</f>
        <v>0</v>
      </c>
      <c r="AM242">
        <f>IF(AK242="","",AK242+2*AL242)</f>
        <v>0</v>
      </c>
      <c r="AN242">
        <f>IF(AK242="","",AK242-2*AL242)</f>
        <v>0</v>
      </c>
      <c r="AO242">
        <f>IF(OR(AM242="",AN242="",AM242=AN242),"",($E242-AN242)/(AM242-AN242))</f>
        <v>0</v>
      </c>
      <c r="AP242">
        <f>IF(OR(AM242="",AK242="",AK242=0),"",(AM242-AN242)/AK242)</f>
        <v>0</v>
      </c>
      <c r="AQ242">
        <f>IF(COUNT($E$2:$E242)&lt;20,"",MAX($C$223:$C$242))</f>
        <v>0</v>
      </c>
      <c r="AR242">
        <f>IF(COUNT($E$2:$E242)&lt;20,"",MIN($D$223:$D$242))</f>
        <v>0</v>
      </c>
      <c r="AS242">
        <f>IF(OR(AQ242="",AR242=""),"",(AQ242+AR242)/2)</f>
        <v>0</v>
      </c>
      <c r="AT242">
        <f>IF(COUNT($G$223:$G$242)&lt;20,"",STDEV($G$223:$G$242)*SQRT(52))</f>
        <v>0</v>
      </c>
      <c r="AU242">
        <f>IF(COUNT($E$2:$E242)&lt;9,"",(MAX($C$234:$C$242)+MIN($D$234:$D$242))/2)</f>
        <v>0</v>
      </c>
      <c r="AV242">
        <f>IF(COUNT($E$2:$E242)&lt;26,"",(MAX($C$217:$C$242)+MIN($D$217:$D$242))/2)</f>
        <v>0</v>
      </c>
      <c r="AW242">
        <f>IF(OR(AU242="",AV242=""),"",(AU242+AV242)/2)</f>
        <v>0</v>
      </c>
      <c r="AX242">
        <f>IF(COUNT($E$2:$E242)&lt;52,"",(MAX($C$191:$C$242)+MIN($D$191:$D$242))/2)</f>
        <v>0</v>
      </c>
      <c r="AY242">
        <f>IF(COUNT($E$2:$E242)&lt;20,"",MAX($C$143:$C$242))</f>
        <v>0</v>
      </c>
      <c r="AZ242">
        <f>IF(COUNT($E$2:$E242)&lt;20,"",MIN($D$143:$D$242))</f>
        <v>0</v>
      </c>
      <c r="BA242">
        <f>IF(COUNT($E$2:$E242)&lt;20,"",SLOPE($E$143:$E$242,$F$143:$F$242))</f>
        <v>0</v>
      </c>
      <c r="BB242">
        <f>IF(COUNT($E$2:$E242)&lt;20,"",INTERCEPT($E$143:$E$242,$F$143:$F$242))</f>
        <v>0</v>
      </c>
      <c r="BC242">
        <f>IF(OR(BA242="",BB242=""),"",BB242+BA242*F242)</f>
        <v>0</v>
      </c>
      <c r="BD242">
        <f>IF(COUNT($E$2:$E242)&lt;20,"",STEYX($E$143:$E$242,$F$143:$F$242))</f>
        <v>0</v>
      </c>
      <c r="BE242">
        <f>IF($E242="","",IF(AND(COUNT($E$243:$E$246)&gt;=4,$C242=MAX($C$238:$C$246)),$C242,""))</f>
        <v>0</v>
      </c>
      <c r="BF242">
        <f>IF($E242="","",IF(AND(COUNT($E$243:$E$246)&gt;=4,$D242=MIN($D$238:$D$246)),$D242,""))</f>
        <v>0</v>
      </c>
      <c r="BG242">
        <f>IFERROR(SMALL(Calc_Daily!$BM$2:$BM$2001,241),"")</f>
        <v>0</v>
      </c>
    </row>
    <row r="243" spans="1:59">
      <c r="A243" s="27">
        <f>IF($BG243="","",INDEX(Calc_Daily!$A$2:$A$2001,$BG243))</f>
        <v>0</v>
      </c>
      <c r="B243">
        <f>IF($BG243="","",INDEX(Calc_Daily!$BJ$2:$BJ$2001,$BG243))</f>
        <v>0</v>
      </c>
      <c r="C243">
        <f>IF($BG243="","",INDEX(Calc_Daily!$BK$2:$BK$2001,$BG243))</f>
        <v>0</v>
      </c>
      <c r="D243">
        <f>IF($BG243="","",INDEX(Calc_Daily!$BL$2:$BL$2001,$BG243))</f>
        <v>0</v>
      </c>
      <c r="E243">
        <f>IF($BG243="","",INDEX(Calc_Daily!$E$2:$E$2001,$BG243))</f>
        <v>0</v>
      </c>
      <c r="F243">
        <f>IF($E243="","",N(F242)+1)</f>
        <v>0</v>
      </c>
      <c r="G243">
        <f>IF(OR($E243="",$E242=""),"",LN($E243/$E242))</f>
        <v>0</v>
      </c>
      <c r="H243">
        <f>IF($E243="","",IF($E242="",$E243,$E243*0.0952380952+H242*0.9047619048))</f>
        <v>0</v>
      </c>
      <c r="I243">
        <f>IF($E243="","",IF($E242="",$E243,$E243*0.0392156863+I242*0.9607843137))</f>
        <v>0</v>
      </c>
      <c r="J243">
        <f>IF($E243="","",IF($E242="",$E243,$E243*0.0198019802+J242*0.9801980198))</f>
        <v>0</v>
      </c>
      <c r="K243">
        <f>IF($E243="","",IF($E242="",$E243,$E243*0.0099502488+K242*0.9900497512))</f>
        <v>0</v>
      </c>
      <c r="L243">
        <f>IF(OR($E243="",$E242=""),"",MAX($E243-$E242,0))</f>
        <v>0</v>
      </c>
      <c r="M243">
        <f>IF(OR($E243="",$E242=""),"",MAX($E242-$E243,0))</f>
        <v>0</v>
      </c>
      <c r="N243">
        <f>IF(COUNT($E$2:$E243)&lt;15,"",IF(AVERAGE($M$230:$M$243)=0,100,100-100/(1+AVERAGE($L$230:$L$243)/AVERAGE($M$230:$M$243))))</f>
        <v>0</v>
      </c>
      <c r="O243">
        <f>IF($E243="","",IF($E242="",$E243,$E243*0.1538461538+O242*0.8461538462))</f>
        <v>0</v>
      </c>
      <c r="P243">
        <f>IF($E243="","",IF($E242="",$E243,$E243*0.0740740741+P242*0.9259259259))</f>
        <v>0</v>
      </c>
      <c r="Q243">
        <f>IF(OR(O243="",P243=""),"",O243-P243)</f>
        <v>0</v>
      </c>
      <c r="R243">
        <f>IF(Q243="","",IF(R242="",Q243,Q243*0.2000000000+R242*0.8000000000))</f>
        <v>0</v>
      </c>
      <c r="S243">
        <f>IF(OR(Q243="",R243=""),"",Q243-R243)</f>
        <v>0</v>
      </c>
      <c r="T243">
        <f>IF(COUNT($E$2:$E243)&lt;14,"",MAX($C$230:$C$243))</f>
        <v>0</v>
      </c>
      <c r="U243">
        <f>IF(COUNT($E$2:$E243)&lt;14,"",MIN($D$230:$D$243))</f>
        <v>0</v>
      </c>
      <c r="V243">
        <f>IF(OR(T243="",U243="",T243=U243),"",100*($E243-U243)/(T243-U243))</f>
        <v>0</v>
      </c>
      <c r="W243">
        <f>IF(COUNT($V$241:$V$243)&lt;3,"",AVERAGE($V$241:$V$243))</f>
        <v>0</v>
      </c>
      <c r="X243">
        <f>IF(COUNT($N$230:$N$243)&lt;14,"",MIN($N$230:$N$243))</f>
        <v>0</v>
      </c>
      <c r="Y243">
        <f>IF(COUNT($N$230:$N$243)&lt;14,"",MAX($N$230:$N$243))</f>
        <v>0</v>
      </c>
      <c r="Z243">
        <f>IF(OR(N243="",X243="",Y243="",Y243=X243),"",100*(N243-X243)/(Y243-X243))</f>
        <v>0</v>
      </c>
      <c r="AA243">
        <f>IF(COUNT($Z$241:$Z$243)&lt;3,"",AVERAGE($Z$241:$Z$243))</f>
        <v>0</v>
      </c>
      <c r="AB243">
        <f>IF(COUNT($AA$241:$AA$243)&lt;3,"",AVERAGE($AA$241:$AA$243))</f>
        <v>0</v>
      </c>
      <c r="AC243">
        <f>IF($E243="","",MAX($C243-$D243,ABS($C243-$E242),ABS($D243-$E242)))</f>
        <v>0</v>
      </c>
      <c r="AD243">
        <f>IF(COUNT($E$2:$E243)&lt;15,"",AVERAGE($AC$230:$AC$243))</f>
        <v>0</v>
      </c>
      <c r="AE243">
        <f>IF(OR($E243="",$E242=""),"",IF(AND(($C243-$C242)&gt;($D242-$D243),($C243-$C242)&gt;0),$C243-$C242,0))</f>
        <v>0</v>
      </c>
      <c r="AF243">
        <f>IF(OR($E243="",$E242=""),"",IF(AND(($D242-$D243)&gt;($C243-$C242),($D242-$D243)&gt;0),$D242-$D243,0))</f>
        <v>0</v>
      </c>
      <c r="AG243">
        <f>IF(COUNT($E$2:$E243)&lt;15,"",IF(SUM($AC$230:$AC$243)=0,0,100*SUM($AE$230:$AE$243)/SUM($AC$230:$AC$243)))</f>
        <v>0</v>
      </c>
      <c r="AH243">
        <f>IF(COUNT($E$2:$E243)&lt;15,"",IF(SUM($AC$230:$AC$243)=0,0,100*SUM($AF$230:$AF$243)/SUM($AC$230:$AC$243)))</f>
        <v>0</v>
      </c>
      <c r="AI243">
        <f>IF(OR(AG243="",AH243=""),"",IF((AG243+AH243)=0,0,100*ABS(AG243-AH243)/(AG243+AH243)))</f>
        <v>0</v>
      </c>
      <c r="AJ243">
        <f>IF(COUNT($AI$230:$AI$243)&lt;14,"",AVERAGE($AI$230:$AI$243))</f>
        <v>0</v>
      </c>
      <c r="AK243">
        <f>IF(COUNT($E$2:$E243)&lt;20,"",AVERAGE($E$224:$E$243))</f>
        <v>0</v>
      </c>
      <c r="AL243">
        <f>IF(COUNT($E$2:$E243)&lt;20,"",STDEVP($E$224:$E$243))</f>
        <v>0</v>
      </c>
      <c r="AM243">
        <f>IF(AK243="","",AK243+2*AL243)</f>
        <v>0</v>
      </c>
      <c r="AN243">
        <f>IF(AK243="","",AK243-2*AL243)</f>
        <v>0</v>
      </c>
      <c r="AO243">
        <f>IF(OR(AM243="",AN243="",AM243=AN243),"",($E243-AN243)/(AM243-AN243))</f>
        <v>0</v>
      </c>
      <c r="AP243">
        <f>IF(OR(AM243="",AK243="",AK243=0),"",(AM243-AN243)/AK243)</f>
        <v>0</v>
      </c>
      <c r="AQ243">
        <f>IF(COUNT($E$2:$E243)&lt;20,"",MAX($C$224:$C$243))</f>
        <v>0</v>
      </c>
      <c r="AR243">
        <f>IF(COUNT($E$2:$E243)&lt;20,"",MIN($D$224:$D$243))</f>
        <v>0</v>
      </c>
      <c r="AS243">
        <f>IF(OR(AQ243="",AR243=""),"",(AQ243+AR243)/2)</f>
        <v>0</v>
      </c>
      <c r="AT243">
        <f>IF(COUNT($G$224:$G$243)&lt;20,"",STDEV($G$224:$G$243)*SQRT(52))</f>
        <v>0</v>
      </c>
      <c r="AU243">
        <f>IF(COUNT($E$2:$E243)&lt;9,"",(MAX($C$235:$C$243)+MIN($D$235:$D$243))/2)</f>
        <v>0</v>
      </c>
      <c r="AV243">
        <f>IF(COUNT($E$2:$E243)&lt;26,"",(MAX($C$218:$C$243)+MIN($D$218:$D$243))/2)</f>
        <v>0</v>
      </c>
      <c r="AW243">
        <f>IF(OR(AU243="",AV243=""),"",(AU243+AV243)/2)</f>
        <v>0</v>
      </c>
      <c r="AX243">
        <f>IF(COUNT($E$2:$E243)&lt;52,"",(MAX($C$192:$C$243)+MIN($D$192:$D$243))/2)</f>
        <v>0</v>
      </c>
      <c r="AY243">
        <f>IF(COUNT($E$2:$E243)&lt;20,"",MAX($C$144:$C$243))</f>
        <v>0</v>
      </c>
      <c r="AZ243">
        <f>IF(COUNT($E$2:$E243)&lt;20,"",MIN($D$144:$D$243))</f>
        <v>0</v>
      </c>
      <c r="BA243">
        <f>IF(COUNT($E$2:$E243)&lt;20,"",SLOPE($E$144:$E$243,$F$144:$F$243))</f>
        <v>0</v>
      </c>
      <c r="BB243">
        <f>IF(COUNT($E$2:$E243)&lt;20,"",INTERCEPT($E$144:$E$243,$F$144:$F$243))</f>
        <v>0</v>
      </c>
      <c r="BC243">
        <f>IF(OR(BA243="",BB243=""),"",BB243+BA243*F243)</f>
        <v>0</v>
      </c>
      <c r="BD243">
        <f>IF(COUNT($E$2:$E243)&lt;20,"",STEYX($E$144:$E$243,$F$144:$F$243))</f>
        <v>0</v>
      </c>
      <c r="BE243">
        <f>IF($E243="","",IF(AND(COUNT($E$244:$E$247)&gt;=4,$C243=MAX($C$239:$C$247)),$C243,""))</f>
        <v>0</v>
      </c>
      <c r="BF243">
        <f>IF($E243="","",IF(AND(COUNT($E$244:$E$247)&gt;=4,$D243=MIN($D$239:$D$247)),$D243,""))</f>
        <v>0</v>
      </c>
      <c r="BG243">
        <f>IFERROR(SMALL(Calc_Daily!$BM$2:$BM$2001,242),"")</f>
        <v>0</v>
      </c>
    </row>
    <row r="244" spans="1:59">
      <c r="A244" s="27">
        <f>IF($BG244="","",INDEX(Calc_Daily!$A$2:$A$2001,$BG244))</f>
        <v>0</v>
      </c>
      <c r="B244">
        <f>IF($BG244="","",INDEX(Calc_Daily!$BJ$2:$BJ$2001,$BG244))</f>
        <v>0</v>
      </c>
      <c r="C244">
        <f>IF($BG244="","",INDEX(Calc_Daily!$BK$2:$BK$2001,$BG244))</f>
        <v>0</v>
      </c>
      <c r="D244">
        <f>IF($BG244="","",INDEX(Calc_Daily!$BL$2:$BL$2001,$BG244))</f>
        <v>0</v>
      </c>
      <c r="E244">
        <f>IF($BG244="","",INDEX(Calc_Daily!$E$2:$E$2001,$BG244))</f>
        <v>0</v>
      </c>
      <c r="F244">
        <f>IF($E244="","",N(F243)+1)</f>
        <v>0</v>
      </c>
      <c r="G244">
        <f>IF(OR($E244="",$E243=""),"",LN($E244/$E243))</f>
        <v>0</v>
      </c>
      <c r="H244">
        <f>IF($E244="","",IF($E243="",$E244,$E244*0.0952380952+H243*0.9047619048))</f>
        <v>0</v>
      </c>
      <c r="I244">
        <f>IF($E244="","",IF($E243="",$E244,$E244*0.0392156863+I243*0.9607843137))</f>
        <v>0</v>
      </c>
      <c r="J244">
        <f>IF($E244="","",IF($E243="",$E244,$E244*0.0198019802+J243*0.9801980198))</f>
        <v>0</v>
      </c>
      <c r="K244">
        <f>IF($E244="","",IF($E243="",$E244,$E244*0.0099502488+K243*0.9900497512))</f>
        <v>0</v>
      </c>
      <c r="L244">
        <f>IF(OR($E244="",$E243=""),"",MAX($E244-$E243,0))</f>
        <v>0</v>
      </c>
      <c r="M244">
        <f>IF(OR($E244="",$E243=""),"",MAX($E243-$E244,0))</f>
        <v>0</v>
      </c>
      <c r="N244">
        <f>IF(COUNT($E$2:$E244)&lt;15,"",IF(AVERAGE($M$231:$M$244)=0,100,100-100/(1+AVERAGE($L$231:$L$244)/AVERAGE($M$231:$M$244))))</f>
        <v>0</v>
      </c>
      <c r="O244">
        <f>IF($E244="","",IF($E243="",$E244,$E244*0.1538461538+O243*0.8461538462))</f>
        <v>0</v>
      </c>
      <c r="P244">
        <f>IF($E244="","",IF($E243="",$E244,$E244*0.0740740741+P243*0.9259259259))</f>
        <v>0</v>
      </c>
      <c r="Q244">
        <f>IF(OR(O244="",P244=""),"",O244-P244)</f>
        <v>0</v>
      </c>
      <c r="R244">
        <f>IF(Q244="","",IF(R243="",Q244,Q244*0.2000000000+R243*0.8000000000))</f>
        <v>0</v>
      </c>
      <c r="S244">
        <f>IF(OR(Q244="",R244=""),"",Q244-R244)</f>
        <v>0</v>
      </c>
      <c r="T244">
        <f>IF(COUNT($E$2:$E244)&lt;14,"",MAX($C$231:$C$244))</f>
        <v>0</v>
      </c>
      <c r="U244">
        <f>IF(COUNT($E$2:$E244)&lt;14,"",MIN($D$231:$D$244))</f>
        <v>0</v>
      </c>
      <c r="V244">
        <f>IF(OR(T244="",U244="",T244=U244),"",100*($E244-U244)/(T244-U244))</f>
        <v>0</v>
      </c>
      <c r="W244">
        <f>IF(COUNT($V$242:$V$244)&lt;3,"",AVERAGE($V$242:$V$244))</f>
        <v>0</v>
      </c>
      <c r="X244">
        <f>IF(COUNT($N$231:$N$244)&lt;14,"",MIN($N$231:$N$244))</f>
        <v>0</v>
      </c>
      <c r="Y244">
        <f>IF(COUNT($N$231:$N$244)&lt;14,"",MAX($N$231:$N$244))</f>
        <v>0</v>
      </c>
      <c r="Z244">
        <f>IF(OR(N244="",X244="",Y244="",Y244=X244),"",100*(N244-X244)/(Y244-X244))</f>
        <v>0</v>
      </c>
      <c r="AA244">
        <f>IF(COUNT($Z$242:$Z$244)&lt;3,"",AVERAGE($Z$242:$Z$244))</f>
        <v>0</v>
      </c>
      <c r="AB244">
        <f>IF(COUNT($AA$242:$AA$244)&lt;3,"",AVERAGE($AA$242:$AA$244))</f>
        <v>0</v>
      </c>
      <c r="AC244">
        <f>IF($E244="","",MAX($C244-$D244,ABS($C244-$E243),ABS($D244-$E243)))</f>
        <v>0</v>
      </c>
      <c r="AD244">
        <f>IF(COUNT($E$2:$E244)&lt;15,"",AVERAGE($AC$231:$AC$244))</f>
        <v>0</v>
      </c>
      <c r="AE244">
        <f>IF(OR($E244="",$E243=""),"",IF(AND(($C244-$C243)&gt;($D243-$D244),($C244-$C243)&gt;0),$C244-$C243,0))</f>
        <v>0</v>
      </c>
      <c r="AF244">
        <f>IF(OR($E244="",$E243=""),"",IF(AND(($D243-$D244)&gt;($C244-$C243),($D243-$D244)&gt;0),$D243-$D244,0))</f>
        <v>0</v>
      </c>
      <c r="AG244">
        <f>IF(COUNT($E$2:$E244)&lt;15,"",IF(SUM($AC$231:$AC$244)=0,0,100*SUM($AE$231:$AE$244)/SUM($AC$231:$AC$244)))</f>
        <v>0</v>
      </c>
      <c r="AH244">
        <f>IF(COUNT($E$2:$E244)&lt;15,"",IF(SUM($AC$231:$AC$244)=0,0,100*SUM($AF$231:$AF$244)/SUM($AC$231:$AC$244)))</f>
        <v>0</v>
      </c>
      <c r="AI244">
        <f>IF(OR(AG244="",AH244=""),"",IF((AG244+AH244)=0,0,100*ABS(AG244-AH244)/(AG244+AH244)))</f>
        <v>0</v>
      </c>
      <c r="AJ244">
        <f>IF(COUNT($AI$231:$AI$244)&lt;14,"",AVERAGE($AI$231:$AI$244))</f>
        <v>0</v>
      </c>
      <c r="AK244">
        <f>IF(COUNT($E$2:$E244)&lt;20,"",AVERAGE($E$225:$E$244))</f>
        <v>0</v>
      </c>
      <c r="AL244">
        <f>IF(COUNT($E$2:$E244)&lt;20,"",STDEVP($E$225:$E$244))</f>
        <v>0</v>
      </c>
      <c r="AM244">
        <f>IF(AK244="","",AK244+2*AL244)</f>
        <v>0</v>
      </c>
      <c r="AN244">
        <f>IF(AK244="","",AK244-2*AL244)</f>
        <v>0</v>
      </c>
      <c r="AO244">
        <f>IF(OR(AM244="",AN244="",AM244=AN244),"",($E244-AN244)/(AM244-AN244))</f>
        <v>0</v>
      </c>
      <c r="AP244">
        <f>IF(OR(AM244="",AK244="",AK244=0),"",(AM244-AN244)/AK244)</f>
        <v>0</v>
      </c>
      <c r="AQ244">
        <f>IF(COUNT($E$2:$E244)&lt;20,"",MAX($C$225:$C$244))</f>
        <v>0</v>
      </c>
      <c r="AR244">
        <f>IF(COUNT($E$2:$E244)&lt;20,"",MIN($D$225:$D$244))</f>
        <v>0</v>
      </c>
      <c r="AS244">
        <f>IF(OR(AQ244="",AR244=""),"",(AQ244+AR244)/2)</f>
        <v>0</v>
      </c>
      <c r="AT244">
        <f>IF(COUNT($G$225:$G$244)&lt;20,"",STDEV($G$225:$G$244)*SQRT(52))</f>
        <v>0</v>
      </c>
      <c r="AU244">
        <f>IF(COUNT($E$2:$E244)&lt;9,"",(MAX($C$236:$C$244)+MIN($D$236:$D$244))/2)</f>
        <v>0</v>
      </c>
      <c r="AV244">
        <f>IF(COUNT($E$2:$E244)&lt;26,"",(MAX($C$219:$C$244)+MIN($D$219:$D$244))/2)</f>
        <v>0</v>
      </c>
      <c r="AW244">
        <f>IF(OR(AU244="",AV244=""),"",(AU244+AV244)/2)</f>
        <v>0</v>
      </c>
      <c r="AX244">
        <f>IF(COUNT($E$2:$E244)&lt;52,"",(MAX($C$193:$C$244)+MIN($D$193:$D$244))/2)</f>
        <v>0</v>
      </c>
      <c r="AY244">
        <f>IF(COUNT($E$2:$E244)&lt;20,"",MAX($C$145:$C$244))</f>
        <v>0</v>
      </c>
      <c r="AZ244">
        <f>IF(COUNT($E$2:$E244)&lt;20,"",MIN($D$145:$D$244))</f>
        <v>0</v>
      </c>
      <c r="BA244">
        <f>IF(COUNT($E$2:$E244)&lt;20,"",SLOPE($E$145:$E$244,$F$145:$F$244))</f>
        <v>0</v>
      </c>
      <c r="BB244">
        <f>IF(COUNT($E$2:$E244)&lt;20,"",INTERCEPT($E$145:$E$244,$F$145:$F$244))</f>
        <v>0</v>
      </c>
      <c r="BC244">
        <f>IF(OR(BA244="",BB244=""),"",BB244+BA244*F244)</f>
        <v>0</v>
      </c>
      <c r="BD244">
        <f>IF(COUNT($E$2:$E244)&lt;20,"",STEYX($E$145:$E$244,$F$145:$F$244))</f>
        <v>0</v>
      </c>
      <c r="BE244">
        <f>IF($E244="","",IF(AND(COUNT($E$245:$E$248)&gt;=4,$C244=MAX($C$240:$C$248)),$C244,""))</f>
        <v>0</v>
      </c>
      <c r="BF244">
        <f>IF($E244="","",IF(AND(COUNT($E$245:$E$248)&gt;=4,$D244=MIN($D$240:$D$248)),$D244,""))</f>
        <v>0</v>
      </c>
      <c r="BG244">
        <f>IFERROR(SMALL(Calc_Daily!$BM$2:$BM$2001,243),"")</f>
        <v>0</v>
      </c>
    </row>
    <row r="245" spans="1:59">
      <c r="A245" s="27">
        <f>IF($BG245="","",INDEX(Calc_Daily!$A$2:$A$2001,$BG245))</f>
        <v>0</v>
      </c>
      <c r="B245">
        <f>IF($BG245="","",INDEX(Calc_Daily!$BJ$2:$BJ$2001,$BG245))</f>
        <v>0</v>
      </c>
      <c r="C245">
        <f>IF($BG245="","",INDEX(Calc_Daily!$BK$2:$BK$2001,$BG245))</f>
        <v>0</v>
      </c>
      <c r="D245">
        <f>IF($BG245="","",INDEX(Calc_Daily!$BL$2:$BL$2001,$BG245))</f>
        <v>0</v>
      </c>
      <c r="E245">
        <f>IF($BG245="","",INDEX(Calc_Daily!$E$2:$E$2001,$BG245))</f>
        <v>0</v>
      </c>
      <c r="F245">
        <f>IF($E245="","",N(F244)+1)</f>
        <v>0</v>
      </c>
      <c r="G245">
        <f>IF(OR($E245="",$E244=""),"",LN($E245/$E244))</f>
        <v>0</v>
      </c>
      <c r="H245">
        <f>IF($E245="","",IF($E244="",$E245,$E245*0.0952380952+H244*0.9047619048))</f>
        <v>0</v>
      </c>
      <c r="I245">
        <f>IF($E245="","",IF($E244="",$E245,$E245*0.0392156863+I244*0.9607843137))</f>
        <v>0</v>
      </c>
      <c r="J245">
        <f>IF($E245="","",IF($E244="",$E245,$E245*0.0198019802+J244*0.9801980198))</f>
        <v>0</v>
      </c>
      <c r="K245">
        <f>IF($E245="","",IF($E244="",$E245,$E245*0.0099502488+K244*0.9900497512))</f>
        <v>0</v>
      </c>
      <c r="L245">
        <f>IF(OR($E245="",$E244=""),"",MAX($E245-$E244,0))</f>
        <v>0</v>
      </c>
      <c r="M245">
        <f>IF(OR($E245="",$E244=""),"",MAX($E244-$E245,0))</f>
        <v>0</v>
      </c>
      <c r="N245">
        <f>IF(COUNT($E$2:$E245)&lt;15,"",IF(AVERAGE($M$232:$M$245)=0,100,100-100/(1+AVERAGE($L$232:$L$245)/AVERAGE($M$232:$M$245))))</f>
        <v>0</v>
      </c>
      <c r="O245">
        <f>IF($E245="","",IF($E244="",$E245,$E245*0.1538461538+O244*0.8461538462))</f>
        <v>0</v>
      </c>
      <c r="P245">
        <f>IF($E245="","",IF($E244="",$E245,$E245*0.0740740741+P244*0.9259259259))</f>
        <v>0</v>
      </c>
      <c r="Q245">
        <f>IF(OR(O245="",P245=""),"",O245-P245)</f>
        <v>0</v>
      </c>
      <c r="R245">
        <f>IF(Q245="","",IF(R244="",Q245,Q245*0.2000000000+R244*0.8000000000))</f>
        <v>0</v>
      </c>
      <c r="S245">
        <f>IF(OR(Q245="",R245=""),"",Q245-R245)</f>
        <v>0</v>
      </c>
      <c r="T245">
        <f>IF(COUNT($E$2:$E245)&lt;14,"",MAX($C$232:$C$245))</f>
        <v>0</v>
      </c>
      <c r="U245">
        <f>IF(COUNT($E$2:$E245)&lt;14,"",MIN($D$232:$D$245))</f>
        <v>0</v>
      </c>
      <c r="V245">
        <f>IF(OR(T245="",U245="",T245=U245),"",100*($E245-U245)/(T245-U245))</f>
        <v>0</v>
      </c>
      <c r="W245">
        <f>IF(COUNT($V$243:$V$245)&lt;3,"",AVERAGE($V$243:$V$245))</f>
        <v>0</v>
      </c>
      <c r="X245">
        <f>IF(COUNT($N$232:$N$245)&lt;14,"",MIN($N$232:$N$245))</f>
        <v>0</v>
      </c>
      <c r="Y245">
        <f>IF(COUNT($N$232:$N$245)&lt;14,"",MAX($N$232:$N$245))</f>
        <v>0</v>
      </c>
      <c r="Z245">
        <f>IF(OR(N245="",X245="",Y245="",Y245=X245),"",100*(N245-X245)/(Y245-X245))</f>
        <v>0</v>
      </c>
      <c r="AA245">
        <f>IF(COUNT($Z$243:$Z$245)&lt;3,"",AVERAGE($Z$243:$Z$245))</f>
        <v>0</v>
      </c>
      <c r="AB245">
        <f>IF(COUNT($AA$243:$AA$245)&lt;3,"",AVERAGE($AA$243:$AA$245))</f>
        <v>0</v>
      </c>
      <c r="AC245">
        <f>IF($E245="","",MAX($C245-$D245,ABS($C245-$E244),ABS($D245-$E244)))</f>
        <v>0</v>
      </c>
      <c r="AD245">
        <f>IF(COUNT($E$2:$E245)&lt;15,"",AVERAGE($AC$232:$AC$245))</f>
        <v>0</v>
      </c>
      <c r="AE245">
        <f>IF(OR($E245="",$E244=""),"",IF(AND(($C245-$C244)&gt;($D244-$D245),($C245-$C244)&gt;0),$C245-$C244,0))</f>
        <v>0</v>
      </c>
      <c r="AF245">
        <f>IF(OR($E245="",$E244=""),"",IF(AND(($D244-$D245)&gt;($C245-$C244),($D244-$D245)&gt;0),$D244-$D245,0))</f>
        <v>0</v>
      </c>
      <c r="AG245">
        <f>IF(COUNT($E$2:$E245)&lt;15,"",IF(SUM($AC$232:$AC$245)=0,0,100*SUM($AE$232:$AE$245)/SUM($AC$232:$AC$245)))</f>
        <v>0</v>
      </c>
      <c r="AH245">
        <f>IF(COUNT($E$2:$E245)&lt;15,"",IF(SUM($AC$232:$AC$245)=0,0,100*SUM($AF$232:$AF$245)/SUM($AC$232:$AC$245)))</f>
        <v>0</v>
      </c>
      <c r="AI245">
        <f>IF(OR(AG245="",AH245=""),"",IF((AG245+AH245)=0,0,100*ABS(AG245-AH245)/(AG245+AH245)))</f>
        <v>0</v>
      </c>
      <c r="AJ245">
        <f>IF(COUNT($AI$232:$AI$245)&lt;14,"",AVERAGE($AI$232:$AI$245))</f>
        <v>0</v>
      </c>
      <c r="AK245">
        <f>IF(COUNT($E$2:$E245)&lt;20,"",AVERAGE($E$226:$E$245))</f>
        <v>0</v>
      </c>
      <c r="AL245">
        <f>IF(COUNT($E$2:$E245)&lt;20,"",STDEVP($E$226:$E$245))</f>
        <v>0</v>
      </c>
      <c r="AM245">
        <f>IF(AK245="","",AK245+2*AL245)</f>
        <v>0</v>
      </c>
      <c r="AN245">
        <f>IF(AK245="","",AK245-2*AL245)</f>
        <v>0</v>
      </c>
      <c r="AO245">
        <f>IF(OR(AM245="",AN245="",AM245=AN245),"",($E245-AN245)/(AM245-AN245))</f>
        <v>0</v>
      </c>
      <c r="AP245">
        <f>IF(OR(AM245="",AK245="",AK245=0),"",(AM245-AN245)/AK245)</f>
        <v>0</v>
      </c>
      <c r="AQ245">
        <f>IF(COUNT($E$2:$E245)&lt;20,"",MAX($C$226:$C$245))</f>
        <v>0</v>
      </c>
      <c r="AR245">
        <f>IF(COUNT($E$2:$E245)&lt;20,"",MIN($D$226:$D$245))</f>
        <v>0</v>
      </c>
      <c r="AS245">
        <f>IF(OR(AQ245="",AR245=""),"",(AQ245+AR245)/2)</f>
        <v>0</v>
      </c>
      <c r="AT245">
        <f>IF(COUNT($G$226:$G$245)&lt;20,"",STDEV($G$226:$G$245)*SQRT(52))</f>
        <v>0</v>
      </c>
      <c r="AU245">
        <f>IF(COUNT($E$2:$E245)&lt;9,"",(MAX($C$237:$C$245)+MIN($D$237:$D$245))/2)</f>
        <v>0</v>
      </c>
      <c r="AV245">
        <f>IF(COUNT($E$2:$E245)&lt;26,"",(MAX($C$220:$C$245)+MIN($D$220:$D$245))/2)</f>
        <v>0</v>
      </c>
      <c r="AW245">
        <f>IF(OR(AU245="",AV245=""),"",(AU245+AV245)/2)</f>
        <v>0</v>
      </c>
      <c r="AX245">
        <f>IF(COUNT($E$2:$E245)&lt;52,"",(MAX($C$194:$C$245)+MIN($D$194:$D$245))/2)</f>
        <v>0</v>
      </c>
      <c r="AY245">
        <f>IF(COUNT($E$2:$E245)&lt;20,"",MAX($C$146:$C$245))</f>
        <v>0</v>
      </c>
      <c r="AZ245">
        <f>IF(COUNT($E$2:$E245)&lt;20,"",MIN($D$146:$D$245))</f>
        <v>0</v>
      </c>
      <c r="BA245">
        <f>IF(COUNT($E$2:$E245)&lt;20,"",SLOPE($E$146:$E$245,$F$146:$F$245))</f>
        <v>0</v>
      </c>
      <c r="BB245">
        <f>IF(COUNT($E$2:$E245)&lt;20,"",INTERCEPT($E$146:$E$245,$F$146:$F$245))</f>
        <v>0</v>
      </c>
      <c r="BC245">
        <f>IF(OR(BA245="",BB245=""),"",BB245+BA245*F245)</f>
        <v>0</v>
      </c>
      <c r="BD245">
        <f>IF(COUNT($E$2:$E245)&lt;20,"",STEYX($E$146:$E$245,$F$146:$F$245))</f>
        <v>0</v>
      </c>
      <c r="BE245">
        <f>IF($E245="","",IF(AND(COUNT($E$246:$E$249)&gt;=4,$C245=MAX($C$241:$C$249)),$C245,""))</f>
        <v>0</v>
      </c>
      <c r="BF245">
        <f>IF($E245="","",IF(AND(COUNT($E$246:$E$249)&gt;=4,$D245=MIN($D$241:$D$249)),$D245,""))</f>
        <v>0</v>
      </c>
      <c r="BG245">
        <f>IFERROR(SMALL(Calc_Daily!$BM$2:$BM$2001,244),"")</f>
        <v>0</v>
      </c>
    </row>
    <row r="246" spans="1:59">
      <c r="A246" s="27">
        <f>IF($BG246="","",INDEX(Calc_Daily!$A$2:$A$2001,$BG246))</f>
        <v>0</v>
      </c>
      <c r="B246">
        <f>IF($BG246="","",INDEX(Calc_Daily!$BJ$2:$BJ$2001,$BG246))</f>
        <v>0</v>
      </c>
      <c r="C246">
        <f>IF($BG246="","",INDEX(Calc_Daily!$BK$2:$BK$2001,$BG246))</f>
        <v>0</v>
      </c>
      <c r="D246">
        <f>IF($BG246="","",INDEX(Calc_Daily!$BL$2:$BL$2001,$BG246))</f>
        <v>0</v>
      </c>
      <c r="E246">
        <f>IF($BG246="","",INDEX(Calc_Daily!$E$2:$E$2001,$BG246))</f>
        <v>0</v>
      </c>
      <c r="F246">
        <f>IF($E246="","",N(F245)+1)</f>
        <v>0</v>
      </c>
      <c r="G246">
        <f>IF(OR($E246="",$E245=""),"",LN($E246/$E245))</f>
        <v>0</v>
      </c>
      <c r="H246">
        <f>IF($E246="","",IF($E245="",$E246,$E246*0.0952380952+H245*0.9047619048))</f>
        <v>0</v>
      </c>
      <c r="I246">
        <f>IF($E246="","",IF($E245="",$E246,$E246*0.0392156863+I245*0.9607843137))</f>
        <v>0</v>
      </c>
      <c r="J246">
        <f>IF($E246="","",IF($E245="",$E246,$E246*0.0198019802+J245*0.9801980198))</f>
        <v>0</v>
      </c>
      <c r="K246">
        <f>IF($E246="","",IF($E245="",$E246,$E246*0.0099502488+K245*0.9900497512))</f>
        <v>0</v>
      </c>
      <c r="L246">
        <f>IF(OR($E246="",$E245=""),"",MAX($E246-$E245,0))</f>
        <v>0</v>
      </c>
      <c r="M246">
        <f>IF(OR($E246="",$E245=""),"",MAX($E245-$E246,0))</f>
        <v>0</v>
      </c>
      <c r="N246">
        <f>IF(COUNT($E$2:$E246)&lt;15,"",IF(AVERAGE($M$233:$M$246)=0,100,100-100/(1+AVERAGE($L$233:$L$246)/AVERAGE($M$233:$M$246))))</f>
        <v>0</v>
      </c>
      <c r="O246">
        <f>IF($E246="","",IF($E245="",$E246,$E246*0.1538461538+O245*0.8461538462))</f>
        <v>0</v>
      </c>
      <c r="P246">
        <f>IF($E246="","",IF($E245="",$E246,$E246*0.0740740741+P245*0.9259259259))</f>
        <v>0</v>
      </c>
      <c r="Q246">
        <f>IF(OR(O246="",P246=""),"",O246-P246)</f>
        <v>0</v>
      </c>
      <c r="R246">
        <f>IF(Q246="","",IF(R245="",Q246,Q246*0.2000000000+R245*0.8000000000))</f>
        <v>0</v>
      </c>
      <c r="S246">
        <f>IF(OR(Q246="",R246=""),"",Q246-R246)</f>
        <v>0</v>
      </c>
      <c r="T246">
        <f>IF(COUNT($E$2:$E246)&lt;14,"",MAX($C$233:$C$246))</f>
        <v>0</v>
      </c>
      <c r="U246">
        <f>IF(COUNT($E$2:$E246)&lt;14,"",MIN($D$233:$D$246))</f>
        <v>0</v>
      </c>
      <c r="V246">
        <f>IF(OR(T246="",U246="",T246=U246),"",100*($E246-U246)/(T246-U246))</f>
        <v>0</v>
      </c>
      <c r="W246">
        <f>IF(COUNT($V$244:$V$246)&lt;3,"",AVERAGE($V$244:$V$246))</f>
        <v>0</v>
      </c>
      <c r="X246">
        <f>IF(COUNT($N$233:$N$246)&lt;14,"",MIN($N$233:$N$246))</f>
        <v>0</v>
      </c>
      <c r="Y246">
        <f>IF(COUNT($N$233:$N$246)&lt;14,"",MAX($N$233:$N$246))</f>
        <v>0</v>
      </c>
      <c r="Z246">
        <f>IF(OR(N246="",X246="",Y246="",Y246=X246),"",100*(N246-X246)/(Y246-X246))</f>
        <v>0</v>
      </c>
      <c r="AA246">
        <f>IF(COUNT($Z$244:$Z$246)&lt;3,"",AVERAGE($Z$244:$Z$246))</f>
        <v>0</v>
      </c>
      <c r="AB246">
        <f>IF(COUNT($AA$244:$AA$246)&lt;3,"",AVERAGE($AA$244:$AA$246))</f>
        <v>0</v>
      </c>
      <c r="AC246">
        <f>IF($E246="","",MAX($C246-$D246,ABS($C246-$E245),ABS($D246-$E245)))</f>
        <v>0</v>
      </c>
      <c r="AD246">
        <f>IF(COUNT($E$2:$E246)&lt;15,"",AVERAGE($AC$233:$AC$246))</f>
        <v>0</v>
      </c>
      <c r="AE246">
        <f>IF(OR($E246="",$E245=""),"",IF(AND(($C246-$C245)&gt;($D245-$D246),($C246-$C245)&gt;0),$C246-$C245,0))</f>
        <v>0</v>
      </c>
      <c r="AF246">
        <f>IF(OR($E246="",$E245=""),"",IF(AND(($D245-$D246)&gt;($C246-$C245),($D245-$D246)&gt;0),$D245-$D246,0))</f>
        <v>0</v>
      </c>
      <c r="AG246">
        <f>IF(COUNT($E$2:$E246)&lt;15,"",IF(SUM($AC$233:$AC$246)=0,0,100*SUM($AE$233:$AE$246)/SUM($AC$233:$AC$246)))</f>
        <v>0</v>
      </c>
      <c r="AH246">
        <f>IF(COUNT($E$2:$E246)&lt;15,"",IF(SUM($AC$233:$AC$246)=0,0,100*SUM($AF$233:$AF$246)/SUM($AC$233:$AC$246)))</f>
        <v>0</v>
      </c>
      <c r="AI246">
        <f>IF(OR(AG246="",AH246=""),"",IF((AG246+AH246)=0,0,100*ABS(AG246-AH246)/(AG246+AH246)))</f>
        <v>0</v>
      </c>
      <c r="AJ246">
        <f>IF(COUNT($AI$233:$AI$246)&lt;14,"",AVERAGE($AI$233:$AI$246))</f>
        <v>0</v>
      </c>
      <c r="AK246">
        <f>IF(COUNT($E$2:$E246)&lt;20,"",AVERAGE($E$227:$E$246))</f>
        <v>0</v>
      </c>
      <c r="AL246">
        <f>IF(COUNT($E$2:$E246)&lt;20,"",STDEVP($E$227:$E$246))</f>
        <v>0</v>
      </c>
      <c r="AM246">
        <f>IF(AK246="","",AK246+2*AL246)</f>
        <v>0</v>
      </c>
      <c r="AN246">
        <f>IF(AK246="","",AK246-2*AL246)</f>
        <v>0</v>
      </c>
      <c r="AO246">
        <f>IF(OR(AM246="",AN246="",AM246=AN246),"",($E246-AN246)/(AM246-AN246))</f>
        <v>0</v>
      </c>
      <c r="AP246">
        <f>IF(OR(AM246="",AK246="",AK246=0),"",(AM246-AN246)/AK246)</f>
        <v>0</v>
      </c>
      <c r="AQ246">
        <f>IF(COUNT($E$2:$E246)&lt;20,"",MAX($C$227:$C$246))</f>
        <v>0</v>
      </c>
      <c r="AR246">
        <f>IF(COUNT($E$2:$E246)&lt;20,"",MIN($D$227:$D$246))</f>
        <v>0</v>
      </c>
      <c r="AS246">
        <f>IF(OR(AQ246="",AR246=""),"",(AQ246+AR246)/2)</f>
        <v>0</v>
      </c>
      <c r="AT246">
        <f>IF(COUNT($G$227:$G$246)&lt;20,"",STDEV($G$227:$G$246)*SQRT(52))</f>
        <v>0</v>
      </c>
      <c r="AU246">
        <f>IF(COUNT($E$2:$E246)&lt;9,"",(MAX($C$238:$C$246)+MIN($D$238:$D$246))/2)</f>
        <v>0</v>
      </c>
      <c r="AV246">
        <f>IF(COUNT($E$2:$E246)&lt;26,"",(MAX($C$221:$C$246)+MIN($D$221:$D$246))/2)</f>
        <v>0</v>
      </c>
      <c r="AW246">
        <f>IF(OR(AU246="",AV246=""),"",(AU246+AV246)/2)</f>
        <v>0</v>
      </c>
      <c r="AX246">
        <f>IF(COUNT($E$2:$E246)&lt;52,"",(MAX($C$195:$C$246)+MIN($D$195:$D$246))/2)</f>
        <v>0</v>
      </c>
      <c r="AY246">
        <f>IF(COUNT($E$2:$E246)&lt;20,"",MAX($C$147:$C$246))</f>
        <v>0</v>
      </c>
      <c r="AZ246">
        <f>IF(COUNT($E$2:$E246)&lt;20,"",MIN($D$147:$D$246))</f>
        <v>0</v>
      </c>
      <c r="BA246">
        <f>IF(COUNT($E$2:$E246)&lt;20,"",SLOPE($E$147:$E$246,$F$147:$F$246))</f>
        <v>0</v>
      </c>
      <c r="BB246">
        <f>IF(COUNT($E$2:$E246)&lt;20,"",INTERCEPT($E$147:$E$246,$F$147:$F$246))</f>
        <v>0</v>
      </c>
      <c r="BC246">
        <f>IF(OR(BA246="",BB246=""),"",BB246+BA246*F246)</f>
        <v>0</v>
      </c>
      <c r="BD246">
        <f>IF(COUNT($E$2:$E246)&lt;20,"",STEYX($E$147:$E$246,$F$147:$F$246))</f>
        <v>0</v>
      </c>
      <c r="BE246">
        <f>IF($E246="","",IF(AND(COUNT($E$247:$E$250)&gt;=4,$C246=MAX($C$242:$C$250)),$C246,""))</f>
        <v>0</v>
      </c>
      <c r="BF246">
        <f>IF($E246="","",IF(AND(COUNT($E$247:$E$250)&gt;=4,$D246=MIN($D$242:$D$250)),$D246,""))</f>
        <v>0</v>
      </c>
      <c r="BG246">
        <f>IFERROR(SMALL(Calc_Daily!$BM$2:$BM$2001,245),"")</f>
        <v>0</v>
      </c>
    </row>
    <row r="247" spans="1:59">
      <c r="A247" s="27">
        <f>IF($BG247="","",INDEX(Calc_Daily!$A$2:$A$2001,$BG247))</f>
        <v>0</v>
      </c>
      <c r="B247">
        <f>IF($BG247="","",INDEX(Calc_Daily!$BJ$2:$BJ$2001,$BG247))</f>
        <v>0</v>
      </c>
      <c r="C247">
        <f>IF($BG247="","",INDEX(Calc_Daily!$BK$2:$BK$2001,$BG247))</f>
        <v>0</v>
      </c>
      <c r="D247">
        <f>IF($BG247="","",INDEX(Calc_Daily!$BL$2:$BL$2001,$BG247))</f>
        <v>0</v>
      </c>
      <c r="E247">
        <f>IF($BG247="","",INDEX(Calc_Daily!$E$2:$E$2001,$BG247))</f>
        <v>0</v>
      </c>
      <c r="F247">
        <f>IF($E247="","",N(F246)+1)</f>
        <v>0</v>
      </c>
      <c r="G247">
        <f>IF(OR($E247="",$E246=""),"",LN($E247/$E246))</f>
        <v>0</v>
      </c>
      <c r="H247">
        <f>IF($E247="","",IF($E246="",$E247,$E247*0.0952380952+H246*0.9047619048))</f>
        <v>0</v>
      </c>
      <c r="I247">
        <f>IF($E247="","",IF($E246="",$E247,$E247*0.0392156863+I246*0.9607843137))</f>
        <v>0</v>
      </c>
      <c r="J247">
        <f>IF($E247="","",IF($E246="",$E247,$E247*0.0198019802+J246*0.9801980198))</f>
        <v>0</v>
      </c>
      <c r="K247">
        <f>IF($E247="","",IF($E246="",$E247,$E247*0.0099502488+K246*0.9900497512))</f>
        <v>0</v>
      </c>
      <c r="L247">
        <f>IF(OR($E247="",$E246=""),"",MAX($E247-$E246,0))</f>
        <v>0</v>
      </c>
      <c r="M247">
        <f>IF(OR($E247="",$E246=""),"",MAX($E246-$E247,0))</f>
        <v>0</v>
      </c>
      <c r="N247">
        <f>IF(COUNT($E$2:$E247)&lt;15,"",IF(AVERAGE($M$234:$M$247)=0,100,100-100/(1+AVERAGE($L$234:$L$247)/AVERAGE($M$234:$M$247))))</f>
        <v>0</v>
      </c>
      <c r="O247">
        <f>IF($E247="","",IF($E246="",$E247,$E247*0.1538461538+O246*0.8461538462))</f>
        <v>0</v>
      </c>
      <c r="P247">
        <f>IF($E247="","",IF($E246="",$E247,$E247*0.0740740741+P246*0.9259259259))</f>
        <v>0</v>
      </c>
      <c r="Q247">
        <f>IF(OR(O247="",P247=""),"",O247-P247)</f>
        <v>0</v>
      </c>
      <c r="R247">
        <f>IF(Q247="","",IF(R246="",Q247,Q247*0.2000000000+R246*0.8000000000))</f>
        <v>0</v>
      </c>
      <c r="S247">
        <f>IF(OR(Q247="",R247=""),"",Q247-R247)</f>
        <v>0</v>
      </c>
      <c r="T247">
        <f>IF(COUNT($E$2:$E247)&lt;14,"",MAX($C$234:$C$247))</f>
        <v>0</v>
      </c>
      <c r="U247">
        <f>IF(COUNT($E$2:$E247)&lt;14,"",MIN($D$234:$D$247))</f>
        <v>0</v>
      </c>
      <c r="V247">
        <f>IF(OR(T247="",U247="",T247=U247),"",100*($E247-U247)/(T247-U247))</f>
        <v>0</v>
      </c>
      <c r="W247">
        <f>IF(COUNT($V$245:$V$247)&lt;3,"",AVERAGE($V$245:$V$247))</f>
        <v>0</v>
      </c>
      <c r="X247">
        <f>IF(COUNT($N$234:$N$247)&lt;14,"",MIN($N$234:$N$247))</f>
        <v>0</v>
      </c>
      <c r="Y247">
        <f>IF(COUNT($N$234:$N$247)&lt;14,"",MAX($N$234:$N$247))</f>
        <v>0</v>
      </c>
      <c r="Z247">
        <f>IF(OR(N247="",X247="",Y247="",Y247=X247),"",100*(N247-X247)/(Y247-X247))</f>
        <v>0</v>
      </c>
      <c r="AA247">
        <f>IF(COUNT($Z$245:$Z$247)&lt;3,"",AVERAGE($Z$245:$Z$247))</f>
        <v>0</v>
      </c>
      <c r="AB247">
        <f>IF(COUNT($AA$245:$AA$247)&lt;3,"",AVERAGE($AA$245:$AA$247))</f>
        <v>0</v>
      </c>
      <c r="AC247">
        <f>IF($E247="","",MAX($C247-$D247,ABS($C247-$E246),ABS($D247-$E246)))</f>
        <v>0</v>
      </c>
      <c r="AD247">
        <f>IF(COUNT($E$2:$E247)&lt;15,"",AVERAGE($AC$234:$AC$247))</f>
        <v>0</v>
      </c>
      <c r="AE247">
        <f>IF(OR($E247="",$E246=""),"",IF(AND(($C247-$C246)&gt;($D246-$D247),($C247-$C246)&gt;0),$C247-$C246,0))</f>
        <v>0</v>
      </c>
      <c r="AF247">
        <f>IF(OR($E247="",$E246=""),"",IF(AND(($D246-$D247)&gt;($C247-$C246),($D246-$D247)&gt;0),$D246-$D247,0))</f>
        <v>0</v>
      </c>
      <c r="AG247">
        <f>IF(COUNT($E$2:$E247)&lt;15,"",IF(SUM($AC$234:$AC$247)=0,0,100*SUM($AE$234:$AE$247)/SUM($AC$234:$AC$247)))</f>
        <v>0</v>
      </c>
      <c r="AH247">
        <f>IF(COUNT($E$2:$E247)&lt;15,"",IF(SUM($AC$234:$AC$247)=0,0,100*SUM($AF$234:$AF$247)/SUM($AC$234:$AC$247)))</f>
        <v>0</v>
      </c>
      <c r="AI247">
        <f>IF(OR(AG247="",AH247=""),"",IF((AG247+AH247)=0,0,100*ABS(AG247-AH247)/(AG247+AH247)))</f>
        <v>0</v>
      </c>
      <c r="AJ247">
        <f>IF(COUNT($AI$234:$AI$247)&lt;14,"",AVERAGE($AI$234:$AI$247))</f>
        <v>0</v>
      </c>
      <c r="AK247">
        <f>IF(COUNT($E$2:$E247)&lt;20,"",AVERAGE($E$228:$E$247))</f>
        <v>0</v>
      </c>
      <c r="AL247">
        <f>IF(COUNT($E$2:$E247)&lt;20,"",STDEVP($E$228:$E$247))</f>
        <v>0</v>
      </c>
      <c r="AM247">
        <f>IF(AK247="","",AK247+2*AL247)</f>
        <v>0</v>
      </c>
      <c r="AN247">
        <f>IF(AK247="","",AK247-2*AL247)</f>
        <v>0</v>
      </c>
      <c r="AO247">
        <f>IF(OR(AM247="",AN247="",AM247=AN247),"",($E247-AN247)/(AM247-AN247))</f>
        <v>0</v>
      </c>
      <c r="AP247">
        <f>IF(OR(AM247="",AK247="",AK247=0),"",(AM247-AN247)/AK247)</f>
        <v>0</v>
      </c>
      <c r="AQ247">
        <f>IF(COUNT($E$2:$E247)&lt;20,"",MAX($C$228:$C$247))</f>
        <v>0</v>
      </c>
      <c r="AR247">
        <f>IF(COUNT($E$2:$E247)&lt;20,"",MIN($D$228:$D$247))</f>
        <v>0</v>
      </c>
      <c r="AS247">
        <f>IF(OR(AQ247="",AR247=""),"",(AQ247+AR247)/2)</f>
        <v>0</v>
      </c>
      <c r="AT247">
        <f>IF(COUNT($G$228:$G$247)&lt;20,"",STDEV($G$228:$G$247)*SQRT(52))</f>
        <v>0</v>
      </c>
      <c r="AU247">
        <f>IF(COUNT($E$2:$E247)&lt;9,"",(MAX($C$239:$C$247)+MIN($D$239:$D$247))/2)</f>
        <v>0</v>
      </c>
      <c r="AV247">
        <f>IF(COUNT($E$2:$E247)&lt;26,"",(MAX($C$222:$C$247)+MIN($D$222:$D$247))/2)</f>
        <v>0</v>
      </c>
      <c r="AW247">
        <f>IF(OR(AU247="",AV247=""),"",(AU247+AV247)/2)</f>
        <v>0</v>
      </c>
      <c r="AX247">
        <f>IF(COUNT($E$2:$E247)&lt;52,"",(MAX($C$196:$C$247)+MIN($D$196:$D$247))/2)</f>
        <v>0</v>
      </c>
      <c r="AY247">
        <f>IF(COUNT($E$2:$E247)&lt;20,"",MAX($C$148:$C$247))</f>
        <v>0</v>
      </c>
      <c r="AZ247">
        <f>IF(COUNT($E$2:$E247)&lt;20,"",MIN($D$148:$D$247))</f>
        <v>0</v>
      </c>
      <c r="BA247">
        <f>IF(COUNT($E$2:$E247)&lt;20,"",SLOPE($E$148:$E$247,$F$148:$F$247))</f>
        <v>0</v>
      </c>
      <c r="BB247">
        <f>IF(COUNT($E$2:$E247)&lt;20,"",INTERCEPT($E$148:$E$247,$F$148:$F$247))</f>
        <v>0</v>
      </c>
      <c r="BC247">
        <f>IF(OR(BA247="",BB247=""),"",BB247+BA247*F247)</f>
        <v>0</v>
      </c>
      <c r="BD247">
        <f>IF(COUNT($E$2:$E247)&lt;20,"",STEYX($E$148:$E$247,$F$148:$F$247))</f>
        <v>0</v>
      </c>
      <c r="BE247">
        <f>IF($E247="","",IF(AND(COUNT($E$248:$E$251)&gt;=4,$C247=MAX($C$243:$C$251)),$C247,""))</f>
        <v>0</v>
      </c>
      <c r="BF247">
        <f>IF($E247="","",IF(AND(COUNT($E$248:$E$251)&gt;=4,$D247=MIN($D$243:$D$251)),$D247,""))</f>
        <v>0</v>
      </c>
      <c r="BG247">
        <f>IFERROR(SMALL(Calc_Daily!$BM$2:$BM$2001,246),"")</f>
        <v>0</v>
      </c>
    </row>
    <row r="248" spans="1:59">
      <c r="A248" s="27">
        <f>IF($BG248="","",INDEX(Calc_Daily!$A$2:$A$2001,$BG248))</f>
        <v>0</v>
      </c>
      <c r="B248">
        <f>IF($BG248="","",INDEX(Calc_Daily!$BJ$2:$BJ$2001,$BG248))</f>
        <v>0</v>
      </c>
      <c r="C248">
        <f>IF($BG248="","",INDEX(Calc_Daily!$BK$2:$BK$2001,$BG248))</f>
        <v>0</v>
      </c>
      <c r="D248">
        <f>IF($BG248="","",INDEX(Calc_Daily!$BL$2:$BL$2001,$BG248))</f>
        <v>0</v>
      </c>
      <c r="E248">
        <f>IF($BG248="","",INDEX(Calc_Daily!$E$2:$E$2001,$BG248))</f>
        <v>0</v>
      </c>
      <c r="F248">
        <f>IF($E248="","",N(F247)+1)</f>
        <v>0</v>
      </c>
      <c r="G248">
        <f>IF(OR($E248="",$E247=""),"",LN($E248/$E247))</f>
        <v>0</v>
      </c>
      <c r="H248">
        <f>IF($E248="","",IF($E247="",$E248,$E248*0.0952380952+H247*0.9047619048))</f>
        <v>0</v>
      </c>
      <c r="I248">
        <f>IF($E248="","",IF($E247="",$E248,$E248*0.0392156863+I247*0.9607843137))</f>
        <v>0</v>
      </c>
      <c r="J248">
        <f>IF($E248="","",IF($E247="",$E248,$E248*0.0198019802+J247*0.9801980198))</f>
        <v>0</v>
      </c>
      <c r="K248">
        <f>IF($E248="","",IF($E247="",$E248,$E248*0.0099502488+K247*0.9900497512))</f>
        <v>0</v>
      </c>
      <c r="L248">
        <f>IF(OR($E248="",$E247=""),"",MAX($E248-$E247,0))</f>
        <v>0</v>
      </c>
      <c r="M248">
        <f>IF(OR($E248="",$E247=""),"",MAX($E247-$E248,0))</f>
        <v>0</v>
      </c>
      <c r="N248">
        <f>IF(COUNT($E$2:$E248)&lt;15,"",IF(AVERAGE($M$235:$M$248)=0,100,100-100/(1+AVERAGE($L$235:$L$248)/AVERAGE($M$235:$M$248))))</f>
        <v>0</v>
      </c>
      <c r="O248">
        <f>IF($E248="","",IF($E247="",$E248,$E248*0.1538461538+O247*0.8461538462))</f>
        <v>0</v>
      </c>
      <c r="P248">
        <f>IF($E248="","",IF($E247="",$E248,$E248*0.0740740741+P247*0.9259259259))</f>
        <v>0</v>
      </c>
      <c r="Q248">
        <f>IF(OR(O248="",P248=""),"",O248-P248)</f>
        <v>0</v>
      </c>
      <c r="R248">
        <f>IF(Q248="","",IF(R247="",Q248,Q248*0.2000000000+R247*0.8000000000))</f>
        <v>0</v>
      </c>
      <c r="S248">
        <f>IF(OR(Q248="",R248=""),"",Q248-R248)</f>
        <v>0</v>
      </c>
      <c r="T248">
        <f>IF(COUNT($E$2:$E248)&lt;14,"",MAX($C$235:$C$248))</f>
        <v>0</v>
      </c>
      <c r="U248">
        <f>IF(COUNT($E$2:$E248)&lt;14,"",MIN($D$235:$D$248))</f>
        <v>0</v>
      </c>
      <c r="V248">
        <f>IF(OR(T248="",U248="",T248=U248),"",100*($E248-U248)/(T248-U248))</f>
        <v>0</v>
      </c>
      <c r="W248">
        <f>IF(COUNT($V$246:$V$248)&lt;3,"",AVERAGE($V$246:$V$248))</f>
        <v>0</v>
      </c>
      <c r="X248">
        <f>IF(COUNT($N$235:$N$248)&lt;14,"",MIN($N$235:$N$248))</f>
        <v>0</v>
      </c>
      <c r="Y248">
        <f>IF(COUNT($N$235:$N$248)&lt;14,"",MAX($N$235:$N$248))</f>
        <v>0</v>
      </c>
      <c r="Z248">
        <f>IF(OR(N248="",X248="",Y248="",Y248=X248),"",100*(N248-X248)/(Y248-X248))</f>
        <v>0</v>
      </c>
      <c r="AA248">
        <f>IF(COUNT($Z$246:$Z$248)&lt;3,"",AVERAGE($Z$246:$Z$248))</f>
        <v>0</v>
      </c>
      <c r="AB248">
        <f>IF(COUNT($AA$246:$AA$248)&lt;3,"",AVERAGE($AA$246:$AA$248))</f>
        <v>0</v>
      </c>
      <c r="AC248">
        <f>IF($E248="","",MAX($C248-$D248,ABS($C248-$E247),ABS($D248-$E247)))</f>
        <v>0</v>
      </c>
      <c r="AD248">
        <f>IF(COUNT($E$2:$E248)&lt;15,"",AVERAGE($AC$235:$AC$248))</f>
        <v>0</v>
      </c>
      <c r="AE248">
        <f>IF(OR($E248="",$E247=""),"",IF(AND(($C248-$C247)&gt;($D247-$D248),($C248-$C247)&gt;0),$C248-$C247,0))</f>
        <v>0</v>
      </c>
      <c r="AF248">
        <f>IF(OR($E248="",$E247=""),"",IF(AND(($D247-$D248)&gt;($C248-$C247),($D247-$D248)&gt;0),$D247-$D248,0))</f>
        <v>0</v>
      </c>
      <c r="AG248">
        <f>IF(COUNT($E$2:$E248)&lt;15,"",IF(SUM($AC$235:$AC$248)=0,0,100*SUM($AE$235:$AE$248)/SUM($AC$235:$AC$248)))</f>
        <v>0</v>
      </c>
      <c r="AH248">
        <f>IF(COUNT($E$2:$E248)&lt;15,"",IF(SUM($AC$235:$AC$248)=0,0,100*SUM($AF$235:$AF$248)/SUM($AC$235:$AC$248)))</f>
        <v>0</v>
      </c>
      <c r="AI248">
        <f>IF(OR(AG248="",AH248=""),"",IF((AG248+AH248)=0,0,100*ABS(AG248-AH248)/(AG248+AH248)))</f>
        <v>0</v>
      </c>
      <c r="AJ248">
        <f>IF(COUNT($AI$235:$AI$248)&lt;14,"",AVERAGE($AI$235:$AI$248))</f>
        <v>0</v>
      </c>
      <c r="AK248">
        <f>IF(COUNT($E$2:$E248)&lt;20,"",AVERAGE($E$229:$E$248))</f>
        <v>0</v>
      </c>
      <c r="AL248">
        <f>IF(COUNT($E$2:$E248)&lt;20,"",STDEVP($E$229:$E$248))</f>
        <v>0</v>
      </c>
      <c r="AM248">
        <f>IF(AK248="","",AK248+2*AL248)</f>
        <v>0</v>
      </c>
      <c r="AN248">
        <f>IF(AK248="","",AK248-2*AL248)</f>
        <v>0</v>
      </c>
      <c r="AO248">
        <f>IF(OR(AM248="",AN248="",AM248=AN248),"",($E248-AN248)/(AM248-AN248))</f>
        <v>0</v>
      </c>
      <c r="AP248">
        <f>IF(OR(AM248="",AK248="",AK248=0),"",(AM248-AN248)/AK248)</f>
        <v>0</v>
      </c>
      <c r="AQ248">
        <f>IF(COUNT($E$2:$E248)&lt;20,"",MAX($C$229:$C$248))</f>
        <v>0</v>
      </c>
      <c r="AR248">
        <f>IF(COUNT($E$2:$E248)&lt;20,"",MIN($D$229:$D$248))</f>
        <v>0</v>
      </c>
      <c r="AS248">
        <f>IF(OR(AQ248="",AR248=""),"",(AQ248+AR248)/2)</f>
        <v>0</v>
      </c>
      <c r="AT248">
        <f>IF(COUNT($G$229:$G$248)&lt;20,"",STDEV($G$229:$G$248)*SQRT(52))</f>
        <v>0</v>
      </c>
      <c r="AU248">
        <f>IF(COUNT($E$2:$E248)&lt;9,"",(MAX($C$240:$C$248)+MIN($D$240:$D$248))/2)</f>
        <v>0</v>
      </c>
      <c r="AV248">
        <f>IF(COUNT($E$2:$E248)&lt;26,"",(MAX($C$223:$C$248)+MIN($D$223:$D$248))/2)</f>
        <v>0</v>
      </c>
      <c r="AW248">
        <f>IF(OR(AU248="",AV248=""),"",(AU248+AV248)/2)</f>
        <v>0</v>
      </c>
      <c r="AX248">
        <f>IF(COUNT($E$2:$E248)&lt;52,"",(MAX($C$197:$C$248)+MIN($D$197:$D$248))/2)</f>
        <v>0</v>
      </c>
      <c r="AY248">
        <f>IF(COUNT($E$2:$E248)&lt;20,"",MAX($C$149:$C$248))</f>
        <v>0</v>
      </c>
      <c r="AZ248">
        <f>IF(COUNT($E$2:$E248)&lt;20,"",MIN($D$149:$D$248))</f>
        <v>0</v>
      </c>
      <c r="BA248">
        <f>IF(COUNT($E$2:$E248)&lt;20,"",SLOPE($E$149:$E$248,$F$149:$F$248))</f>
        <v>0</v>
      </c>
      <c r="BB248">
        <f>IF(COUNT($E$2:$E248)&lt;20,"",INTERCEPT($E$149:$E$248,$F$149:$F$248))</f>
        <v>0</v>
      </c>
      <c r="BC248">
        <f>IF(OR(BA248="",BB248=""),"",BB248+BA248*F248)</f>
        <v>0</v>
      </c>
      <c r="BD248">
        <f>IF(COUNT($E$2:$E248)&lt;20,"",STEYX($E$149:$E$248,$F$149:$F$248))</f>
        <v>0</v>
      </c>
      <c r="BE248">
        <f>IF($E248="","",IF(AND(COUNT($E$249:$E$252)&gt;=4,$C248=MAX($C$244:$C$252)),$C248,""))</f>
        <v>0</v>
      </c>
      <c r="BF248">
        <f>IF($E248="","",IF(AND(COUNT($E$249:$E$252)&gt;=4,$D248=MIN($D$244:$D$252)),$D248,""))</f>
        <v>0</v>
      </c>
      <c r="BG248">
        <f>IFERROR(SMALL(Calc_Daily!$BM$2:$BM$2001,247),"")</f>
        <v>0</v>
      </c>
    </row>
    <row r="249" spans="1:59">
      <c r="A249" s="27">
        <f>IF($BG249="","",INDEX(Calc_Daily!$A$2:$A$2001,$BG249))</f>
        <v>0</v>
      </c>
      <c r="B249">
        <f>IF($BG249="","",INDEX(Calc_Daily!$BJ$2:$BJ$2001,$BG249))</f>
        <v>0</v>
      </c>
      <c r="C249">
        <f>IF($BG249="","",INDEX(Calc_Daily!$BK$2:$BK$2001,$BG249))</f>
        <v>0</v>
      </c>
      <c r="D249">
        <f>IF($BG249="","",INDEX(Calc_Daily!$BL$2:$BL$2001,$BG249))</f>
        <v>0</v>
      </c>
      <c r="E249">
        <f>IF($BG249="","",INDEX(Calc_Daily!$E$2:$E$2001,$BG249))</f>
        <v>0</v>
      </c>
      <c r="F249">
        <f>IF($E249="","",N(F248)+1)</f>
        <v>0</v>
      </c>
      <c r="G249">
        <f>IF(OR($E249="",$E248=""),"",LN($E249/$E248))</f>
        <v>0</v>
      </c>
      <c r="H249">
        <f>IF($E249="","",IF($E248="",$E249,$E249*0.0952380952+H248*0.9047619048))</f>
        <v>0</v>
      </c>
      <c r="I249">
        <f>IF($E249="","",IF($E248="",$E249,$E249*0.0392156863+I248*0.9607843137))</f>
        <v>0</v>
      </c>
      <c r="J249">
        <f>IF($E249="","",IF($E248="",$E249,$E249*0.0198019802+J248*0.9801980198))</f>
        <v>0</v>
      </c>
      <c r="K249">
        <f>IF($E249="","",IF($E248="",$E249,$E249*0.0099502488+K248*0.9900497512))</f>
        <v>0</v>
      </c>
      <c r="L249">
        <f>IF(OR($E249="",$E248=""),"",MAX($E249-$E248,0))</f>
        <v>0</v>
      </c>
      <c r="M249">
        <f>IF(OR($E249="",$E248=""),"",MAX($E248-$E249,0))</f>
        <v>0</v>
      </c>
      <c r="N249">
        <f>IF(COUNT($E$2:$E249)&lt;15,"",IF(AVERAGE($M$236:$M$249)=0,100,100-100/(1+AVERAGE($L$236:$L$249)/AVERAGE($M$236:$M$249))))</f>
        <v>0</v>
      </c>
      <c r="O249">
        <f>IF($E249="","",IF($E248="",$E249,$E249*0.1538461538+O248*0.8461538462))</f>
        <v>0</v>
      </c>
      <c r="P249">
        <f>IF($E249="","",IF($E248="",$E249,$E249*0.0740740741+P248*0.9259259259))</f>
        <v>0</v>
      </c>
      <c r="Q249">
        <f>IF(OR(O249="",P249=""),"",O249-P249)</f>
        <v>0</v>
      </c>
      <c r="R249">
        <f>IF(Q249="","",IF(R248="",Q249,Q249*0.2000000000+R248*0.8000000000))</f>
        <v>0</v>
      </c>
      <c r="S249">
        <f>IF(OR(Q249="",R249=""),"",Q249-R249)</f>
        <v>0</v>
      </c>
      <c r="T249">
        <f>IF(COUNT($E$2:$E249)&lt;14,"",MAX($C$236:$C$249))</f>
        <v>0</v>
      </c>
      <c r="U249">
        <f>IF(COUNT($E$2:$E249)&lt;14,"",MIN($D$236:$D$249))</f>
        <v>0</v>
      </c>
      <c r="V249">
        <f>IF(OR(T249="",U249="",T249=U249),"",100*($E249-U249)/(T249-U249))</f>
        <v>0</v>
      </c>
      <c r="W249">
        <f>IF(COUNT($V$247:$V$249)&lt;3,"",AVERAGE($V$247:$V$249))</f>
        <v>0</v>
      </c>
      <c r="X249">
        <f>IF(COUNT($N$236:$N$249)&lt;14,"",MIN($N$236:$N$249))</f>
        <v>0</v>
      </c>
      <c r="Y249">
        <f>IF(COUNT($N$236:$N$249)&lt;14,"",MAX($N$236:$N$249))</f>
        <v>0</v>
      </c>
      <c r="Z249">
        <f>IF(OR(N249="",X249="",Y249="",Y249=X249),"",100*(N249-X249)/(Y249-X249))</f>
        <v>0</v>
      </c>
      <c r="AA249">
        <f>IF(COUNT($Z$247:$Z$249)&lt;3,"",AVERAGE($Z$247:$Z$249))</f>
        <v>0</v>
      </c>
      <c r="AB249">
        <f>IF(COUNT($AA$247:$AA$249)&lt;3,"",AVERAGE($AA$247:$AA$249))</f>
        <v>0</v>
      </c>
      <c r="AC249">
        <f>IF($E249="","",MAX($C249-$D249,ABS($C249-$E248),ABS($D249-$E248)))</f>
        <v>0</v>
      </c>
      <c r="AD249">
        <f>IF(COUNT($E$2:$E249)&lt;15,"",AVERAGE($AC$236:$AC$249))</f>
        <v>0</v>
      </c>
      <c r="AE249">
        <f>IF(OR($E249="",$E248=""),"",IF(AND(($C249-$C248)&gt;($D248-$D249),($C249-$C248)&gt;0),$C249-$C248,0))</f>
        <v>0</v>
      </c>
      <c r="AF249">
        <f>IF(OR($E249="",$E248=""),"",IF(AND(($D248-$D249)&gt;($C249-$C248),($D248-$D249)&gt;0),$D248-$D249,0))</f>
        <v>0</v>
      </c>
      <c r="AG249">
        <f>IF(COUNT($E$2:$E249)&lt;15,"",IF(SUM($AC$236:$AC$249)=0,0,100*SUM($AE$236:$AE$249)/SUM($AC$236:$AC$249)))</f>
        <v>0</v>
      </c>
      <c r="AH249">
        <f>IF(COUNT($E$2:$E249)&lt;15,"",IF(SUM($AC$236:$AC$249)=0,0,100*SUM($AF$236:$AF$249)/SUM($AC$236:$AC$249)))</f>
        <v>0</v>
      </c>
      <c r="AI249">
        <f>IF(OR(AG249="",AH249=""),"",IF((AG249+AH249)=0,0,100*ABS(AG249-AH249)/(AG249+AH249)))</f>
        <v>0</v>
      </c>
      <c r="AJ249">
        <f>IF(COUNT($AI$236:$AI$249)&lt;14,"",AVERAGE($AI$236:$AI$249))</f>
        <v>0</v>
      </c>
      <c r="AK249">
        <f>IF(COUNT($E$2:$E249)&lt;20,"",AVERAGE($E$230:$E$249))</f>
        <v>0</v>
      </c>
      <c r="AL249">
        <f>IF(COUNT($E$2:$E249)&lt;20,"",STDEVP($E$230:$E$249))</f>
        <v>0</v>
      </c>
      <c r="AM249">
        <f>IF(AK249="","",AK249+2*AL249)</f>
        <v>0</v>
      </c>
      <c r="AN249">
        <f>IF(AK249="","",AK249-2*AL249)</f>
        <v>0</v>
      </c>
      <c r="AO249">
        <f>IF(OR(AM249="",AN249="",AM249=AN249),"",($E249-AN249)/(AM249-AN249))</f>
        <v>0</v>
      </c>
      <c r="AP249">
        <f>IF(OR(AM249="",AK249="",AK249=0),"",(AM249-AN249)/AK249)</f>
        <v>0</v>
      </c>
      <c r="AQ249">
        <f>IF(COUNT($E$2:$E249)&lt;20,"",MAX($C$230:$C$249))</f>
        <v>0</v>
      </c>
      <c r="AR249">
        <f>IF(COUNT($E$2:$E249)&lt;20,"",MIN($D$230:$D$249))</f>
        <v>0</v>
      </c>
      <c r="AS249">
        <f>IF(OR(AQ249="",AR249=""),"",(AQ249+AR249)/2)</f>
        <v>0</v>
      </c>
      <c r="AT249">
        <f>IF(COUNT($G$230:$G$249)&lt;20,"",STDEV($G$230:$G$249)*SQRT(52))</f>
        <v>0</v>
      </c>
      <c r="AU249">
        <f>IF(COUNT($E$2:$E249)&lt;9,"",(MAX($C$241:$C$249)+MIN($D$241:$D$249))/2)</f>
        <v>0</v>
      </c>
      <c r="AV249">
        <f>IF(COUNT($E$2:$E249)&lt;26,"",(MAX($C$224:$C$249)+MIN($D$224:$D$249))/2)</f>
        <v>0</v>
      </c>
      <c r="AW249">
        <f>IF(OR(AU249="",AV249=""),"",(AU249+AV249)/2)</f>
        <v>0</v>
      </c>
      <c r="AX249">
        <f>IF(COUNT($E$2:$E249)&lt;52,"",(MAX($C$198:$C$249)+MIN($D$198:$D$249))/2)</f>
        <v>0</v>
      </c>
      <c r="AY249">
        <f>IF(COUNT($E$2:$E249)&lt;20,"",MAX($C$150:$C$249))</f>
        <v>0</v>
      </c>
      <c r="AZ249">
        <f>IF(COUNT($E$2:$E249)&lt;20,"",MIN($D$150:$D$249))</f>
        <v>0</v>
      </c>
      <c r="BA249">
        <f>IF(COUNT($E$2:$E249)&lt;20,"",SLOPE($E$150:$E$249,$F$150:$F$249))</f>
        <v>0</v>
      </c>
      <c r="BB249">
        <f>IF(COUNT($E$2:$E249)&lt;20,"",INTERCEPT($E$150:$E$249,$F$150:$F$249))</f>
        <v>0</v>
      </c>
      <c r="BC249">
        <f>IF(OR(BA249="",BB249=""),"",BB249+BA249*F249)</f>
        <v>0</v>
      </c>
      <c r="BD249">
        <f>IF(COUNT($E$2:$E249)&lt;20,"",STEYX($E$150:$E$249,$F$150:$F$249))</f>
        <v>0</v>
      </c>
      <c r="BE249">
        <f>IF($E249="","",IF(AND(COUNT($E$250:$E$253)&gt;=4,$C249=MAX($C$245:$C$253)),$C249,""))</f>
        <v>0</v>
      </c>
      <c r="BF249">
        <f>IF($E249="","",IF(AND(COUNT($E$250:$E$253)&gt;=4,$D249=MIN($D$245:$D$253)),$D249,""))</f>
        <v>0</v>
      </c>
      <c r="BG249">
        <f>IFERROR(SMALL(Calc_Daily!$BM$2:$BM$2001,248),"")</f>
        <v>0</v>
      </c>
    </row>
    <row r="250" spans="1:59">
      <c r="A250" s="27">
        <f>IF($BG250="","",INDEX(Calc_Daily!$A$2:$A$2001,$BG250))</f>
        <v>0</v>
      </c>
      <c r="B250">
        <f>IF($BG250="","",INDEX(Calc_Daily!$BJ$2:$BJ$2001,$BG250))</f>
        <v>0</v>
      </c>
      <c r="C250">
        <f>IF($BG250="","",INDEX(Calc_Daily!$BK$2:$BK$2001,$BG250))</f>
        <v>0</v>
      </c>
      <c r="D250">
        <f>IF($BG250="","",INDEX(Calc_Daily!$BL$2:$BL$2001,$BG250))</f>
        <v>0</v>
      </c>
      <c r="E250">
        <f>IF($BG250="","",INDEX(Calc_Daily!$E$2:$E$2001,$BG250))</f>
        <v>0</v>
      </c>
      <c r="F250">
        <f>IF($E250="","",N(F249)+1)</f>
        <v>0</v>
      </c>
      <c r="G250">
        <f>IF(OR($E250="",$E249=""),"",LN($E250/$E249))</f>
        <v>0</v>
      </c>
      <c r="H250">
        <f>IF($E250="","",IF($E249="",$E250,$E250*0.0952380952+H249*0.9047619048))</f>
        <v>0</v>
      </c>
      <c r="I250">
        <f>IF($E250="","",IF($E249="",$E250,$E250*0.0392156863+I249*0.9607843137))</f>
        <v>0</v>
      </c>
      <c r="J250">
        <f>IF($E250="","",IF($E249="",$E250,$E250*0.0198019802+J249*0.9801980198))</f>
        <v>0</v>
      </c>
      <c r="K250">
        <f>IF($E250="","",IF($E249="",$E250,$E250*0.0099502488+K249*0.9900497512))</f>
        <v>0</v>
      </c>
      <c r="L250">
        <f>IF(OR($E250="",$E249=""),"",MAX($E250-$E249,0))</f>
        <v>0</v>
      </c>
      <c r="M250">
        <f>IF(OR($E250="",$E249=""),"",MAX($E249-$E250,0))</f>
        <v>0</v>
      </c>
      <c r="N250">
        <f>IF(COUNT($E$2:$E250)&lt;15,"",IF(AVERAGE($M$237:$M$250)=0,100,100-100/(1+AVERAGE($L$237:$L$250)/AVERAGE($M$237:$M$250))))</f>
        <v>0</v>
      </c>
      <c r="O250">
        <f>IF($E250="","",IF($E249="",$E250,$E250*0.1538461538+O249*0.8461538462))</f>
        <v>0</v>
      </c>
      <c r="P250">
        <f>IF($E250="","",IF($E249="",$E250,$E250*0.0740740741+P249*0.9259259259))</f>
        <v>0</v>
      </c>
      <c r="Q250">
        <f>IF(OR(O250="",P250=""),"",O250-P250)</f>
        <v>0</v>
      </c>
      <c r="R250">
        <f>IF(Q250="","",IF(R249="",Q250,Q250*0.2000000000+R249*0.8000000000))</f>
        <v>0</v>
      </c>
      <c r="S250">
        <f>IF(OR(Q250="",R250=""),"",Q250-R250)</f>
        <v>0</v>
      </c>
      <c r="T250">
        <f>IF(COUNT($E$2:$E250)&lt;14,"",MAX($C$237:$C$250))</f>
        <v>0</v>
      </c>
      <c r="U250">
        <f>IF(COUNT($E$2:$E250)&lt;14,"",MIN($D$237:$D$250))</f>
        <v>0</v>
      </c>
      <c r="V250">
        <f>IF(OR(T250="",U250="",T250=U250),"",100*($E250-U250)/(T250-U250))</f>
        <v>0</v>
      </c>
      <c r="W250">
        <f>IF(COUNT($V$248:$V$250)&lt;3,"",AVERAGE($V$248:$V$250))</f>
        <v>0</v>
      </c>
      <c r="X250">
        <f>IF(COUNT($N$237:$N$250)&lt;14,"",MIN($N$237:$N$250))</f>
        <v>0</v>
      </c>
      <c r="Y250">
        <f>IF(COUNT($N$237:$N$250)&lt;14,"",MAX($N$237:$N$250))</f>
        <v>0</v>
      </c>
      <c r="Z250">
        <f>IF(OR(N250="",X250="",Y250="",Y250=X250),"",100*(N250-X250)/(Y250-X250))</f>
        <v>0</v>
      </c>
      <c r="AA250">
        <f>IF(COUNT($Z$248:$Z$250)&lt;3,"",AVERAGE($Z$248:$Z$250))</f>
        <v>0</v>
      </c>
      <c r="AB250">
        <f>IF(COUNT($AA$248:$AA$250)&lt;3,"",AVERAGE($AA$248:$AA$250))</f>
        <v>0</v>
      </c>
      <c r="AC250">
        <f>IF($E250="","",MAX($C250-$D250,ABS($C250-$E249),ABS($D250-$E249)))</f>
        <v>0</v>
      </c>
      <c r="AD250">
        <f>IF(COUNT($E$2:$E250)&lt;15,"",AVERAGE($AC$237:$AC$250))</f>
        <v>0</v>
      </c>
      <c r="AE250">
        <f>IF(OR($E250="",$E249=""),"",IF(AND(($C250-$C249)&gt;($D249-$D250),($C250-$C249)&gt;0),$C250-$C249,0))</f>
        <v>0</v>
      </c>
      <c r="AF250">
        <f>IF(OR($E250="",$E249=""),"",IF(AND(($D249-$D250)&gt;($C250-$C249),($D249-$D250)&gt;0),$D249-$D250,0))</f>
        <v>0</v>
      </c>
      <c r="AG250">
        <f>IF(COUNT($E$2:$E250)&lt;15,"",IF(SUM($AC$237:$AC$250)=0,0,100*SUM($AE$237:$AE$250)/SUM($AC$237:$AC$250)))</f>
        <v>0</v>
      </c>
      <c r="AH250">
        <f>IF(COUNT($E$2:$E250)&lt;15,"",IF(SUM($AC$237:$AC$250)=0,0,100*SUM($AF$237:$AF$250)/SUM($AC$237:$AC$250)))</f>
        <v>0</v>
      </c>
      <c r="AI250">
        <f>IF(OR(AG250="",AH250=""),"",IF((AG250+AH250)=0,0,100*ABS(AG250-AH250)/(AG250+AH250)))</f>
        <v>0</v>
      </c>
      <c r="AJ250">
        <f>IF(COUNT($AI$237:$AI$250)&lt;14,"",AVERAGE($AI$237:$AI$250))</f>
        <v>0</v>
      </c>
      <c r="AK250">
        <f>IF(COUNT($E$2:$E250)&lt;20,"",AVERAGE($E$231:$E$250))</f>
        <v>0</v>
      </c>
      <c r="AL250">
        <f>IF(COUNT($E$2:$E250)&lt;20,"",STDEVP($E$231:$E$250))</f>
        <v>0</v>
      </c>
      <c r="AM250">
        <f>IF(AK250="","",AK250+2*AL250)</f>
        <v>0</v>
      </c>
      <c r="AN250">
        <f>IF(AK250="","",AK250-2*AL250)</f>
        <v>0</v>
      </c>
      <c r="AO250">
        <f>IF(OR(AM250="",AN250="",AM250=AN250),"",($E250-AN250)/(AM250-AN250))</f>
        <v>0</v>
      </c>
      <c r="AP250">
        <f>IF(OR(AM250="",AK250="",AK250=0),"",(AM250-AN250)/AK250)</f>
        <v>0</v>
      </c>
      <c r="AQ250">
        <f>IF(COUNT($E$2:$E250)&lt;20,"",MAX($C$231:$C$250))</f>
        <v>0</v>
      </c>
      <c r="AR250">
        <f>IF(COUNT($E$2:$E250)&lt;20,"",MIN($D$231:$D$250))</f>
        <v>0</v>
      </c>
      <c r="AS250">
        <f>IF(OR(AQ250="",AR250=""),"",(AQ250+AR250)/2)</f>
        <v>0</v>
      </c>
      <c r="AT250">
        <f>IF(COUNT($G$231:$G$250)&lt;20,"",STDEV($G$231:$G$250)*SQRT(52))</f>
        <v>0</v>
      </c>
      <c r="AU250">
        <f>IF(COUNT($E$2:$E250)&lt;9,"",(MAX($C$242:$C$250)+MIN($D$242:$D$250))/2)</f>
        <v>0</v>
      </c>
      <c r="AV250">
        <f>IF(COUNT($E$2:$E250)&lt;26,"",(MAX($C$225:$C$250)+MIN($D$225:$D$250))/2)</f>
        <v>0</v>
      </c>
      <c r="AW250">
        <f>IF(OR(AU250="",AV250=""),"",(AU250+AV250)/2)</f>
        <v>0</v>
      </c>
      <c r="AX250">
        <f>IF(COUNT($E$2:$E250)&lt;52,"",(MAX($C$199:$C$250)+MIN($D$199:$D$250))/2)</f>
        <v>0</v>
      </c>
      <c r="AY250">
        <f>IF(COUNT($E$2:$E250)&lt;20,"",MAX($C$151:$C$250))</f>
        <v>0</v>
      </c>
      <c r="AZ250">
        <f>IF(COUNT($E$2:$E250)&lt;20,"",MIN($D$151:$D$250))</f>
        <v>0</v>
      </c>
      <c r="BA250">
        <f>IF(COUNT($E$2:$E250)&lt;20,"",SLOPE($E$151:$E$250,$F$151:$F$250))</f>
        <v>0</v>
      </c>
      <c r="BB250">
        <f>IF(COUNT($E$2:$E250)&lt;20,"",INTERCEPT($E$151:$E$250,$F$151:$F$250))</f>
        <v>0</v>
      </c>
      <c r="BC250">
        <f>IF(OR(BA250="",BB250=""),"",BB250+BA250*F250)</f>
        <v>0</v>
      </c>
      <c r="BD250">
        <f>IF(COUNT($E$2:$E250)&lt;20,"",STEYX($E$151:$E$250,$F$151:$F$250))</f>
        <v>0</v>
      </c>
      <c r="BE250">
        <f>IF($E250="","",IF(AND(COUNT($E$251:$E$254)&gt;=4,$C250=MAX($C$246:$C$254)),$C250,""))</f>
        <v>0</v>
      </c>
      <c r="BF250">
        <f>IF($E250="","",IF(AND(COUNT($E$251:$E$254)&gt;=4,$D250=MIN($D$246:$D$254)),$D250,""))</f>
        <v>0</v>
      </c>
      <c r="BG250">
        <f>IFERROR(SMALL(Calc_Daily!$BM$2:$BM$2001,249),"")</f>
        <v>0</v>
      </c>
    </row>
    <row r="251" spans="1:59">
      <c r="A251" s="27">
        <f>IF($BG251="","",INDEX(Calc_Daily!$A$2:$A$2001,$BG251))</f>
        <v>0</v>
      </c>
      <c r="B251">
        <f>IF($BG251="","",INDEX(Calc_Daily!$BJ$2:$BJ$2001,$BG251))</f>
        <v>0</v>
      </c>
      <c r="C251">
        <f>IF($BG251="","",INDEX(Calc_Daily!$BK$2:$BK$2001,$BG251))</f>
        <v>0</v>
      </c>
      <c r="D251">
        <f>IF($BG251="","",INDEX(Calc_Daily!$BL$2:$BL$2001,$BG251))</f>
        <v>0</v>
      </c>
      <c r="E251">
        <f>IF($BG251="","",INDEX(Calc_Daily!$E$2:$E$2001,$BG251))</f>
        <v>0</v>
      </c>
      <c r="F251">
        <f>IF($E251="","",N(F250)+1)</f>
        <v>0</v>
      </c>
      <c r="G251">
        <f>IF(OR($E251="",$E250=""),"",LN($E251/$E250))</f>
        <v>0</v>
      </c>
      <c r="H251">
        <f>IF($E251="","",IF($E250="",$E251,$E251*0.0952380952+H250*0.9047619048))</f>
        <v>0</v>
      </c>
      <c r="I251">
        <f>IF($E251="","",IF($E250="",$E251,$E251*0.0392156863+I250*0.9607843137))</f>
        <v>0</v>
      </c>
      <c r="J251">
        <f>IF($E251="","",IF($E250="",$E251,$E251*0.0198019802+J250*0.9801980198))</f>
        <v>0</v>
      </c>
      <c r="K251">
        <f>IF($E251="","",IF($E250="",$E251,$E251*0.0099502488+K250*0.9900497512))</f>
        <v>0</v>
      </c>
      <c r="L251">
        <f>IF(OR($E251="",$E250=""),"",MAX($E251-$E250,0))</f>
        <v>0</v>
      </c>
      <c r="M251">
        <f>IF(OR($E251="",$E250=""),"",MAX($E250-$E251,0))</f>
        <v>0</v>
      </c>
      <c r="N251">
        <f>IF(COUNT($E$2:$E251)&lt;15,"",IF(AVERAGE($M$238:$M$251)=0,100,100-100/(1+AVERAGE($L$238:$L$251)/AVERAGE($M$238:$M$251))))</f>
        <v>0</v>
      </c>
      <c r="O251">
        <f>IF($E251="","",IF($E250="",$E251,$E251*0.1538461538+O250*0.8461538462))</f>
        <v>0</v>
      </c>
      <c r="P251">
        <f>IF($E251="","",IF($E250="",$E251,$E251*0.0740740741+P250*0.9259259259))</f>
        <v>0</v>
      </c>
      <c r="Q251">
        <f>IF(OR(O251="",P251=""),"",O251-P251)</f>
        <v>0</v>
      </c>
      <c r="R251">
        <f>IF(Q251="","",IF(R250="",Q251,Q251*0.2000000000+R250*0.8000000000))</f>
        <v>0</v>
      </c>
      <c r="S251">
        <f>IF(OR(Q251="",R251=""),"",Q251-R251)</f>
        <v>0</v>
      </c>
      <c r="T251">
        <f>IF(COUNT($E$2:$E251)&lt;14,"",MAX($C$238:$C$251))</f>
        <v>0</v>
      </c>
      <c r="U251">
        <f>IF(COUNT($E$2:$E251)&lt;14,"",MIN($D$238:$D$251))</f>
        <v>0</v>
      </c>
      <c r="V251">
        <f>IF(OR(T251="",U251="",T251=U251),"",100*($E251-U251)/(T251-U251))</f>
        <v>0</v>
      </c>
      <c r="W251">
        <f>IF(COUNT($V$249:$V$251)&lt;3,"",AVERAGE($V$249:$V$251))</f>
        <v>0</v>
      </c>
      <c r="X251">
        <f>IF(COUNT($N$238:$N$251)&lt;14,"",MIN($N$238:$N$251))</f>
        <v>0</v>
      </c>
      <c r="Y251">
        <f>IF(COUNT($N$238:$N$251)&lt;14,"",MAX($N$238:$N$251))</f>
        <v>0</v>
      </c>
      <c r="Z251">
        <f>IF(OR(N251="",X251="",Y251="",Y251=X251),"",100*(N251-X251)/(Y251-X251))</f>
        <v>0</v>
      </c>
      <c r="AA251">
        <f>IF(COUNT($Z$249:$Z$251)&lt;3,"",AVERAGE($Z$249:$Z$251))</f>
        <v>0</v>
      </c>
      <c r="AB251">
        <f>IF(COUNT($AA$249:$AA$251)&lt;3,"",AVERAGE($AA$249:$AA$251))</f>
        <v>0</v>
      </c>
      <c r="AC251">
        <f>IF($E251="","",MAX($C251-$D251,ABS($C251-$E250),ABS($D251-$E250)))</f>
        <v>0</v>
      </c>
      <c r="AD251">
        <f>IF(COUNT($E$2:$E251)&lt;15,"",AVERAGE($AC$238:$AC$251))</f>
        <v>0</v>
      </c>
      <c r="AE251">
        <f>IF(OR($E251="",$E250=""),"",IF(AND(($C251-$C250)&gt;($D250-$D251),($C251-$C250)&gt;0),$C251-$C250,0))</f>
        <v>0</v>
      </c>
      <c r="AF251">
        <f>IF(OR($E251="",$E250=""),"",IF(AND(($D250-$D251)&gt;($C251-$C250),($D250-$D251)&gt;0),$D250-$D251,0))</f>
        <v>0</v>
      </c>
      <c r="AG251">
        <f>IF(COUNT($E$2:$E251)&lt;15,"",IF(SUM($AC$238:$AC$251)=0,0,100*SUM($AE$238:$AE$251)/SUM($AC$238:$AC$251)))</f>
        <v>0</v>
      </c>
      <c r="AH251">
        <f>IF(COUNT($E$2:$E251)&lt;15,"",IF(SUM($AC$238:$AC$251)=0,0,100*SUM($AF$238:$AF$251)/SUM($AC$238:$AC$251)))</f>
        <v>0</v>
      </c>
      <c r="AI251">
        <f>IF(OR(AG251="",AH251=""),"",IF((AG251+AH251)=0,0,100*ABS(AG251-AH251)/(AG251+AH251)))</f>
        <v>0</v>
      </c>
      <c r="AJ251">
        <f>IF(COUNT($AI$238:$AI$251)&lt;14,"",AVERAGE($AI$238:$AI$251))</f>
        <v>0</v>
      </c>
      <c r="AK251">
        <f>IF(COUNT($E$2:$E251)&lt;20,"",AVERAGE($E$232:$E$251))</f>
        <v>0</v>
      </c>
      <c r="AL251">
        <f>IF(COUNT($E$2:$E251)&lt;20,"",STDEVP($E$232:$E$251))</f>
        <v>0</v>
      </c>
      <c r="AM251">
        <f>IF(AK251="","",AK251+2*AL251)</f>
        <v>0</v>
      </c>
      <c r="AN251">
        <f>IF(AK251="","",AK251-2*AL251)</f>
        <v>0</v>
      </c>
      <c r="AO251">
        <f>IF(OR(AM251="",AN251="",AM251=AN251),"",($E251-AN251)/(AM251-AN251))</f>
        <v>0</v>
      </c>
      <c r="AP251">
        <f>IF(OR(AM251="",AK251="",AK251=0),"",(AM251-AN251)/AK251)</f>
        <v>0</v>
      </c>
      <c r="AQ251">
        <f>IF(COUNT($E$2:$E251)&lt;20,"",MAX($C$232:$C$251))</f>
        <v>0</v>
      </c>
      <c r="AR251">
        <f>IF(COUNT($E$2:$E251)&lt;20,"",MIN($D$232:$D$251))</f>
        <v>0</v>
      </c>
      <c r="AS251">
        <f>IF(OR(AQ251="",AR251=""),"",(AQ251+AR251)/2)</f>
        <v>0</v>
      </c>
      <c r="AT251">
        <f>IF(COUNT($G$232:$G$251)&lt;20,"",STDEV($G$232:$G$251)*SQRT(52))</f>
        <v>0</v>
      </c>
      <c r="AU251">
        <f>IF(COUNT($E$2:$E251)&lt;9,"",(MAX($C$243:$C$251)+MIN($D$243:$D$251))/2)</f>
        <v>0</v>
      </c>
      <c r="AV251">
        <f>IF(COUNT($E$2:$E251)&lt;26,"",(MAX($C$226:$C$251)+MIN($D$226:$D$251))/2)</f>
        <v>0</v>
      </c>
      <c r="AW251">
        <f>IF(OR(AU251="",AV251=""),"",(AU251+AV251)/2)</f>
        <v>0</v>
      </c>
      <c r="AX251">
        <f>IF(COUNT($E$2:$E251)&lt;52,"",(MAX($C$200:$C$251)+MIN($D$200:$D$251))/2)</f>
        <v>0</v>
      </c>
      <c r="AY251">
        <f>IF(COUNT($E$2:$E251)&lt;20,"",MAX($C$152:$C$251))</f>
        <v>0</v>
      </c>
      <c r="AZ251">
        <f>IF(COUNT($E$2:$E251)&lt;20,"",MIN($D$152:$D$251))</f>
        <v>0</v>
      </c>
      <c r="BA251">
        <f>IF(COUNT($E$2:$E251)&lt;20,"",SLOPE($E$152:$E$251,$F$152:$F$251))</f>
        <v>0</v>
      </c>
      <c r="BB251">
        <f>IF(COUNT($E$2:$E251)&lt;20,"",INTERCEPT($E$152:$E$251,$F$152:$F$251))</f>
        <v>0</v>
      </c>
      <c r="BC251">
        <f>IF(OR(BA251="",BB251=""),"",BB251+BA251*F251)</f>
        <v>0</v>
      </c>
      <c r="BD251">
        <f>IF(COUNT($E$2:$E251)&lt;20,"",STEYX($E$152:$E$251,$F$152:$F$251))</f>
        <v>0</v>
      </c>
      <c r="BE251">
        <f>IF($E251="","",IF(AND(COUNT($E$252:$E$255)&gt;=4,$C251=MAX($C$247:$C$255)),$C251,""))</f>
        <v>0</v>
      </c>
      <c r="BF251">
        <f>IF($E251="","",IF(AND(COUNT($E$252:$E$255)&gt;=4,$D251=MIN($D$247:$D$255)),$D251,""))</f>
        <v>0</v>
      </c>
      <c r="BG251">
        <f>IFERROR(SMALL(Calc_Daily!$BM$2:$BM$2001,250),"")</f>
        <v>0</v>
      </c>
    </row>
    <row r="252" spans="1:59">
      <c r="A252" s="27">
        <f>IF($BG252="","",INDEX(Calc_Daily!$A$2:$A$2001,$BG252))</f>
        <v>0</v>
      </c>
      <c r="B252">
        <f>IF($BG252="","",INDEX(Calc_Daily!$BJ$2:$BJ$2001,$BG252))</f>
        <v>0</v>
      </c>
      <c r="C252">
        <f>IF($BG252="","",INDEX(Calc_Daily!$BK$2:$BK$2001,$BG252))</f>
        <v>0</v>
      </c>
      <c r="D252">
        <f>IF($BG252="","",INDEX(Calc_Daily!$BL$2:$BL$2001,$BG252))</f>
        <v>0</v>
      </c>
      <c r="E252">
        <f>IF($BG252="","",INDEX(Calc_Daily!$E$2:$E$2001,$BG252))</f>
        <v>0</v>
      </c>
      <c r="F252">
        <f>IF($E252="","",N(F251)+1)</f>
        <v>0</v>
      </c>
      <c r="G252">
        <f>IF(OR($E252="",$E251=""),"",LN($E252/$E251))</f>
        <v>0</v>
      </c>
      <c r="H252">
        <f>IF($E252="","",IF($E251="",$E252,$E252*0.0952380952+H251*0.9047619048))</f>
        <v>0</v>
      </c>
      <c r="I252">
        <f>IF($E252="","",IF($E251="",$E252,$E252*0.0392156863+I251*0.9607843137))</f>
        <v>0</v>
      </c>
      <c r="J252">
        <f>IF($E252="","",IF($E251="",$E252,$E252*0.0198019802+J251*0.9801980198))</f>
        <v>0</v>
      </c>
      <c r="K252">
        <f>IF($E252="","",IF($E251="",$E252,$E252*0.0099502488+K251*0.9900497512))</f>
        <v>0</v>
      </c>
      <c r="L252">
        <f>IF(OR($E252="",$E251=""),"",MAX($E252-$E251,0))</f>
        <v>0</v>
      </c>
      <c r="M252">
        <f>IF(OR($E252="",$E251=""),"",MAX($E251-$E252,0))</f>
        <v>0</v>
      </c>
      <c r="N252">
        <f>IF(COUNT($E$2:$E252)&lt;15,"",IF(AVERAGE($M$239:$M$252)=0,100,100-100/(1+AVERAGE($L$239:$L$252)/AVERAGE($M$239:$M$252))))</f>
        <v>0</v>
      </c>
      <c r="O252">
        <f>IF($E252="","",IF($E251="",$E252,$E252*0.1538461538+O251*0.8461538462))</f>
        <v>0</v>
      </c>
      <c r="P252">
        <f>IF($E252="","",IF($E251="",$E252,$E252*0.0740740741+P251*0.9259259259))</f>
        <v>0</v>
      </c>
      <c r="Q252">
        <f>IF(OR(O252="",P252=""),"",O252-P252)</f>
        <v>0</v>
      </c>
      <c r="R252">
        <f>IF(Q252="","",IF(R251="",Q252,Q252*0.2000000000+R251*0.8000000000))</f>
        <v>0</v>
      </c>
      <c r="S252">
        <f>IF(OR(Q252="",R252=""),"",Q252-R252)</f>
        <v>0</v>
      </c>
      <c r="T252">
        <f>IF(COUNT($E$2:$E252)&lt;14,"",MAX($C$239:$C$252))</f>
        <v>0</v>
      </c>
      <c r="U252">
        <f>IF(COUNT($E$2:$E252)&lt;14,"",MIN($D$239:$D$252))</f>
        <v>0</v>
      </c>
      <c r="V252">
        <f>IF(OR(T252="",U252="",T252=U252),"",100*($E252-U252)/(T252-U252))</f>
        <v>0</v>
      </c>
      <c r="W252">
        <f>IF(COUNT($V$250:$V$252)&lt;3,"",AVERAGE($V$250:$V$252))</f>
        <v>0</v>
      </c>
      <c r="X252">
        <f>IF(COUNT($N$239:$N$252)&lt;14,"",MIN($N$239:$N$252))</f>
        <v>0</v>
      </c>
      <c r="Y252">
        <f>IF(COUNT($N$239:$N$252)&lt;14,"",MAX($N$239:$N$252))</f>
        <v>0</v>
      </c>
      <c r="Z252">
        <f>IF(OR(N252="",X252="",Y252="",Y252=X252),"",100*(N252-X252)/(Y252-X252))</f>
        <v>0</v>
      </c>
      <c r="AA252">
        <f>IF(COUNT($Z$250:$Z$252)&lt;3,"",AVERAGE($Z$250:$Z$252))</f>
        <v>0</v>
      </c>
      <c r="AB252">
        <f>IF(COUNT($AA$250:$AA$252)&lt;3,"",AVERAGE($AA$250:$AA$252))</f>
        <v>0</v>
      </c>
      <c r="AC252">
        <f>IF($E252="","",MAX($C252-$D252,ABS($C252-$E251),ABS($D252-$E251)))</f>
        <v>0</v>
      </c>
      <c r="AD252">
        <f>IF(COUNT($E$2:$E252)&lt;15,"",AVERAGE($AC$239:$AC$252))</f>
        <v>0</v>
      </c>
      <c r="AE252">
        <f>IF(OR($E252="",$E251=""),"",IF(AND(($C252-$C251)&gt;($D251-$D252),($C252-$C251)&gt;0),$C252-$C251,0))</f>
        <v>0</v>
      </c>
      <c r="AF252">
        <f>IF(OR($E252="",$E251=""),"",IF(AND(($D251-$D252)&gt;($C252-$C251),($D251-$D252)&gt;0),$D251-$D252,0))</f>
        <v>0</v>
      </c>
      <c r="AG252">
        <f>IF(COUNT($E$2:$E252)&lt;15,"",IF(SUM($AC$239:$AC$252)=0,0,100*SUM($AE$239:$AE$252)/SUM($AC$239:$AC$252)))</f>
        <v>0</v>
      </c>
      <c r="AH252">
        <f>IF(COUNT($E$2:$E252)&lt;15,"",IF(SUM($AC$239:$AC$252)=0,0,100*SUM($AF$239:$AF$252)/SUM($AC$239:$AC$252)))</f>
        <v>0</v>
      </c>
      <c r="AI252">
        <f>IF(OR(AG252="",AH252=""),"",IF((AG252+AH252)=0,0,100*ABS(AG252-AH252)/(AG252+AH252)))</f>
        <v>0</v>
      </c>
      <c r="AJ252">
        <f>IF(COUNT($AI$239:$AI$252)&lt;14,"",AVERAGE($AI$239:$AI$252))</f>
        <v>0</v>
      </c>
      <c r="AK252">
        <f>IF(COUNT($E$2:$E252)&lt;20,"",AVERAGE($E$233:$E$252))</f>
        <v>0</v>
      </c>
      <c r="AL252">
        <f>IF(COUNT($E$2:$E252)&lt;20,"",STDEVP($E$233:$E$252))</f>
        <v>0</v>
      </c>
      <c r="AM252">
        <f>IF(AK252="","",AK252+2*AL252)</f>
        <v>0</v>
      </c>
      <c r="AN252">
        <f>IF(AK252="","",AK252-2*AL252)</f>
        <v>0</v>
      </c>
      <c r="AO252">
        <f>IF(OR(AM252="",AN252="",AM252=AN252),"",($E252-AN252)/(AM252-AN252))</f>
        <v>0</v>
      </c>
      <c r="AP252">
        <f>IF(OR(AM252="",AK252="",AK252=0),"",(AM252-AN252)/AK252)</f>
        <v>0</v>
      </c>
      <c r="AQ252">
        <f>IF(COUNT($E$2:$E252)&lt;20,"",MAX($C$233:$C$252))</f>
        <v>0</v>
      </c>
      <c r="AR252">
        <f>IF(COUNT($E$2:$E252)&lt;20,"",MIN($D$233:$D$252))</f>
        <v>0</v>
      </c>
      <c r="AS252">
        <f>IF(OR(AQ252="",AR252=""),"",(AQ252+AR252)/2)</f>
        <v>0</v>
      </c>
      <c r="AT252">
        <f>IF(COUNT($G$233:$G$252)&lt;20,"",STDEV($G$233:$G$252)*SQRT(52))</f>
        <v>0</v>
      </c>
      <c r="AU252">
        <f>IF(COUNT($E$2:$E252)&lt;9,"",(MAX($C$244:$C$252)+MIN($D$244:$D$252))/2)</f>
        <v>0</v>
      </c>
      <c r="AV252">
        <f>IF(COUNT($E$2:$E252)&lt;26,"",(MAX($C$227:$C$252)+MIN($D$227:$D$252))/2)</f>
        <v>0</v>
      </c>
      <c r="AW252">
        <f>IF(OR(AU252="",AV252=""),"",(AU252+AV252)/2)</f>
        <v>0</v>
      </c>
      <c r="AX252">
        <f>IF(COUNT($E$2:$E252)&lt;52,"",(MAX($C$201:$C$252)+MIN($D$201:$D$252))/2)</f>
        <v>0</v>
      </c>
      <c r="AY252">
        <f>IF(COUNT($E$2:$E252)&lt;20,"",MAX($C$153:$C$252))</f>
        <v>0</v>
      </c>
      <c r="AZ252">
        <f>IF(COUNT($E$2:$E252)&lt;20,"",MIN($D$153:$D$252))</f>
        <v>0</v>
      </c>
      <c r="BA252">
        <f>IF(COUNT($E$2:$E252)&lt;20,"",SLOPE($E$153:$E$252,$F$153:$F$252))</f>
        <v>0</v>
      </c>
      <c r="BB252">
        <f>IF(COUNT($E$2:$E252)&lt;20,"",INTERCEPT($E$153:$E$252,$F$153:$F$252))</f>
        <v>0</v>
      </c>
      <c r="BC252">
        <f>IF(OR(BA252="",BB252=""),"",BB252+BA252*F252)</f>
        <v>0</v>
      </c>
      <c r="BD252">
        <f>IF(COUNT($E$2:$E252)&lt;20,"",STEYX($E$153:$E$252,$F$153:$F$252))</f>
        <v>0</v>
      </c>
      <c r="BE252">
        <f>IF($E252="","",IF(AND(COUNT($E$253:$E$256)&gt;=4,$C252=MAX($C$248:$C$256)),$C252,""))</f>
        <v>0</v>
      </c>
      <c r="BF252">
        <f>IF($E252="","",IF(AND(COUNT($E$253:$E$256)&gt;=4,$D252=MIN($D$248:$D$256)),$D252,""))</f>
        <v>0</v>
      </c>
      <c r="BG252">
        <f>IFERROR(SMALL(Calc_Daily!$BM$2:$BM$2001,251),"")</f>
        <v>0</v>
      </c>
    </row>
    <row r="253" spans="1:59">
      <c r="A253" s="27">
        <f>IF($BG253="","",INDEX(Calc_Daily!$A$2:$A$2001,$BG253))</f>
        <v>0</v>
      </c>
      <c r="B253">
        <f>IF($BG253="","",INDEX(Calc_Daily!$BJ$2:$BJ$2001,$BG253))</f>
        <v>0</v>
      </c>
      <c r="C253">
        <f>IF($BG253="","",INDEX(Calc_Daily!$BK$2:$BK$2001,$BG253))</f>
        <v>0</v>
      </c>
      <c r="D253">
        <f>IF($BG253="","",INDEX(Calc_Daily!$BL$2:$BL$2001,$BG253))</f>
        <v>0</v>
      </c>
      <c r="E253">
        <f>IF($BG253="","",INDEX(Calc_Daily!$E$2:$E$2001,$BG253))</f>
        <v>0</v>
      </c>
      <c r="F253">
        <f>IF($E253="","",N(F252)+1)</f>
        <v>0</v>
      </c>
      <c r="G253">
        <f>IF(OR($E253="",$E252=""),"",LN($E253/$E252))</f>
        <v>0</v>
      </c>
      <c r="H253">
        <f>IF($E253="","",IF($E252="",$E253,$E253*0.0952380952+H252*0.9047619048))</f>
        <v>0</v>
      </c>
      <c r="I253">
        <f>IF($E253="","",IF($E252="",$E253,$E253*0.0392156863+I252*0.9607843137))</f>
        <v>0</v>
      </c>
      <c r="J253">
        <f>IF($E253="","",IF($E252="",$E253,$E253*0.0198019802+J252*0.9801980198))</f>
        <v>0</v>
      </c>
      <c r="K253">
        <f>IF($E253="","",IF($E252="",$E253,$E253*0.0099502488+K252*0.9900497512))</f>
        <v>0</v>
      </c>
      <c r="L253">
        <f>IF(OR($E253="",$E252=""),"",MAX($E253-$E252,0))</f>
        <v>0</v>
      </c>
      <c r="M253">
        <f>IF(OR($E253="",$E252=""),"",MAX($E252-$E253,0))</f>
        <v>0</v>
      </c>
      <c r="N253">
        <f>IF(COUNT($E$2:$E253)&lt;15,"",IF(AVERAGE($M$240:$M$253)=0,100,100-100/(1+AVERAGE($L$240:$L$253)/AVERAGE($M$240:$M$253))))</f>
        <v>0</v>
      </c>
      <c r="O253">
        <f>IF($E253="","",IF($E252="",$E253,$E253*0.1538461538+O252*0.8461538462))</f>
        <v>0</v>
      </c>
      <c r="P253">
        <f>IF($E253="","",IF($E252="",$E253,$E253*0.0740740741+P252*0.9259259259))</f>
        <v>0</v>
      </c>
      <c r="Q253">
        <f>IF(OR(O253="",P253=""),"",O253-P253)</f>
        <v>0</v>
      </c>
      <c r="R253">
        <f>IF(Q253="","",IF(R252="",Q253,Q253*0.2000000000+R252*0.8000000000))</f>
        <v>0</v>
      </c>
      <c r="S253">
        <f>IF(OR(Q253="",R253=""),"",Q253-R253)</f>
        <v>0</v>
      </c>
      <c r="T253">
        <f>IF(COUNT($E$2:$E253)&lt;14,"",MAX($C$240:$C$253))</f>
        <v>0</v>
      </c>
      <c r="U253">
        <f>IF(COUNT($E$2:$E253)&lt;14,"",MIN($D$240:$D$253))</f>
        <v>0</v>
      </c>
      <c r="V253">
        <f>IF(OR(T253="",U253="",T253=U253),"",100*($E253-U253)/(T253-U253))</f>
        <v>0</v>
      </c>
      <c r="W253">
        <f>IF(COUNT($V$251:$V$253)&lt;3,"",AVERAGE($V$251:$V$253))</f>
        <v>0</v>
      </c>
      <c r="X253">
        <f>IF(COUNT($N$240:$N$253)&lt;14,"",MIN($N$240:$N$253))</f>
        <v>0</v>
      </c>
      <c r="Y253">
        <f>IF(COUNT($N$240:$N$253)&lt;14,"",MAX($N$240:$N$253))</f>
        <v>0</v>
      </c>
      <c r="Z253">
        <f>IF(OR(N253="",X253="",Y253="",Y253=X253),"",100*(N253-X253)/(Y253-X253))</f>
        <v>0</v>
      </c>
      <c r="AA253">
        <f>IF(COUNT($Z$251:$Z$253)&lt;3,"",AVERAGE($Z$251:$Z$253))</f>
        <v>0</v>
      </c>
      <c r="AB253">
        <f>IF(COUNT($AA$251:$AA$253)&lt;3,"",AVERAGE($AA$251:$AA$253))</f>
        <v>0</v>
      </c>
      <c r="AC253">
        <f>IF($E253="","",MAX($C253-$D253,ABS($C253-$E252),ABS($D253-$E252)))</f>
        <v>0</v>
      </c>
      <c r="AD253">
        <f>IF(COUNT($E$2:$E253)&lt;15,"",AVERAGE($AC$240:$AC$253))</f>
        <v>0</v>
      </c>
      <c r="AE253">
        <f>IF(OR($E253="",$E252=""),"",IF(AND(($C253-$C252)&gt;($D252-$D253),($C253-$C252)&gt;0),$C253-$C252,0))</f>
        <v>0</v>
      </c>
      <c r="AF253">
        <f>IF(OR($E253="",$E252=""),"",IF(AND(($D252-$D253)&gt;($C253-$C252),($D252-$D253)&gt;0),$D252-$D253,0))</f>
        <v>0</v>
      </c>
      <c r="AG253">
        <f>IF(COUNT($E$2:$E253)&lt;15,"",IF(SUM($AC$240:$AC$253)=0,0,100*SUM($AE$240:$AE$253)/SUM($AC$240:$AC$253)))</f>
        <v>0</v>
      </c>
      <c r="AH253">
        <f>IF(COUNT($E$2:$E253)&lt;15,"",IF(SUM($AC$240:$AC$253)=0,0,100*SUM($AF$240:$AF$253)/SUM($AC$240:$AC$253)))</f>
        <v>0</v>
      </c>
      <c r="AI253">
        <f>IF(OR(AG253="",AH253=""),"",IF((AG253+AH253)=0,0,100*ABS(AG253-AH253)/(AG253+AH253)))</f>
        <v>0</v>
      </c>
      <c r="AJ253">
        <f>IF(COUNT($AI$240:$AI$253)&lt;14,"",AVERAGE($AI$240:$AI$253))</f>
        <v>0</v>
      </c>
      <c r="AK253">
        <f>IF(COUNT($E$2:$E253)&lt;20,"",AVERAGE($E$234:$E$253))</f>
        <v>0</v>
      </c>
      <c r="AL253">
        <f>IF(COUNT($E$2:$E253)&lt;20,"",STDEVP($E$234:$E$253))</f>
        <v>0</v>
      </c>
      <c r="AM253">
        <f>IF(AK253="","",AK253+2*AL253)</f>
        <v>0</v>
      </c>
      <c r="AN253">
        <f>IF(AK253="","",AK253-2*AL253)</f>
        <v>0</v>
      </c>
      <c r="AO253">
        <f>IF(OR(AM253="",AN253="",AM253=AN253),"",($E253-AN253)/(AM253-AN253))</f>
        <v>0</v>
      </c>
      <c r="AP253">
        <f>IF(OR(AM253="",AK253="",AK253=0),"",(AM253-AN253)/AK253)</f>
        <v>0</v>
      </c>
      <c r="AQ253">
        <f>IF(COUNT($E$2:$E253)&lt;20,"",MAX($C$234:$C$253))</f>
        <v>0</v>
      </c>
      <c r="AR253">
        <f>IF(COUNT($E$2:$E253)&lt;20,"",MIN($D$234:$D$253))</f>
        <v>0</v>
      </c>
      <c r="AS253">
        <f>IF(OR(AQ253="",AR253=""),"",(AQ253+AR253)/2)</f>
        <v>0</v>
      </c>
      <c r="AT253">
        <f>IF(COUNT($G$234:$G$253)&lt;20,"",STDEV($G$234:$G$253)*SQRT(52))</f>
        <v>0</v>
      </c>
      <c r="AU253">
        <f>IF(COUNT($E$2:$E253)&lt;9,"",(MAX($C$245:$C$253)+MIN($D$245:$D$253))/2)</f>
        <v>0</v>
      </c>
      <c r="AV253">
        <f>IF(COUNT($E$2:$E253)&lt;26,"",(MAX($C$228:$C$253)+MIN($D$228:$D$253))/2)</f>
        <v>0</v>
      </c>
      <c r="AW253">
        <f>IF(OR(AU253="",AV253=""),"",(AU253+AV253)/2)</f>
        <v>0</v>
      </c>
      <c r="AX253">
        <f>IF(COUNT($E$2:$E253)&lt;52,"",(MAX($C$202:$C$253)+MIN($D$202:$D$253))/2)</f>
        <v>0</v>
      </c>
      <c r="AY253">
        <f>IF(COUNT($E$2:$E253)&lt;20,"",MAX($C$154:$C$253))</f>
        <v>0</v>
      </c>
      <c r="AZ253">
        <f>IF(COUNT($E$2:$E253)&lt;20,"",MIN($D$154:$D$253))</f>
        <v>0</v>
      </c>
      <c r="BA253">
        <f>IF(COUNT($E$2:$E253)&lt;20,"",SLOPE($E$154:$E$253,$F$154:$F$253))</f>
        <v>0</v>
      </c>
      <c r="BB253">
        <f>IF(COUNT($E$2:$E253)&lt;20,"",INTERCEPT($E$154:$E$253,$F$154:$F$253))</f>
        <v>0</v>
      </c>
      <c r="BC253">
        <f>IF(OR(BA253="",BB253=""),"",BB253+BA253*F253)</f>
        <v>0</v>
      </c>
      <c r="BD253">
        <f>IF(COUNT($E$2:$E253)&lt;20,"",STEYX($E$154:$E$253,$F$154:$F$253))</f>
        <v>0</v>
      </c>
      <c r="BE253">
        <f>IF($E253="","",IF(AND(COUNT($E$254:$E$257)&gt;=4,$C253=MAX($C$249:$C$257)),$C253,""))</f>
        <v>0</v>
      </c>
      <c r="BF253">
        <f>IF($E253="","",IF(AND(COUNT($E$254:$E$257)&gt;=4,$D253=MIN($D$249:$D$257)),$D253,""))</f>
        <v>0</v>
      </c>
      <c r="BG253">
        <f>IFERROR(SMALL(Calc_Daily!$BM$2:$BM$2001,252),"")</f>
        <v>0</v>
      </c>
    </row>
    <row r="254" spans="1:59">
      <c r="A254" s="27">
        <f>IF($BG254="","",INDEX(Calc_Daily!$A$2:$A$2001,$BG254))</f>
        <v>0</v>
      </c>
      <c r="B254">
        <f>IF($BG254="","",INDEX(Calc_Daily!$BJ$2:$BJ$2001,$BG254))</f>
        <v>0</v>
      </c>
      <c r="C254">
        <f>IF($BG254="","",INDEX(Calc_Daily!$BK$2:$BK$2001,$BG254))</f>
        <v>0</v>
      </c>
      <c r="D254">
        <f>IF($BG254="","",INDEX(Calc_Daily!$BL$2:$BL$2001,$BG254))</f>
        <v>0</v>
      </c>
      <c r="E254">
        <f>IF($BG254="","",INDEX(Calc_Daily!$E$2:$E$2001,$BG254))</f>
        <v>0</v>
      </c>
      <c r="F254">
        <f>IF($E254="","",N(F253)+1)</f>
        <v>0</v>
      </c>
      <c r="G254">
        <f>IF(OR($E254="",$E253=""),"",LN($E254/$E253))</f>
        <v>0</v>
      </c>
      <c r="H254">
        <f>IF($E254="","",IF($E253="",$E254,$E254*0.0952380952+H253*0.9047619048))</f>
        <v>0</v>
      </c>
      <c r="I254">
        <f>IF($E254="","",IF($E253="",$E254,$E254*0.0392156863+I253*0.9607843137))</f>
        <v>0</v>
      </c>
      <c r="J254">
        <f>IF($E254="","",IF($E253="",$E254,$E254*0.0198019802+J253*0.9801980198))</f>
        <v>0</v>
      </c>
      <c r="K254">
        <f>IF($E254="","",IF($E253="",$E254,$E254*0.0099502488+K253*0.9900497512))</f>
        <v>0</v>
      </c>
      <c r="L254">
        <f>IF(OR($E254="",$E253=""),"",MAX($E254-$E253,0))</f>
        <v>0</v>
      </c>
      <c r="M254">
        <f>IF(OR($E254="",$E253=""),"",MAX($E253-$E254,0))</f>
        <v>0</v>
      </c>
      <c r="N254">
        <f>IF(COUNT($E$2:$E254)&lt;15,"",IF(AVERAGE($M$241:$M$254)=0,100,100-100/(1+AVERAGE($L$241:$L$254)/AVERAGE($M$241:$M$254))))</f>
        <v>0</v>
      </c>
      <c r="O254">
        <f>IF($E254="","",IF($E253="",$E254,$E254*0.1538461538+O253*0.8461538462))</f>
        <v>0</v>
      </c>
      <c r="P254">
        <f>IF($E254="","",IF($E253="",$E254,$E254*0.0740740741+P253*0.9259259259))</f>
        <v>0</v>
      </c>
      <c r="Q254">
        <f>IF(OR(O254="",P254=""),"",O254-P254)</f>
        <v>0</v>
      </c>
      <c r="R254">
        <f>IF(Q254="","",IF(R253="",Q254,Q254*0.2000000000+R253*0.8000000000))</f>
        <v>0</v>
      </c>
      <c r="S254">
        <f>IF(OR(Q254="",R254=""),"",Q254-R254)</f>
        <v>0</v>
      </c>
      <c r="T254">
        <f>IF(COUNT($E$2:$E254)&lt;14,"",MAX($C$241:$C$254))</f>
        <v>0</v>
      </c>
      <c r="U254">
        <f>IF(COUNT($E$2:$E254)&lt;14,"",MIN($D$241:$D$254))</f>
        <v>0</v>
      </c>
      <c r="V254">
        <f>IF(OR(T254="",U254="",T254=U254),"",100*($E254-U254)/(T254-U254))</f>
        <v>0</v>
      </c>
      <c r="W254">
        <f>IF(COUNT($V$252:$V$254)&lt;3,"",AVERAGE($V$252:$V$254))</f>
        <v>0</v>
      </c>
      <c r="X254">
        <f>IF(COUNT($N$241:$N$254)&lt;14,"",MIN($N$241:$N$254))</f>
        <v>0</v>
      </c>
      <c r="Y254">
        <f>IF(COUNT($N$241:$N$254)&lt;14,"",MAX($N$241:$N$254))</f>
        <v>0</v>
      </c>
      <c r="Z254">
        <f>IF(OR(N254="",X254="",Y254="",Y254=X254),"",100*(N254-X254)/(Y254-X254))</f>
        <v>0</v>
      </c>
      <c r="AA254">
        <f>IF(COUNT($Z$252:$Z$254)&lt;3,"",AVERAGE($Z$252:$Z$254))</f>
        <v>0</v>
      </c>
      <c r="AB254">
        <f>IF(COUNT($AA$252:$AA$254)&lt;3,"",AVERAGE($AA$252:$AA$254))</f>
        <v>0</v>
      </c>
      <c r="AC254">
        <f>IF($E254="","",MAX($C254-$D254,ABS($C254-$E253),ABS($D254-$E253)))</f>
        <v>0</v>
      </c>
      <c r="AD254">
        <f>IF(COUNT($E$2:$E254)&lt;15,"",AVERAGE($AC$241:$AC$254))</f>
        <v>0</v>
      </c>
      <c r="AE254">
        <f>IF(OR($E254="",$E253=""),"",IF(AND(($C254-$C253)&gt;($D253-$D254),($C254-$C253)&gt;0),$C254-$C253,0))</f>
        <v>0</v>
      </c>
      <c r="AF254">
        <f>IF(OR($E254="",$E253=""),"",IF(AND(($D253-$D254)&gt;($C254-$C253),($D253-$D254)&gt;0),$D253-$D254,0))</f>
        <v>0</v>
      </c>
      <c r="AG254">
        <f>IF(COUNT($E$2:$E254)&lt;15,"",IF(SUM($AC$241:$AC$254)=0,0,100*SUM($AE$241:$AE$254)/SUM($AC$241:$AC$254)))</f>
        <v>0</v>
      </c>
      <c r="AH254">
        <f>IF(COUNT($E$2:$E254)&lt;15,"",IF(SUM($AC$241:$AC$254)=0,0,100*SUM($AF$241:$AF$254)/SUM($AC$241:$AC$254)))</f>
        <v>0</v>
      </c>
      <c r="AI254">
        <f>IF(OR(AG254="",AH254=""),"",IF((AG254+AH254)=0,0,100*ABS(AG254-AH254)/(AG254+AH254)))</f>
        <v>0</v>
      </c>
      <c r="AJ254">
        <f>IF(COUNT($AI$241:$AI$254)&lt;14,"",AVERAGE($AI$241:$AI$254))</f>
        <v>0</v>
      </c>
      <c r="AK254">
        <f>IF(COUNT($E$2:$E254)&lt;20,"",AVERAGE($E$235:$E$254))</f>
        <v>0</v>
      </c>
      <c r="AL254">
        <f>IF(COUNT($E$2:$E254)&lt;20,"",STDEVP($E$235:$E$254))</f>
        <v>0</v>
      </c>
      <c r="AM254">
        <f>IF(AK254="","",AK254+2*AL254)</f>
        <v>0</v>
      </c>
      <c r="AN254">
        <f>IF(AK254="","",AK254-2*AL254)</f>
        <v>0</v>
      </c>
      <c r="AO254">
        <f>IF(OR(AM254="",AN254="",AM254=AN254),"",($E254-AN254)/(AM254-AN254))</f>
        <v>0</v>
      </c>
      <c r="AP254">
        <f>IF(OR(AM254="",AK254="",AK254=0),"",(AM254-AN254)/AK254)</f>
        <v>0</v>
      </c>
      <c r="AQ254">
        <f>IF(COUNT($E$2:$E254)&lt;20,"",MAX($C$235:$C$254))</f>
        <v>0</v>
      </c>
      <c r="AR254">
        <f>IF(COUNT($E$2:$E254)&lt;20,"",MIN($D$235:$D$254))</f>
        <v>0</v>
      </c>
      <c r="AS254">
        <f>IF(OR(AQ254="",AR254=""),"",(AQ254+AR254)/2)</f>
        <v>0</v>
      </c>
      <c r="AT254">
        <f>IF(COUNT($G$235:$G$254)&lt;20,"",STDEV($G$235:$G$254)*SQRT(52))</f>
        <v>0</v>
      </c>
      <c r="AU254">
        <f>IF(COUNT($E$2:$E254)&lt;9,"",(MAX($C$246:$C$254)+MIN($D$246:$D$254))/2)</f>
        <v>0</v>
      </c>
      <c r="AV254">
        <f>IF(COUNT($E$2:$E254)&lt;26,"",(MAX($C$229:$C$254)+MIN($D$229:$D$254))/2)</f>
        <v>0</v>
      </c>
      <c r="AW254">
        <f>IF(OR(AU254="",AV254=""),"",(AU254+AV254)/2)</f>
        <v>0</v>
      </c>
      <c r="AX254">
        <f>IF(COUNT($E$2:$E254)&lt;52,"",(MAX($C$203:$C$254)+MIN($D$203:$D$254))/2)</f>
        <v>0</v>
      </c>
      <c r="AY254">
        <f>IF(COUNT($E$2:$E254)&lt;20,"",MAX($C$155:$C$254))</f>
        <v>0</v>
      </c>
      <c r="AZ254">
        <f>IF(COUNT($E$2:$E254)&lt;20,"",MIN($D$155:$D$254))</f>
        <v>0</v>
      </c>
      <c r="BA254">
        <f>IF(COUNT($E$2:$E254)&lt;20,"",SLOPE($E$155:$E$254,$F$155:$F$254))</f>
        <v>0</v>
      </c>
      <c r="BB254">
        <f>IF(COUNT($E$2:$E254)&lt;20,"",INTERCEPT($E$155:$E$254,$F$155:$F$254))</f>
        <v>0</v>
      </c>
      <c r="BC254">
        <f>IF(OR(BA254="",BB254=""),"",BB254+BA254*F254)</f>
        <v>0</v>
      </c>
      <c r="BD254">
        <f>IF(COUNT($E$2:$E254)&lt;20,"",STEYX($E$155:$E$254,$F$155:$F$254))</f>
        <v>0</v>
      </c>
      <c r="BE254">
        <f>IF($E254="","",IF(AND(COUNT($E$255:$E$258)&gt;=4,$C254=MAX($C$250:$C$258)),$C254,""))</f>
        <v>0</v>
      </c>
      <c r="BF254">
        <f>IF($E254="","",IF(AND(COUNT($E$255:$E$258)&gt;=4,$D254=MIN($D$250:$D$258)),$D254,""))</f>
        <v>0</v>
      </c>
      <c r="BG254">
        <f>IFERROR(SMALL(Calc_Daily!$BM$2:$BM$2001,253),"")</f>
        <v>0</v>
      </c>
    </row>
    <row r="255" spans="1:59">
      <c r="A255" s="27">
        <f>IF($BG255="","",INDEX(Calc_Daily!$A$2:$A$2001,$BG255))</f>
        <v>0</v>
      </c>
      <c r="B255">
        <f>IF($BG255="","",INDEX(Calc_Daily!$BJ$2:$BJ$2001,$BG255))</f>
        <v>0</v>
      </c>
      <c r="C255">
        <f>IF($BG255="","",INDEX(Calc_Daily!$BK$2:$BK$2001,$BG255))</f>
        <v>0</v>
      </c>
      <c r="D255">
        <f>IF($BG255="","",INDEX(Calc_Daily!$BL$2:$BL$2001,$BG255))</f>
        <v>0</v>
      </c>
      <c r="E255">
        <f>IF($BG255="","",INDEX(Calc_Daily!$E$2:$E$2001,$BG255))</f>
        <v>0</v>
      </c>
      <c r="F255">
        <f>IF($E255="","",N(F254)+1)</f>
        <v>0</v>
      </c>
      <c r="G255">
        <f>IF(OR($E255="",$E254=""),"",LN($E255/$E254))</f>
        <v>0</v>
      </c>
      <c r="H255">
        <f>IF($E255="","",IF($E254="",$E255,$E255*0.0952380952+H254*0.9047619048))</f>
        <v>0</v>
      </c>
      <c r="I255">
        <f>IF($E255="","",IF($E254="",$E255,$E255*0.0392156863+I254*0.9607843137))</f>
        <v>0</v>
      </c>
      <c r="J255">
        <f>IF($E255="","",IF($E254="",$E255,$E255*0.0198019802+J254*0.9801980198))</f>
        <v>0</v>
      </c>
      <c r="K255">
        <f>IF($E255="","",IF($E254="",$E255,$E255*0.0099502488+K254*0.9900497512))</f>
        <v>0</v>
      </c>
      <c r="L255">
        <f>IF(OR($E255="",$E254=""),"",MAX($E255-$E254,0))</f>
        <v>0</v>
      </c>
      <c r="M255">
        <f>IF(OR($E255="",$E254=""),"",MAX($E254-$E255,0))</f>
        <v>0</v>
      </c>
      <c r="N255">
        <f>IF(COUNT($E$2:$E255)&lt;15,"",IF(AVERAGE($M$242:$M$255)=0,100,100-100/(1+AVERAGE($L$242:$L$255)/AVERAGE($M$242:$M$255))))</f>
        <v>0</v>
      </c>
      <c r="O255">
        <f>IF($E255="","",IF($E254="",$E255,$E255*0.1538461538+O254*0.8461538462))</f>
        <v>0</v>
      </c>
      <c r="P255">
        <f>IF($E255="","",IF($E254="",$E255,$E255*0.0740740741+P254*0.9259259259))</f>
        <v>0</v>
      </c>
      <c r="Q255">
        <f>IF(OR(O255="",P255=""),"",O255-P255)</f>
        <v>0</v>
      </c>
      <c r="R255">
        <f>IF(Q255="","",IF(R254="",Q255,Q255*0.2000000000+R254*0.8000000000))</f>
        <v>0</v>
      </c>
      <c r="S255">
        <f>IF(OR(Q255="",R255=""),"",Q255-R255)</f>
        <v>0</v>
      </c>
      <c r="T255">
        <f>IF(COUNT($E$2:$E255)&lt;14,"",MAX($C$242:$C$255))</f>
        <v>0</v>
      </c>
      <c r="U255">
        <f>IF(COUNT($E$2:$E255)&lt;14,"",MIN($D$242:$D$255))</f>
        <v>0</v>
      </c>
      <c r="V255">
        <f>IF(OR(T255="",U255="",T255=U255),"",100*($E255-U255)/(T255-U255))</f>
        <v>0</v>
      </c>
      <c r="W255">
        <f>IF(COUNT($V$253:$V$255)&lt;3,"",AVERAGE($V$253:$V$255))</f>
        <v>0</v>
      </c>
      <c r="X255">
        <f>IF(COUNT($N$242:$N$255)&lt;14,"",MIN($N$242:$N$255))</f>
        <v>0</v>
      </c>
      <c r="Y255">
        <f>IF(COUNT($N$242:$N$255)&lt;14,"",MAX($N$242:$N$255))</f>
        <v>0</v>
      </c>
      <c r="Z255">
        <f>IF(OR(N255="",X255="",Y255="",Y255=X255),"",100*(N255-X255)/(Y255-X255))</f>
        <v>0</v>
      </c>
      <c r="AA255">
        <f>IF(COUNT($Z$253:$Z$255)&lt;3,"",AVERAGE($Z$253:$Z$255))</f>
        <v>0</v>
      </c>
      <c r="AB255">
        <f>IF(COUNT($AA$253:$AA$255)&lt;3,"",AVERAGE($AA$253:$AA$255))</f>
        <v>0</v>
      </c>
      <c r="AC255">
        <f>IF($E255="","",MAX($C255-$D255,ABS($C255-$E254),ABS($D255-$E254)))</f>
        <v>0</v>
      </c>
      <c r="AD255">
        <f>IF(COUNT($E$2:$E255)&lt;15,"",AVERAGE($AC$242:$AC$255))</f>
        <v>0</v>
      </c>
      <c r="AE255">
        <f>IF(OR($E255="",$E254=""),"",IF(AND(($C255-$C254)&gt;($D254-$D255),($C255-$C254)&gt;0),$C255-$C254,0))</f>
        <v>0</v>
      </c>
      <c r="AF255">
        <f>IF(OR($E255="",$E254=""),"",IF(AND(($D254-$D255)&gt;($C255-$C254),($D254-$D255)&gt;0),$D254-$D255,0))</f>
        <v>0</v>
      </c>
      <c r="AG255">
        <f>IF(COUNT($E$2:$E255)&lt;15,"",IF(SUM($AC$242:$AC$255)=0,0,100*SUM($AE$242:$AE$255)/SUM($AC$242:$AC$255)))</f>
        <v>0</v>
      </c>
      <c r="AH255">
        <f>IF(COUNT($E$2:$E255)&lt;15,"",IF(SUM($AC$242:$AC$255)=0,0,100*SUM($AF$242:$AF$255)/SUM($AC$242:$AC$255)))</f>
        <v>0</v>
      </c>
      <c r="AI255">
        <f>IF(OR(AG255="",AH255=""),"",IF((AG255+AH255)=0,0,100*ABS(AG255-AH255)/(AG255+AH255)))</f>
        <v>0</v>
      </c>
      <c r="AJ255">
        <f>IF(COUNT($AI$242:$AI$255)&lt;14,"",AVERAGE($AI$242:$AI$255))</f>
        <v>0</v>
      </c>
      <c r="AK255">
        <f>IF(COUNT($E$2:$E255)&lt;20,"",AVERAGE($E$236:$E$255))</f>
        <v>0</v>
      </c>
      <c r="AL255">
        <f>IF(COUNT($E$2:$E255)&lt;20,"",STDEVP($E$236:$E$255))</f>
        <v>0</v>
      </c>
      <c r="AM255">
        <f>IF(AK255="","",AK255+2*AL255)</f>
        <v>0</v>
      </c>
      <c r="AN255">
        <f>IF(AK255="","",AK255-2*AL255)</f>
        <v>0</v>
      </c>
      <c r="AO255">
        <f>IF(OR(AM255="",AN255="",AM255=AN255),"",($E255-AN255)/(AM255-AN255))</f>
        <v>0</v>
      </c>
      <c r="AP255">
        <f>IF(OR(AM255="",AK255="",AK255=0),"",(AM255-AN255)/AK255)</f>
        <v>0</v>
      </c>
      <c r="AQ255">
        <f>IF(COUNT($E$2:$E255)&lt;20,"",MAX($C$236:$C$255))</f>
        <v>0</v>
      </c>
      <c r="AR255">
        <f>IF(COUNT($E$2:$E255)&lt;20,"",MIN($D$236:$D$255))</f>
        <v>0</v>
      </c>
      <c r="AS255">
        <f>IF(OR(AQ255="",AR255=""),"",(AQ255+AR255)/2)</f>
        <v>0</v>
      </c>
      <c r="AT255">
        <f>IF(COUNT($G$236:$G$255)&lt;20,"",STDEV($G$236:$G$255)*SQRT(52))</f>
        <v>0</v>
      </c>
      <c r="AU255">
        <f>IF(COUNT($E$2:$E255)&lt;9,"",(MAX($C$247:$C$255)+MIN($D$247:$D$255))/2)</f>
        <v>0</v>
      </c>
      <c r="AV255">
        <f>IF(COUNT($E$2:$E255)&lt;26,"",(MAX($C$230:$C$255)+MIN($D$230:$D$255))/2)</f>
        <v>0</v>
      </c>
      <c r="AW255">
        <f>IF(OR(AU255="",AV255=""),"",(AU255+AV255)/2)</f>
        <v>0</v>
      </c>
      <c r="AX255">
        <f>IF(COUNT($E$2:$E255)&lt;52,"",(MAX($C$204:$C$255)+MIN($D$204:$D$255))/2)</f>
        <v>0</v>
      </c>
      <c r="AY255">
        <f>IF(COUNT($E$2:$E255)&lt;20,"",MAX($C$156:$C$255))</f>
        <v>0</v>
      </c>
      <c r="AZ255">
        <f>IF(COUNT($E$2:$E255)&lt;20,"",MIN($D$156:$D$255))</f>
        <v>0</v>
      </c>
      <c r="BA255">
        <f>IF(COUNT($E$2:$E255)&lt;20,"",SLOPE($E$156:$E$255,$F$156:$F$255))</f>
        <v>0</v>
      </c>
      <c r="BB255">
        <f>IF(COUNT($E$2:$E255)&lt;20,"",INTERCEPT($E$156:$E$255,$F$156:$F$255))</f>
        <v>0</v>
      </c>
      <c r="BC255">
        <f>IF(OR(BA255="",BB255=""),"",BB255+BA255*F255)</f>
        <v>0</v>
      </c>
      <c r="BD255">
        <f>IF(COUNT($E$2:$E255)&lt;20,"",STEYX($E$156:$E$255,$F$156:$F$255))</f>
        <v>0</v>
      </c>
      <c r="BE255">
        <f>IF($E255="","",IF(AND(COUNT($E$256:$E$259)&gt;=4,$C255=MAX($C$251:$C$259)),$C255,""))</f>
        <v>0</v>
      </c>
      <c r="BF255">
        <f>IF($E255="","",IF(AND(COUNT($E$256:$E$259)&gt;=4,$D255=MIN($D$251:$D$259)),$D255,""))</f>
        <v>0</v>
      </c>
      <c r="BG255">
        <f>IFERROR(SMALL(Calc_Daily!$BM$2:$BM$2001,254),"")</f>
        <v>0</v>
      </c>
    </row>
    <row r="256" spans="1:59">
      <c r="A256" s="27">
        <f>IF($BG256="","",INDEX(Calc_Daily!$A$2:$A$2001,$BG256))</f>
        <v>0</v>
      </c>
      <c r="B256">
        <f>IF($BG256="","",INDEX(Calc_Daily!$BJ$2:$BJ$2001,$BG256))</f>
        <v>0</v>
      </c>
      <c r="C256">
        <f>IF($BG256="","",INDEX(Calc_Daily!$BK$2:$BK$2001,$BG256))</f>
        <v>0</v>
      </c>
      <c r="D256">
        <f>IF($BG256="","",INDEX(Calc_Daily!$BL$2:$BL$2001,$BG256))</f>
        <v>0</v>
      </c>
      <c r="E256">
        <f>IF($BG256="","",INDEX(Calc_Daily!$E$2:$E$2001,$BG256))</f>
        <v>0</v>
      </c>
      <c r="F256">
        <f>IF($E256="","",N(F255)+1)</f>
        <v>0</v>
      </c>
      <c r="G256">
        <f>IF(OR($E256="",$E255=""),"",LN($E256/$E255))</f>
        <v>0</v>
      </c>
      <c r="H256">
        <f>IF($E256="","",IF($E255="",$E256,$E256*0.0952380952+H255*0.9047619048))</f>
        <v>0</v>
      </c>
      <c r="I256">
        <f>IF($E256="","",IF($E255="",$E256,$E256*0.0392156863+I255*0.9607843137))</f>
        <v>0</v>
      </c>
      <c r="J256">
        <f>IF($E256="","",IF($E255="",$E256,$E256*0.0198019802+J255*0.9801980198))</f>
        <v>0</v>
      </c>
      <c r="K256">
        <f>IF($E256="","",IF($E255="",$E256,$E256*0.0099502488+K255*0.9900497512))</f>
        <v>0</v>
      </c>
      <c r="L256">
        <f>IF(OR($E256="",$E255=""),"",MAX($E256-$E255,0))</f>
        <v>0</v>
      </c>
      <c r="M256">
        <f>IF(OR($E256="",$E255=""),"",MAX($E255-$E256,0))</f>
        <v>0</v>
      </c>
      <c r="N256">
        <f>IF(COUNT($E$2:$E256)&lt;15,"",IF(AVERAGE($M$243:$M$256)=0,100,100-100/(1+AVERAGE($L$243:$L$256)/AVERAGE($M$243:$M$256))))</f>
        <v>0</v>
      </c>
      <c r="O256">
        <f>IF($E256="","",IF($E255="",$E256,$E256*0.1538461538+O255*0.8461538462))</f>
        <v>0</v>
      </c>
      <c r="P256">
        <f>IF($E256="","",IF($E255="",$E256,$E256*0.0740740741+P255*0.9259259259))</f>
        <v>0</v>
      </c>
      <c r="Q256">
        <f>IF(OR(O256="",P256=""),"",O256-P256)</f>
        <v>0</v>
      </c>
      <c r="R256">
        <f>IF(Q256="","",IF(R255="",Q256,Q256*0.2000000000+R255*0.8000000000))</f>
        <v>0</v>
      </c>
      <c r="S256">
        <f>IF(OR(Q256="",R256=""),"",Q256-R256)</f>
        <v>0</v>
      </c>
      <c r="T256">
        <f>IF(COUNT($E$2:$E256)&lt;14,"",MAX($C$243:$C$256))</f>
        <v>0</v>
      </c>
      <c r="U256">
        <f>IF(COUNT($E$2:$E256)&lt;14,"",MIN($D$243:$D$256))</f>
        <v>0</v>
      </c>
      <c r="V256">
        <f>IF(OR(T256="",U256="",T256=U256),"",100*($E256-U256)/(T256-U256))</f>
        <v>0</v>
      </c>
      <c r="W256">
        <f>IF(COUNT($V$254:$V$256)&lt;3,"",AVERAGE($V$254:$V$256))</f>
        <v>0</v>
      </c>
      <c r="X256">
        <f>IF(COUNT($N$243:$N$256)&lt;14,"",MIN($N$243:$N$256))</f>
        <v>0</v>
      </c>
      <c r="Y256">
        <f>IF(COUNT($N$243:$N$256)&lt;14,"",MAX($N$243:$N$256))</f>
        <v>0</v>
      </c>
      <c r="Z256">
        <f>IF(OR(N256="",X256="",Y256="",Y256=X256),"",100*(N256-X256)/(Y256-X256))</f>
        <v>0</v>
      </c>
      <c r="AA256">
        <f>IF(COUNT($Z$254:$Z$256)&lt;3,"",AVERAGE($Z$254:$Z$256))</f>
        <v>0</v>
      </c>
      <c r="AB256">
        <f>IF(COUNT($AA$254:$AA$256)&lt;3,"",AVERAGE($AA$254:$AA$256))</f>
        <v>0</v>
      </c>
      <c r="AC256">
        <f>IF($E256="","",MAX($C256-$D256,ABS($C256-$E255),ABS($D256-$E255)))</f>
        <v>0</v>
      </c>
      <c r="AD256">
        <f>IF(COUNT($E$2:$E256)&lt;15,"",AVERAGE($AC$243:$AC$256))</f>
        <v>0</v>
      </c>
      <c r="AE256">
        <f>IF(OR($E256="",$E255=""),"",IF(AND(($C256-$C255)&gt;($D255-$D256),($C256-$C255)&gt;0),$C256-$C255,0))</f>
        <v>0</v>
      </c>
      <c r="AF256">
        <f>IF(OR($E256="",$E255=""),"",IF(AND(($D255-$D256)&gt;($C256-$C255),($D255-$D256)&gt;0),$D255-$D256,0))</f>
        <v>0</v>
      </c>
      <c r="AG256">
        <f>IF(COUNT($E$2:$E256)&lt;15,"",IF(SUM($AC$243:$AC$256)=0,0,100*SUM($AE$243:$AE$256)/SUM($AC$243:$AC$256)))</f>
        <v>0</v>
      </c>
      <c r="AH256">
        <f>IF(COUNT($E$2:$E256)&lt;15,"",IF(SUM($AC$243:$AC$256)=0,0,100*SUM($AF$243:$AF$256)/SUM($AC$243:$AC$256)))</f>
        <v>0</v>
      </c>
      <c r="AI256">
        <f>IF(OR(AG256="",AH256=""),"",IF((AG256+AH256)=0,0,100*ABS(AG256-AH256)/(AG256+AH256)))</f>
        <v>0</v>
      </c>
      <c r="AJ256">
        <f>IF(COUNT($AI$243:$AI$256)&lt;14,"",AVERAGE($AI$243:$AI$256))</f>
        <v>0</v>
      </c>
      <c r="AK256">
        <f>IF(COUNT($E$2:$E256)&lt;20,"",AVERAGE($E$237:$E$256))</f>
        <v>0</v>
      </c>
      <c r="AL256">
        <f>IF(COUNT($E$2:$E256)&lt;20,"",STDEVP($E$237:$E$256))</f>
        <v>0</v>
      </c>
      <c r="AM256">
        <f>IF(AK256="","",AK256+2*AL256)</f>
        <v>0</v>
      </c>
      <c r="AN256">
        <f>IF(AK256="","",AK256-2*AL256)</f>
        <v>0</v>
      </c>
      <c r="AO256">
        <f>IF(OR(AM256="",AN256="",AM256=AN256),"",($E256-AN256)/(AM256-AN256))</f>
        <v>0</v>
      </c>
      <c r="AP256">
        <f>IF(OR(AM256="",AK256="",AK256=0),"",(AM256-AN256)/AK256)</f>
        <v>0</v>
      </c>
      <c r="AQ256">
        <f>IF(COUNT($E$2:$E256)&lt;20,"",MAX($C$237:$C$256))</f>
        <v>0</v>
      </c>
      <c r="AR256">
        <f>IF(COUNT($E$2:$E256)&lt;20,"",MIN($D$237:$D$256))</f>
        <v>0</v>
      </c>
      <c r="AS256">
        <f>IF(OR(AQ256="",AR256=""),"",(AQ256+AR256)/2)</f>
        <v>0</v>
      </c>
      <c r="AT256">
        <f>IF(COUNT($G$237:$G$256)&lt;20,"",STDEV($G$237:$G$256)*SQRT(52))</f>
        <v>0</v>
      </c>
      <c r="AU256">
        <f>IF(COUNT($E$2:$E256)&lt;9,"",(MAX($C$248:$C$256)+MIN($D$248:$D$256))/2)</f>
        <v>0</v>
      </c>
      <c r="AV256">
        <f>IF(COUNT($E$2:$E256)&lt;26,"",(MAX($C$231:$C$256)+MIN($D$231:$D$256))/2)</f>
        <v>0</v>
      </c>
      <c r="AW256">
        <f>IF(OR(AU256="",AV256=""),"",(AU256+AV256)/2)</f>
        <v>0</v>
      </c>
      <c r="AX256">
        <f>IF(COUNT($E$2:$E256)&lt;52,"",(MAX($C$205:$C$256)+MIN($D$205:$D$256))/2)</f>
        <v>0</v>
      </c>
      <c r="AY256">
        <f>IF(COUNT($E$2:$E256)&lt;20,"",MAX($C$157:$C$256))</f>
        <v>0</v>
      </c>
      <c r="AZ256">
        <f>IF(COUNT($E$2:$E256)&lt;20,"",MIN($D$157:$D$256))</f>
        <v>0</v>
      </c>
      <c r="BA256">
        <f>IF(COUNT($E$2:$E256)&lt;20,"",SLOPE($E$157:$E$256,$F$157:$F$256))</f>
        <v>0</v>
      </c>
      <c r="BB256">
        <f>IF(COUNT($E$2:$E256)&lt;20,"",INTERCEPT($E$157:$E$256,$F$157:$F$256))</f>
        <v>0</v>
      </c>
      <c r="BC256">
        <f>IF(OR(BA256="",BB256=""),"",BB256+BA256*F256)</f>
        <v>0</v>
      </c>
      <c r="BD256">
        <f>IF(COUNT($E$2:$E256)&lt;20,"",STEYX($E$157:$E$256,$F$157:$F$256))</f>
        <v>0</v>
      </c>
      <c r="BE256">
        <f>IF($E256="","",IF(AND(COUNT($E$257:$E$260)&gt;=4,$C256=MAX($C$252:$C$260)),$C256,""))</f>
        <v>0</v>
      </c>
      <c r="BF256">
        <f>IF($E256="","",IF(AND(COUNT($E$257:$E$260)&gt;=4,$D256=MIN($D$252:$D$260)),$D256,""))</f>
        <v>0</v>
      </c>
      <c r="BG256">
        <f>IFERROR(SMALL(Calc_Daily!$BM$2:$BM$2001,255),"")</f>
        <v>0</v>
      </c>
    </row>
    <row r="257" spans="1:59">
      <c r="A257" s="27">
        <f>IF($BG257="","",INDEX(Calc_Daily!$A$2:$A$2001,$BG257))</f>
        <v>0</v>
      </c>
      <c r="B257">
        <f>IF($BG257="","",INDEX(Calc_Daily!$BJ$2:$BJ$2001,$BG257))</f>
        <v>0</v>
      </c>
      <c r="C257">
        <f>IF($BG257="","",INDEX(Calc_Daily!$BK$2:$BK$2001,$BG257))</f>
        <v>0</v>
      </c>
      <c r="D257">
        <f>IF($BG257="","",INDEX(Calc_Daily!$BL$2:$BL$2001,$BG257))</f>
        <v>0</v>
      </c>
      <c r="E257">
        <f>IF($BG257="","",INDEX(Calc_Daily!$E$2:$E$2001,$BG257))</f>
        <v>0</v>
      </c>
      <c r="F257">
        <f>IF($E257="","",N(F256)+1)</f>
        <v>0</v>
      </c>
      <c r="G257">
        <f>IF(OR($E257="",$E256=""),"",LN($E257/$E256))</f>
        <v>0</v>
      </c>
      <c r="H257">
        <f>IF($E257="","",IF($E256="",$E257,$E257*0.0952380952+H256*0.9047619048))</f>
        <v>0</v>
      </c>
      <c r="I257">
        <f>IF($E257="","",IF($E256="",$E257,$E257*0.0392156863+I256*0.9607843137))</f>
        <v>0</v>
      </c>
      <c r="J257">
        <f>IF($E257="","",IF($E256="",$E257,$E257*0.0198019802+J256*0.9801980198))</f>
        <v>0</v>
      </c>
      <c r="K257">
        <f>IF($E257="","",IF($E256="",$E257,$E257*0.0099502488+K256*0.9900497512))</f>
        <v>0</v>
      </c>
      <c r="L257">
        <f>IF(OR($E257="",$E256=""),"",MAX($E257-$E256,0))</f>
        <v>0</v>
      </c>
      <c r="M257">
        <f>IF(OR($E257="",$E256=""),"",MAX($E256-$E257,0))</f>
        <v>0</v>
      </c>
      <c r="N257">
        <f>IF(COUNT($E$2:$E257)&lt;15,"",IF(AVERAGE($M$244:$M$257)=0,100,100-100/(1+AVERAGE($L$244:$L$257)/AVERAGE($M$244:$M$257))))</f>
        <v>0</v>
      </c>
      <c r="O257">
        <f>IF($E257="","",IF($E256="",$E257,$E257*0.1538461538+O256*0.8461538462))</f>
        <v>0</v>
      </c>
      <c r="P257">
        <f>IF($E257="","",IF($E256="",$E257,$E257*0.0740740741+P256*0.9259259259))</f>
        <v>0</v>
      </c>
      <c r="Q257">
        <f>IF(OR(O257="",P257=""),"",O257-P257)</f>
        <v>0</v>
      </c>
      <c r="R257">
        <f>IF(Q257="","",IF(R256="",Q257,Q257*0.2000000000+R256*0.8000000000))</f>
        <v>0</v>
      </c>
      <c r="S257">
        <f>IF(OR(Q257="",R257=""),"",Q257-R257)</f>
        <v>0</v>
      </c>
      <c r="T257">
        <f>IF(COUNT($E$2:$E257)&lt;14,"",MAX($C$244:$C$257))</f>
        <v>0</v>
      </c>
      <c r="U257">
        <f>IF(COUNT($E$2:$E257)&lt;14,"",MIN($D$244:$D$257))</f>
        <v>0</v>
      </c>
      <c r="V257">
        <f>IF(OR(T257="",U257="",T257=U257),"",100*($E257-U257)/(T257-U257))</f>
        <v>0</v>
      </c>
      <c r="W257">
        <f>IF(COUNT($V$255:$V$257)&lt;3,"",AVERAGE($V$255:$V$257))</f>
        <v>0</v>
      </c>
      <c r="X257">
        <f>IF(COUNT($N$244:$N$257)&lt;14,"",MIN($N$244:$N$257))</f>
        <v>0</v>
      </c>
      <c r="Y257">
        <f>IF(COUNT($N$244:$N$257)&lt;14,"",MAX($N$244:$N$257))</f>
        <v>0</v>
      </c>
      <c r="Z257">
        <f>IF(OR(N257="",X257="",Y257="",Y257=X257),"",100*(N257-X257)/(Y257-X257))</f>
        <v>0</v>
      </c>
      <c r="AA257">
        <f>IF(COUNT($Z$255:$Z$257)&lt;3,"",AVERAGE($Z$255:$Z$257))</f>
        <v>0</v>
      </c>
      <c r="AB257">
        <f>IF(COUNT($AA$255:$AA$257)&lt;3,"",AVERAGE($AA$255:$AA$257))</f>
        <v>0</v>
      </c>
      <c r="AC257">
        <f>IF($E257="","",MAX($C257-$D257,ABS($C257-$E256),ABS($D257-$E256)))</f>
        <v>0</v>
      </c>
      <c r="AD257">
        <f>IF(COUNT($E$2:$E257)&lt;15,"",AVERAGE($AC$244:$AC$257))</f>
        <v>0</v>
      </c>
      <c r="AE257">
        <f>IF(OR($E257="",$E256=""),"",IF(AND(($C257-$C256)&gt;($D256-$D257),($C257-$C256)&gt;0),$C257-$C256,0))</f>
        <v>0</v>
      </c>
      <c r="AF257">
        <f>IF(OR($E257="",$E256=""),"",IF(AND(($D256-$D257)&gt;($C257-$C256),($D256-$D257)&gt;0),$D256-$D257,0))</f>
        <v>0</v>
      </c>
      <c r="AG257">
        <f>IF(COUNT($E$2:$E257)&lt;15,"",IF(SUM($AC$244:$AC$257)=0,0,100*SUM($AE$244:$AE$257)/SUM($AC$244:$AC$257)))</f>
        <v>0</v>
      </c>
      <c r="AH257">
        <f>IF(COUNT($E$2:$E257)&lt;15,"",IF(SUM($AC$244:$AC$257)=0,0,100*SUM($AF$244:$AF$257)/SUM($AC$244:$AC$257)))</f>
        <v>0</v>
      </c>
      <c r="AI257">
        <f>IF(OR(AG257="",AH257=""),"",IF((AG257+AH257)=0,0,100*ABS(AG257-AH257)/(AG257+AH257)))</f>
        <v>0</v>
      </c>
      <c r="AJ257">
        <f>IF(COUNT($AI$244:$AI$257)&lt;14,"",AVERAGE($AI$244:$AI$257))</f>
        <v>0</v>
      </c>
      <c r="AK257">
        <f>IF(COUNT($E$2:$E257)&lt;20,"",AVERAGE($E$238:$E$257))</f>
        <v>0</v>
      </c>
      <c r="AL257">
        <f>IF(COUNT($E$2:$E257)&lt;20,"",STDEVP($E$238:$E$257))</f>
        <v>0</v>
      </c>
      <c r="AM257">
        <f>IF(AK257="","",AK257+2*AL257)</f>
        <v>0</v>
      </c>
      <c r="AN257">
        <f>IF(AK257="","",AK257-2*AL257)</f>
        <v>0</v>
      </c>
      <c r="AO257">
        <f>IF(OR(AM257="",AN257="",AM257=AN257),"",($E257-AN257)/(AM257-AN257))</f>
        <v>0</v>
      </c>
      <c r="AP257">
        <f>IF(OR(AM257="",AK257="",AK257=0),"",(AM257-AN257)/AK257)</f>
        <v>0</v>
      </c>
      <c r="AQ257">
        <f>IF(COUNT($E$2:$E257)&lt;20,"",MAX($C$238:$C$257))</f>
        <v>0</v>
      </c>
      <c r="AR257">
        <f>IF(COUNT($E$2:$E257)&lt;20,"",MIN($D$238:$D$257))</f>
        <v>0</v>
      </c>
      <c r="AS257">
        <f>IF(OR(AQ257="",AR257=""),"",(AQ257+AR257)/2)</f>
        <v>0</v>
      </c>
      <c r="AT257">
        <f>IF(COUNT($G$238:$G$257)&lt;20,"",STDEV($G$238:$G$257)*SQRT(52))</f>
        <v>0</v>
      </c>
      <c r="AU257">
        <f>IF(COUNT($E$2:$E257)&lt;9,"",(MAX($C$249:$C$257)+MIN($D$249:$D$257))/2)</f>
        <v>0</v>
      </c>
      <c r="AV257">
        <f>IF(COUNT($E$2:$E257)&lt;26,"",(MAX($C$232:$C$257)+MIN($D$232:$D$257))/2)</f>
        <v>0</v>
      </c>
      <c r="AW257">
        <f>IF(OR(AU257="",AV257=""),"",(AU257+AV257)/2)</f>
        <v>0</v>
      </c>
      <c r="AX257">
        <f>IF(COUNT($E$2:$E257)&lt;52,"",(MAX($C$206:$C$257)+MIN($D$206:$D$257))/2)</f>
        <v>0</v>
      </c>
      <c r="AY257">
        <f>IF(COUNT($E$2:$E257)&lt;20,"",MAX($C$158:$C$257))</f>
        <v>0</v>
      </c>
      <c r="AZ257">
        <f>IF(COUNT($E$2:$E257)&lt;20,"",MIN($D$158:$D$257))</f>
        <v>0</v>
      </c>
      <c r="BA257">
        <f>IF(COUNT($E$2:$E257)&lt;20,"",SLOPE($E$158:$E$257,$F$158:$F$257))</f>
        <v>0</v>
      </c>
      <c r="BB257">
        <f>IF(COUNT($E$2:$E257)&lt;20,"",INTERCEPT($E$158:$E$257,$F$158:$F$257))</f>
        <v>0</v>
      </c>
      <c r="BC257">
        <f>IF(OR(BA257="",BB257=""),"",BB257+BA257*F257)</f>
        <v>0</v>
      </c>
      <c r="BD257">
        <f>IF(COUNT($E$2:$E257)&lt;20,"",STEYX($E$158:$E$257,$F$158:$F$257))</f>
        <v>0</v>
      </c>
      <c r="BE257">
        <f>IF($E257="","",IF(AND(COUNT($E$258:$E$261)&gt;=4,$C257=MAX($C$253:$C$261)),$C257,""))</f>
        <v>0</v>
      </c>
      <c r="BF257">
        <f>IF($E257="","",IF(AND(COUNT($E$258:$E$261)&gt;=4,$D257=MIN($D$253:$D$261)),$D257,""))</f>
        <v>0</v>
      </c>
      <c r="BG257">
        <f>IFERROR(SMALL(Calc_Daily!$BM$2:$BM$2001,256),"")</f>
        <v>0</v>
      </c>
    </row>
    <row r="258" spans="1:59">
      <c r="A258" s="27">
        <f>IF($BG258="","",INDEX(Calc_Daily!$A$2:$A$2001,$BG258))</f>
        <v>0</v>
      </c>
      <c r="B258">
        <f>IF($BG258="","",INDEX(Calc_Daily!$BJ$2:$BJ$2001,$BG258))</f>
        <v>0</v>
      </c>
      <c r="C258">
        <f>IF($BG258="","",INDEX(Calc_Daily!$BK$2:$BK$2001,$BG258))</f>
        <v>0</v>
      </c>
      <c r="D258">
        <f>IF($BG258="","",INDEX(Calc_Daily!$BL$2:$BL$2001,$BG258))</f>
        <v>0</v>
      </c>
      <c r="E258">
        <f>IF($BG258="","",INDEX(Calc_Daily!$E$2:$E$2001,$BG258))</f>
        <v>0</v>
      </c>
      <c r="F258">
        <f>IF($E258="","",N(F257)+1)</f>
        <v>0</v>
      </c>
      <c r="G258">
        <f>IF(OR($E258="",$E257=""),"",LN($E258/$E257))</f>
        <v>0</v>
      </c>
      <c r="H258">
        <f>IF($E258="","",IF($E257="",$E258,$E258*0.0952380952+H257*0.9047619048))</f>
        <v>0</v>
      </c>
      <c r="I258">
        <f>IF($E258="","",IF($E257="",$E258,$E258*0.0392156863+I257*0.9607843137))</f>
        <v>0</v>
      </c>
      <c r="J258">
        <f>IF($E258="","",IF($E257="",$E258,$E258*0.0198019802+J257*0.9801980198))</f>
        <v>0</v>
      </c>
      <c r="K258">
        <f>IF($E258="","",IF($E257="",$E258,$E258*0.0099502488+K257*0.9900497512))</f>
        <v>0</v>
      </c>
      <c r="L258">
        <f>IF(OR($E258="",$E257=""),"",MAX($E258-$E257,0))</f>
        <v>0</v>
      </c>
      <c r="M258">
        <f>IF(OR($E258="",$E257=""),"",MAX($E257-$E258,0))</f>
        <v>0</v>
      </c>
      <c r="N258">
        <f>IF(COUNT($E$2:$E258)&lt;15,"",IF(AVERAGE($M$245:$M$258)=0,100,100-100/(1+AVERAGE($L$245:$L$258)/AVERAGE($M$245:$M$258))))</f>
        <v>0</v>
      </c>
      <c r="O258">
        <f>IF($E258="","",IF($E257="",$E258,$E258*0.1538461538+O257*0.8461538462))</f>
        <v>0</v>
      </c>
      <c r="P258">
        <f>IF($E258="","",IF($E257="",$E258,$E258*0.0740740741+P257*0.9259259259))</f>
        <v>0</v>
      </c>
      <c r="Q258">
        <f>IF(OR(O258="",P258=""),"",O258-P258)</f>
        <v>0</v>
      </c>
      <c r="R258">
        <f>IF(Q258="","",IF(R257="",Q258,Q258*0.2000000000+R257*0.8000000000))</f>
        <v>0</v>
      </c>
      <c r="S258">
        <f>IF(OR(Q258="",R258=""),"",Q258-R258)</f>
        <v>0</v>
      </c>
      <c r="T258">
        <f>IF(COUNT($E$2:$E258)&lt;14,"",MAX($C$245:$C$258))</f>
        <v>0</v>
      </c>
      <c r="U258">
        <f>IF(COUNT($E$2:$E258)&lt;14,"",MIN($D$245:$D$258))</f>
        <v>0</v>
      </c>
      <c r="V258">
        <f>IF(OR(T258="",U258="",T258=U258),"",100*($E258-U258)/(T258-U258))</f>
        <v>0</v>
      </c>
      <c r="W258">
        <f>IF(COUNT($V$256:$V$258)&lt;3,"",AVERAGE($V$256:$V$258))</f>
        <v>0</v>
      </c>
      <c r="X258">
        <f>IF(COUNT($N$245:$N$258)&lt;14,"",MIN($N$245:$N$258))</f>
        <v>0</v>
      </c>
      <c r="Y258">
        <f>IF(COUNT($N$245:$N$258)&lt;14,"",MAX($N$245:$N$258))</f>
        <v>0</v>
      </c>
      <c r="Z258">
        <f>IF(OR(N258="",X258="",Y258="",Y258=X258),"",100*(N258-X258)/(Y258-X258))</f>
        <v>0</v>
      </c>
      <c r="AA258">
        <f>IF(COUNT($Z$256:$Z$258)&lt;3,"",AVERAGE($Z$256:$Z$258))</f>
        <v>0</v>
      </c>
      <c r="AB258">
        <f>IF(COUNT($AA$256:$AA$258)&lt;3,"",AVERAGE($AA$256:$AA$258))</f>
        <v>0</v>
      </c>
      <c r="AC258">
        <f>IF($E258="","",MAX($C258-$D258,ABS($C258-$E257),ABS($D258-$E257)))</f>
        <v>0</v>
      </c>
      <c r="AD258">
        <f>IF(COUNT($E$2:$E258)&lt;15,"",AVERAGE($AC$245:$AC$258))</f>
        <v>0</v>
      </c>
      <c r="AE258">
        <f>IF(OR($E258="",$E257=""),"",IF(AND(($C258-$C257)&gt;($D257-$D258),($C258-$C257)&gt;0),$C258-$C257,0))</f>
        <v>0</v>
      </c>
      <c r="AF258">
        <f>IF(OR($E258="",$E257=""),"",IF(AND(($D257-$D258)&gt;($C258-$C257),($D257-$D258)&gt;0),$D257-$D258,0))</f>
        <v>0</v>
      </c>
      <c r="AG258">
        <f>IF(COUNT($E$2:$E258)&lt;15,"",IF(SUM($AC$245:$AC$258)=0,0,100*SUM($AE$245:$AE$258)/SUM($AC$245:$AC$258)))</f>
        <v>0</v>
      </c>
      <c r="AH258">
        <f>IF(COUNT($E$2:$E258)&lt;15,"",IF(SUM($AC$245:$AC$258)=0,0,100*SUM($AF$245:$AF$258)/SUM($AC$245:$AC$258)))</f>
        <v>0</v>
      </c>
      <c r="AI258">
        <f>IF(OR(AG258="",AH258=""),"",IF((AG258+AH258)=0,0,100*ABS(AG258-AH258)/(AG258+AH258)))</f>
        <v>0</v>
      </c>
      <c r="AJ258">
        <f>IF(COUNT($AI$245:$AI$258)&lt;14,"",AVERAGE($AI$245:$AI$258))</f>
        <v>0</v>
      </c>
      <c r="AK258">
        <f>IF(COUNT($E$2:$E258)&lt;20,"",AVERAGE($E$239:$E$258))</f>
        <v>0</v>
      </c>
      <c r="AL258">
        <f>IF(COUNT($E$2:$E258)&lt;20,"",STDEVP($E$239:$E$258))</f>
        <v>0</v>
      </c>
      <c r="AM258">
        <f>IF(AK258="","",AK258+2*AL258)</f>
        <v>0</v>
      </c>
      <c r="AN258">
        <f>IF(AK258="","",AK258-2*AL258)</f>
        <v>0</v>
      </c>
      <c r="AO258">
        <f>IF(OR(AM258="",AN258="",AM258=AN258),"",($E258-AN258)/(AM258-AN258))</f>
        <v>0</v>
      </c>
      <c r="AP258">
        <f>IF(OR(AM258="",AK258="",AK258=0),"",(AM258-AN258)/AK258)</f>
        <v>0</v>
      </c>
      <c r="AQ258">
        <f>IF(COUNT($E$2:$E258)&lt;20,"",MAX($C$239:$C$258))</f>
        <v>0</v>
      </c>
      <c r="AR258">
        <f>IF(COUNT($E$2:$E258)&lt;20,"",MIN($D$239:$D$258))</f>
        <v>0</v>
      </c>
      <c r="AS258">
        <f>IF(OR(AQ258="",AR258=""),"",(AQ258+AR258)/2)</f>
        <v>0</v>
      </c>
      <c r="AT258">
        <f>IF(COUNT($G$239:$G$258)&lt;20,"",STDEV($G$239:$G$258)*SQRT(52))</f>
        <v>0</v>
      </c>
      <c r="AU258">
        <f>IF(COUNT($E$2:$E258)&lt;9,"",(MAX($C$250:$C$258)+MIN($D$250:$D$258))/2)</f>
        <v>0</v>
      </c>
      <c r="AV258">
        <f>IF(COUNT($E$2:$E258)&lt;26,"",(MAX($C$233:$C$258)+MIN($D$233:$D$258))/2)</f>
        <v>0</v>
      </c>
      <c r="AW258">
        <f>IF(OR(AU258="",AV258=""),"",(AU258+AV258)/2)</f>
        <v>0</v>
      </c>
      <c r="AX258">
        <f>IF(COUNT($E$2:$E258)&lt;52,"",(MAX($C$207:$C$258)+MIN($D$207:$D$258))/2)</f>
        <v>0</v>
      </c>
      <c r="AY258">
        <f>IF(COUNT($E$2:$E258)&lt;20,"",MAX($C$159:$C$258))</f>
        <v>0</v>
      </c>
      <c r="AZ258">
        <f>IF(COUNT($E$2:$E258)&lt;20,"",MIN($D$159:$D$258))</f>
        <v>0</v>
      </c>
      <c r="BA258">
        <f>IF(COUNT($E$2:$E258)&lt;20,"",SLOPE($E$159:$E$258,$F$159:$F$258))</f>
        <v>0</v>
      </c>
      <c r="BB258">
        <f>IF(COUNT($E$2:$E258)&lt;20,"",INTERCEPT($E$159:$E$258,$F$159:$F$258))</f>
        <v>0</v>
      </c>
      <c r="BC258">
        <f>IF(OR(BA258="",BB258=""),"",BB258+BA258*F258)</f>
        <v>0</v>
      </c>
      <c r="BD258">
        <f>IF(COUNT($E$2:$E258)&lt;20,"",STEYX($E$159:$E$258,$F$159:$F$258))</f>
        <v>0</v>
      </c>
      <c r="BE258">
        <f>IF($E258="","",IF(AND(COUNT($E$259:$E$262)&gt;=4,$C258=MAX($C$254:$C$262)),$C258,""))</f>
        <v>0</v>
      </c>
      <c r="BF258">
        <f>IF($E258="","",IF(AND(COUNT($E$259:$E$262)&gt;=4,$D258=MIN($D$254:$D$262)),$D258,""))</f>
        <v>0</v>
      </c>
      <c r="BG258">
        <f>IFERROR(SMALL(Calc_Daily!$BM$2:$BM$2001,257),"")</f>
        <v>0</v>
      </c>
    </row>
    <row r="259" spans="1:59">
      <c r="A259" s="27">
        <f>IF($BG259="","",INDEX(Calc_Daily!$A$2:$A$2001,$BG259))</f>
        <v>0</v>
      </c>
      <c r="B259">
        <f>IF($BG259="","",INDEX(Calc_Daily!$BJ$2:$BJ$2001,$BG259))</f>
        <v>0</v>
      </c>
      <c r="C259">
        <f>IF($BG259="","",INDEX(Calc_Daily!$BK$2:$BK$2001,$BG259))</f>
        <v>0</v>
      </c>
      <c r="D259">
        <f>IF($BG259="","",INDEX(Calc_Daily!$BL$2:$BL$2001,$BG259))</f>
        <v>0</v>
      </c>
      <c r="E259">
        <f>IF($BG259="","",INDEX(Calc_Daily!$E$2:$E$2001,$BG259))</f>
        <v>0</v>
      </c>
      <c r="F259">
        <f>IF($E259="","",N(F258)+1)</f>
        <v>0</v>
      </c>
      <c r="G259">
        <f>IF(OR($E259="",$E258=""),"",LN($E259/$E258))</f>
        <v>0</v>
      </c>
      <c r="H259">
        <f>IF($E259="","",IF($E258="",$E259,$E259*0.0952380952+H258*0.9047619048))</f>
        <v>0</v>
      </c>
      <c r="I259">
        <f>IF($E259="","",IF($E258="",$E259,$E259*0.0392156863+I258*0.9607843137))</f>
        <v>0</v>
      </c>
      <c r="J259">
        <f>IF($E259="","",IF($E258="",$E259,$E259*0.0198019802+J258*0.9801980198))</f>
        <v>0</v>
      </c>
      <c r="K259">
        <f>IF($E259="","",IF($E258="",$E259,$E259*0.0099502488+K258*0.9900497512))</f>
        <v>0</v>
      </c>
      <c r="L259">
        <f>IF(OR($E259="",$E258=""),"",MAX($E259-$E258,0))</f>
        <v>0</v>
      </c>
      <c r="M259">
        <f>IF(OR($E259="",$E258=""),"",MAX($E258-$E259,0))</f>
        <v>0</v>
      </c>
      <c r="N259">
        <f>IF(COUNT($E$2:$E259)&lt;15,"",IF(AVERAGE($M$246:$M$259)=0,100,100-100/(1+AVERAGE($L$246:$L$259)/AVERAGE($M$246:$M$259))))</f>
        <v>0</v>
      </c>
      <c r="O259">
        <f>IF($E259="","",IF($E258="",$E259,$E259*0.1538461538+O258*0.8461538462))</f>
        <v>0</v>
      </c>
      <c r="P259">
        <f>IF($E259="","",IF($E258="",$E259,$E259*0.0740740741+P258*0.9259259259))</f>
        <v>0</v>
      </c>
      <c r="Q259">
        <f>IF(OR(O259="",P259=""),"",O259-P259)</f>
        <v>0</v>
      </c>
      <c r="R259">
        <f>IF(Q259="","",IF(R258="",Q259,Q259*0.2000000000+R258*0.8000000000))</f>
        <v>0</v>
      </c>
      <c r="S259">
        <f>IF(OR(Q259="",R259=""),"",Q259-R259)</f>
        <v>0</v>
      </c>
      <c r="T259">
        <f>IF(COUNT($E$2:$E259)&lt;14,"",MAX($C$246:$C$259))</f>
        <v>0</v>
      </c>
      <c r="U259">
        <f>IF(COUNT($E$2:$E259)&lt;14,"",MIN($D$246:$D$259))</f>
        <v>0</v>
      </c>
      <c r="V259">
        <f>IF(OR(T259="",U259="",T259=U259),"",100*($E259-U259)/(T259-U259))</f>
        <v>0</v>
      </c>
      <c r="W259">
        <f>IF(COUNT($V$257:$V$259)&lt;3,"",AVERAGE($V$257:$V$259))</f>
        <v>0</v>
      </c>
      <c r="X259">
        <f>IF(COUNT($N$246:$N$259)&lt;14,"",MIN($N$246:$N$259))</f>
        <v>0</v>
      </c>
      <c r="Y259">
        <f>IF(COUNT($N$246:$N$259)&lt;14,"",MAX($N$246:$N$259))</f>
        <v>0</v>
      </c>
      <c r="Z259">
        <f>IF(OR(N259="",X259="",Y259="",Y259=X259),"",100*(N259-X259)/(Y259-X259))</f>
        <v>0</v>
      </c>
      <c r="AA259">
        <f>IF(COUNT($Z$257:$Z$259)&lt;3,"",AVERAGE($Z$257:$Z$259))</f>
        <v>0</v>
      </c>
      <c r="AB259">
        <f>IF(COUNT($AA$257:$AA$259)&lt;3,"",AVERAGE($AA$257:$AA$259))</f>
        <v>0</v>
      </c>
      <c r="AC259">
        <f>IF($E259="","",MAX($C259-$D259,ABS($C259-$E258),ABS($D259-$E258)))</f>
        <v>0</v>
      </c>
      <c r="AD259">
        <f>IF(COUNT($E$2:$E259)&lt;15,"",AVERAGE($AC$246:$AC$259))</f>
        <v>0</v>
      </c>
      <c r="AE259">
        <f>IF(OR($E259="",$E258=""),"",IF(AND(($C259-$C258)&gt;($D258-$D259),($C259-$C258)&gt;0),$C259-$C258,0))</f>
        <v>0</v>
      </c>
      <c r="AF259">
        <f>IF(OR($E259="",$E258=""),"",IF(AND(($D258-$D259)&gt;($C259-$C258),($D258-$D259)&gt;0),$D258-$D259,0))</f>
        <v>0</v>
      </c>
      <c r="AG259">
        <f>IF(COUNT($E$2:$E259)&lt;15,"",IF(SUM($AC$246:$AC$259)=0,0,100*SUM($AE$246:$AE$259)/SUM($AC$246:$AC$259)))</f>
        <v>0</v>
      </c>
      <c r="AH259">
        <f>IF(COUNT($E$2:$E259)&lt;15,"",IF(SUM($AC$246:$AC$259)=0,0,100*SUM($AF$246:$AF$259)/SUM($AC$246:$AC$259)))</f>
        <v>0</v>
      </c>
      <c r="AI259">
        <f>IF(OR(AG259="",AH259=""),"",IF((AG259+AH259)=0,0,100*ABS(AG259-AH259)/(AG259+AH259)))</f>
        <v>0</v>
      </c>
      <c r="AJ259">
        <f>IF(COUNT($AI$246:$AI$259)&lt;14,"",AVERAGE($AI$246:$AI$259))</f>
        <v>0</v>
      </c>
      <c r="AK259">
        <f>IF(COUNT($E$2:$E259)&lt;20,"",AVERAGE($E$240:$E$259))</f>
        <v>0</v>
      </c>
      <c r="AL259">
        <f>IF(COUNT($E$2:$E259)&lt;20,"",STDEVP($E$240:$E$259))</f>
        <v>0</v>
      </c>
      <c r="AM259">
        <f>IF(AK259="","",AK259+2*AL259)</f>
        <v>0</v>
      </c>
      <c r="AN259">
        <f>IF(AK259="","",AK259-2*AL259)</f>
        <v>0</v>
      </c>
      <c r="AO259">
        <f>IF(OR(AM259="",AN259="",AM259=AN259),"",($E259-AN259)/(AM259-AN259))</f>
        <v>0</v>
      </c>
      <c r="AP259">
        <f>IF(OR(AM259="",AK259="",AK259=0),"",(AM259-AN259)/AK259)</f>
        <v>0</v>
      </c>
      <c r="AQ259">
        <f>IF(COUNT($E$2:$E259)&lt;20,"",MAX($C$240:$C$259))</f>
        <v>0</v>
      </c>
      <c r="AR259">
        <f>IF(COUNT($E$2:$E259)&lt;20,"",MIN($D$240:$D$259))</f>
        <v>0</v>
      </c>
      <c r="AS259">
        <f>IF(OR(AQ259="",AR259=""),"",(AQ259+AR259)/2)</f>
        <v>0</v>
      </c>
      <c r="AT259">
        <f>IF(COUNT($G$240:$G$259)&lt;20,"",STDEV($G$240:$G$259)*SQRT(52))</f>
        <v>0</v>
      </c>
      <c r="AU259">
        <f>IF(COUNT($E$2:$E259)&lt;9,"",(MAX($C$251:$C$259)+MIN($D$251:$D$259))/2)</f>
        <v>0</v>
      </c>
      <c r="AV259">
        <f>IF(COUNT($E$2:$E259)&lt;26,"",(MAX($C$234:$C$259)+MIN($D$234:$D$259))/2)</f>
        <v>0</v>
      </c>
      <c r="AW259">
        <f>IF(OR(AU259="",AV259=""),"",(AU259+AV259)/2)</f>
        <v>0</v>
      </c>
      <c r="AX259">
        <f>IF(COUNT($E$2:$E259)&lt;52,"",(MAX($C$208:$C$259)+MIN($D$208:$D$259))/2)</f>
        <v>0</v>
      </c>
      <c r="AY259">
        <f>IF(COUNT($E$2:$E259)&lt;20,"",MAX($C$160:$C$259))</f>
        <v>0</v>
      </c>
      <c r="AZ259">
        <f>IF(COUNT($E$2:$E259)&lt;20,"",MIN($D$160:$D$259))</f>
        <v>0</v>
      </c>
      <c r="BA259">
        <f>IF(COUNT($E$2:$E259)&lt;20,"",SLOPE($E$160:$E$259,$F$160:$F$259))</f>
        <v>0</v>
      </c>
      <c r="BB259">
        <f>IF(COUNT($E$2:$E259)&lt;20,"",INTERCEPT($E$160:$E$259,$F$160:$F$259))</f>
        <v>0</v>
      </c>
      <c r="BC259">
        <f>IF(OR(BA259="",BB259=""),"",BB259+BA259*F259)</f>
        <v>0</v>
      </c>
      <c r="BD259">
        <f>IF(COUNT($E$2:$E259)&lt;20,"",STEYX($E$160:$E$259,$F$160:$F$259))</f>
        <v>0</v>
      </c>
      <c r="BE259">
        <f>IF($E259="","",IF(AND(COUNT($E$260:$E$263)&gt;=4,$C259=MAX($C$255:$C$263)),$C259,""))</f>
        <v>0</v>
      </c>
      <c r="BF259">
        <f>IF($E259="","",IF(AND(COUNT($E$260:$E$263)&gt;=4,$D259=MIN($D$255:$D$263)),$D259,""))</f>
        <v>0</v>
      </c>
      <c r="BG259">
        <f>IFERROR(SMALL(Calc_Daily!$BM$2:$BM$2001,258),"")</f>
        <v>0</v>
      </c>
    </row>
    <row r="260" spans="1:59">
      <c r="A260" s="27">
        <f>IF($BG260="","",INDEX(Calc_Daily!$A$2:$A$2001,$BG260))</f>
        <v>0</v>
      </c>
      <c r="B260">
        <f>IF($BG260="","",INDEX(Calc_Daily!$BJ$2:$BJ$2001,$BG260))</f>
        <v>0</v>
      </c>
      <c r="C260">
        <f>IF($BG260="","",INDEX(Calc_Daily!$BK$2:$BK$2001,$BG260))</f>
        <v>0</v>
      </c>
      <c r="D260">
        <f>IF($BG260="","",INDEX(Calc_Daily!$BL$2:$BL$2001,$BG260))</f>
        <v>0</v>
      </c>
      <c r="E260">
        <f>IF($BG260="","",INDEX(Calc_Daily!$E$2:$E$2001,$BG260))</f>
        <v>0</v>
      </c>
      <c r="F260">
        <f>IF($E260="","",N(F259)+1)</f>
        <v>0</v>
      </c>
      <c r="G260">
        <f>IF(OR($E260="",$E259=""),"",LN($E260/$E259))</f>
        <v>0</v>
      </c>
      <c r="H260">
        <f>IF($E260="","",IF($E259="",$E260,$E260*0.0952380952+H259*0.9047619048))</f>
        <v>0</v>
      </c>
      <c r="I260">
        <f>IF($E260="","",IF($E259="",$E260,$E260*0.0392156863+I259*0.9607843137))</f>
        <v>0</v>
      </c>
      <c r="J260">
        <f>IF($E260="","",IF($E259="",$E260,$E260*0.0198019802+J259*0.9801980198))</f>
        <v>0</v>
      </c>
      <c r="K260">
        <f>IF($E260="","",IF($E259="",$E260,$E260*0.0099502488+K259*0.9900497512))</f>
        <v>0</v>
      </c>
      <c r="L260">
        <f>IF(OR($E260="",$E259=""),"",MAX($E260-$E259,0))</f>
        <v>0</v>
      </c>
      <c r="M260">
        <f>IF(OR($E260="",$E259=""),"",MAX($E259-$E260,0))</f>
        <v>0</v>
      </c>
      <c r="N260">
        <f>IF(COUNT($E$2:$E260)&lt;15,"",IF(AVERAGE($M$247:$M$260)=0,100,100-100/(1+AVERAGE($L$247:$L$260)/AVERAGE($M$247:$M$260))))</f>
        <v>0</v>
      </c>
      <c r="O260">
        <f>IF($E260="","",IF($E259="",$E260,$E260*0.1538461538+O259*0.8461538462))</f>
        <v>0</v>
      </c>
      <c r="P260">
        <f>IF($E260="","",IF($E259="",$E260,$E260*0.0740740741+P259*0.9259259259))</f>
        <v>0</v>
      </c>
      <c r="Q260">
        <f>IF(OR(O260="",P260=""),"",O260-P260)</f>
        <v>0</v>
      </c>
      <c r="R260">
        <f>IF(Q260="","",IF(R259="",Q260,Q260*0.2000000000+R259*0.8000000000))</f>
        <v>0</v>
      </c>
      <c r="S260">
        <f>IF(OR(Q260="",R260=""),"",Q260-R260)</f>
        <v>0</v>
      </c>
      <c r="T260">
        <f>IF(COUNT($E$2:$E260)&lt;14,"",MAX($C$247:$C$260))</f>
        <v>0</v>
      </c>
      <c r="U260">
        <f>IF(COUNT($E$2:$E260)&lt;14,"",MIN($D$247:$D$260))</f>
        <v>0</v>
      </c>
      <c r="V260">
        <f>IF(OR(T260="",U260="",T260=U260),"",100*($E260-U260)/(T260-U260))</f>
        <v>0</v>
      </c>
      <c r="W260">
        <f>IF(COUNT($V$258:$V$260)&lt;3,"",AVERAGE($V$258:$V$260))</f>
        <v>0</v>
      </c>
      <c r="X260">
        <f>IF(COUNT($N$247:$N$260)&lt;14,"",MIN($N$247:$N$260))</f>
        <v>0</v>
      </c>
      <c r="Y260">
        <f>IF(COUNT($N$247:$N$260)&lt;14,"",MAX($N$247:$N$260))</f>
        <v>0</v>
      </c>
      <c r="Z260">
        <f>IF(OR(N260="",X260="",Y260="",Y260=X260),"",100*(N260-X260)/(Y260-X260))</f>
        <v>0</v>
      </c>
      <c r="AA260">
        <f>IF(COUNT($Z$258:$Z$260)&lt;3,"",AVERAGE($Z$258:$Z$260))</f>
        <v>0</v>
      </c>
      <c r="AB260">
        <f>IF(COUNT($AA$258:$AA$260)&lt;3,"",AVERAGE($AA$258:$AA$260))</f>
        <v>0</v>
      </c>
      <c r="AC260">
        <f>IF($E260="","",MAX($C260-$D260,ABS($C260-$E259),ABS($D260-$E259)))</f>
        <v>0</v>
      </c>
      <c r="AD260">
        <f>IF(COUNT($E$2:$E260)&lt;15,"",AVERAGE($AC$247:$AC$260))</f>
        <v>0</v>
      </c>
      <c r="AE260">
        <f>IF(OR($E260="",$E259=""),"",IF(AND(($C260-$C259)&gt;($D259-$D260),($C260-$C259)&gt;0),$C260-$C259,0))</f>
        <v>0</v>
      </c>
      <c r="AF260">
        <f>IF(OR($E260="",$E259=""),"",IF(AND(($D259-$D260)&gt;($C260-$C259),($D259-$D260)&gt;0),$D259-$D260,0))</f>
        <v>0</v>
      </c>
      <c r="AG260">
        <f>IF(COUNT($E$2:$E260)&lt;15,"",IF(SUM($AC$247:$AC$260)=0,0,100*SUM($AE$247:$AE$260)/SUM($AC$247:$AC$260)))</f>
        <v>0</v>
      </c>
      <c r="AH260">
        <f>IF(COUNT($E$2:$E260)&lt;15,"",IF(SUM($AC$247:$AC$260)=0,0,100*SUM($AF$247:$AF$260)/SUM($AC$247:$AC$260)))</f>
        <v>0</v>
      </c>
      <c r="AI260">
        <f>IF(OR(AG260="",AH260=""),"",IF((AG260+AH260)=0,0,100*ABS(AG260-AH260)/(AG260+AH260)))</f>
        <v>0</v>
      </c>
      <c r="AJ260">
        <f>IF(COUNT($AI$247:$AI$260)&lt;14,"",AVERAGE($AI$247:$AI$260))</f>
        <v>0</v>
      </c>
      <c r="AK260">
        <f>IF(COUNT($E$2:$E260)&lt;20,"",AVERAGE($E$241:$E$260))</f>
        <v>0</v>
      </c>
      <c r="AL260">
        <f>IF(COUNT($E$2:$E260)&lt;20,"",STDEVP($E$241:$E$260))</f>
        <v>0</v>
      </c>
      <c r="AM260">
        <f>IF(AK260="","",AK260+2*AL260)</f>
        <v>0</v>
      </c>
      <c r="AN260">
        <f>IF(AK260="","",AK260-2*AL260)</f>
        <v>0</v>
      </c>
      <c r="AO260">
        <f>IF(OR(AM260="",AN260="",AM260=AN260),"",($E260-AN260)/(AM260-AN260))</f>
        <v>0</v>
      </c>
      <c r="AP260">
        <f>IF(OR(AM260="",AK260="",AK260=0),"",(AM260-AN260)/AK260)</f>
        <v>0</v>
      </c>
      <c r="AQ260">
        <f>IF(COUNT($E$2:$E260)&lt;20,"",MAX($C$241:$C$260))</f>
        <v>0</v>
      </c>
      <c r="AR260">
        <f>IF(COUNT($E$2:$E260)&lt;20,"",MIN($D$241:$D$260))</f>
        <v>0</v>
      </c>
      <c r="AS260">
        <f>IF(OR(AQ260="",AR260=""),"",(AQ260+AR260)/2)</f>
        <v>0</v>
      </c>
      <c r="AT260">
        <f>IF(COUNT($G$241:$G$260)&lt;20,"",STDEV($G$241:$G$260)*SQRT(52))</f>
        <v>0</v>
      </c>
      <c r="AU260">
        <f>IF(COUNT($E$2:$E260)&lt;9,"",(MAX($C$252:$C$260)+MIN($D$252:$D$260))/2)</f>
        <v>0</v>
      </c>
      <c r="AV260">
        <f>IF(COUNT($E$2:$E260)&lt;26,"",(MAX($C$235:$C$260)+MIN($D$235:$D$260))/2)</f>
        <v>0</v>
      </c>
      <c r="AW260">
        <f>IF(OR(AU260="",AV260=""),"",(AU260+AV260)/2)</f>
        <v>0</v>
      </c>
      <c r="AX260">
        <f>IF(COUNT($E$2:$E260)&lt;52,"",(MAX($C$209:$C$260)+MIN($D$209:$D$260))/2)</f>
        <v>0</v>
      </c>
      <c r="AY260">
        <f>IF(COUNT($E$2:$E260)&lt;20,"",MAX($C$161:$C$260))</f>
        <v>0</v>
      </c>
      <c r="AZ260">
        <f>IF(COUNT($E$2:$E260)&lt;20,"",MIN($D$161:$D$260))</f>
        <v>0</v>
      </c>
      <c r="BA260">
        <f>IF(COUNT($E$2:$E260)&lt;20,"",SLOPE($E$161:$E$260,$F$161:$F$260))</f>
        <v>0</v>
      </c>
      <c r="BB260">
        <f>IF(COUNT($E$2:$E260)&lt;20,"",INTERCEPT($E$161:$E$260,$F$161:$F$260))</f>
        <v>0</v>
      </c>
      <c r="BC260">
        <f>IF(OR(BA260="",BB260=""),"",BB260+BA260*F260)</f>
        <v>0</v>
      </c>
      <c r="BD260">
        <f>IF(COUNT($E$2:$E260)&lt;20,"",STEYX($E$161:$E$260,$F$161:$F$260))</f>
        <v>0</v>
      </c>
      <c r="BE260">
        <f>IF($E260="","",IF(AND(COUNT($E$261:$E$264)&gt;=4,$C260=MAX($C$256:$C$264)),$C260,""))</f>
        <v>0</v>
      </c>
      <c r="BF260">
        <f>IF($E260="","",IF(AND(COUNT($E$261:$E$264)&gt;=4,$D260=MIN($D$256:$D$264)),$D260,""))</f>
        <v>0</v>
      </c>
      <c r="BG260">
        <f>IFERROR(SMALL(Calc_Daily!$BM$2:$BM$2001,259),"")</f>
        <v>0</v>
      </c>
    </row>
    <row r="261" spans="1:59">
      <c r="A261" s="27">
        <f>IF($BG261="","",INDEX(Calc_Daily!$A$2:$A$2001,$BG261))</f>
        <v>0</v>
      </c>
      <c r="B261">
        <f>IF($BG261="","",INDEX(Calc_Daily!$BJ$2:$BJ$2001,$BG261))</f>
        <v>0</v>
      </c>
      <c r="C261">
        <f>IF($BG261="","",INDEX(Calc_Daily!$BK$2:$BK$2001,$BG261))</f>
        <v>0</v>
      </c>
      <c r="D261">
        <f>IF($BG261="","",INDEX(Calc_Daily!$BL$2:$BL$2001,$BG261))</f>
        <v>0</v>
      </c>
      <c r="E261">
        <f>IF($BG261="","",INDEX(Calc_Daily!$E$2:$E$2001,$BG261))</f>
        <v>0</v>
      </c>
      <c r="F261">
        <f>IF($E261="","",N(F260)+1)</f>
        <v>0</v>
      </c>
      <c r="G261">
        <f>IF(OR($E261="",$E260=""),"",LN($E261/$E260))</f>
        <v>0</v>
      </c>
      <c r="H261">
        <f>IF($E261="","",IF($E260="",$E261,$E261*0.0952380952+H260*0.9047619048))</f>
        <v>0</v>
      </c>
      <c r="I261">
        <f>IF($E261="","",IF($E260="",$E261,$E261*0.0392156863+I260*0.9607843137))</f>
        <v>0</v>
      </c>
      <c r="J261">
        <f>IF($E261="","",IF($E260="",$E261,$E261*0.0198019802+J260*0.9801980198))</f>
        <v>0</v>
      </c>
      <c r="K261">
        <f>IF($E261="","",IF($E260="",$E261,$E261*0.0099502488+K260*0.9900497512))</f>
        <v>0</v>
      </c>
      <c r="L261">
        <f>IF(OR($E261="",$E260=""),"",MAX($E261-$E260,0))</f>
        <v>0</v>
      </c>
      <c r="M261">
        <f>IF(OR($E261="",$E260=""),"",MAX($E260-$E261,0))</f>
        <v>0</v>
      </c>
      <c r="N261">
        <f>IF(COUNT($E$2:$E261)&lt;15,"",IF(AVERAGE($M$248:$M$261)=0,100,100-100/(1+AVERAGE($L$248:$L$261)/AVERAGE($M$248:$M$261))))</f>
        <v>0</v>
      </c>
      <c r="O261">
        <f>IF($E261="","",IF($E260="",$E261,$E261*0.1538461538+O260*0.8461538462))</f>
        <v>0</v>
      </c>
      <c r="P261">
        <f>IF($E261="","",IF($E260="",$E261,$E261*0.0740740741+P260*0.9259259259))</f>
        <v>0</v>
      </c>
      <c r="Q261">
        <f>IF(OR(O261="",P261=""),"",O261-P261)</f>
        <v>0</v>
      </c>
      <c r="R261">
        <f>IF(Q261="","",IF(R260="",Q261,Q261*0.2000000000+R260*0.8000000000))</f>
        <v>0</v>
      </c>
      <c r="S261">
        <f>IF(OR(Q261="",R261=""),"",Q261-R261)</f>
        <v>0</v>
      </c>
      <c r="T261">
        <f>IF(COUNT($E$2:$E261)&lt;14,"",MAX($C$248:$C$261))</f>
        <v>0</v>
      </c>
      <c r="U261">
        <f>IF(COUNT($E$2:$E261)&lt;14,"",MIN($D$248:$D$261))</f>
        <v>0</v>
      </c>
      <c r="V261">
        <f>IF(OR(T261="",U261="",T261=U261),"",100*($E261-U261)/(T261-U261))</f>
        <v>0</v>
      </c>
      <c r="W261">
        <f>IF(COUNT($V$259:$V$261)&lt;3,"",AVERAGE($V$259:$V$261))</f>
        <v>0</v>
      </c>
      <c r="X261">
        <f>IF(COUNT($N$248:$N$261)&lt;14,"",MIN($N$248:$N$261))</f>
        <v>0</v>
      </c>
      <c r="Y261">
        <f>IF(COUNT($N$248:$N$261)&lt;14,"",MAX($N$248:$N$261))</f>
        <v>0</v>
      </c>
      <c r="Z261">
        <f>IF(OR(N261="",X261="",Y261="",Y261=X261),"",100*(N261-X261)/(Y261-X261))</f>
        <v>0</v>
      </c>
      <c r="AA261">
        <f>IF(COUNT($Z$259:$Z$261)&lt;3,"",AVERAGE($Z$259:$Z$261))</f>
        <v>0</v>
      </c>
      <c r="AB261">
        <f>IF(COUNT($AA$259:$AA$261)&lt;3,"",AVERAGE($AA$259:$AA$261))</f>
        <v>0</v>
      </c>
      <c r="AC261">
        <f>IF($E261="","",MAX($C261-$D261,ABS($C261-$E260),ABS($D261-$E260)))</f>
        <v>0</v>
      </c>
      <c r="AD261">
        <f>IF(COUNT($E$2:$E261)&lt;15,"",AVERAGE($AC$248:$AC$261))</f>
        <v>0</v>
      </c>
      <c r="AE261">
        <f>IF(OR($E261="",$E260=""),"",IF(AND(($C261-$C260)&gt;($D260-$D261),($C261-$C260)&gt;0),$C261-$C260,0))</f>
        <v>0</v>
      </c>
      <c r="AF261">
        <f>IF(OR($E261="",$E260=""),"",IF(AND(($D260-$D261)&gt;($C261-$C260),($D260-$D261)&gt;0),$D260-$D261,0))</f>
        <v>0</v>
      </c>
      <c r="AG261">
        <f>IF(COUNT($E$2:$E261)&lt;15,"",IF(SUM($AC$248:$AC$261)=0,0,100*SUM($AE$248:$AE$261)/SUM($AC$248:$AC$261)))</f>
        <v>0</v>
      </c>
      <c r="AH261">
        <f>IF(COUNT($E$2:$E261)&lt;15,"",IF(SUM($AC$248:$AC$261)=0,0,100*SUM($AF$248:$AF$261)/SUM($AC$248:$AC$261)))</f>
        <v>0</v>
      </c>
      <c r="AI261">
        <f>IF(OR(AG261="",AH261=""),"",IF((AG261+AH261)=0,0,100*ABS(AG261-AH261)/(AG261+AH261)))</f>
        <v>0</v>
      </c>
      <c r="AJ261">
        <f>IF(COUNT($AI$248:$AI$261)&lt;14,"",AVERAGE($AI$248:$AI$261))</f>
        <v>0</v>
      </c>
      <c r="AK261">
        <f>IF(COUNT($E$2:$E261)&lt;20,"",AVERAGE($E$242:$E$261))</f>
        <v>0</v>
      </c>
      <c r="AL261">
        <f>IF(COUNT($E$2:$E261)&lt;20,"",STDEVP($E$242:$E$261))</f>
        <v>0</v>
      </c>
      <c r="AM261">
        <f>IF(AK261="","",AK261+2*AL261)</f>
        <v>0</v>
      </c>
      <c r="AN261">
        <f>IF(AK261="","",AK261-2*AL261)</f>
        <v>0</v>
      </c>
      <c r="AO261">
        <f>IF(OR(AM261="",AN261="",AM261=AN261),"",($E261-AN261)/(AM261-AN261))</f>
        <v>0</v>
      </c>
      <c r="AP261">
        <f>IF(OR(AM261="",AK261="",AK261=0),"",(AM261-AN261)/AK261)</f>
        <v>0</v>
      </c>
      <c r="AQ261">
        <f>IF(COUNT($E$2:$E261)&lt;20,"",MAX($C$242:$C$261))</f>
        <v>0</v>
      </c>
      <c r="AR261">
        <f>IF(COUNT($E$2:$E261)&lt;20,"",MIN($D$242:$D$261))</f>
        <v>0</v>
      </c>
      <c r="AS261">
        <f>IF(OR(AQ261="",AR261=""),"",(AQ261+AR261)/2)</f>
        <v>0</v>
      </c>
      <c r="AT261">
        <f>IF(COUNT($G$242:$G$261)&lt;20,"",STDEV($G$242:$G$261)*SQRT(52))</f>
        <v>0</v>
      </c>
      <c r="AU261">
        <f>IF(COUNT($E$2:$E261)&lt;9,"",(MAX($C$253:$C$261)+MIN($D$253:$D$261))/2)</f>
        <v>0</v>
      </c>
      <c r="AV261">
        <f>IF(COUNT($E$2:$E261)&lt;26,"",(MAX($C$236:$C$261)+MIN($D$236:$D$261))/2)</f>
        <v>0</v>
      </c>
      <c r="AW261">
        <f>IF(OR(AU261="",AV261=""),"",(AU261+AV261)/2)</f>
        <v>0</v>
      </c>
      <c r="AX261">
        <f>IF(COUNT($E$2:$E261)&lt;52,"",(MAX($C$210:$C$261)+MIN($D$210:$D$261))/2)</f>
        <v>0</v>
      </c>
      <c r="AY261">
        <f>IF(COUNT($E$2:$E261)&lt;20,"",MAX($C$162:$C$261))</f>
        <v>0</v>
      </c>
      <c r="AZ261">
        <f>IF(COUNT($E$2:$E261)&lt;20,"",MIN($D$162:$D$261))</f>
        <v>0</v>
      </c>
      <c r="BA261">
        <f>IF(COUNT($E$2:$E261)&lt;20,"",SLOPE($E$162:$E$261,$F$162:$F$261))</f>
        <v>0</v>
      </c>
      <c r="BB261">
        <f>IF(COUNT($E$2:$E261)&lt;20,"",INTERCEPT($E$162:$E$261,$F$162:$F$261))</f>
        <v>0</v>
      </c>
      <c r="BC261">
        <f>IF(OR(BA261="",BB261=""),"",BB261+BA261*F261)</f>
        <v>0</v>
      </c>
      <c r="BD261">
        <f>IF(COUNT($E$2:$E261)&lt;20,"",STEYX($E$162:$E$261,$F$162:$F$261))</f>
        <v>0</v>
      </c>
      <c r="BE261">
        <f>IF($E261="","",IF(AND(COUNT($E$262:$E$265)&gt;=4,$C261=MAX($C$257:$C$265)),$C261,""))</f>
        <v>0</v>
      </c>
      <c r="BF261">
        <f>IF($E261="","",IF(AND(COUNT($E$262:$E$265)&gt;=4,$D261=MIN($D$257:$D$265)),$D261,""))</f>
        <v>0</v>
      </c>
      <c r="BG261">
        <f>IFERROR(SMALL(Calc_Daily!$BM$2:$BM$2001,260),"")</f>
        <v>0</v>
      </c>
    </row>
    <row r="262" spans="1:59">
      <c r="A262" s="27">
        <f>IF($BG262="","",INDEX(Calc_Daily!$A$2:$A$2001,$BG262))</f>
        <v>0</v>
      </c>
      <c r="B262">
        <f>IF($BG262="","",INDEX(Calc_Daily!$BJ$2:$BJ$2001,$BG262))</f>
        <v>0</v>
      </c>
      <c r="C262">
        <f>IF($BG262="","",INDEX(Calc_Daily!$BK$2:$BK$2001,$BG262))</f>
        <v>0</v>
      </c>
      <c r="D262">
        <f>IF($BG262="","",INDEX(Calc_Daily!$BL$2:$BL$2001,$BG262))</f>
        <v>0</v>
      </c>
      <c r="E262">
        <f>IF($BG262="","",INDEX(Calc_Daily!$E$2:$E$2001,$BG262))</f>
        <v>0</v>
      </c>
      <c r="F262">
        <f>IF($E262="","",N(F261)+1)</f>
        <v>0</v>
      </c>
      <c r="G262">
        <f>IF(OR($E262="",$E261=""),"",LN($E262/$E261))</f>
        <v>0</v>
      </c>
      <c r="H262">
        <f>IF($E262="","",IF($E261="",$E262,$E262*0.0952380952+H261*0.9047619048))</f>
        <v>0</v>
      </c>
      <c r="I262">
        <f>IF($E262="","",IF($E261="",$E262,$E262*0.0392156863+I261*0.9607843137))</f>
        <v>0</v>
      </c>
      <c r="J262">
        <f>IF($E262="","",IF($E261="",$E262,$E262*0.0198019802+J261*0.9801980198))</f>
        <v>0</v>
      </c>
      <c r="K262">
        <f>IF($E262="","",IF($E261="",$E262,$E262*0.0099502488+K261*0.9900497512))</f>
        <v>0</v>
      </c>
      <c r="L262">
        <f>IF(OR($E262="",$E261=""),"",MAX($E262-$E261,0))</f>
        <v>0</v>
      </c>
      <c r="M262">
        <f>IF(OR($E262="",$E261=""),"",MAX($E261-$E262,0))</f>
        <v>0</v>
      </c>
      <c r="N262">
        <f>IF(COUNT($E$2:$E262)&lt;15,"",IF(AVERAGE($M$249:$M$262)=0,100,100-100/(1+AVERAGE($L$249:$L$262)/AVERAGE($M$249:$M$262))))</f>
        <v>0</v>
      </c>
      <c r="O262">
        <f>IF($E262="","",IF($E261="",$E262,$E262*0.1538461538+O261*0.8461538462))</f>
        <v>0</v>
      </c>
      <c r="P262">
        <f>IF($E262="","",IF($E261="",$E262,$E262*0.0740740741+P261*0.9259259259))</f>
        <v>0</v>
      </c>
      <c r="Q262">
        <f>IF(OR(O262="",P262=""),"",O262-P262)</f>
        <v>0</v>
      </c>
      <c r="R262">
        <f>IF(Q262="","",IF(R261="",Q262,Q262*0.2000000000+R261*0.8000000000))</f>
        <v>0</v>
      </c>
      <c r="S262">
        <f>IF(OR(Q262="",R262=""),"",Q262-R262)</f>
        <v>0</v>
      </c>
      <c r="T262">
        <f>IF(COUNT($E$2:$E262)&lt;14,"",MAX($C$249:$C$262))</f>
        <v>0</v>
      </c>
      <c r="U262">
        <f>IF(COUNT($E$2:$E262)&lt;14,"",MIN($D$249:$D$262))</f>
        <v>0</v>
      </c>
      <c r="V262">
        <f>IF(OR(T262="",U262="",T262=U262),"",100*($E262-U262)/(T262-U262))</f>
        <v>0</v>
      </c>
      <c r="W262">
        <f>IF(COUNT($V$260:$V$262)&lt;3,"",AVERAGE($V$260:$V$262))</f>
        <v>0</v>
      </c>
      <c r="X262">
        <f>IF(COUNT($N$249:$N$262)&lt;14,"",MIN($N$249:$N$262))</f>
        <v>0</v>
      </c>
      <c r="Y262">
        <f>IF(COUNT($N$249:$N$262)&lt;14,"",MAX($N$249:$N$262))</f>
        <v>0</v>
      </c>
      <c r="Z262">
        <f>IF(OR(N262="",X262="",Y262="",Y262=X262),"",100*(N262-X262)/(Y262-X262))</f>
        <v>0</v>
      </c>
      <c r="AA262">
        <f>IF(COUNT($Z$260:$Z$262)&lt;3,"",AVERAGE($Z$260:$Z$262))</f>
        <v>0</v>
      </c>
      <c r="AB262">
        <f>IF(COUNT($AA$260:$AA$262)&lt;3,"",AVERAGE($AA$260:$AA$262))</f>
        <v>0</v>
      </c>
      <c r="AC262">
        <f>IF($E262="","",MAX($C262-$D262,ABS($C262-$E261),ABS($D262-$E261)))</f>
        <v>0</v>
      </c>
      <c r="AD262">
        <f>IF(COUNT($E$2:$E262)&lt;15,"",AVERAGE($AC$249:$AC$262))</f>
        <v>0</v>
      </c>
      <c r="AE262">
        <f>IF(OR($E262="",$E261=""),"",IF(AND(($C262-$C261)&gt;($D261-$D262),($C262-$C261)&gt;0),$C262-$C261,0))</f>
        <v>0</v>
      </c>
      <c r="AF262">
        <f>IF(OR($E262="",$E261=""),"",IF(AND(($D261-$D262)&gt;($C262-$C261),($D261-$D262)&gt;0),$D261-$D262,0))</f>
        <v>0</v>
      </c>
      <c r="AG262">
        <f>IF(COUNT($E$2:$E262)&lt;15,"",IF(SUM($AC$249:$AC$262)=0,0,100*SUM($AE$249:$AE$262)/SUM($AC$249:$AC$262)))</f>
        <v>0</v>
      </c>
      <c r="AH262">
        <f>IF(COUNT($E$2:$E262)&lt;15,"",IF(SUM($AC$249:$AC$262)=0,0,100*SUM($AF$249:$AF$262)/SUM($AC$249:$AC$262)))</f>
        <v>0</v>
      </c>
      <c r="AI262">
        <f>IF(OR(AG262="",AH262=""),"",IF((AG262+AH262)=0,0,100*ABS(AG262-AH262)/(AG262+AH262)))</f>
        <v>0</v>
      </c>
      <c r="AJ262">
        <f>IF(COUNT($AI$249:$AI$262)&lt;14,"",AVERAGE($AI$249:$AI$262))</f>
        <v>0</v>
      </c>
      <c r="AK262">
        <f>IF(COUNT($E$2:$E262)&lt;20,"",AVERAGE($E$243:$E$262))</f>
        <v>0</v>
      </c>
      <c r="AL262">
        <f>IF(COUNT($E$2:$E262)&lt;20,"",STDEVP($E$243:$E$262))</f>
        <v>0</v>
      </c>
      <c r="AM262">
        <f>IF(AK262="","",AK262+2*AL262)</f>
        <v>0</v>
      </c>
      <c r="AN262">
        <f>IF(AK262="","",AK262-2*AL262)</f>
        <v>0</v>
      </c>
      <c r="AO262">
        <f>IF(OR(AM262="",AN262="",AM262=AN262),"",($E262-AN262)/(AM262-AN262))</f>
        <v>0</v>
      </c>
      <c r="AP262">
        <f>IF(OR(AM262="",AK262="",AK262=0),"",(AM262-AN262)/AK262)</f>
        <v>0</v>
      </c>
      <c r="AQ262">
        <f>IF(COUNT($E$2:$E262)&lt;20,"",MAX($C$243:$C$262))</f>
        <v>0</v>
      </c>
      <c r="AR262">
        <f>IF(COUNT($E$2:$E262)&lt;20,"",MIN($D$243:$D$262))</f>
        <v>0</v>
      </c>
      <c r="AS262">
        <f>IF(OR(AQ262="",AR262=""),"",(AQ262+AR262)/2)</f>
        <v>0</v>
      </c>
      <c r="AT262">
        <f>IF(COUNT($G$243:$G$262)&lt;20,"",STDEV($G$243:$G$262)*SQRT(52))</f>
        <v>0</v>
      </c>
      <c r="AU262">
        <f>IF(COUNT($E$2:$E262)&lt;9,"",(MAX($C$254:$C$262)+MIN($D$254:$D$262))/2)</f>
        <v>0</v>
      </c>
      <c r="AV262">
        <f>IF(COUNT($E$2:$E262)&lt;26,"",(MAX($C$237:$C$262)+MIN($D$237:$D$262))/2)</f>
        <v>0</v>
      </c>
      <c r="AW262">
        <f>IF(OR(AU262="",AV262=""),"",(AU262+AV262)/2)</f>
        <v>0</v>
      </c>
      <c r="AX262">
        <f>IF(COUNT($E$2:$E262)&lt;52,"",(MAX($C$211:$C$262)+MIN($D$211:$D$262))/2)</f>
        <v>0</v>
      </c>
      <c r="AY262">
        <f>IF(COUNT($E$2:$E262)&lt;20,"",MAX($C$163:$C$262))</f>
        <v>0</v>
      </c>
      <c r="AZ262">
        <f>IF(COUNT($E$2:$E262)&lt;20,"",MIN($D$163:$D$262))</f>
        <v>0</v>
      </c>
      <c r="BA262">
        <f>IF(COUNT($E$2:$E262)&lt;20,"",SLOPE($E$163:$E$262,$F$163:$F$262))</f>
        <v>0</v>
      </c>
      <c r="BB262">
        <f>IF(COUNT($E$2:$E262)&lt;20,"",INTERCEPT($E$163:$E$262,$F$163:$F$262))</f>
        <v>0</v>
      </c>
      <c r="BC262">
        <f>IF(OR(BA262="",BB262=""),"",BB262+BA262*F262)</f>
        <v>0</v>
      </c>
      <c r="BD262">
        <f>IF(COUNT($E$2:$E262)&lt;20,"",STEYX($E$163:$E$262,$F$163:$F$262))</f>
        <v>0</v>
      </c>
      <c r="BE262">
        <f>IF($E262="","",IF(AND(COUNT($E$263:$E$266)&gt;=4,$C262=MAX($C$258:$C$266)),$C262,""))</f>
        <v>0</v>
      </c>
      <c r="BF262">
        <f>IF($E262="","",IF(AND(COUNT($E$263:$E$266)&gt;=4,$D262=MIN($D$258:$D$266)),$D262,""))</f>
        <v>0</v>
      </c>
      <c r="BG262">
        <f>IFERROR(SMALL(Calc_Daily!$BM$2:$BM$2001,261),"")</f>
        <v>0</v>
      </c>
    </row>
    <row r="263" spans="1:59">
      <c r="A263" s="27">
        <f>IF($BG263="","",INDEX(Calc_Daily!$A$2:$A$2001,$BG263))</f>
        <v>0</v>
      </c>
      <c r="B263">
        <f>IF($BG263="","",INDEX(Calc_Daily!$BJ$2:$BJ$2001,$BG263))</f>
        <v>0</v>
      </c>
      <c r="C263">
        <f>IF($BG263="","",INDEX(Calc_Daily!$BK$2:$BK$2001,$BG263))</f>
        <v>0</v>
      </c>
      <c r="D263">
        <f>IF($BG263="","",INDEX(Calc_Daily!$BL$2:$BL$2001,$BG263))</f>
        <v>0</v>
      </c>
      <c r="E263">
        <f>IF($BG263="","",INDEX(Calc_Daily!$E$2:$E$2001,$BG263))</f>
        <v>0</v>
      </c>
      <c r="F263">
        <f>IF($E263="","",N(F262)+1)</f>
        <v>0</v>
      </c>
      <c r="G263">
        <f>IF(OR($E263="",$E262=""),"",LN($E263/$E262))</f>
        <v>0</v>
      </c>
      <c r="H263">
        <f>IF($E263="","",IF($E262="",$E263,$E263*0.0952380952+H262*0.9047619048))</f>
        <v>0</v>
      </c>
      <c r="I263">
        <f>IF($E263="","",IF($E262="",$E263,$E263*0.0392156863+I262*0.9607843137))</f>
        <v>0</v>
      </c>
      <c r="J263">
        <f>IF($E263="","",IF($E262="",$E263,$E263*0.0198019802+J262*0.9801980198))</f>
        <v>0</v>
      </c>
      <c r="K263">
        <f>IF($E263="","",IF($E262="",$E263,$E263*0.0099502488+K262*0.9900497512))</f>
        <v>0</v>
      </c>
      <c r="L263">
        <f>IF(OR($E263="",$E262=""),"",MAX($E263-$E262,0))</f>
        <v>0</v>
      </c>
      <c r="M263">
        <f>IF(OR($E263="",$E262=""),"",MAX($E262-$E263,0))</f>
        <v>0</v>
      </c>
      <c r="N263">
        <f>IF(COUNT($E$2:$E263)&lt;15,"",IF(AVERAGE($M$250:$M$263)=0,100,100-100/(1+AVERAGE($L$250:$L$263)/AVERAGE($M$250:$M$263))))</f>
        <v>0</v>
      </c>
      <c r="O263">
        <f>IF($E263="","",IF($E262="",$E263,$E263*0.1538461538+O262*0.8461538462))</f>
        <v>0</v>
      </c>
      <c r="P263">
        <f>IF($E263="","",IF($E262="",$E263,$E263*0.0740740741+P262*0.9259259259))</f>
        <v>0</v>
      </c>
      <c r="Q263">
        <f>IF(OR(O263="",P263=""),"",O263-P263)</f>
        <v>0</v>
      </c>
      <c r="R263">
        <f>IF(Q263="","",IF(R262="",Q263,Q263*0.2000000000+R262*0.8000000000))</f>
        <v>0</v>
      </c>
      <c r="S263">
        <f>IF(OR(Q263="",R263=""),"",Q263-R263)</f>
        <v>0</v>
      </c>
      <c r="T263">
        <f>IF(COUNT($E$2:$E263)&lt;14,"",MAX($C$250:$C$263))</f>
        <v>0</v>
      </c>
      <c r="U263">
        <f>IF(COUNT($E$2:$E263)&lt;14,"",MIN($D$250:$D$263))</f>
        <v>0</v>
      </c>
      <c r="V263">
        <f>IF(OR(T263="",U263="",T263=U263),"",100*($E263-U263)/(T263-U263))</f>
        <v>0</v>
      </c>
      <c r="W263">
        <f>IF(COUNT($V$261:$V$263)&lt;3,"",AVERAGE($V$261:$V$263))</f>
        <v>0</v>
      </c>
      <c r="X263">
        <f>IF(COUNT($N$250:$N$263)&lt;14,"",MIN($N$250:$N$263))</f>
        <v>0</v>
      </c>
      <c r="Y263">
        <f>IF(COUNT($N$250:$N$263)&lt;14,"",MAX($N$250:$N$263))</f>
        <v>0</v>
      </c>
      <c r="Z263">
        <f>IF(OR(N263="",X263="",Y263="",Y263=X263),"",100*(N263-X263)/(Y263-X263))</f>
        <v>0</v>
      </c>
      <c r="AA263">
        <f>IF(COUNT($Z$261:$Z$263)&lt;3,"",AVERAGE($Z$261:$Z$263))</f>
        <v>0</v>
      </c>
      <c r="AB263">
        <f>IF(COUNT($AA$261:$AA$263)&lt;3,"",AVERAGE($AA$261:$AA$263))</f>
        <v>0</v>
      </c>
      <c r="AC263">
        <f>IF($E263="","",MAX($C263-$D263,ABS($C263-$E262),ABS($D263-$E262)))</f>
        <v>0</v>
      </c>
      <c r="AD263">
        <f>IF(COUNT($E$2:$E263)&lt;15,"",AVERAGE($AC$250:$AC$263))</f>
        <v>0</v>
      </c>
      <c r="AE263">
        <f>IF(OR($E263="",$E262=""),"",IF(AND(($C263-$C262)&gt;($D262-$D263),($C263-$C262)&gt;0),$C263-$C262,0))</f>
        <v>0</v>
      </c>
      <c r="AF263">
        <f>IF(OR($E263="",$E262=""),"",IF(AND(($D262-$D263)&gt;($C263-$C262),($D262-$D263)&gt;0),$D262-$D263,0))</f>
        <v>0</v>
      </c>
      <c r="AG263">
        <f>IF(COUNT($E$2:$E263)&lt;15,"",IF(SUM($AC$250:$AC$263)=0,0,100*SUM($AE$250:$AE$263)/SUM($AC$250:$AC$263)))</f>
        <v>0</v>
      </c>
      <c r="AH263">
        <f>IF(COUNT($E$2:$E263)&lt;15,"",IF(SUM($AC$250:$AC$263)=0,0,100*SUM($AF$250:$AF$263)/SUM($AC$250:$AC$263)))</f>
        <v>0</v>
      </c>
      <c r="AI263">
        <f>IF(OR(AG263="",AH263=""),"",IF((AG263+AH263)=0,0,100*ABS(AG263-AH263)/(AG263+AH263)))</f>
        <v>0</v>
      </c>
      <c r="AJ263">
        <f>IF(COUNT($AI$250:$AI$263)&lt;14,"",AVERAGE($AI$250:$AI$263))</f>
        <v>0</v>
      </c>
      <c r="AK263">
        <f>IF(COUNT($E$2:$E263)&lt;20,"",AVERAGE($E$244:$E$263))</f>
        <v>0</v>
      </c>
      <c r="AL263">
        <f>IF(COUNT($E$2:$E263)&lt;20,"",STDEVP($E$244:$E$263))</f>
        <v>0</v>
      </c>
      <c r="AM263">
        <f>IF(AK263="","",AK263+2*AL263)</f>
        <v>0</v>
      </c>
      <c r="AN263">
        <f>IF(AK263="","",AK263-2*AL263)</f>
        <v>0</v>
      </c>
      <c r="AO263">
        <f>IF(OR(AM263="",AN263="",AM263=AN263),"",($E263-AN263)/(AM263-AN263))</f>
        <v>0</v>
      </c>
      <c r="AP263">
        <f>IF(OR(AM263="",AK263="",AK263=0),"",(AM263-AN263)/AK263)</f>
        <v>0</v>
      </c>
      <c r="AQ263">
        <f>IF(COUNT($E$2:$E263)&lt;20,"",MAX($C$244:$C$263))</f>
        <v>0</v>
      </c>
      <c r="AR263">
        <f>IF(COUNT($E$2:$E263)&lt;20,"",MIN($D$244:$D$263))</f>
        <v>0</v>
      </c>
      <c r="AS263">
        <f>IF(OR(AQ263="",AR263=""),"",(AQ263+AR263)/2)</f>
        <v>0</v>
      </c>
      <c r="AT263">
        <f>IF(COUNT($G$244:$G$263)&lt;20,"",STDEV($G$244:$G$263)*SQRT(52))</f>
        <v>0</v>
      </c>
      <c r="AU263">
        <f>IF(COUNT($E$2:$E263)&lt;9,"",(MAX($C$255:$C$263)+MIN($D$255:$D$263))/2)</f>
        <v>0</v>
      </c>
      <c r="AV263">
        <f>IF(COUNT($E$2:$E263)&lt;26,"",(MAX($C$238:$C$263)+MIN($D$238:$D$263))/2)</f>
        <v>0</v>
      </c>
      <c r="AW263">
        <f>IF(OR(AU263="",AV263=""),"",(AU263+AV263)/2)</f>
        <v>0</v>
      </c>
      <c r="AX263">
        <f>IF(COUNT($E$2:$E263)&lt;52,"",(MAX($C$212:$C$263)+MIN($D$212:$D$263))/2)</f>
        <v>0</v>
      </c>
      <c r="AY263">
        <f>IF(COUNT($E$2:$E263)&lt;20,"",MAX($C$164:$C$263))</f>
        <v>0</v>
      </c>
      <c r="AZ263">
        <f>IF(COUNT($E$2:$E263)&lt;20,"",MIN($D$164:$D$263))</f>
        <v>0</v>
      </c>
      <c r="BA263">
        <f>IF(COUNT($E$2:$E263)&lt;20,"",SLOPE($E$164:$E$263,$F$164:$F$263))</f>
        <v>0</v>
      </c>
      <c r="BB263">
        <f>IF(COUNT($E$2:$E263)&lt;20,"",INTERCEPT($E$164:$E$263,$F$164:$F$263))</f>
        <v>0</v>
      </c>
      <c r="BC263">
        <f>IF(OR(BA263="",BB263=""),"",BB263+BA263*F263)</f>
        <v>0</v>
      </c>
      <c r="BD263">
        <f>IF(COUNT($E$2:$E263)&lt;20,"",STEYX($E$164:$E$263,$F$164:$F$263))</f>
        <v>0</v>
      </c>
      <c r="BE263">
        <f>IF($E263="","",IF(AND(COUNT($E$264:$E$267)&gt;=4,$C263=MAX($C$259:$C$267)),$C263,""))</f>
        <v>0</v>
      </c>
      <c r="BF263">
        <f>IF($E263="","",IF(AND(COUNT($E$264:$E$267)&gt;=4,$D263=MIN($D$259:$D$267)),$D263,""))</f>
        <v>0</v>
      </c>
      <c r="BG263">
        <f>IFERROR(SMALL(Calc_Daily!$BM$2:$BM$2001,262),"")</f>
        <v>0</v>
      </c>
    </row>
    <row r="264" spans="1:59">
      <c r="A264" s="27">
        <f>IF($BG264="","",INDEX(Calc_Daily!$A$2:$A$2001,$BG264))</f>
        <v>0</v>
      </c>
      <c r="B264">
        <f>IF($BG264="","",INDEX(Calc_Daily!$BJ$2:$BJ$2001,$BG264))</f>
        <v>0</v>
      </c>
      <c r="C264">
        <f>IF($BG264="","",INDEX(Calc_Daily!$BK$2:$BK$2001,$BG264))</f>
        <v>0</v>
      </c>
      <c r="D264">
        <f>IF($BG264="","",INDEX(Calc_Daily!$BL$2:$BL$2001,$BG264))</f>
        <v>0</v>
      </c>
      <c r="E264">
        <f>IF($BG264="","",INDEX(Calc_Daily!$E$2:$E$2001,$BG264))</f>
        <v>0</v>
      </c>
      <c r="F264">
        <f>IF($E264="","",N(F263)+1)</f>
        <v>0</v>
      </c>
      <c r="G264">
        <f>IF(OR($E264="",$E263=""),"",LN($E264/$E263))</f>
        <v>0</v>
      </c>
      <c r="H264">
        <f>IF($E264="","",IF($E263="",$E264,$E264*0.0952380952+H263*0.9047619048))</f>
        <v>0</v>
      </c>
      <c r="I264">
        <f>IF($E264="","",IF($E263="",$E264,$E264*0.0392156863+I263*0.9607843137))</f>
        <v>0</v>
      </c>
      <c r="J264">
        <f>IF($E264="","",IF($E263="",$E264,$E264*0.0198019802+J263*0.9801980198))</f>
        <v>0</v>
      </c>
      <c r="K264">
        <f>IF($E264="","",IF($E263="",$E264,$E264*0.0099502488+K263*0.9900497512))</f>
        <v>0</v>
      </c>
      <c r="L264">
        <f>IF(OR($E264="",$E263=""),"",MAX($E264-$E263,0))</f>
        <v>0</v>
      </c>
      <c r="M264">
        <f>IF(OR($E264="",$E263=""),"",MAX($E263-$E264,0))</f>
        <v>0</v>
      </c>
      <c r="N264">
        <f>IF(COUNT($E$2:$E264)&lt;15,"",IF(AVERAGE($M$251:$M$264)=0,100,100-100/(1+AVERAGE($L$251:$L$264)/AVERAGE($M$251:$M$264))))</f>
        <v>0</v>
      </c>
      <c r="O264">
        <f>IF($E264="","",IF($E263="",$E264,$E264*0.1538461538+O263*0.8461538462))</f>
        <v>0</v>
      </c>
      <c r="P264">
        <f>IF($E264="","",IF($E263="",$E264,$E264*0.0740740741+P263*0.9259259259))</f>
        <v>0</v>
      </c>
      <c r="Q264">
        <f>IF(OR(O264="",P264=""),"",O264-P264)</f>
        <v>0</v>
      </c>
      <c r="R264">
        <f>IF(Q264="","",IF(R263="",Q264,Q264*0.2000000000+R263*0.8000000000))</f>
        <v>0</v>
      </c>
      <c r="S264">
        <f>IF(OR(Q264="",R264=""),"",Q264-R264)</f>
        <v>0</v>
      </c>
      <c r="T264">
        <f>IF(COUNT($E$2:$E264)&lt;14,"",MAX($C$251:$C$264))</f>
        <v>0</v>
      </c>
      <c r="U264">
        <f>IF(COUNT($E$2:$E264)&lt;14,"",MIN($D$251:$D$264))</f>
        <v>0</v>
      </c>
      <c r="V264">
        <f>IF(OR(T264="",U264="",T264=U264),"",100*($E264-U264)/(T264-U264))</f>
        <v>0</v>
      </c>
      <c r="W264">
        <f>IF(COUNT($V$262:$V$264)&lt;3,"",AVERAGE($V$262:$V$264))</f>
        <v>0</v>
      </c>
      <c r="X264">
        <f>IF(COUNT($N$251:$N$264)&lt;14,"",MIN($N$251:$N$264))</f>
        <v>0</v>
      </c>
      <c r="Y264">
        <f>IF(COUNT($N$251:$N$264)&lt;14,"",MAX($N$251:$N$264))</f>
        <v>0</v>
      </c>
      <c r="Z264">
        <f>IF(OR(N264="",X264="",Y264="",Y264=X264),"",100*(N264-X264)/(Y264-X264))</f>
        <v>0</v>
      </c>
      <c r="AA264">
        <f>IF(COUNT($Z$262:$Z$264)&lt;3,"",AVERAGE($Z$262:$Z$264))</f>
        <v>0</v>
      </c>
      <c r="AB264">
        <f>IF(COUNT($AA$262:$AA$264)&lt;3,"",AVERAGE($AA$262:$AA$264))</f>
        <v>0</v>
      </c>
      <c r="AC264">
        <f>IF($E264="","",MAX($C264-$D264,ABS($C264-$E263),ABS($D264-$E263)))</f>
        <v>0</v>
      </c>
      <c r="AD264">
        <f>IF(COUNT($E$2:$E264)&lt;15,"",AVERAGE($AC$251:$AC$264))</f>
        <v>0</v>
      </c>
      <c r="AE264">
        <f>IF(OR($E264="",$E263=""),"",IF(AND(($C264-$C263)&gt;($D263-$D264),($C264-$C263)&gt;0),$C264-$C263,0))</f>
        <v>0</v>
      </c>
      <c r="AF264">
        <f>IF(OR($E264="",$E263=""),"",IF(AND(($D263-$D264)&gt;($C264-$C263),($D263-$D264)&gt;0),$D263-$D264,0))</f>
        <v>0</v>
      </c>
      <c r="AG264">
        <f>IF(COUNT($E$2:$E264)&lt;15,"",IF(SUM($AC$251:$AC$264)=0,0,100*SUM($AE$251:$AE$264)/SUM($AC$251:$AC$264)))</f>
        <v>0</v>
      </c>
      <c r="AH264">
        <f>IF(COUNT($E$2:$E264)&lt;15,"",IF(SUM($AC$251:$AC$264)=0,0,100*SUM($AF$251:$AF$264)/SUM($AC$251:$AC$264)))</f>
        <v>0</v>
      </c>
      <c r="AI264">
        <f>IF(OR(AG264="",AH264=""),"",IF((AG264+AH264)=0,0,100*ABS(AG264-AH264)/(AG264+AH264)))</f>
        <v>0</v>
      </c>
      <c r="AJ264">
        <f>IF(COUNT($AI$251:$AI$264)&lt;14,"",AVERAGE($AI$251:$AI$264))</f>
        <v>0</v>
      </c>
      <c r="AK264">
        <f>IF(COUNT($E$2:$E264)&lt;20,"",AVERAGE($E$245:$E$264))</f>
        <v>0</v>
      </c>
      <c r="AL264">
        <f>IF(COUNT($E$2:$E264)&lt;20,"",STDEVP($E$245:$E$264))</f>
        <v>0</v>
      </c>
      <c r="AM264">
        <f>IF(AK264="","",AK264+2*AL264)</f>
        <v>0</v>
      </c>
      <c r="AN264">
        <f>IF(AK264="","",AK264-2*AL264)</f>
        <v>0</v>
      </c>
      <c r="AO264">
        <f>IF(OR(AM264="",AN264="",AM264=AN264),"",($E264-AN264)/(AM264-AN264))</f>
        <v>0</v>
      </c>
      <c r="AP264">
        <f>IF(OR(AM264="",AK264="",AK264=0),"",(AM264-AN264)/AK264)</f>
        <v>0</v>
      </c>
      <c r="AQ264">
        <f>IF(COUNT($E$2:$E264)&lt;20,"",MAX($C$245:$C$264))</f>
        <v>0</v>
      </c>
      <c r="AR264">
        <f>IF(COUNT($E$2:$E264)&lt;20,"",MIN($D$245:$D$264))</f>
        <v>0</v>
      </c>
      <c r="AS264">
        <f>IF(OR(AQ264="",AR264=""),"",(AQ264+AR264)/2)</f>
        <v>0</v>
      </c>
      <c r="AT264">
        <f>IF(COUNT($G$245:$G$264)&lt;20,"",STDEV($G$245:$G$264)*SQRT(52))</f>
        <v>0</v>
      </c>
      <c r="AU264">
        <f>IF(COUNT($E$2:$E264)&lt;9,"",(MAX($C$256:$C$264)+MIN($D$256:$D$264))/2)</f>
        <v>0</v>
      </c>
      <c r="AV264">
        <f>IF(COUNT($E$2:$E264)&lt;26,"",(MAX($C$239:$C$264)+MIN($D$239:$D$264))/2)</f>
        <v>0</v>
      </c>
      <c r="AW264">
        <f>IF(OR(AU264="",AV264=""),"",(AU264+AV264)/2)</f>
        <v>0</v>
      </c>
      <c r="AX264">
        <f>IF(COUNT($E$2:$E264)&lt;52,"",(MAX($C$213:$C$264)+MIN($D$213:$D$264))/2)</f>
        <v>0</v>
      </c>
      <c r="AY264">
        <f>IF(COUNT($E$2:$E264)&lt;20,"",MAX($C$165:$C$264))</f>
        <v>0</v>
      </c>
      <c r="AZ264">
        <f>IF(COUNT($E$2:$E264)&lt;20,"",MIN($D$165:$D$264))</f>
        <v>0</v>
      </c>
      <c r="BA264">
        <f>IF(COUNT($E$2:$E264)&lt;20,"",SLOPE($E$165:$E$264,$F$165:$F$264))</f>
        <v>0</v>
      </c>
      <c r="BB264">
        <f>IF(COUNT($E$2:$E264)&lt;20,"",INTERCEPT($E$165:$E$264,$F$165:$F$264))</f>
        <v>0</v>
      </c>
      <c r="BC264">
        <f>IF(OR(BA264="",BB264=""),"",BB264+BA264*F264)</f>
        <v>0</v>
      </c>
      <c r="BD264">
        <f>IF(COUNT($E$2:$E264)&lt;20,"",STEYX($E$165:$E$264,$F$165:$F$264))</f>
        <v>0</v>
      </c>
      <c r="BE264">
        <f>IF($E264="","",IF(AND(COUNT($E$265:$E$268)&gt;=4,$C264=MAX($C$260:$C$268)),$C264,""))</f>
        <v>0</v>
      </c>
      <c r="BF264">
        <f>IF($E264="","",IF(AND(COUNT($E$265:$E$268)&gt;=4,$D264=MIN($D$260:$D$268)),$D264,""))</f>
        <v>0</v>
      </c>
      <c r="BG264">
        <f>IFERROR(SMALL(Calc_Daily!$BM$2:$BM$2001,263),"")</f>
        <v>0</v>
      </c>
    </row>
    <row r="265" spans="1:59">
      <c r="A265" s="27">
        <f>IF($BG265="","",INDEX(Calc_Daily!$A$2:$A$2001,$BG265))</f>
        <v>0</v>
      </c>
      <c r="B265">
        <f>IF($BG265="","",INDEX(Calc_Daily!$BJ$2:$BJ$2001,$BG265))</f>
        <v>0</v>
      </c>
      <c r="C265">
        <f>IF($BG265="","",INDEX(Calc_Daily!$BK$2:$BK$2001,$BG265))</f>
        <v>0</v>
      </c>
      <c r="D265">
        <f>IF($BG265="","",INDEX(Calc_Daily!$BL$2:$BL$2001,$BG265))</f>
        <v>0</v>
      </c>
      <c r="E265">
        <f>IF($BG265="","",INDEX(Calc_Daily!$E$2:$E$2001,$BG265))</f>
        <v>0</v>
      </c>
      <c r="F265">
        <f>IF($E265="","",N(F264)+1)</f>
        <v>0</v>
      </c>
      <c r="G265">
        <f>IF(OR($E265="",$E264=""),"",LN($E265/$E264))</f>
        <v>0</v>
      </c>
      <c r="H265">
        <f>IF($E265="","",IF($E264="",$E265,$E265*0.0952380952+H264*0.9047619048))</f>
        <v>0</v>
      </c>
      <c r="I265">
        <f>IF($E265="","",IF($E264="",$E265,$E265*0.0392156863+I264*0.9607843137))</f>
        <v>0</v>
      </c>
      <c r="J265">
        <f>IF($E265="","",IF($E264="",$E265,$E265*0.0198019802+J264*0.9801980198))</f>
        <v>0</v>
      </c>
      <c r="K265">
        <f>IF($E265="","",IF($E264="",$E265,$E265*0.0099502488+K264*0.9900497512))</f>
        <v>0</v>
      </c>
      <c r="L265">
        <f>IF(OR($E265="",$E264=""),"",MAX($E265-$E264,0))</f>
        <v>0</v>
      </c>
      <c r="M265">
        <f>IF(OR($E265="",$E264=""),"",MAX($E264-$E265,0))</f>
        <v>0</v>
      </c>
      <c r="N265">
        <f>IF(COUNT($E$2:$E265)&lt;15,"",IF(AVERAGE($M$252:$M$265)=0,100,100-100/(1+AVERAGE($L$252:$L$265)/AVERAGE($M$252:$M$265))))</f>
        <v>0</v>
      </c>
      <c r="O265">
        <f>IF($E265="","",IF($E264="",$E265,$E265*0.1538461538+O264*0.8461538462))</f>
        <v>0</v>
      </c>
      <c r="P265">
        <f>IF($E265="","",IF($E264="",$E265,$E265*0.0740740741+P264*0.9259259259))</f>
        <v>0</v>
      </c>
      <c r="Q265">
        <f>IF(OR(O265="",P265=""),"",O265-P265)</f>
        <v>0</v>
      </c>
      <c r="R265">
        <f>IF(Q265="","",IF(R264="",Q265,Q265*0.2000000000+R264*0.8000000000))</f>
        <v>0</v>
      </c>
      <c r="S265">
        <f>IF(OR(Q265="",R265=""),"",Q265-R265)</f>
        <v>0</v>
      </c>
      <c r="T265">
        <f>IF(COUNT($E$2:$E265)&lt;14,"",MAX($C$252:$C$265))</f>
        <v>0</v>
      </c>
      <c r="U265">
        <f>IF(COUNT($E$2:$E265)&lt;14,"",MIN($D$252:$D$265))</f>
        <v>0</v>
      </c>
      <c r="V265">
        <f>IF(OR(T265="",U265="",T265=U265),"",100*($E265-U265)/(T265-U265))</f>
        <v>0</v>
      </c>
      <c r="W265">
        <f>IF(COUNT($V$263:$V$265)&lt;3,"",AVERAGE($V$263:$V$265))</f>
        <v>0</v>
      </c>
      <c r="X265">
        <f>IF(COUNT($N$252:$N$265)&lt;14,"",MIN($N$252:$N$265))</f>
        <v>0</v>
      </c>
      <c r="Y265">
        <f>IF(COUNT($N$252:$N$265)&lt;14,"",MAX($N$252:$N$265))</f>
        <v>0</v>
      </c>
      <c r="Z265">
        <f>IF(OR(N265="",X265="",Y265="",Y265=X265),"",100*(N265-X265)/(Y265-X265))</f>
        <v>0</v>
      </c>
      <c r="AA265">
        <f>IF(COUNT($Z$263:$Z$265)&lt;3,"",AVERAGE($Z$263:$Z$265))</f>
        <v>0</v>
      </c>
      <c r="AB265">
        <f>IF(COUNT($AA$263:$AA$265)&lt;3,"",AVERAGE($AA$263:$AA$265))</f>
        <v>0</v>
      </c>
      <c r="AC265">
        <f>IF($E265="","",MAX($C265-$D265,ABS($C265-$E264),ABS($D265-$E264)))</f>
        <v>0</v>
      </c>
      <c r="AD265">
        <f>IF(COUNT($E$2:$E265)&lt;15,"",AVERAGE($AC$252:$AC$265))</f>
        <v>0</v>
      </c>
      <c r="AE265">
        <f>IF(OR($E265="",$E264=""),"",IF(AND(($C265-$C264)&gt;($D264-$D265),($C265-$C264)&gt;0),$C265-$C264,0))</f>
        <v>0</v>
      </c>
      <c r="AF265">
        <f>IF(OR($E265="",$E264=""),"",IF(AND(($D264-$D265)&gt;($C265-$C264),($D264-$D265)&gt;0),$D264-$D265,0))</f>
        <v>0</v>
      </c>
      <c r="AG265">
        <f>IF(COUNT($E$2:$E265)&lt;15,"",IF(SUM($AC$252:$AC$265)=0,0,100*SUM($AE$252:$AE$265)/SUM($AC$252:$AC$265)))</f>
        <v>0</v>
      </c>
      <c r="AH265">
        <f>IF(COUNT($E$2:$E265)&lt;15,"",IF(SUM($AC$252:$AC$265)=0,0,100*SUM($AF$252:$AF$265)/SUM($AC$252:$AC$265)))</f>
        <v>0</v>
      </c>
      <c r="AI265">
        <f>IF(OR(AG265="",AH265=""),"",IF((AG265+AH265)=0,0,100*ABS(AG265-AH265)/(AG265+AH265)))</f>
        <v>0</v>
      </c>
      <c r="AJ265">
        <f>IF(COUNT($AI$252:$AI$265)&lt;14,"",AVERAGE($AI$252:$AI$265))</f>
        <v>0</v>
      </c>
      <c r="AK265">
        <f>IF(COUNT($E$2:$E265)&lt;20,"",AVERAGE($E$246:$E$265))</f>
        <v>0</v>
      </c>
      <c r="AL265">
        <f>IF(COUNT($E$2:$E265)&lt;20,"",STDEVP($E$246:$E$265))</f>
        <v>0</v>
      </c>
      <c r="AM265">
        <f>IF(AK265="","",AK265+2*AL265)</f>
        <v>0</v>
      </c>
      <c r="AN265">
        <f>IF(AK265="","",AK265-2*AL265)</f>
        <v>0</v>
      </c>
      <c r="AO265">
        <f>IF(OR(AM265="",AN265="",AM265=AN265),"",($E265-AN265)/(AM265-AN265))</f>
        <v>0</v>
      </c>
      <c r="AP265">
        <f>IF(OR(AM265="",AK265="",AK265=0),"",(AM265-AN265)/AK265)</f>
        <v>0</v>
      </c>
      <c r="AQ265">
        <f>IF(COUNT($E$2:$E265)&lt;20,"",MAX($C$246:$C$265))</f>
        <v>0</v>
      </c>
      <c r="AR265">
        <f>IF(COUNT($E$2:$E265)&lt;20,"",MIN($D$246:$D$265))</f>
        <v>0</v>
      </c>
      <c r="AS265">
        <f>IF(OR(AQ265="",AR265=""),"",(AQ265+AR265)/2)</f>
        <v>0</v>
      </c>
      <c r="AT265">
        <f>IF(COUNT($G$246:$G$265)&lt;20,"",STDEV($G$246:$G$265)*SQRT(52))</f>
        <v>0</v>
      </c>
      <c r="AU265">
        <f>IF(COUNT($E$2:$E265)&lt;9,"",(MAX($C$257:$C$265)+MIN($D$257:$D$265))/2)</f>
        <v>0</v>
      </c>
      <c r="AV265">
        <f>IF(COUNT($E$2:$E265)&lt;26,"",(MAX($C$240:$C$265)+MIN($D$240:$D$265))/2)</f>
        <v>0</v>
      </c>
      <c r="AW265">
        <f>IF(OR(AU265="",AV265=""),"",(AU265+AV265)/2)</f>
        <v>0</v>
      </c>
      <c r="AX265">
        <f>IF(COUNT($E$2:$E265)&lt;52,"",(MAX($C$214:$C$265)+MIN($D$214:$D$265))/2)</f>
        <v>0</v>
      </c>
      <c r="AY265">
        <f>IF(COUNT($E$2:$E265)&lt;20,"",MAX($C$166:$C$265))</f>
        <v>0</v>
      </c>
      <c r="AZ265">
        <f>IF(COUNT($E$2:$E265)&lt;20,"",MIN($D$166:$D$265))</f>
        <v>0</v>
      </c>
      <c r="BA265">
        <f>IF(COUNT($E$2:$E265)&lt;20,"",SLOPE($E$166:$E$265,$F$166:$F$265))</f>
        <v>0</v>
      </c>
      <c r="BB265">
        <f>IF(COUNT($E$2:$E265)&lt;20,"",INTERCEPT($E$166:$E$265,$F$166:$F$265))</f>
        <v>0</v>
      </c>
      <c r="BC265">
        <f>IF(OR(BA265="",BB265=""),"",BB265+BA265*F265)</f>
        <v>0</v>
      </c>
      <c r="BD265">
        <f>IF(COUNT($E$2:$E265)&lt;20,"",STEYX($E$166:$E$265,$F$166:$F$265))</f>
        <v>0</v>
      </c>
      <c r="BE265">
        <f>IF($E265="","",IF(AND(COUNT($E$266:$E$269)&gt;=4,$C265=MAX($C$261:$C$269)),$C265,""))</f>
        <v>0</v>
      </c>
      <c r="BF265">
        <f>IF($E265="","",IF(AND(COUNT($E$266:$E$269)&gt;=4,$D265=MIN($D$261:$D$269)),$D265,""))</f>
        <v>0</v>
      </c>
      <c r="BG265">
        <f>IFERROR(SMALL(Calc_Daily!$BM$2:$BM$2001,264),"")</f>
        <v>0</v>
      </c>
    </row>
    <row r="266" spans="1:59">
      <c r="A266" s="27">
        <f>IF($BG266="","",INDEX(Calc_Daily!$A$2:$A$2001,$BG266))</f>
        <v>0</v>
      </c>
      <c r="B266">
        <f>IF($BG266="","",INDEX(Calc_Daily!$BJ$2:$BJ$2001,$BG266))</f>
        <v>0</v>
      </c>
      <c r="C266">
        <f>IF($BG266="","",INDEX(Calc_Daily!$BK$2:$BK$2001,$BG266))</f>
        <v>0</v>
      </c>
      <c r="D266">
        <f>IF($BG266="","",INDEX(Calc_Daily!$BL$2:$BL$2001,$BG266))</f>
        <v>0</v>
      </c>
      <c r="E266">
        <f>IF($BG266="","",INDEX(Calc_Daily!$E$2:$E$2001,$BG266))</f>
        <v>0</v>
      </c>
      <c r="F266">
        <f>IF($E266="","",N(F265)+1)</f>
        <v>0</v>
      </c>
      <c r="G266">
        <f>IF(OR($E266="",$E265=""),"",LN($E266/$E265))</f>
        <v>0</v>
      </c>
      <c r="H266">
        <f>IF($E266="","",IF($E265="",$E266,$E266*0.0952380952+H265*0.9047619048))</f>
        <v>0</v>
      </c>
      <c r="I266">
        <f>IF($E266="","",IF($E265="",$E266,$E266*0.0392156863+I265*0.9607843137))</f>
        <v>0</v>
      </c>
      <c r="J266">
        <f>IF($E266="","",IF($E265="",$E266,$E266*0.0198019802+J265*0.9801980198))</f>
        <v>0</v>
      </c>
      <c r="K266">
        <f>IF($E266="","",IF($E265="",$E266,$E266*0.0099502488+K265*0.9900497512))</f>
        <v>0</v>
      </c>
      <c r="L266">
        <f>IF(OR($E266="",$E265=""),"",MAX($E266-$E265,0))</f>
        <v>0</v>
      </c>
      <c r="M266">
        <f>IF(OR($E266="",$E265=""),"",MAX($E265-$E266,0))</f>
        <v>0</v>
      </c>
      <c r="N266">
        <f>IF(COUNT($E$2:$E266)&lt;15,"",IF(AVERAGE($M$253:$M$266)=0,100,100-100/(1+AVERAGE($L$253:$L$266)/AVERAGE($M$253:$M$266))))</f>
        <v>0</v>
      </c>
      <c r="O266">
        <f>IF($E266="","",IF($E265="",$E266,$E266*0.1538461538+O265*0.8461538462))</f>
        <v>0</v>
      </c>
      <c r="P266">
        <f>IF($E266="","",IF($E265="",$E266,$E266*0.0740740741+P265*0.9259259259))</f>
        <v>0</v>
      </c>
      <c r="Q266">
        <f>IF(OR(O266="",P266=""),"",O266-P266)</f>
        <v>0</v>
      </c>
      <c r="R266">
        <f>IF(Q266="","",IF(R265="",Q266,Q266*0.2000000000+R265*0.8000000000))</f>
        <v>0</v>
      </c>
      <c r="S266">
        <f>IF(OR(Q266="",R266=""),"",Q266-R266)</f>
        <v>0</v>
      </c>
      <c r="T266">
        <f>IF(COUNT($E$2:$E266)&lt;14,"",MAX($C$253:$C$266))</f>
        <v>0</v>
      </c>
      <c r="U266">
        <f>IF(COUNT($E$2:$E266)&lt;14,"",MIN($D$253:$D$266))</f>
        <v>0</v>
      </c>
      <c r="V266">
        <f>IF(OR(T266="",U266="",T266=U266),"",100*($E266-U266)/(T266-U266))</f>
        <v>0</v>
      </c>
      <c r="W266">
        <f>IF(COUNT($V$264:$V$266)&lt;3,"",AVERAGE($V$264:$V$266))</f>
        <v>0</v>
      </c>
      <c r="X266">
        <f>IF(COUNT($N$253:$N$266)&lt;14,"",MIN($N$253:$N$266))</f>
        <v>0</v>
      </c>
      <c r="Y266">
        <f>IF(COUNT($N$253:$N$266)&lt;14,"",MAX($N$253:$N$266))</f>
        <v>0</v>
      </c>
      <c r="Z266">
        <f>IF(OR(N266="",X266="",Y266="",Y266=X266),"",100*(N266-X266)/(Y266-X266))</f>
        <v>0</v>
      </c>
      <c r="AA266">
        <f>IF(COUNT($Z$264:$Z$266)&lt;3,"",AVERAGE($Z$264:$Z$266))</f>
        <v>0</v>
      </c>
      <c r="AB266">
        <f>IF(COUNT($AA$264:$AA$266)&lt;3,"",AVERAGE($AA$264:$AA$266))</f>
        <v>0</v>
      </c>
      <c r="AC266">
        <f>IF($E266="","",MAX($C266-$D266,ABS($C266-$E265),ABS($D266-$E265)))</f>
        <v>0</v>
      </c>
      <c r="AD266">
        <f>IF(COUNT($E$2:$E266)&lt;15,"",AVERAGE($AC$253:$AC$266))</f>
        <v>0</v>
      </c>
      <c r="AE266">
        <f>IF(OR($E266="",$E265=""),"",IF(AND(($C266-$C265)&gt;($D265-$D266),($C266-$C265)&gt;0),$C266-$C265,0))</f>
        <v>0</v>
      </c>
      <c r="AF266">
        <f>IF(OR($E266="",$E265=""),"",IF(AND(($D265-$D266)&gt;($C266-$C265),($D265-$D266)&gt;0),$D265-$D266,0))</f>
        <v>0</v>
      </c>
      <c r="AG266">
        <f>IF(COUNT($E$2:$E266)&lt;15,"",IF(SUM($AC$253:$AC$266)=0,0,100*SUM($AE$253:$AE$266)/SUM($AC$253:$AC$266)))</f>
        <v>0</v>
      </c>
      <c r="AH266">
        <f>IF(COUNT($E$2:$E266)&lt;15,"",IF(SUM($AC$253:$AC$266)=0,0,100*SUM($AF$253:$AF$266)/SUM($AC$253:$AC$266)))</f>
        <v>0</v>
      </c>
      <c r="AI266">
        <f>IF(OR(AG266="",AH266=""),"",IF((AG266+AH266)=0,0,100*ABS(AG266-AH266)/(AG266+AH266)))</f>
        <v>0</v>
      </c>
      <c r="AJ266">
        <f>IF(COUNT($AI$253:$AI$266)&lt;14,"",AVERAGE($AI$253:$AI$266))</f>
        <v>0</v>
      </c>
      <c r="AK266">
        <f>IF(COUNT($E$2:$E266)&lt;20,"",AVERAGE($E$247:$E$266))</f>
        <v>0</v>
      </c>
      <c r="AL266">
        <f>IF(COUNT($E$2:$E266)&lt;20,"",STDEVP($E$247:$E$266))</f>
        <v>0</v>
      </c>
      <c r="AM266">
        <f>IF(AK266="","",AK266+2*AL266)</f>
        <v>0</v>
      </c>
      <c r="AN266">
        <f>IF(AK266="","",AK266-2*AL266)</f>
        <v>0</v>
      </c>
      <c r="AO266">
        <f>IF(OR(AM266="",AN266="",AM266=AN266),"",($E266-AN266)/(AM266-AN266))</f>
        <v>0</v>
      </c>
      <c r="AP266">
        <f>IF(OR(AM266="",AK266="",AK266=0),"",(AM266-AN266)/AK266)</f>
        <v>0</v>
      </c>
      <c r="AQ266">
        <f>IF(COUNT($E$2:$E266)&lt;20,"",MAX($C$247:$C$266))</f>
        <v>0</v>
      </c>
      <c r="AR266">
        <f>IF(COUNT($E$2:$E266)&lt;20,"",MIN($D$247:$D$266))</f>
        <v>0</v>
      </c>
      <c r="AS266">
        <f>IF(OR(AQ266="",AR266=""),"",(AQ266+AR266)/2)</f>
        <v>0</v>
      </c>
      <c r="AT266">
        <f>IF(COUNT($G$247:$G$266)&lt;20,"",STDEV($G$247:$G$266)*SQRT(52))</f>
        <v>0</v>
      </c>
      <c r="AU266">
        <f>IF(COUNT($E$2:$E266)&lt;9,"",(MAX($C$258:$C$266)+MIN($D$258:$D$266))/2)</f>
        <v>0</v>
      </c>
      <c r="AV266">
        <f>IF(COUNT($E$2:$E266)&lt;26,"",(MAX($C$241:$C$266)+MIN($D$241:$D$266))/2)</f>
        <v>0</v>
      </c>
      <c r="AW266">
        <f>IF(OR(AU266="",AV266=""),"",(AU266+AV266)/2)</f>
        <v>0</v>
      </c>
      <c r="AX266">
        <f>IF(COUNT($E$2:$E266)&lt;52,"",(MAX($C$215:$C$266)+MIN($D$215:$D$266))/2)</f>
        <v>0</v>
      </c>
      <c r="AY266">
        <f>IF(COUNT($E$2:$E266)&lt;20,"",MAX($C$167:$C$266))</f>
        <v>0</v>
      </c>
      <c r="AZ266">
        <f>IF(COUNT($E$2:$E266)&lt;20,"",MIN($D$167:$D$266))</f>
        <v>0</v>
      </c>
      <c r="BA266">
        <f>IF(COUNT($E$2:$E266)&lt;20,"",SLOPE($E$167:$E$266,$F$167:$F$266))</f>
        <v>0</v>
      </c>
      <c r="BB266">
        <f>IF(COUNT($E$2:$E266)&lt;20,"",INTERCEPT($E$167:$E$266,$F$167:$F$266))</f>
        <v>0</v>
      </c>
      <c r="BC266">
        <f>IF(OR(BA266="",BB266=""),"",BB266+BA266*F266)</f>
        <v>0</v>
      </c>
      <c r="BD266">
        <f>IF(COUNT($E$2:$E266)&lt;20,"",STEYX($E$167:$E$266,$F$167:$F$266))</f>
        <v>0</v>
      </c>
      <c r="BE266">
        <f>IF($E266="","",IF(AND(COUNT($E$267:$E$270)&gt;=4,$C266=MAX($C$262:$C$270)),$C266,""))</f>
        <v>0</v>
      </c>
      <c r="BF266">
        <f>IF($E266="","",IF(AND(COUNT($E$267:$E$270)&gt;=4,$D266=MIN($D$262:$D$270)),$D266,""))</f>
        <v>0</v>
      </c>
      <c r="BG266">
        <f>IFERROR(SMALL(Calc_Daily!$BM$2:$BM$2001,265),"")</f>
        <v>0</v>
      </c>
    </row>
    <row r="267" spans="1:59">
      <c r="A267" s="27">
        <f>IF($BG267="","",INDEX(Calc_Daily!$A$2:$A$2001,$BG267))</f>
        <v>0</v>
      </c>
      <c r="B267">
        <f>IF($BG267="","",INDEX(Calc_Daily!$BJ$2:$BJ$2001,$BG267))</f>
        <v>0</v>
      </c>
      <c r="C267">
        <f>IF($BG267="","",INDEX(Calc_Daily!$BK$2:$BK$2001,$BG267))</f>
        <v>0</v>
      </c>
      <c r="D267">
        <f>IF($BG267="","",INDEX(Calc_Daily!$BL$2:$BL$2001,$BG267))</f>
        <v>0</v>
      </c>
      <c r="E267">
        <f>IF($BG267="","",INDEX(Calc_Daily!$E$2:$E$2001,$BG267))</f>
        <v>0</v>
      </c>
      <c r="F267">
        <f>IF($E267="","",N(F266)+1)</f>
        <v>0</v>
      </c>
      <c r="G267">
        <f>IF(OR($E267="",$E266=""),"",LN($E267/$E266))</f>
        <v>0</v>
      </c>
      <c r="H267">
        <f>IF($E267="","",IF($E266="",$E267,$E267*0.0952380952+H266*0.9047619048))</f>
        <v>0</v>
      </c>
      <c r="I267">
        <f>IF($E267="","",IF($E266="",$E267,$E267*0.0392156863+I266*0.9607843137))</f>
        <v>0</v>
      </c>
      <c r="J267">
        <f>IF($E267="","",IF($E266="",$E267,$E267*0.0198019802+J266*0.9801980198))</f>
        <v>0</v>
      </c>
      <c r="K267">
        <f>IF($E267="","",IF($E266="",$E267,$E267*0.0099502488+K266*0.9900497512))</f>
        <v>0</v>
      </c>
      <c r="L267">
        <f>IF(OR($E267="",$E266=""),"",MAX($E267-$E266,0))</f>
        <v>0</v>
      </c>
      <c r="M267">
        <f>IF(OR($E267="",$E266=""),"",MAX($E266-$E267,0))</f>
        <v>0</v>
      </c>
      <c r="N267">
        <f>IF(COUNT($E$2:$E267)&lt;15,"",IF(AVERAGE($M$254:$M$267)=0,100,100-100/(1+AVERAGE($L$254:$L$267)/AVERAGE($M$254:$M$267))))</f>
        <v>0</v>
      </c>
      <c r="O267">
        <f>IF($E267="","",IF($E266="",$E267,$E267*0.1538461538+O266*0.8461538462))</f>
        <v>0</v>
      </c>
      <c r="P267">
        <f>IF($E267="","",IF($E266="",$E267,$E267*0.0740740741+P266*0.9259259259))</f>
        <v>0</v>
      </c>
      <c r="Q267">
        <f>IF(OR(O267="",P267=""),"",O267-P267)</f>
        <v>0</v>
      </c>
      <c r="R267">
        <f>IF(Q267="","",IF(R266="",Q267,Q267*0.2000000000+R266*0.8000000000))</f>
        <v>0</v>
      </c>
      <c r="S267">
        <f>IF(OR(Q267="",R267=""),"",Q267-R267)</f>
        <v>0</v>
      </c>
      <c r="T267">
        <f>IF(COUNT($E$2:$E267)&lt;14,"",MAX($C$254:$C$267))</f>
        <v>0</v>
      </c>
      <c r="U267">
        <f>IF(COUNT($E$2:$E267)&lt;14,"",MIN($D$254:$D$267))</f>
        <v>0</v>
      </c>
      <c r="V267">
        <f>IF(OR(T267="",U267="",T267=U267),"",100*($E267-U267)/(T267-U267))</f>
        <v>0</v>
      </c>
      <c r="W267">
        <f>IF(COUNT($V$265:$V$267)&lt;3,"",AVERAGE($V$265:$V$267))</f>
        <v>0</v>
      </c>
      <c r="X267">
        <f>IF(COUNT($N$254:$N$267)&lt;14,"",MIN($N$254:$N$267))</f>
        <v>0</v>
      </c>
      <c r="Y267">
        <f>IF(COUNT($N$254:$N$267)&lt;14,"",MAX($N$254:$N$267))</f>
        <v>0</v>
      </c>
      <c r="Z267">
        <f>IF(OR(N267="",X267="",Y267="",Y267=X267),"",100*(N267-X267)/(Y267-X267))</f>
        <v>0</v>
      </c>
      <c r="AA267">
        <f>IF(COUNT($Z$265:$Z$267)&lt;3,"",AVERAGE($Z$265:$Z$267))</f>
        <v>0</v>
      </c>
      <c r="AB267">
        <f>IF(COUNT($AA$265:$AA$267)&lt;3,"",AVERAGE($AA$265:$AA$267))</f>
        <v>0</v>
      </c>
      <c r="AC267">
        <f>IF($E267="","",MAX($C267-$D267,ABS($C267-$E266),ABS($D267-$E266)))</f>
        <v>0</v>
      </c>
      <c r="AD267">
        <f>IF(COUNT($E$2:$E267)&lt;15,"",AVERAGE($AC$254:$AC$267))</f>
        <v>0</v>
      </c>
      <c r="AE267">
        <f>IF(OR($E267="",$E266=""),"",IF(AND(($C267-$C266)&gt;($D266-$D267),($C267-$C266)&gt;0),$C267-$C266,0))</f>
        <v>0</v>
      </c>
      <c r="AF267">
        <f>IF(OR($E267="",$E266=""),"",IF(AND(($D266-$D267)&gt;($C267-$C266),($D266-$D267)&gt;0),$D266-$D267,0))</f>
        <v>0</v>
      </c>
      <c r="AG267">
        <f>IF(COUNT($E$2:$E267)&lt;15,"",IF(SUM($AC$254:$AC$267)=0,0,100*SUM($AE$254:$AE$267)/SUM($AC$254:$AC$267)))</f>
        <v>0</v>
      </c>
      <c r="AH267">
        <f>IF(COUNT($E$2:$E267)&lt;15,"",IF(SUM($AC$254:$AC$267)=0,0,100*SUM($AF$254:$AF$267)/SUM($AC$254:$AC$267)))</f>
        <v>0</v>
      </c>
      <c r="AI267">
        <f>IF(OR(AG267="",AH267=""),"",IF((AG267+AH267)=0,0,100*ABS(AG267-AH267)/(AG267+AH267)))</f>
        <v>0</v>
      </c>
      <c r="AJ267">
        <f>IF(COUNT($AI$254:$AI$267)&lt;14,"",AVERAGE($AI$254:$AI$267))</f>
        <v>0</v>
      </c>
      <c r="AK267">
        <f>IF(COUNT($E$2:$E267)&lt;20,"",AVERAGE($E$248:$E$267))</f>
        <v>0</v>
      </c>
      <c r="AL267">
        <f>IF(COUNT($E$2:$E267)&lt;20,"",STDEVP($E$248:$E$267))</f>
        <v>0</v>
      </c>
      <c r="AM267">
        <f>IF(AK267="","",AK267+2*AL267)</f>
        <v>0</v>
      </c>
      <c r="AN267">
        <f>IF(AK267="","",AK267-2*AL267)</f>
        <v>0</v>
      </c>
      <c r="AO267">
        <f>IF(OR(AM267="",AN267="",AM267=AN267),"",($E267-AN267)/(AM267-AN267))</f>
        <v>0</v>
      </c>
      <c r="AP267">
        <f>IF(OR(AM267="",AK267="",AK267=0),"",(AM267-AN267)/AK267)</f>
        <v>0</v>
      </c>
      <c r="AQ267">
        <f>IF(COUNT($E$2:$E267)&lt;20,"",MAX($C$248:$C$267))</f>
        <v>0</v>
      </c>
      <c r="AR267">
        <f>IF(COUNT($E$2:$E267)&lt;20,"",MIN($D$248:$D$267))</f>
        <v>0</v>
      </c>
      <c r="AS267">
        <f>IF(OR(AQ267="",AR267=""),"",(AQ267+AR267)/2)</f>
        <v>0</v>
      </c>
      <c r="AT267">
        <f>IF(COUNT($G$248:$G$267)&lt;20,"",STDEV($G$248:$G$267)*SQRT(52))</f>
        <v>0</v>
      </c>
      <c r="AU267">
        <f>IF(COUNT($E$2:$E267)&lt;9,"",(MAX($C$259:$C$267)+MIN($D$259:$D$267))/2)</f>
        <v>0</v>
      </c>
      <c r="AV267">
        <f>IF(COUNT($E$2:$E267)&lt;26,"",(MAX($C$242:$C$267)+MIN($D$242:$D$267))/2)</f>
        <v>0</v>
      </c>
      <c r="AW267">
        <f>IF(OR(AU267="",AV267=""),"",(AU267+AV267)/2)</f>
        <v>0</v>
      </c>
      <c r="AX267">
        <f>IF(COUNT($E$2:$E267)&lt;52,"",(MAX($C$216:$C$267)+MIN($D$216:$D$267))/2)</f>
        <v>0</v>
      </c>
      <c r="AY267">
        <f>IF(COUNT($E$2:$E267)&lt;20,"",MAX($C$168:$C$267))</f>
        <v>0</v>
      </c>
      <c r="AZ267">
        <f>IF(COUNT($E$2:$E267)&lt;20,"",MIN($D$168:$D$267))</f>
        <v>0</v>
      </c>
      <c r="BA267">
        <f>IF(COUNT($E$2:$E267)&lt;20,"",SLOPE($E$168:$E$267,$F$168:$F$267))</f>
        <v>0</v>
      </c>
      <c r="BB267">
        <f>IF(COUNT($E$2:$E267)&lt;20,"",INTERCEPT($E$168:$E$267,$F$168:$F$267))</f>
        <v>0</v>
      </c>
      <c r="BC267">
        <f>IF(OR(BA267="",BB267=""),"",BB267+BA267*F267)</f>
        <v>0</v>
      </c>
      <c r="BD267">
        <f>IF(COUNT($E$2:$E267)&lt;20,"",STEYX($E$168:$E$267,$F$168:$F$267))</f>
        <v>0</v>
      </c>
      <c r="BE267">
        <f>IF($E267="","",IF(AND(COUNT($E$268:$E$271)&gt;=4,$C267=MAX($C$263:$C$271)),$C267,""))</f>
        <v>0</v>
      </c>
      <c r="BF267">
        <f>IF($E267="","",IF(AND(COUNT($E$268:$E$271)&gt;=4,$D267=MIN($D$263:$D$271)),$D267,""))</f>
        <v>0</v>
      </c>
      <c r="BG267">
        <f>IFERROR(SMALL(Calc_Daily!$BM$2:$BM$2001,266),"")</f>
        <v>0</v>
      </c>
    </row>
    <row r="268" spans="1:59">
      <c r="A268" s="27">
        <f>IF($BG268="","",INDEX(Calc_Daily!$A$2:$A$2001,$BG268))</f>
        <v>0</v>
      </c>
      <c r="B268">
        <f>IF($BG268="","",INDEX(Calc_Daily!$BJ$2:$BJ$2001,$BG268))</f>
        <v>0</v>
      </c>
      <c r="C268">
        <f>IF($BG268="","",INDEX(Calc_Daily!$BK$2:$BK$2001,$BG268))</f>
        <v>0</v>
      </c>
      <c r="D268">
        <f>IF($BG268="","",INDEX(Calc_Daily!$BL$2:$BL$2001,$BG268))</f>
        <v>0</v>
      </c>
      <c r="E268">
        <f>IF($BG268="","",INDEX(Calc_Daily!$E$2:$E$2001,$BG268))</f>
        <v>0</v>
      </c>
      <c r="F268">
        <f>IF($E268="","",N(F267)+1)</f>
        <v>0</v>
      </c>
      <c r="G268">
        <f>IF(OR($E268="",$E267=""),"",LN($E268/$E267))</f>
        <v>0</v>
      </c>
      <c r="H268">
        <f>IF($E268="","",IF($E267="",$E268,$E268*0.0952380952+H267*0.9047619048))</f>
        <v>0</v>
      </c>
      <c r="I268">
        <f>IF($E268="","",IF($E267="",$E268,$E268*0.0392156863+I267*0.9607843137))</f>
        <v>0</v>
      </c>
      <c r="J268">
        <f>IF($E268="","",IF($E267="",$E268,$E268*0.0198019802+J267*0.9801980198))</f>
        <v>0</v>
      </c>
      <c r="K268">
        <f>IF($E268="","",IF($E267="",$E268,$E268*0.0099502488+K267*0.9900497512))</f>
        <v>0</v>
      </c>
      <c r="L268">
        <f>IF(OR($E268="",$E267=""),"",MAX($E268-$E267,0))</f>
        <v>0</v>
      </c>
      <c r="M268">
        <f>IF(OR($E268="",$E267=""),"",MAX($E267-$E268,0))</f>
        <v>0</v>
      </c>
      <c r="N268">
        <f>IF(COUNT($E$2:$E268)&lt;15,"",IF(AVERAGE($M$255:$M$268)=0,100,100-100/(1+AVERAGE($L$255:$L$268)/AVERAGE($M$255:$M$268))))</f>
        <v>0</v>
      </c>
      <c r="O268">
        <f>IF($E268="","",IF($E267="",$E268,$E268*0.1538461538+O267*0.8461538462))</f>
        <v>0</v>
      </c>
      <c r="P268">
        <f>IF($E268="","",IF($E267="",$E268,$E268*0.0740740741+P267*0.9259259259))</f>
        <v>0</v>
      </c>
      <c r="Q268">
        <f>IF(OR(O268="",P268=""),"",O268-P268)</f>
        <v>0</v>
      </c>
      <c r="R268">
        <f>IF(Q268="","",IF(R267="",Q268,Q268*0.2000000000+R267*0.8000000000))</f>
        <v>0</v>
      </c>
      <c r="S268">
        <f>IF(OR(Q268="",R268=""),"",Q268-R268)</f>
        <v>0</v>
      </c>
      <c r="T268">
        <f>IF(COUNT($E$2:$E268)&lt;14,"",MAX($C$255:$C$268))</f>
        <v>0</v>
      </c>
      <c r="U268">
        <f>IF(COUNT($E$2:$E268)&lt;14,"",MIN($D$255:$D$268))</f>
        <v>0</v>
      </c>
      <c r="V268">
        <f>IF(OR(T268="",U268="",T268=U268),"",100*($E268-U268)/(T268-U268))</f>
        <v>0</v>
      </c>
      <c r="W268">
        <f>IF(COUNT($V$266:$V$268)&lt;3,"",AVERAGE($V$266:$V$268))</f>
        <v>0</v>
      </c>
      <c r="X268">
        <f>IF(COUNT($N$255:$N$268)&lt;14,"",MIN($N$255:$N$268))</f>
        <v>0</v>
      </c>
      <c r="Y268">
        <f>IF(COUNT($N$255:$N$268)&lt;14,"",MAX($N$255:$N$268))</f>
        <v>0</v>
      </c>
      <c r="Z268">
        <f>IF(OR(N268="",X268="",Y268="",Y268=X268),"",100*(N268-X268)/(Y268-X268))</f>
        <v>0</v>
      </c>
      <c r="AA268">
        <f>IF(COUNT($Z$266:$Z$268)&lt;3,"",AVERAGE($Z$266:$Z$268))</f>
        <v>0</v>
      </c>
      <c r="AB268">
        <f>IF(COUNT($AA$266:$AA$268)&lt;3,"",AVERAGE($AA$266:$AA$268))</f>
        <v>0</v>
      </c>
      <c r="AC268">
        <f>IF($E268="","",MAX($C268-$D268,ABS($C268-$E267),ABS($D268-$E267)))</f>
        <v>0</v>
      </c>
      <c r="AD268">
        <f>IF(COUNT($E$2:$E268)&lt;15,"",AVERAGE($AC$255:$AC$268))</f>
        <v>0</v>
      </c>
      <c r="AE268">
        <f>IF(OR($E268="",$E267=""),"",IF(AND(($C268-$C267)&gt;($D267-$D268),($C268-$C267)&gt;0),$C268-$C267,0))</f>
        <v>0</v>
      </c>
      <c r="AF268">
        <f>IF(OR($E268="",$E267=""),"",IF(AND(($D267-$D268)&gt;($C268-$C267),($D267-$D268)&gt;0),$D267-$D268,0))</f>
        <v>0</v>
      </c>
      <c r="AG268">
        <f>IF(COUNT($E$2:$E268)&lt;15,"",IF(SUM($AC$255:$AC$268)=0,0,100*SUM($AE$255:$AE$268)/SUM($AC$255:$AC$268)))</f>
        <v>0</v>
      </c>
      <c r="AH268">
        <f>IF(COUNT($E$2:$E268)&lt;15,"",IF(SUM($AC$255:$AC$268)=0,0,100*SUM($AF$255:$AF$268)/SUM($AC$255:$AC$268)))</f>
        <v>0</v>
      </c>
      <c r="AI268">
        <f>IF(OR(AG268="",AH268=""),"",IF((AG268+AH268)=0,0,100*ABS(AG268-AH268)/(AG268+AH268)))</f>
        <v>0</v>
      </c>
      <c r="AJ268">
        <f>IF(COUNT($AI$255:$AI$268)&lt;14,"",AVERAGE($AI$255:$AI$268))</f>
        <v>0</v>
      </c>
      <c r="AK268">
        <f>IF(COUNT($E$2:$E268)&lt;20,"",AVERAGE($E$249:$E$268))</f>
        <v>0</v>
      </c>
      <c r="AL268">
        <f>IF(COUNT($E$2:$E268)&lt;20,"",STDEVP($E$249:$E$268))</f>
        <v>0</v>
      </c>
      <c r="AM268">
        <f>IF(AK268="","",AK268+2*AL268)</f>
        <v>0</v>
      </c>
      <c r="AN268">
        <f>IF(AK268="","",AK268-2*AL268)</f>
        <v>0</v>
      </c>
      <c r="AO268">
        <f>IF(OR(AM268="",AN268="",AM268=AN268),"",($E268-AN268)/(AM268-AN268))</f>
        <v>0</v>
      </c>
      <c r="AP268">
        <f>IF(OR(AM268="",AK268="",AK268=0),"",(AM268-AN268)/AK268)</f>
        <v>0</v>
      </c>
      <c r="AQ268">
        <f>IF(COUNT($E$2:$E268)&lt;20,"",MAX($C$249:$C$268))</f>
        <v>0</v>
      </c>
      <c r="AR268">
        <f>IF(COUNT($E$2:$E268)&lt;20,"",MIN($D$249:$D$268))</f>
        <v>0</v>
      </c>
      <c r="AS268">
        <f>IF(OR(AQ268="",AR268=""),"",(AQ268+AR268)/2)</f>
        <v>0</v>
      </c>
      <c r="AT268">
        <f>IF(COUNT($G$249:$G$268)&lt;20,"",STDEV($G$249:$G$268)*SQRT(52))</f>
        <v>0</v>
      </c>
      <c r="AU268">
        <f>IF(COUNT($E$2:$E268)&lt;9,"",(MAX($C$260:$C$268)+MIN($D$260:$D$268))/2)</f>
        <v>0</v>
      </c>
      <c r="AV268">
        <f>IF(COUNT($E$2:$E268)&lt;26,"",(MAX($C$243:$C$268)+MIN($D$243:$D$268))/2)</f>
        <v>0</v>
      </c>
      <c r="AW268">
        <f>IF(OR(AU268="",AV268=""),"",(AU268+AV268)/2)</f>
        <v>0</v>
      </c>
      <c r="AX268">
        <f>IF(COUNT($E$2:$E268)&lt;52,"",(MAX($C$217:$C$268)+MIN($D$217:$D$268))/2)</f>
        <v>0</v>
      </c>
      <c r="AY268">
        <f>IF(COUNT($E$2:$E268)&lt;20,"",MAX($C$169:$C$268))</f>
        <v>0</v>
      </c>
      <c r="AZ268">
        <f>IF(COUNT($E$2:$E268)&lt;20,"",MIN($D$169:$D$268))</f>
        <v>0</v>
      </c>
      <c r="BA268">
        <f>IF(COUNT($E$2:$E268)&lt;20,"",SLOPE($E$169:$E$268,$F$169:$F$268))</f>
        <v>0</v>
      </c>
      <c r="BB268">
        <f>IF(COUNT($E$2:$E268)&lt;20,"",INTERCEPT($E$169:$E$268,$F$169:$F$268))</f>
        <v>0</v>
      </c>
      <c r="BC268">
        <f>IF(OR(BA268="",BB268=""),"",BB268+BA268*F268)</f>
        <v>0</v>
      </c>
      <c r="BD268">
        <f>IF(COUNT($E$2:$E268)&lt;20,"",STEYX($E$169:$E$268,$F$169:$F$268))</f>
        <v>0</v>
      </c>
      <c r="BE268">
        <f>IF($E268="","",IF(AND(COUNT($E$269:$E$272)&gt;=4,$C268=MAX($C$264:$C$272)),$C268,""))</f>
        <v>0</v>
      </c>
      <c r="BF268">
        <f>IF($E268="","",IF(AND(COUNT($E$269:$E$272)&gt;=4,$D268=MIN($D$264:$D$272)),$D268,""))</f>
        <v>0</v>
      </c>
      <c r="BG268">
        <f>IFERROR(SMALL(Calc_Daily!$BM$2:$BM$2001,267),"")</f>
        <v>0</v>
      </c>
    </row>
    <row r="269" spans="1:59">
      <c r="A269" s="27">
        <f>IF($BG269="","",INDEX(Calc_Daily!$A$2:$A$2001,$BG269))</f>
        <v>0</v>
      </c>
      <c r="B269">
        <f>IF($BG269="","",INDEX(Calc_Daily!$BJ$2:$BJ$2001,$BG269))</f>
        <v>0</v>
      </c>
      <c r="C269">
        <f>IF($BG269="","",INDEX(Calc_Daily!$BK$2:$BK$2001,$BG269))</f>
        <v>0</v>
      </c>
      <c r="D269">
        <f>IF($BG269="","",INDEX(Calc_Daily!$BL$2:$BL$2001,$BG269))</f>
        <v>0</v>
      </c>
      <c r="E269">
        <f>IF($BG269="","",INDEX(Calc_Daily!$E$2:$E$2001,$BG269))</f>
        <v>0</v>
      </c>
      <c r="F269">
        <f>IF($E269="","",N(F268)+1)</f>
        <v>0</v>
      </c>
      <c r="G269">
        <f>IF(OR($E269="",$E268=""),"",LN($E269/$E268))</f>
        <v>0</v>
      </c>
      <c r="H269">
        <f>IF($E269="","",IF($E268="",$E269,$E269*0.0952380952+H268*0.9047619048))</f>
        <v>0</v>
      </c>
      <c r="I269">
        <f>IF($E269="","",IF($E268="",$E269,$E269*0.0392156863+I268*0.9607843137))</f>
        <v>0</v>
      </c>
      <c r="J269">
        <f>IF($E269="","",IF($E268="",$E269,$E269*0.0198019802+J268*0.9801980198))</f>
        <v>0</v>
      </c>
      <c r="K269">
        <f>IF($E269="","",IF($E268="",$E269,$E269*0.0099502488+K268*0.9900497512))</f>
        <v>0</v>
      </c>
      <c r="L269">
        <f>IF(OR($E269="",$E268=""),"",MAX($E269-$E268,0))</f>
        <v>0</v>
      </c>
      <c r="M269">
        <f>IF(OR($E269="",$E268=""),"",MAX($E268-$E269,0))</f>
        <v>0</v>
      </c>
      <c r="N269">
        <f>IF(COUNT($E$2:$E269)&lt;15,"",IF(AVERAGE($M$256:$M$269)=0,100,100-100/(1+AVERAGE($L$256:$L$269)/AVERAGE($M$256:$M$269))))</f>
        <v>0</v>
      </c>
      <c r="O269">
        <f>IF($E269="","",IF($E268="",$E269,$E269*0.1538461538+O268*0.8461538462))</f>
        <v>0</v>
      </c>
      <c r="P269">
        <f>IF($E269="","",IF($E268="",$E269,$E269*0.0740740741+P268*0.9259259259))</f>
        <v>0</v>
      </c>
      <c r="Q269">
        <f>IF(OR(O269="",P269=""),"",O269-P269)</f>
        <v>0</v>
      </c>
      <c r="R269">
        <f>IF(Q269="","",IF(R268="",Q269,Q269*0.2000000000+R268*0.8000000000))</f>
        <v>0</v>
      </c>
      <c r="S269">
        <f>IF(OR(Q269="",R269=""),"",Q269-R269)</f>
        <v>0</v>
      </c>
      <c r="T269">
        <f>IF(COUNT($E$2:$E269)&lt;14,"",MAX($C$256:$C$269))</f>
        <v>0</v>
      </c>
      <c r="U269">
        <f>IF(COUNT($E$2:$E269)&lt;14,"",MIN($D$256:$D$269))</f>
        <v>0</v>
      </c>
      <c r="V269">
        <f>IF(OR(T269="",U269="",T269=U269),"",100*($E269-U269)/(T269-U269))</f>
        <v>0</v>
      </c>
      <c r="W269">
        <f>IF(COUNT($V$267:$V$269)&lt;3,"",AVERAGE($V$267:$V$269))</f>
        <v>0</v>
      </c>
      <c r="X269">
        <f>IF(COUNT($N$256:$N$269)&lt;14,"",MIN($N$256:$N$269))</f>
        <v>0</v>
      </c>
      <c r="Y269">
        <f>IF(COUNT($N$256:$N$269)&lt;14,"",MAX($N$256:$N$269))</f>
        <v>0</v>
      </c>
      <c r="Z269">
        <f>IF(OR(N269="",X269="",Y269="",Y269=X269),"",100*(N269-X269)/(Y269-X269))</f>
        <v>0</v>
      </c>
      <c r="AA269">
        <f>IF(COUNT($Z$267:$Z$269)&lt;3,"",AVERAGE($Z$267:$Z$269))</f>
        <v>0</v>
      </c>
      <c r="AB269">
        <f>IF(COUNT($AA$267:$AA$269)&lt;3,"",AVERAGE($AA$267:$AA$269))</f>
        <v>0</v>
      </c>
      <c r="AC269">
        <f>IF($E269="","",MAX($C269-$D269,ABS($C269-$E268),ABS($D269-$E268)))</f>
        <v>0</v>
      </c>
      <c r="AD269">
        <f>IF(COUNT($E$2:$E269)&lt;15,"",AVERAGE($AC$256:$AC$269))</f>
        <v>0</v>
      </c>
      <c r="AE269">
        <f>IF(OR($E269="",$E268=""),"",IF(AND(($C269-$C268)&gt;($D268-$D269),($C269-$C268)&gt;0),$C269-$C268,0))</f>
        <v>0</v>
      </c>
      <c r="AF269">
        <f>IF(OR($E269="",$E268=""),"",IF(AND(($D268-$D269)&gt;($C269-$C268),($D268-$D269)&gt;0),$D268-$D269,0))</f>
        <v>0</v>
      </c>
      <c r="AG269">
        <f>IF(COUNT($E$2:$E269)&lt;15,"",IF(SUM($AC$256:$AC$269)=0,0,100*SUM($AE$256:$AE$269)/SUM($AC$256:$AC$269)))</f>
        <v>0</v>
      </c>
      <c r="AH269">
        <f>IF(COUNT($E$2:$E269)&lt;15,"",IF(SUM($AC$256:$AC$269)=0,0,100*SUM($AF$256:$AF$269)/SUM($AC$256:$AC$269)))</f>
        <v>0</v>
      </c>
      <c r="AI269">
        <f>IF(OR(AG269="",AH269=""),"",IF((AG269+AH269)=0,0,100*ABS(AG269-AH269)/(AG269+AH269)))</f>
        <v>0</v>
      </c>
      <c r="AJ269">
        <f>IF(COUNT($AI$256:$AI$269)&lt;14,"",AVERAGE($AI$256:$AI$269))</f>
        <v>0</v>
      </c>
      <c r="AK269">
        <f>IF(COUNT($E$2:$E269)&lt;20,"",AVERAGE($E$250:$E$269))</f>
        <v>0</v>
      </c>
      <c r="AL269">
        <f>IF(COUNT($E$2:$E269)&lt;20,"",STDEVP($E$250:$E$269))</f>
        <v>0</v>
      </c>
      <c r="AM269">
        <f>IF(AK269="","",AK269+2*AL269)</f>
        <v>0</v>
      </c>
      <c r="AN269">
        <f>IF(AK269="","",AK269-2*AL269)</f>
        <v>0</v>
      </c>
      <c r="AO269">
        <f>IF(OR(AM269="",AN269="",AM269=AN269),"",($E269-AN269)/(AM269-AN269))</f>
        <v>0</v>
      </c>
      <c r="AP269">
        <f>IF(OR(AM269="",AK269="",AK269=0),"",(AM269-AN269)/AK269)</f>
        <v>0</v>
      </c>
      <c r="AQ269">
        <f>IF(COUNT($E$2:$E269)&lt;20,"",MAX($C$250:$C$269))</f>
        <v>0</v>
      </c>
      <c r="AR269">
        <f>IF(COUNT($E$2:$E269)&lt;20,"",MIN($D$250:$D$269))</f>
        <v>0</v>
      </c>
      <c r="AS269">
        <f>IF(OR(AQ269="",AR269=""),"",(AQ269+AR269)/2)</f>
        <v>0</v>
      </c>
      <c r="AT269">
        <f>IF(COUNT($G$250:$G$269)&lt;20,"",STDEV($G$250:$G$269)*SQRT(52))</f>
        <v>0</v>
      </c>
      <c r="AU269">
        <f>IF(COUNT($E$2:$E269)&lt;9,"",(MAX($C$261:$C$269)+MIN($D$261:$D$269))/2)</f>
        <v>0</v>
      </c>
      <c r="AV269">
        <f>IF(COUNT($E$2:$E269)&lt;26,"",(MAX($C$244:$C$269)+MIN($D$244:$D$269))/2)</f>
        <v>0</v>
      </c>
      <c r="AW269">
        <f>IF(OR(AU269="",AV269=""),"",(AU269+AV269)/2)</f>
        <v>0</v>
      </c>
      <c r="AX269">
        <f>IF(COUNT($E$2:$E269)&lt;52,"",(MAX($C$218:$C$269)+MIN($D$218:$D$269))/2)</f>
        <v>0</v>
      </c>
      <c r="AY269">
        <f>IF(COUNT($E$2:$E269)&lt;20,"",MAX($C$170:$C$269))</f>
        <v>0</v>
      </c>
      <c r="AZ269">
        <f>IF(COUNT($E$2:$E269)&lt;20,"",MIN($D$170:$D$269))</f>
        <v>0</v>
      </c>
      <c r="BA269">
        <f>IF(COUNT($E$2:$E269)&lt;20,"",SLOPE($E$170:$E$269,$F$170:$F$269))</f>
        <v>0</v>
      </c>
      <c r="BB269">
        <f>IF(COUNT($E$2:$E269)&lt;20,"",INTERCEPT($E$170:$E$269,$F$170:$F$269))</f>
        <v>0</v>
      </c>
      <c r="BC269">
        <f>IF(OR(BA269="",BB269=""),"",BB269+BA269*F269)</f>
        <v>0</v>
      </c>
      <c r="BD269">
        <f>IF(COUNT($E$2:$E269)&lt;20,"",STEYX($E$170:$E$269,$F$170:$F$269))</f>
        <v>0</v>
      </c>
      <c r="BE269">
        <f>IF($E269="","",IF(AND(COUNT($E$270:$E$273)&gt;=4,$C269=MAX($C$265:$C$273)),$C269,""))</f>
        <v>0</v>
      </c>
      <c r="BF269">
        <f>IF($E269="","",IF(AND(COUNT($E$270:$E$273)&gt;=4,$D269=MIN($D$265:$D$273)),$D269,""))</f>
        <v>0</v>
      </c>
      <c r="BG269">
        <f>IFERROR(SMALL(Calc_Daily!$BM$2:$BM$2001,268),"")</f>
        <v>0</v>
      </c>
    </row>
    <row r="270" spans="1:59">
      <c r="A270" s="27">
        <f>IF($BG270="","",INDEX(Calc_Daily!$A$2:$A$2001,$BG270))</f>
        <v>0</v>
      </c>
      <c r="B270">
        <f>IF($BG270="","",INDEX(Calc_Daily!$BJ$2:$BJ$2001,$BG270))</f>
        <v>0</v>
      </c>
      <c r="C270">
        <f>IF($BG270="","",INDEX(Calc_Daily!$BK$2:$BK$2001,$BG270))</f>
        <v>0</v>
      </c>
      <c r="D270">
        <f>IF($BG270="","",INDEX(Calc_Daily!$BL$2:$BL$2001,$BG270))</f>
        <v>0</v>
      </c>
      <c r="E270">
        <f>IF($BG270="","",INDEX(Calc_Daily!$E$2:$E$2001,$BG270))</f>
        <v>0</v>
      </c>
      <c r="F270">
        <f>IF($E270="","",N(F269)+1)</f>
        <v>0</v>
      </c>
      <c r="G270">
        <f>IF(OR($E270="",$E269=""),"",LN($E270/$E269))</f>
        <v>0</v>
      </c>
      <c r="H270">
        <f>IF($E270="","",IF($E269="",$E270,$E270*0.0952380952+H269*0.9047619048))</f>
        <v>0</v>
      </c>
      <c r="I270">
        <f>IF($E270="","",IF($E269="",$E270,$E270*0.0392156863+I269*0.9607843137))</f>
        <v>0</v>
      </c>
      <c r="J270">
        <f>IF($E270="","",IF($E269="",$E270,$E270*0.0198019802+J269*0.9801980198))</f>
        <v>0</v>
      </c>
      <c r="K270">
        <f>IF($E270="","",IF($E269="",$E270,$E270*0.0099502488+K269*0.9900497512))</f>
        <v>0</v>
      </c>
      <c r="L270">
        <f>IF(OR($E270="",$E269=""),"",MAX($E270-$E269,0))</f>
        <v>0</v>
      </c>
      <c r="M270">
        <f>IF(OR($E270="",$E269=""),"",MAX($E269-$E270,0))</f>
        <v>0</v>
      </c>
      <c r="N270">
        <f>IF(COUNT($E$2:$E270)&lt;15,"",IF(AVERAGE($M$257:$M$270)=0,100,100-100/(1+AVERAGE($L$257:$L$270)/AVERAGE($M$257:$M$270))))</f>
        <v>0</v>
      </c>
      <c r="O270">
        <f>IF($E270="","",IF($E269="",$E270,$E270*0.1538461538+O269*0.8461538462))</f>
        <v>0</v>
      </c>
      <c r="P270">
        <f>IF($E270="","",IF($E269="",$E270,$E270*0.0740740741+P269*0.9259259259))</f>
        <v>0</v>
      </c>
      <c r="Q270">
        <f>IF(OR(O270="",P270=""),"",O270-P270)</f>
        <v>0</v>
      </c>
      <c r="R270">
        <f>IF(Q270="","",IF(R269="",Q270,Q270*0.2000000000+R269*0.8000000000))</f>
        <v>0</v>
      </c>
      <c r="S270">
        <f>IF(OR(Q270="",R270=""),"",Q270-R270)</f>
        <v>0</v>
      </c>
      <c r="T270">
        <f>IF(COUNT($E$2:$E270)&lt;14,"",MAX($C$257:$C$270))</f>
        <v>0</v>
      </c>
      <c r="U270">
        <f>IF(COUNT($E$2:$E270)&lt;14,"",MIN($D$257:$D$270))</f>
        <v>0</v>
      </c>
      <c r="V270">
        <f>IF(OR(T270="",U270="",T270=U270),"",100*($E270-U270)/(T270-U270))</f>
        <v>0</v>
      </c>
      <c r="W270">
        <f>IF(COUNT($V$268:$V$270)&lt;3,"",AVERAGE($V$268:$V$270))</f>
        <v>0</v>
      </c>
      <c r="X270">
        <f>IF(COUNT($N$257:$N$270)&lt;14,"",MIN($N$257:$N$270))</f>
        <v>0</v>
      </c>
      <c r="Y270">
        <f>IF(COUNT($N$257:$N$270)&lt;14,"",MAX($N$257:$N$270))</f>
        <v>0</v>
      </c>
      <c r="Z270">
        <f>IF(OR(N270="",X270="",Y270="",Y270=X270),"",100*(N270-X270)/(Y270-X270))</f>
        <v>0</v>
      </c>
      <c r="AA270">
        <f>IF(COUNT($Z$268:$Z$270)&lt;3,"",AVERAGE($Z$268:$Z$270))</f>
        <v>0</v>
      </c>
      <c r="AB270">
        <f>IF(COUNT($AA$268:$AA$270)&lt;3,"",AVERAGE($AA$268:$AA$270))</f>
        <v>0</v>
      </c>
      <c r="AC270">
        <f>IF($E270="","",MAX($C270-$D270,ABS($C270-$E269),ABS($D270-$E269)))</f>
        <v>0</v>
      </c>
      <c r="AD270">
        <f>IF(COUNT($E$2:$E270)&lt;15,"",AVERAGE($AC$257:$AC$270))</f>
        <v>0</v>
      </c>
      <c r="AE270">
        <f>IF(OR($E270="",$E269=""),"",IF(AND(($C270-$C269)&gt;($D269-$D270),($C270-$C269)&gt;0),$C270-$C269,0))</f>
        <v>0</v>
      </c>
      <c r="AF270">
        <f>IF(OR($E270="",$E269=""),"",IF(AND(($D269-$D270)&gt;($C270-$C269),($D269-$D270)&gt;0),$D269-$D270,0))</f>
        <v>0</v>
      </c>
      <c r="AG270">
        <f>IF(COUNT($E$2:$E270)&lt;15,"",IF(SUM($AC$257:$AC$270)=0,0,100*SUM($AE$257:$AE$270)/SUM($AC$257:$AC$270)))</f>
        <v>0</v>
      </c>
      <c r="AH270">
        <f>IF(COUNT($E$2:$E270)&lt;15,"",IF(SUM($AC$257:$AC$270)=0,0,100*SUM($AF$257:$AF$270)/SUM($AC$257:$AC$270)))</f>
        <v>0</v>
      </c>
      <c r="AI270">
        <f>IF(OR(AG270="",AH270=""),"",IF((AG270+AH270)=0,0,100*ABS(AG270-AH270)/(AG270+AH270)))</f>
        <v>0</v>
      </c>
      <c r="AJ270">
        <f>IF(COUNT($AI$257:$AI$270)&lt;14,"",AVERAGE($AI$257:$AI$270))</f>
        <v>0</v>
      </c>
      <c r="AK270">
        <f>IF(COUNT($E$2:$E270)&lt;20,"",AVERAGE($E$251:$E$270))</f>
        <v>0</v>
      </c>
      <c r="AL270">
        <f>IF(COUNT($E$2:$E270)&lt;20,"",STDEVP($E$251:$E$270))</f>
        <v>0</v>
      </c>
      <c r="AM270">
        <f>IF(AK270="","",AK270+2*AL270)</f>
        <v>0</v>
      </c>
      <c r="AN270">
        <f>IF(AK270="","",AK270-2*AL270)</f>
        <v>0</v>
      </c>
      <c r="AO270">
        <f>IF(OR(AM270="",AN270="",AM270=AN270),"",($E270-AN270)/(AM270-AN270))</f>
        <v>0</v>
      </c>
      <c r="AP270">
        <f>IF(OR(AM270="",AK270="",AK270=0),"",(AM270-AN270)/AK270)</f>
        <v>0</v>
      </c>
      <c r="AQ270">
        <f>IF(COUNT($E$2:$E270)&lt;20,"",MAX($C$251:$C$270))</f>
        <v>0</v>
      </c>
      <c r="AR270">
        <f>IF(COUNT($E$2:$E270)&lt;20,"",MIN($D$251:$D$270))</f>
        <v>0</v>
      </c>
      <c r="AS270">
        <f>IF(OR(AQ270="",AR270=""),"",(AQ270+AR270)/2)</f>
        <v>0</v>
      </c>
      <c r="AT270">
        <f>IF(COUNT($G$251:$G$270)&lt;20,"",STDEV($G$251:$G$270)*SQRT(52))</f>
        <v>0</v>
      </c>
      <c r="AU270">
        <f>IF(COUNT($E$2:$E270)&lt;9,"",(MAX($C$262:$C$270)+MIN($D$262:$D$270))/2)</f>
        <v>0</v>
      </c>
      <c r="AV270">
        <f>IF(COUNT($E$2:$E270)&lt;26,"",(MAX($C$245:$C$270)+MIN($D$245:$D$270))/2)</f>
        <v>0</v>
      </c>
      <c r="AW270">
        <f>IF(OR(AU270="",AV270=""),"",(AU270+AV270)/2)</f>
        <v>0</v>
      </c>
      <c r="AX270">
        <f>IF(COUNT($E$2:$E270)&lt;52,"",(MAX($C$219:$C$270)+MIN($D$219:$D$270))/2)</f>
        <v>0</v>
      </c>
      <c r="AY270">
        <f>IF(COUNT($E$2:$E270)&lt;20,"",MAX($C$171:$C$270))</f>
        <v>0</v>
      </c>
      <c r="AZ270">
        <f>IF(COUNT($E$2:$E270)&lt;20,"",MIN($D$171:$D$270))</f>
        <v>0</v>
      </c>
      <c r="BA270">
        <f>IF(COUNT($E$2:$E270)&lt;20,"",SLOPE($E$171:$E$270,$F$171:$F$270))</f>
        <v>0</v>
      </c>
      <c r="BB270">
        <f>IF(COUNT($E$2:$E270)&lt;20,"",INTERCEPT($E$171:$E$270,$F$171:$F$270))</f>
        <v>0</v>
      </c>
      <c r="BC270">
        <f>IF(OR(BA270="",BB270=""),"",BB270+BA270*F270)</f>
        <v>0</v>
      </c>
      <c r="BD270">
        <f>IF(COUNT($E$2:$E270)&lt;20,"",STEYX($E$171:$E$270,$F$171:$F$270))</f>
        <v>0</v>
      </c>
      <c r="BE270">
        <f>IF($E270="","",IF(AND(COUNT($E$271:$E$274)&gt;=4,$C270=MAX($C$266:$C$274)),$C270,""))</f>
        <v>0</v>
      </c>
      <c r="BF270">
        <f>IF($E270="","",IF(AND(COUNT($E$271:$E$274)&gt;=4,$D270=MIN($D$266:$D$274)),$D270,""))</f>
        <v>0</v>
      </c>
      <c r="BG270">
        <f>IFERROR(SMALL(Calc_Daily!$BM$2:$BM$2001,269),"")</f>
        <v>0</v>
      </c>
    </row>
    <row r="271" spans="1:59">
      <c r="A271" s="27">
        <f>IF($BG271="","",INDEX(Calc_Daily!$A$2:$A$2001,$BG271))</f>
        <v>0</v>
      </c>
      <c r="B271">
        <f>IF($BG271="","",INDEX(Calc_Daily!$BJ$2:$BJ$2001,$BG271))</f>
        <v>0</v>
      </c>
      <c r="C271">
        <f>IF($BG271="","",INDEX(Calc_Daily!$BK$2:$BK$2001,$BG271))</f>
        <v>0</v>
      </c>
      <c r="D271">
        <f>IF($BG271="","",INDEX(Calc_Daily!$BL$2:$BL$2001,$BG271))</f>
        <v>0</v>
      </c>
      <c r="E271">
        <f>IF($BG271="","",INDEX(Calc_Daily!$E$2:$E$2001,$BG271))</f>
        <v>0</v>
      </c>
      <c r="F271">
        <f>IF($E271="","",N(F270)+1)</f>
        <v>0</v>
      </c>
      <c r="G271">
        <f>IF(OR($E271="",$E270=""),"",LN($E271/$E270))</f>
        <v>0</v>
      </c>
      <c r="H271">
        <f>IF($E271="","",IF($E270="",$E271,$E271*0.0952380952+H270*0.9047619048))</f>
        <v>0</v>
      </c>
      <c r="I271">
        <f>IF($E271="","",IF($E270="",$E271,$E271*0.0392156863+I270*0.9607843137))</f>
        <v>0</v>
      </c>
      <c r="J271">
        <f>IF($E271="","",IF($E270="",$E271,$E271*0.0198019802+J270*0.9801980198))</f>
        <v>0</v>
      </c>
      <c r="K271">
        <f>IF($E271="","",IF($E270="",$E271,$E271*0.0099502488+K270*0.9900497512))</f>
        <v>0</v>
      </c>
      <c r="L271">
        <f>IF(OR($E271="",$E270=""),"",MAX($E271-$E270,0))</f>
        <v>0</v>
      </c>
      <c r="M271">
        <f>IF(OR($E271="",$E270=""),"",MAX($E270-$E271,0))</f>
        <v>0</v>
      </c>
      <c r="N271">
        <f>IF(COUNT($E$2:$E271)&lt;15,"",IF(AVERAGE($M$258:$M$271)=0,100,100-100/(1+AVERAGE($L$258:$L$271)/AVERAGE($M$258:$M$271))))</f>
        <v>0</v>
      </c>
      <c r="O271">
        <f>IF($E271="","",IF($E270="",$E271,$E271*0.1538461538+O270*0.8461538462))</f>
        <v>0</v>
      </c>
      <c r="P271">
        <f>IF($E271="","",IF($E270="",$E271,$E271*0.0740740741+P270*0.9259259259))</f>
        <v>0</v>
      </c>
      <c r="Q271">
        <f>IF(OR(O271="",P271=""),"",O271-P271)</f>
        <v>0</v>
      </c>
      <c r="R271">
        <f>IF(Q271="","",IF(R270="",Q271,Q271*0.2000000000+R270*0.8000000000))</f>
        <v>0</v>
      </c>
      <c r="S271">
        <f>IF(OR(Q271="",R271=""),"",Q271-R271)</f>
        <v>0</v>
      </c>
      <c r="T271">
        <f>IF(COUNT($E$2:$E271)&lt;14,"",MAX($C$258:$C$271))</f>
        <v>0</v>
      </c>
      <c r="U271">
        <f>IF(COUNT($E$2:$E271)&lt;14,"",MIN($D$258:$D$271))</f>
        <v>0</v>
      </c>
      <c r="V271">
        <f>IF(OR(T271="",U271="",T271=U271),"",100*($E271-U271)/(T271-U271))</f>
        <v>0</v>
      </c>
      <c r="W271">
        <f>IF(COUNT($V$269:$V$271)&lt;3,"",AVERAGE($V$269:$V$271))</f>
        <v>0</v>
      </c>
      <c r="X271">
        <f>IF(COUNT($N$258:$N$271)&lt;14,"",MIN($N$258:$N$271))</f>
        <v>0</v>
      </c>
      <c r="Y271">
        <f>IF(COUNT($N$258:$N$271)&lt;14,"",MAX($N$258:$N$271))</f>
        <v>0</v>
      </c>
      <c r="Z271">
        <f>IF(OR(N271="",X271="",Y271="",Y271=X271),"",100*(N271-X271)/(Y271-X271))</f>
        <v>0</v>
      </c>
      <c r="AA271">
        <f>IF(COUNT($Z$269:$Z$271)&lt;3,"",AVERAGE($Z$269:$Z$271))</f>
        <v>0</v>
      </c>
      <c r="AB271">
        <f>IF(COUNT($AA$269:$AA$271)&lt;3,"",AVERAGE($AA$269:$AA$271))</f>
        <v>0</v>
      </c>
      <c r="AC271">
        <f>IF($E271="","",MAX($C271-$D271,ABS($C271-$E270),ABS($D271-$E270)))</f>
        <v>0</v>
      </c>
      <c r="AD271">
        <f>IF(COUNT($E$2:$E271)&lt;15,"",AVERAGE($AC$258:$AC$271))</f>
        <v>0</v>
      </c>
      <c r="AE271">
        <f>IF(OR($E271="",$E270=""),"",IF(AND(($C271-$C270)&gt;($D270-$D271),($C271-$C270)&gt;0),$C271-$C270,0))</f>
        <v>0</v>
      </c>
      <c r="AF271">
        <f>IF(OR($E271="",$E270=""),"",IF(AND(($D270-$D271)&gt;($C271-$C270),($D270-$D271)&gt;0),$D270-$D271,0))</f>
        <v>0</v>
      </c>
      <c r="AG271">
        <f>IF(COUNT($E$2:$E271)&lt;15,"",IF(SUM($AC$258:$AC$271)=0,0,100*SUM($AE$258:$AE$271)/SUM($AC$258:$AC$271)))</f>
        <v>0</v>
      </c>
      <c r="AH271">
        <f>IF(COUNT($E$2:$E271)&lt;15,"",IF(SUM($AC$258:$AC$271)=0,0,100*SUM($AF$258:$AF$271)/SUM($AC$258:$AC$271)))</f>
        <v>0</v>
      </c>
      <c r="AI271">
        <f>IF(OR(AG271="",AH271=""),"",IF((AG271+AH271)=0,0,100*ABS(AG271-AH271)/(AG271+AH271)))</f>
        <v>0</v>
      </c>
      <c r="AJ271">
        <f>IF(COUNT($AI$258:$AI$271)&lt;14,"",AVERAGE($AI$258:$AI$271))</f>
        <v>0</v>
      </c>
      <c r="AK271">
        <f>IF(COUNT($E$2:$E271)&lt;20,"",AVERAGE($E$252:$E$271))</f>
        <v>0</v>
      </c>
      <c r="AL271">
        <f>IF(COUNT($E$2:$E271)&lt;20,"",STDEVP($E$252:$E$271))</f>
        <v>0</v>
      </c>
      <c r="AM271">
        <f>IF(AK271="","",AK271+2*AL271)</f>
        <v>0</v>
      </c>
      <c r="AN271">
        <f>IF(AK271="","",AK271-2*AL271)</f>
        <v>0</v>
      </c>
      <c r="AO271">
        <f>IF(OR(AM271="",AN271="",AM271=AN271),"",($E271-AN271)/(AM271-AN271))</f>
        <v>0</v>
      </c>
      <c r="AP271">
        <f>IF(OR(AM271="",AK271="",AK271=0),"",(AM271-AN271)/AK271)</f>
        <v>0</v>
      </c>
      <c r="AQ271">
        <f>IF(COUNT($E$2:$E271)&lt;20,"",MAX($C$252:$C$271))</f>
        <v>0</v>
      </c>
      <c r="AR271">
        <f>IF(COUNT($E$2:$E271)&lt;20,"",MIN($D$252:$D$271))</f>
        <v>0</v>
      </c>
      <c r="AS271">
        <f>IF(OR(AQ271="",AR271=""),"",(AQ271+AR271)/2)</f>
        <v>0</v>
      </c>
      <c r="AT271">
        <f>IF(COUNT($G$252:$G$271)&lt;20,"",STDEV($G$252:$G$271)*SQRT(52))</f>
        <v>0</v>
      </c>
      <c r="AU271">
        <f>IF(COUNT($E$2:$E271)&lt;9,"",(MAX($C$263:$C$271)+MIN($D$263:$D$271))/2)</f>
        <v>0</v>
      </c>
      <c r="AV271">
        <f>IF(COUNT($E$2:$E271)&lt;26,"",(MAX($C$246:$C$271)+MIN($D$246:$D$271))/2)</f>
        <v>0</v>
      </c>
      <c r="AW271">
        <f>IF(OR(AU271="",AV271=""),"",(AU271+AV271)/2)</f>
        <v>0</v>
      </c>
      <c r="AX271">
        <f>IF(COUNT($E$2:$E271)&lt;52,"",(MAX($C$220:$C$271)+MIN($D$220:$D$271))/2)</f>
        <v>0</v>
      </c>
      <c r="AY271">
        <f>IF(COUNT($E$2:$E271)&lt;20,"",MAX($C$172:$C$271))</f>
        <v>0</v>
      </c>
      <c r="AZ271">
        <f>IF(COUNT($E$2:$E271)&lt;20,"",MIN($D$172:$D$271))</f>
        <v>0</v>
      </c>
      <c r="BA271">
        <f>IF(COUNT($E$2:$E271)&lt;20,"",SLOPE($E$172:$E$271,$F$172:$F$271))</f>
        <v>0</v>
      </c>
      <c r="BB271">
        <f>IF(COUNT($E$2:$E271)&lt;20,"",INTERCEPT($E$172:$E$271,$F$172:$F$271))</f>
        <v>0</v>
      </c>
      <c r="BC271">
        <f>IF(OR(BA271="",BB271=""),"",BB271+BA271*F271)</f>
        <v>0</v>
      </c>
      <c r="BD271">
        <f>IF(COUNT($E$2:$E271)&lt;20,"",STEYX($E$172:$E$271,$F$172:$F$271))</f>
        <v>0</v>
      </c>
      <c r="BE271">
        <f>IF($E271="","",IF(AND(COUNT($E$272:$E$275)&gt;=4,$C271=MAX($C$267:$C$275)),$C271,""))</f>
        <v>0</v>
      </c>
      <c r="BF271">
        <f>IF($E271="","",IF(AND(COUNT($E$272:$E$275)&gt;=4,$D271=MIN($D$267:$D$275)),$D271,""))</f>
        <v>0</v>
      </c>
      <c r="BG271">
        <f>IFERROR(SMALL(Calc_Daily!$BM$2:$BM$2001,270),"")</f>
        <v>0</v>
      </c>
    </row>
    <row r="272" spans="1:59">
      <c r="A272" s="27">
        <f>IF($BG272="","",INDEX(Calc_Daily!$A$2:$A$2001,$BG272))</f>
        <v>0</v>
      </c>
      <c r="B272">
        <f>IF($BG272="","",INDEX(Calc_Daily!$BJ$2:$BJ$2001,$BG272))</f>
        <v>0</v>
      </c>
      <c r="C272">
        <f>IF($BG272="","",INDEX(Calc_Daily!$BK$2:$BK$2001,$BG272))</f>
        <v>0</v>
      </c>
      <c r="D272">
        <f>IF($BG272="","",INDEX(Calc_Daily!$BL$2:$BL$2001,$BG272))</f>
        <v>0</v>
      </c>
      <c r="E272">
        <f>IF($BG272="","",INDEX(Calc_Daily!$E$2:$E$2001,$BG272))</f>
        <v>0</v>
      </c>
      <c r="F272">
        <f>IF($E272="","",N(F271)+1)</f>
        <v>0</v>
      </c>
      <c r="G272">
        <f>IF(OR($E272="",$E271=""),"",LN($E272/$E271))</f>
        <v>0</v>
      </c>
      <c r="H272">
        <f>IF($E272="","",IF($E271="",$E272,$E272*0.0952380952+H271*0.9047619048))</f>
        <v>0</v>
      </c>
      <c r="I272">
        <f>IF($E272="","",IF($E271="",$E272,$E272*0.0392156863+I271*0.9607843137))</f>
        <v>0</v>
      </c>
      <c r="J272">
        <f>IF($E272="","",IF($E271="",$E272,$E272*0.0198019802+J271*0.9801980198))</f>
        <v>0</v>
      </c>
      <c r="K272">
        <f>IF($E272="","",IF($E271="",$E272,$E272*0.0099502488+K271*0.9900497512))</f>
        <v>0</v>
      </c>
      <c r="L272">
        <f>IF(OR($E272="",$E271=""),"",MAX($E272-$E271,0))</f>
        <v>0</v>
      </c>
      <c r="M272">
        <f>IF(OR($E272="",$E271=""),"",MAX($E271-$E272,0))</f>
        <v>0</v>
      </c>
      <c r="N272">
        <f>IF(COUNT($E$2:$E272)&lt;15,"",IF(AVERAGE($M$259:$M$272)=0,100,100-100/(1+AVERAGE($L$259:$L$272)/AVERAGE($M$259:$M$272))))</f>
        <v>0</v>
      </c>
      <c r="O272">
        <f>IF($E272="","",IF($E271="",$E272,$E272*0.1538461538+O271*0.8461538462))</f>
        <v>0</v>
      </c>
      <c r="P272">
        <f>IF($E272="","",IF($E271="",$E272,$E272*0.0740740741+P271*0.9259259259))</f>
        <v>0</v>
      </c>
      <c r="Q272">
        <f>IF(OR(O272="",P272=""),"",O272-P272)</f>
        <v>0</v>
      </c>
      <c r="R272">
        <f>IF(Q272="","",IF(R271="",Q272,Q272*0.2000000000+R271*0.8000000000))</f>
        <v>0</v>
      </c>
      <c r="S272">
        <f>IF(OR(Q272="",R272=""),"",Q272-R272)</f>
        <v>0</v>
      </c>
      <c r="T272">
        <f>IF(COUNT($E$2:$E272)&lt;14,"",MAX($C$259:$C$272))</f>
        <v>0</v>
      </c>
      <c r="U272">
        <f>IF(COUNT($E$2:$E272)&lt;14,"",MIN($D$259:$D$272))</f>
        <v>0</v>
      </c>
      <c r="V272">
        <f>IF(OR(T272="",U272="",T272=U272),"",100*($E272-U272)/(T272-U272))</f>
        <v>0</v>
      </c>
      <c r="W272">
        <f>IF(COUNT($V$270:$V$272)&lt;3,"",AVERAGE($V$270:$V$272))</f>
        <v>0</v>
      </c>
      <c r="X272">
        <f>IF(COUNT($N$259:$N$272)&lt;14,"",MIN($N$259:$N$272))</f>
        <v>0</v>
      </c>
      <c r="Y272">
        <f>IF(COUNT($N$259:$N$272)&lt;14,"",MAX($N$259:$N$272))</f>
        <v>0</v>
      </c>
      <c r="Z272">
        <f>IF(OR(N272="",X272="",Y272="",Y272=X272),"",100*(N272-X272)/(Y272-X272))</f>
        <v>0</v>
      </c>
      <c r="AA272">
        <f>IF(COUNT($Z$270:$Z$272)&lt;3,"",AVERAGE($Z$270:$Z$272))</f>
        <v>0</v>
      </c>
      <c r="AB272">
        <f>IF(COUNT($AA$270:$AA$272)&lt;3,"",AVERAGE($AA$270:$AA$272))</f>
        <v>0</v>
      </c>
      <c r="AC272">
        <f>IF($E272="","",MAX($C272-$D272,ABS($C272-$E271),ABS($D272-$E271)))</f>
        <v>0</v>
      </c>
      <c r="AD272">
        <f>IF(COUNT($E$2:$E272)&lt;15,"",AVERAGE($AC$259:$AC$272))</f>
        <v>0</v>
      </c>
      <c r="AE272">
        <f>IF(OR($E272="",$E271=""),"",IF(AND(($C272-$C271)&gt;($D271-$D272),($C272-$C271)&gt;0),$C272-$C271,0))</f>
        <v>0</v>
      </c>
      <c r="AF272">
        <f>IF(OR($E272="",$E271=""),"",IF(AND(($D271-$D272)&gt;($C272-$C271),($D271-$D272)&gt;0),$D271-$D272,0))</f>
        <v>0</v>
      </c>
      <c r="AG272">
        <f>IF(COUNT($E$2:$E272)&lt;15,"",IF(SUM($AC$259:$AC$272)=0,0,100*SUM($AE$259:$AE$272)/SUM($AC$259:$AC$272)))</f>
        <v>0</v>
      </c>
      <c r="AH272">
        <f>IF(COUNT($E$2:$E272)&lt;15,"",IF(SUM($AC$259:$AC$272)=0,0,100*SUM($AF$259:$AF$272)/SUM($AC$259:$AC$272)))</f>
        <v>0</v>
      </c>
      <c r="AI272">
        <f>IF(OR(AG272="",AH272=""),"",IF((AG272+AH272)=0,0,100*ABS(AG272-AH272)/(AG272+AH272)))</f>
        <v>0</v>
      </c>
      <c r="AJ272">
        <f>IF(COUNT($AI$259:$AI$272)&lt;14,"",AVERAGE($AI$259:$AI$272))</f>
        <v>0</v>
      </c>
      <c r="AK272">
        <f>IF(COUNT($E$2:$E272)&lt;20,"",AVERAGE($E$253:$E$272))</f>
        <v>0</v>
      </c>
      <c r="AL272">
        <f>IF(COUNT($E$2:$E272)&lt;20,"",STDEVP($E$253:$E$272))</f>
        <v>0</v>
      </c>
      <c r="AM272">
        <f>IF(AK272="","",AK272+2*AL272)</f>
        <v>0</v>
      </c>
      <c r="AN272">
        <f>IF(AK272="","",AK272-2*AL272)</f>
        <v>0</v>
      </c>
      <c r="AO272">
        <f>IF(OR(AM272="",AN272="",AM272=AN272),"",($E272-AN272)/(AM272-AN272))</f>
        <v>0</v>
      </c>
      <c r="AP272">
        <f>IF(OR(AM272="",AK272="",AK272=0),"",(AM272-AN272)/AK272)</f>
        <v>0</v>
      </c>
      <c r="AQ272">
        <f>IF(COUNT($E$2:$E272)&lt;20,"",MAX($C$253:$C$272))</f>
        <v>0</v>
      </c>
      <c r="AR272">
        <f>IF(COUNT($E$2:$E272)&lt;20,"",MIN($D$253:$D$272))</f>
        <v>0</v>
      </c>
      <c r="AS272">
        <f>IF(OR(AQ272="",AR272=""),"",(AQ272+AR272)/2)</f>
        <v>0</v>
      </c>
      <c r="AT272">
        <f>IF(COUNT($G$253:$G$272)&lt;20,"",STDEV($G$253:$G$272)*SQRT(52))</f>
        <v>0</v>
      </c>
      <c r="AU272">
        <f>IF(COUNT($E$2:$E272)&lt;9,"",(MAX($C$264:$C$272)+MIN($D$264:$D$272))/2)</f>
        <v>0</v>
      </c>
      <c r="AV272">
        <f>IF(COUNT($E$2:$E272)&lt;26,"",(MAX($C$247:$C$272)+MIN($D$247:$D$272))/2)</f>
        <v>0</v>
      </c>
      <c r="AW272">
        <f>IF(OR(AU272="",AV272=""),"",(AU272+AV272)/2)</f>
        <v>0</v>
      </c>
      <c r="AX272">
        <f>IF(COUNT($E$2:$E272)&lt;52,"",(MAX($C$221:$C$272)+MIN($D$221:$D$272))/2)</f>
        <v>0</v>
      </c>
      <c r="AY272">
        <f>IF(COUNT($E$2:$E272)&lt;20,"",MAX($C$173:$C$272))</f>
        <v>0</v>
      </c>
      <c r="AZ272">
        <f>IF(COUNT($E$2:$E272)&lt;20,"",MIN($D$173:$D$272))</f>
        <v>0</v>
      </c>
      <c r="BA272">
        <f>IF(COUNT($E$2:$E272)&lt;20,"",SLOPE($E$173:$E$272,$F$173:$F$272))</f>
        <v>0</v>
      </c>
      <c r="BB272">
        <f>IF(COUNT($E$2:$E272)&lt;20,"",INTERCEPT($E$173:$E$272,$F$173:$F$272))</f>
        <v>0</v>
      </c>
      <c r="BC272">
        <f>IF(OR(BA272="",BB272=""),"",BB272+BA272*F272)</f>
        <v>0</v>
      </c>
      <c r="BD272">
        <f>IF(COUNT($E$2:$E272)&lt;20,"",STEYX($E$173:$E$272,$F$173:$F$272))</f>
        <v>0</v>
      </c>
      <c r="BE272">
        <f>IF($E272="","",IF(AND(COUNT($E$273:$E$276)&gt;=4,$C272=MAX($C$268:$C$276)),$C272,""))</f>
        <v>0</v>
      </c>
      <c r="BF272">
        <f>IF($E272="","",IF(AND(COUNT($E$273:$E$276)&gt;=4,$D272=MIN($D$268:$D$276)),$D272,""))</f>
        <v>0</v>
      </c>
      <c r="BG272">
        <f>IFERROR(SMALL(Calc_Daily!$BM$2:$BM$2001,271),"")</f>
        <v>0</v>
      </c>
    </row>
    <row r="273" spans="1:59">
      <c r="A273" s="27">
        <f>IF($BG273="","",INDEX(Calc_Daily!$A$2:$A$2001,$BG273))</f>
        <v>0</v>
      </c>
      <c r="B273">
        <f>IF($BG273="","",INDEX(Calc_Daily!$BJ$2:$BJ$2001,$BG273))</f>
        <v>0</v>
      </c>
      <c r="C273">
        <f>IF($BG273="","",INDEX(Calc_Daily!$BK$2:$BK$2001,$BG273))</f>
        <v>0</v>
      </c>
      <c r="D273">
        <f>IF($BG273="","",INDEX(Calc_Daily!$BL$2:$BL$2001,$BG273))</f>
        <v>0</v>
      </c>
      <c r="E273">
        <f>IF($BG273="","",INDEX(Calc_Daily!$E$2:$E$2001,$BG273))</f>
        <v>0</v>
      </c>
      <c r="F273">
        <f>IF($E273="","",N(F272)+1)</f>
        <v>0</v>
      </c>
      <c r="G273">
        <f>IF(OR($E273="",$E272=""),"",LN($E273/$E272))</f>
        <v>0</v>
      </c>
      <c r="H273">
        <f>IF($E273="","",IF($E272="",$E273,$E273*0.0952380952+H272*0.9047619048))</f>
        <v>0</v>
      </c>
      <c r="I273">
        <f>IF($E273="","",IF($E272="",$E273,$E273*0.0392156863+I272*0.9607843137))</f>
        <v>0</v>
      </c>
      <c r="J273">
        <f>IF($E273="","",IF($E272="",$E273,$E273*0.0198019802+J272*0.9801980198))</f>
        <v>0</v>
      </c>
      <c r="K273">
        <f>IF($E273="","",IF($E272="",$E273,$E273*0.0099502488+K272*0.9900497512))</f>
        <v>0</v>
      </c>
      <c r="L273">
        <f>IF(OR($E273="",$E272=""),"",MAX($E273-$E272,0))</f>
        <v>0</v>
      </c>
      <c r="M273">
        <f>IF(OR($E273="",$E272=""),"",MAX($E272-$E273,0))</f>
        <v>0</v>
      </c>
      <c r="N273">
        <f>IF(COUNT($E$2:$E273)&lt;15,"",IF(AVERAGE($M$260:$M$273)=0,100,100-100/(1+AVERAGE($L$260:$L$273)/AVERAGE($M$260:$M$273))))</f>
        <v>0</v>
      </c>
      <c r="O273">
        <f>IF($E273="","",IF($E272="",$E273,$E273*0.1538461538+O272*0.8461538462))</f>
        <v>0</v>
      </c>
      <c r="P273">
        <f>IF($E273="","",IF($E272="",$E273,$E273*0.0740740741+P272*0.9259259259))</f>
        <v>0</v>
      </c>
      <c r="Q273">
        <f>IF(OR(O273="",P273=""),"",O273-P273)</f>
        <v>0</v>
      </c>
      <c r="R273">
        <f>IF(Q273="","",IF(R272="",Q273,Q273*0.2000000000+R272*0.8000000000))</f>
        <v>0</v>
      </c>
      <c r="S273">
        <f>IF(OR(Q273="",R273=""),"",Q273-R273)</f>
        <v>0</v>
      </c>
      <c r="T273">
        <f>IF(COUNT($E$2:$E273)&lt;14,"",MAX($C$260:$C$273))</f>
        <v>0</v>
      </c>
      <c r="U273">
        <f>IF(COUNT($E$2:$E273)&lt;14,"",MIN($D$260:$D$273))</f>
        <v>0</v>
      </c>
      <c r="V273">
        <f>IF(OR(T273="",U273="",T273=U273),"",100*($E273-U273)/(T273-U273))</f>
        <v>0</v>
      </c>
      <c r="W273">
        <f>IF(COUNT($V$271:$V$273)&lt;3,"",AVERAGE($V$271:$V$273))</f>
        <v>0</v>
      </c>
      <c r="X273">
        <f>IF(COUNT($N$260:$N$273)&lt;14,"",MIN($N$260:$N$273))</f>
        <v>0</v>
      </c>
      <c r="Y273">
        <f>IF(COUNT($N$260:$N$273)&lt;14,"",MAX($N$260:$N$273))</f>
        <v>0</v>
      </c>
      <c r="Z273">
        <f>IF(OR(N273="",X273="",Y273="",Y273=X273),"",100*(N273-X273)/(Y273-X273))</f>
        <v>0</v>
      </c>
      <c r="AA273">
        <f>IF(COUNT($Z$271:$Z$273)&lt;3,"",AVERAGE($Z$271:$Z$273))</f>
        <v>0</v>
      </c>
      <c r="AB273">
        <f>IF(COUNT($AA$271:$AA$273)&lt;3,"",AVERAGE($AA$271:$AA$273))</f>
        <v>0</v>
      </c>
      <c r="AC273">
        <f>IF($E273="","",MAX($C273-$D273,ABS($C273-$E272),ABS($D273-$E272)))</f>
        <v>0</v>
      </c>
      <c r="AD273">
        <f>IF(COUNT($E$2:$E273)&lt;15,"",AVERAGE($AC$260:$AC$273))</f>
        <v>0</v>
      </c>
      <c r="AE273">
        <f>IF(OR($E273="",$E272=""),"",IF(AND(($C273-$C272)&gt;($D272-$D273),($C273-$C272)&gt;0),$C273-$C272,0))</f>
        <v>0</v>
      </c>
      <c r="AF273">
        <f>IF(OR($E273="",$E272=""),"",IF(AND(($D272-$D273)&gt;($C273-$C272),($D272-$D273)&gt;0),$D272-$D273,0))</f>
        <v>0</v>
      </c>
      <c r="AG273">
        <f>IF(COUNT($E$2:$E273)&lt;15,"",IF(SUM($AC$260:$AC$273)=0,0,100*SUM($AE$260:$AE$273)/SUM($AC$260:$AC$273)))</f>
        <v>0</v>
      </c>
      <c r="AH273">
        <f>IF(COUNT($E$2:$E273)&lt;15,"",IF(SUM($AC$260:$AC$273)=0,0,100*SUM($AF$260:$AF$273)/SUM($AC$260:$AC$273)))</f>
        <v>0</v>
      </c>
      <c r="AI273">
        <f>IF(OR(AG273="",AH273=""),"",IF((AG273+AH273)=0,0,100*ABS(AG273-AH273)/(AG273+AH273)))</f>
        <v>0</v>
      </c>
      <c r="AJ273">
        <f>IF(COUNT($AI$260:$AI$273)&lt;14,"",AVERAGE($AI$260:$AI$273))</f>
        <v>0</v>
      </c>
      <c r="AK273">
        <f>IF(COUNT($E$2:$E273)&lt;20,"",AVERAGE($E$254:$E$273))</f>
        <v>0</v>
      </c>
      <c r="AL273">
        <f>IF(COUNT($E$2:$E273)&lt;20,"",STDEVP($E$254:$E$273))</f>
        <v>0</v>
      </c>
      <c r="AM273">
        <f>IF(AK273="","",AK273+2*AL273)</f>
        <v>0</v>
      </c>
      <c r="AN273">
        <f>IF(AK273="","",AK273-2*AL273)</f>
        <v>0</v>
      </c>
      <c r="AO273">
        <f>IF(OR(AM273="",AN273="",AM273=AN273),"",($E273-AN273)/(AM273-AN273))</f>
        <v>0</v>
      </c>
      <c r="AP273">
        <f>IF(OR(AM273="",AK273="",AK273=0),"",(AM273-AN273)/AK273)</f>
        <v>0</v>
      </c>
      <c r="AQ273">
        <f>IF(COUNT($E$2:$E273)&lt;20,"",MAX($C$254:$C$273))</f>
        <v>0</v>
      </c>
      <c r="AR273">
        <f>IF(COUNT($E$2:$E273)&lt;20,"",MIN($D$254:$D$273))</f>
        <v>0</v>
      </c>
      <c r="AS273">
        <f>IF(OR(AQ273="",AR273=""),"",(AQ273+AR273)/2)</f>
        <v>0</v>
      </c>
      <c r="AT273">
        <f>IF(COUNT($G$254:$G$273)&lt;20,"",STDEV($G$254:$G$273)*SQRT(52))</f>
        <v>0</v>
      </c>
      <c r="AU273">
        <f>IF(COUNT($E$2:$E273)&lt;9,"",(MAX($C$265:$C$273)+MIN($D$265:$D$273))/2)</f>
        <v>0</v>
      </c>
      <c r="AV273">
        <f>IF(COUNT($E$2:$E273)&lt;26,"",(MAX($C$248:$C$273)+MIN($D$248:$D$273))/2)</f>
        <v>0</v>
      </c>
      <c r="AW273">
        <f>IF(OR(AU273="",AV273=""),"",(AU273+AV273)/2)</f>
        <v>0</v>
      </c>
      <c r="AX273">
        <f>IF(COUNT($E$2:$E273)&lt;52,"",(MAX($C$222:$C$273)+MIN($D$222:$D$273))/2)</f>
        <v>0</v>
      </c>
      <c r="AY273">
        <f>IF(COUNT($E$2:$E273)&lt;20,"",MAX($C$174:$C$273))</f>
        <v>0</v>
      </c>
      <c r="AZ273">
        <f>IF(COUNT($E$2:$E273)&lt;20,"",MIN($D$174:$D$273))</f>
        <v>0</v>
      </c>
      <c r="BA273">
        <f>IF(COUNT($E$2:$E273)&lt;20,"",SLOPE($E$174:$E$273,$F$174:$F$273))</f>
        <v>0</v>
      </c>
      <c r="BB273">
        <f>IF(COUNT($E$2:$E273)&lt;20,"",INTERCEPT($E$174:$E$273,$F$174:$F$273))</f>
        <v>0</v>
      </c>
      <c r="BC273">
        <f>IF(OR(BA273="",BB273=""),"",BB273+BA273*F273)</f>
        <v>0</v>
      </c>
      <c r="BD273">
        <f>IF(COUNT($E$2:$E273)&lt;20,"",STEYX($E$174:$E$273,$F$174:$F$273))</f>
        <v>0</v>
      </c>
      <c r="BE273">
        <f>IF($E273="","",IF(AND(COUNT($E$274:$E$277)&gt;=4,$C273=MAX($C$269:$C$277)),$C273,""))</f>
        <v>0</v>
      </c>
      <c r="BF273">
        <f>IF($E273="","",IF(AND(COUNT($E$274:$E$277)&gt;=4,$D273=MIN($D$269:$D$277)),$D273,""))</f>
        <v>0</v>
      </c>
      <c r="BG273">
        <f>IFERROR(SMALL(Calc_Daily!$BM$2:$BM$2001,272),"")</f>
        <v>0</v>
      </c>
    </row>
    <row r="274" spans="1:59">
      <c r="A274" s="27">
        <f>IF($BG274="","",INDEX(Calc_Daily!$A$2:$A$2001,$BG274))</f>
        <v>0</v>
      </c>
      <c r="B274">
        <f>IF($BG274="","",INDEX(Calc_Daily!$BJ$2:$BJ$2001,$BG274))</f>
        <v>0</v>
      </c>
      <c r="C274">
        <f>IF($BG274="","",INDEX(Calc_Daily!$BK$2:$BK$2001,$BG274))</f>
        <v>0</v>
      </c>
      <c r="D274">
        <f>IF($BG274="","",INDEX(Calc_Daily!$BL$2:$BL$2001,$BG274))</f>
        <v>0</v>
      </c>
      <c r="E274">
        <f>IF($BG274="","",INDEX(Calc_Daily!$E$2:$E$2001,$BG274))</f>
        <v>0</v>
      </c>
      <c r="F274">
        <f>IF($E274="","",N(F273)+1)</f>
        <v>0</v>
      </c>
      <c r="G274">
        <f>IF(OR($E274="",$E273=""),"",LN($E274/$E273))</f>
        <v>0</v>
      </c>
      <c r="H274">
        <f>IF($E274="","",IF($E273="",$E274,$E274*0.0952380952+H273*0.9047619048))</f>
        <v>0</v>
      </c>
      <c r="I274">
        <f>IF($E274="","",IF($E273="",$E274,$E274*0.0392156863+I273*0.9607843137))</f>
        <v>0</v>
      </c>
      <c r="J274">
        <f>IF($E274="","",IF($E273="",$E274,$E274*0.0198019802+J273*0.9801980198))</f>
        <v>0</v>
      </c>
      <c r="K274">
        <f>IF($E274="","",IF($E273="",$E274,$E274*0.0099502488+K273*0.9900497512))</f>
        <v>0</v>
      </c>
      <c r="L274">
        <f>IF(OR($E274="",$E273=""),"",MAX($E274-$E273,0))</f>
        <v>0</v>
      </c>
      <c r="M274">
        <f>IF(OR($E274="",$E273=""),"",MAX($E273-$E274,0))</f>
        <v>0</v>
      </c>
      <c r="N274">
        <f>IF(COUNT($E$2:$E274)&lt;15,"",IF(AVERAGE($M$261:$M$274)=0,100,100-100/(1+AVERAGE($L$261:$L$274)/AVERAGE($M$261:$M$274))))</f>
        <v>0</v>
      </c>
      <c r="O274">
        <f>IF($E274="","",IF($E273="",$E274,$E274*0.1538461538+O273*0.8461538462))</f>
        <v>0</v>
      </c>
      <c r="P274">
        <f>IF($E274="","",IF($E273="",$E274,$E274*0.0740740741+P273*0.9259259259))</f>
        <v>0</v>
      </c>
      <c r="Q274">
        <f>IF(OR(O274="",P274=""),"",O274-P274)</f>
        <v>0</v>
      </c>
      <c r="R274">
        <f>IF(Q274="","",IF(R273="",Q274,Q274*0.2000000000+R273*0.8000000000))</f>
        <v>0</v>
      </c>
      <c r="S274">
        <f>IF(OR(Q274="",R274=""),"",Q274-R274)</f>
        <v>0</v>
      </c>
      <c r="T274">
        <f>IF(COUNT($E$2:$E274)&lt;14,"",MAX($C$261:$C$274))</f>
        <v>0</v>
      </c>
      <c r="U274">
        <f>IF(COUNT($E$2:$E274)&lt;14,"",MIN($D$261:$D$274))</f>
        <v>0</v>
      </c>
      <c r="V274">
        <f>IF(OR(T274="",U274="",T274=U274),"",100*($E274-U274)/(T274-U274))</f>
        <v>0</v>
      </c>
      <c r="W274">
        <f>IF(COUNT($V$272:$V$274)&lt;3,"",AVERAGE($V$272:$V$274))</f>
        <v>0</v>
      </c>
      <c r="X274">
        <f>IF(COUNT($N$261:$N$274)&lt;14,"",MIN($N$261:$N$274))</f>
        <v>0</v>
      </c>
      <c r="Y274">
        <f>IF(COUNT($N$261:$N$274)&lt;14,"",MAX($N$261:$N$274))</f>
        <v>0</v>
      </c>
      <c r="Z274">
        <f>IF(OR(N274="",X274="",Y274="",Y274=X274),"",100*(N274-X274)/(Y274-X274))</f>
        <v>0</v>
      </c>
      <c r="AA274">
        <f>IF(COUNT($Z$272:$Z$274)&lt;3,"",AVERAGE($Z$272:$Z$274))</f>
        <v>0</v>
      </c>
      <c r="AB274">
        <f>IF(COUNT($AA$272:$AA$274)&lt;3,"",AVERAGE($AA$272:$AA$274))</f>
        <v>0</v>
      </c>
      <c r="AC274">
        <f>IF($E274="","",MAX($C274-$D274,ABS($C274-$E273),ABS($D274-$E273)))</f>
        <v>0</v>
      </c>
      <c r="AD274">
        <f>IF(COUNT($E$2:$E274)&lt;15,"",AVERAGE($AC$261:$AC$274))</f>
        <v>0</v>
      </c>
      <c r="AE274">
        <f>IF(OR($E274="",$E273=""),"",IF(AND(($C274-$C273)&gt;($D273-$D274),($C274-$C273)&gt;0),$C274-$C273,0))</f>
        <v>0</v>
      </c>
      <c r="AF274">
        <f>IF(OR($E274="",$E273=""),"",IF(AND(($D273-$D274)&gt;($C274-$C273),($D273-$D274)&gt;0),$D273-$D274,0))</f>
        <v>0</v>
      </c>
      <c r="AG274">
        <f>IF(COUNT($E$2:$E274)&lt;15,"",IF(SUM($AC$261:$AC$274)=0,0,100*SUM($AE$261:$AE$274)/SUM($AC$261:$AC$274)))</f>
        <v>0</v>
      </c>
      <c r="AH274">
        <f>IF(COUNT($E$2:$E274)&lt;15,"",IF(SUM($AC$261:$AC$274)=0,0,100*SUM($AF$261:$AF$274)/SUM($AC$261:$AC$274)))</f>
        <v>0</v>
      </c>
      <c r="AI274">
        <f>IF(OR(AG274="",AH274=""),"",IF((AG274+AH274)=0,0,100*ABS(AG274-AH274)/(AG274+AH274)))</f>
        <v>0</v>
      </c>
      <c r="AJ274">
        <f>IF(COUNT($AI$261:$AI$274)&lt;14,"",AVERAGE($AI$261:$AI$274))</f>
        <v>0</v>
      </c>
      <c r="AK274">
        <f>IF(COUNT($E$2:$E274)&lt;20,"",AVERAGE($E$255:$E$274))</f>
        <v>0</v>
      </c>
      <c r="AL274">
        <f>IF(COUNT($E$2:$E274)&lt;20,"",STDEVP($E$255:$E$274))</f>
        <v>0</v>
      </c>
      <c r="AM274">
        <f>IF(AK274="","",AK274+2*AL274)</f>
        <v>0</v>
      </c>
      <c r="AN274">
        <f>IF(AK274="","",AK274-2*AL274)</f>
        <v>0</v>
      </c>
      <c r="AO274">
        <f>IF(OR(AM274="",AN274="",AM274=AN274),"",($E274-AN274)/(AM274-AN274))</f>
        <v>0</v>
      </c>
      <c r="AP274">
        <f>IF(OR(AM274="",AK274="",AK274=0),"",(AM274-AN274)/AK274)</f>
        <v>0</v>
      </c>
      <c r="AQ274">
        <f>IF(COUNT($E$2:$E274)&lt;20,"",MAX($C$255:$C$274))</f>
        <v>0</v>
      </c>
      <c r="AR274">
        <f>IF(COUNT($E$2:$E274)&lt;20,"",MIN($D$255:$D$274))</f>
        <v>0</v>
      </c>
      <c r="AS274">
        <f>IF(OR(AQ274="",AR274=""),"",(AQ274+AR274)/2)</f>
        <v>0</v>
      </c>
      <c r="AT274">
        <f>IF(COUNT($G$255:$G$274)&lt;20,"",STDEV($G$255:$G$274)*SQRT(52))</f>
        <v>0</v>
      </c>
      <c r="AU274">
        <f>IF(COUNT($E$2:$E274)&lt;9,"",(MAX($C$266:$C$274)+MIN($D$266:$D$274))/2)</f>
        <v>0</v>
      </c>
      <c r="AV274">
        <f>IF(COUNT($E$2:$E274)&lt;26,"",(MAX($C$249:$C$274)+MIN($D$249:$D$274))/2)</f>
        <v>0</v>
      </c>
      <c r="AW274">
        <f>IF(OR(AU274="",AV274=""),"",(AU274+AV274)/2)</f>
        <v>0</v>
      </c>
      <c r="AX274">
        <f>IF(COUNT($E$2:$E274)&lt;52,"",(MAX($C$223:$C$274)+MIN($D$223:$D$274))/2)</f>
        <v>0</v>
      </c>
      <c r="AY274">
        <f>IF(COUNT($E$2:$E274)&lt;20,"",MAX($C$175:$C$274))</f>
        <v>0</v>
      </c>
      <c r="AZ274">
        <f>IF(COUNT($E$2:$E274)&lt;20,"",MIN($D$175:$D$274))</f>
        <v>0</v>
      </c>
      <c r="BA274">
        <f>IF(COUNT($E$2:$E274)&lt;20,"",SLOPE($E$175:$E$274,$F$175:$F$274))</f>
        <v>0</v>
      </c>
      <c r="BB274">
        <f>IF(COUNT($E$2:$E274)&lt;20,"",INTERCEPT($E$175:$E$274,$F$175:$F$274))</f>
        <v>0</v>
      </c>
      <c r="BC274">
        <f>IF(OR(BA274="",BB274=""),"",BB274+BA274*F274)</f>
        <v>0</v>
      </c>
      <c r="BD274">
        <f>IF(COUNT($E$2:$E274)&lt;20,"",STEYX($E$175:$E$274,$F$175:$F$274))</f>
        <v>0</v>
      </c>
      <c r="BE274">
        <f>IF($E274="","",IF(AND(COUNT($E$275:$E$278)&gt;=4,$C274=MAX($C$270:$C$278)),$C274,""))</f>
        <v>0</v>
      </c>
      <c r="BF274">
        <f>IF($E274="","",IF(AND(COUNT($E$275:$E$278)&gt;=4,$D274=MIN($D$270:$D$278)),$D274,""))</f>
        <v>0</v>
      </c>
      <c r="BG274">
        <f>IFERROR(SMALL(Calc_Daily!$BM$2:$BM$2001,273),"")</f>
        <v>0</v>
      </c>
    </row>
    <row r="275" spans="1:59">
      <c r="A275" s="27">
        <f>IF($BG275="","",INDEX(Calc_Daily!$A$2:$A$2001,$BG275))</f>
        <v>0</v>
      </c>
      <c r="B275">
        <f>IF($BG275="","",INDEX(Calc_Daily!$BJ$2:$BJ$2001,$BG275))</f>
        <v>0</v>
      </c>
      <c r="C275">
        <f>IF($BG275="","",INDEX(Calc_Daily!$BK$2:$BK$2001,$BG275))</f>
        <v>0</v>
      </c>
      <c r="D275">
        <f>IF($BG275="","",INDEX(Calc_Daily!$BL$2:$BL$2001,$BG275))</f>
        <v>0</v>
      </c>
      <c r="E275">
        <f>IF($BG275="","",INDEX(Calc_Daily!$E$2:$E$2001,$BG275))</f>
        <v>0</v>
      </c>
      <c r="F275">
        <f>IF($E275="","",N(F274)+1)</f>
        <v>0</v>
      </c>
      <c r="G275">
        <f>IF(OR($E275="",$E274=""),"",LN($E275/$E274))</f>
        <v>0</v>
      </c>
      <c r="H275">
        <f>IF($E275="","",IF($E274="",$E275,$E275*0.0952380952+H274*0.9047619048))</f>
        <v>0</v>
      </c>
      <c r="I275">
        <f>IF($E275="","",IF($E274="",$E275,$E275*0.0392156863+I274*0.9607843137))</f>
        <v>0</v>
      </c>
      <c r="J275">
        <f>IF($E275="","",IF($E274="",$E275,$E275*0.0198019802+J274*0.9801980198))</f>
        <v>0</v>
      </c>
      <c r="K275">
        <f>IF($E275="","",IF($E274="",$E275,$E275*0.0099502488+K274*0.9900497512))</f>
        <v>0</v>
      </c>
      <c r="L275">
        <f>IF(OR($E275="",$E274=""),"",MAX($E275-$E274,0))</f>
        <v>0</v>
      </c>
      <c r="M275">
        <f>IF(OR($E275="",$E274=""),"",MAX($E274-$E275,0))</f>
        <v>0</v>
      </c>
      <c r="N275">
        <f>IF(COUNT($E$2:$E275)&lt;15,"",IF(AVERAGE($M$262:$M$275)=0,100,100-100/(1+AVERAGE($L$262:$L$275)/AVERAGE($M$262:$M$275))))</f>
        <v>0</v>
      </c>
      <c r="O275">
        <f>IF($E275="","",IF($E274="",$E275,$E275*0.1538461538+O274*0.8461538462))</f>
        <v>0</v>
      </c>
      <c r="P275">
        <f>IF($E275="","",IF($E274="",$E275,$E275*0.0740740741+P274*0.9259259259))</f>
        <v>0</v>
      </c>
      <c r="Q275">
        <f>IF(OR(O275="",P275=""),"",O275-P275)</f>
        <v>0</v>
      </c>
      <c r="R275">
        <f>IF(Q275="","",IF(R274="",Q275,Q275*0.2000000000+R274*0.8000000000))</f>
        <v>0</v>
      </c>
      <c r="S275">
        <f>IF(OR(Q275="",R275=""),"",Q275-R275)</f>
        <v>0</v>
      </c>
      <c r="T275">
        <f>IF(COUNT($E$2:$E275)&lt;14,"",MAX($C$262:$C$275))</f>
        <v>0</v>
      </c>
      <c r="U275">
        <f>IF(COUNT($E$2:$E275)&lt;14,"",MIN($D$262:$D$275))</f>
        <v>0</v>
      </c>
      <c r="V275">
        <f>IF(OR(T275="",U275="",T275=U275),"",100*($E275-U275)/(T275-U275))</f>
        <v>0</v>
      </c>
      <c r="W275">
        <f>IF(COUNT($V$273:$V$275)&lt;3,"",AVERAGE($V$273:$V$275))</f>
        <v>0</v>
      </c>
      <c r="X275">
        <f>IF(COUNT($N$262:$N$275)&lt;14,"",MIN($N$262:$N$275))</f>
        <v>0</v>
      </c>
      <c r="Y275">
        <f>IF(COUNT($N$262:$N$275)&lt;14,"",MAX($N$262:$N$275))</f>
        <v>0</v>
      </c>
      <c r="Z275">
        <f>IF(OR(N275="",X275="",Y275="",Y275=X275),"",100*(N275-X275)/(Y275-X275))</f>
        <v>0</v>
      </c>
      <c r="AA275">
        <f>IF(COUNT($Z$273:$Z$275)&lt;3,"",AVERAGE($Z$273:$Z$275))</f>
        <v>0</v>
      </c>
      <c r="AB275">
        <f>IF(COUNT($AA$273:$AA$275)&lt;3,"",AVERAGE($AA$273:$AA$275))</f>
        <v>0</v>
      </c>
      <c r="AC275">
        <f>IF($E275="","",MAX($C275-$D275,ABS($C275-$E274),ABS($D275-$E274)))</f>
        <v>0</v>
      </c>
      <c r="AD275">
        <f>IF(COUNT($E$2:$E275)&lt;15,"",AVERAGE($AC$262:$AC$275))</f>
        <v>0</v>
      </c>
      <c r="AE275">
        <f>IF(OR($E275="",$E274=""),"",IF(AND(($C275-$C274)&gt;($D274-$D275),($C275-$C274)&gt;0),$C275-$C274,0))</f>
        <v>0</v>
      </c>
      <c r="AF275">
        <f>IF(OR($E275="",$E274=""),"",IF(AND(($D274-$D275)&gt;($C275-$C274),($D274-$D275)&gt;0),$D274-$D275,0))</f>
        <v>0</v>
      </c>
      <c r="AG275">
        <f>IF(COUNT($E$2:$E275)&lt;15,"",IF(SUM($AC$262:$AC$275)=0,0,100*SUM($AE$262:$AE$275)/SUM($AC$262:$AC$275)))</f>
        <v>0</v>
      </c>
      <c r="AH275">
        <f>IF(COUNT($E$2:$E275)&lt;15,"",IF(SUM($AC$262:$AC$275)=0,0,100*SUM($AF$262:$AF$275)/SUM($AC$262:$AC$275)))</f>
        <v>0</v>
      </c>
      <c r="AI275">
        <f>IF(OR(AG275="",AH275=""),"",IF((AG275+AH275)=0,0,100*ABS(AG275-AH275)/(AG275+AH275)))</f>
        <v>0</v>
      </c>
      <c r="AJ275">
        <f>IF(COUNT($AI$262:$AI$275)&lt;14,"",AVERAGE($AI$262:$AI$275))</f>
        <v>0</v>
      </c>
      <c r="AK275">
        <f>IF(COUNT($E$2:$E275)&lt;20,"",AVERAGE($E$256:$E$275))</f>
        <v>0</v>
      </c>
      <c r="AL275">
        <f>IF(COUNT($E$2:$E275)&lt;20,"",STDEVP($E$256:$E$275))</f>
        <v>0</v>
      </c>
      <c r="AM275">
        <f>IF(AK275="","",AK275+2*AL275)</f>
        <v>0</v>
      </c>
      <c r="AN275">
        <f>IF(AK275="","",AK275-2*AL275)</f>
        <v>0</v>
      </c>
      <c r="AO275">
        <f>IF(OR(AM275="",AN275="",AM275=AN275),"",($E275-AN275)/(AM275-AN275))</f>
        <v>0</v>
      </c>
      <c r="AP275">
        <f>IF(OR(AM275="",AK275="",AK275=0),"",(AM275-AN275)/AK275)</f>
        <v>0</v>
      </c>
      <c r="AQ275">
        <f>IF(COUNT($E$2:$E275)&lt;20,"",MAX($C$256:$C$275))</f>
        <v>0</v>
      </c>
      <c r="AR275">
        <f>IF(COUNT($E$2:$E275)&lt;20,"",MIN($D$256:$D$275))</f>
        <v>0</v>
      </c>
      <c r="AS275">
        <f>IF(OR(AQ275="",AR275=""),"",(AQ275+AR275)/2)</f>
        <v>0</v>
      </c>
      <c r="AT275">
        <f>IF(COUNT($G$256:$G$275)&lt;20,"",STDEV($G$256:$G$275)*SQRT(52))</f>
        <v>0</v>
      </c>
      <c r="AU275">
        <f>IF(COUNT($E$2:$E275)&lt;9,"",(MAX($C$267:$C$275)+MIN($D$267:$D$275))/2)</f>
        <v>0</v>
      </c>
      <c r="AV275">
        <f>IF(COUNT($E$2:$E275)&lt;26,"",(MAX($C$250:$C$275)+MIN($D$250:$D$275))/2)</f>
        <v>0</v>
      </c>
      <c r="AW275">
        <f>IF(OR(AU275="",AV275=""),"",(AU275+AV275)/2)</f>
        <v>0</v>
      </c>
      <c r="AX275">
        <f>IF(COUNT($E$2:$E275)&lt;52,"",(MAX($C$224:$C$275)+MIN($D$224:$D$275))/2)</f>
        <v>0</v>
      </c>
      <c r="AY275">
        <f>IF(COUNT($E$2:$E275)&lt;20,"",MAX($C$176:$C$275))</f>
        <v>0</v>
      </c>
      <c r="AZ275">
        <f>IF(COUNT($E$2:$E275)&lt;20,"",MIN($D$176:$D$275))</f>
        <v>0</v>
      </c>
      <c r="BA275">
        <f>IF(COUNT($E$2:$E275)&lt;20,"",SLOPE($E$176:$E$275,$F$176:$F$275))</f>
        <v>0</v>
      </c>
      <c r="BB275">
        <f>IF(COUNT($E$2:$E275)&lt;20,"",INTERCEPT($E$176:$E$275,$F$176:$F$275))</f>
        <v>0</v>
      </c>
      <c r="BC275">
        <f>IF(OR(BA275="",BB275=""),"",BB275+BA275*F275)</f>
        <v>0</v>
      </c>
      <c r="BD275">
        <f>IF(COUNT($E$2:$E275)&lt;20,"",STEYX($E$176:$E$275,$F$176:$F$275))</f>
        <v>0</v>
      </c>
      <c r="BE275">
        <f>IF($E275="","",IF(AND(COUNT($E$276:$E$279)&gt;=4,$C275=MAX($C$271:$C$279)),$C275,""))</f>
        <v>0</v>
      </c>
      <c r="BF275">
        <f>IF($E275="","",IF(AND(COUNT($E$276:$E$279)&gt;=4,$D275=MIN($D$271:$D$279)),$D275,""))</f>
        <v>0</v>
      </c>
      <c r="BG275">
        <f>IFERROR(SMALL(Calc_Daily!$BM$2:$BM$2001,274),"")</f>
        <v>0</v>
      </c>
    </row>
    <row r="276" spans="1:59">
      <c r="A276" s="27">
        <f>IF($BG276="","",INDEX(Calc_Daily!$A$2:$A$2001,$BG276))</f>
        <v>0</v>
      </c>
      <c r="B276">
        <f>IF($BG276="","",INDEX(Calc_Daily!$BJ$2:$BJ$2001,$BG276))</f>
        <v>0</v>
      </c>
      <c r="C276">
        <f>IF($BG276="","",INDEX(Calc_Daily!$BK$2:$BK$2001,$BG276))</f>
        <v>0</v>
      </c>
      <c r="D276">
        <f>IF($BG276="","",INDEX(Calc_Daily!$BL$2:$BL$2001,$BG276))</f>
        <v>0</v>
      </c>
      <c r="E276">
        <f>IF($BG276="","",INDEX(Calc_Daily!$E$2:$E$2001,$BG276))</f>
        <v>0</v>
      </c>
      <c r="F276">
        <f>IF($E276="","",N(F275)+1)</f>
        <v>0</v>
      </c>
      <c r="G276">
        <f>IF(OR($E276="",$E275=""),"",LN($E276/$E275))</f>
        <v>0</v>
      </c>
      <c r="H276">
        <f>IF($E276="","",IF($E275="",$E276,$E276*0.0952380952+H275*0.9047619048))</f>
        <v>0</v>
      </c>
      <c r="I276">
        <f>IF($E276="","",IF($E275="",$E276,$E276*0.0392156863+I275*0.9607843137))</f>
        <v>0</v>
      </c>
      <c r="J276">
        <f>IF($E276="","",IF($E275="",$E276,$E276*0.0198019802+J275*0.9801980198))</f>
        <v>0</v>
      </c>
      <c r="K276">
        <f>IF($E276="","",IF($E275="",$E276,$E276*0.0099502488+K275*0.9900497512))</f>
        <v>0</v>
      </c>
      <c r="L276">
        <f>IF(OR($E276="",$E275=""),"",MAX($E276-$E275,0))</f>
        <v>0</v>
      </c>
      <c r="M276">
        <f>IF(OR($E276="",$E275=""),"",MAX($E275-$E276,0))</f>
        <v>0</v>
      </c>
      <c r="N276">
        <f>IF(COUNT($E$2:$E276)&lt;15,"",IF(AVERAGE($M$263:$M$276)=0,100,100-100/(1+AVERAGE($L$263:$L$276)/AVERAGE($M$263:$M$276))))</f>
        <v>0</v>
      </c>
      <c r="O276">
        <f>IF($E276="","",IF($E275="",$E276,$E276*0.1538461538+O275*0.8461538462))</f>
        <v>0</v>
      </c>
      <c r="P276">
        <f>IF($E276="","",IF($E275="",$E276,$E276*0.0740740741+P275*0.9259259259))</f>
        <v>0</v>
      </c>
      <c r="Q276">
        <f>IF(OR(O276="",P276=""),"",O276-P276)</f>
        <v>0</v>
      </c>
      <c r="R276">
        <f>IF(Q276="","",IF(R275="",Q276,Q276*0.2000000000+R275*0.8000000000))</f>
        <v>0</v>
      </c>
      <c r="S276">
        <f>IF(OR(Q276="",R276=""),"",Q276-R276)</f>
        <v>0</v>
      </c>
      <c r="T276">
        <f>IF(COUNT($E$2:$E276)&lt;14,"",MAX($C$263:$C$276))</f>
        <v>0</v>
      </c>
      <c r="U276">
        <f>IF(COUNT($E$2:$E276)&lt;14,"",MIN($D$263:$D$276))</f>
        <v>0</v>
      </c>
      <c r="V276">
        <f>IF(OR(T276="",U276="",T276=U276),"",100*($E276-U276)/(T276-U276))</f>
        <v>0</v>
      </c>
      <c r="W276">
        <f>IF(COUNT($V$274:$V$276)&lt;3,"",AVERAGE($V$274:$V$276))</f>
        <v>0</v>
      </c>
      <c r="X276">
        <f>IF(COUNT($N$263:$N$276)&lt;14,"",MIN($N$263:$N$276))</f>
        <v>0</v>
      </c>
      <c r="Y276">
        <f>IF(COUNT($N$263:$N$276)&lt;14,"",MAX($N$263:$N$276))</f>
        <v>0</v>
      </c>
      <c r="Z276">
        <f>IF(OR(N276="",X276="",Y276="",Y276=X276),"",100*(N276-X276)/(Y276-X276))</f>
        <v>0</v>
      </c>
      <c r="AA276">
        <f>IF(COUNT($Z$274:$Z$276)&lt;3,"",AVERAGE($Z$274:$Z$276))</f>
        <v>0</v>
      </c>
      <c r="AB276">
        <f>IF(COUNT($AA$274:$AA$276)&lt;3,"",AVERAGE($AA$274:$AA$276))</f>
        <v>0</v>
      </c>
      <c r="AC276">
        <f>IF($E276="","",MAX($C276-$D276,ABS($C276-$E275),ABS($D276-$E275)))</f>
        <v>0</v>
      </c>
      <c r="AD276">
        <f>IF(COUNT($E$2:$E276)&lt;15,"",AVERAGE($AC$263:$AC$276))</f>
        <v>0</v>
      </c>
      <c r="AE276">
        <f>IF(OR($E276="",$E275=""),"",IF(AND(($C276-$C275)&gt;($D275-$D276),($C276-$C275)&gt;0),$C276-$C275,0))</f>
        <v>0</v>
      </c>
      <c r="AF276">
        <f>IF(OR($E276="",$E275=""),"",IF(AND(($D275-$D276)&gt;($C276-$C275),($D275-$D276)&gt;0),$D275-$D276,0))</f>
        <v>0</v>
      </c>
      <c r="AG276">
        <f>IF(COUNT($E$2:$E276)&lt;15,"",IF(SUM($AC$263:$AC$276)=0,0,100*SUM($AE$263:$AE$276)/SUM($AC$263:$AC$276)))</f>
        <v>0</v>
      </c>
      <c r="AH276">
        <f>IF(COUNT($E$2:$E276)&lt;15,"",IF(SUM($AC$263:$AC$276)=0,0,100*SUM($AF$263:$AF$276)/SUM($AC$263:$AC$276)))</f>
        <v>0</v>
      </c>
      <c r="AI276">
        <f>IF(OR(AG276="",AH276=""),"",IF((AG276+AH276)=0,0,100*ABS(AG276-AH276)/(AG276+AH276)))</f>
        <v>0</v>
      </c>
      <c r="AJ276">
        <f>IF(COUNT($AI$263:$AI$276)&lt;14,"",AVERAGE($AI$263:$AI$276))</f>
        <v>0</v>
      </c>
      <c r="AK276">
        <f>IF(COUNT($E$2:$E276)&lt;20,"",AVERAGE($E$257:$E$276))</f>
        <v>0</v>
      </c>
      <c r="AL276">
        <f>IF(COUNT($E$2:$E276)&lt;20,"",STDEVP($E$257:$E$276))</f>
        <v>0</v>
      </c>
      <c r="AM276">
        <f>IF(AK276="","",AK276+2*AL276)</f>
        <v>0</v>
      </c>
      <c r="AN276">
        <f>IF(AK276="","",AK276-2*AL276)</f>
        <v>0</v>
      </c>
      <c r="AO276">
        <f>IF(OR(AM276="",AN276="",AM276=AN276),"",($E276-AN276)/(AM276-AN276))</f>
        <v>0</v>
      </c>
      <c r="AP276">
        <f>IF(OR(AM276="",AK276="",AK276=0),"",(AM276-AN276)/AK276)</f>
        <v>0</v>
      </c>
      <c r="AQ276">
        <f>IF(COUNT($E$2:$E276)&lt;20,"",MAX($C$257:$C$276))</f>
        <v>0</v>
      </c>
      <c r="AR276">
        <f>IF(COUNT($E$2:$E276)&lt;20,"",MIN($D$257:$D$276))</f>
        <v>0</v>
      </c>
      <c r="AS276">
        <f>IF(OR(AQ276="",AR276=""),"",(AQ276+AR276)/2)</f>
        <v>0</v>
      </c>
      <c r="AT276">
        <f>IF(COUNT($G$257:$G$276)&lt;20,"",STDEV($G$257:$G$276)*SQRT(52))</f>
        <v>0</v>
      </c>
      <c r="AU276">
        <f>IF(COUNT($E$2:$E276)&lt;9,"",(MAX($C$268:$C$276)+MIN($D$268:$D$276))/2)</f>
        <v>0</v>
      </c>
      <c r="AV276">
        <f>IF(COUNT($E$2:$E276)&lt;26,"",(MAX($C$251:$C$276)+MIN($D$251:$D$276))/2)</f>
        <v>0</v>
      </c>
      <c r="AW276">
        <f>IF(OR(AU276="",AV276=""),"",(AU276+AV276)/2)</f>
        <v>0</v>
      </c>
      <c r="AX276">
        <f>IF(COUNT($E$2:$E276)&lt;52,"",(MAX($C$225:$C$276)+MIN($D$225:$D$276))/2)</f>
        <v>0</v>
      </c>
      <c r="AY276">
        <f>IF(COUNT($E$2:$E276)&lt;20,"",MAX($C$177:$C$276))</f>
        <v>0</v>
      </c>
      <c r="AZ276">
        <f>IF(COUNT($E$2:$E276)&lt;20,"",MIN($D$177:$D$276))</f>
        <v>0</v>
      </c>
      <c r="BA276">
        <f>IF(COUNT($E$2:$E276)&lt;20,"",SLOPE($E$177:$E$276,$F$177:$F$276))</f>
        <v>0</v>
      </c>
      <c r="BB276">
        <f>IF(COUNT($E$2:$E276)&lt;20,"",INTERCEPT($E$177:$E$276,$F$177:$F$276))</f>
        <v>0</v>
      </c>
      <c r="BC276">
        <f>IF(OR(BA276="",BB276=""),"",BB276+BA276*F276)</f>
        <v>0</v>
      </c>
      <c r="BD276">
        <f>IF(COUNT($E$2:$E276)&lt;20,"",STEYX($E$177:$E$276,$F$177:$F$276))</f>
        <v>0</v>
      </c>
      <c r="BE276">
        <f>IF($E276="","",IF(AND(COUNT($E$277:$E$280)&gt;=4,$C276=MAX($C$272:$C$280)),$C276,""))</f>
        <v>0</v>
      </c>
      <c r="BF276">
        <f>IF($E276="","",IF(AND(COUNT($E$277:$E$280)&gt;=4,$D276=MIN($D$272:$D$280)),$D276,""))</f>
        <v>0</v>
      </c>
      <c r="BG276">
        <f>IFERROR(SMALL(Calc_Daily!$BM$2:$BM$2001,275),"")</f>
        <v>0</v>
      </c>
    </row>
    <row r="277" spans="1:59">
      <c r="A277" s="27">
        <f>IF($BG277="","",INDEX(Calc_Daily!$A$2:$A$2001,$BG277))</f>
        <v>0</v>
      </c>
      <c r="B277">
        <f>IF($BG277="","",INDEX(Calc_Daily!$BJ$2:$BJ$2001,$BG277))</f>
        <v>0</v>
      </c>
      <c r="C277">
        <f>IF($BG277="","",INDEX(Calc_Daily!$BK$2:$BK$2001,$BG277))</f>
        <v>0</v>
      </c>
      <c r="D277">
        <f>IF($BG277="","",INDEX(Calc_Daily!$BL$2:$BL$2001,$BG277))</f>
        <v>0</v>
      </c>
      <c r="E277">
        <f>IF($BG277="","",INDEX(Calc_Daily!$E$2:$E$2001,$BG277))</f>
        <v>0</v>
      </c>
      <c r="F277">
        <f>IF($E277="","",N(F276)+1)</f>
        <v>0</v>
      </c>
      <c r="G277">
        <f>IF(OR($E277="",$E276=""),"",LN($E277/$E276))</f>
        <v>0</v>
      </c>
      <c r="H277">
        <f>IF($E277="","",IF($E276="",$E277,$E277*0.0952380952+H276*0.9047619048))</f>
        <v>0</v>
      </c>
      <c r="I277">
        <f>IF($E277="","",IF($E276="",$E277,$E277*0.0392156863+I276*0.9607843137))</f>
        <v>0</v>
      </c>
      <c r="J277">
        <f>IF($E277="","",IF($E276="",$E277,$E277*0.0198019802+J276*0.9801980198))</f>
        <v>0</v>
      </c>
      <c r="K277">
        <f>IF($E277="","",IF($E276="",$E277,$E277*0.0099502488+K276*0.9900497512))</f>
        <v>0</v>
      </c>
      <c r="L277">
        <f>IF(OR($E277="",$E276=""),"",MAX($E277-$E276,0))</f>
        <v>0</v>
      </c>
      <c r="M277">
        <f>IF(OR($E277="",$E276=""),"",MAX($E276-$E277,0))</f>
        <v>0</v>
      </c>
      <c r="N277">
        <f>IF(COUNT($E$2:$E277)&lt;15,"",IF(AVERAGE($M$264:$M$277)=0,100,100-100/(1+AVERAGE($L$264:$L$277)/AVERAGE($M$264:$M$277))))</f>
        <v>0</v>
      </c>
      <c r="O277">
        <f>IF($E277="","",IF($E276="",$E277,$E277*0.1538461538+O276*0.8461538462))</f>
        <v>0</v>
      </c>
      <c r="P277">
        <f>IF($E277="","",IF($E276="",$E277,$E277*0.0740740741+P276*0.9259259259))</f>
        <v>0</v>
      </c>
      <c r="Q277">
        <f>IF(OR(O277="",P277=""),"",O277-P277)</f>
        <v>0</v>
      </c>
      <c r="R277">
        <f>IF(Q277="","",IF(R276="",Q277,Q277*0.2000000000+R276*0.8000000000))</f>
        <v>0</v>
      </c>
      <c r="S277">
        <f>IF(OR(Q277="",R277=""),"",Q277-R277)</f>
        <v>0</v>
      </c>
      <c r="T277">
        <f>IF(COUNT($E$2:$E277)&lt;14,"",MAX($C$264:$C$277))</f>
        <v>0</v>
      </c>
      <c r="U277">
        <f>IF(COUNT($E$2:$E277)&lt;14,"",MIN($D$264:$D$277))</f>
        <v>0</v>
      </c>
      <c r="V277">
        <f>IF(OR(T277="",U277="",T277=U277),"",100*($E277-U277)/(T277-U277))</f>
        <v>0</v>
      </c>
      <c r="W277">
        <f>IF(COUNT($V$275:$V$277)&lt;3,"",AVERAGE($V$275:$V$277))</f>
        <v>0</v>
      </c>
      <c r="X277">
        <f>IF(COUNT($N$264:$N$277)&lt;14,"",MIN($N$264:$N$277))</f>
        <v>0</v>
      </c>
      <c r="Y277">
        <f>IF(COUNT($N$264:$N$277)&lt;14,"",MAX($N$264:$N$277))</f>
        <v>0</v>
      </c>
      <c r="Z277">
        <f>IF(OR(N277="",X277="",Y277="",Y277=X277),"",100*(N277-X277)/(Y277-X277))</f>
        <v>0</v>
      </c>
      <c r="AA277">
        <f>IF(COUNT($Z$275:$Z$277)&lt;3,"",AVERAGE($Z$275:$Z$277))</f>
        <v>0</v>
      </c>
      <c r="AB277">
        <f>IF(COUNT($AA$275:$AA$277)&lt;3,"",AVERAGE($AA$275:$AA$277))</f>
        <v>0</v>
      </c>
      <c r="AC277">
        <f>IF($E277="","",MAX($C277-$D277,ABS($C277-$E276),ABS($D277-$E276)))</f>
        <v>0</v>
      </c>
      <c r="AD277">
        <f>IF(COUNT($E$2:$E277)&lt;15,"",AVERAGE($AC$264:$AC$277))</f>
        <v>0</v>
      </c>
      <c r="AE277">
        <f>IF(OR($E277="",$E276=""),"",IF(AND(($C277-$C276)&gt;($D276-$D277),($C277-$C276)&gt;0),$C277-$C276,0))</f>
        <v>0</v>
      </c>
      <c r="AF277">
        <f>IF(OR($E277="",$E276=""),"",IF(AND(($D276-$D277)&gt;($C277-$C276),($D276-$D277)&gt;0),$D276-$D277,0))</f>
        <v>0</v>
      </c>
      <c r="AG277">
        <f>IF(COUNT($E$2:$E277)&lt;15,"",IF(SUM($AC$264:$AC$277)=0,0,100*SUM($AE$264:$AE$277)/SUM($AC$264:$AC$277)))</f>
        <v>0</v>
      </c>
      <c r="AH277">
        <f>IF(COUNT($E$2:$E277)&lt;15,"",IF(SUM($AC$264:$AC$277)=0,0,100*SUM($AF$264:$AF$277)/SUM($AC$264:$AC$277)))</f>
        <v>0</v>
      </c>
      <c r="AI277">
        <f>IF(OR(AG277="",AH277=""),"",IF((AG277+AH277)=0,0,100*ABS(AG277-AH277)/(AG277+AH277)))</f>
        <v>0</v>
      </c>
      <c r="AJ277">
        <f>IF(COUNT($AI$264:$AI$277)&lt;14,"",AVERAGE($AI$264:$AI$277))</f>
        <v>0</v>
      </c>
      <c r="AK277">
        <f>IF(COUNT($E$2:$E277)&lt;20,"",AVERAGE($E$258:$E$277))</f>
        <v>0</v>
      </c>
      <c r="AL277">
        <f>IF(COUNT($E$2:$E277)&lt;20,"",STDEVP($E$258:$E$277))</f>
        <v>0</v>
      </c>
      <c r="AM277">
        <f>IF(AK277="","",AK277+2*AL277)</f>
        <v>0</v>
      </c>
      <c r="AN277">
        <f>IF(AK277="","",AK277-2*AL277)</f>
        <v>0</v>
      </c>
      <c r="AO277">
        <f>IF(OR(AM277="",AN277="",AM277=AN277),"",($E277-AN277)/(AM277-AN277))</f>
        <v>0</v>
      </c>
      <c r="AP277">
        <f>IF(OR(AM277="",AK277="",AK277=0),"",(AM277-AN277)/AK277)</f>
        <v>0</v>
      </c>
      <c r="AQ277">
        <f>IF(COUNT($E$2:$E277)&lt;20,"",MAX($C$258:$C$277))</f>
        <v>0</v>
      </c>
      <c r="AR277">
        <f>IF(COUNT($E$2:$E277)&lt;20,"",MIN($D$258:$D$277))</f>
        <v>0</v>
      </c>
      <c r="AS277">
        <f>IF(OR(AQ277="",AR277=""),"",(AQ277+AR277)/2)</f>
        <v>0</v>
      </c>
      <c r="AT277">
        <f>IF(COUNT($G$258:$G$277)&lt;20,"",STDEV($G$258:$G$277)*SQRT(52))</f>
        <v>0</v>
      </c>
      <c r="AU277">
        <f>IF(COUNT($E$2:$E277)&lt;9,"",(MAX($C$269:$C$277)+MIN($D$269:$D$277))/2)</f>
        <v>0</v>
      </c>
      <c r="AV277">
        <f>IF(COUNT($E$2:$E277)&lt;26,"",(MAX($C$252:$C$277)+MIN($D$252:$D$277))/2)</f>
        <v>0</v>
      </c>
      <c r="AW277">
        <f>IF(OR(AU277="",AV277=""),"",(AU277+AV277)/2)</f>
        <v>0</v>
      </c>
      <c r="AX277">
        <f>IF(COUNT($E$2:$E277)&lt;52,"",(MAX($C$226:$C$277)+MIN($D$226:$D$277))/2)</f>
        <v>0</v>
      </c>
      <c r="AY277">
        <f>IF(COUNT($E$2:$E277)&lt;20,"",MAX($C$178:$C$277))</f>
        <v>0</v>
      </c>
      <c r="AZ277">
        <f>IF(COUNT($E$2:$E277)&lt;20,"",MIN($D$178:$D$277))</f>
        <v>0</v>
      </c>
      <c r="BA277">
        <f>IF(COUNT($E$2:$E277)&lt;20,"",SLOPE($E$178:$E$277,$F$178:$F$277))</f>
        <v>0</v>
      </c>
      <c r="BB277">
        <f>IF(COUNT($E$2:$E277)&lt;20,"",INTERCEPT($E$178:$E$277,$F$178:$F$277))</f>
        <v>0</v>
      </c>
      <c r="BC277">
        <f>IF(OR(BA277="",BB277=""),"",BB277+BA277*F277)</f>
        <v>0</v>
      </c>
      <c r="BD277">
        <f>IF(COUNT($E$2:$E277)&lt;20,"",STEYX($E$178:$E$277,$F$178:$F$277))</f>
        <v>0</v>
      </c>
      <c r="BE277">
        <f>IF($E277="","",IF(AND(COUNT($E$278:$E$281)&gt;=4,$C277=MAX($C$273:$C$281)),$C277,""))</f>
        <v>0</v>
      </c>
      <c r="BF277">
        <f>IF($E277="","",IF(AND(COUNT($E$278:$E$281)&gt;=4,$D277=MIN($D$273:$D$281)),$D277,""))</f>
        <v>0</v>
      </c>
      <c r="BG277">
        <f>IFERROR(SMALL(Calc_Daily!$BM$2:$BM$2001,276),"")</f>
        <v>0</v>
      </c>
    </row>
    <row r="278" spans="1:59">
      <c r="A278" s="27">
        <f>IF($BG278="","",INDEX(Calc_Daily!$A$2:$A$2001,$BG278))</f>
        <v>0</v>
      </c>
      <c r="B278">
        <f>IF($BG278="","",INDEX(Calc_Daily!$BJ$2:$BJ$2001,$BG278))</f>
        <v>0</v>
      </c>
      <c r="C278">
        <f>IF($BG278="","",INDEX(Calc_Daily!$BK$2:$BK$2001,$BG278))</f>
        <v>0</v>
      </c>
      <c r="D278">
        <f>IF($BG278="","",INDEX(Calc_Daily!$BL$2:$BL$2001,$BG278))</f>
        <v>0</v>
      </c>
      <c r="E278">
        <f>IF($BG278="","",INDEX(Calc_Daily!$E$2:$E$2001,$BG278))</f>
        <v>0</v>
      </c>
      <c r="F278">
        <f>IF($E278="","",N(F277)+1)</f>
        <v>0</v>
      </c>
      <c r="G278">
        <f>IF(OR($E278="",$E277=""),"",LN($E278/$E277))</f>
        <v>0</v>
      </c>
      <c r="H278">
        <f>IF($E278="","",IF($E277="",$E278,$E278*0.0952380952+H277*0.9047619048))</f>
        <v>0</v>
      </c>
      <c r="I278">
        <f>IF($E278="","",IF($E277="",$E278,$E278*0.0392156863+I277*0.9607843137))</f>
        <v>0</v>
      </c>
      <c r="J278">
        <f>IF($E278="","",IF($E277="",$E278,$E278*0.0198019802+J277*0.9801980198))</f>
        <v>0</v>
      </c>
      <c r="K278">
        <f>IF($E278="","",IF($E277="",$E278,$E278*0.0099502488+K277*0.9900497512))</f>
        <v>0</v>
      </c>
      <c r="L278">
        <f>IF(OR($E278="",$E277=""),"",MAX($E278-$E277,0))</f>
        <v>0</v>
      </c>
      <c r="M278">
        <f>IF(OR($E278="",$E277=""),"",MAX($E277-$E278,0))</f>
        <v>0</v>
      </c>
      <c r="N278">
        <f>IF(COUNT($E$2:$E278)&lt;15,"",IF(AVERAGE($M$265:$M$278)=0,100,100-100/(1+AVERAGE($L$265:$L$278)/AVERAGE($M$265:$M$278))))</f>
        <v>0</v>
      </c>
      <c r="O278">
        <f>IF($E278="","",IF($E277="",$E278,$E278*0.1538461538+O277*0.8461538462))</f>
        <v>0</v>
      </c>
      <c r="P278">
        <f>IF($E278="","",IF($E277="",$E278,$E278*0.0740740741+P277*0.9259259259))</f>
        <v>0</v>
      </c>
      <c r="Q278">
        <f>IF(OR(O278="",P278=""),"",O278-P278)</f>
        <v>0</v>
      </c>
      <c r="R278">
        <f>IF(Q278="","",IF(R277="",Q278,Q278*0.2000000000+R277*0.8000000000))</f>
        <v>0</v>
      </c>
      <c r="S278">
        <f>IF(OR(Q278="",R278=""),"",Q278-R278)</f>
        <v>0</v>
      </c>
      <c r="T278">
        <f>IF(COUNT($E$2:$E278)&lt;14,"",MAX($C$265:$C$278))</f>
        <v>0</v>
      </c>
      <c r="U278">
        <f>IF(COUNT($E$2:$E278)&lt;14,"",MIN($D$265:$D$278))</f>
        <v>0</v>
      </c>
      <c r="V278">
        <f>IF(OR(T278="",U278="",T278=U278),"",100*($E278-U278)/(T278-U278))</f>
        <v>0</v>
      </c>
      <c r="W278">
        <f>IF(COUNT($V$276:$V$278)&lt;3,"",AVERAGE($V$276:$V$278))</f>
        <v>0</v>
      </c>
      <c r="X278">
        <f>IF(COUNT($N$265:$N$278)&lt;14,"",MIN($N$265:$N$278))</f>
        <v>0</v>
      </c>
      <c r="Y278">
        <f>IF(COUNT($N$265:$N$278)&lt;14,"",MAX($N$265:$N$278))</f>
        <v>0</v>
      </c>
      <c r="Z278">
        <f>IF(OR(N278="",X278="",Y278="",Y278=X278),"",100*(N278-X278)/(Y278-X278))</f>
        <v>0</v>
      </c>
      <c r="AA278">
        <f>IF(COUNT($Z$276:$Z$278)&lt;3,"",AVERAGE($Z$276:$Z$278))</f>
        <v>0</v>
      </c>
      <c r="AB278">
        <f>IF(COUNT($AA$276:$AA$278)&lt;3,"",AVERAGE($AA$276:$AA$278))</f>
        <v>0</v>
      </c>
      <c r="AC278">
        <f>IF($E278="","",MAX($C278-$D278,ABS($C278-$E277),ABS($D278-$E277)))</f>
        <v>0</v>
      </c>
      <c r="AD278">
        <f>IF(COUNT($E$2:$E278)&lt;15,"",AVERAGE($AC$265:$AC$278))</f>
        <v>0</v>
      </c>
      <c r="AE278">
        <f>IF(OR($E278="",$E277=""),"",IF(AND(($C278-$C277)&gt;($D277-$D278),($C278-$C277)&gt;0),$C278-$C277,0))</f>
        <v>0</v>
      </c>
      <c r="AF278">
        <f>IF(OR($E278="",$E277=""),"",IF(AND(($D277-$D278)&gt;($C278-$C277),($D277-$D278)&gt;0),$D277-$D278,0))</f>
        <v>0</v>
      </c>
      <c r="AG278">
        <f>IF(COUNT($E$2:$E278)&lt;15,"",IF(SUM($AC$265:$AC$278)=0,0,100*SUM($AE$265:$AE$278)/SUM($AC$265:$AC$278)))</f>
        <v>0</v>
      </c>
      <c r="AH278">
        <f>IF(COUNT($E$2:$E278)&lt;15,"",IF(SUM($AC$265:$AC$278)=0,0,100*SUM($AF$265:$AF$278)/SUM($AC$265:$AC$278)))</f>
        <v>0</v>
      </c>
      <c r="AI278">
        <f>IF(OR(AG278="",AH278=""),"",IF((AG278+AH278)=0,0,100*ABS(AG278-AH278)/(AG278+AH278)))</f>
        <v>0</v>
      </c>
      <c r="AJ278">
        <f>IF(COUNT($AI$265:$AI$278)&lt;14,"",AVERAGE($AI$265:$AI$278))</f>
        <v>0</v>
      </c>
      <c r="AK278">
        <f>IF(COUNT($E$2:$E278)&lt;20,"",AVERAGE($E$259:$E$278))</f>
        <v>0</v>
      </c>
      <c r="AL278">
        <f>IF(COUNT($E$2:$E278)&lt;20,"",STDEVP($E$259:$E$278))</f>
        <v>0</v>
      </c>
      <c r="AM278">
        <f>IF(AK278="","",AK278+2*AL278)</f>
        <v>0</v>
      </c>
      <c r="AN278">
        <f>IF(AK278="","",AK278-2*AL278)</f>
        <v>0</v>
      </c>
      <c r="AO278">
        <f>IF(OR(AM278="",AN278="",AM278=AN278),"",($E278-AN278)/(AM278-AN278))</f>
        <v>0</v>
      </c>
      <c r="AP278">
        <f>IF(OR(AM278="",AK278="",AK278=0),"",(AM278-AN278)/AK278)</f>
        <v>0</v>
      </c>
      <c r="AQ278">
        <f>IF(COUNT($E$2:$E278)&lt;20,"",MAX($C$259:$C$278))</f>
        <v>0</v>
      </c>
      <c r="AR278">
        <f>IF(COUNT($E$2:$E278)&lt;20,"",MIN($D$259:$D$278))</f>
        <v>0</v>
      </c>
      <c r="AS278">
        <f>IF(OR(AQ278="",AR278=""),"",(AQ278+AR278)/2)</f>
        <v>0</v>
      </c>
      <c r="AT278">
        <f>IF(COUNT($G$259:$G$278)&lt;20,"",STDEV($G$259:$G$278)*SQRT(52))</f>
        <v>0</v>
      </c>
      <c r="AU278">
        <f>IF(COUNT($E$2:$E278)&lt;9,"",(MAX($C$270:$C$278)+MIN($D$270:$D$278))/2)</f>
        <v>0</v>
      </c>
      <c r="AV278">
        <f>IF(COUNT($E$2:$E278)&lt;26,"",(MAX($C$253:$C$278)+MIN($D$253:$D$278))/2)</f>
        <v>0</v>
      </c>
      <c r="AW278">
        <f>IF(OR(AU278="",AV278=""),"",(AU278+AV278)/2)</f>
        <v>0</v>
      </c>
      <c r="AX278">
        <f>IF(COUNT($E$2:$E278)&lt;52,"",(MAX($C$227:$C$278)+MIN($D$227:$D$278))/2)</f>
        <v>0</v>
      </c>
      <c r="AY278">
        <f>IF(COUNT($E$2:$E278)&lt;20,"",MAX($C$179:$C$278))</f>
        <v>0</v>
      </c>
      <c r="AZ278">
        <f>IF(COUNT($E$2:$E278)&lt;20,"",MIN($D$179:$D$278))</f>
        <v>0</v>
      </c>
      <c r="BA278">
        <f>IF(COUNT($E$2:$E278)&lt;20,"",SLOPE($E$179:$E$278,$F$179:$F$278))</f>
        <v>0</v>
      </c>
      <c r="BB278">
        <f>IF(COUNT($E$2:$E278)&lt;20,"",INTERCEPT($E$179:$E$278,$F$179:$F$278))</f>
        <v>0</v>
      </c>
      <c r="BC278">
        <f>IF(OR(BA278="",BB278=""),"",BB278+BA278*F278)</f>
        <v>0</v>
      </c>
      <c r="BD278">
        <f>IF(COUNT($E$2:$E278)&lt;20,"",STEYX($E$179:$E$278,$F$179:$F$278))</f>
        <v>0</v>
      </c>
      <c r="BE278">
        <f>IF($E278="","",IF(AND(COUNT($E$279:$E$282)&gt;=4,$C278=MAX($C$274:$C$282)),$C278,""))</f>
        <v>0</v>
      </c>
      <c r="BF278">
        <f>IF($E278="","",IF(AND(COUNT($E$279:$E$282)&gt;=4,$D278=MIN($D$274:$D$282)),$D278,""))</f>
        <v>0</v>
      </c>
      <c r="BG278">
        <f>IFERROR(SMALL(Calc_Daily!$BM$2:$BM$2001,277),"")</f>
        <v>0</v>
      </c>
    </row>
    <row r="279" spans="1:59">
      <c r="A279" s="27">
        <f>IF($BG279="","",INDEX(Calc_Daily!$A$2:$A$2001,$BG279))</f>
        <v>0</v>
      </c>
      <c r="B279">
        <f>IF($BG279="","",INDEX(Calc_Daily!$BJ$2:$BJ$2001,$BG279))</f>
        <v>0</v>
      </c>
      <c r="C279">
        <f>IF($BG279="","",INDEX(Calc_Daily!$BK$2:$BK$2001,$BG279))</f>
        <v>0</v>
      </c>
      <c r="D279">
        <f>IF($BG279="","",INDEX(Calc_Daily!$BL$2:$BL$2001,$BG279))</f>
        <v>0</v>
      </c>
      <c r="E279">
        <f>IF($BG279="","",INDEX(Calc_Daily!$E$2:$E$2001,$BG279))</f>
        <v>0</v>
      </c>
      <c r="F279">
        <f>IF($E279="","",N(F278)+1)</f>
        <v>0</v>
      </c>
      <c r="G279">
        <f>IF(OR($E279="",$E278=""),"",LN($E279/$E278))</f>
        <v>0</v>
      </c>
      <c r="H279">
        <f>IF($E279="","",IF($E278="",$E279,$E279*0.0952380952+H278*0.9047619048))</f>
        <v>0</v>
      </c>
      <c r="I279">
        <f>IF($E279="","",IF($E278="",$E279,$E279*0.0392156863+I278*0.9607843137))</f>
        <v>0</v>
      </c>
      <c r="J279">
        <f>IF($E279="","",IF($E278="",$E279,$E279*0.0198019802+J278*0.9801980198))</f>
        <v>0</v>
      </c>
      <c r="K279">
        <f>IF($E279="","",IF($E278="",$E279,$E279*0.0099502488+K278*0.9900497512))</f>
        <v>0</v>
      </c>
      <c r="L279">
        <f>IF(OR($E279="",$E278=""),"",MAX($E279-$E278,0))</f>
        <v>0</v>
      </c>
      <c r="M279">
        <f>IF(OR($E279="",$E278=""),"",MAX($E278-$E279,0))</f>
        <v>0</v>
      </c>
      <c r="N279">
        <f>IF(COUNT($E$2:$E279)&lt;15,"",IF(AVERAGE($M$266:$M$279)=0,100,100-100/(1+AVERAGE($L$266:$L$279)/AVERAGE($M$266:$M$279))))</f>
        <v>0</v>
      </c>
      <c r="O279">
        <f>IF($E279="","",IF($E278="",$E279,$E279*0.1538461538+O278*0.8461538462))</f>
        <v>0</v>
      </c>
      <c r="P279">
        <f>IF($E279="","",IF($E278="",$E279,$E279*0.0740740741+P278*0.9259259259))</f>
        <v>0</v>
      </c>
      <c r="Q279">
        <f>IF(OR(O279="",P279=""),"",O279-P279)</f>
        <v>0</v>
      </c>
      <c r="R279">
        <f>IF(Q279="","",IF(R278="",Q279,Q279*0.2000000000+R278*0.8000000000))</f>
        <v>0</v>
      </c>
      <c r="S279">
        <f>IF(OR(Q279="",R279=""),"",Q279-R279)</f>
        <v>0</v>
      </c>
      <c r="T279">
        <f>IF(COUNT($E$2:$E279)&lt;14,"",MAX($C$266:$C$279))</f>
        <v>0</v>
      </c>
      <c r="U279">
        <f>IF(COUNT($E$2:$E279)&lt;14,"",MIN($D$266:$D$279))</f>
        <v>0</v>
      </c>
      <c r="V279">
        <f>IF(OR(T279="",U279="",T279=U279),"",100*($E279-U279)/(T279-U279))</f>
        <v>0</v>
      </c>
      <c r="W279">
        <f>IF(COUNT($V$277:$V$279)&lt;3,"",AVERAGE($V$277:$V$279))</f>
        <v>0</v>
      </c>
      <c r="X279">
        <f>IF(COUNT($N$266:$N$279)&lt;14,"",MIN($N$266:$N$279))</f>
        <v>0</v>
      </c>
      <c r="Y279">
        <f>IF(COUNT($N$266:$N$279)&lt;14,"",MAX($N$266:$N$279))</f>
        <v>0</v>
      </c>
      <c r="Z279">
        <f>IF(OR(N279="",X279="",Y279="",Y279=X279),"",100*(N279-X279)/(Y279-X279))</f>
        <v>0</v>
      </c>
      <c r="AA279">
        <f>IF(COUNT($Z$277:$Z$279)&lt;3,"",AVERAGE($Z$277:$Z$279))</f>
        <v>0</v>
      </c>
      <c r="AB279">
        <f>IF(COUNT($AA$277:$AA$279)&lt;3,"",AVERAGE($AA$277:$AA$279))</f>
        <v>0</v>
      </c>
      <c r="AC279">
        <f>IF($E279="","",MAX($C279-$D279,ABS($C279-$E278),ABS($D279-$E278)))</f>
        <v>0</v>
      </c>
      <c r="AD279">
        <f>IF(COUNT($E$2:$E279)&lt;15,"",AVERAGE($AC$266:$AC$279))</f>
        <v>0</v>
      </c>
      <c r="AE279">
        <f>IF(OR($E279="",$E278=""),"",IF(AND(($C279-$C278)&gt;($D278-$D279),($C279-$C278)&gt;0),$C279-$C278,0))</f>
        <v>0</v>
      </c>
      <c r="AF279">
        <f>IF(OR($E279="",$E278=""),"",IF(AND(($D278-$D279)&gt;($C279-$C278),($D278-$D279)&gt;0),$D278-$D279,0))</f>
        <v>0</v>
      </c>
      <c r="AG279">
        <f>IF(COUNT($E$2:$E279)&lt;15,"",IF(SUM($AC$266:$AC$279)=0,0,100*SUM($AE$266:$AE$279)/SUM($AC$266:$AC$279)))</f>
        <v>0</v>
      </c>
      <c r="AH279">
        <f>IF(COUNT($E$2:$E279)&lt;15,"",IF(SUM($AC$266:$AC$279)=0,0,100*SUM($AF$266:$AF$279)/SUM($AC$266:$AC$279)))</f>
        <v>0</v>
      </c>
      <c r="AI279">
        <f>IF(OR(AG279="",AH279=""),"",IF((AG279+AH279)=0,0,100*ABS(AG279-AH279)/(AG279+AH279)))</f>
        <v>0</v>
      </c>
      <c r="AJ279">
        <f>IF(COUNT($AI$266:$AI$279)&lt;14,"",AVERAGE($AI$266:$AI$279))</f>
        <v>0</v>
      </c>
      <c r="AK279">
        <f>IF(COUNT($E$2:$E279)&lt;20,"",AVERAGE($E$260:$E$279))</f>
        <v>0</v>
      </c>
      <c r="AL279">
        <f>IF(COUNT($E$2:$E279)&lt;20,"",STDEVP($E$260:$E$279))</f>
        <v>0</v>
      </c>
      <c r="AM279">
        <f>IF(AK279="","",AK279+2*AL279)</f>
        <v>0</v>
      </c>
      <c r="AN279">
        <f>IF(AK279="","",AK279-2*AL279)</f>
        <v>0</v>
      </c>
      <c r="AO279">
        <f>IF(OR(AM279="",AN279="",AM279=AN279),"",($E279-AN279)/(AM279-AN279))</f>
        <v>0</v>
      </c>
      <c r="AP279">
        <f>IF(OR(AM279="",AK279="",AK279=0),"",(AM279-AN279)/AK279)</f>
        <v>0</v>
      </c>
      <c r="AQ279">
        <f>IF(COUNT($E$2:$E279)&lt;20,"",MAX($C$260:$C$279))</f>
        <v>0</v>
      </c>
      <c r="AR279">
        <f>IF(COUNT($E$2:$E279)&lt;20,"",MIN($D$260:$D$279))</f>
        <v>0</v>
      </c>
      <c r="AS279">
        <f>IF(OR(AQ279="",AR279=""),"",(AQ279+AR279)/2)</f>
        <v>0</v>
      </c>
      <c r="AT279">
        <f>IF(COUNT($G$260:$G$279)&lt;20,"",STDEV($G$260:$G$279)*SQRT(52))</f>
        <v>0</v>
      </c>
      <c r="AU279">
        <f>IF(COUNT($E$2:$E279)&lt;9,"",(MAX($C$271:$C$279)+MIN($D$271:$D$279))/2)</f>
        <v>0</v>
      </c>
      <c r="AV279">
        <f>IF(COUNT($E$2:$E279)&lt;26,"",(MAX($C$254:$C$279)+MIN($D$254:$D$279))/2)</f>
        <v>0</v>
      </c>
      <c r="AW279">
        <f>IF(OR(AU279="",AV279=""),"",(AU279+AV279)/2)</f>
        <v>0</v>
      </c>
      <c r="AX279">
        <f>IF(COUNT($E$2:$E279)&lt;52,"",(MAX($C$228:$C$279)+MIN($D$228:$D$279))/2)</f>
        <v>0</v>
      </c>
      <c r="AY279">
        <f>IF(COUNT($E$2:$E279)&lt;20,"",MAX($C$180:$C$279))</f>
        <v>0</v>
      </c>
      <c r="AZ279">
        <f>IF(COUNT($E$2:$E279)&lt;20,"",MIN($D$180:$D$279))</f>
        <v>0</v>
      </c>
      <c r="BA279">
        <f>IF(COUNT($E$2:$E279)&lt;20,"",SLOPE($E$180:$E$279,$F$180:$F$279))</f>
        <v>0</v>
      </c>
      <c r="BB279">
        <f>IF(COUNT($E$2:$E279)&lt;20,"",INTERCEPT($E$180:$E$279,$F$180:$F$279))</f>
        <v>0</v>
      </c>
      <c r="BC279">
        <f>IF(OR(BA279="",BB279=""),"",BB279+BA279*F279)</f>
        <v>0</v>
      </c>
      <c r="BD279">
        <f>IF(COUNT($E$2:$E279)&lt;20,"",STEYX($E$180:$E$279,$F$180:$F$279))</f>
        <v>0</v>
      </c>
      <c r="BE279">
        <f>IF($E279="","",IF(AND(COUNT($E$280:$E$283)&gt;=4,$C279=MAX($C$275:$C$283)),$C279,""))</f>
        <v>0</v>
      </c>
      <c r="BF279">
        <f>IF($E279="","",IF(AND(COUNT($E$280:$E$283)&gt;=4,$D279=MIN($D$275:$D$283)),$D279,""))</f>
        <v>0</v>
      </c>
      <c r="BG279">
        <f>IFERROR(SMALL(Calc_Daily!$BM$2:$BM$2001,278),"")</f>
        <v>0</v>
      </c>
    </row>
    <row r="280" spans="1:59">
      <c r="A280" s="27">
        <f>IF($BG280="","",INDEX(Calc_Daily!$A$2:$A$2001,$BG280))</f>
        <v>0</v>
      </c>
      <c r="B280">
        <f>IF($BG280="","",INDEX(Calc_Daily!$BJ$2:$BJ$2001,$BG280))</f>
        <v>0</v>
      </c>
      <c r="C280">
        <f>IF($BG280="","",INDEX(Calc_Daily!$BK$2:$BK$2001,$BG280))</f>
        <v>0</v>
      </c>
      <c r="D280">
        <f>IF($BG280="","",INDEX(Calc_Daily!$BL$2:$BL$2001,$BG280))</f>
        <v>0</v>
      </c>
      <c r="E280">
        <f>IF($BG280="","",INDEX(Calc_Daily!$E$2:$E$2001,$BG280))</f>
        <v>0</v>
      </c>
      <c r="F280">
        <f>IF($E280="","",N(F279)+1)</f>
        <v>0</v>
      </c>
      <c r="G280">
        <f>IF(OR($E280="",$E279=""),"",LN($E280/$E279))</f>
        <v>0</v>
      </c>
      <c r="H280">
        <f>IF($E280="","",IF($E279="",$E280,$E280*0.0952380952+H279*0.9047619048))</f>
        <v>0</v>
      </c>
      <c r="I280">
        <f>IF($E280="","",IF($E279="",$E280,$E280*0.0392156863+I279*0.9607843137))</f>
        <v>0</v>
      </c>
      <c r="J280">
        <f>IF($E280="","",IF($E279="",$E280,$E280*0.0198019802+J279*0.9801980198))</f>
        <v>0</v>
      </c>
      <c r="K280">
        <f>IF($E280="","",IF($E279="",$E280,$E280*0.0099502488+K279*0.9900497512))</f>
        <v>0</v>
      </c>
      <c r="L280">
        <f>IF(OR($E280="",$E279=""),"",MAX($E280-$E279,0))</f>
        <v>0</v>
      </c>
      <c r="M280">
        <f>IF(OR($E280="",$E279=""),"",MAX($E279-$E280,0))</f>
        <v>0</v>
      </c>
      <c r="N280">
        <f>IF(COUNT($E$2:$E280)&lt;15,"",IF(AVERAGE($M$267:$M$280)=0,100,100-100/(1+AVERAGE($L$267:$L$280)/AVERAGE($M$267:$M$280))))</f>
        <v>0</v>
      </c>
      <c r="O280">
        <f>IF($E280="","",IF($E279="",$E280,$E280*0.1538461538+O279*0.8461538462))</f>
        <v>0</v>
      </c>
      <c r="P280">
        <f>IF($E280="","",IF($E279="",$E280,$E280*0.0740740741+P279*0.9259259259))</f>
        <v>0</v>
      </c>
      <c r="Q280">
        <f>IF(OR(O280="",P280=""),"",O280-P280)</f>
        <v>0</v>
      </c>
      <c r="R280">
        <f>IF(Q280="","",IF(R279="",Q280,Q280*0.2000000000+R279*0.8000000000))</f>
        <v>0</v>
      </c>
      <c r="S280">
        <f>IF(OR(Q280="",R280=""),"",Q280-R280)</f>
        <v>0</v>
      </c>
      <c r="T280">
        <f>IF(COUNT($E$2:$E280)&lt;14,"",MAX($C$267:$C$280))</f>
        <v>0</v>
      </c>
      <c r="U280">
        <f>IF(COUNT($E$2:$E280)&lt;14,"",MIN($D$267:$D$280))</f>
        <v>0</v>
      </c>
      <c r="V280">
        <f>IF(OR(T280="",U280="",T280=U280),"",100*($E280-U280)/(T280-U280))</f>
        <v>0</v>
      </c>
      <c r="W280">
        <f>IF(COUNT($V$278:$V$280)&lt;3,"",AVERAGE($V$278:$V$280))</f>
        <v>0</v>
      </c>
      <c r="X280">
        <f>IF(COUNT($N$267:$N$280)&lt;14,"",MIN($N$267:$N$280))</f>
        <v>0</v>
      </c>
      <c r="Y280">
        <f>IF(COUNT($N$267:$N$280)&lt;14,"",MAX($N$267:$N$280))</f>
        <v>0</v>
      </c>
      <c r="Z280">
        <f>IF(OR(N280="",X280="",Y280="",Y280=X280),"",100*(N280-X280)/(Y280-X280))</f>
        <v>0</v>
      </c>
      <c r="AA280">
        <f>IF(COUNT($Z$278:$Z$280)&lt;3,"",AVERAGE($Z$278:$Z$280))</f>
        <v>0</v>
      </c>
      <c r="AB280">
        <f>IF(COUNT($AA$278:$AA$280)&lt;3,"",AVERAGE($AA$278:$AA$280))</f>
        <v>0</v>
      </c>
      <c r="AC280">
        <f>IF($E280="","",MAX($C280-$D280,ABS($C280-$E279),ABS($D280-$E279)))</f>
        <v>0</v>
      </c>
      <c r="AD280">
        <f>IF(COUNT($E$2:$E280)&lt;15,"",AVERAGE($AC$267:$AC$280))</f>
        <v>0</v>
      </c>
      <c r="AE280">
        <f>IF(OR($E280="",$E279=""),"",IF(AND(($C280-$C279)&gt;($D279-$D280),($C280-$C279)&gt;0),$C280-$C279,0))</f>
        <v>0</v>
      </c>
      <c r="AF280">
        <f>IF(OR($E280="",$E279=""),"",IF(AND(($D279-$D280)&gt;($C280-$C279),($D279-$D280)&gt;0),$D279-$D280,0))</f>
        <v>0</v>
      </c>
      <c r="AG280">
        <f>IF(COUNT($E$2:$E280)&lt;15,"",IF(SUM($AC$267:$AC$280)=0,0,100*SUM($AE$267:$AE$280)/SUM($AC$267:$AC$280)))</f>
        <v>0</v>
      </c>
      <c r="AH280">
        <f>IF(COUNT($E$2:$E280)&lt;15,"",IF(SUM($AC$267:$AC$280)=0,0,100*SUM($AF$267:$AF$280)/SUM($AC$267:$AC$280)))</f>
        <v>0</v>
      </c>
      <c r="AI280">
        <f>IF(OR(AG280="",AH280=""),"",IF((AG280+AH280)=0,0,100*ABS(AG280-AH280)/(AG280+AH280)))</f>
        <v>0</v>
      </c>
      <c r="AJ280">
        <f>IF(COUNT($AI$267:$AI$280)&lt;14,"",AVERAGE($AI$267:$AI$280))</f>
        <v>0</v>
      </c>
      <c r="AK280">
        <f>IF(COUNT($E$2:$E280)&lt;20,"",AVERAGE($E$261:$E$280))</f>
        <v>0</v>
      </c>
      <c r="AL280">
        <f>IF(COUNT($E$2:$E280)&lt;20,"",STDEVP($E$261:$E$280))</f>
        <v>0</v>
      </c>
      <c r="AM280">
        <f>IF(AK280="","",AK280+2*AL280)</f>
        <v>0</v>
      </c>
      <c r="AN280">
        <f>IF(AK280="","",AK280-2*AL280)</f>
        <v>0</v>
      </c>
      <c r="AO280">
        <f>IF(OR(AM280="",AN280="",AM280=AN280),"",($E280-AN280)/(AM280-AN280))</f>
        <v>0</v>
      </c>
      <c r="AP280">
        <f>IF(OR(AM280="",AK280="",AK280=0),"",(AM280-AN280)/AK280)</f>
        <v>0</v>
      </c>
      <c r="AQ280">
        <f>IF(COUNT($E$2:$E280)&lt;20,"",MAX($C$261:$C$280))</f>
        <v>0</v>
      </c>
      <c r="AR280">
        <f>IF(COUNT($E$2:$E280)&lt;20,"",MIN($D$261:$D$280))</f>
        <v>0</v>
      </c>
      <c r="AS280">
        <f>IF(OR(AQ280="",AR280=""),"",(AQ280+AR280)/2)</f>
        <v>0</v>
      </c>
      <c r="AT280">
        <f>IF(COUNT($G$261:$G$280)&lt;20,"",STDEV($G$261:$G$280)*SQRT(52))</f>
        <v>0</v>
      </c>
      <c r="AU280">
        <f>IF(COUNT($E$2:$E280)&lt;9,"",(MAX($C$272:$C$280)+MIN($D$272:$D$280))/2)</f>
        <v>0</v>
      </c>
      <c r="AV280">
        <f>IF(COUNT($E$2:$E280)&lt;26,"",(MAX($C$255:$C$280)+MIN($D$255:$D$280))/2)</f>
        <v>0</v>
      </c>
      <c r="AW280">
        <f>IF(OR(AU280="",AV280=""),"",(AU280+AV280)/2)</f>
        <v>0</v>
      </c>
      <c r="AX280">
        <f>IF(COUNT($E$2:$E280)&lt;52,"",(MAX($C$229:$C$280)+MIN($D$229:$D$280))/2)</f>
        <v>0</v>
      </c>
      <c r="AY280">
        <f>IF(COUNT($E$2:$E280)&lt;20,"",MAX($C$181:$C$280))</f>
        <v>0</v>
      </c>
      <c r="AZ280">
        <f>IF(COUNT($E$2:$E280)&lt;20,"",MIN($D$181:$D$280))</f>
        <v>0</v>
      </c>
      <c r="BA280">
        <f>IF(COUNT($E$2:$E280)&lt;20,"",SLOPE($E$181:$E$280,$F$181:$F$280))</f>
        <v>0</v>
      </c>
      <c r="BB280">
        <f>IF(COUNT($E$2:$E280)&lt;20,"",INTERCEPT($E$181:$E$280,$F$181:$F$280))</f>
        <v>0</v>
      </c>
      <c r="BC280">
        <f>IF(OR(BA280="",BB280=""),"",BB280+BA280*F280)</f>
        <v>0</v>
      </c>
      <c r="BD280">
        <f>IF(COUNT($E$2:$E280)&lt;20,"",STEYX($E$181:$E$280,$F$181:$F$280))</f>
        <v>0</v>
      </c>
      <c r="BE280">
        <f>IF($E280="","",IF(AND(COUNT($E$281:$E$284)&gt;=4,$C280=MAX($C$276:$C$284)),$C280,""))</f>
        <v>0</v>
      </c>
      <c r="BF280">
        <f>IF($E280="","",IF(AND(COUNT($E$281:$E$284)&gt;=4,$D280=MIN($D$276:$D$284)),$D280,""))</f>
        <v>0</v>
      </c>
      <c r="BG280">
        <f>IFERROR(SMALL(Calc_Daily!$BM$2:$BM$2001,279),"")</f>
        <v>0</v>
      </c>
    </row>
    <row r="281" spans="1:59">
      <c r="A281" s="27">
        <f>IF($BG281="","",INDEX(Calc_Daily!$A$2:$A$2001,$BG281))</f>
        <v>0</v>
      </c>
      <c r="B281">
        <f>IF($BG281="","",INDEX(Calc_Daily!$BJ$2:$BJ$2001,$BG281))</f>
        <v>0</v>
      </c>
      <c r="C281">
        <f>IF($BG281="","",INDEX(Calc_Daily!$BK$2:$BK$2001,$BG281))</f>
        <v>0</v>
      </c>
      <c r="D281">
        <f>IF($BG281="","",INDEX(Calc_Daily!$BL$2:$BL$2001,$BG281))</f>
        <v>0</v>
      </c>
      <c r="E281">
        <f>IF($BG281="","",INDEX(Calc_Daily!$E$2:$E$2001,$BG281))</f>
        <v>0</v>
      </c>
      <c r="F281">
        <f>IF($E281="","",N(F280)+1)</f>
        <v>0</v>
      </c>
      <c r="G281">
        <f>IF(OR($E281="",$E280=""),"",LN($E281/$E280))</f>
        <v>0</v>
      </c>
      <c r="H281">
        <f>IF($E281="","",IF($E280="",$E281,$E281*0.0952380952+H280*0.9047619048))</f>
        <v>0</v>
      </c>
      <c r="I281">
        <f>IF($E281="","",IF($E280="",$E281,$E281*0.0392156863+I280*0.9607843137))</f>
        <v>0</v>
      </c>
      <c r="J281">
        <f>IF($E281="","",IF($E280="",$E281,$E281*0.0198019802+J280*0.9801980198))</f>
        <v>0</v>
      </c>
      <c r="K281">
        <f>IF($E281="","",IF($E280="",$E281,$E281*0.0099502488+K280*0.9900497512))</f>
        <v>0</v>
      </c>
      <c r="L281">
        <f>IF(OR($E281="",$E280=""),"",MAX($E281-$E280,0))</f>
        <v>0</v>
      </c>
      <c r="M281">
        <f>IF(OR($E281="",$E280=""),"",MAX($E280-$E281,0))</f>
        <v>0</v>
      </c>
      <c r="N281">
        <f>IF(COUNT($E$2:$E281)&lt;15,"",IF(AVERAGE($M$268:$M$281)=0,100,100-100/(1+AVERAGE($L$268:$L$281)/AVERAGE($M$268:$M$281))))</f>
        <v>0</v>
      </c>
      <c r="O281">
        <f>IF($E281="","",IF($E280="",$E281,$E281*0.1538461538+O280*0.8461538462))</f>
        <v>0</v>
      </c>
      <c r="P281">
        <f>IF($E281="","",IF($E280="",$E281,$E281*0.0740740741+P280*0.9259259259))</f>
        <v>0</v>
      </c>
      <c r="Q281">
        <f>IF(OR(O281="",P281=""),"",O281-P281)</f>
        <v>0</v>
      </c>
      <c r="R281">
        <f>IF(Q281="","",IF(R280="",Q281,Q281*0.2000000000+R280*0.8000000000))</f>
        <v>0</v>
      </c>
      <c r="S281">
        <f>IF(OR(Q281="",R281=""),"",Q281-R281)</f>
        <v>0</v>
      </c>
      <c r="T281">
        <f>IF(COUNT($E$2:$E281)&lt;14,"",MAX($C$268:$C$281))</f>
        <v>0</v>
      </c>
      <c r="U281">
        <f>IF(COUNT($E$2:$E281)&lt;14,"",MIN($D$268:$D$281))</f>
        <v>0</v>
      </c>
      <c r="V281">
        <f>IF(OR(T281="",U281="",T281=U281),"",100*($E281-U281)/(T281-U281))</f>
        <v>0</v>
      </c>
      <c r="W281">
        <f>IF(COUNT($V$279:$V$281)&lt;3,"",AVERAGE($V$279:$V$281))</f>
        <v>0</v>
      </c>
      <c r="X281">
        <f>IF(COUNT($N$268:$N$281)&lt;14,"",MIN($N$268:$N$281))</f>
        <v>0</v>
      </c>
      <c r="Y281">
        <f>IF(COUNT($N$268:$N$281)&lt;14,"",MAX($N$268:$N$281))</f>
        <v>0</v>
      </c>
      <c r="Z281">
        <f>IF(OR(N281="",X281="",Y281="",Y281=X281),"",100*(N281-X281)/(Y281-X281))</f>
        <v>0</v>
      </c>
      <c r="AA281">
        <f>IF(COUNT($Z$279:$Z$281)&lt;3,"",AVERAGE($Z$279:$Z$281))</f>
        <v>0</v>
      </c>
      <c r="AB281">
        <f>IF(COUNT($AA$279:$AA$281)&lt;3,"",AVERAGE($AA$279:$AA$281))</f>
        <v>0</v>
      </c>
      <c r="AC281">
        <f>IF($E281="","",MAX($C281-$D281,ABS($C281-$E280),ABS($D281-$E280)))</f>
        <v>0</v>
      </c>
      <c r="AD281">
        <f>IF(COUNT($E$2:$E281)&lt;15,"",AVERAGE($AC$268:$AC$281))</f>
        <v>0</v>
      </c>
      <c r="AE281">
        <f>IF(OR($E281="",$E280=""),"",IF(AND(($C281-$C280)&gt;($D280-$D281),($C281-$C280)&gt;0),$C281-$C280,0))</f>
        <v>0</v>
      </c>
      <c r="AF281">
        <f>IF(OR($E281="",$E280=""),"",IF(AND(($D280-$D281)&gt;($C281-$C280),($D280-$D281)&gt;0),$D280-$D281,0))</f>
        <v>0</v>
      </c>
      <c r="AG281">
        <f>IF(COUNT($E$2:$E281)&lt;15,"",IF(SUM($AC$268:$AC$281)=0,0,100*SUM($AE$268:$AE$281)/SUM($AC$268:$AC$281)))</f>
        <v>0</v>
      </c>
      <c r="AH281">
        <f>IF(COUNT($E$2:$E281)&lt;15,"",IF(SUM($AC$268:$AC$281)=0,0,100*SUM($AF$268:$AF$281)/SUM($AC$268:$AC$281)))</f>
        <v>0</v>
      </c>
      <c r="AI281">
        <f>IF(OR(AG281="",AH281=""),"",IF((AG281+AH281)=0,0,100*ABS(AG281-AH281)/(AG281+AH281)))</f>
        <v>0</v>
      </c>
      <c r="AJ281">
        <f>IF(COUNT($AI$268:$AI$281)&lt;14,"",AVERAGE($AI$268:$AI$281))</f>
        <v>0</v>
      </c>
      <c r="AK281">
        <f>IF(COUNT($E$2:$E281)&lt;20,"",AVERAGE($E$262:$E$281))</f>
        <v>0</v>
      </c>
      <c r="AL281">
        <f>IF(COUNT($E$2:$E281)&lt;20,"",STDEVP($E$262:$E$281))</f>
        <v>0</v>
      </c>
      <c r="AM281">
        <f>IF(AK281="","",AK281+2*AL281)</f>
        <v>0</v>
      </c>
      <c r="AN281">
        <f>IF(AK281="","",AK281-2*AL281)</f>
        <v>0</v>
      </c>
      <c r="AO281">
        <f>IF(OR(AM281="",AN281="",AM281=AN281),"",($E281-AN281)/(AM281-AN281))</f>
        <v>0</v>
      </c>
      <c r="AP281">
        <f>IF(OR(AM281="",AK281="",AK281=0),"",(AM281-AN281)/AK281)</f>
        <v>0</v>
      </c>
      <c r="AQ281">
        <f>IF(COUNT($E$2:$E281)&lt;20,"",MAX($C$262:$C$281))</f>
        <v>0</v>
      </c>
      <c r="AR281">
        <f>IF(COUNT($E$2:$E281)&lt;20,"",MIN($D$262:$D$281))</f>
        <v>0</v>
      </c>
      <c r="AS281">
        <f>IF(OR(AQ281="",AR281=""),"",(AQ281+AR281)/2)</f>
        <v>0</v>
      </c>
      <c r="AT281">
        <f>IF(COUNT($G$262:$G$281)&lt;20,"",STDEV($G$262:$G$281)*SQRT(52))</f>
        <v>0</v>
      </c>
      <c r="AU281">
        <f>IF(COUNT($E$2:$E281)&lt;9,"",(MAX($C$273:$C$281)+MIN($D$273:$D$281))/2)</f>
        <v>0</v>
      </c>
      <c r="AV281">
        <f>IF(COUNT($E$2:$E281)&lt;26,"",(MAX($C$256:$C$281)+MIN($D$256:$D$281))/2)</f>
        <v>0</v>
      </c>
      <c r="AW281">
        <f>IF(OR(AU281="",AV281=""),"",(AU281+AV281)/2)</f>
        <v>0</v>
      </c>
      <c r="AX281">
        <f>IF(COUNT($E$2:$E281)&lt;52,"",(MAX($C$230:$C$281)+MIN($D$230:$D$281))/2)</f>
        <v>0</v>
      </c>
      <c r="AY281">
        <f>IF(COUNT($E$2:$E281)&lt;20,"",MAX($C$182:$C$281))</f>
        <v>0</v>
      </c>
      <c r="AZ281">
        <f>IF(COUNT($E$2:$E281)&lt;20,"",MIN($D$182:$D$281))</f>
        <v>0</v>
      </c>
      <c r="BA281">
        <f>IF(COUNT($E$2:$E281)&lt;20,"",SLOPE($E$182:$E$281,$F$182:$F$281))</f>
        <v>0</v>
      </c>
      <c r="BB281">
        <f>IF(COUNT($E$2:$E281)&lt;20,"",INTERCEPT($E$182:$E$281,$F$182:$F$281))</f>
        <v>0</v>
      </c>
      <c r="BC281">
        <f>IF(OR(BA281="",BB281=""),"",BB281+BA281*F281)</f>
        <v>0</v>
      </c>
      <c r="BD281">
        <f>IF(COUNT($E$2:$E281)&lt;20,"",STEYX($E$182:$E$281,$F$182:$F$281))</f>
        <v>0</v>
      </c>
      <c r="BE281">
        <f>IF($E281="","",IF(AND(COUNT($E$282:$E$285)&gt;=4,$C281=MAX($C$277:$C$285)),$C281,""))</f>
        <v>0</v>
      </c>
      <c r="BF281">
        <f>IF($E281="","",IF(AND(COUNT($E$282:$E$285)&gt;=4,$D281=MIN($D$277:$D$285)),$D281,""))</f>
        <v>0</v>
      </c>
      <c r="BG281">
        <f>IFERROR(SMALL(Calc_Daily!$BM$2:$BM$2001,280),"")</f>
        <v>0</v>
      </c>
    </row>
    <row r="282" spans="1:59">
      <c r="A282" s="27">
        <f>IF($BG282="","",INDEX(Calc_Daily!$A$2:$A$2001,$BG282))</f>
        <v>0</v>
      </c>
      <c r="B282">
        <f>IF($BG282="","",INDEX(Calc_Daily!$BJ$2:$BJ$2001,$BG282))</f>
        <v>0</v>
      </c>
      <c r="C282">
        <f>IF($BG282="","",INDEX(Calc_Daily!$BK$2:$BK$2001,$BG282))</f>
        <v>0</v>
      </c>
      <c r="D282">
        <f>IF($BG282="","",INDEX(Calc_Daily!$BL$2:$BL$2001,$BG282))</f>
        <v>0</v>
      </c>
      <c r="E282">
        <f>IF($BG282="","",INDEX(Calc_Daily!$E$2:$E$2001,$BG282))</f>
        <v>0</v>
      </c>
      <c r="F282">
        <f>IF($E282="","",N(F281)+1)</f>
        <v>0</v>
      </c>
      <c r="G282">
        <f>IF(OR($E282="",$E281=""),"",LN($E282/$E281))</f>
        <v>0</v>
      </c>
      <c r="H282">
        <f>IF($E282="","",IF($E281="",$E282,$E282*0.0952380952+H281*0.9047619048))</f>
        <v>0</v>
      </c>
      <c r="I282">
        <f>IF($E282="","",IF($E281="",$E282,$E282*0.0392156863+I281*0.9607843137))</f>
        <v>0</v>
      </c>
      <c r="J282">
        <f>IF($E282="","",IF($E281="",$E282,$E282*0.0198019802+J281*0.9801980198))</f>
        <v>0</v>
      </c>
      <c r="K282">
        <f>IF($E282="","",IF($E281="",$E282,$E282*0.0099502488+K281*0.9900497512))</f>
        <v>0</v>
      </c>
      <c r="L282">
        <f>IF(OR($E282="",$E281=""),"",MAX($E282-$E281,0))</f>
        <v>0</v>
      </c>
      <c r="M282">
        <f>IF(OR($E282="",$E281=""),"",MAX($E281-$E282,0))</f>
        <v>0</v>
      </c>
      <c r="N282">
        <f>IF(COUNT($E$2:$E282)&lt;15,"",IF(AVERAGE($M$269:$M$282)=0,100,100-100/(1+AVERAGE($L$269:$L$282)/AVERAGE($M$269:$M$282))))</f>
        <v>0</v>
      </c>
      <c r="O282">
        <f>IF($E282="","",IF($E281="",$E282,$E282*0.1538461538+O281*0.8461538462))</f>
        <v>0</v>
      </c>
      <c r="P282">
        <f>IF($E282="","",IF($E281="",$E282,$E282*0.0740740741+P281*0.9259259259))</f>
        <v>0</v>
      </c>
      <c r="Q282">
        <f>IF(OR(O282="",P282=""),"",O282-P282)</f>
        <v>0</v>
      </c>
      <c r="R282">
        <f>IF(Q282="","",IF(R281="",Q282,Q282*0.2000000000+R281*0.8000000000))</f>
        <v>0</v>
      </c>
      <c r="S282">
        <f>IF(OR(Q282="",R282=""),"",Q282-R282)</f>
        <v>0</v>
      </c>
      <c r="T282">
        <f>IF(COUNT($E$2:$E282)&lt;14,"",MAX($C$269:$C$282))</f>
        <v>0</v>
      </c>
      <c r="U282">
        <f>IF(COUNT($E$2:$E282)&lt;14,"",MIN($D$269:$D$282))</f>
        <v>0</v>
      </c>
      <c r="V282">
        <f>IF(OR(T282="",U282="",T282=U282),"",100*($E282-U282)/(T282-U282))</f>
        <v>0</v>
      </c>
      <c r="W282">
        <f>IF(COUNT($V$280:$V$282)&lt;3,"",AVERAGE($V$280:$V$282))</f>
        <v>0</v>
      </c>
      <c r="X282">
        <f>IF(COUNT($N$269:$N$282)&lt;14,"",MIN($N$269:$N$282))</f>
        <v>0</v>
      </c>
      <c r="Y282">
        <f>IF(COUNT($N$269:$N$282)&lt;14,"",MAX($N$269:$N$282))</f>
        <v>0</v>
      </c>
      <c r="Z282">
        <f>IF(OR(N282="",X282="",Y282="",Y282=X282),"",100*(N282-X282)/(Y282-X282))</f>
        <v>0</v>
      </c>
      <c r="AA282">
        <f>IF(COUNT($Z$280:$Z$282)&lt;3,"",AVERAGE($Z$280:$Z$282))</f>
        <v>0</v>
      </c>
      <c r="AB282">
        <f>IF(COUNT($AA$280:$AA$282)&lt;3,"",AVERAGE($AA$280:$AA$282))</f>
        <v>0</v>
      </c>
      <c r="AC282">
        <f>IF($E282="","",MAX($C282-$D282,ABS($C282-$E281),ABS($D282-$E281)))</f>
        <v>0</v>
      </c>
      <c r="AD282">
        <f>IF(COUNT($E$2:$E282)&lt;15,"",AVERAGE($AC$269:$AC$282))</f>
        <v>0</v>
      </c>
      <c r="AE282">
        <f>IF(OR($E282="",$E281=""),"",IF(AND(($C282-$C281)&gt;($D281-$D282),($C282-$C281)&gt;0),$C282-$C281,0))</f>
        <v>0</v>
      </c>
      <c r="AF282">
        <f>IF(OR($E282="",$E281=""),"",IF(AND(($D281-$D282)&gt;($C282-$C281),($D281-$D282)&gt;0),$D281-$D282,0))</f>
        <v>0</v>
      </c>
      <c r="AG282">
        <f>IF(COUNT($E$2:$E282)&lt;15,"",IF(SUM($AC$269:$AC$282)=0,0,100*SUM($AE$269:$AE$282)/SUM($AC$269:$AC$282)))</f>
        <v>0</v>
      </c>
      <c r="AH282">
        <f>IF(COUNT($E$2:$E282)&lt;15,"",IF(SUM($AC$269:$AC$282)=0,0,100*SUM($AF$269:$AF$282)/SUM($AC$269:$AC$282)))</f>
        <v>0</v>
      </c>
      <c r="AI282">
        <f>IF(OR(AG282="",AH282=""),"",IF((AG282+AH282)=0,0,100*ABS(AG282-AH282)/(AG282+AH282)))</f>
        <v>0</v>
      </c>
      <c r="AJ282">
        <f>IF(COUNT($AI$269:$AI$282)&lt;14,"",AVERAGE($AI$269:$AI$282))</f>
        <v>0</v>
      </c>
      <c r="AK282">
        <f>IF(COUNT($E$2:$E282)&lt;20,"",AVERAGE($E$263:$E$282))</f>
        <v>0</v>
      </c>
      <c r="AL282">
        <f>IF(COUNT($E$2:$E282)&lt;20,"",STDEVP($E$263:$E$282))</f>
        <v>0</v>
      </c>
      <c r="AM282">
        <f>IF(AK282="","",AK282+2*AL282)</f>
        <v>0</v>
      </c>
      <c r="AN282">
        <f>IF(AK282="","",AK282-2*AL282)</f>
        <v>0</v>
      </c>
      <c r="AO282">
        <f>IF(OR(AM282="",AN282="",AM282=AN282),"",($E282-AN282)/(AM282-AN282))</f>
        <v>0</v>
      </c>
      <c r="AP282">
        <f>IF(OR(AM282="",AK282="",AK282=0),"",(AM282-AN282)/AK282)</f>
        <v>0</v>
      </c>
      <c r="AQ282">
        <f>IF(COUNT($E$2:$E282)&lt;20,"",MAX($C$263:$C$282))</f>
        <v>0</v>
      </c>
      <c r="AR282">
        <f>IF(COUNT($E$2:$E282)&lt;20,"",MIN($D$263:$D$282))</f>
        <v>0</v>
      </c>
      <c r="AS282">
        <f>IF(OR(AQ282="",AR282=""),"",(AQ282+AR282)/2)</f>
        <v>0</v>
      </c>
      <c r="AT282">
        <f>IF(COUNT($G$263:$G$282)&lt;20,"",STDEV($G$263:$G$282)*SQRT(52))</f>
        <v>0</v>
      </c>
      <c r="AU282">
        <f>IF(COUNT($E$2:$E282)&lt;9,"",(MAX($C$274:$C$282)+MIN($D$274:$D$282))/2)</f>
        <v>0</v>
      </c>
      <c r="AV282">
        <f>IF(COUNT($E$2:$E282)&lt;26,"",(MAX($C$257:$C$282)+MIN($D$257:$D$282))/2)</f>
        <v>0</v>
      </c>
      <c r="AW282">
        <f>IF(OR(AU282="",AV282=""),"",(AU282+AV282)/2)</f>
        <v>0</v>
      </c>
      <c r="AX282">
        <f>IF(COUNT($E$2:$E282)&lt;52,"",(MAX($C$231:$C$282)+MIN($D$231:$D$282))/2)</f>
        <v>0</v>
      </c>
      <c r="AY282">
        <f>IF(COUNT($E$2:$E282)&lt;20,"",MAX($C$183:$C$282))</f>
        <v>0</v>
      </c>
      <c r="AZ282">
        <f>IF(COUNT($E$2:$E282)&lt;20,"",MIN($D$183:$D$282))</f>
        <v>0</v>
      </c>
      <c r="BA282">
        <f>IF(COUNT($E$2:$E282)&lt;20,"",SLOPE($E$183:$E$282,$F$183:$F$282))</f>
        <v>0</v>
      </c>
      <c r="BB282">
        <f>IF(COUNT($E$2:$E282)&lt;20,"",INTERCEPT($E$183:$E$282,$F$183:$F$282))</f>
        <v>0</v>
      </c>
      <c r="BC282">
        <f>IF(OR(BA282="",BB282=""),"",BB282+BA282*F282)</f>
        <v>0</v>
      </c>
      <c r="BD282">
        <f>IF(COUNT($E$2:$E282)&lt;20,"",STEYX($E$183:$E$282,$F$183:$F$282))</f>
        <v>0</v>
      </c>
      <c r="BE282">
        <f>IF($E282="","",IF(AND(COUNT($E$283:$E$286)&gt;=4,$C282=MAX($C$278:$C$286)),$C282,""))</f>
        <v>0</v>
      </c>
      <c r="BF282">
        <f>IF($E282="","",IF(AND(COUNT($E$283:$E$286)&gt;=4,$D282=MIN($D$278:$D$286)),$D282,""))</f>
        <v>0</v>
      </c>
      <c r="BG282">
        <f>IFERROR(SMALL(Calc_Daily!$BM$2:$BM$2001,281),"")</f>
        <v>0</v>
      </c>
    </row>
    <row r="283" spans="1:59">
      <c r="A283" s="27">
        <f>IF($BG283="","",INDEX(Calc_Daily!$A$2:$A$2001,$BG283))</f>
        <v>0</v>
      </c>
      <c r="B283">
        <f>IF($BG283="","",INDEX(Calc_Daily!$BJ$2:$BJ$2001,$BG283))</f>
        <v>0</v>
      </c>
      <c r="C283">
        <f>IF($BG283="","",INDEX(Calc_Daily!$BK$2:$BK$2001,$BG283))</f>
        <v>0</v>
      </c>
      <c r="D283">
        <f>IF($BG283="","",INDEX(Calc_Daily!$BL$2:$BL$2001,$BG283))</f>
        <v>0</v>
      </c>
      <c r="E283">
        <f>IF($BG283="","",INDEX(Calc_Daily!$E$2:$E$2001,$BG283))</f>
        <v>0</v>
      </c>
      <c r="F283">
        <f>IF($E283="","",N(F282)+1)</f>
        <v>0</v>
      </c>
      <c r="G283">
        <f>IF(OR($E283="",$E282=""),"",LN($E283/$E282))</f>
        <v>0</v>
      </c>
      <c r="H283">
        <f>IF($E283="","",IF($E282="",$E283,$E283*0.0952380952+H282*0.9047619048))</f>
        <v>0</v>
      </c>
      <c r="I283">
        <f>IF($E283="","",IF($E282="",$E283,$E283*0.0392156863+I282*0.9607843137))</f>
        <v>0</v>
      </c>
      <c r="J283">
        <f>IF($E283="","",IF($E282="",$E283,$E283*0.0198019802+J282*0.9801980198))</f>
        <v>0</v>
      </c>
      <c r="K283">
        <f>IF($E283="","",IF($E282="",$E283,$E283*0.0099502488+K282*0.9900497512))</f>
        <v>0</v>
      </c>
      <c r="L283">
        <f>IF(OR($E283="",$E282=""),"",MAX($E283-$E282,0))</f>
        <v>0</v>
      </c>
      <c r="M283">
        <f>IF(OR($E283="",$E282=""),"",MAX($E282-$E283,0))</f>
        <v>0</v>
      </c>
      <c r="N283">
        <f>IF(COUNT($E$2:$E283)&lt;15,"",IF(AVERAGE($M$270:$M$283)=0,100,100-100/(1+AVERAGE($L$270:$L$283)/AVERAGE($M$270:$M$283))))</f>
        <v>0</v>
      </c>
      <c r="O283">
        <f>IF($E283="","",IF($E282="",$E283,$E283*0.1538461538+O282*0.8461538462))</f>
        <v>0</v>
      </c>
      <c r="P283">
        <f>IF($E283="","",IF($E282="",$E283,$E283*0.0740740741+P282*0.9259259259))</f>
        <v>0</v>
      </c>
      <c r="Q283">
        <f>IF(OR(O283="",P283=""),"",O283-P283)</f>
        <v>0</v>
      </c>
      <c r="R283">
        <f>IF(Q283="","",IF(R282="",Q283,Q283*0.2000000000+R282*0.8000000000))</f>
        <v>0</v>
      </c>
      <c r="S283">
        <f>IF(OR(Q283="",R283=""),"",Q283-R283)</f>
        <v>0</v>
      </c>
      <c r="T283">
        <f>IF(COUNT($E$2:$E283)&lt;14,"",MAX($C$270:$C$283))</f>
        <v>0</v>
      </c>
      <c r="U283">
        <f>IF(COUNT($E$2:$E283)&lt;14,"",MIN($D$270:$D$283))</f>
        <v>0</v>
      </c>
      <c r="V283">
        <f>IF(OR(T283="",U283="",T283=U283),"",100*($E283-U283)/(T283-U283))</f>
        <v>0</v>
      </c>
      <c r="W283">
        <f>IF(COUNT($V$281:$V$283)&lt;3,"",AVERAGE($V$281:$V$283))</f>
        <v>0</v>
      </c>
      <c r="X283">
        <f>IF(COUNT($N$270:$N$283)&lt;14,"",MIN($N$270:$N$283))</f>
        <v>0</v>
      </c>
      <c r="Y283">
        <f>IF(COUNT($N$270:$N$283)&lt;14,"",MAX($N$270:$N$283))</f>
        <v>0</v>
      </c>
      <c r="Z283">
        <f>IF(OR(N283="",X283="",Y283="",Y283=X283),"",100*(N283-X283)/(Y283-X283))</f>
        <v>0</v>
      </c>
      <c r="AA283">
        <f>IF(COUNT($Z$281:$Z$283)&lt;3,"",AVERAGE($Z$281:$Z$283))</f>
        <v>0</v>
      </c>
      <c r="AB283">
        <f>IF(COUNT($AA$281:$AA$283)&lt;3,"",AVERAGE($AA$281:$AA$283))</f>
        <v>0</v>
      </c>
      <c r="AC283">
        <f>IF($E283="","",MAX($C283-$D283,ABS($C283-$E282),ABS($D283-$E282)))</f>
        <v>0</v>
      </c>
      <c r="AD283">
        <f>IF(COUNT($E$2:$E283)&lt;15,"",AVERAGE($AC$270:$AC$283))</f>
        <v>0</v>
      </c>
      <c r="AE283">
        <f>IF(OR($E283="",$E282=""),"",IF(AND(($C283-$C282)&gt;($D282-$D283),($C283-$C282)&gt;0),$C283-$C282,0))</f>
        <v>0</v>
      </c>
      <c r="AF283">
        <f>IF(OR($E283="",$E282=""),"",IF(AND(($D282-$D283)&gt;($C283-$C282),($D282-$D283)&gt;0),$D282-$D283,0))</f>
        <v>0</v>
      </c>
      <c r="AG283">
        <f>IF(COUNT($E$2:$E283)&lt;15,"",IF(SUM($AC$270:$AC$283)=0,0,100*SUM($AE$270:$AE$283)/SUM($AC$270:$AC$283)))</f>
        <v>0</v>
      </c>
      <c r="AH283">
        <f>IF(COUNT($E$2:$E283)&lt;15,"",IF(SUM($AC$270:$AC$283)=0,0,100*SUM($AF$270:$AF$283)/SUM($AC$270:$AC$283)))</f>
        <v>0</v>
      </c>
      <c r="AI283">
        <f>IF(OR(AG283="",AH283=""),"",IF((AG283+AH283)=0,0,100*ABS(AG283-AH283)/(AG283+AH283)))</f>
        <v>0</v>
      </c>
      <c r="AJ283">
        <f>IF(COUNT($AI$270:$AI$283)&lt;14,"",AVERAGE($AI$270:$AI$283))</f>
        <v>0</v>
      </c>
      <c r="AK283">
        <f>IF(COUNT($E$2:$E283)&lt;20,"",AVERAGE($E$264:$E$283))</f>
        <v>0</v>
      </c>
      <c r="AL283">
        <f>IF(COUNT($E$2:$E283)&lt;20,"",STDEVP($E$264:$E$283))</f>
        <v>0</v>
      </c>
      <c r="AM283">
        <f>IF(AK283="","",AK283+2*AL283)</f>
        <v>0</v>
      </c>
      <c r="AN283">
        <f>IF(AK283="","",AK283-2*AL283)</f>
        <v>0</v>
      </c>
      <c r="AO283">
        <f>IF(OR(AM283="",AN283="",AM283=AN283),"",($E283-AN283)/(AM283-AN283))</f>
        <v>0</v>
      </c>
      <c r="AP283">
        <f>IF(OR(AM283="",AK283="",AK283=0),"",(AM283-AN283)/AK283)</f>
        <v>0</v>
      </c>
      <c r="AQ283">
        <f>IF(COUNT($E$2:$E283)&lt;20,"",MAX($C$264:$C$283))</f>
        <v>0</v>
      </c>
      <c r="AR283">
        <f>IF(COUNT($E$2:$E283)&lt;20,"",MIN($D$264:$D$283))</f>
        <v>0</v>
      </c>
      <c r="AS283">
        <f>IF(OR(AQ283="",AR283=""),"",(AQ283+AR283)/2)</f>
        <v>0</v>
      </c>
      <c r="AT283">
        <f>IF(COUNT($G$264:$G$283)&lt;20,"",STDEV($G$264:$G$283)*SQRT(52))</f>
        <v>0</v>
      </c>
      <c r="AU283">
        <f>IF(COUNT($E$2:$E283)&lt;9,"",(MAX($C$275:$C$283)+MIN($D$275:$D$283))/2)</f>
        <v>0</v>
      </c>
      <c r="AV283">
        <f>IF(COUNT($E$2:$E283)&lt;26,"",(MAX($C$258:$C$283)+MIN($D$258:$D$283))/2)</f>
        <v>0</v>
      </c>
      <c r="AW283">
        <f>IF(OR(AU283="",AV283=""),"",(AU283+AV283)/2)</f>
        <v>0</v>
      </c>
      <c r="AX283">
        <f>IF(COUNT($E$2:$E283)&lt;52,"",(MAX($C$232:$C$283)+MIN($D$232:$D$283))/2)</f>
        <v>0</v>
      </c>
      <c r="AY283">
        <f>IF(COUNT($E$2:$E283)&lt;20,"",MAX($C$184:$C$283))</f>
        <v>0</v>
      </c>
      <c r="AZ283">
        <f>IF(COUNT($E$2:$E283)&lt;20,"",MIN($D$184:$D$283))</f>
        <v>0</v>
      </c>
      <c r="BA283">
        <f>IF(COUNT($E$2:$E283)&lt;20,"",SLOPE($E$184:$E$283,$F$184:$F$283))</f>
        <v>0</v>
      </c>
      <c r="BB283">
        <f>IF(COUNT($E$2:$E283)&lt;20,"",INTERCEPT($E$184:$E$283,$F$184:$F$283))</f>
        <v>0</v>
      </c>
      <c r="BC283">
        <f>IF(OR(BA283="",BB283=""),"",BB283+BA283*F283)</f>
        <v>0</v>
      </c>
      <c r="BD283">
        <f>IF(COUNT($E$2:$E283)&lt;20,"",STEYX($E$184:$E$283,$F$184:$F$283))</f>
        <v>0</v>
      </c>
      <c r="BE283">
        <f>IF($E283="","",IF(AND(COUNT($E$284:$E$287)&gt;=4,$C283=MAX($C$279:$C$287)),$C283,""))</f>
        <v>0</v>
      </c>
      <c r="BF283">
        <f>IF($E283="","",IF(AND(COUNT($E$284:$E$287)&gt;=4,$D283=MIN($D$279:$D$287)),$D283,""))</f>
        <v>0</v>
      </c>
      <c r="BG283">
        <f>IFERROR(SMALL(Calc_Daily!$BM$2:$BM$2001,282),"")</f>
        <v>0</v>
      </c>
    </row>
    <row r="284" spans="1:59">
      <c r="A284" s="27">
        <f>IF($BG284="","",INDEX(Calc_Daily!$A$2:$A$2001,$BG284))</f>
        <v>0</v>
      </c>
      <c r="B284">
        <f>IF($BG284="","",INDEX(Calc_Daily!$BJ$2:$BJ$2001,$BG284))</f>
        <v>0</v>
      </c>
      <c r="C284">
        <f>IF($BG284="","",INDEX(Calc_Daily!$BK$2:$BK$2001,$BG284))</f>
        <v>0</v>
      </c>
      <c r="D284">
        <f>IF($BG284="","",INDEX(Calc_Daily!$BL$2:$BL$2001,$BG284))</f>
        <v>0</v>
      </c>
      <c r="E284">
        <f>IF($BG284="","",INDEX(Calc_Daily!$E$2:$E$2001,$BG284))</f>
        <v>0</v>
      </c>
      <c r="F284">
        <f>IF($E284="","",N(F283)+1)</f>
        <v>0</v>
      </c>
      <c r="G284">
        <f>IF(OR($E284="",$E283=""),"",LN($E284/$E283))</f>
        <v>0</v>
      </c>
      <c r="H284">
        <f>IF($E284="","",IF($E283="",$E284,$E284*0.0952380952+H283*0.9047619048))</f>
        <v>0</v>
      </c>
      <c r="I284">
        <f>IF($E284="","",IF($E283="",$E284,$E284*0.0392156863+I283*0.9607843137))</f>
        <v>0</v>
      </c>
      <c r="J284">
        <f>IF($E284="","",IF($E283="",$E284,$E284*0.0198019802+J283*0.9801980198))</f>
        <v>0</v>
      </c>
      <c r="K284">
        <f>IF($E284="","",IF($E283="",$E284,$E284*0.0099502488+K283*0.9900497512))</f>
        <v>0</v>
      </c>
      <c r="L284">
        <f>IF(OR($E284="",$E283=""),"",MAX($E284-$E283,0))</f>
        <v>0</v>
      </c>
      <c r="M284">
        <f>IF(OR($E284="",$E283=""),"",MAX($E283-$E284,0))</f>
        <v>0</v>
      </c>
      <c r="N284">
        <f>IF(COUNT($E$2:$E284)&lt;15,"",IF(AVERAGE($M$271:$M$284)=0,100,100-100/(1+AVERAGE($L$271:$L$284)/AVERAGE($M$271:$M$284))))</f>
        <v>0</v>
      </c>
      <c r="O284">
        <f>IF($E284="","",IF($E283="",$E284,$E284*0.1538461538+O283*0.8461538462))</f>
        <v>0</v>
      </c>
      <c r="P284">
        <f>IF($E284="","",IF($E283="",$E284,$E284*0.0740740741+P283*0.9259259259))</f>
        <v>0</v>
      </c>
      <c r="Q284">
        <f>IF(OR(O284="",P284=""),"",O284-P284)</f>
        <v>0</v>
      </c>
      <c r="R284">
        <f>IF(Q284="","",IF(R283="",Q284,Q284*0.2000000000+R283*0.8000000000))</f>
        <v>0</v>
      </c>
      <c r="S284">
        <f>IF(OR(Q284="",R284=""),"",Q284-R284)</f>
        <v>0</v>
      </c>
      <c r="T284">
        <f>IF(COUNT($E$2:$E284)&lt;14,"",MAX($C$271:$C$284))</f>
        <v>0</v>
      </c>
      <c r="U284">
        <f>IF(COUNT($E$2:$E284)&lt;14,"",MIN($D$271:$D$284))</f>
        <v>0</v>
      </c>
      <c r="V284">
        <f>IF(OR(T284="",U284="",T284=U284),"",100*($E284-U284)/(T284-U284))</f>
        <v>0</v>
      </c>
      <c r="W284">
        <f>IF(COUNT($V$282:$V$284)&lt;3,"",AVERAGE($V$282:$V$284))</f>
        <v>0</v>
      </c>
      <c r="X284">
        <f>IF(COUNT($N$271:$N$284)&lt;14,"",MIN($N$271:$N$284))</f>
        <v>0</v>
      </c>
      <c r="Y284">
        <f>IF(COUNT($N$271:$N$284)&lt;14,"",MAX($N$271:$N$284))</f>
        <v>0</v>
      </c>
      <c r="Z284">
        <f>IF(OR(N284="",X284="",Y284="",Y284=X284),"",100*(N284-X284)/(Y284-X284))</f>
        <v>0</v>
      </c>
      <c r="AA284">
        <f>IF(COUNT($Z$282:$Z$284)&lt;3,"",AVERAGE($Z$282:$Z$284))</f>
        <v>0</v>
      </c>
      <c r="AB284">
        <f>IF(COUNT($AA$282:$AA$284)&lt;3,"",AVERAGE($AA$282:$AA$284))</f>
        <v>0</v>
      </c>
      <c r="AC284">
        <f>IF($E284="","",MAX($C284-$D284,ABS($C284-$E283),ABS($D284-$E283)))</f>
        <v>0</v>
      </c>
      <c r="AD284">
        <f>IF(COUNT($E$2:$E284)&lt;15,"",AVERAGE($AC$271:$AC$284))</f>
        <v>0</v>
      </c>
      <c r="AE284">
        <f>IF(OR($E284="",$E283=""),"",IF(AND(($C284-$C283)&gt;($D283-$D284),($C284-$C283)&gt;0),$C284-$C283,0))</f>
        <v>0</v>
      </c>
      <c r="AF284">
        <f>IF(OR($E284="",$E283=""),"",IF(AND(($D283-$D284)&gt;($C284-$C283),($D283-$D284)&gt;0),$D283-$D284,0))</f>
        <v>0</v>
      </c>
      <c r="AG284">
        <f>IF(COUNT($E$2:$E284)&lt;15,"",IF(SUM($AC$271:$AC$284)=0,0,100*SUM($AE$271:$AE$284)/SUM($AC$271:$AC$284)))</f>
        <v>0</v>
      </c>
      <c r="AH284">
        <f>IF(COUNT($E$2:$E284)&lt;15,"",IF(SUM($AC$271:$AC$284)=0,0,100*SUM($AF$271:$AF$284)/SUM($AC$271:$AC$284)))</f>
        <v>0</v>
      </c>
      <c r="AI284">
        <f>IF(OR(AG284="",AH284=""),"",IF((AG284+AH284)=0,0,100*ABS(AG284-AH284)/(AG284+AH284)))</f>
        <v>0</v>
      </c>
      <c r="AJ284">
        <f>IF(COUNT($AI$271:$AI$284)&lt;14,"",AVERAGE($AI$271:$AI$284))</f>
        <v>0</v>
      </c>
      <c r="AK284">
        <f>IF(COUNT($E$2:$E284)&lt;20,"",AVERAGE($E$265:$E$284))</f>
        <v>0</v>
      </c>
      <c r="AL284">
        <f>IF(COUNT($E$2:$E284)&lt;20,"",STDEVP($E$265:$E$284))</f>
        <v>0</v>
      </c>
      <c r="AM284">
        <f>IF(AK284="","",AK284+2*AL284)</f>
        <v>0</v>
      </c>
      <c r="AN284">
        <f>IF(AK284="","",AK284-2*AL284)</f>
        <v>0</v>
      </c>
      <c r="AO284">
        <f>IF(OR(AM284="",AN284="",AM284=AN284),"",($E284-AN284)/(AM284-AN284))</f>
        <v>0</v>
      </c>
      <c r="AP284">
        <f>IF(OR(AM284="",AK284="",AK284=0),"",(AM284-AN284)/AK284)</f>
        <v>0</v>
      </c>
      <c r="AQ284">
        <f>IF(COUNT($E$2:$E284)&lt;20,"",MAX($C$265:$C$284))</f>
        <v>0</v>
      </c>
      <c r="AR284">
        <f>IF(COUNT($E$2:$E284)&lt;20,"",MIN($D$265:$D$284))</f>
        <v>0</v>
      </c>
      <c r="AS284">
        <f>IF(OR(AQ284="",AR284=""),"",(AQ284+AR284)/2)</f>
        <v>0</v>
      </c>
      <c r="AT284">
        <f>IF(COUNT($G$265:$G$284)&lt;20,"",STDEV($G$265:$G$284)*SQRT(52))</f>
        <v>0</v>
      </c>
      <c r="AU284">
        <f>IF(COUNT($E$2:$E284)&lt;9,"",(MAX($C$276:$C$284)+MIN($D$276:$D$284))/2)</f>
        <v>0</v>
      </c>
      <c r="AV284">
        <f>IF(COUNT($E$2:$E284)&lt;26,"",(MAX($C$259:$C$284)+MIN($D$259:$D$284))/2)</f>
        <v>0</v>
      </c>
      <c r="AW284">
        <f>IF(OR(AU284="",AV284=""),"",(AU284+AV284)/2)</f>
        <v>0</v>
      </c>
      <c r="AX284">
        <f>IF(COUNT($E$2:$E284)&lt;52,"",(MAX($C$233:$C$284)+MIN($D$233:$D$284))/2)</f>
        <v>0</v>
      </c>
      <c r="AY284">
        <f>IF(COUNT($E$2:$E284)&lt;20,"",MAX($C$185:$C$284))</f>
        <v>0</v>
      </c>
      <c r="AZ284">
        <f>IF(COUNT($E$2:$E284)&lt;20,"",MIN($D$185:$D$284))</f>
        <v>0</v>
      </c>
      <c r="BA284">
        <f>IF(COUNT($E$2:$E284)&lt;20,"",SLOPE($E$185:$E$284,$F$185:$F$284))</f>
        <v>0</v>
      </c>
      <c r="BB284">
        <f>IF(COUNT($E$2:$E284)&lt;20,"",INTERCEPT($E$185:$E$284,$F$185:$F$284))</f>
        <v>0</v>
      </c>
      <c r="BC284">
        <f>IF(OR(BA284="",BB284=""),"",BB284+BA284*F284)</f>
        <v>0</v>
      </c>
      <c r="BD284">
        <f>IF(COUNT($E$2:$E284)&lt;20,"",STEYX($E$185:$E$284,$F$185:$F$284))</f>
        <v>0</v>
      </c>
      <c r="BE284">
        <f>IF($E284="","",IF(AND(COUNT($E$285:$E$288)&gt;=4,$C284=MAX($C$280:$C$288)),$C284,""))</f>
        <v>0</v>
      </c>
      <c r="BF284">
        <f>IF($E284="","",IF(AND(COUNT($E$285:$E$288)&gt;=4,$D284=MIN($D$280:$D$288)),$D284,""))</f>
        <v>0</v>
      </c>
      <c r="BG284">
        <f>IFERROR(SMALL(Calc_Daily!$BM$2:$BM$2001,283),"")</f>
        <v>0</v>
      </c>
    </row>
    <row r="285" spans="1:59">
      <c r="A285" s="27">
        <f>IF($BG285="","",INDEX(Calc_Daily!$A$2:$A$2001,$BG285))</f>
        <v>0</v>
      </c>
      <c r="B285">
        <f>IF($BG285="","",INDEX(Calc_Daily!$BJ$2:$BJ$2001,$BG285))</f>
        <v>0</v>
      </c>
      <c r="C285">
        <f>IF($BG285="","",INDEX(Calc_Daily!$BK$2:$BK$2001,$BG285))</f>
        <v>0</v>
      </c>
      <c r="D285">
        <f>IF($BG285="","",INDEX(Calc_Daily!$BL$2:$BL$2001,$BG285))</f>
        <v>0</v>
      </c>
      <c r="E285">
        <f>IF($BG285="","",INDEX(Calc_Daily!$E$2:$E$2001,$BG285))</f>
        <v>0</v>
      </c>
      <c r="F285">
        <f>IF($E285="","",N(F284)+1)</f>
        <v>0</v>
      </c>
      <c r="G285">
        <f>IF(OR($E285="",$E284=""),"",LN($E285/$E284))</f>
        <v>0</v>
      </c>
      <c r="H285">
        <f>IF($E285="","",IF($E284="",$E285,$E285*0.0952380952+H284*0.9047619048))</f>
        <v>0</v>
      </c>
      <c r="I285">
        <f>IF($E285="","",IF($E284="",$E285,$E285*0.0392156863+I284*0.9607843137))</f>
        <v>0</v>
      </c>
      <c r="J285">
        <f>IF($E285="","",IF($E284="",$E285,$E285*0.0198019802+J284*0.9801980198))</f>
        <v>0</v>
      </c>
      <c r="K285">
        <f>IF($E285="","",IF($E284="",$E285,$E285*0.0099502488+K284*0.9900497512))</f>
        <v>0</v>
      </c>
      <c r="L285">
        <f>IF(OR($E285="",$E284=""),"",MAX($E285-$E284,0))</f>
        <v>0</v>
      </c>
      <c r="M285">
        <f>IF(OR($E285="",$E284=""),"",MAX($E284-$E285,0))</f>
        <v>0</v>
      </c>
      <c r="N285">
        <f>IF(COUNT($E$2:$E285)&lt;15,"",IF(AVERAGE($M$272:$M$285)=0,100,100-100/(1+AVERAGE($L$272:$L$285)/AVERAGE($M$272:$M$285))))</f>
        <v>0</v>
      </c>
      <c r="O285">
        <f>IF($E285="","",IF($E284="",$E285,$E285*0.1538461538+O284*0.8461538462))</f>
        <v>0</v>
      </c>
      <c r="P285">
        <f>IF($E285="","",IF($E284="",$E285,$E285*0.0740740741+P284*0.9259259259))</f>
        <v>0</v>
      </c>
      <c r="Q285">
        <f>IF(OR(O285="",P285=""),"",O285-P285)</f>
        <v>0</v>
      </c>
      <c r="R285">
        <f>IF(Q285="","",IF(R284="",Q285,Q285*0.2000000000+R284*0.8000000000))</f>
        <v>0</v>
      </c>
      <c r="S285">
        <f>IF(OR(Q285="",R285=""),"",Q285-R285)</f>
        <v>0</v>
      </c>
      <c r="T285">
        <f>IF(COUNT($E$2:$E285)&lt;14,"",MAX($C$272:$C$285))</f>
        <v>0</v>
      </c>
      <c r="U285">
        <f>IF(COUNT($E$2:$E285)&lt;14,"",MIN($D$272:$D$285))</f>
        <v>0</v>
      </c>
      <c r="V285">
        <f>IF(OR(T285="",U285="",T285=U285),"",100*($E285-U285)/(T285-U285))</f>
        <v>0</v>
      </c>
      <c r="W285">
        <f>IF(COUNT($V$283:$V$285)&lt;3,"",AVERAGE($V$283:$V$285))</f>
        <v>0</v>
      </c>
      <c r="X285">
        <f>IF(COUNT($N$272:$N$285)&lt;14,"",MIN($N$272:$N$285))</f>
        <v>0</v>
      </c>
      <c r="Y285">
        <f>IF(COUNT($N$272:$N$285)&lt;14,"",MAX($N$272:$N$285))</f>
        <v>0</v>
      </c>
      <c r="Z285">
        <f>IF(OR(N285="",X285="",Y285="",Y285=X285),"",100*(N285-X285)/(Y285-X285))</f>
        <v>0</v>
      </c>
      <c r="AA285">
        <f>IF(COUNT($Z$283:$Z$285)&lt;3,"",AVERAGE($Z$283:$Z$285))</f>
        <v>0</v>
      </c>
      <c r="AB285">
        <f>IF(COUNT($AA$283:$AA$285)&lt;3,"",AVERAGE($AA$283:$AA$285))</f>
        <v>0</v>
      </c>
      <c r="AC285">
        <f>IF($E285="","",MAX($C285-$D285,ABS($C285-$E284),ABS($D285-$E284)))</f>
        <v>0</v>
      </c>
      <c r="AD285">
        <f>IF(COUNT($E$2:$E285)&lt;15,"",AVERAGE($AC$272:$AC$285))</f>
        <v>0</v>
      </c>
      <c r="AE285">
        <f>IF(OR($E285="",$E284=""),"",IF(AND(($C285-$C284)&gt;($D284-$D285),($C285-$C284)&gt;0),$C285-$C284,0))</f>
        <v>0</v>
      </c>
      <c r="AF285">
        <f>IF(OR($E285="",$E284=""),"",IF(AND(($D284-$D285)&gt;($C285-$C284),($D284-$D285)&gt;0),$D284-$D285,0))</f>
        <v>0</v>
      </c>
      <c r="AG285">
        <f>IF(COUNT($E$2:$E285)&lt;15,"",IF(SUM($AC$272:$AC$285)=0,0,100*SUM($AE$272:$AE$285)/SUM($AC$272:$AC$285)))</f>
        <v>0</v>
      </c>
      <c r="AH285">
        <f>IF(COUNT($E$2:$E285)&lt;15,"",IF(SUM($AC$272:$AC$285)=0,0,100*SUM($AF$272:$AF$285)/SUM($AC$272:$AC$285)))</f>
        <v>0</v>
      </c>
      <c r="AI285">
        <f>IF(OR(AG285="",AH285=""),"",IF((AG285+AH285)=0,0,100*ABS(AG285-AH285)/(AG285+AH285)))</f>
        <v>0</v>
      </c>
      <c r="AJ285">
        <f>IF(COUNT($AI$272:$AI$285)&lt;14,"",AVERAGE($AI$272:$AI$285))</f>
        <v>0</v>
      </c>
      <c r="AK285">
        <f>IF(COUNT($E$2:$E285)&lt;20,"",AVERAGE($E$266:$E$285))</f>
        <v>0</v>
      </c>
      <c r="AL285">
        <f>IF(COUNT($E$2:$E285)&lt;20,"",STDEVP($E$266:$E$285))</f>
        <v>0</v>
      </c>
      <c r="AM285">
        <f>IF(AK285="","",AK285+2*AL285)</f>
        <v>0</v>
      </c>
      <c r="AN285">
        <f>IF(AK285="","",AK285-2*AL285)</f>
        <v>0</v>
      </c>
      <c r="AO285">
        <f>IF(OR(AM285="",AN285="",AM285=AN285),"",($E285-AN285)/(AM285-AN285))</f>
        <v>0</v>
      </c>
      <c r="AP285">
        <f>IF(OR(AM285="",AK285="",AK285=0),"",(AM285-AN285)/AK285)</f>
        <v>0</v>
      </c>
      <c r="AQ285">
        <f>IF(COUNT($E$2:$E285)&lt;20,"",MAX($C$266:$C$285))</f>
        <v>0</v>
      </c>
      <c r="AR285">
        <f>IF(COUNT($E$2:$E285)&lt;20,"",MIN($D$266:$D$285))</f>
        <v>0</v>
      </c>
      <c r="AS285">
        <f>IF(OR(AQ285="",AR285=""),"",(AQ285+AR285)/2)</f>
        <v>0</v>
      </c>
      <c r="AT285">
        <f>IF(COUNT($G$266:$G$285)&lt;20,"",STDEV($G$266:$G$285)*SQRT(52))</f>
        <v>0</v>
      </c>
      <c r="AU285">
        <f>IF(COUNT($E$2:$E285)&lt;9,"",(MAX($C$277:$C$285)+MIN($D$277:$D$285))/2)</f>
        <v>0</v>
      </c>
      <c r="AV285">
        <f>IF(COUNT($E$2:$E285)&lt;26,"",(MAX($C$260:$C$285)+MIN($D$260:$D$285))/2)</f>
        <v>0</v>
      </c>
      <c r="AW285">
        <f>IF(OR(AU285="",AV285=""),"",(AU285+AV285)/2)</f>
        <v>0</v>
      </c>
      <c r="AX285">
        <f>IF(COUNT($E$2:$E285)&lt;52,"",(MAX($C$234:$C$285)+MIN($D$234:$D$285))/2)</f>
        <v>0</v>
      </c>
      <c r="AY285">
        <f>IF(COUNT($E$2:$E285)&lt;20,"",MAX($C$186:$C$285))</f>
        <v>0</v>
      </c>
      <c r="AZ285">
        <f>IF(COUNT($E$2:$E285)&lt;20,"",MIN($D$186:$D$285))</f>
        <v>0</v>
      </c>
      <c r="BA285">
        <f>IF(COUNT($E$2:$E285)&lt;20,"",SLOPE($E$186:$E$285,$F$186:$F$285))</f>
        <v>0</v>
      </c>
      <c r="BB285">
        <f>IF(COUNT($E$2:$E285)&lt;20,"",INTERCEPT($E$186:$E$285,$F$186:$F$285))</f>
        <v>0</v>
      </c>
      <c r="BC285">
        <f>IF(OR(BA285="",BB285=""),"",BB285+BA285*F285)</f>
        <v>0</v>
      </c>
      <c r="BD285">
        <f>IF(COUNT($E$2:$E285)&lt;20,"",STEYX($E$186:$E$285,$F$186:$F$285))</f>
        <v>0</v>
      </c>
      <c r="BE285">
        <f>IF($E285="","",IF(AND(COUNT($E$286:$E$289)&gt;=4,$C285=MAX($C$281:$C$289)),$C285,""))</f>
        <v>0</v>
      </c>
      <c r="BF285">
        <f>IF($E285="","",IF(AND(COUNT($E$286:$E$289)&gt;=4,$D285=MIN($D$281:$D$289)),$D285,""))</f>
        <v>0</v>
      </c>
      <c r="BG285">
        <f>IFERROR(SMALL(Calc_Daily!$BM$2:$BM$2001,284),"")</f>
        <v>0</v>
      </c>
    </row>
    <row r="286" spans="1:59">
      <c r="A286" s="27">
        <f>IF($BG286="","",INDEX(Calc_Daily!$A$2:$A$2001,$BG286))</f>
        <v>0</v>
      </c>
      <c r="B286">
        <f>IF($BG286="","",INDEX(Calc_Daily!$BJ$2:$BJ$2001,$BG286))</f>
        <v>0</v>
      </c>
      <c r="C286">
        <f>IF($BG286="","",INDEX(Calc_Daily!$BK$2:$BK$2001,$BG286))</f>
        <v>0</v>
      </c>
      <c r="D286">
        <f>IF($BG286="","",INDEX(Calc_Daily!$BL$2:$BL$2001,$BG286))</f>
        <v>0</v>
      </c>
      <c r="E286">
        <f>IF($BG286="","",INDEX(Calc_Daily!$E$2:$E$2001,$BG286))</f>
        <v>0</v>
      </c>
      <c r="F286">
        <f>IF($E286="","",N(F285)+1)</f>
        <v>0</v>
      </c>
      <c r="G286">
        <f>IF(OR($E286="",$E285=""),"",LN($E286/$E285))</f>
        <v>0</v>
      </c>
      <c r="H286">
        <f>IF($E286="","",IF($E285="",$E286,$E286*0.0952380952+H285*0.9047619048))</f>
        <v>0</v>
      </c>
      <c r="I286">
        <f>IF($E286="","",IF($E285="",$E286,$E286*0.0392156863+I285*0.9607843137))</f>
        <v>0</v>
      </c>
      <c r="J286">
        <f>IF($E286="","",IF($E285="",$E286,$E286*0.0198019802+J285*0.9801980198))</f>
        <v>0</v>
      </c>
      <c r="K286">
        <f>IF($E286="","",IF($E285="",$E286,$E286*0.0099502488+K285*0.9900497512))</f>
        <v>0</v>
      </c>
      <c r="L286">
        <f>IF(OR($E286="",$E285=""),"",MAX($E286-$E285,0))</f>
        <v>0</v>
      </c>
      <c r="M286">
        <f>IF(OR($E286="",$E285=""),"",MAX($E285-$E286,0))</f>
        <v>0</v>
      </c>
      <c r="N286">
        <f>IF(COUNT($E$2:$E286)&lt;15,"",IF(AVERAGE($M$273:$M$286)=0,100,100-100/(1+AVERAGE($L$273:$L$286)/AVERAGE($M$273:$M$286))))</f>
        <v>0</v>
      </c>
      <c r="O286">
        <f>IF($E286="","",IF($E285="",$E286,$E286*0.1538461538+O285*0.8461538462))</f>
        <v>0</v>
      </c>
      <c r="P286">
        <f>IF($E286="","",IF($E285="",$E286,$E286*0.0740740741+P285*0.9259259259))</f>
        <v>0</v>
      </c>
      <c r="Q286">
        <f>IF(OR(O286="",P286=""),"",O286-P286)</f>
        <v>0</v>
      </c>
      <c r="R286">
        <f>IF(Q286="","",IF(R285="",Q286,Q286*0.2000000000+R285*0.8000000000))</f>
        <v>0</v>
      </c>
      <c r="S286">
        <f>IF(OR(Q286="",R286=""),"",Q286-R286)</f>
        <v>0</v>
      </c>
      <c r="T286">
        <f>IF(COUNT($E$2:$E286)&lt;14,"",MAX($C$273:$C$286))</f>
        <v>0</v>
      </c>
      <c r="U286">
        <f>IF(COUNT($E$2:$E286)&lt;14,"",MIN($D$273:$D$286))</f>
        <v>0</v>
      </c>
      <c r="V286">
        <f>IF(OR(T286="",U286="",T286=U286),"",100*($E286-U286)/(T286-U286))</f>
        <v>0</v>
      </c>
      <c r="W286">
        <f>IF(COUNT($V$284:$V$286)&lt;3,"",AVERAGE($V$284:$V$286))</f>
        <v>0</v>
      </c>
      <c r="X286">
        <f>IF(COUNT($N$273:$N$286)&lt;14,"",MIN($N$273:$N$286))</f>
        <v>0</v>
      </c>
      <c r="Y286">
        <f>IF(COUNT($N$273:$N$286)&lt;14,"",MAX($N$273:$N$286))</f>
        <v>0</v>
      </c>
      <c r="Z286">
        <f>IF(OR(N286="",X286="",Y286="",Y286=X286),"",100*(N286-X286)/(Y286-X286))</f>
        <v>0</v>
      </c>
      <c r="AA286">
        <f>IF(COUNT($Z$284:$Z$286)&lt;3,"",AVERAGE($Z$284:$Z$286))</f>
        <v>0</v>
      </c>
      <c r="AB286">
        <f>IF(COUNT($AA$284:$AA$286)&lt;3,"",AVERAGE($AA$284:$AA$286))</f>
        <v>0</v>
      </c>
      <c r="AC286">
        <f>IF($E286="","",MAX($C286-$D286,ABS($C286-$E285),ABS($D286-$E285)))</f>
        <v>0</v>
      </c>
      <c r="AD286">
        <f>IF(COUNT($E$2:$E286)&lt;15,"",AVERAGE($AC$273:$AC$286))</f>
        <v>0</v>
      </c>
      <c r="AE286">
        <f>IF(OR($E286="",$E285=""),"",IF(AND(($C286-$C285)&gt;($D285-$D286),($C286-$C285)&gt;0),$C286-$C285,0))</f>
        <v>0</v>
      </c>
      <c r="AF286">
        <f>IF(OR($E286="",$E285=""),"",IF(AND(($D285-$D286)&gt;($C286-$C285),($D285-$D286)&gt;0),$D285-$D286,0))</f>
        <v>0</v>
      </c>
      <c r="AG286">
        <f>IF(COUNT($E$2:$E286)&lt;15,"",IF(SUM($AC$273:$AC$286)=0,0,100*SUM($AE$273:$AE$286)/SUM($AC$273:$AC$286)))</f>
        <v>0</v>
      </c>
      <c r="AH286">
        <f>IF(COUNT($E$2:$E286)&lt;15,"",IF(SUM($AC$273:$AC$286)=0,0,100*SUM($AF$273:$AF$286)/SUM($AC$273:$AC$286)))</f>
        <v>0</v>
      </c>
      <c r="AI286">
        <f>IF(OR(AG286="",AH286=""),"",IF((AG286+AH286)=0,0,100*ABS(AG286-AH286)/(AG286+AH286)))</f>
        <v>0</v>
      </c>
      <c r="AJ286">
        <f>IF(COUNT($AI$273:$AI$286)&lt;14,"",AVERAGE($AI$273:$AI$286))</f>
        <v>0</v>
      </c>
      <c r="AK286">
        <f>IF(COUNT($E$2:$E286)&lt;20,"",AVERAGE($E$267:$E$286))</f>
        <v>0</v>
      </c>
      <c r="AL286">
        <f>IF(COUNT($E$2:$E286)&lt;20,"",STDEVP($E$267:$E$286))</f>
        <v>0</v>
      </c>
      <c r="AM286">
        <f>IF(AK286="","",AK286+2*AL286)</f>
        <v>0</v>
      </c>
      <c r="AN286">
        <f>IF(AK286="","",AK286-2*AL286)</f>
        <v>0</v>
      </c>
      <c r="AO286">
        <f>IF(OR(AM286="",AN286="",AM286=AN286),"",($E286-AN286)/(AM286-AN286))</f>
        <v>0</v>
      </c>
      <c r="AP286">
        <f>IF(OR(AM286="",AK286="",AK286=0),"",(AM286-AN286)/AK286)</f>
        <v>0</v>
      </c>
      <c r="AQ286">
        <f>IF(COUNT($E$2:$E286)&lt;20,"",MAX($C$267:$C$286))</f>
        <v>0</v>
      </c>
      <c r="AR286">
        <f>IF(COUNT($E$2:$E286)&lt;20,"",MIN($D$267:$D$286))</f>
        <v>0</v>
      </c>
      <c r="AS286">
        <f>IF(OR(AQ286="",AR286=""),"",(AQ286+AR286)/2)</f>
        <v>0</v>
      </c>
      <c r="AT286">
        <f>IF(COUNT($G$267:$G$286)&lt;20,"",STDEV($G$267:$G$286)*SQRT(52))</f>
        <v>0</v>
      </c>
      <c r="AU286">
        <f>IF(COUNT($E$2:$E286)&lt;9,"",(MAX($C$278:$C$286)+MIN($D$278:$D$286))/2)</f>
        <v>0</v>
      </c>
      <c r="AV286">
        <f>IF(COUNT($E$2:$E286)&lt;26,"",(MAX($C$261:$C$286)+MIN($D$261:$D$286))/2)</f>
        <v>0</v>
      </c>
      <c r="AW286">
        <f>IF(OR(AU286="",AV286=""),"",(AU286+AV286)/2)</f>
        <v>0</v>
      </c>
      <c r="AX286">
        <f>IF(COUNT($E$2:$E286)&lt;52,"",(MAX($C$235:$C$286)+MIN($D$235:$D$286))/2)</f>
        <v>0</v>
      </c>
      <c r="AY286">
        <f>IF(COUNT($E$2:$E286)&lt;20,"",MAX($C$187:$C$286))</f>
        <v>0</v>
      </c>
      <c r="AZ286">
        <f>IF(COUNT($E$2:$E286)&lt;20,"",MIN($D$187:$D$286))</f>
        <v>0</v>
      </c>
      <c r="BA286">
        <f>IF(COUNT($E$2:$E286)&lt;20,"",SLOPE($E$187:$E$286,$F$187:$F$286))</f>
        <v>0</v>
      </c>
      <c r="BB286">
        <f>IF(COUNT($E$2:$E286)&lt;20,"",INTERCEPT($E$187:$E$286,$F$187:$F$286))</f>
        <v>0</v>
      </c>
      <c r="BC286">
        <f>IF(OR(BA286="",BB286=""),"",BB286+BA286*F286)</f>
        <v>0</v>
      </c>
      <c r="BD286">
        <f>IF(COUNT($E$2:$E286)&lt;20,"",STEYX($E$187:$E$286,$F$187:$F$286))</f>
        <v>0</v>
      </c>
      <c r="BE286">
        <f>IF($E286="","",IF(AND(COUNT($E$287:$E$290)&gt;=4,$C286=MAX($C$282:$C$290)),$C286,""))</f>
        <v>0</v>
      </c>
      <c r="BF286">
        <f>IF($E286="","",IF(AND(COUNT($E$287:$E$290)&gt;=4,$D286=MIN($D$282:$D$290)),$D286,""))</f>
        <v>0</v>
      </c>
      <c r="BG286">
        <f>IFERROR(SMALL(Calc_Daily!$BM$2:$BM$2001,285),"")</f>
        <v>0</v>
      </c>
    </row>
    <row r="287" spans="1:59">
      <c r="A287" s="27">
        <f>IF($BG287="","",INDEX(Calc_Daily!$A$2:$A$2001,$BG287))</f>
        <v>0</v>
      </c>
      <c r="B287">
        <f>IF($BG287="","",INDEX(Calc_Daily!$BJ$2:$BJ$2001,$BG287))</f>
        <v>0</v>
      </c>
      <c r="C287">
        <f>IF($BG287="","",INDEX(Calc_Daily!$BK$2:$BK$2001,$BG287))</f>
        <v>0</v>
      </c>
      <c r="D287">
        <f>IF($BG287="","",INDEX(Calc_Daily!$BL$2:$BL$2001,$BG287))</f>
        <v>0</v>
      </c>
      <c r="E287">
        <f>IF($BG287="","",INDEX(Calc_Daily!$E$2:$E$2001,$BG287))</f>
        <v>0</v>
      </c>
      <c r="F287">
        <f>IF($E287="","",N(F286)+1)</f>
        <v>0</v>
      </c>
      <c r="G287">
        <f>IF(OR($E287="",$E286=""),"",LN($E287/$E286))</f>
        <v>0</v>
      </c>
      <c r="H287">
        <f>IF($E287="","",IF($E286="",$E287,$E287*0.0952380952+H286*0.9047619048))</f>
        <v>0</v>
      </c>
      <c r="I287">
        <f>IF($E287="","",IF($E286="",$E287,$E287*0.0392156863+I286*0.9607843137))</f>
        <v>0</v>
      </c>
      <c r="J287">
        <f>IF($E287="","",IF($E286="",$E287,$E287*0.0198019802+J286*0.9801980198))</f>
        <v>0</v>
      </c>
      <c r="K287">
        <f>IF($E287="","",IF($E286="",$E287,$E287*0.0099502488+K286*0.9900497512))</f>
        <v>0</v>
      </c>
      <c r="L287">
        <f>IF(OR($E287="",$E286=""),"",MAX($E287-$E286,0))</f>
        <v>0</v>
      </c>
      <c r="M287">
        <f>IF(OR($E287="",$E286=""),"",MAX($E286-$E287,0))</f>
        <v>0</v>
      </c>
      <c r="N287">
        <f>IF(COUNT($E$2:$E287)&lt;15,"",IF(AVERAGE($M$274:$M$287)=0,100,100-100/(1+AVERAGE($L$274:$L$287)/AVERAGE($M$274:$M$287))))</f>
        <v>0</v>
      </c>
      <c r="O287">
        <f>IF($E287="","",IF($E286="",$E287,$E287*0.1538461538+O286*0.8461538462))</f>
        <v>0</v>
      </c>
      <c r="P287">
        <f>IF($E287="","",IF($E286="",$E287,$E287*0.0740740741+P286*0.9259259259))</f>
        <v>0</v>
      </c>
      <c r="Q287">
        <f>IF(OR(O287="",P287=""),"",O287-P287)</f>
        <v>0</v>
      </c>
      <c r="R287">
        <f>IF(Q287="","",IF(R286="",Q287,Q287*0.2000000000+R286*0.8000000000))</f>
        <v>0</v>
      </c>
      <c r="S287">
        <f>IF(OR(Q287="",R287=""),"",Q287-R287)</f>
        <v>0</v>
      </c>
      <c r="T287">
        <f>IF(COUNT($E$2:$E287)&lt;14,"",MAX($C$274:$C$287))</f>
        <v>0</v>
      </c>
      <c r="U287">
        <f>IF(COUNT($E$2:$E287)&lt;14,"",MIN($D$274:$D$287))</f>
        <v>0</v>
      </c>
      <c r="V287">
        <f>IF(OR(T287="",U287="",T287=U287),"",100*($E287-U287)/(T287-U287))</f>
        <v>0</v>
      </c>
      <c r="W287">
        <f>IF(COUNT($V$285:$V$287)&lt;3,"",AVERAGE($V$285:$V$287))</f>
        <v>0</v>
      </c>
      <c r="X287">
        <f>IF(COUNT($N$274:$N$287)&lt;14,"",MIN($N$274:$N$287))</f>
        <v>0</v>
      </c>
      <c r="Y287">
        <f>IF(COUNT($N$274:$N$287)&lt;14,"",MAX($N$274:$N$287))</f>
        <v>0</v>
      </c>
      <c r="Z287">
        <f>IF(OR(N287="",X287="",Y287="",Y287=X287),"",100*(N287-X287)/(Y287-X287))</f>
        <v>0</v>
      </c>
      <c r="AA287">
        <f>IF(COUNT($Z$285:$Z$287)&lt;3,"",AVERAGE($Z$285:$Z$287))</f>
        <v>0</v>
      </c>
      <c r="AB287">
        <f>IF(COUNT($AA$285:$AA$287)&lt;3,"",AVERAGE($AA$285:$AA$287))</f>
        <v>0</v>
      </c>
      <c r="AC287">
        <f>IF($E287="","",MAX($C287-$D287,ABS($C287-$E286),ABS($D287-$E286)))</f>
        <v>0</v>
      </c>
      <c r="AD287">
        <f>IF(COUNT($E$2:$E287)&lt;15,"",AVERAGE($AC$274:$AC$287))</f>
        <v>0</v>
      </c>
      <c r="AE287">
        <f>IF(OR($E287="",$E286=""),"",IF(AND(($C287-$C286)&gt;($D286-$D287),($C287-$C286)&gt;0),$C287-$C286,0))</f>
        <v>0</v>
      </c>
      <c r="AF287">
        <f>IF(OR($E287="",$E286=""),"",IF(AND(($D286-$D287)&gt;($C287-$C286),($D286-$D287)&gt;0),$D286-$D287,0))</f>
        <v>0</v>
      </c>
      <c r="AG287">
        <f>IF(COUNT($E$2:$E287)&lt;15,"",IF(SUM($AC$274:$AC$287)=0,0,100*SUM($AE$274:$AE$287)/SUM($AC$274:$AC$287)))</f>
        <v>0</v>
      </c>
      <c r="AH287">
        <f>IF(COUNT($E$2:$E287)&lt;15,"",IF(SUM($AC$274:$AC$287)=0,0,100*SUM($AF$274:$AF$287)/SUM($AC$274:$AC$287)))</f>
        <v>0</v>
      </c>
      <c r="AI287">
        <f>IF(OR(AG287="",AH287=""),"",IF((AG287+AH287)=0,0,100*ABS(AG287-AH287)/(AG287+AH287)))</f>
        <v>0</v>
      </c>
      <c r="AJ287">
        <f>IF(COUNT($AI$274:$AI$287)&lt;14,"",AVERAGE($AI$274:$AI$287))</f>
        <v>0</v>
      </c>
      <c r="AK287">
        <f>IF(COUNT($E$2:$E287)&lt;20,"",AVERAGE($E$268:$E$287))</f>
        <v>0</v>
      </c>
      <c r="AL287">
        <f>IF(COUNT($E$2:$E287)&lt;20,"",STDEVP($E$268:$E$287))</f>
        <v>0</v>
      </c>
      <c r="AM287">
        <f>IF(AK287="","",AK287+2*AL287)</f>
        <v>0</v>
      </c>
      <c r="AN287">
        <f>IF(AK287="","",AK287-2*AL287)</f>
        <v>0</v>
      </c>
      <c r="AO287">
        <f>IF(OR(AM287="",AN287="",AM287=AN287),"",($E287-AN287)/(AM287-AN287))</f>
        <v>0</v>
      </c>
      <c r="AP287">
        <f>IF(OR(AM287="",AK287="",AK287=0),"",(AM287-AN287)/AK287)</f>
        <v>0</v>
      </c>
      <c r="AQ287">
        <f>IF(COUNT($E$2:$E287)&lt;20,"",MAX($C$268:$C$287))</f>
        <v>0</v>
      </c>
      <c r="AR287">
        <f>IF(COUNT($E$2:$E287)&lt;20,"",MIN($D$268:$D$287))</f>
        <v>0</v>
      </c>
      <c r="AS287">
        <f>IF(OR(AQ287="",AR287=""),"",(AQ287+AR287)/2)</f>
        <v>0</v>
      </c>
      <c r="AT287">
        <f>IF(COUNT($G$268:$G$287)&lt;20,"",STDEV($G$268:$G$287)*SQRT(52))</f>
        <v>0</v>
      </c>
      <c r="AU287">
        <f>IF(COUNT($E$2:$E287)&lt;9,"",(MAX($C$279:$C$287)+MIN($D$279:$D$287))/2)</f>
        <v>0</v>
      </c>
      <c r="AV287">
        <f>IF(COUNT($E$2:$E287)&lt;26,"",(MAX($C$262:$C$287)+MIN($D$262:$D$287))/2)</f>
        <v>0</v>
      </c>
      <c r="AW287">
        <f>IF(OR(AU287="",AV287=""),"",(AU287+AV287)/2)</f>
        <v>0</v>
      </c>
      <c r="AX287">
        <f>IF(COUNT($E$2:$E287)&lt;52,"",(MAX($C$236:$C$287)+MIN($D$236:$D$287))/2)</f>
        <v>0</v>
      </c>
      <c r="AY287">
        <f>IF(COUNT($E$2:$E287)&lt;20,"",MAX($C$188:$C$287))</f>
        <v>0</v>
      </c>
      <c r="AZ287">
        <f>IF(COUNT($E$2:$E287)&lt;20,"",MIN($D$188:$D$287))</f>
        <v>0</v>
      </c>
      <c r="BA287">
        <f>IF(COUNT($E$2:$E287)&lt;20,"",SLOPE($E$188:$E$287,$F$188:$F$287))</f>
        <v>0</v>
      </c>
      <c r="BB287">
        <f>IF(COUNT($E$2:$E287)&lt;20,"",INTERCEPT($E$188:$E$287,$F$188:$F$287))</f>
        <v>0</v>
      </c>
      <c r="BC287">
        <f>IF(OR(BA287="",BB287=""),"",BB287+BA287*F287)</f>
        <v>0</v>
      </c>
      <c r="BD287">
        <f>IF(COUNT($E$2:$E287)&lt;20,"",STEYX($E$188:$E$287,$F$188:$F$287))</f>
        <v>0</v>
      </c>
      <c r="BE287">
        <f>IF($E287="","",IF(AND(COUNT($E$288:$E$291)&gt;=4,$C287=MAX($C$283:$C$291)),$C287,""))</f>
        <v>0</v>
      </c>
      <c r="BF287">
        <f>IF($E287="","",IF(AND(COUNT($E$288:$E$291)&gt;=4,$D287=MIN($D$283:$D$291)),$D287,""))</f>
        <v>0</v>
      </c>
      <c r="BG287">
        <f>IFERROR(SMALL(Calc_Daily!$BM$2:$BM$2001,286),"")</f>
        <v>0</v>
      </c>
    </row>
    <row r="288" spans="1:59">
      <c r="A288" s="27">
        <f>IF($BG288="","",INDEX(Calc_Daily!$A$2:$A$2001,$BG288))</f>
        <v>0</v>
      </c>
      <c r="B288">
        <f>IF($BG288="","",INDEX(Calc_Daily!$BJ$2:$BJ$2001,$BG288))</f>
        <v>0</v>
      </c>
      <c r="C288">
        <f>IF($BG288="","",INDEX(Calc_Daily!$BK$2:$BK$2001,$BG288))</f>
        <v>0</v>
      </c>
      <c r="D288">
        <f>IF($BG288="","",INDEX(Calc_Daily!$BL$2:$BL$2001,$BG288))</f>
        <v>0</v>
      </c>
      <c r="E288">
        <f>IF($BG288="","",INDEX(Calc_Daily!$E$2:$E$2001,$BG288))</f>
        <v>0</v>
      </c>
      <c r="F288">
        <f>IF($E288="","",N(F287)+1)</f>
        <v>0</v>
      </c>
      <c r="G288">
        <f>IF(OR($E288="",$E287=""),"",LN($E288/$E287))</f>
        <v>0</v>
      </c>
      <c r="H288">
        <f>IF($E288="","",IF($E287="",$E288,$E288*0.0952380952+H287*0.9047619048))</f>
        <v>0</v>
      </c>
      <c r="I288">
        <f>IF($E288="","",IF($E287="",$E288,$E288*0.0392156863+I287*0.9607843137))</f>
        <v>0</v>
      </c>
      <c r="J288">
        <f>IF($E288="","",IF($E287="",$E288,$E288*0.0198019802+J287*0.9801980198))</f>
        <v>0</v>
      </c>
      <c r="K288">
        <f>IF($E288="","",IF($E287="",$E288,$E288*0.0099502488+K287*0.9900497512))</f>
        <v>0</v>
      </c>
      <c r="L288">
        <f>IF(OR($E288="",$E287=""),"",MAX($E288-$E287,0))</f>
        <v>0</v>
      </c>
      <c r="M288">
        <f>IF(OR($E288="",$E287=""),"",MAX($E287-$E288,0))</f>
        <v>0</v>
      </c>
      <c r="N288">
        <f>IF(COUNT($E$2:$E288)&lt;15,"",IF(AVERAGE($M$275:$M$288)=0,100,100-100/(1+AVERAGE($L$275:$L$288)/AVERAGE($M$275:$M$288))))</f>
        <v>0</v>
      </c>
      <c r="O288">
        <f>IF($E288="","",IF($E287="",$E288,$E288*0.1538461538+O287*0.8461538462))</f>
        <v>0</v>
      </c>
      <c r="P288">
        <f>IF($E288="","",IF($E287="",$E288,$E288*0.0740740741+P287*0.9259259259))</f>
        <v>0</v>
      </c>
      <c r="Q288">
        <f>IF(OR(O288="",P288=""),"",O288-P288)</f>
        <v>0</v>
      </c>
      <c r="R288">
        <f>IF(Q288="","",IF(R287="",Q288,Q288*0.2000000000+R287*0.8000000000))</f>
        <v>0</v>
      </c>
      <c r="S288">
        <f>IF(OR(Q288="",R288=""),"",Q288-R288)</f>
        <v>0</v>
      </c>
      <c r="T288">
        <f>IF(COUNT($E$2:$E288)&lt;14,"",MAX($C$275:$C$288))</f>
        <v>0</v>
      </c>
      <c r="U288">
        <f>IF(COUNT($E$2:$E288)&lt;14,"",MIN($D$275:$D$288))</f>
        <v>0</v>
      </c>
      <c r="V288">
        <f>IF(OR(T288="",U288="",T288=U288),"",100*($E288-U288)/(T288-U288))</f>
        <v>0</v>
      </c>
      <c r="W288">
        <f>IF(COUNT($V$286:$V$288)&lt;3,"",AVERAGE($V$286:$V$288))</f>
        <v>0</v>
      </c>
      <c r="X288">
        <f>IF(COUNT($N$275:$N$288)&lt;14,"",MIN($N$275:$N$288))</f>
        <v>0</v>
      </c>
      <c r="Y288">
        <f>IF(COUNT($N$275:$N$288)&lt;14,"",MAX($N$275:$N$288))</f>
        <v>0</v>
      </c>
      <c r="Z288">
        <f>IF(OR(N288="",X288="",Y288="",Y288=X288),"",100*(N288-X288)/(Y288-X288))</f>
        <v>0</v>
      </c>
      <c r="AA288">
        <f>IF(COUNT($Z$286:$Z$288)&lt;3,"",AVERAGE($Z$286:$Z$288))</f>
        <v>0</v>
      </c>
      <c r="AB288">
        <f>IF(COUNT($AA$286:$AA$288)&lt;3,"",AVERAGE($AA$286:$AA$288))</f>
        <v>0</v>
      </c>
      <c r="AC288">
        <f>IF($E288="","",MAX($C288-$D288,ABS($C288-$E287),ABS($D288-$E287)))</f>
        <v>0</v>
      </c>
      <c r="AD288">
        <f>IF(COUNT($E$2:$E288)&lt;15,"",AVERAGE($AC$275:$AC$288))</f>
        <v>0</v>
      </c>
      <c r="AE288">
        <f>IF(OR($E288="",$E287=""),"",IF(AND(($C288-$C287)&gt;($D287-$D288),($C288-$C287)&gt;0),$C288-$C287,0))</f>
        <v>0</v>
      </c>
      <c r="AF288">
        <f>IF(OR($E288="",$E287=""),"",IF(AND(($D287-$D288)&gt;($C288-$C287),($D287-$D288)&gt;0),$D287-$D288,0))</f>
        <v>0</v>
      </c>
      <c r="AG288">
        <f>IF(COUNT($E$2:$E288)&lt;15,"",IF(SUM($AC$275:$AC$288)=0,0,100*SUM($AE$275:$AE$288)/SUM($AC$275:$AC$288)))</f>
        <v>0</v>
      </c>
      <c r="AH288">
        <f>IF(COUNT($E$2:$E288)&lt;15,"",IF(SUM($AC$275:$AC$288)=0,0,100*SUM($AF$275:$AF$288)/SUM($AC$275:$AC$288)))</f>
        <v>0</v>
      </c>
      <c r="AI288">
        <f>IF(OR(AG288="",AH288=""),"",IF((AG288+AH288)=0,0,100*ABS(AG288-AH288)/(AG288+AH288)))</f>
        <v>0</v>
      </c>
      <c r="AJ288">
        <f>IF(COUNT($AI$275:$AI$288)&lt;14,"",AVERAGE($AI$275:$AI$288))</f>
        <v>0</v>
      </c>
      <c r="AK288">
        <f>IF(COUNT($E$2:$E288)&lt;20,"",AVERAGE($E$269:$E$288))</f>
        <v>0</v>
      </c>
      <c r="AL288">
        <f>IF(COUNT($E$2:$E288)&lt;20,"",STDEVP($E$269:$E$288))</f>
        <v>0</v>
      </c>
      <c r="AM288">
        <f>IF(AK288="","",AK288+2*AL288)</f>
        <v>0</v>
      </c>
      <c r="AN288">
        <f>IF(AK288="","",AK288-2*AL288)</f>
        <v>0</v>
      </c>
      <c r="AO288">
        <f>IF(OR(AM288="",AN288="",AM288=AN288),"",($E288-AN288)/(AM288-AN288))</f>
        <v>0</v>
      </c>
      <c r="AP288">
        <f>IF(OR(AM288="",AK288="",AK288=0),"",(AM288-AN288)/AK288)</f>
        <v>0</v>
      </c>
      <c r="AQ288">
        <f>IF(COUNT($E$2:$E288)&lt;20,"",MAX($C$269:$C$288))</f>
        <v>0</v>
      </c>
      <c r="AR288">
        <f>IF(COUNT($E$2:$E288)&lt;20,"",MIN($D$269:$D$288))</f>
        <v>0</v>
      </c>
      <c r="AS288">
        <f>IF(OR(AQ288="",AR288=""),"",(AQ288+AR288)/2)</f>
        <v>0</v>
      </c>
      <c r="AT288">
        <f>IF(COUNT($G$269:$G$288)&lt;20,"",STDEV($G$269:$G$288)*SQRT(52))</f>
        <v>0</v>
      </c>
      <c r="AU288">
        <f>IF(COUNT($E$2:$E288)&lt;9,"",(MAX($C$280:$C$288)+MIN($D$280:$D$288))/2)</f>
        <v>0</v>
      </c>
      <c r="AV288">
        <f>IF(COUNT($E$2:$E288)&lt;26,"",(MAX($C$263:$C$288)+MIN($D$263:$D$288))/2)</f>
        <v>0</v>
      </c>
      <c r="AW288">
        <f>IF(OR(AU288="",AV288=""),"",(AU288+AV288)/2)</f>
        <v>0</v>
      </c>
      <c r="AX288">
        <f>IF(COUNT($E$2:$E288)&lt;52,"",(MAX($C$237:$C$288)+MIN($D$237:$D$288))/2)</f>
        <v>0</v>
      </c>
      <c r="AY288">
        <f>IF(COUNT($E$2:$E288)&lt;20,"",MAX($C$189:$C$288))</f>
        <v>0</v>
      </c>
      <c r="AZ288">
        <f>IF(COUNT($E$2:$E288)&lt;20,"",MIN($D$189:$D$288))</f>
        <v>0</v>
      </c>
      <c r="BA288">
        <f>IF(COUNT($E$2:$E288)&lt;20,"",SLOPE($E$189:$E$288,$F$189:$F$288))</f>
        <v>0</v>
      </c>
      <c r="BB288">
        <f>IF(COUNT($E$2:$E288)&lt;20,"",INTERCEPT($E$189:$E$288,$F$189:$F$288))</f>
        <v>0</v>
      </c>
      <c r="BC288">
        <f>IF(OR(BA288="",BB288=""),"",BB288+BA288*F288)</f>
        <v>0</v>
      </c>
      <c r="BD288">
        <f>IF(COUNT($E$2:$E288)&lt;20,"",STEYX($E$189:$E$288,$F$189:$F$288))</f>
        <v>0</v>
      </c>
      <c r="BE288">
        <f>IF($E288="","",IF(AND(COUNT($E$289:$E$292)&gt;=4,$C288=MAX($C$284:$C$292)),$C288,""))</f>
        <v>0</v>
      </c>
      <c r="BF288">
        <f>IF($E288="","",IF(AND(COUNT($E$289:$E$292)&gt;=4,$D288=MIN($D$284:$D$292)),$D288,""))</f>
        <v>0</v>
      </c>
      <c r="BG288">
        <f>IFERROR(SMALL(Calc_Daily!$BM$2:$BM$2001,287),"")</f>
        <v>0</v>
      </c>
    </row>
    <row r="289" spans="1:59">
      <c r="A289" s="27">
        <f>IF($BG289="","",INDEX(Calc_Daily!$A$2:$A$2001,$BG289))</f>
        <v>0</v>
      </c>
      <c r="B289">
        <f>IF($BG289="","",INDEX(Calc_Daily!$BJ$2:$BJ$2001,$BG289))</f>
        <v>0</v>
      </c>
      <c r="C289">
        <f>IF($BG289="","",INDEX(Calc_Daily!$BK$2:$BK$2001,$BG289))</f>
        <v>0</v>
      </c>
      <c r="D289">
        <f>IF($BG289="","",INDEX(Calc_Daily!$BL$2:$BL$2001,$BG289))</f>
        <v>0</v>
      </c>
      <c r="E289">
        <f>IF($BG289="","",INDEX(Calc_Daily!$E$2:$E$2001,$BG289))</f>
        <v>0</v>
      </c>
      <c r="F289">
        <f>IF($E289="","",N(F288)+1)</f>
        <v>0</v>
      </c>
      <c r="G289">
        <f>IF(OR($E289="",$E288=""),"",LN($E289/$E288))</f>
        <v>0</v>
      </c>
      <c r="H289">
        <f>IF($E289="","",IF($E288="",$E289,$E289*0.0952380952+H288*0.9047619048))</f>
        <v>0</v>
      </c>
      <c r="I289">
        <f>IF($E289="","",IF($E288="",$E289,$E289*0.0392156863+I288*0.9607843137))</f>
        <v>0</v>
      </c>
      <c r="J289">
        <f>IF($E289="","",IF($E288="",$E289,$E289*0.0198019802+J288*0.9801980198))</f>
        <v>0</v>
      </c>
      <c r="K289">
        <f>IF($E289="","",IF($E288="",$E289,$E289*0.0099502488+K288*0.9900497512))</f>
        <v>0</v>
      </c>
      <c r="L289">
        <f>IF(OR($E289="",$E288=""),"",MAX($E289-$E288,0))</f>
        <v>0</v>
      </c>
      <c r="M289">
        <f>IF(OR($E289="",$E288=""),"",MAX($E288-$E289,0))</f>
        <v>0</v>
      </c>
      <c r="N289">
        <f>IF(COUNT($E$2:$E289)&lt;15,"",IF(AVERAGE($M$276:$M$289)=0,100,100-100/(1+AVERAGE($L$276:$L$289)/AVERAGE($M$276:$M$289))))</f>
        <v>0</v>
      </c>
      <c r="O289">
        <f>IF($E289="","",IF($E288="",$E289,$E289*0.1538461538+O288*0.8461538462))</f>
        <v>0</v>
      </c>
      <c r="P289">
        <f>IF($E289="","",IF($E288="",$E289,$E289*0.0740740741+P288*0.9259259259))</f>
        <v>0</v>
      </c>
      <c r="Q289">
        <f>IF(OR(O289="",P289=""),"",O289-P289)</f>
        <v>0</v>
      </c>
      <c r="R289">
        <f>IF(Q289="","",IF(R288="",Q289,Q289*0.2000000000+R288*0.8000000000))</f>
        <v>0</v>
      </c>
      <c r="S289">
        <f>IF(OR(Q289="",R289=""),"",Q289-R289)</f>
        <v>0</v>
      </c>
      <c r="T289">
        <f>IF(COUNT($E$2:$E289)&lt;14,"",MAX($C$276:$C$289))</f>
        <v>0</v>
      </c>
      <c r="U289">
        <f>IF(COUNT($E$2:$E289)&lt;14,"",MIN($D$276:$D$289))</f>
        <v>0</v>
      </c>
      <c r="V289">
        <f>IF(OR(T289="",U289="",T289=U289),"",100*($E289-U289)/(T289-U289))</f>
        <v>0</v>
      </c>
      <c r="W289">
        <f>IF(COUNT($V$287:$V$289)&lt;3,"",AVERAGE($V$287:$V$289))</f>
        <v>0</v>
      </c>
      <c r="X289">
        <f>IF(COUNT($N$276:$N$289)&lt;14,"",MIN($N$276:$N$289))</f>
        <v>0</v>
      </c>
      <c r="Y289">
        <f>IF(COUNT($N$276:$N$289)&lt;14,"",MAX($N$276:$N$289))</f>
        <v>0</v>
      </c>
      <c r="Z289">
        <f>IF(OR(N289="",X289="",Y289="",Y289=X289),"",100*(N289-X289)/(Y289-X289))</f>
        <v>0</v>
      </c>
      <c r="AA289">
        <f>IF(COUNT($Z$287:$Z$289)&lt;3,"",AVERAGE($Z$287:$Z$289))</f>
        <v>0</v>
      </c>
      <c r="AB289">
        <f>IF(COUNT($AA$287:$AA$289)&lt;3,"",AVERAGE($AA$287:$AA$289))</f>
        <v>0</v>
      </c>
      <c r="AC289">
        <f>IF($E289="","",MAX($C289-$D289,ABS($C289-$E288),ABS($D289-$E288)))</f>
        <v>0</v>
      </c>
      <c r="AD289">
        <f>IF(COUNT($E$2:$E289)&lt;15,"",AVERAGE($AC$276:$AC$289))</f>
        <v>0</v>
      </c>
      <c r="AE289">
        <f>IF(OR($E289="",$E288=""),"",IF(AND(($C289-$C288)&gt;($D288-$D289),($C289-$C288)&gt;0),$C289-$C288,0))</f>
        <v>0</v>
      </c>
      <c r="AF289">
        <f>IF(OR($E289="",$E288=""),"",IF(AND(($D288-$D289)&gt;($C289-$C288),($D288-$D289)&gt;0),$D288-$D289,0))</f>
        <v>0</v>
      </c>
      <c r="AG289">
        <f>IF(COUNT($E$2:$E289)&lt;15,"",IF(SUM($AC$276:$AC$289)=0,0,100*SUM($AE$276:$AE$289)/SUM($AC$276:$AC$289)))</f>
        <v>0</v>
      </c>
      <c r="AH289">
        <f>IF(COUNT($E$2:$E289)&lt;15,"",IF(SUM($AC$276:$AC$289)=0,0,100*SUM($AF$276:$AF$289)/SUM($AC$276:$AC$289)))</f>
        <v>0</v>
      </c>
      <c r="AI289">
        <f>IF(OR(AG289="",AH289=""),"",IF((AG289+AH289)=0,0,100*ABS(AG289-AH289)/(AG289+AH289)))</f>
        <v>0</v>
      </c>
      <c r="AJ289">
        <f>IF(COUNT($AI$276:$AI$289)&lt;14,"",AVERAGE($AI$276:$AI$289))</f>
        <v>0</v>
      </c>
      <c r="AK289">
        <f>IF(COUNT($E$2:$E289)&lt;20,"",AVERAGE($E$270:$E$289))</f>
        <v>0</v>
      </c>
      <c r="AL289">
        <f>IF(COUNT($E$2:$E289)&lt;20,"",STDEVP($E$270:$E$289))</f>
        <v>0</v>
      </c>
      <c r="AM289">
        <f>IF(AK289="","",AK289+2*AL289)</f>
        <v>0</v>
      </c>
      <c r="AN289">
        <f>IF(AK289="","",AK289-2*AL289)</f>
        <v>0</v>
      </c>
      <c r="AO289">
        <f>IF(OR(AM289="",AN289="",AM289=AN289),"",($E289-AN289)/(AM289-AN289))</f>
        <v>0</v>
      </c>
      <c r="AP289">
        <f>IF(OR(AM289="",AK289="",AK289=0),"",(AM289-AN289)/AK289)</f>
        <v>0</v>
      </c>
      <c r="AQ289">
        <f>IF(COUNT($E$2:$E289)&lt;20,"",MAX($C$270:$C$289))</f>
        <v>0</v>
      </c>
      <c r="AR289">
        <f>IF(COUNT($E$2:$E289)&lt;20,"",MIN($D$270:$D$289))</f>
        <v>0</v>
      </c>
      <c r="AS289">
        <f>IF(OR(AQ289="",AR289=""),"",(AQ289+AR289)/2)</f>
        <v>0</v>
      </c>
      <c r="AT289">
        <f>IF(COUNT($G$270:$G$289)&lt;20,"",STDEV($G$270:$G$289)*SQRT(52))</f>
        <v>0</v>
      </c>
      <c r="AU289">
        <f>IF(COUNT($E$2:$E289)&lt;9,"",(MAX($C$281:$C$289)+MIN($D$281:$D$289))/2)</f>
        <v>0</v>
      </c>
      <c r="AV289">
        <f>IF(COUNT($E$2:$E289)&lt;26,"",(MAX($C$264:$C$289)+MIN($D$264:$D$289))/2)</f>
        <v>0</v>
      </c>
      <c r="AW289">
        <f>IF(OR(AU289="",AV289=""),"",(AU289+AV289)/2)</f>
        <v>0</v>
      </c>
      <c r="AX289">
        <f>IF(COUNT($E$2:$E289)&lt;52,"",(MAX($C$238:$C$289)+MIN($D$238:$D$289))/2)</f>
        <v>0</v>
      </c>
      <c r="AY289">
        <f>IF(COUNT($E$2:$E289)&lt;20,"",MAX($C$190:$C$289))</f>
        <v>0</v>
      </c>
      <c r="AZ289">
        <f>IF(COUNT($E$2:$E289)&lt;20,"",MIN($D$190:$D$289))</f>
        <v>0</v>
      </c>
      <c r="BA289">
        <f>IF(COUNT($E$2:$E289)&lt;20,"",SLOPE($E$190:$E$289,$F$190:$F$289))</f>
        <v>0</v>
      </c>
      <c r="BB289">
        <f>IF(COUNT($E$2:$E289)&lt;20,"",INTERCEPT($E$190:$E$289,$F$190:$F$289))</f>
        <v>0</v>
      </c>
      <c r="BC289">
        <f>IF(OR(BA289="",BB289=""),"",BB289+BA289*F289)</f>
        <v>0</v>
      </c>
      <c r="BD289">
        <f>IF(COUNT($E$2:$E289)&lt;20,"",STEYX($E$190:$E$289,$F$190:$F$289))</f>
        <v>0</v>
      </c>
      <c r="BE289">
        <f>IF($E289="","",IF(AND(COUNT($E$290:$E$293)&gt;=4,$C289=MAX($C$285:$C$293)),$C289,""))</f>
        <v>0</v>
      </c>
      <c r="BF289">
        <f>IF($E289="","",IF(AND(COUNT($E$290:$E$293)&gt;=4,$D289=MIN($D$285:$D$293)),$D289,""))</f>
        <v>0</v>
      </c>
      <c r="BG289">
        <f>IFERROR(SMALL(Calc_Daily!$BM$2:$BM$2001,288),"")</f>
        <v>0</v>
      </c>
    </row>
    <row r="290" spans="1:59">
      <c r="A290" s="27">
        <f>IF($BG290="","",INDEX(Calc_Daily!$A$2:$A$2001,$BG290))</f>
        <v>0</v>
      </c>
      <c r="B290">
        <f>IF($BG290="","",INDEX(Calc_Daily!$BJ$2:$BJ$2001,$BG290))</f>
        <v>0</v>
      </c>
      <c r="C290">
        <f>IF($BG290="","",INDEX(Calc_Daily!$BK$2:$BK$2001,$BG290))</f>
        <v>0</v>
      </c>
      <c r="D290">
        <f>IF($BG290="","",INDEX(Calc_Daily!$BL$2:$BL$2001,$BG290))</f>
        <v>0</v>
      </c>
      <c r="E290">
        <f>IF($BG290="","",INDEX(Calc_Daily!$E$2:$E$2001,$BG290))</f>
        <v>0</v>
      </c>
      <c r="F290">
        <f>IF($E290="","",N(F289)+1)</f>
        <v>0</v>
      </c>
      <c r="G290">
        <f>IF(OR($E290="",$E289=""),"",LN($E290/$E289))</f>
        <v>0</v>
      </c>
      <c r="H290">
        <f>IF($E290="","",IF($E289="",$E290,$E290*0.0952380952+H289*0.9047619048))</f>
        <v>0</v>
      </c>
      <c r="I290">
        <f>IF($E290="","",IF($E289="",$E290,$E290*0.0392156863+I289*0.9607843137))</f>
        <v>0</v>
      </c>
      <c r="J290">
        <f>IF($E290="","",IF($E289="",$E290,$E290*0.0198019802+J289*0.9801980198))</f>
        <v>0</v>
      </c>
      <c r="K290">
        <f>IF($E290="","",IF($E289="",$E290,$E290*0.0099502488+K289*0.9900497512))</f>
        <v>0</v>
      </c>
      <c r="L290">
        <f>IF(OR($E290="",$E289=""),"",MAX($E290-$E289,0))</f>
        <v>0</v>
      </c>
      <c r="M290">
        <f>IF(OR($E290="",$E289=""),"",MAX($E289-$E290,0))</f>
        <v>0</v>
      </c>
      <c r="N290">
        <f>IF(COUNT($E$2:$E290)&lt;15,"",IF(AVERAGE($M$277:$M$290)=0,100,100-100/(1+AVERAGE($L$277:$L$290)/AVERAGE($M$277:$M$290))))</f>
        <v>0</v>
      </c>
      <c r="O290">
        <f>IF($E290="","",IF($E289="",$E290,$E290*0.1538461538+O289*0.8461538462))</f>
        <v>0</v>
      </c>
      <c r="P290">
        <f>IF($E290="","",IF($E289="",$E290,$E290*0.0740740741+P289*0.9259259259))</f>
        <v>0</v>
      </c>
      <c r="Q290">
        <f>IF(OR(O290="",P290=""),"",O290-P290)</f>
        <v>0</v>
      </c>
      <c r="R290">
        <f>IF(Q290="","",IF(R289="",Q290,Q290*0.2000000000+R289*0.8000000000))</f>
        <v>0</v>
      </c>
      <c r="S290">
        <f>IF(OR(Q290="",R290=""),"",Q290-R290)</f>
        <v>0</v>
      </c>
      <c r="T290">
        <f>IF(COUNT($E$2:$E290)&lt;14,"",MAX($C$277:$C$290))</f>
        <v>0</v>
      </c>
      <c r="U290">
        <f>IF(COUNT($E$2:$E290)&lt;14,"",MIN($D$277:$D$290))</f>
        <v>0</v>
      </c>
      <c r="V290">
        <f>IF(OR(T290="",U290="",T290=U290),"",100*($E290-U290)/(T290-U290))</f>
        <v>0</v>
      </c>
      <c r="W290">
        <f>IF(COUNT($V$288:$V$290)&lt;3,"",AVERAGE($V$288:$V$290))</f>
        <v>0</v>
      </c>
      <c r="X290">
        <f>IF(COUNT($N$277:$N$290)&lt;14,"",MIN($N$277:$N$290))</f>
        <v>0</v>
      </c>
      <c r="Y290">
        <f>IF(COUNT($N$277:$N$290)&lt;14,"",MAX($N$277:$N$290))</f>
        <v>0</v>
      </c>
      <c r="Z290">
        <f>IF(OR(N290="",X290="",Y290="",Y290=X290),"",100*(N290-X290)/(Y290-X290))</f>
        <v>0</v>
      </c>
      <c r="AA290">
        <f>IF(COUNT($Z$288:$Z$290)&lt;3,"",AVERAGE($Z$288:$Z$290))</f>
        <v>0</v>
      </c>
      <c r="AB290">
        <f>IF(COUNT($AA$288:$AA$290)&lt;3,"",AVERAGE($AA$288:$AA$290))</f>
        <v>0</v>
      </c>
      <c r="AC290">
        <f>IF($E290="","",MAX($C290-$D290,ABS($C290-$E289),ABS($D290-$E289)))</f>
        <v>0</v>
      </c>
      <c r="AD290">
        <f>IF(COUNT($E$2:$E290)&lt;15,"",AVERAGE($AC$277:$AC$290))</f>
        <v>0</v>
      </c>
      <c r="AE290">
        <f>IF(OR($E290="",$E289=""),"",IF(AND(($C290-$C289)&gt;($D289-$D290),($C290-$C289)&gt;0),$C290-$C289,0))</f>
        <v>0</v>
      </c>
      <c r="AF290">
        <f>IF(OR($E290="",$E289=""),"",IF(AND(($D289-$D290)&gt;($C290-$C289),($D289-$D290)&gt;0),$D289-$D290,0))</f>
        <v>0</v>
      </c>
      <c r="AG290">
        <f>IF(COUNT($E$2:$E290)&lt;15,"",IF(SUM($AC$277:$AC$290)=0,0,100*SUM($AE$277:$AE$290)/SUM($AC$277:$AC$290)))</f>
        <v>0</v>
      </c>
      <c r="AH290">
        <f>IF(COUNT($E$2:$E290)&lt;15,"",IF(SUM($AC$277:$AC$290)=0,0,100*SUM($AF$277:$AF$290)/SUM($AC$277:$AC$290)))</f>
        <v>0</v>
      </c>
      <c r="AI290">
        <f>IF(OR(AG290="",AH290=""),"",IF((AG290+AH290)=0,0,100*ABS(AG290-AH290)/(AG290+AH290)))</f>
        <v>0</v>
      </c>
      <c r="AJ290">
        <f>IF(COUNT($AI$277:$AI$290)&lt;14,"",AVERAGE($AI$277:$AI$290))</f>
        <v>0</v>
      </c>
      <c r="AK290">
        <f>IF(COUNT($E$2:$E290)&lt;20,"",AVERAGE($E$271:$E$290))</f>
        <v>0</v>
      </c>
      <c r="AL290">
        <f>IF(COUNT($E$2:$E290)&lt;20,"",STDEVP($E$271:$E$290))</f>
        <v>0</v>
      </c>
      <c r="AM290">
        <f>IF(AK290="","",AK290+2*AL290)</f>
        <v>0</v>
      </c>
      <c r="AN290">
        <f>IF(AK290="","",AK290-2*AL290)</f>
        <v>0</v>
      </c>
      <c r="AO290">
        <f>IF(OR(AM290="",AN290="",AM290=AN290),"",($E290-AN290)/(AM290-AN290))</f>
        <v>0</v>
      </c>
      <c r="AP290">
        <f>IF(OR(AM290="",AK290="",AK290=0),"",(AM290-AN290)/AK290)</f>
        <v>0</v>
      </c>
      <c r="AQ290">
        <f>IF(COUNT($E$2:$E290)&lt;20,"",MAX($C$271:$C$290))</f>
        <v>0</v>
      </c>
      <c r="AR290">
        <f>IF(COUNT($E$2:$E290)&lt;20,"",MIN($D$271:$D$290))</f>
        <v>0</v>
      </c>
      <c r="AS290">
        <f>IF(OR(AQ290="",AR290=""),"",(AQ290+AR290)/2)</f>
        <v>0</v>
      </c>
      <c r="AT290">
        <f>IF(COUNT($G$271:$G$290)&lt;20,"",STDEV($G$271:$G$290)*SQRT(52))</f>
        <v>0</v>
      </c>
      <c r="AU290">
        <f>IF(COUNT($E$2:$E290)&lt;9,"",(MAX($C$282:$C$290)+MIN($D$282:$D$290))/2)</f>
        <v>0</v>
      </c>
      <c r="AV290">
        <f>IF(COUNT($E$2:$E290)&lt;26,"",(MAX($C$265:$C$290)+MIN($D$265:$D$290))/2)</f>
        <v>0</v>
      </c>
      <c r="AW290">
        <f>IF(OR(AU290="",AV290=""),"",(AU290+AV290)/2)</f>
        <v>0</v>
      </c>
      <c r="AX290">
        <f>IF(COUNT($E$2:$E290)&lt;52,"",(MAX($C$239:$C$290)+MIN($D$239:$D$290))/2)</f>
        <v>0</v>
      </c>
      <c r="AY290">
        <f>IF(COUNT($E$2:$E290)&lt;20,"",MAX($C$191:$C$290))</f>
        <v>0</v>
      </c>
      <c r="AZ290">
        <f>IF(COUNT($E$2:$E290)&lt;20,"",MIN($D$191:$D$290))</f>
        <v>0</v>
      </c>
      <c r="BA290">
        <f>IF(COUNT($E$2:$E290)&lt;20,"",SLOPE($E$191:$E$290,$F$191:$F$290))</f>
        <v>0</v>
      </c>
      <c r="BB290">
        <f>IF(COUNT($E$2:$E290)&lt;20,"",INTERCEPT($E$191:$E$290,$F$191:$F$290))</f>
        <v>0</v>
      </c>
      <c r="BC290">
        <f>IF(OR(BA290="",BB290=""),"",BB290+BA290*F290)</f>
        <v>0</v>
      </c>
      <c r="BD290">
        <f>IF(COUNT($E$2:$E290)&lt;20,"",STEYX($E$191:$E$290,$F$191:$F$290))</f>
        <v>0</v>
      </c>
      <c r="BE290">
        <f>IF($E290="","",IF(AND(COUNT($E$291:$E$294)&gt;=4,$C290=MAX($C$286:$C$294)),$C290,""))</f>
        <v>0</v>
      </c>
      <c r="BF290">
        <f>IF($E290="","",IF(AND(COUNT($E$291:$E$294)&gt;=4,$D290=MIN($D$286:$D$294)),$D290,""))</f>
        <v>0</v>
      </c>
      <c r="BG290">
        <f>IFERROR(SMALL(Calc_Daily!$BM$2:$BM$2001,289),"")</f>
        <v>0</v>
      </c>
    </row>
    <row r="291" spans="1:59">
      <c r="A291" s="27">
        <f>IF($BG291="","",INDEX(Calc_Daily!$A$2:$A$2001,$BG291))</f>
        <v>0</v>
      </c>
      <c r="B291">
        <f>IF($BG291="","",INDEX(Calc_Daily!$BJ$2:$BJ$2001,$BG291))</f>
        <v>0</v>
      </c>
      <c r="C291">
        <f>IF($BG291="","",INDEX(Calc_Daily!$BK$2:$BK$2001,$BG291))</f>
        <v>0</v>
      </c>
      <c r="D291">
        <f>IF($BG291="","",INDEX(Calc_Daily!$BL$2:$BL$2001,$BG291))</f>
        <v>0</v>
      </c>
      <c r="E291">
        <f>IF($BG291="","",INDEX(Calc_Daily!$E$2:$E$2001,$BG291))</f>
        <v>0</v>
      </c>
      <c r="F291">
        <f>IF($E291="","",N(F290)+1)</f>
        <v>0</v>
      </c>
      <c r="G291">
        <f>IF(OR($E291="",$E290=""),"",LN($E291/$E290))</f>
        <v>0</v>
      </c>
      <c r="H291">
        <f>IF($E291="","",IF($E290="",$E291,$E291*0.0952380952+H290*0.9047619048))</f>
        <v>0</v>
      </c>
      <c r="I291">
        <f>IF($E291="","",IF($E290="",$E291,$E291*0.0392156863+I290*0.9607843137))</f>
        <v>0</v>
      </c>
      <c r="J291">
        <f>IF($E291="","",IF($E290="",$E291,$E291*0.0198019802+J290*0.9801980198))</f>
        <v>0</v>
      </c>
      <c r="K291">
        <f>IF($E291="","",IF($E290="",$E291,$E291*0.0099502488+K290*0.9900497512))</f>
        <v>0</v>
      </c>
      <c r="L291">
        <f>IF(OR($E291="",$E290=""),"",MAX($E291-$E290,0))</f>
        <v>0</v>
      </c>
      <c r="M291">
        <f>IF(OR($E291="",$E290=""),"",MAX($E290-$E291,0))</f>
        <v>0</v>
      </c>
      <c r="N291">
        <f>IF(COUNT($E$2:$E291)&lt;15,"",IF(AVERAGE($M$278:$M$291)=0,100,100-100/(1+AVERAGE($L$278:$L$291)/AVERAGE($M$278:$M$291))))</f>
        <v>0</v>
      </c>
      <c r="O291">
        <f>IF($E291="","",IF($E290="",$E291,$E291*0.1538461538+O290*0.8461538462))</f>
        <v>0</v>
      </c>
      <c r="P291">
        <f>IF($E291="","",IF($E290="",$E291,$E291*0.0740740741+P290*0.9259259259))</f>
        <v>0</v>
      </c>
      <c r="Q291">
        <f>IF(OR(O291="",P291=""),"",O291-P291)</f>
        <v>0</v>
      </c>
      <c r="R291">
        <f>IF(Q291="","",IF(R290="",Q291,Q291*0.2000000000+R290*0.8000000000))</f>
        <v>0</v>
      </c>
      <c r="S291">
        <f>IF(OR(Q291="",R291=""),"",Q291-R291)</f>
        <v>0</v>
      </c>
      <c r="T291">
        <f>IF(COUNT($E$2:$E291)&lt;14,"",MAX($C$278:$C$291))</f>
        <v>0</v>
      </c>
      <c r="U291">
        <f>IF(COUNT($E$2:$E291)&lt;14,"",MIN($D$278:$D$291))</f>
        <v>0</v>
      </c>
      <c r="V291">
        <f>IF(OR(T291="",U291="",T291=U291),"",100*($E291-U291)/(T291-U291))</f>
        <v>0</v>
      </c>
      <c r="W291">
        <f>IF(COUNT($V$289:$V$291)&lt;3,"",AVERAGE($V$289:$V$291))</f>
        <v>0</v>
      </c>
      <c r="X291">
        <f>IF(COUNT($N$278:$N$291)&lt;14,"",MIN($N$278:$N$291))</f>
        <v>0</v>
      </c>
      <c r="Y291">
        <f>IF(COUNT($N$278:$N$291)&lt;14,"",MAX($N$278:$N$291))</f>
        <v>0</v>
      </c>
      <c r="Z291">
        <f>IF(OR(N291="",X291="",Y291="",Y291=X291),"",100*(N291-X291)/(Y291-X291))</f>
        <v>0</v>
      </c>
      <c r="AA291">
        <f>IF(COUNT($Z$289:$Z$291)&lt;3,"",AVERAGE($Z$289:$Z$291))</f>
        <v>0</v>
      </c>
      <c r="AB291">
        <f>IF(COUNT($AA$289:$AA$291)&lt;3,"",AVERAGE($AA$289:$AA$291))</f>
        <v>0</v>
      </c>
      <c r="AC291">
        <f>IF($E291="","",MAX($C291-$D291,ABS($C291-$E290),ABS($D291-$E290)))</f>
        <v>0</v>
      </c>
      <c r="AD291">
        <f>IF(COUNT($E$2:$E291)&lt;15,"",AVERAGE($AC$278:$AC$291))</f>
        <v>0</v>
      </c>
      <c r="AE291">
        <f>IF(OR($E291="",$E290=""),"",IF(AND(($C291-$C290)&gt;($D290-$D291),($C291-$C290)&gt;0),$C291-$C290,0))</f>
        <v>0</v>
      </c>
      <c r="AF291">
        <f>IF(OR($E291="",$E290=""),"",IF(AND(($D290-$D291)&gt;($C291-$C290),($D290-$D291)&gt;0),$D290-$D291,0))</f>
        <v>0</v>
      </c>
      <c r="AG291">
        <f>IF(COUNT($E$2:$E291)&lt;15,"",IF(SUM($AC$278:$AC$291)=0,0,100*SUM($AE$278:$AE$291)/SUM($AC$278:$AC$291)))</f>
        <v>0</v>
      </c>
      <c r="AH291">
        <f>IF(COUNT($E$2:$E291)&lt;15,"",IF(SUM($AC$278:$AC$291)=0,0,100*SUM($AF$278:$AF$291)/SUM($AC$278:$AC$291)))</f>
        <v>0</v>
      </c>
      <c r="AI291">
        <f>IF(OR(AG291="",AH291=""),"",IF((AG291+AH291)=0,0,100*ABS(AG291-AH291)/(AG291+AH291)))</f>
        <v>0</v>
      </c>
      <c r="AJ291">
        <f>IF(COUNT($AI$278:$AI$291)&lt;14,"",AVERAGE($AI$278:$AI$291))</f>
        <v>0</v>
      </c>
      <c r="AK291">
        <f>IF(COUNT($E$2:$E291)&lt;20,"",AVERAGE($E$272:$E$291))</f>
        <v>0</v>
      </c>
      <c r="AL291">
        <f>IF(COUNT($E$2:$E291)&lt;20,"",STDEVP($E$272:$E$291))</f>
        <v>0</v>
      </c>
      <c r="AM291">
        <f>IF(AK291="","",AK291+2*AL291)</f>
        <v>0</v>
      </c>
      <c r="AN291">
        <f>IF(AK291="","",AK291-2*AL291)</f>
        <v>0</v>
      </c>
      <c r="AO291">
        <f>IF(OR(AM291="",AN291="",AM291=AN291),"",($E291-AN291)/(AM291-AN291))</f>
        <v>0</v>
      </c>
      <c r="AP291">
        <f>IF(OR(AM291="",AK291="",AK291=0),"",(AM291-AN291)/AK291)</f>
        <v>0</v>
      </c>
      <c r="AQ291">
        <f>IF(COUNT($E$2:$E291)&lt;20,"",MAX($C$272:$C$291))</f>
        <v>0</v>
      </c>
      <c r="AR291">
        <f>IF(COUNT($E$2:$E291)&lt;20,"",MIN($D$272:$D$291))</f>
        <v>0</v>
      </c>
      <c r="AS291">
        <f>IF(OR(AQ291="",AR291=""),"",(AQ291+AR291)/2)</f>
        <v>0</v>
      </c>
      <c r="AT291">
        <f>IF(COUNT($G$272:$G$291)&lt;20,"",STDEV($G$272:$G$291)*SQRT(52))</f>
        <v>0</v>
      </c>
      <c r="AU291">
        <f>IF(COUNT($E$2:$E291)&lt;9,"",(MAX($C$283:$C$291)+MIN($D$283:$D$291))/2)</f>
        <v>0</v>
      </c>
      <c r="AV291">
        <f>IF(COUNT($E$2:$E291)&lt;26,"",(MAX($C$266:$C$291)+MIN($D$266:$D$291))/2)</f>
        <v>0</v>
      </c>
      <c r="AW291">
        <f>IF(OR(AU291="",AV291=""),"",(AU291+AV291)/2)</f>
        <v>0</v>
      </c>
      <c r="AX291">
        <f>IF(COUNT($E$2:$E291)&lt;52,"",(MAX($C$240:$C$291)+MIN($D$240:$D$291))/2)</f>
        <v>0</v>
      </c>
      <c r="AY291">
        <f>IF(COUNT($E$2:$E291)&lt;20,"",MAX($C$192:$C$291))</f>
        <v>0</v>
      </c>
      <c r="AZ291">
        <f>IF(COUNT($E$2:$E291)&lt;20,"",MIN($D$192:$D$291))</f>
        <v>0</v>
      </c>
      <c r="BA291">
        <f>IF(COUNT($E$2:$E291)&lt;20,"",SLOPE($E$192:$E$291,$F$192:$F$291))</f>
        <v>0</v>
      </c>
      <c r="BB291">
        <f>IF(COUNT($E$2:$E291)&lt;20,"",INTERCEPT($E$192:$E$291,$F$192:$F$291))</f>
        <v>0</v>
      </c>
      <c r="BC291">
        <f>IF(OR(BA291="",BB291=""),"",BB291+BA291*F291)</f>
        <v>0</v>
      </c>
      <c r="BD291">
        <f>IF(COUNT($E$2:$E291)&lt;20,"",STEYX($E$192:$E$291,$F$192:$F$291))</f>
        <v>0</v>
      </c>
      <c r="BE291">
        <f>IF($E291="","",IF(AND(COUNT($E$292:$E$295)&gt;=4,$C291=MAX($C$287:$C$295)),$C291,""))</f>
        <v>0</v>
      </c>
      <c r="BF291">
        <f>IF($E291="","",IF(AND(COUNT($E$292:$E$295)&gt;=4,$D291=MIN($D$287:$D$295)),$D291,""))</f>
        <v>0</v>
      </c>
      <c r="BG291">
        <f>IFERROR(SMALL(Calc_Daily!$BM$2:$BM$2001,290),"")</f>
        <v>0</v>
      </c>
    </row>
    <row r="292" spans="1:59">
      <c r="A292" s="27">
        <f>IF($BG292="","",INDEX(Calc_Daily!$A$2:$A$2001,$BG292))</f>
        <v>0</v>
      </c>
      <c r="B292">
        <f>IF($BG292="","",INDEX(Calc_Daily!$BJ$2:$BJ$2001,$BG292))</f>
        <v>0</v>
      </c>
      <c r="C292">
        <f>IF($BG292="","",INDEX(Calc_Daily!$BK$2:$BK$2001,$BG292))</f>
        <v>0</v>
      </c>
      <c r="D292">
        <f>IF($BG292="","",INDEX(Calc_Daily!$BL$2:$BL$2001,$BG292))</f>
        <v>0</v>
      </c>
      <c r="E292">
        <f>IF($BG292="","",INDEX(Calc_Daily!$E$2:$E$2001,$BG292))</f>
        <v>0</v>
      </c>
      <c r="F292">
        <f>IF($E292="","",N(F291)+1)</f>
        <v>0</v>
      </c>
      <c r="G292">
        <f>IF(OR($E292="",$E291=""),"",LN($E292/$E291))</f>
        <v>0</v>
      </c>
      <c r="H292">
        <f>IF($E292="","",IF($E291="",$E292,$E292*0.0952380952+H291*0.9047619048))</f>
        <v>0</v>
      </c>
      <c r="I292">
        <f>IF($E292="","",IF($E291="",$E292,$E292*0.0392156863+I291*0.9607843137))</f>
        <v>0</v>
      </c>
      <c r="J292">
        <f>IF($E292="","",IF($E291="",$E292,$E292*0.0198019802+J291*0.9801980198))</f>
        <v>0</v>
      </c>
      <c r="K292">
        <f>IF($E292="","",IF($E291="",$E292,$E292*0.0099502488+K291*0.9900497512))</f>
        <v>0</v>
      </c>
      <c r="L292">
        <f>IF(OR($E292="",$E291=""),"",MAX($E292-$E291,0))</f>
        <v>0</v>
      </c>
      <c r="M292">
        <f>IF(OR($E292="",$E291=""),"",MAX($E291-$E292,0))</f>
        <v>0</v>
      </c>
      <c r="N292">
        <f>IF(COUNT($E$2:$E292)&lt;15,"",IF(AVERAGE($M$279:$M$292)=0,100,100-100/(1+AVERAGE($L$279:$L$292)/AVERAGE($M$279:$M$292))))</f>
        <v>0</v>
      </c>
      <c r="O292">
        <f>IF($E292="","",IF($E291="",$E292,$E292*0.1538461538+O291*0.8461538462))</f>
        <v>0</v>
      </c>
      <c r="P292">
        <f>IF($E292="","",IF($E291="",$E292,$E292*0.0740740741+P291*0.9259259259))</f>
        <v>0</v>
      </c>
      <c r="Q292">
        <f>IF(OR(O292="",P292=""),"",O292-P292)</f>
        <v>0</v>
      </c>
      <c r="R292">
        <f>IF(Q292="","",IF(R291="",Q292,Q292*0.2000000000+R291*0.8000000000))</f>
        <v>0</v>
      </c>
      <c r="S292">
        <f>IF(OR(Q292="",R292=""),"",Q292-R292)</f>
        <v>0</v>
      </c>
      <c r="T292">
        <f>IF(COUNT($E$2:$E292)&lt;14,"",MAX($C$279:$C$292))</f>
        <v>0</v>
      </c>
      <c r="U292">
        <f>IF(COUNT($E$2:$E292)&lt;14,"",MIN($D$279:$D$292))</f>
        <v>0</v>
      </c>
      <c r="V292">
        <f>IF(OR(T292="",U292="",T292=U292),"",100*($E292-U292)/(T292-U292))</f>
        <v>0</v>
      </c>
      <c r="W292">
        <f>IF(COUNT($V$290:$V$292)&lt;3,"",AVERAGE($V$290:$V$292))</f>
        <v>0</v>
      </c>
      <c r="X292">
        <f>IF(COUNT($N$279:$N$292)&lt;14,"",MIN($N$279:$N$292))</f>
        <v>0</v>
      </c>
      <c r="Y292">
        <f>IF(COUNT($N$279:$N$292)&lt;14,"",MAX($N$279:$N$292))</f>
        <v>0</v>
      </c>
      <c r="Z292">
        <f>IF(OR(N292="",X292="",Y292="",Y292=X292),"",100*(N292-X292)/(Y292-X292))</f>
        <v>0</v>
      </c>
      <c r="AA292">
        <f>IF(COUNT($Z$290:$Z$292)&lt;3,"",AVERAGE($Z$290:$Z$292))</f>
        <v>0</v>
      </c>
      <c r="AB292">
        <f>IF(COUNT($AA$290:$AA$292)&lt;3,"",AVERAGE($AA$290:$AA$292))</f>
        <v>0</v>
      </c>
      <c r="AC292">
        <f>IF($E292="","",MAX($C292-$D292,ABS($C292-$E291),ABS($D292-$E291)))</f>
        <v>0</v>
      </c>
      <c r="AD292">
        <f>IF(COUNT($E$2:$E292)&lt;15,"",AVERAGE($AC$279:$AC$292))</f>
        <v>0</v>
      </c>
      <c r="AE292">
        <f>IF(OR($E292="",$E291=""),"",IF(AND(($C292-$C291)&gt;($D291-$D292),($C292-$C291)&gt;0),$C292-$C291,0))</f>
        <v>0</v>
      </c>
      <c r="AF292">
        <f>IF(OR($E292="",$E291=""),"",IF(AND(($D291-$D292)&gt;($C292-$C291),($D291-$D292)&gt;0),$D291-$D292,0))</f>
        <v>0</v>
      </c>
      <c r="AG292">
        <f>IF(COUNT($E$2:$E292)&lt;15,"",IF(SUM($AC$279:$AC$292)=0,0,100*SUM($AE$279:$AE$292)/SUM($AC$279:$AC$292)))</f>
        <v>0</v>
      </c>
      <c r="AH292">
        <f>IF(COUNT($E$2:$E292)&lt;15,"",IF(SUM($AC$279:$AC$292)=0,0,100*SUM($AF$279:$AF$292)/SUM($AC$279:$AC$292)))</f>
        <v>0</v>
      </c>
      <c r="AI292">
        <f>IF(OR(AG292="",AH292=""),"",IF((AG292+AH292)=0,0,100*ABS(AG292-AH292)/(AG292+AH292)))</f>
        <v>0</v>
      </c>
      <c r="AJ292">
        <f>IF(COUNT($AI$279:$AI$292)&lt;14,"",AVERAGE($AI$279:$AI$292))</f>
        <v>0</v>
      </c>
      <c r="AK292">
        <f>IF(COUNT($E$2:$E292)&lt;20,"",AVERAGE($E$273:$E$292))</f>
        <v>0</v>
      </c>
      <c r="AL292">
        <f>IF(COUNT($E$2:$E292)&lt;20,"",STDEVP($E$273:$E$292))</f>
        <v>0</v>
      </c>
      <c r="AM292">
        <f>IF(AK292="","",AK292+2*AL292)</f>
        <v>0</v>
      </c>
      <c r="AN292">
        <f>IF(AK292="","",AK292-2*AL292)</f>
        <v>0</v>
      </c>
      <c r="AO292">
        <f>IF(OR(AM292="",AN292="",AM292=AN292),"",($E292-AN292)/(AM292-AN292))</f>
        <v>0</v>
      </c>
      <c r="AP292">
        <f>IF(OR(AM292="",AK292="",AK292=0),"",(AM292-AN292)/AK292)</f>
        <v>0</v>
      </c>
      <c r="AQ292">
        <f>IF(COUNT($E$2:$E292)&lt;20,"",MAX($C$273:$C$292))</f>
        <v>0</v>
      </c>
      <c r="AR292">
        <f>IF(COUNT($E$2:$E292)&lt;20,"",MIN($D$273:$D$292))</f>
        <v>0</v>
      </c>
      <c r="AS292">
        <f>IF(OR(AQ292="",AR292=""),"",(AQ292+AR292)/2)</f>
        <v>0</v>
      </c>
      <c r="AT292">
        <f>IF(COUNT($G$273:$G$292)&lt;20,"",STDEV($G$273:$G$292)*SQRT(52))</f>
        <v>0</v>
      </c>
      <c r="AU292">
        <f>IF(COUNT($E$2:$E292)&lt;9,"",(MAX($C$284:$C$292)+MIN($D$284:$D$292))/2)</f>
        <v>0</v>
      </c>
      <c r="AV292">
        <f>IF(COUNT($E$2:$E292)&lt;26,"",(MAX($C$267:$C$292)+MIN($D$267:$D$292))/2)</f>
        <v>0</v>
      </c>
      <c r="AW292">
        <f>IF(OR(AU292="",AV292=""),"",(AU292+AV292)/2)</f>
        <v>0</v>
      </c>
      <c r="AX292">
        <f>IF(COUNT($E$2:$E292)&lt;52,"",(MAX($C$241:$C$292)+MIN($D$241:$D$292))/2)</f>
        <v>0</v>
      </c>
      <c r="AY292">
        <f>IF(COUNT($E$2:$E292)&lt;20,"",MAX($C$193:$C$292))</f>
        <v>0</v>
      </c>
      <c r="AZ292">
        <f>IF(COUNT($E$2:$E292)&lt;20,"",MIN($D$193:$D$292))</f>
        <v>0</v>
      </c>
      <c r="BA292">
        <f>IF(COUNT($E$2:$E292)&lt;20,"",SLOPE($E$193:$E$292,$F$193:$F$292))</f>
        <v>0</v>
      </c>
      <c r="BB292">
        <f>IF(COUNT($E$2:$E292)&lt;20,"",INTERCEPT($E$193:$E$292,$F$193:$F$292))</f>
        <v>0</v>
      </c>
      <c r="BC292">
        <f>IF(OR(BA292="",BB292=""),"",BB292+BA292*F292)</f>
        <v>0</v>
      </c>
      <c r="BD292">
        <f>IF(COUNT($E$2:$E292)&lt;20,"",STEYX($E$193:$E$292,$F$193:$F$292))</f>
        <v>0</v>
      </c>
      <c r="BE292">
        <f>IF($E292="","",IF(AND(COUNT($E$293:$E$296)&gt;=4,$C292=MAX($C$288:$C$296)),$C292,""))</f>
        <v>0</v>
      </c>
      <c r="BF292">
        <f>IF($E292="","",IF(AND(COUNT($E$293:$E$296)&gt;=4,$D292=MIN($D$288:$D$296)),$D292,""))</f>
        <v>0</v>
      </c>
      <c r="BG292">
        <f>IFERROR(SMALL(Calc_Daily!$BM$2:$BM$2001,291),"")</f>
        <v>0</v>
      </c>
    </row>
    <row r="293" spans="1:59">
      <c r="A293" s="27">
        <f>IF($BG293="","",INDEX(Calc_Daily!$A$2:$A$2001,$BG293))</f>
        <v>0</v>
      </c>
      <c r="B293">
        <f>IF($BG293="","",INDEX(Calc_Daily!$BJ$2:$BJ$2001,$BG293))</f>
        <v>0</v>
      </c>
      <c r="C293">
        <f>IF($BG293="","",INDEX(Calc_Daily!$BK$2:$BK$2001,$BG293))</f>
        <v>0</v>
      </c>
      <c r="D293">
        <f>IF($BG293="","",INDEX(Calc_Daily!$BL$2:$BL$2001,$BG293))</f>
        <v>0</v>
      </c>
      <c r="E293">
        <f>IF($BG293="","",INDEX(Calc_Daily!$E$2:$E$2001,$BG293))</f>
        <v>0</v>
      </c>
      <c r="F293">
        <f>IF($E293="","",N(F292)+1)</f>
        <v>0</v>
      </c>
      <c r="G293">
        <f>IF(OR($E293="",$E292=""),"",LN($E293/$E292))</f>
        <v>0</v>
      </c>
      <c r="H293">
        <f>IF($E293="","",IF($E292="",$E293,$E293*0.0952380952+H292*0.9047619048))</f>
        <v>0</v>
      </c>
      <c r="I293">
        <f>IF($E293="","",IF($E292="",$E293,$E293*0.0392156863+I292*0.9607843137))</f>
        <v>0</v>
      </c>
      <c r="J293">
        <f>IF($E293="","",IF($E292="",$E293,$E293*0.0198019802+J292*0.9801980198))</f>
        <v>0</v>
      </c>
      <c r="K293">
        <f>IF($E293="","",IF($E292="",$E293,$E293*0.0099502488+K292*0.9900497512))</f>
        <v>0</v>
      </c>
      <c r="L293">
        <f>IF(OR($E293="",$E292=""),"",MAX($E293-$E292,0))</f>
        <v>0</v>
      </c>
      <c r="M293">
        <f>IF(OR($E293="",$E292=""),"",MAX($E292-$E293,0))</f>
        <v>0</v>
      </c>
      <c r="N293">
        <f>IF(COUNT($E$2:$E293)&lt;15,"",IF(AVERAGE($M$280:$M$293)=0,100,100-100/(1+AVERAGE($L$280:$L$293)/AVERAGE($M$280:$M$293))))</f>
        <v>0</v>
      </c>
      <c r="O293">
        <f>IF($E293="","",IF($E292="",$E293,$E293*0.1538461538+O292*0.8461538462))</f>
        <v>0</v>
      </c>
      <c r="P293">
        <f>IF($E293="","",IF($E292="",$E293,$E293*0.0740740741+P292*0.9259259259))</f>
        <v>0</v>
      </c>
      <c r="Q293">
        <f>IF(OR(O293="",P293=""),"",O293-P293)</f>
        <v>0</v>
      </c>
      <c r="R293">
        <f>IF(Q293="","",IF(R292="",Q293,Q293*0.2000000000+R292*0.8000000000))</f>
        <v>0</v>
      </c>
      <c r="S293">
        <f>IF(OR(Q293="",R293=""),"",Q293-R293)</f>
        <v>0</v>
      </c>
      <c r="T293">
        <f>IF(COUNT($E$2:$E293)&lt;14,"",MAX($C$280:$C$293))</f>
        <v>0</v>
      </c>
      <c r="U293">
        <f>IF(COUNT($E$2:$E293)&lt;14,"",MIN($D$280:$D$293))</f>
        <v>0</v>
      </c>
      <c r="V293">
        <f>IF(OR(T293="",U293="",T293=U293),"",100*($E293-U293)/(T293-U293))</f>
        <v>0</v>
      </c>
      <c r="W293">
        <f>IF(COUNT($V$291:$V$293)&lt;3,"",AVERAGE($V$291:$V$293))</f>
        <v>0</v>
      </c>
      <c r="X293">
        <f>IF(COUNT($N$280:$N$293)&lt;14,"",MIN($N$280:$N$293))</f>
        <v>0</v>
      </c>
      <c r="Y293">
        <f>IF(COUNT($N$280:$N$293)&lt;14,"",MAX($N$280:$N$293))</f>
        <v>0</v>
      </c>
      <c r="Z293">
        <f>IF(OR(N293="",X293="",Y293="",Y293=X293),"",100*(N293-X293)/(Y293-X293))</f>
        <v>0</v>
      </c>
      <c r="AA293">
        <f>IF(COUNT($Z$291:$Z$293)&lt;3,"",AVERAGE($Z$291:$Z$293))</f>
        <v>0</v>
      </c>
      <c r="AB293">
        <f>IF(COUNT($AA$291:$AA$293)&lt;3,"",AVERAGE($AA$291:$AA$293))</f>
        <v>0</v>
      </c>
      <c r="AC293">
        <f>IF($E293="","",MAX($C293-$D293,ABS($C293-$E292),ABS($D293-$E292)))</f>
        <v>0</v>
      </c>
      <c r="AD293">
        <f>IF(COUNT($E$2:$E293)&lt;15,"",AVERAGE($AC$280:$AC$293))</f>
        <v>0</v>
      </c>
      <c r="AE293">
        <f>IF(OR($E293="",$E292=""),"",IF(AND(($C293-$C292)&gt;($D292-$D293),($C293-$C292)&gt;0),$C293-$C292,0))</f>
        <v>0</v>
      </c>
      <c r="AF293">
        <f>IF(OR($E293="",$E292=""),"",IF(AND(($D292-$D293)&gt;($C293-$C292),($D292-$D293)&gt;0),$D292-$D293,0))</f>
        <v>0</v>
      </c>
      <c r="AG293">
        <f>IF(COUNT($E$2:$E293)&lt;15,"",IF(SUM($AC$280:$AC$293)=0,0,100*SUM($AE$280:$AE$293)/SUM($AC$280:$AC$293)))</f>
        <v>0</v>
      </c>
      <c r="AH293">
        <f>IF(COUNT($E$2:$E293)&lt;15,"",IF(SUM($AC$280:$AC$293)=0,0,100*SUM($AF$280:$AF$293)/SUM($AC$280:$AC$293)))</f>
        <v>0</v>
      </c>
      <c r="AI293">
        <f>IF(OR(AG293="",AH293=""),"",IF((AG293+AH293)=0,0,100*ABS(AG293-AH293)/(AG293+AH293)))</f>
        <v>0</v>
      </c>
      <c r="AJ293">
        <f>IF(COUNT($AI$280:$AI$293)&lt;14,"",AVERAGE($AI$280:$AI$293))</f>
        <v>0</v>
      </c>
      <c r="AK293">
        <f>IF(COUNT($E$2:$E293)&lt;20,"",AVERAGE($E$274:$E$293))</f>
        <v>0</v>
      </c>
      <c r="AL293">
        <f>IF(COUNT($E$2:$E293)&lt;20,"",STDEVP($E$274:$E$293))</f>
        <v>0</v>
      </c>
      <c r="AM293">
        <f>IF(AK293="","",AK293+2*AL293)</f>
        <v>0</v>
      </c>
      <c r="AN293">
        <f>IF(AK293="","",AK293-2*AL293)</f>
        <v>0</v>
      </c>
      <c r="AO293">
        <f>IF(OR(AM293="",AN293="",AM293=AN293),"",($E293-AN293)/(AM293-AN293))</f>
        <v>0</v>
      </c>
      <c r="AP293">
        <f>IF(OR(AM293="",AK293="",AK293=0),"",(AM293-AN293)/AK293)</f>
        <v>0</v>
      </c>
      <c r="AQ293">
        <f>IF(COUNT($E$2:$E293)&lt;20,"",MAX($C$274:$C$293))</f>
        <v>0</v>
      </c>
      <c r="AR293">
        <f>IF(COUNT($E$2:$E293)&lt;20,"",MIN($D$274:$D$293))</f>
        <v>0</v>
      </c>
      <c r="AS293">
        <f>IF(OR(AQ293="",AR293=""),"",(AQ293+AR293)/2)</f>
        <v>0</v>
      </c>
      <c r="AT293">
        <f>IF(COUNT($G$274:$G$293)&lt;20,"",STDEV($G$274:$G$293)*SQRT(52))</f>
        <v>0</v>
      </c>
      <c r="AU293">
        <f>IF(COUNT($E$2:$E293)&lt;9,"",(MAX($C$285:$C$293)+MIN($D$285:$D$293))/2)</f>
        <v>0</v>
      </c>
      <c r="AV293">
        <f>IF(COUNT($E$2:$E293)&lt;26,"",(MAX($C$268:$C$293)+MIN($D$268:$D$293))/2)</f>
        <v>0</v>
      </c>
      <c r="AW293">
        <f>IF(OR(AU293="",AV293=""),"",(AU293+AV293)/2)</f>
        <v>0</v>
      </c>
      <c r="AX293">
        <f>IF(COUNT($E$2:$E293)&lt;52,"",(MAX($C$242:$C$293)+MIN($D$242:$D$293))/2)</f>
        <v>0</v>
      </c>
      <c r="AY293">
        <f>IF(COUNT($E$2:$E293)&lt;20,"",MAX($C$194:$C$293))</f>
        <v>0</v>
      </c>
      <c r="AZ293">
        <f>IF(COUNT($E$2:$E293)&lt;20,"",MIN($D$194:$D$293))</f>
        <v>0</v>
      </c>
      <c r="BA293">
        <f>IF(COUNT($E$2:$E293)&lt;20,"",SLOPE($E$194:$E$293,$F$194:$F$293))</f>
        <v>0</v>
      </c>
      <c r="BB293">
        <f>IF(COUNT($E$2:$E293)&lt;20,"",INTERCEPT($E$194:$E$293,$F$194:$F$293))</f>
        <v>0</v>
      </c>
      <c r="BC293">
        <f>IF(OR(BA293="",BB293=""),"",BB293+BA293*F293)</f>
        <v>0</v>
      </c>
      <c r="BD293">
        <f>IF(COUNT($E$2:$E293)&lt;20,"",STEYX($E$194:$E$293,$F$194:$F$293))</f>
        <v>0</v>
      </c>
      <c r="BE293">
        <f>IF($E293="","",IF(AND(COUNT($E$294:$E$297)&gt;=4,$C293=MAX($C$289:$C$297)),$C293,""))</f>
        <v>0</v>
      </c>
      <c r="BF293">
        <f>IF($E293="","",IF(AND(COUNT($E$294:$E$297)&gt;=4,$D293=MIN($D$289:$D$297)),$D293,""))</f>
        <v>0</v>
      </c>
      <c r="BG293">
        <f>IFERROR(SMALL(Calc_Daily!$BM$2:$BM$2001,292),"")</f>
        <v>0</v>
      </c>
    </row>
    <row r="294" spans="1:59">
      <c r="A294" s="27">
        <f>IF($BG294="","",INDEX(Calc_Daily!$A$2:$A$2001,$BG294))</f>
        <v>0</v>
      </c>
      <c r="B294">
        <f>IF($BG294="","",INDEX(Calc_Daily!$BJ$2:$BJ$2001,$BG294))</f>
        <v>0</v>
      </c>
      <c r="C294">
        <f>IF($BG294="","",INDEX(Calc_Daily!$BK$2:$BK$2001,$BG294))</f>
        <v>0</v>
      </c>
      <c r="D294">
        <f>IF($BG294="","",INDEX(Calc_Daily!$BL$2:$BL$2001,$BG294))</f>
        <v>0</v>
      </c>
      <c r="E294">
        <f>IF($BG294="","",INDEX(Calc_Daily!$E$2:$E$2001,$BG294))</f>
        <v>0</v>
      </c>
      <c r="F294">
        <f>IF($E294="","",N(F293)+1)</f>
        <v>0</v>
      </c>
      <c r="G294">
        <f>IF(OR($E294="",$E293=""),"",LN($E294/$E293))</f>
        <v>0</v>
      </c>
      <c r="H294">
        <f>IF($E294="","",IF($E293="",$E294,$E294*0.0952380952+H293*0.9047619048))</f>
        <v>0</v>
      </c>
      <c r="I294">
        <f>IF($E294="","",IF($E293="",$E294,$E294*0.0392156863+I293*0.9607843137))</f>
        <v>0</v>
      </c>
      <c r="J294">
        <f>IF($E294="","",IF($E293="",$E294,$E294*0.0198019802+J293*0.9801980198))</f>
        <v>0</v>
      </c>
      <c r="K294">
        <f>IF($E294="","",IF($E293="",$E294,$E294*0.0099502488+K293*0.9900497512))</f>
        <v>0</v>
      </c>
      <c r="L294">
        <f>IF(OR($E294="",$E293=""),"",MAX($E294-$E293,0))</f>
        <v>0</v>
      </c>
      <c r="M294">
        <f>IF(OR($E294="",$E293=""),"",MAX($E293-$E294,0))</f>
        <v>0</v>
      </c>
      <c r="N294">
        <f>IF(COUNT($E$2:$E294)&lt;15,"",IF(AVERAGE($M$281:$M$294)=0,100,100-100/(1+AVERAGE($L$281:$L$294)/AVERAGE($M$281:$M$294))))</f>
        <v>0</v>
      </c>
      <c r="O294">
        <f>IF($E294="","",IF($E293="",$E294,$E294*0.1538461538+O293*0.8461538462))</f>
        <v>0</v>
      </c>
      <c r="P294">
        <f>IF($E294="","",IF($E293="",$E294,$E294*0.0740740741+P293*0.9259259259))</f>
        <v>0</v>
      </c>
      <c r="Q294">
        <f>IF(OR(O294="",P294=""),"",O294-P294)</f>
        <v>0</v>
      </c>
      <c r="R294">
        <f>IF(Q294="","",IF(R293="",Q294,Q294*0.2000000000+R293*0.8000000000))</f>
        <v>0</v>
      </c>
      <c r="S294">
        <f>IF(OR(Q294="",R294=""),"",Q294-R294)</f>
        <v>0</v>
      </c>
      <c r="T294">
        <f>IF(COUNT($E$2:$E294)&lt;14,"",MAX($C$281:$C$294))</f>
        <v>0</v>
      </c>
      <c r="U294">
        <f>IF(COUNT($E$2:$E294)&lt;14,"",MIN($D$281:$D$294))</f>
        <v>0</v>
      </c>
      <c r="V294">
        <f>IF(OR(T294="",U294="",T294=U294),"",100*($E294-U294)/(T294-U294))</f>
        <v>0</v>
      </c>
      <c r="W294">
        <f>IF(COUNT($V$292:$V$294)&lt;3,"",AVERAGE($V$292:$V$294))</f>
        <v>0</v>
      </c>
      <c r="X294">
        <f>IF(COUNT($N$281:$N$294)&lt;14,"",MIN($N$281:$N$294))</f>
        <v>0</v>
      </c>
      <c r="Y294">
        <f>IF(COUNT($N$281:$N$294)&lt;14,"",MAX($N$281:$N$294))</f>
        <v>0</v>
      </c>
      <c r="Z294">
        <f>IF(OR(N294="",X294="",Y294="",Y294=X294),"",100*(N294-X294)/(Y294-X294))</f>
        <v>0</v>
      </c>
      <c r="AA294">
        <f>IF(COUNT($Z$292:$Z$294)&lt;3,"",AVERAGE($Z$292:$Z$294))</f>
        <v>0</v>
      </c>
      <c r="AB294">
        <f>IF(COUNT($AA$292:$AA$294)&lt;3,"",AVERAGE($AA$292:$AA$294))</f>
        <v>0</v>
      </c>
      <c r="AC294">
        <f>IF($E294="","",MAX($C294-$D294,ABS($C294-$E293),ABS($D294-$E293)))</f>
        <v>0</v>
      </c>
      <c r="AD294">
        <f>IF(COUNT($E$2:$E294)&lt;15,"",AVERAGE($AC$281:$AC$294))</f>
        <v>0</v>
      </c>
      <c r="AE294">
        <f>IF(OR($E294="",$E293=""),"",IF(AND(($C294-$C293)&gt;($D293-$D294),($C294-$C293)&gt;0),$C294-$C293,0))</f>
        <v>0</v>
      </c>
      <c r="AF294">
        <f>IF(OR($E294="",$E293=""),"",IF(AND(($D293-$D294)&gt;($C294-$C293),($D293-$D294)&gt;0),$D293-$D294,0))</f>
        <v>0</v>
      </c>
      <c r="AG294">
        <f>IF(COUNT($E$2:$E294)&lt;15,"",IF(SUM($AC$281:$AC$294)=0,0,100*SUM($AE$281:$AE$294)/SUM($AC$281:$AC$294)))</f>
        <v>0</v>
      </c>
      <c r="AH294">
        <f>IF(COUNT($E$2:$E294)&lt;15,"",IF(SUM($AC$281:$AC$294)=0,0,100*SUM($AF$281:$AF$294)/SUM($AC$281:$AC$294)))</f>
        <v>0</v>
      </c>
      <c r="AI294">
        <f>IF(OR(AG294="",AH294=""),"",IF((AG294+AH294)=0,0,100*ABS(AG294-AH294)/(AG294+AH294)))</f>
        <v>0</v>
      </c>
      <c r="AJ294">
        <f>IF(COUNT($AI$281:$AI$294)&lt;14,"",AVERAGE($AI$281:$AI$294))</f>
        <v>0</v>
      </c>
      <c r="AK294">
        <f>IF(COUNT($E$2:$E294)&lt;20,"",AVERAGE($E$275:$E$294))</f>
        <v>0</v>
      </c>
      <c r="AL294">
        <f>IF(COUNT($E$2:$E294)&lt;20,"",STDEVP($E$275:$E$294))</f>
        <v>0</v>
      </c>
      <c r="AM294">
        <f>IF(AK294="","",AK294+2*AL294)</f>
        <v>0</v>
      </c>
      <c r="AN294">
        <f>IF(AK294="","",AK294-2*AL294)</f>
        <v>0</v>
      </c>
      <c r="AO294">
        <f>IF(OR(AM294="",AN294="",AM294=AN294),"",($E294-AN294)/(AM294-AN294))</f>
        <v>0</v>
      </c>
      <c r="AP294">
        <f>IF(OR(AM294="",AK294="",AK294=0),"",(AM294-AN294)/AK294)</f>
        <v>0</v>
      </c>
      <c r="AQ294">
        <f>IF(COUNT($E$2:$E294)&lt;20,"",MAX($C$275:$C$294))</f>
        <v>0</v>
      </c>
      <c r="AR294">
        <f>IF(COUNT($E$2:$E294)&lt;20,"",MIN($D$275:$D$294))</f>
        <v>0</v>
      </c>
      <c r="AS294">
        <f>IF(OR(AQ294="",AR294=""),"",(AQ294+AR294)/2)</f>
        <v>0</v>
      </c>
      <c r="AT294">
        <f>IF(COUNT($G$275:$G$294)&lt;20,"",STDEV($G$275:$G$294)*SQRT(52))</f>
        <v>0</v>
      </c>
      <c r="AU294">
        <f>IF(COUNT($E$2:$E294)&lt;9,"",(MAX($C$286:$C$294)+MIN($D$286:$D$294))/2)</f>
        <v>0</v>
      </c>
      <c r="AV294">
        <f>IF(COUNT($E$2:$E294)&lt;26,"",(MAX($C$269:$C$294)+MIN($D$269:$D$294))/2)</f>
        <v>0</v>
      </c>
      <c r="AW294">
        <f>IF(OR(AU294="",AV294=""),"",(AU294+AV294)/2)</f>
        <v>0</v>
      </c>
      <c r="AX294">
        <f>IF(COUNT($E$2:$E294)&lt;52,"",(MAX($C$243:$C$294)+MIN($D$243:$D$294))/2)</f>
        <v>0</v>
      </c>
      <c r="AY294">
        <f>IF(COUNT($E$2:$E294)&lt;20,"",MAX($C$195:$C$294))</f>
        <v>0</v>
      </c>
      <c r="AZ294">
        <f>IF(COUNT($E$2:$E294)&lt;20,"",MIN($D$195:$D$294))</f>
        <v>0</v>
      </c>
      <c r="BA294">
        <f>IF(COUNT($E$2:$E294)&lt;20,"",SLOPE($E$195:$E$294,$F$195:$F$294))</f>
        <v>0</v>
      </c>
      <c r="BB294">
        <f>IF(COUNT($E$2:$E294)&lt;20,"",INTERCEPT($E$195:$E$294,$F$195:$F$294))</f>
        <v>0</v>
      </c>
      <c r="BC294">
        <f>IF(OR(BA294="",BB294=""),"",BB294+BA294*F294)</f>
        <v>0</v>
      </c>
      <c r="BD294">
        <f>IF(COUNT($E$2:$E294)&lt;20,"",STEYX($E$195:$E$294,$F$195:$F$294))</f>
        <v>0</v>
      </c>
      <c r="BE294">
        <f>IF($E294="","",IF(AND(COUNT($E$295:$E$298)&gt;=4,$C294=MAX($C$290:$C$298)),$C294,""))</f>
        <v>0</v>
      </c>
      <c r="BF294">
        <f>IF($E294="","",IF(AND(COUNT($E$295:$E$298)&gt;=4,$D294=MIN($D$290:$D$298)),$D294,""))</f>
        <v>0</v>
      </c>
      <c r="BG294">
        <f>IFERROR(SMALL(Calc_Daily!$BM$2:$BM$2001,293),"")</f>
        <v>0</v>
      </c>
    </row>
    <row r="295" spans="1:59">
      <c r="A295" s="27">
        <f>IF($BG295="","",INDEX(Calc_Daily!$A$2:$A$2001,$BG295))</f>
        <v>0</v>
      </c>
      <c r="B295">
        <f>IF($BG295="","",INDEX(Calc_Daily!$BJ$2:$BJ$2001,$BG295))</f>
        <v>0</v>
      </c>
      <c r="C295">
        <f>IF($BG295="","",INDEX(Calc_Daily!$BK$2:$BK$2001,$BG295))</f>
        <v>0</v>
      </c>
      <c r="D295">
        <f>IF($BG295="","",INDEX(Calc_Daily!$BL$2:$BL$2001,$BG295))</f>
        <v>0</v>
      </c>
      <c r="E295">
        <f>IF($BG295="","",INDEX(Calc_Daily!$E$2:$E$2001,$BG295))</f>
        <v>0</v>
      </c>
      <c r="F295">
        <f>IF($E295="","",N(F294)+1)</f>
        <v>0</v>
      </c>
      <c r="G295">
        <f>IF(OR($E295="",$E294=""),"",LN($E295/$E294))</f>
        <v>0</v>
      </c>
      <c r="H295">
        <f>IF($E295="","",IF($E294="",$E295,$E295*0.0952380952+H294*0.9047619048))</f>
        <v>0</v>
      </c>
      <c r="I295">
        <f>IF($E295="","",IF($E294="",$E295,$E295*0.0392156863+I294*0.9607843137))</f>
        <v>0</v>
      </c>
      <c r="J295">
        <f>IF($E295="","",IF($E294="",$E295,$E295*0.0198019802+J294*0.9801980198))</f>
        <v>0</v>
      </c>
      <c r="K295">
        <f>IF($E295="","",IF($E294="",$E295,$E295*0.0099502488+K294*0.9900497512))</f>
        <v>0</v>
      </c>
      <c r="L295">
        <f>IF(OR($E295="",$E294=""),"",MAX($E295-$E294,0))</f>
        <v>0</v>
      </c>
      <c r="M295">
        <f>IF(OR($E295="",$E294=""),"",MAX($E294-$E295,0))</f>
        <v>0</v>
      </c>
      <c r="N295">
        <f>IF(COUNT($E$2:$E295)&lt;15,"",IF(AVERAGE($M$282:$M$295)=0,100,100-100/(1+AVERAGE($L$282:$L$295)/AVERAGE($M$282:$M$295))))</f>
        <v>0</v>
      </c>
      <c r="O295">
        <f>IF($E295="","",IF($E294="",$E295,$E295*0.1538461538+O294*0.8461538462))</f>
        <v>0</v>
      </c>
      <c r="P295">
        <f>IF($E295="","",IF($E294="",$E295,$E295*0.0740740741+P294*0.9259259259))</f>
        <v>0</v>
      </c>
      <c r="Q295">
        <f>IF(OR(O295="",P295=""),"",O295-P295)</f>
        <v>0</v>
      </c>
      <c r="R295">
        <f>IF(Q295="","",IF(R294="",Q295,Q295*0.2000000000+R294*0.8000000000))</f>
        <v>0</v>
      </c>
      <c r="S295">
        <f>IF(OR(Q295="",R295=""),"",Q295-R295)</f>
        <v>0</v>
      </c>
      <c r="T295">
        <f>IF(COUNT($E$2:$E295)&lt;14,"",MAX($C$282:$C$295))</f>
        <v>0</v>
      </c>
      <c r="U295">
        <f>IF(COUNT($E$2:$E295)&lt;14,"",MIN($D$282:$D$295))</f>
        <v>0</v>
      </c>
      <c r="V295">
        <f>IF(OR(T295="",U295="",T295=U295),"",100*($E295-U295)/(T295-U295))</f>
        <v>0</v>
      </c>
      <c r="W295">
        <f>IF(COUNT($V$293:$V$295)&lt;3,"",AVERAGE($V$293:$V$295))</f>
        <v>0</v>
      </c>
      <c r="X295">
        <f>IF(COUNT($N$282:$N$295)&lt;14,"",MIN($N$282:$N$295))</f>
        <v>0</v>
      </c>
      <c r="Y295">
        <f>IF(COUNT($N$282:$N$295)&lt;14,"",MAX($N$282:$N$295))</f>
        <v>0</v>
      </c>
      <c r="Z295">
        <f>IF(OR(N295="",X295="",Y295="",Y295=X295),"",100*(N295-X295)/(Y295-X295))</f>
        <v>0</v>
      </c>
      <c r="AA295">
        <f>IF(COUNT($Z$293:$Z$295)&lt;3,"",AVERAGE($Z$293:$Z$295))</f>
        <v>0</v>
      </c>
      <c r="AB295">
        <f>IF(COUNT($AA$293:$AA$295)&lt;3,"",AVERAGE($AA$293:$AA$295))</f>
        <v>0</v>
      </c>
      <c r="AC295">
        <f>IF($E295="","",MAX($C295-$D295,ABS($C295-$E294),ABS($D295-$E294)))</f>
        <v>0</v>
      </c>
      <c r="AD295">
        <f>IF(COUNT($E$2:$E295)&lt;15,"",AVERAGE($AC$282:$AC$295))</f>
        <v>0</v>
      </c>
      <c r="AE295">
        <f>IF(OR($E295="",$E294=""),"",IF(AND(($C295-$C294)&gt;($D294-$D295),($C295-$C294)&gt;0),$C295-$C294,0))</f>
        <v>0</v>
      </c>
      <c r="AF295">
        <f>IF(OR($E295="",$E294=""),"",IF(AND(($D294-$D295)&gt;($C295-$C294),($D294-$D295)&gt;0),$D294-$D295,0))</f>
        <v>0</v>
      </c>
      <c r="AG295">
        <f>IF(COUNT($E$2:$E295)&lt;15,"",IF(SUM($AC$282:$AC$295)=0,0,100*SUM($AE$282:$AE$295)/SUM($AC$282:$AC$295)))</f>
        <v>0</v>
      </c>
      <c r="AH295">
        <f>IF(COUNT($E$2:$E295)&lt;15,"",IF(SUM($AC$282:$AC$295)=0,0,100*SUM($AF$282:$AF$295)/SUM($AC$282:$AC$295)))</f>
        <v>0</v>
      </c>
      <c r="AI295">
        <f>IF(OR(AG295="",AH295=""),"",IF((AG295+AH295)=0,0,100*ABS(AG295-AH295)/(AG295+AH295)))</f>
        <v>0</v>
      </c>
      <c r="AJ295">
        <f>IF(COUNT($AI$282:$AI$295)&lt;14,"",AVERAGE($AI$282:$AI$295))</f>
        <v>0</v>
      </c>
      <c r="AK295">
        <f>IF(COUNT($E$2:$E295)&lt;20,"",AVERAGE($E$276:$E$295))</f>
        <v>0</v>
      </c>
      <c r="AL295">
        <f>IF(COUNT($E$2:$E295)&lt;20,"",STDEVP($E$276:$E$295))</f>
        <v>0</v>
      </c>
      <c r="AM295">
        <f>IF(AK295="","",AK295+2*AL295)</f>
        <v>0</v>
      </c>
      <c r="AN295">
        <f>IF(AK295="","",AK295-2*AL295)</f>
        <v>0</v>
      </c>
      <c r="AO295">
        <f>IF(OR(AM295="",AN295="",AM295=AN295),"",($E295-AN295)/(AM295-AN295))</f>
        <v>0</v>
      </c>
      <c r="AP295">
        <f>IF(OR(AM295="",AK295="",AK295=0),"",(AM295-AN295)/AK295)</f>
        <v>0</v>
      </c>
      <c r="AQ295">
        <f>IF(COUNT($E$2:$E295)&lt;20,"",MAX($C$276:$C$295))</f>
        <v>0</v>
      </c>
      <c r="AR295">
        <f>IF(COUNT($E$2:$E295)&lt;20,"",MIN($D$276:$D$295))</f>
        <v>0</v>
      </c>
      <c r="AS295">
        <f>IF(OR(AQ295="",AR295=""),"",(AQ295+AR295)/2)</f>
        <v>0</v>
      </c>
      <c r="AT295">
        <f>IF(COUNT($G$276:$G$295)&lt;20,"",STDEV($G$276:$G$295)*SQRT(52))</f>
        <v>0</v>
      </c>
      <c r="AU295">
        <f>IF(COUNT($E$2:$E295)&lt;9,"",(MAX($C$287:$C$295)+MIN($D$287:$D$295))/2)</f>
        <v>0</v>
      </c>
      <c r="AV295">
        <f>IF(COUNT($E$2:$E295)&lt;26,"",(MAX($C$270:$C$295)+MIN($D$270:$D$295))/2)</f>
        <v>0</v>
      </c>
      <c r="AW295">
        <f>IF(OR(AU295="",AV295=""),"",(AU295+AV295)/2)</f>
        <v>0</v>
      </c>
      <c r="AX295">
        <f>IF(COUNT($E$2:$E295)&lt;52,"",(MAX($C$244:$C$295)+MIN($D$244:$D$295))/2)</f>
        <v>0</v>
      </c>
      <c r="AY295">
        <f>IF(COUNT($E$2:$E295)&lt;20,"",MAX($C$196:$C$295))</f>
        <v>0</v>
      </c>
      <c r="AZ295">
        <f>IF(COUNT($E$2:$E295)&lt;20,"",MIN($D$196:$D$295))</f>
        <v>0</v>
      </c>
      <c r="BA295">
        <f>IF(COUNT($E$2:$E295)&lt;20,"",SLOPE($E$196:$E$295,$F$196:$F$295))</f>
        <v>0</v>
      </c>
      <c r="BB295">
        <f>IF(COUNT($E$2:$E295)&lt;20,"",INTERCEPT($E$196:$E$295,$F$196:$F$295))</f>
        <v>0</v>
      </c>
      <c r="BC295">
        <f>IF(OR(BA295="",BB295=""),"",BB295+BA295*F295)</f>
        <v>0</v>
      </c>
      <c r="BD295">
        <f>IF(COUNT($E$2:$E295)&lt;20,"",STEYX($E$196:$E$295,$F$196:$F$295))</f>
        <v>0</v>
      </c>
      <c r="BE295">
        <f>IF($E295="","",IF(AND(COUNT($E$296:$E$299)&gt;=4,$C295=MAX($C$291:$C$299)),$C295,""))</f>
        <v>0</v>
      </c>
      <c r="BF295">
        <f>IF($E295="","",IF(AND(COUNT($E$296:$E$299)&gt;=4,$D295=MIN($D$291:$D$299)),$D295,""))</f>
        <v>0</v>
      </c>
      <c r="BG295">
        <f>IFERROR(SMALL(Calc_Daily!$BM$2:$BM$2001,294),"")</f>
        <v>0</v>
      </c>
    </row>
    <row r="296" spans="1:59">
      <c r="A296" s="27">
        <f>IF($BG296="","",INDEX(Calc_Daily!$A$2:$A$2001,$BG296))</f>
        <v>0</v>
      </c>
      <c r="B296">
        <f>IF($BG296="","",INDEX(Calc_Daily!$BJ$2:$BJ$2001,$BG296))</f>
        <v>0</v>
      </c>
      <c r="C296">
        <f>IF($BG296="","",INDEX(Calc_Daily!$BK$2:$BK$2001,$BG296))</f>
        <v>0</v>
      </c>
      <c r="D296">
        <f>IF($BG296="","",INDEX(Calc_Daily!$BL$2:$BL$2001,$BG296))</f>
        <v>0</v>
      </c>
      <c r="E296">
        <f>IF($BG296="","",INDEX(Calc_Daily!$E$2:$E$2001,$BG296))</f>
        <v>0</v>
      </c>
      <c r="F296">
        <f>IF($E296="","",N(F295)+1)</f>
        <v>0</v>
      </c>
      <c r="G296">
        <f>IF(OR($E296="",$E295=""),"",LN($E296/$E295))</f>
        <v>0</v>
      </c>
      <c r="H296">
        <f>IF($E296="","",IF($E295="",$E296,$E296*0.0952380952+H295*0.9047619048))</f>
        <v>0</v>
      </c>
      <c r="I296">
        <f>IF($E296="","",IF($E295="",$E296,$E296*0.0392156863+I295*0.9607843137))</f>
        <v>0</v>
      </c>
      <c r="J296">
        <f>IF($E296="","",IF($E295="",$E296,$E296*0.0198019802+J295*0.9801980198))</f>
        <v>0</v>
      </c>
      <c r="K296">
        <f>IF($E296="","",IF($E295="",$E296,$E296*0.0099502488+K295*0.9900497512))</f>
        <v>0</v>
      </c>
      <c r="L296">
        <f>IF(OR($E296="",$E295=""),"",MAX($E296-$E295,0))</f>
        <v>0</v>
      </c>
      <c r="M296">
        <f>IF(OR($E296="",$E295=""),"",MAX($E295-$E296,0))</f>
        <v>0</v>
      </c>
      <c r="N296">
        <f>IF(COUNT($E$2:$E296)&lt;15,"",IF(AVERAGE($M$283:$M$296)=0,100,100-100/(1+AVERAGE($L$283:$L$296)/AVERAGE($M$283:$M$296))))</f>
        <v>0</v>
      </c>
      <c r="O296">
        <f>IF($E296="","",IF($E295="",$E296,$E296*0.1538461538+O295*0.8461538462))</f>
        <v>0</v>
      </c>
      <c r="P296">
        <f>IF($E296="","",IF($E295="",$E296,$E296*0.0740740741+P295*0.9259259259))</f>
        <v>0</v>
      </c>
      <c r="Q296">
        <f>IF(OR(O296="",P296=""),"",O296-P296)</f>
        <v>0</v>
      </c>
      <c r="R296">
        <f>IF(Q296="","",IF(R295="",Q296,Q296*0.2000000000+R295*0.8000000000))</f>
        <v>0</v>
      </c>
      <c r="S296">
        <f>IF(OR(Q296="",R296=""),"",Q296-R296)</f>
        <v>0</v>
      </c>
      <c r="T296">
        <f>IF(COUNT($E$2:$E296)&lt;14,"",MAX($C$283:$C$296))</f>
        <v>0</v>
      </c>
      <c r="U296">
        <f>IF(COUNT($E$2:$E296)&lt;14,"",MIN($D$283:$D$296))</f>
        <v>0</v>
      </c>
      <c r="V296">
        <f>IF(OR(T296="",U296="",T296=U296),"",100*($E296-U296)/(T296-U296))</f>
        <v>0</v>
      </c>
      <c r="W296">
        <f>IF(COUNT($V$294:$V$296)&lt;3,"",AVERAGE($V$294:$V$296))</f>
        <v>0</v>
      </c>
      <c r="X296">
        <f>IF(COUNT($N$283:$N$296)&lt;14,"",MIN($N$283:$N$296))</f>
        <v>0</v>
      </c>
      <c r="Y296">
        <f>IF(COUNT($N$283:$N$296)&lt;14,"",MAX($N$283:$N$296))</f>
        <v>0</v>
      </c>
      <c r="Z296">
        <f>IF(OR(N296="",X296="",Y296="",Y296=X296),"",100*(N296-X296)/(Y296-X296))</f>
        <v>0</v>
      </c>
      <c r="AA296">
        <f>IF(COUNT($Z$294:$Z$296)&lt;3,"",AVERAGE($Z$294:$Z$296))</f>
        <v>0</v>
      </c>
      <c r="AB296">
        <f>IF(COUNT($AA$294:$AA$296)&lt;3,"",AVERAGE($AA$294:$AA$296))</f>
        <v>0</v>
      </c>
      <c r="AC296">
        <f>IF($E296="","",MAX($C296-$D296,ABS($C296-$E295),ABS($D296-$E295)))</f>
        <v>0</v>
      </c>
      <c r="AD296">
        <f>IF(COUNT($E$2:$E296)&lt;15,"",AVERAGE($AC$283:$AC$296))</f>
        <v>0</v>
      </c>
      <c r="AE296">
        <f>IF(OR($E296="",$E295=""),"",IF(AND(($C296-$C295)&gt;($D295-$D296),($C296-$C295)&gt;0),$C296-$C295,0))</f>
        <v>0</v>
      </c>
      <c r="AF296">
        <f>IF(OR($E296="",$E295=""),"",IF(AND(($D295-$D296)&gt;($C296-$C295),($D295-$D296)&gt;0),$D295-$D296,0))</f>
        <v>0</v>
      </c>
      <c r="AG296">
        <f>IF(COUNT($E$2:$E296)&lt;15,"",IF(SUM($AC$283:$AC$296)=0,0,100*SUM($AE$283:$AE$296)/SUM($AC$283:$AC$296)))</f>
        <v>0</v>
      </c>
      <c r="AH296">
        <f>IF(COUNT($E$2:$E296)&lt;15,"",IF(SUM($AC$283:$AC$296)=0,0,100*SUM($AF$283:$AF$296)/SUM($AC$283:$AC$296)))</f>
        <v>0</v>
      </c>
      <c r="AI296">
        <f>IF(OR(AG296="",AH296=""),"",IF((AG296+AH296)=0,0,100*ABS(AG296-AH296)/(AG296+AH296)))</f>
        <v>0</v>
      </c>
      <c r="AJ296">
        <f>IF(COUNT($AI$283:$AI$296)&lt;14,"",AVERAGE($AI$283:$AI$296))</f>
        <v>0</v>
      </c>
      <c r="AK296">
        <f>IF(COUNT($E$2:$E296)&lt;20,"",AVERAGE($E$277:$E$296))</f>
        <v>0</v>
      </c>
      <c r="AL296">
        <f>IF(COUNT($E$2:$E296)&lt;20,"",STDEVP($E$277:$E$296))</f>
        <v>0</v>
      </c>
      <c r="AM296">
        <f>IF(AK296="","",AK296+2*AL296)</f>
        <v>0</v>
      </c>
      <c r="AN296">
        <f>IF(AK296="","",AK296-2*AL296)</f>
        <v>0</v>
      </c>
      <c r="AO296">
        <f>IF(OR(AM296="",AN296="",AM296=AN296),"",($E296-AN296)/(AM296-AN296))</f>
        <v>0</v>
      </c>
      <c r="AP296">
        <f>IF(OR(AM296="",AK296="",AK296=0),"",(AM296-AN296)/AK296)</f>
        <v>0</v>
      </c>
      <c r="AQ296">
        <f>IF(COUNT($E$2:$E296)&lt;20,"",MAX($C$277:$C$296))</f>
        <v>0</v>
      </c>
      <c r="AR296">
        <f>IF(COUNT($E$2:$E296)&lt;20,"",MIN($D$277:$D$296))</f>
        <v>0</v>
      </c>
      <c r="AS296">
        <f>IF(OR(AQ296="",AR296=""),"",(AQ296+AR296)/2)</f>
        <v>0</v>
      </c>
      <c r="AT296">
        <f>IF(COUNT($G$277:$G$296)&lt;20,"",STDEV($G$277:$G$296)*SQRT(52))</f>
        <v>0</v>
      </c>
      <c r="AU296">
        <f>IF(COUNT($E$2:$E296)&lt;9,"",(MAX($C$288:$C$296)+MIN($D$288:$D$296))/2)</f>
        <v>0</v>
      </c>
      <c r="AV296">
        <f>IF(COUNT($E$2:$E296)&lt;26,"",(MAX($C$271:$C$296)+MIN($D$271:$D$296))/2)</f>
        <v>0</v>
      </c>
      <c r="AW296">
        <f>IF(OR(AU296="",AV296=""),"",(AU296+AV296)/2)</f>
        <v>0</v>
      </c>
      <c r="AX296">
        <f>IF(COUNT($E$2:$E296)&lt;52,"",(MAX($C$245:$C$296)+MIN($D$245:$D$296))/2)</f>
        <v>0</v>
      </c>
      <c r="AY296">
        <f>IF(COUNT($E$2:$E296)&lt;20,"",MAX($C$197:$C$296))</f>
        <v>0</v>
      </c>
      <c r="AZ296">
        <f>IF(COUNT($E$2:$E296)&lt;20,"",MIN($D$197:$D$296))</f>
        <v>0</v>
      </c>
      <c r="BA296">
        <f>IF(COUNT($E$2:$E296)&lt;20,"",SLOPE($E$197:$E$296,$F$197:$F$296))</f>
        <v>0</v>
      </c>
      <c r="BB296">
        <f>IF(COUNT($E$2:$E296)&lt;20,"",INTERCEPT($E$197:$E$296,$F$197:$F$296))</f>
        <v>0</v>
      </c>
      <c r="BC296">
        <f>IF(OR(BA296="",BB296=""),"",BB296+BA296*F296)</f>
        <v>0</v>
      </c>
      <c r="BD296">
        <f>IF(COUNT($E$2:$E296)&lt;20,"",STEYX($E$197:$E$296,$F$197:$F$296))</f>
        <v>0</v>
      </c>
      <c r="BE296">
        <f>IF($E296="","",IF(AND(COUNT($E$297:$E$300)&gt;=4,$C296=MAX($C$292:$C$300)),$C296,""))</f>
        <v>0</v>
      </c>
      <c r="BF296">
        <f>IF($E296="","",IF(AND(COUNT($E$297:$E$300)&gt;=4,$D296=MIN($D$292:$D$300)),$D296,""))</f>
        <v>0</v>
      </c>
      <c r="BG296">
        <f>IFERROR(SMALL(Calc_Daily!$BM$2:$BM$2001,295),"")</f>
        <v>0</v>
      </c>
    </row>
    <row r="297" spans="1:59">
      <c r="A297" s="27">
        <f>IF($BG297="","",INDEX(Calc_Daily!$A$2:$A$2001,$BG297))</f>
        <v>0</v>
      </c>
      <c r="B297">
        <f>IF($BG297="","",INDEX(Calc_Daily!$BJ$2:$BJ$2001,$BG297))</f>
        <v>0</v>
      </c>
      <c r="C297">
        <f>IF($BG297="","",INDEX(Calc_Daily!$BK$2:$BK$2001,$BG297))</f>
        <v>0</v>
      </c>
      <c r="D297">
        <f>IF($BG297="","",INDEX(Calc_Daily!$BL$2:$BL$2001,$BG297))</f>
        <v>0</v>
      </c>
      <c r="E297">
        <f>IF($BG297="","",INDEX(Calc_Daily!$E$2:$E$2001,$BG297))</f>
        <v>0</v>
      </c>
      <c r="F297">
        <f>IF($E297="","",N(F296)+1)</f>
        <v>0</v>
      </c>
      <c r="G297">
        <f>IF(OR($E297="",$E296=""),"",LN($E297/$E296))</f>
        <v>0</v>
      </c>
      <c r="H297">
        <f>IF($E297="","",IF($E296="",$E297,$E297*0.0952380952+H296*0.9047619048))</f>
        <v>0</v>
      </c>
      <c r="I297">
        <f>IF($E297="","",IF($E296="",$E297,$E297*0.0392156863+I296*0.9607843137))</f>
        <v>0</v>
      </c>
      <c r="J297">
        <f>IF($E297="","",IF($E296="",$E297,$E297*0.0198019802+J296*0.9801980198))</f>
        <v>0</v>
      </c>
      <c r="K297">
        <f>IF($E297="","",IF($E296="",$E297,$E297*0.0099502488+K296*0.9900497512))</f>
        <v>0</v>
      </c>
      <c r="L297">
        <f>IF(OR($E297="",$E296=""),"",MAX($E297-$E296,0))</f>
        <v>0</v>
      </c>
      <c r="M297">
        <f>IF(OR($E297="",$E296=""),"",MAX($E296-$E297,0))</f>
        <v>0</v>
      </c>
      <c r="N297">
        <f>IF(COUNT($E$2:$E297)&lt;15,"",IF(AVERAGE($M$284:$M$297)=0,100,100-100/(1+AVERAGE($L$284:$L$297)/AVERAGE($M$284:$M$297))))</f>
        <v>0</v>
      </c>
      <c r="O297">
        <f>IF($E297="","",IF($E296="",$E297,$E297*0.1538461538+O296*0.8461538462))</f>
        <v>0</v>
      </c>
      <c r="P297">
        <f>IF($E297="","",IF($E296="",$E297,$E297*0.0740740741+P296*0.9259259259))</f>
        <v>0</v>
      </c>
      <c r="Q297">
        <f>IF(OR(O297="",P297=""),"",O297-P297)</f>
        <v>0</v>
      </c>
      <c r="R297">
        <f>IF(Q297="","",IF(R296="",Q297,Q297*0.2000000000+R296*0.8000000000))</f>
        <v>0</v>
      </c>
      <c r="S297">
        <f>IF(OR(Q297="",R297=""),"",Q297-R297)</f>
        <v>0</v>
      </c>
      <c r="T297">
        <f>IF(COUNT($E$2:$E297)&lt;14,"",MAX($C$284:$C$297))</f>
        <v>0</v>
      </c>
      <c r="U297">
        <f>IF(COUNT($E$2:$E297)&lt;14,"",MIN($D$284:$D$297))</f>
        <v>0</v>
      </c>
      <c r="V297">
        <f>IF(OR(T297="",U297="",T297=U297),"",100*($E297-U297)/(T297-U297))</f>
        <v>0</v>
      </c>
      <c r="W297">
        <f>IF(COUNT($V$295:$V$297)&lt;3,"",AVERAGE($V$295:$V$297))</f>
        <v>0</v>
      </c>
      <c r="X297">
        <f>IF(COUNT($N$284:$N$297)&lt;14,"",MIN($N$284:$N$297))</f>
        <v>0</v>
      </c>
      <c r="Y297">
        <f>IF(COUNT($N$284:$N$297)&lt;14,"",MAX($N$284:$N$297))</f>
        <v>0</v>
      </c>
      <c r="Z297">
        <f>IF(OR(N297="",X297="",Y297="",Y297=X297),"",100*(N297-X297)/(Y297-X297))</f>
        <v>0</v>
      </c>
      <c r="AA297">
        <f>IF(COUNT($Z$295:$Z$297)&lt;3,"",AVERAGE($Z$295:$Z$297))</f>
        <v>0</v>
      </c>
      <c r="AB297">
        <f>IF(COUNT($AA$295:$AA$297)&lt;3,"",AVERAGE($AA$295:$AA$297))</f>
        <v>0</v>
      </c>
      <c r="AC297">
        <f>IF($E297="","",MAX($C297-$D297,ABS($C297-$E296),ABS($D297-$E296)))</f>
        <v>0</v>
      </c>
      <c r="AD297">
        <f>IF(COUNT($E$2:$E297)&lt;15,"",AVERAGE($AC$284:$AC$297))</f>
        <v>0</v>
      </c>
      <c r="AE297">
        <f>IF(OR($E297="",$E296=""),"",IF(AND(($C297-$C296)&gt;($D296-$D297),($C297-$C296)&gt;0),$C297-$C296,0))</f>
        <v>0</v>
      </c>
      <c r="AF297">
        <f>IF(OR($E297="",$E296=""),"",IF(AND(($D296-$D297)&gt;($C297-$C296),($D296-$D297)&gt;0),$D296-$D297,0))</f>
        <v>0</v>
      </c>
      <c r="AG297">
        <f>IF(COUNT($E$2:$E297)&lt;15,"",IF(SUM($AC$284:$AC$297)=0,0,100*SUM($AE$284:$AE$297)/SUM($AC$284:$AC$297)))</f>
        <v>0</v>
      </c>
      <c r="AH297">
        <f>IF(COUNT($E$2:$E297)&lt;15,"",IF(SUM($AC$284:$AC$297)=0,0,100*SUM($AF$284:$AF$297)/SUM($AC$284:$AC$297)))</f>
        <v>0</v>
      </c>
      <c r="AI297">
        <f>IF(OR(AG297="",AH297=""),"",IF((AG297+AH297)=0,0,100*ABS(AG297-AH297)/(AG297+AH297)))</f>
        <v>0</v>
      </c>
      <c r="AJ297">
        <f>IF(COUNT($AI$284:$AI$297)&lt;14,"",AVERAGE($AI$284:$AI$297))</f>
        <v>0</v>
      </c>
      <c r="AK297">
        <f>IF(COUNT($E$2:$E297)&lt;20,"",AVERAGE($E$278:$E$297))</f>
        <v>0</v>
      </c>
      <c r="AL297">
        <f>IF(COUNT($E$2:$E297)&lt;20,"",STDEVP($E$278:$E$297))</f>
        <v>0</v>
      </c>
      <c r="AM297">
        <f>IF(AK297="","",AK297+2*AL297)</f>
        <v>0</v>
      </c>
      <c r="AN297">
        <f>IF(AK297="","",AK297-2*AL297)</f>
        <v>0</v>
      </c>
      <c r="AO297">
        <f>IF(OR(AM297="",AN297="",AM297=AN297),"",($E297-AN297)/(AM297-AN297))</f>
        <v>0</v>
      </c>
      <c r="AP297">
        <f>IF(OR(AM297="",AK297="",AK297=0),"",(AM297-AN297)/AK297)</f>
        <v>0</v>
      </c>
      <c r="AQ297">
        <f>IF(COUNT($E$2:$E297)&lt;20,"",MAX($C$278:$C$297))</f>
        <v>0</v>
      </c>
      <c r="AR297">
        <f>IF(COUNT($E$2:$E297)&lt;20,"",MIN($D$278:$D$297))</f>
        <v>0</v>
      </c>
      <c r="AS297">
        <f>IF(OR(AQ297="",AR297=""),"",(AQ297+AR297)/2)</f>
        <v>0</v>
      </c>
      <c r="AT297">
        <f>IF(COUNT($G$278:$G$297)&lt;20,"",STDEV($G$278:$G$297)*SQRT(52))</f>
        <v>0</v>
      </c>
      <c r="AU297">
        <f>IF(COUNT($E$2:$E297)&lt;9,"",(MAX($C$289:$C$297)+MIN($D$289:$D$297))/2)</f>
        <v>0</v>
      </c>
      <c r="AV297">
        <f>IF(COUNT($E$2:$E297)&lt;26,"",(MAX($C$272:$C$297)+MIN($D$272:$D$297))/2)</f>
        <v>0</v>
      </c>
      <c r="AW297">
        <f>IF(OR(AU297="",AV297=""),"",(AU297+AV297)/2)</f>
        <v>0</v>
      </c>
      <c r="AX297">
        <f>IF(COUNT($E$2:$E297)&lt;52,"",(MAX($C$246:$C$297)+MIN($D$246:$D$297))/2)</f>
        <v>0</v>
      </c>
      <c r="AY297">
        <f>IF(COUNT($E$2:$E297)&lt;20,"",MAX($C$198:$C$297))</f>
        <v>0</v>
      </c>
      <c r="AZ297">
        <f>IF(COUNT($E$2:$E297)&lt;20,"",MIN($D$198:$D$297))</f>
        <v>0</v>
      </c>
      <c r="BA297">
        <f>IF(COUNT($E$2:$E297)&lt;20,"",SLOPE($E$198:$E$297,$F$198:$F$297))</f>
        <v>0</v>
      </c>
      <c r="BB297">
        <f>IF(COUNT($E$2:$E297)&lt;20,"",INTERCEPT($E$198:$E$297,$F$198:$F$297))</f>
        <v>0</v>
      </c>
      <c r="BC297">
        <f>IF(OR(BA297="",BB297=""),"",BB297+BA297*F297)</f>
        <v>0</v>
      </c>
      <c r="BD297">
        <f>IF(COUNT($E$2:$E297)&lt;20,"",STEYX($E$198:$E$297,$F$198:$F$297))</f>
        <v>0</v>
      </c>
      <c r="BE297">
        <f>IF($E297="","",IF(AND(COUNT($E$298:$E$301)&gt;=4,$C297=MAX($C$293:$C$301)),$C297,""))</f>
        <v>0</v>
      </c>
      <c r="BF297">
        <f>IF($E297="","",IF(AND(COUNT($E$298:$E$301)&gt;=4,$D297=MIN($D$293:$D$301)),$D297,""))</f>
        <v>0</v>
      </c>
      <c r="BG297">
        <f>IFERROR(SMALL(Calc_Daily!$BM$2:$BM$2001,296),"")</f>
        <v>0</v>
      </c>
    </row>
    <row r="298" spans="1:59">
      <c r="A298" s="27">
        <f>IF($BG298="","",INDEX(Calc_Daily!$A$2:$A$2001,$BG298))</f>
        <v>0</v>
      </c>
      <c r="B298">
        <f>IF($BG298="","",INDEX(Calc_Daily!$BJ$2:$BJ$2001,$BG298))</f>
        <v>0</v>
      </c>
      <c r="C298">
        <f>IF($BG298="","",INDEX(Calc_Daily!$BK$2:$BK$2001,$BG298))</f>
        <v>0</v>
      </c>
      <c r="D298">
        <f>IF($BG298="","",INDEX(Calc_Daily!$BL$2:$BL$2001,$BG298))</f>
        <v>0</v>
      </c>
      <c r="E298">
        <f>IF($BG298="","",INDEX(Calc_Daily!$E$2:$E$2001,$BG298))</f>
        <v>0</v>
      </c>
      <c r="F298">
        <f>IF($E298="","",N(F297)+1)</f>
        <v>0</v>
      </c>
      <c r="G298">
        <f>IF(OR($E298="",$E297=""),"",LN($E298/$E297))</f>
        <v>0</v>
      </c>
      <c r="H298">
        <f>IF($E298="","",IF($E297="",$E298,$E298*0.0952380952+H297*0.9047619048))</f>
        <v>0</v>
      </c>
      <c r="I298">
        <f>IF($E298="","",IF($E297="",$E298,$E298*0.0392156863+I297*0.9607843137))</f>
        <v>0</v>
      </c>
      <c r="J298">
        <f>IF($E298="","",IF($E297="",$E298,$E298*0.0198019802+J297*0.9801980198))</f>
        <v>0</v>
      </c>
      <c r="K298">
        <f>IF($E298="","",IF($E297="",$E298,$E298*0.0099502488+K297*0.9900497512))</f>
        <v>0</v>
      </c>
      <c r="L298">
        <f>IF(OR($E298="",$E297=""),"",MAX($E298-$E297,0))</f>
        <v>0</v>
      </c>
      <c r="M298">
        <f>IF(OR($E298="",$E297=""),"",MAX($E297-$E298,0))</f>
        <v>0</v>
      </c>
      <c r="N298">
        <f>IF(COUNT($E$2:$E298)&lt;15,"",IF(AVERAGE($M$285:$M$298)=0,100,100-100/(1+AVERAGE($L$285:$L$298)/AVERAGE($M$285:$M$298))))</f>
        <v>0</v>
      </c>
      <c r="O298">
        <f>IF($E298="","",IF($E297="",$E298,$E298*0.1538461538+O297*0.8461538462))</f>
        <v>0</v>
      </c>
      <c r="P298">
        <f>IF($E298="","",IF($E297="",$E298,$E298*0.0740740741+P297*0.9259259259))</f>
        <v>0</v>
      </c>
      <c r="Q298">
        <f>IF(OR(O298="",P298=""),"",O298-P298)</f>
        <v>0</v>
      </c>
      <c r="R298">
        <f>IF(Q298="","",IF(R297="",Q298,Q298*0.2000000000+R297*0.8000000000))</f>
        <v>0</v>
      </c>
      <c r="S298">
        <f>IF(OR(Q298="",R298=""),"",Q298-R298)</f>
        <v>0</v>
      </c>
      <c r="T298">
        <f>IF(COUNT($E$2:$E298)&lt;14,"",MAX($C$285:$C$298))</f>
        <v>0</v>
      </c>
      <c r="U298">
        <f>IF(COUNT($E$2:$E298)&lt;14,"",MIN($D$285:$D$298))</f>
        <v>0</v>
      </c>
      <c r="V298">
        <f>IF(OR(T298="",U298="",T298=U298),"",100*($E298-U298)/(T298-U298))</f>
        <v>0</v>
      </c>
      <c r="W298">
        <f>IF(COUNT($V$296:$V$298)&lt;3,"",AVERAGE($V$296:$V$298))</f>
        <v>0</v>
      </c>
      <c r="X298">
        <f>IF(COUNT($N$285:$N$298)&lt;14,"",MIN($N$285:$N$298))</f>
        <v>0</v>
      </c>
      <c r="Y298">
        <f>IF(COUNT($N$285:$N$298)&lt;14,"",MAX($N$285:$N$298))</f>
        <v>0</v>
      </c>
      <c r="Z298">
        <f>IF(OR(N298="",X298="",Y298="",Y298=X298),"",100*(N298-X298)/(Y298-X298))</f>
        <v>0</v>
      </c>
      <c r="AA298">
        <f>IF(COUNT($Z$296:$Z$298)&lt;3,"",AVERAGE($Z$296:$Z$298))</f>
        <v>0</v>
      </c>
      <c r="AB298">
        <f>IF(COUNT($AA$296:$AA$298)&lt;3,"",AVERAGE($AA$296:$AA$298))</f>
        <v>0</v>
      </c>
      <c r="AC298">
        <f>IF($E298="","",MAX($C298-$D298,ABS($C298-$E297),ABS($D298-$E297)))</f>
        <v>0</v>
      </c>
      <c r="AD298">
        <f>IF(COUNT($E$2:$E298)&lt;15,"",AVERAGE($AC$285:$AC$298))</f>
        <v>0</v>
      </c>
      <c r="AE298">
        <f>IF(OR($E298="",$E297=""),"",IF(AND(($C298-$C297)&gt;($D297-$D298),($C298-$C297)&gt;0),$C298-$C297,0))</f>
        <v>0</v>
      </c>
      <c r="AF298">
        <f>IF(OR($E298="",$E297=""),"",IF(AND(($D297-$D298)&gt;($C298-$C297),($D297-$D298)&gt;0),$D297-$D298,0))</f>
        <v>0</v>
      </c>
      <c r="AG298">
        <f>IF(COUNT($E$2:$E298)&lt;15,"",IF(SUM($AC$285:$AC$298)=0,0,100*SUM($AE$285:$AE$298)/SUM($AC$285:$AC$298)))</f>
        <v>0</v>
      </c>
      <c r="AH298">
        <f>IF(COUNT($E$2:$E298)&lt;15,"",IF(SUM($AC$285:$AC$298)=0,0,100*SUM($AF$285:$AF$298)/SUM($AC$285:$AC$298)))</f>
        <v>0</v>
      </c>
      <c r="AI298">
        <f>IF(OR(AG298="",AH298=""),"",IF((AG298+AH298)=0,0,100*ABS(AG298-AH298)/(AG298+AH298)))</f>
        <v>0</v>
      </c>
      <c r="AJ298">
        <f>IF(COUNT($AI$285:$AI$298)&lt;14,"",AVERAGE($AI$285:$AI$298))</f>
        <v>0</v>
      </c>
      <c r="AK298">
        <f>IF(COUNT($E$2:$E298)&lt;20,"",AVERAGE($E$279:$E$298))</f>
        <v>0</v>
      </c>
      <c r="AL298">
        <f>IF(COUNT($E$2:$E298)&lt;20,"",STDEVP($E$279:$E$298))</f>
        <v>0</v>
      </c>
      <c r="AM298">
        <f>IF(AK298="","",AK298+2*AL298)</f>
        <v>0</v>
      </c>
      <c r="AN298">
        <f>IF(AK298="","",AK298-2*AL298)</f>
        <v>0</v>
      </c>
      <c r="AO298">
        <f>IF(OR(AM298="",AN298="",AM298=AN298),"",($E298-AN298)/(AM298-AN298))</f>
        <v>0</v>
      </c>
      <c r="AP298">
        <f>IF(OR(AM298="",AK298="",AK298=0),"",(AM298-AN298)/AK298)</f>
        <v>0</v>
      </c>
      <c r="AQ298">
        <f>IF(COUNT($E$2:$E298)&lt;20,"",MAX($C$279:$C$298))</f>
        <v>0</v>
      </c>
      <c r="AR298">
        <f>IF(COUNT($E$2:$E298)&lt;20,"",MIN($D$279:$D$298))</f>
        <v>0</v>
      </c>
      <c r="AS298">
        <f>IF(OR(AQ298="",AR298=""),"",(AQ298+AR298)/2)</f>
        <v>0</v>
      </c>
      <c r="AT298">
        <f>IF(COUNT($G$279:$G$298)&lt;20,"",STDEV($G$279:$G$298)*SQRT(52))</f>
        <v>0</v>
      </c>
      <c r="AU298">
        <f>IF(COUNT($E$2:$E298)&lt;9,"",(MAX($C$290:$C$298)+MIN($D$290:$D$298))/2)</f>
        <v>0</v>
      </c>
      <c r="AV298">
        <f>IF(COUNT($E$2:$E298)&lt;26,"",(MAX($C$273:$C$298)+MIN($D$273:$D$298))/2)</f>
        <v>0</v>
      </c>
      <c r="AW298">
        <f>IF(OR(AU298="",AV298=""),"",(AU298+AV298)/2)</f>
        <v>0</v>
      </c>
      <c r="AX298">
        <f>IF(COUNT($E$2:$E298)&lt;52,"",(MAX($C$247:$C$298)+MIN($D$247:$D$298))/2)</f>
        <v>0</v>
      </c>
      <c r="AY298">
        <f>IF(COUNT($E$2:$E298)&lt;20,"",MAX($C$199:$C$298))</f>
        <v>0</v>
      </c>
      <c r="AZ298">
        <f>IF(COUNT($E$2:$E298)&lt;20,"",MIN($D$199:$D$298))</f>
        <v>0</v>
      </c>
      <c r="BA298">
        <f>IF(COUNT($E$2:$E298)&lt;20,"",SLOPE($E$199:$E$298,$F$199:$F$298))</f>
        <v>0</v>
      </c>
      <c r="BB298">
        <f>IF(COUNT($E$2:$E298)&lt;20,"",INTERCEPT($E$199:$E$298,$F$199:$F$298))</f>
        <v>0</v>
      </c>
      <c r="BC298">
        <f>IF(OR(BA298="",BB298=""),"",BB298+BA298*F298)</f>
        <v>0</v>
      </c>
      <c r="BD298">
        <f>IF(COUNT($E$2:$E298)&lt;20,"",STEYX($E$199:$E$298,$F$199:$F$298))</f>
        <v>0</v>
      </c>
      <c r="BE298">
        <f>IF($E298="","",IF(AND(COUNT($E$299:$E$302)&gt;=4,$C298=MAX($C$294:$C$302)),$C298,""))</f>
        <v>0</v>
      </c>
      <c r="BF298">
        <f>IF($E298="","",IF(AND(COUNT($E$299:$E$302)&gt;=4,$D298=MIN($D$294:$D$302)),$D298,""))</f>
        <v>0</v>
      </c>
      <c r="BG298">
        <f>IFERROR(SMALL(Calc_Daily!$BM$2:$BM$2001,297),"")</f>
        <v>0</v>
      </c>
    </row>
    <row r="299" spans="1:59">
      <c r="A299" s="27">
        <f>IF($BG299="","",INDEX(Calc_Daily!$A$2:$A$2001,$BG299))</f>
        <v>0</v>
      </c>
      <c r="B299">
        <f>IF($BG299="","",INDEX(Calc_Daily!$BJ$2:$BJ$2001,$BG299))</f>
        <v>0</v>
      </c>
      <c r="C299">
        <f>IF($BG299="","",INDEX(Calc_Daily!$BK$2:$BK$2001,$BG299))</f>
        <v>0</v>
      </c>
      <c r="D299">
        <f>IF($BG299="","",INDEX(Calc_Daily!$BL$2:$BL$2001,$BG299))</f>
        <v>0</v>
      </c>
      <c r="E299">
        <f>IF($BG299="","",INDEX(Calc_Daily!$E$2:$E$2001,$BG299))</f>
        <v>0</v>
      </c>
      <c r="F299">
        <f>IF($E299="","",N(F298)+1)</f>
        <v>0</v>
      </c>
      <c r="G299">
        <f>IF(OR($E299="",$E298=""),"",LN($E299/$E298))</f>
        <v>0</v>
      </c>
      <c r="H299">
        <f>IF($E299="","",IF($E298="",$E299,$E299*0.0952380952+H298*0.9047619048))</f>
        <v>0</v>
      </c>
      <c r="I299">
        <f>IF($E299="","",IF($E298="",$E299,$E299*0.0392156863+I298*0.9607843137))</f>
        <v>0</v>
      </c>
      <c r="J299">
        <f>IF($E299="","",IF($E298="",$E299,$E299*0.0198019802+J298*0.9801980198))</f>
        <v>0</v>
      </c>
      <c r="K299">
        <f>IF($E299="","",IF($E298="",$E299,$E299*0.0099502488+K298*0.9900497512))</f>
        <v>0</v>
      </c>
      <c r="L299">
        <f>IF(OR($E299="",$E298=""),"",MAX($E299-$E298,0))</f>
        <v>0</v>
      </c>
      <c r="M299">
        <f>IF(OR($E299="",$E298=""),"",MAX($E298-$E299,0))</f>
        <v>0</v>
      </c>
      <c r="N299">
        <f>IF(COUNT($E$2:$E299)&lt;15,"",IF(AVERAGE($M$286:$M$299)=0,100,100-100/(1+AVERAGE($L$286:$L$299)/AVERAGE($M$286:$M$299))))</f>
        <v>0</v>
      </c>
      <c r="O299">
        <f>IF($E299="","",IF($E298="",$E299,$E299*0.1538461538+O298*0.8461538462))</f>
        <v>0</v>
      </c>
      <c r="P299">
        <f>IF($E299="","",IF($E298="",$E299,$E299*0.0740740741+P298*0.9259259259))</f>
        <v>0</v>
      </c>
      <c r="Q299">
        <f>IF(OR(O299="",P299=""),"",O299-P299)</f>
        <v>0</v>
      </c>
      <c r="R299">
        <f>IF(Q299="","",IF(R298="",Q299,Q299*0.2000000000+R298*0.8000000000))</f>
        <v>0</v>
      </c>
      <c r="S299">
        <f>IF(OR(Q299="",R299=""),"",Q299-R299)</f>
        <v>0</v>
      </c>
      <c r="T299">
        <f>IF(COUNT($E$2:$E299)&lt;14,"",MAX($C$286:$C$299))</f>
        <v>0</v>
      </c>
      <c r="U299">
        <f>IF(COUNT($E$2:$E299)&lt;14,"",MIN($D$286:$D$299))</f>
        <v>0</v>
      </c>
      <c r="V299">
        <f>IF(OR(T299="",U299="",T299=U299),"",100*($E299-U299)/(T299-U299))</f>
        <v>0</v>
      </c>
      <c r="W299">
        <f>IF(COUNT($V$297:$V$299)&lt;3,"",AVERAGE($V$297:$V$299))</f>
        <v>0</v>
      </c>
      <c r="X299">
        <f>IF(COUNT($N$286:$N$299)&lt;14,"",MIN($N$286:$N$299))</f>
        <v>0</v>
      </c>
      <c r="Y299">
        <f>IF(COUNT($N$286:$N$299)&lt;14,"",MAX($N$286:$N$299))</f>
        <v>0</v>
      </c>
      <c r="Z299">
        <f>IF(OR(N299="",X299="",Y299="",Y299=X299),"",100*(N299-X299)/(Y299-X299))</f>
        <v>0</v>
      </c>
      <c r="AA299">
        <f>IF(COUNT($Z$297:$Z$299)&lt;3,"",AVERAGE($Z$297:$Z$299))</f>
        <v>0</v>
      </c>
      <c r="AB299">
        <f>IF(COUNT($AA$297:$AA$299)&lt;3,"",AVERAGE($AA$297:$AA$299))</f>
        <v>0</v>
      </c>
      <c r="AC299">
        <f>IF($E299="","",MAX($C299-$D299,ABS($C299-$E298),ABS($D299-$E298)))</f>
        <v>0</v>
      </c>
      <c r="AD299">
        <f>IF(COUNT($E$2:$E299)&lt;15,"",AVERAGE($AC$286:$AC$299))</f>
        <v>0</v>
      </c>
      <c r="AE299">
        <f>IF(OR($E299="",$E298=""),"",IF(AND(($C299-$C298)&gt;($D298-$D299),($C299-$C298)&gt;0),$C299-$C298,0))</f>
        <v>0</v>
      </c>
      <c r="AF299">
        <f>IF(OR($E299="",$E298=""),"",IF(AND(($D298-$D299)&gt;($C299-$C298),($D298-$D299)&gt;0),$D298-$D299,0))</f>
        <v>0</v>
      </c>
      <c r="AG299">
        <f>IF(COUNT($E$2:$E299)&lt;15,"",IF(SUM($AC$286:$AC$299)=0,0,100*SUM($AE$286:$AE$299)/SUM($AC$286:$AC$299)))</f>
        <v>0</v>
      </c>
      <c r="AH299">
        <f>IF(COUNT($E$2:$E299)&lt;15,"",IF(SUM($AC$286:$AC$299)=0,0,100*SUM($AF$286:$AF$299)/SUM($AC$286:$AC$299)))</f>
        <v>0</v>
      </c>
      <c r="AI299">
        <f>IF(OR(AG299="",AH299=""),"",IF((AG299+AH299)=0,0,100*ABS(AG299-AH299)/(AG299+AH299)))</f>
        <v>0</v>
      </c>
      <c r="AJ299">
        <f>IF(COUNT($AI$286:$AI$299)&lt;14,"",AVERAGE($AI$286:$AI$299))</f>
        <v>0</v>
      </c>
      <c r="AK299">
        <f>IF(COUNT($E$2:$E299)&lt;20,"",AVERAGE($E$280:$E$299))</f>
        <v>0</v>
      </c>
      <c r="AL299">
        <f>IF(COUNT($E$2:$E299)&lt;20,"",STDEVP($E$280:$E$299))</f>
        <v>0</v>
      </c>
      <c r="AM299">
        <f>IF(AK299="","",AK299+2*AL299)</f>
        <v>0</v>
      </c>
      <c r="AN299">
        <f>IF(AK299="","",AK299-2*AL299)</f>
        <v>0</v>
      </c>
      <c r="AO299">
        <f>IF(OR(AM299="",AN299="",AM299=AN299),"",($E299-AN299)/(AM299-AN299))</f>
        <v>0</v>
      </c>
      <c r="AP299">
        <f>IF(OR(AM299="",AK299="",AK299=0),"",(AM299-AN299)/AK299)</f>
        <v>0</v>
      </c>
      <c r="AQ299">
        <f>IF(COUNT($E$2:$E299)&lt;20,"",MAX($C$280:$C$299))</f>
        <v>0</v>
      </c>
      <c r="AR299">
        <f>IF(COUNT($E$2:$E299)&lt;20,"",MIN($D$280:$D$299))</f>
        <v>0</v>
      </c>
      <c r="AS299">
        <f>IF(OR(AQ299="",AR299=""),"",(AQ299+AR299)/2)</f>
        <v>0</v>
      </c>
      <c r="AT299">
        <f>IF(COUNT($G$280:$G$299)&lt;20,"",STDEV($G$280:$G$299)*SQRT(52))</f>
        <v>0</v>
      </c>
      <c r="AU299">
        <f>IF(COUNT($E$2:$E299)&lt;9,"",(MAX($C$291:$C$299)+MIN($D$291:$D$299))/2)</f>
        <v>0</v>
      </c>
      <c r="AV299">
        <f>IF(COUNT($E$2:$E299)&lt;26,"",(MAX($C$274:$C$299)+MIN($D$274:$D$299))/2)</f>
        <v>0</v>
      </c>
      <c r="AW299">
        <f>IF(OR(AU299="",AV299=""),"",(AU299+AV299)/2)</f>
        <v>0</v>
      </c>
      <c r="AX299">
        <f>IF(COUNT($E$2:$E299)&lt;52,"",(MAX($C$248:$C$299)+MIN($D$248:$D$299))/2)</f>
        <v>0</v>
      </c>
      <c r="AY299">
        <f>IF(COUNT($E$2:$E299)&lt;20,"",MAX($C$200:$C$299))</f>
        <v>0</v>
      </c>
      <c r="AZ299">
        <f>IF(COUNT($E$2:$E299)&lt;20,"",MIN($D$200:$D$299))</f>
        <v>0</v>
      </c>
      <c r="BA299">
        <f>IF(COUNT($E$2:$E299)&lt;20,"",SLOPE($E$200:$E$299,$F$200:$F$299))</f>
        <v>0</v>
      </c>
      <c r="BB299">
        <f>IF(COUNT($E$2:$E299)&lt;20,"",INTERCEPT($E$200:$E$299,$F$200:$F$299))</f>
        <v>0</v>
      </c>
      <c r="BC299">
        <f>IF(OR(BA299="",BB299=""),"",BB299+BA299*F299)</f>
        <v>0</v>
      </c>
      <c r="BD299">
        <f>IF(COUNT($E$2:$E299)&lt;20,"",STEYX($E$200:$E$299,$F$200:$F$299))</f>
        <v>0</v>
      </c>
      <c r="BE299">
        <f>IF($E299="","",IF(AND(COUNT($E$300:$E$303)&gt;=4,$C299=MAX($C$295:$C$303)),$C299,""))</f>
        <v>0</v>
      </c>
      <c r="BF299">
        <f>IF($E299="","",IF(AND(COUNT($E$300:$E$303)&gt;=4,$D299=MIN($D$295:$D$303)),$D299,""))</f>
        <v>0</v>
      </c>
      <c r="BG299">
        <f>IFERROR(SMALL(Calc_Daily!$BM$2:$BM$2001,298),"")</f>
        <v>0</v>
      </c>
    </row>
    <row r="300" spans="1:59">
      <c r="A300" s="27">
        <f>IF($BG300="","",INDEX(Calc_Daily!$A$2:$A$2001,$BG300))</f>
        <v>0</v>
      </c>
      <c r="B300">
        <f>IF($BG300="","",INDEX(Calc_Daily!$BJ$2:$BJ$2001,$BG300))</f>
        <v>0</v>
      </c>
      <c r="C300">
        <f>IF($BG300="","",INDEX(Calc_Daily!$BK$2:$BK$2001,$BG300))</f>
        <v>0</v>
      </c>
      <c r="D300">
        <f>IF($BG300="","",INDEX(Calc_Daily!$BL$2:$BL$2001,$BG300))</f>
        <v>0</v>
      </c>
      <c r="E300">
        <f>IF($BG300="","",INDEX(Calc_Daily!$E$2:$E$2001,$BG300))</f>
        <v>0</v>
      </c>
      <c r="F300">
        <f>IF($E300="","",N(F299)+1)</f>
        <v>0</v>
      </c>
      <c r="G300">
        <f>IF(OR($E300="",$E299=""),"",LN($E300/$E299))</f>
        <v>0</v>
      </c>
      <c r="H300">
        <f>IF($E300="","",IF($E299="",$E300,$E300*0.0952380952+H299*0.9047619048))</f>
        <v>0</v>
      </c>
      <c r="I300">
        <f>IF($E300="","",IF($E299="",$E300,$E300*0.0392156863+I299*0.9607843137))</f>
        <v>0</v>
      </c>
      <c r="J300">
        <f>IF($E300="","",IF($E299="",$E300,$E300*0.0198019802+J299*0.9801980198))</f>
        <v>0</v>
      </c>
      <c r="K300">
        <f>IF($E300="","",IF($E299="",$E300,$E300*0.0099502488+K299*0.9900497512))</f>
        <v>0</v>
      </c>
      <c r="L300">
        <f>IF(OR($E300="",$E299=""),"",MAX($E300-$E299,0))</f>
        <v>0</v>
      </c>
      <c r="M300">
        <f>IF(OR($E300="",$E299=""),"",MAX($E299-$E300,0))</f>
        <v>0</v>
      </c>
      <c r="N300">
        <f>IF(COUNT($E$2:$E300)&lt;15,"",IF(AVERAGE($M$287:$M$300)=0,100,100-100/(1+AVERAGE($L$287:$L$300)/AVERAGE($M$287:$M$300))))</f>
        <v>0</v>
      </c>
      <c r="O300">
        <f>IF($E300="","",IF($E299="",$E300,$E300*0.1538461538+O299*0.8461538462))</f>
        <v>0</v>
      </c>
      <c r="P300">
        <f>IF($E300="","",IF($E299="",$E300,$E300*0.0740740741+P299*0.9259259259))</f>
        <v>0</v>
      </c>
      <c r="Q300">
        <f>IF(OR(O300="",P300=""),"",O300-P300)</f>
        <v>0</v>
      </c>
      <c r="R300">
        <f>IF(Q300="","",IF(R299="",Q300,Q300*0.2000000000+R299*0.8000000000))</f>
        <v>0</v>
      </c>
      <c r="S300">
        <f>IF(OR(Q300="",R300=""),"",Q300-R300)</f>
        <v>0</v>
      </c>
      <c r="T300">
        <f>IF(COUNT($E$2:$E300)&lt;14,"",MAX($C$287:$C$300))</f>
        <v>0</v>
      </c>
      <c r="U300">
        <f>IF(COUNT($E$2:$E300)&lt;14,"",MIN($D$287:$D$300))</f>
        <v>0</v>
      </c>
      <c r="V300">
        <f>IF(OR(T300="",U300="",T300=U300),"",100*($E300-U300)/(T300-U300))</f>
        <v>0</v>
      </c>
      <c r="W300">
        <f>IF(COUNT($V$298:$V$300)&lt;3,"",AVERAGE($V$298:$V$300))</f>
        <v>0</v>
      </c>
      <c r="X300">
        <f>IF(COUNT($N$287:$N$300)&lt;14,"",MIN($N$287:$N$300))</f>
        <v>0</v>
      </c>
      <c r="Y300">
        <f>IF(COUNT($N$287:$N$300)&lt;14,"",MAX($N$287:$N$300))</f>
        <v>0</v>
      </c>
      <c r="Z300">
        <f>IF(OR(N300="",X300="",Y300="",Y300=X300),"",100*(N300-X300)/(Y300-X300))</f>
        <v>0</v>
      </c>
      <c r="AA300">
        <f>IF(COUNT($Z$298:$Z$300)&lt;3,"",AVERAGE($Z$298:$Z$300))</f>
        <v>0</v>
      </c>
      <c r="AB300">
        <f>IF(COUNT($AA$298:$AA$300)&lt;3,"",AVERAGE($AA$298:$AA$300))</f>
        <v>0</v>
      </c>
      <c r="AC300">
        <f>IF($E300="","",MAX($C300-$D300,ABS($C300-$E299),ABS($D300-$E299)))</f>
        <v>0</v>
      </c>
      <c r="AD300">
        <f>IF(COUNT($E$2:$E300)&lt;15,"",AVERAGE($AC$287:$AC$300))</f>
        <v>0</v>
      </c>
      <c r="AE300">
        <f>IF(OR($E300="",$E299=""),"",IF(AND(($C300-$C299)&gt;($D299-$D300),($C300-$C299)&gt;0),$C300-$C299,0))</f>
        <v>0</v>
      </c>
      <c r="AF300">
        <f>IF(OR($E300="",$E299=""),"",IF(AND(($D299-$D300)&gt;($C300-$C299),($D299-$D300)&gt;0),$D299-$D300,0))</f>
        <v>0</v>
      </c>
      <c r="AG300">
        <f>IF(COUNT($E$2:$E300)&lt;15,"",IF(SUM($AC$287:$AC$300)=0,0,100*SUM($AE$287:$AE$300)/SUM($AC$287:$AC$300)))</f>
        <v>0</v>
      </c>
      <c r="AH300">
        <f>IF(COUNT($E$2:$E300)&lt;15,"",IF(SUM($AC$287:$AC$300)=0,0,100*SUM($AF$287:$AF$300)/SUM($AC$287:$AC$300)))</f>
        <v>0</v>
      </c>
      <c r="AI300">
        <f>IF(OR(AG300="",AH300=""),"",IF((AG300+AH300)=0,0,100*ABS(AG300-AH300)/(AG300+AH300)))</f>
        <v>0</v>
      </c>
      <c r="AJ300">
        <f>IF(COUNT($AI$287:$AI$300)&lt;14,"",AVERAGE($AI$287:$AI$300))</f>
        <v>0</v>
      </c>
      <c r="AK300">
        <f>IF(COUNT($E$2:$E300)&lt;20,"",AVERAGE($E$281:$E$300))</f>
        <v>0</v>
      </c>
      <c r="AL300">
        <f>IF(COUNT($E$2:$E300)&lt;20,"",STDEVP($E$281:$E$300))</f>
        <v>0</v>
      </c>
      <c r="AM300">
        <f>IF(AK300="","",AK300+2*AL300)</f>
        <v>0</v>
      </c>
      <c r="AN300">
        <f>IF(AK300="","",AK300-2*AL300)</f>
        <v>0</v>
      </c>
      <c r="AO300">
        <f>IF(OR(AM300="",AN300="",AM300=AN300),"",($E300-AN300)/(AM300-AN300))</f>
        <v>0</v>
      </c>
      <c r="AP300">
        <f>IF(OR(AM300="",AK300="",AK300=0),"",(AM300-AN300)/AK300)</f>
        <v>0</v>
      </c>
      <c r="AQ300">
        <f>IF(COUNT($E$2:$E300)&lt;20,"",MAX($C$281:$C$300))</f>
        <v>0</v>
      </c>
      <c r="AR300">
        <f>IF(COUNT($E$2:$E300)&lt;20,"",MIN($D$281:$D$300))</f>
        <v>0</v>
      </c>
      <c r="AS300">
        <f>IF(OR(AQ300="",AR300=""),"",(AQ300+AR300)/2)</f>
        <v>0</v>
      </c>
      <c r="AT300">
        <f>IF(COUNT($G$281:$G$300)&lt;20,"",STDEV($G$281:$G$300)*SQRT(52))</f>
        <v>0</v>
      </c>
      <c r="AU300">
        <f>IF(COUNT($E$2:$E300)&lt;9,"",(MAX($C$292:$C$300)+MIN($D$292:$D$300))/2)</f>
        <v>0</v>
      </c>
      <c r="AV300">
        <f>IF(COUNT($E$2:$E300)&lt;26,"",(MAX($C$275:$C$300)+MIN($D$275:$D$300))/2)</f>
        <v>0</v>
      </c>
      <c r="AW300">
        <f>IF(OR(AU300="",AV300=""),"",(AU300+AV300)/2)</f>
        <v>0</v>
      </c>
      <c r="AX300">
        <f>IF(COUNT($E$2:$E300)&lt;52,"",(MAX($C$249:$C$300)+MIN($D$249:$D$300))/2)</f>
        <v>0</v>
      </c>
      <c r="AY300">
        <f>IF(COUNT($E$2:$E300)&lt;20,"",MAX($C$201:$C$300))</f>
        <v>0</v>
      </c>
      <c r="AZ300">
        <f>IF(COUNT($E$2:$E300)&lt;20,"",MIN($D$201:$D$300))</f>
        <v>0</v>
      </c>
      <c r="BA300">
        <f>IF(COUNT($E$2:$E300)&lt;20,"",SLOPE($E$201:$E$300,$F$201:$F$300))</f>
        <v>0</v>
      </c>
      <c r="BB300">
        <f>IF(COUNT($E$2:$E300)&lt;20,"",INTERCEPT($E$201:$E$300,$F$201:$F$300))</f>
        <v>0</v>
      </c>
      <c r="BC300">
        <f>IF(OR(BA300="",BB300=""),"",BB300+BA300*F300)</f>
        <v>0</v>
      </c>
      <c r="BD300">
        <f>IF(COUNT($E$2:$E300)&lt;20,"",STEYX($E$201:$E$300,$F$201:$F$300))</f>
        <v>0</v>
      </c>
      <c r="BE300">
        <f>IF($E300="","",IF(AND(COUNT($E$301:$E$304)&gt;=4,$C300=MAX($C$296:$C$304)),$C300,""))</f>
        <v>0</v>
      </c>
      <c r="BF300">
        <f>IF($E300="","",IF(AND(COUNT($E$301:$E$304)&gt;=4,$D300=MIN($D$296:$D$304)),$D300,""))</f>
        <v>0</v>
      </c>
      <c r="BG300">
        <f>IFERROR(SMALL(Calc_Daily!$BM$2:$BM$2001,299),"")</f>
        <v>0</v>
      </c>
    </row>
    <row r="301" spans="1:59">
      <c r="A301" s="27">
        <f>IF($BG301="","",INDEX(Calc_Daily!$A$2:$A$2001,$BG301))</f>
        <v>0</v>
      </c>
      <c r="B301">
        <f>IF($BG301="","",INDEX(Calc_Daily!$BJ$2:$BJ$2001,$BG301))</f>
        <v>0</v>
      </c>
      <c r="C301">
        <f>IF($BG301="","",INDEX(Calc_Daily!$BK$2:$BK$2001,$BG301))</f>
        <v>0</v>
      </c>
      <c r="D301">
        <f>IF($BG301="","",INDEX(Calc_Daily!$BL$2:$BL$2001,$BG301))</f>
        <v>0</v>
      </c>
      <c r="E301">
        <f>IF($BG301="","",INDEX(Calc_Daily!$E$2:$E$2001,$BG301))</f>
        <v>0</v>
      </c>
      <c r="F301">
        <f>IF($E301="","",N(F300)+1)</f>
        <v>0</v>
      </c>
      <c r="G301">
        <f>IF(OR($E301="",$E300=""),"",LN($E301/$E300))</f>
        <v>0</v>
      </c>
      <c r="H301">
        <f>IF($E301="","",IF($E300="",$E301,$E301*0.0952380952+H300*0.9047619048))</f>
        <v>0</v>
      </c>
      <c r="I301">
        <f>IF($E301="","",IF($E300="",$E301,$E301*0.0392156863+I300*0.9607843137))</f>
        <v>0</v>
      </c>
      <c r="J301">
        <f>IF($E301="","",IF($E300="",$E301,$E301*0.0198019802+J300*0.9801980198))</f>
        <v>0</v>
      </c>
      <c r="K301">
        <f>IF($E301="","",IF($E300="",$E301,$E301*0.0099502488+K300*0.9900497512))</f>
        <v>0</v>
      </c>
      <c r="L301">
        <f>IF(OR($E301="",$E300=""),"",MAX($E301-$E300,0))</f>
        <v>0</v>
      </c>
      <c r="M301">
        <f>IF(OR($E301="",$E300=""),"",MAX($E300-$E301,0))</f>
        <v>0</v>
      </c>
      <c r="N301">
        <f>IF(COUNT($E$2:$E301)&lt;15,"",IF(AVERAGE($M$288:$M$301)=0,100,100-100/(1+AVERAGE($L$288:$L$301)/AVERAGE($M$288:$M$301))))</f>
        <v>0</v>
      </c>
      <c r="O301">
        <f>IF($E301="","",IF($E300="",$E301,$E301*0.1538461538+O300*0.8461538462))</f>
        <v>0</v>
      </c>
      <c r="P301">
        <f>IF($E301="","",IF($E300="",$E301,$E301*0.0740740741+P300*0.9259259259))</f>
        <v>0</v>
      </c>
      <c r="Q301">
        <f>IF(OR(O301="",P301=""),"",O301-P301)</f>
        <v>0</v>
      </c>
      <c r="R301">
        <f>IF(Q301="","",IF(R300="",Q301,Q301*0.2000000000+R300*0.8000000000))</f>
        <v>0</v>
      </c>
      <c r="S301">
        <f>IF(OR(Q301="",R301=""),"",Q301-R301)</f>
        <v>0</v>
      </c>
      <c r="T301">
        <f>IF(COUNT($E$2:$E301)&lt;14,"",MAX($C$288:$C$301))</f>
        <v>0</v>
      </c>
      <c r="U301">
        <f>IF(COUNT($E$2:$E301)&lt;14,"",MIN($D$288:$D$301))</f>
        <v>0</v>
      </c>
      <c r="V301">
        <f>IF(OR(T301="",U301="",T301=U301),"",100*($E301-U301)/(T301-U301))</f>
        <v>0</v>
      </c>
      <c r="W301">
        <f>IF(COUNT($V$299:$V$301)&lt;3,"",AVERAGE($V$299:$V$301))</f>
        <v>0</v>
      </c>
      <c r="X301">
        <f>IF(COUNT($N$288:$N$301)&lt;14,"",MIN($N$288:$N$301))</f>
        <v>0</v>
      </c>
      <c r="Y301">
        <f>IF(COUNT($N$288:$N$301)&lt;14,"",MAX($N$288:$N$301))</f>
        <v>0</v>
      </c>
      <c r="Z301">
        <f>IF(OR(N301="",X301="",Y301="",Y301=X301),"",100*(N301-X301)/(Y301-X301))</f>
        <v>0</v>
      </c>
      <c r="AA301">
        <f>IF(COUNT($Z$299:$Z$301)&lt;3,"",AVERAGE($Z$299:$Z$301))</f>
        <v>0</v>
      </c>
      <c r="AB301">
        <f>IF(COUNT($AA$299:$AA$301)&lt;3,"",AVERAGE($AA$299:$AA$301))</f>
        <v>0</v>
      </c>
      <c r="AC301">
        <f>IF($E301="","",MAX($C301-$D301,ABS($C301-$E300),ABS($D301-$E300)))</f>
        <v>0</v>
      </c>
      <c r="AD301">
        <f>IF(COUNT($E$2:$E301)&lt;15,"",AVERAGE($AC$288:$AC$301))</f>
        <v>0</v>
      </c>
      <c r="AE301">
        <f>IF(OR($E301="",$E300=""),"",IF(AND(($C301-$C300)&gt;($D300-$D301),($C301-$C300)&gt;0),$C301-$C300,0))</f>
        <v>0</v>
      </c>
      <c r="AF301">
        <f>IF(OR($E301="",$E300=""),"",IF(AND(($D300-$D301)&gt;($C301-$C300),($D300-$D301)&gt;0),$D300-$D301,0))</f>
        <v>0</v>
      </c>
      <c r="AG301">
        <f>IF(COUNT($E$2:$E301)&lt;15,"",IF(SUM($AC$288:$AC$301)=0,0,100*SUM($AE$288:$AE$301)/SUM($AC$288:$AC$301)))</f>
        <v>0</v>
      </c>
      <c r="AH301">
        <f>IF(COUNT($E$2:$E301)&lt;15,"",IF(SUM($AC$288:$AC$301)=0,0,100*SUM($AF$288:$AF$301)/SUM($AC$288:$AC$301)))</f>
        <v>0</v>
      </c>
      <c r="AI301">
        <f>IF(OR(AG301="",AH301=""),"",IF((AG301+AH301)=0,0,100*ABS(AG301-AH301)/(AG301+AH301)))</f>
        <v>0</v>
      </c>
      <c r="AJ301">
        <f>IF(COUNT($AI$288:$AI$301)&lt;14,"",AVERAGE($AI$288:$AI$301))</f>
        <v>0</v>
      </c>
      <c r="AK301">
        <f>IF(COUNT($E$2:$E301)&lt;20,"",AVERAGE($E$282:$E$301))</f>
        <v>0</v>
      </c>
      <c r="AL301">
        <f>IF(COUNT($E$2:$E301)&lt;20,"",STDEVP($E$282:$E$301))</f>
        <v>0</v>
      </c>
      <c r="AM301">
        <f>IF(AK301="","",AK301+2*AL301)</f>
        <v>0</v>
      </c>
      <c r="AN301">
        <f>IF(AK301="","",AK301-2*AL301)</f>
        <v>0</v>
      </c>
      <c r="AO301">
        <f>IF(OR(AM301="",AN301="",AM301=AN301),"",($E301-AN301)/(AM301-AN301))</f>
        <v>0</v>
      </c>
      <c r="AP301">
        <f>IF(OR(AM301="",AK301="",AK301=0),"",(AM301-AN301)/AK301)</f>
        <v>0</v>
      </c>
      <c r="AQ301">
        <f>IF(COUNT($E$2:$E301)&lt;20,"",MAX($C$282:$C$301))</f>
        <v>0</v>
      </c>
      <c r="AR301">
        <f>IF(COUNT($E$2:$E301)&lt;20,"",MIN($D$282:$D$301))</f>
        <v>0</v>
      </c>
      <c r="AS301">
        <f>IF(OR(AQ301="",AR301=""),"",(AQ301+AR301)/2)</f>
        <v>0</v>
      </c>
      <c r="AT301">
        <f>IF(COUNT($G$282:$G$301)&lt;20,"",STDEV($G$282:$G$301)*SQRT(52))</f>
        <v>0</v>
      </c>
      <c r="AU301">
        <f>IF(COUNT($E$2:$E301)&lt;9,"",(MAX($C$293:$C$301)+MIN($D$293:$D$301))/2)</f>
        <v>0</v>
      </c>
      <c r="AV301">
        <f>IF(COUNT($E$2:$E301)&lt;26,"",(MAX($C$276:$C$301)+MIN($D$276:$D$301))/2)</f>
        <v>0</v>
      </c>
      <c r="AW301">
        <f>IF(OR(AU301="",AV301=""),"",(AU301+AV301)/2)</f>
        <v>0</v>
      </c>
      <c r="AX301">
        <f>IF(COUNT($E$2:$E301)&lt;52,"",(MAX($C$250:$C$301)+MIN($D$250:$D$301))/2)</f>
        <v>0</v>
      </c>
      <c r="AY301">
        <f>IF(COUNT($E$2:$E301)&lt;20,"",MAX($C$202:$C$301))</f>
        <v>0</v>
      </c>
      <c r="AZ301">
        <f>IF(COUNT($E$2:$E301)&lt;20,"",MIN($D$202:$D$301))</f>
        <v>0</v>
      </c>
      <c r="BA301">
        <f>IF(COUNT($E$2:$E301)&lt;20,"",SLOPE($E$202:$E$301,$F$202:$F$301))</f>
        <v>0</v>
      </c>
      <c r="BB301">
        <f>IF(COUNT($E$2:$E301)&lt;20,"",INTERCEPT($E$202:$E$301,$F$202:$F$301))</f>
        <v>0</v>
      </c>
      <c r="BC301">
        <f>IF(OR(BA301="",BB301=""),"",BB301+BA301*F301)</f>
        <v>0</v>
      </c>
      <c r="BD301">
        <f>IF(COUNT($E$2:$E301)&lt;20,"",STEYX($E$202:$E$301,$F$202:$F$301))</f>
        <v>0</v>
      </c>
      <c r="BE301">
        <f>IF($E301="","",IF(AND(COUNT($E$302:$E$305)&gt;=4,$C301=MAX($C$297:$C$305)),$C301,""))</f>
        <v>0</v>
      </c>
      <c r="BF301">
        <f>IF($E301="","",IF(AND(COUNT($E$302:$E$305)&gt;=4,$D301=MIN($D$297:$D$305)),$D301,""))</f>
        <v>0</v>
      </c>
      <c r="BG301">
        <f>IFERROR(SMALL(Calc_Daily!$BM$2:$BM$2001,300),"")</f>
        <v>0</v>
      </c>
    </row>
    <row r="302" spans="1:59">
      <c r="A302" s="27">
        <f>IF($BG302="","",INDEX(Calc_Daily!$A$2:$A$2001,$BG302))</f>
        <v>0</v>
      </c>
      <c r="B302">
        <f>IF($BG302="","",INDEX(Calc_Daily!$BJ$2:$BJ$2001,$BG302))</f>
        <v>0</v>
      </c>
      <c r="C302">
        <f>IF($BG302="","",INDEX(Calc_Daily!$BK$2:$BK$2001,$BG302))</f>
        <v>0</v>
      </c>
      <c r="D302">
        <f>IF($BG302="","",INDEX(Calc_Daily!$BL$2:$BL$2001,$BG302))</f>
        <v>0</v>
      </c>
      <c r="E302">
        <f>IF($BG302="","",INDEX(Calc_Daily!$E$2:$E$2001,$BG302))</f>
        <v>0</v>
      </c>
      <c r="F302">
        <f>IF($E302="","",N(F301)+1)</f>
        <v>0</v>
      </c>
      <c r="G302">
        <f>IF(OR($E302="",$E301=""),"",LN($E302/$E301))</f>
        <v>0</v>
      </c>
      <c r="H302">
        <f>IF($E302="","",IF($E301="",$E302,$E302*0.0952380952+H301*0.9047619048))</f>
        <v>0</v>
      </c>
      <c r="I302">
        <f>IF($E302="","",IF($E301="",$E302,$E302*0.0392156863+I301*0.9607843137))</f>
        <v>0</v>
      </c>
      <c r="J302">
        <f>IF($E302="","",IF($E301="",$E302,$E302*0.0198019802+J301*0.9801980198))</f>
        <v>0</v>
      </c>
      <c r="K302">
        <f>IF($E302="","",IF($E301="",$E302,$E302*0.0099502488+K301*0.9900497512))</f>
        <v>0</v>
      </c>
      <c r="L302">
        <f>IF(OR($E302="",$E301=""),"",MAX($E302-$E301,0))</f>
        <v>0</v>
      </c>
      <c r="M302">
        <f>IF(OR($E302="",$E301=""),"",MAX($E301-$E302,0))</f>
        <v>0</v>
      </c>
      <c r="N302">
        <f>IF(COUNT($E$2:$E302)&lt;15,"",IF(AVERAGE($M$289:$M$302)=0,100,100-100/(1+AVERAGE($L$289:$L$302)/AVERAGE($M$289:$M$302))))</f>
        <v>0</v>
      </c>
      <c r="O302">
        <f>IF($E302="","",IF($E301="",$E302,$E302*0.1538461538+O301*0.8461538462))</f>
        <v>0</v>
      </c>
      <c r="P302">
        <f>IF($E302="","",IF($E301="",$E302,$E302*0.0740740741+P301*0.9259259259))</f>
        <v>0</v>
      </c>
      <c r="Q302">
        <f>IF(OR(O302="",P302=""),"",O302-P302)</f>
        <v>0</v>
      </c>
      <c r="R302">
        <f>IF(Q302="","",IF(R301="",Q302,Q302*0.2000000000+R301*0.8000000000))</f>
        <v>0</v>
      </c>
      <c r="S302">
        <f>IF(OR(Q302="",R302=""),"",Q302-R302)</f>
        <v>0</v>
      </c>
      <c r="T302">
        <f>IF(COUNT($E$2:$E302)&lt;14,"",MAX($C$289:$C$302))</f>
        <v>0</v>
      </c>
      <c r="U302">
        <f>IF(COUNT($E$2:$E302)&lt;14,"",MIN($D$289:$D$302))</f>
        <v>0</v>
      </c>
      <c r="V302">
        <f>IF(OR(T302="",U302="",T302=U302),"",100*($E302-U302)/(T302-U302))</f>
        <v>0</v>
      </c>
      <c r="W302">
        <f>IF(COUNT($V$300:$V$302)&lt;3,"",AVERAGE($V$300:$V$302))</f>
        <v>0</v>
      </c>
      <c r="X302">
        <f>IF(COUNT($N$289:$N$302)&lt;14,"",MIN($N$289:$N$302))</f>
        <v>0</v>
      </c>
      <c r="Y302">
        <f>IF(COUNT($N$289:$N$302)&lt;14,"",MAX($N$289:$N$302))</f>
        <v>0</v>
      </c>
      <c r="Z302">
        <f>IF(OR(N302="",X302="",Y302="",Y302=X302),"",100*(N302-X302)/(Y302-X302))</f>
        <v>0</v>
      </c>
      <c r="AA302">
        <f>IF(COUNT($Z$300:$Z$302)&lt;3,"",AVERAGE($Z$300:$Z$302))</f>
        <v>0</v>
      </c>
      <c r="AB302">
        <f>IF(COUNT($AA$300:$AA$302)&lt;3,"",AVERAGE($AA$300:$AA$302))</f>
        <v>0</v>
      </c>
      <c r="AC302">
        <f>IF($E302="","",MAX($C302-$D302,ABS($C302-$E301),ABS($D302-$E301)))</f>
        <v>0</v>
      </c>
      <c r="AD302">
        <f>IF(COUNT($E$2:$E302)&lt;15,"",AVERAGE($AC$289:$AC$302))</f>
        <v>0</v>
      </c>
      <c r="AE302">
        <f>IF(OR($E302="",$E301=""),"",IF(AND(($C302-$C301)&gt;($D301-$D302),($C302-$C301)&gt;0),$C302-$C301,0))</f>
        <v>0</v>
      </c>
      <c r="AF302">
        <f>IF(OR($E302="",$E301=""),"",IF(AND(($D301-$D302)&gt;($C302-$C301),($D301-$D302)&gt;0),$D301-$D302,0))</f>
        <v>0</v>
      </c>
      <c r="AG302">
        <f>IF(COUNT($E$2:$E302)&lt;15,"",IF(SUM($AC$289:$AC$302)=0,0,100*SUM($AE$289:$AE$302)/SUM($AC$289:$AC$302)))</f>
        <v>0</v>
      </c>
      <c r="AH302">
        <f>IF(COUNT($E$2:$E302)&lt;15,"",IF(SUM($AC$289:$AC$302)=0,0,100*SUM($AF$289:$AF$302)/SUM($AC$289:$AC$302)))</f>
        <v>0</v>
      </c>
      <c r="AI302">
        <f>IF(OR(AG302="",AH302=""),"",IF((AG302+AH302)=0,0,100*ABS(AG302-AH302)/(AG302+AH302)))</f>
        <v>0</v>
      </c>
      <c r="AJ302">
        <f>IF(COUNT($AI$289:$AI$302)&lt;14,"",AVERAGE($AI$289:$AI$302))</f>
        <v>0</v>
      </c>
      <c r="AK302">
        <f>IF(COUNT($E$2:$E302)&lt;20,"",AVERAGE($E$283:$E$302))</f>
        <v>0</v>
      </c>
      <c r="AL302">
        <f>IF(COUNT($E$2:$E302)&lt;20,"",STDEVP($E$283:$E$302))</f>
        <v>0</v>
      </c>
      <c r="AM302">
        <f>IF(AK302="","",AK302+2*AL302)</f>
        <v>0</v>
      </c>
      <c r="AN302">
        <f>IF(AK302="","",AK302-2*AL302)</f>
        <v>0</v>
      </c>
      <c r="AO302">
        <f>IF(OR(AM302="",AN302="",AM302=AN302),"",($E302-AN302)/(AM302-AN302))</f>
        <v>0</v>
      </c>
      <c r="AP302">
        <f>IF(OR(AM302="",AK302="",AK302=0),"",(AM302-AN302)/AK302)</f>
        <v>0</v>
      </c>
      <c r="AQ302">
        <f>IF(COUNT($E$2:$E302)&lt;20,"",MAX($C$283:$C$302))</f>
        <v>0</v>
      </c>
      <c r="AR302">
        <f>IF(COUNT($E$2:$E302)&lt;20,"",MIN($D$283:$D$302))</f>
        <v>0</v>
      </c>
      <c r="AS302">
        <f>IF(OR(AQ302="",AR302=""),"",(AQ302+AR302)/2)</f>
        <v>0</v>
      </c>
      <c r="AT302">
        <f>IF(COUNT($G$283:$G$302)&lt;20,"",STDEV($G$283:$G$302)*SQRT(52))</f>
        <v>0</v>
      </c>
      <c r="AU302">
        <f>IF(COUNT($E$2:$E302)&lt;9,"",(MAX($C$294:$C$302)+MIN($D$294:$D$302))/2)</f>
        <v>0</v>
      </c>
      <c r="AV302">
        <f>IF(COUNT($E$2:$E302)&lt;26,"",(MAX($C$277:$C$302)+MIN($D$277:$D$302))/2)</f>
        <v>0</v>
      </c>
      <c r="AW302">
        <f>IF(OR(AU302="",AV302=""),"",(AU302+AV302)/2)</f>
        <v>0</v>
      </c>
      <c r="AX302">
        <f>IF(COUNT($E$2:$E302)&lt;52,"",(MAX($C$251:$C$302)+MIN($D$251:$D$302))/2)</f>
        <v>0</v>
      </c>
      <c r="AY302">
        <f>IF(COUNT($E$2:$E302)&lt;20,"",MAX($C$203:$C$302))</f>
        <v>0</v>
      </c>
      <c r="AZ302">
        <f>IF(COUNT($E$2:$E302)&lt;20,"",MIN($D$203:$D$302))</f>
        <v>0</v>
      </c>
      <c r="BA302">
        <f>IF(COUNT($E$2:$E302)&lt;20,"",SLOPE($E$203:$E$302,$F$203:$F$302))</f>
        <v>0</v>
      </c>
      <c r="BB302">
        <f>IF(COUNT($E$2:$E302)&lt;20,"",INTERCEPT($E$203:$E$302,$F$203:$F$302))</f>
        <v>0</v>
      </c>
      <c r="BC302">
        <f>IF(OR(BA302="",BB302=""),"",BB302+BA302*F302)</f>
        <v>0</v>
      </c>
      <c r="BD302">
        <f>IF(COUNT($E$2:$E302)&lt;20,"",STEYX($E$203:$E$302,$F$203:$F$302))</f>
        <v>0</v>
      </c>
      <c r="BE302">
        <f>IF($E302="","",IF(AND(COUNT($E$303:$E$306)&gt;=4,$C302=MAX($C$298:$C$306)),$C302,""))</f>
        <v>0</v>
      </c>
      <c r="BF302">
        <f>IF($E302="","",IF(AND(COUNT($E$303:$E$306)&gt;=4,$D302=MIN($D$298:$D$306)),$D302,""))</f>
        <v>0</v>
      </c>
      <c r="BG302">
        <f>IFERROR(SMALL(Calc_Daily!$BM$2:$BM$2001,301),"")</f>
        <v>0</v>
      </c>
    </row>
    <row r="303" spans="1:59">
      <c r="A303" s="27">
        <f>IF($BG303="","",INDEX(Calc_Daily!$A$2:$A$2001,$BG303))</f>
        <v>0</v>
      </c>
      <c r="B303">
        <f>IF($BG303="","",INDEX(Calc_Daily!$BJ$2:$BJ$2001,$BG303))</f>
        <v>0</v>
      </c>
      <c r="C303">
        <f>IF($BG303="","",INDEX(Calc_Daily!$BK$2:$BK$2001,$BG303))</f>
        <v>0</v>
      </c>
      <c r="D303">
        <f>IF($BG303="","",INDEX(Calc_Daily!$BL$2:$BL$2001,$BG303))</f>
        <v>0</v>
      </c>
      <c r="E303">
        <f>IF($BG303="","",INDEX(Calc_Daily!$E$2:$E$2001,$BG303))</f>
        <v>0</v>
      </c>
      <c r="F303">
        <f>IF($E303="","",N(F302)+1)</f>
        <v>0</v>
      </c>
      <c r="G303">
        <f>IF(OR($E303="",$E302=""),"",LN($E303/$E302))</f>
        <v>0</v>
      </c>
      <c r="H303">
        <f>IF($E303="","",IF($E302="",$E303,$E303*0.0952380952+H302*0.9047619048))</f>
        <v>0</v>
      </c>
      <c r="I303">
        <f>IF($E303="","",IF($E302="",$E303,$E303*0.0392156863+I302*0.9607843137))</f>
        <v>0</v>
      </c>
      <c r="J303">
        <f>IF($E303="","",IF($E302="",$E303,$E303*0.0198019802+J302*0.9801980198))</f>
        <v>0</v>
      </c>
      <c r="K303">
        <f>IF($E303="","",IF($E302="",$E303,$E303*0.0099502488+K302*0.9900497512))</f>
        <v>0</v>
      </c>
      <c r="L303">
        <f>IF(OR($E303="",$E302=""),"",MAX($E303-$E302,0))</f>
        <v>0</v>
      </c>
      <c r="M303">
        <f>IF(OR($E303="",$E302=""),"",MAX($E302-$E303,0))</f>
        <v>0</v>
      </c>
      <c r="N303">
        <f>IF(COUNT($E$2:$E303)&lt;15,"",IF(AVERAGE($M$290:$M$303)=0,100,100-100/(1+AVERAGE($L$290:$L$303)/AVERAGE($M$290:$M$303))))</f>
        <v>0</v>
      </c>
      <c r="O303">
        <f>IF($E303="","",IF($E302="",$E303,$E303*0.1538461538+O302*0.8461538462))</f>
        <v>0</v>
      </c>
      <c r="P303">
        <f>IF($E303="","",IF($E302="",$E303,$E303*0.0740740741+P302*0.9259259259))</f>
        <v>0</v>
      </c>
      <c r="Q303">
        <f>IF(OR(O303="",P303=""),"",O303-P303)</f>
        <v>0</v>
      </c>
      <c r="R303">
        <f>IF(Q303="","",IF(R302="",Q303,Q303*0.2000000000+R302*0.8000000000))</f>
        <v>0</v>
      </c>
      <c r="S303">
        <f>IF(OR(Q303="",R303=""),"",Q303-R303)</f>
        <v>0</v>
      </c>
      <c r="T303">
        <f>IF(COUNT($E$2:$E303)&lt;14,"",MAX($C$290:$C$303))</f>
        <v>0</v>
      </c>
      <c r="U303">
        <f>IF(COUNT($E$2:$E303)&lt;14,"",MIN($D$290:$D$303))</f>
        <v>0</v>
      </c>
      <c r="V303">
        <f>IF(OR(T303="",U303="",T303=U303),"",100*($E303-U303)/(T303-U303))</f>
        <v>0</v>
      </c>
      <c r="W303">
        <f>IF(COUNT($V$301:$V$303)&lt;3,"",AVERAGE($V$301:$V$303))</f>
        <v>0</v>
      </c>
      <c r="X303">
        <f>IF(COUNT($N$290:$N$303)&lt;14,"",MIN($N$290:$N$303))</f>
        <v>0</v>
      </c>
      <c r="Y303">
        <f>IF(COUNT($N$290:$N$303)&lt;14,"",MAX($N$290:$N$303))</f>
        <v>0</v>
      </c>
      <c r="Z303">
        <f>IF(OR(N303="",X303="",Y303="",Y303=X303),"",100*(N303-X303)/(Y303-X303))</f>
        <v>0</v>
      </c>
      <c r="AA303">
        <f>IF(COUNT($Z$301:$Z$303)&lt;3,"",AVERAGE($Z$301:$Z$303))</f>
        <v>0</v>
      </c>
      <c r="AB303">
        <f>IF(COUNT($AA$301:$AA$303)&lt;3,"",AVERAGE($AA$301:$AA$303))</f>
        <v>0</v>
      </c>
      <c r="AC303">
        <f>IF($E303="","",MAX($C303-$D303,ABS($C303-$E302),ABS($D303-$E302)))</f>
        <v>0</v>
      </c>
      <c r="AD303">
        <f>IF(COUNT($E$2:$E303)&lt;15,"",AVERAGE($AC$290:$AC$303))</f>
        <v>0</v>
      </c>
      <c r="AE303">
        <f>IF(OR($E303="",$E302=""),"",IF(AND(($C303-$C302)&gt;($D302-$D303),($C303-$C302)&gt;0),$C303-$C302,0))</f>
        <v>0</v>
      </c>
      <c r="AF303">
        <f>IF(OR($E303="",$E302=""),"",IF(AND(($D302-$D303)&gt;($C303-$C302),($D302-$D303)&gt;0),$D302-$D303,0))</f>
        <v>0</v>
      </c>
      <c r="AG303">
        <f>IF(COUNT($E$2:$E303)&lt;15,"",IF(SUM($AC$290:$AC$303)=0,0,100*SUM($AE$290:$AE$303)/SUM($AC$290:$AC$303)))</f>
        <v>0</v>
      </c>
      <c r="AH303">
        <f>IF(COUNT($E$2:$E303)&lt;15,"",IF(SUM($AC$290:$AC$303)=0,0,100*SUM($AF$290:$AF$303)/SUM($AC$290:$AC$303)))</f>
        <v>0</v>
      </c>
      <c r="AI303">
        <f>IF(OR(AG303="",AH303=""),"",IF((AG303+AH303)=0,0,100*ABS(AG303-AH303)/(AG303+AH303)))</f>
        <v>0</v>
      </c>
      <c r="AJ303">
        <f>IF(COUNT($AI$290:$AI$303)&lt;14,"",AVERAGE($AI$290:$AI$303))</f>
        <v>0</v>
      </c>
      <c r="AK303">
        <f>IF(COUNT($E$2:$E303)&lt;20,"",AVERAGE($E$284:$E$303))</f>
        <v>0</v>
      </c>
      <c r="AL303">
        <f>IF(COUNT($E$2:$E303)&lt;20,"",STDEVP($E$284:$E$303))</f>
        <v>0</v>
      </c>
      <c r="AM303">
        <f>IF(AK303="","",AK303+2*AL303)</f>
        <v>0</v>
      </c>
      <c r="AN303">
        <f>IF(AK303="","",AK303-2*AL303)</f>
        <v>0</v>
      </c>
      <c r="AO303">
        <f>IF(OR(AM303="",AN303="",AM303=AN303),"",($E303-AN303)/(AM303-AN303))</f>
        <v>0</v>
      </c>
      <c r="AP303">
        <f>IF(OR(AM303="",AK303="",AK303=0),"",(AM303-AN303)/AK303)</f>
        <v>0</v>
      </c>
      <c r="AQ303">
        <f>IF(COUNT($E$2:$E303)&lt;20,"",MAX($C$284:$C$303))</f>
        <v>0</v>
      </c>
      <c r="AR303">
        <f>IF(COUNT($E$2:$E303)&lt;20,"",MIN($D$284:$D$303))</f>
        <v>0</v>
      </c>
      <c r="AS303">
        <f>IF(OR(AQ303="",AR303=""),"",(AQ303+AR303)/2)</f>
        <v>0</v>
      </c>
      <c r="AT303">
        <f>IF(COUNT($G$284:$G$303)&lt;20,"",STDEV($G$284:$G$303)*SQRT(52))</f>
        <v>0</v>
      </c>
      <c r="AU303">
        <f>IF(COUNT($E$2:$E303)&lt;9,"",(MAX($C$295:$C$303)+MIN($D$295:$D$303))/2)</f>
        <v>0</v>
      </c>
      <c r="AV303">
        <f>IF(COUNT($E$2:$E303)&lt;26,"",(MAX($C$278:$C$303)+MIN($D$278:$D$303))/2)</f>
        <v>0</v>
      </c>
      <c r="AW303">
        <f>IF(OR(AU303="",AV303=""),"",(AU303+AV303)/2)</f>
        <v>0</v>
      </c>
      <c r="AX303">
        <f>IF(COUNT($E$2:$E303)&lt;52,"",(MAX($C$252:$C$303)+MIN($D$252:$D$303))/2)</f>
        <v>0</v>
      </c>
      <c r="AY303">
        <f>IF(COUNT($E$2:$E303)&lt;20,"",MAX($C$204:$C$303))</f>
        <v>0</v>
      </c>
      <c r="AZ303">
        <f>IF(COUNT($E$2:$E303)&lt;20,"",MIN($D$204:$D$303))</f>
        <v>0</v>
      </c>
      <c r="BA303">
        <f>IF(COUNT($E$2:$E303)&lt;20,"",SLOPE($E$204:$E$303,$F$204:$F$303))</f>
        <v>0</v>
      </c>
      <c r="BB303">
        <f>IF(COUNT($E$2:$E303)&lt;20,"",INTERCEPT($E$204:$E$303,$F$204:$F$303))</f>
        <v>0</v>
      </c>
      <c r="BC303">
        <f>IF(OR(BA303="",BB303=""),"",BB303+BA303*F303)</f>
        <v>0</v>
      </c>
      <c r="BD303">
        <f>IF(COUNT($E$2:$E303)&lt;20,"",STEYX($E$204:$E$303,$F$204:$F$303))</f>
        <v>0</v>
      </c>
      <c r="BE303">
        <f>IF($E303="","",IF(AND(COUNT($E$304:$E$307)&gt;=4,$C303=MAX($C$299:$C$307)),$C303,""))</f>
        <v>0</v>
      </c>
      <c r="BF303">
        <f>IF($E303="","",IF(AND(COUNT($E$304:$E$307)&gt;=4,$D303=MIN($D$299:$D$307)),$D303,""))</f>
        <v>0</v>
      </c>
      <c r="BG303">
        <f>IFERROR(SMALL(Calc_Daily!$BM$2:$BM$2001,302),"")</f>
        <v>0</v>
      </c>
    </row>
    <row r="304" spans="1:59">
      <c r="A304" s="27">
        <f>IF($BG304="","",INDEX(Calc_Daily!$A$2:$A$2001,$BG304))</f>
        <v>0</v>
      </c>
      <c r="B304">
        <f>IF($BG304="","",INDEX(Calc_Daily!$BJ$2:$BJ$2001,$BG304))</f>
        <v>0</v>
      </c>
      <c r="C304">
        <f>IF($BG304="","",INDEX(Calc_Daily!$BK$2:$BK$2001,$BG304))</f>
        <v>0</v>
      </c>
      <c r="D304">
        <f>IF($BG304="","",INDEX(Calc_Daily!$BL$2:$BL$2001,$BG304))</f>
        <v>0</v>
      </c>
      <c r="E304">
        <f>IF($BG304="","",INDEX(Calc_Daily!$E$2:$E$2001,$BG304))</f>
        <v>0</v>
      </c>
      <c r="F304">
        <f>IF($E304="","",N(F303)+1)</f>
        <v>0</v>
      </c>
      <c r="G304">
        <f>IF(OR($E304="",$E303=""),"",LN($E304/$E303))</f>
        <v>0</v>
      </c>
      <c r="H304">
        <f>IF($E304="","",IF($E303="",$E304,$E304*0.0952380952+H303*0.9047619048))</f>
        <v>0</v>
      </c>
      <c r="I304">
        <f>IF($E304="","",IF($E303="",$E304,$E304*0.0392156863+I303*0.9607843137))</f>
        <v>0</v>
      </c>
      <c r="J304">
        <f>IF($E304="","",IF($E303="",$E304,$E304*0.0198019802+J303*0.9801980198))</f>
        <v>0</v>
      </c>
      <c r="K304">
        <f>IF($E304="","",IF($E303="",$E304,$E304*0.0099502488+K303*0.9900497512))</f>
        <v>0</v>
      </c>
      <c r="L304">
        <f>IF(OR($E304="",$E303=""),"",MAX($E304-$E303,0))</f>
        <v>0</v>
      </c>
      <c r="M304">
        <f>IF(OR($E304="",$E303=""),"",MAX($E303-$E304,0))</f>
        <v>0</v>
      </c>
      <c r="N304">
        <f>IF(COUNT($E$2:$E304)&lt;15,"",IF(AVERAGE($M$291:$M$304)=0,100,100-100/(1+AVERAGE($L$291:$L$304)/AVERAGE($M$291:$M$304))))</f>
        <v>0</v>
      </c>
      <c r="O304">
        <f>IF($E304="","",IF($E303="",$E304,$E304*0.1538461538+O303*0.8461538462))</f>
        <v>0</v>
      </c>
      <c r="P304">
        <f>IF($E304="","",IF($E303="",$E304,$E304*0.0740740741+P303*0.9259259259))</f>
        <v>0</v>
      </c>
      <c r="Q304">
        <f>IF(OR(O304="",P304=""),"",O304-P304)</f>
        <v>0</v>
      </c>
      <c r="R304">
        <f>IF(Q304="","",IF(R303="",Q304,Q304*0.2000000000+R303*0.8000000000))</f>
        <v>0</v>
      </c>
      <c r="S304">
        <f>IF(OR(Q304="",R304=""),"",Q304-R304)</f>
        <v>0</v>
      </c>
      <c r="T304">
        <f>IF(COUNT($E$2:$E304)&lt;14,"",MAX($C$291:$C$304))</f>
        <v>0</v>
      </c>
      <c r="U304">
        <f>IF(COUNT($E$2:$E304)&lt;14,"",MIN($D$291:$D$304))</f>
        <v>0</v>
      </c>
      <c r="V304">
        <f>IF(OR(T304="",U304="",T304=U304),"",100*($E304-U304)/(T304-U304))</f>
        <v>0</v>
      </c>
      <c r="W304">
        <f>IF(COUNT($V$302:$V$304)&lt;3,"",AVERAGE($V$302:$V$304))</f>
        <v>0</v>
      </c>
      <c r="X304">
        <f>IF(COUNT($N$291:$N$304)&lt;14,"",MIN($N$291:$N$304))</f>
        <v>0</v>
      </c>
      <c r="Y304">
        <f>IF(COUNT($N$291:$N$304)&lt;14,"",MAX($N$291:$N$304))</f>
        <v>0</v>
      </c>
      <c r="Z304">
        <f>IF(OR(N304="",X304="",Y304="",Y304=X304),"",100*(N304-X304)/(Y304-X304))</f>
        <v>0</v>
      </c>
      <c r="AA304">
        <f>IF(COUNT($Z$302:$Z$304)&lt;3,"",AVERAGE($Z$302:$Z$304))</f>
        <v>0</v>
      </c>
      <c r="AB304">
        <f>IF(COUNT($AA$302:$AA$304)&lt;3,"",AVERAGE($AA$302:$AA$304))</f>
        <v>0</v>
      </c>
      <c r="AC304">
        <f>IF($E304="","",MAX($C304-$D304,ABS($C304-$E303),ABS($D304-$E303)))</f>
        <v>0</v>
      </c>
      <c r="AD304">
        <f>IF(COUNT($E$2:$E304)&lt;15,"",AVERAGE($AC$291:$AC$304))</f>
        <v>0</v>
      </c>
      <c r="AE304">
        <f>IF(OR($E304="",$E303=""),"",IF(AND(($C304-$C303)&gt;($D303-$D304),($C304-$C303)&gt;0),$C304-$C303,0))</f>
        <v>0</v>
      </c>
      <c r="AF304">
        <f>IF(OR($E304="",$E303=""),"",IF(AND(($D303-$D304)&gt;($C304-$C303),($D303-$D304)&gt;0),$D303-$D304,0))</f>
        <v>0</v>
      </c>
      <c r="AG304">
        <f>IF(COUNT($E$2:$E304)&lt;15,"",IF(SUM($AC$291:$AC$304)=0,0,100*SUM($AE$291:$AE$304)/SUM($AC$291:$AC$304)))</f>
        <v>0</v>
      </c>
      <c r="AH304">
        <f>IF(COUNT($E$2:$E304)&lt;15,"",IF(SUM($AC$291:$AC$304)=0,0,100*SUM($AF$291:$AF$304)/SUM($AC$291:$AC$304)))</f>
        <v>0</v>
      </c>
      <c r="AI304">
        <f>IF(OR(AG304="",AH304=""),"",IF((AG304+AH304)=0,0,100*ABS(AG304-AH304)/(AG304+AH304)))</f>
        <v>0</v>
      </c>
      <c r="AJ304">
        <f>IF(COUNT($AI$291:$AI$304)&lt;14,"",AVERAGE($AI$291:$AI$304))</f>
        <v>0</v>
      </c>
      <c r="AK304">
        <f>IF(COUNT($E$2:$E304)&lt;20,"",AVERAGE($E$285:$E$304))</f>
        <v>0</v>
      </c>
      <c r="AL304">
        <f>IF(COUNT($E$2:$E304)&lt;20,"",STDEVP($E$285:$E$304))</f>
        <v>0</v>
      </c>
      <c r="AM304">
        <f>IF(AK304="","",AK304+2*AL304)</f>
        <v>0</v>
      </c>
      <c r="AN304">
        <f>IF(AK304="","",AK304-2*AL304)</f>
        <v>0</v>
      </c>
      <c r="AO304">
        <f>IF(OR(AM304="",AN304="",AM304=AN304),"",($E304-AN304)/(AM304-AN304))</f>
        <v>0</v>
      </c>
      <c r="AP304">
        <f>IF(OR(AM304="",AK304="",AK304=0),"",(AM304-AN304)/AK304)</f>
        <v>0</v>
      </c>
      <c r="AQ304">
        <f>IF(COUNT($E$2:$E304)&lt;20,"",MAX($C$285:$C$304))</f>
        <v>0</v>
      </c>
      <c r="AR304">
        <f>IF(COUNT($E$2:$E304)&lt;20,"",MIN($D$285:$D$304))</f>
        <v>0</v>
      </c>
      <c r="AS304">
        <f>IF(OR(AQ304="",AR304=""),"",(AQ304+AR304)/2)</f>
        <v>0</v>
      </c>
      <c r="AT304">
        <f>IF(COUNT($G$285:$G$304)&lt;20,"",STDEV($G$285:$G$304)*SQRT(52))</f>
        <v>0</v>
      </c>
      <c r="AU304">
        <f>IF(COUNT($E$2:$E304)&lt;9,"",(MAX($C$296:$C$304)+MIN($D$296:$D$304))/2)</f>
        <v>0</v>
      </c>
      <c r="AV304">
        <f>IF(COUNT($E$2:$E304)&lt;26,"",(MAX($C$279:$C$304)+MIN($D$279:$D$304))/2)</f>
        <v>0</v>
      </c>
      <c r="AW304">
        <f>IF(OR(AU304="",AV304=""),"",(AU304+AV304)/2)</f>
        <v>0</v>
      </c>
      <c r="AX304">
        <f>IF(COUNT($E$2:$E304)&lt;52,"",(MAX($C$253:$C$304)+MIN($D$253:$D$304))/2)</f>
        <v>0</v>
      </c>
      <c r="AY304">
        <f>IF(COUNT($E$2:$E304)&lt;20,"",MAX($C$205:$C$304))</f>
        <v>0</v>
      </c>
      <c r="AZ304">
        <f>IF(COUNT($E$2:$E304)&lt;20,"",MIN($D$205:$D$304))</f>
        <v>0</v>
      </c>
      <c r="BA304">
        <f>IF(COUNT($E$2:$E304)&lt;20,"",SLOPE($E$205:$E$304,$F$205:$F$304))</f>
        <v>0</v>
      </c>
      <c r="BB304">
        <f>IF(COUNT($E$2:$E304)&lt;20,"",INTERCEPT($E$205:$E$304,$F$205:$F$304))</f>
        <v>0</v>
      </c>
      <c r="BC304">
        <f>IF(OR(BA304="",BB304=""),"",BB304+BA304*F304)</f>
        <v>0</v>
      </c>
      <c r="BD304">
        <f>IF(COUNT($E$2:$E304)&lt;20,"",STEYX($E$205:$E$304,$F$205:$F$304))</f>
        <v>0</v>
      </c>
      <c r="BE304">
        <f>IF($E304="","",IF(AND(COUNT($E$305:$E$308)&gt;=4,$C304=MAX($C$300:$C$308)),$C304,""))</f>
        <v>0</v>
      </c>
      <c r="BF304">
        <f>IF($E304="","",IF(AND(COUNT($E$305:$E$308)&gt;=4,$D304=MIN($D$300:$D$308)),$D304,""))</f>
        <v>0</v>
      </c>
      <c r="BG304">
        <f>IFERROR(SMALL(Calc_Daily!$BM$2:$BM$2001,303),"")</f>
        <v>0</v>
      </c>
    </row>
    <row r="305" spans="1:59">
      <c r="A305" s="27">
        <f>IF($BG305="","",INDEX(Calc_Daily!$A$2:$A$2001,$BG305))</f>
        <v>0</v>
      </c>
      <c r="B305">
        <f>IF($BG305="","",INDEX(Calc_Daily!$BJ$2:$BJ$2001,$BG305))</f>
        <v>0</v>
      </c>
      <c r="C305">
        <f>IF($BG305="","",INDEX(Calc_Daily!$BK$2:$BK$2001,$BG305))</f>
        <v>0</v>
      </c>
      <c r="D305">
        <f>IF($BG305="","",INDEX(Calc_Daily!$BL$2:$BL$2001,$BG305))</f>
        <v>0</v>
      </c>
      <c r="E305">
        <f>IF($BG305="","",INDEX(Calc_Daily!$E$2:$E$2001,$BG305))</f>
        <v>0</v>
      </c>
      <c r="F305">
        <f>IF($E305="","",N(F304)+1)</f>
        <v>0</v>
      </c>
      <c r="G305">
        <f>IF(OR($E305="",$E304=""),"",LN($E305/$E304))</f>
        <v>0</v>
      </c>
      <c r="H305">
        <f>IF($E305="","",IF($E304="",$E305,$E305*0.0952380952+H304*0.9047619048))</f>
        <v>0</v>
      </c>
      <c r="I305">
        <f>IF($E305="","",IF($E304="",$E305,$E305*0.0392156863+I304*0.9607843137))</f>
        <v>0</v>
      </c>
      <c r="J305">
        <f>IF($E305="","",IF($E304="",$E305,$E305*0.0198019802+J304*0.9801980198))</f>
        <v>0</v>
      </c>
      <c r="K305">
        <f>IF($E305="","",IF($E304="",$E305,$E305*0.0099502488+K304*0.9900497512))</f>
        <v>0</v>
      </c>
      <c r="L305">
        <f>IF(OR($E305="",$E304=""),"",MAX($E305-$E304,0))</f>
        <v>0</v>
      </c>
      <c r="M305">
        <f>IF(OR($E305="",$E304=""),"",MAX($E304-$E305,0))</f>
        <v>0</v>
      </c>
      <c r="N305">
        <f>IF(COUNT($E$2:$E305)&lt;15,"",IF(AVERAGE($M$292:$M$305)=0,100,100-100/(1+AVERAGE($L$292:$L$305)/AVERAGE($M$292:$M$305))))</f>
        <v>0</v>
      </c>
      <c r="O305">
        <f>IF($E305="","",IF($E304="",$E305,$E305*0.1538461538+O304*0.8461538462))</f>
        <v>0</v>
      </c>
      <c r="P305">
        <f>IF($E305="","",IF($E304="",$E305,$E305*0.0740740741+P304*0.9259259259))</f>
        <v>0</v>
      </c>
      <c r="Q305">
        <f>IF(OR(O305="",P305=""),"",O305-P305)</f>
        <v>0</v>
      </c>
      <c r="R305">
        <f>IF(Q305="","",IF(R304="",Q305,Q305*0.2000000000+R304*0.8000000000))</f>
        <v>0</v>
      </c>
      <c r="S305">
        <f>IF(OR(Q305="",R305=""),"",Q305-R305)</f>
        <v>0</v>
      </c>
      <c r="T305">
        <f>IF(COUNT($E$2:$E305)&lt;14,"",MAX($C$292:$C$305))</f>
        <v>0</v>
      </c>
      <c r="U305">
        <f>IF(COUNT($E$2:$E305)&lt;14,"",MIN($D$292:$D$305))</f>
        <v>0</v>
      </c>
      <c r="V305">
        <f>IF(OR(T305="",U305="",T305=U305),"",100*($E305-U305)/(T305-U305))</f>
        <v>0</v>
      </c>
      <c r="W305">
        <f>IF(COUNT($V$303:$V$305)&lt;3,"",AVERAGE($V$303:$V$305))</f>
        <v>0</v>
      </c>
      <c r="X305">
        <f>IF(COUNT($N$292:$N$305)&lt;14,"",MIN($N$292:$N$305))</f>
        <v>0</v>
      </c>
      <c r="Y305">
        <f>IF(COUNT($N$292:$N$305)&lt;14,"",MAX($N$292:$N$305))</f>
        <v>0</v>
      </c>
      <c r="Z305">
        <f>IF(OR(N305="",X305="",Y305="",Y305=X305),"",100*(N305-X305)/(Y305-X305))</f>
        <v>0</v>
      </c>
      <c r="AA305">
        <f>IF(COUNT($Z$303:$Z$305)&lt;3,"",AVERAGE($Z$303:$Z$305))</f>
        <v>0</v>
      </c>
      <c r="AB305">
        <f>IF(COUNT($AA$303:$AA$305)&lt;3,"",AVERAGE($AA$303:$AA$305))</f>
        <v>0</v>
      </c>
      <c r="AC305">
        <f>IF($E305="","",MAX($C305-$D305,ABS($C305-$E304),ABS($D305-$E304)))</f>
        <v>0</v>
      </c>
      <c r="AD305">
        <f>IF(COUNT($E$2:$E305)&lt;15,"",AVERAGE($AC$292:$AC$305))</f>
        <v>0</v>
      </c>
      <c r="AE305">
        <f>IF(OR($E305="",$E304=""),"",IF(AND(($C305-$C304)&gt;($D304-$D305),($C305-$C304)&gt;0),$C305-$C304,0))</f>
        <v>0</v>
      </c>
      <c r="AF305">
        <f>IF(OR($E305="",$E304=""),"",IF(AND(($D304-$D305)&gt;($C305-$C304),($D304-$D305)&gt;0),$D304-$D305,0))</f>
        <v>0</v>
      </c>
      <c r="AG305">
        <f>IF(COUNT($E$2:$E305)&lt;15,"",IF(SUM($AC$292:$AC$305)=0,0,100*SUM($AE$292:$AE$305)/SUM($AC$292:$AC$305)))</f>
        <v>0</v>
      </c>
      <c r="AH305">
        <f>IF(COUNT($E$2:$E305)&lt;15,"",IF(SUM($AC$292:$AC$305)=0,0,100*SUM($AF$292:$AF$305)/SUM($AC$292:$AC$305)))</f>
        <v>0</v>
      </c>
      <c r="AI305">
        <f>IF(OR(AG305="",AH305=""),"",IF((AG305+AH305)=0,0,100*ABS(AG305-AH305)/(AG305+AH305)))</f>
        <v>0</v>
      </c>
      <c r="AJ305">
        <f>IF(COUNT($AI$292:$AI$305)&lt;14,"",AVERAGE($AI$292:$AI$305))</f>
        <v>0</v>
      </c>
      <c r="AK305">
        <f>IF(COUNT($E$2:$E305)&lt;20,"",AVERAGE($E$286:$E$305))</f>
        <v>0</v>
      </c>
      <c r="AL305">
        <f>IF(COUNT($E$2:$E305)&lt;20,"",STDEVP($E$286:$E$305))</f>
        <v>0</v>
      </c>
      <c r="AM305">
        <f>IF(AK305="","",AK305+2*AL305)</f>
        <v>0</v>
      </c>
      <c r="AN305">
        <f>IF(AK305="","",AK305-2*AL305)</f>
        <v>0</v>
      </c>
      <c r="AO305">
        <f>IF(OR(AM305="",AN305="",AM305=AN305),"",($E305-AN305)/(AM305-AN305))</f>
        <v>0</v>
      </c>
      <c r="AP305">
        <f>IF(OR(AM305="",AK305="",AK305=0),"",(AM305-AN305)/AK305)</f>
        <v>0</v>
      </c>
      <c r="AQ305">
        <f>IF(COUNT($E$2:$E305)&lt;20,"",MAX($C$286:$C$305))</f>
        <v>0</v>
      </c>
      <c r="AR305">
        <f>IF(COUNT($E$2:$E305)&lt;20,"",MIN($D$286:$D$305))</f>
        <v>0</v>
      </c>
      <c r="AS305">
        <f>IF(OR(AQ305="",AR305=""),"",(AQ305+AR305)/2)</f>
        <v>0</v>
      </c>
      <c r="AT305">
        <f>IF(COUNT($G$286:$G$305)&lt;20,"",STDEV($G$286:$G$305)*SQRT(52))</f>
        <v>0</v>
      </c>
      <c r="AU305">
        <f>IF(COUNT($E$2:$E305)&lt;9,"",(MAX($C$297:$C$305)+MIN($D$297:$D$305))/2)</f>
        <v>0</v>
      </c>
      <c r="AV305">
        <f>IF(COUNT($E$2:$E305)&lt;26,"",(MAX($C$280:$C$305)+MIN($D$280:$D$305))/2)</f>
        <v>0</v>
      </c>
      <c r="AW305">
        <f>IF(OR(AU305="",AV305=""),"",(AU305+AV305)/2)</f>
        <v>0</v>
      </c>
      <c r="AX305">
        <f>IF(COUNT($E$2:$E305)&lt;52,"",(MAX($C$254:$C$305)+MIN($D$254:$D$305))/2)</f>
        <v>0</v>
      </c>
      <c r="AY305">
        <f>IF(COUNT($E$2:$E305)&lt;20,"",MAX($C$206:$C$305))</f>
        <v>0</v>
      </c>
      <c r="AZ305">
        <f>IF(COUNT($E$2:$E305)&lt;20,"",MIN($D$206:$D$305))</f>
        <v>0</v>
      </c>
      <c r="BA305">
        <f>IF(COUNT($E$2:$E305)&lt;20,"",SLOPE($E$206:$E$305,$F$206:$F$305))</f>
        <v>0</v>
      </c>
      <c r="BB305">
        <f>IF(COUNT($E$2:$E305)&lt;20,"",INTERCEPT($E$206:$E$305,$F$206:$F$305))</f>
        <v>0</v>
      </c>
      <c r="BC305">
        <f>IF(OR(BA305="",BB305=""),"",BB305+BA305*F305)</f>
        <v>0</v>
      </c>
      <c r="BD305">
        <f>IF(COUNT($E$2:$E305)&lt;20,"",STEYX($E$206:$E$305,$F$206:$F$305))</f>
        <v>0</v>
      </c>
      <c r="BE305">
        <f>IF($E305="","",IF(AND(COUNT($E$306:$E$309)&gt;=4,$C305=MAX($C$301:$C$309)),$C305,""))</f>
        <v>0</v>
      </c>
      <c r="BF305">
        <f>IF($E305="","",IF(AND(COUNT($E$306:$E$309)&gt;=4,$D305=MIN($D$301:$D$309)),$D305,""))</f>
        <v>0</v>
      </c>
      <c r="BG305">
        <f>IFERROR(SMALL(Calc_Daily!$BM$2:$BM$2001,304),"")</f>
        <v>0</v>
      </c>
    </row>
    <row r="306" spans="1:59">
      <c r="A306" s="27">
        <f>IF($BG306="","",INDEX(Calc_Daily!$A$2:$A$2001,$BG306))</f>
        <v>0</v>
      </c>
      <c r="B306">
        <f>IF($BG306="","",INDEX(Calc_Daily!$BJ$2:$BJ$2001,$BG306))</f>
        <v>0</v>
      </c>
      <c r="C306">
        <f>IF($BG306="","",INDEX(Calc_Daily!$BK$2:$BK$2001,$BG306))</f>
        <v>0</v>
      </c>
      <c r="D306">
        <f>IF($BG306="","",INDEX(Calc_Daily!$BL$2:$BL$2001,$BG306))</f>
        <v>0</v>
      </c>
      <c r="E306">
        <f>IF($BG306="","",INDEX(Calc_Daily!$E$2:$E$2001,$BG306))</f>
        <v>0</v>
      </c>
      <c r="F306">
        <f>IF($E306="","",N(F305)+1)</f>
        <v>0</v>
      </c>
      <c r="G306">
        <f>IF(OR($E306="",$E305=""),"",LN($E306/$E305))</f>
        <v>0</v>
      </c>
      <c r="H306">
        <f>IF($E306="","",IF($E305="",$E306,$E306*0.0952380952+H305*0.9047619048))</f>
        <v>0</v>
      </c>
      <c r="I306">
        <f>IF($E306="","",IF($E305="",$E306,$E306*0.0392156863+I305*0.9607843137))</f>
        <v>0</v>
      </c>
      <c r="J306">
        <f>IF($E306="","",IF($E305="",$E306,$E306*0.0198019802+J305*0.9801980198))</f>
        <v>0</v>
      </c>
      <c r="K306">
        <f>IF($E306="","",IF($E305="",$E306,$E306*0.0099502488+K305*0.9900497512))</f>
        <v>0</v>
      </c>
      <c r="L306">
        <f>IF(OR($E306="",$E305=""),"",MAX($E306-$E305,0))</f>
        <v>0</v>
      </c>
      <c r="M306">
        <f>IF(OR($E306="",$E305=""),"",MAX($E305-$E306,0))</f>
        <v>0</v>
      </c>
      <c r="N306">
        <f>IF(COUNT($E$2:$E306)&lt;15,"",IF(AVERAGE($M$293:$M$306)=0,100,100-100/(1+AVERAGE($L$293:$L$306)/AVERAGE($M$293:$M$306))))</f>
        <v>0</v>
      </c>
      <c r="O306">
        <f>IF($E306="","",IF($E305="",$E306,$E306*0.1538461538+O305*0.8461538462))</f>
        <v>0</v>
      </c>
      <c r="P306">
        <f>IF($E306="","",IF($E305="",$E306,$E306*0.0740740741+P305*0.9259259259))</f>
        <v>0</v>
      </c>
      <c r="Q306">
        <f>IF(OR(O306="",P306=""),"",O306-P306)</f>
        <v>0</v>
      </c>
      <c r="R306">
        <f>IF(Q306="","",IF(R305="",Q306,Q306*0.2000000000+R305*0.8000000000))</f>
        <v>0</v>
      </c>
      <c r="S306">
        <f>IF(OR(Q306="",R306=""),"",Q306-R306)</f>
        <v>0</v>
      </c>
      <c r="T306">
        <f>IF(COUNT($E$2:$E306)&lt;14,"",MAX($C$293:$C$306))</f>
        <v>0</v>
      </c>
      <c r="U306">
        <f>IF(COUNT($E$2:$E306)&lt;14,"",MIN($D$293:$D$306))</f>
        <v>0</v>
      </c>
      <c r="V306">
        <f>IF(OR(T306="",U306="",T306=U306),"",100*($E306-U306)/(T306-U306))</f>
        <v>0</v>
      </c>
      <c r="W306">
        <f>IF(COUNT($V$304:$V$306)&lt;3,"",AVERAGE($V$304:$V$306))</f>
        <v>0</v>
      </c>
      <c r="X306">
        <f>IF(COUNT($N$293:$N$306)&lt;14,"",MIN($N$293:$N$306))</f>
        <v>0</v>
      </c>
      <c r="Y306">
        <f>IF(COUNT($N$293:$N$306)&lt;14,"",MAX($N$293:$N$306))</f>
        <v>0</v>
      </c>
      <c r="Z306">
        <f>IF(OR(N306="",X306="",Y306="",Y306=X306),"",100*(N306-X306)/(Y306-X306))</f>
        <v>0</v>
      </c>
      <c r="AA306">
        <f>IF(COUNT($Z$304:$Z$306)&lt;3,"",AVERAGE($Z$304:$Z$306))</f>
        <v>0</v>
      </c>
      <c r="AB306">
        <f>IF(COUNT($AA$304:$AA$306)&lt;3,"",AVERAGE($AA$304:$AA$306))</f>
        <v>0</v>
      </c>
      <c r="AC306">
        <f>IF($E306="","",MAX($C306-$D306,ABS($C306-$E305),ABS($D306-$E305)))</f>
        <v>0</v>
      </c>
      <c r="AD306">
        <f>IF(COUNT($E$2:$E306)&lt;15,"",AVERAGE($AC$293:$AC$306))</f>
        <v>0</v>
      </c>
      <c r="AE306">
        <f>IF(OR($E306="",$E305=""),"",IF(AND(($C306-$C305)&gt;($D305-$D306),($C306-$C305)&gt;0),$C306-$C305,0))</f>
        <v>0</v>
      </c>
      <c r="AF306">
        <f>IF(OR($E306="",$E305=""),"",IF(AND(($D305-$D306)&gt;($C306-$C305),($D305-$D306)&gt;0),$D305-$D306,0))</f>
        <v>0</v>
      </c>
      <c r="AG306">
        <f>IF(COUNT($E$2:$E306)&lt;15,"",IF(SUM($AC$293:$AC$306)=0,0,100*SUM($AE$293:$AE$306)/SUM($AC$293:$AC$306)))</f>
        <v>0</v>
      </c>
      <c r="AH306">
        <f>IF(COUNT($E$2:$E306)&lt;15,"",IF(SUM($AC$293:$AC$306)=0,0,100*SUM($AF$293:$AF$306)/SUM($AC$293:$AC$306)))</f>
        <v>0</v>
      </c>
      <c r="AI306">
        <f>IF(OR(AG306="",AH306=""),"",IF((AG306+AH306)=0,0,100*ABS(AG306-AH306)/(AG306+AH306)))</f>
        <v>0</v>
      </c>
      <c r="AJ306">
        <f>IF(COUNT($AI$293:$AI$306)&lt;14,"",AVERAGE($AI$293:$AI$306))</f>
        <v>0</v>
      </c>
      <c r="AK306">
        <f>IF(COUNT($E$2:$E306)&lt;20,"",AVERAGE($E$287:$E$306))</f>
        <v>0</v>
      </c>
      <c r="AL306">
        <f>IF(COUNT($E$2:$E306)&lt;20,"",STDEVP($E$287:$E$306))</f>
        <v>0</v>
      </c>
      <c r="AM306">
        <f>IF(AK306="","",AK306+2*AL306)</f>
        <v>0</v>
      </c>
      <c r="AN306">
        <f>IF(AK306="","",AK306-2*AL306)</f>
        <v>0</v>
      </c>
      <c r="AO306">
        <f>IF(OR(AM306="",AN306="",AM306=AN306),"",($E306-AN306)/(AM306-AN306))</f>
        <v>0</v>
      </c>
      <c r="AP306">
        <f>IF(OR(AM306="",AK306="",AK306=0),"",(AM306-AN306)/AK306)</f>
        <v>0</v>
      </c>
      <c r="AQ306">
        <f>IF(COUNT($E$2:$E306)&lt;20,"",MAX($C$287:$C$306))</f>
        <v>0</v>
      </c>
      <c r="AR306">
        <f>IF(COUNT($E$2:$E306)&lt;20,"",MIN($D$287:$D$306))</f>
        <v>0</v>
      </c>
      <c r="AS306">
        <f>IF(OR(AQ306="",AR306=""),"",(AQ306+AR306)/2)</f>
        <v>0</v>
      </c>
      <c r="AT306">
        <f>IF(COUNT($G$287:$G$306)&lt;20,"",STDEV($G$287:$G$306)*SQRT(52))</f>
        <v>0</v>
      </c>
      <c r="AU306">
        <f>IF(COUNT($E$2:$E306)&lt;9,"",(MAX($C$298:$C$306)+MIN($D$298:$D$306))/2)</f>
        <v>0</v>
      </c>
      <c r="AV306">
        <f>IF(COUNT($E$2:$E306)&lt;26,"",(MAX($C$281:$C$306)+MIN($D$281:$D$306))/2)</f>
        <v>0</v>
      </c>
      <c r="AW306">
        <f>IF(OR(AU306="",AV306=""),"",(AU306+AV306)/2)</f>
        <v>0</v>
      </c>
      <c r="AX306">
        <f>IF(COUNT($E$2:$E306)&lt;52,"",(MAX($C$255:$C$306)+MIN($D$255:$D$306))/2)</f>
        <v>0</v>
      </c>
      <c r="AY306">
        <f>IF(COUNT($E$2:$E306)&lt;20,"",MAX($C$207:$C$306))</f>
        <v>0</v>
      </c>
      <c r="AZ306">
        <f>IF(COUNT($E$2:$E306)&lt;20,"",MIN($D$207:$D$306))</f>
        <v>0</v>
      </c>
      <c r="BA306">
        <f>IF(COUNT($E$2:$E306)&lt;20,"",SLOPE($E$207:$E$306,$F$207:$F$306))</f>
        <v>0</v>
      </c>
      <c r="BB306">
        <f>IF(COUNT($E$2:$E306)&lt;20,"",INTERCEPT($E$207:$E$306,$F$207:$F$306))</f>
        <v>0</v>
      </c>
      <c r="BC306">
        <f>IF(OR(BA306="",BB306=""),"",BB306+BA306*F306)</f>
        <v>0</v>
      </c>
      <c r="BD306">
        <f>IF(COUNT($E$2:$E306)&lt;20,"",STEYX($E$207:$E$306,$F$207:$F$306))</f>
        <v>0</v>
      </c>
      <c r="BE306">
        <f>IF($E306="","",IF(AND(COUNT($E$307:$E$310)&gt;=4,$C306=MAX($C$302:$C$310)),$C306,""))</f>
        <v>0</v>
      </c>
      <c r="BF306">
        <f>IF($E306="","",IF(AND(COUNT($E$307:$E$310)&gt;=4,$D306=MIN($D$302:$D$310)),$D306,""))</f>
        <v>0</v>
      </c>
      <c r="BG306">
        <f>IFERROR(SMALL(Calc_Daily!$BM$2:$BM$2001,305),"")</f>
        <v>0</v>
      </c>
    </row>
    <row r="307" spans="1:59">
      <c r="A307" s="27">
        <f>IF($BG307="","",INDEX(Calc_Daily!$A$2:$A$2001,$BG307))</f>
        <v>0</v>
      </c>
      <c r="B307">
        <f>IF($BG307="","",INDEX(Calc_Daily!$BJ$2:$BJ$2001,$BG307))</f>
        <v>0</v>
      </c>
      <c r="C307">
        <f>IF($BG307="","",INDEX(Calc_Daily!$BK$2:$BK$2001,$BG307))</f>
        <v>0</v>
      </c>
      <c r="D307">
        <f>IF($BG307="","",INDEX(Calc_Daily!$BL$2:$BL$2001,$BG307))</f>
        <v>0</v>
      </c>
      <c r="E307">
        <f>IF($BG307="","",INDEX(Calc_Daily!$E$2:$E$2001,$BG307))</f>
        <v>0</v>
      </c>
      <c r="F307">
        <f>IF($E307="","",N(F306)+1)</f>
        <v>0</v>
      </c>
      <c r="G307">
        <f>IF(OR($E307="",$E306=""),"",LN($E307/$E306))</f>
        <v>0</v>
      </c>
      <c r="H307">
        <f>IF($E307="","",IF($E306="",$E307,$E307*0.0952380952+H306*0.9047619048))</f>
        <v>0</v>
      </c>
      <c r="I307">
        <f>IF($E307="","",IF($E306="",$E307,$E307*0.0392156863+I306*0.9607843137))</f>
        <v>0</v>
      </c>
      <c r="J307">
        <f>IF($E307="","",IF($E306="",$E307,$E307*0.0198019802+J306*0.9801980198))</f>
        <v>0</v>
      </c>
      <c r="K307">
        <f>IF($E307="","",IF($E306="",$E307,$E307*0.0099502488+K306*0.9900497512))</f>
        <v>0</v>
      </c>
      <c r="L307">
        <f>IF(OR($E307="",$E306=""),"",MAX($E307-$E306,0))</f>
        <v>0</v>
      </c>
      <c r="M307">
        <f>IF(OR($E307="",$E306=""),"",MAX($E306-$E307,0))</f>
        <v>0</v>
      </c>
      <c r="N307">
        <f>IF(COUNT($E$2:$E307)&lt;15,"",IF(AVERAGE($M$294:$M$307)=0,100,100-100/(1+AVERAGE($L$294:$L$307)/AVERAGE($M$294:$M$307))))</f>
        <v>0</v>
      </c>
      <c r="O307">
        <f>IF($E307="","",IF($E306="",$E307,$E307*0.1538461538+O306*0.8461538462))</f>
        <v>0</v>
      </c>
      <c r="P307">
        <f>IF($E307="","",IF($E306="",$E307,$E307*0.0740740741+P306*0.9259259259))</f>
        <v>0</v>
      </c>
      <c r="Q307">
        <f>IF(OR(O307="",P307=""),"",O307-P307)</f>
        <v>0</v>
      </c>
      <c r="R307">
        <f>IF(Q307="","",IF(R306="",Q307,Q307*0.2000000000+R306*0.8000000000))</f>
        <v>0</v>
      </c>
      <c r="S307">
        <f>IF(OR(Q307="",R307=""),"",Q307-R307)</f>
        <v>0</v>
      </c>
      <c r="T307">
        <f>IF(COUNT($E$2:$E307)&lt;14,"",MAX($C$294:$C$307))</f>
        <v>0</v>
      </c>
      <c r="U307">
        <f>IF(COUNT($E$2:$E307)&lt;14,"",MIN($D$294:$D$307))</f>
        <v>0</v>
      </c>
      <c r="V307">
        <f>IF(OR(T307="",U307="",T307=U307),"",100*($E307-U307)/(T307-U307))</f>
        <v>0</v>
      </c>
      <c r="W307">
        <f>IF(COUNT($V$305:$V$307)&lt;3,"",AVERAGE($V$305:$V$307))</f>
        <v>0</v>
      </c>
      <c r="X307">
        <f>IF(COUNT($N$294:$N$307)&lt;14,"",MIN($N$294:$N$307))</f>
        <v>0</v>
      </c>
      <c r="Y307">
        <f>IF(COUNT($N$294:$N$307)&lt;14,"",MAX($N$294:$N$307))</f>
        <v>0</v>
      </c>
      <c r="Z307">
        <f>IF(OR(N307="",X307="",Y307="",Y307=X307),"",100*(N307-X307)/(Y307-X307))</f>
        <v>0</v>
      </c>
      <c r="AA307">
        <f>IF(COUNT($Z$305:$Z$307)&lt;3,"",AVERAGE($Z$305:$Z$307))</f>
        <v>0</v>
      </c>
      <c r="AB307">
        <f>IF(COUNT($AA$305:$AA$307)&lt;3,"",AVERAGE($AA$305:$AA$307))</f>
        <v>0</v>
      </c>
      <c r="AC307">
        <f>IF($E307="","",MAX($C307-$D307,ABS($C307-$E306),ABS($D307-$E306)))</f>
        <v>0</v>
      </c>
      <c r="AD307">
        <f>IF(COUNT($E$2:$E307)&lt;15,"",AVERAGE($AC$294:$AC$307))</f>
        <v>0</v>
      </c>
      <c r="AE307">
        <f>IF(OR($E307="",$E306=""),"",IF(AND(($C307-$C306)&gt;($D306-$D307),($C307-$C306)&gt;0),$C307-$C306,0))</f>
        <v>0</v>
      </c>
      <c r="AF307">
        <f>IF(OR($E307="",$E306=""),"",IF(AND(($D306-$D307)&gt;($C307-$C306),($D306-$D307)&gt;0),$D306-$D307,0))</f>
        <v>0</v>
      </c>
      <c r="AG307">
        <f>IF(COUNT($E$2:$E307)&lt;15,"",IF(SUM($AC$294:$AC$307)=0,0,100*SUM($AE$294:$AE$307)/SUM($AC$294:$AC$307)))</f>
        <v>0</v>
      </c>
      <c r="AH307">
        <f>IF(COUNT($E$2:$E307)&lt;15,"",IF(SUM($AC$294:$AC$307)=0,0,100*SUM($AF$294:$AF$307)/SUM($AC$294:$AC$307)))</f>
        <v>0</v>
      </c>
      <c r="AI307">
        <f>IF(OR(AG307="",AH307=""),"",IF((AG307+AH307)=0,0,100*ABS(AG307-AH307)/(AG307+AH307)))</f>
        <v>0</v>
      </c>
      <c r="AJ307">
        <f>IF(COUNT($AI$294:$AI$307)&lt;14,"",AVERAGE($AI$294:$AI$307))</f>
        <v>0</v>
      </c>
      <c r="AK307">
        <f>IF(COUNT($E$2:$E307)&lt;20,"",AVERAGE($E$288:$E$307))</f>
        <v>0</v>
      </c>
      <c r="AL307">
        <f>IF(COUNT($E$2:$E307)&lt;20,"",STDEVP($E$288:$E$307))</f>
        <v>0</v>
      </c>
      <c r="AM307">
        <f>IF(AK307="","",AK307+2*AL307)</f>
        <v>0</v>
      </c>
      <c r="AN307">
        <f>IF(AK307="","",AK307-2*AL307)</f>
        <v>0</v>
      </c>
      <c r="AO307">
        <f>IF(OR(AM307="",AN307="",AM307=AN307),"",($E307-AN307)/(AM307-AN307))</f>
        <v>0</v>
      </c>
      <c r="AP307">
        <f>IF(OR(AM307="",AK307="",AK307=0),"",(AM307-AN307)/AK307)</f>
        <v>0</v>
      </c>
      <c r="AQ307">
        <f>IF(COUNT($E$2:$E307)&lt;20,"",MAX($C$288:$C$307))</f>
        <v>0</v>
      </c>
      <c r="AR307">
        <f>IF(COUNT($E$2:$E307)&lt;20,"",MIN($D$288:$D$307))</f>
        <v>0</v>
      </c>
      <c r="AS307">
        <f>IF(OR(AQ307="",AR307=""),"",(AQ307+AR307)/2)</f>
        <v>0</v>
      </c>
      <c r="AT307">
        <f>IF(COUNT($G$288:$G$307)&lt;20,"",STDEV($G$288:$G$307)*SQRT(52))</f>
        <v>0</v>
      </c>
      <c r="AU307">
        <f>IF(COUNT($E$2:$E307)&lt;9,"",(MAX($C$299:$C$307)+MIN($D$299:$D$307))/2)</f>
        <v>0</v>
      </c>
      <c r="AV307">
        <f>IF(COUNT($E$2:$E307)&lt;26,"",(MAX($C$282:$C$307)+MIN($D$282:$D$307))/2)</f>
        <v>0</v>
      </c>
      <c r="AW307">
        <f>IF(OR(AU307="",AV307=""),"",(AU307+AV307)/2)</f>
        <v>0</v>
      </c>
      <c r="AX307">
        <f>IF(COUNT($E$2:$E307)&lt;52,"",(MAX($C$256:$C$307)+MIN($D$256:$D$307))/2)</f>
        <v>0</v>
      </c>
      <c r="AY307">
        <f>IF(COUNT($E$2:$E307)&lt;20,"",MAX($C$208:$C$307))</f>
        <v>0</v>
      </c>
      <c r="AZ307">
        <f>IF(COUNT($E$2:$E307)&lt;20,"",MIN($D$208:$D$307))</f>
        <v>0</v>
      </c>
      <c r="BA307">
        <f>IF(COUNT($E$2:$E307)&lt;20,"",SLOPE($E$208:$E$307,$F$208:$F$307))</f>
        <v>0</v>
      </c>
      <c r="BB307">
        <f>IF(COUNT($E$2:$E307)&lt;20,"",INTERCEPT($E$208:$E$307,$F$208:$F$307))</f>
        <v>0</v>
      </c>
      <c r="BC307">
        <f>IF(OR(BA307="",BB307=""),"",BB307+BA307*F307)</f>
        <v>0</v>
      </c>
      <c r="BD307">
        <f>IF(COUNT($E$2:$E307)&lt;20,"",STEYX($E$208:$E$307,$F$208:$F$307))</f>
        <v>0</v>
      </c>
      <c r="BE307">
        <f>IF($E307="","",IF(AND(COUNT($E$308:$E$311)&gt;=4,$C307=MAX($C$303:$C$311)),$C307,""))</f>
        <v>0</v>
      </c>
      <c r="BF307">
        <f>IF($E307="","",IF(AND(COUNT($E$308:$E$311)&gt;=4,$D307=MIN($D$303:$D$311)),$D307,""))</f>
        <v>0</v>
      </c>
      <c r="BG307">
        <f>IFERROR(SMALL(Calc_Daily!$BM$2:$BM$2001,306),"")</f>
        <v>0</v>
      </c>
    </row>
    <row r="308" spans="1:59">
      <c r="A308" s="27">
        <f>IF($BG308="","",INDEX(Calc_Daily!$A$2:$A$2001,$BG308))</f>
        <v>0</v>
      </c>
      <c r="B308">
        <f>IF($BG308="","",INDEX(Calc_Daily!$BJ$2:$BJ$2001,$BG308))</f>
        <v>0</v>
      </c>
      <c r="C308">
        <f>IF($BG308="","",INDEX(Calc_Daily!$BK$2:$BK$2001,$BG308))</f>
        <v>0</v>
      </c>
      <c r="D308">
        <f>IF($BG308="","",INDEX(Calc_Daily!$BL$2:$BL$2001,$BG308))</f>
        <v>0</v>
      </c>
      <c r="E308">
        <f>IF($BG308="","",INDEX(Calc_Daily!$E$2:$E$2001,$BG308))</f>
        <v>0</v>
      </c>
      <c r="F308">
        <f>IF($E308="","",N(F307)+1)</f>
        <v>0</v>
      </c>
      <c r="G308">
        <f>IF(OR($E308="",$E307=""),"",LN($E308/$E307))</f>
        <v>0</v>
      </c>
      <c r="H308">
        <f>IF($E308="","",IF($E307="",$E308,$E308*0.0952380952+H307*0.9047619048))</f>
        <v>0</v>
      </c>
      <c r="I308">
        <f>IF($E308="","",IF($E307="",$E308,$E308*0.0392156863+I307*0.9607843137))</f>
        <v>0</v>
      </c>
      <c r="J308">
        <f>IF($E308="","",IF($E307="",$E308,$E308*0.0198019802+J307*0.9801980198))</f>
        <v>0</v>
      </c>
      <c r="K308">
        <f>IF($E308="","",IF($E307="",$E308,$E308*0.0099502488+K307*0.9900497512))</f>
        <v>0</v>
      </c>
      <c r="L308">
        <f>IF(OR($E308="",$E307=""),"",MAX($E308-$E307,0))</f>
        <v>0</v>
      </c>
      <c r="M308">
        <f>IF(OR($E308="",$E307=""),"",MAX($E307-$E308,0))</f>
        <v>0</v>
      </c>
      <c r="N308">
        <f>IF(COUNT($E$2:$E308)&lt;15,"",IF(AVERAGE($M$295:$M$308)=0,100,100-100/(1+AVERAGE($L$295:$L$308)/AVERAGE($M$295:$M$308))))</f>
        <v>0</v>
      </c>
      <c r="O308">
        <f>IF($E308="","",IF($E307="",$E308,$E308*0.1538461538+O307*0.8461538462))</f>
        <v>0</v>
      </c>
      <c r="P308">
        <f>IF($E308="","",IF($E307="",$E308,$E308*0.0740740741+P307*0.9259259259))</f>
        <v>0</v>
      </c>
      <c r="Q308">
        <f>IF(OR(O308="",P308=""),"",O308-P308)</f>
        <v>0</v>
      </c>
      <c r="R308">
        <f>IF(Q308="","",IF(R307="",Q308,Q308*0.2000000000+R307*0.8000000000))</f>
        <v>0</v>
      </c>
      <c r="S308">
        <f>IF(OR(Q308="",R308=""),"",Q308-R308)</f>
        <v>0</v>
      </c>
      <c r="T308">
        <f>IF(COUNT($E$2:$E308)&lt;14,"",MAX($C$295:$C$308))</f>
        <v>0</v>
      </c>
      <c r="U308">
        <f>IF(COUNT($E$2:$E308)&lt;14,"",MIN($D$295:$D$308))</f>
        <v>0</v>
      </c>
      <c r="V308">
        <f>IF(OR(T308="",U308="",T308=U308),"",100*($E308-U308)/(T308-U308))</f>
        <v>0</v>
      </c>
      <c r="W308">
        <f>IF(COUNT($V$306:$V$308)&lt;3,"",AVERAGE($V$306:$V$308))</f>
        <v>0</v>
      </c>
      <c r="X308">
        <f>IF(COUNT($N$295:$N$308)&lt;14,"",MIN($N$295:$N$308))</f>
        <v>0</v>
      </c>
      <c r="Y308">
        <f>IF(COUNT($N$295:$N$308)&lt;14,"",MAX($N$295:$N$308))</f>
        <v>0</v>
      </c>
      <c r="Z308">
        <f>IF(OR(N308="",X308="",Y308="",Y308=X308),"",100*(N308-X308)/(Y308-X308))</f>
        <v>0</v>
      </c>
      <c r="AA308">
        <f>IF(COUNT($Z$306:$Z$308)&lt;3,"",AVERAGE($Z$306:$Z$308))</f>
        <v>0</v>
      </c>
      <c r="AB308">
        <f>IF(COUNT($AA$306:$AA$308)&lt;3,"",AVERAGE($AA$306:$AA$308))</f>
        <v>0</v>
      </c>
      <c r="AC308">
        <f>IF($E308="","",MAX($C308-$D308,ABS($C308-$E307),ABS($D308-$E307)))</f>
        <v>0</v>
      </c>
      <c r="AD308">
        <f>IF(COUNT($E$2:$E308)&lt;15,"",AVERAGE($AC$295:$AC$308))</f>
        <v>0</v>
      </c>
      <c r="AE308">
        <f>IF(OR($E308="",$E307=""),"",IF(AND(($C308-$C307)&gt;($D307-$D308),($C308-$C307)&gt;0),$C308-$C307,0))</f>
        <v>0</v>
      </c>
      <c r="AF308">
        <f>IF(OR($E308="",$E307=""),"",IF(AND(($D307-$D308)&gt;($C308-$C307),($D307-$D308)&gt;0),$D307-$D308,0))</f>
        <v>0</v>
      </c>
      <c r="AG308">
        <f>IF(COUNT($E$2:$E308)&lt;15,"",IF(SUM($AC$295:$AC$308)=0,0,100*SUM($AE$295:$AE$308)/SUM($AC$295:$AC$308)))</f>
        <v>0</v>
      </c>
      <c r="AH308">
        <f>IF(COUNT($E$2:$E308)&lt;15,"",IF(SUM($AC$295:$AC$308)=0,0,100*SUM($AF$295:$AF$308)/SUM($AC$295:$AC$308)))</f>
        <v>0</v>
      </c>
      <c r="AI308">
        <f>IF(OR(AG308="",AH308=""),"",IF((AG308+AH308)=0,0,100*ABS(AG308-AH308)/(AG308+AH308)))</f>
        <v>0</v>
      </c>
      <c r="AJ308">
        <f>IF(COUNT($AI$295:$AI$308)&lt;14,"",AVERAGE($AI$295:$AI$308))</f>
        <v>0</v>
      </c>
      <c r="AK308">
        <f>IF(COUNT($E$2:$E308)&lt;20,"",AVERAGE($E$289:$E$308))</f>
        <v>0</v>
      </c>
      <c r="AL308">
        <f>IF(COUNT($E$2:$E308)&lt;20,"",STDEVP($E$289:$E$308))</f>
        <v>0</v>
      </c>
      <c r="AM308">
        <f>IF(AK308="","",AK308+2*AL308)</f>
        <v>0</v>
      </c>
      <c r="AN308">
        <f>IF(AK308="","",AK308-2*AL308)</f>
        <v>0</v>
      </c>
      <c r="AO308">
        <f>IF(OR(AM308="",AN308="",AM308=AN308),"",($E308-AN308)/(AM308-AN308))</f>
        <v>0</v>
      </c>
      <c r="AP308">
        <f>IF(OR(AM308="",AK308="",AK308=0),"",(AM308-AN308)/AK308)</f>
        <v>0</v>
      </c>
      <c r="AQ308">
        <f>IF(COUNT($E$2:$E308)&lt;20,"",MAX($C$289:$C$308))</f>
        <v>0</v>
      </c>
      <c r="AR308">
        <f>IF(COUNT($E$2:$E308)&lt;20,"",MIN($D$289:$D$308))</f>
        <v>0</v>
      </c>
      <c r="AS308">
        <f>IF(OR(AQ308="",AR308=""),"",(AQ308+AR308)/2)</f>
        <v>0</v>
      </c>
      <c r="AT308">
        <f>IF(COUNT($G$289:$G$308)&lt;20,"",STDEV($G$289:$G$308)*SQRT(52))</f>
        <v>0</v>
      </c>
      <c r="AU308">
        <f>IF(COUNT($E$2:$E308)&lt;9,"",(MAX($C$300:$C$308)+MIN($D$300:$D$308))/2)</f>
        <v>0</v>
      </c>
      <c r="AV308">
        <f>IF(COUNT($E$2:$E308)&lt;26,"",(MAX($C$283:$C$308)+MIN($D$283:$D$308))/2)</f>
        <v>0</v>
      </c>
      <c r="AW308">
        <f>IF(OR(AU308="",AV308=""),"",(AU308+AV308)/2)</f>
        <v>0</v>
      </c>
      <c r="AX308">
        <f>IF(COUNT($E$2:$E308)&lt;52,"",(MAX($C$257:$C$308)+MIN($D$257:$D$308))/2)</f>
        <v>0</v>
      </c>
      <c r="AY308">
        <f>IF(COUNT($E$2:$E308)&lt;20,"",MAX($C$209:$C$308))</f>
        <v>0</v>
      </c>
      <c r="AZ308">
        <f>IF(COUNT($E$2:$E308)&lt;20,"",MIN($D$209:$D$308))</f>
        <v>0</v>
      </c>
      <c r="BA308">
        <f>IF(COUNT($E$2:$E308)&lt;20,"",SLOPE($E$209:$E$308,$F$209:$F$308))</f>
        <v>0</v>
      </c>
      <c r="BB308">
        <f>IF(COUNT($E$2:$E308)&lt;20,"",INTERCEPT($E$209:$E$308,$F$209:$F$308))</f>
        <v>0</v>
      </c>
      <c r="BC308">
        <f>IF(OR(BA308="",BB308=""),"",BB308+BA308*F308)</f>
        <v>0</v>
      </c>
      <c r="BD308">
        <f>IF(COUNT($E$2:$E308)&lt;20,"",STEYX($E$209:$E$308,$F$209:$F$308))</f>
        <v>0</v>
      </c>
      <c r="BE308">
        <f>IF($E308="","",IF(AND(COUNT($E$309:$E$312)&gt;=4,$C308=MAX($C$304:$C$312)),$C308,""))</f>
        <v>0</v>
      </c>
      <c r="BF308">
        <f>IF($E308="","",IF(AND(COUNT($E$309:$E$312)&gt;=4,$D308=MIN($D$304:$D$312)),$D308,""))</f>
        <v>0</v>
      </c>
      <c r="BG308">
        <f>IFERROR(SMALL(Calc_Daily!$BM$2:$BM$2001,307),"")</f>
        <v>0</v>
      </c>
    </row>
    <row r="309" spans="1:59">
      <c r="A309" s="27">
        <f>IF($BG309="","",INDEX(Calc_Daily!$A$2:$A$2001,$BG309))</f>
        <v>0</v>
      </c>
      <c r="B309">
        <f>IF($BG309="","",INDEX(Calc_Daily!$BJ$2:$BJ$2001,$BG309))</f>
        <v>0</v>
      </c>
      <c r="C309">
        <f>IF($BG309="","",INDEX(Calc_Daily!$BK$2:$BK$2001,$BG309))</f>
        <v>0</v>
      </c>
      <c r="D309">
        <f>IF($BG309="","",INDEX(Calc_Daily!$BL$2:$BL$2001,$BG309))</f>
        <v>0</v>
      </c>
      <c r="E309">
        <f>IF($BG309="","",INDEX(Calc_Daily!$E$2:$E$2001,$BG309))</f>
        <v>0</v>
      </c>
      <c r="F309">
        <f>IF($E309="","",N(F308)+1)</f>
        <v>0</v>
      </c>
      <c r="G309">
        <f>IF(OR($E309="",$E308=""),"",LN($E309/$E308))</f>
        <v>0</v>
      </c>
      <c r="H309">
        <f>IF($E309="","",IF($E308="",$E309,$E309*0.0952380952+H308*0.9047619048))</f>
        <v>0</v>
      </c>
      <c r="I309">
        <f>IF($E309="","",IF($E308="",$E309,$E309*0.0392156863+I308*0.9607843137))</f>
        <v>0</v>
      </c>
      <c r="J309">
        <f>IF($E309="","",IF($E308="",$E309,$E309*0.0198019802+J308*0.9801980198))</f>
        <v>0</v>
      </c>
      <c r="K309">
        <f>IF($E309="","",IF($E308="",$E309,$E309*0.0099502488+K308*0.9900497512))</f>
        <v>0</v>
      </c>
      <c r="L309">
        <f>IF(OR($E309="",$E308=""),"",MAX($E309-$E308,0))</f>
        <v>0</v>
      </c>
      <c r="M309">
        <f>IF(OR($E309="",$E308=""),"",MAX($E308-$E309,0))</f>
        <v>0</v>
      </c>
      <c r="N309">
        <f>IF(COUNT($E$2:$E309)&lt;15,"",IF(AVERAGE($M$296:$M$309)=0,100,100-100/(1+AVERAGE($L$296:$L$309)/AVERAGE($M$296:$M$309))))</f>
        <v>0</v>
      </c>
      <c r="O309">
        <f>IF($E309="","",IF($E308="",$E309,$E309*0.1538461538+O308*0.8461538462))</f>
        <v>0</v>
      </c>
      <c r="P309">
        <f>IF($E309="","",IF($E308="",$E309,$E309*0.0740740741+P308*0.9259259259))</f>
        <v>0</v>
      </c>
      <c r="Q309">
        <f>IF(OR(O309="",P309=""),"",O309-P309)</f>
        <v>0</v>
      </c>
      <c r="R309">
        <f>IF(Q309="","",IF(R308="",Q309,Q309*0.2000000000+R308*0.8000000000))</f>
        <v>0</v>
      </c>
      <c r="S309">
        <f>IF(OR(Q309="",R309=""),"",Q309-R309)</f>
        <v>0</v>
      </c>
      <c r="T309">
        <f>IF(COUNT($E$2:$E309)&lt;14,"",MAX($C$296:$C$309))</f>
        <v>0</v>
      </c>
      <c r="U309">
        <f>IF(COUNT($E$2:$E309)&lt;14,"",MIN($D$296:$D$309))</f>
        <v>0</v>
      </c>
      <c r="V309">
        <f>IF(OR(T309="",U309="",T309=U309),"",100*($E309-U309)/(T309-U309))</f>
        <v>0</v>
      </c>
      <c r="W309">
        <f>IF(COUNT($V$307:$V$309)&lt;3,"",AVERAGE($V$307:$V$309))</f>
        <v>0</v>
      </c>
      <c r="X309">
        <f>IF(COUNT($N$296:$N$309)&lt;14,"",MIN($N$296:$N$309))</f>
        <v>0</v>
      </c>
      <c r="Y309">
        <f>IF(COUNT($N$296:$N$309)&lt;14,"",MAX($N$296:$N$309))</f>
        <v>0</v>
      </c>
      <c r="Z309">
        <f>IF(OR(N309="",X309="",Y309="",Y309=X309),"",100*(N309-X309)/(Y309-X309))</f>
        <v>0</v>
      </c>
      <c r="AA309">
        <f>IF(COUNT($Z$307:$Z$309)&lt;3,"",AVERAGE($Z$307:$Z$309))</f>
        <v>0</v>
      </c>
      <c r="AB309">
        <f>IF(COUNT($AA$307:$AA$309)&lt;3,"",AVERAGE($AA$307:$AA$309))</f>
        <v>0</v>
      </c>
      <c r="AC309">
        <f>IF($E309="","",MAX($C309-$D309,ABS($C309-$E308),ABS($D309-$E308)))</f>
        <v>0</v>
      </c>
      <c r="AD309">
        <f>IF(COUNT($E$2:$E309)&lt;15,"",AVERAGE($AC$296:$AC$309))</f>
        <v>0</v>
      </c>
      <c r="AE309">
        <f>IF(OR($E309="",$E308=""),"",IF(AND(($C309-$C308)&gt;($D308-$D309),($C309-$C308)&gt;0),$C309-$C308,0))</f>
        <v>0</v>
      </c>
      <c r="AF309">
        <f>IF(OR($E309="",$E308=""),"",IF(AND(($D308-$D309)&gt;($C309-$C308),($D308-$D309)&gt;0),$D308-$D309,0))</f>
        <v>0</v>
      </c>
      <c r="AG309">
        <f>IF(COUNT($E$2:$E309)&lt;15,"",IF(SUM($AC$296:$AC$309)=0,0,100*SUM($AE$296:$AE$309)/SUM($AC$296:$AC$309)))</f>
        <v>0</v>
      </c>
      <c r="AH309">
        <f>IF(COUNT($E$2:$E309)&lt;15,"",IF(SUM($AC$296:$AC$309)=0,0,100*SUM($AF$296:$AF$309)/SUM($AC$296:$AC$309)))</f>
        <v>0</v>
      </c>
      <c r="AI309">
        <f>IF(OR(AG309="",AH309=""),"",IF((AG309+AH309)=0,0,100*ABS(AG309-AH309)/(AG309+AH309)))</f>
        <v>0</v>
      </c>
      <c r="AJ309">
        <f>IF(COUNT($AI$296:$AI$309)&lt;14,"",AVERAGE($AI$296:$AI$309))</f>
        <v>0</v>
      </c>
      <c r="AK309">
        <f>IF(COUNT($E$2:$E309)&lt;20,"",AVERAGE($E$290:$E$309))</f>
        <v>0</v>
      </c>
      <c r="AL309">
        <f>IF(COUNT($E$2:$E309)&lt;20,"",STDEVP($E$290:$E$309))</f>
        <v>0</v>
      </c>
      <c r="AM309">
        <f>IF(AK309="","",AK309+2*AL309)</f>
        <v>0</v>
      </c>
      <c r="AN309">
        <f>IF(AK309="","",AK309-2*AL309)</f>
        <v>0</v>
      </c>
      <c r="AO309">
        <f>IF(OR(AM309="",AN309="",AM309=AN309),"",($E309-AN309)/(AM309-AN309))</f>
        <v>0</v>
      </c>
      <c r="AP309">
        <f>IF(OR(AM309="",AK309="",AK309=0),"",(AM309-AN309)/AK309)</f>
        <v>0</v>
      </c>
      <c r="AQ309">
        <f>IF(COUNT($E$2:$E309)&lt;20,"",MAX($C$290:$C$309))</f>
        <v>0</v>
      </c>
      <c r="AR309">
        <f>IF(COUNT($E$2:$E309)&lt;20,"",MIN($D$290:$D$309))</f>
        <v>0</v>
      </c>
      <c r="AS309">
        <f>IF(OR(AQ309="",AR309=""),"",(AQ309+AR309)/2)</f>
        <v>0</v>
      </c>
      <c r="AT309">
        <f>IF(COUNT($G$290:$G$309)&lt;20,"",STDEV($G$290:$G$309)*SQRT(52))</f>
        <v>0</v>
      </c>
      <c r="AU309">
        <f>IF(COUNT($E$2:$E309)&lt;9,"",(MAX($C$301:$C$309)+MIN($D$301:$D$309))/2)</f>
        <v>0</v>
      </c>
      <c r="AV309">
        <f>IF(COUNT($E$2:$E309)&lt;26,"",(MAX($C$284:$C$309)+MIN($D$284:$D$309))/2)</f>
        <v>0</v>
      </c>
      <c r="AW309">
        <f>IF(OR(AU309="",AV309=""),"",(AU309+AV309)/2)</f>
        <v>0</v>
      </c>
      <c r="AX309">
        <f>IF(COUNT($E$2:$E309)&lt;52,"",(MAX($C$258:$C$309)+MIN($D$258:$D$309))/2)</f>
        <v>0</v>
      </c>
      <c r="AY309">
        <f>IF(COUNT($E$2:$E309)&lt;20,"",MAX($C$210:$C$309))</f>
        <v>0</v>
      </c>
      <c r="AZ309">
        <f>IF(COUNT($E$2:$E309)&lt;20,"",MIN($D$210:$D$309))</f>
        <v>0</v>
      </c>
      <c r="BA309">
        <f>IF(COUNT($E$2:$E309)&lt;20,"",SLOPE($E$210:$E$309,$F$210:$F$309))</f>
        <v>0</v>
      </c>
      <c r="BB309">
        <f>IF(COUNT($E$2:$E309)&lt;20,"",INTERCEPT($E$210:$E$309,$F$210:$F$309))</f>
        <v>0</v>
      </c>
      <c r="BC309">
        <f>IF(OR(BA309="",BB309=""),"",BB309+BA309*F309)</f>
        <v>0</v>
      </c>
      <c r="BD309">
        <f>IF(COUNT($E$2:$E309)&lt;20,"",STEYX($E$210:$E$309,$F$210:$F$309))</f>
        <v>0</v>
      </c>
      <c r="BE309">
        <f>IF($E309="","",IF(AND(COUNT($E$310:$E$313)&gt;=4,$C309=MAX($C$305:$C$313)),$C309,""))</f>
        <v>0</v>
      </c>
      <c r="BF309">
        <f>IF($E309="","",IF(AND(COUNT($E$310:$E$313)&gt;=4,$D309=MIN($D$305:$D$313)),$D309,""))</f>
        <v>0</v>
      </c>
      <c r="BG309">
        <f>IFERROR(SMALL(Calc_Daily!$BM$2:$BM$2001,308),"")</f>
        <v>0</v>
      </c>
    </row>
    <row r="310" spans="1:59">
      <c r="A310" s="27">
        <f>IF($BG310="","",INDEX(Calc_Daily!$A$2:$A$2001,$BG310))</f>
        <v>0</v>
      </c>
      <c r="B310">
        <f>IF($BG310="","",INDEX(Calc_Daily!$BJ$2:$BJ$2001,$BG310))</f>
        <v>0</v>
      </c>
      <c r="C310">
        <f>IF($BG310="","",INDEX(Calc_Daily!$BK$2:$BK$2001,$BG310))</f>
        <v>0</v>
      </c>
      <c r="D310">
        <f>IF($BG310="","",INDEX(Calc_Daily!$BL$2:$BL$2001,$BG310))</f>
        <v>0</v>
      </c>
      <c r="E310">
        <f>IF($BG310="","",INDEX(Calc_Daily!$E$2:$E$2001,$BG310))</f>
        <v>0</v>
      </c>
      <c r="F310">
        <f>IF($E310="","",N(F309)+1)</f>
        <v>0</v>
      </c>
      <c r="G310">
        <f>IF(OR($E310="",$E309=""),"",LN($E310/$E309))</f>
        <v>0</v>
      </c>
      <c r="H310">
        <f>IF($E310="","",IF($E309="",$E310,$E310*0.0952380952+H309*0.9047619048))</f>
        <v>0</v>
      </c>
      <c r="I310">
        <f>IF($E310="","",IF($E309="",$E310,$E310*0.0392156863+I309*0.9607843137))</f>
        <v>0</v>
      </c>
      <c r="J310">
        <f>IF($E310="","",IF($E309="",$E310,$E310*0.0198019802+J309*0.9801980198))</f>
        <v>0</v>
      </c>
      <c r="K310">
        <f>IF($E310="","",IF($E309="",$E310,$E310*0.0099502488+K309*0.9900497512))</f>
        <v>0</v>
      </c>
      <c r="L310">
        <f>IF(OR($E310="",$E309=""),"",MAX($E310-$E309,0))</f>
        <v>0</v>
      </c>
      <c r="M310">
        <f>IF(OR($E310="",$E309=""),"",MAX($E309-$E310,0))</f>
        <v>0</v>
      </c>
      <c r="N310">
        <f>IF(COUNT($E$2:$E310)&lt;15,"",IF(AVERAGE($M$297:$M$310)=0,100,100-100/(1+AVERAGE($L$297:$L$310)/AVERAGE($M$297:$M$310))))</f>
        <v>0</v>
      </c>
      <c r="O310">
        <f>IF($E310="","",IF($E309="",$E310,$E310*0.1538461538+O309*0.8461538462))</f>
        <v>0</v>
      </c>
      <c r="P310">
        <f>IF($E310="","",IF($E309="",$E310,$E310*0.0740740741+P309*0.9259259259))</f>
        <v>0</v>
      </c>
      <c r="Q310">
        <f>IF(OR(O310="",P310=""),"",O310-P310)</f>
        <v>0</v>
      </c>
      <c r="R310">
        <f>IF(Q310="","",IF(R309="",Q310,Q310*0.2000000000+R309*0.8000000000))</f>
        <v>0</v>
      </c>
      <c r="S310">
        <f>IF(OR(Q310="",R310=""),"",Q310-R310)</f>
        <v>0</v>
      </c>
      <c r="T310">
        <f>IF(COUNT($E$2:$E310)&lt;14,"",MAX($C$297:$C$310))</f>
        <v>0</v>
      </c>
      <c r="U310">
        <f>IF(COUNT($E$2:$E310)&lt;14,"",MIN($D$297:$D$310))</f>
        <v>0</v>
      </c>
      <c r="V310">
        <f>IF(OR(T310="",U310="",T310=U310),"",100*($E310-U310)/(T310-U310))</f>
        <v>0</v>
      </c>
      <c r="W310">
        <f>IF(COUNT($V$308:$V$310)&lt;3,"",AVERAGE($V$308:$V$310))</f>
        <v>0</v>
      </c>
      <c r="X310">
        <f>IF(COUNT($N$297:$N$310)&lt;14,"",MIN($N$297:$N$310))</f>
        <v>0</v>
      </c>
      <c r="Y310">
        <f>IF(COUNT($N$297:$N$310)&lt;14,"",MAX($N$297:$N$310))</f>
        <v>0</v>
      </c>
      <c r="Z310">
        <f>IF(OR(N310="",X310="",Y310="",Y310=X310),"",100*(N310-X310)/(Y310-X310))</f>
        <v>0</v>
      </c>
      <c r="AA310">
        <f>IF(COUNT($Z$308:$Z$310)&lt;3,"",AVERAGE($Z$308:$Z$310))</f>
        <v>0</v>
      </c>
      <c r="AB310">
        <f>IF(COUNT($AA$308:$AA$310)&lt;3,"",AVERAGE($AA$308:$AA$310))</f>
        <v>0</v>
      </c>
      <c r="AC310">
        <f>IF($E310="","",MAX($C310-$D310,ABS($C310-$E309),ABS($D310-$E309)))</f>
        <v>0</v>
      </c>
      <c r="AD310">
        <f>IF(COUNT($E$2:$E310)&lt;15,"",AVERAGE($AC$297:$AC$310))</f>
        <v>0</v>
      </c>
      <c r="AE310">
        <f>IF(OR($E310="",$E309=""),"",IF(AND(($C310-$C309)&gt;($D309-$D310),($C310-$C309)&gt;0),$C310-$C309,0))</f>
        <v>0</v>
      </c>
      <c r="AF310">
        <f>IF(OR($E310="",$E309=""),"",IF(AND(($D309-$D310)&gt;($C310-$C309),($D309-$D310)&gt;0),$D309-$D310,0))</f>
        <v>0</v>
      </c>
      <c r="AG310">
        <f>IF(COUNT($E$2:$E310)&lt;15,"",IF(SUM($AC$297:$AC$310)=0,0,100*SUM($AE$297:$AE$310)/SUM($AC$297:$AC$310)))</f>
        <v>0</v>
      </c>
      <c r="AH310">
        <f>IF(COUNT($E$2:$E310)&lt;15,"",IF(SUM($AC$297:$AC$310)=0,0,100*SUM($AF$297:$AF$310)/SUM($AC$297:$AC$310)))</f>
        <v>0</v>
      </c>
      <c r="AI310">
        <f>IF(OR(AG310="",AH310=""),"",IF((AG310+AH310)=0,0,100*ABS(AG310-AH310)/(AG310+AH310)))</f>
        <v>0</v>
      </c>
      <c r="AJ310">
        <f>IF(COUNT($AI$297:$AI$310)&lt;14,"",AVERAGE($AI$297:$AI$310))</f>
        <v>0</v>
      </c>
      <c r="AK310">
        <f>IF(COUNT($E$2:$E310)&lt;20,"",AVERAGE($E$291:$E$310))</f>
        <v>0</v>
      </c>
      <c r="AL310">
        <f>IF(COUNT($E$2:$E310)&lt;20,"",STDEVP($E$291:$E$310))</f>
        <v>0</v>
      </c>
      <c r="AM310">
        <f>IF(AK310="","",AK310+2*AL310)</f>
        <v>0</v>
      </c>
      <c r="AN310">
        <f>IF(AK310="","",AK310-2*AL310)</f>
        <v>0</v>
      </c>
      <c r="AO310">
        <f>IF(OR(AM310="",AN310="",AM310=AN310),"",($E310-AN310)/(AM310-AN310))</f>
        <v>0</v>
      </c>
      <c r="AP310">
        <f>IF(OR(AM310="",AK310="",AK310=0),"",(AM310-AN310)/AK310)</f>
        <v>0</v>
      </c>
      <c r="AQ310">
        <f>IF(COUNT($E$2:$E310)&lt;20,"",MAX($C$291:$C$310))</f>
        <v>0</v>
      </c>
      <c r="AR310">
        <f>IF(COUNT($E$2:$E310)&lt;20,"",MIN($D$291:$D$310))</f>
        <v>0</v>
      </c>
      <c r="AS310">
        <f>IF(OR(AQ310="",AR310=""),"",(AQ310+AR310)/2)</f>
        <v>0</v>
      </c>
      <c r="AT310">
        <f>IF(COUNT($G$291:$G$310)&lt;20,"",STDEV($G$291:$G$310)*SQRT(52))</f>
        <v>0</v>
      </c>
      <c r="AU310">
        <f>IF(COUNT($E$2:$E310)&lt;9,"",(MAX($C$302:$C$310)+MIN($D$302:$D$310))/2)</f>
        <v>0</v>
      </c>
      <c r="AV310">
        <f>IF(COUNT($E$2:$E310)&lt;26,"",(MAX($C$285:$C$310)+MIN($D$285:$D$310))/2)</f>
        <v>0</v>
      </c>
      <c r="AW310">
        <f>IF(OR(AU310="",AV310=""),"",(AU310+AV310)/2)</f>
        <v>0</v>
      </c>
      <c r="AX310">
        <f>IF(COUNT($E$2:$E310)&lt;52,"",(MAX($C$259:$C$310)+MIN($D$259:$D$310))/2)</f>
        <v>0</v>
      </c>
      <c r="AY310">
        <f>IF(COUNT($E$2:$E310)&lt;20,"",MAX($C$211:$C$310))</f>
        <v>0</v>
      </c>
      <c r="AZ310">
        <f>IF(COUNT($E$2:$E310)&lt;20,"",MIN($D$211:$D$310))</f>
        <v>0</v>
      </c>
      <c r="BA310">
        <f>IF(COUNT($E$2:$E310)&lt;20,"",SLOPE($E$211:$E$310,$F$211:$F$310))</f>
        <v>0</v>
      </c>
      <c r="BB310">
        <f>IF(COUNT($E$2:$E310)&lt;20,"",INTERCEPT($E$211:$E$310,$F$211:$F$310))</f>
        <v>0</v>
      </c>
      <c r="BC310">
        <f>IF(OR(BA310="",BB310=""),"",BB310+BA310*F310)</f>
        <v>0</v>
      </c>
      <c r="BD310">
        <f>IF(COUNT($E$2:$E310)&lt;20,"",STEYX($E$211:$E$310,$F$211:$F$310))</f>
        <v>0</v>
      </c>
      <c r="BE310">
        <f>IF($E310="","",IF(AND(COUNT($E$311:$E$314)&gt;=4,$C310=MAX($C$306:$C$314)),$C310,""))</f>
        <v>0</v>
      </c>
      <c r="BF310">
        <f>IF($E310="","",IF(AND(COUNT($E$311:$E$314)&gt;=4,$D310=MIN($D$306:$D$314)),$D310,""))</f>
        <v>0</v>
      </c>
      <c r="BG310">
        <f>IFERROR(SMALL(Calc_Daily!$BM$2:$BM$2001,309),"")</f>
        <v>0</v>
      </c>
    </row>
    <row r="311" spans="1:59">
      <c r="A311" s="27">
        <f>IF($BG311="","",INDEX(Calc_Daily!$A$2:$A$2001,$BG311))</f>
        <v>0</v>
      </c>
      <c r="B311">
        <f>IF($BG311="","",INDEX(Calc_Daily!$BJ$2:$BJ$2001,$BG311))</f>
        <v>0</v>
      </c>
      <c r="C311">
        <f>IF($BG311="","",INDEX(Calc_Daily!$BK$2:$BK$2001,$BG311))</f>
        <v>0</v>
      </c>
      <c r="D311">
        <f>IF($BG311="","",INDEX(Calc_Daily!$BL$2:$BL$2001,$BG311))</f>
        <v>0</v>
      </c>
      <c r="E311">
        <f>IF($BG311="","",INDEX(Calc_Daily!$E$2:$E$2001,$BG311))</f>
        <v>0</v>
      </c>
      <c r="F311">
        <f>IF($E311="","",N(F310)+1)</f>
        <v>0</v>
      </c>
      <c r="G311">
        <f>IF(OR($E311="",$E310=""),"",LN($E311/$E310))</f>
        <v>0</v>
      </c>
      <c r="H311">
        <f>IF($E311="","",IF($E310="",$E311,$E311*0.0952380952+H310*0.9047619048))</f>
        <v>0</v>
      </c>
      <c r="I311">
        <f>IF($E311="","",IF($E310="",$E311,$E311*0.0392156863+I310*0.9607843137))</f>
        <v>0</v>
      </c>
      <c r="J311">
        <f>IF($E311="","",IF($E310="",$E311,$E311*0.0198019802+J310*0.9801980198))</f>
        <v>0</v>
      </c>
      <c r="K311">
        <f>IF($E311="","",IF($E310="",$E311,$E311*0.0099502488+K310*0.9900497512))</f>
        <v>0</v>
      </c>
      <c r="L311">
        <f>IF(OR($E311="",$E310=""),"",MAX($E311-$E310,0))</f>
        <v>0</v>
      </c>
      <c r="M311">
        <f>IF(OR($E311="",$E310=""),"",MAX($E310-$E311,0))</f>
        <v>0</v>
      </c>
      <c r="N311">
        <f>IF(COUNT($E$2:$E311)&lt;15,"",IF(AVERAGE($M$298:$M$311)=0,100,100-100/(1+AVERAGE($L$298:$L$311)/AVERAGE($M$298:$M$311))))</f>
        <v>0</v>
      </c>
      <c r="O311">
        <f>IF($E311="","",IF($E310="",$E311,$E311*0.1538461538+O310*0.8461538462))</f>
        <v>0</v>
      </c>
      <c r="P311">
        <f>IF($E311="","",IF($E310="",$E311,$E311*0.0740740741+P310*0.9259259259))</f>
        <v>0</v>
      </c>
      <c r="Q311">
        <f>IF(OR(O311="",P311=""),"",O311-P311)</f>
        <v>0</v>
      </c>
      <c r="R311">
        <f>IF(Q311="","",IF(R310="",Q311,Q311*0.2000000000+R310*0.8000000000))</f>
        <v>0</v>
      </c>
      <c r="S311">
        <f>IF(OR(Q311="",R311=""),"",Q311-R311)</f>
        <v>0</v>
      </c>
      <c r="T311">
        <f>IF(COUNT($E$2:$E311)&lt;14,"",MAX($C$298:$C$311))</f>
        <v>0</v>
      </c>
      <c r="U311">
        <f>IF(COUNT($E$2:$E311)&lt;14,"",MIN($D$298:$D$311))</f>
        <v>0</v>
      </c>
      <c r="V311">
        <f>IF(OR(T311="",U311="",T311=U311),"",100*($E311-U311)/(T311-U311))</f>
        <v>0</v>
      </c>
      <c r="W311">
        <f>IF(COUNT($V$309:$V$311)&lt;3,"",AVERAGE($V$309:$V$311))</f>
        <v>0</v>
      </c>
      <c r="X311">
        <f>IF(COUNT($N$298:$N$311)&lt;14,"",MIN($N$298:$N$311))</f>
        <v>0</v>
      </c>
      <c r="Y311">
        <f>IF(COUNT($N$298:$N$311)&lt;14,"",MAX($N$298:$N$311))</f>
        <v>0</v>
      </c>
      <c r="Z311">
        <f>IF(OR(N311="",X311="",Y311="",Y311=X311),"",100*(N311-X311)/(Y311-X311))</f>
        <v>0</v>
      </c>
      <c r="AA311">
        <f>IF(COUNT($Z$309:$Z$311)&lt;3,"",AVERAGE($Z$309:$Z$311))</f>
        <v>0</v>
      </c>
      <c r="AB311">
        <f>IF(COUNT($AA$309:$AA$311)&lt;3,"",AVERAGE($AA$309:$AA$311))</f>
        <v>0</v>
      </c>
      <c r="AC311">
        <f>IF($E311="","",MAX($C311-$D311,ABS($C311-$E310),ABS($D311-$E310)))</f>
        <v>0</v>
      </c>
      <c r="AD311">
        <f>IF(COUNT($E$2:$E311)&lt;15,"",AVERAGE($AC$298:$AC$311))</f>
        <v>0</v>
      </c>
      <c r="AE311">
        <f>IF(OR($E311="",$E310=""),"",IF(AND(($C311-$C310)&gt;($D310-$D311),($C311-$C310)&gt;0),$C311-$C310,0))</f>
        <v>0</v>
      </c>
      <c r="AF311">
        <f>IF(OR($E311="",$E310=""),"",IF(AND(($D310-$D311)&gt;($C311-$C310),($D310-$D311)&gt;0),$D310-$D311,0))</f>
        <v>0</v>
      </c>
      <c r="AG311">
        <f>IF(COUNT($E$2:$E311)&lt;15,"",IF(SUM($AC$298:$AC$311)=0,0,100*SUM($AE$298:$AE$311)/SUM($AC$298:$AC$311)))</f>
        <v>0</v>
      </c>
      <c r="AH311">
        <f>IF(COUNT($E$2:$E311)&lt;15,"",IF(SUM($AC$298:$AC$311)=0,0,100*SUM($AF$298:$AF$311)/SUM($AC$298:$AC$311)))</f>
        <v>0</v>
      </c>
      <c r="AI311">
        <f>IF(OR(AG311="",AH311=""),"",IF((AG311+AH311)=0,0,100*ABS(AG311-AH311)/(AG311+AH311)))</f>
        <v>0</v>
      </c>
      <c r="AJ311">
        <f>IF(COUNT($AI$298:$AI$311)&lt;14,"",AVERAGE($AI$298:$AI$311))</f>
        <v>0</v>
      </c>
      <c r="AK311">
        <f>IF(COUNT($E$2:$E311)&lt;20,"",AVERAGE($E$292:$E$311))</f>
        <v>0</v>
      </c>
      <c r="AL311">
        <f>IF(COUNT($E$2:$E311)&lt;20,"",STDEVP($E$292:$E$311))</f>
        <v>0</v>
      </c>
      <c r="AM311">
        <f>IF(AK311="","",AK311+2*AL311)</f>
        <v>0</v>
      </c>
      <c r="AN311">
        <f>IF(AK311="","",AK311-2*AL311)</f>
        <v>0</v>
      </c>
      <c r="AO311">
        <f>IF(OR(AM311="",AN311="",AM311=AN311),"",($E311-AN311)/(AM311-AN311))</f>
        <v>0</v>
      </c>
      <c r="AP311">
        <f>IF(OR(AM311="",AK311="",AK311=0),"",(AM311-AN311)/AK311)</f>
        <v>0</v>
      </c>
      <c r="AQ311">
        <f>IF(COUNT($E$2:$E311)&lt;20,"",MAX($C$292:$C$311))</f>
        <v>0</v>
      </c>
      <c r="AR311">
        <f>IF(COUNT($E$2:$E311)&lt;20,"",MIN($D$292:$D$311))</f>
        <v>0</v>
      </c>
      <c r="AS311">
        <f>IF(OR(AQ311="",AR311=""),"",(AQ311+AR311)/2)</f>
        <v>0</v>
      </c>
      <c r="AT311">
        <f>IF(COUNT($G$292:$G$311)&lt;20,"",STDEV($G$292:$G$311)*SQRT(52))</f>
        <v>0</v>
      </c>
      <c r="AU311">
        <f>IF(COUNT($E$2:$E311)&lt;9,"",(MAX($C$303:$C$311)+MIN($D$303:$D$311))/2)</f>
        <v>0</v>
      </c>
      <c r="AV311">
        <f>IF(COUNT($E$2:$E311)&lt;26,"",(MAX($C$286:$C$311)+MIN($D$286:$D$311))/2)</f>
        <v>0</v>
      </c>
      <c r="AW311">
        <f>IF(OR(AU311="",AV311=""),"",(AU311+AV311)/2)</f>
        <v>0</v>
      </c>
      <c r="AX311">
        <f>IF(COUNT($E$2:$E311)&lt;52,"",(MAX($C$260:$C$311)+MIN($D$260:$D$311))/2)</f>
        <v>0</v>
      </c>
      <c r="AY311">
        <f>IF(COUNT($E$2:$E311)&lt;20,"",MAX($C$212:$C$311))</f>
        <v>0</v>
      </c>
      <c r="AZ311">
        <f>IF(COUNT($E$2:$E311)&lt;20,"",MIN($D$212:$D$311))</f>
        <v>0</v>
      </c>
      <c r="BA311">
        <f>IF(COUNT($E$2:$E311)&lt;20,"",SLOPE($E$212:$E$311,$F$212:$F$311))</f>
        <v>0</v>
      </c>
      <c r="BB311">
        <f>IF(COUNT($E$2:$E311)&lt;20,"",INTERCEPT($E$212:$E$311,$F$212:$F$311))</f>
        <v>0</v>
      </c>
      <c r="BC311">
        <f>IF(OR(BA311="",BB311=""),"",BB311+BA311*F311)</f>
        <v>0</v>
      </c>
      <c r="BD311">
        <f>IF(COUNT($E$2:$E311)&lt;20,"",STEYX($E$212:$E$311,$F$212:$F$311))</f>
        <v>0</v>
      </c>
      <c r="BE311">
        <f>IF($E311="","",IF(AND(COUNT($E$312:$E$315)&gt;=4,$C311=MAX($C$307:$C$315)),$C311,""))</f>
        <v>0</v>
      </c>
      <c r="BF311">
        <f>IF($E311="","",IF(AND(COUNT($E$312:$E$315)&gt;=4,$D311=MIN($D$307:$D$315)),$D311,""))</f>
        <v>0</v>
      </c>
      <c r="BG311">
        <f>IFERROR(SMALL(Calc_Daily!$BM$2:$BM$2001,310),"")</f>
        <v>0</v>
      </c>
    </row>
    <row r="312" spans="1:59">
      <c r="A312" s="27">
        <f>IF($BG312="","",INDEX(Calc_Daily!$A$2:$A$2001,$BG312))</f>
        <v>0</v>
      </c>
      <c r="B312">
        <f>IF($BG312="","",INDEX(Calc_Daily!$BJ$2:$BJ$2001,$BG312))</f>
        <v>0</v>
      </c>
      <c r="C312">
        <f>IF($BG312="","",INDEX(Calc_Daily!$BK$2:$BK$2001,$BG312))</f>
        <v>0</v>
      </c>
      <c r="D312">
        <f>IF($BG312="","",INDEX(Calc_Daily!$BL$2:$BL$2001,$BG312))</f>
        <v>0</v>
      </c>
      <c r="E312">
        <f>IF($BG312="","",INDEX(Calc_Daily!$E$2:$E$2001,$BG312))</f>
        <v>0</v>
      </c>
      <c r="F312">
        <f>IF($E312="","",N(F311)+1)</f>
        <v>0</v>
      </c>
      <c r="G312">
        <f>IF(OR($E312="",$E311=""),"",LN($E312/$E311))</f>
        <v>0</v>
      </c>
      <c r="H312">
        <f>IF($E312="","",IF($E311="",$E312,$E312*0.0952380952+H311*0.9047619048))</f>
        <v>0</v>
      </c>
      <c r="I312">
        <f>IF($E312="","",IF($E311="",$E312,$E312*0.0392156863+I311*0.9607843137))</f>
        <v>0</v>
      </c>
      <c r="J312">
        <f>IF($E312="","",IF($E311="",$E312,$E312*0.0198019802+J311*0.9801980198))</f>
        <v>0</v>
      </c>
      <c r="K312">
        <f>IF($E312="","",IF($E311="",$E312,$E312*0.0099502488+K311*0.9900497512))</f>
        <v>0</v>
      </c>
      <c r="L312">
        <f>IF(OR($E312="",$E311=""),"",MAX($E312-$E311,0))</f>
        <v>0</v>
      </c>
      <c r="M312">
        <f>IF(OR($E312="",$E311=""),"",MAX($E311-$E312,0))</f>
        <v>0</v>
      </c>
      <c r="N312">
        <f>IF(COUNT($E$2:$E312)&lt;15,"",IF(AVERAGE($M$299:$M$312)=0,100,100-100/(1+AVERAGE($L$299:$L$312)/AVERAGE($M$299:$M$312))))</f>
        <v>0</v>
      </c>
      <c r="O312">
        <f>IF($E312="","",IF($E311="",$E312,$E312*0.1538461538+O311*0.8461538462))</f>
        <v>0</v>
      </c>
      <c r="P312">
        <f>IF($E312="","",IF($E311="",$E312,$E312*0.0740740741+P311*0.9259259259))</f>
        <v>0</v>
      </c>
      <c r="Q312">
        <f>IF(OR(O312="",P312=""),"",O312-P312)</f>
        <v>0</v>
      </c>
      <c r="R312">
        <f>IF(Q312="","",IF(R311="",Q312,Q312*0.2000000000+R311*0.8000000000))</f>
        <v>0</v>
      </c>
      <c r="S312">
        <f>IF(OR(Q312="",R312=""),"",Q312-R312)</f>
        <v>0</v>
      </c>
      <c r="T312">
        <f>IF(COUNT($E$2:$E312)&lt;14,"",MAX($C$299:$C$312))</f>
        <v>0</v>
      </c>
      <c r="U312">
        <f>IF(COUNT($E$2:$E312)&lt;14,"",MIN($D$299:$D$312))</f>
        <v>0</v>
      </c>
      <c r="V312">
        <f>IF(OR(T312="",U312="",T312=U312),"",100*($E312-U312)/(T312-U312))</f>
        <v>0</v>
      </c>
      <c r="W312">
        <f>IF(COUNT($V$310:$V$312)&lt;3,"",AVERAGE($V$310:$V$312))</f>
        <v>0</v>
      </c>
      <c r="X312">
        <f>IF(COUNT($N$299:$N$312)&lt;14,"",MIN($N$299:$N$312))</f>
        <v>0</v>
      </c>
      <c r="Y312">
        <f>IF(COUNT($N$299:$N$312)&lt;14,"",MAX($N$299:$N$312))</f>
        <v>0</v>
      </c>
      <c r="Z312">
        <f>IF(OR(N312="",X312="",Y312="",Y312=X312),"",100*(N312-X312)/(Y312-X312))</f>
        <v>0</v>
      </c>
      <c r="AA312">
        <f>IF(COUNT($Z$310:$Z$312)&lt;3,"",AVERAGE($Z$310:$Z$312))</f>
        <v>0</v>
      </c>
      <c r="AB312">
        <f>IF(COUNT($AA$310:$AA$312)&lt;3,"",AVERAGE($AA$310:$AA$312))</f>
        <v>0</v>
      </c>
      <c r="AC312">
        <f>IF($E312="","",MAX($C312-$D312,ABS($C312-$E311),ABS($D312-$E311)))</f>
        <v>0</v>
      </c>
      <c r="AD312">
        <f>IF(COUNT($E$2:$E312)&lt;15,"",AVERAGE($AC$299:$AC$312))</f>
        <v>0</v>
      </c>
      <c r="AE312">
        <f>IF(OR($E312="",$E311=""),"",IF(AND(($C312-$C311)&gt;($D311-$D312),($C312-$C311)&gt;0),$C312-$C311,0))</f>
        <v>0</v>
      </c>
      <c r="AF312">
        <f>IF(OR($E312="",$E311=""),"",IF(AND(($D311-$D312)&gt;($C312-$C311),($D311-$D312)&gt;0),$D311-$D312,0))</f>
        <v>0</v>
      </c>
      <c r="AG312">
        <f>IF(COUNT($E$2:$E312)&lt;15,"",IF(SUM($AC$299:$AC$312)=0,0,100*SUM($AE$299:$AE$312)/SUM($AC$299:$AC$312)))</f>
        <v>0</v>
      </c>
      <c r="AH312">
        <f>IF(COUNT($E$2:$E312)&lt;15,"",IF(SUM($AC$299:$AC$312)=0,0,100*SUM($AF$299:$AF$312)/SUM($AC$299:$AC$312)))</f>
        <v>0</v>
      </c>
      <c r="AI312">
        <f>IF(OR(AG312="",AH312=""),"",IF((AG312+AH312)=0,0,100*ABS(AG312-AH312)/(AG312+AH312)))</f>
        <v>0</v>
      </c>
      <c r="AJ312">
        <f>IF(COUNT($AI$299:$AI$312)&lt;14,"",AVERAGE($AI$299:$AI$312))</f>
        <v>0</v>
      </c>
      <c r="AK312">
        <f>IF(COUNT($E$2:$E312)&lt;20,"",AVERAGE($E$293:$E$312))</f>
        <v>0</v>
      </c>
      <c r="AL312">
        <f>IF(COUNT($E$2:$E312)&lt;20,"",STDEVP($E$293:$E$312))</f>
        <v>0</v>
      </c>
      <c r="AM312">
        <f>IF(AK312="","",AK312+2*AL312)</f>
        <v>0</v>
      </c>
      <c r="AN312">
        <f>IF(AK312="","",AK312-2*AL312)</f>
        <v>0</v>
      </c>
      <c r="AO312">
        <f>IF(OR(AM312="",AN312="",AM312=AN312),"",($E312-AN312)/(AM312-AN312))</f>
        <v>0</v>
      </c>
      <c r="AP312">
        <f>IF(OR(AM312="",AK312="",AK312=0),"",(AM312-AN312)/AK312)</f>
        <v>0</v>
      </c>
      <c r="AQ312">
        <f>IF(COUNT($E$2:$E312)&lt;20,"",MAX($C$293:$C$312))</f>
        <v>0</v>
      </c>
      <c r="AR312">
        <f>IF(COUNT($E$2:$E312)&lt;20,"",MIN($D$293:$D$312))</f>
        <v>0</v>
      </c>
      <c r="AS312">
        <f>IF(OR(AQ312="",AR312=""),"",(AQ312+AR312)/2)</f>
        <v>0</v>
      </c>
      <c r="AT312">
        <f>IF(COUNT($G$293:$G$312)&lt;20,"",STDEV($G$293:$G$312)*SQRT(52))</f>
        <v>0</v>
      </c>
      <c r="AU312">
        <f>IF(COUNT($E$2:$E312)&lt;9,"",(MAX($C$304:$C$312)+MIN($D$304:$D$312))/2)</f>
        <v>0</v>
      </c>
      <c r="AV312">
        <f>IF(COUNT($E$2:$E312)&lt;26,"",(MAX($C$287:$C$312)+MIN($D$287:$D$312))/2)</f>
        <v>0</v>
      </c>
      <c r="AW312">
        <f>IF(OR(AU312="",AV312=""),"",(AU312+AV312)/2)</f>
        <v>0</v>
      </c>
      <c r="AX312">
        <f>IF(COUNT($E$2:$E312)&lt;52,"",(MAX($C$261:$C$312)+MIN($D$261:$D$312))/2)</f>
        <v>0</v>
      </c>
      <c r="AY312">
        <f>IF(COUNT($E$2:$E312)&lt;20,"",MAX($C$213:$C$312))</f>
        <v>0</v>
      </c>
      <c r="AZ312">
        <f>IF(COUNT($E$2:$E312)&lt;20,"",MIN($D$213:$D$312))</f>
        <v>0</v>
      </c>
      <c r="BA312">
        <f>IF(COUNT($E$2:$E312)&lt;20,"",SLOPE($E$213:$E$312,$F$213:$F$312))</f>
        <v>0</v>
      </c>
      <c r="BB312">
        <f>IF(COUNT($E$2:$E312)&lt;20,"",INTERCEPT($E$213:$E$312,$F$213:$F$312))</f>
        <v>0</v>
      </c>
      <c r="BC312">
        <f>IF(OR(BA312="",BB312=""),"",BB312+BA312*F312)</f>
        <v>0</v>
      </c>
      <c r="BD312">
        <f>IF(COUNT($E$2:$E312)&lt;20,"",STEYX($E$213:$E$312,$F$213:$F$312))</f>
        <v>0</v>
      </c>
      <c r="BE312">
        <f>IF($E312="","",IF(AND(COUNT($E$313:$E$316)&gt;=4,$C312=MAX($C$308:$C$316)),$C312,""))</f>
        <v>0</v>
      </c>
      <c r="BF312">
        <f>IF($E312="","",IF(AND(COUNT($E$313:$E$316)&gt;=4,$D312=MIN($D$308:$D$316)),$D312,""))</f>
        <v>0</v>
      </c>
      <c r="BG312">
        <f>IFERROR(SMALL(Calc_Daily!$BM$2:$BM$2001,311),"")</f>
        <v>0</v>
      </c>
    </row>
    <row r="313" spans="1:59">
      <c r="A313" s="27">
        <f>IF($BG313="","",INDEX(Calc_Daily!$A$2:$A$2001,$BG313))</f>
        <v>0</v>
      </c>
      <c r="B313">
        <f>IF($BG313="","",INDEX(Calc_Daily!$BJ$2:$BJ$2001,$BG313))</f>
        <v>0</v>
      </c>
      <c r="C313">
        <f>IF($BG313="","",INDEX(Calc_Daily!$BK$2:$BK$2001,$BG313))</f>
        <v>0</v>
      </c>
      <c r="D313">
        <f>IF($BG313="","",INDEX(Calc_Daily!$BL$2:$BL$2001,$BG313))</f>
        <v>0</v>
      </c>
      <c r="E313">
        <f>IF($BG313="","",INDEX(Calc_Daily!$E$2:$E$2001,$BG313))</f>
        <v>0</v>
      </c>
      <c r="F313">
        <f>IF($E313="","",N(F312)+1)</f>
        <v>0</v>
      </c>
      <c r="G313">
        <f>IF(OR($E313="",$E312=""),"",LN($E313/$E312))</f>
        <v>0</v>
      </c>
      <c r="H313">
        <f>IF($E313="","",IF($E312="",$E313,$E313*0.0952380952+H312*0.9047619048))</f>
        <v>0</v>
      </c>
      <c r="I313">
        <f>IF($E313="","",IF($E312="",$E313,$E313*0.0392156863+I312*0.9607843137))</f>
        <v>0</v>
      </c>
      <c r="J313">
        <f>IF($E313="","",IF($E312="",$E313,$E313*0.0198019802+J312*0.9801980198))</f>
        <v>0</v>
      </c>
      <c r="K313">
        <f>IF($E313="","",IF($E312="",$E313,$E313*0.0099502488+K312*0.9900497512))</f>
        <v>0</v>
      </c>
      <c r="L313">
        <f>IF(OR($E313="",$E312=""),"",MAX($E313-$E312,0))</f>
        <v>0</v>
      </c>
      <c r="M313">
        <f>IF(OR($E313="",$E312=""),"",MAX($E312-$E313,0))</f>
        <v>0</v>
      </c>
      <c r="N313">
        <f>IF(COUNT($E$2:$E313)&lt;15,"",IF(AVERAGE($M$300:$M$313)=0,100,100-100/(1+AVERAGE($L$300:$L$313)/AVERAGE($M$300:$M$313))))</f>
        <v>0</v>
      </c>
      <c r="O313">
        <f>IF($E313="","",IF($E312="",$E313,$E313*0.1538461538+O312*0.8461538462))</f>
        <v>0</v>
      </c>
      <c r="P313">
        <f>IF($E313="","",IF($E312="",$E313,$E313*0.0740740741+P312*0.9259259259))</f>
        <v>0</v>
      </c>
      <c r="Q313">
        <f>IF(OR(O313="",P313=""),"",O313-P313)</f>
        <v>0</v>
      </c>
      <c r="R313">
        <f>IF(Q313="","",IF(R312="",Q313,Q313*0.2000000000+R312*0.8000000000))</f>
        <v>0</v>
      </c>
      <c r="S313">
        <f>IF(OR(Q313="",R313=""),"",Q313-R313)</f>
        <v>0</v>
      </c>
      <c r="T313">
        <f>IF(COUNT($E$2:$E313)&lt;14,"",MAX($C$300:$C$313))</f>
        <v>0</v>
      </c>
      <c r="U313">
        <f>IF(COUNT($E$2:$E313)&lt;14,"",MIN($D$300:$D$313))</f>
        <v>0</v>
      </c>
      <c r="V313">
        <f>IF(OR(T313="",U313="",T313=U313),"",100*($E313-U313)/(T313-U313))</f>
        <v>0</v>
      </c>
      <c r="W313">
        <f>IF(COUNT($V$311:$V$313)&lt;3,"",AVERAGE($V$311:$V$313))</f>
        <v>0</v>
      </c>
      <c r="X313">
        <f>IF(COUNT($N$300:$N$313)&lt;14,"",MIN($N$300:$N$313))</f>
        <v>0</v>
      </c>
      <c r="Y313">
        <f>IF(COUNT($N$300:$N$313)&lt;14,"",MAX($N$300:$N$313))</f>
        <v>0</v>
      </c>
      <c r="Z313">
        <f>IF(OR(N313="",X313="",Y313="",Y313=X313),"",100*(N313-X313)/(Y313-X313))</f>
        <v>0</v>
      </c>
      <c r="AA313">
        <f>IF(COUNT($Z$311:$Z$313)&lt;3,"",AVERAGE($Z$311:$Z$313))</f>
        <v>0</v>
      </c>
      <c r="AB313">
        <f>IF(COUNT($AA$311:$AA$313)&lt;3,"",AVERAGE($AA$311:$AA$313))</f>
        <v>0</v>
      </c>
      <c r="AC313">
        <f>IF($E313="","",MAX($C313-$D313,ABS($C313-$E312),ABS($D313-$E312)))</f>
        <v>0</v>
      </c>
      <c r="AD313">
        <f>IF(COUNT($E$2:$E313)&lt;15,"",AVERAGE($AC$300:$AC$313))</f>
        <v>0</v>
      </c>
      <c r="AE313">
        <f>IF(OR($E313="",$E312=""),"",IF(AND(($C313-$C312)&gt;($D312-$D313),($C313-$C312)&gt;0),$C313-$C312,0))</f>
        <v>0</v>
      </c>
      <c r="AF313">
        <f>IF(OR($E313="",$E312=""),"",IF(AND(($D312-$D313)&gt;($C313-$C312),($D312-$D313)&gt;0),$D312-$D313,0))</f>
        <v>0</v>
      </c>
      <c r="AG313">
        <f>IF(COUNT($E$2:$E313)&lt;15,"",IF(SUM($AC$300:$AC$313)=0,0,100*SUM($AE$300:$AE$313)/SUM($AC$300:$AC$313)))</f>
        <v>0</v>
      </c>
      <c r="AH313">
        <f>IF(COUNT($E$2:$E313)&lt;15,"",IF(SUM($AC$300:$AC$313)=0,0,100*SUM($AF$300:$AF$313)/SUM($AC$300:$AC$313)))</f>
        <v>0</v>
      </c>
      <c r="AI313">
        <f>IF(OR(AG313="",AH313=""),"",IF((AG313+AH313)=0,0,100*ABS(AG313-AH313)/(AG313+AH313)))</f>
        <v>0</v>
      </c>
      <c r="AJ313">
        <f>IF(COUNT($AI$300:$AI$313)&lt;14,"",AVERAGE($AI$300:$AI$313))</f>
        <v>0</v>
      </c>
      <c r="AK313">
        <f>IF(COUNT($E$2:$E313)&lt;20,"",AVERAGE($E$294:$E$313))</f>
        <v>0</v>
      </c>
      <c r="AL313">
        <f>IF(COUNT($E$2:$E313)&lt;20,"",STDEVP($E$294:$E$313))</f>
        <v>0</v>
      </c>
      <c r="AM313">
        <f>IF(AK313="","",AK313+2*AL313)</f>
        <v>0</v>
      </c>
      <c r="AN313">
        <f>IF(AK313="","",AK313-2*AL313)</f>
        <v>0</v>
      </c>
      <c r="AO313">
        <f>IF(OR(AM313="",AN313="",AM313=AN313),"",($E313-AN313)/(AM313-AN313))</f>
        <v>0</v>
      </c>
      <c r="AP313">
        <f>IF(OR(AM313="",AK313="",AK313=0),"",(AM313-AN313)/AK313)</f>
        <v>0</v>
      </c>
      <c r="AQ313">
        <f>IF(COUNT($E$2:$E313)&lt;20,"",MAX($C$294:$C$313))</f>
        <v>0</v>
      </c>
      <c r="AR313">
        <f>IF(COUNT($E$2:$E313)&lt;20,"",MIN($D$294:$D$313))</f>
        <v>0</v>
      </c>
      <c r="AS313">
        <f>IF(OR(AQ313="",AR313=""),"",(AQ313+AR313)/2)</f>
        <v>0</v>
      </c>
      <c r="AT313">
        <f>IF(COUNT($G$294:$G$313)&lt;20,"",STDEV($G$294:$G$313)*SQRT(52))</f>
        <v>0</v>
      </c>
      <c r="AU313">
        <f>IF(COUNT($E$2:$E313)&lt;9,"",(MAX($C$305:$C$313)+MIN($D$305:$D$313))/2)</f>
        <v>0</v>
      </c>
      <c r="AV313">
        <f>IF(COUNT($E$2:$E313)&lt;26,"",(MAX($C$288:$C$313)+MIN($D$288:$D$313))/2)</f>
        <v>0</v>
      </c>
      <c r="AW313">
        <f>IF(OR(AU313="",AV313=""),"",(AU313+AV313)/2)</f>
        <v>0</v>
      </c>
      <c r="AX313">
        <f>IF(COUNT($E$2:$E313)&lt;52,"",(MAX($C$262:$C$313)+MIN($D$262:$D$313))/2)</f>
        <v>0</v>
      </c>
      <c r="AY313">
        <f>IF(COUNT($E$2:$E313)&lt;20,"",MAX($C$214:$C$313))</f>
        <v>0</v>
      </c>
      <c r="AZ313">
        <f>IF(COUNT($E$2:$E313)&lt;20,"",MIN($D$214:$D$313))</f>
        <v>0</v>
      </c>
      <c r="BA313">
        <f>IF(COUNT($E$2:$E313)&lt;20,"",SLOPE($E$214:$E$313,$F$214:$F$313))</f>
        <v>0</v>
      </c>
      <c r="BB313">
        <f>IF(COUNT($E$2:$E313)&lt;20,"",INTERCEPT($E$214:$E$313,$F$214:$F$313))</f>
        <v>0</v>
      </c>
      <c r="BC313">
        <f>IF(OR(BA313="",BB313=""),"",BB313+BA313*F313)</f>
        <v>0</v>
      </c>
      <c r="BD313">
        <f>IF(COUNT($E$2:$E313)&lt;20,"",STEYX($E$214:$E$313,$F$214:$F$313))</f>
        <v>0</v>
      </c>
      <c r="BE313">
        <f>IF($E313="","",IF(AND(COUNT($E$314:$E$317)&gt;=4,$C313=MAX($C$309:$C$317)),$C313,""))</f>
        <v>0</v>
      </c>
      <c r="BF313">
        <f>IF($E313="","",IF(AND(COUNT($E$314:$E$317)&gt;=4,$D313=MIN($D$309:$D$317)),$D313,""))</f>
        <v>0</v>
      </c>
      <c r="BG313">
        <f>IFERROR(SMALL(Calc_Daily!$BM$2:$BM$2001,312),"")</f>
        <v>0</v>
      </c>
    </row>
    <row r="314" spans="1:59">
      <c r="A314" s="27">
        <f>IF($BG314="","",INDEX(Calc_Daily!$A$2:$A$2001,$BG314))</f>
        <v>0</v>
      </c>
      <c r="B314">
        <f>IF($BG314="","",INDEX(Calc_Daily!$BJ$2:$BJ$2001,$BG314))</f>
        <v>0</v>
      </c>
      <c r="C314">
        <f>IF($BG314="","",INDEX(Calc_Daily!$BK$2:$BK$2001,$BG314))</f>
        <v>0</v>
      </c>
      <c r="D314">
        <f>IF($BG314="","",INDEX(Calc_Daily!$BL$2:$BL$2001,$BG314))</f>
        <v>0</v>
      </c>
      <c r="E314">
        <f>IF($BG314="","",INDEX(Calc_Daily!$E$2:$E$2001,$BG314))</f>
        <v>0</v>
      </c>
      <c r="F314">
        <f>IF($E314="","",N(F313)+1)</f>
        <v>0</v>
      </c>
      <c r="G314">
        <f>IF(OR($E314="",$E313=""),"",LN($E314/$E313))</f>
        <v>0</v>
      </c>
      <c r="H314">
        <f>IF($E314="","",IF($E313="",$E314,$E314*0.0952380952+H313*0.9047619048))</f>
        <v>0</v>
      </c>
      <c r="I314">
        <f>IF($E314="","",IF($E313="",$E314,$E314*0.0392156863+I313*0.9607843137))</f>
        <v>0</v>
      </c>
      <c r="J314">
        <f>IF($E314="","",IF($E313="",$E314,$E314*0.0198019802+J313*0.9801980198))</f>
        <v>0</v>
      </c>
      <c r="K314">
        <f>IF($E314="","",IF($E313="",$E314,$E314*0.0099502488+K313*0.9900497512))</f>
        <v>0</v>
      </c>
      <c r="L314">
        <f>IF(OR($E314="",$E313=""),"",MAX($E314-$E313,0))</f>
        <v>0</v>
      </c>
      <c r="M314">
        <f>IF(OR($E314="",$E313=""),"",MAX($E313-$E314,0))</f>
        <v>0</v>
      </c>
      <c r="N314">
        <f>IF(COUNT($E$2:$E314)&lt;15,"",IF(AVERAGE($M$301:$M$314)=0,100,100-100/(1+AVERAGE($L$301:$L$314)/AVERAGE($M$301:$M$314))))</f>
        <v>0</v>
      </c>
      <c r="O314">
        <f>IF($E314="","",IF($E313="",$E314,$E314*0.1538461538+O313*0.8461538462))</f>
        <v>0</v>
      </c>
      <c r="P314">
        <f>IF($E314="","",IF($E313="",$E314,$E314*0.0740740741+P313*0.9259259259))</f>
        <v>0</v>
      </c>
      <c r="Q314">
        <f>IF(OR(O314="",P314=""),"",O314-P314)</f>
        <v>0</v>
      </c>
      <c r="R314">
        <f>IF(Q314="","",IF(R313="",Q314,Q314*0.2000000000+R313*0.8000000000))</f>
        <v>0</v>
      </c>
      <c r="S314">
        <f>IF(OR(Q314="",R314=""),"",Q314-R314)</f>
        <v>0</v>
      </c>
      <c r="T314">
        <f>IF(COUNT($E$2:$E314)&lt;14,"",MAX($C$301:$C$314))</f>
        <v>0</v>
      </c>
      <c r="U314">
        <f>IF(COUNT($E$2:$E314)&lt;14,"",MIN($D$301:$D$314))</f>
        <v>0</v>
      </c>
      <c r="V314">
        <f>IF(OR(T314="",U314="",T314=U314),"",100*($E314-U314)/(T314-U314))</f>
        <v>0</v>
      </c>
      <c r="W314">
        <f>IF(COUNT($V$312:$V$314)&lt;3,"",AVERAGE($V$312:$V$314))</f>
        <v>0</v>
      </c>
      <c r="X314">
        <f>IF(COUNT($N$301:$N$314)&lt;14,"",MIN($N$301:$N$314))</f>
        <v>0</v>
      </c>
      <c r="Y314">
        <f>IF(COUNT($N$301:$N$314)&lt;14,"",MAX($N$301:$N$314))</f>
        <v>0</v>
      </c>
      <c r="Z314">
        <f>IF(OR(N314="",X314="",Y314="",Y314=X314),"",100*(N314-X314)/(Y314-X314))</f>
        <v>0</v>
      </c>
      <c r="AA314">
        <f>IF(COUNT($Z$312:$Z$314)&lt;3,"",AVERAGE($Z$312:$Z$314))</f>
        <v>0</v>
      </c>
      <c r="AB314">
        <f>IF(COUNT($AA$312:$AA$314)&lt;3,"",AVERAGE($AA$312:$AA$314))</f>
        <v>0</v>
      </c>
      <c r="AC314">
        <f>IF($E314="","",MAX($C314-$D314,ABS($C314-$E313),ABS($D314-$E313)))</f>
        <v>0</v>
      </c>
      <c r="AD314">
        <f>IF(COUNT($E$2:$E314)&lt;15,"",AVERAGE($AC$301:$AC$314))</f>
        <v>0</v>
      </c>
      <c r="AE314">
        <f>IF(OR($E314="",$E313=""),"",IF(AND(($C314-$C313)&gt;($D313-$D314),($C314-$C313)&gt;0),$C314-$C313,0))</f>
        <v>0</v>
      </c>
      <c r="AF314">
        <f>IF(OR($E314="",$E313=""),"",IF(AND(($D313-$D314)&gt;($C314-$C313),($D313-$D314)&gt;0),$D313-$D314,0))</f>
        <v>0</v>
      </c>
      <c r="AG314">
        <f>IF(COUNT($E$2:$E314)&lt;15,"",IF(SUM($AC$301:$AC$314)=0,0,100*SUM($AE$301:$AE$314)/SUM($AC$301:$AC$314)))</f>
        <v>0</v>
      </c>
      <c r="AH314">
        <f>IF(COUNT($E$2:$E314)&lt;15,"",IF(SUM($AC$301:$AC$314)=0,0,100*SUM($AF$301:$AF$314)/SUM($AC$301:$AC$314)))</f>
        <v>0</v>
      </c>
      <c r="AI314">
        <f>IF(OR(AG314="",AH314=""),"",IF((AG314+AH314)=0,0,100*ABS(AG314-AH314)/(AG314+AH314)))</f>
        <v>0</v>
      </c>
      <c r="AJ314">
        <f>IF(COUNT($AI$301:$AI$314)&lt;14,"",AVERAGE($AI$301:$AI$314))</f>
        <v>0</v>
      </c>
      <c r="AK314">
        <f>IF(COUNT($E$2:$E314)&lt;20,"",AVERAGE($E$295:$E$314))</f>
        <v>0</v>
      </c>
      <c r="AL314">
        <f>IF(COUNT($E$2:$E314)&lt;20,"",STDEVP($E$295:$E$314))</f>
        <v>0</v>
      </c>
      <c r="AM314">
        <f>IF(AK314="","",AK314+2*AL314)</f>
        <v>0</v>
      </c>
      <c r="AN314">
        <f>IF(AK314="","",AK314-2*AL314)</f>
        <v>0</v>
      </c>
      <c r="AO314">
        <f>IF(OR(AM314="",AN314="",AM314=AN314),"",($E314-AN314)/(AM314-AN314))</f>
        <v>0</v>
      </c>
      <c r="AP314">
        <f>IF(OR(AM314="",AK314="",AK314=0),"",(AM314-AN314)/AK314)</f>
        <v>0</v>
      </c>
      <c r="AQ314">
        <f>IF(COUNT($E$2:$E314)&lt;20,"",MAX($C$295:$C$314))</f>
        <v>0</v>
      </c>
      <c r="AR314">
        <f>IF(COUNT($E$2:$E314)&lt;20,"",MIN($D$295:$D$314))</f>
        <v>0</v>
      </c>
      <c r="AS314">
        <f>IF(OR(AQ314="",AR314=""),"",(AQ314+AR314)/2)</f>
        <v>0</v>
      </c>
      <c r="AT314">
        <f>IF(COUNT($G$295:$G$314)&lt;20,"",STDEV($G$295:$G$314)*SQRT(52))</f>
        <v>0</v>
      </c>
      <c r="AU314">
        <f>IF(COUNT($E$2:$E314)&lt;9,"",(MAX($C$306:$C$314)+MIN($D$306:$D$314))/2)</f>
        <v>0</v>
      </c>
      <c r="AV314">
        <f>IF(COUNT($E$2:$E314)&lt;26,"",(MAX($C$289:$C$314)+MIN($D$289:$D$314))/2)</f>
        <v>0</v>
      </c>
      <c r="AW314">
        <f>IF(OR(AU314="",AV314=""),"",(AU314+AV314)/2)</f>
        <v>0</v>
      </c>
      <c r="AX314">
        <f>IF(COUNT($E$2:$E314)&lt;52,"",(MAX($C$263:$C$314)+MIN($D$263:$D$314))/2)</f>
        <v>0</v>
      </c>
      <c r="AY314">
        <f>IF(COUNT($E$2:$E314)&lt;20,"",MAX($C$215:$C$314))</f>
        <v>0</v>
      </c>
      <c r="AZ314">
        <f>IF(COUNT($E$2:$E314)&lt;20,"",MIN($D$215:$D$314))</f>
        <v>0</v>
      </c>
      <c r="BA314">
        <f>IF(COUNT($E$2:$E314)&lt;20,"",SLOPE($E$215:$E$314,$F$215:$F$314))</f>
        <v>0</v>
      </c>
      <c r="BB314">
        <f>IF(COUNT($E$2:$E314)&lt;20,"",INTERCEPT($E$215:$E$314,$F$215:$F$314))</f>
        <v>0</v>
      </c>
      <c r="BC314">
        <f>IF(OR(BA314="",BB314=""),"",BB314+BA314*F314)</f>
        <v>0</v>
      </c>
      <c r="BD314">
        <f>IF(COUNT($E$2:$E314)&lt;20,"",STEYX($E$215:$E$314,$F$215:$F$314))</f>
        <v>0</v>
      </c>
      <c r="BE314">
        <f>IF($E314="","",IF(AND(COUNT($E$315:$E$318)&gt;=4,$C314=MAX($C$310:$C$318)),$C314,""))</f>
        <v>0</v>
      </c>
      <c r="BF314">
        <f>IF($E314="","",IF(AND(COUNT($E$315:$E$318)&gt;=4,$D314=MIN($D$310:$D$318)),$D314,""))</f>
        <v>0</v>
      </c>
      <c r="BG314">
        <f>IFERROR(SMALL(Calc_Daily!$BM$2:$BM$2001,313),"")</f>
        <v>0</v>
      </c>
    </row>
    <row r="315" spans="1:59">
      <c r="A315" s="27">
        <f>IF($BG315="","",INDEX(Calc_Daily!$A$2:$A$2001,$BG315))</f>
        <v>0</v>
      </c>
      <c r="B315">
        <f>IF($BG315="","",INDEX(Calc_Daily!$BJ$2:$BJ$2001,$BG315))</f>
        <v>0</v>
      </c>
      <c r="C315">
        <f>IF($BG315="","",INDEX(Calc_Daily!$BK$2:$BK$2001,$BG315))</f>
        <v>0</v>
      </c>
      <c r="D315">
        <f>IF($BG315="","",INDEX(Calc_Daily!$BL$2:$BL$2001,$BG315))</f>
        <v>0</v>
      </c>
      <c r="E315">
        <f>IF($BG315="","",INDEX(Calc_Daily!$E$2:$E$2001,$BG315))</f>
        <v>0</v>
      </c>
      <c r="F315">
        <f>IF($E315="","",N(F314)+1)</f>
        <v>0</v>
      </c>
      <c r="G315">
        <f>IF(OR($E315="",$E314=""),"",LN($E315/$E314))</f>
        <v>0</v>
      </c>
      <c r="H315">
        <f>IF($E315="","",IF($E314="",$E315,$E315*0.0952380952+H314*0.9047619048))</f>
        <v>0</v>
      </c>
      <c r="I315">
        <f>IF($E315="","",IF($E314="",$E315,$E315*0.0392156863+I314*0.9607843137))</f>
        <v>0</v>
      </c>
      <c r="J315">
        <f>IF($E315="","",IF($E314="",$E315,$E315*0.0198019802+J314*0.9801980198))</f>
        <v>0</v>
      </c>
      <c r="K315">
        <f>IF($E315="","",IF($E314="",$E315,$E315*0.0099502488+K314*0.9900497512))</f>
        <v>0</v>
      </c>
      <c r="L315">
        <f>IF(OR($E315="",$E314=""),"",MAX($E315-$E314,0))</f>
        <v>0</v>
      </c>
      <c r="M315">
        <f>IF(OR($E315="",$E314=""),"",MAX($E314-$E315,0))</f>
        <v>0</v>
      </c>
      <c r="N315">
        <f>IF(COUNT($E$2:$E315)&lt;15,"",IF(AVERAGE($M$302:$M$315)=0,100,100-100/(1+AVERAGE($L$302:$L$315)/AVERAGE($M$302:$M$315))))</f>
        <v>0</v>
      </c>
      <c r="O315">
        <f>IF($E315="","",IF($E314="",$E315,$E315*0.1538461538+O314*0.8461538462))</f>
        <v>0</v>
      </c>
      <c r="P315">
        <f>IF($E315="","",IF($E314="",$E315,$E315*0.0740740741+P314*0.9259259259))</f>
        <v>0</v>
      </c>
      <c r="Q315">
        <f>IF(OR(O315="",P315=""),"",O315-P315)</f>
        <v>0</v>
      </c>
      <c r="R315">
        <f>IF(Q315="","",IF(R314="",Q315,Q315*0.2000000000+R314*0.8000000000))</f>
        <v>0</v>
      </c>
      <c r="S315">
        <f>IF(OR(Q315="",R315=""),"",Q315-R315)</f>
        <v>0</v>
      </c>
      <c r="T315">
        <f>IF(COUNT($E$2:$E315)&lt;14,"",MAX($C$302:$C$315))</f>
        <v>0</v>
      </c>
      <c r="U315">
        <f>IF(COUNT($E$2:$E315)&lt;14,"",MIN($D$302:$D$315))</f>
        <v>0</v>
      </c>
      <c r="V315">
        <f>IF(OR(T315="",U315="",T315=U315),"",100*($E315-U315)/(T315-U315))</f>
        <v>0</v>
      </c>
      <c r="W315">
        <f>IF(COUNT($V$313:$V$315)&lt;3,"",AVERAGE($V$313:$V$315))</f>
        <v>0</v>
      </c>
      <c r="X315">
        <f>IF(COUNT($N$302:$N$315)&lt;14,"",MIN($N$302:$N$315))</f>
        <v>0</v>
      </c>
      <c r="Y315">
        <f>IF(COUNT($N$302:$N$315)&lt;14,"",MAX($N$302:$N$315))</f>
        <v>0</v>
      </c>
      <c r="Z315">
        <f>IF(OR(N315="",X315="",Y315="",Y315=X315),"",100*(N315-X315)/(Y315-X315))</f>
        <v>0</v>
      </c>
      <c r="AA315">
        <f>IF(COUNT($Z$313:$Z$315)&lt;3,"",AVERAGE($Z$313:$Z$315))</f>
        <v>0</v>
      </c>
      <c r="AB315">
        <f>IF(COUNT($AA$313:$AA$315)&lt;3,"",AVERAGE($AA$313:$AA$315))</f>
        <v>0</v>
      </c>
      <c r="AC315">
        <f>IF($E315="","",MAX($C315-$D315,ABS($C315-$E314),ABS($D315-$E314)))</f>
        <v>0</v>
      </c>
      <c r="AD315">
        <f>IF(COUNT($E$2:$E315)&lt;15,"",AVERAGE($AC$302:$AC$315))</f>
        <v>0</v>
      </c>
      <c r="AE315">
        <f>IF(OR($E315="",$E314=""),"",IF(AND(($C315-$C314)&gt;($D314-$D315),($C315-$C314)&gt;0),$C315-$C314,0))</f>
        <v>0</v>
      </c>
      <c r="AF315">
        <f>IF(OR($E315="",$E314=""),"",IF(AND(($D314-$D315)&gt;($C315-$C314),($D314-$D315)&gt;0),$D314-$D315,0))</f>
        <v>0</v>
      </c>
      <c r="AG315">
        <f>IF(COUNT($E$2:$E315)&lt;15,"",IF(SUM($AC$302:$AC$315)=0,0,100*SUM($AE$302:$AE$315)/SUM($AC$302:$AC$315)))</f>
        <v>0</v>
      </c>
      <c r="AH315">
        <f>IF(COUNT($E$2:$E315)&lt;15,"",IF(SUM($AC$302:$AC$315)=0,0,100*SUM($AF$302:$AF$315)/SUM($AC$302:$AC$315)))</f>
        <v>0</v>
      </c>
      <c r="AI315">
        <f>IF(OR(AG315="",AH315=""),"",IF((AG315+AH315)=0,0,100*ABS(AG315-AH315)/(AG315+AH315)))</f>
        <v>0</v>
      </c>
      <c r="AJ315">
        <f>IF(COUNT($AI$302:$AI$315)&lt;14,"",AVERAGE($AI$302:$AI$315))</f>
        <v>0</v>
      </c>
      <c r="AK315">
        <f>IF(COUNT($E$2:$E315)&lt;20,"",AVERAGE($E$296:$E$315))</f>
        <v>0</v>
      </c>
      <c r="AL315">
        <f>IF(COUNT($E$2:$E315)&lt;20,"",STDEVP($E$296:$E$315))</f>
        <v>0</v>
      </c>
      <c r="AM315">
        <f>IF(AK315="","",AK315+2*AL315)</f>
        <v>0</v>
      </c>
      <c r="AN315">
        <f>IF(AK315="","",AK315-2*AL315)</f>
        <v>0</v>
      </c>
      <c r="AO315">
        <f>IF(OR(AM315="",AN315="",AM315=AN315),"",($E315-AN315)/(AM315-AN315))</f>
        <v>0</v>
      </c>
      <c r="AP315">
        <f>IF(OR(AM315="",AK315="",AK315=0),"",(AM315-AN315)/AK315)</f>
        <v>0</v>
      </c>
      <c r="AQ315">
        <f>IF(COUNT($E$2:$E315)&lt;20,"",MAX($C$296:$C$315))</f>
        <v>0</v>
      </c>
      <c r="AR315">
        <f>IF(COUNT($E$2:$E315)&lt;20,"",MIN($D$296:$D$315))</f>
        <v>0</v>
      </c>
      <c r="AS315">
        <f>IF(OR(AQ315="",AR315=""),"",(AQ315+AR315)/2)</f>
        <v>0</v>
      </c>
      <c r="AT315">
        <f>IF(COUNT($G$296:$G$315)&lt;20,"",STDEV($G$296:$G$315)*SQRT(52))</f>
        <v>0</v>
      </c>
      <c r="AU315">
        <f>IF(COUNT($E$2:$E315)&lt;9,"",(MAX($C$307:$C$315)+MIN($D$307:$D$315))/2)</f>
        <v>0</v>
      </c>
      <c r="AV315">
        <f>IF(COUNT($E$2:$E315)&lt;26,"",(MAX($C$290:$C$315)+MIN($D$290:$D$315))/2)</f>
        <v>0</v>
      </c>
      <c r="AW315">
        <f>IF(OR(AU315="",AV315=""),"",(AU315+AV315)/2)</f>
        <v>0</v>
      </c>
      <c r="AX315">
        <f>IF(COUNT($E$2:$E315)&lt;52,"",(MAX($C$264:$C$315)+MIN($D$264:$D$315))/2)</f>
        <v>0</v>
      </c>
      <c r="AY315">
        <f>IF(COUNT($E$2:$E315)&lt;20,"",MAX($C$216:$C$315))</f>
        <v>0</v>
      </c>
      <c r="AZ315">
        <f>IF(COUNT($E$2:$E315)&lt;20,"",MIN($D$216:$D$315))</f>
        <v>0</v>
      </c>
      <c r="BA315">
        <f>IF(COUNT($E$2:$E315)&lt;20,"",SLOPE($E$216:$E$315,$F$216:$F$315))</f>
        <v>0</v>
      </c>
      <c r="BB315">
        <f>IF(COUNT($E$2:$E315)&lt;20,"",INTERCEPT($E$216:$E$315,$F$216:$F$315))</f>
        <v>0</v>
      </c>
      <c r="BC315">
        <f>IF(OR(BA315="",BB315=""),"",BB315+BA315*F315)</f>
        <v>0</v>
      </c>
      <c r="BD315">
        <f>IF(COUNT($E$2:$E315)&lt;20,"",STEYX($E$216:$E$315,$F$216:$F$315))</f>
        <v>0</v>
      </c>
      <c r="BE315">
        <f>IF($E315="","",IF(AND(COUNT($E$316:$E$319)&gt;=4,$C315=MAX($C$311:$C$319)),$C315,""))</f>
        <v>0</v>
      </c>
      <c r="BF315">
        <f>IF($E315="","",IF(AND(COUNT($E$316:$E$319)&gt;=4,$D315=MIN($D$311:$D$319)),$D315,""))</f>
        <v>0</v>
      </c>
      <c r="BG315">
        <f>IFERROR(SMALL(Calc_Daily!$BM$2:$BM$2001,314),"")</f>
        <v>0</v>
      </c>
    </row>
    <row r="316" spans="1:59">
      <c r="A316" s="27">
        <f>IF($BG316="","",INDEX(Calc_Daily!$A$2:$A$2001,$BG316))</f>
        <v>0</v>
      </c>
      <c r="B316">
        <f>IF($BG316="","",INDEX(Calc_Daily!$BJ$2:$BJ$2001,$BG316))</f>
        <v>0</v>
      </c>
      <c r="C316">
        <f>IF($BG316="","",INDEX(Calc_Daily!$BK$2:$BK$2001,$BG316))</f>
        <v>0</v>
      </c>
      <c r="D316">
        <f>IF($BG316="","",INDEX(Calc_Daily!$BL$2:$BL$2001,$BG316))</f>
        <v>0</v>
      </c>
      <c r="E316">
        <f>IF($BG316="","",INDEX(Calc_Daily!$E$2:$E$2001,$BG316))</f>
        <v>0</v>
      </c>
      <c r="F316">
        <f>IF($E316="","",N(F315)+1)</f>
        <v>0</v>
      </c>
      <c r="G316">
        <f>IF(OR($E316="",$E315=""),"",LN($E316/$E315))</f>
        <v>0</v>
      </c>
      <c r="H316">
        <f>IF($E316="","",IF($E315="",$E316,$E316*0.0952380952+H315*0.9047619048))</f>
        <v>0</v>
      </c>
      <c r="I316">
        <f>IF($E316="","",IF($E315="",$E316,$E316*0.0392156863+I315*0.9607843137))</f>
        <v>0</v>
      </c>
      <c r="J316">
        <f>IF($E316="","",IF($E315="",$E316,$E316*0.0198019802+J315*0.9801980198))</f>
        <v>0</v>
      </c>
      <c r="K316">
        <f>IF($E316="","",IF($E315="",$E316,$E316*0.0099502488+K315*0.9900497512))</f>
        <v>0</v>
      </c>
      <c r="L316">
        <f>IF(OR($E316="",$E315=""),"",MAX($E316-$E315,0))</f>
        <v>0</v>
      </c>
      <c r="M316">
        <f>IF(OR($E316="",$E315=""),"",MAX($E315-$E316,0))</f>
        <v>0</v>
      </c>
      <c r="N316">
        <f>IF(COUNT($E$2:$E316)&lt;15,"",IF(AVERAGE($M$303:$M$316)=0,100,100-100/(1+AVERAGE($L$303:$L$316)/AVERAGE($M$303:$M$316))))</f>
        <v>0</v>
      </c>
      <c r="O316">
        <f>IF($E316="","",IF($E315="",$E316,$E316*0.1538461538+O315*0.8461538462))</f>
        <v>0</v>
      </c>
      <c r="P316">
        <f>IF($E316="","",IF($E315="",$E316,$E316*0.0740740741+P315*0.9259259259))</f>
        <v>0</v>
      </c>
      <c r="Q316">
        <f>IF(OR(O316="",P316=""),"",O316-P316)</f>
        <v>0</v>
      </c>
      <c r="R316">
        <f>IF(Q316="","",IF(R315="",Q316,Q316*0.2000000000+R315*0.8000000000))</f>
        <v>0</v>
      </c>
      <c r="S316">
        <f>IF(OR(Q316="",R316=""),"",Q316-R316)</f>
        <v>0</v>
      </c>
      <c r="T316">
        <f>IF(COUNT($E$2:$E316)&lt;14,"",MAX($C$303:$C$316))</f>
        <v>0</v>
      </c>
      <c r="U316">
        <f>IF(COUNT($E$2:$E316)&lt;14,"",MIN($D$303:$D$316))</f>
        <v>0</v>
      </c>
      <c r="V316">
        <f>IF(OR(T316="",U316="",T316=U316),"",100*($E316-U316)/(T316-U316))</f>
        <v>0</v>
      </c>
      <c r="W316">
        <f>IF(COUNT($V$314:$V$316)&lt;3,"",AVERAGE($V$314:$V$316))</f>
        <v>0</v>
      </c>
      <c r="X316">
        <f>IF(COUNT($N$303:$N$316)&lt;14,"",MIN($N$303:$N$316))</f>
        <v>0</v>
      </c>
      <c r="Y316">
        <f>IF(COUNT($N$303:$N$316)&lt;14,"",MAX($N$303:$N$316))</f>
        <v>0</v>
      </c>
      <c r="Z316">
        <f>IF(OR(N316="",X316="",Y316="",Y316=X316),"",100*(N316-X316)/(Y316-X316))</f>
        <v>0</v>
      </c>
      <c r="AA316">
        <f>IF(COUNT($Z$314:$Z$316)&lt;3,"",AVERAGE($Z$314:$Z$316))</f>
        <v>0</v>
      </c>
      <c r="AB316">
        <f>IF(COUNT($AA$314:$AA$316)&lt;3,"",AVERAGE($AA$314:$AA$316))</f>
        <v>0</v>
      </c>
      <c r="AC316">
        <f>IF($E316="","",MAX($C316-$D316,ABS($C316-$E315),ABS($D316-$E315)))</f>
        <v>0</v>
      </c>
      <c r="AD316">
        <f>IF(COUNT($E$2:$E316)&lt;15,"",AVERAGE($AC$303:$AC$316))</f>
        <v>0</v>
      </c>
      <c r="AE316">
        <f>IF(OR($E316="",$E315=""),"",IF(AND(($C316-$C315)&gt;($D315-$D316),($C316-$C315)&gt;0),$C316-$C315,0))</f>
        <v>0</v>
      </c>
      <c r="AF316">
        <f>IF(OR($E316="",$E315=""),"",IF(AND(($D315-$D316)&gt;($C316-$C315),($D315-$D316)&gt;0),$D315-$D316,0))</f>
        <v>0</v>
      </c>
      <c r="AG316">
        <f>IF(COUNT($E$2:$E316)&lt;15,"",IF(SUM($AC$303:$AC$316)=0,0,100*SUM($AE$303:$AE$316)/SUM($AC$303:$AC$316)))</f>
        <v>0</v>
      </c>
      <c r="AH316">
        <f>IF(COUNT($E$2:$E316)&lt;15,"",IF(SUM($AC$303:$AC$316)=0,0,100*SUM($AF$303:$AF$316)/SUM($AC$303:$AC$316)))</f>
        <v>0</v>
      </c>
      <c r="AI316">
        <f>IF(OR(AG316="",AH316=""),"",IF((AG316+AH316)=0,0,100*ABS(AG316-AH316)/(AG316+AH316)))</f>
        <v>0</v>
      </c>
      <c r="AJ316">
        <f>IF(COUNT($AI$303:$AI$316)&lt;14,"",AVERAGE($AI$303:$AI$316))</f>
        <v>0</v>
      </c>
      <c r="AK316">
        <f>IF(COUNT($E$2:$E316)&lt;20,"",AVERAGE($E$297:$E$316))</f>
        <v>0</v>
      </c>
      <c r="AL316">
        <f>IF(COUNT($E$2:$E316)&lt;20,"",STDEVP($E$297:$E$316))</f>
        <v>0</v>
      </c>
      <c r="AM316">
        <f>IF(AK316="","",AK316+2*AL316)</f>
        <v>0</v>
      </c>
      <c r="AN316">
        <f>IF(AK316="","",AK316-2*AL316)</f>
        <v>0</v>
      </c>
      <c r="AO316">
        <f>IF(OR(AM316="",AN316="",AM316=AN316),"",($E316-AN316)/(AM316-AN316))</f>
        <v>0</v>
      </c>
      <c r="AP316">
        <f>IF(OR(AM316="",AK316="",AK316=0),"",(AM316-AN316)/AK316)</f>
        <v>0</v>
      </c>
      <c r="AQ316">
        <f>IF(COUNT($E$2:$E316)&lt;20,"",MAX($C$297:$C$316))</f>
        <v>0</v>
      </c>
      <c r="AR316">
        <f>IF(COUNT($E$2:$E316)&lt;20,"",MIN($D$297:$D$316))</f>
        <v>0</v>
      </c>
      <c r="AS316">
        <f>IF(OR(AQ316="",AR316=""),"",(AQ316+AR316)/2)</f>
        <v>0</v>
      </c>
      <c r="AT316">
        <f>IF(COUNT($G$297:$G$316)&lt;20,"",STDEV($G$297:$G$316)*SQRT(52))</f>
        <v>0</v>
      </c>
      <c r="AU316">
        <f>IF(COUNT($E$2:$E316)&lt;9,"",(MAX($C$308:$C$316)+MIN($D$308:$D$316))/2)</f>
        <v>0</v>
      </c>
      <c r="AV316">
        <f>IF(COUNT($E$2:$E316)&lt;26,"",(MAX($C$291:$C$316)+MIN($D$291:$D$316))/2)</f>
        <v>0</v>
      </c>
      <c r="AW316">
        <f>IF(OR(AU316="",AV316=""),"",(AU316+AV316)/2)</f>
        <v>0</v>
      </c>
      <c r="AX316">
        <f>IF(COUNT($E$2:$E316)&lt;52,"",(MAX($C$265:$C$316)+MIN($D$265:$D$316))/2)</f>
        <v>0</v>
      </c>
      <c r="AY316">
        <f>IF(COUNT($E$2:$E316)&lt;20,"",MAX($C$217:$C$316))</f>
        <v>0</v>
      </c>
      <c r="AZ316">
        <f>IF(COUNT($E$2:$E316)&lt;20,"",MIN($D$217:$D$316))</f>
        <v>0</v>
      </c>
      <c r="BA316">
        <f>IF(COUNT($E$2:$E316)&lt;20,"",SLOPE($E$217:$E$316,$F$217:$F$316))</f>
        <v>0</v>
      </c>
      <c r="BB316">
        <f>IF(COUNT($E$2:$E316)&lt;20,"",INTERCEPT($E$217:$E$316,$F$217:$F$316))</f>
        <v>0</v>
      </c>
      <c r="BC316">
        <f>IF(OR(BA316="",BB316=""),"",BB316+BA316*F316)</f>
        <v>0</v>
      </c>
      <c r="BD316">
        <f>IF(COUNT($E$2:$E316)&lt;20,"",STEYX($E$217:$E$316,$F$217:$F$316))</f>
        <v>0</v>
      </c>
      <c r="BE316">
        <f>IF($E316="","",IF(AND(COUNT($E$317:$E$320)&gt;=4,$C316=MAX($C$312:$C$320)),$C316,""))</f>
        <v>0</v>
      </c>
      <c r="BF316">
        <f>IF($E316="","",IF(AND(COUNT($E$317:$E$320)&gt;=4,$D316=MIN($D$312:$D$320)),$D316,""))</f>
        <v>0</v>
      </c>
      <c r="BG316">
        <f>IFERROR(SMALL(Calc_Daily!$BM$2:$BM$2001,315),"")</f>
        <v>0</v>
      </c>
    </row>
    <row r="317" spans="1:59">
      <c r="A317" s="27">
        <f>IF($BG317="","",INDEX(Calc_Daily!$A$2:$A$2001,$BG317))</f>
        <v>0</v>
      </c>
      <c r="B317">
        <f>IF($BG317="","",INDEX(Calc_Daily!$BJ$2:$BJ$2001,$BG317))</f>
        <v>0</v>
      </c>
      <c r="C317">
        <f>IF($BG317="","",INDEX(Calc_Daily!$BK$2:$BK$2001,$BG317))</f>
        <v>0</v>
      </c>
      <c r="D317">
        <f>IF($BG317="","",INDEX(Calc_Daily!$BL$2:$BL$2001,$BG317))</f>
        <v>0</v>
      </c>
      <c r="E317">
        <f>IF($BG317="","",INDEX(Calc_Daily!$E$2:$E$2001,$BG317))</f>
        <v>0</v>
      </c>
      <c r="F317">
        <f>IF($E317="","",N(F316)+1)</f>
        <v>0</v>
      </c>
      <c r="G317">
        <f>IF(OR($E317="",$E316=""),"",LN($E317/$E316))</f>
        <v>0</v>
      </c>
      <c r="H317">
        <f>IF($E317="","",IF($E316="",$E317,$E317*0.0952380952+H316*0.9047619048))</f>
        <v>0</v>
      </c>
      <c r="I317">
        <f>IF($E317="","",IF($E316="",$E317,$E317*0.0392156863+I316*0.9607843137))</f>
        <v>0</v>
      </c>
      <c r="J317">
        <f>IF($E317="","",IF($E316="",$E317,$E317*0.0198019802+J316*0.9801980198))</f>
        <v>0</v>
      </c>
      <c r="K317">
        <f>IF($E317="","",IF($E316="",$E317,$E317*0.0099502488+K316*0.9900497512))</f>
        <v>0</v>
      </c>
      <c r="L317">
        <f>IF(OR($E317="",$E316=""),"",MAX($E317-$E316,0))</f>
        <v>0</v>
      </c>
      <c r="M317">
        <f>IF(OR($E317="",$E316=""),"",MAX($E316-$E317,0))</f>
        <v>0</v>
      </c>
      <c r="N317">
        <f>IF(COUNT($E$2:$E317)&lt;15,"",IF(AVERAGE($M$304:$M$317)=0,100,100-100/(1+AVERAGE($L$304:$L$317)/AVERAGE($M$304:$M$317))))</f>
        <v>0</v>
      </c>
      <c r="O317">
        <f>IF($E317="","",IF($E316="",$E317,$E317*0.1538461538+O316*0.8461538462))</f>
        <v>0</v>
      </c>
      <c r="P317">
        <f>IF($E317="","",IF($E316="",$E317,$E317*0.0740740741+P316*0.9259259259))</f>
        <v>0</v>
      </c>
      <c r="Q317">
        <f>IF(OR(O317="",P317=""),"",O317-P317)</f>
        <v>0</v>
      </c>
      <c r="R317">
        <f>IF(Q317="","",IF(R316="",Q317,Q317*0.2000000000+R316*0.8000000000))</f>
        <v>0</v>
      </c>
      <c r="S317">
        <f>IF(OR(Q317="",R317=""),"",Q317-R317)</f>
        <v>0</v>
      </c>
      <c r="T317">
        <f>IF(COUNT($E$2:$E317)&lt;14,"",MAX($C$304:$C$317))</f>
        <v>0</v>
      </c>
      <c r="U317">
        <f>IF(COUNT($E$2:$E317)&lt;14,"",MIN($D$304:$D$317))</f>
        <v>0</v>
      </c>
      <c r="V317">
        <f>IF(OR(T317="",U317="",T317=U317),"",100*($E317-U317)/(T317-U317))</f>
        <v>0</v>
      </c>
      <c r="W317">
        <f>IF(COUNT($V$315:$V$317)&lt;3,"",AVERAGE($V$315:$V$317))</f>
        <v>0</v>
      </c>
      <c r="X317">
        <f>IF(COUNT($N$304:$N$317)&lt;14,"",MIN($N$304:$N$317))</f>
        <v>0</v>
      </c>
      <c r="Y317">
        <f>IF(COUNT($N$304:$N$317)&lt;14,"",MAX($N$304:$N$317))</f>
        <v>0</v>
      </c>
      <c r="Z317">
        <f>IF(OR(N317="",X317="",Y317="",Y317=X317),"",100*(N317-X317)/(Y317-X317))</f>
        <v>0</v>
      </c>
      <c r="AA317">
        <f>IF(COUNT($Z$315:$Z$317)&lt;3,"",AVERAGE($Z$315:$Z$317))</f>
        <v>0</v>
      </c>
      <c r="AB317">
        <f>IF(COUNT($AA$315:$AA$317)&lt;3,"",AVERAGE($AA$315:$AA$317))</f>
        <v>0</v>
      </c>
      <c r="AC317">
        <f>IF($E317="","",MAX($C317-$D317,ABS($C317-$E316),ABS($D317-$E316)))</f>
        <v>0</v>
      </c>
      <c r="AD317">
        <f>IF(COUNT($E$2:$E317)&lt;15,"",AVERAGE($AC$304:$AC$317))</f>
        <v>0</v>
      </c>
      <c r="AE317">
        <f>IF(OR($E317="",$E316=""),"",IF(AND(($C317-$C316)&gt;($D316-$D317),($C317-$C316)&gt;0),$C317-$C316,0))</f>
        <v>0</v>
      </c>
      <c r="AF317">
        <f>IF(OR($E317="",$E316=""),"",IF(AND(($D316-$D317)&gt;($C317-$C316),($D316-$D317)&gt;0),$D316-$D317,0))</f>
        <v>0</v>
      </c>
      <c r="AG317">
        <f>IF(COUNT($E$2:$E317)&lt;15,"",IF(SUM($AC$304:$AC$317)=0,0,100*SUM($AE$304:$AE$317)/SUM($AC$304:$AC$317)))</f>
        <v>0</v>
      </c>
      <c r="AH317">
        <f>IF(COUNT($E$2:$E317)&lt;15,"",IF(SUM($AC$304:$AC$317)=0,0,100*SUM($AF$304:$AF$317)/SUM($AC$304:$AC$317)))</f>
        <v>0</v>
      </c>
      <c r="AI317">
        <f>IF(OR(AG317="",AH317=""),"",IF((AG317+AH317)=0,0,100*ABS(AG317-AH317)/(AG317+AH317)))</f>
        <v>0</v>
      </c>
      <c r="AJ317">
        <f>IF(COUNT($AI$304:$AI$317)&lt;14,"",AVERAGE($AI$304:$AI$317))</f>
        <v>0</v>
      </c>
      <c r="AK317">
        <f>IF(COUNT($E$2:$E317)&lt;20,"",AVERAGE($E$298:$E$317))</f>
        <v>0</v>
      </c>
      <c r="AL317">
        <f>IF(COUNT($E$2:$E317)&lt;20,"",STDEVP($E$298:$E$317))</f>
        <v>0</v>
      </c>
      <c r="AM317">
        <f>IF(AK317="","",AK317+2*AL317)</f>
        <v>0</v>
      </c>
      <c r="AN317">
        <f>IF(AK317="","",AK317-2*AL317)</f>
        <v>0</v>
      </c>
      <c r="AO317">
        <f>IF(OR(AM317="",AN317="",AM317=AN317),"",($E317-AN317)/(AM317-AN317))</f>
        <v>0</v>
      </c>
      <c r="AP317">
        <f>IF(OR(AM317="",AK317="",AK317=0),"",(AM317-AN317)/AK317)</f>
        <v>0</v>
      </c>
      <c r="AQ317">
        <f>IF(COUNT($E$2:$E317)&lt;20,"",MAX($C$298:$C$317))</f>
        <v>0</v>
      </c>
      <c r="AR317">
        <f>IF(COUNT($E$2:$E317)&lt;20,"",MIN($D$298:$D$317))</f>
        <v>0</v>
      </c>
      <c r="AS317">
        <f>IF(OR(AQ317="",AR317=""),"",(AQ317+AR317)/2)</f>
        <v>0</v>
      </c>
      <c r="AT317">
        <f>IF(COUNT($G$298:$G$317)&lt;20,"",STDEV($G$298:$G$317)*SQRT(52))</f>
        <v>0</v>
      </c>
      <c r="AU317">
        <f>IF(COUNT($E$2:$E317)&lt;9,"",(MAX($C$309:$C$317)+MIN($D$309:$D$317))/2)</f>
        <v>0</v>
      </c>
      <c r="AV317">
        <f>IF(COUNT($E$2:$E317)&lt;26,"",(MAX($C$292:$C$317)+MIN($D$292:$D$317))/2)</f>
        <v>0</v>
      </c>
      <c r="AW317">
        <f>IF(OR(AU317="",AV317=""),"",(AU317+AV317)/2)</f>
        <v>0</v>
      </c>
      <c r="AX317">
        <f>IF(COUNT($E$2:$E317)&lt;52,"",(MAX($C$266:$C$317)+MIN($D$266:$D$317))/2)</f>
        <v>0</v>
      </c>
      <c r="AY317">
        <f>IF(COUNT($E$2:$E317)&lt;20,"",MAX($C$218:$C$317))</f>
        <v>0</v>
      </c>
      <c r="AZ317">
        <f>IF(COUNT($E$2:$E317)&lt;20,"",MIN($D$218:$D$317))</f>
        <v>0</v>
      </c>
      <c r="BA317">
        <f>IF(COUNT($E$2:$E317)&lt;20,"",SLOPE($E$218:$E$317,$F$218:$F$317))</f>
        <v>0</v>
      </c>
      <c r="BB317">
        <f>IF(COUNT($E$2:$E317)&lt;20,"",INTERCEPT($E$218:$E$317,$F$218:$F$317))</f>
        <v>0</v>
      </c>
      <c r="BC317">
        <f>IF(OR(BA317="",BB317=""),"",BB317+BA317*F317)</f>
        <v>0</v>
      </c>
      <c r="BD317">
        <f>IF(COUNT($E$2:$E317)&lt;20,"",STEYX($E$218:$E$317,$F$218:$F$317))</f>
        <v>0</v>
      </c>
      <c r="BE317">
        <f>IF($E317="","",IF(AND(COUNT($E$318:$E$321)&gt;=4,$C317=MAX($C$313:$C$321)),$C317,""))</f>
        <v>0</v>
      </c>
      <c r="BF317">
        <f>IF($E317="","",IF(AND(COUNT($E$318:$E$321)&gt;=4,$D317=MIN($D$313:$D$321)),$D317,""))</f>
        <v>0</v>
      </c>
      <c r="BG317">
        <f>IFERROR(SMALL(Calc_Daily!$BM$2:$BM$2001,316),"")</f>
        <v>0</v>
      </c>
    </row>
    <row r="318" spans="1:59">
      <c r="A318" s="27">
        <f>IF($BG318="","",INDEX(Calc_Daily!$A$2:$A$2001,$BG318))</f>
        <v>0</v>
      </c>
      <c r="B318">
        <f>IF($BG318="","",INDEX(Calc_Daily!$BJ$2:$BJ$2001,$BG318))</f>
        <v>0</v>
      </c>
      <c r="C318">
        <f>IF($BG318="","",INDEX(Calc_Daily!$BK$2:$BK$2001,$BG318))</f>
        <v>0</v>
      </c>
      <c r="D318">
        <f>IF($BG318="","",INDEX(Calc_Daily!$BL$2:$BL$2001,$BG318))</f>
        <v>0</v>
      </c>
      <c r="E318">
        <f>IF($BG318="","",INDEX(Calc_Daily!$E$2:$E$2001,$BG318))</f>
        <v>0</v>
      </c>
      <c r="F318">
        <f>IF($E318="","",N(F317)+1)</f>
        <v>0</v>
      </c>
      <c r="G318">
        <f>IF(OR($E318="",$E317=""),"",LN($E318/$E317))</f>
        <v>0</v>
      </c>
      <c r="H318">
        <f>IF($E318="","",IF($E317="",$E318,$E318*0.0952380952+H317*0.9047619048))</f>
        <v>0</v>
      </c>
      <c r="I318">
        <f>IF($E318="","",IF($E317="",$E318,$E318*0.0392156863+I317*0.9607843137))</f>
        <v>0</v>
      </c>
      <c r="J318">
        <f>IF($E318="","",IF($E317="",$E318,$E318*0.0198019802+J317*0.9801980198))</f>
        <v>0</v>
      </c>
      <c r="K318">
        <f>IF($E318="","",IF($E317="",$E318,$E318*0.0099502488+K317*0.9900497512))</f>
        <v>0</v>
      </c>
      <c r="L318">
        <f>IF(OR($E318="",$E317=""),"",MAX($E318-$E317,0))</f>
        <v>0</v>
      </c>
      <c r="M318">
        <f>IF(OR($E318="",$E317=""),"",MAX($E317-$E318,0))</f>
        <v>0</v>
      </c>
      <c r="N318">
        <f>IF(COUNT($E$2:$E318)&lt;15,"",IF(AVERAGE($M$305:$M$318)=0,100,100-100/(1+AVERAGE($L$305:$L$318)/AVERAGE($M$305:$M$318))))</f>
        <v>0</v>
      </c>
      <c r="O318">
        <f>IF($E318="","",IF($E317="",$E318,$E318*0.1538461538+O317*0.8461538462))</f>
        <v>0</v>
      </c>
      <c r="P318">
        <f>IF($E318="","",IF($E317="",$E318,$E318*0.0740740741+P317*0.9259259259))</f>
        <v>0</v>
      </c>
      <c r="Q318">
        <f>IF(OR(O318="",P318=""),"",O318-P318)</f>
        <v>0</v>
      </c>
      <c r="R318">
        <f>IF(Q318="","",IF(R317="",Q318,Q318*0.2000000000+R317*0.8000000000))</f>
        <v>0</v>
      </c>
      <c r="S318">
        <f>IF(OR(Q318="",R318=""),"",Q318-R318)</f>
        <v>0</v>
      </c>
      <c r="T318">
        <f>IF(COUNT($E$2:$E318)&lt;14,"",MAX($C$305:$C$318))</f>
        <v>0</v>
      </c>
      <c r="U318">
        <f>IF(COUNT($E$2:$E318)&lt;14,"",MIN($D$305:$D$318))</f>
        <v>0</v>
      </c>
      <c r="V318">
        <f>IF(OR(T318="",U318="",T318=U318),"",100*($E318-U318)/(T318-U318))</f>
        <v>0</v>
      </c>
      <c r="W318">
        <f>IF(COUNT($V$316:$V$318)&lt;3,"",AVERAGE($V$316:$V$318))</f>
        <v>0</v>
      </c>
      <c r="X318">
        <f>IF(COUNT($N$305:$N$318)&lt;14,"",MIN($N$305:$N$318))</f>
        <v>0</v>
      </c>
      <c r="Y318">
        <f>IF(COUNT($N$305:$N$318)&lt;14,"",MAX($N$305:$N$318))</f>
        <v>0</v>
      </c>
      <c r="Z318">
        <f>IF(OR(N318="",X318="",Y318="",Y318=X318),"",100*(N318-X318)/(Y318-X318))</f>
        <v>0</v>
      </c>
      <c r="AA318">
        <f>IF(COUNT($Z$316:$Z$318)&lt;3,"",AVERAGE($Z$316:$Z$318))</f>
        <v>0</v>
      </c>
      <c r="AB318">
        <f>IF(COUNT($AA$316:$AA$318)&lt;3,"",AVERAGE($AA$316:$AA$318))</f>
        <v>0</v>
      </c>
      <c r="AC318">
        <f>IF($E318="","",MAX($C318-$D318,ABS($C318-$E317),ABS($D318-$E317)))</f>
        <v>0</v>
      </c>
      <c r="AD318">
        <f>IF(COUNT($E$2:$E318)&lt;15,"",AVERAGE($AC$305:$AC$318))</f>
        <v>0</v>
      </c>
      <c r="AE318">
        <f>IF(OR($E318="",$E317=""),"",IF(AND(($C318-$C317)&gt;($D317-$D318),($C318-$C317)&gt;0),$C318-$C317,0))</f>
        <v>0</v>
      </c>
      <c r="AF318">
        <f>IF(OR($E318="",$E317=""),"",IF(AND(($D317-$D318)&gt;($C318-$C317),($D317-$D318)&gt;0),$D317-$D318,0))</f>
        <v>0</v>
      </c>
      <c r="AG318">
        <f>IF(COUNT($E$2:$E318)&lt;15,"",IF(SUM($AC$305:$AC$318)=0,0,100*SUM($AE$305:$AE$318)/SUM($AC$305:$AC$318)))</f>
        <v>0</v>
      </c>
      <c r="AH318">
        <f>IF(COUNT($E$2:$E318)&lt;15,"",IF(SUM($AC$305:$AC$318)=0,0,100*SUM($AF$305:$AF$318)/SUM($AC$305:$AC$318)))</f>
        <v>0</v>
      </c>
      <c r="AI318">
        <f>IF(OR(AG318="",AH318=""),"",IF((AG318+AH318)=0,0,100*ABS(AG318-AH318)/(AG318+AH318)))</f>
        <v>0</v>
      </c>
      <c r="AJ318">
        <f>IF(COUNT($AI$305:$AI$318)&lt;14,"",AVERAGE($AI$305:$AI$318))</f>
        <v>0</v>
      </c>
      <c r="AK318">
        <f>IF(COUNT($E$2:$E318)&lt;20,"",AVERAGE($E$299:$E$318))</f>
        <v>0</v>
      </c>
      <c r="AL318">
        <f>IF(COUNT($E$2:$E318)&lt;20,"",STDEVP($E$299:$E$318))</f>
        <v>0</v>
      </c>
      <c r="AM318">
        <f>IF(AK318="","",AK318+2*AL318)</f>
        <v>0</v>
      </c>
      <c r="AN318">
        <f>IF(AK318="","",AK318-2*AL318)</f>
        <v>0</v>
      </c>
      <c r="AO318">
        <f>IF(OR(AM318="",AN318="",AM318=AN318),"",($E318-AN318)/(AM318-AN318))</f>
        <v>0</v>
      </c>
      <c r="AP318">
        <f>IF(OR(AM318="",AK318="",AK318=0),"",(AM318-AN318)/AK318)</f>
        <v>0</v>
      </c>
      <c r="AQ318">
        <f>IF(COUNT($E$2:$E318)&lt;20,"",MAX($C$299:$C$318))</f>
        <v>0</v>
      </c>
      <c r="AR318">
        <f>IF(COUNT($E$2:$E318)&lt;20,"",MIN($D$299:$D$318))</f>
        <v>0</v>
      </c>
      <c r="AS318">
        <f>IF(OR(AQ318="",AR318=""),"",(AQ318+AR318)/2)</f>
        <v>0</v>
      </c>
      <c r="AT318">
        <f>IF(COUNT($G$299:$G$318)&lt;20,"",STDEV($G$299:$G$318)*SQRT(52))</f>
        <v>0</v>
      </c>
      <c r="AU318">
        <f>IF(COUNT($E$2:$E318)&lt;9,"",(MAX($C$310:$C$318)+MIN($D$310:$D$318))/2)</f>
        <v>0</v>
      </c>
      <c r="AV318">
        <f>IF(COUNT($E$2:$E318)&lt;26,"",(MAX($C$293:$C$318)+MIN($D$293:$D$318))/2)</f>
        <v>0</v>
      </c>
      <c r="AW318">
        <f>IF(OR(AU318="",AV318=""),"",(AU318+AV318)/2)</f>
        <v>0</v>
      </c>
      <c r="AX318">
        <f>IF(COUNT($E$2:$E318)&lt;52,"",(MAX($C$267:$C$318)+MIN($D$267:$D$318))/2)</f>
        <v>0</v>
      </c>
      <c r="AY318">
        <f>IF(COUNT($E$2:$E318)&lt;20,"",MAX($C$219:$C$318))</f>
        <v>0</v>
      </c>
      <c r="AZ318">
        <f>IF(COUNT($E$2:$E318)&lt;20,"",MIN($D$219:$D$318))</f>
        <v>0</v>
      </c>
      <c r="BA318">
        <f>IF(COUNT($E$2:$E318)&lt;20,"",SLOPE($E$219:$E$318,$F$219:$F$318))</f>
        <v>0</v>
      </c>
      <c r="BB318">
        <f>IF(COUNT($E$2:$E318)&lt;20,"",INTERCEPT($E$219:$E$318,$F$219:$F$318))</f>
        <v>0</v>
      </c>
      <c r="BC318">
        <f>IF(OR(BA318="",BB318=""),"",BB318+BA318*F318)</f>
        <v>0</v>
      </c>
      <c r="BD318">
        <f>IF(COUNT($E$2:$E318)&lt;20,"",STEYX($E$219:$E$318,$F$219:$F$318))</f>
        <v>0</v>
      </c>
      <c r="BE318">
        <f>IF($E318="","",IF(AND(COUNT($E$319:$E$322)&gt;=4,$C318=MAX($C$314:$C$322)),$C318,""))</f>
        <v>0</v>
      </c>
      <c r="BF318">
        <f>IF($E318="","",IF(AND(COUNT($E$319:$E$322)&gt;=4,$D318=MIN($D$314:$D$322)),$D318,""))</f>
        <v>0</v>
      </c>
      <c r="BG318">
        <f>IFERROR(SMALL(Calc_Daily!$BM$2:$BM$2001,317),"")</f>
        <v>0</v>
      </c>
    </row>
    <row r="319" spans="1:59">
      <c r="A319" s="27">
        <f>IF($BG319="","",INDEX(Calc_Daily!$A$2:$A$2001,$BG319))</f>
        <v>0</v>
      </c>
      <c r="B319">
        <f>IF($BG319="","",INDEX(Calc_Daily!$BJ$2:$BJ$2001,$BG319))</f>
        <v>0</v>
      </c>
      <c r="C319">
        <f>IF($BG319="","",INDEX(Calc_Daily!$BK$2:$BK$2001,$BG319))</f>
        <v>0</v>
      </c>
      <c r="D319">
        <f>IF($BG319="","",INDEX(Calc_Daily!$BL$2:$BL$2001,$BG319))</f>
        <v>0</v>
      </c>
      <c r="E319">
        <f>IF($BG319="","",INDEX(Calc_Daily!$E$2:$E$2001,$BG319))</f>
        <v>0</v>
      </c>
      <c r="F319">
        <f>IF($E319="","",N(F318)+1)</f>
        <v>0</v>
      </c>
      <c r="G319">
        <f>IF(OR($E319="",$E318=""),"",LN($E319/$E318))</f>
        <v>0</v>
      </c>
      <c r="H319">
        <f>IF($E319="","",IF($E318="",$E319,$E319*0.0952380952+H318*0.9047619048))</f>
        <v>0</v>
      </c>
      <c r="I319">
        <f>IF($E319="","",IF($E318="",$E319,$E319*0.0392156863+I318*0.9607843137))</f>
        <v>0</v>
      </c>
      <c r="J319">
        <f>IF($E319="","",IF($E318="",$E319,$E319*0.0198019802+J318*0.9801980198))</f>
        <v>0</v>
      </c>
      <c r="K319">
        <f>IF($E319="","",IF($E318="",$E319,$E319*0.0099502488+K318*0.9900497512))</f>
        <v>0</v>
      </c>
      <c r="L319">
        <f>IF(OR($E319="",$E318=""),"",MAX($E319-$E318,0))</f>
        <v>0</v>
      </c>
      <c r="M319">
        <f>IF(OR($E319="",$E318=""),"",MAX($E318-$E319,0))</f>
        <v>0</v>
      </c>
      <c r="N319">
        <f>IF(COUNT($E$2:$E319)&lt;15,"",IF(AVERAGE($M$306:$M$319)=0,100,100-100/(1+AVERAGE($L$306:$L$319)/AVERAGE($M$306:$M$319))))</f>
        <v>0</v>
      </c>
      <c r="O319">
        <f>IF($E319="","",IF($E318="",$E319,$E319*0.1538461538+O318*0.8461538462))</f>
        <v>0</v>
      </c>
      <c r="P319">
        <f>IF($E319="","",IF($E318="",$E319,$E319*0.0740740741+P318*0.9259259259))</f>
        <v>0</v>
      </c>
      <c r="Q319">
        <f>IF(OR(O319="",P319=""),"",O319-P319)</f>
        <v>0</v>
      </c>
      <c r="R319">
        <f>IF(Q319="","",IF(R318="",Q319,Q319*0.2000000000+R318*0.8000000000))</f>
        <v>0</v>
      </c>
      <c r="S319">
        <f>IF(OR(Q319="",R319=""),"",Q319-R319)</f>
        <v>0</v>
      </c>
      <c r="T319">
        <f>IF(COUNT($E$2:$E319)&lt;14,"",MAX($C$306:$C$319))</f>
        <v>0</v>
      </c>
      <c r="U319">
        <f>IF(COUNT($E$2:$E319)&lt;14,"",MIN($D$306:$D$319))</f>
        <v>0</v>
      </c>
      <c r="V319">
        <f>IF(OR(T319="",U319="",T319=U319),"",100*($E319-U319)/(T319-U319))</f>
        <v>0</v>
      </c>
      <c r="W319">
        <f>IF(COUNT($V$317:$V$319)&lt;3,"",AVERAGE($V$317:$V$319))</f>
        <v>0</v>
      </c>
      <c r="X319">
        <f>IF(COUNT($N$306:$N$319)&lt;14,"",MIN($N$306:$N$319))</f>
        <v>0</v>
      </c>
      <c r="Y319">
        <f>IF(COUNT($N$306:$N$319)&lt;14,"",MAX($N$306:$N$319))</f>
        <v>0</v>
      </c>
      <c r="Z319">
        <f>IF(OR(N319="",X319="",Y319="",Y319=X319),"",100*(N319-X319)/(Y319-X319))</f>
        <v>0</v>
      </c>
      <c r="AA319">
        <f>IF(COUNT($Z$317:$Z$319)&lt;3,"",AVERAGE($Z$317:$Z$319))</f>
        <v>0</v>
      </c>
      <c r="AB319">
        <f>IF(COUNT($AA$317:$AA$319)&lt;3,"",AVERAGE($AA$317:$AA$319))</f>
        <v>0</v>
      </c>
      <c r="AC319">
        <f>IF($E319="","",MAX($C319-$D319,ABS($C319-$E318),ABS($D319-$E318)))</f>
        <v>0</v>
      </c>
      <c r="AD319">
        <f>IF(COUNT($E$2:$E319)&lt;15,"",AVERAGE($AC$306:$AC$319))</f>
        <v>0</v>
      </c>
      <c r="AE319">
        <f>IF(OR($E319="",$E318=""),"",IF(AND(($C319-$C318)&gt;($D318-$D319),($C319-$C318)&gt;0),$C319-$C318,0))</f>
        <v>0</v>
      </c>
      <c r="AF319">
        <f>IF(OR($E319="",$E318=""),"",IF(AND(($D318-$D319)&gt;($C319-$C318),($D318-$D319)&gt;0),$D318-$D319,0))</f>
        <v>0</v>
      </c>
      <c r="AG319">
        <f>IF(COUNT($E$2:$E319)&lt;15,"",IF(SUM($AC$306:$AC$319)=0,0,100*SUM($AE$306:$AE$319)/SUM($AC$306:$AC$319)))</f>
        <v>0</v>
      </c>
      <c r="AH319">
        <f>IF(COUNT($E$2:$E319)&lt;15,"",IF(SUM($AC$306:$AC$319)=0,0,100*SUM($AF$306:$AF$319)/SUM($AC$306:$AC$319)))</f>
        <v>0</v>
      </c>
      <c r="AI319">
        <f>IF(OR(AG319="",AH319=""),"",IF((AG319+AH319)=0,0,100*ABS(AG319-AH319)/(AG319+AH319)))</f>
        <v>0</v>
      </c>
      <c r="AJ319">
        <f>IF(COUNT($AI$306:$AI$319)&lt;14,"",AVERAGE($AI$306:$AI$319))</f>
        <v>0</v>
      </c>
      <c r="AK319">
        <f>IF(COUNT($E$2:$E319)&lt;20,"",AVERAGE($E$300:$E$319))</f>
        <v>0</v>
      </c>
      <c r="AL319">
        <f>IF(COUNT($E$2:$E319)&lt;20,"",STDEVP($E$300:$E$319))</f>
        <v>0</v>
      </c>
      <c r="AM319">
        <f>IF(AK319="","",AK319+2*AL319)</f>
        <v>0</v>
      </c>
      <c r="AN319">
        <f>IF(AK319="","",AK319-2*AL319)</f>
        <v>0</v>
      </c>
      <c r="AO319">
        <f>IF(OR(AM319="",AN319="",AM319=AN319),"",($E319-AN319)/(AM319-AN319))</f>
        <v>0</v>
      </c>
      <c r="AP319">
        <f>IF(OR(AM319="",AK319="",AK319=0),"",(AM319-AN319)/AK319)</f>
        <v>0</v>
      </c>
      <c r="AQ319">
        <f>IF(COUNT($E$2:$E319)&lt;20,"",MAX($C$300:$C$319))</f>
        <v>0</v>
      </c>
      <c r="AR319">
        <f>IF(COUNT($E$2:$E319)&lt;20,"",MIN($D$300:$D$319))</f>
        <v>0</v>
      </c>
      <c r="AS319">
        <f>IF(OR(AQ319="",AR319=""),"",(AQ319+AR319)/2)</f>
        <v>0</v>
      </c>
      <c r="AT319">
        <f>IF(COUNT($G$300:$G$319)&lt;20,"",STDEV($G$300:$G$319)*SQRT(52))</f>
        <v>0</v>
      </c>
      <c r="AU319">
        <f>IF(COUNT($E$2:$E319)&lt;9,"",(MAX($C$311:$C$319)+MIN($D$311:$D$319))/2)</f>
        <v>0</v>
      </c>
      <c r="AV319">
        <f>IF(COUNT($E$2:$E319)&lt;26,"",(MAX($C$294:$C$319)+MIN($D$294:$D$319))/2)</f>
        <v>0</v>
      </c>
      <c r="AW319">
        <f>IF(OR(AU319="",AV319=""),"",(AU319+AV319)/2)</f>
        <v>0</v>
      </c>
      <c r="AX319">
        <f>IF(COUNT($E$2:$E319)&lt;52,"",(MAX($C$268:$C$319)+MIN($D$268:$D$319))/2)</f>
        <v>0</v>
      </c>
      <c r="AY319">
        <f>IF(COUNT($E$2:$E319)&lt;20,"",MAX($C$220:$C$319))</f>
        <v>0</v>
      </c>
      <c r="AZ319">
        <f>IF(COUNT($E$2:$E319)&lt;20,"",MIN($D$220:$D$319))</f>
        <v>0</v>
      </c>
      <c r="BA319">
        <f>IF(COUNT($E$2:$E319)&lt;20,"",SLOPE($E$220:$E$319,$F$220:$F$319))</f>
        <v>0</v>
      </c>
      <c r="BB319">
        <f>IF(COUNT($E$2:$E319)&lt;20,"",INTERCEPT($E$220:$E$319,$F$220:$F$319))</f>
        <v>0</v>
      </c>
      <c r="BC319">
        <f>IF(OR(BA319="",BB319=""),"",BB319+BA319*F319)</f>
        <v>0</v>
      </c>
      <c r="BD319">
        <f>IF(COUNT($E$2:$E319)&lt;20,"",STEYX($E$220:$E$319,$F$220:$F$319))</f>
        <v>0</v>
      </c>
      <c r="BE319">
        <f>IF($E319="","",IF(AND(COUNT($E$320:$E$323)&gt;=4,$C319=MAX($C$315:$C$323)),$C319,""))</f>
        <v>0</v>
      </c>
      <c r="BF319">
        <f>IF($E319="","",IF(AND(COUNT($E$320:$E$323)&gt;=4,$D319=MIN($D$315:$D$323)),$D319,""))</f>
        <v>0</v>
      </c>
      <c r="BG319">
        <f>IFERROR(SMALL(Calc_Daily!$BM$2:$BM$2001,318),"")</f>
        <v>0</v>
      </c>
    </row>
    <row r="320" spans="1:59">
      <c r="A320" s="27">
        <f>IF($BG320="","",INDEX(Calc_Daily!$A$2:$A$2001,$BG320))</f>
        <v>0</v>
      </c>
      <c r="B320">
        <f>IF($BG320="","",INDEX(Calc_Daily!$BJ$2:$BJ$2001,$BG320))</f>
        <v>0</v>
      </c>
      <c r="C320">
        <f>IF($BG320="","",INDEX(Calc_Daily!$BK$2:$BK$2001,$BG320))</f>
        <v>0</v>
      </c>
      <c r="D320">
        <f>IF($BG320="","",INDEX(Calc_Daily!$BL$2:$BL$2001,$BG320))</f>
        <v>0</v>
      </c>
      <c r="E320">
        <f>IF($BG320="","",INDEX(Calc_Daily!$E$2:$E$2001,$BG320))</f>
        <v>0</v>
      </c>
      <c r="F320">
        <f>IF($E320="","",N(F319)+1)</f>
        <v>0</v>
      </c>
      <c r="G320">
        <f>IF(OR($E320="",$E319=""),"",LN($E320/$E319))</f>
        <v>0</v>
      </c>
      <c r="H320">
        <f>IF($E320="","",IF($E319="",$E320,$E320*0.0952380952+H319*0.9047619048))</f>
        <v>0</v>
      </c>
      <c r="I320">
        <f>IF($E320="","",IF($E319="",$E320,$E320*0.0392156863+I319*0.9607843137))</f>
        <v>0</v>
      </c>
      <c r="J320">
        <f>IF($E320="","",IF($E319="",$E320,$E320*0.0198019802+J319*0.9801980198))</f>
        <v>0</v>
      </c>
      <c r="K320">
        <f>IF($E320="","",IF($E319="",$E320,$E320*0.0099502488+K319*0.9900497512))</f>
        <v>0</v>
      </c>
      <c r="L320">
        <f>IF(OR($E320="",$E319=""),"",MAX($E320-$E319,0))</f>
        <v>0</v>
      </c>
      <c r="M320">
        <f>IF(OR($E320="",$E319=""),"",MAX($E319-$E320,0))</f>
        <v>0</v>
      </c>
      <c r="N320">
        <f>IF(COUNT($E$2:$E320)&lt;15,"",IF(AVERAGE($M$307:$M$320)=0,100,100-100/(1+AVERAGE($L$307:$L$320)/AVERAGE($M$307:$M$320))))</f>
        <v>0</v>
      </c>
      <c r="O320">
        <f>IF($E320="","",IF($E319="",$E320,$E320*0.1538461538+O319*0.8461538462))</f>
        <v>0</v>
      </c>
      <c r="P320">
        <f>IF($E320="","",IF($E319="",$E320,$E320*0.0740740741+P319*0.9259259259))</f>
        <v>0</v>
      </c>
      <c r="Q320">
        <f>IF(OR(O320="",P320=""),"",O320-P320)</f>
        <v>0</v>
      </c>
      <c r="R320">
        <f>IF(Q320="","",IF(R319="",Q320,Q320*0.2000000000+R319*0.8000000000))</f>
        <v>0</v>
      </c>
      <c r="S320">
        <f>IF(OR(Q320="",R320=""),"",Q320-R320)</f>
        <v>0</v>
      </c>
      <c r="T320">
        <f>IF(COUNT($E$2:$E320)&lt;14,"",MAX($C$307:$C$320))</f>
        <v>0</v>
      </c>
      <c r="U320">
        <f>IF(COUNT($E$2:$E320)&lt;14,"",MIN($D$307:$D$320))</f>
        <v>0</v>
      </c>
      <c r="V320">
        <f>IF(OR(T320="",U320="",T320=U320),"",100*($E320-U320)/(T320-U320))</f>
        <v>0</v>
      </c>
      <c r="W320">
        <f>IF(COUNT($V$318:$V$320)&lt;3,"",AVERAGE($V$318:$V$320))</f>
        <v>0</v>
      </c>
      <c r="X320">
        <f>IF(COUNT($N$307:$N$320)&lt;14,"",MIN($N$307:$N$320))</f>
        <v>0</v>
      </c>
      <c r="Y320">
        <f>IF(COUNT($N$307:$N$320)&lt;14,"",MAX($N$307:$N$320))</f>
        <v>0</v>
      </c>
      <c r="Z320">
        <f>IF(OR(N320="",X320="",Y320="",Y320=X320),"",100*(N320-X320)/(Y320-X320))</f>
        <v>0</v>
      </c>
      <c r="AA320">
        <f>IF(COUNT($Z$318:$Z$320)&lt;3,"",AVERAGE($Z$318:$Z$320))</f>
        <v>0</v>
      </c>
      <c r="AB320">
        <f>IF(COUNT($AA$318:$AA$320)&lt;3,"",AVERAGE($AA$318:$AA$320))</f>
        <v>0</v>
      </c>
      <c r="AC320">
        <f>IF($E320="","",MAX($C320-$D320,ABS($C320-$E319),ABS($D320-$E319)))</f>
        <v>0</v>
      </c>
      <c r="AD320">
        <f>IF(COUNT($E$2:$E320)&lt;15,"",AVERAGE($AC$307:$AC$320))</f>
        <v>0</v>
      </c>
      <c r="AE320">
        <f>IF(OR($E320="",$E319=""),"",IF(AND(($C320-$C319)&gt;($D319-$D320),($C320-$C319)&gt;0),$C320-$C319,0))</f>
        <v>0</v>
      </c>
      <c r="AF320">
        <f>IF(OR($E320="",$E319=""),"",IF(AND(($D319-$D320)&gt;($C320-$C319),($D319-$D320)&gt;0),$D319-$D320,0))</f>
        <v>0</v>
      </c>
      <c r="AG320">
        <f>IF(COUNT($E$2:$E320)&lt;15,"",IF(SUM($AC$307:$AC$320)=0,0,100*SUM($AE$307:$AE$320)/SUM($AC$307:$AC$320)))</f>
        <v>0</v>
      </c>
      <c r="AH320">
        <f>IF(COUNT($E$2:$E320)&lt;15,"",IF(SUM($AC$307:$AC$320)=0,0,100*SUM($AF$307:$AF$320)/SUM($AC$307:$AC$320)))</f>
        <v>0</v>
      </c>
      <c r="AI320">
        <f>IF(OR(AG320="",AH320=""),"",IF((AG320+AH320)=0,0,100*ABS(AG320-AH320)/(AG320+AH320)))</f>
        <v>0</v>
      </c>
      <c r="AJ320">
        <f>IF(COUNT($AI$307:$AI$320)&lt;14,"",AVERAGE($AI$307:$AI$320))</f>
        <v>0</v>
      </c>
      <c r="AK320">
        <f>IF(COUNT($E$2:$E320)&lt;20,"",AVERAGE($E$301:$E$320))</f>
        <v>0</v>
      </c>
      <c r="AL320">
        <f>IF(COUNT($E$2:$E320)&lt;20,"",STDEVP($E$301:$E$320))</f>
        <v>0</v>
      </c>
      <c r="AM320">
        <f>IF(AK320="","",AK320+2*AL320)</f>
        <v>0</v>
      </c>
      <c r="AN320">
        <f>IF(AK320="","",AK320-2*AL320)</f>
        <v>0</v>
      </c>
      <c r="AO320">
        <f>IF(OR(AM320="",AN320="",AM320=AN320),"",($E320-AN320)/(AM320-AN320))</f>
        <v>0</v>
      </c>
      <c r="AP320">
        <f>IF(OR(AM320="",AK320="",AK320=0),"",(AM320-AN320)/AK320)</f>
        <v>0</v>
      </c>
      <c r="AQ320">
        <f>IF(COUNT($E$2:$E320)&lt;20,"",MAX($C$301:$C$320))</f>
        <v>0</v>
      </c>
      <c r="AR320">
        <f>IF(COUNT($E$2:$E320)&lt;20,"",MIN($D$301:$D$320))</f>
        <v>0</v>
      </c>
      <c r="AS320">
        <f>IF(OR(AQ320="",AR320=""),"",(AQ320+AR320)/2)</f>
        <v>0</v>
      </c>
      <c r="AT320">
        <f>IF(COUNT($G$301:$G$320)&lt;20,"",STDEV($G$301:$G$320)*SQRT(52))</f>
        <v>0</v>
      </c>
      <c r="AU320">
        <f>IF(COUNT($E$2:$E320)&lt;9,"",(MAX($C$312:$C$320)+MIN($D$312:$D$320))/2)</f>
        <v>0</v>
      </c>
      <c r="AV320">
        <f>IF(COUNT($E$2:$E320)&lt;26,"",(MAX($C$295:$C$320)+MIN($D$295:$D$320))/2)</f>
        <v>0</v>
      </c>
      <c r="AW320">
        <f>IF(OR(AU320="",AV320=""),"",(AU320+AV320)/2)</f>
        <v>0</v>
      </c>
      <c r="AX320">
        <f>IF(COUNT($E$2:$E320)&lt;52,"",(MAX($C$269:$C$320)+MIN($D$269:$D$320))/2)</f>
        <v>0</v>
      </c>
      <c r="AY320">
        <f>IF(COUNT($E$2:$E320)&lt;20,"",MAX($C$221:$C$320))</f>
        <v>0</v>
      </c>
      <c r="AZ320">
        <f>IF(COUNT($E$2:$E320)&lt;20,"",MIN($D$221:$D$320))</f>
        <v>0</v>
      </c>
      <c r="BA320">
        <f>IF(COUNT($E$2:$E320)&lt;20,"",SLOPE($E$221:$E$320,$F$221:$F$320))</f>
        <v>0</v>
      </c>
      <c r="BB320">
        <f>IF(COUNT($E$2:$E320)&lt;20,"",INTERCEPT($E$221:$E$320,$F$221:$F$320))</f>
        <v>0</v>
      </c>
      <c r="BC320">
        <f>IF(OR(BA320="",BB320=""),"",BB320+BA320*F320)</f>
        <v>0</v>
      </c>
      <c r="BD320">
        <f>IF(COUNT($E$2:$E320)&lt;20,"",STEYX($E$221:$E$320,$F$221:$F$320))</f>
        <v>0</v>
      </c>
      <c r="BE320">
        <f>IF($E320="","",IF(AND(COUNT($E$321:$E$324)&gt;=4,$C320=MAX($C$316:$C$324)),$C320,""))</f>
        <v>0</v>
      </c>
      <c r="BF320">
        <f>IF($E320="","",IF(AND(COUNT($E$321:$E$324)&gt;=4,$D320=MIN($D$316:$D$324)),$D320,""))</f>
        <v>0</v>
      </c>
      <c r="BG320">
        <f>IFERROR(SMALL(Calc_Daily!$BM$2:$BM$2001,319),"")</f>
        <v>0</v>
      </c>
    </row>
    <row r="321" spans="1:59">
      <c r="A321" s="27">
        <f>IF($BG321="","",INDEX(Calc_Daily!$A$2:$A$2001,$BG321))</f>
        <v>0</v>
      </c>
      <c r="B321">
        <f>IF($BG321="","",INDEX(Calc_Daily!$BJ$2:$BJ$2001,$BG321))</f>
        <v>0</v>
      </c>
      <c r="C321">
        <f>IF($BG321="","",INDEX(Calc_Daily!$BK$2:$BK$2001,$BG321))</f>
        <v>0</v>
      </c>
      <c r="D321">
        <f>IF($BG321="","",INDEX(Calc_Daily!$BL$2:$BL$2001,$BG321))</f>
        <v>0</v>
      </c>
      <c r="E321">
        <f>IF($BG321="","",INDEX(Calc_Daily!$E$2:$E$2001,$BG321))</f>
        <v>0</v>
      </c>
      <c r="F321">
        <f>IF($E321="","",N(F320)+1)</f>
        <v>0</v>
      </c>
      <c r="G321">
        <f>IF(OR($E321="",$E320=""),"",LN($E321/$E320))</f>
        <v>0</v>
      </c>
      <c r="H321">
        <f>IF($E321="","",IF($E320="",$E321,$E321*0.0952380952+H320*0.9047619048))</f>
        <v>0</v>
      </c>
      <c r="I321">
        <f>IF($E321="","",IF($E320="",$E321,$E321*0.0392156863+I320*0.9607843137))</f>
        <v>0</v>
      </c>
      <c r="J321">
        <f>IF($E321="","",IF($E320="",$E321,$E321*0.0198019802+J320*0.9801980198))</f>
        <v>0</v>
      </c>
      <c r="K321">
        <f>IF($E321="","",IF($E320="",$E321,$E321*0.0099502488+K320*0.9900497512))</f>
        <v>0</v>
      </c>
      <c r="L321">
        <f>IF(OR($E321="",$E320=""),"",MAX($E321-$E320,0))</f>
        <v>0</v>
      </c>
      <c r="M321">
        <f>IF(OR($E321="",$E320=""),"",MAX($E320-$E321,0))</f>
        <v>0</v>
      </c>
      <c r="N321">
        <f>IF(COUNT($E$2:$E321)&lt;15,"",IF(AVERAGE($M$308:$M$321)=0,100,100-100/(1+AVERAGE($L$308:$L$321)/AVERAGE($M$308:$M$321))))</f>
        <v>0</v>
      </c>
      <c r="O321">
        <f>IF($E321="","",IF($E320="",$E321,$E321*0.1538461538+O320*0.8461538462))</f>
        <v>0</v>
      </c>
      <c r="P321">
        <f>IF($E321="","",IF($E320="",$E321,$E321*0.0740740741+P320*0.9259259259))</f>
        <v>0</v>
      </c>
      <c r="Q321">
        <f>IF(OR(O321="",P321=""),"",O321-P321)</f>
        <v>0</v>
      </c>
      <c r="R321">
        <f>IF(Q321="","",IF(R320="",Q321,Q321*0.2000000000+R320*0.8000000000))</f>
        <v>0</v>
      </c>
      <c r="S321">
        <f>IF(OR(Q321="",R321=""),"",Q321-R321)</f>
        <v>0</v>
      </c>
      <c r="T321">
        <f>IF(COUNT($E$2:$E321)&lt;14,"",MAX($C$308:$C$321))</f>
        <v>0</v>
      </c>
      <c r="U321">
        <f>IF(COUNT($E$2:$E321)&lt;14,"",MIN($D$308:$D$321))</f>
        <v>0</v>
      </c>
      <c r="V321">
        <f>IF(OR(T321="",U321="",T321=U321),"",100*($E321-U321)/(T321-U321))</f>
        <v>0</v>
      </c>
      <c r="W321">
        <f>IF(COUNT($V$319:$V$321)&lt;3,"",AVERAGE($V$319:$V$321))</f>
        <v>0</v>
      </c>
      <c r="X321">
        <f>IF(COUNT($N$308:$N$321)&lt;14,"",MIN($N$308:$N$321))</f>
        <v>0</v>
      </c>
      <c r="Y321">
        <f>IF(COUNT($N$308:$N$321)&lt;14,"",MAX($N$308:$N$321))</f>
        <v>0</v>
      </c>
      <c r="Z321">
        <f>IF(OR(N321="",X321="",Y321="",Y321=X321),"",100*(N321-X321)/(Y321-X321))</f>
        <v>0</v>
      </c>
      <c r="AA321">
        <f>IF(COUNT($Z$319:$Z$321)&lt;3,"",AVERAGE($Z$319:$Z$321))</f>
        <v>0</v>
      </c>
      <c r="AB321">
        <f>IF(COUNT($AA$319:$AA$321)&lt;3,"",AVERAGE($AA$319:$AA$321))</f>
        <v>0</v>
      </c>
      <c r="AC321">
        <f>IF($E321="","",MAX($C321-$D321,ABS($C321-$E320),ABS($D321-$E320)))</f>
        <v>0</v>
      </c>
      <c r="AD321">
        <f>IF(COUNT($E$2:$E321)&lt;15,"",AVERAGE($AC$308:$AC$321))</f>
        <v>0</v>
      </c>
      <c r="AE321">
        <f>IF(OR($E321="",$E320=""),"",IF(AND(($C321-$C320)&gt;($D320-$D321),($C321-$C320)&gt;0),$C321-$C320,0))</f>
        <v>0</v>
      </c>
      <c r="AF321">
        <f>IF(OR($E321="",$E320=""),"",IF(AND(($D320-$D321)&gt;($C321-$C320),($D320-$D321)&gt;0),$D320-$D321,0))</f>
        <v>0</v>
      </c>
      <c r="AG321">
        <f>IF(COUNT($E$2:$E321)&lt;15,"",IF(SUM($AC$308:$AC$321)=0,0,100*SUM($AE$308:$AE$321)/SUM($AC$308:$AC$321)))</f>
        <v>0</v>
      </c>
      <c r="AH321">
        <f>IF(COUNT($E$2:$E321)&lt;15,"",IF(SUM($AC$308:$AC$321)=0,0,100*SUM($AF$308:$AF$321)/SUM($AC$308:$AC$321)))</f>
        <v>0</v>
      </c>
      <c r="AI321">
        <f>IF(OR(AG321="",AH321=""),"",IF((AG321+AH321)=0,0,100*ABS(AG321-AH321)/(AG321+AH321)))</f>
        <v>0</v>
      </c>
      <c r="AJ321">
        <f>IF(COUNT($AI$308:$AI$321)&lt;14,"",AVERAGE($AI$308:$AI$321))</f>
        <v>0</v>
      </c>
      <c r="AK321">
        <f>IF(COUNT($E$2:$E321)&lt;20,"",AVERAGE($E$302:$E$321))</f>
        <v>0</v>
      </c>
      <c r="AL321">
        <f>IF(COUNT($E$2:$E321)&lt;20,"",STDEVP($E$302:$E$321))</f>
        <v>0</v>
      </c>
      <c r="AM321">
        <f>IF(AK321="","",AK321+2*AL321)</f>
        <v>0</v>
      </c>
      <c r="AN321">
        <f>IF(AK321="","",AK321-2*AL321)</f>
        <v>0</v>
      </c>
      <c r="AO321">
        <f>IF(OR(AM321="",AN321="",AM321=AN321),"",($E321-AN321)/(AM321-AN321))</f>
        <v>0</v>
      </c>
      <c r="AP321">
        <f>IF(OR(AM321="",AK321="",AK321=0),"",(AM321-AN321)/AK321)</f>
        <v>0</v>
      </c>
      <c r="AQ321">
        <f>IF(COUNT($E$2:$E321)&lt;20,"",MAX($C$302:$C$321))</f>
        <v>0</v>
      </c>
      <c r="AR321">
        <f>IF(COUNT($E$2:$E321)&lt;20,"",MIN($D$302:$D$321))</f>
        <v>0</v>
      </c>
      <c r="AS321">
        <f>IF(OR(AQ321="",AR321=""),"",(AQ321+AR321)/2)</f>
        <v>0</v>
      </c>
      <c r="AT321">
        <f>IF(COUNT($G$302:$G$321)&lt;20,"",STDEV($G$302:$G$321)*SQRT(52))</f>
        <v>0</v>
      </c>
      <c r="AU321">
        <f>IF(COUNT($E$2:$E321)&lt;9,"",(MAX($C$313:$C$321)+MIN($D$313:$D$321))/2)</f>
        <v>0</v>
      </c>
      <c r="AV321">
        <f>IF(COUNT($E$2:$E321)&lt;26,"",(MAX($C$296:$C$321)+MIN($D$296:$D$321))/2)</f>
        <v>0</v>
      </c>
      <c r="AW321">
        <f>IF(OR(AU321="",AV321=""),"",(AU321+AV321)/2)</f>
        <v>0</v>
      </c>
      <c r="AX321">
        <f>IF(COUNT($E$2:$E321)&lt;52,"",(MAX($C$270:$C$321)+MIN($D$270:$D$321))/2)</f>
        <v>0</v>
      </c>
      <c r="AY321">
        <f>IF(COUNT($E$2:$E321)&lt;20,"",MAX($C$222:$C$321))</f>
        <v>0</v>
      </c>
      <c r="AZ321">
        <f>IF(COUNT($E$2:$E321)&lt;20,"",MIN($D$222:$D$321))</f>
        <v>0</v>
      </c>
      <c r="BA321">
        <f>IF(COUNT($E$2:$E321)&lt;20,"",SLOPE($E$222:$E$321,$F$222:$F$321))</f>
        <v>0</v>
      </c>
      <c r="BB321">
        <f>IF(COUNT($E$2:$E321)&lt;20,"",INTERCEPT($E$222:$E$321,$F$222:$F$321))</f>
        <v>0</v>
      </c>
      <c r="BC321">
        <f>IF(OR(BA321="",BB321=""),"",BB321+BA321*F321)</f>
        <v>0</v>
      </c>
      <c r="BD321">
        <f>IF(COUNT($E$2:$E321)&lt;20,"",STEYX($E$222:$E$321,$F$222:$F$321))</f>
        <v>0</v>
      </c>
      <c r="BE321">
        <f>IF($E321="","",IF(AND(COUNT($E$322:$E$325)&gt;=4,$C321=MAX($C$317:$C$325)),$C321,""))</f>
        <v>0</v>
      </c>
      <c r="BF321">
        <f>IF($E321="","",IF(AND(COUNT($E$322:$E$325)&gt;=4,$D321=MIN($D$317:$D$325)),$D321,""))</f>
        <v>0</v>
      </c>
      <c r="BG321">
        <f>IFERROR(SMALL(Calc_Daily!$BM$2:$BM$2001,320),"")</f>
        <v>0</v>
      </c>
    </row>
    <row r="322" spans="1:59">
      <c r="A322" s="27">
        <f>IF($BG322="","",INDEX(Calc_Daily!$A$2:$A$2001,$BG322))</f>
        <v>0</v>
      </c>
      <c r="B322">
        <f>IF($BG322="","",INDEX(Calc_Daily!$BJ$2:$BJ$2001,$BG322))</f>
        <v>0</v>
      </c>
      <c r="C322">
        <f>IF($BG322="","",INDEX(Calc_Daily!$BK$2:$BK$2001,$BG322))</f>
        <v>0</v>
      </c>
      <c r="D322">
        <f>IF($BG322="","",INDEX(Calc_Daily!$BL$2:$BL$2001,$BG322))</f>
        <v>0</v>
      </c>
      <c r="E322">
        <f>IF($BG322="","",INDEX(Calc_Daily!$E$2:$E$2001,$BG322))</f>
        <v>0</v>
      </c>
      <c r="F322">
        <f>IF($E322="","",N(F321)+1)</f>
        <v>0</v>
      </c>
      <c r="G322">
        <f>IF(OR($E322="",$E321=""),"",LN($E322/$E321))</f>
        <v>0</v>
      </c>
      <c r="H322">
        <f>IF($E322="","",IF($E321="",$E322,$E322*0.0952380952+H321*0.9047619048))</f>
        <v>0</v>
      </c>
      <c r="I322">
        <f>IF($E322="","",IF($E321="",$E322,$E322*0.0392156863+I321*0.9607843137))</f>
        <v>0</v>
      </c>
      <c r="J322">
        <f>IF($E322="","",IF($E321="",$E322,$E322*0.0198019802+J321*0.9801980198))</f>
        <v>0</v>
      </c>
      <c r="K322">
        <f>IF($E322="","",IF($E321="",$E322,$E322*0.0099502488+K321*0.9900497512))</f>
        <v>0</v>
      </c>
      <c r="L322">
        <f>IF(OR($E322="",$E321=""),"",MAX($E322-$E321,0))</f>
        <v>0</v>
      </c>
      <c r="M322">
        <f>IF(OR($E322="",$E321=""),"",MAX($E321-$E322,0))</f>
        <v>0</v>
      </c>
      <c r="N322">
        <f>IF(COUNT($E$2:$E322)&lt;15,"",IF(AVERAGE($M$309:$M$322)=0,100,100-100/(1+AVERAGE($L$309:$L$322)/AVERAGE($M$309:$M$322))))</f>
        <v>0</v>
      </c>
      <c r="O322">
        <f>IF($E322="","",IF($E321="",$E322,$E322*0.1538461538+O321*0.8461538462))</f>
        <v>0</v>
      </c>
      <c r="P322">
        <f>IF($E322="","",IF($E321="",$E322,$E322*0.0740740741+P321*0.9259259259))</f>
        <v>0</v>
      </c>
      <c r="Q322">
        <f>IF(OR(O322="",P322=""),"",O322-P322)</f>
        <v>0</v>
      </c>
      <c r="R322">
        <f>IF(Q322="","",IF(R321="",Q322,Q322*0.2000000000+R321*0.8000000000))</f>
        <v>0</v>
      </c>
      <c r="S322">
        <f>IF(OR(Q322="",R322=""),"",Q322-R322)</f>
        <v>0</v>
      </c>
      <c r="T322">
        <f>IF(COUNT($E$2:$E322)&lt;14,"",MAX($C$309:$C$322))</f>
        <v>0</v>
      </c>
      <c r="U322">
        <f>IF(COUNT($E$2:$E322)&lt;14,"",MIN($D$309:$D$322))</f>
        <v>0</v>
      </c>
      <c r="V322">
        <f>IF(OR(T322="",U322="",T322=U322),"",100*($E322-U322)/(T322-U322))</f>
        <v>0</v>
      </c>
      <c r="W322">
        <f>IF(COUNT($V$320:$V$322)&lt;3,"",AVERAGE($V$320:$V$322))</f>
        <v>0</v>
      </c>
      <c r="X322">
        <f>IF(COUNT($N$309:$N$322)&lt;14,"",MIN($N$309:$N$322))</f>
        <v>0</v>
      </c>
      <c r="Y322">
        <f>IF(COUNT($N$309:$N$322)&lt;14,"",MAX($N$309:$N$322))</f>
        <v>0</v>
      </c>
      <c r="Z322">
        <f>IF(OR(N322="",X322="",Y322="",Y322=X322),"",100*(N322-X322)/(Y322-X322))</f>
        <v>0</v>
      </c>
      <c r="AA322">
        <f>IF(COUNT($Z$320:$Z$322)&lt;3,"",AVERAGE($Z$320:$Z$322))</f>
        <v>0</v>
      </c>
      <c r="AB322">
        <f>IF(COUNT($AA$320:$AA$322)&lt;3,"",AVERAGE($AA$320:$AA$322))</f>
        <v>0</v>
      </c>
      <c r="AC322">
        <f>IF($E322="","",MAX($C322-$D322,ABS($C322-$E321),ABS($D322-$E321)))</f>
        <v>0</v>
      </c>
      <c r="AD322">
        <f>IF(COUNT($E$2:$E322)&lt;15,"",AVERAGE($AC$309:$AC$322))</f>
        <v>0</v>
      </c>
      <c r="AE322">
        <f>IF(OR($E322="",$E321=""),"",IF(AND(($C322-$C321)&gt;($D321-$D322),($C322-$C321)&gt;0),$C322-$C321,0))</f>
        <v>0</v>
      </c>
      <c r="AF322">
        <f>IF(OR($E322="",$E321=""),"",IF(AND(($D321-$D322)&gt;($C322-$C321),($D321-$D322)&gt;0),$D321-$D322,0))</f>
        <v>0</v>
      </c>
      <c r="AG322">
        <f>IF(COUNT($E$2:$E322)&lt;15,"",IF(SUM($AC$309:$AC$322)=0,0,100*SUM($AE$309:$AE$322)/SUM($AC$309:$AC$322)))</f>
        <v>0</v>
      </c>
      <c r="AH322">
        <f>IF(COUNT($E$2:$E322)&lt;15,"",IF(SUM($AC$309:$AC$322)=0,0,100*SUM($AF$309:$AF$322)/SUM($AC$309:$AC$322)))</f>
        <v>0</v>
      </c>
      <c r="AI322">
        <f>IF(OR(AG322="",AH322=""),"",IF((AG322+AH322)=0,0,100*ABS(AG322-AH322)/(AG322+AH322)))</f>
        <v>0</v>
      </c>
      <c r="AJ322">
        <f>IF(COUNT($AI$309:$AI$322)&lt;14,"",AVERAGE($AI$309:$AI$322))</f>
        <v>0</v>
      </c>
      <c r="AK322">
        <f>IF(COUNT($E$2:$E322)&lt;20,"",AVERAGE($E$303:$E$322))</f>
        <v>0</v>
      </c>
      <c r="AL322">
        <f>IF(COUNT($E$2:$E322)&lt;20,"",STDEVP($E$303:$E$322))</f>
        <v>0</v>
      </c>
      <c r="AM322">
        <f>IF(AK322="","",AK322+2*AL322)</f>
        <v>0</v>
      </c>
      <c r="AN322">
        <f>IF(AK322="","",AK322-2*AL322)</f>
        <v>0</v>
      </c>
      <c r="AO322">
        <f>IF(OR(AM322="",AN322="",AM322=AN322),"",($E322-AN322)/(AM322-AN322))</f>
        <v>0</v>
      </c>
      <c r="AP322">
        <f>IF(OR(AM322="",AK322="",AK322=0),"",(AM322-AN322)/AK322)</f>
        <v>0</v>
      </c>
      <c r="AQ322">
        <f>IF(COUNT($E$2:$E322)&lt;20,"",MAX($C$303:$C$322))</f>
        <v>0</v>
      </c>
      <c r="AR322">
        <f>IF(COUNT($E$2:$E322)&lt;20,"",MIN($D$303:$D$322))</f>
        <v>0</v>
      </c>
      <c r="AS322">
        <f>IF(OR(AQ322="",AR322=""),"",(AQ322+AR322)/2)</f>
        <v>0</v>
      </c>
      <c r="AT322">
        <f>IF(COUNT($G$303:$G$322)&lt;20,"",STDEV($G$303:$G$322)*SQRT(52))</f>
        <v>0</v>
      </c>
      <c r="AU322">
        <f>IF(COUNT($E$2:$E322)&lt;9,"",(MAX($C$314:$C$322)+MIN($D$314:$D$322))/2)</f>
        <v>0</v>
      </c>
      <c r="AV322">
        <f>IF(COUNT($E$2:$E322)&lt;26,"",(MAX($C$297:$C$322)+MIN($D$297:$D$322))/2)</f>
        <v>0</v>
      </c>
      <c r="AW322">
        <f>IF(OR(AU322="",AV322=""),"",(AU322+AV322)/2)</f>
        <v>0</v>
      </c>
      <c r="AX322">
        <f>IF(COUNT($E$2:$E322)&lt;52,"",(MAX($C$271:$C$322)+MIN($D$271:$D$322))/2)</f>
        <v>0</v>
      </c>
      <c r="AY322">
        <f>IF(COUNT($E$2:$E322)&lt;20,"",MAX($C$223:$C$322))</f>
        <v>0</v>
      </c>
      <c r="AZ322">
        <f>IF(COUNT($E$2:$E322)&lt;20,"",MIN($D$223:$D$322))</f>
        <v>0</v>
      </c>
      <c r="BA322">
        <f>IF(COUNT($E$2:$E322)&lt;20,"",SLOPE($E$223:$E$322,$F$223:$F$322))</f>
        <v>0</v>
      </c>
      <c r="BB322">
        <f>IF(COUNT($E$2:$E322)&lt;20,"",INTERCEPT($E$223:$E$322,$F$223:$F$322))</f>
        <v>0</v>
      </c>
      <c r="BC322">
        <f>IF(OR(BA322="",BB322=""),"",BB322+BA322*F322)</f>
        <v>0</v>
      </c>
      <c r="BD322">
        <f>IF(COUNT($E$2:$E322)&lt;20,"",STEYX($E$223:$E$322,$F$223:$F$322))</f>
        <v>0</v>
      </c>
      <c r="BE322">
        <f>IF($E322="","",IF(AND(COUNT($E$323:$E$326)&gt;=4,$C322=MAX($C$318:$C$326)),$C322,""))</f>
        <v>0</v>
      </c>
      <c r="BF322">
        <f>IF($E322="","",IF(AND(COUNT($E$323:$E$326)&gt;=4,$D322=MIN($D$318:$D$326)),$D322,""))</f>
        <v>0</v>
      </c>
      <c r="BG322">
        <f>IFERROR(SMALL(Calc_Daily!$BM$2:$BM$2001,321),"")</f>
        <v>0</v>
      </c>
    </row>
    <row r="323" spans="1:59">
      <c r="A323" s="27">
        <f>IF($BG323="","",INDEX(Calc_Daily!$A$2:$A$2001,$BG323))</f>
        <v>0</v>
      </c>
      <c r="B323">
        <f>IF($BG323="","",INDEX(Calc_Daily!$BJ$2:$BJ$2001,$BG323))</f>
        <v>0</v>
      </c>
      <c r="C323">
        <f>IF($BG323="","",INDEX(Calc_Daily!$BK$2:$BK$2001,$BG323))</f>
        <v>0</v>
      </c>
      <c r="D323">
        <f>IF($BG323="","",INDEX(Calc_Daily!$BL$2:$BL$2001,$BG323))</f>
        <v>0</v>
      </c>
      <c r="E323">
        <f>IF($BG323="","",INDEX(Calc_Daily!$E$2:$E$2001,$BG323))</f>
        <v>0</v>
      </c>
      <c r="F323">
        <f>IF($E323="","",N(F322)+1)</f>
        <v>0</v>
      </c>
      <c r="G323">
        <f>IF(OR($E323="",$E322=""),"",LN($E323/$E322))</f>
        <v>0</v>
      </c>
      <c r="H323">
        <f>IF($E323="","",IF($E322="",$E323,$E323*0.0952380952+H322*0.9047619048))</f>
        <v>0</v>
      </c>
      <c r="I323">
        <f>IF($E323="","",IF($E322="",$E323,$E323*0.0392156863+I322*0.9607843137))</f>
        <v>0</v>
      </c>
      <c r="J323">
        <f>IF($E323="","",IF($E322="",$E323,$E323*0.0198019802+J322*0.9801980198))</f>
        <v>0</v>
      </c>
      <c r="K323">
        <f>IF($E323="","",IF($E322="",$E323,$E323*0.0099502488+K322*0.9900497512))</f>
        <v>0</v>
      </c>
      <c r="L323">
        <f>IF(OR($E323="",$E322=""),"",MAX($E323-$E322,0))</f>
        <v>0</v>
      </c>
      <c r="M323">
        <f>IF(OR($E323="",$E322=""),"",MAX($E322-$E323,0))</f>
        <v>0</v>
      </c>
      <c r="N323">
        <f>IF(COUNT($E$2:$E323)&lt;15,"",IF(AVERAGE($M$310:$M$323)=0,100,100-100/(1+AVERAGE($L$310:$L$323)/AVERAGE($M$310:$M$323))))</f>
        <v>0</v>
      </c>
      <c r="O323">
        <f>IF($E323="","",IF($E322="",$E323,$E323*0.1538461538+O322*0.8461538462))</f>
        <v>0</v>
      </c>
      <c r="P323">
        <f>IF($E323="","",IF($E322="",$E323,$E323*0.0740740741+P322*0.9259259259))</f>
        <v>0</v>
      </c>
      <c r="Q323">
        <f>IF(OR(O323="",P323=""),"",O323-P323)</f>
        <v>0</v>
      </c>
      <c r="R323">
        <f>IF(Q323="","",IF(R322="",Q323,Q323*0.2000000000+R322*0.8000000000))</f>
        <v>0</v>
      </c>
      <c r="S323">
        <f>IF(OR(Q323="",R323=""),"",Q323-R323)</f>
        <v>0</v>
      </c>
      <c r="T323">
        <f>IF(COUNT($E$2:$E323)&lt;14,"",MAX($C$310:$C$323))</f>
        <v>0</v>
      </c>
      <c r="U323">
        <f>IF(COUNT($E$2:$E323)&lt;14,"",MIN($D$310:$D$323))</f>
        <v>0</v>
      </c>
      <c r="V323">
        <f>IF(OR(T323="",U323="",T323=U323),"",100*($E323-U323)/(T323-U323))</f>
        <v>0</v>
      </c>
      <c r="W323">
        <f>IF(COUNT($V$321:$V$323)&lt;3,"",AVERAGE($V$321:$V$323))</f>
        <v>0</v>
      </c>
      <c r="X323">
        <f>IF(COUNT($N$310:$N$323)&lt;14,"",MIN($N$310:$N$323))</f>
        <v>0</v>
      </c>
      <c r="Y323">
        <f>IF(COUNT($N$310:$N$323)&lt;14,"",MAX($N$310:$N$323))</f>
        <v>0</v>
      </c>
      <c r="Z323">
        <f>IF(OR(N323="",X323="",Y323="",Y323=X323),"",100*(N323-X323)/(Y323-X323))</f>
        <v>0</v>
      </c>
      <c r="AA323">
        <f>IF(COUNT($Z$321:$Z$323)&lt;3,"",AVERAGE($Z$321:$Z$323))</f>
        <v>0</v>
      </c>
      <c r="AB323">
        <f>IF(COUNT($AA$321:$AA$323)&lt;3,"",AVERAGE($AA$321:$AA$323))</f>
        <v>0</v>
      </c>
      <c r="AC323">
        <f>IF($E323="","",MAX($C323-$D323,ABS($C323-$E322),ABS($D323-$E322)))</f>
        <v>0</v>
      </c>
      <c r="AD323">
        <f>IF(COUNT($E$2:$E323)&lt;15,"",AVERAGE($AC$310:$AC$323))</f>
        <v>0</v>
      </c>
      <c r="AE323">
        <f>IF(OR($E323="",$E322=""),"",IF(AND(($C323-$C322)&gt;($D322-$D323),($C323-$C322)&gt;0),$C323-$C322,0))</f>
        <v>0</v>
      </c>
      <c r="AF323">
        <f>IF(OR($E323="",$E322=""),"",IF(AND(($D322-$D323)&gt;($C323-$C322),($D322-$D323)&gt;0),$D322-$D323,0))</f>
        <v>0</v>
      </c>
      <c r="AG323">
        <f>IF(COUNT($E$2:$E323)&lt;15,"",IF(SUM($AC$310:$AC$323)=0,0,100*SUM($AE$310:$AE$323)/SUM($AC$310:$AC$323)))</f>
        <v>0</v>
      </c>
      <c r="AH323">
        <f>IF(COUNT($E$2:$E323)&lt;15,"",IF(SUM($AC$310:$AC$323)=0,0,100*SUM($AF$310:$AF$323)/SUM($AC$310:$AC$323)))</f>
        <v>0</v>
      </c>
      <c r="AI323">
        <f>IF(OR(AG323="",AH323=""),"",IF((AG323+AH323)=0,0,100*ABS(AG323-AH323)/(AG323+AH323)))</f>
        <v>0</v>
      </c>
      <c r="AJ323">
        <f>IF(COUNT($AI$310:$AI$323)&lt;14,"",AVERAGE($AI$310:$AI$323))</f>
        <v>0</v>
      </c>
      <c r="AK323">
        <f>IF(COUNT($E$2:$E323)&lt;20,"",AVERAGE($E$304:$E$323))</f>
        <v>0</v>
      </c>
      <c r="AL323">
        <f>IF(COUNT($E$2:$E323)&lt;20,"",STDEVP($E$304:$E$323))</f>
        <v>0</v>
      </c>
      <c r="AM323">
        <f>IF(AK323="","",AK323+2*AL323)</f>
        <v>0</v>
      </c>
      <c r="AN323">
        <f>IF(AK323="","",AK323-2*AL323)</f>
        <v>0</v>
      </c>
      <c r="AO323">
        <f>IF(OR(AM323="",AN323="",AM323=AN323),"",($E323-AN323)/(AM323-AN323))</f>
        <v>0</v>
      </c>
      <c r="AP323">
        <f>IF(OR(AM323="",AK323="",AK323=0),"",(AM323-AN323)/AK323)</f>
        <v>0</v>
      </c>
      <c r="AQ323">
        <f>IF(COUNT($E$2:$E323)&lt;20,"",MAX($C$304:$C$323))</f>
        <v>0</v>
      </c>
      <c r="AR323">
        <f>IF(COUNT($E$2:$E323)&lt;20,"",MIN($D$304:$D$323))</f>
        <v>0</v>
      </c>
      <c r="AS323">
        <f>IF(OR(AQ323="",AR323=""),"",(AQ323+AR323)/2)</f>
        <v>0</v>
      </c>
      <c r="AT323">
        <f>IF(COUNT($G$304:$G$323)&lt;20,"",STDEV($G$304:$G$323)*SQRT(52))</f>
        <v>0</v>
      </c>
      <c r="AU323">
        <f>IF(COUNT($E$2:$E323)&lt;9,"",(MAX($C$315:$C$323)+MIN($D$315:$D$323))/2)</f>
        <v>0</v>
      </c>
      <c r="AV323">
        <f>IF(COUNT($E$2:$E323)&lt;26,"",(MAX($C$298:$C$323)+MIN($D$298:$D$323))/2)</f>
        <v>0</v>
      </c>
      <c r="AW323">
        <f>IF(OR(AU323="",AV323=""),"",(AU323+AV323)/2)</f>
        <v>0</v>
      </c>
      <c r="AX323">
        <f>IF(COUNT($E$2:$E323)&lt;52,"",(MAX($C$272:$C$323)+MIN($D$272:$D$323))/2)</f>
        <v>0</v>
      </c>
      <c r="AY323">
        <f>IF(COUNT($E$2:$E323)&lt;20,"",MAX($C$224:$C$323))</f>
        <v>0</v>
      </c>
      <c r="AZ323">
        <f>IF(COUNT($E$2:$E323)&lt;20,"",MIN($D$224:$D$323))</f>
        <v>0</v>
      </c>
      <c r="BA323">
        <f>IF(COUNT($E$2:$E323)&lt;20,"",SLOPE($E$224:$E$323,$F$224:$F$323))</f>
        <v>0</v>
      </c>
      <c r="BB323">
        <f>IF(COUNT($E$2:$E323)&lt;20,"",INTERCEPT($E$224:$E$323,$F$224:$F$323))</f>
        <v>0</v>
      </c>
      <c r="BC323">
        <f>IF(OR(BA323="",BB323=""),"",BB323+BA323*F323)</f>
        <v>0</v>
      </c>
      <c r="BD323">
        <f>IF(COUNT($E$2:$E323)&lt;20,"",STEYX($E$224:$E$323,$F$224:$F$323))</f>
        <v>0</v>
      </c>
      <c r="BE323">
        <f>IF($E323="","",IF(AND(COUNT($E$324:$E$327)&gt;=4,$C323=MAX($C$319:$C$327)),$C323,""))</f>
        <v>0</v>
      </c>
      <c r="BF323">
        <f>IF($E323="","",IF(AND(COUNT($E$324:$E$327)&gt;=4,$D323=MIN($D$319:$D$327)),$D323,""))</f>
        <v>0</v>
      </c>
      <c r="BG323">
        <f>IFERROR(SMALL(Calc_Daily!$BM$2:$BM$2001,322),"")</f>
        <v>0</v>
      </c>
    </row>
    <row r="324" spans="1:59">
      <c r="A324" s="27">
        <f>IF($BG324="","",INDEX(Calc_Daily!$A$2:$A$2001,$BG324))</f>
        <v>0</v>
      </c>
      <c r="B324">
        <f>IF($BG324="","",INDEX(Calc_Daily!$BJ$2:$BJ$2001,$BG324))</f>
        <v>0</v>
      </c>
      <c r="C324">
        <f>IF($BG324="","",INDEX(Calc_Daily!$BK$2:$BK$2001,$BG324))</f>
        <v>0</v>
      </c>
      <c r="D324">
        <f>IF($BG324="","",INDEX(Calc_Daily!$BL$2:$BL$2001,$BG324))</f>
        <v>0</v>
      </c>
      <c r="E324">
        <f>IF($BG324="","",INDEX(Calc_Daily!$E$2:$E$2001,$BG324))</f>
        <v>0</v>
      </c>
      <c r="F324">
        <f>IF($E324="","",N(F323)+1)</f>
        <v>0</v>
      </c>
      <c r="G324">
        <f>IF(OR($E324="",$E323=""),"",LN($E324/$E323))</f>
        <v>0</v>
      </c>
      <c r="H324">
        <f>IF($E324="","",IF($E323="",$E324,$E324*0.0952380952+H323*0.9047619048))</f>
        <v>0</v>
      </c>
      <c r="I324">
        <f>IF($E324="","",IF($E323="",$E324,$E324*0.0392156863+I323*0.9607843137))</f>
        <v>0</v>
      </c>
      <c r="J324">
        <f>IF($E324="","",IF($E323="",$E324,$E324*0.0198019802+J323*0.9801980198))</f>
        <v>0</v>
      </c>
      <c r="K324">
        <f>IF($E324="","",IF($E323="",$E324,$E324*0.0099502488+K323*0.9900497512))</f>
        <v>0</v>
      </c>
      <c r="L324">
        <f>IF(OR($E324="",$E323=""),"",MAX($E324-$E323,0))</f>
        <v>0</v>
      </c>
      <c r="M324">
        <f>IF(OR($E324="",$E323=""),"",MAX($E323-$E324,0))</f>
        <v>0</v>
      </c>
      <c r="N324">
        <f>IF(COUNT($E$2:$E324)&lt;15,"",IF(AVERAGE($M$311:$M$324)=0,100,100-100/(1+AVERAGE($L$311:$L$324)/AVERAGE($M$311:$M$324))))</f>
        <v>0</v>
      </c>
      <c r="O324">
        <f>IF($E324="","",IF($E323="",$E324,$E324*0.1538461538+O323*0.8461538462))</f>
        <v>0</v>
      </c>
      <c r="P324">
        <f>IF($E324="","",IF($E323="",$E324,$E324*0.0740740741+P323*0.9259259259))</f>
        <v>0</v>
      </c>
      <c r="Q324">
        <f>IF(OR(O324="",P324=""),"",O324-P324)</f>
        <v>0</v>
      </c>
      <c r="R324">
        <f>IF(Q324="","",IF(R323="",Q324,Q324*0.2000000000+R323*0.8000000000))</f>
        <v>0</v>
      </c>
      <c r="S324">
        <f>IF(OR(Q324="",R324=""),"",Q324-R324)</f>
        <v>0</v>
      </c>
      <c r="T324">
        <f>IF(COUNT($E$2:$E324)&lt;14,"",MAX($C$311:$C$324))</f>
        <v>0</v>
      </c>
      <c r="U324">
        <f>IF(COUNT($E$2:$E324)&lt;14,"",MIN($D$311:$D$324))</f>
        <v>0</v>
      </c>
      <c r="V324">
        <f>IF(OR(T324="",U324="",T324=U324),"",100*($E324-U324)/(T324-U324))</f>
        <v>0</v>
      </c>
      <c r="W324">
        <f>IF(COUNT($V$322:$V$324)&lt;3,"",AVERAGE($V$322:$V$324))</f>
        <v>0</v>
      </c>
      <c r="X324">
        <f>IF(COUNT($N$311:$N$324)&lt;14,"",MIN($N$311:$N$324))</f>
        <v>0</v>
      </c>
      <c r="Y324">
        <f>IF(COUNT($N$311:$N$324)&lt;14,"",MAX($N$311:$N$324))</f>
        <v>0</v>
      </c>
      <c r="Z324">
        <f>IF(OR(N324="",X324="",Y324="",Y324=X324),"",100*(N324-X324)/(Y324-X324))</f>
        <v>0</v>
      </c>
      <c r="AA324">
        <f>IF(COUNT($Z$322:$Z$324)&lt;3,"",AVERAGE($Z$322:$Z$324))</f>
        <v>0</v>
      </c>
      <c r="AB324">
        <f>IF(COUNT($AA$322:$AA$324)&lt;3,"",AVERAGE($AA$322:$AA$324))</f>
        <v>0</v>
      </c>
      <c r="AC324">
        <f>IF($E324="","",MAX($C324-$D324,ABS($C324-$E323),ABS($D324-$E323)))</f>
        <v>0</v>
      </c>
      <c r="AD324">
        <f>IF(COUNT($E$2:$E324)&lt;15,"",AVERAGE($AC$311:$AC$324))</f>
        <v>0</v>
      </c>
      <c r="AE324">
        <f>IF(OR($E324="",$E323=""),"",IF(AND(($C324-$C323)&gt;($D323-$D324),($C324-$C323)&gt;0),$C324-$C323,0))</f>
        <v>0</v>
      </c>
      <c r="AF324">
        <f>IF(OR($E324="",$E323=""),"",IF(AND(($D323-$D324)&gt;($C324-$C323),($D323-$D324)&gt;0),$D323-$D324,0))</f>
        <v>0</v>
      </c>
      <c r="AG324">
        <f>IF(COUNT($E$2:$E324)&lt;15,"",IF(SUM($AC$311:$AC$324)=0,0,100*SUM($AE$311:$AE$324)/SUM($AC$311:$AC$324)))</f>
        <v>0</v>
      </c>
      <c r="AH324">
        <f>IF(COUNT($E$2:$E324)&lt;15,"",IF(SUM($AC$311:$AC$324)=0,0,100*SUM($AF$311:$AF$324)/SUM($AC$311:$AC$324)))</f>
        <v>0</v>
      </c>
      <c r="AI324">
        <f>IF(OR(AG324="",AH324=""),"",IF((AG324+AH324)=0,0,100*ABS(AG324-AH324)/(AG324+AH324)))</f>
        <v>0</v>
      </c>
      <c r="AJ324">
        <f>IF(COUNT($AI$311:$AI$324)&lt;14,"",AVERAGE($AI$311:$AI$324))</f>
        <v>0</v>
      </c>
      <c r="AK324">
        <f>IF(COUNT($E$2:$E324)&lt;20,"",AVERAGE($E$305:$E$324))</f>
        <v>0</v>
      </c>
      <c r="AL324">
        <f>IF(COUNT($E$2:$E324)&lt;20,"",STDEVP($E$305:$E$324))</f>
        <v>0</v>
      </c>
      <c r="AM324">
        <f>IF(AK324="","",AK324+2*AL324)</f>
        <v>0</v>
      </c>
      <c r="AN324">
        <f>IF(AK324="","",AK324-2*AL324)</f>
        <v>0</v>
      </c>
      <c r="AO324">
        <f>IF(OR(AM324="",AN324="",AM324=AN324),"",($E324-AN324)/(AM324-AN324))</f>
        <v>0</v>
      </c>
      <c r="AP324">
        <f>IF(OR(AM324="",AK324="",AK324=0),"",(AM324-AN324)/AK324)</f>
        <v>0</v>
      </c>
      <c r="AQ324">
        <f>IF(COUNT($E$2:$E324)&lt;20,"",MAX($C$305:$C$324))</f>
        <v>0</v>
      </c>
      <c r="AR324">
        <f>IF(COUNT($E$2:$E324)&lt;20,"",MIN($D$305:$D$324))</f>
        <v>0</v>
      </c>
      <c r="AS324">
        <f>IF(OR(AQ324="",AR324=""),"",(AQ324+AR324)/2)</f>
        <v>0</v>
      </c>
      <c r="AT324">
        <f>IF(COUNT($G$305:$G$324)&lt;20,"",STDEV($G$305:$G$324)*SQRT(52))</f>
        <v>0</v>
      </c>
      <c r="AU324">
        <f>IF(COUNT($E$2:$E324)&lt;9,"",(MAX($C$316:$C$324)+MIN($D$316:$D$324))/2)</f>
        <v>0</v>
      </c>
      <c r="AV324">
        <f>IF(COUNT($E$2:$E324)&lt;26,"",(MAX($C$299:$C$324)+MIN($D$299:$D$324))/2)</f>
        <v>0</v>
      </c>
      <c r="AW324">
        <f>IF(OR(AU324="",AV324=""),"",(AU324+AV324)/2)</f>
        <v>0</v>
      </c>
      <c r="AX324">
        <f>IF(COUNT($E$2:$E324)&lt;52,"",(MAX($C$273:$C$324)+MIN($D$273:$D$324))/2)</f>
        <v>0</v>
      </c>
      <c r="AY324">
        <f>IF(COUNT($E$2:$E324)&lt;20,"",MAX($C$225:$C$324))</f>
        <v>0</v>
      </c>
      <c r="AZ324">
        <f>IF(COUNT($E$2:$E324)&lt;20,"",MIN($D$225:$D$324))</f>
        <v>0</v>
      </c>
      <c r="BA324">
        <f>IF(COUNT($E$2:$E324)&lt;20,"",SLOPE($E$225:$E$324,$F$225:$F$324))</f>
        <v>0</v>
      </c>
      <c r="BB324">
        <f>IF(COUNT($E$2:$E324)&lt;20,"",INTERCEPT($E$225:$E$324,$F$225:$F$324))</f>
        <v>0</v>
      </c>
      <c r="BC324">
        <f>IF(OR(BA324="",BB324=""),"",BB324+BA324*F324)</f>
        <v>0</v>
      </c>
      <c r="BD324">
        <f>IF(COUNT($E$2:$E324)&lt;20,"",STEYX($E$225:$E$324,$F$225:$F$324))</f>
        <v>0</v>
      </c>
      <c r="BE324">
        <f>IF($E324="","",IF(AND(COUNT($E$325:$E$328)&gt;=4,$C324=MAX($C$320:$C$328)),$C324,""))</f>
        <v>0</v>
      </c>
      <c r="BF324">
        <f>IF($E324="","",IF(AND(COUNT($E$325:$E$328)&gt;=4,$D324=MIN($D$320:$D$328)),$D324,""))</f>
        <v>0</v>
      </c>
      <c r="BG324">
        <f>IFERROR(SMALL(Calc_Daily!$BM$2:$BM$2001,323),"")</f>
        <v>0</v>
      </c>
    </row>
    <row r="325" spans="1:59">
      <c r="A325" s="27">
        <f>IF($BG325="","",INDEX(Calc_Daily!$A$2:$A$2001,$BG325))</f>
        <v>0</v>
      </c>
      <c r="B325">
        <f>IF($BG325="","",INDEX(Calc_Daily!$BJ$2:$BJ$2001,$BG325))</f>
        <v>0</v>
      </c>
      <c r="C325">
        <f>IF($BG325="","",INDEX(Calc_Daily!$BK$2:$BK$2001,$BG325))</f>
        <v>0</v>
      </c>
      <c r="D325">
        <f>IF($BG325="","",INDEX(Calc_Daily!$BL$2:$BL$2001,$BG325))</f>
        <v>0</v>
      </c>
      <c r="E325">
        <f>IF($BG325="","",INDEX(Calc_Daily!$E$2:$E$2001,$BG325))</f>
        <v>0</v>
      </c>
      <c r="F325">
        <f>IF($E325="","",N(F324)+1)</f>
        <v>0</v>
      </c>
      <c r="G325">
        <f>IF(OR($E325="",$E324=""),"",LN($E325/$E324))</f>
        <v>0</v>
      </c>
      <c r="H325">
        <f>IF($E325="","",IF($E324="",$E325,$E325*0.0952380952+H324*0.9047619048))</f>
        <v>0</v>
      </c>
      <c r="I325">
        <f>IF($E325="","",IF($E324="",$E325,$E325*0.0392156863+I324*0.9607843137))</f>
        <v>0</v>
      </c>
      <c r="J325">
        <f>IF($E325="","",IF($E324="",$E325,$E325*0.0198019802+J324*0.9801980198))</f>
        <v>0</v>
      </c>
      <c r="K325">
        <f>IF($E325="","",IF($E324="",$E325,$E325*0.0099502488+K324*0.9900497512))</f>
        <v>0</v>
      </c>
      <c r="L325">
        <f>IF(OR($E325="",$E324=""),"",MAX($E325-$E324,0))</f>
        <v>0</v>
      </c>
      <c r="M325">
        <f>IF(OR($E325="",$E324=""),"",MAX($E324-$E325,0))</f>
        <v>0</v>
      </c>
      <c r="N325">
        <f>IF(COUNT($E$2:$E325)&lt;15,"",IF(AVERAGE($M$312:$M$325)=0,100,100-100/(1+AVERAGE($L$312:$L$325)/AVERAGE($M$312:$M$325))))</f>
        <v>0</v>
      </c>
      <c r="O325">
        <f>IF($E325="","",IF($E324="",$E325,$E325*0.1538461538+O324*0.8461538462))</f>
        <v>0</v>
      </c>
      <c r="P325">
        <f>IF($E325="","",IF($E324="",$E325,$E325*0.0740740741+P324*0.9259259259))</f>
        <v>0</v>
      </c>
      <c r="Q325">
        <f>IF(OR(O325="",P325=""),"",O325-P325)</f>
        <v>0</v>
      </c>
      <c r="R325">
        <f>IF(Q325="","",IF(R324="",Q325,Q325*0.2000000000+R324*0.8000000000))</f>
        <v>0</v>
      </c>
      <c r="S325">
        <f>IF(OR(Q325="",R325=""),"",Q325-R325)</f>
        <v>0</v>
      </c>
      <c r="T325">
        <f>IF(COUNT($E$2:$E325)&lt;14,"",MAX($C$312:$C$325))</f>
        <v>0</v>
      </c>
      <c r="U325">
        <f>IF(COUNT($E$2:$E325)&lt;14,"",MIN($D$312:$D$325))</f>
        <v>0</v>
      </c>
      <c r="V325">
        <f>IF(OR(T325="",U325="",T325=U325),"",100*($E325-U325)/(T325-U325))</f>
        <v>0</v>
      </c>
      <c r="W325">
        <f>IF(COUNT($V$323:$V$325)&lt;3,"",AVERAGE($V$323:$V$325))</f>
        <v>0</v>
      </c>
      <c r="X325">
        <f>IF(COUNT($N$312:$N$325)&lt;14,"",MIN($N$312:$N$325))</f>
        <v>0</v>
      </c>
      <c r="Y325">
        <f>IF(COUNT($N$312:$N$325)&lt;14,"",MAX($N$312:$N$325))</f>
        <v>0</v>
      </c>
      <c r="Z325">
        <f>IF(OR(N325="",X325="",Y325="",Y325=X325),"",100*(N325-X325)/(Y325-X325))</f>
        <v>0</v>
      </c>
      <c r="AA325">
        <f>IF(COUNT($Z$323:$Z$325)&lt;3,"",AVERAGE($Z$323:$Z$325))</f>
        <v>0</v>
      </c>
      <c r="AB325">
        <f>IF(COUNT($AA$323:$AA$325)&lt;3,"",AVERAGE($AA$323:$AA$325))</f>
        <v>0</v>
      </c>
      <c r="AC325">
        <f>IF($E325="","",MAX($C325-$D325,ABS($C325-$E324),ABS($D325-$E324)))</f>
        <v>0</v>
      </c>
      <c r="AD325">
        <f>IF(COUNT($E$2:$E325)&lt;15,"",AVERAGE($AC$312:$AC$325))</f>
        <v>0</v>
      </c>
      <c r="AE325">
        <f>IF(OR($E325="",$E324=""),"",IF(AND(($C325-$C324)&gt;($D324-$D325),($C325-$C324)&gt;0),$C325-$C324,0))</f>
        <v>0</v>
      </c>
      <c r="AF325">
        <f>IF(OR($E325="",$E324=""),"",IF(AND(($D324-$D325)&gt;($C325-$C324),($D324-$D325)&gt;0),$D324-$D325,0))</f>
        <v>0</v>
      </c>
      <c r="AG325">
        <f>IF(COUNT($E$2:$E325)&lt;15,"",IF(SUM($AC$312:$AC$325)=0,0,100*SUM($AE$312:$AE$325)/SUM($AC$312:$AC$325)))</f>
        <v>0</v>
      </c>
      <c r="AH325">
        <f>IF(COUNT($E$2:$E325)&lt;15,"",IF(SUM($AC$312:$AC$325)=0,0,100*SUM($AF$312:$AF$325)/SUM($AC$312:$AC$325)))</f>
        <v>0</v>
      </c>
      <c r="AI325">
        <f>IF(OR(AG325="",AH325=""),"",IF((AG325+AH325)=0,0,100*ABS(AG325-AH325)/(AG325+AH325)))</f>
        <v>0</v>
      </c>
      <c r="AJ325">
        <f>IF(COUNT($AI$312:$AI$325)&lt;14,"",AVERAGE($AI$312:$AI$325))</f>
        <v>0</v>
      </c>
      <c r="AK325">
        <f>IF(COUNT($E$2:$E325)&lt;20,"",AVERAGE($E$306:$E$325))</f>
        <v>0</v>
      </c>
      <c r="AL325">
        <f>IF(COUNT($E$2:$E325)&lt;20,"",STDEVP($E$306:$E$325))</f>
        <v>0</v>
      </c>
      <c r="AM325">
        <f>IF(AK325="","",AK325+2*AL325)</f>
        <v>0</v>
      </c>
      <c r="AN325">
        <f>IF(AK325="","",AK325-2*AL325)</f>
        <v>0</v>
      </c>
      <c r="AO325">
        <f>IF(OR(AM325="",AN325="",AM325=AN325),"",($E325-AN325)/(AM325-AN325))</f>
        <v>0</v>
      </c>
      <c r="AP325">
        <f>IF(OR(AM325="",AK325="",AK325=0),"",(AM325-AN325)/AK325)</f>
        <v>0</v>
      </c>
      <c r="AQ325">
        <f>IF(COUNT($E$2:$E325)&lt;20,"",MAX($C$306:$C$325))</f>
        <v>0</v>
      </c>
      <c r="AR325">
        <f>IF(COUNT($E$2:$E325)&lt;20,"",MIN($D$306:$D$325))</f>
        <v>0</v>
      </c>
      <c r="AS325">
        <f>IF(OR(AQ325="",AR325=""),"",(AQ325+AR325)/2)</f>
        <v>0</v>
      </c>
      <c r="AT325">
        <f>IF(COUNT($G$306:$G$325)&lt;20,"",STDEV($G$306:$G$325)*SQRT(52))</f>
        <v>0</v>
      </c>
      <c r="AU325">
        <f>IF(COUNT($E$2:$E325)&lt;9,"",(MAX($C$317:$C$325)+MIN($D$317:$D$325))/2)</f>
        <v>0</v>
      </c>
      <c r="AV325">
        <f>IF(COUNT($E$2:$E325)&lt;26,"",(MAX($C$300:$C$325)+MIN($D$300:$D$325))/2)</f>
        <v>0</v>
      </c>
      <c r="AW325">
        <f>IF(OR(AU325="",AV325=""),"",(AU325+AV325)/2)</f>
        <v>0</v>
      </c>
      <c r="AX325">
        <f>IF(COUNT($E$2:$E325)&lt;52,"",(MAX($C$274:$C$325)+MIN($D$274:$D$325))/2)</f>
        <v>0</v>
      </c>
      <c r="AY325">
        <f>IF(COUNT($E$2:$E325)&lt;20,"",MAX($C$226:$C$325))</f>
        <v>0</v>
      </c>
      <c r="AZ325">
        <f>IF(COUNT($E$2:$E325)&lt;20,"",MIN($D$226:$D$325))</f>
        <v>0</v>
      </c>
      <c r="BA325">
        <f>IF(COUNT($E$2:$E325)&lt;20,"",SLOPE($E$226:$E$325,$F$226:$F$325))</f>
        <v>0</v>
      </c>
      <c r="BB325">
        <f>IF(COUNT($E$2:$E325)&lt;20,"",INTERCEPT($E$226:$E$325,$F$226:$F$325))</f>
        <v>0</v>
      </c>
      <c r="BC325">
        <f>IF(OR(BA325="",BB325=""),"",BB325+BA325*F325)</f>
        <v>0</v>
      </c>
      <c r="BD325">
        <f>IF(COUNT($E$2:$E325)&lt;20,"",STEYX($E$226:$E$325,$F$226:$F$325))</f>
        <v>0</v>
      </c>
      <c r="BE325">
        <f>IF($E325="","",IF(AND(COUNT($E$326:$E$329)&gt;=4,$C325=MAX($C$321:$C$329)),$C325,""))</f>
        <v>0</v>
      </c>
      <c r="BF325">
        <f>IF($E325="","",IF(AND(COUNT($E$326:$E$329)&gt;=4,$D325=MIN($D$321:$D$329)),$D325,""))</f>
        <v>0</v>
      </c>
      <c r="BG325">
        <f>IFERROR(SMALL(Calc_Daily!$BM$2:$BM$2001,324),"")</f>
        <v>0</v>
      </c>
    </row>
    <row r="326" spans="1:59">
      <c r="A326" s="27">
        <f>IF($BG326="","",INDEX(Calc_Daily!$A$2:$A$2001,$BG326))</f>
        <v>0</v>
      </c>
      <c r="B326">
        <f>IF($BG326="","",INDEX(Calc_Daily!$BJ$2:$BJ$2001,$BG326))</f>
        <v>0</v>
      </c>
      <c r="C326">
        <f>IF($BG326="","",INDEX(Calc_Daily!$BK$2:$BK$2001,$BG326))</f>
        <v>0</v>
      </c>
      <c r="D326">
        <f>IF($BG326="","",INDEX(Calc_Daily!$BL$2:$BL$2001,$BG326))</f>
        <v>0</v>
      </c>
      <c r="E326">
        <f>IF($BG326="","",INDEX(Calc_Daily!$E$2:$E$2001,$BG326))</f>
        <v>0</v>
      </c>
      <c r="F326">
        <f>IF($E326="","",N(F325)+1)</f>
        <v>0</v>
      </c>
      <c r="G326">
        <f>IF(OR($E326="",$E325=""),"",LN($E326/$E325))</f>
        <v>0</v>
      </c>
      <c r="H326">
        <f>IF($E326="","",IF($E325="",$E326,$E326*0.0952380952+H325*0.9047619048))</f>
        <v>0</v>
      </c>
      <c r="I326">
        <f>IF($E326="","",IF($E325="",$E326,$E326*0.0392156863+I325*0.9607843137))</f>
        <v>0</v>
      </c>
      <c r="J326">
        <f>IF($E326="","",IF($E325="",$E326,$E326*0.0198019802+J325*0.9801980198))</f>
        <v>0</v>
      </c>
      <c r="K326">
        <f>IF($E326="","",IF($E325="",$E326,$E326*0.0099502488+K325*0.9900497512))</f>
        <v>0</v>
      </c>
      <c r="L326">
        <f>IF(OR($E326="",$E325=""),"",MAX($E326-$E325,0))</f>
        <v>0</v>
      </c>
      <c r="M326">
        <f>IF(OR($E326="",$E325=""),"",MAX($E325-$E326,0))</f>
        <v>0</v>
      </c>
      <c r="N326">
        <f>IF(COUNT($E$2:$E326)&lt;15,"",IF(AVERAGE($M$313:$M$326)=0,100,100-100/(1+AVERAGE($L$313:$L$326)/AVERAGE($M$313:$M$326))))</f>
        <v>0</v>
      </c>
      <c r="O326">
        <f>IF($E326="","",IF($E325="",$E326,$E326*0.1538461538+O325*0.8461538462))</f>
        <v>0</v>
      </c>
      <c r="P326">
        <f>IF($E326="","",IF($E325="",$E326,$E326*0.0740740741+P325*0.9259259259))</f>
        <v>0</v>
      </c>
      <c r="Q326">
        <f>IF(OR(O326="",P326=""),"",O326-P326)</f>
        <v>0</v>
      </c>
      <c r="R326">
        <f>IF(Q326="","",IF(R325="",Q326,Q326*0.2000000000+R325*0.8000000000))</f>
        <v>0</v>
      </c>
      <c r="S326">
        <f>IF(OR(Q326="",R326=""),"",Q326-R326)</f>
        <v>0</v>
      </c>
      <c r="T326">
        <f>IF(COUNT($E$2:$E326)&lt;14,"",MAX($C$313:$C$326))</f>
        <v>0</v>
      </c>
      <c r="U326">
        <f>IF(COUNT($E$2:$E326)&lt;14,"",MIN($D$313:$D$326))</f>
        <v>0</v>
      </c>
      <c r="V326">
        <f>IF(OR(T326="",U326="",T326=U326),"",100*($E326-U326)/(T326-U326))</f>
        <v>0</v>
      </c>
      <c r="W326">
        <f>IF(COUNT($V$324:$V$326)&lt;3,"",AVERAGE($V$324:$V$326))</f>
        <v>0</v>
      </c>
      <c r="X326">
        <f>IF(COUNT($N$313:$N$326)&lt;14,"",MIN($N$313:$N$326))</f>
        <v>0</v>
      </c>
      <c r="Y326">
        <f>IF(COUNT($N$313:$N$326)&lt;14,"",MAX($N$313:$N$326))</f>
        <v>0</v>
      </c>
      <c r="Z326">
        <f>IF(OR(N326="",X326="",Y326="",Y326=X326),"",100*(N326-X326)/(Y326-X326))</f>
        <v>0</v>
      </c>
      <c r="AA326">
        <f>IF(COUNT($Z$324:$Z$326)&lt;3,"",AVERAGE($Z$324:$Z$326))</f>
        <v>0</v>
      </c>
      <c r="AB326">
        <f>IF(COUNT($AA$324:$AA$326)&lt;3,"",AVERAGE($AA$324:$AA$326))</f>
        <v>0</v>
      </c>
      <c r="AC326">
        <f>IF($E326="","",MAX($C326-$D326,ABS($C326-$E325),ABS($D326-$E325)))</f>
        <v>0</v>
      </c>
      <c r="AD326">
        <f>IF(COUNT($E$2:$E326)&lt;15,"",AVERAGE($AC$313:$AC$326))</f>
        <v>0</v>
      </c>
      <c r="AE326">
        <f>IF(OR($E326="",$E325=""),"",IF(AND(($C326-$C325)&gt;($D325-$D326),($C326-$C325)&gt;0),$C326-$C325,0))</f>
        <v>0</v>
      </c>
      <c r="AF326">
        <f>IF(OR($E326="",$E325=""),"",IF(AND(($D325-$D326)&gt;($C326-$C325),($D325-$D326)&gt;0),$D325-$D326,0))</f>
        <v>0</v>
      </c>
      <c r="AG326">
        <f>IF(COUNT($E$2:$E326)&lt;15,"",IF(SUM($AC$313:$AC$326)=0,0,100*SUM($AE$313:$AE$326)/SUM($AC$313:$AC$326)))</f>
        <v>0</v>
      </c>
      <c r="AH326">
        <f>IF(COUNT($E$2:$E326)&lt;15,"",IF(SUM($AC$313:$AC$326)=0,0,100*SUM($AF$313:$AF$326)/SUM($AC$313:$AC$326)))</f>
        <v>0</v>
      </c>
      <c r="AI326">
        <f>IF(OR(AG326="",AH326=""),"",IF((AG326+AH326)=0,0,100*ABS(AG326-AH326)/(AG326+AH326)))</f>
        <v>0</v>
      </c>
      <c r="AJ326">
        <f>IF(COUNT($AI$313:$AI$326)&lt;14,"",AVERAGE($AI$313:$AI$326))</f>
        <v>0</v>
      </c>
      <c r="AK326">
        <f>IF(COUNT($E$2:$E326)&lt;20,"",AVERAGE($E$307:$E$326))</f>
        <v>0</v>
      </c>
      <c r="AL326">
        <f>IF(COUNT($E$2:$E326)&lt;20,"",STDEVP($E$307:$E$326))</f>
        <v>0</v>
      </c>
      <c r="AM326">
        <f>IF(AK326="","",AK326+2*AL326)</f>
        <v>0</v>
      </c>
      <c r="AN326">
        <f>IF(AK326="","",AK326-2*AL326)</f>
        <v>0</v>
      </c>
      <c r="AO326">
        <f>IF(OR(AM326="",AN326="",AM326=AN326),"",($E326-AN326)/(AM326-AN326))</f>
        <v>0</v>
      </c>
      <c r="AP326">
        <f>IF(OR(AM326="",AK326="",AK326=0),"",(AM326-AN326)/AK326)</f>
        <v>0</v>
      </c>
      <c r="AQ326">
        <f>IF(COUNT($E$2:$E326)&lt;20,"",MAX($C$307:$C$326))</f>
        <v>0</v>
      </c>
      <c r="AR326">
        <f>IF(COUNT($E$2:$E326)&lt;20,"",MIN($D$307:$D$326))</f>
        <v>0</v>
      </c>
      <c r="AS326">
        <f>IF(OR(AQ326="",AR326=""),"",(AQ326+AR326)/2)</f>
        <v>0</v>
      </c>
      <c r="AT326">
        <f>IF(COUNT($G$307:$G$326)&lt;20,"",STDEV($G$307:$G$326)*SQRT(52))</f>
        <v>0</v>
      </c>
      <c r="AU326">
        <f>IF(COUNT($E$2:$E326)&lt;9,"",(MAX($C$318:$C$326)+MIN($D$318:$D$326))/2)</f>
        <v>0</v>
      </c>
      <c r="AV326">
        <f>IF(COUNT($E$2:$E326)&lt;26,"",(MAX($C$301:$C$326)+MIN($D$301:$D$326))/2)</f>
        <v>0</v>
      </c>
      <c r="AW326">
        <f>IF(OR(AU326="",AV326=""),"",(AU326+AV326)/2)</f>
        <v>0</v>
      </c>
      <c r="AX326">
        <f>IF(COUNT($E$2:$E326)&lt;52,"",(MAX($C$275:$C$326)+MIN($D$275:$D$326))/2)</f>
        <v>0</v>
      </c>
      <c r="AY326">
        <f>IF(COUNT($E$2:$E326)&lt;20,"",MAX($C$227:$C$326))</f>
        <v>0</v>
      </c>
      <c r="AZ326">
        <f>IF(COUNT($E$2:$E326)&lt;20,"",MIN($D$227:$D$326))</f>
        <v>0</v>
      </c>
      <c r="BA326">
        <f>IF(COUNT($E$2:$E326)&lt;20,"",SLOPE($E$227:$E$326,$F$227:$F$326))</f>
        <v>0</v>
      </c>
      <c r="BB326">
        <f>IF(COUNT($E$2:$E326)&lt;20,"",INTERCEPT($E$227:$E$326,$F$227:$F$326))</f>
        <v>0</v>
      </c>
      <c r="BC326">
        <f>IF(OR(BA326="",BB326=""),"",BB326+BA326*F326)</f>
        <v>0</v>
      </c>
      <c r="BD326">
        <f>IF(COUNT($E$2:$E326)&lt;20,"",STEYX($E$227:$E$326,$F$227:$F$326))</f>
        <v>0</v>
      </c>
      <c r="BE326">
        <f>IF($E326="","",IF(AND(COUNT($E$327:$E$330)&gt;=4,$C326=MAX($C$322:$C$330)),$C326,""))</f>
        <v>0</v>
      </c>
      <c r="BF326">
        <f>IF($E326="","",IF(AND(COUNT($E$327:$E$330)&gt;=4,$D326=MIN($D$322:$D$330)),$D326,""))</f>
        <v>0</v>
      </c>
      <c r="BG326">
        <f>IFERROR(SMALL(Calc_Daily!$BM$2:$BM$2001,325),"")</f>
        <v>0</v>
      </c>
    </row>
    <row r="327" spans="1:59">
      <c r="A327" s="27">
        <f>IF($BG327="","",INDEX(Calc_Daily!$A$2:$A$2001,$BG327))</f>
        <v>0</v>
      </c>
      <c r="B327">
        <f>IF($BG327="","",INDEX(Calc_Daily!$BJ$2:$BJ$2001,$BG327))</f>
        <v>0</v>
      </c>
      <c r="C327">
        <f>IF($BG327="","",INDEX(Calc_Daily!$BK$2:$BK$2001,$BG327))</f>
        <v>0</v>
      </c>
      <c r="D327">
        <f>IF($BG327="","",INDEX(Calc_Daily!$BL$2:$BL$2001,$BG327))</f>
        <v>0</v>
      </c>
      <c r="E327">
        <f>IF($BG327="","",INDEX(Calc_Daily!$E$2:$E$2001,$BG327))</f>
        <v>0</v>
      </c>
      <c r="F327">
        <f>IF($E327="","",N(F326)+1)</f>
        <v>0</v>
      </c>
      <c r="G327">
        <f>IF(OR($E327="",$E326=""),"",LN($E327/$E326))</f>
        <v>0</v>
      </c>
      <c r="H327">
        <f>IF($E327="","",IF($E326="",$E327,$E327*0.0952380952+H326*0.9047619048))</f>
        <v>0</v>
      </c>
      <c r="I327">
        <f>IF($E327="","",IF($E326="",$E327,$E327*0.0392156863+I326*0.9607843137))</f>
        <v>0</v>
      </c>
      <c r="J327">
        <f>IF($E327="","",IF($E326="",$E327,$E327*0.0198019802+J326*0.9801980198))</f>
        <v>0</v>
      </c>
      <c r="K327">
        <f>IF($E327="","",IF($E326="",$E327,$E327*0.0099502488+K326*0.9900497512))</f>
        <v>0</v>
      </c>
      <c r="L327">
        <f>IF(OR($E327="",$E326=""),"",MAX($E327-$E326,0))</f>
        <v>0</v>
      </c>
      <c r="M327">
        <f>IF(OR($E327="",$E326=""),"",MAX($E326-$E327,0))</f>
        <v>0</v>
      </c>
      <c r="N327">
        <f>IF(COUNT($E$2:$E327)&lt;15,"",IF(AVERAGE($M$314:$M$327)=0,100,100-100/(1+AVERAGE($L$314:$L$327)/AVERAGE($M$314:$M$327))))</f>
        <v>0</v>
      </c>
      <c r="O327">
        <f>IF($E327="","",IF($E326="",$E327,$E327*0.1538461538+O326*0.8461538462))</f>
        <v>0</v>
      </c>
      <c r="P327">
        <f>IF($E327="","",IF($E326="",$E327,$E327*0.0740740741+P326*0.9259259259))</f>
        <v>0</v>
      </c>
      <c r="Q327">
        <f>IF(OR(O327="",P327=""),"",O327-P327)</f>
        <v>0</v>
      </c>
      <c r="R327">
        <f>IF(Q327="","",IF(R326="",Q327,Q327*0.2000000000+R326*0.8000000000))</f>
        <v>0</v>
      </c>
      <c r="S327">
        <f>IF(OR(Q327="",R327=""),"",Q327-R327)</f>
        <v>0</v>
      </c>
      <c r="T327">
        <f>IF(COUNT($E$2:$E327)&lt;14,"",MAX($C$314:$C$327))</f>
        <v>0</v>
      </c>
      <c r="U327">
        <f>IF(COUNT($E$2:$E327)&lt;14,"",MIN($D$314:$D$327))</f>
        <v>0</v>
      </c>
      <c r="V327">
        <f>IF(OR(T327="",U327="",T327=U327),"",100*($E327-U327)/(T327-U327))</f>
        <v>0</v>
      </c>
      <c r="W327">
        <f>IF(COUNT($V$325:$V$327)&lt;3,"",AVERAGE($V$325:$V$327))</f>
        <v>0</v>
      </c>
      <c r="X327">
        <f>IF(COUNT($N$314:$N$327)&lt;14,"",MIN($N$314:$N$327))</f>
        <v>0</v>
      </c>
      <c r="Y327">
        <f>IF(COUNT($N$314:$N$327)&lt;14,"",MAX($N$314:$N$327))</f>
        <v>0</v>
      </c>
      <c r="Z327">
        <f>IF(OR(N327="",X327="",Y327="",Y327=X327),"",100*(N327-X327)/(Y327-X327))</f>
        <v>0</v>
      </c>
      <c r="AA327">
        <f>IF(COUNT($Z$325:$Z$327)&lt;3,"",AVERAGE($Z$325:$Z$327))</f>
        <v>0</v>
      </c>
      <c r="AB327">
        <f>IF(COUNT($AA$325:$AA$327)&lt;3,"",AVERAGE($AA$325:$AA$327))</f>
        <v>0</v>
      </c>
      <c r="AC327">
        <f>IF($E327="","",MAX($C327-$D327,ABS($C327-$E326),ABS($D327-$E326)))</f>
        <v>0</v>
      </c>
      <c r="AD327">
        <f>IF(COUNT($E$2:$E327)&lt;15,"",AVERAGE($AC$314:$AC$327))</f>
        <v>0</v>
      </c>
      <c r="AE327">
        <f>IF(OR($E327="",$E326=""),"",IF(AND(($C327-$C326)&gt;($D326-$D327),($C327-$C326)&gt;0),$C327-$C326,0))</f>
        <v>0</v>
      </c>
      <c r="AF327">
        <f>IF(OR($E327="",$E326=""),"",IF(AND(($D326-$D327)&gt;($C327-$C326),($D326-$D327)&gt;0),$D326-$D327,0))</f>
        <v>0</v>
      </c>
      <c r="AG327">
        <f>IF(COUNT($E$2:$E327)&lt;15,"",IF(SUM($AC$314:$AC$327)=0,0,100*SUM($AE$314:$AE$327)/SUM($AC$314:$AC$327)))</f>
        <v>0</v>
      </c>
      <c r="AH327">
        <f>IF(COUNT($E$2:$E327)&lt;15,"",IF(SUM($AC$314:$AC$327)=0,0,100*SUM($AF$314:$AF$327)/SUM($AC$314:$AC$327)))</f>
        <v>0</v>
      </c>
      <c r="AI327">
        <f>IF(OR(AG327="",AH327=""),"",IF((AG327+AH327)=0,0,100*ABS(AG327-AH327)/(AG327+AH327)))</f>
        <v>0</v>
      </c>
      <c r="AJ327">
        <f>IF(COUNT($AI$314:$AI$327)&lt;14,"",AVERAGE($AI$314:$AI$327))</f>
        <v>0</v>
      </c>
      <c r="AK327">
        <f>IF(COUNT($E$2:$E327)&lt;20,"",AVERAGE($E$308:$E$327))</f>
        <v>0</v>
      </c>
      <c r="AL327">
        <f>IF(COUNT($E$2:$E327)&lt;20,"",STDEVP($E$308:$E$327))</f>
        <v>0</v>
      </c>
      <c r="AM327">
        <f>IF(AK327="","",AK327+2*AL327)</f>
        <v>0</v>
      </c>
      <c r="AN327">
        <f>IF(AK327="","",AK327-2*AL327)</f>
        <v>0</v>
      </c>
      <c r="AO327">
        <f>IF(OR(AM327="",AN327="",AM327=AN327),"",($E327-AN327)/(AM327-AN327))</f>
        <v>0</v>
      </c>
      <c r="AP327">
        <f>IF(OR(AM327="",AK327="",AK327=0),"",(AM327-AN327)/AK327)</f>
        <v>0</v>
      </c>
      <c r="AQ327">
        <f>IF(COUNT($E$2:$E327)&lt;20,"",MAX($C$308:$C$327))</f>
        <v>0</v>
      </c>
      <c r="AR327">
        <f>IF(COUNT($E$2:$E327)&lt;20,"",MIN($D$308:$D$327))</f>
        <v>0</v>
      </c>
      <c r="AS327">
        <f>IF(OR(AQ327="",AR327=""),"",(AQ327+AR327)/2)</f>
        <v>0</v>
      </c>
      <c r="AT327">
        <f>IF(COUNT($G$308:$G$327)&lt;20,"",STDEV($G$308:$G$327)*SQRT(52))</f>
        <v>0</v>
      </c>
      <c r="AU327">
        <f>IF(COUNT($E$2:$E327)&lt;9,"",(MAX($C$319:$C$327)+MIN($D$319:$D$327))/2)</f>
        <v>0</v>
      </c>
      <c r="AV327">
        <f>IF(COUNT($E$2:$E327)&lt;26,"",(MAX($C$302:$C$327)+MIN($D$302:$D$327))/2)</f>
        <v>0</v>
      </c>
      <c r="AW327">
        <f>IF(OR(AU327="",AV327=""),"",(AU327+AV327)/2)</f>
        <v>0</v>
      </c>
      <c r="AX327">
        <f>IF(COUNT($E$2:$E327)&lt;52,"",(MAX($C$276:$C$327)+MIN($D$276:$D$327))/2)</f>
        <v>0</v>
      </c>
      <c r="AY327">
        <f>IF(COUNT($E$2:$E327)&lt;20,"",MAX($C$228:$C$327))</f>
        <v>0</v>
      </c>
      <c r="AZ327">
        <f>IF(COUNT($E$2:$E327)&lt;20,"",MIN($D$228:$D$327))</f>
        <v>0</v>
      </c>
      <c r="BA327">
        <f>IF(COUNT($E$2:$E327)&lt;20,"",SLOPE($E$228:$E$327,$F$228:$F$327))</f>
        <v>0</v>
      </c>
      <c r="BB327">
        <f>IF(COUNT($E$2:$E327)&lt;20,"",INTERCEPT($E$228:$E$327,$F$228:$F$327))</f>
        <v>0</v>
      </c>
      <c r="BC327">
        <f>IF(OR(BA327="",BB327=""),"",BB327+BA327*F327)</f>
        <v>0</v>
      </c>
      <c r="BD327">
        <f>IF(COUNT($E$2:$E327)&lt;20,"",STEYX($E$228:$E$327,$F$228:$F$327))</f>
        <v>0</v>
      </c>
      <c r="BE327">
        <f>IF($E327="","",IF(AND(COUNT($E$328:$E$331)&gt;=4,$C327=MAX($C$323:$C$331)),$C327,""))</f>
        <v>0</v>
      </c>
      <c r="BF327">
        <f>IF($E327="","",IF(AND(COUNT($E$328:$E$331)&gt;=4,$D327=MIN($D$323:$D$331)),$D327,""))</f>
        <v>0</v>
      </c>
      <c r="BG327">
        <f>IFERROR(SMALL(Calc_Daily!$BM$2:$BM$2001,326),"")</f>
        <v>0</v>
      </c>
    </row>
    <row r="328" spans="1:59">
      <c r="A328" s="27">
        <f>IF($BG328="","",INDEX(Calc_Daily!$A$2:$A$2001,$BG328))</f>
        <v>0</v>
      </c>
      <c r="B328">
        <f>IF($BG328="","",INDEX(Calc_Daily!$BJ$2:$BJ$2001,$BG328))</f>
        <v>0</v>
      </c>
      <c r="C328">
        <f>IF($BG328="","",INDEX(Calc_Daily!$BK$2:$BK$2001,$BG328))</f>
        <v>0</v>
      </c>
      <c r="D328">
        <f>IF($BG328="","",INDEX(Calc_Daily!$BL$2:$BL$2001,$BG328))</f>
        <v>0</v>
      </c>
      <c r="E328">
        <f>IF($BG328="","",INDEX(Calc_Daily!$E$2:$E$2001,$BG328))</f>
        <v>0</v>
      </c>
      <c r="F328">
        <f>IF($E328="","",N(F327)+1)</f>
        <v>0</v>
      </c>
      <c r="G328">
        <f>IF(OR($E328="",$E327=""),"",LN($E328/$E327))</f>
        <v>0</v>
      </c>
      <c r="H328">
        <f>IF($E328="","",IF($E327="",$E328,$E328*0.0952380952+H327*0.9047619048))</f>
        <v>0</v>
      </c>
      <c r="I328">
        <f>IF($E328="","",IF($E327="",$E328,$E328*0.0392156863+I327*0.9607843137))</f>
        <v>0</v>
      </c>
      <c r="J328">
        <f>IF($E328="","",IF($E327="",$E328,$E328*0.0198019802+J327*0.9801980198))</f>
        <v>0</v>
      </c>
      <c r="K328">
        <f>IF($E328="","",IF($E327="",$E328,$E328*0.0099502488+K327*0.9900497512))</f>
        <v>0</v>
      </c>
      <c r="L328">
        <f>IF(OR($E328="",$E327=""),"",MAX($E328-$E327,0))</f>
        <v>0</v>
      </c>
      <c r="M328">
        <f>IF(OR($E328="",$E327=""),"",MAX($E327-$E328,0))</f>
        <v>0</v>
      </c>
      <c r="N328">
        <f>IF(COUNT($E$2:$E328)&lt;15,"",IF(AVERAGE($M$315:$M$328)=0,100,100-100/(1+AVERAGE($L$315:$L$328)/AVERAGE($M$315:$M$328))))</f>
        <v>0</v>
      </c>
      <c r="O328">
        <f>IF($E328="","",IF($E327="",$E328,$E328*0.1538461538+O327*0.8461538462))</f>
        <v>0</v>
      </c>
      <c r="P328">
        <f>IF($E328="","",IF($E327="",$E328,$E328*0.0740740741+P327*0.9259259259))</f>
        <v>0</v>
      </c>
      <c r="Q328">
        <f>IF(OR(O328="",P328=""),"",O328-P328)</f>
        <v>0</v>
      </c>
      <c r="R328">
        <f>IF(Q328="","",IF(R327="",Q328,Q328*0.2000000000+R327*0.8000000000))</f>
        <v>0</v>
      </c>
      <c r="S328">
        <f>IF(OR(Q328="",R328=""),"",Q328-R328)</f>
        <v>0</v>
      </c>
      <c r="T328">
        <f>IF(COUNT($E$2:$E328)&lt;14,"",MAX($C$315:$C$328))</f>
        <v>0</v>
      </c>
      <c r="U328">
        <f>IF(COUNT($E$2:$E328)&lt;14,"",MIN($D$315:$D$328))</f>
        <v>0</v>
      </c>
      <c r="V328">
        <f>IF(OR(T328="",U328="",T328=U328),"",100*($E328-U328)/(T328-U328))</f>
        <v>0</v>
      </c>
      <c r="W328">
        <f>IF(COUNT($V$326:$V$328)&lt;3,"",AVERAGE($V$326:$V$328))</f>
        <v>0</v>
      </c>
      <c r="X328">
        <f>IF(COUNT($N$315:$N$328)&lt;14,"",MIN($N$315:$N$328))</f>
        <v>0</v>
      </c>
      <c r="Y328">
        <f>IF(COUNT($N$315:$N$328)&lt;14,"",MAX($N$315:$N$328))</f>
        <v>0</v>
      </c>
      <c r="Z328">
        <f>IF(OR(N328="",X328="",Y328="",Y328=X328),"",100*(N328-X328)/(Y328-X328))</f>
        <v>0</v>
      </c>
      <c r="AA328">
        <f>IF(COUNT($Z$326:$Z$328)&lt;3,"",AVERAGE($Z$326:$Z$328))</f>
        <v>0</v>
      </c>
      <c r="AB328">
        <f>IF(COUNT($AA$326:$AA$328)&lt;3,"",AVERAGE($AA$326:$AA$328))</f>
        <v>0</v>
      </c>
      <c r="AC328">
        <f>IF($E328="","",MAX($C328-$D328,ABS($C328-$E327),ABS($D328-$E327)))</f>
        <v>0</v>
      </c>
      <c r="AD328">
        <f>IF(COUNT($E$2:$E328)&lt;15,"",AVERAGE($AC$315:$AC$328))</f>
        <v>0</v>
      </c>
      <c r="AE328">
        <f>IF(OR($E328="",$E327=""),"",IF(AND(($C328-$C327)&gt;($D327-$D328),($C328-$C327)&gt;0),$C328-$C327,0))</f>
        <v>0</v>
      </c>
      <c r="AF328">
        <f>IF(OR($E328="",$E327=""),"",IF(AND(($D327-$D328)&gt;($C328-$C327),($D327-$D328)&gt;0),$D327-$D328,0))</f>
        <v>0</v>
      </c>
      <c r="AG328">
        <f>IF(COUNT($E$2:$E328)&lt;15,"",IF(SUM($AC$315:$AC$328)=0,0,100*SUM($AE$315:$AE$328)/SUM($AC$315:$AC$328)))</f>
        <v>0</v>
      </c>
      <c r="AH328">
        <f>IF(COUNT($E$2:$E328)&lt;15,"",IF(SUM($AC$315:$AC$328)=0,0,100*SUM($AF$315:$AF$328)/SUM($AC$315:$AC$328)))</f>
        <v>0</v>
      </c>
      <c r="AI328">
        <f>IF(OR(AG328="",AH328=""),"",IF((AG328+AH328)=0,0,100*ABS(AG328-AH328)/(AG328+AH328)))</f>
        <v>0</v>
      </c>
      <c r="AJ328">
        <f>IF(COUNT($AI$315:$AI$328)&lt;14,"",AVERAGE($AI$315:$AI$328))</f>
        <v>0</v>
      </c>
      <c r="AK328">
        <f>IF(COUNT($E$2:$E328)&lt;20,"",AVERAGE($E$309:$E$328))</f>
        <v>0</v>
      </c>
      <c r="AL328">
        <f>IF(COUNT($E$2:$E328)&lt;20,"",STDEVP($E$309:$E$328))</f>
        <v>0</v>
      </c>
      <c r="AM328">
        <f>IF(AK328="","",AK328+2*AL328)</f>
        <v>0</v>
      </c>
      <c r="AN328">
        <f>IF(AK328="","",AK328-2*AL328)</f>
        <v>0</v>
      </c>
      <c r="AO328">
        <f>IF(OR(AM328="",AN328="",AM328=AN328),"",($E328-AN328)/(AM328-AN328))</f>
        <v>0</v>
      </c>
      <c r="AP328">
        <f>IF(OR(AM328="",AK328="",AK328=0),"",(AM328-AN328)/AK328)</f>
        <v>0</v>
      </c>
      <c r="AQ328">
        <f>IF(COUNT($E$2:$E328)&lt;20,"",MAX($C$309:$C$328))</f>
        <v>0</v>
      </c>
      <c r="AR328">
        <f>IF(COUNT($E$2:$E328)&lt;20,"",MIN($D$309:$D$328))</f>
        <v>0</v>
      </c>
      <c r="AS328">
        <f>IF(OR(AQ328="",AR328=""),"",(AQ328+AR328)/2)</f>
        <v>0</v>
      </c>
      <c r="AT328">
        <f>IF(COUNT($G$309:$G$328)&lt;20,"",STDEV($G$309:$G$328)*SQRT(52))</f>
        <v>0</v>
      </c>
      <c r="AU328">
        <f>IF(COUNT($E$2:$E328)&lt;9,"",(MAX($C$320:$C$328)+MIN($D$320:$D$328))/2)</f>
        <v>0</v>
      </c>
      <c r="AV328">
        <f>IF(COUNT($E$2:$E328)&lt;26,"",(MAX($C$303:$C$328)+MIN($D$303:$D$328))/2)</f>
        <v>0</v>
      </c>
      <c r="AW328">
        <f>IF(OR(AU328="",AV328=""),"",(AU328+AV328)/2)</f>
        <v>0</v>
      </c>
      <c r="AX328">
        <f>IF(COUNT($E$2:$E328)&lt;52,"",(MAX($C$277:$C$328)+MIN($D$277:$D$328))/2)</f>
        <v>0</v>
      </c>
      <c r="AY328">
        <f>IF(COUNT($E$2:$E328)&lt;20,"",MAX($C$229:$C$328))</f>
        <v>0</v>
      </c>
      <c r="AZ328">
        <f>IF(COUNT($E$2:$E328)&lt;20,"",MIN($D$229:$D$328))</f>
        <v>0</v>
      </c>
      <c r="BA328">
        <f>IF(COUNT($E$2:$E328)&lt;20,"",SLOPE($E$229:$E$328,$F$229:$F$328))</f>
        <v>0</v>
      </c>
      <c r="BB328">
        <f>IF(COUNT($E$2:$E328)&lt;20,"",INTERCEPT($E$229:$E$328,$F$229:$F$328))</f>
        <v>0</v>
      </c>
      <c r="BC328">
        <f>IF(OR(BA328="",BB328=""),"",BB328+BA328*F328)</f>
        <v>0</v>
      </c>
      <c r="BD328">
        <f>IF(COUNT($E$2:$E328)&lt;20,"",STEYX($E$229:$E$328,$F$229:$F$328))</f>
        <v>0</v>
      </c>
      <c r="BE328">
        <f>IF($E328="","",IF(AND(COUNT($E$329:$E$332)&gt;=4,$C328=MAX($C$324:$C$332)),$C328,""))</f>
        <v>0</v>
      </c>
      <c r="BF328">
        <f>IF($E328="","",IF(AND(COUNT($E$329:$E$332)&gt;=4,$D328=MIN($D$324:$D$332)),$D328,""))</f>
        <v>0</v>
      </c>
      <c r="BG328">
        <f>IFERROR(SMALL(Calc_Daily!$BM$2:$BM$2001,327),"")</f>
        <v>0</v>
      </c>
    </row>
    <row r="329" spans="1:59">
      <c r="A329" s="27">
        <f>IF($BG329="","",INDEX(Calc_Daily!$A$2:$A$2001,$BG329))</f>
        <v>0</v>
      </c>
      <c r="B329">
        <f>IF($BG329="","",INDEX(Calc_Daily!$BJ$2:$BJ$2001,$BG329))</f>
        <v>0</v>
      </c>
      <c r="C329">
        <f>IF($BG329="","",INDEX(Calc_Daily!$BK$2:$BK$2001,$BG329))</f>
        <v>0</v>
      </c>
      <c r="D329">
        <f>IF($BG329="","",INDEX(Calc_Daily!$BL$2:$BL$2001,$BG329))</f>
        <v>0</v>
      </c>
      <c r="E329">
        <f>IF($BG329="","",INDEX(Calc_Daily!$E$2:$E$2001,$BG329))</f>
        <v>0</v>
      </c>
      <c r="F329">
        <f>IF($E329="","",N(F328)+1)</f>
        <v>0</v>
      </c>
      <c r="G329">
        <f>IF(OR($E329="",$E328=""),"",LN($E329/$E328))</f>
        <v>0</v>
      </c>
      <c r="H329">
        <f>IF($E329="","",IF($E328="",$E329,$E329*0.0952380952+H328*0.9047619048))</f>
        <v>0</v>
      </c>
      <c r="I329">
        <f>IF($E329="","",IF($E328="",$E329,$E329*0.0392156863+I328*0.9607843137))</f>
        <v>0</v>
      </c>
      <c r="J329">
        <f>IF($E329="","",IF($E328="",$E329,$E329*0.0198019802+J328*0.9801980198))</f>
        <v>0</v>
      </c>
      <c r="K329">
        <f>IF($E329="","",IF($E328="",$E329,$E329*0.0099502488+K328*0.9900497512))</f>
        <v>0</v>
      </c>
      <c r="L329">
        <f>IF(OR($E329="",$E328=""),"",MAX($E329-$E328,0))</f>
        <v>0</v>
      </c>
      <c r="M329">
        <f>IF(OR($E329="",$E328=""),"",MAX($E328-$E329,0))</f>
        <v>0</v>
      </c>
      <c r="N329">
        <f>IF(COUNT($E$2:$E329)&lt;15,"",IF(AVERAGE($M$316:$M$329)=0,100,100-100/(1+AVERAGE($L$316:$L$329)/AVERAGE($M$316:$M$329))))</f>
        <v>0</v>
      </c>
      <c r="O329">
        <f>IF($E329="","",IF($E328="",$E329,$E329*0.1538461538+O328*0.8461538462))</f>
        <v>0</v>
      </c>
      <c r="P329">
        <f>IF($E329="","",IF($E328="",$E329,$E329*0.0740740741+P328*0.9259259259))</f>
        <v>0</v>
      </c>
      <c r="Q329">
        <f>IF(OR(O329="",P329=""),"",O329-P329)</f>
        <v>0</v>
      </c>
      <c r="R329">
        <f>IF(Q329="","",IF(R328="",Q329,Q329*0.2000000000+R328*0.8000000000))</f>
        <v>0</v>
      </c>
      <c r="S329">
        <f>IF(OR(Q329="",R329=""),"",Q329-R329)</f>
        <v>0</v>
      </c>
      <c r="T329">
        <f>IF(COUNT($E$2:$E329)&lt;14,"",MAX($C$316:$C$329))</f>
        <v>0</v>
      </c>
      <c r="U329">
        <f>IF(COUNT($E$2:$E329)&lt;14,"",MIN($D$316:$D$329))</f>
        <v>0</v>
      </c>
      <c r="V329">
        <f>IF(OR(T329="",U329="",T329=U329),"",100*($E329-U329)/(T329-U329))</f>
        <v>0</v>
      </c>
      <c r="W329">
        <f>IF(COUNT($V$327:$V$329)&lt;3,"",AVERAGE($V$327:$V$329))</f>
        <v>0</v>
      </c>
      <c r="X329">
        <f>IF(COUNT($N$316:$N$329)&lt;14,"",MIN($N$316:$N$329))</f>
        <v>0</v>
      </c>
      <c r="Y329">
        <f>IF(COUNT($N$316:$N$329)&lt;14,"",MAX($N$316:$N$329))</f>
        <v>0</v>
      </c>
      <c r="Z329">
        <f>IF(OR(N329="",X329="",Y329="",Y329=X329),"",100*(N329-X329)/(Y329-X329))</f>
        <v>0</v>
      </c>
      <c r="AA329">
        <f>IF(COUNT($Z$327:$Z$329)&lt;3,"",AVERAGE($Z$327:$Z$329))</f>
        <v>0</v>
      </c>
      <c r="AB329">
        <f>IF(COUNT($AA$327:$AA$329)&lt;3,"",AVERAGE($AA$327:$AA$329))</f>
        <v>0</v>
      </c>
      <c r="AC329">
        <f>IF($E329="","",MAX($C329-$D329,ABS($C329-$E328),ABS($D329-$E328)))</f>
        <v>0</v>
      </c>
      <c r="AD329">
        <f>IF(COUNT($E$2:$E329)&lt;15,"",AVERAGE($AC$316:$AC$329))</f>
        <v>0</v>
      </c>
      <c r="AE329">
        <f>IF(OR($E329="",$E328=""),"",IF(AND(($C329-$C328)&gt;($D328-$D329),($C329-$C328)&gt;0),$C329-$C328,0))</f>
        <v>0</v>
      </c>
      <c r="AF329">
        <f>IF(OR($E329="",$E328=""),"",IF(AND(($D328-$D329)&gt;($C329-$C328),($D328-$D329)&gt;0),$D328-$D329,0))</f>
        <v>0</v>
      </c>
      <c r="AG329">
        <f>IF(COUNT($E$2:$E329)&lt;15,"",IF(SUM($AC$316:$AC$329)=0,0,100*SUM($AE$316:$AE$329)/SUM($AC$316:$AC$329)))</f>
        <v>0</v>
      </c>
      <c r="AH329">
        <f>IF(COUNT($E$2:$E329)&lt;15,"",IF(SUM($AC$316:$AC$329)=0,0,100*SUM($AF$316:$AF$329)/SUM($AC$316:$AC$329)))</f>
        <v>0</v>
      </c>
      <c r="AI329">
        <f>IF(OR(AG329="",AH329=""),"",IF((AG329+AH329)=0,0,100*ABS(AG329-AH329)/(AG329+AH329)))</f>
        <v>0</v>
      </c>
      <c r="AJ329">
        <f>IF(COUNT($AI$316:$AI$329)&lt;14,"",AVERAGE($AI$316:$AI$329))</f>
        <v>0</v>
      </c>
      <c r="AK329">
        <f>IF(COUNT($E$2:$E329)&lt;20,"",AVERAGE($E$310:$E$329))</f>
        <v>0</v>
      </c>
      <c r="AL329">
        <f>IF(COUNT($E$2:$E329)&lt;20,"",STDEVP($E$310:$E$329))</f>
        <v>0</v>
      </c>
      <c r="AM329">
        <f>IF(AK329="","",AK329+2*AL329)</f>
        <v>0</v>
      </c>
      <c r="AN329">
        <f>IF(AK329="","",AK329-2*AL329)</f>
        <v>0</v>
      </c>
      <c r="AO329">
        <f>IF(OR(AM329="",AN329="",AM329=AN329),"",($E329-AN329)/(AM329-AN329))</f>
        <v>0</v>
      </c>
      <c r="AP329">
        <f>IF(OR(AM329="",AK329="",AK329=0),"",(AM329-AN329)/AK329)</f>
        <v>0</v>
      </c>
      <c r="AQ329">
        <f>IF(COUNT($E$2:$E329)&lt;20,"",MAX($C$310:$C$329))</f>
        <v>0</v>
      </c>
      <c r="AR329">
        <f>IF(COUNT($E$2:$E329)&lt;20,"",MIN($D$310:$D$329))</f>
        <v>0</v>
      </c>
      <c r="AS329">
        <f>IF(OR(AQ329="",AR329=""),"",(AQ329+AR329)/2)</f>
        <v>0</v>
      </c>
      <c r="AT329">
        <f>IF(COUNT($G$310:$G$329)&lt;20,"",STDEV($G$310:$G$329)*SQRT(52))</f>
        <v>0</v>
      </c>
      <c r="AU329">
        <f>IF(COUNT($E$2:$E329)&lt;9,"",(MAX($C$321:$C$329)+MIN($D$321:$D$329))/2)</f>
        <v>0</v>
      </c>
      <c r="AV329">
        <f>IF(COUNT($E$2:$E329)&lt;26,"",(MAX($C$304:$C$329)+MIN($D$304:$D$329))/2)</f>
        <v>0</v>
      </c>
      <c r="AW329">
        <f>IF(OR(AU329="",AV329=""),"",(AU329+AV329)/2)</f>
        <v>0</v>
      </c>
      <c r="AX329">
        <f>IF(COUNT($E$2:$E329)&lt;52,"",(MAX($C$278:$C$329)+MIN($D$278:$D$329))/2)</f>
        <v>0</v>
      </c>
      <c r="AY329">
        <f>IF(COUNT($E$2:$E329)&lt;20,"",MAX($C$230:$C$329))</f>
        <v>0</v>
      </c>
      <c r="AZ329">
        <f>IF(COUNT($E$2:$E329)&lt;20,"",MIN($D$230:$D$329))</f>
        <v>0</v>
      </c>
      <c r="BA329">
        <f>IF(COUNT($E$2:$E329)&lt;20,"",SLOPE($E$230:$E$329,$F$230:$F$329))</f>
        <v>0</v>
      </c>
      <c r="BB329">
        <f>IF(COUNT($E$2:$E329)&lt;20,"",INTERCEPT($E$230:$E$329,$F$230:$F$329))</f>
        <v>0</v>
      </c>
      <c r="BC329">
        <f>IF(OR(BA329="",BB329=""),"",BB329+BA329*F329)</f>
        <v>0</v>
      </c>
      <c r="BD329">
        <f>IF(COUNT($E$2:$E329)&lt;20,"",STEYX($E$230:$E$329,$F$230:$F$329))</f>
        <v>0</v>
      </c>
      <c r="BE329">
        <f>IF($E329="","",IF(AND(COUNT($E$330:$E$333)&gt;=4,$C329=MAX($C$325:$C$333)),$C329,""))</f>
        <v>0</v>
      </c>
      <c r="BF329">
        <f>IF($E329="","",IF(AND(COUNT($E$330:$E$333)&gt;=4,$D329=MIN($D$325:$D$333)),$D329,""))</f>
        <v>0</v>
      </c>
      <c r="BG329">
        <f>IFERROR(SMALL(Calc_Daily!$BM$2:$BM$2001,328),"")</f>
        <v>0</v>
      </c>
    </row>
    <row r="330" spans="1:59">
      <c r="A330" s="27">
        <f>IF($BG330="","",INDEX(Calc_Daily!$A$2:$A$2001,$BG330))</f>
        <v>0</v>
      </c>
      <c r="B330">
        <f>IF($BG330="","",INDEX(Calc_Daily!$BJ$2:$BJ$2001,$BG330))</f>
        <v>0</v>
      </c>
      <c r="C330">
        <f>IF($BG330="","",INDEX(Calc_Daily!$BK$2:$BK$2001,$BG330))</f>
        <v>0</v>
      </c>
      <c r="D330">
        <f>IF($BG330="","",INDEX(Calc_Daily!$BL$2:$BL$2001,$BG330))</f>
        <v>0</v>
      </c>
      <c r="E330">
        <f>IF($BG330="","",INDEX(Calc_Daily!$E$2:$E$2001,$BG330))</f>
        <v>0</v>
      </c>
      <c r="F330">
        <f>IF($E330="","",N(F329)+1)</f>
        <v>0</v>
      </c>
      <c r="G330">
        <f>IF(OR($E330="",$E329=""),"",LN($E330/$E329))</f>
        <v>0</v>
      </c>
      <c r="H330">
        <f>IF($E330="","",IF($E329="",$E330,$E330*0.0952380952+H329*0.9047619048))</f>
        <v>0</v>
      </c>
      <c r="I330">
        <f>IF($E330="","",IF($E329="",$E330,$E330*0.0392156863+I329*0.9607843137))</f>
        <v>0</v>
      </c>
      <c r="J330">
        <f>IF($E330="","",IF($E329="",$E330,$E330*0.0198019802+J329*0.9801980198))</f>
        <v>0</v>
      </c>
      <c r="K330">
        <f>IF($E330="","",IF($E329="",$E330,$E330*0.0099502488+K329*0.9900497512))</f>
        <v>0</v>
      </c>
      <c r="L330">
        <f>IF(OR($E330="",$E329=""),"",MAX($E330-$E329,0))</f>
        <v>0</v>
      </c>
      <c r="M330">
        <f>IF(OR($E330="",$E329=""),"",MAX($E329-$E330,0))</f>
        <v>0</v>
      </c>
      <c r="N330">
        <f>IF(COUNT($E$2:$E330)&lt;15,"",IF(AVERAGE($M$317:$M$330)=0,100,100-100/(1+AVERAGE($L$317:$L$330)/AVERAGE($M$317:$M$330))))</f>
        <v>0</v>
      </c>
      <c r="O330">
        <f>IF($E330="","",IF($E329="",$E330,$E330*0.1538461538+O329*0.8461538462))</f>
        <v>0</v>
      </c>
      <c r="P330">
        <f>IF($E330="","",IF($E329="",$E330,$E330*0.0740740741+P329*0.9259259259))</f>
        <v>0</v>
      </c>
      <c r="Q330">
        <f>IF(OR(O330="",P330=""),"",O330-P330)</f>
        <v>0</v>
      </c>
      <c r="R330">
        <f>IF(Q330="","",IF(R329="",Q330,Q330*0.2000000000+R329*0.8000000000))</f>
        <v>0</v>
      </c>
      <c r="S330">
        <f>IF(OR(Q330="",R330=""),"",Q330-R330)</f>
        <v>0</v>
      </c>
      <c r="T330">
        <f>IF(COUNT($E$2:$E330)&lt;14,"",MAX($C$317:$C$330))</f>
        <v>0</v>
      </c>
      <c r="U330">
        <f>IF(COUNT($E$2:$E330)&lt;14,"",MIN($D$317:$D$330))</f>
        <v>0</v>
      </c>
      <c r="V330">
        <f>IF(OR(T330="",U330="",T330=U330),"",100*($E330-U330)/(T330-U330))</f>
        <v>0</v>
      </c>
      <c r="W330">
        <f>IF(COUNT($V$328:$V$330)&lt;3,"",AVERAGE($V$328:$V$330))</f>
        <v>0</v>
      </c>
      <c r="X330">
        <f>IF(COUNT($N$317:$N$330)&lt;14,"",MIN($N$317:$N$330))</f>
        <v>0</v>
      </c>
      <c r="Y330">
        <f>IF(COUNT($N$317:$N$330)&lt;14,"",MAX($N$317:$N$330))</f>
        <v>0</v>
      </c>
      <c r="Z330">
        <f>IF(OR(N330="",X330="",Y330="",Y330=X330),"",100*(N330-X330)/(Y330-X330))</f>
        <v>0</v>
      </c>
      <c r="AA330">
        <f>IF(COUNT($Z$328:$Z$330)&lt;3,"",AVERAGE($Z$328:$Z$330))</f>
        <v>0</v>
      </c>
      <c r="AB330">
        <f>IF(COUNT($AA$328:$AA$330)&lt;3,"",AVERAGE($AA$328:$AA$330))</f>
        <v>0</v>
      </c>
      <c r="AC330">
        <f>IF($E330="","",MAX($C330-$D330,ABS($C330-$E329),ABS($D330-$E329)))</f>
        <v>0</v>
      </c>
      <c r="AD330">
        <f>IF(COUNT($E$2:$E330)&lt;15,"",AVERAGE($AC$317:$AC$330))</f>
        <v>0</v>
      </c>
      <c r="AE330">
        <f>IF(OR($E330="",$E329=""),"",IF(AND(($C330-$C329)&gt;($D329-$D330),($C330-$C329)&gt;0),$C330-$C329,0))</f>
        <v>0</v>
      </c>
      <c r="AF330">
        <f>IF(OR($E330="",$E329=""),"",IF(AND(($D329-$D330)&gt;($C330-$C329),($D329-$D330)&gt;0),$D329-$D330,0))</f>
        <v>0</v>
      </c>
      <c r="AG330">
        <f>IF(COUNT($E$2:$E330)&lt;15,"",IF(SUM($AC$317:$AC$330)=0,0,100*SUM($AE$317:$AE$330)/SUM($AC$317:$AC$330)))</f>
        <v>0</v>
      </c>
      <c r="AH330">
        <f>IF(COUNT($E$2:$E330)&lt;15,"",IF(SUM($AC$317:$AC$330)=0,0,100*SUM($AF$317:$AF$330)/SUM($AC$317:$AC$330)))</f>
        <v>0</v>
      </c>
      <c r="AI330">
        <f>IF(OR(AG330="",AH330=""),"",IF((AG330+AH330)=0,0,100*ABS(AG330-AH330)/(AG330+AH330)))</f>
        <v>0</v>
      </c>
      <c r="AJ330">
        <f>IF(COUNT($AI$317:$AI$330)&lt;14,"",AVERAGE($AI$317:$AI$330))</f>
        <v>0</v>
      </c>
      <c r="AK330">
        <f>IF(COUNT($E$2:$E330)&lt;20,"",AVERAGE($E$311:$E$330))</f>
        <v>0</v>
      </c>
      <c r="AL330">
        <f>IF(COUNT($E$2:$E330)&lt;20,"",STDEVP($E$311:$E$330))</f>
        <v>0</v>
      </c>
      <c r="AM330">
        <f>IF(AK330="","",AK330+2*AL330)</f>
        <v>0</v>
      </c>
      <c r="AN330">
        <f>IF(AK330="","",AK330-2*AL330)</f>
        <v>0</v>
      </c>
      <c r="AO330">
        <f>IF(OR(AM330="",AN330="",AM330=AN330),"",($E330-AN330)/(AM330-AN330))</f>
        <v>0</v>
      </c>
      <c r="AP330">
        <f>IF(OR(AM330="",AK330="",AK330=0),"",(AM330-AN330)/AK330)</f>
        <v>0</v>
      </c>
      <c r="AQ330">
        <f>IF(COUNT($E$2:$E330)&lt;20,"",MAX($C$311:$C$330))</f>
        <v>0</v>
      </c>
      <c r="AR330">
        <f>IF(COUNT($E$2:$E330)&lt;20,"",MIN($D$311:$D$330))</f>
        <v>0</v>
      </c>
      <c r="AS330">
        <f>IF(OR(AQ330="",AR330=""),"",(AQ330+AR330)/2)</f>
        <v>0</v>
      </c>
      <c r="AT330">
        <f>IF(COUNT($G$311:$G$330)&lt;20,"",STDEV($G$311:$G$330)*SQRT(52))</f>
        <v>0</v>
      </c>
      <c r="AU330">
        <f>IF(COUNT($E$2:$E330)&lt;9,"",(MAX($C$322:$C$330)+MIN($D$322:$D$330))/2)</f>
        <v>0</v>
      </c>
      <c r="AV330">
        <f>IF(COUNT($E$2:$E330)&lt;26,"",(MAX($C$305:$C$330)+MIN($D$305:$D$330))/2)</f>
        <v>0</v>
      </c>
      <c r="AW330">
        <f>IF(OR(AU330="",AV330=""),"",(AU330+AV330)/2)</f>
        <v>0</v>
      </c>
      <c r="AX330">
        <f>IF(COUNT($E$2:$E330)&lt;52,"",(MAX($C$279:$C$330)+MIN($D$279:$D$330))/2)</f>
        <v>0</v>
      </c>
      <c r="AY330">
        <f>IF(COUNT($E$2:$E330)&lt;20,"",MAX($C$231:$C$330))</f>
        <v>0</v>
      </c>
      <c r="AZ330">
        <f>IF(COUNT($E$2:$E330)&lt;20,"",MIN($D$231:$D$330))</f>
        <v>0</v>
      </c>
      <c r="BA330">
        <f>IF(COUNT($E$2:$E330)&lt;20,"",SLOPE($E$231:$E$330,$F$231:$F$330))</f>
        <v>0</v>
      </c>
      <c r="BB330">
        <f>IF(COUNT($E$2:$E330)&lt;20,"",INTERCEPT($E$231:$E$330,$F$231:$F$330))</f>
        <v>0</v>
      </c>
      <c r="BC330">
        <f>IF(OR(BA330="",BB330=""),"",BB330+BA330*F330)</f>
        <v>0</v>
      </c>
      <c r="BD330">
        <f>IF(COUNT($E$2:$E330)&lt;20,"",STEYX($E$231:$E$330,$F$231:$F$330))</f>
        <v>0</v>
      </c>
      <c r="BE330">
        <f>IF($E330="","",IF(AND(COUNT($E$331:$E$334)&gt;=4,$C330=MAX($C$326:$C$334)),$C330,""))</f>
        <v>0</v>
      </c>
      <c r="BF330">
        <f>IF($E330="","",IF(AND(COUNT($E$331:$E$334)&gt;=4,$D330=MIN($D$326:$D$334)),$D330,""))</f>
        <v>0</v>
      </c>
      <c r="BG330">
        <f>IFERROR(SMALL(Calc_Daily!$BM$2:$BM$2001,329),"")</f>
        <v>0</v>
      </c>
    </row>
    <row r="331" spans="1:59">
      <c r="A331" s="27">
        <f>IF($BG331="","",INDEX(Calc_Daily!$A$2:$A$2001,$BG331))</f>
        <v>0</v>
      </c>
      <c r="B331">
        <f>IF($BG331="","",INDEX(Calc_Daily!$BJ$2:$BJ$2001,$BG331))</f>
        <v>0</v>
      </c>
      <c r="C331">
        <f>IF($BG331="","",INDEX(Calc_Daily!$BK$2:$BK$2001,$BG331))</f>
        <v>0</v>
      </c>
      <c r="D331">
        <f>IF($BG331="","",INDEX(Calc_Daily!$BL$2:$BL$2001,$BG331))</f>
        <v>0</v>
      </c>
      <c r="E331">
        <f>IF($BG331="","",INDEX(Calc_Daily!$E$2:$E$2001,$BG331))</f>
        <v>0</v>
      </c>
      <c r="F331">
        <f>IF($E331="","",N(F330)+1)</f>
        <v>0</v>
      </c>
      <c r="G331">
        <f>IF(OR($E331="",$E330=""),"",LN($E331/$E330))</f>
        <v>0</v>
      </c>
      <c r="H331">
        <f>IF($E331="","",IF($E330="",$E331,$E331*0.0952380952+H330*0.9047619048))</f>
        <v>0</v>
      </c>
      <c r="I331">
        <f>IF($E331="","",IF($E330="",$E331,$E331*0.0392156863+I330*0.9607843137))</f>
        <v>0</v>
      </c>
      <c r="J331">
        <f>IF($E331="","",IF($E330="",$E331,$E331*0.0198019802+J330*0.9801980198))</f>
        <v>0</v>
      </c>
      <c r="K331">
        <f>IF($E331="","",IF($E330="",$E331,$E331*0.0099502488+K330*0.9900497512))</f>
        <v>0</v>
      </c>
      <c r="L331">
        <f>IF(OR($E331="",$E330=""),"",MAX($E331-$E330,0))</f>
        <v>0</v>
      </c>
      <c r="M331">
        <f>IF(OR($E331="",$E330=""),"",MAX($E330-$E331,0))</f>
        <v>0</v>
      </c>
      <c r="N331">
        <f>IF(COUNT($E$2:$E331)&lt;15,"",IF(AVERAGE($M$318:$M$331)=0,100,100-100/(1+AVERAGE($L$318:$L$331)/AVERAGE($M$318:$M$331))))</f>
        <v>0</v>
      </c>
      <c r="O331">
        <f>IF($E331="","",IF($E330="",$E331,$E331*0.1538461538+O330*0.8461538462))</f>
        <v>0</v>
      </c>
      <c r="P331">
        <f>IF($E331="","",IF($E330="",$E331,$E331*0.0740740741+P330*0.9259259259))</f>
        <v>0</v>
      </c>
      <c r="Q331">
        <f>IF(OR(O331="",P331=""),"",O331-P331)</f>
        <v>0</v>
      </c>
      <c r="R331">
        <f>IF(Q331="","",IF(R330="",Q331,Q331*0.2000000000+R330*0.8000000000))</f>
        <v>0</v>
      </c>
      <c r="S331">
        <f>IF(OR(Q331="",R331=""),"",Q331-R331)</f>
        <v>0</v>
      </c>
      <c r="T331">
        <f>IF(COUNT($E$2:$E331)&lt;14,"",MAX($C$318:$C$331))</f>
        <v>0</v>
      </c>
      <c r="U331">
        <f>IF(COUNT($E$2:$E331)&lt;14,"",MIN($D$318:$D$331))</f>
        <v>0</v>
      </c>
      <c r="V331">
        <f>IF(OR(T331="",U331="",T331=U331),"",100*($E331-U331)/(T331-U331))</f>
        <v>0</v>
      </c>
      <c r="W331">
        <f>IF(COUNT($V$329:$V$331)&lt;3,"",AVERAGE($V$329:$V$331))</f>
        <v>0</v>
      </c>
      <c r="X331">
        <f>IF(COUNT($N$318:$N$331)&lt;14,"",MIN($N$318:$N$331))</f>
        <v>0</v>
      </c>
      <c r="Y331">
        <f>IF(COUNT($N$318:$N$331)&lt;14,"",MAX($N$318:$N$331))</f>
        <v>0</v>
      </c>
      <c r="Z331">
        <f>IF(OR(N331="",X331="",Y331="",Y331=X331),"",100*(N331-X331)/(Y331-X331))</f>
        <v>0</v>
      </c>
      <c r="AA331">
        <f>IF(COUNT($Z$329:$Z$331)&lt;3,"",AVERAGE($Z$329:$Z$331))</f>
        <v>0</v>
      </c>
      <c r="AB331">
        <f>IF(COUNT($AA$329:$AA$331)&lt;3,"",AVERAGE($AA$329:$AA$331))</f>
        <v>0</v>
      </c>
      <c r="AC331">
        <f>IF($E331="","",MAX($C331-$D331,ABS($C331-$E330),ABS($D331-$E330)))</f>
        <v>0</v>
      </c>
      <c r="AD331">
        <f>IF(COUNT($E$2:$E331)&lt;15,"",AVERAGE($AC$318:$AC$331))</f>
        <v>0</v>
      </c>
      <c r="AE331">
        <f>IF(OR($E331="",$E330=""),"",IF(AND(($C331-$C330)&gt;($D330-$D331),($C331-$C330)&gt;0),$C331-$C330,0))</f>
        <v>0</v>
      </c>
      <c r="AF331">
        <f>IF(OR($E331="",$E330=""),"",IF(AND(($D330-$D331)&gt;($C331-$C330),($D330-$D331)&gt;0),$D330-$D331,0))</f>
        <v>0</v>
      </c>
      <c r="AG331">
        <f>IF(COUNT($E$2:$E331)&lt;15,"",IF(SUM($AC$318:$AC$331)=0,0,100*SUM($AE$318:$AE$331)/SUM($AC$318:$AC$331)))</f>
        <v>0</v>
      </c>
      <c r="AH331">
        <f>IF(COUNT($E$2:$E331)&lt;15,"",IF(SUM($AC$318:$AC$331)=0,0,100*SUM($AF$318:$AF$331)/SUM($AC$318:$AC$331)))</f>
        <v>0</v>
      </c>
      <c r="AI331">
        <f>IF(OR(AG331="",AH331=""),"",IF((AG331+AH331)=0,0,100*ABS(AG331-AH331)/(AG331+AH331)))</f>
        <v>0</v>
      </c>
      <c r="AJ331">
        <f>IF(COUNT($AI$318:$AI$331)&lt;14,"",AVERAGE($AI$318:$AI$331))</f>
        <v>0</v>
      </c>
      <c r="AK331">
        <f>IF(COUNT($E$2:$E331)&lt;20,"",AVERAGE($E$312:$E$331))</f>
        <v>0</v>
      </c>
      <c r="AL331">
        <f>IF(COUNT($E$2:$E331)&lt;20,"",STDEVP($E$312:$E$331))</f>
        <v>0</v>
      </c>
      <c r="AM331">
        <f>IF(AK331="","",AK331+2*AL331)</f>
        <v>0</v>
      </c>
      <c r="AN331">
        <f>IF(AK331="","",AK331-2*AL331)</f>
        <v>0</v>
      </c>
      <c r="AO331">
        <f>IF(OR(AM331="",AN331="",AM331=AN331),"",($E331-AN331)/(AM331-AN331))</f>
        <v>0</v>
      </c>
      <c r="AP331">
        <f>IF(OR(AM331="",AK331="",AK331=0),"",(AM331-AN331)/AK331)</f>
        <v>0</v>
      </c>
      <c r="AQ331">
        <f>IF(COUNT($E$2:$E331)&lt;20,"",MAX($C$312:$C$331))</f>
        <v>0</v>
      </c>
      <c r="AR331">
        <f>IF(COUNT($E$2:$E331)&lt;20,"",MIN($D$312:$D$331))</f>
        <v>0</v>
      </c>
      <c r="AS331">
        <f>IF(OR(AQ331="",AR331=""),"",(AQ331+AR331)/2)</f>
        <v>0</v>
      </c>
      <c r="AT331">
        <f>IF(COUNT($G$312:$G$331)&lt;20,"",STDEV($G$312:$G$331)*SQRT(52))</f>
        <v>0</v>
      </c>
      <c r="AU331">
        <f>IF(COUNT($E$2:$E331)&lt;9,"",(MAX($C$323:$C$331)+MIN($D$323:$D$331))/2)</f>
        <v>0</v>
      </c>
      <c r="AV331">
        <f>IF(COUNT($E$2:$E331)&lt;26,"",(MAX($C$306:$C$331)+MIN($D$306:$D$331))/2)</f>
        <v>0</v>
      </c>
      <c r="AW331">
        <f>IF(OR(AU331="",AV331=""),"",(AU331+AV331)/2)</f>
        <v>0</v>
      </c>
      <c r="AX331">
        <f>IF(COUNT($E$2:$E331)&lt;52,"",(MAX($C$280:$C$331)+MIN($D$280:$D$331))/2)</f>
        <v>0</v>
      </c>
      <c r="AY331">
        <f>IF(COUNT($E$2:$E331)&lt;20,"",MAX($C$232:$C$331))</f>
        <v>0</v>
      </c>
      <c r="AZ331">
        <f>IF(COUNT($E$2:$E331)&lt;20,"",MIN($D$232:$D$331))</f>
        <v>0</v>
      </c>
      <c r="BA331">
        <f>IF(COUNT($E$2:$E331)&lt;20,"",SLOPE($E$232:$E$331,$F$232:$F$331))</f>
        <v>0</v>
      </c>
      <c r="BB331">
        <f>IF(COUNT($E$2:$E331)&lt;20,"",INTERCEPT($E$232:$E$331,$F$232:$F$331))</f>
        <v>0</v>
      </c>
      <c r="BC331">
        <f>IF(OR(BA331="",BB331=""),"",BB331+BA331*F331)</f>
        <v>0</v>
      </c>
      <c r="BD331">
        <f>IF(COUNT($E$2:$E331)&lt;20,"",STEYX($E$232:$E$331,$F$232:$F$331))</f>
        <v>0</v>
      </c>
      <c r="BE331">
        <f>IF($E331="","",IF(AND(COUNT($E$332:$E$335)&gt;=4,$C331=MAX($C$327:$C$335)),$C331,""))</f>
        <v>0</v>
      </c>
      <c r="BF331">
        <f>IF($E331="","",IF(AND(COUNT($E$332:$E$335)&gt;=4,$D331=MIN($D$327:$D$335)),$D331,""))</f>
        <v>0</v>
      </c>
      <c r="BG331">
        <f>IFERROR(SMALL(Calc_Daily!$BM$2:$BM$2001,330),"")</f>
        <v>0</v>
      </c>
    </row>
    <row r="332" spans="1:59">
      <c r="A332" s="27">
        <f>IF($BG332="","",INDEX(Calc_Daily!$A$2:$A$2001,$BG332))</f>
        <v>0</v>
      </c>
      <c r="B332">
        <f>IF($BG332="","",INDEX(Calc_Daily!$BJ$2:$BJ$2001,$BG332))</f>
        <v>0</v>
      </c>
      <c r="C332">
        <f>IF($BG332="","",INDEX(Calc_Daily!$BK$2:$BK$2001,$BG332))</f>
        <v>0</v>
      </c>
      <c r="D332">
        <f>IF($BG332="","",INDEX(Calc_Daily!$BL$2:$BL$2001,$BG332))</f>
        <v>0</v>
      </c>
      <c r="E332">
        <f>IF($BG332="","",INDEX(Calc_Daily!$E$2:$E$2001,$BG332))</f>
        <v>0</v>
      </c>
      <c r="F332">
        <f>IF($E332="","",N(F331)+1)</f>
        <v>0</v>
      </c>
      <c r="G332">
        <f>IF(OR($E332="",$E331=""),"",LN($E332/$E331))</f>
        <v>0</v>
      </c>
      <c r="H332">
        <f>IF($E332="","",IF($E331="",$E332,$E332*0.0952380952+H331*0.9047619048))</f>
        <v>0</v>
      </c>
      <c r="I332">
        <f>IF($E332="","",IF($E331="",$E332,$E332*0.0392156863+I331*0.9607843137))</f>
        <v>0</v>
      </c>
      <c r="J332">
        <f>IF($E332="","",IF($E331="",$E332,$E332*0.0198019802+J331*0.9801980198))</f>
        <v>0</v>
      </c>
      <c r="K332">
        <f>IF($E332="","",IF($E331="",$E332,$E332*0.0099502488+K331*0.9900497512))</f>
        <v>0</v>
      </c>
      <c r="L332">
        <f>IF(OR($E332="",$E331=""),"",MAX($E332-$E331,0))</f>
        <v>0</v>
      </c>
      <c r="M332">
        <f>IF(OR($E332="",$E331=""),"",MAX($E331-$E332,0))</f>
        <v>0</v>
      </c>
      <c r="N332">
        <f>IF(COUNT($E$2:$E332)&lt;15,"",IF(AVERAGE($M$319:$M$332)=0,100,100-100/(1+AVERAGE($L$319:$L$332)/AVERAGE($M$319:$M$332))))</f>
        <v>0</v>
      </c>
      <c r="O332">
        <f>IF($E332="","",IF($E331="",$E332,$E332*0.1538461538+O331*0.8461538462))</f>
        <v>0</v>
      </c>
      <c r="P332">
        <f>IF($E332="","",IF($E331="",$E332,$E332*0.0740740741+P331*0.9259259259))</f>
        <v>0</v>
      </c>
      <c r="Q332">
        <f>IF(OR(O332="",P332=""),"",O332-P332)</f>
        <v>0</v>
      </c>
      <c r="R332">
        <f>IF(Q332="","",IF(R331="",Q332,Q332*0.2000000000+R331*0.8000000000))</f>
        <v>0</v>
      </c>
      <c r="S332">
        <f>IF(OR(Q332="",R332=""),"",Q332-R332)</f>
        <v>0</v>
      </c>
      <c r="T332">
        <f>IF(COUNT($E$2:$E332)&lt;14,"",MAX($C$319:$C$332))</f>
        <v>0</v>
      </c>
      <c r="U332">
        <f>IF(COUNT($E$2:$E332)&lt;14,"",MIN($D$319:$D$332))</f>
        <v>0</v>
      </c>
      <c r="V332">
        <f>IF(OR(T332="",U332="",T332=U332),"",100*($E332-U332)/(T332-U332))</f>
        <v>0</v>
      </c>
      <c r="W332">
        <f>IF(COUNT($V$330:$V$332)&lt;3,"",AVERAGE($V$330:$V$332))</f>
        <v>0</v>
      </c>
      <c r="X332">
        <f>IF(COUNT($N$319:$N$332)&lt;14,"",MIN($N$319:$N$332))</f>
        <v>0</v>
      </c>
      <c r="Y332">
        <f>IF(COUNT($N$319:$N$332)&lt;14,"",MAX($N$319:$N$332))</f>
        <v>0</v>
      </c>
      <c r="Z332">
        <f>IF(OR(N332="",X332="",Y332="",Y332=X332),"",100*(N332-X332)/(Y332-X332))</f>
        <v>0</v>
      </c>
      <c r="AA332">
        <f>IF(COUNT($Z$330:$Z$332)&lt;3,"",AVERAGE($Z$330:$Z$332))</f>
        <v>0</v>
      </c>
      <c r="AB332">
        <f>IF(COUNT($AA$330:$AA$332)&lt;3,"",AVERAGE($AA$330:$AA$332))</f>
        <v>0</v>
      </c>
      <c r="AC332">
        <f>IF($E332="","",MAX($C332-$D332,ABS($C332-$E331),ABS($D332-$E331)))</f>
        <v>0</v>
      </c>
      <c r="AD332">
        <f>IF(COUNT($E$2:$E332)&lt;15,"",AVERAGE($AC$319:$AC$332))</f>
        <v>0</v>
      </c>
      <c r="AE332">
        <f>IF(OR($E332="",$E331=""),"",IF(AND(($C332-$C331)&gt;($D331-$D332),($C332-$C331)&gt;0),$C332-$C331,0))</f>
        <v>0</v>
      </c>
      <c r="AF332">
        <f>IF(OR($E332="",$E331=""),"",IF(AND(($D331-$D332)&gt;($C332-$C331),($D331-$D332)&gt;0),$D331-$D332,0))</f>
        <v>0</v>
      </c>
      <c r="AG332">
        <f>IF(COUNT($E$2:$E332)&lt;15,"",IF(SUM($AC$319:$AC$332)=0,0,100*SUM($AE$319:$AE$332)/SUM($AC$319:$AC$332)))</f>
        <v>0</v>
      </c>
      <c r="AH332">
        <f>IF(COUNT($E$2:$E332)&lt;15,"",IF(SUM($AC$319:$AC$332)=0,0,100*SUM($AF$319:$AF$332)/SUM($AC$319:$AC$332)))</f>
        <v>0</v>
      </c>
      <c r="AI332">
        <f>IF(OR(AG332="",AH332=""),"",IF((AG332+AH332)=0,0,100*ABS(AG332-AH332)/(AG332+AH332)))</f>
        <v>0</v>
      </c>
      <c r="AJ332">
        <f>IF(COUNT($AI$319:$AI$332)&lt;14,"",AVERAGE($AI$319:$AI$332))</f>
        <v>0</v>
      </c>
      <c r="AK332">
        <f>IF(COUNT($E$2:$E332)&lt;20,"",AVERAGE($E$313:$E$332))</f>
        <v>0</v>
      </c>
      <c r="AL332">
        <f>IF(COUNT($E$2:$E332)&lt;20,"",STDEVP($E$313:$E$332))</f>
        <v>0</v>
      </c>
      <c r="AM332">
        <f>IF(AK332="","",AK332+2*AL332)</f>
        <v>0</v>
      </c>
      <c r="AN332">
        <f>IF(AK332="","",AK332-2*AL332)</f>
        <v>0</v>
      </c>
      <c r="AO332">
        <f>IF(OR(AM332="",AN332="",AM332=AN332),"",($E332-AN332)/(AM332-AN332))</f>
        <v>0</v>
      </c>
      <c r="AP332">
        <f>IF(OR(AM332="",AK332="",AK332=0),"",(AM332-AN332)/AK332)</f>
        <v>0</v>
      </c>
      <c r="AQ332">
        <f>IF(COUNT($E$2:$E332)&lt;20,"",MAX($C$313:$C$332))</f>
        <v>0</v>
      </c>
      <c r="AR332">
        <f>IF(COUNT($E$2:$E332)&lt;20,"",MIN($D$313:$D$332))</f>
        <v>0</v>
      </c>
      <c r="AS332">
        <f>IF(OR(AQ332="",AR332=""),"",(AQ332+AR332)/2)</f>
        <v>0</v>
      </c>
      <c r="AT332">
        <f>IF(COUNT($G$313:$G$332)&lt;20,"",STDEV($G$313:$G$332)*SQRT(52))</f>
        <v>0</v>
      </c>
      <c r="AU332">
        <f>IF(COUNT($E$2:$E332)&lt;9,"",(MAX($C$324:$C$332)+MIN($D$324:$D$332))/2)</f>
        <v>0</v>
      </c>
      <c r="AV332">
        <f>IF(COUNT($E$2:$E332)&lt;26,"",(MAX($C$307:$C$332)+MIN($D$307:$D$332))/2)</f>
        <v>0</v>
      </c>
      <c r="AW332">
        <f>IF(OR(AU332="",AV332=""),"",(AU332+AV332)/2)</f>
        <v>0</v>
      </c>
      <c r="AX332">
        <f>IF(COUNT($E$2:$E332)&lt;52,"",(MAX($C$281:$C$332)+MIN($D$281:$D$332))/2)</f>
        <v>0</v>
      </c>
      <c r="AY332">
        <f>IF(COUNT($E$2:$E332)&lt;20,"",MAX($C$233:$C$332))</f>
        <v>0</v>
      </c>
      <c r="AZ332">
        <f>IF(COUNT($E$2:$E332)&lt;20,"",MIN($D$233:$D$332))</f>
        <v>0</v>
      </c>
      <c r="BA332">
        <f>IF(COUNT($E$2:$E332)&lt;20,"",SLOPE($E$233:$E$332,$F$233:$F$332))</f>
        <v>0</v>
      </c>
      <c r="BB332">
        <f>IF(COUNT($E$2:$E332)&lt;20,"",INTERCEPT($E$233:$E$332,$F$233:$F$332))</f>
        <v>0</v>
      </c>
      <c r="BC332">
        <f>IF(OR(BA332="",BB332=""),"",BB332+BA332*F332)</f>
        <v>0</v>
      </c>
      <c r="BD332">
        <f>IF(COUNT($E$2:$E332)&lt;20,"",STEYX($E$233:$E$332,$F$233:$F$332))</f>
        <v>0</v>
      </c>
      <c r="BE332">
        <f>IF($E332="","",IF(AND(COUNT($E$333:$E$336)&gt;=4,$C332=MAX($C$328:$C$336)),$C332,""))</f>
        <v>0</v>
      </c>
      <c r="BF332">
        <f>IF($E332="","",IF(AND(COUNT($E$333:$E$336)&gt;=4,$D332=MIN($D$328:$D$336)),$D332,""))</f>
        <v>0</v>
      </c>
      <c r="BG332">
        <f>IFERROR(SMALL(Calc_Daily!$BM$2:$BM$2001,331),"")</f>
        <v>0</v>
      </c>
    </row>
    <row r="333" spans="1:59">
      <c r="A333" s="27">
        <f>IF($BG333="","",INDEX(Calc_Daily!$A$2:$A$2001,$BG333))</f>
        <v>0</v>
      </c>
      <c r="B333">
        <f>IF($BG333="","",INDEX(Calc_Daily!$BJ$2:$BJ$2001,$BG333))</f>
        <v>0</v>
      </c>
      <c r="C333">
        <f>IF($BG333="","",INDEX(Calc_Daily!$BK$2:$BK$2001,$BG333))</f>
        <v>0</v>
      </c>
      <c r="D333">
        <f>IF($BG333="","",INDEX(Calc_Daily!$BL$2:$BL$2001,$BG333))</f>
        <v>0</v>
      </c>
      <c r="E333">
        <f>IF($BG333="","",INDEX(Calc_Daily!$E$2:$E$2001,$BG333))</f>
        <v>0</v>
      </c>
      <c r="F333">
        <f>IF($E333="","",N(F332)+1)</f>
        <v>0</v>
      </c>
      <c r="G333">
        <f>IF(OR($E333="",$E332=""),"",LN($E333/$E332))</f>
        <v>0</v>
      </c>
      <c r="H333">
        <f>IF($E333="","",IF($E332="",$E333,$E333*0.0952380952+H332*0.9047619048))</f>
        <v>0</v>
      </c>
      <c r="I333">
        <f>IF($E333="","",IF($E332="",$E333,$E333*0.0392156863+I332*0.9607843137))</f>
        <v>0</v>
      </c>
      <c r="J333">
        <f>IF($E333="","",IF($E332="",$E333,$E333*0.0198019802+J332*0.9801980198))</f>
        <v>0</v>
      </c>
      <c r="K333">
        <f>IF($E333="","",IF($E332="",$E333,$E333*0.0099502488+K332*0.9900497512))</f>
        <v>0</v>
      </c>
      <c r="L333">
        <f>IF(OR($E333="",$E332=""),"",MAX($E333-$E332,0))</f>
        <v>0</v>
      </c>
      <c r="M333">
        <f>IF(OR($E333="",$E332=""),"",MAX($E332-$E333,0))</f>
        <v>0</v>
      </c>
      <c r="N333">
        <f>IF(COUNT($E$2:$E333)&lt;15,"",IF(AVERAGE($M$320:$M$333)=0,100,100-100/(1+AVERAGE($L$320:$L$333)/AVERAGE($M$320:$M$333))))</f>
        <v>0</v>
      </c>
      <c r="O333">
        <f>IF($E333="","",IF($E332="",$E333,$E333*0.1538461538+O332*0.8461538462))</f>
        <v>0</v>
      </c>
      <c r="P333">
        <f>IF($E333="","",IF($E332="",$E333,$E333*0.0740740741+P332*0.9259259259))</f>
        <v>0</v>
      </c>
      <c r="Q333">
        <f>IF(OR(O333="",P333=""),"",O333-P333)</f>
        <v>0</v>
      </c>
      <c r="R333">
        <f>IF(Q333="","",IF(R332="",Q333,Q333*0.2000000000+R332*0.8000000000))</f>
        <v>0</v>
      </c>
      <c r="S333">
        <f>IF(OR(Q333="",R333=""),"",Q333-R333)</f>
        <v>0</v>
      </c>
      <c r="T333">
        <f>IF(COUNT($E$2:$E333)&lt;14,"",MAX($C$320:$C$333))</f>
        <v>0</v>
      </c>
      <c r="U333">
        <f>IF(COUNT($E$2:$E333)&lt;14,"",MIN($D$320:$D$333))</f>
        <v>0</v>
      </c>
      <c r="V333">
        <f>IF(OR(T333="",U333="",T333=U333),"",100*($E333-U333)/(T333-U333))</f>
        <v>0</v>
      </c>
      <c r="W333">
        <f>IF(COUNT($V$331:$V$333)&lt;3,"",AVERAGE($V$331:$V$333))</f>
        <v>0</v>
      </c>
      <c r="X333">
        <f>IF(COUNT($N$320:$N$333)&lt;14,"",MIN($N$320:$N$333))</f>
        <v>0</v>
      </c>
      <c r="Y333">
        <f>IF(COUNT($N$320:$N$333)&lt;14,"",MAX($N$320:$N$333))</f>
        <v>0</v>
      </c>
      <c r="Z333">
        <f>IF(OR(N333="",X333="",Y333="",Y333=X333),"",100*(N333-X333)/(Y333-X333))</f>
        <v>0</v>
      </c>
      <c r="AA333">
        <f>IF(COUNT($Z$331:$Z$333)&lt;3,"",AVERAGE($Z$331:$Z$333))</f>
        <v>0</v>
      </c>
      <c r="AB333">
        <f>IF(COUNT($AA$331:$AA$333)&lt;3,"",AVERAGE($AA$331:$AA$333))</f>
        <v>0</v>
      </c>
      <c r="AC333">
        <f>IF($E333="","",MAX($C333-$D333,ABS($C333-$E332),ABS($D333-$E332)))</f>
        <v>0</v>
      </c>
      <c r="AD333">
        <f>IF(COUNT($E$2:$E333)&lt;15,"",AVERAGE($AC$320:$AC$333))</f>
        <v>0</v>
      </c>
      <c r="AE333">
        <f>IF(OR($E333="",$E332=""),"",IF(AND(($C333-$C332)&gt;($D332-$D333),($C333-$C332)&gt;0),$C333-$C332,0))</f>
        <v>0</v>
      </c>
      <c r="AF333">
        <f>IF(OR($E333="",$E332=""),"",IF(AND(($D332-$D333)&gt;($C333-$C332),($D332-$D333)&gt;0),$D332-$D333,0))</f>
        <v>0</v>
      </c>
      <c r="AG333">
        <f>IF(COUNT($E$2:$E333)&lt;15,"",IF(SUM($AC$320:$AC$333)=0,0,100*SUM($AE$320:$AE$333)/SUM($AC$320:$AC$333)))</f>
        <v>0</v>
      </c>
      <c r="AH333">
        <f>IF(COUNT($E$2:$E333)&lt;15,"",IF(SUM($AC$320:$AC$333)=0,0,100*SUM($AF$320:$AF$333)/SUM($AC$320:$AC$333)))</f>
        <v>0</v>
      </c>
      <c r="AI333">
        <f>IF(OR(AG333="",AH333=""),"",IF((AG333+AH333)=0,0,100*ABS(AG333-AH333)/(AG333+AH333)))</f>
        <v>0</v>
      </c>
      <c r="AJ333">
        <f>IF(COUNT($AI$320:$AI$333)&lt;14,"",AVERAGE($AI$320:$AI$333))</f>
        <v>0</v>
      </c>
      <c r="AK333">
        <f>IF(COUNT($E$2:$E333)&lt;20,"",AVERAGE($E$314:$E$333))</f>
        <v>0</v>
      </c>
      <c r="AL333">
        <f>IF(COUNT($E$2:$E333)&lt;20,"",STDEVP($E$314:$E$333))</f>
        <v>0</v>
      </c>
      <c r="AM333">
        <f>IF(AK333="","",AK333+2*AL333)</f>
        <v>0</v>
      </c>
      <c r="AN333">
        <f>IF(AK333="","",AK333-2*AL333)</f>
        <v>0</v>
      </c>
      <c r="AO333">
        <f>IF(OR(AM333="",AN333="",AM333=AN333),"",($E333-AN333)/(AM333-AN333))</f>
        <v>0</v>
      </c>
      <c r="AP333">
        <f>IF(OR(AM333="",AK333="",AK333=0),"",(AM333-AN333)/AK333)</f>
        <v>0</v>
      </c>
      <c r="AQ333">
        <f>IF(COUNT($E$2:$E333)&lt;20,"",MAX($C$314:$C$333))</f>
        <v>0</v>
      </c>
      <c r="AR333">
        <f>IF(COUNT($E$2:$E333)&lt;20,"",MIN($D$314:$D$333))</f>
        <v>0</v>
      </c>
      <c r="AS333">
        <f>IF(OR(AQ333="",AR333=""),"",(AQ333+AR333)/2)</f>
        <v>0</v>
      </c>
      <c r="AT333">
        <f>IF(COUNT($G$314:$G$333)&lt;20,"",STDEV($G$314:$G$333)*SQRT(52))</f>
        <v>0</v>
      </c>
      <c r="AU333">
        <f>IF(COUNT($E$2:$E333)&lt;9,"",(MAX($C$325:$C$333)+MIN($D$325:$D$333))/2)</f>
        <v>0</v>
      </c>
      <c r="AV333">
        <f>IF(COUNT($E$2:$E333)&lt;26,"",(MAX($C$308:$C$333)+MIN($D$308:$D$333))/2)</f>
        <v>0</v>
      </c>
      <c r="AW333">
        <f>IF(OR(AU333="",AV333=""),"",(AU333+AV333)/2)</f>
        <v>0</v>
      </c>
      <c r="AX333">
        <f>IF(COUNT($E$2:$E333)&lt;52,"",(MAX($C$282:$C$333)+MIN($D$282:$D$333))/2)</f>
        <v>0</v>
      </c>
      <c r="AY333">
        <f>IF(COUNT($E$2:$E333)&lt;20,"",MAX($C$234:$C$333))</f>
        <v>0</v>
      </c>
      <c r="AZ333">
        <f>IF(COUNT($E$2:$E333)&lt;20,"",MIN($D$234:$D$333))</f>
        <v>0</v>
      </c>
      <c r="BA333">
        <f>IF(COUNT($E$2:$E333)&lt;20,"",SLOPE($E$234:$E$333,$F$234:$F$333))</f>
        <v>0</v>
      </c>
      <c r="BB333">
        <f>IF(COUNT($E$2:$E333)&lt;20,"",INTERCEPT($E$234:$E$333,$F$234:$F$333))</f>
        <v>0</v>
      </c>
      <c r="BC333">
        <f>IF(OR(BA333="",BB333=""),"",BB333+BA333*F333)</f>
        <v>0</v>
      </c>
      <c r="BD333">
        <f>IF(COUNT($E$2:$E333)&lt;20,"",STEYX($E$234:$E$333,$F$234:$F$333))</f>
        <v>0</v>
      </c>
      <c r="BE333">
        <f>IF($E333="","",IF(AND(COUNT($E$334:$E$337)&gt;=4,$C333=MAX($C$329:$C$337)),$C333,""))</f>
        <v>0</v>
      </c>
      <c r="BF333">
        <f>IF($E333="","",IF(AND(COUNT($E$334:$E$337)&gt;=4,$D333=MIN($D$329:$D$337)),$D333,""))</f>
        <v>0</v>
      </c>
      <c r="BG333">
        <f>IFERROR(SMALL(Calc_Daily!$BM$2:$BM$2001,332),"")</f>
        <v>0</v>
      </c>
    </row>
    <row r="334" spans="1:59">
      <c r="A334" s="27">
        <f>IF($BG334="","",INDEX(Calc_Daily!$A$2:$A$2001,$BG334))</f>
        <v>0</v>
      </c>
      <c r="B334">
        <f>IF($BG334="","",INDEX(Calc_Daily!$BJ$2:$BJ$2001,$BG334))</f>
        <v>0</v>
      </c>
      <c r="C334">
        <f>IF($BG334="","",INDEX(Calc_Daily!$BK$2:$BK$2001,$BG334))</f>
        <v>0</v>
      </c>
      <c r="D334">
        <f>IF($BG334="","",INDEX(Calc_Daily!$BL$2:$BL$2001,$BG334))</f>
        <v>0</v>
      </c>
      <c r="E334">
        <f>IF($BG334="","",INDEX(Calc_Daily!$E$2:$E$2001,$BG334))</f>
        <v>0</v>
      </c>
      <c r="F334">
        <f>IF($E334="","",N(F333)+1)</f>
        <v>0</v>
      </c>
      <c r="G334">
        <f>IF(OR($E334="",$E333=""),"",LN($E334/$E333))</f>
        <v>0</v>
      </c>
      <c r="H334">
        <f>IF($E334="","",IF($E333="",$E334,$E334*0.0952380952+H333*0.9047619048))</f>
        <v>0</v>
      </c>
      <c r="I334">
        <f>IF($E334="","",IF($E333="",$E334,$E334*0.0392156863+I333*0.9607843137))</f>
        <v>0</v>
      </c>
      <c r="J334">
        <f>IF($E334="","",IF($E333="",$E334,$E334*0.0198019802+J333*0.9801980198))</f>
        <v>0</v>
      </c>
      <c r="K334">
        <f>IF($E334="","",IF($E333="",$E334,$E334*0.0099502488+K333*0.9900497512))</f>
        <v>0</v>
      </c>
      <c r="L334">
        <f>IF(OR($E334="",$E333=""),"",MAX($E334-$E333,0))</f>
        <v>0</v>
      </c>
      <c r="M334">
        <f>IF(OR($E334="",$E333=""),"",MAX($E333-$E334,0))</f>
        <v>0</v>
      </c>
      <c r="N334">
        <f>IF(COUNT($E$2:$E334)&lt;15,"",IF(AVERAGE($M$321:$M$334)=0,100,100-100/(1+AVERAGE($L$321:$L$334)/AVERAGE($M$321:$M$334))))</f>
        <v>0</v>
      </c>
      <c r="O334">
        <f>IF($E334="","",IF($E333="",$E334,$E334*0.1538461538+O333*0.8461538462))</f>
        <v>0</v>
      </c>
      <c r="P334">
        <f>IF($E334="","",IF($E333="",$E334,$E334*0.0740740741+P333*0.9259259259))</f>
        <v>0</v>
      </c>
      <c r="Q334">
        <f>IF(OR(O334="",P334=""),"",O334-P334)</f>
        <v>0</v>
      </c>
      <c r="R334">
        <f>IF(Q334="","",IF(R333="",Q334,Q334*0.2000000000+R333*0.8000000000))</f>
        <v>0</v>
      </c>
      <c r="S334">
        <f>IF(OR(Q334="",R334=""),"",Q334-R334)</f>
        <v>0</v>
      </c>
      <c r="T334">
        <f>IF(COUNT($E$2:$E334)&lt;14,"",MAX($C$321:$C$334))</f>
        <v>0</v>
      </c>
      <c r="U334">
        <f>IF(COUNT($E$2:$E334)&lt;14,"",MIN($D$321:$D$334))</f>
        <v>0</v>
      </c>
      <c r="V334">
        <f>IF(OR(T334="",U334="",T334=U334),"",100*($E334-U334)/(T334-U334))</f>
        <v>0</v>
      </c>
      <c r="W334">
        <f>IF(COUNT($V$332:$V$334)&lt;3,"",AVERAGE($V$332:$V$334))</f>
        <v>0</v>
      </c>
      <c r="X334">
        <f>IF(COUNT($N$321:$N$334)&lt;14,"",MIN($N$321:$N$334))</f>
        <v>0</v>
      </c>
      <c r="Y334">
        <f>IF(COUNT($N$321:$N$334)&lt;14,"",MAX($N$321:$N$334))</f>
        <v>0</v>
      </c>
      <c r="Z334">
        <f>IF(OR(N334="",X334="",Y334="",Y334=X334),"",100*(N334-X334)/(Y334-X334))</f>
        <v>0</v>
      </c>
      <c r="AA334">
        <f>IF(COUNT($Z$332:$Z$334)&lt;3,"",AVERAGE($Z$332:$Z$334))</f>
        <v>0</v>
      </c>
      <c r="AB334">
        <f>IF(COUNT($AA$332:$AA$334)&lt;3,"",AVERAGE($AA$332:$AA$334))</f>
        <v>0</v>
      </c>
      <c r="AC334">
        <f>IF($E334="","",MAX($C334-$D334,ABS($C334-$E333),ABS($D334-$E333)))</f>
        <v>0</v>
      </c>
      <c r="AD334">
        <f>IF(COUNT($E$2:$E334)&lt;15,"",AVERAGE($AC$321:$AC$334))</f>
        <v>0</v>
      </c>
      <c r="AE334">
        <f>IF(OR($E334="",$E333=""),"",IF(AND(($C334-$C333)&gt;($D333-$D334),($C334-$C333)&gt;0),$C334-$C333,0))</f>
        <v>0</v>
      </c>
      <c r="AF334">
        <f>IF(OR($E334="",$E333=""),"",IF(AND(($D333-$D334)&gt;($C334-$C333),($D333-$D334)&gt;0),$D333-$D334,0))</f>
        <v>0</v>
      </c>
      <c r="AG334">
        <f>IF(COUNT($E$2:$E334)&lt;15,"",IF(SUM($AC$321:$AC$334)=0,0,100*SUM($AE$321:$AE$334)/SUM($AC$321:$AC$334)))</f>
        <v>0</v>
      </c>
      <c r="AH334">
        <f>IF(COUNT($E$2:$E334)&lt;15,"",IF(SUM($AC$321:$AC$334)=0,0,100*SUM($AF$321:$AF$334)/SUM($AC$321:$AC$334)))</f>
        <v>0</v>
      </c>
      <c r="AI334">
        <f>IF(OR(AG334="",AH334=""),"",IF((AG334+AH334)=0,0,100*ABS(AG334-AH334)/(AG334+AH334)))</f>
        <v>0</v>
      </c>
      <c r="AJ334">
        <f>IF(COUNT($AI$321:$AI$334)&lt;14,"",AVERAGE($AI$321:$AI$334))</f>
        <v>0</v>
      </c>
      <c r="AK334">
        <f>IF(COUNT($E$2:$E334)&lt;20,"",AVERAGE($E$315:$E$334))</f>
        <v>0</v>
      </c>
      <c r="AL334">
        <f>IF(COUNT($E$2:$E334)&lt;20,"",STDEVP($E$315:$E$334))</f>
        <v>0</v>
      </c>
      <c r="AM334">
        <f>IF(AK334="","",AK334+2*AL334)</f>
        <v>0</v>
      </c>
      <c r="AN334">
        <f>IF(AK334="","",AK334-2*AL334)</f>
        <v>0</v>
      </c>
      <c r="AO334">
        <f>IF(OR(AM334="",AN334="",AM334=AN334),"",($E334-AN334)/(AM334-AN334))</f>
        <v>0</v>
      </c>
      <c r="AP334">
        <f>IF(OR(AM334="",AK334="",AK334=0),"",(AM334-AN334)/AK334)</f>
        <v>0</v>
      </c>
      <c r="AQ334">
        <f>IF(COUNT($E$2:$E334)&lt;20,"",MAX($C$315:$C$334))</f>
        <v>0</v>
      </c>
      <c r="AR334">
        <f>IF(COUNT($E$2:$E334)&lt;20,"",MIN($D$315:$D$334))</f>
        <v>0</v>
      </c>
      <c r="AS334">
        <f>IF(OR(AQ334="",AR334=""),"",(AQ334+AR334)/2)</f>
        <v>0</v>
      </c>
      <c r="AT334">
        <f>IF(COUNT($G$315:$G$334)&lt;20,"",STDEV($G$315:$G$334)*SQRT(52))</f>
        <v>0</v>
      </c>
      <c r="AU334">
        <f>IF(COUNT($E$2:$E334)&lt;9,"",(MAX($C$326:$C$334)+MIN($D$326:$D$334))/2)</f>
        <v>0</v>
      </c>
      <c r="AV334">
        <f>IF(COUNT($E$2:$E334)&lt;26,"",(MAX($C$309:$C$334)+MIN($D$309:$D$334))/2)</f>
        <v>0</v>
      </c>
      <c r="AW334">
        <f>IF(OR(AU334="",AV334=""),"",(AU334+AV334)/2)</f>
        <v>0</v>
      </c>
      <c r="AX334">
        <f>IF(COUNT($E$2:$E334)&lt;52,"",(MAX($C$283:$C$334)+MIN($D$283:$D$334))/2)</f>
        <v>0</v>
      </c>
      <c r="AY334">
        <f>IF(COUNT($E$2:$E334)&lt;20,"",MAX($C$235:$C$334))</f>
        <v>0</v>
      </c>
      <c r="AZ334">
        <f>IF(COUNT($E$2:$E334)&lt;20,"",MIN($D$235:$D$334))</f>
        <v>0</v>
      </c>
      <c r="BA334">
        <f>IF(COUNT($E$2:$E334)&lt;20,"",SLOPE($E$235:$E$334,$F$235:$F$334))</f>
        <v>0</v>
      </c>
      <c r="BB334">
        <f>IF(COUNT($E$2:$E334)&lt;20,"",INTERCEPT($E$235:$E$334,$F$235:$F$334))</f>
        <v>0</v>
      </c>
      <c r="BC334">
        <f>IF(OR(BA334="",BB334=""),"",BB334+BA334*F334)</f>
        <v>0</v>
      </c>
      <c r="BD334">
        <f>IF(COUNT($E$2:$E334)&lt;20,"",STEYX($E$235:$E$334,$F$235:$F$334))</f>
        <v>0</v>
      </c>
      <c r="BE334">
        <f>IF($E334="","",IF(AND(COUNT($E$335:$E$338)&gt;=4,$C334=MAX($C$330:$C$338)),$C334,""))</f>
        <v>0</v>
      </c>
      <c r="BF334">
        <f>IF($E334="","",IF(AND(COUNT($E$335:$E$338)&gt;=4,$D334=MIN($D$330:$D$338)),$D334,""))</f>
        <v>0</v>
      </c>
      <c r="BG334">
        <f>IFERROR(SMALL(Calc_Daily!$BM$2:$BM$2001,333),"")</f>
        <v>0</v>
      </c>
    </row>
    <row r="335" spans="1:59">
      <c r="A335" s="27">
        <f>IF($BG335="","",INDEX(Calc_Daily!$A$2:$A$2001,$BG335))</f>
        <v>0</v>
      </c>
      <c r="B335">
        <f>IF($BG335="","",INDEX(Calc_Daily!$BJ$2:$BJ$2001,$BG335))</f>
        <v>0</v>
      </c>
      <c r="C335">
        <f>IF($BG335="","",INDEX(Calc_Daily!$BK$2:$BK$2001,$BG335))</f>
        <v>0</v>
      </c>
      <c r="D335">
        <f>IF($BG335="","",INDEX(Calc_Daily!$BL$2:$BL$2001,$BG335))</f>
        <v>0</v>
      </c>
      <c r="E335">
        <f>IF($BG335="","",INDEX(Calc_Daily!$E$2:$E$2001,$BG335))</f>
        <v>0</v>
      </c>
      <c r="F335">
        <f>IF($E335="","",N(F334)+1)</f>
        <v>0</v>
      </c>
      <c r="G335">
        <f>IF(OR($E335="",$E334=""),"",LN($E335/$E334))</f>
        <v>0</v>
      </c>
      <c r="H335">
        <f>IF($E335="","",IF($E334="",$E335,$E335*0.0952380952+H334*0.9047619048))</f>
        <v>0</v>
      </c>
      <c r="I335">
        <f>IF($E335="","",IF($E334="",$E335,$E335*0.0392156863+I334*0.9607843137))</f>
        <v>0</v>
      </c>
      <c r="J335">
        <f>IF($E335="","",IF($E334="",$E335,$E335*0.0198019802+J334*0.9801980198))</f>
        <v>0</v>
      </c>
      <c r="K335">
        <f>IF($E335="","",IF($E334="",$E335,$E335*0.0099502488+K334*0.9900497512))</f>
        <v>0</v>
      </c>
      <c r="L335">
        <f>IF(OR($E335="",$E334=""),"",MAX($E335-$E334,0))</f>
        <v>0</v>
      </c>
      <c r="M335">
        <f>IF(OR($E335="",$E334=""),"",MAX($E334-$E335,0))</f>
        <v>0</v>
      </c>
      <c r="N335">
        <f>IF(COUNT($E$2:$E335)&lt;15,"",IF(AVERAGE($M$322:$M$335)=0,100,100-100/(1+AVERAGE($L$322:$L$335)/AVERAGE($M$322:$M$335))))</f>
        <v>0</v>
      </c>
      <c r="O335">
        <f>IF($E335="","",IF($E334="",$E335,$E335*0.1538461538+O334*0.8461538462))</f>
        <v>0</v>
      </c>
      <c r="P335">
        <f>IF($E335="","",IF($E334="",$E335,$E335*0.0740740741+P334*0.9259259259))</f>
        <v>0</v>
      </c>
      <c r="Q335">
        <f>IF(OR(O335="",P335=""),"",O335-P335)</f>
        <v>0</v>
      </c>
      <c r="R335">
        <f>IF(Q335="","",IF(R334="",Q335,Q335*0.2000000000+R334*0.8000000000))</f>
        <v>0</v>
      </c>
      <c r="S335">
        <f>IF(OR(Q335="",R335=""),"",Q335-R335)</f>
        <v>0</v>
      </c>
      <c r="T335">
        <f>IF(COUNT($E$2:$E335)&lt;14,"",MAX($C$322:$C$335))</f>
        <v>0</v>
      </c>
      <c r="U335">
        <f>IF(COUNT($E$2:$E335)&lt;14,"",MIN($D$322:$D$335))</f>
        <v>0</v>
      </c>
      <c r="V335">
        <f>IF(OR(T335="",U335="",T335=U335),"",100*($E335-U335)/(T335-U335))</f>
        <v>0</v>
      </c>
      <c r="W335">
        <f>IF(COUNT($V$333:$V$335)&lt;3,"",AVERAGE($V$333:$V$335))</f>
        <v>0</v>
      </c>
      <c r="X335">
        <f>IF(COUNT($N$322:$N$335)&lt;14,"",MIN($N$322:$N$335))</f>
        <v>0</v>
      </c>
      <c r="Y335">
        <f>IF(COUNT($N$322:$N$335)&lt;14,"",MAX($N$322:$N$335))</f>
        <v>0</v>
      </c>
      <c r="Z335">
        <f>IF(OR(N335="",X335="",Y335="",Y335=X335),"",100*(N335-X335)/(Y335-X335))</f>
        <v>0</v>
      </c>
      <c r="AA335">
        <f>IF(COUNT($Z$333:$Z$335)&lt;3,"",AVERAGE($Z$333:$Z$335))</f>
        <v>0</v>
      </c>
      <c r="AB335">
        <f>IF(COUNT($AA$333:$AA$335)&lt;3,"",AVERAGE($AA$333:$AA$335))</f>
        <v>0</v>
      </c>
      <c r="AC335">
        <f>IF($E335="","",MAX($C335-$D335,ABS($C335-$E334),ABS($D335-$E334)))</f>
        <v>0</v>
      </c>
      <c r="AD335">
        <f>IF(COUNT($E$2:$E335)&lt;15,"",AVERAGE($AC$322:$AC$335))</f>
        <v>0</v>
      </c>
      <c r="AE335">
        <f>IF(OR($E335="",$E334=""),"",IF(AND(($C335-$C334)&gt;($D334-$D335),($C335-$C334)&gt;0),$C335-$C334,0))</f>
        <v>0</v>
      </c>
      <c r="AF335">
        <f>IF(OR($E335="",$E334=""),"",IF(AND(($D334-$D335)&gt;($C335-$C334),($D334-$D335)&gt;0),$D334-$D335,0))</f>
        <v>0</v>
      </c>
      <c r="AG335">
        <f>IF(COUNT($E$2:$E335)&lt;15,"",IF(SUM($AC$322:$AC$335)=0,0,100*SUM($AE$322:$AE$335)/SUM($AC$322:$AC$335)))</f>
        <v>0</v>
      </c>
      <c r="AH335">
        <f>IF(COUNT($E$2:$E335)&lt;15,"",IF(SUM($AC$322:$AC$335)=0,0,100*SUM($AF$322:$AF$335)/SUM($AC$322:$AC$335)))</f>
        <v>0</v>
      </c>
      <c r="AI335">
        <f>IF(OR(AG335="",AH335=""),"",IF((AG335+AH335)=0,0,100*ABS(AG335-AH335)/(AG335+AH335)))</f>
        <v>0</v>
      </c>
      <c r="AJ335">
        <f>IF(COUNT($AI$322:$AI$335)&lt;14,"",AVERAGE($AI$322:$AI$335))</f>
        <v>0</v>
      </c>
      <c r="AK335">
        <f>IF(COUNT($E$2:$E335)&lt;20,"",AVERAGE($E$316:$E$335))</f>
        <v>0</v>
      </c>
      <c r="AL335">
        <f>IF(COUNT($E$2:$E335)&lt;20,"",STDEVP($E$316:$E$335))</f>
        <v>0</v>
      </c>
      <c r="AM335">
        <f>IF(AK335="","",AK335+2*AL335)</f>
        <v>0</v>
      </c>
      <c r="AN335">
        <f>IF(AK335="","",AK335-2*AL335)</f>
        <v>0</v>
      </c>
      <c r="AO335">
        <f>IF(OR(AM335="",AN335="",AM335=AN335),"",($E335-AN335)/(AM335-AN335))</f>
        <v>0</v>
      </c>
      <c r="AP335">
        <f>IF(OR(AM335="",AK335="",AK335=0),"",(AM335-AN335)/AK335)</f>
        <v>0</v>
      </c>
      <c r="AQ335">
        <f>IF(COUNT($E$2:$E335)&lt;20,"",MAX($C$316:$C$335))</f>
        <v>0</v>
      </c>
      <c r="AR335">
        <f>IF(COUNT($E$2:$E335)&lt;20,"",MIN($D$316:$D$335))</f>
        <v>0</v>
      </c>
      <c r="AS335">
        <f>IF(OR(AQ335="",AR335=""),"",(AQ335+AR335)/2)</f>
        <v>0</v>
      </c>
      <c r="AT335">
        <f>IF(COUNT($G$316:$G$335)&lt;20,"",STDEV($G$316:$G$335)*SQRT(52))</f>
        <v>0</v>
      </c>
      <c r="AU335">
        <f>IF(COUNT($E$2:$E335)&lt;9,"",(MAX($C$327:$C$335)+MIN($D$327:$D$335))/2)</f>
        <v>0</v>
      </c>
      <c r="AV335">
        <f>IF(COUNT($E$2:$E335)&lt;26,"",(MAX($C$310:$C$335)+MIN($D$310:$D$335))/2)</f>
        <v>0</v>
      </c>
      <c r="AW335">
        <f>IF(OR(AU335="",AV335=""),"",(AU335+AV335)/2)</f>
        <v>0</v>
      </c>
      <c r="AX335">
        <f>IF(COUNT($E$2:$E335)&lt;52,"",(MAX($C$284:$C$335)+MIN($D$284:$D$335))/2)</f>
        <v>0</v>
      </c>
      <c r="AY335">
        <f>IF(COUNT($E$2:$E335)&lt;20,"",MAX($C$236:$C$335))</f>
        <v>0</v>
      </c>
      <c r="AZ335">
        <f>IF(COUNT($E$2:$E335)&lt;20,"",MIN($D$236:$D$335))</f>
        <v>0</v>
      </c>
      <c r="BA335">
        <f>IF(COUNT($E$2:$E335)&lt;20,"",SLOPE($E$236:$E$335,$F$236:$F$335))</f>
        <v>0</v>
      </c>
      <c r="BB335">
        <f>IF(COUNT($E$2:$E335)&lt;20,"",INTERCEPT($E$236:$E$335,$F$236:$F$335))</f>
        <v>0</v>
      </c>
      <c r="BC335">
        <f>IF(OR(BA335="",BB335=""),"",BB335+BA335*F335)</f>
        <v>0</v>
      </c>
      <c r="BD335">
        <f>IF(COUNT($E$2:$E335)&lt;20,"",STEYX($E$236:$E$335,$F$236:$F$335))</f>
        <v>0</v>
      </c>
      <c r="BE335">
        <f>IF($E335="","",IF(AND(COUNT($E$336:$E$339)&gt;=4,$C335=MAX($C$331:$C$339)),$C335,""))</f>
        <v>0</v>
      </c>
      <c r="BF335">
        <f>IF($E335="","",IF(AND(COUNT($E$336:$E$339)&gt;=4,$D335=MIN($D$331:$D$339)),$D335,""))</f>
        <v>0</v>
      </c>
      <c r="BG335">
        <f>IFERROR(SMALL(Calc_Daily!$BM$2:$BM$2001,334),"")</f>
        <v>0</v>
      </c>
    </row>
    <row r="336" spans="1:59">
      <c r="A336" s="27">
        <f>IF($BG336="","",INDEX(Calc_Daily!$A$2:$A$2001,$BG336))</f>
        <v>0</v>
      </c>
      <c r="B336">
        <f>IF($BG336="","",INDEX(Calc_Daily!$BJ$2:$BJ$2001,$BG336))</f>
        <v>0</v>
      </c>
      <c r="C336">
        <f>IF($BG336="","",INDEX(Calc_Daily!$BK$2:$BK$2001,$BG336))</f>
        <v>0</v>
      </c>
      <c r="D336">
        <f>IF($BG336="","",INDEX(Calc_Daily!$BL$2:$BL$2001,$BG336))</f>
        <v>0</v>
      </c>
      <c r="E336">
        <f>IF($BG336="","",INDEX(Calc_Daily!$E$2:$E$2001,$BG336))</f>
        <v>0</v>
      </c>
      <c r="F336">
        <f>IF($E336="","",N(F335)+1)</f>
        <v>0</v>
      </c>
      <c r="G336">
        <f>IF(OR($E336="",$E335=""),"",LN($E336/$E335))</f>
        <v>0</v>
      </c>
      <c r="H336">
        <f>IF($E336="","",IF($E335="",$E336,$E336*0.0952380952+H335*0.9047619048))</f>
        <v>0</v>
      </c>
      <c r="I336">
        <f>IF($E336="","",IF($E335="",$E336,$E336*0.0392156863+I335*0.9607843137))</f>
        <v>0</v>
      </c>
      <c r="J336">
        <f>IF($E336="","",IF($E335="",$E336,$E336*0.0198019802+J335*0.9801980198))</f>
        <v>0</v>
      </c>
      <c r="K336">
        <f>IF($E336="","",IF($E335="",$E336,$E336*0.0099502488+K335*0.9900497512))</f>
        <v>0</v>
      </c>
      <c r="L336">
        <f>IF(OR($E336="",$E335=""),"",MAX($E336-$E335,0))</f>
        <v>0</v>
      </c>
      <c r="M336">
        <f>IF(OR($E336="",$E335=""),"",MAX($E335-$E336,0))</f>
        <v>0</v>
      </c>
      <c r="N336">
        <f>IF(COUNT($E$2:$E336)&lt;15,"",IF(AVERAGE($M$323:$M$336)=0,100,100-100/(1+AVERAGE($L$323:$L$336)/AVERAGE($M$323:$M$336))))</f>
        <v>0</v>
      </c>
      <c r="O336">
        <f>IF($E336="","",IF($E335="",$E336,$E336*0.1538461538+O335*0.8461538462))</f>
        <v>0</v>
      </c>
      <c r="P336">
        <f>IF($E336="","",IF($E335="",$E336,$E336*0.0740740741+P335*0.9259259259))</f>
        <v>0</v>
      </c>
      <c r="Q336">
        <f>IF(OR(O336="",P336=""),"",O336-P336)</f>
        <v>0</v>
      </c>
      <c r="R336">
        <f>IF(Q336="","",IF(R335="",Q336,Q336*0.2000000000+R335*0.8000000000))</f>
        <v>0</v>
      </c>
      <c r="S336">
        <f>IF(OR(Q336="",R336=""),"",Q336-R336)</f>
        <v>0</v>
      </c>
      <c r="T336">
        <f>IF(COUNT($E$2:$E336)&lt;14,"",MAX($C$323:$C$336))</f>
        <v>0</v>
      </c>
      <c r="U336">
        <f>IF(COUNT($E$2:$E336)&lt;14,"",MIN($D$323:$D$336))</f>
        <v>0</v>
      </c>
      <c r="V336">
        <f>IF(OR(T336="",U336="",T336=U336),"",100*($E336-U336)/(T336-U336))</f>
        <v>0</v>
      </c>
      <c r="W336">
        <f>IF(COUNT($V$334:$V$336)&lt;3,"",AVERAGE($V$334:$V$336))</f>
        <v>0</v>
      </c>
      <c r="X336">
        <f>IF(COUNT($N$323:$N$336)&lt;14,"",MIN($N$323:$N$336))</f>
        <v>0</v>
      </c>
      <c r="Y336">
        <f>IF(COUNT($N$323:$N$336)&lt;14,"",MAX($N$323:$N$336))</f>
        <v>0</v>
      </c>
      <c r="Z336">
        <f>IF(OR(N336="",X336="",Y336="",Y336=X336),"",100*(N336-X336)/(Y336-X336))</f>
        <v>0</v>
      </c>
      <c r="AA336">
        <f>IF(COUNT($Z$334:$Z$336)&lt;3,"",AVERAGE($Z$334:$Z$336))</f>
        <v>0</v>
      </c>
      <c r="AB336">
        <f>IF(COUNT($AA$334:$AA$336)&lt;3,"",AVERAGE($AA$334:$AA$336))</f>
        <v>0</v>
      </c>
      <c r="AC336">
        <f>IF($E336="","",MAX($C336-$D336,ABS($C336-$E335),ABS($D336-$E335)))</f>
        <v>0</v>
      </c>
      <c r="AD336">
        <f>IF(COUNT($E$2:$E336)&lt;15,"",AVERAGE($AC$323:$AC$336))</f>
        <v>0</v>
      </c>
      <c r="AE336">
        <f>IF(OR($E336="",$E335=""),"",IF(AND(($C336-$C335)&gt;($D335-$D336),($C336-$C335)&gt;0),$C336-$C335,0))</f>
        <v>0</v>
      </c>
      <c r="AF336">
        <f>IF(OR($E336="",$E335=""),"",IF(AND(($D335-$D336)&gt;($C336-$C335),($D335-$D336)&gt;0),$D335-$D336,0))</f>
        <v>0</v>
      </c>
      <c r="AG336">
        <f>IF(COUNT($E$2:$E336)&lt;15,"",IF(SUM($AC$323:$AC$336)=0,0,100*SUM($AE$323:$AE$336)/SUM($AC$323:$AC$336)))</f>
        <v>0</v>
      </c>
      <c r="AH336">
        <f>IF(COUNT($E$2:$E336)&lt;15,"",IF(SUM($AC$323:$AC$336)=0,0,100*SUM($AF$323:$AF$336)/SUM($AC$323:$AC$336)))</f>
        <v>0</v>
      </c>
      <c r="AI336">
        <f>IF(OR(AG336="",AH336=""),"",IF((AG336+AH336)=0,0,100*ABS(AG336-AH336)/(AG336+AH336)))</f>
        <v>0</v>
      </c>
      <c r="AJ336">
        <f>IF(COUNT($AI$323:$AI$336)&lt;14,"",AVERAGE($AI$323:$AI$336))</f>
        <v>0</v>
      </c>
      <c r="AK336">
        <f>IF(COUNT($E$2:$E336)&lt;20,"",AVERAGE($E$317:$E$336))</f>
        <v>0</v>
      </c>
      <c r="AL336">
        <f>IF(COUNT($E$2:$E336)&lt;20,"",STDEVP($E$317:$E$336))</f>
        <v>0</v>
      </c>
      <c r="AM336">
        <f>IF(AK336="","",AK336+2*AL336)</f>
        <v>0</v>
      </c>
      <c r="AN336">
        <f>IF(AK336="","",AK336-2*AL336)</f>
        <v>0</v>
      </c>
      <c r="AO336">
        <f>IF(OR(AM336="",AN336="",AM336=AN336),"",($E336-AN336)/(AM336-AN336))</f>
        <v>0</v>
      </c>
      <c r="AP336">
        <f>IF(OR(AM336="",AK336="",AK336=0),"",(AM336-AN336)/AK336)</f>
        <v>0</v>
      </c>
      <c r="AQ336">
        <f>IF(COUNT($E$2:$E336)&lt;20,"",MAX($C$317:$C$336))</f>
        <v>0</v>
      </c>
      <c r="AR336">
        <f>IF(COUNT($E$2:$E336)&lt;20,"",MIN($D$317:$D$336))</f>
        <v>0</v>
      </c>
      <c r="AS336">
        <f>IF(OR(AQ336="",AR336=""),"",(AQ336+AR336)/2)</f>
        <v>0</v>
      </c>
      <c r="AT336">
        <f>IF(COUNT($G$317:$G$336)&lt;20,"",STDEV($G$317:$G$336)*SQRT(52))</f>
        <v>0</v>
      </c>
      <c r="AU336">
        <f>IF(COUNT($E$2:$E336)&lt;9,"",(MAX($C$328:$C$336)+MIN($D$328:$D$336))/2)</f>
        <v>0</v>
      </c>
      <c r="AV336">
        <f>IF(COUNT($E$2:$E336)&lt;26,"",(MAX($C$311:$C$336)+MIN($D$311:$D$336))/2)</f>
        <v>0</v>
      </c>
      <c r="AW336">
        <f>IF(OR(AU336="",AV336=""),"",(AU336+AV336)/2)</f>
        <v>0</v>
      </c>
      <c r="AX336">
        <f>IF(COUNT($E$2:$E336)&lt;52,"",(MAX($C$285:$C$336)+MIN($D$285:$D$336))/2)</f>
        <v>0</v>
      </c>
      <c r="AY336">
        <f>IF(COUNT($E$2:$E336)&lt;20,"",MAX($C$237:$C$336))</f>
        <v>0</v>
      </c>
      <c r="AZ336">
        <f>IF(COUNT($E$2:$E336)&lt;20,"",MIN($D$237:$D$336))</f>
        <v>0</v>
      </c>
      <c r="BA336">
        <f>IF(COUNT($E$2:$E336)&lt;20,"",SLOPE($E$237:$E$336,$F$237:$F$336))</f>
        <v>0</v>
      </c>
      <c r="BB336">
        <f>IF(COUNT($E$2:$E336)&lt;20,"",INTERCEPT($E$237:$E$336,$F$237:$F$336))</f>
        <v>0</v>
      </c>
      <c r="BC336">
        <f>IF(OR(BA336="",BB336=""),"",BB336+BA336*F336)</f>
        <v>0</v>
      </c>
      <c r="BD336">
        <f>IF(COUNT($E$2:$E336)&lt;20,"",STEYX($E$237:$E$336,$F$237:$F$336))</f>
        <v>0</v>
      </c>
      <c r="BE336">
        <f>IF($E336="","",IF(AND(COUNT($E$337:$E$340)&gt;=4,$C336=MAX($C$332:$C$340)),$C336,""))</f>
        <v>0</v>
      </c>
      <c r="BF336">
        <f>IF($E336="","",IF(AND(COUNT($E$337:$E$340)&gt;=4,$D336=MIN($D$332:$D$340)),$D336,""))</f>
        <v>0</v>
      </c>
      <c r="BG336">
        <f>IFERROR(SMALL(Calc_Daily!$BM$2:$BM$2001,335),"")</f>
        <v>0</v>
      </c>
    </row>
    <row r="337" spans="1:59">
      <c r="A337" s="27">
        <f>IF($BG337="","",INDEX(Calc_Daily!$A$2:$A$2001,$BG337))</f>
        <v>0</v>
      </c>
      <c r="B337">
        <f>IF($BG337="","",INDEX(Calc_Daily!$BJ$2:$BJ$2001,$BG337))</f>
        <v>0</v>
      </c>
      <c r="C337">
        <f>IF($BG337="","",INDEX(Calc_Daily!$BK$2:$BK$2001,$BG337))</f>
        <v>0</v>
      </c>
      <c r="D337">
        <f>IF($BG337="","",INDEX(Calc_Daily!$BL$2:$BL$2001,$BG337))</f>
        <v>0</v>
      </c>
      <c r="E337">
        <f>IF($BG337="","",INDEX(Calc_Daily!$E$2:$E$2001,$BG337))</f>
        <v>0</v>
      </c>
      <c r="F337">
        <f>IF($E337="","",N(F336)+1)</f>
        <v>0</v>
      </c>
      <c r="G337">
        <f>IF(OR($E337="",$E336=""),"",LN($E337/$E336))</f>
        <v>0</v>
      </c>
      <c r="H337">
        <f>IF($E337="","",IF($E336="",$E337,$E337*0.0952380952+H336*0.9047619048))</f>
        <v>0</v>
      </c>
      <c r="I337">
        <f>IF($E337="","",IF($E336="",$E337,$E337*0.0392156863+I336*0.9607843137))</f>
        <v>0</v>
      </c>
      <c r="J337">
        <f>IF($E337="","",IF($E336="",$E337,$E337*0.0198019802+J336*0.9801980198))</f>
        <v>0</v>
      </c>
      <c r="K337">
        <f>IF($E337="","",IF($E336="",$E337,$E337*0.0099502488+K336*0.9900497512))</f>
        <v>0</v>
      </c>
      <c r="L337">
        <f>IF(OR($E337="",$E336=""),"",MAX($E337-$E336,0))</f>
        <v>0</v>
      </c>
      <c r="M337">
        <f>IF(OR($E337="",$E336=""),"",MAX($E336-$E337,0))</f>
        <v>0</v>
      </c>
      <c r="N337">
        <f>IF(COUNT($E$2:$E337)&lt;15,"",IF(AVERAGE($M$324:$M$337)=0,100,100-100/(1+AVERAGE($L$324:$L$337)/AVERAGE($M$324:$M$337))))</f>
        <v>0</v>
      </c>
      <c r="O337">
        <f>IF($E337="","",IF($E336="",$E337,$E337*0.1538461538+O336*0.8461538462))</f>
        <v>0</v>
      </c>
      <c r="P337">
        <f>IF($E337="","",IF($E336="",$E337,$E337*0.0740740741+P336*0.9259259259))</f>
        <v>0</v>
      </c>
      <c r="Q337">
        <f>IF(OR(O337="",P337=""),"",O337-P337)</f>
        <v>0</v>
      </c>
      <c r="R337">
        <f>IF(Q337="","",IF(R336="",Q337,Q337*0.2000000000+R336*0.8000000000))</f>
        <v>0</v>
      </c>
      <c r="S337">
        <f>IF(OR(Q337="",R337=""),"",Q337-R337)</f>
        <v>0</v>
      </c>
      <c r="T337">
        <f>IF(COUNT($E$2:$E337)&lt;14,"",MAX($C$324:$C$337))</f>
        <v>0</v>
      </c>
      <c r="U337">
        <f>IF(COUNT($E$2:$E337)&lt;14,"",MIN($D$324:$D$337))</f>
        <v>0</v>
      </c>
      <c r="V337">
        <f>IF(OR(T337="",U337="",T337=U337),"",100*($E337-U337)/(T337-U337))</f>
        <v>0</v>
      </c>
      <c r="W337">
        <f>IF(COUNT($V$335:$V$337)&lt;3,"",AVERAGE($V$335:$V$337))</f>
        <v>0</v>
      </c>
      <c r="X337">
        <f>IF(COUNT($N$324:$N$337)&lt;14,"",MIN($N$324:$N$337))</f>
        <v>0</v>
      </c>
      <c r="Y337">
        <f>IF(COUNT($N$324:$N$337)&lt;14,"",MAX($N$324:$N$337))</f>
        <v>0</v>
      </c>
      <c r="Z337">
        <f>IF(OR(N337="",X337="",Y337="",Y337=X337),"",100*(N337-X337)/(Y337-X337))</f>
        <v>0</v>
      </c>
      <c r="AA337">
        <f>IF(COUNT($Z$335:$Z$337)&lt;3,"",AVERAGE($Z$335:$Z$337))</f>
        <v>0</v>
      </c>
      <c r="AB337">
        <f>IF(COUNT($AA$335:$AA$337)&lt;3,"",AVERAGE($AA$335:$AA$337))</f>
        <v>0</v>
      </c>
      <c r="AC337">
        <f>IF($E337="","",MAX($C337-$D337,ABS($C337-$E336),ABS($D337-$E336)))</f>
        <v>0</v>
      </c>
      <c r="AD337">
        <f>IF(COUNT($E$2:$E337)&lt;15,"",AVERAGE($AC$324:$AC$337))</f>
        <v>0</v>
      </c>
      <c r="AE337">
        <f>IF(OR($E337="",$E336=""),"",IF(AND(($C337-$C336)&gt;($D336-$D337),($C337-$C336)&gt;0),$C337-$C336,0))</f>
        <v>0</v>
      </c>
      <c r="AF337">
        <f>IF(OR($E337="",$E336=""),"",IF(AND(($D336-$D337)&gt;($C337-$C336),($D336-$D337)&gt;0),$D336-$D337,0))</f>
        <v>0</v>
      </c>
      <c r="AG337">
        <f>IF(COUNT($E$2:$E337)&lt;15,"",IF(SUM($AC$324:$AC$337)=0,0,100*SUM($AE$324:$AE$337)/SUM($AC$324:$AC$337)))</f>
        <v>0</v>
      </c>
      <c r="AH337">
        <f>IF(COUNT($E$2:$E337)&lt;15,"",IF(SUM($AC$324:$AC$337)=0,0,100*SUM($AF$324:$AF$337)/SUM($AC$324:$AC$337)))</f>
        <v>0</v>
      </c>
      <c r="AI337">
        <f>IF(OR(AG337="",AH337=""),"",IF((AG337+AH337)=0,0,100*ABS(AG337-AH337)/(AG337+AH337)))</f>
        <v>0</v>
      </c>
      <c r="AJ337">
        <f>IF(COUNT($AI$324:$AI$337)&lt;14,"",AVERAGE($AI$324:$AI$337))</f>
        <v>0</v>
      </c>
      <c r="AK337">
        <f>IF(COUNT($E$2:$E337)&lt;20,"",AVERAGE($E$318:$E$337))</f>
        <v>0</v>
      </c>
      <c r="AL337">
        <f>IF(COUNT($E$2:$E337)&lt;20,"",STDEVP($E$318:$E$337))</f>
        <v>0</v>
      </c>
      <c r="AM337">
        <f>IF(AK337="","",AK337+2*AL337)</f>
        <v>0</v>
      </c>
      <c r="AN337">
        <f>IF(AK337="","",AK337-2*AL337)</f>
        <v>0</v>
      </c>
      <c r="AO337">
        <f>IF(OR(AM337="",AN337="",AM337=AN337),"",($E337-AN337)/(AM337-AN337))</f>
        <v>0</v>
      </c>
      <c r="AP337">
        <f>IF(OR(AM337="",AK337="",AK337=0),"",(AM337-AN337)/AK337)</f>
        <v>0</v>
      </c>
      <c r="AQ337">
        <f>IF(COUNT($E$2:$E337)&lt;20,"",MAX($C$318:$C$337))</f>
        <v>0</v>
      </c>
      <c r="AR337">
        <f>IF(COUNT($E$2:$E337)&lt;20,"",MIN($D$318:$D$337))</f>
        <v>0</v>
      </c>
      <c r="AS337">
        <f>IF(OR(AQ337="",AR337=""),"",(AQ337+AR337)/2)</f>
        <v>0</v>
      </c>
      <c r="AT337">
        <f>IF(COUNT($G$318:$G$337)&lt;20,"",STDEV($G$318:$G$337)*SQRT(52))</f>
        <v>0</v>
      </c>
      <c r="AU337">
        <f>IF(COUNT($E$2:$E337)&lt;9,"",(MAX($C$329:$C$337)+MIN($D$329:$D$337))/2)</f>
        <v>0</v>
      </c>
      <c r="AV337">
        <f>IF(COUNT($E$2:$E337)&lt;26,"",(MAX($C$312:$C$337)+MIN($D$312:$D$337))/2)</f>
        <v>0</v>
      </c>
      <c r="AW337">
        <f>IF(OR(AU337="",AV337=""),"",(AU337+AV337)/2)</f>
        <v>0</v>
      </c>
      <c r="AX337">
        <f>IF(COUNT($E$2:$E337)&lt;52,"",(MAX($C$286:$C$337)+MIN($D$286:$D$337))/2)</f>
        <v>0</v>
      </c>
      <c r="AY337">
        <f>IF(COUNT($E$2:$E337)&lt;20,"",MAX($C$238:$C$337))</f>
        <v>0</v>
      </c>
      <c r="AZ337">
        <f>IF(COUNT($E$2:$E337)&lt;20,"",MIN($D$238:$D$337))</f>
        <v>0</v>
      </c>
      <c r="BA337">
        <f>IF(COUNT($E$2:$E337)&lt;20,"",SLOPE($E$238:$E$337,$F$238:$F$337))</f>
        <v>0</v>
      </c>
      <c r="BB337">
        <f>IF(COUNT($E$2:$E337)&lt;20,"",INTERCEPT($E$238:$E$337,$F$238:$F$337))</f>
        <v>0</v>
      </c>
      <c r="BC337">
        <f>IF(OR(BA337="",BB337=""),"",BB337+BA337*F337)</f>
        <v>0</v>
      </c>
      <c r="BD337">
        <f>IF(COUNT($E$2:$E337)&lt;20,"",STEYX($E$238:$E$337,$F$238:$F$337))</f>
        <v>0</v>
      </c>
      <c r="BE337">
        <f>IF($E337="","",IF(AND(COUNT($E$338:$E$341)&gt;=4,$C337=MAX($C$333:$C$341)),$C337,""))</f>
        <v>0</v>
      </c>
      <c r="BF337">
        <f>IF($E337="","",IF(AND(COUNT($E$338:$E$341)&gt;=4,$D337=MIN($D$333:$D$341)),$D337,""))</f>
        <v>0</v>
      </c>
      <c r="BG337">
        <f>IFERROR(SMALL(Calc_Daily!$BM$2:$BM$2001,336),"")</f>
        <v>0</v>
      </c>
    </row>
    <row r="338" spans="1:59">
      <c r="A338" s="27">
        <f>IF($BG338="","",INDEX(Calc_Daily!$A$2:$A$2001,$BG338))</f>
        <v>0</v>
      </c>
      <c r="B338">
        <f>IF($BG338="","",INDEX(Calc_Daily!$BJ$2:$BJ$2001,$BG338))</f>
        <v>0</v>
      </c>
      <c r="C338">
        <f>IF($BG338="","",INDEX(Calc_Daily!$BK$2:$BK$2001,$BG338))</f>
        <v>0</v>
      </c>
      <c r="D338">
        <f>IF($BG338="","",INDEX(Calc_Daily!$BL$2:$BL$2001,$BG338))</f>
        <v>0</v>
      </c>
      <c r="E338">
        <f>IF($BG338="","",INDEX(Calc_Daily!$E$2:$E$2001,$BG338))</f>
        <v>0</v>
      </c>
      <c r="F338">
        <f>IF($E338="","",N(F337)+1)</f>
        <v>0</v>
      </c>
      <c r="G338">
        <f>IF(OR($E338="",$E337=""),"",LN($E338/$E337))</f>
        <v>0</v>
      </c>
      <c r="H338">
        <f>IF($E338="","",IF($E337="",$E338,$E338*0.0952380952+H337*0.9047619048))</f>
        <v>0</v>
      </c>
      <c r="I338">
        <f>IF($E338="","",IF($E337="",$E338,$E338*0.0392156863+I337*0.9607843137))</f>
        <v>0</v>
      </c>
      <c r="J338">
        <f>IF($E338="","",IF($E337="",$E338,$E338*0.0198019802+J337*0.9801980198))</f>
        <v>0</v>
      </c>
      <c r="K338">
        <f>IF($E338="","",IF($E337="",$E338,$E338*0.0099502488+K337*0.9900497512))</f>
        <v>0</v>
      </c>
      <c r="L338">
        <f>IF(OR($E338="",$E337=""),"",MAX($E338-$E337,0))</f>
        <v>0</v>
      </c>
      <c r="M338">
        <f>IF(OR($E338="",$E337=""),"",MAX($E337-$E338,0))</f>
        <v>0</v>
      </c>
      <c r="N338">
        <f>IF(COUNT($E$2:$E338)&lt;15,"",IF(AVERAGE($M$325:$M$338)=0,100,100-100/(1+AVERAGE($L$325:$L$338)/AVERAGE($M$325:$M$338))))</f>
        <v>0</v>
      </c>
      <c r="O338">
        <f>IF($E338="","",IF($E337="",$E338,$E338*0.1538461538+O337*0.8461538462))</f>
        <v>0</v>
      </c>
      <c r="P338">
        <f>IF($E338="","",IF($E337="",$E338,$E338*0.0740740741+P337*0.9259259259))</f>
        <v>0</v>
      </c>
      <c r="Q338">
        <f>IF(OR(O338="",P338=""),"",O338-P338)</f>
        <v>0</v>
      </c>
      <c r="R338">
        <f>IF(Q338="","",IF(R337="",Q338,Q338*0.2000000000+R337*0.8000000000))</f>
        <v>0</v>
      </c>
      <c r="S338">
        <f>IF(OR(Q338="",R338=""),"",Q338-R338)</f>
        <v>0</v>
      </c>
      <c r="T338">
        <f>IF(COUNT($E$2:$E338)&lt;14,"",MAX($C$325:$C$338))</f>
        <v>0</v>
      </c>
      <c r="U338">
        <f>IF(COUNT($E$2:$E338)&lt;14,"",MIN($D$325:$D$338))</f>
        <v>0</v>
      </c>
      <c r="V338">
        <f>IF(OR(T338="",U338="",T338=U338),"",100*($E338-U338)/(T338-U338))</f>
        <v>0</v>
      </c>
      <c r="W338">
        <f>IF(COUNT($V$336:$V$338)&lt;3,"",AVERAGE($V$336:$V$338))</f>
        <v>0</v>
      </c>
      <c r="X338">
        <f>IF(COUNT($N$325:$N$338)&lt;14,"",MIN($N$325:$N$338))</f>
        <v>0</v>
      </c>
      <c r="Y338">
        <f>IF(COUNT($N$325:$N$338)&lt;14,"",MAX($N$325:$N$338))</f>
        <v>0</v>
      </c>
      <c r="Z338">
        <f>IF(OR(N338="",X338="",Y338="",Y338=X338),"",100*(N338-X338)/(Y338-X338))</f>
        <v>0</v>
      </c>
      <c r="AA338">
        <f>IF(COUNT($Z$336:$Z$338)&lt;3,"",AVERAGE($Z$336:$Z$338))</f>
        <v>0</v>
      </c>
      <c r="AB338">
        <f>IF(COUNT($AA$336:$AA$338)&lt;3,"",AVERAGE($AA$336:$AA$338))</f>
        <v>0</v>
      </c>
      <c r="AC338">
        <f>IF($E338="","",MAX($C338-$D338,ABS($C338-$E337),ABS($D338-$E337)))</f>
        <v>0</v>
      </c>
      <c r="AD338">
        <f>IF(COUNT($E$2:$E338)&lt;15,"",AVERAGE($AC$325:$AC$338))</f>
        <v>0</v>
      </c>
      <c r="AE338">
        <f>IF(OR($E338="",$E337=""),"",IF(AND(($C338-$C337)&gt;($D337-$D338),($C338-$C337)&gt;0),$C338-$C337,0))</f>
        <v>0</v>
      </c>
      <c r="AF338">
        <f>IF(OR($E338="",$E337=""),"",IF(AND(($D337-$D338)&gt;($C338-$C337),($D337-$D338)&gt;0),$D337-$D338,0))</f>
        <v>0</v>
      </c>
      <c r="AG338">
        <f>IF(COUNT($E$2:$E338)&lt;15,"",IF(SUM($AC$325:$AC$338)=0,0,100*SUM($AE$325:$AE$338)/SUM($AC$325:$AC$338)))</f>
        <v>0</v>
      </c>
      <c r="AH338">
        <f>IF(COUNT($E$2:$E338)&lt;15,"",IF(SUM($AC$325:$AC$338)=0,0,100*SUM($AF$325:$AF$338)/SUM($AC$325:$AC$338)))</f>
        <v>0</v>
      </c>
      <c r="AI338">
        <f>IF(OR(AG338="",AH338=""),"",IF((AG338+AH338)=0,0,100*ABS(AG338-AH338)/(AG338+AH338)))</f>
        <v>0</v>
      </c>
      <c r="AJ338">
        <f>IF(COUNT($AI$325:$AI$338)&lt;14,"",AVERAGE($AI$325:$AI$338))</f>
        <v>0</v>
      </c>
      <c r="AK338">
        <f>IF(COUNT($E$2:$E338)&lt;20,"",AVERAGE($E$319:$E$338))</f>
        <v>0</v>
      </c>
      <c r="AL338">
        <f>IF(COUNT($E$2:$E338)&lt;20,"",STDEVP($E$319:$E$338))</f>
        <v>0</v>
      </c>
      <c r="AM338">
        <f>IF(AK338="","",AK338+2*AL338)</f>
        <v>0</v>
      </c>
      <c r="AN338">
        <f>IF(AK338="","",AK338-2*AL338)</f>
        <v>0</v>
      </c>
      <c r="AO338">
        <f>IF(OR(AM338="",AN338="",AM338=AN338),"",($E338-AN338)/(AM338-AN338))</f>
        <v>0</v>
      </c>
      <c r="AP338">
        <f>IF(OR(AM338="",AK338="",AK338=0),"",(AM338-AN338)/AK338)</f>
        <v>0</v>
      </c>
      <c r="AQ338">
        <f>IF(COUNT($E$2:$E338)&lt;20,"",MAX($C$319:$C$338))</f>
        <v>0</v>
      </c>
      <c r="AR338">
        <f>IF(COUNT($E$2:$E338)&lt;20,"",MIN($D$319:$D$338))</f>
        <v>0</v>
      </c>
      <c r="AS338">
        <f>IF(OR(AQ338="",AR338=""),"",(AQ338+AR338)/2)</f>
        <v>0</v>
      </c>
      <c r="AT338">
        <f>IF(COUNT($G$319:$G$338)&lt;20,"",STDEV($G$319:$G$338)*SQRT(52))</f>
        <v>0</v>
      </c>
      <c r="AU338">
        <f>IF(COUNT($E$2:$E338)&lt;9,"",(MAX($C$330:$C$338)+MIN($D$330:$D$338))/2)</f>
        <v>0</v>
      </c>
      <c r="AV338">
        <f>IF(COUNT($E$2:$E338)&lt;26,"",(MAX($C$313:$C$338)+MIN($D$313:$D$338))/2)</f>
        <v>0</v>
      </c>
      <c r="AW338">
        <f>IF(OR(AU338="",AV338=""),"",(AU338+AV338)/2)</f>
        <v>0</v>
      </c>
      <c r="AX338">
        <f>IF(COUNT($E$2:$E338)&lt;52,"",(MAX($C$287:$C$338)+MIN($D$287:$D$338))/2)</f>
        <v>0</v>
      </c>
      <c r="AY338">
        <f>IF(COUNT($E$2:$E338)&lt;20,"",MAX($C$239:$C$338))</f>
        <v>0</v>
      </c>
      <c r="AZ338">
        <f>IF(COUNT($E$2:$E338)&lt;20,"",MIN($D$239:$D$338))</f>
        <v>0</v>
      </c>
      <c r="BA338">
        <f>IF(COUNT($E$2:$E338)&lt;20,"",SLOPE($E$239:$E$338,$F$239:$F$338))</f>
        <v>0</v>
      </c>
      <c r="BB338">
        <f>IF(COUNT($E$2:$E338)&lt;20,"",INTERCEPT($E$239:$E$338,$F$239:$F$338))</f>
        <v>0</v>
      </c>
      <c r="BC338">
        <f>IF(OR(BA338="",BB338=""),"",BB338+BA338*F338)</f>
        <v>0</v>
      </c>
      <c r="BD338">
        <f>IF(COUNT($E$2:$E338)&lt;20,"",STEYX($E$239:$E$338,$F$239:$F$338))</f>
        <v>0</v>
      </c>
      <c r="BE338">
        <f>IF($E338="","",IF(AND(COUNT($E$339:$E$342)&gt;=4,$C338=MAX($C$334:$C$342)),$C338,""))</f>
        <v>0</v>
      </c>
      <c r="BF338">
        <f>IF($E338="","",IF(AND(COUNT($E$339:$E$342)&gt;=4,$D338=MIN($D$334:$D$342)),$D338,""))</f>
        <v>0</v>
      </c>
      <c r="BG338">
        <f>IFERROR(SMALL(Calc_Daily!$BM$2:$BM$2001,337),"")</f>
        <v>0</v>
      </c>
    </row>
    <row r="339" spans="1:59">
      <c r="A339" s="27">
        <f>IF($BG339="","",INDEX(Calc_Daily!$A$2:$A$2001,$BG339))</f>
        <v>0</v>
      </c>
      <c r="B339">
        <f>IF($BG339="","",INDEX(Calc_Daily!$BJ$2:$BJ$2001,$BG339))</f>
        <v>0</v>
      </c>
      <c r="C339">
        <f>IF($BG339="","",INDEX(Calc_Daily!$BK$2:$BK$2001,$BG339))</f>
        <v>0</v>
      </c>
      <c r="D339">
        <f>IF($BG339="","",INDEX(Calc_Daily!$BL$2:$BL$2001,$BG339))</f>
        <v>0</v>
      </c>
      <c r="E339">
        <f>IF($BG339="","",INDEX(Calc_Daily!$E$2:$E$2001,$BG339))</f>
        <v>0</v>
      </c>
      <c r="F339">
        <f>IF($E339="","",N(F338)+1)</f>
        <v>0</v>
      </c>
      <c r="G339">
        <f>IF(OR($E339="",$E338=""),"",LN($E339/$E338))</f>
        <v>0</v>
      </c>
      <c r="H339">
        <f>IF($E339="","",IF($E338="",$E339,$E339*0.0952380952+H338*0.9047619048))</f>
        <v>0</v>
      </c>
      <c r="I339">
        <f>IF($E339="","",IF($E338="",$E339,$E339*0.0392156863+I338*0.9607843137))</f>
        <v>0</v>
      </c>
      <c r="J339">
        <f>IF($E339="","",IF($E338="",$E339,$E339*0.0198019802+J338*0.9801980198))</f>
        <v>0</v>
      </c>
      <c r="K339">
        <f>IF($E339="","",IF($E338="",$E339,$E339*0.0099502488+K338*0.9900497512))</f>
        <v>0</v>
      </c>
      <c r="L339">
        <f>IF(OR($E339="",$E338=""),"",MAX($E339-$E338,0))</f>
        <v>0</v>
      </c>
      <c r="M339">
        <f>IF(OR($E339="",$E338=""),"",MAX($E338-$E339,0))</f>
        <v>0</v>
      </c>
      <c r="N339">
        <f>IF(COUNT($E$2:$E339)&lt;15,"",IF(AVERAGE($M$326:$M$339)=0,100,100-100/(1+AVERAGE($L$326:$L$339)/AVERAGE($M$326:$M$339))))</f>
        <v>0</v>
      </c>
      <c r="O339">
        <f>IF($E339="","",IF($E338="",$E339,$E339*0.1538461538+O338*0.8461538462))</f>
        <v>0</v>
      </c>
      <c r="P339">
        <f>IF($E339="","",IF($E338="",$E339,$E339*0.0740740741+P338*0.9259259259))</f>
        <v>0</v>
      </c>
      <c r="Q339">
        <f>IF(OR(O339="",P339=""),"",O339-P339)</f>
        <v>0</v>
      </c>
      <c r="R339">
        <f>IF(Q339="","",IF(R338="",Q339,Q339*0.2000000000+R338*0.8000000000))</f>
        <v>0</v>
      </c>
      <c r="S339">
        <f>IF(OR(Q339="",R339=""),"",Q339-R339)</f>
        <v>0</v>
      </c>
      <c r="T339">
        <f>IF(COUNT($E$2:$E339)&lt;14,"",MAX($C$326:$C$339))</f>
        <v>0</v>
      </c>
      <c r="U339">
        <f>IF(COUNT($E$2:$E339)&lt;14,"",MIN($D$326:$D$339))</f>
        <v>0</v>
      </c>
      <c r="V339">
        <f>IF(OR(T339="",U339="",T339=U339),"",100*($E339-U339)/(T339-U339))</f>
        <v>0</v>
      </c>
      <c r="W339">
        <f>IF(COUNT($V$337:$V$339)&lt;3,"",AVERAGE($V$337:$V$339))</f>
        <v>0</v>
      </c>
      <c r="X339">
        <f>IF(COUNT($N$326:$N$339)&lt;14,"",MIN($N$326:$N$339))</f>
        <v>0</v>
      </c>
      <c r="Y339">
        <f>IF(COUNT($N$326:$N$339)&lt;14,"",MAX($N$326:$N$339))</f>
        <v>0</v>
      </c>
      <c r="Z339">
        <f>IF(OR(N339="",X339="",Y339="",Y339=X339),"",100*(N339-X339)/(Y339-X339))</f>
        <v>0</v>
      </c>
      <c r="AA339">
        <f>IF(COUNT($Z$337:$Z$339)&lt;3,"",AVERAGE($Z$337:$Z$339))</f>
        <v>0</v>
      </c>
      <c r="AB339">
        <f>IF(COUNT($AA$337:$AA$339)&lt;3,"",AVERAGE($AA$337:$AA$339))</f>
        <v>0</v>
      </c>
      <c r="AC339">
        <f>IF($E339="","",MAX($C339-$D339,ABS($C339-$E338),ABS($D339-$E338)))</f>
        <v>0</v>
      </c>
      <c r="AD339">
        <f>IF(COUNT($E$2:$E339)&lt;15,"",AVERAGE($AC$326:$AC$339))</f>
        <v>0</v>
      </c>
      <c r="AE339">
        <f>IF(OR($E339="",$E338=""),"",IF(AND(($C339-$C338)&gt;($D338-$D339),($C339-$C338)&gt;0),$C339-$C338,0))</f>
        <v>0</v>
      </c>
      <c r="AF339">
        <f>IF(OR($E339="",$E338=""),"",IF(AND(($D338-$D339)&gt;($C339-$C338),($D338-$D339)&gt;0),$D338-$D339,0))</f>
        <v>0</v>
      </c>
      <c r="AG339">
        <f>IF(COUNT($E$2:$E339)&lt;15,"",IF(SUM($AC$326:$AC$339)=0,0,100*SUM($AE$326:$AE$339)/SUM($AC$326:$AC$339)))</f>
        <v>0</v>
      </c>
      <c r="AH339">
        <f>IF(COUNT($E$2:$E339)&lt;15,"",IF(SUM($AC$326:$AC$339)=0,0,100*SUM($AF$326:$AF$339)/SUM($AC$326:$AC$339)))</f>
        <v>0</v>
      </c>
      <c r="AI339">
        <f>IF(OR(AG339="",AH339=""),"",IF((AG339+AH339)=0,0,100*ABS(AG339-AH339)/(AG339+AH339)))</f>
        <v>0</v>
      </c>
      <c r="AJ339">
        <f>IF(COUNT($AI$326:$AI$339)&lt;14,"",AVERAGE($AI$326:$AI$339))</f>
        <v>0</v>
      </c>
      <c r="AK339">
        <f>IF(COUNT($E$2:$E339)&lt;20,"",AVERAGE($E$320:$E$339))</f>
        <v>0</v>
      </c>
      <c r="AL339">
        <f>IF(COUNT($E$2:$E339)&lt;20,"",STDEVP($E$320:$E$339))</f>
        <v>0</v>
      </c>
      <c r="AM339">
        <f>IF(AK339="","",AK339+2*AL339)</f>
        <v>0</v>
      </c>
      <c r="AN339">
        <f>IF(AK339="","",AK339-2*AL339)</f>
        <v>0</v>
      </c>
      <c r="AO339">
        <f>IF(OR(AM339="",AN339="",AM339=AN339),"",($E339-AN339)/(AM339-AN339))</f>
        <v>0</v>
      </c>
      <c r="AP339">
        <f>IF(OR(AM339="",AK339="",AK339=0),"",(AM339-AN339)/AK339)</f>
        <v>0</v>
      </c>
      <c r="AQ339">
        <f>IF(COUNT($E$2:$E339)&lt;20,"",MAX($C$320:$C$339))</f>
        <v>0</v>
      </c>
      <c r="AR339">
        <f>IF(COUNT($E$2:$E339)&lt;20,"",MIN($D$320:$D$339))</f>
        <v>0</v>
      </c>
      <c r="AS339">
        <f>IF(OR(AQ339="",AR339=""),"",(AQ339+AR339)/2)</f>
        <v>0</v>
      </c>
      <c r="AT339">
        <f>IF(COUNT($G$320:$G$339)&lt;20,"",STDEV($G$320:$G$339)*SQRT(52))</f>
        <v>0</v>
      </c>
      <c r="AU339">
        <f>IF(COUNT($E$2:$E339)&lt;9,"",(MAX($C$331:$C$339)+MIN($D$331:$D$339))/2)</f>
        <v>0</v>
      </c>
      <c r="AV339">
        <f>IF(COUNT($E$2:$E339)&lt;26,"",(MAX($C$314:$C$339)+MIN($D$314:$D$339))/2)</f>
        <v>0</v>
      </c>
      <c r="AW339">
        <f>IF(OR(AU339="",AV339=""),"",(AU339+AV339)/2)</f>
        <v>0</v>
      </c>
      <c r="AX339">
        <f>IF(COUNT($E$2:$E339)&lt;52,"",(MAX($C$288:$C$339)+MIN($D$288:$D$339))/2)</f>
        <v>0</v>
      </c>
      <c r="AY339">
        <f>IF(COUNT($E$2:$E339)&lt;20,"",MAX($C$240:$C$339))</f>
        <v>0</v>
      </c>
      <c r="AZ339">
        <f>IF(COUNT($E$2:$E339)&lt;20,"",MIN($D$240:$D$339))</f>
        <v>0</v>
      </c>
      <c r="BA339">
        <f>IF(COUNT($E$2:$E339)&lt;20,"",SLOPE($E$240:$E$339,$F$240:$F$339))</f>
        <v>0</v>
      </c>
      <c r="BB339">
        <f>IF(COUNT($E$2:$E339)&lt;20,"",INTERCEPT($E$240:$E$339,$F$240:$F$339))</f>
        <v>0</v>
      </c>
      <c r="BC339">
        <f>IF(OR(BA339="",BB339=""),"",BB339+BA339*F339)</f>
        <v>0</v>
      </c>
      <c r="BD339">
        <f>IF(COUNT($E$2:$E339)&lt;20,"",STEYX($E$240:$E$339,$F$240:$F$339))</f>
        <v>0</v>
      </c>
      <c r="BE339">
        <f>IF($E339="","",IF(AND(COUNT($E$340:$E$343)&gt;=4,$C339=MAX($C$335:$C$343)),$C339,""))</f>
        <v>0</v>
      </c>
      <c r="BF339">
        <f>IF($E339="","",IF(AND(COUNT($E$340:$E$343)&gt;=4,$D339=MIN($D$335:$D$343)),$D339,""))</f>
        <v>0</v>
      </c>
      <c r="BG339">
        <f>IFERROR(SMALL(Calc_Daily!$BM$2:$BM$2001,338),"")</f>
        <v>0</v>
      </c>
    </row>
    <row r="340" spans="1:59">
      <c r="A340" s="27">
        <f>IF($BG340="","",INDEX(Calc_Daily!$A$2:$A$2001,$BG340))</f>
        <v>0</v>
      </c>
      <c r="B340">
        <f>IF($BG340="","",INDEX(Calc_Daily!$BJ$2:$BJ$2001,$BG340))</f>
        <v>0</v>
      </c>
      <c r="C340">
        <f>IF($BG340="","",INDEX(Calc_Daily!$BK$2:$BK$2001,$BG340))</f>
        <v>0</v>
      </c>
      <c r="D340">
        <f>IF($BG340="","",INDEX(Calc_Daily!$BL$2:$BL$2001,$BG340))</f>
        <v>0</v>
      </c>
      <c r="E340">
        <f>IF($BG340="","",INDEX(Calc_Daily!$E$2:$E$2001,$BG340))</f>
        <v>0</v>
      </c>
      <c r="F340">
        <f>IF($E340="","",N(F339)+1)</f>
        <v>0</v>
      </c>
      <c r="G340">
        <f>IF(OR($E340="",$E339=""),"",LN($E340/$E339))</f>
        <v>0</v>
      </c>
      <c r="H340">
        <f>IF($E340="","",IF($E339="",$E340,$E340*0.0952380952+H339*0.9047619048))</f>
        <v>0</v>
      </c>
      <c r="I340">
        <f>IF($E340="","",IF($E339="",$E340,$E340*0.0392156863+I339*0.9607843137))</f>
        <v>0</v>
      </c>
      <c r="J340">
        <f>IF($E340="","",IF($E339="",$E340,$E340*0.0198019802+J339*0.9801980198))</f>
        <v>0</v>
      </c>
      <c r="K340">
        <f>IF($E340="","",IF($E339="",$E340,$E340*0.0099502488+K339*0.9900497512))</f>
        <v>0</v>
      </c>
      <c r="L340">
        <f>IF(OR($E340="",$E339=""),"",MAX($E340-$E339,0))</f>
        <v>0</v>
      </c>
      <c r="M340">
        <f>IF(OR($E340="",$E339=""),"",MAX($E339-$E340,0))</f>
        <v>0</v>
      </c>
      <c r="N340">
        <f>IF(COUNT($E$2:$E340)&lt;15,"",IF(AVERAGE($M$327:$M$340)=0,100,100-100/(1+AVERAGE($L$327:$L$340)/AVERAGE($M$327:$M$340))))</f>
        <v>0</v>
      </c>
      <c r="O340">
        <f>IF($E340="","",IF($E339="",$E340,$E340*0.1538461538+O339*0.8461538462))</f>
        <v>0</v>
      </c>
      <c r="P340">
        <f>IF($E340="","",IF($E339="",$E340,$E340*0.0740740741+P339*0.9259259259))</f>
        <v>0</v>
      </c>
      <c r="Q340">
        <f>IF(OR(O340="",P340=""),"",O340-P340)</f>
        <v>0</v>
      </c>
      <c r="R340">
        <f>IF(Q340="","",IF(R339="",Q340,Q340*0.2000000000+R339*0.8000000000))</f>
        <v>0</v>
      </c>
      <c r="S340">
        <f>IF(OR(Q340="",R340=""),"",Q340-R340)</f>
        <v>0</v>
      </c>
      <c r="T340">
        <f>IF(COUNT($E$2:$E340)&lt;14,"",MAX($C$327:$C$340))</f>
        <v>0</v>
      </c>
      <c r="U340">
        <f>IF(COUNT($E$2:$E340)&lt;14,"",MIN($D$327:$D$340))</f>
        <v>0</v>
      </c>
      <c r="V340">
        <f>IF(OR(T340="",U340="",T340=U340),"",100*($E340-U340)/(T340-U340))</f>
        <v>0</v>
      </c>
      <c r="W340">
        <f>IF(COUNT($V$338:$V$340)&lt;3,"",AVERAGE($V$338:$V$340))</f>
        <v>0</v>
      </c>
      <c r="X340">
        <f>IF(COUNT($N$327:$N$340)&lt;14,"",MIN($N$327:$N$340))</f>
        <v>0</v>
      </c>
      <c r="Y340">
        <f>IF(COUNT($N$327:$N$340)&lt;14,"",MAX($N$327:$N$340))</f>
        <v>0</v>
      </c>
      <c r="Z340">
        <f>IF(OR(N340="",X340="",Y340="",Y340=X340),"",100*(N340-X340)/(Y340-X340))</f>
        <v>0</v>
      </c>
      <c r="AA340">
        <f>IF(COUNT($Z$338:$Z$340)&lt;3,"",AVERAGE($Z$338:$Z$340))</f>
        <v>0</v>
      </c>
      <c r="AB340">
        <f>IF(COUNT($AA$338:$AA$340)&lt;3,"",AVERAGE($AA$338:$AA$340))</f>
        <v>0</v>
      </c>
      <c r="AC340">
        <f>IF($E340="","",MAX($C340-$D340,ABS($C340-$E339),ABS($D340-$E339)))</f>
        <v>0</v>
      </c>
      <c r="AD340">
        <f>IF(COUNT($E$2:$E340)&lt;15,"",AVERAGE($AC$327:$AC$340))</f>
        <v>0</v>
      </c>
      <c r="AE340">
        <f>IF(OR($E340="",$E339=""),"",IF(AND(($C340-$C339)&gt;($D339-$D340),($C340-$C339)&gt;0),$C340-$C339,0))</f>
        <v>0</v>
      </c>
      <c r="AF340">
        <f>IF(OR($E340="",$E339=""),"",IF(AND(($D339-$D340)&gt;($C340-$C339),($D339-$D340)&gt;0),$D339-$D340,0))</f>
        <v>0</v>
      </c>
      <c r="AG340">
        <f>IF(COUNT($E$2:$E340)&lt;15,"",IF(SUM($AC$327:$AC$340)=0,0,100*SUM($AE$327:$AE$340)/SUM($AC$327:$AC$340)))</f>
        <v>0</v>
      </c>
      <c r="AH340">
        <f>IF(COUNT($E$2:$E340)&lt;15,"",IF(SUM($AC$327:$AC$340)=0,0,100*SUM($AF$327:$AF$340)/SUM($AC$327:$AC$340)))</f>
        <v>0</v>
      </c>
      <c r="AI340">
        <f>IF(OR(AG340="",AH340=""),"",IF((AG340+AH340)=0,0,100*ABS(AG340-AH340)/(AG340+AH340)))</f>
        <v>0</v>
      </c>
      <c r="AJ340">
        <f>IF(COUNT($AI$327:$AI$340)&lt;14,"",AVERAGE($AI$327:$AI$340))</f>
        <v>0</v>
      </c>
      <c r="AK340">
        <f>IF(COUNT($E$2:$E340)&lt;20,"",AVERAGE($E$321:$E$340))</f>
        <v>0</v>
      </c>
      <c r="AL340">
        <f>IF(COUNT($E$2:$E340)&lt;20,"",STDEVP($E$321:$E$340))</f>
        <v>0</v>
      </c>
      <c r="AM340">
        <f>IF(AK340="","",AK340+2*AL340)</f>
        <v>0</v>
      </c>
      <c r="AN340">
        <f>IF(AK340="","",AK340-2*AL340)</f>
        <v>0</v>
      </c>
      <c r="AO340">
        <f>IF(OR(AM340="",AN340="",AM340=AN340),"",($E340-AN340)/(AM340-AN340))</f>
        <v>0</v>
      </c>
      <c r="AP340">
        <f>IF(OR(AM340="",AK340="",AK340=0),"",(AM340-AN340)/AK340)</f>
        <v>0</v>
      </c>
      <c r="AQ340">
        <f>IF(COUNT($E$2:$E340)&lt;20,"",MAX($C$321:$C$340))</f>
        <v>0</v>
      </c>
      <c r="AR340">
        <f>IF(COUNT($E$2:$E340)&lt;20,"",MIN($D$321:$D$340))</f>
        <v>0</v>
      </c>
      <c r="AS340">
        <f>IF(OR(AQ340="",AR340=""),"",(AQ340+AR340)/2)</f>
        <v>0</v>
      </c>
      <c r="AT340">
        <f>IF(COUNT($G$321:$G$340)&lt;20,"",STDEV($G$321:$G$340)*SQRT(52))</f>
        <v>0</v>
      </c>
      <c r="AU340">
        <f>IF(COUNT($E$2:$E340)&lt;9,"",(MAX($C$332:$C$340)+MIN($D$332:$D$340))/2)</f>
        <v>0</v>
      </c>
      <c r="AV340">
        <f>IF(COUNT($E$2:$E340)&lt;26,"",(MAX($C$315:$C$340)+MIN($D$315:$D$340))/2)</f>
        <v>0</v>
      </c>
      <c r="AW340">
        <f>IF(OR(AU340="",AV340=""),"",(AU340+AV340)/2)</f>
        <v>0</v>
      </c>
      <c r="AX340">
        <f>IF(COUNT($E$2:$E340)&lt;52,"",(MAX($C$289:$C$340)+MIN($D$289:$D$340))/2)</f>
        <v>0</v>
      </c>
      <c r="AY340">
        <f>IF(COUNT($E$2:$E340)&lt;20,"",MAX($C$241:$C$340))</f>
        <v>0</v>
      </c>
      <c r="AZ340">
        <f>IF(COUNT($E$2:$E340)&lt;20,"",MIN($D$241:$D$340))</f>
        <v>0</v>
      </c>
      <c r="BA340">
        <f>IF(COUNT($E$2:$E340)&lt;20,"",SLOPE($E$241:$E$340,$F$241:$F$340))</f>
        <v>0</v>
      </c>
      <c r="BB340">
        <f>IF(COUNT($E$2:$E340)&lt;20,"",INTERCEPT($E$241:$E$340,$F$241:$F$340))</f>
        <v>0</v>
      </c>
      <c r="BC340">
        <f>IF(OR(BA340="",BB340=""),"",BB340+BA340*F340)</f>
        <v>0</v>
      </c>
      <c r="BD340">
        <f>IF(COUNT($E$2:$E340)&lt;20,"",STEYX($E$241:$E$340,$F$241:$F$340))</f>
        <v>0</v>
      </c>
      <c r="BE340">
        <f>IF($E340="","",IF(AND(COUNT($E$341:$E$344)&gt;=4,$C340=MAX($C$336:$C$344)),$C340,""))</f>
        <v>0</v>
      </c>
      <c r="BF340">
        <f>IF($E340="","",IF(AND(COUNT($E$341:$E$344)&gt;=4,$D340=MIN($D$336:$D$344)),$D340,""))</f>
        <v>0</v>
      </c>
      <c r="BG340">
        <f>IFERROR(SMALL(Calc_Daily!$BM$2:$BM$2001,339),"")</f>
        <v>0</v>
      </c>
    </row>
    <row r="341" spans="1:59">
      <c r="A341" s="27">
        <f>IF($BG341="","",INDEX(Calc_Daily!$A$2:$A$2001,$BG341))</f>
        <v>0</v>
      </c>
      <c r="B341">
        <f>IF($BG341="","",INDEX(Calc_Daily!$BJ$2:$BJ$2001,$BG341))</f>
        <v>0</v>
      </c>
      <c r="C341">
        <f>IF($BG341="","",INDEX(Calc_Daily!$BK$2:$BK$2001,$BG341))</f>
        <v>0</v>
      </c>
      <c r="D341">
        <f>IF($BG341="","",INDEX(Calc_Daily!$BL$2:$BL$2001,$BG341))</f>
        <v>0</v>
      </c>
      <c r="E341">
        <f>IF($BG341="","",INDEX(Calc_Daily!$E$2:$E$2001,$BG341))</f>
        <v>0</v>
      </c>
      <c r="F341">
        <f>IF($E341="","",N(F340)+1)</f>
        <v>0</v>
      </c>
      <c r="G341">
        <f>IF(OR($E341="",$E340=""),"",LN($E341/$E340))</f>
        <v>0</v>
      </c>
      <c r="H341">
        <f>IF($E341="","",IF($E340="",$E341,$E341*0.0952380952+H340*0.9047619048))</f>
        <v>0</v>
      </c>
      <c r="I341">
        <f>IF($E341="","",IF($E340="",$E341,$E341*0.0392156863+I340*0.9607843137))</f>
        <v>0</v>
      </c>
      <c r="J341">
        <f>IF($E341="","",IF($E340="",$E341,$E341*0.0198019802+J340*0.9801980198))</f>
        <v>0</v>
      </c>
      <c r="K341">
        <f>IF($E341="","",IF($E340="",$E341,$E341*0.0099502488+K340*0.9900497512))</f>
        <v>0</v>
      </c>
      <c r="L341">
        <f>IF(OR($E341="",$E340=""),"",MAX($E341-$E340,0))</f>
        <v>0</v>
      </c>
      <c r="M341">
        <f>IF(OR($E341="",$E340=""),"",MAX($E340-$E341,0))</f>
        <v>0</v>
      </c>
      <c r="N341">
        <f>IF(COUNT($E$2:$E341)&lt;15,"",IF(AVERAGE($M$328:$M$341)=0,100,100-100/(1+AVERAGE($L$328:$L$341)/AVERAGE($M$328:$M$341))))</f>
        <v>0</v>
      </c>
      <c r="O341">
        <f>IF($E341="","",IF($E340="",$E341,$E341*0.1538461538+O340*0.8461538462))</f>
        <v>0</v>
      </c>
      <c r="P341">
        <f>IF($E341="","",IF($E340="",$E341,$E341*0.0740740741+P340*0.9259259259))</f>
        <v>0</v>
      </c>
      <c r="Q341">
        <f>IF(OR(O341="",P341=""),"",O341-P341)</f>
        <v>0</v>
      </c>
      <c r="R341">
        <f>IF(Q341="","",IF(R340="",Q341,Q341*0.2000000000+R340*0.8000000000))</f>
        <v>0</v>
      </c>
      <c r="S341">
        <f>IF(OR(Q341="",R341=""),"",Q341-R341)</f>
        <v>0</v>
      </c>
      <c r="T341">
        <f>IF(COUNT($E$2:$E341)&lt;14,"",MAX($C$328:$C$341))</f>
        <v>0</v>
      </c>
      <c r="U341">
        <f>IF(COUNT($E$2:$E341)&lt;14,"",MIN($D$328:$D$341))</f>
        <v>0</v>
      </c>
      <c r="V341">
        <f>IF(OR(T341="",U341="",T341=U341),"",100*($E341-U341)/(T341-U341))</f>
        <v>0</v>
      </c>
      <c r="W341">
        <f>IF(COUNT($V$339:$V$341)&lt;3,"",AVERAGE($V$339:$V$341))</f>
        <v>0</v>
      </c>
      <c r="X341">
        <f>IF(COUNT($N$328:$N$341)&lt;14,"",MIN($N$328:$N$341))</f>
        <v>0</v>
      </c>
      <c r="Y341">
        <f>IF(COUNT($N$328:$N$341)&lt;14,"",MAX($N$328:$N$341))</f>
        <v>0</v>
      </c>
      <c r="Z341">
        <f>IF(OR(N341="",X341="",Y341="",Y341=X341),"",100*(N341-X341)/(Y341-X341))</f>
        <v>0</v>
      </c>
      <c r="AA341">
        <f>IF(COUNT($Z$339:$Z$341)&lt;3,"",AVERAGE($Z$339:$Z$341))</f>
        <v>0</v>
      </c>
      <c r="AB341">
        <f>IF(COUNT($AA$339:$AA$341)&lt;3,"",AVERAGE($AA$339:$AA$341))</f>
        <v>0</v>
      </c>
      <c r="AC341">
        <f>IF($E341="","",MAX($C341-$D341,ABS($C341-$E340),ABS($D341-$E340)))</f>
        <v>0</v>
      </c>
      <c r="AD341">
        <f>IF(COUNT($E$2:$E341)&lt;15,"",AVERAGE($AC$328:$AC$341))</f>
        <v>0</v>
      </c>
      <c r="AE341">
        <f>IF(OR($E341="",$E340=""),"",IF(AND(($C341-$C340)&gt;($D340-$D341),($C341-$C340)&gt;0),$C341-$C340,0))</f>
        <v>0</v>
      </c>
      <c r="AF341">
        <f>IF(OR($E341="",$E340=""),"",IF(AND(($D340-$D341)&gt;($C341-$C340),($D340-$D341)&gt;0),$D340-$D341,0))</f>
        <v>0</v>
      </c>
      <c r="AG341">
        <f>IF(COUNT($E$2:$E341)&lt;15,"",IF(SUM($AC$328:$AC$341)=0,0,100*SUM($AE$328:$AE$341)/SUM($AC$328:$AC$341)))</f>
        <v>0</v>
      </c>
      <c r="AH341">
        <f>IF(COUNT($E$2:$E341)&lt;15,"",IF(SUM($AC$328:$AC$341)=0,0,100*SUM($AF$328:$AF$341)/SUM($AC$328:$AC$341)))</f>
        <v>0</v>
      </c>
      <c r="AI341">
        <f>IF(OR(AG341="",AH341=""),"",IF((AG341+AH341)=0,0,100*ABS(AG341-AH341)/(AG341+AH341)))</f>
        <v>0</v>
      </c>
      <c r="AJ341">
        <f>IF(COUNT($AI$328:$AI$341)&lt;14,"",AVERAGE($AI$328:$AI$341))</f>
        <v>0</v>
      </c>
      <c r="AK341">
        <f>IF(COUNT($E$2:$E341)&lt;20,"",AVERAGE($E$322:$E$341))</f>
        <v>0</v>
      </c>
      <c r="AL341">
        <f>IF(COUNT($E$2:$E341)&lt;20,"",STDEVP($E$322:$E$341))</f>
        <v>0</v>
      </c>
      <c r="AM341">
        <f>IF(AK341="","",AK341+2*AL341)</f>
        <v>0</v>
      </c>
      <c r="AN341">
        <f>IF(AK341="","",AK341-2*AL341)</f>
        <v>0</v>
      </c>
      <c r="AO341">
        <f>IF(OR(AM341="",AN341="",AM341=AN341),"",($E341-AN341)/(AM341-AN341))</f>
        <v>0</v>
      </c>
      <c r="AP341">
        <f>IF(OR(AM341="",AK341="",AK341=0),"",(AM341-AN341)/AK341)</f>
        <v>0</v>
      </c>
      <c r="AQ341">
        <f>IF(COUNT($E$2:$E341)&lt;20,"",MAX($C$322:$C$341))</f>
        <v>0</v>
      </c>
      <c r="AR341">
        <f>IF(COUNT($E$2:$E341)&lt;20,"",MIN($D$322:$D$341))</f>
        <v>0</v>
      </c>
      <c r="AS341">
        <f>IF(OR(AQ341="",AR341=""),"",(AQ341+AR341)/2)</f>
        <v>0</v>
      </c>
      <c r="AT341">
        <f>IF(COUNT($G$322:$G$341)&lt;20,"",STDEV($G$322:$G$341)*SQRT(52))</f>
        <v>0</v>
      </c>
      <c r="AU341">
        <f>IF(COUNT($E$2:$E341)&lt;9,"",(MAX($C$333:$C$341)+MIN($D$333:$D$341))/2)</f>
        <v>0</v>
      </c>
      <c r="AV341">
        <f>IF(COUNT($E$2:$E341)&lt;26,"",(MAX($C$316:$C$341)+MIN($D$316:$D$341))/2)</f>
        <v>0</v>
      </c>
      <c r="AW341">
        <f>IF(OR(AU341="",AV341=""),"",(AU341+AV341)/2)</f>
        <v>0</v>
      </c>
      <c r="AX341">
        <f>IF(COUNT($E$2:$E341)&lt;52,"",(MAX($C$290:$C$341)+MIN($D$290:$D$341))/2)</f>
        <v>0</v>
      </c>
      <c r="AY341">
        <f>IF(COUNT($E$2:$E341)&lt;20,"",MAX($C$242:$C$341))</f>
        <v>0</v>
      </c>
      <c r="AZ341">
        <f>IF(COUNT($E$2:$E341)&lt;20,"",MIN($D$242:$D$341))</f>
        <v>0</v>
      </c>
      <c r="BA341">
        <f>IF(COUNT($E$2:$E341)&lt;20,"",SLOPE($E$242:$E$341,$F$242:$F$341))</f>
        <v>0</v>
      </c>
      <c r="BB341">
        <f>IF(COUNT($E$2:$E341)&lt;20,"",INTERCEPT($E$242:$E$341,$F$242:$F$341))</f>
        <v>0</v>
      </c>
      <c r="BC341">
        <f>IF(OR(BA341="",BB341=""),"",BB341+BA341*F341)</f>
        <v>0</v>
      </c>
      <c r="BD341">
        <f>IF(COUNT($E$2:$E341)&lt;20,"",STEYX($E$242:$E$341,$F$242:$F$341))</f>
        <v>0</v>
      </c>
      <c r="BE341">
        <f>IF($E341="","",IF(AND(COUNT($E$342:$E$345)&gt;=4,$C341=MAX($C$337:$C$345)),$C341,""))</f>
        <v>0</v>
      </c>
      <c r="BF341">
        <f>IF($E341="","",IF(AND(COUNT($E$342:$E$345)&gt;=4,$D341=MIN($D$337:$D$345)),$D341,""))</f>
        <v>0</v>
      </c>
      <c r="BG341">
        <f>IFERROR(SMALL(Calc_Daily!$BM$2:$BM$2001,340),"")</f>
        <v>0</v>
      </c>
    </row>
    <row r="342" spans="1:59">
      <c r="A342" s="27">
        <f>IF($BG342="","",INDEX(Calc_Daily!$A$2:$A$2001,$BG342))</f>
        <v>0</v>
      </c>
      <c r="B342">
        <f>IF($BG342="","",INDEX(Calc_Daily!$BJ$2:$BJ$2001,$BG342))</f>
        <v>0</v>
      </c>
      <c r="C342">
        <f>IF($BG342="","",INDEX(Calc_Daily!$BK$2:$BK$2001,$BG342))</f>
        <v>0</v>
      </c>
      <c r="D342">
        <f>IF($BG342="","",INDEX(Calc_Daily!$BL$2:$BL$2001,$BG342))</f>
        <v>0</v>
      </c>
      <c r="E342">
        <f>IF($BG342="","",INDEX(Calc_Daily!$E$2:$E$2001,$BG342))</f>
        <v>0</v>
      </c>
      <c r="F342">
        <f>IF($E342="","",N(F341)+1)</f>
        <v>0</v>
      </c>
      <c r="G342">
        <f>IF(OR($E342="",$E341=""),"",LN($E342/$E341))</f>
        <v>0</v>
      </c>
      <c r="H342">
        <f>IF($E342="","",IF($E341="",$E342,$E342*0.0952380952+H341*0.9047619048))</f>
        <v>0</v>
      </c>
      <c r="I342">
        <f>IF($E342="","",IF($E341="",$E342,$E342*0.0392156863+I341*0.9607843137))</f>
        <v>0</v>
      </c>
      <c r="J342">
        <f>IF($E342="","",IF($E341="",$E342,$E342*0.0198019802+J341*0.9801980198))</f>
        <v>0</v>
      </c>
      <c r="K342">
        <f>IF($E342="","",IF($E341="",$E342,$E342*0.0099502488+K341*0.9900497512))</f>
        <v>0</v>
      </c>
      <c r="L342">
        <f>IF(OR($E342="",$E341=""),"",MAX($E342-$E341,0))</f>
        <v>0</v>
      </c>
      <c r="M342">
        <f>IF(OR($E342="",$E341=""),"",MAX($E341-$E342,0))</f>
        <v>0</v>
      </c>
      <c r="N342">
        <f>IF(COUNT($E$2:$E342)&lt;15,"",IF(AVERAGE($M$329:$M$342)=0,100,100-100/(1+AVERAGE($L$329:$L$342)/AVERAGE($M$329:$M$342))))</f>
        <v>0</v>
      </c>
      <c r="O342">
        <f>IF($E342="","",IF($E341="",$E342,$E342*0.1538461538+O341*0.8461538462))</f>
        <v>0</v>
      </c>
      <c r="P342">
        <f>IF($E342="","",IF($E341="",$E342,$E342*0.0740740741+P341*0.9259259259))</f>
        <v>0</v>
      </c>
      <c r="Q342">
        <f>IF(OR(O342="",P342=""),"",O342-P342)</f>
        <v>0</v>
      </c>
      <c r="R342">
        <f>IF(Q342="","",IF(R341="",Q342,Q342*0.2000000000+R341*0.8000000000))</f>
        <v>0</v>
      </c>
      <c r="S342">
        <f>IF(OR(Q342="",R342=""),"",Q342-R342)</f>
        <v>0</v>
      </c>
      <c r="T342">
        <f>IF(COUNT($E$2:$E342)&lt;14,"",MAX($C$329:$C$342))</f>
        <v>0</v>
      </c>
      <c r="U342">
        <f>IF(COUNT($E$2:$E342)&lt;14,"",MIN($D$329:$D$342))</f>
        <v>0</v>
      </c>
      <c r="V342">
        <f>IF(OR(T342="",U342="",T342=U342),"",100*($E342-U342)/(T342-U342))</f>
        <v>0</v>
      </c>
      <c r="W342">
        <f>IF(COUNT($V$340:$V$342)&lt;3,"",AVERAGE($V$340:$V$342))</f>
        <v>0</v>
      </c>
      <c r="X342">
        <f>IF(COUNT($N$329:$N$342)&lt;14,"",MIN($N$329:$N$342))</f>
        <v>0</v>
      </c>
      <c r="Y342">
        <f>IF(COUNT($N$329:$N$342)&lt;14,"",MAX($N$329:$N$342))</f>
        <v>0</v>
      </c>
      <c r="Z342">
        <f>IF(OR(N342="",X342="",Y342="",Y342=X342),"",100*(N342-X342)/(Y342-X342))</f>
        <v>0</v>
      </c>
      <c r="AA342">
        <f>IF(COUNT($Z$340:$Z$342)&lt;3,"",AVERAGE($Z$340:$Z$342))</f>
        <v>0</v>
      </c>
      <c r="AB342">
        <f>IF(COUNT($AA$340:$AA$342)&lt;3,"",AVERAGE($AA$340:$AA$342))</f>
        <v>0</v>
      </c>
      <c r="AC342">
        <f>IF($E342="","",MAX($C342-$D342,ABS($C342-$E341),ABS($D342-$E341)))</f>
        <v>0</v>
      </c>
      <c r="AD342">
        <f>IF(COUNT($E$2:$E342)&lt;15,"",AVERAGE($AC$329:$AC$342))</f>
        <v>0</v>
      </c>
      <c r="AE342">
        <f>IF(OR($E342="",$E341=""),"",IF(AND(($C342-$C341)&gt;($D341-$D342),($C342-$C341)&gt;0),$C342-$C341,0))</f>
        <v>0</v>
      </c>
      <c r="AF342">
        <f>IF(OR($E342="",$E341=""),"",IF(AND(($D341-$D342)&gt;($C342-$C341),($D341-$D342)&gt;0),$D341-$D342,0))</f>
        <v>0</v>
      </c>
      <c r="AG342">
        <f>IF(COUNT($E$2:$E342)&lt;15,"",IF(SUM($AC$329:$AC$342)=0,0,100*SUM($AE$329:$AE$342)/SUM($AC$329:$AC$342)))</f>
        <v>0</v>
      </c>
      <c r="AH342">
        <f>IF(COUNT($E$2:$E342)&lt;15,"",IF(SUM($AC$329:$AC$342)=0,0,100*SUM($AF$329:$AF$342)/SUM($AC$329:$AC$342)))</f>
        <v>0</v>
      </c>
      <c r="AI342">
        <f>IF(OR(AG342="",AH342=""),"",IF((AG342+AH342)=0,0,100*ABS(AG342-AH342)/(AG342+AH342)))</f>
        <v>0</v>
      </c>
      <c r="AJ342">
        <f>IF(COUNT($AI$329:$AI$342)&lt;14,"",AVERAGE($AI$329:$AI$342))</f>
        <v>0</v>
      </c>
      <c r="AK342">
        <f>IF(COUNT($E$2:$E342)&lt;20,"",AVERAGE($E$323:$E$342))</f>
        <v>0</v>
      </c>
      <c r="AL342">
        <f>IF(COUNT($E$2:$E342)&lt;20,"",STDEVP($E$323:$E$342))</f>
        <v>0</v>
      </c>
      <c r="AM342">
        <f>IF(AK342="","",AK342+2*AL342)</f>
        <v>0</v>
      </c>
      <c r="AN342">
        <f>IF(AK342="","",AK342-2*AL342)</f>
        <v>0</v>
      </c>
      <c r="AO342">
        <f>IF(OR(AM342="",AN342="",AM342=AN342),"",($E342-AN342)/(AM342-AN342))</f>
        <v>0</v>
      </c>
      <c r="AP342">
        <f>IF(OR(AM342="",AK342="",AK342=0),"",(AM342-AN342)/AK342)</f>
        <v>0</v>
      </c>
      <c r="AQ342">
        <f>IF(COUNT($E$2:$E342)&lt;20,"",MAX($C$323:$C$342))</f>
        <v>0</v>
      </c>
      <c r="AR342">
        <f>IF(COUNT($E$2:$E342)&lt;20,"",MIN($D$323:$D$342))</f>
        <v>0</v>
      </c>
      <c r="AS342">
        <f>IF(OR(AQ342="",AR342=""),"",(AQ342+AR342)/2)</f>
        <v>0</v>
      </c>
      <c r="AT342">
        <f>IF(COUNT($G$323:$G$342)&lt;20,"",STDEV($G$323:$G$342)*SQRT(52))</f>
        <v>0</v>
      </c>
      <c r="AU342">
        <f>IF(COUNT($E$2:$E342)&lt;9,"",(MAX($C$334:$C$342)+MIN($D$334:$D$342))/2)</f>
        <v>0</v>
      </c>
      <c r="AV342">
        <f>IF(COUNT($E$2:$E342)&lt;26,"",(MAX($C$317:$C$342)+MIN($D$317:$D$342))/2)</f>
        <v>0</v>
      </c>
      <c r="AW342">
        <f>IF(OR(AU342="",AV342=""),"",(AU342+AV342)/2)</f>
        <v>0</v>
      </c>
      <c r="AX342">
        <f>IF(COUNT($E$2:$E342)&lt;52,"",(MAX($C$291:$C$342)+MIN($D$291:$D$342))/2)</f>
        <v>0</v>
      </c>
      <c r="AY342">
        <f>IF(COUNT($E$2:$E342)&lt;20,"",MAX($C$243:$C$342))</f>
        <v>0</v>
      </c>
      <c r="AZ342">
        <f>IF(COUNT($E$2:$E342)&lt;20,"",MIN($D$243:$D$342))</f>
        <v>0</v>
      </c>
      <c r="BA342">
        <f>IF(COUNT($E$2:$E342)&lt;20,"",SLOPE($E$243:$E$342,$F$243:$F$342))</f>
        <v>0</v>
      </c>
      <c r="BB342">
        <f>IF(COUNT($E$2:$E342)&lt;20,"",INTERCEPT($E$243:$E$342,$F$243:$F$342))</f>
        <v>0</v>
      </c>
      <c r="BC342">
        <f>IF(OR(BA342="",BB342=""),"",BB342+BA342*F342)</f>
        <v>0</v>
      </c>
      <c r="BD342">
        <f>IF(COUNT($E$2:$E342)&lt;20,"",STEYX($E$243:$E$342,$F$243:$F$342))</f>
        <v>0</v>
      </c>
      <c r="BE342">
        <f>IF($E342="","",IF(AND(COUNT($E$343:$E$346)&gt;=4,$C342=MAX($C$338:$C$346)),$C342,""))</f>
        <v>0</v>
      </c>
      <c r="BF342">
        <f>IF($E342="","",IF(AND(COUNT($E$343:$E$346)&gt;=4,$D342=MIN($D$338:$D$346)),$D342,""))</f>
        <v>0</v>
      </c>
      <c r="BG342">
        <f>IFERROR(SMALL(Calc_Daily!$BM$2:$BM$2001,341),"")</f>
        <v>0</v>
      </c>
    </row>
    <row r="343" spans="1:59">
      <c r="A343" s="27">
        <f>IF($BG343="","",INDEX(Calc_Daily!$A$2:$A$2001,$BG343))</f>
        <v>0</v>
      </c>
      <c r="B343">
        <f>IF($BG343="","",INDEX(Calc_Daily!$BJ$2:$BJ$2001,$BG343))</f>
        <v>0</v>
      </c>
      <c r="C343">
        <f>IF($BG343="","",INDEX(Calc_Daily!$BK$2:$BK$2001,$BG343))</f>
        <v>0</v>
      </c>
      <c r="D343">
        <f>IF($BG343="","",INDEX(Calc_Daily!$BL$2:$BL$2001,$BG343))</f>
        <v>0</v>
      </c>
      <c r="E343">
        <f>IF($BG343="","",INDEX(Calc_Daily!$E$2:$E$2001,$BG343))</f>
        <v>0</v>
      </c>
      <c r="F343">
        <f>IF($E343="","",N(F342)+1)</f>
        <v>0</v>
      </c>
      <c r="G343">
        <f>IF(OR($E343="",$E342=""),"",LN($E343/$E342))</f>
        <v>0</v>
      </c>
      <c r="H343">
        <f>IF($E343="","",IF($E342="",$E343,$E343*0.0952380952+H342*0.9047619048))</f>
        <v>0</v>
      </c>
      <c r="I343">
        <f>IF($E343="","",IF($E342="",$E343,$E343*0.0392156863+I342*0.9607843137))</f>
        <v>0</v>
      </c>
      <c r="J343">
        <f>IF($E343="","",IF($E342="",$E343,$E343*0.0198019802+J342*0.9801980198))</f>
        <v>0</v>
      </c>
      <c r="K343">
        <f>IF($E343="","",IF($E342="",$E343,$E343*0.0099502488+K342*0.9900497512))</f>
        <v>0</v>
      </c>
      <c r="L343">
        <f>IF(OR($E343="",$E342=""),"",MAX($E343-$E342,0))</f>
        <v>0</v>
      </c>
      <c r="M343">
        <f>IF(OR($E343="",$E342=""),"",MAX($E342-$E343,0))</f>
        <v>0</v>
      </c>
      <c r="N343">
        <f>IF(COUNT($E$2:$E343)&lt;15,"",IF(AVERAGE($M$330:$M$343)=0,100,100-100/(1+AVERAGE($L$330:$L$343)/AVERAGE($M$330:$M$343))))</f>
        <v>0</v>
      </c>
      <c r="O343">
        <f>IF($E343="","",IF($E342="",$E343,$E343*0.1538461538+O342*0.8461538462))</f>
        <v>0</v>
      </c>
      <c r="P343">
        <f>IF($E343="","",IF($E342="",$E343,$E343*0.0740740741+P342*0.9259259259))</f>
        <v>0</v>
      </c>
      <c r="Q343">
        <f>IF(OR(O343="",P343=""),"",O343-P343)</f>
        <v>0</v>
      </c>
      <c r="R343">
        <f>IF(Q343="","",IF(R342="",Q343,Q343*0.2000000000+R342*0.8000000000))</f>
        <v>0</v>
      </c>
      <c r="S343">
        <f>IF(OR(Q343="",R343=""),"",Q343-R343)</f>
        <v>0</v>
      </c>
      <c r="T343">
        <f>IF(COUNT($E$2:$E343)&lt;14,"",MAX($C$330:$C$343))</f>
        <v>0</v>
      </c>
      <c r="U343">
        <f>IF(COUNT($E$2:$E343)&lt;14,"",MIN($D$330:$D$343))</f>
        <v>0</v>
      </c>
      <c r="V343">
        <f>IF(OR(T343="",U343="",T343=U343),"",100*($E343-U343)/(T343-U343))</f>
        <v>0</v>
      </c>
      <c r="W343">
        <f>IF(COUNT($V$341:$V$343)&lt;3,"",AVERAGE($V$341:$V$343))</f>
        <v>0</v>
      </c>
      <c r="X343">
        <f>IF(COUNT($N$330:$N$343)&lt;14,"",MIN($N$330:$N$343))</f>
        <v>0</v>
      </c>
      <c r="Y343">
        <f>IF(COUNT($N$330:$N$343)&lt;14,"",MAX($N$330:$N$343))</f>
        <v>0</v>
      </c>
      <c r="Z343">
        <f>IF(OR(N343="",X343="",Y343="",Y343=X343),"",100*(N343-X343)/(Y343-X343))</f>
        <v>0</v>
      </c>
      <c r="AA343">
        <f>IF(COUNT($Z$341:$Z$343)&lt;3,"",AVERAGE($Z$341:$Z$343))</f>
        <v>0</v>
      </c>
      <c r="AB343">
        <f>IF(COUNT($AA$341:$AA$343)&lt;3,"",AVERAGE($AA$341:$AA$343))</f>
        <v>0</v>
      </c>
      <c r="AC343">
        <f>IF($E343="","",MAX($C343-$D343,ABS($C343-$E342),ABS($D343-$E342)))</f>
        <v>0</v>
      </c>
      <c r="AD343">
        <f>IF(COUNT($E$2:$E343)&lt;15,"",AVERAGE($AC$330:$AC$343))</f>
        <v>0</v>
      </c>
      <c r="AE343">
        <f>IF(OR($E343="",$E342=""),"",IF(AND(($C343-$C342)&gt;($D342-$D343),($C343-$C342)&gt;0),$C343-$C342,0))</f>
        <v>0</v>
      </c>
      <c r="AF343">
        <f>IF(OR($E343="",$E342=""),"",IF(AND(($D342-$D343)&gt;($C343-$C342),($D342-$D343)&gt;0),$D342-$D343,0))</f>
        <v>0</v>
      </c>
      <c r="AG343">
        <f>IF(COUNT($E$2:$E343)&lt;15,"",IF(SUM($AC$330:$AC$343)=0,0,100*SUM($AE$330:$AE$343)/SUM($AC$330:$AC$343)))</f>
        <v>0</v>
      </c>
      <c r="AH343">
        <f>IF(COUNT($E$2:$E343)&lt;15,"",IF(SUM($AC$330:$AC$343)=0,0,100*SUM($AF$330:$AF$343)/SUM($AC$330:$AC$343)))</f>
        <v>0</v>
      </c>
      <c r="AI343">
        <f>IF(OR(AG343="",AH343=""),"",IF((AG343+AH343)=0,0,100*ABS(AG343-AH343)/(AG343+AH343)))</f>
        <v>0</v>
      </c>
      <c r="AJ343">
        <f>IF(COUNT($AI$330:$AI$343)&lt;14,"",AVERAGE($AI$330:$AI$343))</f>
        <v>0</v>
      </c>
      <c r="AK343">
        <f>IF(COUNT($E$2:$E343)&lt;20,"",AVERAGE($E$324:$E$343))</f>
        <v>0</v>
      </c>
      <c r="AL343">
        <f>IF(COUNT($E$2:$E343)&lt;20,"",STDEVP($E$324:$E$343))</f>
        <v>0</v>
      </c>
      <c r="AM343">
        <f>IF(AK343="","",AK343+2*AL343)</f>
        <v>0</v>
      </c>
      <c r="AN343">
        <f>IF(AK343="","",AK343-2*AL343)</f>
        <v>0</v>
      </c>
      <c r="AO343">
        <f>IF(OR(AM343="",AN343="",AM343=AN343),"",($E343-AN343)/(AM343-AN343))</f>
        <v>0</v>
      </c>
      <c r="AP343">
        <f>IF(OR(AM343="",AK343="",AK343=0),"",(AM343-AN343)/AK343)</f>
        <v>0</v>
      </c>
      <c r="AQ343">
        <f>IF(COUNT($E$2:$E343)&lt;20,"",MAX($C$324:$C$343))</f>
        <v>0</v>
      </c>
      <c r="AR343">
        <f>IF(COUNT($E$2:$E343)&lt;20,"",MIN($D$324:$D$343))</f>
        <v>0</v>
      </c>
      <c r="AS343">
        <f>IF(OR(AQ343="",AR343=""),"",(AQ343+AR343)/2)</f>
        <v>0</v>
      </c>
      <c r="AT343">
        <f>IF(COUNT($G$324:$G$343)&lt;20,"",STDEV($G$324:$G$343)*SQRT(52))</f>
        <v>0</v>
      </c>
      <c r="AU343">
        <f>IF(COUNT($E$2:$E343)&lt;9,"",(MAX($C$335:$C$343)+MIN($D$335:$D$343))/2)</f>
        <v>0</v>
      </c>
      <c r="AV343">
        <f>IF(COUNT($E$2:$E343)&lt;26,"",(MAX($C$318:$C$343)+MIN($D$318:$D$343))/2)</f>
        <v>0</v>
      </c>
      <c r="AW343">
        <f>IF(OR(AU343="",AV343=""),"",(AU343+AV343)/2)</f>
        <v>0</v>
      </c>
      <c r="AX343">
        <f>IF(COUNT($E$2:$E343)&lt;52,"",(MAX($C$292:$C$343)+MIN($D$292:$D$343))/2)</f>
        <v>0</v>
      </c>
      <c r="AY343">
        <f>IF(COUNT($E$2:$E343)&lt;20,"",MAX($C$244:$C$343))</f>
        <v>0</v>
      </c>
      <c r="AZ343">
        <f>IF(COUNT($E$2:$E343)&lt;20,"",MIN($D$244:$D$343))</f>
        <v>0</v>
      </c>
      <c r="BA343">
        <f>IF(COUNT($E$2:$E343)&lt;20,"",SLOPE($E$244:$E$343,$F$244:$F$343))</f>
        <v>0</v>
      </c>
      <c r="BB343">
        <f>IF(COUNT($E$2:$E343)&lt;20,"",INTERCEPT($E$244:$E$343,$F$244:$F$343))</f>
        <v>0</v>
      </c>
      <c r="BC343">
        <f>IF(OR(BA343="",BB343=""),"",BB343+BA343*F343)</f>
        <v>0</v>
      </c>
      <c r="BD343">
        <f>IF(COUNT($E$2:$E343)&lt;20,"",STEYX($E$244:$E$343,$F$244:$F$343))</f>
        <v>0</v>
      </c>
      <c r="BE343">
        <f>IF($E343="","",IF(AND(COUNT($E$344:$E$347)&gt;=4,$C343=MAX($C$339:$C$347)),$C343,""))</f>
        <v>0</v>
      </c>
      <c r="BF343">
        <f>IF($E343="","",IF(AND(COUNT($E$344:$E$347)&gt;=4,$D343=MIN($D$339:$D$347)),$D343,""))</f>
        <v>0</v>
      </c>
      <c r="BG343">
        <f>IFERROR(SMALL(Calc_Daily!$BM$2:$BM$2001,342),"")</f>
        <v>0</v>
      </c>
    </row>
    <row r="344" spans="1:59">
      <c r="A344" s="27">
        <f>IF($BG344="","",INDEX(Calc_Daily!$A$2:$A$2001,$BG344))</f>
        <v>0</v>
      </c>
      <c r="B344">
        <f>IF($BG344="","",INDEX(Calc_Daily!$BJ$2:$BJ$2001,$BG344))</f>
        <v>0</v>
      </c>
      <c r="C344">
        <f>IF($BG344="","",INDEX(Calc_Daily!$BK$2:$BK$2001,$BG344))</f>
        <v>0</v>
      </c>
      <c r="D344">
        <f>IF($BG344="","",INDEX(Calc_Daily!$BL$2:$BL$2001,$BG344))</f>
        <v>0</v>
      </c>
      <c r="E344">
        <f>IF($BG344="","",INDEX(Calc_Daily!$E$2:$E$2001,$BG344))</f>
        <v>0</v>
      </c>
      <c r="F344">
        <f>IF($E344="","",N(F343)+1)</f>
        <v>0</v>
      </c>
      <c r="G344">
        <f>IF(OR($E344="",$E343=""),"",LN($E344/$E343))</f>
        <v>0</v>
      </c>
      <c r="H344">
        <f>IF($E344="","",IF($E343="",$E344,$E344*0.0952380952+H343*0.9047619048))</f>
        <v>0</v>
      </c>
      <c r="I344">
        <f>IF($E344="","",IF($E343="",$E344,$E344*0.0392156863+I343*0.9607843137))</f>
        <v>0</v>
      </c>
      <c r="J344">
        <f>IF($E344="","",IF($E343="",$E344,$E344*0.0198019802+J343*0.9801980198))</f>
        <v>0</v>
      </c>
      <c r="K344">
        <f>IF($E344="","",IF($E343="",$E344,$E344*0.0099502488+K343*0.9900497512))</f>
        <v>0</v>
      </c>
      <c r="L344">
        <f>IF(OR($E344="",$E343=""),"",MAX($E344-$E343,0))</f>
        <v>0</v>
      </c>
      <c r="M344">
        <f>IF(OR($E344="",$E343=""),"",MAX($E343-$E344,0))</f>
        <v>0</v>
      </c>
      <c r="N344">
        <f>IF(COUNT($E$2:$E344)&lt;15,"",IF(AVERAGE($M$331:$M$344)=0,100,100-100/(1+AVERAGE($L$331:$L$344)/AVERAGE($M$331:$M$344))))</f>
        <v>0</v>
      </c>
      <c r="O344">
        <f>IF($E344="","",IF($E343="",$E344,$E344*0.1538461538+O343*0.8461538462))</f>
        <v>0</v>
      </c>
      <c r="P344">
        <f>IF($E344="","",IF($E343="",$E344,$E344*0.0740740741+P343*0.9259259259))</f>
        <v>0</v>
      </c>
      <c r="Q344">
        <f>IF(OR(O344="",P344=""),"",O344-P344)</f>
        <v>0</v>
      </c>
      <c r="R344">
        <f>IF(Q344="","",IF(R343="",Q344,Q344*0.2000000000+R343*0.8000000000))</f>
        <v>0</v>
      </c>
      <c r="S344">
        <f>IF(OR(Q344="",R344=""),"",Q344-R344)</f>
        <v>0</v>
      </c>
      <c r="T344">
        <f>IF(COUNT($E$2:$E344)&lt;14,"",MAX($C$331:$C$344))</f>
        <v>0</v>
      </c>
      <c r="U344">
        <f>IF(COUNT($E$2:$E344)&lt;14,"",MIN($D$331:$D$344))</f>
        <v>0</v>
      </c>
      <c r="V344">
        <f>IF(OR(T344="",U344="",T344=U344),"",100*($E344-U344)/(T344-U344))</f>
        <v>0</v>
      </c>
      <c r="W344">
        <f>IF(COUNT($V$342:$V$344)&lt;3,"",AVERAGE($V$342:$V$344))</f>
        <v>0</v>
      </c>
      <c r="X344">
        <f>IF(COUNT($N$331:$N$344)&lt;14,"",MIN($N$331:$N$344))</f>
        <v>0</v>
      </c>
      <c r="Y344">
        <f>IF(COUNT($N$331:$N$344)&lt;14,"",MAX($N$331:$N$344))</f>
        <v>0</v>
      </c>
      <c r="Z344">
        <f>IF(OR(N344="",X344="",Y344="",Y344=X344),"",100*(N344-X344)/(Y344-X344))</f>
        <v>0</v>
      </c>
      <c r="AA344">
        <f>IF(COUNT($Z$342:$Z$344)&lt;3,"",AVERAGE($Z$342:$Z$344))</f>
        <v>0</v>
      </c>
      <c r="AB344">
        <f>IF(COUNT($AA$342:$AA$344)&lt;3,"",AVERAGE($AA$342:$AA$344))</f>
        <v>0</v>
      </c>
      <c r="AC344">
        <f>IF($E344="","",MAX($C344-$D344,ABS($C344-$E343),ABS($D344-$E343)))</f>
        <v>0</v>
      </c>
      <c r="AD344">
        <f>IF(COUNT($E$2:$E344)&lt;15,"",AVERAGE($AC$331:$AC$344))</f>
        <v>0</v>
      </c>
      <c r="AE344">
        <f>IF(OR($E344="",$E343=""),"",IF(AND(($C344-$C343)&gt;($D343-$D344),($C344-$C343)&gt;0),$C344-$C343,0))</f>
        <v>0</v>
      </c>
      <c r="AF344">
        <f>IF(OR($E344="",$E343=""),"",IF(AND(($D343-$D344)&gt;($C344-$C343),($D343-$D344)&gt;0),$D343-$D344,0))</f>
        <v>0</v>
      </c>
      <c r="AG344">
        <f>IF(COUNT($E$2:$E344)&lt;15,"",IF(SUM($AC$331:$AC$344)=0,0,100*SUM($AE$331:$AE$344)/SUM($AC$331:$AC$344)))</f>
        <v>0</v>
      </c>
      <c r="AH344">
        <f>IF(COUNT($E$2:$E344)&lt;15,"",IF(SUM($AC$331:$AC$344)=0,0,100*SUM($AF$331:$AF$344)/SUM($AC$331:$AC$344)))</f>
        <v>0</v>
      </c>
      <c r="AI344">
        <f>IF(OR(AG344="",AH344=""),"",IF((AG344+AH344)=0,0,100*ABS(AG344-AH344)/(AG344+AH344)))</f>
        <v>0</v>
      </c>
      <c r="AJ344">
        <f>IF(COUNT($AI$331:$AI$344)&lt;14,"",AVERAGE($AI$331:$AI$344))</f>
        <v>0</v>
      </c>
      <c r="AK344">
        <f>IF(COUNT($E$2:$E344)&lt;20,"",AVERAGE($E$325:$E$344))</f>
        <v>0</v>
      </c>
      <c r="AL344">
        <f>IF(COUNT($E$2:$E344)&lt;20,"",STDEVP($E$325:$E$344))</f>
        <v>0</v>
      </c>
      <c r="AM344">
        <f>IF(AK344="","",AK344+2*AL344)</f>
        <v>0</v>
      </c>
      <c r="AN344">
        <f>IF(AK344="","",AK344-2*AL344)</f>
        <v>0</v>
      </c>
      <c r="AO344">
        <f>IF(OR(AM344="",AN344="",AM344=AN344),"",($E344-AN344)/(AM344-AN344))</f>
        <v>0</v>
      </c>
      <c r="AP344">
        <f>IF(OR(AM344="",AK344="",AK344=0),"",(AM344-AN344)/AK344)</f>
        <v>0</v>
      </c>
      <c r="AQ344">
        <f>IF(COUNT($E$2:$E344)&lt;20,"",MAX($C$325:$C$344))</f>
        <v>0</v>
      </c>
      <c r="AR344">
        <f>IF(COUNT($E$2:$E344)&lt;20,"",MIN($D$325:$D$344))</f>
        <v>0</v>
      </c>
      <c r="AS344">
        <f>IF(OR(AQ344="",AR344=""),"",(AQ344+AR344)/2)</f>
        <v>0</v>
      </c>
      <c r="AT344">
        <f>IF(COUNT($G$325:$G$344)&lt;20,"",STDEV($G$325:$G$344)*SQRT(52))</f>
        <v>0</v>
      </c>
      <c r="AU344">
        <f>IF(COUNT($E$2:$E344)&lt;9,"",(MAX($C$336:$C$344)+MIN($D$336:$D$344))/2)</f>
        <v>0</v>
      </c>
      <c r="AV344">
        <f>IF(COUNT($E$2:$E344)&lt;26,"",(MAX($C$319:$C$344)+MIN($D$319:$D$344))/2)</f>
        <v>0</v>
      </c>
      <c r="AW344">
        <f>IF(OR(AU344="",AV344=""),"",(AU344+AV344)/2)</f>
        <v>0</v>
      </c>
      <c r="AX344">
        <f>IF(COUNT($E$2:$E344)&lt;52,"",(MAX($C$293:$C$344)+MIN($D$293:$D$344))/2)</f>
        <v>0</v>
      </c>
      <c r="AY344">
        <f>IF(COUNT($E$2:$E344)&lt;20,"",MAX($C$245:$C$344))</f>
        <v>0</v>
      </c>
      <c r="AZ344">
        <f>IF(COUNT($E$2:$E344)&lt;20,"",MIN($D$245:$D$344))</f>
        <v>0</v>
      </c>
      <c r="BA344">
        <f>IF(COUNT($E$2:$E344)&lt;20,"",SLOPE($E$245:$E$344,$F$245:$F$344))</f>
        <v>0</v>
      </c>
      <c r="BB344">
        <f>IF(COUNT($E$2:$E344)&lt;20,"",INTERCEPT($E$245:$E$344,$F$245:$F$344))</f>
        <v>0</v>
      </c>
      <c r="BC344">
        <f>IF(OR(BA344="",BB344=""),"",BB344+BA344*F344)</f>
        <v>0</v>
      </c>
      <c r="BD344">
        <f>IF(COUNT($E$2:$E344)&lt;20,"",STEYX($E$245:$E$344,$F$245:$F$344))</f>
        <v>0</v>
      </c>
      <c r="BE344">
        <f>IF($E344="","",IF(AND(COUNT($E$345:$E$348)&gt;=4,$C344=MAX($C$340:$C$348)),$C344,""))</f>
        <v>0</v>
      </c>
      <c r="BF344">
        <f>IF($E344="","",IF(AND(COUNT($E$345:$E$348)&gt;=4,$D344=MIN($D$340:$D$348)),$D344,""))</f>
        <v>0</v>
      </c>
      <c r="BG344">
        <f>IFERROR(SMALL(Calc_Daily!$BM$2:$BM$2001,343),"")</f>
        <v>0</v>
      </c>
    </row>
    <row r="345" spans="1:59">
      <c r="A345" s="27">
        <f>IF($BG345="","",INDEX(Calc_Daily!$A$2:$A$2001,$BG345))</f>
        <v>0</v>
      </c>
      <c r="B345">
        <f>IF($BG345="","",INDEX(Calc_Daily!$BJ$2:$BJ$2001,$BG345))</f>
        <v>0</v>
      </c>
      <c r="C345">
        <f>IF($BG345="","",INDEX(Calc_Daily!$BK$2:$BK$2001,$BG345))</f>
        <v>0</v>
      </c>
      <c r="D345">
        <f>IF($BG345="","",INDEX(Calc_Daily!$BL$2:$BL$2001,$BG345))</f>
        <v>0</v>
      </c>
      <c r="E345">
        <f>IF($BG345="","",INDEX(Calc_Daily!$E$2:$E$2001,$BG345))</f>
        <v>0</v>
      </c>
      <c r="F345">
        <f>IF($E345="","",N(F344)+1)</f>
        <v>0</v>
      </c>
      <c r="G345">
        <f>IF(OR($E345="",$E344=""),"",LN($E345/$E344))</f>
        <v>0</v>
      </c>
      <c r="H345">
        <f>IF($E345="","",IF($E344="",$E345,$E345*0.0952380952+H344*0.9047619048))</f>
        <v>0</v>
      </c>
      <c r="I345">
        <f>IF($E345="","",IF($E344="",$E345,$E345*0.0392156863+I344*0.9607843137))</f>
        <v>0</v>
      </c>
      <c r="J345">
        <f>IF($E345="","",IF($E344="",$E345,$E345*0.0198019802+J344*0.9801980198))</f>
        <v>0</v>
      </c>
      <c r="K345">
        <f>IF($E345="","",IF($E344="",$E345,$E345*0.0099502488+K344*0.9900497512))</f>
        <v>0</v>
      </c>
      <c r="L345">
        <f>IF(OR($E345="",$E344=""),"",MAX($E345-$E344,0))</f>
        <v>0</v>
      </c>
      <c r="M345">
        <f>IF(OR($E345="",$E344=""),"",MAX($E344-$E345,0))</f>
        <v>0</v>
      </c>
      <c r="N345">
        <f>IF(COUNT($E$2:$E345)&lt;15,"",IF(AVERAGE($M$332:$M$345)=0,100,100-100/(1+AVERAGE($L$332:$L$345)/AVERAGE($M$332:$M$345))))</f>
        <v>0</v>
      </c>
      <c r="O345">
        <f>IF($E345="","",IF($E344="",$E345,$E345*0.1538461538+O344*0.8461538462))</f>
        <v>0</v>
      </c>
      <c r="P345">
        <f>IF($E345="","",IF($E344="",$E345,$E345*0.0740740741+P344*0.9259259259))</f>
        <v>0</v>
      </c>
      <c r="Q345">
        <f>IF(OR(O345="",P345=""),"",O345-P345)</f>
        <v>0</v>
      </c>
      <c r="R345">
        <f>IF(Q345="","",IF(R344="",Q345,Q345*0.2000000000+R344*0.8000000000))</f>
        <v>0</v>
      </c>
      <c r="S345">
        <f>IF(OR(Q345="",R345=""),"",Q345-R345)</f>
        <v>0</v>
      </c>
      <c r="T345">
        <f>IF(COUNT($E$2:$E345)&lt;14,"",MAX($C$332:$C$345))</f>
        <v>0</v>
      </c>
      <c r="U345">
        <f>IF(COUNT($E$2:$E345)&lt;14,"",MIN($D$332:$D$345))</f>
        <v>0</v>
      </c>
      <c r="V345">
        <f>IF(OR(T345="",U345="",T345=U345),"",100*($E345-U345)/(T345-U345))</f>
        <v>0</v>
      </c>
      <c r="W345">
        <f>IF(COUNT($V$343:$V$345)&lt;3,"",AVERAGE($V$343:$V$345))</f>
        <v>0</v>
      </c>
      <c r="X345">
        <f>IF(COUNT($N$332:$N$345)&lt;14,"",MIN($N$332:$N$345))</f>
        <v>0</v>
      </c>
      <c r="Y345">
        <f>IF(COUNT($N$332:$N$345)&lt;14,"",MAX($N$332:$N$345))</f>
        <v>0</v>
      </c>
      <c r="Z345">
        <f>IF(OR(N345="",X345="",Y345="",Y345=X345),"",100*(N345-X345)/(Y345-X345))</f>
        <v>0</v>
      </c>
      <c r="AA345">
        <f>IF(COUNT($Z$343:$Z$345)&lt;3,"",AVERAGE($Z$343:$Z$345))</f>
        <v>0</v>
      </c>
      <c r="AB345">
        <f>IF(COUNT($AA$343:$AA$345)&lt;3,"",AVERAGE($AA$343:$AA$345))</f>
        <v>0</v>
      </c>
      <c r="AC345">
        <f>IF($E345="","",MAX($C345-$D345,ABS($C345-$E344),ABS($D345-$E344)))</f>
        <v>0</v>
      </c>
      <c r="AD345">
        <f>IF(COUNT($E$2:$E345)&lt;15,"",AVERAGE($AC$332:$AC$345))</f>
        <v>0</v>
      </c>
      <c r="AE345">
        <f>IF(OR($E345="",$E344=""),"",IF(AND(($C345-$C344)&gt;($D344-$D345),($C345-$C344)&gt;0),$C345-$C344,0))</f>
        <v>0</v>
      </c>
      <c r="AF345">
        <f>IF(OR($E345="",$E344=""),"",IF(AND(($D344-$D345)&gt;($C345-$C344),($D344-$D345)&gt;0),$D344-$D345,0))</f>
        <v>0</v>
      </c>
      <c r="AG345">
        <f>IF(COUNT($E$2:$E345)&lt;15,"",IF(SUM($AC$332:$AC$345)=0,0,100*SUM($AE$332:$AE$345)/SUM($AC$332:$AC$345)))</f>
        <v>0</v>
      </c>
      <c r="AH345">
        <f>IF(COUNT($E$2:$E345)&lt;15,"",IF(SUM($AC$332:$AC$345)=0,0,100*SUM($AF$332:$AF$345)/SUM($AC$332:$AC$345)))</f>
        <v>0</v>
      </c>
      <c r="AI345">
        <f>IF(OR(AG345="",AH345=""),"",IF((AG345+AH345)=0,0,100*ABS(AG345-AH345)/(AG345+AH345)))</f>
        <v>0</v>
      </c>
      <c r="AJ345">
        <f>IF(COUNT($AI$332:$AI$345)&lt;14,"",AVERAGE($AI$332:$AI$345))</f>
        <v>0</v>
      </c>
      <c r="AK345">
        <f>IF(COUNT($E$2:$E345)&lt;20,"",AVERAGE($E$326:$E$345))</f>
        <v>0</v>
      </c>
      <c r="AL345">
        <f>IF(COUNT($E$2:$E345)&lt;20,"",STDEVP($E$326:$E$345))</f>
        <v>0</v>
      </c>
      <c r="AM345">
        <f>IF(AK345="","",AK345+2*AL345)</f>
        <v>0</v>
      </c>
      <c r="AN345">
        <f>IF(AK345="","",AK345-2*AL345)</f>
        <v>0</v>
      </c>
      <c r="AO345">
        <f>IF(OR(AM345="",AN345="",AM345=AN345),"",($E345-AN345)/(AM345-AN345))</f>
        <v>0</v>
      </c>
      <c r="AP345">
        <f>IF(OR(AM345="",AK345="",AK345=0),"",(AM345-AN345)/AK345)</f>
        <v>0</v>
      </c>
      <c r="AQ345">
        <f>IF(COUNT($E$2:$E345)&lt;20,"",MAX($C$326:$C$345))</f>
        <v>0</v>
      </c>
      <c r="AR345">
        <f>IF(COUNT($E$2:$E345)&lt;20,"",MIN($D$326:$D$345))</f>
        <v>0</v>
      </c>
      <c r="AS345">
        <f>IF(OR(AQ345="",AR345=""),"",(AQ345+AR345)/2)</f>
        <v>0</v>
      </c>
      <c r="AT345">
        <f>IF(COUNT($G$326:$G$345)&lt;20,"",STDEV($G$326:$G$345)*SQRT(52))</f>
        <v>0</v>
      </c>
      <c r="AU345">
        <f>IF(COUNT($E$2:$E345)&lt;9,"",(MAX($C$337:$C$345)+MIN($D$337:$D$345))/2)</f>
        <v>0</v>
      </c>
      <c r="AV345">
        <f>IF(COUNT($E$2:$E345)&lt;26,"",(MAX($C$320:$C$345)+MIN($D$320:$D$345))/2)</f>
        <v>0</v>
      </c>
      <c r="AW345">
        <f>IF(OR(AU345="",AV345=""),"",(AU345+AV345)/2)</f>
        <v>0</v>
      </c>
      <c r="AX345">
        <f>IF(COUNT($E$2:$E345)&lt;52,"",(MAX($C$294:$C$345)+MIN($D$294:$D$345))/2)</f>
        <v>0</v>
      </c>
      <c r="AY345">
        <f>IF(COUNT($E$2:$E345)&lt;20,"",MAX($C$246:$C$345))</f>
        <v>0</v>
      </c>
      <c r="AZ345">
        <f>IF(COUNT($E$2:$E345)&lt;20,"",MIN($D$246:$D$345))</f>
        <v>0</v>
      </c>
      <c r="BA345">
        <f>IF(COUNT($E$2:$E345)&lt;20,"",SLOPE($E$246:$E$345,$F$246:$F$345))</f>
        <v>0</v>
      </c>
      <c r="BB345">
        <f>IF(COUNT($E$2:$E345)&lt;20,"",INTERCEPT($E$246:$E$345,$F$246:$F$345))</f>
        <v>0</v>
      </c>
      <c r="BC345">
        <f>IF(OR(BA345="",BB345=""),"",BB345+BA345*F345)</f>
        <v>0</v>
      </c>
      <c r="BD345">
        <f>IF(COUNT($E$2:$E345)&lt;20,"",STEYX($E$246:$E$345,$F$246:$F$345))</f>
        <v>0</v>
      </c>
      <c r="BE345">
        <f>IF($E345="","",IF(AND(COUNT($E$346:$E$349)&gt;=4,$C345=MAX($C$341:$C$349)),$C345,""))</f>
        <v>0</v>
      </c>
      <c r="BF345">
        <f>IF($E345="","",IF(AND(COUNT($E$346:$E$349)&gt;=4,$D345=MIN($D$341:$D$349)),$D345,""))</f>
        <v>0</v>
      </c>
      <c r="BG345">
        <f>IFERROR(SMALL(Calc_Daily!$BM$2:$BM$2001,344),"")</f>
        <v>0</v>
      </c>
    </row>
    <row r="346" spans="1:59">
      <c r="A346" s="27">
        <f>IF($BG346="","",INDEX(Calc_Daily!$A$2:$A$2001,$BG346))</f>
        <v>0</v>
      </c>
      <c r="B346">
        <f>IF($BG346="","",INDEX(Calc_Daily!$BJ$2:$BJ$2001,$BG346))</f>
        <v>0</v>
      </c>
      <c r="C346">
        <f>IF($BG346="","",INDEX(Calc_Daily!$BK$2:$BK$2001,$BG346))</f>
        <v>0</v>
      </c>
      <c r="D346">
        <f>IF($BG346="","",INDEX(Calc_Daily!$BL$2:$BL$2001,$BG346))</f>
        <v>0</v>
      </c>
      <c r="E346">
        <f>IF($BG346="","",INDEX(Calc_Daily!$E$2:$E$2001,$BG346))</f>
        <v>0</v>
      </c>
      <c r="F346">
        <f>IF($E346="","",N(F345)+1)</f>
        <v>0</v>
      </c>
      <c r="G346">
        <f>IF(OR($E346="",$E345=""),"",LN($E346/$E345))</f>
        <v>0</v>
      </c>
      <c r="H346">
        <f>IF($E346="","",IF($E345="",$E346,$E346*0.0952380952+H345*0.9047619048))</f>
        <v>0</v>
      </c>
      <c r="I346">
        <f>IF($E346="","",IF($E345="",$E346,$E346*0.0392156863+I345*0.9607843137))</f>
        <v>0</v>
      </c>
      <c r="J346">
        <f>IF($E346="","",IF($E345="",$E346,$E346*0.0198019802+J345*0.9801980198))</f>
        <v>0</v>
      </c>
      <c r="K346">
        <f>IF($E346="","",IF($E345="",$E346,$E346*0.0099502488+K345*0.9900497512))</f>
        <v>0</v>
      </c>
      <c r="L346">
        <f>IF(OR($E346="",$E345=""),"",MAX($E346-$E345,0))</f>
        <v>0</v>
      </c>
      <c r="M346">
        <f>IF(OR($E346="",$E345=""),"",MAX($E345-$E346,0))</f>
        <v>0</v>
      </c>
      <c r="N346">
        <f>IF(COUNT($E$2:$E346)&lt;15,"",IF(AVERAGE($M$333:$M$346)=0,100,100-100/(1+AVERAGE($L$333:$L$346)/AVERAGE($M$333:$M$346))))</f>
        <v>0</v>
      </c>
      <c r="O346">
        <f>IF($E346="","",IF($E345="",$E346,$E346*0.1538461538+O345*0.8461538462))</f>
        <v>0</v>
      </c>
      <c r="P346">
        <f>IF($E346="","",IF($E345="",$E346,$E346*0.0740740741+P345*0.9259259259))</f>
        <v>0</v>
      </c>
      <c r="Q346">
        <f>IF(OR(O346="",P346=""),"",O346-P346)</f>
        <v>0</v>
      </c>
      <c r="R346">
        <f>IF(Q346="","",IF(R345="",Q346,Q346*0.2000000000+R345*0.8000000000))</f>
        <v>0</v>
      </c>
      <c r="S346">
        <f>IF(OR(Q346="",R346=""),"",Q346-R346)</f>
        <v>0</v>
      </c>
      <c r="T346">
        <f>IF(COUNT($E$2:$E346)&lt;14,"",MAX($C$333:$C$346))</f>
        <v>0</v>
      </c>
      <c r="U346">
        <f>IF(COUNT($E$2:$E346)&lt;14,"",MIN($D$333:$D$346))</f>
        <v>0</v>
      </c>
      <c r="V346">
        <f>IF(OR(T346="",U346="",T346=U346),"",100*($E346-U346)/(T346-U346))</f>
        <v>0</v>
      </c>
      <c r="W346">
        <f>IF(COUNT($V$344:$V$346)&lt;3,"",AVERAGE($V$344:$V$346))</f>
        <v>0</v>
      </c>
      <c r="X346">
        <f>IF(COUNT($N$333:$N$346)&lt;14,"",MIN($N$333:$N$346))</f>
        <v>0</v>
      </c>
      <c r="Y346">
        <f>IF(COUNT($N$333:$N$346)&lt;14,"",MAX($N$333:$N$346))</f>
        <v>0</v>
      </c>
      <c r="Z346">
        <f>IF(OR(N346="",X346="",Y346="",Y346=X346),"",100*(N346-X346)/(Y346-X346))</f>
        <v>0</v>
      </c>
      <c r="AA346">
        <f>IF(COUNT($Z$344:$Z$346)&lt;3,"",AVERAGE($Z$344:$Z$346))</f>
        <v>0</v>
      </c>
      <c r="AB346">
        <f>IF(COUNT($AA$344:$AA$346)&lt;3,"",AVERAGE($AA$344:$AA$346))</f>
        <v>0</v>
      </c>
      <c r="AC346">
        <f>IF($E346="","",MAX($C346-$D346,ABS($C346-$E345),ABS($D346-$E345)))</f>
        <v>0</v>
      </c>
      <c r="AD346">
        <f>IF(COUNT($E$2:$E346)&lt;15,"",AVERAGE($AC$333:$AC$346))</f>
        <v>0</v>
      </c>
      <c r="AE346">
        <f>IF(OR($E346="",$E345=""),"",IF(AND(($C346-$C345)&gt;($D345-$D346),($C346-$C345)&gt;0),$C346-$C345,0))</f>
        <v>0</v>
      </c>
      <c r="AF346">
        <f>IF(OR($E346="",$E345=""),"",IF(AND(($D345-$D346)&gt;($C346-$C345),($D345-$D346)&gt;0),$D345-$D346,0))</f>
        <v>0</v>
      </c>
      <c r="AG346">
        <f>IF(COUNT($E$2:$E346)&lt;15,"",IF(SUM($AC$333:$AC$346)=0,0,100*SUM($AE$333:$AE$346)/SUM($AC$333:$AC$346)))</f>
        <v>0</v>
      </c>
      <c r="AH346">
        <f>IF(COUNT($E$2:$E346)&lt;15,"",IF(SUM($AC$333:$AC$346)=0,0,100*SUM($AF$333:$AF$346)/SUM($AC$333:$AC$346)))</f>
        <v>0</v>
      </c>
      <c r="AI346">
        <f>IF(OR(AG346="",AH346=""),"",IF((AG346+AH346)=0,0,100*ABS(AG346-AH346)/(AG346+AH346)))</f>
        <v>0</v>
      </c>
      <c r="AJ346">
        <f>IF(COUNT($AI$333:$AI$346)&lt;14,"",AVERAGE($AI$333:$AI$346))</f>
        <v>0</v>
      </c>
      <c r="AK346">
        <f>IF(COUNT($E$2:$E346)&lt;20,"",AVERAGE($E$327:$E$346))</f>
        <v>0</v>
      </c>
      <c r="AL346">
        <f>IF(COUNT($E$2:$E346)&lt;20,"",STDEVP($E$327:$E$346))</f>
        <v>0</v>
      </c>
      <c r="AM346">
        <f>IF(AK346="","",AK346+2*AL346)</f>
        <v>0</v>
      </c>
      <c r="AN346">
        <f>IF(AK346="","",AK346-2*AL346)</f>
        <v>0</v>
      </c>
      <c r="AO346">
        <f>IF(OR(AM346="",AN346="",AM346=AN346),"",($E346-AN346)/(AM346-AN346))</f>
        <v>0</v>
      </c>
      <c r="AP346">
        <f>IF(OR(AM346="",AK346="",AK346=0),"",(AM346-AN346)/AK346)</f>
        <v>0</v>
      </c>
      <c r="AQ346">
        <f>IF(COUNT($E$2:$E346)&lt;20,"",MAX($C$327:$C$346))</f>
        <v>0</v>
      </c>
      <c r="AR346">
        <f>IF(COUNT($E$2:$E346)&lt;20,"",MIN($D$327:$D$346))</f>
        <v>0</v>
      </c>
      <c r="AS346">
        <f>IF(OR(AQ346="",AR346=""),"",(AQ346+AR346)/2)</f>
        <v>0</v>
      </c>
      <c r="AT346">
        <f>IF(COUNT($G$327:$G$346)&lt;20,"",STDEV($G$327:$G$346)*SQRT(52))</f>
        <v>0</v>
      </c>
      <c r="AU346">
        <f>IF(COUNT($E$2:$E346)&lt;9,"",(MAX($C$338:$C$346)+MIN($D$338:$D$346))/2)</f>
        <v>0</v>
      </c>
      <c r="AV346">
        <f>IF(COUNT($E$2:$E346)&lt;26,"",(MAX($C$321:$C$346)+MIN($D$321:$D$346))/2)</f>
        <v>0</v>
      </c>
      <c r="AW346">
        <f>IF(OR(AU346="",AV346=""),"",(AU346+AV346)/2)</f>
        <v>0</v>
      </c>
      <c r="AX346">
        <f>IF(COUNT($E$2:$E346)&lt;52,"",(MAX($C$295:$C$346)+MIN($D$295:$D$346))/2)</f>
        <v>0</v>
      </c>
      <c r="AY346">
        <f>IF(COUNT($E$2:$E346)&lt;20,"",MAX($C$247:$C$346))</f>
        <v>0</v>
      </c>
      <c r="AZ346">
        <f>IF(COUNT($E$2:$E346)&lt;20,"",MIN($D$247:$D$346))</f>
        <v>0</v>
      </c>
      <c r="BA346">
        <f>IF(COUNT($E$2:$E346)&lt;20,"",SLOPE($E$247:$E$346,$F$247:$F$346))</f>
        <v>0</v>
      </c>
      <c r="BB346">
        <f>IF(COUNT($E$2:$E346)&lt;20,"",INTERCEPT($E$247:$E$346,$F$247:$F$346))</f>
        <v>0</v>
      </c>
      <c r="BC346">
        <f>IF(OR(BA346="",BB346=""),"",BB346+BA346*F346)</f>
        <v>0</v>
      </c>
      <c r="BD346">
        <f>IF(COUNT($E$2:$E346)&lt;20,"",STEYX($E$247:$E$346,$F$247:$F$346))</f>
        <v>0</v>
      </c>
      <c r="BE346">
        <f>IF($E346="","",IF(AND(COUNT($E$347:$E$350)&gt;=4,$C346=MAX($C$342:$C$350)),$C346,""))</f>
        <v>0</v>
      </c>
      <c r="BF346">
        <f>IF($E346="","",IF(AND(COUNT($E$347:$E$350)&gt;=4,$D346=MIN($D$342:$D$350)),$D346,""))</f>
        <v>0</v>
      </c>
      <c r="BG346">
        <f>IFERROR(SMALL(Calc_Daily!$BM$2:$BM$2001,345),"")</f>
        <v>0</v>
      </c>
    </row>
    <row r="347" spans="1:59">
      <c r="A347" s="27">
        <f>IF($BG347="","",INDEX(Calc_Daily!$A$2:$A$2001,$BG347))</f>
        <v>0</v>
      </c>
      <c r="B347">
        <f>IF($BG347="","",INDEX(Calc_Daily!$BJ$2:$BJ$2001,$BG347))</f>
        <v>0</v>
      </c>
      <c r="C347">
        <f>IF($BG347="","",INDEX(Calc_Daily!$BK$2:$BK$2001,$BG347))</f>
        <v>0</v>
      </c>
      <c r="D347">
        <f>IF($BG347="","",INDEX(Calc_Daily!$BL$2:$BL$2001,$BG347))</f>
        <v>0</v>
      </c>
      <c r="E347">
        <f>IF($BG347="","",INDEX(Calc_Daily!$E$2:$E$2001,$BG347))</f>
        <v>0</v>
      </c>
      <c r="F347">
        <f>IF($E347="","",N(F346)+1)</f>
        <v>0</v>
      </c>
      <c r="G347">
        <f>IF(OR($E347="",$E346=""),"",LN($E347/$E346))</f>
        <v>0</v>
      </c>
      <c r="H347">
        <f>IF($E347="","",IF($E346="",$E347,$E347*0.0952380952+H346*0.9047619048))</f>
        <v>0</v>
      </c>
      <c r="I347">
        <f>IF($E347="","",IF($E346="",$E347,$E347*0.0392156863+I346*0.9607843137))</f>
        <v>0</v>
      </c>
      <c r="J347">
        <f>IF($E347="","",IF($E346="",$E347,$E347*0.0198019802+J346*0.9801980198))</f>
        <v>0</v>
      </c>
      <c r="K347">
        <f>IF($E347="","",IF($E346="",$E347,$E347*0.0099502488+K346*0.9900497512))</f>
        <v>0</v>
      </c>
      <c r="L347">
        <f>IF(OR($E347="",$E346=""),"",MAX($E347-$E346,0))</f>
        <v>0</v>
      </c>
      <c r="M347">
        <f>IF(OR($E347="",$E346=""),"",MAX($E346-$E347,0))</f>
        <v>0</v>
      </c>
      <c r="N347">
        <f>IF(COUNT($E$2:$E347)&lt;15,"",IF(AVERAGE($M$334:$M$347)=0,100,100-100/(1+AVERAGE($L$334:$L$347)/AVERAGE($M$334:$M$347))))</f>
        <v>0</v>
      </c>
      <c r="O347">
        <f>IF($E347="","",IF($E346="",$E347,$E347*0.1538461538+O346*0.8461538462))</f>
        <v>0</v>
      </c>
      <c r="P347">
        <f>IF($E347="","",IF($E346="",$E347,$E347*0.0740740741+P346*0.9259259259))</f>
        <v>0</v>
      </c>
      <c r="Q347">
        <f>IF(OR(O347="",P347=""),"",O347-P347)</f>
        <v>0</v>
      </c>
      <c r="R347">
        <f>IF(Q347="","",IF(R346="",Q347,Q347*0.2000000000+R346*0.8000000000))</f>
        <v>0</v>
      </c>
      <c r="S347">
        <f>IF(OR(Q347="",R347=""),"",Q347-R347)</f>
        <v>0</v>
      </c>
      <c r="T347">
        <f>IF(COUNT($E$2:$E347)&lt;14,"",MAX($C$334:$C$347))</f>
        <v>0</v>
      </c>
      <c r="U347">
        <f>IF(COUNT($E$2:$E347)&lt;14,"",MIN($D$334:$D$347))</f>
        <v>0</v>
      </c>
      <c r="V347">
        <f>IF(OR(T347="",U347="",T347=U347),"",100*($E347-U347)/(T347-U347))</f>
        <v>0</v>
      </c>
      <c r="W347">
        <f>IF(COUNT($V$345:$V$347)&lt;3,"",AVERAGE($V$345:$V$347))</f>
        <v>0</v>
      </c>
      <c r="X347">
        <f>IF(COUNT($N$334:$N$347)&lt;14,"",MIN($N$334:$N$347))</f>
        <v>0</v>
      </c>
      <c r="Y347">
        <f>IF(COUNT($N$334:$N$347)&lt;14,"",MAX($N$334:$N$347))</f>
        <v>0</v>
      </c>
      <c r="Z347">
        <f>IF(OR(N347="",X347="",Y347="",Y347=X347),"",100*(N347-X347)/(Y347-X347))</f>
        <v>0</v>
      </c>
      <c r="AA347">
        <f>IF(COUNT($Z$345:$Z$347)&lt;3,"",AVERAGE($Z$345:$Z$347))</f>
        <v>0</v>
      </c>
      <c r="AB347">
        <f>IF(COUNT($AA$345:$AA$347)&lt;3,"",AVERAGE($AA$345:$AA$347))</f>
        <v>0</v>
      </c>
      <c r="AC347">
        <f>IF($E347="","",MAX($C347-$D347,ABS($C347-$E346),ABS($D347-$E346)))</f>
        <v>0</v>
      </c>
      <c r="AD347">
        <f>IF(COUNT($E$2:$E347)&lt;15,"",AVERAGE($AC$334:$AC$347))</f>
        <v>0</v>
      </c>
      <c r="AE347">
        <f>IF(OR($E347="",$E346=""),"",IF(AND(($C347-$C346)&gt;($D346-$D347),($C347-$C346)&gt;0),$C347-$C346,0))</f>
        <v>0</v>
      </c>
      <c r="AF347">
        <f>IF(OR($E347="",$E346=""),"",IF(AND(($D346-$D347)&gt;($C347-$C346),($D346-$D347)&gt;0),$D346-$D347,0))</f>
        <v>0</v>
      </c>
      <c r="AG347">
        <f>IF(COUNT($E$2:$E347)&lt;15,"",IF(SUM($AC$334:$AC$347)=0,0,100*SUM($AE$334:$AE$347)/SUM($AC$334:$AC$347)))</f>
        <v>0</v>
      </c>
      <c r="AH347">
        <f>IF(COUNT($E$2:$E347)&lt;15,"",IF(SUM($AC$334:$AC$347)=0,0,100*SUM($AF$334:$AF$347)/SUM($AC$334:$AC$347)))</f>
        <v>0</v>
      </c>
      <c r="AI347">
        <f>IF(OR(AG347="",AH347=""),"",IF((AG347+AH347)=0,0,100*ABS(AG347-AH347)/(AG347+AH347)))</f>
        <v>0</v>
      </c>
      <c r="AJ347">
        <f>IF(COUNT($AI$334:$AI$347)&lt;14,"",AVERAGE($AI$334:$AI$347))</f>
        <v>0</v>
      </c>
      <c r="AK347">
        <f>IF(COUNT($E$2:$E347)&lt;20,"",AVERAGE($E$328:$E$347))</f>
        <v>0</v>
      </c>
      <c r="AL347">
        <f>IF(COUNT($E$2:$E347)&lt;20,"",STDEVP($E$328:$E$347))</f>
        <v>0</v>
      </c>
      <c r="AM347">
        <f>IF(AK347="","",AK347+2*AL347)</f>
        <v>0</v>
      </c>
      <c r="AN347">
        <f>IF(AK347="","",AK347-2*AL347)</f>
        <v>0</v>
      </c>
      <c r="AO347">
        <f>IF(OR(AM347="",AN347="",AM347=AN347),"",($E347-AN347)/(AM347-AN347))</f>
        <v>0</v>
      </c>
      <c r="AP347">
        <f>IF(OR(AM347="",AK347="",AK347=0),"",(AM347-AN347)/AK347)</f>
        <v>0</v>
      </c>
      <c r="AQ347">
        <f>IF(COUNT($E$2:$E347)&lt;20,"",MAX($C$328:$C$347))</f>
        <v>0</v>
      </c>
      <c r="AR347">
        <f>IF(COUNT($E$2:$E347)&lt;20,"",MIN($D$328:$D$347))</f>
        <v>0</v>
      </c>
      <c r="AS347">
        <f>IF(OR(AQ347="",AR347=""),"",(AQ347+AR347)/2)</f>
        <v>0</v>
      </c>
      <c r="AT347">
        <f>IF(COUNT($G$328:$G$347)&lt;20,"",STDEV($G$328:$G$347)*SQRT(52))</f>
        <v>0</v>
      </c>
      <c r="AU347">
        <f>IF(COUNT($E$2:$E347)&lt;9,"",(MAX($C$339:$C$347)+MIN($D$339:$D$347))/2)</f>
        <v>0</v>
      </c>
      <c r="AV347">
        <f>IF(COUNT($E$2:$E347)&lt;26,"",(MAX($C$322:$C$347)+MIN($D$322:$D$347))/2)</f>
        <v>0</v>
      </c>
      <c r="AW347">
        <f>IF(OR(AU347="",AV347=""),"",(AU347+AV347)/2)</f>
        <v>0</v>
      </c>
      <c r="AX347">
        <f>IF(COUNT($E$2:$E347)&lt;52,"",(MAX($C$296:$C$347)+MIN($D$296:$D$347))/2)</f>
        <v>0</v>
      </c>
      <c r="AY347">
        <f>IF(COUNT($E$2:$E347)&lt;20,"",MAX($C$248:$C$347))</f>
        <v>0</v>
      </c>
      <c r="AZ347">
        <f>IF(COUNT($E$2:$E347)&lt;20,"",MIN($D$248:$D$347))</f>
        <v>0</v>
      </c>
      <c r="BA347">
        <f>IF(COUNT($E$2:$E347)&lt;20,"",SLOPE($E$248:$E$347,$F$248:$F$347))</f>
        <v>0</v>
      </c>
      <c r="BB347">
        <f>IF(COUNT($E$2:$E347)&lt;20,"",INTERCEPT($E$248:$E$347,$F$248:$F$347))</f>
        <v>0</v>
      </c>
      <c r="BC347">
        <f>IF(OR(BA347="",BB347=""),"",BB347+BA347*F347)</f>
        <v>0</v>
      </c>
      <c r="BD347">
        <f>IF(COUNT($E$2:$E347)&lt;20,"",STEYX($E$248:$E$347,$F$248:$F$347))</f>
        <v>0</v>
      </c>
      <c r="BE347">
        <f>IF($E347="","",IF(AND(COUNT($E$348:$E$351)&gt;=4,$C347=MAX($C$343:$C$351)),$C347,""))</f>
        <v>0</v>
      </c>
      <c r="BF347">
        <f>IF($E347="","",IF(AND(COUNT($E$348:$E$351)&gt;=4,$D347=MIN($D$343:$D$351)),$D347,""))</f>
        <v>0</v>
      </c>
      <c r="BG347">
        <f>IFERROR(SMALL(Calc_Daily!$BM$2:$BM$2001,346),"")</f>
        <v>0</v>
      </c>
    </row>
    <row r="348" spans="1:59">
      <c r="A348" s="27">
        <f>IF($BG348="","",INDEX(Calc_Daily!$A$2:$A$2001,$BG348))</f>
        <v>0</v>
      </c>
      <c r="B348">
        <f>IF($BG348="","",INDEX(Calc_Daily!$BJ$2:$BJ$2001,$BG348))</f>
        <v>0</v>
      </c>
      <c r="C348">
        <f>IF($BG348="","",INDEX(Calc_Daily!$BK$2:$BK$2001,$BG348))</f>
        <v>0</v>
      </c>
      <c r="D348">
        <f>IF($BG348="","",INDEX(Calc_Daily!$BL$2:$BL$2001,$BG348))</f>
        <v>0</v>
      </c>
      <c r="E348">
        <f>IF($BG348="","",INDEX(Calc_Daily!$E$2:$E$2001,$BG348))</f>
        <v>0</v>
      </c>
      <c r="F348">
        <f>IF($E348="","",N(F347)+1)</f>
        <v>0</v>
      </c>
      <c r="G348">
        <f>IF(OR($E348="",$E347=""),"",LN($E348/$E347))</f>
        <v>0</v>
      </c>
      <c r="H348">
        <f>IF($E348="","",IF($E347="",$E348,$E348*0.0952380952+H347*0.9047619048))</f>
        <v>0</v>
      </c>
      <c r="I348">
        <f>IF($E348="","",IF($E347="",$E348,$E348*0.0392156863+I347*0.9607843137))</f>
        <v>0</v>
      </c>
      <c r="J348">
        <f>IF($E348="","",IF($E347="",$E348,$E348*0.0198019802+J347*0.9801980198))</f>
        <v>0</v>
      </c>
      <c r="K348">
        <f>IF($E348="","",IF($E347="",$E348,$E348*0.0099502488+K347*0.9900497512))</f>
        <v>0</v>
      </c>
      <c r="L348">
        <f>IF(OR($E348="",$E347=""),"",MAX($E348-$E347,0))</f>
        <v>0</v>
      </c>
      <c r="M348">
        <f>IF(OR($E348="",$E347=""),"",MAX($E347-$E348,0))</f>
        <v>0</v>
      </c>
      <c r="N348">
        <f>IF(COUNT($E$2:$E348)&lt;15,"",IF(AVERAGE($M$335:$M$348)=0,100,100-100/(1+AVERAGE($L$335:$L$348)/AVERAGE($M$335:$M$348))))</f>
        <v>0</v>
      </c>
      <c r="O348">
        <f>IF($E348="","",IF($E347="",$E348,$E348*0.1538461538+O347*0.8461538462))</f>
        <v>0</v>
      </c>
      <c r="P348">
        <f>IF($E348="","",IF($E347="",$E348,$E348*0.0740740741+P347*0.9259259259))</f>
        <v>0</v>
      </c>
      <c r="Q348">
        <f>IF(OR(O348="",P348=""),"",O348-P348)</f>
        <v>0</v>
      </c>
      <c r="R348">
        <f>IF(Q348="","",IF(R347="",Q348,Q348*0.2000000000+R347*0.8000000000))</f>
        <v>0</v>
      </c>
      <c r="S348">
        <f>IF(OR(Q348="",R348=""),"",Q348-R348)</f>
        <v>0</v>
      </c>
      <c r="T348">
        <f>IF(COUNT($E$2:$E348)&lt;14,"",MAX($C$335:$C$348))</f>
        <v>0</v>
      </c>
      <c r="U348">
        <f>IF(COUNT($E$2:$E348)&lt;14,"",MIN($D$335:$D$348))</f>
        <v>0</v>
      </c>
      <c r="V348">
        <f>IF(OR(T348="",U348="",T348=U348),"",100*($E348-U348)/(T348-U348))</f>
        <v>0</v>
      </c>
      <c r="W348">
        <f>IF(COUNT($V$346:$V$348)&lt;3,"",AVERAGE($V$346:$V$348))</f>
        <v>0</v>
      </c>
      <c r="X348">
        <f>IF(COUNT($N$335:$N$348)&lt;14,"",MIN($N$335:$N$348))</f>
        <v>0</v>
      </c>
      <c r="Y348">
        <f>IF(COUNT($N$335:$N$348)&lt;14,"",MAX($N$335:$N$348))</f>
        <v>0</v>
      </c>
      <c r="Z348">
        <f>IF(OR(N348="",X348="",Y348="",Y348=X348),"",100*(N348-X348)/(Y348-X348))</f>
        <v>0</v>
      </c>
      <c r="AA348">
        <f>IF(COUNT($Z$346:$Z$348)&lt;3,"",AVERAGE($Z$346:$Z$348))</f>
        <v>0</v>
      </c>
      <c r="AB348">
        <f>IF(COUNT($AA$346:$AA$348)&lt;3,"",AVERAGE($AA$346:$AA$348))</f>
        <v>0</v>
      </c>
      <c r="AC348">
        <f>IF($E348="","",MAX($C348-$D348,ABS($C348-$E347),ABS($D348-$E347)))</f>
        <v>0</v>
      </c>
      <c r="AD348">
        <f>IF(COUNT($E$2:$E348)&lt;15,"",AVERAGE($AC$335:$AC$348))</f>
        <v>0</v>
      </c>
      <c r="AE348">
        <f>IF(OR($E348="",$E347=""),"",IF(AND(($C348-$C347)&gt;($D347-$D348),($C348-$C347)&gt;0),$C348-$C347,0))</f>
        <v>0</v>
      </c>
      <c r="AF348">
        <f>IF(OR($E348="",$E347=""),"",IF(AND(($D347-$D348)&gt;($C348-$C347),($D347-$D348)&gt;0),$D347-$D348,0))</f>
        <v>0</v>
      </c>
      <c r="AG348">
        <f>IF(COUNT($E$2:$E348)&lt;15,"",IF(SUM($AC$335:$AC$348)=0,0,100*SUM($AE$335:$AE$348)/SUM($AC$335:$AC$348)))</f>
        <v>0</v>
      </c>
      <c r="AH348">
        <f>IF(COUNT($E$2:$E348)&lt;15,"",IF(SUM($AC$335:$AC$348)=0,0,100*SUM($AF$335:$AF$348)/SUM($AC$335:$AC$348)))</f>
        <v>0</v>
      </c>
      <c r="AI348">
        <f>IF(OR(AG348="",AH348=""),"",IF((AG348+AH348)=0,0,100*ABS(AG348-AH348)/(AG348+AH348)))</f>
        <v>0</v>
      </c>
      <c r="AJ348">
        <f>IF(COUNT($AI$335:$AI$348)&lt;14,"",AVERAGE($AI$335:$AI$348))</f>
        <v>0</v>
      </c>
      <c r="AK348">
        <f>IF(COUNT($E$2:$E348)&lt;20,"",AVERAGE($E$329:$E$348))</f>
        <v>0</v>
      </c>
      <c r="AL348">
        <f>IF(COUNT($E$2:$E348)&lt;20,"",STDEVP($E$329:$E$348))</f>
        <v>0</v>
      </c>
      <c r="AM348">
        <f>IF(AK348="","",AK348+2*AL348)</f>
        <v>0</v>
      </c>
      <c r="AN348">
        <f>IF(AK348="","",AK348-2*AL348)</f>
        <v>0</v>
      </c>
      <c r="AO348">
        <f>IF(OR(AM348="",AN348="",AM348=AN348),"",($E348-AN348)/(AM348-AN348))</f>
        <v>0</v>
      </c>
      <c r="AP348">
        <f>IF(OR(AM348="",AK348="",AK348=0),"",(AM348-AN348)/AK348)</f>
        <v>0</v>
      </c>
      <c r="AQ348">
        <f>IF(COUNT($E$2:$E348)&lt;20,"",MAX($C$329:$C$348))</f>
        <v>0</v>
      </c>
      <c r="AR348">
        <f>IF(COUNT($E$2:$E348)&lt;20,"",MIN($D$329:$D$348))</f>
        <v>0</v>
      </c>
      <c r="AS348">
        <f>IF(OR(AQ348="",AR348=""),"",(AQ348+AR348)/2)</f>
        <v>0</v>
      </c>
      <c r="AT348">
        <f>IF(COUNT($G$329:$G$348)&lt;20,"",STDEV($G$329:$G$348)*SQRT(52))</f>
        <v>0</v>
      </c>
      <c r="AU348">
        <f>IF(COUNT($E$2:$E348)&lt;9,"",(MAX($C$340:$C$348)+MIN($D$340:$D$348))/2)</f>
        <v>0</v>
      </c>
      <c r="AV348">
        <f>IF(COUNT($E$2:$E348)&lt;26,"",(MAX($C$323:$C$348)+MIN($D$323:$D$348))/2)</f>
        <v>0</v>
      </c>
      <c r="AW348">
        <f>IF(OR(AU348="",AV348=""),"",(AU348+AV348)/2)</f>
        <v>0</v>
      </c>
      <c r="AX348">
        <f>IF(COUNT($E$2:$E348)&lt;52,"",(MAX($C$297:$C$348)+MIN($D$297:$D$348))/2)</f>
        <v>0</v>
      </c>
      <c r="AY348">
        <f>IF(COUNT($E$2:$E348)&lt;20,"",MAX($C$249:$C$348))</f>
        <v>0</v>
      </c>
      <c r="AZ348">
        <f>IF(COUNT($E$2:$E348)&lt;20,"",MIN($D$249:$D$348))</f>
        <v>0</v>
      </c>
      <c r="BA348">
        <f>IF(COUNT($E$2:$E348)&lt;20,"",SLOPE($E$249:$E$348,$F$249:$F$348))</f>
        <v>0</v>
      </c>
      <c r="BB348">
        <f>IF(COUNT($E$2:$E348)&lt;20,"",INTERCEPT($E$249:$E$348,$F$249:$F$348))</f>
        <v>0</v>
      </c>
      <c r="BC348">
        <f>IF(OR(BA348="",BB348=""),"",BB348+BA348*F348)</f>
        <v>0</v>
      </c>
      <c r="BD348">
        <f>IF(COUNT($E$2:$E348)&lt;20,"",STEYX($E$249:$E$348,$F$249:$F$348))</f>
        <v>0</v>
      </c>
      <c r="BE348">
        <f>IF($E348="","",IF(AND(COUNT($E$349:$E$352)&gt;=4,$C348=MAX($C$344:$C$352)),$C348,""))</f>
        <v>0</v>
      </c>
      <c r="BF348">
        <f>IF($E348="","",IF(AND(COUNT($E$349:$E$352)&gt;=4,$D348=MIN($D$344:$D$352)),$D348,""))</f>
        <v>0</v>
      </c>
      <c r="BG348">
        <f>IFERROR(SMALL(Calc_Daily!$BM$2:$BM$2001,347),"")</f>
        <v>0</v>
      </c>
    </row>
    <row r="349" spans="1:59">
      <c r="A349" s="27">
        <f>IF($BG349="","",INDEX(Calc_Daily!$A$2:$A$2001,$BG349))</f>
        <v>0</v>
      </c>
      <c r="B349">
        <f>IF($BG349="","",INDEX(Calc_Daily!$BJ$2:$BJ$2001,$BG349))</f>
        <v>0</v>
      </c>
      <c r="C349">
        <f>IF($BG349="","",INDEX(Calc_Daily!$BK$2:$BK$2001,$BG349))</f>
        <v>0</v>
      </c>
      <c r="D349">
        <f>IF($BG349="","",INDEX(Calc_Daily!$BL$2:$BL$2001,$BG349))</f>
        <v>0</v>
      </c>
      <c r="E349">
        <f>IF($BG349="","",INDEX(Calc_Daily!$E$2:$E$2001,$BG349))</f>
        <v>0</v>
      </c>
      <c r="F349">
        <f>IF($E349="","",N(F348)+1)</f>
        <v>0</v>
      </c>
      <c r="G349">
        <f>IF(OR($E349="",$E348=""),"",LN($E349/$E348))</f>
        <v>0</v>
      </c>
      <c r="H349">
        <f>IF($E349="","",IF($E348="",$E349,$E349*0.0952380952+H348*0.9047619048))</f>
        <v>0</v>
      </c>
      <c r="I349">
        <f>IF($E349="","",IF($E348="",$E349,$E349*0.0392156863+I348*0.9607843137))</f>
        <v>0</v>
      </c>
      <c r="J349">
        <f>IF($E349="","",IF($E348="",$E349,$E349*0.0198019802+J348*0.9801980198))</f>
        <v>0</v>
      </c>
      <c r="K349">
        <f>IF($E349="","",IF($E348="",$E349,$E349*0.0099502488+K348*0.9900497512))</f>
        <v>0</v>
      </c>
      <c r="L349">
        <f>IF(OR($E349="",$E348=""),"",MAX($E349-$E348,0))</f>
        <v>0</v>
      </c>
      <c r="M349">
        <f>IF(OR($E349="",$E348=""),"",MAX($E348-$E349,0))</f>
        <v>0</v>
      </c>
      <c r="N349">
        <f>IF(COUNT($E$2:$E349)&lt;15,"",IF(AVERAGE($M$336:$M$349)=0,100,100-100/(1+AVERAGE($L$336:$L$349)/AVERAGE($M$336:$M$349))))</f>
        <v>0</v>
      </c>
      <c r="O349">
        <f>IF($E349="","",IF($E348="",$E349,$E349*0.1538461538+O348*0.8461538462))</f>
        <v>0</v>
      </c>
      <c r="P349">
        <f>IF($E349="","",IF($E348="",$E349,$E349*0.0740740741+P348*0.9259259259))</f>
        <v>0</v>
      </c>
      <c r="Q349">
        <f>IF(OR(O349="",P349=""),"",O349-P349)</f>
        <v>0</v>
      </c>
      <c r="R349">
        <f>IF(Q349="","",IF(R348="",Q349,Q349*0.2000000000+R348*0.8000000000))</f>
        <v>0</v>
      </c>
      <c r="S349">
        <f>IF(OR(Q349="",R349=""),"",Q349-R349)</f>
        <v>0</v>
      </c>
      <c r="T349">
        <f>IF(COUNT($E$2:$E349)&lt;14,"",MAX($C$336:$C$349))</f>
        <v>0</v>
      </c>
      <c r="U349">
        <f>IF(COUNT($E$2:$E349)&lt;14,"",MIN($D$336:$D$349))</f>
        <v>0</v>
      </c>
      <c r="V349">
        <f>IF(OR(T349="",U349="",T349=U349),"",100*($E349-U349)/(T349-U349))</f>
        <v>0</v>
      </c>
      <c r="W349">
        <f>IF(COUNT($V$347:$V$349)&lt;3,"",AVERAGE($V$347:$V$349))</f>
        <v>0</v>
      </c>
      <c r="X349">
        <f>IF(COUNT($N$336:$N$349)&lt;14,"",MIN($N$336:$N$349))</f>
        <v>0</v>
      </c>
      <c r="Y349">
        <f>IF(COUNT($N$336:$N$349)&lt;14,"",MAX($N$336:$N$349))</f>
        <v>0</v>
      </c>
      <c r="Z349">
        <f>IF(OR(N349="",X349="",Y349="",Y349=X349),"",100*(N349-X349)/(Y349-X349))</f>
        <v>0</v>
      </c>
      <c r="AA349">
        <f>IF(COUNT($Z$347:$Z$349)&lt;3,"",AVERAGE($Z$347:$Z$349))</f>
        <v>0</v>
      </c>
      <c r="AB349">
        <f>IF(COUNT($AA$347:$AA$349)&lt;3,"",AVERAGE($AA$347:$AA$349))</f>
        <v>0</v>
      </c>
      <c r="AC349">
        <f>IF($E349="","",MAX($C349-$D349,ABS($C349-$E348),ABS($D349-$E348)))</f>
        <v>0</v>
      </c>
      <c r="AD349">
        <f>IF(COUNT($E$2:$E349)&lt;15,"",AVERAGE($AC$336:$AC$349))</f>
        <v>0</v>
      </c>
      <c r="AE349">
        <f>IF(OR($E349="",$E348=""),"",IF(AND(($C349-$C348)&gt;($D348-$D349),($C349-$C348)&gt;0),$C349-$C348,0))</f>
        <v>0</v>
      </c>
      <c r="AF349">
        <f>IF(OR($E349="",$E348=""),"",IF(AND(($D348-$D349)&gt;($C349-$C348),($D348-$D349)&gt;0),$D348-$D349,0))</f>
        <v>0</v>
      </c>
      <c r="AG349">
        <f>IF(COUNT($E$2:$E349)&lt;15,"",IF(SUM($AC$336:$AC$349)=0,0,100*SUM($AE$336:$AE$349)/SUM($AC$336:$AC$349)))</f>
        <v>0</v>
      </c>
      <c r="AH349">
        <f>IF(COUNT($E$2:$E349)&lt;15,"",IF(SUM($AC$336:$AC$349)=0,0,100*SUM($AF$336:$AF$349)/SUM($AC$336:$AC$349)))</f>
        <v>0</v>
      </c>
      <c r="AI349">
        <f>IF(OR(AG349="",AH349=""),"",IF((AG349+AH349)=0,0,100*ABS(AG349-AH349)/(AG349+AH349)))</f>
        <v>0</v>
      </c>
      <c r="AJ349">
        <f>IF(COUNT($AI$336:$AI$349)&lt;14,"",AVERAGE($AI$336:$AI$349))</f>
        <v>0</v>
      </c>
      <c r="AK349">
        <f>IF(COUNT($E$2:$E349)&lt;20,"",AVERAGE($E$330:$E$349))</f>
        <v>0</v>
      </c>
      <c r="AL349">
        <f>IF(COUNT($E$2:$E349)&lt;20,"",STDEVP($E$330:$E$349))</f>
        <v>0</v>
      </c>
      <c r="AM349">
        <f>IF(AK349="","",AK349+2*AL349)</f>
        <v>0</v>
      </c>
      <c r="AN349">
        <f>IF(AK349="","",AK349-2*AL349)</f>
        <v>0</v>
      </c>
      <c r="AO349">
        <f>IF(OR(AM349="",AN349="",AM349=AN349),"",($E349-AN349)/(AM349-AN349))</f>
        <v>0</v>
      </c>
      <c r="AP349">
        <f>IF(OR(AM349="",AK349="",AK349=0),"",(AM349-AN349)/AK349)</f>
        <v>0</v>
      </c>
      <c r="AQ349">
        <f>IF(COUNT($E$2:$E349)&lt;20,"",MAX($C$330:$C$349))</f>
        <v>0</v>
      </c>
      <c r="AR349">
        <f>IF(COUNT($E$2:$E349)&lt;20,"",MIN($D$330:$D$349))</f>
        <v>0</v>
      </c>
      <c r="AS349">
        <f>IF(OR(AQ349="",AR349=""),"",(AQ349+AR349)/2)</f>
        <v>0</v>
      </c>
      <c r="AT349">
        <f>IF(COUNT($G$330:$G$349)&lt;20,"",STDEV($G$330:$G$349)*SQRT(52))</f>
        <v>0</v>
      </c>
      <c r="AU349">
        <f>IF(COUNT($E$2:$E349)&lt;9,"",(MAX($C$341:$C$349)+MIN($D$341:$D$349))/2)</f>
        <v>0</v>
      </c>
      <c r="AV349">
        <f>IF(COUNT($E$2:$E349)&lt;26,"",(MAX($C$324:$C$349)+MIN($D$324:$D$349))/2)</f>
        <v>0</v>
      </c>
      <c r="AW349">
        <f>IF(OR(AU349="",AV349=""),"",(AU349+AV349)/2)</f>
        <v>0</v>
      </c>
      <c r="AX349">
        <f>IF(COUNT($E$2:$E349)&lt;52,"",(MAX($C$298:$C$349)+MIN($D$298:$D$349))/2)</f>
        <v>0</v>
      </c>
      <c r="AY349">
        <f>IF(COUNT($E$2:$E349)&lt;20,"",MAX($C$250:$C$349))</f>
        <v>0</v>
      </c>
      <c r="AZ349">
        <f>IF(COUNT($E$2:$E349)&lt;20,"",MIN($D$250:$D$349))</f>
        <v>0</v>
      </c>
      <c r="BA349">
        <f>IF(COUNT($E$2:$E349)&lt;20,"",SLOPE($E$250:$E$349,$F$250:$F$349))</f>
        <v>0</v>
      </c>
      <c r="BB349">
        <f>IF(COUNT($E$2:$E349)&lt;20,"",INTERCEPT($E$250:$E$349,$F$250:$F$349))</f>
        <v>0</v>
      </c>
      <c r="BC349">
        <f>IF(OR(BA349="",BB349=""),"",BB349+BA349*F349)</f>
        <v>0</v>
      </c>
      <c r="BD349">
        <f>IF(COUNT($E$2:$E349)&lt;20,"",STEYX($E$250:$E$349,$F$250:$F$349))</f>
        <v>0</v>
      </c>
      <c r="BE349">
        <f>IF($E349="","",IF(AND(COUNT($E$350:$E$353)&gt;=4,$C349=MAX($C$345:$C$353)),$C349,""))</f>
        <v>0</v>
      </c>
      <c r="BF349">
        <f>IF($E349="","",IF(AND(COUNT($E$350:$E$353)&gt;=4,$D349=MIN($D$345:$D$353)),$D349,""))</f>
        <v>0</v>
      </c>
      <c r="BG349">
        <f>IFERROR(SMALL(Calc_Daily!$BM$2:$BM$2001,348),"")</f>
        <v>0</v>
      </c>
    </row>
    <row r="350" spans="1:59">
      <c r="A350" s="27">
        <f>IF($BG350="","",INDEX(Calc_Daily!$A$2:$A$2001,$BG350))</f>
        <v>0</v>
      </c>
      <c r="B350">
        <f>IF($BG350="","",INDEX(Calc_Daily!$BJ$2:$BJ$2001,$BG350))</f>
        <v>0</v>
      </c>
      <c r="C350">
        <f>IF($BG350="","",INDEX(Calc_Daily!$BK$2:$BK$2001,$BG350))</f>
        <v>0</v>
      </c>
      <c r="D350">
        <f>IF($BG350="","",INDEX(Calc_Daily!$BL$2:$BL$2001,$BG350))</f>
        <v>0</v>
      </c>
      <c r="E350">
        <f>IF($BG350="","",INDEX(Calc_Daily!$E$2:$E$2001,$BG350))</f>
        <v>0</v>
      </c>
      <c r="F350">
        <f>IF($E350="","",N(F349)+1)</f>
        <v>0</v>
      </c>
      <c r="G350">
        <f>IF(OR($E350="",$E349=""),"",LN($E350/$E349))</f>
        <v>0</v>
      </c>
      <c r="H350">
        <f>IF($E350="","",IF($E349="",$E350,$E350*0.0952380952+H349*0.9047619048))</f>
        <v>0</v>
      </c>
      <c r="I350">
        <f>IF($E350="","",IF($E349="",$E350,$E350*0.0392156863+I349*0.9607843137))</f>
        <v>0</v>
      </c>
      <c r="J350">
        <f>IF($E350="","",IF($E349="",$E350,$E350*0.0198019802+J349*0.9801980198))</f>
        <v>0</v>
      </c>
      <c r="K350">
        <f>IF($E350="","",IF($E349="",$E350,$E350*0.0099502488+K349*0.9900497512))</f>
        <v>0</v>
      </c>
      <c r="L350">
        <f>IF(OR($E350="",$E349=""),"",MAX($E350-$E349,0))</f>
        <v>0</v>
      </c>
      <c r="M350">
        <f>IF(OR($E350="",$E349=""),"",MAX($E349-$E350,0))</f>
        <v>0</v>
      </c>
      <c r="N350">
        <f>IF(COUNT($E$2:$E350)&lt;15,"",IF(AVERAGE($M$337:$M$350)=0,100,100-100/(1+AVERAGE($L$337:$L$350)/AVERAGE($M$337:$M$350))))</f>
        <v>0</v>
      </c>
      <c r="O350">
        <f>IF($E350="","",IF($E349="",$E350,$E350*0.1538461538+O349*0.8461538462))</f>
        <v>0</v>
      </c>
      <c r="P350">
        <f>IF($E350="","",IF($E349="",$E350,$E350*0.0740740741+P349*0.9259259259))</f>
        <v>0</v>
      </c>
      <c r="Q350">
        <f>IF(OR(O350="",P350=""),"",O350-P350)</f>
        <v>0</v>
      </c>
      <c r="R350">
        <f>IF(Q350="","",IF(R349="",Q350,Q350*0.2000000000+R349*0.8000000000))</f>
        <v>0</v>
      </c>
      <c r="S350">
        <f>IF(OR(Q350="",R350=""),"",Q350-R350)</f>
        <v>0</v>
      </c>
      <c r="T350">
        <f>IF(COUNT($E$2:$E350)&lt;14,"",MAX($C$337:$C$350))</f>
        <v>0</v>
      </c>
      <c r="U350">
        <f>IF(COUNT($E$2:$E350)&lt;14,"",MIN($D$337:$D$350))</f>
        <v>0</v>
      </c>
      <c r="V350">
        <f>IF(OR(T350="",U350="",T350=U350),"",100*($E350-U350)/(T350-U350))</f>
        <v>0</v>
      </c>
      <c r="W350">
        <f>IF(COUNT($V$348:$V$350)&lt;3,"",AVERAGE($V$348:$V$350))</f>
        <v>0</v>
      </c>
      <c r="X350">
        <f>IF(COUNT($N$337:$N$350)&lt;14,"",MIN($N$337:$N$350))</f>
        <v>0</v>
      </c>
      <c r="Y350">
        <f>IF(COUNT($N$337:$N$350)&lt;14,"",MAX($N$337:$N$350))</f>
        <v>0</v>
      </c>
      <c r="Z350">
        <f>IF(OR(N350="",X350="",Y350="",Y350=X350),"",100*(N350-X350)/(Y350-X350))</f>
        <v>0</v>
      </c>
      <c r="AA350">
        <f>IF(COUNT($Z$348:$Z$350)&lt;3,"",AVERAGE($Z$348:$Z$350))</f>
        <v>0</v>
      </c>
      <c r="AB350">
        <f>IF(COUNT($AA$348:$AA$350)&lt;3,"",AVERAGE($AA$348:$AA$350))</f>
        <v>0</v>
      </c>
      <c r="AC350">
        <f>IF($E350="","",MAX($C350-$D350,ABS($C350-$E349),ABS($D350-$E349)))</f>
        <v>0</v>
      </c>
      <c r="AD350">
        <f>IF(COUNT($E$2:$E350)&lt;15,"",AVERAGE($AC$337:$AC$350))</f>
        <v>0</v>
      </c>
      <c r="AE350">
        <f>IF(OR($E350="",$E349=""),"",IF(AND(($C350-$C349)&gt;($D349-$D350),($C350-$C349)&gt;0),$C350-$C349,0))</f>
        <v>0</v>
      </c>
      <c r="AF350">
        <f>IF(OR($E350="",$E349=""),"",IF(AND(($D349-$D350)&gt;($C350-$C349),($D349-$D350)&gt;0),$D349-$D350,0))</f>
        <v>0</v>
      </c>
      <c r="AG350">
        <f>IF(COUNT($E$2:$E350)&lt;15,"",IF(SUM($AC$337:$AC$350)=0,0,100*SUM($AE$337:$AE$350)/SUM($AC$337:$AC$350)))</f>
        <v>0</v>
      </c>
      <c r="AH350">
        <f>IF(COUNT($E$2:$E350)&lt;15,"",IF(SUM($AC$337:$AC$350)=0,0,100*SUM($AF$337:$AF$350)/SUM($AC$337:$AC$350)))</f>
        <v>0</v>
      </c>
      <c r="AI350">
        <f>IF(OR(AG350="",AH350=""),"",IF((AG350+AH350)=0,0,100*ABS(AG350-AH350)/(AG350+AH350)))</f>
        <v>0</v>
      </c>
      <c r="AJ350">
        <f>IF(COUNT($AI$337:$AI$350)&lt;14,"",AVERAGE($AI$337:$AI$350))</f>
        <v>0</v>
      </c>
      <c r="AK350">
        <f>IF(COUNT($E$2:$E350)&lt;20,"",AVERAGE($E$331:$E$350))</f>
        <v>0</v>
      </c>
      <c r="AL350">
        <f>IF(COUNT($E$2:$E350)&lt;20,"",STDEVP($E$331:$E$350))</f>
        <v>0</v>
      </c>
      <c r="AM350">
        <f>IF(AK350="","",AK350+2*AL350)</f>
        <v>0</v>
      </c>
      <c r="AN350">
        <f>IF(AK350="","",AK350-2*AL350)</f>
        <v>0</v>
      </c>
      <c r="AO350">
        <f>IF(OR(AM350="",AN350="",AM350=AN350),"",($E350-AN350)/(AM350-AN350))</f>
        <v>0</v>
      </c>
      <c r="AP350">
        <f>IF(OR(AM350="",AK350="",AK350=0),"",(AM350-AN350)/AK350)</f>
        <v>0</v>
      </c>
      <c r="AQ350">
        <f>IF(COUNT($E$2:$E350)&lt;20,"",MAX($C$331:$C$350))</f>
        <v>0</v>
      </c>
      <c r="AR350">
        <f>IF(COUNT($E$2:$E350)&lt;20,"",MIN($D$331:$D$350))</f>
        <v>0</v>
      </c>
      <c r="AS350">
        <f>IF(OR(AQ350="",AR350=""),"",(AQ350+AR350)/2)</f>
        <v>0</v>
      </c>
      <c r="AT350">
        <f>IF(COUNT($G$331:$G$350)&lt;20,"",STDEV($G$331:$G$350)*SQRT(52))</f>
        <v>0</v>
      </c>
      <c r="AU350">
        <f>IF(COUNT($E$2:$E350)&lt;9,"",(MAX($C$342:$C$350)+MIN($D$342:$D$350))/2)</f>
        <v>0</v>
      </c>
      <c r="AV350">
        <f>IF(COUNT($E$2:$E350)&lt;26,"",(MAX($C$325:$C$350)+MIN($D$325:$D$350))/2)</f>
        <v>0</v>
      </c>
      <c r="AW350">
        <f>IF(OR(AU350="",AV350=""),"",(AU350+AV350)/2)</f>
        <v>0</v>
      </c>
      <c r="AX350">
        <f>IF(COUNT($E$2:$E350)&lt;52,"",(MAX($C$299:$C$350)+MIN($D$299:$D$350))/2)</f>
        <v>0</v>
      </c>
      <c r="AY350">
        <f>IF(COUNT($E$2:$E350)&lt;20,"",MAX($C$251:$C$350))</f>
        <v>0</v>
      </c>
      <c r="AZ350">
        <f>IF(COUNT($E$2:$E350)&lt;20,"",MIN($D$251:$D$350))</f>
        <v>0</v>
      </c>
      <c r="BA350">
        <f>IF(COUNT($E$2:$E350)&lt;20,"",SLOPE($E$251:$E$350,$F$251:$F$350))</f>
        <v>0</v>
      </c>
      <c r="BB350">
        <f>IF(COUNT($E$2:$E350)&lt;20,"",INTERCEPT($E$251:$E$350,$F$251:$F$350))</f>
        <v>0</v>
      </c>
      <c r="BC350">
        <f>IF(OR(BA350="",BB350=""),"",BB350+BA350*F350)</f>
        <v>0</v>
      </c>
      <c r="BD350">
        <f>IF(COUNT($E$2:$E350)&lt;20,"",STEYX($E$251:$E$350,$F$251:$F$350))</f>
        <v>0</v>
      </c>
      <c r="BE350">
        <f>IF($E350="","",IF(AND(COUNT($E$351:$E$354)&gt;=4,$C350=MAX($C$346:$C$354)),$C350,""))</f>
        <v>0</v>
      </c>
      <c r="BF350">
        <f>IF($E350="","",IF(AND(COUNT($E$351:$E$354)&gt;=4,$D350=MIN($D$346:$D$354)),$D350,""))</f>
        <v>0</v>
      </c>
      <c r="BG350">
        <f>IFERROR(SMALL(Calc_Daily!$BM$2:$BM$2001,349),"")</f>
        <v>0</v>
      </c>
    </row>
    <row r="351" spans="1:59">
      <c r="A351" s="27">
        <f>IF($BG351="","",INDEX(Calc_Daily!$A$2:$A$2001,$BG351))</f>
        <v>0</v>
      </c>
      <c r="B351">
        <f>IF($BG351="","",INDEX(Calc_Daily!$BJ$2:$BJ$2001,$BG351))</f>
        <v>0</v>
      </c>
      <c r="C351">
        <f>IF($BG351="","",INDEX(Calc_Daily!$BK$2:$BK$2001,$BG351))</f>
        <v>0</v>
      </c>
      <c r="D351">
        <f>IF($BG351="","",INDEX(Calc_Daily!$BL$2:$BL$2001,$BG351))</f>
        <v>0</v>
      </c>
      <c r="E351">
        <f>IF($BG351="","",INDEX(Calc_Daily!$E$2:$E$2001,$BG351))</f>
        <v>0</v>
      </c>
      <c r="F351">
        <f>IF($E351="","",N(F350)+1)</f>
        <v>0</v>
      </c>
      <c r="G351">
        <f>IF(OR($E351="",$E350=""),"",LN($E351/$E350))</f>
        <v>0</v>
      </c>
      <c r="H351">
        <f>IF($E351="","",IF($E350="",$E351,$E351*0.0952380952+H350*0.9047619048))</f>
        <v>0</v>
      </c>
      <c r="I351">
        <f>IF($E351="","",IF($E350="",$E351,$E351*0.0392156863+I350*0.9607843137))</f>
        <v>0</v>
      </c>
      <c r="J351">
        <f>IF($E351="","",IF($E350="",$E351,$E351*0.0198019802+J350*0.9801980198))</f>
        <v>0</v>
      </c>
      <c r="K351">
        <f>IF($E351="","",IF($E350="",$E351,$E351*0.0099502488+K350*0.9900497512))</f>
        <v>0</v>
      </c>
      <c r="L351">
        <f>IF(OR($E351="",$E350=""),"",MAX($E351-$E350,0))</f>
        <v>0</v>
      </c>
      <c r="M351">
        <f>IF(OR($E351="",$E350=""),"",MAX($E350-$E351,0))</f>
        <v>0</v>
      </c>
      <c r="N351">
        <f>IF(COUNT($E$2:$E351)&lt;15,"",IF(AVERAGE($M$338:$M$351)=0,100,100-100/(1+AVERAGE($L$338:$L$351)/AVERAGE($M$338:$M$351))))</f>
        <v>0</v>
      </c>
      <c r="O351">
        <f>IF($E351="","",IF($E350="",$E351,$E351*0.1538461538+O350*0.8461538462))</f>
        <v>0</v>
      </c>
      <c r="P351">
        <f>IF($E351="","",IF($E350="",$E351,$E351*0.0740740741+P350*0.9259259259))</f>
        <v>0</v>
      </c>
      <c r="Q351">
        <f>IF(OR(O351="",P351=""),"",O351-P351)</f>
        <v>0</v>
      </c>
      <c r="R351">
        <f>IF(Q351="","",IF(R350="",Q351,Q351*0.2000000000+R350*0.8000000000))</f>
        <v>0</v>
      </c>
      <c r="S351">
        <f>IF(OR(Q351="",R351=""),"",Q351-R351)</f>
        <v>0</v>
      </c>
      <c r="T351">
        <f>IF(COUNT($E$2:$E351)&lt;14,"",MAX($C$338:$C$351))</f>
        <v>0</v>
      </c>
      <c r="U351">
        <f>IF(COUNT($E$2:$E351)&lt;14,"",MIN($D$338:$D$351))</f>
        <v>0</v>
      </c>
      <c r="V351">
        <f>IF(OR(T351="",U351="",T351=U351),"",100*($E351-U351)/(T351-U351))</f>
        <v>0</v>
      </c>
      <c r="W351">
        <f>IF(COUNT($V$349:$V$351)&lt;3,"",AVERAGE($V$349:$V$351))</f>
        <v>0</v>
      </c>
      <c r="X351">
        <f>IF(COUNT($N$338:$N$351)&lt;14,"",MIN($N$338:$N$351))</f>
        <v>0</v>
      </c>
      <c r="Y351">
        <f>IF(COUNT($N$338:$N$351)&lt;14,"",MAX($N$338:$N$351))</f>
        <v>0</v>
      </c>
      <c r="Z351">
        <f>IF(OR(N351="",X351="",Y351="",Y351=X351),"",100*(N351-X351)/(Y351-X351))</f>
        <v>0</v>
      </c>
      <c r="AA351">
        <f>IF(COUNT($Z$349:$Z$351)&lt;3,"",AVERAGE($Z$349:$Z$351))</f>
        <v>0</v>
      </c>
      <c r="AB351">
        <f>IF(COUNT($AA$349:$AA$351)&lt;3,"",AVERAGE($AA$349:$AA$351))</f>
        <v>0</v>
      </c>
      <c r="AC351">
        <f>IF($E351="","",MAX($C351-$D351,ABS($C351-$E350),ABS($D351-$E350)))</f>
        <v>0</v>
      </c>
      <c r="AD351">
        <f>IF(COUNT($E$2:$E351)&lt;15,"",AVERAGE($AC$338:$AC$351))</f>
        <v>0</v>
      </c>
      <c r="AE351">
        <f>IF(OR($E351="",$E350=""),"",IF(AND(($C351-$C350)&gt;($D350-$D351),($C351-$C350)&gt;0),$C351-$C350,0))</f>
        <v>0</v>
      </c>
      <c r="AF351">
        <f>IF(OR($E351="",$E350=""),"",IF(AND(($D350-$D351)&gt;($C351-$C350),($D350-$D351)&gt;0),$D350-$D351,0))</f>
        <v>0</v>
      </c>
      <c r="AG351">
        <f>IF(COUNT($E$2:$E351)&lt;15,"",IF(SUM($AC$338:$AC$351)=0,0,100*SUM($AE$338:$AE$351)/SUM($AC$338:$AC$351)))</f>
        <v>0</v>
      </c>
      <c r="AH351">
        <f>IF(COUNT($E$2:$E351)&lt;15,"",IF(SUM($AC$338:$AC$351)=0,0,100*SUM($AF$338:$AF$351)/SUM($AC$338:$AC$351)))</f>
        <v>0</v>
      </c>
      <c r="AI351">
        <f>IF(OR(AG351="",AH351=""),"",IF((AG351+AH351)=0,0,100*ABS(AG351-AH351)/(AG351+AH351)))</f>
        <v>0</v>
      </c>
      <c r="AJ351">
        <f>IF(COUNT($AI$338:$AI$351)&lt;14,"",AVERAGE($AI$338:$AI$351))</f>
        <v>0</v>
      </c>
      <c r="AK351">
        <f>IF(COUNT($E$2:$E351)&lt;20,"",AVERAGE($E$332:$E$351))</f>
        <v>0</v>
      </c>
      <c r="AL351">
        <f>IF(COUNT($E$2:$E351)&lt;20,"",STDEVP($E$332:$E$351))</f>
        <v>0</v>
      </c>
      <c r="AM351">
        <f>IF(AK351="","",AK351+2*AL351)</f>
        <v>0</v>
      </c>
      <c r="AN351">
        <f>IF(AK351="","",AK351-2*AL351)</f>
        <v>0</v>
      </c>
      <c r="AO351">
        <f>IF(OR(AM351="",AN351="",AM351=AN351),"",($E351-AN351)/(AM351-AN351))</f>
        <v>0</v>
      </c>
      <c r="AP351">
        <f>IF(OR(AM351="",AK351="",AK351=0),"",(AM351-AN351)/AK351)</f>
        <v>0</v>
      </c>
      <c r="AQ351">
        <f>IF(COUNT($E$2:$E351)&lt;20,"",MAX($C$332:$C$351))</f>
        <v>0</v>
      </c>
      <c r="AR351">
        <f>IF(COUNT($E$2:$E351)&lt;20,"",MIN($D$332:$D$351))</f>
        <v>0</v>
      </c>
      <c r="AS351">
        <f>IF(OR(AQ351="",AR351=""),"",(AQ351+AR351)/2)</f>
        <v>0</v>
      </c>
      <c r="AT351">
        <f>IF(COUNT($G$332:$G$351)&lt;20,"",STDEV($G$332:$G$351)*SQRT(52))</f>
        <v>0</v>
      </c>
      <c r="AU351">
        <f>IF(COUNT($E$2:$E351)&lt;9,"",(MAX($C$343:$C$351)+MIN($D$343:$D$351))/2)</f>
        <v>0</v>
      </c>
      <c r="AV351">
        <f>IF(COUNT($E$2:$E351)&lt;26,"",(MAX($C$326:$C$351)+MIN($D$326:$D$351))/2)</f>
        <v>0</v>
      </c>
      <c r="AW351">
        <f>IF(OR(AU351="",AV351=""),"",(AU351+AV351)/2)</f>
        <v>0</v>
      </c>
      <c r="AX351">
        <f>IF(COUNT($E$2:$E351)&lt;52,"",(MAX($C$300:$C$351)+MIN($D$300:$D$351))/2)</f>
        <v>0</v>
      </c>
      <c r="AY351">
        <f>IF(COUNT($E$2:$E351)&lt;20,"",MAX($C$252:$C$351))</f>
        <v>0</v>
      </c>
      <c r="AZ351">
        <f>IF(COUNT($E$2:$E351)&lt;20,"",MIN($D$252:$D$351))</f>
        <v>0</v>
      </c>
      <c r="BA351">
        <f>IF(COUNT($E$2:$E351)&lt;20,"",SLOPE($E$252:$E$351,$F$252:$F$351))</f>
        <v>0</v>
      </c>
      <c r="BB351">
        <f>IF(COUNT($E$2:$E351)&lt;20,"",INTERCEPT($E$252:$E$351,$F$252:$F$351))</f>
        <v>0</v>
      </c>
      <c r="BC351">
        <f>IF(OR(BA351="",BB351=""),"",BB351+BA351*F351)</f>
        <v>0</v>
      </c>
      <c r="BD351">
        <f>IF(COUNT($E$2:$E351)&lt;20,"",STEYX($E$252:$E$351,$F$252:$F$351))</f>
        <v>0</v>
      </c>
      <c r="BE351">
        <f>IF($E351="","",IF(AND(COUNT($E$352:$E$355)&gt;=4,$C351=MAX($C$347:$C$355)),$C351,""))</f>
        <v>0</v>
      </c>
      <c r="BF351">
        <f>IF($E351="","",IF(AND(COUNT($E$352:$E$355)&gt;=4,$D351=MIN($D$347:$D$355)),$D351,""))</f>
        <v>0</v>
      </c>
      <c r="BG351">
        <f>IFERROR(SMALL(Calc_Daily!$BM$2:$BM$2001,350),"")</f>
        <v>0</v>
      </c>
    </row>
    <row r="352" spans="1:59">
      <c r="A352" s="27">
        <f>IF($BG352="","",INDEX(Calc_Daily!$A$2:$A$2001,$BG352))</f>
        <v>0</v>
      </c>
      <c r="B352">
        <f>IF($BG352="","",INDEX(Calc_Daily!$BJ$2:$BJ$2001,$BG352))</f>
        <v>0</v>
      </c>
      <c r="C352">
        <f>IF($BG352="","",INDEX(Calc_Daily!$BK$2:$BK$2001,$BG352))</f>
        <v>0</v>
      </c>
      <c r="D352">
        <f>IF($BG352="","",INDEX(Calc_Daily!$BL$2:$BL$2001,$BG352))</f>
        <v>0</v>
      </c>
      <c r="E352">
        <f>IF($BG352="","",INDEX(Calc_Daily!$E$2:$E$2001,$BG352))</f>
        <v>0</v>
      </c>
      <c r="F352">
        <f>IF($E352="","",N(F351)+1)</f>
        <v>0</v>
      </c>
      <c r="G352">
        <f>IF(OR($E352="",$E351=""),"",LN($E352/$E351))</f>
        <v>0</v>
      </c>
      <c r="H352">
        <f>IF($E352="","",IF($E351="",$E352,$E352*0.0952380952+H351*0.9047619048))</f>
        <v>0</v>
      </c>
      <c r="I352">
        <f>IF($E352="","",IF($E351="",$E352,$E352*0.0392156863+I351*0.9607843137))</f>
        <v>0</v>
      </c>
      <c r="J352">
        <f>IF($E352="","",IF($E351="",$E352,$E352*0.0198019802+J351*0.9801980198))</f>
        <v>0</v>
      </c>
      <c r="K352">
        <f>IF($E352="","",IF($E351="",$E352,$E352*0.0099502488+K351*0.9900497512))</f>
        <v>0</v>
      </c>
      <c r="L352">
        <f>IF(OR($E352="",$E351=""),"",MAX($E352-$E351,0))</f>
        <v>0</v>
      </c>
      <c r="M352">
        <f>IF(OR($E352="",$E351=""),"",MAX($E351-$E352,0))</f>
        <v>0</v>
      </c>
      <c r="N352">
        <f>IF(COUNT($E$2:$E352)&lt;15,"",IF(AVERAGE($M$339:$M$352)=0,100,100-100/(1+AVERAGE($L$339:$L$352)/AVERAGE($M$339:$M$352))))</f>
        <v>0</v>
      </c>
      <c r="O352">
        <f>IF($E352="","",IF($E351="",$E352,$E352*0.1538461538+O351*0.8461538462))</f>
        <v>0</v>
      </c>
      <c r="P352">
        <f>IF($E352="","",IF($E351="",$E352,$E352*0.0740740741+P351*0.9259259259))</f>
        <v>0</v>
      </c>
      <c r="Q352">
        <f>IF(OR(O352="",P352=""),"",O352-P352)</f>
        <v>0</v>
      </c>
      <c r="R352">
        <f>IF(Q352="","",IF(R351="",Q352,Q352*0.2000000000+R351*0.8000000000))</f>
        <v>0</v>
      </c>
      <c r="S352">
        <f>IF(OR(Q352="",R352=""),"",Q352-R352)</f>
        <v>0</v>
      </c>
      <c r="T352">
        <f>IF(COUNT($E$2:$E352)&lt;14,"",MAX($C$339:$C$352))</f>
        <v>0</v>
      </c>
      <c r="U352">
        <f>IF(COUNT($E$2:$E352)&lt;14,"",MIN($D$339:$D$352))</f>
        <v>0</v>
      </c>
      <c r="V352">
        <f>IF(OR(T352="",U352="",T352=U352),"",100*($E352-U352)/(T352-U352))</f>
        <v>0</v>
      </c>
      <c r="W352">
        <f>IF(COUNT($V$350:$V$352)&lt;3,"",AVERAGE($V$350:$V$352))</f>
        <v>0</v>
      </c>
      <c r="X352">
        <f>IF(COUNT($N$339:$N$352)&lt;14,"",MIN($N$339:$N$352))</f>
        <v>0</v>
      </c>
      <c r="Y352">
        <f>IF(COUNT($N$339:$N$352)&lt;14,"",MAX($N$339:$N$352))</f>
        <v>0</v>
      </c>
      <c r="Z352">
        <f>IF(OR(N352="",X352="",Y352="",Y352=X352),"",100*(N352-X352)/(Y352-X352))</f>
        <v>0</v>
      </c>
      <c r="AA352">
        <f>IF(COUNT($Z$350:$Z$352)&lt;3,"",AVERAGE($Z$350:$Z$352))</f>
        <v>0</v>
      </c>
      <c r="AB352">
        <f>IF(COUNT($AA$350:$AA$352)&lt;3,"",AVERAGE($AA$350:$AA$352))</f>
        <v>0</v>
      </c>
      <c r="AC352">
        <f>IF($E352="","",MAX($C352-$D352,ABS($C352-$E351),ABS($D352-$E351)))</f>
        <v>0</v>
      </c>
      <c r="AD352">
        <f>IF(COUNT($E$2:$E352)&lt;15,"",AVERAGE($AC$339:$AC$352))</f>
        <v>0</v>
      </c>
      <c r="AE352">
        <f>IF(OR($E352="",$E351=""),"",IF(AND(($C352-$C351)&gt;($D351-$D352),($C352-$C351)&gt;0),$C352-$C351,0))</f>
        <v>0</v>
      </c>
      <c r="AF352">
        <f>IF(OR($E352="",$E351=""),"",IF(AND(($D351-$D352)&gt;($C352-$C351),($D351-$D352)&gt;0),$D351-$D352,0))</f>
        <v>0</v>
      </c>
      <c r="AG352">
        <f>IF(COUNT($E$2:$E352)&lt;15,"",IF(SUM($AC$339:$AC$352)=0,0,100*SUM($AE$339:$AE$352)/SUM($AC$339:$AC$352)))</f>
        <v>0</v>
      </c>
      <c r="AH352">
        <f>IF(COUNT($E$2:$E352)&lt;15,"",IF(SUM($AC$339:$AC$352)=0,0,100*SUM($AF$339:$AF$352)/SUM($AC$339:$AC$352)))</f>
        <v>0</v>
      </c>
      <c r="AI352">
        <f>IF(OR(AG352="",AH352=""),"",IF((AG352+AH352)=0,0,100*ABS(AG352-AH352)/(AG352+AH352)))</f>
        <v>0</v>
      </c>
      <c r="AJ352">
        <f>IF(COUNT($AI$339:$AI$352)&lt;14,"",AVERAGE($AI$339:$AI$352))</f>
        <v>0</v>
      </c>
      <c r="AK352">
        <f>IF(COUNT($E$2:$E352)&lt;20,"",AVERAGE($E$333:$E$352))</f>
        <v>0</v>
      </c>
      <c r="AL352">
        <f>IF(COUNT($E$2:$E352)&lt;20,"",STDEVP($E$333:$E$352))</f>
        <v>0</v>
      </c>
      <c r="AM352">
        <f>IF(AK352="","",AK352+2*AL352)</f>
        <v>0</v>
      </c>
      <c r="AN352">
        <f>IF(AK352="","",AK352-2*AL352)</f>
        <v>0</v>
      </c>
      <c r="AO352">
        <f>IF(OR(AM352="",AN352="",AM352=AN352),"",($E352-AN352)/(AM352-AN352))</f>
        <v>0</v>
      </c>
      <c r="AP352">
        <f>IF(OR(AM352="",AK352="",AK352=0),"",(AM352-AN352)/AK352)</f>
        <v>0</v>
      </c>
      <c r="AQ352">
        <f>IF(COUNT($E$2:$E352)&lt;20,"",MAX($C$333:$C$352))</f>
        <v>0</v>
      </c>
      <c r="AR352">
        <f>IF(COUNT($E$2:$E352)&lt;20,"",MIN($D$333:$D$352))</f>
        <v>0</v>
      </c>
      <c r="AS352">
        <f>IF(OR(AQ352="",AR352=""),"",(AQ352+AR352)/2)</f>
        <v>0</v>
      </c>
      <c r="AT352">
        <f>IF(COUNT($G$333:$G$352)&lt;20,"",STDEV($G$333:$G$352)*SQRT(52))</f>
        <v>0</v>
      </c>
      <c r="AU352">
        <f>IF(COUNT($E$2:$E352)&lt;9,"",(MAX($C$344:$C$352)+MIN($D$344:$D$352))/2)</f>
        <v>0</v>
      </c>
      <c r="AV352">
        <f>IF(COUNT($E$2:$E352)&lt;26,"",(MAX($C$327:$C$352)+MIN($D$327:$D$352))/2)</f>
        <v>0</v>
      </c>
      <c r="AW352">
        <f>IF(OR(AU352="",AV352=""),"",(AU352+AV352)/2)</f>
        <v>0</v>
      </c>
      <c r="AX352">
        <f>IF(COUNT($E$2:$E352)&lt;52,"",(MAX($C$301:$C$352)+MIN($D$301:$D$352))/2)</f>
        <v>0</v>
      </c>
      <c r="AY352">
        <f>IF(COUNT($E$2:$E352)&lt;20,"",MAX($C$253:$C$352))</f>
        <v>0</v>
      </c>
      <c r="AZ352">
        <f>IF(COUNT($E$2:$E352)&lt;20,"",MIN($D$253:$D$352))</f>
        <v>0</v>
      </c>
      <c r="BA352">
        <f>IF(COUNT($E$2:$E352)&lt;20,"",SLOPE($E$253:$E$352,$F$253:$F$352))</f>
        <v>0</v>
      </c>
      <c r="BB352">
        <f>IF(COUNT($E$2:$E352)&lt;20,"",INTERCEPT($E$253:$E$352,$F$253:$F$352))</f>
        <v>0</v>
      </c>
      <c r="BC352">
        <f>IF(OR(BA352="",BB352=""),"",BB352+BA352*F352)</f>
        <v>0</v>
      </c>
      <c r="BD352">
        <f>IF(COUNT($E$2:$E352)&lt;20,"",STEYX($E$253:$E$352,$F$253:$F$352))</f>
        <v>0</v>
      </c>
      <c r="BE352">
        <f>IF($E352="","",IF(AND(COUNT($E$353:$E$356)&gt;=4,$C352=MAX($C$348:$C$356)),$C352,""))</f>
        <v>0</v>
      </c>
      <c r="BF352">
        <f>IF($E352="","",IF(AND(COUNT($E$353:$E$356)&gt;=4,$D352=MIN($D$348:$D$356)),$D352,""))</f>
        <v>0</v>
      </c>
      <c r="BG352">
        <f>IFERROR(SMALL(Calc_Daily!$BM$2:$BM$2001,351),"")</f>
        <v>0</v>
      </c>
    </row>
    <row r="353" spans="1:59">
      <c r="A353" s="27">
        <f>IF($BG353="","",INDEX(Calc_Daily!$A$2:$A$2001,$BG353))</f>
        <v>0</v>
      </c>
      <c r="B353">
        <f>IF($BG353="","",INDEX(Calc_Daily!$BJ$2:$BJ$2001,$BG353))</f>
        <v>0</v>
      </c>
      <c r="C353">
        <f>IF($BG353="","",INDEX(Calc_Daily!$BK$2:$BK$2001,$BG353))</f>
        <v>0</v>
      </c>
      <c r="D353">
        <f>IF($BG353="","",INDEX(Calc_Daily!$BL$2:$BL$2001,$BG353))</f>
        <v>0</v>
      </c>
      <c r="E353">
        <f>IF($BG353="","",INDEX(Calc_Daily!$E$2:$E$2001,$BG353))</f>
        <v>0</v>
      </c>
      <c r="F353">
        <f>IF($E353="","",N(F352)+1)</f>
        <v>0</v>
      </c>
      <c r="G353">
        <f>IF(OR($E353="",$E352=""),"",LN($E353/$E352))</f>
        <v>0</v>
      </c>
      <c r="H353">
        <f>IF($E353="","",IF($E352="",$E353,$E353*0.0952380952+H352*0.9047619048))</f>
        <v>0</v>
      </c>
      <c r="I353">
        <f>IF($E353="","",IF($E352="",$E353,$E353*0.0392156863+I352*0.9607843137))</f>
        <v>0</v>
      </c>
      <c r="J353">
        <f>IF($E353="","",IF($E352="",$E353,$E353*0.0198019802+J352*0.9801980198))</f>
        <v>0</v>
      </c>
      <c r="K353">
        <f>IF($E353="","",IF($E352="",$E353,$E353*0.0099502488+K352*0.9900497512))</f>
        <v>0</v>
      </c>
      <c r="L353">
        <f>IF(OR($E353="",$E352=""),"",MAX($E353-$E352,0))</f>
        <v>0</v>
      </c>
      <c r="M353">
        <f>IF(OR($E353="",$E352=""),"",MAX($E352-$E353,0))</f>
        <v>0</v>
      </c>
      <c r="N353">
        <f>IF(COUNT($E$2:$E353)&lt;15,"",IF(AVERAGE($M$340:$M$353)=0,100,100-100/(1+AVERAGE($L$340:$L$353)/AVERAGE($M$340:$M$353))))</f>
        <v>0</v>
      </c>
      <c r="O353">
        <f>IF($E353="","",IF($E352="",$E353,$E353*0.1538461538+O352*0.8461538462))</f>
        <v>0</v>
      </c>
      <c r="P353">
        <f>IF($E353="","",IF($E352="",$E353,$E353*0.0740740741+P352*0.9259259259))</f>
        <v>0</v>
      </c>
      <c r="Q353">
        <f>IF(OR(O353="",P353=""),"",O353-P353)</f>
        <v>0</v>
      </c>
      <c r="R353">
        <f>IF(Q353="","",IF(R352="",Q353,Q353*0.2000000000+R352*0.8000000000))</f>
        <v>0</v>
      </c>
      <c r="S353">
        <f>IF(OR(Q353="",R353=""),"",Q353-R353)</f>
        <v>0</v>
      </c>
      <c r="T353">
        <f>IF(COUNT($E$2:$E353)&lt;14,"",MAX($C$340:$C$353))</f>
        <v>0</v>
      </c>
      <c r="U353">
        <f>IF(COUNT($E$2:$E353)&lt;14,"",MIN($D$340:$D$353))</f>
        <v>0</v>
      </c>
      <c r="V353">
        <f>IF(OR(T353="",U353="",T353=U353),"",100*($E353-U353)/(T353-U353))</f>
        <v>0</v>
      </c>
      <c r="W353">
        <f>IF(COUNT($V$351:$V$353)&lt;3,"",AVERAGE($V$351:$V$353))</f>
        <v>0</v>
      </c>
      <c r="X353">
        <f>IF(COUNT($N$340:$N$353)&lt;14,"",MIN($N$340:$N$353))</f>
        <v>0</v>
      </c>
      <c r="Y353">
        <f>IF(COUNT($N$340:$N$353)&lt;14,"",MAX($N$340:$N$353))</f>
        <v>0</v>
      </c>
      <c r="Z353">
        <f>IF(OR(N353="",X353="",Y353="",Y353=X353),"",100*(N353-X353)/(Y353-X353))</f>
        <v>0</v>
      </c>
      <c r="AA353">
        <f>IF(COUNT($Z$351:$Z$353)&lt;3,"",AVERAGE($Z$351:$Z$353))</f>
        <v>0</v>
      </c>
      <c r="AB353">
        <f>IF(COUNT($AA$351:$AA$353)&lt;3,"",AVERAGE($AA$351:$AA$353))</f>
        <v>0</v>
      </c>
      <c r="AC353">
        <f>IF($E353="","",MAX($C353-$D353,ABS($C353-$E352),ABS($D353-$E352)))</f>
        <v>0</v>
      </c>
      <c r="AD353">
        <f>IF(COUNT($E$2:$E353)&lt;15,"",AVERAGE($AC$340:$AC$353))</f>
        <v>0</v>
      </c>
      <c r="AE353">
        <f>IF(OR($E353="",$E352=""),"",IF(AND(($C353-$C352)&gt;($D352-$D353),($C353-$C352)&gt;0),$C353-$C352,0))</f>
        <v>0</v>
      </c>
      <c r="AF353">
        <f>IF(OR($E353="",$E352=""),"",IF(AND(($D352-$D353)&gt;($C353-$C352),($D352-$D353)&gt;0),$D352-$D353,0))</f>
        <v>0</v>
      </c>
      <c r="AG353">
        <f>IF(COUNT($E$2:$E353)&lt;15,"",IF(SUM($AC$340:$AC$353)=0,0,100*SUM($AE$340:$AE$353)/SUM($AC$340:$AC$353)))</f>
        <v>0</v>
      </c>
      <c r="AH353">
        <f>IF(COUNT($E$2:$E353)&lt;15,"",IF(SUM($AC$340:$AC$353)=0,0,100*SUM($AF$340:$AF$353)/SUM($AC$340:$AC$353)))</f>
        <v>0</v>
      </c>
      <c r="AI353">
        <f>IF(OR(AG353="",AH353=""),"",IF((AG353+AH353)=0,0,100*ABS(AG353-AH353)/(AG353+AH353)))</f>
        <v>0</v>
      </c>
      <c r="AJ353">
        <f>IF(COUNT($AI$340:$AI$353)&lt;14,"",AVERAGE($AI$340:$AI$353))</f>
        <v>0</v>
      </c>
      <c r="AK353">
        <f>IF(COUNT($E$2:$E353)&lt;20,"",AVERAGE($E$334:$E$353))</f>
        <v>0</v>
      </c>
      <c r="AL353">
        <f>IF(COUNT($E$2:$E353)&lt;20,"",STDEVP($E$334:$E$353))</f>
        <v>0</v>
      </c>
      <c r="AM353">
        <f>IF(AK353="","",AK353+2*AL353)</f>
        <v>0</v>
      </c>
      <c r="AN353">
        <f>IF(AK353="","",AK353-2*AL353)</f>
        <v>0</v>
      </c>
      <c r="AO353">
        <f>IF(OR(AM353="",AN353="",AM353=AN353),"",($E353-AN353)/(AM353-AN353))</f>
        <v>0</v>
      </c>
      <c r="AP353">
        <f>IF(OR(AM353="",AK353="",AK353=0),"",(AM353-AN353)/AK353)</f>
        <v>0</v>
      </c>
      <c r="AQ353">
        <f>IF(COUNT($E$2:$E353)&lt;20,"",MAX($C$334:$C$353))</f>
        <v>0</v>
      </c>
      <c r="AR353">
        <f>IF(COUNT($E$2:$E353)&lt;20,"",MIN($D$334:$D$353))</f>
        <v>0</v>
      </c>
      <c r="AS353">
        <f>IF(OR(AQ353="",AR353=""),"",(AQ353+AR353)/2)</f>
        <v>0</v>
      </c>
      <c r="AT353">
        <f>IF(COUNT($G$334:$G$353)&lt;20,"",STDEV($G$334:$G$353)*SQRT(52))</f>
        <v>0</v>
      </c>
      <c r="AU353">
        <f>IF(COUNT($E$2:$E353)&lt;9,"",(MAX($C$345:$C$353)+MIN($D$345:$D$353))/2)</f>
        <v>0</v>
      </c>
      <c r="AV353">
        <f>IF(COUNT($E$2:$E353)&lt;26,"",(MAX($C$328:$C$353)+MIN($D$328:$D$353))/2)</f>
        <v>0</v>
      </c>
      <c r="AW353">
        <f>IF(OR(AU353="",AV353=""),"",(AU353+AV353)/2)</f>
        <v>0</v>
      </c>
      <c r="AX353">
        <f>IF(COUNT($E$2:$E353)&lt;52,"",(MAX($C$302:$C$353)+MIN($D$302:$D$353))/2)</f>
        <v>0</v>
      </c>
      <c r="AY353">
        <f>IF(COUNT($E$2:$E353)&lt;20,"",MAX($C$254:$C$353))</f>
        <v>0</v>
      </c>
      <c r="AZ353">
        <f>IF(COUNT($E$2:$E353)&lt;20,"",MIN($D$254:$D$353))</f>
        <v>0</v>
      </c>
      <c r="BA353">
        <f>IF(COUNT($E$2:$E353)&lt;20,"",SLOPE($E$254:$E$353,$F$254:$F$353))</f>
        <v>0</v>
      </c>
      <c r="BB353">
        <f>IF(COUNT($E$2:$E353)&lt;20,"",INTERCEPT($E$254:$E$353,$F$254:$F$353))</f>
        <v>0</v>
      </c>
      <c r="BC353">
        <f>IF(OR(BA353="",BB353=""),"",BB353+BA353*F353)</f>
        <v>0</v>
      </c>
      <c r="BD353">
        <f>IF(COUNT($E$2:$E353)&lt;20,"",STEYX($E$254:$E$353,$F$254:$F$353))</f>
        <v>0</v>
      </c>
      <c r="BE353">
        <f>IF($E353="","",IF(AND(COUNT($E$354:$E$357)&gt;=4,$C353=MAX($C$349:$C$357)),$C353,""))</f>
        <v>0</v>
      </c>
      <c r="BF353">
        <f>IF($E353="","",IF(AND(COUNT($E$354:$E$357)&gt;=4,$D353=MIN($D$349:$D$357)),$D353,""))</f>
        <v>0</v>
      </c>
      <c r="BG353">
        <f>IFERROR(SMALL(Calc_Daily!$BM$2:$BM$2001,352),"")</f>
        <v>0</v>
      </c>
    </row>
    <row r="354" spans="1:59">
      <c r="A354" s="27">
        <f>IF($BG354="","",INDEX(Calc_Daily!$A$2:$A$2001,$BG354))</f>
        <v>0</v>
      </c>
      <c r="B354">
        <f>IF($BG354="","",INDEX(Calc_Daily!$BJ$2:$BJ$2001,$BG354))</f>
        <v>0</v>
      </c>
      <c r="C354">
        <f>IF($BG354="","",INDEX(Calc_Daily!$BK$2:$BK$2001,$BG354))</f>
        <v>0</v>
      </c>
      <c r="D354">
        <f>IF($BG354="","",INDEX(Calc_Daily!$BL$2:$BL$2001,$BG354))</f>
        <v>0</v>
      </c>
      <c r="E354">
        <f>IF($BG354="","",INDEX(Calc_Daily!$E$2:$E$2001,$BG354))</f>
        <v>0</v>
      </c>
      <c r="F354">
        <f>IF($E354="","",N(F353)+1)</f>
        <v>0</v>
      </c>
      <c r="G354">
        <f>IF(OR($E354="",$E353=""),"",LN($E354/$E353))</f>
        <v>0</v>
      </c>
      <c r="H354">
        <f>IF($E354="","",IF($E353="",$E354,$E354*0.0952380952+H353*0.9047619048))</f>
        <v>0</v>
      </c>
      <c r="I354">
        <f>IF($E354="","",IF($E353="",$E354,$E354*0.0392156863+I353*0.9607843137))</f>
        <v>0</v>
      </c>
      <c r="J354">
        <f>IF($E354="","",IF($E353="",$E354,$E354*0.0198019802+J353*0.9801980198))</f>
        <v>0</v>
      </c>
      <c r="K354">
        <f>IF($E354="","",IF($E353="",$E354,$E354*0.0099502488+K353*0.9900497512))</f>
        <v>0</v>
      </c>
      <c r="L354">
        <f>IF(OR($E354="",$E353=""),"",MAX($E354-$E353,0))</f>
        <v>0</v>
      </c>
      <c r="M354">
        <f>IF(OR($E354="",$E353=""),"",MAX($E353-$E354,0))</f>
        <v>0</v>
      </c>
      <c r="N354">
        <f>IF(COUNT($E$2:$E354)&lt;15,"",IF(AVERAGE($M$341:$M$354)=0,100,100-100/(1+AVERAGE($L$341:$L$354)/AVERAGE($M$341:$M$354))))</f>
        <v>0</v>
      </c>
      <c r="O354">
        <f>IF($E354="","",IF($E353="",$E354,$E354*0.1538461538+O353*0.8461538462))</f>
        <v>0</v>
      </c>
      <c r="P354">
        <f>IF($E354="","",IF($E353="",$E354,$E354*0.0740740741+P353*0.9259259259))</f>
        <v>0</v>
      </c>
      <c r="Q354">
        <f>IF(OR(O354="",P354=""),"",O354-P354)</f>
        <v>0</v>
      </c>
      <c r="R354">
        <f>IF(Q354="","",IF(R353="",Q354,Q354*0.2000000000+R353*0.8000000000))</f>
        <v>0</v>
      </c>
      <c r="S354">
        <f>IF(OR(Q354="",R354=""),"",Q354-R354)</f>
        <v>0</v>
      </c>
      <c r="T354">
        <f>IF(COUNT($E$2:$E354)&lt;14,"",MAX($C$341:$C$354))</f>
        <v>0</v>
      </c>
      <c r="U354">
        <f>IF(COUNT($E$2:$E354)&lt;14,"",MIN($D$341:$D$354))</f>
        <v>0</v>
      </c>
      <c r="V354">
        <f>IF(OR(T354="",U354="",T354=U354),"",100*($E354-U354)/(T354-U354))</f>
        <v>0</v>
      </c>
      <c r="W354">
        <f>IF(COUNT($V$352:$V$354)&lt;3,"",AVERAGE($V$352:$V$354))</f>
        <v>0</v>
      </c>
      <c r="X354">
        <f>IF(COUNT($N$341:$N$354)&lt;14,"",MIN($N$341:$N$354))</f>
        <v>0</v>
      </c>
      <c r="Y354">
        <f>IF(COUNT($N$341:$N$354)&lt;14,"",MAX($N$341:$N$354))</f>
        <v>0</v>
      </c>
      <c r="Z354">
        <f>IF(OR(N354="",X354="",Y354="",Y354=X354),"",100*(N354-X354)/(Y354-X354))</f>
        <v>0</v>
      </c>
      <c r="AA354">
        <f>IF(COUNT($Z$352:$Z$354)&lt;3,"",AVERAGE($Z$352:$Z$354))</f>
        <v>0</v>
      </c>
      <c r="AB354">
        <f>IF(COUNT($AA$352:$AA$354)&lt;3,"",AVERAGE($AA$352:$AA$354))</f>
        <v>0</v>
      </c>
      <c r="AC354">
        <f>IF($E354="","",MAX($C354-$D354,ABS($C354-$E353),ABS($D354-$E353)))</f>
        <v>0</v>
      </c>
      <c r="AD354">
        <f>IF(COUNT($E$2:$E354)&lt;15,"",AVERAGE($AC$341:$AC$354))</f>
        <v>0</v>
      </c>
      <c r="AE354">
        <f>IF(OR($E354="",$E353=""),"",IF(AND(($C354-$C353)&gt;($D353-$D354),($C354-$C353)&gt;0),$C354-$C353,0))</f>
        <v>0</v>
      </c>
      <c r="AF354">
        <f>IF(OR($E354="",$E353=""),"",IF(AND(($D353-$D354)&gt;($C354-$C353),($D353-$D354)&gt;0),$D353-$D354,0))</f>
        <v>0</v>
      </c>
      <c r="AG354">
        <f>IF(COUNT($E$2:$E354)&lt;15,"",IF(SUM($AC$341:$AC$354)=0,0,100*SUM($AE$341:$AE$354)/SUM($AC$341:$AC$354)))</f>
        <v>0</v>
      </c>
      <c r="AH354">
        <f>IF(COUNT($E$2:$E354)&lt;15,"",IF(SUM($AC$341:$AC$354)=0,0,100*SUM($AF$341:$AF$354)/SUM($AC$341:$AC$354)))</f>
        <v>0</v>
      </c>
      <c r="AI354">
        <f>IF(OR(AG354="",AH354=""),"",IF((AG354+AH354)=0,0,100*ABS(AG354-AH354)/(AG354+AH354)))</f>
        <v>0</v>
      </c>
      <c r="AJ354">
        <f>IF(COUNT($AI$341:$AI$354)&lt;14,"",AVERAGE($AI$341:$AI$354))</f>
        <v>0</v>
      </c>
      <c r="AK354">
        <f>IF(COUNT($E$2:$E354)&lt;20,"",AVERAGE($E$335:$E$354))</f>
        <v>0</v>
      </c>
      <c r="AL354">
        <f>IF(COUNT($E$2:$E354)&lt;20,"",STDEVP($E$335:$E$354))</f>
        <v>0</v>
      </c>
      <c r="AM354">
        <f>IF(AK354="","",AK354+2*AL354)</f>
        <v>0</v>
      </c>
      <c r="AN354">
        <f>IF(AK354="","",AK354-2*AL354)</f>
        <v>0</v>
      </c>
      <c r="AO354">
        <f>IF(OR(AM354="",AN354="",AM354=AN354),"",($E354-AN354)/(AM354-AN354))</f>
        <v>0</v>
      </c>
      <c r="AP354">
        <f>IF(OR(AM354="",AK354="",AK354=0),"",(AM354-AN354)/AK354)</f>
        <v>0</v>
      </c>
      <c r="AQ354">
        <f>IF(COUNT($E$2:$E354)&lt;20,"",MAX($C$335:$C$354))</f>
        <v>0</v>
      </c>
      <c r="AR354">
        <f>IF(COUNT($E$2:$E354)&lt;20,"",MIN($D$335:$D$354))</f>
        <v>0</v>
      </c>
      <c r="AS354">
        <f>IF(OR(AQ354="",AR354=""),"",(AQ354+AR354)/2)</f>
        <v>0</v>
      </c>
      <c r="AT354">
        <f>IF(COUNT($G$335:$G$354)&lt;20,"",STDEV($G$335:$G$354)*SQRT(52))</f>
        <v>0</v>
      </c>
      <c r="AU354">
        <f>IF(COUNT($E$2:$E354)&lt;9,"",(MAX($C$346:$C$354)+MIN($D$346:$D$354))/2)</f>
        <v>0</v>
      </c>
      <c r="AV354">
        <f>IF(COUNT($E$2:$E354)&lt;26,"",(MAX($C$329:$C$354)+MIN($D$329:$D$354))/2)</f>
        <v>0</v>
      </c>
      <c r="AW354">
        <f>IF(OR(AU354="",AV354=""),"",(AU354+AV354)/2)</f>
        <v>0</v>
      </c>
      <c r="AX354">
        <f>IF(COUNT($E$2:$E354)&lt;52,"",(MAX($C$303:$C$354)+MIN($D$303:$D$354))/2)</f>
        <v>0</v>
      </c>
      <c r="AY354">
        <f>IF(COUNT($E$2:$E354)&lt;20,"",MAX($C$255:$C$354))</f>
        <v>0</v>
      </c>
      <c r="AZ354">
        <f>IF(COUNT($E$2:$E354)&lt;20,"",MIN($D$255:$D$354))</f>
        <v>0</v>
      </c>
      <c r="BA354">
        <f>IF(COUNT($E$2:$E354)&lt;20,"",SLOPE($E$255:$E$354,$F$255:$F$354))</f>
        <v>0</v>
      </c>
      <c r="BB354">
        <f>IF(COUNT($E$2:$E354)&lt;20,"",INTERCEPT($E$255:$E$354,$F$255:$F$354))</f>
        <v>0</v>
      </c>
      <c r="BC354">
        <f>IF(OR(BA354="",BB354=""),"",BB354+BA354*F354)</f>
        <v>0</v>
      </c>
      <c r="BD354">
        <f>IF(COUNT($E$2:$E354)&lt;20,"",STEYX($E$255:$E$354,$F$255:$F$354))</f>
        <v>0</v>
      </c>
      <c r="BE354">
        <f>IF($E354="","",IF(AND(COUNT($E$355:$E$358)&gt;=4,$C354=MAX($C$350:$C$358)),$C354,""))</f>
        <v>0</v>
      </c>
      <c r="BF354">
        <f>IF($E354="","",IF(AND(COUNT($E$355:$E$358)&gt;=4,$D354=MIN($D$350:$D$358)),$D354,""))</f>
        <v>0</v>
      </c>
      <c r="BG354">
        <f>IFERROR(SMALL(Calc_Daily!$BM$2:$BM$2001,353),"")</f>
        <v>0</v>
      </c>
    </row>
    <row r="355" spans="1:59">
      <c r="A355" s="27">
        <f>IF($BG355="","",INDEX(Calc_Daily!$A$2:$A$2001,$BG355))</f>
        <v>0</v>
      </c>
      <c r="B355">
        <f>IF($BG355="","",INDEX(Calc_Daily!$BJ$2:$BJ$2001,$BG355))</f>
        <v>0</v>
      </c>
      <c r="C355">
        <f>IF($BG355="","",INDEX(Calc_Daily!$BK$2:$BK$2001,$BG355))</f>
        <v>0</v>
      </c>
      <c r="D355">
        <f>IF($BG355="","",INDEX(Calc_Daily!$BL$2:$BL$2001,$BG355))</f>
        <v>0</v>
      </c>
      <c r="E355">
        <f>IF($BG355="","",INDEX(Calc_Daily!$E$2:$E$2001,$BG355))</f>
        <v>0</v>
      </c>
      <c r="F355">
        <f>IF($E355="","",N(F354)+1)</f>
        <v>0</v>
      </c>
      <c r="G355">
        <f>IF(OR($E355="",$E354=""),"",LN($E355/$E354))</f>
        <v>0</v>
      </c>
      <c r="H355">
        <f>IF($E355="","",IF($E354="",$E355,$E355*0.0952380952+H354*0.9047619048))</f>
        <v>0</v>
      </c>
      <c r="I355">
        <f>IF($E355="","",IF($E354="",$E355,$E355*0.0392156863+I354*0.9607843137))</f>
        <v>0</v>
      </c>
      <c r="J355">
        <f>IF($E355="","",IF($E354="",$E355,$E355*0.0198019802+J354*0.9801980198))</f>
        <v>0</v>
      </c>
      <c r="K355">
        <f>IF($E355="","",IF($E354="",$E355,$E355*0.0099502488+K354*0.9900497512))</f>
        <v>0</v>
      </c>
      <c r="L355">
        <f>IF(OR($E355="",$E354=""),"",MAX($E355-$E354,0))</f>
        <v>0</v>
      </c>
      <c r="M355">
        <f>IF(OR($E355="",$E354=""),"",MAX($E354-$E355,0))</f>
        <v>0</v>
      </c>
      <c r="N355">
        <f>IF(COUNT($E$2:$E355)&lt;15,"",IF(AVERAGE($M$342:$M$355)=0,100,100-100/(1+AVERAGE($L$342:$L$355)/AVERAGE($M$342:$M$355))))</f>
        <v>0</v>
      </c>
      <c r="O355">
        <f>IF($E355="","",IF($E354="",$E355,$E355*0.1538461538+O354*0.8461538462))</f>
        <v>0</v>
      </c>
      <c r="P355">
        <f>IF($E355="","",IF($E354="",$E355,$E355*0.0740740741+P354*0.9259259259))</f>
        <v>0</v>
      </c>
      <c r="Q355">
        <f>IF(OR(O355="",P355=""),"",O355-P355)</f>
        <v>0</v>
      </c>
      <c r="R355">
        <f>IF(Q355="","",IF(R354="",Q355,Q355*0.2000000000+R354*0.8000000000))</f>
        <v>0</v>
      </c>
      <c r="S355">
        <f>IF(OR(Q355="",R355=""),"",Q355-R355)</f>
        <v>0</v>
      </c>
      <c r="T355">
        <f>IF(COUNT($E$2:$E355)&lt;14,"",MAX($C$342:$C$355))</f>
        <v>0</v>
      </c>
      <c r="U355">
        <f>IF(COUNT($E$2:$E355)&lt;14,"",MIN($D$342:$D$355))</f>
        <v>0</v>
      </c>
      <c r="V355">
        <f>IF(OR(T355="",U355="",T355=U355),"",100*($E355-U355)/(T355-U355))</f>
        <v>0</v>
      </c>
      <c r="W355">
        <f>IF(COUNT($V$353:$V$355)&lt;3,"",AVERAGE($V$353:$V$355))</f>
        <v>0</v>
      </c>
      <c r="X355">
        <f>IF(COUNT($N$342:$N$355)&lt;14,"",MIN($N$342:$N$355))</f>
        <v>0</v>
      </c>
      <c r="Y355">
        <f>IF(COUNT($N$342:$N$355)&lt;14,"",MAX($N$342:$N$355))</f>
        <v>0</v>
      </c>
      <c r="Z355">
        <f>IF(OR(N355="",X355="",Y355="",Y355=X355),"",100*(N355-X355)/(Y355-X355))</f>
        <v>0</v>
      </c>
      <c r="AA355">
        <f>IF(COUNT($Z$353:$Z$355)&lt;3,"",AVERAGE($Z$353:$Z$355))</f>
        <v>0</v>
      </c>
      <c r="AB355">
        <f>IF(COUNT($AA$353:$AA$355)&lt;3,"",AVERAGE($AA$353:$AA$355))</f>
        <v>0</v>
      </c>
      <c r="AC355">
        <f>IF($E355="","",MAX($C355-$D355,ABS($C355-$E354),ABS($D355-$E354)))</f>
        <v>0</v>
      </c>
      <c r="AD355">
        <f>IF(COUNT($E$2:$E355)&lt;15,"",AVERAGE($AC$342:$AC$355))</f>
        <v>0</v>
      </c>
      <c r="AE355">
        <f>IF(OR($E355="",$E354=""),"",IF(AND(($C355-$C354)&gt;($D354-$D355),($C355-$C354)&gt;0),$C355-$C354,0))</f>
        <v>0</v>
      </c>
      <c r="AF355">
        <f>IF(OR($E355="",$E354=""),"",IF(AND(($D354-$D355)&gt;($C355-$C354),($D354-$D355)&gt;0),$D354-$D355,0))</f>
        <v>0</v>
      </c>
      <c r="AG355">
        <f>IF(COUNT($E$2:$E355)&lt;15,"",IF(SUM($AC$342:$AC$355)=0,0,100*SUM($AE$342:$AE$355)/SUM($AC$342:$AC$355)))</f>
        <v>0</v>
      </c>
      <c r="AH355">
        <f>IF(COUNT($E$2:$E355)&lt;15,"",IF(SUM($AC$342:$AC$355)=0,0,100*SUM($AF$342:$AF$355)/SUM($AC$342:$AC$355)))</f>
        <v>0</v>
      </c>
      <c r="AI355">
        <f>IF(OR(AG355="",AH355=""),"",IF((AG355+AH355)=0,0,100*ABS(AG355-AH355)/(AG355+AH355)))</f>
        <v>0</v>
      </c>
      <c r="AJ355">
        <f>IF(COUNT($AI$342:$AI$355)&lt;14,"",AVERAGE($AI$342:$AI$355))</f>
        <v>0</v>
      </c>
      <c r="AK355">
        <f>IF(COUNT($E$2:$E355)&lt;20,"",AVERAGE($E$336:$E$355))</f>
        <v>0</v>
      </c>
      <c r="AL355">
        <f>IF(COUNT($E$2:$E355)&lt;20,"",STDEVP($E$336:$E$355))</f>
        <v>0</v>
      </c>
      <c r="AM355">
        <f>IF(AK355="","",AK355+2*AL355)</f>
        <v>0</v>
      </c>
      <c r="AN355">
        <f>IF(AK355="","",AK355-2*AL355)</f>
        <v>0</v>
      </c>
      <c r="AO355">
        <f>IF(OR(AM355="",AN355="",AM355=AN355),"",($E355-AN355)/(AM355-AN355))</f>
        <v>0</v>
      </c>
      <c r="AP355">
        <f>IF(OR(AM355="",AK355="",AK355=0),"",(AM355-AN355)/AK355)</f>
        <v>0</v>
      </c>
      <c r="AQ355">
        <f>IF(COUNT($E$2:$E355)&lt;20,"",MAX($C$336:$C$355))</f>
        <v>0</v>
      </c>
      <c r="AR355">
        <f>IF(COUNT($E$2:$E355)&lt;20,"",MIN($D$336:$D$355))</f>
        <v>0</v>
      </c>
      <c r="AS355">
        <f>IF(OR(AQ355="",AR355=""),"",(AQ355+AR355)/2)</f>
        <v>0</v>
      </c>
      <c r="AT355">
        <f>IF(COUNT($G$336:$G$355)&lt;20,"",STDEV($G$336:$G$355)*SQRT(52))</f>
        <v>0</v>
      </c>
      <c r="AU355">
        <f>IF(COUNT($E$2:$E355)&lt;9,"",(MAX($C$347:$C$355)+MIN($D$347:$D$355))/2)</f>
        <v>0</v>
      </c>
      <c r="AV355">
        <f>IF(COUNT($E$2:$E355)&lt;26,"",(MAX($C$330:$C$355)+MIN($D$330:$D$355))/2)</f>
        <v>0</v>
      </c>
      <c r="AW355">
        <f>IF(OR(AU355="",AV355=""),"",(AU355+AV355)/2)</f>
        <v>0</v>
      </c>
      <c r="AX355">
        <f>IF(COUNT($E$2:$E355)&lt;52,"",(MAX($C$304:$C$355)+MIN($D$304:$D$355))/2)</f>
        <v>0</v>
      </c>
      <c r="AY355">
        <f>IF(COUNT($E$2:$E355)&lt;20,"",MAX($C$256:$C$355))</f>
        <v>0</v>
      </c>
      <c r="AZ355">
        <f>IF(COUNT($E$2:$E355)&lt;20,"",MIN($D$256:$D$355))</f>
        <v>0</v>
      </c>
      <c r="BA355">
        <f>IF(COUNT($E$2:$E355)&lt;20,"",SLOPE($E$256:$E$355,$F$256:$F$355))</f>
        <v>0</v>
      </c>
      <c r="BB355">
        <f>IF(COUNT($E$2:$E355)&lt;20,"",INTERCEPT($E$256:$E$355,$F$256:$F$355))</f>
        <v>0</v>
      </c>
      <c r="BC355">
        <f>IF(OR(BA355="",BB355=""),"",BB355+BA355*F355)</f>
        <v>0</v>
      </c>
      <c r="BD355">
        <f>IF(COUNT($E$2:$E355)&lt;20,"",STEYX($E$256:$E$355,$F$256:$F$355))</f>
        <v>0</v>
      </c>
      <c r="BE355">
        <f>IF($E355="","",IF(AND(COUNT($E$356:$E$359)&gt;=4,$C355=MAX($C$351:$C$359)),$C355,""))</f>
        <v>0</v>
      </c>
      <c r="BF355">
        <f>IF($E355="","",IF(AND(COUNT($E$356:$E$359)&gt;=4,$D355=MIN($D$351:$D$359)),$D355,""))</f>
        <v>0</v>
      </c>
      <c r="BG355">
        <f>IFERROR(SMALL(Calc_Daily!$BM$2:$BM$2001,354),"")</f>
        <v>0</v>
      </c>
    </row>
    <row r="356" spans="1:59">
      <c r="A356" s="27">
        <f>IF($BG356="","",INDEX(Calc_Daily!$A$2:$A$2001,$BG356))</f>
        <v>0</v>
      </c>
      <c r="B356">
        <f>IF($BG356="","",INDEX(Calc_Daily!$BJ$2:$BJ$2001,$BG356))</f>
        <v>0</v>
      </c>
      <c r="C356">
        <f>IF($BG356="","",INDEX(Calc_Daily!$BK$2:$BK$2001,$BG356))</f>
        <v>0</v>
      </c>
      <c r="D356">
        <f>IF($BG356="","",INDEX(Calc_Daily!$BL$2:$BL$2001,$BG356))</f>
        <v>0</v>
      </c>
      <c r="E356">
        <f>IF($BG356="","",INDEX(Calc_Daily!$E$2:$E$2001,$BG356))</f>
        <v>0</v>
      </c>
      <c r="F356">
        <f>IF($E356="","",N(F355)+1)</f>
        <v>0</v>
      </c>
      <c r="G356">
        <f>IF(OR($E356="",$E355=""),"",LN($E356/$E355))</f>
        <v>0</v>
      </c>
      <c r="H356">
        <f>IF($E356="","",IF($E355="",$E356,$E356*0.0952380952+H355*0.9047619048))</f>
        <v>0</v>
      </c>
      <c r="I356">
        <f>IF($E356="","",IF($E355="",$E356,$E356*0.0392156863+I355*0.9607843137))</f>
        <v>0</v>
      </c>
      <c r="J356">
        <f>IF($E356="","",IF($E355="",$E356,$E356*0.0198019802+J355*0.9801980198))</f>
        <v>0</v>
      </c>
      <c r="K356">
        <f>IF($E356="","",IF($E355="",$E356,$E356*0.0099502488+K355*0.9900497512))</f>
        <v>0</v>
      </c>
      <c r="L356">
        <f>IF(OR($E356="",$E355=""),"",MAX($E356-$E355,0))</f>
        <v>0</v>
      </c>
      <c r="M356">
        <f>IF(OR($E356="",$E355=""),"",MAX($E355-$E356,0))</f>
        <v>0</v>
      </c>
      <c r="N356">
        <f>IF(COUNT($E$2:$E356)&lt;15,"",IF(AVERAGE($M$343:$M$356)=0,100,100-100/(1+AVERAGE($L$343:$L$356)/AVERAGE($M$343:$M$356))))</f>
        <v>0</v>
      </c>
      <c r="O356">
        <f>IF($E356="","",IF($E355="",$E356,$E356*0.1538461538+O355*0.8461538462))</f>
        <v>0</v>
      </c>
      <c r="P356">
        <f>IF($E356="","",IF($E355="",$E356,$E356*0.0740740741+P355*0.9259259259))</f>
        <v>0</v>
      </c>
      <c r="Q356">
        <f>IF(OR(O356="",P356=""),"",O356-P356)</f>
        <v>0</v>
      </c>
      <c r="R356">
        <f>IF(Q356="","",IF(R355="",Q356,Q356*0.2000000000+R355*0.8000000000))</f>
        <v>0</v>
      </c>
      <c r="S356">
        <f>IF(OR(Q356="",R356=""),"",Q356-R356)</f>
        <v>0</v>
      </c>
      <c r="T356">
        <f>IF(COUNT($E$2:$E356)&lt;14,"",MAX($C$343:$C$356))</f>
        <v>0</v>
      </c>
      <c r="U356">
        <f>IF(COUNT($E$2:$E356)&lt;14,"",MIN($D$343:$D$356))</f>
        <v>0</v>
      </c>
      <c r="V356">
        <f>IF(OR(T356="",U356="",T356=U356),"",100*($E356-U356)/(T356-U356))</f>
        <v>0</v>
      </c>
      <c r="W356">
        <f>IF(COUNT($V$354:$V$356)&lt;3,"",AVERAGE($V$354:$V$356))</f>
        <v>0</v>
      </c>
      <c r="X356">
        <f>IF(COUNT($N$343:$N$356)&lt;14,"",MIN($N$343:$N$356))</f>
        <v>0</v>
      </c>
      <c r="Y356">
        <f>IF(COUNT($N$343:$N$356)&lt;14,"",MAX($N$343:$N$356))</f>
        <v>0</v>
      </c>
      <c r="Z356">
        <f>IF(OR(N356="",X356="",Y356="",Y356=X356),"",100*(N356-X356)/(Y356-X356))</f>
        <v>0</v>
      </c>
      <c r="AA356">
        <f>IF(COUNT($Z$354:$Z$356)&lt;3,"",AVERAGE($Z$354:$Z$356))</f>
        <v>0</v>
      </c>
      <c r="AB356">
        <f>IF(COUNT($AA$354:$AA$356)&lt;3,"",AVERAGE($AA$354:$AA$356))</f>
        <v>0</v>
      </c>
      <c r="AC356">
        <f>IF($E356="","",MAX($C356-$D356,ABS($C356-$E355),ABS($D356-$E355)))</f>
        <v>0</v>
      </c>
      <c r="AD356">
        <f>IF(COUNT($E$2:$E356)&lt;15,"",AVERAGE($AC$343:$AC$356))</f>
        <v>0</v>
      </c>
      <c r="AE356">
        <f>IF(OR($E356="",$E355=""),"",IF(AND(($C356-$C355)&gt;($D355-$D356),($C356-$C355)&gt;0),$C356-$C355,0))</f>
        <v>0</v>
      </c>
      <c r="AF356">
        <f>IF(OR($E356="",$E355=""),"",IF(AND(($D355-$D356)&gt;($C356-$C355),($D355-$D356)&gt;0),$D355-$D356,0))</f>
        <v>0</v>
      </c>
      <c r="AG356">
        <f>IF(COUNT($E$2:$E356)&lt;15,"",IF(SUM($AC$343:$AC$356)=0,0,100*SUM($AE$343:$AE$356)/SUM($AC$343:$AC$356)))</f>
        <v>0</v>
      </c>
      <c r="AH356">
        <f>IF(COUNT($E$2:$E356)&lt;15,"",IF(SUM($AC$343:$AC$356)=0,0,100*SUM($AF$343:$AF$356)/SUM($AC$343:$AC$356)))</f>
        <v>0</v>
      </c>
      <c r="AI356">
        <f>IF(OR(AG356="",AH356=""),"",IF((AG356+AH356)=0,0,100*ABS(AG356-AH356)/(AG356+AH356)))</f>
        <v>0</v>
      </c>
      <c r="AJ356">
        <f>IF(COUNT($AI$343:$AI$356)&lt;14,"",AVERAGE($AI$343:$AI$356))</f>
        <v>0</v>
      </c>
      <c r="AK356">
        <f>IF(COUNT($E$2:$E356)&lt;20,"",AVERAGE($E$337:$E$356))</f>
        <v>0</v>
      </c>
      <c r="AL356">
        <f>IF(COUNT($E$2:$E356)&lt;20,"",STDEVP($E$337:$E$356))</f>
        <v>0</v>
      </c>
      <c r="AM356">
        <f>IF(AK356="","",AK356+2*AL356)</f>
        <v>0</v>
      </c>
      <c r="AN356">
        <f>IF(AK356="","",AK356-2*AL356)</f>
        <v>0</v>
      </c>
      <c r="AO356">
        <f>IF(OR(AM356="",AN356="",AM356=AN356),"",($E356-AN356)/(AM356-AN356))</f>
        <v>0</v>
      </c>
      <c r="AP356">
        <f>IF(OR(AM356="",AK356="",AK356=0),"",(AM356-AN356)/AK356)</f>
        <v>0</v>
      </c>
      <c r="AQ356">
        <f>IF(COUNT($E$2:$E356)&lt;20,"",MAX($C$337:$C$356))</f>
        <v>0</v>
      </c>
      <c r="AR356">
        <f>IF(COUNT($E$2:$E356)&lt;20,"",MIN($D$337:$D$356))</f>
        <v>0</v>
      </c>
      <c r="AS356">
        <f>IF(OR(AQ356="",AR356=""),"",(AQ356+AR356)/2)</f>
        <v>0</v>
      </c>
      <c r="AT356">
        <f>IF(COUNT($G$337:$G$356)&lt;20,"",STDEV($G$337:$G$356)*SQRT(52))</f>
        <v>0</v>
      </c>
      <c r="AU356">
        <f>IF(COUNT($E$2:$E356)&lt;9,"",(MAX($C$348:$C$356)+MIN($D$348:$D$356))/2)</f>
        <v>0</v>
      </c>
      <c r="AV356">
        <f>IF(COUNT($E$2:$E356)&lt;26,"",(MAX($C$331:$C$356)+MIN($D$331:$D$356))/2)</f>
        <v>0</v>
      </c>
      <c r="AW356">
        <f>IF(OR(AU356="",AV356=""),"",(AU356+AV356)/2)</f>
        <v>0</v>
      </c>
      <c r="AX356">
        <f>IF(COUNT($E$2:$E356)&lt;52,"",(MAX($C$305:$C$356)+MIN($D$305:$D$356))/2)</f>
        <v>0</v>
      </c>
      <c r="AY356">
        <f>IF(COUNT($E$2:$E356)&lt;20,"",MAX($C$257:$C$356))</f>
        <v>0</v>
      </c>
      <c r="AZ356">
        <f>IF(COUNT($E$2:$E356)&lt;20,"",MIN($D$257:$D$356))</f>
        <v>0</v>
      </c>
      <c r="BA356">
        <f>IF(COUNT($E$2:$E356)&lt;20,"",SLOPE($E$257:$E$356,$F$257:$F$356))</f>
        <v>0</v>
      </c>
      <c r="BB356">
        <f>IF(COUNT($E$2:$E356)&lt;20,"",INTERCEPT($E$257:$E$356,$F$257:$F$356))</f>
        <v>0</v>
      </c>
      <c r="BC356">
        <f>IF(OR(BA356="",BB356=""),"",BB356+BA356*F356)</f>
        <v>0</v>
      </c>
      <c r="BD356">
        <f>IF(COUNT($E$2:$E356)&lt;20,"",STEYX($E$257:$E$356,$F$257:$F$356))</f>
        <v>0</v>
      </c>
      <c r="BE356">
        <f>IF($E356="","",IF(AND(COUNT($E$357:$E$360)&gt;=4,$C356=MAX($C$352:$C$360)),$C356,""))</f>
        <v>0</v>
      </c>
      <c r="BF356">
        <f>IF($E356="","",IF(AND(COUNT($E$357:$E$360)&gt;=4,$D356=MIN($D$352:$D$360)),$D356,""))</f>
        <v>0</v>
      </c>
      <c r="BG356">
        <f>IFERROR(SMALL(Calc_Daily!$BM$2:$BM$2001,355),"")</f>
        <v>0</v>
      </c>
    </row>
    <row r="357" spans="1:59">
      <c r="A357" s="27">
        <f>IF($BG357="","",INDEX(Calc_Daily!$A$2:$A$2001,$BG357))</f>
        <v>0</v>
      </c>
      <c r="B357">
        <f>IF($BG357="","",INDEX(Calc_Daily!$BJ$2:$BJ$2001,$BG357))</f>
        <v>0</v>
      </c>
      <c r="C357">
        <f>IF($BG357="","",INDEX(Calc_Daily!$BK$2:$BK$2001,$BG357))</f>
        <v>0</v>
      </c>
      <c r="D357">
        <f>IF($BG357="","",INDEX(Calc_Daily!$BL$2:$BL$2001,$BG357))</f>
        <v>0</v>
      </c>
      <c r="E357">
        <f>IF($BG357="","",INDEX(Calc_Daily!$E$2:$E$2001,$BG357))</f>
        <v>0</v>
      </c>
      <c r="F357">
        <f>IF($E357="","",N(F356)+1)</f>
        <v>0</v>
      </c>
      <c r="G357">
        <f>IF(OR($E357="",$E356=""),"",LN($E357/$E356))</f>
        <v>0</v>
      </c>
      <c r="H357">
        <f>IF($E357="","",IF($E356="",$E357,$E357*0.0952380952+H356*0.9047619048))</f>
        <v>0</v>
      </c>
      <c r="I357">
        <f>IF($E357="","",IF($E356="",$E357,$E357*0.0392156863+I356*0.9607843137))</f>
        <v>0</v>
      </c>
      <c r="J357">
        <f>IF($E357="","",IF($E356="",$E357,$E357*0.0198019802+J356*0.9801980198))</f>
        <v>0</v>
      </c>
      <c r="K357">
        <f>IF($E357="","",IF($E356="",$E357,$E357*0.0099502488+K356*0.9900497512))</f>
        <v>0</v>
      </c>
      <c r="L357">
        <f>IF(OR($E357="",$E356=""),"",MAX($E357-$E356,0))</f>
        <v>0</v>
      </c>
      <c r="M357">
        <f>IF(OR($E357="",$E356=""),"",MAX($E356-$E357,0))</f>
        <v>0</v>
      </c>
      <c r="N357">
        <f>IF(COUNT($E$2:$E357)&lt;15,"",IF(AVERAGE($M$344:$M$357)=0,100,100-100/(1+AVERAGE($L$344:$L$357)/AVERAGE($M$344:$M$357))))</f>
        <v>0</v>
      </c>
      <c r="O357">
        <f>IF($E357="","",IF($E356="",$E357,$E357*0.1538461538+O356*0.8461538462))</f>
        <v>0</v>
      </c>
      <c r="P357">
        <f>IF($E357="","",IF($E356="",$E357,$E357*0.0740740741+P356*0.9259259259))</f>
        <v>0</v>
      </c>
      <c r="Q357">
        <f>IF(OR(O357="",P357=""),"",O357-P357)</f>
        <v>0</v>
      </c>
      <c r="R357">
        <f>IF(Q357="","",IF(R356="",Q357,Q357*0.2000000000+R356*0.8000000000))</f>
        <v>0</v>
      </c>
      <c r="S357">
        <f>IF(OR(Q357="",R357=""),"",Q357-R357)</f>
        <v>0</v>
      </c>
      <c r="T357">
        <f>IF(COUNT($E$2:$E357)&lt;14,"",MAX($C$344:$C$357))</f>
        <v>0</v>
      </c>
      <c r="U357">
        <f>IF(COUNT($E$2:$E357)&lt;14,"",MIN($D$344:$D$357))</f>
        <v>0</v>
      </c>
      <c r="V357">
        <f>IF(OR(T357="",U357="",T357=U357),"",100*($E357-U357)/(T357-U357))</f>
        <v>0</v>
      </c>
      <c r="W357">
        <f>IF(COUNT($V$355:$V$357)&lt;3,"",AVERAGE($V$355:$V$357))</f>
        <v>0</v>
      </c>
      <c r="X357">
        <f>IF(COUNT($N$344:$N$357)&lt;14,"",MIN($N$344:$N$357))</f>
        <v>0</v>
      </c>
      <c r="Y357">
        <f>IF(COUNT($N$344:$N$357)&lt;14,"",MAX($N$344:$N$357))</f>
        <v>0</v>
      </c>
      <c r="Z357">
        <f>IF(OR(N357="",X357="",Y357="",Y357=X357),"",100*(N357-X357)/(Y357-X357))</f>
        <v>0</v>
      </c>
      <c r="AA357">
        <f>IF(COUNT($Z$355:$Z$357)&lt;3,"",AVERAGE($Z$355:$Z$357))</f>
        <v>0</v>
      </c>
      <c r="AB357">
        <f>IF(COUNT($AA$355:$AA$357)&lt;3,"",AVERAGE($AA$355:$AA$357))</f>
        <v>0</v>
      </c>
      <c r="AC357">
        <f>IF($E357="","",MAX($C357-$D357,ABS($C357-$E356),ABS($D357-$E356)))</f>
        <v>0</v>
      </c>
      <c r="AD357">
        <f>IF(COUNT($E$2:$E357)&lt;15,"",AVERAGE($AC$344:$AC$357))</f>
        <v>0</v>
      </c>
      <c r="AE357">
        <f>IF(OR($E357="",$E356=""),"",IF(AND(($C357-$C356)&gt;($D356-$D357),($C357-$C356)&gt;0),$C357-$C356,0))</f>
        <v>0</v>
      </c>
      <c r="AF357">
        <f>IF(OR($E357="",$E356=""),"",IF(AND(($D356-$D357)&gt;($C357-$C356),($D356-$D357)&gt;0),$D356-$D357,0))</f>
        <v>0</v>
      </c>
      <c r="AG357">
        <f>IF(COUNT($E$2:$E357)&lt;15,"",IF(SUM($AC$344:$AC$357)=0,0,100*SUM($AE$344:$AE$357)/SUM($AC$344:$AC$357)))</f>
        <v>0</v>
      </c>
      <c r="AH357">
        <f>IF(COUNT($E$2:$E357)&lt;15,"",IF(SUM($AC$344:$AC$357)=0,0,100*SUM($AF$344:$AF$357)/SUM($AC$344:$AC$357)))</f>
        <v>0</v>
      </c>
      <c r="AI357">
        <f>IF(OR(AG357="",AH357=""),"",IF((AG357+AH357)=0,0,100*ABS(AG357-AH357)/(AG357+AH357)))</f>
        <v>0</v>
      </c>
      <c r="AJ357">
        <f>IF(COUNT($AI$344:$AI$357)&lt;14,"",AVERAGE($AI$344:$AI$357))</f>
        <v>0</v>
      </c>
      <c r="AK357">
        <f>IF(COUNT($E$2:$E357)&lt;20,"",AVERAGE($E$338:$E$357))</f>
        <v>0</v>
      </c>
      <c r="AL357">
        <f>IF(COUNT($E$2:$E357)&lt;20,"",STDEVP($E$338:$E$357))</f>
        <v>0</v>
      </c>
      <c r="AM357">
        <f>IF(AK357="","",AK357+2*AL357)</f>
        <v>0</v>
      </c>
      <c r="AN357">
        <f>IF(AK357="","",AK357-2*AL357)</f>
        <v>0</v>
      </c>
      <c r="AO357">
        <f>IF(OR(AM357="",AN357="",AM357=AN357),"",($E357-AN357)/(AM357-AN357))</f>
        <v>0</v>
      </c>
      <c r="AP357">
        <f>IF(OR(AM357="",AK357="",AK357=0),"",(AM357-AN357)/AK357)</f>
        <v>0</v>
      </c>
      <c r="AQ357">
        <f>IF(COUNT($E$2:$E357)&lt;20,"",MAX($C$338:$C$357))</f>
        <v>0</v>
      </c>
      <c r="AR357">
        <f>IF(COUNT($E$2:$E357)&lt;20,"",MIN($D$338:$D$357))</f>
        <v>0</v>
      </c>
      <c r="AS357">
        <f>IF(OR(AQ357="",AR357=""),"",(AQ357+AR357)/2)</f>
        <v>0</v>
      </c>
      <c r="AT357">
        <f>IF(COUNT($G$338:$G$357)&lt;20,"",STDEV($G$338:$G$357)*SQRT(52))</f>
        <v>0</v>
      </c>
      <c r="AU357">
        <f>IF(COUNT($E$2:$E357)&lt;9,"",(MAX($C$349:$C$357)+MIN($D$349:$D$357))/2)</f>
        <v>0</v>
      </c>
      <c r="AV357">
        <f>IF(COUNT($E$2:$E357)&lt;26,"",(MAX($C$332:$C$357)+MIN($D$332:$D$357))/2)</f>
        <v>0</v>
      </c>
      <c r="AW357">
        <f>IF(OR(AU357="",AV357=""),"",(AU357+AV357)/2)</f>
        <v>0</v>
      </c>
      <c r="AX357">
        <f>IF(COUNT($E$2:$E357)&lt;52,"",(MAX($C$306:$C$357)+MIN($D$306:$D$357))/2)</f>
        <v>0</v>
      </c>
      <c r="AY357">
        <f>IF(COUNT($E$2:$E357)&lt;20,"",MAX($C$258:$C$357))</f>
        <v>0</v>
      </c>
      <c r="AZ357">
        <f>IF(COUNT($E$2:$E357)&lt;20,"",MIN($D$258:$D$357))</f>
        <v>0</v>
      </c>
      <c r="BA357">
        <f>IF(COUNT($E$2:$E357)&lt;20,"",SLOPE($E$258:$E$357,$F$258:$F$357))</f>
        <v>0</v>
      </c>
      <c r="BB357">
        <f>IF(COUNT($E$2:$E357)&lt;20,"",INTERCEPT($E$258:$E$357,$F$258:$F$357))</f>
        <v>0</v>
      </c>
      <c r="BC357">
        <f>IF(OR(BA357="",BB357=""),"",BB357+BA357*F357)</f>
        <v>0</v>
      </c>
      <c r="BD357">
        <f>IF(COUNT($E$2:$E357)&lt;20,"",STEYX($E$258:$E$357,$F$258:$F$357))</f>
        <v>0</v>
      </c>
      <c r="BE357">
        <f>IF($E357="","",IF(AND(COUNT($E$358:$E$361)&gt;=4,$C357=MAX($C$353:$C$361)),$C357,""))</f>
        <v>0</v>
      </c>
      <c r="BF357">
        <f>IF($E357="","",IF(AND(COUNT($E$358:$E$361)&gt;=4,$D357=MIN($D$353:$D$361)),$D357,""))</f>
        <v>0</v>
      </c>
      <c r="BG357">
        <f>IFERROR(SMALL(Calc_Daily!$BM$2:$BM$2001,356),"")</f>
        <v>0</v>
      </c>
    </row>
    <row r="358" spans="1:59">
      <c r="A358" s="27">
        <f>IF($BG358="","",INDEX(Calc_Daily!$A$2:$A$2001,$BG358))</f>
        <v>0</v>
      </c>
      <c r="B358">
        <f>IF($BG358="","",INDEX(Calc_Daily!$BJ$2:$BJ$2001,$BG358))</f>
        <v>0</v>
      </c>
      <c r="C358">
        <f>IF($BG358="","",INDEX(Calc_Daily!$BK$2:$BK$2001,$BG358))</f>
        <v>0</v>
      </c>
      <c r="D358">
        <f>IF($BG358="","",INDEX(Calc_Daily!$BL$2:$BL$2001,$BG358))</f>
        <v>0</v>
      </c>
      <c r="E358">
        <f>IF($BG358="","",INDEX(Calc_Daily!$E$2:$E$2001,$BG358))</f>
        <v>0</v>
      </c>
      <c r="F358">
        <f>IF($E358="","",N(F357)+1)</f>
        <v>0</v>
      </c>
      <c r="G358">
        <f>IF(OR($E358="",$E357=""),"",LN($E358/$E357))</f>
        <v>0</v>
      </c>
      <c r="H358">
        <f>IF($E358="","",IF($E357="",$E358,$E358*0.0952380952+H357*0.9047619048))</f>
        <v>0</v>
      </c>
      <c r="I358">
        <f>IF($E358="","",IF($E357="",$E358,$E358*0.0392156863+I357*0.9607843137))</f>
        <v>0</v>
      </c>
      <c r="J358">
        <f>IF($E358="","",IF($E357="",$E358,$E358*0.0198019802+J357*0.9801980198))</f>
        <v>0</v>
      </c>
      <c r="K358">
        <f>IF($E358="","",IF($E357="",$E358,$E358*0.0099502488+K357*0.9900497512))</f>
        <v>0</v>
      </c>
      <c r="L358">
        <f>IF(OR($E358="",$E357=""),"",MAX($E358-$E357,0))</f>
        <v>0</v>
      </c>
      <c r="M358">
        <f>IF(OR($E358="",$E357=""),"",MAX($E357-$E358,0))</f>
        <v>0</v>
      </c>
      <c r="N358">
        <f>IF(COUNT($E$2:$E358)&lt;15,"",IF(AVERAGE($M$345:$M$358)=0,100,100-100/(1+AVERAGE($L$345:$L$358)/AVERAGE($M$345:$M$358))))</f>
        <v>0</v>
      </c>
      <c r="O358">
        <f>IF($E358="","",IF($E357="",$E358,$E358*0.1538461538+O357*0.8461538462))</f>
        <v>0</v>
      </c>
      <c r="P358">
        <f>IF($E358="","",IF($E357="",$E358,$E358*0.0740740741+P357*0.9259259259))</f>
        <v>0</v>
      </c>
      <c r="Q358">
        <f>IF(OR(O358="",P358=""),"",O358-P358)</f>
        <v>0</v>
      </c>
      <c r="R358">
        <f>IF(Q358="","",IF(R357="",Q358,Q358*0.2000000000+R357*0.8000000000))</f>
        <v>0</v>
      </c>
      <c r="S358">
        <f>IF(OR(Q358="",R358=""),"",Q358-R358)</f>
        <v>0</v>
      </c>
      <c r="T358">
        <f>IF(COUNT($E$2:$E358)&lt;14,"",MAX($C$345:$C$358))</f>
        <v>0</v>
      </c>
      <c r="U358">
        <f>IF(COUNT($E$2:$E358)&lt;14,"",MIN($D$345:$D$358))</f>
        <v>0</v>
      </c>
      <c r="V358">
        <f>IF(OR(T358="",U358="",T358=U358),"",100*($E358-U358)/(T358-U358))</f>
        <v>0</v>
      </c>
      <c r="W358">
        <f>IF(COUNT($V$356:$V$358)&lt;3,"",AVERAGE($V$356:$V$358))</f>
        <v>0</v>
      </c>
      <c r="X358">
        <f>IF(COUNT($N$345:$N$358)&lt;14,"",MIN($N$345:$N$358))</f>
        <v>0</v>
      </c>
      <c r="Y358">
        <f>IF(COUNT($N$345:$N$358)&lt;14,"",MAX($N$345:$N$358))</f>
        <v>0</v>
      </c>
      <c r="Z358">
        <f>IF(OR(N358="",X358="",Y358="",Y358=X358),"",100*(N358-X358)/(Y358-X358))</f>
        <v>0</v>
      </c>
      <c r="AA358">
        <f>IF(COUNT($Z$356:$Z$358)&lt;3,"",AVERAGE($Z$356:$Z$358))</f>
        <v>0</v>
      </c>
      <c r="AB358">
        <f>IF(COUNT($AA$356:$AA$358)&lt;3,"",AVERAGE($AA$356:$AA$358))</f>
        <v>0</v>
      </c>
      <c r="AC358">
        <f>IF($E358="","",MAX($C358-$D358,ABS($C358-$E357),ABS($D358-$E357)))</f>
        <v>0</v>
      </c>
      <c r="AD358">
        <f>IF(COUNT($E$2:$E358)&lt;15,"",AVERAGE($AC$345:$AC$358))</f>
        <v>0</v>
      </c>
      <c r="AE358">
        <f>IF(OR($E358="",$E357=""),"",IF(AND(($C358-$C357)&gt;($D357-$D358),($C358-$C357)&gt;0),$C358-$C357,0))</f>
        <v>0</v>
      </c>
      <c r="AF358">
        <f>IF(OR($E358="",$E357=""),"",IF(AND(($D357-$D358)&gt;($C358-$C357),($D357-$D358)&gt;0),$D357-$D358,0))</f>
        <v>0</v>
      </c>
      <c r="AG358">
        <f>IF(COUNT($E$2:$E358)&lt;15,"",IF(SUM($AC$345:$AC$358)=0,0,100*SUM($AE$345:$AE$358)/SUM($AC$345:$AC$358)))</f>
        <v>0</v>
      </c>
      <c r="AH358">
        <f>IF(COUNT($E$2:$E358)&lt;15,"",IF(SUM($AC$345:$AC$358)=0,0,100*SUM($AF$345:$AF$358)/SUM($AC$345:$AC$358)))</f>
        <v>0</v>
      </c>
      <c r="AI358">
        <f>IF(OR(AG358="",AH358=""),"",IF((AG358+AH358)=0,0,100*ABS(AG358-AH358)/(AG358+AH358)))</f>
        <v>0</v>
      </c>
      <c r="AJ358">
        <f>IF(COUNT($AI$345:$AI$358)&lt;14,"",AVERAGE($AI$345:$AI$358))</f>
        <v>0</v>
      </c>
      <c r="AK358">
        <f>IF(COUNT($E$2:$E358)&lt;20,"",AVERAGE($E$339:$E$358))</f>
        <v>0</v>
      </c>
      <c r="AL358">
        <f>IF(COUNT($E$2:$E358)&lt;20,"",STDEVP($E$339:$E$358))</f>
        <v>0</v>
      </c>
      <c r="AM358">
        <f>IF(AK358="","",AK358+2*AL358)</f>
        <v>0</v>
      </c>
      <c r="AN358">
        <f>IF(AK358="","",AK358-2*AL358)</f>
        <v>0</v>
      </c>
      <c r="AO358">
        <f>IF(OR(AM358="",AN358="",AM358=AN358),"",($E358-AN358)/(AM358-AN358))</f>
        <v>0</v>
      </c>
      <c r="AP358">
        <f>IF(OR(AM358="",AK358="",AK358=0),"",(AM358-AN358)/AK358)</f>
        <v>0</v>
      </c>
      <c r="AQ358">
        <f>IF(COUNT($E$2:$E358)&lt;20,"",MAX($C$339:$C$358))</f>
        <v>0</v>
      </c>
      <c r="AR358">
        <f>IF(COUNT($E$2:$E358)&lt;20,"",MIN($D$339:$D$358))</f>
        <v>0</v>
      </c>
      <c r="AS358">
        <f>IF(OR(AQ358="",AR358=""),"",(AQ358+AR358)/2)</f>
        <v>0</v>
      </c>
      <c r="AT358">
        <f>IF(COUNT($G$339:$G$358)&lt;20,"",STDEV($G$339:$G$358)*SQRT(52))</f>
        <v>0</v>
      </c>
      <c r="AU358">
        <f>IF(COUNT($E$2:$E358)&lt;9,"",(MAX($C$350:$C$358)+MIN($D$350:$D$358))/2)</f>
        <v>0</v>
      </c>
      <c r="AV358">
        <f>IF(COUNT($E$2:$E358)&lt;26,"",(MAX($C$333:$C$358)+MIN($D$333:$D$358))/2)</f>
        <v>0</v>
      </c>
      <c r="AW358">
        <f>IF(OR(AU358="",AV358=""),"",(AU358+AV358)/2)</f>
        <v>0</v>
      </c>
      <c r="AX358">
        <f>IF(COUNT($E$2:$E358)&lt;52,"",(MAX($C$307:$C$358)+MIN($D$307:$D$358))/2)</f>
        <v>0</v>
      </c>
      <c r="AY358">
        <f>IF(COUNT($E$2:$E358)&lt;20,"",MAX($C$259:$C$358))</f>
        <v>0</v>
      </c>
      <c r="AZ358">
        <f>IF(COUNT($E$2:$E358)&lt;20,"",MIN($D$259:$D$358))</f>
        <v>0</v>
      </c>
      <c r="BA358">
        <f>IF(COUNT($E$2:$E358)&lt;20,"",SLOPE($E$259:$E$358,$F$259:$F$358))</f>
        <v>0</v>
      </c>
      <c r="BB358">
        <f>IF(COUNT($E$2:$E358)&lt;20,"",INTERCEPT($E$259:$E$358,$F$259:$F$358))</f>
        <v>0</v>
      </c>
      <c r="BC358">
        <f>IF(OR(BA358="",BB358=""),"",BB358+BA358*F358)</f>
        <v>0</v>
      </c>
      <c r="BD358">
        <f>IF(COUNT($E$2:$E358)&lt;20,"",STEYX($E$259:$E$358,$F$259:$F$358))</f>
        <v>0</v>
      </c>
      <c r="BE358">
        <f>IF($E358="","",IF(AND(COUNT($E$359:$E$362)&gt;=4,$C358=MAX($C$354:$C$362)),$C358,""))</f>
        <v>0</v>
      </c>
      <c r="BF358">
        <f>IF($E358="","",IF(AND(COUNT($E$359:$E$362)&gt;=4,$D358=MIN($D$354:$D$362)),$D358,""))</f>
        <v>0</v>
      </c>
      <c r="BG358">
        <f>IFERROR(SMALL(Calc_Daily!$BM$2:$BM$2001,357),"")</f>
        <v>0</v>
      </c>
    </row>
    <row r="359" spans="1:59">
      <c r="A359" s="27">
        <f>IF($BG359="","",INDEX(Calc_Daily!$A$2:$A$2001,$BG359))</f>
        <v>0</v>
      </c>
      <c r="B359">
        <f>IF($BG359="","",INDEX(Calc_Daily!$BJ$2:$BJ$2001,$BG359))</f>
        <v>0</v>
      </c>
      <c r="C359">
        <f>IF($BG359="","",INDEX(Calc_Daily!$BK$2:$BK$2001,$BG359))</f>
        <v>0</v>
      </c>
      <c r="D359">
        <f>IF($BG359="","",INDEX(Calc_Daily!$BL$2:$BL$2001,$BG359))</f>
        <v>0</v>
      </c>
      <c r="E359">
        <f>IF($BG359="","",INDEX(Calc_Daily!$E$2:$E$2001,$BG359))</f>
        <v>0</v>
      </c>
      <c r="F359">
        <f>IF($E359="","",N(F358)+1)</f>
        <v>0</v>
      </c>
      <c r="G359">
        <f>IF(OR($E359="",$E358=""),"",LN($E359/$E358))</f>
        <v>0</v>
      </c>
      <c r="H359">
        <f>IF($E359="","",IF($E358="",$E359,$E359*0.0952380952+H358*0.9047619048))</f>
        <v>0</v>
      </c>
      <c r="I359">
        <f>IF($E359="","",IF($E358="",$E359,$E359*0.0392156863+I358*0.9607843137))</f>
        <v>0</v>
      </c>
      <c r="J359">
        <f>IF($E359="","",IF($E358="",$E359,$E359*0.0198019802+J358*0.9801980198))</f>
        <v>0</v>
      </c>
      <c r="K359">
        <f>IF($E359="","",IF($E358="",$E359,$E359*0.0099502488+K358*0.9900497512))</f>
        <v>0</v>
      </c>
      <c r="L359">
        <f>IF(OR($E359="",$E358=""),"",MAX($E359-$E358,0))</f>
        <v>0</v>
      </c>
      <c r="M359">
        <f>IF(OR($E359="",$E358=""),"",MAX($E358-$E359,0))</f>
        <v>0</v>
      </c>
      <c r="N359">
        <f>IF(COUNT($E$2:$E359)&lt;15,"",IF(AVERAGE($M$346:$M$359)=0,100,100-100/(1+AVERAGE($L$346:$L$359)/AVERAGE($M$346:$M$359))))</f>
        <v>0</v>
      </c>
      <c r="O359">
        <f>IF($E359="","",IF($E358="",$E359,$E359*0.1538461538+O358*0.8461538462))</f>
        <v>0</v>
      </c>
      <c r="P359">
        <f>IF($E359="","",IF($E358="",$E359,$E359*0.0740740741+P358*0.9259259259))</f>
        <v>0</v>
      </c>
      <c r="Q359">
        <f>IF(OR(O359="",P359=""),"",O359-P359)</f>
        <v>0</v>
      </c>
      <c r="R359">
        <f>IF(Q359="","",IF(R358="",Q359,Q359*0.2000000000+R358*0.8000000000))</f>
        <v>0</v>
      </c>
      <c r="S359">
        <f>IF(OR(Q359="",R359=""),"",Q359-R359)</f>
        <v>0</v>
      </c>
      <c r="T359">
        <f>IF(COUNT($E$2:$E359)&lt;14,"",MAX($C$346:$C$359))</f>
        <v>0</v>
      </c>
      <c r="U359">
        <f>IF(COUNT($E$2:$E359)&lt;14,"",MIN($D$346:$D$359))</f>
        <v>0</v>
      </c>
      <c r="V359">
        <f>IF(OR(T359="",U359="",T359=U359),"",100*($E359-U359)/(T359-U359))</f>
        <v>0</v>
      </c>
      <c r="W359">
        <f>IF(COUNT($V$357:$V$359)&lt;3,"",AVERAGE($V$357:$V$359))</f>
        <v>0</v>
      </c>
      <c r="X359">
        <f>IF(COUNT($N$346:$N$359)&lt;14,"",MIN($N$346:$N$359))</f>
        <v>0</v>
      </c>
      <c r="Y359">
        <f>IF(COUNT($N$346:$N$359)&lt;14,"",MAX($N$346:$N$359))</f>
        <v>0</v>
      </c>
      <c r="Z359">
        <f>IF(OR(N359="",X359="",Y359="",Y359=X359),"",100*(N359-X359)/(Y359-X359))</f>
        <v>0</v>
      </c>
      <c r="AA359">
        <f>IF(COUNT($Z$357:$Z$359)&lt;3,"",AVERAGE($Z$357:$Z$359))</f>
        <v>0</v>
      </c>
      <c r="AB359">
        <f>IF(COUNT($AA$357:$AA$359)&lt;3,"",AVERAGE($AA$357:$AA$359))</f>
        <v>0</v>
      </c>
      <c r="AC359">
        <f>IF($E359="","",MAX($C359-$D359,ABS($C359-$E358),ABS($D359-$E358)))</f>
        <v>0</v>
      </c>
      <c r="AD359">
        <f>IF(COUNT($E$2:$E359)&lt;15,"",AVERAGE($AC$346:$AC$359))</f>
        <v>0</v>
      </c>
      <c r="AE359">
        <f>IF(OR($E359="",$E358=""),"",IF(AND(($C359-$C358)&gt;($D358-$D359),($C359-$C358)&gt;0),$C359-$C358,0))</f>
        <v>0</v>
      </c>
      <c r="AF359">
        <f>IF(OR($E359="",$E358=""),"",IF(AND(($D358-$D359)&gt;($C359-$C358),($D358-$D359)&gt;0),$D358-$D359,0))</f>
        <v>0</v>
      </c>
      <c r="AG359">
        <f>IF(COUNT($E$2:$E359)&lt;15,"",IF(SUM($AC$346:$AC$359)=0,0,100*SUM($AE$346:$AE$359)/SUM($AC$346:$AC$359)))</f>
        <v>0</v>
      </c>
      <c r="AH359">
        <f>IF(COUNT($E$2:$E359)&lt;15,"",IF(SUM($AC$346:$AC$359)=0,0,100*SUM($AF$346:$AF$359)/SUM($AC$346:$AC$359)))</f>
        <v>0</v>
      </c>
      <c r="AI359">
        <f>IF(OR(AG359="",AH359=""),"",IF((AG359+AH359)=0,0,100*ABS(AG359-AH359)/(AG359+AH359)))</f>
        <v>0</v>
      </c>
      <c r="AJ359">
        <f>IF(COUNT($AI$346:$AI$359)&lt;14,"",AVERAGE($AI$346:$AI$359))</f>
        <v>0</v>
      </c>
      <c r="AK359">
        <f>IF(COUNT($E$2:$E359)&lt;20,"",AVERAGE($E$340:$E$359))</f>
        <v>0</v>
      </c>
      <c r="AL359">
        <f>IF(COUNT($E$2:$E359)&lt;20,"",STDEVP($E$340:$E$359))</f>
        <v>0</v>
      </c>
      <c r="AM359">
        <f>IF(AK359="","",AK359+2*AL359)</f>
        <v>0</v>
      </c>
      <c r="AN359">
        <f>IF(AK359="","",AK359-2*AL359)</f>
        <v>0</v>
      </c>
      <c r="AO359">
        <f>IF(OR(AM359="",AN359="",AM359=AN359),"",($E359-AN359)/(AM359-AN359))</f>
        <v>0</v>
      </c>
      <c r="AP359">
        <f>IF(OR(AM359="",AK359="",AK359=0),"",(AM359-AN359)/AK359)</f>
        <v>0</v>
      </c>
      <c r="AQ359">
        <f>IF(COUNT($E$2:$E359)&lt;20,"",MAX($C$340:$C$359))</f>
        <v>0</v>
      </c>
      <c r="AR359">
        <f>IF(COUNT($E$2:$E359)&lt;20,"",MIN($D$340:$D$359))</f>
        <v>0</v>
      </c>
      <c r="AS359">
        <f>IF(OR(AQ359="",AR359=""),"",(AQ359+AR359)/2)</f>
        <v>0</v>
      </c>
      <c r="AT359">
        <f>IF(COUNT($G$340:$G$359)&lt;20,"",STDEV($G$340:$G$359)*SQRT(52))</f>
        <v>0</v>
      </c>
      <c r="AU359">
        <f>IF(COUNT($E$2:$E359)&lt;9,"",(MAX($C$351:$C$359)+MIN($D$351:$D$359))/2)</f>
        <v>0</v>
      </c>
      <c r="AV359">
        <f>IF(COUNT($E$2:$E359)&lt;26,"",(MAX($C$334:$C$359)+MIN($D$334:$D$359))/2)</f>
        <v>0</v>
      </c>
      <c r="AW359">
        <f>IF(OR(AU359="",AV359=""),"",(AU359+AV359)/2)</f>
        <v>0</v>
      </c>
      <c r="AX359">
        <f>IF(COUNT($E$2:$E359)&lt;52,"",(MAX($C$308:$C$359)+MIN($D$308:$D$359))/2)</f>
        <v>0</v>
      </c>
      <c r="AY359">
        <f>IF(COUNT($E$2:$E359)&lt;20,"",MAX($C$260:$C$359))</f>
        <v>0</v>
      </c>
      <c r="AZ359">
        <f>IF(COUNT($E$2:$E359)&lt;20,"",MIN($D$260:$D$359))</f>
        <v>0</v>
      </c>
      <c r="BA359">
        <f>IF(COUNT($E$2:$E359)&lt;20,"",SLOPE($E$260:$E$359,$F$260:$F$359))</f>
        <v>0</v>
      </c>
      <c r="BB359">
        <f>IF(COUNT($E$2:$E359)&lt;20,"",INTERCEPT($E$260:$E$359,$F$260:$F$359))</f>
        <v>0</v>
      </c>
      <c r="BC359">
        <f>IF(OR(BA359="",BB359=""),"",BB359+BA359*F359)</f>
        <v>0</v>
      </c>
      <c r="BD359">
        <f>IF(COUNT($E$2:$E359)&lt;20,"",STEYX($E$260:$E$359,$F$260:$F$359))</f>
        <v>0</v>
      </c>
      <c r="BE359">
        <f>IF($E359="","",IF(AND(COUNT($E$360:$E$363)&gt;=4,$C359=MAX($C$355:$C$363)),$C359,""))</f>
        <v>0</v>
      </c>
      <c r="BF359">
        <f>IF($E359="","",IF(AND(COUNT($E$360:$E$363)&gt;=4,$D359=MIN($D$355:$D$363)),$D359,""))</f>
        <v>0</v>
      </c>
      <c r="BG359">
        <f>IFERROR(SMALL(Calc_Daily!$BM$2:$BM$2001,358),"")</f>
        <v>0</v>
      </c>
    </row>
    <row r="360" spans="1:59">
      <c r="A360" s="27">
        <f>IF($BG360="","",INDEX(Calc_Daily!$A$2:$A$2001,$BG360))</f>
        <v>0</v>
      </c>
      <c r="B360">
        <f>IF($BG360="","",INDEX(Calc_Daily!$BJ$2:$BJ$2001,$BG360))</f>
        <v>0</v>
      </c>
      <c r="C360">
        <f>IF($BG360="","",INDEX(Calc_Daily!$BK$2:$BK$2001,$BG360))</f>
        <v>0</v>
      </c>
      <c r="D360">
        <f>IF($BG360="","",INDEX(Calc_Daily!$BL$2:$BL$2001,$BG360))</f>
        <v>0</v>
      </c>
      <c r="E360">
        <f>IF($BG360="","",INDEX(Calc_Daily!$E$2:$E$2001,$BG360))</f>
        <v>0</v>
      </c>
      <c r="F360">
        <f>IF($E360="","",N(F359)+1)</f>
        <v>0</v>
      </c>
      <c r="G360">
        <f>IF(OR($E360="",$E359=""),"",LN($E360/$E359))</f>
        <v>0</v>
      </c>
      <c r="H360">
        <f>IF($E360="","",IF($E359="",$E360,$E360*0.0952380952+H359*0.9047619048))</f>
        <v>0</v>
      </c>
      <c r="I360">
        <f>IF($E360="","",IF($E359="",$E360,$E360*0.0392156863+I359*0.9607843137))</f>
        <v>0</v>
      </c>
      <c r="J360">
        <f>IF($E360="","",IF($E359="",$E360,$E360*0.0198019802+J359*0.9801980198))</f>
        <v>0</v>
      </c>
      <c r="K360">
        <f>IF($E360="","",IF($E359="",$E360,$E360*0.0099502488+K359*0.9900497512))</f>
        <v>0</v>
      </c>
      <c r="L360">
        <f>IF(OR($E360="",$E359=""),"",MAX($E360-$E359,0))</f>
        <v>0</v>
      </c>
      <c r="M360">
        <f>IF(OR($E360="",$E359=""),"",MAX($E359-$E360,0))</f>
        <v>0</v>
      </c>
      <c r="N360">
        <f>IF(COUNT($E$2:$E360)&lt;15,"",IF(AVERAGE($M$347:$M$360)=0,100,100-100/(1+AVERAGE($L$347:$L$360)/AVERAGE($M$347:$M$360))))</f>
        <v>0</v>
      </c>
      <c r="O360">
        <f>IF($E360="","",IF($E359="",$E360,$E360*0.1538461538+O359*0.8461538462))</f>
        <v>0</v>
      </c>
      <c r="P360">
        <f>IF($E360="","",IF($E359="",$E360,$E360*0.0740740741+P359*0.9259259259))</f>
        <v>0</v>
      </c>
      <c r="Q360">
        <f>IF(OR(O360="",P360=""),"",O360-P360)</f>
        <v>0</v>
      </c>
      <c r="R360">
        <f>IF(Q360="","",IF(R359="",Q360,Q360*0.2000000000+R359*0.8000000000))</f>
        <v>0</v>
      </c>
      <c r="S360">
        <f>IF(OR(Q360="",R360=""),"",Q360-R360)</f>
        <v>0</v>
      </c>
      <c r="T360">
        <f>IF(COUNT($E$2:$E360)&lt;14,"",MAX($C$347:$C$360))</f>
        <v>0</v>
      </c>
      <c r="U360">
        <f>IF(COUNT($E$2:$E360)&lt;14,"",MIN($D$347:$D$360))</f>
        <v>0</v>
      </c>
      <c r="V360">
        <f>IF(OR(T360="",U360="",T360=U360),"",100*($E360-U360)/(T360-U360))</f>
        <v>0</v>
      </c>
      <c r="W360">
        <f>IF(COUNT($V$358:$V$360)&lt;3,"",AVERAGE($V$358:$V$360))</f>
        <v>0</v>
      </c>
      <c r="X360">
        <f>IF(COUNT($N$347:$N$360)&lt;14,"",MIN($N$347:$N$360))</f>
        <v>0</v>
      </c>
      <c r="Y360">
        <f>IF(COUNT($N$347:$N$360)&lt;14,"",MAX($N$347:$N$360))</f>
        <v>0</v>
      </c>
      <c r="Z360">
        <f>IF(OR(N360="",X360="",Y360="",Y360=X360),"",100*(N360-X360)/(Y360-X360))</f>
        <v>0</v>
      </c>
      <c r="AA360">
        <f>IF(COUNT($Z$358:$Z$360)&lt;3,"",AVERAGE($Z$358:$Z$360))</f>
        <v>0</v>
      </c>
      <c r="AB360">
        <f>IF(COUNT($AA$358:$AA$360)&lt;3,"",AVERAGE($AA$358:$AA$360))</f>
        <v>0</v>
      </c>
      <c r="AC360">
        <f>IF($E360="","",MAX($C360-$D360,ABS($C360-$E359),ABS($D360-$E359)))</f>
        <v>0</v>
      </c>
      <c r="AD360">
        <f>IF(COUNT($E$2:$E360)&lt;15,"",AVERAGE($AC$347:$AC$360))</f>
        <v>0</v>
      </c>
      <c r="AE360">
        <f>IF(OR($E360="",$E359=""),"",IF(AND(($C360-$C359)&gt;($D359-$D360),($C360-$C359)&gt;0),$C360-$C359,0))</f>
        <v>0</v>
      </c>
      <c r="AF360">
        <f>IF(OR($E360="",$E359=""),"",IF(AND(($D359-$D360)&gt;($C360-$C359),($D359-$D360)&gt;0),$D359-$D360,0))</f>
        <v>0</v>
      </c>
      <c r="AG360">
        <f>IF(COUNT($E$2:$E360)&lt;15,"",IF(SUM($AC$347:$AC$360)=0,0,100*SUM($AE$347:$AE$360)/SUM($AC$347:$AC$360)))</f>
        <v>0</v>
      </c>
      <c r="AH360">
        <f>IF(COUNT($E$2:$E360)&lt;15,"",IF(SUM($AC$347:$AC$360)=0,0,100*SUM($AF$347:$AF$360)/SUM($AC$347:$AC$360)))</f>
        <v>0</v>
      </c>
      <c r="AI360">
        <f>IF(OR(AG360="",AH360=""),"",IF((AG360+AH360)=0,0,100*ABS(AG360-AH360)/(AG360+AH360)))</f>
        <v>0</v>
      </c>
      <c r="AJ360">
        <f>IF(COUNT($AI$347:$AI$360)&lt;14,"",AVERAGE($AI$347:$AI$360))</f>
        <v>0</v>
      </c>
      <c r="AK360">
        <f>IF(COUNT($E$2:$E360)&lt;20,"",AVERAGE($E$341:$E$360))</f>
        <v>0</v>
      </c>
      <c r="AL360">
        <f>IF(COUNT($E$2:$E360)&lt;20,"",STDEVP($E$341:$E$360))</f>
        <v>0</v>
      </c>
      <c r="AM360">
        <f>IF(AK360="","",AK360+2*AL360)</f>
        <v>0</v>
      </c>
      <c r="AN360">
        <f>IF(AK360="","",AK360-2*AL360)</f>
        <v>0</v>
      </c>
      <c r="AO360">
        <f>IF(OR(AM360="",AN360="",AM360=AN360),"",($E360-AN360)/(AM360-AN360))</f>
        <v>0</v>
      </c>
      <c r="AP360">
        <f>IF(OR(AM360="",AK360="",AK360=0),"",(AM360-AN360)/AK360)</f>
        <v>0</v>
      </c>
      <c r="AQ360">
        <f>IF(COUNT($E$2:$E360)&lt;20,"",MAX($C$341:$C$360))</f>
        <v>0</v>
      </c>
      <c r="AR360">
        <f>IF(COUNT($E$2:$E360)&lt;20,"",MIN($D$341:$D$360))</f>
        <v>0</v>
      </c>
      <c r="AS360">
        <f>IF(OR(AQ360="",AR360=""),"",(AQ360+AR360)/2)</f>
        <v>0</v>
      </c>
      <c r="AT360">
        <f>IF(COUNT($G$341:$G$360)&lt;20,"",STDEV($G$341:$G$360)*SQRT(52))</f>
        <v>0</v>
      </c>
      <c r="AU360">
        <f>IF(COUNT($E$2:$E360)&lt;9,"",(MAX($C$352:$C$360)+MIN($D$352:$D$360))/2)</f>
        <v>0</v>
      </c>
      <c r="AV360">
        <f>IF(COUNT($E$2:$E360)&lt;26,"",(MAX($C$335:$C$360)+MIN($D$335:$D$360))/2)</f>
        <v>0</v>
      </c>
      <c r="AW360">
        <f>IF(OR(AU360="",AV360=""),"",(AU360+AV360)/2)</f>
        <v>0</v>
      </c>
      <c r="AX360">
        <f>IF(COUNT($E$2:$E360)&lt;52,"",(MAX($C$309:$C$360)+MIN($D$309:$D$360))/2)</f>
        <v>0</v>
      </c>
      <c r="AY360">
        <f>IF(COUNT($E$2:$E360)&lt;20,"",MAX($C$261:$C$360))</f>
        <v>0</v>
      </c>
      <c r="AZ360">
        <f>IF(COUNT($E$2:$E360)&lt;20,"",MIN($D$261:$D$360))</f>
        <v>0</v>
      </c>
      <c r="BA360">
        <f>IF(COUNT($E$2:$E360)&lt;20,"",SLOPE($E$261:$E$360,$F$261:$F$360))</f>
        <v>0</v>
      </c>
      <c r="BB360">
        <f>IF(COUNT($E$2:$E360)&lt;20,"",INTERCEPT($E$261:$E$360,$F$261:$F$360))</f>
        <v>0</v>
      </c>
      <c r="BC360">
        <f>IF(OR(BA360="",BB360=""),"",BB360+BA360*F360)</f>
        <v>0</v>
      </c>
      <c r="BD360">
        <f>IF(COUNT($E$2:$E360)&lt;20,"",STEYX($E$261:$E$360,$F$261:$F$360))</f>
        <v>0</v>
      </c>
      <c r="BE360">
        <f>IF($E360="","",IF(AND(COUNT($E$361:$E$364)&gt;=4,$C360=MAX($C$356:$C$364)),$C360,""))</f>
        <v>0</v>
      </c>
      <c r="BF360">
        <f>IF($E360="","",IF(AND(COUNT($E$361:$E$364)&gt;=4,$D360=MIN($D$356:$D$364)),$D360,""))</f>
        <v>0</v>
      </c>
      <c r="BG360">
        <f>IFERROR(SMALL(Calc_Daily!$BM$2:$BM$2001,359),"")</f>
        <v>0</v>
      </c>
    </row>
    <row r="361" spans="1:59">
      <c r="A361" s="27">
        <f>IF($BG361="","",INDEX(Calc_Daily!$A$2:$A$2001,$BG361))</f>
        <v>0</v>
      </c>
      <c r="B361">
        <f>IF($BG361="","",INDEX(Calc_Daily!$BJ$2:$BJ$2001,$BG361))</f>
        <v>0</v>
      </c>
      <c r="C361">
        <f>IF($BG361="","",INDEX(Calc_Daily!$BK$2:$BK$2001,$BG361))</f>
        <v>0</v>
      </c>
      <c r="D361">
        <f>IF($BG361="","",INDEX(Calc_Daily!$BL$2:$BL$2001,$BG361))</f>
        <v>0</v>
      </c>
      <c r="E361">
        <f>IF($BG361="","",INDEX(Calc_Daily!$E$2:$E$2001,$BG361))</f>
        <v>0</v>
      </c>
      <c r="F361">
        <f>IF($E361="","",N(F360)+1)</f>
        <v>0</v>
      </c>
      <c r="G361">
        <f>IF(OR($E361="",$E360=""),"",LN($E361/$E360))</f>
        <v>0</v>
      </c>
      <c r="H361">
        <f>IF($E361="","",IF($E360="",$E361,$E361*0.0952380952+H360*0.9047619048))</f>
        <v>0</v>
      </c>
      <c r="I361">
        <f>IF($E361="","",IF($E360="",$E361,$E361*0.0392156863+I360*0.9607843137))</f>
        <v>0</v>
      </c>
      <c r="J361">
        <f>IF($E361="","",IF($E360="",$E361,$E361*0.0198019802+J360*0.9801980198))</f>
        <v>0</v>
      </c>
      <c r="K361">
        <f>IF($E361="","",IF($E360="",$E361,$E361*0.0099502488+K360*0.9900497512))</f>
        <v>0</v>
      </c>
      <c r="L361">
        <f>IF(OR($E361="",$E360=""),"",MAX($E361-$E360,0))</f>
        <v>0</v>
      </c>
      <c r="M361">
        <f>IF(OR($E361="",$E360=""),"",MAX($E360-$E361,0))</f>
        <v>0</v>
      </c>
      <c r="N361">
        <f>IF(COUNT($E$2:$E361)&lt;15,"",IF(AVERAGE($M$348:$M$361)=0,100,100-100/(1+AVERAGE($L$348:$L$361)/AVERAGE($M$348:$M$361))))</f>
        <v>0</v>
      </c>
      <c r="O361">
        <f>IF($E361="","",IF($E360="",$E361,$E361*0.1538461538+O360*0.8461538462))</f>
        <v>0</v>
      </c>
      <c r="P361">
        <f>IF($E361="","",IF($E360="",$E361,$E361*0.0740740741+P360*0.9259259259))</f>
        <v>0</v>
      </c>
      <c r="Q361">
        <f>IF(OR(O361="",P361=""),"",O361-P361)</f>
        <v>0</v>
      </c>
      <c r="R361">
        <f>IF(Q361="","",IF(R360="",Q361,Q361*0.2000000000+R360*0.8000000000))</f>
        <v>0</v>
      </c>
      <c r="S361">
        <f>IF(OR(Q361="",R361=""),"",Q361-R361)</f>
        <v>0</v>
      </c>
      <c r="T361">
        <f>IF(COUNT($E$2:$E361)&lt;14,"",MAX($C$348:$C$361))</f>
        <v>0</v>
      </c>
      <c r="U361">
        <f>IF(COUNT($E$2:$E361)&lt;14,"",MIN($D$348:$D$361))</f>
        <v>0</v>
      </c>
      <c r="V361">
        <f>IF(OR(T361="",U361="",T361=U361),"",100*($E361-U361)/(T361-U361))</f>
        <v>0</v>
      </c>
      <c r="W361">
        <f>IF(COUNT($V$359:$V$361)&lt;3,"",AVERAGE($V$359:$V$361))</f>
        <v>0</v>
      </c>
      <c r="X361">
        <f>IF(COUNT($N$348:$N$361)&lt;14,"",MIN($N$348:$N$361))</f>
        <v>0</v>
      </c>
      <c r="Y361">
        <f>IF(COUNT($N$348:$N$361)&lt;14,"",MAX($N$348:$N$361))</f>
        <v>0</v>
      </c>
      <c r="Z361">
        <f>IF(OR(N361="",X361="",Y361="",Y361=X361),"",100*(N361-X361)/(Y361-X361))</f>
        <v>0</v>
      </c>
      <c r="AA361">
        <f>IF(COUNT($Z$359:$Z$361)&lt;3,"",AVERAGE($Z$359:$Z$361))</f>
        <v>0</v>
      </c>
      <c r="AB361">
        <f>IF(COUNT($AA$359:$AA$361)&lt;3,"",AVERAGE($AA$359:$AA$361))</f>
        <v>0</v>
      </c>
      <c r="AC361">
        <f>IF($E361="","",MAX($C361-$D361,ABS($C361-$E360),ABS($D361-$E360)))</f>
        <v>0</v>
      </c>
      <c r="AD361">
        <f>IF(COUNT($E$2:$E361)&lt;15,"",AVERAGE($AC$348:$AC$361))</f>
        <v>0</v>
      </c>
      <c r="AE361">
        <f>IF(OR($E361="",$E360=""),"",IF(AND(($C361-$C360)&gt;($D360-$D361),($C361-$C360)&gt;0),$C361-$C360,0))</f>
        <v>0</v>
      </c>
      <c r="AF361">
        <f>IF(OR($E361="",$E360=""),"",IF(AND(($D360-$D361)&gt;($C361-$C360),($D360-$D361)&gt;0),$D360-$D361,0))</f>
        <v>0</v>
      </c>
      <c r="AG361">
        <f>IF(COUNT($E$2:$E361)&lt;15,"",IF(SUM($AC$348:$AC$361)=0,0,100*SUM($AE$348:$AE$361)/SUM($AC$348:$AC$361)))</f>
        <v>0</v>
      </c>
      <c r="AH361">
        <f>IF(COUNT($E$2:$E361)&lt;15,"",IF(SUM($AC$348:$AC$361)=0,0,100*SUM($AF$348:$AF$361)/SUM($AC$348:$AC$361)))</f>
        <v>0</v>
      </c>
      <c r="AI361">
        <f>IF(OR(AG361="",AH361=""),"",IF((AG361+AH361)=0,0,100*ABS(AG361-AH361)/(AG361+AH361)))</f>
        <v>0</v>
      </c>
      <c r="AJ361">
        <f>IF(COUNT($AI$348:$AI$361)&lt;14,"",AVERAGE($AI$348:$AI$361))</f>
        <v>0</v>
      </c>
      <c r="AK361">
        <f>IF(COUNT($E$2:$E361)&lt;20,"",AVERAGE($E$342:$E$361))</f>
        <v>0</v>
      </c>
      <c r="AL361">
        <f>IF(COUNT($E$2:$E361)&lt;20,"",STDEVP($E$342:$E$361))</f>
        <v>0</v>
      </c>
      <c r="AM361">
        <f>IF(AK361="","",AK361+2*AL361)</f>
        <v>0</v>
      </c>
      <c r="AN361">
        <f>IF(AK361="","",AK361-2*AL361)</f>
        <v>0</v>
      </c>
      <c r="AO361">
        <f>IF(OR(AM361="",AN361="",AM361=AN361),"",($E361-AN361)/(AM361-AN361))</f>
        <v>0</v>
      </c>
      <c r="AP361">
        <f>IF(OR(AM361="",AK361="",AK361=0),"",(AM361-AN361)/AK361)</f>
        <v>0</v>
      </c>
      <c r="AQ361">
        <f>IF(COUNT($E$2:$E361)&lt;20,"",MAX($C$342:$C$361))</f>
        <v>0</v>
      </c>
      <c r="AR361">
        <f>IF(COUNT($E$2:$E361)&lt;20,"",MIN($D$342:$D$361))</f>
        <v>0</v>
      </c>
      <c r="AS361">
        <f>IF(OR(AQ361="",AR361=""),"",(AQ361+AR361)/2)</f>
        <v>0</v>
      </c>
      <c r="AT361">
        <f>IF(COUNT($G$342:$G$361)&lt;20,"",STDEV($G$342:$G$361)*SQRT(52))</f>
        <v>0</v>
      </c>
      <c r="AU361">
        <f>IF(COUNT($E$2:$E361)&lt;9,"",(MAX($C$353:$C$361)+MIN($D$353:$D$361))/2)</f>
        <v>0</v>
      </c>
      <c r="AV361">
        <f>IF(COUNT($E$2:$E361)&lt;26,"",(MAX($C$336:$C$361)+MIN($D$336:$D$361))/2)</f>
        <v>0</v>
      </c>
      <c r="AW361">
        <f>IF(OR(AU361="",AV361=""),"",(AU361+AV361)/2)</f>
        <v>0</v>
      </c>
      <c r="AX361">
        <f>IF(COUNT($E$2:$E361)&lt;52,"",(MAX($C$310:$C$361)+MIN($D$310:$D$361))/2)</f>
        <v>0</v>
      </c>
      <c r="AY361">
        <f>IF(COUNT($E$2:$E361)&lt;20,"",MAX($C$262:$C$361))</f>
        <v>0</v>
      </c>
      <c r="AZ361">
        <f>IF(COUNT($E$2:$E361)&lt;20,"",MIN($D$262:$D$361))</f>
        <v>0</v>
      </c>
      <c r="BA361">
        <f>IF(COUNT($E$2:$E361)&lt;20,"",SLOPE($E$262:$E$361,$F$262:$F$361))</f>
        <v>0</v>
      </c>
      <c r="BB361">
        <f>IF(COUNT($E$2:$E361)&lt;20,"",INTERCEPT($E$262:$E$361,$F$262:$F$361))</f>
        <v>0</v>
      </c>
      <c r="BC361">
        <f>IF(OR(BA361="",BB361=""),"",BB361+BA361*F361)</f>
        <v>0</v>
      </c>
      <c r="BD361">
        <f>IF(COUNT($E$2:$E361)&lt;20,"",STEYX($E$262:$E$361,$F$262:$F$361))</f>
        <v>0</v>
      </c>
      <c r="BE361">
        <f>IF($E361="","",IF(AND(COUNT($E$362:$E$365)&gt;=4,$C361=MAX($C$357:$C$365)),$C361,""))</f>
        <v>0</v>
      </c>
      <c r="BF361">
        <f>IF($E361="","",IF(AND(COUNT($E$362:$E$365)&gt;=4,$D361=MIN($D$357:$D$365)),$D361,""))</f>
        <v>0</v>
      </c>
      <c r="BG361">
        <f>IFERROR(SMALL(Calc_Daily!$BM$2:$BM$2001,360),"")</f>
        <v>0</v>
      </c>
    </row>
    <row r="362" spans="1:59">
      <c r="A362" s="27">
        <f>IF($BG362="","",INDEX(Calc_Daily!$A$2:$A$2001,$BG362))</f>
        <v>0</v>
      </c>
      <c r="B362">
        <f>IF($BG362="","",INDEX(Calc_Daily!$BJ$2:$BJ$2001,$BG362))</f>
        <v>0</v>
      </c>
      <c r="C362">
        <f>IF($BG362="","",INDEX(Calc_Daily!$BK$2:$BK$2001,$BG362))</f>
        <v>0</v>
      </c>
      <c r="D362">
        <f>IF($BG362="","",INDEX(Calc_Daily!$BL$2:$BL$2001,$BG362))</f>
        <v>0</v>
      </c>
      <c r="E362">
        <f>IF($BG362="","",INDEX(Calc_Daily!$E$2:$E$2001,$BG362))</f>
        <v>0</v>
      </c>
      <c r="F362">
        <f>IF($E362="","",N(F361)+1)</f>
        <v>0</v>
      </c>
      <c r="G362">
        <f>IF(OR($E362="",$E361=""),"",LN($E362/$E361))</f>
        <v>0</v>
      </c>
      <c r="H362">
        <f>IF($E362="","",IF($E361="",$E362,$E362*0.0952380952+H361*0.9047619048))</f>
        <v>0</v>
      </c>
      <c r="I362">
        <f>IF($E362="","",IF($E361="",$E362,$E362*0.0392156863+I361*0.9607843137))</f>
        <v>0</v>
      </c>
      <c r="J362">
        <f>IF($E362="","",IF($E361="",$E362,$E362*0.0198019802+J361*0.9801980198))</f>
        <v>0</v>
      </c>
      <c r="K362">
        <f>IF($E362="","",IF($E361="",$E362,$E362*0.0099502488+K361*0.9900497512))</f>
        <v>0</v>
      </c>
      <c r="L362">
        <f>IF(OR($E362="",$E361=""),"",MAX($E362-$E361,0))</f>
        <v>0</v>
      </c>
      <c r="M362">
        <f>IF(OR($E362="",$E361=""),"",MAX($E361-$E362,0))</f>
        <v>0</v>
      </c>
      <c r="N362">
        <f>IF(COUNT($E$2:$E362)&lt;15,"",IF(AVERAGE($M$349:$M$362)=0,100,100-100/(1+AVERAGE($L$349:$L$362)/AVERAGE($M$349:$M$362))))</f>
        <v>0</v>
      </c>
      <c r="O362">
        <f>IF($E362="","",IF($E361="",$E362,$E362*0.1538461538+O361*0.8461538462))</f>
        <v>0</v>
      </c>
      <c r="P362">
        <f>IF($E362="","",IF($E361="",$E362,$E362*0.0740740741+P361*0.9259259259))</f>
        <v>0</v>
      </c>
      <c r="Q362">
        <f>IF(OR(O362="",P362=""),"",O362-P362)</f>
        <v>0</v>
      </c>
      <c r="R362">
        <f>IF(Q362="","",IF(R361="",Q362,Q362*0.2000000000+R361*0.8000000000))</f>
        <v>0</v>
      </c>
      <c r="S362">
        <f>IF(OR(Q362="",R362=""),"",Q362-R362)</f>
        <v>0</v>
      </c>
      <c r="T362">
        <f>IF(COUNT($E$2:$E362)&lt;14,"",MAX($C$349:$C$362))</f>
        <v>0</v>
      </c>
      <c r="U362">
        <f>IF(COUNT($E$2:$E362)&lt;14,"",MIN($D$349:$D$362))</f>
        <v>0</v>
      </c>
      <c r="V362">
        <f>IF(OR(T362="",U362="",T362=U362),"",100*($E362-U362)/(T362-U362))</f>
        <v>0</v>
      </c>
      <c r="W362">
        <f>IF(COUNT($V$360:$V$362)&lt;3,"",AVERAGE($V$360:$V$362))</f>
        <v>0</v>
      </c>
      <c r="X362">
        <f>IF(COUNT($N$349:$N$362)&lt;14,"",MIN($N$349:$N$362))</f>
        <v>0</v>
      </c>
      <c r="Y362">
        <f>IF(COUNT($N$349:$N$362)&lt;14,"",MAX($N$349:$N$362))</f>
        <v>0</v>
      </c>
      <c r="Z362">
        <f>IF(OR(N362="",X362="",Y362="",Y362=X362),"",100*(N362-X362)/(Y362-X362))</f>
        <v>0</v>
      </c>
      <c r="AA362">
        <f>IF(COUNT($Z$360:$Z$362)&lt;3,"",AVERAGE($Z$360:$Z$362))</f>
        <v>0</v>
      </c>
      <c r="AB362">
        <f>IF(COUNT($AA$360:$AA$362)&lt;3,"",AVERAGE($AA$360:$AA$362))</f>
        <v>0</v>
      </c>
      <c r="AC362">
        <f>IF($E362="","",MAX($C362-$D362,ABS($C362-$E361),ABS($D362-$E361)))</f>
        <v>0</v>
      </c>
      <c r="AD362">
        <f>IF(COUNT($E$2:$E362)&lt;15,"",AVERAGE($AC$349:$AC$362))</f>
        <v>0</v>
      </c>
      <c r="AE362">
        <f>IF(OR($E362="",$E361=""),"",IF(AND(($C362-$C361)&gt;($D361-$D362),($C362-$C361)&gt;0),$C362-$C361,0))</f>
        <v>0</v>
      </c>
      <c r="AF362">
        <f>IF(OR($E362="",$E361=""),"",IF(AND(($D361-$D362)&gt;($C362-$C361),($D361-$D362)&gt;0),$D361-$D362,0))</f>
        <v>0</v>
      </c>
      <c r="AG362">
        <f>IF(COUNT($E$2:$E362)&lt;15,"",IF(SUM($AC$349:$AC$362)=0,0,100*SUM($AE$349:$AE$362)/SUM($AC$349:$AC$362)))</f>
        <v>0</v>
      </c>
      <c r="AH362">
        <f>IF(COUNT($E$2:$E362)&lt;15,"",IF(SUM($AC$349:$AC$362)=0,0,100*SUM($AF$349:$AF$362)/SUM($AC$349:$AC$362)))</f>
        <v>0</v>
      </c>
      <c r="AI362">
        <f>IF(OR(AG362="",AH362=""),"",IF((AG362+AH362)=0,0,100*ABS(AG362-AH362)/(AG362+AH362)))</f>
        <v>0</v>
      </c>
      <c r="AJ362">
        <f>IF(COUNT($AI$349:$AI$362)&lt;14,"",AVERAGE($AI$349:$AI$362))</f>
        <v>0</v>
      </c>
      <c r="AK362">
        <f>IF(COUNT($E$2:$E362)&lt;20,"",AVERAGE($E$343:$E$362))</f>
        <v>0</v>
      </c>
      <c r="AL362">
        <f>IF(COUNT($E$2:$E362)&lt;20,"",STDEVP($E$343:$E$362))</f>
        <v>0</v>
      </c>
      <c r="AM362">
        <f>IF(AK362="","",AK362+2*AL362)</f>
        <v>0</v>
      </c>
      <c r="AN362">
        <f>IF(AK362="","",AK362-2*AL362)</f>
        <v>0</v>
      </c>
      <c r="AO362">
        <f>IF(OR(AM362="",AN362="",AM362=AN362),"",($E362-AN362)/(AM362-AN362))</f>
        <v>0</v>
      </c>
      <c r="AP362">
        <f>IF(OR(AM362="",AK362="",AK362=0),"",(AM362-AN362)/AK362)</f>
        <v>0</v>
      </c>
      <c r="AQ362">
        <f>IF(COUNT($E$2:$E362)&lt;20,"",MAX($C$343:$C$362))</f>
        <v>0</v>
      </c>
      <c r="AR362">
        <f>IF(COUNT($E$2:$E362)&lt;20,"",MIN($D$343:$D$362))</f>
        <v>0</v>
      </c>
      <c r="AS362">
        <f>IF(OR(AQ362="",AR362=""),"",(AQ362+AR362)/2)</f>
        <v>0</v>
      </c>
      <c r="AT362">
        <f>IF(COUNT($G$343:$G$362)&lt;20,"",STDEV($G$343:$G$362)*SQRT(52))</f>
        <v>0</v>
      </c>
      <c r="AU362">
        <f>IF(COUNT($E$2:$E362)&lt;9,"",(MAX($C$354:$C$362)+MIN($D$354:$D$362))/2)</f>
        <v>0</v>
      </c>
      <c r="AV362">
        <f>IF(COUNT($E$2:$E362)&lt;26,"",(MAX($C$337:$C$362)+MIN($D$337:$D$362))/2)</f>
        <v>0</v>
      </c>
      <c r="AW362">
        <f>IF(OR(AU362="",AV362=""),"",(AU362+AV362)/2)</f>
        <v>0</v>
      </c>
      <c r="AX362">
        <f>IF(COUNT($E$2:$E362)&lt;52,"",(MAX($C$311:$C$362)+MIN($D$311:$D$362))/2)</f>
        <v>0</v>
      </c>
      <c r="AY362">
        <f>IF(COUNT($E$2:$E362)&lt;20,"",MAX($C$263:$C$362))</f>
        <v>0</v>
      </c>
      <c r="AZ362">
        <f>IF(COUNT($E$2:$E362)&lt;20,"",MIN($D$263:$D$362))</f>
        <v>0</v>
      </c>
      <c r="BA362">
        <f>IF(COUNT($E$2:$E362)&lt;20,"",SLOPE($E$263:$E$362,$F$263:$F$362))</f>
        <v>0</v>
      </c>
      <c r="BB362">
        <f>IF(COUNT($E$2:$E362)&lt;20,"",INTERCEPT($E$263:$E$362,$F$263:$F$362))</f>
        <v>0</v>
      </c>
      <c r="BC362">
        <f>IF(OR(BA362="",BB362=""),"",BB362+BA362*F362)</f>
        <v>0</v>
      </c>
      <c r="BD362">
        <f>IF(COUNT($E$2:$E362)&lt;20,"",STEYX($E$263:$E$362,$F$263:$F$362))</f>
        <v>0</v>
      </c>
      <c r="BE362">
        <f>IF($E362="","",IF(AND(COUNT($E$363:$E$366)&gt;=4,$C362=MAX($C$358:$C$366)),$C362,""))</f>
        <v>0</v>
      </c>
      <c r="BF362">
        <f>IF($E362="","",IF(AND(COUNT($E$363:$E$366)&gt;=4,$D362=MIN($D$358:$D$366)),$D362,""))</f>
        <v>0</v>
      </c>
      <c r="BG362">
        <f>IFERROR(SMALL(Calc_Daily!$BM$2:$BM$2001,361),"")</f>
        <v>0</v>
      </c>
    </row>
    <row r="363" spans="1:59">
      <c r="A363" s="27">
        <f>IF($BG363="","",INDEX(Calc_Daily!$A$2:$A$2001,$BG363))</f>
        <v>0</v>
      </c>
      <c r="B363">
        <f>IF($BG363="","",INDEX(Calc_Daily!$BJ$2:$BJ$2001,$BG363))</f>
        <v>0</v>
      </c>
      <c r="C363">
        <f>IF($BG363="","",INDEX(Calc_Daily!$BK$2:$BK$2001,$BG363))</f>
        <v>0</v>
      </c>
      <c r="D363">
        <f>IF($BG363="","",INDEX(Calc_Daily!$BL$2:$BL$2001,$BG363))</f>
        <v>0</v>
      </c>
      <c r="E363">
        <f>IF($BG363="","",INDEX(Calc_Daily!$E$2:$E$2001,$BG363))</f>
        <v>0</v>
      </c>
      <c r="F363">
        <f>IF($E363="","",N(F362)+1)</f>
        <v>0</v>
      </c>
      <c r="G363">
        <f>IF(OR($E363="",$E362=""),"",LN($E363/$E362))</f>
        <v>0</v>
      </c>
      <c r="H363">
        <f>IF($E363="","",IF($E362="",$E363,$E363*0.0952380952+H362*0.9047619048))</f>
        <v>0</v>
      </c>
      <c r="I363">
        <f>IF($E363="","",IF($E362="",$E363,$E363*0.0392156863+I362*0.9607843137))</f>
        <v>0</v>
      </c>
      <c r="J363">
        <f>IF($E363="","",IF($E362="",$E363,$E363*0.0198019802+J362*0.9801980198))</f>
        <v>0</v>
      </c>
      <c r="K363">
        <f>IF($E363="","",IF($E362="",$E363,$E363*0.0099502488+K362*0.9900497512))</f>
        <v>0</v>
      </c>
      <c r="L363">
        <f>IF(OR($E363="",$E362=""),"",MAX($E363-$E362,0))</f>
        <v>0</v>
      </c>
      <c r="M363">
        <f>IF(OR($E363="",$E362=""),"",MAX($E362-$E363,0))</f>
        <v>0</v>
      </c>
      <c r="N363">
        <f>IF(COUNT($E$2:$E363)&lt;15,"",IF(AVERAGE($M$350:$M$363)=0,100,100-100/(1+AVERAGE($L$350:$L$363)/AVERAGE($M$350:$M$363))))</f>
        <v>0</v>
      </c>
      <c r="O363">
        <f>IF($E363="","",IF($E362="",$E363,$E363*0.1538461538+O362*0.8461538462))</f>
        <v>0</v>
      </c>
      <c r="P363">
        <f>IF($E363="","",IF($E362="",$E363,$E363*0.0740740741+P362*0.9259259259))</f>
        <v>0</v>
      </c>
      <c r="Q363">
        <f>IF(OR(O363="",P363=""),"",O363-P363)</f>
        <v>0</v>
      </c>
      <c r="R363">
        <f>IF(Q363="","",IF(R362="",Q363,Q363*0.2000000000+R362*0.8000000000))</f>
        <v>0</v>
      </c>
      <c r="S363">
        <f>IF(OR(Q363="",R363=""),"",Q363-R363)</f>
        <v>0</v>
      </c>
      <c r="T363">
        <f>IF(COUNT($E$2:$E363)&lt;14,"",MAX($C$350:$C$363))</f>
        <v>0</v>
      </c>
      <c r="U363">
        <f>IF(COUNT($E$2:$E363)&lt;14,"",MIN($D$350:$D$363))</f>
        <v>0</v>
      </c>
      <c r="V363">
        <f>IF(OR(T363="",U363="",T363=U363),"",100*($E363-U363)/(T363-U363))</f>
        <v>0</v>
      </c>
      <c r="W363">
        <f>IF(COUNT($V$361:$V$363)&lt;3,"",AVERAGE($V$361:$V$363))</f>
        <v>0</v>
      </c>
      <c r="X363">
        <f>IF(COUNT($N$350:$N$363)&lt;14,"",MIN($N$350:$N$363))</f>
        <v>0</v>
      </c>
      <c r="Y363">
        <f>IF(COUNT($N$350:$N$363)&lt;14,"",MAX($N$350:$N$363))</f>
        <v>0</v>
      </c>
      <c r="Z363">
        <f>IF(OR(N363="",X363="",Y363="",Y363=X363),"",100*(N363-X363)/(Y363-X363))</f>
        <v>0</v>
      </c>
      <c r="AA363">
        <f>IF(COUNT($Z$361:$Z$363)&lt;3,"",AVERAGE($Z$361:$Z$363))</f>
        <v>0</v>
      </c>
      <c r="AB363">
        <f>IF(COUNT($AA$361:$AA$363)&lt;3,"",AVERAGE($AA$361:$AA$363))</f>
        <v>0</v>
      </c>
      <c r="AC363">
        <f>IF($E363="","",MAX($C363-$D363,ABS($C363-$E362),ABS($D363-$E362)))</f>
        <v>0</v>
      </c>
      <c r="AD363">
        <f>IF(COUNT($E$2:$E363)&lt;15,"",AVERAGE($AC$350:$AC$363))</f>
        <v>0</v>
      </c>
      <c r="AE363">
        <f>IF(OR($E363="",$E362=""),"",IF(AND(($C363-$C362)&gt;($D362-$D363),($C363-$C362)&gt;0),$C363-$C362,0))</f>
        <v>0</v>
      </c>
      <c r="AF363">
        <f>IF(OR($E363="",$E362=""),"",IF(AND(($D362-$D363)&gt;($C363-$C362),($D362-$D363)&gt;0),$D362-$D363,0))</f>
        <v>0</v>
      </c>
      <c r="AG363">
        <f>IF(COUNT($E$2:$E363)&lt;15,"",IF(SUM($AC$350:$AC$363)=0,0,100*SUM($AE$350:$AE$363)/SUM($AC$350:$AC$363)))</f>
        <v>0</v>
      </c>
      <c r="AH363">
        <f>IF(COUNT($E$2:$E363)&lt;15,"",IF(SUM($AC$350:$AC$363)=0,0,100*SUM($AF$350:$AF$363)/SUM($AC$350:$AC$363)))</f>
        <v>0</v>
      </c>
      <c r="AI363">
        <f>IF(OR(AG363="",AH363=""),"",IF((AG363+AH363)=0,0,100*ABS(AG363-AH363)/(AG363+AH363)))</f>
        <v>0</v>
      </c>
      <c r="AJ363">
        <f>IF(COUNT($AI$350:$AI$363)&lt;14,"",AVERAGE($AI$350:$AI$363))</f>
        <v>0</v>
      </c>
      <c r="AK363">
        <f>IF(COUNT($E$2:$E363)&lt;20,"",AVERAGE($E$344:$E$363))</f>
        <v>0</v>
      </c>
      <c r="AL363">
        <f>IF(COUNT($E$2:$E363)&lt;20,"",STDEVP($E$344:$E$363))</f>
        <v>0</v>
      </c>
      <c r="AM363">
        <f>IF(AK363="","",AK363+2*AL363)</f>
        <v>0</v>
      </c>
      <c r="AN363">
        <f>IF(AK363="","",AK363-2*AL363)</f>
        <v>0</v>
      </c>
      <c r="AO363">
        <f>IF(OR(AM363="",AN363="",AM363=AN363),"",($E363-AN363)/(AM363-AN363))</f>
        <v>0</v>
      </c>
      <c r="AP363">
        <f>IF(OR(AM363="",AK363="",AK363=0),"",(AM363-AN363)/AK363)</f>
        <v>0</v>
      </c>
      <c r="AQ363">
        <f>IF(COUNT($E$2:$E363)&lt;20,"",MAX($C$344:$C$363))</f>
        <v>0</v>
      </c>
      <c r="AR363">
        <f>IF(COUNT($E$2:$E363)&lt;20,"",MIN($D$344:$D$363))</f>
        <v>0</v>
      </c>
      <c r="AS363">
        <f>IF(OR(AQ363="",AR363=""),"",(AQ363+AR363)/2)</f>
        <v>0</v>
      </c>
      <c r="AT363">
        <f>IF(COUNT($G$344:$G$363)&lt;20,"",STDEV($G$344:$G$363)*SQRT(52))</f>
        <v>0</v>
      </c>
      <c r="AU363">
        <f>IF(COUNT($E$2:$E363)&lt;9,"",(MAX($C$355:$C$363)+MIN($D$355:$D$363))/2)</f>
        <v>0</v>
      </c>
      <c r="AV363">
        <f>IF(COUNT($E$2:$E363)&lt;26,"",(MAX($C$338:$C$363)+MIN($D$338:$D$363))/2)</f>
        <v>0</v>
      </c>
      <c r="AW363">
        <f>IF(OR(AU363="",AV363=""),"",(AU363+AV363)/2)</f>
        <v>0</v>
      </c>
      <c r="AX363">
        <f>IF(COUNT($E$2:$E363)&lt;52,"",(MAX($C$312:$C$363)+MIN($D$312:$D$363))/2)</f>
        <v>0</v>
      </c>
      <c r="AY363">
        <f>IF(COUNT($E$2:$E363)&lt;20,"",MAX($C$264:$C$363))</f>
        <v>0</v>
      </c>
      <c r="AZ363">
        <f>IF(COUNT($E$2:$E363)&lt;20,"",MIN($D$264:$D$363))</f>
        <v>0</v>
      </c>
      <c r="BA363">
        <f>IF(COUNT($E$2:$E363)&lt;20,"",SLOPE($E$264:$E$363,$F$264:$F$363))</f>
        <v>0</v>
      </c>
      <c r="BB363">
        <f>IF(COUNT($E$2:$E363)&lt;20,"",INTERCEPT($E$264:$E$363,$F$264:$F$363))</f>
        <v>0</v>
      </c>
      <c r="BC363">
        <f>IF(OR(BA363="",BB363=""),"",BB363+BA363*F363)</f>
        <v>0</v>
      </c>
      <c r="BD363">
        <f>IF(COUNT($E$2:$E363)&lt;20,"",STEYX($E$264:$E$363,$F$264:$F$363))</f>
        <v>0</v>
      </c>
      <c r="BE363">
        <f>IF($E363="","",IF(AND(COUNT($E$364:$E$367)&gt;=4,$C363=MAX($C$359:$C$367)),$C363,""))</f>
        <v>0</v>
      </c>
      <c r="BF363">
        <f>IF($E363="","",IF(AND(COUNT($E$364:$E$367)&gt;=4,$D363=MIN($D$359:$D$367)),$D363,""))</f>
        <v>0</v>
      </c>
      <c r="BG363">
        <f>IFERROR(SMALL(Calc_Daily!$BM$2:$BM$2001,362),"")</f>
        <v>0</v>
      </c>
    </row>
    <row r="364" spans="1:59">
      <c r="A364" s="27">
        <f>IF($BG364="","",INDEX(Calc_Daily!$A$2:$A$2001,$BG364))</f>
        <v>0</v>
      </c>
      <c r="B364">
        <f>IF($BG364="","",INDEX(Calc_Daily!$BJ$2:$BJ$2001,$BG364))</f>
        <v>0</v>
      </c>
      <c r="C364">
        <f>IF($BG364="","",INDEX(Calc_Daily!$BK$2:$BK$2001,$BG364))</f>
        <v>0</v>
      </c>
      <c r="D364">
        <f>IF($BG364="","",INDEX(Calc_Daily!$BL$2:$BL$2001,$BG364))</f>
        <v>0</v>
      </c>
      <c r="E364">
        <f>IF($BG364="","",INDEX(Calc_Daily!$E$2:$E$2001,$BG364))</f>
        <v>0</v>
      </c>
      <c r="F364">
        <f>IF($E364="","",N(F363)+1)</f>
        <v>0</v>
      </c>
      <c r="G364">
        <f>IF(OR($E364="",$E363=""),"",LN($E364/$E363))</f>
        <v>0</v>
      </c>
      <c r="H364">
        <f>IF($E364="","",IF($E363="",$E364,$E364*0.0952380952+H363*0.9047619048))</f>
        <v>0</v>
      </c>
      <c r="I364">
        <f>IF($E364="","",IF($E363="",$E364,$E364*0.0392156863+I363*0.9607843137))</f>
        <v>0</v>
      </c>
      <c r="J364">
        <f>IF($E364="","",IF($E363="",$E364,$E364*0.0198019802+J363*0.9801980198))</f>
        <v>0</v>
      </c>
      <c r="K364">
        <f>IF($E364="","",IF($E363="",$E364,$E364*0.0099502488+K363*0.9900497512))</f>
        <v>0</v>
      </c>
      <c r="L364">
        <f>IF(OR($E364="",$E363=""),"",MAX($E364-$E363,0))</f>
        <v>0</v>
      </c>
      <c r="M364">
        <f>IF(OR($E364="",$E363=""),"",MAX($E363-$E364,0))</f>
        <v>0</v>
      </c>
      <c r="N364">
        <f>IF(COUNT($E$2:$E364)&lt;15,"",IF(AVERAGE($M$351:$M$364)=0,100,100-100/(1+AVERAGE($L$351:$L$364)/AVERAGE($M$351:$M$364))))</f>
        <v>0</v>
      </c>
      <c r="O364">
        <f>IF($E364="","",IF($E363="",$E364,$E364*0.1538461538+O363*0.8461538462))</f>
        <v>0</v>
      </c>
      <c r="P364">
        <f>IF($E364="","",IF($E363="",$E364,$E364*0.0740740741+P363*0.9259259259))</f>
        <v>0</v>
      </c>
      <c r="Q364">
        <f>IF(OR(O364="",P364=""),"",O364-P364)</f>
        <v>0</v>
      </c>
      <c r="R364">
        <f>IF(Q364="","",IF(R363="",Q364,Q364*0.2000000000+R363*0.8000000000))</f>
        <v>0</v>
      </c>
      <c r="S364">
        <f>IF(OR(Q364="",R364=""),"",Q364-R364)</f>
        <v>0</v>
      </c>
      <c r="T364">
        <f>IF(COUNT($E$2:$E364)&lt;14,"",MAX($C$351:$C$364))</f>
        <v>0</v>
      </c>
      <c r="U364">
        <f>IF(COUNT($E$2:$E364)&lt;14,"",MIN($D$351:$D$364))</f>
        <v>0</v>
      </c>
      <c r="V364">
        <f>IF(OR(T364="",U364="",T364=U364),"",100*($E364-U364)/(T364-U364))</f>
        <v>0</v>
      </c>
      <c r="W364">
        <f>IF(COUNT($V$362:$V$364)&lt;3,"",AVERAGE($V$362:$V$364))</f>
        <v>0</v>
      </c>
      <c r="X364">
        <f>IF(COUNT($N$351:$N$364)&lt;14,"",MIN($N$351:$N$364))</f>
        <v>0</v>
      </c>
      <c r="Y364">
        <f>IF(COUNT($N$351:$N$364)&lt;14,"",MAX($N$351:$N$364))</f>
        <v>0</v>
      </c>
      <c r="Z364">
        <f>IF(OR(N364="",X364="",Y364="",Y364=X364),"",100*(N364-X364)/(Y364-X364))</f>
        <v>0</v>
      </c>
      <c r="AA364">
        <f>IF(COUNT($Z$362:$Z$364)&lt;3,"",AVERAGE($Z$362:$Z$364))</f>
        <v>0</v>
      </c>
      <c r="AB364">
        <f>IF(COUNT($AA$362:$AA$364)&lt;3,"",AVERAGE($AA$362:$AA$364))</f>
        <v>0</v>
      </c>
      <c r="AC364">
        <f>IF($E364="","",MAX($C364-$D364,ABS($C364-$E363),ABS($D364-$E363)))</f>
        <v>0</v>
      </c>
      <c r="AD364">
        <f>IF(COUNT($E$2:$E364)&lt;15,"",AVERAGE($AC$351:$AC$364))</f>
        <v>0</v>
      </c>
      <c r="AE364">
        <f>IF(OR($E364="",$E363=""),"",IF(AND(($C364-$C363)&gt;($D363-$D364),($C364-$C363)&gt;0),$C364-$C363,0))</f>
        <v>0</v>
      </c>
      <c r="AF364">
        <f>IF(OR($E364="",$E363=""),"",IF(AND(($D363-$D364)&gt;($C364-$C363),($D363-$D364)&gt;0),$D363-$D364,0))</f>
        <v>0</v>
      </c>
      <c r="AG364">
        <f>IF(COUNT($E$2:$E364)&lt;15,"",IF(SUM($AC$351:$AC$364)=0,0,100*SUM($AE$351:$AE$364)/SUM($AC$351:$AC$364)))</f>
        <v>0</v>
      </c>
      <c r="AH364">
        <f>IF(COUNT($E$2:$E364)&lt;15,"",IF(SUM($AC$351:$AC$364)=0,0,100*SUM($AF$351:$AF$364)/SUM($AC$351:$AC$364)))</f>
        <v>0</v>
      </c>
      <c r="AI364">
        <f>IF(OR(AG364="",AH364=""),"",IF((AG364+AH364)=0,0,100*ABS(AG364-AH364)/(AG364+AH364)))</f>
        <v>0</v>
      </c>
      <c r="AJ364">
        <f>IF(COUNT($AI$351:$AI$364)&lt;14,"",AVERAGE($AI$351:$AI$364))</f>
        <v>0</v>
      </c>
      <c r="AK364">
        <f>IF(COUNT($E$2:$E364)&lt;20,"",AVERAGE($E$345:$E$364))</f>
        <v>0</v>
      </c>
      <c r="AL364">
        <f>IF(COUNT($E$2:$E364)&lt;20,"",STDEVP($E$345:$E$364))</f>
        <v>0</v>
      </c>
      <c r="AM364">
        <f>IF(AK364="","",AK364+2*AL364)</f>
        <v>0</v>
      </c>
      <c r="AN364">
        <f>IF(AK364="","",AK364-2*AL364)</f>
        <v>0</v>
      </c>
      <c r="AO364">
        <f>IF(OR(AM364="",AN364="",AM364=AN364),"",($E364-AN364)/(AM364-AN364))</f>
        <v>0</v>
      </c>
      <c r="AP364">
        <f>IF(OR(AM364="",AK364="",AK364=0),"",(AM364-AN364)/AK364)</f>
        <v>0</v>
      </c>
      <c r="AQ364">
        <f>IF(COUNT($E$2:$E364)&lt;20,"",MAX($C$345:$C$364))</f>
        <v>0</v>
      </c>
      <c r="AR364">
        <f>IF(COUNT($E$2:$E364)&lt;20,"",MIN($D$345:$D$364))</f>
        <v>0</v>
      </c>
      <c r="AS364">
        <f>IF(OR(AQ364="",AR364=""),"",(AQ364+AR364)/2)</f>
        <v>0</v>
      </c>
      <c r="AT364">
        <f>IF(COUNT($G$345:$G$364)&lt;20,"",STDEV($G$345:$G$364)*SQRT(52))</f>
        <v>0</v>
      </c>
      <c r="AU364">
        <f>IF(COUNT($E$2:$E364)&lt;9,"",(MAX($C$356:$C$364)+MIN($D$356:$D$364))/2)</f>
        <v>0</v>
      </c>
      <c r="AV364">
        <f>IF(COUNT($E$2:$E364)&lt;26,"",(MAX($C$339:$C$364)+MIN($D$339:$D$364))/2)</f>
        <v>0</v>
      </c>
      <c r="AW364">
        <f>IF(OR(AU364="",AV364=""),"",(AU364+AV364)/2)</f>
        <v>0</v>
      </c>
      <c r="AX364">
        <f>IF(COUNT($E$2:$E364)&lt;52,"",(MAX($C$313:$C$364)+MIN($D$313:$D$364))/2)</f>
        <v>0</v>
      </c>
      <c r="AY364">
        <f>IF(COUNT($E$2:$E364)&lt;20,"",MAX($C$265:$C$364))</f>
        <v>0</v>
      </c>
      <c r="AZ364">
        <f>IF(COUNT($E$2:$E364)&lt;20,"",MIN($D$265:$D$364))</f>
        <v>0</v>
      </c>
      <c r="BA364">
        <f>IF(COUNT($E$2:$E364)&lt;20,"",SLOPE($E$265:$E$364,$F$265:$F$364))</f>
        <v>0</v>
      </c>
      <c r="BB364">
        <f>IF(COUNT($E$2:$E364)&lt;20,"",INTERCEPT($E$265:$E$364,$F$265:$F$364))</f>
        <v>0</v>
      </c>
      <c r="BC364">
        <f>IF(OR(BA364="",BB364=""),"",BB364+BA364*F364)</f>
        <v>0</v>
      </c>
      <c r="BD364">
        <f>IF(COUNT($E$2:$E364)&lt;20,"",STEYX($E$265:$E$364,$F$265:$F$364))</f>
        <v>0</v>
      </c>
      <c r="BE364">
        <f>IF($E364="","",IF(AND(COUNT($E$365:$E$368)&gt;=4,$C364=MAX($C$360:$C$368)),$C364,""))</f>
        <v>0</v>
      </c>
      <c r="BF364">
        <f>IF($E364="","",IF(AND(COUNT($E$365:$E$368)&gt;=4,$D364=MIN($D$360:$D$368)),$D364,""))</f>
        <v>0</v>
      </c>
      <c r="BG364">
        <f>IFERROR(SMALL(Calc_Daily!$BM$2:$BM$2001,363),"")</f>
        <v>0</v>
      </c>
    </row>
    <row r="365" spans="1:59">
      <c r="A365" s="27">
        <f>IF($BG365="","",INDEX(Calc_Daily!$A$2:$A$2001,$BG365))</f>
        <v>0</v>
      </c>
      <c r="B365">
        <f>IF($BG365="","",INDEX(Calc_Daily!$BJ$2:$BJ$2001,$BG365))</f>
        <v>0</v>
      </c>
      <c r="C365">
        <f>IF($BG365="","",INDEX(Calc_Daily!$BK$2:$BK$2001,$BG365))</f>
        <v>0</v>
      </c>
      <c r="D365">
        <f>IF($BG365="","",INDEX(Calc_Daily!$BL$2:$BL$2001,$BG365))</f>
        <v>0</v>
      </c>
      <c r="E365">
        <f>IF($BG365="","",INDEX(Calc_Daily!$E$2:$E$2001,$BG365))</f>
        <v>0</v>
      </c>
      <c r="F365">
        <f>IF($E365="","",N(F364)+1)</f>
        <v>0</v>
      </c>
      <c r="G365">
        <f>IF(OR($E365="",$E364=""),"",LN($E365/$E364))</f>
        <v>0</v>
      </c>
      <c r="H365">
        <f>IF($E365="","",IF($E364="",$E365,$E365*0.0952380952+H364*0.9047619048))</f>
        <v>0</v>
      </c>
      <c r="I365">
        <f>IF($E365="","",IF($E364="",$E365,$E365*0.0392156863+I364*0.9607843137))</f>
        <v>0</v>
      </c>
      <c r="J365">
        <f>IF($E365="","",IF($E364="",$E365,$E365*0.0198019802+J364*0.9801980198))</f>
        <v>0</v>
      </c>
      <c r="K365">
        <f>IF($E365="","",IF($E364="",$E365,$E365*0.0099502488+K364*0.9900497512))</f>
        <v>0</v>
      </c>
      <c r="L365">
        <f>IF(OR($E365="",$E364=""),"",MAX($E365-$E364,0))</f>
        <v>0</v>
      </c>
      <c r="M365">
        <f>IF(OR($E365="",$E364=""),"",MAX($E364-$E365,0))</f>
        <v>0</v>
      </c>
      <c r="N365">
        <f>IF(COUNT($E$2:$E365)&lt;15,"",IF(AVERAGE($M$352:$M$365)=0,100,100-100/(1+AVERAGE($L$352:$L$365)/AVERAGE($M$352:$M$365))))</f>
        <v>0</v>
      </c>
      <c r="O365">
        <f>IF($E365="","",IF($E364="",$E365,$E365*0.1538461538+O364*0.8461538462))</f>
        <v>0</v>
      </c>
      <c r="P365">
        <f>IF($E365="","",IF($E364="",$E365,$E365*0.0740740741+P364*0.9259259259))</f>
        <v>0</v>
      </c>
      <c r="Q365">
        <f>IF(OR(O365="",P365=""),"",O365-P365)</f>
        <v>0</v>
      </c>
      <c r="R365">
        <f>IF(Q365="","",IF(R364="",Q365,Q365*0.2000000000+R364*0.8000000000))</f>
        <v>0</v>
      </c>
      <c r="S365">
        <f>IF(OR(Q365="",R365=""),"",Q365-R365)</f>
        <v>0</v>
      </c>
      <c r="T365">
        <f>IF(COUNT($E$2:$E365)&lt;14,"",MAX($C$352:$C$365))</f>
        <v>0</v>
      </c>
      <c r="U365">
        <f>IF(COUNT($E$2:$E365)&lt;14,"",MIN($D$352:$D$365))</f>
        <v>0</v>
      </c>
      <c r="V365">
        <f>IF(OR(T365="",U365="",T365=U365),"",100*($E365-U365)/(T365-U365))</f>
        <v>0</v>
      </c>
      <c r="W365">
        <f>IF(COUNT($V$363:$V$365)&lt;3,"",AVERAGE($V$363:$V$365))</f>
        <v>0</v>
      </c>
      <c r="X365">
        <f>IF(COUNT($N$352:$N$365)&lt;14,"",MIN($N$352:$N$365))</f>
        <v>0</v>
      </c>
      <c r="Y365">
        <f>IF(COUNT($N$352:$N$365)&lt;14,"",MAX($N$352:$N$365))</f>
        <v>0</v>
      </c>
      <c r="Z365">
        <f>IF(OR(N365="",X365="",Y365="",Y365=X365),"",100*(N365-X365)/(Y365-X365))</f>
        <v>0</v>
      </c>
      <c r="AA365">
        <f>IF(COUNT($Z$363:$Z$365)&lt;3,"",AVERAGE($Z$363:$Z$365))</f>
        <v>0</v>
      </c>
      <c r="AB365">
        <f>IF(COUNT($AA$363:$AA$365)&lt;3,"",AVERAGE($AA$363:$AA$365))</f>
        <v>0</v>
      </c>
      <c r="AC365">
        <f>IF($E365="","",MAX($C365-$D365,ABS($C365-$E364),ABS($D365-$E364)))</f>
        <v>0</v>
      </c>
      <c r="AD365">
        <f>IF(COUNT($E$2:$E365)&lt;15,"",AVERAGE($AC$352:$AC$365))</f>
        <v>0</v>
      </c>
      <c r="AE365">
        <f>IF(OR($E365="",$E364=""),"",IF(AND(($C365-$C364)&gt;($D364-$D365),($C365-$C364)&gt;0),$C365-$C364,0))</f>
        <v>0</v>
      </c>
      <c r="AF365">
        <f>IF(OR($E365="",$E364=""),"",IF(AND(($D364-$D365)&gt;($C365-$C364),($D364-$D365)&gt;0),$D364-$D365,0))</f>
        <v>0</v>
      </c>
      <c r="AG365">
        <f>IF(COUNT($E$2:$E365)&lt;15,"",IF(SUM($AC$352:$AC$365)=0,0,100*SUM($AE$352:$AE$365)/SUM($AC$352:$AC$365)))</f>
        <v>0</v>
      </c>
      <c r="AH365">
        <f>IF(COUNT($E$2:$E365)&lt;15,"",IF(SUM($AC$352:$AC$365)=0,0,100*SUM($AF$352:$AF$365)/SUM($AC$352:$AC$365)))</f>
        <v>0</v>
      </c>
      <c r="AI365">
        <f>IF(OR(AG365="",AH365=""),"",IF((AG365+AH365)=0,0,100*ABS(AG365-AH365)/(AG365+AH365)))</f>
        <v>0</v>
      </c>
      <c r="AJ365">
        <f>IF(COUNT($AI$352:$AI$365)&lt;14,"",AVERAGE($AI$352:$AI$365))</f>
        <v>0</v>
      </c>
      <c r="AK365">
        <f>IF(COUNT($E$2:$E365)&lt;20,"",AVERAGE($E$346:$E$365))</f>
        <v>0</v>
      </c>
      <c r="AL365">
        <f>IF(COUNT($E$2:$E365)&lt;20,"",STDEVP($E$346:$E$365))</f>
        <v>0</v>
      </c>
      <c r="AM365">
        <f>IF(AK365="","",AK365+2*AL365)</f>
        <v>0</v>
      </c>
      <c r="AN365">
        <f>IF(AK365="","",AK365-2*AL365)</f>
        <v>0</v>
      </c>
      <c r="AO365">
        <f>IF(OR(AM365="",AN365="",AM365=AN365),"",($E365-AN365)/(AM365-AN365))</f>
        <v>0</v>
      </c>
      <c r="AP365">
        <f>IF(OR(AM365="",AK365="",AK365=0),"",(AM365-AN365)/AK365)</f>
        <v>0</v>
      </c>
      <c r="AQ365">
        <f>IF(COUNT($E$2:$E365)&lt;20,"",MAX($C$346:$C$365))</f>
        <v>0</v>
      </c>
      <c r="AR365">
        <f>IF(COUNT($E$2:$E365)&lt;20,"",MIN($D$346:$D$365))</f>
        <v>0</v>
      </c>
      <c r="AS365">
        <f>IF(OR(AQ365="",AR365=""),"",(AQ365+AR365)/2)</f>
        <v>0</v>
      </c>
      <c r="AT365">
        <f>IF(COUNT($G$346:$G$365)&lt;20,"",STDEV($G$346:$G$365)*SQRT(52))</f>
        <v>0</v>
      </c>
      <c r="AU365">
        <f>IF(COUNT($E$2:$E365)&lt;9,"",(MAX($C$357:$C$365)+MIN($D$357:$D$365))/2)</f>
        <v>0</v>
      </c>
      <c r="AV365">
        <f>IF(COUNT($E$2:$E365)&lt;26,"",(MAX($C$340:$C$365)+MIN($D$340:$D$365))/2)</f>
        <v>0</v>
      </c>
      <c r="AW365">
        <f>IF(OR(AU365="",AV365=""),"",(AU365+AV365)/2)</f>
        <v>0</v>
      </c>
      <c r="AX365">
        <f>IF(COUNT($E$2:$E365)&lt;52,"",(MAX($C$314:$C$365)+MIN($D$314:$D$365))/2)</f>
        <v>0</v>
      </c>
      <c r="AY365">
        <f>IF(COUNT($E$2:$E365)&lt;20,"",MAX($C$266:$C$365))</f>
        <v>0</v>
      </c>
      <c r="AZ365">
        <f>IF(COUNT($E$2:$E365)&lt;20,"",MIN($D$266:$D$365))</f>
        <v>0</v>
      </c>
      <c r="BA365">
        <f>IF(COUNT($E$2:$E365)&lt;20,"",SLOPE($E$266:$E$365,$F$266:$F$365))</f>
        <v>0</v>
      </c>
      <c r="BB365">
        <f>IF(COUNT($E$2:$E365)&lt;20,"",INTERCEPT($E$266:$E$365,$F$266:$F$365))</f>
        <v>0</v>
      </c>
      <c r="BC365">
        <f>IF(OR(BA365="",BB365=""),"",BB365+BA365*F365)</f>
        <v>0</v>
      </c>
      <c r="BD365">
        <f>IF(COUNT($E$2:$E365)&lt;20,"",STEYX($E$266:$E$365,$F$266:$F$365))</f>
        <v>0</v>
      </c>
      <c r="BE365">
        <f>IF($E365="","",IF(AND(COUNT($E$366:$E$369)&gt;=4,$C365=MAX($C$361:$C$369)),$C365,""))</f>
        <v>0</v>
      </c>
      <c r="BF365">
        <f>IF($E365="","",IF(AND(COUNT($E$366:$E$369)&gt;=4,$D365=MIN($D$361:$D$369)),$D365,""))</f>
        <v>0</v>
      </c>
      <c r="BG365">
        <f>IFERROR(SMALL(Calc_Daily!$BM$2:$BM$2001,364),"")</f>
        <v>0</v>
      </c>
    </row>
    <row r="366" spans="1:59">
      <c r="A366" s="27">
        <f>IF($BG366="","",INDEX(Calc_Daily!$A$2:$A$2001,$BG366))</f>
        <v>0</v>
      </c>
      <c r="B366">
        <f>IF($BG366="","",INDEX(Calc_Daily!$BJ$2:$BJ$2001,$BG366))</f>
        <v>0</v>
      </c>
      <c r="C366">
        <f>IF($BG366="","",INDEX(Calc_Daily!$BK$2:$BK$2001,$BG366))</f>
        <v>0</v>
      </c>
      <c r="D366">
        <f>IF($BG366="","",INDEX(Calc_Daily!$BL$2:$BL$2001,$BG366))</f>
        <v>0</v>
      </c>
      <c r="E366">
        <f>IF($BG366="","",INDEX(Calc_Daily!$E$2:$E$2001,$BG366))</f>
        <v>0</v>
      </c>
      <c r="F366">
        <f>IF($E366="","",N(F365)+1)</f>
        <v>0</v>
      </c>
      <c r="G366">
        <f>IF(OR($E366="",$E365=""),"",LN($E366/$E365))</f>
        <v>0</v>
      </c>
      <c r="H366">
        <f>IF($E366="","",IF($E365="",$E366,$E366*0.0952380952+H365*0.9047619048))</f>
        <v>0</v>
      </c>
      <c r="I366">
        <f>IF($E366="","",IF($E365="",$E366,$E366*0.0392156863+I365*0.9607843137))</f>
        <v>0</v>
      </c>
      <c r="J366">
        <f>IF($E366="","",IF($E365="",$E366,$E366*0.0198019802+J365*0.9801980198))</f>
        <v>0</v>
      </c>
      <c r="K366">
        <f>IF($E366="","",IF($E365="",$E366,$E366*0.0099502488+K365*0.9900497512))</f>
        <v>0</v>
      </c>
      <c r="L366">
        <f>IF(OR($E366="",$E365=""),"",MAX($E366-$E365,0))</f>
        <v>0</v>
      </c>
      <c r="M366">
        <f>IF(OR($E366="",$E365=""),"",MAX($E365-$E366,0))</f>
        <v>0</v>
      </c>
      <c r="N366">
        <f>IF(COUNT($E$2:$E366)&lt;15,"",IF(AVERAGE($M$353:$M$366)=0,100,100-100/(1+AVERAGE($L$353:$L$366)/AVERAGE($M$353:$M$366))))</f>
        <v>0</v>
      </c>
      <c r="O366">
        <f>IF($E366="","",IF($E365="",$E366,$E366*0.1538461538+O365*0.8461538462))</f>
        <v>0</v>
      </c>
      <c r="P366">
        <f>IF($E366="","",IF($E365="",$E366,$E366*0.0740740741+P365*0.9259259259))</f>
        <v>0</v>
      </c>
      <c r="Q366">
        <f>IF(OR(O366="",P366=""),"",O366-P366)</f>
        <v>0</v>
      </c>
      <c r="R366">
        <f>IF(Q366="","",IF(R365="",Q366,Q366*0.2000000000+R365*0.8000000000))</f>
        <v>0</v>
      </c>
      <c r="S366">
        <f>IF(OR(Q366="",R366=""),"",Q366-R366)</f>
        <v>0</v>
      </c>
      <c r="T366">
        <f>IF(COUNT($E$2:$E366)&lt;14,"",MAX($C$353:$C$366))</f>
        <v>0</v>
      </c>
      <c r="U366">
        <f>IF(COUNT($E$2:$E366)&lt;14,"",MIN($D$353:$D$366))</f>
        <v>0</v>
      </c>
      <c r="V366">
        <f>IF(OR(T366="",U366="",T366=U366),"",100*($E366-U366)/(T366-U366))</f>
        <v>0</v>
      </c>
      <c r="W366">
        <f>IF(COUNT($V$364:$V$366)&lt;3,"",AVERAGE($V$364:$V$366))</f>
        <v>0</v>
      </c>
      <c r="X366">
        <f>IF(COUNT($N$353:$N$366)&lt;14,"",MIN($N$353:$N$366))</f>
        <v>0</v>
      </c>
      <c r="Y366">
        <f>IF(COUNT($N$353:$N$366)&lt;14,"",MAX($N$353:$N$366))</f>
        <v>0</v>
      </c>
      <c r="Z366">
        <f>IF(OR(N366="",X366="",Y366="",Y366=X366),"",100*(N366-X366)/(Y366-X366))</f>
        <v>0</v>
      </c>
      <c r="AA366">
        <f>IF(COUNT($Z$364:$Z$366)&lt;3,"",AVERAGE($Z$364:$Z$366))</f>
        <v>0</v>
      </c>
      <c r="AB366">
        <f>IF(COUNT($AA$364:$AA$366)&lt;3,"",AVERAGE($AA$364:$AA$366))</f>
        <v>0</v>
      </c>
      <c r="AC366">
        <f>IF($E366="","",MAX($C366-$D366,ABS($C366-$E365),ABS($D366-$E365)))</f>
        <v>0</v>
      </c>
      <c r="AD366">
        <f>IF(COUNT($E$2:$E366)&lt;15,"",AVERAGE($AC$353:$AC$366))</f>
        <v>0</v>
      </c>
      <c r="AE366">
        <f>IF(OR($E366="",$E365=""),"",IF(AND(($C366-$C365)&gt;($D365-$D366),($C366-$C365)&gt;0),$C366-$C365,0))</f>
        <v>0</v>
      </c>
      <c r="AF366">
        <f>IF(OR($E366="",$E365=""),"",IF(AND(($D365-$D366)&gt;($C366-$C365),($D365-$D366)&gt;0),$D365-$D366,0))</f>
        <v>0</v>
      </c>
      <c r="AG366">
        <f>IF(COUNT($E$2:$E366)&lt;15,"",IF(SUM($AC$353:$AC$366)=0,0,100*SUM($AE$353:$AE$366)/SUM($AC$353:$AC$366)))</f>
        <v>0</v>
      </c>
      <c r="AH366">
        <f>IF(COUNT($E$2:$E366)&lt;15,"",IF(SUM($AC$353:$AC$366)=0,0,100*SUM($AF$353:$AF$366)/SUM($AC$353:$AC$366)))</f>
        <v>0</v>
      </c>
      <c r="AI366">
        <f>IF(OR(AG366="",AH366=""),"",IF((AG366+AH366)=0,0,100*ABS(AG366-AH366)/(AG366+AH366)))</f>
        <v>0</v>
      </c>
      <c r="AJ366">
        <f>IF(COUNT($AI$353:$AI$366)&lt;14,"",AVERAGE($AI$353:$AI$366))</f>
        <v>0</v>
      </c>
      <c r="AK366">
        <f>IF(COUNT($E$2:$E366)&lt;20,"",AVERAGE($E$347:$E$366))</f>
        <v>0</v>
      </c>
      <c r="AL366">
        <f>IF(COUNT($E$2:$E366)&lt;20,"",STDEVP($E$347:$E$366))</f>
        <v>0</v>
      </c>
      <c r="AM366">
        <f>IF(AK366="","",AK366+2*AL366)</f>
        <v>0</v>
      </c>
      <c r="AN366">
        <f>IF(AK366="","",AK366-2*AL366)</f>
        <v>0</v>
      </c>
      <c r="AO366">
        <f>IF(OR(AM366="",AN366="",AM366=AN366),"",($E366-AN366)/(AM366-AN366))</f>
        <v>0</v>
      </c>
      <c r="AP366">
        <f>IF(OR(AM366="",AK366="",AK366=0),"",(AM366-AN366)/AK366)</f>
        <v>0</v>
      </c>
      <c r="AQ366">
        <f>IF(COUNT($E$2:$E366)&lt;20,"",MAX($C$347:$C$366))</f>
        <v>0</v>
      </c>
      <c r="AR366">
        <f>IF(COUNT($E$2:$E366)&lt;20,"",MIN($D$347:$D$366))</f>
        <v>0</v>
      </c>
      <c r="AS366">
        <f>IF(OR(AQ366="",AR366=""),"",(AQ366+AR366)/2)</f>
        <v>0</v>
      </c>
      <c r="AT366">
        <f>IF(COUNT($G$347:$G$366)&lt;20,"",STDEV($G$347:$G$366)*SQRT(52))</f>
        <v>0</v>
      </c>
      <c r="AU366">
        <f>IF(COUNT($E$2:$E366)&lt;9,"",(MAX($C$358:$C$366)+MIN($D$358:$D$366))/2)</f>
        <v>0</v>
      </c>
      <c r="AV366">
        <f>IF(COUNT($E$2:$E366)&lt;26,"",(MAX($C$341:$C$366)+MIN($D$341:$D$366))/2)</f>
        <v>0</v>
      </c>
      <c r="AW366">
        <f>IF(OR(AU366="",AV366=""),"",(AU366+AV366)/2)</f>
        <v>0</v>
      </c>
      <c r="AX366">
        <f>IF(COUNT($E$2:$E366)&lt;52,"",(MAX($C$315:$C$366)+MIN($D$315:$D$366))/2)</f>
        <v>0</v>
      </c>
      <c r="AY366">
        <f>IF(COUNT($E$2:$E366)&lt;20,"",MAX($C$267:$C$366))</f>
        <v>0</v>
      </c>
      <c r="AZ366">
        <f>IF(COUNT($E$2:$E366)&lt;20,"",MIN($D$267:$D$366))</f>
        <v>0</v>
      </c>
      <c r="BA366">
        <f>IF(COUNT($E$2:$E366)&lt;20,"",SLOPE($E$267:$E$366,$F$267:$F$366))</f>
        <v>0</v>
      </c>
      <c r="BB366">
        <f>IF(COUNT($E$2:$E366)&lt;20,"",INTERCEPT($E$267:$E$366,$F$267:$F$366))</f>
        <v>0</v>
      </c>
      <c r="BC366">
        <f>IF(OR(BA366="",BB366=""),"",BB366+BA366*F366)</f>
        <v>0</v>
      </c>
      <c r="BD366">
        <f>IF(COUNT($E$2:$E366)&lt;20,"",STEYX($E$267:$E$366,$F$267:$F$366))</f>
        <v>0</v>
      </c>
      <c r="BE366">
        <f>IF($E366="","",IF(AND(COUNT($E$367:$E$370)&gt;=4,$C366=MAX($C$362:$C$370)),$C366,""))</f>
        <v>0</v>
      </c>
      <c r="BF366">
        <f>IF($E366="","",IF(AND(COUNT($E$367:$E$370)&gt;=4,$D366=MIN($D$362:$D$370)),$D366,""))</f>
        <v>0</v>
      </c>
      <c r="BG366">
        <f>IFERROR(SMALL(Calc_Daily!$BM$2:$BM$2001,365),"")</f>
        <v>0</v>
      </c>
    </row>
    <row r="367" spans="1:59">
      <c r="A367" s="27">
        <f>IF($BG367="","",INDEX(Calc_Daily!$A$2:$A$2001,$BG367))</f>
        <v>0</v>
      </c>
      <c r="B367">
        <f>IF($BG367="","",INDEX(Calc_Daily!$BJ$2:$BJ$2001,$BG367))</f>
        <v>0</v>
      </c>
      <c r="C367">
        <f>IF($BG367="","",INDEX(Calc_Daily!$BK$2:$BK$2001,$BG367))</f>
        <v>0</v>
      </c>
      <c r="D367">
        <f>IF($BG367="","",INDEX(Calc_Daily!$BL$2:$BL$2001,$BG367))</f>
        <v>0</v>
      </c>
      <c r="E367">
        <f>IF($BG367="","",INDEX(Calc_Daily!$E$2:$E$2001,$BG367))</f>
        <v>0</v>
      </c>
      <c r="F367">
        <f>IF($E367="","",N(F366)+1)</f>
        <v>0</v>
      </c>
      <c r="G367">
        <f>IF(OR($E367="",$E366=""),"",LN($E367/$E366))</f>
        <v>0</v>
      </c>
      <c r="H367">
        <f>IF($E367="","",IF($E366="",$E367,$E367*0.0952380952+H366*0.9047619048))</f>
        <v>0</v>
      </c>
      <c r="I367">
        <f>IF($E367="","",IF($E366="",$E367,$E367*0.0392156863+I366*0.9607843137))</f>
        <v>0</v>
      </c>
      <c r="J367">
        <f>IF($E367="","",IF($E366="",$E367,$E367*0.0198019802+J366*0.9801980198))</f>
        <v>0</v>
      </c>
      <c r="K367">
        <f>IF($E367="","",IF($E366="",$E367,$E367*0.0099502488+K366*0.9900497512))</f>
        <v>0</v>
      </c>
      <c r="L367">
        <f>IF(OR($E367="",$E366=""),"",MAX($E367-$E366,0))</f>
        <v>0</v>
      </c>
      <c r="M367">
        <f>IF(OR($E367="",$E366=""),"",MAX($E366-$E367,0))</f>
        <v>0</v>
      </c>
      <c r="N367">
        <f>IF(COUNT($E$2:$E367)&lt;15,"",IF(AVERAGE($M$354:$M$367)=0,100,100-100/(1+AVERAGE($L$354:$L$367)/AVERAGE($M$354:$M$367))))</f>
        <v>0</v>
      </c>
      <c r="O367">
        <f>IF($E367="","",IF($E366="",$E367,$E367*0.1538461538+O366*0.8461538462))</f>
        <v>0</v>
      </c>
      <c r="P367">
        <f>IF($E367="","",IF($E366="",$E367,$E367*0.0740740741+P366*0.9259259259))</f>
        <v>0</v>
      </c>
      <c r="Q367">
        <f>IF(OR(O367="",P367=""),"",O367-P367)</f>
        <v>0</v>
      </c>
      <c r="R367">
        <f>IF(Q367="","",IF(R366="",Q367,Q367*0.2000000000+R366*0.8000000000))</f>
        <v>0</v>
      </c>
      <c r="S367">
        <f>IF(OR(Q367="",R367=""),"",Q367-R367)</f>
        <v>0</v>
      </c>
      <c r="T367">
        <f>IF(COUNT($E$2:$E367)&lt;14,"",MAX($C$354:$C$367))</f>
        <v>0</v>
      </c>
      <c r="U367">
        <f>IF(COUNT($E$2:$E367)&lt;14,"",MIN($D$354:$D$367))</f>
        <v>0</v>
      </c>
      <c r="V367">
        <f>IF(OR(T367="",U367="",T367=U367),"",100*($E367-U367)/(T367-U367))</f>
        <v>0</v>
      </c>
      <c r="W367">
        <f>IF(COUNT($V$365:$V$367)&lt;3,"",AVERAGE($V$365:$V$367))</f>
        <v>0</v>
      </c>
      <c r="X367">
        <f>IF(COUNT($N$354:$N$367)&lt;14,"",MIN($N$354:$N$367))</f>
        <v>0</v>
      </c>
      <c r="Y367">
        <f>IF(COUNT($N$354:$N$367)&lt;14,"",MAX($N$354:$N$367))</f>
        <v>0</v>
      </c>
      <c r="Z367">
        <f>IF(OR(N367="",X367="",Y367="",Y367=X367),"",100*(N367-X367)/(Y367-X367))</f>
        <v>0</v>
      </c>
      <c r="AA367">
        <f>IF(COUNT($Z$365:$Z$367)&lt;3,"",AVERAGE($Z$365:$Z$367))</f>
        <v>0</v>
      </c>
      <c r="AB367">
        <f>IF(COUNT($AA$365:$AA$367)&lt;3,"",AVERAGE($AA$365:$AA$367))</f>
        <v>0</v>
      </c>
      <c r="AC367">
        <f>IF($E367="","",MAX($C367-$D367,ABS($C367-$E366),ABS($D367-$E366)))</f>
        <v>0</v>
      </c>
      <c r="AD367">
        <f>IF(COUNT($E$2:$E367)&lt;15,"",AVERAGE($AC$354:$AC$367))</f>
        <v>0</v>
      </c>
      <c r="AE367">
        <f>IF(OR($E367="",$E366=""),"",IF(AND(($C367-$C366)&gt;($D366-$D367),($C367-$C366)&gt;0),$C367-$C366,0))</f>
        <v>0</v>
      </c>
      <c r="AF367">
        <f>IF(OR($E367="",$E366=""),"",IF(AND(($D366-$D367)&gt;($C367-$C366),($D366-$D367)&gt;0),$D366-$D367,0))</f>
        <v>0</v>
      </c>
      <c r="AG367">
        <f>IF(COUNT($E$2:$E367)&lt;15,"",IF(SUM($AC$354:$AC$367)=0,0,100*SUM($AE$354:$AE$367)/SUM($AC$354:$AC$367)))</f>
        <v>0</v>
      </c>
      <c r="AH367">
        <f>IF(COUNT($E$2:$E367)&lt;15,"",IF(SUM($AC$354:$AC$367)=0,0,100*SUM($AF$354:$AF$367)/SUM($AC$354:$AC$367)))</f>
        <v>0</v>
      </c>
      <c r="AI367">
        <f>IF(OR(AG367="",AH367=""),"",IF((AG367+AH367)=0,0,100*ABS(AG367-AH367)/(AG367+AH367)))</f>
        <v>0</v>
      </c>
      <c r="AJ367">
        <f>IF(COUNT($AI$354:$AI$367)&lt;14,"",AVERAGE($AI$354:$AI$367))</f>
        <v>0</v>
      </c>
      <c r="AK367">
        <f>IF(COUNT($E$2:$E367)&lt;20,"",AVERAGE($E$348:$E$367))</f>
        <v>0</v>
      </c>
      <c r="AL367">
        <f>IF(COUNT($E$2:$E367)&lt;20,"",STDEVP($E$348:$E$367))</f>
        <v>0</v>
      </c>
      <c r="AM367">
        <f>IF(AK367="","",AK367+2*AL367)</f>
        <v>0</v>
      </c>
      <c r="AN367">
        <f>IF(AK367="","",AK367-2*AL367)</f>
        <v>0</v>
      </c>
      <c r="AO367">
        <f>IF(OR(AM367="",AN367="",AM367=AN367),"",($E367-AN367)/(AM367-AN367))</f>
        <v>0</v>
      </c>
      <c r="AP367">
        <f>IF(OR(AM367="",AK367="",AK367=0),"",(AM367-AN367)/AK367)</f>
        <v>0</v>
      </c>
      <c r="AQ367">
        <f>IF(COUNT($E$2:$E367)&lt;20,"",MAX($C$348:$C$367))</f>
        <v>0</v>
      </c>
      <c r="AR367">
        <f>IF(COUNT($E$2:$E367)&lt;20,"",MIN($D$348:$D$367))</f>
        <v>0</v>
      </c>
      <c r="AS367">
        <f>IF(OR(AQ367="",AR367=""),"",(AQ367+AR367)/2)</f>
        <v>0</v>
      </c>
      <c r="AT367">
        <f>IF(COUNT($G$348:$G$367)&lt;20,"",STDEV($G$348:$G$367)*SQRT(52))</f>
        <v>0</v>
      </c>
      <c r="AU367">
        <f>IF(COUNT($E$2:$E367)&lt;9,"",(MAX($C$359:$C$367)+MIN($D$359:$D$367))/2)</f>
        <v>0</v>
      </c>
      <c r="AV367">
        <f>IF(COUNT($E$2:$E367)&lt;26,"",(MAX($C$342:$C$367)+MIN($D$342:$D$367))/2)</f>
        <v>0</v>
      </c>
      <c r="AW367">
        <f>IF(OR(AU367="",AV367=""),"",(AU367+AV367)/2)</f>
        <v>0</v>
      </c>
      <c r="AX367">
        <f>IF(COUNT($E$2:$E367)&lt;52,"",(MAX($C$316:$C$367)+MIN($D$316:$D$367))/2)</f>
        <v>0</v>
      </c>
      <c r="AY367">
        <f>IF(COUNT($E$2:$E367)&lt;20,"",MAX($C$268:$C$367))</f>
        <v>0</v>
      </c>
      <c r="AZ367">
        <f>IF(COUNT($E$2:$E367)&lt;20,"",MIN($D$268:$D$367))</f>
        <v>0</v>
      </c>
      <c r="BA367">
        <f>IF(COUNT($E$2:$E367)&lt;20,"",SLOPE($E$268:$E$367,$F$268:$F$367))</f>
        <v>0</v>
      </c>
      <c r="BB367">
        <f>IF(COUNT($E$2:$E367)&lt;20,"",INTERCEPT($E$268:$E$367,$F$268:$F$367))</f>
        <v>0</v>
      </c>
      <c r="BC367">
        <f>IF(OR(BA367="",BB367=""),"",BB367+BA367*F367)</f>
        <v>0</v>
      </c>
      <c r="BD367">
        <f>IF(COUNT($E$2:$E367)&lt;20,"",STEYX($E$268:$E$367,$F$268:$F$367))</f>
        <v>0</v>
      </c>
      <c r="BE367">
        <f>IF($E367="","",IF(AND(COUNT($E$368:$E$371)&gt;=4,$C367=MAX($C$363:$C$371)),$C367,""))</f>
        <v>0</v>
      </c>
      <c r="BF367">
        <f>IF($E367="","",IF(AND(COUNT($E$368:$E$371)&gt;=4,$D367=MIN($D$363:$D$371)),$D367,""))</f>
        <v>0</v>
      </c>
      <c r="BG367">
        <f>IFERROR(SMALL(Calc_Daily!$BM$2:$BM$2001,366),"")</f>
        <v>0</v>
      </c>
    </row>
    <row r="368" spans="1:59">
      <c r="A368" s="27">
        <f>IF($BG368="","",INDEX(Calc_Daily!$A$2:$A$2001,$BG368))</f>
        <v>0</v>
      </c>
      <c r="B368">
        <f>IF($BG368="","",INDEX(Calc_Daily!$BJ$2:$BJ$2001,$BG368))</f>
        <v>0</v>
      </c>
      <c r="C368">
        <f>IF($BG368="","",INDEX(Calc_Daily!$BK$2:$BK$2001,$BG368))</f>
        <v>0</v>
      </c>
      <c r="D368">
        <f>IF($BG368="","",INDEX(Calc_Daily!$BL$2:$BL$2001,$BG368))</f>
        <v>0</v>
      </c>
      <c r="E368">
        <f>IF($BG368="","",INDEX(Calc_Daily!$E$2:$E$2001,$BG368))</f>
        <v>0</v>
      </c>
      <c r="F368">
        <f>IF($E368="","",N(F367)+1)</f>
        <v>0</v>
      </c>
      <c r="G368">
        <f>IF(OR($E368="",$E367=""),"",LN($E368/$E367))</f>
        <v>0</v>
      </c>
      <c r="H368">
        <f>IF($E368="","",IF($E367="",$E368,$E368*0.0952380952+H367*0.9047619048))</f>
        <v>0</v>
      </c>
      <c r="I368">
        <f>IF($E368="","",IF($E367="",$E368,$E368*0.0392156863+I367*0.9607843137))</f>
        <v>0</v>
      </c>
      <c r="J368">
        <f>IF($E368="","",IF($E367="",$E368,$E368*0.0198019802+J367*0.9801980198))</f>
        <v>0</v>
      </c>
      <c r="K368">
        <f>IF($E368="","",IF($E367="",$E368,$E368*0.0099502488+K367*0.9900497512))</f>
        <v>0</v>
      </c>
      <c r="L368">
        <f>IF(OR($E368="",$E367=""),"",MAX($E368-$E367,0))</f>
        <v>0</v>
      </c>
      <c r="M368">
        <f>IF(OR($E368="",$E367=""),"",MAX($E367-$E368,0))</f>
        <v>0</v>
      </c>
      <c r="N368">
        <f>IF(COUNT($E$2:$E368)&lt;15,"",IF(AVERAGE($M$355:$M$368)=0,100,100-100/(1+AVERAGE($L$355:$L$368)/AVERAGE($M$355:$M$368))))</f>
        <v>0</v>
      </c>
      <c r="O368">
        <f>IF($E368="","",IF($E367="",$E368,$E368*0.1538461538+O367*0.8461538462))</f>
        <v>0</v>
      </c>
      <c r="P368">
        <f>IF($E368="","",IF($E367="",$E368,$E368*0.0740740741+P367*0.9259259259))</f>
        <v>0</v>
      </c>
      <c r="Q368">
        <f>IF(OR(O368="",P368=""),"",O368-P368)</f>
        <v>0</v>
      </c>
      <c r="R368">
        <f>IF(Q368="","",IF(R367="",Q368,Q368*0.2000000000+R367*0.8000000000))</f>
        <v>0</v>
      </c>
      <c r="S368">
        <f>IF(OR(Q368="",R368=""),"",Q368-R368)</f>
        <v>0</v>
      </c>
      <c r="T368">
        <f>IF(COUNT($E$2:$E368)&lt;14,"",MAX($C$355:$C$368))</f>
        <v>0</v>
      </c>
      <c r="U368">
        <f>IF(COUNT($E$2:$E368)&lt;14,"",MIN($D$355:$D$368))</f>
        <v>0</v>
      </c>
      <c r="V368">
        <f>IF(OR(T368="",U368="",T368=U368),"",100*($E368-U368)/(T368-U368))</f>
        <v>0</v>
      </c>
      <c r="W368">
        <f>IF(COUNT($V$366:$V$368)&lt;3,"",AVERAGE($V$366:$V$368))</f>
        <v>0</v>
      </c>
      <c r="X368">
        <f>IF(COUNT($N$355:$N$368)&lt;14,"",MIN($N$355:$N$368))</f>
        <v>0</v>
      </c>
      <c r="Y368">
        <f>IF(COUNT($N$355:$N$368)&lt;14,"",MAX($N$355:$N$368))</f>
        <v>0</v>
      </c>
      <c r="Z368">
        <f>IF(OR(N368="",X368="",Y368="",Y368=X368),"",100*(N368-X368)/(Y368-X368))</f>
        <v>0</v>
      </c>
      <c r="AA368">
        <f>IF(COUNT($Z$366:$Z$368)&lt;3,"",AVERAGE($Z$366:$Z$368))</f>
        <v>0</v>
      </c>
      <c r="AB368">
        <f>IF(COUNT($AA$366:$AA$368)&lt;3,"",AVERAGE($AA$366:$AA$368))</f>
        <v>0</v>
      </c>
      <c r="AC368">
        <f>IF($E368="","",MAX($C368-$D368,ABS($C368-$E367),ABS($D368-$E367)))</f>
        <v>0</v>
      </c>
      <c r="AD368">
        <f>IF(COUNT($E$2:$E368)&lt;15,"",AVERAGE($AC$355:$AC$368))</f>
        <v>0</v>
      </c>
      <c r="AE368">
        <f>IF(OR($E368="",$E367=""),"",IF(AND(($C368-$C367)&gt;($D367-$D368),($C368-$C367)&gt;0),$C368-$C367,0))</f>
        <v>0</v>
      </c>
      <c r="AF368">
        <f>IF(OR($E368="",$E367=""),"",IF(AND(($D367-$D368)&gt;($C368-$C367),($D367-$D368)&gt;0),$D367-$D368,0))</f>
        <v>0</v>
      </c>
      <c r="AG368">
        <f>IF(COUNT($E$2:$E368)&lt;15,"",IF(SUM($AC$355:$AC$368)=0,0,100*SUM($AE$355:$AE$368)/SUM($AC$355:$AC$368)))</f>
        <v>0</v>
      </c>
      <c r="AH368">
        <f>IF(COUNT($E$2:$E368)&lt;15,"",IF(SUM($AC$355:$AC$368)=0,0,100*SUM($AF$355:$AF$368)/SUM($AC$355:$AC$368)))</f>
        <v>0</v>
      </c>
      <c r="AI368">
        <f>IF(OR(AG368="",AH368=""),"",IF((AG368+AH368)=0,0,100*ABS(AG368-AH368)/(AG368+AH368)))</f>
        <v>0</v>
      </c>
      <c r="AJ368">
        <f>IF(COUNT($AI$355:$AI$368)&lt;14,"",AVERAGE($AI$355:$AI$368))</f>
        <v>0</v>
      </c>
      <c r="AK368">
        <f>IF(COUNT($E$2:$E368)&lt;20,"",AVERAGE($E$349:$E$368))</f>
        <v>0</v>
      </c>
      <c r="AL368">
        <f>IF(COUNT($E$2:$E368)&lt;20,"",STDEVP($E$349:$E$368))</f>
        <v>0</v>
      </c>
      <c r="AM368">
        <f>IF(AK368="","",AK368+2*AL368)</f>
        <v>0</v>
      </c>
      <c r="AN368">
        <f>IF(AK368="","",AK368-2*AL368)</f>
        <v>0</v>
      </c>
      <c r="AO368">
        <f>IF(OR(AM368="",AN368="",AM368=AN368),"",($E368-AN368)/(AM368-AN368))</f>
        <v>0</v>
      </c>
      <c r="AP368">
        <f>IF(OR(AM368="",AK368="",AK368=0),"",(AM368-AN368)/AK368)</f>
        <v>0</v>
      </c>
      <c r="AQ368">
        <f>IF(COUNT($E$2:$E368)&lt;20,"",MAX($C$349:$C$368))</f>
        <v>0</v>
      </c>
      <c r="AR368">
        <f>IF(COUNT($E$2:$E368)&lt;20,"",MIN($D$349:$D$368))</f>
        <v>0</v>
      </c>
      <c r="AS368">
        <f>IF(OR(AQ368="",AR368=""),"",(AQ368+AR368)/2)</f>
        <v>0</v>
      </c>
      <c r="AT368">
        <f>IF(COUNT($G$349:$G$368)&lt;20,"",STDEV($G$349:$G$368)*SQRT(52))</f>
        <v>0</v>
      </c>
      <c r="AU368">
        <f>IF(COUNT($E$2:$E368)&lt;9,"",(MAX($C$360:$C$368)+MIN($D$360:$D$368))/2)</f>
        <v>0</v>
      </c>
      <c r="AV368">
        <f>IF(COUNT($E$2:$E368)&lt;26,"",(MAX($C$343:$C$368)+MIN($D$343:$D$368))/2)</f>
        <v>0</v>
      </c>
      <c r="AW368">
        <f>IF(OR(AU368="",AV368=""),"",(AU368+AV368)/2)</f>
        <v>0</v>
      </c>
      <c r="AX368">
        <f>IF(COUNT($E$2:$E368)&lt;52,"",(MAX($C$317:$C$368)+MIN($D$317:$D$368))/2)</f>
        <v>0</v>
      </c>
      <c r="AY368">
        <f>IF(COUNT($E$2:$E368)&lt;20,"",MAX($C$269:$C$368))</f>
        <v>0</v>
      </c>
      <c r="AZ368">
        <f>IF(COUNT($E$2:$E368)&lt;20,"",MIN($D$269:$D$368))</f>
        <v>0</v>
      </c>
      <c r="BA368">
        <f>IF(COUNT($E$2:$E368)&lt;20,"",SLOPE($E$269:$E$368,$F$269:$F$368))</f>
        <v>0</v>
      </c>
      <c r="BB368">
        <f>IF(COUNT($E$2:$E368)&lt;20,"",INTERCEPT($E$269:$E$368,$F$269:$F$368))</f>
        <v>0</v>
      </c>
      <c r="BC368">
        <f>IF(OR(BA368="",BB368=""),"",BB368+BA368*F368)</f>
        <v>0</v>
      </c>
      <c r="BD368">
        <f>IF(COUNT($E$2:$E368)&lt;20,"",STEYX($E$269:$E$368,$F$269:$F$368))</f>
        <v>0</v>
      </c>
      <c r="BE368">
        <f>IF($E368="","",IF(AND(COUNT($E$369:$E$372)&gt;=4,$C368=MAX($C$364:$C$372)),$C368,""))</f>
        <v>0</v>
      </c>
      <c r="BF368">
        <f>IF($E368="","",IF(AND(COUNT($E$369:$E$372)&gt;=4,$D368=MIN($D$364:$D$372)),$D368,""))</f>
        <v>0</v>
      </c>
      <c r="BG368">
        <f>IFERROR(SMALL(Calc_Daily!$BM$2:$BM$2001,367),"")</f>
        <v>0</v>
      </c>
    </row>
    <row r="369" spans="1:59">
      <c r="A369" s="27">
        <f>IF($BG369="","",INDEX(Calc_Daily!$A$2:$A$2001,$BG369))</f>
        <v>0</v>
      </c>
      <c r="B369">
        <f>IF($BG369="","",INDEX(Calc_Daily!$BJ$2:$BJ$2001,$BG369))</f>
        <v>0</v>
      </c>
      <c r="C369">
        <f>IF($BG369="","",INDEX(Calc_Daily!$BK$2:$BK$2001,$BG369))</f>
        <v>0</v>
      </c>
      <c r="D369">
        <f>IF($BG369="","",INDEX(Calc_Daily!$BL$2:$BL$2001,$BG369))</f>
        <v>0</v>
      </c>
      <c r="E369">
        <f>IF($BG369="","",INDEX(Calc_Daily!$E$2:$E$2001,$BG369))</f>
        <v>0</v>
      </c>
      <c r="F369">
        <f>IF($E369="","",N(F368)+1)</f>
        <v>0</v>
      </c>
      <c r="G369">
        <f>IF(OR($E369="",$E368=""),"",LN($E369/$E368))</f>
        <v>0</v>
      </c>
      <c r="H369">
        <f>IF($E369="","",IF($E368="",$E369,$E369*0.0952380952+H368*0.9047619048))</f>
        <v>0</v>
      </c>
      <c r="I369">
        <f>IF($E369="","",IF($E368="",$E369,$E369*0.0392156863+I368*0.9607843137))</f>
        <v>0</v>
      </c>
      <c r="J369">
        <f>IF($E369="","",IF($E368="",$E369,$E369*0.0198019802+J368*0.9801980198))</f>
        <v>0</v>
      </c>
      <c r="K369">
        <f>IF($E369="","",IF($E368="",$E369,$E369*0.0099502488+K368*0.9900497512))</f>
        <v>0</v>
      </c>
      <c r="L369">
        <f>IF(OR($E369="",$E368=""),"",MAX($E369-$E368,0))</f>
        <v>0</v>
      </c>
      <c r="M369">
        <f>IF(OR($E369="",$E368=""),"",MAX($E368-$E369,0))</f>
        <v>0</v>
      </c>
      <c r="N369">
        <f>IF(COUNT($E$2:$E369)&lt;15,"",IF(AVERAGE($M$356:$M$369)=0,100,100-100/(1+AVERAGE($L$356:$L$369)/AVERAGE($M$356:$M$369))))</f>
        <v>0</v>
      </c>
      <c r="O369">
        <f>IF($E369="","",IF($E368="",$E369,$E369*0.1538461538+O368*0.8461538462))</f>
        <v>0</v>
      </c>
      <c r="P369">
        <f>IF($E369="","",IF($E368="",$E369,$E369*0.0740740741+P368*0.9259259259))</f>
        <v>0</v>
      </c>
      <c r="Q369">
        <f>IF(OR(O369="",P369=""),"",O369-P369)</f>
        <v>0</v>
      </c>
      <c r="R369">
        <f>IF(Q369="","",IF(R368="",Q369,Q369*0.2000000000+R368*0.8000000000))</f>
        <v>0</v>
      </c>
      <c r="S369">
        <f>IF(OR(Q369="",R369=""),"",Q369-R369)</f>
        <v>0</v>
      </c>
      <c r="T369">
        <f>IF(COUNT($E$2:$E369)&lt;14,"",MAX($C$356:$C$369))</f>
        <v>0</v>
      </c>
      <c r="U369">
        <f>IF(COUNT($E$2:$E369)&lt;14,"",MIN($D$356:$D$369))</f>
        <v>0</v>
      </c>
      <c r="V369">
        <f>IF(OR(T369="",U369="",T369=U369),"",100*($E369-U369)/(T369-U369))</f>
        <v>0</v>
      </c>
      <c r="W369">
        <f>IF(COUNT($V$367:$V$369)&lt;3,"",AVERAGE($V$367:$V$369))</f>
        <v>0</v>
      </c>
      <c r="X369">
        <f>IF(COUNT($N$356:$N$369)&lt;14,"",MIN($N$356:$N$369))</f>
        <v>0</v>
      </c>
      <c r="Y369">
        <f>IF(COUNT($N$356:$N$369)&lt;14,"",MAX($N$356:$N$369))</f>
        <v>0</v>
      </c>
      <c r="Z369">
        <f>IF(OR(N369="",X369="",Y369="",Y369=X369),"",100*(N369-X369)/(Y369-X369))</f>
        <v>0</v>
      </c>
      <c r="AA369">
        <f>IF(COUNT($Z$367:$Z$369)&lt;3,"",AVERAGE($Z$367:$Z$369))</f>
        <v>0</v>
      </c>
      <c r="AB369">
        <f>IF(COUNT($AA$367:$AA$369)&lt;3,"",AVERAGE($AA$367:$AA$369))</f>
        <v>0</v>
      </c>
      <c r="AC369">
        <f>IF($E369="","",MAX($C369-$D369,ABS($C369-$E368),ABS($D369-$E368)))</f>
        <v>0</v>
      </c>
      <c r="AD369">
        <f>IF(COUNT($E$2:$E369)&lt;15,"",AVERAGE($AC$356:$AC$369))</f>
        <v>0</v>
      </c>
      <c r="AE369">
        <f>IF(OR($E369="",$E368=""),"",IF(AND(($C369-$C368)&gt;($D368-$D369),($C369-$C368)&gt;0),$C369-$C368,0))</f>
        <v>0</v>
      </c>
      <c r="AF369">
        <f>IF(OR($E369="",$E368=""),"",IF(AND(($D368-$D369)&gt;($C369-$C368),($D368-$D369)&gt;0),$D368-$D369,0))</f>
        <v>0</v>
      </c>
      <c r="AG369">
        <f>IF(COUNT($E$2:$E369)&lt;15,"",IF(SUM($AC$356:$AC$369)=0,0,100*SUM($AE$356:$AE$369)/SUM($AC$356:$AC$369)))</f>
        <v>0</v>
      </c>
      <c r="AH369">
        <f>IF(COUNT($E$2:$E369)&lt;15,"",IF(SUM($AC$356:$AC$369)=0,0,100*SUM($AF$356:$AF$369)/SUM($AC$356:$AC$369)))</f>
        <v>0</v>
      </c>
      <c r="AI369">
        <f>IF(OR(AG369="",AH369=""),"",IF((AG369+AH369)=0,0,100*ABS(AG369-AH369)/(AG369+AH369)))</f>
        <v>0</v>
      </c>
      <c r="AJ369">
        <f>IF(COUNT($AI$356:$AI$369)&lt;14,"",AVERAGE($AI$356:$AI$369))</f>
        <v>0</v>
      </c>
      <c r="AK369">
        <f>IF(COUNT($E$2:$E369)&lt;20,"",AVERAGE($E$350:$E$369))</f>
        <v>0</v>
      </c>
      <c r="AL369">
        <f>IF(COUNT($E$2:$E369)&lt;20,"",STDEVP($E$350:$E$369))</f>
        <v>0</v>
      </c>
      <c r="AM369">
        <f>IF(AK369="","",AK369+2*AL369)</f>
        <v>0</v>
      </c>
      <c r="AN369">
        <f>IF(AK369="","",AK369-2*AL369)</f>
        <v>0</v>
      </c>
      <c r="AO369">
        <f>IF(OR(AM369="",AN369="",AM369=AN369),"",($E369-AN369)/(AM369-AN369))</f>
        <v>0</v>
      </c>
      <c r="AP369">
        <f>IF(OR(AM369="",AK369="",AK369=0),"",(AM369-AN369)/AK369)</f>
        <v>0</v>
      </c>
      <c r="AQ369">
        <f>IF(COUNT($E$2:$E369)&lt;20,"",MAX($C$350:$C$369))</f>
        <v>0</v>
      </c>
      <c r="AR369">
        <f>IF(COUNT($E$2:$E369)&lt;20,"",MIN($D$350:$D$369))</f>
        <v>0</v>
      </c>
      <c r="AS369">
        <f>IF(OR(AQ369="",AR369=""),"",(AQ369+AR369)/2)</f>
        <v>0</v>
      </c>
      <c r="AT369">
        <f>IF(COUNT($G$350:$G$369)&lt;20,"",STDEV($G$350:$G$369)*SQRT(52))</f>
        <v>0</v>
      </c>
      <c r="AU369">
        <f>IF(COUNT($E$2:$E369)&lt;9,"",(MAX($C$361:$C$369)+MIN($D$361:$D$369))/2)</f>
        <v>0</v>
      </c>
      <c r="AV369">
        <f>IF(COUNT($E$2:$E369)&lt;26,"",(MAX($C$344:$C$369)+MIN($D$344:$D$369))/2)</f>
        <v>0</v>
      </c>
      <c r="AW369">
        <f>IF(OR(AU369="",AV369=""),"",(AU369+AV369)/2)</f>
        <v>0</v>
      </c>
      <c r="AX369">
        <f>IF(COUNT($E$2:$E369)&lt;52,"",(MAX($C$318:$C$369)+MIN($D$318:$D$369))/2)</f>
        <v>0</v>
      </c>
      <c r="AY369">
        <f>IF(COUNT($E$2:$E369)&lt;20,"",MAX($C$270:$C$369))</f>
        <v>0</v>
      </c>
      <c r="AZ369">
        <f>IF(COUNT($E$2:$E369)&lt;20,"",MIN($D$270:$D$369))</f>
        <v>0</v>
      </c>
      <c r="BA369">
        <f>IF(COUNT($E$2:$E369)&lt;20,"",SLOPE($E$270:$E$369,$F$270:$F$369))</f>
        <v>0</v>
      </c>
      <c r="BB369">
        <f>IF(COUNT($E$2:$E369)&lt;20,"",INTERCEPT($E$270:$E$369,$F$270:$F$369))</f>
        <v>0</v>
      </c>
      <c r="BC369">
        <f>IF(OR(BA369="",BB369=""),"",BB369+BA369*F369)</f>
        <v>0</v>
      </c>
      <c r="BD369">
        <f>IF(COUNT($E$2:$E369)&lt;20,"",STEYX($E$270:$E$369,$F$270:$F$369))</f>
        <v>0</v>
      </c>
      <c r="BE369">
        <f>IF($E369="","",IF(AND(COUNT($E$370:$E$373)&gt;=4,$C369=MAX($C$365:$C$373)),$C369,""))</f>
        <v>0</v>
      </c>
      <c r="BF369">
        <f>IF($E369="","",IF(AND(COUNT($E$370:$E$373)&gt;=4,$D369=MIN($D$365:$D$373)),$D369,""))</f>
        <v>0</v>
      </c>
      <c r="BG369">
        <f>IFERROR(SMALL(Calc_Daily!$BM$2:$BM$2001,368),"")</f>
        <v>0</v>
      </c>
    </row>
    <row r="370" spans="1:59">
      <c r="A370" s="27">
        <f>IF($BG370="","",INDEX(Calc_Daily!$A$2:$A$2001,$BG370))</f>
        <v>0</v>
      </c>
      <c r="B370">
        <f>IF($BG370="","",INDEX(Calc_Daily!$BJ$2:$BJ$2001,$BG370))</f>
        <v>0</v>
      </c>
      <c r="C370">
        <f>IF($BG370="","",INDEX(Calc_Daily!$BK$2:$BK$2001,$BG370))</f>
        <v>0</v>
      </c>
      <c r="D370">
        <f>IF($BG370="","",INDEX(Calc_Daily!$BL$2:$BL$2001,$BG370))</f>
        <v>0</v>
      </c>
      <c r="E370">
        <f>IF($BG370="","",INDEX(Calc_Daily!$E$2:$E$2001,$BG370))</f>
        <v>0</v>
      </c>
      <c r="F370">
        <f>IF($E370="","",N(F369)+1)</f>
        <v>0</v>
      </c>
      <c r="G370">
        <f>IF(OR($E370="",$E369=""),"",LN($E370/$E369))</f>
        <v>0</v>
      </c>
      <c r="H370">
        <f>IF($E370="","",IF($E369="",$E370,$E370*0.0952380952+H369*0.9047619048))</f>
        <v>0</v>
      </c>
      <c r="I370">
        <f>IF($E370="","",IF($E369="",$E370,$E370*0.0392156863+I369*0.9607843137))</f>
        <v>0</v>
      </c>
      <c r="J370">
        <f>IF($E370="","",IF($E369="",$E370,$E370*0.0198019802+J369*0.9801980198))</f>
        <v>0</v>
      </c>
      <c r="K370">
        <f>IF($E370="","",IF($E369="",$E370,$E370*0.0099502488+K369*0.9900497512))</f>
        <v>0</v>
      </c>
      <c r="L370">
        <f>IF(OR($E370="",$E369=""),"",MAX($E370-$E369,0))</f>
        <v>0</v>
      </c>
      <c r="M370">
        <f>IF(OR($E370="",$E369=""),"",MAX($E369-$E370,0))</f>
        <v>0</v>
      </c>
      <c r="N370">
        <f>IF(COUNT($E$2:$E370)&lt;15,"",IF(AVERAGE($M$357:$M$370)=0,100,100-100/(1+AVERAGE($L$357:$L$370)/AVERAGE($M$357:$M$370))))</f>
        <v>0</v>
      </c>
      <c r="O370">
        <f>IF($E370="","",IF($E369="",$E370,$E370*0.1538461538+O369*0.8461538462))</f>
        <v>0</v>
      </c>
      <c r="P370">
        <f>IF($E370="","",IF($E369="",$E370,$E370*0.0740740741+P369*0.9259259259))</f>
        <v>0</v>
      </c>
      <c r="Q370">
        <f>IF(OR(O370="",P370=""),"",O370-P370)</f>
        <v>0</v>
      </c>
      <c r="R370">
        <f>IF(Q370="","",IF(R369="",Q370,Q370*0.2000000000+R369*0.8000000000))</f>
        <v>0</v>
      </c>
      <c r="S370">
        <f>IF(OR(Q370="",R370=""),"",Q370-R370)</f>
        <v>0</v>
      </c>
      <c r="T370">
        <f>IF(COUNT($E$2:$E370)&lt;14,"",MAX($C$357:$C$370))</f>
        <v>0</v>
      </c>
      <c r="U370">
        <f>IF(COUNT($E$2:$E370)&lt;14,"",MIN($D$357:$D$370))</f>
        <v>0</v>
      </c>
      <c r="V370">
        <f>IF(OR(T370="",U370="",T370=U370),"",100*($E370-U370)/(T370-U370))</f>
        <v>0</v>
      </c>
      <c r="W370">
        <f>IF(COUNT($V$368:$V$370)&lt;3,"",AVERAGE($V$368:$V$370))</f>
        <v>0</v>
      </c>
      <c r="X370">
        <f>IF(COUNT($N$357:$N$370)&lt;14,"",MIN($N$357:$N$370))</f>
        <v>0</v>
      </c>
      <c r="Y370">
        <f>IF(COUNT($N$357:$N$370)&lt;14,"",MAX($N$357:$N$370))</f>
        <v>0</v>
      </c>
      <c r="Z370">
        <f>IF(OR(N370="",X370="",Y370="",Y370=X370),"",100*(N370-X370)/(Y370-X370))</f>
        <v>0</v>
      </c>
      <c r="AA370">
        <f>IF(COUNT($Z$368:$Z$370)&lt;3,"",AVERAGE($Z$368:$Z$370))</f>
        <v>0</v>
      </c>
      <c r="AB370">
        <f>IF(COUNT($AA$368:$AA$370)&lt;3,"",AVERAGE($AA$368:$AA$370))</f>
        <v>0</v>
      </c>
      <c r="AC370">
        <f>IF($E370="","",MAX($C370-$D370,ABS($C370-$E369),ABS($D370-$E369)))</f>
        <v>0</v>
      </c>
      <c r="AD370">
        <f>IF(COUNT($E$2:$E370)&lt;15,"",AVERAGE($AC$357:$AC$370))</f>
        <v>0</v>
      </c>
      <c r="AE370">
        <f>IF(OR($E370="",$E369=""),"",IF(AND(($C370-$C369)&gt;($D369-$D370),($C370-$C369)&gt;0),$C370-$C369,0))</f>
        <v>0</v>
      </c>
      <c r="AF370">
        <f>IF(OR($E370="",$E369=""),"",IF(AND(($D369-$D370)&gt;($C370-$C369),($D369-$D370)&gt;0),$D369-$D370,0))</f>
        <v>0</v>
      </c>
      <c r="AG370">
        <f>IF(COUNT($E$2:$E370)&lt;15,"",IF(SUM($AC$357:$AC$370)=0,0,100*SUM($AE$357:$AE$370)/SUM($AC$357:$AC$370)))</f>
        <v>0</v>
      </c>
      <c r="AH370">
        <f>IF(COUNT($E$2:$E370)&lt;15,"",IF(SUM($AC$357:$AC$370)=0,0,100*SUM($AF$357:$AF$370)/SUM($AC$357:$AC$370)))</f>
        <v>0</v>
      </c>
      <c r="AI370">
        <f>IF(OR(AG370="",AH370=""),"",IF((AG370+AH370)=0,0,100*ABS(AG370-AH370)/(AG370+AH370)))</f>
        <v>0</v>
      </c>
      <c r="AJ370">
        <f>IF(COUNT($AI$357:$AI$370)&lt;14,"",AVERAGE($AI$357:$AI$370))</f>
        <v>0</v>
      </c>
      <c r="AK370">
        <f>IF(COUNT($E$2:$E370)&lt;20,"",AVERAGE($E$351:$E$370))</f>
        <v>0</v>
      </c>
      <c r="AL370">
        <f>IF(COUNT($E$2:$E370)&lt;20,"",STDEVP($E$351:$E$370))</f>
        <v>0</v>
      </c>
      <c r="AM370">
        <f>IF(AK370="","",AK370+2*AL370)</f>
        <v>0</v>
      </c>
      <c r="AN370">
        <f>IF(AK370="","",AK370-2*AL370)</f>
        <v>0</v>
      </c>
      <c r="AO370">
        <f>IF(OR(AM370="",AN370="",AM370=AN370),"",($E370-AN370)/(AM370-AN370))</f>
        <v>0</v>
      </c>
      <c r="AP370">
        <f>IF(OR(AM370="",AK370="",AK370=0),"",(AM370-AN370)/AK370)</f>
        <v>0</v>
      </c>
      <c r="AQ370">
        <f>IF(COUNT($E$2:$E370)&lt;20,"",MAX($C$351:$C$370))</f>
        <v>0</v>
      </c>
      <c r="AR370">
        <f>IF(COUNT($E$2:$E370)&lt;20,"",MIN($D$351:$D$370))</f>
        <v>0</v>
      </c>
      <c r="AS370">
        <f>IF(OR(AQ370="",AR370=""),"",(AQ370+AR370)/2)</f>
        <v>0</v>
      </c>
      <c r="AT370">
        <f>IF(COUNT($G$351:$G$370)&lt;20,"",STDEV($G$351:$G$370)*SQRT(52))</f>
        <v>0</v>
      </c>
      <c r="AU370">
        <f>IF(COUNT($E$2:$E370)&lt;9,"",(MAX($C$362:$C$370)+MIN($D$362:$D$370))/2)</f>
        <v>0</v>
      </c>
      <c r="AV370">
        <f>IF(COUNT($E$2:$E370)&lt;26,"",(MAX($C$345:$C$370)+MIN($D$345:$D$370))/2)</f>
        <v>0</v>
      </c>
      <c r="AW370">
        <f>IF(OR(AU370="",AV370=""),"",(AU370+AV370)/2)</f>
        <v>0</v>
      </c>
      <c r="AX370">
        <f>IF(COUNT($E$2:$E370)&lt;52,"",(MAX($C$319:$C$370)+MIN($D$319:$D$370))/2)</f>
        <v>0</v>
      </c>
      <c r="AY370">
        <f>IF(COUNT($E$2:$E370)&lt;20,"",MAX($C$271:$C$370))</f>
        <v>0</v>
      </c>
      <c r="AZ370">
        <f>IF(COUNT($E$2:$E370)&lt;20,"",MIN($D$271:$D$370))</f>
        <v>0</v>
      </c>
      <c r="BA370">
        <f>IF(COUNT($E$2:$E370)&lt;20,"",SLOPE($E$271:$E$370,$F$271:$F$370))</f>
        <v>0</v>
      </c>
      <c r="BB370">
        <f>IF(COUNT($E$2:$E370)&lt;20,"",INTERCEPT($E$271:$E$370,$F$271:$F$370))</f>
        <v>0</v>
      </c>
      <c r="BC370">
        <f>IF(OR(BA370="",BB370=""),"",BB370+BA370*F370)</f>
        <v>0</v>
      </c>
      <c r="BD370">
        <f>IF(COUNT($E$2:$E370)&lt;20,"",STEYX($E$271:$E$370,$F$271:$F$370))</f>
        <v>0</v>
      </c>
      <c r="BE370">
        <f>IF($E370="","",IF(AND(COUNT($E$371:$E$374)&gt;=4,$C370=MAX($C$366:$C$374)),$C370,""))</f>
        <v>0</v>
      </c>
      <c r="BF370">
        <f>IF($E370="","",IF(AND(COUNT($E$371:$E$374)&gt;=4,$D370=MIN($D$366:$D$374)),$D370,""))</f>
        <v>0</v>
      </c>
      <c r="BG370">
        <f>IFERROR(SMALL(Calc_Daily!$BM$2:$BM$2001,369),"")</f>
        <v>0</v>
      </c>
    </row>
    <row r="371" spans="1:59">
      <c r="A371" s="27">
        <f>IF($BG371="","",INDEX(Calc_Daily!$A$2:$A$2001,$BG371))</f>
        <v>0</v>
      </c>
      <c r="B371">
        <f>IF($BG371="","",INDEX(Calc_Daily!$BJ$2:$BJ$2001,$BG371))</f>
        <v>0</v>
      </c>
      <c r="C371">
        <f>IF($BG371="","",INDEX(Calc_Daily!$BK$2:$BK$2001,$BG371))</f>
        <v>0</v>
      </c>
      <c r="D371">
        <f>IF($BG371="","",INDEX(Calc_Daily!$BL$2:$BL$2001,$BG371))</f>
        <v>0</v>
      </c>
      <c r="E371">
        <f>IF($BG371="","",INDEX(Calc_Daily!$E$2:$E$2001,$BG371))</f>
        <v>0</v>
      </c>
      <c r="F371">
        <f>IF($E371="","",N(F370)+1)</f>
        <v>0</v>
      </c>
      <c r="G371">
        <f>IF(OR($E371="",$E370=""),"",LN($E371/$E370))</f>
        <v>0</v>
      </c>
      <c r="H371">
        <f>IF($E371="","",IF($E370="",$E371,$E371*0.0952380952+H370*0.9047619048))</f>
        <v>0</v>
      </c>
      <c r="I371">
        <f>IF($E371="","",IF($E370="",$E371,$E371*0.0392156863+I370*0.9607843137))</f>
        <v>0</v>
      </c>
      <c r="J371">
        <f>IF($E371="","",IF($E370="",$E371,$E371*0.0198019802+J370*0.9801980198))</f>
        <v>0</v>
      </c>
      <c r="K371">
        <f>IF($E371="","",IF($E370="",$E371,$E371*0.0099502488+K370*0.9900497512))</f>
        <v>0</v>
      </c>
      <c r="L371">
        <f>IF(OR($E371="",$E370=""),"",MAX($E371-$E370,0))</f>
        <v>0</v>
      </c>
      <c r="M371">
        <f>IF(OR($E371="",$E370=""),"",MAX($E370-$E371,0))</f>
        <v>0</v>
      </c>
      <c r="N371">
        <f>IF(COUNT($E$2:$E371)&lt;15,"",IF(AVERAGE($M$358:$M$371)=0,100,100-100/(1+AVERAGE($L$358:$L$371)/AVERAGE($M$358:$M$371))))</f>
        <v>0</v>
      </c>
      <c r="O371">
        <f>IF($E371="","",IF($E370="",$E371,$E371*0.1538461538+O370*0.8461538462))</f>
        <v>0</v>
      </c>
      <c r="P371">
        <f>IF($E371="","",IF($E370="",$E371,$E371*0.0740740741+P370*0.9259259259))</f>
        <v>0</v>
      </c>
      <c r="Q371">
        <f>IF(OR(O371="",P371=""),"",O371-P371)</f>
        <v>0</v>
      </c>
      <c r="R371">
        <f>IF(Q371="","",IF(R370="",Q371,Q371*0.2000000000+R370*0.8000000000))</f>
        <v>0</v>
      </c>
      <c r="S371">
        <f>IF(OR(Q371="",R371=""),"",Q371-R371)</f>
        <v>0</v>
      </c>
      <c r="T371">
        <f>IF(COUNT($E$2:$E371)&lt;14,"",MAX($C$358:$C$371))</f>
        <v>0</v>
      </c>
      <c r="U371">
        <f>IF(COUNT($E$2:$E371)&lt;14,"",MIN($D$358:$D$371))</f>
        <v>0</v>
      </c>
      <c r="V371">
        <f>IF(OR(T371="",U371="",T371=U371),"",100*($E371-U371)/(T371-U371))</f>
        <v>0</v>
      </c>
      <c r="W371">
        <f>IF(COUNT($V$369:$V$371)&lt;3,"",AVERAGE($V$369:$V$371))</f>
        <v>0</v>
      </c>
      <c r="X371">
        <f>IF(COUNT($N$358:$N$371)&lt;14,"",MIN($N$358:$N$371))</f>
        <v>0</v>
      </c>
      <c r="Y371">
        <f>IF(COUNT($N$358:$N$371)&lt;14,"",MAX($N$358:$N$371))</f>
        <v>0</v>
      </c>
      <c r="Z371">
        <f>IF(OR(N371="",X371="",Y371="",Y371=X371),"",100*(N371-X371)/(Y371-X371))</f>
        <v>0</v>
      </c>
      <c r="AA371">
        <f>IF(COUNT($Z$369:$Z$371)&lt;3,"",AVERAGE($Z$369:$Z$371))</f>
        <v>0</v>
      </c>
      <c r="AB371">
        <f>IF(COUNT($AA$369:$AA$371)&lt;3,"",AVERAGE($AA$369:$AA$371))</f>
        <v>0</v>
      </c>
      <c r="AC371">
        <f>IF($E371="","",MAX($C371-$D371,ABS($C371-$E370),ABS($D371-$E370)))</f>
        <v>0</v>
      </c>
      <c r="AD371">
        <f>IF(COUNT($E$2:$E371)&lt;15,"",AVERAGE($AC$358:$AC$371))</f>
        <v>0</v>
      </c>
      <c r="AE371">
        <f>IF(OR($E371="",$E370=""),"",IF(AND(($C371-$C370)&gt;($D370-$D371),($C371-$C370)&gt;0),$C371-$C370,0))</f>
        <v>0</v>
      </c>
      <c r="AF371">
        <f>IF(OR($E371="",$E370=""),"",IF(AND(($D370-$D371)&gt;($C371-$C370),($D370-$D371)&gt;0),$D370-$D371,0))</f>
        <v>0</v>
      </c>
      <c r="AG371">
        <f>IF(COUNT($E$2:$E371)&lt;15,"",IF(SUM($AC$358:$AC$371)=0,0,100*SUM($AE$358:$AE$371)/SUM($AC$358:$AC$371)))</f>
        <v>0</v>
      </c>
      <c r="AH371">
        <f>IF(COUNT($E$2:$E371)&lt;15,"",IF(SUM($AC$358:$AC$371)=0,0,100*SUM($AF$358:$AF$371)/SUM($AC$358:$AC$371)))</f>
        <v>0</v>
      </c>
      <c r="AI371">
        <f>IF(OR(AG371="",AH371=""),"",IF((AG371+AH371)=0,0,100*ABS(AG371-AH371)/(AG371+AH371)))</f>
        <v>0</v>
      </c>
      <c r="AJ371">
        <f>IF(COUNT($AI$358:$AI$371)&lt;14,"",AVERAGE($AI$358:$AI$371))</f>
        <v>0</v>
      </c>
      <c r="AK371">
        <f>IF(COUNT($E$2:$E371)&lt;20,"",AVERAGE($E$352:$E$371))</f>
        <v>0</v>
      </c>
      <c r="AL371">
        <f>IF(COUNT($E$2:$E371)&lt;20,"",STDEVP($E$352:$E$371))</f>
        <v>0</v>
      </c>
      <c r="AM371">
        <f>IF(AK371="","",AK371+2*AL371)</f>
        <v>0</v>
      </c>
      <c r="AN371">
        <f>IF(AK371="","",AK371-2*AL371)</f>
        <v>0</v>
      </c>
      <c r="AO371">
        <f>IF(OR(AM371="",AN371="",AM371=AN371),"",($E371-AN371)/(AM371-AN371))</f>
        <v>0</v>
      </c>
      <c r="AP371">
        <f>IF(OR(AM371="",AK371="",AK371=0),"",(AM371-AN371)/AK371)</f>
        <v>0</v>
      </c>
      <c r="AQ371">
        <f>IF(COUNT($E$2:$E371)&lt;20,"",MAX($C$352:$C$371))</f>
        <v>0</v>
      </c>
      <c r="AR371">
        <f>IF(COUNT($E$2:$E371)&lt;20,"",MIN($D$352:$D$371))</f>
        <v>0</v>
      </c>
      <c r="AS371">
        <f>IF(OR(AQ371="",AR371=""),"",(AQ371+AR371)/2)</f>
        <v>0</v>
      </c>
      <c r="AT371">
        <f>IF(COUNT($G$352:$G$371)&lt;20,"",STDEV($G$352:$G$371)*SQRT(52))</f>
        <v>0</v>
      </c>
      <c r="AU371">
        <f>IF(COUNT($E$2:$E371)&lt;9,"",(MAX($C$363:$C$371)+MIN($D$363:$D$371))/2)</f>
        <v>0</v>
      </c>
      <c r="AV371">
        <f>IF(COUNT($E$2:$E371)&lt;26,"",(MAX($C$346:$C$371)+MIN($D$346:$D$371))/2)</f>
        <v>0</v>
      </c>
      <c r="AW371">
        <f>IF(OR(AU371="",AV371=""),"",(AU371+AV371)/2)</f>
        <v>0</v>
      </c>
      <c r="AX371">
        <f>IF(COUNT($E$2:$E371)&lt;52,"",(MAX($C$320:$C$371)+MIN($D$320:$D$371))/2)</f>
        <v>0</v>
      </c>
      <c r="AY371">
        <f>IF(COUNT($E$2:$E371)&lt;20,"",MAX($C$272:$C$371))</f>
        <v>0</v>
      </c>
      <c r="AZ371">
        <f>IF(COUNT($E$2:$E371)&lt;20,"",MIN($D$272:$D$371))</f>
        <v>0</v>
      </c>
      <c r="BA371">
        <f>IF(COUNT($E$2:$E371)&lt;20,"",SLOPE($E$272:$E$371,$F$272:$F$371))</f>
        <v>0</v>
      </c>
      <c r="BB371">
        <f>IF(COUNT($E$2:$E371)&lt;20,"",INTERCEPT($E$272:$E$371,$F$272:$F$371))</f>
        <v>0</v>
      </c>
      <c r="BC371">
        <f>IF(OR(BA371="",BB371=""),"",BB371+BA371*F371)</f>
        <v>0</v>
      </c>
      <c r="BD371">
        <f>IF(COUNT($E$2:$E371)&lt;20,"",STEYX($E$272:$E$371,$F$272:$F$371))</f>
        <v>0</v>
      </c>
      <c r="BE371">
        <f>IF($E371="","",IF(AND(COUNT($E$372:$E$375)&gt;=4,$C371=MAX($C$367:$C$375)),$C371,""))</f>
        <v>0</v>
      </c>
      <c r="BF371">
        <f>IF($E371="","",IF(AND(COUNT($E$372:$E$375)&gt;=4,$D371=MIN($D$367:$D$375)),$D371,""))</f>
        <v>0</v>
      </c>
      <c r="BG371">
        <f>IFERROR(SMALL(Calc_Daily!$BM$2:$BM$2001,370),"")</f>
        <v>0</v>
      </c>
    </row>
    <row r="372" spans="1:59">
      <c r="A372" s="27">
        <f>IF($BG372="","",INDEX(Calc_Daily!$A$2:$A$2001,$BG372))</f>
        <v>0</v>
      </c>
      <c r="B372">
        <f>IF($BG372="","",INDEX(Calc_Daily!$BJ$2:$BJ$2001,$BG372))</f>
        <v>0</v>
      </c>
      <c r="C372">
        <f>IF($BG372="","",INDEX(Calc_Daily!$BK$2:$BK$2001,$BG372))</f>
        <v>0</v>
      </c>
      <c r="D372">
        <f>IF($BG372="","",INDEX(Calc_Daily!$BL$2:$BL$2001,$BG372))</f>
        <v>0</v>
      </c>
      <c r="E372">
        <f>IF($BG372="","",INDEX(Calc_Daily!$E$2:$E$2001,$BG372))</f>
        <v>0</v>
      </c>
      <c r="F372">
        <f>IF($E372="","",N(F371)+1)</f>
        <v>0</v>
      </c>
      <c r="G372">
        <f>IF(OR($E372="",$E371=""),"",LN($E372/$E371))</f>
        <v>0</v>
      </c>
      <c r="H372">
        <f>IF($E372="","",IF($E371="",$E372,$E372*0.0952380952+H371*0.9047619048))</f>
        <v>0</v>
      </c>
      <c r="I372">
        <f>IF($E372="","",IF($E371="",$E372,$E372*0.0392156863+I371*0.9607843137))</f>
        <v>0</v>
      </c>
      <c r="J372">
        <f>IF($E372="","",IF($E371="",$E372,$E372*0.0198019802+J371*0.9801980198))</f>
        <v>0</v>
      </c>
      <c r="K372">
        <f>IF($E372="","",IF($E371="",$E372,$E372*0.0099502488+K371*0.9900497512))</f>
        <v>0</v>
      </c>
      <c r="L372">
        <f>IF(OR($E372="",$E371=""),"",MAX($E372-$E371,0))</f>
        <v>0</v>
      </c>
      <c r="M372">
        <f>IF(OR($E372="",$E371=""),"",MAX($E371-$E372,0))</f>
        <v>0</v>
      </c>
      <c r="N372">
        <f>IF(COUNT($E$2:$E372)&lt;15,"",IF(AVERAGE($M$359:$M$372)=0,100,100-100/(1+AVERAGE($L$359:$L$372)/AVERAGE($M$359:$M$372))))</f>
        <v>0</v>
      </c>
      <c r="O372">
        <f>IF($E372="","",IF($E371="",$E372,$E372*0.1538461538+O371*0.8461538462))</f>
        <v>0</v>
      </c>
      <c r="P372">
        <f>IF($E372="","",IF($E371="",$E372,$E372*0.0740740741+P371*0.9259259259))</f>
        <v>0</v>
      </c>
      <c r="Q372">
        <f>IF(OR(O372="",P372=""),"",O372-P372)</f>
        <v>0</v>
      </c>
      <c r="R372">
        <f>IF(Q372="","",IF(R371="",Q372,Q372*0.2000000000+R371*0.8000000000))</f>
        <v>0</v>
      </c>
      <c r="S372">
        <f>IF(OR(Q372="",R372=""),"",Q372-R372)</f>
        <v>0</v>
      </c>
      <c r="T372">
        <f>IF(COUNT($E$2:$E372)&lt;14,"",MAX($C$359:$C$372))</f>
        <v>0</v>
      </c>
      <c r="U372">
        <f>IF(COUNT($E$2:$E372)&lt;14,"",MIN($D$359:$D$372))</f>
        <v>0</v>
      </c>
      <c r="V372">
        <f>IF(OR(T372="",U372="",T372=U372),"",100*($E372-U372)/(T372-U372))</f>
        <v>0</v>
      </c>
      <c r="W372">
        <f>IF(COUNT($V$370:$V$372)&lt;3,"",AVERAGE($V$370:$V$372))</f>
        <v>0</v>
      </c>
      <c r="X372">
        <f>IF(COUNT($N$359:$N$372)&lt;14,"",MIN($N$359:$N$372))</f>
        <v>0</v>
      </c>
      <c r="Y372">
        <f>IF(COUNT($N$359:$N$372)&lt;14,"",MAX($N$359:$N$372))</f>
        <v>0</v>
      </c>
      <c r="Z372">
        <f>IF(OR(N372="",X372="",Y372="",Y372=X372),"",100*(N372-X372)/(Y372-X372))</f>
        <v>0</v>
      </c>
      <c r="AA372">
        <f>IF(COUNT($Z$370:$Z$372)&lt;3,"",AVERAGE($Z$370:$Z$372))</f>
        <v>0</v>
      </c>
      <c r="AB372">
        <f>IF(COUNT($AA$370:$AA$372)&lt;3,"",AVERAGE($AA$370:$AA$372))</f>
        <v>0</v>
      </c>
      <c r="AC372">
        <f>IF($E372="","",MAX($C372-$D372,ABS($C372-$E371),ABS($D372-$E371)))</f>
        <v>0</v>
      </c>
      <c r="AD372">
        <f>IF(COUNT($E$2:$E372)&lt;15,"",AVERAGE($AC$359:$AC$372))</f>
        <v>0</v>
      </c>
      <c r="AE372">
        <f>IF(OR($E372="",$E371=""),"",IF(AND(($C372-$C371)&gt;($D371-$D372),($C372-$C371)&gt;0),$C372-$C371,0))</f>
        <v>0</v>
      </c>
      <c r="AF372">
        <f>IF(OR($E372="",$E371=""),"",IF(AND(($D371-$D372)&gt;($C372-$C371),($D371-$D372)&gt;0),$D371-$D372,0))</f>
        <v>0</v>
      </c>
      <c r="AG372">
        <f>IF(COUNT($E$2:$E372)&lt;15,"",IF(SUM($AC$359:$AC$372)=0,0,100*SUM($AE$359:$AE$372)/SUM($AC$359:$AC$372)))</f>
        <v>0</v>
      </c>
      <c r="AH372">
        <f>IF(COUNT($E$2:$E372)&lt;15,"",IF(SUM($AC$359:$AC$372)=0,0,100*SUM($AF$359:$AF$372)/SUM($AC$359:$AC$372)))</f>
        <v>0</v>
      </c>
      <c r="AI372">
        <f>IF(OR(AG372="",AH372=""),"",IF((AG372+AH372)=0,0,100*ABS(AG372-AH372)/(AG372+AH372)))</f>
        <v>0</v>
      </c>
      <c r="AJ372">
        <f>IF(COUNT($AI$359:$AI$372)&lt;14,"",AVERAGE($AI$359:$AI$372))</f>
        <v>0</v>
      </c>
      <c r="AK372">
        <f>IF(COUNT($E$2:$E372)&lt;20,"",AVERAGE($E$353:$E$372))</f>
        <v>0</v>
      </c>
      <c r="AL372">
        <f>IF(COUNT($E$2:$E372)&lt;20,"",STDEVP($E$353:$E$372))</f>
        <v>0</v>
      </c>
      <c r="AM372">
        <f>IF(AK372="","",AK372+2*AL372)</f>
        <v>0</v>
      </c>
      <c r="AN372">
        <f>IF(AK372="","",AK372-2*AL372)</f>
        <v>0</v>
      </c>
      <c r="AO372">
        <f>IF(OR(AM372="",AN372="",AM372=AN372),"",($E372-AN372)/(AM372-AN372))</f>
        <v>0</v>
      </c>
      <c r="AP372">
        <f>IF(OR(AM372="",AK372="",AK372=0),"",(AM372-AN372)/AK372)</f>
        <v>0</v>
      </c>
      <c r="AQ372">
        <f>IF(COUNT($E$2:$E372)&lt;20,"",MAX($C$353:$C$372))</f>
        <v>0</v>
      </c>
      <c r="AR372">
        <f>IF(COUNT($E$2:$E372)&lt;20,"",MIN($D$353:$D$372))</f>
        <v>0</v>
      </c>
      <c r="AS372">
        <f>IF(OR(AQ372="",AR372=""),"",(AQ372+AR372)/2)</f>
        <v>0</v>
      </c>
      <c r="AT372">
        <f>IF(COUNT($G$353:$G$372)&lt;20,"",STDEV($G$353:$G$372)*SQRT(52))</f>
        <v>0</v>
      </c>
      <c r="AU372">
        <f>IF(COUNT($E$2:$E372)&lt;9,"",(MAX($C$364:$C$372)+MIN($D$364:$D$372))/2)</f>
        <v>0</v>
      </c>
      <c r="AV372">
        <f>IF(COUNT($E$2:$E372)&lt;26,"",(MAX($C$347:$C$372)+MIN($D$347:$D$372))/2)</f>
        <v>0</v>
      </c>
      <c r="AW372">
        <f>IF(OR(AU372="",AV372=""),"",(AU372+AV372)/2)</f>
        <v>0</v>
      </c>
      <c r="AX372">
        <f>IF(COUNT($E$2:$E372)&lt;52,"",(MAX($C$321:$C$372)+MIN($D$321:$D$372))/2)</f>
        <v>0</v>
      </c>
      <c r="AY372">
        <f>IF(COUNT($E$2:$E372)&lt;20,"",MAX($C$273:$C$372))</f>
        <v>0</v>
      </c>
      <c r="AZ372">
        <f>IF(COUNT($E$2:$E372)&lt;20,"",MIN($D$273:$D$372))</f>
        <v>0</v>
      </c>
      <c r="BA372">
        <f>IF(COUNT($E$2:$E372)&lt;20,"",SLOPE($E$273:$E$372,$F$273:$F$372))</f>
        <v>0</v>
      </c>
      <c r="BB372">
        <f>IF(COUNT($E$2:$E372)&lt;20,"",INTERCEPT($E$273:$E$372,$F$273:$F$372))</f>
        <v>0</v>
      </c>
      <c r="BC372">
        <f>IF(OR(BA372="",BB372=""),"",BB372+BA372*F372)</f>
        <v>0</v>
      </c>
      <c r="BD372">
        <f>IF(COUNT($E$2:$E372)&lt;20,"",STEYX($E$273:$E$372,$F$273:$F$372))</f>
        <v>0</v>
      </c>
      <c r="BE372">
        <f>IF($E372="","",IF(AND(COUNT($E$373:$E$376)&gt;=4,$C372=MAX($C$368:$C$376)),$C372,""))</f>
        <v>0</v>
      </c>
      <c r="BF372">
        <f>IF($E372="","",IF(AND(COUNT($E$373:$E$376)&gt;=4,$D372=MIN($D$368:$D$376)),$D372,""))</f>
        <v>0</v>
      </c>
      <c r="BG372">
        <f>IFERROR(SMALL(Calc_Daily!$BM$2:$BM$2001,371),"")</f>
        <v>0</v>
      </c>
    </row>
    <row r="373" spans="1:59">
      <c r="A373" s="27">
        <f>IF($BG373="","",INDEX(Calc_Daily!$A$2:$A$2001,$BG373))</f>
        <v>0</v>
      </c>
      <c r="B373">
        <f>IF($BG373="","",INDEX(Calc_Daily!$BJ$2:$BJ$2001,$BG373))</f>
        <v>0</v>
      </c>
      <c r="C373">
        <f>IF($BG373="","",INDEX(Calc_Daily!$BK$2:$BK$2001,$BG373))</f>
        <v>0</v>
      </c>
      <c r="D373">
        <f>IF($BG373="","",INDEX(Calc_Daily!$BL$2:$BL$2001,$BG373))</f>
        <v>0</v>
      </c>
      <c r="E373">
        <f>IF($BG373="","",INDEX(Calc_Daily!$E$2:$E$2001,$BG373))</f>
        <v>0</v>
      </c>
      <c r="F373">
        <f>IF($E373="","",N(F372)+1)</f>
        <v>0</v>
      </c>
      <c r="G373">
        <f>IF(OR($E373="",$E372=""),"",LN($E373/$E372))</f>
        <v>0</v>
      </c>
      <c r="H373">
        <f>IF($E373="","",IF($E372="",$E373,$E373*0.0952380952+H372*0.9047619048))</f>
        <v>0</v>
      </c>
      <c r="I373">
        <f>IF($E373="","",IF($E372="",$E373,$E373*0.0392156863+I372*0.9607843137))</f>
        <v>0</v>
      </c>
      <c r="J373">
        <f>IF($E373="","",IF($E372="",$E373,$E373*0.0198019802+J372*0.9801980198))</f>
        <v>0</v>
      </c>
      <c r="K373">
        <f>IF($E373="","",IF($E372="",$E373,$E373*0.0099502488+K372*0.9900497512))</f>
        <v>0</v>
      </c>
      <c r="L373">
        <f>IF(OR($E373="",$E372=""),"",MAX($E373-$E372,0))</f>
        <v>0</v>
      </c>
      <c r="M373">
        <f>IF(OR($E373="",$E372=""),"",MAX($E372-$E373,0))</f>
        <v>0</v>
      </c>
      <c r="N373">
        <f>IF(COUNT($E$2:$E373)&lt;15,"",IF(AVERAGE($M$360:$M$373)=0,100,100-100/(1+AVERAGE($L$360:$L$373)/AVERAGE($M$360:$M$373))))</f>
        <v>0</v>
      </c>
      <c r="O373">
        <f>IF($E373="","",IF($E372="",$E373,$E373*0.1538461538+O372*0.8461538462))</f>
        <v>0</v>
      </c>
      <c r="P373">
        <f>IF($E373="","",IF($E372="",$E373,$E373*0.0740740741+P372*0.9259259259))</f>
        <v>0</v>
      </c>
      <c r="Q373">
        <f>IF(OR(O373="",P373=""),"",O373-P373)</f>
        <v>0</v>
      </c>
      <c r="R373">
        <f>IF(Q373="","",IF(R372="",Q373,Q373*0.2000000000+R372*0.8000000000))</f>
        <v>0</v>
      </c>
      <c r="S373">
        <f>IF(OR(Q373="",R373=""),"",Q373-R373)</f>
        <v>0</v>
      </c>
      <c r="T373">
        <f>IF(COUNT($E$2:$E373)&lt;14,"",MAX($C$360:$C$373))</f>
        <v>0</v>
      </c>
      <c r="U373">
        <f>IF(COUNT($E$2:$E373)&lt;14,"",MIN($D$360:$D$373))</f>
        <v>0</v>
      </c>
      <c r="V373">
        <f>IF(OR(T373="",U373="",T373=U373),"",100*($E373-U373)/(T373-U373))</f>
        <v>0</v>
      </c>
      <c r="W373">
        <f>IF(COUNT($V$371:$V$373)&lt;3,"",AVERAGE($V$371:$V$373))</f>
        <v>0</v>
      </c>
      <c r="X373">
        <f>IF(COUNT($N$360:$N$373)&lt;14,"",MIN($N$360:$N$373))</f>
        <v>0</v>
      </c>
      <c r="Y373">
        <f>IF(COUNT($N$360:$N$373)&lt;14,"",MAX($N$360:$N$373))</f>
        <v>0</v>
      </c>
      <c r="Z373">
        <f>IF(OR(N373="",X373="",Y373="",Y373=X373),"",100*(N373-X373)/(Y373-X373))</f>
        <v>0</v>
      </c>
      <c r="AA373">
        <f>IF(COUNT($Z$371:$Z$373)&lt;3,"",AVERAGE($Z$371:$Z$373))</f>
        <v>0</v>
      </c>
      <c r="AB373">
        <f>IF(COUNT($AA$371:$AA$373)&lt;3,"",AVERAGE($AA$371:$AA$373))</f>
        <v>0</v>
      </c>
      <c r="AC373">
        <f>IF($E373="","",MAX($C373-$D373,ABS($C373-$E372),ABS($D373-$E372)))</f>
        <v>0</v>
      </c>
      <c r="AD373">
        <f>IF(COUNT($E$2:$E373)&lt;15,"",AVERAGE($AC$360:$AC$373))</f>
        <v>0</v>
      </c>
      <c r="AE373">
        <f>IF(OR($E373="",$E372=""),"",IF(AND(($C373-$C372)&gt;($D372-$D373),($C373-$C372)&gt;0),$C373-$C372,0))</f>
        <v>0</v>
      </c>
      <c r="AF373">
        <f>IF(OR($E373="",$E372=""),"",IF(AND(($D372-$D373)&gt;($C373-$C372),($D372-$D373)&gt;0),$D372-$D373,0))</f>
        <v>0</v>
      </c>
      <c r="AG373">
        <f>IF(COUNT($E$2:$E373)&lt;15,"",IF(SUM($AC$360:$AC$373)=0,0,100*SUM($AE$360:$AE$373)/SUM($AC$360:$AC$373)))</f>
        <v>0</v>
      </c>
      <c r="AH373">
        <f>IF(COUNT($E$2:$E373)&lt;15,"",IF(SUM($AC$360:$AC$373)=0,0,100*SUM($AF$360:$AF$373)/SUM($AC$360:$AC$373)))</f>
        <v>0</v>
      </c>
      <c r="AI373">
        <f>IF(OR(AG373="",AH373=""),"",IF((AG373+AH373)=0,0,100*ABS(AG373-AH373)/(AG373+AH373)))</f>
        <v>0</v>
      </c>
      <c r="AJ373">
        <f>IF(COUNT($AI$360:$AI$373)&lt;14,"",AVERAGE($AI$360:$AI$373))</f>
        <v>0</v>
      </c>
      <c r="AK373">
        <f>IF(COUNT($E$2:$E373)&lt;20,"",AVERAGE($E$354:$E$373))</f>
        <v>0</v>
      </c>
      <c r="AL373">
        <f>IF(COUNT($E$2:$E373)&lt;20,"",STDEVP($E$354:$E$373))</f>
        <v>0</v>
      </c>
      <c r="AM373">
        <f>IF(AK373="","",AK373+2*AL373)</f>
        <v>0</v>
      </c>
      <c r="AN373">
        <f>IF(AK373="","",AK373-2*AL373)</f>
        <v>0</v>
      </c>
      <c r="AO373">
        <f>IF(OR(AM373="",AN373="",AM373=AN373),"",($E373-AN373)/(AM373-AN373))</f>
        <v>0</v>
      </c>
      <c r="AP373">
        <f>IF(OR(AM373="",AK373="",AK373=0),"",(AM373-AN373)/AK373)</f>
        <v>0</v>
      </c>
      <c r="AQ373">
        <f>IF(COUNT($E$2:$E373)&lt;20,"",MAX($C$354:$C$373))</f>
        <v>0</v>
      </c>
      <c r="AR373">
        <f>IF(COUNT($E$2:$E373)&lt;20,"",MIN($D$354:$D$373))</f>
        <v>0</v>
      </c>
      <c r="AS373">
        <f>IF(OR(AQ373="",AR373=""),"",(AQ373+AR373)/2)</f>
        <v>0</v>
      </c>
      <c r="AT373">
        <f>IF(COUNT($G$354:$G$373)&lt;20,"",STDEV($G$354:$G$373)*SQRT(52))</f>
        <v>0</v>
      </c>
      <c r="AU373">
        <f>IF(COUNT($E$2:$E373)&lt;9,"",(MAX($C$365:$C$373)+MIN($D$365:$D$373))/2)</f>
        <v>0</v>
      </c>
      <c r="AV373">
        <f>IF(COUNT($E$2:$E373)&lt;26,"",(MAX($C$348:$C$373)+MIN($D$348:$D$373))/2)</f>
        <v>0</v>
      </c>
      <c r="AW373">
        <f>IF(OR(AU373="",AV373=""),"",(AU373+AV373)/2)</f>
        <v>0</v>
      </c>
      <c r="AX373">
        <f>IF(COUNT($E$2:$E373)&lt;52,"",(MAX($C$322:$C$373)+MIN($D$322:$D$373))/2)</f>
        <v>0</v>
      </c>
      <c r="AY373">
        <f>IF(COUNT($E$2:$E373)&lt;20,"",MAX($C$274:$C$373))</f>
        <v>0</v>
      </c>
      <c r="AZ373">
        <f>IF(COUNT($E$2:$E373)&lt;20,"",MIN($D$274:$D$373))</f>
        <v>0</v>
      </c>
      <c r="BA373">
        <f>IF(COUNT($E$2:$E373)&lt;20,"",SLOPE($E$274:$E$373,$F$274:$F$373))</f>
        <v>0</v>
      </c>
      <c r="BB373">
        <f>IF(COUNT($E$2:$E373)&lt;20,"",INTERCEPT($E$274:$E$373,$F$274:$F$373))</f>
        <v>0</v>
      </c>
      <c r="BC373">
        <f>IF(OR(BA373="",BB373=""),"",BB373+BA373*F373)</f>
        <v>0</v>
      </c>
      <c r="BD373">
        <f>IF(COUNT($E$2:$E373)&lt;20,"",STEYX($E$274:$E$373,$F$274:$F$373))</f>
        <v>0</v>
      </c>
      <c r="BE373">
        <f>IF($E373="","",IF(AND(COUNT($E$374:$E$377)&gt;=4,$C373=MAX($C$369:$C$377)),$C373,""))</f>
        <v>0</v>
      </c>
      <c r="BF373">
        <f>IF($E373="","",IF(AND(COUNT($E$374:$E$377)&gt;=4,$D373=MIN($D$369:$D$377)),$D373,""))</f>
        <v>0</v>
      </c>
      <c r="BG373">
        <f>IFERROR(SMALL(Calc_Daily!$BM$2:$BM$2001,372),"")</f>
        <v>0</v>
      </c>
    </row>
    <row r="374" spans="1:59">
      <c r="A374" s="27">
        <f>IF($BG374="","",INDEX(Calc_Daily!$A$2:$A$2001,$BG374))</f>
        <v>0</v>
      </c>
      <c r="B374">
        <f>IF($BG374="","",INDEX(Calc_Daily!$BJ$2:$BJ$2001,$BG374))</f>
        <v>0</v>
      </c>
      <c r="C374">
        <f>IF($BG374="","",INDEX(Calc_Daily!$BK$2:$BK$2001,$BG374))</f>
        <v>0</v>
      </c>
      <c r="D374">
        <f>IF($BG374="","",INDEX(Calc_Daily!$BL$2:$BL$2001,$BG374))</f>
        <v>0</v>
      </c>
      <c r="E374">
        <f>IF($BG374="","",INDEX(Calc_Daily!$E$2:$E$2001,$BG374))</f>
        <v>0</v>
      </c>
      <c r="F374">
        <f>IF($E374="","",N(F373)+1)</f>
        <v>0</v>
      </c>
      <c r="G374">
        <f>IF(OR($E374="",$E373=""),"",LN($E374/$E373))</f>
        <v>0</v>
      </c>
      <c r="H374">
        <f>IF($E374="","",IF($E373="",$E374,$E374*0.0952380952+H373*0.9047619048))</f>
        <v>0</v>
      </c>
      <c r="I374">
        <f>IF($E374="","",IF($E373="",$E374,$E374*0.0392156863+I373*0.9607843137))</f>
        <v>0</v>
      </c>
      <c r="J374">
        <f>IF($E374="","",IF($E373="",$E374,$E374*0.0198019802+J373*0.9801980198))</f>
        <v>0</v>
      </c>
      <c r="K374">
        <f>IF($E374="","",IF($E373="",$E374,$E374*0.0099502488+K373*0.9900497512))</f>
        <v>0</v>
      </c>
      <c r="L374">
        <f>IF(OR($E374="",$E373=""),"",MAX($E374-$E373,0))</f>
        <v>0</v>
      </c>
      <c r="M374">
        <f>IF(OR($E374="",$E373=""),"",MAX($E373-$E374,0))</f>
        <v>0</v>
      </c>
      <c r="N374">
        <f>IF(COUNT($E$2:$E374)&lt;15,"",IF(AVERAGE($M$361:$M$374)=0,100,100-100/(1+AVERAGE($L$361:$L$374)/AVERAGE($M$361:$M$374))))</f>
        <v>0</v>
      </c>
      <c r="O374">
        <f>IF($E374="","",IF($E373="",$E374,$E374*0.1538461538+O373*0.8461538462))</f>
        <v>0</v>
      </c>
      <c r="P374">
        <f>IF($E374="","",IF($E373="",$E374,$E374*0.0740740741+P373*0.9259259259))</f>
        <v>0</v>
      </c>
      <c r="Q374">
        <f>IF(OR(O374="",P374=""),"",O374-P374)</f>
        <v>0</v>
      </c>
      <c r="R374">
        <f>IF(Q374="","",IF(R373="",Q374,Q374*0.2000000000+R373*0.8000000000))</f>
        <v>0</v>
      </c>
      <c r="S374">
        <f>IF(OR(Q374="",R374=""),"",Q374-R374)</f>
        <v>0</v>
      </c>
      <c r="T374">
        <f>IF(COUNT($E$2:$E374)&lt;14,"",MAX($C$361:$C$374))</f>
        <v>0</v>
      </c>
      <c r="U374">
        <f>IF(COUNT($E$2:$E374)&lt;14,"",MIN($D$361:$D$374))</f>
        <v>0</v>
      </c>
      <c r="V374">
        <f>IF(OR(T374="",U374="",T374=U374),"",100*($E374-U374)/(T374-U374))</f>
        <v>0</v>
      </c>
      <c r="W374">
        <f>IF(COUNT($V$372:$V$374)&lt;3,"",AVERAGE($V$372:$V$374))</f>
        <v>0</v>
      </c>
      <c r="X374">
        <f>IF(COUNT($N$361:$N$374)&lt;14,"",MIN($N$361:$N$374))</f>
        <v>0</v>
      </c>
      <c r="Y374">
        <f>IF(COUNT($N$361:$N$374)&lt;14,"",MAX($N$361:$N$374))</f>
        <v>0</v>
      </c>
      <c r="Z374">
        <f>IF(OR(N374="",X374="",Y374="",Y374=X374),"",100*(N374-X374)/(Y374-X374))</f>
        <v>0</v>
      </c>
      <c r="AA374">
        <f>IF(COUNT($Z$372:$Z$374)&lt;3,"",AVERAGE($Z$372:$Z$374))</f>
        <v>0</v>
      </c>
      <c r="AB374">
        <f>IF(COUNT($AA$372:$AA$374)&lt;3,"",AVERAGE($AA$372:$AA$374))</f>
        <v>0</v>
      </c>
      <c r="AC374">
        <f>IF($E374="","",MAX($C374-$D374,ABS($C374-$E373),ABS($D374-$E373)))</f>
        <v>0</v>
      </c>
      <c r="AD374">
        <f>IF(COUNT($E$2:$E374)&lt;15,"",AVERAGE($AC$361:$AC$374))</f>
        <v>0</v>
      </c>
      <c r="AE374">
        <f>IF(OR($E374="",$E373=""),"",IF(AND(($C374-$C373)&gt;($D373-$D374),($C374-$C373)&gt;0),$C374-$C373,0))</f>
        <v>0</v>
      </c>
      <c r="AF374">
        <f>IF(OR($E374="",$E373=""),"",IF(AND(($D373-$D374)&gt;($C374-$C373),($D373-$D374)&gt;0),$D373-$D374,0))</f>
        <v>0</v>
      </c>
      <c r="AG374">
        <f>IF(COUNT($E$2:$E374)&lt;15,"",IF(SUM($AC$361:$AC$374)=0,0,100*SUM($AE$361:$AE$374)/SUM($AC$361:$AC$374)))</f>
        <v>0</v>
      </c>
      <c r="AH374">
        <f>IF(COUNT($E$2:$E374)&lt;15,"",IF(SUM($AC$361:$AC$374)=0,0,100*SUM($AF$361:$AF$374)/SUM($AC$361:$AC$374)))</f>
        <v>0</v>
      </c>
      <c r="AI374">
        <f>IF(OR(AG374="",AH374=""),"",IF((AG374+AH374)=0,0,100*ABS(AG374-AH374)/(AG374+AH374)))</f>
        <v>0</v>
      </c>
      <c r="AJ374">
        <f>IF(COUNT($AI$361:$AI$374)&lt;14,"",AVERAGE($AI$361:$AI$374))</f>
        <v>0</v>
      </c>
      <c r="AK374">
        <f>IF(COUNT($E$2:$E374)&lt;20,"",AVERAGE($E$355:$E$374))</f>
        <v>0</v>
      </c>
      <c r="AL374">
        <f>IF(COUNT($E$2:$E374)&lt;20,"",STDEVP($E$355:$E$374))</f>
        <v>0</v>
      </c>
      <c r="AM374">
        <f>IF(AK374="","",AK374+2*AL374)</f>
        <v>0</v>
      </c>
      <c r="AN374">
        <f>IF(AK374="","",AK374-2*AL374)</f>
        <v>0</v>
      </c>
      <c r="AO374">
        <f>IF(OR(AM374="",AN374="",AM374=AN374),"",($E374-AN374)/(AM374-AN374))</f>
        <v>0</v>
      </c>
      <c r="AP374">
        <f>IF(OR(AM374="",AK374="",AK374=0),"",(AM374-AN374)/AK374)</f>
        <v>0</v>
      </c>
      <c r="AQ374">
        <f>IF(COUNT($E$2:$E374)&lt;20,"",MAX($C$355:$C$374))</f>
        <v>0</v>
      </c>
      <c r="AR374">
        <f>IF(COUNT($E$2:$E374)&lt;20,"",MIN($D$355:$D$374))</f>
        <v>0</v>
      </c>
      <c r="AS374">
        <f>IF(OR(AQ374="",AR374=""),"",(AQ374+AR374)/2)</f>
        <v>0</v>
      </c>
      <c r="AT374">
        <f>IF(COUNT($G$355:$G$374)&lt;20,"",STDEV($G$355:$G$374)*SQRT(52))</f>
        <v>0</v>
      </c>
      <c r="AU374">
        <f>IF(COUNT($E$2:$E374)&lt;9,"",(MAX($C$366:$C$374)+MIN($D$366:$D$374))/2)</f>
        <v>0</v>
      </c>
      <c r="AV374">
        <f>IF(COUNT($E$2:$E374)&lt;26,"",(MAX($C$349:$C$374)+MIN($D$349:$D$374))/2)</f>
        <v>0</v>
      </c>
      <c r="AW374">
        <f>IF(OR(AU374="",AV374=""),"",(AU374+AV374)/2)</f>
        <v>0</v>
      </c>
      <c r="AX374">
        <f>IF(COUNT($E$2:$E374)&lt;52,"",(MAX($C$323:$C$374)+MIN($D$323:$D$374))/2)</f>
        <v>0</v>
      </c>
      <c r="AY374">
        <f>IF(COUNT($E$2:$E374)&lt;20,"",MAX($C$275:$C$374))</f>
        <v>0</v>
      </c>
      <c r="AZ374">
        <f>IF(COUNT($E$2:$E374)&lt;20,"",MIN($D$275:$D$374))</f>
        <v>0</v>
      </c>
      <c r="BA374">
        <f>IF(COUNT($E$2:$E374)&lt;20,"",SLOPE($E$275:$E$374,$F$275:$F$374))</f>
        <v>0</v>
      </c>
      <c r="BB374">
        <f>IF(COUNT($E$2:$E374)&lt;20,"",INTERCEPT($E$275:$E$374,$F$275:$F$374))</f>
        <v>0</v>
      </c>
      <c r="BC374">
        <f>IF(OR(BA374="",BB374=""),"",BB374+BA374*F374)</f>
        <v>0</v>
      </c>
      <c r="BD374">
        <f>IF(COUNT($E$2:$E374)&lt;20,"",STEYX($E$275:$E$374,$F$275:$F$374))</f>
        <v>0</v>
      </c>
      <c r="BE374">
        <f>IF($E374="","",IF(AND(COUNT($E$375:$E$378)&gt;=4,$C374=MAX($C$370:$C$378)),$C374,""))</f>
        <v>0</v>
      </c>
      <c r="BF374">
        <f>IF($E374="","",IF(AND(COUNT($E$375:$E$378)&gt;=4,$D374=MIN($D$370:$D$378)),$D374,""))</f>
        <v>0</v>
      </c>
      <c r="BG374">
        <f>IFERROR(SMALL(Calc_Daily!$BM$2:$BM$2001,373),"")</f>
        <v>0</v>
      </c>
    </row>
    <row r="375" spans="1:59">
      <c r="A375" s="27">
        <f>IF($BG375="","",INDEX(Calc_Daily!$A$2:$A$2001,$BG375))</f>
        <v>0</v>
      </c>
      <c r="B375">
        <f>IF($BG375="","",INDEX(Calc_Daily!$BJ$2:$BJ$2001,$BG375))</f>
        <v>0</v>
      </c>
      <c r="C375">
        <f>IF($BG375="","",INDEX(Calc_Daily!$BK$2:$BK$2001,$BG375))</f>
        <v>0</v>
      </c>
      <c r="D375">
        <f>IF($BG375="","",INDEX(Calc_Daily!$BL$2:$BL$2001,$BG375))</f>
        <v>0</v>
      </c>
      <c r="E375">
        <f>IF($BG375="","",INDEX(Calc_Daily!$E$2:$E$2001,$BG375))</f>
        <v>0</v>
      </c>
      <c r="F375">
        <f>IF($E375="","",N(F374)+1)</f>
        <v>0</v>
      </c>
      <c r="G375">
        <f>IF(OR($E375="",$E374=""),"",LN($E375/$E374))</f>
        <v>0</v>
      </c>
      <c r="H375">
        <f>IF($E375="","",IF($E374="",$E375,$E375*0.0952380952+H374*0.9047619048))</f>
        <v>0</v>
      </c>
      <c r="I375">
        <f>IF($E375="","",IF($E374="",$E375,$E375*0.0392156863+I374*0.9607843137))</f>
        <v>0</v>
      </c>
      <c r="J375">
        <f>IF($E375="","",IF($E374="",$E375,$E375*0.0198019802+J374*0.9801980198))</f>
        <v>0</v>
      </c>
      <c r="K375">
        <f>IF($E375="","",IF($E374="",$E375,$E375*0.0099502488+K374*0.9900497512))</f>
        <v>0</v>
      </c>
      <c r="L375">
        <f>IF(OR($E375="",$E374=""),"",MAX($E375-$E374,0))</f>
        <v>0</v>
      </c>
      <c r="M375">
        <f>IF(OR($E375="",$E374=""),"",MAX($E374-$E375,0))</f>
        <v>0</v>
      </c>
      <c r="N375">
        <f>IF(COUNT($E$2:$E375)&lt;15,"",IF(AVERAGE($M$362:$M$375)=0,100,100-100/(1+AVERAGE($L$362:$L$375)/AVERAGE($M$362:$M$375))))</f>
        <v>0</v>
      </c>
      <c r="O375">
        <f>IF($E375="","",IF($E374="",$E375,$E375*0.1538461538+O374*0.8461538462))</f>
        <v>0</v>
      </c>
      <c r="P375">
        <f>IF($E375="","",IF($E374="",$E375,$E375*0.0740740741+P374*0.9259259259))</f>
        <v>0</v>
      </c>
      <c r="Q375">
        <f>IF(OR(O375="",P375=""),"",O375-P375)</f>
        <v>0</v>
      </c>
      <c r="R375">
        <f>IF(Q375="","",IF(R374="",Q375,Q375*0.2000000000+R374*0.8000000000))</f>
        <v>0</v>
      </c>
      <c r="S375">
        <f>IF(OR(Q375="",R375=""),"",Q375-R375)</f>
        <v>0</v>
      </c>
      <c r="T375">
        <f>IF(COUNT($E$2:$E375)&lt;14,"",MAX($C$362:$C$375))</f>
        <v>0</v>
      </c>
      <c r="U375">
        <f>IF(COUNT($E$2:$E375)&lt;14,"",MIN($D$362:$D$375))</f>
        <v>0</v>
      </c>
      <c r="V375">
        <f>IF(OR(T375="",U375="",T375=U375),"",100*($E375-U375)/(T375-U375))</f>
        <v>0</v>
      </c>
      <c r="W375">
        <f>IF(COUNT($V$373:$V$375)&lt;3,"",AVERAGE($V$373:$V$375))</f>
        <v>0</v>
      </c>
      <c r="X375">
        <f>IF(COUNT($N$362:$N$375)&lt;14,"",MIN($N$362:$N$375))</f>
        <v>0</v>
      </c>
      <c r="Y375">
        <f>IF(COUNT($N$362:$N$375)&lt;14,"",MAX($N$362:$N$375))</f>
        <v>0</v>
      </c>
      <c r="Z375">
        <f>IF(OR(N375="",X375="",Y375="",Y375=X375),"",100*(N375-X375)/(Y375-X375))</f>
        <v>0</v>
      </c>
      <c r="AA375">
        <f>IF(COUNT($Z$373:$Z$375)&lt;3,"",AVERAGE($Z$373:$Z$375))</f>
        <v>0</v>
      </c>
      <c r="AB375">
        <f>IF(COUNT($AA$373:$AA$375)&lt;3,"",AVERAGE($AA$373:$AA$375))</f>
        <v>0</v>
      </c>
      <c r="AC375">
        <f>IF($E375="","",MAX($C375-$D375,ABS($C375-$E374),ABS($D375-$E374)))</f>
        <v>0</v>
      </c>
      <c r="AD375">
        <f>IF(COUNT($E$2:$E375)&lt;15,"",AVERAGE($AC$362:$AC$375))</f>
        <v>0</v>
      </c>
      <c r="AE375">
        <f>IF(OR($E375="",$E374=""),"",IF(AND(($C375-$C374)&gt;($D374-$D375),($C375-$C374)&gt;0),$C375-$C374,0))</f>
        <v>0</v>
      </c>
      <c r="AF375">
        <f>IF(OR($E375="",$E374=""),"",IF(AND(($D374-$D375)&gt;($C375-$C374),($D374-$D375)&gt;0),$D374-$D375,0))</f>
        <v>0</v>
      </c>
      <c r="AG375">
        <f>IF(COUNT($E$2:$E375)&lt;15,"",IF(SUM($AC$362:$AC$375)=0,0,100*SUM($AE$362:$AE$375)/SUM($AC$362:$AC$375)))</f>
        <v>0</v>
      </c>
      <c r="AH375">
        <f>IF(COUNT($E$2:$E375)&lt;15,"",IF(SUM($AC$362:$AC$375)=0,0,100*SUM($AF$362:$AF$375)/SUM($AC$362:$AC$375)))</f>
        <v>0</v>
      </c>
      <c r="AI375">
        <f>IF(OR(AG375="",AH375=""),"",IF((AG375+AH375)=0,0,100*ABS(AG375-AH375)/(AG375+AH375)))</f>
        <v>0</v>
      </c>
      <c r="AJ375">
        <f>IF(COUNT($AI$362:$AI$375)&lt;14,"",AVERAGE($AI$362:$AI$375))</f>
        <v>0</v>
      </c>
      <c r="AK375">
        <f>IF(COUNT($E$2:$E375)&lt;20,"",AVERAGE($E$356:$E$375))</f>
        <v>0</v>
      </c>
      <c r="AL375">
        <f>IF(COUNT($E$2:$E375)&lt;20,"",STDEVP($E$356:$E$375))</f>
        <v>0</v>
      </c>
      <c r="AM375">
        <f>IF(AK375="","",AK375+2*AL375)</f>
        <v>0</v>
      </c>
      <c r="AN375">
        <f>IF(AK375="","",AK375-2*AL375)</f>
        <v>0</v>
      </c>
      <c r="AO375">
        <f>IF(OR(AM375="",AN375="",AM375=AN375),"",($E375-AN375)/(AM375-AN375))</f>
        <v>0</v>
      </c>
      <c r="AP375">
        <f>IF(OR(AM375="",AK375="",AK375=0),"",(AM375-AN375)/AK375)</f>
        <v>0</v>
      </c>
      <c r="AQ375">
        <f>IF(COUNT($E$2:$E375)&lt;20,"",MAX($C$356:$C$375))</f>
        <v>0</v>
      </c>
      <c r="AR375">
        <f>IF(COUNT($E$2:$E375)&lt;20,"",MIN($D$356:$D$375))</f>
        <v>0</v>
      </c>
      <c r="AS375">
        <f>IF(OR(AQ375="",AR375=""),"",(AQ375+AR375)/2)</f>
        <v>0</v>
      </c>
      <c r="AT375">
        <f>IF(COUNT($G$356:$G$375)&lt;20,"",STDEV($G$356:$G$375)*SQRT(52))</f>
        <v>0</v>
      </c>
      <c r="AU375">
        <f>IF(COUNT($E$2:$E375)&lt;9,"",(MAX($C$367:$C$375)+MIN($D$367:$D$375))/2)</f>
        <v>0</v>
      </c>
      <c r="AV375">
        <f>IF(COUNT($E$2:$E375)&lt;26,"",(MAX($C$350:$C$375)+MIN($D$350:$D$375))/2)</f>
        <v>0</v>
      </c>
      <c r="AW375">
        <f>IF(OR(AU375="",AV375=""),"",(AU375+AV375)/2)</f>
        <v>0</v>
      </c>
      <c r="AX375">
        <f>IF(COUNT($E$2:$E375)&lt;52,"",(MAX($C$324:$C$375)+MIN($D$324:$D$375))/2)</f>
        <v>0</v>
      </c>
      <c r="AY375">
        <f>IF(COUNT($E$2:$E375)&lt;20,"",MAX($C$276:$C$375))</f>
        <v>0</v>
      </c>
      <c r="AZ375">
        <f>IF(COUNT($E$2:$E375)&lt;20,"",MIN($D$276:$D$375))</f>
        <v>0</v>
      </c>
      <c r="BA375">
        <f>IF(COUNT($E$2:$E375)&lt;20,"",SLOPE($E$276:$E$375,$F$276:$F$375))</f>
        <v>0</v>
      </c>
      <c r="BB375">
        <f>IF(COUNT($E$2:$E375)&lt;20,"",INTERCEPT($E$276:$E$375,$F$276:$F$375))</f>
        <v>0</v>
      </c>
      <c r="BC375">
        <f>IF(OR(BA375="",BB375=""),"",BB375+BA375*F375)</f>
        <v>0</v>
      </c>
      <c r="BD375">
        <f>IF(COUNT($E$2:$E375)&lt;20,"",STEYX($E$276:$E$375,$F$276:$F$375))</f>
        <v>0</v>
      </c>
      <c r="BE375">
        <f>IF($E375="","",IF(AND(COUNT($E$376:$E$379)&gt;=4,$C375=MAX($C$371:$C$379)),$C375,""))</f>
        <v>0</v>
      </c>
      <c r="BF375">
        <f>IF($E375="","",IF(AND(COUNT($E$376:$E$379)&gt;=4,$D375=MIN($D$371:$D$379)),$D375,""))</f>
        <v>0</v>
      </c>
      <c r="BG375">
        <f>IFERROR(SMALL(Calc_Daily!$BM$2:$BM$2001,374),"")</f>
        <v>0</v>
      </c>
    </row>
    <row r="376" spans="1:59">
      <c r="A376" s="27">
        <f>IF($BG376="","",INDEX(Calc_Daily!$A$2:$A$2001,$BG376))</f>
        <v>0</v>
      </c>
      <c r="B376">
        <f>IF($BG376="","",INDEX(Calc_Daily!$BJ$2:$BJ$2001,$BG376))</f>
        <v>0</v>
      </c>
      <c r="C376">
        <f>IF($BG376="","",INDEX(Calc_Daily!$BK$2:$BK$2001,$BG376))</f>
        <v>0</v>
      </c>
      <c r="D376">
        <f>IF($BG376="","",INDEX(Calc_Daily!$BL$2:$BL$2001,$BG376))</f>
        <v>0</v>
      </c>
      <c r="E376">
        <f>IF($BG376="","",INDEX(Calc_Daily!$E$2:$E$2001,$BG376))</f>
        <v>0</v>
      </c>
      <c r="F376">
        <f>IF($E376="","",N(F375)+1)</f>
        <v>0</v>
      </c>
      <c r="G376">
        <f>IF(OR($E376="",$E375=""),"",LN($E376/$E375))</f>
        <v>0</v>
      </c>
      <c r="H376">
        <f>IF($E376="","",IF($E375="",$E376,$E376*0.0952380952+H375*0.9047619048))</f>
        <v>0</v>
      </c>
      <c r="I376">
        <f>IF($E376="","",IF($E375="",$E376,$E376*0.0392156863+I375*0.9607843137))</f>
        <v>0</v>
      </c>
      <c r="J376">
        <f>IF($E376="","",IF($E375="",$E376,$E376*0.0198019802+J375*0.9801980198))</f>
        <v>0</v>
      </c>
      <c r="K376">
        <f>IF($E376="","",IF($E375="",$E376,$E376*0.0099502488+K375*0.9900497512))</f>
        <v>0</v>
      </c>
      <c r="L376">
        <f>IF(OR($E376="",$E375=""),"",MAX($E376-$E375,0))</f>
        <v>0</v>
      </c>
      <c r="M376">
        <f>IF(OR($E376="",$E375=""),"",MAX($E375-$E376,0))</f>
        <v>0</v>
      </c>
      <c r="N376">
        <f>IF(COUNT($E$2:$E376)&lt;15,"",IF(AVERAGE($M$363:$M$376)=0,100,100-100/(1+AVERAGE($L$363:$L$376)/AVERAGE($M$363:$M$376))))</f>
        <v>0</v>
      </c>
      <c r="O376">
        <f>IF($E376="","",IF($E375="",$E376,$E376*0.1538461538+O375*0.8461538462))</f>
        <v>0</v>
      </c>
      <c r="P376">
        <f>IF($E376="","",IF($E375="",$E376,$E376*0.0740740741+P375*0.9259259259))</f>
        <v>0</v>
      </c>
      <c r="Q376">
        <f>IF(OR(O376="",P376=""),"",O376-P376)</f>
        <v>0</v>
      </c>
      <c r="R376">
        <f>IF(Q376="","",IF(R375="",Q376,Q376*0.2000000000+R375*0.8000000000))</f>
        <v>0</v>
      </c>
      <c r="S376">
        <f>IF(OR(Q376="",R376=""),"",Q376-R376)</f>
        <v>0</v>
      </c>
      <c r="T376">
        <f>IF(COUNT($E$2:$E376)&lt;14,"",MAX($C$363:$C$376))</f>
        <v>0</v>
      </c>
      <c r="U376">
        <f>IF(COUNT($E$2:$E376)&lt;14,"",MIN($D$363:$D$376))</f>
        <v>0</v>
      </c>
      <c r="V376">
        <f>IF(OR(T376="",U376="",T376=U376),"",100*($E376-U376)/(T376-U376))</f>
        <v>0</v>
      </c>
      <c r="W376">
        <f>IF(COUNT($V$374:$V$376)&lt;3,"",AVERAGE($V$374:$V$376))</f>
        <v>0</v>
      </c>
      <c r="X376">
        <f>IF(COUNT($N$363:$N$376)&lt;14,"",MIN($N$363:$N$376))</f>
        <v>0</v>
      </c>
      <c r="Y376">
        <f>IF(COUNT($N$363:$N$376)&lt;14,"",MAX($N$363:$N$376))</f>
        <v>0</v>
      </c>
      <c r="Z376">
        <f>IF(OR(N376="",X376="",Y376="",Y376=X376),"",100*(N376-X376)/(Y376-X376))</f>
        <v>0</v>
      </c>
      <c r="AA376">
        <f>IF(COUNT($Z$374:$Z$376)&lt;3,"",AVERAGE($Z$374:$Z$376))</f>
        <v>0</v>
      </c>
      <c r="AB376">
        <f>IF(COUNT($AA$374:$AA$376)&lt;3,"",AVERAGE($AA$374:$AA$376))</f>
        <v>0</v>
      </c>
      <c r="AC376">
        <f>IF($E376="","",MAX($C376-$D376,ABS($C376-$E375),ABS($D376-$E375)))</f>
        <v>0</v>
      </c>
      <c r="AD376">
        <f>IF(COUNT($E$2:$E376)&lt;15,"",AVERAGE($AC$363:$AC$376))</f>
        <v>0</v>
      </c>
      <c r="AE376">
        <f>IF(OR($E376="",$E375=""),"",IF(AND(($C376-$C375)&gt;($D375-$D376),($C376-$C375)&gt;0),$C376-$C375,0))</f>
        <v>0</v>
      </c>
      <c r="AF376">
        <f>IF(OR($E376="",$E375=""),"",IF(AND(($D375-$D376)&gt;($C376-$C375),($D375-$D376)&gt;0),$D375-$D376,0))</f>
        <v>0</v>
      </c>
      <c r="AG376">
        <f>IF(COUNT($E$2:$E376)&lt;15,"",IF(SUM($AC$363:$AC$376)=0,0,100*SUM($AE$363:$AE$376)/SUM($AC$363:$AC$376)))</f>
        <v>0</v>
      </c>
      <c r="AH376">
        <f>IF(COUNT($E$2:$E376)&lt;15,"",IF(SUM($AC$363:$AC$376)=0,0,100*SUM($AF$363:$AF$376)/SUM($AC$363:$AC$376)))</f>
        <v>0</v>
      </c>
      <c r="AI376">
        <f>IF(OR(AG376="",AH376=""),"",IF((AG376+AH376)=0,0,100*ABS(AG376-AH376)/(AG376+AH376)))</f>
        <v>0</v>
      </c>
      <c r="AJ376">
        <f>IF(COUNT($AI$363:$AI$376)&lt;14,"",AVERAGE($AI$363:$AI$376))</f>
        <v>0</v>
      </c>
      <c r="AK376">
        <f>IF(COUNT($E$2:$E376)&lt;20,"",AVERAGE($E$357:$E$376))</f>
        <v>0</v>
      </c>
      <c r="AL376">
        <f>IF(COUNT($E$2:$E376)&lt;20,"",STDEVP($E$357:$E$376))</f>
        <v>0</v>
      </c>
      <c r="AM376">
        <f>IF(AK376="","",AK376+2*AL376)</f>
        <v>0</v>
      </c>
      <c r="AN376">
        <f>IF(AK376="","",AK376-2*AL376)</f>
        <v>0</v>
      </c>
      <c r="AO376">
        <f>IF(OR(AM376="",AN376="",AM376=AN376),"",($E376-AN376)/(AM376-AN376))</f>
        <v>0</v>
      </c>
      <c r="AP376">
        <f>IF(OR(AM376="",AK376="",AK376=0),"",(AM376-AN376)/AK376)</f>
        <v>0</v>
      </c>
      <c r="AQ376">
        <f>IF(COUNT($E$2:$E376)&lt;20,"",MAX($C$357:$C$376))</f>
        <v>0</v>
      </c>
      <c r="AR376">
        <f>IF(COUNT($E$2:$E376)&lt;20,"",MIN($D$357:$D$376))</f>
        <v>0</v>
      </c>
      <c r="AS376">
        <f>IF(OR(AQ376="",AR376=""),"",(AQ376+AR376)/2)</f>
        <v>0</v>
      </c>
      <c r="AT376">
        <f>IF(COUNT($G$357:$G$376)&lt;20,"",STDEV($G$357:$G$376)*SQRT(52))</f>
        <v>0</v>
      </c>
      <c r="AU376">
        <f>IF(COUNT($E$2:$E376)&lt;9,"",(MAX($C$368:$C$376)+MIN($D$368:$D$376))/2)</f>
        <v>0</v>
      </c>
      <c r="AV376">
        <f>IF(COUNT($E$2:$E376)&lt;26,"",(MAX($C$351:$C$376)+MIN($D$351:$D$376))/2)</f>
        <v>0</v>
      </c>
      <c r="AW376">
        <f>IF(OR(AU376="",AV376=""),"",(AU376+AV376)/2)</f>
        <v>0</v>
      </c>
      <c r="AX376">
        <f>IF(COUNT($E$2:$E376)&lt;52,"",(MAX($C$325:$C$376)+MIN($D$325:$D$376))/2)</f>
        <v>0</v>
      </c>
      <c r="AY376">
        <f>IF(COUNT($E$2:$E376)&lt;20,"",MAX($C$277:$C$376))</f>
        <v>0</v>
      </c>
      <c r="AZ376">
        <f>IF(COUNT($E$2:$E376)&lt;20,"",MIN($D$277:$D$376))</f>
        <v>0</v>
      </c>
      <c r="BA376">
        <f>IF(COUNT($E$2:$E376)&lt;20,"",SLOPE($E$277:$E$376,$F$277:$F$376))</f>
        <v>0</v>
      </c>
      <c r="BB376">
        <f>IF(COUNT($E$2:$E376)&lt;20,"",INTERCEPT($E$277:$E$376,$F$277:$F$376))</f>
        <v>0</v>
      </c>
      <c r="BC376">
        <f>IF(OR(BA376="",BB376=""),"",BB376+BA376*F376)</f>
        <v>0</v>
      </c>
      <c r="BD376">
        <f>IF(COUNT($E$2:$E376)&lt;20,"",STEYX($E$277:$E$376,$F$277:$F$376))</f>
        <v>0</v>
      </c>
      <c r="BE376">
        <f>IF($E376="","",IF(AND(COUNT($E$377:$E$380)&gt;=4,$C376=MAX($C$372:$C$380)),$C376,""))</f>
        <v>0</v>
      </c>
      <c r="BF376">
        <f>IF($E376="","",IF(AND(COUNT($E$377:$E$380)&gt;=4,$D376=MIN($D$372:$D$380)),$D376,""))</f>
        <v>0</v>
      </c>
      <c r="BG376">
        <f>IFERROR(SMALL(Calc_Daily!$BM$2:$BM$2001,375),"")</f>
        <v>0</v>
      </c>
    </row>
    <row r="377" spans="1:59">
      <c r="A377" s="27">
        <f>IF($BG377="","",INDEX(Calc_Daily!$A$2:$A$2001,$BG377))</f>
        <v>0</v>
      </c>
      <c r="B377">
        <f>IF($BG377="","",INDEX(Calc_Daily!$BJ$2:$BJ$2001,$BG377))</f>
        <v>0</v>
      </c>
      <c r="C377">
        <f>IF($BG377="","",INDEX(Calc_Daily!$BK$2:$BK$2001,$BG377))</f>
        <v>0</v>
      </c>
      <c r="D377">
        <f>IF($BG377="","",INDEX(Calc_Daily!$BL$2:$BL$2001,$BG377))</f>
        <v>0</v>
      </c>
      <c r="E377">
        <f>IF($BG377="","",INDEX(Calc_Daily!$E$2:$E$2001,$BG377))</f>
        <v>0</v>
      </c>
      <c r="F377">
        <f>IF($E377="","",N(F376)+1)</f>
        <v>0</v>
      </c>
      <c r="G377">
        <f>IF(OR($E377="",$E376=""),"",LN($E377/$E376))</f>
        <v>0</v>
      </c>
      <c r="H377">
        <f>IF($E377="","",IF($E376="",$E377,$E377*0.0952380952+H376*0.9047619048))</f>
        <v>0</v>
      </c>
      <c r="I377">
        <f>IF($E377="","",IF($E376="",$E377,$E377*0.0392156863+I376*0.9607843137))</f>
        <v>0</v>
      </c>
      <c r="J377">
        <f>IF($E377="","",IF($E376="",$E377,$E377*0.0198019802+J376*0.9801980198))</f>
        <v>0</v>
      </c>
      <c r="K377">
        <f>IF($E377="","",IF($E376="",$E377,$E377*0.0099502488+K376*0.9900497512))</f>
        <v>0</v>
      </c>
      <c r="L377">
        <f>IF(OR($E377="",$E376=""),"",MAX($E377-$E376,0))</f>
        <v>0</v>
      </c>
      <c r="M377">
        <f>IF(OR($E377="",$E376=""),"",MAX($E376-$E377,0))</f>
        <v>0</v>
      </c>
      <c r="N377">
        <f>IF(COUNT($E$2:$E377)&lt;15,"",IF(AVERAGE($M$364:$M$377)=0,100,100-100/(1+AVERAGE($L$364:$L$377)/AVERAGE($M$364:$M$377))))</f>
        <v>0</v>
      </c>
      <c r="O377">
        <f>IF($E377="","",IF($E376="",$E377,$E377*0.1538461538+O376*0.8461538462))</f>
        <v>0</v>
      </c>
      <c r="P377">
        <f>IF($E377="","",IF($E376="",$E377,$E377*0.0740740741+P376*0.9259259259))</f>
        <v>0</v>
      </c>
      <c r="Q377">
        <f>IF(OR(O377="",P377=""),"",O377-P377)</f>
        <v>0</v>
      </c>
      <c r="R377">
        <f>IF(Q377="","",IF(R376="",Q377,Q377*0.2000000000+R376*0.8000000000))</f>
        <v>0</v>
      </c>
      <c r="S377">
        <f>IF(OR(Q377="",R377=""),"",Q377-R377)</f>
        <v>0</v>
      </c>
      <c r="T377">
        <f>IF(COUNT($E$2:$E377)&lt;14,"",MAX($C$364:$C$377))</f>
        <v>0</v>
      </c>
      <c r="U377">
        <f>IF(COUNT($E$2:$E377)&lt;14,"",MIN($D$364:$D$377))</f>
        <v>0</v>
      </c>
      <c r="V377">
        <f>IF(OR(T377="",U377="",T377=U377),"",100*($E377-U377)/(T377-U377))</f>
        <v>0</v>
      </c>
      <c r="W377">
        <f>IF(COUNT($V$375:$V$377)&lt;3,"",AVERAGE($V$375:$V$377))</f>
        <v>0</v>
      </c>
      <c r="X377">
        <f>IF(COUNT($N$364:$N$377)&lt;14,"",MIN($N$364:$N$377))</f>
        <v>0</v>
      </c>
      <c r="Y377">
        <f>IF(COUNT($N$364:$N$377)&lt;14,"",MAX($N$364:$N$377))</f>
        <v>0</v>
      </c>
      <c r="Z377">
        <f>IF(OR(N377="",X377="",Y377="",Y377=X377),"",100*(N377-X377)/(Y377-X377))</f>
        <v>0</v>
      </c>
      <c r="AA377">
        <f>IF(COUNT($Z$375:$Z$377)&lt;3,"",AVERAGE($Z$375:$Z$377))</f>
        <v>0</v>
      </c>
      <c r="AB377">
        <f>IF(COUNT($AA$375:$AA$377)&lt;3,"",AVERAGE($AA$375:$AA$377))</f>
        <v>0</v>
      </c>
      <c r="AC377">
        <f>IF($E377="","",MAX($C377-$D377,ABS($C377-$E376),ABS($D377-$E376)))</f>
        <v>0</v>
      </c>
      <c r="AD377">
        <f>IF(COUNT($E$2:$E377)&lt;15,"",AVERAGE($AC$364:$AC$377))</f>
        <v>0</v>
      </c>
      <c r="AE377">
        <f>IF(OR($E377="",$E376=""),"",IF(AND(($C377-$C376)&gt;($D376-$D377),($C377-$C376)&gt;0),$C377-$C376,0))</f>
        <v>0</v>
      </c>
      <c r="AF377">
        <f>IF(OR($E377="",$E376=""),"",IF(AND(($D376-$D377)&gt;($C377-$C376),($D376-$D377)&gt;0),$D376-$D377,0))</f>
        <v>0</v>
      </c>
      <c r="AG377">
        <f>IF(COUNT($E$2:$E377)&lt;15,"",IF(SUM($AC$364:$AC$377)=0,0,100*SUM($AE$364:$AE$377)/SUM($AC$364:$AC$377)))</f>
        <v>0</v>
      </c>
      <c r="AH377">
        <f>IF(COUNT($E$2:$E377)&lt;15,"",IF(SUM($AC$364:$AC$377)=0,0,100*SUM($AF$364:$AF$377)/SUM($AC$364:$AC$377)))</f>
        <v>0</v>
      </c>
      <c r="AI377">
        <f>IF(OR(AG377="",AH377=""),"",IF((AG377+AH377)=0,0,100*ABS(AG377-AH377)/(AG377+AH377)))</f>
        <v>0</v>
      </c>
      <c r="AJ377">
        <f>IF(COUNT($AI$364:$AI$377)&lt;14,"",AVERAGE($AI$364:$AI$377))</f>
        <v>0</v>
      </c>
      <c r="AK377">
        <f>IF(COUNT($E$2:$E377)&lt;20,"",AVERAGE($E$358:$E$377))</f>
        <v>0</v>
      </c>
      <c r="AL377">
        <f>IF(COUNT($E$2:$E377)&lt;20,"",STDEVP($E$358:$E$377))</f>
        <v>0</v>
      </c>
      <c r="AM377">
        <f>IF(AK377="","",AK377+2*AL377)</f>
        <v>0</v>
      </c>
      <c r="AN377">
        <f>IF(AK377="","",AK377-2*AL377)</f>
        <v>0</v>
      </c>
      <c r="AO377">
        <f>IF(OR(AM377="",AN377="",AM377=AN377),"",($E377-AN377)/(AM377-AN377))</f>
        <v>0</v>
      </c>
      <c r="AP377">
        <f>IF(OR(AM377="",AK377="",AK377=0),"",(AM377-AN377)/AK377)</f>
        <v>0</v>
      </c>
      <c r="AQ377">
        <f>IF(COUNT($E$2:$E377)&lt;20,"",MAX($C$358:$C$377))</f>
        <v>0</v>
      </c>
      <c r="AR377">
        <f>IF(COUNT($E$2:$E377)&lt;20,"",MIN($D$358:$D$377))</f>
        <v>0</v>
      </c>
      <c r="AS377">
        <f>IF(OR(AQ377="",AR377=""),"",(AQ377+AR377)/2)</f>
        <v>0</v>
      </c>
      <c r="AT377">
        <f>IF(COUNT($G$358:$G$377)&lt;20,"",STDEV($G$358:$G$377)*SQRT(52))</f>
        <v>0</v>
      </c>
      <c r="AU377">
        <f>IF(COUNT($E$2:$E377)&lt;9,"",(MAX($C$369:$C$377)+MIN($D$369:$D$377))/2)</f>
        <v>0</v>
      </c>
      <c r="AV377">
        <f>IF(COUNT($E$2:$E377)&lt;26,"",(MAX($C$352:$C$377)+MIN($D$352:$D$377))/2)</f>
        <v>0</v>
      </c>
      <c r="AW377">
        <f>IF(OR(AU377="",AV377=""),"",(AU377+AV377)/2)</f>
        <v>0</v>
      </c>
      <c r="AX377">
        <f>IF(COUNT($E$2:$E377)&lt;52,"",(MAX($C$326:$C$377)+MIN($D$326:$D$377))/2)</f>
        <v>0</v>
      </c>
      <c r="AY377">
        <f>IF(COUNT($E$2:$E377)&lt;20,"",MAX($C$278:$C$377))</f>
        <v>0</v>
      </c>
      <c r="AZ377">
        <f>IF(COUNT($E$2:$E377)&lt;20,"",MIN($D$278:$D$377))</f>
        <v>0</v>
      </c>
      <c r="BA377">
        <f>IF(COUNT($E$2:$E377)&lt;20,"",SLOPE($E$278:$E$377,$F$278:$F$377))</f>
        <v>0</v>
      </c>
      <c r="BB377">
        <f>IF(COUNT($E$2:$E377)&lt;20,"",INTERCEPT($E$278:$E$377,$F$278:$F$377))</f>
        <v>0</v>
      </c>
      <c r="BC377">
        <f>IF(OR(BA377="",BB377=""),"",BB377+BA377*F377)</f>
        <v>0</v>
      </c>
      <c r="BD377">
        <f>IF(COUNT($E$2:$E377)&lt;20,"",STEYX($E$278:$E$377,$F$278:$F$377))</f>
        <v>0</v>
      </c>
      <c r="BE377">
        <f>IF($E377="","",IF(AND(COUNT($E$378:$E$381)&gt;=4,$C377=MAX($C$373:$C$381)),$C377,""))</f>
        <v>0</v>
      </c>
      <c r="BF377">
        <f>IF($E377="","",IF(AND(COUNT($E$378:$E$381)&gt;=4,$D377=MIN($D$373:$D$381)),$D377,""))</f>
        <v>0</v>
      </c>
      <c r="BG377">
        <f>IFERROR(SMALL(Calc_Daily!$BM$2:$BM$2001,376),"")</f>
        <v>0</v>
      </c>
    </row>
    <row r="378" spans="1:59">
      <c r="A378" s="27">
        <f>IF($BG378="","",INDEX(Calc_Daily!$A$2:$A$2001,$BG378))</f>
        <v>0</v>
      </c>
      <c r="B378">
        <f>IF($BG378="","",INDEX(Calc_Daily!$BJ$2:$BJ$2001,$BG378))</f>
        <v>0</v>
      </c>
      <c r="C378">
        <f>IF($BG378="","",INDEX(Calc_Daily!$BK$2:$BK$2001,$BG378))</f>
        <v>0</v>
      </c>
      <c r="D378">
        <f>IF($BG378="","",INDEX(Calc_Daily!$BL$2:$BL$2001,$BG378))</f>
        <v>0</v>
      </c>
      <c r="E378">
        <f>IF($BG378="","",INDEX(Calc_Daily!$E$2:$E$2001,$BG378))</f>
        <v>0</v>
      </c>
      <c r="F378">
        <f>IF($E378="","",N(F377)+1)</f>
        <v>0</v>
      </c>
      <c r="G378">
        <f>IF(OR($E378="",$E377=""),"",LN($E378/$E377))</f>
        <v>0</v>
      </c>
      <c r="H378">
        <f>IF($E378="","",IF($E377="",$E378,$E378*0.0952380952+H377*0.9047619048))</f>
        <v>0</v>
      </c>
      <c r="I378">
        <f>IF($E378="","",IF($E377="",$E378,$E378*0.0392156863+I377*0.9607843137))</f>
        <v>0</v>
      </c>
      <c r="J378">
        <f>IF($E378="","",IF($E377="",$E378,$E378*0.0198019802+J377*0.9801980198))</f>
        <v>0</v>
      </c>
      <c r="K378">
        <f>IF($E378="","",IF($E377="",$E378,$E378*0.0099502488+K377*0.9900497512))</f>
        <v>0</v>
      </c>
      <c r="L378">
        <f>IF(OR($E378="",$E377=""),"",MAX($E378-$E377,0))</f>
        <v>0</v>
      </c>
      <c r="M378">
        <f>IF(OR($E378="",$E377=""),"",MAX($E377-$E378,0))</f>
        <v>0</v>
      </c>
      <c r="N378">
        <f>IF(COUNT($E$2:$E378)&lt;15,"",IF(AVERAGE($M$365:$M$378)=0,100,100-100/(1+AVERAGE($L$365:$L$378)/AVERAGE($M$365:$M$378))))</f>
        <v>0</v>
      </c>
      <c r="O378">
        <f>IF($E378="","",IF($E377="",$E378,$E378*0.1538461538+O377*0.8461538462))</f>
        <v>0</v>
      </c>
      <c r="P378">
        <f>IF($E378="","",IF($E377="",$E378,$E378*0.0740740741+P377*0.9259259259))</f>
        <v>0</v>
      </c>
      <c r="Q378">
        <f>IF(OR(O378="",P378=""),"",O378-P378)</f>
        <v>0</v>
      </c>
      <c r="R378">
        <f>IF(Q378="","",IF(R377="",Q378,Q378*0.2000000000+R377*0.8000000000))</f>
        <v>0</v>
      </c>
      <c r="S378">
        <f>IF(OR(Q378="",R378=""),"",Q378-R378)</f>
        <v>0</v>
      </c>
      <c r="T378">
        <f>IF(COUNT($E$2:$E378)&lt;14,"",MAX($C$365:$C$378))</f>
        <v>0</v>
      </c>
      <c r="U378">
        <f>IF(COUNT($E$2:$E378)&lt;14,"",MIN($D$365:$D$378))</f>
        <v>0</v>
      </c>
      <c r="V378">
        <f>IF(OR(T378="",U378="",T378=U378),"",100*($E378-U378)/(T378-U378))</f>
        <v>0</v>
      </c>
      <c r="W378">
        <f>IF(COUNT($V$376:$V$378)&lt;3,"",AVERAGE($V$376:$V$378))</f>
        <v>0</v>
      </c>
      <c r="X378">
        <f>IF(COUNT($N$365:$N$378)&lt;14,"",MIN($N$365:$N$378))</f>
        <v>0</v>
      </c>
      <c r="Y378">
        <f>IF(COUNT($N$365:$N$378)&lt;14,"",MAX($N$365:$N$378))</f>
        <v>0</v>
      </c>
      <c r="Z378">
        <f>IF(OR(N378="",X378="",Y378="",Y378=X378),"",100*(N378-X378)/(Y378-X378))</f>
        <v>0</v>
      </c>
      <c r="AA378">
        <f>IF(COUNT($Z$376:$Z$378)&lt;3,"",AVERAGE($Z$376:$Z$378))</f>
        <v>0</v>
      </c>
      <c r="AB378">
        <f>IF(COUNT($AA$376:$AA$378)&lt;3,"",AVERAGE($AA$376:$AA$378))</f>
        <v>0</v>
      </c>
      <c r="AC378">
        <f>IF($E378="","",MAX($C378-$D378,ABS($C378-$E377),ABS($D378-$E377)))</f>
        <v>0</v>
      </c>
      <c r="AD378">
        <f>IF(COUNT($E$2:$E378)&lt;15,"",AVERAGE($AC$365:$AC$378))</f>
        <v>0</v>
      </c>
      <c r="AE378">
        <f>IF(OR($E378="",$E377=""),"",IF(AND(($C378-$C377)&gt;($D377-$D378),($C378-$C377)&gt;0),$C378-$C377,0))</f>
        <v>0</v>
      </c>
      <c r="AF378">
        <f>IF(OR($E378="",$E377=""),"",IF(AND(($D377-$D378)&gt;($C378-$C377),($D377-$D378)&gt;0),$D377-$D378,0))</f>
        <v>0</v>
      </c>
      <c r="AG378">
        <f>IF(COUNT($E$2:$E378)&lt;15,"",IF(SUM($AC$365:$AC$378)=0,0,100*SUM($AE$365:$AE$378)/SUM($AC$365:$AC$378)))</f>
        <v>0</v>
      </c>
      <c r="AH378">
        <f>IF(COUNT($E$2:$E378)&lt;15,"",IF(SUM($AC$365:$AC$378)=0,0,100*SUM($AF$365:$AF$378)/SUM($AC$365:$AC$378)))</f>
        <v>0</v>
      </c>
      <c r="AI378">
        <f>IF(OR(AG378="",AH378=""),"",IF((AG378+AH378)=0,0,100*ABS(AG378-AH378)/(AG378+AH378)))</f>
        <v>0</v>
      </c>
      <c r="AJ378">
        <f>IF(COUNT($AI$365:$AI$378)&lt;14,"",AVERAGE($AI$365:$AI$378))</f>
        <v>0</v>
      </c>
      <c r="AK378">
        <f>IF(COUNT($E$2:$E378)&lt;20,"",AVERAGE($E$359:$E$378))</f>
        <v>0</v>
      </c>
      <c r="AL378">
        <f>IF(COUNT($E$2:$E378)&lt;20,"",STDEVP($E$359:$E$378))</f>
        <v>0</v>
      </c>
      <c r="AM378">
        <f>IF(AK378="","",AK378+2*AL378)</f>
        <v>0</v>
      </c>
      <c r="AN378">
        <f>IF(AK378="","",AK378-2*AL378)</f>
        <v>0</v>
      </c>
      <c r="AO378">
        <f>IF(OR(AM378="",AN378="",AM378=AN378),"",($E378-AN378)/(AM378-AN378))</f>
        <v>0</v>
      </c>
      <c r="AP378">
        <f>IF(OR(AM378="",AK378="",AK378=0),"",(AM378-AN378)/AK378)</f>
        <v>0</v>
      </c>
      <c r="AQ378">
        <f>IF(COUNT($E$2:$E378)&lt;20,"",MAX($C$359:$C$378))</f>
        <v>0</v>
      </c>
      <c r="AR378">
        <f>IF(COUNT($E$2:$E378)&lt;20,"",MIN($D$359:$D$378))</f>
        <v>0</v>
      </c>
      <c r="AS378">
        <f>IF(OR(AQ378="",AR378=""),"",(AQ378+AR378)/2)</f>
        <v>0</v>
      </c>
      <c r="AT378">
        <f>IF(COUNT($G$359:$G$378)&lt;20,"",STDEV($G$359:$G$378)*SQRT(52))</f>
        <v>0</v>
      </c>
      <c r="AU378">
        <f>IF(COUNT($E$2:$E378)&lt;9,"",(MAX($C$370:$C$378)+MIN($D$370:$D$378))/2)</f>
        <v>0</v>
      </c>
      <c r="AV378">
        <f>IF(COUNT($E$2:$E378)&lt;26,"",(MAX($C$353:$C$378)+MIN($D$353:$D$378))/2)</f>
        <v>0</v>
      </c>
      <c r="AW378">
        <f>IF(OR(AU378="",AV378=""),"",(AU378+AV378)/2)</f>
        <v>0</v>
      </c>
      <c r="AX378">
        <f>IF(COUNT($E$2:$E378)&lt;52,"",(MAX($C$327:$C$378)+MIN($D$327:$D$378))/2)</f>
        <v>0</v>
      </c>
      <c r="AY378">
        <f>IF(COUNT($E$2:$E378)&lt;20,"",MAX($C$279:$C$378))</f>
        <v>0</v>
      </c>
      <c r="AZ378">
        <f>IF(COUNT($E$2:$E378)&lt;20,"",MIN($D$279:$D$378))</f>
        <v>0</v>
      </c>
      <c r="BA378">
        <f>IF(COUNT($E$2:$E378)&lt;20,"",SLOPE($E$279:$E$378,$F$279:$F$378))</f>
        <v>0</v>
      </c>
      <c r="BB378">
        <f>IF(COUNT($E$2:$E378)&lt;20,"",INTERCEPT($E$279:$E$378,$F$279:$F$378))</f>
        <v>0</v>
      </c>
      <c r="BC378">
        <f>IF(OR(BA378="",BB378=""),"",BB378+BA378*F378)</f>
        <v>0</v>
      </c>
      <c r="BD378">
        <f>IF(COUNT($E$2:$E378)&lt;20,"",STEYX($E$279:$E$378,$F$279:$F$378))</f>
        <v>0</v>
      </c>
      <c r="BE378">
        <f>IF($E378="","",IF(AND(COUNT($E$379:$E$382)&gt;=4,$C378=MAX($C$374:$C$382)),$C378,""))</f>
        <v>0</v>
      </c>
      <c r="BF378">
        <f>IF($E378="","",IF(AND(COUNT($E$379:$E$382)&gt;=4,$D378=MIN($D$374:$D$382)),$D378,""))</f>
        <v>0</v>
      </c>
      <c r="BG378">
        <f>IFERROR(SMALL(Calc_Daily!$BM$2:$BM$2001,377),"")</f>
        <v>0</v>
      </c>
    </row>
    <row r="379" spans="1:59">
      <c r="A379" s="27">
        <f>IF($BG379="","",INDEX(Calc_Daily!$A$2:$A$2001,$BG379))</f>
        <v>0</v>
      </c>
      <c r="B379">
        <f>IF($BG379="","",INDEX(Calc_Daily!$BJ$2:$BJ$2001,$BG379))</f>
        <v>0</v>
      </c>
      <c r="C379">
        <f>IF($BG379="","",INDEX(Calc_Daily!$BK$2:$BK$2001,$BG379))</f>
        <v>0</v>
      </c>
      <c r="D379">
        <f>IF($BG379="","",INDEX(Calc_Daily!$BL$2:$BL$2001,$BG379))</f>
        <v>0</v>
      </c>
      <c r="E379">
        <f>IF($BG379="","",INDEX(Calc_Daily!$E$2:$E$2001,$BG379))</f>
        <v>0</v>
      </c>
      <c r="F379">
        <f>IF($E379="","",N(F378)+1)</f>
        <v>0</v>
      </c>
      <c r="G379">
        <f>IF(OR($E379="",$E378=""),"",LN($E379/$E378))</f>
        <v>0</v>
      </c>
      <c r="H379">
        <f>IF($E379="","",IF($E378="",$E379,$E379*0.0952380952+H378*0.9047619048))</f>
        <v>0</v>
      </c>
      <c r="I379">
        <f>IF($E379="","",IF($E378="",$E379,$E379*0.0392156863+I378*0.9607843137))</f>
        <v>0</v>
      </c>
      <c r="J379">
        <f>IF($E379="","",IF($E378="",$E379,$E379*0.0198019802+J378*0.9801980198))</f>
        <v>0</v>
      </c>
      <c r="K379">
        <f>IF($E379="","",IF($E378="",$E379,$E379*0.0099502488+K378*0.9900497512))</f>
        <v>0</v>
      </c>
      <c r="L379">
        <f>IF(OR($E379="",$E378=""),"",MAX($E379-$E378,0))</f>
        <v>0</v>
      </c>
      <c r="M379">
        <f>IF(OR($E379="",$E378=""),"",MAX($E378-$E379,0))</f>
        <v>0</v>
      </c>
      <c r="N379">
        <f>IF(COUNT($E$2:$E379)&lt;15,"",IF(AVERAGE($M$366:$M$379)=0,100,100-100/(1+AVERAGE($L$366:$L$379)/AVERAGE($M$366:$M$379))))</f>
        <v>0</v>
      </c>
      <c r="O379">
        <f>IF($E379="","",IF($E378="",$E379,$E379*0.1538461538+O378*0.8461538462))</f>
        <v>0</v>
      </c>
      <c r="P379">
        <f>IF($E379="","",IF($E378="",$E379,$E379*0.0740740741+P378*0.9259259259))</f>
        <v>0</v>
      </c>
      <c r="Q379">
        <f>IF(OR(O379="",P379=""),"",O379-P379)</f>
        <v>0</v>
      </c>
      <c r="R379">
        <f>IF(Q379="","",IF(R378="",Q379,Q379*0.2000000000+R378*0.8000000000))</f>
        <v>0</v>
      </c>
      <c r="S379">
        <f>IF(OR(Q379="",R379=""),"",Q379-R379)</f>
        <v>0</v>
      </c>
      <c r="T379">
        <f>IF(COUNT($E$2:$E379)&lt;14,"",MAX($C$366:$C$379))</f>
        <v>0</v>
      </c>
      <c r="U379">
        <f>IF(COUNT($E$2:$E379)&lt;14,"",MIN($D$366:$D$379))</f>
        <v>0</v>
      </c>
      <c r="V379">
        <f>IF(OR(T379="",U379="",T379=U379),"",100*($E379-U379)/(T379-U379))</f>
        <v>0</v>
      </c>
      <c r="W379">
        <f>IF(COUNT($V$377:$V$379)&lt;3,"",AVERAGE($V$377:$V$379))</f>
        <v>0</v>
      </c>
      <c r="X379">
        <f>IF(COUNT($N$366:$N$379)&lt;14,"",MIN($N$366:$N$379))</f>
        <v>0</v>
      </c>
      <c r="Y379">
        <f>IF(COUNT($N$366:$N$379)&lt;14,"",MAX($N$366:$N$379))</f>
        <v>0</v>
      </c>
      <c r="Z379">
        <f>IF(OR(N379="",X379="",Y379="",Y379=X379),"",100*(N379-X379)/(Y379-X379))</f>
        <v>0</v>
      </c>
      <c r="AA379">
        <f>IF(COUNT($Z$377:$Z$379)&lt;3,"",AVERAGE($Z$377:$Z$379))</f>
        <v>0</v>
      </c>
      <c r="AB379">
        <f>IF(COUNT($AA$377:$AA$379)&lt;3,"",AVERAGE($AA$377:$AA$379))</f>
        <v>0</v>
      </c>
      <c r="AC379">
        <f>IF($E379="","",MAX($C379-$D379,ABS($C379-$E378),ABS($D379-$E378)))</f>
        <v>0</v>
      </c>
      <c r="AD379">
        <f>IF(COUNT($E$2:$E379)&lt;15,"",AVERAGE($AC$366:$AC$379))</f>
        <v>0</v>
      </c>
      <c r="AE379">
        <f>IF(OR($E379="",$E378=""),"",IF(AND(($C379-$C378)&gt;($D378-$D379),($C379-$C378)&gt;0),$C379-$C378,0))</f>
        <v>0</v>
      </c>
      <c r="AF379">
        <f>IF(OR($E379="",$E378=""),"",IF(AND(($D378-$D379)&gt;($C379-$C378),($D378-$D379)&gt;0),$D378-$D379,0))</f>
        <v>0</v>
      </c>
      <c r="AG379">
        <f>IF(COUNT($E$2:$E379)&lt;15,"",IF(SUM($AC$366:$AC$379)=0,0,100*SUM($AE$366:$AE$379)/SUM($AC$366:$AC$379)))</f>
        <v>0</v>
      </c>
      <c r="AH379">
        <f>IF(COUNT($E$2:$E379)&lt;15,"",IF(SUM($AC$366:$AC$379)=0,0,100*SUM($AF$366:$AF$379)/SUM($AC$366:$AC$379)))</f>
        <v>0</v>
      </c>
      <c r="AI379">
        <f>IF(OR(AG379="",AH379=""),"",IF((AG379+AH379)=0,0,100*ABS(AG379-AH379)/(AG379+AH379)))</f>
        <v>0</v>
      </c>
      <c r="AJ379">
        <f>IF(COUNT($AI$366:$AI$379)&lt;14,"",AVERAGE($AI$366:$AI$379))</f>
        <v>0</v>
      </c>
      <c r="AK379">
        <f>IF(COUNT($E$2:$E379)&lt;20,"",AVERAGE($E$360:$E$379))</f>
        <v>0</v>
      </c>
      <c r="AL379">
        <f>IF(COUNT($E$2:$E379)&lt;20,"",STDEVP($E$360:$E$379))</f>
        <v>0</v>
      </c>
      <c r="AM379">
        <f>IF(AK379="","",AK379+2*AL379)</f>
        <v>0</v>
      </c>
      <c r="AN379">
        <f>IF(AK379="","",AK379-2*AL379)</f>
        <v>0</v>
      </c>
      <c r="AO379">
        <f>IF(OR(AM379="",AN379="",AM379=AN379),"",($E379-AN379)/(AM379-AN379))</f>
        <v>0</v>
      </c>
      <c r="AP379">
        <f>IF(OR(AM379="",AK379="",AK379=0),"",(AM379-AN379)/AK379)</f>
        <v>0</v>
      </c>
      <c r="AQ379">
        <f>IF(COUNT($E$2:$E379)&lt;20,"",MAX($C$360:$C$379))</f>
        <v>0</v>
      </c>
      <c r="AR379">
        <f>IF(COUNT($E$2:$E379)&lt;20,"",MIN($D$360:$D$379))</f>
        <v>0</v>
      </c>
      <c r="AS379">
        <f>IF(OR(AQ379="",AR379=""),"",(AQ379+AR379)/2)</f>
        <v>0</v>
      </c>
      <c r="AT379">
        <f>IF(COUNT($G$360:$G$379)&lt;20,"",STDEV($G$360:$G$379)*SQRT(52))</f>
        <v>0</v>
      </c>
      <c r="AU379">
        <f>IF(COUNT($E$2:$E379)&lt;9,"",(MAX($C$371:$C$379)+MIN($D$371:$D$379))/2)</f>
        <v>0</v>
      </c>
      <c r="AV379">
        <f>IF(COUNT($E$2:$E379)&lt;26,"",(MAX($C$354:$C$379)+MIN($D$354:$D$379))/2)</f>
        <v>0</v>
      </c>
      <c r="AW379">
        <f>IF(OR(AU379="",AV379=""),"",(AU379+AV379)/2)</f>
        <v>0</v>
      </c>
      <c r="AX379">
        <f>IF(COUNT($E$2:$E379)&lt;52,"",(MAX($C$328:$C$379)+MIN($D$328:$D$379))/2)</f>
        <v>0</v>
      </c>
      <c r="AY379">
        <f>IF(COUNT($E$2:$E379)&lt;20,"",MAX($C$280:$C$379))</f>
        <v>0</v>
      </c>
      <c r="AZ379">
        <f>IF(COUNT($E$2:$E379)&lt;20,"",MIN($D$280:$D$379))</f>
        <v>0</v>
      </c>
      <c r="BA379">
        <f>IF(COUNT($E$2:$E379)&lt;20,"",SLOPE($E$280:$E$379,$F$280:$F$379))</f>
        <v>0</v>
      </c>
      <c r="BB379">
        <f>IF(COUNT($E$2:$E379)&lt;20,"",INTERCEPT($E$280:$E$379,$F$280:$F$379))</f>
        <v>0</v>
      </c>
      <c r="BC379">
        <f>IF(OR(BA379="",BB379=""),"",BB379+BA379*F379)</f>
        <v>0</v>
      </c>
      <c r="BD379">
        <f>IF(COUNT($E$2:$E379)&lt;20,"",STEYX($E$280:$E$379,$F$280:$F$379))</f>
        <v>0</v>
      </c>
      <c r="BE379">
        <f>IF($E379="","",IF(AND(COUNT($E$380:$E$383)&gt;=4,$C379=MAX($C$375:$C$383)),$C379,""))</f>
        <v>0</v>
      </c>
      <c r="BF379">
        <f>IF($E379="","",IF(AND(COUNT($E$380:$E$383)&gt;=4,$D379=MIN($D$375:$D$383)),$D379,""))</f>
        <v>0</v>
      </c>
      <c r="BG379">
        <f>IFERROR(SMALL(Calc_Daily!$BM$2:$BM$2001,378),"")</f>
        <v>0</v>
      </c>
    </row>
    <row r="380" spans="1:59">
      <c r="A380" s="27">
        <f>IF($BG380="","",INDEX(Calc_Daily!$A$2:$A$2001,$BG380))</f>
        <v>0</v>
      </c>
      <c r="B380">
        <f>IF($BG380="","",INDEX(Calc_Daily!$BJ$2:$BJ$2001,$BG380))</f>
        <v>0</v>
      </c>
      <c r="C380">
        <f>IF($BG380="","",INDEX(Calc_Daily!$BK$2:$BK$2001,$BG380))</f>
        <v>0</v>
      </c>
      <c r="D380">
        <f>IF($BG380="","",INDEX(Calc_Daily!$BL$2:$BL$2001,$BG380))</f>
        <v>0</v>
      </c>
      <c r="E380">
        <f>IF($BG380="","",INDEX(Calc_Daily!$E$2:$E$2001,$BG380))</f>
        <v>0</v>
      </c>
      <c r="F380">
        <f>IF($E380="","",N(F379)+1)</f>
        <v>0</v>
      </c>
      <c r="G380">
        <f>IF(OR($E380="",$E379=""),"",LN($E380/$E379))</f>
        <v>0</v>
      </c>
      <c r="H380">
        <f>IF($E380="","",IF($E379="",$E380,$E380*0.0952380952+H379*0.9047619048))</f>
        <v>0</v>
      </c>
      <c r="I380">
        <f>IF($E380="","",IF($E379="",$E380,$E380*0.0392156863+I379*0.9607843137))</f>
        <v>0</v>
      </c>
      <c r="J380">
        <f>IF($E380="","",IF($E379="",$E380,$E380*0.0198019802+J379*0.9801980198))</f>
        <v>0</v>
      </c>
      <c r="K380">
        <f>IF($E380="","",IF($E379="",$E380,$E380*0.0099502488+K379*0.9900497512))</f>
        <v>0</v>
      </c>
      <c r="L380">
        <f>IF(OR($E380="",$E379=""),"",MAX($E380-$E379,0))</f>
        <v>0</v>
      </c>
      <c r="M380">
        <f>IF(OR($E380="",$E379=""),"",MAX($E379-$E380,0))</f>
        <v>0</v>
      </c>
      <c r="N380">
        <f>IF(COUNT($E$2:$E380)&lt;15,"",IF(AVERAGE($M$367:$M$380)=0,100,100-100/(1+AVERAGE($L$367:$L$380)/AVERAGE($M$367:$M$380))))</f>
        <v>0</v>
      </c>
      <c r="O380">
        <f>IF($E380="","",IF($E379="",$E380,$E380*0.1538461538+O379*0.8461538462))</f>
        <v>0</v>
      </c>
      <c r="P380">
        <f>IF($E380="","",IF($E379="",$E380,$E380*0.0740740741+P379*0.9259259259))</f>
        <v>0</v>
      </c>
      <c r="Q380">
        <f>IF(OR(O380="",P380=""),"",O380-P380)</f>
        <v>0</v>
      </c>
      <c r="R380">
        <f>IF(Q380="","",IF(R379="",Q380,Q380*0.2000000000+R379*0.8000000000))</f>
        <v>0</v>
      </c>
      <c r="S380">
        <f>IF(OR(Q380="",R380=""),"",Q380-R380)</f>
        <v>0</v>
      </c>
      <c r="T380">
        <f>IF(COUNT($E$2:$E380)&lt;14,"",MAX($C$367:$C$380))</f>
        <v>0</v>
      </c>
      <c r="U380">
        <f>IF(COUNT($E$2:$E380)&lt;14,"",MIN($D$367:$D$380))</f>
        <v>0</v>
      </c>
      <c r="V380">
        <f>IF(OR(T380="",U380="",T380=U380),"",100*($E380-U380)/(T380-U380))</f>
        <v>0</v>
      </c>
      <c r="W380">
        <f>IF(COUNT($V$378:$V$380)&lt;3,"",AVERAGE($V$378:$V$380))</f>
        <v>0</v>
      </c>
      <c r="X380">
        <f>IF(COUNT($N$367:$N$380)&lt;14,"",MIN($N$367:$N$380))</f>
        <v>0</v>
      </c>
      <c r="Y380">
        <f>IF(COUNT($N$367:$N$380)&lt;14,"",MAX($N$367:$N$380))</f>
        <v>0</v>
      </c>
      <c r="Z380">
        <f>IF(OR(N380="",X380="",Y380="",Y380=X380),"",100*(N380-X380)/(Y380-X380))</f>
        <v>0</v>
      </c>
      <c r="AA380">
        <f>IF(COUNT($Z$378:$Z$380)&lt;3,"",AVERAGE($Z$378:$Z$380))</f>
        <v>0</v>
      </c>
      <c r="AB380">
        <f>IF(COUNT($AA$378:$AA$380)&lt;3,"",AVERAGE($AA$378:$AA$380))</f>
        <v>0</v>
      </c>
      <c r="AC380">
        <f>IF($E380="","",MAX($C380-$D380,ABS($C380-$E379),ABS($D380-$E379)))</f>
        <v>0</v>
      </c>
      <c r="AD380">
        <f>IF(COUNT($E$2:$E380)&lt;15,"",AVERAGE($AC$367:$AC$380))</f>
        <v>0</v>
      </c>
      <c r="AE380">
        <f>IF(OR($E380="",$E379=""),"",IF(AND(($C380-$C379)&gt;($D379-$D380),($C380-$C379)&gt;0),$C380-$C379,0))</f>
        <v>0</v>
      </c>
      <c r="AF380">
        <f>IF(OR($E380="",$E379=""),"",IF(AND(($D379-$D380)&gt;($C380-$C379),($D379-$D380)&gt;0),$D379-$D380,0))</f>
        <v>0</v>
      </c>
      <c r="AG380">
        <f>IF(COUNT($E$2:$E380)&lt;15,"",IF(SUM($AC$367:$AC$380)=0,0,100*SUM($AE$367:$AE$380)/SUM($AC$367:$AC$380)))</f>
        <v>0</v>
      </c>
      <c r="AH380">
        <f>IF(COUNT($E$2:$E380)&lt;15,"",IF(SUM($AC$367:$AC$380)=0,0,100*SUM($AF$367:$AF$380)/SUM($AC$367:$AC$380)))</f>
        <v>0</v>
      </c>
      <c r="AI380">
        <f>IF(OR(AG380="",AH380=""),"",IF((AG380+AH380)=0,0,100*ABS(AG380-AH380)/(AG380+AH380)))</f>
        <v>0</v>
      </c>
      <c r="AJ380">
        <f>IF(COUNT($AI$367:$AI$380)&lt;14,"",AVERAGE($AI$367:$AI$380))</f>
        <v>0</v>
      </c>
      <c r="AK380">
        <f>IF(COUNT($E$2:$E380)&lt;20,"",AVERAGE($E$361:$E$380))</f>
        <v>0</v>
      </c>
      <c r="AL380">
        <f>IF(COUNT($E$2:$E380)&lt;20,"",STDEVP($E$361:$E$380))</f>
        <v>0</v>
      </c>
      <c r="AM380">
        <f>IF(AK380="","",AK380+2*AL380)</f>
        <v>0</v>
      </c>
      <c r="AN380">
        <f>IF(AK380="","",AK380-2*AL380)</f>
        <v>0</v>
      </c>
      <c r="AO380">
        <f>IF(OR(AM380="",AN380="",AM380=AN380),"",($E380-AN380)/(AM380-AN380))</f>
        <v>0</v>
      </c>
      <c r="AP380">
        <f>IF(OR(AM380="",AK380="",AK380=0),"",(AM380-AN380)/AK380)</f>
        <v>0</v>
      </c>
      <c r="AQ380">
        <f>IF(COUNT($E$2:$E380)&lt;20,"",MAX($C$361:$C$380))</f>
        <v>0</v>
      </c>
      <c r="AR380">
        <f>IF(COUNT($E$2:$E380)&lt;20,"",MIN($D$361:$D$380))</f>
        <v>0</v>
      </c>
      <c r="AS380">
        <f>IF(OR(AQ380="",AR380=""),"",(AQ380+AR380)/2)</f>
        <v>0</v>
      </c>
      <c r="AT380">
        <f>IF(COUNT($G$361:$G$380)&lt;20,"",STDEV($G$361:$G$380)*SQRT(52))</f>
        <v>0</v>
      </c>
      <c r="AU380">
        <f>IF(COUNT($E$2:$E380)&lt;9,"",(MAX($C$372:$C$380)+MIN($D$372:$D$380))/2)</f>
        <v>0</v>
      </c>
      <c r="AV380">
        <f>IF(COUNT($E$2:$E380)&lt;26,"",(MAX($C$355:$C$380)+MIN($D$355:$D$380))/2)</f>
        <v>0</v>
      </c>
      <c r="AW380">
        <f>IF(OR(AU380="",AV380=""),"",(AU380+AV380)/2)</f>
        <v>0</v>
      </c>
      <c r="AX380">
        <f>IF(COUNT($E$2:$E380)&lt;52,"",(MAX($C$329:$C$380)+MIN($D$329:$D$380))/2)</f>
        <v>0</v>
      </c>
      <c r="AY380">
        <f>IF(COUNT($E$2:$E380)&lt;20,"",MAX($C$281:$C$380))</f>
        <v>0</v>
      </c>
      <c r="AZ380">
        <f>IF(COUNT($E$2:$E380)&lt;20,"",MIN($D$281:$D$380))</f>
        <v>0</v>
      </c>
      <c r="BA380">
        <f>IF(COUNT($E$2:$E380)&lt;20,"",SLOPE($E$281:$E$380,$F$281:$F$380))</f>
        <v>0</v>
      </c>
      <c r="BB380">
        <f>IF(COUNT($E$2:$E380)&lt;20,"",INTERCEPT($E$281:$E$380,$F$281:$F$380))</f>
        <v>0</v>
      </c>
      <c r="BC380">
        <f>IF(OR(BA380="",BB380=""),"",BB380+BA380*F380)</f>
        <v>0</v>
      </c>
      <c r="BD380">
        <f>IF(COUNT($E$2:$E380)&lt;20,"",STEYX($E$281:$E$380,$F$281:$F$380))</f>
        <v>0</v>
      </c>
      <c r="BE380">
        <f>IF($E380="","",IF(AND(COUNT($E$381:$E$384)&gt;=4,$C380=MAX($C$376:$C$384)),$C380,""))</f>
        <v>0</v>
      </c>
      <c r="BF380">
        <f>IF($E380="","",IF(AND(COUNT($E$381:$E$384)&gt;=4,$D380=MIN($D$376:$D$384)),$D380,""))</f>
        <v>0</v>
      </c>
      <c r="BG380">
        <f>IFERROR(SMALL(Calc_Daily!$BM$2:$BM$2001,379),"")</f>
        <v>0</v>
      </c>
    </row>
    <row r="381" spans="1:59">
      <c r="A381" s="27">
        <f>IF($BG381="","",INDEX(Calc_Daily!$A$2:$A$2001,$BG381))</f>
        <v>0</v>
      </c>
      <c r="B381">
        <f>IF($BG381="","",INDEX(Calc_Daily!$BJ$2:$BJ$2001,$BG381))</f>
        <v>0</v>
      </c>
      <c r="C381">
        <f>IF($BG381="","",INDEX(Calc_Daily!$BK$2:$BK$2001,$BG381))</f>
        <v>0</v>
      </c>
      <c r="D381">
        <f>IF($BG381="","",INDEX(Calc_Daily!$BL$2:$BL$2001,$BG381))</f>
        <v>0</v>
      </c>
      <c r="E381">
        <f>IF($BG381="","",INDEX(Calc_Daily!$E$2:$E$2001,$BG381))</f>
        <v>0</v>
      </c>
      <c r="F381">
        <f>IF($E381="","",N(F380)+1)</f>
        <v>0</v>
      </c>
      <c r="G381">
        <f>IF(OR($E381="",$E380=""),"",LN($E381/$E380))</f>
        <v>0</v>
      </c>
      <c r="H381">
        <f>IF($E381="","",IF($E380="",$E381,$E381*0.0952380952+H380*0.9047619048))</f>
        <v>0</v>
      </c>
      <c r="I381">
        <f>IF($E381="","",IF($E380="",$E381,$E381*0.0392156863+I380*0.9607843137))</f>
        <v>0</v>
      </c>
      <c r="J381">
        <f>IF($E381="","",IF($E380="",$E381,$E381*0.0198019802+J380*0.9801980198))</f>
        <v>0</v>
      </c>
      <c r="K381">
        <f>IF($E381="","",IF($E380="",$E381,$E381*0.0099502488+K380*0.9900497512))</f>
        <v>0</v>
      </c>
      <c r="L381">
        <f>IF(OR($E381="",$E380=""),"",MAX($E381-$E380,0))</f>
        <v>0</v>
      </c>
      <c r="M381">
        <f>IF(OR($E381="",$E380=""),"",MAX($E380-$E381,0))</f>
        <v>0</v>
      </c>
      <c r="N381">
        <f>IF(COUNT($E$2:$E381)&lt;15,"",IF(AVERAGE($M$368:$M$381)=0,100,100-100/(1+AVERAGE($L$368:$L$381)/AVERAGE($M$368:$M$381))))</f>
        <v>0</v>
      </c>
      <c r="O381">
        <f>IF($E381="","",IF($E380="",$E381,$E381*0.1538461538+O380*0.8461538462))</f>
        <v>0</v>
      </c>
      <c r="P381">
        <f>IF($E381="","",IF($E380="",$E381,$E381*0.0740740741+P380*0.9259259259))</f>
        <v>0</v>
      </c>
      <c r="Q381">
        <f>IF(OR(O381="",P381=""),"",O381-P381)</f>
        <v>0</v>
      </c>
      <c r="R381">
        <f>IF(Q381="","",IF(R380="",Q381,Q381*0.2000000000+R380*0.8000000000))</f>
        <v>0</v>
      </c>
      <c r="S381">
        <f>IF(OR(Q381="",R381=""),"",Q381-R381)</f>
        <v>0</v>
      </c>
      <c r="T381">
        <f>IF(COUNT($E$2:$E381)&lt;14,"",MAX($C$368:$C$381))</f>
        <v>0</v>
      </c>
      <c r="U381">
        <f>IF(COUNT($E$2:$E381)&lt;14,"",MIN($D$368:$D$381))</f>
        <v>0</v>
      </c>
      <c r="V381">
        <f>IF(OR(T381="",U381="",T381=U381),"",100*($E381-U381)/(T381-U381))</f>
        <v>0</v>
      </c>
      <c r="W381">
        <f>IF(COUNT($V$379:$V$381)&lt;3,"",AVERAGE($V$379:$V$381))</f>
        <v>0</v>
      </c>
      <c r="X381">
        <f>IF(COUNT($N$368:$N$381)&lt;14,"",MIN($N$368:$N$381))</f>
        <v>0</v>
      </c>
      <c r="Y381">
        <f>IF(COUNT($N$368:$N$381)&lt;14,"",MAX($N$368:$N$381))</f>
        <v>0</v>
      </c>
      <c r="Z381">
        <f>IF(OR(N381="",X381="",Y381="",Y381=X381),"",100*(N381-X381)/(Y381-X381))</f>
        <v>0</v>
      </c>
      <c r="AA381">
        <f>IF(COUNT($Z$379:$Z$381)&lt;3,"",AVERAGE($Z$379:$Z$381))</f>
        <v>0</v>
      </c>
      <c r="AB381">
        <f>IF(COUNT($AA$379:$AA$381)&lt;3,"",AVERAGE($AA$379:$AA$381))</f>
        <v>0</v>
      </c>
      <c r="AC381">
        <f>IF($E381="","",MAX($C381-$D381,ABS($C381-$E380),ABS($D381-$E380)))</f>
        <v>0</v>
      </c>
      <c r="AD381">
        <f>IF(COUNT($E$2:$E381)&lt;15,"",AVERAGE($AC$368:$AC$381))</f>
        <v>0</v>
      </c>
      <c r="AE381">
        <f>IF(OR($E381="",$E380=""),"",IF(AND(($C381-$C380)&gt;($D380-$D381),($C381-$C380)&gt;0),$C381-$C380,0))</f>
        <v>0</v>
      </c>
      <c r="AF381">
        <f>IF(OR($E381="",$E380=""),"",IF(AND(($D380-$D381)&gt;($C381-$C380),($D380-$D381)&gt;0),$D380-$D381,0))</f>
        <v>0</v>
      </c>
      <c r="AG381">
        <f>IF(COUNT($E$2:$E381)&lt;15,"",IF(SUM($AC$368:$AC$381)=0,0,100*SUM($AE$368:$AE$381)/SUM($AC$368:$AC$381)))</f>
        <v>0</v>
      </c>
      <c r="AH381">
        <f>IF(COUNT($E$2:$E381)&lt;15,"",IF(SUM($AC$368:$AC$381)=0,0,100*SUM($AF$368:$AF$381)/SUM($AC$368:$AC$381)))</f>
        <v>0</v>
      </c>
      <c r="AI381">
        <f>IF(OR(AG381="",AH381=""),"",IF((AG381+AH381)=0,0,100*ABS(AG381-AH381)/(AG381+AH381)))</f>
        <v>0</v>
      </c>
      <c r="AJ381">
        <f>IF(COUNT($AI$368:$AI$381)&lt;14,"",AVERAGE($AI$368:$AI$381))</f>
        <v>0</v>
      </c>
      <c r="AK381">
        <f>IF(COUNT($E$2:$E381)&lt;20,"",AVERAGE($E$362:$E$381))</f>
        <v>0</v>
      </c>
      <c r="AL381">
        <f>IF(COUNT($E$2:$E381)&lt;20,"",STDEVP($E$362:$E$381))</f>
        <v>0</v>
      </c>
      <c r="AM381">
        <f>IF(AK381="","",AK381+2*AL381)</f>
        <v>0</v>
      </c>
      <c r="AN381">
        <f>IF(AK381="","",AK381-2*AL381)</f>
        <v>0</v>
      </c>
      <c r="AO381">
        <f>IF(OR(AM381="",AN381="",AM381=AN381),"",($E381-AN381)/(AM381-AN381))</f>
        <v>0</v>
      </c>
      <c r="AP381">
        <f>IF(OR(AM381="",AK381="",AK381=0),"",(AM381-AN381)/AK381)</f>
        <v>0</v>
      </c>
      <c r="AQ381">
        <f>IF(COUNT($E$2:$E381)&lt;20,"",MAX($C$362:$C$381))</f>
        <v>0</v>
      </c>
      <c r="AR381">
        <f>IF(COUNT($E$2:$E381)&lt;20,"",MIN($D$362:$D$381))</f>
        <v>0</v>
      </c>
      <c r="AS381">
        <f>IF(OR(AQ381="",AR381=""),"",(AQ381+AR381)/2)</f>
        <v>0</v>
      </c>
      <c r="AT381">
        <f>IF(COUNT($G$362:$G$381)&lt;20,"",STDEV($G$362:$G$381)*SQRT(52))</f>
        <v>0</v>
      </c>
      <c r="AU381">
        <f>IF(COUNT($E$2:$E381)&lt;9,"",(MAX($C$373:$C$381)+MIN($D$373:$D$381))/2)</f>
        <v>0</v>
      </c>
      <c r="AV381">
        <f>IF(COUNT($E$2:$E381)&lt;26,"",(MAX($C$356:$C$381)+MIN($D$356:$D$381))/2)</f>
        <v>0</v>
      </c>
      <c r="AW381">
        <f>IF(OR(AU381="",AV381=""),"",(AU381+AV381)/2)</f>
        <v>0</v>
      </c>
      <c r="AX381">
        <f>IF(COUNT($E$2:$E381)&lt;52,"",(MAX($C$330:$C$381)+MIN($D$330:$D$381))/2)</f>
        <v>0</v>
      </c>
      <c r="AY381">
        <f>IF(COUNT($E$2:$E381)&lt;20,"",MAX($C$282:$C$381))</f>
        <v>0</v>
      </c>
      <c r="AZ381">
        <f>IF(COUNT($E$2:$E381)&lt;20,"",MIN($D$282:$D$381))</f>
        <v>0</v>
      </c>
      <c r="BA381">
        <f>IF(COUNT($E$2:$E381)&lt;20,"",SLOPE($E$282:$E$381,$F$282:$F$381))</f>
        <v>0</v>
      </c>
      <c r="BB381">
        <f>IF(COUNT($E$2:$E381)&lt;20,"",INTERCEPT($E$282:$E$381,$F$282:$F$381))</f>
        <v>0</v>
      </c>
      <c r="BC381">
        <f>IF(OR(BA381="",BB381=""),"",BB381+BA381*F381)</f>
        <v>0</v>
      </c>
      <c r="BD381">
        <f>IF(COUNT($E$2:$E381)&lt;20,"",STEYX($E$282:$E$381,$F$282:$F$381))</f>
        <v>0</v>
      </c>
      <c r="BE381">
        <f>IF($E381="","",IF(AND(COUNT($E$382:$E$385)&gt;=4,$C381=MAX($C$377:$C$385)),$C381,""))</f>
        <v>0</v>
      </c>
      <c r="BF381">
        <f>IF($E381="","",IF(AND(COUNT($E$382:$E$385)&gt;=4,$D381=MIN($D$377:$D$385)),$D381,""))</f>
        <v>0</v>
      </c>
      <c r="BG381">
        <f>IFERROR(SMALL(Calc_Daily!$BM$2:$BM$2001,380),"")</f>
        <v>0</v>
      </c>
    </row>
    <row r="382" spans="1:59">
      <c r="A382" s="27">
        <f>IF($BG382="","",INDEX(Calc_Daily!$A$2:$A$2001,$BG382))</f>
        <v>0</v>
      </c>
      <c r="B382">
        <f>IF($BG382="","",INDEX(Calc_Daily!$BJ$2:$BJ$2001,$BG382))</f>
        <v>0</v>
      </c>
      <c r="C382">
        <f>IF($BG382="","",INDEX(Calc_Daily!$BK$2:$BK$2001,$BG382))</f>
        <v>0</v>
      </c>
      <c r="D382">
        <f>IF($BG382="","",INDEX(Calc_Daily!$BL$2:$BL$2001,$BG382))</f>
        <v>0</v>
      </c>
      <c r="E382">
        <f>IF($BG382="","",INDEX(Calc_Daily!$E$2:$E$2001,$BG382))</f>
        <v>0</v>
      </c>
      <c r="F382">
        <f>IF($E382="","",N(F381)+1)</f>
        <v>0</v>
      </c>
      <c r="G382">
        <f>IF(OR($E382="",$E381=""),"",LN($E382/$E381))</f>
        <v>0</v>
      </c>
      <c r="H382">
        <f>IF($E382="","",IF($E381="",$E382,$E382*0.0952380952+H381*0.9047619048))</f>
        <v>0</v>
      </c>
      <c r="I382">
        <f>IF($E382="","",IF($E381="",$E382,$E382*0.0392156863+I381*0.9607843137))</f>
        <v>0</v>
      </c>
      <c r="J382">
        <f>IF($E382="","",IF($E381="",$E382,$E382*0.0198019802+J381*0.9801980198))</f>
        <v>0</v>
      </c>
      <c r="K382">
        <f>IF($E382="","",IF($E381="",$E382,$E382*0.0099502488+K381*0.9900497512))</f>
        <v>0</v>
      </c>
      <c r="L382">
        <f>IF(OR($E382="",$E381=""),"",MAX($E382-$E381,0))</f>
        <v>0</v>
      </c>
      <c r="M382">
        <f>IF(OR($E382="",$E381=""),"",MAX($E381-$E382,0))</f>
        <v>0</v>
      </c>
      <c r="N382">
        <f>IF(COUNT($E$2:$E382)&lt;15,"",IF(AVERAGE($M$369:$M$382)=0,100,100-100/(1+AVERAGE($L$369:$L$382)/AVERAGE($M$369:$M$382))))</f>
        <v>0</v>
      </c>
      <c r="O382">
        <f>IF($E382="","",IF($E381="",$E382,$E382*0.1538461538+O381*0.8461538462))</f>
        <v>0</v>
      </c>
      <c r="P382">
        <f>IF($E382="","",IF($E381="",$E382,$E382*0.0740740741+P381*0.9259259259))</f>
        <v>0</v>
      </c>
      <c r="Q382">
        <f>IF(OR(O382="",P382=""),"",O382-P382)</f>
        <v>0</v>
      </c>
      <c r="R382">
        <f>IF(Q382="","",IF(R381="",Q382,Q382*0.2000000000+R381*0.8000000000))</f>
        <v>0</v>
      </c>
      <c r="S382">
        <f>IF(OR(Q382="",R382=""),"",Q382-R382)</f>
        <v>0</v>
      </c>
      <c r="T382">
        <f>IF(COUNT($E$2:$E382)&lt;14,"",MAX($C$369:$C$382))</f>
        <v>0</v>
      </c>
      <c r="U382">
        <f>IF(COUNT($E$2:$E382)&lt;14,"",MIN($D$369:$D$382))</f>
        <v>0</v>
      </c>
      <c r="V382">
        <f>IF(OR(T382="",U382="",T382=U382),"",100*($E382-U382)/(T382-U382))</f>
        <v>0</v>
      </c>
      <c r="W382">
        <f>IF(COUNT($V$380:$V$382)&lt;3,"",AVERAGE($V$380:$V$382))</f>
        <v>0</v>
      </c>
      <c r="X382">
        <f>IF(COUNT($N$369:$N$382)&lt;14,"",MIN($N$369:$N$382))</f>
        <v>0</v>
      </c>
      <c r="Y382">
        <f>IF(COUNT($N$369:$N$382)&lt;14,"",MAX($N$369:$N$382))</f>
        <v>0</v>
      </c>
      <c r="Z382">
        <f>IF(OR(N382="",X382="",Y382="",Y382=X382),"",100*(N382-X382)/(Y382-X382))</f>
        <v>0</v>
      </c>
      <c r="AA382">
        <f>IF(COUNT($Z$380:$Z$382)&lt;3,"",AVERAGE($Z$380:$Z$382))</f>
        <v>0</v>
      </c>
      <c r="AB382">
        <f>IF(COUNT($AA$380:$AA$382)&lt;3,"",AVERAGE($AA$380:$AA$382))</f>
        <v>0</v>
      </c>
      <c r="AC382">
        <f>IF($E382="","",MAX($C382-$D382,ABS($C382-$E381),ABS($D382-$E381)))</f>
        <v>0</v>
      </c>
      <c r="AD382">
        <f>IF(COUNT($E$2:$E382)&lt;15,"",AVERAGE($AC$369:$AC$382))</f>
        <v>0</v>
      </c>
      <c r="AE382">
        <f>IF(OR($E382="",$E381=""),"",IF(AND(($C382-$C381)&gt;($D381-$D382),($C382-$C381)&gt;0),$C382-$C381,0))</f>
        <v>0</v>
      </c>
      <c r="AF382">
        <f>IF(OR($E382="",$E381=""),"",IF(AND(($D381-$D382)&gt;($C382-$C381),($D381-$D382)&gt;0),$D381-$D382,0))</f>
        <v>0</v>
      </c>
      <c r="AG382">
        <f>IF(COUNT($E$2:$E382)&lt;15,"",IF(SUM($AC$369:$AC$382)=0,0,100*SUM($AE$369:$AE$382)/SUM($AC$369:$AC$382)))</f>
        <v>0</v>
      </c>
      <c r="AH382">
        <f>IF(COUNT($E$2:$E382)&lt;15,"",IF(SUM($AC$369:$AC$382)=0,0,100*SUM($AF$369:$AF$382)/SUM($AC$369:$AC$382)))</f>
        <v>0</v>
      </c>
      <c r="AI382">
        <f>IF(OR(AG382="",AH382=""),"",IF((AG382+AH382)=0,0,100*ABS(AG382-AH382)/(AG382+AH382)))</f>
        <v>0</v>
      </c>
      <c r="AJ382">
        <f>IF(COUNT($AI$369:$AI$382)&lt;14,"",AVERAGE($AI$369:$AI$382))</f>
        <v>0</v>
      </c>
      <c r="AK382">
        <f>IF(COUNT($E$2:$E382)&lt;20,"",AVERAGE($E$363:$E$382))</f>
        <v>0</v>
      </c>
      <c r="AL382">
        <f>IF(COUNT($E$2:$E382)&lt;20,"",STDEVP($E$363:$E$382))</f>
        <v>0</v>
      </c>
      <c r="AM382">
        <f>IF(AK382="","",AK382+2*AL382)</f>
        <v>0</v>
      </c>
      <c r="AN382">
        <f>IF(AK382="","",AK382-2*AL382)</f>
        <v>0</v>
      </c>
      <c r="AO382">
        <f>IF(OR(AM382="",AN382="",AM382=AN382),"",($E382-AN382)/(AM382-AN382))</f>
        <v>0</v>
      </c>
      <c r="AP382">
        <f>IF(OR(AM382="",AK382="",AK382=0),"",(AM382-AN382)/AK382)</f>
        <v>0</v>
      </c>
      <c r="AQ382">
        <f>IF(COUNT($E$2:$E382)&lt;20,"",MAX($C$363:$C$382))</f>
        <v>0</v>
      </c>
      <c r="AR382">
        <f>IF(COUNT($E$2:$E382)&lt;20,"",MIN($D$363:$D$382))</f>
        <v>0</v>
      </c>
      <c r="AS382">
        <f>IF(OR(AQ382="",AR382=""),"",(AQ382+AR382)/2)</f>
        <v>0</v>
      </c>
      <c r="AT382">
        <f>IF(COUNT($G$363:$G$382)&lt;20,"",STDEV($G$363:$G$382)*SQRT(52))</f>
        <v>0</v>
      </c>
      <c r="AU382">
        <f>IF(COUNT($E$2:$E382)&lt;9,"",(MAX($C$374:$C$382)+MIN($D$374:$D$382))/2)</f>
        <v>0</v>
      </c>
      <c r="AV382">
        <f>IF(COUNT($E$2:$E382)&lt;26,"",(MAX($C$357:$C$382)+MIN($D$357:$D$382))/2)</f>
        <v>0</v>
      </c>
      <c r="AW382">
        <f>IF(OR(AU382="",AV382=""),"",(AU382+AV382)/2)</f>
        <v>0</v>
      </c>
      <c r="AX382">
        <f>IF(COUNT($E$2:$E382)&lt;52,"",(MAX($C$331:$C$382)+MIN($D$331:$D$382))/2)</f>
        <v>0</v>
      </c>
      <c r="AY382">
        <f>IF(COUNT($E$2:$E382)&lt;20,"",MAX($C$283:$C$382))</f>
        <v>0</v>
      </c>
      <c r="AZ382">
        <f>IF(COUNT($E$2:$E382)&lt;20,"",MIN($D$283:$D$382))</f>
        <v>0</v>
      </c>
      <c r="BA382">
        <f>IF(COUNT($E$2:$E382)&lt;20,"",SLOPE($E$283:$E$382,$F$283:$F$382))</f>
        <v>0</v>
      </c>
      <c r="BB382">
        <f>IF(COUNT($E$2:$E382)&lt;20,"",INTERCEPT($E$283:$E$382,$F$283:$F$382))</f>
        <v>0</v>
      </c>
      <c r="BC382">
        <f>IF(OR(BA382="",BB382=""),"",BB382+BA382*F382)</f>
        <v>0</v>
      </c>
      <c r="BD382">
        <f>IF(COUNT($E$2:$E382)&lt;20,"",STEYX($E$283:$E$382,$F$283:$F$382))</f>
        <v>0</v>
      </c>
      <c r="BE382">
        <f>IF($E382="","",IF(AND(COUNT($E$383:$E$386)&gt;=4,$C382=MAX($C$378:$C$386)),$C382,""))</f>
        <v>0</v>
      </c>
      <c r="BF382">
        <f>IF($E382="","",IF(AND(COUNT($E$383:$E$386)&gt;=4,$D382=MIN($D$378:$D$386)),$D382,""))</f>
        <v>0</v>
      </c>
      <c r="BG382">
        <f>IFERROR(SMALL(Calc_Daily!$BM$2:$BM$2001,381),"")</f>
        <v>0</v>
      </c>
    </row>
    <row r="383" spans="1:59">
      <c r="A383" s="27">
        <f>IF($BG383="","",INDEX(Calc_Daily!$A$2:$A$2001,$BG383))</f>
        <v>0</v>
      </c>
      <c r="B383">
        <f>IF($BG383="","",INDEX(Calc_Daily!$BJ$2:$BJ$2001,$BG383))</f>
        <v>0</v>
      </c>
      <c r="C383">
        <f>IF($BG383="","",INDEX(Calc_Daily!$BK$2:$BK$2001,$BG383))</f>
        <v>0</v>
      </c>
      <c r="D383">
        <f>IF($BG383="","",INDEX(Calc_Daily!$BL$2:$BL$2001,$BG383))</f>
        <v>0</v>
      </c>
      <c r="E383">
        <f>IF($BG383="","",INDEX(Calc_Daily!$E$2:$E$2001,$BG383))</f>
        <v>0</v>
      </c>
      <c r="F383">
        <f>IF($E383="","",N(F382)+1)</f>
        <v>0</v>
      </c>
      <c r="G383">
        <f>IF(OR($E383="",$E382=""),"",LN($E383/$E382))</f>
        <v>0</v>
      </c>
      <c r="H383">
        <f>IF($E383="","",IF($E382="",$E383,$E383*0.0952380952+H382*0.9047619048))</f>
        <v>0</v>
      </c>
      <c r="I383">
        <f>IF($E383="","",IF($E382="",$E383,$E383*0.0392156863+I382*0.9607843137))</f>
        <v>0</v>
      </c>
      <c r="J383">
        <f>IF($E383="","",IF($E382="",$E383,$E383*0.0198019802+J382*0.9801980198))</f>
        <v>0</v>
      </c>
      <c r="K383">
        <f>IF($E383="","",IF($E382="",$E383,$E383*0.0099502488+K382*0.9900497512))</f>
        <v>0</v>
      </c>
      <c r="L383">
        <f>IF(OR($E383="",$E382=""),"",MAX($E383-$E382,0))</f>
        <v>0</v>
      </c>
      <c r="M383">
        <f>IF(OR($E383="",$E382=""),"",MAX($E382-$E383,0))</f>
        <v>0</v>
      </c>
      <c r="N383">
        <f>IF(COUNT($E$2:$E383)&lt;15,"",IF(AVERAGE($M$370:$M$383)=0,100,100-100/(1+AVERAGE($L$370:$L$383)/AVERAGE($M$370:$M$383))))</f>
        <v>0</v>
      </c>
      <c r="O383">
        <f>IF($E383="","",IF($E382="",$E383,$E383*0.1538461538+O382*0.8461538462))</f>
        <v>0</v>
      </c>
      <c r="P383">
        <f>IF($E383="","",IF($E382="",$E383,$E383*0.0740740741+P382*0.9259259259))</f>
        <v>0</v>
      </c>
      <c r="Q383">
        <f>IF(OR(O383="",P383=""),"",O383-P383)</f>
        <v>0</v>
      </c>
      <c r="R383">
        <f>IF(Q383="","",IF(R382="",Q383,Q383*0.2000000000+R382*0.8000000000))</f>
        <v>0</v>
      </c>
      <c r="S383">
        <f>IF(OR(Q383="",R383=""),"",Q383-R383)</f>
        <v>0</v>
      </c>
      <c r="T383">
        <f>IF(COUNT($E$2:$E383)&lt;14,"",MAX($C$370:$C$383))</f>
        <v>0</v>
      </c>
      <c r="U383">
        <f>IF(COUNT($E$2:$E383)&lt;14,"",MIN($D$370:$D$383))</f>
        <v>0</v>
      </c>
      <c r="V383">
        <f>IF(OR(T383="",U383="",T383=U383),"",100*($E383-U383)/(T383-U383))</f>
        <v>0</v>
      </c>
      <c r="W383">
        <f>IF(COUNT($V$381:$V$383)&lt;3,"",AVERAGE($V$381:$V$383))</f>
        <v>0</v>
      </c>
      <c r="X383">
        <f>IF(COUNT($N$370:$N$383)&lt;14,"",MIN($N$370:$N$383))</f>
        <v>0</v>
      </c>
      <c r="Y383">
        <f>IF(COUNT($N$370:$N$383)&lt;14,"",MAX($N$370:$N$383))</f>
        <v>0</v>
      </c>
      <c r="Z383">
        <f>IF(OR(N383="",X383="",Y383="",Y383=X383),"",100*(N383-X383)/(Y383-X383))</f>
        <v>0</v>
      </c>
      <c r="AA383">
        <f>IF(COUNT($Z$381:$Z$383)&lt;3,"",AVERAGE($Z$381:$Z$383))</f>
        <v>0</v>
      </c>
      <c r="AB383">
        <f>IF(COUNT($AA$381:$AA$383)&lt;3,"",AVERAGE($AA$381:$AA$383))</f>
        <v>0</v>
      </c>
      <c r="AC383">
        <f>IF($E383="","",MAX($C383-$D383,ABS($C383-$E382),ABS($D383-$E382)))</f>
        <v>0</v>
      </c>
      <c r="AD383">
        <f>IF(COUNT($E$2:$E383)&lt;15,"",AVERAGE($AC$370:$AC$383))</f>
        <v>0</v>
      </c>
      <c r="AE383">
        <f>IF(OR($E383="",$E382=""),"",IF(AND(($C383-$C382)&gt;($D382-$D383),($C383-$C382)&gt;0),$C383-$C382,0))</f>
        <v>0</v>
      </c>
      <c r="AF383">
        <f>IF(OR($E383="",$E382=""),"",IF(AND(($D382-$D383)&gt;($C383-$C382),($D382-$D383)&gt;0),$D382-$D383,0))</f>
        <v>0</v>
      </c>
      <c r="AG383">
        <f>IF(COUNT($E$2:$E383)&lt;15,"",IF(SUM($AC$370:$AC$383)=0,0,100*SUM($AE$370:$AE$383)/SUM($AC$370:$AC$383)))</f>
        <v>0</v>
      </c>
      <c r="AH383">
        <f>IF(COUNT($E$2:$E383)&lt;15,"",IF(SUM($AC$370:$AC$383)=0,0,100*SUM($AF$370:$AF$383)/SUM($AC$370:$AC$383)))</f>
        <v>0</v>
      </c>
      <c r="AI383">
        <f>IF(OR(AG383="",AH383=""),"",IF((AG383+AH383)=0,0,100*ABS(AG383-AH383)/(AG383+AH383)))</f>
        <v>0</v>
      </c>
      <c r="AJ383">
        <f>IF(COUNT($AI$370:$AI$383)&lt;14,"",AVERAGE($AI$370:$AI$383))</f>
        <v>0</v>
      </c>
      <c r="AK383">
        <f>IF(COUNT($E$2:$E383)&lt;20,"",AVERAGE($E$364:$E$383))</f>
        <v>0</v>
      </c>
      <c r="AL383">
        <f>IF(COUNT($E$2:$E383)&lt;20,"",STDEVP($E$364:$E$383))</f>
        <v>0</v>
      </c>
      <c r="AM383">
        <f>IF(AK383="","",AK383+2*AL383)</f>
        <v>0</v>
      </c>
      <c r="AN383">
        <f>IF(AK383="","",AK383-2*AL383)</f>
        <v>0</v>
      </c>
      <c r="AO383">
        <f>IF(OR(AM383="",AN383="",AM383=AN383),"",($E383-AN383)/(AM383-AN383))</f>
        <v>0</v>
      </c>
      <c r="AP383">
        <f>IF(OR(AM383="",AK383="",AK383=0),"",(AM383-AN383)/AK383)</f>
        <v>0</v>
      </c>
      <c r="AQ383">
        <f>IF(COUNT($E$2:$E383)&lt;20,"",MAX($C$364:$C$383))</f>
        <v>0</v>
      </c>
      <c r="AR383">
        <f>IF(COUNT($E$2:$E383)&lt;20,"",MIN($D$364:$D$383))</f>
        <v>0</v>
      </c>
      <c r="AS383">
        <f>IF(OR(AQ383="",AR383=""),"",(AQ383+AR383)/2)</f>
        <v>0</v>
      </c>
      <c r="AT383">
        <f>IF(COUNT($G$364:$G$383)&lt;20,"",STDEV($G$364:$G$383)*SQRT(52))</f>
        <v>0</v>
      </c>
      <c r="AU383">
        <f>IF(COUNT($E$2:$E383)&lt;9,"",(MAX($C$375:$C$383)+MIN($D$375:$D$383))/2)</f>
        <v>0</v>
      </c>
      <c r="AV383">
        <f>IF(COUNT($E$2:$E383)&lt;26,"",(MAX($C$358:$C$383)+MIN($D$358:$D$383))/2)</f>
        <v>0</v>
      </c>
      <c r="AW383">
        <f>IF(OR(AU383="",AV383=""),"",(AU383+AV383)/2)</f>
        <v>0</v>
      </c>
      <c r="AX383">
        <f>IF(COUNT($E$2:$E383)&lt;52,"",(MAX($C$332:$C$383)+MIN($D$332:$D$383))/2)</f>
        <v>0</v>
      </c>
      <c r="AY383">
        <f>IF(COUNT($E$2:$E383)&lt;20,"",MAX($C$284:$C$383))</f>
        <v>0</v>
      </c>
      <c r="AZ383">
        <f>IF(COUNT($E$2:$E383)&lt;20,"",MIN($D$284:$D$383))</f>
        <v>0</v>
      </c>
      <c r="BA383">
        <f>IF(COUNT($E$2:$E383)&lt;20,"",SLOPE($E$284:$E$383,$F$284:$F$383))</f>
        <v>0</v>
      </c>
      <c r="BB383">
        <f>IF(COUNT($E$2:$E383)&lt;20,"",INTERCEPT($E$284:$E$383,$F$284:$F$383))</f>
        <v>0</v>
      </c>
      <c r="BC383">
        <f>IF(OR(BA383="",BB383=""),"",BB383+BA383*F383)</f>
        <v>0</v>
      </c>
      <c r="BD383">
        <f>IF(COUNT($E$2:$E383)&lt;20,"",STEYX($E$284:$E$383,$F$284:$F$383))</f>
        <v>0</v>
      </c>
      <c r="BE383">
        <f>IF($E383="","",IF(AND(COUNT($E$384:$E$387)&gt;=4,$C383=MAX($C$379:$C$387)),$C383,""))</f>
        <v>0</v>
      </c>
      <c r="BF383">
        <f>IF($E383="","",IF(AND(COUNT($E$384:$E$387)&gt;=4,$D383=MIN($D$379:$D$387)),$D383,""))</f>
        <v>0</v>
      </c>
      <c r="BG383">
        <f>IFERROR(SMALL(Calc_Daily!$BM$2:$BM$2001,382),"")</f>
        <v>0</v>
      </c>
    </row>
    <row r="384" spans="1:59">
      <c r="A384" s="27">
        <f>IF($BG384="","",INDEX(Calc_Daily!$A$2:$A$2001,$BG384))</f>
        <v>0</v>
      </c>
      <c r="B384">
        <f>IF($BG384="","",INDEX(Calc_Daily!$BJ$2:$BJ$2001,$BG384))</f>
        <v>0</v>
      </c>
      <c r="C384">
        <f>IF($BG384="","",INDEX(Calc_Daily!$BK$2:$BK$2001,$BG384))</f>
        <v>0</v>
      </c>
      <c r="D384">
        <f>IF($BG384="","",INDEX(Calc_Daily!$BL$2:$BL$2001,$BG384))</f>
        <v>0</v>
      </c>
      <c r="E384">
        <f>IF($BG384="","",INDEX(Calc_Daily!$E$2:$E$2001,$BG384))</f>
        <v>0</v>
      </c>
      <c r="F384">
        <f>IF($E384="","",N(F383)+1)</f>
        <v>0</v>
      </c>
      <c r="G384">
        <f>IF(OR($E384="",$E383=""),"",LN($E384/$E383))</f>
        <v>0</v>
      </c>
      <c r="H384">
        <f>IF($E384="","",IF($E383="",$E384,$E384*0.0952380952+H383*0.9047619048))</f>
        <v>0</v>
      </c>
      <c r="I384">
        <f>IF($E384="","",IF($E383="",$E384,$E384*0.0392156863+I383*0.9607843137))</f>
        <v>0</v>
      </c>
      <c r="J384">
        <f>IF($E384="","",IF($E383="",$E384,$E384*0.0198019802+J383*0.9801980198))</f>
        <v>0</v>
      </c>
      <c r="K384">
        <f>IF($E384="","",IF($E383="",$E384,$E384*0.0099502488+K383*0.9900497512))</f>
        <v>0</v>
      </c>
      <c r="L384">
        <f>IF(OR($E384="",$E383=""),"",MAX($E384-$E383,0))</f>
        <v>0</v>
      </c>
      <c r="M384">
        <f>IF(OR($E384="",$E383=""),"",MAX($E383-$E384,0))</f>
        <v>0</v>
      </c>
      <c r="N384">
        <f>IF(COUNT($E$2:$E384)&lt;15,"",IF(AVERAGE($M$371:$M$384)=0,100,100-100/(1+AVERAGE($L$371:$L$384)/AVERAGE($M$371:$M$384))))</f>
        <v>0</v>
      </c>
      <c r="O384">
        <f>IF($E384="","",IF($E383="",$E384,$E384*0.1538461538+O383*0.8461538462))</f>
        <v>0</v>
      </c>
      <c r="P384">
        <f>IF($E384="","",IF($E383="",$E384,$E384*0.0740740741+P383*0.9259259259))</f>
        <v>0</v>
      </c>
      <c r="Q384">
        <f>IF(OR(O384="",P384=""),"",O384-P384)</f>
        <v>0</v>
      </c>
      <c r="R384">
        <f>IF(Q384="","",IF(R383="",Q384,Q384*0.2000000000+R383*0.8000000000))</f>
        <v>0</v>
      </c>
      <c r="S384">
        <f>IF(OR(Q384="",R384=""),"",Q384-R384)</f>
        <v>0</v>
      </c>
      <c r="T384">
        <f>IF(COUNT($E$2:$E384)&lt;14,"",MAX($C$371:$C$384))</f>
        <v>0</v>
      </c>
      <c r="U384">
        <f>IF(COUNT($E$2:$E384)&lt;14,"",MIN($D$371:$D$384))</f>
        <v>0</v>
      </c>
      <c r="V384">
        <f>IF(OR(T384="",U384="",T384=U384),"",100*($E384-U384)/(T384-U384))</f>
        <v>0</v>
      </c>
      <c r="W384">
        <f>IF(COUNT($V$382:$V$384)&lt;3,"",AVERAGE($V$382:$V$384))</f>
        <v>0</v>
      </c>
      <c r="X384">
        <f>IF(COUNT($N$371:$N$384)&lt;14,"",MIN($N$371:$N$384))</f>
        <v>0</v>
      </c>
      <c r="Y384">
        <f>IF(COUNT($N$371:$N$384)&lt;14,"",MAX($N$371:$N$384))</f>
        <v>0</v>
      </c>
      <c r="Z384">
        <f>IF(OR(N384="",X384="",Y384="",Y384=X384),"",100*(N384-X384)/(Y384-X384))</f>
        <v>0</v>
      </c>
      <c r="AA384">
        <f>IF(COUNT($Z$382:$Z$384)&lt;3,"",AVERAGE($Z$382:$Z$384))</f>
        <v>0</v>
      </c>
      <c r="AB384">
        <f>IF(COUNT($AA$382:$AA$384)&lt;3,"",AVERAGE($AA$382:$AA$384))</f>
        <v>0</v>
      </c>
      <c r="AC384">
        <f>IF($E384="","",MAX($C384-$D384,ABS($C384-$E383),ABS($D384-$E383)))</f>
        <v>0</v>
      </c>
      <c r="AD384">
        <f>IF(COUNT($E$2:$E384)&lt;15,"",AVERAGE($AC$371:$AC$384))</f>
        <v>0</v>
      </c>
      <c r="AE384">
        <f>IF(OR($E384="",$E383=""),"",IF(AND(($C384-$C383)&gt;($D383-$D384),($C384-$C383)&gt;0),$C384-$C383,0))</f>
        <v>0</v>
      </c>
      <c r="AF384">
        <f>IF(OR($E384="",$E383=""),"",IF(AND(($D383-$D384)&gt;($C384-$C383),($D383-$D384)&gt;0),$D383-$D384,0))</f>
        <v>0</v>
      </c>
      <c r="AG384">
        <f>IF(COUNT($E$2:$E384)&lt;15,"",IF(SUM($AC$371:$AC$384)=0,0,100*SUM($AE$371:$AE$384)/SUM($AC$371:$AC$384)))</f>
        <v>0</v>
      </c>
      <c r="AH384">
        <f>IF(COUNT($E$2:$E384)&lt;15,"",IF(SUM($AC$371:$AC$384)=0,0,100*SUM($AF$371:$AF$384)/SUM($AC$371:$AC$384)))</f>
        <v>0</v>
      </c>
      <c r="AI384">
        <f>IF(OR(AG384="",AH384=""),"",IF((AG384+AH384)=0,0,100*ABS(AG384-AH384)/(AG384+AH384)))</f>
        <v>0</v>
      </c>
      <c r="AJ384">
        <f>IF(COUNT($AI$371:$AI$384)&lt;14,"",AVERAGE($AI$371:$AI$384))</f>
        <v>0</v>
      </c>
      <c r="AK384">
        <f>IF(COUNT($E$2:$E384)&lt;20,"",AVERAGE($E$365:$E$384))</f>
        <v>0</v>
      </c>
      <c r="AL384">
        <f>IF(COUNT($E$2:$E384)&lt;20,"",STDEVP($E$365:$E$384))</f>
        <v>0</v>
      </c>
      <c r="AM384">
        <f>IF(AK384="","",AK384+2*AL384)</f>
        <v>0</v>
      </c>
      <c r="AN384">
        <f>IF(AK384="","",AK384-2*AL384)</f>
        <v>0</v>
      </c>
      <c r="AO384">
        <f>IF(OR(AM384="",AN384="",AM384=AN384),"",($E384-AN384)/(AM384-AN384))</f>
        <v>0</v>
      </c>
      <c r="AP384">
        <f>IF(OR(AM384="",AK384="",AK384=0),"",(AM384-AN384)/AK384)</f>
        <v>0</v>
      </c>
      <c r="AQ384">
        <f>IF(COUNT($E$2:$E384)&lt;20,"",MAX($C$365:$C$384))</f>
        <v>0</v>
      </c>
      <c r="AR384">
        <f>IF(COUNT($E$2:$E384)&lt;20,"",MIN($D$365:$D$384))</f>
        <v>0</v>
      </c>
      <c r="AS384">
        <f>IF(OR(AQ384="",AR384=""),"",(AQ384+AR384)/2)</f>
        <v>0</v>
      </c>
      <c r="AT384">
        <f>IF(COUNT($G$365:$G$384)&lt;20,"",STDEV($G$365:$G$384)*SQRT(52))</f>
        <v>0</v>
      </c>
      <c r="AU384">
        <f>IF(COUNT($E$2:$E384)&lt;9,"",(MAX($C$376:$C$384)+MIN($D$376:$D$384))/2)</f>
        <v>0</v>
      </c>
      <c r="AV384">
        <f>IF(COUNT($E$2:$E384)&lt;26,"",(MAX($C$359:$C$384)+MIN($D$359:$D$384))/2)</f>
        <v>0</v>
      </c>
      <c r="AW384">
        <f>IF(OR(AU384="",AV384=""),"",(AU384+AV384)/2)</f>
        <v>0</v>
      </c>
      <c r="AX384">
        <f>IF(COUNT($E$2:$E384)&lt;52,"",(MAX($C$333:$C$384)+MIN($D$333:$D$384))/2)</f>
        <v>0</v>
      </c>
      <c r="AY384">
        <f>IF(COUNT($E$2:$E384)&lt;20,"",MAX($C$285:$C$384))</f>
        <v>0</v>
      </c>
      <c r="AZ384">
        <f>IF(COUNT($E$2:$E384)&lt;20,"",MIN($D$285:$D$384))</f>
        <v>0</v>
      </c>
      <c r="BA384">
        <f>IF(COUNT($E$2:$E384)&lt;20,"",SLOPE($E$285:$E$384,$F$285:$F$384))</f>
        <v>0</v>
      </c>
      <c r="BB384">
        <f>IF(COUNT($E$2:$E384)&lt;20,"",INTERCEPT($E$285:$E$384,$F$285:$F$384))</f>
        <v>0</v>
      </c>
      <c r="BC384">
        <f>IF(OR(BA384="",BB384=""),"",BB384+BA384*F384)</f>
        <v>0</v>
      </c>
      <c r="BD384">
        <f>IF(COUNT($E$2:$E384)&lt;20,"",STEYX($E$285:$E$384,$F$285:$F$384))</f>
        <v>0</v>
      </c>
      <c r="BE384">
        <f>IF($E384="","",IF(AND(COUNT($E$385:$E$388)&gt;=4,$C384=MAX($C$380:$C$388)),$C384,""))</f>
        <v>0</v>
      </c>
      <c r="BF384">
        <f>IF($E384="","",IF(AND(COUNT($E$385:$E$388)&gt;=4,$D384=MIN($D$380:$D$388)),$D384,""))</f>
        <v>0</v>
      </c>
      <c r="BG384">
        <f>IFERROR(SMALL(Calc_Daily!$BM$2:$BM$2001,383),"")</f>
        <v>0</v>
      </c>
    </row>
    <row r="385" spans="1:59">
      <c r="A385" s="27">
        <f>IF($BG385="","",INDEX(Calc_Daily!$A$2:$A$2001,$BG385))</f>
        <v>0</v>
      </c>
      <c r="B385">
        <f>IF($BG385="","",INDEX(Calc_Daily!$BJ$2:$BJ$2001,$BG385))</f>
        <v>0</v>
      </c>
      <c r="C385">
        <f>IF($BG385="","",INDEX(Calc_Daily!$BK$2:$BK$2001,$BG385))</f>
        <v>0</v>
      </c>
      <c r="D385">
        <f>IF($BG385="","",INDEX(Calc_Daily!$BL$2:$BL$2001,$BG385))</f>
        <v>0</v>
      </c>
      <c r="E385">
        <f>IF($BG385="","",INDEX(Calc_Daily!$E$2:$E$2001,$BG385))</f>
        <v>0</v>
      </c>
      <c r="F385">
        <f>IF($E385="","",N(F384)+1)</f>
        <v>0</v>
      </c>
      <c r="G385">
        <f>IF(OR($E385="",$E384=""),"",LN($E385/$E384))</f>
        <v>0</v>
      </c>
      <c r="H385">
        <f>IF($E385="","",IF($E384="",$E385,$E385*0.0952380952+H384*0.9047619048))</f>
        <v>0</v>
      </c>
      <c r="I385">
        <f>IF($E385="","",IF($E384="",$E385,$E385*0.0392156863+I384*0.9607843137))</f>
        <v>0</v>
      </c>
      <c r="J385">
        <f>IF($E385="","",IF($E384="",$E385,$E385*0.0198019802+J384*0.9801980198))</f>
        <v>0</v>
      </c>
      <c r="K385">
        <f>IF($E385="","",IF($E384="",$E385,$E385*0.0099502488+K384*0.9900497512))</f>
        <v>0</v>
      </c>
      <c r="L385">
        <f>IF(OR($E385="",$E384=""),"",MAX($E385-$E384,0))</f>
        <v>0</v>
      </c>
      <c r="M385">
        <f>IF(OR($E385="",$E384=""),"",MAX($E384-$E385,0))</f>
        <v>0</v>
      </c>
      <c r="N385">
        <f>IF(COUNT($E$2:$E385)&lt;15,"",IF(AVERAGE($M$372:$M$385)=0,100,100-100/(1+AVERAGE($L$372:$L$385)/AVERAGE($M$372:$M$385))))</f>
        <v>0</v>
      </c>
      <c r="O385">
        <f>IF($E385="","",IF($E384="",$E385,$E385*0.1538461538+O384*0.8461538462))</f>
        <v>0</v>
      </c>
      <c r="P385">
        <f>IF($E385="","",IF($E384="",$E385,$E385*0.0740740741+P384*0.9259259259))</f>
        <v>0</v>
      </c>
      <c r="Q385">
        <f>IF(OR(O385="",P385=""),"",O385-P385)</f>
        <v>0</v>
      </c>
      <c r="R385">
        <f>IF(Q385="","",IF(R384="",Q385,Q385*0.2000000000+R384*0.8000000000))</f>
        <v>0</v>
      </c>
      <c r="S385">
        <f>IF(OR(Q385="",R385=""),"",Q385-R385)</f>
        <v>0</v>
      </c>
      <c r="T385">
        <f>IF(COUNT($E$2:$E385)&lt;14,"",MAX($C$372:$C$385))</f>
        <v>0</v>
      </c>
      <c r="U385">
        <f>IF(COUNT($E$2:$E385)&lt;14,"",MIN($D$372:$D$385))</f>
        <v>0</v>
      </c>
      <c r="V385">
        <f>IF(OR(T385="",U385="",T385=U385),"",100*($E385-U385)/(T385-U385))</f>
        <v>0</v>
      </c>
      <c r="W385">
        <f>IF(COUNT($V$383:$V$385)&lt;3,"",AVERAGE($V$383:$V$385))</f>
        <v>0</v>
      </c>
      <c r="X385">
        <f>IF(COUNT($N$372:$N$385)&lt;14,"",MIN($N$372:$N$385))</f>
        <v>0</v>
      </c>
      <c r="Y385">
        <f>IF(COUNT($N$372:$N$385)&lt;14,"",MAX($N$372:$N$385))</f>
        <v>0</v>
      </c>
      <c r="Z385">
        <f>IF(OR(N385="",X385="",Y385="",Y385=X385),"",100*(N385-X385)/(Y385-X385))</f>
        <v>0</v>
      </c>
      <c r="AA385">
        <f>IF(COUNT($Z$383:$Z$385)&lt;3,"",AVERAGE($Z$383:$Z$385))</f>
        <v>0</v>
      </c>
      <c r="AB385">
        <f>IF(COUNT($AA$383:$AA$385)&lt;3,"",AVERAGE($AA$383:$AA$385))</f>
        <v>0</v>
      </c>
      <c r="AC385">
        <f>IF($E385="","",MAX($C385-$D385,ABS($C385-$E384),ABS($D385-$E384)))</f>
        <v>0</v>
      </c>
      <c r="AD385">
        <f>IF(COUNT($E$2:$E385)&lt;15,"",AVERAGE($AC$372:$AC$385))</f>
        <v>0</v>
      </c>
      <c r="AE385">
        <f>IF(OR($E385="",$E384=""),"",IF(AND(($C385-$C384)&gt;($D384-$D385),($C385-$C384)&gt;0),$C385-$C384,0))</f>
        <v>0</v>
      </c>
      <c r="AF385">
        <f>IF(OR($E385="",$E384=""),"",IF(AND(($D384-$D385)&gt;($C385-$C384),($D384-$D385)&gt;0),$D384-$D385,0))</f>
        <v>0</v>
      </c>
      <c r="AG385">
        <f>IF(COUNT($E$2:$E385)&lt;15,"",IF(SUM($AC$372:$AC$385)=0,0,100*SUM($AE$372:$AE$385)/SUM($AC$372:$AC$385)))</f>
        <v>0</v>
      </c>
      <c r="AH385">
        <f>IF(COUNT($E$2:$E385)&lt;15,"",IF(SUM($AC$372:$AC$385)=0,0,100*SUM($AF$372:$AF$385)/SUM($AC$372:$AC$385)))</f>
        <v>0</v>
      </c>
      <c r="AI385">
        <f>IF(OR(AG385="",AH385=""),"",IF((AG385+AH385)=0,0,100*ABS(AG385-AH385)/(AG385+AH385)))</f>
        <v>0</v>
      </c>
      <c r="AJ385">
        <f>IF(COUNT($AI$372:$AI$385)&lt;14,"",AVERAGE($AI$372:$AI$385))</f>
        <v>0</v>
      </c>
      <c r="AK385">
        <f>IF(COUNT($E$2:$E385)&lt;20,"",AVERAGE($E$366:$E$385))</f>
        <v>0</v>
      </c>
      <c r="AL385">
        <f>IF(COUNT($E$2:$E385)&lt;20,"",STDEVP($E$366:$E$385))</f>
        <v>0</v>
      </c>
      <c r="AM385">
        <f>IF(AK385="","",AK385+2*AL385)</f>
        <v>0</v>
      </c>
      <c r="AN385">
        <f>IF(AK385="","",AK385-2*AL385)</f>
        <v>0</v>
      </c>
      <c r="AO385">
        <f>IF(OR(AM385="",AN385="",AM385=AN385),"",($E385-AN385)/(AM385-AN385))</f>
        <v>0</v>
      </c>
      <c r="AP385">
        <f>IF(OR(AM385="",AK385="",AK385=0),"",(AM385-AN385)/AK385)</f>
        <v>0</v>
      </c>
      <c r="AQ385">
        <f>IF(COUNT($E$2:$E385)&lt;20,"",MAX($C$366:$C$385))</f>
        <v>0</v>
      </c>
      <c r="AR385">
        <f>IF(COUNT($E$2:$E385)&lt;20,"",MIN($D$366:$D$385))</f>
        <v>0</v>
      </c>
      <c r="AS385">
        <f>IF(OR(AQ385="",AR385=""),"",(AQ385+AR385)/2)</f>
        <v>0</v>
      </c>
      <c r="AT385">
        <f>IF(COUNT($G$366:$G$385)&lt;20,"",STDEV($G$366:$G$385)*SQRT(52))</f>
        <v>0</v>
      </c>
      <c r="AU385">
        <f>IF(COUNT($E$2:$E385)&lt;9,"",(MAX($C$377:$C$385)+MIN($D$377:$D$385))/2)</f>
        <v>0</v>
      </c>
      <c r="AV385">
        <f>IF(COUNT($E$2:$E385)&lt;26,"",(MAX($C$360:$C$385)+MIN($D$360:$D$385))/2)</f>
        <v>0</v>
      </c>
      <c r="AW385">
        <f>IF(OR(AU385="",AV385=""),"",(AU385+AV385)/2)</f>
        <v>0</v>
      </c>
      <c r="AX385">
        <f>IF(COUNT($E$2:$E385)&lt;52,"",(MAX($C$334:$C$385)+MIN($D$334:$D$385))/2)</f>
        <v>0</v>
      </c>
      <c r="AY385">
        <f>IF(COUNT($E$2:$E385)&lt;20,"",MAX($C$286:$C$385))</f>
        <v>0</v>
      </c>
      <c r="AZ385">
        <f>IF(COUNT($E$2:$E385)&lt;20,"",MIN($D$286:$D$385))</f>
        <v>0</v>
      </c>
      <c r="BA385">
        <f>IF(COUNT($E$2:$E385)&lt;20,"",SLOPE($E$286:$E$385,$F$286:$F$385))</f>
        <v>0</v>
      </c>
      <c r="BB385">
        <f>IF(COUNT($E$2:$E385)&lt;20,"",INTERCEPT($E$286:$E$385,$F$286:$F$385))</f>
        <v>0</v>
      </c>
      <c r="BC385">
        <f>IF(OR(BA385="",BB385=""),"",BB385+BA385*F385)</f>
        <v>0</v>
      </c>
      <c r="BD385">
        <f>IF(COUNT($E$2:$E385)&lt;20,"",STEYX($E$286:$E$385,$F$286:$F$385))</f>
        <v>0</v>
      </c>
      <c r="BE385">
        <f>IF($E385="","",IF(AND(COUNT($E$386:$E$389)&gt;=4,$C385=MAX($C$381:$C$389)),$C385,""))</f>
        <v>0</v>
      </c>
      <c r="BF385">
        <f>IF($E385="","",IF(AND(COUNT($E$386:$E$389)&gt;=4,$D385=MIN($D$381:$D$389)),$D385,""))</f>
        <v>0</v>
      </c>
      <c r="BG385">
        <f>IFERROR(SMALL(Calc_Daily!$BM$2:$BM$2001,384),"")</f>
        <v>0</v>
      </c>
    </row>
    <row r="386" spans="1:59">
      <c r="A386" s="27">
        <f>IF($BG386="","",INDEX(Calc_Daily!$A$2:$A$2001,$BG386))</f>
        <v>0</v>
      </c>
      <c r="B386">
        <f>IF($BG386="","",INDEX(Calc_Daily!$BJ$2:$BJ$2001,$BG386))</f>
        <v>0</v>
      </c>
      <c r="C386">
        <f>IF($BG386="","",INDEX(Calc_Daily!$BK$2:$BK$2001,$BG386))</f>
        <v>0</v>
      </c>
      <c r="D386">
        <f>IF($BG386="","",INDEX(Calc_Daily!$BL$2:$BL$2001,$BG386))</f>
        <v>0</v>
      </c>
      <c r="E386">
        <f>IF($BG386="","",INDEX(Calc_Daily!$E$2:$E$2001,$BG386))</f>
        <v>0</v>
      </c>
      <c r="F386">
        <f>IF($E386="","",N(F385)+1)</f>
        <v>0</v>
      </c>
      <c r="G386">
        <f>IF(OR($E386="",$E385=""),"",LN($E386/$E385))</f>
        <v>0</v>
      </c>
      <c r="H386">
        <f>IF($E386="","",IF($E385="",$E386,$E386*0.0952380952+H385*0.9047619048))</f>
        <v>0</v>
      </c>
      <c r="I386">
        <f>IF($E386="","",IF($E385="",$E386,$E386*0.0392156863+I385*0.9607843137))</f>
        <v>0</v>
      </c>
      <c r="J386">
        <f>IF($E386="","",IF($E385="",$E386,$E386*0.0198019802+J385*0.9801980198))</f>
        <v>0</v>
      </c>
      <c r="K386">
        <f>IF($E386="","",IF($E385="",$E386,$E386*0.0099502488+K385*0.9900497512))</f>
        <v>0</v>
      </c>
      <c r="L386">
        <f>IF(OR($E386="",$E385=""),"",MAX($E386-$E385,0))</f>
        <v>0</v>
      </c>
      <c r="M386">
        <f>IF(OR($E386="",$E385=""),"",MAX($E385-$E386,0))</f>
        <v>0</v>
      </c>
      <c r="N386">
        <f>IF(COUNT($E$2:$E386)&lt;15,"",IF(AVERAGE($M$373:$M$386)=0,100,100-100/(1+AVERAGE($L$373:$L$386)/AVERAGE($M$373:$M$386))))</f>
        <v>0</v>
      </c>
      <c r="O386">
        <f>IF($E386="","",IF($E385="",$E386,$E386*0.1538461538+O385*0.8461538462))</f>
        <v>0</v>
      </c>
      <c r="P386">
        <f>IF($E386="","",IF($E385="",$E386,$E386*0.0740740741+P385*0.9259259259))</f>
        <v>0</v>
      </c>
      <c r="Q386">
        <f>IF(OR(O386="",P386=""),"",O386-P386)</f>
        <v>0</v>
      </c>
      <c r="R386">
        <f>IF(Q386="","",IF(R385="",Q386,Q386*0.2000000000+R385*0.8000000000))</f>
        <v>0</v>
      </c>
      <c r="S386">
        <f>IF(OR(Q386="",R386=""),"",Q386-R386)</f>
        <v>0</v>
      </c>
      <c r="T386">
        <f>IF(COUNT($E$2:$E386)&lt;14,"",MAX($C$373:$C$386))</f>
        <v>0</v>
      </c>
      <c r="U386">
        <f>IF(COUNT($E$2:$E386)&lt;14,"",MIN($D$373:$D$386))</f>
        <v>0</v>
      </c>
      <c r="V386">
        <f>IF(OR(T386="",U386="",T386=U386),"",100*($E386-U386)/(T386-U386))</f>
        <v>0</v>
      </c>
      <c r="W386">
        <f>IF(COUNT($V$384:$V$386)&lt;3,"",AVERAGE($V$384:$V$386))</f>
        <v>0</v>
      </c>
      <c r="X386">
        <f>IF(COUNT($N$373:$N$386)&lt;14,"",MIN($N$373:$N$386))</f>
        <v>0</v>
      </c>
      <c r="Y386">
        <f>IF(COUNT($N$373:$N$386)&lt;14,"",MAX($N$373:$N$386))</f>
        <v>0</v>
      </c>
      <c r="Z386">
        <f>IF(OR(N386="",X386="",Y386="",Y386=X386),"",100*(N386-X386)/(Y386-X386))</f>
        <v>0</v>
      </c>
      <c r="AA386">
        <f>IF(COUNT($Z$384:$Z$386)&lt;3,"",AVERAGE($Z$384:$Z$386))</f>
        <v>0</v>
      </c>
      <c r="AB386">
        <f>IF(COUNT($AA$384:$AA$386)&lt;3,"",AVERAGE($AA$384:$AA$386))</f>
        <v>0</v>
      </c>
      <c r="AC386">
        <f>IF($E386="","",MAX($C386-$D386,ABS($C386-$E385),ABS($D386-$E385)))</f>
        <v>0</v>
      </c>
      <c r="AD386">
        <f>IF(COUNT($E$2:$E386)&lt;15,"",AVERAGE($AC$373:$AC$386))</f>
        <v>0</v>
      </c>
      <c r="AE386">
        <f>IF(OR($E386="",$E385=""),"",IF(AND(($C386-$C385)&gt;($D385-$D386),($C386-$C385)&gt;0),$C386-$C385,0))</f>
        <v>0</v>
      </c>
      <c r="AF386">
        <f>IF(OR($E386="",$E385=""),"",IF(AND(($D385-$D386)&gt;($C386-$C385),($D385-$D386)&gt;0),$D385-$D386,0))</f>
        <v>0</v>
      </c>
      <c r="AG386">
        <f>IF(COUNT($E$2:$E386)&lt;15,"",IF(SUM($AC$373:$AC$386)=0,0,100*SUM($AE$373:$AE$386)/SUM($AC$373:$AC$386)))</f>
        <v>0</v>
      </c>
      <c r="AH386">
        <f>IF(COUNT($E$2:$E386)&lt;15,"",IF(SUM($AC$373:$AC$386)=0,0,100*SUM($AF$373:$AF$386)/SUM($AC$373:$AC$386)))</f>
        <v>0</v>
      </c>
      <c r="AI386">
        <f>IF(OR(AG386="",AH386=""),"",IF((AG386+AH386)=0,0,100*ABS(AG386-AH386)/(AG386+AH386)))</f>
        <v>0</v>
      </c>
      <c r="AJ386">
        <f>IF(COUNT($AI$373:$AI$386)&lt;14,"",AVERAGE($AI$373:$AI$386))</f>
        <v>0</v>
      </c>
      <c r="AK386">
        <f>IF(COUNT($E$2:$E386)&lt;20,"",AVERAGE($E$367:$E$386))</f>
        <v>0</v>
      </c>
      <c r="AL386">
        <f>IF(COUNT($E$2:$E386)&lt;20,"",STDEVP($E$367:$E$386))</f>
        <v>0</v>
      </c>
      <c r="AM386">
        <f>IF(AK386="","",AK386+2*AL386)</f>
        <v>0</v>
      </c>
      <c r="AN386">
        <f>IF(AK386="","",AK386-2*AL386)</f>
        <v>0</v>
      </c>
      <c r="AO386">
        <f>IF(OR(AM386="",AN386="",AM386=AN386),"",($E386-AN386)/(AM386-AN386))</f>
        <v>0</v>
      </c>
      <c r="AP386">
        <f>IF(OR(AM386="",AK386="",AK386=0),"",(AM386-AN386)/AK386)</f>
        <v>0</v>
      </c>
      <c r="AQ386">
        <f>IF(COUNT($E$2:$E386)&lt;20,"",MAX($C$367:$C$386))</f>
        <v>0</v>
      </c>
      <c r="AR386">
        <f>IF(COUNT($E$2:$E386)&lt;20,"",MIN($D$367:$D$386))</f>
        <v>0</v>
      </c>
      <c r="AS386">
        <f>IF(OR(AQ386="",AR386=""),"",(AQ386+AR386)/2)</f>
        <v>0</v>
      </c>
      <c r="AT386">
        <f>IF(COUNT($G$367:$G$386)&lt;20,"",STDEV($G$367:$G$386)*SQRT(52))</f>
        <v>0</v>
      </c>
      <c r="AU386">
        <f>IF(COUNT($E$2:$E386)&lt;9,"",(MAX($C$378:$C$386)+MIN($D$378:$D$386))/2)</f>
        <v>0</v>
      </c>
      <c r="AV386">
        <f>IF(COUNT($E$2:$E386)&lt;26,"",(MAX($C$361:$C$386)+MIN($D$361:$D$386))/2)</f>
        <v>0</v>
      </c>
      <c r="AW386">
        <f>IF(OR(AU386="",AV386=""),"",(AU386+AV386)/2)</f>
        <v>0</v>
      </c>
      <c r="AX386">
        <f>IF(COUNT($E$2:$E386)&lt;52,"",(MAX($C$335:$C$386)+MIN($D$335:$D$386))/2)</f>
        <v>0</v>
      </c>
      <c r="AY386">
        <f>IF(COUNT($E$2:$E386)&lt;20,"",MAX($C$287:$C$386))</f>
        <v>0</v>
      </c>
      <c r="AZ386">
        <f>IF(COUNT($E$2:$E386)&lt;20,"",MIN($D$287:$D$386))</f>
        <v>0</v>
      </c>
      <c r="BA386">
        <f>IF(COUNT($E$2:$E386)&lt;20,"",SLOPE($E$287:$E$386,$F$287:$F$386))</f>
        <v>0</v>
      </c>
      <c r="BB386">
        <f>IF(COUNT($E$2:$E386)&lt;20,"",INTERCEPT($E$287:$E$386,$F$287:$F$386))</f>
        <v>0</v>
      </c>
      <c r="BC386">
        <f>IF(OR(BA386="",BB386=""),"",BB386+BA386*F386)</f>
        <v>0</v>
      </c>
      <c r="BD386">
        <f>IF(COUNT($E$2:$E386)&lt;20,"",STEYX($E$287:$E$386,$F$287:$F$386))</f>
        <v>0</v>
      </c>
      <c r="BE386">
        <f>IF($E386="","",IF(AND(COUNT($E$387:$E$390)&gt;=4,$C386=MAX($C$382:$C$390)),$C386,""))</f>
        <v>0</v>
      </c>
      <c r="BF386">
        <f>IF($E386="","",IF(AND(COUNT($E$387:$E$390)&gt;=4,$D386=MIN($D$382:$D$390)),$D386,""))</f>
        <v>0</v>
      </c>
      <c r="BG386">
        <f>IFERROR(SMALL(Calc_Daily!$BM$2:$BM$2001,385),"")</f>
        <v>0</v>
      </c>
    </row>
    <row r="387" spans="1:59">
      <c r="A387" s="27">
        <f>IF($BG387="","",INDEX(Calc_Daily!$A$2:$A$2001,$BG387))</f>
        <v>0</v>
      </c>
      <c r="B387">
        <f>IF($BG387="","",INDEX(Calc_Daily!$BJ$2:$BJ$2001,$BG387))</f>
        <v>0</v>
      </c>
      <c r="C387">
        <f>IF($BG387="","",INDEX(Calc_Daily!$BK$2:$BK$2001,$BG387))</f>
        <v>0</v>
      </c>
      <c r="D387">
        <f>IF($BG387="","",INDEX(Calc_Daily!$BL$2:$BL$2001,$BG387))</f>
        <v>0</v>
      </c>
      <c r="E387">
        <f>IF($BG387="","",INDEX(Calc_Daily!$E$2:$E$2001,$BG387))</f>
        <v>0</v>
      </c>
      <c r="F387">
        <f>IF($E387="","",N(F386)+1)</f>
        <v>0</v>
      </c>
      <c r="G387">
        <f>IF(OR($E387="",$E386=""),"",LN($E387/$E386))</f>
        <v>0</v>
      </c>
      <c r="H387">
        <f>IF($E387="","",IF($E386="",$E387,$E387*0.0952380952+H386*0.9047619048))</f>
        <v>0</v>
      </c>
      <c r="I387">
        <f>IF($E387="","",IF($E386="",$E387,$E387*0.0392156863+I386*0.9607843137))</f>
        <v>0</v>
      </c>
      <c r="J387">
        <f>IF($E387="","",IF($E386="",$E387,$E387*0.0198019802+J386*0.9801980198))</f>
        <v>0</v>
      </c>
      <c r="K387">
        <f>IF($E387="","",IF($E386="",$E387,$E387*0.0099502488+K386*0.9900497512))</f>
        <v>0</v>
      </c>
      <c r="L387">
        <f>IF(OR($E387="",$E386=""),"",MAX($E387-$E386,0))</f>
        <v>0</v>
      </c>
      <c r="M387">
        <f>IF(OR($E387="",$E386=""),"",MAX($E386-$E387,0))</f>
        <v>0</v>
      </c>
      <c r="N387">
        <f>IF(COUNT($E$2:$E387)&lt;15,"",IF(AVERAGE($M$374:$M$387)=0,100,100-100/(1+AVERAGE($L$374:$L$387)/AVERAGE($M$374:$M$387))))</f>
        <v>0</v>
      </c>
      <c r="O387">
        <f>IF($E387="","",IF($E386="",$E387,$E387*0.1538461538+O386*0.8461538462))</f>
        <v>0</v>
      </c>
      <c r="P387">
        <f>IF($E387="","",IF($E386="",$E387,$E387*0.0740740741+P386*0.9259259259))</f>
        <v>0</v>
      </c>
      <c r="Q387">
        <f>IF(OR(O387="",P387=""),"",O387-P387)</f>
        <v>0</v>
      </c>
      <c r="R387">
        <f>IF(Q387="","",IF(R386="",Q387,Q387*0.2000000000+R386*0.8000000000))</f>
        <v>0</v>
      </c>
      <c r="S387">
        <f>IF(OR(Q387="",R387=""),"",Q387-R387)</f>
        <v>0</v>
      </c>
      <c r="T387">
        <f>IF(COUNT($E$2:$E387)&lt;14,"",MAX($C$374:$C$387))</f>
        <v>0</v>
      </c>
      <c r="U387">
        <f>IF(COUNT($E$2:$E387)&lt;14,"",MIN($D$374:$D$387))</f>
        <v>0</v>
      </c>
      <c r="V387">
        <f>IF(OR(T387="",U387="",T387=U387),"",100*($E387-U387)/(T387-U387))</f>
        <v>0</v>
      </c>
      <c r="W387">
        <f>IF(COUNT($V$385:$V$387)&lt;3,"",AVERAGE($V$385:$V$387))</f>
        <v>0</v>
      </c>
      <c r="X387">
        <f>IF(COUNT($N$374:$N$387)&lt;14,"",MIN($N$374:$N$387))</f>
        <v>0</v>
      </c>
      <c r="Y387">
        <f>IF(COUNT($N$374:$N$387)&lt;14,"",MAX($N$374:$N$387))</f>
        <v>0</v>
      </c>
      <c r="Z387">
        <f>IF(OR(N387="",X387="",Y387="",Y387=X387),"",100*(N387-X387)/(Y387-X387))</f>
        <v>0</v>
      </c>
      <c r="AA387">
        <f>IF(COUNT($Z$385:$Z$387)&lt;3,"",AVERAGE($Z$385:$Z$387))</f>
        <v>0</v>
      </c>
      <c r="AB387">
        <f>IF(COUNT($AA$385:$AA$387)&lt;3,"",AVERAGE($AA$385:$AA$387))</f>
        <v>0</v>
      </c>
      <c r="AC387">
        <f>IF($E387="","",MAX($C387-$D387,ABS($C387-$E386),ABS($D387-$E386)))</f>
        <v>0</v>
      </c>
      <c r="AD387">
        <f>IF(COUNT($E$2:$E387)&lt;15,"",AVERAGE($AC$374:$AC$387))</f>
        <v>0</v>
      </c>
      <c r="AE387">
        <f>IF(OR($E387="",$E386=""),"",IF(AND(($C387-$C386)&gt;($D386-$D387),($C387-$C386)&gt;0),$C387-$C386,0))</f>
        <v>0</v>
      </c>
      <c r="AF387">
        <f>IF(OR($E387="",$E386=""),"",IF(AND(($D386-$D387)&gt;($C387-$C386),($D386-$D387)&gt;0),$D386-$D387,0))</f>
        <v>0</v>
      </c>
      <c r="AG387">
        <f>IF(COUNT($E$2:$E387)&lt;15,"",IF(SUM($AC$374:$AC$387)=0,0,100*SUM($AE$374:$AE$387)/SUM($AC$374:$AC$387)))</f>
        <v>0</v>
      </c>
      <c r="AH387">
        <f>IF(COUNT($E$2:$E387)&lt;15,"",IF(SUM($AC$374:$AC$387)=0,0,100*SUM($AF$374:$AF$387)/SUM($AC$374:$AC$387)))</f>
        <v>0</v>
      </c>
      <c r="AI387">
        <f>IF(OR(AG387="",AH387=""),"",IF((AG387+AH387)=0,0,100*ABS(AG387-AH387)/(AG387+AH387)))</f>
        <v>0</v>
      </c>
      <c r="AJ387">
        <f>IF(COUNT($AI$374:$AI$387)&lt;14,"",AVERAGE($AI$374:$AI$387))</f>
        <v>0</v>
      </c>
      <c r="AK387">
        <f>IF(COUNT($E$2:$E387)&lt;20,"",AVERAGE($E$368:$E$387))</f>
        <v>0</v>
      </c>
      <c r="AL387">
        <f>IF(COUNT($E$2:$E387)&lt;20,"",STDEVP($E$368:$E$387))</f>
        <v>0</v>
      </c>
      <c r="AM387">
        <f>IF(AK387="","",AK387+2*AL387)</f>
        <v>0</v>
      </c>
      <c r="AN387">
        <f>IF(AK387="","",AK387-2*AL387)</f>
        <v>0</v>
      </c>
      <c r="AO387">
        <f>IF(OR(AM387="",AN387="",AM387=AN387),"",($E387-AN387)/(AM387-AN387))</f>
        <v>0</v>
      </c>
      <c r="AP387">
        <f>IF(OR(AM387="",AK387="",AK387=0),"",(AM387-AN387)/AK387)</f>
        <v>0</v>
      </c>
      <c r="AQ387">
        <f>IF(COUNT($E$2:$E387)&lt;20,"",MAX($C$368:$C$387))</f>
        <v>0</v>
      </c>
      <c r="AR387">
        <f>IF(COUNT($E$2:$E387)&lt;20,"",MIN($D$368:$D$387))</f>
        <v>0</v>
      </c>
      <c r="AS387">
        <f>IF(OR(AQ387="",AR387=""),"",(AQ387+AR387)/2)</f>
        <v>0</v>
      </c>
      <c r="AT387">
        <f>IF(COUNT($G$368:$G$387)&lt;20,"",STDEV($G$368:$G$387)*SQRT(52))</f>
        <v>0</v>
      </c>
      <c r="AU387">
        <f>IF(COUNT($E$2:$E387)&lt;9,"",(MAX($C$379:$C$387)+MIN($D$379:$D$387))/2)</f>
        <v>0</v>
      </c>
      <c r="AV387">
        <f>IF(COUNT($E$2:$E387)&lt;26,"",(MAX($C$362:$C$387)+MIN($D$362:$D$387))/2)</f>
        <v>0</v>
      </c>
      <c r="AW387">
        <f>IF(OR(AU387="",AV387=""),"",(AU387+AV387)/2)</f>
        <v>0</v>
      </c>
      <c r="AX387">
        <f>IF(COUNT($E$2:$E387)&lt;52,"",(MAX($C$336:$C$387)+MIN($D$336:$D$387))/2)</f>
        <v>0</v>
      </c>
      <c r="AY387">
        <f>IF(COUNT($E$2:$E387)&lt;20,"",MAX($C$288:$C$387))</f>
        <v>0</v>
      </c>
      <c r="AZ387">
        <f>IF(COUNT($E$2:$E387)&lt;20,"",MIN($D$288:$D$387))</f>
        <v>0</v>
      </c>
      <c r="BA387">
        <f>IF(COUNT($E$2:$E387)&lt;20,"",SLOPE($E$288:$E$387,$F$288:$F$387))</f>
        <v>0</v>
      </c>
      <c r="BB387">
        <f>IF(COUNT($E$2:$E387)&lt;20,"",INTERCEPT($E$288:$E$387,$F$288:$F$387))</f>
        <v>0</v>
      </c>
      <c r="BC387">
        <f>IF(OR(BA387="",BB387=""),"",BB387+BA387*F387)</f>
        <v>0</v>
      </c>
      <c r="BD387">
        <f>IF(COUNT($E$2:$E387)&lt;20,"",STEYX($E$288:$E$387,$F$288:$F$387))</f>
        <v>0</v>
      </c>
      <c r="BE387">
        <f>IF($E387="","",IF(AND(COUNT($E$388:$E$391)&gt;=4,$C387=MAX($C$383:$C$391)),$C387,""))</f>
        <v>0</v>
      </c>
      <c r="BF387">
        <f>IF($E387="","",IF(AND(COUNT($E$388:$E$391)&gt;=4,$D387=MIN($D$383:$D$391)),$D387,""))</f>
        <v>0</v>
      </c>
      <c r="BG387">
        <f>IFERROR(SMALL(Calc_Daily!$BM$2:$BM$2001,386),"")</f>
        <v>0</v>
      </c>
    </row>
    <row r="388" spans="1:59">
      <c r="A388" s="27">
        <f>IF($BG388="","",INDEX(Calc_Daily!$A$2:$A$2001,$BG388))</f>
        <v>0</v>
      </c>
      <c r="B388">
        <f>IF($BG388="","",INDEX(Calc_Daily!$BJ$2:$BJ$2001,$BG388))</f>
        <v>0</v>
      </c>
      <c r="C388">
        <f>IF($BG388="","",INDEX(Calc_Daily!$BK$2:$BK$2001,$BG388))</f>
        <v>0</v>
      </c>
      <c r="D388">
        <f>IF($BG388="","",INDEX(Calc_Daily!$BL$2:$BL$2001,$BG388))</f>
        <v>0</v>
      </c>
      <c r="E388">
        <f>IF($BG388="","",INDEX(Calc_Daily!$E$2:$E$2001,$BG388))</f>
        <v>0</v>
      </c>
      <c r="F388">
        <f>IF($E388="","",N(F387)+1)</f>
        <v>0</v>
      </c>
      <c r="G388">
        <f>IF(OR($E388="",$E387=""),"",LN($E388/$E387))</f>
        <v>0</v>
      </c>
      <c r="H388">
        <f>IF($E388="","",IF($E387="",$E388,$E388*0.0952380952+H387*0.9047619048))</f>
        <v>0</v>
      </c>
      <c r="I388">
        <f>IF($E388="","",IF($E387="",$E388,$E388*0.0392156863+I387*0.9607843137))</f>
        <v>0</v>
      </c>
      <c r="J388">
        <f>IF($E388="","",IF($E387="",$E388,$E388*0.0198019802+J387*0.9801980198))</f>
        <v>0</v>
      </c>
      <c r="K388">
        <f>IF($E388="","",IF($E387="",$E388,$E388*0.0099502488+K387*0.9900497512))</f>
        <v>0</v>
      </c>
      <c r="L388">
        <f>IF(OR($E388="",$E387=""),"",MAX($E388-$E387,0))</f>
        <v>0</v>
      </c>
      <c r="M388">
        <f>IF(OR($E388="",$E387=""),"",MAX($E387-$E388,0))</f>
        <v>0</v>
      </c>
      <c r="N388">
        <f>IF(COUNT($E$2:$E388)&lt;15,"",IF(AVERAGE($M$375:$M$388)=0,100,100-100/(1+AVERAGE($L$375:$L$388)/AVERAGE($M$375:$M$388))))</f>
        <v>0</v>
      </c>
      <c r="O388">
        <f>IF($E388="","",IF($E387="",$E388,$E388*0.1538461538+O387*0.8461538462))</f>
        <v>0</v>
      </c>
      <c r="P388">
        <f>IF($E388="","",IF($E387="",$E388,$E388*0.0740740741+P387*0.9259259259))</f>
        <v>0</v>
      </c>
      <c r="Q388">
        <f>IF(OR(O388="",P388=""),"",O388-P388)</f>
        <v>0</v>
      </c>
      <c r="R388">
        <f>IF(Q388="","",IF(R387="",Q388,Q388*0.2000000000+R387*0.8000000000))</f>
        <v>0</v>
      </c>
      <c r="S388">
        <f>IF(OR(Q388="",R388=""),"",Q388-R388)</f>
        <v>0</v>
      </c>
      <c r="T388">
        <f>IF(COUNT($E$2:$E388)&lt;14,"",MAX($C$375:$C$388))</f>
        <v>0</v>
      </c>
      <c r="U388">
        <f>IF(COUNT($E$2:$E388)&lt;14,"",MIN($D$375:$D$388))</f>
        <v>0</v>
      </c>
      <c r="V388">
        <f>IF(OR(T388="",U388="",T388=U388),"",100*($E388-U388)/(T388-U388))</f>
        <v>0</v>
      </c>
      <c r="W388">
        <f>IF(COUNT($V$386:$V$388)&lt;3,"",AVERAGE($V$386:$V$388))</f>
        <v>0</v>
      </c>
      <c r="X388">
        <f>IF(COUNT($N$375:$N$388)&lt;14,"",MIN($N$375:$N$388))</f>
        <v>0</v>
      </c>
      <c r="Y388">
        <f>IF(COUNT($N$375:$N$388)&lt;14,"",MAX($N$375:$N$388))</f>
        <v>0</v>
      </c>
      <c r="Z388">
        <f>IF(OR(N388="",X388="",Y388="",Y388=X388),"",100*(N388-X388)/(Y388-X388))</f>
        <v>0</v>
      </c>
      <c r="AA388">
        <f>IF(COUNT($Z$386:$Z$388)&lt;3,"",AVERAGE($Z$386:$Z$388))</f>
        <v>0</v>
      </c>
      <c r="AB388">
        <f>IF(COUNT($AA$386:$AA$388)&lt;3,"",AVERAGE($AA$386:$AA$388))</f>
        <v>0</v>
      </c>
      <c r="AC388">
        <f>IF($E388="","",MAX($C388-$D388,ABS($C388-$E387),ABS($D388-$E387)))</f>
        <v>0</v>
      </c>
      <c r="AD388">
        <f>IF(COUNT($E$2:$E388)&lt;15,"",AVERAGE($AC$375:$AC$388))</f>
        <v>0</v>
      </c>
      <c r="AE388">
        <f>IF(OR($E388="",$E387=""),"",IF(AND(($C388-$C387)&gt;($D387-$D388),($C388-$C387)&gt;0),$C388-$C387,0))</f>
        <v>0</v>
      </c>
      <c r="AF388">
        <f>IF(OR($E388="",$E387=""),"",IF(AND(($D387-$D388)&gt;($C388-$C387),($D387-$D388)&gt;0),$D387-$D388,0))</f>
        <v>0</v>
      </c>
      <c r="AG388">
        <f>IF(COUNT($E$2:$E388)&lt;15,"",IF(SUM($AC$375:$AC$388)=0,0,100*SUM($AE$375:$AE$388)/SUM($AC$375:$AC$388)))</f>
        <v>0</v>
      </c>
      <c r="AH388">
        <f>IF(COUNT($E$2:$E388)&lt;15,"",IF(SUM($AC$375:$AC$388)=0,0,100*SUM($AF$375:$AF$388)/SUM($AC$375:$AC$388)))</f>
        <v>0</v>
      </c>
      <c r="AI388">
        <f>IF(OR(AG388="",AH388=""),"",IF((AG388+AH388)=0,0,100*ABS(AG388-AH388)/(AG388+AH388)))</f>
        <v>0</v>
      </c>
      <c r="AJ388">
        <f>IF(COUNT($AI$375:$AI$388)&lt;14,"",AVERAGE($AI$375:$AI$388))</f>
        <v>0</v>
      </c>
      <c r="AK388">
        <f>IF(COUNT($E$2:$E388)&lt;20,"",AVERAGE($E$369:$E$388))</f>
        <v>0</v>
      </c>
      <c r="AL388">
        <f>IF(COUNT($E$2:$E388)&lt;20,"",STDEVP($E$369:$E$388))</f>
        <v>0</v>
      </c>
      <c r="AM388">
        <f>IF(AK388="","",AK388+2*AL388)</f>
        <v>0</v>
      </c>
      <c r="AN388">
        <f>IF(AK388="","",AK388-2*AL388)</f>
        <v>0</v>
      </c>
      <c r="AO388">
        <f>IF(OR(AM388="",AN388="",AM388=AN388),"",($E388-AN388)/(AM388-AN388))</f>
        <v>0</v>
      </c>
      <c r="AP388">
        <f>IF(OR(AM388="",AK388="",AK388=0),"",(AM388-AN388)/AK388)</f>
        <v>0</v>
      </c>
      <c r="AQ388">
        <f>IF(COUNT($E$2:$E388)&lt;20,"",MAX($C$369:$C$388))</f>
        <v>0</v>
      </c>
      <c r="AR388">
        <f>IF(COUNT($E$2:$E388)&lt;20,"",MIN($D$369:$D$388))</f>
        <v>0</v>
      </c>
      <c r="AS388">
        <f>IF(OR(AQ388="",AR388=""),"",(AQ388+AR388)/2)</f>
        <v>0</v>
      </c>
      <c r="AT388">
        <f>IF(COUNT($G$369:$G$388)&lt;20,"",STDEV($G$369:$G$388)*SQRT(52))</f>
        <v>0</v>
      </c>
      <c r="AU388">
        <f>IF(COUNT($E$2:$E388)&lt;9,"",(MAX($C$380:$C$388)+MIN($D$380:$D$388))/2)</f>
        <v>0</v>
      </c>
      <c r="AV388">
        <f>IF(COUNT($E$2:$E388)&lt;26,"",(MAX($C$363:$C$388)+MIN($D$363:$D$388))/2)</f>
        <v>0</v>
      </c>
      <c r="AW388">
        <f>IF(OR(AU388="",AV388=""),"",(AU388+AV388)/2)</f>
        <v>0</v>
      </c>
      <c r="AX388">
        <f>IF(COUNT($E$2:$E388)&lt;52,"",(MAX($C$337:$C$388)+MIN($D$337:$D$388))/2)</f>
        <v>0</v>
      </c>
      <c r="AY388">
        <f>IF(COUNT($E$2:$E388)&lt;20,"",MAX($C$289:$C$388))</f>
        <v>0</v>
      </c>
      <c r="AZ388">
        <f>IF(COUNT($E$2:$E388)&lt;20,"",MIN($D$289:$D$388))</f>
        <v>0</v>
      </c>
      <c r="BA388">
        <f>IF(COUNT($E$2:$E388)&lt;20,"",SLOPE($E$289:$E$388,$F$289:$F$388))</f>
        <v>0</v>
      </c>
      <c r="BB388">
        <f>IF(COUNT($E$2:$E388)&lt;20,"",INTERCEPT($E$289:$E$388,$F$289:$F$388))</f>
        <v>0</v>
      </c>
      <c r="BC388">
        <f>IF(OR(BA388="",BB388=""),"",BB388+BA388*F388)</f>
        <v>0</v>
      </c>
      <c r="BD388">
        <f>IF(COUNT($E$2:$E388)&lt;20,"",STEYX($E$289:$E$388,$F$289:$F$388))</f>
        <v>0</v>
      </c>
      <c r="BE388">
        <f>IF($E388="","",IF(AND(COUNT($E$389:$E$392)&gt;=4,$C388=MAX($C$384:$C$392)),$C388,""))</f>
        <v>0</v>
      </c>
      <c r="BF388">
        <f>IF($E388="","",IF(AND(COUNT($E$389:$E$392)&gt;=4,$D388=MIN($D$384:$D$392)),$D388,""))</f>
        <v>0</v>
      </c>
      <c r="BG388">
        <f>IFERROR(SMALL(Calc_Daily!$BM$2:$BM$2001,387),"")</f>
        <v>0</v>
      </c>
    </row>
    <row r="389" spans="1:59">
      <c r="A389" s="27">
        <f>IF($BG389="","",INDEX(Calc_Daily!$A$2:$A$2001,$BG389))</f>
        <v>0</v>
      </c>
      <c r="B389">
        <f>IF($BG389="","",INDEX(Calc_Daily!$BJ$2:$BJ$2001,$BG389))</f>
        <v>0</v>
      </c>
      <c r="C389">
        <f>IF($BG389="","",INDEX(Calc_Daily!$BK$2:$BK$2001,$BG389))</f>
        <v>0</v>
      </c>
      <c r="D389">
        <f>IF($BG389="","",INDEX(Calc_Daily!$BL$2:$BL$2001,$BG389))</f>
        <v>0</v>
      </c>
      <c r="E389">
        <f>IF($BG389="","",INDEX(Calc_Daily!$E$2:$E$2001,$BG389))</f>
        <v>0</v>
      </c>
      <c r="F389">
        <f>IF($E389="","",N(F388)+1)</f>
        <v>0</v>
      </c>
      <c r="G389">
        <f>IF(OR($E389="",$E388=""),"",LN($E389/$E388))</f>
        <v>0</v>
      </c>
      <c r="H389">
        <f>IF($E389="","",IF($E388="",$E389,$E389*0.0952380952+H388*0.9047619048))</f>
        <v>0</v>
      </c>
      <c r="I389">
        <f>IF($E389="","",IF($E388="",$E389,$E389*0.0392156863+I388*0.9607843137))</f>
        <v>0</v>
      </c>
      <c r="J389">
        <f>IF($E389="","",IF($E388="",$E389,$E389*0.0198019802+J388*0.9801980198))</f>
        <v>0</v>
      </c>
      <c r="K389">
        <f>IF($E389="","",IF($E388="",$E389,$E389*0.0099502488+K388*0.9900497512))</f>
        <v>0</v>
      </c>
      <c r="L389">
        <f>IF(OR($E389="",$E388=""),"",MAX($E389-$E388,0))</f>
        <v>0</v>
      </c>
      <c r="M389">
        <f>IF(OR($E389="",$E388=""),"",MAX($E388-$E389,0))</f>
        <v>0</v>
      </c>
      <c r="N389">
        <f>IF(COUNT($E$2:$E389)&lt;15,"",IF(AVERAGE($M$376:$M$389)=0,100,100-100/(1+AVERAGE($L$376:$L$389)/AVERAGE($M$376:$M$389))))</f>
        <v>0</v>
      </c>
      <c r="O389">
        <f>IF($E389="","",IF($E388="",$E389,$E389*0.1538461538+O388*0.8461538462))</f>
        <v>0</v>
      </c>
      <c r="P389">
        <f>IF($E389="","",IF($E388="",$E389,$E389*0.0740740741+P388*0.9259259259))</f>
        <v>0</v>
      </c>
      <c r="Q389">
        <f>IF(OR(O389="",P389=""),"",O389-P389)</f>
        <v>0</v>
      </c>
      <c r="R389">
        <f>IF(Q389="","",IF(R388="",Q389,Q389*0.2000000000+R388*0.8000000000))</f>
        <v>0</v>
      </c>
      <c r="S389">
        <f>IF(OR(Q389="",R389=""),"",Q389-R389)</f>
        <v>0</v>
      </c>
      <c r="T389">
        <f>IF(COUNT($E$2:$E389)&lt;14,"",MAX($C$376:$C$389))</f>
        <v>0</v>
      </c>
      <c r="U389">
        <f>IF(COUNT($E$2:$E389)&lt;14,"",MIN($D$376:$D$389))</f>
        <v>0</v>
      </c>
      <c r="V389">
        <f>IF(OR(T389="",U389="",T389=U389),"",100*($E389-U389)/(T389-U389))</f>
        <v>0</v>
      </c>
      <c r="W389">
        <f>IF(COUNT($V$387:$V$389)&lt;3,"",AVERAGE($V$387:$V$389))</f>
        <v>0</v>
      </c>
      <c r="X389">
        <f>IF(COUNT($N$376:$N$389)&lt;14,"",MIN($N$376:$N$389))</f>
        <v>0</v>
      </c>
      <c r="Y389">
        <f>IF(COUNT($N$376:$N$389)&lt;14,"",MAX($N$376:$N$389))</f>
        <v>0</v>
      </c>
      <c r="Z389">
        <f>IF(OR(N389="",X389="",Y389="",Y389=X389),"",100*(N389-X389)/(Y389-X389))</f>
        <v>0</v>
      </c>
      <c r="AA389">
        <f>IF(COUNT($Z$387:$Z$389)&lt;3,"",AVERAGE($Z$387:$Z$389))</f>
        <v>0</v>
      </c>
      <c r="AB389">
        <f>IF(COUNT($AA$387:$AA$389)&lt;3,"",AVERAGE($AA$387:$AA$389))</f>
        <v>0</v>
      </c>
      <c r="AC389">
        <f>IF($E389="","",MAX($C389-$D389,ABS($C389-$E388),ABS($D389-$E388)))</f>
        <v>0</v>
      </c>
      <c r="AD389">
        <f>IF(COUNT($E$2:$E389)&lt;15,"",AVERAGE($AC$376:$AC$389))</f>
        <v>0</v>
      </c>
      <c r="AE389">
        <f>IF(OR($E389="",$E388=""),"",IF(AND(($C389-$C388)&gt;($D388-$D389),($C389-$C388)&gt;0),$C389-$C388,0))</f>
        <v>0</v>
      </c>
      <c r="AF389">
        <f>IF(OR($E389="",$E388=""),"",IF(AND(($D388-$D389)&gt;($C389-$C388),($D388-$D389)&gt;0),$D388-$D389,0))</f>
        <v>0</v>
      </c>
      <c r="AG389">
        <f>IF(COUNT($E$2:$E389)&lt;15,"",IF(SUM($AC$376:$AC$389)=0,0,100*SUM($AE$376:$AE$389)/SUM($AC$376:$AC$389)))</f>
        <v>0</v>
      </c>
      <c r="AH389">
        <f>IF(COUNT($E$2:$E389)&lt;15,"",IF(SUM($AC$376:$AC$389)=0,0,100*SUM($AF$376:$AF$389)/SUM($AC$376:$AC$389)))</f>
        <v>0</v>
      </c>
      <c r="AI389">
        <f>IF(OR(AG389="",AH389=""),"",IF((AG389+AH389)=0,0,100*ABS(AG389-AH389)/(AG389+AH389)))</f>
        <v>0</v>
      </c>
      <c r="AJ389">
        <f>IF(COUNT($AI$376:$AI$389)&lt;14,"",AVERAGE($AI$376:$AI$389))</f>
        <v>0</v>
      </c>
      <c r="AK389">
        <f>IF(COUNT($E$2:$E389)&lt;20,"",AVERAGE($E$370:$E$389))</f>
        <v>0</v>
      </c>
      <c r="AL389">
        <f>IF(COUNT($E$2:$E389)&lt;20,"",STDEVP($E$370:$E$389))</f>
        <v>0</v>
      </c>
      <c r="AM389">
        <f>IF(AK389="","",AK389+2*AL389)</f>
        <v>0</v>
      </c>
      <c r="AN389">
        <f>IF(AK389="","",AK389-2*AL389)</f>
        <v>0</v>
      </c>
      <c r="AO389">
        <f>IF(OR(AM389="",AN389="",AM389=AN389),"",($E389-AN389)/(AM389-AN389))</f>
        <v>0</v>
      </c>
      <c r="AP389">
        <f>IF(OR(AM389="",AK389="",AK389=0),"",(AM389-AN389)/AK389)</f>
        <v>0</v>
      </c>
      <c r="AQ389">
        <f>IF(COUNT($E$2:$E389)&lt;20,"",MAX($C$370:$C$389))</f>
        <v>0</v>
      </c>
      <c r="AR389">
        <f>IF(COUNT($E$2:$E389)&lt;20,"",MIN($D$370:$D$389))</f>
        <v>0</v>
      </c>
      <c r="AS389">
        <f>IF(OR(AQ389="",AR389=""),"",(AQ389+AR389)/2)</f>
        <v>0</v>
      </c>
      <c r="AT389">
        <f>IF(COUNT($G$370:$G$389)&lt;20,"",STDEV($G$370:$G$389)*SQRT(52))</f>
        <v>0</v>
      </c>
      <c r="AU389">
        <f>IF(COUNT($E$2:$E389)&lt;9,"",(MAX($C$381:$C$389)+MIN($D$381:$D$389))/2)</f>
        <v>0</v>
      </c>
      <c r="AV389">
        <f>IF(COUNT($E$2:$E389)&lt;26,"",(MAX($C$364:$C$389)+MIN($D$364:$D$389))/2)</f>
        <v>0</v>
      </c>
      <c r="AW389">
        <f>IF(OR(AU389="",AV389=""),"",(AU389+AV389)/2)</f>
        <v>0</v>
      </c>
      <c r="AX389">
        <f>IF(COUNT($E$2:$E389)&lt;52,"",(MAX($C$338:$C$389)+MIN($D$338:$D$389))/2)</f>
        <v>0</v>
      </c>
      <c r="AY389">
        <f>IF(COUNT($E$2:$E389)&lt;20,"",MAX($C$290:$C$389))</f>
        <v>0</v>
      </c>
      <c r="AZ389">
        <f>IF(COUNT($E$2:$E389)&lt;20,"",MIN($D$290:$D$389))</f>
        <v>0</v>
      </c>
      <c r="BA389">
        <f>IF(COUNT($E$2:$E389)&lt;20,"",SLOPE($E$290:$E$389,$F$290:$F$389))</f>
        <v>0</v>
      </c>
      <c r="BB389">
        <f>IF(COUNT($E$2:$E389)&lt;20,"",INTERCEPT($E$290:$E$389,$F$290:$F$389))</f>
        <v>0</v>
      </c>
      <c r="BC389">
        <f>IF(OR(BA389="",BB389=""),"",BB389+BA389*F389)</f>
        <v>0</v>
      </c>
      <c r="BD389">
        <f>IF(COUNT($E$2:$E389)&lt;20,"",STEYX($E$290:$E$389,$F$290:$F$389))</f>
        <v>0</v>
      </c>
      <c r="BE389">
        <f>IF($E389="","",IF(AND(COUNT($E$390:$E$393)&gt;=4,$C389=MAX($C$385:$C$393)),$C389,""))</f>
        <v>0</v>
      </c>
      <c r="BF389">
        <f>IF($E389="","",IF(AND(COUNT($E$390:$E$393)&gt;=4,$D389=MIN($D$385:$D$393)),$D389,""))</f>
        <v>0</v>
      </c>
      <c r="BG389">
        <f>IFERROR(SMALL(Calc_Daily!$BM$2:$BM$2001,388),"")</f>
        <v>0</v>
      </c>
    </row>
    <row r="390" spans="1:59">
      <c r="A390" s="27">
        <f>IF($BG390="","",INDEX(Calc_Daily!$A$2:$A$2001,$BG390))</f>
        <v>0</v>
      </c>
      <c r="B390">
        <f>IF($BG390="","",INDEX(Calc_Daily!$BJ$2:$BJ$2001,$BG390))</f>
        <v>0</v>
      </c>
      <c r="C390">
        <f>IF($BG390="","",INDEX(Calc_Daily!$BK$2:$BK$2001,$BG390))</f>
        <v>0</v>
      </c>
      <c r="D390">
        <f>IF($BG390="","",INDEX(Calc_Daily!$BL$2:$BL$2001,$BG390))</f>
        <v>0</v>
      </c>
      <c r="E390">
        <f>IF($BG390="","",INDEX(Calc_Daily!$E$2:$E$2001,$BG390))</f>
        <v>0</v>
      </c>
      <c r="F390">
        <f>IF($E390="","",N(F389)+1)</f>
        <v>0</v>
      </c>
      <c r="G390">
        <f>IF(OR($E390="",$E389=""),"",LN($E390/$E389))</f>
        <v>0</v>
      </c>
      <c r="H390">
        <f>IF($E390="","",IF($E389="",$E390,$E390*0.0952380952+H389*0.9047619048))</f>
        <v>0</v>
      </c>
      <c r="I390">
        <f>IF($E390="","",IF($E389="",$E390,$E390*0.0392156863+I389*0.9607843137))</f>
        <v>0</v>
      </c>
      <c r="J390">
        <f>IF($E390="","",IF($E389="",$E390,$E390*0.0198019802+J389*0.9801980198))</f>
        <v>0</v>
      </c>
      <c r="K390">
        <f>IF($E390="","",IF($E389="",$E390,$E390*0.0099502488+K389*0.9900497512))</f>
        <v>0</v>
      </c>
      <c r="L390">
        <f>IF(OR($E390="",$E389=""),"",MAX($E390-$E389,0))</f>
        <v>0</v>
      </c>
      <c r="M390">
        <f>IF(OR($E390="",$E389=""),"",MAX($E389-$E390,0))</f>
        <v>0</v>
      </c>
      <c r="N390">
        <f>IF(COUNT($E$2:$E390)&lt;15,"",IF(AVERAGE($M$377:$M$390)=0,100,100-100/(1+AVERAGE($L$377:$L$390)/AVERAGE($M$377:$M$390))))</f>
        <v>0</v>
      </c>
      <c r="O390">
        <f>IF($E390="","",IF($E389="",$E390,$E390*0.1538461538+O389*0.8461538462))</f>
        <v>0</v>
      </c>
      <c r="P390">
        <f>IF($E390="","",IF($E389="",$E390,$E390*0.0740740741+P389*0.9259259259))</f>
        <v>0</v>
      </c>
      <c r="Q390">
        <f>IF(OR(O390="",P390=""),"",O390-P390)</f>
        <v>0</v>
      </c>
      <c r="R390">
        <f>IF(Q390="","",IF(R389="",Q390,Q390*0.2000000000+R389*0.8000000000))</f>
        <v>0</v>
      </c>
      <c r="S390">
        <f>IF(OR(Q390="",R390=""),"",Q390-R390)</f>
        <v>0</v>
      </c>
      <c r="T390">
        <f>IF(COUNT($E$2:$E390)&lt;14,"",MAX($C$377:$C$390))</f>
        <v>0</v>
      </c>
      <c r="U390">
        <f>IF(COUNT($E$2:$E390)&lt;14,"",MIN($D$377:$D$390))</f>
        <v>0</v>
      </c>
      <c r="V390">
        <f>IF(OR(T390="",U390="",T390=U390),"",100*($E390-U390)/(T390-U390))</f>
        <v>0</v>
      </c>
      <c r="W390">
        <f>IF(COUNT($V$388:$V$390)&lt;3,"",AVERAGE($V$388:$V$390))</f>
        <v>0</v>
      </c>
      <c r="X390">
        <f>IF(COUNT($N$377:$N$390)&lt;14,"",MIN($N$377:$N$390))</f>
        <v>0</v>
      </c>
      <c r="Y390">
        <f>IF(COUNT($N$377:$N$390)&lt;14,"",MAX($N$377:$N$390))</f>
        <v>0</v>
      </c>
      <c r="Z390">
        <f>IF(OR(N390="",X390="",Y390="",Y390=X390),"",100*(N390-X390)/(Y390-X390))</f>
        <v>0</v>
      </c>
      <c r="AA390">
        <f>IF(COUNT($Z$388:$Z$390)&lt;3,"",AVERAGE($Z$388:$Z$390))</f>
        <v>0</v>
      </c>
      <c r="AB390">
        <f>IF(COUNT($AA$388:$AA$390)&lt;3,"",AVERAGE($AA$388:$AA$390))</f>
        <v>0</v>
      </c>
      <c r="AC390">
        <f>IF($E390="","",MAX($C390-$D390,ABS($C390-$E389),ABS($D390-$E389)))</f>
        <v>0</v>
      </c>
      <c r="AD390">
        <f>IF(COUNT($E$2:$E390)&lt;15,"",AVERAGE($AC$377:$AC$390))</f>
        <v>0</v>
      </c>
      <c r="AE390">
        <f>IF(OR($E390="",$E389=""),"",IF(AND(($C390-$C389)&gt;($D389-$D390),($C390-$C389)&gt;0),$C390-$C389,0))</f>
        <v>0</v>
      </c>
      <c r="AF390">
        <f>IF(OR($E390="",$E389=""),"",IF(AND(($D389-$D390)&gt;($C390-$C389),($D389-$D390)&gt;0),$D389-$D390,0))</f>
        <v>0</v>
      </c>
      <c r="AG390">
        <f>IF(COUNT($E$2:$E390)&lt;15,"",IF(SUM($AC$377:$AC$390)=0,0,100*SUM($AE$377:$AE$390)/SUM($AC$377:$AC$390)))</f>
        <v>0</v>
      </c>
      <c r="AH390">
        <f>IF(COUNT($E$2:$E390)&lt;15,"",IF(SUM($AC$377:$AC$390)=0,0,100*SUM($AF$377:$AF$390)/SUM($AC$377:$AC$390)))</f>
        <v>0</v>
      </c>
      <c r="AI390">
        <f>IF(OR(AG390="",AH390=""),"",IF((AG390+AH390)=0,0,100*ABS(AG390-AH390)/(AG390+AH390)))</f>
        <v>0</v>
      </c>
      <c r="AJ390">
        <f>IF(COUNT($AI$377:$AI$390)&lt;14,"",AVERAGE($AI$377:$AI$390))</f>
        <v>0</v>
      </c>
      <c r="AK390">
        <f>IF(COUNT($E$2:$E390)&lt;20,"",AVERAGE($E$371:$E$390))</f>
        <v>0</v>
      </c>
      <c r="AL390">
        <f>IF(COUNT($E$2:$E390)&lt;20,"",STDEVP($E$371:$E$390))</f>
        <v>0</v>
      </c>
      <c r="AM390">
        <f>IF(AK390="","",AK390+2*AL390)</f>
        <v>0</v>
      </c>
      <c r="AN390">
        <f>IF(AK390="","",AK390-2*AL390)</f>
        <v>0</v>
      </c>
      <c r="AO390">
        <f>IF(OR(AM390="",AN390="",AM390=AN390),"",($E390-AN390)/(AM390-AN390))</f>
        <v>0</v>
      </c>
      <c r="AP390">
        <f>IF(OR(AM390="",AK390="",AK390=0),"",(AM390-AN390)/AK390)</f>
        <v>0</v>
      </c>
      <c r="AQ390">
        <f>IF(COUNT($E$2:$E390)&lt;20,"",MAX($C$371:$C$390))</f>
        <v>0</v>
      </c>
      <c r="AR390">
        <f>IF(COUNT($E$2:$E390)&lt;20,"",MIN($D$371:$D$390))</f>
        <v>0</v>
      </c>
      <c r="AS390">
        <f>IF(OR(AQ390="",AR390=""),"",(AQ390+AR390)/2)</f>
        <v>0</v>
      </c>
      <c r="AT390">
        <f>IF(COUNT($G$371:$G$390)&lt;20,"",STDEV($G$371:$G$390)*SQRT(52))</f>
        <v>0</v>
      </c>
      <c r="AU390">
        <f>IF(COUNT($E$2:$E390)&lt;9,"",(MAX($C$382:$C$390)+MIN($D$382:$D$390))/2)</f>
        <v>0</v>
      </c>
      <c r="AV390">
        <f>IF(COUNT($E$2:$E390)&lt;26,"",(MAX($C$365:$C$390)+MIN($D$365:$D$390))/2)</f>
        <v>0</v>
      </c>
      <c r="AW390">
        <f>IF(OR(AU390="",AV390=""),"",(AU390+AV390)/2)</f>
        <v>0</v>
      </c>
      <c r="AX390">
        <f>IF(COUNT($E$2:$E390)&lt;52,"",(MAX($C$339:$C$390)+MIN($D$339:$D$390))/2)</f>
        <v>0</v>
      </c>
      <c r="AY390">
        <f>IF(COUNT($E$2:$E390)&lt;20,"",MAX($C$291:$C$390))</f>
        <v>0</v>
      </c>
      <c r="AZ390">
        <f>IF(COUNT($E$2:$E390)&lt;20,"",MIN($D$291:$D$390))</f>
        <v>0</v>
      </c>
      <c r="BA390">
        <f>IF(COUNT($E$2:$E390)&lt;20,"",SLOPE($E$291:$E$390,$F$291:$F$390))</f>
        <v>0</v>
      </c>
      <c r="BB390">
        <f>IF(COUNT($E$2:$E390)&lt;20,"",INTERCEPT($E$291:$E$390,$F$291:$F$390))</f>
        <v>0</v>
      </c>
      <c r="BC390">
        <f>IF(OR(BA390="",BB390=""),"",BB390+BA390*F390)</f>
        <v>0</v>
      </c>
      <c r="BD390">
        <f>IF(COUNT($E$2:$E390)&lt;20,"",STEYX($E$291:$E$390,$F$291:$F$390))</f>
        <v>0</v>
      </c>
      <c r="BE390">
        <f>IF($E390="","",IF(AND(COUNT($E$391:$E$394)&gt;=4,$C390=MAX($C$386:$C$394)),$C390,""))</f>
        <v>0</v>
      </c>
      <c r="BF390">
        <f>IF($E390="","",IF(AND(COUNT($E$391:$E$394)&gt;=4,$D390=MIN($D$386:$D$394)),$D390,""))</f>
        <v>0</v>
      </c>
      <c r="BG390">
        <f>IFERROR(SMALL(Calc_Daily!$BM$2:$BM$2001,389),"")</f>
        <v>0</v>
      </c>
    </row>
    <row r="391" spans="1:59">
      <c r="A391" s="27">
        <f>IF($BG391="","",INDEX(Calc_Daily!$A$2:$A$2001,$BG391))</f>
        <v>0</v>
      </c>
      <c r="B391">
        <f>IF($BG391="","",INDEX(Calc_Daily!$BJ$2:$BJ$2001,$BG391))</f>
        <v>0</v>
      </c>
      <c r="C391">
        <f>IF($BG391="","",INDEX(Calc_Daily!$BK$2:$BK$2001,$BG391))</f>
        <v>0</v>
      </c>
      <c r="D391">
        <f>IF($BG391="","",INDEX(Calc_Daily!$BL$2:$BL$2001,$BG391))</f>
        <v>0</v>
      </c>
      <c r="E391">
        <f>IF($BG391="","",INDEX(Calc_Daily!$E$2:$E$2001,$BG391))</f>
        <v>0</v>
      </c>
      <c r="F391">
        <f>IF($E391="","",N(F390)+1)</f>
        <v>0</v>
      </c>
      <c r="G391">
        <f>IF(OR($E391="",$E390=""),"",LN($E391/$E390))</f>
        <v>0</v>
      </c>
      <c r="H391">
        <f>IF($E391="","",IF($E390="",$E391,$E391*0.0952380952+H390*0.9047619048))</f>
        <v>0</v>
      </c>
      <c r="I391">
        <f>IF($E391="","",IF($E390="",$E391,$E391*0.0392156863+I390*0.9607843137))</f>
        <v>0</v>
      </c>
      <c r="J391">
        <f>IF($E391="","",IF($E390="",$E391,$E391*0.0198019802+J390*0.9801980198))</f>
        <v>0</v>
      </c>
      <c r="K391">
        <f>IF($E391="","",IF($E390="",$E391,$E391*0.0099502488+K390*0.9900497512))</f>
        <v>0</v>
      </c>
      <c r="L391">
        <f>IF(OR($E391="",$E390=""),"",MAX($E391-$E390,0))</f>
        <v>0</v>
      </c>
      <c r="M391">
        <f>IF(OR($E391="",$E390=""),"",MAX($E390-$E391,0))</f>
        <v>0</v>
      </c>
      <c r="N391">
        <f>IF(COUNT($E$2:$E391)&lt;15,"",IF(AVERAGE($M$378:$M$391)=0,100,100-100/(1+AVERAGE($L$378:$L$391)/AVERAGE($M$378:$M$391))))</f>
        <v>0</v>
      </c>
      <c r="O391">
        <f>IF($E391="","",IF($E390="",$E391,$E391*0.1538461538+O390*0.8461538462))</f>
        <v>0</v>
      </c>
      <c r="P391">
        <f>IF($E391="","",IF($E390="",$E391,$E391*0.0740740741+P390*0.9259259259))</f>
        <v>0</v>
      </c>
      <c r="Q391">
        <f>IF(OR(O391="",P391=""),"",O391-P391)</f>
        <v>0</v>
      </c>
      <c r="R391">
        <f>IF(Q391="","",IF(R390="",Q391,Q391*0.2000000000+R390*0.8000000000))</f>
        <v>0</v>
      </c>
      <c r="S391">
        <f>IF(OR(Q391="",R391=""),"",Q391-R391)</f>
        <v>0</v>
      </c>
      <c r="T391">
        <f>IF(COUNT($E$2:$E391)&lt;14,"",MAX($C$378:$C$391))</f>
        <v>0</v>
      </c>
      <c r="U391">
        <f>IF(COUNT($E$2:$E391)&lt;14,"",MIN($D$378:$D$391))</f>
        <v>0</v>
      </c>
      <c r="V391">
        <f>IF(OR(T391="",U391="",T391=U391),"",100*($E391-U391)/(T391-U391))</f>
        <v>0</v>
      </c>
      <c r="W391">
        <f>IF(COUNT($V$389:$V$391)&lt;3,"",AVERAGE($V$389:$V$391))</f>
        <v>0</v>
      </c>
      <c r="X391">
        <f>IF(COUNT($N$378:$N$391)&lt;14,"",MIN($N$378:$N$391))</f>
        <v>0</v>
      </c>
      <c r="Y391">
        <f>IF(COUNT($N$378:$N$391)&lt;14,"",MAX($N$378:$N$391))</f>
        <v>0</v>
      </c>
      <c r="Z391">
        <f>IF(OR(N391="",X391="",Y391="",Y391=X391),"",100*(N391-X391)/(Y391-X391))</f>
        <v>0</v>
      </c>
      <c r="AA391">
        <f>IF(COUNT($Z$389:$Z$391)&lt;3,"",AVERAGE($Z$389:$Z$391))</f>
        <v>0</v>
      </c>
      <c r="AB391">
        <f>IF(COUNT($AA$389:$AA$391)&lt;3,"",AVERAGE($AA$389:$AA$391))</f>
        <v>0</v>
      </c>
      <c r="AC391">
        <f>IF($E391="","",MAX($C391-$D391,ABS($C391-$E390),ABS($D391-$E390)))</f>
        <v>0</v>
      </c>
      <c r="AD391">
        <f>IF(COUNT($E$2:$E391)&lt;15,"",AVERAGE($AC$378:$AC$391))</f>
        <v>0</v>
      </c>
      <c r="AE391">
        <f>IF(OR($E391="",$E390=""),"",IF(AND(($C391-$C390)&gt;($D390-$D391),($C391-$C390)&gt;0),$C391-$C390,0))</f>
        <v>0</v>
      </c>
      <c r="AF391">
        <f>IF(OR($E391="",$E390=""),"",IF(AND(($D390-$D391)&gt;($C391-$C390),($D390-$D391)&gt;0),$D390-$D391,0))</f>
        <v>0</v>
      </c>
      <c r="AG391">
        <f>IF(COUNT($E$2:$E391)&lt;15,"",IF(SUM($AC$378:$AC$391)=0,0,100*SUM($AE$378:$AE$391)/SUM($AC$378:$AC$391)))</f>
        <v>0</v>
      </c>
      <c r="AH391">
        <f>IF(COUNT($E$2:$E391)&lt;15,"",IF(SUM($AC$378:$AC$391)=0,0,100*SUM($AF$378:$AF$391)/SUM($AC$378:$AC$391)))</f>
        <v>0</v>
      </c>
      <c r="AI391">
        <f>IF(OR(AG391="",AH391=""),"",IF((AG391+AH391)=0,0,100*ABS(AG391-AH391)/(AG391+AH391)))</f>
        <v>0</v>
      </c>
      <c r="AJ391">
        <f>IF(COUNT($AI$378:$AI$391)&lt;14,"",AVERAGE($AI$378:$AI$391))</f>
        <v>0</v>
      </c>
      <c r="AK391">
        <f>IF(COUNT($E$2:$E391)&lt;20,"",AVERAGE($E$372:$E$391))</f>
        <v>0</v>
      </c>
      <c r="AL391">
        <f>IF(COUNT($E$2:$E391)&lt;20,"",STDEVP($E$372:$E$391))</f>
        <v>0</v>
      </c>
      <c r="AM391">
        <f>IF(AK391="","",AK391+2*AL391)</f>
        <v>0</v>
      </c>
      <c r="AN391">
        <f>IF(AK391="","",AK391-2*AL391)</f>
        <v>0</v>
      </c>
      <c r="AO391">
        <f>IF(OR(AM391="",AN391="",AM391=AN391),"",($E391-AN391)/(AM391-AN391))</f>
        <v>0</v>
      </c>
      <c r="AP391">
        <f>IF(OR(AM391="",AK391="",AK391=0),"",(AM391-AN391)/AK391)</f>
        <v>0</v>
      </c>
      <c r="AQ391">
        <f>IF(COUNT($E$2:$E391)&lt;20,"",MAX($C$372:$C$391))</f>
        <v>0</v>
      </c>
      <c r="AR391">
        <f>IF(COUNT($E$2:$E391)&lt;20,"",MIN($D$372:$D$391))</f>
        <v>0</v>
      </c>
      <c r="AS391">
        <f>IF(OR(AQ391="",AR391=""),"",(AQ391+AR391)/2)</f>
        <v>0</v>
      </c>
      <c r="AT391">
        <f>IF(COUNT($G$372:$G$391)&lt;20,"",STDEV($G$372:$G$391)*SQRT(52))</f>
        <v>0</v>
      </c>
      <c r="AU391">
        <f>IF(COUNT($E$2:$E391)&lt;9,"",(MAX($C$383:$C$391)+MIN($D$383:$D$391))/2)</f>
        <v>0</v>
      </c>
      <c r="AV391">
        <f>IF(COUNT($E$2:$E391)&lt;26,"",(MAX($C$366:$C$391)+MIN($D$366:$D$391))/2)</f>
        <v>0</v>
      </c>
      <c r="AW391">
        <f>IF(OR(AU391="",AV391=""),"",(AU391+AV391)/2)</f>
        <v>0</v>
      </c>
      <c r="AX391">
        <f>IF(COUNT($E$2:$E391)&lt;52,"",(MAX($C$340:$C$391)+MIN($D$340:$D$391))/2)</f>
        <v>0</v>
      </c>
      <c r="AY391">
        <f>IF(COUNT($E$2:$E391)&lt;20,"",MAX($C$292:$C$391))</f>
        <v>0</v>
      </c>
      <c r="AZ391">
        <f>IF(COUNT($E$2:$E391)&lt;20,"",MIN($D$292:$D$391))</f>
        <v>0</v>
      </c>
      <c r="BA391">
        <f>IF(COUNT($E$2:$E391)&lt;20,"",SLOPE($E$292:$E$391,$F$292:$F$391))</f>
        <v>0</v>
      </c>
      <c r="BB391">
        <f>IF(COUNT($E$2:$E391)&lt;20,"",INTERCEPT($E$292:$E$391,$F$292:$F$391))</f>
        <v>0</v>
      </c>
      <c r="BC391">
        <f>IF(OR(BA391="",BB391=""),"",BB391+BA391*F391)</f>
        <v>0</v>
      </c>
      <c r="BD391">
        <f>IF(COUNT($E$2:$E391)&lt;20,"",STEYX($E$292:$E$391,$F$292:$F$391))</f>
        <v>0</v>
      </c>
      <c r="BE391">
        <f>IF($E391="","",IF(AND(COUNT($E$392:$E$395)&gt;=4,$C391=MAX($C$387:$C$395)),$C391,""))</f>
        <v>0</v>
      </c>
      <c r="BF391">
        <f>IF($E391="","",IF(AND(COUNT($E$392:$E$395)&gt;=4,$D391=MIN($D$387:$D$395)),$D391,""))</f>
        <v>0</v>
      </c>
      <c r="BG391">
        <f>IFERROR(SMALL(Calc_Daily!$BM$2:$BM$2001,390),"")</f>
        <v>0</v>
      </c>
    </row>
    <row r="392" spans="1:59">
      <c r="A392" s="27">
        <f>IF($BG392="","",INDEX(Calc_Daily!$A$2:$A$2001,$BG392))</f>
        <v>0</v>
      </c>
      <c r="B392">
        <f>IF($BG392="","",INDEX(Calc_Daily!$BJ$2:$BJ$2001,$BG392))</f>
        <v>0</v>
      </c>
      <c r="C392">
        <f>IF($BG392="","",INDEX(Calc_Daily!$BK$2:$BK$2001,$BG392))</f>
        <v>0</v>
      </c>
      <c r="D392">
        <f>IF($BG392="","",INDEX(Calc_Daily!$BL$2:$BL$2001,$BG392))</f>
        <v>0</v>
      </c>
      <c r="E392">
        <f>IF($BG392="","",INDEX(Calc_Daily!$E$2:$E$2001,$BG392))</f>
        <v>0</v>
      </c>
      <c r="F392">
        <f>IF($E392="","",N(F391)+1)</f>
        <v>0</v>
      </c>
      <c r="G392">
        <f>IF(OR($E392="",$E391=""),"",LN($E392/$E391))</f>
        <v>0</v>
      </c>
      <c r="H392">
        <f>IF($E392="","",IF($E391="",$E392,$E392*0.0952380952+H391*0.9047619048))</f>
        <v>0</v>
      </c>
      <c r="I392">
        <f>IF($E392="","",IF($E391="",$E392,$E392*0.0392156863+I391*0.9607843137))</f>
        <v>0</v>
      </c>
      <c r="J392">
        <f>IF($E392="","",IF($E391="",$E392,$E392*0.0198019802+J391*0.9801980198))</f>
        <v>0</v>
      </c>
      <c r="K392">
        <f>IF($E392="","",IF($E391="",$E392,$E392*0.0099502488+K391*0.9900497512))</f>
        <v>0</v>
      </c>
      <c r="L392">
        <f>IF(OR($E392="",$E391=""),"",MAX($E392-$E391,0))</f>
        <v>0</v>
      </c>
      <c r="M392">
        <f>IF(OR($E392="",$E391=""),"",MAX($E391-$E392,0))</f>
        <v>0</v>
      </c>
      <c r="N392">
        <f>IF(COUNT($E$2:$E392)&lt;15,"",IF(AVERAGE($M$379:$M$392)=0,100,100-100/(1+AVERAGE($L$379:$L$392)/AVERAGE($M$379:$M$392))))</f>
        <v>0</v>
      </c>
      <c r="O392">
        <f>IF($E392="","",IF($E391="",$E392,$E392*0.1538461538+O391*0.8461538462))</f>
        <v>0</v>
      </c>
      <c r="P392">
        <f>IF($E392="","",IF($E391="",$E392,$E392*0.0740740741+P391*0.9259259259))</f>
        <v>0</v>
      </c>
      <c r="Q392">
        <f>IF(OR(O392="",P392=""),"",O392-P392)</f>
        <v>0</v>
      </c>
      <c r="R392">
        <f>IF(Q392="","",IF(R391="",Q392,Q392*0.2000000000+R391*0.8000000000))</f>
        <v>0</v>
      </c>
      <c r="S392">
        <f>IF(OR(Q392="",R392=""),"",Q392-R392)</f>
        <v>0</v>
      </c>
      <c r="T392">
        <f>IF(COUNT($E$2:$E392)&lt;14,"",MAX($C$379:$C$392))</f>
        <v>0</v>
      </c>
      <c r="U392">
        <f>IF(COUNT($E$2:$E392)&lt;14,"",MIN($D$379:$D$392))</f>
        <v>0</v>
      </c>
      <c r="V392">
        <f>IF(OR(T392="",U392="",T392=U392),"",100*($E392-U392)/(T392-U392))</f>
        <v>0</v>
      </c>
      <c r="W392">
        <f>IF(COUNT($V$390:$V$392)&lt;3,"",AVERAGE($V$390:$V$392))</f>
        <v>0</v>
      </c>
      <c r="X392">
        <f>IF(COUNT($N$379:$N$392)&lt;14,"",MIN($N$379:$N$392))</f>
        <v>0</v>
      </c>
      <c r="Y392">
        <f>IF(COUNT($N$379:$N$392)&lt;14,"",MAX($N$379:$N$392))</f>
        <v>0</v>
      </c>
      <c r="Z392">
        <f>IF(OR(N392="",X392="",Y392="",Y392=X392),"",100*(N392-X392)/(Y392-X392))</f>
        <v>0</v>
      </c>
      <c r="AA392">
        <f>IF(COUNT($Z$390:$Z$392)&lt;3,"",AVERAGE($Z$390:$Z$392))</f>
        <v>0</v>
      </c>
      <c r="AB392">
        <f>IF(COUNT($AA$390:$AA$392)&lt;3,"",AVERAGE($AA$390:$AA$392))</f>
        <v>0</v>
      </c>
      <c r="AC392">
        <f>IF($E392="","",MAX($C392-$D392,ABS($C392-$E391),ABS($D392-$E391)))</f>
        <v>0</v>
      </c>
      <c r="AD392">
        <f>IF(COUNT($E$2:$E392)&lt;15,"",AVERAGE($AC$379:$AC$392))</f>
        <v>0</v>
      </c>
      <c r="AE392">
        <f>IF(OR($E392="",$E391=""),"",IF(AND(($C392-$C391)&gt;($D391-$D392),($C392-$C391)&gt;0),$C392-$C391,0))</f>
        <v>0</v>
      </c>
      <c r="AF392">
        <f>IF(OR($E392="",$E391=""),"",IF(AND(($D391-$D392)&gt;($C392-$C391),($D391-$D392)&gt;0),$D391-$D392,0))</f>
        <v>0</v>
      </c>
      <c r="AG392">
        <f>IF(COUNT($E$2:$E392)&lt;15,"",IF(SUM($AC$379:$AC$392)=0,0,100*SUM($AE$379:$AE$392)/SUM($AC$379:$AC$392)))</f>
        <v>0</v>
      </c>
      <c r="AH392">
        <f>IF(COUNT($E$2:$E392)&lt;15,"",IF(SUM($AC$379:$AC$392)=0,0,100*SUM($AF$379:$AF$392)/SUM($AC$379:$AC$392)))</f>
        <v>0</v>
      </c>
      <c r="AI392">
        <f>IF(OR(AG392="",AH392=""),"",IF((AG392+AH392)=0,0,100*ABS(AG392-AH392)/(AG392+AH392)))</f>
        <v>0</v>
      </c>
      <c r="AJ392">
        <f>IF(COUNT($AI$379:$AI$392)&lt;14,"",AVERAGE($AI$379:$AI$392))</f>
        <v>0</v>
      </c>
      <c r="AK392">
        <f>IF(COUNT($E$2:$E392)&lt;20,"",AVERAGE($E$373:$E$392))</f>
        <v>0</v>
      </c>
      <c r="AL392">
        <f>IF(COUNT($E$2:$E392)&lt;20,"",STDEVP($E$373:$E$392))</f>
        <v>0</v>
      </c>
      <c r="AM392">
        <f>IF(AK392="","",AK392+2*AL392)</f>
        <v>0</v>
      </c>
      <c r="AN392">
        <f>IF(AK392="","",AK392-2*AL392)</f>
        <v>0</v>
      </c>
      <c r="AO392">
        <f>IF(OR(AM392="",AN392="",AM392=AN392),"",($E392-AN392)/(AM392-AN392))</f>
        <v>0</v>
      </c>
      <c r="AP392">
        <f>IF(OR(AM392="",AK392="",AK392=0),"",(AM392-AN392)/AK392)</f>
        <v>0</v>
      </c>
      <c r="AQ392">
        <f>IF(COUNT($E$2:$E392)&lt;20,"",MAX($C$373:$C$392))</f>
        <v>0</v>
      </c>
      <c r="AR392">
        <f>IF(COUNT($E$2:$E392)&lt;20,"",MIN($D$373:$D$392))</f>
        <v>0</v>
      </c>
      <c r="AS392">
        <f>IF(OR(AQ392="",AR392=""),"",(AQ392+AR392)/2)</f>
        <v>0</v>
      </c>
      <c r="AT392">
        <f>IF(COUNT($G$373:$G$392)&lt;20,"",STDEV($G$373:$G$392)*SQRT(52))</f>
        <v>0</v>
      </c>
      <c r="AU392">
        <f>IF(COUNT($E$2:$E392)&lt;9,"",(MAX($C$384:$C$392)+MIN($D$384:$D$392))/2)</f>
        <v>0</v>
      </c>
      <c r="AV392">
        <f>IF(COUNT($E$2:$E392)&lt;26,"",(MAX($C$367:$C$392)+MIN($D$367:$D$392))/2)</f>
        <v>0</v>
      </c>
      <c r="AW392">
        <f>IF(OR(AU392="",AV392=""),"",(AU392+AV392)/2)</f>
        <v>0</v>
      </c>
      <c r="AX392">
        <f>IF(COUNT($E$2:$E392)&lt;52,"",(MAX($C$341:$C$392)+MIN($D$341:$D$392))/2)</f>
        <v>0</v>
      </c>
      <c r="AY392">
        <f>IF(COUNT($E$2:$E392)&lt;20,"",MAX($C$293:$C$392))</f>
        <v>0</v>
      </c>
      <c r="AZ392">
        <f>IF(COUNT($E$2:$E392)&lt;20,"",MIN($D$293:$D$392))</f>
        <v>0</v>
      </c>
      <c r="BA392">
        <f>IF(COUNT($E$2:$E392)&lt;20,"",SLOPE($E$293:$E$392,$F$293:$F$392))</f>
        <v>0</v>
      </c>
      <c r="BB392">
        <f>IF(COUNT($E$2:$E392)&lt;20,"",INTERCEPT($E$293:$E$392,$F$293:$F$392))</f>
        <v>0</v>
      </c>
      <c r="BC392">
        <f>IF(OR(BA392="",BB392=""),"",BB392+BA392*F392)</f>
        <v>0</v>
      </c>
      <c r="BD392">
        <f>IF(COUNT($E$2:$E392)&lt;20,"",STEYX($E$293:$E$392,$F$293:$F$392))</f>
        <v>0</v>
      </c>
      <c r="BE392">
        <f>IF($E392="","",IF(AND(COUNT($E$393:$E$396)&gt;=4,$C392=MAX($C$388:$C$396)),$C392,""))</f>
        <v>0</v>
      </c>
      <c r="BF392">
        <f>IF($E392="","",IF(AND(COUNT($E$393:$E$396)&gt;=4,$D392=MIN($D$388:$D$396)),$D392,""))</f>
        <v>0</v>
      </c>
      <c r="BG392">
        <f>IFERROR(SMALL(Calc_Daily!$BM$2:$BM$2001,391),"")</f>
        <v>0</v>
      </c>
    </row>
    <row r="393" spans="1:59">
      <c r="A393" s="27">
        <f>IF($BG393="","",INDEX(Calc_Daily!$A$2:$A$2001,$BG393))</f>
        <v>0</v>
      </c>
      <c r="B393">
        <f>IF($BG393="","",INDEX(Calc_Daily!$BJ$2:$BJ$2001,$BG393))</f>
        <v>0</v>
      </c>
      <c r="C393">
        <f>IF($BG393="","",INDEX(Calc_Daily!$BK$2:$BK$2001,$BG393))</f>
        <v>0</v>
      </c>
      <c r="D393">
        <f>IF($BG393="","",INDEX(Calc_Daily!$BL$2:$BL$2001,$BG393))</f>
        <v>0</v>
      </c>
      <c r="E393">
        <f>IF($BG393="","",INDEX(Calc_Daily!$E$2:$E$2001,$BG393))</f>
        <v>0</v>
      </c>
      <c r="F393">
        <f>IF($E393="","",N(F392)+1)</f>
        <v>0</v>
      </c>
      <c r="G393">
        <f>IF(OR($E393="",$E392=""),"",LN($E393/$E392))</f>
        <v>0</v>
      </c>
      <c r="H393">
        <f>IF($E393="","",IF($E392="",$E393,$E393*0.0952380952+H392*0.9047619048))</f>
        <v>0</v>
      </c>
      <c r="I393">
        <f>IF($E393="","",IF($E392="",$E393,$E393*0.0392156863+I392*0.9607843137))</f>
        <v>0</v>
      </c>
      <c r="J393">
        <f>IF($E393="","",IF($E392="",$E393,$E393*0.0198019802+J392*0.9801980198))</f>
        <v>0</v>
      </c>
      <c r="K393">
        <f>IF($E393="","",IF($E392="",$E393,$E393*0.0099502488+K392*0.9900497512))</f>
        <v>0</v>
      </c>
      <c r="L393">
        <f>IF(OR($E393="",$E392=""),"",MAX($E393-$E392,0))</f>
        <v>0</v>
      </c>
      <c r="M393">
        <f>IF(OR($E393="",$E392=""),"",MAX($E392-$E393,0))</f>
        <v>0</v>
      </c>
      <c r="N393">
        <f>IF(COUNT($E$2:$E393)&lt;15,"",IF(AVERAGE($M$380:$M$393)=0,100,100-100/(1+AVERAGE($L$380:$L$393)/AVERAGE($M$380:$M$393))))</f>
        <v>0</v>
      </c>
      <c r="O393">
        <f>IF($E393="","",IF($E392="",$E393,$E393*0.1538461538+O392*0.8461538462))</f>
        <v>0</v>
      </c>
      <c r="P393">
        <f>IF($E393="","",IF($E392="",$E393,$E393*0.0740740741+P392*0.9259259259))</f>
        <v>0</v>
      </c>
      <c r="Q393">
        <f>IF(OR(O393="",P393=""),"",O393-P393)</f>
        <v>0</v>
      </c>
      <c r="R393">
        <f>IF(Q393="","",IF(R392="",Q393,Q393*0.2000000000+R392*0.8000000000))</f>
        <v>0</v>
      </c>
      <c r="S393">
        <f>IF(OR(Q393="",R393=""),"",Q393-R393)</f>
        <v>0</v>
      </c>
      <c r="T393">
        <f>IF(COUNT($E$2:$E393)&lt;14,"",MAX($C$380:$C$393))</f>
        <v>0</v>
      </c>
      <c r="U393">
        <f>IF(COUNT($E$2:$E393)&lt;14,"",MIN($D$380:$D$393))</f>
        <v>0</v>
      </c>
      <c r="V393">
        <f>IF(OR(T393="",U393="",T393=U393),"",100*($E393-U393)/(T393-U393))</f>
        <v>0</v>
      </c>
      <c r="W393">
        <f>IF(COUNT($V$391:$V$393)&lt;3,"",AVERAGE($V$391:$V$393))</f>
        <v>0</v>
      </c>
      <c r="X393">
        <f>IF(COUNT($N$380:$N$393)&lt;14,"",MIN($N$380:$N$393))</f>
        <v>0</v>
      </c>
      <c r="Y393">
        <f>IF(COUNT($N$380:$N$393)&lt;14,"",MAX($N$380:$N$393))</f>
        <v>0</v>
      </c>
      <c r="Z393">
        <f>IF(OR(N393="",X393="",Y393="",Y393=X393),"",100*(N393-X393)/(Y393-X393))</f>
        <v>0</v>
      </c>
      <c r="AA393">
        <f>IF(COUNT($Z$391:$Z$393)&lt;3,"",AVERAGE($Z$391:$Z$393))</f>
        <v>0</v>
      </c>
      <c r="AB393">
        <f>IF(COUNT($AA$391:$AA$393)&lt;3,"",AVERAGE($AA$391:$AA$393))</f>
        <v>0</v>
      </c>
      <c r="AC393">
        <f>IF($E393="","",MAX($C393-$D393,ABS($C393-$E392),ABS($D393-$E392)))</f>
        <v>0</v>
      </c>
      <c r="AD393">
        <f>IF(COUNT($E$2:$E393)&lt;15,"",AVERAGE($AC$380:$AC$393))</f>
        <v>0</v>
      </c>
      <c r="AE393">
        <f>IF(OR($E393="",$E392=""),"",IF(AND(($C393-$C392)&gt;($D392-$D393),($C393-$C392)&gt;0),$C393-$C392,0))</f>
        <v>0</v>
      </c>
      <c r="AF393">
        <f>IF(OR($E393="",$E392=""),"",IF(AND(($D392-$D393)&gt;($C393-$C392),($D392-$D393)&gt;0),$D392-$D393,0))</f>
        <v>0</v>
      </c>
      <c r="AG393">
        <f>IF(COUNT($E$2:$E393)&lt;15,"",IF(SUM($AC$380:$AC$393)=0,0,100*SUM($AE$380:$AE$393)/SUM($AC$380:$AC$393)))</f>
        <v>0</v>
      </c>
      <c r="AH393">
        <f>IF(COUNT($E$2:$E393)&lt;15,"",IF(SUM($AC$380:$AC$393)=0,0,100*SUM($AF$380:$AF$393)/SUM($AC$380:$AC$393)))</f>
        <v>0</v>
      </c>
      <c r="AI393">
        <f>IF(OR(AG393="",AH393=""),"",IF((AG393+AH393)=0,0,100*ABS(AG393-AH393)/(AG393+AH393)))</f>
        <v>0</v>
      </c>
      <c r="AJ393">
        <f>IF(COUNT($AI$380:$AI$393)&lt;14,"",AVERAGE($AI$380:$AI$393))</f>
        <v>0</v>
      </c>
      <c r="AK393">
        <f>IF(COUNT($E$2:$E393)&lt;20,"",AVERAGE($E$374:$E$393))</f>
        <v>0</v>
      </c>
      <c r="AL393">
        <f>IF(COUNT($E$2:$E393)&lt;20,"",STDEVP($E$374:$E$393))</f>
        <v>0</v>
      </c>
      <c r="AM393">
        <f>IF(AK393="","",AK393+2*AL393)</f>
        <v>0</v>
      </c>
      <c r="AN393">
        <f>IF(AK393="","",AK393-2*AL393)</f>
        <v>0</v>
      </c>
      <c r="AO393">
        <f>IF(OR(AM393="",AN393="",AM393=AN393),"",($E393-AN393)/(AM393-AN393))</f>
        <v>0</v>
      </c>
      <c r="AP393">
        <f>IF(OR(AM393="",AK393="",AK393=0),"",(AM393-AN393)/AK393)</f>
        <v>0</v>
      </c>
      <c r="AQ393">
        <f>IF(COUNT($E$2:$E393)&lt;20,"",MAX($C$374:$C$393))</f>
        <v>0</v>
      </c>
      <c r="AR393">
        <f>IF(COUNT($E$2:$E393)&lt;20,"",MIN($D$374:$D$393))</f>
        <v>0</v>
      </c>
      <c r="AS393">
        <f>IF(OR(AQ393="",AR393=""),"",(AQ393+AR393)/2)</f>
        <v>0</v>
      </c>
      <c r="AT393">
        <f>IF(COUNT($G$374:$G$393)&lt;20,"",STDEV($G$374:$G$393)*SQRT(52))</f>
        <v>0</v>
      </c>
      <c r="AU393">
        <f>IF(COUNT($E$2:$E393)&lt;9,"",(MAX($C$385:$C$393)+MIN($D$385:$D$393))/2)</f>
        <v>0</v>
      </c>
      <c r="AV393">
        <f>IF(COUNT($E$2:$E393)&lt;26,"",(MAX($C$368:$C$393)+MIN($D$368:$D$393))/2)</f>
        <v>0</v>
      </c>
      <c r="AW393">
        <f>IF(OR(AU393="",AV393=""),"",(AU393+AV393)/2)</f>
        <v>0</v>
      </c>
      <c r="AX393">
        <f>IF(COUNT($E$2:$E393)&lt;52,"",(MAX($C$342:$C$393)+MIN($D$342:$D$393))/2)</f>
        <v>0</v>
      </c>
      <c r="AY393">
        <f>IF(COUNT($E$2:$E393)&lt;20,"",MAX($C$294:$C$393))</f>
        <v>0</v>
      </c>
      <c r="AZ393">
        <f>IF(COUNT($E$2:$E393)&lt;20,"",MIN($D$294:$D$393))</f>
        <v>0</v>
      </c>
      <c r="BA393">
        <f>IF(COUNT($E$2:$E393)&lt;20,"",SLOPE($E$294:$E$393,$F$294:$F$393))</f>
        <v>0</v>
      </c>
      <c r="BB393">
        <f>IF(COUNT($E$2:$E393)&lt;20,"",INTERCEPT($E$294:$E$393,$F$294:$F$393))</f>
        <v>0</v>
      </c>
      <c r="BC393">
        <f>IF(OR(BA393="",BB393=""),"",BB393+BA393*F393)</f>
        <v>0</v>
      </c>
      <c r="BD393">
        <f>IF(COUNT($E$2:$E393)&lt;20,"",STEYX($E$294:$E$393,$F$294:$F$393))</f>
        <v>0</v>
      </c>
      <c r="BE393">
        <f>IF($E393="","",IF(AND(COUNT($E$394:$E$397)&gt;=4,$C393=MAX($C$389:$C$397)),$C393,""))</f>
        <v>0</v>
      </c>
      <c r="BF393">
        <f>IF($E393="","",IF(AND(COUNT($E$394:$E$397)&gt;=4,$D393=MIN($D$389:$D$397)),$D393,""))</f>
        <v>0</v>
      </c>
      <c r="BG393">
        <f>IFERROR(SMALL(Calc_Daily!$BM$2:$BM$2001,392),"")</f>
        <v>0</v>
      </c>
    </row>
    <row r="394" spans="1:59">
      <c r="A394" s="27">
        <f>IF($BG394="","",INDEX(Calc_Daily!$A$2:$A$2001,$BG394))</f>
        <v>0</v>
      </c>
      <c r="B394">
        <f>IF($BG394="","",INDEX(Calc_Daily!$BJ$2:$BJ$2001,$BG394))</f>
        <v>0</v>
      </c>
      <c r="C394">
        <f>IF($BG394="","",INDEX(Calc_Daily!$BK$2:$BK$2001,$BG394))</f>
        <v>0</v>
      </c>
      <c r="D394">
        <f>IF($BG394="","",INDEX(Calc_Daily!$BL$2:$BL$2001,$BG394))</f>
        <v>0</v>
      </c>
      <c r="E394">
        <f>IF($BG394="","",INDEX(Calc_Daily!$E$2:$E$2001,$BG394))</f>
        <v>0</v>
      </c>
      <c r="F394">
        <f>IF($E394="","",N(F393)+1)</f>
        <v>0</v>
      </c>
      <c r="G394">
        <f>IF(OR($E394="",$E393=""),"",LN($E394/$E393))</f>
        <v>0</v>
      </c>
      <c r="H394">
        <f>IF($E394="","",IF($E393="",$E394,$E394*0.0952380952+H393*0.9047619048))</f>
        <v>0</v>
      </c>
      <c r="I394">
        <f>IF($E394="","",IF($E393="",$E394,$E394*0.0392156863+I393*0.9607843137))</f>
        <v>0</v>
      </c>
      <c r="J394">
        <f>IF($E394="","",IF($E393="",$E394,$E394*0.0198019802+J393*0.9801980198))</f>
        <v>0</v>
      </c>
      <c r="K394">
        <f>IF($E394="","",IF($E393="",$E394,$E394*0.0099502488+K393*0.9900497512))</f>
        <v>0</v>
      </c>
      <c r="L394">
        <f>IF(OR($E394="",$E393=""),"",MAX($E394-$E393,0))</f>
        <v>0</v>
      </c>
      <c r="M394">
        <f>IF(OR($E394="",$E393=""),"",MAX($E393-$E394,0))</f>
        <v>0</v>
      </c>
      <c r="N394">
        <f>IF(COUNT($E$2:$E394)&lt;15,"",IF(AVERAGE($M$381:$M$394)=0,100,100-100/(1+AVERAGE($L$381:$L$394)/AVERAGE($M$381:$M$394))))</f>
        <v>0</v>
      </c>
      <c r="O394">
        <f>IF($E394="","",IF($E393="",$E394,$E394*0.1538461538+O393*0.8461538462))</f>
        <v>0</v>
      </c>
      <c r="P394">
        <f>IF($E394="","",IF($E393="",$E394,$E394*0.0740740741+P393*0.9259259259))</f>
        <v>0</v>
      </c>
      <c r="Q394">
        <f>IF(OR(O394="",P394=""),"",O394-P394)</f>
        <v>0</v>
      </c>
      <c r="R394">
        <f>IF(Q394="","",IF(R393="",Q394,Q394*0.2000000000+R393*0.8000000000))</f>
        <v>0</v>
      </c>
      <c r="S394">
        <f>IF(OR(Q394="",R394=""),"",Q394-R394)</f>
        <v>0</v>
      </c>
      <c r="T394">
        <f>IF(COUNT($E$2:$E394)&lt;14,"",MAX($C$381:$C$394))</f>
        <v>0</v>
      </c>
      <c r="U394">
        <f>IF(COUNT($E$2:$E394)&lt;14,"",MIN($D$381:$D$394))</f>
        <v>0</v>
      </c>
      <c r="V394">
        <f>IF(OR(T394="",U394="",T394=U394),"",100*($E394-U394)/(T394-U394))</f>
        <v>0</v>
      </c>
      <c r="W394">
        <f>IF(COUNT($V$392:$V$394)&lt;3,"",AVERAGE($V$392:$V$394))</f>
        <v>0</v>
      </c>
      <c r="X394">
        <f>IF(COUNT($N$381:$N$394)&lt;14,"",MIN($N$381:$N$394))</f>
        <v>0</v>
      </c>
      <c r="Y394">
        <f>IF(COUNT($N$381:$N$394)&lt;14,"",MAX($N$381:$N$394))</f>
        <v>0</v>
      </c>
      <c r="Z394">
        <f>IF(OR(N394="",X394="",Y394="",Y394=X394),"",100*(N394-X394)/(Y394-X394))</f>
        <v>0</v>
      </c>
      <c r="AA394">
        <f>IF(COUNT($Z$392:$Z$394)&lt;3,"",AVERAGE($Z$392:$Z$394))</f>
        <v>0</v>
      </c>
      <c r="AB394">
        <f>IF(COUNT($AA$392:$AA$394)&lt;3,"",AVERAGE($AA$392:$AA$394))</f>
        <v>0</v>
      </c>
      <c r="AC394">
        <f>IF($E394="","",MAX($C394-$D394,ABS($C394-$E393),ABS($D394-$E393)))</f>
        <v>0</v>
      </c>
      <c r="AD394">
        <f>IF(COUNT($E$2:$E394)&lt;15,"",AVERAGE($AC$381:$AC$394))</f>
        <v>0</v>
      </c>
      <c r="AE394">
        <f>IF(OR($E394="",$E393=""),"",IF(AND(($C394-$C393)&gt;($D393-$D394),($C394-$C393)&gt;0),$C394-$C393,0))</f>
        <v>0</v>
      </c>
      <c r="AF394">
        <f>IF(OR($E394="",$E393=""),"",IF(AND(($D393-$D394)&gt;($C394-$C393),($D393-$D394)&gt;0),$D393-$D394,0))</f>
        <v>0</v>
      </c>
      <c r="AG394">
        <f>IF(COUNT($E$2:$E394)&lt;15,"",IF(SUM($AC$381:$AC$394)=0,0,100*SUM($AE$381:$AE$394)/SUM($AC$381:$AC$394)))</f>
        <v>0</v>
      </c>
      <c r="AH394">
        <f>IF(COUNT($E$2:$E394)&lt;15,"",IF(SUM($AC$381:$AC$394)=0,0,100*SUM($AF$381:$AF$394)/SUM($AC$381:$AC$394)))</f>
        <v>0</v>
      </c>
      <c r="AI394">
        <f>IF(OR(AG394="",AH394=""),"",IF((AG394+AH394)=0,0,100*ABS(AG394-AH394)/(AG394+AH394)))</f>
        <v>0</v>
      </c>
      <c r="AJ394">
        <f>IF(COUNT($AI$381:$AI$394)&lt;14,"",AVERAGE($AI$381:$AI$394))</f>
        <v>0</v>
      </c>
      <c r="AK394">
        <f>IF(COUNT($E$2:$E394)&lt;20,"",AVERAGE($E$375:$E$394))</f>
        <v>0</v>
      </c>
      <c r="AL394">
        <f>IF(COUNT($E$2:$E394)&lt;20,"",STDEVP($E$375:$E$394))</f>
        <v>0</v>
      </c>
      <c r="AM394">
        <f>IF(AK394="","",AK394+2*AL394)</f>
        <v>0</v>
      </c>
      <c r="AN394">
        <f>IF(AK394="","",AK394-2*AL394)</f>
        <v>0</v>
      </c>
      <c r="AO394">
        <f>IF(OR(AM394="",AN394="",AM394=AN394),"",($E394-AN394)/(AM394-AN394))</f>
        <v>0</v>
      </c>
      <c r="AP394">
        <f>IF(OR(AM394="",AK394="",AK394=0),"",(AM394-AN394)/AK394)</f>
        <v>0</v>
      </c>
      <c r="AQ394">
        <f>IF(COUNT($E$2:$E394)&lt;20,"",MAX($C$375:$C$394))</f>
        <v>0</v>
      </c>
      <c r="AR394">
        <f>IF(COUNT($E$2:$E394)&lt;20,"",MIN($D$375:$D$394))</f>
        <v>0</v>
      </c>
      <c r="AS394">
        <f>IF(OR(AQ394="",AR394=""),"",(AQ394+AR394)/2)</f>
        <v>0</v>
      </c>
      <c r="AT394">
        <f>IF(COUNT($G$375:$G$394)&lt;20,"",STDEV($G$375:$G$394)*SQRT(52))</f>
        <v>0</v>
      </c>
      <c r="AU394">
        <f>IF(COUNT($E$2:$E394)&lt;9,"",(MAX($C$386:$C$394)+MIN($D$386:$D$394))/2)</f>
        <v>0</v>
      </c>
      <c r="AV394">
        <f>IF(COUNT($E$2:$E394)&lt;26,"",(MAX($C$369:$C$394)+MIN($D$369:$D$394))/2)</f>
        <v>0</v>
      </c>
      <c r="AW394">
        <f>IF(OR(AU394="",AV394=""),"",(AU394+AV394)/2)</f>
        <v>0</v>
      </c>
      <c r="AX394">
        <f>IF(COUNT($E$2:$E394)&lt;52,"",(MAX($C$343:$C$394)+MIN($D$343:$D$394))/2)</f>
        <v>0</v>
      </c>
      <c r="AY394">
        <f>IF(COUNT($E$2:$E394)&lt;20,"",MAX($C$295:$C$394))</f>
        <v>0</v>
      </c>
      <c r="AZ394">
        <f>IF(COUNT($E$2:$E394)&lt;20,"",MIN($D$295:$D$394))</f>
        <v>0</v>
      </c>
      <c r="BA394">
        <f>IF(COUNT($E$2:$E394)&lt;20,"",SLOPE($E$295:$E$394,$F$295:$F$394))</f>
        <v>0</v>
      </c>
      <c r="BB394">
        <f>IF(COUNT($E$2:$E394)&lt;20,"",INTERCEPT($E$295:$E$394,$F$295:$F$394))</f>
        <v>0</v>
      </c>
      <c r="BC394">
        <f>IF(OR(BA394="",BB394=""),"",BB394+BA394*F394)</f>
        <v>0</v>
      </c>
      <c r="BD394">
        <f>IF(COUNT($E$2:$E394)&lt;20,"",STEYX($E$295:$E$394,$F$295:$F$394))</f>
        <v>0</v>
      </c>
      <c r="BE394">
        <f>IF($E394="","",IF(AND(COUNT($E$395:$E$398)&gt;=4,$C394=MAX($C$390:$C$398)),$C394,""))</f>
        <v>0</v>
      </c>
      <c r="BF394">
        <f>IF($E394="","",IF(AND(COUNT($E$395:$E$398)&gt;=4,$D394=MIN($D$390:$D$398)),$D394,""))</f>
        <v>0</v>
      </c>
      <c r="BG394">
        <f>IFERROR(SMALL(Calc_Daily!$BM$2:$BM$2001,393),"")</f>
        <v>0</v>
      </c>
    </row>
    <row r="395" spans="1:59">
      <c r="A395" s="27">
        <f>IF($BG395="","",INDEX(Calc_Daily!$A$2:$A$2001,$BG395))</f>
        <v>0</v>
      </c>
      <c r="B395">
        <f>IF($BG395="","",INDEX(Calc_Daily!$BJ$2:$BJ$2001,$BG395))</f>
        <v>0</v>
      </c>
      <c r="C395">
        <f>IF($BG395="","",INDEX(Calc_Daily!$BK$2:$BK$2001,$BG395))</f>
        <v>0</v>
      </c>
      <c r="D395">
        <f>IF($BG395="","",INDEX(Calc_Daily!$BL$2:$BL$2001,$BG395))</f>
        <v>0</v>
      </c>
      <c r="E395">
        <f>IF($BG395="","",INDEX(Calc_Daily!$E$2:$E$2001,$BG395))</f>
        <v>0</v>
      </c>
      <c r="F395">
        <f>IF($E395="","",N(F394)+1)</f>
        <v>0</v>
      </c>
      <c r="G395">
        <f>IF(OR($E395="",$E394=""),"",LN($E395/$E394))</f>
        <v>0</v>
      </c>
      <c r="H395">
        <f>IF($E395="","",IF($E394="",$E395,$E395*0.0952380952+H394*0.9047619048))</f>
        <v>0</v>
      </c>
      <c r="I395">
        <f>IF($E395="","",IF($E394="",$E395,$E395*0.0392156863+I394*0.9607843137))</f>
        <v>0</v>
      </c>
      <c r="J395">
        <f>IF($E395="","",IF($E394="",$E395,$E395*0.0198019802+J394*0.9801980198))</f>
        <v>0</v>
      </c>
      <c r="K395">
        <f>IF($E395="","",IF($E394="",$E395,$E395*0.0099502488+K394*0.9900497512))</f>
        <v>0</v>
      </c>
      <c r="L395">
        <f>IF(OR($E395="",$E394=""),"",MAX($E395-$E394,0))</f>
        <v>0</v>
      </c>
      <c r="M395">
        <f>IF(OR($E395="",$E394=""),"",MAX($E394-$E395,0))</f>
        <v>0</v>
      </c>
      <c r="N395">
        <f>IF(COUNT($E$2:$E395)&lt;15,"",IF(AVERAGE($M$382:$M$395)=0,100,100-100/(1+AVERAGE($L$382:$L$395)/AVERAGE($M$382:$M$395))))</f>
        <v>0</v>
      </c>
      <c r="O395">
        <f>IF($E395="","",IF($E394="",$E395,$E395*0.1538461538+O394*0.8461538462))</f>
        <v>0</v>
      </c>
      <c r="P395">
        <f>IF($E395="","",IF($E394="",$E395,$E395*0.0740740741+P394*0.9259259259))</f>
        <v>0</v>
      </c>
      <c r="Q395">
        <f>IF(OR(O395="",P395=""),"",O395-P395)</f>
        <v>0</v>
      </c>
      <c r="R395">
        <f>IF(Q395="","",IF(R394="",Q395,Q395*0.2000000000+R394*0.8000000000))</f>
        <v>0</v>
      </c>
      <c r="S395">
        <f>IF(OR(Q395="",R395=""),"",Q395-R395)</f>
        <v>0</v>
      </c>
      <c r="T395">
        <f>IF(COUNT($E$2:$E395)&lt;14,"",MAX($C$382:$C$395))</f>
        <v>0</v>
      </c>
      <c r="U395">
        <f>IF(COUNT($E$2:$E395)&lt;14,"",MIN($D$382:$D$395))</f>
        <v>0</v>
      </c>
      <c r="V395">
        <f>IF(OR(T395="",U395="",T395=U395),"",100*($E395-U395)/(T395-U395))</f>
        <v>0</v>
      </c>
      <c r="W395">
        <f>IF(COUNT($V$393:$V$395)&lt;3,"",AVERAGE($V$393:$V$395))</f>
        <v>0</v>
      </c>
      <c r="X395">
        <f>IF(COUNT($N$382:$N$395)&lt;14,"",MIN($N$382:$N$395))</f>
        <v>0</v>
      </c>
      <c r="Y395">
        <f>IF(COUNT($N$382:$N$395)&lt;14,"",MAX($N$382:$N$395))</f>
        <v>0</v>
      </c>
      <c r="Z395">
        <f>IF(OR(N395="",X395="",Y395="",Y395=X395),"",100*(N395-X395)/(Y395-X395))</f>
        <v>0</v>
      </c>
      <c r="AA395">
        <f>IF(COUNT($Z$393:$Z$395)&lt;3,"",AVERAGE($Z$393:$Z$395))</f>
        <v>0</v>
      </c>
      <c r="AB395">
        <f>IF(COUNT($AA$393:$AA$395)&lt;3,"",AVERAGE($AA$393:$AA$395))</f>
        <v>0</v>
      </c>
      <c r="AC395">
        <f>IF($E395="","",MAX($C395-$D395,ABS($C395-$E394),ABS($D395-$E394)))</f>
        <v>0</v>
      </c>
      <c r="AD395">
        <f>IF(COUNT($E$2:$E395)&lt;15,"",AVERAGE($AC$382:$AC$395))</f>
        <v>0</v>
      </c>
      <c r="AE395">
        <f>IF(OR($E395="",$E394=""),"",IF(AND(($C395-$C394)&gt;($D394-$D395),($C395-$C394)&gt;0),$C395-$C394,0))</f>
        <v>0</v>
      </c>
      <c r="AF395">
        <f>IF(OR($E395="",$E394=""),"",IF(AND(($D394-$D395)&gt;($C395-$C394),($D394-$D395)&gt;0),$D394-$D395,0))</f>
        <v>0</v>
      </c>
      <c r="AG395">
        <f>IF(COUNT($E$2:$E395)&lt;15,"",IF(SUM($AC$382:$AC$395)=0,0,100*SUM($AE$382:$AE$395)/SUM($AC$382:$AC$395)))</f>
        <v>0</v>
      </c>
      <c r="AH395">
        <f>IF(COUNT($E$2:$E395)&lt;15,"",IF(SUM($AC$382:$AC$395)=0,0,100*SUM($AF$382:$AF$395)/SUM($AC$382:$AC$395)))</f>
        <v>0</v>
      </c>
      <c r="AI395">
        <f>IF(OR(AG395="",AH395=""),"",IF((AG395+AH395)=0,0,100*ABS(AG395-AH395)/(AG395+AH395)))</f>
        <v>0</v>
      </c>
      <c r="AJ395">
        <f>IF(COUNT($AI$382:$AI$395)&lt;14,"",AVERAGE($AI$382:$AI$395))</f>
        <v>0</v>
      </c>
      <c r="AK395">
        <f>IF(COUNT($E$2:$E395)&lt;20,"",AVERAGE($E$376:$E$395))</f>
        <v>0</v>
      </c>
      <c r="AL395">
        <f>IF(COUNT($E$2:$E395)&lt;20,"",STDEVP($E$376:$E$395))</f>
        <v>0</v>
      </c>
      <c r="AM395">
        <f>IF(AK395="","",AK395+2*AL395)</f>
        <v>0</v>
      </c>
      <c r="AN395">
        <f>IF(AK395="","",AK395-2*AL395)</f>
        <v>0</v>
      </c>
      <c r="AO395">
        <f>IF(OR(AM395="",AN395="",AM395=AN395),"",($E395-AN395)/(AM395-AN395))</f>
        <v>0</v>
      </c>
      <c r="AP395">
        <f>IF(OR(AM395="",AK395="",AK395=0),"",(AM395-AN395)/AK395)</f>
        <v>0</v>
      </c>
      <c r="AQ395">
        <f>IF(COUNT($E$2:$E395)&lt;20,"",MAX($C$376:$C$395))</f>
        <v>0</v>
      </c>
      <c r="AR395">
        <f>IF(COUNT($E$2:$E395)&lt;20,"",MIN($D$376:$D$395))</f>
        <v>0</v>
      </c>
      <c r="AS395">
        <f>IF(OR(AQ395="",AR395=""),"",(AQ395+AR395)/2)</f>
        <v>0</v>
      </c>
      <c r="AT395">
        <f>IF(COUNT($G$376:$G$395)&lt;20,"",STDEV($G$376:$G$395)*SQRT(52))</f>
        <v>0</v>
      </c>
      <c r="AU395">
        <f>IF(COUNT($E$2:$E395)&lt;9,"",(MAX($C$387:$C$395)+MIN($D$387:$D$395))/2)</f>
        <v>0</v>
      </c>
      <c r="AV395">
        <f>IF(COUNT($E$2:$E395)&lt;26,"",(MAX($C$370:$C$395)+MIN($D$370:$D$395))/2)</f>
        <v>0</v>
      </c>
      <c r="AW395">
        <f>IF(OR(AU395="",AV395=""),"",(AU395+AV395)/2)</f>
        <v>0</v>
      </c>
      <c r="AX395">
        <f>IF(COUNT($E$2:$E395)&lt;52,"",(MAX($C$344:$C$395)+MIN($D$344:$D$395))/2)</f>
        <v>0</v>
      </c>
      <c r="AY395">
        <f>IF(COUNT($E$2:$E395)&lt;20,"",MAX($C$296:$C$395))</f>
        <v>0</v>
      </c>
      <c r="AZ395">
        <f>IF(COUNT($E$2:$E395)&lt;20,"",MIN($D$296:$D$395))</f>
        <v>0</v>
      </c>
      <c r="BA395">
        <f>IF(COUNT($E$2:$E395)&lt;20,"",SLOPE($E$296:$E$395,$F$296:$F$395))</f>
        <v>0</v>
      </c>
      <c r="BB395">
        <f>IF(COUNT($E$2:$E395)&lt;20,"",INTERCEPT($E$296:$E$395,$F$296:$F$395))</f>
        <v>0</v>
      </c>
      <c r="BC395">
        <f>IF(OR(BA395="",BB395=""),"",BB395+BA395*F395)</f>
        <v>0</v>
      </c>
      <c r="BD395">
        <f>IF(COUNT($E$2:$E395)&lt;20,"",STEYX($E$296:$E$395,$F$296:$F$395))</f>
        <v>0</v>
      </c>
      <c r="BE395">
        <f>IF($E395="","",IF(AND(COUNT($E$396:$E$399)&gt;=4,$C395=MAX($C$391:$C$399)),$C395,""))</f>
        <v>0</v>
      </c>
      <c r="BF395">
        <f>IF($E395="","",IF(AND(COUNT($E$396:$E$399)&gt;=4,$D395=MIN($D$391:$D$399)),$D395,""))</f>
        <v>0</v>
      </c>
      <c r="BG395">
        <f>IFERROR(SMALL(Calc_Daily!$BM$2:$BM$2001,394),"")</f>
        <v>0</v>
      </c>
    </row>
    <row r="396" spans="1:59">
      <c r="A396" s="27">
        <f>IF($BG396="","",INDEX(Calc_Daily!$A$2:$A$2001,$BG396))</f>
        <v>0</v>
      </c>
      <c r="B396">
        <f>IF($BG396="","",INDEX(Calc_Daily!$BJ$2:$BJ$2001,$BG396))</f>
        <v>0</v>
      </c>
      <c r="C396">
        <f>IF($BG396="","",INDEX(Calc_Daily!$BK$2:$BK$2001,$BG396))</f>
        <v>0</v>
      </c>
      <c r="D396">
        <f>IF($BG396="","",INDEX(Calc_Daily!$BL$2:$BL$2001,$BG396))</f>
        <v>0</v>
      </c>
      <c r="E396">
        <f>IF($BG396="","",INDEX(Calc_Daily!$E$2:$E$2001,$BG396))</f>
        <v>0</v>
      </c>
      <c r="F396">
        <f>IF($E396="","",N(F395)+1)</f>
        <v>0</v>
      </c>
      <c r="G396">
        <f>IF(OR($E396="",$E395=""),"",LN($E396/$E395))</f>
        <v>0</v>
      </c>
      <c r="H396">
        <f>IF($E396="","",IF($E395="",$E396,$E396*0.0952380952+H395*0.9047619048))</f>
        <v>0</v>
      </c>
      <c r="I396">
        <f>IF($E396="","",IF($E395="",$E396,$E396*0.0392156863+I395*0.9607843137))</f>
        <v>0</v>
      </c>
      <c r="J396">
        <f>IF($E396="","",IF($E395="",$E396,$E396*0.0198019802+J395*0.9801980198))</f>
        <v>0</v>
      </c>
      <c r="K396">
        <f>IF($E396="","",IF($E395="",$E396,$E396*0.0099502488+K395*0.9900497512))</f>
        <v>0</v>
      </c>
      <c r="L396">
        <f>IF(OR($E396="",$E395=""),"",MAX($E396-$E395,0))</f>
        <v>0</v>
      </c>
      <c r="M396">
        <f>IF(OR($E396="",$E395=""),"",MAX($E395-$E396,0))</f>
        <v>0</v>
      </c>
      <c r="N396">
        <f>IF(COUNT($E$2:$E396)&lt;15,"",IF(AVERAGE($M$383:$M$396)=0,100,100-100/(1+AVERAGE($L$383:$L$396)/AVERAGE($M$383:$M$396))))</f>
        <v>0</v>
      </c>
      <c r="O396">
        <f>IF($E396="","",IF($E395="",$E396,$E396*0.1538461538+O395*0.8461538462))</f>
        <v>0</v>
      </c>
      <c r="P396">
        <f>IF($E396="","",IF($E395="",$E396,$E396*0.0740740741+P395*0.9259259259))</f>
        <v>0</v>
      </c>
      <c r="Q396">
        <f>IF(OR(O396="",P396=""),"",O396-P396)</f>
        <v>0</v>
      </c>
      <c r="R396">
        <f>IF(Q396="","",IF(R395="",Q396,Q396*0.2000000000+R395*0.8000000000))</f>
        <v>0</v>
      </c>
      <c r="S396">
        <f>IF(OR(Q396="",R396=""),"",Q396-R396)</f>
        <v>0</v>
      </c>
      <c r="T396">
        <f>IF(COUNT($E$2:$E396)&lt;14,"",MAX($C$383:$C$396))</f>
        <v>0</v>
      </c>
      <c r="U396">
        <f>IF(COUNT($E$2:$E396)&lt;14,"",MIN($D$383:$D$396))</f>
        <v>0</v>
      </c>
      <c r="V396">
        <f>IF(OR(T396="",U396="",T396=U396),"",100*($E396-U396)/(T396-U396))</f>
        <v>0</v>
      </c>
      <c r="W396">
        <f>IF(COUNT($V$394:$V$396)&lt;3,"",AVERAGE($V$394:$V$396))</f>
        <v>0</v>
      </c>
      <c r="X396">
        <f>IF(COUNT($N$383:$N$396)&lt;14,"",MIN($N$383:$N$396))</f>
        <v>0</v>
      </c>
      <c r="Y396">
        <f>IF(COUNT($N$383:$N$396)&lt;14,"",MAX($N$383:$N$396))</f>
        <v>0</v>
      </c>
      <c r="Z396">
        <f>IF(OR(N396="",X396="",Y396="",Y396=X396),"",100*(N396-X396)/(Y396-X396))</f>
        <v>0</v>
      </c>
      <c r="AA396">
        <f>IF(COUNT($Z$394:$Z$396)&lt;3,"",AVERAGE($Z$394:$Z$396))</f>
        <v>0</v>
      </c>
      <c r="AB396">
        <f>IF(COUNT($AA$394:$AA$396)&lt;3,"",AVERAGE($AA$394:$AA$396))</f>
        <v>0</v>
      </c>
      <c r="AC396">
        <f>IF($E396="","",MAX($C396-$D396,ABS($C396-$E395),ABS($D396-$E395)))</f>
        <v>0</v>
      </c>
      <c r="AD396">
        <f>IF(COUNT($E$2:$E396)&lt;15,"",AVERAGE($AC$383:$AC$396))</f>
        <v>0</v>
      </c>
      <c r="AE396">
        <f>IF(OR($E396="",$E395=""),"",IF(AND(($C396-$C395)&gt;($D395-$D396),($C396-$C395)&gt;0),$C396-$C395,0))</f>
        <v>0</v>
      </c>
      <c r="AF396">
        <f>IF(OR($E396="",$E395=""),"",IF(AND(($D395-$D396)&gt;($C396-$C395),($D395-$D396)&gt;0),$D395-$D396,0))</f>
        <v>0</v>
      </c>
      <c r="AG396">
        <f>IF(COUNT($E$2:$E396)&lt;15,"",IF(SUM($AC$383:$AC$396)=0,0,100*SUM($AE$383:$AE$396)/SUM($AC$383:$AC$396)))</f>
        <v>0</v>
      </c>
      <c r="AH396">
        <f>IF(COUNT($E$2:$E396)&lt;15,"",IF(SUM($AC$383:$AC$396)=0,0,100*SUM($AF$383:$AF$396)/SUM($AC$383:$AC$396)))</f>
        <v>0</v>
      </c>
      <c r="AI396">
        <f>IF(OR(AG396="",AH396=""),"",IF((AG396+AH396)=0,0,100*ABS(AG396-AH396)/(AG396+AH396)))</f>
        <v>0</v>
      </c>
      <c r="AJ396">
        <f>IF(COUNT($AI$383:$AI$396)&lt;14,"",AVERAGE($AI$383:$AI$396))</f>
        <v>0</v>
      </c>
      <c r="AK396">
        <f>IF(COUNT($E$2:$E396)&lt;20,"",AVERAGE($E$377:$E$396))</f>
        <v>0</v>
      </c>
      <c r="AL396">
        <f>IF(COUNT($E$2:$E396)&lt;20,"",STDEVP($E$377:$E$396))</f>
        <v>0</v>
      </c>
      <c r="AM396">
        <f>IF(AK396="","",AK396+2*AL396)</f>
        <v>0</v>
      </c>
      <c r="AN396">
        <f>IF(AK396="","",AK396-2*AL396)</f>
        <v>0</v>
      </c>
      <c r="AO396">
        <f>IF(OR(AM396="",AN396="",AM396=AN396),"",($E396-AN396)/(AM396-AN396))</f>
        <v>0</v>
      </c>
      <c r="AP396">
        <f>IF(OR(AM396="",AK396="",AK396=0),"",(AM396-AN396)/AK396)</f>
        <v>0</v>
      </c>
      <c r="AQ396">
        <f>IF(COUNT($E$2:$E396)&lt;20,"",MAX($C$377:$C$396))</f>
        <v>0</v>
      </c>
      <c r="AR396">
        <f>IF(COUNT($E$2:$E396)&lt;20,"",MIN($D$377:$D$396))</f>
        <v>0</v>
      </c>
      <c r="AS396">
        <f>IF(OR(AQ396="",AR396=""),"",(AQ396+AR396)/2)</f>
        <v>0</v>
      </c>
      <c r="AT396">
        <f>IF(COUNT($G$377:$G$396)&lt;20,"",STDEV($G$377:$G$396)*SQRT(52))</f>
        <v>0</v>
      </c>
      <c r="AU396">
        <f>IF(COUNT($E$2:$E396)&lt;9,"",(MAX($C$388:$C$396)+MIN($D$388:$D$396))/2)</f>
        <v>0</v>
      </c>
      <c r="AV396">
        <f>IF(COUNT($E$2:$E396)&lt;26,"",(MAX($C$371:$C$396)+MIN($D$371:$D$396))/2)</f>
        <v>0</v>
      </c>
      <c r="AW396">
        <f>IF(OR(AU396="",AV396=""),"",(AU396+AV396)/2)</f>
        <v>0</v>
      </c>
      <c r="AX396">
        <f>IF(COUNT($E$2:$E396)&lt;52,"",(MAX($C$345:$C$396)+MIN($D$345:$D$396))/2)</f>
        <v>0</v>
      </c>
      <c r="AY396">
        <f>IF(COUNT($E$2:$E396)&lt;20,"",MAX($C$297:$C$396))</f>
        <v>0</v>
      </c>
      <c r="AZ396">
        <f>IF(COUNT($E$2:$E396)&lt;20,"",MIN($D$297:$D$396))</f>
        <v>0</v>
      </c>
      <c r="BA396">
        <f>IF(COUNT($E$2:$E396)&lt;20,"",SLOPE($E$297:$E$396,$F$297:$F$396))</f>
        <v>0</v>
      </c>
      <c r="BB396">
        <f>IF(COUNT($E$2:$E396)&lt;20,"",INTERCEPT($E$297:$E$396,$F$297:$F$396))</f>
        <v>0</v>
      </c>
      <c r="BC396">
        <f>IF(OR(BA396="",BB396=""),"",BB396+BA396*F396)</f>
        <v>0</v>
      </c>
      <c r="BD396">
        <f>IF(COUNT($E$2:$E396)&lt;20,"",STEYX($E$297:$E$396,$F$297:$F$396))</f>
        <v>0</v>
      </c>
      <c r="BE396">
        <f>IF($E396="","",IF(AND(COUNT($E$397:$E$400)&gt;=4,$C396=MAX($C$392:$C$400)),$C396,""))</f>
        <v>0</v>
      </c>
      <c r="BF396">
        <f>IF($E396="","",IF(AND(COUNT($E$397:$E$400)&gt;=4,$D396=MIN($D$392:$D$400)),$D396,""))</f>
        <v>0</v>
      </c>
      <c r="BG396">
        <f>IFERROR(SMALL(Calc_Daily!$BM$2:$BM$2001,395),"")</f>
        <v>0</v>
      </c>
    </row>
    <row r="397" spans="1:59">
      <c r="A397" s="27">
        <f>IF($BG397="","",INDEX(Calc_Daily!$A$2:$A$2001,$BG397))</f>
        <v>0</v>
      </c>
      <c r="B397">
        <f>IF($BG397="","",INDEX(Calc_Daily!$BJ$2:$BJ$2001,$BG397))</f>
        <v>0</v>
      </c>
      <c r="C397">
        <f>IF($BG397="","",INDEX(Calc_Daily!$BK$2:$BK$2001,$BG397))</f>
        <v>0</v>
      </c>
      <c r="D397">
        <f>IF($BG397="","",INDEX(Calc_Daily!$BL$2:$BL$2001,$BG397))</f>
        <v>0</v>
      </c>
      <c r="E397">
        <f>IF($BG397="","",INDEX(Calc_Daily!$E$2:$E$2001,$BG397))</f>
        <v>0</v>
      </c>
      <c r="F397">
        <f>IF($E397="","",N(F396)+1)</f>
        <v>0</v>
      </c>
      <c r="G397">
        <f>IF(OR($E397="",$E396=""),"",LN($E397/$E396))</f>
        <v>0</v>
      </c>
      <c r="H397">
        <f>IF($E397="","",IF($E396="",$E397,$E397*0.0952380952+H396*0.9047619048))</f>
        <v>0</v>
      </c>
      <c r="I397">
        <f>IF($E397="","",IF($E396="",$E397,$E397*0.0392156863+I396*0.9607843137))</f>
        <v>0</v>
      </c>
      <c r="J397">
        <f>IF($E397="","",IF($E396="",$E397,$E397*0.0198019802+J396*0.9801980198))</f>
        <v>0</v>
      </c>
      <c r="K397">
        <f>IF($E397="","",IF($E396="",$E397,$E397*0.0099502488+K396*0.9900497512))</f>
        <v>0</v>
      </c>
      <c r="L397">
        <f>IF(OR($E397="",$E396=""),"",MAX($E397-$E396,0))</f>
        <v>0</v>
      </c>
      <c r="M397">
        <f>IF(OR($E397="",$E396=""),"",MAX($E396-$E397,0))</f>
        <v>0</v>
      </c>
      <c r="N397">
        <f>IF(COUNT($E$2:$E397)&lt;15,"",IF(AVERAGE($M$384:$M$397)=0,100,100-100/(1+AVERAGE($L$384:$L$397)/AVERAGE($M$384:$M$397))))</f>
        <v>0</v>
      </c>
      <c r="O397">
        <f>IF($E397="","",IF($E396="",$E397,$E397*0.1538461538+O396*0.8461538462))</f>
        <v>0</v>
      </c>
      <c r="P397">
        <f>IF($E397="","",IF($E396="",$E397,$E397*0.0740740741+P396*0.9259259259))</f>
        <v>0</v>
      </c>
      <c r="Q397">
        <f>IF(OR(O397="",P397=""),"",O397-P397)</f>
        <v>0</v>
      </c>
      <c r="R397">
        <f>IF(Q397="","",IF(R396="",Q397,Q397*0.2000000000+R396*0.8000000000))</f>
        <v>0</v>
      </c>
      <c r="S397">
        <f>IF(OR(Q397="",R397=""),"",Q397-R397)</f>
        <v>0</v>
      </c>
      <c r="T397">
        <f>IF(COUNT($E$2:$E397)&lt;14,"",MAX($C$384:$C$397))</f>
        <v>0</v>
      </c>
      <c r="U397">
        <f>IF(COUNT($E$2:$E397)&lt;14,"",MIN($D$384:$D$397))</f>
        <v>0</v>
      </c>
      <c r="V397">
        <f>IF(OR(T397="",U397="",T397=U397),"",100*($E397-U397)/(T397-U397))</f>
        <v>0</v>
      </c>
      <c r="W397">
        <f>IF(COUNT($V$395:$V$397)&lt;3,"",AVERAGE($V$395:$V$397))</f>
        <v>0</v>
      </c>
      <c r="X397">
        <f>IF(COUNT($N$384:$N$397)&lt;14,"",MIN($N$384:$N$397))</f>
        <v>0</v>
      </c>
      <c r="Y397">
        <f>IF(COUNT($N$384:$N$397)&lt;14,"",MAX($N$384:$N$397))</f>
        <v>0</v>
      </c>
      <c r="Z397">
        <f>IF(OR(N397="",X397="",Y397="",Y397=X397),"",100*(N397-X397)/(Y397-X397))</f>
        <v>0</v>
      </c>
      <c r="AA397">
        <f>IF(COUNT($Z$395:$Z$397)&lt;3,"",AVERAGE($Z$395:$Z$397))</f>
        <v>0</v>
      </c>
      <c r="AB397">
        <f>IF(COUNT($AA$395:$AA$397)&lt;3,"",AVERAGE($AA$395:$AA$397))</f>
        <v>0</v>
      </c>
      <c r="AC397">
        <f>IF($E397="","",MAX($C397-$D397,ABS($C397-$E396),ABS($D397-$E396)))</f>
        <v>0</v>
      </c>
      <c r="AD397">
        <f>IF(COUNT($E$2:$E397)&lt;15,"",AVERAGE($AC$384:$AC$397))</f>
        <v>0</v>
      </c>
      <c r="AE397">
        <f>IF(OR($E397="",$E396=""),"",IF(AND(($C397-$C396)&gt;($D396-$D397),($C397-$C396)&gt;0),$C397-$C396,0))</f>
        <v>0</v>
      </c>
      <c r="AF397">
        <f>IF(OR($E397="",$E396=""),"",IF(AND(($D396-$D397)&gt;($C397-$C396),($D396-$D397)&gt;0),$D396-$D397,0))</f>
        <v>0</v>
      </c>
      <c r="AG397">
        <f>IF(COUNT($E$2:$E397)&lt;15,"",IF(SUM($AC$384:$AC$397)=0,0,100*SUM($AE$384:$AE$397)/SUM($AC$384:$AC$397)))</f>
        <v>0</v>
      </c>
      <c r="AH397">
        <f>IF(COUNT($E$2:$E397)&lt;15,"",IF(SUM($AC$384:$AC$397)=0,0,100*SUM($AF$384:$AF$397)/SUM($AC$384:$AC$397)))</f>
        <v>0</v>
      </c>
      <c r="AI397">
        <f>IF(OR(AG397="",AH397=""),"",IF((AG397+AH397)=0,0,100*ABS(AG397-AH397)/(AG397+AH397)))</f>
        <v>0</v>
      </c>
      <c r="AJ397">
        <f>IF(COUNT($AI$384:$AI$397)&lt;14,"",AVERAGE($AI$384:$AI$397))</f>
        <v>0</v>
      </c>
      <c r="AK397">
        <f>IF(COUNT($E$2:$E397)&lt;20,"",AVERAGE($E$378:$E$397))</f>
        <v>0</v>
      </c>
      <c r="AL397">
        <f>IF(COUNT($E$2:$E397)&lt;20,"",STDEVP($E$378:$E$397))</f>
        <v>0</v>
      </c>
      <c r="AM397">
        <f>IF(AK397="","",AK397+2*AL397)</f>
        <v>0</v>
      </c>
      <c r="AN397">
        <f>IF(AK397="","",AK397-2*AL397)</f>
        <v>0</v>
      </c>
      <c r="AO397">
        <f>IF(OR(AM397="",AN397="",AM397=AN397),"",($E397-AN397)/(AM397-AN397))</f>
        <v>0</v>
      </c>
      <c r="AP397">
        <f>IF(OR(AM397="",AK397="",AK397=0),"",(AM397-AN397)/AK397)</f>
        <v>0</v>
      </c>
      <c r="AQ397">
        <f>IF(COUNT($E$2:$E397)&lt;20,"",MAX($C$378:$C$397))</f>
        <v>0</v>
      </c>
      <c r="AR397">
        <f>IF(COUNT($E$2:$E397)&lt;20,"",MIN($D$378:$D$397))</f>
        <v>0</v>
      </c>
      <c r="AS397">
        <f>IF(OR(AQ397="",AR397=""),"",(AQ397+AR397)/2)</f>
        <v>0</v>
      </c>
      <c r="AT397">
        <f>IF(COUNT($G$378:$G$397)&lt;20,"",STDEV($G$378:$G$397)*SQRT(52))</f>
        <v>0</v>
      </c>
      <c r="AU397">
        <f>IF(COUNT($E$2:$E397)&lt;9,"",(MAX($C$389:$C$397)+MIN($D$389:$D$397))/2)</f>
        <v>0</v>
      </c>
      <c r="AV397">
        <f>IF(COUNT($E$2:$E397)&lt;26,"",(MAX($C$372:$C$397)+MIN($D$372:$D$397))/2)</f>
        <v>0</v>
      </c>
      <c r="AW397">
        <f>IF(OR(AU397="",AV397=""),"",(AU397+AV397)/2)</f>
        <v>0</v>
      </c>
      <c r="AX397">
        <f>IF(COUNT($E$2:$E397)&lt;52,"",(MAX($C$346:$C$397)+MIN($D$346:$D$397))/2)</f>
        <v>0</v>
      </c>
      <c r="AY397">
        <f>IF(COUNT($E$2:$E397)&lt;20,"",MAX($C$298:$C$397))</f>
        <v>0</v>
      </c>
      <c r="AZ397">
        <f>IF(COUNT($E$2:$E397)&lt;20,"",MIN($D$298:$D$397))</f>
        <v>0</v>
      </c>
      <c r="BA397">
        <f>IF(COUNT($E$2:$E397)&lt;20,"",SLOPE($E$298:$E$397,$F$298:$F$397))</f>
        <v>0</v>
      </c>
      <c r="BB397">
        <f>IF(COUNT($E$2:$E397)&lt;20,"",INTERCEPT($E$298:$E$397,$F$298:$F$397))</f>
        <v>0</v>
      </c>
      <c r="BC397">
        <f>IF(OR(BA397="",BB397=""),"",BB397+BA397*F397)</f>
        <v>0</v>
      </c>
      <c r="BD397">
        <f>IF(COUNT($E$2:$E397)&lt;20,"",STEYX($E$298:$E$397,$F$298:$F$397))</f>
        <v>0</v>
      </c>
      <c r="BE397">
        <f>IF($E397="","",IF(AND(COUNT($E$398:$E$401)&gt;=4,$C397=MAX($C$393:$C$401)),$C397,""))</f>
        <v>0</v>
      </c>
      <c r="BF397">
        <f>IF($E397="","",IF(AND(COUNT($E$398:$E$401)&gt;=4,$D397=MIN($D$393:$D$401)),$D397,""))</f>
        <v>0</v>
      </c>
      <c r="BG397">
        <f>IFERROR(SMALL(Calc_Daily!$BM$2:$BM$2001,396),"")</f>
        <v>0</v>
      </c>
    </row>
    <row r="398" spans="1:59">
      <c r="A398" s="27">
        <f>IF($BG398="","",INDEX(Calc_Daily!$A$2:$A$2001,$BG398))</f>
        <v>0</v>
      </c>
      <c r="B398">
        <f>IF($BG398="","",INDEX(Calc_Daily!$BJ$2:$BJ$2001,$BG398))</f>
        <v>0</v>
      </c>
      <c r="C398">
        <f>IF($BG398="","",INDEX(Calc_Daily!$BK$2:$BK$2001,$BG398))</f>
        <v>0</v>
      </c>
      <c r="D398">
        <f>IF($BG398="","",INDEX(Calc_Daily!$BL$2:$BL$2001,$BG398))</f>
        <v>0</v>
      </c>
      <c r="E398">
        <f>IF($BG398="","",INDEX(Calc_Daily!$E$2:$E$2001,$BG398))</f>
        <v>0</v>
      </c>
      <c r="F398">
        <f>IF($E398="","",N(F397)+1)</f>
        <v>0</v>
      </c>
      <c r="G398">
        <f>IF(OR($E398="",$E397=""),"",LN($E398/$E397))</f>
        <v>0</v>
      </c>
      <c r="H398">
        <f>IF($E398="","",IF($E397="",$E398,$E398*0.0952380952+H397*0.9047619048))</f>
        <v>0</v>
      </c>
      <c r="I398">
        <f>IF($E398="","",IF($E397="",$E398,$E398*0.0392156863+I397*0.9607843137))</f>
        <v>0</v>
      </c>
      <c r="J398">
        <f>IF($E398="","",IF($E397="",$E398,$E398*0.0198019802+J397*0.9801980198))</f>
        <v>0</v>
      </c>
      <c r="K398">
        <f>IF($E398="","",IF($E397="",$E398,$E398*0.0099502488+K397*0.9900497512))</f>
        <v>0</v>
      </c>
      <c r="L398">
        <f>IF(OR($E398="",$E397=""),"",MAX($E398-$E397,0))</f>
        <v>0</v>
      </c>
      <c r="M398">
        <f>IF(OR($E398="",$E397=""),"",MAX($E397-$E398,0))</f>
        <v>0</v>
      </c>
      <c r="N398">
        <f>IF(COUNT($E$2:$E398)&lt;15,"",IF(AVERAGE($M$385:$M$398)=0,100,100-100/(1+AVERAGE($L$385:$L$398)/AVERAGE($M$385:$M$398))))</f>
        <v>0</v>
      </c>
      <c r="O398">
        <f>IF($E398="","",IF($E397="",$E398,$E398*0.1538461538+O397*0.8461538462))</f>
        <v>0</v>
      </c>
      <c r="P398">
        <f>IF($E398="","",IF($E397="",$E398,$E398*0.0740740741+P397*0.9259259259))</f>
        <v>0</v>
      </c>
      <c r="Q398">
        <f>IF(OR(O398="",P398=""),"",O398-P398)</f>
        <v>0</v>
      </c>
      <c r="R398">
        <f>IF(Q398="","",IF(R397="",Q398,Q398*0.2000000000+R397*0.8000000000))</f>
        <v>0</v>
      </c>
      <c r="S398">
        <f>IF(OR(Q398="",R398=""),"",Q398-R398)</f>
        <v>0</v>
      </c>
      <c r="T398">
        <f>IF(COUNT($E$2:$E398)&lt;14,"",MAX($C$385:$C$398))</f>
        <v>0</v>
      </c>
      <c r="U398">
        <f>IF(COUNT($E$2:$E398)&lt;14,"",MIN($D$385:$D$398))</f>
        <v>0</v>
      </c>
      <c r="V398">
        <f>IF(OR(T398="",U398="",T398=U398),"",100*($E398-U398)/(T398-U398))</f>
        <v>0</v>
      </c>
      <c r="W398">
        <f>IF(COUNT($V$396:$V$398)&lt;3,"",AVERAGE($V$396:$V$398))</f>
        <v>0</v>
      </c>
      <c r="X398">
        <f>IF(COUNT($N$385:$N$398)&lt;14,"",MIN($N$385:$N$398))</f>
        <v>0</v>
      </c>
      <c r="Y398">
        <f>IF(COUNT($N$385:$N$398)&lt;14,"",MAX($N$385:$N$398))</f>
        <v>0</v>
      </c>
      <c r="Z398">
        <f>IF(OR(N398="",X398="",Y398="",Y398=X398),"",100*(N398-X398)/(Y398-X398))</f>
        <v>0</v>
      </c>
      <c r="AA398">
        <f>IF(COUNT($Z$396:$Z$398)&lt;3,"",AVERAGE($Z$396:$Z$398))</f>
        <v>0</v>
      </c>
      <c r="AB398">
        <f>IF(COUNT($AA$396:$AA$398)&lt;3,"",AVERAGE($AA$396:$AA$398))</f>
        <v>0</v>
      </c>
      <c r="AC398">
        <f>IF($E398="","",MAX($C398-$D398,ABS($C398-$E397),ABS($D398-$E397)))</f>
        <v>0</v>
      </c>
      <c r="AD398">
        <f>IF(COUNT($E$2:$E398)&lt;15,"",AVERAGE($AC$385:$AC$398))</f>
        <v>0</v>
      </c>
      <c r="AE398">
        <f>IF(OR($E398="",$E397=""),"",IF(AND(($C398-$C397)&gt;($D397-$D398),($C398-$C397)&gt;0),$C398-$C397,0))</f>
        <v>0</v>
      </c>
      <c r="AF398">
        <f>IF(OR($E398="",$E397=""),"",IF(AND(($D397-$D398)&gt;($C398-$C397),($D397-$D398)&gt;0),$D397-$D398,0))</f>
        <v>0</v>
      </c>
      <c r="AG398">
        <f>IF(COUNT($E$2:$E398)&lt;15,"",IF(SUM($AC$385:$AC$398)=0,0,100*SUM($AE$385:$AE$398)/SUM($AC$385:$AC$398)))</f>
        <v>0</v>
      </c>
      <c r="AH398">
        <f>IF(COUNT($E$2:$E398)&lt;15,"",IF(SUM($AC$385:$AC$398)=0,0,100*SUM($AF$385:$AF$398)/SUM($AC$385:$AC$398)))</f>
        <v>0</v>
      </c>
      <c r="AI398">
        <f>IF(OR(AG398="",AH398=""),"",IF((AG398+AH398)=0,0,100*ABS(AG398-AH398)/(AG398+AH398)))</f>
        <v>0</v>
      </c>
      <c r="AJ398">
        <f>IF(COUNT($AI$385:$AI$398)&lt;14,"",AVERAGE($AI$385:$AI$398))</f>
        <v>0</v>
      </c>
      <c r="AK398">
        <f>IF(COUNT($E$2:$E398)&lt;20,"",AVERAGE($E$379:$E$398))</f>
        <v>0</v>
      </c>
      <c r="AL398">
        <f>IF(COUNT($E$2:$E398)&lt;20,"",STDEVP($E$379:$E$398))</f>
        <v>0</v>
      </c>
      <c r="AM398">
        <f>IF(AK398="","",AK398+2*AL398)</f>
        <v>0</v>
      </c>
      <c r="AN398">
        <f>IF(AK398="","",AK398-2*AL398)</f>
        <v>0</v>
      </c>
      <c r="AO398">
        <f>IF(OR(AM398="",AN398="",AM398=AN398),"",($E398-AN398)/(AM398-AN398))</f>
        <v>0</v>
      </c>
      <c r="AP398">
        <f>IF(OR(AM398="",AK398="",AK398=0),"",(AM398-AN398)/AK398)</f>
        <v>0</v>
      </c>
      <c r="AQ398">
        <f>IF(COUNT($E$2:$E398)&lt;20,"",MAX($C$379:$C$398))</f>
        <v>0</v>
      </c>
      <c r="AR398">
        <f>IF(COUNT($E$2:$E398)&lt;20,"",MIN($D$379:$D$398))</f>
        <v>0</v>
      </c>
      <c r="AS398">
        <f>IF(OR(AQ398="",AR398=""),"",(AQ398+AR398)/2)</f>
        <v>0</v>
      </c>
      <c r="AT398">
        <f>IF(COUNT($G$379:$G$398)&lt;20,"",STDEV($G$379:$G$398)*SQRT(52))</f>
        <v>0</v>
      </c>
      <c r="AU398">
        <f>IF(COUNT($E$2:$E398)&lt;9,"",(MAX($C$390:$C$398)+MIN($D$390:$D$398))/2)</f>
        <v>0</v>
      </c>
      <c r="AV398">
        <f>IF(COUNT($E$2:$E398)&lt;26,"",(MAX($C$373:$C$398)+MIN($D$373:$D$398))/2)</f>
        <v>0</v>
      </c>
      <c r="AW398">
        <f>IF(OR(AU398="",AV398=""),"",(AU398+AV398)/2)</f>
        <v>0</v>
      </c>
      <c r="AX398">
        <f>IF(COUNT($E$2:$E398)&lt;52,"",(MAX($C$347:$C$398)+MIN($D$347:$D$398))/2)</f>
        <v>0</v>
      </c>
      <c r="AY398">
        <f>IF(COUNT($E$2:$E398)&lt;20,"",MAX($C$299:$C$398))</f>
        <v>0</v>
      </c>
      <c r="AZ398">
        <f>IF(COUNT($E$2:$E398)&lt;20,"",MIN($D$299:$D$398))</f>
        <v>0</v>
      </c>
      <c r="BA398">
        <f>IF(COUNT($E$2:$E398)&lt;20,"",SLOPE($E$299:$E$398,$F$299:$F$398))</f>
        <v>0</v>
      </c>
      <c r="BB398">
        <f>IF(COUNT($E$2:$E398)&lt;20,"",INTERCEPT($E$299:$E$398,$F$299:$F$398))</f>
        <v>0</v>
      </c>
      <c r="BC398">
        <f>IF(OR(BA398="",BB398=""),"",BB398+BA398*F398)</f>
        <v>0</v>
      </c>
      <c r="BD398">
        <f>IF(COUNT($E$2:$E398)&lt;20,"",STEYX($E$299:$E$398,$F$299:$F$398))</f>
        <v>0</v>
      </c>
      <c r="BE398">
        <f>IF($E398="","",IF(AND(COUNT($E$399:$E$402)&gt;=4,$C398=MAX($C$394:$C$402)),$C398,""))</f>
        <v>0</v>
      </c>
      <c r="BF398">
        <f>IF($E398="","",IF(AND(COUNT($E$399:$E$402)&gt;=4,$D398=MIN($D$394:$D$402)),$D398,""))</f>
        <v>0</v>
      </c>
      <c r="BG398">
        <f>IFERROR(SMALL(Calc_Daily!$BM$2:$BM$2001,397),"")</f>
        <v>0</v>
      </c>
    </row>
    <row r="399" spans="1:59">
      <c r="A399" s="27">
        <f>IF($BG399="","",INDEX(Calc_Daily!$A$2:$A$2001,$BG399))</f>
        <v>0</v>
      </c>
      <c r="B399">
        <f>IF($BG399="","",INDEX(Calc_Daily!$BJ$2:$BJ$2001,$BG399))</f>
        <v>0</v>
      </c>
      <c r="C399">
        <f>IF($BG399="","",INDEX(Calc_Daily!$BK$2:$BK$2001,$BG399))</f>
        <v>0</v>
      </c>
      <c r="D399">
        <f>IF($BG399="","",INDEX(Calc_Daily!$BL$2:$BL$2001,$BG399))</f>
        <v>0</v>
      </c>
      <c r="E399">
        <f>IF($BG399="","",INDEX(Calc_Daily!$E$2:$E$2001,$BG399))</f>
        <v>0</v>
      </c>
      <c r="F399">
        <f>IF($E399="","",N(F398)+1)</f>
        <v>0</v>
      </c>
      <c r="G399">
        <f>IF(OR($E399="",$E398=""),"",LN($E399/$E398))</f>
        <v>0</v>
      </c>
      <c r="H399">
        <f>IF($E399="","",IF($E398="",$E399,$E399*0.0952380952+H398*0.9047619048))</f>
        <v>0</v>
      </c>
      <c r="I399">
        <f>IF($E399="","",IF($E398="",$E399,$E399*0.0392156863+I398*0.9607843137))</f>
        <v>0</v>
      </c>
      <c r="J399">
        <f>IF($E399="","",IF($E398="",$E399,$E399*0.0198019802+J398*0.9801980198))</f>
        <v>0</v>
      </c>
      <c r="K399">
        <f>IF($E399="","",IF($E398="",$E399,$E399*0.0099502488+K398*0.9900497512))</f>
        <v>0</v>
      </c>
      <c r="L399">
        <f>IF(OR($E399="",$E398=""),"",MAX($E399-$E398,0))</f>
        <v>0</v>
      </c>
      <c r="M399">
        <f>IF(OR($E399="",$E398=""),"",MAX($E398-$E399,0))</f>
        <v>0</v>
      </c>
      <c r="N399">
        <f>IF(COUNT($E$2:$E399)&lt;15,"",IF(AVERAGE($M$386:$M$399)=0,100,100-100/(1+AVERAGE($L$386:$L$399)/AVERAGE($M$386:$M$399))))</f>
        <v>0</v>
      </c>
      <c r="O399">
        <f>IF($E399="","",IF($E398="",$E399,$E399*0.1538461538+O398*0.8461538462))</f>
        <v>0</v>
      </c>
      <c r="P399">
        <f>IF($E399="","",IF($E398="",$E399,$E399*0.0740740741+P398*0.9259259259))</f>
        <v>0</v>
      </c>
      <c r="Q399">
        <f>IF(OR(O399="",P399=""),"",O399-P399)</f>
        <v>0</v>
      </c>
      <c r="R399">
        <f>IF(Q399="","",IF(R398="",Q399,Q399*0.2000000000+R398*0.8000000000))</f>
        <v>0</v>
      </c>
      <c r="S399">
        <f>IF(OR(Q399="",R399=""),"",Q399-R399)</f>
        <v>0</v>
      </c>
      <c r="T399">
        <f>IF(COUNT($E$2:$E399)&lt;14,"",MAX($C$386:$C$399))</f>
        <v>0</v>
      </c>
      <c r="U399">
        <f>IF(COUNT($E$2:$E399)&lt;14,"",MIN($D$386:$D$399))</f>
        <v>0</v>
      </c>
      <c r="V399">
        <f>IF(OR(T399="",U399="",T399=U399),"",100*($E399-U399)/(T399-U399))</f>
        <v>0</v>
      </c>
      <c r="W399">
        <f>IF(COUNT($V$397:$V$399)&lt;3,"",AVERAGE($V$397:$V$399))</f>
        <v>0</v>
      </c>
      <c r="X399">
        <f>IF(COUNT($N$386:$N$399)&lt;14,"",MIN($N$386:$N$399))</f>
        <v>0</v>
      </c>
      <c r="Y399">
        <f>IF(COUNT($N$386:$N$399)&lt;14,"",MAX($N$386:$N$399))</f>
        <v>0</v>
      </c>
      <c r="Z399">
        <f>IF(OR(N399="",X399="",Y399="",Y399=X399),"",100*(N399-X399)/(Y399-X399))</f>
        <v>0</v>
      </c>
      <c r="AA399">
        <f>IF(COUNT($Z$397:$Z$399)&lt;3,"",AVERAGE($Z$397:$Z$399))</f>
        <v>0</v>
      </c>
      <c r="AB399">
        <f>IF(COUNT($AA$397:$AA$399)&lt;3,"",AVERAGE($AA$397:$AA$399))</f>
        <v>0</v>
      </c>
      <c r="AC399">
        <f>IF($E399="","",MAX($C399-$D399,ABS($C399-$E398),ABS($D399-$E398)))</f>
        <v>0</v>
      </c>
      <c r="AD399">
        <f>IF(COUNT($E$2:$E399)&lt;15,"",AVERAGE($AC$386:$AC$399))</f>
        <v>0</v>
      </c>
      <c r="AE399">
        <f>IF(OR($E399="",$E398=""),"",IF(AND(($C399-$C398)&gt;($D398-$D399),($C399-$C398)&gt;0),$C399-$C398,0))</f>
        <v>0</v>
      </c>
      <c r="AF399">
        <f>IF(OR($E399="",$E398=""),"",IF(AND(($D398-$D399)&gt;($C399-$C398),($D398-$D399)&gt;0),$D398-$D399,0))</f>
        <v>0</v>
      </c>
      <c r="AG399">
        <f>IF(COUNT($E$2:$E399)&lt;15,"",IF(SUM($AC$386:$AC$399)=0,0,100*SUM($AE$386:$AE$399)/SUM($AC$386:$AC$399)))</f>
        <v>0</v>
      </c>
      <c r="AH399">
        <f>IF(COUNT($E$2:$E399)&lt;15,"",IF(SUM($AC$386:$AC$399)=0,0,100*SUM($AF$386:$AF$399)/SUM($AC$386:$AC$399)))</f>
        <v>0</v>
      </c>
      <c r="AI399">
        <f>IF(OR(AG399="",AH399=""),"",IF((AG399+AH399)=0,0,100*ABS(AG399-AH399)/(AG399+AH399)))</f>
        <v>0</v>
      </c>
      <c r="AJ399">
        <f>IF(COUNT($AI$386:$AI$399)&lt;14,"",AVERAGE($AI$386:$AI$399))</f>
        <v>0</v>
      </c>
      <c r="AK399">
        <f>IF(COUNT($E$2:$E399)&lt;20,"",AVERAGE($E$380:$E$399))</f>
        <v>0</v>
      </c>
      <c r="AL399">
        <f>IF(COUNT($E$2:$E399)&lt;20,"",STDEVP($E$380:$E$399))</f>
        <v>0</v>
      </c>
      <c r="AM399">
        <f>IF(AK399="","",AK399+2*AL399)</f>
        <v>0</v>
      </c>
      <c r="AN399">
        <f>IF(AK399="","",AK399-2*AL399)</f>
        <v>0</v>
      </c>
      <c r="AO399">
        <f>IF(OR(AM399="",AN399="",AM399=AN399),"",($E399-AN399)/(AM399-AN399))</f>
        <v>0</v>
      </c>
      <c r="AP399">
        <f>IF(OR(AM399="",AK399="",AK399=0),"",(AM399-AN399)/AK399)</f>
        <v>0</v>
      </c>
      <c r="AQ399">
        <f>IF(COUNT($E$2:$E399)&lt;20,"",MAX($C$380:$C$399))</f>
        <v>0</v>
      </c>
      <c r="AR399">
        <f>IF(COUNT($E$2:$E399)&lt;20,"",MIN($D$380:$D$399))</f>
        <v>0</v>
      </c>
      <c r="AS399">
        <f>IF(OR(AQ399="",AR399=""),"",(AQ399+AR399)/2)</f>
        <v>0</v>
      </c>
      <c r="AT399">
        <f>IF(COUNT($G$380:$G$399)&lt;20,"",STDEV($G$380:$G$399)*SQRT(52))</f>
        <v>0</v>
      </c>
      <c r="AU399">
        <f>IF(COUNT($E$2:$E399)&lt;9,"",(MAX($C$391:$C$399)+MIN($D$391:$D$399))/2)</f>
        <v>0</v>
      </c>
      <c r="AV399">
        <f>IF(COUNT($E$2:$E399)&lt;26,"",(MAX($C$374:$C$399)+MIN($D$374:$D$399))/2)</f>
        <v>0</v>
      </c>
      <c r="AW399">
        <f>IF(OR(AU399="",AV399=""),"",(AU399+AV399)/2)</f>
        <v>0</v>
      </c>
      <c r="AX399">
        <f>IF(COUNT($E$2:$E399)&lt;52,"",(MAX($C$348:$C$399)+MIN($D$348:$D$399))/2)</f>
        <v>0</v>
      </c>
      <c r="AY399">
        <f>IF(COUNT($E$2:$E399)&lt;20,"",MAX($C$300:$C$399))</f>
        <v>0</v>
      </c>
      <c r="AZ399">
        <f>IF(COUNT($E$2:$E399)&lt;20,"",MIN($D$300:$D$399))</f>
        <v>0</v>
      </c>
      <c r="BA399">
        <f>IF(COUNT($E$2:$E399)&lt;20,"",SLOPE($E$300:$E$399,$F$300:$F$399))</f>
        <v>0</v>
      </c>
      <c r="BB399">
        <f>IF(COUNT($E$2:$E399)&lt;20,"",INTERCEPT($E$300:$E$399,$F$300:$F$399))</f>
        <v>0</v>
      </c>
      <c r="BC399">
        <f>IF(OR(BA399="",BB399=""),"",BB399+BA399*F399)</f>
        <v>0</v>
      </c>
      <c r="BD399">
        <f>IF(COUNT($E$2:$E399)&lt;20,"",STEYX($E$300:$E$399,$F$300:$F$399))</f>
        <v>0</v>
      </c>
      <c r="BE399">
        <f>IF($E399="","",IF(AND(COUNT($E$400:$E$403)&gt;=4,$C399=MAX($C$395:$C$403)),$C399,""))</f>
        <v>0</v>
      </c>
      <c r="BF399">
        <f>IF($E399="","",IF(AND(COUNT($E$400:$E$403)&gt;=4,$D399=MIN($D$395:$D$403)),$D399,""))</f>
        <v>0</v>
      </c>
      <c r="BG399">
        <f>IFERROR(SMALL(Calc_Daily!$BM$2:$BM$2001,398),"")</f>
        <v>0</v>
      </c>
    </row>
    <row r="400" spans="1:59">
      <c r="A400" s="27">
        <f>IF($BG400="","",INDEX(Calc_Daily!$A$2:$A$2001,$BG400))</f>
        <v>0</v>
      </c>
      <c r="B400">
        <f>IF($BG400="","",INDEX(Calc_Daily!$BJ$2:$BJ$2001,$BG400))</f>
        <v>0</v>
      </c>
      <c r="C400">
        <f>IF($BG400="","",INDEX(Calc_Daily!$BK$2:$BK$2001,$BG400))</f>
        <v>0</v>
      </c>
      <c r="D400">
        <f>IF($BG400="","",INDEX(Calc_Daily!$BL$2:$BL$2001,$BG400))</f>
        <v>0</v>
      </c>
      <c r="E400">
        <f>IF($BG400="","",INDEX(Calc_Daily!$E$2:$E$2001,$BG400))</f>
        <v>0</v>
      </c>
      <c r="F400">
        <f>IF($E400="","",N(F399)+1)</f>
        <v>0</v>
      </c>
      <c r="G400">
        <f>IF(OR($E400="",$E399=""),"",LN($E400/$E399))</f>
        <v>0</v>
      </c>
      <c r="H400">
        <f>IF($E400="","",IF($E399="",$E400,$E400*0.0952380952+H399*0.9047619048))</f>
        <v>0</v>
      </c>
      <c r="I400">
        <f>IF($E400="","",IF($E399="",$E400,$E400*0.0392156863+I399*0.9607843137))</f>
        <v>0</v>
      </c>
      <c r="J400">
        <f>IF($E400="","",IF($E399="",$E400,$E400*0.0198019802+J399*0.9801980198))</f>
        <v>0</v>
      </c>
      <c r="K400">
        <f>IF($E400="","",IF($E399="",$E400,$E400*0.0099502488+K399*0.9900497512))</f>
        <v>0</v>
      </c>
      <c r="L400">
        <f>IF(OR($E400="",$E399=""),"",MAX($E400-$E399,0))</f>
        <v>0</v>
      </c>
      <c r="M400">
        <f>IF(OR($E400="",$E399=""),"",MAX($E399-$E400,0))</f>
        <v>0</v>
      </c>
      <c r="N400">
        <f>IF(COUNT($E$2:$E400)&lt;15,"",IF(AVERAGE($M$387:$M$400)=0,100,100-100/(1+AVERAGE($L$387:$L$400)/AVERAGE($M$387:$M$400))))</f>
        <v>0</v>
      </c>
      <c r="O400">
        <f>IF($E400="","",IF($E399="",$E400,$E400*0.1538461538+O399*0.8461538462))</f>
        <v>0</v>
      </c>
      <c r="P400">
        <f>IF($E400="","",IF($E399="",$E400,$E400*0.0740740741+P399*0.9259259259))</f>
        <v>0</v>
      </c>
      <c r="Q400">
        <f>IF(OR(O400="",P400=""),"",O400-P400)</f>
        <v>0</v>
      </c>
      <c r="R400">
        <f>IF(Q400="","",IF(R399="",Q400,Q400*0.2000000000+R399*0.8000000000))</f>
        <v>0</v>
      </c>
      <c r="S400">
        <f>IF(OR(Q400="",R400=""),"",Q400-R400)</f>
        <v>0</v>
      </c>
      <c r="T400">
        <f>IF(COUNT($E$2:$E400)&lt;14,"",MAX($C$387:$C$400))</f>
        <v>0</v>
      </c>
      <c r="U400">
        <f>IF(COUNT($E$2:$E400)&lt;14,"",MIN($D$387:$D$400))</f>
        <v>0</v>
      </c>
      <c r="V400">
        <f>IF(OR(T400="",U400="",T400=U400),"",100*($E400-U400)/(T400-U400))</f>
        <v>0</v>
      </c>
      <c r="W400">
        <f>IF(COUNT($V$398:$V$400)&lt;3,"",AVERAGE($V$398:$V$400))</f>
        <v>0</v>
      </c>
      <c r="X400">
        <f>IF(COUNT($N$387:$N$400)&lt;14,"",MIN($N$387:$N$400))</f>
        <v>0</v>
      </c>
      <c r="Y400">
        <f>IF(COUNT($N$387:$N$400)&lt;14,"",MAX($N$387:$N$400))</f>
        <v>0</v>
      </c>
      <c r="Z400">
        <f>IF(OR(N400="",X400="",Y400="",Y400=X400),"",100*(N400-X400)/(Y400-X400))</f>
        <v>0</v>
      </c>
      <c r="AA400">
        <f>IF(COUNT($Z$398:$Z$400)&lt;3,"",AVERAGE($Z$398:$Z$400))</f>
        <v>0</v>
      </c>
      <c r="AB400">
        <f>IF(COUNT($AA$398:$AA$400)&lt;3,"",AVERAGE($AA$398:$AA$400))</f>
        <v>0</v>
      </c>
      <c r="AC400">
        <f>IF($E400="","",MAX($C400-$D400,ABS($C400-$E399),ABS($D400-$E399)))</f>
        <v>0</v>
      </c>
      <c r="AD400">
        <f>IF(COUNT($E$2:$E400)&lt;15,"",AVERAGE($AC$387:$AC$400))</f>
        <v>0</v>
      </c>
      <c r="AE400">
        <f>IF(OR($E400="",$E399=""),"",IF(AND(($C400-$C399)&gt;($D399-$D400),($C400-$C399)&gt;0),$C400-$C399,0))</f>
        <v>0</v>
      </c>
      <c r="AF400">
        <f>IF(OR($E400="",$E399=""),"",IF(AND(($D399-$D400)&gt;($C400-$C399),($D399-$D400)&gt;0),$D399-$D400,0))</f>
        <v>0</v>
      </c>
      <c r="AG400">
        <f>IF(COUNT($E$2:$E400)&lt;15,"",IF(SUM($AC$387:$AC$400)=0,0,100*SUM($AE$387:$AE$400)/SUM($AC$387:$AC$400)))</f>
        <v>0</v>
      </c>
      <c r="AH400">
        <f>IF(COUNT($E$2:$E400)&lt;15,"",IF(SUM($AC$387:$AC$400)=0,0,100*SUM($AF$387:$AF$400)/SUM($AC$387:$AC$400)))</f>
        <v>0</v>
      </c>
      <c r="AI400">
        <f>IF(OR(AG400="",AH400=""),"",IF((AG400+AH400)=0,0,100*ABS(AG400-AH400)/(AG400+AH400)))</f>
        <v>0</v>
      </c>
      <c r="AJ400">
        <f>IF(COUNT($AI$387:$AI$400)&lt;14,"",AVERAGE($AI$387:$AI$400))</f>
        <v>0</v>
      </c>
      <c r="AK400">
        <f>IF(COUNT($E$2:$E400)&lt;20,"",AVERAGE($E$381:$E$400))</f>
        <v>0</v>
      </c>
      <c r="AL400">
        <f>IF(COUNT($E$2:$E400)&lt;20,"",STDEVP($E$381:$E$400))</f>
        <v>0</v>
      </c>
      <c r="AM400">
        <f>IF(AK400="","",AK400+2*AL400)</f>
        <v>0</v>
      </c>
      <c r="AN400">
        <f>IF(AK400="","",AK400-2*AL400)</f>
        <v>0</v>
      </c>
      <c r="AO400">
        <f>IF(OR(AM400="",AN400="",AM400=AN400),"",($E400-AN400)/(AM400-AN400))</f>
        <v>0</v>
      </c>
      <c r="AP400">
        <f>IF(OR(AM400="",AK400="",AK400=0),"",(AM400-AN400)/AK400)</f>
        <v>0</v>
      </c>
      <c r="AQ400">
        <f>IF(COUNT($E$2:$E400)&lt;20,"",MAX($C$381:$C$400))</f>
        <v>0</v>
      </c>
      <c r="AR400">
        <f>IF(COUNT($E$2:$E400)&lt;20,"",MIN($D$381:$D$400))</f>
        <v>0</v>
      </c>
      <c r="AS400">
        <f>IF(OR(AQ400="",AR400=""),"",(AQ400+AR400)/2)</f>
        <v>0</v>
      </c>
      <c r="AT400">
        <f>IF(COUNT($G$381:$G$400)&lt;20,"",STDEV($G$381:$G$400)*SQRT(52))</f>
        <v>0</v>
      </c>
      <c r="AU400">
        <f>IF(COUNT($E$2:$E400)&lt;9,"",(MAX($C$392:$C$400)+MIN($D$392:$D$400))/2)</f>
        <v>0</v>
      </c>
      <c r="AV400">
        <f>IF(COUNT($E$2:$E400)&lt;26,"",(MAX($C$375:$C$400)+MIN($D$375:$D$400))/2)</f>
        <v>0</v>
      </c>
      <c r="AW400">
        <f>IF(OR(AU400="",AV400=""),"",(AU400+AV400)/2)</f>
        <v>0</v>
      </c>
      <c r="AX400">
        <f>IF(COUNT($E$2:$E400)&lt;52,"",(MAX($C$349:$C$400)+MIN($D$349:$D$400))/2)</f>
        <v>0</v>
      </c>
      <c r="AY400">
        <f>IF(COUNT($E$2:$E400)&lt;20,"",MAX($C$301:$C$400))</f>
        <v>0</v>
      </c>
      <c r="AZ400">
        <f>IF(COUNT($E$2:$E400)&lt;20,"",MIN($D$301:$D$400))</f>
        <v>0</v>
      </c>
      <c r="BA400">
        <f>IF(COUNT($E$2:$E400)&lt;20,"",SLOPE($E$301:$E$400,$F$301:$F$400))</f>
        <v>0</v>
      </c>
      <c r="BB400">
        <f>IF(COUNT($E$2:$E400)&lt;20,"",INTERCEPT($E$301:$E$400,$F$301:$F$400))</f>
        <v>0</v>
      </c>
      <c r="BC400">
        <f>IF(OR(BA400="",BB400=""),"",BB400+BA400*F400)</f>
        <v>0</v>
      </c>
      <c r="BD400">
        <f>IF(COUNT($E$2:$E400)&lt;20,"",STEYX($E$301:$E$400,$F$301:$F$400))</f>
        <v>0</v>
      </c>
      <c r="BE400">
        <f>IF($E400="","",IF(AND(COUNT($E$401:$E$404)&gt;=4,$C400=MAX($C$396:$C$404)),$C400,""))</f>
        <v>0</v>
      </c>
      <c r="BF400">
        <f>IF($E400="","",IF(AND(COUNT($E$401:$E$404)&gt;=4,$D400=MIN($D$396:$D$404)),$D400,""))</f>
        <v>0</v>
      </c>
      <c r="BG400">
        <f>IFERROR(SMALL(Calc_Daily!$BM$2:$BM$2001,399),"")</f>
        <v>0</v>
      </c>
    </row>
    <row r="401" spans="1:59">
      <c r="A401" s="27">
        <f>IF($BG401="","",INDEX(Calc_Daily!$A$2:$A$2001,$BG401))</f>
        <v>0</v>
      </c>
      <c r="B401">
        <f>IF($BG401="","",INDEX(Calc_Daily!$BJ$2:$BJ$2001,$BG401))</f>
        <v>0</v>
      </c>
      <c r="C401">
        <f>IF($BG401="","",INDEX(Calc_Daily!$BK$2:$BK$2001,$BG401))</f>
        <v>0</v>
      </c>
      <c r="D401">
        <f>IF($BG401="","",INDEX(Calc_Daily!$BL$2:$BL$2001,$BG401))</f>
        <v>0</v>
      </c>
      <c r="E401">
        <f>IF($BG401="","",INDEX(Calc_Daily!$E$2:$E$2001,$BG401))</f>
        <v>0</v>
      </c>
      <c r="F401">
        <f>IF($E401="","",N(F400)+1)</f>
        <v>0</v>
      </c>
      <c r="G401">
        <f>IF(OR($E401="",$E400=""),"",LN($E401/$E400))</f>
        <v>0</v>
      </c>
      <c r="H401">
        <f>IF($E401="","",IF($E400="",$E401,$E401*0.0952380952+H400*0.9047619048))</f>
        <v>0</v>
      </c>
      <c r="I401">
        <f>IF($E401="","",IF($E400="",$E401,$E401*0.0392156863+I400*0.9607843137))</f>
        <v>0</v>
      </c>
      <c r="J401">
        <f>IF($E401="","",IF($E400="",$E401,$E401*0.0198019802+J400*0.9801980198))</f>
        <v>0</v>
      </c>
      <c r="K401">
        <f>IF($E401="","",IF($E400="",$E401,$E401*0.0099502488+K400*0.9900497512))</f>
        <v>0</v>
      </c>
      <c r="L401">
        <f>IF(OR($E401="",$E400=""),"",MAX($E401-$E400,0))</f>
        <v>0</v>
      </c>
      <c r="M401">
        <f>IF(OR($E401="",$E400=""),"",MAX($E400-$E401,0))</f>
        <v>0</v>
      </c>
      <c r="N401">
        <f>IF(COUNT($E$2:$E401)&lt;15,"",IF(AVERAGE($M$388:$M$401)=0,100,100-100/(1+AVERAGE($L$388:$L$401)/AVERAGE($M$388:$M$401))))</f>
        <v>0</v>
      </c>
      <c r="O401">
        <f>IF($E401="","",IF($E400="",$E401,$E401*0.1538461538+O400*0.8461538462))</f>
        <v>0</v>
      </c>
      <c r="P401">
        <f>IF($E401="","",IF($E400="",$E401,$E401*0.0740740741+P400*0.9259259259))</f>
        <v>0</v>
      </c>
      <c r="Q401">
        <f>IF(OR(O401="",P401=""),"",O401-P401)</f>
        <v>0</v>
      </c>
      <c r="R401">
        <f>IF(Q401="","",IF(R400="",Q401,Q401*0.2000000000+R400*0.8000000000))</f>
        <v>0</v>
      </c>
      <c r="S401">
        <f>IF(OR(Q401="",R401=""),"",Q401-R401)</f>
        <v>0</v>
      </c>
      <c r="T401">
        <f>IF(COUNT($E$2:$E401)&lt;14,"",MAX($C$388:$C$401))</f>
        <v>0</v>
      </c>
      <c r="U401">
        <f>IF(COUNT($E$2:$E401)&lt;14,"",MIN($D$388:$D$401))</f>
        <v>0</v>
      </c>
      <c r="V401">
        <f>IF(OR(T401="",U401="",T401=U401),"",100*($E401-U401)/(T401-U401))</f>
        <v>0</v>
      </c>
      <c r="W401">
        <f>IF(COUNT($V$399:$V$401)&lt;3,"",AVERAGE($V$399:$V$401))</f>
        <v>0</v>
      </c>
      <c r="X401">
        <f>IF(COUNT($N$388:$N$401)&lt;14,"",MIN($N$388:$N$401))</f>
        <v>0</v>
      </c>
      <c r="Y401">
        <f>IF(COUNT($N$388:$N$401)&lt;14,"",MAX($N$388:$N$401))</f>
        <v>0</v>
      </c>
      <c r="Z401">
        <f>IF(OR(N401="",X401="",Y401="",Y401=X401),"",100*(N401-X401)/(Y401-X401))</f>
        <v>0</v>
      </c>
      <c r="AA401">
        <f>IF(COUNT($Z$399:$Z$401)&lt;3,"",AVERAGE($Z$399:$Z$401))</f>
        <v>0</v>
      </c>
      <c r="AB401">
        <f>IF(COUNT($AA$399:$AA$401)&lt;3,"",AVERAGE($AA$399:$AA$401))</f>
        <v>0</v>
      </c>
      <c r="AC401">
        <f>IF($E401="","",MAX($C401-$D401,ABS($C401-$E400),ABS($D401-$E400)))</f>
        <v>0</v>
      </c>
      <c r="AD401">
        <f>IF(COUNT($E$2:$E401)&lt;15,"",AVERAGE($AC$388:$AC$401))</f>
        <v>0</v>
      </c>
      <c r="AE401">
        <f>IF(OR($E401="",$E400=""),"",IF(AND(($C401-$C400)&gt;($D400-$D401),($C401-$C400)&gt;0),$C401-$C400,0))</f>
        <v>0</v>
      </c>
      <c r="AF401">
        <f>IF(OR($E401="",$E400=""),"",IF(AND(($D400-$D401)&gt;($C401-$C400),($D400-$D401)&gt;0),$D400-$D401,0))</f>
        <v>0</v>
      </c>
      <c r="AG401">
        <f>IF(COUNT($E$2:$E401)&lt;15,"",IF(SUM($AC$388:$AC$401)=0,0,100*SUM($AE$388:$AE$401)/SUM($AC$388:$AC$401)))</f>
        <v>0</v>
      </c>
      <c r="AH401">
        <f>IF(COUNT($E$2:$E401)&lt;15,"",IF(SUM($AC$388:$AC$401)=0,0,100*SUM($AF$388:$AF$401)/SUM($AC$388:$AC$401)))</f>
        <v>0</v>
      </c>
      <c r="AI401">
        <f>IF(OR(AG401="",AH401=""),"",IF((AG401+AH401)=0,0,100*ABS(AG401-AH401)/(AG401+AH401)))</f>
        <v>0</v>
      </c>
      <c r="AJ401">
        <f>IF(COUNT($AI$388:$AI$401)&lt;14,"",AVERAGE($AI$388:$AI$401))</f>
        <v>0</v>
      </c>
      <c r="AK401">
        <f>IF(COUNT($E$2:$E401)&lt;20,"",AVERAGE($E$382:$E$401))</f>
        <v>0</v>
      </c>
      <c r="AL401">
        <f>IF(COUNT($E$2:$E401)&lt;20,"",STDEVP($E$382:$E$401))</f>
        <v>0</v>
      </c>
      <c r="AM401">
        <f>IF(AK401="","",AK401+2*AL401)</f>
        <v>0</v>
      </c>
      <c r="AN401">
        <f>IF(AK401="","",AK401-2*AL401)</f>
        <v>0</v>
      </c>
      <c r="AO401">
        <f>IF(OR(AM401="",AN401="",AM401=AN401),"",($E401-AN401)/(AM401-AN401))</f>
        <v>0</v>
      </c>
      <c r="AP401">
        <f>IF(OR(AM401="",AK401="",AK401=0),"",(AM401-AN401)/AK401)</f>
        <v>0</v>
      </c>
      <c r="AQ401">
        <f>IF(COUNT($E$2:$E401)&lt;20,"",MAX($C$382:$C$401))</f>
        <v>0</v>
      </c>
      <c r="AR401">
        <f>IF(COUNT($E$2:$E401)&lt;20,"",MIN($D$382:$D$401))</f>
        <v>0</v>
      </c>
      <c r="AS401">
        <f>IF(OR(AQ401="",AR401=""),"",(AQ401+AR401)/2)</f>
        <v>0</v>
      </c>
      <c r="AT401">
        <f>IF(COUNT($G$382:$G$401)&lt;20,"",STDEV($G$382:$G$401)*SQRT(52))</f>
        <v>0</v>
      </c>
      <c r="AU401">
        <f>IF(COUNT($E$2:$E401)&lt;9,"",(MAX($C$393:$C$401)+MIN($D$393:$D$401))/2)</f>
        <v>0</v>
      </c>
      <c r="AV401">
        <f>IF(COUNT($E$2:$E401)&lt;26,"",(MAX($C$376:$C$401)+MIN($D$376:$D$401))/2)</f>
        <v>0</v>
      </c>
      <c r="AW401">
        <f>IF(OR(AU401="",AV401=""),"",(AU401+AV401)/2)</f>
        <v>0</v>
      </c>
      <c r="AX401">
        <f>IF(COUNT($E$2:$E401)&lt;52,"",(MAX($C$350:$C$401)+MIN($D$350:$D$401))/2)</f>
        <v>0</v>
      </c>
      <c r="AY401">
        <f>IF(COUNT($E$2:$E401)&lt;20,"",MAX($C$302:$C$401))</f>
        <v>0</v>
      </c>
      <c r="AZ401">
        <f>IF(COUNT($E$2:$E401)&lt;20,"",MIN($D$302:$D$401))</f>
        <v>0</v>
      </c>
      <c r="BA401">
        <f>IF(COUNT($E$2:$E401)&lt;20,"",SLOPE($E$302:$E$401,$F$302:$F$401))</f>
        <v>0</v>
      </c>
      <c r="BB401">
        <f>IF(COUNT($E$2:$E401)&lt;20,"",INTERCEPT($E$302:$E$401,$F$302:$F$401))</f>
        <v>0</v>
      </c>
      <c r="BC401">
        <f>IF(OR(BA401="",BB401=""),"",BB401+BA401*F401)</f>
        <v>0</v>
      </c>
      <c r="BD401">
        <f>IF(COUNT($E$2:$E401)&lt;20,"",STEYX($E$302:$E$401,$F$302:$F$401))</f>
        <v>0</v>
      </c>
      <c r="BE401">
        <f>IF($E401="","",IF(AND(COUNT($E$402:$E$405)&gt;=4,$C401=MAX($C$397:$C$405)),$C401,""))</f>
        <v>0</v>
      </c>
      <c r="BF401">
        <f>IF($E401="","",IF(AND(COUNT($E$402:$E$405)&gt;=4,$D401=MIN($D$397:$D$405)),$D401,""))</f>
        <v>0</v>
      </c>
      <c r="BG401">
        <f>IFERROR(SMALL(Calc_Daily!$BM$2:$BM$2001,400),"")</f>
        <v>0</v>
      </c>
    </row>
    <row r="402" spans="1:59">
      <c r="A402" s="27">
        <f>IF($BG402="","",INDEX(Calc_Daily!$A$2:$A$2001,$BG402))</f>
        <v>0</v>
      </c>
      <c r="B402">
        <f>IF($BG402="","",INDEX(Calc_Daily!$BJ$2:$BJ$2001,$BG402))</f>
        <v>0</v>
      </c>
      <c r="C402">
        <f>IF($BG402="","",INDEX(Calc_Daily!$BK$2:$BK$2001,$BG402))</f>
        <v>0</v>
      </c>
      <c r="D402">
        <f>IF($BG402="","",INDEX(Calc_Daily!$BL$2:$BL$2001,$BG402))</f>
        <v>0</v>
      </c>
      <c r="E402">
        <f>IF($BG402="","",INDEX(Calc_Daily!$E$2:$E$2001,$BG402))</f>
        <v>0</v>
      </c>
      <c r="F402">
        <f>IF($E402="","",N(F401)+1)</f>
        <v>0</v>
      </c>
      <c r="G402">
        <f>IF(OR($E402="",$E401=""),"",LN($E402/$E401))</f>
        <v>0</v>
      </c>
      <c r="H402">
        <f>IF($E402="","",IF($E401="",$E402,$E402*0.0952380952+H401*0.9047619048))</f>
        <v>0</v>
      </c>
      <c r="I402">
        <f>IF($E402="","",IF($E401="",$E402,$E402*0.0392156863+I401*0.9607843137))</f>
        <v>0</v>
      </c>
      <c r="J402">
        <f>IF($E402="","",IF($E401="",$E402,$E402*0.0198019802+J401*0.9801980198))</f>
        <v>0</v>
      </c>
      <c r="K402">
        <f>IF($E402="","",IF($E401="",$E402,$E402*0.0099502488+K401*0.9900497512))</f>
        <v>0</v>
      </c>
      <c r="L402">
        <f>IF(OR($E402="",$E401=""),"",MAX($E402-$E401,0))</f>
        <v>0</v>
      </c>
      <c r="M402">
        <f>IF(OR($E402="",$E401=""),"",MAX($E401-$E402,0))</f>
        <v>0</v>
      </c>
      <c r="N402">
        <f>IF(COUNT($E$2:$E402)&lt;15,"",IF(AVERAGE($M$389:$M$402)=0,100,100-100/(1+AVERAGE($L$389:$L$402)/AVERAGE($M$389:$M$402))))</f>
        <v>0</v>
      </c>
      <c r="O402">
        <f>IF($E402="","",IF($E401="",$E402,$E402*0.1538461538+O401*0.8461538462))</f>
        <v>0</v>
      </c>
      <c r="P402">
        <f>IF($E402="","",IF($E401="",$E402,$E402*0.0740740741+P401*0.9259259259))</f>
        <v>0</v>
      </c>
      <c r="Q402">
        <f>IF(OR(O402="",P402=""),"",O402-P402)</f>
        <v>0</v>
      </c>
      <c r="R402">
        <f>IF(Q402="","",IF(R401="",Q402,Q402*0.2000000000+R401*0.8000000000))</f>
        <v>0</v>
      </c>
      <c r="S402">
        <f>IF(OR(Q402="",R402=""),"",Q402-R402)</f>
        <v>0</v>
      </c>
      <c r="T402">
        <f>IF(COUNT($E$2:$E402)&lt;14,"",MAX($C$389:$C$402))</f>
        <v>0</v>
      </c>
      <c r="U402">
        <f>IF(COUNT($E$2:$E402)&lt;14,"",MIN($D$389:$D$402))</f>
        <v>0</v>
      </c>
      <c r="V402">
        <f>IF(OR(T402="",U402="",T402=U402),"",100*($E402-U402)/(T402-U402))</f>
        <v>0</v>
      </c>
      <c r="W402">
        <f>IF(COUNT($V$400:$V$402)&lt;3,"",AVERAGE($V$400:$V$402))</f>
        <v>0</v>
      </c>
      <c r="X402">
        <f>IF(COUNT($N$389:$N$402)&lt;14,"",MIN($N$389:$N$402))</f>
        <v>0</v>
      </c>
      <c r="Y402">
        <f>IF(COUNT($N$389:$N$402)&lt;14,"",MAX($N$389:$N$402))</f>
        <v>0</v>
      </c>
      <c r="Z402">
        <f>IF(OR(N402="",X402="",Y402="",Y402=X402),"",100*(N402-X402)/(Y402-X402))</f>
        <v>0</v>
      </c>
      <c r="AA402">
        <f>IF(COUNT($Z$400:$Z$402)&lt;3,"",AVERAGE($Z$400:$Z$402))</f>
        <v>0</v>
      </c>
      <c r="AB402">
        <f>IF(COUNT($AA$400:$AA$402)&lt;3,"",AVERAGE($AA$400:$AA$402))</f>
        <v>0</v>
      </c>
      <c r="AC402">
        <f>IF($E402="","",MAX($C402-$D402,ABS($C402-$E401),ABS($D402-$E401)))</f>
        <v>0</v>
      </c>
      <c r="AD402">
        <f>IF(COUNT($E$2:$E402)&lt;15,"",AVERAGE($AC$389:$AC$402))</f>
        <v>0</v>
      </c>
      <c r="AE402">
        <f>IF(OR($E402="",$E401=""),"",IF(AND(($C402-$C401)&gt;($D401-$D402),($C402-$C401)&gt;0),$C402-$C401,0))</f>
        <v>0</v>
      </c>
      <c r="AF402">
        <f>IF(OR($E402="",$E401=""),"",IF(AND(($D401-$D402)&gt;($C402-$C401),($D401-$D402)&gt;0),$D401-$D402,0))</f>
        <v>0</v>
      </c>
      <c r="AG402">
        <f>IF(COUNT($E$2:$E402)&lt;15,"",IF(SUM($AC$389:$AC$402)=0,0,100*SUM($AE$389:$AE$402)/SUM($AC$389:$AC$402)))</f>
        <v>0</v>
      </c>
      <c r="AH402">
        <f>IF(COUNT($E$2:$E402)&lt;15,"",IF(SUM($AC$389:$AC$402)=0,0,100*SUM($AF$389:$AF$402)/SUM($AC$389:$AC$402)))</f>
        <v>0</v>
      </c>
      <c r="AI402">
        <f>IF(OR(AG402="",AH402=""),"",IF((AG402+AH402)=0,0,100*ABS(AG402-AH402)/(AG402+AH402)))</f>
        <v>0</v>
      </c>
      <c r="AJ402">
        <f>IF(COUNT($AI$389:$AI$402)&lt;14,"",AVERAGE($AI$389:$AI$402))</f>
        <v>0</v>
      </c>
      <c r="AK402">
        <f>IF(COUNT($E$2:$E402)&lt;20,"",AVERAGE($E$383:$E$402))</f>
        <v>0</v>
      </c>
      <c r="AL402">
        <f>IF(COUNT($E$2:$E402)&lt;20,"",STDEVP($E$383:$E$402))</f>
        <v>0</v>
      </c>
      <c r="AM402">
        <f>IF(AK402="","",AK402+2*AL402)</f>
        <v>0</v>
      </c>
      <c r="AN402">
        <f>IF(AK402="","",AK402-2*AL402)</f>
        <v>0</v>
      </c>
      <c r="AO402">
        <f>IF(OR(AM402="",AN402="",AM402=AN402),"",($E402-AN402)/(AM402-AN402))</f>
        <v>0</v>
      </c>
      <c r="AP402">
        <f>IF(OR(AM402="",AK402="",AK402=0),"",(AM402-AN402)/AK402)</f>
        <v>0</v>
      </c>
      <c r="AQ402">
        <f>IF(COUNT($E$2:$E402)&lt;20,"",MAX($C$383:$C$402))</f>
        <v>0</v>
      </c>
      <c r="AR402">
        <f>IF(COUNT($E$2:$E402)&lt;20,"",MIN($D$383:$D$402))</f>
        <v>0</v>
      </c>
      <c r="AS402">
        <f>IF(OR(AQ402="",AR402=""),"",(AQ402+AR402)/2)</f>
        <v>0</v>
      </c>
      <c r="AT402">
        <f>IF(COUNT($G$383:$G$402)&lt;20,"",STDEV($G$383:$G$402)*SQRT(52))</f>
        <v>0</v>
      </c>
      <c r="AU402">
        <f>IF(COUNT($E$2:$E402)&lt;9,"",(MAX($C$394:$C$402)+MIN($D$394:$D$402))/2)</f>
        <v>0</v>
      </c>
      <c r="AV402">
        <f>IF(COUNT($E$2:$E402)&lt;26,"",(MAX($C$377:$C$402)+MIN($D$377:$D$402))/2)</f>
        <v>0</v>
      </c>
      <c r="AW402">
        <f>IF(OR(AU402="",AV402=""),"",(AU402+AV402)/2)</f>
        <v>0</v>
      </c>
      <c r="AX402">
        <f>IF(COUNT($E$2:$E402)&lt;52,"",(MAX($C$351:$C$402)+MIN($D$351:$D$402))/2)</f>
        <v>0</v>
      </c>
      <c r="AY402">
        <f>IF(COUNT($E$2:$E402)&lt;20,"",MAX($C$303:$C$402))</f>
        <v>0</v>
      </c>
      <c r="AZ402">
        <f>IF(COUNT($E$2:$E402)&lt;20,"",MIN($D$303:$D$402))</f>
        <v>0</v>
      </c>
      <c r="BA402">
        <f>IF(COUNT($E$2:$E402)&lt;20,"",SLOPE($E$303:$E$402,$F$303:$F$402))</f>
        <v>0</v>
      </c>
      <c r="BB402">
        <f>IF(COUNT($E$2:$E402)&lt;20,"",INTERCEPT($E$303:$E$402,$F$303:$F$402))</f>
        <v>0</v>
      </c>
      <c r="BC402">
        <f>IF(OR(BA402="",BB402=""),"",BB402+BA402*F402)</f>
        <v>0</v>
      </c>
      <c r="BD402">
        <f>IF(COUNT($E$2:$E402)&lt;20,"",STEYX($E$303:$E$402,$F$303:$F$402))</f>
        <v>0</v>
      </c>
      <c r="BE402">
        <f>IF($E402="","",IF(AND(COUNT($E$403:$E$406)&gt;=4,$C402=MAX($C$398:$C$406)),$C402,""))</f>
        <v>0</v>
      </c>
      <c r="BF402">
        <f>IF($E402="","",IF(AND(COUNT($E$403:$E$406)&gt;=4,$D402=MIN($D$398:$D$406)),$D402,""))</f>
        <v>0</v>
      </c>
      <c r="BG402">
        <f>IFERROR(SMALL(Calc_Daily!$BM$2:$BM$2001,401),"")</f>
        <v>0</v>
      </c>
    </row>
    <row r="403" spans="1:59">
      <c r="A403" s="27">
        <f>IF($BG403="","",INDEX(Calc_Daily!$A$2:$A$2001,$BG403))</f>
        <v>0</v>
      </c>
      <c r="B403">
        <f>IF($BG403="","",INDEX(Calc_Daily!$BJ$2:$BJ$2001,$BG403))</f>
        <v>0</v>
      </c>
      <c r="C403">
        <f>IF($BG403="","",INDEX(Calc_Daily!$BK$2:$BK$2001,$BG403))</f>
        <v>0</v>
      </c>
      <c r="D403">
        <f>IF($BG403="","",INDEX(Calc_Daily!$BL$2:$BL$2001,$BG403))</f>
        <v>0</v>
      </c>
      <c r="E403">
        <f>IF($BG403="","",INDEX(Calc_Daily!$E$2:$E$2001,$BG403))</f>
        <v>0</v>
      </c>
      <c r="F403">
        <f>IF($E403="","",N(F402)+1)</f>
        <v>0</v>
      </c>
      <c r="G403">
        <f>IF(OR($E403="",$E402=""),"",LN($E403/$E402))</f>
        <v>0</v>
      </c>
      <c r="H403">
        <f>IF($E403="","",IF($E402="",$E403,$E403*0.0952380952+H402*0.9047619048))</f>
        <v>0</v>
      </c>
      <c r="I403">
        <f>IF($E403="","",IF($E402="",$E403,$E403*0.0392156863+I402*0.9607843137))</f>
        <v>0</v>
      </c>
      <c r="J403">
        <f>IF($E403="","",IF($E402="",$E403,$E403*0.0198019802+J402*0.9801980198))</f>
        <v>0</v>
      </c>
      <c r="K403">
        <f>IF($E403="","",IF($E402="",$E403,$E403*0.0099502488+K402*0.9900497512))</f>
        <v>0</v>
      </c>
      <c r="L403">
        <f>IF(OR($E403="",$E402=""),"",MAX($E403-$E402,0))</f>
        <v>0</v>
      </c>
      <c r="M403">
        <f>IF(OR($E403="",$E402=""),"",MAX($E402-$E403,0))</f>
        <v>0</v>
      </c>
      <c r="N403">
        <f>IF(COUNT($E$2:$E403)&lt;15,"",IF(AVERAGE($M$390:$M$403)=0,100,100-100/(1+AVERAGE($L$390:$L$403)/AVERAGE($M$390:$M$403))))</f>
        <v>0</v>
      </c>
      <c r="O403">
        <f>IF($E403="","",IF($E402="",$E403,$E403*0.1538461538+O402*0.8461538462))</f>
        <v>0</v>
      </c>
      <c r="P403">
        <f>IF($E403="","",IF($E402="",$E403,$E403*0.0740740741+P402*0.9259259259))</f>
        <v>0</v>
      </c>
      <c r="Q403">
        <f>IF(OR(O403="",P403=""),"",O403-P403)</f>
        <v>0</v>
      </c>
      <c r="R403">
        <f>IF(Q403="","",IF(R402="",Q403,Q403*0.2000000000+R402*0.8000000000))</f>
        <v>0</v>
      </c>
      <c r="S403">
        <f>IF(OR(Q403="",R403=""),"",Q403-R403)</f>
        <v>0</v>
      </c>
      <c r="T403">
        <f>IF(COUNT($E$2:$E403)&lt;14,"",MAX($C$390:$C$403))</f>
        <v>0</v>
      </c>
      <c r="U403">
        <f>IF(COUNT($E$2:$E403)&lt;14,"",MIN($D$390:$D$403))</f>
        <v>0</v>
      </c>
      <c r="V403">
        <f>IF(OR(T403="",U403="",T403=U403),"",100*($E403-U403)/(T403-U403))</f>
        <v>0</v>
      </c>
      <c r="W403">
        <f>IF(COUNT($V$401:$V$403)&lt;3,"",AVERAGE($V$401:$V$403))</f>
        <v>0</v>
      </c>
      <c r="X403">
        <f>IF(COUNT($N$390:$N$403)&lt;14,"",MIN($N$390:$N$403))</f>
        <v>0</v>
      </c>
      <c r="Y403">
        <f>IF(COUNT($N$390:$N$403)&lt;14,"",MAX($N$390:$N$403))</f>
        <v>0</v>
      </c>
      <c r="Z403">
        <f>IF(OR(N403="",X403="",Y403="",Y403=X403),"",100*(N403-X403)/(Y403-X403))</f>
        <v>0</v>
      </c>
      <c r="AA403">
        <f>IF(COUNT($Z$401:$Z$403)&lt;3,"",AVERAGE($Z$401:$Z$403))</f>
        <v>0</v>
      </c>
      <c r="AB403">
        <f>IF(COUNT($AA$401:$AA$403)&lt;3,"",AVERAGE($AA$401:$AA$403))</f>
        <v>0</v>
      </c>
      <c r="AC403">
        <f>IF($E403="","",MAX($C403-$D403,ABS($C403-$E402),ABS($D403-$E402)))</f>
        <v>0</v>
      </c>
      <c r="AD403">
        <f>IF(COUNT($E$2:$E403)&lt;15,"",AVERAGE($AC$390:$AC$403))</f>
        <v>0</v>
      </c>
      <c r="AE403">
        <f>IF(OR($E403="",$E402=""),"",IF(AND(($C403-$C402)&gt;($D402-$D403),($C403-$C402)&gt;0),$C403-$C402,0))</f>
        <v>0</v>
      </c>
      <c r="AF403">
        <f>IF(OR($E403="",$E402=""),"",IF(AND(($D402-$D403)&gt;($C403-$C402),($D402-$D403)&gt;0),$D402-$D403,0))</f>
        <v>0</v>
      </c>
      <c r="AG403">
        <f>IF(COUNT($E$2:$E403)&lt;15,"",IF(SUM($AC$390:$AC$403)=0,0,100*SUM($AE$390:$AE$403)/SUM($AC$390:$AC$403)))</f>
        <v>0</v>
      </c>
      <c r="AH403">
        <f>IF(COUNT($E$2:$E403)&lt;15,"",IF(SUM($AC$390:$AC$403)=0,0,100*SUM($AF$390:$AF$403)/SUM($AC$390:$AC$403)))</f>
        <v>0</v>
      </c>
      <c r="AI403">
        <f>IF(OR(AG403="",AH403=""),"",IF((AG403+AH403)=0,0,100*ABS(AG403-AH403)/(AG403+AH403)))</f>
        <v>0</v>
      </c>
      <c r="AJ403">
        <f>IF(COUNT($AI$390:$AI$403)&lt;14,"",AVERAGE($AI$390:$AI$403))</f>
        <v>0</v>
      </c>
      <c r="AK403">
        <f>IF(COUNT($E$2:$E403)&lt;20,"",AVERAGE($E$384:$E$403))</f>
        <v>0</v>
      </c>
      <c r="AL403">
        <f>IF(COUNT($E$2:$E403)&lt;20,"",STDEVP($E$384:$E$403))</f>
        <v>0</v>
      </c>
      <c r="AM403">
        <f>IF(AK403="","",AK403+2*AL403)</f>
        <v>0</v>
      </c>
      <c r="AN403">
        <f>IF(AK403="","",AK403-2*AL403)</f>
        <v>0</v>
      </c>
      <c r="AO403">
        <f>IF(OR(AM403="",AN403="",AM403=AN403),"",($E403-AN403)/(AM403-AN403))</f>
        <v>0</v>
      </c>
      <c r="AP403">
        <f>IF(OR(AM403="",AK403="",AK403=0),"",(AM403-AN403)/AK403)</f>
        <v>0</v>
      </c>
      <c r="AQ403">
        <f>IF(COUNT($E$2:$E403)&lt;20,"",MAX($C$384:$C$403))</f>
        <v>0</v>
      </c>
      <c r="AR403">
        <f>IF(COUNT($E$2:$E403)&lt;20,"",MIN($D$384:$D$403))</f>
        <v>0</v>
      </c>
      <c r="AS403">
        <f>IF(OR(AQ403="",AR403=""),"",(AQ403+AR403)/2)</f>
        <v>0</v>
      </c>
      <c r="AT403">
        <f>IF(COUNT($G$384:$G$403)&lt;20,"",STDEV($G$384:$G$403)*SQRT(52))</f>
        <v>0</v>
      </c>
      <c r="AU403">
        <f>IF(COUNT($E$2:$E403)&lt;9,"",(MAX($C$395:$C$403)+MIN($D$395:$D$403))/2)</f>
        <v>0</v>
      </c>
      <c r="AV403">
        <f>IF(COUNT($E$2:$E403)&lt;26,"",(MAX($C$378:$C$403)+MIN($D$378:$D$403))/2)</f>
        <v>0</v>
      </c>
      <c r="AW403">
        <f>IF(OR(AU403="",AV403=""),"",(AU403+AV403)/2)</f>
        <v>0</v>
      </c>
      <c r="AX403">
        <f>IF(COUNT($E$2:$E403)&lt;52,"",(MAX($C$352:$C$403)+MIN($D$352:$D$403))/2)</f>
        <v>0</v>
      </c>
      <c r="AY403">
        <f>IF(COUNT($E$2:$E403)&lt;20,"",MAX($C$304:$C$403))</f>
        <v>0</v>
      </c>
      <c r="AZ403">
        <f>IF(COUNT($E$2:$E403)&lt;20,"",MIN($D$304:$D$403))</f>
        <v>0</v>
      </c>
      <c r="BA403">
        <f>IF(COUNT($E$2:$E403)&lt;20,"",SLOPE($E$304:$E$403,$F$304:$F$403))</f>
        <v>0</v>
      </c>
      <c r="BB403">
        <f>IF(COUNT($E$2:$E403)&lt;20,"",INTERCEPT($E$304:$E$403,$F$304:$F$403))</f>
        <v>0</v>
      </c>
      <c r="BC403">
        <f>IF(OR(BA403="",BB403=""),"",BB403+BA403*F403)</f>
        <v>0</v>
      </c>
      <c r="BD403">
        <f>IF(COUNT($E$2:$E403)&lt;20,"",STEYX($E$304:$E$403,$F$304:$F$403))</f>
        <v>0</v>
      </c>
      <c r="BE403">
        <f>IF($E403="","",IF(AND(COUNT($E$404:$E$407)&gt;=4,$C403=MAX($C$399:$C$407)),$C403,""))</f>
        <v>0</v>
      </c>
      <c r="BF403">
        <f>IF($E403="","",IF(AND(COUNT($E$404:$E$407)&gt;=4,$D403=MIN($D$399:$D$407)),$D403,""))</f>
        <v>0</v>
      </c>
      <c r="BG403">
        <f>IFERROR(SMALL(Calc_Daily!$BM$2:$BM$2001,402),"")</f>
        <v>0</v>
      </c>
    </row>
    <row r="404" spans="1:59">
      <c r="A404" s="27">
        <f>IF($BG404="","",INDEX(Calc_Daily!$A$2:$A$2001,$BG404))</f>
        <v>0</v>
      </c>
      <c r="B404">
        <f>IF($BG404="","",INDEX(Calc_Daily!$BJ$2:$BJ$2001,$BG404))</f>
        <v>0</v>
      </c>
      <c r="C404">
        <f>IF($BG404="","",INDEX(Calc_Daily!$BK$2:$BK$2001,$BG404))</f>
        <v>0</v>
      </c>
      <c r="D404">
        <f>IF($BG404="","",INDEX(Calc_Daily!$BL$2:$BL$2001,$BG404))</f>
        <v>0</v>
      </c>
      <c r="E404">
        <f>IF($BG404="","",INDEX(Calc_Daily!$E$2:$E$2001,$BG404))</f>
        <v>0</v>
      </c>
      <c r="F404">
        <f>IF($E404="","",N(F403)+1)</f>
        <v>0</v>
      </c>
      <c r="G404">
        <f>IF(OR($E404="",$E403=""),"",LN($E404/$E403))</f>
        <v>0</v>
      </c>
      <c r="H404">
        <f>IF($E404="","",IF($E403="",$E404,$E404*0.0952380952+H403*0.9047619048))</f>
        <v>0</v>
      </c>
      <c r="I404">
        <f>IF($E404="","",IF($E403="",$E404,$E404*0.0392156863+I403*0.9607843137))</f>
        <v>0</v>
      </c>
      <c r="J404">
        <f>IF($E404="","",IF($E403="",$E404,$E404*0.0198019802+J403*0.9801980198))</f>
        <v>0</v>
      </c>
      <c r="K404">
        <f>IF($E404="","",IF($E403="",$E404,$E404*0.0099502488+K403*0.9900497512))</f>
        <v>0</v>
      </c>
      <c r="L404">
        <f>IF(OR($E404="",$E403=""),"",MAX($E404-$E403,0))</f>
        <v>0</v>
      </c>
      <c r="M404">
        <f>IF(OR($E404="",$E403=""),"",MAX($E403-$E404,0))</f>
        <v>0</v>
      </c>
      <c r="N404">
        <f>IF(COUNT($E$2:$E404)&lt;15,"",IF(AVERAGE($M$391:$M$404)=0,100,100-100/(1+AVERAGE($L$391:$L$404)/AVERAGE($M$391:$M$404))))</f>
        <v>0</v>
      </c>
      <c r="O404">
        <f>IF($E404="","",IF($E403="",$E404,$E404*0.1538461538+O403*0.8461538462))</f>
        <v>0</v>
      </c>
      <c r="P404">
        <f>IF($E404="","",IF($E403="",$E404,$E404*0.0740740741+P403*0.9259259259))</f>
        <v>0</v>
      </c>
      <c r="Q404">
        <f>IF(OR(O404="",P404=""),"",O404-P404)</f>
        <v>0</v>
      </c>
      <c r="R404">
        <f>IF(Q404="","",IF(R403="",Q404,Q404*0.2000000000+R403*0.8000000000))</f>
        <v>0</v>
      </c>
      <c r="S404">
        <f>IF(OR(Q404="",R404=""),"",Q404-R404)</f>
        <v>0</v>
      </c>
      <c r="T404">
        <f>IF(COUNT($E$2:$E404)&lt;14,"",MAX($C$391:$C$404))</f>
        <v>0</v>
      </c>
      <c r="U404">
        <f>IF(COUNT($E$2:$E404)&lt;14,"",MIN($D$391:$D$404))</f>
        <v>0</v>
      </c>
      <c r="V404">
        <f>IF(OR(T404="",U404="",T404=U404),"",100*($E404-U404)/(T404-U404))</f>
        <v>0</v>
      </c>
      <c r="W404">
        <f>IF(COUNT($V$402:$V$404)&lt;3,"",AVERAGE($V$402:$V$404))</f>
        <v>0</v>
      </c>
      <c r="X404">
        <f>IF(COUNT($N$391:$N$404)&lt;14,"",MIN($N$391:$N$404))</f>
        <v>0</v>
      </c>
      <c r="Y404">
        <f>IF(COUNT($N$391:$N$404)&lt;14,"",MAX($N$391:$N$404))</f>
        <v>0</v>
      </c>
      <c r="Z404">
        <f>IF(OR(N404="",X404="",Y404="",Y404=X404),"",100*(N404-X404)/(Y404-X404))</f>
        <v>0</v>
      </c>
      <c r="AA404">
        <f>IF(COUNT($Z$402:$Z$404)&lt;3,"",AVERAGE($Z$402:$Z$404))</f>
        <v>0</v>
      </c>
      <c r="AB404">
        <f>IF(COUNT($AA$402:$AA$404)&lt;3,"",AVERAGE($AA$402:$AA$404))</f>
        <v>0</v>
      </c>
      <c r="AC404">
        <f>IF($E404="","",MAX($C404-$D404,ABS($C404-$E403),ABS($D404-$E403)))</f>
        <v>0</v>
      </c>
      <c r="AD404">
        <f>IF(COUNT($E$2:$E404)&lt;15,"",AVERAGE($AC$391:$AC$404))</f>
        <v>0</v>
      </c>
      <c r="AE404">
        <f>IF(OR($E404="",$E403=""),"",IF(AND(($C404-$C403)&gt;($D403-$D404),($C404-$C403)&gt;0),$C404-$C403,0))</f>
        <v>0</v>
      </c>
      <c r="AF404">
        <f>IF(OR($E404="",$E403=""),"",IF(AND(($D403-$D404)&gt;($C404-$C403),($D403-$D404)&gt;0),$D403-$D404,0))</f>
        <v>0</v>
      </c>
      <c r="AG404">
        <f>IF(COUNT($E$2:$E404)&lt;15,"",IF(SUM($AC$391:$AC$404)=0,0,100*SUM($AE$391:$AE$404)/SUM($AC$391:$AC$404)))</f>
        <v>0</v>
      </c>
      <c r="AH404">
        <f>IF(COUNT($E$2:$E404)&lt;15,"",IF(SUM($AC$391:$AC$404)=0,0,100*SUM($AF$391:$AF$404)/SUM($AC$391:$AC$404)))</f>
        <v>0</v>
      </c>
      <c r="AI404">
        <f>IF(OR(AG404="",AH404=""),"",IF((AG404+AH404)=0,0,100*ABS(AG404-AH404)/(AG404+AH404)))</f>
        <v>0</v>
      </c>
      <c r="AJ404">
        <f>IF(COUNT($AI$391:$AI$404)&lt;14,"",AVERAGE($AI$391:$AI$404))</f>
        <v>0</v>
      </c>
      <c r="AK404">
        <f>IF(COUNT($E$2:$E404)&lt;20,"",AVERAGE($E$385:$E$404))</f>
        <v>0</v>
      </c>
      <c r="AL404">
        <f>IF(COUNT($E$2:$E404)&lt;20,"",STDEVP($E$385:$E$404))</f>
        <v>0</v>
      </c>
      <c r="AM404">
        <f>IF(AK404="","",AK404+2*AL404)</f>
        <v>0</v>
      </c>
      <c r="AN404">
        <f>IF(AK404="","",AK404-2*AL404)</f>
        <v>0</v>
      </c>
      <c r="AO404">
        <f>IF(OR(AM404="",AN404="",AM404=AN404),"",($E404-AN404)/(AM404-AN404))</f>
        <v>0</v>
      </c>
      <c r="AP404">
        <f>IF(OR(AM404="",AK404="",AK404=0),"",(AM404-AN404)/AK404)</f>
        <v>0</v>
      </c>
      <c r="AQ404">
        <f>IF(COUNT($E$2:$E404)&lt;20,"",MAX($C$385:$C$404))</f>
        <v>0</v>
      </c>
      <c r="AR404">
        <f>IF(COUNT($E$2:$E404)&lt;20,"",MIN($D$385:$D$404))</f>
        <v>0</v>
      </c>
      <c r="AS404">
        <f>IF(OR(AQ404="",AR404=""),"",(AQ404+AR404)/2)</f>
        <v>0</v>
      </c>
      <c r="AT404">
        <f>IF(COUNT($G$385:$G$404)&lt;20,"",STDEV($G$385:$G$404)*SQRT(52))</f>
        <v>0</v>
      </c>
      <c r="AU404">
        <f>IF(COUNT($E$2:$E404)&lt;9,"",(MAX($C$396:$C$404)+MIN($D$396:$D$404))/2)</f>
        <v>0</v>
      </c>
      <c r="AV404">
        <f>IF(COUNT($E$2:$E404)&lt;26,"",(MAX($C$379:$C$404)+MIN($D$379:$D$404))/2)</f>
        <v>0</v>
      </c>
      <c r="AW404">
        <f>IF(OR(AU404="",AV404=""),"",(AU404+AV404)/2)</f>
        <v>0</v>
      </c>
      <c r="AX404">
        <f>IF(COUNT($E$2:$E404)&lt;52,"",(MAX($C$353:$C$404)+MIN($D$353:$D$404))/2)</f>
        <v>0</v>
      </c>
      <c r="AY404">
        <f>IF(COUNT($E$2:$E404)&lt;20,"",MAX($C$305:$C$404))</f>
        <v>0</v>
      </c>
      <c r="AZ404">
        <f>IF(COUNT($E$2:$E404)&lt;20,"",MIN($D$305:$D$404))</f>
        <v>0</v>
      </c>
      <c r="BA404">
        <f>IF(COUNT($E$2:$E404)&lt;20,"",SLOPE($E$305:$E$404,$F$305:$F$404))</f>
        <v>0</v>
      </c>
      <c r="BB404">
        <f>IF(COUNT($E$2:$E404)&lt;20,"",INTERCEPT($E$305:$E$404,$F$305:$F$404))</f>
        <v>0</v>
      </c>
      <c r="BC404">
        <f>IF(OR(BA404="",BB404=""),"",BB404+BA404*F404)</f>
        <v>0</v>
      </c>
      <c r="BD404">
        <f>IF(COUNT($E$2:$E404)&lt;20,"",STEYX($E$305:$E$404,$F$305:$F$404))</f>
        <v>0</v>
      </c>
      <c r="BE404">
        <f>IF($E404="","",IF(AND(COUNT($E$405:$E$408)&gt;=4,$C404=MAX($C$400:$C$408)),$C404,""))</f>
        <v>0</v>
      </c>
      <c r="BF404">
        <f>IF($E404="","",IF(AND(COUNT($E$405:$E$408)&gt;=4,$D404=MIN($D$400:$D$408)),$D404,""))</f>
        <v>0</v>
      </c>
      <c r="BG404">
        <f>IFERROR(SMALL(Calc_Daily!$BM$2:$BM$2001,403),"")</f>
        <v>0</v>
      </c>
    </row>
    <row r="405" spans="1:59">
      <c r="A405" s="27">
        <f>IF($BG405="","",INDEX(Calc_Daily!$A$2:$A$2001,$BG405))</f>
        <v>0</v>
      </c>
      <c r="B405">
        <f>IF($BG405="","",INDEX(Calc_Daily!$BJ$2:$BJ$2001,$BG405))</f>
        <v>0</v>
      </c>
      <c r="C405">
        <f>IF($BG405="","",INDEX(Calc_Daily!$BK$2:$BK$2001,$BG405))</f>
        <v>0</v>
      </c>
      <c r="D405">
        <f>IF($BG405="","",INDEX(Calc_Daily!$BL$2:$BL$2001,$BG405))</f>
        <v>0</v>
      </c>
      <c r="E405">
        <f>IF($BG405="","",INDEX(Calc_Daily!$E$2:$E$2001,$BG405))</f>
        <v>0</v>
      </c>
      <c r="F405">
        <f>IF($E405="","",N(F404)+1)</f>
        <v>0</v>
      </c>
      <c r="G405">
        <f>IF(OR($E405="",$E404=""),"",LN($E405/$E404))</f>
        <v>0</v>
      </c>
      <c r="H405">
        <f>IF($E405="","",IF($E404="",$E405,$E405*0.0952380952+H404*0.9047619048))</f>
        <v>0</v>
      </c>
      <c r="I405">
        <f>IF($E405="","",IF($E404="",$E405,$E405*0.0392156863+I404*0.9607843137))</f>
        <v>0</v>
      </c>
      <c r="J405">
        <f>IF($E405="","",IF($E404="",$E405,$E405*0.0198019802+J404*0.9801980198))</f>
        <v>0</v>
      </c>
      <c r="K405">
        <f>IF($E405="","",IF($E404="",$E405,$E405*0.0099502488+K404*0.9900497512))</f>
        <v>0</v>
      </c>
      <c r="L405">
        <f>IF(OR($E405="",$E404=""),"",MAX($E405-$E404,0))</f>
        <v>0</v>
      </c>
      <c r="M405">
        <f>IF(OR($E405="",$E404=""),"",MAX($E404-$E405,0))</f>
        <v>0</v>
      </c>
      <c r="N405">
        <f>IF(COUNT($E$2:$E405)&lt;15,"",IF(AVERAGE($M$392:$M$405)=0,100,100-100/(1+AVERAGE($L$392:$L$405)/AVERAGE($M$392:$M$405))))</f>
        <v>0</v>
      </c>
      <c r="O405">
        <f>IF($E405="","",IF($E404="",$E405,$E405*0.1538461538+O404*0.8461538462))</f>
        <v>0</v>
      </c>
      <c r="P405">
        <f>IF($E405="","",IF($E404="",$E405,$E405*0.0740740741+P404*0.9259259259))</f>
        <v>0</v>
      </c>
      <c r="Q405">
        <f>IF(OR(O405="",P405=""),"",O405-P405)</f>
        <v>0</v>
      </c>
      <c r="R405">
        <f>IF(Q405="","",IF(R404="",Q405,Q405*0.2000000000+R404*0.8000000000))</f>
        <v>0</v>
      </c>
      <c r="S405">
        <f>IF(OR(Q405="",R405=""),"",Q405-R405)</f>
        <v>0</v>
      </c>
      <c r="T405">
        <f>IF(COUNT($E$2:$E405)&lt;14,"",MAX($C$392:$C$405))</f>
        <v>0</v>
      </c>
      <c r="U405">
        <f>IF(COUNT($E$2:$E405)&lt;14,"",MIN($D$392:$D$405))</f>
        <v>0</v>
      </c>
      <c r="V405">
        <f>IF(OR(T405="",U405="",T405=U405),"",100*($E405-U405)/(T405-U405))</f>
        <v>0</v>
      </c>
      <c r="W405">
        <f>IF(COUNT($V$403:$V$405)&lt;3,"",AVERAGE($V$403:$V$405))</f>
        <v>0</v>
      </c>
      <c r="X405">
        <f>IF(COUNT($N$392:$N$405)&lt;14,"",MIN($N$392:$N$405))</f>
        <v>0</v>
      </c>
      <c r="Y405">
        <f>IF(COUNT($N$392:$N$405)&lt;14,"",MAX($N$392:$N$405))</f>
        <v>0</v>
      </c>
      <c r="Z405">
        <f>IF(OR(N405="",X405="",Y405="",Y405=X405),"",100*(N405-X405)/(Y405-X405))</f>
        <v>0</v>
      </c>
      <c r="AA405">
        <f>IF(COUNT($Z$403:$Z$405)&lt;3,"",AVERAGE($Z$403:$Z$405))</f>
        <v>0</v>
      </c>
      <c r="AB405">
        <f>IF(COUNT($AA$403:$AA$405)&lt;3,"",AVERAGE($AA$403:$AA$405))</f>
        <v>0</v>
      </c>
      <c r="AC405">
        <f>IF($E405="","",MAX($C405-$D405,ABS($C405-$E404),ABS($D405-$E404)))</f>
        <v>0</v>
      </c>
      <c r="AD405">
        <f>IF(COUNT($E$2:$E405)&lt;15,"",AVERAGE($AC$392:$AC$405))</f>
        <v>0</v>
      </c>
      <c r="AE405">
        <f>IF(OR($E405="",$E404=""),"",IF(AND(($C405-$C404)&gt;($D404-$D405),($C405-$C404)&gt;0),$C405-$C404,0))</f>
        <v>0</v>
      </c>
      <c r="AF405">
        <f>IF(OR($E405="",$E404=""),"",IF(AND(($D404-$D405)&gt;($C405-$C404),($D404-$D405)&gt;0),$D404-$D405,0))</f>
        <v>0</v>
      </c>
      <c r="AG405">
        <f>IF(COUNT($E$2:$E405)&lt;15,"",IF(SUM($AC$392:$AC$405)=0,0,100*SUM($AE$392:$AE$405)/SUM($AC$392:$AC$405)))</f>
        <v>0</v>
      </c>
      <c r="AH405">
        <f>IF(COUNT($E$2:$E405)&lt;15,"",IF(SUM($AC$392:$AC$405)=0,0,100*SUM($AF$392:$AF$405)/SUM($AC$392:$AC$405)))</f>
        <v>0</v>
      </c>
      <c r="AI405">
        <f>IF(OR(AG405="",AH405=""),"",IF((AG405+AH405)=0,0,100*ABS(AG405-AH405)/(AG405+AH405)))</f>
        <v>0</v>
      </c>
      <c r="AJ405">
        <f>IF(COUNT($AI$392:$AI$405)&lt;14,"",AVERAGE($AI$392:$AI$405))</f>
        <v>0</v>
      </c>
      <c r="AK405">
        <f>IF(COUNT($E$2:$E405)&lt;20,"",AVERAGE($E$386:$E$405))</f>
        <v>0</v>
      </c>
      <c r="AL405">
        <f>IF(COUNT($E$2:$E405)&lt;20,"",STDEVP($E$386:$E$405))</f>
        <v>0</v>
      </c>
      <c r="AM405">
        <f>IF(AK405="","",AK405+2*AL405)</f>
        <v>0</v>
      </c>
      <c r="AN405">
        <f>IF(AK405="","",AK405-2*AL405)</f>
        <v>0</v>
      </c>
      <c r="AO405">
        <f>IF(OR(AM405="",AN405="",AM405=AN405),"",($E405-AN405)/(AM405-AN405))</f>
        <v>0</v>
      </c>
      <c r="AP405">
        <f>IF(OR(AM405="",AK405="",AK405=0),"",(AM405-AN405)/AK405)</f>
        <v>0</v>
      </c>
      <c r="AQ405">
        <f>IF(COUNT($E$2:$E405)&lt;20,"",MAX($C$386:$C$405))</f>
        <v>0</v>
      </c>
      <c r="AR405">
        <f>IF(COUNT($E$2:$E405)&lt;20,"",MIN($D$386:$D$405))</f>
        <v>0</v>
      </c>
      <c r="AS405">
        <f>IF(OR(AQ405="",AR405=""),"",(AQ405+AR405)/2)</f>
        <v>0</v>
      </c>
      <c r="AT405">
        <f>IF(COUNT($G$386:$G$405)&lt;20,"",STDEV($G$386:$G$405)*SQRT(52))</f>
        <v>0</v>
      </c>
      <c r="AU405">
        <f>IF(COUNT($E$2:$E405)&lt;9,"",(MAX($C$397:$C$405)+MIN($D$397:$D$405))/2)</f>
        <v>0</v>
      </c>
      <c r="AV405">
        <f>IF(COUNT($E$2:$E405)&lt;26,"",(MAX($C$380:$C$405)+MIN($D$380:$D$405))/2)</f>
        <v>0</v>
      </c>
      <c r="AW405">
        <f>IF(OR(AU405="",AV405=""),"",(AU405+AV405)/2)</f>
        <v>0</v>
      </c>
      <c r="AX405">
        <f>IF(COUNT($E$2:$E405)&lt;52,"",(MAX($C$354:$C$405)+MIN($D$354:$D$405))/2)</f>
        <v>0</v>
      </c>
      <c r="AY405">
        <f>IF(COUNT($E$2:$E405)&lt;20,"",MAX($C$306:$C$405))</f>
        <v>0</v>
      </c>
      <c r="AZ405">
        <f>IF(COUNT($E$2:$E405)&lt;20,"",MIN($D$306:$D$405))</f>
        <v>0</v>
      </c>
      <c r="BA405">
        <f>IF(COUNT($E$2:$E405)&lt;20,"",SLOPE($E$306:$E$405,$F$306:$F$405))</f>
        <v>0</v>
      </c>
      <c r="BB405">
        <f>IF(COUNT($E$2:$E405)&lt;20,"",INTERCEPT($E$306:$E$405,$F$306:$F$405))</f>
        <v>0</v>
      </c>
      <c r="BC405">
        <f>IF(OR(BA405="",BB405=""),"",BB405+BA405*F405)</f>
        <v>0</v>
      </c>
      <c r="BD405">
        <f>IF(COUNT($E$2:$E405)&lt;20,"",STEYX($E$306:$E$405,$F$306:$F$405))</f>
        <v>0</v>
      </c>
      <c r="BE405">
        <f>IF($E405="","",IF(AND(COUNT($E$406:$E$409)&gt;=4,$C405=MAX($C$401:$C$409)),$C405,""))</f>
        <v>0</v>
      </c>
      <c r="BF405">
        <f>IF($E405="","",IF(AND(COUNT($E$406:$E$409)&gt;=4,$D405=MIN($D$401:$D$409)),$D405,""))</f>
        <v>0</v>
      </c>
      <c r="BG405">
        <f>IFERROR(SMALL(Calc_Daily!$BM$2:$BM$2001,404),"")</f>
        <v>0</v>
      </c>
    </row>
    <row r="406" spans="1:59">
      <c r="A406" s="27">
        <f>IF($BG406="","",INDEX(Calc_Daily!$A$2:$A$2001,$BG406))</f>
        <v>0</v>
      </c>
      <c r="B406">
        <f>IF($BG406="","",INDEX(Calc_Daily!$BJ$2:$BJ$2001,$BG406))</f>
        <v>0</v>
      </c>
      <c r="C406">
        <f>IF($BG406="","",INDEX(Calc_Daily!$BK$2:$BK$2001,$BG406))</f>
        <v>0</v>
      </c>
      <c r="D406">
        <f>IF($BG406="","",INDEX(Calc_Daily!$BL$2:$BL$2001,$BG406))</f>
        <v>0</v>
      </c>
      <c r="E406">
        <f>IF($BG406="","",INDEX(Calc_Daily!$E$2:$E$2001,$BG406))</f>
        <v>0</v>
      </c>
      <c r="F406">
        <f>IF($E406="","",N(F405)+1)</f>
        <v>0</v>
      </c>
      <c r="G406">
        <f>IF(OR($E406="",$E405=""),"",LN($E406/$E405))</f>
        <v>0</v>
      </c>
      <c r="H406">
        <f>IF($E406="","",IF($E405="",$E406,$E406*0.0952380952+H405*0.9047619048))</f>
        <v>0</v>
      </c>
      <c r="I406">
        <f>IF($E406="","",IF($E405="",$E406,$E406*0.0392156863+I405*0.9607843137))</f>
        <v>0</v>
      </c>
      <c r="J406">
        <f>IF($E406="","",IF($E405="",$E406,$E406*0.0198019802+J405*0.9801980198))</f>
        <v>0</v>
      </c>
      <c r="K406">
        <f>IF($E406="","",IF($E405="",$E406,$E406*0.0099502488+K405*0.9900497512))</f>
        <v>0</v>
      </c>
      <c r="L406">
        <f>IF(OR($E406="",$E405=""),"",MAX($E406-$E405,0))</f>
        <v>0</v>
      </c>
      <c r="M406">
        <f>IF(OR($E406="",$E405=""),"",MAX($E405-$E406,0))</f>
        <v>0</v>
      </c>
      <c r="N406">
        <f>IF(COUNT($E$2:$E406)&lt;15,"",IF(AVERAGE($M$393:$M$406)=0,100,100-100/(1+AVERAGE($L$393:$L$406)/AVERAGE($M$393:$M$406))))</f>
        <v>0</v>
      </c>
      <c r="O406">
        <f>IF($E406="","",IF($E405="",$E406,$E406*0.1538461538+O405*0.8461538462))</f>
        <v>0</v>
      </c>
      <c r="P406">
        <f>IF($E406="","",IF($E405="",$E406,$E406*0.0740740741+P405*0.9259259259))</f>
        <v>0</v>
      </c>
      <c r="Q406">
        <f>IF(OR(O406="",P406=""),"",O406-P406)</f>
        <v>0</v>
      </c>
      <c r="R406">
        <f>IF(Q406="","",IF(R405="",Q406,Q406*0.2000000000+R405*0.8000000000))</f>
        <v>0</v>
      </c>
      <c r="S406">
        <f>IF(OR(Q406="",R406=""),"",Q406-R406)</f>
        <v>0</v>
      </c>
      <c r="T406">
        <f>IF(COUNT($E$2:$E406)&lt;14,"",MAX($C$393:$C$406))</f>
        <v>0</v>
      </c>
      <c r="U406">
        <f>IF(COUNT($E$2:$E406)&lt;14,"",MIN($D$393:$D$406))</f>
        <v>0</v>
      </c>
      <c r="V406">
        <f>IF(OR(T406="",U406="",T406=U406),"",100*($E406-U406)/(T406-U406))</f>
        <v>0</v>
      </c>
      <c r="W406">
        <f>IF(COUNT($V$404:$V$406)&lt;3,"",AVERAGE($V$404:$V$406))</f>
        <v>0</v>
      </c>
      <c r="X406">
        <f>IF(COUNT($N$393:$N$406)&lt;14,"",MIN($N$393:$N$406))</f>
        <v>0</v>
      </c>
      <c r="Y406">
        <f>IF(COUNT($N$393:$N$406)&lt;14,"",MAX($N$393:$N$406))</f>
        <v>0</v>
      </c>
      <c r="Z406">
        <f>IF(OR(N406="",X406="",Y406="",Y406=X406),"",100*(N406-X406)/(Y406-X406))</f>
        <v>0</v>
      </c>
      <c r="AA406">
        <f>IF(COUNT($Z$404:$Z$406)&lt;3,"",AVERAGE($Z$404:$Z$406))</f>
        <v>0</v>
      </c>
      <c r="AB406">
        <f>IF(COUNT($AA$404:$AA$406)&lt;3,"",AVERAGE($AA$404:$AA$406))</f>
        <v>0</v>
      </c>
      <c r="AC406">
        <f>IF($E406="","",MAX($C406-$D406,ABS($C406-$E405),ABS($D406-$E405)))</f>
        <v>0</v>
      </c>
      <c r="AD406">
        <f>IF(COUNT($E$2:$E406)&lt;15,"",AVERAGE($AC$393:$AC$406))</f>
        <v>0</v>
      </c>
      <c r="AE406">
        <f>IF(OR($E406="",$E405=""),"",IF(AND(($C406-$C405)&gt;($D405-$D406),($C406-$C405)&gt;0),$C406-$C405,0))</f>
        <v>0</v>
      </c>
      <c r="AF406">
        <f>IF(OR($E406="",$E405=""),"",IF(AND(($D405-$D406)&gt;($C406-$C405),($D405-$D406)&gt;0),$D405-$D406,0))</f>
        <v>0</v>
      </c>
      <c r="AG406">
        <f>IF(COUNT($E$2:$E406)&lt;15,"",IF(SUM($AC$393:$AC$406)=0,0,100*SUM($AE$393:$AE$406)/SUM($AC$393:$AC$406)))</f>
        <v>0</v>
      </c>
      <c r="AH406">
        <f>IF(COUNT($E$2:$E406)&lt;15,"",IF(SUM($AC$393:$AC$406)=0,0,100*SUM($AF$393:$AF$406)/SUM($AC$393:$AC$406)))</f>
        <v>0</v>
      </c>
      <c r="AI406">
        <f>IF(OR(AG406="",AH406=""),"",IF((AG406+AH406)=0,0,100*ABS(AG406-AH406)/(AG406+AH406)))</f>
        <v>0</v>
      </c>
      <c r="AJ406">
        <f>IF(COUNT($AI$393:$AI$406)&lt;14,"",AVERAGE($AI$393:$AI$406))</f>
        <v>0</v>
      </c>
      <c r="AK406">
        <f>IF(COUNT($E$2:$E406)&lt;20,"",AVERAGE($E$387:$E$406))</f>
        <v>0</v>
      </c>
      <c r="AL406">
        <f>IF(COUNT($E$2:$E406)&lt;20,"",STDEVP($E$387:$E$406))</f>
        <v>0</v>
      </c>
      <c r="AM406">
        <f>IF(AK406="","",AK406+2*AL406)</f>
        <v>0</v>
      </c>
      <c r="AN406">
        <f>IF(AK406="","",AK406-2*AL406)</f>
        <v>0</v>
      </c>
      <c r="AO406">
        <f>IF(OR(AM406="",AN406="",AM406=AN406),"",($E406-AN406)/(AM406-AN406))</f>
        <v>0</v>
      </c>
      <c r="AP406">
        <f>IF(OR(AM406="",AK406="",AK406=0),"",(AM406-AN406)/AK406)</f>
        <v>0</v>
      </c>
      <c r="AQ406">
        <f>IF(COUNT($E$2:$E406)&lt;20,"",MAX($C$387:$C$406))</f>
        <v>0</v>
      </c>
      <c r="AR406">
        <f>IF(COUNT($E$2:$E406)&lt;20,"",MIN($D$387:$D$406))</f>
        <v>0</v>
      </c>
      <c r="AS406">
        <f>IF(OR(AQ406="",AR406=""),"",(AQ406+AR406)/2)</f>
        <v>0</v>
      </c>
      <c r="AT406">
        <f>IF(COUNT($G$387:$G$406)&lt;20,"",STDEV($G$387:$G$406)*SQRT(52))</f>
        <v>0</v>
      </c>
      <c r="AU406">
        <f>IF(COUNT($E$2:$E406)&lt;9,"",(MAX($C$398:$C$406)+MIN($D$398:$D$406))/2)</f>
        <v>0</v>
      </c>
      <c r="AV406">
        <f>IF(COUNT($E$2:$E406)&lt;26,"",(MAX($C$381:$C$406)+MIN($D$381:$D$406))/2)</f>
        <v>0</v>
      </c>
      <c r="AW406">
        <f>IF(OR(AU406="",AV406=""),"",(AU406+AV406)/2)</f>
        <v>0</v>
      </c>
      <c r="AX406">
        <f>IF(COUNT($E$2:$E406)&lt;52,"",(MAX($C$355:$C$406)+MIN($D$355:$D$406))/2)</f>
        <v>0</v>
      </c>
      <c r="AY406">
        <f>IF(COUNT($E$2:$E406)&lt;20,"",MAX($C$307:$C$406))</f>
        <v>0</v>
      </c>
      <c r="AZ406">
        <f>IF(COUNT($E$2:$E406)&lt;20,"",MIN($D$307:$D$406))</f>
        <v>0</v>
      </c>
      <c r="BA406">
        <f>IF(COUNT($E$2:$E406)&lt;20,"",SLOPE($E$307:$E$406,$F$307:$F$406))</f>
        <v>0</v>
      </c>
      <c r="BB406">
        <f>IF(COUNT($E$2:$E406)&lt;20,"",INTERCEPT($E$307:$E$406,$F$307:$F$406))</f>
        <v>0</v>
      </c>
      <c r="BC406">
        <f>IF(OR(BA406="",BB406=""),"",BB406+BA406*F406)</f>
        <v>0</v>
      </c>
      <c r="BD406">
        <f>IF(COUNT($E$2:$E406)&lt;20,"",STEYX($E$307:$E$406,$F$307:$F$406))</f>
        <v>0</v>
      </c>
      <c r="BE406">
        <f>IF($E406="","",IF(AND(COUNT($E$407:$E$410)&gt;=4,$C406=MAX($C$402:$C$410)),$C406,""))</f>
        <v>0</v>
      </c>
      <c r="BF406">
        <f>IF($E406="","",IF(AND(COUNT($E$407:$E$410)&gt;=4,$D406=MIN($D$402:$D$410)),$D406,""))</f>
        <v>0</v>
      </c>
      <c r="BG406">
        <f>IFERROR(SMALL(Calc_Daily!$BM$2:$BM$2001,405),"")</f>
        <v>0</v>
      </c>
    </row>
    <row r="407" spans="1:59">
      <c r="A407" s="27">
        <f>IF($BG407="","",INDEX(Calc_Daily!$A$2:$A$2001,$BG407))</f>
        <v>0</v>
      </c>
      <c r="B407">
        <f>IF($BG407="","",INDEX(Calc_Daily!$BJ$2:$BJ$2001,$BG407))</f>
        <v>0</v>
      </c>
      <c r="C407">
        <f>IF($BG407="","",INDEX(Calc_Daily!$BK$2:$BK$2001,$BG407))</f>
        <v>0</v>
      </c>
      <c r="D407">
        <f>IF($BG407="","",INDEX(Calc_Daily!$BL$2:$BL$2001,$BG407))</f>
        <v>0</v>
      </c>
      <c r="E407">
        <f>IF($BG407="","",INDEX(Calc_Daily!$E$2:$E$2001,$BG407))</f>
        <v>0</v>
      </c>
      <c r="F407">
        <f>IF($E407="","",N(F406)+1)</f>
        <v>0</v>
      </c>
      <c r="G407">
        <f>IF(OR($E407="",$E406=""),"",LN($E407/$E406))</f>
        <v>0</v>
      </c>
      <c r="H407">
        <f>IF($E407="","",IF($E406="",$E407,$E407*0.0952380952+H406*0.9047619048))</f>
        <v>0</v>
      </c>
      <c r="I407">
        <f>IF($E407="","",IF($E406="",$E407,$E407*0.0392156863+I406*0.9607843137))</f>
        <v>0</v>
      </c>
      <c r="J407">
        <f>IF($E407="","",IF($E406="",$E407,$E407*0.0198019802+J406*0.9801980198))</f>
        <v>0</v>
      </c>
      <c r="K407">
        <f>IF($E407="","",IF($E406="",$E407,$E407*0.0099502488+K406*0.9900497512))</f>
        <v>0</v>
      </c>
      <c r="L407">
        <f>IF(OR($E407="",$E406=""),"",MAX($E407-$E406,0))</f>
        <v>0</v>
      </c>
      <c r="M407">
        <f>IF(OR($E407="",$E406=""),"",MAX($E406-$E407,0))</f>
        <v>0</v>
      </c>
      <c r="N407">
        <f>IF(COUNT($E$2:$E407)&lt;15,"",IF(AVERAGE($M$394:$M$407)=0,100,100-100/(1+AVERAGE($L$394:$L$407)/AVERAGE($M$394:$M$407))))</f>
        <v>0</v>
      </c>
      <c r="O407">
        <f>IF($E407="","",IF($E406="",$E407,$E407*0.1538461538+O406*0.8461538462))</f>
        <v>0</v>
      </c>
      <c r="P407">
        <f>IF($E407="","",IF($E406="",$E407,$E407*0.0740740741+P406*0.9259259259))</f>
        <v>0</v>
      </c>
      <c r="Q407">
        <f>IF(OR(O407="",P407=""),"",O407-P407)</f>
        <v>0</v>
      </c>
      <c r="R407">
        <f>IF(Q407="","",IF(R406="",Q407,Q407*0.2000000000+R406*0.8000000000))</f>
        <v>0</v>
      </c>
      <c r="S407">
        <f>IF(OR(Q407="",R407=""),"",Q407-R407)</f>
        <v>0</v>
      </c>
      <c r="T407">
        <f>IF(COUNT($E$2:$E407)&lt;14,"",MAX($C$394:$C$407))</f>
        <v>0</v>
      </c>
      <c r="U407">
        <f>IF(COUNT($E$2:$E407)&lt;14,"",MIN($D$394:$D$407))</f>
        <v>0</v>
      </c>
      <c r="V407">
        <f>IF(OR(T407="",U407="",T407=U407),"",100*($E407-U407)/(T407-U407))</f>
        <v>0</v>
      </c>
      <c r="W407">
        <f>IF(COUNT($V$405:$V$407)&lt;3,"",AVERAGE($V$405:$V$407))</f>
        <v>0</v>
      </c>
      <c r="X407">
        <f>IF(COUNT($N$394:$N$407)&lt;14,"",MIN($N$394:$N$407))</f>
        <v>0</v>
      </c>
      <c r="Y407">
        <f>IF(COUNT($N$394:$N$407)&lt;14,"",MAX($N$394:$N$407))</f>
        <v>0</v>
      </c>
      <c r="Z407">
        <f>IF(OR(N407="",X407="",Y407="",Y407=X407),"",100*(N407-X407)/(Y407-X407))</f>
        <v>0</v>
      </c>
      <c r="AA407">
        <f>IF(COUNT($Z$405:$Z$407)&lt;3,"",AVERAGE($Z$405:$Z$407))</f>
        <v>0</v>
      </c>
      <c r="AB407">
        <f>IF(COUNT($AA$405:$AA$407)&lt;3,"",AVERAGE($AA$405:$AA$407))</f>
        <v>0</v>
      </c>
      <c r="AC407">
        <f>IF($E407="","",MAX($C407-$D407,ABS($C407-$E406),ABS($D407-$E406)))</f>
        <v>0</v>
      </c>
      <c r="AD407">
        <f>IF(COUNT($E$2:$E407)&lt;15,"",AVERAGE($AC$394:$AC$407))</f>
        <v>0</v>
      </c>
      <c r="AE407">
        <f>IF(OR($E407="",$E406=""),"",IF(AND(($C407-$C406)&gt;($D406-$D407),($C407-$C406)&gt;0),$C407-$C406,0))</f>
        <v>0</v>
      </c>
      <c r="AF407">
        <f>IF(OR($E407="",$E406=""),"",IF(AND(($D406-$D407)&gt;($C407-$C406),($D406-$D407)&gt;0),$D406-$D407,0))</f>
        <v>0</v>
      </c>
      <c r="AG407">
        <f>IF(COUNT($E$2:$E407)&lt;15,"",IF(SUM($AC$394:$AC$407)=0,0,100*SUM($AE$394:$AE$407)/SUM($AC$394:$AC$407)))</f>
        <v>0</v>
      </c>
      <c r="AH407">
        <f>IF(COUNT($E$2:$E407)&lt;15,"",IF(SUM($AC$394:$AC$407)=0,0,100*SUM($AF$394:$AF$407)/SUM($AC$394:$AC$407)))</f>
        <v>0</v>
      </c>
      <c r="AI407">
        <f>IF(OR(AG407="",AH407=""),"",IF((AG407+AH407)=0,0,100*ABS(AG407-AH407)/(AG407+AH407)))</f>
        <v>0</v>
      </c>
      <c r="AJ407">
        <f>IF(COUNT($AI$394:$AI$407)&lt;14,"",AVERAGE($AI$394:$AI$407))</f>
        <v>0</v>
      </c>
      <c r="AK407">
        <f>IF(COUNT($E$2:$E407)&lt;20,"",AVERAGE($E$388:$E$407))</f>
        <v>0</v>
      </c>
      <c r="AL407">
        <f>IF(COUNT($E$2:$E407)&lt;20,"",STDEVP($E$388:$E$407))</f>
        <v>0</v>
      </c>
      <c r="AM407">
        <f>IF(AK407="","",AK407+2*AL407)</f>
        <v>0</v>
      </c>
      <c r="AN407">
        <f>IF(AK407="","",AK407-2*AL407)</f>
        <v>0</v>
      </c>
      <c r="AO407">
        <f>IF(OR(AM407="",AN407="",AM407=AN407),"",($E407-AN407)/(AM407-AN407))</f>
        <v>0</v>
      </c>
      <c r="AP407">
        <f>IF(OR(AM407="",AK407="",AK407=0),"",(AM407-AN407)/AK407)</f>
        <v>0</v>
      </c>
      <c r="AQ407">
        <f>IF(COUNT($E$2:$E407)&lt;20,"",MAX($C$388:$C$407))</f>
        <v>0</v>
      </c>
      <c r="AR407">
        <f>IF(COUNT($E$2:$E407)&lt;20,"",MIN($D$388:$D$407))</f>
        <v>0</v>
      </c>
      <c r="AS407">
        <f>IF(OR(AQ407="",AR407=""),"",(AQ407+AR407)/2)</f>
        <v>0</v>
      </c>
      <c r="AT407">
        <f>IF(COUNT($G$388:$G$407)&lt;20,"",STDEV($G$388:$G$407)*SQRT(52))</f>
        <v>0</v>
      </c>
      <c r="AU407">
        <f>IF(COUNT($E$2:$E407)&lt;9,"",(MAX($C$399:$C$407)+MIN($D$399:$D$407))/2)</f>
        <v>0</v>
      </c>
      <c r="AV407">
        <f>IF(COUNT($E$2:$E407)&lt;26,"",(MAX($C$382:$C$407)+MIN($D$382:$D$407))/2)</f>
        <v>0</v>
      </c>
      <c r="AW407">
        <f>IF(OR(AU407="",AV407=""),"",(AU407+AV407)/2)</f>
        <v>0</v>
      </c>
      <c r="AX407">
        <f>IF(COUNT($E$2:$E407)&lt;52,"",(MAX($C$356:$C$407)+MIN($D$356:$D$407))/2)</f>
        <v>0</v>
      </c>
      <c r="AY407">
        <f>IF(COUNT($E$2:$E407)&lt;20,"",MAX($C$308:$C$407))</f>
        <v>0</v>
      </c>
      <c r="AZ407">
        <f>IF(COUNT($E$2:$E407)&lt;20,"",MIN($D$308:$D$407))</f>
        <v>0</v>
      </c>
      <c r="BA407">
        <f>IF(COUNT($E$2:$E407)&lt;20,"",SLOPE($E$308:$E$407,$F$308:$F$407))</f>
        <v>0</v>
      </c>
      <c r="BB407">
        <f>IF(COUNT($E$2:$E407)&lt;20,"",INTERCEPT($E$308:$E$407,$F$308:$F$407))</f>
        <v>0</v>
      </c>
      <c r="BC407">
        <f>IF(OR(BA407="",BB407=""),"",BB407+BA407*F407)</f>
        <v>0</v>
      </c>
      <c r="BD407">
        <f>IF(COUNT($E$2:$E407)&lt;20,"",STEYX($E$308:$E$407,$F$308:$F$407))</f>
        <v>0</v>
      </c>
      <c r="BE407">
        <f>IF($E407="","",IF(AND(COUNT($E$408:$E$411)&gt;=4,$C407=MAX($C$403:$C$411)),$C407,""))</f>
        <v>0</v>
      </c>
      <c r="BF407">
        <f>IF($E407="","",IF(AND(COUNT($E$408:$E$411)&gt;=4,$D407=MIN($D$403:$D$411)),$D407,""))</f>
        <v>0</v>
      </c>
      <c r="BG407">
        <f>IFERROR(SMALL(Calc_Daily!$BM$2:$BM$2001,406),"")</f>
        <v>0</v>
      </c>
    </row>
    <row r="408" spans="1:59">
      <c r="A408" s="27">
        <f>IF($BG408="","",INDEX(Calc_Daily!$A$2:$A$2001,$BG408))</f>
        <v>0</v>
      </c>
      <c r="B408">
        <f>IF($BG408="","",INDEX(Calc_Daily!$BJ$2:$BJ$2001,$BG408))</f>
        <v>0</v>
      </c>
      <c r="C408">
        <f>IF($BG408="","",INDEX(Calc_Daily!$BK$2:$BK$2001,$BG408))</f>
        <v>0</v>
      </c>
      <c r="D408">
        <f>IF($BG408="","",INDEX(Calc_Daily!$BL$2:$BL$2001,$BG408))</f>
        <v>0</v>
      </c>
      <c r="E408">
        <f>IF($BG408="","",INDEX(Calc_Daily!$E$2:$E$2001,$BG408))</f>
        <v>0</v>
      </c>
      <c r="F408">
        <f>IF($E408="","",N(F407)+1)</f>
        <v>0</v>
      </c>
      <c r="G408">
        <f>IF(OR($E408="",$E407=""),"",LN($E408/$E407))</f>
        <v>0</v>
      </c>
      <c r="H408">
        <f>IF($E408="","",IF($E407="",$E408,$E408*0.0952380952+H407*0.9047619048))</f>
        <v>0</v>
      </c>
      <c r="I408">
        <f>IF($E408="","",IF($E407="",$E408,$E408*0.0392156863+I407*0.9607843137))</f>
        <v>0</v>
      </c>
      <c r="J408">
        <f>IF($E408="","",IF($E407="",$E408,$E408*0.0198019802+J407*0.9801980198))</f>
        <v>0</v>
      </c>
      <c r="K408">
        <f>IF($E408="","",IF($E407="",$E408,$E408*0.0099502488+K407*0.9900497512))</f>
        <v>0</v>
      </c>
      <c r="L408">
        <f>IF(OR($E408="",$E407=""),"",MAX($E408-$E407,0))</f>
        <v>0</v>
      </c>
      <c r="M408">
        <f>IF(OR($E408="",$E407=""),"",MAX($E407-$E408,0))</f>
        <v>0</v>
      </c>
      <c r="N408">
        <f>IF(COUNT($E$2:$E408)&lt;15,"",IF(AVERAGE($M$395:$M$408)=0,100,100-100/(1+AVERAGE($L$395:$L$408)/AVERAGE($M$395:$M$408))))</f>
        <v>0</v>
      </c>
      <c r="O408">
        <f>IF($E408="","",IF($E407="",$E408,$E408*0.1538461538+O407*0.8461538462))</f>
        <v>0</v>
      </c>
      <c r="P408">
        <f>IF($E408="","",IF($E407="",$E408,$E408*0.0740740741+P407*0.9259259259))</f>
        <v>0</v>
      </c>
      <c r="Q408">
        <f>IF(OR(O408="",P408=""),"",O408-P408)</f>
        <v>0</v>
      </c>
      <c r="R408">
        <f>IF(Q408="","",IF(R407="",Q408,Q408*0.2000000000+R407*0.8000000000))</f>
        <v>0</v>
      </c>
      <c r="S408">
        <f>IF(OR(Q408="",R408=""),"",Q408-R408)</f>
        <v>0</v>
      </c>
      <c r="T408">
        <f>IF(COUNT($E$2:$E408)&lt;14,"",MAX($C$395:$C$408))</f>
        <v>0</v>
      </c>
      <c r="U408">
        <f>IF(COUNT($E$2:$E408)&lt;14,"",MIN($D$395:$D$408))</f>
        <v>0</v>
      </c>
      <c r="V408">
        <f>IF(OR(T408="",U408="",T408=U408),"",100*($E408-U408)/(T408-U408))</f>
        <v>0</v>
      </c>
      <c r="W408">
        <f>IF(COUNT($V$406:$V$408)&lt;3,"",AVERAGE($V$406:$V$408))</f>
        <v>0</v>
      </c>
      <c r="X408">
        <f>IF(COUNT($N$395:$N$408)&lt;14,"",MIN($N$395:$N$408))</f>
        <v>0</v>
      </c>
      <c r="Y408">
        <f>IF(COUNT($N$395:$N$408)&lt;14,"",MAX($N$395:$N$408))</f>
        <v>0</v>
      </c>
      <c r="Z408">
        <f>IF(OR(N408="",X408="",Y408="",Y408=X408),"",100*(N408-X408)/(Y408-X408))</f>
        <v>0</v>
      </c>
      <c r="AA408">
        <f>IF(COUNT($Z$406:$Z$408)&lt;3,"",AVERAGE($Z$406:$Z$408))</f>
        <v>0</v>
      </c>
      <c r="AB408">
        <f>IF(COUNT($AA$406:$AA$408)&lt;3,"",AVERAGE($AA$406:$AA$408))</f>
        <v>0</v>
      </c>
      <c r="AC408">
        <f>IF($E408="","",MAX($C408-$D408,ABS($C408-$E407),ABS($D408-$E407)))</f>
        <v>0</v>
      </c>
      <c r="AD408">
        <f>IF(COUNT($E$2:$E408)&lt;15,"",AVERAGE($AC$395:$AC$408))</f>
        <v>0</v>
      </c>
      <c r="AE408">
        <f>IF(OR($E408="",$E407=""),"",IF(AND(($C408-$C407)&gt;($D407-$D408),($C408-$C407)&gt;0),$C408-$C407,0))</f>
        <v>0</v>
      </c>
      <c r="AF408">
        <f>IF(OR($E408="",$E407=""),"",IF(AND(($D407-$D408)&gt;($C408-$C407),($D407-$D408)&gt;0),$D407-$D408,0))</f>
        <v>0</v>
      </c>
      <c r="AG408">
        <f>IF(COUNT($E$2:$E408)&lt;15,"",IF(SUM($AC$395:$AC$408)=0,0,100*SUM($AE$395:$AE$408)/SUM($AC$395:$AC$408)))</f>
        <v>0</v>
      </c>
      <c r="AH408">
        <f>IF(COUNT($E$2:$E408)&lt;15,"",IF(SUM($AC$395:$AC$408)=0,0,100*SUM($AF$395:$AF$408)/SUM($AC$395:$AC$408)))</f>
        <v>0</v>
      </c>
      <c r="AI408">
        <f>IF(OR(AG408="",AH408=""),"",IF((AG408+AH408)=0,0,100*ABS(AG408-AH408)/(AG408+AH408)))</f>
        <v>0</v>
      </c>
      <c r="AJ408">
        <f>IF(COUNT($AI$395:$AI$408)&lt;14,"",AVERAGE($AI$395:$AI$408))</f>
        <v>0</v>
      </c>
      <c r="AK408">
        <f>IF(COUNT($E$2:$E408)&lt;20,"",AVERAGE($E$389:$E$408))</f>
        <v>0</v>
      </c>
      <c r="AL408">
        <f>IF(COUNT($E$2:$E408)&lt;20,"",STDEVP($E$389:$E$408))</f>
        <v>0</v>
      </c>
      <c r="AM408">
        <f>IF(AK408="","",AK408+2*AL408)</f>
        <v>0</v>
      </c>
      <c r="AN408">
        <f>IF(AK408="","",AK408-2*AL408)</f>
        <v>0</v>
      </c>
      <c r="AO408">
        <f>IF(OR(AM408="",AN408="",AM408=AN408),"",($E408-AN408)/(AM408-AN408))</f>
        <v>0</v>
      </c>
      <c r="AP408">
        <f>IF(OR(AM408="",AK408="",AK408=0),"",(AM408-AN408)/AK408)</f>
        <v>0</v>
      </c>
      <c r="AQ408">
        <f>IF(COUNT($E$2:$E408)&lt;20,"",MAX($C$389:$C$408))</f>
        <v>0</v>
      </c>
      <c r="AR408">
        <f>IF(COUNT($E$2:$E408)&lt;20,"",MIN($D$389:$D$408))</f>
        <v>0</v>
      </c>
      <c r="AS408">
        <f>IF(OR(AQ408="",AR408=""),"",(AQ408+AR408)/2)</f>
        <v>0</v>
      </c>
      <c r="AT408">
        <f>IF(COUNT($G$389:$G$408)&lt;20,"",STDEV($G$389:$G$408)*SQRT(52))</f>
        <v>0</v>
      </c>
      <c r="AU408">
        <f>IF(COUNT($E$2:$E408)&lt;9,"",(MAX($C$400:$C$408)+MIN($D$400:$D$408))/2)</f>
        <v>0</v>
      </c>
      <c r="AV408">
        <f>IF(COUNT($E$2:$E408)&lt;26,"",(MAX($C$383:$C$408)+MIN($D$383:$D$408))/2)</f>
        <v>0</v>
      </c>
      <c r="AW408">
        <f>IF(OR(AU408="",AV408=""),"",(AU408+AV408)/2)</f>
        <v>0</v>
      </c>
      <c r="AX408">
        <f>IF(COUNT($E$2:$E408)&lt;52,"",(MAX($C$357:$C$408)+MIN($D$357:$D$408))/2)</f>
        <v>0</v>
      </c>
      <c r="AY408">
        <f>IF(COUNT($E$2:$E408)&lt;20,"",MAX($C$309:$C$408))</f>
        <v>0</v>
      </c>
      <c r="AZ408">
        <f>IF(COUNT($E$2:$E408)&lt;20,"",MIN($D$309:$D$408))</f>
        <v>0</v>
      </c>
      <c r="BA408">
        <f>IF(COUNT($E$2:$E408)&lt;20,"",SLOPE($E$309:$E$408,$F$309:$F$408))</f>
        <v>0</v>
      </c>
      <c r="BB408">
        <f>IF(COUNT($E$2:$E408)&lt;20,"",INTERCEPT($E$309:$E$408,$F$309:$F$408))</f>
        <v>0</v>
      </c>
      <c r="BC408">
        <f>IF(OR(BA408="",BB408=""),"",BB408+BA408*F408)</f>
        <v>0</v>
      </c>
      <c r="BD408">
        <f>IF(COUNT($E$2:$E408)&lt;20,"",STEYX($E$309:$E$408,$F$309:$F$408))</f>
        <v>0</v>
      </c>
      <c r="BE408">
        <f>IF($E408="","",IF(AND(COUNT($E$409:$E$412)&gt;=4,$C408=MAX($C$404:$C$412)),$C408,""))</f>
        <v>0</v>
      </c>
      <c r="BF408">
        <f>IF($E408="","",IF(AND(COUNT($E$409:$E$412)&gt;=4,$D408=MIN($D$404:$D$412)),$D408,""))</f>
        <v>0</v>
      </c>
      <c r="BG408">
        <f>IFERROR(SMALL(Calc_Daily!$BM$2:$BM$2001,407),"")</f>
        <v>0</v>
      </c>
    </row>
    <row r="409" spans="1:59">
      <c r="A409" s="27">
        <f>IF($BG409="","",INDEX(Calc_Daily!$A$2:$A$2001,$BG409))</f>
        <v>0</v>
      </c>
      <c r="B409">
        <f>IF($BG409="","",INDEX(Calc_Daily!$BJ$2:$BJ$2001,$BG409))</f>
        <v>0</v>
      </c>
      <c r="C409">
        <f>IF($BG409="","",INDEX(Calc_Daily!$BK$2:$BK$2001,$BG409))</f>
        <v>0</v>
      </c>
      <c r="D409">
        <f>IF($BG409="","",INDEX(Calc_Daily!$BL$2:$BL$2001,$BG409))</f>
        <v>0</v>
      </c>
      <c r="E409">
        <f>IF($BG409="","",INDEX(Calc_Daily!$E$2:$E$2001,$BG409))</f>
        <v>0</v>
      </c>
      <c r="F409">
        <f>IF($E409="","",N(F408)+1)</f>
        <v>0</v>
      </c>
      <c r="G409">
        <f>IF(OR($E409="",$E408=""),"",LN($E409/$E408))</f>
        <v>0</v>
      </c>
      <c r="H409">
        <f>IF($E409="","",IF($E408="",$E409,$E409*0.0952380952+H408*0.9047619048))</f>
        <v>0</v>
      </c>
      <c r="I409">
        <f>IF($E409="","",IF($E408="",$E409,$E409*0.0392156863+I408*0.9607843137))</f>
        <v>0</v>
      </c>
      <c r="J409">
        <f>IF($E409="","",IF($E408="",$E409,$E409*0.0198019802+J408*0.9801980198))</f>
        <v>0</v>
      </c>
      <c r="K409">
        <f>IF($E409="","",IF($E408="",$E409,$E409*0.0099502488+K408*0.9900497512))</f>
        <v>0</v>
      </c>
      <c r="L409">
        <f>IF(OR($E409="",$E408=""),"",MAX($E409-$E408,0))</f>
        <v>0</v>
      </c>
      <c r="M409">
        <f>IF(OR($E409="",$E408=""),"",MAX($E408-$E409,0))</f>
        <v>0</v>
      </c>
      <c r="N409">
        <f>IF(COUNT($E$2:$E409)&lt;15,"",IF(AVERAGE($M$396:$M$409)=0,100,100-100/(1+AVERAGE($L$396:$L$409)/AVERAGE($M$396:$M$409))))</f>
        <v>0</v>
      </c>
      <c r="O409">
        <f>IF($E409="","",IF($E408="",$E409,$E409*0.1538461538+O408*0.8461538462))</f>
        <v>0</v>
      </c>
      <c r="P409">
        <f>IF($E409="","",IF($E408="",$E409,$E409*0.0740740741+P408*0.9259259259))</f>
        <v>0</v>
      </c>
      <c r="Q409">
        <f>IF(OR(O409="",P409=""),"",O409-P409)</f>
        <v>0</v>
      </c>
      <c r="R409">
        <f>IF(Q409="","",IF(R408="",Q409,Q409*0.2000000000+R408*0.8000000000))</f>
        <v>0</v>
      </c>
      <c r="S409">
        <f>IF(OR(Q409="",R409=""),"",Q409-R409)</f>
        <v>0</v>
      </c>
      <c r="T409">
        <f>IF(COUNT($E$2:$E409)&lt;14,"",MAX($C$396:$C$409))</f>
        <v>0</v>
      </c>
      <c r="U409">
        <f>IF(COUNT($E$2:$E409)&lt;14,"",MIN($D$396:$D$409))</f>
        <v>0</v>
      </c>
      <c r="V409">
        <f>IF(OR(T409="",U409="",T409=U409),"",100*($E409-U409)/(T409-U409))</f>
        <v>0</v>
      </c>
      <c r="W409">
        <f>IF(COUNT($V$407:$V$409)&lt;3,"",AVERAGE($V$407:$V$409))</f>
        <v>0</v>
      </c>
      <c r="X409">
        <f>IF(COUNT($N$396:$N$409)&lt;14,"",MIN($N$396:$N$409))</f>
        <v>0</v>
      </c>
      <c r="Y409">
        <f>IF(COUNT($N$396:$N$409)&lt;14,"",MAX($N$396:$N$409))</f>
        <v>0</v>
      </c>
      <c r="Z409">
        <f>IF(OR(N409="",X409="",Y409="",Y409=X409),"",100*(N409-X409)/(Y409-X409))</f>
        <v>0</v>
      </c>
      <c r="AA409">
        <f>IF(COUNT($Z$407:$Z$409)&lt;3,"",AVERAGE($Z$407:$Z$409))</f>
        <v>0</v>
      </c>
      <c r="AB409">
        <f>IF(COUNT($AA$407:$AA$409)&lt;3,"",AVERAGE($AA$407:$AA$409))</f>
        <v>0</v>
      </c>
      <c r="AC409">
        <f>IF($E409="","",MAX($C409-$D409,ABS($C409-$E408),ABS($D409-$E408)))</f>
        <v>0</v>
      </c>
      <c r="AD409">
        <f>IF(COUNT($E$2:$E409)&lt;15,"",AVERAGE($AC$396:$AC$409))</f>
        <v>0</v>
      </c>
      <c r="AE409">
        <f>IF(OR($E409="",$E408=""),"",IF(AND(($C409-$C408)&gt;($D408-$D409),($C409-$C408)&gt;0),$C409-$C408,0))</f>
        <v>0</v>
      </c>
      <c r="AF409">
        <f>IF(OR($E409="",$E408=""),"",IF(AND(($D408-$D409)&gt;($C409-$C408),($D408-$D409)&gt;0),$D408-$D409,0))</f>
        <v>0</v>
      </c>
      <c r="AG409">
        <f>IF(COUNT($E$2:$E409)&lt;15,"",IF(SUM($AC$396:$AC$409)=0,0,100*SUM($AE$396:$AE$409)/SUM($AC$396:$AC$409)))</f>
        <v>0</v>
      </c>
      <c r="AH409">
        <f>IF(COUNT($E$2:$E409)&lt;15,"",IF(SUM($AC$396:$AC$409)=0,0,100*SUM($AF$396:$AF$409)/SUM($AC$396:$AC$409)))</f>
        <v>0</v>
      </c>
      <c r="AI409">
        <f>IF(OR(AG409="",AH409=""),"",IF((AG409+AH409)=0,0,100*ABS(AG409-AH409)/(AG409+AH409)))</f>
        <v>0</v>
      </c>
      <c r="AJ409">
        <f>IF(COUNT($AI$396:$AI$409)&lt;14,"",AVERAGE($AI$396:$AI$409))</f>
        <v>0</v>
      </c>
      <c r="AK409">
        <f>IF(COUNT($E$2:$E409)&lt;20,"",AVERAGE($E$390:$E$409))</f>
        <v>0</v>
      </c>
      <c r="AL409">
        <f>IF(COUNT($E$2:$E409)&lt;20,"",STDEVP($E$390:$E$409))</f>
        <v>0</v>
      </c>
      <c r="AM409">
        <f>IF(AK409="","",AK409+2*AL409)</f>
        <v>0</v>
      </c>
      <c r="AN409">
        <f>IF(AK409="","",AK409-2*AL409)</f>
        <v>0</v>
      </c>
      <c r="AO409">
        <f>IF(OR(AM409="",AN409="",AM409=AN409),"",($E409-AN409)/(AM409-AN409))</f>
        <v>0</v>
      </c>
      <c r="AP409">
        <f>IF(OR(AM409="",AK409="",AK409=0),"",(AM409-AN409)/AK409)</f>
        <v>0</v>
      </c>
      <c r="AQ409">
        <f>IF(COUNT($E$2:$E409)&lt;20,"",MAX($C$390:$C$409))</f>
        <v>0</v>
      </c>
      <c r="AR409">
        <f>IF(COUNT($E$2:$E409)&lt;20,"",MIN($D$390:$D$409))</f>
        <v>0</v>
      </c>
      <c r="AS409">
        <f>IF(OR(AQ409="",AR409=""),"",(AQ409+AR409)/2)</f>
        <v>0</v>
      </c>
      <c r="AT409">
        <f>IF(COUNT($G$390:$G$409)&lt;20,"",STDEV($G$390:$G$409)*SQRT(52))</f>
        <v>0</v>
      </c>
      <c r="AU409">
        <f>IF(COUNT($E$2:$E409)&lt;9,"",(MAX($C$401:$C$409)+MIN($D$401:$D$409))/2)</f>
        <v>0</v>
      </c>
      <c r="AV409">
        <f>IF(COUNT($E$2:$E409)&lt;26,"",(MAX($C$384:$C$409)+MIN($D$384:$D$409))/2)</f>
        <v>0</v>
      </c>
      <c r="AW409">
        <f>IF(OR(AU409="",AV409=""),"",(AU409+AV409)/2)</f>
        <v>0</v>
      </c>
      <c r="AX409">
        <f>IF(COUNT($E$2:$E409)&lt;52,"",(MAX($C$358:$C$409)+MIN($D$358:$D$409))/2)</f>
        <v>0</v>
      </c>
      <c r="AY409">
        <f>IF(COUNT($E$2:$E409)&lt;20,"",MAX($C$310:$C$409))</f>
        <v>0</v>
      </c>
      <c r="AZ409">
        <f>IF(COUNT($E$2:$E409)&lt;20,"",MIN($D$310:$D$409))</f>
        <v>0</v>
      </c>
      <c r="BA409">
        <f>IF(COUNT($E$2:$E409)&lt;20,"",SLOPE($E$310:$E$409,$F$310:$F$409))</f>
        <v>0</v>
      </c>
      <c r="BB409">
        <f>IF(COUNT($E$2:$E409)&lt;20,"",INTERCEPT($E$310:$E$409,$F$310:$F$409))</f>
        <v>0</v>
      </c>
      <c r="BC409">
        <f>IF(OR(BA409="",BB409=""),"",BB409+BA409*F409)</f>
        <v>0</v>
      </c>
      <c r="BD409">
        <f>IF(COUNT($E$2:$E409)&lt;20,"",STEYX($E$310:$E$409,$F$310:$F$409))</f>
        <v>0</v>
      </c>
      <c r="BE409">
        <f>IF($E409="","",IF(AND(COUNT($E$410:$E$413)&gt;=4,$C409=MAX($C$405:$C$413)),$C409,""))</f>
        <v>0</v>
      </c>
      <c r="BF409">
        <f>IF($E409="","",IF(AND(COUNT($E$410:$E$413)&gt;=4,$D409=MIN($D$405:$D$413)),$D409,""))</f>
        <v>0</v>
      </c>
      <c r="BG409">
        <f>IFERROR(SMALL(Calc_Daily!$BM$2:$BM$2001,408),"")</f>
        <v>0</v>
      </c>
    </row>
    <row r="410" spans="1:59">
      <c r="A410" s="27">
        <f>IF($BG410="","",INDEX(Calc_Daily!$A$2:$A$2001,$BG410))</f>
        <v>0</v>
      </c>
      <c r="B410">
        <f>IF($BG410="","",INDEX(Calc_Daily!$BJ$2:$BJ$2001,$BG410))</f>
        <v>0</v>
      </c>
      <c r="C410">
        <f>IF($BG410="","",INDEX(Calc_Daily!$BK$2:$BK$2001,$BG410))</f>
        <v>0</v>
      </c>
      <c r="D410">
        <f>IF($BG410="","",INDEX(Calc_Daily!$BL$2:$BL$2001,$BG410))</f>
        <v>0</v>
      </c>
      <c r="E410">
        <f>IF($BG410="","",INDEX(Calc_Daily!$E$2:$E$2001,$BG410))</f>
        <v>0</v>
      </c>
      <c r="F410">
        <f>IF($E410="","",N(F409)+1)</f>
        <v>0</v>
      </c>
      <c r="G410">
        <f>IF(OR($E410="",$E409=""),"",LN($E410/$E409))</f>
        <v>0</v>
      </c>
      <c r="H410">
        <f>IF($E410="","",IF($E409="",$E410,$E410*0.0952380952+H409*0.9047619048))</f>
        <v>0</v>
      </c>
      <c r="I410">
        <f>IF($E410="","",IF($E409="",$E410,$E410*0.0392156863+I409*0.9607843137))</f>
        <v>0</v>
      </c>
      <c r="J410">
        <f>IF($E410="","",IF($E409="",$E410,$E410*0.0198019802+J409*0.9801980198))</f>
        <v>0</v>
      </c>
      <c r="K410">
        <f>IF($E410="","",IF($E409="",$E410,$E410*0.0099502488+K409*0.9900497512))</f>
        <v>0</v>
      </c>
      <c r="L410">
        <f>IF(OR($E410="",$E409=""),"",MAX($E410-$E409,0))</f>
        <v>0</v>
      </c>
      <c r="M410">
        <f>IF(OR($E410="",$E409=""),"",MAX($E409-$E410,0))</f>
        <v>0</v>
      </c>
      <c r="N410">
        <f>IF(COUNT($E$2:$E410)&lt;15,"",IF(AVERAGE($M$397:$M$410)=0,100,100-100/(1+AVERAGE($L$397:$L$410)/AVERAGE($M$397:$M$410))))</f>
        <v>0</v>
      </c>
      <c r="O410">
        <f>IF($E410="","",IF($E409="",$E410,$E410*0.1538461538+O409*0.8461538462))</f>
        <v>0</v>
      </c>
      <c r="P410">
        <f>IF($E410="","",IF($E409="",$E410,$E410*0.0740740741+P409*0.9259259259))</f>
        <v>0</v>
      </c>
      <c r="Q410">
        <f>IF(OR(O410="",P410=""),"",O410-P410)</f>
        <v>0</v>
      </c>
      <c r="R410">
        <f>IF(Q410="","",IF(R409="",Q410,Q410*0.2000000000+R409*0.8000000000))</f>
        <v>0</v>
      </c>
      <c r="S410">
        <f>IF(OR(Q410="",R410=""),"",Q410-R410)</f>
        <v>0</v>
      </c>
      <c r="T410">
        <f>IF(COUNT($E$2:$E410)&lt;14,"",MAX($C$397:$C$410))</f>
        <v>0</v>
      </c>
      <c r="U410">
        <f>IF(COUNT($E$2:$E410)&lt;14,"",MIN($D$397:$D$410))</f>
        <v>0</v>
      </c>
      <c r="V410">
        <f>IF(OR(T410="",U410="",T410=U410),"",100*($E410-U410)/(T410-U410))</f>
        <v>0</v>
      </c>
      <c r="W410">
        <f>IF(COUNT($V$408:$V$410)&lt;3,"",AVERAGE($V$408:$V$410))</f>
        <v>0</v>
      </c>
      <c r="X410">
        <f>IF(COUNT($N$397:$N$410)&lt;14,"",MIN($N$397:$N$410))</f>
        <v>0</v>
      </c>
      <c r="Y410">
        <f>IF(COUNT($N$397:$N$410)&lt;14,"",MAX($N$397:$N$410))</f>
        <v>0</v>
      </c>
      <c r="Z410">
        <f>IF(OR(N410="",X410="",Y410="",Y410=X410),"",100*(N410-X410)/(Y410-X410))</f>
        <v>0</v>
      </c>
      <c r="AA410">
        <f>IF(COUNT($Z$408:$Z$410)&lt;3,"",AVERAGE($Z$408:$Z$410))</f>
        <v>0</v>
      </c>
      <c r="AB410">
        <f>IF(COUNT($AA$408:$AA$410)&lt;3,"",AVERAGE($AA$408:$AA$410))</f>
        <v>0</v>
      </c>
      <c r="AC410">
        <f>IF($E410="","",MAX($C410-$D410,ABS($C410-$E409),ABS($D410-$E409)))</f>
        <v>0</v>
      </c>
      <c r="AD410">
        <f>IF(COUNT($E$2:$E410)&lt;15,"",AVERAGE($AC$397:$AC$410))</f>
        <v>0</v>
      </c>
      <c r="AE410">
        <f>IF(OR($E410="",$E409=""),"",IF(AND(($C410-$C409)&gt;($D409-$D410),($C410-$C409)&gt;0),$C410-$C409,0))</f>
        <v>0</v>
      </c>
      <c r="AF410">
        <f>IF(OR($E410="",$E409=""),"",IF(AND(($D409-$D410)&gt;($C410-$C409),($D409-$D410)&gt;0),$D409-$D410,0))</f>
        <v>0</v>
      </c>
      <c r="AG410">
        <f>IF(COUNT($E$2:$E410)&lt;15,"",IF(SUM($AC$397:$AC$410)=0,0,100*SUM($AE$397:$AE$410)/SUM($AC$397:$AC$410)))</f>
        <v>0</v>
      </c>
      <c r="AH410">
        <f>IF(COUNT($E$2:$E410)&lt;15,"",IF(SUM($AC$397:$AC$410)=0,0,100*SUM($AF$397:$AF$410)/SUM($AC$397:$AC$410)))</f>
        <v>0</v>
      </c>
      <c r="AI410">
        <f>IF(OR(AG410="",AH410=""),"",IF((AG410+AH410)=0,0,100*ABS(AG410-AH410)/(AG410+AH410)))</f>
        <v>0</v>
      </c>
      <c r="AJ410">
        <f>IF(COUNT($AI$397:$AI$410)&lt;14,"",AVERAGE($AI$397:$AI$410))</f>
        <v>0</v>
      </c>
      <c r="AK410">
        <f>IF(COUNT($E$2:$E410)&lt;20,"",AVERAGE($E$391:$E$410))</f>
        <v>0</v>
      </c>
      <c r="AL410">
        <f>IF(COUNT($E$2:$E410)&lt;20,"",STDEVP($E$391:$E$410))</f>
        <v>0</v>
      </c>
      <c r="AM410">
        <f>IF(AK410="","",AK410+2*AL410)</f>
        <v>0</v>
      </c>
      <c r="AN410">
        <f>IF(AK410="","",AK410-2*AL410)</f>
        <v>0</v>
      </c>
      <c r="AO410">
        <f>IF(OR(AM410="",AN410="",AM410=AN410),"",($E410-AN410)/(AM410-AN410))</f>
        <v>0</v>
      </c>
      <c r="AP410">
        <f>IF(OR(AM410="",AK410="",AK410=0),"",(AM410-AN410)/AK410)</f>
        <v>0</v>
      </c>
      <c r="AQ410">
        <f>IF(COUNT($E$2:$E410)&lt;20,"",MAX($C$391:$C$410))</f>
        <v>0</v>
      </c>
      <c r="AR410">
        <f>IF(COUNT($E$2:$E410)&lt;20,"",MIN($D$391:$D$410))</f>
        <v>0</v>
      </c>
      <c r="AS410">
        <f>IF(OR(AQ410="",AR410=""),"",(AQ410+AR410)/2)</f>
        <v>0</v>
      </c>
      <c r="AT410">
        <f>IF(COUNT($G$391:$G$410)&lt;20,"",STDEV($G$391:$G$410)*SQRT(52))</f>
        <v>0</v>
      </c>
      <c r="AU410">
        <f>IF(COUNT($E$2:$E410)&lt;9,"",(MAX($C$402:$C$410)+MIN($D$402:$D$410))/2)</f>
        <v>0</v>
      </c>
      <c r="AV410">
        <f>IF(COUNT($E$2:$E410)&lt;26,"",(MAX($C$385:$C$410)+MIN($D$385:$D$410))/2)</f>
        <v>0</v>
      </c>
      <c r="AW410">
        <f>IF(OR(AU410="",AV410=""),"",(AU410+AV410)/2)</f>
        <v>0</v>
      </c>
      <c r="AX410">
        <f>IF(COUNT($E$2:$E410)&lt;52,"",(MAX($C$359:$C$410)+MIN($D$359:$D$410))/2)</f>
        <v>0</v>
      </c>
      <c r="AY410">
        <f>IF(COUNT($E$2:$E410)&lt;20,"",MAX($C$311:$C$410))</f>
        <v>0</v>
      </c>
      <c r="AZ410">
        <f>IF(COUNT($E$2:$E410)&lt;20,"",MIN($D$311:$D$410))</f>
        <v>0</v>
      </c>
      <c r="BA410">
        <f>IF(COUNT($E$2:$E410)&lt;20,"",SLOPE($E$311:$E$410,$F$311:$F$410))</f>
        <v>0</v>
      </c>
      <c r="BB410">
        <f>IF(COUNT($E$2:$E410)&lt;20,"",INTERCEPT($E$311:$E$410,$F$311:$F$410))</f>
        <v>0</v>
      </c>
      <c r="BC410">
        <f>IF(OR(BA410="",BB410=""),"",BB410+BA410*F410)</f>
        <v>0</v>
      </c>
      <c r="BD410">
        <f>IF(COUNT($E$2:$E410)&lt;20,"",STEYX($E$311:$E$410,$F$311:$F$410))</f>
        <v>0</v>
      </c>
      <c r="BE410">
        <f>IF($E410="","",IF(AND(COUNT($E$411:$E$414)&gt;=4,$C410=MAX($C$406:$C$414)),$C410,""))</f>
        <v>0</v>
      </c>
      <c r="BF410">
        <f>IF($E410="","",IF(AND(COUNT($E$411:$E$414)&gt;=4,$D410=MIN($D$406:$D$414)),$D410,""))</f>
        <v>0</v>
      </c>
      <c r="BG410">
        <f>IFERROR(SMALL(Calc_Daily!$BM$2:$BM$2001,409),"")</f>
        <v>0</v>
      </c>
    </row>
    <row r="411" spans="1:59">
      <c r="A411" s="27">
        <f>IF($BG411="","",INDEX(Calc_Daily!$A$2:$A$2001,$BG411))</f>
        <v>0</v>
      </c>
      <c r="B411">
        <f>IF($BG411="","",INDEX(Calc_Daily!$BJ$2:$BJ$2001,$BG411))</f>
        <v>0</v>
      </c>
      <c r="C411">
        <f>IF($BG411="","",INDEX(Calc_Daily!$BK$2:$BK$2001,$BG411))</f>
        <v>0</v>
      </c>
      <c r="D411">
        <f>IF($BG411="","",INDEX(Calc_Daily!$BL$2:$BL$2001,$BG411))</f>
        <v>0</v>
      </c>
      <c r="E411">
        <f>IF($BG411="","",INDEX(Calc_Daily!$E$2:$E$2001,$BG411))</f>
        <v>0</v>
      </c>
      <c r="F411">
        <f>IF($E411="","",N(F410)+1)</f>
        <v>0</v>
      </c>
      <c r="G411">
        <f>IF(OR($E411="",$E410=""),"",LN($E411/$E410))</f>
        <v>0</v>
      </c>
      <c r="H411">
        <f>IF($E411="","",IF($E410="",$E411,$E411*0.0952380952+H410*0.9047619048))</f>
        <v>0</v>
      </c>
      <c r="I411">
        <f>IF($E411="","",IF($E410="",$E411,$E411*0.0392156863+I410*0.9607843137))</f>
        <v>0</v>
      </c>
      <c r="J411">
        <f>IF($E411="","",IF($E410="",$E411,$E411*0.0198019802+J410*0.9801980198))</f>
        <v>0</v>
      </c>
      <c r="K411">
        <f>IF($E411="","",IF($E410="",$E411,$E411*0.0099502488+K410*0.9900497512))</f>
        <v>0</v>
      </c>
      <c r="L411">
        <f>IF(OR($E411="",$E410=""),"",MAX($E411-$E410,0))</f>
        <v>0</v>
      </c>
      <c r="M411">
        <f>IF(OR($E411="",$E410=""),"",MAX($E410-$E411,0))</f>
        <v>0</v>
      </c>
      <c r="N411">
        <f>IF(COUNT($E$2:$E411)&lt;15,"",IF(AVERAGE($M$398:$M$411)=0,100,100-100/(1+AVERAGE($L$398:$L$411)/AVERAGE($M$398:$M$411))))</f>
        <v>0</v>
      </c>
      <c r="O411">
        <f>IF($E411="","",IF($E410="",$E411,$E411*0.1538461538+O410*0.8461538462))</f>
        <v>0</v>
      </c>
      <c r="P411">
        <f>IF($E411="","",IF($E410="",$E411,$E411*0.0740740741+P410*0.9259259259))</f>
        <v>0</v>
      </c>
      <c r="Q411">
        <f>IF(OR(O411="",P411=""),"",O411-P411)</f>
        <v>0</v>
      </c>
      <c r="R411">
        <f>IF(Q411="","",IF(R410="",Q411,Q411*0.2000000000+R410*0.8000000000))</f>
        <v>0</v>
      </c>
      <c r="S411">
        <f>IF(OR(Q411="",R411=""),"",Q411-R411)</f>
        <v>0</v>
      </c>
      <c r="T411">
        <f>IF(COUNT($E$2:$E411)&lt;14,"",MAX($C$398:$C$411))</f>
        <v>0</v>
      </c>
      <c r="U411">
        <f>IF(COUNT($E$2:$E411)&lt;14,"",MIN($D$398:$D$411))</f>
        <v>0</v>
      </c>
      <c r="V411">
        <f>IF(OR(T411="",U411="",T411=U411),"",100*($E411-U411)/(T411-U411))</f>
        <v>0</v>
      </c>
      <c r="W411">
        <f>IF(COUNT($V$409:$V$411)&lt;3,"",AVERAGE($V$409:$V$411))</f>
        <v>0</v>
      </c>
      <c r="X411">
        <f>IF(COUNT($N$398:$N$411)&lt;14,"",MIN($N$398:$N$411))</f>
        <v>0</v>
      </c>
      <c r="Y411">
        <f>IF(COUNT($N$398:$N$411)&lt;14,"",MAX($N$398:$N$411))</f>
        <v>0</v>
      </c>
      <c r="Z411">
        <f>IF(OR(N411="",X411="",Y411="",Y411=X411),"",100*(N411-X411)/(Y411-X411))</f>
        <v>0</v>
      </c>
      <c r="AA411">
        <f>IF(COUNT($Z$409:$Z$411)&lt;3,"",AVERAGE($Z$409:$Z$411))</f>
        <v>0</v>
      </c>
      <c r="AB411">
        <f>IF(COUNT($AA$409:$AA$411)&lt;3,"",AVERAGE($AA$409:$AA$411))</f>
        <v>0</v>
      </c>
      <c r="AC411">
        <f>IF($E411="","",MAX($C411-$D411,ABS($C411-$E410),ABS($D411-$E410)))</f>
        <v>0</v>
      </c>
      <c r="AD411">
        <f>IF(COUNT($E$2:$E411)&lt;15,"",AVERAGE($AC$398:$AC$411))</f>
        <v>0</v>
      </c>
      <c r="AE411">
        <f>IF(OR($E411="",$E410=""),"",IF(AND(($C411-$C410)&gt;($D410-$D411),($C411-$C410)&gt;0),$C411-$C410,0))</f>
        <v>0</v>
      </c>
      <c r="AF411">
        <f>IF(OR($E411="",$E410=""),"",IF(AND(($D410-$D411)&gt;($C411-$C410),($D410-$D411)&gt;0),$D410-$D411,0))</f>
        <v>0</v>
      </c>
      <c r="AG411">
        <f>IF(COUNT($E$2:$E411)&lt;15,"",IF(SUM($AC$398:$AC$411)=0,0,100*SUM($AE$398:$AE$411)/SUM($AC$398:$AC$411)))</f>
        <v>0</v>
      </c>
      <c r="AH411">
        <f>IF(COUNT($E$2:$E411)&lt;15,"",IF(SUM($AC$398:$AC$411)=0,0,100*SUM($AF$398:$AF$411)/SUM($AC$398:$AC$411)))</f>
        <v>0</v>
      </c>
      <c r="AI411">
        <f>IF(OR(AG411="",AH411=""),"",IF((AG411+AH411)=0,0,100*ABS(AG411-AH411)/(AG411+AH411)))</f>
        <v>0</v>
      </c>
      <c r="AJ411">
        <f>IF(COUNT($AI$398:$AI$411)&lt;14,"",AVERAGE($AI$398:$AI$411))</f>
        <v>0</v>
      </c>
      <c r="AK411">
        <f>IF(COUNT($E$2:$E411)&lt;20,"",AVERAGE($E$392:$E$411))</f>
        <v>0</v>
      </c>
      <c r="AL411">
        <f>IF(COUNT($E$2:$E411)&lt;20,"",STDEVP($E$392:$E$411))</f>
        <v>0</v>
      </c>
      <c r="AM411">
        <f>IF(AK411="","",AK411+2*AL411)</f>
        <v>0</v>
      </c>
      <c r="AN411">
        <f>IF(AK411="","",AK411-2*AL411)</f>
        <v>0</v>
      </c>
      <c r="AO411">
        <f>IF(OR(AM411="",AN411="",AM411=AN411),"",($E411-AN411)/(AM411-AN411))</f>
        <v>0</v>
      </c>
      <c r="AP411">
        <f>IF(OR(AM411="",AK411="",AK411=0),"",(AM411-AN411)/AK411)</f>
        <v>0</v>
      </c>
      <c r="AQ411">
        <f>IF(COUNT($E$2:$E411)&lt;20,"",MAX($C$392:$C$411))</f>
        <v>0</v>
      </c>
      <c r="AR411">
        <f>IF(COUNT($E$2:$E411)&lt;20,"",MIN($D$392:$D$411))</f>
        <v>0</v>
      </c>
      <c r="AS411">
        <f>IF(OR(AQ411="",AR411=""),"",(AQ411+AR411)/2)</f>
        <v>0</v>
      </c>
      <c r="AT411">
        <f>IF(COUNT($G$392:$G$411)&lt;20,"",STDEV($G$392:$G$411)*SQRT(52))</f>
        <v>0</v>
      </c>
      <c r="AU411">
        <f>IF(COUNT($E$2:$E411)&lt;9,"",(MAX($C$403:$C$411)+MIN($D$403:$D$411))/2)</f>
        <v>0</v>
      </c>
      <c r="AV411">
        <f>IF(COUNT($E$2:$E411)&lt;26,"",(MAX($C$386:$C$411)+MIN($D$386:$D$411))/2)</f>
        <v>0</v>
      </c>
      <c r="AW411">
        <f>IF(OR(AU411="",AV411=""),"",(AU411+AV411)/2)</f>
        <v>0</v>
      </c>
      <c r="AX411">
        <f>IF(COUNT($E$2:$E411)&lt;52,"",(MAX($C$360:$C$411)+MIN($D$360:$D$411))/2)</f>
        <v>0</v>
      </c>
      <c r="AY411">
        <f>IF(COUNT($E$2:$E411)&lt;20,"",MAX($C$312:$C$411))</f>
        <v>0</v>
      </c>
      <c r="AZ411">
        <f>IF(COUNT($E$2:$E411)&lt;20,"",MIN($D$312:$D$411))</f>
        <v>0</v>
      </c>
      <c r="BA411">
        <f>IF(COUNT($E$2:$E411)&lt;20,"",SLOPE($E$312:$E$411,$F$312:$F$411))</f>
        <v>0</v>
      </c>
      <c r="BB411">
        <f>IF(COUNT($E$2:$E411)&lt;20,"",INTERCEPT($E$312:$E$411,$F$312:$F$411))</f>
        <v>0</v>
      </c>
      <c r="BC411">
        <f>IF(OR(BA411="",BB411=""),"",BB411+BA411*F411)</f>
        <v>0</v>
      </c>
      <c r="BD411">
        <f>IF(COUNT($E$2:$E411)&lt;20,"",STEYX($E$312:$E$411,$F$312:$F$411))</f>
        <v>0</v>
      </c>
      <c r="BE411">
        <f>IF($E411="","",IF(AND(COUNT($E$412:$E$415)&gt;=4,$C411=MAX($C$407:$C$415)),$C411,""))</f>
        <v>0</v>
      </c>
      <c r="BF411">
        <f>IF($E411="","",IF(AND(COUNT($E$412:$E$415)&gt;=4,$D411=MIN($D$407:$D$415)),$D411,""))</f>
        <v>0</v>
      </c>
      <c r="BG411">
        <f>IFERROR(SMALL(Calc_Daily!$BM$2:$BM$2001,410),"")</f>
        <v>0</v>
      </c>
    </row>
    <row r="412" spans="1:59">
      <c r="A412" s="27">
        <f>IF($BG412="","",INDEX(Calc_Daily!$A$2:$A$2001,$BG412))</f>
        <v>0</v>
      </c>
      <c r="B412">
        <f>IF($BG412="","",INDEX(Calc_Daily!$BJ$2:$BJ$2001,$BG412))</f>
        <v>0</v>
      </c>
      <c r="C412">
        <f>IF($BG412="","",INDEX(Calc_Daily!$BK$2:$BK$2001,$BG412))</f>
        <v>0</v>
      </c>
      <c r="D412">
        <f>IF($BG412="","",INDEX(Calc_Daily!$BL$2:$BL$2001,$BG412))</f>
        <v>0</v>
      </c>
      <c r="E412">
        <f>IF($BG412="","",INDEX(Calc_Daily!$E$2:$E$2001,$BG412))</f>
        <v>0</v>
      </c>
      <c r="F412">
        <f>IF($E412="","",N(F411)+1)</f>
        <v>0</v>
      </c>
      <c r="G412">
        <f>IF(OR($E412="",$E411=""),"",LN($E412/$E411))</f>
        <v>0</v>
      </c>
      <c r="H412">
        <f>IF($E412="","",IF($E411="",$E412,$E412*0.0952380952+H411*0.9047619048))</f>
        <v>0</v>
      </c>
      <c r="I412">
        <f>IF($E412="","",IF($E411="",$E412,$E412*0.0392156863+I411*0.9607843137))</f>
        <v>0</v>
      </c>
      <c r="J412">
        <f>IF($E412="","",IF($E411="",$E412,$E412*0.0198019802+J411*0.9801980198))</f>
        <v>0</v>
      </c>
      <c r="K412">
        <f>IF($E412="","",IF($E411="",$E412,$E412*0.0099502488+K411*0.9900497512))</f>
        <v>0</v>
      </c>
      <c r="L412">
        <f>IF(OR($E412="",$E411=""),"",MAX($E412-$E411,0))</f>
        <v>0</v>
      </c>
      <c r="M412">
        <f>IF(OR($E412="",$E411=""),"",MAX($E411-$E412,0))</f>
        <v>0</v>
      </c>
      <c r="N412">
        <f>IF(COUNT($E$2:$E412)&lt;15,"",IF(AVERAGE($M$399:$M$412)=0,100,100-100/(1+AVERAGE($L$399:$L$412)/AVERAGE($M$399:$M$412))))</f>
        <v>0</v>
      </c>
      <c r="O412">
        <f>IF($E412="","",IF($E411="",$E412,$E412*0.1538461538+O411*0.8461538462))</f>
        <v>0</v>
      </c>
      <c r="P412">
        <f>IF($E412="","",IF($E411="",$E412,$E412*0.0740740741+P411*0.9259259259))</f>
        <v>0</v>
      </c>
      <c r="Q412">
        <f>IF(OR(O412="",P412=""),"",O412-P412)</f>
        <v>0</v>
      </c>
      <c r="R412">
        <f>IF(Q412="","",IF(R411="",Q412,Q412*0.2000000000+R411*0.8000000000))</f>
        <v>0</v>
      </c>
      <c r="S412">
        <f>IF(OR(Q412="",R412=""),"",Q412-R412)</f>
        <v>0</v>
      </c>
      <c r="T412">
        <f>IF(COUNT($E$2:$E412)&lt;14,"",MAX($C$399:$C$412))</f>
        <v>0</v>
      </c>
      <c r="U412">
        <f>IF(COUNT($E$2:$E412)&lt;14,"",MIN($D$399:$D$412))</f>
        <v>0</v>
      </c>
      <c r="V412">
        <f>IF(OR(T412="",U412="",T412=U412),"",100*($E412-U412)/(T412-U412))</f>
        <v>0</v>
      </c>
      <c r="W412">
        <f>IF(COUNT($V$410:$V$412)&lt;3,"",AVERAGE($V$410:$V$412))</f>
        <v>0</v>
      </c>
      <c r="X412">
        <f>IF(COUNT($N$399:$N$412)&lt;14,"",MIN($N$399:$N$412))</f>
        <v>0</v>
      </c>
      <c r="Y412">
        <f>IF(COUNT($N$399:$N$412)&lt;14,"",MAX($N$399:$N$412))</f>
        <v>0</v>
      </c>
      <c r="Z412">
        <f>IF(OR(N412="",X412="",Y412="",Y412=X412),"",100*(N412-X412)/(Y412-X412))</f>
        <v>0</v>
      </c>
      <c r="AA412">
        <f>IF(COUNT($Z$410:$Z$412)&lt;3,"",AVERAGE($Z$410:$Z$412))</f>
        <v>0</v>
      </c>
      <c r="AB412">
        <f>IF(COUNT($AA$410:$AA$412)&lt;3,"",AVERAGE($AA$410:$AA$412))</f>
        <v>0</v>
      </c>
      <c r="AC412">
        <f>IF($E412="","",MAX($C412-$D412,ABS($C412-$E411),ABS($D412-$E411)))</f>
        <v>0</v>
      </c>
      <c r="AD412">
        <f>IF(COUNT($E$2:$E412)&lt;15,"",AVERAGE($AC$399:$AC$412))</f>
        <v>0</v>
      </c>
      <c r="AE412">
        <f>IF(OR($E412="",$E411=""),"",IF(AND(($C412-$C411)&gt;($D411-$D412),($C412-$C411)&gt;0),$C412-$C411,0))</f>
        <v>0</v>
      </c>
      <c r="AF412">
        <f>IF(OR($E412="",$E411=""),"",IF(AND(($D411-$D412)&gt;($C412-$C411),($D411-$D412)&gt;0),$D411-$D412,0))</f>
        <v>0</v>
      </c>
      <c r="AG412">
        <f>IF(COUNT($E$2:$E412)&lt;15,"",IF(SUM($AC$399:$AC$412)=0,0,100*SUM($AE$399:$AE$412)/SUM($AC$399:$AC$412)))</f>
        <v>0</v>
      </c>
      <c r="AH412">
        <f>IF(COUNT($E$2:$E412)&lt;15,"",IF(SUM($AC$399:$AC$412)=0,0,100*SUM($AF$399:$AF$412)/SUM($AC$399:$AC$412)))</f>
        <v>0</v>
      </c>
      <c r="AI412">
        <f>IF(OR(AG412="",AH412=""),"",IF((AG412+AH412)=0,0,100*ABS(AG412-AH412)/(AG412+AH412)))</f>
        <v>0</v>
      </c>
      <c r="AJ412">
        <f>IF(COUNT($AI$399:$AI$412)&lt;14,"",AVERAGE($AI$399:$AI$412))</f>
        <v>0</v>
      </c>
      <c r="AK412">
        <f>IF(COUNT($E$2:$E412)&lt;20,"",AVERAGE($E$393:$E$412))</f>
        <v>0</v>
      </c>
      <c r="AL412">
        <f>IF(COUNT($E$2:$E412)&lt;20,"",STDEVP($E$393:$E$412))</f>
        <v>0</v>
      </c>
      <c r="AM412">
        <f>IF(AK412="","",AK412+2*AL412)</f>
        <v>0</v>
      </c>
      <c r="AN412">
        <f>IF(AK412="","",AK412-2*AL412)</f>
        <v>0</v>
      </c>
      <c r="AO412">
        <f>IF(OR(AM412="",AN412="",AM412=AN412),"",($E412-AN412)/(AM412-AN412))</f>
        <v>0</v>
      </c>
      <c r="AP412">
        <f>IF(OR(AM412="",AK412="",AK412=0),"",(AM412-AN412)/AK412)</f>
        <v>0</v>
      </c>
      <c r="AQ412">
        <f>IF(COUNT($E$2:$E412)&lt;20,"",MAX($C$393:$C$412))</f>
        <v>0</v>
      </c>
      <c r="AR412">
        <f>IF(COUNT($E$2:$E412)&lt;20,"",MIN($D$393:$D$412))</f>
        <v>0</v>
      </c>
      <c r="AS412">
        <f>IF(OR(AQ412="",AR412=""),"",(AQ412+AR412)/2)</f>
        <v>0</v>
      </c>
      <c r="AT412">
        <f>IF(COUNT($G$393:$G$412)&lt;20,"",STDEV($G$393:$G$412)*SQRT(52))</f>
        <v>0</v>
      </c>
      <c r="AU412">
        <f>IF(COUNT($E$2:$E412)&lt;9,"",(MAX($C$404:$C$412)+MIN($D$404:$D$412))/2)</f>
        <v>0</v>
      </c>
      <c r="AV412">
        <f>IF(COUNT($E$2:$E412)&lt;26,"",(MAX($C$387:$C$412)+MIN($D$387:$D$412))/2)</f>
        <v>0</v>
      </c>
      <c r="AW412">
        <f>IF(OR(AU412="",AV412=""),"",(AU412+AV412)/2)</f>
        <v>0</v>
      </c>
      <c r="AX412">
        <f>IF(COUNT($E$2:$E412)&lt;52,"",(MAX($C$361:$C$412)+MIN($D$361:$D$412))/2)</f>
        <v>0</v>
      </c>
      <c r="AY412">
        <f>IF(COUNT($E$2:$E412)&lt;20,"",MAX($C$313:$C$412))</f>
        <v>0</v>
      </c>
      <c r="AZ412">
        <f>IF(COUNT($E$2:$E412)&lt;20,"",MIN($D$313:$D$412))</f>
        <v>0</v>
      </c>
      <c r="BA412">
        <f>IF(COUNT($E$2:$E412)&lt;20,"",SLOPE($E$313:$E$412,$F$313:$F$412))</f>
        <v>0</v>
      </c>
      <c r="BB412">
        <f>IF(COUNT($E$2:$E412)&lt;20,"",INTERCEPT($E$313:$E$412,$F$313:$F$412))</f>
        <v>0</v>
      </c>
      <c r="BC412">
        <f>IF(OR(BA412="",BB412=""),"",BB412+BA412*F412)</f>
        <v>0</v>
      </c>
      <c r="BD412">
        <f>IF(COUNT($E$2:$E412)&lt;20,"",STEYX($E$313:$E$412,$F$313:$F$412))</f>
        <v>0</v>
      </c>
      <c r="BE412">
        <f>IF($E412="","",IF(AND(COUNT($E$413:$E$416)&gt;=4,$C412=MAX($C$408:$C$416)),$C412,""))</f>
        <v>0</v>
      </c>
      <c r="BF412">
        <f>IF($E412="","",IF(AND(COUNT($E$413:$E$416)&gt;=4,$D412=MIN($D$408:$D$416)),$D412,""))</f>
        <v>0</v>
      </c>
      <c r="BG412">
        <f>IFERROR(SMALL(Calc_Daily!$BM$2:$BM$2001,411),"")</f>
        <v>0</v>
      </c>
    </row>
    <row r="413" spans="1:59">
      <c r="A413" s="27">
        <f>IF($BG413="","",INDEX(Calc_Daily!$A$2:$A$2001,$BG413))</f>
        <v>0</v>
      </c>
      <c r="B413">
        <f>IF($BG413="","",INDEX(Calc_Daily!$BJ$2:$BJ$2001,$BG413))</f>
        <v>0</v>
      </c>
      <c r="C413">
        <f>IF($BG413="","",INDEX(Calc_Daily!$BK$2:$BK$2001,$BG413))</f>
        <v>0</v>
      </c>
      <c r="D413">
        <f>IF($BG413="","",INDEX(Calc_Daily!$BL$2:$BL$2001,$BG413))</f>
        <v>0</v>
      </c>
      <c r="E413">
        <f>IF($BG413="","",INDEX(Calc_Daily!$E$2:$E$2001,$BG413))</f>
        <v>0</v>
      </c>
      <c r="F413">
        <f>IF($E413="","",N(F412)+1)</f>
        <v>0</v>
      </c>
      <c r="G413">
        <f>IF(OR($E413="",$E412=""),"",LN($E413/$E412))</f>
        <v>0</v>
      </c>
      <c r="H413">
        <f>IF($E413="","",IF($E412="",$E413,$E413*0.0952380952+H412*0.9047619048))</f>
        <v>0</v>
      </c>
      <c r="I413">
        <f>IF($E413="","",IF($E412="",$E413,$E413*0.0392156863+I412*0.9607843137))</f>
        <v>0</v>
      </c>
      <c r="J413">
        <f>IF($E413="","",IF($E412="",$E413,$E413*0.0198019802+J412*0.9801980198))</f>
        <v>0</v>
      </c>
      <c r="K413">
        <f>IF($E413="","",IF($E412="",$E413,$E413*0.0099502488+K412*0.9900497512))</f>
        <v>0</v>
      </c>
      <c r="L413">
        <f>IF(OR($E413="",$E412=""),"",MAX($E413-$E412,0))</f>
        <v>0</v>
      </c>
      <c r="M413">
        <f>IF(OR($E413="",$E412=""),"",MAX($E412-$E413,0))</f>
        <v>0</v>
      </c>
      <c r="N413">
        <f>IF(COUNT($E$2:$E413)&lt;15,"",IF(AVERAGE($M$400:$M$413)=0,100,100-100/(1+AVERAGE($L$400:$L$413)/AVERAGE($M$400:$M$413))))</f>
        <v>0</v>
      </c>
      <c r="O413">
        <f>IF($E413="","",IF($E412="",$E413,$E413*0.1538461538+O412*0.8461538462))</f>
        <v>0</v>
      </c>
      <c r="P413">
        <f>IF($E413="","",IF($E412="",$E413,$E413*0.0740740741+P412*0.9259259259))</f>
        <v>0</v>
      </c>
      <c r="Q413">
        <f>IF(OR(O413="",P413=""),"",O413-P413)</f>
        <v>0</v>
      </c>
      <c r="R413">
        <f>IF(Q413="","",IF(R412="",Q413,Q413*0.2000000000+R412*0.8000000000))</f>
        <v>0</v>
      </c>
      <c r="S413">
        <f>IF(OR(Q413="",R413=""),"",Q413-R413)</f>
        <v>0</v>
      </c>
      <c r="T413">
        <f>IF(COUNT($E$2:$E413)&lt;14,"",MAX($C$400:$C$413))</f>
        <v>0</v>
      </c>
      <c r="U413">
        <f>IF(COUNT($E$2:$E413)&lt;14,"",MIN($D$400:$D$413))</f>
        <v>0</v>
      </c>
      <c r="V413">
        <f>IF(OR(T413="",U413="",T413=U413),"",100*($E413-U413)/(T413-U413))</f>
        <v>0</v>
      </c>
      <c r="W413">
        <f>IF(COUNT($V$411:$V$413)&lt;3,"",AVERAGE($V$411:$V$413))</f>
        <v>0</v>
      </c>
      <c r="X413">
        <f>IF(COUNT($N$400:$N$413)&lt;14,"",MIN($N$400:$N$413))</f>
        <v>0</v>
      </c>
      <c r="Y413">
        <f>IF(COUNT($N$400:$N$413)&lt;14,"",MAX($N$400:$N$413))</f>
        <v>0</v>
      </c>
      <c r="Z413">
        <f>IF(OR(N413="",X413="",Y413="",Y413=X413),"",100*(N413-X413)/(Y413-X413))</f>
        <v>0</v>
      </c>
      <c r="AA413">
        <f>IF(COUNT($Z$411:$Z$413)&lt;3,"",AVERAGE($Z$411:$Z$413))</f>
        <v>0</v>
      </c>
      <c r="AB413">
        <f>IF(COUNT($AA$411:$AA$413)&lt;3,"",AVERAGE($AA$411:$AA$413))</f>
        <v>0</v>
      </c>
      <c r="AC413">
        <f>IF($E413="","",MAX($C413-$D413,ABS($C413-$E412),ABS($D413-$E412)))</f>
        <v>0</v>
      </c>
      <c r="AD413">
        <f>IF(COUNT($E$2:$E413)&lt;15,"",AVERAGE($AC$400:$AC$413))</f>
        <v>0</v>
      </c>
      <c r="AE413">
        <f>IF(OR($E413="",$E412=""),"",IF(AND(($C413-$C412)&gt;($D412-$D413),($C413-$C412)&gt;0),$C413-$C412,0))</f>
        <v>0</v>
      </c>
      <c r="AF413">
        <f>IF(OR($E413="",$E412=""),"",IF(AND(($D412-$D413)&gt;($C413-$C412),($D412-$D413)&gt;0),$D412-$D413,0))</f>
        <v>0</v>
      </c>
      <c r="AG413">
        <f>IF(COUNT($E$2:$E413)&lt;15,"",IF(SUM($AC$400:$AC$413)=0,0,100*SUM($AE$400:$AE$413)/SUM($AC$400:$AC$413)))</f>
        <v>0</v>
      </c>
      <c r="AH413">
        <f>IF(COUNT($E$2:$E413)&lt;15,"",IF(SUM($AC$400:$AC$413)=0,0,100*SUM($AF$400:$AF$413)/SUM($AC$400:$AC$413)))</f>
        <v>0</v>
      </c>
      <c r="AI413">
        <f>IF(OR(AG413="",AH413=""),"",IF((AG413+AH413)=0,0,100*ABS(AG413-AH413)/(AG413+AH413)))</f>
        <v>0</v>
      </c>
      <c r="AJ413">
        <f>IF(COUNT($AI$400:$AI$413)&lt;14,"",AVERAGE($AI$400:$AI$413))</f>
        <v>0</v>
      </c>
      <c r="AK413">
        <f>IF(COUNT($E$2:$E413)&lt;20,"",AVERAGE($E$394:$E$413))</f>
        <v>0</v>
      </c>
      <c r="AL413">
        <f>IF(COUNT($E$2:$E413)&lt;20,"",STDEVP($E$394:$E$413))</f>
        <v>0</v>
      </c>
      <c r="AM413">
        <f>IF(AK413="","",AK413+2*AL413)</f>
        <v>0</v>
      </c>
      <c r="AN413">
        <f>IF(AK413="","",AK413-2*AL413)</f>
        <v>0</v>
      </c>
      <c r="AO413">
        <f>IF(OR(AM413="",AN413="",AM413=AN413),"",($E413-AN413)/(AM413-AN413))</f>
        <v>0</v>
      </c>
      <c r="AP413">
        <f>IF(OR(AM413="",AK413="",AK413=0),"",(AM413-AN413)/AK413)</f>
        <v>0</v>
      </c>
      <c r="AQ413">
        <f>IF(COUNT($E$2:$E413)&lt;20,"",MAX($C$394:$C$413))</f>
        <v>0</v>
      </c>
      <c r="AR413">
        <f>IF(COUNT($E$2:$E413)&lt;20,"",MIN($D$394:$D$413))</f>
        <v>0</v>
      </c>
      <c r="AS413">
        <f>IF(OR(AQ413="",AR413=""),"",(AQ413+AR413)/2)</f>
        <v>0</v>
      </c>
      <c r="AT413">
        <f>IF(COUNT($G$394:$G$413)&lt;20,"",STDEV($G$394:$G$413)*SQRT(52))</f>
        <v>0</v>
      </c>
      <c r="AU413">
        <f>IF(COUNT($E$2:$E413)&lt;9,"",(MAX($C$405:$C$413)+MIN($D$405:$D$413))/2)</f>
        <v>0</v>
      </c>
      <c r="AV413">
        <f>IF(COUNT($E$2:$E413)&lt;26,"",(MAX($C$388:$C$413)+MIN($D$388:$D$413))/2)</f>
        <v>0</v>
      </c>
      <c r="AW413">
        <f>IF(OR(AU413="",AV413=""),"",(AU413+AV413)/2)</f>
        <v>0</v>
      </c>
      <c r="AX413">
        <f>IF(COUNT($E$2:$E413)&lt;52,"",(MAX($C$362:$C$413)+MIN($D$362:$D$413))/2)</f>
        <v>0</v>
      </c>
      <c r="AY413">
        <f>IF(COUNT($E$2:$E413)&lt;20,"",MAX($C$314:$C$413))</f>
        <v>0</v>
      </c>
      <c r="AZ413">
        <f>IF(COUNT($E$2:$E413)&lt;20,"",MIN($D$314:$D$413))</f>
        <v>0</v>
      </c>
      <c r="BA413">
        <f>IF(COUNT($E$2:$E413)&lt;20,"",SLOPE($E$314:$E$413,$F$314:$F$413))</f>
        <v>0</v>
      </c>
      <c r="BB413">
        <f>IF(COUNT($E$2:$E413)&lt;20,"",INTERCEPT($E$314:$E$413,$F$314:$F$413))</f>
        <v>0</v>
      </c>
      <c r="BC413">
        <f>IF(OR(BA413="",BB413=""),"",BB413+BA413*F413)</f>
        <v>0</v>
      </c>
      <c r="BD413">
        <f>IF(COUNT($E$2:$E413)&lt;20,"",STEYX($E$314:$E$413,$F$314:$F$413))</f>
        <v>0</v>
      </c>
      <c r="BE413">
        <f>IF($E413="","",IF(AND(COUNT($E$414:$E$417)&gt;=4,$C413=MAX($C$409:$C$417)),$C413,""))</f>
        <v>0</v>
      </c>
      <c r="BF413">
        <f>IF($E413="","",IF(AND(COUNT($E$414:$E$417)&gt;=4,$D413=MIN($D$409:$D$417)),$D413,""))</f>
        <v>0</v>
      </c>
      <c r="BG413">
        <f>IFERROR(SMALL(Calc_Daily!$BM$2:$BM$2001,412),"")</f>
        <v>0</v>
      </c>
    </row>
    <row r="414" spans="1:59">
      <c r="A414" s="27">
        <f>IF($BG414="","",INDEX(Calc_Daily!$A$2:$A$2001,$BG414))</f>
        <v>0</v>
      </c>
      <c r="B414">
        <f>IF($BG414="","",INDEX(Calc_Daily!$BJ$2:$BJ$2001,$BG414))</f>
        <v>0</v>
      </c>
      <c r="C414">
        <f>IF($BG414="","",INDEX(Calc_Daily!$BK$2:$BK$2001,$BG414))</f>
        <v>0</v>
      </c>
      <c r="D414">
        <f>IF($BG414="","",INDEX(Calc_Daily!$BL$2:$BL$2001,$BG414))</f>
        <v>0</v>
      </c>
      <c r="E414">
        <f>IF($BG414="","",INDEX(Calc_Daily!$E$2:$E$2001,$BG414))</f>
        <v>0</v>
      </c>
      <c r="F414">
        <f>IF($E414="","",N(F413)+1)</f>
        <v>0</v>
      </c>
      <c r="G414">
        <f>IF(OR($E414="",$E413=""),"",LN($E414/$E413))</f>
        <v>0</v>
      </c>
      <c r="H414">
        <f>IF($E414="","",IF($E413="",$E414,$E414*0.0952380952+H413*0.9047619048))</f>
        <v>0</v>
      </c>
      <c r="I414">
        <f>IF($E414="","",IF($E413="",$E414,$E414*0.0392156863+I413*0.9607843137))</f>
        <v>0</v>
      </c>
      <c r="J414">
        <f>IF($E414="","",IF($E413="",$E414,$E414*0.0198019802+J413*0.9801980198))</f>
        <v>0</v>
      </c>
      <c r="K414">
        <f>IF($E414="","",IF($E413="",$E414,$E414*0.0099502488+K413*0.9900497512))</f>
        <v>0</v>
      </c>
      <c r="L414">
        <f>IF(OR($E414="",$E413=""),"",MAX($E414-$E413,0))</f>
        <v>0</v>
      </c>
      <c r="M414">
        <f>IF(OR($E414="",$E413=""),"",MAX($E413-$E414,0))</f>
        <v>0</v>
      </c>
      <c r="N414">
        <f>IF(COUNT($E$2:$E414)&lt;15,"",IF(AVERAGE($M$401:$M$414)=0,100,100-100/(1+AVERAGE($L$401:$L$414)/AVERAGE($M$401:$M$414))))</f>
        <v>0</v>
      </c>
      <c r="O414">
        <f>IF($E414="","",IF($E413="",$E414,$E414*0.1538461538+O413*0.8461538462))</f>
        <v>0</v>
      </c>
      <c r="P414">
        <f>IF($E414="","",IF($E413="",$E414,$E414*0.0740740741+P413*0.9259259259))</f>
        <v>0</v>
      </c>
      <c r="Q414">
        <f>IF(OR(O414="",P414=""),"",O414-P414)</f>
        <v>0</v>
      </c>
      <c r="R414">
        <f>IF(Q414="","",IF(R413="",Q414,Q414*0.2000000000+R413*0.8000000000))</f>
        <v>0</v>
      </c>
      <c r="S414">
        <f>IF(OR(Q414="",R414=""),"",Q414-R414)</f>
        <v>0</v>
      </c>
      <c r="T414">
        <f>IF(COUNT($E$2:$E414)&lt;14,"",MAX($C$401:$C$414))</f>
        <v>0</v>
      </c>
      <c r="U414">
        <f>IF(COUNT($E$2:$E414)&lt;14,"",MIN($D$401:$D$414))</f>
        <v>0</v>
      </c>
      <c r="V414">
        <f>IF(OR(T414="",U414="",T414=U414),"",100*($E414-U414)/(T414-U414))</f>
        <v>0</v>
      </c>
      <c r="W414">
        <f>IF(COUNT($V$412:$V$414)&lt;3,"",AVERAGE($V$412:$V$414))</f>
        <v>0</v>
      </c>
      <c r="X414">
        <f>IF(COUNT($N$401:$N$414)&lt;14,"",MIN($N$401:$N$414))</f>
        <v>0</v>
      </c>
      <c r="Y414">
        <f>IF(COUNT($N$401:$N$414)&lt;14,"",MAX($N$401:$N$414))</f>
        <v>0</v>
      </c>
      <c r="Z414">
        <f>IF(OR(N414="",X414="",Y414="",Y414=X414),"",100*(N414-X414)/(Y414-X414))</f>
        <v>0</v>
      </c>
      <c r="AA414">
        <f>IF(COUNT($Z$412:$Z$414)&lt;3,"",AVERAGE($Z$412:$Z$414))</f>
        <v>0</v>
      </c>
      <c r="AB414">
        <f>IF(COUNT($AA$412:$AA$414)&lt;3,"",AVERAGE($AA$412:$AA$414))</f>
        <v>0</v>
      </c>
      <c r="AC414">
        <f>IF($E414="","",MAX($C414-$D414,ABS($C414-$E413),ABS($D414-$E413)))</f>
        <v>0</v>
      </c>
      <c r="AD414">
        <f>IF(COUNT($E$2:$E414)&lt;15,"",AVERAGE($AC$401:$AC$414))</f>
        <v>0</v>
      </c>
      <c r="AE414">
        <f>IF(OR($E414="",$E413=""),"",IF(AND(($C414-$C413)&gt;($D413-$D414),($C414-$C413)&gt;0),$C414-$C413,0))</f>
        <v>0</v>
      </c>
      <c r="AF414">
        <f>IF(OR($E414="",$E413=""),"",IF(AND(($D413-$D414)&gt;($C414-$C413),($D413-$D414)&gt;0),$D413-$D414,0))</f>
        <v>0</v>
      </c>
      <c r="AG414">
        <f>IF(COUNT($E$2:$E414)&lt;15,"",IF(SUM($AC$401:$AC$414)=0,0,100*SUM($AE$401:$AE$414)/SUM($AC$401:$AC$414)))</f>
        <v>0</v>
      </c>
      <c r="AH414">
        <f>IF(COUNT($E$2:$E414)&lt;15,"",IF(SUM($AC$401:$AC$414)=0,0,100*SUM($AF$401:$AF$414)/SUM($AC$401:$AC$414)))</f>
        <v>0</v>
      </c>
      <c r="AI414">
        <f>IF(OR(AG414="",AH414=""),"",IF((AG414+AH414)=0,0,100*ABS(AG414-AH414)/(AG414+AH414)))</f>
        <v>0</v>
      </c>
      <c r="AJ414">
        <f>IF(COUNT($AI$401:$AI$414)&lt;14,"",AVERAGE($AI$401:$AI$414))</f>
        <v>0</v>
      </c>
      <c r="AK414">
        <f>IF(COUNT($E$2:$E414)&lt;20,"",AVERAGE($E$395:$E$414))</f>
        <v>0</v>
      </c>
      <c r="AL414">
        <f>IF(COUNT($E$2:$E414)&lt;20,"",STDEVP($E$395:$E$414))</f>
        <v>0</v>
      </c>
      <c r="AM414">
        <f>IF(AK414="","",AK414+2*AL414)</f>
        <v>0</v>
      </c>
      <c r="AN414">
        <f>IF(AK414="","",AK414-2*AL414)</f>
        <v>0</v>
      </c>
      <c r="AO414">
        <f>IF(OR(AM414="",AN414="",AM414=AN414),"",($E414-AN414)/(AM414-AN414))</f>
        <v>0</v>
      </c>
      <c r="AP414">
        <f>IF(OR(AM414="",AK414="",AK414=0),"",(AM414-AN414)/AK414)</f>
        <v>0</v>
      </c>
      <c r="AQ414">
        <f>IF(COUNT($E$2:$E414)&lt;20,"",MAX($C$395:$C$414))</f>
        <v>0</v>
      </c>
      <c r="AR414">
        <f>IF(COUNT($E$2:$E414)&lt;20,"",MIN($D$395:$D$414))</f>
        <v>0</v>
      </c>
      <c r="AS414">
        <f>IF(OR(AQ414="",AR414=""),"",(AQ414+AR414)/2)</f>
        <v>0</v>
      </c>
      <c r="AT414">
        <f>IF(COUNT($G$395:$G$414)&lt;20,"",STDEV($G$395:$G$414)*SQRT(52))</f>
        <v>0</v>
      </c>
      <c r="AU414">
        <f>IF(COUNT($E$2:$E414)&lt;9,"",(MAX($C$406:$C$414)+MIN($D$406:$D$414))/2)</f>
        <v>0</v>
      </c>
      <c r="AV414">
        <f>IF(COUNT($E$2:$E414)&lt;26,"",(MAX($C$389:$C$414)+MIN($D$389:$D$414))/2)</f>
        <v>0</v>
      </c>
      <c r="AW414">
        <f>IF(OR(AU414="",AV414=""),"",(AU414+AV414)/2)</f>
        <v>0</v>
      </c>
      <c r="AX414">
        <f>IF(COUNT($E$2:$E414)&lt;52,"",(MAX($C$363:$C$414)+MIN($D$363:$D$414))/2)</f>
        <v>0</v>
      </c>
      <c r="AY414">
        <f>IF(COUNT($E$2:$E414)&lt;20,"",MAX($C$315:$C$414))</f>
        <v>0</v>
      </c>
      <c r="AZ414">
        <f>IF(COUNT($E$2:$E414)&lt;20,"",MIN($D$315:$D$414))</f>
        <v>0</v>
      </c>
      <c r="BA414">
        <f>IF(COUNT($E$2:$E414)&lt;20,"",SLOPE($E$315:$E$414,$F$315:$F$414))</f>
        <v>0</v>
      </c>
      <c r="BB414">
        <f>IF(COUNT($E$2:$E414)&lt;20,"",INTERCEPT($E$315:$E$414,$F$315:$F$414))</f>
        <v>0</v>
      </c>
      <c r="BC414">
        <f>IF(OR(BA414="",BB414=""),"",BB414+BA414*F414)</f>
        <v>0</v>
      </c>
      <c r="BD414">
        <f>IF(COUNT($E$2:$E414)&lt;20,"",STEYX($E$315:$E$414,$F$315:$F$414))</f>
        <v>0</v>
      </c>
      <c r="BE414">
        <f>IF($E414="","",IF(AND(COUNT($E$415:$E$418)&gt;=4,$C414=MAX($C$410:$C$418)),$C414,""))</f>
        <v>0</v>
      </c>
      <c r="BF414">
        <f>IF($E414="","",IF(AND(COUNT($E$415:$E$418)&gt;=4,$D414=MIN($D$410:$D$418)),$D414,""))</f>
        <v>0</v>
      </c>
      <c r="BG414">
        <f>IFERROR(SMALL(Calc_Daily!$BM$2:$BM$2001,413),"")</f>
        <v>0</v>
      </c>
    </row>
    <row r="415" spans="1:59">
      <c r="A415" s="27">
        <f>IF($BG415="","",INDEX(Calc_Daily!$A$2:$A$2001,$BG415))</f>
        <v>0</v>
      </c>
      <c r="B415">
        <f>IF($BG415="","",INDEX(Calc_Daily!$BJ$2:$BJ$2001,$BG415))</f>
        <v>0</v>
      </c>
      <c r="C415">
        <f>IF($BG415="","",INDEX(Calc_Daily!$BK$2:$BK$2001,$BG415))</f>
        <v>0</v>
      </c>
      <c r="D415">
        <f>IF($BG415="","",INDEX(Calc_Daily!$BL$2:$BL$2001,$BG415))</f>
        <v>0</v>
      </c>
      <c r="E415">
        <f>IF($BG415="","",INDEX(Calc_Daily!$E$2:$E$2001,$BG415))</f>
        <v>0</v>
      </c>
      <c r="F415">
        <f>IF($E415="","",N(F414)+1)</f>
        <v>0</v>
      </c>
      <c r="G415">
        <f>IF(OR($E415="",$E414=""),"",LN($E415/$E414))</f>
        <v>0</v>
      </c>
      <c r="H415">
        <f>IF($E415="","",IF($E414="",$E415,$E415*0.0952380952+H414*0.9047619048))</f>
        <v>0</v>
      </c>
      <c r="I415">
        <f>IF($E415="","",IF($E414="",$E415,$E415*0.0392156863+I414*0.9607843137))</f>
        <v>0</v>
      </c>
      <c r="J415">
        <f>IF($E415="","",IF($E414="",$E415,$E415*0.0198019802+J414*0.9801980198))</f>
        <v>0</v>
      </c>
      <c r="K415">
        <f>IF($E415="","",IF($E414="",$E415,$E415*0.0099502488+K414*0.9900497512))</f>
        <v>0</v>
      </c>
      <c r="L415">
        <f>IF(OR($E415="",$E414=""),"",MAX($E415-$E414,0))</f>
        <v>0</v>
      </c>
      <c r="M415">
        <f>IF(OR($E415="",$E414=""),"",MAX($E414-$E415,0))</f>
        <v>0</v>
      </c>
      <c r="N415">
        <f>IF(COUNT($E$2:$E415)&lt;15,"",IF(AVERAGE($M$402:$M$415)=0,100,100-100/(1+AVERAGE($L$402:$L$415)/AVERAGE($M$402:$M$415))))</f>
        <v>0</v>
      </c>
      <c r="O415">
        <f>IF($E415="","",IF($E414="",$E415,$E415*0.1538461538+O414*0.8461538462))</f>
        <v>0</v>
      </c>
      <c r="P415">
        <f>IF($E415="","",IF($E414="",$E415,$E415*0.0740740741+P414*0.9259259259))</f>
        <v>0</v>
      </c>
      <c r="Q415">
        <f>IF(OR(O415="",P415=""),"",O415-P415)</f>
        <v>0</v>
      </c>
      <c r="R415">
        <f>IF(Q415="","",IF(R414="",Q415,Q415*0.2000000000+R414*0.8000000000))</f>
        <v>0</v>
      </c>
      <c r="S415">
        <f>IF(OR(Q415="",R415=""),"",Q415-R415)</f>
        <v>0</v>
      </c>
      <c r="T415">
        <f>IF(COUNT($E$2:$E415)&lt;14,"",MAX($C$402:$C$415))</f>
        <v>0</v>
      </c>
      <c r="U415">
        <f>IF(COUNT($E$2:$E415)&lt;14,"",MIN($D$402:$D$415))</f>
        <v>0</v>
      </c>
      <c r="V415">
        <f>IF(OR(T415="",U415="",T415=U415),"",100*($E415-U415)/(T415-U415))</f>
        <v>0</v>
      </c>
      <c r="W415">
        <f>IF(COUNT($V$413:$V$415)&lt;3,"",AVERAGE($V$413:$V$415))</f>
        <v>0</v>
      </c>
      <c r="X415">
        <f>IF(COUNT($N$402:$N$415)&lt;14,"",MIN($N$402:$N$415))</f>
        <v>0</v>
      </c>
      <c r="Y415">
        <f>IF(COUNT($N$402:$N$415)&lt;14,"",MAX($N$402:$N$415))</f>
        <v>0</v>
      </c>
      <c r="Z415">
        <f>IF(OR(N415="",X415="",Y415="",Y415=X415),"",100*(N415-X415)/(Y415-X415))</f>
        <v>0</v>
      </c>
      <c r="AA415">
        <f>IF(COUNT($Z$413:$Z$415)&lt;3,"",AVERAGE($Z$413:$Z$415))</f>
        <v>0</v>
      </c>
      <c r="AB415">
        <f>IF(COUNT($AA$413:$AA$415)&lt;3,"",AVERAGE($AA$413:$AA$415))</f>
        <v>0</v>
      </c>
      <c r="AC415">
        <f>IF($E415="","",MAX($C415-$D415,ABS($C415-$E414),ABS($D415-$E414)))</f>
        <v>0</v>
      </c>
      <c r="AD415">
        <f>IF(COUNT($E$2:$E415)&lt;15,"",AVERAGE($AC$402:$AC$415))</f>
        <v>0</v>
      </c>
      <c r="AE415">
        <f>IF(OR($E415="",$E414=""),"",IF(AND(($C415-$C414)&gt;($D414-$D415),($C415-$C414)&gt;0),$C415-$C414,0))</f>
        <v>0</v>
      </c>
      <c r="AF415">
        <f>IF(OR($E415="",$E414=""),"",IF(AND(($D414-$D415)&gt;($C415-$C414),($D414-$D415)&gt;0),$D414-$D415,0))</f>
        <v>0</v>
      </c>
      <c r="AG415">
        <f>IF(COUNT($E$2:$E415)&lt;15,"",IF(SUM($AC$402:$AC$415)=0,0,100*SUM($AE$402:$AE$415)/SUM($AC$402:$AC$415)))</f>
        <v>0</v>
      </c>
      <c r="AH415">
        <f>IF(COUNT($E$2:$E415)&lt;15,"",IF(SUM($AC$402:$AC$415)=0,0,100*SUM($AF$402:$AF$415)/SUM($AC$402:$AC$415)))</f>
        <v>0</v>
      </c>
      <c r="AI415">
        <f>IF(OR(AG415="",AH415=""),"",IF((AG415+AH415)=0,0,100*ABS(AG415-AH415)/(AG415+AH415)))</f>
        <v>0</v>
      </c>
      <c r="AJ415">
        <f>IF(COUNT($AI$402:$AI$415)&lt;14,"",AVERAGE($AI$402:$AI$415))</f>
        <v>0</v>
      </c>
      <c r="AK415">
        <f>IF(COUNT($E$2:$E415)&lt;20,"",AVERAGE($E$396:$E$415))</f>
        <v>0</v>
      </c>
      <c r="AL415">
        <f>IF(COUNT($E$2:$E415)&lt;20,"",STDEVP($E$396:$E$415))</f>
        <v>0</v>
      </c>
      <c r="AM415">
        <f>IF(AK415="","",AK415+2*AL415)</f>
        <v>0</v>
      </c>
      <c r="AN415">
        <f>IF(AK415="","",AK415-2*AL415)</f>
        <v>0</v>
      </c>
      <c r="AO415">
        <f>IF(OR(AM415="",AN415="",AM415=AN415),"",($E415-AN415)/(AM415-AN415))</f>
        <v>0</v>
      </c>
      <c r="AP415">
        <f>IF(OR(AM415="",AK415="",AK415=0),"",(AM415-AN415)/AK415)</f>
        <v>0</v>
      </c>
      <c r="AQ415">
        <f>IF(COUNT($E$2:$E415)&lt;20,"",MAX($C$396:$C$415))</f>
        <v>0</v>
      </c>
      <c r="AR415">
        <f>IF(COUNT($E$2:$E415)&lt;20,"",MIN($D$396:$D$415))</f>
        <v>0</v>
      </c>
      <c r="AS415">
        <f>IF(OR(AQ415="",AR415=""),"",(AQ415+AR415)/2)</f>
        <v>0</v>
      </c>
      <c r="AT415">
        <f>IF(COUNT($G$396:$G$415)&lt;20,"",STDEV($G$396:$G$415)*SQRT(52))</f>
        <v>0</v>
      </c>
      <c r="AU415">
        <f>IF(COUNT($E$2:$E415)&lt;9,"",(MAX($C$407:$C$415)+MIN($D$407:$D$415))/2)</f>
        <v>0</v>
      </c>
      <c r="AV415">
        <f>IF(COUNT($E$2:$E415)&lt;26,"",(MAX($C$390:$C$415)+MIN($D$390:$D$415))/2)</f>
        <v>0</v>
      </c>
      <c r="AW415">
        <f>IF(OR(AU415="",AV415=""),"",(AU415+AV415)/2)</f>
        <v>0</v>
      </c>
      <c r="AX415">
        <f>IF(COUNT($E$2:$E415)&lt;52,"",(MAX($C$364:$C$415)+MIN($D$364:$D$415))/2)</f>
        <v>0</v>
      </c>
      <c r="AY415">
        <f>IF(COUNT($E$2:$E415)&lt;20,"",MAX($C$316:$C$415))</f>
        <v>0</v>
      </c>
      <c r="AZ415">
        <f>IF(COUNT($E$2:$E415)&lt;20,"",MIN($D$316:$D$415))</f>
        <v>0</v>
      </c>
      <c r="BA415">
        <f>IF(COUNT($E$2:$E415)&lt;20,"",SLOPE($E$316:$E$415,$F$316:$F$415))</f>
        <v>0</v>
      </c>
      <c r="BB415">
        <f>IF(COUNT($E$2:$E415)&lt;20,"",INTERCEPT($E$316:$E$415,$F$316:$F$415))</f>
        <v>0</v>
      </c>
      <c r="BC415">
        <f>IF(OR(BA415="",BB415=""),"",BB415+BA415*F415)</f>
        <v>0</v>
      </c>
      <c r="BD415">
        <f>IF(COUNT($E$2:$E415)&lt;20,"",STEYX($E$316:$E$415,$F$316:$F$415))</f>
        <v>0</v>
      </c>
      <c r="BE415">
        <f>IF($E415="","",IF(AND(COUNT($E$416:$E$419)&gt;=4,$C415=MAX($C$411:$C$419)),$C415,""))</f>
        <v>0</v>
      </c>
      <c r="BF415">
        <f>IF($E415="","",IF(AND(COUNT($E$416:$E$419)&gt;=4,$D415=MIN($D$411:$D$419)),$D415,""))</f>
        <v>0</v>
      </c>
      <c r="BG415">
        <f>IFERROR(SMALL(Calc_Daily!$BM$2:$BM$2001,414),"")</f>
        <v>0</v>
      </c>
    </row>
    <row r="416" spans="1:59">
      <c r="A416" s="27">
        <f>IF($BG416="","",INDEX(Calc_Daily!$A$2:$A$2001,$BG416))</f>
        <v>0</v>
      </c>
      <c r="B416">
        <f>IF($BG416="","",INDEX(Calc_Daily!$BJ$2:$BJ$2001,$BG416))</f>
        <v>0</v>
      </c>
      <c r="C416">
        <f>IF($BG416="","",INDEX(Calc_Daily!$BK$2:$BK$2001,$BG416))</f>
        <v>0</v>
      </c>
      <c r="D416">
        <f>IF($BG416="","",INDEX(Calc_Daily!$BL$2:$BL$2001,$BG416))</f>
        <v>0</v>
      </c>
      <c r="E416">
        <f>IF($BG416="","",INDEX(Calc_Daily!$E$2:$E$2001,$BG416))</f>
        <v>0</v>
      </c>
      <c r="F416">
        <f>IF($E416="","",N(F415)+1)</f>
        <v>0</v>
      </c>
      <c r="G416">
        <f>IF(OR($E416="",$E415=""),"",LN($E416/$E415))</f>
        <v>0</v>
      </c>
      <c r="H416">
        <f>IF($E416="","",IF($E415="",$E416,$E416*0.0952380952+H415*0.9047619048))</f>
        <v>0</v>
      </c>
      <c r="I416">
        <f>IF($E416="","",IF($E415="",$E416,$E416*0.0392156863+I415*0.9607843137))</f>
        <v>0</v>
      </c>
      <c r="J416">
        <f>IF($E416="","",IF($E415="",$E416,$E416*0.0198019802+J415*0.9801980198))</f>
        <v>0</v>
      </c>
      <c r="K416">
        <f>IF($E416="","",IF($E415="",$E416,$E416*0.0099502488+K415*0.9900497512))</f>
        <v>0</v>
      </c>
      <c r="L416">
        <f>IF(OR($E416="",$E415=""),"",MAX($E416-$E415,0))</f>
        <v>0</v>
      </c>
      <c r="M416">
        <f>IF(OR($E416="",$E415=""),"",MAX($E415-$E416,0))</f>
        <v>0</v>
      </c>
      <c r="N416">
        <f>IF(COUNT($E$2:$E416)&lt;15,"",IF(AVERAGE($M$403:$M$416)=0,100,100-100/(1+AVERAGE($L$403:$L$416)/AVERAGE($M$403:$M$416))))</f>
        <v>0</v>
      </c>
      <c r="O416">
        <f>IF($E416="","",IF($E415="",$E416,$E416*0.1538461538+O415*0.8461538462))</f>
        <v>0</v>
      </c>
      <c r="P416">
        <f>IF($E416="","",IF($E415="",$E416,$E416*0.0740740741+P415*0.9259259259))</f>
        <v>0</v>
      </c>
      <c r="Q416">
        <f>IF(OR(O416="",P416=""),"",O416-P416)</f>
        <v>0</v>
      </c>
      <c r="R416">
        <f>IF(Q416="","",IF(R415="",Q416,Q416*0.2000000000+R415*0.8000000000))</f>
        <v>0</v>
      </c>
      <c r="S416">
        <f>IF(OR(Q416="",R416=""),"",Q416-R416)</f>
        <v>0</v>
      </c>
      <c r="T416">
        <f>IF(COUNT($E$2:$E416)&lt;14,"",MAX($C$403:$C$416))</f>
        <v>0</v>
      </c>
      <c r="U416">
        <f>IF(COUNT($E$2:$E416)&lt;14,"",MIN($D$403:$D$416))</f>
        <v>0</v>
      </c>
      <c r="V416">
        <f>IF(OR(T416="",U416="",T416=U416),"",100*($E416-U416)/(T416-U416))</f>
        <v>0</v>
      </c>
      <c r="W416">
        <f>IF(COUNT($V$414:$V$416)&lt;3,"",AVERAGE($V$414:$V$416))</f>
        <v>0</v>
      </c>
      <c r="X416">
        <f>IF(COUNT($N$403:$N$416)&lt;14,"",MIN($N$403:$N$416))</f>
        <v>0</v>
      </c>
      <c r="Y416">
        <f>IF(COUNT($N$403:$N$416)&lt;14,"",MAX($N$403:$N$416))</f>
        <v>0</v>
      </c>
      <c r="Z416">
        <f>IF(OR(N416="",X416="",Y416="",Y416=X416),"",100*(N416-X416)/(Y416-X416))</f>
        <v>0</v>
      </c>
      <c r="AA416">
        <f>IF(COUNT($Z$414:$Z$416)&lt;3,"",AVERAGE($Z$414:$Z$416))</f>
        <v>0</v>
      </c>
      <c r="AB416">
        <f>IF(COUNT($AA$414:$AA$416)&lt;3,"",AVERAGE($AA$414:$AA$416))</f>
        <v>0</v>
      </c>
      <c r="AC416">
        <f>IF($E416="","",MAX($C416-$D416,ABS($C416-$E415),ABS($D416-$E415)))</f>
        <v>0</v>
      </c>
      <c r="AD416">
        <f>IF(COUNT($E$2:$E416)&lt;15,"",AVERAGE($AC$403:$AC$416))</f>
        <v>0</v>
      </c>
      <c r="AE416">
        <f>IF(OR($E416="",$E415=""),"",IF(AND(($C416-$C415)&gt;($D415-$D416),($C416-$C415)&gt;0),$C416-$C415,0))</f>
        <v>0</v>
      </c>
      <c r="AF416">
        <f>IF(OR($E416="",$E415=""),"",IF(AND(($D415-$D416)&gt;($C416-$C415),($D415-$D416)&gt;0),$D415-$D416,0))</f>
        <v>0</v>
      </c>
      <c r="AG416">
        <f>IF(COUNT($E$2:$E416)&lt;15,"",IF(SUM($AC$403:$AC$416)=0,0,100*SUM($AE$403:$AE$416)/SUM($AC$403:$AC$416)))</f>
        <v>0</v>
      </c>
      <c r="AH416">
        <f>IF(COUNT($E$2:$E416)&lt;15,"",IF(SUM($AC$403:$AC$416)=0,0,100*SUM($AF$403:$AF$416)/SUM($AC$403:$AC$416)))</f>
        <v>0</v>
      </c>
      <c r="AI416">
        <f>IF(OR(AG416="",AH416=""),"",IF((AG416+AH416)=0,0,100*ABS(AG416-AH416)/(AG416+AH416)))</f>
        <v>0</v>
      </c>
      <c r="AJ416">
        <f>IF(COUNT($AI$403:$AI$416)&lt;14,"",AVERAGE($AI$403:$AI$416))</f>
        <v>0</v>
      </c>
      <c r="AK416">
        <f>IF(COUNT($E$2:$E416)&lt;20,"",AVERAGE($E$397:$E$416))</f>
        <v>0</v>
      </c>
      <c r="AL416">
        <f>IF(COUNT($E$2:$E416)&lt;20,"",STDEVP($E$397:$E$416))</f>
        <v>0</v>
      </c>
      <c r="AM416">
        <f>IF(AK416="","",AK416+2*AL416)</f>
        <v>0</v>
      </c>
      <c r="AN416">
        <f>IF(AK416="","",AK416-2*AL416)</f>
        <v>0</v>
      </c>
      <c r="AO416">
        <f>IF(OR(AM416="",AN416="",AM416=AN416),"",($E416-AN416)/(AM416-AN416))</f>
        <v>0</v>
      </c>
      <c r="AP416">
        <f>IF(OR(AM416="",AK416="",AK416=0),"",(AM416-AN416)/AK416)</f>
        <v>0</v>
      </c>
      <c r="AQ416">
        <f>IF(COUNT($E$2:$E416)&lt;20,"",MAX($C$397:$C$416))</f>
        <v>0</v>
      </c>
      <c r="AR416">
        <f>IF(COUNT($E$2:$E416)&lt;20,"",MIN($D$397:$D$416))</f>
        <v>0</v>
      </c>
      <c r="AS416">
        <f>IF(OR(AQ416="",AR416=""),"",(AQ416+AR416)/2)</f>
        <v>0</v>
      </c>
      <c r="AT416">
        <f>IF(COUNT($G$397:$G$416)&lt;20,"",STDEV($G$397:$G$416)*SQRT(52))</f>
        <v>0</v>
      </c>
      <c r="AU416">
        <f>IF(COUNT($E$2:$E416)&lt;9,"",(MAX($C$408:$C$416)+MIN($D$408:$D$416))/2)</f>
        <v>0</v>
      </c>
      <c r="AV416">
        <f>IF(COUNT($E$2:$E416)&lt;26,"",(MAX($C$391:$C$416)+MIN($D$391:$D$416))/2)</f>
        <v>0</v>
      </c>
      <c r="AW416">
        <f>IF(OR(AU416="",AV416=""),"",(AU416+AV416)/2)</f>
        <v>0</v>
      </c>
      <c r="AX416">
        <f>IF(COUNT($E$2:$E416)&lt;52,"",(MAX($C$365:$C$416)+MIN($D$365:$D$416))/2)</f>
        <v>0</v>
      </c>
      <c r="AY416">
        <f>IF(COUNT($E$2:$E416)&lt;20,"",MAX($C$317:$C$416))</f>
        <v>0</v>
      </c>
      <c r="AZ416">
        <f>IF(COUNT($E$2:$E416)&lt;20,"",MIN($D$317:$D$416))</f>
        <v>0</v>
      </c>
      <c r="BA416">
        <f>IF(COUNT($E$2:$E416)&lt;20,"",SLOPE($E$317:$E$416,$F$317:$F$416))</f>
        <v>0</v>
      </c>
      <c r="BB416">
        <f>IF(COUNT($E$2:$E416)&lt;20,"",INTERCEPT($E$317:$E$416,$F$317:$F$416))</f>
        <v>0</v>
      </c>
      <c r="BC416">
        <f>IF(OR(BA416="",BB416=""),"",BB416+BA416*F416)</f>
        <v>0</v>
      </c>
      <c r="BD416">
        <f>IF(COUNT($E$2:$E416)&lt;20,"",STEYX($E$317:$E$416,$F$317:$F$416))</f>
        <v>0</v>
      </c>
      <c r="BE416">
        <f>IF($E416="","",IF(AND(COUNT($E$417:$E$420)&gt;=4,$C416=MAX($C$412:$C$420)),$C416,""))</f>
        <v>0</v>
      </c>
      <c r="BF416">
        <f>IF($E416="","",IF(AND(COUNT($E$417:$E$420)&gt;=4,$D416=MIN($D$412:$D$420)),$D416,""))</f>
        <v>0</v>
      </c>
      <c r="BG416">
        <f>IFERROR(SMALL(Calc_Daily!$BM$2:$BM$2001,415),"")</f>
        <v>0</v>
      </c>
    </row>
    <row r="417" spans="1:59">
      <c r="A417" s="27">
        <f>IF($BG417="","",INDEX(Calc_Daily!$A$2:$A$2001,$BG417))</f>
        <v>0</v>
      </c>
      <c r="B417">
        <f>IF($BG417="","",INDEX(Calc_Daily!$BJ$2:$BJ$2001,$BG417))</f>
        <v>0</v>
      </c>
      <c r="C417">
        <f>IF($BG417="","",INDEX(Calc_Daily!$BK$2:$BK$2001,$BG417))</f>
        <v>0</v>
      </c>
      <c r="D417">
        <f>IF($BG417="","",INDEX(Calc_Daily!$BL$2:$BL$2001,$BG417))</f>
        <v>0</v>
      </c>
      <c r="E417">
        <f>IF($BG417="","",INDEX(Calc_Daily!$E$2:$E$2001,$BG417))</f>
        <v>0</v>
      </c>
      <c r="F417">
        <f>IF($E417="","",N(F416)+1)</f>
        <v>0</v>
      </c>
      <c r="G417">
        <f>IF(OR($E417="",$E416=""),"",LN($E417/$E416))</f>
        <v>0</v>
      </c>
      <c r="H417">
        <f>IF($E417="","",IF($E416="",$E417,$E417*0.0952380952+H416*0.9047619048))</f>
        <v>0</v>
      </c>
      <c r="I417">
        <f>IF($E417="","",IF($E416="",$E417,$E417*0.0392156863+I416*0.9607843137))</f>
        <v>0</v>
      </c>
      <c r="J417">
        <f>IF($E417="","",IF($E416="",$E417,$E417*0.0198019802+J416*0.9801980198))</f>
        <v>0</v>
      </c>
      <c r="K417">
        <f>IF($E417="","",IF($E416="",$E417,$E417*0.0099502488+K416*0.9900497512))</f>
        <v>0</v>
      </c>
      <c r="L417">
        <f>IF(OR($E417="",$E416=""),"",MAX($E417-$E416,0))</f>
        <v>0</v>
      </c>
      <c r="M417">
        <f>IF(OR($E417="",$E416=""),"",MAX($E416-$E417,0))</f>
        <v>0</v>
      </c>
      <c r="N417">
        <f>IF(COUNT($E$2:$E417)&lt;15,"",IF(AVERAGE($M$404:$M$417)=0,100,100-100/(1+AVERAGE($L$404:$L$417)/AVERAGE($M$404:$M$417))))</f>
        <v>0</v>
      </c>
      <c r="O417">
        <f>IF($E417="","",IF($E416="",$E417,$E417*0.1538461538+O416*0.8461538462))</f>
        <v>0</v>
      </c>
      <c r="P417">
        <f>IF($E417="","",IF($E416="",$E417,$E417*0.0740740741+P416*0.9259259259))</f>
        <v>0</v>
      </c>
      <c r="Q417">
        <f>IF(OR(O417="",P417=""),"",O417-P417)</f>
        <v>0</v>
      </c>
      <c r="R417">
        <f>IF(Q417="","",IF(R416="",Q417,Q417*0.2000000000+R416*0.8000000000))</f>
        <v>0</v>
      </c>
      <c r="S417">
        <f>IF(OR(Q417="",R417=""),"",Q417-R417)</f>
        <v>0</v>
      </c>
      <c r="T417">
        <f>IF(COUNT($E$2:$E417)&lt;14,"",MAX($C$404:$C$417))</f>
        <v>0</v>
      </c>
      <c r="U417">
        <f>IF(COUNT($E$2:$E417)&lt;14,"",MIN($D$404:$D$417))</f>
        <v>0</v>
      </c>
      <c r="V417">
        <f>IF(OR(T417="",U417="",T417=U417),"",100*($E417-U417)/(T417-U417))</f>
        <v>0</v>
      </c>
      <c r="W417">
        <f>IF(COUNT($V$415:$V$417)&lt;3,"",AVERAGE($V$415:$V$417))</f>
        <v>0</v>
      </c>
      <c r="X417">
        <f>IF(COUNT($N$404:$N$417)&lt;14,"",MIN($N$404:$N$417))</f>
        <v>0</v>
      </c>
      <c r="Y417">
        <f>IF(COUNT($N$404:$N$417)&lt;14,"",MAX($N$404:$N$417))</f>
        <v>0</v>
      </c>
      <c r="Z417">
        <f>IF(OR(N417="",X417="",Y417="",Y417=X417),"",100*(N417-X417)/(Y417-X417))</f>
        <v>0</v>
      </c>
      <c r="AA417">
        <f>IF(COUNT($Z$415:$Z$417)&lt;3,"",AVERAGE($Z$415:$Z$417))</f>
        <v>0</v>
      </c>
      <c r="AB417">
        <f>IF(COUNT($AA$415:$AA$417)&lt;3,"",AVERAGE($AA$415:$AA$417))</f>
        <v>0</v>
      </c>
      <c r="AC417">
        <f>IF($E417="","",MAX($C417-$D417,ABS($C417-$E416),ABS($D417-$E416)))</f>
        <v>0</v>
      </c>
      <c r="AD417">
        <f>IF(COUNT($E$2:$E417)&lt;15,"",AVERAGE($AC$404:$AC$417))</f>
        <v>0</v>
      </c>
      <c r="AE417">
        <f>IF(OR($E417="",$E416=""),"",IF(AND(($C417-$C416)&gt;($D416-$D417),($C417-$C416)&gt;0),$C417-$C416,0))</f>
        <v>0</v>
      </c>
      <c r="AF417">
        <f>IF(OR($E417="",$E416=""),"",IF(AND(($D416-$D417)&gt;($C417-$C416),($D416-$D417)&gt;0),$D416-$D417,0))</f>
        <v>0</v>
      </c>
      <c r="AG417">
        <f>IF(COUNT($E$2:$E417)&lt;15,"",IF(SUM($AC$404:$AC$417)=0,0,100*SUM($AE$404:$AE$417)/SUM($AC$404:$AC$417)))</f>
        <v>0</v>
      </c>
      <c r="AH417">
        <f>IF(COUNT($E$2:$E417)&lt;15,"",IF(SUM($AC$404:$AC$417)=0,0,100*SUM($AF$404:$AF$417)/SUM($AC$404:$AC$417)))</f>
        <v>0</v>
      </c>
      <c r="AI417">
        <f>IF(OR(AG417="",AH417=""),"",IF((AG417+AH417)=0,0,100*ABS(AG417-AH417)/(AG417+AH417)))</f>
        <v>0</v>
      </c>
      <c r="AJ417">
        <f>IF(COUNT($AI$404:$AI$417)&lt;14,"",AVERAGE($AI$404:$AI$417))</f>
        <v>0</v>
      </c>
      <c r="AK417">
        <f>IF(COUNT($E$2:$E417)&lt;20,"",AVERAGE($E$398:$E$417))</f>
        <v>0</v>
      </c>
      <c r="AL417">
        <f>IF(COUNT($E$2:$E417)&lt;20,"",STDEVP($E$398:$E$417))</f>
        <v>0</v>
      </c>
      <c r="AM417">
        <f>IF(AK417="","",AK417+2*AL417)</f>
        <v>0</v>
      </c>
      <c r="AN417">
        <f>IF(AK417="","",AK417-2*AL417)</f>
        <v>0</v>
      </c>
      <c r="AO417">
        <f>IF(OR(AM417="",AN417="",AM417=AN417),"",($E417-AN417)/(AM417-AN417))</f>
        <v>0</v>
      </c>
      <c r="AP417">
        <f>IF(OR(AM417="",AK417="",AK417=0),"",(AM417-AN417)/AK417)</f>
        <v>0</v>
      </c>
      <c r="AQ417">
        <f>IF(COUNT($E$2:$E417)&lt;20,"",MAX($C$398:$C$417))</f>
        <v>0</v>
      </c>
      <c r="AR417">
        <f>IF(COUNT($E$2:$E417)&lt;20,"",MIN($D$398:$D$417))</f>
        <v>0</v>
      </c>
      <c r="AS417">
        <f>IF(OR(AQ417="",AR417=""),"",(AQ417+AR417)/2)</f>
        <v>0</v>
      </c>
      <c r="AT417">
        <f>IF(COUNT($G$398:$G$417)&lt;20,"",STDEV($G$398:$G$417)*SQRT(52))</f>
        <v>0</v>
      </c>
      <c r="AU417">
        <f>IF(COUNT($E$2:$E417)&lt;9,"",(MAX($C$409:$C$417)+MIN($D$409:$D$417))/2)</f>
        <v>0</v>
      </c>
      <c r="AV417">
        <f>IF(COUNT($E$2:$E417)&lt;26,"",(MAX($C$392:$C$417)+MIN($D$392:$D$417))/2)</f>
        <v>0</v>
      </c>
      <c r="AW417">
        <f>IF(OR(AU417="",AV417=""),"",(AU417+AV417)/2)</f>
        <v>0</v>
      </c>
      <c r="AX417">
        <f>IF(COUNT($E$2:$E417)&lt;52,"",(MAX($C$366:$C$417)+MIN($D$366:$D$417))/2)</f>
        <v>0</v>
      </c>
      <c r="AY417">
        <f>IF(COUNT($E$2:$E417)&lt;20,"",MAX($C$318:$C$417))</f>
        <v>0</v>
      </c>
      <c r="AZ417">
        <f>IF(COUNT($E$2:$E417)&lt;20,"",MIN($D$318:$D$417))</f>
        <v>0</v>
      </c>
      <c r="BA417">
        <f>IF(COUNT($E$2:$E417)&lt;20,"",SLOPE($E$318:$E$417,$F$318:$F$417))</f>
        <v>0</v>
      </c>
      <c r="BB417">
        <f>IF(COUNT($E$2:$E417)&lt;20,"",INTERCEPT($E$318:$E$417,$F$318:$F$417))</f>
        <v>0</v>
      </c>
      <c r="BC417">
        <f>IF(OR(BA417="",BB417=""),"",BB417+BA417*F417)</f>
        <v>0</v>
      </c>
      <c r="BD417">
        <f>IF(COUNT($E$2:$E417)&lt;20,"",STEYX($E$318:$E$417,$F$318:$F$417))</f>
        <v>0</v>
      </c>
      <c r="BE417">
        <f>IF($E417="","",IF(AND(COUNT($E$418:$E$421)&gt;=4,$C417=MAX($C$413:$C$421)),$C417,""))</f>
        <v>0</v>
      </c>
      <c r="BF417">
        <f>IF($E417="","",IF(AND(COUNT($E$418:$E$421)&gt;=4,$D417=MIN($D$413:$D$421)),$D417,""))</f>
        <v>0</v>
      </c>
      <c r="BG417">
        <f>IFERROR(SMALL(Calc_Daily!$BM$2:$BM$2001,416),"")</f>
        <v>0</v>
      </c>
    </row>
    <row r="418" spans="1:59">
      <c r="A418" s="27">
        <f>IF($BG418="","",INDEX(Calc_Daily!$A$2:$A$2001,$BG418))</f>
        <v>0</v>
      </c>
      <c r="B418">
        <f>IF($BG418="","",INDEX(Calc_Daily!$BJ$2:$BJ$2001,$BG418))</f>
        <v>0</v>
      </c>
      <c r="C418">
        <f>IF($BG418="","",INDEX(Calc_Daily!$BK$2:$BK$2001,$BG418))</f>
        <v>0</v>
      </c>
      <c r="D418">
        <f>IF($BG418="","",INDEX(Calc_Daily!$BL$2:$BL$2001,$BG418))</f>
        <v>0</v>
      </c>
      <c r="E418">
        <f>IF($BG418="","",INDEX(Calc_Daily!$E$2:$E$2001,$BG418))</f>
        <v>0</v>
      </c>
      <c r="F418">
        <f>IF($E418="","",N(F417)+1)</f>
        <v>0</v>
      </c>
      <c r="G418">
        <f>IF(OR($E418="",$E417=""),"",LN($E418/$E417))</f>
        <v>0</v>
      </c>
      <c r="H418">
        <f>IF($E418="","",IF($E417="",$E418,$E418*0.0952380952+H417*0.9047619048))</f>
        <v>0</v>
      </c>
      <c r="I418">
        <f>IF($E418="","",IF($E417="",$E418,$E418*0.0392156863+I417*0.9607843137))</f>
        <v>0</v>
      </c>
      <c r="J418">
        <f>IF($E418="","",IF($E417="",$E418,$E418*0.0198019802+J417*0.9801980198))</f>
        <v>0</v>
      </c>
      <c r="K418">
        <f>IF($E418="","",IF($E417="",$E418,$E418*0.0099502488+K417*0.9900497512))</f>
        <v>0</v>
      </c>
      <c r="L418">
        <f>IF(OR($E418="",$E417=""),"",MAX($E418-$E417,0))</f>
        <v>0</v>
      </c>
      <c r="M418">
        <f>IF(OR($E418="",$E417=""),"",MAX($E417-$E418,0))</f>
        <v>0</v>
      </c>
      <c r="N418">
        <f>IF(COUNT($E$2:$E418)&lt;15,"",IF(AVERAGE($M$405:$M$418)=0,100,100-100/(1+AVERAGE($L$405:$L$418)/AVERAGE($M$405:$M$418))))</f>
        <v>0</v>
      </c>
      <c r="O418">
        <f>IF($E418="","",IF($E417="",$E418,$E418*0.1538461538+O417*0.8461538462))</f>
        <v>0</v>
      </c>
      <c r="P418">
        <f>IF($E418="","",IF($E417="",$E418,$E418*0.0740740741+P417*0.9259259259))</f>
        <v>0</v>
      </c>
      <c r="Q418">
        <f>IF(OR(O418="",P418=""),"",O418-P418)</f>
        <v>0</v>
      </c>
      <c r="R418">
        <f>IF(Q418="","",IF(R417="",Q418,Q418*0.2000000000+R417*0.8000000000))</f>
        <v>0</v>
      </c>
      <c r="S418">
        <f>IF(OR(Q418="",R418=""),"",Q418-R418)</f>
        <v>0</v>
      </c>
      <c r="T418">
        <f>IF(COUNT($E$2:$E418)&lt;14,"",MAX($C$405:$C$418))</f>
        <v>0</v>
      </c>
      <c r="U418">
        <f>IF(COUNT($E$2:$E418)&lt;14,"",MIN($D$405:$D$418))</f>
        <v>0</v>
      </c>
      <c r="V418">
        <f>IF(OR(T418="",U418="",T418=U418),"",100*($E418-U418)/(T418-U418))</f>
        <v>0</v>
      </c>
      <c r="W418">
        <f>IF(COUNT($V$416:$V$418)&lt;3,"",AVERAGE($V$416:$V$418))</f>
        <v>0</v>
      </c>
      <c r="X418">
        <f>IF(COUNT($N$405:$N$418)&lt;14,"",MIN($N$405:$N$418))</f>
        <v>0</v>
      </c>
      <c r="Y418">
        <f>IF(COUNT($N$405:$N$418)&lt;14,"",MAX($N$405:$N$418))</f>
        <v>0</v>
      </c>
      <c r="Z418">
        <f>IF(OR(N418="",X418="",Y418="",Y418=X418),"",100*(N418-X418)/(Y418-X418))</f>
        <v>0</v>
      </c>
      <c r="AA418">
        <f>IF(COUNT($Z$416:$Z$418)&lt;3,"",AVERAGE($Z$416:$Z$418))</f>
        <v>0</v>
      </c>
      <c r="AB418">
        <f>IF(COUNT($AA$416:$AA$418)&lt;3,"",AVERAGE($AA$416:$AA$418))</f>
        <v>0</v>
      </c>
      <c r="AC418">
        <f>IF($E418="","",MAX($C418-$D418,ABS($C418-$E417),ABS($D418-$E417)))</f>
        <v>0</v>
      </c>
      <c r="AD418">
        <f>IF(COUNT($E$2:$E418)&lt;15,"",AVERAGE($AC$405:$AC$418))</f>
        <v>0</v>
      </c>
      <c r="AE418">
        <f>IF(OR($E418="",$E417=""),"",IF(AND(($C418-$C417)&gt;($D417-$D418),($C418-$C417)&gt;0),$C418-$C417,0))</f>
        <v>0</v>
      </c>
      <c r="AF418">
        <f>IF(OR($E418="",$E417=""),"",IF(AND(($D417-$D418)&gt;($C418-$C417),($D417-$D418)&gt;0),$D417-$D418,0))</f>
        <v>0</v>
      </c>
      <c r="AG418">
        <f>IF(COUNT($E$2:$E418)&lt;15,"",IF(SUM($AC$405:$AC$418)=0,0,100*SUM($AE$405:$AE$418)/SUM($AC$405:$AC$418)))</f>
        <v>0</v>
      </c>
      <c r="AH418">
        <f>IF(COUNT($E$2:$E418)&lt;15,"",IF(SUM($AC$405:$AC$418)=0,0,100*SUM($AF$405:$AF$418)/SUM($AC$405:$AC$418)))</f>
        <v>0</v>
      </c>
      <c r="AI418">
        <f>IF(OR(AG418="",AH418=""),"",IF((AG418+AH418)=0,0,100*ABS(AG418-AH418)/(AG418+AH418)))</f>
        <v>0</v>
      </c>
      <c r="AJ418">
        <f>IF(COUNT($AI$405:$AI$418)&lt;14,"",AVERAGE($AI$405:$AI$418))</f>
        <v>0</v>
      </c>
      <c r="AK418">
        <f>IF(COUNT($E$2:$E418)&lt;20,"",AVERAGE($E$399:$E$418))</f>
        <v>0</v>
      </c>
      <c r="AL418">
        <f>IF(COUNT($E$2:$E418)&lt;20,"",STDEVP($E$399:$E$418))</f>
        <v>0</v>
      </c>
      <c r="AM418">
        <f>IF(AK418="","",AK418+2*AL418)</f>
        <v>0</v>
      </c>
      <c r="AN418">
        <f>IF(AK418="","",AK418-2*AL418)</f>
        <v>0</v>
      </c>
      <c r="AO418">
        <f>IF(OR(AM418="",AN418="",AM418=AN418),"",($E418-AN418)/(AM418-AN418))</f>
        <v>0</v>
      </c>
      <c r="AP418">
        <f>IF(OR(AM418="",AK418="",AK418=0),"",(AM418-AN418)/AK418)</f>
        <v>0</v>
      </c>
      <c r="AQ418">
        <f>IF(COUNT($E$2:$E418)&lt;20,"",MAX($C$399:$C$418))</f>
        <v>0</v>
      </c>
      <c r="AR418">
        <f>IF(COUNT($E$2:$E418)&lt;20,"",MIN($D$399:$D$418))</f>
        <v>0</v>
      </c>
      <c r="AS418">
        <f>IF(OR(AQ418="",AR418=""),"",(AQ418+AR418)/2)</f>
        <v>0</v>
      </c>
      <c r="AT418">
        <f>IF(COUNT($G$399:$G$418)&lt;20,"",STDEV($G$399:$G$418)*SQRT(52))</f>
        <v>0</v>
      </c>
      <c r="AU418">
        <f>IF(COUNT($E$2:$E418)&lt;9,"",(MAX($C$410:$C$418)+MIN($D$410:$D$418))/2)</f>
        <v>0</v>
      </c>
      <c r="AV418">
        <f>IF(COUNT($E$2:$E418)&lt;26,"",(MAX($C$393:$C$418)+MIN($D$393:$D$418))/2)</f>
        <v>0</v>
      </c>
      <c r="AW418">
        <f>IF(OR(AU418="",AV418=""),"",(AU418+AV418)/2)</f>
        <v>0</v>
      </c>
      <c r="AX418">
        <f>IF(COUNT($E$2:$E418)&lt;52,"",(MAX($C$367:$C$418)+MIN($D$367:$D$418))/2)</f>
        <v>0</v>
      </c>
      <c r="AY418">
        <f>IF(COUNT($E$2:$E418)&lt;20,"",MAX($C$319:$C$418))</f>
        <v>0</v>
      </c>
      <c r="AZ418">
        <f>IF(COUNT($E$2:$E418)&lt;20,"",MIN($D$319:$D$418))</f>
        <v>0</v>
      </c>
      <c r="BA418">
        <f>IF(COUNT($E$2:$E418)&lt;20,"",SLOPE($E$319:$E$418,$F$319:$F$418))</f>
        <v>0</v>
      </c>
      <c r="BB418">
        <f>IF(COUNT($E$2:$E418)&lt;20,"",INTERCEPT($E$319:$E$418,$F$319:$F$418))</f>
        <v>0</v>
      </c>
      <c r="BC418">
        <f>IF(OR(BA418="",BB418=""),"",BB418+BA418*F418)</f>
        <v>0</v>
      </c>
      <c r="BD418">
        <f>IF(COUNT($E$2:$E418)&lt;20,"",STEYX($E$319:$E$418,$F$319:$F$418))</f>
        <v>0</v>
      </c>
      <c r="BE418">
        <f>IF($E418="","",IF(AND(COUNT($E$419:$E$422)&gt;=4,$C418=MAX($C$414:$C$422)),$C418,""))</f>
        <v>0</v>
      </c>
      <c r="BF418">
        <f>IF($E418="","",IF(AND(COUNT($E$419:$E$422)&gt;=4,$D418=MIN($D$414:$D$422)),$D418,""))</f>
        <v>0</v>
      </c>
      <c r="BG418">
        <f>IFERROR(SMALL(Calc_Daily!$BM$2:$BM$2001,417),"")</f>
        <v>0</v>
      </c>
    </row>
    <row r="419" spans="1:59">
      <c r="A419" s="27">
        <f>IF($BG419="","",INDEX(Calc_Daily!$A$2:$A$2001,$BG419))</f>
        <v>0</v>
      </c>
      <c r="B419">
        <f>IF($BG419="","",INDEX(Calc_Daily!$BJ$2:$BJ$2001,$BG419))</f>
        <v>0</v>
      </c>
      <c r="C419">
        <f>IF($BG419="","",INDEX(Calc_Daily!$BK$2:$BK$2001,$BG419))</f>
        <v>0</v>
      </c>
      <c r="D419">
        <f>IF($BG419="","",INDEX(Calc_Daily!$BL$2:$BL$2001,$BG419))</f>
        <v>0</v>
      </c>
      <c r="E419">
        <f>IF($BG419="","",INDEX(Calc_Daily!$E$2:$E$2001,$BG419))</f>
        <v>0</v>
      </c>
      <c r="F419">
        <f>IF($E419="","",N(F418)+1)</f>
        <v>0</v>
      </c>
      <c r="G419">
        <f>IF(OR($E419="",$E418=""),"",LN($E419/$E418))</f>
        <v>0</v>
      </c>
      <c r="H419">
        <f>IF($E419="","",IF($E418="",$E419,$E419*0.0952380952+H418*0.9047619048))</f>
        <v>0</v>
      </c>
      <c r="I419">
        <f>IF($E419="","",IF($E418="",$E419,$E419*0.0392156863+I418*0.9607843137))</f>
        <v>0</v>
      </c>
      <c r="J419">
        <f>IF($E419="","",IF($E418="",$E419,$E419*0.0198019802+J418*0.9801980198))</f>
        <v>0</v>
      </c>
      <c r="K419">
        <f>IF($E419="","",IF($E418="",$E419,$E419*0.0099502488+K418*0.9900497512))</f>
        <v>0</v>
      </c>
      <c r="L419">
        <f>IF(OR($E419="",$E418=""),"",MAX($E419-$E418,0))</f>
        <v>0</v>
      </c>
      <c r="M419">
        <f>IF(OR($E419="",$E418=""),"",MAX($E418-$E419,0))</f>
        <v>0</v>
      </c>
      <c r="N419">
        <f>IF(COUNT($E$2:$E419)&lt;15,"",IF(AVERAGE($M$406:$M$419)=0,100,100-100/(1+AVERAGE($L$406:$L$419)/AVERAGE($M$406:$M$419))))</f>
        <v>0</v>
      </c>
      <c r="O419">
        <f>IF($E419="","",IF($E418="",$E419,$E419*0.1538461538+O418*0.8461538462))</f>
        <v>0</v>
      </c>
      <c r="P419">
        <f>IF($E419="","",IF($E418="",$E419,$E419*0.0740740741+P418*0.9259259259))</f>
        <v>0</v>
      </c>
      <c r="Q419">
        <f>IF(OR(O419="",P419=""),"",O419-P419)</f>
        <v>0</v>
      </c>
      <c r="R419">
        <f>IF(Q419="","",IF(R418="",Q419,Q419*0.2000000000+R418*0.8000000000))</f>
        <v>0</v>
      </c>
      <c r="S419">
        <f>IF(OR(Q419="",R419=""),"",Q419-R419)</f>
        <v>0</v>
      </c>
      <c r="T419">
        <f>IF(COUNT($E$2:$E419)&lt;14,"",MAX($C$406:$C$419))</f>
        <v>0</v>
      </c>
      <c r="U419">
        <f>IF(COUNT($E$2:$E419)&lt;14,"",MIN($D$406:$D$419))</f>
        <v>0</v>
      </c>
      <c r="V419">
        <f>IF(OR(T419="",U419="",T419=U419),"",100*($E419-U419)/(T419-U419))</f>
        <v>0</v>
      </c>
      <c r="W419">
        <f>IF(COUNT($V$417:$V$419)&lt;3,"",AVERAGE($V$417:$V$419))</f>
        <v>0</v>
      </c>
      <c r="X419">
        <f>IF(COUNT($N$406:$N$419)&lt;14,"",MIN($N$406:$N$419))</f>
        <v>0</v>
      </c>
      <c r="Y419">
        <f>IF(COUNT($N$406:$N$419)&lt;14,"",MAX($N$406:$N$419))</f>
        <v>0</v>
      </c>
      <c r="Z419">
        <f>IF(OR(N419="",X419="",Y419="",Y419=X419),"",100*(N419-X419)/(Y419-X419))</f>
        <v>0</v>
      </c>
      <c r="AA419">
        <f>IF(COUNT($Z$417:$Z$419)&lt;3,"",AVERAGE($Z$417:$Z$419))</f>
        <v>0</v>
      </c>
      <c r="AB419">
        <f>IF(COUNT($AA$417:$AA$419)&lt;3,"",AVERAGE($AA$417:$AA$419))</f>
        <v>0</v>
      </c>
      <c r="AC419">
        <f>IF($E419="","",MAX($C419-$D419,ABS($C419-$E418),ABS($D419-$E418)))</f>
        <v>0</v>
      </c>
      <c r="AD419">
        <f>IF(COUNT($E$2:$E419)&lt;15,"",AVERAGE($AC$406:$AC$419))</f>
        <v>0</v>
      </c>
      <c r="AE419">
        <f>IF(OR($E419="",$E418=""),"",IF(AND(($C419-$C418)&gt;($D418-$D419),($C419-$C418)&gt;0),$C419-$C418,0))</f>
        <v>0</v>
      </c>
      <c r="AF419">
        <f>IF(OR($E419="",$E418=""),"",IF(AND(($D418-$D419)&gt;($C419-$C418),($D418-$D419)&gt;0),$D418-$D419,0))</f>
        <v>0</v>
      </c>
      <c r="AG419">
        <f>IF(COUNT($E$2:$E419)&lt;15,"",IF(SUM($AC$406:$AC$419)=0,0,100*SUM($AE$406:$AE$419)/SUM($AC$406:$AC$419)))</f>
        <v>0</v>
      </c>
      <c r="AH419">
        <f>IF(COUNT($E$2:$E419)&lt;15,"",IF(SUM($AC$406:$AC$419)=0,0,100*SUM($AF$406:$AF$419)/SUM($AC$406:$AC$419)))</f>
        <v>0</v>
      </c>
      <c r="AI419">
        <f>IF(OR(AG419="",AH419=""),"",IF((AG419+AH419)=0,0,100*ABS(AG419-AH419)/(AG419+AH419)))</f>
        <v>0</v>
      </c>
      <c r="AJ419">
        <f>IF(COUNT($AI$406:$AI$419)&lt;14,"",AVERAGE($AI$406:$AI$419))</f>
        <v>0</v>
      </c>
      <c r="AK419">
        <f>IF(COUNT($E$2:$E419)&lt;20,"",AVERAGE($E$400:$E$419))</f>
        <v>0</v>
      </c>
      <c r="AL419">
        <f>IF(COUNT($E$2:$E419)&lt;20,"",STDEVP($E$400:$E$419))</f>
        <v>0</v>
      </c>
      <c r="AM419">
        <f>IF(AK419="","",AK419+2*AL419)</f>
        <v>0</v>
      </c>
      <c r="AN419">
        <f>IF(AK419="","",AK419-2*AL419)</f>
        <v>0</v>
      </c>
      <c r="AO419">
        <f>IF(OR(AM419="",AN419="",AM419=AN419),"",($E419-AN419)/(AM419-AN419))</f>
        <v>0</v>
      </c>
      <c r="AP419">
        <f>IF(OR(AM419="",AK419="",AK419=0),"",(AM419-AN419)/AK419)</f>
        <v>0</v>
      </c>
      <c r="AQ419">
        <f>IF(COUNT($E$2:$E419)&lt;20,"",MAX($C$400:$C$419))</f>
        <v>0</v>
      </c>
      <c r="AR419">
        <f>IF(COUNT($E$2:$E419)&lt;20,"",MIN($D$400:$D$419))</f>
        <v>0</v>
      </c>
      <c r="AS419">
        <f>IF(OR(AQ419="",AR419=""),"",(AQ419+AR419)/2)</f>
        <v>0</v>
      </c>
      <c r="AT419">
        <f>IF(COUNT($G$400:$G$419)&lt;20,"",STDEV($G$400:$G$419)*SQRT(52))</f>
        <v>0</v>
      </c>
      <c r="AU419">
        <f>IF(COUNT($E$2:$E419)&lt;9,"",(MAX($C$411:$C$419)+MIN($D$411:$D$419))/2)</f>
        <v>0</v>
      </c>
      <c r="AV419">
        <f>IF(COUNT($E$2:$E419)&lt;26,"",(MAX($C$394:$C$419)+MIN($D$394:$D$419))/2)</f>
        <v>0</v>
      </c>
      <c r="AW419">
        <f>IF(OR(AU419="",AV419=""),"",(AU419+AV419)/2)</f>
        <v>0</v>
      </c>
      <c r="AX419">
        <f>IF(COUNT($E$2:$E419)&lt;52,"",(MAX($C$368:$C$419)+MIN($D$368:$D$419))/2)</f>
        <v>0</v>
      </c>
      <c r="AY419">
        <f>IF(COUNT($E$2:$E419)&lt;20,"",MAX($C$320:$C$419))</f>
        <v>0</v>
      </c>
      <c r="AZ419">
        <f>IF(COUNT($E$2:$E419)&lt;20,"",MIN($D$320:$D$419))</f>
        <v>0</v>
      </c>
      <c r="BA419">
        <f>IF(COUNT($E$2:$E419)&lt;20,"",SLOPE($E$320:$E$419,$F$320:$F$419))</f>
        <v>0</v>
      </c>
      <c r="BB419">
        <f>IF(COUNT($E$2:$E419)&lt;20,"",INTERCEPT($E$320:$E$419,$F$320:$F$419))</f>
        <v>0</v>
      </c>
      <c r="BC419">
        <f>IF(OR(BA419="",BB419=""),"",BB419+BA419*F419)</f>
        <v>0</v>
      </c>
      <c r="BD419">
        <f>IF(COUNT($E$2:$E419)&lt;20,"",STEYX($E$320:$E$419,$F$320:$F$419))</f>
        <v>0</v>
      </c>
      <c r="BE419">
        <f>IF($E419="","",IF(AND(COUNT($E$420:$E$423)&gt;=4,$C419=MAX($C$415:$C$423)),$C419,""))</f>
        <v>0</v>
      </c>
      <c r="BF419">
        <f>IF($E419="","",IF(AND(COUNT($E$420:$E$423)&gt;=4,$D419=MIN($D$415:$D$423)),$D419,""))</f>
        <v>0</v>
      </c>
      <c r="BG419">
        <f>IFERROR(SMALL(Calc_Daily!$BM$2:$BM$2001,418),"")</f>
        <v>0</v>
      </c>
    </row>
    <row r="420" spans="1:59">
      <c r="A420" s="27">
        <f>IF($BG420="","",INDEX(Calc_Daily!$A$2:$A$2001,$BG420))</f>
        <v>0</v>
      </c>
      <c r="B420">
        <f>IF($BG420="","",INDEX(Calc_Daily!$BJ$2:$BJ$2001,$BG420))</f>
        <v>0</v>
      </c>
      <c r="C420">
        <f>IF($BG420="","",INDEX(Calc_Daily!$BK$2:$BK$2001,$BG420))</f>
        <v>0</v>
      </c>
      <c r="D420">
        <f>IF($BG420="","",INDEX(Calc_Daily!$BL$2:$BL$2001,$BG420))</f>
        <v>0</v>
      </c>
      <c r="E420">
        <f>IF($BG420="","",INDEX(Calc_Daily!$E$2:$E$2001,$BG420))</f>
        <v>0</v>
      </c>
      <c r="F420">
        <f>IF($E420="","",N(F419)+1)</f>
        <v>0</v>
      </c>
      <c r="G420">
        <f>IF(OR($E420="",$E419=""),"",LN($E420/$E419))</f>
        <v>0</v>
      </c>
      <c r="H420">
        <f>IF($E420="","",IF($E419="",$E420,$E420*0.0952380952+H419*0.9047619048))</f>
        <v>0</v>
      </c>
      <c r="I420">
        <f>IF($E420="","",IF($E419="",$E420,$E420*0.0392156863+I419*0.9607843137))</f>
        <v>0</v>
      </c>
      <c r="J420">
        <f>IF($E420="","",IF($E419="",$E420,$E420*0.0198019802+J419*0.9801980198))</f>
        <v>0</v>
      </c>
      <c r="K420">
        <f>IF($E420="","",IF($E419="",$E420,$E420*0.0099502488+K419*0.9900497512))</f>
        <v>0</v>
      </c>
      <c r="L420">
        <f>IF(OR($E420="",$E419=""),"",MAX($E420-$E419,0))</f>
        <v>0</v>
      </c>
      <c r="M420">
        <f>IF(OR($E420="",$E419=""),"",MAX($E419-$E420,0))</f>
        <v>0</v>
      </c>
      <c r="N420">
        <f>IF(COUNT($E$2:$E420)&lt;15,"",IF(AVERAGE($M$407:$M$420)=0,100,100-100/(1+AVERAGE($L$407:$L$420)/AVERAGE($M$407:$M$420))))</f>
        <v>0</v>
      </c>
      <c r="O420">
        <f>IF($E420="","",IF($E419="",$E420,$E420*0.1538461538+O419*0.8461538462))</f>
        <v>0</v>
      </c>
      <c r="P420">
        <f>IF($E420="","",IF($E419="",$E420,$E420*0.0740740741+P419*0.9259259259))</f>
        <v>0</v>
      </c>
      <c r="Q420">
        <f>IF(OR(O420="",P420=""),"",O420-P420)</f>
        <v>0</v>
      </c>
      <c r="R420">
        <f>IF(Q420="","",IF(R419="",Q420,Q420*0.2000000000+R419*0.8000000000))</f>
        <v>0</v>
      </c>
      <c r="S420">
        <f>IF(OR(Q420="",R420=""),"",Q420-R420)</f>
        <v>0</v>
      </c>
      <c r="T420">
        <f>IF(COUNT($E$2:$E420)&lt;14,"",MAX($C$407:$C$420))</f>
        <v>0</v>
      </c>
      <c r="U420">
        <f>IF(COUNT($E$2:$E420)&lt;14,"",MIN($D$407:$D$420))</f>
        <v>0</v>
      </c>
      <c r="V420">
        <f>IF(OR(T420="",U420="",T420=U420),"",100*($E420-U420)/(T420-U420))</f>
        <v>0</v>
      </c>
      <c r="W420">
        <f>IF(COUNT($V$418:$V$420)&lt;3,"",AVERAGE($V$418:$V$420))</f>
        <v>0</v>
      </c>
      <c r="X420">
        <f>IF(COUNT($N$407:$N$420)&lt;14,"",MIN($N$407:$N$420))</f>
        <v>0</v>
      </c>
      <c r="Y420">
        <f>IF(COUNT($N$407:$N$420)&lt;14,"",MAX($N$407:$N$420))</f>
        <v>0</v>
      </c>
      <c r="Z420">
        <f>IF(OR(N420="",X420="",Y420="",Y420=X420),"",100*(N420-X420)/(Y420-X420))</f>
        <v>0</v>
      </c>
      <c r="AA420">
        <f>IF(COUNT($Z$418:$Z$420)&lt;3,"",AVERAGE($Z$418:$Z$420))</f>
        <v>0</v>
      </c>
      <c r="AB420">
        <f>IF(COUNT($AA$418:$AA$420)&lt;3,"",AVERAGE($AA$418:$AA$420))</f>
        <v>0</v>
      </c>
      <c r="AC420">
        <f>IF($E420="","",MAX($C420-$D420,ABS($C420-$E419),ABS($D420-$E419)))</f>
        <v>0</v>
      </c>
      <c r="AD420">
        <f>IF(COUNT($E$2:$E420)&lt;15,"",AVERAGE($AC$407:$AC$420))</f>
        <v>0</v>
      </c>
      <c r="AE420">
        <f>IF(OR($E420="",$E419=""),"",IF(AND(($C420-$C419)&gt;($D419-$D420),($C420-$C419)&gt;0),$C420-$C419,0))</f>
        <v>0</v>
      </c>
      <c r="AF420">
        <f>IF(OR($E420="",$E419=""),"",IF(AND(($D419-$D420)&gt;($C420-$C419),($D419-$D420)&gt;0),$D419-$D420,0))</f>
        <v>0</v>
      </c>
      <c r="AG420">
        <f>IF(COUNT($E$2:$E420)&lt;15,"",IF(SUM($AC$407:$AC$420)=0,0,100*SUM($AE$407:$AE$420)/SUM($AC$407:$AC$420)))</f>
        <v>0</v>
      </c>
      <c r="AH420">
        <f>IF(COUNT($E$2:$E420)&lt;15,"",IF(SUM($AC$407:$AC$420)=0,0,100*SUM($AF$407:$AF$420)/SUM($AC$407:$AC$420)))</f>
        <v>0</v>
      </c>
      <c r="AI420">
        <f>IF(OR(AG420="",AH420=""),"",IF((AG420+AH420)=0,0,100*ABS(AG420-AH420)/(AG420+AH420)))</f>
        <v>0</v>
      </c>
      <c r="AJ420">
        <f>IF(COUNT($AI$407:$AI$420)&lt;14,"",AVERAGE($AI$407:$AI$420))</f>
        <v>0</v>
      </c>
      <c r="AK420">
        <f>IF(COUNT($E$2:$E420)&lt;20,"",AVERAGE($E$401:$E$420))</f>
        <v>0</v>
      </c>
      <c r="AL420">
        <f>IF(COUNT($E$2:$E420)&lt;20,"",STDEVP($E$401:$E$420))</f>
        <v>0</v>
      </c>
      <c r="AM420">
        <f>IF(AK420="","",AK420+2*AL420)</f>
        <v>0</v>
      </c>
      <c r="AN420">
        <f>IF(AK420="","",AK420-2*AL420)</f>
        <v>0</v>
      </c>
      <c r="AO420">
        <f>IF(OR(AM420="",AN420="",AM420=AN420),"",($E420-AN420)/(AM420-AN420))</f>
        <v>0</v>
      </c>
      <c r="AP420">
        <f>IF(OR(AM420="",AK420="",AK420=0),"",(AM420-AN420)/AK420)</f>
        <v>0</v>
      </c>
      <c r="AQ420">
        <f>IF(COUNT($E$2:$E420)&lt;20,"",MAX($C$401:$C$420))</f>
        <v>0</v>
      </c>
      <c r="AR420">
        <f>IF(COUNT($E$2:$E420)&lt;20,"",MIN($D$401:$D$420))</f>
        <v>0</v>
      </c>
      <c r="AS420">
        <f>IF(OR(AQ420="",AR420=""),"",(AQ420+AR420)/2)</f>
        <v>0</v>
      </c>
      <c r="AT420">
        <f>IF(COUNT($G$401:$G$420)&lt;20,"",STDEV($G$401:$G$420)*SQRT(52))</f>
        <v>0</v>
      </c>
      <c r="AU420">
        <f>IF(COUNT($E$2:$E420)&lt;9,"",(MAX($C$412:$C$420)+MIN($D$412:$D$420))/2)</f>
        <v>0</v>
      </c>
      <c r="AV420">
        <f>IF(COUNT($E$2:$E420)&lt;26,"",(MAX($C$395:$C$420)+MIN($D$395:$D$420))/2)</f>
        <v>0</v>
      </c>
      <c r="AW420">
        <f>IF(OR(AU420="",AV420=""),"",(AU420+AV420)/2)</f>
        <v>0</v>
      </c>
      <c r="AX420">
        <f>IF(COUNT($E$2:$E420)&lt;52,"",(MAX($C$369:$C$420)+MIN($D$369:$D$420))/2)</f>
        <v>0</v>
      </c>
      <c r="AY420">
        <f>IF(COUNT($E$2:$E420)&lt;20,"",MAX($C$321:$C$420))</f>
        <v>0</v>
      </c>
      <c r="AZ420">
        <f>IF(COUNT($E$2:$E420)&lt;20,"",MIN($D$321:$D$420))</f>
        <v>0</v>
      </c>
      <c r="BA420">
        <f>IF(COUNT($E$2:$E420)&lt;20,"",SLOPE($E$321:$E$420,$F$321:$F$420))</f>
        <v>0</v>
      </c>
      <c r="BB420">
        <f>IF(COUNT($E$2:$E420)&lt;20,"",INTERCEPT($E$321:$E$420,$F$321:$F$420))</f>
        <v>0</v>
      </c>
      <c r="BC420">
        <f>IF(OR(BA420="",BB420=""),"",BB420+BA420*F420)</f>
        <v>0</v>
      </c>
      <c r="BD420">
        <f>IF(COUNT($E$2:$E420)&lt;20,"",STEYX($E$321:$E$420,$F$321:$F$420))</f>
        <v>0</v>
      </c>
      <c r="BE420">
        <f>IF($E420="","",IF(AND(COUNT($E$421:$E$424)&gt;=4,$C420=MAX($C$416:$C$424)),$C420,""))</f>
        <v>0</v>
      </c>
      <c r="BF420">
        <f>IF($E420="","",IF(AND(COUNT($E$421:$E$424)&gt;=4,$D420=MIN($D$416:$D$424)),$D420,""))</f>
        <v>0</v>
      </c>
      <c r="BG420">
        <f>IFERROR(SMALL(Calc_Daily!$BM$2:$BM$2001,419),"")</f>
        <v>0</v>
      </c>
    </row>
    <row r="421" spans="1:59">
      <c r="A421" s="27">
        <f>IF($BG421="","",INDEX(Calc_Daily!$A$2:$A$2001,$BG421))</f>
        <v>0</v>
      </c>
      <c r="B421">
        <f>IF($BG421="","",INDEX(Calc_Daily!$BJ$2:$BJ$2001,$BG421))</f>
        <v>0</v>
      </c>
      <c r="C421">
        <f>IF($BG421="","",INDEX(Calc_Daily!$BK$2:$BK$2001,$BG421))</f>
        <v>0</v>
      </c>
      <c r="D421">
        <f>IF($BG421="","",INDEX(Calc_Daily!$BL$2:$BL$2001,$BG421))</f>
        <v>0</v>
      </c>
      <c r="E421">
        <f>IF($BG421="","",INDEX(Calc_Daily!$E$2:$E$2001,$BG421))</f>
        <v>0</v>
      </c>
      <c r="F421">
        <f>IF($E421="","",N(F420)+1)</f>
        <v>0</v>
      </c>
      <c r="G421">
        <f>IF(OR($E421="",$E420=""),"",LN($E421/$E420))</f>
        <v>0</v>
      </c>
      <c r="H421">
        <f>IF($E421="","",IF($E420="",$E421,$E421*0.0952380952+H420*0.9047619048))</f>
        <v>0</v>
      </c>
      <c r="I421">
        <f>IF($E421="","",IF($E420="",$E421,$E421*0.0392156863+I420*0.9607843137))</f>
        <v>0</v>
      </c>
      <c r="J421">
        <f>IF($E421="","",IF($E420="",$E421,$E421*0.0198019802+J420*0.9801980198))</f>
        <v>0</v>
      </c>
      <c r="K421">
        <f>IF($E421="","",IF($E420="",$E421,$E421*0.0099502488+K420*0.9900497512))</f>
        <v>0</v>
      </c>
      <c r="L421">
        <f>IF(OR($E421="",$E420=""),"",MAX($E421-$E420,0))</f>
        <v>0</v>
      </c>
      <c r="M421">
        <f>IF(OR($E421="",$E420=""),"",MAX($E420-$E421,0))</f>
        <v>0</v>
      </c>
      <c r="N421">
        <f>IF(COUNT($E$2:$E421)&lt;15,"",IF(AVERAGE($M$408:$M$421)=0,100,100-100/(1+AVERAGE($L$408:$L$421)/AVERAGE($M$408:$M$421))))</f>
        <v>0</v>
      </c>
      <c r="O421">
        <f>IF($E421="","",IF($E420="",$E421,$E421*0.1538461538+O420*0.8461538462))</f>
        <v>0</v>
      </c>
      <c r="P421">
        <f>IF($E421="","",IF($E420="",$E421,$E421*0.0740740741+P420*0.9259259259))</f>
        <v>0</v>
      </c>
      <c r="Q421">
        <f>IF(OR(O421="",P421=""),"",O421-P421)</f>
        <v>0</v>
      </c>
      <c r="R421">
        <f>IF(Q421="","",IF(R420="",Q421,Q421*0.2000000000+R420*0.8000000000))</f>
        <v>0</v>
      </c>
      <c r="S421">
        <f>IF(OR(Q421="",R421=""),"",Q421-R421)</f>
        <v>0</v>
      </c>
      <c r="T421">
        <f>IF(COUNT($E$2:$E421)&lt;14,"",MAX($C$408:$C$421))</f>
        <v>0</v>
      </c>
      <c r="U421">
        <f>IF(COUNT($E$2:$E421)&lt;14,"",MIN($D$408:$D$421))</f>
        <v>0</v>
      </c>
      <c r="V421">
        <f>IF(OR(T421="",U421="",T421=U421),"",100*($E421-U421)/(T421-U421))</f>
        <v>0</v>
      </c>
      <c r="W421">
        <f>IF(COUNT($V$419:$V$421)&lt;3,"",AVERAGE($V$419:$V$421))</f>
        <v>0</v>
      </c>
      <c r="X421">
        <f>IF(COUNT($N$408:$N$421)&lt;14,"",MIN($N$408:$N$421))</f>
        <v>0</v>
      </c>
      <c r="Y421">
        <f>IF(COUNT($N$408:$N$421)&lt;14,"",MAX($N$408:$N$421))</f>
        <v>0</v>
      </c>
      <c r="Z421">
        <f>IF(OR(N421="",X421="",Y421="",Y421=X421),"",100*(N421-X421)/(Y421-X421))</f>
        <v>0</v>
      </c>
      <c r="AA421">
        <f>IF(COUNT($Z$419:$Z$421)&lt;3,"",AVERAGE($Z$419:$Z$421))</f>
        <v>0</v>
      </c>
      <c r="AB421">
        <f>IF(COUNT($AA$419:$AA$421)&lt;3,"",AVERAGE($AA$419:$AA$421))</f>
        <v>0</v>
      </c>
      <c r="AC421">
        <f>IF($E421="","",MAX($C421-$D421,ABS($C421-$E420),ABS($D421-$E420)))</f>
        <v>0</v>
      </c>
      <c r="AD421">
        <f>IF(COUNT($E$2:$E421)&lt;15,"",AVERAGE($AC$408:$AC$421))</f>
        <v>0</v>
      </c>
      <c r="AE421">
        <f>IF(OR($E421="",$E420=""),"",IF(AND(($C421-$C420)&gt;($D420-$D421),($C421-$C420)&gt;0),$C421-$C420,0))</f>
        <v>0</v>
      </c>
      <c r="AF421">
        <f>IF(OR($E421="",$E420=""),"",IF(AND(($D420-$D421)&gt;($C421-$C420),($D420-$D421)&gt;0),$D420-$D421,0))</f>
        <v>0</v>
      </c>
      <c r="AG421">
        <f>IF(COUNT($E$2:$E421)&lt;15,"",IF(SUM($AC$408:$AC$421)=0,0,100*SUM($AE$408:$AE$421)/SUM($AC$408:$AC$421)))</f>
        <v>0</v>
      </c>
      <c r="AH421">
        <f>IF(COUNT($E$2:$E421)&lt;15,"",IF(SUM($AC$408:$AC$421)=0,0,100*SUM($AF$408:$AF$421)/SUM($AC$408:$AC$421)))</f>
        <v>0</v>
      </c>
      <c r="AI421">
        <f>IF(OR(AG421="",AH421=""),"",IF((AG421+AH421)=0,0,100*ABS(AG421-AH421)/(AG421+AH421)))</f>
        <v>0</v>
      </c>
      <c r="AJ421">
        <f>IF(COUNT($AI$408:$AI$421)&lt;14,"",AVERAGE($AI$408:$AI$421))</f>
        <v>0</v>
      </c>
      <c r="AK421">
        <f>IF(COUNT($E$2:$E421)&lt;20,"",AVERAGE($E$402:$E$421))</f>
        <v>0</v>
      </c>
      <c r="AL421">
        <f>IF(COUNT($E$2:$E421)&lt;20,"",STDEVP($E$402:$E$421))</f>
        <v>0</v>
      </c>
      <c r="AM421">
        <f>IF(AK421="","",AK421+2*AL421)</f>
        <v>0</v>
      </c>
      <c r="AN421">
        <f>IF(AK421="","",AK421-2*AL421)</f>
        <v>0</v>
      </c>
      <c r="AO421">
        <f>IF(OR(AM421="",AN421="",AM421=AN421),"",($E421-AN421)/(AM421-AN421))</f>
        <v>0</v>
      </c>
      <c r="AP421">
        <f>IF(OR(AM421="",AK421="",AK421=0),"",(AM421-AN421)/AK421)</f>
        <v>0</v>
      </c>
      <c r="AQ421">
        <f>IF(COUNT($E$2:$E421)&lt;20,"",MAX($C$402:$C$421))</f>
        <v>0</v>
      </c>
      <c r="AR421">
        <f>IF(COUNT($E$2:$E421)&lt;20,"",MIN($D$402:$D$421))</f>
        <v>0</v>
      </c>
      <c r="AS421">
        <f>IF(OR(AQ421="",AR421=""),"",(AQ421+AR421)/2)</f>
        <v>0</v>
      </c>
      <c r="AT421">
        <f>IF(COUNT($G$402:$G$421)&lt;20,"",STDEV($G$402:$G$421)*SQRT(52))</f>
        <v>0</v>
      </c>
      <c r="AU421">
        <f>IF(COUNT($E$2:$E421)&lt;9,"",(MAX($C$413:$C$421)+MIN($D$413:$D$421))/2)</f>
        <v>0</v>
      </c>
      <c r="AV421">
        <f>IF(COUNT($E$2:$E421)&lt;26,"",(MAX($C$396:$C$421)+MIN($D$396:$D$421))/2)</f>
        <v>0</v>
      </c>
      <c r="AW421">
        <f>IF(OR(AU421="",AV421=""),"",(AU421+AV421)/2)</f>
        <v>0</v>
      </c>
      <c r="AX421">
        <f>IF(COUNT($E$2:$E421)&lt;52,"",(MAX($C$370:$C$421)+MIN($D$370:$D$421))/2)</f>
        <v>0</v>
      </c>
      <c r="AY421">
        <f>IF(COUNT($E$2:$E421)&lt;20,"",MAX($C$322:$C$421))</f>
        <v>0</v>
      </c>
      <c r="AZ421">
        <f>IF(COUNT($E$2:$E421)&lt;20,"",MIN($D$322:$D$421))</f>
        <v>0</v>
      </c>
      <c r="BA421">
        <f>IF(COUNT($E$2:$E421)&lt;20,"",SLOPE($E$322:$E$421,$F$322:$F$421))</f>
        <v>0</v>
      </c>
      <c r="BB421">
        <f>IF(COUNT($E$2:$E421)&lt;20,"",INTERCEPT($E$322:$E$421,$F$322:$F$421))</f>
        <v>0</v>
      </c>
      <c r="BC421">
        <f>IF(OR(BA421="",BB421=""),"",BB421+BA421*F421)</f>
        <v>0</v>
      </c>
      <c r="BD421">
        <f>IF(COUNT($E$2:$E421)&lt;20,"",STEYX($E$322:$E$421,$F$322:$F$421))</f>
        <v>0</v>
      </c>
      <c r="BE421">
        <f>IF($E421="","",IF(AND(COUNT($E$422:$E$425)&gt;=4,$C421=MAX($C$417:$C$425)),$C421,""))</f>
        <v>0</v>
      </c>
      <c r="BF421">
        <f>IF($E421="","",IF(AND(COUNT($E$422:$E$425)&gt;=4,$D421=MIN($D$417:$D$425)),$D421,""))</f>
        <v>0</v>
      </c>
      <c r="BG421">
        <f>IFERROR(SMALL(Calc_Daily!$BM$2:$BM$2001,420),"")</f>
        <v>0</v>
      </c>
    </row>
    <row r="422" spans="1:59">
      <c r="A422" s="27">
        <f>IF($BG422="","",INDEX(Calc_Daily!$A$2:$A$2001,$BG422))</f>
        <v>0</v>
      </c>
      <c r="B422">
        <f>IF($BG422="","",INDEX(Calc_Daily!$BJ$2:$BJ$2001,$BG422))</f>
        <v>0</v>
      </c>
      <c r="C422">
        <f>IF($BG422="","",INDEX(Calc_Daily!$BK$2:$BK$2001,$BG422))</f>
        <v>0</v>
      </c>
      <c r="D422">
        <f>IF($BG422="","",INDEX(Calc_Daily!$BL$2:$BL$2001,$BG422))</f>
        <v>0</v>
      </c>
      <c r="E422">
        <f>IF($BG422="","",INDEX(Calc_Daily!$E$2:$E$2001,$BG422))</f>
        <v>0</v>
      </c>
      <c r="F422">
        <f>IF($E422="","",N(F421)+1)</f>
        <v>0</v>
      </c>
      <c r="G422">
        <f>IF(OR($E422="",$E421=""),"",LN($E422/$E421))</f>
        <v>0</v>
      </c>
      <c r="H422">
        <f>IF($E422="","",IF($E421="",$E422,$E422*0.0952380952+H421*0.9047619048))</f>
        <v>0</v>
      </c>
      <c r="I422">
        <f>IF($E422="","",IF($E421="",$E422,$E422*0.0392156863+I421*0.9607843137))</f>
        <v>0</v>
      </c>
      <c r="J422">
        <f>IF($E422="","",IF($E421="",$E422,$E422*0.0198019802+J421*0.9801980198))</f>
        <v>0</v>
      </c>
      <c r="K422">
        <f>IF($E422="","",IF($E421="",$E422,$E422*0.0099502488+K421*0.9900497512))</f>
        <v>0</v>
      </c>
      <c r="L422">
        <f>IF(OR($E422="",$E421=""),"",MAX($E422-$E421,0))</f>
        <v>0</v>
      </c>
      <c r="M422">
        <f>IF(OR($E422="",$E421=""),"",MAX($E421-$E422,0))</f>
        <v>0</v>
      </c>
      <c r="N422">
        <f>IF(COUNT($E$2:$E422)&lt;15,"",IF(AVERAGE($M$409:$M$422)=0,100,100-100/(1+AVERAGE($L$409:$L$422)/AVERAGE($M$409:$M$422))))</f>
        <v>0</v>
      </c>
      <c r="O422">
        <f>IF($E422="","",IF($E421="",$E422,$E422*0.1538461538+O421*0.8461538462))</f>
        <v>0</v>
      </c>
      <c r="P422">
        <f>IF($E422="","",IF($E421="",$E422,$E422*0.0740740741+P421*0.9259259259))</f>
        <v>0</v>
      </c>
      <c r="Q422">
        <f>IF(OR(O422="",P422=""),"",O422-P422)</f>
        <v>0</v>
      </c>
      <c r="R422">
        <f>IF(Q422="","",IF(R421="",Q422,Q422*0.2000000000+R421*0.8000000000))</f>
        <v>0</v>
      </c>
      <c r="S422">
        <f>IF(OR(Q422="",R422=""),"",Q422-R422)</f>
        <v>0</v>
      </c>
      <c r="T422">
        <f>IF(COUNT($E$2:$E422)&lt;14,"",MAX($C$409:$C$422))</f>
        <v>0</v>
      </c>
      <c r="U422">
        <f>IF(COUNT($E$2:$E422)&lt;14,"",MIN($D$409:$D$422))</f>
        <v>0</v>
      </c>
      <c r="V422">
        <f>IF(OR(T422="",U422="",T422=U422),"",100*($E422-U422)/(T422-U422))</f>
        <v>0</v>
      </c>
      <c r="W422">
        <f>IF(COUNT($V$420:$V$422)&lt;3,"",AVERAGE($V$420:$V$422))</f>
        <v>0</v>
      </c>
      <c r="X422">
        <f>IF(COUNT($N$409:$N$422)&lt;14,"",MIN($N$409:$N$422))</f>
        <v>0</v>
      </c>
      <c r="Y422">
        <f>IF(COUNT($N$409:$N$422)&lt;14,"",MAX($N$409:$N$422))</f>
        <v>0</v>
      </c>
      <c r="Z422">
        <f>IF(OR(N422="",X422="",Y422="",Y422=X422),"",100*(N422-X422)/(Y422-X422))</f>
        <v>0</v>
      </c>
      <c r="AA422">
        <f>IF(COUNT($Z$420:$Z$422)&lt;3,"",AVERAGE($Z$420:$Z$422))</f>
        <v>0</v>
      </c>
      <c r="AB422">
        <f>IF(COUNT($AA$420:$AA$422)&lt;3,"",AVERAGE($AA$420:$AA$422))</f>
        <v>0</v>
      </c>
      <c r="AC422">
        <f>IF($E422="","",MAX($C422-$D422,ABS($C422-$E421),ABS($D422-$E421)))</f>
        <v>0</v>
      </c>
      <c r="AD422">
        <f>IF(COUNT($E$2:$E422)&lt;15,"",AVERAGE($AC$409:$AC$422))</f>
        <v>0</v>
      </c>
      <c r="AE422">
        <f>IF(OR($E422="",$E421=""),"",IF(AND(($C422-$C421)&gt;($D421-$D422),($C422-$C421)&gt;0),$C422-$C421,0))</f>
        <v>0</v>
      </c>
      <c r="AF422">
        <f>IF(OR($E422="",$E421=""),"",IF(AND(($D421-$D422)&gt;($C422-$C421),($D421-$D422)&gt;0),$D421-$D422,0))</f>
        <v>0</v>
      </c>
      <c r="AG422">
        <f>IF(COUNT($E$2:$E422)&lt;15,"",IF(SUM($AC$409:$AC$422)=0,0,100*SUM($AE$409:$AE$422)/SUM($AC$409:$AC$422)))</f>
        <v>0</v>
      </c>
      <c r="AH422">
        <f>IF(COUNT($E$2:$E422)&lt;15,"",IF(SUM($AC$409:$AC$422)=0,0,100*SUM($AF$409:$AF$422)/SUM($AC$409:$AC$422)))</f>
        <v>0</v>
      </c>
      <c r="AI422">
        <f>IF(OR(AG422="",AH422=""),"",IF((AG422+AH422)=0,0,100*ABS(AG422-AH422)/(AG422+AH422)))</f>
        <v>0</v>
      </c>
      <c r="AJ422">
        <f>IF(COUNT($AI$409:$AI$422)&lt;14,"",AVERAGE($AI$409:$AI$422))</f>
        <v>0</v>
      </c>
      <c r="AK422">
        <f>IF(COUNT($E$2:$E422)&lt;20,"",AVERAGE($E$403:$E$422))</f>
        <v>0</v>
      </c>
      <c r="AL422">
        <f>IF(COUNT($E$2:$E422)&lt;20,"",STDEVP($E$403:$E$422))</f>
        <v>0</v>
      </c>
      <c r="AM422">
        <f>IF(AK422="","",AK422+2*AL422)</f>
        <v>0</v>
      </c>
      <c r="AN422">
        <f>IF(AK422="","",AK422-2*AL422)</f>
        <v>0</v>
      </c>
      <c r="AO422">
        <f>IF(OR(AM422="",AN422="",AM422=AN422),"",($E422-AN422)/(AM422-AN422))</f>
        <v>0</v>
      </c>
      <c r="AP422">
        <f>IF(OR(AM422="",AK422="",AK422=0),"",(AM422-AN422)/AK422)</f>
        <v>0</v>
      </c>
      <c r="AQ422">
        <f>IF(COUNT($E$2:$E422)&lt;20,"",MAX($C$403:$C$422))</f>
        <v>0</v>
      </c>
      <c r="AR422">
        <f>IF(COUNT($E$2:$E422)&lt;20,"",MIN($D$403:$D$422))</f>
        <v>0</v>
      </c>
      <c r="AS422">
        <f>IF(OR(AQ422="",AR422=""),"",(AQ422+AR422)/2)</f>
        <v>0</v>
      </c>
      <c r="AT422">
        <f>IF(COUNT($G$403:$G$422)&lt;20,"",STDEV($G$403:$G$422)*SQRT(52))</f>
        <v>0</v>
      </c>
      <c r="AU422">
        <f>IF(COUNT($E$2:$E422)&lt;9,"",(MAX($C$414:$C$422)+MIN($D$414:$D$422))/2)</f>
        <v>0</v>
      </c>
      <c r="AV422">
        <f>IF(COUNT($E$2:$E422)&lt;26,"",(MAX($C$397:$C$422)+MIN($D$397:$D$422))/2)</f>
        <v>0</v>
      </c>
      <c r="AW422">
        <f>IF(OR(AU422="",AV422=""),"",(AU422+AV422)/2)</f>
        <v>0</v>
      </c>
      <c r="AX422">
        <f>IF(COUNT($E$2:$E422)&lt;52,"",(MAX($C$371:$C$422)+MIN($D$371:$D$422))/2)</f>
        <v>0</v>
      </c>
      <c r="AY422">
        <f>IF(COUNT($E$2:$E422)&lt;20,"",MAX($C$323:$C$422))</f>
        <v>0</v>
      </c>
      <c r="AZ422">
        <f>IF(COUNT($E$2:$E422)&lt;20,"",MIN($D$323:$D$422))</f>
        <v>0</v>
      </c>
      <c r="BA422">
        <f>IF(COUNT($E$2:$E422)&lt;20,"",SLOPE($E$323:$E$422,$F$323:$F$422))</f>
        <v>0</v>
      </c>
      <c r="BB422">
        <f>IF(COUNT($E$2:$E422)&lt;20,"",INTERCEPT($E$323:$E$422,$F$323:$F$422))</f>
        <v>0</v>
      </c>
      <c r="BC422">
        <f>IF(OR(BA422="",BB422=""),"",BB422+BA422*F422)</f>
        <v>0</v>
      </c>
      <c r="BD422">
        <f>IF(COUNT($E$2:$E422)&lt;20,"",STEYX($E$323:$E$422,$F$323:$F$422))</f>
        <v>0</v>
      </c>
      <c r="BE422">
        <f>IF($E422="","",IF(AND(COUNT($E$423:$E$426)&gt;=4,$C422=MAX($C$418:$C$426)),$C422,""))</f>
        <v>0</v>
      </c>
      <c r="BF422">
        <f>IF($E422="","",IF(AND(COUNT($E$423:$E$426)&gt;=4,$D422=MIN($D$418:$D$426)),$D422,""))</f>
        <v>0</v>
      </c>
      <c r="BG422">
        <f>IFERROR(SMALL(Calc_Daily!$BM$2:$BM$2001,421),"")</f>
        <v>0</v>
      </c>
    </row>
    <row r="423" spans="1:59">
      <c r="A423" s="27">
        <f>IF($BG423="","",INDEX(Calc_Daily!$A$2:$A$2001,$BG423))</f>
        <v>0</v>
      </c>
      <c r="B423">
        <f>IF($BG423="","",INDEX(Calc_Daily!$BJ$2:$BJ$2001,$BG423))</f>
        <v>0</v>
      </c>
      <c r="C423">
        <f>IF($BG423="","",INDEX(Calc_Daily!$BK$2:$BK$2001,$BG423))</f>
        <v>0</v>
      </c>
      <c r="D423">
        <f>IF($BG423="","",INDEX(Calc_Daily!$BL$2:$BL$2001,$BG423))</f>
        <v>0</v>
      </c>
      <c r="E423">
        <f>IF($BG423="","",INDEX(Calc_Daily!$E$2:$E$2001,$BG423))</f>
        <v>0</v>
      </c>
      <c r="F423">
        <f>IF($E423="","",N(F422)+1)</f>
        <v>0</v>
      </c>
      <c r="G423">
        <f>IF(OR($E423="",$E422=""),"",LN($E423/$E422))</f>
        <v>0</v>
      </c>
      <c r="H423">
        <f>IF($E423="","",IF($E422="",$E423,$E423*0.0952380952+H422*0.9047619048))</f>
        <v>0</v>
      </c>
      <c r="I423">
        <f>IF($E423="","",IF($E422="",$E423,$E423*0.0392156863+I422*0.9607843137))</f>
        <v>0</v>
      </c>
      <c r="J423">
        <f>IF($E423="","",IF($E422="",$E423,$E423*0.0198019802+J422*0.9801980198))</f>
        <v>0</v>
      </c>
      <c r="K423">
        <f>IF($E423="","",IF($E422="",$E423,$E423*0.0099502488+K422*0.9900497512))</f>
        <v>0</v>
      </c>
      <c r="L423">
        <f>IF(OR($E423="",$E422=""),"",MAX($E423-$E422,0))</f>
        <v>0</v>
      </c>
      <c r="M423">
        <f>IF(OR($E423="",$E422=""),"",MAX($E422-$E423,0))</f>
        <v>0</v>
      </c>
      <c r="N423">
        <f>IF(COUNT($E$2:$E423)&lt;15,"",IF(AVERAGE($M$410:$M$423)=0,100,100-100/(1+AVERAGE($L$410:$L$423)/AVERAGE($M$410:$M$423))))</f>
        <v>0</v>
      </c>
      <c r="O423">
        <f>IF($E423="","",IF($E422="",$E423,$E423*0.1538461538+O422*0.8461538462))</f>
        <v>0</v>
      </c>
      <c r="P423">
        <f>IF($E423="","",IF($E422="",$E423,$E423*0.0740740741+P422*0.9259259259))</f>
        <v>0</v>
      </c>
      <c r="Q423">
        <f>IF(OR(O423="",P423=""),"",O423-P423)</f>
        <v>0</v>
      </c>
      <c r="R423">
        <f>IF(Q423="","",IF(R422="",Q423,Q423*0.2000000000+R422*0.8000000000))</f>
        <v>0</v>
      </c>
      <c r="S423">
        <f>IF(OR(Q423="",R423=""),"",Q423-R423)</f>
        <v>0</v>
      </c>
      <c r="T423">
        <f>IF(COUNT($E$2:$E423)&lt;14,"",MAX($C$410:$C$423))</f>
        <v>0</v>
      </c>
      <c r="U423">
        <f>IF(COUNT($E$2:$E423)&lt;14,"",MIN($D$410:$D$423))</f>
        <v>0</v>
      </c>
      <c r="V423">
        <f>IF(OR(T423="",U423="",T423=U423),"",100*($E423-U423)/(T423-U423))</f>
        <v>0</v>
      </c>
      <c r="W423">
        <f>IF(COUNT($V$421:$V$423)&lt;3,"",AVERAGE($V$421:$V$423))</f>
        <v>0</v>
      </c>
      <c r="X423">
        <f>IF(COUNT($N$410:$N$423)&lt;14,"",MIN($N$410:$N$423))</f>
        <v>0</v>
      </c>
      <c r="Y423">
        <f>IF(COUNT($N$410:$N$423)&lt;14,"",MAX($N$410:$N$423))</f>
        <v>0</v>
      </c>
      <c r="Z423">
        <f>IF(OR(N423="",X423="",Y423="",Y423=X423),"",100*(N423-X423)/(Y423-X423))</f>
        <v>0</v>
      </c>
      <c r="AA423">
        <f>IF(COUNT($Z$421:$Z$423)&lt;3,"",AVERAGE($Z$421:$Z$423))</f>
        <v>0</v>
      </c>
      <c r="AB423">
        <f>IF(COUNT($AA$421:$AA$423)&lt;3,"",AVERAGE($AA$421:$AA$423))</f>
        <v>0</v>
      </c>
      <c r="AC423">
        <f>IF($E423="","",MAX($C423-$D423,ABS($C423-$E422),ABS($D423-$E422)))</f>
        <v>0</v>
      </c>
      <c r="AD423">
        <f>IF(COUNT($E$2:$E423)&lt;15,"",AVERAGE($AC$410:$AC$423))</f>
        <v>0</v>
      </c>
      <c r="AE423">
        <f>IF(OR($E423="",$E422=""),"",IF(AND(($C423-$C422)&gt;($D422-$D423),($C423-$C422)&gt;0),$C423-$C422,0))</f>
        <v>0</v>
      </c>
      <c r="AF423">
        <f>IF(OR($E423="",$E422=""),"",IF(AND(($D422-$D423)&gt;($C423-$C422),($D422-$D423)&gt;0),$D422-$D423,0))</f>
        <v>0</v>
      </c>
      <c r="AG423">
        <f>IF(COUNT($E$2:$E423)&lt;15,"",IF(SUM($AC$410:$AC$423)=0,0,100*SUM($AE$410:$AE$423)/SUM($AC$410:$AC$423)))</f>
        <v>0</v>
      </c>
      <c r="AH423">
        <f>IF(COUNT($E$2:$E423)&lt;15,"",IF(SUM($AC$410:$AC$423)=0,0,100*SUM($AF$410:$AF$423)/SUM($AC$410:$AC$423)))</f>
        <v>0</v>
      </c>
      <c r="AI423">
        <f>IF(OR(AG423="",AH423=""),"",IF((AG423+AH423)=0,0,100*ABS(AG423-AH423)/(AG423+AH423)))</f>
        <v>0</v>
      </c>
      <c r="AJ423">
        <f>IF(COUNT($AI$410:$AI$423)&lt;14,"",AVERAGE($AI$410:$AI$423))</f>
        <v>0</v>
      </c>
      <c r="AK423">
        <f>IF(COUNT($E$2:$E423)&lt;20,"",AVERAGE($E$404:$E$423))</f>
        <v>0</v>
      </c>
      <c r="AL423">
        <f>IF(COUNT($E$2:$E423)&lt;20,"",STDEVP($E$404:$E$423))</f>
        <v>0</v>
      </c>
      <c r="AM423">
        <f>IF(AK423="","",AK423+2*AL423)</f>
        <v>0</v>
      </c>
      <c r="AN423">
        <f>IF(AK423="","",AK423-2*AL423)</f>
        <v>0</v>
      </c>
      <c r="AO423">
        <f>IF(OR(AM423="",AN423="",AM423=AN423),"",($E423-AN423)/(AM423-AN423))</f>
        <v>0</v>
      </c>
      <c r="AP423">
        <f>IF(OR(AM423="",AK423="",AK423=0),"",(AM423-AN423)/AK423)</f>
        <v>0</v>
      </c>
      <c r="AQ423">
        <f>IF(COUNT($E$2:$E423)&lt;20,"",MAX($C$404:$C$423))</f>
        <v>0</v>
      </c>
      <c r="AR423">
        <f>IF(COUNT($E$2:$E423)&lt;20,"",MIN($D$404:$D$423))</f>
        <v>0</v>
      </c>
      <c r="AS423">
        <f>IF(OR(AQ423="",AR423=""),"",(AQ423+AR423)/2)</f>
        <v>0</v>
      </c>
      <c r="AT423">
        <f>IF(COUNT($G$404:$G$423)&lt;20,"",STDEV($G$404:$G$423)*SQRT(52))</f>
        <v>0</v>
      </c>
      <c r="AU423">
        <f>IF(COUNT($E$2:$E423)&lt;9,"",(MAX($C$415:$C$423)+MIN($D$415:$D$423))/2)</f>
        <v>0</v>
      </c>
      <c r="AV423">
        <f>IF(COUNT($E$2:$E423)&lt;26,"",(MAX($C$398:$C$423)+MIN($D$398:$D$423))/2)</f>
        <v>0</v>
      </c>
      <c r="AW423">
        <f>IF(OR(AU423="",AV423=""),"",(AU423+AV423)/2)</f>
        <v>0</v>
      </c>
      <c r="AX423">
        <f>IF(COUNT($E$2:$E423)&lt;52,"",(MAX($C$372:$C$423)+MIN($D$372:$D$423))/2)</f>
        <v>0</v>
      </c>
      <c r="AY423">
        <f>IF(COUNT($E$2:$E423)&lt;20,"",MAX($C$324:$C$423))</f>
        <v>0</v>
      </c>
      <c r="AZ423">
        <f>IF(COUNT($E$2:$E423)&lt;20,"",MIN($D$324:$D$423))</f>
        <v>0</v>
      </c>
      <c r="BA423">
        <f>IF(COUNT($E$2:$E423)&lt;20,"",SLOPE($E$324:$E$423,$F$324:$F$423))</f>
        <v>0</v>
      </c>
      <c r="BB423">
        <f>IF(COUNT($E$2:$E423)&lt;20,"",INTERCEPT($E$324:$E$423,$F$324:$F$423))</f>
        <v>0</v>
      </c>
      <c r="BC423">
        <f>IF(OR(BA423="",BB423=""),"",BB423+BA423*F423)</f>
        <v>0</v>
      </c>
      <c r="BD423">
        <f>IF(COUNT($E$2:$E423)&lt;20,"",STEYX($E$324:$E$423,$F$324:$F$423))</f>
        <v>0</v>
      </c>
      <c r="BE423">
        <f>IF($E423="","",IF(AND(COUNT($E$424:$E$427)&gt;=4,$C423=MAX($C$419:$C$427)),$C423,""))</f>
        <v>0</v>
      </c>
      <c r="BF423">
        <f>IF($E423="","",IF(AND(COUNT($E$424:$E$427)&gt;=4,$D423=MIN($D$419:$D$427)),$D423,""))</f>
        <v>0</v>
      </c>
      <c r="BG423">
        <f>IFERROR(SMALL(Calc_Daily!$BM$2:$BM$2001,422),"")</f>
        <v>0</v>
      </c>
    </row>
    <row r="424" spans="1:59">
      <c r="A424" s="27">
        <f>IF($BG424="","",INDEX(Calc_Daily!$A$2:$A$2001,$BG424))</f>
        <v>0</v>
      </c>
      <c r="B424">
        <f>IF($BG424="","",INDEX(Calc_Daily!$BJ$2:$BJ$2001,$BG424))</f>
        <v>0</v>
      </c>
      <c r="C424">
        <f>IF($BG424="","",INDEX(Calc_Daily!$BK$2:$BK$2001,$BG424))</f>
        <v>0</v>
      </c>
      <c r="D424">
        <f>IF($BG424="","",INDEX(Calc_Daily!$BL$2:$BL$2001,$BG424))</f>
        <v>0</v>
      </c>
      <c r="E424">
        <f>IF($BG424="","",INDEX(Calc_Daily!$E$2:$E$2001,$BG424))</f>
        <v>0</v>
      </c>
      <c r="F424">
        <f>IF($E424="","",N(F423)+1)</f>
        <v>0</v>
      </c>
      <c r="G424">
        <f>IF(OR($E424="",$E423=""),"",LN($E424/$E423))</f>
        <v>0</v>
      </c>
      <c r="H424">
        <f>IF($E424="","",IF($E423="",$E424,$E424*0.0952380952+H423*0.9047619048))</f>
        <v>0</v>
      </c>
      <c r="I424">
        <f>IF($E424="","",IF($E423="",$E424,$E424*0.0392156863+I423*0.9607843137))</f>
        <v>0</v>
      </c>
      <c r="J424">
        <f>IF($E424="","",IF($E423="",$E424,$E424*0.0198019802+J423*0.9801980198))</f>
        <v>0</v>
      </c>
      <c r="K424">
        <f>IF($E424="","",IF($E423="",$E424,$E424*0.0099502488+K423*0.9900497512))</f>
        <v>0</v>
      </c>
      <c r="L424">
        <f>IF(OR($E424="",$E423=""),"",MAX($E424-$E423,0))</f>
        <v>0</v>
      </c>
      <c r="M424">
        <f>IF(OR($E424="",$E423=""),"",MAX($E423-$E424,0))</f>
        <v>0</v>
      </c>
      <c r="N424">
        <f>IF(COUNT($E$2:$E424)&lt;15,"",IF(AVERAGE($M$411:$M$424)=0,100,100-100/(1+AVERAGE($L$411:$L$424)/AVERAGE($M$411:$M$424))))</f>
        <v>0</v>
      </c>
      <c r="O424">
        <f>IF($E424="","",IF($E423="",$E424,$E424*0.1538461538+O423*0.8461538462))</f>
        <v>0</v>
      </c>
      <c r="P424">
        <f>IF($E424="","",IF($E423="",$E424,$E424*0.0740740741+P423*0.9259259259))</f>
        <v>0</v>
      </c>
      <c r="Q424">
        <f>IF(OR(O424="",P424=""),"",O424-P424)</f>
        <v>0</v>
      </c>
      <c r="R424">
        <f>IF(Q424="","",IF(R423="",Q424,Q424*0.2000000000+R423*0.8000000000))</f>
        <v>0</v>
      </c>
      <c r="S424">
        <f>IF(OR(Q424="",R424=""),"",Q424-R424)</f>
        <v>0</v>
      </c>
      <c r="T424">
        <f>IF(COUNT($E$2:$E424)&lt;14,"",MAX($C$411:$C$424))</f>
        <v>0</v>
      </c>
      <c r="U424">
        <f>IF(COUNT($E$2:$E424)&lt;14,"",MIN($D$411:$D$424))</f>
        <v>0</v>
      </c>
      <c r="V424">
        <f>IF(OR(T424="",U424="",T424=U424),"",100*($E424-U424)/(T424-U424))</f>
        <v>0</v>
      </c>
      <c r="W424">
        <f>IF(COUNT($V$422:$V$424)&lt;3,"",AVERAGE($V$422:$V$424))</f>
        <v>0</v>
      </c>
      <c r="X424">
        <f>IF(COUNT($N$411:$N$424)&lt;14,"",MIN($N$411:$N$424))</f>
        <v>0</v>
      </c>
      <c r="Y424">
        <f>IF(COUNT($N$411:$N$424)&lt;14,"",MAX($N$411:$N$424))</f>
        <v>0</v>
      </c>
      <c r="Z424">
        <f>IF(OR(N424="",X424="",Y424="",Y424=X424),"",100*(N424-X424)/(Y424-X424))</f>
        <v>0</v>
      </c>
      <c r="AA424">
        <f>IF(COUNT($Z$422:$Z$424)&lt;3,"",AVERAGE($Z$422:$Z$424))</f>
        <v>0</v>
      </c>
      <c r="AB424">
        <f>IF(COUNT($AA$422:$AA$424)&lt;3,"",AVERAGE($AA$422:$AA$424))</f>
        <v>0</v>
      </c>
      <c r="AC424">
        <f>IF($E424="","",MAX($C424-$D424,ABS($C424-$E423),ABS($D424-$E423)))</f>
        <v>0</v>
      </c>
      <c r="AD424">
        <f>IF(COUNT($E$2:$E424)&lt;15,"",AVERAGE($AC$411:$AC$424))</f>
        <v>0</v>
      </c>
      <c r="AE424">
        <f>IF(OR($E424="",$E423=""),"",IF(AND(($C424-$C423)&gt;($D423-$D424),($C424-$C423)&gt;0),$C424-$C423,0))</f>
        <v>0</v>
      </c>
      <c r="AF424">
        <f>IF(OR($E424="",$E423=""),"",IF(AND(($D423-$D424)&gt;($C424-$C423),($D423-$D424)&gt;0),$D423-$D424,0))</f>
        <v>0</v>
      </c>
      <c r="AG424">
        <f>IF(COUNT($E$2:$E424)&lt;15,"",IF(SUM($AC$411:$AC$424)=0,0,100*SUM($AE$411:$AE$424)/SUM($AC$411:$AC$424)))</f>
        <v>0</v>
      </c>
      <c r="AH424">
        <f>IF(COUNT($E$2:$E424)&lt;15,"",IF(SUM($AC$411:$AC$424)=0,0,100*SUM($AF$411:$AF$424)/SUM($AC$411:$AC$424)))</f>
        <v>0</v>
      </c>
      <c r="AI424">
        <f>IF(OR(AG424="",AH424=""),"",IF((AG424+AH424)=0,0,100*ABS(AG424-AH424)/(AG424+AH424)))</f>
        <v>0</v>
      </c>
      <c r="AJ424">
        <f>IF(COUNT($AI$411:$AI$424)&lt;14,"",AVERAGE($AI$411:$AI$424))</f>
        <v>0</v>
      </c>
      <c r="AK424">
        <f>IF(COUNT($E$2:$E424)&lt;20,"",AVERAGE($E$405:$E$424))</f>
        <v>0</v>
      </c>
      <c r="AL424">
        <f>IF(COUNT($E$2:$E424)&lt;20,"",STDEVP($E$405:$E$424))</f>
        <v>0</v>
      </c>
      <c r="AM424">
        <f>IF(AK424="","",AK424+2*AL424)</f>
        <v>0</v>
      </c>
      <c r="AN424">
        <f>IF(AK424="","",AK424-2*AL424)</f>
        <v>0</v>
      </c>
      <c r="AO424">
        <f>IF(OR(AM424="",AN424="",AM424=AN424),"",($E424-AN424)/(AM424-AN424))</f>
        <v>0</v>
      </c>
      <c r="AP424">
        <f>IF(OR(AM424="",AK424="",AK424=0),"",(AM424-AN424)/AK424)</f>
        <v>0</v>
      </c>
      <c r="AQ424">
        <f>IF(COUNT($E$2:$E424)&lt;20,"",MAX($C$405:$C$424))</f>
        <v>0</v>
      </c>
      <c r="AR424">
        <f>IF(COUNT($E$2:$E424)&lt;20,"",MIN($D$405:$D$424))</f>
        <v>0</v>
      </c>
      <c r="AS424">
        <f>IF(OR(AQ424="",AR424=""),"",(AQ424+AR424)/2)</f>
        <v>0</v>
      </c>
      <c r="AT424">
        <f>IF(COUNT($G$405:$G$424)&lt;20,"",STDEV($G$405:$G$424)*SQRT(52))</f>
        <v>0</v>
      </c>
      <c r="AU424">
        <f>IF(COUNT($E$2:$E424)&lt;9,"",(MAX($C$416:$C$424)+MIN($D$416:$D$424))/2)</f>
        <v>0</v>
      </c>
      <c r="AV424">
        <f>IF(COUNT($E$2:$E424)&lt;26,"",(MAX($C$399:$C$424)+MIN($D$399:$D$424))/2)</f>
        <v>0</v>
      </c>
      <c r="AW424">
        <f>IF(OR(AU424="",AV424=""),"",(AU424+AV424)/2)</f>
        <v>0</v>
      </c>
      <c r="AX424">
        <f>IF(COUNT($E$2:$E424)&lt;52,"",(MAX($C$373:$C$424)+MIN($D$373:$D$424))/2)</f>
        <v>0</v>
      </c>
      <c r="AY424">
        <f>IF(COUNT($E$2:$E424)&lt;20,"",MAX($C$325:$C$424))</f>
        <v>0</v>
      </c>
      <c r="AZ424">
        <f>IF(COUNT($E$2:$E424)&lt;20,"",MIN($D$325:$D$424))</f>
        <v>0</v>
      </c>
      <c r="BA424">
        <f>IF(COUNT($E$2:$E424)&lt;20,"",SLOPE($E$325:$E$424,$F$325:$F$424))</f>
        <v>0</v>
      </c>
      <c r="BB424">
        <f>IF(COUNT($E$2:$E424)&lt;20,"",INTERCEPT($E$325:$E$424,$F$325:$F$424))</f>
        <v>0</v>
      </c>
      <c r="BC424">
        <f>IF(OR(BA424="",BB424=""),"",BB424+BA424*F424)</f>
        <v>0</v>
      </c>
      <c r="BD424">
        <f>IF(COUNT($E$2:$E424)&lt;20,"",STEYX($E$325:$E$424,$F$325:$F$424))</f>
        <v>0</v>
      </c>
      <c r="BE424">
        <f>IF($E424="","",IF(AND(COUNT($E$425:$E$428)&gt;=4,$C424=MAX($C$420:$C$428)),$C424,""))</f>
        <v>0</v>
      </c>
      <c r="BF424">
        <f>IF($E424="","",IF(AND(COUNT($E$425:$E$428)&gt;=4,$D424=MIN($D$420:$D$428)),$D424,""))</f>
        <v>0</v>
      </c>
      <c r="BG424">
        <f>IFERROR(SMALL(Calc_Daily!$BM$2:$BM$2001,423),"")</f>
        <v>0</v>
      </c>
    </row>
    <row r="425" spans="1:59">
      <c r="A425" s="27">
        <f>IF($BG425="","",INDEX(Calc_Daily!$A$2:$A$2001,$BG425))</f>
        <v>0</v>
      </c>
      <c r="B425">
        <f>IF($BG425="","",INDEX(Calc_Daily!$BJ$2:$BJ$2001,$BG425))</f>
        <v>0</v>
      </c>
      <c r="C425">
        <f>IF($BG425="","",INDEX(Calc_Daily!$BK$2:$BK$2001,$BG425))</f>
        <v>0</v>
      </c>
      <c r="D425">
        <f>IF($BG425="","",INDEX(Calc_Daily!$BL$2:$BL$2001,$BG425))</f>
        <v>0</v>
      </c>
      <c r="E425">
        <f>IF($BG425="","",INDEX(Calc_Daily!$E$2:$E$2001,$BG425))</f>
        <v>0</v>
      </c>
      <c r="F425">
        <f>IF($E425="","",N(F424)+1)</f>
        <v>0</v>
      </c>
      <c r="G425">
        <f>IF(OR($E425="",$E424=""),"",LN($E425/$E424))</f>
        <v>0</v>
      </c>
      <c r="H425">
        <f>IF($E425="","",IF($E424="",$E425,$E425*0.0952380952+H424*0.9047619048))</f>
        <v>0</v>
      </c>
      <c r="I425">
        <f>IF($E425="","",IF($E424="",$E425,$E425*0.0392156863+I424*0.9607843137))</f>
        <v>0</v>
      </c>
      <c r="J425">
        <f>IF($E425="","",IF($E424="",$E425,$E425*0.0198019802+J424*0.9801980198))</f>
        <v>0</v>
      </c>
      <c r="K425">
        <f>IF($E425="","",IF($E424="",$E425,$E425*0.0099502488+K424*0.9900497512))</f>
        <v>0</v>
      </c>
      <c r="L425">
        <f>IF(OR($E425="",$E424=""),"",MAX($E425-$E424,0))</f>
        <v>0</v>
      </c>
      <c r="M425">
        <f>IF(OR($E425="",$E424=""),"",MAX($E424-$E425,0))</f>
        <v>0</v>
      </c>
      <c r="N425">
        <f>IF(COUNT($E$2:$E425)&lt;15,"",IF(AVERAGE($M$412:$M$425)=0,100,100-100/(1+AVERAGE($L$412:$L$425)/AVERAGE($M$412:$M$425))))</f>
        <v>0</v>
      </c>
      <c r="O425">
        <f>IF($E425="","",IF($E424="",$E425,$E425*0.1538461538+O424*0.8461538462))</f>
        <v>0</v>
      </c>
      <c r="P425">
        <f>IF($E425="","",IF($E424="",$E425,$E425*0.0740740741+P424*0.9259259259))</f>
        <v>0</v>
      </c>
      <c r="Q425">
        <f>IF(OR(O425="",P425=""),"",O425-P425)</f>
        <v>0</v>
      </c>
      <c r="R425">
        <f>IF(Q425="","",IF(R424="",Q425,Q425*0.2000000000+R424*0.8000000000))</f>
        <v>0</v>
      </c>
      <c r="S425">
        <f>IF(OR(Q425="",R425=""),"",Q425-R425)</f>
        <v>0</v>
      </c>
      <c r="T425">
        <f>IF(COUNT($E$2:$E425)&lt;14,"",MAX($C$412:$C$425))</f>
        <v>0</v>
      </c>
      <c r="U425">
        <f>IF(COUNT($E$2:$E425)&lt;14,"",MIN($D$412:$D$425))</f>
        <v>0</v>
      </c>
      <c r="V425">
        <f>IF(OR(T425="",U425="",T425=U425),"",100*($E425-U425)/(T425-U425))</f>
        <v>0</v>
      </c>
      <c r="W425">
        <f>IF(COUNT($V$423:$V$425)&lt;3,"",AVERAGE($V$423:$V$425))</f>
        <v>0</v>
      </c>
      <c r="X425">
        <f>IF(COUNT($N$412:$N$425)&lt;14,"",MIN($N$412:$N$425))</f>
        <v>0</v>
      </c>
      <c r="Y425">
        <f>IF(COUNT($N$412:$N$425)&lt;14,"",MAX($N$412:$N$425))</f>
        <v>0</v>
      </c>
      <c r="Z425">
        <f>IF(OR(N425="",X425="",Y425="",Y425=X425),"",100*(N425-X425)/(Y425-X425))</f>
        <v>0</v>
      </c>
      <c r="AA425">
        <f>IF(COUNT($Z$423:$Z$425)&lt;3,"",AVERAGE($Z$423:$Z$425))</f>
        <v>0</v>
      </c>
      <c r="AB425">
        <f>IF(COUNT($AA$423:$AA$425)&lt;3,"",AVERAGE($AA$423:$AA$425))</f>
        <v>0</v>
      </c>
      <c r="AC425">
        <f>IF($E425="","",MAX($C425-$D425,ABS($C425-$E424),ABS($D425-$E424)))</f>
        <v>0</v>
      </c>
      <c r="AD425">
        <f>IF(COUNT($E$2:$E425)&lt;15,"",AVERAGE($AC$412:$AC$425))</f>
        <v>0</v>
      </c>
      <c r="AE425">
        <f>IF(OR($E425="",$E424=""),"",IF(AND(($C425-$C424)&gt;($D424-$D425),($C425-$C424)&gt;0),$C425-$C424,0))</f>
        <v>0</v>
      </c>
      <c r="AF425">
        <f>IF(OR($E425="",$E424=""),"",IF(AND(($D424-$D425)&gt;($C425-$C424),($D424-$D425)&gt;0),$D424-$D425,0))</f>
        <v>0</v>
      </c>
      <c r="AG425">
        <f>IF(COUNT($E$2:$E425)&lt;15,"",IF(SUM($AC$412:$AC$425)=0,0,100*SUM($AE$412:$AE$425)/SUM($AC$412:$AC$425)))</f>
        <v>0</v>
      </c>
      <c r="AH425">
        <f>IF(COUNT($E$2:$E425)&lt;15,"",IF(SUM($AC$412:$AC$425)=0,0,100*SUM($AF$412:$AF$425)/SUM($AC$412:$AC$425)))</f>
        <v>0</v>
      </c>
      <c r="AI425">
        <f>IF(OR(AG425="",AH425=""),"",IF((AG425+AH425)=0,0,100*ABS(AG425-AH425)/(AG425+AH425)))</f>
        <v>0</v>
      </c>
      <c r="AJ425">
        <f>IF(COUNT($AI$412:$AI$425)&lt;14,"",AVERAGE($AI$412:$AI$425))</f>
        <v>0</v>
      </c>
      <c r="AK425">
        <f>IF(COUNT($E$2:$E425)&lt;20,"",AVERAGE($E$406:$E$425))</f>
        <v>0</v>
      </c>
      <c r="AL425">
        <f>IF(COUNT($E$2:$E425)&lt;20,"",STDEVP($E$406:$E$425))</f>
        <v>0</v>
      </c>
      <c r="AM425">
        <f>IF(AK425="","",AK425+2*AL425)</f>
        <v>0</v>
      </c>
      <c r="AN425">
        <f>IF(AK425="","",AK425-2*AL425)</f>
        <v>0</v>
      </c>
      <c r="AO425">
        <f>IF(OR(AM425="",AN425="",AM425=AN425),"",($E425-AN425)/(AM425-AN425))</f>
        <v>0</v>
      </c>
      <c r="AP425">
        <f>IF(OR(AM425="",AK425="",AK425=0),"",(AM425-AN425)/AK425)</f>
        <v>0</v>
      </c>
      <c r="AQ425">
        <f>IF(COUNT($E$2:$E425)&lt;20,"",MAX($C$406:$C$425))</f>
        <v>0</v>
      </c>
      <c r="AR425">
        <f>IF(COUNT($E$2:$E425)&lt;20,"",MIN($D$406:$D$425))</f>
        <v>0</v>
      </c>
      <c r="AS425">
        <f>IF(OR(AQ425="",AR425=""),"",(AQ425+AR425)/2)</f>
        <v>0</v>
      </c>
      <c r="AT425">
        <f>IF(COUNT($G$406:$G$425)&lt;20,"",STDEV($G$406:$G$425)*SQRT(52))</f>
        <v>0</v>
      </c>
      <c r="AU425">
        <f>IF(COUNT($E$2:$E425)&lt;9,"",(MAX($C$417:$C$425)+MIN($D$417:$D$425))/2)</f>
        <v>0</v>
      </c>
      <c r="AV425">
        <f>IF(COUNT($E$2:$E425)&lt;26,"",(MAX($C$400:$C$425)+MIN($D$400:$D$425))/2)</f>
        <v>0</v>
      </c>
      <c r="AW425">
        <f>IF(OR(AU425="",AV425=""),"",(AU425+AV425)/2)</f>
        <v>0</v>
      </c>
      <c r="AX425">
        <f>IF(COUNT($E$2:$E425)&lt;52,"",(MAX($C$374:$C$425)+MIN($D$374:$D$425))/2)</f>
        <v>0</v>
      </c>
      <c r="AY425">
        <f>IF(COUNT($E$2:$E425)&lt;20,"",MAX($C$326:$C$425))</f>
        <v>0</v>
      </c>
      <c r="AZ425">
        <f>IF(COUNT($E$2:$E425)&lt;20,"",MIN($D$326:$D$425))</f>
        <v>0</v>
      </c>
      <c r="BA425">
        <f>IF(COUNT($E$2:$E425)&lt;20,"",SLOPE($E$326:$E$425,$F$326:$F$425))</f>
        <v>0</v>
      </c>
      <c r="BB425">
        <f>IF(COUNT($E$2:$E425)&lt;20,"",INTERCEPT($E$326:$E$425,$F$326:$F$425))</f>
        <v>0</v>
      </c>
      <c r="BC425">
        <f>IF(OR(BA425="",BB425=""),"",BB425+BA425*F425)</f>
        <v>0</v>
      </c>
      <c r="BD425">
        <f>IF(COUNT($E$2:$E425)&lt;20,"",STEYX($E$326:$E$425,$F$326:$F$425))</f>
        <v>0</v>
      </c>
      <c r="BE425">
        <f>IF($E425="","",IF(AND(COUNT($E$426:$E$429)&gt;=4,$C425=MAX($C$421:$C$429)),$C425,""))</f>
        <v>0</v>
      </c>
      <c r="BF425">
        <f>IF($E425="","",IF(AND(COUNT($E$426:$E$429)&gt;=4,$D425=MIN($D$421:$D$429)),$D425,""))</f>
        <v>0</v>
      </c>
      <c r="BG425">
        <f>IFERROR(SMALL(Calc_Daily!$BM$2:$BM$2001,424),"")</f>
        <v>0</v>
      </c>
    </row>
    <row r="426" spans="1:59">
      <c r="A426" s="27">
        <f>IF($BG426="","",INDEX(Calc_Daily!$A$2:$A$2001,$BG426))</f>
        <v>0</v>
      </c>
      <c r="B426">
        <f>IF($BG426="","",INDEX(Calc_Daily!$BJ$2:$BJ$2001,$BG426))</f>
        <v>0</v>
      </c>
      <c r="C426">
        <f>IF($BG426="","",INDEX(Calc_Daily!$BK$2:$BK$2001,$BG426))</f>
        <v>0</v>
      </c>
      <c r="D426">
        <f>IF($BG426="","",INDEX(Calc_Daily!$BL$2:$BL$2001,$BG426))</f>
        <v>0</v>
      </c>
      <c r="E426">
        <f>IF($BG426="","",INDEX(Calc_Daily!$E$2:$E$2001,$BG426))</f>
        <v>0</v>
      </c>
      <c r="F426">
        <f>IF($E426="","",N(F425)+1)</f>
        <v>0</v>
      </c>
      <c r="G426">
        <f>IF(OR($E426="",$E425=""),"",LN($E426/$E425))</f>
        <v>0</v>
      </c>
      <c r="H426">
        <f>IF($E426="","",IF($E425="",$E426,$E426*0.0952380952+H425*0.9047619048))</f>
        <v>0</v>
      </c>
      <c r="I426">
        <f>IF($E426="","",IF($E425="",$E426,$E426*0.0392156863+I425*0.9607843137))</f>
        <v>0</v>
      </c>
      <c r="J426">
        <f>IF($E426="","",IF($E425="",$E426,$E426*0.0198019802+J425*0.9801980198))</f>
        <v>0</v>
      </c>
      <c r="K426">
        <f>IF($E426="","",IF($E425="",$E426,$E426*0.0099502488+K425*0.9900497512))</f>
        <v>0</v>
      </c>
      <c r="L426">
        <f>IF(OR($E426="",$E425=""),"",MAX($E426-$E425,0))</f>
        <v>0</v>
      </c>
      <c r="M426">
        <f>IF(OR($E426="",$E425=""),"",MAX($E425-$E426,0))</f>
        <v>0</v>
      </c>
      <c r="N426">
        <f>IF(COUNT($E$2:$E426)&lt;15,"",IF(AVERAGE($M$413:$M$426)=0,100,100-100/(1+AVERAGE($L$413:$L$426)/AVERAGE($M$413:$M$426))))</f>
        <v>0</v>
      </c>
      <c r="O426">
        <f>IF($E426="","",IF($E425="",$E426,$E426*0.1538461538+O425*0.8461538462))</f>
        <v>0</v>
      </c>
      <c r="P426">
        <f>IF($E426="","",IF($E425="",$E426,$E426*0.0740740741+P425*0.9259259259))</f>
        <v>0</v>
      </c>
      <c r="Q426">
        <f>IF(OR(O426="",P426=""),"",O426-P426)</f>
        <v>0</v>
      </c>
      <c r="R426">
        <f>IF(Q426="","",IF(R425="",Q426,Q426*0.2000000000+R425*0.8000000000))</f>
        <v>0</v>
      </c>
      <c r="S426">
        <f>IF(OR(Q426="",R426=""),"",Q426-R426)</f>
        <v>0</v>
      </c>
      <c r="T426">
        <f>IF(COUNT($E$2:$E426)&lt;14,"",MAX($C$413:$C$426))</f>
        <v>0</v>
      </c>
      <c r="U426">
        <f>IF(COUNT($E$2:$E426)&lt;14,"",MIN($D$413:$D$426))</f>
        <v>0</v>
      </c>
      <c r="V426">
        <f>IF(OR(T426="",U426="",T426=U426),"",100*($E426-U426)/(T426-U426))</f>
        <v>0</v>
      </c>
      <c r="W426">
        <f>IF(COUNT($V$424:$V$426)&lt;3,"",AVERAGE($V$424:$V$426))</f>
        <v>0</v>
      </c>
      <c r="X426">
        <f>IF(COUNT($N$413:$N$426)&lt;14,"",MIN($N$413:$N$426))</f>
        <v>0</v>
      </c>
      <c r="Y426">
        <f>IF(COUNT($N$413:$N$426)&lt;14,"",MAX($N$413:$N$426))</f>
        <v>0</v>
      </c>
      <c r="Z426">
        <f>IF(OR(N426="",X426="",Y426="",Y426=X426),"",100*(N426-X426)/(Y426-X426))</f>
        <v>0</v>
      </c>
      <c r="AA426">
        <f>IF(COUNT($Z$424:$Z$426)&lt;3,"",AVERAGE($Z$424:$Z$426))</f>
        <v>0</v>
      </c>
      <c r="AB426">
        <f>IF(COUNT($AA$424:$AA$426)&lt;3,"",AVERAGE($AA$424:$AA$426))</f>
        <v>0</v>
      </c>
      <c r="AC426">
        <f>IF($E426="","",MAX($C426-$D426,ABS($C426-$E425),ABS($D426-$E425)))</f>
        <v>0</v>
      </c>
      <c r="AD426">
        <f>IF(COUNT($E$2:$E426)&lt;15,"",AVERAGE($AC$413:$AC$426))</f>
        <v>0</v>
      </c>
      <c r="AE426">
        <f>IF(OR($E426="",$E425=""),"",IF(AND(($C426-$C425)&gt;($D425-$D426),($C426-$C425)&gt;0),$C426-$C425,0))</f>
        <v>0</v>
      </c>
      <c r="AF426">
        <f>IF(OR($E426="",$E425=""),"",IF(AND(($D425-$D426)&gt;($C426-$C425),($D425-$D426)&gt;0),$D425-$D426,0))</f>
        <v>0</v>
      </c>
      <c r="AG426">
        <f>IF(COUNT($E$2:$E426)&lt;15,"",IF(SUM($AC$413:$AC$426)=0,0,100*SUM($AE$413:$AE$426)/SUM($AC$413:$AC$426)))</f>
        <v>0</v>
      </c>
      <c r="AH426">
        <f>IF(COUNT($E$2:$E426)&lt;15,"",IF(SUM($AC$413:$AC$426)=0,0,100*SUM($AF$413:$AF$426)/SUM($AC$413:$AC$426)))</f>
        <v>0</v>
      </c>
      <c r="AI426">
        <f>IF(OR(AG426="",AH426=""),"",IF((AG426+AH426)=0,0,100*ABS(AG426-AH426)/(AG426+AH426)))</f>
        <v>0</v>
      </c>
      <c r="AJ426">
        <f>IF(COUNT($AI$413:$AI$426)&lt;14,"",AVERAGE($AI$413:$AI$426))</f>
        <v>0</v>
      </c>
      <c r="AK426">
        <f>IF(COUNT($E$2:$E426)&lt;20,"",AVERAGE($E$407:$E$426))</f>
        <v>0</v>
      </c>
      <c r="AL426">
        <f>IF(COUNT($E$2:$E426)&lt;20,"",STDEVP($E$407:$E$426))</f>
        <v>0</v>
      </c>
      <c r="AM426">
        <f>IF(AK426="","",AK426+2*AL426)</f>
        <v>0</v>
      </c>
      <c r="AN426">
        <f>IF(AK426="","",AK426-2*AL426)</f>
        <v>0</v>
      </c>
      <c r="AO426">
        <f>IF(OR(AM426="",AN426="",AM426=AN426),"",($E426-AN426)/(AM426-AN426))</f>
        <v>0</v>
      </c>
      <c r="AP426">
        <f>IF(OR(AM426="",AK426="",AK426=0),"",(AM426-AN426)/AK426)</f>
        <v>0</v>
      </c>
      <c r="AQ426">
        <f>IF(COUNT($E$2:$E426)&lt;20,"",MAX($C$407:$C$426))</f>
        <v>0</v>
      </c>
      <c r="AR426">
        <f>IF(COUNT($E$2:$E426)&lt;20,"",MIN($D$407:$D$426))</f>
        <v>0</v>
      </c>
      <c r="AS426">
        <f>IF(OR(AQ426="",AR426=""),"",(AQ426+AR426)/2)</f>
        <v>0</v>
      </c>
      <c r="AT426">
        <f>IF(COUNT($G$407:$G$426)&lt;20,"",STDEV($G$407:$G$426)*SQRT(52))</f>
        <v>0</v>
      </c>
      <c r="AU426">
        <f>IF(COUNT($E$2:$E426)&lt;9,"",(MAX($C$418:$C$426)+MIN($D$418:$D$426))/2)</f>
        <v>0</v>
      </c>
      <c r="AV426">
        <f>IF(COUNT($E$2:$E426)&lt;26,"",(MAX($C$401:$C$426)+MIN($D$401:$D$426))/2)</f>
        <v>0</v>
      </c>
      <c r="AW426">
        <f>IF(OR(AU426="",AV426=""),"",(AU426+AV426)/2)</f>
        <v>0</v>
      </c>
      <c r="AX426">
        <f>IF(COUNT($E$2:$E426)&lt;52,"",(MAX($C$375:$C$426)+MIN($D$375:$D$426))/2)</f>
        <v>0</v>
      </c>
      <c r="AY426">
        <f>IF(COUNT($E$2:$E426)&lt;20,"",MAX($C$327:$C$426))</f>
        <v>0</v>
      </c>
      <c r="AZ426">
        <f>IF(COUNT($E$2:$E426)&lt;20,"",MIN($D$327:$D$426))</f>
        <v>0</v>
      </c>
      <c r="BA426">
        <f>IF(COUNT($E$2:$E426)&lt;20,"",SLOPE($E$327:$E$426,$F$327:$F$426))</f>
        <v>0</v>
      </c>
      <c r="BB426">
        <f>IF(COUNT($E$2:$E426)&lt;20,"",INTERCEPT($E$327:$E$426,$F$327:$F$426))</f>
        <v>0</v>
      </c>
      <c r="BC426">
        <f>IF(OR(BA426="",BB426=""),"",BB426+BA426*F426)</f>
        <v>0</v>
      </c>
      <c r="BD426">
        <f>IF(COUNT($E$2:$E426)&lt;20,"",STEYX($E$327:$E$426,$F$327:$F$426))</f>
        <v>0</v>
      </c>
      <c r="BE426">
        <f>IF($E426="","",IF(AND(COUNT($E$427:$E$430)&gt;=4,$C426=MAX($C$422:$C$430)),$C426,""))</f>
        <v>0</v>
      </c>
      <c r="BF426">
        <f>IF($E426="","",IF(AND(COUNT($E$427:$E$430)&gt;=4,$D426=MIN($D$422:$D$430)),$D426,""))</f>
        <v>0</v>
      </c>
      <c r="BG426">
        <f>IFERROR(SMALL(Calc_Daily!$BM$2:$BM$2001,425),"")</f>
        <v>0</v>
      </c>
    </row>
    <row r="427" spans="1:59">
      <c r="A427" s="27">
        <f>IF($BG427="","",INDEX(Calc_Daily!$A$2:$A$2001,$BG427))</f>
        <v>0</v>
      </c>
      <c r="B427">
        <f>IF($BG427="","",INDEX(Calc_Daily!$BJ$2:$BJ$2001,$BG427))</f>
        <v>0</v>
      </c>
      <c r="C427">
        <f>IF($BG427="","",INDEX(Calc_Daily!$BK$2:$BK$2001,$BG427))</f>
        <v>0</v>
      </c>
      <c r="D427">
        <f>IF($BG427="","",INDEX(Calc_Daily!$BL$2:$BL$2001,$BG427))</f>
        <v>0</v>
      </c>
      <c r="E427">
        <f>IF($BG427="","",INDEX(Calc_Daily!$E$2:$E$2001,$BG427))</f>
        <v>0</v>
      </c>
      <c r="F427">
        <f>IF($E427="","",N(F426)+1)</f>
        <v>0</v>
      </c>
      <c r="G427">
        <f>IF(OR($E427="",$E426=""),"",LN($E427/$E426))</f>
        <v>0</v>
      </c>
      <c r="H427">
        <f>IF($E427="","",IF($E426="",$E427,$E427*0.0952380952+H426*0.9047619048))</f>
        <v>0</v>
      </c>
      <c r="I427">
        <f>IF($E427="","",IF($E426="",$E427,$E427*0.0392156863+I426*0.9607843137))</f>
        <v>0</v>
      </c>
      <c r="J427">
        <f>IF($E427="","",IF($E426="",$E427,$E427*0.0198019802+J426*0.9801980198))</f>
        <v>0</v>
      </c>
      <c r="K427">
        <f>IF($E427="","",IF($E426="",$E427,$E427*0.0099502488+K426*0.9900497512))</f>
        <v>0</v>
      </c>
      <c r="L427">
        <f>IF(OR($E427="",$E426=""),"",MAX($E427-$E426,0))</f>
        <v>0</v>
      </c>
      <c r="M427">
        <f>IF(OR($E427="",$E426=""),"",MAX($E426-$E427,0))</f>
        <v>0</v>
      </c>
      <c r="N427">
        <f>IF(COUNT($E$2:$E427)&lt;15,"",IF(AVERAGE($M$414:$M$427)=0,100,100-100/(1+AVERAGE($L$414:$L$427)/AVERAGE($M$414:$M$427))))</f>
        <v>0</v>
      </c>
      <c r="O427">
        <f>IF($E427="","",IF($E426="",$E427,$E427*0.1538461538+O426*0.8461538462))</f>
        <v>0</v>
      </c>
      <c r="P427">
        <f>IF($E427="","",IF($E426="",$E427,$E427*0.0740740741+P426*0.9259259259))</f>
        <v>0</v>
      </c>
      <c r="Q427">
        <f>IF(OR(O427="",P427=""),"",O427-P427)</f>
        <v>0</v>
      </c>
      <c r="R427">
        <f>IF(Q427="","",IF(R426="",Q427,Q427*0.2000000000+R426*0.8000000000))</f>
        <v>0</v>
      </c>
      <c r="S427">
        <f>IF(OR(Q427="",R427=""),"",Q427-R427)</f>
        <v>0</v>
      </c>
      <c r="T427">
        <f>IF(COUNT($E$2:$E427)&lt;14,"",MAX($C$414:$C$427))</f>
        <v>0</v>
      </c>
      <c r="U427">
        <f>IF(COUNT($E$2:$E427)&lt;14,"",MIN($D$414:$D$427))</f>
        <v>0</v>
      </c>
      <c r="V427">
        <f>IF(OR(T427="",U427="",T427=U427),"",100*($E427-U427)/(T427-U427))</f>
        <v>0</v>
      </c>
      <c r="W427">
        <f>IF(COUNT($V$425:$V$427)&lt;3,"",AVERAGE($V$425:$V$427))</f>
        <v>0</v>
      </c>
      <c r="X427">
        <f>IF(COUNT($N$414:$N$427)&lt;14,"",MIN($N$414:$N$427))</f>
        <v>0</v>
      </c>
      <c r="Y427">
        <f>IF(COUNT($N$414:$N$427)&lt;14,"",MAX($N$414:$N$427))</f>
        <v>0</v>
      </c>
      <c r="Z427">
        <f>IF(OR(N427="",X427="",Y427="",Y427=X427),"",100*(N427-X427)/(Y427-X427))</f>
        <v>0</v>
      </c>
      <c r="AA427">
        <f>IF(COUNT($Z$425:$Z$427)&lt;3,"",AVERAGE($Z$425:$Z$427))</f>
        <v>0</v>
      </c>
      <c r="AB427">
        <f>IF(COUNT($AA$425:$AA$427)&lt;3,"",AVERAGE($AA$425:$AA$427))</f>
        <v>0</v>
      </c>
      <c r="AC427">
        <f>IF($E427="","",MAX($C427-$D427,ABS($C427-$E426),ABS($D427-$E426)))</f>
        <v>0</v>
      </c>
      <c r="AD427">
        <f>IF(COUNT($E$2:$E427)&lt;15,"",AVERAGE($AC$414:$AC$427))</f>
        <v>0</v>
      </c>
      <c r="AE427">
        <f>IF(OR($E427="",$E426=""),"",IF(AND(($C427-$C426)&gt;($D426-$D427),($C427-$C426)&gt;0),$C427-$C426,0))</f>
        <v>0</v>
      </c>
      <c r="AF427">
        <f>IF(OR($E427="",$E426=""),"",IF(AND(($D426-$D427)&gt;($C427-$C426),($D426-$D427)&gt;0),$D426-$D427,0))</f>
        <v>0</v>
      </c>
      <c r="AG427">
        <f>IF(COUNT($E$2:$E427)&lt;15,"",IF(SUM($AC$414:$AC$427)=0,0,100*SUM($AE$414:$AE$427)/SUM($AC$414:$AC$427)))</f>
        <v>0</v>
      </c>
      <c r="AH427">
        <f>IF(COUNT($E$2:$E427)&lt;15,"",IF(SUM($AC$414:$AC$427)=0,0,100*SUM($AF$414:$AF$427)/SUM($AC$414:$AC$427)))</f>
        <v>0</v>
      </c>
      <c r="AI427">
        <f>IF(OR(AG427="",AH427=""),"",IF((AG427+AH427)=0,0,100*ABS(AG427-AH427)/(AG427+AH427)))</f>
        <v>0</v>
      </c>
      <c r="AJ427">
        <f>IF(COUNT($AI$414:$AI$427)&lt;14,"",AVERAGE($AI$414:$AI$427))</f>
        <v>0</v>
      </c>
      <c r="AK427">
        <f>IF(COUNT($E$2:$E427)&lt;20,"",AVERAGE($E$408:$E$427))</f>
        <v>0</v>
      </c>
      <c r="AL427">
        <f>IF(COUNT($E$2:$E427)&lt;20,"",STDEVP($E$408:$E$427))</f>
        <v>0</v>
      </c>
      <c r="AM427">
        <f>IF(AK427="","",AK427+2*AL427)</f>
        <v>0</v>
      </c>
      <c r="AN427">
        <f>IF(AK427="","",AK427-2*AL427)</f>
        <v>0</v>
      </c>
      <c r="AO427">
        <f>IF(OR(AM427="",AN427="",AM427=AN427),"",($E427-AN427)/(AM427-AN427))</f>
        <v>0</v>
      </c>
      <c r="AP427">
        <f>IF(OR(AM427="",AK427="",AK427=0),"",(AM427-AN427)/AK427)</f>
        <v>0</v>
      </c>
      <c r="AQ427">
        <f>IF(COUNT($E$2:$E427)&lt;20,"",MAX($C$408:$C$427))</f>
        <v>0</v>
      </c>
      <c r="AR427">
        <f>IF(COUNT($E$2:$E427)&lt;20,"",MIN($D$408:$D$427))</f>
        <v>0</v>
      </c>
      <c r="AS427">
        <f>IF(OR(AQ427="",AR427=""),"",(AQ427+AR427)/2)</f>
        <v>0</v>
      </c>
      <c r="AT427">
        <f>IF(COUNT($G$408:$G$427)&lt;20,"",STDEV($G$408:$G$427)*SQRT(52))</f>
        <v>0</v>
      </c>
      <c r="AU427">
        <f>IF(COUNT($E$2:$E427)&lt;9,"",(MAX($C$419:$C$427)+MIN($D$419:$D$427))/2)</f>
        <v>0</v>
      </c>
      <c r="AV427">
        <f>IF(COUNT($E$2:$E427)&lt;26,"",(MAX($C$402:$C$427)+MIN($D$402:$D$427))/2)</f>
        <v>0</v>
      </c>
      <c r="AW427">
        <f>IF(OR(AU427="",AV427=""),"",(AU427+AV427)/2)</f>
        <v>0</v>
      </c>
      <c r="AX427">
        <f>IF(COUNT($E$2:$E427)&lt;52,"",(MAX($C$376:$C$427)+MIN($D$376:$D$427))/2)</f>
        <v>0</v>
      </c>
      <c r="AY427">
        <f>IF(COUNT($E$2:$E427)&lt;20,"",MAX($C$328:$C$427))</f>
        <v>0</v>
      </c>
      <c r="AZ427">
        <f>IF(COUNT($E$2:$E427)&lt;20,"",MIN($D$328:$D$427))</f>
        <v>0</v>
      </c>
      <c r="BA427">
        <f>IF(COUNT($E$2:$E427)&lt;20,"",SLOPE($E$328:$E$427,$F$328:$F$427))</f>
        <v>0</v>
      </c>
      <c r="BB427">
        <f>IF(COUNT($E$2:$E427)&lt;20,"",INTERCEPT($E$328:$E$427,$F$328:$F$427))</f>
        <v>0</v>
      </c>
      <c r="BC427">
        <f>IF(OR(BA427="",BB427=""),"",BB427+BA427*F427)</f>
        <v>0</v>
      </c>
      <c r="BD427">
        <f>IF(COUNT($E$2:$E427)&lt;20,"",STEYX($E$328:$E$427,$F$328:$F$427))</f>
        <v>0</v>
      </c>
      <c r="BE427">
        <f>IF($E427="","",IF(AND(COUNT($E$428:$E$431)&gt;=4,$C427=MAX($C$423:$C$431)),$C427,""))</f>
        <v>0</v>
      </c>
      <c r="BF427">
        <f>IF($E427="","",IF(AND(COUNT($E$428:$E$431)&gt;=4,$D427=MIN($D$423:$D$431)),$D427,""))</f>
        <v>0</v>
      </c>
      <c r="BG427">
        <f>IFERROR(SMALL(Calc_Daily!$BM$2:$BM$2001,426),"")</f>
        <v>0</v>
      </c>
    </row>
    <row r="428" spans="1:59">
      <c r="A428" s="27">
        <f>IF($BG428="","",INDEX(Calc_Daily!$A$2:$A$2001,$BG428))</f>
        <v>0</v>
      </c>
      <c r="B428">
        <f>IF($BG428="","",INDEX(Calc_Daily!$BJ$2:$BJ$2001,$BG428))</f>
        <v>0</v>
      </c>
      <c r="C428">
        <f>IF($BG428="","",INDEX(Calc_Daily!$BK$2:$BK$2001,$BG428))</f>
        <v>0</v>
      </c>
      <c r="D428">
        <f>IF($BG428="","",INDEX(Calc_Daily!$BL$2:$BL$2001,$BG428))</f>
        <v>0</v>
      </c>
      <c r="E428">
        <f>IF($BG428="","",INDEX(Calc_Daily!$E$2:$E$2001,$BG428))</f>
        <v>0</v>
      </c>
      <c r="F428">
        <f>IF($E428="","",N(F427)+1)</f>
        <v>0</v>
      </c>
      <c r="G428">
        <f>IF(OR($E428="",$E427=""),"",LN($E428/$E427))</f>
        <v>0</v>
      </c>
      <c r="H428">
        <f>IF($E428="","",IF($E427="",$E428,$E428*0.0952380952+H427*0.9047619048))</f>
        <v>0</v>
      </c>
      <c r="I428">
        <f>IF($E428="","",IF($E427="",$E428,$E428*0.0392156863+I427*0.9607843137))</f>
        <v>0</v>
      </c>
      <c r="J428">
        <f>IF($E428="","",IF($E427="",$E428,$E428*0.0198019802+J427*0.9801980198))</f>
        <v>0</v>
      </c>
      <c r="K428">
        <f>IF($E428="","",IF($E427="",$E428,$E428*0.0099502488+K427*0.9900497512))</f>
        <v>0</v>
      </c>
      <c r="L428">
        <f>IF(OR($E428="",$E427=""),"",MAX($E428-$E427,0))</f>
        <v>0</v>
      </c>
      <c r="M428">
        <f>IF(OR($E428="",$E427=""),"",MAX($E427-$E428,0))</f>
        <v>0</v>
      </c>
      <c r="N428">
        <f>IF(COUNT($E$2:$E428)&lt;15,"",IF(AVERAGE($M$415:$M$428)=0,100,100-100/(1+AVERAGE($L$415:$L$428)/AVERAGE($M$415:$M$428))))</f>
        <v>0</v>
      </c>
      <c r="O428">
        <f>IF($E428="","",IF($E427="",$E428,$E428*0.1538461538+O427*0.8461538462))</f>
        <v>0</v>
      </c>
      <c r="P428">
        <f>IF($E428="","",IF($E427="",$E428,$E428*0.0740740741+P427*0.9259259259))</f>
        <v>0</v>
      </c>
      <c r="Q428">
        <f>IF(OR(O428="",P428=""),"",O428-P428)</f>
        <v>0</v>
      </c>
      <c r="R428">
        <f>IF(Q428="","",IF(R427="",Q428,Q428*0.2000000000+R427*0.8000000000))</f>
        <v>0</v>
      </c>
      <c r="S428">
        <f>IF(OR(Q428="",R428=""),"",Q428-R428)</f>
        <v>0</v>
      </c>
      <c r="T428">
        <f>IF(COUNT($E$2:$E428)&lt;14,"",MAX($C$415:$C$428))</f>
        <v>0</v>
      </c>
      <c r="U428">
        <f>IF(COUNT($E$2:$E428)&lt;14,"",MIN($D$415:$D$428))</f>
        <v>0</v>
      </c>
      <c r="V428">
        <f>IF(OR(T428="",U428="",T428=U428),"",100*($E428-U428)/(T428-U428))</f>
        <v>0</v>
      </c>
      <c r="W428">
        <f>IF(COUNT($V$426:$V$428)&lt;3,"",AVERAGE($V$426:$V$428))</f>
        <v>0</v>
      </c>
      <c r="X428">
        <f>IF(COUNT($N$415:$N$428)&lt;14,"",MIN($N$415:$N$428))</f>
        <v>0</v>
      </c>
      <c r="Y428">
        <f>IF(COUNT($N$415:$N$428)&lt;14,"",MAX($N$415:$N$428))</f>
        <v>0</v>
      </c>
      <c r="Z428">
        <f>IF(OR(N428="",X428="",Y428="",Y428=X428),"",100*(N428-X428)/(Y428-X428))</f>
        <v>0</v>
      </c>
      <c r="AA428">
        <f>IF(COUNT($Z$426:$Z$428)&lt;3,"",AVERAGE($Z$426:$Z$428))</f>
        <v>0</v>
      </c>
      <c r="AB428">
        <f>IF(COUNT($AA$426:$AA$428)&lt;3,"",AVERAGE($AA$426:$AA$428))</f>
        <v>0</v>
      </c>
      <c r="AC428">
        <f>IF($E428="","",MAX($C428-$D428,ABS($C428-$E427),ABS($D428-$E427)))</f>
        <v>0</v>
      </c>
      <c r="AD428">
        <f>IF(COUNT($E$2:$E428)&lt;15,"",AVERAGE($AC$415:$AC$428))</f>
        <v>0</v>
      </c>
      <c r="AE428">
        <f>IF(OR($E428="",$E427=""),"",IF(AND(($C428-$C427)&gt;($D427-$D428),($C428-$C427)&gt;0),$C428-$C427,0))</f>
        <v>0</v>
      </c>
      <c r="AF428">
        <f>IF(OR($E428="",$E427=""),"",IF(AND(($D427-$D428)&gt;($C428-$C427),($D427-$D428)&gt;0),$D427-$D428,0))</f>
        <v>0</v>
      </c>
      <c r="AG428">
        <f>IF(COUNT($E$2:$E428)&lt;15,"",IF(SUM($AC$415:$AC$428)=0,0,100*SUM($AE$415:$AE$428)/SUM($AC$415:$AC$428)))</f>
        <v>0</v>
      </c>
      <c r="AH428">
        <f>IF(COUNT($E$2:$E428)&lt;15,"",IF(SUM($AC$415:$AC$428)=0,0,100*SUM($AF$415:$AF$428)/SUM($AC$415:$AC$428)))</f>
        <v>0</v>
      </c>
      <c r="AI428">
        <f>IF(OR(AG428="",AH428=""),"",IF((AG428+AH428)=0,0,100*ABS(AG428-AH428)/(AG428+AH428)))</f>
        <v>0</v>
      </c>
      <c r="AJ428">
        <f>IF(COUNT($AI$415:$AI$428)&lt;14,"",AVERAGE($AI$415:$AI$428))</f>
        <v>0</v>
      </c>
      <c r="AK428">
        <f>IF(COUNT($E$2:$E428)&lt;20,"",AVERAGE($E$409:$E$428))</f>
        <v>0</v>
      </c>
      <c r="AL428">
        <f>IF(COUNT($E$2:$E428)&lt;20,"",STDEVP($E$409:$E$428))</f>
        <v>0</v>
      </c>
      <c r="AM428">
        <f>IF(AK428="","",AK428+2*AL428)</f>
        <v>0</v>
      </c>
      <c r="AN428">
        <f>IF(AK428="","",AK428-2*AL428)</f>
        <v>0</v>
      </c>
      <c r="AO428">
        <f>IF(OR(AM428="",AN428="",AM428=AN428),"",($E428-AN428)/(AM428-AN428))</f>
        <v>0</v>
      </c>
      <c r="AP428">
        <f>IF(OR(AM428="",AK428="",AK428=0),"",(AM428-AN428)/AK428)</f>
        <v>0</v>
      </c>
      <c r="AQ428">
        <f>IF(COUNT($E$2:$E428)&lt;20,"",MAX($C$409:$C$428))</f>
        <v>0</v>
      </c>
      <c r="AR428">
        <f>IF(COUNT($E$2:$E428)&lt;20,"",MIN($D$409:$D$428))</f>
        <v>0</v>
      </c>
      <c r="AS428">
        <f>IF(OR(AQ428="",AR428=""),"",(AQ428+AR428)/2)</f>
        <v>0</v>
      </c>
      <c r="AT428">
        <f>IF(COUNT($G$409:$G$428)&lt;20,"",STDEV($G$409:$G$428)*SQRT(52))</f>
        <v>0</v>
      </c>
      <c r="AU428">
        <f>IF(COUNT($E$2:$E428)&lt;9,"",(MAX($C$420:$C$428)+MIN($D$420:$D$428))/2)</f>
        <v>0</v>
      </c>
      <c r="AV428">
        <f>IF(COUNT($E$2:$E428)&lt;26,"",(MAX($C$403:$C$428)+MIN($D$403:$D$428))/2)</f>
        <v>0</v>
      </c>
      <c r="AW428">
        <f>IF(OR(AU428="",AV428=""),"",(AU428+AV428)/2)</f>
        <v>0</v>
      </c>
      <c r="AX428">
        <f>IF(COUNT($E$2:$E428)&lt;52,"",(MAX($C$377:$C$428)+MIN($D$377:$D$428))/2)</f>
        <v>0</v>
      </c>
      <c r="AY428">
        <f>IF(COUNT($E$2:$E428)&lt;20,"",MAX($C$329:$C$428))</f>
        <v>0</v>
      </c>
      <c r="AZ428">
        <f>IF(COUNT($E$2:$E428)&lt;20,"",MIN($D$329:$D$428))</f>
        <v>0</v>
      </c>
      <c r="BA428">
        <f>IF(COUNT($E$2:$E428)&lt;20,"",SLOPE($E$329:$E$428,$F$329:$F$428))</f>
        <v>0</v>
      </c>
      <c r="BB428">
        <f>IF(COUNT($E$2:$E428)&lt;20,"",INTERCEPT($E$329:$E$428,$F$329:$F$428))</f>
        <v>0</v>
      </c>
      <c r="BC428">
        <f>IF(OR(BA428="",BB428=""),"",BB428+BA428*F428)</f>
        <v>0</v>
      </c>
      <c r="BD428">
        <f>IF(COUNT($E$2:$E428)&lt;20,"",STEYX($E$329:$E$428,$F$329:$F$428))</f>
        <v>0</v>
      </c>
      <c r="BE428">
        <f>IF($E428="","",IF(AND(COUNT($E$429:$E$432)&gt;=4,$C428=MAX($C$424:$C$432)),$C428,""))</f>
        <v>0</v>
      </c>
      <c r="BF428">
        <f>IF($E428="","",IF(AND(COUNT($E$429:$E$432)&gt;=4,$D428=MIN($D$424:$D$432)),$D428,""))</f>
        <v>0</v>
      </c>
      <c r="BG428">
        <f>IFERROR(SMALL(Calc_Daily!$BM$2:$BM$2001,427),"")</f>
        <v>0</v>
      </c>
    </row>
    <row r="429" spans="1:59">
      <c r="A429" s="27">
        <f>IF($BG429="","",INDEX(Calc_Daily!$A$2:$A$2001,$BG429))</f>
        <v>0</v>
      </c>
      <c r="B429">
        <f>IF($BG429="","",INDEX(Calc_Daily!$BJ$2:$BJ$2001,$BG429))</f>
        <v>0</v>
      </c>
      <c r="C429">
        <f>IF($BG429="","",INDEX(Calc_Daily!$BK$2:$BK$2001,$BG429))</f>
        <v>0</v>
      </c>
      <c r="D429">
        <f>IF($BG429="","",INDEX(Calc_Daily!$BL$2:$BL$2001,$BG429))</f>
        <v>0</v>
      </c>
      <c r="E429">
        <f>IF($BG429="","",INDEX(Calc_Daily!$E$2:$E$2001,$BG429))</f>
        <v>0</v>
      </c>
      <c r="F429">
        <f>IF($E429="","",N(F428)+1)</f>
        <v>0</v>
      </c>
      <c r="G429">
        <f>IF(OR($E429="",$E428=""),"",LN($E429/$E428))</f>
        <v>0</v>
      </c>
      <c r="H429">
        <f>IF($E429="","",IF($E428="",$E429,$E429*0.0952380952+H428*0.9047619048))</f>
        <v>0</v>
      </c>
      <c r="I429">
        <f>IF($E429="","",IF($E428="",$E429,$E429*0.0392156863+I428*0.9607843137))</f>
        <v>0</v>
      </c>
      <c r="J429">
        <f>IF($E429="","",IF($E428="",$E429,$E429*0.0198019802+J428*0.9801980198))</f>
        <v>0</v>
      </c>
      <c r="K429">
        <f>IF($E429="","",IF($E428="",$E429,$E429*0.0099502488+K428*0.9900497512))</f>
        <v>0</v>
      </c>
      <c r="L429">
        <f>IF(OR($E429="",$E428=""),"",MAX($E429-$E428,0))</f>
        <v>0</v>
      </c>
      <c r="M429">
        <f>IF(OR($E429="",$E428=""),"",MAX($E428-$E429,0))</f>
        <v>0</v>
      </c>
      <c r="N429">
        <f>IF(COUNT($E$2:$E429)&lt;15,"",IF(AVERAGE($M$416:$M$429)=0,100,100-100/(1+AVERAGE($L$416:$L$429)/AVERAGE($M$416:$M$429))))</f>
        <v>0</v>
      </c>
      <c r="O429">
        <f>IF($E429="","",IF($E428="",$E429,$E429*0.1538461538+O428*0.8461538462))</f>
        <v>0</v>
      </c>
      <c r="P429">
        <f>IF($E429="","",IF($E428="",$E429,$E429*0.0740740741+P428*0.9259259259))</f>
        <v>0</v>
      </c>
      <c r="Q429">
        <f>IF(OR(O429="",P429=""),"",O429-P429)</f>
        <v>0</v>
      </c>
      <c r="R429">
        <f>IF(Q429="","",IF(R428="",Q429,Q429*0.2000000000+R428*0.8000000000))</f>
        <v>0</v>
      </c>
      <c r="S429">
        <f>IF(OR(Q429="",R429=""),"",Q429-R429)</f>
        <v>0</v>
      </c>
      <c r="T429">
        <f>IF(COUNT($E$2:$E429)&lt;14,"",MAX($C$416:$C$429))</f>
        <v>0</v>
      </c>
      <c r="U429">
        <f>IF(COUNT($E$2:$E429)&lt;14,"",MIN($D$416:$D$429))</f>
        <v>0</v>
      </c>
      <c r="V429">
        <f>IF(OR(T429="",U429="",T429=U429),"",100*($E429-U429)/(T429-U429))</f>
        <v>0</v>
      </c>
      <c r="W429">
        <f>IF(COUNT($V$427:$V$429)&lt;3,"",AVERAGE($V$427:$V$429))</f>
        <v>0</v>
      </c>
      <c r="X429">
        <f>IF(COUNT($N$416:$N$429)&lt;14,"",MIN($N$416:$N$429))</f>
        <v>0</v>
      </c>
      <c r="Y429">
        <f>IF(COUNT($N$416:$N$429)&lt;14,"",MAX($N$416:$N$429))</f>
        <v>0</v>
      </c>
      <c r="Z429">
        <f>IF(OR(N429="",X429="",Y429="",Y429=X429),"",100*(N429-X429)/(Y429-X429))</f>
        <v>0</v>
      </c>
      <c r="AA429">
        <f>IF(COUNT($Z$427:$Z$429)&lt;3,"",AVERAGE($Z$427:$Z$429))</f>
        <v>0</v>
      </c>
      <c r="AB429">
        <f>IF(COUNT($AA$427:$AA$429)&lt;3,"",AVERAGE($AA$427:$AA$429))</f>
        <v>0</v>
      </c>
      <c r="AC429">
        <f>IF($E429="","",MAX($C429-$D429,ABS($C429-$E428),ABS($D429-$E428)))</f>
        <v>0</v>
      </c>
      <c r="AD429">
        <f>IF(COUNT($E$2:$E429)&lt;15,"",AVERAGE($AC$416:$AC$429))</f>
        <v>0</v>
      </c>
      <c r="AE429">
        <f>IF(OR($E429="",$E428=""),"",IF(AND(($C429-$C428)&gt;($D428-$D429),($C429-$C428)&gt;0),$C429-$C428,0))</f>
        <v>0</v>
      </c>
      <c r="AF429">
        <f>IF(OR($E429="",$E428=""),"",IF(AND(($D428-$D429)&gt;($C429-$C428),($D428-$D429)&gt;0),$D428-$D429,0))</f>
        <v>0</v>
      </c>
      <c r="AG429">
        <f>IF(COUNT($E$2:$E429)&lt;15,"",IF(SUM($AC$416:$AC$429)=0,0,100*SUM($AE$416:$AE$429)/SUM($AC$416:$AC$429)))</f>
        <v>0</v>
      </c>
      <c r="AH429">
        <f>IF(COUNT($E$2:$E429)&lt;15,"",IF(SUM($AC$416:$AC$429)=0,0,100*SUM($AF$416:$AF$429)/SUM($AC$416:$AC$429)))</f>
        <v>0</v>
      </c>
      <c r="AI429">
        <f>IF(OR(AG429="",AH429=""),"",IF((AG429+AH429)=0,0,100*ABS(AG429-AH429)/(AG429+AH429)))</f>
        <v>0</v>
      </c>
      <c r="AJ429">
        <f>IF(COUNT($AI$416:$AI$429)&lt;14,"",AVERAGE($AI$416:$AI$429))</f>
        <v>0</v>
      </c>
      <c r="AK429">
        <f>IF(COUNT($E$2:$E429)&lt;20,"",AVERAGE($E$410:$E$429))</f>
        <v>0</v>
      </c>
      <c r="AL429">
        <f>IF(COUNT($E$2:$E429)&lt;20,"",STDEVP($E$410:$E$429))</f>
        <v>0</v>
      </c>
      <c r="AM429">
        <f>IF(AK429="","",AK429+2*AL429)</f>
        <v>0</v>
      </c>
      <c r="AN429">
        <f>IF(AK429="","",AK429-2*AL429)</f>
        <v>0</v>
      </c>
      <c r="AO429">
        <f>IF(OR(AM429="",AN429="",AM429=AN429),"",($E429-AN429)/(AM429-AN429))</f>
        <v>0</v>
      </c>
      <c r="AP429">
        <f>IF(OR(AM429="",AK429="",AK429=0),"",(AM429-AN429)/AK429)</f>
        <v>0</v>
      </c>
      <c r="AQ429">
        <f>IF(COUNT($E$2:$E429)&lt;20,"",MAX($C$410:$C$429))</f>
        <v>0</v>
      </c>
      <c r="AR429">
        <f>IF(COUNT($E$2:$E429)&lt;20,"",MIN($D$410:$D$429))</f>
        <v>0</v>
      </c>
      <c r="AS429">
        <f>IF(OR(AQ429="",AR429=""),"",(AQ429+AR429)/2)</f>
        <v>0</v>
      </c>
      <c r="AT429">
        <f>IF(COUNT($G$410:$G$429)&lt;20,"",STDEV($G$410:$G$429)*SQRT(52))</f>
        <v>0</v>
      </c>
      <c r="AU429">
        <f>IF(COUNT($E$2:$E429)&lt;9,"",(MAX($C$421:$C$429)+MIN($D$421:$D$429))/2)</f>
        <v>0</v>
      </c>
      <c r="AV429">
        <f>IF(COUNT($E$2:$E429)&lt;26,"",(MAX($C$404:$C$429)+MIN($D$404:$D$429))/2)</f>
        <v>0</v>
      </c>
      <c r="AW429">
        <f>IF(OR(AU429="",AV429=""),"",(AU429+AV429)/2)</f>
        <v>0</v>
      </c>
      <c r="AX429">
        <f>IF(COUNT($E$2:$E429)&lt;52,"",(MAX($C$378:$C$429)+MIN($D$378:$D$429))/2)</f>
        <v>0</v>
      </c>
      <c r="AY429">
        <f>IF(COUNT($E$2:$E429)&lt;20,"",MAX($C$330:$C$429))</f>
        <v>0</v>
      </c>
      <c r="AZ429">
        <f>IF(COUNT($E$2:$E429)&lt;20,"",MIN($D$330:$D$429))</f>
        <v>0</v>
      </c>
      <c r="BA429">
        <f>IF(COUNT($E$2:$E429)&lt;20,"",SLOPE($E$330:$E$429,$F$330:$F$429))</f>
        <v>0</v>
      </c>
      <c r="BB429">
        <f>IF(COUNT($E$2:$E429)&lt;20,"",INTERCEPT($E$330:$E$429,$F$330:$F$429))</f>
        <v>0</v>
      </c>
      <c r="BC429">
        <f>IF(OR(BA429="",BB429=""),"",BB429+BA429*F429)</f>
        <v>0</v>
      </c>
      <c r="BD429">
        <f>IF(COUNT($E$2:$E429)&lt;20,"",STEYX($E$330:$E$429,$F$330:$F$429))</f>
        <v>0</v>
      </c>
      <c r="BE429">
        <f>IF($E429="","",IF(AND(COUNT($E$430:$E$433)&gt;=4,$C429=MAX($C$425:$C$433)),$C429,""))</f>
        <v>0</v>
      </c>
      <c r="BF429">
        <f>IF($E429="","",IF(AND(COUNT($E$430:$E$433)&gt;=4,$D429=MIN($D$425:$D$433)),$D429,""))</f>
        <v>0</v>
      </c>
      <c r="BG429">
        <f>IFERROR(SMALL(Calc_Daily!$BM$2:$BM$2001,428),"")</f>
        <v>0</v>
      </c>
    </row>
    <row r="430" spans="1:59">
      <c r="A430" s="27">
        <f>IF($BG430="","",INDEX(Calc_Daily!$A$2:$A$2001,$BG430))</f>
        <v>0</v>
      </c>
      <c r="B430">
        <f>IF($BG430="","",INDEX(Calc_Daily!$BJ$2:$BJ$2001,$BG430))</f>
        <v>0</v>
      </c>
      <c r="C430">
        <f>IF($BG430="","",INDEX(Calc_Daily!$BK$2:$BK$2001,$BG430))</f>
        <v>0</v>
      </c>
      <c r="D430">
        <f>IF($BG430="","",INDEX(Calc_Daily!$BL$2:$BL$2001,$BG430))</f>
        <v>0</v>
      </c>
      <c r="E430">
        <f>IF($BG430="","",INDEX(Calc_Daily!$E$2:$E$2001,$BG430))</f>
        <v>0</v>
      </c>
      <c r="F430">
        <f>IF($E430="","",N(F429)+1)</f>
        <v>0</v>
      </c>
      <c r="G430">
        <f>IF(OR($E430="",$E429=""),"",LN($E430/$E429))</f>
        <v>0</v>
      </c>
      <c r="H430">
        <f>IF($E430="","",IF($E429="",$E430,$E430*0.0952380952+H429*0.9047619048))</f>
        <v>0</v>
      </c>
      <c r="I430">
        <f>IF($E430="","",IF($E429="",$E430,$E430*0.0392156863+I429*0.9607843137))</f>
        <v>0</v>
      </c>
      <c r="J430">
        <f>IF($E430="","",IF($E429="",$E430,$E430*0.0198019802+J429*0.9801980198))</f>
        <v>0</v>
      </c>
      <c r="K430">
        <f>IF($E430="","",IF($E429="",$E430,$E430*0.0099502488+K429*0.9900497512))</f>
        <v>0</v>
      </c>
      <c r="L430">
        <f>IF(OR($E430="",$E429=""),"",MAX($E430-$E429,0))</f>
        <v>0</v>
      </c>
      <c r="M430">
        <f>IF(OR($E430="",$E429=""),"",MAX($E429-$E430,0))</f>
        <v>0</v>
      </c>
      <c r="N430">
        <f>IF(COUNT($E$2:$E430)&lt;15,"",IF(AVERAGE($M$417:$M$430)=0,100,100-100/(1+AVERAGE($L$417:$L$430)/AVERAGE($M$417:$M$430))))</f>
        <v>0</v>
      </c>
      <c r="O430">
        <f>IF($E430="","",IF($E429="",$E430,$E430*0.1538461538+O429*0.8461538462))</f>
        <v>0</v>
      </c>
      <c r="P430">
        <f>IF($E430="","",IF($E429="",$E430,$E430*0.0740740741+P429*0.9259259259))</f>
        <v>0</v>
      </c>
      <c r="Q430">
        <f>IF(OR(O430="",P430=""),"",O430-P430)</f>
        <v>0</v>
      </c>
      <c r="R430">
        <f>IF(Q430="","",IF(R429="",Q430,Q430*0.2000000000+R429*0.8000000000))</f>
        <v>0</v>
      </c>
      <c r="S430">
        <f>IF(OR(Q430="",R430=""),"",Q430-R430)</f>
        <v>0</v>
      </c>
      <c r="T430">
        <f>IF(COUNT($E$2:$E430)&lt;14,"",MAX($C$417:$C$430))</f>
        <v>0</v>
      </c>
      <c r="U430">
        <f>IF(COUNT($E$2:$E430)&lt;14,"",MIN($D$417:$D$430))</f>
        <v>0</v>
      </c>
      <c r="V430">
        <f>IF(OR(T430="",U430="",T430=U430),"",100*($E430-U430)/(T430-U430))</f>
        <v>0</v>
      </c>
      <c r="W430">
        <f>IF(COUNT($V$428:$V$430)&lt;3,"",AVERAGE($V$428:$V$430))</f>
        <v>0</v>
      </c>
      <c r="X430">
        <f>IF(COUNT($N$417:$N$430)&lt;14,"",MIN($N$417:$N$430))</f>
        <v>0</v>
      </c>
      <c r="Y430">
        <f>IF(COUNT($N$417:$N$430)&lt;14,"",MAX($N$417:$N$430))</f>
        <v>0</v>
      </c>
      <c r="Z430">
        <f>IF(OR(N430="",X430="",Y430="",Y430=X430),"",100*(N430-X430)/(Y430-X430))</f>
        <v>0</v>
      </c>
      <c r="AA430">
        <f>IF(COUNT($Z$428:$Z$430)&lt;3,"",AVERAGE($Z$428:$Z$430))</f>
        <v>0</v>
      </c>
      <c r="AB430">
        <f>IF(COUNT($AA$428:$AA$430)&lt;3,"",AVERAGE($AA$428:$AA$430))</f>
        <v>0</v>
      </c>
      <c r="AC430">
        <f>IF($E430="","",MAX($C430-$D430,ABS($C430-$E429),ABS($D430-$E429)))</f>
        <v>0</v>
      </c>
      <c r="AD430">
        <f>IF(COUNT($E$2:$E430)&lt;15,"",AVERAGE($AC$417:$AC$430))</f>
        <v>0</v>
      </c>
      <c r="AE430">
        <f>IF(OR($E430="",$E429=""),"",IF(AND(($C430-$C429)&gt;($D429-$D430),($C430-$C429)&gt;0),$C430-$C429,0))</f>
        <v>0</v>
      </c>
      <c r="AF430">
        <f>IF(OR($E430="",$E429=""),"",IF(AND(($D429-$D430)&gt;($C430-$C429),($D429-$D430)&gt;0),$D429-$D430,0))</f>
        <v>0</v>
      </c>
      <c r="AG430">
        <f>IF(COUNT($E$2:$E430)&lt;15,"",IF(SUM($AC$417:$AC$430)=0,0,100*SUM($AE$417:$AE$430)/SUM($AC$417:$AC$430)))</f>
        <v>0</v>
      </c>
      <c r="AH430">
        <f>IF(COUNT($E$2:$E430)&lt;15,"",IF(SUM($AC$417:$AC$430)=0,0,100*SUM($AF$417:$AF$430)/SUM($AC$417:$AC$430)))</f>
        <v>0</v>
      </c>
      <c r="AI430">
        <f>IF(OR(AG430="",AH430=""),"",IF((AG430+AH430)=0,0,100*ABS(AG430-AH430)/(AG430+AH430)))</f>
        <v>0</v>
      </c>
      <c r="AJ430">
        <f>IF(COUNT($AI$417:$AI$430)&lt;14,"",AVERAGE($AI$417:$AI$430))</f>
        <v>0</v>
      </c>
      <c r="AK430">
        <f>IF(COUNT($E$2:$E430)&lt;20,"",AVERAGE($E$411:$E$430))</f>
        <v>0</v>
      </c>
      <c r="AL430">
        <f>IF(COUNT($E$2:$E430)&lt;20,"",STDEVP($E$411:$E$430))</f>
        <v>0</v>
      </c>
      <c r="AM430">
        <f>IF(AK430="","",AK430+2*AL430)</f>
        <v>0</v>
      </c>
      <c r="AN430">
        <f>IF(AK430="","",AK430-2*AL430)</f>
        <v>0</v>
      </c>
      <c r="AO430">
        <f>IF(OR(AM430="",AN430="",AM430=AN430),"",($E430-AN430)/(AM430-AN430))</f>
        <v>0</v>
      </c>
      <c r="AP430">
        <f>IF(OR(AM430="",AK430="",AK430=0),"",(AM430-AN430)/AK430)</f>
        <v>0</v>
      </c>
      <c r="AQ430">
        <f>IF(COUNT($E$2:$E430)&lt;20,"",MAX($C$411:$C$430))</f>
        <v>0</v>
      </c>
      <c r="AR430">
        <f>IF(COUNT($E$2:$E430)&lt;20,"",MIN($D$411:$D$430))</f>
        <v>0</v>
      </c>
      <c r="AS430">
        <f>IF(OR(AQ430="",AR430=""),"",(AQ430+AR430)/2)</f>
        <v>0</v>
      </c>
      <c r="AT430">
        <f>IF(COUNT($G$411:$G$430)&lt;20,"",STDEV($G$411:$G$430)*SQRT(52))</f>
        <v>0</v>
      </c>
      <c r="AU430">
        <f>IF(COUNT($E$2:$E430)&lt;9,"",(MAX($C$422:$C$430)+MIN($D$422:$D$430))/2)</f>
        <v>0</v>
      </c>
      <c r="AV430">
        <f>IF(COUNT($E$2:$E430)&lt;26,"",(MAX($C$405:$C$430)+MIN($D$405:$D$430))/2)</f>
        <v>0</v>
      </c>
      <c r="AW430">
        <f>IF(OR(AU430="",AV430=""),"",(AU430+AV430)/2)</f>
        <v>0</v>
      </c>
      <c r="AX430">
        <f>IF(COUNT($E$2:$E430)&lt;52,"",(MAX($C$379:$C$430)+MIN($D$379:$D$430))/2)</f>
        <v>0</v>
      </c>
      <c r="AY430">
        <f>IF(COUNT($E$2:$E430)&lt;20,"",MAX($C$331:$C$430))</f>
        <v>0</v>
      </c>
      <c r="AZ430">
        <f>IF(COUNT($E$2:$E430)&lt;20,"",MIN($D$331:$D$430))</f>
        <v>0</v>
      </c>
      <c r="BA430">
        <f>IF(COUNT($E$2:$E430)&lt;20,"",SLOPE($E$331:$E$430,$F$331:$F$430))</f>
        <v>0</v>
      </c>
      <c r="BB430">
        <f>IF(COUNT($E$2:$E430)&lt;20,"",INTERCEPT($E$331:$E$430,$F$331:$F$430))</f>
        <v>0</v>
      </c>
      <c r="BC430">
        <f>IF(OR(BA430="",BB430=""),"",BB430+BA430*F430)</f>
        <v>0</v>
      </c>
      <c r="BD430">
        <f>IF(COUNT($E$2:$E430)&lt;20,"",STEYX($E$331:$E$430,$F$331:$F$430))</f>
        <v>0</v>
      </c>
      <c r="BE430">
        <f>IF($E430="","",IF(AND(COUNT($E$431:$E$434)&gt;=4,$C430=MAX($C$426:$C$434)),$C430,""))</f>
        <v>0</v>
      </c>
      <c r="BF430">
        <f>IF($E430="","",IF(AND(COUNT($E$431:$E$434)&gt;=4,$D430=MIN($D$426:$D$434)),$D430,""))</f>
        <v>0</v>
      </c>
      <c r="BG430">
        <f>IFERROR(SMALL(Calc_Daily!$BM$2:$BM$2001,429),"")</f>
        <v>0</v>
      </c>
    </row>
    <row r="431" spans="1:59">
      <c r="A431" s="27">
        <f>IF($BG431="","",INDEX(Calc_Daily!$A$2:$A$2001,$BG431))</f>
        <v>0</v>
      </c>
      <c r="B431">
        <f>IF($BG431="","",INDEX(Calc_Daily!$BJ$2:$BJ$2001,$BG431))</f>
        <v>0</v>
      </c>
      <c r="C431">
        <f>IF($BG431="","",INDEX(Calc_Daily!$BK$2:$BK$2001,$BG431))</f>
        <v>0</v>
      </c>
      <c r="D431">
        <f>IF($BG431="","",INDEX(Calc_Daily!$BL$2:$BL$2001,$BG431))</f>
        <v>0</v>
      </c>
      <c r="E431">
        <f>IF($BG431="","",INDEX(Calc_Daily!$E$2:$E$2001,$BG431))</f>
        <v>0</v>
      </c>
      <c r="F431">
        <f>IF($E431="","",N(F430)+1)</f>
        <v>0</v>
      </c>
      <c r="G431">
        <f>IF(OR($E431="",$E430=""),"",LN($E431/$E430))</f>
        <v>0</v>
      </c>
      <c r="H431">
        <f>IF($E431="","",IF($E430="",$E431,$E431*0.0952380952+H430*0.9047619048))</f>
        <v>0</v>
      </c>
      <c r="I431">
        <f>IF($E431="","",IF($E430="",$E431,$E431*0.0392156863+I430*0.9607843137))</f>
        <v>0</v>
      </c>
      <c r="J431">
        <f>IF($E431="","",IF($E430="",$E431,$E431*0.0198019802+J430*0.9801980198))</f>
        <v>0</v>
      </c>
      <c r="K431">
        <f>IF($E431="","",IF($E430="",$E431,$E431*0.0099502488+K430*0.9900497512))</f>
        <v>0</v>
      </c>
      <c r="L431">
        <f>IF(OR($E431="",$E430=""),"",MAX($E431-$E430,0))</f>
        <v>0</v>
      </c>
      <c r="M431">
        <f>IF(OR($E431="",$E430=""),"",MAX($E430-$E431,0))</f>
        <v>0</v>
      </c>
      <c r="N431">
        <f>IF(COUNT($E$2:$E431)&lt;15,"",IF(AVERAGE($M$418:$M$431)=0,100,100-100/(1+AVERAGE($L$418:$L$431)/AVERAGE($M$418:$M$431))))</f>
        <v>0</v>
      </c>
      <c r="O431">
        <f>IF($E431="","",IF($E430="",$E431,$E431*0.1538461538+O430*0.8461538462))</f>
        <v>0</v>
      </c>
      <c r="P431">
        <f>IF($E431="","",IF($E430="",$E431,$E431*0.0740740741+P430*0.9259259259))</f>
        <v>0</v>
      </c>
      <c r="Q431">
        <f>IF(OR(O431="",P431=""),"",O431-P431)</f>
        <v>0</v>
      </c>
      <c r="R431">
        <f>IF(Q431="","",IF(R430="",Q431,Q431*0.2000000000+R430*0.8000000000))</f>
        <v>0</v>
      </c>
      <c r="S431">
        <f>IF(OR(Q431="",R431=""),"",Q431-R431)</f>
        <v>0</v>
      </c>
      <c r="T431">
        <f>IF(COUNT($E$2:$E431)&lt;14,"",MAX($C$418:$C$431))</f>
        <v>0</v>
      </c>
      <c r="U431">
        <f>IF(COUNT($E$2:$E431)&lt;14,"",MIN($D$418:$D$431))</f>
        <v>0</v>
      </c>
      <c r="V431">
        <f>IF(OR(T431="",U431="",T431=U431),"",100*($E431-U431)/(T431-U431))</f>
        <v>0</v>
      </c>
      <c r="W431">
        <f>IF(COUNT($V$429:$V$431)&lt;3,"",AVERAGE($V$429:$V$431))</f>
        <v>0</v>
      </c>
      <c r="X431">
        <f>IF(COUNT($N$418:$N$431)&lt;14,"",MIN($N$418:$N$431))</f>
        <v>0</v>
      </c>
      <c r="Y431">
        <f>IF(COUNT($N$418:$N$431)&lt;14,"",MAX($N$418:$N$431))</f>
        <v>0</v>
      </c>
      <c r="Z431">
        <f>IF(OR(N431="",X431="",Y431="",Y431=X431),"",100*(N431-X431)/(Y431-X431))</f>
        <v>0</v>
      </c>
      <c r="AA431">
        <f>IF(COUNT($Z$429:$Z$431)&lt;3,"",AVERAGE($Z$429:$Z$431))</f>
        <v>0</v>
      </c>
      <c r="AB431">
        <f>IF(COUNT($AA$429:$AA$431)&lt;3,"",AVERAGE($AA$429:$AA$431))</f>
        <v>0</v>
      </c>
      <c r="AC431">
        <f>IF($E431="","",MAX($C431-$D431,ABS($C431-$E430),ABS($D431-$E430)))</f>
        <v>0</v>
      </c>
      <c r="AD431">
        <f>IF(COUNT($E$2:$E431)&lt;15,"",AVERAGE($AC$418:$AC$431))</f>
        <v>0</v>
      </c>
      <c r="AE431">
        <f>IF(OR($E431="",$E430=""),"",IF(AND(($C431-$C430)&gt;($D430-$D431),($C431-$C430)&gt;0),$C431-$C430,0))</f>
        <v>0</v>
      </c>
      <c r="AF431">
        <f>IF(OR($E431="",$E430=""),"",IF(AND(($D430-$D431)&gt;($C431-$C430),($D430-$D431)&gt;0),$D430-$D431,0))</f>
        <v>0</v>
      </c>
      <c r="AG431">
        <f>IF(COUNT($E$2:$E431)&lt;15,"",IF(SUM($AC$418:$AC$431)=0,0,100*SUM($AE$418:$AE$431)/SUM($AC$418:$AC$431)))</f>
        <v>0</v>
      </c>
      <c r="AH431">
        <f>IF(COUNT($E$2:$E431)&lt;15,"",IF(SUM($AC$418:$AC$431)=0,0,100*SUM($AF$418:$AF$431)/SUM($AC$418:$AC$431)))</f>
        <v>0</v>
      </c>
      <c r="AI431">
        <f>IF(OR(AG431="",AH431=""),"",IF((AG431+AH431)=0,0,100*ABS(AG431-AH431)/(AG431+AH431)))</f>
        <v>0</v>
      </c>
      <c r="AJ431">
        <f>IF(COUNT($AI$418:$AI$431)&lt;14,"",AVERAGE($AI$418:$AI$431))</f>
        <v>0</v>
      </c>
      <c r="AK431">
        <f>IF(COUNT($E$2:$E431)&lt;20,"",AVERAGE($E$412:$E$431))</f>
        <v>0</v>
      </c>
      <c r="AL431">
        <f>IF(COUNT($E$2:$E431)&lt;20,"",STDEVP($E$412:$E$431))</f>
        <v>0</v>
      </c>
      <c r="AM431">
        <f>IF(AK431="","",AK431+2*AL431)</f>
        <v>0</v>
      </c>
      <c r="AN431">
        <f>IF(AK431="","",AK431-2*AL431)</f>
        <v>0</v>
      </c>
      <c r="AO431">
        <f>IF(OR(AM431="",AN431="",AM431=AN431),"",($E431-AN431)/(AM431-AN431))</f>
        <v>0</v>
      </c>
      <c r="AP431">
        <f>IF(OR(AM431="",AK431="",AK431=0),"",(AM431-AN431)/AK431)</f>
        <v>0</v>
      </c>
      <c r="AQ431">
        <f>IF(COUNT($E$2:$E431)&lt;20,"",MAX($C$412:$C$431))</f>
        <v>0</v>
      </c>
      <c r="AR431">
        <f>IF(COUNT($E$2:$E431)&lt;20,"",MIN($D$412:$D$431))</f>
        <v>0</v>
      </c>
      <c r="AS431">
        <f>IF(OR(AQ431="",AR431=""),"",(AQ431+AR431)/2)</f>
        <v>0</v>
      </c>
      <c r="AT431">
        <f>IF(COUNT($G$412:$G$431)&lt;20,"",STDEV($G$412:$G$431)*SQRT(52))</f>
        <v>0</v>
      </c>
      <c r="AU431">
        <f>IF(COUNT($E$2:$E431)&lt;9,"",(MAX($C$423:$C$431)+MIN($D$423:$D$431))/2)</f>
        <v>0</v>
      </c>
      <c r="AV431">
        <f>IF(COUNT($E$2:$E431)&lt;26,"",(MAX($C$406:$C$431)+MIN($D$406:$D$431))/2)</f>
        <v>0</v>
      </c>
      <c r="AW431">
        <f>IF(OR(AU431="",AV431=""),"",(AU431+AV431)/2)</f>
        <v>0</v>
      </c>
      <c r="AX431">
        <f>IF(COUNT($E$2:$E431)&lt;52,"",(MAX($C$380:$C$431)+MIN($D$380:$D$431))/2)</f>
        <v>0</v>
      </c>
      <c r="AY431">
        <f>IF(COUNT($E$2:$E431)&lt;20,"",MAX($C$332:$C$431))</f>
        <v>0</v>
      </c>
      <c r="AZ431">
        <f>IF(COUNT($E$2:$E431)&lt;20,"",MIN($D$332:$D$431))</f>
        <v>0</v>
      </c>
      <c r="BA431">
        <f>IF(COUNT($E$2:$E431)&lt;20,"",SLOPE($E$332:$E$431,$F$332:$F$431))</f>
        <v>0</v>
      </c>
      <c r="BB431">
        <f>IF(COUNT($E$2:$E431)&lt;20,"",INTERCEPT($E$332:$E$431,$F$332:$F$431))</f>
        <v>0</v>
      </c>
      <c r="BC431">
        <f>IF(OR(BA431="",BB431=""),"",BB431+BA431*F431)</f>
        <v>0</v>
      </c>
      <c r="BD431">
        <f>IF(COUNT($E$2:$E431)&lt;20,"",STEYX($E$332:$E$431,$F$332:$F$431))</f>
        <v>0</v>
      </c>
      <c r="BE431">
        <f>IF($E431="","",IF(AND(COUNT($E$432:$E$435)&gt;=4,$C431=MAX($C$427:$C$435)),$C431,""))</f>
        <v>0</v>
      </c>
      <c r="BF431">
        <f>IF($E431="","",IF(AND(COUNT($E$432:$E$435)&gt;=4,$D431=MIN($D$427:$D$435)),$D431,""))</f>
        <v>0</v>
      </c>
      <c r="BG431">
        <f>IFERROR(SMALL(Calc_Daily!$BM$2:$BM$2001,430),"")</f>
        <v>0</v>
      </c>
    </row>
    <row r="432" spans="1:59">
      <c r="A432" s="27">
        <f>IF($BG432="","",INDEX(Calc_Daily!$A$2:$A$2001,$BG432))</f>
        <v>0</v>
      </c>
      <c r="B432">
        <f>IF($BG432="","",INDEX(Calc_Daily!$BJ$2:$BJ$2001,$BG432))</f>
        <v>0</v>
      </c>
      <c r="C432">
        <f>IF($BG432="","",INDEX(Calc_Daily!$BK$2:$BK$2001,$BG432))</f>
        <v>0</v>
      </c>
      <c r="D432">
        <f>IF($BG432="","",INDEX(Calc_Daily!$BL$2:$BL$2001,$BG432))</f>
        <v>0</v>
      </c>
      <c r="E432">
        <f>IF($BG432="","",INDEX(Calc_Daily!$E$2:$E$2001,$BG432))</f>
        <v>0</v>
      </c>
      <c r="F432">
        <f>IF($E432="","",N(F431)+1)</f>
        <v>0</v>
      </c>
      <c r="G432">
        <f>IF(OR($E432="",$E431=""),"",LN($E432/$E431))</f>
        <v>0</v>
      </c>
      <c r="H432">
        <f>IF($E432="","",IF($E431="",$E432,$E432*0.0952380952+H431*0.9047619048))</f>
        <v>0</v>
      </c>
      <c r="I432">
        <f>IF($E432="","",IF($E431="",$E432,$E432*0.0392156863+I431*0.9607843137))</f>
        <v>0</v>
      </c>
      <c r="J432">
        <f>IF($E432="","",IF($E431="",$E432,$E432*0.0198019802+J431*0.9801980198))</f>
        <v>0</v>
      </c>
      <c r="K432">
        <f>IF($E432="","",IF($E431="",$E432,$E432*0.0099502488+K431*0.9900497512))</f>
        <v>0</v>
      </c>
      <c r="L432">
        <f>IF(OR($E432="",$E431=""),"",MAX($E432-$E431,0))</f>
        <v>0</v>
      </c>
      <c r="M432">
        <f>IF(OR($E432="",$E431=""),"",MAX($E431-$E432,0))</f>
        <v>0</v>
      </c>
      <c r="N432">
        <f>IF(COUNT($E$2:$E432)&lt;15,"",IF(AVERAGE($M$419:$M$432)=0,100,100-100/(1+AVERAGE($L$419:$L$432)/AVERAGE($M$419:$M$432))))</f>
        <v>0</v>
      </c>
      <c r="O432">
        <f>IF($E432="","",IF($E431="",$E432,$E432*0.1538461538+O431*0.8461538462))</f>
        <v>0</v>
      </c>
      <c r="P432">
        <f>IF($E432="","",IF($E431="",$E432,$E432*0.0740740741+P431*0.9259259259))</f>
        <v>0</v>
      </c>
      <c r="Q432">
        <f>IF(OR(O432="",P432=""),"",O432-P432)</f>
        <v>0</v>
      </c>
      <c r="R432">
        <f>IF(Q432="","",IF(R431="",Q432,Q432*0.2000000000+R431*0.8000000000))</f>
        <v>0</v>
      </c>
      <c r="S432">
        <f>IF(OR(Q432="",R432=""),"",Q432-R432)</f>
        <v>0</v>
      </c>
      <c r="T432">
        <f>IF(COUNT($E$2:$E432)&lt;14,"",MAX($C$419:$C$432))</f>
        <v>0</v>
      </c>
      <c r="U432">
        <f>IF(COUNT($E$2:$E432)&lt;14,"",MIN($D$419:$D$432))</f>
        <v>0</v>
      </c>
      <c r="V432">
        <f>IF(OR(T432="",U432="",T432=U432),"",100*($E432-U432)/(T432-U432))</f>
        <v>0</v>
      </c>
      <c r="W432">
        <f>IF(COUNT($V$430:$V$432)&lt;3,"",AVERAGE($V$430:$V$432))</f>
        <v>0</v>
      </c>
      <c r="X432">
        <f>IF(COUNT($N$419:$N$432)&lt;14,"",MIN($N$419:$N$432))</f>
        <v>0</v>
      </c>
      <c r="Y432">
        <f>IF(COUNT($N$419:$N$432)&lt;14,"",MAX($N$419:$N$432))</f>
        <v>0</v>
      </c>
      <c r="Z432">
        <f>IF(OR(N432="",X432="",Y432="",Y432=X432),"",100*(N432-X432)/(Y432-X432))</f>
        <v>0</v>
      </c>
      <c r="AA432">
        <f>IF(COUNT($Z$430:$Z$432)&lt;3,"",AVERAGE($Z$430:$Z$432))</f>
        <v>0</v>
      </c>
      <c r="AB432">
        <f>IF(COUNT($AA$430:$AA$432)&lt;3,"",AVERAGE($AA$430:$AA$432))</f>
        <v>0</v>
      </c>
      <c r="AC432">
        <f>IF($E432="","",MAX($C432-$D432,ABS($C432-$E431),ABS($D432-$E431)))</f>
        <v>0</v>
      </c>
      <c r="AD432">
        <f>IF(COUNT($E$2:$E432)&lt;15,"",AVERAGE($AC$419:$AC$432))</f>
        <v>0</v>
      </c>
      <c r="AE432">
        <f>IF(OR($E432="",$E431=""),"",IF(AND(($C432-$C431)&gt;($D431-$D432),($C432-$C431)&gt;0),$C432-$C431,0))</f>
        <v>0</v>
      </c>
      <c r="AF432">
        <f>IF(OR($E432="",$E431=""),"",IF(AND(($D431-$D432)&gt;($C432-$C431),($D431-$D432)&gt;0),$D431-$D432,0))</f>
        <v>0</v>
      </c>
      <c r="AG432">
        <f>IF(COUNT($E$2:$E432)&lt;15,"",IF(SUM($AC$419:$AC$432)=0,0,100*SUM($AE$419:$AE$432)/SUM($AC$419:$AC$432)))</f>
        <v>0</v>
      </c>
      <c r="AH432">
        <f>IF(COUNT($E$2:$E432)&lt;15,"",IF(SUM($AC$419:$AC$432)=0,0,100*SUM($AF$419:$AF$432)/SUM($AC$419:$AC$432)))</f>
        <v>0</v>
      </c>
      <c r="AI432">
        <f>IF(OR(AG432="",AH432=""),"",IF((AG432+AH432)=0,0,100*ABS(AG432-AH432)/(AG432+AH432)))</f>
        <v>0</v>
      </c>
      <c r="AJ432">
        <f>IF(COUNT($AI$419:$AI$432)&lt;14,"",AVERAGE($AI$419:$AI$432))</f>
        <v>0</v>
      </c>
      <c r="AK432">
        <f>IF(COUNT($E$2:$E432)&lt;20,"",AVERAGE($E$413:$E$432))</f>
        <v>0</v>
      </c>
      <c r="AL432">
        <f>IF(COUNT($E$2:$E432)&lt;20,"",STDEVP($E$413:$E$432))</f>
        <v>0</v>
      </c>
      <c r="AM432">
        <f>IF(AK432="","",AK432+2*AL432)</f>
        <v>0</v>
      </c>
      <c r="AN432">
        <f>IF(AK432="","",AK432-2*AL432)</f>
        <v>0</v>
      </c>
      <c r="AO432">
        <f>IF(OR(AM432="",AN432="",AM432=AN432),"",($E432-AN432)/(AM432-AN432))</f>
        <v>0</v>
      </c>
      <c r="AP432">
        <f>IF(OR(AM432="",AK432="",AK432=0),"",(AM432-AN432)/AK432)</f>
        <v>0</v>
      </c>
      <c r="AQ432">
        <f>IF(COUNT($E$2:$E432)&lt;20,"",MAX($C$413:$C$432))</f>
        <v>0</v>
      </c>
      <c r="AR432">
        <f>IF(COUNT($E$2:$E432)&lt;20,"",MIN($D$413:$D$432))</f>
        <v>0</v>
      </c>
      <c r="AS432">
        <f>IF(OR(AQ432="",AR432=""),"",(AQ432+AR432)/2)</f>
        <v>0</v>
      </c>
      <c r="AT432">
        <f>IF(COUNT($G$413:$G$432)&lt;20,"",STDEV($G$413:$G$432)*SQRT(52))</f>
        <v>0</v>
      </c>
      <c r="AU432">
        <f>IF(COUNT($E$2:$E432)&lt;9,"",(MAX($C$424:$C$432)+MIN($D$424:$D$432))/2)</f>
        <v>0</v>
      </c>
      <c r="AV432">
        <f>IF(COUNT($E$2:$E432)&lt;26,"",(MAX($C$407:$C$432)+MIN($D$407:$D$432))/2)</f>
        <v>0</v>
      </c>
      <c r="AW432">
        <f>IF(OR(AU432="",AV432=""),"",(AU432+AV432)/2)</f>
        <v>0</v>
      </c>
      <c r="AX432">
        <f>IF(COUNT($E$2:$E432)&lt;52,"",(MAX($C$381:$C$432)+MIN($D$381:$D$432))/2)</f>
        <v>0</v>
      </c>
      <c r="AY432">
        <f>IF(COUNT($E$2:$E432)&lt;20,"",MAX($C$333:$C$432))</f>
        <v>0</v>
      </c>
      <c r="AZ432">
        <f>IF(COUNT($E$2:$E432)&lt;20,"",MIN($D$333:$D$432))</f>
        <v>0</v>
      </c>
      <c r="BA432">
        <f>IF(COUNT($E$2:$E432)&lt;20,"",SLOPE($E$333:$E$432,$F$333:$F$432))</f>
        <v>0</v>
      </c>
      <c r="BB432">
        <f>IF(COUNT($E$2:$E432)&lt;20,"",INTERCEPT($E$333:$E$432,$F$333:$F$432))</f>
        <v>0</v>
      </c>
      <c r="BC432">
        <f>IF(OR(BA432="",BB432=""),"",BB432+BA432*F432)</f>
        <v>0</v>
      </c>
      <c r="BD432">
        <f>IF(COUNT($E$2:$E432)&lt;20,"",STEYX($E$333:$E$432,$F$333:$F$432))</f>
        <v>0</v>
      </c>
      <c r="BE432">
        <f>IF($E432="","",IF(AND(COUNT($E$433:$E$436)&gt;=4,$C432=MAX($C$428:$C$436)),$C432,""))</f>
        <v>0</v>
      </c>
      <c r="BF432">
        <f>IF($E432="","",IF(AND(COUNT($E$433:$E$436)&gt;=4,$D432=MIN($D$428:$D$436)),$D432,""))</f>
        <v>0</v>
      </c>
      <c r="BG432">
        <f>IFERROR(SMALL(Calc_Daily!$BM$2:$BM$2001,431),"")</f>
        <v>0</v>
      </c>
    </row>
    <row r="433" spans="1:59">
      <c r="A433" s="27">
        <f>IF($BG433="","",INDEX(Calc_Daily!$A$2:$A$2001,$BG433))</f>
        <v>0</v>
      </c>
      <c r="B433">
        <f>IF($BG433="","",INDEX(Calc_Daily!$BJ$2:$BJ$2001,$BG433))</f>
        <v>0</v>
      </c>
      <c r="C433">
        <f>IF($BG433="","",INDEX(Calc_Daily!$BK$2:$BK$2001,$BG433))</f>
        <v>0</v>
      </c>
      <c r="D433">
        <f>IF($BG433="","",INDEX(Calc_Daily!$BL$2:$BL$2001,$BG433))</f>
        <v>0</v>
      </c>
      <c r="E433">
        <f>IF($BG433="","",INDEX(Calc_Daily!$E$2:$E$2001,$BG433))</f>
        <v>0</v>
      </c>
      <c r="F433">
        <f>IF($E433="","",N(F432)+1)</f>
        <v>0</v>
      </c>
      <c r="G433">
        <f>IF(OR($E433="",$E432=""),"",LN($E433/$E432))</f>
        <v>0</v>
      </c>
      <c r="H433">
        <f>IF($E433="","",IF($E432="",$E433,$E433*0.0952380952+H432*0.9047619048))</f>
        <v>0</v>
      </c>
      <c r="I433">
        <f>IF($E433="","",IF($E432="",$E433,$E433*0.0392156863+I432*0.9607843137))</f>
        <v>0</v>
      </c>
      <c r="J433">
        <f>IF($E433="","",IF($E432="",$E433,$E433*0.0198019802+J432*0.9801980198))</f>
        <v>0</v>
      </c>
      <c r="K433">
        <f>IF($E433="","",IF($E432="",$E433,$E433*0.0099502488+K432*0.9900497512))</f>
        <v>0</v>
      </c>
      <c r="L433">
        <f>IF(OR($E433="",$E432=""),"",MAX($E433-$E432,0))</f>
        <v>0</v>
      </c>
      <c r="M433">
        <f>IF(OR($E433="",$E432=""),"",MAX($E432-$E433,0))</f>
        <v>0</v>
      </c>
      <c r="N433">
        <f>IF(COUNT($E$2:$E433)&lt;15,"",IF(AVERAGE($M$420:$M$433)=0,100,100-100/(1+AVERAGE($L$420:$L$433)/AVERAGE($M$420:$M$433))))</f>
        <v>0</v>
      </c>
      <c r="O433">
        <f>IF($E433="","",IF($E432="",$E433,$E433*0.1538461538+O432*0.8461538462))</f>
        <v>0</v>
      </c>
      <c r="P433">
        <f>IF($E433="","",IF($E432="",$E433,$E433*0.0740740741+P432*0.9259259259))</f>
        <v>0</v>
      </c>
      <c r="Q433">
        <f>IF(OR(O433="",P433=""),"",O433-P433)</f>
        <v>0</v>
      </c>
      <c r="R433">
        <f>IF(Q433="","",IF(R432="",Q433,Q433*0.2000000000+R432*0.8000000000))</f>
        <v>0</v>
      </c>
      <c r="S433">
        <f>IF(OR(Q433="",R433=""),"",Q433-R433)</f>
        <v>0</v>
      </c>
      <c r="T433">
        <f>IF(COUNT($E$2:$E433)&lt;14,"",MAX($C$420:$C$433))</f>
        <v>0</v>
      </c>
      <c r="U433">
        <f>IF(COUNT($E$2:$E433)&lt;14,"",MIN($D$420:$D$433))</f>
        <v>0</v>
      </c>
      <c r="V433">
        <f>IF(OR(T433="",U433="",T433=U433),"",100*($E433-U433)/(T433-U433))</f>
        <v>0</v>
      </c>
      <c r="W433">
        <f>IF(COUNT($V$431:$V$433)&lt;3,"",AVERAGE($V$431:$V$433))</f>
        <v>0</v>
      </c>
      <c r="X433">
        <f>IF(COUNT($N$420:$N$433)&lt;14,"",MIN($N$420:$N$433))</f>
        <v>0</v>
      </c>
      <c r="Y433">
        <f>IF(COUNT($N$420:$N$433)&lt;14,"",MAX($N$420:$N$433))</f>
        <v>0</v>
      </c>
      <c r="Z433">
        <f>IF(OR(N433="",X433="",Y433="",Y433=X433),"",100*(N433-X433)/(Y433-X433))</f>
        <v>0</v>
      </c>
      <c r="AA433">
        <f>IF(COUNT($Z$431:$Z$433)&lt;3,"",AVERAGE($Z$431:$Z$433))</f>
        <v>0</v>
      </c>
      <c r="AB433">
        <f>IF(COUNT($AA$431:$AA$433)&lt;3,"",AVERAGE($AA$431:$AA$433))</f>
        <v>0</v>
      </c>
      <c r="AC433">
        <f>IF($E433="","",MAX($C433-$D433,ABS($C433-$E432),ABS($D433-$E432)))</f>
        <v>0</v>
      </c>
      <c r="AD433">
        <f>IF(COUNT($E$2:$E433)&lt;15,"",AVERAGE($AC$420:$AC$433))</f>
        <v>0</v>
      </c>
      <c r="AE433">
        <f>IF(OR($E433="",$E432=""),"",IF(AND(($C433-$C432)&gt;($D432-$D433),($C433-$C432)&gt;0),$C433-$C432,0))</f>
        <v>0</v>
      </c>
      <c r="AF433">
        <f>IF(OR($E433="",$E432=""),"",IF(AND(($D432-$D433)&gt;($C433-$C432),($D432-$D433)&gt;0),$D432-$D433,0))</f>
        <v>0</v>
      </c>
      <c r="AG433">
        <f>IF(COUNT($E$2:$E433)&lt;15,"",IF(SUM($AC$420:$AC$433)=0,0,100*SUM($AE$420:$AE$433)/SUM($AC$420:$AC$433)))</f>
        <v>0</v>
      </c>
      <c r="AH433">
        <f>IF(COUNT($E$2:$E433)&lt;15,"",IF(SUM($AC$420:$AC$433)=0,0,100*SUM($AF$420:$AF$433)/SUM($AC$420:$AC$433)))</f>
        <v>0</v>
      </c>
      <c r="AI433">
        <f>IF(OR(AG433="",AH433=""),"",IF((AG433+AH433)=0,0,100*ABS(AG433-AH433)/(AG433+AH433)))</f>
        <v>0</v>
      </c>
      <c r="AJ433">
        <f>IF(COUNT($AI$420:$AI$433)&lt;14,"",AVERAGE($AI$420:$AI$433))</f>
        <v>0</v>
      </c>
      <c r="AK433">
        <f>IF(COUNT($E$2:$E433)&lt;20,"",AVERAGE($E$414:$E$433))</f>
        <v>0</v>
      </c>
      <c r="AL433">
        <f>IF(COUNT($E$2:$E433)&lt;20,"",STDEVP($E$414:$E$433))</f>
        <v>0</v>
      </c>
      <c r="AM433">
        <f>IF(AK433="","",AK433+2*AL433)</f>
        <v>0</v>
      </c>
      <c r="AN433">
        <f>IF(AK433="","",AK433-2*AL433)</f>
        <v>0</v>
      </c>
      <c r="AO433">
        <f>IF(OR(AM433="",AN433="",AM433=AN433),"",($E433-AN433)/(AM433-AN433))</f>
        <v>0</v>
      </c>
      <c r="AP433">
        <f>IF(OR(AM433="",AK433="",AK433=0),"",(AM433-AN433)/AK433)</f>
        <v>0</v>
      </c>
      <c r="AQ433">
        <f>IF(COUNT($E$2:$E433)&lt;20,"",MAX($C$414:$C$433))</f>
        <v>0</v>
      </c>
      <c r="AR433">
        <f>IF(COUNT($E$2:$E433)&lt;20,"",MIN($D$414:$D$433))</f>
        <v>0</v>
      </c>
      <c r="AS433">
        <f>IF(OR(AQ433="",AR433=""),"",(AQ433+AR433)/2)</f>
        <v>0</v>
      </c>
      <c r="AT433">
        <f>IF(COUNT($G$414:$G$433)&lt;20,"",STDEV($G$414:$G$433)*SQRT(52))</f>
        <v>0</v>
      </c>
      <c r="AU433">
        <f>IF(COUNT($E$2:$E433)&lt;9,"",(MAX($C$425:$C$433)+MIN($D$425:$D$433))/2)</f>
        <v>0</v>
      </c>
      <c r="AV433">
        <f>IF(COUNT($E$2:$E433)&lt;26,"",(MAX($C$408:$C$433)+MIN($D$408:$D$433))/2)</f>
        <v>0</v>
      </c>
      <c r="AW433">
        <f>IF(OR(AU433="",AV433=""),"",(AU433+AV433)/2)</f>
        <v>0</v>
      </c>
      <c r="AX433">
        <f>IF(COUNT($E$2:$E433)&lt;52,"",(MAX($C$382:$C$433)+MIN($D$382:$D$433))/2)</f>
        <v>0</v>
      </c>
      <c r="AY433">
        <f>IF(COUNT($E$2:$E433)&lt;20,"",MAX($C$334:$C$433))</f>
        <v>0</v>
      </c>
      <c r="AZ433">
        <f>IF(COUNT($E$2:$E433)&lt;20,"",MIN($D$334:$D$433))</f>
        <v>0</v>
      </c>
      <c r="BA433">
        <f>IF(COUNT($E$2:$E433)&lt;20,"",SLOPE($E$334:$E$433,$F$334:$F$433))</f>
        <v>0</v>
      </c>
      <c r="BB433">
        <f>IF(COUNT($E$2:$E433)&lt;20,"",INTERCEPT($E$334:$E$433,$F$334:$F$433))</f>
        <v>0</v>
      </c>
      <c r="BC433">
        <f>IF(OR(BA433="",BB433=""),"",BB433+BA433*F433)</f>
        <v>0</v>
      </c>
      <c r="BD433">
        <f>IF(COUNT($E$2:$E433)&lt;20,"",STEYX($E$334:$E$433,$F$334:$F$433))</f>
        <v>0</v>
      </c>
      <c r="BE433">
        <f>IF($E433="","",IF(AND(COUNT($E$434:$E$437)&gt;=4,$C433=MAX($C$429:$C$437)),$C433,""))</f>
        <v>0</v>
      </c>
      <c r="BF433">
        <f>IF($E433="","",IF(AND(COUNT($E$434:$E$437)&gt;=4,$D433=MIN($D$429:$D$437)),$D433,""))</f>
        <v>0</v>
      </c>
      <c r="BG433">
        <f>IFERROR(SMALL(Calc_Daily!$BM$2:$BM$2001,432),"")</f>
        <v>0</v>
      </c>
    </row>
    <row r="434" spans="1:59">
      <c r="A434" s="27">
        <f>IF($BG434="","",INDEX(Calc_Daily!$A$2:$A$2001,$BG434))</f>
        <v>0</v>
      </c>
      <c r="B434">
        <f>IF($BG434="","",INDEX(Calc_Daily!$BJ$2:$BJ$2001,$BG434))</f>
        <v>0</v>
      </c>
      <c r="C434">
        <f>IF($BG434="","",INDEX(Calc_Daily!$BK$2:$BK$2001,$BG434))</f>
        <v>0</v>
      </c>
      <c r="D434">
        <f>IF($BG434="","",INDEX(Calc_Daily!$BL$2:$BL$2001,$BG434))</f>
        <v>0</v>
      </c>
      <c r="E434">
        <f>IF($BG434="","",INDEX(Calc_Daily!$E$2:$E$2001,$BG434))</f>
        <v>0</v>
      </c>
      <c r="F434">
        <f>IF($E434="","",N(F433)+1)</f>
        <v>0</v>
      </c>
      <c r="G434">
        <f>IF(OR($E434="",$E433=""),"",LN($E434/$E433))</f>
        <v>0</v>
      </c>
      <c r="H434">
        <f>IF($E434="","",IF($E433="",$E434,$E434*0.0952380952+H433*0.9047619048))</f>
        <v>0</v>
      </c>
      <c r="I434">
        <f>IF($E434="","",IF($E433="",$E434,$E434*0.0392156863+I433*0.9607843137))</f>
        <v>0</v>
      </c>
      <c r="J434">
        <f>IF($E434="","",IF($E433="",$E434,$E434*0.0198019802+J433*0.9801980198))</f>
        <v>0</v>
      </c>
      <c r="K434">
        <f>IF($E434="","",IF($E433="",$E434,$E434*0.0099502488+K433*0.9900497512))</f>
        <v>0</v>
      </c>
      <c r="L434">
        <f>IF(OR($E434="",$E433=""),"",MAX($E434-$E433,0))</f>
        <v>0</v>
      </c>
      <c r="M434">
        <f>IF(OR($E434="",$E433=""),"",MAX($E433-$E434,0))</f>
        <v>0</v>
      </c>
      <c r="N434">
        <f>IF(COUNT($E$2:$E434)&lt;15,"",IF(AVERAGE($M$421:$M$434)=0,100,100-100/(1+AVERAGE($L$421:$L$434)/AVERAGE($M$421:$M$434))))</f>
        <v>0</v>
      </c>
      <c r="O434">
        <f>IF($E434="","",IF($E433="",$E434,$E434*0.1538461538+O433*0.8461538462))</f>
        <v>0</v>
      </c>
      <c r="P434">
        <f>IF($E434="","",IF($E433="",$E434,$E434*0.0740740741+P433*0.9259259259))</f>
        <v>0</v>
      </c>
      <c r="Q434">
        <f>IF(OR(O434="",P434=""),"",O434-P434)</f>
        <v>0</v>
      </c>
      <c r="R434">
        <f>IF(Q434="","",IF(R433="",Q434,Q434*0.2000000000+R433*0.8000000000))</f>
        <v>0</v>
      </c>
      <c r="S434">
        <f>IF(OR(Q434="",R434=""),"",Q434-R434)</f>
        <v>0</v>
      </c>
      <c r="T434">
        <f>IF(COUNT($E$2:$E434)&lt;14,"",MAX($C$421:$C$434))</f>
        <v>0</v>
      </c>
      <c r="U434">
        <f>IF(COUNT($E$2:$E434)&lt;14,"",MIN($D$421:$D$434))</f>
        <v>0</v>
      </c>
      <c r="V434">
        <f>IF(OR(T434="",U434="",T434=U434),"",100*($E434-U434)/(T434-U434))</f>
        <v>0</v>
      </c>
      <c r="W434">
        <f>IF(COUNT($V$432:$V$434)&lt;3,"",AVERAGE($V$432:$V$434))</f>
        <v>0</v>
      </c>
      <c r="X434">
        <f>IF(COUNT($N$421:$N$434)&lt;14,"",MIN($N$421:$N$434))</f>
        <v>0</v>
      </c>
      <c r="Y434">
        <f>IF(COUNT($N$421:$N$434)&lt;14,"",MAX($N$421:$N$434))</f>
        <v>0</v>
      </c>
      <c r="Z434">
        <f>IF(OR(N434="",X434="",Y434="",Y434=X434),"",100*(N434-X434)/(Y434-X434))</f>
        <v>0</v>
      </c>
      <c r="AA434">
        <f>IF(COUNT($Z$432:$Z$434)&lt;3,"",AVERAGE($Z$432:$Z$434))</f>
        <v>0</v>
      </c>
      <c r="AB434">
        <f>IF(COUNT($AA$432:$AA$434)&lt;3,"",AVERAGE($AA$432:$AA$434))</f>
        <v>0</v>
      </c>
      <c r="AC434">
        <f>IF($E434="","",MAX($C434-$D434,ABS($C434-$E433),ABS($D434-$E433)))</f>
        <v>0</v>
      </c>
      <c r="AD434">
        <f>IF(COUNT($E$2:$E434)&lt;15,"",AVERAGE($AC$421:$AC$434))</f>
        <v>0</v>
      </c>
      <c r="AE434">
        <f>IF(OR($E434="",$E433=""),"",IF(AND(($C434-$C433)&gt;($D433-$D434),($C434-$C433)&gt;0),$C434-$C433,0))</f>
        <v>0</v>
      </c>
      <c r="AF434">
        <f>IF(OR($E434="",$E433=""),"",IF(AND(($D433-$D434)&gt;($C434-$C433),($D433-$D434)&gt;0),$D433-$D434,0))</f>
        <v>0</v>
      </c>
      <c r="AG434">
        <f>IF(COUNT($E$2:$E434)&lt;15,"",IF(SUM($AC$421:$AC$434)=0,0,100*SUM($AE$421:$AE$434)/SUM($AC$421:$AC$434)))</f>
        <v>0</v>
      </c>
      <c r="AH434">
        <f>IF(COUNT($E$2:$E434)&lt;15,"",IF(SUM($AC$421:$AC$434)=0,0,100*SUM($AF$421:$AF$434)/SUM($AC$421:$AC$434)))</f>
        <v>0</v>
      </c>
      <c r="AI434">
        <f>IF(OR(AG434="",AH434=""),"",IF((AG434+AH434)=0,0,100*ABS(AG434-AH434)/(AG434+AH434)))</f>
        <v>0</v>
      </c>
      <c r="AJ434">
        <f>IF(COUNT($AI$421:$AI$434)&lt;14,"",AVERAGE($AI$421:$AI$434))</f>
        <v>0</v>
      </c>
      <c r="AK434">
        <f>IF(COUNT($E$2:$E434)&lt;20,"",AVERAGE($E$415:$E$434))</f>
        <v>0</v>
      </c>
      <c r="AL434">
        <f>IF(COUNT($E$2:$E434)&lt;20,"",STDEVP($E$415:$E$434))</f>
        <v>0</v>
      </c>
      <c r="AM434">
        <f>IF(AK434="","",AK434+2*AL434)</f>
        <v>0</v>
      </c>
      <c r="AN434">
        <f>IF(AK434="","",AK434-2*AL434)</f>
        <v>0</v>
      </c>
      <c r="AO434">
        <f>IF(OR(AM434="",AN434="",AM434=AN434),"",($E434-AN434)/(AM434-AN434))</f>
        <v>0</v>
      </c>
      <c r="AP434">
        <f>IF(OR(AM434="",AK434="",AK434=0),"",(AM434-AN434)/AK434)</f>
        <v>0</v>
      </c>
      <c r="AQ434">
        <f>IF(COUNT($E$2:$E434)&lt;20,"",MAX($C$415:$C$434))</f>
        <v>0</v>
      </c>
      <c r="AR434">
        <f>IF(COUNT($E$2:$E434)&lt;20,"",MIN($D$415:$D$434))</f>
        <v>0</v>
      </c>
      <c r="AS434">
        <f>IF(OR(AQ434="",AR434=""),"",(AQ434+AR434)/2)</f>
        <v>0</v>
      </c>
      <c r="AT434">
        <f>IF(COUNT($G$415:$G$434)&lt;20,"",STDEV($G$415:$G$434)*SQRT(52))</f>
        <v>0</v>
      </c>
      <c r="AU434">
        <f>IF(COUNT($E$2:$E434)&lt;9,"",(MAX($C$426:$C$434)+MIN($D$426:$D$434))/2)</f>
        <v>0</v>
      </c>
      <c r="AV434">
        <f>IF(COUNT($E$2:$E434)&lt;26,"",(MAX($C$409:$C$434)+MIN($D$409:$D$434))/2)</f>
        <v>0</v>
      </c>
      <c r="AW434">
        <f>IF(OR(AU434="",AV434=""),"",(AU434+AV434)/2)</f>
        <v>0</v>
      </c>
      <c r="AX434">
        <f>IF(COUNT($E$2:$E434)&lt;52,"",(MAX($C$383:$C$434)+MIN($D$383:$D$434))/2)</f>
        <v>0</v>
      </c>
      <c r="AY434">
        <f>IF(COUNT($E$2:$E434)&lt;20,"",MAX($C$335:$C$434))</f>
        <v>0</v>
      </c>
      <c r="AZ434">
        <f>IF(COUNT($E$2:$E434)&lt;20,"",MIN($D$335:$D$434))</f>
        <v>0</v>
      </c>
      <c r="BA434">
        <f>IF(COUNT($E$2:$E434)&lt;20,"",SLOPE($E$335:$E$434,$F$335:$F$434))</f>
        <v>0</v>
      </c>
      <c r="BB434">
        <f>IF(COUNT($E$2:$E434)&lt;20,"",INTERCEPT($E$335:$E$434,$F$335:$F$434))</f>
        <v>0</v>
      </c>
      <c r="BC434">
        <f>IF(OR(BA434="",BB434=""),"",BB434+BA434*F434)</f>
        <v>0</v>
      </c>
      <c r="BD434">
        <f>IF(COUNT($E$2:$E434)&lt;20,"",STEYX($E$335:$E$434,$F$335:$F$434))</f>
        <v>0</v>
      </c>
      <c r="BE434">
        <f>IF($E434="","",IF(AND(COUNT($E$435:$E$438)&gt;=4,$C434=MAX($C$430:$C$438)),$C434,""))</f>
        <v>0</v>
      </c>
      <c r="BF434">
        <f>IF($E434="","",IF(AND(COUNT($E$435:$E$438)&gt;=4,$D434=MIN($D$430:$D$438)),$D434,""))</f>
        <v>0</v>
      </c>
      <c r="BG434">
        <f>IFERROR(SMALL(Calc_Daily!$BM$2:$BM$2001,433),"")</f>
        <v>0</v>
      </c>
    </row>
    <row r="435" spans="1:59">
      <c r="A435" s="27">
        <f>IF($BG435="","",INDEX(Calc_Daily!$A$2:$A$2001,$BG435))</f>
        <v>0</v>
      </c>
      <c r="B435">
        <f>IF($BG435="","",INDEX(Calc_Daily!$BJ$2:$BJ$2001,$BG435))</f>
        <v>0</v>
      </c>
      <c r="C435">
        <f>IF($BG435="","",INDEX(Calc_Daily!$BK$2:$BK$2001,$BG435))</f>
        <v>0</v>
      </c>
      <c r="D435">
        <f>IF($BG435="","",INDEX(Calc_Daily!$BL$2:$BL$2001,$BG435))</f>
        <v>0</v>
      </c>
      <c r="E435">
        <f>IF($BG435="","",INDEX(Calc_Daily!$E$2:$E$2001,$BG435))</f>
        <v>0</v>
      </c>
      <c r="F435">
        <f>IF($E435="","",N(F434)+1)</f>
        <v>0</v>
      </c>
      <c r="G435">
        <f>IF(OR($E435="",$E434=""),"",LN($E435/$E434))</f>
        <v>0</v>
      </c>
      <c r="H435">
        <f>IF($E435="","",IF($E434="",$E435,$E435*0.0952380952+H434*0.9047619048))</f>
        <v>0</v>
      </c>
      <c r="I435">
        <f>IF($E435="","",IF($E434="",$E435,$E435*0.0392156863+I434*0.9607843137))</f>
        <v>0</v>
      </c>
      <c r="J435">
        <f>IF($E435="","",IF($E434="",$E435,$E435*0.0198019802+J434*0.9801980198))</f>
        <v>0</v>
      </c>
      <c r="K435">
        <f>IF($E435="","",IF($E434="",$E435,$E435*0.0099502488+K434*0.9900497512))</f>
        <v>0</v>
      </c>
      <c r="L435">
        <f>IF(OR($E435="",$E434=""),"",MAX($E435-$E434,0))</f>
        <v>0</v>
      </c>
      <c r="M435">
        <f>IF(OR($E435="",$E434=""),"",MAX($E434-$E435,0))</f>
        <v>0</v>
      </c>
      <c r="N435">
        <f>IF(COUNT($E$2:$E435)&lt;15,"",IF(AVERAGE($M$422:$M$435)=0,100,100-100/(1+AVERAGE($L$422:$L$435)/AVERAGE($M$422:$M$435))))</f>
        <v>0</v>
      </c>
      <c r="O435">
        <f>IF($E435="","",IF($E434="",$E435,$E435*0.1538461538+O434*0.8461538462))</f>
        <v>0</v>
      </c>
      <c r="P435">
        <f>IF($E435="","",IF($E434="",$E435,$E435*0.0740740741+P434*0.9259259259))</f>
        <v>0</v>
      </c>
      <c r="Q435">
        <f>IF(OR(O435="",P435=""),"",O435-P435)</f>
        <v>0</v>
      </c>
      <c r="R435">
        <f>IF(Q435="","",IF(R434="",Q435,Q435*0.2000000000+R434*0.8000000000))</f>
        <v>0</v>
      </c>
      <c r="S435">
        <f>IF(OR(Q435="",R435=""),"",Q435-R435)</f>
        <v>0</v>
      </c>
      <c r="T435">
        <f>IF(COUNT($E$2:$E435)&lt;14,"",MAX($C$422:$C$435))</f>
        <v>0</v>
      </c>
      <c r="U435">
        <f>IF(COUNT($E$2:$E435)&lt;14,"",MIN($D$422:$D$435))</f>
        <v>0</v>
      </c>
      <c r="V435">
        <f>IF(OR(T435="",U435="",T435=U435),"",100*($E435-U435)/(T435-U435))</f>
        <v>0</v>
      </c>
      <c r="W435">
        <f>IF(COUNT($V$433:$V$435)&lt;3,"",AVERAGE($V$433:$V$435))</f>
        <v>0</v>
      </c>
      <c r="X435">
        <f>IF(COUNT($N$422:$N$435)&lt;14,"",MIN($N$422:$N$435))</f>
        <v>0</v>
      </c>
      <c r="Y435">
        <f>IF(COUNT($N$422:$N$435)&lt;14,"",MAX($N$422:$N$435))</f>
        <v>0</v>
      </c>
      <c r="Z435">
        <f>IF(OR(N435="",X435="",Y435="",Y435=X435),"",100*(N435-X435)/(Y435-X435))</f>
        <v>0</v>
      </c>
      <c r="AA435">
        <f>IF(COUNT($Z$433:$Z$435)&lt;3,"",AVERAGE($Z$433:$Z$435))</f>
        <v>0</v>
      </c>
      <c r="AB435">
        <f>IF(COUNT($AA$433:$AA$435)&lt;3,"",AVERAGE($AA$433:$AA$435))</f>
        <v>0</v>
      </c>
      <c r="AC435">
        <f>IF($E435="","",MAX($C435-$D435,ABS($C435-$E434),ABS($D435-$E434)))</f>
        <v>0</v>
      </c>
      <c r="AD435">
        <f>IF(COUNT($E$2:$E435)&lt;15,"",AVERAGE($AC$422:$AC$435))</f>
        <v>0</v>
      </c>
      <c r="AE435">
        <f>IF(OR($E435="",$E434=""),"",IF(AND(($C435-$C434)&gt;($D434-$D435),($C435-$C434)&gt;0),$C435-$C434,0))</f>
        <v>0</v>
      </c>
      <c r="AF435">
        <f>IF(OR($E435="",$E434=""),"",IF(AND(($D434-$D435)&gt;($C435-$C434),($D434-$D435)&gt;0),$D434-$D435,0))</f>
        <v>0</v>
      </c>
      <c r="AG435">
        <f>IF(COUNT($E$2:$E435)&lt;15,"",IF(SUM($AC$422:$AC$435)=0,0,100*SUM($AE$422:$AE$435)/SUM($AC$422:$AC$435)))</f>
        <v>0</v>
      </c>
      <c r="AH435">
        <f>IF(COUNT($E$2:$E435)&lt;15,"",IF(SUM($AC$422:$AC$435)=0,0,100*SUM($AF$422:$AF$435)/SUM($AC$422:$AC$435)))</f>
        <v>0</v>
      </c>
      <c r="AI435">
        <f>IF(OR(AG435="",AH435=""),"",IF((AG435+AH435)=0,0,100*ABS(AG435-AH435)/(AG435+AH435)))</f>
        <v>0</v>
      </c>
      <c r="AJ435">
        <f>IF(COUNT($AI$422:$AI$435)&lt;14,"",AVERAGE($AI$422:$AI$435))</f>
        <v>0</v>
      </c>
      <c r="AK435">
        <f>IF(COUNT($E$2:$E435)&lt;20,"",AVERAGE($E$416:$E$435))</f>
        <v>0</v>
      </c>
      <c r="AL435">
        <f>IF(COUNT($E$2:$E435)&lt;20,"",STDEVP($E$416:$E$435))</f>
        <v>0</v>
      </c>
      <c r="AM435">
        <f>IF(AK435="","",AK435+2*AL435)</f>
        <v>0</v>
      </c>
      <c r="AN435">
        <f>IF(AK435="","",AK435-2*AL435)</f>
        <v>0</v>
      </c>
      <c r="AO435">
        <f>IF(OR(AM435="",AN435="",AM435=AN435),"",($E435-AN435)/(AM435-AN435))</f>
        <v>0</v>
      </c>
      <c r="AP435">
        <f>IF(OR(AM435="",AK435="",AK435=0),"",(AM435-AN435)/AK435)</f>
        <v>0</v>
      </c>
      <c r="AQ435">
        <f>IF(COUNT($E$2:$E435)&lt;20,"",MAX($C$416:$C$435))</f>
        <v>0</v>
      </c>
      <c r="AR435">
        <f>IF(COUNT($E$2:$E435)&lt;20,"",MIN($D$416:$D$435))</f>
        <v>0</v>
      </c>
      <c r="AS435">
        <f>IF(OR(AQ435="",AR435=""),"",(AQ435+AR435)/2)</f>
        <v>0</v>
      </c>
      <c r="AT435">
        <f>IF(COUNT($G$416:$G$435)&lt;20,"",STDEV($G$416:$G$435)*SQRT(52))</f>
        <v>0</v>
      </c>
      <c r="AU435">
        <f>IF(COUNT($E$2:$E435)&lt;9,"",(MAX($C$427:$C$435)+MIN($D$427:$D$435))/2)</f>
        <v>0</v>
      </c>
      <c r="AV435">
        <f>IF(COUNT($E$2:$E435)&lt;26,"",(MAX($C$410:$C$435)+MIN($D$410:$D$435))/2)</f>
        <v>0</v>
      </c>
      <c r="AW435">
        <f>IF(OR(AU435="",AV435=""),"",(AU435+AV435)/2)</f>
        <v>0</v>
      </c>
      <c r="AX435">
        <f>IF(COUNT($E$2:$E435)&lt;52,"",(MAX($C$384:$C$435)+MIN($D$384:$D$435))/2)</f>
        <v>0</v>
      </c>
      <c r="AY435">
        <f>IF(COUNT($E$2:$E435)&lt;20,"",MAX($C$336:$C$435))</f>
        <v>0</v>
      </c>
      <c r="AZ435">
        <f>IF(COUNT($E$2:$E435)&lt;20,"",MIN($D$336:$D$435))</f>
        <v>0</v>
      </c>
      <c r="BA435">
        <f>IF(COUNT($E$2:$E435)&lt;20,"",SLOPE($E$336:$E$435,$F$336:$F$435))</f>
        <v>0</v>
      </c>
      <c r="BB435">
        <f>IF(COUNT($E$2:$E435)&lt;20,"",INTERCEPT($E$336:$E$435,$F$336:$F$435))</f>
        <v>0</v>
      </c>
      <c r="BC435">
        <f>IF(OR(BA435="",BB435=""),"",BB435+BA435*F435)</f>
        <v>0</v>
      </c>
      <c r="BD435">
        <f>IF(COUNT($E$2:$E435)&lt;20,"",STEYX($E$336:$E$435,$F$336:$F$435))</f>
        <v>0</v>
      </c>
      <c r="BE435">
        <f>IF($E435="","",IF(AND(COUNT($E$436:$E$439)&gt;=4,$C435=MAX($C$431:$C$439)),$C435,""))</f>
        <v>0</v>
      </c>
      <c r="BF435">
        <f>IF($E435="","",IF(AND(COUNT($E$436:$E$439)&gt;=4,$D435=MIN($D$431:$D$439)),$D435,""))</f>
        <v>0</v>
      </c>
      <c r="BG435">
        <f>IFERROR(SMALL(Calc_Daily!$BM$2:$BM$2001,434),"")</f>
        <v>0</v>
      </c>
    </row>
    <row r="436" spans="1:59">
      <c r="A436" s="27">
        <f>IF($BG436="","",INDEX(Calc_Daily!$A$2:$A$2001,$BG436))</f>
        <v>0</v>
      </c>
      <c r="B436">
        <f>IF($BG436="","",INDEX(Calc_Daily!$BJ$2:$BJ$2001,$BG436))</f>
        <v>0</v>
      </c>
      <c r="C436">
        <f>IF($BG436="","",INDEX(Calc_Daily!$BK$2:$BK$2001,$BG436))</f>
        <v>0</v>
      </c>
      <c r="D436">
        <f>IF($BG436="","",INDEX(Calc_Daily!$BL$2:$BL$2001,$BG436))</f>
        <v>0</v>
      </c>
      <c r="E436">
        <f>IF($BG436="","",INDEX(Calc_Daily!$E$2:$E$2001,$BG436))</f>
        <v>0</v>
      </c>
      <c r="F436">
        <f>IF($E436="","",N(F435)+1)</f>
        <v>0</v>
      </c>
      <c r="G436">
        <f>IF(OR($E436="",$E435=""),"",LN($E436/$E435))</f>
        <v>0</v>
      </c>
      <c r="H436">
        <f>IF($E436="","",IF($E435="",$E436,$E436*0.0952380952+H435*0.9047619048))</f>
        <v>0</v>
      </c>
      <c r="I436">
        <f>IF($E436="","",IF($E435="",$E436,$E436*0.0392156863+I435*0.9607843137))</f>
        <v>0</v>
      </c>
      <c r="J436">
        <f>IF($E436="","",IF($E435="",$E436,$E436*0.0198019802+J435*0.9801980198))</f>
        <v>0</v>
      </c>
      <c r="K436">
        <f>IF($E436="","",IF($E435="",$E436,$E436*0.0099502488+K435*0.9900497512))</f>
        <v>0</v>
      </c>
      <c r="L436">
        <f>IF(OR($E436="",$E435=""),"",MAX($E436-$E435,0))</f>
        <v>0</v>
      </c>
      <c r="M436">
        <f>IF(OR($E436="",$E435=""),"",MAX($E435-$E436,0))</f>
        <v>0</v>
      </c>
      <c r="N436">
        <f>IF(COUNT($E$2:$E436)&lt;15,"",IF(AVERAGE($M$423:$M$436)=0,100,100-100/(1+AVERAGE($L$423:$L$436)/AVERAGE($M$423:$M$436))))</f>
        <v>0</v>
      </c>
      <c r="O436">
        <f>IF($E436="","",IF($E435="",$E436,$E436*0.1538461538+O435*0.8461538462))</f>
        <v>0</v>
      </c>
      <c r="P436">
        <f>IF($E436="","",IF($E435="",$E436,$E436*0.0740740741+P435*0.9259259259))</f>
        <v>0</v>
      </c>
      <c r="Q436">
        <f>IF(OR(O436="",P436=""),"",O436-P436)</f>
        <v>0</v>
      </c>
      <c r="R436">
        <f>IF(Q436="","",IF(R435="",Q436,Q436*0.2000000000+R435*0.8000000000))</f>
        <v>0</v>
      </c>
      <c r="S436">
        <f>IF(OR(Q436="",R436=""),"",Q436-R436)</f>
        <v>0</v>
      </c>
      <c r="T436">
        <f>IF(COUNT($E$2:$E436)&lt;14,"",MAX($C$423:$C$436))</f>
        <v>0</v>
      </c>
      <c r="U436">
        <f>IF(COUNT($E$2:$E436)&lt;14,"",MIN($D$423:$D$436))</f>
        <v>0</v>
      </c>
      <c r="V436">
        <f>IF(OR(T436="",U436="",T436=U436),"",100*($E436-U436)/(T436-U436))</f>
        <v>0</v>
      </c>
      <c r="W436">
        <f>IF(COUNT($V$434:$V$436)&lt;3,"",AVERAGE($V$434:$V$436))</f>
        <v>0</v>
      </c>
      <c r="X436">
        <f>IF(COUNT($N$423:$N$436)&lt;14,"",MIN($N$423:$N$436))</f>
        <v>0</v>
      </c>
      <c r="Y436">
        <f>IF(COUNT($N$423:$N$436)&lt;14,"",MAX($N$423:$N$436))</f>
        <v>0</v>
      </c>
      <c r="Z436">
        <f>IF(OR(N436="",X436="",Y436="",Y436=X436),"",100*(N436-X436)/(Y436-X436))</f>
        <v>0</v>
      </c>
      <c r="AA436">
        <f>IF(COUNT($Z$434:$Z$436)&lt;3,"",AVERAGE($Z$434:$Z$436))</f>
        <v>0</v>
      </c>
      <c r="AB436">
        <f>IF(COUNT($AA$434:$AA$436)&lt;3,"",AVERAGE($AA$434:$AA$436))</f>
        <v>0</v>
      </c>
      <c r="AC436">
        <f>IF($E436="","",MAX($C436-$D436,ABS($C436-$E435),ABS($D436-$E435)))</f>
        <v>0</v>
      </c>
      <c r="AD436">
        <f>IF(COUNT($E$2:$E436)&lt;15,"",AVERAGE($AC$423:$AC$436))</f>
        <v>0</v>
      </c>
      <c r="AE436">
        <f>IF(OR($E436="",$E435=""),"",IF(AND(($C436-$C435)&gt;($D435-$D436),($C436-$C435)&gt;0),$C436-$C435,0))</f>
        <v>0</v>
      </c>
      <c r="AF436">
        <f>IF(OR($E436="",$E435=""),"",IF(AND(($D435-$D436)&gt;($C436-$C435),($D435-$D436)&gt;0),$D435-$D436,0))</f>
        <v>0</v>
      </c>
      <c r="AG436">
        <f>IF(COUNT($E$2:$E436)&lt;15,"",IF(SUM($AC$423:$AC$436)=0,0,100*SUM($AE$423:$AE$436)/SUM($AC$423:$AC$436)))</f>
        <v>0</v>
      </c>
      <c r="AH436">
        <f>IF(COUNT($E$2:$E436)&lt;15,"",IF(SUM($AC$423:$AC$436)=0,0,100*SUM($AF$423:$AF$436)/SUM($AC$423:$AC$436)))</f>
        <v>0</v>
      </c>
      <c r="AI436">
        <f>IF(OR(AG436="",AH436=""),"",IF((AG436+AH436)=0,0,100*ABS(AG436-AH436)/(AG436+AH436)))</f>
        <v>0</v>
      </c>
      <c r="AJ436">
        <f>IF(COUNT($AI$423:$AI$436)&lt;14,"",AVERAGE($AI$423:$AI$436))</f>
        <v>0</v>
      </c>
      <c r="AK436">
        <f>IF(COUNT($E$2:$E436)&lt;20,"",AVERAGE($E$417:$E$436))</f>
        <v>0</v>
      </c>
      <c r="AL436">
        <f>IF(COUNT($E$2:$E436)&lt;20,"",STDEVP($E$417:$E$436))</f>
        <v>0</v>
      </c>
      <c r="AM436">
        <f>IF(AK436="","",AK436+2*AL436)</f>
        <v>0</v>
      </c>
      <c r="AN436">
        <f>IF(AK436="","",AK436-2*AL436)</f>
        <v>0</v>
      </c>
      <c r="AO436">
        <f>IF(OR(AM436="",AN436="",AM436=AN436),"",($E436-AN436)/(AM436-AN436))</f>
        <v>0</v>
      </c>
      <c r="AP436">
        <f>IF(OR(AM436="",AK436="",AK436=0),"",(AM436-AN436)/AK436)</f>
        <v>0</v>
      </c>
      <c r="AQ436">
        <f>IF(COUNT($E$2:$E436)&lt;20,"",MAX($C$417:$C$436))</f>
        <v>0</v>
      </c>
      <c r="AR436">
        <f>IF(COUNT($E$2:$E436)&lt;20,"",MIN($D$417:$D$436))</f>
        <v>0</v>
      </c>
      <c r="AS436">
        <f>IF(OR(AQ436="",AR436=""),"",(AQ436+AR436)/2)</f>
        <v>0</v>
      </c>
      <c r="AT436">
        <f>IF(COUNT($G$417:$G$436)&lt;20,"",STDEV($G$417:$G$436)*SQRT(52))</f>
        <v>0</v>
      </c>
      <c r="AU436">
        <f>IF(COUNT($E$2:$E436)&lt;9,"",(MAX($C$428:$C$436)+MIN($D$428:$D$436))/2)</f>
        <v>0</v>
      </c>
      <c r="AV436">
        <f>IF(COUNT($E$2:$E436)&lt;26,"",(MAX($C$411:$C$436)+MIN($D$411:$D$436))/2)</f>
        <v>0</v>
      </c>
      <c r="AW436">
        <f>IF(OR(AU436="",AV436=""),"",(AU436+AV436)/2)</f>
        <v>0</v>
      </c>
      <c r="AX436">
        <f>IF(COUNT($E$2:$E436)&lt;52,"",(MAX($C$385:$C$436)+MIN($D$385:$D$436))/2)</f>
        <v>0</v>
      </c>
      <c r="AY436">
        <f>IF(COUNT($E$2:$E436)&lt;20,"",MAX($C$337:$C$436))</f>
        <v>0</v>
      </c>
      <c r="AZ436">
        <f>IF(COUNT($E$2:$E436)&lt;20,"",MIN($D$337:$D$436))</f>
        <v>0</v>
      </c>
      <c r="BA436">
        <f>IF(COUNT($E$2:$E436)&lt;20,"",SLOPE($E$337:$E$436,$F$337:$F$436))</f>
        <v>0</v>
      </c>
      <c r="BB436">
        <f>IF(COUNT($E$2:$E436)&lt;20,"",INTERCEPT($E$337:$E$436,$F$337:$F$436))</f>
        <v>0</v>
      </c>
      <c r="BC436">
        <f>IF(OR(BA436="",BB436=""),"",BB436+BA436*F436)</f>
        <v>0</v>
      </c>
      <c r="BD436">
        <f>IF(COUNT($E$2:$E436)&lt;20,"",STEYX($E$337:$E$436,$F$337:$F$436))</f>
        <v>0</v>
      </c>
      <c r="BE436">
        <f>IF($E436="","",IF(AND(COUNT($E$437:$E$440)&gt;=4,$C436=MAX($C$432:$C$440)),$C436,""))</f>
        <v>0</v>
      </c>
      <c r="BF436">
        <f>IF($E436="","",IF(AND(COUNT($E$437:$E$440)&gt;=4,$D436=MIN($D$432:$D$440)),$D436,""))</f>
        <v>0</v>
      </c>
      <c r="BG436">
        <f>IFERROR(SMALL(Calc_Daily!$BM$2:$BM$2001,435),"")</f>
        <v>0</v>
      </c>
    </row>
    <row r="437" spans="1:59">
      <c r="A437" s="27">
        <f>IF($BG437="","",INDEX(Calc_Daily!$A$2:$A$2001,$BG437))</f>
        <v>0</v>
      </c>
      <c r="B437">
        <f>IF($BG437="","",INDEX(Calc_Daily!$BJ$2:$BJ$2001,$BG437))</f>
        <v>0</v>
      </c>
      <c r="C437">
        <f>IF($BG437="","",INDEX(Calc_Daily!$BK$2:$BK$2001,$BG437))</f>
        <v>0</v>
      </c>
      <c r="D437">
        <f>IF($BG437="","",INDEX(Calc_Daily!$BL$2:$BL$2001,$BG437))</f>
        <v>0</v>
      </c>
      <c r="E437">
        <f>IF($BG437="","",INDEX(Calc_Daily!$E$2:$E$2001,$BG437))</f>
        <v>0</v>
      </c>
      <c r="F437">
        <f>IF($E437="","",N(F436)+1)</f>
        <v>0</v>
      </c>
      <c r="G437">
        <f>IF(OR($E437="",$E436=""),"",LN($E437/$E436))</f>
        <v>0</v>
      </c>
      <c r="H437">
        <f>IF($E437="","",IF($E436="",$E437,$E437*0.0952380952+H436*0.9047619048))</f>
        <v>0</v>
      </c>
      <c r="I437">
        <f>IF($E437="","",IF($E436="",$E437,$E437*0.0392156863+I436*0.9607843137))</f>
        <v>0</v>
      </c>
      <c r="J437">
        <f>IF($E437="","",IF($E436="",$E437,$E437*0.0198019802+J436*0.9801980198))</f>
        <v>0</v>
      </c>
      <c r="K437">
        <f>IF($E437="","",IF($E436="",$E437,$E437*0.0099502488+K436*0.9900497512))</f>
        <v>0</v>
      </c>
      <c r="L437">
        <f>IF(OR($E437="",$E436=""),"",MAX($E437-$E436,0))</f>
        <v>0</v>
      </c>
      <c r="M437">
        <f>IF(OR($E437="",$E436=""),"",MAX($E436-$E437,0))</f>
        <v>0</v>
      </c>
      <c r="N437">
        <f>IF(COUNT($E$2:$E437)&lt;15,"",IF(AVERAGE($M$424:$M$437)=0,100,100-100/(1+AVERAGE($L$424:$L$437)/AVERAGE($M$424:$M$437))))</f>
        <v>0</v>
      </c>
      <c r="O437">
        <f>IF($E437="","",IF($E436="",$E437,$E437*0.1538461538+O436*0.8461538462))</f>
        <v>0</v>
      </c>
      <c r="P437">
        <f>IF($E437="","",IF($E436="",$E437,$E437*0.0740740741+P436*0.9259259259))</f>
        <v>0</v>
      </c>
      <c r="Q437">
        <f>IF(OR(O437="",P437=""),"",O437-P437)</f>
        <v>0</v>
      </c>
      <c r="R437">
        <f>IF(Q437="","",IF(R436="",Q437,Q437*0.2000000000+R436*0.8000000000))</f>
        <v>0</v>
      </c>
      <c r="S437">
        <f>IF(OR(Q437="",R437=""),"",Q437-R437)</f>
        <v>0</v>
      </c>
      <c r="T437">
        <f>IF(COUNT($E$2:$E437)&lt;14,"",MAX($C$424:$C$437))</f>
        <v>0</v>
      </c>
      <c r="U437">
        <f>IF(COUNT($E$2:$E437)&lt;14,"",MIN($D$424:$D$437))</f>
        <v>0</v>
      </c>
      <c r="V437">
        <f>IF(OR(T437="",U437="",T437=U437),"",100*($E437-U437)/(T437-U437))</f>
        <v>0</v>
      </c>
      <c r="W437">
        <f>IF(COUNT($V$435:$V$437)&lt;3,"",AVERAGE($V$435:$V$437))</f>
        <v>0</v>
      </c>
      <c r="X437">
        <f>IF(COUNT($N$424:$N$437)&lt;14,"",MIN($N$424:$N$437))</f>
        <v>0</v>
      </c>
      <c r="Y437">
        <f>IF(COUNT($N$424:$N$437)&lt;14,"",MAX($N$424:$N$437))</f>
        <v>0</v>
      </c>
      <c r="Z437">
        <f>IF(OR(N437="",X437="",Y437="",Y437=X437),"",100*(N437-X437)/(Y437-X437))</f>
        <v>0</v>
      </c>
      <c r="AA437">
        <f>IF(COUNT($Z$435:$Z$437)&lt;3,"",AVERAGE($Z$435:$Z$437))</f>
        <v>0</v>
      </c>
      <c r="AB437">
        <f>IF(COUNT($AA$435:$AA$437)&lt;3,"",AVERAGE($AA$435:$AA$437))</f>
        <v>0</v>
      </c>
      <c r="AC437">
        <f>IF($E437="","",MAX($C437-$D437,ABS($C437-$E436),ABS($D437-$E436)))</f>
        <v>0</v>
      </c>
      <c r="AD437">
        <f>IF(COUNT($E$2:$E437)&lt;15,"",AVERAGE($AC$424:$AC$437))</f>
        <v>0</v>
      </c>
      <c r="AE437">
        <f>IF(OR($E437="",$E436=""),"",IF(AND(($C437-$C436)&gt;($D436-$D437),($C437-$C436)&gt;0),$C437-$C436,0))</f>
        <v>0</v>
      </c>
      <c r="AF437">
        <f>IF(OR($E437="",$E436=""),"",IF(AND(($D436-$D437)&gt;($C437-$C436),($D436-$D437)&gt;0),$D436-$D437,0))</f>
        <v>0</v>
      </c>
      <c r="AG437">
        <f>IF(COUNT($E$2:$E437)&lt;15,"",IF(SUM($AC$424:$AC$437)=0,0,100*SUM($AE$424:$AE$437)/SUM($AC$424:$AC$437)))</f>
        <v>0</v>
      </c>
      <c r="AH437">
        <f>IF(COUNT($E$2:$E437)&lt;15,"",IF(SUM($AC$424:$AC$437)=0,0,100*SUM($AF$424:$AF$437)/SUM($AC$424:$AC$437)))</f>
        <v>0</v>
      </c>
      <c r="AI437">
        <f>IF(OR(AG437="",AH437=""),"",IF((AG437+AH437)=0,0,100*ABS(AG437-AH437)/(AG437+AH437)))</f>
        <v>0</v>
      </c>
      <c r="AJ437">
        <f>IF(COUNT($AI$424:$AI$437)&lt;14,"",AVERAGE($AI$424:$AI$437))</f>
        <v>0</v>
      </c>
      <c r="AK437">
        <f>IF(COUNT($E$2:$E437)&lt;20,"",AVERAGE($E$418:$E$437))</f>
        <v>0</v>
      </c>
      <c r="AL437">
        <f>IF(COUNT($E$2:$E437)&lt;20,"",STDEVP($E$418:$E$437))</f>
        <v>0</v>
      </c>
      <c r="AM437">
        <f>IF(AK437="","",AK437+2*AL437)</f>
        <v>0</v>
      </c>
      <c r="AN437">
        <f>IF(AK437="","",AK437-2*AL437)</f>
        <v>0</v>
      </c>
      <c r="AO437">
        <f>IF(OR(AM437="",AN437="",AM437=AN437),"",($E437-AN437)/(AM437-AN437))</f>
        <v>0</v>
      </c>
      <c r="AP437">
        <f>IF(OR(AM437="",AK437="",AK437=0),"",(AM437-AN437)/AK437)</f>
        <v>0</v>
      </c>
      <c r="AQ437">
        <f>IF(COUNT($E$2:$E437)&lt;20,"",MAX($C$418:$C$437))</f>
        <v>0</v>
      </c>
      <c r="AR437">
        <f>IF(COUNT($E$2:$E437)&lt;20,"",MIN($D$418:$D$437))</f>
        <v>0</v>
      </c>
      <c r="AS437">
        <f>IF(OR(AQ437="",AR437=""),"",(AQ437+AR437)/2)</f>
        <v>0</v>
      </c>
      <c r="AT437">
        <f>IF(COUNT($G$418:$G$437)&lt;20,"",STDEV($G$418:$G$437)*SQRT(52))</f>
        <v>0</v>
      </c>
      <c r="AU437">
        <f>IF(COUNT($E$2:$E437)&lt;9,"",(MAX($C$429:$C$437)+MIN($D$429:$D$437))/2)</f>
        <v>0</v>
      </c>
      <c r="AV437">
        <f>IF(COUNT($E$2:$E437)&lt;26,"",(MAX($C$412:$C$437)+MIN($D$412:$D$437))/2)</f>
        <v>0</v>
      </c>
      <c r="AW437">
        <f>IF(OR(AU437="",AV437=""),"",(AU437+AV437)/2)</f>
        <v>0</v>
      </c>
      <c r="AX437">
        <f>IF(COUNT($E$2:$E437)&lt;52,"",(MAX($C$386:$C$437)+MIN($D$386:$D$437))/2)</f>
        <v>0</v>
      </c>
      <c r="AY437">
        <f>IF(COUNT($E$2:$E437)&lt;20,"",MAX($C$338:$C$437))</f>
        <v>0</v>
      </c>
      <c r="AZ437">
        <f>IF(COUNT($E$2:$E437)&lt;20,"",MIN($D$338:$D$437))</f>
        <v>0</v>
      </c>
      <c r="BA437">
        <f>IF(COUNT($E$2:$E437)&lt;20,"",SLOPE($E$338:$E$437,$F$338:$F$437))</f>
        <v>0</v>
      </c>
      <c r="BB437">
        <f>IF(COUNT($E$2:$E437)&lt;20,"",INTERCEPT($E$338:$E$437,$F$338:$F$437))</f>
        <v>0</v>
      </c>
      <c r="BC437">
        <f>IF(OR(BA437="",BB437=""),"",BB437+BA437*F437)</f>
        <v>0</v>
      </c>
      <c r="BD437">
        <f>IF(COUNT($E$2:$E437)&lt;20,"",STEYX($E$338:$E$437,$F$338:$F$437))</f>
        <v>0</v>
      </c>
      <c r="BE437">
        <f>IF($E437="","",IF(AND(COUNT($E$438:$E$441)&gt;=4,$C437=MAX($C$433:$C$441)),$C437,""))</f>
        <v>0</v>
      </c>
      <c r="BF437">
        <f>IF($E437="","",IF(AND(COUNT($E$438:$E$441)&gt;=4,$D437=MIN($D$433:$D$441)),$D437,""))</f>
        <v>0</v>
      </c>
      <c r="BG437">
        <f>IFERROR(SMALL(Calc_Daily!$BM$2:$BM$2001,436),"")</f>
        <v>0</v>
      </c>
    </row>
    <row r="438" spans="1:59">
      <c r="A438" s="27">
        <f>IF($BG438="","",INDEX(Calc_Daily!$A$2:$A$2001,$BG438))</f>
        <v>0</v>
      </c>
      <c r="B438">
        <f>IF($BG438="","",INDEX(Calc_Daily!$BJ$2:$BJ$2001,$BG438))</f>
        <v>0</v>
      </c>
      <c r="C438">
        <f>IF($BG438="","",INDEX(Calc_Daily!$BK$2:$BK$2001,$BG438))</f>
        <v>0</v>
      </c>
      <c r="D438">
        <f>IF($BG438="","",INDEX(Calc_Daily!$BL$2:$BL$2001,$BG438))</f>
        <v>0</v>
      </c>
      <c r="E438">
        <f>IF($BG438="","",INDEX(Calc_Daily!$E$2:$E$2001,$BG438))</f>
        <v>0</v>
      </c>
      <c r="F438">
        <f>IF($E438="","",N(F437)+1)</f>
        <v>0</v>
      </c>
      <c r="G438">
        <f>IF(OR($E438="",$E437=""),"",LN($E438/$E437))</f>
        <v>0</v>
      </c>
      <c r="H438">
        <f>IF($E438="","",IF($E437="",$E438,$E438*0.0952380952+H437*0.9047619048))</f>
        <v>0</v>
      </c>
      <c r="I438">
        <f>IF($E438="","",IF($E437="",$E438,$E438*0.0392156863+I437*0.9607843137))</f>
        <v>0</v>
      </c>
      <c r="J438">
        <f>IF($E438="","",IF($E437="",$E438,$E438*0.0198019802+J437*0.9801980198))</f>
        <v>0</v>
      </c>
      <c r="K438">
        <f>IF($E438="","",IF($E437="",$E438,$E438*0.0099502488+K437*0.9900497512))</f>
        <v>0</v>
      </c>
      <c r="L438">
        <f>IF(OR($E438="",$E437=""),"",MAX($E438-$E437,0))</f>
        <v>0</v>
      </c>
      <c r="M438">
        <f>IF(OR($E438="",$E437=""),"",MAX($E437-$E438,0))</f>
        <v>0</v>
      </c>
      <c r="N438">
        <f>IF(COUNT($E$2:$E438)&lt;15,"",IF(AVERAGE($M$425:$M$438)=0,100,100-100/(1+AVERAGE($L$425:$L$438)/AVERAGE($M$425:$M$438))))</f>
        <v>0</v>
      </c>
      <c r="O438">
        <f>IF($E438="","",IF($E437="",$E438,$E438*0.1538461538+O437*0.8461538462))</f>
        <v>0</v>
      </c>
      <c r="P438">
        <f>IF($E438="","",IF($E437="",$E438,$E438*0.0740740741+P437*0.9259259259))</f>
        <v>0</v>
      </c>
      <c r="Q438">
        <f>IF(OR(O438="",P438=""),"",O438-P438)</f>
        <v>0</v>
      </c>
      <c r="R438">
        <f>IF(Q438="","",IF(R437="",Q438,Q438*0.2000000000+R437*0.8000000000))</f>
        <v>0</v>
      </c>
      <c r="S438">
        <f>IF(OR(Q438="",R438=""),"",Q438-R438)</f>
        <v>0</v>
      </c>
      <c r="T438">
        <f>IF(COUNT($E$2:$E438)&lt;14,"",MAX($C$425:$C$438))</f>
        <v>0</v>
      </c>
      <c r="U438">
        <f>IF(COUNT($E$2:$E438)&lt;14,"",MIN($D$425:$D$438))</f>
        <v>0</v>
      </c>
      <c r="V438">
        <f>IF(OR(T438="",U438="",T438=U438),"",100*($E438-U438)/(T438-U438))</f>
        <v>0</v>
      </c>
      <c r="W438">
        <f>IF(COUNT($V$436:$V$438)&lt;3,"",AVERAGE($V$436:$V$438))</f>
        <v>0</v>
      </c>
      <c r="X438">
        <f>IF(COUNT($N$425:$N$438)&lt;14,"",MIN($N$425:$N$438))</f>
        <v>0</v>
      </c>
      <c r="Y438">
        <f>IF(COUNT($N$425:$N$438)&lt;14,"",MAX($N$425:$N$438))</f>
        <v>0</v>
      </c>
      <c r="Z438">
        <f>IF(OR(N438="",X438="",Y438="",Y438=X438),"",100*(N438-X438)/(Y438-X438))</f>
        <v>0</v>
      </c>
      <c r="AA438">
        <f>IF(COUNT($Z$436:$Z$438)&lt;3,"",AVERAGE($Z$436:$Z$438))</f>
        <v>0</v>
      </c>
      <c r="AB438">
        <f>IF(COUNT($AA$436:$AA$438)&lt;3,"",AVERAGE($AA$436:$AA$438))</f>
        <v>0</v>
      </c>
      <c r="AC438">
        <f>IF($E438="","",MAX($C438-$D438,ABS($C438-$E437),ABS($D438-$E437)))</f>
        <v>0</v>
      </c>
      <c r="AD438">
        <f>IF(COUNT($E$2:$E438)&lt;15,"",AVERAGE($AC$425:$AC$438))</f>
        <v>0</v>
      </c>
      <c r="AE438">
        <f>IF(OR($E438="",$E437=""),"",IF(AND(($C438-$C437)&gt;($D437-$D438),($C438-$C437)&gt;0),$C438-$C437,0))</f>
        <v>0</v>
      </c>
      <c r="AF438">
        <f>IF(OR($E438="",$E437=""),"",IF(AND(($D437-$D438)&gt;($C438-$C437),($D437-$D438)&gt;0),$D437-$D438,0))</f>
        <v>0</v>
      </c>
      <c r="AG438">
        <f>IF(COUNT($E$2:$E438)&lt;15,"",IF(SUM($AC$425:$AC$438)=0,0,100*SUM($AE$425:$AE$438)/SUM($AC$425:$AC$438)))</f>
        <v>0</v>
      </c>
      <c r="AH438">
        <f>IF(COUNT($E$2:$E438)&lt;15,"",IF(SUM($AC$425:$AC$438)=0,0,100*SUM($AF$425:$AF$438)/SUM($AC$425:$AC$438)))</f>
        <v>0</v>
      </c>
      <c r="AI438">
        <f>IF(OR(AG438="",AH438=""),"",IF((AG438+AH438)=0,0,100*ABS(AG438-AH438)/(AG438+AH438)))</f>
        <v>0</v>
      </c>
      <c r="AJ438">
        <f>IF(COUNT($AI$425:$AI$438)&lt;14,"",AVERAGE($AI$425:$AI$438))</f>
        <v>0</v>
      </c>
      <c r="AK438">
        <f>IF(COUNT($E$2:$E438)&lt;20,"",AVERAGE($E$419:$E$438))</f>
        <v>0</v>
      </c>
      <c r="AL438">
        <f>IF(COUNT($E$2:$E438)&lt;20,"",STDEVP($E$419:$E$438))</f>
        <v>0</v>
      </c>
      <c r="AM438">
        <f>IF(AK438="","",AK438+2*AL438)</f>
        <v>0</v>
      </c>
      <c r="AN438">
        <f>IF(AK438="","",AK438-2*AL438)</f>
        <v>0</v>
      </c>
      <c r="AO438">
        <f>IF(OR(AM438="",AN438="",AM438=AN438),"",($E438-AN438)/(AM438-AN438))</f>
        <v>0</v>
      </c>
      <c r="AP438">
        <f>IF(OR(AM438="",AK438="",AK438=0),"",(AM438-AN438)/AK438)</f>
        <v>0</v>
      </c>
      <c r="AQ438">
        <f>IF(COUNT($E$2:$E438)&lt;20,"",MAX($C$419:$C$438))</f>
        <v>0</v>
      </c>
      <c r="AR438">
        <f>IF(COUNT($E$2:$E438)&lt;20,"",MIN($D$419:$D$438))</f>
        <v>0</v>
      </c>
      <c r="AS438">
        <f>IF(OR(AQ438="",AR438=""),"",(AQ438+AR438)/2)</f>
        <v>0</v>
      </c>
      <c r="AT438">
        <f>IF(COUNT($G$419:$G$438)&lt;20,"",STDEV($G$419:$G$438)*SQRT(52))</f>
        <v>0</v>
      </c>
      <c r="AU438">
        <f>IF(COUNT($E$2:$E438)&lt;9,"",(MAX($C$430:$C$438)+MIN($D$430:$D$438))/2)</f>
        <v>0</v>
      </c>
      <c r="AV438">
        <f>IF(COUNT($E$2:$E438)&lt;26,"",(MAX($C$413:$C$438)+MIN($D$413:$D$438))/2)</f>
        <v>0</v>
      </c>
      <c r="AW438">
        <f>IF(OR(AU438="",AV438=""),"",(AU438+AV438)/2)</f>
        <v>0</v>
      </c>
      <c r="AX438">
        <f>IF(COUNT($E$2:$E438)&lt;52,"",(MAX($C$387:$C$438)+MIN($D$387:$D$438))/2)</f>
        <v>0</v>
      </c>
      <c r="AY438">
        <f>IF(COUNT($E$2:$E438)&lt;20,"",MAX($C$339:$C$438))</f>
        <v>0</v>
      </c>
      <c r="AZ438">
        <f>IF(COUNT($E$2:$E438)&lt;20,"",MIN($D$339:$D$438))</f>
        <v>0</v>
      </c>
      <c r="BA438">
        <f>IF(COUNT($E$2:$E438)&lt;20,"",SLOPE($E$339:$E$438,$F$339:$F$438))</f>
        <v>0</v>
      </c>
      <c r="BB438">
        <f>IF(COUNT($E$2:$E438)&lt;20,"",INTERCEPT($E$339:$E$438,$F$339:$F$438))</f>
        <v>0</v>
      </c>
      <c r="BC438">
        <f>IF(OR(BA438="",BB438=""),"",BB438+BA438*F438)</f>
        <v>0</v>
      </c>
      <c r="BD438">
        <f>IF(COUNT($E$2:$E438)&lt;20,"",STEYX($E$339:$E$438,$F$339:$F$438))</f>
        <v>0</v>
      </c>
      <c r="BE438">
        <f>IF($E438="","",IF(AND(COUNT($E$439:$E$442)&gt;=4,$C438=MAX($C$434:$C$442)),$C438,""))</f>
        <v>0</v>
      </c>
      <c r="BF438">
        <f>IF($E438="","",IF(AND(COUNT($E$439:$E$442)&gt;=4,$D438=MIN($D$434:$D$442)),$D438,""))</f>
        <v>0</v>
      </c>
      <c r="BG438">
        <f>IFERROR(SMALL(Calc_Daily!$BM$2:$BM$2001,437),"")</f>
        <v>0</v>
      </c>
    </row>
    <row r="439" spans="1:59">
      <c r="A439" s="27">
        <f>IF($BG439="","",INDEX(Calc_Daily!$A$2:$A$2001,$BG439))</f>
        <v>0</v>
      </c>
      <c r="B439">
        <f>IF($BG439="","",INDEX(Calc_Daily!$BJ$2:$BJ$2001,$BG439))</f>
        <v>0</v>
      </c>
      <c r="C439">
        <f>IF($BG439="","",INDEX(Calc_Daily!$BK$2:$BK$2001,$BG439))</f>
        <v>0</v>
      </c>
      <c r="D439">
        <f>IF($BG439="","",INDEX(Calc_Daily!$BL$2:$BL$2001,$BG439))</f>
        <v>0</v>
      </c>
      <c r="E439">
        <f>IF($BG439="","",INDEX(Calc_Daily!$E$2:$E$2001,$BG439))</f>
        <v>0</v>
      </c>
      <c r="F439">
        <f>IF($E439="","",N(F438)+1)</f>
        <v>0</v>
      </c>
      <c r="G439">
        <f>IF(OR($E439="",$E438=""),"",LN($E439/$E438))</f>
        <v>0</v>
      </c>
      <c r="H439">
        <f>IF($E439="","",IF($E438="",$E439,$E439*0.0952380952+H438*0.9047619048))</f>
        <v>0</v>
      </c>
      <c r="I439">
        <f>IF($E439="","",IF($E438="",$E439,$E439*0.0392156863+I438*0.9607843137))</f>
        <v>0</v>
      </c>
      <c r="J439">
        <f>IF($E439="","",IF($E438="",$E439,$E439*0.0198019802+J438*0.9801980198))</f>
        <v>0</v>
      </c>
      <c r="K439">
        <f>IF($E439="","",IF($E438="",$E439,$E439*0.0099502488+K438*0.9900497512))</f>
        <v>0</v>
      </c>
      <c r="L439">
        <f>IF(OR($E439="",$E438=""),"",MAX($E439-$E438,0))</f>
        <v>0</v>
      </c>
      <c r="M439">
        <f>IF(OR($E439="",$E438=""),"",MAX($E438-$E439,0))</f>
        <v>0</v>
      </c>
      <c r="N439">
        <f>IF(COUNT($E$2:$E439)&lt;15,"",IF(AVERAGE($M$426:$M$439)=0,100,100-100/(1+AVERAGE($L$426:$L$439)/AVERAGE($M$426:$M$439))))</f>
        <v>0</v>
      </c>
      <c r="O439">
        <f>IF($E439="","",IF($E438="",$E439,$E439*0.1538461538+O438*0.8461538462))</f>
        <v>0</v>
      </c>
      <c r="P439">
        <f>IF($E439="","",IF($E438="",$E439,$E439*0.0740740741+P438*0.9259259259))</f>
        <v>0</v>
      </c>
      <c r="Q439">
        <f>IF(OR(O439="",P439=""),"",O439-P439)</f>
        <v>0</v>
      </c>
      <c r="R439">
        <f>IF(Q439="","",IF(R438="",Q439,Q439*0.2000000000+R438*0.8000000000))</f>
        <v>0</v>
      </c>
      <c r="S439">
        <f>IF(OR(Q439="",R439=""),"",Q439-R439)</f>
        <v>0</v>
      </c>
      <c r="T439">
        <f>IF(COUNT($E$2:$E439)&lt;14,"",MAX($C$426:$C$439))</f>
        <v>0</v>
      </c>
      <c r="U439">
        <f>IF(COUNT($E$2:$E439)&lt;14,"",MIN($D$426:$D$439))</f>
        <v>0</v>
      </c>
      <c r="V439">
        <f>IF(OR(T439="",U439="",T439=U439),"",100*($E439-U439)/(T439-U439))</f>
        <v>0</v>
      </c>
      <c r="W439">
        <f>IF(COUNT($V$437:$V$439)&lt;3,"",AVERAGE($V$437:$V$439))</f>
        <v>0</v>
      </c>
      <c r="X439">
        <f>IF(COUNT($N$426:$N$439)&lt;14,"",MIN($N$426:$N$439))</f>
        <v>0</v>
      </c>
      <c r="Y439">
        <f>IF(COUNT($N$426:$N$439)&lt;14,"",MAX($N$426:$N$439))</f>
        <v>0</v>
      </c>
      <c r="Z439">
        <f>IF(OR(N439="",X439="",Y439="",Y439=X439),"",100*(N439-X439)/(Y439-X439))</f>
        <v>0</v>
      </c>
      <c r="AA439">
        <f>IF(COUNT($Z$437:$Z$439)&lt;3,"",AVERAGE($Z$437:$Z$439))</f>
        <v>0</v>
      </c>
      <c r="AB439">
        <f>IF(COUNT($AA$437:$AA$439)&lt;3,"",AVERAGE($AA$437:$AA$439))</f>
        <v>0</v>
      </c>
      <c r="AC439">
        <f>IF($E439="","",MAX($C439-$D439,ABS($C439-$E438),ABS($D439-$E438)))</f>
        <v>0</v>
      </c>
      <c r="AD439">
        <f>IF(COUNT($E$2:$E439)&lt;15,"",AVERAGE($AC$426:$AC$439))</f>
        <v>0</v>
      </c>
      <c r="AE439">
        <f>IF(OR($E439="",$E438=""),"",IF(AND(($C439-$C438)&gt;($D438-$D439),($C439-$C438)&gt;0),$C439-$C438,0))</f>
        <v>0</v>
      </c>
      <c r="AF439">
        <f>IF(OR($E439="",$E438=""),"",IF(AND(($D438-$D439)&gt;($C439-$C438),($D438-$D439)&gt;0),$D438-$D439,0))</f>
        <v>0</v>
      </c>
      <c r="AG439">
        <f>IF(COUNT($E$2:$E439)&lt;15,"",IF(SUM($AC$426:$AC$439)=0,0,100*SUM($AE$426:$AE$439)/SUM($AC$426:$AC$439)))</f>
        <v>0</v>
      </c>
      <c r="AH439">
        <f>IF(COUNT($E$2:$E439)&lt;15,"",IF(SUM($AC$426:$AC$439)=0,0,100*SUM($AF$426:$AF$439)/SUM($AC$426:$AC$439)))</f>
        <v>0</v>
      </c>
      <c r="AI439">
        <f>IF(OR(AG439="",AH439=""),"",IF((AG439+AH439)=0,0,100*ABS(AG439-AH439)/(AG439+AH439)))</f>
        <v>0</v>
      </c>
      <c r="AJ439">
        <f>IF(COUNT($AI$426:$AI$439)&lt;14,"",AVERAGE($AI$426:$AI$439))</f>
        <v>0</v>
      </c>
      <c r="AK439">
        <f>IF(COUNT($E$2:$E439)&lt;20,"",AVERAGE($E$420:$E$439))</f>
        <v>0</v>
      </c>
      <c r="AL439">
        <f>IF(COUNT($E$2:$E439)&lt;20,"",STDEVP($E$420:$E$439))</f>
        <v>0</v>
      </c>
      <c r="AM439">
        <f>IF(AK439="","",AK439+2*AL439)</f>
        <v>0</v>
      </c>
      <c r="AN439">
        <f>IF(AK439="","",AK439-2*AL439)</f>
        <v>0</v>
      </c>
      <c r="AO439">
        <f>IF(OR(AM439="",AN439="",AM439=AN439),"",($E439-AN439)/(AM439-AN439))</f>
        <v>0</v>
      </c>
      <c r="AP439">
        <f>IF(OR(AM439="",AK439="",AK439=0),"",(AM439-AN439)/AK439)</f>
        <v>0</v>
      </c>
      <c r="AQ439">
        <f>IF(COUNT($E$2:$E439)&lt;20,"",MAX($C$420:$C$439))</f>
        <v>0</v>
      </c>
      <c r="AR439">
        <f>IF(COUNT($E$2:$E439)&lt;20,"",MIN($D$420:$D$439))</f>
        <v>0</v>
      </c>
      <c r="AS439">
        <f>IF(OR(AQ439="",AR439=""),"",(AQ439+AR439)/2)</f>
        <v>0</v>
      </c>
      <c r="AT439">
        <f>IF(COUNT($G$420:$G$439)&lt;20,"",STDEV($G$420:$G$439)*SQRT(52))</f>
        <v>0</v>
      </c>
      <c r="AU439">
        <f>IF(COUNT($E$2:$E439)&lt;9,"",(MAX($C$431:$C$439)+MIN($D$431:$D$439))/2)</f>
        <v>0</v>
      </c>
      <c r="AV439">
        <f>IF(COUNT($E$2:$E439)&lt;26,"",(MAX($C$414:$C$439)+MIN($D$414:$D$439))/2)</f>
        <v>0</v>
      </c>
      <c r="AW439">
        <f>IF(OR(AU439="",AV439=""),"",(AU439+AV439)/2)</f>
        <v>0</v>
      </c>
      <c r="AX439">
        <f>IF(COUNT($E$2:$E439)&lt;52,"",(MAX($C$388:$C$439)+MIN($D$388:$D$439))/2)</f>
        <v>0</v>
      </c>
      <c r="AY439">
        <f>IF(COUNT($E$2:$E439)&lt;20,"",MAX($C$340:$C$439))</f>
        <v>0</v>
      </c>
      <c r="AZ439">
        <f>IF(COUNT($E$2:$E439)&lt;20,"",MIN($D$340:$D$439))</f>
        <v>0</v>
      </c>
      <c r="BA439">
        <f>IF(COUNT($E$2:$E439)&lt;20,"",SLOPE($E$340:$E$439,$F$340:$F$439))</f>
        <v>0</v>
      </c>
      <c r="BB439">
        <f>IF(COUNT($E$2:$E439)&lt;20,"",INTERCEPT($E$340:$E$439,$F$340:$F$439))</f>
        <v>0</v>
      </c>
      <c r="BC439">
        <f>IF(OR(BA439="",BB439=""),"",BB439+BA439*F439)</f>
        <v>0</v>
      </c>
      <c r="BD439">
        <f>IF(COUNT($E$2:$E439)&lt;20,"",STEYX($E$340:$E$439,$F$340:$F$439))</f>
        <v>0</v>
      </c>
      <c r="BE439">
        <f>IF($E439="","",IF(AND(COUNT($E$440:$E$443)&gt;=4,$C439=MAX($C$435:$C$443)),$C439,""))</f>
        <v>0</v>
      </c>
      <c r="BF439">
        <f>IF($E439="","",IF(AND(COUNT($E$440:$E$443)&gt;=4,$D439=MIN($D$435:$D$443)),$D439,""))</f>
        <v>0</v>
      </c>
      <c r="BG439">
        <f>IFERROR(SMALL(Calc_Daily!$BM$2:$BM$2001,438),"")</f>
        <v>0</v>
      </c>
    </row>
    <row r="440" spans="1:59">
      <c r="A440" s="27">
        <f>IF($BG440="","",INDEX(Calc_Daily!$A$2:$A$2001,$BG440))</f>
        <v>0</v>
      </c>
      <c r="B440">
        <f>IF($BG440="","",INDEX(Calc_Daily!$BJ$2:$BJ$2001,$BG440))</f>
        <v>0</v>
      </c>
      <c r="C440">
        <f>IF($BG440="","",INDEX(Calc_Daily!$BK$2:$BK$2001,$BG440))</f>
        <v>0</v>
      </c>
      <c r="D440">
        <f>IF($BG440="","",INDEX(Calc_Daily!$BL$2:$BL$2001,$BG440))</f>
        <v>0</v>
      </c>
      <c r="E440">
        <f>IF($BG440="","",INDEX(Calc_Daily!$E$2:$E$2001,$BG440))</f>
        <v>0</v>
      </c>
      <c r="F440">
        <f>IF($E440="","",N(F439)+1)</f>
        <v>0</v>
      </c>
      <c r="G440">
        <f>IF(OR($E440="",$E439=""),"",LN($E440/$E439))</f>
        <v>0</v>
      </c>
      <c r="H440">
        <f>IF($E440="","",IF($E439="",$E440,$E440*0.0952380952+H439*0.9047619048))</f>
        <v>0</v>
      </c>
      <c r="I440">
        <f>IF($E440="","",IF($E439="",$E440,$E440*0.0392156863+I439*0.9607843137))</f>
        <v>0</v>
      </c>
      <c r="J440">
        <f>IF($E440="","",IF($E439="",$E440,$E440*0.0198019802+J439*0.9801980198))</f>
        <v>0</v>
      </c>
      <c r="K440">
        <f>IF($E440="","",IF($E439="",$E440,$E440*0.0099502488+K439*0.9900497512))</f>
        <v>0</v>
      </c>
      <c r="L440">
        <f>IF(OR($E440="",$E439=""),"",MAX($E440-$E439,0))</f>
        <v>0</v>
      </c>
      <c r="M440">
        <f>IF(OR($E440="",$E439=""),"",MAX($E439-$E440,0))</f>
        <v>0</v>
      </c>
      <c r="N440">
        <f>IF(COUNT($E$2:$E440)&lt;15,"",IF(AVERAGE($M$427:$M$440)=0,100,100-100/(1+AVERAGE($L$427:$L$440)/AVERAGE($M$427:$M$440))))</f>
        <v>0</v>
      </c>
      <c r="O440">
        <f>IF($E440="","",IF($E439="",$E440,$E440*0.1538461538+O439*0.8461538462))</f>
        <v>0</v>
      </c>
      <c r="P440">
        <f>IF($E440="","",IF($E439="",$E440,$E440*0.0740740741+P439*0.9259259259))</f>
        <v>0</v>
      </c>
      <c r="Q440">
        <f>IF(OR(O440="",P440=""),"",O440-P440)</f>
        <v>0</v>
      </c>
      <c r="R440">
        <f>IF(Q440="","",IF(R439="",Q440,Q440*0.2000000000+R439*0.8000000000))</f>
        <v>0</v>
      </c>
      <c r="S440">
        <f>IF(OR(Q440="",R440=""),"",Q440-R440)</f>
        <v>0</v>
      </c>
      <c r="T440">
        <f>IF(COUNT($E$2:$E440)&lt;14,"",MAX($C$427:$C$440))</f>
        <v>0</v>
      </c>
      <c r="U440">
        <f>IF(COUNT($E$2:$E440)&lt;14,"",MIN($D$427:$D$440))</f>
        <v>0</v>
      </c>
      <c r="V440">
        <f>IF(OR(T440="",U440="",T440=U440),"",100*($E440-U440)/(T440-U440))</f>
        <v>0</v>
      </c>
      <c r="W440">
        <f>IF(COUNT($V$438:$V$440)&lt;3,"",AVERAGE($V$438:$V$440))</f>
        <v>0</v>
      </c>
      <c r="X440">
        <f>IF(COUNT($N$427:$N$440)&lt;14,"",MIN($N$427:$N$440))</f>
        <v>0</v>
      </c>
      <c r="Y440">
        <f>IF(COUNT($N$427:$N$440)&lt;14,"",MAX($N$427:$N$440))</f>
        <v>0</v>
      </c>
      <c r="Z440">
        <f>IF(OR(N440="",X440="",Y440="",Y440=X440),"",100*(N440-X440)/(Y440-X440))</f>
        <v>0</v>
      </c>
      <c r="AA440">
        <f>IF(COUNT($Z$438:$Z$440)&lt;3,"",AVERAGE($Z$438:$Z$440))</f>
        <v>0</v>
      </c>
      <c r="AB440">
        <f>IF(COUNT($AA$438:$AA$440)&lt;3,"",AVERAGE($AA$438:$AA$440))</f>
        <v>0</v>
      </c>
      <c r="AC440">
        <f>IF($E440="","",MAX($C440-$D440,ABS($C440-$E439),ABS($D440-$E439)))</f>
        <v>0</v>
      </c>
      <c r="AD440">
        <f>IF(COUNT($E$2:$E440)&lt;15,"",AVERAGE($AC$427:$AC$440))</f>
        <v>0</v>
      </c>
      <c r="AE440">
        <f>IF(OR($E440="",$E439=""),"",IF(AND(($C440-$C439)&gt;($D439-$D440),($C440-$C439)&gt;0),$C440-$C439,0))</f>
        <v>0</v>
      </c>
      <c r="AF440">
        <f>IF(OR($E440="",$E439=""),"",IF(AND(($D439-$D440)&gt;($C440-$C439),($D439-$D440)&gt;0),$D439-$D440,0))</f>
        <v>0</v>
      </c>
      <c r="AG440">
        <f>IF(COUNT($E$2:$E440)&lt;15,"",IF(SUM($AC$427:$AC$440)=0,0,100*SUM($AE$427:$AE$440)/SUM($AC$427:$AC$440)))</f>
        <v>0</v>
      </c>
      <c r="AH440">
        <f>IF(COUNT($E$2:$E440)&lt;15,"",IF(SUM($AC$427:$AC$440)=0,0,100*SUM($AF$427:$AF$440)/SUM($AC$427:$AC$440)))</f>
        <v>0</v>
      </c>
      <c r="AI440">
        <f>IF(OR(AG440="",AH440=""),"",IF((AG440+AH440)=0,0,100*ABS(AG440-AH440)/(AG440+AH440)))</f>
        <v>0</v>
      </c>
      <c r="AJ440">
        <f>IF(COUNT($AI$427:$AI$440)&lt;14,"",AVERAGE($AI$427:$AI$440))</f>
        <v>0</v>
      </c>
      <c r="AK440">
        <f>IF(COUNT($E$2:$E440)&lt;20,"",AVERAGE($E$421:$E$440))</f>
        <v>0</v>
      </c>
      <c r="AL440">
        <f>IF(COUNT($E$2:$E440)&lt;20,"",STDEVP($E$421:$E$440))</f>
        <v>0</v>
      </c>
      <c r="AM440">
        <f>IF(AK440="","",AK440+2*AL440)</f>
        <v>0</v>
      </c>
      <c r="AN440">
        <f>IF(AK440="","",AK440-2*AL440)</f>
        <v>0</v>
      </c>
      <c r="AO440">
        <f>IF(OR(AM440="",AN440="",AM440=AN440),"",($E440-AN440)/(AM440-AN440))</f>
        <v>0</v>
      </c>
      <c r="AP440">
        <f>IF(OR(AM440="",AK440="",AK440=0),"",(AM440-AN440)/AK440)</f>
        <v>0</v>
      </c>
      <c r="AQ440">
        <f>IF(COUNT($E$2:$E440)&lt;20,"",MAX($C$421:$C$440))</f>
        <v>0</v>
      </c>
      <c r="AR440">
        <f>IF(COUNT($E$2:$E440)&lt;20,"",MIN($D$421:$D$440))</f>
        <v>0</v>
      </c>
      <c r="AS440">
        <f>IF(OR(AQ440="",AR440=""),"",(AQ440+AR440)/2)</f>
        <v>0</v>
      </c>
      <c r="AT440">
        <f>IF(COUNT($G$421:$G$440)&lt;20,"",STDEV($G$421:$G$440)*SQRT(52))</f>
        <v>0</v>
      </c>
      <c r="AU440">
        <f>IF(COUNT($E$2:$E440)&lt;9,"",(MAX($C$432:$C$440)+MIN($D$432:$D$440))/2)</f>
        <v>0</v>
      </c>
      <c r="AV440">
        <f>IF(COUNT($E$2:$E440)&lt;26,"",(MAX($C$415:$C$440)+MIN($D$415:$D$440))/2)</f>
        <v>0</v>
      </c>
      <c r="AW440">
        <f>IF(OR(AU440="",AV440=""),"",(AU440+AV440)/2)</f>
        <v>0</v>
      </c>
      <c r="AX440">
        <f>IF(COUNT($E$2:$E440)&lt;52,"",(MAX($C$389:$C$440)+MIN($D$389:$D$440))/2)</f>
        <v>0</v>
      </c>
      <c r="AY440">
        <f>IF(COUNT($E$2:$E440)&lt;20,"",MAX($C$341:$C$440))</f>
        <v>0</v>
      </c>
      <c r="AZ440">
        <f>IF(COUNT($E$2:$E440)&lt;20,"",MIN($D$341:$D$440))</f>
        <v>0</v>
      </c>
      <c r="BA440">
        <f>IF(COUNT($E$2:$E440)&lt;20,"",SLOPE($E$341:$E$440,$F$341:$F$440))</f>
        <v>0</v>
      </c>
      <c r="BB440">
        <f>IF(COUNT($E$2:$E440)&lt;20,"",INTERCEPT($E$341:$E$440,$F$341:$F$440))</f>
        <v>0</v>
      </c>
      <c r="BC440">
        <f>IF(OR(BA440="",BB440=""),"",BB440+BA440*F440)</f>
        <v>0</v>
      </c>
      <c r="BD440">
        <f>IF(COUNT($E$2:$E440)&lt;20,"",STEYX($E$341:$E$440,$F$341:$F$440))</f>
        <v>0</v>
      </c>
      <c r="BE440">
        <f>IF($E440="","",IF(AND(COUNT($E$441:$E$444)&gt;=4,$C440=MAX($C$436:$C$444)),$C440,""))</f>
        <v>0</v>
      </c>
      <c r="BF440">
        <f>IF($E440="","",IF(AND(COUNT($E$441:$E$444)&gt;=4,$D440=MIN($D$436:$D$444)),$D440,""))</f>
        <v>0</v>
      </c>
      <c r="BG440">
        <f>IFERROR(SMALL(Calc_Daily!$BM$2:$BM$2001,439),"")</f>
        <v>0</v>
      </c>
    </row>
    <row r="441" spans="1:59">
      <c r="A441" s="27">
        <f>IF($BG441="","",INDEX(Calc_Daily!$A$2:$A$2001,$BG441))</f>
        <v>0</v>
      </c>
      <c r="B441">
        <f>IF($BG441="","",INDEX(Calc_Daily!$BJ$2:$BJ$2001,$BG441))</f>
        <v>0</v>
      </c>
      <c r="C441">
        <f>IF($BG441="","",INDEX(Calc_Daily!$BK$2:$BK$2001,$BG441))</f>
        <v>0</v>
      </c>
      <c r="D441">
        <f>IF($BG441="","",INDEX(Calc_Daily!$BL$2:$BL$2001,$BG441))</f>
        <v>0</v>
      </c>
      <c r="E441">
        <f>IF($BG441="","",INDEX(Calc_Daily!$E$2:$E$2001,$BG441))</f>
        <v>0</v>
      </c>
      <c r="F441">
        <f>IF($E441="","",N(F440)+1)</f>
        <v>0</v>
      </c>
      <c r="G441">
        <f>IF(OR($E441="",$E440=""),"",LN($E441/$E440))</f>
        <v>0</v>
      </c>
      <c r="H441">
        <f>IF($E441="","",IF($E440="",$E441,$E441*0.0952380952+H440*0.9047619048))</f>
        <v>0</v>
      </c>
      <c r="I441">
        <f>IF($E441="","",IF($E440="",$E441,$E441*0.0392156863+I440*0.9607843137))</f>
        <v>0</v>
      </c>
      <c r="J441">
        <f>IF($E441="","",IF($E440="",$E441,$E441*0.0198019802+J440*0.9801980198))</f>
        <v>0</v>
      </c>
      <c r="K441">
        <f>IF($E441="","",IF($E440="",$E441,$E441*0.0099502488+K440*0.9900497512))</f>
        <v>0</v>
      </c>
      <c r="L441">
        <f>IF(OR($E441="",$E440=""),"",MAX($E441-$E440,0))</f>
        <v>0</v>
      </c>
      <c r="M441">
        <f>IF(OR($E441="",$E440=""),"",MAX($E440-$E441,0))</f>
        <v>0</v>
      </c>
      <c r="N441">
        <f>IF(COUNT($E$2:$E441)&lt;15,"",IF(AVERAGE($M$428:$M$441)=0,100,100-100/(1+AVERAGE($L$428:$L$441)/AVERAGE($M$428:$M$441))))</f>
        <v>0</v>
      </c>
      <c r="O441">
        <f>IF($E441="","",IF($E440="",$E441,$E441*0.1538461538+O440*0.8461538462))</f>
        <v>0</v>
      </c>
      <c r="P441">
        <f>IF($E441="","",IF($E440="",$E441,$E441*0.0740740741+P440*0.9259259259))</f>
        <v>0</v>
      </c>
      <c r="Q441">
        <f>IF(OR(O441="",P441=""),"",O441-P441)</f>
        <v>0</v>
      </c>
      <c r="R441">
        <f>IF(Q441="","",IF(R440="",Q441,Q441*0.2000000000+R440*0.8000000000))</f>
        <v>0</v>
      </c>
      <c r="S441">
        <f>IF(OR(Q441="",R441=""),"",Q441-R441)</f>
        <v>0</v>
      </c>
      <c r="T441">
        <f>IF(COUNT($E$2:$E441)&lt;14,"",MAX($C$428:$C$441))</f>
        <v>0</v>
      </c>
      <c r="U441">
        <f>IF(COUNT($E$2:$E441)&lt;14,"",MIN($D$428:$D$441))</f>
        <v>0</v>
      </c>
      <c r="V441">
        <f>IF(OR(T441="",U441="",T441=U441),"",100*($E441-U441)/(T441-U441))</f>
        <v>0</v>
      </c>
      <c r="W441">
        <f>IF(COUNT($V$439:$V$441)&lt;3,"",AVERAGE($V$439:$V$441))</f>
        <v>0</v>
      </c>
      <c r="X441">
        <f>IF(COUNT($N$428:$N$441)&lt;14,"",MIN($N$428:$N$441))</f>
        <v>0</v>
      </c>
      <c r="Y441">
        <f>IF(COUNT($N$428:$N$441)&lt;14,"",MAX($N$428:$N$441))</f>
        <v>0</v>
      </c>
      <c r="Z441">
        <f>IF(OR(N441="",X441="",Y441="",Y441=X441),"",100*(N441-X441)/(Y441-X441))</f>
        <v>0</v>
      </c>
      <c r="AA441">
        <f>IF(COUNT($Z$439:$Z$441)&lt;3,"",AVERAGE($Z$439:$Z$441))</f>
        <v>0</v>
      </c>
      <c r="AB441">
        <f>IF(COUNT($AA$439:$AA$441)&lt;3,"",AVERAGE($AA$439:$AA$441))</f>
        <v>0</v>
      </c>
      <c r="AC441">
        <f>IF($E441="","",MAX($C441-$D441,ABS($C441-$E440),ABS($D441-$E440)))</f>
        <v>0</v>
      </c>
      <c r="AD441">
        <f>IF(COUNT($E$2:$E441)&lt;15,"",AVERAGE($AC$428:$AC$441))</f>
        <v>0</v>
      </c>
      <c r="AE441">
        <f>IF(OR($E441="",$E440=""),"",IF(AND(($C441-$C440)&gt;($D440-$D441),($C441-$C440)&gt;0),$C441-$C440,0))</f>
        <v>0</v>
      </c>
      <c r="AF441">
        <f>IF(OR($E441="",$E440=""),"",IF(AND(($D440-$D441)&gt;($C441-$C440),($D440-$D441)&gt;0),$D440-$D441,0))</f>
        <v>0</v>
      </c>
      <c r="AG441">
        <f>IF(COUNT($E$2:$E441)&lt;15,"",IF(SUM($AC$428:$AC$441)=0,0,100*SUM($AE$428:$AE$441)/SUM($AC$428:$AC$441)))</f>
        <v>0</v>
      </c>
      <c r="AH441">
        <f>IF(COUNT($E$2:$E441)&lt;15,"",IF(SUM($AC$428:$AC$441)=0,0,100*SUM($AF$428:$AF$441)/SUM($AC$428:$AC$441)))</f>
        <v>0</v>
      </c>
      <c r="AI441">
        <f>IF(OR(AG441="",AH441=""),"",IF((AG441+AH441)=0,0,100*ABS(AG441-AH441)/(AG441+AH441)))</f>
        <v>0</v>
      </c>
      <c r="AJ441">
        <f>IF(COUNT($AI$428:$AI$441)&lt;14,"",AVERAGE($AI$428:$AI$441))</f>
        <v>0</v>
      </c>
      <c r="AK441">
        <f>IF(COUNT($E$2:$E441)&lt;20,"",AVERAGE($E$422:$E$441))</f>
        <v>0</v>
      </c>
      <c r="AL441">
        <f>IF(COUNT($E$2:$E441)&lt;20,"",STDEVP($E$422:$E$441))</f>
        <v>0</v>
      </c>
      <c r="AM441">
        <f>IF(AK441="","",AK441+2*AL441)</f>
        <v>0</v>
      </c>
      <c r="AN441">
        <f>IF(AK441="","",AK441-2*AL441)</f>
        <v>0</v>
      </c>
      <c r="AO441">
        <f>IF(OR(AM441="",AN441="",AM441=AN441),"",($E441-AN441)/(AM441-AN441))</f>
        <v>0</v>
      </c>
      <c r="AP441">
        <f>IF(OR(AM441="",AK441="",AK441=0),"",(AM441-AN441)/AK441)</f>
        <v>0</v>
      </c>
      <c r="AQ441">
        <f>IF(COUNT($E$2:$E441)&lt;20,"",MAX($C$422:$C$441))</f>
        <v>0</v>
      </c>
      <c r="AR441">
        <f>IF(COUNT($E$2:$E441)&lt;20,"",MIN($D$422:$D$441))</f>
        <v>0</v>
      </c>
      <c r="AS441">
        <f>IF(OR(AQ441="",AR441=""),"",(AQ441+AR441)/2)</f>
        <v>0</v>
      </c>
      <c r="AT441">
        <f>IF(COUNT($G$422:$G$441)&lt;20,"",STDEV($G$422:$G$441)*SQRT(52))</f>
        <v>0</v>
      </c>
      <c r="AU441">
        <f>IF(COUNT($E$2:$E441)&lt;9,"",(MAX($C$433:$C$441)+MIN($D$433:$D$441))/2)</f>
        <v>0</v>
      </c>
      <c r="AV441">
        <f>IF(COUNT($E$2:$E441)&lt;26,"",(MAX($C$416:$C$441)+MIN($D$416:$D$441))/2)</f>
        <v>0</v>
      </c>
      <c r="AW441">
        <f>IF(OR(AU441="",AV441=""),"",(AU441+AV441)/2)</f>
        <v>0</v>
      </c>
      <c r="AX441">
        <f>IF(COUNT($E$2:$E441)&lt;52,"",(MAX($C$390:$C$441)+MIN($D$390:$D$441))/2)</f>
        <v>0</v>
      </c>
      <c r="AY441">
        <f>IF(COUNT($E$2:$E441)&lt;20,"",MAX($C$342:$C$441))</f>
        <v>0</v>
      </c>
      <c r="AZ441">
        <f>IF(COUNT($E$2:$E441)&lt;20,"",MIN($D$342:$D$441))</f>
        <v>0</v>
      </c>
      <c r="BA441">
        <f>IF(COUNT($E$2:$E441)&lt;20,"",SLOPE($E$342:$E$441,$F$342:$F$441))</f>
        <v>0</v>
      </c>
      <c r="BB441">
        <f>IF(COUNT($E$2:$E441)&lt;20,"",INTERCEPT($E$342:$E$441,$F$342:$F$441))</f>
        <v>0</v>
      </c>
      <c r="BC441">
        <f>IF(OR(BA441="",BB441=""),"",BB441+BA441*F441)</f>
        <v>0</v>
      </c>
      <c r="BD441">
        <f>IF(COUNT($E$2:$E441)&lt;20,"",STEYX($E$342:$E$441,$F$342:$F$441))</f>
        <v>0</v>
      </c>
      <c r="BE441">
        <f>IF($E441="","",IF(AND(COUNT($E$442:$E$445)&gt;=4,$C441=MAX($C$437:$C$445)),$C441,""))</f>
        <v>0</v>
      </c>
      <c r="BF441">
        <f>IF($E441="","",IF(AND(COUNT($E$442:$E$445)&gt;=4,$D441=MIN($D$437:$D$445)),$D441,""))</f>
        <v>0</v>
      </c>
      <c r="BG441">
        <f>IFERROR(SMALL(Calc_Daily!$BM$2:$BM$2001,440),"")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BG121"/>
  <sheetViews>
    <sheetView workbookViewId="0"/>
  </sheetViews>
  <sheetFormatPr defaultRowHeight="15"/>
  <sheetData>
    <row r="2" spans="1:59">
      <c r="A2" s="27">
        <f>IF($BG2="","",INDEX(Calc_Daily!$A$2:$A$2001,$BG2))</f>
        <v>0</v>
      </c>
      <c r="B2">
        <f>IF($BG2="","",INDEX(Calc_Daily!$BQ$2:$BQ$2001,$BG2))</f>
        <v>0</v>
      </c>
      <c r="C2">
        <f>IF($BG2="","",INDEX(Calc_Daily!$BR$2:$BR$2001,$BG2))</f>
        <v>0</v>
      </c>
      <c r="D2">
        <f>IF($BG2="","",INDEX(Calc_Daily!$BS$2:$BS$2001,$BG2))</f>
        <v>0</v>
      </c>
      <c r="E2">
        <f>IF($BG2="","",INDEX(Calc_Daily!$E$2:$E$2001,$BG2))</f>
        <v>0</v>
      </c>
      <c r="F2">
        <f>IF($E2="","",N(F1)+1)</f>
        <v>0</v>
      </c>
      <c r="G2">
        <f>""</f>
        <v>0</v>
      </c>
      <c r="H2">
        <f>IF($E2="","",$E2)</f>
        <v>0</v>
      </c>
      <c r="I2">
        <f>IF($E2="","",$E2)</f>
        <v>0</v>
      </c>
      <c r="J2">
        <f>IF($E2="","",$E2)</f>
        <v>0</v>
      </c>
      <c r="K2">
        <f>IF($E2="","",$E2)</f>
        <v>0</v>
      </c>
      <c r="L2">
        <f>""</f>
        <v>0</v>
      </c>
      <c r="M2">
        <f>""</f>
        <v>0</v>
      </c>
      <c r="N2">
        <f>IF(COUNT($E$2:$E2)&lt;15,"",IF(AVERAGE($M$2:$M$2)=0,100,100-100/(1+AVERAGE($L$2:$L$2)/AVERAGE($M$2:$M$2))))</f>
        <v>0</v>
      </c>
      <c r="O2">
        <f>IF($E2="","",$E2)</f>
        <v>0</v>
      </c>
      <c r="P2">
        <f>IF($E2="","",$E2)</f>
        <v>0</v>
      </c>
      <c r="Q2">
        <f>IF(OR(O2="",P2=""),"",O2-P2)</f>
        <v>0</v>
      </c>
      <c r="R2">
        <f>IF(Q2="","",Q2)</f>
        <v>0</v>
      </c>
      <c r="S2">
        <f>IF(OR(Q2="",R2=""),"",Q2-R2)</f>
        <v>0</v>
      </c>
      <c r="T2">
        <f>IF(COUNT($E$2:$E2)&lt;14,"",MAX($C$2:$C$2))</f>
        <v>0</v>
      </c>
      <c r="U2">
        <f>IF(COUNT($E$2:$E2)&lt;14,"",MIN($D$2:$D$2))</f>
        <v>0</v>
      </c>
      <c r="V2">
        <f>IF(OR(T2="",U2="",T2=U2),"",100*($E2-U2)/(T2-U2))</f>
        <v>0</v>
      </c>
      <c r="W2">
        <f>IF(COUNT($V$2:$V$2)&lt;3,"",AVERAGE($V$2:$V$2))</f>
        <v>0</v>
      </c>
      <c r="X2">
        <f>IF(COUNT($N$2:$N$2)&lt;14,"",MIN($N$2:$N$2))</f>
        <v>0</v>
      </c>
      <c r="Y2">
        <f>IF(COUNT($N$2:$N$2)&lt;14,"",MAX($N$2:$N$2))</f>
        <v>0</v>
      </c>
      <c r="Z2">
        <f>IF(OR(N2="",X2="",Y2="",Y2=X2),"",100*(N2-X2)/(Y2-X2))</f>
        <v>0</v>
      </c>
      <c r="AA2">
        <f>IF(COUNT($Z$2:$Z$2)&lt;3,"",AVERAGE($Z$2:$Z$2))</f>
        <v>0</v>
      </c>
      <c r="AB2">
        <f>IF(COUNT($AA$2:$AA$2)&lt;3,"",AVERAGE($AA$2:$AA$2))</f>
        <v>0</v>
      </c>
      <c r="AC2">
        <f>IF($E2="","",$C2-$D2)</f>
        <v>0</v>
      </c>
      <c r="AD2">
        <f>IF(COUNT($E$2:$E2)&lt;15,"",AVERAGE($AC$2:$AC$2))</f>
        <v>0</v>
      </c>
      <c r="AE2">
        <f>IF($E2="","",0)</f>
        <v>0</v>
      </c>
      <c r="AF2">
        <f>IF($E2="","",0)</f>
        <v>0</v>
      </c>
      <c r="AG2">
        <f>IF(COUNT($E$2:$E2)&lt;15,"",IF(SUM($AC$2:$AC$2)=0,0,100*SUM($AE$2:$AE$2)/SUM($AC$2:$AC$2)))</f>
        <v>0</v>
      </c>
      <c r="AH2">
        <f>IF(COUNT($E$2:$E2)&lt;15,"",IF(SUM($AC$2:$AC$2)=0,0,100*SUM($AF$2:$AF$2)/SUM($AC$2:$AC$2)))</f>
        <v>0</v>
      </c>
      <c r="AI2">
        <f>IF(OR(AG2="",AH2=""),"",IF((AG2+AH2)=0,0,100*ABS(AG2-AH2)/(AG2+AH2)))</f>
        <v>0</v>
      </c>
      <c r="AJ2">
        <f>IF(COUNT($AI$2:$AI$2)&lt;14,"",AVERAGE($AI$2:$AI$2))</f>
        <v>0</v>
      </c>
      <c r="AK2">
        <f>IF(COUNT($E$2:$E2)&lt;20,"",AVERAGE($E$2:$E$2))</f>
        <v>0</v>
      </c>
      <c r="AL2">
        <f>IF(COUNT($E$2:$E2)&lt;20,"",STDEVP($E$2:$E$2))</f>
        <v>0</v>
      </c>
      <c r="AM2">
        <f>IF(AK2="","",AK2+2*AL2)</f>
        <v>0</v>
      </c>
      <c r="AN2">
        <f>IF(AK2="","",AK2-2*AL2)</f>
        <v>0</v>
      </c>
      <c r="AO2">
        <f>IF(OR(AM2="",AN2="",AM2=AN2),"",($E2-AN2)/(AM2-AN2))</f>
        <v>0</v>
      </c>
      <c r="AP2">
        <f>IF(OR(AM2="",AK2="",AK2=0),"",(AM2-AN2)/AK2)</f>
        <v>0</v>
      </c>
      <c r="AQ2">
        <f>IF(COUNT($E$2:$E2)&lt;20,"",MAX($C$2:$C$2))</f>
        <v>0</v>
      </c>
      <c r="AR2">
        <f>IF(COUNT($E$2:$E2)&lt;20,"",MIN($D$2:$D$2))</f>
        <v>0</v>
      </c>
      <c r="AS2">
        <f>IF(OR(AQ2="",AR2=""),"",(AQ2+AR2)/2)</f>
        <v>0</v>
      </c>
      <c r="AT2">
        <f>IF(COUNT($G$2:$G$2)&lt;20,"",STDEV($G$2:$G$2)*SQRT(12))</f>
        <v>0</v>
      </c>
      <c r="AU2">
        <f>IF(COUNT($E$2:$E2)&lt;9,"",(MAX($C$2:$C$2)+MIN($D$2:$D$2))/2)</f>
        <v>0</v>
      </c>
      <c r="AV2">
        <f>IF(COUNT($E$2:$E2)&lt;26,"",(MAX($C$2:$C$2)+MIN($D$2:$D$2))/2)</f>
        <v>0</v>
      </c>
      <c r="AW2">
        <f>IF(OR(AU2="",AV2=""),"",(AU2+AV2)/2)</f>
        <v>0</v>
      </c>
      <c r="AX2">
        <f>IF(COUNT($E$2:$E2)&lt;52,"",(MAX($C$2:$C$2)+MIN($D$2:$D$2))/2)</f>
        <v>0</v>
      </c>
      <c r="AY2">
        <f>IF(COUNT($E$2:$E2)&lt;20,"",MAX($C$2:$C$2))</f>
        <v>0</v>
      </c>
      <c r="AZ2">
        <f>IF(COUNT($E$2:$E2)&lt;20,"",MIN($D$2:$D$2))</f>
        <v>0</v>
      </c>
      <c r="BA2">
        <f>IF(COUNT($E$2:$E2)&lt;20,"",SLOPE($E$2:$E$2,$F$2:$F$2))</f>
        <v>0</v>
      </c>
      <c r="BB2">
        <f>IF(COUNT($E$2:$E2)&lt;20,"",INTERCEPT($E$2:$E$2,$F$2:$F$2))</f>
        <v>0</v>
      </c>
      <c r="BC2">
        <f>IF(OR(BA2="",BB2=""),"",BB2+BA2*F2)</f>
        <v>0</v>
      </c>
      <c r="BD2">
        <f>IF(COUNT($E$2:$E2)&lt;20,"",STEYX($E$2:$E$2,$F$2:$F$2))</f>
        <v>0</v>
      </c>
      <c r="BE2">
        <f>""</f>
        <v>0</v>
      </c>
      <c r="BF2">
        <f>""</f>
        <v>0</v>
      </c>
      <c r="BG2">
        <f>IFERROR(SMALL(Calc_Daily!$BT$2:$BT$2001,1),"")</f>
        <v>0</v>
      </c>
    </row>
    <row r="3" spans="1:59">
      <c r="A3" s="27">
        <f>IF($BG3="","",INDEX(Calc_Daily!$A$2:$A$2001,$BG3))</f>
        <v>0</v>
      </c>
      <c r="B3">
        <f>IF($BG3="","",INDEX(Calc_Daily!$BQ$2:$BQ$2001,$BG3))</f>
        <v>0</v>
      </c>
      <c r="C3">
        <f>IF($BG3="","",INDEX(Calc_Daily!$BR$2:$BR$2001,$BG3))</f>
        <v>0</v>
      </c>
      <c r="D3">
        <f>IF($BG3="","",INDEX(Calc_Daily!$BS$2:$BS$2001,$BG3))</f>
        <v>0</v>
      </c>
      <c r="E3">
        <f>IF($BG3="","",INDEX(Calc_Daily!$E$2:$E$2001,$BG3))</f>
        <v>0</v>
      </c>
      <c r="F3">
        <f>IF($E3="","",N(F2)+1)</f>
        <v>0</v>
      </c>
      <c r="G3">
        <f>IF(OR($E3="",$E2=""),"",LN($E3/$E2))</f>
        <v>0</v>
      </c>
      <c r="H3">
        <f>IF($E3="","",IF($E2="",$E3,$E3*0.0952380952+H2*0.9047619048))</f>
        <v>0</v>
      </c>
      <c r="I3">
        <f>IF($E3="","",IF($E2="",$E3,$E3*0.0392156863+I2*0.9607843137))</f>
        <v>0</v>
      </c>
      <c r="J3">
        <f>IF($E3="","",IF($E2="",$E3,$E3*0.0198019802+J2*0.9801980198))</f>
        <v>0</v>
      </c>
      <c r="K3">
        <f>IF($E3="","",IF($E2="",$E3,$E3*0.0099502488+K2*0.9900497512))</f>
        <v>0</v>
      </c>
      <c r="L3">
        <f>IF(OR($E3="",$E2=""),"",MAX($E3-$E2,0))</f>
        <v>0</v>
      </c>
      <c r="M3">
        <f>IF(OR($E3="",$E2=""),"",MAX($E2-$E3,0))</f>
        <v>0</v>
      </c>
      <c r="N3">
        <f>IF(COUNT($E$2:$E3)&lt;15,"",IF(AVERAGE($M$2:$M$3)=0,100,100-100/(1+AVERAGE($L$2:$L$3)/AVERAGE($M$2:$M$3))))</f>
        <v>0</v>
      </c>
      <c r="O3">
        <f>IF($E3="","",IF($E2="",$E3,$E3*0.1538461538+O2*0.8461538462))</f>
        <v>0</v>
      </c>
      <c r="P3">
        <f>IF($E3="","",IF($E2="",$E3,$E3*0.0740740741+P2*0.9259259259))</f>
        <v>0</v>
      </c>
      <c r="Q3">
        <f>IF(OR(O3="",P3=""),"",O3-P3)</f>
        <v>0</v>
      </c>
      <c r="R3">
        <f>IF(Q3="","",IF(R2="",Q3,Q3*0.2000000000+R2*0.8000000000))</f>
        <v>0</v>
      </c>
      <c r="S3">
        <f>IF(OR(Q3="",R3=""),"",Q3-R3)</f>
        <v>0</v>
      </c>
      <c r="T3">
        <f>IF(COUNT($E$2:$E3)&lt;14,"",MAX($C$2:$C$3))</f>
        <v>0</v>
      </c>
      <c r="U3">
        <f>IF(COUNT($E$2:$E3)&lt;14,"",MIN($D$2:$D$3))</f>
        <v>0</v>
      </c>
      <c r="V3">
        <f>IF(OR(T3="",U3="",T3=U3),"",100*($E3-U3)/(T3-U3))</f>
        <v>0</v>
      </c>
      <c r="W3">
        <f>IF(COUNT($V$2:$V$3)&lt;3,"",AVERAGE($V$2:$V$3))</f>
        <v>0</v>
      </c>
      <c r="X3">
        <f>IF(COUNT($N$2:$N$3)&lt;14,"",MIN($N$2:$N$3))</f>
        <v>0</v>
      </c>
      <c r="Y3">
        <f>IF(COUNT($N$2:$N$3)&lt;14,"",MAX($N$2:$N$3))</f>
        <v>0</v>
      </c>
      <c r="Z3">
        <f>IF(OR(N3="",X3="",Y3="",Y3=X3),"",100*(N3-X3)/(Y3-X3))</f>
        <v>0</v>
      </c>
      <c r="AA3">
        <f>IF(COUNT($Z$2:$Z$3)&lt;3,"",AVERAGE($Z$2:$Z$3))</f>
        <v>0</v>
      </c>
      <c r="AB3">
        <f>IF(COUNT($AA$2:$AA$3)&lt;3,"",AVERAGE($AA$2:$AA$3))</f>
        <v>0</v>
      </c>
      <c r="AC3">
        <f>IF($E3="","",MAX($C3-$D3,ABS($C3-$E2),ABS($D3-$E2)))</f>
        <v>0</v>
      </c>
      <c r="AD3">
        <f>IF(COUNT($E$2:$E3)&lt;15,"",AVERAGE($AC$2:$AC$3))</f>
        <v>0</v>
      </c>
      <c r="AE3">
        <f>IF(OR($E3="",$E2=""),"",IF(AND(($C3-$C2)&gt;($D2-$D3),($C3-$C2)&gt;0),$C3-$C2,0))</f>
        <v>0</v>
      </c>
      <c r="AF3">
        <f>IF(OR($E3="",$E2=""),"",IF(AND(($D2-$D3)&gt;($C3-$C2),($D2-$D3)&gt;0),$D2-$D3,0))</f>
        <v>0</v>
      </c>
      <c r="AG3">
        <f>IF(COUNT($E$2:$E3)&lt;15,"",IF(SUM($AC$2:$AC$3)=0,0,100*SUM($AE$2:$AE$3)/SUM($AC$2:$AC$3)))</f>
        <v>0</v>
      </c>
      <c r="AH3">
        <f>IF(COUNT($E$2:$E3)&lt;15,"",IF(SUM($AC$2:$AC$3)=0,0,100*SUM($AF$2:$AF$3)/SUM($AC$2:$AC$3)))</f>
        <v>0</v>
      </c>
      <c r="AI3">
        <f>IF(OR(AG3="",AH3=""),"",IF((AG3+AH3)=0,0,100*ABS(AG3-AH3)/(AG3+AH3)))</f>
        <v>0</v>
      </c>
      <c r="AJ3">
        <f>IF(COUNT($AI$2:$AI$3)&lt;14,"",AVERAGE($AI$2:$AI$3))</f>
        <v>0</v>
      </c>
      <c r="AK3">
        <f>IF(COUNT($E$2:$E3)&lt;20,"",AVERAGE($E$2:$E$3))</f>
        <v>0</v>
      </c>
      <c r="AL3">
        <f>IF(COUNT($E$2:$E3)&lt;20,"",STDEVP($E$2:$E$3))</f>
        <v>0</v>
      </c>
      <c r="AM3">
        <f>IF(AK3="","",AK3+2*AL3)</f>
        <v>0</v>
      </c>
      <c r="AN3">
        <f>IF(AK3="","",AK3-2*AL3)</f>
        <v>0</v>
      </c>
      <c r="AO3">
        <f>IF(OR(AM3="",AN3="",AM3=AN3),"",($E3-AN3)/(AM3-AN3))</f>
        <v>0</v>
      </c>
      <c r="AP3">
        <f>IF(OR(AM3="",AK3="",AK3=0),"",(AM3-AN3)/AK3)</f>
        <v>0</v>
      </c>
      <c r="AQ3">
        <f>IF(COUNT($E$2:$E3)&lt;20,"",MAX($C$2:$C$3))</f>
        <v>0</v>
      </c>
      <c r="AR3">
        <f>IF(COUNT($E$2:$E3)&lt;20,"",MIN($D$2:$D$3))</f>
        <v>0</v>
      </c>
      <c r="AS3">
        <f>IF(OR(AQ3="",AR3=""),"",(AQ3+AR3)/2)</f>
        <v>0</v>
      </c>
      <c r="AT3">
        <f>IF(COUNT($G$2:$G$3)&lt;20,"",STDEV($G$2:$G$3)*SQRT(12))</f>
        <v>0</v>
      </c>
      <c r="AU3">
        <f>IF(COUNT($E$2:$E3)&lt;9,"",(MAX($C$2:$C$3)+MIN($D$2:$D$3))/2)</f>
        <v>0</v>
      </c>
      <c r="AV3">
        <f>IF(COUNT($E$2:$E3)&lt;26,"",(MAX($C$2:$C$3)+MIN($D$2:$D$3))/2)</f>
        <v>0</v>
      </c>
      <c r="AW3">
        <f>IF(OR(AU3="",AV3=""),"",(AU3+AV3)/2)</f>
        <v>0</v>
      </c>
      <c r="AX3">
        <f>IF(COUNT($E$2:$E3)&lt;52,"",(MAX($C$2:$C$3)+MIN($D$2:$D$3))/2)</f>
        <v>0</v>
      </c>
      <c r="AY3">
        <f>IF(COUNT($E$2:$E3)&lt;20,"",MAX($C$2:$C$3))</f>
        <v>0</v>
      </c>
      <c r="AZ3">
        <f>IF(COUNT($E$2:$E3)&lt;20,"",MIN($D$2:$D$3))</f>
        <v>0</v>
      </c>
      <c r="BA3">
        <f>IF(COUNT($E$2:$E3)&lt;20,"",SLOPE($E$2:$E$3,$F$2:$F$3))</f>
        <v>0</v>
      </c>
      <c r="BB3">
        <f>IF(COUNT($E$2:$E3)&lt;20,"",INTERCEPT($E$2:$E$3,$F$2:$F$3))</f>
        <v>0</v>
      </c>
      <c r="BC3">
        <f>IF(OR(BA3="",BB3=""),"",BB3+BA3*F3)</f>
        <v>0</v>
      </c>
      <c r="BD3">
        <f>IF(COUNT($E$2:$E3)&lt;20,"",STEYX($E$2:$E$3,$F$2:$F$3))</f>
        <v>0</v>
      </c>
      <c r="BE3">
        <f>""</f>
        <v>0</v>
      </c>
      <c r="BF3">
        <f>""</f>
        <v>0</v>
      </c>
      <c r="BG3">
        <f>IFERROR(SMALL(Calc_Daily!$BT$2:$BT$2001,2),"")</f>
        <v>0</v>
      </c>
    </row>
    <row r="4" spans="1:59">
      <c r="A4" s="27">
        <f>IF($BG4="","",INDEX(Calc_Daily!$A$2:$A$2001,$BG4))</f>
        <v>0</v>
      </c>
      <c r="B4">
        <f>IF($BG4="","",INDEX(Calc_Daily!$BQ$2:$BQ$2001,$BG4))</f>
        <v>0</v>
      </c>
      <c r="C4">
        <f>IF($BG4="","",INDEX(Calc_Daily!$BR$2:$BR$2001,$BG4))</f>
        <v>0</v>
      </c>
      <c r="D4">
        <f>IF($BG4="","",INDEX(Calc_Daily!$BS$2:$BS$2001,$BG4))</f>
        <v>0</v>
      </c>
      <c r="E4">
        <f>IF($BG4="","",INDEX(Calc_Daily!$E$2:$E$2001,$BG4))</f>
        <v>0</v>
      </c>
      <c r="F4">
        <f>IF($E4="","",N(F3)+1)</f>
        <v>0</v>
      </c>
      <c r="G4">
        <f>IF(OR($E4="",$E3=""),"",LN($E4/$E3))</f>
        <v>0</v>
      </c>
      <c r="H4">
        <f>IF($E4="","",IF($E3="",$E4,$E4*0.0952380952+H3*0.9047619048))</f>
        <v>0</v>
      </c>
      <c r="I4">
        <f>IF($E4="","",IF($E3="",$E4,$E4*0.0392156863+I3*0.9607843137))</f>
        <v>0</v>
      </c>
      <c r="J4">
        <f>IF($E4="","",IF($E3="",$E4,$E4*0.0198019802+J3*0.9801980198))</f>
        <v>0</v>
      </c>
      <c r="K4">
        <f>IF($E4="","",IF($E3="",$E4,$E4*0.0099502488+K3*0.9900497512))</f>
        <v>0</v>
      </c>
      <c r="L4">
        <f>IF(OR($E4="",$E3=""),"",MAX($E4-$E3,0))</f>
        <v>0</v>
      </c>
      <c r="M4">
        <f>IF(OR($E4="",$E3=""),"",MAX($E3-$E4,0))</f>
        <v>0</v>
      </c>
      <c r="N4">
        <f>IF(COUNT($E$2:$E4)&lt;15,"",IF(AVERAGE($M$2:$M$4)=0,100,100-100/(1+AVERAGE($L$2:$L$4)/AVERAGE($M$2:$M$4))))</f>
        <v>0</v>
      </c>
      <c r="O4">
        <f>IF($E4="","",IF($E3="",$E4,$E4*0.1538461538+O3*0.8461538462))</f>
        <v>0</v>
      </c>
      <c r="P4">
        <f>IF($E4="","",IF($E3="",$E4,$E4*0.0740740741+P3*0.9259259259))</f>
        <v>0</v>
      </c>
      <c r="Q4">
        <f>IF(OR(O4="",P4=""),"",O4-P4)</f>
        <v>0</v>
      </c>
      <c r="R4">
        <f>IF(Q4="","",IF(R3="",Q4,Q4*0.2000000000+R3*0.8000000000))</f>
        <v>0</v>
      </c>
      <c r="S4">
        <f>IF(OR(Q4="",R4=""),"",Q4-R4)</f>
        <v>0</v>
      </c>
      <c r="T4">
        <f>IF(COUNT($E$2:$E4)&lt;14,"",MAX($C$2:$C$4))</f>
        <v>0</v>
      </c>
      <c r="U4">
        <f>IF(COUNT($E$2:$E4)&lt;14,"",MIN($D$2:$D$4))</f>
        <v>0</v>
      </c>
      <c r="V4">
        <f>IF(OR(T4="",U4="",T4=U4),"",100*($E4-U4)/(T4-U4))</f>
        <v>0</v>
      </c>
      <c r="W4">
        <f>IF(COUNT($V$2:$V$4)&lt;3,"",AVERAGE($V$2:$V$4))</f>
        <v>0</v>
      </c>
      <c r="X4">
        <f>IF(COUNT($N$2:$N$4)&lt;14,"",MIN($N$2:$N$4))</f>
        <v>0</v>
      </c>
      <c r="Y4">
        <f>IF(COUNT($N$2:$N$4)&lt;14,"",MAX($N$2:$N$4))</f>
        <v>0</v>
      </c>
      <c r="Z4">
        <f>IF(OR(N4="",X4="",Y4="",Y4=X4),"",100*(N4-X4)/(Y4-X4))</f>
        <v>0</v>
      </c>
      <c r="AA4">
        <f>IF(COUNT($Z$2:$Z$4)&lt;3,"",AVERAGE($Z$2:$Z$4))</f>
        <v>0</v>
      </c>
      <c r="AB4">
        <f>IF(COUNT($AA$2:$AA$4)&lt;3,"",AVERAGE($AA$2:$AA$4))</f>
        <v>0</v>
      </c>
      <c r="AC4">
        <f>IF($E4="","",MAX($C4-$D4,ABS($C4-$E3),ABS($D4-$E3)))</f>
        <v>0</v>
      </c>
      <c r="AD4">
        <f>IF(COUNT($E$2:$E4)&lt;15,"",AVERAGE($AC$2:$AC$4))</f>
        <v>0</v>
      </c>
      <c r="AE4">
        <f>IF(OR($E4="",$E3=""),"",IF(AND(($C4-$C3)&gt;($D3-$D4),($C4-$C3)&gt;0),$C4-$C3,0))</f>
        <v>0</v>
      </c>
      <c r="AF4">
        <f>IF(OR($E4="",$E3=""),"",IF(AND(($D3-$D4)&gt;($C4-$C3),($D3-$D4)&gt;0),$D3-$D4,0))</f>
        <v>0</v>
      </c>
      <c r="AG4">
        <f>IF(COUNT($E$2:$E4)&lt;15,"",IF(SUM($AC$2:$AC$4)=0,0,100*SUM($AE$2:$AE$4)/SUM($AC$2:$AC$4)))</f>
        <v>0</v>
      </c>
      <c r="AH4">
        <f>IF(COUNT($E$2:$E4)&lt;15,"",IF(SUM($AC$2:$AC$4)=0,0,100*SUM($AF$2:$AF$4)/SUM($AC$2:$AC$4)))</f>
        <v>0</v>
      </c>
      <c r="AI4">
        <f>IF(OR(AG4="",AH4=""),"",IF((AG4+AH4)=0,0,100*ABS(AG4-AH4)/(AG4+AH4)))</f>
        <v>0</v>
      </c>
      <c r="AJ4">
        <f>IF(COUNT($AI$2:$AI$4)&lt;14,"",AVERAGE($AI$2:$AI$4))</f>
        <v>0</v>
      </c>
      <c r="AK4">
        <f>IF(COUNT($E$2:$E4)&lt;20,"",AVERAGE($E$2:$E$4))</f>
        <v>0</v>
      </c>
      <c r="AL4">
        <f>IF(COUNT($E$2:$E4)&lt;20,"",STDEVP($E$2:$E$4))</f>
        <v>0</v>
      </c>
      <c r="AM4">
        <f>IF(AK4="","",AK4+2*AL4)</f>
        <v>0</v>
      </c>
      <c r="AN4">
        <f>IF(AK4="","",AK4-2*AL4)</f>
        <v>0</v>
      </c>
      <c r="AO4">
        <f>IF(OR(AM4="",AN4="",AM4=AN4),"",($E4-AN4)/(AM4-AN4))</f>
        <v>0</v>
      </c>
      <c r="AP4">
        <f>IF(OR(AM4="",AK4="",AK4=0),"",(AM4-AN4)/AK4)</f>
        <v>0</v>
      </c>
      <c r="AQ4">
        <f>IF(COUNT($E$2:$E4)&lt;20,"",MAX($C$2:$C$4))</f>
        <v>0</v>
      </c>
      <c r="AR4">
        <f>IF(COUNT($E$2:$E4)&lt;20,"",MIN($D$2:$D$4))</f>
        <v>0</v>
      </c>
      <c r="AS4">
        <f>IF(OR(AQ4="",AR4=""),"",(AQ4+AR4)/2)</f>
        <v>0</v>
      </c>
      <c r="AT4">
        <f>IF(COUNT($G$2:$G$4)&lt;20,"",STDEV($G$2:$G$4)*SQRT(12))</f>
        <v>0</v>
      </c>
      <c r="AU4">
        <f>IF(COUNT($E$2:$E4)&lt;9,"",(MAX($C$2:$C$4)+MIN($D$2:$D$4))/2)</f>
        <v>0</v>
      </c>
      <c r="AV4">
        <f>IF(COUNT($E$2:$E4)&lt;26,"",(MAX($C$2:$C$4)+MIN($D$2:$D$4))/2)</f>
        <v>0</v>
      </c>
      <c r="AW4">
        <f>IF(OR(AU4="",AV4=""),"",(AU4+AV4)/2)</f>
        <v>0</v>
      </c>
      <c r="AX4">
        <f>IF(COUNT($E$2:$E4)&lt;52,"",(MAX($C$2:$C$4)+MIN($D$2:$D$4))/2)</f>
        <v>0</v>
      </c>
      <c r="AY4">
        <f>IF(COUNT($E$2:$E4)&lt;20,"",MAX($C$2:$C$4))</f>
        <v>0</v>
      </c>
      <c r="AZ4">
        <f>IF(COUNT($E$2:$E4)&lt;20,"",MIN($D$2:$D$4))</f>
        <v>0</v>
      </c>
      <c r="BA4">
        <f>IF(COUNT($E$2:$E4)&lt;20,"",SLOPE($E$2:$E$4,$F$2:$F$4))</f>
        <v>0</v>
      </c>
      <c r="BB4">
        <f>IF(COUNT($E$2:$E4)&lt;20,"",INTERCEPT($E$2:$E$4,$F$2:$F$4))</f>
        <v>0</v>
      </c>
      <c r="BC4">
        <f>IF(OR(BA4="",BB4=""),"",BB4+BA4*F4)</f>
        <v>0</v>
      </c>
      <c r="BD4">
        <f>IF(COUNT($E$2:$E4)&lt;20,"",STEYX($E$2:$E$4,$F$2:$F$4))</f>
        <v>0</v>
      </c>
      <c r="BE4">
        <f>""</f>
        <v>0</v>
      </c>
      <c r="BF4">
        <f>""</f>
        <v>0</v>
      </c>
      <c r="BG4">
        <f>IFERROR(SMALL(Calc_Daily!$BT$2:$BT$2001,3),"")</f>
        <v>0</v>
      </c>
    </row>
    <row r="5" spans="1:59">
      <c r="A5" s="27">
        <f>IF($BG5="","",INDEX(Calc_Daily!$A$2:$A$2001,$BG5))</f>
        <v>0</v>
      </c>
      <c r="B5">
        <f>IF($BG5="","",INDEX(Calc_Daily!$BQ$2:$BQ$2001,$BG5))</f>
        <v>0</v>
      </c>
      <c r="C5">
        <f>IF($BG5="","",INDEX(Calc_Daily!$BR$2:$BR$2001,$BG5))</f>
        <v>0</v>
      </c>
      <c r="D5">
        <f>IF($BG5="","",INDEX(Calc_Daily!$BS$2:$BS$2001,$BG5))</f>
        <v>0</v>
      </c>
      <c r="E5">
        <f>IF($BG5="","",INDEX(Calc_Daily!$E$2:$E$2001,$BG5))</f>
        <v>0</v>
      </c>
      <c r="F5">
        <f>IF($E5="","",N(F4)+1)</f>
        <v>0</v>
      </c>
      <c r="G5">
        <f>IF(OR($E5="",$E4=""),"",LN($E5/$E4))</f>
        <v>0</v>
      </c>
      <c r="H5">
        <f>IF($E5="","",IF($E4="",$E5,$E5*0.0952380952+H4*0.9047619048))</f>
        <v>0</v>
      </c>
      <c r="I5">
        <f>IF($E5="","",IF($E4="",$E5,$E5*0.0392156863+I4*0.9607843137))</f>
        <v>0</v>
      </c>
      <c r="J5">
        <f>IF($E5="","",IF($E4="",$E5,$E5*0.0198019802+J4*0.9801980198))</f>
        <v>0</v>
      </c>
      <c r="K5">
        <f>IF($E5="","",IF($E4="",$E5,$E5*0.0099502488+K4*0.9900497512))</f>
        <v>0</v>
      </c>
      <c r="L5">
        <f>IF(OR($E5="",$E4=""),"",MAX($E5-$E4,0))</f>
        <v>0</v>
      </c>
      <c r="M5">
        <f>IF(OR($E5="",$E4=""),"",MAX($E4-$E5,0))</f>
        <v>0</v>
      </c>
      <c r="N5">
        <f>IF(COUNT($E$2:$E5)&lt;15,"",IF(AVERAGE($M$2:$M$5)=0,100,100-100/(1+AVERAGE($L$2:$L$5)/AVERAGE($M$2:$M$5))))</f>
        <v>0</v>
      </c>
      <c r="O5">
        <f>IF($E5="","",IF($E4="",$E5,$E5*0.1538461538+O4*0.8461538462))</f>
        <v>0</v>
      </c>
      <c r="P5">
        <f>IF($E5="","",IF($E4="",$E5,$E5*0.0740740741+P4*0.9259259259))</f>
        <v>0</v>
      </c>
      <c r="Q5">
        <f>IF(OR(O5="",P5=""),"",O5-P5)</f>
        <v>0</v>
      </c>
      <c r="R5">
        <f>IF(Q5="","",IF(R4="",Q5,Q5*0.2000000000+R4*0.8000000000))</f>
        <v>0</v>
      </c>
      <c r="S5">
        <f>IF(OR(Q5="",R5=""),"",Q5-R5)</f>
        <v>0</v>
      </c>
      <c r="T5">
        <f>IF(COUNT($E$2:$E5)&lt;14,"",MAX($C$2:$C$5))</f>
        <v>0</v>
      </c>
      <c r="U5">
        <f>IF(COUNT($E$2:$E5)&lt;14,"",MIN($D$2:$D$5))</f>
        <v>0</v>
      </c>
      <c r="V5">
        <f>IF(OR(T5="",U5="",T5=U5),"",100*($E5-U5)/(T5-U5))</f>
        <v>0</v>
      </c>
      <c r="W5">
        <f>IF(COUNT($V$3:$V$5)&lt;3,"",AVERAGE($V$3:$V$5))</f>
        <v>0</v>
      </c>
      <c r="X5">
        <f>IF(COUNT($N$2:$N$5)&lt;14,"",MIN($N$2:$N$5))</f>
        <v>0</v>
      </c>
      <c r="Y5">
        <f>IF(COUNT($N$2:$N$5)&lt;14,"",MAX($N$2:$N$5))</f>
        <v>0</v>
      </c>
      <c r="Z5">
        <f>IF(OR(N5="",X5="",Y5="",Y5=X5),"",100*(N5-X5)/(Y5-X5))</f>
        <v>0</v>
      </c>
      <c r="AA5">
        <f>IF(COUNT($Z$3:$Z$5)&lt;3,"",AVERAGE($Z$3:$Z$5))</f>
        <v>0</v>
      </c>
      <c r="AB5">
        <f>IF(COUNT($AA$3:$AA$5)&lt;3,"",AVERAGE($AA$3:$AA$5))</f>
        <v>0</v>
      </c>
      <c r="AC5">
        <f>IF($E5="","",MAX($C5-$D5,ABS($C5-$E4),ABS($D5-$E4)))</f>
        <v>0</v>
      </c>
      <c r="AD5">
        <f>IF(COUNT($E$2:$E5)&lt;15,"",AVERAGE($AC$2:$AC$5))</f>
        <v>0</v>
      </c>
      <c r="AE5">
        <f>IF(OR($E5="",$E4=""),"",IF(AND(($C5-$C4)&gt;($D4-$D5),($C5-$C4)&gt;0),$C5-$C4,0))</f>
        <v>0</v>
      </c>
      <c r="AF5">
        <f>IF(OR($E5="",$E4=""),"",IF(AND(($D4-$D5)&gt;($C5-$C4),($D4-$D5)&gt;0),$D4-$D5,0))</f>
        <v>0</v>
      </c>
      <c r="AG5">
        <f>IF(COUNT($E$2:$E5)&lt;15,"",IF(SUM($AC$2:$AC$5)=0,0,100*SUM($AE$2:$AE$5)/SUM($AC$2:$AC$5)))</f>
        <v>0</v>
      </c>
      <c r="AH5">
        <f>IF(COUNT($E$2:$E5)&lt;15,"",IF(SUM($AC$2:$AC$5)=0,0,100*SUM($AF$2:$AF$5)/SUM($AC$2:$AC$5)))</f>
        <v>0</v>
      </c>
      <c r="AI5">
        <f>IF(OR(AG5="",AH5=""),"",IF((AG5+AH5)=0,0,100*ABS(AG5-AH5)/(AG5+AH5)))</f>
        <v>0</v>
      </c>
      <c r="AJ5">
        <f>IF(COUNT($AI$2:$AI$5)&lt;14,"",AVERAGE($AI$2:$AI$5))</f>
        <v>0</v>
      </c>
      <c r="AK5">
        <f>IF(COUNT($E$2:$E5)&lt;20,"",AVERAGE($E$2:$E$5))</f>
        <v>0</v>
      </c>
      <c r="AL5">
        <f>IF(COUNT($E$2:$E5)&lt;20,"",STDEVP($E$2:$E$5))</f>
        <v>0</v>
      </c>
      <c r="AM5">
        <f>IF(AK5="","",AK5+2*AL5)</f>
        <v>0</v>
      </c>
      <c r="AN5">
        <f>IF(AK5="","",AK5-2*AL5)</f>
        <v>0</v>
      </c>
      <c r="AO5">
        <f>IF(OR(AM5="",AN5="",AM5=AN5),"",($E5-AN5)/(AM5-AN5))</f>
        <v>0</v>
      </c>
      <c r="AP5">
        <f>IF(OR(AM5="",AK5="",AK5=0),"",(AM5-AN5)/AK5)</f>
        <v>0</v>
      </c>
      <c r="AQ5">
        <f>IF(COUNT($E$2:$E5)&lt;20,"",MAX($C$2:$C$5))</f>
        <v>0</v>
      </c>
      <c r="AR5">
        <f>IF(COUNT($E$2:$E5)&lt;20,"",MIN($D$2:$D$5))</f>
        <v>0</v>
      </c>
      <c r="AS5">
        <f>IF(OR(AQ5="",AR5=""),"",(AQ5+AR5)/2)</f>
        <v>0</v>
      </c>
      <c r="AT5">
        <f>IF(COUNT($G$2:$G$5)&lt;20,"",STDEV($G$2:$G$5)*SQRT(12))</f>
        <v>0</v>
      </c>
      <c r="AU5">
        <f>IF(COUNT($E$2:$E5)&lt;9,"",(MAX($C$2:$C$5)+MIN($D$2:$D$5))/2)</f>
        <v>0</v>
      </c>
      <c r="AV5">
        <f>IF(COUNT($E$2:$E5)&lt;26,"",(MAX($C$2:$C$5)+MIN($D$2:$D$5))/2)</f>
        <v>0</v>
      </c>
      <c r="AW5">
        <f>IF(OR(AU5="",AV5=""),"",(AU5+AV5)/2)</f>
        <v>0</v>
      </c>
      <c r="AX5">
        <f>IF(COUNT($E$2:$E5)&lt;52,"",(MAX($C$2:$C$5)+MIN($D$2:$D$5))/2)</f>
        <v>0</v>
      </c>
      <c r="AY5">
        <f>IF(COUNT($E$2:$E5)&lt;20,"",MAX($C$2:$C$5))</f>
        <v>0</v>
      </c>
      <c r="AZ5">
        <f>IF(COUNT($E$2:$E5)&lt;20,"",MIN($D$2:$D$5))</f>
        <v>0</v>
      </c>
      <c r="BA5">
        <f>IF(COUNT($E$2:$E5)&lt;20,"",SLOPE($E$2:$E$5,$F$2:$F$5))</f>
        <v>0</v>
      </c>
      <c r="BB5">
        <f>IF(COUNT($E$2:$E5)&lt;20,"",INTERCEPT($E$2:$E$5,$F$2:$F$5))</f>
        <v>0</v>
      </c>
      <c r="BC5">
        <f>IF(OR(BA5="",BB5=""),"",BB5+BA5*F5)</f>
        <v>0</v>
      </c>
      <c r="BD5">
        <f>IF(COUNT($E$2:$E5)&lt;20,"",STEYX($E$2:$E$5,$F$2:$F$5))</f>
        <v>0</v>
      </c>
      <c r="BE5">
        <f>""</f>
        <v>0</v>
      </c>
      <c r="BF5">
        <f>""</f>
        <v>0</v>
      </c>
      <c r="BG5">
        <f>IFERROR(SMALL(Calc_Daily!$BT$2:$BT$2001,4),"")</f>
        <v>0</v>
      </c>
    </row>
    <row r="6" spans="1:59">
      <c r="A6" s="27">
        <f>IF($BG6="","",INDEX(Calc_Daily!$A$2:$A$2001,$BG6))</f>
        <v>0</v>
      </c>
      <c r="B6">
        <f>IF($BG6="","",INDEX(Calc_Daily!$BQ$2:$BQ$2001,$BG6))</f>
        <v>0</v>
      </c>
      <c r="C6">
        <f>IF($BG6="","",INDEX(Calc_Daily!$BR$2:$BR$2001,$BG6))</f>
        <v>0</v>
      </c>
      <c r="D6">
        <f>IF($BG6="","",INDEX(Calc_Daily!$BS$2:$BS$2001,$BG6))</f>
        <v>0</v>
      </c>
      <c r="E6">
        <f>IF($BG6="","",INDEX(Calc_Daily!$E$2:$E$2001,$BG6))</f>
        <v>0</v>
      </c>
      <c r="F6">
        <f>IF($E6="","",N(F5)+1)</f>
        <v>0</v>
      </c>
      <c r="G6">
        <f>IF(OR($E6="",$E5=""),"",LN($E6/$E5))</f>
        <v>0</v>
      </c>
      <c r="H6">
        <f>IF($E6="","",IF($E5="",$E6,$E6*0.0952380952+H5*0.9047619048))</f>
        <v>0</v>
      </c>
      <c r="I6">
        <f>IF($E6="","",IF($E5="",$E6,$E6*0.0392156863+I5*0.9607843137))</f>
        <v>0</v>
      </c>
      <c r="J6">
        <f>IF($E6="","",IF($E5="",$E6,$E6*0.0198019802+J5*0.9801980198))</f>
        <v>0</v>
      </c>
      <c r="K6">
        <f>IF($E6="","",IF($E5="",$E6,$E6*0.0099502488+K5*0.9900497512))</f>
        <v>0</v>
      </c>
      <c r="L6">
        <f>IF(OR($E6="",$E5=""),"",MAX($E6-$E5,0))</f>
        <v>0</v>
      </c>
      <c r="M6">
        <f>IF(OR($E6="",$E5=""),"",MAX($E5-$E6,0))</f>
        <v>0</v>
      </c>
      <c r="N6">
        <f>IF(COUNT($E$2:$E6)&lt;15,"",IF(AVERAGE($M$2:$M$6)=0,100,100-100/(1+AVERAGE($L$2:$L$6)/AVERAGE($M$2:$M$6))))</f>
        <v>0</v>
      </c>
      <c r="O6">
        <f>IF($E6="","",IF($E5="",$E6,$E6*0.1538461538+O5*0.8461538462))</f>
        <v>0</v>
      </c>
      <c r="P6">
        <f>IF($E6="","",IF($E5="",$E6,$E6*0.0740740741+P5*0.9259259259))</f>
        <v>0</v>
      </c>
      <c r="Q6">
        <f>IF(OR(O6="",P6=""),"",O6-P6)</f>
        <v>0</v>
      </c>
      <c r="R6">
        <f>IF(Q6="","",IF(R5="",Q6,Q6*0.2000000000+R5*0.8000000000))</f>
        <v>0</v>
      </c>
      <c r="S6">
        <f>IF(OR(Q6="",R6=""),"",Q6-R6)</f>
        <v>0</v>
      </c>
      <c r="T6">
        <f>IF(COUNT($E$2:$E6)&lt;14,"",MAX($C$2:$C$6))</f>
        <v>0</v>
      </c>
      <c r="U6">
        <f>IF(COUNT($E$2:$E6)&lt;14,"",MIN($D$2:$D$6))</f>
        <v>0</v>
      </c>
      <c r="V6">
        <f>IF(OR(T6="",U6="",T6=U6),"",100*($E6-U6)/(T6-U6))</f>
        <v>0</v>
      </c>
      <c r="W6">
        <f>IF(COUNT($V$4:$V$6)&lt;3,"",AVERAGE($V$4:$V$6))</f>
        <v>0</v>
      </c>
      <c r="X6">
        <f>IF(COUNT($N$2:$N$6)&lt;14,"",MIN($N$2:$N$6))</f>
        <v>0</v>
      </c>
      <c r="Y6">
        <f>IF(COUNT($N$2:$N$6)&lt;14,"",MAX($N$2:$N$6))</f>
        <v>0</v>
      </c>
      <c r="Z6">
        <f>IF(OR(N6="",X6="",Y6="",Y6=X6),"",100*(N6-X6)/(Y6-X6))</f>
        <v>0</v>
      </c>
      <c r="AA6">
        <f>IF(COUNT($Z$4:$Z$6)&lt;3,"",AVERAGE($Z$4:$Z$6))</f>
        <v>0</v>
      </c>
      <c r="AB6">
        <f>IF(COUNT($AA$4:$AA$6)&lt;3,"",AVERAGE($AA$4:$AA$6))</f>
        <v>0</v>
      </c>
      <c r="AC6">
        <f>IF($E6="","",MAX($C6-$D6,ABS($C6-$E5),ABS($D6-$E5)))</f>
        <v>0</v>
      </c>
      <c r="AD6">
        <f>IF(COUNT($E$2:$E6)&lt;15,"",AVERAGE($AC$2:$AC$6))</f>
        <v>0</v>
      </c>
      <c r="AE6">
        <f>IF(OR($E6="",$E5=""),"",IF(AND(($C6-$C5)&gt;($D5-$D6),($C6-$C5)&gt;0),$C6-$C5,0))</f>
        <v>0</v>
      </c>
      <c r="AF6">
        <f>IF(OR($E6="",$E5=""),"",IF(AND(($D5-$D6)&gt;($C6-$C5),($D5-$D6)&gt;0),$D5-$D6,0))</f>
        <v>0</v>
      </c>
      <c r="AG6">
        <f>IF(COUNT($E$2:$E6)&lt;15,"",IF(SUM($AC$2:$AC$6)=0,0,100*SUM($AE$2:$AE$6)/SUM($AC$2:$AC$6)))</f>
        <v>0</v>
      </c>
      <c r="AH6">
        <f>IF(COUNT($E$2:$E6)&lt;15,"",IF(SUM($AC$2:$AC$6)=0,0,100*SUM($AF$2:$AF$6)/SUM($AC$2:$AC$6)))</f>
        <v>0</v>
      </c>
      <c r="AI6">
        <f>IF(OR(AG6="",AH6=""),"",IF((AG6+AH6)=0,0,100*ABS(AG6-AH6)/(AG6+AH6)))</f>
        <v>0</v>
      </c>
      <c r="AJ6">
        <f>IF(COUNT($AI$2:$AI$6)&lt;14,"",AVERAGE($AI$2:$AI$6))</f>
        <v>0</v>
      </c>
      <c r="AK6">
        <f>IF(COUNT($E$2:$E6)&lt;20,"",AVERAGE($E$2:$E$6))</f>
        <v>0</v>
      </c>
      <c r="AL6">
        <f>IF(COUNT($E$2:$E6)&lt;20,"",STDEVP($E$2:$E$6))</f>
        <v>0</v>
      </c>
      <c r="AM6">
        <f>IF(AK6="","",AK6+2*AL6)</f>
        <v>0</v>
      </c>
      <c r="AN6">
        <f>IF(AK6="","",AK6-2*AL6)</f>
        <v>0</v>
      </c>
      <c r="AO6">
        <f>IF(OR(AM6="",AN6="",AM6=AN6),"",($E6-AN6)/(AM6-AN6))</f>
        <v>0</v>
      </c>
      <c r="AP6">
        <f>IF(OR(AM6="",AK6="",AK6=0),"",(AM6-AN6)/AK6)</f>
        <v>0</v>
      </c>
      <c r="AQ6">
        <f>IF(COUNT($E$2:$E6)&lt;20,"",MAX($C$2:$C$6))</f>
        <v>0</v>
      </c>
      <c r="AR6">
        <f>IF(COUNT($E$2:$E6)&lt;20,"",MIN($D$2:$D$6))</f>
        <v>0</v>
      </c>
      <c r="AS6">
        <f>IF(OR(AQ6="",AR6=""),"",(AQ6+AR6)/2)</f>
        <v>0</v>
      </c>
      <c r="AT6">
        <f>IF(COUNT($G$2:$G$6)&lt;20,"",STDEV($G$2:$G$6)*SQRT(12))</f>
        <v>0</v>
      </c>
      <c r="AU6">
        <f>IF(COUNT($E$2:$E6)&lt;9,"",(MAX($C$2:$C$6)+MIN($D$2:$D$6))/2)</f>
        <v>0</v>
      </c>
      <c r="AV6">
        <f>IF(COUNT($E$2:$E6)&lt;26,"",(MAX($C$2:$C$6)+MIN($D$2:$D$6))/2)</f>
        <v>0</v>
      </c>
      <c r="AW6">
        <f>IF(OR(AU6="",AV6=""),"",(AU6+AV6)/2)</f>
        <v>0</v>
      </c>
      <c r="AX6">
        <f>IF(COUNT($E$2:$E6)&lt;52,"",(MAX($C$2:$C$6)+MIN($D$2:$D$6))/2)</f>
        <v>0</v>
      </c>
      <c r="AY6">
        <f>IF(COUNT($E$2:$E6)&lt;20,"",MAX($C$2:$C$6))</f>
        <v>0</v>
      </c>
      <c r="AZ6">
        <f>IF(COUNT($E$2:$E6)&lt;20,"",MIN($D$2:$D$6))</f>
        <v>0</v>
      </c>
      <c r="BA6">
        <f>IF(COUNT($E$2:$E6)&lt;20,"",SLOPE($E$2:$E$6,$F$2:$F$6))</f>
        <v>0</v>
      </c>
      <c r="BB6">
        <f>IF(COUNT($E$2:$E6)&lt;20,"",INTERCEPT($E$2:$E$6,$F$2:$F$6))</f>
        <v>0</v>
      </c>
      <c r="BC6">
        <f>IF(OR(BA6="",BB6=""),"",BB6+BA6*F6)</f>
        <v>0</v>
      </c>
      <c r="BD6">
        <f>IF(COUNT($E$2:$E6)&lt;20,"",STEYX($E$2:$E$6,$F$2:$F$6))</f>
        <v>0</v>
      </c>
      <c r="BE6">
        <f>IF($E6="","",IF(AND(COUNT($E$7:$E$10)&gt;=4,$C6=MAX($C$2:$C$10)),$C6,""))</f>
        <v>0</v>
      </c>
      <c r="BF6">
        <f>IF($E6="","",IF(AND(COUNT($E$7:$E$10)&gt;=4,$D6=MIN($D$2:$D$10)),$D6,""))</f>
        <v>0</v>
      </c>
      <c r="BG6">
        <f>IFERROR(SMALL(Calc_Daily!$BT$2:$BT$2001,5),"")</f>
        <v>0</v>
      </c>
    </row>
    <row r="7" spans="1:59">
      <c r="A7" s="27">
        <f>IF($BG7="","",INDEX(Calc_Daily!$A$2:$A$2001,$BG7))</f>
        <v>0</v>
      </c>
      <c r="B7">
        <f>IF($BG7="","",INDEX(Calc_Daily!$BQ$2:$BQ$2001,$BG7))</f>
        <v>0</v>
      </c>
      <c r="C7">
        <f>IF($BG7="","",INDEX(Calc_Daily!$BR$2:$BR$2001,$BG7))</f>
        <v>0</v>
      </c>
      <c r="D7">
        <f>IF($BG7="","",INDEX(Calc_Daily!$BS$2:$BS$2001,$BG7))</f>
        <v>0</v>
      </c>
      <c r="E7">
        <f>IF($BG7="","",INDEX(Calc_Daily!$E$2:$E$2001,$BG7))</f>
        <v>0</v>
      </c>
      <c r="F7">
        <f>IF($E7="","",N(F6)+1)</f>
        <v>0</v>
      </c>
      <c r="G7">
        <f>IF(OR($E7="",$E6=""),"",LN($E7/$E6))</f>
        <v>0</v>
      </c>
      <c r="H7">
        <f>IF($E7="","",IF($E6="",$E7,$E7*0.0952380952+H6*0.9047619048))</f>
        <v>0</v>
      </c>
      <c r="I7">
        <f>IF($E7="","",IF($E6="",$E7,$E7*0.0392156863+I6*0.9607843137))</f>
        <v>0</v>
      </c>
      <c r="J7">
        <f>IF($E7="","",IF($E6="",$E7,$E7*0.0198019802+J6*0.9801980198))</f>
        <v>0</v>
      </c>
      <c r="K7">
        <f>IF($E7="","",IF($E6="",$E7,$E7*0.0099502488+K6*0.9900497512))</f>
        <v>0</v>
      </c>
      <c r="L7">
        <f>IF(OR($E7="",$E6=""),"",MAX($E7-$E6,0))</f>
        <v>0</v>
      </c>
      <c r="M7">
        <f>IF(OR($E7="",$E6=""),"",MAX($E6-$E7,0))</f>
        <v>0</v>
      </c>
      <c r="N7">
        <f>IF(COUNT($E$2:$E7)&lt;15,"",IF(AVERAGE($M$2:$M$7)=0,100,100-100/(1+AVERAGE($L$2:$L$7)/AVERAGE($M$2:$M$7))))</f>
        <v>0</v>
      </c>
      <c r="O7">
        <f>IF($E7="","",IF($E6="",$E7,$E7*0.1538461538+O6*0.8461538462))</f>
        <v>0</v>
      </c>
      <c r="P7">
        <f>IF($E7="","",IF($E6="",$E7,$E7*0.0740740741+P6*0.9259259259))</f>
        <v>0</v>
      </c>
      <c r="Q7">
        <f>IF(OR(O7="",P7=""),"",O7-P7)</f>
        <v>0</v>
      </c>
      <c r="R7">
        <f>IF(Q7="","",IF(R6="",Q7,Q7*0.2000000000+R6*0.8000000000))</f>
        <v>0</v>
      </c>
      <c r="S7">
        <f>IF(OR(Q7="",R7=""),"",Q7-R7)</f>
        <v>0</v>
      </c>
      <c r="T7">
        <f>IF(COUNT($E$2:$E7)&lt;14,"",MAX($C$2:$C$7))</f>
        <v>0</v>
      </c>
      <c r="U7">
        <f>IF(COUNT($E$2:$E7)&lt;14,"",MIN($D$2:$D$7))</f>
        <v>0</v>
      </c>
      <c r="V7">
        <f>IF(OR(T7="",U7="",T7=U7),"",100*($E7-U7)/(T7-U7))</f>
        <v>0</v>
      </c>
      <c r="W7">
        <f>IF(COUNT($V$5:$V$7)&lt;3,"",AVERAGE($V$5:$V$7))</f>
        <v>0</v>
      </c>
      <c r="X7">
        <f>IF(COUNT($N$2:$N$7)&lt;14,"",MIN($N$2:$N$7))</f>
        <v>0</v>
      </c>
      <c r="Y7">
        <f>IF(COUNT($N$2:$N$7)&lt;14,"",MAX($N$2:$N$7))</f>
        <v>0</v>
      </c>
      <c r="Z7">
        <f>IF(OR(N7="",X7="",Y7="",Y7=X7),"",100*(N7-X7)/(Y7-X7))</f>
        <v>0</v>
      </c>
      <c r="AA7">
        <f>IF(COUNT($Z$5:$Z$7)&lt;3,"",AVERAGE($Z$5:$Z$7))</f>
        <v>0</v>
      </c>
      <c r="AB7">
        <f>IF(COUNT($AA$5:$AA$7)&lt;3,"",AVERAGE($AA$5:$AA$7))</f>
        <v>0</v>
      </c>
      <c r="AC7">
        <f>IF($E7="","",MAX($C7-$D7,ABS($C7-$E6),ABS($D7-$E6)))</f>
        <v>0</v>
      </c>
      <c r="AD7">
        <f>IF(COUNT($E$2:$E7)&lt;15,"",AVERAGE($AC$2:$AC$7))</f>
        <v>0</v>
      </c>
      <c r="AE7">
        <f>IF(OR($E7="",$E6=""),"",IF(AND(($C7-$C6)&gt;($D6-$D7),($C7-$C6)&gt;0),$C7-$C6,0))</f>
        <v>0</v>
      </c>
      <c r="AF7">
        <f>IF(OR($E7="",$E6=""),"",IF(AND(($D6-$D7)&gt;($C7-$C6),($D6-$D7)&gt;0),$D6-$D7,0))</f>
        <v>0</v>
      </c>
      <c r="AG7">
        <f>IF(COUNT($E$2:$E7)&lt;15,"",IF(SUM($AC$2:$AC$7)=0,0,100*SUM($AE$2:$AE$7)/SUM($AC$2:$AC$7)))</f>
        <v>0</v>
      </c>
      <c r="AH7">
        <f>IF(COUNT($E$2:$E7)&lt;15,"",IF(SUM($AC$2:$AC$7)=0,0,100*SUM($AF$2:$AF$7)/SUM($AC$2:$AC$7)))</f>
        <v>0</v>
      </c>
      <c r="AI7">
        <f>IF(OR(AG7="",AH7=""),"",IF((AG7+AH7)=0,0,100*ABS(AG7-AH7)/(AG7+AH7)))</f>
        <v>0</v>
      </c>
      <c r="AJ7">
        <f>IF(COUNT($AI$2:$AI$7)&lt;14,"",AVERAGE($AI$2:$AI$7))</f>
        <v>0</v>
      </c>
      <c r="AK7">
        <f>IF(COUNT($E$2:$E7)&lt;20,"",AVERAGE($E$2:$E$7))</f>
        <v>0</v>
      </c>
      <c r="AL7">
        <f>IF(COUNT($E$2:$E7)&lt;20,"",STDEVP($E$2:$E$7))</f>
        <v>0</v>
      </c>
      <c r="AM7">
        <f>IF(AK7="","",AK7+2*AL7)</f>
        <v>0</v>
      </c>
      <c r="AN7">
        <f>IF(AK7="","",AK7-2*AL7)</f>
        <v>0</v>
      </c>
      <c r="AO7">
        <f>IF(OR(AM7="",AN7="",AM7=AN7),"",($E7-AN7)/(AM7-AN7))</f>
        <v>0</v>
      </c>
      <c r="AP7">
        <f>IF(OR(AM7="",AK7="",AK7=0),"",(AM7-AN7)/AK7)</f>
        <v>0</v>
      </c>
      <c r="AQ7">
        <f>IF(COUNT($E$2:$E7)&lt;20,"",MAX($C$2:$C$7))</f>
        <v>0</v>
      </c>
      <c r="AR7">
        <f>IF(COUNT($E$2:$E7)&lt;20,"",MIN($D$2:$D$7))</f>
        <v>0</v>
      </c>
      <c r="AS7">
        <f>IF(OR(AQ7="",AR7=""),"",(AQ7+AR7)/2)</f>
        <v>0</v>
      </c>
      <c r="AT7">
        <f>IF(COUNT($G$2:$G$7)&lt;20,"",STDEV($G$2:$G$7)*SQRT(12))</f>
        <v>0</v>
      </c>
      <c r="AU7">
        <f>IF(COUNT($E$2:$E7)&lt;9,"",(MAX($C$2:$C$7)+MIN($D$2:$D$7))/2)</f>
        <v>0</v>
      </c>
      <c r="AV7">
        <f>IF(COUNT($E$2:$E7)&lt;26,"",(MAX($C$2:$C$7)+MIN($D$2:$D$7))/2)</f>
        <v>0</v>
      </c>
      <c r="AW7">
        <f>IF(OR(AU7="",AV7=""),"",(AU7+AV7)/2)</f>
        <v>0</v>
      </c>
      <c r="AX7">
        <f>IF(COUNT($E$2:$E7)&lt;52,"",(MAX($C$2:$C$7)+MIN($D$2:$D$7))/2)</f>
        <v>0</v>
      </c>
      <c r="AY7">
        <f>IF(COUNT($E$2:$E7)&lt;20,"",MAX($C$2:$C$7))</f>
        <v>0</v>
      </c>
      <c r="AZ7">
        <f>IF(COUNT($E$2:$E7)&lt;20,"",MIN($D$2:$D$7))</f>
        <v>0</v>
      </c>
      <c r="BA7">
        <f>IF(COUNT($E$2:$E7)&lt;20,"",SLOPE($E$2:$E$7,$F$2:$F$7))</f>
        <v>0</v>
      </c>
      <c r="BB7">
        <f>IF(COUNT($E$2:$E7)&lt;20,"",INTERCEPT($E$2:$E$7,$F$2:$F$7))</f>
        <v>0</v>
      </c>
      <c r="BC7">
        <f>IF(OR(BA7="",BB7=""),"",BB7+BA7*F7)</f>
        <v>0</v>
      </c>
      <c r="BD7">
        <f>IF(COUNT($E$2:$E7)&lt;20,"",STEYX($E$2:$E$7,$F$2:$F$7))</f>
        <v>0</v>
      </c>
      <c r="BE7">
        <f>IF($E7="","",IF(AND(COUNT($E$8:$E$11)&gt;=4,$C7=MAX($C$3:$C$11)),$C7,""))</f>
        <v>0</v>
      </c>
      <c r="BF7">
        <f>IF($E7="","",IF(AND(COUNT($E$8:$E$11)&gt;=4,$D7=MIN($D$3:$D$11)),$D7,""))</f>
        <v>0</v>
      </c>
      <c r="BG7">
        <f>IFERROR(SMALL(Calc_Daily!$BT$2:$BT$2001,6),"")</f>
        <v>0</v>
      </c>
    </row>
    <row r="8" spans="1:59">
      <c r="A8" s="27">
        <f>IF($BG8="","",INDEX(Calc_Daily!$A$2:$A$2001,$BG8))</f>
        <v>0</v>
      </c>
      <c r="B8">
        <f>IF($BG8="","",INDEX(Calc_Daily!$BQ$2:$BQ$2001,$BG8))</f>
        <v>0</v>
      </c>
      <c r="C8">
        <f>IF($BG8="","",INDEX(Calc_Daily!$BR$2:$BR$2001,$BG8))</f>
        <v>0</v>
      </c>
      <c r="D8">
        <f>IF($BG8="","",INDEX(Calc_Daily!$BS$2:$BS$2001,$BG8))</f>
        <v>0</v>
      </c>
      <c r="E8">
        <f>IF($BG8="","",INDEX(Calc_Daily!$E$2:$E$2001,$BG8))</f>
        <v>0</v>
      </c>
      <c r="F8">
        <f>IF($E8="","",N(F7)+1)</f>
        <v>0</v>
      </c>
      <c r="G8">
        <f>IF(OR($E8="",$E7=""),"",LN($E8/$E7))</f>
        <v>0</v>
      </c>
      <c r="H8">
        <f>IF($E8="","",IF($E7="",$E8,$E8*0.0952380952+H7*0.9047619048))</f>
        <v>0</v>
      </c>
      <c r="I8">
        <f>IF($E8="","",IF($E7="",$E8,$E8*0.0392156863+I7*0.9607843137))</f>
        <v>0</v>
      </c>
      <c r="J8">
        <f>IF($E8="","",IF($E7="",$E8,$E8*0.0198019802+J7*0.9801980198))</f>
        <v>0</v>
      </c>
      <c r="K8">
        <f>IF($E8="","",IF($E7="",$E8,$E8*0.0099502488+K7*0.9900497512))</f>
        <v>0</v>
      </c>
      <c r="L8">
        <f>IF(OR($E8="",$E7=""),"",MAX($E8-$E7,0))</f>
        <v>0</v>
      </c>
      <c r="M8">
        <f>IF(OR($E8="",$E7=""),"",MAX($E7-$E8,0))</f>
        <v>0</v>
      </c>
      <c r="N8">
        <f>IF(COUNT($E$2:$E8)&lt;15,"",IF(AVERAGE($M$2:$M$8)=0,100,100-100/(1+AVERAGE($L$2:$L$8)/AVERAGE($M$2:$M$8))))</f>
        <v>0</v>
      </c>
      <c r="O8">
        <f>IF($E8="","",IF($E7="",$E8,$E8*0.1538461538+O7*0.8461538462))</f>
        <v>0</v>
      </c>
      <c r="P8">
        <f>IF($E8="","",IF($E7="",$E8,$E8*0.0740740741+P7*0.9259259259))</f>
        <v>0</v>
      </c>
      <c r="Q8">
        <f>IF(OR(O8="",P8=""),"",O8-P8)</f>
        <v>0</v>
      </c>
      <c r="R8">
        <f>IF(Q8="","",IF(R7="",Q8,Q8*0.2000000000+R7*0.8000000000))</f>
        <v>0</v>
      </c>
      <c r="S8">
        <f>IF(OR(Q8="",R8=""),"",Q8-R8)</f>
        <v>0</v>
      </c>
      <c r="T8">
        <f>IF(COUNT($E$2:$E8)&lt;14,"",MAX($C$2:$C$8))</f>
        <v>0</v>
      </c>
      <c r="U8">
        <f>IF(COUNT($E$2:$E8)&lt;14,"",MIN($D$2:$D$8))</f>
        <v>0</v>
      </c>
      <c r="V8">
        <f>IF(OR(T8="",U8="",T8=U8),"",100*($E8-U8)/(T8-U8))</f>
        <v>0</v>
      </c>
      <c r="W8">
        <f>IF(COUNT($V$6:$V$8)&lt;3,"",AVERAGE($V$6:$V$8))</f>
        <v>0</v>
      </c>
      <c r="X8">
        <f>IF(COUNT($N$2:$N$8)&lt;14,"",MIN($N$2:$N$8))</f>
        <v>0</v>
      </c>
      <c r="Y8">
        <f>IF(COUNT($N$2:$N$8)&lt;14,"",MAX($N$2:$N$8))</f>
        <v>0</v>
      </c>
      <c r="Z8">
        <f>IF(OR(N8="",X8="",Y8="",Y8=X8),"",100*(N8-X8)/(Y8-X8))</f>
        <v>0</v>
      </c>
      <c r="AA8">
        <f>IF(COUNT($Z$6:$Z$8)&lt;3,"",AVERAGE($Z$6:$Z$8))</f>
        <v>0</v>
      </c>
      <c r="AB8">
        <f>IF(COUNT($AA$6:$AA$8)&lt;3,"",AVERAGE($AA$6:$AA$8))</f>
        <v>0</v>
      </c>
      <c r="AC8">
        <f>IF($E8="","",MAX($C8-$D8,ABS($C8-$E7),ABS($D8-$E7)))</f>
        <v>0</v>
      </c>
      <c r="AD8">
        <f>IF(COUNT($E$2:$E8)&lt;15,"",AVERAGE($AC$2:$AC$8))</f>
        <v>0</v>
      </c>
      <c r="AE8">
        <f>IF(OR($E8="",$E7=""),"",IF(AND(($C8-$C7)&gt;($D7-$D8),($C8-$C7)&gt;0),$C8-$C7,0))</f>
        <v>0</v>
      </c>
      <c r="AF8">
        <f>IF(OR($E8="",$E7=""),"",IF(AND(($D7-$D8)&gt;($C8-$C7),($D7-$D8)&gt;0),$D7-$D8,0))</f>
        <v>0</v>
      </c>
      <c r="AG8">
        <f>IF(COUNT($E$2:$E8)&lt;15,"",IF(SUM($AC$2:$AC$8)=0,0,100*SUM($AE$2:$AE$8)/SUM($AC$2:$AC$8)))</f>
        <v>0</v>
      </c>
      <c r="AH8">
        <f>IF(COUNT($E$2:$E8)&lt;15,"",IF(SUM($AC$2:$AC$8)=0,0,100*SUM($AF$2:$AF$8)/SUM($AC$2:$AC$8)))</f>
        <v>0</v>
      </c>
      <c r="AI8">
        <f>IF(OR(AG8="",AH8=""),"",IF((AG8+AH8)=0,0,100*ABS(AG8-AH8)/(AG8+AH8)))</f>
        <v>0</v>
      </c>
      <c r="AJ8">
        <f>IF(COUNT($AI$2:$AI$8)&lt;14,"",AVERAGE($AI$2:$AI$8))</f>
        <v>0</v>
      </c>
      <c r="AK8">
        <f>IF(COUNT($E$2:$E8)&lt;20,"",AVERAGE($E$2:$E$8))</f>
        <v>0</v>
      </c>
      <c r="AL8">
        <f>IF(COUNT($E$2:$E8)&lt;20,"",STDEVP($E$2:$E$8))</f>
        <v>0</v>
      </c>
      <c r="AM8">
        <f>IF(AK8="","",AK8+2*AL8)</f>
        <v>0</v>
      </c>
      <c r="AN8">
        <f>IF(AK8="","",AK8-2*AL8)</f>
        <v>0</v>
      </c>
      <c r="AO8">
        <f>IF(OR(AM8="",AN8="",AM8=AN8),"",($E8-AN8)/(AM8-AN8))</f>
        <v>0</v>
      </c>
      <c r="AP8">
        <f>IF(OR(AM8="",AK8="",AK8=0),"",(AM8-AN8)/AK8)</f>
        <v>0</v>
      </c>
      <c r="AQ8">
        <f>IF(COUNT($E$2:$E8)&lt;20,"",MAX($C$2:$C$8))</f>
        <v>0</v>
      </c>
      <c r="AR8">
        <f>IF(COUNT($E$2:$E8)&lt;20,"",MIN($D$2:$D$8))</f>
        <v>0</v>
      </c>
      <c r="AS8">
        <f>IF(OR(AQ8="",AR8=""),"",(AQ8+AR8)/2)</f>
        <v>0</v>
      </c>
      <c r="AT8">
        <f>IF(COUNT($G$2:$G$8)&lt;20,"",STDEV($G$2:$G$8)*SQRT(12))</f>
        <v>0</v>
      </c>
      <c r="AU8">
        <f>IF(COUNT($E$2:$E8)&lt;9,"",(MAX($C$2:$C$8)+MIN($D$2:$D$8))/2)</f>
        <v>0</v>
      </c>
      <c r="AV8">
        <f>IF(COUNT($E$2:$E8)&lt;26,"",(MAX($C$2:$C$8)+MIN($D$2:$D$8))/2)</f>
        <v>0</v>
      </c>
      <c r="AW8">
        <f>IF(OR(AU8="",AV8=""),"",(AU8+AV8)/2)</f>
        <v>0</v>
      </c>
      <c r="AX8">
        <f>IF(COUNT($E$2:$E8)&lt;52,"",(MAX($C$2:$C$8)+MIN($D$2:$D$8))/2)</f>
        <v>0</v>
      </c>
      <c r="AY8">
        <f>IF(COUNT($E$2:$E8)&lt;20,"",MAX($C$2:$C$8))</f>
        <v>0</v>
      </c>
      <c r="AZ8">
        <f>IF(COUNT($E$2:$E8)&lt;20,"",MIN($D$2:$D$8))</f>
        <v>0</v>
      </c>
      <c r="BA8">
        <f>IF(COUNT($E$2:$E8)&lt;20,"",SLOPE($E$2:$E$8,$F$2:$F$8))</f>
        <v>0</v>
      </c>
      <c r="BB8">
        <f>IF(COUNT($E$2:$E8)&lt;20,"",INTERCEPT($E$2:$E$8,$F$2:$F$8))</f>
        <v>0</v>
      </c>
      <c r="BC8">
        <f>IF(OR(BA8="",BB8=""),"",BB8+BA8*F8)</f>
        <v>0</v>
      </c>
      <c r="BD8">
        <f>IF(COUNT($E$2:$E8)&lt;20,"",STEYX($E$2:$E$8,$F$2:$F$8))</f>
        <v>0</v>
      </c>
      <c r="BE8">
        <f>IF($E8="","",IF(AND(COUNT($E$9:$E$12)&gt;=4,$C8=MAX($C$4:$C$12)),$C8,""))</f>
        <v>0</v>
      </c>
      <c r="BF8">
        <f>IF($E8="","",IF(AND(COUNT($E$9:$E$12)&gt;=4,$D8=MIN($D$4:$D$12)),$D8,""))</f>
        <v>0</v>
      </c>
      <c r="BG8">
        <f>IFERROR(SMALL(Calc_Daily!$BT$2:$BT$2001,7),"")</f>
        <v>0</v>
      </c>
    </row>
    <row r="9" spans="1:59">
      <c r="A9" s="27">
        <f>IF($BG9="","",INDEX(Calc_Daily!$A$2:$A$2001,$BG9))</f>
        <v>0</v>
      </c>
      <c r="B9">
        <f>IF($BG9="","",INDEX(Calc_Daily!$BQ$2:$BQ$2001,$BG9))</f>
        <v>0</v>
      </c>
      <c r="C9">
        <f>IF($BG9="","",INDEX(Calc_Daily!$BR$2:$BR$2001,$BG9))</f>
        <v>0</v>
      </c>
      <c r="D9">
        <f>IF($BG9="","",INDEX(Calc_Daily!$BS$2:$BS$2001,$BG9))</f>
        <v>0</v>
      </c>
      <c r="E9">
        <f>IF($BG9="","",INDEX(Calc_Daily!$E$2:$E$2001,$BG9))</f>
        <v>0</v>
      </c>
      <c r="F9">
        <f>IF($E9="","",N(F8)+1)</f>
        <v>0</v>
      </c>
      <c r="G9">
        <f>IF(OR($E9="",$E8=""),"",LN($E9/$E8))</f>
        <v>0</v>
      </c>
      <c r="H9">
        <f>IF($E9="","",IF($E8="",$E9,$E9*0.0952380952+H8*0.9047619048))</f>
        <v>0</v>
      </c>
      <c r="I9">
        <f>IF($E9="","",IF($E8="",$E9,$E9*0.0392156863+I8*0.9607843137))</f>
        <v>0</v>
      </c>
      <c r="J9">
        <f>IF($E9="","",IF($E8="",$E9,$E9*0.0198019802+J8*0.9801980198))</f>
        <v>0</v>
      </c>
      <c r="K9">
        <f>IF($E9="","",IF($E8="",$E9,$E9*0.0099502488+K8*0.9900497512))</f>
        <v>0</v>
      </c>
      <c r="L9">
        <f>IF(OR($E9="",$E8=""),"",MAX($E9-$E8,0))</f>
        <v>0</v>
      </c>
      <c r="M9">
        <f>IF(OR($E9="",$E8=""),"",MAX($E8-$E9,0))</f>
        <v>0</v>
      </c>
      <c r="N9">
        <f>IF(COUNT($E$2:$E9)&lt;15,"",IF(AVERAGE($M$2:$M$9)=0,100,100-100/(1+AVERAGE($L$2:$L$9)/AVERAGE($M$2:$M$9))))</f>
        <v>0</v>
      </c>
      <c r="O9">
        <f>IF($E9="","",IF($E8="",$E9,$E9*0.1538461538+O8*0.8461538462))</f>
        <v>0</v>
      </c>
      <c r="P9">
        <f>IF($E9="","",IF($E8="",$E9,$E9*0.0740740741+P8*0.9259259259))</f>
        <v>0</v>
      </c>
      <c r="Q9">
        <f>IF(OR(O9="",P9=""),"",O9-P9)</f>
        <v>0</v>
      </c>
      <c r="R9">
        <f>IF(Q9="","",IF(R8="",Q9,Q9*0.2000000000+R8*0.8000000000))</f>
        <v>0</v>
      </c>
      <c r="S9">
        <f>IF(OR(Q9="",R9=""),"",Q9-R9)</f>
        <v>0</v>
      </c>
      <c r="T9">
        <f>IF(COUNT($E$2:$E9)&lt;14,"",MAX($C$2:$C$9))</f>
        <v>0</v>
      </c>
      <c r="U9">
        <f>IF(COUNT($E$2:$E9)&lt;14,"",MIN($D$2:$D$9))</f>
        <v>0</v>
      </c>
      <c r="V9">
        <f>IF(OR(T9="",U9="",T9=U9),"",100*($E9-U9)/(T9-U9))</f>
        <v>0</v>
      </c>
      <c r="W9">
        <f>IF(COUNT($V$7:$V$9)&lt;3,"",AVERAGE($V$7:$V$9))</f>
        <v>0</v>
      </c>
      <c r="X9">
        <f>IF(COUNT($N$2:$N$9)&lt;14,"",MIN($N$2:$N$9))</f>
        <v>0</v>
      </c>
      <c r="Y9">
        <f>IF(COUNT($N$2:$N$9)&lt;14,"",MAX($N$2:$N$9))</f>
        <v>0</v>
      </c>
      <c r="Z9">
        <f>IF(OR(N9="",X9="",Y9="",Y9=X9),"",100*(N9-X9)/(Y9-X9))</f>
        <v>0</v>
      </c>
      <c r="AA9">
        <f>IF(COUNT($Z$7:$Z$9)&lt;3,"",AVERAGE($Z$7:$Z$9))</f>
        <v>0</v>
      </c>
      <c r="AB9">
        <f>IF(COUNT($AA$7:$AA$9)&lt;3,"",AVERAGE($AA$7:$AA$9))</f>
        <v>0</v>
      </c>
      <c r="AC9">
        <f>IF($E9="","",MAX($C9-$D9,ABS($C9-$E8),ABS($D9-$E8)))</f>
        <v>0</v>
      </c>
      <c r="AD9">
        <f>IF(COUNT($E$2:$E9)&lt;15,"",AVERAGE($AC$2:$AC$9))</f>
        <v>0</v>
      </c>
      <c r="AE9">
        <f>IF(OR($E9="",$E8=""),"",IF(AND(($C9-$C8)&gt;($D8-$D9),($C9-$C8)&gt;0),$C9-$C8,0))</f>
        <v>0</v>
      </c>
      <c r="AF9">
        <f>IF(OR($E9="",$E8=""),"",IF(AND(($D8-$D9)&gt;($C9-$C8),($D8-$D9)&gt;0),$D8-$D9,0))</f>
        <v>0</v>
      </c>
      <c r="AG9">
        <f>IF(COUNT($E$2:$E9)&lt;15,"",IF(SUM($AC$2:$AC$9)=0,0,100*SUM($AE$2:$AE$9)/SUM($AC$2:$AC$9)))</f>
        <v>0</v>
      </c>
      <c r="AH9">
        <f>IF(COUNT($E$2:$E9)&lt;15,"",IF(SUM($AC$2:$AC$9)=0,0,100*SUM($AF$2:$AF$9)/SUM($AC$2:$AC$9)))</f>
        <v>0</v>
      </c>
      <c r="AI9">
        <f>IF(OR(AG9="",AH9=""),"",IF((AG9+AH9)=0,0,100*ABS(AG9-AH9)/(AG9+AH9)))</f>
        <v>0</v>
      </c>
      <c r="AJ9">
        <f>IF(COUNT($AI$2:$AI$9)&lt;14,"",AVERAGE($AI$2:$AI$9))</f>
        <v>0</v>
      </c>
      <c r="AK9">
        <f>IF(COUNT($E$2:$E9)&lt;20,"",AVERAGE($E$2:$E$9))</f>
        <v>0</v>
      </c>
      <c r="AL9">
        <f>IF(COUNT($E$2:$E9)&lt;20,"",STDEVP($E$2:$E$9))</f>
        <v>0</v>
      </c>
      <c r="AM9">
        <f>IF(AK9="","",AK9+2*AL9)</f>
        <v>0</v>
      </c>
      <c r="AN9">
        <f>IF(AK9="","",AK9-2*AL9)</f>
        <v>0</v>
      </c>
      <c r="AO9">
        <f>IF(OR(AM9="",AN9="",AM9=AN9),"",($E9-AN9)/(AM9-AN9))</f>
        <v>0</v>
      </c>
      <c r="AP9">
        <f>IF(OR(AM9="",AK9="",AK9=0),"",(AM9-AN9)/AK9)</f>
        <v>0</v>
      </c>
      <c r="AQ9">
        <f>IF(COUNT($E$2:$E9)&lt;20,"",MAX($C$2:$C$9))</f>
        <v>0</v>
      </c>
      <c r="AR9">
        <f>IF(COUNT($E$2:$E9)&lt;20,"",MIN($D$2:$D$9))</f>
        <v>0</v>
      </c>
      <c r="AS9">
        <f>IF(OR(AQ9="",AR9=""),"",(AQ9+AR9)/2)</f>
        <v>0</v>
      </c>
      <c r="AT9">
        <f>IF(COUNT($G$2:$G$9)&lt;20,"",STDEV($G$2:$G$9)*SQRT(12))</f>
        <v>0</v>
      </c>
      <c r="AU9">
        <f>IF(COUNT($E$2:$E9)&lt;9,"",(MAX($C$2:$C$9)+MIN($D$2:$D$9))/2)</f>
        <v>0</v>
      </c>
      <c r="AV9">
        <f>IF(COUNT($E$2:$E9)&lt;26,"",(MAX($C$2:$C$9)+MIN($D$2:$D$9))/2)</f>
        <v>0</v>
      </c>
      <c r="AW9">
        <f>IF(OR(AU9="",AV9=""),"",(AU9+AV9)/2)</f>
        <v>0</v>
      </c>
      <c r="AX9">
        <f>IF(COUNT($E$2:$E9)&lt;52,"",(MAX($C$2:$C$9)+MIN($D$2:$D$9))/2)</f>
        <v>0</v>
      </c>
      <c r="AY9">
        <f>IF(COUNT($E$2:$E9)&lt;20,"",MAX($C$2:$C$9))</f>
        <v>0</v>
      </c>
      <c r="AZ9">
        <f>IF(COUNT($E$2:$E9)&lt;20,"",MIN($D$2:$D$9))</f>
        <v>0</v>
      </c>
      <c r="BA9">
        <f>IF(COUNT($E$2:$E9)&lt;20,"",SLOPE($E$2:$E$9,$F$2:$F$9))</f>
        <v>0</v>
      </c>
      <c r="BB9">
        <f>IF(COUNT($E$2:$E9)&lt;20,"",INTERCEPT($E$2:$E$9,$F$2:$F$9))</f>
        <v>0</v>
      </c>
      <c r="BC9">
        <f>IF(OR(BA9="",BB9=""),"",BB9+BA9*F9)</f>
        <v>0</v>
      </c>
      <c r="BD9">
        <f>IF(COUNT($E$2:$E9)&lt;20,"",STEYX($E$2:$E$9,$F$2:$F$9))</f>
        <v>0</v>
      </c>
      <c r="BE9">
        <f>IF($E9="","",IF(AND(COUNT($E$10:$E$13)&gt;=4,$C9=MAX($C$5:$C$13)),$C9,""))</f>
        <v>0</v>
      </c>
      <c r="BF9">
        <f>IF($E9="","",IF(AND(COUNT($E$10:$E$13)&gt;=4,$D9=MIN($D$5:$D$13)),$D9,""))</f>
        <v>0</v>
      </c>
      <c r="BG9">
        <f>IFERROR(SMALL(Calc_Daily!$BT$2:$BT$2001,8),"")</f>
        <v>0</v>
      </c>
    </row>
    <row r="10" spans="1:59">
      <c r="A10" s="27">
        <f>IF($BG10="","",INDEX(Calc_Daily!$A$2:$A$2001,$BG10))</f>
        <v>0</v>
      </c>
      <c r="B10">
        <f>IF($BG10="","",INDEX(Calc_Daily!$BQ$2:$BQ$2001,$BG10))</f>
        <v>0</v>
      </c>
      <c r="C10">
        <f>IF($BG10="","",INDEX(Calc_Daily!$BR$2:$BR$2001,$BG10))</f>
        <v>0</v>
      </c>
      <c r="D10">
        <f>IF($BG10="","",INDEX(Calc_Daily!$BS$2:$BS$2001,$BG10))</f>
        <v>0</v>
      </c>
      <c r="E10">
        <f>IF($BG10="","",INDEX(Calc_Daily!$E$2:$E$2001,$BG10))</f>
        <v>0</v>
      </c>
      <c r="F10">
        <f>IF($E10="","",N(F9)+1)</f>
        <v>0</v>
      </c>
      <c r="G10">
        <f>IF(OR($E10="",$E9=""),"",LN($E10/$E9))</f>
        <v>0</v>
      </c>
      <c r="H10">
        <f>IF($E10="","",IF($E9="",$E10,$E10*0.0952380952+H9*0.9047619048))</f>
        <v>0</v>
      </c>
      <c r="I10">
        <f>IF($E10="","",IF($E9="",$E10,$E10*0.0392156863+I9*0.9607843137))</f>
        <v>0</v>
      </c>
      <c r="J10">
        <f>IF($E10="","",IF($E9="",$E10,$E10*0.0198019802+J9*0.9801980198))</f>
        <v>0</v>
      </c>
      <c r="K10">
        <f>IF($E10="","",IF($E9="",$E10,$E10*0.0099502488+K9*0.9900497512))</f>
        <v>0</v>
      </c>
      <c r="L10">
        <f>IF(OR($E10="",$E9=""),"",MAX($E10-$E9,0))</f>
        <v>0</v>
      </c>
      <c r="M10">
        <f>IF(OR($E10="",$E9=""),"",MAX($E9-$E10,0))</f>
        <v>0</v>
      </c>
      <c r="N10">
        <f>IF(COUNT($E$2:$E10)&lt;15,"",IF(AVERAGE($M$2:$M$10)=0,100,100-100/(1+AVERAGE($L$2:$L$10)/AVERAGE($M$2:$M$10))))</f>
        <v>0</v>
      </c>
      <c r="O10">
        <f>IF($E10="","",IF($E9="",$E10,$E10*0.1538461538+O9*0.8461538462))</f>
        <v>0</v>
      </c>
      <c r="P10">
        <f>IF($E10="","",IF($E9="",$E10,$E10*0.0740740741+P9*0.9259259259))</f>
        <v>0</v>
      </c>
      <c r="Q10">
        <f>IF(OR(O10="",P10=""),"",O10-P10)</f>
        <v>0</v>
      </c>
      <c r="R10">
        <f>IF(Q10="","",IF(R9="",Q10,Q10*0.2000000000+R9*0.8000000000))</f>
        <v>0</v>
      </c>
      <c r="S10">
        <f>IF(OR(Q10="",R10=""),"",Q10-R10)</f>
        <v>0</v>
      </c>
      <c r="T10">
        <f>IF(COUNT($E$2:$E10)&lt;14,"",MAX($C$2:$C$10))</f>
        <v>0</v>
      </c>
      <c r="U10">
        <f>IF(COUNT($E$2:$E10)&lt;14,"",MIN($D$2:$D$10))</f>
        <v>0</v>
      </c>
      <c r="V10">
        <f>IF(OR(T10="",U10="",T10=U10),"",100*($E10-U10)/(T10-U10))</f>
        <v>0</v>
      </c>
      <c r="W10">
        <f>IF(COUNT($V$8:$V$10)&lt;3,"",AVERAGE($V$8:$V$10))</f>
        <v>0</v>
      </c>
      <c r="X10">
        <f>IF(COUNT($N$2:$N$10)&lt;14,"",MIN($N$2:$N$10))</f>
        <v>0</v>
      </c>
      <c r="Y10">
        <f>IF(COUNT($N$2:$N$10)&lt;14,"",MAX($N$2:$N$10))</f>
        <v>0</v>
      </c>
      <c r="Z10">
        <f>IF(OR(N10="",X10="",Y10="",Y10=X10),"",100*(N10-X10)/(Y10-X10))</f>
        <v>0</v>
      </c>
      <c r="AA10">
        <f>IF(COUNT($Z$8:$Z$10)&lt;3,"",AVERAGE($Z$8:$Z$10))</f>
        <v>0</v>
      </c>
      <c r="AB10">
        <f>IF(COUNT($AA$8:$AA$10)&lt;3,"",AVERAGE($AA$8:$AA$10))</f>
        <v>0</v>
      </c>
      <c r="AC10">
        <f>IF($E10="","",MAX($C10-$D10,ABS($C10-$E9),ABS($D10-$E9)))</f>
        <v>0</v>
      </c>
      <c r="AD10">
        <f>IF(COUNT($E$2:$E10)&lt;15,"",AVERAGE($AC$2:$AC$10))</f>
        <v>0</v>
      </c>
      <c r="AE10">
        <f>IF(OR($E10="",$E9=""),"",IF(AND(($C10-$C9)&gt;($D9-$D10),($C10-$C9)&gt;0),$C10-$C9,0))</f>
        <v>0</v>
      </c>
      <c r="AF10">
        <f>IF(OR($E10="",$E9=""),"",IF(AND(($D9-$D10)&gt;($C10-$C9),($D9-$D10)&gt;0),$D9-$D10,0))</f>
        <v>0</v>
      </c>
      <c r="AG10">
        <f>IF(COUNT($E$2:$E10)&lt;15,"",IF(SUM($AC$2:$AC$10)=0,0,100*SUM($AE$2:$AE$10)/SUM($AC$2:$AC$10)))</f>
        <v>0</v>
      </c>
      <c r="AH10">
        <f>IF(COUNT($E$2:$E10)&lt;15,"",IF(SUM($AC$2:$AC$10)=0,0,100*SUM($AF$2:$AF$10)/SUM($AC$2:$AC$10)))</f>
        <v>0</v>
      </c>
      <c r="AI10">
        <f>IF(OR(AG10="",AH10=""),"",IF((AG10+AH10)=0,0,100*ABS(AG10-AH10)/(AG10+AH10)))</f>
        <v>0</v>
      </c>
      <c r="AJ10">
        <f>IF(COUNT($AI$2:$AI$10)&lt;14,"",AVERAGE($AI$2:$AI$10))</f>
        <v>0</v>
      </c>
      <c r="AK10">
        <f>IF(COUNT($E$2:$E10)&lt;20,"",AVERAGE($E$2:$E$10))</f>
        <v>0</v>
      </c>
      <c r="AL10">
        <f>IF(COUNT($E$2:$E10)&lt;20,"",STDEVP($E$2:$E$10))</f>
        <v>0</v>
      </c>
      <c r="AM10">
        <f>IF(AK10="","",AK10+2*AL10)</f>
        <v>0</v>
      </c>
      <c r="AN10">
        <f>IF(AK10="","",AK10-2*AL10)</f>
        <v>0</v>
      </c>
      <c r="AO10">
        <f>IF(OR(AM10="",AN10="",AM10=AN10),"",($E10-AN10)/(AM10-AN10))</f>
        <v>0</v>
      </c>
      <c r="AP10">
        <f>IF(OR(AM10="",AK10="",AK10=0),"",(AM10-AN10)/AK10)</f>
        <v>0</v>
      </c>
      <c r="AQ10">
        <f>IF(COUNT($E$2:$E10)&lt;20,"",MAX($C$2:$C$10))</f>
        <v>0</v>
      </c>
      <c r="AR10">
        <f>IF(COUNT($E$2:$E10)&lt;20,"",MIN($D$2:$D$10))</f>
        <v>0</v>
      </c>
      <c r="AS10">
        <f>IF(OR(AQ10="",AR10=""),"",(AQ10+AR10)/2)</f>
        <v>0</v>
      </c>
      <c r="AT10">
        <f>IF(COUNT($G$2:$G$10)&lt;20,"",STDEV($G$2:$G$10)*SQRT(12))</f>
        <v>0</v>
      </c>
      <c r="AU10">
        <f>IF(COUNT($E$2:$E10)&lt;9,"",(MAX($C$2:$C$10)+MIN($D$2:$D$10))/2)</f>
        <v>0</v>
      </c>
      <c r="AV10">
        <f>IF(COUNT($E$2:$E10)&lt;26,"",(MAX($C$2:$C$10)+MIN($D$2:$D$10))/2)</f>
        <v>0</v>
      </c>
      <c r="AW10">
        <f>IF(OR(AU10="",AV10=""),"",(AU10+AV10)/2)</f>
        <v>0</v>
      </c>
      <c r="AX10">
        <f>IF(COUNT($E$2:$E10)&lt;52,"",(MAX($C$2:$C$10)+MIN($D$2:$D$10))/2)</f>
        <v>0</v>
      </c>
      <c r="AY10">
        <f>IF(COUNT($E$2:$E10)&lt;20,"",MAX($C$2:$C$10))</f>
        <v>0</v>
      </c>
      <c r="AZ10">
        <f>IF(COUNT($E$2:$E10)&lt;20,"",MIN($D$2:$D$10))</f>
        <v>0</v>
      </c>
      <c r="BA10">
        <f>IF(COUNT($E$2:$E10)&lt;20,"",SLOPE($E$2:$E$10,$F$2:$F$10))</f>
        <v>0</v>
      </c>
      <c r="BB10">
        <f>IF(COUNT($E$2:$E10)&lt;20,"",INTERCEPT($E$2:$E$10,$F$2:$F$10))</f>
        <v>0</v>
      </c>
      <c r="BC10">
        <f>IF(OR(BA10="",BB10=""),"",BB10+BA10*F10)</f>
        <v>0</v>
      </c>
      <c r="BD10">
        <f>IF(COUNT($E$2:$E10)&lt;20,"",STEYX($E$2:$E$10,$F$2:$F$10))</f>
        <v>0</v>
      </c>
      <c r="BE10">
        <f>IF($E10="","",IF(AND(COUNT($E$11:$E$14)&gt;=4,$C10=MAX($C$6:$C$14)),$C10,""))</f>
        <v>0</v>
      </c>
      <c r="BF10">
        <f>IF($E10="","",IF(AND(COUNT($E$11:$E$14)&gt;=4,$D10=MIN($D$6:$D$14)),$D10,""))</f>
        <v>0</v>
      </c>
      <c r="BG10">
        <f>IFERROR(SMALL(Calc_Daily!$BT$2:$BT$2001,9),"")</f>
        <v>0</v>
      </c>
    </row>
    <row r="11" spans="1:59">
      <c r="A11" s="27">
        <f>IF($BG11="","",INDEX(Calc_Daily!$A$2:$A$2001,$BG11))</f>
        <v>0</v>
      </c>
      <c r="B11">
        <f>IF($BG11="","",INDEX(Calc_Daily!$BQ$2:$BQ$2001,$BG11))</f>
        <v>0</v>
      </c>
      <c r="C11">
        <f>IF($BG11="","",INDEX(Calc_Daily!$BR$2:$BR$2001,$BG11))</f>
        <v>0</v>
      </c>
      <c r="D11">
        <f>IF($BG11="","",INDEX(Calc_Daily!$BS$2:$BS$2001,$BG11))</f>
        <v>0</v>
      </c>
      <c r="E11">
        <f>IF($BG11="","",INDEX(Calc_Daily!$E$2:$E$2001,$BG11))</f>
        <v>0</v>
      </c>
      <c r="F11">
        <f>IF($E11="","",N(F10)+1)</f>
        <v>0</v>
      </c>
      <c r="G11">
        <f>IF(OR($E11="",$E10=""),"",LN($E11/$E10))</f>
        <v>0</v>
      </c>
      <c r="H11">
        <f>IF($E11="","",IF($E10="",$E11,$E11*0.0952380952+H10*0.9047619048))</f>
        <v>0</v>
      </c>
      <c r="I11">
        <f>IF($E11="","",IF($E10="",$E11,$E11*0.0392156863+I10*0.9607843137))</f>
        <v>0</v>
      </c>
      <c r="J11">
        <f>IF($E11="","",IF($E10="",$E11,$E11*0.0198019802+J10*0.9801980198))</f>
        <v>0</v>
      </c>
      <c r="K11">
        <f>IF($E11="","",IF($E10="",$E11,$E11*0.0099502488+K10*0.9900497512))</f>
        <v>0</v>
      </c>
      <c r="L11">
        <f>IF(OR($E11="",$E10=""),"",MAX($E11-$E10,0))</f>
        <v>0</v>
      </c>
      <c r="M11">
        <f>IF(OR($E11="",$E10=""),"",MAX($E10-$E11,0))</f>
        <v>0</v>
      </c>
      <c r="N11">
        <f>IF(COUNT($E$2:$E11)&lt;15,"",IF(AVERAGE($M$2:$M$11)=0,100,100-100/(1+AVERAGE($L$2:$L$11)/AVERAGE($M$2:$M$11))))</f>
        <v>0</v>
      </c>
      <c r="O11">
        <f>IF($E11="","",IF($E10="",$E11,$E11*0.1538461538+O10*0.8461538462))</f>
        <v>0</v>
      </c>
      <c r="P11">
        <f>IF($E11="","",IF($E10="",$E11,$E11*0.0740740741+P10*0.9259259259))</f>
        <v>0</v>
      </c>
      <c r="Q11">
        <f>IF(OR(O11="",P11=""),"",O11-P11)</f>
        <v>0</v>
      </c>
      <c r="R11">
        <f>IF(Q11="","",IF(R10="",Q11,Q11*0.2000000000+R10*0.8000000000))</f>
        <v>0</v>
      </c>
      <c r="S11">
        <f>IF(OR(Q11="",R11=""),"",Q11-R11)</f>
        <v>0</v>
      </c>
      <c r="T11">
        <f>IF(COUNT($E$2:$E11)&lt;14,"",MAX($C$2:$C$11))</f>
        <v>0</v>
      </c>
      <c r="U11">
        <f>IF(COUNT($E$2:$E11)&lt;14,"",MIN($D$2:$D$11))</f>
        <v>0</v>
      </c>
      <c r="V11">
        <f>IF(OR(T11="",U11="",T11=U11),"",100*($E11-U11)/(T11-U11))</f>
        <v>0</v>
      </c>
      <c r="W11">
        <f>IF(COUNT($V$9:$V$11)&lt;3,"",AVERAGE($V$9:$V$11))</f>
        <v>0</v>
      </c>
      <c r="X11">
        <f>IF(COUNT($N$2:$N$11)&lt;14,"",MIN($N$2:$N$11))</f>
        <v>0</v>
      </c>
      <c r="Y11">
        <f>IF(COUNT($N$2:$N$11)&lt;14,"",MAX($N$2:$N$11))</f>
        <v>0</v>
      </c>
      <c r="Z11">
        <f>IF(OR(N11="",X11="",Y11="",Y11=X11),"",100*(N11-X11)/(Y11-X11))</f>
        <v>0</v>
      </c>
      <c r="AA11">
        <f>IF(COUNT($Z$9:$Z$11)&lt;3,"",AVERAGE($Z$9:$Z$11))</f>
        <v>0</v>
      </c>
      <c r="AB11">
        <f>IF(COUNT($AA$9:$AA$11)&lt;3,"",AVERAGE($AA$9:$AA$11))</f>
        <v>0</v>
      </c>
      <c r="AC11">
        <f>IF($E11="","",MAX($C11-$D11,ABS($C11-$E10),ABS($D11-$E10)))</f>
        <v>0</v>
      </c>
      <c r="AD11">
        <f>IF(COUNT($E$2:$E11)&lt;15,"",AVERAGE($AC$2:$AC$11))</f>
        <v>0</v>
      </c>
      <c r="AE11">
        <f>IF(OR($E11="",$E10=""),"",IF(AND(($C11-$C10)&gt;($D10-$D11),($C11-$C10)&gt;0),$C11-$C10,0))</f>
        <v>0</v>
      </c>
      <c r="AF11">
        <f>IF(OR($E11="",$E10=""),"",IF(AND(($D10-$D11)&gt;($C11-$C10),($D10-$D11)&gt;0),$D10-$D11,0))</f>
        <v>0</v>
      </c>
      <c r="AG11">
        <f>IF(COUNT($E$2:$E11)&lt;15,"",IF(SUM($AC$2:$AC$11)=0,0,100*SUM($AE$2:$AE$11)/SUM($AC$2:$AC$11)))</f>
        <v>0</v>
      </c>
      <c r="AH11">
        <f>IF(COUNT($E$2:$E11)&lt;15,"",IF(SUM($AC$2:$AC$11)=0,0,100*SUM($AF$2:$AF$11)/SUM($AC$2:$AC$11)))</f>
        <v>0</v>
      </c>
      <c r="AI11">
        <f>IF(OR(AG11="",AH11=""),"",IF((AG11+AH11)=0,0,100*ABS(AG11-AH11)/(AG11+AH11)))</f>
        <v>0</v>
      </c>
      <c r="AJ11">
        <f>IF(COUNT($AI$2:$AI$11)&lt;14,"",AVERAGE($AI$2:$AI$11))</f>
        <v>0</v>
      </c>
      <c r="AK11">
        <f>IF(COUNT($E$2:$E11)&lt;20,"",AVERAGE($E$2:$E$11))</f>
        <v>0</v>
      </c>
      <c r="AL11">
        <f>IF(COUNT($E$2:$E11)&lt;20,"",STDEVP($E$2:$E$11))</f>
        <v>0</v>
      </c>
      <c r="AM11">
        <f>IF(AK11="","",AK11+2*AL11)</f>
        <v>0</v>
      </c>
      <c r="AN11">
        <f>IF(AK11="","",AK11-2*AL11)</f>
        <v>0</v>
      </c>
      <c r="AO11">
        <f>IF(OR(AM11="",AN11="",AM11=AN11),"",($E11-AN11)/(AM11-AN11))</f>
        <v>0</v>
      </c>
      <c r="AP11">
        <f>IF(OR(AM11="",AK11="",AK11=0),"",(AM11-AN11)/AK11)</f>
        <v>0</v>
      </c>
      <c r="AQ11">
        <f>IF(COUNT($E$2:$E11)&lt;20,"",MAX($C$2:$C$11))</f>
        <v>0</v>
      </c>
      <c r="AR11">
        <f>IF(COUNT($E$2:$E11)&lt;20,"",MIN($D$2:$D$11))</f>
        <v>0</v>
      </c>
      <c r="AS11">
        <f>IF(OR(AQ11="",AR11=""),"",(AQ11+AR11)/2)</f>
        <v>0</v>
      </c>
      <c r="AT11">
        <f>IF(COUNT($G$2:$G$11)&lt;20,"",STDEV($G$2:$G$11)*SQRT(12))</f>
        <v>0</v>
      </c>
      <c r="AU11">
        <f>IF(COUNT($E$2:$E11)&lt;9,"",(MAX($C$3:$C$11)+MIN($D$3:$D$11))/2)</f>
        <v>0</v>
      </c>
      <c r="AV11">
        <f>IF(COUNT($E$2:$E11)&lt;26,"",(MAX($C$2:$C$11)+MIN($D$2:$D$11))/2)</f>
        <v>0</v>
      </c>
      <c r="AW11">
        <f>IF(OR(AU11="",AV11=""),"",(AU11+AV11)/2)</f>
        <v>0</v>
      </c>
      <c r="AX11">
        <f>IF(COUNT($E$2:$E11)&lt;52,"",(MAX($C$2:$C$11)+MIN($D$2:$D$11))/2)</f>
        <v>0</v>
      </c>
      <c r="AY11">
        <f>IF(COUNT($E$2:$E11)&lt;20,"",MAX($C$2:$C$11))</f>
        <v>0</v>
      </c>
      <c r="AZ11">
        <f>IF(COUNT($E$2:$E11)&lt;20,"",MIN($D$2:$D$11))</f>
        <v>0</v>
      </c>
      <c r="BA11">
        <f>IF(COUNT($E$2:$E11)&lt;20,"",SLOPE($E$2:$E$11,$F$2:$F$11))</f>
        <v>0</v>
      </c>
      <c r="BB11">
        <f>IF(COUNT($E$2:$E11)&lt;20,"",INTERCEPT($E$2:$E$11,$F$2:$F$11))</f>
        <v>0</v>
      </c>
      <c r="BC11">
        <f>IF(OR(BA11="",BB11=""),"",BB11+BA11*F11)</f>
        <v>0</v>
      </c>
      <c r="BD11">
        <f>IF(COUNT($E$2:$E11)&lt;20,"",STEYX($E$2:$E$11,$F$2:$F$11))</f>
        <v>0</v>
      </c>
      <c r="BE11">
        <f>IF($E11="","",IF(AND(COUNT($E$12:$E$15)&gt;=4,$C11=MAX($C$7:$C$15)),$C11,""))</f>
        <v>0</v>
      </c>
      <c r="BF11">
        <f>IF($E11="","",IF(AND(COUNT($E$12:$E$15)&gt;=4,$D11=MIN($D$7:$D$15)),$D11,""))</f>
        <v>0</v>
      </c>
      <c r="BG11">
        <f>IFERROR(SMALL(Calc_Daily!$BT$2:$BT$2001,10),"")</f>
        <v>0</v>
      </c>
    </row>
    <row r="12" spans="1:59">
      <c r="A12" s="27">
        <f>IF($BG12="","",INDEX(Calc_Daily!$A$2:$A$2001,$BG12))</f>
        <v>0</v>
      </c>
      <c r="B12">
        <f>IF($BG12="","",INDEX(Calc_Daily!$BQ$2:$BQ$2001,$BG12))</f>
        <v>0</v>
      </c>
      <c r="C12">
        <f>IF($BG12="","",INDEX(Calc_Daily!$BR$2:$BR$2001,$BG12))</f>
        <v>0</v>
      </c>
      <c r="D12">
        <f>IF($BG12="","",INDEX(Calc_Daily!$BS$2:$BS$2001,$BG12))</f>
        <v>0</v>
      </c>
      <c r="E12">
        <f>IF($BG12="","",INDEX(Calc_Daily!$E$2:$E$2001,$BG12))</f>
        <v>0</v>
      </c>
      <c r="F12">
        <f>IF($E12="","",N(F11)+1)</f>
        <v>0</v>
      </c>
      <c r="G12">
        <f>IF(OR($E12="",$E11=""),"",LN($E12/$E11))</f>
        <v>0</v>
      </c>
      <c r="H12">
        <f>IF($E12="","",IF($E11="",$E12,$E12*0.0952380952+H11*0.9047619048))</f>
        <v>0</v>
      </c>
      <c r="I12">
        <f>IF($E12="","",IF($E11="",$E12,$E12*0.0392156863+I11*0.9607843137))</f>
        <v>0</v>
      </c>
      <c r="J12">
        <f>IF($E12="","",IF($E11="",$E12,$E12*0.0198019802+J11*0.9801980198))</f>
        <v>0</v>
      </c>
      <c r="K12">
        <f>IF($E12="","",IF($E11="",$E12,$E12*0.0099502488+K11*0.9900497512))</f>
        <v>0</v>
      </c>
      <c r="L12">
        <f>IF(OR($E12="",$E11=""),"",MAX($E12-$E11,0))</f>
        <v>0</v>
      </c>
      <c r="M12">
        <f>IF(OR($E12="",$E11=""),"",MAX($E11-$E12,0))</f>
        <v>0</v>
      </c>
      <c r="N12">
        <f>IF(COUNT($E$2:$E12)&lt;15,"",IF(AVERAGE($M$2:$M$12)=0,100,100-100/(1+AVERAGE($L$2:$L$12)/AVERAGE($M$2:$M$12))))</f>
        <v>0</v>
      </c>
      <c r="O12">
        <f>IF($E12="","",IF($E11="",$E12,$E12*0.1538461538+O11*0.8461538462))</f>
        <v>0</v>
      </c>
      <c r="P12">
        <f>IF($E12="","",IF($E11="",$E12,$E12*0.0740740741+P11*0.9259259259))</f>
        <v>0</v>
      </c>
      <c r="Q12">
        <f>IF(OR(O12="",P12=""),"",O12-P12)</f>
        <v>0</v>
      </c>
      <c r="R12">
        <f>IF(Q12="","",IF(R11="",Q12,Q12*0.2000000000+R11*0.8000000000))</f>
        <v>0</v>
      </c>
      <c r="S12">
        <f>IF(OR(Q12="",R12=""),"",Q12-R12)</f>
        <v>0</v>
      </c>
      <c r="T12">
        <f>IF(COUNT($E$2:$E12)&lt;14,"",MAX($C$2:$C$12))</f>
        <v>0</v>
      </c>
      <c r="U12">
        <f>IF(COUNT($E$2:$E12)&lt;14,"",MIN($D$2:$D$12))</f>
        <v>0</v>
      </c>
      <c r="V12">
        <f>IF(OR(T12="",U12="",T12=U12),"",100*($E12-U12)/(T12-U12))</f>
        <v>0</v>
      </c>
      <c r="W12">
        <f>IF(COUNT($V$10:$V$12)&lt;3,"",AVERAGE($V$10:$V$12))</f>
        <v>0</v>
      </c>
      <c r="X12">
        <f>IF(COUNT($N$2:$N$12)&lt;14,"",MIN($N$2:$N$12))</f>
        <v>0</v>
      </c>
      <c r="Y12">
        <f>IF(COUNT($N$2:$N$12)&lt;14,"",MAX($N$2:$N$12))</f>
        <v>0</v>
      </c>
      <c r="Z12">
        <f>IF(OR(N12="",X12="",Y12="",Y12=X12),"",100*(N12-X12)/(Y12-X12))</f>
        <v>0</v>
      </c>
      <c r="AA12">
        <f>IF(COUNT($Z$10:$Z$12)&lt;3,"",AVERAGE($Z$10:$Z$12))</f>
        <v>0</v>
      </c>
      <c r="AB12">
        <f>IF(COUNT($AA$10:$AA$12)&lt;3,"",AVERAGE($AA$10:$AA$12))</f>
        <v>0</v>
      </c>
      <c r="AC12">
        <f>IF($E12="","",MAX($C12-$D12,ABS($C12-$E11),ABS($D12-$E11)))</f>
        <v>0</v>
      </c>
      <c r="AD12">
        <f>IF(COUNT($E$2:$E12)&lt;15,"",AVERAGE($AC$2:$AC$12))</f>
        <v>0</v>
      </c>
      <c r="AE12">
        <f>IF(OR($E12="",$E11=""),"",IF(AND(($C12-$C11)&gt;($D11-$D12),($C12-$C11)&gt;0),$C12-$C11,0))</f>
        <v>0</v>
      </c>
      <c r="AF12">
        <f>IF(OR($E12="",$E11=""),"",IF(AND(($D11-$D12)&gt;($C12-$C11),($D11-$D12)&gt;0),$D11-$D12,0))</f>
        <v>0</v>
      </c>
      <c r="AG12">
        <f>IF(COUNT($E$2:$E12)&lt;15,"",IF(SUM($AC$2:$AC$12)=0,0,100*SUM($AE$2:$AE$12)/SUM($AC$2:$AC$12)))</f>
        <v>0</v>
      </c>
      <c r="AH12">
        <f>IF(COUNT($E$2:$E12)&lt;15,"",IF(SUM($AC$2:$AC$12)=0,0,100*SUM($AF$2:$AF$12)/SUM($AC$2:$AC$12)))</f>
        <v>0</v>
      </c>
      <c r="AI12">
        <f>IF(OR(AG12="",AH12=""),"",IF((AG12+AH12)=0,0,100*ABS(AG12-AH12)/(AG12+AH12)))</f>
        <v>0</v>
      </c>
      <c r="AJ12">
        <f>IF(COUNT($AI$2:$AI$12)&lt;14,"",AVERAGE($AI$2:$AI$12))</f>
        <v>0</v>
      </c>
      <c r="AK12">
        <f>IF(COUNT($E$2:$E12)&lt;20,"",AVERAGE($E$2:$E$12))</f>
        <v>0</v>
      </c>
      <c r="AL12">
        <f>IF(COUNT($E$2:$E12)&lt;20,"",STDEVP($E$2:$E$12))</f>
        <v>0</v>
      </c>
      <c r="AM12">
        <f>IF(AK12="","",AK12+2*AL12)</f>
        <v>0</v>
      </c>
      <c r="AN12">
        <f>IF(AK12="","",AK12-2*AL12)</f>
        <v>0</v>
      </c>
      <c r="AO12">
        <f>IF(OR(AM12="",AN12="",AM12=AN12),"",($E12-AN12)/(AM12-AN12))</f>
        <v>0</v>
      </c>
      <c r="AP12">
        <f>IF(OR(AM12="",AK12="",AK12=0),"",(AM12-AN12)/AK12)</f>
        <v>0</v>
      </c>
      <c r="AQ12">
        <f>IF(COUNT($E$2:$E12)&lt;20,"",MAX($C$2:$C$12))</f>
        <v>0</v>
      </c>
      <c r="AR12">
        <f>IF(COUNT($E$2:$E12)&lt;20,"",MIN($D$2:$D$12))</f>
        <v>0</v>
      </c>
      <c r="AS12">
        <f>IF(OR(AQ12="",AR12=""),"",(AQ12+AR12)/2)</f>
        <v>0</v>
      </c>
      <c r="AT12">
        <f>IF(COUNT($G$2:$G$12)&lt;20,"",STDEV($G$2:$G$12)*SQRT(12))</f>
        <v>0</v>
      </c>
      <c r="AU12">
        <f>IF(COUNT($E$2:$E12)&lt;9,"",(MAX($C$4:$C$12)+MIN($D$4:$D$12))/2)</f>
        <v>0</v>
      </c>
      <c r="AV12">
        <f>IF(COUNT($E$2:$E12)&lt;26,"",(MAX($C$2:$C$12)+MIN($D$2:$D$12))/2)</f>
        <v>0</v>
      </c>
      <c r="AW12">
        <f>IF(OR(AU12="",AV12=""),"",(AU12+AV12)/2)</f>
        <v>0</v>
      </c>
      <c r="AX12">
        <f>IF(COUNT($E$2:$E12)&lt;52,"",(MAX($C$2:$C$12)+MIN($D$2:$D$12))/2)</f>
        <v>0</v>
      </c>
      <c r="AY12">
        <f>IF(COUNT($E$2:$E12)&lt;20,"",MAX($C$2:$C$12))</f>
        <v>0</v>
      </c>
      <c r="AZ12">
        <f>IF(COUNT($E$2:$E12)&lt;20,"",MIN($D$2:$D$12))</f>
        <v>0</v>
      </c>
      <c r="BA12">
        <f>IF(COUNT($E$2:$E12)&lt;20,"",SLOPE($E$2:$E$12,$F$2:$F$12))</f>
        <v>0</v>
      </c>
      <c r="BB12">
        <f>IF(COUNT($E$2:$E12)&lt;20,"",INTERCEPT($E$2:$E$12,$F$2:$F$12))</f>
        <v>0</v>
      </c>
      <c r="BC12">
        <f>IF(OR(BA12="",BB12=""),"",BB12+BA12*F12)</f>
        <v>0</v>
      </c>
      <c r="BD12">
        <f>IF(COUNT($E$2:$E12)&lt;20,"",STEYX($E$2:$E$12,$F$2:$F$12))</f>
        <v>0</v>
      </c>
      <c r="BE12">
        <f>IF($E12="","",IF(AND(COUNT($E$13:$E$16)&gt;=4,$C12=MAX($C$8:$C$16)),$C12,""))</f>
        <v>0</v>
      </c>
      <c r="BF12">
        <f>IF($E12="","",IF(AND(COUNT($E$13:$E$16)&gt;=4,$D12=MIN($D$8:$D$16)),$D12,""))</f>
        <v>0</v>
      </c>
      <c r="BG12">
        <f>IFERROR(SMALL(Calc_Daily!$BT$2:$BT$2001,11),"")</f>
        <v>0</v>
      </c>
    </row>
    <row r="13" spans="1:59">
      <c r="A13" s="27">
        <f>IF($BG13="","",INDEX(Calc_Daily!$A$2:$A$2001,$BG13))</f>
        <v>0</v>
      </c>
      <c r="B13">
        <f>IF($BG13="","",INDEX(Calc_Daily!$BQ$2:$BQ$2001,$BG13))</f>
        <v>0</v>
      </c>
      <c r="C13">
        <f>IF($BG13="","",INDEX(Calc_Daily!$BR$2:$BR$2001,$BG13))</f>
        <v>0</v>
      </c>
      <c r="D13">
        <f>IF($BG13="","",INDEX(Calc_Daily!$BS$2:$BS$2001,$BG13))</f>
        <v>0</v>
      </c>
      <c r="E13">
        <f>IF($BG13="","",INDEX(Calc_Daily!$E$2:$E$2001,$BG13))</f>
        <v>0</v>
      </c>
      <c r="F13">
        <f>IF($E13="","",N(F12)+1)</f>
        <v>0</v>
      </c>
      <c r="G13">
        <f>IF(OR($E13="",$E12=""),"",LN($E13/$E12))</f>
        <v>0</v>
      </c>
      <c r="H13">
        <f>IF($E13="","",IF($E12="",$E13,$E13*0.0952380952+H12*0.9047619048))</f>
        <v>0</v>
      </c>
      <c r="I13">
        <f>IF($E13="","",IF($E12="",$E13,$E13*0.0392156863+I12*0.9607843137))</f>
        <v>0</v>
      </c>
      <c r="J13">
        <f>IF($E13="","",IF($E12="",$E13,$E13*0.0198019802+J12*0.9801980198))</f>
        <v>0</v>
      </c>
      <c r="K13">
        <f>IF($E13="","",IF($E12="",$E13,$E13*0.0099502488+K12*0.9900497512))</f>
        <v>0</v>
      </c>
      <c r="L13">
        <f>IF(OR($E13="",$E12=""),"",MAX($E13-$E12,0))</f>
        <v>0</v>
      </c>
      <c r="M13">
        <f>IF(OR($E13="",$E12=""),"",MAX($E12-$E13,0))</f>
        <v>0</v>
      </c>
      <c r="N13">
        <f>IF(COUNT($E$2:$E13)&lt;15,"",IF(AVERAGE($M$2:$M$13)=0,100,100-100/(1+AVERAGE($L$2:$L$13)/AVERAGE($M$2:$M$13))))</f>
        <v>0</v>
      </c>
      <c r="O13">
        <f>IF($E13="","",IF($E12="",$E13,$E13*0.1538461538+O12*0.8461538462))</f>
        <v>0</v>
      </c>
      <c r="P13">
        <f>IF($E13="","",IF($E12="",$E13,$E13*0.0740740741+P12*0.9259259259))</f>
        <v>0</v>
      </c>
      <c r="Q13">
        <f>IF(OR(O13="",P13=""),"",O13-P13)</f>
        <v>0</v>
      </c>
      <c r="R13">
        <f>IF(Q13="","",IF(R12="",Q13,Q13*0.2000000000+R12*0.8000000000))</f>
        <v>0</v>
      </c>
      <c r="S13">
        <f>IF(OR(Q13="",R13=""),"",Q13-R13)</f>
        <v>0</v>
      </c>
      <c r="T13">
        <f>IF(COUNT($E$2:$E13)&lt;14,"",MAX($C$2:$C$13))</f>
        <v>0</v>
      </c>
      <c r="U13">
        <f>IF(COUNT($E$2:$E13)&lt;14,"",MIN($D$2:$D$13))</f>
        <v>0</v>
      </c>
      <c r="V13">
        <f>IF(OR(T13="",U13="",T13=U13),"",100*($E13-U13)/(T13-U13))</f>
        <v>0</v>
      </c>
      <c r="W13">
        <f>IF(COUNT($V$11:$V$13)&lt;3,"",AVERAGE($V$11:$V$13))</f>
        <v>0</v>
      </c>
      <c r="X13">
        <f>IF(COUNT($N$2:$N$13)&lt;14,"",MIN($N$2:$N$13))</f>
        <v>0</v>
      </c>
      <c r="Y13">
        <f>IF(COUNT($N$2:$N$13)&lt;14,"",MAX($N$2:$N$13))</f>
        <v>0</v>
      </c>
      <c r="Z13">
        <f>IF(OR(N13="",X13="",Y13="",Y13=X13),"",100*(N13-X13)/(Y13-X13))</f>
        <v>0</v>
      </c>
      <c r="AA13">
        <f>IF(COUNT($Z$11:$Z$13)&lt;3,"",AVERAGE($Z$11:$Z$13))</f>
        <v>0</v>
      </c>
      <c r="AB13">
        <f>IF(COUNT($AA$11:$AA$13)&lt;3,"",AVERAGE($AA$11:$AA$13))</f>
        <v>0</v>
      </c>
      <c r="AC13">
        <f>IF($E13="","",MAX($C13-$D13,ABS($C13-$E12),ABS($D13-$E12)))</f>
        <v>0</v>
      </c>
      <c r="AD13">
        <f>IF(COUNT($E$2:$E13)&lt;15,"",AVERAGE($AC$2:$AC$13))</f>
        <v>0</v>
      </c>
      <c r="AE13">
        <f>IF(OR($E13="",$E12=""),"",IF(AND(($C13-$C12)&gt;($D12-$D13),($C13-$C12)&gt;0),$C13-$C12,0))</f>
        <v>0</v>
      </c>
      <c r="AF13">
        <f>IF(OR($E13="",$E12=""),"",IF(AND(($D12-$D13)&gt;($C13-$C12),($D12-$D13)&gt;0),$D12-$D13,0))</f>
        <v>0</v>
      </c>
      <c r="AG13">
        <f>IF(COUNT($E$2:$E13)&lt;15,"",IF(SUM($AC$2:$AC$13)=0,0,100*SUM($AE$2:$AE$13)/SUM($AC$2:$AC$13)))</f>
        <v>0</v>
      </c>
      <c r="AH13">
        <f>IF(COUNT($E$2:$E13)&lt;15,"",IF(SUM($AC$2:$AC$13)=0,0,100*SUM($AF$2:$AF$13)/SUM($AC$2:$AC$13)))</f>
        <v>0</v>
      </c>
      <c r="AI13">
        <f>IF(OR(AG13="",AH13=""),"",IF((AG13+AH13)=0,0,100*ABS(AG13-AH13)/(AG13+AH13)))</f>
        <v>0</v>
      </c>
      <c r="AJ13">
        <f>IF(COUNT($AI$2:$AI$13)&lt;14,"",AVERAGE($AI$2:$AI$13))</f>
        <v>0</v>
      </c>
      <c r="AK13">
        <f>IF(COUNT($E$2:$E13)&lt;20,"",AVERAGE($E$2:$E$13))</f>
        <v>0</v>
      </c>
      <c r="AL13">
        <f>IF(COUNT($E$2:$E13)&lt;20,"",STDEVP($E$2:$E$13))</f>
        <v>0</v>
      </c>
      <c r="AM13">
        <f>IF(AK13="","",AK13+2*AL13)</f>
        <v>0</v>
      </c>
      <c r="AN13">
        <f>IF(AK13="","",AK13-2*AL13)</f>
        <v>0</v>
      </c>
      <c r="AO13">
        <f>IF(OR(AM13="",AN13="",AM13=AN13),"",($E13-AN13)/(AM13-AN13))</f>
        <v>0</v>
      </c>
      <c r="AP13">
        <f>IF(OR(AM13="",AK13="",AK13=0),"",(AM13-AN13)/AK13)</f>
        <v>0</v>
      </c>
      <c r="AQ13">
        <f>IF(COUNT($E$2:$E13)&lt;20,"",MAX($C$2:$C$13))</f>
        <v>0</v>
      </c>
      <c r="AR13">
        <f>IF(COUNT($E$2:$E13)&lt;20,"",MIN($D$2:$D$13))</f>
        <v>0</v>
      </c>
      <c r="AS13">
        <f>IF(OR(AQ13="",AR13=""),"",(AQ13+AR13)/2)</f>
        <v>0</v>
      </c>
      <c r="AT13">
        <f>IF(COUNT($G$2:$G$13)&lt;20,"",STDEV($G$2:$G$13)*SQRT(12))</f>
        <v>0</v>
      </c>
      <c r="AU13">
        <f>IF(COUNT($E$2:$E13)&lt;9,"",(MAX($C$5:$C$13)+MIN($D$5:$D$13))/2)</f>
        <v>0</v>
      </c>
      <c r="AV13">
        <f>IF(COUNT($E$2:$E13)&lt;26,"",(MAX($C$2:$C$13)+MIN($D$2:$D$13))/2)</f>
        <v>0</v>
      </c>
      <c r="AW13">
        <f>IF(OR(AU13="",AV13=""),"",(AU13+AV13)/2)</f>
        <v>0</v>
      </c>
      <c r="AX13">
        <f>IF(COUNT($E$2:$E13)&lt;52,"",(MAX($C$2:$C$13)+MIN($D$2:$D$13))/2)</f>
        <v>0</v>
      </c>
      <c r="AY13">
        <f>IF(COUNT($E$2:$E13)&lt;20,"",MAX($C$2:$C$13))</f>
        <v>0</v>
      </c>
      <c r="AZ13">
        <f>IF(COUNT($E$2:$E13)&lt;20,"",MIN($D$2:$D$13))</f>
        <v>0</v>
      </c>
      <c r="BA13">
        <f>IF(COUNT($E$2:$E13)&lt;20,"",SLOPE($E$2:$E$13,$F$2:$F$13))</f>
        <v>0</v>
      </c>
      <c r="BB13">
        <f>IF(COUNT($E$2:$E13)&lt;20,"",INTERCEPT($E$2:$E$13,$F$2:$F$13))</f>
        <v>0</v>
      </c>
      <c r="BC13">
        <f>IF(OR(BA13="",BB13=""),"",BB13+BA13*F13)</f>
        <v>0</v>
      </c>
      <c r="BD13">
        <f>IF(COUNT($E$2:$E13)&lt;20,"",STEYX($E$2:$E$13,$F$2:$F$13))</f>
        <v>0</v>
      </c>
      <c r="BE13">
        <f>IF($E13="","",IF(AND(COUNT($E$14:$E$17)&gt;=4,$C13=MAX($C$9:$C$17)),$C13,""))</f>
        <v>0</v>
      </c>
      <c r="BF13">
        <f>IF($E13="","",IF(AND(COUNT($E$14:$E$17)&gt;=4,$D13=MIN($D$9:$D$17)),$D13,""))</f>
        <v>0</v>
      </c>
      <c r="BG13">
        <f>IFERROR(SMALL(Calc_Daily!$BT$2:$BT$2001,12),"")</f>
        <v>0</v>
      </c>
    </row>
    <row r="14" spans="1:59">
      <c r="A14" s="27">
        <f>IF($BG14="","",INDEX(Calc_Daily!$A$2:$A$2001,$BG14))</f>
        <v>0</v>
      </c>
      <c r="B14">
        <f>IF($BG14="","",INDEX(Calc_Daily!$BQ$2:$BQ$2001,$BG14))</f>
        <v>0</v>
      </c>
      <c r="C14">
        <f>IF($BG14="","",INDEX(Calc_Daily!$BR$2:$BR$2001,$BG14))</f>
        <v>0</v>
      </c>
      <c r="D14">
        <f>IF($BG14="","",INDEX(Calc_Daily!$BS$2:$BS$2001,$BG14))</f>
        <v>0</v>
      </c>
      <c r="E14">
        <f>IF($BG14="","",INDEX(Calc_Daily!$E$2:$E$2001,$BG14))</f>
        <v>0</v>
      </c>
      <c r="F14">
        <f>IF($E14="","",N(F13)+1)</f>
        <v>0</v>
      </c>
      <c r="G14">
        <f>IF(OR($E14="",$E13=""),"",LN($E14/$E13))</f>
        <v>0</v>
      </c>
      <c r="H14">
        <f>IF($E14="","",IF($E13="",$E14,$E14*0.0952380952+H13*0.9047619048))</f>
        <v>0</v>
      </c>
      <c r="I14">
        <f>IF($E14="","",IF($E13="",$E14,$E14*0.0392156863+I13*0.9607843137))</f>
        <v>0</v>
      </c>
      <c r="J14">
        <f>IF($E14="","",IF($E13="",$E14,$E14*0.0198019802+J13*0.9801980198))</f>
        <v>0</v>
      </c>
      <c r="K14">
        <f>IF($E14="","",IF($E13="",$E14,$E14*0.0099502488+K13*0.9900497512))</f>
        <v>0</v>
      </c>
      <c r="L14">
        <f>IF(OR($E14="",$E13=""),"",MAX($E14-$E13,0))</f>
        <v>0</v>
      </c>
      <c r="M14">
        <f>IF(OR($E14="",$E13=""),"",MAX($E13-$E14,0))</f>
        <v>0</v>
      </c>
      <c r="N14">
        <f>IF(COUNT($E$2:$E14)&lt;15,"",IF(AVERAGE($M$2:$M$14)=0,100,100-100/(1+AVERAGE($L$2:$L$14)/AVERAGE($M$2:$M$14))))</f>
        <v>0</v>
      </c>
      <c r="O14">
        <f>IF($E14="","",IF($E13="",$E14,$E14*0.1538461538+O13*0.8461538462))</f>
        <v>0</v>
      </c>
      <c r="P14">
        <f>IF($E14="","",IF($E13="",$E14,$E14*0.0740740741+P13*0.9259259259))</f>
        <v>0</v>
      </c>
      <c r="Q14">
        <f>IF(OR(O14="",P14=""),"",O14-P14)</f>
        <v>0</v>
      </c>
      <c r="R14">
        <f>IF(Q14="","",IF(R13="",Q14,Q14*0.2000000000+R13*0.8000000000))</f>
        <v>0</v>
      </c>
      <c r="S14">
        <f>IF(OR(Q14="",R14=""),"",Q14-R14)</f>
        <v>0</v>
      </c>
      <c r="T14">
        <f>IF(COUNT($E$2:$E14)&lt;14,"",MAX($C$2:$C$14))</f>
        <v>0</v>
      </c>
      <c r="U14">
        <f>IF(COUNT($E$2:$E14)&lt;14,"",MIN($D$2:$D$14))</f>
        <v>0</v>
      </c>
      <c r="V14">
        <f>IF(OR(T14="",U14="",T14=U14),"",100*($E14-U14)/(T14-U14))</f>
        <v>0</v>
      </c>
      <c r="W14">
        <f>IF(COUNT($V$12:$V$14)&lt;3,"",AVERAGE($V$12:$V$14))</f>
        <v>0</v>
      </c>
      <c r="X14">
        <f>IF(COUNT($N$2:$N$14)&lt;14,"",MIN($N$2:$N$14))</f>
        <v>0</v>
      </c>
      <c r="Y14">
        <f>IF(COUNT($N$2:$N$14)&lt;14,"",MAX($N$2:$N$14))</f>
        <v>0</v>
      </c>
      <c r="Z14">
        <f>IF(OR(N14="",X14="",Y14="",Y14=X14),"",100*(N14-X14)/(Y14-X14))</f>
        <v>0</v>
      </c>
      <c r="AA14">
        <f>IF(COUNT($Z$12:$Z$14)&lt;3,"",AVERAGE($Z$12:$Z$14))</f>
        <v>0</v>
      </c>
      <c r="AB14">
        <f>IF(COUNT($AA$12:$AA$14)&lt;3,"",AVERAGE($AA$12:$AA$14))</f>
        <v>0</v>
      </c>
      <c r="AC14">
        <f>IF($E14="","",MAX($C14-$D14,ABS($C14-$E13),ABS($D14-$E13)))</f>
        <v>0</v>
      </c>
      <c r="AD14">
        <f>IF(COUNT($E$2:$E14)&lt;15,"",AVERAGE($AC$2:$AC$14))</f>
        <v>0</v>
      </c>
      <c r="AE14">
        <f>IF(OR($E14="",$E13=""),"",IF(AND(($C14-$C13)&gt;($D13-$D14),($C14-$C13)&gt;0),$C14-$C13,0))</f>
        <v>0</v>
      </c>
      <c r="AF14">
        <f>IF(OR($E14="",$E13=""),"",IF(AND(($D13-$D14)&gt;($C14-$C13),($D13-$D14)&gt;0),$D13-$D14,0))</f>
        <v>0</v>
      </c>
      <c r="AG14">
        <f>IF(COUNT($E$2:$E14)&lt;15,"",IF(SUM($AC$2:$AC$14)=0,0,100*SUM($AE$2:$AE$14)/SUM($AC$2:$AC$14)))</f>
        <v>0</v>
      </c>
      <c r="AH14">
        <f>IF(COUNT($E$2:$E14)&lt;15,"",IF(SUM($AC$2:$AC$14)=0,0,100*SUM($AF$2:$AF$14)/SUM($AC$2:$AC$14)))</f>
        <v>0</v>
      </c>
      <c r="AI14">
        <f>IF(OR(AG14="",AH14=""),"",IF((AG14+AH14)=0,0,100*ABS(AG14-AH14)/(AG14+AH14)))</f>
        <v>0</v>
      </c>
      <c r="AJ14">
        <f>IF(COUNT($AI$2:$AI$14)&lt;14,"",AVERAGE($AI$2:$AI$14))</f>
        <v>0</v>
      </c>
      <c r="AK14">
        <f>IF(COUNT($E$2:$E14)&lt;20,"",AVERAGE($E$2:$E$14))</f>
        <v>0</v>
      </c>
      <c r="AL14">
        <f>IF(COUNT($E$2:$E14)&lt;20,"",STDEVP($E$2:$E$14))</f>
        <v>0</v>
      </c>
      <c r="AM14">
        <f>IF(AK14="","",AK14+2*AL14)</f>
        <v>0</v>
      </c>
      <c r="AN14">
        <f>IF(AK14="","",AK14-2*AL14)</f>
        <v>0</v>
      </c>
      <c r="AO14">
        <f>IF(OR(AM14="",AN14="",AM14=AN14),"",($E14-AN14)/(AM14-AN14))</f>
        <v>0</v>
      </c>
      <c r="AP14">
        <f>IF(OR(AM14="",AK14="",AK14=0),"",(AM14-AN14)/AK14)</f>
        <v>0</v>
      </c>
      <c r="AQ14">
        <f>IF(COUNT($E$2:$E14)&lt;20,"",MAX($C$2:$C$14))</f>
        <v>0</v>
      </c>
      <c r="AR14">
        <f>IF(COUNT($E$2:$E14)&lt;20,"",MIN($D$2:$D$14))</f>
        <v>0</v>
      </c>
      <c r="AS14">
        <f>IF(OR(AQ14="",AR14=""),"",(AQ14+AR14)/2)</f>
        <v>0</v>
      </c>
      <c r="AT14">
        <f>IF(COUNT($G$2:$G$14)&lt;20,"",STDEV($G$2:$G$14)*SQRT(12))</f>
        <v>0</v>
      </c>
      <c r="AU14">
        <f>IF(COUNT($E$2:$E14)&lt;9,"",(MAX($C$6:$C$14)+MIN($D$6:$D$14))/2)</f>
        <v>0</v>
      </c>
      <c r="AV14">
        <f>IF(COUNT($E$2:$E14)&lt;26,"",(MAX($C$2:$C$14)+MIN($D$2:$D$14))/2)</f>
        <v>0</v>
      </c>
      <c r="AW14">
        <f>IF(OR(AU14="",AV14=""),"",(AU14+AV14)/2)</f>
        <v>0</v>
      </c>
      <c r="AX14">
        <f>IF(COUNT($E$2:$E14)&lt;52,"",(MAX($C$2:$C$14)+MIN($D$2:$D$14))/2)</f>
        <v>0</v>
      </c>
      <c r="AY14">
        <f>IF(COUNT($E$2:$E14)&lt;20,"",MAX($C$2:$C$14))</f>
        <v>0</v>
      </c>
      <c r="AZ14">
        <f>IF(COUNT($E$2:$E14)&lt;20,"",MIN($D$2:$D$14))</f>
        <v>0</v>
      </c>
      <c r="BA14">
        <f>IF(COUNT($E$2:$E14)&lt;20,"",SLOPE($E$2:$E$14,$F$2:$F$14))</f>
        <v>0</v>
      </c>
      <c r="BB14">
        <f>IF(COUNT($E$2:$E14)&lt;20,"",INTERCEPT($E$2:$E$14,$F$2:$F$14))</f>
        <v>0</v>
      </c>
      <c r="BC14">
        <f>IF(OR(BA14="",BB14=""),"",BB14+BA14*F14)</f>
        <v>0</v>
      </c>
      <c r="BD14">
        <f>IF(COUNT($E$2:$E14)&lt;20,"",STEYX($E$2:$E$14,$F$2:$F$14))</f>
        <v>0</v>
      </c>
      <c r="BE14">
        <f>IF($E14="","",IF(AND(COUNT($E$15:$E$18)&gt;=4,$C14=MAX($C$10:$C$18)),$C14,""))</f>
        <v>0</v>
      </c>
      <c r="BF14">
        <f>IF($E14="","",IF(AND(COUNT($E$15:$E$18)&gt;=4,$D14=MIN($D$10:$D$18)),$D14,""))</f>
        <v>0</v>
      </c>
      <c r="BG14">
        <f>IFERROR(SMALL(Calc_Daily!$BT$2:$BT$2001,13),"")</f>
        <v>0</v>
      </c>
    </row>
    <row r="15" spans="1:59">
      <c r="A15" s="27">
        <f>IF($BG15="","",INDEX(Calc_Daily!$A$2:$A$2001,$BG15))</f>
        <v>0</v>
      </c>
      <c r="B15">
        <f>IF($BG15="","",INDEX(Calc_Daily!$BQ$2:$BQ$2001,$BG15))</f>
        <v>0</v>
      </c>
      <c r="C15">
        <f>IF($BG15="","",INDEX(Calc_Daily!$BR$2:$BR$2001,$BG15))</f>
        <v>0</v>
      </c>
      <c r="D15">
        <f>IF($BG15="","",INDEX(Calc_Daily!$BS$2:$BS$2001,$BG15))</f>
        <v>0</v>
      </c>
      <c r="E15">
        <f>IF($BG15="","",INDEX(Calc_Daily!$E$2:$E$2001,$BG15))</f>
        <v>0</v>
      </c>
      <c r="F15">
        <f>IF($E15="","",N(F14)+1)</f>
        <v>0</v>
      </c>
      <c r="G15">
        <f>IF(OR($E15="",$E14=""),"",LN($E15/$E14))</f>
        <v>0</v>
      </c>
      <c r="H15">
        <f>IF($E15="","",IF($E14="",$E15,$E15*0.0952380952+H14*0.9047619048))</f>
        <v>0</v>
      </c>
      <c r="I15">
        <f>IF($E15="","",IF($E14="",$E15,$E15*0.0392156863+I14*0.9607843137))</f>
        <v>0</v>
      </c>
      <c r="J15">
        <f>IF($E15="","",IF($E14="",$E15,$E15*0.0198019802+J14*0.9801980198))</f>
        <v>0</v>
      </c>
      <c r="K15">
        <f>IF($E15="","",IF($E14="",$E15,$E15*0.0099502488+K14*0.9900497512))</f>
        <v>0</v>
      </c>
      <c r="L15">
        <f>IF(OR($E15="",$E14=""),"",MAX($E15-$E14,0))</f>
        <v>0</v>
      </c>
      <c r="M15">
        <f>IF(OR($E15="",$E14=""),"",MAX($E14-$E15,0))</f>
        <v>0</v>
      </c>
      <c r="N15">
        <f>IF(COUNT($E$2:$E15)&lt;15,"",IF(AVERAGE($M$2:$M$15)=0,100,100-100/(1+AVERAGE($L$2:$L$15)/AVERAGE($M$2:$M$15))))</f>
        <v>0</v>
      </c>
      <c r="O15">
        <f>IF($E15="","",IF($E14="",$E15,$E15*0.1538461538+O14*0.8461538462))</f>
        <v>0</v>
      </c>
      <c r="P15">
        <f>IF($E15="","",IF($E14="",$E15,$E15*0.0740740741+P14*0.9259259259))</f>
        <v>0</v>
      </c>
      <c r="Q15">
        <f>IF(OR(O15="",P15=""),"",O15-P15)</f>
        <v>0</v>
      </c>
      <c r="R15">
        <f>IF(Q15="","",IF(R14="",Q15,Q15*0.2000000000+R14*0.8000000000))</f>
        <v>0</v>
      </c>
      <c r="S15">
        <f>IF(OR(Q15="",R15=""),"",Q15-R15)</f>
        <v>0</v>
      </c>
      <c r="T15">
        <f>IF(COUNT($E$2:$E15)&lt;14,"",MAX($C$2:$C$15))</f>
        <v>0</v>
      </c>
      <c r="U15">
        <f>IF(COUNT($E$2:$E15)&lt;14,"",MIN($D$2:$D$15))</f>
        <v>0</v>
      </c>
      <c r="V15">
        <f>IF(OR(T15="",U15="",T15=U15),"",100*($E15-U15)/(T15-U15))</f>
        <v>0</v>
      </c>
      <c r="W15">
        <f>IF(COUNT($V$13:$V$15)&lt;3,"",AVERAGE($V$13:$V$15))</f>
        <v>0</v>
      </c>
      <c r="X15">
        <f>IF(COUNT($N$2:$N$15)&lt;14,"",MIN($N$2:$N$15))</f>
        <v>0</v>
      </c>
      <c r="Y15">
        <f>IF(COUNT($N$2:$N$15)&lt;14,"",MAX($N$2:$N$15))</f>
        <v>0</v>
      </c>
      <c r="Z15">
        <f>IF(OR(N15="",X15="",Y15="",Y15=X15),"",100*(N15-X15)/(Y15-X15))</f>
        <v>0</v>
      </c>
      <c r="AA15">
        <f>IF(COUNT($Z$13:$Z$15)&lt;3,"",AVERAGE($Z$13:$Z$15))</f>
        <v>0</v>
      </c>
      <c r="AB15">
        <f>IF(COUNT($AA$13:$AA$15)&lt;3,"",AVERAGE($AA$13:$AA$15))</f>
        <v>0</v>
      </c>
      <c r="AC15">
        <f>IF($E15="","",MAX($C15-$D15,ABS($C15-$E14),ABS($D15-$E14)))</f>
        <v>0</v>
      </c>
      <c r="AD15">
        <f>IF(COUNT($E$2:$E15)&lt;15,"",AVERAGE($AC$2:$AC$15))</f>
        <v>0</v>
      </c>
      <c r="AE15">
        <f>IF(OR($E15="",$E14=""),"",IF(AND(($C15-$C14)&gt;($D14-$D15),($C15-$C14)&gt;0),$C15-$C14,0))</f>
        <v>0</v>
      </c>
      <c r="AF15">
        <f>IF(OR($E15="",$E14=""),"",IF(AND(($D14-$D15)&gt;($C15-$C14),($D14-$D15)&gt;0),$D14-$D15,0))</f>
        <v>0</v>
      </c>
      <c r="AG15">
        <f>IF(COUNT($E$2:$E15)&lt;15,"",IF(SUM($AC$2:$AC$15)=0,0,100*SUM($AE$2:$AE$15)/SUM($AC$2:$AC$15)))</f>
        <v>0</v>
      </c>
      <c r="AH15">
        <f>IF(COUNT($E$2:$E15)&lt;15,"",IF(SUM($AC$2:$AC$15)=0,0,100*SUM($AF$2:$AF$15)/SUM($AC$2:$AC$15)))</f>
        <v>0</v>
      </c>
      <c r="AI15">
        <f>IF(OR(AG15="",AH15=""),"",IF((AG15+AH15)=0,0,100*ABS(AG15-AH15)/(AG15+AH15)))</f>
        <v>0</v>
      </c>
      <c r="AJ15">
        <f>IF(COUNT($AI$2:$AI$15)&lt;14,"",AVERAGE($AI$2:$AI$15))</f>
        <v>0</v>
      </c>
      <c r="AK15">
        <f>IF(COUNT($E$2:$E15)&lt;20,"",AVERAGE($E$2:$E$15))</f>
        <v>0</v>
      </c>
      <c r="AL15">
        <f>IF(COUNT($E$2:$E15)&lt;20,"",STDEVP($E$2:$E$15))</f>
        <v>0</v>
      </c>
      <c r="AM15">
        <f>IF(AK15="","",AK15+2*AL15)</f>
        <v>0</v>
      </c>
      <c r="AN15">
        <f>IF(AK15="","",AK15-2*AL15)</f>
        <v>0</v>
      </c>
      <c r="AO15">
        <f>IF(OR(AM15="",AN15="",AM15=AN15),"",($E15-AN15)/(AM15-AN15))</f>
        <v>0</v>
      </c>
      <c r="AP15">
        <f>IF(OR(AM15="",AK15="",AK15=0),"",(AM15-AN15)/AK15)</f>
        <v>0</v>
      </c>
      <c r="AQ15">
        <f>IF(COUNT($E$2:$E15)&lt;20,"",MAX($C$2:$C$15))</f>
        <v>0</v>
      </c>
      <c r="AR15">
        <f>IF(COUNT($E$2:$E15)&lt;20,"",MIN($D$2:$D$15))</f>
        <v>0</v>
      </c>
      <c r="AS15">
        <f>IF(OR(AQ15="",AR15=""),"",(AQ15+AR15)/2)</f>
        <v>0</v>
      </c>
      <c r="AT15">
        <f>IF(COUNT($G$2:$G$15)&lt;20,"",STDEV($G$2:$G$15)*SQRT(12))</f>
        <v>0</v>
      </c>
      <c r="AU15">
        <f>IF(COUNT($E$2:$E15)&lt;9,"",(MAX($C$7:$C$15)+MIN($D$7:$D$15))/2)</f>
        <v>0</v>
      </c>
      <c r="AV15">
        <f>IF(COUNT($E$2:$E15)&lt;26,"",(MAX($C$2:$C$15)+MIN($D$2:$D$15))/2)</f>
        <v>0</v>
      </c>
      <c r="AW15">
        <f>IF(OR(AU15="",AV15=""),"",(AU15+AV15)/2)</f>
        <v>0</v>
      </c>
      <c r="AX15">
        <f>IF(COUNT($E$2:$E15)&lt;52,"",(MAX($C$2:$C$15)+MIN($D$2:$D$15))/2)</f>
        <v>0</v>
      </c>
      <c r="AY15">
        <f>IF(COUNT($E$2:$E15)&lt;20,"",MAX($C$2:$C$15))</f>
        <v>0</v>
      </c>
      <c r="AZ15">
        <f>IF(COUNT($E$2:$E15)&lt;20,"",MIN($D$2:$D$15))</f>
        <v>0</v>
      </c>
      <c r="BA15">
        <f>IF(COUNT($E$2:$E15)&lt;20,"",SLOPE($E$2:$E$15,$F$2:$F$15))</f>
        <v>0</v>
      </c>
      <c r="BB15">
        <f>IF(COUNT($E$2:$E15)&lt;20,"",INTERCEPT($E$2:$E$15,$F$2:$F$15))</f>
        <v>0</v>
      </c>
      <c r="BC15">
        <f>IF(OR(BA15="",BB15=""),"",BB15+BA15*F15)</f>
        <v>0</v>
      </c>
      <c r="BD15">
        <f>IF(COUNT($E$2:$E15)&lt;20,"",STEYX($E$2:$E$15,$F$2:$F$15))</f>
        <v>0</v>
      </c>
      <c r="BE15">
        <f>IF($E15="","",IF(AND(COUNT($E$16:$E$19)&gt;=4,$C15=MAX($C$11:$C$19)),$C15,""))</f>
        <v>0</v>
      </c>
      <c r="BF15">
        <f>IF($E15="","",IF(AND(COUNT($E$16:$E$19)&gt;=4,$D15=MIN($D$11:$D$19)),$D15,""))</f>
        <v>0</v>
      </c>
      <c r="BG15">
        <f>IFERROR(SMALL(Calc_Daily!$BT$2:$BT$2001,14),"")</f>
        <v>0</v>
      </c>
    </row>
    <row r="16" spans="1:59">
      <c r="A16" s="27">
        <f>IF($BG16="","",INDEX(Calc_Daily!$A$2:$A$2001,$BG16))</f>
        <v>0</v>
      </c>
      <c r="B16">
        <f>IF($BG16="","",INDEX(Calc_Daily!$BQ$2:$BQ$2001,$BG16))</f>
        <v>0</v>
      </c>
      <c r="C16">
        <f>IF($BG16="","",INDEX(Calc_Daily!$BR$2:$BR$2001,$BG16))</f>
        <v>0</v>
      </c>
      <c r="D16">
        <f>IF($BG16="","",INDEX(Calc_Daily!$BS$2:$BS$2001,$BG16))</f>
        <v>0</v>
      </c>
      <c r="E16">
        <f>IF($BG16="","",INDEX(Calc_Daily!$E$2:$E$2001,$BG16))</f>
        <v>0</v>
      </c>
      <c r="F16">
        <f>IF($E16="","",N(F15)+1)</f>
        <v>0</v>
      </c>
      <c r="G16">
        <f>IF(OR($E16="",$E15=""),"",LN($E16/$E15))</f>
        <v>0</v>
      </c>
      <c r="H16">
        <f>IF($E16="","",IF($E15="",$E16,$E16*0.0952380952+H15*0.9047619048))</f>
        <v>0</v>
      </c>
      <c r="I16">
        <f>IF($E16="","",IF($E15="",$E16,$E16*0.0392156863+I15*0.9607843137))</f>
        <v>0</v>
      </c>
      <c r="J16">
        <f>IF($E16="","",IF($E15="",$E16,$E16*0.0198019802+J15*0.9801980198))</f>
        <v>0</v>
      </c>
      <c r="K16">
        <f>IF($E16="","",IF($E15="",$E16,$E16*0.0099502488+K15*0.9900497512))</f>
        <v>0</v>
      </c>
      <c r="L16">
        <f>IF(OR($E16="",$E15=""),"",MAX($E16-$E15,0))</f>
        <v>0</v>
      </c>
      <c r="M16">
        <f>IF(OR($E16="",$E15=""),"",MAX($E15-$E16,0))</f>
        <v>0</v>
      </c>
      <c r="N16">
        <f>IF(COUNT($E$2:$E16)&lt;15,"",IF(AVERAGE($M$3:$M$16)=0,100,100-100/(1+AVERAGE($L$3:$L$16)/AVERAGE($M$3:$M$16))))</f>
        <v>0</v>
      </c>
      <c r="O16">
        <f>IF($E16="","",IF($E15="",$E16,$E16*0.1538461538+O15*0.8461538462))</f>
        <v>0</v>
      </c>
      <c r="P16">
        <f>IF($E16="","",IF($E15="",$E16,$E16*0.0740740741+P15*0.9259259259))</f>
        <v>0</v>
      </c>
      <c r="Q16">
        <f>IF(OR(O16="",P16=""),"",O16-P16)</f>
        <v>0</v>
      </c>
      <c r="R16">
        <f>IF(Q16="","",IF(R15="",Q16,Q16*0.2000000000+R15*0.8000000000))</f>
        <v>0</v>
      </c>
      <c r="S16">
        <f>IF(OR(Q16="",R16=""),"",Q16-R16)</f>
        <v>0</v>
      </c>
      <c r="T16">
        <f>IF(COUNT($E$2:$E16)&lt;14,"",MAX($C$3:$C$16))</f>
        <v>0</v>
      </c>
      <c r="U16">
        <f>IF(COUNT($E$2:$E16)&lt;14,"",MIN($D$3:$D$16))</f>
        <v>0</v>
      </c>
      <c r="V16">
        <f>IF(OR(T16="",U16="",T16=U16),"",100*($E16-U16)/(T16-U16))</f>
        <v>0</v>
      </c>
      <c r="W16">
        <f>IF(COUNT($V$14:$V$16)&lt;3,"",AVERAGE($V$14:$V$16))</f>
        <v>0</v>
      </c>
      <c r="X16">
        <f>IF(COUNT($N$3:$N$16)&lt;14,"",MIN($N$3:$N$16))</f>
        <v>0</v>
      </c>
      <c r="Y16">
        <f>IF(COUNT($N$3:$N$16)&lt;14,"",MAX($N$3:$N$16))</f>
        <v>0</v>
      </c>
      <c r="Z16">
        <f>IF(OR(N16="",X16="",Y16="",Y16=X16),"",100*(N16-X16)/(Y16-X16))</f>
        <v>0</v>
      </c>
      <c r="AA16">
        <f>IF(COUNT($Z$14:$Z$16)&lt;3,"",AVERAGE($Z$14:$Z$16))</f>
        <v>0</v>
      </c>
      <c r="AB16">
        <f>IF(COUNT($AA$14:$AA$16)&lt;3,"",AVERAGE($AA$14:$AA$16))</f>
        <v>0</v>
      </c>
      <c r="AC16">
        <f>IF($E16="","",MAX($C16-$D16,ABS($C16-$E15),ABS($D16-$E15)))</f>
        <v>0</v>
      </c>
      <c r="AD16">
        <f>IF(COUNT($E$2:$E16)&lt;15,"",AVERAGE($AC$3:$AC$16))</f>
        <v>0</v>
      </c>
      <c r="AE16">
        <f>IF(OR($E16="",$E15=""),"",IF(AND(($C16-$C15)&gt;($D15-$D16),($C16-$C15)&gt;0),$C16-$C15,0))</f>
        <v>0</v>
      </c>
      <c r="AF16">
        <f>IF(OR($E16="",$E15=""),"",IF(AND(($D15-$D16)&gt;($C16-$C15),($D15-$D16)&gt;0),$D15-$D16,0))</f>
        <v>0</v>
      </c>
      <c r="AG16">
        <f>IF(COUNT($E$2:$E16)&lt;15,"",IF(SUM($AC$3:$AC$16)=0,0,100*SUM($AE$3:$AE$16)/SUM($AC$3:$AC$16)))</f>
        <v>0</v>
      </c>
      <c r="AH16">
        <f>IF(COUNT($E$2:$E16)&lt;15,"",IF(SUM($AC$3:$AC$16)=0,0,100*SUM($AF$3:$AF$16)/SUM($AC$3:$AC$16)))</f>
        <v>0</v>
      </c>
      <c r="AI16">
        <f>IF(OR(AG16="",AH16=""),"",IF((AG16+AH16)=0,0,100*ABS(AG16-AH16)/(AG16+AH16)))</f>
        <v>0</v>
      </c>
      <c r="AJ16">
        <f>IF(COUNT($AI$3:$AI$16)&lt;14,"",AVERAGE($AI$3:$AI$16))</f>
        <v>0</v>
      </c>
      <c r="AK16">
        <f>IF(COUNT($E$2:$E16)&lt;20,"",AVERAGE($E$2:$E$16))</f>
        <v>0</v>
      </c>
      <c r="AL16">
        <f>IF(COUNT($E$2:$E16)&lt;20,"",STDEVP($E$2:$E$16))</f>
        <v>0</v>
      </c>
      <c r="AM16">
        <f>IF(AK16="","",AK16+2*AL16)</f>
        <v>0</v>
      </c>
      <c r="AN16">
        <f>IF(AK16="","",AK16-2*AL16)</f>
        <v>0</v>
      </c>
      <c r="AO16">
        <f>IF(OR(AM16="",AN16="",AM16=AN16),"",($E16-AN16)/(AM16-AN16))</f>
        <v>0</v>
      </c>
      <c r="AP16">
        <f>IF(OR(AM16="",AK16="",AK16=0),"",(AM16-AN16)/AK16)</f>
        <v>0</v>
      </c>
      <c r="AQ16">
        <f>IF(COUNT($E$2:$E16)&lt;20,"",MAX($C$2:$C$16))</f>
        <v>0</v>
      </c>
      <c r="AR16">
        <f>IF(COUNT($E$2:$E16)&lt;20,"",MIN($D$2:$D$16))</f>
        <v>0</v>
      </c>
      <c r="AS16">
        <f>IF(OR(AQ16="",AR16=""),"",(AQ16+AR16)/2)</f>
        <v>0</v>
      </c>
      <c r="AT16">
        <f>IF(COUNT($G$2:$G$16)&lt;20,"",STDEV($G$2:$G$16)*SQRT(12))</f>
        <v>0</v>
      </c>
      <c r="AU16">
        <f>IF(COUNT($E$2:$E16)&lt;9,"",(MAX($C$8:$C$16)+MIN($D$8:$D$16))/2)</f>
        <v>0</v>
      </c>
      <c r="AV16">
        <f>IF(COUNT($E$2:$E16)&lt;26,"",(MAX($C$2:$C$16)+MIN($D$2:$D$16))/2)</f>
        <v>0</v>
      </c>
      <c r="AW16">
        <f>IF(OR(AU16="",AV16=""),"",(AU16+AV16)/2)</f>
        <v>0</v>
      </c>
      <c r="AX16">
        <f>IF(COUNT($E$2:$E16)&lt;52,"",(MAX($C$2:$C$16)+MIN($D$2:$D$16))/2)</f>
        <v>0</v>
      </c>
      <c r="AY16">
        <f>IF(COUNT($E$2:$E16)&lt;20,"",MAX($C$2:$C$16))</f>
        <v>0</v>
      </c>
      <c r="AZ16">
        <f>IF(COUNT($E$2:$E16)&lt;20,"",MIN($D$2:$D$16))</f>
        <v>0</v>
      </c>
      <c r="BA16">
        <f>IF(COUNT($E$2:$E16)&lt;20,"",SLOPE($E$2:$E$16,$F$2:$F$16))</f>
        <v>0</v>
      </c>
      <c r="BB16">
        <f>IF(COUNT($E$2:$E16)&lt;20,"",INTERCEPT($E$2:$E$16,$F$2:$F$16))</f>
        <v>0</v>
      </c>
      <c r="BC16">
        <f>IF(OR(BA16="",BB16=""),"",BB16+BA16*F16)</f>
        <v>0</v>
      </c>
      <c r="BD16">
        <f>IF(COUNT($E$2:$E16)&lt;20,"",STEYX($E$2:$E$16,$F$2:$F$16))</f>
        <v>0</v>
      </c>
      <c r="BE16">
        <f>IF($E16="","",IF(AND(COUNT($E$17:$E$20)&gt;=4,$C16=MAX($C$12:$C$20)),$C16,""))</f>
        <v>0</v>
      </c>
      <c r="BF16">
        <f>IF($E16="","",IF(AND(COUNT($E$17:$E$20)&gt;=4,$D16=MIN($D$12:$D$20)),$D16,""))</f>
        <v>0</v>
      </c>
      <c r="BG16">
        <f>IFERROR(SMALL(Calc_Daily!$BT$2:$BT$2001,15),"")</f>
        <v>0</v>
      </c>
    </row>
    <row r="17" spans="1:59">
      <c r="A17" s="27">
        <f>IF($BG17="","",INDEX(Calc_Daily!$A$2:$A$2001,$BG17))</f>
        <v>0</v>
      </c>
      <c r="B17">
        <f>IF($BG17="","",INDEX(Calc_Daily!$BQ$2:$BQ$2001,$BG17))</f>
        <v>0</v>
      </c>
      <c r="C17">
        <f>IF($BG17="","",INDEX(Calc_Daily!$BR$2:$BR$2001,$BG17))</f>
        <v>0</v>
      </c>
      <c r="D17">
        <f>IF($BG17="","",INDEX(Calc_Daily!$BS$2:$BS$2001,$BG17))</f>
        <v>0</v>
      </c>
      <c r="E17">
        <f>IF($BG17="","",INDEX(Calc_Daily!$E$2:$E$2001,$BG17))</f>
        <v>0</v>
      </c>
      <c r="F17">
        <f>IF($E17="","",N(F16)+1)</f>
        <v>0</v>
      </c>
      <c r="G17">
        <f>IF(OR($E17="",$E16=""),"",LN($E17/$E16))</f>
        <v>0</v>
      </c>
      <c r="H17">
        <f>IF($E17="","",IF($E16="",$E17,$E17*0.0952380952+H16*0.9047619048))</f>
        <v>0</v>
      </c>
      <c r="I17">
        <f>IF($E17="","",IF($E16="",$E17,$E17*0.0392156863+I16*0.9607843137))</f>
        <v>0</v>
      </c>
      <c r="J17">
        <f>IF($E17="","",IF($E16="",$E17,$E17*0.0198019802+J16*0.9801980198))</f>
        <v>0</v>
      </c>
      <c r="K17">
        <f>IF($E17="","",IF($E16="",$E17,$E17*0.0099502488+K16*0.9900497512))</f>
        <v>0</v>
      </c>
      <c r="L17">
        <f>IF(OR($E17="",$E16=""),"",MAX($E17-$E16,0))</f>
        <v>0</v>
      </c>
      <c r="M17">
        <f>IF(OR($E17="",$E16=""),"",MAX($E16-$E17,0))</f>
        <v>0</v>
      </c>
      <c r="N17">
        <f>IF(COUNT($E$2:$E17)&lt;15,"",IF(AVERAGE($M$4:$M$17)=0,100,100-100/(1+AVERAGE($L$4:$L$17)/AVERAGE($M$4:$M$17))))</f>
        <v>0</v>
      </c>
      <c r="O17">
        <f>IF($E17="","",IF($E16="",$E17,$E17*0.1538461538+O16*0.8461538462))</f>
        <v>0</v>
      </c>
      <c r="P17">
        <f>IF($E17="","",IF($E16="",$E17,$E17*0.0740740741+P16*0.9259259259))</f>
        <v>0</v>
      </c>
      <c r="Q17">
        <f>IF(OR(O17="",P17=""),"",O17-P17)</f>
        <v>0</v>
      </c>
      <c r="R17">
        <f>IF(Q17="","",IF(R16="",Q17,Q17*0.2000000000+R16*0.8000000000))</f>
        <v>0</v>
      </c>
      <c r="S17">
        <f>IF(OR(Q17="",R17=""),"",Q17-R17)</f>
        <v>0</v>
      </c>
      <c r="T17">
        <f>IF(COUNT($E$2:$E17)&lt;14,"",MAX($C$4:$C$17))</f>
        <v>0</v>
      </c>
      <c r="U17">
        <f>IF(COUNT($E$2:$E17)&lt;14,"",MIN($D$4:$D$17))</f>
        <v>0</v>
      </c>
      <c r="V17">
        <f>IF(OR(T17="",U17="",T17=U17),"",100*($E17-U17)/(T17-U17))</f>
        <v>0</v>
      </c>
      <c r="W17">
        <f>IF(COUNT($V$15:$V$17)&lt;3,"",AVERAGE($V$15:$V$17))</f>
        <v>0</v>
      </c>
      <c r="X17">
        <f>IF(COUNT($N$4:$N$17)&lt;14,"",MIN($N$4:$N$17))</f>
        <v>0</v>
      </c>
      <c r="Y17">
        <f>IF(COUNT($N$4:$N$17)&lt;14,"",MAX($N$4:$N$17))</f>
        <v>0</v>
      </c>
      <c r="Z17">
        <f>IF(OR(N17="",X17="",Y17="",Y17=X17),"",100*(N17-X17)/(Y17-X17))</f>
        <v>0</v>
      </c>
      <c r="AA17">
        <f>IF(COUNT($Z$15:$Z$17)&lt;3,"",AVERAGE($Z$15:$Z$17))</f>
        <v>0</v>
      </c>
      <c r="AB17">
        <f>IF(COUNT($AA$15:$AA$17)&lt;3,"",AVERAGE($AA$15:$AA$17))</f>
        <v>0</v>
      </c>
      <c r="AC17">
        <f>IF($E17="","",MAX($C17-$D17,ABS($C17-$E16),ABS($D17-$E16)))</f>
        <v>0</v>
      </c>
      <c r="AD17">
        <f>IF(COUNT($E$2:$E17)&lt;15,"",AVERAGE($AC$4:$AC$17))</f>
        <v>0</v>
      </c>
      <c r="AE17">
        <f>IF(OR($E17="",$E16=""),"",IF(AND(($C17-$C16)&gt;($D16-$D17),($C17-$C16)&gt;0),$C17-$C16,0))</f>
        <v>0</v>
      </c>
      <c r="AF17">
        <f>IF(OR($E17="",$E16=""),"",IF(AND(($D16-$D17)&gt;($C17-$C16),($D16-$D17)&gt;0),$D16-$D17,0))</f>
        <v>0</v>
      </c>
      <c r="AG17">
        <f>IF(COUNT($E$2:$E17)&lt;15,"",IF(SUM($AC$4:$AC$17)=0,0,100*SUM($AE$4:$AE$17)/SUM($AC$4:$AC$17)))</f>
        <v>0</v>
      </c>
      <c r="AH17">
        <f>IF(COUNT($E$2:$E17)&lt;15,"",IF(SUM($AC$4:$AC$17)=0,0,100*SUM($AF$4:$AF$17)/SUM($AC$4:$AC$17)))</f>
        <v>0</v>
      </c>
      <c r="AI17">
        <f>IF(OR(AG17="",AH17=""),"",IF((AG17+AH17)=0,0,100*ABS(AG17-AH17)/(AG17+AH17)))</f>
        <v>0</v>
      </c>
      <c r="AJ17">
        <f>IF(COUNT($AI$4:$AI$17)&lt;14,"",AVERAGE($AI$4:$AI$17))</f>
        <v>0</v>
      </c>
      <c r="AK17">
        <f>IF(COUNT($E$2:$E17)&lt;20,"",AVERAGE($E$2:$E$17))</f>
        <v>0</v>
      </c>
      <c r="AL17">
        <f>IF(COUNT($E$2:$E17)&lt;20,"",STDEVP($E$2:$E$17))</f>
        <v>0</v>
      </c>
      <c r="AM17">
        <f>IF(AK17="","",AK17+2*AL17)</f>
        <v>0</v>
      </c>
      <c r="AN17">
        <f>IF(AK17="","",AK17-2*AL17)</f>
        <v>0</v>
      </c>
      <c r="AO17">
        <f>IF(OR(AM17="",AN17="",AM17=AN17),"",($E17-AN17)/(AM17-AN17))</f>
        <v>0</v>
      </c>
      <c r="AP17">
        <f>IF(OR(AM17="",AK17="",AK17=0),"",(AM17-AN17)/AK17)</f>
        <v>0</v>
      </c>
      <c r="AQ17">
        <f>IF(COUNT($E$2:$E17)&lt;20,"",MAX($C$2:$C$17))</f>
        <v>0</v>
      </c>
      <c r="AR17">
        <f>IF(COUNT($E$2:$E17)&lt;20,"",MIN($D$2:$D$17))</f>
        <v>0</v>
      </c>
      <c r="AS17">
        <f>IF(OR(AQ17="",AR17=""),"",(AQ17+AR17)/2)</f>
        <v>0</v>
      </c>
      <c r="AT17">
        <f>IF(COUNT($G$2:$G$17)&lt;20,"",STDEV($G$2:$G$17)*SQRT(12))</f>
        <v>0</v>
      </c>
      <c r="AU17">
        <f>IF(COUNT($E$2:$E17)&lt;9,"",(MAX($C$9:$C$17)+MIN($D$9:$D$17))/2)</f>
        <v>0</v>
      </c>
      <c r="AV17">
        <f>IF(COUNT($E$2:$E17)&lt;26,"",(MAX($C$2:$C$17)+MIN($D$2:$D$17))/2)</f>
        <v>0</v>
      </c>
      <c r="AW17">
        <f>IF(OR(AU17="",AV17=""),"",(AU17+AV17)/2)</f>
        <v>0</v>
      </c>
      <c r="AX17">
        <f>IF(COUNT($E$2:$E17)&lt;52,"",(MAX($C$2:$C$17)+MIN($D$2:$D$17))/2)</f>
        <v>0</v>
      </c>
      <c r="AY17">
        <f>IF(COUNT($E$2:$E17)&lt;20,"",MAX($C$2:$C$17))</f>
        <v>0</v>
      </c>
      <c r="AZ17">
        <f>IF(COUNT($E$2:$E17)&lt;20,"",MIN($D$2:$D$17))</f>
        <v>0</v>
      </c>
      <c r="BA17">
        <f>IF(COUNT($E$2:$E17)&lt;20,"",SLOPE($E$2:$E$17,$F$2:$F$17))</f>
        <v>0</v>
      </c>
      <c r="BB17">
        <f>IF(COUNT($E$2:$E17)&lt;20,"",INTERCEPT($E$2:$E$17,$F$2:$F$17))</f>
        <v>0</v>
      </c>
      <c r="BC17">
        <f>IF(OR(BA17="",BB17=""),"",BB17+BA17*F17)</f>
        <v>0</v>
      </c>
      <c r="BD17">
        <f>IF(COUNT($E$2:$E17)&lt;20,"",STEYX($E$2:$E$17,$F$2:$F$17))</f>
        <v>0</v>
      </c>
      <c r="BE17">
        <f>IF($E17="","",IF(AND(COUNT($E$18:$E$21)&gt;=4,$C17=MAX($C$13:$C$21)),$C17,""))</f>
        <v>0</v>
      </c>
      <c r="BF17">
        <f>IF($E17="","",IF(AND(COUNT($E$18:$E$21)&gt;=4,$D17=MIN($D$13:$D$21)),$D17,""))</f>
        <v>0</v>
      </c>
      <c r="BG17">
        <f>IFERROR(SMALL(Calc_Daily!$BT$2:$BT$2001,16),"")</f>
        <v>0</v>
      </c>
    </row>
    <row r="18" spans="1:59">
      <c r="A18" s="27">
        <f>IF($BG18="","",INDEX(Calc_Daily!$A$2:$A$2001,$BG18))</f>
        <v>0</v>
      </c>
      <c r="B18">
        <f>IF($BG18="","",INDEX(Calc_Daily!$BQ$2:$BQ$2001,$BG18))</f>
        <v>0</v>
      </c>
      <c r="C18">
        <f>IF($BG18="","",INDEX(Calc_Daily!$BR$2:$BR$2001,$BG18))</f>
        <v>0</v>
      </c>
      <c r="D18">
        <f>IF($BG18="","",INDEX(Calc_Daily!$BS$2:$BS$2001,$BG18))</f>
        <v>0</v>
      </c>
      <c r="E18">
        <f>IF($BG18="","",INDEX(Calc_Daily!$E$2:$E$2001,$BG18))</f>
        <v>0</v>
      </c>
      <c r="F18">
        <f>IF($E18="","",N(F17)+1)</f>
        <v>0</v>
      </c>
      <c r="G18">
        <f>IF(OR($E18="",$E17=""),"",LN($E18/$E17))</f>
        <v>0</v>
      </c>
      <c r="H18">
        <f>IF($E18="","",IF($E17="",$E18,$E18*0.0952380952+H17*0.9047619048))</f>
        <v>0</v>
      </c>
      <c r="I18">
        <f>IF($E18="","",IF($E17="",$E18,$E18*0.0392156863+I17*0.9607843137))</f>
        <v>0</v>
      </c>
      <c r="J18">
        <f>IF($E18="","",IF($E17="",$E18,$E18*0.0198019802+J17*0.9801980198))</f>
        <v>0</v>
      </c>
      <c r="K18">
        <f>IF($E18="","",IF($E17="",$E18,$E18*0.0099502488+K17*0.9900497512))</f>
        <v>0</v>
      </c>
      <c r="L18">
        <f>IF(OR($E18="",$E17=""),"",MAX($E18-$E17,0))</f>
        <v>0</v>
      </c>
      <c r="M18">
        <f>IF(OR($E18="",$E17=""),"",MAX($E17-$E18,0))</f>
        <v>0</v>
      </c>
      <c r="N18">
        <f>IF(COUNT($E$2:$E18)&lt;15,"",IF(AVERAGE($M$5:$M$18)=0,100,100-100/(1+AVERAGE($L$5:$L$18)/AVERAGE($M$5:$M$18))))</f>
        <v>0</v>
      </c>
      <c r="O18">
        <f>IF($E18="","",IF($E17="",$E18,$E18*0.1538461538+O17*0.8461538462))</f>
        <v>0</v>
      </c>
      <c r="P18">
        <f>IF($E18="","",IF($E17="",$E18,$E18*0.0740740741+P17*0.9259259259))</f>
        <v>0</v>
      </c>
      <c r="Q18">
        <f>IF(OR(O18="",P18=""),"",O18-P18)</f>
        <v>0</v>
      </c>
      <c r="R18">
        <f>IF(Q18="","",IF(R17="",Q18,Q18*0.2000000000+R17*0.8000000000))</f>
        <v>0</v>
      </c>
      <c r="S18">
        <f>IF(OR(Q18="",R18=""),"",Q18-R18)</f>
        <v>0</v>
      </c>
      <c r="T18">
        <f>IF(COUNT($E$2:$E18)&lt;14,"",MAX($C$5:$C$18))</f>
        <v>0</v>
      </c>
      <c r="U18">
        <f>IF(COUNT($E$2:$E18)&lt;14,"",MIN($D$5:$D$18))</f>
        <v>0</v>
      </c>
      <c r="V18">
        <f>IF(OR(T18="",U18="",T18=U18),"",100*($E18-U18)/(T18-U18))</f>
        <v>0</v>
      </c>
      <c r="W18">
        <f>IF(COUNT($V$16:$V$18)&lt;3,"",AVERAGE($V$16:$V$18))</f>
        <v>0</v>
      </c>
      <c r="X18">
        <f>IF(COUNT($N$5:$N$18)&lt;14,"",MIN($N$5:$N$18))</f>
        <v>0</v>
      </c>
      <c r="Y18">
        <f>IF(COUNT($N$5:$N$18)&lt;14,"",MAX($N$5:$N$18))</f>
        <v>0</v>
      </c>
      <c r="Z18">
        <f>IF(OR(N18="",X18="",Y18="",Y18=X18),"",100*(N18-X18)/(Y18-X18))</f>
        <v>0</v>
      </c>
      <c r="AA18">
        <f>IF(COUNT($Z$16:$Z$18)&lt;3,"",AVERAGE($Z$16:$Z$18))</f>
        <v>0</v>
      </c>
      <c r="AB18">
        <f>IF(COUNT($AA$16:$AA$18)&lt;3,"",AVERAGE($AA$16:$AA$18))</f>
        <v>0</v>
      </c>
      <c r="AC18">
        <f>IF($E18="","",MAX($C18-$D18,ABS($C18-$E17),ABS($D18-$E17)))</f>
        <v>0</v>
      </c>
      <c r="AD18">
        <f>IF(COUNT($E$2:$E18)&lt;15,"",AVERAGE($AC$5:$AC$18))</f>
        <v>0</v>
      </c>
      <c r="AE18">
        <f>IF(OR($E18="",$E17=""),"",IF(AND(($C18-$C17)&gt;($D17-$D18),($C18-$C17)&gt;0),$C18-$C17,0))</f>
        <v>0</v>
      </c>
      <c r="AF18">
        <f>IF(OR($E18="",$E17=""),"",IF(AND(($D17-$D18)&gt;($C18-$C17),($D17-$D18)&gt;0),$D17-$D18,0))</f>
        <v>0</v>
      </c>
      <c r="AG18">
        <f>IF(COUNT($E$2:$E18)&lt;15,"",IF(SUM($AC$5:$AC$18)=0,0,100*SUM($AE$5:$AE$18)/SUM($AC$5:$AC$18)))</f>
        <v>0</v>
      </c>
      <c r="AH18">
        <f>IF(COUNT($E$2:$E18)&lt;15,"",IF(SUM($AC$5:$AC$18)=0,0,100*SUM($AF$5:$AF$18)/SUM($AC$5:$AC$18)))</f>
        <v>0</v>
      </c>
      <c r="AI18">
        <f>IF(OR(AG18="",AH18=""),"",IF((AG18+AH18)=0,0,100*ABS(AG18-AH18)/(AG18+AH18)))</f>
        <v>0</v>
      </c>
      <c r="AJ18">
        <f>IF(COUNT($AI$5:$AI$18)&lt;14,"",AVERAGE($AI$5:$AI$18))</f>
        <v>0</v>
      </c>
      <c r="AK18">
        <f>IF(COUNT($E$2:$E18)&lt;20,"",AVERAGE($E$2:$E$18))</f>
        <v>0</v>
      </c>
      <c r="AL18">
        <f>IF(COUNT($E$2:$E18)&lt;20,"",STDEVP($E$2:$E$18))</f>
        <v>0</v>
      </c>
      <c r="AM18">
        <f>IF(AK18="","",AK18+2*AL18)</f>
        <v>0</v>
      </c>
      <c r="AN18">
        <f>IF(AK18="","",AK18-2*AL18)</f>
        <v>0</v>
      </c>
      <c r="AO18">
        <f>IF(OR(AM18="",AN18="",AM18=AN18),"",($E18-AN18)/(AM18-AN18))</f>
        <v>0</v>
      </c>
      <c r="AP18">
        <f>IF(OR(AM18="",AK18="",AK18=0),"",(AM18-AN18)/AK18)</f>
        <v>0</v>
      </c>
      <c r="AQ18">
        <f>IF(COUNT($E$2:$E18)&lt;20,"",MAX($C$2:$C$18))</f>
        <v>0</v>
      </c>
      <c r="AR18">
        <f>IF(COUNT($E$2:$E18)&lt;20,"",MIN($D$2:$D$18))</f>
        <v>0</v>
      </c>
      <c r="AS18">
        <f>IF(OR(AQ18="",AR18=""),"",(AQ18+AR18)/2)</f>
        <v>0</v>
      </c>
      <c r="AT18">
        <f>IF(COUNT($G$2:$G$18)&lt;20,"",STDEV($G$2:$G$18)*SQRT(12))</f>
        <v>0</v>
      </c>
      <c r="AU18">
        <f>IF(COUNT($E$2:$E18)&lt;9,"",(MAX($C$10:$C$18)+MIN($D$10:$D$18))/2)</f>
        <v>0</v>
      </c>
      <c r="AV18">
        <f>IF(COUNT($E$2:$E18)&lt;26,"",(MAX($C$2:$C$18)+MIN($D$2:$D$18))/2)</f>
        <v>0</v>
      </c>
      <c r="AW18">
        <f>IF(OR(AU18="",AV18=""),"",(AU18+AV18)/2)</f>
        <v>0</v>
      </c>
      <c r="AX18">
        <f>IF(COUNT($E$2:$E18)&lt;52,"",(MAX($C$2:$C$18)+MIN($D$2:$D$18))/2)</f>
        <v>0</v>
      </c>
      <c r="AY18">
        <f>IF(COUNT($E$2:$E18)&lt;20,"",MAX($C$2:$C$18))</f>
        <v>0</v>
      </c>
      <c r="AZ18">
        <f>IF(COUNT($E$2:$E18)&lt;20,"",MIN($D$2:$D$18))</f>
        <v>0</v>
      </c>
      <c r="BA18">
        <f>IF(COUNT($E$2:$E18)&lt;20,"",SLOPE($E$2:$E$18,$F$2:$F$18))</f>
        <v>0</v>
      </c>
      <c r="BB18">
        <f>IF(COUNT($E$2:$E18)&lt;20,"",INTERCEPT($E$2:$E$18,$F$2:$F$18))</f>
        <v>0</v>
      </c>
      <c r="BC18">
        <f>IF(OR(BA18="",BB18=""),"",BB18+BA18*F18)</f>
        <v>0</v>
      </c>
      <c r="BD18">
        <f>IF(COUNT($E$2:$E18)&lt;20,"",STEYX($E$2:$E$18,$F$2:$F$18))</f>
        <v>0</v>
      </c>
      <c r="BE18">
        <f>IF($E18="","",IF(AND(COUNT($E$19:$E$22)&gt;=4,$C18=MAX($C$14:$C$22)),$C18,""))</f>
        <v>0</v>
      </c>
      <c r="BF18">
        <f>IF($E18="","",IF(AND(COUNT($E$19:$E$22)&gt;=4,$D18=MIN($D$14:$D$22)),$D18,""))</f>
        <v>0</v>
      </c>
      <c r="BG18">
        <f>IFERROR(SMALL(Calc_Daily!$BT$2:$BT$2001,17),"")</f>
        <v>0</v>
      </c>
    </row>
    <row r="19" spans="1:59">
      <c r="A19" s="27">
        <f>IF($BG19="","",INDEX(Calc_Daily!$A$2:$A$2001,$BG19))</f>
        <v>0</v>
      </c>
      <c r="B19">
        <f>IF($BG19="","",INDEX(Calc_Daily!$BQ$2:$BQ$2001,$BG19))</f>
        <v>0</v>
      </c>
      <c r="C19">
        <f>IF($BG19="","",INDEX(Calc_Daily!$BR$2:$BR$2001,$BG19))</f>
        <v>0</v>
      </c>
      <c r="D19">
        <f>IF($BG19="","",INDEX(Calc_Daily!$BS$2:$BS$2001,$BG19))</f>
        <v>0</v>
      </c>
      <c r="E19">
        <f>IF($BG19="","",INDEX(Calc_Daily!$E$2:$E$2001,$BG19))</f>
        <v>0</v>
      </c>
      <c r="F19">
        <f>IF($E19="","",N(F18)+1)</f>
        <v>0</v>
      </c>
      <c r="G19">
        <f>IF(OR($E19="",$E18=""),"",LN($E19/$E18))</f>
        <v>0</v>
      </c>
      <c r="H19">
        <f>IF($E19="","",IF($E18="",$E19,$E19*0.0952380952+H18*0.9047619048))</f>
        <v>0</v>
      </c>
      <c r="I19">
        <f>IF($E19="","",IF($E18="",$E19,$E19*0.0392156863+I18*0.9607843137))</f>
        <v>0</v>
      </c>
      <c r="J19">
        <f>IF($E19="","",IF($E18="",$E19,$E19*0.0198019802+J18*0.9801980198))</f>
        <v>0</v>
      </c>
      <c r="K19">
        <f>IF($E19="","",IF($E18="",$E19,$E19*0.0099502488+K18*0.9900497512))</f>
        <v>0</v>
      </c>
      <c r="L19">
        <f>IF(OR($E19="",$E18=""),"",MAX($E19-$E18,0))</f>
        <v>0</v>
      </c>
      <c r="M19">
        <f>IF(OR($E19="",$E18=""),"",MAX($E18-$E19,0))</f>
        <v>0</v>
      </c>
      <c r="N19">
        <f>IF(COUNT($E$2:$E19)&lt;15,"",IF(AVERAGE($M$6:$M$19)=0,100,100-100/(1+AVERAGE($L$6:$L$19)/AVERAGE($M$6:$M$19))))</f>
        <v>0</v>
      </c>
      <c r="O19">
        <f>IF($E19="","",IF($E18="",$E19,$E19*0.1538461538+O18*0.8461538462))</f>
        <v>0</v>
      </c>
      <c r="P19">
        <f>IF($E19="","",IF($E18="",$E19,$E19*0.0740740741+P18*0.9259259259))</f>
        <v>0</v>
      </c>
      <c r="Q19">
        <f>IF(OR(O19="",P19=""),"",O19-P19)</f>
        <v>0</v>
      </c>
      <c r="R19">
        <f>IF(Q19="","",IF(R18="",Q19,Q19*0.2000000000+R18*0.8000000000))</f>
        <v>0</v>
      </c>
      <c r="S19">
        <f>IF(OR(Q19="",R19=""),"",Q19-R19)</f>
        <v>0</v>
      </c>
      <c r="T19">
        <f>IF(COUNT($E$2:$E19)&lt;14,"",MAX($C$6:$C$19))</f>
        <v>0</v>
      </c>
      <c r="U19">
        <f>IF(COUNT($E$2:$E19)&lt;14,"",MIN($D$6:$D$19))</f>
        <v>0</v>
      </c>
      <c r="V19">
        <f>IF(OR(T19="",U19="",T19=U19),"",100*($E19-U19)/(T19-U19))</f>
        <v>0</v>
      </c>
      <c r="W19">
        <f>IF(COUNT($V$17:$V$19)&lt;3,"",AVERAGE($V$17:$V$19))</f>
        <v>0</v>
      </c>
      <c r="X19">
        <f>IF(COUNT($N$6:$N$19)&lt;14,"",MIN($N$6:$N$19))</f>
        <v>0</v>
      </c>
      <c r="Y19">
        <f>IF(COUNT($N$6:$N$19)&lt;14,"",MAX($N$6:$N$19))</f>
        <v>0</v>
      </c>
      <c r="Z19">
        <f>IF(OR(N19="",X19="",Y19="",Y19=X19),"",100*(N19-X19)/(Y19-X19))</f>
        <v>0</v>
      </c>
      <c r="AA19">
        <f>IF(COUNT($Z$17:$Z$19)&lt;3,"",AVERAGE($Z$17:$Z$19))</f>
        <v>0</v>
      </c>
      <c r="AB19">
        <f>IF(COUNT($AA$17:$AA$19)&lt;3,"",AVERAGE($AA$17:$AA$19))</f>
        <v>0</v>
      </c>
      <c r="AC19">
        <f>IF($E19="","",MAX($C19-$D19,ABS($C19-$E18),ABS($D19-$E18)))</f>
        <v>0</v>
      </c>
      <c r="AD19">
        <f>IF(COUNT($E$2:$E19)&lt;15,"",AVERAGE($AC$6:$AC$19))</f>
        <v>0</v>
      </c>
      <c r="AE19">
        <f>IF(OR($E19="",$E18=""),"",IF(AND(($C19-$C18)&gt;($D18-$D19),($C19-$C18)&gt;0),$C19-$C18,0))</f>
        <v>0</v>
      </c>
      <c r="AF19">
        <f>IF(OR($E19="",$E18=""),"",IF(AND(($D18-$D19)&gt;($C19-$C18),($D18-$D19)&gt;0),$D18-$D19,0))</f>
        <v>0</v>
      </c>
      <c r="AG19">
        <f>IF(COUNT($E$2:$E19)&lt;15,"",IF(SUM($AC$6:$AC$19)=0,0,100*SUM($AE$6:$AE$19)/SUM($AC$6:$AC$19)))</f>
        <v>0</v>
      </c>
      <c r="AH19">
        <f>IF(COUNT($E$2:$E19)&lt;15,"",IF(SUM($AC$6:$AC$19)=0,0,100*SUM($AF$6:$AF$19)/SUM($AC$6:$AC$19)))</f>
        <v>0</v>
      </c>
      <c r="AI19">
        <f>IF(OR(AG19="",AH19=""),"",IF((AG19+AH19)=0,0,100*ABS(AG19-AH19)/(AG19+AH19)))</f>
        <v>0</v>
      </c>
      <c r="AJ19">
        <f>IF(COUNT($AI$6:$AI$19)&lt;14,"",AVERAGE($AI$6:$AI$19))</f>
        <v>0</v>
      </c>
      <c r="AK19">
        <f>IF(COUNT($E$2:$E19)&lt;20,"",AVERAGE($E$2:$E$19))</f>
        <v>0</v>
      </c>
      <c r="AL19">
        <f>IF(COUNT($E$2:$E19)&lt;20,"",STDEVP($E$2:$E$19))</f>
        <v>0</v>
      </c>
      <c r="AM19">
        <f>IF(AK19="","",AK19+2*AL19)</f>
        <v>0</v>
      </c>
      <c r="AN19">
        <f>IF(AK19="","",AK19-2*AL19)</f>
        <v>0</v>
      </c>
      <c r="AO19">
        <f>IF(OR(AM19="",AN19="",AM19=AN19),"",($E19-AN19)/(AM19-AN19))</f>
        <v>0</v>
      </c>
      <c r="AP19">
        <f>IF(OR(AM19="",AK19="",AK19=0),"",(AM19-AN19)/AK19)</f>
        <v>0</v>
      </c>
      <c r="AQ19">
        <f>IF(COUNT($E$2:$E19)&lt;20,"",MAX($C$2:$C$19))</f>
        <v>0</v>
      </c>
      <c r="AR19">
        <f>IF(COUNT($E$2:$E19)&lt;20,"",MIN($D$2:$D$19))</f>
        <v>0</v>
      </c>
      <c r="AS19">
        <f>IF(OR(AQ19="",AR19=""),"",(AQ19+AR19)/2)</f>
        <v>0</v>
      </c>
      <c r="AT19">
        <f>IF(COUNT($G$2:$G$19)&lt;20,"",STDEV($G$2:$G$19)*SQRT(12))</f>
        <v>0</v>
      </c>
      <c r="AU19">
        <f>IF(COUNT($E$2:$E19)&lt;9,"",(MAX($C$11:$C$19)+MIN($D$11:$D$19))/2)</f>
        <v>0</v>
      </c>
      <c r="AV19">
        <f>IF(COUNT($E$2:$E19)&lt;26,"",(MAX($C$2:$C$19)+MIN($D$2:$D$19))/2)</f>
        <v>0</v>
      </c>
      <c r="AW19">
        <f>IF(OR(AU19="",AV19=""),"",(AU19+AV19)/2)</f>
        <v>0</v>
      </c>
      <c r="AX19">
        <f>IF(COUNT($E$2:$E19)&lt;52,"",(MAX($C$2:$C$19)+MIN($D$2:$D$19))/2)</f>
        <v>0</v>
      </c>
      <c r="AY19">
        <f>IF(COUNT($E$2:$E19)&lt;20,"",MAX($C$2:$C$19))</f>
        <v>0</v>
      </c>
      <c r="AZ19">
        <f>IF(COUNT($E$2:$E19)&lt;20,"",MIN($D$2:$D$19))</f>
        <v>0</v>
      </c>
      <c r="BA19">
        <f>IF(COUNT($E$2:$E19)&lt;20,"",SLOPE($E$2:$E$19,$F$2:$F$19))</f>
        <v>0</v>
      </c>
      <c r="BB19">
        <f>IF(COUNT($E$2:$E19)&lt;20,"",INTERCEPT($E$2:$E$19,$F$2:$F$19))</f>
        <v>0</v>
      </c>
      <c r="BC19">
        <f>IF(OR(BA19="",BB19=""),"",BB19+BA19*F19)</f>
        <v>0</v>
      </c>
      <c r="BD19">
        <f>IF(COUNT($E$2:$E19)&lt;20,"",STEYX($E$2:$E$19,$F$2:$F$19))</f>
        <v>0</v>
      </c>
      <c r="BE19">
        <f>IF($E19="","",IF(AND(COUNT($E$20:$E$23)&gt;=4,$C19=MAX($C$15:$C$23)),$C19,""))</f>
        <v>0</v>
      </c>
      <c r="BF19">
        <f>IF($E19="","",IF(AND(COUNT($E$20:$E$23)&gt;=4,$D19=MIN($D$15:$D$23)),$D19,""))</f>
        <v>0</v>
      </c>
      <c r="BG19">
        <f>IFERROR(SMALL(Calc_Daily!$BT$2:$BT$2001,18),"")</f>
        <v>0</v>
      </c>
    </row>
    <row r="20" spans="1:59">
      <c r="A20" s="27">
        <f>IF($BG20="","",INDEX(Calc_Daily!$A$2:$A$2001,$BG20))</f>
        <v>0</v>
      </c>
      <c r="B20">
        <f>IF($BG20="","",INDEX(Calc_Daily!$BQ$2:$BQ$2001,$BG20))</f>
        <v>0</v>
      </c>
      <c r="C20">
        <f>IF($BG20="","",INDEX(Calc_Daily!$BR$2:$BR$2001,$BG20))</f>
        <v>0</v>
      </c>
      <c r="D20">
        <f>IF($BG20="","",INDEX(Calc_Daily!$BS$2:$BS$2001,$BG20))</f>
        <v>0</v>
      </c>
      <c r="E20">
        <f>IF($BG20="","",INDEX(Calc_Daily!$E$2:$E$2001,$BG20))</f>
        <v>0</v>
      </c>
      <c r="F20">
        <f>IF($E20="","",N(F19)+1)</f>
        <v>0</v>
      </c>
      <c r="G20">
        <f>IF(OR($E20="",$E19=""),"",LN($E20/$E19))</f>
        <v>0</v>
      </c>
      <c r="H20">
        <f>IF($E20="","",IF($E19="",$E20,$E20*0.0952380952+H19*0.9047619048))</f>
        <v>0</v>
      </c>
      <c r="I20">
        <f>IF($E20="","",IF($E19="",$E20,$E20*0.0392156863+I19*0.9607843137))</f>
        <v>0</v>
      </c>
      <c r="J20">
        <f>IF($E20="","",IF($E19="",$E20,$E20*0.0198019802+J19*0.9801980198))</f>
        <v>0</v>
      </c>
      <c r="K20">
        <f>IF($E20="","",IF($E19="",$E20,$E20*0.0099502488+K19*0.9900497512))</f>
        <v>0</v>
      </c>
      <c r="L20">
        <f>IF(OR($E20="",$E19=""),"",MAX($E20-$E19,0))</f>
        <v>0</v>
      </c>
      <c r="M20">
        <f>IF(OR($E20="",$E19=""),"",MAX($E19-$E20,0))</f>
        <v>0</v>
      </c>
      <c r="N20">
        <f>IF(COUNT($E$2:$E20)&lt;15,"",IF(AVERAGE($M$7:$M$20)=0,100,100-100/(1+AVERAGE($L$7:$L$20)/AVERAGE($M$7:$M$20))))</f>
        <v>0</v>
      </c>
      <c r="O20">
        <f>IF($E20="","",IF($E19="",$E20,$E20*0.1538461538+O19*0.8461538462))</f>
        <v>0</v>
      </c>
      <c r="P20">
        <f>IF($E20="","",IF($E19="",$E20,$E20*0.0740740741+P19*0.9259259259))</f>
        <v>0</v>
      </c>
      <c r="Q20">
        <f>IF(OR(O20="",P20=""),"",O20-P20)</f>
        <v>0</v>
      </c>
      <c r="R20">
        <f>IF(Q20="","",IF(R19="",Q20,Q20*0.2000000000+R19*0.8000000000))</f>
        <v>0</v>
      </c>
      <c r="S20">
        <f>IF(OR(Q20="",R20=""),"",Q20-R20)</f>
        <v>0</v>
      </c>
      <c r="T20">
        <f>IF(COUNT($E$2:$E20)&lt;14,"",MAX($C$7:$C$20))</f>
        <v>0</v>
      </c>
      <c r="U20">
        <f>IF(COUNT($E$2:$E20)&lt;14,"",MIN($D$7:$D$20))</f>
        <v>0</v>
      </c>
      <c r="V20">
        <f>IF(OR(T20="",U20="",T20=U20),"",100*($E20-U20)/(T20-U20))</f>
        <v>0</v>
      </c>
      <c r="W20">
        <f>IF(COUNT($V$18:$V$20)&lt;3,"",AVERAGE($V$18:$V$20))</f>
        <v>0</v>
      </c>
      <c r="X20">
        <f>IF(COUNT($N$7:$N$20)&lt;14,"",MIN($N$7:$N$20))</f>
        <v>0</v>
      </c>
      <c r="Y20">
        <f>IF(COUNT($N$7:$N$20)&lt;14,"",MAX($N$7:$N$20))</f>
        <v>0</v>
      </c>
      <c r="Z20">
        <f>IF(OR(N20="",X20="",Y20="",Y20=X20),"",100*(N20-X20)/(Y20-X20))</f>
        <v>0</v>
      </c>
      <c r="AA20">
        <f>IF(COUNT($Z$18:$Z$20)&lt;3,"",AVERAGE($Z$18:$Z$20))</f>
        <v>0</v>
      </c>
      <c r="AB20">
        <f>IF(COUNT($AA$18:$AA$20)&lt;3,"",AVERAGE($AA$18:$AA$20))</f>
        <v>0</v>
      </c>
      <c r="AC20">
        <f>IF($E20="","",MAX($C20-$D20,ABS($C20-$E19),ABS($D20-$E19)))</f>
        <v>0</v>
      </c>
      <c r="AD20">
        <f>IF(COUNT($E$2:$E20)&lt;15,"",AVERAGE($AC$7:$AC$20))</f>
        <v>0</v>
      </c>
      <c r="AE20">
        <f>IF(OR($E20="",$E19=""),"",IF(AND(($C20-$C19)&gt;($D19-$D20),($C20-$C19)&gt;0),$C20-$C19,0))</f>
        <v>0</v>
      </c>
      <c r="AF20">
        <f>IF(OR($E20="",$E19=""),"",IF(AND(($D19-$D20)&gt;($C20-$C19),($D19-$D20)&gt;0),$D19-$D20,0))</f>
        <v>0</v>
      </c>
      <c r="AG20">
        <f>IF(COUNT($E$2:$E20)&lt;15,"",IF(SUM($AC$7:$AC$20)=0,0,100*SUM($AE$7:$AE$20)/SUM($AC$7:$AC$20)))</f>
        <v>0</v>
      </c>
      <c r="AH20">
        <f>IF(COUNT($E$2:$E20)&lt;15,"",IF(SUM($AC$7:$AC$20)=0,0,100*SUM($AF$7:$AF$20)/SUM($AC$7:$AC$20)))</f>
        <v>0</v>
      </c>
      <c r="AI20">
        <f>IF(OR(AG20="",AH20=""),"",IF((AG20+AH20)=0,0,100*ABS(AG20-AH20)/(AG20+AH20)))</f>
        <v>0</v>
      </c>
      <c r="AJ20">
        <f>IF(COUNT($AI$7:$AI$20)&lt;14,"",AVERAGE($AI$7:$AI$20))</f>
        <v>0</v>
      </c>
      <c r="AK20">
        <f>IF(COUNT($E$2:$E20)&lt;20,"",AVERAGE($E$2:$E$20))</f>
        <v>0</v>
      </c>
      <c r="AL20">
        <f>IF(COUNT($E$2:$E20)&lt;20,"",STDEVP($E$2:$E$20))</f>
        <v>0</v>
      </c>
      <c r="AM20">
        <f>IF(AK20="","",AK20+2*AL20)</f>
        <v>0</v>
      </c>
      <c r="AN20">
        <f>IF(AK20="","",AK20-2*AL20)</f>
        <v>0</v>
      </c>
      <c r="AO20">
        <f>IF(OR(AM20="",AN20="",AM20=AN20),"",($E20-AN20)/(AM20-AN20))</f>
        <v>0</v>
      </c>
      <c r="AP20">
        <f>IF(OR(AM20="",AK20="",AK20=0),"",(AM20-AN20)/AK20)</f>
        <v>0</v>
      </c>
      <c r="AQ20">
        <f>IF(COUNT($E$2:$E20)&lt;20,"",MAX($C$2:$C$20))</f>
        <v>0</v>
      </c>
      <c r="AR20">
        <f>IF(COUNT($E$2:$E20)&lt;20,"",MIN($D$2:$D$20))</f>
        <v>0</v>
      </c>
      <c r="AS20">
        <f>IF(OR(AQ20="",AR20=""),"",(AQ20+AR20)/2)</f>
        <v>0</v>
      </c>
      <c r="AT20">
        <f>IF(COUNT($G$2:$G$20)&lt;20,"",STDEV($G$2:$G$20)*SQRT(12))</f>
        <v>0</v>
      </c>
      <c r="AU20">
        <f>IF(COUNT($E$2:$E20)&lt;9,"",(MAX($C$12:$C$20)+MIN($D$12:$D$20))/2)</f>
        <v>0</v>
      </c>
      <c r="AV20">
        <f>IF(COUNT($E$2:$E20)&lt;26,"",(MAX($C$2:$C$20)+MIN($D$2:$D$20))/2)</f>
        <v>0</v>
      </c>
      <c r="AW20">
        <f>IF(OR(AU20="",AV20=""),"",(AU20+AV20)/2)</f>
        <v>0</v>
      </c>
      <c r="AX20">
        <f>IF(COUNT($E$2:$E20)&lt;52,"",(MAX($C$2:$C$20)+MIN($D$2:$D$20))/2)</f>
        <v>0</v>
      </c>
      <c r="AY20">
        <f>IF(COUNT($E$2:$E20)&lt;20,"",MAX($C$2:$C$20))</f>
        <v>0</v>
      </c>
      <c r="AZ20">
        <f>IF(COUNT($E$2:$E20)&lt;20,"",MIN($D$2:$D$20))</f>
        <v>0</v>
      </c>
      <c r="BA20">
        <f>IF(COUNT($E$2:$E20)&lt;20,"",SLOPE($E$2:$E$20,$F$2:$F$20))</f>
        <v>0</v>
      </c>
      <c r="BB20">
        <f>IF(COUNT($E$2:$E20)&lt;20,"",INTERCEPT($E$2:$E$20,$F$2:$F$20))</f>
        <v>0</v>
      </c>
      <c r="BC20">
        <f>IF(OR(BA20="",BB20=""),"",BB20+BA20*F20)</f>
        <v>0</v>
      </c>
      <c r="BD20">
        <f>IF(COUNT($E$2:$E20)&lt;20,"",STEYX($E$2:$E$20,$F$2:$F$20))</f>
        <v>0</v>
      </c>
      <c r="BE20">
        <f>IF($E20="","",IF(AND(COUNT($E$21:$E$24)&gt;=4,$C20=MAX($C$16:$C$24)),$C20,""))</f>
        <v>0</v>
      </c>
      <c r="BF20">
        <f>IF($E20="","",IF(AND(COUNT($E$21:$E$24)&gt;=4,$D20=MIN($D$16:$D$24)),$D20,""))</f>
        <v>0</v>
      </c>
      <c r="BG20">
        <f>IFERROR(SMALL(Calc_Daily!$BT$2:$BT$2001,19),"")</f>
        <v>0</v>
      </c>
    </row>
    <row r="21" spans="1:59">
      <c r="A21" s="27">
        <f>IF($BG21="","",INDEX(Calc_Daily!$A$2:$A$2001,$BG21))</f>
        <v>0</v>
      </c>
      <c r="B21">
        <f>IF($BG21="","",INDEX(Calc_Daily!$BQ$2:$BQ$2001,$BG21))</f>
        <v>0</v>
      </c>
      <c r="C21">
        <f>IF($BG21="","",INDEX(Calc_Daily!$BR$2:$BR$2001,$BG21))</f>
        <v>0</v>
      </c>
      <c r="D21">
        <f>IF($BG21="","",INDEX(Calc_Daily!$BS$2:$BS$2001,$BG21))</f>
        <v>0</v>
      </c>
      <c r="E21">
        <f>IF($BG21="","",INDEX(Calc_Daily!$E$2:$E$2001,$BG21))</f>
        <v>0</v>
      </c>
      <c r="F21">
        <f>IF($E21="","",N(F20)+1)</f>
        <v>0</v>
      </c>
      <c r="G21">
        <f>IF(OR($E21="",$E20=""),"",LN($E21/$E20))</f>
        <v>0</v>
      </c>
      <c r="H21">
        <f>IF($E21="","",IF($E20="",$E21,$E21*0.0952380952+H20*0.9047619048))</f>
        <v>0</v>
      </c>
      <c r="I21">
        <f>IF($E21="","",IF($E20="",$E21,$E21*0.0392156863+I20*0.9607843137))</f>
        <v>0</v>
      </c>
      <c r="J21">
        <f>IF($E21="","",IF($E20="",$E21,$E21*0.0198019802+J20*0.9801980198))</f>
        <v>0</v>
      </c>
      <c r="K21">
        <f>IF($E21="","",IF($E20="",$E21,$E21*0.0099502488+K20*0.9900497512))</f>
        <v>0</v>
      </c>
      <c r="L21">
        <f>IF(OR($E21="",$E20=""),"",MAX($E21-$E20,0))</f>
        <v>0</v>
      </c>
      <c r="M21">
        <f>IF(OR($E21="",$E20=""),"",MAX($E20-$E21,0))</f>
        <v>0</v>
      </c>
      <c r="N21">
        <f>IF(COUNT($E$2:$E21)&lt;15,"",IF(AVERAGE($M$8:$M$21)=0,100,100-100/(1+AVERAGE($L$8:$L$21)/AVERAGE($M$8:$M$21))))</f>
        <v>0</v>
      </c>
      <c r="O21">
        <f>IF($E21="","",IF($E20="",$E21,$E21*0.1538461538+O20*0.8461538462))</f>
        <v>0</v>
      </c>
      <c r="P21">
        <f>IF($E21="","",IF($E20="",$E21,$E21*0.0740740741+P20*0.9259259259))</f>
        <v>0</v>
      </c>
      <c r="Q21">
        <f>IF(OR(O21="",P21=""),"",O21-P21)</f>
        <v>0</v>
      </c>
      <c r="R21">
        <f>IF(Q21="","",IF(R20="",Q21,Q21*0.2000000000+R20*0.8000000000))</f>
        <v>0</v>
      </c>
      <c r="S21">
        <f>IF(OR(Q21="",R21=""),"",Q21-R21)</f>
        <v>0</v>
      </c>
      <c r="T21">
        <f>IF(COUNT($E$2:$E21)&lt;14,"",MAX($C$8:$C$21))</f>
        <v>0</v>
      </c>
      <c r="U21">
        <f>IF(COUNT($E$2:$E21)&lt;14,"",MIN($D$8:$D$21))</f>
        <v>0</v>
      </c>
      <c r="V21">
        <f>IF(OR(T21="",U21="",T21=U21),"",100*($E21-U21)/(T21-U21))</f>
        <v>0</v>
      </c>
      <c r="W21">
        <f>IF(COUNT($V$19:$V$21)&lt;3,"",AVERAGE($V$19:$V$21))</f>
        <v>0</v>
      </c>
      <c r="X21">
        <f>IF(COUNT($N$8:$N$21)&lt;14,"",MIN($N$8:$N$21))</f>
        <v>0</v>
      </c>
      <c r="Y21">
        <f>IF(COUNT($N$8:$N$21)&lt;14,"",MAX($N$8:$N$21))</f>
        <v>0</v>
      </c>
      <c r="Z21">
        <f>IF(OR(N21="",X21="",Y21="",Y21=X21),"",100*(N21-X21)/(Y21-X21))</f>
        <v>0</v>
      </c>
      <c r="AA21">
        <f>IF(COUNT($Z$19:$Z$21)&lt;3,"",AVERAGE($Z$19:$Z$21))</f>
        <v>0</v>
      </c>
      <c r="AB21">
        <f>IF(COUNT($AA$19:$AA$21)&lt;3,"",AVERAGE($AA$19:$AA$21))</f>
        <v>0</v>
      </c>
      <c r="AC21">
        <f>IF($E21="","",MAX($C21-$D21,ABS($C21-$E20),ABS($D21-$E20)))</f>
        <v>0</v>
      </c>
      <c r="AD21">
        <f>IF(COUNT($E$2:$E21)&lt;15,"",AVERAGE($AC$8:$AC$21))</f>
        <v>0</v>
      </c>
      <c r="AE21">
        <f>IF(OR($E21="",$E20=""),"",IF(AND(($C21-$C20)&gt;($D20-$D21),($C21-$C20)&gt;0),$C21-$C20,0))</f>
        <v>0</v>
      </c>
      <c r="AF21">
        <f>IF(OR($E21="",$E20=""),"",IF(AND(($D20-$D21)&gt;($C21-$C20),($D20-$D21)&gt;0),$D20-$D21,0))</f>
        <v>0</v>
      </c>
      <c r="AG21">
        <f>IF(COUNT($E$2:$E21)&lt;15,"",IF(SUM($AC$8:$AC$21)=0,0,100*SUM($AE$8:$AE$21)/SUM($AC$8:$AC$21)))</f>
        <v>0</v>
      </c>
      <c r="AH21">
        <f>IF(COUNT($E$2:$E21)&lt;15,"",IF(SUM($AC$8:$AC$21)=0,0,100*SUM($AF$8:$AF$21)/SUM($AC$8:$AC$21)))</f>
        <v>0</v>
      </c>
      <c r="AI21">
        <f>IF(OR(AG21="",AH21=""),"",IF((AG21+AH21)=0,0,100*ABS(AG21-AH21)/(AG21+AH21)))</f>
        <v>0</v>
      </c>
      <c r="AJ21">
        <f>IF(COUNT($AI$8:$AI$21)&lt;14,"",AVERAGE($AI$8:$AI$21))</f>
        <v>0</v>
      </c>
      <c r="AK21">
        <f>IF(COUNT($E$2:$E21)&lt;20,"",AVERAGE($E$2:$E$21))</f>
        <v>0</v>
      </c>
      <c r="AL21">
        <f>IF(COUNT($E$2:$E21)&lt;20,"",STDEVP($E$2:$E$21))</f>
        <v>0</v>
      </c>
      <c r="AM21">
        <f>IF(AK21="","",AK21+2*AL21)</f>
        <v>0</v>
      </c>
      <c r="AN21">
        <f>IF(AK21="","",AK21-2*AL21)</f>
        <v>0</v>
      </c>
      <c r="AO21">
        <f>IF(OR(AM21="",AN21="",AM21=AN21),"",($E21-AN21)/(AM21-AN21))</f>
        <v>0</v>
      </c>
      <c r="AP21">
        <f>IF(OR(AM21="",AK21="",AK21=0),"",(AM21-AN21)/AK21)</f>
        <v>0</v>
      </c>
      <c r="AQ21">
        <f>IF(COUNT($E$2:$E21)&lt;20,"",MAX($C$2:$C$21))</f>
        <v>0</v>
      </c>
      <c r="AR21">
        <f>IF(COUNT($E$2:$E21)&lt;20,"",MIN($D$2:$D$21))</f>
        <v>0</v>
      </c>
      <c r="AS21">
        <f>IF(OR(AQ21="",AR21=""),"",(AQ21+AR21)/2)</f>
        <v>0</v>
      </c>
      <c r="AT21">
        <f>IF(COUNT($G$2:$G$21)&lt;20,"",STDEV($G$2:$G$21)*SQRT(12))</f>
        <v>0</v>
      </c>
      <c r="AU21">
        <f>IF(COUNT($E$2:$E21)&lt;9,"",(MAX($C$13:$C$21)+MIN($D$13:$D$21))/2)</f>
        <v>0</v>
      </c>
      <c r="AV21">
        <f>IF(COUNT($E$2:$E21)&lt;26,"",(MAX($C$2:$C$21)+MIN($D$2:$D$21))/2)</f>
        <v>0</v>
      </c>
      <c r="AW21">
        <f>IF(OR(AU21="",AV21=""),"",(AU21+AV21)/2)</f>
        <v>0</v>
      </c>
      <c r="AX21">
        <f>IF(COUNT($E$2:$E21)&lt;52,"",(MAX($C$2:$C$21)+MIN($D$2:$D$21))/2)</f>
        <v>0</v>
      </c>
      <c r="AY21">
        <f>IF(COUNT($E$2:$E21)&lt;20,"",MAX($C$2:$C$21))</f>
        <v>0</v>
      </c>
      <c r="AZ21">
        <f>IF(COUNT($E$2:$E21)&lt;20,"",MIN($D$2:$D$21))</f>
        <v>0</v>
      </c>
      <c r="BA21">
        <f>IF(COUNT($E$2:$E21)&lt;20,"",SLOPE($E$2:$E$21,$F$2:$F$21))</f>
        <v>0</v>
      </c>
      <c r="BB21">
        <f>IF(COUNT($E$2:$E21)&lt;20,"",INTERCEPT($E$2:$E$21,$F$2:$F$21))</f>
        <v>0</v>
      </c>
      <c r="BC21">
        <f>IF(OR(BA21="",BB21=""),"",BB21+BA21*F21)</f>
        <v>0</v>
      </c>
      <c r="BD21">
        <f>IF(COUNT($E$2:$E21)&lt;20,"",STEYX($E$2:$E$21,$F$2:$F$21))</f>
        <v>0</v>
      </c>
      <c r="BE21">
        <f>IF($E21="","",IF(AND(COUNT($E$22:$E$25)&gt;=4,$C21=MAX($C$17:$C$25)),$C21,""))</f>
        <v>0</v>
      </c>
      <c r="BF21">
        <f>IF($E21="","",IF(AND(COUNT($E$22:$E$25)&gt;=4,$D21=MIN($D$17:$D$25)),$D21,""))</f>
        <v>0</v>
      </c>
      <c r="BG21">
        <f>IFERROR(SMALL(Calc_Daily!$BT$2:$BT$2001,20),"")</f>
        <v>0</v>
      </c>
    </row>
    <row r="22" spans="1:59">
      <c r="A22" s="27">
        <f>IF($BG22="","",INDEX(Calc_Daily!$A$2:$A$2001,$BG22))</f>
        <v>0</v>
      </c>
      <c r="B22">
        <f>IF($BG22="","",INDEX(Calc_Daily!$BQ$2:$BQ$2001,$BG22))</f>
        <v>0</v>
      </c>
      <c r="C22">
        <f>IF($BG22="","",INDEX(Calc_Daily!$BR$2:$BR$2001,$BG22))</f>
        <v>0</v>
      </c>
      <c r="D22">
        <f>IF($BG22="","",INDEX(Calc_Daily!$BS$2:$BS$2001,$BG22))</f>
        <v>0</v>
      </c>
      <c r="E22">
        <f>IF($BG22="","",INDEX(Calc_Daily!$E$2:$E$2001,$BG22))</f>
        <v>0</v>
      </c>
      <c r="F22">
        <f>IF($E22="","",N(F21)+1)</f>
        <v>0</v>
      </c>
      <c r="G22">
        <f>IF(OR($E22="",$E21=""),"",LN($E22/$E21))</f>
        <v>0</v>
      </c>
      <c r="H22">
        <f>IF($E22="","",IF($E21="",$E22,$E22*0.0952380952+H21*0.9047619048))</f>
        <v>0</v>
      </c>
      <c r="I22">
        <f>IF($E22="","",IF($E21="",$E22,$E22*0.0392156863+I21*0.9607843137))</f>
        <v>0</v>
      </c>
      <c r="J22">
        <f>IF($E22="","",IF($E21="",$E22,$E22*0.0198019802+J21*0.9801980198))</f>
        <v>0</v>
      </c>
      <c r="K22">
        <f>IF($E22="","",IF($E21="",$E22,$E22*0.0099502488+K21*0.9900497512))</f>
        <v>0</v>
      </c>
      <c r="L22">
        <f>IF(OR($E22="",$E21=""),"",MAX($E22-$E21,0))</f>
        <v>0</v>
      </c>
      <c r="M22">
        <f>IF(OR($E22="",$E21=""),"",MAX($E21-$E22,0))</f>
        <v>0</v>
      </c>
      <c r="N22">
        <f>IF(COUNT($E$2:$E22)&lt;15,"",IF(AVERAGE($M$9:$M$22)=0,100,100-100/(1+AVERAGE($L$9:$L$22)/AVERAGE($M$9:$M$22))))</f>
        <v>0</v>
      </c>
      <c r="O22">
        <f>IF($E22="","",IF($E21="",$E22,$E22*0.1538461538+O21*0.8461538462))</f>
        <v>0</v>
      </c>
      <c r="P22">
        <f>IF($E22="","",IF($E21="",$E22,$E22*0.0740740741+P21*0.9259259259))</f>
        <v>0</v>
      </c>
      <c r="Q22">
        <f>IF(OR(O22="",P22=""),"",O22-P22)</f>
        <v>0</v>
      </c>
      <c r="R22">
        <f>IF(Q22="","",IF(R21="",Q22,Q22*0.2000000000+R21*0.8000000000))</f>
        <v>0</v>
      </c>
      <c r="S22">
        <f>IF(OR(Q22="",R22=""),"",Q22-R22)</f>
        <v>0</v>
      </c>
      <c r="T22">
        <f>IF(COUNT($E$2:$E22)&lt;14,"",MAX($C$9:$C$22))</f>
        <v>0</v>
      </c>
      <c r="U22">
        <f>IF(COUNT($E$2:$E22)&lt;14,"",MIN($D$9:$D$22))</f>
        <v>0</v>
      </c>
      <c r="V22">
        <f>IF(OR(T22="",U22="",T22=U22),"",100*($E22-U22)/(T22-U22))</f>
        <v>0</v>
      </c>
      <c r="W22">
        <f>IF(COUNT($V$20:$V$22)&lt;3,"",AVERAGE($V$20:$V$22))</f>
        <v>0</v>
      </c>
      <c r="X22">
        <f>IF(COUNT($N$9:$N$22)&lt;14,"",MIN($N$9:$N$22))</f>
        <v>0</v>
      </c>
      <c r="Y22">
        <f>IF(COUNT($N$9:$N$22)&lt;14,"",MAX($N$9:$N$22))</f>
        <v>0</v>
      </c>
      <c r="Z22">
        <f>IF(OR(N22="",X22="",Y22="",Y22=X22),"",100*(N22-X22)/(Y22-X22))</f>
        <v>0</v>
      </c>
      <c r="AA22">
        <f>IF(COUNT($Z$20:$Z$22)&lt;3,"",AVERAGE($Z$20:$Z$22))</f>
        <v>0</v>
      </c>
      <c r="AB22">
        <f>IF(COUNT($AA$20:$AA$22)&lt;3,"",AVERAGE($AA$20:$AA$22))</f>
        <v>0</v>
      </c>
      <c r="AC22">
        <f>IF($E22="","",MAX($C22-$D22,ABS($C22-$E21),ABS($D22-$E21)))</f>
        <v>0</v>
      </c>
      <c r="AD22">
        <f>IF(COUNT($E$2:$E22)&lt;15,"",AVERAGE($AC$9:$AC$22))</f>
        <v>0</v>
      </c>
      <c r="AE22">
        <f>IF(OR($E22="",$E21=""),"",IF(AND(($C22-$C21)&gt;($D21-$D22),($C22-$C21)&gt;0),$C22-$C21,0))</f>
        <v>0</v>
      </c>
      <c r="AF22">
        <f>IF(OR($E22="",$E21=""),"",IF(AND(($D21-$D22)&gt;($C22-$C21),($D21-$D22)&gt;0),$D21-$D22,0))</f>
        <v>0</v>
      </c>
      <c r="AG22">
        <f>IF(COUNT($E$2:$E22)&lt;15,"",IF(SUM($AC$9:$AC$22)=0,0,100*SUM($AE$9:$AE$22)/SUM($AC$9:$AC$22)))</f>
        <v>0</v>
      </c>
      <c r="AH22">
        <f>IF(COUNT($E$2:$E22)&lt;15,"",IF(SUM($AC$9:$AC$22)=0,0,100*SUM($AF$9:$AF$22)/SUM($AC$9:$AC$22)))</f>
        <v>0</v>
      </c>
      <c r="AI22">
        <f>IF(OR(AG22="",AH22=""),"",IF((AG22+AH22)=0,0,100*ABS(AG22-AH22)/(AG22+AH22)))</f>
        <v>0</v>
      </c>
      <c r="AJ22">
        <f>IF(COUNT($AI$9:$AI$22)&lt;14,"",AVERAGE($AI$9:$AI$22))</f>
        <v>0</v>
      </c>
      <c r="AK22">
        <f>IF(COUNT($E$2:$E22)&lt;20,"",AVERAGE($E$3:$E$22))</f>
        <v>0</v>
      </c>
      <c r="AL22">
        <f>IF(COUNT($E$2:$E22)&lt;20,"",STDEVP($E$3:$E$22))</f>
        <v>0</v>
      </c>
      <c r="AM22">
        <f>IF(AK22="","",AK22+2*AL22)</f>
        <v>0</v>
      </c>
      <c r="AN22">
        <f>IF(AK22="","",AK22-2*AL22)</f>
        <v>0</v>
      </c>
      <c r="AO22">
        <f>IF(OR(AM22="",AN22="",AM22=AN22),"",($E22-AN22)/(AM22-AN22))</f>
        <v>0</v>
      </c>
      <c r="AP22">
        <f>IF(OR(AM22="",AK22="",AK22=0),"",(AM22-AN22)/AK22)</f>
        <v>0</v>
      </c>
      <c r="AQ22">
        <f>IF(COUNT($E$2:$E22)&lt;20,"",MAX($C$3:$C$22))</f>
        <v>0</v>
      </c>
      <c r="AR22">
        <f>IF(COUNT($E$2:$E22)&lt;20,"",MIN($D$3:$D$22))</f>
        <v>0</v>
      </c>
      <c r="AS22">
        <f>IF(OR(AQ22="",AR22=""),"",(AQ22+AR22)/2)</f>
        <v>0</v>
      </c>
      <c r="AT22">
        <f>IF(COUNT($G$3:$G$22)&lt;20,"",STDEV($G$3:$G$22)*SQRT(12))</f>
        <v>0</v>
      </c>
      <c r="AU22">
        <f>IF(COUNT($E$2:$E22)&lt;9,"",(MAX($C$14:$C$22)+MIN($D$14:$D$22))/2)</f>
        <v>0</v>
      </c>
      <c r="AV22">
        <f>IF(COUNT($E$2:$E22)&lt;26,"",(MAX($C$2:$C$22)+MIN($D$2:$D$22))/2)</f>
        <v>0</v>
      </c>
      <c r="AW22">
        <f>IF(OR(AU22="",AV22=""),"",(AU22+AV22)/2)</f>
        <v>0</v>
      </c>
      <c r="AX22">
        <f>IF(COUNT($E$2:$E22)&lt;52,"",(MAX($C$2:$C$22)+MIN($D$2:$D$22))/2)</f>
        <v>0</v>
      </c>
      <c r="AY22">
        <f>IF(COUNT($E$2:$E22)&lt;20,"",MAX($C$2:$C$22))</f>
        <v>0</v>
      </c>
      <c r="AZ22">
        <f>IF(COUNT($E$2:$E22)&lt;20,"",MIN($D$2:$D$22))</f>
        <v>0</v>
      </c>
      <c r="BA22">
        <f>IF(COUNT($E$2:$E22)&lt;20,"",SLOPE($E$2:$E$22,$F$2:$F$22))</f>
        <v>0</v>
      </c>
      <c r="BB22">
        <f>IF(COUNT($E$2:$E22)&lt;20,"",INTERCEPT($E$2:$E$22,$F$2:$F$22))</f>
        <v>0</v>
      </c>
      <c r="BC22">
        <f>IF(OR(BA22="",BB22=""),"",BB22+BA22*F22)</f>
        <v>0</v>
      </c>
      <c r="BD22">
        <f>IF(COUNT($E$2:$E22)&lt;20,"",STEYX($E$2:$E$22,$F$2:$F$22))</f>
        <v>0</v>
      </c>
      <c r="BE22">
        <f>IF($E22="","",IF(AND(COUNT($E$23:$E$26)&gt;=4,$C22=MAX($C$18:$C$26)),$C22,""))</f>
        <v>0</v>
      </c>
      <c r="BF22">
        <f>IF($E22="","",IF(AND(COUNT($E$23:$E$26)&gt;=4,$D22=MIN($D$18:$D$26)),$D22,""))</f>
        <v>0</v>
      </c>
      <c r="BG22">
        <f>IFERROR(SMALL(Calc_Daily!$BT$2:$BT$2001,21),"")</f>
        <v>0</v>
      </c>
    </row>
    <row r="23" spans="1:59">
      <c r="A23" s="27">
        <f>IF($BG23="","",INDEX(Calc_Daily!$A$2:$A$2001,$BG23))</f>
        <v>0</v>
      </c>
      <c r="B23">
        <f>IF($BG23="","",INDEX(Calc_Daily!$BQ$2:$BQ$2001,$BG23))</f>
        <v>0</v>
      </c>
      <c r="C23">
        <f>IF($BG23="","",INDEX(Calc_Daily!$BR$2:$BR$2001,$BG23))</f>
        <v>0</v>
      </c>
      <c r="D23">
        <f>IF($BG23="","",INDEX(Calc_Daily!$BS$2:$BS$2001,$BG23))</f>
        <v>0</v>
      </c>
      <c r="E23">
        <f>IF($BG23="","",INDEX(Calc_Daily!$E$2:$E$2001,$BG23))</f>
        <v>0</v>
      </c>
      <c r="F23">
        <f>IF($E23="","",N(F22)+1)</f>
        <v>0</v>
      </c>
      <c r="G23">
        <f>IF(OR($E23="",$E22=""),"",LN($E23/$E22))</f>
        <v>0</v>
      </c>
      <c r="H23">
        <f>IF($E23="","",IF($E22="",$E23,$E23*0.0952380952+H22*0.9047619048))</f>
        <v>0</v>
      </c>
      <c r="I23">
        <f>IF($E23="","",IF($E22="",$E23,$E23*0.0392156863+I22*0.9607843137))</f>
        <v>0</v>
      </c>
      <c r="J23">
        <f>IF($E23="","",IF($E22="",$E23,$E23*0.0198019802+J22*0.9801980198))</f>
        <v>0</v>
      </c>
      <c r="K23">
        <f>IF($E23="","",IF($E22="",$E23,$E23*0.0099502488+K22*0.9900497512))</f>
        <v>0</v>
      </c>
      <c r="L23">
        <f>IF(OR($E23="",$E22=""),"",MAX($E23-$E22,0))</f>
        <v>0</v>
      </c>
      <c r="M23">
        <f>IF(OR($E23="",$E22=""),"",MAX($E22-$E23,0))</f>
        <v>0</v>
      </c>
      <c r="N23">
        <f>IF(COUNT($E$2:$E23)&lt;15,"",IF(AVERAGE($M$10:$M$23)=0,100,100-100/(1+AVERAGE($L$10:$L$23)/AVERAGE($M$10:$M$23))))</f>
        <v>0</v>
      </c>
      <c r="O23">
        <f>IF($E23="","",IF($E22="",$E23,$E23*0.1538461538+O22*0.8461538462))</f>
        <v>0</v>
      </c>
      <c r="P23">
        <f>IF($E23="","",IF($E22="",$E23,$E23*0.0740740741+P22*0.9259259259))</f>
        <v>0</v>
      </c>
      <c r="Q23">
        <f>IF(OR(O23="",P23=""),"",O23-P23)</f>
        <v>0</v>
      </c>
      <c r="R23">
        <f>IF(Q23="","",IF(R22="",Q23,Q23*0.2000000000+R22*0.8000000000))</f>
        <v>0</v>
      </c>
      <c r="S23">
        <f>IF(OR(Q23="",R23=""),"",Q23-R23)</f>
        <v>0</v>
      </c>
      <c r="T23">
        <f>IF(COUNT($E$2:$E23)&lt;14,"",MAX($C$10:$C$23))</f>
        <v>0</v>
      </c>
      <c r="U23">
        <f>IF(COUNT($E$2:$E23)&lt;14,"",MIN($D$10:$D$23))</f>
        <v>0</v>
      </c>
      <c r="V23">
        <f>IF(OR(T23="",U23="",T23=U23),"",100*($E23-U23)/(T23-U23))</f>
        <v>0</v>
      </c>
      <c r="W23">
        <f>IF(COUNT($V$21:$V$23)&lt;3,"",AVERAGE($V$21:$V$23))</f>
        <v>0</v>
      </c>
      <c r="X23">
        <f>IF(COUNT($N$10:$N$23)&lt;14,"",MIN($N$10:$N$23))</f>
        <v>0</v>
      </c>
      <c r="Y23">
        <f>IF(COUNT($N$10:$N$23)&lt;14,"",MAX($N$10:$N$23))</f>
        <v>0</v>
      </c>
      <c r="Z23">
        <f>IF(OR(N23="",X23="",Y23="",Y23=X23),"",100*(N23-X23)/(Y23-X23))</f>
        <v>0</v>
      </c>
      <c r="AA23">
        <f>IF(COUNT($Z$21:$Z$23)&lt;3,"",AVERAGE($Z$21:$Z$23))</f>
        <v>0</v>
      </c>
      <c r="AB23">
        <f>IF(COUNT($AA$21:$AA$23)&lt;3,"",AVERAGE($AA$21:$AA$23))</f>
        <v>0</v>
      </c>
      <c r="AC23">
        <f>IF($E23="","",MAX($C23-$D23,ABS($C23-$E22),ABS($D23-$E22)))</f>
        <v>0</v>
      </c>
      <c r="AD23">
        <f>IF(COUNT($E$2:$E23)&lt;15,"",AVERAGE($AC$10:$AC$23))</f>
        <v>0</v>
      </c>
      <c r="AE23">
        <f>IF(OR($E23="",$E22=""),"",IF(AND(($C23-$C22)&gt;($D22-$D23),($C23-$C22)&gt;0),$C23-$C22,0))</f>
        <v>0</v>
      </c>
      <c r="AF23">
        <f>IF(OR($E23="",$E22=""),"",IF(AND(($D22-$D23)&gt;($C23-$C22),($D22-$D23)&gt;0),$D22-$D23,0))</f>
        <v>0</v>
      </c>
      <c r="AG23">
        <f>IF(COUNT($E$2:$E23)&lt;15,"",IF(SUM($AC$10:$AC$23)=0,0,100*SUM($AE$10:$AE$23)/SUM($AC$10:$AC$23)))</f>
        <v>0</v>
      </c>
      <c r="AH23">
        <f>IF(COUNT($E$2:$E23)&lt;15,"",IF(SUM($AC$10:$AC$23)=0,0,100*SUM($AF$10:$AF$23)/SUM($AC$10:$AC$23)))</f>
        <v>0</v>
      </c>
      <c r="AI23">
        <f>IF(OR(AG23="",AH23=""),"",IF((AG23+AH23)=0,0,100*ABS(AG23-AH23)/(AG23+AH23)))</f>
        <v>0</v>
      </c>
      <c r="AJ23">
        <f>IF(COUNT($AI$10:$AI$23)&lt;14,"",AVERAGE($AI$10:$AI$23))</f>
        <v>0</v>
      </c>
      <c r="AK23">
        <f>IF(COUNT($E$2:$E23)&lt;20,"",AVERAGE($E$4:$E$23))</f>
        <v>0</v>
      </c>
      <c r="AL23">
        <f>IF(COUNT($E$2:$E23)&lt;20,"",STDEVP($E$4:$E$23))</f>
        <v>0</v>
      </c>
      <c r="AM23">
        <f>IF(AK23="","",AK23+2*AL23)</f>
        <v>0</v>
      </c>
      <c r="AN23">
        <f>IF(AK23="","",AK23-2*AL23)</f>
        <v>0</v>
      </c>
      <c r="AO23">
        <f>IF(OR(AM23="",AN23="",AM23=AN23),"",($E23-AN23)/(AM23-AN23))</f>
        <v>0</v>
      </c>
      <c r="AP23">
        <f>IF(OR(AM23="",AK23="",AK23=0),"",(AM23-AN23)/AK23)</f>
        <v>0</v>
      </c>
      <c r="AQ23">
        <f>IF(COUNT($E$2:$E23)&lt;20,"",MAX($C$4:$C$23))</f>
        <v>0</v>
      </c>
      <c r="AR23">
        <f>IF(COUNT($E$2:$E23)&lt;20,"",MIN($D$4:$D$23))</f>
        <v>0</v>
      </c>
      <c r="AS23">
        <f>IF(OR(AQ23="",AR23=""),"",(AQ23+AR23)/2)</f>
        <v>0</v>
      </c>
      <c r="AT23">
        <f>IF(COUNT($G$4:$G$23)&lt;20,"",STDEV($G$4:$G$23)*SQRT(12))</f>
        <v>0</v>
      </c>
      <c r="AU23">
        <f>IF(COUNT($E$2:$E23)&lt;9,"",(MAX($C$15:$C$23)+MIN($D$15:$D$23))/2)</f>
        <v>0</v>
      </c>
      <c r="AV23">
        <f>IF(COUNT($E$2:$E23)&lt;26,"",(MAX($C$2:$C$23)+MIN($D$2:$D$23))/2)</f>
        <v>0</v>
      </c>
      <c r="AW23">
        <f>IF(OR(AU23="",AV23=""),"",(AU23+AV23)/2)</f>
        <v>0</v>
      </c>
      <c r="AX23">
        <f>IF(COUNT($E$2:$E23)&lt;52,"",(MAX($C$2:$C$23)+MIN($D$2:$D$23))/2)</f>
        <v>0</v>
      </c>
      <c r="AY23">
        <f>IF(COUNT($E$2:$E23)&lt;20,"",MAX($C$2:$C$23))</f>
        <v>0</v>
      </c>
      <c r="AZ23">
        <f>IF(COUNT($E$2:$E23)&lt;20,"",MIN($D$2:$D$23))</f>
        <v>0</v>
      </c>
      <c r="BA23">
        <f>IF(COUNT($E$2:$E23)&lt;20,"",SLOPE($E$2:$E$23,$F$2:$F$23))</f>
        <v>0</v>
      </c>
      <c r="BB23">
        <f>IF(COUNT($E$2:$E23)&lt;20,"",INTERCEPT($E$2:$E$23,$F$2:$F$23))</f>
        <v>0</v>
      </c>
      <c r="BC23">
        <f>IF(OR(BA23="",BB23=""),"",BB23+BA23*F23)</f>
        <v>0</v>
      </c>
      <c r="BD23">
        <f>IF(COUNT($E$2:$E23)&lt;20,"",STEYX($E$2:$E$23,$F$2:$F$23))</f>
        <v>0</v>
      </c>
      <c r="BE23">
        <f>IF($E23="","",IF(AND(COUNT($E$24:$E$27)&gt;=4,$C23=MAX($C$19:$C$27)),$C23,""))</f>
        <v>0</v>
      </c>
      <c r="BF23">
        <f>IF($E23="","",IF(AND(COUNT($E$24:$E$27)&gt;=4,$D23=MIN($D$19:$D$27)),$D23,""))</f>
        <v>0</v>
      </c>
      <c r="BG23">
        <f>IFERROR(SMALL(Calc_Daily!$BT$2:$BT$2001,22),"")</f>
        <v>0</v>
      </c>
    </row>
    <row r="24" spans="1:59">
      <c r="A24" s="27">
        <f>IF($BG24="","",INDEX(Calc_Daily!$A$2:$A$2001,$BG24))</f>
        <v>0</v>
      </c>
      <c r="B24">
        <f>IF($BG24="","",INDEX(Calc_Daily!$BQ$2:$BQ$2001,$BG24))</f>
        <v>0</v>
      </c>
      <c r="C24">
        <f>IF($BG24="","",INDEX(Calc_Daily!$BR$2:$BR$2001,$BG24))</f>
        <v>0</v>
      </c>
      <c r="D24">
        <f>IF($BG24="","",INDEX(Calc_Daily!$BS$2:$BS$2001,$BG24))</f>
        <v>0</v>
      </c>
      <c r="E24">
        <f>IF($BG24="","",INDEX(Calc_Daily!$E$2:$E$2001,$BG24))</f>
        <v>0</v>
      </c>
      <c r="F24">
        <f>IF($E24="","",N(F23)+1)</f>
        <v>0</v>
      </c>
      <c r="G24">
        <f>IF(OR($E24="",$E23=""),"",LN($E24/$E23))</f>
        <v>0</v>
      </c>
      <c r="H24">
        <f>IF($E24="","",IF($E23="",$E24,$E24*0.0952380952+H23*0.9047619048))</f>
        <v>0</v>
      </c>
      <c r="I24">
        <f>IF($E24="","",IF($E23="",$E24,$E24*0.0392156863+I23*0.9607843137))</f>
        <v>0</v>
      </c>
      <c r="J24">
        <f>IF($E24="","",IF($E23="",$E24,$E24*0.0198019802+J23*0.9801980198))</f>
        <v>0</v>
      </c>
      <c r="K24">
        <f>IF($E24="","",IF($E23="",$E24,$E24*0.0099502488+K23*0.9900497512))</f>
        <v>0</v>
      </c>
      <c r="L24">
        <f>IF(OR($E24="",$E23=""),"",MAX($E24-$E23,0))</f>
        <v>0</v>
      </c>
      <c r="M24">
        <f>IF(OR($E24="",$E23=""),"",MAX($E23-$E24,0))</f>
        <v>0</v>
      </c>
      <c r="N24">
        <f>IF(COUNT($E$2:$E24)&lt;15,"",IF(AVERAGE($M$11:$M$24)=0,100,100-100/(1+AVERAGE($L$11:$L$24)/AVERAGE($M$11:$M$24))))</f>
        <v>0</v>
      </c>
      <c r="O24">
        <f>IF($E24="","",IF($E23="",$E24,$E24*0.1538461538+O23*0.8461538462))</f>
        <v>0</v>
      </c>
      <c r="P24">
        <f>IF($E24="","",IF($E23="",$E24,$E24*0.0740740741+P23*0.9259259259))</f>
        <v>0</v>
      </c>
      <c r="Q24">
        <f>IF(OR(O24="",P24=""),"",O24-P24)</f>
        <v>0</v>
      </c>
      <c r="R24">
        <f>IF(Q24="","",IF(R23="",Q24,Q24*0.2000000000+R23*0.8000000000))</f>
        <v>0</v>
      </c>
      <c r="S24">
        <f>IF(OR(Q24="",R24=""),"",Q24-R24)</f>
        <v>0</v>
      </c>
      <c r="T24">
        <f>IF(COUNT($E$2:$E24)&lt;14,"",MAX($C$11:$C$24))</f>
        <v>0</v>
      </c>
      <c r="U24">
        <f>IF(COUNT($E$2:$E24)&lt;14,"",MIN($D$11:$D$24))</f>
        <v>0</v>
      </c>
      <c r="V24">
        <f>IF(OR(T24="",U24="",T24=U24),"",100*($E24-U24)/(T24-U24))</f>
        <v>0</v>
      </c>
      <c r="W24">
        <f>IF(COUNT($V$22:$V$24)&lt;3,"",AVERAGE($V$22:$V$24))</f>
        <v>0</v>
      </c>
      <c r="X24">
        <f>IF(COUNT($N$11:$N$24)&lt;14,"",MIN($N$11:$N$24))</f>
        <v>0</v>
      </c>
      <c r="Y24">
        <f>IF(COUNT($N$11:$N$24)&lt;14,"",MAX($N$11:$N$24))</f>
        <v>0</v>
      </c>
      <c r="Z24">
        <f>IF(OR(N24="",X24="",Y24="",Y24=X24),"",100*(N24-X24)/(Y24-X24))</f>
        <v>0</v>
      </c>
      <c r="AA24">
        <f>IF(COUNT($Z$22:$Z$24)&lt;3,"",AVERAGE($Z$22:$Z$24))</f>
        <v>0</v>
      </c>
      <c r="AB24">
        <f>IF(COUNT($AA$22:$AA$24)&lt;3,"",AVERAGE($AA$22:$AA$24))</f>
        <v>0</v>
      </c>
      <c r="AC24">
        <f>IF($E24="","",MAX($C24-$D24,ABS($C24-$E23),ABS($D24-$E23)))</f>
        <v>0</v>
      </c>
      <c r="AD24">
        <f>IF(COUNT($E$2:$E24)&lt;15,"",AVERAGE($AC$11:$AC$24))</f>
        <v>0</v>
      </c>
      <c r="AE24">
        <f>IF(OR($E24="",$E23=""),"",IF(AND(($C24-$C23)&gt;($D23-$D24),($C24-$C23)&gt;0),$C24-$C23,0))</f>
        <v>0</v>
      </c>
      <c r="AF24">
        <f>IF(OR($E24="",$E23=""),"",IF(AND(($D23-$D24)&gt;($C24-$C23),($D23-$D24)&gt;0),$D23-$D24,0))</f>
        <v>0</v>
      </c>
      <c r="AG24">
        <f>IF(COUNT($E$2:$E24)&lt;15,"",IF(SUM($AC$11:$AC$24)=0,0,100*SUM($AE$11:$AE$24)/SUM($AC$11:$AC$24)))</f>
        <v>0</v>
      </c>
      <c r="AH24">
        <f>IF(COUNT($E$2:$E24)&lt;15,"",IF(SUM($AC$11:$AC$24)=0,0,100*SUM($AF$11:$AF$24)/SUM($AC$11:$AC$24)))</f>
        <v>0</v>
      </c>
      <c r="AI24">
        <f>IF(OR(AG24="",AH24=""),"",IF((AG24+AH24)=0,0,100*ABS(AG24-AH24)/(AG24+AH24)))</f>
        <v>0</v>
      </c>
      <c r="AJ24">
        <f>IF(COUNT($AI$11:$AI$24)&lt;14,"",AVERAGE($AI$11:$AI$24))</f>
        <v>0</v>
      </c>
      <c r="AK24">
        <f>IF(COUNT($E$2:$E24)&lt;20,"",AVERAGE($E$5:$E$24))</f>
        <v>0</v>
      </c>
      <c r="AL24">
        <f>IF(COUNT($E$2:$E24)&lt;20,"",STDEVP($E$5:$E$24))</f>
        <v>0</v>
      </c>
      <c r="AM24">
        <f>IF(AK24="","",AK24+2*AL24)</f>
        <v>0</v>
      </c>
      <c r="AN24">
        <f>IF(AK24="","",AK24-2*AL24)</f>
        <v>0</v>
      </c>
      <c r="AO24">
        <f>IF(OR(AM24="",AN24="",AM24=AN24),"",($E24-AN24)/(AM24-AN24))</f>
        <v>0</v>
      </c>
      <c r="AP24">
        <f>IF(OR(AM24="",AK24="",AK24=0),"",(AM24-AN24)/AK24)</f>
        <v>0</v>
      </c>
      <c r="AQ24">
        <f>IF(COUNT($E$2:$E24)&lt;20,"",MAX($C$5:$C$24))</f>
        <v>0</v>
      </c>
      <c r="AR24">
        <f>IF(COUNT($E$2:$E24)&lt;20,"",MIN($D$5:$D$24))</f>
        <v>0</v>
      </c>
      <c r="AS24">
        <f>IF(OR(AQ24="",AR24=""),"",(AQ24+AR24)/2)</f>
        <v>0</v>
      </c>
      <c r="AT24">
        <f>IF(COUNT($G$5:$G$24)&lt;20,"",STDEV($G$5:$G$24)*SQRT(12))</f>
        <v>0</v>
      </c>
      <c r="AU24">
        <f>IF(COUNT($E$2:$E24)&lt;9,"",(MAX($C$16:$C$24)+MIN($D$16:$D$24))/2)</f>
        <v>0</v>
      </c>
      <c r="AV24">
        <f>IF(COUNT($E$2:$E24)&lt;26,"",(MAX($C$2:$C$24)+MIN($D$2:$D$24))/2)</f>
        <v>0</v>
      </c>
      <c r="AW24">
        <f>IF(OR(AU24="",AV24=""),"",(AU24+AV24)/2)</f>
        <v>0</v>
      </c>
      <c r="AX24">
        <f>IF(COUNT($E$2:$E24)&lt;52,"",(MAX($C$2:$C$24)+MIN($D$2:$D$24))/2)</f>
        <v>0</v>
      </c>
      <c r="AY24">
        <f>IF(COUNT($E$2:$E24)&lt;20,"",MAX($C$2:$C$24))</f>
        <v>0</v>
      </c>
      <c r="AZ24">
        <f>IF(COUNT($E$2:$E24)&lt;20,"",MIN($D$2:$D$24))</f>
        <v>0</v>
      </c>
      <c r="BA24">
        <f>IF(COUNT($E$2:$E24)&lt;20,"",SLOPE($E$2:$E$24,$F$2:$F$24))</f>
        <v>0</v>
      </c>
      <c r="BB24">
        <f>IF(COUNT($E$2:$E24)&lt;20,"",INTERCEPT($E$2:$E$24,$F$2:$F$24))</f>
        <v>0</v>
      </c>
      <c r="BC24">
        <f>IF(OR(BA24="",BB24=""),"",BB24+BA24*F24)</f>
        <v>0</v>
      </c>
      <c r="BD24">
        <f>IF(COUNT($E$2:$E24)&lt;20,"",STEYX($E$2:$E$24,$F$2:$F$24))</f>
        <v>0</v>
      </c>
      <c r="BE24">
        <f>IF($E24="","",IF(AND(COUNT($E$25:$E$28)&gt;=4,$C24=MAX($C$20:$C$28)),$C24,""))</f>
        <v>0</v>
      </c>
      <c r="BF24">
        <f>IF($E24="","",IF(AND(COUNT($E$25:$E$28)&gt;=4,$D24=MIN($D$20:$D$28)),$D24,""))</f>
        <v>0</v>
      </c>
      <c r="BG24">
        <f>IFERROR(SMALL(Calc_Daily!$BT$2:$BT$2001,23),"")</f>
        <v>0</v>
      </c>
    </row>
    <row r="25" spans="1:59">
      <c r="A25" s="27">
        <f>IF($BG25="","",INDEX(Calc_Daily!$A$2:$A$2001,$BG25))</f>
        <v>0</v>
      </c>
      <c r="B25">
        <f>IF($BG25="","",INDEX(Calc_Daily!$BQ$2:$BQ$2001,$BG25))</f>
        <v>0</v>
      </c>
      <c r="C25">
        <f>IF($BG25="","",INDEX(Calc_Daily!$BR$2:$BR$2001,$BG25))</f>
        <v>0</v>
      </c>
      <c r="D25">
        <f>IF($BG25="","",INDEX(Calc_Daily!$BS$2:$BS$2001,$BG25))</f>
        <v>0</v>
      </c>
      <c r="E25">
        <f>IF($BG25="","",INDEX(Calc_Daily!$E$2:$E$2001,$BG25))</f>
        <v>0</v>
      </c>
      <c r="F25">
        <f>IF($E25="","",N(F24)+1)</f>
        <v>0</v>
      </c>
      <c r="G25">
        <f>IF(OR($E25="",$E24=""),"",LN($E25/$E24))</f>
        <v>0</v>
      </c>
      <c r="H25">
        <f>IF($E25="","",IF($E24="",$E25,$E25*0.0952380952+H24*0.9047619048))</f>
        <v>0</v>
      </c>
      <c r="I25">
        <f>IF($E25="","",IF($E24="",$E25,$E25*0.0392156863+I24*0.9607843137))</f>
        <v>0</v>
      </c>
      <c r="J25">
        <f>IF($E25="","",IF($E24="",$E25,$E25*0.0198019802+J24*0.9801980198))</f>
        <v>0</v>
      </c>
      <c r="K25">
        <f>IF($E25="","",IF($E24="",$E25,$E25*0.0099502488+K24*0.9900497512))</f>
        <v>0</v>
      </c>
      <c r="L25">
        <f>IF(OR($E25="",$E24=""),"",MAX($E25-$E24,0))</f>
        <v>0</v>
      </c>
      <c r="M25">
        <f>IF(OR($E25="",$E24=""),"",MAX($E24-$E25,0))</f>
        <v>0</v>
      </c>
      <c r="N25">
        <f>IF(COUNT($E$2:$E25)&lt;15,"",IF(AVERAGE($M$12:$M$25)=0,100,100-100/(1+AVERAGE($L$12:$L$25)/AVERAGE($M$12:$M$25))))</f>
        <v>0</v>
      </c>
      <c r="O25">
        <f>IF($E25="","",IF($E24="",$E25,$E25*0.1538461538+O24*0.8461538462))</f>
        <v>0</v>
      </c>
      <c r="P25">
        <f>IF($E25="","",IF($E24="",$E25,$E25*0.0740740741+P24*0.9259259259))</f>
        <v>0</v>
      </c>
      <c r="Q25">
        <f>IF(OR(O25="",P25=""),"",O25-P25)</f>
        <v>0</v>
      </c>
      <c r="R25">
        <f>IF(Q25="","",IF(R24="",Q25,Q25*0.2000000000+R24*0.8000000000))</f>
        <v>0</v>
      </c>
      <c r="S25">
        <f>IF(OR(Q25="",R25=""),"",Q25-R25)</f>
        <v>0</v>
      </c>
      <c r="T25">
        <f>IF(COUNT($E$2:$E25)&lt;14,"",MAX($C$12:$C$25))</f>
        <v>0</v>
      </c>
      <c r="U25">
        <f>IF(COUNT($E$2:$E25)&lt;14,"",MIN($D$12:$D$25))</f>
        <v>0</v>
      </c>
      <c r="V25">
        <f>IF(OR(T25="",U25="",T25=U25),"",100*($E25-U25)/(T25-U25))</f>
        <v>0</v>
      </c>
      <c r="W25">
        <f>IF(COUNT($V$23:$V$25)&lt;3,"",AVERAGE($V$23:$V$25))</f>
        <v>0</v>
      </c>
      <c r="X25">
        <f>IF(COUNT($N$12:$N$25)&lt;14,"",MIN($N$12:$N$25))</f>
        <v>0</v>
      </c>
      <c r="Y25">
        <f>IF(COUNT($N$12:$N$25)&lt;14,"",MAX($N$12:$N$25))</f>
        <v>0</v>
      </c>
      <c r="Z25">
        <f>IF(OR(N25="",X25="",Y25="",Y25=X25),"",100*(N25-X25)/(Y25-X25))</f>
        <v>0</v>
      </c>
      <c r="AA25">
        <f>IF(COUNT($Z$23:$Z$25)&lt;3,"",AVERAGE($Z$23:$Z$25))</f>
        <v>0</v>
      </c>
      <c r="AB25">
        <f>IF(COUNT($AA$23:$AA$25)&lt;3,"",AVERAGE($AA$23:$AA$25))</f>
        <v>0</v>
      </c>
      <c r="AC25">
        <f>IF($E25="","",MAX($C25-$D25,ABS($C25-$E24),ABS($D25-$E24)))</f>
        <v>0</v>
      </c>
      <c r="AD25">
        <f>IF(COUNT($E$2:$E25)&lt;15,"",AVERAGE($AC$12:$AC$25))</f>
        <v>0</v>
      </c>
      <c r="AE25">
        <f>IF(OR($E25="",$E24=""),"",IF(AND(($C25-$C24)&gt;($D24-$D25),($C25-$C24)&gt;0),$C25-$C24,0))</f>
        <v>0</v>
      </c>
      <c r="AF25">
        <f>IF(OR($E25="",$E24=""),"",IF(AND(($D24-$D25)&gt;($C25-$C24),($D24-$D25)&gt;0),$D24-$D25,0))</f>
        <v>0</v>
      </c>
      <c r="AG25">
        <f>IF(COUNT($E$2:$E25)&lt;15,"",IF(SUM($AC$12:$AC$25)=0,0,100*SUM($AE$12:$AE$25)/SUM($AC$12:$AC$25)))</f>
        <v>0</v>
      </c>
      <c r="AH25">
        <f>IF(COUNT($E$2:$E25)&lt;15,"",IF(SUM($AC$12:$AC$25)=0,0,100*SUM($AF$12:$AF$25)/SUM($AC$12:$AC$25)))</f>
        <v>0</v>
      </c>
      <c r="AI25">
        <f>IF(OR(AG25="",AH25=""),"",IF((AG25+AH25)=0,0,100*ABS(AG25-AH25)/(AG25+AH25)))</f>
        <v>0</v>
      </c>
      <c r="AJ25">
        <f>IF(COUNT($AI$12:$AI$25)&lt;14,"",AVERAGE($AI$12:$AI$25))</f>
        <v>0</v>
      </c>
      <c r="AK25">
        <f>IF(COUNT($E$2:$E25)&lt;20,"",AVERAGE($E$6:$E$25))</f>
        <v>0</v>
      </c>
      <c r="AL25">
        <f>IF(COUNT($E$2:$E25)&lt;20,"",STDEVP($E$6:$E$25))</f>
        <v>0</v>
      </c>
      <c r="AM25">
        <f>IF(AK25="","",AK25+2*AL25)</f>
        <v>0</v>
      </c>
      <c r="AN25">
        <f>IF(AK25="","",AK25-2*AL25)</f>
        <v>0</v>
      </c>
      <c r="AO25">
        <f>IF(OR(AM25="",AN25="",AM25=AN25),"",($E25-AN25)/(AM25-AN25))</f>
        <v>0</v>
      </c>
      <c r="AP25">
        <f>IF(OR(AM25="",AK25="",AK25=0),"",(AM25-AN25)/AK25)</f>
        <v>0</v>
      </c>
      <c r="AQ25">
        <f>IF(COUNT($E$2:$E25)&lt;20,"",MAX($C$6:$C$25))</f>
        <v>0</v>
      </c>
      <c r="AR25">
        <f>IF(COUNT($E$2:$E25)&lt;20,"",MIN($D$6:$D$25))</f>
        <v>0</v>
      </c>
      <c r="AS25">
        <f>IF(OR(AQ25="",AR25=""),"",(AQ25+AR25)/2)</f>
        <v>0</v>
      </c>
      <c r="AT25">
        <f>IF(COUNT($G$6:$G$25)&lt;20,"",STDEV($G$6:$G$25)*SQRT(12))</f>
        <v>0</v>
      </c>
      <c r="AU25">
        <f>IF(COUNT($E$2:$E25)&lt;9,"",(MAX($C$17:$C$25)+MIN($D$17:$D$25))/2)</f>
        <v>0</v>
      </c>
      <c r="AV25">
        <f>IF(COUNT($E$2:$E25)&lt;26,"",(MAX($C$2:$C$25)+MIN($D$2:$D$25))/2)</f>
        <v>0</v>
      </c>
      <c r="AW25">
        <f>IF(OR(AU25="",AV25=""),"",(AU25+AV25)/2)</f>
        <v>0</v>
      </c>
      <c r="AX25">
        <f>IF(COUNT($E$2:$E25)&lt;52,"",(MAX($C$2:$C$25)+MIN($D$2:$D$25))/2)</f>
        <v>0</v>
      </c>
      <c r="AY25">
        <f>IF(COUNT($E$2:$E25)&lt;20,"",MAX($C$2:$C$25))</f>
        <v>0</v>
      </c>
      <c r="AZ25">
        <f>IF(COUNT($E$2:$E25)&lt;20,"",MIN($D$2:$D$25))</f>
        <v>0</v>
      </c>
      <c r="BA25">
        <f>IF(COUNT($E$2:$E25)&lt;20,"",SLOPE($E$2:$E$25,$F$2:$F$25))</f>
        <v>0</v>
      </c>
      <c r="BB25">
        <f>IF(COUNT($E$2:$E25)&lt;20,"",INTERCEPT($E$2:$E$25,$F$2:$F$25))</f>
        <v>0</v>
      </c>
      <c r="BC25">
        <f>IF(OR(BA25="",BB25=""),"",BB25+BA25*F25)</f>
        <v>0</v>
      </c>
      <c r="BD25">
        <f>IF(COUNT($E$2:$E25)&lt;20,"",STEYX($E$2:$E$25,$F$2:$F$25))</f>
        <v>0</v>
      </c>
      <c r="BE25">
        <f>IF($E25="","",IF(AND(COUNT($E$26:$E$29)&gt;=4,$C25=MAX($C$21:$C$29)),$C25,""))</f>
        <v>0</v>
      </c>
      <c r="BF25">
        <f>IF($E25="","",IF(AND(COUNT($E$26:$E$29)&gt;=4,$D25=MIN($D$21:$D$29)),$D25,""))</f>
        <v>0</v>
      </c>
      <c r="BG25">
        <f>IFERROR(SMALL(Calc_Daily!$BT$2:$BT$2001,24),"")</f>
        <v>0</v>
      </c>
    </row>
    <row r="26" spans="1:59">
      <c r="A26" s="27">
        <f>IF($BG26="","",INDEX(Calc_Daily!$A$2:$A$2001,$BG26))</f>
        <v>0</v>
      </c>
      <c r="B26">
        <f>IF($BG26="","",INDEX(Calc_Daily!$BQ$2:$BQ$2001,$BG26))</f>
        <v>0</v>
      </c>
      <c r="C26">
        <f>IF($BG26="","",INDEX(Calc_Daily!$BR$2:$BR$2001,$BG26))</f>
        <v>0</v>
      </c>
      <c r="D26">
        <f>IF($BG26="","",INDEX(Calc_Daily!$BS$2:$BS$2001,$BG26))</f>
        <v>0</v>
      </c>
      <c r="E26">
        <f>IF($BG26="","",INDEX(Calc_Daily!$E$2:$E$2001,$BG26))</f>
        <v>0</v>
      </c>
      <c r="F26">
        <f>IF($E26="","",N(F25)+1)</f>
        <v>0</v>
      </c>
      <c r="G26">
        <f>IF(OR($E26="",$E25=""),"",LN($E26/$E25))</f>
        <v>0</v>
      </c>
      <c r="H26">
        <f>IF($E26="","",IF($E25="",$E26,$E26*0.0952380952+H25*0.9047619048))</f>
        <v>0</v>
      </c>
      <c r="I26">
        <f>IF($E26="","",IF($E25="",$E26,$E26*0.0392156863+I25*0.9607843137))</f>
        <v>0</v>
      </c>
      <c r="J26">
        <f>IF($E26="","",IF($E25="",$E26,$E26*0.0198019802+J25*0.9801980198))</f>
        <v>0</v>
      </c>
      <c r="K26">
        <f>IF($E26="","",IF($E25="",$E26,$E26*0.0099502488+K25*0.9900497512))</f>
        <v>0</v>
      </c>
      <c r="L26">
        <f>IF(OR($E26="",$E25=""),"",MAX($E26-$E25,0))</f>
        <v>0</v>
      </c>
      <c r="M26">
        <f>IF(OR($E26="",$E25=""),"",MAX($E25-$E26,0))</f>
        <v>0</v>
      </c>
      <c r="N26">
        <f>IF(COUNT($E$2:$E26)&lt;15,"",IF(AVERAGE($M$13:$M$26)=0,100,100-100/(1+AVERAGE($L$13:$L$26)/AVERAGE($M$13:$M$26))))</f>
        <v>0</v>
      </c>
      <c r="O26">
        <f>IF($E26="","",IF($E25="",$E26,$E26*0.1538461538+O25*0.8461538462))</f>
        <v>0</v>
      </c>
      <c r="P26">
        <f>IF($E26="","",IF($E25="",$E26,$E26*0.0740740741+P25*0.9259259259))</f>
        <v>0</v>
      </c>
      <c r="Q26">
        <f>IF(OR(O26="",P26=""),"",O26-P26)</f>
        <v>0</v>
      </c>
      <c r="R26">
        <f>IF(Q26="","",IF(R25="",Q26,Q26*0.2000000000+R25*0.8000000000))</f>
        <v>0</v>
      </c>
      <c r="S26">
        <f>IF(OR(Q26="",R26=""),"",Q26-R26)</f>
        <v>0</v>
      </c>
      <c r="T26">
        <f>IF(COUNT($E$2:$E26)&lt;14,"",MAX($C$13:$C$26))</f>
        <v>0</v>
      </c>
      <c r="U26">
        <f>IF(COUNT($E$2:$E26)&lt;14,"",MIN($D$13:$D$26))</f>
        <v>0</v>
      </c>
      <c r="V26">
        <f>IF(OR(T26="",U26="",T26=U26),"",100*($E26-U26)/(T26-U26))</f>
        <v>0</v>
      </c>
      <c r="W26">
        <f>IF(COUNT($V$24:$V$26)&lt;3,"",AVERAGE($V$24:$V$26))</f>
        <v>0</v>
      </c>
      <c r="X26">
        <f>IF(COUNT($N$13:$N$26)&lt;14,"",MIN($N$13:$N$26))</f>
        <v>0</v>
      </c>
      <c r="Y26">
        <f>IF(COUNT($N$13:$N$26)&lt;14,"",MAX($N$13:$N$26))</f>
        <v>0</v>
      </c>
      <c r="Z26">
        <f>IF(OR(N26="",X26="",Y26="",Y26=X26),"",100*(N26-X26)/(Y26-X26))</f>
        <v>0</v>
      </c>
      <c r="AA26">
        <f>IF(COUNT($Z$24:$Z$26)&lt;3,"",AVERAGE($Z$24:$Z$26))</f>
        <v>0</v>
      </c>
      <c r="AB26">
        <f>IF(COUNT($AA$24:$AA$26)&lt;3,"",AVERAGE($AA$24:$AA$26))</f>
        <v>0</v>
      </c>
      <c r="AC26">
        <f>IF($E26="","",MAX($C26-$D26,ABS($C26-$E25),ABS($D26-$E25)))</f>
        <v>0</v>
      </c>
      <c r="AD26">
        <f>IF(COUNT($E$2:$E26)&lt;15,"",AVERAGE($AC$13:$AC$26))</f>
        <v>0</v>
      </c>
      <c r="AE26">
        <f>IF(OR($E26="",$E25=""),"",IF(AND(($C26-$C25)&gt;($D25-$D26),($C26-$C25)&gt;0),$C26-$C25,0))</f>
        <v>0</v>
      </c>
      <c r="AF26">
        <f>IF(OR($E26="",$E25=""),"",IF(AND(($D25-$D26)&gt;($C26-$C25),($D25-$D26)&gt;0),$D25-$D26,0))</f>
        <v>0</v>
      </c>
      <c r="AG26">
        <f>IF(COUNT($E$2:$E26)&lt;15,"",IF(SUM($AC$13:$AC$26)=0,0,100*SUM($AE$13:$AE$26)/SUM($AC$13:$AC$26)))</f>
        <v>0</v>
      </c>
      <c r="AH26">
        <f>IF(COUNT($E$2:$E26)&lt;15,"",IF(SUM($AC$13:$AC$26)=0,0,100*SUM($AF$13:$AF$26)/SUM($AC$13:$AC$26)))</f>
        <v>0</v>
      </c>
      <c r="AI26">
        <f>IF(OR(AG26="",AH26=""),"",IF((AG26+AH26)=0,0,100*ABS(AG26-AH26)/(AG26+AH26)))</f>
        <v>0</v>
      </c>
      <c r="AJ26">
        <f>IF(COUNT($AI$13:$AI$26)&lt;14,"",AVERAGE($AI$13:$AI$26))</f>
        <v>0</v>
      </c>
      <c r="AK26">
        <f>IF(COUNT($E$2:$E26)&lt;20,"",AVERAGE($E$7:$E$26))</f>
        <v>0</v>
      </c>
      <c r="AL26">
        <f>IF(COUNT($E$2:$E26)&lt;20,"",STDEVP($E$7:$E$26))</f>
        <v>0</v>
      </c>
      <c r="AM26">
        <f>IF(AK26="","",AK26+2*AL26)</f>
        <v>0</v>
      </c>
      <c r="AN26">
        <f>IF(AK26="","",AK26-2*AL26)</f>
        <v>0</v>
      </c>
      <c r="AO26">
        <f>IF(OR(AM26="",AN26="",AM26=AN26),"",($E26-AN26)/(AM26-AN26))</f>
        <v>0</v>
      </c>
      <c r="AP26">
        <f>IF(OR(AM26="",AK26="",AK26=0),"",(AM26-AN26)/AK26)</f>
        <v>0</v>
      </c>
      <c r="AQ26">
        <f>IF(COUNT($E$2:$E26)&lt;20,"",MAX($C$7:$C$26))</f>
        <v>0</v>
      </c>
      <c r="AR26">
        <f>IF(COUNT($E$2:$E26)&lt;20,"",MIN($D$7:$D$26))</f>
        <v>0</v>
      </c>
      <c r="AS26">
        <f>IF(OR(AQ26="",AR26=""),"",(AQ26+AR26)/2)</f>
        <v>0</v>
      </c>
      <c r="AT26">
        <f>IF(COUNT($G$7:$G$26)&lt;20,"",STDEV($G$7:$G$26)*SQRT(12))</f>
        <v>0</v>
      </c>
      <c r="AU26">
        <f>IF(COUNT($E$2:$E26)&lt;9,"",(MAX($C$18:$C$26)+MIN($D$18:$D$26))/2)</f>
        <v>0</v>
      </c>
      <c r="AV26">
        <f>IF(COUNT($E$2:$E26)&lt;26,"",(MAX($C$2:$C$26)+MIN($D$2:$D$26))/2)</f>
        <v>0</v>
      </c>
      <c r="AW26">
        <f>IF(OR(AU26="",AV26=""),"",(AU26+AV26)/2)</f>
        <v>0</v>
      </c>
      <c r="AX26">
        <f>IF(COUNT($E$2:$E26)&lt;52,"",(MAX($C$2:$C$26)+MIN($D$2:$D$26))/2)</f>
        <v>0</v>
      </c>
      <c r="AY26">
        <f>IF(COUNT($E$2:$E26)&lt;20,"",MAX($C$2:$C$26))</f>
        <v>0</v>
      </c>
      <c r="AZ26">
        <f>IF(COUNT($E$2:$E26)&lt;20,"",MIN($D$2:$D$26))</f>
        <v>0</v>
      </c>
      <c r="BA26">
        <f>IF(COUNT($E$2:$E26)&lt;20,"",SLOPE($E$2:$E$26,$F$2:$F$26))</f>
        <v>0</v>
      </c>
      <c r="BB26">
        <f>IF(COUNT($E$2:$E26)&lt;20,"",INTERCEPT($E$2:$E$26,$F$2:$F$26))</f>
        <v>0</v>
      </c>
      <c r="BC26">
        <f>IF(OR(BA26="",BB26=""),"",BB26+BA26*F26)</f>
        <v>0</v>
      </c>
      <c r="BD26">
        <f>IF(COUNT($E$2:$E26)&lt;20,"",STEYX($E$2:$E$26,$F$2:$F$26))</f>
        <v>0</v>
      </c>
      <c r="BE26">
        <f>IF($E26="","",IF(AND(COUNT($E$27:$E$30)&gt;=4,$C26=MAX($C$22:$C$30)),$C26,""))</f>
        <v>0</v>
      </c>
      <c r="BF26">
        <f>IF($E26="","",IF(AND(COUNT($E$27:$E$30)&gt;=4,$D26=MIN($D$22:$D$30)),$D26,""))</f>
        <v>0</v>
      </c>
      <c r="BG26">
        <f>IFERROR(SMALL(Calc_Daily!$BT$2:$BT$2001,25),"")</f>
        <v>0</v>
      </c>
    </row>
    <row r="27" spans="1:59">
      <c r="A27" s="27">
        <f>IF($BG27="","",INDEX(Calc_Daily!$A$2:$A$2001,$BG27))</f>
        <v>0</v>
      </c>
      <c r="B27">
        <f>IF($BG27="","",INDEX(Calc_Daily!$BQ$2:$BQ$2001,$BG27))</f>
        <v>0</v>
      </c>
      <c r="C27">
        <f>IF($BG27="","",INDEX(Calc_Daily!$BR$2:$BR$2001,$BG27))</f>
        <v>0</v>
      </c>
      <c r="D27">
        <f>IF($BG27="","",INDEX(Calc_Daily!$BS$2:$BS$2001,$BG27))</f>
        <v>0</v>
      </c>
      <c r="E27">
        <f>IF($BG27="","",INDEX(Calc_Daily!$E$2:$E$2001,$BG27))</f>
        <v>0</v>
      </c>
      <c r="F27">
        <f>IF($E27="","",N(F26)+1)</f>
        <v>0</v>
      </c>
      <c r="G27">
        <f>IF(OR($E27="",$E26=""),"",LN($E27/$E26))</f>
        <v>0</v>
      </c>
      <c r="H27">
        <f>IF($E27="","",IF($E26="",$E27,$E27*0.0952380952+H26*0.9047619048))</f>
        <v>0</v>
      </c>
      <c r="I27">
        <f>IF($E27="","",IF($E26="",$E27,$E27*0.0392156863+I26*0.9607843137))</f>
        <v>0</v>
      </c>
      <c r="J27">
        <f>IF($E27="","",IF($E26="",$E27,$E27*0.0198019802+J26*0.9801980198))</f>
        <v>0</v>
      </c>
      <c r="K27">
        <f>IF($E27="","",IF($E26="",$E27,$E27*0.0099502488+K26*0.9900497512))</f>
        <v>0</v>
      </c>
      <c r="L27">
        <f>IF(OR($E27="",$E26=""),"",MAX($E27-$E26,0))</f>
        <v>0</v>
      </c>
      <c r="M27">
        <f>IF(OR($E27="",$E26=""),"",MAX($E26-$E27,0))</f>
        <v>0</v>
      </c>
      <c r="N27">
        <f>IF(COUNT($E$2:$E27)&lt;15,"",IF(AVERAGE($M$14:$M$27)=0,100,100-100/(1+AVERAGE($L$14:$L$27)/AVERAGE($M$14:$M$27))))</f>
        <v>0</v>
      </c>
      <c r="O27">
        <f>IF($E27="","",IF($E26="",$E27,$E27*0.1538461538+O26*0.8461538462))</f>
        <v>0</v>
      </c>
      <c r="P27">
        <f>IF($E27="","",IF($E26="",$E27,$E27*0.0740740741+P26*0.9259259259))</f>
        <v>0</v>
      </c>
      <c r="Q27">
        <f>IF(OR(O27="",P27=""),"",O27-P27)</f>
        <v>0</v>
      </c>
      <c r="R27">
        <f>IF(Q27="","",IF(R26="",Q27,Q27*0.2000000000+R26*0.8000000000))</f>
        <v>0</v>
      </c>
      <c r="S27">
        <f>IF(OR(Q27="",R27=""),"",Q27-R27)</f>
        <v>0</v>
      </c>
      <c r="T27">
        <f>IF(COUNT($E$2:$E27)&lt;14,"",MAX($C$14:$C$27))</f>
        <v>0</v>
      </c>
      <c r="U27">
        <f>IF(COUNT($E$2:$E27)&lt;14,"",MIN($D$14:$D$27))</f>
        <v>0</v>
      </c>
      <c r="V27">
        <f>IF(OR(T27="",U27="",T27=U27),"",100*($E27-U27)/(T27-U27))</f>
        <v>0</v>
      </c>
      <c r="W27">
        <f>IF(COUNT($V$25:$V$27)&lt;3,"",AVERAGE($V$25:$V$27))</f>
        <v>0</v>
      </c>
      <c r="X27">
        <f>IF(COUNT($N$14:$N$27)&lt;14,"",MIN($N$14:$N$27))</f>
        <v>0</v>
      </c>
      <c r="Y27">
        <f>IF(COUNT($N$14:$N$27)&lt;14,"",MAX($N$14:$N$27))</f>
        <v>0</v>
      </c>
      <c r="Z27">
        <f>IF(OR(N27="",X27="",Y27="",Y27=X27),"",100*(N27-X27)/(Y27-X27))</f>
        <v>0</v>
      </c>
      <c r="AA27">
        <f>IF(COUNT($Z$25:$Z$27)&lt;3,"",AVERAGE($Z$25:$Z$27))</f>
        <v>0</v>
      </c>
      <c r="AB27">
        <f>IF(COUNT($AA$25:$AA$27)&lt;3,"",AVERAGE($AA$25:$AA$27))</f>
        <v>0</v>
      </c>
      <c r="AC27">
        <f>IF($E27="","",MAX($C27-$D27,ABS($C27-$E26),ABS($D27-$E26)))</f>
        <v>0</v>
      </c>
      <c r="AD27">
        <f>IF(COUNT($E$2:$E27)&lt;15,"",AVERAGE($AC$14:$AC$27))</f>
        <v>0</v>
      </c>
      <c r="AE27">
        <f>IF(OR($E27="",$E26=""),"",IF(AND(($C27-$C26)&gt;($D26-$D27),($C27-$C26)&gt;0),$C27-$C26,0))</f>
        <v>0</v>
      </c>
      <c r="AF27">
        <f>IF(OR($E27="",$E26=""),"",IF(AND(($D26-$D27)&gt;($C27-$C26),($D26-$D27)&gt;0),$D26-$D27,0))</f>
        <v>0</v>
      </c>
      <c r="AG27">
        <f>IF(COUNT($E$2:$E27)&lt;15,"",IF(SUM($AC$14:$AC$27)=0,0,100*SUM($AE$14:$AE$27)/SUM($AC$14:$AC$27)))</f>
        <v>0</v>
      </c>
      <c r="AH27">
        <f>IF(COUNT($E$2:$E27)&lt;15,"",IF(SUM($AC$14:$AC$27)=0,0,100*SUM($AF$14:$AF$27)/SUM($AC$14:$AC$27)))</f>
        <v>0</v>
      </c>
      <c r="AI27">
        <f>IF(OR(AG27="",AH27=""),"",IF((AG27+AH27)=0,0,100*ABS(AG27-AH27)/(AG27+AH27)))</f>
        <v>0</v>
      </c>
      <c r="AJ27">
        <f>IF(COUNT($AI$14:$AI$27)&lt;14,"",AVERAGE($AI$14:$AI$27))</f>
        <v>0</v>
      </c>
      <c r="AK27">
        <f>IF(COUNT($E$2:$E27)&lt;20,"",AVERAGE($E$8:$E$27))</f>
        <v>0</v>
      </c>
      <c r="AL27">
        <f>IF(COUNT($E$2:$E27)&lt;20,"",STDEVP($E$8:$E$27))</f>
        <v>0</v>
      </c>
      <c r="AM27">
        <f>IF(AK27="","",AK27+2*AL27)</f>
        <v>0</v>
      </c>
      <c r="AN27">
        <f>IF(AK27="","",AK27-2*AL27)</f>
        <v>0</v>
      </c>
      <c r="AO27">
        <f>IF(OR(AM27="",AN27="",AM27=AN27),"",($E27-AN27)/(AM27-AN27))</f>
        <v>0</v>
      </c>
      <c r="AP27">
        <f>IF(OR(AM27="",AK27="",AK27=0),"",(AM27-AN27)/AK27)</f>
        <v>0</v>
      </c>
      <c r="AQ27">
        <f>IF(COUNT($E$2:$E27)&lt;20,"",MAX($C$8:$C$27))</f>
        <v>0</v>
      </c>
      <c r="AR27">
        <f>IF(COUNT($E$2:$E27)&lt;20,"",MIN($D$8:$D$27))</f>
        <v>0</v>
      </c>
      <c r="AS27">
        <f>IF(OR(AQ27="",AR27=""),"",(AQ27+AR27)/2)</f>
        <v>0</v>
      </c>
      <c r="AT27">
        <f>IF(COUNT($G$8:$G$27)&lt;20,"",STDEV($G$8:$G$27)*SQRT(12))</f>
        <v>0</v>
      </c>
      <c r="AU27">
        <f>IF(COUNT($E$2:$E27)&lt;9,"",(MAX($C$19:$C$27)+MIN($D$19:$D$27))/2)</f>
        <v>0</v>
      </c>
      <c r="AV27">
        <f>IF(COUNT($E$2:$E27)&lt;26,"",(MAX($C$2:$C$27)+MIN($D$2:$D$27))/2)</f>
        <v>0</v>
      </c>
      <c r="AW27">
        <f>IF(OR(AU27="",AV27=""),"",(AU27+AV27)/2)</f>
        <v>0</v>
      </c>
      <c r="AX27">
        <f>IF(COUNT($E$2:$E27)&lt;52,"",(MAX($C$2:$C$27)+MIN($D$2:$D$27))/2)</f>
        <v>0</v>
      </c>
      <c r="AY27">
        <f>IF(COUNT($E$2:$E27)&lt;20,"",MAX($C$2:$C$27))</f>
        <v>0</v>
      </c>
      <c r="AZ27">
        <f>IF(COUNT($E$2:$E27)&lt;20,"",MIN($D$2:$D$27))</f>
        <v>0</v>
      </c>
      <c r="BA27">
        <f>IF(COUNT($E$2:$E27)&lt;20,"",SLOPE($E$2:$E$27,$F$2:$F$27))</f>
        <v>0</v>
      </c>
      <c r="BB27">
        <f>IF(COUNT($E$2:$E27)&lt;20,"",INTERCEPT($E$2:$E$27,$F$2:$F$27))</f>
        <v>0</v>
      </c>
      <c r="BC27">
        <f>IF(OR(BA27="",BB27=""),"",BB27+BA27*F27)</f>
        <v>0</v>
      </c>
      <c r="BD27">
        <f>IF(COUNT($E$2:$E27)&lt;20,"",STEYX($E$2:$E$27,$F$2:$F$27))</f>
        <v>0</v>
      </c>
      <c r="BE27">
        <f>IF($E27="","",IF(AND(COUNT($E$28:$E$31)&gt;=4,$C27=MAX($C$23:$C$31)),$C27,""))</f>
        <v>0</v>
      </c>
      <c r="BF27">
        <f>IF($E27="","",IF(AND(COUNT($E$28:$E$31)&gt;=4,$D27=MIN($D$23:$D$31)),$D27,""))</f>
        <v>0</v>
      </c>
      <c r="BG27">
        <f>IFERROR(SMALL(Calc_Daily!$BT$2:$BT$2001,26),"")</f>
        <v>0</v>
      </c>
    </row>
    <row r="28" spans="1:59">
      <c r="A28" s="27">
        <f>IF($BG28="","",INDEX(Calc_Daily!$A$2:$A$2001,$BG28))</f>
        <v>0</v>
      </c>
      <c r="B28">
        <f>IF($BG28="","",INDEX(Calc_Daily!$BQ$2:$BQ$2001,$BG28))</f>
        <v>0</v>
      </c>
      <c r="C28">
        <f>IF($BG28="","",INDEX(Calc_Daily!$BR$2:$BR$2001,$BG28))</f>
        <v>0</v>
      </c>
      <c r="D28">
        <f>IF($BG28="","",INDEX(Calc_Daily!$BS$2:$BS$2001,$BG28))</f>
        <v>0</v>
      </c>
      <c r="E28">
        <f>IF($BG28="","",INDEX(Calc_Daily!$E$2:$E$2001,$BG28))</f>
        <v>0</v>
      </c>
      <c r="F28">
        <f>IF($E28="","",N(F27)+1)</f>
        <v>0</v>
      </c>
      <c r="G28">
        <f>IF(OR($E28="",$E27=""),"",LN($E28/$E27))</f>
        <v>0</v>
      </c>
      <c r="H28">
        <f>IF($E28="","",IF($E27="",$E28,$E28*0.0952380952+H27*0.9047619048))</f>
        <v>0</v>
      </c>
      <c r="I28">
        <f>IF($E28="","",IF($E27="",$E28,$E28*0.0392156863+I27*0.9607843137))</f>
        <v>0</v>
      </c>
      <c r="J28">
        <f>IF($E28="","",IF($E27="",$E28,$E28*0.0198019802+J27*0.9801980198))</f>
        <v>0</v>
      </c>
      <c r="K28">
        <f>IF($E28="","",IF($E27="",$E28,$E28*0.0099502488+K27*0.9900497512))</f>
        <v>0</v>
      </c>
      <c r="L28">
        <f>IF(OR($E28="",$E27=""),"",MAX($E28-$E27,0))</f>
        <v>0</v>
      </c>
      <c r="M28">
        <f>IF(OR($E28="",$E27=""),"",MAX($E27-$E28,0))</f>
        <v>0</v>
      </c>
      <c r="N28">
        <f>IF(COUNT($E$2:$E28)&lt;15,"",IF(AVERAGE($M$15:$M$28)=0,100,100-100/(1+AVERAGE($L$15:$L$28)/AVERAGE($M$15:$M$28))))</f>
        <v>0</v>
      </c>
      <c r="O28">
        <f>IF($E28="","",IF($E27="",$E28,$E28*0.1538461538+O27*0.8461538462))</f>
        <v>0</v>
      </c>
      <c r="P28">
        <f>IF($E28="","",IF($E27="",$E28,$E28*0.0740740741+P27*0.9259259259))</f>
        <v>0</v>
      </c>
      <c r="Q28">
        <f>IF(OR(O28="",P28=""),"",O28-P28)</f>
        <v>0</v>
      </c>
      <c r="R28">
        <f>IF(Q28="","",IF(R27="",Q28,Q28*0.2000000000+R27*0.8000000000))</f>
        <v>0</v>
      </c>
      <c r="S28">
        <f>IF(OR(Q28="",R28=""),"",Q28-R28)</f>
        <v>0</v>
      </c>
      <c r="T28">
        <f>IF(COUNT($E$2:$E28)&lt;14,"",MAX($C$15:$C$28))</f>
        <v>0</v>
      </c>
      <c r="U28">
        <f>IF(COUNT($E$2:$E28)&lt;14,"",MIN($D$15:$D$28))</f>
        <v>0</v>
      </c>
      <c r="V28">
        <f>IF(OR(T28="",U28="",T28=U28),"",100*($E28-U28)/(T28-U28))</f>
        <v>0</v>
      </c>
      <c r="W28">
        <f>IF(COUNT($V$26:$V$28)&lt;3,"",AVERAGE($V$26:$V$28))</f>
        <v>0</v>
      </c>
      <c r="X28">
        <f>IF(COUNT($N$15:$N$28)&lt;14,"",MIN($N$15:$N$28))</f>
        <v>0</v>
      </c>
      <c r="Y28">
        <f>IF(COUNT($N$15:$N$28)&lt;14,"",MAX($N$15:$N$28))</f>
        <v>0</v>
      </c>
      <c r="Z28">
        <f>IF(OR(N28="",X28="",Y28="",Y28=X28),"",100*(N28-X28)/(Y28-X28))</f>
        <v>0</v>
      </c>
      <c r="AA28">
        <f>IF(COUNT($Z$26:$Z$28)&lt;3,"",AVERAGE($Z$26:$Z$28))</f>
        <v>0</v>
      </c>
      <c r="AB28">
        <f>IF(COUNT($AA$26:$AA$28)&lt;3,"",AVERAGE($AA$26:$AA$28))</f>
        <v>0</v>
      </c>
      <c r="AC28">
        <f>IF($E28="","",MAX($C28-$D28,ABS($C28-$E27),ABS($D28-$E27)))</f>
        <v>0</v>
      </c>
      <c r="AD28">
        <f>IF(COUNT($E$2:$E28)&lt;15,"",AVERAGE($AC$15:$AC$28))</f>
        <v>0</v>
      </c>
      <c r="AE28">
        <f>IF(OR($E28="",$E27=""),"",IF(AND(($C28-$C27)&gt;($D27-$D28),($C28-$C27)&gt;0),$C28-$C27,0))</f>
        <v>0</v>
      </c>
      <c r="AF28">
        <f>IF(OR($E28="",$E27=""),"",IF(AND(($D27-$D28)&gt;($C28-$C27),($D27-$D28)&gt;0),$D27-$D28,0))</f>
        <v>0</v>
      </c>
      <c r="AG28">
        <f>IF(COUNT($E$2:$E28)&lt;15,"",IF(SUM($AC$15:$AC$28)=0,0,100*SUM($AE$15:$AE$28)/SUM($AC$15:$AC$28)))</f>
        <v>0</v>
      </c>
      <c r="AH28">
        <f>IF(COUNT($E$2:$E28)&lt;15,"",IF(SUM($AC$15:$AC$28)=0,0,100*SUM($AF$15:$AF$28)/SUM($AC$15:$AC$28)))</f>
        <v>0</v>
      </c>
      <c r="AI28">
        <f>IF(OR(AG28="",AH28=""),"",IF((AG28+AH28)=0,0,100*ABS(AG28-AH28)/(AG28+AH28)))</f>
        <v>0</v>
      </c>
      <c r="AJ28">
        <f>IF(COUNT($AI$15:$AI$28)&lt;14,"",AVERAGE($AI$15:$AI$28))</f>
        <v>0</v>
      </c>
      <c r="AK28">
        <f>IF(COUNT($E$2:$E28)&lt;20,"",AVERAGE($E$9:$E$28))</f>
        <v>0</v>
      </c>
      <c r="AL28">
        <f>IF(COUNT($E$2:$E28)&lt;20,"",STDEVP($E$9:$E$28))</f>
        <v>0</v>
      </c>
      <c r="AM28">
        <f>IF(AK28="","",AK28+2*AL28)</f>
        <v>0</v>
      </c>
      <c r="AN28">
        <f>IF(AK28="","",AK28-2*AL28)</f>
        <v>0</v>
      </c>
      <c r="AO28">
        <f>IF(OR(AM28="",AN28="",AM28=AN28),"",($E28-AN28)/(AM28-AN28))</f>
        <v>0</v>
      </c>
      <c r="AP28">
        <f>IF(OR(AM28="",AK28="",AK28=0),"",(AM28-AN28)/AK28)</f>
        <v>0</v>
      </c>
      <c r="AQ28">
        <f>IF(COUNT($E$2:$E28)&lt;20,"",MAX($C$9:$C$28))</f>
        <v>0</v>
      </c>
      <c r="AR28">
        <f>IF(COUNT($E$2:$E28)&lt;20,"",MIN($D$9:$D$28))</f>
        <v>0</v>
      </c>
      <c r="AS28">
        <f>IF(OR(AQ28="",AR28=""),"",(AQ28+AR28)/2)</f>
        <v>0</v>
      </c>
      <c r="AT28">
        <f>IF(COUNT($G$9:$G$28)&lt;20,"",STDEV($G$9:$G$28)*SQRT(12))</f>
        <v>0</v>
      </c>
      <c r="AU28">
        <f>IF(COUNT($E$2:$E28)&lt;9,"",(MAX($C$20:$C$28)+MIN($D$20:$D$28))/2)</f>
        <v>0</v>
      </c>
      <c r="AV28">
        <f>IF(COUNT($E$2:$E28)&lt;26,"",(MAX($C$3:$C$28)+MIN($D$3:$D$28))/2)</f>
        <v>0</v>
      </c>
      <c r="AW28">
        <f>IF(OR(AU28="",AV28=""),"",(AU28+AV28)/2)</f>
        <v>0</v>
      </c>
      <c r="AX28">
        <f>IF(COUNT($E$2:$E28)&lt;52,"",(MAX($C$2:$C$28)+MIN($D$2:$D$28))/2)</f>
        <v>0</v>
      </c>
      <c r="AY28">
        <f>IF(COUNT($E$2:$E28)&lt;20,"",MAX($C$2:$C$28))</f>
        <v>0</v>
      </c>
      <c r="AZ28">
        <f>IF(COUNT($E$2:$E28)&lt;20,"",MIN($D$2:$D$28))</f>
        <v>0</v>
      </c>
      <c r="BA28">
        <f>IF(COUNT($E$2:$E28)&lt;20,"",SLOPE($E$2:$E$28,$F$2:$F$28))</f>
        <v>0</v>
      </c>
      <c r="BB28">
        <f>IF(COUNT($E$2:$E28)&lt;20,"",INTERCEPT($E$2:$E$28,$F$2:$F$28))</f>
        <v>0</v>
      </c>
      <c r="BC28">
        <f>IF(OR(BA28="",BB28=""),"",BB28+BA28*F28)</f>
        <v>0</v>
      </c>
      <c r="BD28">
        <f>IF(COUNT($E$2:$E28)&lt;20,"",STEYX($E$2:$E$28,$F$2:$F$28))</f>
        <v>0</v>
      </c>
      <c r="BE28">
        <f>IF($E28="","",IF(AND(COUNT($E$29:$E$32)&gt;=4,$C28=MAX($C$24:$C$32)),$C28,""))</f>
        <v>0</v>
      </c>
      <c r="BF28">
        <f>IF($E28="","",IF(AND(COUNT($E$29:$E$32)&gt;=4,$D28=MIN($D$24:$D$32)),$D28,""))</f>
        <v>0</v>
      </c>
      <c r="BG28">
        <f>IFERROR(SMALL(Calc_Daily!$BT$2:$BT$2001,27),"")</f>
        <v>0</v>
      </c>
    </row>
    <row r="29" spans="1:59">
      <c r="A29" s="27">
        <f>IF($BG29="","",INDEX(Calc_Daily!$A$2:$A$2001,$BG29))</f>
        <v>0</v>
      </c>
      <c r="B29">
        <f>IF($BG29="","",INDEX(Calc_Daily!$BQ$2:$BQ$2001,$BG29))</f>
        <v>0</v>
      </c>
      <c r="C29">
        <f>IF($BG29="","",INDEX(Calc_Daily!$BR$2:$BR$2001,$BG29))</f>
        <v>0</v>
      </c>
      <c r="D29">
        <f>IF($BG29="","",INDEX(Calc_Daily!$BS$2:$BS$2001,$BG29))</f>
        <v>0</v>
      </c>
      <c r="E29">
        <f>IF($BG29="","",INDEX(Calc_Daily!$E$2:$E$2001,$BG29))</f>
        <v>0</v>
      </c>
      <c r="F29">
        <f>IF($E29="","",N(F28)+1)</f>
        <v>0</v>
      </c>
      <c r="G29">
        <f>IF(OR($E29="",$E28=""),"",LN($E29/$E28))</f>
        <v>0</v>
      </c>
      <c r="H29">
        <f>IF($E29="","",IF($E28="",$E29,$E29*0.0952380952+H28*0.9047619048))</f>
        <v>0</v>
      </c>
      <c r="I29">
        <f>IF($E29="","",IF($E28="",$E29,$E29*0.0392156863+I28*0.9607843137))</f>
        <v>0</v>
      </c>
      <c r="J29">
        <f>IF($E29="","",IF($E28="",$E29,$E29*0.0198019802+J28*0.9801980198))</f>
        <v>0</v>
      </c>
      <c r="K29">
        <f>IF($E29="","",IF($E28="",$E29,$E29*0.0099502488+K28*0.9900497512))</f>
        <v>0</v>
      </c>
      <c r="L29">
        <f>IF(OR($E29="",$E28=""),"",MAX($E29-$E28,0))</f>
        <v>0</v>
      </c>
      <c r="M29">
        <f>IF(OR($E29="",$E28=""),"",MAX($E28-$E29,0))</f>
        <v>0</v>
      </c>
      <c r="N29">
        <f>IF(COUNT($E$2:$E29)&lt;15,"",IF(AVERAGE($M$16:$M$29)=0,100,100-100/(1+AVERAGE($L$16:$L$29)/AVERAGE($M$16:$M$29))))</f>
        <v>0</v>
      </c>
      <c r="O29">
        <f>IF($E29="","",IF($E28="",$E29,$E29*0.1538461538+O28*0.8461538462))</f>
        <v>0</v>
      </c>
      <c r="P29">
        <f>IF($E29="","",IF($E28="",$E29,$E29*0.0740740741+P28*0.9259259259))</f>
        <v>0</v>
      </c>
      <c r="Q29">
        <f>IF(OR(O29="",P29=""),"",O29-P29)</f>
        <v>0</v>
      </c>
      <c r="R29">
        <f>IF(Q29="","",IF(R28="",Q29,Q29*0.2000000000+R28*0.8000000000))</f>
        <v>0</v>
      </c>
      <c r="S29">
        <f>IF(OR(Q29="",R29=""),"",Q29-R29)</f>
        <v>0</v>
      </c>
      <c r="T29">
        <f>IF(COUNT($E$2:$E29)&lt;14,"",MAX($C$16:$C$29))</f>
        <v>0</v>
      </c>
      <c r="U29">
        <f>IF(COUNT($E$2:$E29)&lt;14,"",MIN($D$16:$D$29))</f>
        <v>0</v>
      </c>
      <c r="V29">
        <f>IF(OR(T29="",U29="",T29=U29),"",100*($E29-U29)/(T29-U29))</f>
        <v>0</v>
      </c>
      <c r="W29">
        <f>IF(COUNT($V$27:$V$29)&lt;3,"",AVERAGE($V$27:$V$29))</f>
        <v>0</v>
      </c>
      <c r="X29">
        <f>IF(COUNT($N$16:$N$29)&lt;14,"",MIN($N$16:$N$29))</f>
        <v>0</v>
      </c>
      <c r="Y29">
        <f>IF(COUNT($N$16:$N$29)&lt;14,"",MAX($N$16:$N$29))</f>
        <v>0</v>
      </c>
      <c r="Z29">
        <f>IF(OR(N29="",X29="",Y29="",Y29=X29),"",100*(N29-X29)/(Y29-X29))</f>
        <v>0</v>
      </c>
      <c r="AA29">
        <f>IF(COUNT($Z$27:$Z$29)&lt;3,"",AVERAGE($Z$27:$Z$29))</f>
        <v>0</v>
      </c>
      <c r="AB29">
        <f>IF(COUNT($AA$27:$AA$29)&lt;3,"",AVERAGE($AA$27:$AA$29))</f>
        <v>0</v>
      </c>
      <c r="AC29">
        <f>IF($E29="","",MAX($C29-$D29,ABS($C29-$E28),ABS($D29-$E28)))</f>
        <v>0</v>
      </c>
      <c r="AD29">
        <f>IF(COUNT($E$2:$E29)&lt;15,"",AVERAGE($AC$16:$AC$29))</f>
        <v>0</v>
      </c>
      <c r="AE29">
        <f>IF(OR($E29="",$E28=""),"",IF(AND(($C29-$C28)&gt;($D28-$D29),($C29-$C28)&gt;0),$C29-$C28,0))</f>
        <v>0</v>
      </c>
      <c r="AF29">
        <f>IF(OR($E29="",$E28=""),"",IF(AND(($D28-$D29)&gt;($C29-$C28),($D28-$D29)&gt;0),$D28-$D29,0))</f>
        <v>0</v>
      </c>
      <c r="AG29">
        <f>IF(COUNT($E$2:$E29)&lt;15,"",IF(SUM($AC$16:$AC$29)=0,0,100*SUM($AE$16:$AE$29)/SUM($AC$16:$AC$29)))</f>
        <v>0</v>
      </c>
      <c r="AH29">
        <f>IF(COUNT($E$2:$E29)&lt;15,"",IF(SUM($AC$16:$AC$29)=0,0,100*SUM($AF$16:$AF$29)/SUM($AC$16:$AC$29)))</f>
        <v>0</v>
      </c>
      <c r="AI29">
        <f>IF(OR(AG29="",AH29=""),"",IF((AG29+AH29)=0,0,100*ABS(AG29-AH29)/(AG29+AH29)))</f>
        <v>0</v>
      </c>
      <c r="AJ29">
        <f>IF(COUNT($AI$16:$AI$29)&lt;14,"",AVERAGE($AI$16:$AI$29))</f>
        <v>0</v>
      </c>
      <c r="AK29">
        <f>IF(COUNT($E$2:$E29)&lt;20,"",AVERAGE($E$10:$E$29))</f>
        <v>0</v>
      </c>
      <c r="AL29">
        <f>IF(COUNT($E$2:$E29)&lt;20,"",STDEVP($E$10:$E$29))</f>
        <v>0</v>
      </c>
      <c r="AM29">
        <f>IF(AK29="","",AK29+2*AL29)</f>
        <v>0</v>
      </c>
      <c r="AN29">
        <f>IF(AK29="","",AK29-2*AL29)</f>
        <v>0</v>
      </c>
      <c r="AO29">
        <f>IF(OR(AM29="",AN29="",AM29=AN29),"",($E29-AN29)/(AM29-AN29))</f>
        <v>0</v>
      </c>
      <c r="AP29">
        <f>IF(OR(AM29="",AK29="",AK29=0),"",(AM29-AN29)/AK29)</f>
        <v>0</v>
      </c>
      <c r="AQ29">
        <f>IF(COUNT($E$2:$E29)&lt;20,"",MAX($C$10:$C$29))</f>
        <v>0</v>
      </c>
      <c r="AR29">
        <f>IF(COUNT($E$2:$E29)&lt;20,"",MIN($D$10:$D$29))</f>
        <v>0</v>
      </c>
      <c r="AS29">
        <f>IF(OR(AQ29="",AR29=""),"",(AQ29+AR29)/2)</f>
        <v>0</v>
      </c>
      <c r="AT29">
        <f>IF(COUNT($G$10:$G$29)&lt;20,"",STDEV($G$10:$G$29)*SQRT(12))</f>
        <v>0</v>
      </c>
      <c r="AU29">
        <f>IF(COUNT($E$2:$E29)&lt;9,"",(MAX($C$21:$C$29)+MIN($D$21:$D$29))/2)</f>
        <v>0</v>
      </c>
      <c r="AV29">
        <f>IF(COUNT($E$2:$E29)&lt;26,"",(MAX($C$4:$C$29)+MIN($D$4:$D$29))/2)</f>
        <v>0</v>
      </c>
      <c r="AW29">
        <f>IF(OR(AU29="",AV29=""),"",(AU29+AV29)/2)</f>
        <v>0</v>
      </c>
      <c r="AX29">
        <f>IF(COUNT($E$2:$E29)&lt;52,"",(MAX($C$2:$C$29)+MIN($D$2:$D$29))/2)</f>
        <v>0</v>
      </c>
      <c r="AY29">
        <f>IF(COUNT($E$2:$E29)&lt;20,"",MAX($C$2:$C$29))</f>
        <v>0</v>
      </c>
      <c r="AZ29">
        <f>IF(COUNT($E$2:$E29)&lt;20,"",MIN($D$2:$D$29))</f>
        <v>0</v>
      </c>
      <c r="BA29">
        <f>IF(COUNT($E$2:$E29)&lt;20,"",SLOPE($E$2:$E$29,$F$2:$F$29))</f>
        <v>0</v>
      </c>
      <c r="BB29">
        <f>IF(COUNT($E$2:$E29)&lt;20,"",INTERCEPT($E$2:$E$29,$F$2:$F$29))</f>
        <v>0</v>
      </c>
      <c r="BC29">
        <f>IF(OR(BA29="",BB29=""),"",BB29+BA29*F29)</f>
        <v>0</v>
      </c>
      <c r="BD29">
        <f>IF(COUNT($E$2:$E29)&lt;20,"",STEYX($E$2:$E$29,$F$2:$F$29))</f>
        <v>0</v>
      </c>
      <c r="BE29">
        <f>IF($E29="","",IF(AND(COUNT($E$30:$E$33)&gt;=4,$C29=MAX($C$25:$C$33)),$C29,""))</f>
        <v>0</v>
      </c>
      <c r="BF29">
        <f>IF($E29="","",IF(AND(COUNT($E$30:$E$33)&gt;=4,$D29=MIN($D$25:$D$33)),$D29,""))</f>
        <v>0</v>
      </c>
      <c r="BG29">
        <f>IFERROR(SMALL(Calc_Daily!$BT$2:$BT$2001,28),"")</f>
        <v>0</v>
      </c>
    </row>
    <row r="30" spans="1:59">
      <c r="A30" s="27">
        <f>IF($BG30="","",INDEX(Calc_Daily!$A$2:$A$2001,$BG30))</f>
        <v>0</v>
      </c>
      <c r="B30">
        <f>IF($BG30="","",INDEX(Calc_Daily!$BQ$2:$BQ$2001,$BG30))</f>
        <v>0</v>
      </c>
      <c r="C30">
        <f>IF($BG30="","",INDEX(Calc_Daily!$BR$2:$BR$2001,$BG30))</f>
        <v>0</v>
      </c>
      <c r="D30">
        <f>IF($BG30="","",INDEX(Calc_Daily!$BS$2:$BS$2001,$BG30))</f>
        <v>0</v>
      </c>
      <c r="E30">
        <f>IF($BG30="","",INDEX(Calc_Daily!$E$2:$E$2001,$BG30))</f>
        <v>0</v>
      </c>
      <c r="F30">
        <f>IF($E30="","",N(F29)+1)</f>
        <v>0</v>
      </c>
      <c r="G30">
        <f>IF(OR($E30="",$E29=""),"",LN($E30/$E29))</f>
        <v>0</v>
      </c>
      <c r="H30">
        <f>IF($E30="","",IF($E29="",$E30,$E30*0.0952380952+H29*0.9047619048))</f>
        <v>0</v>
      </c>
      <c r="I30">
        <f>IF($E30="","",IF($E29="",$E30,$E30*0.0392156863+I29*0.9607843137))</f>
        <v>0</v>
      </c>
      <c r="J30">
        <f>IF($E30="","",IF($E29="",$E30,$E30*0.0198019802+J29*0.9801980198))</f>
        <v>0</v>
      </c>
      <c r="K30">
        <f>IF($E30="","",IF($E29="",$E30,$E30*0.0099502488+K29*0.9900497512))</f>
        <v>0</v>
      </c>
      <c r="L30">
        <f>IF(OR($E30="",$E29=""),"",MAX($E30-$E29,0))</f>
        <v>0</v>
      </c>
      <c r="M30">
        <f>IF(OR($E30="",$E29=""),"",MAX($E29-$E30,0))</f>
        <v>0</v>
      </c>
      <c r="N30">
        <f>IF(COUNT($E$2:$E30)&lt;15,"",IF(AVERAGE($M$17:$M$30)=0,100,100-100/(1+AVERAGE($L$17:$L$30)/AVERAGE($M$17:$M$30))))</f>
        <v>0</v>
      </c>
      <c r="O30">
        <f>IF($E30="","",IF($E29="",$E30,$E30*0.1538461538+O29*0.8461538462))</f>
        <v>0</v>
      </c>
      <c r="P30">
        <f>IF($E30="","",IF($E29="",$E30,$E30*0.0740740741+P29*0.9259259259))</f>
        <v>0</v>
      </c>
      <c r="Q30">
        <f>IF(OR(O30="",P30=""),"",O30-P30)</f>
        <v>0</v>
      </c>
      <c r="R30">
        <f>IF(Q30="","",IF(R29="",Q30,Q30*0.2000000000+R29*0.8000000000))</f>
        <v>0</v>
      </c>
      <c r="S30">
        <f>IF(OR(Q30="",R30=""),"",Q30-R30)</f>
        <v>0</v>
      </c>
      <c r="T30">
        <f>IF(COUNT($E$2:$E30)&lt;14,"",MAX($C$17:$C$30))</f>
        <v>0</v>
      </c>
      <c r="U30">
        <f>IF(COUNT($E$2:$E30)&lt;14,"",MIN($D$17:$D$30))</f>
        <v>0</v>
      </c>
      <c r="V30">
        <f>IF(OR(T30="",U30="",T30=U30),"",100*($E30-U30)/(T30-U30))</f>
        <v>0</v>
      </c>
      <c r="W30">
        <f>IF(COUNT($V$28:$V$30)&lt;3,"",AVERAGE($V$28:$V$30))</f>
        <v>0</v>
      </c>
      <c r="X30">
        <f>IF(COUNT($N$17:$N$30)&lt;14,"",MIN($N$17:$N$30))</f>
        <v>0</v>
      </c>
      <c r="Y30">
        <f>IF(COUNT($N$17:$N$30)&lt;14,"",MAX($N$17:$N$30))</f>
        <v>0</v>
      </c>
      <c r="Z30">
        <f>IF(OR(N30="",X30="",Y30="",Y30=X30),"",100*(N30-X30)/(Y30-X30))</f>
        <v>0</v>
      </c>
      <c r="AA30">
        <f>IF(COUNT($Z$28:$Z$30)&lt;3,"",AVERAGE($Z$28:$Z$30))</f>
        <v>0</v>
      </c>
      <c r="AB30">
        <f>IF(COUNT($AA$28:$AA$30)&lt;3,"",AVERAGE($AA$28:$AA$30))</f>
        <v>0</v>
      </c>
      <c r="AC30">
        <f>IF($E30="","",MAX($C30-$D30,ABS($C30-$E29),ABS($D30-$E29)))</f>
        <v>0</v>
      </c>
      <c r="AD30">
        <f>IF(COUNT($E$2:$E30)&lt;15,"",AVERAGE($AC$17:$AC$30))</f>
        <v>0</v>
      </c>
      <c r="AE30">
        <f>IF(OR($E30="",$E29=""),"",IF(AND(($C30-$C29)&gt;($D29-$D30),($C30-$C29)&gt;0),$C30-$C29,0))</f>
        <v>0</v>
      </c>
      <c r="AF30">
        <f>IF(OR($E30="",$E29=""),"",IF(AND(($D29-$D30)&gt;($C30-$C29),($D29-$D30)&gt;0),$D29-$D30,0))</f>
        <v>0</v>
      </c>
      <c r="AG30">
        <f>IF(COUNT($E$2:$E30)&lt;15,"",IF(SUM($AC$17:$AC$30)=0,0,100*SUM($AE$17:$AE$30)/SUM($AC$17:$AC$30)))</f>
        <v>0</v>
      </c>
      <c r="AH30">
        <f>IF(COUNT($E$2:$E30)&lt;15,"",IF(SUM($AC$17:$AC$30)=0,0,100*SUM($AF$17:$AF$30)/SUM($AC$17:$AC$30)))</f>
        <v>0</v>
      </c>
      <c r="AI30">
        <f>IF(OR(AG30="",AH30=""),"",IF((AG30+AH30)=0,0,100*ABS(AG30-AH30)/(AG30+AH30)))</f>
        <v>0</v>
      </c>
      <c r="AJ30">
        <f>IF(COUNT($AI$17:$AI$30)&lt;14,"",AVERAGE($AI$17:$AI$30))</f>
        <v>0</v>
      </c>
      <c r="AK30">
        <f>IF(COUNT($E$2:$E30)&lt;20,"",AVERAGE($E$11:$E$30))</f>
        <v>0</v>
      </c>
      <c r="AL30">
        <f>IF(COUNT($E$2:$E30)&lt;20,"",STDEVP($E$11:$E$30))</f>
        <v>0</v>
      </c>
      <c r="AM30">
        <f>IF(AK30="","",AK30+2*AL30)</f>
        <v>0</v>
      </c>
      <c r="AN30">
        <f>IF(AK30="","",AK30-2*AL30)</f>
        <v>0</v>
      </c>
      <c r="AO30">
        <f>IF(OR(AM30="",AN30="",AM30=AN30),"",($E30-AN30)/(AM30-AN30))</f>
        <v>0</v>
      </c>
      <c r="AP30">
        <f>IF(OR(AM30="",AK30="",AK30=0),"",(AM30-AN30)/AK30)</f>
        <v>0</v>
      </c>
      <c r="AQ30">
        <f>IF(COUNT($E$2:$E30)&lt;20,"",MAX($C$11:$C$30))</f>
        <v>0</v>
      </c>
      <c r="AR30">
        <f>IF(COUNT($E$2:$E30)&lt;20,"",MIN($D$11:$D$30))</f>
        <v>0</v>
      </c>
      <c r="AS30">
        <f>IF(OR(AQ30="",AR30=""),"",(AQ30+AR30)/2)</f>
        <v>0</v>
      </c>
      <c r="AT30">
        <f>IF(COUNT($G$11:$G$30)&lt;20,"",STDEV($G$11:$G$30)*SQRT(12))</f>
        <v>0</v>
      </c>
      <c r="AU30">
        <f>IF(COUNT($E$2:$E30)&lt;9,"",(MAX($C$22:$C$30)+MIN($D$22:$D$30))/2)</f>
        <v>0</v>
      </c>
      <c r="AV30">
        <f>IF(COUNT($E$2:$E30)&lt;26,"",(MAX($C$5:$C$30)+MIN($D$5:$D$30))/2)</f>
        <v>0</v>
      </c>
      <c r="AW30">
        <f>IF(OR(AU30="",AV30=""),"",(AU30+AV30)/2)</f>
        <v>0</v>
      </c>
      <c r="AX30">
        <f>IF(COUNT($E$2:$E30)&lt;52,"",(MAX($C$2:$C$30)+MIN($D$2:$D$30))/2)</f>
        <v>0</v>
      </c>
      <c r="AY30">
        <f>IF(COUNT($E$2:$E30)&lt;20,"",MAX($C$2:$C$30))</f>
        <v>0</v>
      </c>
      <c r="AZ30">
        <f>IF(COUNT($E$2:$E30)&lt;20,"",MIN($D$2:$D$30))</f>
        <v>0</v>
      </c>
      <c r="BA30">
        <f>IF(COUNT($E$2:$E30)&lt;20,"",SLOPE($E$2:$E$30,$F$2:$F$30))</f>
        <v>0</v>
      </c>
      <c r="BB30">
        <f>IF(COUNT($E$2:$E30)&lt;20,"",INTERCEPT($E$2:$E$30,$F$2:$F$30))</f>
        <v>0</v>
      </c>
      <c r="BC30">
        <f>IF(OR(BA30="",BB30=""),"",BB30+BA30*F30)</f>
        <v>0</v>
      </c>
      <c r="BD30">
        <f>IF(COUNT($E$2:$E30)&lt;20,"",STEYX($E$2:$E$30,$F$2:$F$30))</f>
        <v>0</v>
      </c>
      <c r="BE30">
        <f>IF($E30="","",IF(AND(COUNT($E$31:$E$34)&gt;=4,$C30=MAX($C$26:$C$34)),$C30,""))</f>
        <v>0</v>
      </c>
      <c r="BF30">
        <f>IF($E30="","",IF(AND(COUNT($E$31:$E$34)&gt;=4,$D30=MIN($D$26:$D$34)),$D30,""))</f>
        <v>0</v>
      </c>
      <c r="BG30">
        <f>IFERROR(SMALL(Calc_Daily!$BT$2:$BT$2001,29),"")</f>
        <v>0</v>
      </c>
    </row>
    <row r="31" spans="1:59">
      <c r="A31" s="27">
        <f>IF($BG31="","",INDEX(Calc_Daily!$A$2:$A$2001,$BG31))</f>
        <v>0</v>
      </c>
      <c r="B31">
        <f>IF($BG31="","",INDEX(Calc_Daily!$BQ$2:$BQ$2001,$BG31))</f>
        <v>0</v>
      </c>
      <c r="C31">
        <f>IF($BG31="","",INDEX(Calc_Daily!$BR$2:$BR$2001,$BG31))</f>
        <v>0</v>
      </c>
      <c r="D31">
        <f>IF($BG31="","",INDEX(Calc_Daily!$BS$2:$BS$2001,$BG31))</f>
        <v>0</v>
      </c>
      <c r="E31">
        <f>IF($BG31="","",INDEX(Calc_Daily!$E$2:$E$2001,$BG31))</f>
        <v>0</v>
      </c>
      <c r="F31">
        <f>IF($E31="","",N(F30)+1)</f>
        <v>0</v>
      </c>
      <c r="G31">
        <f>IF(OR($E31="",$E30=""),"",LN($E31/$E30))</f>
        <v>0</v>
      </c>
      <c r="H31">
        <f>IF($E31="","",IF($E30="",$E31,$E31*0.0952380952+H30*0.9047619048))</f>
        <v>0</v>
      </c>
      <c r="I31">
        <f>IF($E31="","",IF($E30="",$E31,$E31*0.0392156863+I30*0.9607843137))</f>
        <v>0</v>
      </c>
      <c r="J31">
        <f>IF($E31="","",IF($E30="",$E31,$E31*0.0198019802+J30*0.9801980198))</f>
        <v>0</v>
      </c>
      <c r="K31">
        <f>IF($E31="","",IF($E30="",$E31,$E31*0.0099502488+K30*0.9900497512))</f>
        <v>0</v>
      </c>
      <c r="L31">
        <f>IF(OR($E31="",$E30=""),"",MAX($E31-$E30,0))</f>
        <v>0</v>
      </c>
      <c r="M31">
        <f>IF(OR($E31="",$E30=""),"",MAX($E30-$E31,0))</f>
        <v>0</v>
      </c>
      <c r="N31">
        <f>IF(COUNT($E$2:$E31)&lt;15,"",IF(AVERAGE($M$18:$M$31)=0,100,100-100/(1+AVERAGE($L$18:$L$31)/AVERAGE($M$18:$M$31))))</f>
        <v>0</v>
      </c>
      <c r="O31">
        <f>IF($E31="","",IF($E30="",$E31,$E31*0.1538461538+O30*0.8461538462))</f>
        <v>0</v>
      </c>
      <c r="P31">
        <f>IF($E31="","",IF($E30="",$E31,$E31*0.0740740741+P30*0.9259259259))</f>
        <v>0</v>
      </c>
      <c r="Q31">
        <f>IF(OR(O31="",P31=""),"",O31-P31)</f>
        <v>0</v>
      </c>
      <c r="R31">
        <f>IF(Q31="","",IF(R30="",Q31,Q31*0.2000000000+R30*0.8000000000))</f>
        <v>0</v>
      </c>
      <c r="S31">
        <f>IF(OR(Q31="",R31=""),"",Q31-R31)</f>
        <v>0</v>
      </c>
      <c r="T31">
        <f>IF(COUNT($E$2:$E31)&lt;14,"",MAX($C$18:$C$31))</f>
        <v>0</v>
      </c>
      <c r="U31">
        <f>IF(COUNT($E$2:$E31)&lt;14,"",MIN($D$18:$D$31))</f>
        <v>0</v>
      </c>
      <c r="V31">
        <f>IF(OR(T31="",U31="",T31=U31),"",100*($E31-U31)/(T31-U31))</f>
        <v>0</v>
      </c>
      <c r="W31">
        <f>IF(COUNT($V$29:$V$31)&lt;3,"",AVERAGE($V$29:$V$31))</f>
        <v>0</v>
      </c>
      <c r="X31">
        <f>IF(COUNT($N$18:$N$31)&lt;14,"",MIN($N$18:$N$31))</f>
        <v>0</v>
      </c>
      <c r="Y31">
        <f>IF(COUNT($N$18:$N$31)&lt;14,"",MAX($N$18:$N$31))</f>
        <v>0</v>
      </c>
      <c r="Z31">
        <f>IF(OR(N31="",X31="",Y31="",Y31=X31),"",100*(N31-X31)/(Y31-X31))</f>
        <v>0</v>
      </c>
      <c r="AA31">
        <f>IF(COUNT($Z$29:$Z$31)&lt;3,"",AVERAGE($Z$29:$Z$31))</f>
        <v>0</v>
      </c>
      <c r="AB31">
        <f>IF(COUNT($AA$29:$AA$31)&lt;3,"",AVERAGE($AA$29:$AA$31))</f>
        <v>0</v>
      </c>
      <c r="AC31">
        <f>IF($E31="","",MAX($C31-$D31,ABS($C31-$E30),ABS($D31-$E30)))</f>
        <v>0</v>
      </c>
      <c r="AD31">
        <f>IF(COUNT($E$2:$E31)&lt;15,"",AVERAGE($AC$18:$AC$31))</f>
        <v>0</v>
      </c>
      <c r="AE31">
        <f>IF(OR($E31="",$E30=""),"",IF(AND(($C31-$C30)&gt;($D30-$D31),($C31-$C30)&gt;0),$C31-$C30,0))</f>
        <v>0</v>
      </c>
      <c r="AF31">
        <f>IF(OR($E31="",$E30=""),"",IF(AND(($D30-$D31)&gt;($C31-$C30),($D30-$D31)&gt;0),$D30-$D31,0))</f>
        <v>0</v>
      </c>
      <c r="AG31">
        <f>IF(COUNT($E$2:$E31)&lt;15,"",IF(SUM($AC$18:$AC$31)=0,0,100*SUM($AE$18:$AE$31)/SUM($AC$18:$AC$31)))</f>
        <v>0</v>
      </c>
      <c r="AH31">
        <f>IF(COUNT($E$2:$E31)&lt;15,"",IF(SUM($AC$18:$AC$31)=0,0,100*SUM($AF$18:$AF$31)/SUM($AC$18:$AC$31)))</f>
        <v>0</v>
      </c>
      <c r="AI31">
        <f>IF(OR(AG31="",AH31=""),"",IF((AG31+AH31)=0,0,100*ABS(AG31-AH31)/(AG31+AH31)))</f>
        <v>0</v>
      </c>
      <c r="AJ31">
        <f>IF(COUNT($AI$18:$AI$31)&lt;14,"",AVERAGE($AI$18:$AI$31))</f>
        <v>0</v>
      </c>
      <c r="AK31">
        <f>IF(COUNT($E$2:$E31)&lt;20,"",AVERAGE($E$12:$E$31))</f>
        <v>0</v>
      </c>
      <c r="AL31">
        <f>IF(COUNT($E$2:$E31)&lt;20,"",STDEVP($E$12:$E$31))</f>
        <v>0</v>
      </c>
      <c r="AM31">
        <f>IF(AK31="","",AK31+2*AL31)</f>
        <v>0</v>
      </c>
      <c r="AN31">
        <f>IF(AK31="","",AK31-2*AL31)</f>
        <v>0</v>
      </c>
      <c r="AO31">
        <f>IF(OR(AM31="",AN31="",AM31=AN31),"",($E31-AN31)/(AM31-AN31))</f>
        <v>0</v>
      </c>
      <c r="AP31">
        <f>IF(OR(AM31="",AK31="",AK31=0),"",(AM31-AN31)/AK31)</f>
        <v>0</v>
      </c>
      <c r="AQ31">
        <f>IF(COUNT($E$2:$E31)&lt;20,"",MAX($C$12:$C$31))</f>
        <v>0</v>
      </c>
      <c r="AR31">
        <f>IF(COUNT($E$2:$E31)&lt;20,"",MIN($D$12:$D$31))</f>
        <v>0</v>
      </c>
      <c r="AS31">
        <f>IF(OR(AQ31="",AR31=""),"",(AQ31+AR31)/2)</f>
        <v>0</v>
      </c>
      <c r="AT31">
        <f>IF(COUNT($G$12:$G$31)&lt;20,"",STDEV($G$12:$G$31)*SQRT(12))</f>
        <v>0</v>
      </c>
      <c r="AU31">
        <f>IF(COUNT($E$2:$E31)&lt;9,"",(MAX($C$23:$C$31)+MIN($D$23:$D$31))/2)</f>
        <v>0</v>
      </c>
      <c r="AV31">
        <f>IF(COUNT($E$2:$E31)&lt;26,"",(MAX($C$6:$C$31)+MIN($D$6:$D$31))/2)</f>
        <v>0</v>
      </c>
      <c r="AW31">
        <f>IF(OR(AU31="",AV31=""),"",(AU31+AV31)/2)</f>
        <v>0</v>
      </c>
      <c r="AX31">
        <f>IF(COUNT($E$2:$E31)&lt;52,"",(MAX($C$2:$C$31)+MIN($D$2:$D$31))/2)</f>
        <v>0</v>
      </c>
      <c r="AY31">
        <f>IF(COUNT($E$2:$E31)&lt;20,"",MAX($C$2:$C$31))</f>
        <v>0</v>
      </c>
      <c r="AZ31">
        <f>IF(COUNT($E$2:$E31)&lt;20,"",MIN($D$2:$D$31))</f>
        <v>0</v>
      </c>
      <c r="BA31">
        <f>IF(COUNT($E$2:$E31)&lt;20,"",SLOPE($E$2:$E$31,$F$2:$F$31))</f>
        <v>0</v>
      </c>
      <c r="BB31">
        <f>IF(COUNT($E$2:$E31)&lt;20,"",INTERCEPT($E$2:$E$31,$F$2:$F$31))</f>
        <v>0</v>
      </c>
      <c r="BC31">
        <f>IF(OR(BA31="",BB31=""),"",BB31+BA31*F31)</f>
        <v>0</v>
      </c>
      <c r="BD31">
        <f>IF(COUNT($E$2:$E31)&lt;20,"",STEYX($E$2:$E$31,$F$2:$F$31))</f>
        <v>0</v>
      </c>
      <c r="BE31">
        <f>IF($E31="","",IF(AND(COUNT($E$32:$E$35)&gt;=4,$C31=MAX($C$27:$C$35)),$C31,""))</f>
        <v>0</v>
      </c>
      <c r="BF31">
        <f>IF($E31="","",IF(AND(COUNT($E$32:$E$35)&gt;=4,$D31=MIN($D$27:$D$35)),$D31,""))</f>
        <v>0</v>
      </c>
      <c r="BG31">
        <f>IFERROR(SMALL(Calc_Daily!$BT$2:$BT$2001,30),"")</f>
        <v>0</v>
      </c>
    </row>
    <row r="32" spans="1:59">
      <c r="A32" s="27">
        <f>IF($BG32="","",INDEX(Calc_Daily!$A$2:$A$2001,$BG32))</f>
        <v>0</v>
      </c>
      <c r="B32">
        <f>IF($BG32="","",INDEX(Calc_Daily!$BQ$2:$BQ$2001,$BG32))</f>
        <v>0</v>
      </c>
      <c r="C32">
        <f>IF($BG32="","",INDEX(Calc_Daily!$BR$2:$BR$2001,$BG32))</f>
        <v>0</v>
      </c>
      <c r="D32">
        <f>IF($BG32="","",INDEX(Calc_Daily!$BS$2:$BS$2001,$BG32))</f>
        <v>0</v>
      </c>
      <c r="E32">
        <f>IF($BG32="","",INDEX(Calc_Daily!$E$2:$E$2001,$BG32))</f>
        <v>0</v>
      </c>
      <c r="F32">
        <f>IF($E32="","",N(F31)+1)</f>
        <v>0</v>
      </c>
      <c r="G32">
        <f>IF(OR($E32="",$E31=""),"",LN($E32/$E31))</f>
        <v>0</v>
      </c>
      <c r="H32">
        <f>IF($E32="","",IF($E31="",$E32,$E32*0.0952380952+H31*0.9047619048))</f>
        <v>0</v>
      </c>
      <c r="I32">
        <f>IF($E32="","",IF($E31="",$E32,$E32*0.0392156863+I31*0.9607843137))</f>
        <v>0</v>
      </c>
      <c r="J32">
        <f>IF($E32="","",IF($E31="",$E32,$E32*0.0198019802+J31*0.9801980198))</f>
        <v>0</v>
      </c>
      <c r="K32">
        <f>IF($E32="","",IF($E31="",$E32,$E32*0.0099502488+K31*0.9900497512))</f>
        <v>0</v>
      </c>
      <c r="L32">
        <f>IF(OR($E32="",$E31=""),"",MAX($E32-$E31,0))</f>
        <v>0</v>
      </c>
      <c r="M32">
        <f>IF(OR($E32="",$E31=""),"",MAX($E31-$E32,0))</f>
        <v>0</v>
      </c>
      <c r="N32">
        <f>IF(COUNT($E$2:$E32)&lt;15,"",IF(AVERAGE($M$19:$M$32)=0,100,100-100/(1+AVERAGE($L$19:$L$32)/AVERAGE($M$19:$M$32))))</f>
        <v>0</v>
      </c>
      <c r="O32">
        <f>IF($E32="","",IF($E31="",$E32,$E32*0.1538461538+O31*0.8461538462))</f>
        <v>0</v>
      </c>
      <c r="P32">
        <f>IF($E32="","",IF($E31="",$E32,$E32*0.0740740741+P31*0.9259259259))</f>
        <v>0</v>
      </c>
      <c r="Q32">
        <f>IF(OR(O32="",P32=""),"",O32-P32)</f>
        <v>0</v>
      </c>
      <c r="R32">
        <f>IF(Q32="","",IF(R31="",Q32,Q32*0.2000000000+R31*0.8000000000))</f>
        <v>0</v>
      </c>
      <c r="S32">
        <f>IF(OR(Q32="",R32=""),"",Q32-R32)</f>
        <v>0</v>
      </c>
      <c r="T32">
        <f>IF(COUNT($E$2:$E32)&lt;14,"",MAX($C$19:$C$32))</f>
        <v>0</v>
      </c>
      <c r="U32">
        <f>IF(COUNT($E$2:$E32)&lt;14,"",MIN($D$19:$D$32))</f>
        <v>0</v>
      </c>
      <c r="V32">
        <f>IF(OR(T32="",U32="",T32=U32),"",100*($E32-U32)/(T32-U32))</f>
        <v>0</v>
      </c>
      <c r="W32">
        <f>IF(COUNT($V$30:$V$32)&lt;3,"",AVERAGE($V$30:$V$32))</f>
        <v>0</v>
      </c>
      <c r="X32">
        <f>IF(COUNT($N$19:$N$32)&lt;14,"",MIN($N$19:$N$32))</f>
        <v>0</v>
      </c>
      <c r="Y32">
        <f>IF(COUNT($N$19:$N$32)&lt;14,"",MAX($N$19:$N$32))</f>
        <v>0</v>
      </c>
      <c r="Z32">
        <f>IF(OR(N32="",X32="",Y32="",Y32=X32),"",100*(N32-X32)/(Y32-X32))</f>
        <v>0</v>
      </c>
      <c r="AA32">
        <f>IF(COUNT($Z$30:$Z$32)&lt;3,"",AVERAGE($Z$30:$Z$32))</f>
        <v>0</v>
      </c>
      <c r="AB32">
        <f>IF(COUNT($AA$30:$AA$32)&lt;3,"",AVERAGE($AA$30:$AA$32))</f>
        <v>0</v>
      </c>
      <c r="AC32">
        <f>IF($E32="","",MAX($C32-$D32,ABS($C32-$E31),ABS($D32-$E31)))</f>
        <v>0</v>
      </c>
      <c r="AD32">
        <f>IF(COUNT($E$2:$E32)&lt;15,"",AVERAGE($AC$19:$AC$32))</f>
        <v>0</v>
      </c>
      <c r="AE32">
        <f>IF(OR($E32="",$E31=""),"",IF(AND(($C32-$C31)&gt;($D31-$D32),($C32-$C31)&gt;0),$C32-$C31,0))</f>
        <v>0</v>
      </c>
      <c r="AF32">
        <f>IF(OR($E32="",$E31=""),"",IF(AND(($D31-$D32)&gt;($C32-$C31),($D31-$D32)&gt;0),$D31-$D32,0))</f>
        <v>0</v>
      </c>
      <c r="AG32">
        <f>IF(COUNT($E$2:$E32)&lt;15,"",IF(SUM($AC$19:$AC$32)=0,0,100*SUM($AE$19:$AE$32)/SUM($AC$19:$AC$32)))</f>
        <v>0</v>
      </c>
      <c r="AH32">
        <f>IF(COUNT($E$2:$E32)&lt;15,"",IF(SUM($AC$19:$AC$32)=0,0,100*SUM($AF$19:$AF$32)/SUM($AC$19:$AC$32)))</f>
        <v>0</v>
      </c>
      <c r="AI32">
        <f>IF(OR(AG32="",AH32=""),"",IF((AG32+AH32)=0,0,100*ABS(AG32-AH32)/(AG32+AH32)))</f>
        <v>0</v>
      </c>
      <c r="AJ32">
        <f>IF(COUNT($AI$19:$AI$32)&lt;14,"",AVERAGE($AI$19:$AI$32))</f>
        <v>0</v>
      </c>
      <c r="AK32">
        <f>IF(COUNT($E$2:$E32)&lt;20,"",AVERAGE($E$13:$E$32))</f>
        <v>0</v>
      </c>
      <c r="AL32">
        <f>IF(COUNT($E$2:$E32)&lt;20,"",STDEVP($E$13:$E$32))</f>
        <v>0</v>
      </c>
      <c r="AM32">
        <f>IF(AK32="","",AK32+2*AL32)</f>
        <v>0</v>
      </c>
      <c r="AN32">
        <f>IF(AK32="","",AK32-2*AL32)</f>
        <v>0</v>
      </c>
      <c r="AO32">
        <f>IF(OR(AM32="",AN32="",AM32=AN32),"",($E32-AN32)/(AM32-AN32))</f>
        <v>0</v>
      </c>
      <c r="AP32">
        <f>IF(OR(AM32="",AK32="",AK32=0),"",(AM32-AN32)/AK32)</f>
        <v>0</v>
      </c>
      <c r="AQ32">
        <f>IF(COUNT($E$2:$E32)&lt;20,"",MAX($C$13:$C$32))</f>
        <v>0</v>
      </c>
      <c r="AR32">
        <f>IF(COUNT($E$2:$E32)&lt;20,"",MIN($D$13:$D$32))</f>
        <v>0</v>
      </c>
      <c r="AS32">
        <f>IF(OR(AQ32="",AR32=""),"",(AQ32+AR32)/2)</f>
        <v>0</v>
      </c>
      <c r="AT32">
        <f>IF(COUNT($G$13:$G$32)&lt;20,"",STDEV($G$13:$G$32)*SQRT(12))</f>
        <v>0</v>
      </c>
      <c r="AU32">
        <f>IF(COUNT($E$2:$E32)&lt;9,"",(MAX($C$24:$C$32)+MIN($D$24:$D$32))/2)</f>
        <v>0</v>
      </c>
      <c r="AV32">
        <f>IF(COUNT($E$2:$E32)&lt;26,"",(MAX($C$7:$C$32)+MIN($D$7:$D$32))/2)</f>
        <v>0</v>
      </c>
      <c r="AW32">
        <f>IF(OR(AU32="",AV32=""),"",(AU32+AV32)/2)</f>
        <v>0</v>
      </c>
      <c r="AX32">
        <f>IF(COUNT($E$2:$E32)&lt;52,"",(MAX($C$2:$C$32)+MIN($D$2:$D$32))/2)</f>
        <v>0</v>
      </c>
      <c r="AY32">
        <f>IF(COUNT($E$2:$E32)&lt;20,"",MAX($C$2:$C$32))</f>
        <v>0</v>
      </c>
      <c r="AZ32">
        <f>IF(COUNT($E$2:$E32)&lt;20,"",MIN($D$2:$D$32))</f>
        <v>0</v>
      </c>
      <c r="BA32">
        <f>IF(COUNT($E$2:$E32)&lt;20,"",SLOPE($E$2:$E$32,$F$2:$F$32))</f>
        <v>0</v>
      </c>
      <c r="BB32">
        <f>IF(COUNT($E$2:$E32)&lt;20,"",INTERCEPT($E$2:$E$32,$F$2:$F$32))</f>
        <v>0</v>
      </c>
      <c r="BC32">
        <f>IF(OR(BA32="",BB32=""),"",BB32+BA32*F32)</f>
        <v>0</v>
      </c>
      <c r="BD32">
        <f>IF(COUNT($E$2:$E32)&lt;20,"",STEYX($E$2:$E$32,$F$2:$F$32))</f>
        <v>0</v>
      </c>
      <c r="BE32">
        <f>IF($E32="","",IF(AND(COUNT($E$33:$E$36)&gt;=4,$C32=MAX($C$28:$C$36)),$C32,""))</f>
        <v>0</v>
      </c>
      <c r="BF32">
        <f>IF($E32="","",IF(AND(COUNT($E$33:$E$36)&gt;=4,$D32=MIN($D$28:$D$36)),$D32,""))</f>
        <v>0</v>
      </c>
      <c r="BG32">
        <f>IFERROR(SMALL(Calc_Daily!$BT$2:$BT$2001,31),"")</f>
        <v>0</v>
      </c>
    </row>
    <row r="33" spans="1:59">
      <c r="A33" s="27">
        <f>IF($BG33="","",INDEX(Calc_Daily!$A$2:$A$2001,$BG33))</f>
        <v>0</v>
      </c>
      <c r="B33">
        <f>IF($BG33="","",INDEX(Calc_Daily!$BQ$2:$BQ$2001,$BG33))</f>
        <v>0</v>
      </c>
      <c r="C33">
        <f>IF($BG33="","",INDEX(Calc_Daily!$BR$2:$BR$2001,$BG33))</f>
        <v>0</v>
      </c>
      <c r="D33">
        <f>IF($BG33="","",INDEX(Calc_Daily!$BS$2:$BS$2001,$BG33))</f>
        <v>0</v>
      </c>
      <c r="E33">
        <f>IF($BG33="","",INDEX(Calc_Daily!$E$2:$E$2001,$BG33))</f>
        <v>0</v>
      </c>
      <c r="F33">
        <f>IF($E33="","",N(F32)+1)</f>
        <v>0</v>
      </c>
      <c r="G33">
        <f>IF(OR($E33="",$E32=""),"",LN($E33/$E32))</f>
        <v>0</v>
      </c>
      <c r="H33">
        <f>IF($E33="","",IF($E32="",$E33,$E33*0.0952380952+H32*0.9047619048))</f>
        <v>0</v>
      </c>
      <c r="I33">
        <f>IF($E33="","",IF($E32="",$E33,$E33*0.0392156863+I32*0.9607843137))</f>
        <v>0</v>
      </c>
      <c r="J33">
        <f>IF($E33="","",IF($E32="",$E33,$E33*0.0198019802+J32*0.9801980198))</f>
        <v>0</v>
      </c>
      <c r="K33">
        <f>IF($E33="","",IF($E32="",$E33,$E33*0.0099502488+K32*0.9900497512))</f>
        <v>0</v>
      </c>
      <c r="L33">
        <f>IF(OR($E33="",$E32=""),"",MAX($E33-$E32,0))</f>
        <v>0</v>
      </c>
      <c r="M33">
        <f>IF(OR($E33="",$E32=""),"",MAX($E32-$E33,0))</f>
        <v>0</v>
      </c>
      <c r="N33">
        <f>IF(COUNT($E$2:$E33)&lt;15,"",IF(AVERAGE($M$20:$M$33)=0,100,100-100/(1+AVERAGE($L$20:$L$33)/AVERAGE($M$20:$M$33))))</f>
        <v>0</v>
      </c>
      <c r="O33">
        <f>IF($E33="","",IF($E32="",$E33,$E33*0.1538461538+O32*0.8461538462))</f>
        <v>0</v>
      </c>
      <c r="P33">
        <f>IF($E33="","",IF($E32="",$E33,$E33*0.0740740741+P32*0.9259259259))</f>
        <v>0</v>
      </c>
      <c r="Q33">
        <f>IF(OR(O33="",P33=""),"",O33-P33)</f>
        <v>0</v>
      </c>
      <c r="R33">
        <f>IF(Q33="","",IF(R32="",Q33,Q33*0.2000000000+R32*0.8000000000))</f>
        <v>0</v>
      </c>
      <c r="S33">
        <f>IF(OR(Q33="",R33=""),"",Q33-R33)</f>
        <v>0</v>
      </c>
      <c r="T33">
        <f>IF(COUNT($E$2:$E33)&lt;14,"",MAX($C$20:$C$33))</f>
        <v>0</v>
      </c>
      <c r="U33">
        <f>IF(COUNT($E$2:$E33)&lt;14,"",MIN($D$20:$D$33))</f>
        <v>0</v>
      </c>
      <c r="V33">
        <f>IF(OR(T33="",U33="",T33=U33),"",100*($E33-U33)/(T33-U33))</f>
        <v>0</v>
      </c>
      <c r="W33">
        <f>IF(COUNT($V$31:$V$33)&lt;3,"",AVERAGE($V$31:$V$33))</f>
        <v>0</v>
      </c>
      <c r="X33">
        <f>IF(COUNT($N$20:$N$33)&lt;14,"",MIN($N$20:$N$33))</f>
        <v>0</v>
      </c>
      <c r="Y33">
        <f>IF(COUNT($N$20:$N$33)&lt;14,"",MAX($N$20:$N$33))</f>
        <v>0</v>
      </c>
      <c r="Z33">
        <f>IF(OR(N33="",X33="",Y33="",Y33=X33),"",100*(N33-X33)/(Y33-X33))</f>
        <v>0</v>
      </c>
      <c r="AA33">
        <f>IF(COUNT($Z$31:$Z$33)&lt;3,"",AVERAGE($Z$31:$Z$33))</f>
        <v>0</v>
      </c>
      <c r="AB33">
        <f>IF(COUNT($AA$31:$AA$33)&lt;3,"",AVERAGE($AA$31:$AA$33))</f>
        <v>0</v>
      </c>
      <c r="AC33">
        <f>IF($E33="","",MAX($C33-$D33,ABS($C33-$E32),ABS($D33-$E32)))</f>
        <v>0</v>
      </c>
      <c r="AD33">
        <f>IF(COUNT($E$2:$E33)&lt;15,"",AVERAGE($AC$20:$AC$33))</f>
        <v>0</v>
      </c>
      <c r="AE33">
        <f>IF(OR($E33="",$E32=""),"",IF(AND(($C33-$C32)&gt;($D32-$D33),($C33-$C32)&gt;0),$C33-$C32,0))</f>
        <v>0</v>
      </c>
      <c r="AF33">
        <f>IF(OR($E33="",$E32=""),"",IF(AND(($D32-$D33)&gt;($C33-$C32),($D32-$D33)&gt;0),$D32-$D33,0))</f>
        <v>0</v>
      </c>
      <c r="AG33">
        <f>IF(COUNT($E$2:$E33)&lt;15,"",IF(SUM($AC$20:$AC$33)=0,0,100*SUM($AE$20:$AE$33)/SUM($AC$20:$AC$33)))</f>
        <v>0</v>
      </c>
      <c r="AH33">
        <f>IF(COUNT($E$2:$E33)&lt;15,"",IF(SUM($AC$20:$AC$33)=0,0,100*SUM($AF$20:$AF$33)/SUM($AC$20:$AC$33)))</f>
        <v>0</v>
      </c>
      <c r="AI33">
        <f>IF(OR(AG33="",AH33=""),"",IF((AG33+AH33)=0,0,100*ABS(AG33-AH33)/(AG33+AH33)))</f>
        <v>0</v>
      </c>
      <c r="AJ33">
        <f>IF(COUNT($AI$20:$AI$33)&lt;14,"",AVERAGE($AI$20:$AI$33))</f>
        <v>0</v>
      </c>
      <c r="AK33">
        <f>IF(COUNT($E$2:$E33)&lt;20,"",AVERAGE($E$14:$E$33))</f>
        <v>0</v>
      </c>
      <c r="AL33">
        <f>IF(COUNT($E$2:$E33)&lt;20,"",STDEVP($E$14:$E$33))</f>
        <v>0</v>
      </c>
      <c r="AM33">
        <f>IF(AK33="","",AK33+2*AL33)</f>
        <v>0</v>
      </c>
      <c r="AN33">
        <f>IF(AK33="","",AK33-2*AL33)</f>
        <v>0</v>
      </c>
      <c r="AO33">
        <f>IF(OR(AM33="",AN33="",AM33=AN33),"",($E33-AN33)/(AM33-AN33))</f>
        <v>0</v>
      </c>
      <c r="AP33">
        <f>IF(OR(AM33="",AK33="",AK33=0),"",(AM33-AN33)/AK33)</f>
        <v>0</v>
      </c>
      <c r="AQ33">
        <f>IF(COUNT($E$2:$E33)&lt;20,"",MAX($C$14:$C$33))</f>
        <v>0</v>
      </c>
      <c r="AR33">
        <f>IF(COUNT($E$2:$E33)&lt;20,"",MIN($D$14:$D$33))</f>
        <v>0</v>
      </c>
      <c r="AS33">
        <f>IF(OR(AQ33="",AR33=""),"",(AQ33+AR33)/2)</f>
        <v>0</v>
      </c>
      <c r="AT33">
        <f>IF(COUNT($G$14:$G$33)&lt;20,"",STDEV($G$14:$G$33)*SQRT(12))</f>
        <v>0</v>
      </c>
      <c r="AU33">
        <f>IF(COUNT($E$2:$E33)&lt;9,"",(MAX($C$25:$C$33)+MIN($D$25:$D$33))/2)</f>
        <v>0</v>
      </c>
      <c r="AV33">
        <f>IF(COUNT($E$2:$E33)&lt;26,"",(MAX($C$8:$C$33)+MIN($D$8:$D$33))/2)</f>
        <v>0</v>
      </c>
      <c r="AW33">
        <f>IF(OR(AU33="",AV33=""),"",(AU33+AV33)/2)</f>
        <v>0</v>
      </c>
      <c r="AX33">
        <f>IF(COUNT($E$2:$E33)&lt;52,"",(MAX($C$2:$C$33)+MIN($D$2:$D$33))/2)</f>
        <v>0</v>
      </c>
      <c r="AY33">
        <f>IF(COUNT($E$2:$E33)&lt;20,"",MAX($C$2:$C$33))</f>
        <v>0</v>
      </c>
      <c r="AZ33">
        <f>IF(COUNT($E$2:$E33)&lt;20,"",MIN($D$2:$D$33))</f>
        <v>0</v>
      </c>
      <c r="BA33">
        <f>IF(COUNT($E$2:$E33)&lt;20,"",SLOPE($E$2:$E$33,$F$2:$F$33))</f>
        <v>0</v>
      </c>
      <c r="BB33">
        <f>IF(COUNT($E$2:$E33)&lt;20,"",INTERCEPT($E$2:$E$33,$F$2:$F$33))</f>
        <v>0</v>
      </c>
      <c r="BC33">
        <f>IF(OR(BA33="",BB33=""),"",BB33+BA33*F33)</f>
        <v>0</v>
      </c>
      <c r="BD33">
        <f>IF(COUNT($E$2:$E33)&lt;20,"",STEYX($E$2:$E$33,$F$2:$F$33))</f>
        <v>0</v>
      </c>
      <c r="BE33">
        <f>IF($E33="","",IF(AND(COUNT($E$34:$E$37)&gt;=4,$C33=MAX($C$29:$C$37)),$C33,""))</f>
        <v>0</v>
      </c>
      <c r="BF33">
        <f>IF($E33="","",IF(AND(COUNT($E$34:$E$37)&gt;=4,$D33=MIN($D$29:$D$37)),$D33,""))</f>
        <v>0</v>
      </c>
      <c r="BG33">
        <f>IFERROR(SMALL(Calc_Daily!$BT$2:$BT$2001,32),"")</f>
        <v>0</v>
      </c>
    </row>
    <row r="34" spans="1:59">
      <c r="A34" s="27">
        <f>IF($BG34="","",INDEX(Calc_Daily!$A$2:$A$2001,$BG34))</f>
        <v>0</v>
      </c>
      <c r="B34">
        <f>IF($BG34="","",INDEX(Calc_Daily!$BQ$2:$BQ$2001,$BG34))</f>
        <v>0</v>
      </c>
      <c r="C34">
        <f>IF($BG34="","",INDEX(Calc_Daily!$BR$2:$BR$2001,$BG34))</f>
        <v>0</v>
      </c>
      <c r="D34">
        <f>IF($BG34="","",INDEX(Calc_Daily!$BS$2:$BS$2001,$BG34))</f>
        <v>0</v>
      </c>
      <c r="E34">
        <f>IF($BG34="","",INDEX(Calc_Daily!$E$2:$E$2001,$BG34))</f>
        <v>0</v>
      </c>
      <c r="F34">
        <f>IF($E34="","",N(F33)+1)</f>
        <v>0</v>
      </c>
      <c r="G34">
        <f>IF(OR($E34="",$E33=""),"",LN($E34/$E33))</f>
        <v>0</v>
      </c>
      <c r="H34">
        <f>IF($E34="","",IF($E33="",$E34,$E34*0.0952380952+H33*0.9047619048))</f>
        <v>0</v>
      </c>
      <c r="I34">
        <f>IF($E34="","",IF($E33="",$E34,$E34*0.0392156863+I33*0.9607843137))</f>
        <v>0</v>
      </c>
      <c r="J34">
        <f>IF($E34="","",IF($E33="",$E34,$E34*0.0198019802+J33*0.9801980198))</f>
        <v>0</v>
      </c>
      <c r="K34">
        <f>IF($E34="","",IF($E33="",$E34,$E34*0.0099502488+K33*0.9900497512))</f>
        <v>0</v>
      </c>
      <c r="L34">
        <f>IF(OR($E34="",$E33=""),"",MAX($E34-$E33,0))</f>
        <v>0</v>
      </c>
      <c r="M34">
        <f>IF(OR($E34="",$E33=""),"",MAX($E33-$E34,0))</f>
        <v>0</v>
      </c>
      <c r="N34">
        <f>IF(COUNT($E$2:$E34)&lt;15,"",IF(AVERAGE($M$21:$M$34)=0,100,100-100/(1+AVERAGE($L$21:$L$34)/AVERAGE($M$21:$M$34))))</f>
        <v>0</v>
      </c>
      <c r="O34">
        <f>IF($E34="","",IF($E33="",$E34,$E34*0.1538461538+O33*0.8461538462))</f>
        <v>0</v>
      </c>
      <c r="P34">
        <f>IF($E34="","",IF($E33="",$E34,$E34*0.0740740741+P33*0.9259259259))</f>
        <v>0</v>
      </c>
      <c r="Q34">
        <f>IF(OR(O34="",P34=""),"",O34-P34)</f>
        <v>0</v>
      </c>
      <c r="R34">
        <f>IF(Q34="","",IF(R33="",Q34,Q34*0.2000000000+R33*0.8000000000))</f>
        <v>0</v>
      </c>
      <c r="S34">
        <f>IF(OR(Q34="",R34=""),"",Q34-R34)</f>
        <v>0</v>
      </c>
      <c r="T34">
        <f>IF(COUNT($E$2:$E34)&lt;14,"",MAX($C$21:$C$34))</f>
        <v>0</v>
      </c>
      <c r="U34">
        <f>IF(COUNT($E$2:$E34)&lt;14,"",MIN($D$21:$D$34))</f>
        <v>0</v>
      </c>
      <c r="V34">
        <f>IF(OR(T34="",U34="",T34=U34),"",100*($E34-U34)/(T34-U34))</f>
        <v>0</v>
      </c>
      <c r="W34">
        <f>IF(COUNT($V$32:$V$34)&lt;3,"",AVERAGE($V$32:$V$34))</f>
        <v>0</v>
      </c>
      <c r="X34">
        <f>IF(COUNT($N$21:$N$34)&lt;14,"",MIN($N$21:$N$34))</f>
        <v>0</v>
      </c>
      <c r="Y34">
        <f>IF(COUNT($N$21:$N$34)&lt;14,"",MAX($N$21:$N$34))</f>
        <v>0</v>
      </c>
      <c r="Z34">
        <f>IF(OR(N34="",X34="",Y34="",Y34=X34),"",100*(N34-X34)/(Y34-X34))</f>
        <v>0</v>
      </c>
      <c r="AA34">
        <f>IF(COUNT($Z$32:$Z$34)&lt;3,"",AVERAGE($Z$32:$Z$34))</f>
        <v>0</v>
      </c>
      <c r="AB34">
        <f>IF(COUNT($AA$32:$AA$34)&lt;3,"",AVERAGE($AA$32:$AA$34))</f>
        <v>0</v>
      </c>
      <c r="AC34">
        <f>IF($E34="","",MAX($C34-$D34,ABS($C34-$E33),ABS($D34-$E33)))</f>
        <v>0</v>
      </c>
      <c r="AD34">
        <f>IF(COUNT($E$2:$E34)&lt;15,"",AVERAGE($AC$21:$AC$34))</f>
        <v>0</v>
      </c>
      <c r="AE34">
        <f>IF(OR($E34="",$E33=""),"",IF(AND(($C34-$C33)&gt;($D33-$D34),($C34-$C33)&gt;0),$C34-$C33,0))</f>
        <v>0</v>
      </c>
      <c r="AF34">
        <f>IF(OR($E34="",$E33=""),"",IF(AND(($D33-$D34)&gt;($C34-$C33),($D33-$D34)&gt;0),$D33-$D34,0))</f>
        <v>0</v>
      </c>
      <c r="AG34">
        <f>IF(COUNT($E$2:$E34)&lt;15,"",IF(SUM($AC$21:$AC$34)=0,0,100*SUM($AE$21:$AE$34)/SUM($AC$21:$AC$34)))</f>
        <v>0</v>
      </c>
      <c r="AH34">
        <f>IF(COUNT($E$2:$E34)&lt;15,"",IF(SUM($AC$21:$AC$34)=0,0,100*SUM($AF$21:$AF$34)/SUM($AC$21:$AC$34)))</f>
        <v>0</v>
      </c>
      <c r="AI34">
        <f>IF(OR(AG34="",AH34=""),"",IF((AG34+AH34)=0,0,100*ABS(AG34-AH34)/(AG34+AH34)))</f>
        <v>0</v>
      </c>
      <c r="AJ34">
        <f>IF(COUNT($AI$21:$AI$34)&lt;14,"",AVERAGE($AI$21:$AI$34))</f>
        <v>0</v>
      </c>
      <c r="AK34">
        <f>IF(COUNT($E$2:$E34)&lt;20,"",AVERAGE($E$15:$E$34))</f>
        <v>0</v>
      </c>
      <c r="AL34">
        <f>IF(COUNT($E$2:$E34)&lt;20,"",STDEVP($E$15:$E$34))</f>
        <v>0</v>
      </c>
      <c r="AM34">
        <f>IF(AK34="","",AK34+2*AL34)</f>
        <v>0</v>
      </c>
      <c r="AN34">
        <f>IF(AK34="","",AK34-2*AL34)</f>
        <v>0</v>
      </c>
      <c r="AO34">
        <f>IF(OR(AM34="",AN34="",AM34=AN34),"",($E34-AN34)/(AM34-AN34))</f>
        <v>0</v>
      </c>
      <c r="AP34">
        <f>IF(OR(AM34="",AK34="",AK34=0),"",(AM34-AN34)/AK34)</f>
        <v>0</v>
      </c>
      <c r="AQ34">
        <f>IF(COUNT($E$2:$E34)&lt;20,"",MAX($C$15:$C$34))</f>
        <v>0</v>
      </c>
      <c r="AR34">
        <f>IF(COUNT($E$2:$E34)&lt;20,"",MIN($D$15:$D$34))</f>
        <v>0</v>
      </c>
      <c r="AS34">
        <f>IF(OR(AQ34="",AR34=""),"",(AQ34+AR34)/2)</f>
        <v>0</v>
      </c>
      <c r="AT34">
        <f>IF(COUNT($G$15:$G$34)&lt;20,"",STDEV($G$15:$G$34)*SQRT(12))</f>
        <v>0</v>
      </c>
      <c r="AU34">
        <f>IF(COUNT($E$2:$E34)&lt;9,"",(MAX($C$26:$C$34)+MIN($D$26:$D$34))/2)</f>
        <v>0</v>
      </c>
      <c r="AV34">
        <f>IF(COUNT($E$2:$E34)&lt;26,"",(MAX($C$9:$C$34)+MIN($D$9:$D$34))/2)</f>
        <v>0</v>
      </c>
      <c r="AW34">
        <f>IF(OR(AU34="",AV34=""),"",(AU34+AV34)/2)</f>
        <v>0</v>
      </c>
      <c r="AX34">
        <f>IF(COUNT($E$2:$E34)&lt;52,"",(MAX($C$2:$C$34)+MIN($D$2:$D$34))/2)</f>
        <v>0</v>
      </c>
      <c r="AY34">
        <f>IF(COUNT($E$2:$E34)&lt;20,"",MAX($C$2:$C$34))</f>
        <v>0</v>
      </c>
      <c r="AZ34">
        <f>IF(COUNT($E$2:$E34)&lt;20,"",MIN($D$2:$D$34))</f>
        <v>0</v>
      </c>
      <c r="BA34">
        <f>IF(COUNT($E$2:$E34)&lt;20,"",SLOPE($E$2:$E$34,$F$2:$F$34))</f>
        <v>0</v>
      </c>
      <c r="BB34">
        <f>IF(COUNT($E$2:$E34)&lt;20,"",INTERCEPT($E$2:$E$34,$F$2:$F$34))</f>
        <v>0</v>
      </c>
      <c r="BC34">
        <f>IF(OR(BA34="",BB34=""),"",BB34+BA34*F34)</f>
        <v>0</v>
      </c>
      <c r="BD34">
        <f>IF(COUNT($E$2:$E34)&lt;20,"",STEYX($E$2:$E$34,$F$2:$F$34))</f>
        <v>0</v>
      </c>
      <c r="BE34">
        <f>IF($E34="","",IF(AND(COUNT($E$35:$E$38)&gt;=4,$C34=MAX($C$30:$C$38)),$C34,""))</f>
        <v>0</v>
      </c>
      <c r="BF34">
        <f>IF($E34="","",IF(AND(COUNT($E$35:$E$38)&gt;=4,$D34=MIN($D$30:$D$38)),$D34,""))</f>
        <v>0</v>
      </c>
      <c r="BG34">
        <f>IFERROR(SMALL(Calc_Daily!$BT$2:$BT$2001,33),"")</f>
        <v>0</v>
      </c>
    </row>
    <row r="35" spans="1:59">
      <c r="A35" s="27">
        <f>IF($BG35="","",INDEX(Calc_Daily!$A$2:$A$2001,$BG35))</f>
        <v>0</v>
      </c>
      <c r="B35">
        <f>IF($BG35="","",INDEX(Calc_Daily!$BQ$2:$BQ$2001,$BG35))</f>
        <v>0</v>
      </c>
      <c r="C35">
        <f>IF($BG35="","",INDEX(Calc_Daily!$BR$2:$BR$2001,$BG35))</f>
        <v>0</v>
      </c>
      <c r="D35">
        <f>IF($BG35="","",INDEX(Calc_Daily!$BS$2:$BS$2001,$BG35))</f>
        <v>0</v>
      </c>
      <c r="E35">
        <f>IF($BG35="","",INDEX(Calc_Daily!$E$2:$E$2001,$BG35))</f>
        <v>0</v>
      </c>
      <c r="F35">
        <f>IF($E35="","",N(F34)+1)</f>
        <v>0</v>
      </c>
      <c r="G35">
        <f>IF(OR($E35="",$E34=""),"",LN($E35/$E34))</f>
        <v>0</v>
      </c>
      <c r="H35">
        <f>IF($E35="","",IF($E34="",$E35,$E35*0.0952380952+H34*0.9047619048))</f>
        <v>0</v>
      </c>
      <c r="I35">
        <f>IF($E35="","",IF($E34="",$E35,$E35*0.0392156863+I34*0.9607843137))</f>
        <v>0</v>
      </c>
      <c r="J35">
        <f>IF($E35="","",IF($E34="",$E35,$E35*0.0198019802+J34*0.9801980198))</f>
        <v>0</v>
      </c>
      <c r="K35">
        <f>IF($E35="","",IF($E34="",$E35,$E35*0.0099502488+K34*0.9900497512))</f>
        <v>0</v>
      </c>
      <c r="L35">
        <f>IF(OR($E35="",$E34=""),"",MAX($E35-$E34,0))</f>
        <v>0</v>
      </c>
      <c r="M35">
        <f>IF(OR($E35="",$E34=""),"",MAX($E34-$E35,0))</f>
        <v>0</v>
      </c>
      <c r="N35">
        <f>IF(COUNT($E$2:$E35)&lt;15,"",IF(AVERAGE($M$22:$M$35)=0,100,100-100/(1+AVERAGE($L$22:$L$35)/AVERAGE($M$22:$M$35))))</f>
        <v>0</v>
      </c>
      <c r="O35">
        <f>IF($E35="","",IF($E34="",$E35,$E35*0.1538461538+O34*0.8461538462))</f>
        <v>0</v>
      </c>
      <c r="P35">
        <f>IF($E35="","",IF($E34="",$E35,$E35*0.0740740741+P34*0.9259259259))</f>
        <v>0</v>
      </c>
      <c r="Q35">
        <f>IF(OR(O35="",P35=""),"",O35-P35)</f>
        <v>0</v>
      </c>
      <c r="R35">
        <f>IF(Q35="","",IF(R34="",Q35,Q35*0.2000000000+R34*0.8000000000))</f>
        <v>0</v>
      </c>
      <c r="S35">
        <f>IF(OR(Q35="",R35=""),"",Q35-R35)</f>
        <v>0</v>
      </c>
      <c r="T35">
        <f>IF(COUNT($E$2:$E35)&lt;14,"",MAX($C$22:$C$35))</f>
        <v>0</v>
      </c>
      <c r="U35">
        <f>IF(COUNT($E$2:$E35)&lt;14,"",MIN($D$22:$D$35))</f>
        <v>0</v>
      </c>
      <c r="V35">
        <f>IF(OR(T35="",U35="",T35=U35),"",100*($E35-U35)/(T35-U35))</f>
        <v>0</v>
      </c>
      <c r="W35">
        <f>IF(COUNT($V$33:$V$35)&lt;3,"",AVERAGE($V$33:$V$35))</f>
        <v>0</v>
      </c>
      <c r="X35">
        <f>IF(COUNT($N$22:$N$35)&lt;14,"",MIN($N$22:$N$35))</f>
        <v>0</v>
      </c>
      <c r="Y35">
        <f>IF(COUNT($N$22:$N$35)&lt;14,"",MAX($N$22:$N$35))</f>
        <v>0</v>
      </c>
      <c r="Z35">
        <f>IF(OR(N35="",X35="",Y35="",Y35=X35),"",100*(N35-X35)/(Y35-X35))</f>
        <v>0</v>
      </c>
      <c r="AA35">
        <f>IF(COUNT($Z$33:$Z$35)&lt;3,"",AVERAGE($Z$33:$Z$35))</f>
        <v>0</v>
      </c>
      <c r="AB35">
        <f>IF(COUNT($AA$33:$AA$35)&lt;3,"",AVERAGE($AA$33:$AA$35))</f>
        <v>0</v>
      </c>
      <c r="AC35">
        <f>IF($E35="","",MAX($C35-$D35,ABS($C35-$E34),ABS($D35-$E34)))</f>
        <v>0</v>
      </c>
      <c r="AD35">
        <f>IF(COUNT($E$2:$E35)&lt;15,"",AVERAGE($AC$22:$AC$35))</f>
        <v>0</v>
      </c>
      <c r="AE35">
        <f>IF(OR($E35="",$E34=""),"",IF(AND(($C35-$C34)&gt;($D34-$D35),($C35-$C34)&gt;0),$C35-$C34,0))</f>
        <v>0</v>
      </c>
      <c r="AF35">
        <f>IF(OR($E35="",$E34=""),"",IF(AND(($D34-$D35)&gt;($C35-$C34),($D34-$D35)&gt;0),$D34-$D35,0))</f>
        <v>0</v>
      </c>
      <c r="AG35">
        <f>IF(COUNT($E$2:$E35)&lt;15,"",IF(SUM($AC$22:$AC$35)=0,0,100*SUM($AE$22:$AE$35)/SUM($AC$22:$AC$35)))</f>
        <v>0</v>
      </c>
      <c r="AH35">
        <f>IF(COUNT($E$2:$E35)&lt;15,"",IF(SUM($AC$22:$AC$35)=0,0,100*SUM($AF$22:$AF$35)/SUM($AC$22:$AC$35)))</f>
        <v>0</v>
      </c>
      <c r="AI35">
        <f>IF(OR(AG35="",AH35=""),"",IF((AG35+AH35)=0,0,100*ABS(AG35-AH35)/(AG35+AH35)))</f>
        <v>0</v>
      </c>
      <c r="AJ35">
        <f>IF(COUNT($AI$22:$AI$35)&lt;14,"",AVERAGE($AI$22:$AI$35))</f>
        <v>0</v>
      </c>
      <c r="AK35">
        <f>IF(COUNT($E$2:$E35)&lt;20,"",AVERAGE($E$16:$E$35))</f>
        <v>0</v>
      </c>
      <c r="AL35">
        <f>IF(COUNT($E$2:$E35)&lt;20,"",STDEVP($E$16:$E$35))</f>
        <v>0</v>
      </c>
      <c r="AM35">
        <f>IF(AK35="","",AK35+2*AL35)</f>
        <v>0</v>
      </c>
      <c r="AN35">
        <f>IF(AK35="","",AK35-2*AL35)</f>
        <v>0</v>
      </c>
      <c r="AO35">
        <f>IF(OR(AM35="",AN35="",AM35=AN35),"",($E35-AN35)/(AM35-AN35))</f>
        <v>0</v>
      </c>
      <c r="AP35">
        <f>IF(OR(AM35="",AK35="",AK35=0),"",(AM35-AN35)/AK35)</f>
        <v>0</v>
      </c>
      <c r="AQ35">
        <f>IF(COUNT($E$2:$E35)&lt;20,"",MAX($C$16:$C$35))</f>
        <v>0</v>
      </c>
      <c r="AR35">
        <f>IF(COUNT($E$2:$E35)&lt;20,"",MIN($D$16:$D$35))</f>
        <v>0</v>
      </c>
      <c r="AS35">
        <f>IF(OR(AQ35="",AR35=""),"",(AQ35+AR35)/2)</f>
        <v>0</v>
      </c>
      <c r="AT35">
        <f>IF(COUNT($G$16:$G$35)&lt;20,"",STDEV($G$16:$G$35)*SQRT(12))</f>
        <v>0</v>
      </c>
      <c r="AU35">
        <f>IF(COUNT($E$2:$E35)&lt;9,"",(MAX($C$27:$C$35)+MIN($D$27:$D$35))/2)</f>
        <v>0</v>
      </c>
      <c r="AV35">
        <f>IF(COUNT($E$2:$E35)&lt;26,"",(MAX($C$10:$C$35)+MIN($D$10:$D$35))/2)</f>
        <v>0</v>
      </c>
      <c r="AW35">
        <f>IF(OR(AU35="",AV35=""),"",(AU35+AV35)/2)</f>
        <v>0</v>
      </c>
      <c r="AX35">
        <f>IF(COUNT($E$2:$E35)&lt;52,"",(MAX($C$2:$C$35)+MIN($D$2:$D$35))/2)</f>
        <v>0</v>
      </c>
      <c r="AY35">
        <f>IF(COUNT($E$2:$E35)&lt;20,"",MAX($C$2:$C$35))</f>
        <v>0</v>
      </c>
      <c r="AZ35">
        <f>IF(COUNT($E$2:$E35)&lt;20,"",MIN($D$2:$D$35))</f>
        <v>0</v>
      </c>
      <c r="BA35">
        <f>IF(COUNT($E$2:$E35)&lt;20,"",SLOPE($E$2:$E$35,$F$2:$F$35))</f>
        <v>0</v>
      </c>
      <c r="BB35">
        <f>IF(COUNT($E$2:$E35)&lt;20,"",INTERCEPT($E$2:$E$35,$F$2:$F$35))</f>
        <v>0</v>
      </c>
      <c r="BC35">
        <f>IF(OR(BA35="",BB35=""),"",BB35+BA35*F35)</f>
        <v>0</v>
      </c>
      <c r="BD35">
        <f>IF(COUNT($E$2:$E35)&lt;20,"",STEYX($E$2:$E$35,$F$2:$F$35))</f>
        <v>0</v>
      </c>
      <c r="BE35">
        <f>IF($E35="","",IF(AND(COUNT($E$36:$E$39)&gt;=4,$C35=MAX($C$31:$C$39)),$C35,""))</f>
        <v>0</v>
      </c>
      <c r="BF35">
        <f>IF($E35="","",IF(AND(COUNT($E$36:$E$39)&gt;=4,$D35=MIN($D$31:$D$39)),$D35,""))</f>
        <v>0</v>
      </c>
      <c r="BG35">
        <f>IFERROR(SMALL(Calc_Daily!$BT$2:$BT$2001,34),"")</f>
        <v>0</v>
      </c>
    </row>
    <row r="36" spans="1:59">
      <c r="A36" s="27">
        <f>IF($BG36="","",INDEX(Calc_Daily!$A$2:$A$2001,$BG36))</f>
        <v>0</v>
      </c>
      <c r="B36">
        <f>IF($BG36="","",INDEX(Calc_Daily!$BQ$2:$BQ$2001,$BG36))</f>
        <v>0</v>
      </c>
      <c r="C36">
        <f>IF($BG36="","",INDEX(Calc_Daily!$BR$2:$BR$2001,$BG36))</f>
        <v>0</v>
      </c>
      <c r="D36">
        <f>IF($BG36="","",INDEX(Calc_Daily!$BS$2:$BS$2001,$BG36))</f>
        <v>0</v>
      </c>
      <c r="E36">
        <f>IF($BG36="","",INDEX(Calc_Daily!$E$2:$E$2001,$BG36))</f>
        <v>0</v>
      </c>
      <c r="F36">
        <f>IF($E36="","",N(F35)+1)</f>
        <v>0</v>
      </c>
      <c r="G36">
        <f>IF(OR($E36="",$E35=""),"",LN($E36/$E35))</f>
        <v>0</v>
      </c>
      <c r="H36">
        <f>IF($E36="","",IF($E35="",$E36,$E36*0.0952380952+H35*0.9047619048))</f>
        <v>0</v>
      </c>
      <c r="I36">
        <f>IF($E36="","",IF($E35="",$E36,$E36*0.0392156863+I35*0.9607843137))</f>
        <v>0</v>
      </c>
      <c r="J36">
        <f>IF($E36="","",IF($E35="",$E36,$E36*0.0198019802+J35*0.9801980198))</f>
        <v>0</v>
      </c>
      <c r="K36">
        <f>IF($E36="","",IF($E35="",$E36,$E36*0.0099502488+K35*0.9900497512))</f>
        <v>0</v>
      </c>
      <c r="L36">
        <f>IF(OR($E36="",$E35=""),"",MAX($E36-$E35,0))</f>
        <v>0</v>
      </c>
      <c r="M36">
        <f>IF(OR($E36="",$E35=""),"",MAX($E35-$E36,0))</f>
        <v>0</v>
      </c>
      <c r="N36">
        <f>IF(COUNT($E$2:$E36)&lt;15,"",IF(AVERAGE($M$23:$M$36)=0,100,100-100/(1+AVERAGE($L$23:$L$36)/AVERAGE($M$23:$M$36))))</f>
        <v>0</v>
      </c>
      <c r="O36">
        <f>IF($E36="","",IF($E35="",$E36,$E36*0.1538461538+O35*0.8461538462))</f>
        <v>0</v>
      </c>
      <c r="P36">
        <f>IF($E36="","",IF($E35="",$E36,$E36*0.0740740741+P35*0.9259259259))</f>
        <v>0</v>
      </c>
      <c r="Q36">
        <f>IF(OR(O36="",P36=""),"",O36-P36)</f>
        <v>0</v>
      </c>
      <c r="R36">
        <f>IF(Q36="","",IF(R35="",Q36,Q36*0.2000000000+R35*0.8000000000))</f>
        <v>0</v>
      </c>
      <c r="S36">
        <f>IF(OR(Q36="",R36=""),"",Q36-R36)</f>
        <v>0</v>
      </c>
      <c r="T36">
        <f>IF(COUNT($E$2:$E36)&lt;14,"",MAX($C$23:$C$36))</f>
        <v>0</v>
      </c>
      <c r="U36">
        <f>IF(COUNT($E$2:$E36)&lt;14,"",MIN($D$23:$D$36))</f>
        <v>0</v>
      </c>
      <c r="V36">
        <f>IF(OR(T36="",U36="",T36=U36),"",100*($E36-U36)/(T36-U36))</f>
        <v>0</v>
      </c>
      <c r="W36">
        <f>IF(COUNT($V$34:$V$36)&lt;3,"",AVERAGE($V$34:$V$36))</f>
        <v>0</v>
      </c>
      <c r="X36">
        <f>IF(COUNT($N$23:$N$36)&lt;14,"",MIN($N$23:$N$36))</f>
        <v>0</v>
      </c>
      <c r="Y36">
        <f>IF(COUNT($N$23:$N$36)&lt;14,"",MAX($N$23:$N$36))</f>
        <v>0</v>
      </c>
      <c r="Z36">
        <f>IF(OR(N36="",X36="",Y36="",Y36=X36),"",100*(N36-X36)/(Y36-X36))</f>
        <v>0</v>
      </c>
      <c r="AA36">
        <f>IF(COUNT($Z$34:$Z$36)&lt;3,"",AVERAGE($Z$34:$Z$36))</f>
        <v>0</v>
      </c>
      <c r="AB36">
        <f>IF(COUNT($AA$34:$AA$36)&lt;3,"",AVERAGE($AA$34:$AA$36))</f>
        <v>0</v>
      </c>
      <c r="AC36">
        <f>IF($E36="","",MAX($C36-$D36,ABS($C36-$E35),ABS($D36-$E35)))</f>
        <v>0</v>
      </c>
      <c r="AD36">
        <f>IF(COUNT($E$2:$E36)&lt;15,"",AVERAGE($AC$23:$AC$36))</f>
        <v>0</v>
      </c>
      <c r="AE36">
        <f>IF(OR($E36="",$E35=""),"",IF(AND(($C36-$C35)&gt;($D35-$D36),($C36-$C35)&gt;0),$C36-$C35,0))</f>
        <v>0</v>
      </c>
      <c r="AF36">
        <f>IF(OR($E36="",$E35=""),"",IF(AND(($D35-$D36)&gt;($C36-$C35),($D35-$D36)&gt;0),$D35-$D36,0))</f>
        <v>0</v>
      </c>
      <c r="AG36">
        <f>IF(COUNT($E$2:$E36)&lt;15,"",IF(SUM($AC$23:$AC$36)=0,0,100*SUM($AE$23:$AE$36)/SUM($AC$23:$AC$36)))</f>
        <v>0</v>
      </c>
      <c r="AH36">
        <f>IF(COUNT($E$2:$E36)&lt;15,"",IF(SUM($AC$23:$AC$36)=0,0,100*SUM($AF$23:$AF$36)/SUM($AC$23:$AC$36)))</f>
        <v>0</v>
      </c>
      <c r="AI36">
        <f>IF(OR(AG36="",AH36=""),"",IF((AG36+AH36)=0,0,100*ABS(AG36-AH36)/(AG36+AH36)))</f>
        <v>0</v>
      </c>
      <c r="AJ36">
        <f>IF(COUNT($AI$23:$AI$36)&lt;14,"",AVERAGE($AI$23:$AI$36))</f>
        <v>0</v>
      </c>
      <c r="AK36">
        <f>IF(COUNT($E$2:$E36)&lt;20,"",AVERAGE($E$17:$E$36))</f>
        <v>0</v>
      </c>
      <c r="AL36">
        <f>IF(COUNT($E$2:$E36)&lt;20,"",STDEVP($E$17:$E$36))</f>
        <v>0</v>
      </c>
      <c r="AM36">
        <f>IF(AK36="","",AK36+2*AL36)</f>
        <v>0</v>
      </c>
      <c r="AN36">
        <f>IF(AK36="","",AK36-2*AL36)</f>
        <v>0</v>
      </c>
      <c r="AO36">
        <f>IF(OR(AM36="",AN36="",AM36=AN36),"",($E36-AN36)/(AM36-AN36))</f>
        <v>0</v>
      </c>
      <c r="AP36">
        <f>IF(OR(AM36="",AK36="",AK36=0),"",(AM36-AN36)/AK36)</f>
        <v>0</v>
      </c>
      <c r="AQ36">
        <f>IF(COUNT($E$2:$E36)&lt;20,"",MAX($C$17:$C$36))</f>
        <v>0</v>
      </c>
      <c r="AR36">
        <f>IF(COUNT($E$2:$E36)&lt;20,"",MIN($D$17:$D$36))</f>
        <v>0</v>
      </c>
      <c r="AS36">
        <f>IF(OR(AQ36="",AR36=""),"",(AQ36+AR36)/2)</f>
        <v>0</v>
      </c>
      <c r="AT36">
        <f>IF(COUNT($G$17:$G$36)&lt;20,"",STDEV($G$17:$G$36)*SQRT(12))</f>
        <v>0</v>
      </c>
      <c r="AU36">
        <f>IF(COUNT($E$2:$E36)&lt;9,"",(MAX($C$28:$C$36)+MIN($D$28:$D$36))/2)</f>
        <v>0</v>
      </c>
      <c r="AV36">
        <f>IF(COUNT($E$2:$E36)&lt;26,"",(MAX($C$11:$C$36)+MIN($D$11:$D$36))/2)</f>
        <v>0</v>
      </c>
      <c r="AW36">
        <f>IF(OR(AU36="",AV36=""),"",(AU36+AV36)/2)</f>
        <v>0</v>
      </c>
      <c r="AX36">
        <f>IF(COUNT($E$2:$E36)&lt;52,"",(MAX($C$2:$C$36)+MIN($D$2:$D$36))/2)</f>
        <v>0</v>
      </c>
      <c r="AY36">
        <f>IF(COUNT($E$2:$E36)&lt;20,"",MAX($C$2:$C$36))</f>
        <v>0</v>
      </c>
      <c r="AZ36">
        <f>IF(COUNT($E$2:$E36)&lt;20,"",MIN($D$2:$D$36))</f>
        <v>0</v>
      </c>
      <c r="BA36">
        <f>IF(COUNT($E$2:$E36)&lt;20,"",SLOPE($E$2:$E$36,$F$2:$F$36))</f>
        <v>0</v>
      </c>
      <c r="BB36">
        <f>IF(COUNT($E$2:$E36)&lt;20,"",INTERCEPT($E$2:$E$36,$F$2:$F$36))</f>
        <v>0</v>
      </c>
      <c r="BC36">
        <f>IF(OR(BA36="",BB36=""),"",BB36+BA36*F36)</f>
        <v>0</v>
      </c>
      <c r="BD36">
        <f>IF(COUNT($E$2:$E36)&lt;20,"",STEYX($E$2:$E$36,$F$2:$F$36))</f>
        <v>0</v>
      </c>
      <c r="BE36">
        <f>IF($E36="","",IF(AND(COUNT($E$37:$E$40)&gt;=4,$C36=MAX($C$32:$C$40)),$C36,""))</f>
        <v>0</v>
      </c>
      <c r="BF36">
        <f>IF($E36="","",IF(AND(COUNT($E$37:$E$40)&gt;=4,$D36=MIN($D$32:$D$40)),$D36,""))</f>
        <v>0</v>
      </c>
      <c r="BG36">
        <f>IFERROR(SMALL(Calc_Daily!$BT$2:$BT$2001,35),"")</f>
        <v>0</v>
      </c>
    </row>
    <row r="37" spans="1:59">
      <c r="A37" s="27">
        <f>IF($BG37="","",INDEX(Calc_Daily!$A$2:$A$2001,$BG37))</f>
        <v>0</v>
      </c>
      <c r="B37">
        <f>IF($BG37="","",INDEX(Calc_Daily!$BQ$2:$BQ$2001,$BG37))</f>
        <v>0</v>
      </c>
      <c r="C37">
        <f>IF($BG37="","",INDEX(Calc_Daily!$BR$2:$BR$2001,$BG37))</f>
        <v>0</v>
      </c>
      <c r="D37">
        <f>IF($BG37="","",INDEX(Calc_Daily!$BS$2:$BS$2001,$BG37))</f>
        <v>0</v>
      </c>
      <c r="E37">
        <f>IF($BG37="","",INDEX(Calc_Daily!$E$2:$E$2001,$BG37))</f>
        <v>0</v>
      </c>
      <c r="F37">
        <f>IF($E37="","",N(F36)+1)</f>
        <v>0</v>
      </c>
      <c r="G37">
        <f>IF(OR($E37="",$E36=""),"",LN($E37/$E36))</f>
        <v>0</v>
      </c>
      <c r="H37">
        <f>IF($E37="","",IF($E36="",$E37,$E37*0.0952380952+H36*0.9047619048))</f>
        <v>0</v>
      </c>
      <c r="I37">
        <f>IF($E37="","",IF($E36="",$E37,$E37*0.0392156863+I36*0.9607843137))</f>
        <v>0</v>
      </c>
      <c r="J37">
        <f>IF($E37="","",IF($E36="",$E37,$E37*0.0198019802+J36*0.9801980198))</f>
        <v>0</v>
      </c>
      <c r="K37">
        <f>IF($E37="","",IF($E36="",$E37,$E37*0.0099502488+K36*0.9900497512))</f>
        <v>0</v>
      </c>
      <c r="L37">
        <f>IF(OR($E37="",$E36=""),"",MAX($E37-$E36,0))</f>
        <v>0</v>
      </c>
      <c r="M37">
        <f>IF(OR($E37="",$E36=""),"",MAX($E36-$E37,0))</f>
        <v>0</v>
      </c>
      <c r="N37">
        <f>IF(COUNT($E$2:$E37)&lt;15,"",IF(AVERAGE($M$24:$M$37)=0,100,100-100/(1+AVERAGE($L$24:$L$37)/AVERAGE($M$24:$M$37))))</f>
        <v>0</v>
      </c>
      <c r="O37">
        <f>IF($E37="","",IF($E36="",$E37,$E37*0.1538461538+O36*0.8461538462))</f>
        <v>0</v>
      </c>
      <c r="P37">
        <f>IF($E37="","",IF($E36="",$E37,$E37*0.0740740741+P36*0.9259259259))</f>
        <v>0</v>
      </c>
      <c r="Q37">
        <f>IF(OR(O37="",P37=""),"",O37-P37)</f>
        <v>0</v>
      </c>
      <c r="R37">
        <f>IF(Q37="","",IF(R36="",Q37,Q37*0.2000000000+R36*0.8000000000))</f>
        <v>0</v>
      </c>
      <c r="S37">
        <f>IF(OR(Q37="",R37=""),"",Q37-R37)</f>
        <v>0</v>
      </c>
      <c r="T37">
        <f>IF(COUNT($E$2:$E37)&lt;14,"",MAX($C$24:$C$37))</f>
        <v>0</v>
      </c>
      <c r="U37">
        <f>IF(COUNT($E$2:$E37)&lt;14,"",MIN($D$24:$D$37))</f>
        <v>0</v>
      </c>
      <c r="V37">
        <f>IF(OR(T37="",U37="",T37=U37),"",100*($E37-U37)/(T37-U37))</f>
        <v>0</v>
      </c>
      <c r="W37">
        <f>IF(COUNT($V$35:$V$37)&lt;3,"",AVERAGE($V$35:$V$37))</f>
        <v>0</v>
      </c>
      <c r="X37">
        <f>IF(COUNT($N$24:$N$37)&lt;14,"",MIN($N$24:$N$37))</f>
        <v>0</v>
      </c>
      <c r="Y37">
        <f>IF(COUNT($N$24:$N$37)&lt;14,"",MAX($N$24:$N$37))</f>
        <v>0</v>
      </c>
      <c r="Z37">
        <f>IF(OR(N37="",X37="",Y37="",Y37=X37),"",100*(N37-X37)/(Y37-X37))</f>
        <v>0</v>
      </c>
      <c r="AA37">
        <f>IF(COUNT($Z$35:$Z$37)&lt;3,"",AVERAGE($Z$35:$Z$37))</f>
        <v>0</v>
      </c>
      <c r="AB37">
        <f>IF(COUNT($AA$35:$AA$37)&lt;3,"",AVERAGE($AA$35:$AA$37))</f>
        <v>0</v>
      </c>
      <c r="AC37">
        <f>IF($E37="","",MAX($C37-$D37,ABS($C37-$E36),ABS($D37-$E36)))</f>
        <v>0</v>
      </c>
      <c r="AD37">
        <f>IF(COUNT($E$2:$E37)&lt;15,"",AVERAGE($AC$24:$AC$37))</f>
        <v>0</v>
      </c>
      <c r="AE37">
        <f>IF(OR($E37="",$E36=""),"",IF(AND(($C37-$C36)&gt;($D36-$D37),($C37-$C36)&gt;0),$C37-$C36,0))</f>
        <v>0</v>
      </c>
      <c r="AF37">
        <f>IF(OR($E37="",$E36=""),"",IF(AND(($D36-$D37)&gt;($C37-$C36),($D36-$D37)&gt;0),$D36-$D37,0))</f>
        <v>0</v>
      </c>
      <c r="AG37">
        <f>IF(COUNT($E$2:$E37)&lt;15,"",IF(SUM($AC$24:$AC$37)=0,0,100*SUM($AE$24:$AE$37)/SUM($AC$24:$AC$37)))</f>
        <v>0</v>
      </c>
      <c r="AH37">
        <f>IF(COUNT($E$2:$E37)&lt;15,"",IF(SUM($AC$24:$AC$37)=0,0,100*SUM($AF$24:$AF$37)/SUM($AC$24:$AC$37)))</f>
        <v>0</v>
      </c>
      <c r="AI37">
        <f>IF(OR(AG37="",AH37=""),"",IF((AG37+AH37)=0,0,100*ABS(AG37-AH37)/(AG37+AH37)))</f>
        <v>0</v>
      </c>
      <c r="AJ37">
        <f>IF(COUNT($AI$24:$AI$37)&lt;14,"",AVERAGE($AI$24:$AI$37))</f>
        <v>0</v>
      </c>
      <c r="AK37">
        <f>IF(COUNT($E$2:$E37)&lt;20,"",AVERAGE($E$18:$E$37))</f>
        <v>0</v>
      </c>
      <c r="AL37">
        <f>IF(COUNT($E$2:$E37)&lt;20,"",STDEVP($E$18:$E$37))</f>
        <v>0</v>
      </c>
      <c r="AM37">
        <f>IF(AK37="","",AK37+2*AL37)</f>
        <v>0</v>
      </c>
      <c r="AN37">
        <f>IF(AK37="","",AK37-2*AL37)</f>
        <v>0</v>
      </c>
      <c r="AO37">
        <f>IF(OR(AM37="",AN37="",AM37=AN37),"",($E37-AN37)/(AM37-AN37))</f>
        <v>0</v>
      </c>
      <c r="AP37">
        <f>IF(OR(AM37="",AK37="",AK37=0),"",(AM37-AN37)/AK37)</f>
        <v>0</v>
      </c>
      <c r="AQ37">
        <f>IF(COUNT($E$2:$E37)&lt;20,"",MAX($C$18:$C$37))</f>
        <v>0</v>
      </c>
      <c r="AR37">
        <f>IF(COUNT($E$2:$E37)&lt;20,"",MIN($D$18:$D$37))</f>
        <v>0</v>
      </c>
      <c r="AS37">
        <f>IF(OR(AQ37="",AR37=""),"",(AQ37+AR37)/2)</f>
        <v>0</v>
      </c>
      <c r="AT37">
        <f>IF(COUNT($G$18:$G$37)&lt;20,"",STDEV($G$18:$G$37)*SQRT(12))</f>
        <v>0</v>
      </c>
      <c r="AU37">
        <f>IF(COUNT($E$2:$E37)&lt;9,"",(MAX($C$29:$C$37)+MIN($D$29:$D$37))/2)</f>
        <v>0</v>
      </c>
      <c r="AV37">
        <f>IF(COUNT($E$2:$E37)&lt;26,"",(MAX($C$12:$C$37)+MIN($D$12:$D$37))/2)</f>
        <v>0</v>
      </c>
      <c r="AW37">
        <f>IF(OR(AU37="",AV37=""),"",(AU37+AV37)/2)</f>
        <v>0</v>
      </c>
      <c r="AX37">
        <f>IF(COUNT($E$2:$E37)&lt;52,"",(MAX($C$2:$C$37)+MIN($D$2:$D$37))/2)</f>
        <v>0</v>
      </c>
      <c r="AY37">
        <f>IF(COUNT($E$2:$E37)&lt;20,"",MAX($C$2:$C$37))</f>
        <v>0</v>
      </c>
      <c r="AZ37">
        <f>IF(COUNT($E$2:$E37)&lt;20,"",MIN($D$2:$D$37))</f>
        <v>0</v>
      </c>
      <c r="BA37">
        <f>IF(COUNT($E$2:$E37)&lt;20,"",SLOPE($E$2:$E$37,$F$2:$F$37))</f>
        <v>0</v>
      </c>
      <c r="BB37">
        <f>IF(COUNT($E$2:$E37)&lt;20,"",INTERCEPT($E$2:$E$37,$F$2:$F$37))</f>
        <v>0</v>
      </c>
      <c r="BC37">
        <f>IF(OR(BA37="",BB37=""),"",BB37+BA37*F37)</f>
        <v>0</v>
      </c>
      <c r="BD37">
        <f>IF(COUNT($E$2:$E37)&lt;20,"",STEYX($E$2:$E$37,$F$2:$F$37))</f>
        <v>0</v>
      </c>
      <c r="BE37">
        <f>IF($E37="","",IF(AND(COUNT($E$38:$E$41)&gt;=4,$C37=MAX($C$33:$C$41)),$C37,""))</f>
        <v>0</v>
      </c>
      <c r="BF37">
        <f>IF($E37="","",IF(AND(COUNT($E$38:$E$41)&gt;=4,$D37=MIN($D$33:$D$41)),$D37,""))</f>
        <v>0</v>
      </c>
      <c r="BG37">
        <f>IFERROR(SMALL(Calc_Daily!$BT$2:$BT$2001,36),"")</f>
        <v>0</v>
      </c>
    </row>
    <row r="38" spans="1:59">
      <c r="A38" s="27">
        <f>IF($BG38="","",INDEX(Calc_Daily!$A$2:$A$2001,$BG38))</f>
        <v>0</v>
      </c>
      <c r="B38">
        <f>IF($BG38="","",INDEX(Calc_Daily!$BQ$2:$BQ$2001,$BG38))</f>
        <v>0</v>
      </c>
      <c r="C38">
        <f>IF($BG38="","",INDEX(Calc_Daily!$BR$2:$BR$2001,$BG38))</f>
        <v>0</v>
      </c>
      <c r="D38">
        <f>IF($BG38="","",INDEX(Calc_Daily!$BS$2:$BS$2001,$BG38))</f>
        <v>0</v>
      </c>
      <c r="E38">
        <f>IF($BG38="","",INDEX(Calc_Daily!$E$2:$E$2001,$BG38))</f>
        <v>0</v>
      </c>
      <c r="F38">
        <f>IF($E38="","",N(F37)+1)</f>
        <v>0</v>
      </c>
      <c r="G38">
        <f>IF(OR($E38="",$E37=""),"",LN($E38/$E37))</f>
        <v>0</v>
      </c>
      <c r="H38">
        <f>IF($E38="","",IF($E37="",$E38,$E38*0.0952380952+H37*0.9047619048))</f>
        <v>0</v>
      </c>
      <c r="I38">
        <f>IF($E38="","",IF($E37="",$E38,$E38*0.0392156863+I37*0.9607843137))</f>
        <v>0</v>
      </c>
      <c r="J38">
        <f>IF($E38="","",IF($E37="",$E38,$E38*0.0198019802+J37*0.9801980198))</f>
        <v>0</v>
      </c>
      <c r="K38">
        <f>IF($E38="","",IF($E37="",$E38,$E38*0.0099502488+K37*0.9900497512))</f>
        <v>0</v>
      </c>
      <c r="L38">
        <f>IF(OR($E38="",$E37=""),"",MAX($E38-$E37,0))</f>
        <v>0</v>
      </c>
      <c r="M38">
        <f>IF(OR($E38="",$E37=""),"",MAX($E37-$E38,0))</f>
        <v>0</v>
      </c>
      <c r="N38">
        <f>IF(COUNT($E$2:$E38)&lt;15,"",IF(AVERAGE($M$25:$M$38)=0,100,100-100/(1+AVERAGE($L$25:$L$38)/AVERAGE($M$25:$M$38))))</f>
        <v>0</v>
      </c>
      <c r="O38">
        <f>IF($E38="","",IF($E37="",$E38,$E38*0.1538461538+O37*0.8461538462))</f>
        <v>0</v>
      </c>
      <c r="P38">
        <f>IF($E38="","",IF($E37="",$E38,$E38*0.0740740741+P37*0.9259259259))</f>
        <v>0</v>
      </c>
      <c r="Q38">
        <f>IF(OR(O38="",P38=""),"",O38-P38)</f>
        <v>0</v>
      </c>
      <c r="R38">
        <f>IF(Q38="","",IF(R37="",Q38,Q38*0.2000000000+R37*0.8000000000))</f>
        <v>0</v>
      </c>
      <c r="S38">
        <f>IF(OR(Q38="",R38=""),"",Q38-R38)</f>
        <v>0</v>
      </c>
      <c r="T38">
        <f>IF(COUNT($E$2:$E38)&lt;14,"",MAX($C$25:$C$38))</f>
        <v>0</v>
      </c>
      <c r="U38">
        <f>IF(COUNT($E$2:$E38)&lt;14,"",MIN($D$25:$D$38))</f>
        <v>0</v>
      </c>
      <c r="V38">
        <f>IF(OR(T38="",U38="",T38=U38),"",100*($E38-U38)/(T38-U38))</f>
        <v>0</v>
      </c>
      <c r="W38">
        <f>IF(COUNT($V$36:$V$38)&lt;3,"",AVERAGE($V$36:$V$38))</f>
        <v>0</v>
      </c>
      <c r="X38">
        <f>IF(COUNT($N$25:$N$38)&lt;14,"",MIN($N$25:$N$38))</f>
        <v>0</v>
      </c>
      <c r="Y38">
        <f>IF(COUNT($N$25:$N$38)&lt;14,"",MAX($N$25:$N$38))</f>
        <v>0</v>
      </c>
      <c r="Z38">
        <f>IF(OR(N38="",X38="",Y38="",Y38=X38),"",100*(N38-X38)/(Y38-X38))</f>
        <v>0</v>
      </c>
      <c r="AA38">
        <f>IF(COUNT($Z$36:$Z$38)&lt;3,"",AVERAGE($Z$36:$Z$38))</f>
        <v>0</v>
      </c>
      <c r="AB38">
        <f>IF(COUNT($AA$36:$AA$38)&lt;3,"",AVERAGE($AA$36:$AA$38))</f>
        <v>0</v>
      </c>
      <c r="AC38">
        <f>IF($E38="","",MAX($C38-$D38,ABS($C38-$E37),ABS($D38-$E37)))</f>
        <v>0</v>
      </c>
      <c r="AD38">
        <f>IF(COUNT($E$2:$E38)&lt;15,"",AVERAGE($AC$25:$AC$38))</f>
        <v>0</v>
      </c>
      <c r="AE38">
        <f>IF(OR($E38="",$E37=""),"",IF(AND(($C38-$C37)&gt;($D37-$D38),($C38-$C37)&gt;0),$C38-$C37,0))</f>
        <v>0</v>
      </c>
      <c r="AF38">
        <f>IF(OR($E38="",$E37=""),"",IF(AND(($D37-$D38)&gt;($C38-$C37),($D37-$D38)&gt;0),$D37-$D38,0))</f>
        <v>0</v>
      </c>
      <c r="AG38">
        <f>IF(COUNT($E$2:$E38)&lt;15,"",IF(SUM($AC$25:$AC$38)=0,0,100*SUM($AE$25:$AE$38)/SUM($AC$25:$AC$38)))</f>
        <v>0</v>
      </c>
      <c r="AH38">
        <f>IF(COUNT($E$2:$E38)&lt;15,"",IF(SUM($AC$25:$AC$38)=0,0,100*SUM($AF$25:$AF$38)/SUM($AC$25:$AC$38)))</f>
        <v>0</v>
      </c>
      <c r="AI38">
        <f>IF(OR(AG38="",AH38=""),"",IF((AG38+AH38)=0,0,100*ABS(AG38-AH38)/(AG38+AH38)))</f>
        <v>0</v>
      </c>
      <c r="AJ38">
        <f>IF(COUNT($AI$25:$AI$38)&lt;14,"",AVERAGE($AI$25:$AI$38))</f>
        <v>0</v>
      </c>
      <c r="AK38">
        <f>IF(COUNT($E$2:$E38)&lt;20,"",AVERAGE($E$19:$E$38))</f>
        <v>0</v>
      </c>
      <c r="AL38">
        <f>IF(COUNT($E$2:$E38)&lt;20,"",STDEVP($E$19:$E$38))</f>
        <v>0</v>
      </c>
      <c r="AM38">
        <f>IF(AK38="","",AK38+2*AL38)</f>
        <v>0</v>
      </c>
      <c r="AN38">
        <f>IF(AK38="","",AK38-2*AL38)</f>
        <v>0</v>
      </c>
      <c r="AO38">
        <f>IF(OR(AM38="",AN38="",AM38=AN38),"",($E38-AN38)/(AM38-AN38))</f>
        <v>0</v>
      </c>
      <c r="AP38">
        <f>IF(OR(AM38="",AK38="",AK38=0),"",(AM38-AN38)/AK38)</f>
        <v>0</v>
      </c>
      <c r="AQ38">
        <f>IF(COUNT($E$2:$E38)&lt;20,"",MAX($C$19:$C$38))</f>
        <v>0</v>
      </c>
      <c r="AR38">
        <f>IF(COUNT($E$2:$E38)&lt;20,"",MIN($D$19:$D$38))</f>
        <v>0</v>
      </c>
      <c r="AS38">
        <f>IF(OR(AQ38="",AR38=""),"",(AQ38+AR38)/2)</f>
        <v>0</v>
      </c>
      <c r="AT38">
        <f>IF(COUNT($G$19:$G$38)&lt;20,"",STDEV($G$19:$G$38)*SQRT(12))</f>
        <v>0</v>
      </c>
      <c r="AU38">
        <f>IF(COUNT($E$2:$E38)&lt;9,"",(MAX($C$30:$C$38)+MIN($D$30:$D$38))/2)</f>
        <v>0</v>
      </c>
      <c r="AV38">
        <f>IF(COUNT($E$2:$E38)&lt;26,"",(MAX($C$13:$C$38)+MIN($D$13:$D$38))/2)</f>
        <v>0</v>
      </c>
      <c r="AW38">
        <f>IF(OR(AU38="",AV38=""),"",(AU38+AV38)/2)</f>
        <v>0</v>
      </c>
      <c r="AX38">
        <f>IF(COUNT($E$2:$E38)&lt;52,"",(MAX($C$2:$C$38)+MIN($D$2:$D$38))/2)</f>
        <v>0</v>
      </c>
      <c r="AY38">
        <f>IF(COUNT($E$2:$E38)&lt;20,"",MAX($C$2:$C$38))</f>
        <v>0</v>
      </c>
      <c r="AZ38">
        <f>IF(COUNT($E$2:$E38)&lt;20,"",MIN($D$2:$D$38))</f>
        <v>0</v>
      </c>
      <c r="BA38">
        <f>IF(COUNT($E$2:$E38)&lt;20,"",SLOPE($E$2:$E$38,$F$2:$F$38))</f>
        <v>0</v>
      </c>
      <c r="BB38">
        <f>IF(COUNT($E$2:$E38)&lt;20,"",INTERCEPT($E$2:$E$38,$F$2:$F$38))</f>
        <v>0</v>
      </c>
      <c r="BC38">
        <f>IF(OR(BA38="",BB38=""),"",BB38+BA38*F38)</f>
        <v>0</v>
      </c>
      <c r="BD38">
        <f>IF(COUNT($E$2:$E38)&lt;20,"",STEYX($E$2:$E$38,$F$2:$F$38))</f>
        <v>0</v>
      </c>
      <c r="BE38">
        <f>IF($E38="","",IF(AND(COUNT($E$39:$E$42)&gt;=4,$C38=MAX($C$34:$C$42)),$C38,""))</f>
        <v>0</v>
      </c>
      <c r="BF38">
        <f>IF($E38="","",IF(AND(COUNT($E$39:$E$42)&gt;=4,$D38=MIN($D$34:$D$42)),$D38,""))</f>
        <v>0</v>
      </c>
      <c r="BG38">
        <f>IFERROR(SMALL(Calc_Daily!$BT$2:$BT$2001,37),"")</f>
        <v>0</v>
      </c>
    </row>
    <row r="39" spans="1:59">
      <c r="A39" s="27">
        <f>IF($BG39="","",INDEX(Calc_Daily!$A$2:$A$2001,$BG39))</f>
        <v>0</v>
      </c>
      <c r="B39">
        <f>IF($BG39="","",INDEX(Calc_Daily!$BQ$2:$BQ$2001,$BG39))</f>
        <v>0</v>
      </c>
      <c r="C39">
        <f>IF($BG39="","",INDEX(Calc_Daily!$BR$2:$BR$2001,$BG39))</f>
        <v>0</v>
      </c>
      <c r="D39">
        <f>IF($BG39="","",INDEX(Calc_Daily!$BS$2:$BS$2001,$BG39))</f>
        <v>0</v>
      </c>
      <c r="E39">
        <f>IF($BG39="","",INDEX(Calc_Daily!$E$2:$E$2001,$BG39))</f>
        <v>0</v>
      </c>
      <c r="F39">
        <f>IF($E39="","",N(F38)+1)</f>
        <v>0</v>
      </c>
      <c r="G39">
        <f>IF(OR($E39="",$E38=""),"",LN($E39/$E38))</f>
        <v>0</v>
      </c>
      <c r="H39">
        <f>IF($E39="","",IF($E38="",$E39,$E39*0.0952380952+H38*0.9047619048))</f>
        <v>0</v>
      </c>
      <c r="I39">
        <f>IF($E39="","",IF($E38="",$E39,$E39*0.0392156863+I38*0.9607843137))</f>
        <v>0</v>
      </c>
      <c r="J39">
        <f>IF($E39="","",IF($E38="",$E39,$E39*0.0198019802+J38*0.9801980198))</f>
        <v>0</v>
      </c>
      <c r="K39">
        <f>IF($E39="","",IF($E38="",$E39,$E39*0.0099502488+K38*0.9900497512))</f>
        <v>0</v>
      </c>
      <c r="L39">
        <f>IF(OR($E39="",$E38=""),"",MAX($E39-$E38,0))</f>
        <v>0</v>
      </c>
      <c r="M39">
        <f>IF(OR($E39="",$E38=""),"",MAX($E38-$E39,0))</f>
        <v>0</v>
      </c>
      <c r="N39">
        <f>IF(COUNT($E$2:$E39)&lt;15,"",IF(AVERAGE($M$26:$M$39)=0,100,100-100/(1+AVERAGE($L$26:$L$39)/AVERAGE($M$26:$M$39))))</f>
        <v>0</v>
      </c>
      <c r="O39">
        <f>IF($E39="","",IF($E38="",$E39,$E39*0.1538461538+O38*0.8461538462))</f>
        <v>0</v>
      </c>
      <c r="P39">
        <f>IF($E39="","",IF($E38="",$E39,$E39*0.0740740741+P38*0.9259259259))</f>
        <v>0</v>
      </c>
      <c r="Q39">
        <f>IF(OR(O39="",P39=""),"",O39-P39)</f>
        <v>0</v>
      </c>
      <c r="R39">
        <f>IF(Q39="","",IF(R38="",Q39,Q39*0.2000000000+R38*0.8000000000))</f>
        <v>0</v>
      </c>
      <c r="S39">
        <f>IF(OR(Q39="",R39=""),"",Q39-R39)</f>
        <v>0</v>
      </c>
      <c r="T39">
        <f>IF(COUNT($E$2:$E39)&lt;14,"",MAX($C$26:$C$39))</f>
        <v>0</v>
      </c>
      <c r="U39">
        <f>IF(COUNT($E$2:$E39)&lt;14,"",MIN($D$26:$D$39))</f>
        <v>0</v>
      </c>
      <c r="V39">
        <f>IF(OR(T39="",U39="",T39=U39),"",100*($E39-U39)/(T39-U39))</f>
        <v>0</v>
      </c>
      <c r="W39">
        <f>IF(COUNT($V$37:$V$39)&lt;3,"",AVERAGE($V$37:$V$39))</f>
        <v>0</v>
      </c>
      <c r="X39">
        <f>IF(COUNT($N$26:$N$39)&lt;14,"",MIN($N$26:$N$39))</f>
        <v>0</v>
      </c>
      <c r="Y39">
        <f>IF(COUNT($N$26:$N$39)&lt;14,"",MAX($N$26:$N$39))</f>
        <v>0</v>
      </c>
      <c r="Z39">
        <f>IF(OR(N39="",X39="",Y39="",Y39=X39),"",100*(N39-X39)/(Y39-X39))</f>
        <v>0</v>
      </c>
      <c r="AA39">
        <f>IF(COUNT($Z$37:$Z$39)&lt;3,"",AVERAGE($Z$37:$Z$39))</f>
        <v>0</v>
      </c>
      <c r="AB39">
        <f>IF(COUNT($AA$37:$AA$39)&lt;3,"",AVERAGE($AA$37:$AA$39))</f>
        <v>0</v>
      </c>
      <c r="AC39">
        <f>IF($E39="","",MAX($C39-$D39,ABS($C39-$E38),ABS($D39-$E38)))</f>
        <v>0</v>
      </c>
      <c r="AD39">
        <f>IF(COUNT($E$2:$E39)&lt;15,"",AVERAGE($AC$26:$AC$39))</f>
        <v>0</v>
      </c>
      <c r="AE39">
        <f>IF(OR($E39="",$E38=""),"",IF(AND(($C39-$C38)&gt;($D38-$D39),($C39-$C38)&gt;0),$C39-$C38,0))</f>
        <v>0</v>
      </c>
      <c r="AF39">
        <f>IF(OR($E39="",$E38=""),"",IF(AND(($D38-$D39)&gt;($C39-$C38),($D38-$D39)&gt;0),$D38-$D39,0))</f>
        <v>0</v>
      </c>
      <c r="AG39">
        <f>IF(COUNT($E$2:$E39)&lt;15,"",IF(SUM($AC$26:$AC$39)=0,0,100*SUM($AE$26:$AE$39)/SUM($AC$26:$AC$39)))</f>
        <v>0</v>
      </c>
      <c r="AH39">
        <f>IF(COUNT($E$2:$E39)&lt;15,"",IF(SUM($AC$26:$AC$39)=0,0,100*SUM($AF$26:$AF$39)/SUM($AC$26:$AC$39)))</f>
        <v>0</v>
      </c>
      <c r="AI39">
        <f>IF(OR(AG39="",AH39=""),"",IF((AG39+AH39)=0,0,100*ABS(AG39-AH39)/(AG39+AH39)))</f>
        <v>0</v>
      </c>
      <c r="AJ39">
        <f>IF(COUNT($AI$26:$AI$39)&lt;14,"",AVERAGE($AI$26:$AI$39))</f>
        <v>0</v>
      </c>
      <c r="AK39">
        <f>IF(COUNT($E$2:$E39)&lt;20,"",AVERAGE($E$20:$E$39))</f>
        <v>0</v>
      </c>
      <c r="AL39">
        <f>IF(COUNT($E$2:$E39)&lt;20,"",STDEVP($E$20:$E$39))</f>
        <v>0</v>
      </c>
      <c r="AM39">
        <f>IF(AK39="","",AK39+2*AL39)</f>
        <v>0</v>
      </c>
      <c r="AN39">
        <f>IF(AK39="","",AK39-2*AL39)</f>
        <v>0</v>
      </c>
      <c r="AO39">
        <f>IF(OR(AM39="",AN39="",AM39=AN39),"",($E39-AN39)/(AM39-AN39))</f>
        <v>0</v>
      </c>
      <c r="AP39">
        <f>IF(OR(AM39="",AK39="",AK39=0),"",(AM39-AN39)/AK39)</f>
        <v>0</v>
      </c>
      <c r="AQ39">
        <f>IF(COUNT($E$2:$E39)&lt;20,"",MAX($C$20:$C$39))</f>
        <v>0</v>
      </c>
      <c r="AR39">
        <f>IF(COUNT($E$2:$E39)&lt;20,"",MIN($D$20:$D$39))</f>
        <v>0</v>
      </c>
      <c r="AS39">
        <f>IF(OR(AQ39="",AR39=""),"",(AQ39+AR39)/2)</f>
        <v>0</v>
      </c>
      <c r="AT39">
        <f>IF(COUNT($G$20:$G$39)&lt;20,"",STDEV($G$20:$G$39)*SQRT(12))</f>
        <v>0</v>
      </c>
      <c r="AU39">
        <f>IF(COUNT($E$2:$E39)&lt;9,"",(MAX($C$31:$C$39)+MIN($D$31:$D$39))/2)</f>
        <v>0</v>
      </c>
      <c r="AV39">
        <f>IF(COUNT($E$2:$E39)&lt;26,"",(MAX($C$14:$C$39)+MIN($D$14:$D$39))/2)</f>
        <v>0</v>
      </c>
      <c r="AW39">
        <f>IF(OR(AU39="",AV39=""),"",(AU39+AV39)/2)</f>
        <v>0</v>
      </c>
      <c r="AX39">
        <f>IF(COUNT($E$2:$E39)&lt;52,"",(MAX($C$2:$C$39)+MIN($D$2:$D$39))/2)</f>
        <v>0</v>
      </c>
      <c r="AY39">
        <f>IF(COUNT($E$2:$E39)&lt;20,"",MAX($C$2:$C$39))</f>
        <v>0</v>
      </c>
      <c r="AZ39">
        <f>IF(COUNT($E$2:$E39)&lt;20,"",MIN($D$2:$D$39))</f>
        <v>0</v>
      </c>
      <c r="BA39">
        <f>IF(COUNT($E$2:$E39)&lt;20,"",SLOPE($E$2:$E$39,$F$2:$F$39))</f>
        <v>0</v>
      </c>
      <c r="BB39">
        <f>IF(COUNT($E$2:$E39)&lt;20,"",INTERCEPT($E$2:$E$39,$F$2:$F$39))</f>
        <v>0</v>
      </c>
      <c r="BC39">
        <f>IF(OR(BA39="",BB39=""),"",BB39+BA39*F39)</f>
        <v>0</v>
      </c>
      <c r="BD39">
        <f>IF(COUNT($E$2:$E39)&lt;20,"",STEYX($E$2:$E$39,$F$2:$F$39))</f>
        <v>0</v>
      </c>
      <c r="BE39">
        <f>IF($E39="","",IF(AND(COUNT($E$40:$E$43)&gt;=4,$C39=MAX($C$35:$C$43)),$C39,""))</f>
        <v>0</v>
      </c>
      <c r="BF39">
        <f>IF($E39="","",IF(AND(COUNT($E$40:$E$43)&gt;=4,$D39=MIN($D$35:$D$43)),$D39,""))</f>
        <v>0</v>
      </c>
      <c r="BG39">
        <f>IFERROR(SMALL(Calc_Daily!$BT$2:$BT$2001,38),"")</f>
        <v>0</v>
      </c>
    </row>
    <row r="40" spans="1:59">
      <c r="A40" s="27">
        <f>IF($BG40="","",INDEX(Calc_Daily!$A$2:$A$2001,$BG40))</f>
        <v>0</v>
      </c>
      <c r="B40">
        <f>IF($BG40="","",INDEX(Calc_Daily!$BQ$2:$BQ$2001,$BG40))</f>
        <v>0</v>
      </c>
      <c r="C40">
        <f>IF($BG40="","",INDEX(Calc_Daily!$BR$2:$BR$2001,$BG40))</f>
        <v>0</v>
      </c>
      <c r="D40">
        <f>IF($BG40="","",INDEX(Calc_Daily!$BS$2:$BS$2001,$BG40))</f>
        <v>0</v>
      </c>
      <c r="E40">
        <f>IF($BG40="","",INDEX(Calc_Daily!$E$2:$E$2001,$BG40))</f>
        <v>0</v>
      </c>
      <c r="F40">
        <f>IF($E40="","",N(F39)+1)</f>
        <v>0</v>
      </c>
      <c r="G40">
        <f>IF(OR($E40="",$E39=""),"",LN($E40/$E39))</f>
        <v>0</v>
      </c>
      <c r="H40">
        <f>IF($E40="","",IF($E39="",$E40,$E40*0.0952380952+H39*0.9047619048))</f>
        <v>0</v>
      </c>
      <c r="I40">
        <f>IF($E40="","",IF($E39="",$E40,$E40*0.0392156863+I39*0.9607843137))</f>
        <v>0</v>
      </c>
      <c r="J40">
        <f>IF($E40="","",IF($E39="",$E40,$E40*0.0198019802+J39*0.9801980198))</f>
        <v>0</v>
      </c>
      <c r="K40">
        <f>IF($E40="","",IF($E39="",$E40,$E40*0.0099502488+K39*0.9900497512))</f>
        <v>0</v>
      </c>
      <c r="L40">
        <f>IF(OR($E40="",$E39=""),"",MAX($E40-$E39,0))</f>
        <v>0</v>
      </c>
      <c r="M40">
        <f>IF(OR($E40="",$E39=""),"",MAX($E39-$E40,0))</f>
        <v>0</v>
      </c>
      <c r="N40">
        <f>IF(COUNT($E$2:$E40)&lt;15,"",IF(AVERAGE($M$27:$M$40)=0,100,100-100/(1+AVERAGE($L$27:$L$40)/AVERAGE($M$27:$M$40))))</f>
        <v>0</v>
      </c>
      <c r="O40">
        <f>IF($E40="","",IF($E39="",$E40,$E40*0.1538461538+O39*0.8461538462))</f>
        <v>0</v>
      </c>
      <c r="P40">
        <f>IF($E40="","",IF($E39="",$E40,$E40*0.0740740741+P39*0.9259259259))</f>
        <v>0</v>
      </c>
      <c r="Q40">
        <f>IF(OR(O40="",P40=""),"",O40-P40)</f>
        <v>0</v>
      </c>
      <c r="R40">
        <f>IF(Q40="","",IF(R39="",Q40,Q40*0.2000000000+R39*0.8000000000))</f>
        <v>0</v>
      </c>
      <c r="S40">
        <f>IF(OR(Q40="",R40=""),"",Q40-R40)</f>
        <v>0</v>
      </c>
      <c r="T40">
        <f>IF(COUNT($E$2:$E40)&lt;14,"",MAX($C$27:$C$40))</f>
        <v>0</v>
      </c>
      <c r="U40">
        <f>IF(COUNT($E$2:$E40)&lt;14,"",MIN($D$27:$D$40))</f>
        <v>0</v>
      </c>
      <c r="V40">
        <f>IF(OR(T40="",U40="",T40=U40),"",100*($E40-U40)/(T40-U40))</f>
        <v>0</v>
      </c>
      <c r="W40">
        <f>IF(COUNT($V$38:$V$40)&lt;3,"",AVERAGE($V$38:$V$40))</f>
        <v>0</v>
      </c>
      <c r="X40">
        <f>IF(COUNT($N$27:$N$40)&lt;14,"",MIN($N$27:$N$40))</f>
        <v>0</v>
      </c>
      <c r="Y40">
        <f>IF(COUNT($N$27:$N$40)&lt;14,"",MAX($N$27:$N$40))</f>
        <v>0</v>
      </c>
      <c r="Z40">
        <f>IF(OR(N40="",X40="",Y40="",Y40=X40),"",100*(N40-X40)/(Y40-X40))</f>
        <v>0</v>
      </c>
      <c r="AA40">
        <f>IF(COUNT($Z$38:$Z$40)&lt;3,"",AVERAGE($Z$38:$Z$40))</f>
        <v>0</v>
      </c>
      <c r="AB40">
        <f>IF(COUNT($AA$38:$AA$40)&lt;3,"",AVERAGE($AA$38:$AA$40))</f>
        <v>0</v>
      </c>
      <c r="AC40">
        <f>IF($E40="","",MAX($C40-$D40,ABS($C40-$E39),ABS($D40-$E39)))</f>
        <v>0</v>
      </c>
      <c r="AD40">
        <f>IF(COUNT($E$2:$E40)&lt;15,"",AVERAGE($AC$27:$AC$40))</f>
        <v>0</v>
      </c>
      <c r="AE40">
        <f>IF(OR($E40="",$E39=""),"",IF(AND(($C40-$C39)&gt;($D39-$D40),($C40-$C39)&gt;0),$C40-$C39,0))</f>
        <v>0</v>
      </c>
      <c r="AF40">
        <f>IF(OR($E40="",$E39=""),"",IF(AND(($D39-$D40)&gt;($C40-$C39),($D39-$D40)&gt;0),$D39-$D40,0))</f>
        <v>0</v>
      </c>
      <c r="AG40">
        <f>IF(COUNT($E$2:$E40)&lt;15,"",IF(SUM($AC$27:$AC$40)=0,0,100*SUM($AE$27:$AE$40)/SUM($AC$27:$AC$40)))</f>
        <v>0</v>
      </c>
      <c r="AH40">
        <f>IF(COUNT($E$2:$E40)&lt;15,"",IF(SUM($AC$27:$AC$40)=0,0,100*SUM($AF$27:$AF$40)/SUM($AC$27:$AC$40)))</f>
        <v>0</v>
      </c>
      <c r="AI40">
        <f>IF(OR(AG40="",AH40=""),"",IF((AG40+AH40)=0,0,100*ABS(AG40-AH40)/(AG40+AH40)))</f>
        <v>0</v>
      </c>
      <c r="AJ40">
        <f>IF(COUNT($AI$27:$AI$40)&lt;14,"",AVERAGE($AI$27:$AI$40))</f>
        <v>0</v>
      </c>
      <c r="AK40">
        <f>IF(COUNT($E$2:$E40)&lt;20,"",AVERAGE($E$21:$E$40))</f>
        <v>0</v>
      </c>
      <c r="AL40">
        <f>IF(COUNT($E$2:$E40)&lt;20,"",STDEVP($E$21:$E$40))</f>
        <v>0</v>
      </c>
      <c r="AM40">
        <f>IF(AK40="","",AK40+2*AL40)</f>
        <v>0</v>
      </c>
      <c r="AN40">
        <f>IF(AK40="","",AK40-2*AL40)</f>
        <v>0</v>
      </c>
      <c r="AO40">
        <f>IF(OR(AM40="",AN40="",AM40=AN40),"",($E40-AN40)/(AM40-AN40))</f>
        <v>0</v>
      </c>
      <c r="AP40">
        <f>IF(OR(AM40="",AK40="",AK40=0),"",(AM40-AN40)/AK40)</f>
        <v>0</v>
      </c>
      <c r="AQ40">
        <f>IF(COUNT($E$2:$E40)&lt;20,"",MAX($C$21:$C$40))</f>
        <v>0</v>
      </c>
      <c r="AR40">
        <f>IF(COUNT($E$2:$E40)&lt;20,"",MIN($D$21:$D$40))</f>
        <v>0</v>
      </c>
      <c r="AS40">
        <f>IF(OR(AQ40="",AR40=""),"",(AQ40+AR40)/2)</f>
        <v>0</v>
      </c>
      <c r="AT40">
        <f>IF(COUNT($G$21:$G$40)&lt;20,"",STDEV($G$21:$G$40)*SQRT(12))</f>
        <v>0</v>
      </c>
      <c r="AU40">
        <f>IF(COUNT($E$2:$E40)&lt;9,"",(MAX($C$32:$C$40)+MIN($D$32:$D$40))/2)</f>
        <v>0</v>
      </c>
      <c r="AV40">
        <f>IF(COUNT($E$2:$E40)&lt;26,"",(MAX($C$15:$C$40)+MIN($D$15:$D$40))/2)</f>
        <v>0</v>
      </c>
      <c r="AW40">
        <f>IF(OR(AU40="",AV40=""),"",(AU40+AV40)/2)</f>
        <v>0</v>
      </c>
      <c r="AX40">
        <f>IF(COUNT($E$2:$E40)&lt;52,"",(MAX($C$2:$C$40)+MIN($D$2:$D$40))/2)</f>
        <v>0</v>
      </c>
      <c r="AY40">
        <f>IF(COUNT($E$2:$E40)&lt;20,"",MAX($C$2:$C$40))</f>
        <v>0</v>
      </c>
      <c r="AZ40">
        <f>IF(COUNT($E$2:$E40)&lt;20,"",MIN($D$2:$D$40))</f>
        <v>0</v>
      </c>
      <c r="BA40">
        <f>IF(COUNT($E$2:$E40)&lt;20,"",SLOPE($E$2:$E$40,$F$2:$F$40))</f>
        <v>0</v>
      </c>
      <c r="BB40">
        <f>IF(COUNT($E$2:$E40)&lt;20,"",INTERCEPT($E$2:$E$40,$F$2:$F$40))</f>
        <v>0</v>
      </c>
      <c r="BC40">
        <f>IF(OR(BA40="",BB40=""),"",BB40+BA40*F40)</f>
        <v>0</v>
      </c>
      <c r="BD40">
        <f>IF(COUNT($E$2:$E40)&lt;20,"",STEYX($E$2:$E$40,$F$2:$F$40))</f>
        <v>0</v>
      </c>
      <c r="BE40">
        <f>IF($E40="","",IF(AND(COUNT($E$41:$E$44)&gt;=4,$C40=MAX($C$36:$C$44)),$C40,""))</f>
        <v>0</v>
      </c>
      <c r="BF40">
        <f>IF($E40="","",IF(AND(COUNT($E$41:$E$44)&gt;=4,$D40=MIN($D$36:$D$44)),$D40,""))</f>
        <v>0</v>
      </c>
      <c r="BG40">
        <f>IFERROR(SMALL(Calc_Daily!$BT$2:$BT$2001,39),"")</f>
        <v>0</v>
      </c>
    </row>
    <row r="41" spans="1:59">
      <c r="A41" s="27">
        <f>IF($BG41="","",INDEX(Calc_Daily!$A$2:$A$2001,$BG41))</f>
        <v>0</v>
      </c>
      <c r="B41">
        <f>IF($BG41="","",INDEX(Calc_Daily!$BQ$2:$BQ$2001,$BG41))</f>
        <v>0</v>
      </c>
      <c r="C41">
        <f>IF($BG41="","",INDEX(Calc_Daily!$BR$2:$BR$2001,$BG41))</f>
        <v>0</v>
      </c>
      <c r="D41">
        <f>IF($BG41="","",INDEX(Calc_Daily!$BS$2:$BS$2001,$BG41))</f>
        <v>0</v>
      </c>
      <c r="E41">
        <f>IF($BG41="","",INDEX(Calc_Daily!$E$2:$E$2001,$BG41))</f>
        <v>0</v>
      </c>
      <c r="F41">
        <f>IF($E41="","",N(F40)+1)</f>
        <v>0</v>
      </c>
      <c r="G41">
        <f>IF(OR($E41="",$E40=""),"",LN($E41/$E40))</f>
        <v>0</v>
      </c>
      <c r="H41">
        <f>IF($E41="","",IF($E40="",$E41,$E41*0.0952380952+H40*0.9047619048))</f>
        <v>0</v>
      </c>
      <c r="I41">
        <f>IF($E41="","",IF($E40="",$E41,$E41*0.0392156863+I40*0.9607843137))</f>
        <v>0</v>
      </c>
      <c r="J41">
        <f>IF($E41="","",IF($E40="",$E41,$E41*0.0198019802+J40*0.9801980198))</f>
        <v>0</v>
      </c>
      <c r="K41">
        <f>IF($E41="","",IF($E40="",$E41,$E41*0.0099502488+K40*0.9900497512))</f>
        <v>0</v>
      </c>
      <c r="L41">
        <f>IF(OR($E41="",$E40=""),"",MAX($E41-$E40,0))</f>
        <v>0</v>
      </c>
      <c r="M41">
        <f>IF(OR($E41="",$E40=""),"",MAX($E40-$E41,0))</f>
        <v>0</v>
      </c>
      <c r="N41">
        <f>IF(COUNT($E$2:$E41)&lt;15,"",IF(AVERAGE($M$28:$M$41)=0,100,100-100/(1+AVERAGE($L$28:$L$41)/AVERAGE($M$28:$M$41))))</f>
        <v>0</v>
      </c>
      <c r="O41">
        <f>IF($E41="","",IF($E40="",$E41,$E41*0.1538461538+O40*0.8461538462))</f>
        <v>0</v>
      </c>
      <c r="P41">
        <f>IF($E41="","",IF($E40="",$E41,$E41*0.0740740741+P40*0.9259259259))</f>
        <v>0</v>
      </c>
      <c r="Q41">
        <f>IF(OR(O41="",P41=""),"",O41-P41)</f>
        <v>0</v>
      </c>
      <c r="R41">
        <f>IF(Q41="","",IF(R40="",Q41,Q41*0.2000000000+R40*0.8000000000))</f>
        <v>0</v>
      </c>
      <c r="S41">
        <f>IF(OR(Q41="",R41=""),"",Q41-R41)</f>
        <v>0</v>
      </c>
      <c r="T41">
        <f>IF(COUNT($E$2:$E41)&lt;14,"",MAX($C$28:$C$41))</f>
        <v>0</v>
      </c>
      <c r="U41">
        <f>IF(COUNT($E$2:$E41)&lt;14,"",MIN($D$28:$D$41))</f>
        <v>0</v>
      </c>
      <c r="V41">
        <f>IF(OR(T41="",U41="",T41=U41),"",100*($E41-U41)/(T41-U41))</f>
        <v>0</v>
      </c>
      <c r="W41">
        <f>IF(COUNT($V$39:$V$41)&lt;3,"",AVERAGE($V$39:$V$41))</f>
        <v>0</v>
      </c>
      <c r="X41">
        <f>IF(COUNT($N$28:$N$41)&lt;14,"",MIN($N$28:$N$41))</f>
        <v>0</v>
      </c>
      <c r="Y41">
        <f>IF(COUNT($N$28:$N$41)&lt;14,"",MAX($N$28:$N$41))</f>
        <v>0</v>
      </c>
      <c r="Z41">
        <f>IF(OR(N41="",X41="",Y41="",Y41=X41),"",100*(N41-X41)/(Y41-X41))</f>
        <v>0</v>
      </c>
      <c r="AA41">
        <f>IF(COUNT($Z$39:$Z$41)&lt;3,"",AVERAGE($Z$39:$Z$41))</f>
        <v>0</v>
      </c>
      <c r="AB41">
        <f>IF(COUNT($AA$39:$AA$41)&lt;3,"",AVERAGE($AA$39:$AA$41))</f>
        <v>0</v>
      </c>
      <c r="AC41">
        <f>IF($E41="","",MAX($C41-$D41,ABS($C41-$E40),ABS($D41-$E40)))</f>
        <v>0</v>
      </c>
      <c r="AD41">
        <f>IF(COUNT($E$2:$E41)&lt;15,"",AVERAGE($AC$28:$AC$41))</f>
        <v>0</v>
      </c>
      <c r="AE41">
        <f>IF(OR($E41="",$E40=""),"",IF(AND(($C41-$C40)&gt;($D40-$D41),($C41-$C40)&gt;0),$C41-$C40,0))</f>
        <v>0</v>
      </c>
      <c r="AF41">
        <f>IF(OR($E41="",$E40=""),"",IF(AND(($D40-$D41)&gt;($C41-$C40),($D40-$D41)&gt;0),$D40-$D41,0))</f>
        <v>0</v>
      </c>
      <c r="AG41">
        <f>IF(COUNT($E$2:$E41)&lt;15,"",IF(SUM($AC$28:$AC$41)=0,0,100*SUM($AE$28:$AE$41)/SUM($AC$28:$AC$41)))</f>
        <v>0</v>
      </c>
      <c r="AH41">
        <f>IF(COUNT($E$2:$E41)&lt;15,"",IF(SUM($AC$28:$AC$41)=0,0,100*SUM($AF$28:$AF$41)/SUM($AC$28:$AC$41)))</f>
        <v>0</v>
      </c>
      <c r="AI41">
        <f>IF(OR(AG41="",AH41=""),"",IF((AG41+AH41)=0,0,100*ABS(AG41-AH41)/(AG41+AH41)))</f>
        <v>0</v>
      </c>
      <c r="AJ41">
        <f>IF(COUNT($AI$28:$AI$41)&lt;14,"",AVERAGE($AI$28:$AI$41))</f>
        <v>0</v>
      </c>
      <c r="AK41">
        <f>IF(COUNT($E$2:$E41)&lt;20,"",AVERAGE($E$22:$E$41))</f>
        <v>0</v>
      </c>
      <c r="AL41">
        <f>IF(COUNT($E$2:$E41)&lt;20,"",STDEVP($E$22:$E$41))</f>
        <v>0</v>
      </c>
      <c r="AM41">
        <f>IF(AK41="","",AK41+2*AL41)</f>
        <v>0</v>
      </c>
      <c r="AN41">
        <f>IF(AK41="","",AK41-2*AL41)</f>
        <v>0</v>
      </c>
      <c r="AO41">
        <f>IF(OR(AM41="",AN41="",AM41=AN41),"",($E41-AN41)/(AM41-AN41))</f>
        <v>0</v>
      </c>
      <c r="AP41">
        <f>IF(OR(AM41="",AK41="",AK41=0),"",(AM41-AN41)/AK41)</f>
        <v>0</v>
      </c>
      <c r="AQ41">
        <f>IF(COUNT($E$2:$E41)&lt;20,"",MAX($C$22:$C$41))</f>
        <v>0</v>
      </c>
      <c r="AR41">
        <f>IF(COUNT($E$2:$E41)&lt;20,"",MIN($D$22:$D$41))</f>
        <v>0</v>
      </c>
      <c r="AS41">
        <f>IF(OR(AQ41="",AR41=""),"",(AQ41+AR41)/2)</f>
        <v>0</v>
      </c>
      <c r="AT41">
        <f>IF(COUNT($G$22:$G$41)&lt;20,"",STDEV($G$22:$G$41)*SQRT(12))</f>
        <v>0</v>
      </c>
      <c r="AU41">
        <f>IF(COUNT($E$2:$E41)&lt;9,"",(MAX($C$33:$C$41)+MIN($D$33:$D$41))/2)</f>
        <v>0</v>
      </c>
      <c r="AV41">
        <f>IF(COUNT($E$2:$E41)&lt;26,"",(MAX($C$16:$C$41)+MIN($D$16:$D$41))/2)</f>
        <v>0</v>
      </c>
      <c r="AW41">
        <f>IF(OR(AU41="",AV41=""),"",(AU41+AV41)/2)</f>
        <v>0</v>
      </c>
      <c r="AX41">
        <f>IF(COUNT($E$2:$E41)&lt;52,"",(MAX($C$2:$C$41)+MIN($D$2:$D$41))/2)</f>
        <v>0</v>
      </c>
      <c r="AY41">
        <f>IF(COUNT($E$2:$E41)&lt;20,"",MAX($C$2:$C$41))</f>
        <v>0</v>
      </c>
      <c r="AZ41">
        <f>IF(COUNT($E$2:$E41)&lt;20,"",MIN($D$2:$D$41))</f>
        <v>0</v>
      </c>
      <c r="BA41">
        <f>IF(COUNT($E$2:$E41)&lt;20,"",SLOPE($E$2:$E$41,$F$2:$F$41))</f>
        <v>0</v>
      </c>
      <c r="BB41">
        <f>IF(COUNT($E$2:$E41)&lt;20,"",INTERCEPT($E$2:$E$41,$F$2:$F$41))</f>
        <v>0</v>
      </c>
      <c r="BC41">
        <f>IF(OR(BA41="",BB41=""),"",BB41+BA41*F41)</f>
        <v>0</v>
      </c>
      <c r="BD41">
        <f>IF(COUNT($E$2:$E41)&lt;20,"",STEYX($E$2:$E$41,$F$2:$F$41))</f>
        <v>0</v>
      </c>
      <c r="BE41">
        <f>IF($E41="","",IF(AND(COUNT($E$42:$E$45)&gt;=4,$C41=MAX($C$37:$C$45)),$C41,""))</f>
        <v>0</v>
      </c>
      <c r="BF41">
        <f>IF($E41="","",IF(AND(COUNT($E$42:$E$45)&gt;=4,$D41=MIN($D$37:$D$45)),$D41,""))</f>
        <v>0</v>
      </c>
      <c r="BG41">
        <f>IFERROR(SMALL(Calc_Daily!$BT$2:$BT$2001,40),"")</f>
        <v>0</v>
      </c>
    </row>
    <row r="42" spans="1:59">
      <c r="A42" s="27">
        <f>IF($BG42="","",INDEX(Calc_Daily!$A$2:$A$2001,$BG42))</f>
        <v>0</v>
      </c>
      <c r="B42">
        <f>IF($BG42="","",INDEX(Calc_Daily!$BQ$2:$BQ$2001,$BG42))</f>
        <v>0</v>
      </c>
      <c r="C42">
        <f>IF($BG42="","",INDEX(Calc_Daily!$BR$2:$BR$2001,$BG42))</f>
        <v>0</v>
      </c>
      <c r="D42">
        <f>IF($BG42="","",INDEX(Calc_Daily!$BS$2:$BS$2001,$BG42))</f>
        <v>0</v>
      </c>
      <c r="E42">
        <f>IF($BG42="","",INDEX(Calc_Daily!$E$2:$E$2001,$BG42))</f>
        <v>0</v>
      </c>
      <c r="F42">
        <f>IF($E42="","",N(F41)+1)</f>
        <v>0</v>
      </c>
      <c r="G42">
        <f>IF(OR($E42="",$E41=""),"",LN($E42/$E41))</f>
        <v>0</v>
      </c>
      <c r="H42">
        <f>IF($E42="","",IF($E41="",$E42,$E42*0.0952380952+H41*0.9047619048))</f>
        <v>0</v>
      </c>
      <c r="I42">
        <f>IF($E42="","",IF($E41="",$E42,$E42*0.0392156863+I41*0.9607843137))</f>
        <v>0</v>
      </c>
      <c r="J42">
        <f>IF($E42="","",IF($E41="",$E42,$E42*0.0198019802+J41*0.9801980198))</f>
        <v>0</v>
      </c>
      <c r="K42">
        <f>IF($E42="","",IF($E41="",$E42,$E42*0.0099502488+K41*0.9900497512))</f>
        <v>0</v>
      </c>
      <c r="L42">
        <f>IF(OR($E42="",$E41=""),"",MAX($E42-$E41,0))</f>
        <v>0</v>
      </c>
      <c r="M42">
        <f>IF(OR($E42="",$E41=""),"",MAX($E41-$E42,0))</f>
        <v>0</v>
      </c>
      <c r="N42">
        <f>IF(COUNT($E$2:$E42)&lt;15,"",IF(AVERAGE($M$29:$M$42)=0,100,100-100/(1+AVERAGE($L$29:$L$42)/AVERAGE($M$29:$M$42))))</f>
        <v>0</v>
      </c>
      <c r="O42">
        <f>IF($E42="","",IF($E41="",$E42,$E42*0.1538461538+O41*0.8461538462))</f>
        <v>0</v>
      </c>
      <c r="P42">
        <f>IF($E42="","",IF($E41="",$E42,$E42*0.0740740741+P41*0.9259259259))</f>
        <v>0</v>
      </c>
      <c r="Q42">
        <f>IF(OR(O42="",P42=""),"",O42-P42)</f>
        <v>0</v>
      </c>
      <c r="R42">
        <f>IF(Q42="","",IF(R41="",Q42,Q42*0.2000000000+R41*0.8000000000))</f>
        <v>0</v>
      </c>
      <c r="S42">
        <f>IF(OR(Q42="",R42=""),"",Q42-R42)</f>
        <v>0</v>
      </c>
      <c r="T42">
        <f>IF(COUNT($E$2:$E42)&lt;14,"",MAX($C$29:$C$42))</f>
        <v>0</v>
      </c>
      <c r="U42">
        <f>IF(COUNT($E$2:$E42)&lt;14,"",MIN($D$29:$D$42))</f>
        <v>0</v>
      </c>
      <c r="V42">
        <f>IF(OR(T42="",U42="",T42=U42),"",100*($E42-U42)/(T42-U42))</f>
        <v>0</v>
      </c>
      <c r="W42">
        <f>IF(COUNT($V$40:$V$42)&lt;3,"",AVERAGE($V$40:$V$42))</f>
        <v>0</v>
      </c>
      <c r="X42">
        <f>IF(COUNT($N$29:$N$42)&lt;14,"",MIN($N$29:$N$42))</f>
        <v>0</v>
      </c>
      <c r="Y42">
        <f>IF(COUNT($N$29:$N$42)&lt;14,"",MAX($N$29:$N$42))</f>
        <v>0</v>
      </c>
      <c r="Z42">
        <f>IF(OR(N42="",X42="",Y42="",Y42=X42),"",100*(N42-X42)/(Y42-X42))</f>
        <v>0</v>
      </c>
      <c r="AA42">
        <f>IF(COUNT($Z$40:$Z$42)&lt;3,"",AVERAGE($Z$40:$Z$42))</f>
        <v>0</v>
      </c>
      <c r="AB42">
        <f>IF(COUNT($AA$40:$AA$42)&lt;3,"",AVERAGE($AA$40:$AA$42))</f>
        <v>0</v>
      </c>
      <c r="AC42">
        <f>IF($E42="","",MAX($C42-$D42,ABS($C42-$E41),ABS($D42-$E41)))</f>
        <v>0</v>
      </c>
      <c r="AD42">
        <f>IF(COUNT($E$2:$E42)&lt;15,"",AVERAGE($AC$29:$AC$42))</f>
        <v>0</v>
      </c>
      <c r="AE42">
        <f>IF(OR($E42="",$E41=""),"",IF(AND(($C42-$C41)&gt;($D41-$D42),($C42-$C41)&gt;0),$C42-$C41,0))</f>
        <v>0</v>
      </c>
      <c r="AF42">
        <f>IF(OR($E42="",$E41=""),"",IF(AND(($D41-$D42)&gt;($C42-$C41),($D41-$D42)&gt;0),$D41-$D42,0))</f>
        <v>0</v>
      </c>
      <c r="AG42">
        <f>IF(COUNT($E$2:$E42)&lt;15,"",IF(SUM($AC$29:$AC$42)=0,0,100*SUM($AE$29:$AE$42)/SUM($AC$29:$AC$42)))</f>
        <v>0</v>
      </c>
      <c r="AH42">
        <f>IF(COUNT($E$2:$E42)&lt;15,"",IF(SUM($AC$29:$AC$42)=0,0,100*SUM($AF$29:$AF$42)/SUM($AC$29:$AC$42)))</f>
        <v>0</v>
      </c>
      <c r="AI42">
        <f>IF(OR(AG42="",AH42=""),"",IF((AG42+AH42)=0,0,100*ABS(AG42-AH42)/(AG42+AH42)))</f>
        <v>0</v>
      </c>
      <c r="AJ42">
        <f>IF(COUNT($AI$29:$AI$42)&lt;14,"",AVERAGE($AI$29:$AI$42))</f>
        <v>0</v>
      </c>
      <c r="AK42">
        <f>IF(COUNT($E$2:$E42)&lt;20,"",AVERAGE($E$23:$E$42))</f>
        <v>0</v>
      </c>
      <c r="AL42">
        <f>IF(COUNT($E$2:$E42)&lt;20,"",STDEVP($E$23:$E$42))</f>
        <v>0</v>
      </c>
      <c r="AM42">
        <f>IF(AK42="","",AK42+2*AL42)</f>
        <v>0</v>
      </c>
      <c r="AN42">
        <f>IF(AK42="","",AK42-2*AL42)</f>
        <v>0</v>
      </c>
      <c r="AO42">
        <f>IF(OR(AM42="",AN42="",AM42=AN42),"",($E42-AN42)/(AM42-AN42))</f>
        <v>0</v>
      </c>
      <c r="AP42">
        <f>IF(OR(AM42="",AK42="",AK42=0),"",(AM42-AN42)/AK42)</f>
        <v>0</v>
      </c>
      <c r="AQ42">
        <f>IF(COUNT($E$2:$E42)&lt;20,"",MAX($C$23:$C$42))</f>
        <v>0</v>
      </c>
      <c r="AR42">
        <f>IF(COUNT($E$2:$E42)&lt;20,"",MIN($D$23:$D$42))</f>
        <v>0</v>
      </c>
      <c r="AS42">
        <f>IF(OR(AQ42="",AR42=""),"",(AQ42+AR42)/2)</f>
        <v>0</v>
      </c>
      <c r="AT42">
        <f>IF(COUNT($G$23:$G$42)&lt;20,"",STDEV($G$23:$G$42)*SQRT(12))</f>
        <v>0</v>
      </c>
      <c r="AU42">
        <f>IF(COUNT($E$2:$E42)&lt;9,"",(MAX($C$34:$C$42)+MIN($D$34:$D$42))/2)</f>
        <v>0</v>
      </c>
      <c r="AV42">
        <f>IF(COUNT($E$2:$E42)&lt;26,"",(MAX($C$17:$C$42)+MIN($D$17:$D$42))/2)</f>
        <v>0</v>
      </c>
      <c r="AW42">
        <f>IF(OR(AU42="",AV42=""),"",(AU42+AV42)/2)</f>
        <v>0</v>
      </c>
      <c r="AX42">
        <f>IF(COUNT($E$2:$E42)&lt;52,"",(MAX($C$2:$C$42)+MIN($D$2:$D$42))/2)</f>
        <v>0</v>
      </c>
      <c r="AY42">
        <f>IF(COUNT($E$2:$E42)&lt;20,"",MAX($C$2:$C$42))</f>
        <v>0</v>
      </c>
      <c r="AZ42">
        <f>IF(COUNT($E$2:$E42)&lt;20,"",MIN($D$2:$D$42))</f>
        <v>0</v>
      </c>
      <c r="BA42">
        <f>IF(COUNT($E$2:$E42)&lt;20,"",SLOPE($E$2:$E$42,$F$2:$F$42))</f>
        <v>0</v>
      </c>
      <c r="BB42">
        <f>IF(COUNT($E$2:$E42)&lt;20,"",INTERCEPT($E$2:$E$42,$F$2:$F$42))</f>
        <v>0</v>
      </c>
      <c r="BC42">
        <f>IF(OR(BA42="",BB42=""),"",BB42+BA42*F42)</f>
        <v>0</v>
      </c>
      <c r="BD42">
        <f>IF(COUNT($E$2:$E42)&lt;20,"",STEYX($E$2:$E$42,$F$2:$F$42))</f>
        <v>0</v>
      </c>
      <c r="BE42">
        <f>IF($E42="","",IF(AND(COUNT($E$43:$E$46)&gt;=4,$C42=MAX($C$38:$C$46)),$C42,""))</f>
        <v>0</v>
      </c>
      <c r="BF42">
        <f>IF($E42="","",IF(AND(COUNT($E$43:$E$46)&gt;=4,$D42=MIN($D$38:$D$46)),$D42,""))</f>
        <v>0</v>
      </c>
      <c r="BG42">
        <f>IFERROR(SMALL(Calc_Daily!$BT$2:$BT$2001,41),"")</f>
        <v>0</v>
      </c>
    </row>
    <row r="43" spans="1:59">
      <c r="A43" s="27">
        <f>IF($BG43="","",INDEX(Calc_Daily!$A$2:$A$2001,$BG43))</f>
        <v>0</v>
      </c>
      <c r="B43">
        <f>IF($BG43="","",INDEX(Calc_Daily!$BQ$2:$BQ$2001,$BG43))</f>
        <v>0</v>
      </c>
      <c r="C43">
        <f>IF($BG43="","",INDEX(Calc_Daily!$BR$2:$BR$2001,$BG43))</f>
        <v>0</v>
      </c>
      <c r="D43">
        <f>IF($BG43="","",INDEX(Calc_Daily!$BS$2:$BS$2001,$BG43))</f>
        <v>0</v>
      </c>
      <c r="E43">
        <f>IF($BG43="","",INDEX(Calc_Daily!$E$2:$E$2001,$BG43))</f>
        <v>0</v>
      </c>
      <c r="F43">
        <f>IF($E43="","",N(F42)+1)</f>
        <v>0</v>
      </c>
      <c r="G43">
        <f>IF(OR($E43="",$E42=""),"",LN($E43/$E42))</f>
        <v>0</v>
      </c>
      <c r="H43">
        <f>IF($E43="","",IF($E42="",$E43,$E43*0.0952380952+H42*0.9047619048))</f>
        <v>0</v>
      </c>
      <c r="I43">
        <f>IF($E43="","",IF($E42="",$E43,$E43*0.0392156863+I42*0.9607843137))</f>
        <v>0</v>
      </c>
      <c r="J43">
        <f>IF($E43="","",IF($E42="",$E43,$E43*0.0198019802+J42*0.9801980198))</f>
        <v>0</v>
      </c>
      <c r="K43">
        <f>IF($E43="","",IF($E42="",$E43,$E43*0.0099502488+K42*0.9900497512))</f>
        <v>0</v>
      </c>
      <c r="L43">
        <f>IF(OR($E43="",$E42=""),"",MAX($E43-$E42,0))</f>
        <v>0</v>
      </c>
      <c r="M43">
        <f>IF(OR($E43="",$E42=""),"",MAX($E42-$E43,0))</f>
        <v>0</v>
      </c>
      <c r="N43">
        <f>IF(COUNT($E$2:$E43)&lt;15,"",IF(AVERAGE($M$30:$M$43)=0,100,100-100/(1+AVERAGE($L$30:$L$43)/AVERAGE($M$30:$M$43))))</f>
        <v>0</v>
      </c>
      <c r="O43">
        <f>IF($E43="","",IF($E42="",$E43,$E43*0.1538461538+O42*0.8461538462))</f>
        <v>0</v>
      </c>
      <c r="P43">
        <f>IF($E43="","",IF($E42="",$E43,$E43*0.0740740741+P42*0.9259259259))</f>
        <v>0</v>
      </c>
      <c r="Q43">
        <f>IF(OR(O43="",P43=""),"",O43-P43)</f>
        <v>0</v>
      </c>
      <c r="R43">
        <f>IF(Q43="","",IF(R42="",Q43,Q43*0.2000000000+R42*0.8000000000))</f>
        <v>0</v>
      </c>
      <c r="S43">
        <f>IF(OR(Q43="",R43=""),"",Q43-R43)</f>
        <v>0</v>
      </c>
      <c r="T43">
        <f>IF(COUNT($E$2:$E43)&lt;14,"",MAX($C$30:$C$43))</f>
        <v>0</v>
      </c>
      <c r="U43">
        <f>IF(COUNT($E$2:$E43)&lt;14,"",MIN($D$30:$D$43))</f>
        <v>0</v>
      </c>
      <c r="V43">
        <f>IF(OR(T43="",U43="",T43=U43),"",100*($E43-U43)/(T43-U43))</f>
        <v>0</v>
      </c>
      <c r="W43">
        <f>IF(COUNT($V$41:$V$43)&lt;3,"",AVERAGE($V$41:$V$43))</f>
        <v>0</v>
      </c>
      <c r="X43">
        <f>IF(COUNT($N$30:$N$43)&lt;14,"",MIN($N$30:$N$43))</f>
        <v>0</v>
      </c>
      <c r="Y43">
        <f>IF(COUNT($N$30:$N$43)&lt;14,"",MAX($N$30:$N$43))</f>
        <v>0</v>
      </c>
      <c r="Z43">
        <f>IF(OR(N43="",X43="",Y43="",Y43=X43),"",100*(N43-X43)/(Y43-X43))</f>
        <v>0</v>
      </c>
      <c r="AA43">
        <f>IF(COUNT($Z$41:$Z$43)&lt;3,"",AVERAGE($Z$41:$Z$43))</f>
        <v>0</v>
      </c>
      <c r="AB43">
        <f>IF(COUNT($AA$41:$AA$43)&lt;3,"",AVERAGE($AA$41:$AA$43))</f>
        <v>0</v>
      </c>
      <c r="AC43">
        <f>IF($E43="","",MAX($C43-$D43,ABS($C43-$E42),ABS($D43-$E42)))</f>
        <v>0</v>
      </c>
      <c r="AD43">
        <f>IF(COUNT($E$2:$E43)&lt;15,"",AVERAGE($AC$30:$AC$43))</f>
        <v>0</v>
      </c>
      <c r="AE43">
        <f>IF(OR($E43="",$E42=""),"",IF(AND(($C43-$C42)&gt;($D42-$D43),($C43-$C42)&gt;0),$C43-$C42,0))</f>
        <v>0</v>
      </c>
      <c r="AF43">
        <f>IF(OR($E43="",$E42=""),"",IF(AND(($D42-$D43)&gt;($C43-$C42),($D42-$D43)&gt;0),$D42-$D43,0))</f>
        <v>0</v>
      </c>
      <c r="AG43">
        <f>IF(COUNT($E$2:$E43)&lt;15,"",IF(SUM($AC$30:$AC$43)=0,0,100*SUM($AE$30:$AE$43)/SUM($AC$30:$AC$43)))</f>
        <v>0</v>
      </c>
      <c r="AH43">
        <f>IF(COUNT($E$2:$E43)&lt;15,"",IF(SUM($AC$30:$AC$43)=0,0,100*SUM($AF$30:$AF$43)/SUM($AC$30:$AC$43)))</f>
        <v>0</v>
      </c>
      <c r="AI43">
        <f>IF(OR(AG43="",AH43=""),"",IF((AG43+AH43)=0,0,100*ABS(AG43-AH43)/(AG43+AH43)))</f>
        <v>0</v>
      </c>
      <c r="AJ43">
        <f>IF(COUNT($AI$30:$AI$43)&lt;14,"",AVERAGE($AI$30:$AI$43))</f>
        <v>0</v>
      </c>
      <c r="AK43">
        <f>IF(COUNT($E$2:$E43)&lt;20,"",AVERAGE($E$24:$E$43))</f>
        <v>0</v>
      </c>
      <c r="AL43">
        <f>IF(COUNT($E$2:$E43)&lt;20,"",STDEVP($E$24:$E$43))</f>
        <v>0</v>
      </c>
      <c r="AM43">
        <f>IF(AK43="","",AK43+2*AL43)</f>
        <v>0</v>
      </c>
      <c r="AN43">
        <f>IF(AK43="","",AK43-2*AL43)</f>
        <v>0</v>
      </c>
      <c r="AO43">
        <f>IF(OR(AM43="",AN43="",AM43=AN43),"",($E43-AN43)/(AM43-AN43))</f>
        <v>0</v>
      </c>
      <c r="AP43">
        <f>IF(OR(AM43="",AK43="",AK43=0),"",(AM43-AN43)/AK43)</f>
        <v>0</v>
      </c>
      <c r="AQ43">
        <f>IF(COUNT($E$2:$E43)&lt;20,"",MAX($C$24:$C$43))</f>
        <v>0</v>
      </c>
      <c r="AR43">
        <f>IF(COUNT($E$2:$E43)&lt;20,"",MIN($D$24:$D$43))</f>
        <v>0</v>
      </c>
      <c r="AS43">
        <f>IF(OR(AQ43="",AR43=""),"",(AQ43+AR43)/2)</f>
        <v>0</v>
      </c>
      <c r="AT43">
        <f>IF(COUNT($G$24:$G$43)&lt;20,"",STDEV($G$24:$G$43)*SQRT(12))</f>
        <v>0</v>
      </c>
      <c r="AU43">
        <f>IF(COUNT($E$2:$E43)&lt;9,"",(MAX($C$35:$C$43)+MIN($D$35:$D$43))/2)</f>
        <v>0</v>
      </c>
      <c r="AV43">
        <f>IF(COUNT($E$2:$E43)&lt;26,"",(MAX($C$18:$C$43)+MIN($D$18:$D$43))/2)</f>
        <v>0</v>
      </c>
      <c r="AW43">
        <f>IF(OR(AU43="",AV43=""),"",(AU43+AV43)/2)</f>
        <v>0</v>
      </c>
      <c r="AX43">
        <f>IF(COUNT($E$2:$E43)&lt;52,"",(MAX($C$2:$C$43)+MIN($D$2:$D$43))/2)</f>
        <v>0</v>
      </c>
      <c r="AY43">
        <f>IF(COUNT($E$2:$E43)&lt;20,"",MAX($C$2:$C$43))</f>
        <v>0</v>
      </c>
      <c r="AZ43">
        <f>IF(COUNT($E$2:$E43)&lt;20,"",MIN($D$2:$D$43))</f>
        <v>0</v>
      </c>
      <c r="BA43">
        <f>IF(COUNT($E$2:$E43)&lt;20,"",SLOPE($E$2:$E$43,$F$2:$F$43))</f>
        <v>0</v>
      </c>
      <c r="BB43">
        <f>IF(COUNT($E$2:$E43)&lt;20,"",INTERCEPT($E$2:$E$43,$F$2:$F$43))</f>
        <v>0</v>
      </c>
      <c r="BC43">
        <f>IF(OR(BA43="",BB43=""),"",BB43+BA43*F43)</f>
        <v>0</v>
      </c>
      <c r="BD43">
        <f>IF(COUNT($E$2:$E43)&lt;20,"",STEYX($E$2:$E$43,$F$2:$F$43))</f>
        <v>0</v>
      </c>
      <c r="BE43">
        <f>IF($E43="","",IF(AND(COUNT($E$44:$E$47)&gt;=4,$C43=MAX($C$39:$C$47)),$C43,""))</f>
        <v>0</v>
      </c>
      <c r="BF43">
        <f>IF($E43="","",IF(AND(COUNT($E$44:$E$47)&gt;=4,$D43=MIN($D$39:$D$47)),$D43,""))</f>
        <v>0</v>
      </c>
      <c r="BG43">
        <f>IFERROR(SMALL(Calc_Daily!$BT$2:$BT$2001,42),"")</f>
        <v>0</v>
      </c>
    </row>
    <row r="44" spans="1:59">
      <c r="A44" s="27">
        <f>IF($BG44="","",INDEX(Calc_Daily!$A$2:$A$2001,$BG44))</f>
        <v>0</v>
      </c>
      <c r="B44">
        <f>IF($BG44="","",INDEX(Calc_Daily!$BQ$2:$BQ$2001,$BG44))</f>
        <v>0</v>
      </c>
      <c r="C44">
        <f>IF($BG44="","",INDEX(Calc_Daily!$BR$2:$BR$2001,$BG44))</f>
        <v>0</v>
      </c>
      <c r="D44">
        <f>IF($BG44="","",INDEX(Calc_Daily!$BS$2:$BS$2001,$BG44))</f>
        <v>0</v>
      </c>
      <c r="E44">
        <f>IF($BG44="","",INDEX(Calc_Daily!$E$2:$E$2001,$BG44))</f>
        <v>0</v>
      </c>
      <c r="F44">
        <f>IF($E44="","",N(F43)+1)</f>
        <v>0</v>
      </c>
      <c r="G44">
        <f>IF(OR($E44="",$E43=""),"",LN($E44/$E43))</f>
        <v>0</v>
      </c>
      <c r="H44">
        <f>IF($E44="","",IF($E43="",$E44,$E44*0.0952380952+H43*0.9047619048))</f>
        <v>0</v>
      </c>
      <c r="I44">
        <f>IF($E44="","",IF($E43="",$E44,$E44*0.0392156863+I43*0.9607843137))</f>
        <v>0</v>
      </c>
      <c r="J44">
        <f>IF($E44="","",IF($E43="",$E44,$E44*0.0198019802+J43*0.9801980198))</f>
        <v>0</v>
      </c>
      <c r="K44">
        <f>IF($E44="","",IF($E43="",$E44,$E44*0.0099502488+K43*0.9900497512))</f>
        <v>0</v>
      </c>
      <c r="L44">
        <f>IF(OR($E44="",$E43=""),"",MAX($E44-$E43,0))</f>
        <v>0</v>
      </c>
      <c r="M44">
        <f>IF(OR($E44="",$E43=""),"",MAX($E43-$E44,0))</f>
        <v>0</v>
      </c>
      <c r="N44">
        <f>IF(COUNT($E$2:$E44)&lt;15,"",IF(AVERAGE($M$31:$M$44)=0,100,100-100/(1+AVERAGE($L$31:$L$44)/AVERAGE($M$31:$M$44))))</f>
        <v>0</v>
      </c>
      <c r="O44">
        <f>IF($E44="","",IF($E43="",$E44,$E44*0.1538461538+O43*0.8461538462))</f>
        <v>0</v>
      </c>
      <c r="P44">
        <f>IF($E44="","",IF($E43="",$E44,$E44*0.0740740741+P43*0.9259259259))</f>
        <v>0</v>
      </c>
      <c r="Q44">
        <f>IF(OR(O44="",P44=""),"",O44-P44)</f>
        <v>0</v>
      </c>
      <c r="R44">
        <f>IF(Q44="","",IF(R43="",Q44,Q44*0.2000000000+R43*0.8000000000))</f>
        <v>0</v>
      </c>
      <c r="S44">
        <f>IF(OR(Q44="",R44=""),"",Q44-R44)</f>
        <v>0</v>
      </c>
      <c r="T44">
        <f>IF(COUNT($E$2:$E44)&lt;14,"",MAX($C$31:$C$44))</f>
        <v>0</v>
      </c>
      <c r="U44">
        <f>IF(COUNT($E$2:$E44)&lt;14,"",MIN($D$31:$D$44))</f>
        <v>0</v>
      </c>
      <c r="V44">
        <f>IF(OR(T44="",U44="",T44=U44),"",100*($E44-U44)/(T44-U44))</f>
        <v>0</v>
      </c>
      <c r="W44">
        <f>IF(COUNT($V$42:$V$44)&lt;3,"",AVERAGE($V$42:$V$44))</f>
        <v>0</v>
      </c>
      <c r="X44">
        <f>IF(COUNT($N$31:$N$44)&lt;14,"",MIN($N$31:$N$44))</f>
        <v>0</v>
      </c>
      <c r="Y44">
        <f>IF(COUNT($N$31:$N$44)&lt;14,"",MAX($N$31:$N$44))</f>
        <v>0</v>
      </c>
      <c r="Z44">
        <f>IF(OR(N44="",X44="",Y44="",Y44=X44),"",100*(N44-X44)/(Y44-X44))</f>
        <v>0</v>
      </c>
      <c r="AA44">
        <f>IF(COUNT($Z$42:$Z$44)&lt;3,"",AVERAGE($Z$42:$Z$44))</f>
        <v>0</v>
      </c>
      <c r="AB44">
        <f>IF(COUNT($AA$42:$AA$44)&lt;3,"",AVERAGE($AA$42:$AA$44))</f>
        <v>0</v>
      </c>
      <c r="AC44">
        <f>IF($E44="","",MAX($C44-$D44,ABS($C44-$E43),ABS($D44-$E43)))</f>
        <v>0</v>
      </c>
      <c r="AD44">
        <f>IF(COUNT($E$2:$E44)&lt;15,"",AVERAGE($AC$31:$AC$44))</f>
        <v>0</v>
      </c>
      <c r="AE44">
        <f>IF(OR($E44="",$E43=""),"",IF(AND(($C44-$C43)&gt;($D43-$D44),($C44-$C43)&gt;0),$C44-$C43,0))</f>
        <v>0</v>
      </c>
      <c r="AF44">
        <f>IF(OR($E44="",$E43=""),"",IF(AND(($D43-$D44)&gt;($C44-$C43),($D43-$D44)&gt;0),$D43-$D44,0))</f>
        <v>0</v>
      </c>
      <c r="AG44">
        <f>IF(COUNT($E$2:$E44)&lt;15,"",IF(SUM($AC$31:$AC$44)=0,0,100*SUM($AE$31:$AE$44)/SUM($AC$31:$AC$44)))</f>
        <v>0</v>
      </c>
      <c r="AH44">
        <f>IF(COUNT($E$2:$E44)&lt;15,"",IF(SUM($AC$31:$AC$44)=0,0,100*SUM($AF$31:$AF$44)/SUM($AC$31:$AC$44)))</f>
        <v>0</v>
      </c>
      <c r="AI44">
        <f>IF(OR(AG44="",AH44=""),"",IF((AG44+AH44)=0,0,100*ABS(AG44-AH44)/(AG44+AH44)))</f>
        <v>0</v>
      </c>
      <c r="AJ44">
        <f>IF(COUNT($AI$31:$AI$44)&lt;14,"",AVERAGE($AI$31:$AI$44))</f>
        <v>0</v>
      </c>
      <c r="AK44">
        <f>IF(COUNT($E$2:$E44)&lt;20,"",AVERAGE($E$25:$E$44))</f>
        <v>0</v>
      </c>
      <c r="AL44">
        <f>IF(COUNT($E$2:$E44)&lt;20,"",STDEVP($E$25:$E$44))</f>
        <v>0</v>
      </c>
      <c r="AM44">
        <f>IF(AK44="","",AK44+2*AL44)</f>
        <v>0</v>
      </c>
      <c r="AN44">
        <f>IF(AK44="","",AK44-2*AL44)</f>
        <v>0</v>
      </c>
      <c r="AO44">
        <f>IF(OR(AM44="",AN44="",AM44=AN44),"",($E44-AN44)/(AM44-AN44))</f>
        <v>0</v>
      </c>
      <c r="AP44">
        <f>IF(OR(AM44="",AK44="",AK44=0),"",(AM44-AN44)/AK44)</f>
        <v>0</v>
      </c>
      <c r="AQ44">
        <f>IF(COUNT($E$2:$E44)&lt;20,"",MAX($C$25:$C$44))</f>
        <v>0</v>
      </c>
      <c r="AR44">
        <f>IF(COUNT($E$2:$E44)&lt;20,"",MIN($D$25:$D$44))</f>
        <v>0</v>
      </c>
      <c r="AS44">
        <f>IF(OR(AQ44="",AR44=""),"",(AQ44+AR44)/2)</f>
        <v>0</v>
      </c>
      <c r="AT44">
        <f>IF(COUNT($G$25:$G$44)&lt;20,"",STDEV($G$25:$G$44)*SQRT(12))</f>
        <v>0</v>
      </c>
      <c r="AU44">
        <f>IF(COUNT($E$2:$E44)&lt;9,"",(MAX($C$36:$C$44)+MIN($D$36:$D$44))/2)</f>
        <v>0</v>
      </c>
      <c r="AV44">
        <f>IF(COUNT($E$2:$E44)&lt;26,"",(MAX($C$19:$C$44)+MIN($D$19:$D$44))/2)</f>
        <v>0</v>
      </c>
      <c r="AW44">
        <f>IF(OR(AU44="",AV44=""),"",(AU44+AV44)/2)</f>
        <v>0</v>
      </c>
      <c r="AX44">
        <f>IF(COUNT($E$2:$E44)&lt;52,"",(MAX($C$2:$C$44)+MIN($D$2:$D$44))/2)</f>
        <v>0</v>
      </c>
      <c r="AY44">
        <f>IF(COUNT($E$2:$E44)&lt;20,"",MAX($C$2:$C$44))</f>
        <v>0</v>
      </c>
      <c r="AZ44">
        <f>IF(COUNT($E$2:$E44)&lt;20,"",MIN($D$2:$D$44))</f>
        <v>0</v>
      </c>
      <c r="BA44">
        <f>IF(COUNT($E$2:$E44)&lt;20,"",SLOPE($E$2:$E$44,$F$2:$F$44))</f>
        <v>0</v>
      </c>
      <c r="BB44">
        <f>IF(COUNT($E$2:$E44)&lt;20,"",INTERCEPT($E$2:$E$44,$F$2:$F$44))</f>
        <v>0</v>
      </c>
      <c r="BC44">
        <f>IF(OR(BA44="",BB44=""),"",BB44+BA44*F44)</f>
        <v>0</v>
      </c>
      <c r="BD44">
        <f>IF(COUNT($E$2:$E44)&lt;20,"",STEYX($E$2:$E$44,$F$2:$F$44))</f>
        <v>0</v>
      </c>
      <c r="BE44">
        <f>IF($E44="","",IF(AND(COUNT($E$45:$E$48)&gt;=4,$C44=MAX($C$40:$C$48)),$C44,""))</f>
        <v>0</v>
      </c>
      <c r="BF44">
        <f>IF($E44="","",IF(AND(COUNT($E$45:$E$48)&gt;=4,$D44=MIN($D$40:$D$48)),$D44,""))</f>
        <v>0</v>
      </c>
      <c r="BG44">
        <f>IFERROR(SMALL(Calc_Daily!$BT$2:$BT$2001,43),"")</f>
        <v>0</v>
      </c>
    </row>
    <row r="45" spans="1:59">
      <c r="A45" s="27">
        <f>IF($BG45="","",INDEX(Calc_Daily!$A$2:$A$2001,$BG45))</f>
        <v>0</v>
      </c>
      <c r="B45">
        <f>IF($BG45="","",INDEX(Calc_Daily!$BQ$2:$BQ$2001,$BG45))</f>
        <v>0</v>
      </c>
      <c r="C45">
        <f>IF($BG45="","",INDEX(Calc_Daily!$BR$2:$BR$2001,$BG45))</f>
        <v>0</v>
      </c>
      <c r="D45">
        <f>IF($BG45="","",INDEX(Calc_Daily!$BS$2:$BS$2001,$BG45))</f>
        <v>0</v>
      </c>
      <c r="E45">
        <f>IF($BG45="","",INDEX(Calc_Daily!$E$2:$E$2001,$BG45))</f>
        <v>0</v>
      </c>
      <c r="F45">
        <f>IF($E45="","",N(F44)+1)</f>
        <v>0</v>
      </c>
      <c r="G45">
        <f>IF(OR($E45="",$E44=""),"",LN($E45/$E44))</f>
        <v>0</v>
      </c>
      <c r="H45">
        <f>IF($E45="","",IF($E44="",$E45,$E45*0.0952380952+H44*0.9047619048))</f>
        <v>0</v>
      </c>
      <c r="I45">
        <f>IF($E45="","",IF($E44="",$E45,$E45*0.0392156863+I44*0.9607843137))</f>
        <v>0</v>
      </c>
      <c r="J45">
        <f>IF($E45="","",IF($E44="",$E45,$E45*0.0198019802+J44*0.9801980198))</f>
        <v>0</v>
      </c>
      <c r="K45">
        <f>IF($E45="","",IF($E44="",$E45,$E45*0.0099502488+K44*0.9900497512))</f>
        <v>0</v>
      </c>
      <c r="L45">
        <f>IF(OR($E45="",$E44=""),"",MAX($E45-$E44,0))</f>
        <v>0</v>
      </c>
      <c r="M45">
        <f>IF(OR($E45="",$E44=""),"",MAX($E44-$E45,0))</f>
        <v>0</v>
      </c>
      <c r="N45">
        <f>IF(COUNT($E$2:$E45)&lt;15,"",IF(AVERAGE($M$32:$M$45)=0,100,100-100/(1+AVERAGE($L$32:$L$45)/AVERAGE($M$32:$M$45))))</f>
        <v>0</v>
      </c>
      <c r="O45">
        <f>IF($E45="","",IF($E44="",$E45,$E45*0.1538461538+O44*0.8461538462))</f>
        <v>0</v>
      </c>
      <c r="P45">
        <f>IF($E45="","",IF($E44="",$E45,$E45*0.0740740741+P44*0.9259259259))</f>
        <v>0</v>
      </c>
      <c r="Q45">
        <f>IF(OR(O45="",P45=""),"",O45-P45)</f>
        <v>0</v>
      </c>
      <c r="R45">
        <f>IF(Q45="","",IF(R44="",Q45,Q45*0.2000000000+R44*0.8000000000))</f>
        <v>0</v>
      </c>
      <c r="S45">
        <f>IF(OR(Q45="",R45=""),"",Q45-R45)</f>
        <v>0</v>
      </c>
      <c r="T45">
        <f>IF(COUNT($E$2:$E45)&lt;14,"",MAX($C$32:$C$45))</f>
        <v>0</v>
      </c>
      <c r="U45">
        <f>IF(COUNT($E$2:$E45)&lt;14,"",MIN($D$32:$D$45))</f>
        <v>0</v>
      </c>
      <c r="V45">
        <f>IF(OR(T45="",U45="",T45=U45),"",100*($E45-U45)/(T45-U45))</f>
        <v>0</v>
      </c>
      <c r="W45">
        <f>IF(COUNT($V$43:$V$45)&lt;3,"",AVERAGE($V$43:$V$45))</f>
        <v>0</v>
      </c>
      <c r="X45">
        <f>IF(COUNT($N$32:$N$45)&lt;14,"",MIN($N$32:$N$45))</f>
        <v>0</v>
      </c>
      <c r="Y45">
        <f>IF(COUNT($N$32:$N$45)&lt;14,"",MAX($N$32:$N$45))</f>
        <v>0</v>
      </c>
      <c r="Z45">
        <f>IF(OR(N45="",X45="",Y45="",Y45=X45),"",100*(N45-X45)/(Y45-X45))</f>
        <v>0</v>
      </c>
      <c r="AA45">
        <f>IF(COUNT($Z$43:$Z$45)&lt;3,"",AVERAGE($Z$43:$Z$45))</f>
        <v>0</v>
      </c>
      <c r="AB45">
        <f>IF(COUNT($AA$43:$AA$45)&lt;3,"",AVERAGE($AA$43:$AA$45))</f>
        <v>0</v>
      </c>
      <c r="AC45">
        <f>IF($E45="","",MAX($C45-$D45,ABS($C45-$E44),ABS($D45-$E44)))</f>
        <v>0</v>
      </c>
      <c r="AD45">
        <f>IF(COUNT($E$2:$E45)&lt;15,"",AVERAGE($AC$32:$AC$45))</f>
        <v>0</v>
      </c>
      <c r="AE45">
        <f>IF(OR($E45="",$E44=""),"",IF(AND(($C45-$C44)&gt;($D44-$D45),($C45-$C44)&gt;0),$C45-$C44,0))</f>
        <v>0</v>
      </c>
      <c r="AF45">
        <f>IF(OR($E45="",$E44=""),"",IF(AND(($D44-$D45)&gt;($C45-$C44),($D44-$D45)&gt;0),$D44-$D45,0))</f>
        <v>0</v>
      </c>
      <c r="AG45">
        <f>IF(COUNT($E$2:$E45)&lt;15,"",IF(SUM($AC$32:$AC$45)=0,0,100*SUM($AE$32:$AE$45)/SUM($AC$32:$AC$45)))</f>
        <v>0</v>
      </c>
      <c r="AH45">
        <f>IF(COUNT($E$2:$E45)&lt;15,"",IF(SUM($AC$32:$AC$45)=0,0,100*SUM($AF$32:$AF$45)/SUM($AC$32:$AC$45)))</f>
        <v>0</v>
      </c>
      <c r="AI45">
        <f>IF(OR(AG45="",AH45=""),"",IF((AG45+AH45)=0,0,100*ABS(AG45-AH45)/(AG45+AH45)))</f>
        <v>0</v>
      </c>
      <c r="AJ45">
        <f>IF(COUNT($AI$32:$AI$45)&lt;14,"",AVERAGE($AI$32:$AI$45))</f>
        <v>0</v>
      </c>
      <c r="AK45">
        <f>IF(COUNT($E$2:$E45)&lt;20,"",AVERAGE($E$26:$E$45))</f>
        <v>0</v>
      </c>
      <c r="AL45">
        <f>IF(COUNT($E$2:$E45)&lt;20,"",STDEVP($E$26:$E$45))</f>
        <v>0</v>
      </c>
      <c r="AM45">
        <f>IF(AK45="","",AK45+2*AL45)</f>
        <v>0</v>
      </c>
      <c r="AN45">
        <f>IF(AK45="","",AK45-2*AL45)</f>
        <v>0</v>
      </c>
      <c r="AO45">
        <f>IF(OR(AM45="",AN45="",AM45=AN45),"",($E45-AN45)/(AM45-AN45))</f>
        <v>0</v>
      </c>
      <c r="AP45">
        <f>IF(OR(AM45="",AK45="",AK45=0),"",(AM45-AN45)/AK45)</f>
        <v>0</v>
      </c>
      <c r="AQ45">
        <f>IF(COUNT($E$2:$E45)&lt;20,"",MAX($C$26:$C$45))</f>
        <v>0</v>
      </c>
      <c r="AR45">
        <f>IF(COUNT($E$2:$E45)&lt;20,"",MIN($D$26:$D$45))</f>
        <v>0</v>
      </c>
      <c r="AS45">
        <f>IF(OR(AQ45="",AR45=""),"",(AQ45+AR45)/2)</f>
        <v>0</v>
      </c>
      <c r="AT45">
        <f>IF(COUNT($G$26:$G$45)&lt;20,"",STDEV($G$26:$G$45)*SQRT(12))</f>
        <v>0</v>
      </c>
      <c r="AU45">
        <f>IF(COUNT($E$2:$E45)&lt;9,"",(MAX($C$37:$C$45)+MIN($D$37:$D$45))/2)</f>
        <v>0</v>
      </c>
      <c r="AV45">
        <f>IF(COUNT($E$2:$E45)&lt;26,"",(MAX($C$20:$C$45)+MIN($D$20:$D$45))/2)</f>
        <v>0</v>
      </c>
      <c r="AW45">
        <f>IF(OR(AU45="",AV45=""),"",(AU45+AV45)/2)</f>
        <v>0</v>
      </c>
      <c r="AX45">
        <f>IF(COUNT($E$2:$E45)&lt;52,"",(MAX($C$2:$C$45)+MIN($D$2:$D$45))/2)</f>
        <v>0</v>
      </c>
      <c r="AY45">
        <f>IF(COUNT($E$2:$E45)&lt;20,"",MAX($C$2:$C$45))</f>
        <v>0</v>
      </c>
      <c r="AZ45">
        <f>IF(COUNT($E$2:$E45)&lt;20,"",MIN($D$2:$D$45))</f>
        <v>0</v>
      </c>
      <c r="BA45">
        <f>IF(COUNT($E$2:$E45)&lt;20,"",SLOPE($E$2:$E$45,$F$2:$F$45))</f>
        <v>0</v>
      </c>
      <c r="BB45">
        <f>IF(COUNT($E$2:$E45)&lt;20,"",INTERCEPT($E$2:$E$45,$F$2:$F$45))</f>
        <v>0</v>
      </c>
      <c r="BC45">
        <f>IF(OR(BA45="",BB45=""),"",BB45+BA45*F45)</f>
        <v>0</v>
      </c>
      <c r="BD45">
        <f>IF(COUNT($E$2:$E45)&lt;20,"",STEYX($E$2:$E$45,$F$2:$F$45))</f>
        <v>0</v>
      </c>
      <c r="BE45">
        <f>IF($E45="","",IF(AND(COUNT($E$46:$E$49)&gt;=4,$C45=MAX($C$41:$C$49)),$C45,""))</f>
        <v>0</v>
      </c>
      <c r="BF45">
        <f>IF($E45="","",IF(AND(COUNT($E$46:$E$49)&gt;=4,$D45=MIN($D$41:$D$49)),$D45,""))</f>
        <v>0</v>
      </c>
      <c r="BG45">
        <f>IFERROR(SMALL(Calc_Daily!$BT$2:$BT$2001,44),"")</f>
        <v>0</v>
      </c>
    </row>
    <row r="46" spans="1:59">
      <c r="A46" s="27">
        <f>IF($BG46="","",INDEX(Calc_Daily!$A$2:$A$2001,$BG46))</f>
        <v>0</v>
      </c>
      <c r="B46">
        <f>IF($BG46="","",INDEX(Calc_Daily!$BQ$2:$BQ$2001,$BG46))</f>
        <v>0</v>
      </c>
      <c r="C46">
        <f>IF($BG46="","",INDEX(Calc_Daily!$BR$2:$BR$2001,$BG46))</f>
        <v>0</v>
      </c>
      <c r="D46">
        <f>IF($BG46="","",INDEX(Calc_Daily!$BS$2:$BS$2001,$BG46))</f>
        <v>0</v>
      </c>
      <c r="E46">
        <f>IF($BG46="","",INDEX(Calc_Daily!$E$2:$E$2001,$BG46))</f>
        <v>0</v>
      </c>
      <c r="F46">
        <f>IF($E46="","",N(F45)+1)</f>
        <v>0</v>
      </c>
      <c r="G46">
        <f>IF(OR($E46="",$E45=""),"",LN($E46/$E45))</f>
        <v>0</v>
      </c>
      <c r="H46">
        <f>IF($E46="","",IF($E45="",$E46,$E46*0.0952380952+H45*0.9047619048))</f>
        <v>0</v>
      </c>
      <c r="I46">
        <f>IF($E46="","",IF($E45="",$E46,$E46*0.0392156863+I45*0.9607843137))</f>
        <v>0</v>
      </c>
      <c r="J46">
        <f>IF($E46="","",IF($E45="",$E46,$E46*0.0198019802+J45*0.9801980198))</f>
        <v>0</v>
      </c>
      <c r="K46">
        <f>IF($E46="","",IF($E45="",$E46,$E46*0.0099502488+K45*0.9900497512))</f>
        <v>0</v>
      </c>
      <c r="L46">
        <f>IF(OR($E46="",$E45=""),"",MAX($E46-$E45,0))</f>
        <v>0</v>
      </c>
      <c r="M46">
        <f>IF(OR($E46="",$E45=""),"",MAX($E45-$E46,0))</f>
        <v>0</v>
      </c>
      <c r="N46">
        <f>IF(COUNT($E$2:$E46)&lt;15,"",IF(AVERAGE($M$33:$M$46)=0,100,100-100/(1+AVERAGE($L$33:$L$46)/AVERAGE($M$33:$M$46))))</f>
        <v>0</v>
      </c>
      <c r="O46">
        <f>IF($E46="","",IF($E45="",$E46,$E46*0.1538461538+O45*0.8461538462))</f>
        <v>0</v>
      </c>
      <c r="P46">
        <f>IF($E46="","",IF($E45="",$E46,$E46*0.0740740741+P45*0.9259259259))</f>
        <v>0</v>
      </c>
      <c r="Q46">
        <f>IF(OR(O46="",P46=""),"",O46-P46)</f>
        <v>0</v>
      </c>
      <c r="R46">
        <f>IF(Q46="","",IF(R45="",Q46,Q46*0.2000000000+R45*0.8000000000))</f>
        <v>0</v>
      </c>
      <c r="S46">
        <f>IF(OR(Q46="",R46=""),"",Q46-R46)</f>
        <v>0</v>
      </c>
      <c r="T46">
        <f>IF(COUNT($E$2:$E46)&lt;14,"",MAX($C$33:$C$46))</f>
        <v>0</v>
      </c>
      <c r="U46">
        <f>IF(COUNT($E$2:$E46)&lt;14,"",MIN($D$33:$D$46))</f>
        <v>0</v>
      </c>
      <c r="V46">
        <f>IF(OR(T46="",U46="",T46=U46),"",100*($E46-U46)/(T46-U46))</f>
        <v>0</v>
      </c>
      <c r="W46">
        <f>IF(COUNT($V$44:$V$46)&lt;3,"",AVERAGE($V$44:$V$46))</f>
        <v>0</v>
      </c>
      <c r="X46">
        <f>IF(COUNT($N$33:$N$46)&lt;14,"",MIN($N$33:$N$46))</f>
        <v>0</v>
      </c>
      <c r="Y46">
        <f>IF(COUNT($N$33:$N$46)&lt;14,"",MAX($N$33:$N$46))</f>
        <v>0</v>
      </c>
      <c r="Z46">
        <f>IF(OR(N46="",X46="",Y46="",Y46=X46),"",100*(N46-X46)/(Y46-X46))</f>
        <v>0</v>
      </c>
      <c r="AA46">
        <f>IF(COUNT($Z$44:$Z$46)&lt;3,"",AVERAGE($Z$44:$Z$46))</f>
        <v>0</v>
      </c>
      <c r="AB46">
        <f>IF(COUNT($AA$44:$AA$46)&lt;3,"",AVERAGE($AA$44:$AA$46))</f>
        <v>0</v>
      </c>
      <c r="AC46">
        <f>IF($E46="","",MAX($C46-$D46,ABS($C46-$E45),ABS($D46-$E45)))</f>
        <v>0</v>
      </c>
      <c r="AD46">
        <f>IF(COUNT($E$2:$E46)&lt;15,"",AVERAGE($AC$33:$AC$46))</f>
        <v>0</v>
      </c>
      <c r="AE46">
        <f>IF(OR($E46="",$E45=""),"",IF(AND(($C46-$C45)&gt;($D45-$D46),($C46-$C45)&gt;0),$C46-$C45,0))</f>
        <v>0</v>
      </c>
      <c r="AF46">
        <f>IF(OR($E46="",$E45=""),"",IF(AND(($D45-$D46)&gt;($C46-$C45),($D45-$D46)&gt;0),$D45-$D46,0))</f>
        <v>0</v>
      </c>
      <c r="AG46">
        <f>IF(COUNT($E$2:$E46)&lt;15,"",IF(SUM($AC$33:$AC$46)=0,0,100*SUM($AE$33:$AE$46)/SUM($AC$33:$AC$46)))</f>
        <v>0</v>
      </c>
      <c r="AH46">
        <f>IF(COUNT($E$2:$E46)&lt;15,"",IF(SUM($AC$33:$AC$46)=0,0,100*SUM($AF$33:$AF$46)/SUM($AC$33:$AC$46)))</f>
        <v>0</v>
      </c>
      <c r="AI46">
        <f>IF(OR(AG46="",AH46=""),"",IF((AG46+AH46)=0,0,100*ABS(AG46-AH46)/(AG46+AH46)))</f>
        <v>0</v>
      </c>
      <c r="AJ46">
        <f>IF(COUNT($AI$33:$AI$46)&lt;14,"",AVERAGE($AI$33:$AI$46))</f>
        <v>0</v>
      </c>
      <c r="AK46">
        <f>IF(COUNT($E$2:$E46)&lt;20,"",AVERAGE($E$27:$E$46))</f>
        <v>0</v>
      </c>
      <c r="AL46">
        <f>IF(COUNT($E$2:$E46)&lt;20,"",STDEVP($E$27:$E$46))</f>
        <v>0</v>
      </c>
      <c r="AM46">
        <f>IF(AK46="","",AK46+2*AL46)</f>
        <v>0</v>
      </c>
      <c r="AN46">
        <f>IF(AK46="","",AK46-2*AL46)</f>
        <v>0</v>
      </c>
      <c r="AO46">
        <f>IF(OR(AM46="",AN46="",AM46=AN46),"",($E46-AN46)/(AM46-AN46))</f>
        <v>0</v>
      </c>
      <c r="AP46">
        <f>IF(OR(AM46="",AK46="",AK46=0),"",(AM46-AN46)/AK46)</f>
        <v>0</v>
      </c>
      <c r="AQ46">
        <f>IF(COUNT($E$2:$E46)&lt;20,"",MAX($C$27:$C$46))</f>
        <v>0</v>
      </c>
      <c r="AR46">
        <f>IF(COUNT($E$2:$E46)&lt;20,"",MIN($D$27:$D$46))</f>
        <v>0</v>
      </c>
      <c r="AS46">
        <f>IF(OR(AQ46="",AR46=""),"",(AQ46+AR46)/2)</f>
        <v>0</v>
      </c>
      <c r="AT46">
        <f>IF(COUNT($G$27:$G$46)&lt;20,"",STDEV($G$27:$G$46)*SQRT(12))</f>
        <v>0</v>
      </c>
      <c r="AU46">
        <f>IF(COUNT($E$2:$E46)&lt;9,"",(MAX($C$38:$C$46)+MIN($D$38:$D$46))/2)</f>
        <v>0</v>
      </c>
      <c r="AV46">
        <f>IF(COUNT($E$2:$E46)&lt;26,"",(MAX($C$21:$C$46)+MIN($D$21:$D$46))/2)</f>
        <v>0</v>
      </c>
      <c r="AW46">
        <f>IF(OR(AU46="",AV46=""),"",(AU46+AV46)/2)</f>
        <v>0</v>
      </c>
      <c r="AX46">
        <f>IF(COUNT($E$2:$E46)&lt;52,"",(MAX($C$2:$C$46)+MIN($D$2:$D$46))/2)</f>
        <v>0</v>
      </c>
      <c r="AY46">
        <f>IF(COUNT($E$2:$E46)&lt;20,"",MAX($C$2:$C$46))</f>
        <v>0</v>
      </c>
      <c r="AZ46">
        <f>IF(COUNT($E$2:$E46)&lt;20,"",MIN($D$2:$D$46))</f>
        <v>0</v>
      </c>
      <c r="BA46">
        <f>IF(COUNT($E$2:$E46)&lt;20,"",SLOPE($E$2:$E$46,$F$2:$F$46))</f>
        <v>0</v>
      </c>
      <c r="BB46">
        <f>IF(COUNT($E$2:$E46)&lt;20,"",INTERCEPT($E$2:$E$46,$F$2:$F$46))</f>
        <v>0</v>
      </c>
      <c r="BC46">
        <f>IF(OR(BA46="",BB46=""),"",BB46+BA46*F46)</f>
        <v>0</v>
      </c>
      <c r="BD46">
        <f>IF(COUNT($E$2:$E46)&lt;20,"",STEYX($E$2:$E$46,$F$2:$F$46))</f>
        <v>0</v>
      </c>
      <c r="BE46">
        <f>IF($E46="","",IF(AND(COUNT($E$47:$E$50)&gt;=4,$C46=MAX($C$42:$C$50)),$C46,""))</f>
        <v>0</v>
      </c>
      <c r="BF46">
        <f>IF($E46="","",IF(AND(COUNT($E$47:$E$50)&gt;=4,$D46=MIN($D$42:$D$50)),$D46,""))</f>
        <v>0</v>
      </c>
      <c r="BG46">
        <f>IFERROR(SMALL(Calc_Daily!$BT$2:$BT$2001,45),"")</f>
        <v>0</v>
      </c>
    </row>
    <row r="47" spans="1:59">
      <c r="A47" s="27">
        <f>IF($BG47="","",INDEX(Calc_Daily!$A$2:$A$2001,$BG47))</f>
        <v>0</v>
      </c>
      <c r="B47">
        <f>IF($BG47="","",INDEX(Calc_Daily!$BQ$2:$BQ$2001,$BG47))</f>
        <v>0</v>
      </c>
      <c r="C47">
        <f>IF($BG47="","",INDEX(Calc_Daily!$BR$2:$BR$2001,$BG47))</f>
        <v>0</v>
      </c>
      <c r="D47">
        <f>IF($BG47="","",INDEX(Calc_Daily!$BS$2:$BS$2001,$BG47))</f>
        <v>0</v>
      </c>
      <c r="E47">
        <f>IF($BG47="","",INDEX(Calc_Daily!$E$2:$E$2001,$BG47))</f>
        <v>0</v>
      </c>
      <c r="F47">
        <f>IF($E47="","",N(F46)+1)</f>
        <v>0</v>
      </c>
      <c r="G47">
        <f>IF(OR($E47="",$E46=""),"",LN($E47/$E46))</f>
        <v>0</v>
      </c>
      <c r="H47">
        <f>IF($E47="","",IF($E46="",$E47,$E47*0.0952380952+H46*0.9047619048))</f>
        <v>0</v>
      </c>
      <c r="I47">
        <f>IF($E47="","",IF($E46="",$E47,$E47*0.0392156863+I46*0.9607843137))</f>
        <v>0</v>
      </c>
      <c r="J47">
        <f>IF($E47="","",IF($E46="",$E47,$E47*0.0198019802+J46*0.9801980198))</f>
        <v>0</v>
      </c>
      <c r="K47">
        <f>IF($E47="","",IF($E46="",$E47,$E47*0.0099502488+K46*0.9900497512))</f>
        <v>0</v>
      </c>
      <c r="L47">
        <f>IF(OR($E47="",$E46=""),"",MAX($E47-$E46,0))</f>
        <v>0</v>
      </c>
      <c r="M47">
        <f>IF(OR($E47="",$E46=""),"",MAX($E46-$E47,0))</f>
        <v>0</v>
      </c>
      <c r="N47">
        <f>IF(COUNT($E$2:$E47)&lt;15,"",IF(AVERAGE($M$34:$M$47)=0,100,100-100/(1+AVERAGE($L$34:$L$47)/AVERAGE($M$34:$M$47))))</f>
        <v>0</v>
      </c>
      <c r="O47">
        <f>IF($E47="","",IF($E46="",$E47,$E47*0.1538461538+O46*0.8461538462))</f>
        <v>0</v>
      </c>
      <c r="P47">
        <f>IF($E47="","",IF($E46="",$E47,$E47*0.0740740741+P46*0.9259259259))</f>
        <v>0</v>
      </c>
      <c r="Q47">
        <f>IF(OR(O47="",P47=""),"",O47-P47)</f>
        <v>0</v>
      </c>
      <c r="R47">
        <f>IF(Q47="","",IF(R46="",Q47,Q47*0.2000000000+R46*0.8000000000))</f>
        <v>0</v>
      </c>
      <c r="S47">
        <f>IF(OR(Q47="",R47=""),"",Q47-R47)</f>
        <v>0</v>
      </c>
      <c r="T47">
        <f>IF(COUNT($E$2:$E47)&lt;14,"",MAX($C$34:$C$47))</f>
        <v>0</v>
      </c>
      <c r="U47">
        <f>IF(COUNT($E$2:$E47)&lt;14,"",MIN($D$34:$D$47))</f>
        <v>0</v>
      </c>
      <c r="V47">
        <f>IF(OR(T47="",U47="",T47=U47),"",100*($E47-U47)/(T47-U47))</f>
        <v>0</v>
      </c>
      <c r="W47">
        <f>IF(COUNT($V$45:$V$47)&lt;3,"",AVERAGE($V$45:$V$47))</f>
        <v>0</v>
      </c>
      <c r="X47">
        <f>IF(COUNT($N$34:$N$47)&lt;14,"",MIN($N$34:$N$47))</f>
        <v>0</v>
      </c>
      <c r="Y47">
        <f>IF(COUNT($N$34:$N$47)&lt;14,"",MAX($N$34:$N$47))</f>
        <v>0</v>
      </c>
      <c r="Z47">
        <f>IF(OR(N47="",X47="",Y47="",Y47=X47),"",100*(N47-X47)/(Y47-X47))</f>
        <v>0</v>
      </c>
      <c r="AA47">
        <f>IF(COUNT($Z$45:$Z$47)&lt;3,"",AVERAGE($Z$45:$Z$47))</f>
        <v>0</v>
      </c>
      <c r="AB47">
        <f>IF(COUNT($AA$45:$AA$47)&lt;3,"",AVERAGE($AA$45:$AA$47))</f>
        <v>0</v>
      </c>
      <c r="AC47">
        <f>IF($E47="","",MAX($C47-$D47,ABS($C47-$E46),ABS($D47-$E46)))</f>
        <v>0</v>
      </c>
      <c r="AD47">
        <f>IF(COUNT($E$2:$E47)&lt;15,"",AVERAGE($AC$34:$AC$47))</f>
        <v>0</v>
      </c>
      <c r="AE47">
        <f>IF(OR($E47="",$E46=""),"",IF(AND(($C47-$C46)&gt;($D46-$D47),($C47-$C46)&gt;0),$C47-$C46,0))</f>
        <v>0</v>
      </c>
      <c r="AF47">
        <f>IF(OR($E47="",$E46=""),"",IF(AND(($D46-$D47)&gt;($C47-$C46),($D46-$D47)&gt;0),$D46-$D47,0))</f>
        <v>0</v>
      </c>
      <c r="AG47">
        <f>IF(COUNT($E$2:$E47)&lt;15,"",IF(SUM($AC$34:$AC$47)=0,0,100*SUM($AE$34:$AE$47)/SUM($AC$34:$AC$47)))</f>
        <v>0</v>
      </c>
      <c r="AH47">
        <f>IF(COUNT($E$2:$E47)&lt;15,"",IF(SUM($AC$34:$AC$47)=0,0,100*SUM($AF$34:$AF$47)/SUM($AC$34:$AC$47)))</f>
        <v>0</v>
      </c>
      <c r="AI47">
        <f>IF(OR(AG47="",AH47=""),"",IF((AG47+AH47)=0,0,100*ABS(AG47-AH47)/(AG47+AH47)))</f>
        <v>0</v>
      </c>
      <c r="AJ47">
        <f>IF(COUNT($AI$34:$AI$47)&lt;14,"",AVERAGE($AI$34:$AI$47))</f>
        <v>0</v>
      </c>
      <c r="AK47">
        <f>IF(COUNT($E$2:$E47)&lt;20,"",AVERAGE($E$28:$E$47))</f>
        <v>0</v>
      </c>
      <c r="AL47">
        <f>IF(COUNT($E$2:$E47)&lt;20,"",STDEVP($E$28:$E$47))</f>
        <v>0</v>
      </c>
      <c r="AM47">
        <f>IF(AK47="","",AK47+2*AL47)</f>
        <v>0</v>
      </c>
      <c r="AN47">
        <f>IF(AK47="","",AK47-2*AL47)</f>
        <v>0</v>
      </c>
      <c r="AO47">
        <f>IF(OR(AM47="",AN47="",AM47=AN47),"",($E47-AN47)/(AM47-AN47))</f>
        <v>0</v>
      </c>
      <c r="AP47">
        <f>IF(OR(AM47="",AK47="",AK47=0),"",(AM47-AN47)/AK47)</f>
        <v>0</v>
      </c>
      <c r="AQ47">
        <f>IF(COUNT($E$2:$E47)&lt;20,"",MAX($C$28:$C$47))</f>
        <v>0</v>
      </c>
      <c r="AR47">
        <f>IF(COUNT($E$2:$E47)&lt;20,"",MIN($D$28:$D$47))</f>
        <v>0</v>
      </c>
      <c r="AS47">
        <f>IF(OR(AQ47="",AR47=""),"",(AQ47+AR47)/2)</f>
        <v>0</v>
      </c>
      <c r="AT47">
        <f>IF(COUNT($G$28:$G$47)&lt;20,"",STDEV($G$28:$G$47)*SQRT(12))</f>
        <v>0</v>
      </c>
      <c r="AU47">
        <f>IF(COUNT($E$2:$E47)&lt;9,"",(MAX($C$39:$C$47)+MIN($D$39:$D$47))/2)</f>
        <v>0</v>
      </c>
      <c r="AV47">
        <f>IF(COUNT($E$2:$E47)&lt;26,"",(MAX($C$22:$C$47)+MIN($D$22:$D$47))/2)</f>
        <v>0</v>
      </c>
      <c r="AW47">
        <f>IF(OR(AU47="",AV47=""),"",(AU47+AV47)/2)</f>
        <v>0</v>
      </c>
      <c r="AX47">
        <f>IF(COUNT($E$2:$E47)&lt;52,"",(MAX($C$2:$C$47)+MIN($D$2:$D$47))/2)</f>
        <v>0</v>
      </c>
      <c r="AY47">
        <f>IF(COUNT($E$2:$E47)&lt;20,"",MAX($C$2:$C$47))</f>
        <v>0</v>
      </c>
      <c r="AZ47">
        <f>IF(COUNT($E$2:$E47)&lt;20,"",MIN($D$2:$D$47))</f>
        <v>0</v>
      </c>
      <c r="BA47">
        <f>IF(COUNT($E$2:$E47)&lt;20,"",SLOPE($E$2:$E$47,$F$2:$F$47))</f>
        <v>0</v>
      </c>
      <c r="BB47">
        <f>IF(COUNT($E$2:$E47)&lt;20,"",INTERCEPT($E$2:$E$47,$F$2:$F$47))</f>
        <v>0</v>
      </c>
      <c r="BC47">
        <f>IF(OR(BA47="",BB47=""),"",BB47+BA47*F47)</f>
        <v>0</v>
      </c>
      <c r="BD47">
        <f>IF(COUNT($E$2:$E47)&lt;20,"",STEYX($E$2:$E$47,$F$2:$F$47))</f>
        <v>0</v>
      </c>
      <c r="BE47">
        <f>IF($E47="","",IF(AND(COUNT($E$48:$E$51)&gt;=4,$C47=MAX($C$43:$C$51)),$C47,""))</f>
        <v>0</v>
      </c>
      <c r="BF47">
        <f>IF($E47="","",IF(AND(COUNT($E$48:$E$51)&gt;=4,$D47=MIN($D$43:$D$51)),$D47,""))</f>
        <v>0</v>
      </c>
      <c r="BG47">
        <f>IFERROR(SMALL(Calc_Daily!$BT$2:$BT$2001,46),"")</f>
        <v>0</v>
      </c>
    </row>
    <row r="48" spans="1:59">
      <c r="A48" s="27">
        <f>IF($BG48="","",INDEX(Calc_Daily!$A$2:$A$2001,$BG48))</f>
        <v>0</v>
      </c>
      <c r="B48">
        <f>IF($BG48="","",INDEX(Calc_Daily!$BQ$2:$BQ$2001,$BG48))</f>
        <v>0</v>
      </c>
      <c r="C48">
        <f>IF($BG48="","",INDEX(Calc_Daily!$BR$2:$BR$2001,$BG48))</f>
        <v>0</v>
      </c>
      <c r="D48">
        <f>IF($BG48="","",INDEX(Calc_Daily!$BS$2:$BS$2001,$BG48))</f>
        <v>0</v>
      </c>
      <c r="E48">
        <f>IF($BG48="","",INDEX(Calc_Daily!$E$2:$E$2001,$BG48))</f>
        <v>0</v>
      </c>
      <c r="F48">
        <f>IF($E48="","",N(F47)+1)</f>
        <v>0</v>
      </c>
      <c r="G48">
        <f>IF(OR($E48="",$E47=""),"",LN($E48/$E47))</f>
        <v>0</v>
      </c>
      <c r="H48">
        <f>IF($E48="","",IF($E47="",$E48,$E48*0.0952380952+H47*0.9047619048))</f>
        <v>0</v>
      </c>
      <c r="I48">
        <f>IF($E48="","",IF($E47="",$E48,$E48*0.0392156863+I47*0.9607843137))</f>
        <v>0</v>
      </c>
      <c r="J48">
        <f>IF($E48="","",IF($E47="",$E48,$E48*0.0198019802+J47*0.9801980198))</f>
        <v>0</v>
      </c>
      <c r="K48">
        <f>IF($E48="","",IF($E47="",$E48,$E48*0.0099502488+K47*0.9900497512))</f>
        <v>0</v>
      </c>
      <c r="L48">
        <f>IF(OR($E48="",$E47=""),"",MAX($E48-$E47,0))</f>
        <v>0</v>
      </c>
      <c r="M48">
        <f>IF(OR($E48="",$E47=""),"",MAX($E47-$E48,0))</f>
        <v>0</v>
      </c>
      <c r="N48">
        <f>IF(COUNT($E$2:$E48)&lt;15,"",IF(AVERAGE($M$35:$M$48)=0,100,100-100/(1+AVERAGE($L$35:$L$48)/AVERAGE($M$35:$M$48))))</f>
        <v>0</v>
      </c>
      <c r="O48">
        <f>IF($E48="","",IF($E47="",$E48,$E48*0.1538461538+O47*0.8461538462))</f>
        <v>0</v>
      </c>
      <c r="P48">
        <f>IF($E48="","",IF($E47="",$E48,$E48*0.0740740741+P47*0.9259259259))</f>
        <v>0</v>
      </c>
      <c r="Q48">
        <f>IF(OR(O48="",P48=""),"",O48-P48)</f>
        <v>0</v>
      </c>
      <c r="R48">
        <f>IF(Q48="","",IF(R47="",Q48,Q48*0.2000000000+R47*0.8000000000))</f>
        <v>0</v>
      </c>
      <c r="S48">
        <f>IF(OR(Q48="",R48=""),"",Q48-R48)</f>
        <v>0</v>
      </c>
      <c r="T48">
        <f>IF(COUNT($E$2:$E48)&lt;14,"",MAX($C$35:$C$48))</f>
        <v>0</v>
      </c>
      <c r="U48">
        <f>IF(COUNT($E$2:$E48)&lt;14,"",MIN($D$35:$D$48))</f>
        <v>0</v>
      </c>
      <c r="V48">
        <f>IF(OR(T48="",U48="",T48=U48),"",100*($E48-U48)/(T48-U48))</f>
        <v>0</v>
      </c>
      <c r="W48">
        <f>IF(COUNT($V$46:$V$48)&lt;3,"",AVERAGE($V$46:$V$48))</f>
        <v>0</v>
      </c>
      <c r="X48">
        <f>IF(COUNT($N$35:$N$48)&lt;14,"",MIN($N$35:$N$48))</f>
        <v>0</v>
      </c>
      <c r="Y48">
        <f>IF(COUNT($N$35:$N$48)&lt;14,"",MAX($N$35:$N$48))</f>
        <v>0</v>
      </c>
      <c r="Z48">
        <f>IF(OR(N48="",X48="",Y48="",Y48=X48),"",100*(N48-X48)/(Y48-X48))</f>
        <v>0</v>
      </c>
      <c r="AA48">
        <f>IF(COUNT($Z$46:$Z$48)&lt;3,"",AVERAGE($Z$46:$Z$48))</f>
        <v>0</v>
      </c>
      <c r="AB48">
        <f>IF(COUNT($AA$46:$AA$48)&lt;3,"",AVERAGE($AA$46:$AA$48))</f>
        <v>0</v>
      </c>
      <c r="AC48">
        <f>IF($E48="","",MAX($C48-$D48,ABS($C48-$E47),ABS($D48-$E47)))</f>
        <v>0</v>
      </c>
      <c r="AD48">
        <f>IF(COUNT($E$2:$E48)&lt;15,"",AVERAGE($AC$35:$AC$48))</f>
        <v>0</v>
      </c>
      <c r="AE48">
        <f>IF(OR($E48="",$E47=""),"",IF(AND(($C48-$C47)&gt;($D47-$D48),($C48-$C47)&gt;0),$C48-$C47,0))</f>
        <v>0</v>
      </c>
      <c r="AF48">
        <f>IF(OR($E48="",$E47=""),"",IF(AND(($D47-$D48)&gt;($C48-$C47),($D47-$D48)&gt;0),$D47-$D48,0))</f>
        <v>0</v>
      </c>
      <c r="AG48">
        <f>IF(COUNT($E$2:$E48)&lt;15,"",IF(SUM($AC$35:$AC$48)=0,0,100*SUM($AE$35:$AE$48)/SUM($AC$35:$AC$48)))</f>
        <v>0</v>
      </c>
      <c r="AH48">
        <f>IF(COUNT($E$2:$E48)&lt;15,"",IF(SUM($AC$35:$AC$48)=0,0,100*SUM($AF$35:$AF$48)/SUM($AC$35:$AC$48)))</f>
        <v>0</v>
      </c>
      <c r="AI48">
        <f>IF(OR(AG48="",AH48=""),"",IF((AG48+AH48)=0,0,100*ABS(AG48-AH48)/(AG48+AH48)))</f>
        <v>0</v>
      </c>
      <c r="AJ48">
        <f>IF(COUNT($AI$35:$AI$48)&lt;14,"",AVERAGE($AI$35:$AI$48))</f>
        <v>0</v>
      </c>
      <c r="AK48">
        <f>IF(COUNT($E$2:$E48)&lt;20,"",AVERAGE($E$29:$E$48))</f>
        <v>0</v>
      </c>
      <c r="AL48">
        <f>IF(COUNT($E$2:$E48)&lt;20,"",STDEVP($E$29:$E$48))</f>
        <v>0</v>
      </c>
      <c r="AM48">
        <f>IF(AK48="","",AK48+2*AL48)</f>
        <v>0</v>
      </c>
      <c r="AN48">
        <f>IF(AK48="","",AK48-2*AL48)</f>
        <v>0</v>
      </c>
      <c r="AO48">
        <f>IF(OR(AM48="",AN48="",AM48=AN48),"",($E48-AN48)/(AM48-AN48))</f>
        <v>0</v>
      </c>
      <c r="AP48">
        <f>IF(OR(AM48="",AK48="",AK48=0),"",(AM48-AN48)/AK48)</f>
        <v>0</v>
      </c>
      <c r="AQ48">
        <f>IF(COUNT($E$2:$E48)&lt;20,"",MAX($C$29:$C$48))</f>
        <v>0</v>
      </c>
      <c r="AR48">
        <f>IF(COUNT($E$2:$E48)&lt;20,"",MIN($D$29:$D$48))</f>
        <v>0</v>
      </c>
      <c r="AS48">
        <f>IF(OR(AQ48="",AR48=""),"",(AQ48+AR48)/2)</f>
        <v>0</v>
      </c>
      <c r="AT48">
        <f>IF(COUNT($G$29:$G$48)&lt;20,"",STDEV($G$29:$G$48)*SQRT(12))</f>
        <v>0</v>
      </c>
      <c r="AU48">
        <f>IF(COUNT($E$2:$E48)&lt;9,"",(MAX($C$40:$C$48)+MIN($D$40:$D$48))/2)</f>
        <v>0</v>
      </c>
      <c r="AV48">
        <f>IF(COUNT($E$2:$E48)&lt;26,"",(MAX($C$23:$C$48)+MIN($D$23:$D$48))/2)</f>
        <v>0</v>
      </c>
      <c r="AW48">
        <f>IF(OR(AU48="",AV48=""),"",(AU48+AV48)/2)</f>
        <v>0</v>
      </c>
      <c r="AX48">
        <f>IF(COUNT($E$2:$E48)&lt;52,"",(MAX($C$2:$C$48)+MIN($D$2:$D$48))/2)</f>
        <v>0</v>
      </c>
      <c r="AY48">
        <f>IF(COUNT($E$2:$E48)&lt;20,"",MAX($C$2:$C$48))</f>
        <v>0</v>
      </c>
      <c r="AZ48">
        <f>IF(COUNT($E$2:$E48)&lt;20,"",MIN($D$2:$D$48))</f>
        <v>0</v>
      </c>
      <c r="BA48">
        <f>IF(COUNT($E$2:$E48)&lt;20,"",SLOPE($E$2:$E$48,$F$2:$F$48))</f>
        <v>0</v>
      </c>
      <c r="BB48">
        <f>IF(COUNT($E$2:$E48)&lt;20,"",INTERCEPT($E$2:$E$48,$F$2:$F$48))</f>
        <v>0</v>
      </c>
      <c r="BC48">
        <f>IF(OR(BA48="",BB48=""),"",BB48+BA48*F48)</f>
        <v>0</v>
      </c>
      <c r="BD48">
        <f>IF(COUNT($E$2:$E48)&lt;20,"",STEYX($E$2:$E$48,$F$2:$F$48))</f>
        <v>0</v>
      </c>
      <c r="BE48">
        <f>IF($E48="","",IF(AND(COUNT($E$49:$E$52)&gt;=4,$C48=MAX($C$44:$C$52)),$C48,""))</f>
        <v>0</v>
      </c>
      <c r="BF48">
        <f>IF($E48="","",IF(AND(COUNT($E$49:$E$52)&gt;=4,$D48=MIN($D$44:$D$52)),$D48,""))</f>
        <v>0</v>
      </c>
      <c r="BG48">
        <f>IFERROR(SMALL(Calc_Daily!$BT$2:$BT$2001,47),"")</f>
        <v>0</v>
      </c>
    </row>
    <row r="49" spans="1:59">
      <c r="A49" s="27">
        <f>IF($BG49="","",INDEX(Calc_Daily!$A$2:$A$2001,$BG49))</f>
        <v>0</v>
      </c>
      <c r="B49">
        <f>IF($BG49="","",INDEX(Calc_Daily!$BQ$2:$BQ$2001,$BG49))</f>
        <v>0</v>
      </c>
      <c r="C49">
        <f>IF($BG49="","",INDEX(Calc_Daily!$BR$2:$BR$2001,$BG49))</f>
        <v>0</v>
      </c>
      <c r="D49">
        <f>IF($BG49="","",INDEX(Calc_Daily!$BS$2:$BS$2001,$BG49))</f>
        <v>0</v>
      </c>
      <c r="E49">
        <f>IF($BG49="","",INDEX(Calc_Daily!$E$2:$E$2001,$BG49))</f>
        <v>0</v>
      </c>
      <c r="F49">
        <f>IF($E49="","",N(F48)+1)</f>
        <v>0</v>
      </c>
      <c r="G49">
        <f>IF(OR($E49="",$E48=""),"",LN($E49/$E48))</f>
        <v>0</v>
      </c>
      <c r="H49">
        <f>IF($E49="","",IF($E48="",$E49,$E49*0.0952380952+H48*0.9047619048))</f>
        <v>0</v>
      </c>
      <c r="I49">
        <f>IF($E49="","",IF($E48="",$E49,$E49*0.0392156863+I48*0.9607843137))</f>
        <v>0</v>
      </c>
      <c r="J49">
        <f>IF($E49="","",IF($E48="",$E49,$E49*0.0198019802+J48*0.9801980198))</f>
        <v>0</v>
      </c>
      <c r="K49">
        <f>IF($E49="","",IF($E48="",$E49,$E49*0.0099502488+K48*0.9900497512))</f>
        <v>0</v>
      </c>
      <c r="L49">
        <f>IF(OR($E49="",$E48=""),"",MAX($E49-$E48,0))</f>
        <v>0</v>
      </c>
      <c r="M49">
        <f>IF(OR($E49="",$E48=""),"",MAX($E48-$E49,0))</f>
        <v>0</v>
      </c>
      <c r="N49">
        <f>IF(COUNT($E$2:$E49)&lt;15,"",IF(AVERAGE($M$36:$M$49)=0,100,100-100/(1+AVERAGE($L$36:$L$49)/AVERAGE($M$36:$M$49))))</f>
        <v>0</v>
      </c>
      <c r="O49">
        <f>IF($E49="","",IF($E48="",$E49,$E49*0.1538461538+O48*0.8461538462))</f>
        <v>0</v>
      </c>
      <c r="P49">
        <f>IF($E49="","",IF($E48="",$E49,$E49*0.0740740741+P48*0.9259259259))</f>
        <v>0</v>
      </c>
      <c r="Q49">
        <f>IF(OR(O49="",P49=""),"",O49-P49)</f>
        <v>0</v>
      </c>
      <c r="R49">
        <f>IF(Q49="","",IF(R48="",Q49,Q49*0.2000000000+R48*0.8000000000))</f>
        <v>0</v>
      </c>
      <c r="S49">
        <f>IF(OR(Q49="",R49=""),"",Q49-R49)</f>
        <v>0</v>
      </c>
      <c r="T49">
        <f>IF(COUNT($E$2:$E49)&lt;14,"",MAX($C$36:$C$49))</f>
        <v>0</v>
      </c>
      <c r="U49">
        <f>IF(COUNT($E$2:$E49)&lt;14,"",MIN($D$36:$D$49))</f>
        <v>0</v>
      </c>
      <c r="V49">
        <f>IF(OR(T49="",U49="",T49=U49),"",100*($E49-U49)/(T49-U49))</f>
        <v>0</v>
      </c>
      <c r="W49">
        <f>IF(COUNT($V$47:$V$49)&lt;3,"",AVERAGE($V$47:$V$49))</f>
        <v>0</v>
      </c>
      <c r="X49">
        <f>IF(COUNT($N$36:$N$49)&lt;14,"",MIN($N$36:$N$49))</f>
        <v>0</v>
      </c>
      <c r="Y49">
        <f>IF(COUNT($N$36:$N$49)&lt;14,"",MAX($N$36:$N$49))</f>
        <v>0</v>
      </c>
      <c r="Z49">
        <f>IF(OR(N49="",X49="",Y49="",Y49=X49),"",100*(N49-X49)/(Y49-X49))</f>
        <v>0</v>
      </c>
      <c r="AA49">
        <f>IF(COUNT($Z$47:$Z$49)&lt;3,"",AVERAGE($Z$47:$Z$49))</f>
        <v>0</v>
      </c>
      <c r="AB49">
        <f>IF(COUNT($AA$47:$AA$49)&lt;3,"",AVERAGE($AA$47:$AA$49))</f>
        <v>0</v>
      </c>
      <c r="AC49">
        <f>IF($E49="","",MAX($C49-$D49,ABS($C49-$E48),ABS($D49-$E48)))</f>
        <v>0</v>
      </c>
      <c r="AD49">
        <f>IF(COUNT($E$2:$E49)&lt;15,"",AVERAGE($AC$36:$AC$49))</f>
        <v>0</v>
      </c>
      <c r="AE49">
        <f>IF(OR($E49="",$E48=""),"",IF(AND(($C49-$C48)&gt;($D48-$D49),($C49-$C48)&gt;0),$C49-$C48,0))</f>
        <v>0</v>
      </c>
      <c r="AF49">
        <f>IF(OR($E49="",$E48=""),"",IF(AND(($D48-$D49)&gt;($C49-$C48),($D48-$D49)&gt;0),$D48-$D49,0))</f>
        <v>0</v>
      </c>
      <c r="AG49">
        <f>IF(COUNT($E$2:$E49)&lt;15,"",IF(SUM($AC$36:$AC$49)=0,0,100*SUM($AE$36:$AE$49)/SUM($AC$36:$AC$49)))</f>
        <v>0</v>
      </c>
      <c r="AH49">
        <f>IF(COUNT($E$2:$E49)&lt;15,"",IF(SUM($AC$36:$AC$49)=0,0,100*SUM($AF$36:$AF$49)/SUM($AC$36:$AC$49)))</f>
        <v>0</v>
      </c>
      <c r="AI49">
        <f>IF(OR(AG49="",AH49=""),"",IF((AG49+AH49)=0,0,100*ABS(AG49-AH49)/(AG49+AH49)))</f>
        <v>0</v>
      </c>
      <c r="AJ49">
        <f>IF(COUNT($AI$36:$AI$49)&lt;14,"",AVERAGE($AI$36:$AI$49))</f>
        <v>0</v>
      </c>
      <c r="AK49">
        <f>IF(COUNT($E$2:$E49)&lt;20,"",AVERAGE($E$30:$E$49))</f>
        <v>0</v>
      </c>
      <c r="AL49">
        <f>IF(COUNT($E$2:$E49)&lt;20,"",STDEVP($E$30:$E$49))</f>
        <v>0</v>
      </c>
      <c r="AM49">
        <f>IF(AK49="","",AK49+2*AL49)</f>
        <v>0</v>
      </c>
      <c r="AN49">
        <f>IF(AK49="","",AK49-2*AL49)</f>
        <v>0</v>
      </c>
      <c r="AO49">
        <f>IF(OR(AM49="",AN49="",AM49=AN49),"",($E49-AN49)/(AM49-AN49))</f>
        <v>0</v>
      </c>
      <c r="AP49">
        <f>IF(OR(AM49="",AK49="",AK49=0),"",(AM49-AN49)/AK49)</f>
        <v>0</v>
      </c>
      <c r="AQ49">
        <f>IF(COUNT($E$2:$E49)&lt;20,"",MAX($C$30:$C$49))</f>
        <v>0</v>
      </c>
      <c r="AR49">
        <f>IF(COUNT($E$2:$E49)&lt;20,"",MIN($D$30:$D$49))</f>
        <v>0</v>
      </c>
      <c r="AS49">
        <f>IF(OR(AQ49="",AR49=""),"",(AQ49+AR49)/2)</f>
        <v>0</v>
      </c>
      <c r="AT49">
        <f>IF(COUNT($G$30:$G$49)&lt;20,"",STDEV($G$30:$G$49)*SQRT(12))</f>
        <v>0</v>
      </c>
      <c r="AU49">
        <f>IF(COUNT($E$2:$E49)&lt;9,"",(MAX($C$41:$C$49)+MIN($D$41:$D$49))/2)</f>
        <v>0</v>
      </c>
      <c r="AV49">
        <f>IF(COUNT($E$2:$E49)&lt;26,"",(MAX($C$24:$C$49)+MIN($D$24:$D$49))/2)</f>
        <v>0</v>
      </c>
      <c r="AW49">
        <f>IF(OR(AU49="",AV49=""),"",(AU49+AV49)/2)</f>
        <v>0</v>
      </c>
      <c r="AX49">
        <f>IF(COUNT($E$2:$E49)&lt;52,"",(MAX($C$2:$C$49)+MIN($D$2:$D$49))/2)</f>
        <v>0</v>
      </c>
      <c r="AY49">
        <f>IF(COUNT($E$2:$E49)&lt;20,"",MAX($C$2:$C$49))</f>
        <v>0</v>
      </c>
      <c r="AZ49">
        <f>IF(COUNT($E$2:$E49)&lt;20,"",MIN($D$2:$D$49))</f>
        <v>0</v>
      </c>
      <c r="BA49">
        <f>IF(COUNT($E$2:$E49)&lt;20,"",SLOPE($E$2:$E$49,$F$2:$F$49))</f>
        <v>0</v>
      </c>
      <c r="BB49">
        <f>IF(COUNT($E$2:$E49)&lt;20,"",INTERCEPT($E$2:$E$49,$F$2:$F$49))</f>
        <v>0</v>
      </c>
      <c r="BC49">
        <f>IF(OR(BA49="",BB49=""),"",BB49+BA49*F49)</f>
        <v>0</v>
      </c>
      <c r="BD49">
        <f>IF(COUNT($E$2:$E49)&lt;20,"",STEYX($E$2:$E$49,$F$2:$F$49))</f>
        <v>0</v>
      </c>
      <c r="BE49">
        <f>IF($E49="","",IF(AND(COUNT($E$50:$E$53)&gt;=4,$C49=MAX($C$45:$C$53)),$C49,""))</f>
        <v>0</v>
      </c>
      <c r="BF49">
        <f>IF($E49="","",IF(AND(COUNT($E$50:$E$53)&gt;=4,$D49=MIN($D$45:$D$53)),$D49,""))</f>
        <v>0</v>
      </c>
      <c r="BG49">
        <f>IFERROR(SMALL(Calc_Daily!$BT$2:$BT$2001,48),"")</f>
        <v>0</v>
      </c>
    </row>
    <row r="50" spans="1:59">
      <c r="A50" s="27">
        <f>IF($BG50="","",INDEX(Calc_Daily!$A$2:$A$2001,$BG50))</f>
        <v>0</v>
      </c>
      <c r="B50">
        <f>IF($BG50="","",INDEX(Calc_Daily!$BQ$2:$BQ$2001,$BG50))</f>
        <v>0</v>
      </c>
      <c r="C50">
        <f>IF($BG50="","",INDEX(Calc_Daily!$BR$2:$BR$2001,$BG50))</f>
        <v>0</v>
      </c>
      <c r="D50">
        <f>IF($BG50="","",INDEX(Calc_Daily!$BS$2:$BS$2001,$BG50))</f>
        <v>0</v>
      </c>
      <c r="E50">
        <f>IF($BG50="","",INDEX(Calc_Daily!$E$2:$E$2001,$BG50))</f>
        <v>0</v>
      </c>
      <c r="F50">
        <f>IF($E50="","",N(F49)+1)</f>
        <v>0</v>
      </c>
      <c r="G50">
        <f>IF(OR($E50="",$E49=""),"",LN($E50/$E49))</f>
        <v>0</v>
      </c>
      <c r="H50">
        <f>IF($E50="","",IF($E49="",$E50,$E50*0.0952380952+H49*0.9047619048))</f>
        <v>0</v>
      </c>
      <c r="I50">
        <f>IF($E50="","",IF($E49="",$E50,$E50*0.0392156863+I49*0.9607843137))</f>
        <v>0</v>
      </c>
      <c r="J50">
        <f>IF($E50="","",IF($E49="",$E50,$E50*0.0198019802+J49*0.9801980198))</f>
        <v>0</v>
      </c>
      <c r="K50">
        <f>IF($E50="","",IF($E49="",$E50,$E50*0.0099502488+K49*0.9900497512))</f>
        <v>0</v>
      </c>
      <c r="L50">
        <f>IF(OR($E50="",$E49=""),"",MAX($E50-$E49,0))</f>
        <v>0</v>
      </c>
      <c r="M50">
        <f>IF(OR($E50="",$E49=""),"",MAX($E49-$E50,0))</f>
        <v>0</v>
      </c>
      <c r="N50">
        <f>IF(COUNT($E$2:$E50)&lt;15,"",IF(AVERAGE($M$37:$M$50)=0,100,100-100/(1+AVERAGE($L$37:$L$50)/AVERAGE($M$37:$M$50))))</f>
        <v>0</v>
      </c>
      <c r="O50">
        <f>IF($E50="","",IF($E49="",$E50,$E50*0.1538461538+O49*0.8461538462))</f>
        <v>0</v>
      </c>
      <c r="P50">
        <f>IF($E50="","",IF($E49="",$E50,$E50*0.0740740741+P49*0.9259259259))</f>
        <v>0</v>
      </c>
      <c r="Q50">
        <f>IF(OR(O50="",P50=""),"",O50-P50)</f>
        <v>0</v>
      </c>
      <c r="R50">
        <f>IF(Q50="","",IF(R49="",Q50,Q50*0.2000000000+R49*0.8000000000))</f>
        <v>0</v>
      </c>
      <c r="S50">
        <f>IF(OR(Q50="",R50=""),"",Q50-R50)</f>
        <v>0</v>
      </c>
      <c r="T50">
        <f>IF(COUNT($E$2:$E50)&lt;14,"",MAX($C$37:$C$50))</f>
        <v>0</v>
      </c>
      <c r="U50">
        <f>IF(COUNT($E$2:$E50)&lt;14,"",MIN($D$37:$D$50))</f>
        <v>0</v>
      </c>
      <c r="V50">
        <f>IF(OR(T50="",U50="",T50=U50),"",100*($E50-U50)/(T50-U50))</f>
        <v>0</v>
      </c>
      <c r="W50">
        <f>IF(COUNT($V$48:$V$50)&lt;3,"",AVERAGE($V$48:$V$50))</f>
        <v>0</v>
      </c>
      <c r="X50">
        <f>IF(COUNT($N$37:$N$50)&lt;14,"",MIN($N$37:$N$50))</f>
        <v>0</v>
      </c>
      <c r="Y50">
        <f>IF(COUNT($N$37:$N$50)&lt;14,"",MAX($N$37:$N$50))</f>
        <v>0</v>
      </c>
      <c r="Z50">
        <f>IF(OR(N50="",X50="",Y50="",Y50=X50),"",100*(N50-X50)/(Y50-X50))</f>
        <v>0</v>
      </c>
      <c r="AA50">
        <f>IF(COUNT($Z$48:$Z$50)&lt;3,"",AVERAGE($Z$48:$Z$50))</f>
        <v>0</v>
      </c>
      <c r="AB50">
        <f>IF(COUNT($AA$48:$AA$50)&lt;3,"",AVERAGE($AA$48:$AA$50))</f>
        <v>0</v>
      </c>
      <c r="AC50">
        <f>IF($E50="","",MAX($C50-$D50,ABS($C50-$E49),ABS($D50-$E49)))</f>
        <v>0</v>
      </c>
      <c r="AD50">
        <f>IF(COUNT($E$2:$E50)&lt;15,"",AVERAGE($AC$37:$AC$50))</f>
        <v>0</v>
      </c>
      <c r="AE50">
        <f>IF(OR($E50="",$E49=""),"",IF(AND(($C50-$C49)&gt;($D49-$D50),($C50-$C49)&gt;0),$C50-$C49,0))</f>
        <v>0</v>
      </c>
      <c r="AF50">
        <f>IF(OR($E50="",$E49=""),"",IF(AND(($D49-$D50)&gt;($C50-$C49),($D49-$D50)&gt;0),$D49-$D50,0))</f>
        <v>0</v>
      </c>
      <c r="AG50">
        <f>IF(COUNT($E$2:$E50)&lt;15,"",IF(SUM($AC$37:$AC$50)=0,0,100*SUM($AE$37:$AE$50)/SUM($AC$37:$AC$50)))</f>
        <v>0</v>
      </c>
      <c r="AH50">
        <f>IF(COUNT($E$2:$E50)&lt;15,"",IF(SUM($AC$37:$AC$50)=0,0,100*SUM($AF$37:$AF$50)/SUM($AC$37:$AC$50)))</f>
        <v>0</v>
      </c>
      <c r="AI50">
        <f>IF(OR(AG50="",AH50=""),"",IF((AG50+AH50)=0,0,100*ABS(AG50-AH50)/(AG50+AH50)))</f>
        <v>0</v>
      </c>
      <c r="AJ50">
        <f>IF(COUNT($AI$37:$AI$50)&lt;14,"",AVERAGE($AI$37:$AI$50))</f>
        <v>0</v>
      </c>
      <c r="AK50">
        <f>IF(COUNT($E$2:$E50)&lt;20,"",AVERAGE($E$31:$E$50))</f>
        <v>0</v>
      </c>
      <c r="AL50">
        <f>IF(COUNT($E$2:$E50)&lt;20,"",STDEVP($E$31:$E$50))</f>
        <v>0</v>
      </c>
      <c r="AM50">
        <f>IF(AK50="","",AK50+2*AL50)</f>
        <v>0</v>
      </c>
      <c r="AN50">
        <f>IF(AK50="","",AK50-2*AL50)</f>
        <v>0</v>
      </c>
      <c r="AO50">
        <f>IF(OR(AM50="",AN50="",AM50=AN50),"",($E50-AN50)/(AM50-AN50))</f>
        <v>0</v>
      </c>
      <c r="AP50">
        <f>IF(OR(AM50="",AK50="",AK50=0),"",(AM50-AN50)/AK50)</f>
        <v>0</v>
      </c>
      <c r="AQ50">
        <f>IF(COUNT($E$2:$E50)&lt;20,"",MAX($C$31:$C$50))</f>
        <v>0</v>
      </c>
      <c r="AR50">
        <f>IF(COUNT($E$2:$E50)&lt;20,"",MIN($D$31:$D$50))</f>
        <v>0</v>
      </c>
      <c r="AS50">
        <f>IF(OR(AQ50="",AR50=""),"",(AQ50+AR50)/2)</f>
        <v>0</v>
      </c>
      <c r="AT50">
        <f>IF(COUNT($G$31:$G$50)&lt;20,"",STDEV($G$31:$G$50)*SQRT(12))</f>
        <v>0</v>
      </c>
      <c r="AU50">
        <f>IF(COUNT($E$2:$E50)&lt;9,"",(MAX($C$42:$C$50)+MIN($D$42:$D$50))/2)</f>
        <v>0</v>
      </c>
      <c r="AV50">
        <f>IF(COUNT($E$2:$E50)&lt;26,"",(MAX($C$25:$C$50)+MIN($D$25:$D$50))/2)</f>
        <v>0</v>
      </c>
      <c r="AW50">
        <f>IF(OR(AU50="",AV50=""),"",(AU50+AV50)/2)</f>
        <v>0</v>
      </c>
      <c r="AX50">
        <f>IF(COUNT($E$2:$E50)&lt;52,"",(MAX($C$2:$C$50)+MIN($D$2:$D$50))/2)</f>
        <v>0</v>
      </c>
      <c r="AY50">
        <f>IF(COUNT($E$2:$E50)&lt;20,"",MAX($C$2:$C$50))</f>
        <v>0</v>
      </c>
      <c r="AZ50">
        <f>IF(COUNT($E$2:$E50)&lt;20,"",MIN($D$2:$D$50))</f>
        <v>0</v>
      </c>
      <c r="BA50">
        <f>IF(COUNT($E$2:$E50)&lt;20,"",SLOPE($E$2:$E$50,$F$2:$F$50))</f>
        <v>0</v>
      </c>
      <c r="BB50">
        <f>IF(COUNT($E$2:$E50)&lt;20,"",INTERCEPT($E$2:$E$50,$F$2:$F$50))</f>
        <v>0</v>
      </c>
      <c r="BC50">
        <f>IF(OR(BA50="",BB50=""),"",BB50+BA50*F50)</f>
        <v>0</v>
      </c>
      <c r="BD50">
        <f>IF(COUNT($E$2:$E50)&lt;20,"",STEYX($E$2:$E$50,$F$2:$F$50))</f>
        <v>0</v>
      </c>
      <c r="BE50">
        <f>IF($E50="","",IF(AND(COUNT($E$51:$E$54)&gt;=4,$C50=MAX($C$46:$C$54)),$C50,""))</f>
        <v>0</v>
      </c>
      <c r="BF50">
        <f>IF($E50="","",IF(AND(COUNT($E$51:$E$54)&gt;=4,$D50=MIN($D$46:$D$54)),$D50,""))</f>
        <v>0</v>
      </c>
      <c r="BG50">
        <f>IFERROR(SMALL(Calc_Daily!$BT$2:$BT$2001,49),"")</f>
        <v>0</v>
      </c>
    </row>
    <row r="51" spans="1:59">
      <c r="A51" s="27">
        <f>IF($BG51="","",INDEX(Calc_Daily!$A$2:$A$2001,$BG51))</f>
        <v>0</v>
      </c>
      <c r="B51">
        <f>IF($BG51="","",INDEX(Calc_Daily!$BQ$2:$BQ$2001,$BG51))</f>
        <v>0</v>
      </c>
      <c r="C51">
        <f>IF($BG51="","",INDEX(Calc_Daily!$BR$2:$BR$2001,$BG51))</f>
        <v>0</v>
      </c>
      <c r="D51">
        <f>IF($BG51="","",INDEX(Calc_Daily!$BS$2:$BS$2001,$BG51))</f>
        <v>0</v>
      </c>
      <c r="E51">
        <f>IF($BG51="","",INDEX(Calc_Daily!$E$2:$E$2001,$BG51))</f>
        <v>0</v>
      </c>
      <c r="F51">
        <f>IF($E51="","",N(F50)+1)</f>
        <v>0</v>
      </c>
      <c r="G51">
        <f>IF(OR($E51="",$E50=""),"",LN($E51/$E50))</f>
        <v>0</v>
      </c>
      <c r="H51">
        <f>IF($E51="","",IF($E50="",$E51,$E51*0.0952380952+H50*0.9047619048))</f>
        <v>0</v>
      </c>
      <c r="I51">
        <f>IF($E51="","",IF($E50="",$E51,$E51*0.0392156863+I50*0.9607843137))</f>
        <v>0</v>
      </c>
      <c r="J51">
        <f>IF($E51="","",IF($E50="",$E51,$E51*0.0198019802+J50*0.9801980198))</f>
        <v>0</v>
      </c>
      <c r="K51">
        <f>IF($E51="","",IF($E50="",$E51,$E51*0.0099502488+K50*0.9900497512))</f>
        <v>0</v>
      </c>
      <c r="L51">
        <f>IF(OR($E51="",$E50=""),"",MAX($E51-$E50,0))</f>
        <v>0</v>
      </c>
      <c r="M51">
        <f>IF(OR($E51="",$E50=""),"",MAX($E50-$E51,0))</f>
        <v>0</v>
      </c>
      <c r="N51">
        <f>IF(COUNT($E$2:$E51)&lt;15,"",IF(AVERAGE($M$38:$M$51)=0,100,100-100/(1+AVERAGE($L$38:$L$51)/AVERAGE($M$38:$M$51))))</f>
        <v>0</v>
      </c>
      <c r="O51">
        <f>IF($E51="","",IF($E50="",$E51,$E51*0.1538461538+O50*0.8461538462))</f>
        <v>0</v>
      </c>
      <c r="P51">
        <f>IF($E51="","",IF($E50="",$E51,$E51*0.0740740741+P50*0.9259259259))</f>
        <v>0</v>
      </c>
      <c r="Q51">
        <f>IF(OR(O51="",P51=""),"",O51-P51)</f>
        <v>0</v>
      </c>
      <c r="R51">
        <f>IF(Q51="","",IF(R50="",Q51,Q51*0.2000000000+R50*0.8000000000))</f>
        <v>0</v>
      </c>
      <c r="S51">
        <f>IF(OR(Q51="",R51=""),"",Q51-R51)</f>
        <v>0</v>
      </c>
      <c r="T51">
        <f>IF(COUNT($E$2:$E51)&lt;14,"",MAX($C$38:$C$51))</f>
        <v>0</v>
      </c>
      <c r="U51">
        <f>IF(COUNT($E$2:$E51)&lt;14,"",MIN($D$38:$D$51))</f>
        <v>0</v>
      </c>
      <c r="V51">
        <f>IF(OR(T51="",U51="",T51=U51),"",100*($E51-U51)/(T51-U51))</f>
        <v>0</v>
      </c>
      <c r="W51">
        <f>IF(COUNT($V$49:$V$51)&lt;3,"",AVERAGE($V$49:$V$51))</f>
        <v>0</v>
      </c>
      <c r="X51">
        <f>IF(COUNT($N$38:$N$51)&lt;14,"",MIN($N$38:$N$51))</f>
        <v>0</v>
      </c>
      <c r="Y51">
        <f>IF(COUNT($N$38:$N$51)&lt;14,"",MAX($N$38:$N$51))</f>
        <v>0</v>
      </c>
      <c r="Z51">
        <f>IF(OR(N51="",X51="",Y51="",Y51=X51),"",100*(N51-X51)/(Y51-X51))</f>
        <v>0</v>
      </c>
      <c r="AA51">
        <f>IF(COUNT($Z$49:$Z$51)&lt;3,"",AVERAGE($Z$49:$Z$51))</f>
        <v>0</v>
      </c>
      <c r="AB51">
        <f>IF(COUNT($AA$49:$AA$51)&lt;3,"",AVERAGE($AA$49:$AA$51))</f>
        <v>0</v>
      </c>
      <c r="AC51">
        <f>IF($E51="","",MAX($C51-$D51,ABS($C51-$E50),ABS($D51-$E50)))</f>
        <v>0</v>
      </c>
      <c r="AD51">
        <f>IF(COUNT($E$2:$E51)&lt;15,"",AVERAGE($AC$38:$AC$51))</f>
        <v>0</v>
      </c>
      <c r="AE51">
        <f>IF(OR($E51="",$E50=""),"",IF(AND(($C51-$C50)&gt;($D50-$D51),($C51-$C50)&gt;0),$C51-$C50,0))</f>
        <v>0</v>
      </c>
      <c r="AF51">
        <f>IF(OR($E51="",$E50=""),"",IF(AND(($D50-$D51)&gt;($C51-$C50),($D50-$D51)&gt;0),$D50-$D51,0))</f>
        <v>0</v>
      </c>
      <c r="AG51">
        <f>IF(COUNT($E$2:$E51)&lt;15,"",IF(SUM($AC$38:$AC$51)=0,0,100*SUM($AE$38:$AE$51)/SUM($AC$38:$AC$51)))</f>
        <v>0</v>
      </c>
      <c r="AH51">
        <f>IF(COUNT($E$2:$E51)&lt;15,"",IF(SUM($AC$38:$AC$51)=0,0,100*SUM($AF$38:$AF$51)/SUM($AC$38:$AC$51)))</f>
        <v>0</v>
      </c>
      <c r="AI51">
        <f>IF(OR(AG51="",AH51=""),"",IF((AG51+AH51)=0,0,100*ABS(AG51-AH51)/(AG51+AH51)))</f>
        <v>0</v>
      </c>
      <c r="AJ51">
        <f>IF(COUNT($AI$38:$AI$51)&lt;14,"",AVERAGE($AI$38:$AI$51))</f>
        <v>0</v>
      </c>
      <c r="AK51">
        <f>IF(COUNT($E$2:$E51)&lt;20,"",AVERAGE($E$32:$E$51))</f>
        <v>0</v>
      </c>
      <c r="AL51">
        <f>IF(COUNT($E$2:$E51)&lt;20,"",STDEVP($E$32:$E$51))</f>
        <v>0</v>
      </c>
      <c r="AM51">
        <f>IF(AK51="","",AK51+2*AL51)</f>
        <v>0</v>
      </c>
      <c r="AN51">
        <f>IF(AK51="","",AK51-2*AL51)</f>
        <v>0</v>
      </c>
      <c r="AO51">
        <f>IF(OR(AM51="",AN51="",AM51=AN51),"",($E51-AN51)/(AM51-AN51))</f>
        <v>0</v>
      </c>
      <c r="AP51">
        <f>IF(OR(AM51="",AK51="",AK51=0),"",(AM51-AN51)/AK51)</f>
        <v>0</v>
      </c>
      <c r="AQ51">
        <f>IF(COUNT($E$2:$E51)&lt;20,"",MAX($C$32:$C$51))</f>
        <v>0</v>
      </c>
      <c r="AR51">
        <f>IF(COUNT($E$2:$E51)&lt;20,"",MIN($D$32:$D$51))</f>
        <v>0</v>
      </c>
      <c r="AS51">
        <f>IF(OR(AQ51="",AR51=""),"",(AQ51+AR51)/2)</f>
        <v>0</v>
      </c>
      <c r="AT51">
        <f>IF(COUNT($G$32:$G$51)&lt;20,"",STDEV($G$32:$G$51)*SQRT(12))</f>
        <v>0</v>
      </c>
      <c r="AU51">
        <f>IF(COUNT($E$2:$E51)&lt;9,"",(MAX($C$43:$C$51)+MIN($D$43:$D$51))/2)</f>
        <v>0</v>
      </c>
      <c r="AV51">
        <f>IF(COUNT($E$2:$E51)&lt;26,"",(MAX($C$26:$C$51)+MIN($D$26:$D$51))/2)</f>
        <v>0</v>
      </c>
      <c r="AW51">
        <f>IF(OR(AU51="",AV51=""),"",(AU51+AV51)/2)</f>
        <v>0</v>
      </c>
      <c r="AX51">
        <f>IF(COUNT($E$2:$E51)&lt;52,"",(MAX($C$2:$C$51)+MIN($D$2:$D$51))/2)</f>
        <v>0</v>
      </c>
      <c r="AY51">
        <f>IF(COUNT($E$2:$E51)&lt;20,"",MAX($C$2:$C$51))</f>
        <v>0</v>
      </c>
      <c r="AZ51">
        <f>IF(COUNT($E$2:$E51)&lt;20,"",MIN($D$2:$D$51))</f>
        <v>0</v>
      </c>
      <c r="BA51">
        <f>IF(COUNT($E$2:$E51)&lt;20,"",SLOPE($E$2:$E$51,$F$2:$F$51))</f>
        <v>0</v>
      </c>
      <c r="BB51">
        <f>IF(COUNT($E$2:$E51)&lt;20,"",INTERCEPT($E$2:$E$51,$F$2:$F$51))</f>
        <v>0</v>
      </c>
      <c r="BC51">
        <f>IF(OR(BA51="",BB51=""),"",BB51+BA51*F51)</f>
        <v>0</v>
      </c>
      <c r="BD51">
        <f>IF(COUNT($E$2:$E51)&lt;20,"",STEYX($E$2:$E$51,$F$2:$F$51))</f>
        <v>0</v>
      </c>
      <c r="BE51">
        <f>IF($E51="","",IF(AND(COUNT($E$52:$E$55)&gt;=4,$C51=MAX($C$47:$C$55)),$C51,""))</f>
        <v>0</v>
      </c>
      <c r="BF51">
        <f>IF($E51="","",IF(AND(COUNT($E$52:$E$55)&gt;=4,$D51=MIN($D$47:$D$55)),$D51,""))</f>
        <v>0</v>
      </c>
      <c r="BG51">
        <f>IFERROR(SMALL(Calc_Daily!$BT$2:$BT$2001,50),"")</f>
        <v>0</v>
      </c>
    </row>
    <row r="52" spans="1:59">
      <c r="A52" s="27">
        <f>IF($BG52="","",INDEX(Calc_Daily!$A$2:$A$2001,$BG52))</f>
        <v>0</v>
      </c>
      <c r="B52">
        <f>IF($BG52="","",INDEX(Calc_Daily!$BQ$2:$BQ$2001,$BG52))</f>
        <v>0</v>
      </c>
      <c r="C52">
        <f>IF($BG52="","",INDEX(Calc_Daily!$BR$2:$BR$2001,$BG52))</f>
        <v>0</v>
      </c>
      <c r="D52">
        <f>IF($BG52="","",INDEX(Calc_Daily!$BS$2:$BS$2001,$BG52))</f>
        <v>0</v>
      </c>
      <c r="E52">
        <f>IF($BG52="","",INDEX(Calc_Daily!$E$2:$E$2001,$BG52))</f>
        <v>0</v>
      </c>
      <c r="F52">
        <f>IF($E52="","",N(F51)+1)</f>
        <v>0</v>
      </c>
      <c r="G52">
        <f>IF(OR($E52="",$E51=""),"",LN($E52/$E51))</f>
        <v>0</v>
      </c>
      <c r="H52">
        <f>IF($E52="","",IF($E51="",$E52,$E52*0.0952380952+H51*0.9047619048))</f>
        <v>0</v>
      </c>
      <c r="I52">
        <f>IF($E52="","",IF($E51="",$E52,$E52*0.0392156863+I51*0.9607843137))</f>
        <v>0</v>
      </c>
      <c r="J52">
        <f>IF($E52="","",IF($E51="",$E52,$E52*0.0198019802+J51*0.9801980198))</f>
        <v>0</v>
      </c>
      <c r="K52">
        <f>IF($E52="","",IF($E51="",$E52,$E52*0.0099502488+K51*0.9900497512))</f>
        <v>0</v>
      </c>
      <c r="L52">
        <f>IF(OR($E52="",$E51=""),"",MAX($E52-$E51,0))</f>
        <v>0</v>
      </c>
      <c r="M52">
        <f>IF(OR($E52="",$E51=""),"",MAX($E51-$E52,0))</f>
        <v>0</v>
      </c>
      <c r="N52">
        <f>IF(COUNT($E$2:$E52)&lt;15,"",IF(AVERAGE($M$39:$M$52)=0,100,100-100/(1+AVERAGE($L$39:$L$52)/AVERAGE($M$39:$M$52))))</f>
        <v>0</v>
      </c>
      <c r="O52">
        <f>IF($E52="","",IF($E51="",$E52,$E52*0.1538461538+O51*0.8461538462))</f>
        <v>0</v>
      </c>
      <c r="P52">
        <f>IF($E52="","",IF($E51="",$E52,$E52*0.0740740741+P51*0.9259259259))</f>
        <v>0</v>
      </c>
      <c r="Q52">
        <f>IF(OR(O52="",P52=""),"",O52-P52)</f>
        <v>0</v>
      </c>
      <c r="R52">
        <f>IF(Q52="","",IF(R51="",Q52,Q52*0.2000000000+R51*0.8000000000))</f>
        <v>0</v>
      </c>
      <c r="S52">
        <f>IF(OR(Q52="",R52=""),"",Q52-R52)</f>
        <v>0</v>
      </c>
      <c r="T52">
        <f>IF(COUNT($E$2:$E52)&lt;14,"",MAX($C$39:$C$52))</f>
        <v>0</v>
      </c>
      <c r="U52">
        <f>IF(COUNT($E$2:$E52)&lt;14,"",MIN($D$39:$D$52))</f>
        <v>0</v>
      </c>
      <c r="V52">
        <f>IF(OR(T52="",U52="",T52=U52),"",100*($E52-U52)/(T52-U52))</f>
        <v>0</v>
      </c>
      <c r="W52">
        <f>IF(COUNT($V$50:$V$52)&lt;3,"",AVERAGE($V$50:$V$52))</f>
        <v>0</v>
      </c>
      <c r="X52">
        <f>IF(COUNT($N$39:$N$52)&lt;14,"",MIN($N$39:$N$52))</f>
        <v>0</v>
      </c>
      <c r="Y52">
        <f>IF(COUNT($N$39:$N$52)&lt;14,"",MAX($N$39:$N$52))</f>
        <v>0</v>
      </c>
      <c r="Z52">
        <f>IF(OR(N52="",X52="",Y52="",Y52=X52),"",100*(N52-X52)/(Y52-X52))</f>
        <v>0</v>
      </c>
      <c r="AA52">
        <f>IF(COUNT($Z$50:$Z$52)&lt;3,"",AVERAGE($Z$50:$Z$52))</f>
        <v>0</v>
      </c>
      <c r="AB52">
        <f>IF(COUNT($AA$50:$AA$52)&lt;3,"",AVERAGE($AA$50:$AA$52))</f>
        <v>0</v>
      </c>
      <c r="AC52">
        <f>IF($E52="","",MAX($C52-$D52,ABS($C52-$E51),ABS($D52-$E51)))</f>
        <v>0</v>
      </c>
      <c r="AD52">
        <f>IF(COUNT($E$2:$E52)&lt;15,"",AVERAGE($AC$39:$AC$52))</f>
        <v>0</v>
      </c>
      <c r="AE52">
        <f>IF(OR($E52="",$E51=""),"",IF(AND(($C52-$C51)&gt;($D51-$D52),($C52-$C51)&gt;0),$C52-$C51,0))</f>
        <v>0</v>
      </c>
      <c r="AF52">
        <f>IF(OR($E52="",$E51=""),"",IF(AND(($D51-$D52)&gt;($C52-$C51),($D51-$D52)&gt;0),$D51-$D52,0))</f>
        <v>0</v>
      </c>
      <c r="AG52">
        <f>IF(COUNT($E$2:$E52)&lt;15,"",IF(SUM($AC$39:$AC$52)=0,0,100*SUM($AE$39:$AE$52)/SUM($AC$39:$AC$52)))</f>
        <v>0</v>
      </c>
      <c r="AH52">
        <f>IF(COUNT($E$2:$E52)&lt;15,"",IF(SUM($AC$39:$AC$52)=0,0,100*SUM($AF$39:$AF$52)/SUM($AC$39:$AC$52)))</f>
        <v>0</v>
      </c>
      <c r="AI52">
        <f>IF(OR(AG52="",AH52=""),"",IF((AG52+AH52)=0,0,100*ABS(AG52-AH52)/(AG52+AH52)))</f>
        <v>0</v>
      </c>
      <c r="AJ52">
        <f>IF(COUNT($AI$39:$AI$52)&lt;14,"",AVERAGE($AI$39:$AI$52))</f>
        <v>0</v>
      </c>
      <c r="AK52">
        <f>IF(COUNT($E$2:$E52)&lt;20,"",AVERAGE($E$33:$E$52))</f>
        <v>0</v>
      </c>
      <c r="AL52">
        <f>IF(COUNT($E$2:$E52)&lt;20,"",STDEVP($E$33:$E$52))</f>
        <v>0</v>
      </c>
      <c r="AM52">
        <f>IF(AK52="","",AK52+2*AL52)</f>
        <v>0</v>
      </c>
      <c r="AN52">
        <f>IF(AK52="","",AK52-2*AL52)</f>
        <v>0</v>
      </c>
      <c r="AO52">
        <f>IF(OR(AM52="",AN52="",AM52=AN52),"",($E52-AN52)/(AM52-AN52))</f>
        <v>0</v>
      </c>
      <c r="AP52">
        <f>IF(OR(AM52="",AK52="",AK52=0),"",(AM52-AN52)/AK52)</f>
        <v>0</v>
      </c>
      <c r="AQ52">
        <f>IF(COUNT($E$2:$E52)&lt;20,"",MAX($C$33:$C$52))</f>
        <v>0</v>
      </c>
      <c r="AR52">
        <f>IF(COUNT($E$2:$E52)&lt;20,"",MIN($D$33:$D$52))</f>
        <v>0</v>
      </c>
      <c r="AS52">
        <f>IF(OR(AQ52="",AR52=""),"",(AQ52+AR52)/2)</f>
        <v>0</v>
      </c>
      <c r="AT52">
        <f>IF(COUNT($G$33:$G$52)&lt;20,"",STDEV($G$33:$G$52)*SQRT(12))</f>
        <v>0</v>
      </c>
      <c r="AU52">
        <f>IF(COUNT($E$2:$E52)&lt;9,"",(MAX($C$44:$C$52)+MIN($D$44:$D$52))/2)</f>
        <v>0</v>
      </c>
      <c r="AV52">
        <f>IF(COUNT($E$2:$E52)&lt;26,"",(MAX($C$27:$C$52)+MIN($D$27:$D$52))/2)</f>
        <v>0</v>
      </c>
      <c r="AW52">
        <f>IF(OR(AU52="",AV52=""),"",(AU52+AV52)/2)</f>
        <v>0</v>
      </c>
      <c r="AX52">
        <f>IF(COUNT($E$2:$E52)&lt;52,"",(MAX($C$2:$C$52)+MIN($D$2:$D$52))/2)</f>
        <v>0</v>
      </c>
      <c r="AY52">
        <f>IF(COUNT($E$2:$E52)&lt;20,"",MAX($C$2:$C$52))</f>
        <v>0</v>
      </c>
      <c r="AZ52">
        <f>IF(COUNT($E$2:$E52)&lt;20,"",MIN($D$2:$D$52))</f>
        <v>0</v>
      </c>
      <c r="BA52">
        <f>IF(COUNT($E$2:$E52)&lt;20,"",SLOPE($E$2:$E$52,$F$2:$F$52))</f>
        <v>0</v>
      </c>
      <c r="BB52">
        <f>IF(COUNT($E$2:$E52)&lt;20,"",INTERCEPT($E$2:$E$52,$F$2:$F$52))</f>
        <v>0</v>
      </c>
      <c r="BC52">
        <f>IF(OR(BA52="",BB52=""),"",BB52+BA52*F52)</f>
        <v>0</v>
      </c>
      <c r="BD52">
        <f>IF(COUNT($E$2:$E52)&lt;20,"",STEYX($E$2:$E$52,$F$2:$F$52))</f>
        <v>0</v>
      </c>
      <c r="BE52">
        <f>IF($E52="","",IF(AND(COUNT($E$53:$E$56)&gt;=4,$C52=MAX($C$48:$C$56)),$C52,""))</f>
        <v>0</v>
      </c>
      <c r="BF52">
        <f>IF($E52="","",IF(AND(COUNT($E$53:$E$56)&gt;=4,$D52=MIN($D$48:$D$56)),$D52,""))</f>
        <v>0</v>
      </c>
      <c r="BG52">
        <f>IFERROR(SMALL(Calc_Daily!$BT$2:$BT$2001,51),"")</f>
        <v>0</v>
      </c>
    </row>
    <row r="53" spans="1:59">
      <c r="A53" s="27">
        <f>IF($BG53="","",INDEX(Calc_Daily!$A$2:$A$2001,$BG53))</f>
        <v>0</v>
      </c>
      <c r="B53">
        <f>IF($BG53="","",INDEX(Calc_Daily!$BQ$2:$BQ$2001,$BG53))</f>
        <v>0</v>
      </c>
      <c r="C53">
        <f>IF($BG53="","",INDEX(Calc_Daily!$BR$2:$BR$2001,$BG53))</f>
        <v>0</v>
      </c>
      <c r="D53">
        <f>IF($BG53="","",INDEX(Calc_Daily!$BS$2:$BS$2001,$BG53))</f>
        <v>0</v>
      </c>
      <c r="E53">
        <f>IF($BG53="","",INDEX(Calc_Daily!$E$2:$E$2001,$BG53))</f>
        <v>0</v>
      </c>
      <c r="F53">
        <f>IF($E53="","",N(F52)+1)</f>
        <v>0</v>
      </c>
      <c r="G53">
        <f>IF(OR($E53="",$E52=""),"",LN($E53/$E52))</f>
        <v>0</v>
      </c>
      <c r="H53">
        <f>IF($E53="","",IF($E52="",$E53,$E53*0.0952380952+H52*0.9047619048))</f>
        <v>0</v>
      </c>
      <c r="I53">
        <f>IF($E53="","",IF($E52="",$E53,$E53*0.0392156863+I52*0.9607843137))</f>
        <v>0</v>
      </c>
      <c r="J53">
        <f>IF($E53="","",IF($E52="",$E53,$E53*0.0198019802+J52*0.9801980198))</f>
        <v>0</v>
      </c>
      <c r="K53">
        <f>IF($E53="","",IF($E52="",$E53,$E53*0.0099502488+K52*0.9900497512))</f>
        <v>0</v>
      </c>
      <c r="L53">
        <f>IF(OR($E53="",$E52=""),"",MAX($E53-$E52,0))</f>
        <v>0</v>
      </c>
      <c r="M53">
        <f>IF(OR($E53="",$E52=""),"",MAX($E52-$E53,0))</f>
        <v>0</v>
      </c>
      <c r="N53">
        <f>IF(COUNT($E$2:$E53)&lt;15,"",IF(AVERAGE($M$40:$M$53)=0,100,100-100/(1+AVERAGE($L$40:$L$53)/AVERAGE($M$40:$M$53))))</f>
        <v>0</v>
      </c>
      <c r="O53">
        <f>IF($E53="","",IF($E52="",$E53,$E53*0.1538461538+O52*0.8461538462))</f>
        <v>0</v>
      </c>
      <c r="P53">
        <f>IF($E53="","",IF($E52="",$E53,$E53*0.0740740741+P52*0.9259259259))</f>
        <v>0</v>
      </c>
      <c r="Q53">
        <f>IF(OR(O53="",P53=""),"",O53-P53)</f>
        <v>0</v>
      </c>
      <c r="R53">
        <f>IF(Q53="","",IF(R52="",Q53,Q53*0.2000000000+R52*0.8000000000))</f>
        <v>0</v>
      </c>
      <c r="S53">
        <f>IF(OR(Q53="",R53=""),"",Q53-R53)</f>
        <v>0</v>
      </c>
      <c r="T53">
        <f>IF(COUNT($E$2:$E53)&lt;14,"",MAX($C$40:$C$53))</f>
        <v>0</v>
      </c>
      <c r="U53">
        <f>IF(COUNT($E$2:$E53)&lt;14,"",MIN($D$40:$D$53))</f>
        <v>0</v>
      </c>
      <c r="V53">
        <f>IF(OR(T53="",U53="",T53=U53),"",100*($E53-U53)/(T53-U53))</f>
        <v>0</v>
      </c>
      <c r="W53">
        <f>IF(COUNT($V$51:$V$53)&lt;3,"",AVERAGE($V$51:$V$53))</f>
        <v>0</v>
      </c>
      <c r="X53">
        <f>IF(COUNT($N$40:$N$53)&lt;14,"",MIN($N$40:$N$53))</f>
        <v>0</v>
      </c>
      <c r="Y53">
        <f>IF(COUNT($N$40:$N$53)&lt;14,"",MAX($N$40:$N$53))</f>
        <v>0</v>
      </c>
      <c r="Z53">
        <f>IF(OR(N53="",X53="",Y53="",Y53=X53),"",100*(N53-X53)/(Y53-X53))</f>
        <v>0</v>
      </c>
      <c r="AA53">
        <f>IF(COUNT($Z$51:$Z$53)&lt;3,"",AVERAGE($Z$51:$Z$53))</f>
        <v>0</v>
      </c>
      <c r="AB53">
        <f>IF(COUNT($AA$51:$AA$53)&lt;3,"",AVERAGE($AA$51:$AA$53))</f>
        <v>0</v>
      </c>
      <c r="AC53">
        <f>IF($E53="","",MAX($C53-$D53,ABS($C53-$E52),ABS($D53-$E52)))</f>
        <v>0</v>
      </c>
      <c r="AD53">
        <f>IF(COUNT($E$2:$E53)&lt;15,"",AVERAGE($AC$40:$AC$53))</f>
        <v>0</v>
      </c>
      <c r="AE53">
        <f>IF(OR($E53="",$E52=""),"",IF(AND(($C53-$C52)&gt;($D52-$D53),($C53-$C52)&gt;0),$C53-$C52,0))</f>
        <v>0</v>
      </c>
      <c r="AF53">
        <f>IF(OR($E53="",$E52=""),"",IF(AND(($D52-$D53)&gt;($C53-$C52),($D52-$D53)&gt;0),$D52-$D53,0))</f>
        <v>0</v>
      </c>
      <c r="AG53">
        <f>IF(COUNT($E$2:$E53)&lt;15,"",IF(SUM($AC$40:$AC$53)=0,0,100*SUM($AE$40:$AE$53)/SUM($AC$40:$AC$53)))</f>
        <v>0</v>
      </c>
      <c r="AH53">
        <f>IF(COUNT($E$2:$E53)&lt;15,"",IF(SUM($AC$40:$AC$53)=0,0,100*SUM($AF$40:$AF$53)/SUM($AC$40:$AC$53)))</f>
        <v>0</v>
      </c>
      <c r="AI53">
        <f>IF(OR(AG53="",AH53=""),"",IF((AG53+AH53)=0,0,100*ABS(AG53-AH53)/(AG53+AH53)))</f>
        <v>0</v>
      </c>
      <c r="AJ53">
        <f>IF(COUNT($AI$40:$AI$53)&lt;14,"",AVERAGE($AI$40:$AI$53))</f>
        <v>0</v>
      </c>
      <c r="AK53">
        <f>IF(COUNT($E$2:$E53)&lt;20,"",AVERAGE($E$34:$E$53))</f>
        <v>0</v>
      </c>
      <c r="AL53">
        <f>IF(COUNT($E$2:$E53)&lt;20,"",STDEVP($E$34:$E$53))</f>
        <v>0</v>
      </c>
      <c r="AM53">
        <f>IF(AK53="","",AK53+2*AL53)</f>
        <v>0</v>
      </c>
      <c r="AN53">
        <f>IF(AK53="","",AK53-2*AL53)</f>
        <v>0</v>
      </c>
      <c r="AO53">
        <f>IF(OR(AM53="",AN53="",AM53=AN53),"",($E53-AN53)/(AM53-AN53))</f>
        <v>0</v>
      </c>
      <c r="AP53">
        <f>IF(OR(AM53="",AK53="",AK53=0),"",(AM53-AN53)/AK53)</f>
        <v>0</v>
      </c>
      <c r="AQ53">
        <f>IF(COUNT($E$2:$E53)&lt;20,"",MAX($C$34:$C$53))</f>
        <v>0</v>
      </c>
      <c r="AR53">
        <f>IF(COUNT($E$2:$E53)&lt;20,"",MIN($D$34:$D$53))</f>
        <v>0</v>
      </c>
      <c r="AS53">
        <f>IF(OR(AQ53="",AR53=""),"",(AQ53+AR53)/2)</f>
        <v>0</v>
      </c>
      <c r="AT53">
        <f>IF(COUNT($G$34:$G$53)&lt;20,"",STDEV($G$34:$G$53)*SQRT(12))</f>
        <v>0</v>
      </c>
      <c r="AU53">
        <f>IF(COUNT($E$2:$E53)&lt;9,"",(MAX($C$45:$C$53)+MIN($D$45:$D$53))/2)</f>
        <v>0</v>
      </c>
      <c r="AV53">
        <f>IF(COUNT($E$2:$E53)&lt;26,"",(MAX($C$28:$C$53)+MIN($D$28:$D$53))/2)</f>
        <v>0</v>
      </c>
      <c r="AW53">
        <f>IF(OR(AU53="",AV53=""),"",(AU53+AV53)/2)</f>
        <v>0</v>
      </c>
      <c r="AX53">
        <f>IF(COUNT($E$2:$E53)&lt;52,"",(MAX($C$2:$C$53)+MIN($D$2:$D$53))/2)</f>
        <v>0</v>
      </c>
      <c r="AY53">
        <f>IF(COUNT($E$2:$E53)&lt;20,"",MAX($C$2:$C$53))</f>
        <v>0</v>
      </c>
      <c r="AZ53">
        <f>IF(COUNT($E$2:$E53)&lt;20,"",MIN($D$2:$D$53))</f>
        <v>0</v>
      </c>
      <c r="BA53">
        <f>IF(COUNT($E$2:$E53)&lt;20,"",SLOPE($E$2:$E$53,$F$2:$F$53))</f>
        <v>0</v>
      </c>
      <c r="BB53">
        <f>IF(COUNT($E$2:$E53)&lt;20,"",INTERCEPT($E$2:$E$53,$F$2:$F$53))</f>
        <v>0</v>
      </c>
      <c r="BC53">
        <f>IF(OR(BA53="",BB53=""),"",BB53+BA53*F53)</f>
        <v>0</v>
      </c>
      <c r="BD53">
        <f>IF(COUNT($E$2:$E53)&lt;20,"",STEYX($E$2:$E$53,$F$2:$F$53))</f>
        <v>0</v>
      </c>
      <c r="BE53">
        <f>IF($E53="","",IF(AND(COUNT($E$54:$E$57)&gt;=4,$C53=MAX($C$49:$C$57)),$C53,""))</f>
        <v>0</v>
      </c>
      <c r="BF53">
        <f>IF($E53="","",IF(AND(COUNT($E$54:$E$57)&gt;=4,$D53=MIN($D$49:$D$57)),$D53,""))</f>
        <v>0</v>
      </c>
      <c r="BG53">
        <f>IFERROR(SMALL(Calc_Daily!$BT$2:$BT$2001,52),"")</f>
        <v>0</v>
      </c>
    </row>
    <row r="54" spans="1:59">
      <c r="A54" s="27">
        <f>IF($BG54="","",INDEX(Calc_Daily!$A$2:$A$2001,$BG54))</f>
        <v>0</v>
      </c>
      <c r="B54">
        <f>IF($BG54="","",INDEX(Calc_Daily!$BQ$2:$BQ$2001,$BG54))</f>
        <v>0</v>
      </c>
      <c r="C54">
        <f>IF($BG54="","",INDEX(Calc_Daily!$BR$2:$BR$2001,$BG54))</f>
        <v>0</v>
      </c>
      <c r="D54">
        <f>IF($BG54="","",INDEX(Calc_Daily!$BS$2:$BS$2001,$BG54))</f>
        <v>0</v>
      </c>
      <c r="E54">
        <f>IF($BG54="","",INDEX(Calc_Daily!$E$2:$E$2001,$BG54))</f>
        <v>0</v>
      </c>
      <c r="F54">
        <f>IF($E54="","",N(F53)+1)</f>
        <v>0</v>
      </c>
      <c r="G54">
        <f>IF(OR($E54="",$E53=""),"",LN($E54/$E53))</f>
        <v>0</v>
      </c>
      <c r="H54">
        <f>IF($E54="","",IF($E53="",$E54,$E54*0.0952380952+H53*0.9047619048))</f>
        <v>0</v>
      </c>
      <c r="I54">
        <f>IF($E54="","",IF($E53="",$E54,$E54*0.0392156863+I53*0.9607843137))</f>
        <v>0</v>
      </c>
      <c r="J54">
        <f>IF($E54="","",IF($E53="",$E54,$E54*0.0198019802+J53*0.9801980198))</f>
        <v>0</v>
      </c>
      <c r="K54">
        <f>IF($E54="","",IF($E53="",$E54,$E54*0.0099502488+K53*0.9900497512))</f>
        <v>0</v>
      </c>
      <c r="L54">
        <f>IF(OR($E54="",$E53=""),"",MAX($E54-$E53,0))</f>
        <v>0</v>
      </c>
      <c r="M54">
        <f>IF(OR($E54="",$E53=""),"",MAX($E53-$E54,0))</f>
        <v>0</v>
      </c>
      <c r="N54">
        <f>IF(COUNT($E$2:$E54)&lt;15,"",IF(AVERAGE($M$41:$M$54)=0,100,100-100/(1+AVERAGE($L$41:$L$54)/AVERAGE($M$41:$M$54))))</f>
        <v>0</v>
      </c>
      <c r="O54">
        <f>IF($E54="","",IF($E53="",$E54,$E54*0.1538461538+O53*0.8461538462))</f>
        <v>0</v>
      </c>
      <c r="P54">
        <f>IF($E54="","",IF($E53="",$E54,$E54*0.0740740741+P53*0.9259259259))</f>
        <v>0</v>
      </c>
      <c r="Q54">
        <f>IF(OR(O54="",P54=""),"",O54-P54)</f>
        <v>0</v>
      </c>
      <c r="R54">
        <f>IF(Q54="","",IF(R53="",Q54,Q54*0.2000000000+R53*0.8000000000))</f>
        <v>0</v>
      </c>
      <c r="S54">
        <f>IF(OR(Q54="",R54=""),"",Q54-R54)</f>
        <v>0</v>
      </c>
      <c r="T54">
        <f>IF(COUNT($E$2:$E54)&lt;14,"",MAX($C$41:$C$54))</f>
        <v>0</v>
      </c>
      <c r="U54">
        <f>IF(COUNT($E$2:$E54)&lt;14,"",MIN($D$41:$D$54))</f>
        <v>0</v>
      </c>
      <c r="V54">
        <f>IF(OR(T54="",U54="",T54=U54),"",100*($E54-U54)/(T54-U54))</f>
        <v>0</v>
      </c>
      <c r="W54">
        <f>IF(COUNT($V$52:$V$54)&lt;3,"",AVERAGE($V$52:$V$54))</f>
        <v>0</v>
      </c>
      <c r="X54">
        <f>IF(COUNT($N$41:$N$54)&lt;14,"",MIN($N$41:$N$54))</f>
        <v>0</v>
      </c>
      <c r="Y54">
        <f>IF(COUNT($N$41:$N$54)&lt;14,"",MAX($N$41:$N$54))</f>
        <v>0</v>
      </c>
      <c r="Z54">
        <f>IF(OR(N54="",X54="",Y54="",Y54=X54),"",100*(N54-X54)/(Y54-X54))</f>
        <v>0</v>
      </c>
      <c r="AA54">
        <f>IF(COUNT($Z$52:$Z$54)&lt;3,"",AVERAGE($Z$52:$Z$54))</f>
        <v>0</v>
      </c>
      <c r="AB54">
        <f>IF(COUNT($AA$52:$AA$54)&lt;3,"",AVERAGE($AA$52:$AA$54))</f>
        <v>0</v>
      </c>
      <c r="AC54">
        <f>IF($E54="","",MAX($C54-$D54,ABS($C54-$E53),ABS($D54-$E53)))</f>
        <v>0</v>
      </c>
      <c r="AD54">
        <f>IF(COUNT($E$2:$E54)&lt;15,"",AVERAGE($AC$41:$AC$54))</f>
        <v>0</v>
      </c>
      <c r="AE54">
        <f>IF(OR($E54="",$E53=""),"",IF(AND(($C54-$C53)&gt;($D53-$D54),($C54-$C53)&gt;0),$C54-$C53,0))</f>
        <v>0</v>
      </c>
      <c r="AF54">
        <f>IF(OR($E54="",$E53=""),"",IF(AND(($D53-$D54)&gt;($C54-$C53),($D53-$D54)&gt;0),$D53-$D54,0))</f>
        <v>0</v>
      </c>
      <c r="AG54">
        <f>IF(COUNT($E$2:$E54)&lt;15,"",IF(SUM($AC$41:$AC$54)=0,0,100*SUM($AE$41:$AE$54)/SUM($AC$41:$AC$54)))</f>
        <v>0</v>
      </c>
      <c r="AH54">
        <f>IF(COUNT($E$2:$E54)&lt;15,"",IF(SUM($AC$41:$AC$54)=0,0,100*SUM($AF$41:$AF$54)/SUM($AC$41:$AC$54)))</f>
        <v>0</v>
      </c>
      <c r="AI54">
        <f>IF(OR(AG54="",AH54=""),"",IF((AG54+AH54)=0,0,100*ABS(AG54-AH54)/(AG54+AH54)))</f>
        <v>0</v>
      </c>
      <c r="AJ54">
        <f>IF(COUNT($AI$41:$AI$54)&lt;14,"",AVERAGE($AI$41:$AI$54))</f>
        <v>0</v>
      </c>
      <c r="AK54">
        <f>IF(COUNT($E$2:$E54)&lt;20,"",AVERAGE($E$35:$E$54))</f>
        <v>0</v>
      </c>
      <c r="AL54">
        <f>IF(COUNT($E$2:$E54)&lt;20,"",STDEVP($E$35:$E$54))</f>
        <v>0</v>
      </c>
      <c r="AM54">
        <f>IF(AK54="","",AK54+2*AL54)</f>
        <v>0</v>
      </c>
      <c r="AN54">
        <f>IF(AK54="","",AK54-2*AL54)</f>
        <v>0</v>
      </c>
      <c r="AO54">
        <f>IF(OR(AM54="",AN54="",AM54=AN54),"",($E54-AN54)/(AM54-AN54))</f>
        <v>0</v>
      </c>
      <c r="AP54">
        <f>IF(OR(AM54="",AK54="",AK54=0),"",(AM54-AN54)/AK54)</f>
        <v>0</v>
      </c>
      <c r="AQ54">
        <f>IF(COUNT($E$2:$E54)&lt;20,"",MAX($C$35:$C$54))</f>
        <v>0</v>
      </c>
      <c r="AR54">
        <f>IF(COUNT($E$2:$E54)&lt;20,"",MIN($D$35:$D$54))</f>
        <v>0</v>
      </c>
      <c r="AS54">
        <f>IF(OR(AQ54="",AR54=""),"",(AQ54+AR54)/2)</f>
        <v>0</v>
      </c>
      <c r="AT54">
        <f>IF(COUNT($G$35:$G$54)&lt;20,"",STDEV($G$35:$G$54)*SQRT(12))</f>
        <v>0</v>
      </c>
      <c r="AU54">
        <f>IF(COUNT($E$2:$E54)&lt;9,"",(MAX($C$46:$C$54)+MIN($D$46:$D$54))/2)</f>
        <v>0</v>
      </c>
      <c r="AV54">
        <f>IF(COUNT($E$2:$E54)&lt;26,"",(MAX($C$29:$C$54)+MIN($D$29:$D$54))/2)</f>
        <v>0</v>
      </c>
      <c r="AW54">
        <f>IF(OR(AU54="",AV54=""),"",(AU54+AV54)/2)</f>
        <v>0</v>
      </c>
      <c r="AX54">
        <f>IF(COUNT($E$2:$E54)&lt;52,"",(MAX($C$3:$C$54)+MIN($D$3:$D$54))/2)</f>
        <v>0</v>
      </c>
      <c r="AY54">
        <f>IF(COUNT($E$2:$E54)&lt;20,"",MAX($C$2:$C$54))</f>
        <v>0</v>
      </c>
      <c r="AZ54">
        <f>IF(COUNT($E$2:$E54)&lt;20,"",MIN($D$2:$D$54))</f>
        <v>0</v>
      </c>
      <c r="BA54">
        <f>IF(COUNT($E$2:$E54)&lt;20,"",SLOPE($E$2:$E$54,$F$2:$F$54))</f>
        <v>0</v>
      </c>
      <c r="BB54">
        <f>IF(COUNT($E$2:$E54)&lt;20,"",INTERCEPT($E$2:$E$54,$F$2:$F$54))</f>
        <v>0</v>
      </c>
      <c r="BC54">
        <f>IF(OR(BA54="",BB54=""),"",BB54+BA54*F54)</f>
        <v>0</v>
      </c>
      <c r="BD54">
        <f>IF(COUNT($E$2:$E54)&lt;20,"",STEYX($E$2:$E$54,$F$2:$F$54))</f>
        <v>0</v>
      </c>
      <c r="BE54">
        <f>IF($E54="","",IF(AND(COUNT($E$55:$E$58)&gt;=4,$C54=MAX($C$50:$C$58)),$C54,""))</f>
        <v>0</v>
      </c>
      <c r="BF54">
        <f>IF($E54="","",IF(AND(COUNT($E$55:$E$58)&gt;=4,$D54=MIN($D$50:$D$58)),$D54,""))</f>
        <v>0</v>
      </c>
      <c r="BG54">
        <f>IFERROR(SMALL(Calc_Daily!$BT$2:$BT$2001,53),"")</f>
        <v>0</v>
      </c>
    </row>
    <row r="55" spans="1:59">
      <c r="A55" s="27">
        <f>IF($BG55="","",INDEX(Calc_Daily!$A$2:$A$2001,$BG55))</f>
        <v>0</v>
      </c>
      <c r="B55">
        <f>IF($BG55="","",INDEX(Calc_Daily!$BQ$2:$BQ$2001,$BG55))</f>
        <v>0</v>
      </c>
      <c r="C55">
        <f>IF($BG55="","",INDEX(Calc_Daily!$BR$2:$BR$2001,$BG55))</f>
        <v>0</v>
      </c>
      <c r="D55">
        <f>IF($BG55="","",INDEX(Calc_Daily!$BS$2:$BS$2001,$BG55))</f>
        <v>0</v>
      </c>
      <c r="E55">
        <f>IF($BG55="","",INDEX(Calc_Daily!$E$2:$E$2001,$BG55))</f>
        <v>0</v>
      </c>
      <c r="F55">
        <f>IF($E55="","",N(F54)+1)</f>
        <v>0</v>
      </c>
      <c r="G55">
        <f>IF(OR($E55="",$E54=""),"",LN($E55/$E54))</f>
        <v>0</v>
      </c>
      <c r="H55">
        <f>IF($E55="","",IF($E54="",$E55,$E55*0.0952380952+H54*0.9047619048))</f>
        <v>0</v>
      </c>
      <c r="I55">
        <f>IF($E55="","",IF($E54="",$E55,$E55*0.0392156863+I54*0.9607843137))</f>
        <v>0</v>
      </c>
      <c r="J55">
        <f>IF($E55="","",IF($E54="",$E55,$E55*0.0198019802+J54*0.9801980198))</f>
        <v>0</v>
      </c>
      <c r="K55">
        <f>IF($E55="","",IF($E54="",$E55,$E55*0.0099502488+K54*0.9900497512))</f>
        <v>0</v>
      </c>
      <c r="L55">
        <f>IF(OR($E55="",$E54=""),"",MAX($E55-$E54,0))</f>
        <v>0</v>
      </c>
      <c r="M55">
        <f>IF(OR($E55="",$E54=""),"",MAX($E54-$E55,0))</f>
        <v>0</v>
      </c>
      <c r="N55">
        <f>IF(COUNT($E$2:$E55)&lt;15,"",IF(AVERAGE($M$42:$M$55)=0,100,100-100/(1+AVERAGE($L$42:$L$55)/AVERAGE($M$42:$M$55))))</f>
        <v>0</v>
      </c>
      <c r="O55">
        <f>IF($E55="","",IF($E54="",$E55,$E55*0.1538461538+O54*0.8461538462))</f>
        <v>0</v>
      </c>
      <c r="P55">
        <f>IF($E55="","",IF($E54="",$E55,$E55*0.0740740741+P54*0.9259259259))</f>
        <v>0</v>
      </c>
      <c r="Q55">
        <f>IF(OR(O55="",P55=""),"",O55-P55)</f>
        <v>0</v>
      </c>
      <c r="R55">
        <f>IF(Q55="","",IF(R54="",Q55,Q55*0.2000000000+R54*0.8000000000))</f>
        <v>0</v>
      </c>
      <c r="S55">
        <f>IF(OR(Q55="",R55=""),"",Q55-R55)</f>
        <v>0</v>
      </c>
      <c r="T55">
        <f>IF(COUNT($E$2:$E55)&lt;14,"",MAX($C$42:$C$55))</f>
        <v>0</v>
      </c>
      <c r="U55">
        <f>IF(COUNT($E$2:$E55)&lt;14,"",MIN($D$42:$D$55))</f>
        <v>0</v>
      </c>
      <c r="V55">
        <f>IF(OR(T55="",U55="",T55=U55),"",100*($E55-U55)/(T55-U55))</f>
        <v>0</v>
      </c>
      <c r="W55">
        <f>IF(COUNT($V$53:$V$55)&lt;3,"",AVERAGE($V$53:$V$55))</f>
        <v>0</v>
      </c>
      <c r="X55">
        <f>IF(COUNT($N$42:$N$55)&lt;14,"",MIN($N$42:$N$55))</f>
        <v>0</v>
      </c>
      <c r="Y55">
        <f>IF(COUNT($N$42:$N$55)&lt;14,"",MAX($N$42:$N$55))</f>
        <v>0</v>
      </c>
      <c r="Z55">
        <f>IF(OR(N55="",X55="",Y55="",Y55=X55),"",100*(N55-X55)/(Y55-X55))</f>
        <v>0</v>
      </c>
      <c r="AA55">
        <f>IF(COUNT($Z$53:$Z$55)&lt;3,"",AVERAGE($Z$53:$Z$55))</f>
        <v>0</v>
      </c>
      <c r="AB55">
        <f>IF(COUNT($AA$53:$AA$55)&lt;3,"",AVERAGE($AA$53:$AA$55))</f>
        <v>0</v>
      </c>
      <c r="AC55">
        <f>IF($E55="","",MAX($C55-$D55,ABS($C55-$E54),ABS($D55-$E54)))</f>
        <v>0</v>
      </c>
      <c r="AD55">
        <f>IF(COUNT($E$2:$E55)&lt;15,"",AVERAGE($AC$42:$AC$55))</f>
        <v>0</v>
      </c>
      <c r="AE55">
        <f>IF(OR($E55="",$E54=""),"",IF(AND(($C55-$C54)&gt;($D54-$D55),($C55-$C54)&gt;0),$C55-$C54,0))</f>
        <v>0</v>
      </c>
      <c r="AF55">
        <f>IF(OR($E55="",$E54=""),"",IF(AND(($D54-$D55)&gt;($C55-$C54),($D54-$D55)&gt;0),$D54-$D55,0))</f>
        <v>0</v>
      </c>
      <c r="AG55">
        <f>IF(COUNT($E$2:$E55)&lt;15,"",IF(SUM($AC$42:$AC$55)=0,0,100*SUM($AE$42:$AE$55)/SUM($AC$42:$AC$55)))</f>
        <v>0</v>
      </c>
      <c r="AH55">
        <f>IF(COUNT($E$2:$E55)&lt;15,"",IF(SUM($AC$42:$AC$55)=0,0,100*SUM($AF$42:$AF$55)/SUM($AC$42:$AC$55)))</f>
        <v>0</v>
      </c>
      <c r="AI55">
        <f>IF(OR(AG55="",AH55=""),"",IF((AG55+AH55)=0,0,100*ABS(AG55-AH55)/(AG55+AH55)))</f>
        <v>0</v>
      </c>
      <c r="AJ55">
        <f>IF(COUNT($AI$42:$AI$55)&lt;14,"",AVERAGE($AI$42:$AI$55))</f>
        <v>0</v>
      </c>
      <c r="AK55">
        <f>IF(COUNT($E$2:$E55)&lt;20,"",AVERAGE($E$36:$E$55))</f>
        <v>0</v>
      </c>
      <c r="AL55">
        <f>IF(COUNT($E$2:$E55)&lt;20,"",STDEVP($E$36:$E$55))</f>
        <v>0</v>
      </c>
      <c r="AM55">
        <f>IF(AK55="","",AK55+2*AL55)</f>
        <v>0</v>
      </c>
      <c r="AN55">
        <f>IF(AK55="","",AK55-2*AL55)</f>
        <v>0</v>
      </c>
      <c r="AO55">
        <f>IF(OR(AM55="",AN55="",AM55=AN55),"",($E55-AN55)/(AM55-AN55))</f>
        <v>0</v>
      </c>
      <c r="AP55">
        <f>IF(OR(AM55="",AK55="",AK55=0),"",(AM55-AN55)/AK55)</f>
        <v>0</v>
      </c>
      <c r="AQ55">
        <f>IF(COUNT($E$2:$E55)&lt;20,"",MAX($C$36:$C$55))</f>
        <v>0</v>
      </c>
      <c r="AR55">
        <f>IF(COUNT($E$2:$E55)&lt;20,"",MIN($D$36:$D$55))</f>
        <v>0</v>
      </c>
      <c r="AS55">
        <f>IF(OR(AQ55="",AR55=""),"",(AQ55+AR55)/2)</f>
        <v>0</v>
      </c>
      <c r="AT55">
        <f>IF(COUNT($G$36:$G$55)&lt;20,"",STDEV($G$36:$G$55)*SQRT(12))</f>
        <v>0</v>
      </c>
      <c r="AU55">
        <f>IF(COUNT($E$2:$E55)&lt;9,"",(MAX($C$47:$C$55)+MIN($D$47:$D$55))/2)</f>
        <v>0</v>
      </c>
      <c r="AV55">
        <f>IF(COUNT($E$2:$E55)&lt;26,"",(MAX($C$30:$C$55)+MIN($D$30:$D$55))/2)</f>
        <v>0</v>
      </c>
      <c r="AW55">
        <f>IF(OR(AU55="",AV55=""),"",(AU55+AV55)/2)</f>
        <v>0</v>
      </c>
      <c r="AX55">
        <f>IF(COUNT($E$2:$E55)&lt;52,"",(MAX($C$4:$C$55)+MIN($D$4:$D$55))/2)</f>
        <v>0</v>
      </c>
      <c r="AY55">
        <f>IF(COUNT($E$2:$E55)&lt;20,"",MAX($C$2:$C$55))</f>
        <v>0</v>
      </c>
      <c r="AZ55">
        <f>IF(COUNT($E$2:$E55)&lt;20,"",MIN($D$2:$D$55))</f>
        <v>0</v>
      </c>
      <c r="BA55">
        <f>IF(COUNT($E$2:$E55)&lt;20,"",SLOPE($E$2:$E$55,$F$2:$F$55))</f>
        <v>0</v>
      </c>
      <c r="BB55">
        <f>IF(COUNT($E$2:$E55)&lt;20,"",INTERCEPT($E$2:$E$55,$F$2:$F$55))</f>
        <v>0</v>
      </c>
      <c r="BC55">
        <f>IF(OR(BA55="",BB55=""),"",BB55+BA55*F55)</f>
        <v>0</v>
      </c>
      <c r="BD55">
        <f>IF(COUNT($E$2:$E55)&lt;20,"",STEYX($E$2:$E$55,$F$2:$F$55))</f>
        <v>0</v>
      </c>
      <c r="BE55">
        <f>IF($E55="","",IF(AND(COUNT($E$56:$E$59)&gt;=4,$C55=MAX($C$51:$C$59)),$C55,""))</f>
        <v>0</v>
      </c>
      <c r="BF55">
        <f>IF($E55="","",IF(AND(COUNT($E$56:$E$59)&gt;=4,$D55=MIN($D$51:$D$59)),$D55,""))</f>
        <v>0</v>
      </c>
      <c r="BG55">
        <f>IFERROR(SMALL(Calc_Daily!$BT$2:$BT$2001,54),"")</f>
        <v>0</v>
      </c>
    </row>
    <row r="56" spans="1:59">
      <c r="A56" s="27">
        <f>IF($BG56="","",INDEX(Calc_Daily!$A$2:$A$2001,$BG56))</f>
        <v>0</v>
      </c>
      <c r="B56">
        <f>IF($BG56="","",INDEX(Calc_Daily!$BQ$2:$BQ$2001,$BG56))</f>
        <v>0</v>
      </c>
      <c r="C56">
        <f>IF($BG56="","",INDEX(Calc_Daily!$BR$2:$BR$2001,$BG56))</f>
        <v>0</v>
      </c>
      <c r="D56">
        <f>IF($BG56="","",INDEX(Calc_Daily!$BS$2:$BS$2001,$BG56))</f>
        <v>0</v>
      </c>
      <c r="E56">
        <f>IF($BG56="","",INDEX(Calc_Daily!$E$2:$E$2001,$BG56))</f>
        <v>0</v>
      </c>
      <c r="F56">
        <f>IF($E56="","",N(F55)+1)</f>
        <v>0</v>
      </c>
      <c r="G56">
        <f>IF(OR($E56="",$E55=""),"",LN($E56/$E55))</f>
        <v>0</v>
      </c>
      <c r="H56">
        <f>IF($E56="","",IF($E55="",$E56,$E56*0.0952380952+H55*0.9047619048))</f>
        <v>0</v>
      </c>
      <c r="I56">
        <f>IF($E56="","",IF($E55="",$E56,$E56*0.0392156863+I55*0.9607843137))</f>
        <v>0</v>
      </c>
      <c r="J56">
        <f>IF($E56="","",IF($E55="",$E56,$E56*0.0198019802+J55*0.9801980198))</f>
        <v>0</v>
      </c>
      <c r="K56">
        <f>IF($E56="","",IF($E55="",$E56,$E56*0.0099502488+K55*0.9900497512))</f>
        <v>0</v>
      </c>
      <c r="L56">
        <f>IF(OR($E56="",$E55=""),"",MAX($E56-$E55,0))</f>
        <v>0</v>
      </c>
      <c r="M56">
        <f>IF(OR($E56="",$E55=""),"",MAX($E55-$E56,0))</f>
        <v>0</v>
      </c>
      <c r="N56">
        <f>IF(COUNT($E$2:$E56)&lt;15,"",IF(AVERAGE($M$43:$M$56)=0,100,100-100/(1+AVERAGE($L$43:$L$56)/AVERAGE($M$43:$M$56))))</f>
        <v>0</v>
      </c>
      <c r="O56">
        <f>IF($E56="","",IF($E55="",$E56,$E56*0.1538461538+O55*0.8461538462))</f>
        <v>0</v>
      </c>
      <c r="P56">
        <f>IF($E56="","",IF($E55="",$E56,$E56*0.0740740741+P55*0.9259259259))</f>
        <v>0</v>
      </c>
      <c r="Q56">
        <f>IF(OR(O56="",P56=""),"",O56-P56)</f>
        <v>0</v>
      </c>
      <c r="R56">
        <f>IF(Q56="","",IF(R55="",Q56,Q56*0.2000000000+R55*0.8000000000))</f>
        <v>0</v>
      </c>
      <c r="S56">
        <f>IF(OR(Q56="",R56=""),"",Q56-R56)</f>
        <v>0</v>
      </c>
      <c r="T56">
        <f>IF(COUNT($E$2:$E56)&lt;14,"",MAX($C$43:$C$56))</f>
        <v>0</v>
      </c>
      <c r="U56">
        <f>IF(COUNT($E$2:$E56)&lt;14,"",MIN($D$43:$D$56))</f>
        <v>0</v>
      </c>
      <c r="V56">
        <f>IF(OR(T56="",U56="",T56=U56),"",100*($E56-U56)/(T56-U56))</f>
        <v>0</v>
      </c>
      <c r="W56">
        <f>IF(COUNT($V$54:$V$56)&lt;3,"",AVERAGE($V$54:$V$56))</f>
        <v>0</v>
      </c>
      <c r="X56">
        <f>IF(COUNT($N$43:$N$56)&lt;14,"",MIN($N$43:$N$56))</f>
        <v>0</v>
      </c>
      <c r="Y56">
        <f>IF(COUNT($N$43:$N$56)&lt;14,"",MAX($N$43:$N$56))</f>
        <v>0</v>
      </c>
      <c r="Z56">
        <f>IF(OR(N56="",X56="",Y56="",Y56=X56),"",100*(N56-X56)/(Y56-X56))</f>
        <v>0</v>
      </c>
      <c r="AA56">
        <f>IF(COUNT($Z$54:$Z$56)&lt;3,"",AVERAGE($Z$54:$Z$56))</f>
        <v>0</v>
      </c>
      <c r="AB56">
        <f>IF(COUNT($AA$54:$AA$56)&lt;3,"",AVERAGE($AA$54:$AA$56))</f>
        <v>0</v>
      </c>
      <c r="AC56">
        <f>IF($E56="","",MAX($C56-$D56,ABS($C56-$E55),ABS($D56-$E55)))</f>
        <v>0</v>
      </c>
      <c r="AD56">
        <f>IF(COUNT($E$2:$E56)&lt;15,"",AVERAGE($AC$43:$AC$56))</f>
        <v>0</v>
      </c>
      <c r="AE56">
        <f>IF(OR($E56="",$E55=""),"",IF(AND(($C56-$C55)&gt;($D55-$D56),($C56-$C55)&gt;0),$C56-$C55,0))</f>
        <v>0</v>
      </c>
      <c r="AF56">
        <f>IF(OR($E56="",$E55=""),"",IF(AND(($D55-$D56)&gt;($C56-$C55),($D55-$D56)&gt;0),$D55-$D56,0))</f>
        <v>0</v>
      </c>
      <c r="AG56">
        <f>IF(COUNT($E$2:$E56)&lt;15,"",IF(SUM($AC$43:$AC$56)=0,0,100*SUM($AE$43:$AE$56)/SUM($AC$43:$AC$56)))</f>
        <v>0</v>
      </c>
      <c r="AH56">
        <f>IF(COUNT($E$2:$E56)&lt;15,"",IF(SUM($AC$43:$AC$56)=0,0,100*SUM($AF$43:$AF$56)/SUM($AC$43:$AC$56)))</f>
        <v>0</v>
      </c>
      <c r="AI56">
        <f>IF(OR(AG56="",AH56=""),"",IF((AG56+AH56)=0,0,100*ABS(AG56-AH56)/(AG56+AH56)))</f>
        <v>0</v>
      </c>
      <c r="AJ56">
        <f>IF(COUNT($AI$43:$AI$56)&lt;14,"",AVERAGE($AI$43:$AI$56))</f>
        <v>0</v>
      </c>
      <c r="AK56">
        <f>IF(COUNT($E$2:$E56)&lt;20,"",AVERAGE($E$37:$E$56))</f>
        <v>0</v>
      </c>
      <c r="AL56">
        <f>IF(COUNT($E$2:$E56)&lt;20,"",STDEVP($E$37:$E$56))</f>
        <v>0</v>
      </c>
      <c r="AM56">
        <f>IF(AK56="","",AK56+2*AL56)</f>
        <v>0</v>
      </c>
      <c r="AN56">
        <f>IF(AK56="","",AK56-2*AL56)</f>
        <v>0</v>
      </c>
      <c r="AO56">
        <f>IF(OR(AM56="",AN56="",AM56=AN56),"",($E56-AN56)/(AM56-AN56))</f>
        <v>0</v>
      </c>
      <c r="AP56">
        <f>IF(OR(AM56="",AK56="",AK56=0),"",(AM56-AN56)/AK56)</f>
        <v>0</v>
      </c>
      <c r="AQ56">
        <f>IF(COUNT($E$2:$E56)&lt;20,"",MAX($C$37:$C$56))</f>
        <v>0</v>
      </c>
      <c r="AR56">
        <f>IF(COUNT($E$2:$E56)&lt;20,"",MIN($D$37:$D$56))</f>
        <v>0</v>
      </c>
      <c r="AS56">
        <f>IF(OR(AQ56="",AR56=""),"",(AQ56+AR56)/2)</f>
        <v>0</v>
      </c>
      <c r="AT56">
        <f>IF(COUNT($G$37:$G$56)&lt;20,"",STDEV($G$37:$G$56)*SQRT(12))</f>
        <v>0</v>
      </c>
      <c r="AU56">
        <f>IF(COUNT($E$2:$E56)&lt;9,"",(MAX($C$48:$C$56)+MIN($D$48:$D$56))/2)</f>
        <v>0</v>
      </c>
      <c r="AV56">
        <f>IF(COUNT($E$2:$E56)&lt;26,"",(MAX($C$31:$C$56)+MIN($D$31:$D$56))/2)</f>
        <v>0</v>
      </c>
      <c r="AW56">
        <f>IF(OR(AU56="",AV56=""),"",(AU56+AV56)/2)</f>
        <v>0</v>
      </c>
      <c r="AX56">
        <f>IF(COUNT($E$2:$E56)&lt;52,"",(MAX($C$5:$C$56)+MIN($D$5:$D$56))/2)</f>
        <v>0</v>
      </c>
      <c r="AY56">
        <f>IF(COUNT($E$2:$E56)&lt;20,"",MAX($C$2:$C$56))</f>
        <v>0</v>
      </c>
      <c r="AZ56">
        <f>IF(COUNT($E$2:$E56)&lt;20,"",MIN($D$2:$D$56))</f>
        <v>0</v>
      </c>
      <c r="BA56">
        <f>IF(COUNT($E$2:$E56)&lt;20,"",SLOPE($E$2:$E$56,$F$2:$F$56))</f>
        <v>0</v>
      </c>
      <c r="BB56">
        <f>IF(COUNT($E$2:$E56)&lt;20,"",INTERCEPT($E$2:$E$56,$F$2:$F$56))</f>
        <v>0</v>
      </c>
      <c r="BC56">
        <f>IF(OR(BA56="",BB56=""),"",BB56+BA56*F56)</f>
        <v>0</v>
      </c>
      <c r="BD56">
        <f>IF(COUNT($E$2:$E56)&lt;20,"",STEYX($E$2:$E$56,$F$2:$F$56))</f>
        <v>0</v>
      </c>
      <c r="BE56">
        <f>IF($E56="","",IF(AND(COUNT($E$57:$E$60)&gt;=4,$C56=MAX($C$52:$C$60)),$C56,""))</f>
        <v>0</v>
      </c>
      <c r="BF56">
        <f>IF($E56="","",IF(AND(COUNT($E$57:$E$60)&gt;=4,$D56=MIN($D$52:$D$60)),$D56,""))</f>
        <v>0</v>
      </c>
      <c r="BG56">
        <f>IFERROR(SMALL(Calc_Daily!$BT$2:$BT$2001,55),"")</f>
        <v>0</v>
      </c>
    </row>
    <row r="57" spans="1:59">
      <c r="A57" s="27">
        <f>IF($BG57="","",INDEX(Calc_Daily!$A$2:$A$2001,$BG57))</f>
        <v>0</v>
      </c>
      <c r="B57">
        <f>IF($BG57="","",INDEX(Calc_Daily!$BQ$2:$BQ$2001,$BG57))</f>
        <v>0</v>
      </c>
      <c r="C57">
        <f>IF($BG57="","",INDEX(Calc_Daily!$BR$2:$BR$2001,$BG57))</f>
        <v>0</v>
      </c>
      <c r="D57">
        <f>IF($BG57="","",INDEX(Calc_Daily!$BS$2:$BS$2001,$BG57))</f>
        <v>0</v>
      </c>
      <c r="E57">
        <f>IF($BG57="","",INDEX(Calc_Daily!$E$2:$E$2001,$BG57))</f>
        <v>0</v>
      </c>
      <c r="F57">
        <f>IF($E57="","",N(F56)+1)</f>
        <v>0</v>
      </c>
      <c r="G57">
        <f>IF(OR($E57="",$E56=""),"",LN($E57/$E56))</f>
        <v>0</v>
      </c>
      <c r="H57">
        <f>IF($E57="","",IF($E56="",$E57,$E57*0.0952380952+H56*0.9047619048))</f>
        <v>0</v>
      </c>
      <c r="I57">
        <f>IF($E57="","",IF($E56="",$E57,$E57*0.0392156863+I56*0.9607843137))</f>
        <v>0</v>
      </c>
      <c r="J57">
        <f>IF($E57="","",IF($E56="",$E57,$E57*0.0198019802+J56*0.9801980198))</f>
        <v>0</v>
      </c>
      <c r="K57">
        <f>IF($E57="","",IF($E56="",$E57,$E57*0.0099502488+K56*0.9900497512))</f>
        <v>0</v>
      </c>
      <c r="L57">
        <f>IF(OR($E57="",$E56=""),"",MAX($E57-$E56,0))</f>
        <v>0</v>
      </c>
      <c r="M57">
        <f>IF(OR($E57="",$E56=""),"",MAX($E56-$E57,0))</f>
        <v>0</v>
      </c>
      <c r="N57">
        <f>IF(COUNT($E$2:$E57)&lt;15,"",IF(AVERAGE($M$44:$M$57)=0,100,100-100/(1+AVERAGE($L$44:$L$57)/AVERAGE($M$44:$M$57))))</f>
        <v>0</v>
      </c>
      <c r="O57">
        <f>IF($E57="","",IF($E56="",$E57,$E57*0.1538461538+O56*0.8461538462))</f>
        <v>0</v>
      </c>
      <c r="P57">
        <f>IF($E57="","",IF($E56="",$E57,$E57*0.0740740741+P56*0.9259259259))</f>
        <v>0</v>
      </c>
      <c r="Q57">
        <f>IF(OR(O57="",P57=""),"",O57-P57)</f>
        <v>0</v>
      </c>
      <c r="R57">
        <f>IF(Q57="","",IF(R56="",Q57,Q57*0.2000000000+R56*0.8000000000))</f>
        <v>0</v>
      </c>
      <c r="S57">
        <f>IF(OR(Q57="",R57=""),"",Q57-R57)</f>
        <v>0</v>
      </c>
      <c r="T57">
        <f>IF(COUNT($E$2:$E57)&lt;14,"",MAX($C$44:$C$57))</f>
        <v>0</v>
      </c>
      <c r="U57">
        <f>IF(COUNT($E$2:$E57)&lt;14,"",MIN($D$44:$D$57))</f>
        <v>0</v>
      </c>
      <c r="V57">
        <f>IF(OR(T57="",U57="",T57=U57),"",100*($E57-U57)/(T57-U57))</f>
        <v>0</v>
      </c>
      <c r="W57">
        <f>IF(COUNT($V$55:$V$57)&lt;3,"",AVERAGE($V$55:$V$57))</f>
        <v>0</v>
      </c>
      <c r="X57">
        <f>IF(COUNT($N$44:$N$57)&lt;14,"",MIN($N$44:$N$57))</f>
        <v>0</v>
      </c>
      <c r="Y57">
        <f>IF(COUNT($N$44:$N$57)&lt;14,"",MAX($N$44:$N$57))</f>
        <v>0</v>
      </c>
      <c r="Z57">
        <f>IF(OR(N57="",X57="",Y57="",Y57=X57),"",100*(N57-X57)/(Y57-X57))</f>
        <v>0</v>
      </c>
      <c r="AA57">
        <f>IF(COUNT($Z$55:$Z$57)&lt;3,"",AVERAGE($Z$55:$Z$57))</f>
        <v>0</v>
      </c>
      <c r="AB57">
        <f>IF(COUNT($AA$55:$AA$57)&lt;3,"",AVERAGE($AA$55:$AA$57))</f>
        <v>0</v>
      </c>
      <c r="AC57">
        <f>IF($E57="","",MAX($C57-$D57,ABS($C57-$E56),ABS($D57-$E56)))</f>
        <v>0</v>
      </c>
      <c r="AD57">
        <f>IF(COUNT($E$2:$E57)&lt;15,"",AVERAGE($AC$44:$AC$57))</f>
        <v>0</v>
      </c>
      <c r="AE57">
        <f>IF(OR($E57="",$E56=""),"",IF(AND(($C57-$C56)&gt;($D56-$D57),($C57-$C56)&gt;0),$C57-$C56,0))</f>
        <v>0</v>
      </c>
      <c r="AF57">
        <f>IF(OR($E57="",$E56=""),"",IF(AND(($D56-$D57)&gt;($C57-$C56),($D56-$D57)&gt;0),$D56-$D57,0))</f>
        <v>0</v>
      </c>
      <c r="AG57">
        <f>IF(COUNT($E$2:$E57)&lt;15,"",IF(SUM($AC$44:$AC$57)=0,0,100*SUM($AE$44:$AE$57)/SUM($AC$44:$AC$57)))</f>
        <v>0</v>
      </c>
      <c r="AH57">
        <f>IF(COUNT($E$2:$E57)&lt;15,"",IF(SUM($AC$44:$AC$57)=0,0,100*SUM($AF$44:$AF$57)/SUM($AC$44:$AC$57)))</f>
        <v>0</v>
      </c>
      <c r="AI57">
        <f>IF(OR(AG57="",AH57=""),"",IF((AG57+AH57)=0,0,100*ABS(AG57-AH57)/(AG57+AH57)))</f>
        <v>0</v>
      </c>
      <c r="AJ57">
        <f>IF(COUNT($AI$44:$AI$57)&lt;14,"",AVERAGE($AI$44:$AI$57))</f>
        <v>0</v>
      </c>
      <c r="AK57">
        <f>IF(COUNT($E$2:$E57)&lt;20,"",AVERAGE($E$38:$E$57))</f>
        <v>0</v>
      </c>
      <c r="AL57">
        <f>IF(COUNT($E$2:$E57)&lt;20,"",STDEVP($E$38:$E$57))</f>
        <v>0</v>
      </c>
      <c r="AM57">
        <f>IF(AK57="","",AK57+2*AL57)</f>
        <v>0</v>
      </c>
      <c r="AN57">
        <f>IF(AK57="","",AK57-2*AL57)</f>
        <v>0</v>
      </c>
      <c r="AO57">
        <f>IF(OR(AM57="",AN57="",AM57=AN57),"",($E57-AN57)/(AM57-AN57))</f>
        <v>0</v>
      </c>
      <c r="AP57">
        <f>IF(OR(AM57="",AK57="",AK57=0),"",(AM57-AN57)/AK57)</f>
        <v>0</v>
      </c>
      <c r="AQ57">
        <f>IF(COUNT($E$2:$E57)&lt;20,"",MAX($C$38:$C$57))</f>
        <v>0</v>
      </c>
      <c r="AR57">
        <f>IF(COUNT($E$2:$E57)&lt;20,"",MIN($D$38:$D$57))</f>
        <v>0</v>
      </c>
      <c r="AS57">
        <f>IF(OR(AQ57="",AR57=""),"",(AQ57+AR57)/2)</f>
        <v>0</v>
      </c>
      <c r="AT57">
        <f>IF(COUNT($G$38:$G$57)&lt;20,"",STDEV($G$38:$G$57)*SQRT(12))</f>
        <v>0</v>
      </c>
      <c r="AU57">
        <f>IF(COUNT($E$2:$E57)&lt;9,"",(MAX($C$49:$C$57)+MIN($D$49:$D$57))/2)</f>
        <v>0</v>
      </c>
      <c r="AV57">
        <f>IF(COUNT($E$2:$E57)&lt;26,"",(MAX($C$32:$C$57)+MIN($D$32:$D$57))/2)</f>
        <v>0</v>
      </c>
      <c r="AW57">
        <f>IF(OR(AU57="",AV57=""),"",(AU57+AV57)/2)</f>
        <v>0</v>
      </c>
      <c r="AX57">
        <f>IF(COUNT($E$2:$E57)&lt;52,"",(MAX($C$6:$C$57)+MIN($D$6:$D$57))/2)</f>
        <v>0</v>
      </c>
      <c r="AY57">
        <f>IF(COUNT($E$2:$E57)&lt;20,"",MAX($C$2:$C$57))</f>
        <v>0</v>
      </c>
      <c r="AZ57">
        <f>IF(COUNT($E$2:$E57)&lt;20,"",MIN($D$2:$D$57))</f>
        <v>0</v>
      </c>
      <c r="BA57">
        <f>IF(COUNT($E$2:$E57)&lt;20,"",SLOPE($E$2:$E$57,$F$2:$F$57))</f>
        <v>0</v>
      </c>
      <c r="BB57">
        <f>IF(COUNT($E$2:$E57)&lt;20,"",INTERCEPT($E$2:$E$57,$F$2:$F$57))</f>
        <v>0</v>
      </c>
      <c r="BC57">
        <f>IF(OR(BA57="",BB57=""),"",BB57+BA57*F57)</f>
        <v>0</v>
      </c>
      <c r="BD57">
        <f>IF(COUNT($E$2:$E57)&lt;20,"",STEYX($E$2:$E$57,$F$2:$F$57))</f>
        <v>0</v>
      </c>
      <c r="BE57">
        <f>IF($E57="","",IF(AND(COUNT($E$58:$E$61)&gt;=4,$C57=MAX($C$53:$C$61)),$C57,""))</f>
        <v>0</v>
      </c>
      <c r="BF57">
        <f>IF($E57="","",IF(AND(COUNT($E$58:$E$61)&gt;=4,$D57=MIN($D$53:$D$61)),$D57,""))</f>
        <v>0</v>
      </c>
      <c r="BG57">
        <f>IFERROR(SMALL(Calc_Daily!$BT$2:$BT$2001,56),"")</f>
        <v>0</v>
      </c>
    </row>
    <row r="58" spans="1:59">
      <c r="A58" s="27">
        <f>IF($BG58="","",INDEX(Calc_Daily!$A$2:$A$2001,$BG58))</f>
        <v>0</v>
      </c>
      <c r="B58">
        <f>IF($BG58="","",INDEX(Calc_Daily!$BQ$2:$BQ$2001,$BG58))</f>
        <v>0</v>
      </c>
      <c r="C58">
        <f>IF($BG58="","",INDEX(Calc_Daily!$BR$2:$BR$2001,$BG58))</f>
        <v>0</v>
      </c>
      <c r="D58">
        <f>IF($BG58="","",INDEX(Calc_Daily!$BS$2:$BS$2001,$BG58))</f>
        <v>0</v>
      </c>
      <c r="E58">
        <f>IF($BG58="","",INDEX(Calc_Daily!$E$2:$E$2001,$BG58))</f>
        <v>0</v>
      </c>
      <c r="F58">
        <f>IF($E58="","",N(F57)+1)</f>
        <v>0</v>
      </c>
      <c r="G58">
        <f>IF(OR($E58="",$E57=""),"",LN($E58/$E57))</f>
        <v>0</v>
      </c>
      <c r="H58">
        <f>IF($E58="","",IF($E57="",$E58,$E58*0.0952380952+H57*0.9047619048))</f>
        <v>0</v>
      </c>
      <c r="I58">
        <f>IF($E58="","",IF($E57="",$E58,$E58*0.0392156863+I57*0.9607843137))</f>
        <v>0</v>
      </c>
      <c r="J58">
        <f>IF($E58="","",IF($E57="",$E58,$E58*0.0198019802+J57*0.9801980198))</f>
        <v>0</v>
      </c>
      <c r="K58">
        <f>IF($E58="","",IF($E57="",$E58,$E58*0.0099502488+K57*0.9900497512))</f>
        <v>0</v>
      </c>
      <c r="L58">
        <f>IF(OR($E58="",$E57=""),"",MAX($E58-$E57,0))</f>
        <v>0</v>
      </c>
      <c r="M58">
        <f>IF(OR($E58="",$E57=""),"",MAX($E57-$E58,0))</f>
        <v>0</v>
      </c>
      <c r="N58">
        <f>IF(COUNT($E$2:$E58)&lt;15,"",IF(AVERAGE($M$45:$M$58)=0,100,100-100/(1+AVERAGE($L$45:$L$58)/AVERAGE($M$45:$M$58))))</f>
        <v>0</v>
      </c>
      <c r="O58">
        <f>IF($E58="","",IF($E57="",$E58,$E58*0.1538461538+O57*0.8461538462))</f>
        <v>0</v>
      </c>
      <c r="P58">
        <f>IF($E58="","",IF($E57="",$E58,$E58*0.0740740741+P57*0.9259259259))</f>
        <v>0</v>
      </c>
      <c r="Q58">
        <f>IF(OR(O58="",P58=""),"",O58-P58)</f>
        <v>0</v>
      </c>
      <c r="R58">
        <f>IF(Q58="","",IF(R57="",Q58,Q58*0.2000000000+R57*0.8000000000))</f>
        <v>0</v>
      </c>
      <c r="S58">
        <f>IF(OR(Q58="",R58=""),"",Q58-R58)</f>
        <v>0</v>
      </c>
      <c r="T58">
        <f>IF(COUNT($E$2:$E58)&lt;14,"",MAX($C$45:$C$58))</f>
        <v>0</v>
      </c>
      <c r="U58">
        <f>IF(COUNT($E$2:$E58)&lt;14,"",MIN($D$45:$D$58))</f>
        <v>0</v>
      </c>
      <c r="V58">
        <f>IF(OR(T58="",U58="",T58=U58),"",100*($E58-U58)/(T58-U58))</f>
        <v>0</v>
      </c>
      <c r="W58">
        <f>IF(COUNT($V$56:$V$58)&lt;3,"",AVERAGE($V$56:$V$58))</f>
        <v>0</v>
      </c>
      <c r="X58">
        <f>IF(COUNT($N$45:$N$58)&lt;14,"",MIN($N$45:$N$58))</f>
        <v>0</v>
      </c>
      <c r="Y58">
        <f>IF(COUNT($N$45:$N$58)&lt;14,"",MAX($N$45:$N$58))</f>
        <v>0</v>
      </c>
      <c r="Z58">
        <f>IF(OR(N58="",X58="",Y58="",Y58=X58),"",100*(N58-X58)/(Y58-X58))</f>
        <v>0</v>
      </c>
      <c r="AA58">
        <f>IF(COUNT($Z$56:$Z$58)&lt;3,"",AVERAGE($Z$56:$Z$58))</f>
        <v>0</v>
      </c>
      <c r="AB58">
        <f>IF(COUNT($AA$56:$AA$58)&lt;3,"",AVERAGE($AA$56:$AA$58))</f>
        <v>0</v>
      </c>
      <c r="AC58">
        <f>IF($E58="","",MAX($C58-$D58,ABS($C58-$E57),ABS($D58-$E57)))</f>
        <v>0</v>
      </c>
      <c r="AD58">
        <f>IF(COUNT($E$2:$E58)&lt;15,"",AVERAGE($AC$45:$AC$58))</f>
        <v>0</v>
      </c>
      <c r="AE58">
        <f>IF(OR($E58="",$E57=""),"",IF(AND(($C58-$C57)&gt;($D57-$D58),($C58-$C57)&gt;0),$C58-$C57,0))</f>
        <v>0</v>
      </c>
      <c r="AF58">
        <f>IF(OR($E58="",$E57=""),"",IF(AND(($D57-$D58)&gt;($C58-$C57),($D57-$D58)&gt;0),$D57-$D58,0))</f>
        <v>0</v>
      </c>
      <c r="AG58">
        <f>IF(COUNT($E$2:$E58)&lt;15,"",IF(SUM($AC$45:$AC$58)=0,0,100*SUM($AE$45:$AE$58)/SUM($AC$45:$AC$58)))</f>
        <v>0</v>
      </c>
      <c r="AH58">
        <f>IF(COUNT($E$2:$E58)&lt;15,"",IF(SUM($AC$45:$AC$58)=0,0,100*SUM($AF$45:$AF$58)/SUM($AC$45:$AC$58)))</f>
        <v>0</v>
      </c>
      <c r="AI58">
        <f>IF(OR(AG58="",AH58=""),"",IF((AG58+AH58)=0,0,100*ABS(AG58-AH58)/(AG58+AH58)))</f>
        <v>0</v>
      </c>
      <c r="AJ58">
        <f>IF(COUNT($AI$45:$AI$58)&lt;14,"",AVERAGE($AI$45:$AI$58))</f>
        <v>0</v>
      </c>
      <c r="AK58">
        <f>IF(COUNT($E$2:$E58)&lt;20,"",AVERAGE($E$39:$E$58))</f>
        <v>0</v>
      </c>
      <c r="AL58">
        <f>IF(COUNT($E$2:$E58)&lt;20,"",STDEVP($E$39:$E$58))</f>
        <v>0</v>
      </c>
      <c r="AM58">
        <f>IF(AK58="","",AK58+2*AL58)</f>
        <v>0</v>
      </c>
      <c r="AN58">
        <f>IF(AK58="","",AK58-2*AL58)</f>
        <v>0</v>
      </c>
      <c r="AO58">
        <f>IF(OR(AM58="",AN58="",AM58=AN58),"",($E58-AN58)/(AM58-AN58))</f>
        <v>0</v>
      </c>
      <c r="AP58">
        <f>IF(OR(AM58="",AK58="",AK58=0),"",(AM58-AN58)/AK58)</f>
        <v>0</v>
      </c>
      <c r="AQ58">
        <f>IF(COUNT($E$2:$E58)&lt;20,"",MAX($C$39:$C$58))</f>
        <v>0</v>
      </c>
      <c r="AR58">
        <f>IF(COUNT($E$2:$E58)&lt;20,"",MIN($D$39:$D$58))</f>
        <v>0</v>
      </c>
      <c r="AS58">
        <f>IF(OR(AQ58="",AR58=""),"",(AQ58+AR58)/2)</f>
        <v>0</v>
      </c>
      <c r="AT58">
        <f>IF(COUNT($G$39:$G$58)&lt;20,"",STDEV($G$39:$G$58)*SQRT(12))</f>
        <v>0</v>
      </c>
      <c r="AU58">
        <f>IF(COUNT($E$2:$E58)&lt;9,"",(MAX($C$50:$C$58)+MIN($D$50:$D$58))/2)</f>
        <v>0</v>
      </c>
      <c r="AV58">
        <f>IF(COUNT($E$2:$E58)&lt;26,"",(MAX($C$33:$C$58)+MIN($D$33:$D$58))/2)</f>
        <v>0</v>
      </c>
      <c r="AW58">
        <f>IF(OR(AU58="",AV58=""),"",(AU58+AV58)/2)</f>
        <v>0</v>
      </c>
      <c r="AX58">
        <f>IF(COUNT($E$2:$E58)&lt;52,"",(MAX($C$7:$C$58)+MIN($D$7:$D$58))/2)</f>
        <v>0</v>
      </c>
      <c r="AY58">
        <f>IF(COUNT($E$2:$E58)&lt;20,"",MAX($C$2:$C$58))</f>
        <v>0</v>
      </c>
      <c r="AZ58">
        <f>IF(COUNT($E$2:$E58)&lt;20,"",MIN($D$2:$D$58))</f>
        <v>0</v>
      </c>
      <c r="BA58">
        <f>IF(COUNT($E$2:$E58)&lt;20,"",SLOPE($E$2:$E$58,$F$2:$F$58))</f>
        <v>0</v>
      </c>
      <c r="BB58">
        <f>IF(COUNT($E$2:$E58)&lt;20,"",INTERCEPT($E$2:$E$58,$F$2:$F$58))</f>
        <v>0</v>
      </c>
      <c r="BC58">
        <f>IF(OR(BA58="",BB58=""),"",BB58+BA58*F58)</f>
        <v>0</v>
      </c>
      <c r="BD58">
        <f>IF(COUNT($E$2:$E58)&lt;20,"",STEYX($E$2:$E$58,$F$2:$F$58))</f>
        <v>0</v>
      </c>
      <c r="BE58">
        <f>IF($E58="","",IF(AND(COUNT($E$59:$E$62)&gt;=4,$C58=MAX($C$54:$C$62)),$C58,""))</f>
        <v>0</v>
      </c>
      <c r="BF58">
        <f>IF($E58="","",IF(AND(COUNT($E$59:$E$62)&gt;=4,$D58=MIN($D$54:$D$62)),$D58,""))</f>
        <v>0</v>
      </c>
      <c r="BG58">
        <f>IFERROR(SMALL(Calc_Daily!$BT$2:$BT$2001,57),"")</f>
        <v>0</v>
      </c>
    </row>
    <row r="59" spans="1:59">
      <c r="A59" s="27">
        <f>IF($BG59="","",INDEX(Calc_Daily!$A$2:$A$2001,$BG59))</f>
        <v>0</v>
      </c>
      <c r="B59">
        <f>IF($BG59="","",INDEX(Calc_Daily!$BQ$2:$BQ$2001,$BG59))</f>
        <v>0</v>
      </c>
      <c r="C59">
        <f>IF($BG59="","",INDEX(Calc_Daily!$BR$2:$BR$2001,$BG59))</f>
        <v>0</v>
      </c>
      <c r="D59">
        <f>IF($BG59="","",INDEX(Calc_Daily!$BS$2:$BS$2001,$BG59))</f>
        <v>0</v>
      </c>
      <c r="E59">
        <f>IF($BG59="","",INDEX(Calc_Daily!$E$2:$E$2001,$BG59))</f>
        <v>0</v>
      </c>
      <c r="F59">
        <f>IF($E59="","",N(F58)+1)</f>
        <v>0</v>
      </c>
      <c r="G59">
        <f>IF(OR($E59="",$E58=""),"",LN($E59/$E58))</f>
        <v>0</v>
      </c>
      <c r="H59">
        <f>IF($E59="","",IF($E58="",$E59,$E59*0.0952380952+H58*0.9047619048))</f>
        <v>0</v>
      </c>
      <c r="I59">
        <f>IF($E59="","",IF($E58="",$E59,$E59*0.0392156863+I58*0.9607843137))</f>
        <v>0</v>
      </c>
      <c r="J59">
        <f>IF($E59="","",IF($E58="",$E59,$E59*0.0198019802+J58*0.9801980198))</f>
        <v>0</v>
      </c>
      <c r="K59">
        <f>IF($E59="","",IF($E58="",$E59,$E59*0.0099502488+K58*0.9900497512))</f>
        <v>0</v>
      </c>
      <c r="L59">
        <f>IF(OR($E59="",$E58=""),"",MAX($E59-$E58,0))</f>
        <v>0</v>
      </c>
      <c r="M59">
        <f>IF(OR($E59="",$E58=""),"",MAX($E58-$E59,0))</f>
        <v>0</v>
      </c>
      <c r="N59">
        <f>IF(COUNT($E$2:$E59)&lt;15,"",IF(AVERAGE($M$46:$M$59)=0,100,100-100/(1+AVERAGE($L$46:$L$59)/AVERAGE($M$46:$M$59))))</f>
        <v>0</v>
      </c>
      <c r="O59">
        <f>IF($E59="","",IF($E58="",$E59,$E59*0.1538461538+O58*0.8461538462))</f>
        <v>0</v>
      </c>
      <c r="P59">
        <f>IF($E59="","",IF($E58="",$E59,$E59*0.0740740741+P58*0.9259259259))</f>
        <v>0</v>
      </c>
      <c r="Q59">
        <f>IF(OR(O59="",P59=""),"",O59-P59)</f>
        <v>0</v>
      </c>
      <c r="R59">
        <f>IF(Q59="","",IF(R58="",Q59,Q59*0.2000000000+R58*0.8000000000))</f>
        <v>0</v>
      </c>
      <c r="S59">
        <f>IF(OR(Q59="",R59=""),"",Q59-R59)</f>
        <v>0</v>
      </c>
      <c r="T59">
        <f>IF(COUNT($E$2:$E59)&lt;14,"",MAX($C$46:$C$59))</f>
        <v>0</v>
      </c>
      <c r="U59">
        <f>IF(COUNT($E$2:$E59)&lt;14,"",MIN($D$46:$D$59))</f>
        <v>0</v>
      </c>
      <c r="V59">
        <f>IF(OR(T59="",U59="",T59=U59),"",100*($E59-U59)/(T59-U59))</f>
        <v>0</v>
      </c>
      <c r="W59">
        <f>IF(COUNT($V$57:$V$59)&lt;3,"",AVERAGE($V$57:$V$59))</f>
        <v>0</v>
      </c>
      <c r="X59">
        <f>IF(COUNT($N$46:$N$59)&lt;14,"",MIN($N$46:$N$59))</f>
        <v>0</v>
      </c>
      <c r="Y59">
        <f>IF(COUNT($N$46:$N$59)&lt;14,"",MAX($N$46:$N$59))</f>
        <v>0</v>
      </c>
      <c r="Z59">
        <f>IF(OR(N59="",X59="",Y59="",Y59=X59),"",100*(N59-X59)/(Y59-X59))</f>
        <v>0</v>
      </c>
      <c r="AA59">
        <f>IF(COUNT($Z$57:$Z$59)&lt;3,"",AVERAGE($Z$57:$Z$59))</f>
        <v>0</v>
      </c>
      <c r="AB59">
        <f>IF(COUNT($AA$57:$AA$59)&lt;3,"",AVERAGE($AA$57:$AA$59))</f>
        <v>0</v>
      </c>
      <c r="AC59">
        <f>IF($E59="","",MAX($C59-$D59,ABS($C59-$E58),ABS($D59-$E58)))</f>
        <v>0</v>
      </c>
      <c r="AD59">
        <f>IF(COUNT($E$2:$E59)&lt;15,"",AVERAGE($AC$46:$AC$59))</f>
        <v>0</v>
      </c>
      <c r="AE59">
        <f>IF(OR($E59="",$E58=""),"",IF(AND(($C59-$C58)&gt;($D58-$D59),($C59-$C58)&gt;0),$C59-$C58,0))</f>
        <v>0</v>
      </c>
      <c r="AF59">
        <f>IF(OR($E59="",$E58=""),"",IF(AND(($D58-$D59)&gt;($C59-$C58),($D58-$D59)&gt;0),$D58-$D59,0))</f>
        <v>0</v>
      </c>
      <c r="AG59">
        <f>IF(COUNT($E$2:$E59)&lt;15,"",IF(SUM($AC$46:$AC$59)=0,0,100*SUM($AE$46:$AE$59)/SUM($AC$46:$AC$59)))</f>
        <v>0</v>
      </c>
      <c r="AH59">
        <f>IF(COUNT($E$2:$E59)&lt;15,"",IF(SUM($AC$46:$AC$59)=0,0,100*SUM($AF$46:$AF$59)/SUM($AC$46:$AC$59)))</f>
        <v>0</v>
      </c>
      <c r="AI59">
        <f>IF(OR(AG59="",AH59=""),"",IF((AG59+AH59)=0,0,100*ABS(AG59-AH59)/(AG59+AH59)))</f>
        <v>0</v>
      </c>
      <c r="AJ59">
        <f>IF(COUNT($AI$46:$AI$59)&lt;14,"",AVERAGE($AI$46:$AI$59))</f>
        <v>0</v>
      </c>
      <c r="AK59">
        <f>IF(COUNT($E$2:$E59)&lt;20,"",AVERAGE($E$40:$E$59))</f>
        <v>0</v>
      </c>
      <c r="AL59">
        <f>IF(COUNT($E$2:$E59)&lt;20,"",STDEVP($E$40:$E$59))</f>
        <v>0</v>
      </c>
      <c r="AM59">
        <f>IF(AK59="","",AK59+2*AL59)</f>
        <v>0</v>
      </c>
      <c r="AN59">
        <f>IF(AK59="","",AK59-2*AL59)</f>
        <v>0</v>
      </c>
      <c r="AO59">
        <f>IF(OR(AM59="",AN59="",AM59=AN59),"",($E59-AN59)/(AM59-AN59))</f>
        <v>0</v>
      </c>
      <c r="AP59">
        <f>IF(OR(AM59="",AK59="",AK59=0),"",(AM59-AN59)/AK59)</f>
        <v>0</v>
      </c>
      <c r="AQ59">
        <f>IF(COUNT($E$2:$E59)&lt;20,"",MAX($C$40:$C$59))</f>
        <v>0</v>
      </c>
      <c r="AR59">
        <f>IF(COUNT($E$2:$E59)&lt;20,"",MIN($D$40:$D$59))</f>
        <v>0</v>
      </c>
      <c r="AS59">
        <f>IF(OR(AQ59="",AR59=""),"",(AQ59+AR59)/2)</f>
        <v>0</v>
      </c>
      <c r="AT59">
        <f>IF(COUNT($G$40:$G$59)&lt;20,"",STDEV($G$40:$G$59)*SQRT(12))</f>
        <v>0</v>
      </c>
      <c r="AU59">
        <f>IF(COUNT($E$2:$E59)&lt;9,"",(MAX($C$51:$C$59)+MIN($D$51:$D$59))/2)</f>
        <v>0</v>
      </c>
      <c r="AV59">
        <f>IF(COUNT($E$2:$E59)&lt;26,"",(MAX($C$34:$C$59)+MIN($D$34:$D$59))/2)</f>
        <v>0</v>
      </c>
      <c r="AW59">
        <f>IF(OR(AU59="",AV59=""),"",(AU59+AV59)/2)</f>
        <v>0</v>
      </c>
      <c r="AX59">
        <f>IF(COUNT($E$2:$E59)&lt;52,"",(MAX($C$8:$C$59)+MIN($D$8:$D$59))/2)</f>
        <v>0</v>
      </c>
      <c r="AY59">
        <f>IF(COUNT($E$2:$E59)&lt;20,"",MAX($C$2:$C$59))</f>
        <v>0</v>
      </c>
      <c r="AZ59">
        <f>IF(COUNT($E$2:$E59)&lt;20,"",MIN($D$2:$D$59))</f>
        <v>0</v>
      </c>
      <c r="BA59">
        <f>IF(COUNT($E$2:$E59)&lt;20,"",SLOPE($E$2:$E$59,$F$2:$F$59))</f>
        <v>0</v>
      </c>
      <c r="BB59">
        <f>IF(COUNT($E$2:$E59)&lt;20,"",INTERCEPT($E$2:$E$59,$F$2:$F$59))</f>
        <v>0</v>
      </c>
      <c r="BC59">
        <f>IF(OR(BA59="",BB59=""),"",BB59+BA59*F59)</f>
        <v>0</v>
      </c>
      <c r="BD59">
        <f>IF(COUNT($E$2:$E59)&lt;20,"",STEYX($E$2:$E$59,$F$2:$F$59))</f>
        <v>0</v>
      </c>
      <c r="BE59">
        <f>IF($E59="","",IF(AND(COUNT($E$60:$E$63)&gt;=4,$C59=MAX($C$55:$C$63)),$C59,""))</f>
        <v>0</v>
      </c>
      <c r="BF59">
        <f>IF($E59="","",IF(AND(COUNT($E$60:$E$63)&gt;=4,$D59=MIN($D$55:$D$63)),$D59,""))</f>
        <v>0</v>
      </c>
      <c r="BG59">
        <f>IFERROR(SMALL(Calc_Daily!$BT$2:$BT$2001,58),"")</f>
        <v>0</v>
      </c>
    </row>
    <row r="60" spans="1:59">
      <c r="A60" s="27">
        <f>IF($BG60="","",INDEX(Calc_Daily!$A$2:$A$2001,$BG60))</f>
        <v>0</v>
      </c>
      <c r="B60">
        <f>IF($BG60="","",INDEX(Calc_Daily!$BQ$2:$BQ$2001,$BG60))</f>
        <v>0</v>
      </c>
      <c r="C60">
        <f>IF($BG60="","",INDEX(Calc_Daily!$BR$2:$BR$2001,$BG60))</f>
        <v>0</v>
      </c>
      <c r="D60">
        <f>IF($BG60="","",INDEX(Calc_Daily!$BS$2:$BS$2001,$BG60))</f>
        <v>0</v>
      </c>
      <c r="E60">
        <f>IF($BG60="","",INDEX(Calc_Daily!$E$2:$E$2001,$BG60))</f>
        <v>0</v>
      </c>
      <c r="F60">
        <f>IF($E60="","",N(F59)+1)</f>
        <v>0</v>
      </c>
      <c r="G60">
        <f>IF(OR($E60="",$E59=""),"",LN($E60/$E59))</f>
        <v>0</v>
      </c>
      <c r="H60">
        <f>IF($E60="","",IF($E59="",$E60,$E60*0.0952380952+H59*0.9047619048))</f>
        <v>0</v>
      </c>
      <c r="I60">
        <f>IF($E60="","",IF($E59="",$E60,$E60*0.0392156863+I59*0.9607843137))</f>
        <v>0</v>
      </c>
      <c r="J60">
        <f>IF($E60="","",IF($E59="",$E60,$E60*0.0198019802+J59*0.9801980198))</f>
        <v>0</v>
      </c>
      <c r="K60">
        <f>IF($E60="","",IF($E59="",$E60,$E60*0.0099502488+K59*0.9900497512))</f>
        <v>0</v>
      </c>
      <c r="L60">
        <f>IF(OR($E60="",$E59=""),"",MAX($E60-$E59,0))</f>
        <v>0</v>
      </c>
      <c r="M60">
        <f>IF(OR($E60="",$E59=""),"",MAX($E59-$E60,0))</f>
        <v>0</v>
      </c>
      <c r="N60">
        <f>IF(COUNT($E$2:$E60)&lt;15,"",IF(AVERAGE($M$47:$M$60)=0,100,100-100/(1+AVERAGE($L$47:$L$60)/AVERAGE($M$47:$M$60))))</f>
        <v>0</v>
      </c>
      <c r="O60">
        <f>IF($E60="","",IF($E59="",$E60,$E60*0.1538461538+O59*0.8461538462))</f>
        <v>0</v>
      </c>
      <c r="P60">
        <f>IF($E60="","",IF($E59="",$E60,$E60*0.0740740741+P59*0.9259259259))</f>
        <v>0</v>
      </c>
      <c r="Q60">
        <f>IF(OR(O60="",P60=""),"",O60-P60)</f>
        <v>0</v>
      </c>
      <c r="R60">
        <f>IF(Q60="","",IF(R59="",Q60,Q60*0.2000000000+R59*0.8000000000))</f>
        <v>0</v>
      </c>
      <c r="S60">
        <f>IF(OR(Q60="",R60=""),"",Q60-R60)</f>
        <v>0</v>
      </c>
      <c r="T60">
        <f>IF(COUNT($E$2:$E60)&lt;14,"",MAX($C$47:$C$60))</f>
        <v>0</v>
      </c>
      <c r="U60">
        <f>IF(COUNT($E$2:$E60)&lt;14,"",MIN($D$47:$D$60))</f>
        <v>0</v>
      </c>
      <c r="V60">
        <f>IF(OR(T60="",U60="",T60=U60),"",100*($E60-U60)/(T60-U60))</f>
        <v>0</v>
      </c>
      <c r="W60">
        <f>IF(COUNT($V$58:$V$60)&lt;3,"",AVERAGE($V$58:$V$60))</f>
        <v>0</v>
      </c>
      <c r="X60">
        <f>IF(COUNT($N$47:$N$60)&lt;14,"",MIN($N$47:$N$60))</f>
        <v>0</v>
      </c>
      <c r="Y60">
        <f>IF(COUNT($N$47:$N$60)&lt;14,"",MAX($N$47:$N$60))</f>
        <v>0</v>
      </c>
      <c r="Z60">
        <f>IF(OR(N60="",X60="",Y60="",Y60=X60),"",100*(N60-X60)/(Y60-X60))</f>
        <v>0</v>
      </c>
      <c r="AA60">
        <f>IF(COUNT($Z$58:$Z$60)&lt;3,"",AVERAGE($Z$58:$Z$60))</f>
        <v>0</v>
      </c>
      <c r="AB60">
        <f>IF(COUNT($AA$58:$AA$60)&lt;3,"",AVERAGE($AA$58:$AA$60))</f>
        <v>0</v>
      </c>
      <c r="AC60">
        <f>IF($E60="","",MAX($C60-$D60,ABS($C60-$E59),ABS($D60-$E59)))</f>
        <v>0</v>
      </c>
      <c r="AD60">
        <f>IF(COUNT($E$2:$E60)&lt;15,"",AVERAGE($AC$47:$AC$60))</f>
        <v>0</v>
      </c>
      <c r="AE60">
        <f>IF(OR($E60="",$E59=""),"",IF(AND(($C60-$C59)&gt;($D59-$D60),($C60-$C59)&gt;0),$C60-$C59,0))</f>
        <v>0</v>
      </c>
      <c r="AF60">
        <f>IF(OR($E60="",$E59=""),"",IF(AND(($D59-$D60)&gt;($C60-$C59),($D59-$D60)&gt;0),$D59-$D60,0))</f>
        <v>0</v>
      </c>
      <c r="AG60">
        <f>IF(COUNT($E$2:$E60)&lt;15,"",IF(SUM($AC$47:$AC$60)=0,0,100*SUM($AE$47:$AE$60)/SUM($AC$47:$AC$60)))</f>
        <v>0</v>
      </c>
      <c r="AH60">
        <f>IF(COUNT($E$2:$E60)&lt;15,"",IF(SUM($AC$47:$AC$60)=0,0,100*SUM($AF$47:$AF$60)/SUM($AC$47:$AC$60)))</f>
        <v>0</v>
      </c>
      <c r="AI60">
        <f>IF(OR(AG60="",AH60=""),"",IF((AG60+AH60)=0,0,100*ABS(AG60-AH60)/(AG60+AH60)))</f>
        <v>0</v>
      </c>
      <c r="AJ60">
        <f>IF(COUNT($AI$47:$AI$60)&lt;14,"",AVERAGE($AI$47:$AI$60))</f>
        <v>0</v>
      </c>
      <c r="AK60">
        <f>IF(COUNT($E$2:$E60)&lt;20,"",AVERAGE($E$41:$E$60))</f>
        <v>0</v>
      </c>
      <c r="AL60">
        <f>IF(COUNT($E$2:$E60)&lt;20,"",STDEVP($E$41:$E$60))</f>
        <v>0</v>
      </c>
      <c r="AM60">
        <f>IF(AK60="","",AK60+2*AL60)</f>
        <v>0</v>
      </c>
      <c r="AN60">
        <f>IF(AK60="","",AK60-2*AL60)</f>
        <v>0</v>
      </c>
      <c r="AO60">
        <f>IF(OR(AM60="",AN60="",AM60=AN60),"",($E60-AN60)/(AM60-AN60))</f>
        <v>0</v>
      </c>
      <c r="AP60">
        <f>IF(OR(AM60="",AK60="",AK60=0),"",(AM60-AN60)/AK60)</f>
        <v>0</v>
      </c>
      <c r="AQ60">
        <f>IF(COUNT($E$2:$E60)&lt;20,"",MAX($C$41:$C$60))</f>
        <v>0</v>
      </c>
      <c r="AR60">
        <f>IF(COUNT($E$2:$E60)&lt;20,"",MIN($D$41:$D$60))</f>
        <v>0</v>
      </c>
      <c r="AS60">
        <f>IF(OR(AQ60="",AR60=""),"",(AQ60+AR60)/2)</f>
        <v>0</v>
      </c>
      <c r="AT60">
        <f>IF(COUNT($G$41:$G$60)&lt;20,"",STDEV($G$41:$G$60)*SQRT(12))</f>
        <v>0</v>
      </c>
      <c r="AU60">
        <f>IF(COUNT($E$2:$E60)&lt;9,"",(MAX($C$52:$C$60)+MIN($D$52:$D$60))/2)</f>
        <v>0</v>
      </c>
      <c r="AV60">
        <f>IF(COUNT($E$2:$E60)&lt;26,"",(MAX($C$35:$C$60)+MIN($D$35:$D$60))/2)</f>
        <v>0</v>
      </c>
      <c r="AW60">
        <f>IF(OR(AU60="",AV60=""),"",(AU60+AV60)/2)</f>
        <v>0</v>
      </c>
      <c r="AX60">
        <f>IF(COUNT($E$2:$E60)&lt;52,"",(MAX($C$9:$C$60)+MIN($D$9:$D$60))/2)</f>
        <v>0</v>
      </c>
      <c r="AY60">
        <f>IF(COUNT($E$2:$E60)&lt;20,"",MAX($C$2:$C$60))</f>
        <v>0</v>
      </c>
      <c r="AZ60">
        <f>IF(COUNT($E$2:$E60)&lt;20,"",MIN($D$2:$D$60))</f>
        <v>0</v>
      </c>
      <c r="BA60">
        <f>IF(COUNT($E$2:$E60)&lt;20,"",SLOPE($E$2:$E$60,$F$2:$F$60))</f>
        <v>0</v>
      </c>
      <c r="BB60">
        <f>IF(COUNT($E$2:$E60)&lt;20,"",INTERCEPT($E$2:$E$60,$F$2:$F$60))</f>
        <v>0</v>
      </c>
      <c r="BC60">
        <f>IF(OR(BA60="",BB60=""),"",BB60+BA60*F60)</f>
        <v>0</v>
      </c>
      <c r="BD60">
        <f>IF(COUNT($E$2:$E60)&lt;20,"",STEYX($E$2:$E$60,$F$2:$F$60))</f>
        <v>0</v>
      </c>
      <c r="BE60">
        <f>IF($E60="","",IF(AND(COUNT($E$61:$E$64)&gt;=4,$C60=MAX($C$56:$C$64)),$C60,""))</f>
        <v>0</v>
      </c>
      <c r="BF60">
        <f>IF($E60="","",IF(AND(COUNT($E$61:$E$64)&gt;=4,$D60=MIN($D$56:$D$64)),$D60,""))</f>
        <v>0</v>
      </c>
      <c r="BG60">
        <f>IFERROR(SMALL(Calc_Daily!$BT$2:$BT$2001,59),"")</f>
        <v>0</v>
      </c>
    </row>
    <row r="61" spans="1:59">
      <c r="A61" s="27">
        <f>IF($BG61="","",INDEX(Calc_Daily!$A$2:$A$2001,$BG61))</f>
        <v>0</v>
      </c>
      <c r="B61">
        <f>IF($BG61="","",INDEX(Calc_Daily!$BQ$2:$BQ$2001,$BG61))</f>
        <v>0</v>
      </c>
      <c r="C61">
        <f>IF($BG61="","",INDEX(Calc_Daily!$BR$2:$BR$2001,$BG61))</f>
        <v>0</v>
      </c>
      <c r="D61">
        <f>IF($BG61="","",INDEX(Calc_Daily!$BS$2:$BS$2001,$BG61))</f>
        <v>0</v>
      </c>
      <c r="E61">
        <f>IF($BG61="","",INDEX(Calc_Daily!$E$2:$E$2001,$BG61))</f>
        <v>0</v>
      </c>
      <c r="F61">
        <f>IF($E61="","",N(F60)+1)</f>
        <v>0</v>
      </c>
      <c r="G61">
        <f>IF(OR($E61="",$E60=""),"",LN($E61/$E60))</f>
        <v>0</v>
      </c>
      <c r="H61">
        <f>IF($E61="","",IF($E60="",$E61,$E61*0.0952380952+H60*0.9047619048))</f>
        <v>0</v>
      </c>
      <c r="I61">
        <f>IF($E61="","",IF($E60="",$E61,$E61*0.0392156863+I60*0.9607843137))</f>
        <v>0</v>
      </c>
      <c r="J61">
        <f>IF($E61="","",IF($E60="",$E61,$E61*0.0198019802+J60*0.9801980198))</f>
        <v>0</v>
      </c>
      <c r="K61">
        <f>IF($E61="","",IF($E60="",$E61,$E61*0.0099502488+K60*0.9900497512))</f>
        <v>0</v>
      </c>
      <c r="L61">
        <f>IF(OR($E61="",$E60=""),"",MAX($E61-$E60,0))</f>
        <v>0</v>
      </c>
      <c r="M61">
        <f>IF(OR($E61="",$E60=""),"",MAX($E60-$E61,0))</f>
        <v>0</v>
      </c>
      <c r="N61">
        <f>IF(COUNT($E$2:$E61)&lt;15,"",IF(AVERAGE($M$48:$M$61)=0,100,100-100/(1+AVERAGE($L$48:$L$61)/AVERAGE($M$48:$M$61))))</f>
        <v>0</v>
      </c>
      <c r="O61">
        <f>IF($E61="","",IF($E60="",$E61,$E61*0.1538461538+O60*0.8461538462))</f>
        <v>0</v>
      </c>
      <c r="P61">
        <f>IF($E61="","",IF($E60="",$E61,$E61*0.0740740741+P60*0.9259259259))</f>
        <v>0</v>
      </c>
      <c r="Q61">
        <f>IF(OR(O61="",P61=""),"",O61-P61)</f>
        <v>0</v>
      </c>
      <c r="R61">
        <f>IF(Q61="","",IF(R60="",Q61,Q61*0.2000000000+R60*0.8000000000))</f>
        <v>0</v>
      </c>
      <c r="S61">
        <f>IF(OR(Q61="",R61=""),"",Q61-R61)</f>
        <v>0</v>
      </c>
      <c r="T61">
        <f>IF(COUNT($E$2:$E61)&lt;14,"",MAX($C$48:$C$61))</f>
        <v>0</v>
      </c>
      <c r="U61">
        <f>IF(COUNT($E$2:$E61)&lt;14,"",MIN($D$48:$D$61))</f>
        <v>0</v>
      </c>
      <c r="V61">
        <f>IF(OR(T61="",U61="",T61=U61),"",100*($E61-U61)/(T61-U61))</f>
        <v>0</v>
      </c>
      <c r="W61">
        <f>IF(COUNT($V$59:$V$61)&lt;3,"",AVERAGE($V$59:$V$61))</f>
        <v>0</v>
      </c>
      <c r="X61">
        <f>IF(COUNT($N$48:$N$61)&lt;14,"",MIN($N$48:$N$61))</f>
        <v>0</v>
      </c>
      <c r="Y61">
        <f>IF(COUNT($N$48:$N$61)&lt;14,"",MAX($N$48:$N$61))</f>
        <v>0</v>
      </c>
      <c r="Z61">
        <f>IF(OR(N61="",X61="",Y61="",Y61=X61),"",100*(N61-X61)/(Y61-X61))</f>
        <v>0</v>
      </c>
      <c r="AA61">
        <f>IF(COUNT($Z$59:$Z$61)&lt;3,"",AVERAGE($Z$59:$Z$61))</f>
        <v>0</v>
      </c>
      <c r="AB61">
        <f>IF(COUNT($AA$59:$AA$61)&lt;3,"",AVERAGE($AA$59:$AA$61))</f>
        <v>0</v>
      </c>
      <c r="AC61">
        <f>IF($E61="","",MAX($C61-$D61,ABS($C61-$E60),ABS($D61-$E60)))</f>
        <v>0</v>
      </c>
      <c r="AD61">
        <f>IF(COUNT($E$2:$E61)&lt;15,"",AVERAGE($AC$48:$AC$61))</f>
        <v>0</v>
      </c>
      <c r="AE61">
        <f>IF(OR($E61="",$E60=""),"",IF(AND(($C61-$C60)&gt;($D60-$D61),($C61-$C60)&gt;0),$C61-$C60,0))</f>
        <v>0</v>
      </c>
      <c r="AF61">
        <f>IF(OR($E61="",$E60=""),"",IF(AND(($D60-$D61)&gt;($C61-$C60),($D60-$D61)&gt;0),$D60-$D61,0))</f>
        <v>0</v>
      </c>
      <c r="AG61">
        <f>IF(COUNT($E$2:$E61)&lt;15,"",IF(SUM($AC$48:$AC$61)=0,0,100*SUM($AE$48:$AE$61)/SUM($AC$48:$AC$61)))</f>
        <v>0</v>
      </c>
      <c r="AH61">
        <f>IF(COUNT($E$2:$E61)&lt;15,"",IF(SUM($AC$48:$AC$61)=0,0,100*SUM($AF$48:$AF$61)/SUM($AC$48:$AC$61)))</f>
        <v>0</v>
      </c>
      <c r="AI61">
        <f>IF(OR(AG61="",AH61=""),"",IF((AG61+AH61)=0,0,100*ABS(AG61-AH61)/(AG61+AH61)))</f>
        <v>0</v>
      </c>
      <c r="AJ61">
        <f>IF(COUNT($AI$48:$AI$61)&lt;14,"",AVERAGE($AI$48:$AI$61))</f>
        <v>0</v>
      </c>
      <c r="AK61">
        <f>IF(COUNT($E$2:$E61)&lt;20,"",AVERAGE($E$42:$E$61))</f>
        <v>0</v>
      </c>
      <c r="AL61">
        <f>IF(COUNT($E$2:$E61)&lt;20,"",STDEVP($E$42:$E$61))</f>
        <v>0</v>
      </c>
      <c r="AM61">
        <f>IF(AK61="","",AK61+2*AL61)</f>
        <v>0</v>
      </c>
      <c r="AN61">
        <f>IF(AK61="","",AK61-2*AL61)</f>
        <v>0</v>
      </c>
      <c r="AO61">
        <f>IF(OR(AM61="",AN61="",AM61=AN61),"",($E61-AN61)/(AM61-AN61))</f>
        <v>0</v>
      </c>
      <c r="AP61">
        <f>IF(OR(AM61="",AK61="",AK61=0),"",(AM61-AN61)/AK61)</f>
        <v>0</v>
      </c>
      <c r="AQ61">
        <f>IF(COUNT($E$2:$E61)&lt;20,"",MAX($C$42:$C$61))</f>
        <v>0</v>
      </c>
      <c r="AR61">
        <f>IF(COUNT($E$2:$E61)&lt;20,"",MIN($D$42:$D$61))</f>
        <v>0</v>
      </c>
      <c r="AS61">
        <f>IF(OR(AQ61="",AR61=""),"",(AQ61+AR61)/2)</f>
        <v>0</v>
      </c>
      <c r="AT61">
        <f>IF(COUNT($G$42:$G$61)&lt;20,"",STDEV($G$42:$G$61)*SQRT(12))</f>
        <v>0</v>
      </c>
      <c r="AU61">
        <f>IF(COUNT($E$2:$E61)&lt;9,"",(MAX($C$53:$C$61)+MIN($D$53:$D$61))/2)</f>
        <v>0</v>
      </c>
      <c r="AV61">
        <f>IF(COUNT($E$2:$E61)&lt;26,"",(MAX($C$36:$C$61)+MIN($D$36:$D$61))/2)</f>
        <v>0</v>
      </c>
      <c r="AW61">
        <f>IF(OR(AU61="",AV61=""),"",(AU61+AV61)/2)</f>
        <v>0</v>
      </c>
      <c r="AX61">
        <f>IF(COUNT($E$2:$E61)&lt;52,"",(MAX($C$10:$C$61)+MIN($D$10:$D$61))/2)</f>
        <v>0</v>
      </c>
      <c r="AY61">
        <f>IF(COUNT($E$2:$E61)&lt;20,"",MAX($C$2:$C$61))</f>
        <v>0</v>
      </c>
      <c r="AZ61">
        <f>IF(COUNT($E$2:$E61)&lt;20,"",MIN($D$2:$D$61))</f>
        <v>0</v>
      </c>
      <c r="BA61">
        <f>IF(COUNT($E$2:$E61)&lt;20,"",SLOPE($E$2:$E$61,$F$2:$F$61))</f>
        <v>0</v>
      </c>
      <c r="BB61">
        <f>IF(COUNT($E$2:$E61)&lt;20,"",INTERCEPT($E$2:$E$61,$F$2:$F$61))</f>
        <v>0</v>
      </c>
      <c r="BC61">
        <f>IF(OR(BA61="",BB61=""),"",BB61+BA61*F61)</f>
        <v>0</v>
      </c>
      <c r="BD61">
        <f>IF(COUNT($E$2:$E61)&lt;20,"",STEYX($E$2:$E$61,$F$2:$F$61))</f>
        <v>0</v>
      </c>
      <c r="BE61">
        <f>IF($E61="","",IF(AND(COUNT($E$62:$E$65)&gt;=4,$C61=MAX($C$57:$C$65)),$C61,""))</f>
        <v>0</v>
      </c>
      <c r="BF61">
        <f>IF($E61="","",IF(AND(COUNT($E$62:$E$65)&gt;=4,$D61=MIN($D$57:$D$65)),$D61,""))</f>
        <v>0</v>
      </c>
      <c r="BG61">
        <f>IFERROR(SMALL(Calc_Daily!$BT$2:$BT$2001,60),"")</f>
        <v>0</v>
      </c>
    </row>
    <row r="62" spans="1:59">
      <c r="A62" s="27">
        <f>IF($BG62="","",INDEX(Calc_Daily!$A$2:$A$2001,$BG62))</f>
        <v>0</v>
      </c>
      <c r="B62">
        <f>IF($BG62="","",INDEX(Calc_Daily!$BQ$2:$BQ$2001,$BG62))</f>
        <v>0</v>
      </c>
      <c r="C62">
        <f>IF($BG62="","",INDEX(Calc_Daily!$BR$2:$BR$2001,$BG62))</f>
        <v>0</v>
      </c>
      <c r="D62">
        <f>IF($BG62="","",INDEX(Calc_Daily!$BS$2:$BS$2001,$BG62))</f>
        <v>0</v>
      </c>
      <c r="E62">
        <f>IF($BG62="","",INDEX(Calc_Daily!$E$2:$E$2001,$BG62))</f>
        <v>0</v>
      </c>
      <c r="F62">
        <f>IF($E62="","",N(F61)+1)</f>
        <v>0</v>
      </c>
      <c r="G62">
        <f>IF(OR($E62="",$E61=""),"",LN($E62/$E61))</f>
        <v>0</v>
      </c>
      <c r="H62">
        <f>IF($E62="","",IF($E61="",$E62,$E62*0.0952380952+H61*0.9047619048))</f>
        <v>0</v>
      </c>
      <c r="I62">
        <f>IF($E62="","",IF($E61="",$E62,$E62*0.0392156863+I61*0.9607843137))</f>
        <v>0</v>
      </c>
      <c r="J62">
        <f>IF($E62="","",IF($E61="",$E62,$E62*0.0198019802+J61*0.9801980198))</f>
        <v>0</v>
      </c>
      <c r="K62">
        <f>IF($E62="","",IF($E61="",$E62,$E62*0.0099502488+K61*0.9900497512))</f>
        <v>0</v>
      </c>
      <c r="L62">
        <f>IF(OR($E62="",$E61=""),"",MAX($E62-$E61,0))</f>
        <v>0</v>
      </c>
      <c r="M62">
        <f>IF(OR($E62="",$E61=""),"",MAX($E61-$E62,0))</f>
        <v>0</v>
      </c>
      <c r="N62">
        <f>IF(COUNT($E$2:$E62)&lt;15,"",IF(AVERAGE($M$49:$M$62)=0,100,100-100/(1+AVERAGE($L$49:$L$62)/AVERAGE($M$49:$M$62))))</f>
        <v>0</v>
      </c>
      <c r="O62">
        <f>IF($E62="","",IF($E61="",$E62,$E62*0.1538461538+O61*0.8461538462))</f>
        <v>0</v>
      </c>
      <c r="P62">
        <f>IF($E62="","",IF($E61="",$E62,$E62*0.0740740741+P61*0.9259259259))</f>
        <v>0</v>
      </c>
      <c r="Q62">
        <f>IF(OR(O62="",P62=""),"",O62-P62)</f>
        <v>0</v>
      </c>
      <c r="R62">
        <f>IF(Q62="","",IF(R61="",Q62,Q62*0.2000000000+R61*0.8000000000))</f>
        <v>0</v>
      </c>
      <c r="S62">
        <f>IF(OR(Q62="",R62=""),"",Q62-R62)</f>
        <v>0</v>
      </c>
      <c r="T62">
        <f>IF(COUNT($E$2:$E62)&lt;14,"",MAX($C$49:$C$62))</f>
        <v>0</v>
      </c>
      <c r="U62">
        <f>IF(COUNT($E$2:$E62)&lt;14,"",MIN($D$49:$D$62))</f>
        <v>0</v>
      </c>
      <c r="V62">
        <f>IF(OR(T62="",U62="",T62=U62),"",100*($E62-U62)/(T62-U62))</f>
        <v>0</v>
      </c>
      <c r="W62">
        <f>IF(COUNT($V$60:$V$62)&lt;3,"",AVERAGE($V$60:$V$62))</f>
        <v>0</v>
      </c>
      <c r="X62">
        <f>IF(COUNT($N$49:$N$62)&lt;14,"",MIN($N$49:$N$62))</f>
        <v>0</v>
      </c>
      <c r="Y62">
        <f>IF(COUNT($N$49:$N$62)&lt;14,"",MAX($N$49:$N$62))</f>
        <v>0</v>
      </c>
      <c r="Z62">
        <f>IF(OR(N62="",X62="",Y62="",Y62=X62),"",100*(N62-X62)/(Y62-X62))</f>
        <v>0</v>
      </c>
      <c r="AA62">
        <f>IF(COUNT($Z$60:$Z$62)&lt;3,"",AVERAGE($Z$60:$Z$62))</f>
        <v>0</v>
      </c>
      <c r="AB62">
        <f>IF(COUNT($AA$60:$AA$62)&lt;3,"",AVERAGE($AA$60:$AA$62))</f>
        <v>0</v>
      </c>
      <c r="AC62">
        <f>IF($E62="","",MAX($C62-$D62,ABS($C62-$E61),ABS($D62-$E61)))</f>
        <v>0</v>
      </c>
      <c r="AD62">
        <f>IF(COUNT($E$2:$E62)&lt;15,"",AVERAGE($AC$49:$AC$62))</f>
        <v>0</v>
      </c>
      <c r="AE62">
        <f>IF(OR($E62="",$E61=""),"",IF(AND(($C62-$C61)&gt;($D61-$D62),($C62-$C61)&gt;0),$C62-$C61,0))</f>
        <v>0</v>
      </c>
      <c r="AF62">
        <f>IF(OR($E62="",$E61=""),"",IF(AND(($D61-$D62)&gt;($C62-$C61),($D61-$D62)&gt;0),$D61-$D62,0))</f>
        <v>0</v>
      </c>
      <c r="AG62">
        <f>IF(COUNT($E$2:$E62)&lt;15,"",IF(SUM($AC$49:$AC$62)=0,0,100*SUM($AE$49:$AE$62)/SUM($AC$49:$AC$62)))</f>
        <v>0</v>
      </c>
      <c r="AH62">
        <f>IF(COUNT($E$2:$E62)&lt;15,"",IF(SUM($AC$49:$AC$62)=0,0,100*SUM($AF$49:$AF$62)/SUM($AC$49:$AC$62)))</f>
        <v>0</v>
      </c>
      <c r="AI62">
        <f>IF(OR(AG62="",AH62=""),"",IF((AG62+AH62)=0,0,100*ABS(AG62-AH62)/(AG62+AH62)))</f>
        <v>0</v>
      </c>
      <c r="AJ62">
        <f>IF(COUNT($AI$49:$AI$62)&lt;14,"",AVERAGE($AI$49:$AI$62))</f>
        <v>0</v>
      </c>
      <c r="AK62">
        <f>IF(COUNT($E$2:$E62)&lt;20,"",AVERAGE($E$43:$E$62))</f>
        <v>0</v>
      </c>
      <c r="AL62">
        <f>IF(COUNT($E$2:$E62)&lt;20,"",STDEVP($E$43:$E$62))</f>
        <v>0</v>
      </c>
      <c r="AM62">
        <f>IF(AK62="","",AK62+2*AL62)</f>
        <v>0</v>
      </c>
      <c r="AN62">
        <f>IF(AK62="","",AK62-2*AL62)</f>
        <v>0</v>
      </c>
      <c r="AO62">
        <f>IF(OR(AM62="",AN62="",AM62=AN62),"",($E62-AN62)/(AM62-AN62))</f>
        <v>0</v>
      </c>
      <c r="AP62">
        <f>IF(OR(AM62="",AK62="",AK62=0),"",(AM62-AN62)/AK62)</f>
        <v>0</v>
      </c>
      <c r="AQ62">
        <f>IF(COUNT($E$2:$E62)&lt;20,"",MAX($C$43:$C$62))</f>
        <v>0</v>
      </c>
      <c r="AR62">
        <f>IF(COUNT($E$2:$E62)&lt;20,"",MIN($D$43:$D$62))</f>
        <v>0</v>
      </c>
      <c r="AS62">
        <f>IF(OR(AQ62="",AR62=""),"",(AQ62+AR62)/2)</f>
        <v>0</v>
      </c>
      <c r="AT62">
        <f>IF(COUNT($G$43:$G$62)&lt;20,"",STDEV($G$43:$G$62)*SQRT(12))</f>
        <v>0</v>
      </c>
      <c r="AU62">
        <f>IF(COUNT($E$2:$E62)&lt;9,"",(MAX($C$54:$C$62)+MIN($D$54:$D$62))/2)</f>
        <v>0</v>
      </c>
      <c r="AV62">
        <f>IF(COUNT($E$2:$E62)&lt;26,"",(MAX($C$37:$C$62)+MIN($D$37:$D$62))/2)</f>
        <v>0</v>
      </c>
      <c r="AW62">
        <f>IF(OR(AU62="",AV62=""),"",(AU62+AV62)/2)</f>
        <v>0</v>
      </c>
      <c r="AX62">
        <f>IF(COUNT($E$2:$E62)&lt;52,"",(MAX($C$11:$C$62)+MIN($D$11:$D$62))/2)</f>
        <v>0</v>
      </c>
      <c r="AY62">
        <f>IF(COUNT($E$2:$E62)&lt;20,"",MAX($C$2:$C$62))</f>
        <v>0</v>
      </c>
      <c r="AZ62">
        <f>IF(COUNT($E$2:$E62)&lt;20,"",MIN($D$2:$D$62))</f>
        <v>0</v>
      </c>
      <c r="BA62">
        <f>IF(COUNT($E$2:$E62)&lt;20,"",SLOPE($E$2:$E$62,$F$2:$F$62))</f>
        <v>0</v>
      </c>
      <c r="BB62">
        <f>IF(COUNT($E$2:$E62)&lt;20,"",INTERCEPT($E$2:$E$62,$F$2:$F$62))</f>
        <v>0</v>
      </c>
      <c r="BC62">
        <f>IF(OR(BA62="",BB62=""),"",BB62+BA62*F62)</f>
        <v>0</v>
      </c>
      <c r="BD62">
        <f>IF(COUNT($E$2:$E62)&lt;20,"",STEYX($E$2:$E$62,$F$2:$F$62))</f>
        <v>0</v>
      </c>
      <c r="BE62">
        <f>IF($E62="","",IF(AND(COUNT($E$63:$E$66)&gt;=4,$C62=MAX($C$58:$C$66)),$C62,""))</f>
        <v>0</v>
      </c>
      <c r="BF62">
        <f>IF($E62="","",IF(AND(COUNT($E$63:$E$66)&gt;=4,$D62=MIN($D$58:$D$66)),$D62,""))</f>
        <v>0</v>
      </c>
      <c r="BG62">
        <f>IFERROR(SMALL(Calc_Daily!$BT$2:$BT$2001,61),"")</f>
        <v>0</v>
      </c>
    </row>
    <row r="63" spans="1:59">
      <c r="A63" s="27">
        <f>IF($BG63="","",INDEX(Calc_Daily!$A$2:$A$2001,$BG63))</f>
        <v>0</v>
      </c>
      <c r="B63">
        <f>IF($BG63="","",INDEX(Calc_Daily!$BQ$2:$BQ$2001,$BG63))</f>
        <v>0</v>
      </c>
      <c r="C63">
        <f>IF($BG63="","",INDEX(Calc_Daily!$BR$2:$BR$2001,$BG63))</f>
        <v>0</v>
      </c>
      <c r="D63">
        <f>IF($BG63="","",INDEX(Calc_Daily!$BS$2:$BS$2001,$BG63))</f>
        <v>0</v>
      </c>
      <c r="E63">
        <f>IF($BG63="","",INDEX(Calc_Daily!$E$2:$E$2001,$BG63))</f>
        <v>0</v>
      </c>
      <c r="F63">
        <f>IF($E63="","",N(F62)+1)</f>
        <v>0</v>
      </c>
      <c r="G63">
        <f>IF(OR($E63="",$E62=""),"",LN($E63/$E62))</f>
        <v>0</v>
      </c>
      <c r="H63">
        <f>IF($E63="","",IF($E62="",$E63,$E63*0.0952380952+H62*0.9047619048))</f>
        <v>0</v>
      </c>
      <c r="I63">
        <f>IF($E63="","",IF($E62="",$E63,$E63*0.0392156863+I62*0.9607843137))</f>
        <v>0</v>
      </c>
      <c r="J63">
        <f>IF($E63="","",IF($E62="",$E63,$E63*0.0198019802+J62*0.9801980198))</f>
        <v>0</v>
      </c>
      <c r="K63">
        <f>IF($E63="","",IF($E62="",$E63,$E63*0.0099502488+K62*0.9900497512))</f>
        <v>0</v>
      </c>
      <c r="L63">
        <f>IF(OR($E63="",$E62=""),"",MAX($E63-$E62,0))</f>
        <v>0</v>
      </c>
      <c r="M63">
        <f>IF(OR($E63="",$E62=""),"",MAX($E62-$E63,0))</f>
        <v>0</v>
      </c>
      <c r="N63">
        <f>IF(COUNT($E$2:$E63)&lt;15,"",IF(AVERAGE($M$50:$M$63)=0,100,100-100/(1+AVERAGE($L$50:$L$63)/AVERAGE($M$50:$M$63))))</f>
        <v>0</v>
      </c>
      <c r="O63">
        <f>IF($E63="","",IF($E62="",$E63,$E63*0.1538461538+O62*0.8461538462))</f>
        <v>0</v>
      </c>
      <c r="P63">
        <f>IF($E63="","",IF($E62="",$E63,$E63*0.0740740741+P62*0.9259259259))</f>
        <v>0</v>
      </c>
      <c r="Q63">
        <f>IF(OR(O63="",P63=""),"",O63-P63)</f>
        <v>0</v>
      </c>
      <c r="R63">
        <f>IF(Q63="","",IF(R62="",Q63,Q63*0.2000000000+R62*0.8000000000))</f>
        <v>0</v>
      </c>
      <c r="S63">
        <f>IF(OR(Q63="",R63=""),"",Q63-R63)</f>
        <v>0</v>
      </c>
      <c r="T63">
        <f>IF(COUNT($E$2:$E63)&lt;14,"",MAX($C$50:$C$63))</f>
        <v>0</v>
      </c>
      <c r="U63">
        <f>IF(COUNT($E$2:$E63)&lt;14,"",MIN($D$50:$D$63))</f>
        <v>0</v>
      </c>
      <c r="V63">
        <f>IF(OR(T63="",U63="",T63=U63),"",100*($E63-U63)/(T63-U63))</f>
        <v>0</v>
      </c>
      <c r="W63">
        <f>IF(COUNT($V$61:$V$63)&lt;3,"",AVERAGE($V$61:$V$63))</f>
        <v>0</v>
      </c>
      <c r="X63">
        <f>IF(COUNT($N$50:$N$63)&lt;14,"",MIN($N$50:$N$63))</f>
        <v>0</v>
      </c>
      <c r="Y63">
        <f>IF(COUNT($N$50:$N$63)&lt;14,"",MAX($N$50:$N$63))</f>
        <v>0</v>
      </c>
      <c r="Z63">
        <f>IF(OR(N63="",X63="",Y63="",Y63=X63),"",100*(N63-X63)/(Y63-X63))</f>
        <v>0</v>
      </c>
      <c r="AA63">
        <f>IF(COUNT($Z$61:$Z$63)&lt;3,"",AVERAGE($Z$61:$Z$63))</f>
        <v>0</v>
      </c>
      <c r="AB63">
        <f>IF(COUNT($AA$61:$AA$63)&lt;3,"",AVERAGE($AA$61:$AA$63))</f>
        <v>0</v>
      </c>
      <c r="AC63">
        <f>IF($E63="","",MAX($C63-$D63,ABS($C63-$E62),ABS($D63-$E62)))</f>
        <v>0</v>
      </c>
      <c r="AD63">
        <f>IF(COUNT($E$2:$E63)&lt;15,"",AVERAGE($AC$50:$AC$63))</f>
        <v>0</v>
      </c>
      <c r="AE63">
        <f>IF(OR($E63="",$E62=""),"",IF(AND(($C63-$C62)&gt;($D62-$D63),($C63-$C62)&gt;0),$C63-$C62,0))</f>
        <v>0</v>
      </c>
      <c r="AF63">
        <f>IF(OR($E63="",$E62=""),"",IF(AND(($D62-$D63)&gt;($C63-$C62),($D62-$D63)&gt;0),$D62-$D63,0))</f>
        <v>0</v>
      </c>
      <c r="AG63">
        <f>IF(COUNT($E$2:$E63)&lt;15,"",IF(SUM($AC$50:$AC$63)=0,0,100*SUM($AE$50:$AE$63)/SUM($AC$50:$AC$63)))</f>
        <v>0</v>
      </c>
      <c r="AH63">
        <f>IF(COUNT($E$2:$E63)&lt;15,"",IF(SUM($AC$50:$AC$63)=0,0,100*SUM($AF$50:$AF$63)/SUM($AC$50:$AC$63)))</f>
        <v>0</v>
      </c>
      <c r="AI63">
        <f>IF(OR(AG63="",AH63=""),"",IF((AG63+AH63)=0,0,100*ABS(AG63-AH63)/(AG63+AH63)))</f>
        <v>0</v>
      </c>
      <c r="AJ63">
        <f>IF(COUNT($AI$50:$AI$63)&lt;14,"",AVERAGE($AI$50:$AI$63))</f>
        <v>0</v>
      </c>
      <c r="AK63">
        <f>IF(COUNT($E$2:$E63)&lt;20,"",AVERAGE($E$44:$E$63))</f>
        <v>0</v>
      </c>
      <c r="AL63">
        <f>IF(COUNT($E$2:$E63)&lt;20,"",STDEVP($E$44:$E$63))</f>
        <v>0</v>
      </c>
      <c r="AM63">
        <f>IF(AK63="","",AK63+2*AL63)</f>
        <v>0</v>
      </c>
      <c r="AN63">
        <f>IF(AK63="","",AK63-2*AL63)</f>
        <v>0</v>
      </c>
      <c r="AO63">
        <f>IF(OR(AM63="",AN63="",AM63=AN63),"",($E63-AN63)/(AM63-AN63))</f>
        <v>0</v>
      </c>
      <c r="AP63">
        <f>IF(OR(AM63="",AK63="",AK63=0),"",(AM63-AN63)/AK63)</f>
        <v>0</v>
      </c>
      <c r="AQ63">
        <f>IF(COUNT($E$2:$E63)&lt;20,"",MAX($C$44:$C$63))</f>
        <v>0</v>
      </c>
      <c r="AR63">
        <f>IF(COUNT($E$2:$E63)&lt;20,"",MIN($D$44:$D$63))</f>
        <v>0</v>
      </c>
      <c r="AS63">
        <f>IF(OR(AQ63="",AR63=""),"",(AQ63+AR63)/2)</f>
        <v>0</v>
      </c>
      <c r="AT63">
        <f>IF(COUNT($G$44:$G$63)&lt;20,"",STDEV($G$44:$G$63)*SQRT(12))</f>
        <v>0</v>
      </c>
      <c r="AU63">
        <f>IF(COUNT($E$2:$E63)&lt;9,"",(MAX($C$55:$C$63)+MIN($D$55:$D$63))/2)</f>
        <v>0</v>
      </c>
      <c r="AV63">
        <f>IF(COUNT($E$2:$E63)&lt;26,"",(MAX($C$38:$C$63)+MIN($D$38:$D$63))/2)</f>
        <v>0</v>
      </c>
      <c r="AW63">
        <f>IF(OR(AU63="",AV63=""),"",(AU63+AV63)/2)</f>
        <v>0</v>
      </c>
      <c r="AX63">
        <f>IF(COUNT($E$2:$E63)&lt;52,"",(MAX($C$12:$C$63)+MIN($D$12:$D$63))/2)</f>
        <v>0</v>
      </c>
      <c r="AY63">
        <f>IF(COUNT($E$2:$E63)&lt;20,"",MAX($C$2:$C$63))</f>
        <v>0</v>
      </c>
      <c r="AZ63">
        <f>IF(COUNT($E$2:$E63)&lt;20,"",MIN($D$2:$D$63))</f>
        <v>0</v>
      </c>
      <c r="BA63">
        <f>IF(COUNT($E$2:$E63)&lt;20,"",SLOPE($E$2:$E$63,$F$2:$F$63))</f>
        <v>0</v>
      </c>
      <c r="BB63">
        <f>IF(COUNT($E$2:$E63)&lt;20,"",INTERCEPT($E$2:$E$63,$F$2:$F$63))</f>
        <v>0</v>
      </c>
      <c r="BC63">
        <f>IF(OR(BA63="",BB63=""),"",BB63+BA63*F63)</f>
        <v>0</v>
      </c>
      <c r="BD63">
        <f>IF(COUNT($E$2:$E63)&lt;20,"",STEYX($E$2:$E$63,$F$2:$F$63))</f>
        <v>0</v>
      </c>
      <c r="BE63">
        <f>IF($E63="","",IF(AND(COUNT($E$64:$E$67)&gt;=4,$C63=MAX($C$59:$C$67)),$C63,""))</f>
        <v>0</v>
      </c>
      <c r="BF63">
        <f>IF($E63="","",IF(AND(COUNT($E$64:$E$67)&gt;=4,$D63=MIN($D$59:$D$67)),$D63,""))</f>
        <v>0</v>
      </c>
      <c r="BG63">
        <f>IFERROR(SMALL(Calc_Daily!$BT$2:$BT$2001,62),"")</f>
        <v>0</v>
      </c>
    </row>
    <row r="64" spans="1:59">
      <c r="A64" s="27">
        <f>IF($BG64="","",INDEX(Calc_Daily!$A$2:$A$2001,$BG64))</f>
        <v>0</v>
      </c>
      <c r="B64">
        <f>IF($BG64="","",INDEX(Calc_Daily!$BQ$2:$BQ$2001,$BG64))</f>
        <v>0</v>
      </c>
      <c r="C64">
        <f>IF($BG64="","",INDEX(Calc_Daily!$BR$2:$BR$2001,$BG64))</f>
        <v>0</v>
      </c>
      <c r="D64">
        <f>IF($BG64="","",INDEX(Calc_Daily!$BS$2:$BS$2001,$BG64))</f>
        <v>0</v>
      </c>
      <c r="E64">
        <f>IF($BG64="","",INDEX(Calc_Daily!$E$2:$E$2001,$BG64))</f>
        <v>0</v>
      </c>
      <c r="F64">
        <f>IF($E64="","",N(F63)+1)</f>
        <v>0</v>
      </c>
      <c r="G64">
        <f>IF(OR($E64="",$E63=""),"",LN($E64/$E63))</f>
        <v>0</v>
      </c>
      <c r="H64">
        <f>IF($E64="","",IF($E63="",$E64,$E64*0.0952380952+H63*0.9047619048))</f>
        <v>0</v>
      </c>
      <c r="I64">
        <f>IF($E64="","",IF($E63="",$E64,$E64*0.0392156863+I63*0.9607843137))</f>
        <v>0</v>
      </c>
      <c r="J64">
        <f>IF($E64="","",IF($E63="",$E64,$E64*0.0198019802+J63*0.9801980198))</f>
        <v>0</v>
      </c>
      <c r="K64">
        <f>IF($E64="","",IF($E63="",$E64,$E64*0.0099502488+K63*0.9900497512))</f>
        <v>0</v>
      </c>
      <c r="L64">
        <f>IF(OR($E64="",$E63=""),"",MAX($E64-$E63,0))</f>
        <v>0</v>
      </c>
      <c r="M64">
        <f>IF(OR($E64="",$E63=""),"",MAX($E63-$E64,0))</f>
        <v>0</v>
      </c>
      <c r="N64">
        <f>IF(COUNT($E$2:$E64)&lt;15,"",IF(AVERAGE($M$51:$M$64)=0,100,100-100/(1+AVERAGE($L$51:$L$64)/AVERAGE($M$51:$M$64))))</f>
        <v>0</v>
      </c>
      <c r="O64">
        <f>IF($E64="","",IF($E63="",$E64,$E64*0.1538461538+O63*0.8461538462))</f>
        <v>0</v>
      </c>
      <c r="P64">
        <f>IF($E64="","",IF($E63="",$E64,$E64*0.0740740741+P63*0.9259259259))</f>
        <v>0</v>
      </c>
      <c r="Q64">
        <f>IF(OR(O64="",P64=""),"",O64-P64)</f>
        <v>0</v>
      </c>
      <c r="R64">
        <f>IF(Q64="","",IF(R63="",Q64,Q64*0.2000000000+R63*0.8000000000))</f>
        <v>0</v>
      </c>
      <c r="S64">
        <f>IF(OR(Q64="",R64=""),"",Q64-R64)</f>
        <v>0</v>
      </c>
      <c r="T64">
        <f>IF(COUNT($E$2:$E64)&lt;14,"",MAX($C$51:$C$64))</f>
        <v>0</v>
      </c>
      <c r="U64">
        <f>IF(COUNT($E$2:$E64)&lt;14,"",MIN($D$51:$D$64))</f>
        <v>0</v>
      </c>
      <c r="V64">
        <f>IF(OR(T64="",U64="",T64=U64),"",100*($E64-U64)/(T64-U64))</f>
        <v>0</v>
      </c>
      <c r="W64">
        <f>IF(COUNT($V$62:$V$64)&lt;3,"",AVERAGE($V$62:$V$64))</f>
        <v>0</v>
      </c>
      <c r="X64">
        <f>IF(COUNT($N$51:$N$64)&lt;14,"",MIN($N$51:$N$64))</f>
        <v>0</v>
      </c>
      <c r="Y64">
        <f>IF(COUNT($N$51:$N$64)&lt;14,"",MAX($N$51:$N$64))</f>
        <v>0</v>
      </c>
      <c r="Z64">
        <f>IF(OR(N64="",X64="",Y64="",Y64=X64),"",100*(N64-X64)/(Y64-X64))</f>
        <v>0</v>
      </c>
      <c r="AA64">
        <f>IF(COUNT($Z$62:$Z$64)&lt;3,"",AVERAGE($Z$62:$Z$64))</f>
        <v>0</v>
      </c>
      <c r="AB64">
        <f>IF(COUNT($AA$62:$AA$64)&lt;3,"",AVERAGE($AA$62:$AA$64))</f>
        <v>0</v>
      </c>
      <c r="AC64">
        <f>IF($E64="","",MAX($C64-$D64,ABS($C64-$E63),ABS($D64-$E63)))</f>
        <v>0</v>
      </c>
      <c r="AD64">
        <f>IF(COUNT($E$2:$E64)&lt;15,"",AVERAGE($AC$51:$AC$64))</f>
        <v>0</v>
      </c>
      <c r="AE64">
        <f>IF(OR($E64="",$E63=""),"",IF(AND(($C64-$C63)&gt;($D63-$D64),($C64-$C63)&gt;0),$C64-$C63,0))</f>
        <v>0</v>
      </c>
      <c r="AF64">
        <f>IF(OR($E64="",$E63=""),"",IF(AND(($D63-$D64)&gt;($C64-$C63),($D63-$D64)&gt;0),$D63-$D64,0))</f>
        <v>0</v>
      </c>
      <c r="AG64">
        <f>IF(COUNT($E$2:$E64)&lt;15,"",IF(SUM($AC$51:$AC$64)=0,0,100*SUM($AE$51:$AE$64)/SUM($AC$51:$AC$64)))</f>
        <v>0</v>
      </c>
      <c r="AH64">
        <f>IF(COUNT($E$2:$E64)&lt;15,"",IF(SUM($AC$51:$AC$64)=0,0,100*SUM($AF$51:$AF$64)/SUM($AC$51:$AC$64)))</f>
        <v>0</v>
      </c>
      <c r="AI64">
        <f>IF(OR(AG64="",AH64=""),"",IF((AG64+AH64)=0,0,100*ABS(AG64-AH64)/(AG64+AH64)))</f>
        <v>0</v>
      </c>
      <c r="AJ64">
        <f>IF(COUNT($AI$51:$AI$64)&lt;14,"",AVERAGE($AI$51:$AI$64))</f>
        <v>0</v>
      </c>
      <c r="AK64">
        <f>IF(COUNT($E$2:$E64)&lt;20,"",AVERAGE($E$45:$E$64))</f>
        <v>0</v>
      </c>
      <c r="AL64">
        <f>IF(COUNT($E$2:$E64)&lt;20,"",STDEVP($E$45:$E$64))</f>
        <v>0</v>
      </c>
      <c r="AM64">
        <f>IF(AK64="","",AK64+2*AL64)</f>
        <v>0</v>
      </c>
      <c r="AN64">
        <f>IF(AK64="","",AK64-2*AL64)</f>
        <v>0</v>
      </c>
      <c r="AO64">
        <f>IF(OR(AM64="",AN64="",AM64=AN64),"",($E64-AN64)/(AM64-AN64))</f>
        <v>0</v>
      </c>
      <c r="AP64">
        <f>IF(OR(AM64="",AK64="",AK64=0),"",(AM64-AN64)/AK64)</f>
        <v>0</v>
      </c>
      <c r="AQ64">
        <f>IF(COUNT($E$2:$E64)&lt;20,"",MAX($C$45:$C$64))</f>
        <v>0</v>
      </c>
      <c r="AR64">
        <f>IF(COUNT($E$2:$E64)&lt;20,"",MIN($D$45:$D$64))</f>
        <v>0</v>
      </c>
      <c r="AS64">
        <f>IF(OR(AQ64="",AR64=""),"",(AQ64+AR64)/2)</f>
        <v>0</v>
      </c>
      <c r="AT64">
        <f>IF(COUNT($G$45:$G$64)&lt;20,"",STDEV($G$45:$G$64)*SQRT(12))</f>
        <v>0</v>
      </c>
      <c r="AU64">
        <f>IF(COUNT($E$2:$E64)&lt;9,"",(MAX($C$56:$C$64)+MIN($D$56:$D$64))/2)</f>
        <v>0</v>
      </c>
      <c r="AV64">
        <f>IF(COUNT($E$2:$E64)&lt;26,"",(MAX($C$39:$C$64)+MIN($D$39:$D$64))/2)</f>
        <v>0</v>
      </c>
      <c r="AW64">
        <f>IF(OR(AU64="",AV64=""),"",(AU64+AV64)/2)</f>
        <v>0</v>
      </c>
      <c r="AX64">
        <f>IF(COUNT($E$2:$E64)&lt;52,"",(MAX($C$13:$C$64)+MIN($D$13:$D$64))/2)</f>
        <v>0</v>
      </c>
      <c r="AY64">
        <f>IF(COUNT($E$2:$E64)&lt;20,"",MAX($C$2:$C$64))</f>
        <v>0</v>
      </c>
      <c r="AZ64">
        <f>IF(COUNT($E$2:$E64)&lt;20,"",MIN($D$2:$D$64))</f>
        <v>0</v>
      </c>
      <c r="BA64">
        <f>IF(COUNT($E$2:$E64)&lt;20,"",SLOPE($E$2:$E$64,$F$2:$F$64))</f>
        <v>0</v>
      </c>
      <c r="BB64">
        <f>IF(COUNT($E$2:$E64)&lt;20,"",INTERCEPT($E$2:$E$64,$F$2:$F$64))</f>
        <v>0</v>
      </c>
      <c r="BC64">
        <f>IF(OR(BA64="",BB64=""),"",BB64+BA64*F64)</f>
        <v>0</v>
      </c>
      <c r="BD64">
        <f>IF(COUNT($E$2:$E64)&lt;20,"",STEYX($E$2:$E$64,$F$2:$F$64))</f>
        <v>0</v>
      </c>
      <c r="BE64">
        <f>IF($E64="","",IF(AND(COUNT($E$65:$E$68)&gt;=4,$C64=MAX($C$60:$C$68)),$C64,""))</f>
        <v>0</v>
      </c>
      <c r="BF64">
        <f>IF($E64="","",IF(AND(COUNT($E$65:$E$68)&gt;=4,$D64=MIN($D$60:$D$68)),$D64,""))</f>
        <v>0</v>
      </c>
      <c r="BG64">
        <f>IFERROR(SMALL(Calc_Daily!$BT$2:$BT$2001,63),"")</f>
        <v>0</v>
      </c>
    </row>
    <row r="65" spans="1:59">
      <c r="A65" s="27">
        <f>IF($BG65="","",INDEX(Calc_Daily!$A$2:$A$2001,$BG65))</f>
        <v>0</v>
      </c>
      <c r="B65">
        <f>IF($BG65="","",INDEX(Calc_Daily!$BQ$2:$BQ$2001,$BG65))</f>
        <v>0</v>
      </c>
      <c r="C65">
        <f>IF($BG65="","",INDEX(Calc_Daily!$BR$2:$BR$2001,$BG65))</f>
        <v>0</v>
      </c>
      <c r="D65">
        <f>IF($BG65="","",INDEX(Calc_Daily!$BS$2:$BS$2001,$BG65))</f>
        <v>0</v>
      </c>
      <c r="E65">
        <f>IF($BG65="","",INDEX(Calc_Daily!$E$2:$E$2001,$BG65))</f>
        <v>0</v>
      </c>
      <c r="F65">
        <f>IF($E65="","",N(F64)+1)</f>
        <v>0</v>
      </c>
      <c r="G65">
        <f>IF(OR($E65="",$E64=""),"",LN($E65/$E64))</f>
        <v>0</v>
      </c>
      <c r="H65">
        <f>IF($E65="","",IF($E64="",$E65,$E65*0.0952380952+H64*0.9047619048))</f>
        <v>0</v>
      </c>
      <c r="I65">
        <f>IF($E65="","",IF($E64="",$E65,$E65*0.0392156863+I64*0.9607843137))</f>
        <v>0</v>
      </c>
      <c r="J65">
        <f>IF($E65="","",IF($E64="",$E65,$E65*0.0198019802+J64*0.9801980198))</f>
        <v>0</v>
      </c>
      <c r="K65">
        <f>IF($E65="","",IF($E64="",$E65,$E65*0.0099502488+K64*0.9900497512))</f>
        <v>0</v>
      </c>
      <c r="L65">
        <f>IF(OR($E65="",$E64=""),"",MAX($E65-$E64,0))</f>
        <v>0</v>
      </c>
      <c r="M65">
        <f>IF(OR($E65="",$E64=""),"",MAX($E64-$E65,0))</f>
        <v>0</v>
      </c>
      <c r="N65">
        <f>IF(COUNT($E$2:$E65)&lt;15,"",IF(AVERAGE($M$52:$M$65)=0,100,100-100/(1+AVERAGE($L$52:$L$65)/AVERAGE($M$52:$M$65))))</f>
        <v>0</v>
      </c>
      <c r="O65">
        <f>IF($E65="","",IF($E64="",$E65,$E65*0.1538461538+O64*0.8461538462))</f>
        <v>0</v>
      </c>
      <c r="P65">
        <f>IF($E65="","",IF($E64="",$E65,$E65*0.0740740741+P64*0.9259259259))</f>
        <v>0</v>
      </c>
      <c r="Q65">
        <f>IF(OR(O65="",P65=""),"",O65-P65)</f>
        <v>0</v>
      </c>
      <c r="R65">
        <f>IF(Q65="","",IF(R64="",Q65,Q65*0.2000000000+R64*0.8000000000))</f>
        <v>0</v>
      </c>
      <c r="S65">
        <f>IF(OR(Q65="",R65=""),"",Q65-R65)</f>
        <v>0</v>
      </c>
      <c r="T65">
        <f>IF(COUNT($E$2:$E65)&lt;14,"",MAX($C$52:$C$65))</f>
        <v>0</v>
      </c>
      <c r="U65">
        <f>IF(COUNT($E$2:$E65)&lt;14,"",MIN($D$52:$D$65))</f>
        <v>0</v>
      </c>
      <c r="V65">
        <f>IF(OR(T65="",U65="",T65=U65),"",100*($E65-U65)/(T65-U65))</f>
        <v>0</v>
      </c>
      <c r="W65">
        <f>IF(COUNT($V$63:$V$65)&lt;3,"",AVERAGE($V$63:$V$65))</f>
        <v>0</v>
      </c>
      <c r="X65">
        <f>IF(COUNT($N$52:$N$65)&lt;14,"",MIN($N$52:$N$65))</f>
        <v>0</v>
      </c>
      <c r="Y65">
        <f>IF(COUNT($N$52:$N$65)&lt;14,"",MAX($N$52:$N$65))</f>
        <v>0</v>
      </c>
      <c r="Z65">
        <f>IF(OR(N65="",X65="",Y65="",Y65=X65),"",100*(N65-X65)/(Y65-X65))</f>
        <v>0</v>
      </c>
      <c r="AA65">
        <f>IF(COUNT($Z$63:$Z$65)&lt;3,"",AVERAGE($Z$63:$Z$65))</f>
        <v>0</v>
      </c>
      <c r="AB65">
        <f>IF(COUNT($AA$63:$AA$65)&lt;3,"",AVERAGE($AA$63:$AA$65))</f>
        <v>0</v>
      </c>
      <c r="AC65">
        <f>IF($E65="","",MAX($C65-$D65,ABS($C65-$E64),ABS($D65-$E64)))</f>
        <v>0</v>
      </c>
      <c r="AD65">
        <f>IF(COUNT($E$2:$E65)&lt;15,"",AVERAGE($AC$52:$AC$65))</f>
        <v>0</v>
      </c>
      <c r="AE65">
        <f>IF(OR($E65="",$E64=""),"",IF(AND(($C65-$C64)&gt;($D64-$D65),($C65-$C64)&gt;0),$C65-$C64,0))</f>
        <v>0</v>
      </c>
      <c r="AF65">
        <f>IF(OR($E65="",$E64=""),"",IF(AND(($D64-$D65)&gt;($C65-$C64),($D64-$D65)&gt;0),$D64-$D65,0))</f>
        <v>0</v>
      </c>
      <c r="AG65">
        <f>IF(COUNT($E$2:$E65)&lt;15,"",IF(SUM($AC$52:$AC$65)=0,0,100*SUM($AE$52:$AE$65)/SUM($AC$52:$AC$65)))</f>
        <v>0</v>
      </c>
      <c r="AH65">
        <f>IF(COUNT($E$2:$E65)&lt;15,"",IF(SUM($AC$52:$AC$65)=0,0,100*SUM($AF$52:$AF$65)/SUM($AC$52:$AC$65)))</f>
        <v>0</v>
      </c>
      <c r="AI65">
        <f>IF(OR(AG65="",AH65=""),"",IF((AG65+AH65)=0,0,100*ABS(AG65-AH65)/(AG65+AH65)))</f>
        <v>0</v>
      </c>
      <c r="AJ65">
        <f>IF(COUNT($AI$52:$AI$65)&lt;14,"",AVERAGE($AI$52:$AI$65))</f>
        <v>0</v>
      </c>
      <c r="AK65">
        <f>IF(COUNT($E$2:$E65)&lt;20,"",AVERAGE($E$46:$E$65))</f>
        <v>0</v>
      </c>
      <c r="AL65">
        <f>IF(COUNT($E$2:$E65)&lt;20,"",STDEVP($E$46:$E$65))</f>
        <v>0</v>
      </c>
      <c r="AM65">
        <f>IF(AK65="","",AK65+2*AL65)</f>
        <v>0</v>
      </c>
      <c r="AN65">
        <f>IF(AK65="","",AK65-2*AL65)</f>
        <v>0</v>
      </c>
      <c r="AO65">
        <f>IF(OR(AM65="",AN65="",AM65=AN65),"",($E65-AN65)/(AM65-AN65))</f>
        <v>0</v>
      </c>
      <c r="AP65">
        <f>IF(OR(AM65="",AK65="",AK65=0),"",(AM65-AN65)/AK65)</f>
        <v>0</v>
      </c>
      <c r="AQ65">
        <f>IF(COUNT($E$2:$E65)&lt;20,"",MAX($C$46:$C$65))</f>
        <v>0</v>
      </c>
      <c r="AR65">
        <f>IF(COUNT($E$2:$E65)&lt;20,"",MIN($D$46:$D$65))</f>
        <v>0</v>
      </c>
      <c r="AS65">
        <f>IF(OR(AQ65="",AR65=""),"",(AQ65+AR65)/2)</f>
        <v>0</v>
      </c>
      <c r="AT65">
        <f>IF(COUNT($G$46:$G$65)&lt;20,"",STDEV($G$46:$G$65)*SQRT(12))</f>
        <v>0</v>
      </c>
      <c r="AU65">
        <f>IF(COUNT($E$2:$E65)&lt;9,"",(MAX($C$57:$C$65)+MIN($D$57:$D$65))/2)</f>
        <v>0</v>
      </c>
      <c r="AV65">
        <f>IF(COUNT($E$2:$E65)&lt;26,"",(MAX($C$40:$C$65)+MIN($D$40:$D$65))/2)</f>
        <v>0</v>
      </c>
      <c r="AW65">
        <f>IF(OR(AU65="",AV65=""),"",(AU65+AV65)/2)</f>
        <v>0</v>
      </c>
      <c r="AX65">
        <f>IF(COUNT($E$2:$E65)&lt;52,"",(MAX($C$14:$C$65)+MIN($D$14:$D$65))/2)</f>
        <v>0</v>
      </c>
      <c r="AY65">
        <f>IF(COUNT($E$2:$E65)&lt;20,"",MAX($C$2:$C$65))</f>
        <v>0</v>
      </c>
      <c r="AZ65">
        <f>IF(COUNT($E$2:$E65)&lt;20,"",MIN($D$2:$D$65))</f>
        <v>0</v>
      </c>
      <c r="BA65">
        <f>IF(COUNT($E$2:$E65)&lt;20,"",SLOPE($E$2:$E$65,$F$2:$F$65))</f>
        <v>0</v>
      </c>
      <c r="BB65">
        <f>IF(COUNT($E$2:$E65)&lt;20,"",INTERCEPT($E$2:$E$65,$F$2:$F$65))</f>
        <v>0</v>
      </c>
      <c r="BC65">
        <f>IF(OR(BA65="",BB65=""),"",BB65+BA65*F65)</f>
        <v>0</v>
      </c>
      <c r="BD65">
        <f>IF(COUNT($E$2:$E65)&lt;20,"",STEYX($E$2:$E$65,$F$2:$F$65))</f>
        <v>0</v>
      </c>
      <c r="BE65">
        <f>IF($E65="","",IF(AND(COUNT($E$66:$E$69)&gt;=4,$C65=MAX($C$61:$C$69)),$C65,""))</f>
        <v>0</v>
      </c>
      <c r="BF65">
        <f>IF($E65="","",IF(AND(COUNT($E$66:$E$69)&gt;=4,$D65=MIN($D$61:$D$69)),$D65,""))</f>
        <v>0</v>
      </c>
      <c r="BG65">
        <f>IFERROR(SMALL(Calc_Daily!$BT$2:$BT$2001,64),"")</f>
        <v>0</v>
      </c>
    </row>
    <row r="66" spans="1:59">
      <c r="A66" s="27">
        <f>IF($BG66="","",INDEX(Calc_Daily!$A$2:$A$2001,$BG66))</f>
        <v>0</v>
      </c>
      <c r="B66">
        <f>IF($BG66="","",INDEX(Calc_Daily!$BQ$2:$BQ$2001,$BG66))</f>
        <v>0</v>
      </c>
      <c r="C66">
        <f>IF($BG66="","",INDEX(Calc_Daily!$BR$2:$BR$2001,$BG66))</f>
        <v>0</v>
      </c>
      <c r="D66">
        <f>IF($BG66="","",INDEX(Calc_Daily!$BS$2:$BS$2001,$BG66))</f>
        <v>0</v>
      </c>
      <c r="E66">
        <f>IF($BG66="","",INDEX(Calc_Daily!$E$2:$E$2001,$BG66))</f>
        <v>0</v>
      </c>
      <c r="F66">
        <f>IF($E66="","",N(F65)+1)</f>
        <v>0</v>
      </c>
      <c r="G66">
        <f>IF(OR($E66="",$E65=""),"",LN($E66/$E65))</f>
        <v>0</v>
      </c>
      <c r="H66">
        <f>IF($E66="","",IF($E65="",$E66,$E66*0.0952380952+H65*0.9047619048))</f>
        <v>0</v>
      </c>
      <c r="I66">
        <f>IF($E66="","",IF($E65="",$E66,$E66*0.0392156863+I65*0.9607843137))</f>
        <v>0</v>
      </c>
      <c r="J66">
        <f>IF($E66="","",IF($E65="",$E66,$E66*0.0198019802+J65*0.9801980198))</f>
        <v>0</v>
      </c>
      <c r="K66">
        <f>IF($E66="","",IF($E65="",$E66,$E66*0.0099502488+K65*0.9900497512))</f>
        <v>0</v>
      </c>
      <c r="L66">
        <f>IF(OR($E66="",$E65=""),"",MAX($E66-$E65,0))</f>
        <v>0</v>
      </c>
      <c r="M66">
        <f>IF(OR($E66="",$E65=""),"",MAX($E65-$E66,0))</f>
        <v>0</v>
      </c>
      <c r="N66">
        <f>IF(COUNT($E$2:$E66)&lt;15,"",IF(AVERAGE($M$53:$M$66)=0,100,100-100/(1+AVERAGE($L$53:$L$66)/AVERAGE($M$53:$M$66))))</f>
        <v>0</v>
      </c>
      <c r="O66">
        <f>IF($E66="","",IF($E65="",$E66,$E66*0.1538461538+O65*0.8461538462))</f>
        <v>0</v>
      </c>
      <c r="P66">
        <f>IF($E66="","",IF($E65="",$E66,$E66*0.0740740741+P65*0.9259259259))</f>
        <v>0</v>
      </c>
      <c r="Q66">
        <f>IF(OR(O66="",P66=""),"",O66-P66)</f>
        <v>0</v>
      </c>
      <c r="R66">
        <f>IF(Q66="","",IF(R65="",Q66,Q66*0.2000000000+R65*0.8000000000))</f>
        <v>0</v>
      </c>
      <c r="S66">
        <f>IF(OR(Q66="",R66=""),"",Q66-R66)</f>
        <v>0</v>
      </c>
      <c r="T66">
        <f>IF(COUNT($E$2:$E66)&lt;14,"",MAX($C$53:$C$66))</f>
        <v>0</v>
      </c>
      <c r="U66">
        <f>IF(COUNT($E$2:$E66)&lt;14,"",MIN($D$53:$D$66))</f>
        <v>0</v>
      </c>
      <c r="V66">
        <f>IF(OR(T66="",U66="",T66=U66),"",100*($E66-U66)/(T66-U66))</f>
        <v>0</v>
      </c>
      <c r="W66">
        <f>IF(COUNT($V$64:$V$66)&lt;3,"",AVERAGE($V$64:$V$66))</f>
        <v>0</v>
      </c>
      <c r="X66">
        <f>IF(COUNT($N$53:$N$66)&lt;14,"",MIN($N$53:$N$66))</f>
        <v>0</v>
      </c>
      <c r="Y66">
        <f>IF(COUNT($N$53:$N$66)&lt;14,"",MAX($N$53:$N$66))</f>
        <v>0</v>
      </c>
      <c r="Z66">
        <f>IF(OR(N66="",X66="",Y66="",Y66=X66),"",100*(N66-X66)/(Y66-X66))</f>
        <v>0</v>
      </c>
      <c r="AA66">
        <f>IF(COUNT($Z$64:$Z$66)&lt;3,"",AVERAGE($Z$64:$Z$66))</f>
        <v>0</v>
      </c>
      <c r="AB66">
        <f>IF(COUNT($AA$64:$AA$66)&lt;3,"",AVERAGE($AA$64:$AA$66))</f>
        <v>0</v>
      </c>
      <c r="AC66">
        <f>IF($E66="","",MAX($C66-$D66,ABS($C66-$E65),ABS($D66-$E65)))</f>
        <v>0</v>
      </c>
      <c r="AD66">
        <f>IF(COUNT($E$2:$E66)&lt;15,"",AVERAGE($AC$53:$AC$66))</f>
        <v>0</v>
      </c>
      <c r="AE66">
        <f>IF(OR($E66="",$E65=""),"",IF(AND(($C66-$C65)&gt;($D65-$D66),($C66-$C65)&gt;0),$C66-$C65,0))</f>
        <v>0</v>
      </c>
      <c r="AF66">
        <f>IF(OR($E66="",$E65=""),"",IF(AND(($D65-$D66)&gt;($C66-$C65),($D65-$D66)&gt;0),$D65-$D66,0))</f>
        <v>0</v>
      </c>
      <c r="AG66">
        <f>IF(COUNT($E$2:$E66)&lt;15,"",IF(SUM($AC$53:$AC$66)=0,0,100*SUM($AE$53:$AE$66)/SUM($AC$53:$AC$66)))</f>
        <v>0</v>
      </c>
      <c r="AH66">
        <f>IF(COUNT($E$2:$E66)&lt;15,"",IF(SUM($AC$53:$AC$66)=0,0,100*SUM($AF$53:$AF$66)/SUM($AC$53:$AC$66)))</f>
        <v>0</v>
      </c>
      <c r="AI66">
        <f>IF(OR(AG66="",AH66=""),"",IF((AG66+AH66)=0,0,100*ABS(AG66-AH66)/(AG66+AH66)))</f>
        <v>0</v>
      </c>
      <c r="AJ66">
        <f>IF(COUNT($AI$53:$AI$66)&lt;14,"",AVERAGE($AI$53:$AI$66))</f>
        <v>0</v>
      </c>
      <c r="AK66">
        <f>IF(COUNT($E$2:$E66)&lt;20,"",AVERAGE($E$47:$E$66))</f>
        <v>0</v>
      </c>
      <c r="AL66">
        <f>IF(COUNT($E$2:$E66)&lt;20,"",STDEVP($E$47:$E$66))</f>
        <v>0</v>
      </c>
      <c r="AM66">
        <f>IF(AK66="","",AK66+2*AL66)</f>
        <v>0</v>
      </c>
      <c r="AN66">
        <f>IF(AK66="","",AK66-2*AL66)</f>
        <v>0</v>
      </c>
      <c r="AO66">
        <f>IF(OR(AM66="",AN66="",AM66=AN66),"",($E66-AN66)/(AM66-AN66))</f>
        <v>0</v>
      </c>
      <c r="AP66">
        <f>IF(OR(AM66="",AK66="",AK66=0),"",(AM66-AN66)/AK66)</f>
        <v>0</v>
      </c>
      <c r="AQ66">
        <f>IF(COUNT($E$2:$E66)&lt;20,"",MAX($C$47:$C$66))</f>
        <v>0</v>
      </c>
      <c r="AR66">
        <f>IF(COUNT($E$2:$E66)&lt;20,"",MIN($D$47:$D$66))</f>
        <v>0</v>
      </c>
      <c r="AS66">
        <f>IF(OR(AQ66="",AR66=""),"",(AQ66+AR66)/2)</f>
        <v>0</v>
      </c>
      <c r="AT66">
        <f>IF(COUNT($G$47:$G$66)&lt;20,"",STDEV($G$47:$G$66)*SQRT(12))</f>
        <v>0</v>
      </c>
      <c r="AU66">
        <f>IF(COUNT($E$2:$E66)&lt;9,"",(MAX($C$58:$C$66)+MIN($D$58:$D$66))/2)</f>
        <v>0</v>
      </c>
      <c r="AV66">
        <f>IF(COUNT($E$2:$E66)&lt;26,"",(MAX($C$41:$C$66)+MIN($D$41:$D$66))/2)</f>
        <v>0</v>
      </c>
      <c r="AW66">
        <f>IF(OR(AU66="",AV66=""),"",(AU66+AV66)/2)</f>
        <v>0</v>
      </c>
      <c r="AX66">
        <f>IF(COUNT($E$2:$E66)&lt;52,"",(MAX($C$15:$C$66)+MIN($D$15:$D$66))/2)</f>
        <v>0</v>
      </c>
      <c r="AY66">
        <f>IF(COUNT($E$2:$E66)&lt;20,"",MAX($C$2:$C$66))</f>
        <v>0</v>
      </c>
      <c r="AZ66">
        <f>IF(COUNT($E$2:$E66)&lt;20,"",MIN($D$2:$D$66))</f>
        <v>0</v>
      </c>
      <c r="BA66">
        <f>IF(COUNT($E$2:$E66)&lt;20,"",SLOPE($E$2:$E$66,$F$2:$F$66))</f>
        <v>0</v>
      </c>
      <c r="BB66">
        <f>IF(COUNT($E$2:$E66)&lt;20,"",INTERCEPT($E$2:$E$66,$F$2:$F$66))</f>
        <v>0</v>
      </c>
      <c r="BC66">
        <f>IF(OR(BA66="",BB66=""),"",BB66+BA66*F66)</f>
        <v>0</v>
      </c>
      <c r="BD66">
        <f>IF(COUNT($E$2:$E66)&lt;20,"",STEYX($E$2:$E$66,$F$2:$F$66))</f>
        <v>0</v>
      </c>
      <c r="BE66">
        <f>IF($E66="","",IF(AND(COUNT($E$67:$E$70)&gt;=4,$C66=MAX($C$62:$C$70)),$C66,""))</f>
        <v>0</v>
      </c>
      <c r="BF66">
        <f>IF($E66="","",IF(AND(COUNT($E$67:$E$70)&gt;=4,$D66=MIN($D$62:$D$70)),$D66,""))</f>
        <v>0</v>
      </c>
      <c r="BG66">
        <f>IFERROR(SMALL(Calc_Daily!$BT$2:$BT$2001,65),"")</f>
        <v>0</v>
      </c>
    </row>
    <row r="67" spans="1:59">
      <c r="A67" s="27">
        <f>IF($BG67="","",INDEX(Calc_Daily!$A$2:$A$2001,$BG67))</f>
        <v>0</v>
      </c>
      <c r="B67">
        <f>IF($BG67="","",INDEX(Calc_Daily!$BQ$2:$BQ$2001,$BG67))</f>
        <v>0</v>
      </c>
      <c r="C67">
        <f>IF($BG67="","",INDEX(Calc_Daily!$BR$2:$BR$2001,$BG67))</f>
        <v>0</v>
      </c>
      <c r="D67">
        <f>IF($BG67="","",INDEX(Calc_Daily!$BS$2:$BS$2001,$BG67))</f>
        <v>0</v>
      </c>
      <c r="E67">
        <f>IF($BG67="","",INDEX(Calc_Daily!$E$2:$E$2001,$BG67))</f>
        <v>0</v>
      </c>
      <c r="F67">
        <f>IF($E67="","",N(F66)+1)</f>
        <v>0</v>
      </c>
      <c r="G67">
        <f>IF(OR($E67="",$E66=""),"",LN($E67/$E66))</f>
        <v>0</v>
      </c>
      <c r="H67">
        <f>IF($E67="","",IF($E66="",$E67,$E67*0.0952380952+H66*0.9047619048))</f>
        <v>0</v>
      </c>
      <c r="I67">
        <f>IF($E67="","",IF($E66="",$E67,$E67*0.0392156863+I66*0.9607843137))</f>
        <v>0</v>
      </c>
      <c r="J67">
        <f>IF($E67="","",IF($E66="",$E67,$E67*0.0198019802+J66*0.9801980198))</f>
        <v>0</v>
      </c>
      <c r="K67">
        <f>IF($E67="","",IF($E66="",$E67,$E67*0.0099502488+K66*0.9900497512))</f>
        <v>0</v>
      </c>
      <c r="L67">
        <f>IF(OR($E67="",$E66=""),"",MAX($E67-$E66,0))</f>
        <v>0</v>
      </c>
      <c r="M67">
        <f>IF(OR($E67="",$E66=""),"",MAX($E66-$E67,0))</f>
        <v>0</v>
      </c>
      <c r="N67">
        <f>IF(COUNT($E$2:$E67)&lt;15,"",IF(AVERAGE($M$54:$M$67)=0,100,100-100/(1+AVERAGE($L$54:$L$67)/AVERAGE($M$54:$M$67))))</f>
        <v>0</v>
      </c>
      <c r="O67">
        <f>IF($E67="","",IF($E66="",$E67,$E67*0.1538461538+O66*0.8461538462))</f>
        <v>0</v>
      </c>
      <c r="P67">
        <f>IF($E67="","",IF($E66="",$E67,$E67*0.0740740741+P66*0.9259259259))</f>
        <v>0</v>
      </c>
      <c r="Q67">
        <f>IF(OR(O67="",P67=""),"",O67-P67)</f>
        <v>0</v>
      </c>
      <c r="R67">
        <f>IF(Q67="","",IF(R66="",Q67,Q67*0.2000000000+R66*0.8000000000))</f>
        <v>0</v>
      </c>
      <c r="S67">
        <f>IF(OR(Q67="",R67=""),"",Q67-R67)</f>
        <v>0</v>
      </c>
      <c r="T67">
        <f>IF(COUNT($E$2:$E67)&lt;14,"",MAX($C$54:$C$67))</f>
        <v>0</v>
      </c>
      <c r="U67">
        <f>IF(COUNT($E$2:$E67)&lt;14,"",MIN($D$54:$D$67))</f>
        <v>0</v>
      </c>
      <c r="V67">
        <f>IF(OR(T67="",U67="",T67=U67),"",100*($E67-U67)/(T67-U67))</f>
        <v>0</v>
      </c>
      <c r="W67">
        <f>IF(COUNT($V$65:$V$67)&lt;3,"",AVERAGE($V$65:$V$67))</f>
        <v>0</v>
      </c>
      <c r="X67">
        <f>IF(COUNT($N$54:$N$67)&lt;14,"",MIN($N$54:$N$67))</f>
        <v>0</v>
      </c>
      <c r="Y67">
        <f>IF(COUNT($N$54:$N$67)&lt;14,"",MAX($N$54:$N$67))</f>
        <v>0</v>
      </c>
      <c r="Z67">
        <f>IF(OR(N67="",X67="",Y67="",Y67=X67),"",100*(N67-X67)/(Y67-X67))</f>
        <v>0</v>
      </c>
      <c r="AA67">
        <f>IF(COUNT($Z$65:$Z$67)&lt;3,"",AVERAGE($Z$65:$Z$67))</f>
        <v>0</v>
      </c>
      <c r="AB67">
        <f>IF(COUNT($AA$65:$AA$67)&lt;3,"",AVERAGE($AA$65:$AA$67))</f>
        <v>0</v>
      </c>
      <c r="AC67">
        <f>IF($E67="","",MAX($C67-$D67,ABS($C67-$E66),ABS($D67-$E66)))</f>
        <v>0</v>
      </c>
      <c r="AD67">
        <f>IF(COUNT($E$2:$E67)&lt;15,"",AVERAGE($AC$54:$AC$67))</f>
        <v>0</v>
      </c>
      <c r="AE67">
        <f>IF(OR($E67="",$E66=""),"",IF(AND(($C67-$C66)&gt;($D66-$D67),($C67-$C66)&gt;0),$C67-$C66,0))</f>
        <v>0</v>
      </c>
      <c r="AF67">
        <f>IF(OR($E67="",$E66=""),"",IF(AND(($D66-$D67)&gt;($C67-$C66),($D66-$D67)&gt;0),$D66-$D67,0))</f>
        <v>0</v>
      </c>
      <c r="AG67">
        <f>IF(COUNT($E$2:$E67)&lt;15,"",IF(SUM($AC$54:$AC$67)=0,0,100*SUM($AE$54:$AE$67)/SUM($AC$54:$AC$67)))</f>
        <v>0</v>
      </c>
      <c r="AH67">
        <f>IF(COUNT($E$2:$E67)&lt;15,"",IF(SUM($AC$54:$AC$67)=0,0,100*SUM($AF$54:$AF$67)/SUM($AC$54:$AC$67)))</f>
        <v>0</v>
      </c>
      <c r="AI67">
        <f>IF(OR(AG67="",AH67=""),"",IF((AG67+AH67)=0,0,100*ABS(AG67-AH67)/(AG67+AH67)))</f>
        <v>0</v>
      </c>
      <c r="AJ67">
        <f>IF(COUNT($AI$54:$AI$67)&lt;14,"",AVERAGE($AI$54:$AI$67))</f>
        <v>0</v>
      </c>
      <c r="AK67">
        <f>IF(COUNT($E$2:$E67)&lt;20,"",AVERAGE($E$48:$E$67))</f>
        <v>0</v>
      </c>
      <c r="AL67">
        <f>IF(COUNT($E$2:$E67)&lt;20,"",STDEVP($E$48:$E$67))</f>
        <v>0</v>
      </c>
      <c r="AM67">
        <f>IF(AK67="","",AK67+2*AL67)</f>
        <v>0</v>
      </c>
      <c r="AN67">
        <f>IF(AK67="","",AK67-2*AL67)</f>
        <v>0</v>
      </c>
      <c r="AO67">
        <f>IF(OR(AM67="",AN67="",AM67=AN67),"",($E67-AN67)/(AM67-AN67))</f>
        <v>0</v>
      </c>
      <c r="AP67">
        <f>IF(OR(AM67="",AK67="",AK67=0),"",(AM67-AN67)/AK67)</f>
        <v>0</v>
      </c>
      <c r="AQ67">
        <f>IF(COUNT($E$2:$E67)&lt;20,"",MAX($C$48:$C$67))</f>
        <v>0</v>
      </c>
      <c r="AR67">
        <f>IF(COUNT($E$2:$E67)&lt;20,"",MIN($D$48:$D$67))</f>
        <v>0</v>
      </c>
      <c r="AS67">
        <f>IF(OR(AQ67="",AR67=""),"",(AQ67+AR67)/2)</f>
        <v>0</v>
      </c>
      <c r="AT67">
        <f>IF(COUNT($G$48:$G$67)&lt;20,"",STDEV($G$48:$G$67)*SQRT(12))</f>
        <v>0</v>
      </c>
      <c r="AU67">
        <f>IF(COUNT($E$2:$E67)&lt;9,"",(MAX($C$59:$C$67)+MIN($D$59:$D$67))/2)</f>
        <v>0</v>
      </c>
      <c r="AV67">
        <f>IF(COUNT($E$2:$E67)&lt;26,"",(MAX($C$42:$C$67)+MIN($D$42:$D$67))/2)</f>
        <v>0</v>
      </c>
      <c r="AW67">
        <f>IF(OR(AU67="",AV67=""),"",(AU67+AV67)/2)</f>
        <v>0</v>
      </c>
      <c r="AX67">
        <f>IF(COUNT($E$2:$E67)&lt;52,"",(MAX($C$16:$C$67)+MIN($D$16:$D$67))/2)</f>
        <v>0</v>
      </c>
      <c r="AY67">
        <f>IF(COUNT($E$2:$E67)&lt;20,"",MAX($C$2:$C$67))</f>
        <v>0</v>
      </c>
      <c r="AZ67">
        <f>IF(COUNT($E$2:$E67)&lt;20,"",MIN($D$2:$D$67))</f>
        <v>0</v>
      </c>
      <c r="BA67">
        <f>IF(COUNT($E$2:$E67)&lt;20,"",SLOPE($E$2:$E$67,$F$2:$F$67))</f>
        <v>0</v>
      </c>
      <c r="BB67">
        <f>IF(COUNT($E$2:$E67)&lt;20,"",INTERCEPT($E$2:$E$67,$F$2:$F$67))</f>
        <v>0</v>
      </c>
      <c r="BC67">
        <f>IF(OR(BA67="",BB67=""),"",BB67+BA67*F67)</f>
        <v>0</v>
      </c>
      <c r="BD67">
        <f>IF(COUNT($E$2:$E67)&lt;20,"",STEYX($E$2:$E$67,$F$2:$F$67))</f>
        <v>0</v>
      </c>
      <c r="BE67">
        <f>IF($E67="","",IF(AND(COUNT($E$68:$E$71)&gt;=4,$C67=MAX($C$63:$C$71)),$C67,""))</f>
        <v>0</v>
      </c>
      <c r="BF67">
        <f>IF($E67="","",IF(AND(COUNT($E$68:$E$71)&gt;=4,$D67=MIN($D$63:$D$71)),$D67,""))</f>
        <v>0</v>
      </c>
      <c r="BG67">
        <f>IFERROR(SMALL(Calc_Daily!$BT$2:$BT$2001,66),"")</f>
        <v>0</v>
      </c>
    </row>
    <row r="68" spans="1:59">
      <c r="A68" s="27">
        <f>IF($BG68="","",INDEX(Calc_Daily!$A$2:$A$2001,$BG68))</f>
        <v>0</v>
      </c>
      <c r="B68">
        <f>IF($BG68="","",INDEX(Calc_Daily!$BQ$2:$BQ$2001,$BG68))</f>
        <v>0</v>
      </c>
      <c r="C68">
        <f>IF($BG68="","",INDEX(Calc_Daily!$BR$2:$BR$2001,$BG68))</f>
        <v>0</v>
      </c>
      <c r="D68">
        <f>IF($BG68="","",INDEX(Calc_Daily!$BS$2:$BS$2001,$BG68))</f>
        <v>0</v>
      </c>
      <c r="E68">
        <f>IF($BG68="","",INDEX(Calc_Daily!$E$2:$E$2001,$BG68))</f>
        <v>0</v>
      </c>
      <c r="F68">
        <f>IF($E68="","",N(F67)+1)</f>
        <v>0</v>
      </c>
      <c r="G68">
        <f>IF(OR($E68="",$E67=""),"",LN($E68/$E67))</f>
        <v>0</v>
      </c>
      <c r="H68">
        <f>IF($E68="","",IF($E67="",$E68,$E68*0.0952380952+H67*0.9047619048))</f>
        <v>0</v>
      </c>
      <c r="I68">
        <f>IF($E68="","",IF($E67="",$E68,$E68*0.0392156863+I67*0.9607843137))</f>
        <v>0</v>
      </c>
      <c r="J68">
        <f>IF($E68="","",IF($E67="",$E68,$E68*0.0198019802+J67*0.9801980198))</f>
        <v>0</v>
      </c>
      <c r="K68">
        <f>IF($E68="","",IF($E67="",$E68,$E68*0.0099502488+K67*0.9900497512))</f>
        <v>0</v>
      </c>
      <c r="L68">
        <f>IF(OR($E68="",$E67=""),"",MAX($E68-$E67,0))</f>
        <v>0</v>
      </c>
      <c r="M68">
        <f>IF(OR($E68="",$E67=""),"",MAX($E67-$E68,0))</f>
        <v>0</v>
      </c>
      <c r="N68">
        <f>IF(COUNT($E$2:$E68)&lt;15,"",IF(AVERAGE($M$55:$M$68)=0,100,100-100/(1+AVERAGE($L$55:$L$68)/AVERAGE($M$55:$M$68))))</f>
        <v>0</v>
      </c>
      <c r="O68">
        <f>IF($E68="","",IF($E67="",$E68,$E68*0.1538461538+O67*0.8461538462))</f>
        <v>0</v>
      </c>
      <c r="P68">
        <f>IF($E68="","",IF($E67="",$E68,$E68*0.0740740741+P67*0.9259259259))</f>
        <v>0</v>
      </c>
      <c r="Q68">
        <f>IF(OR(O68="",P68=""),"",O68-P68)</f>
        <v>0</v>
      </c>
      <c r="R68">
        <f>IF(Q68="","",IF(R67="",Q68,Q68*0.2000000000+R67*0.8000000000))</f>
        <v>0</v>
      </c>
      <c r="S68">
        <f>IF(OR(Q68="",R68=""),"",Q68-R68)</f>
        <v>0</v>
      </c>
      <c r="T68">
        <f>IF(COUNT($E$2:$E68)&lt;14,"",MAX($C$55:$C$68))</f>
        <v>0</v>
      </c>
      <c r="U68">
        <f>IF(COUNT($E$2:$E68)&lt;14,"",MIN($D$55:$D$68))</f>
        <v>0</v>
      </c>
      <c r="V68">
        <f>IF(OR(T68="",U68="",T68=U68),"",100*($E68-U68)/(T68-U68))</f>
        <v>0</v>
      </c>
      <c r="W68">
        <f>IF(COUNT($V$66:$V$68)&lt;3,"",AVERAGE($V$66:$V$68))</f>
        <v>0</v>
      </c>
      <c r="X68">
        <f>IF(COUNT($N$55:$N$68)&lt;14,"",MIN($N$55:$N$68))</f>
        <v>0</v>
      </c>
      <c r="Y68">
        <f>IF(COUNT($N$55:$N$68)&lt;14,"",MAX($N$55:$N$68))</f>
        <v>0</v>
      </c>
      <c r="Z68">
        <f>IF(OR(N68="",X68="",Y68="",Y68=X68),"",100*(N68-X68)/(Y68-X68))</f>
        <v>0</v>
      </c>
      <c r="AA68">
        <f>IF(COUNT($Z$66:$Z$68)&lt;3,"",AVERAGE($Z$66:$Z$68))</f>
        <v>0</v>
      </c>
      <c r="AB68">
        <f>IF(COUNT($AA$66:$AA$68)&lt;3,"",AVERAGE($AA$66:$AA$68))</f>
        <v>0</v>
      </c>
      <c r="AC68">
        <f>IF($E68="","",MAX($C68-$D68,ABS($C68-$E67),ABS($D68-$E67)))</f>
        <v>0</v>
      </c>
      <c r="AD68">
        <f>IF(COUNT($E$2:$E68)&lt;15,"",AVERAGE($AC$55:$AC$68))</f>
        <v>0</v>
      </c>
      <c r="AE68">
        <f>IF(OR($E68="",$E67=""),"",IF(AND(($C68-$C67)&gt;($D67-$D68),($C68-$C67)&gt;0),$C68-$C67,0))</f>
        <v>0</v>
      </c>
      <c r="AF68">
        <f>IF(OR($E68="",$E67=""),"",IF(AND(($D67-$D68)&gt;($C68-$C67),($D67-$D68)&gt;0),$D67-$D68,0))</f>
        <v>0</v>
      </c>
      <c r="AG68">
        <f>IF(COUNT($E$2:$E68)&lt;15,"",IF(SUM($AC$55:$AC$68)=0,0,100*SUM($AE$55:$AE$68)/SUM($AC$55:$AC$68)))</f>
        <v>0</v>
      </c>
      <c r="AH68">
        <f>IF(COUNT($E$2:$E68)&lt;15,"",IF(SUM($AC$55:$AC$68)=0,0,100*SUM($AF$55:$AF$68)/SUM($AC$55:$AC$68)))</f>
        <v>0</v>
      </c>
      <c r="AI68">
        <f>IF(OR(AG68="",AH68=""),"",IF((AG68+AH68)=0,0,100*ABS(AG68-AH68)/(AG68+AH68)))</f>
        <v>0</v>
      </c>
      <c r="AJ68">
        <f>IF(COUNT($AI$55:$AI$68)&lt;14,"",AVERAGE($AI$55:$AI$68))</f>
        <v>0</v>
      </c>
      <c r="AK68">
        <f>IF(COUNT($E$2:$E68)&lt;20,"",AVERAGE($E$49:$E$68))</f>
        <v>0</v>
      </c>
      <c r="AL68">
        <f>IF(COUNT($E$2:$E68)&lt;20,"",STDEVP($E$49:$E$68))</f>
        <v>0</v>
      </c>
      <c r="AM68">
        <f>IF(AK68="","",AK68+2*AL68)</f>
        <v>0</v>
      </c>
      <c r="AN68">
        <f>IF(AK68="","",AK68-2*AL68)</f>
        <v>0</v>
      </c>
      <c r="AO68">
        <f>IF(OR(AM68="",AN68="",AM68=AN68),"",($E68-AN68)/(AM68-AN68))</f>
        <v>0</v>
      </c>
      <c r="AP68">
        <f>IF(OR(AM68="",AK68="",AK68=0),"",(AM68-AN68)/AK68)</f>
        <v>0</v>
      </c>
      <c r="AQ68">
        <f>IF(COUNT($E$2:$E68)&lt;20,"",MAX($C$49:$C$68))</f>
        <v>0</v>
      </c>
      <c r="AR68">
        <f>IF(COUNT($E$2:$E68)&lt;20,"",MIN($D$49:$D$68))</f>
        <v>0</v>
      </c>
      <c r="AS68">
        <f>IF(OR(AQ68="",AR68=""),"",(AQ68+AR68)/2)</f>
        <v>0</v>
      </c>
      <c r="AT68">
        <f>IF(COUNT($G$49:$G$68)&lt;20,"",STDEV($G$49:$G$68)*SQRT(12))</f>
        <v>0</v>
      </c>
      <c r="AU68">
        <f>IF(COUNT($E$2:$E68)&lt;9,"",(MAX($C$60:$C$68)+MIN($D$60:$D$68))/2)</f>
        <v>0</v>
      </c>
      <c r="AV68">
        <f>IF(COUNT($E$2:$E68)&lt;26,"",(MAX($C$43:$C$68)+MIN($D$43:$D$68))/2)</f>
        <v>0</v>
      </c>
      <c r="AW68">
        <f>IF(OR(AU68="",AV68=""),"",(AU68+AV68)/2)</f>
        <v>0</v>
      </c>
      <c r="AX68">
        <f>IF(COUNT($E$2:$E68)&lt;52,"",(MAX($C$17:$C$68)+MIN($D$17:$D$68))/2)</f>
        <v>0</v>
      </c>
      <c r="AY68">
        <f>IF(COUNT($E$2:$E68)&lt;20,"",MAX($C$2:$C$68))</f>
        <v>0</v>
      </c>
      <c r="AZ68">
        <f>IF(COUNT($E$2:$E68)&lt;20,"",MIN($D$2:$D$68))</f>
        <v>0</v>
      </c>
      <c r="BA68">
        <f>IF(COUNT($E$2:$E68)&lt;20,"",SLOPE($E$2:$E$68,$F$2:$F$68))</f>
        <v>0</v>
      </c>
      <c r="BB68">
        <f>IF(COUNT($E$2:$E68)&lt;20,"",INTERCEPT($E$2:$E$68,$F$2:$F$68))</f>
        <v>0</v>
      </c>
      <c r="BC68">
        <f>IF(OR(BA68="",BB68=""),"",BB68+BA68*F68)</f>
        <v>0</v>
      </c>
      <c r="BD68">
        <f>IF(COUNT($E$2:$E68)&lt;20,"",STEYX($E$2:$E$68,$F$2:$F$68))</f>
        <v>0</v>
      </c>
      <c r="BE68">
        <f>IF($E68="","",IF(AND(COUNT($E$69:$E$72)&gt;=4,$C68=MAX($C$64:$C$72)),$C68,""))</f>
        <v>0</v>
      </c>
      <c r="BF68">
        <f>IF($E68="","",IF(AND(COUNT($E$69:$E$72)&gt;=4,$D68=MIN($D$64:$D$72)),$D68,""))</f>
        <v>0</v>
      </c>
      <c r="BG68">
        <f>IFERROR(SMALL(Calc_Daily!$BT$2:$BT$2001,67),"")</f>
        <v>0</v>
      </c>
    </row>
    <row r="69" spans="1:59">
      <c r="A69" s="27">
        <f>IF($BG69="","",INDEX(Calc_Daily!$A$2:$A$2001,$BG69))</f>
        <v>0</v>
      </c>
      <c r="B69">
        <f>IF($BG69="","",INDEX(Calc_Daily!$BQ$2:$BQ$2001,$BG69))</f>
        <v>0</v>
      </c>
      <c r="C69">
        <f>IF($BG69="","",INDEX(Calc_Daily!$BR$2:$BR$2001,$BG69))</f>
        <v>0</v>
      </c>
      <c r="D69">
        <f>IF($BG69="","",INDEX(Calc_Daily!$BS$2:$BS$2001,$BG69))</f>
        <v>0</v>
      </c>
      <c r="E69">
        <f>IF($BG69="","",INDEX(Calc_Daily!$E$2:$E$2001,$BG69))</f>
        <v>0</v>
      </c>
      <c r="F69">
        <f>IF($E69="","",N(F68)+1)</f>
        <v>0</v>
      </c>
      <c r="G69">
        <f>IF(OR($E69="",$E68=""),"",LN($E69/$E68))</f>
        <v>0</v>
      </c>
      <c r="H69">
        <f>IF($E69="","",IF($E68="",$E69,$E69*0.0952380952+H68*0.9047619048))</f>
        <v>0</v>
      </c>
      <c r="I69">
        <f>IF($E69="","",IF($E68="",$E69,$E69*0.0392156863+I68*0.9607843137))</f>
        <v>0</v>
      </c>
      <c r="J69">
        <f>IF($E69="","",IF($E68="",$E69,$E69*0.0198019802+J68*0.9801980198))</f>
        <v>0</v>
      </c>
      <c r="K69">
        <f>IF($E69="","",IF($E68="",$E69,$E69*0.0099502488+K68*0.9900497512))</f>
        <v>0</v>
      </c>
      <c r="L69">
        <f>IF(OR($E69="",$E68=""),"",MAX($E69-$E68,0))</f>
        <v>0</v>
      </c>
      <c r="M69">
        <f>IF(OR($E69="",$E68=""),"",MAX($E68-$E69,0))</f>
        <v>0</v>
      </c>
      <c r="N69">
        <f>IF(COUNT($E$2:$E69)&lt;15,"",IF(AVERAGE($M$56:$M$69)=0,100,100-100/(1+AVERAGE($L$56:$L$69)/AVERAGE($M$56:$M$69))))</f>
        <v>0</v>
      </c>
      <c r="O69">
        <f>IF($E69="","",IF($E68="",$E69,$E69*0.1538461538+O68*0.8461538462))</f>
        <v>0</v>
      </c>
      <c r="P69">
        <f>IF($E69="","",IF($E68="",$E69,$E69*0.0740740741+P68*0.9259259259))</f>
        <v>0</v>
      </c>
      <c r="Q69">
        <f>IF(OR(O69="",P69=""),"",O69-P69)</f>
        <v>0</v>
      </c>
      <c r="R69">
        <f>IF(Q69="","",IF(R68="",Q69,Q69*0.2000000000+R68*0.8000000000))</f>
        <v>0</v>
      </c>
      <c r="S69">
        <f>IF(OR(Q69="",R69=""),"",Q69-R69)</f>
        <v>0</v>
      </c>
      <c r="T69">
        <f>IF(COUNT($E$2:$E69)&lt;14,"",MAX($C$56:$C$69))</f>
        <v>0</v>
      </c>
      <c r="U69">
        <f>IF(COUNT($E$2:$E69)&lt;14,"",MIN($D$56:$D$69))</f>
        <v>0</v>
      </c>
      <c r="V69">
        <f>IF(OR(T69="",U69="",T69=U69),"",100*($E69-U69)/(T69-U69))</f>
        <v>0</v>
      </c>
      <c r="W69">
        <f>IF(COUNT($V$67:$V$69)&lt;3,"",AVERAGE($V$67:$V$69))</f>
        <v>0</v>
      </c>
      <c r="X69">
        <f>IF(COUNT($N$56:$N$69)&lt;14,"",MIN($N$56:$N$69))</f>
        <v>0</v>
      </c>
      <c r="Y69">
        <f>IF(COUNT($N$56:$N$69)&lt;14,"",MAX($N$56:$N$69))</f>
        <v>0</v>
      </c>
      <c r="Z69">
        <f>IF(OR(N69="",X69="",Y69="",Y69=X69),"",100*(N69-X69)/(Y69-X69))</f>
        <v>0</v>
      </c>
      <c r="AA69">
        <f>IF(COUNT($Z$67:$Z$69)&lt;3,"",AVERAGE($Z$67:$Z$69))</f>
        <v>0</v>
      </c>
      <c r="AB69">
        <f>IF(COUNT($AA$67:$AA$69)&lt;3,"",AVERAGE($AA$67:$AA$69))</f>
        <v>0</v>
      </c>
      <c r="AC69">
        <f>IF($E69="","",MAX($C69-$D69,ABS($C69-$E68),ABS($D69-$E68)))</f>
        <v>0</v>
      </c>
      <c r="AD69">
        <f>IF(COUNT($E$2:$E69)&lt;15,"",AVERAGE($AC$56:$AC$69))</f>
        <v>0</v>
      </c>
      <c r="AE69">
        <f>IF(OR($E69="",$E68=""),"",IF(AND(($C69-$C68)&gt;($D68-$D69),($C69-$C68)&gt;0),$C69-$C68,0))</f>
        <v>0</v>
      </c>
      <c r="AF69">
        <f>IF(OR($E69="",$E68=""),"",IF(AND(($D68-$D69)&gt;($C69-$C68),($D68-$D69)&gt;0),$D68-$D69,0))</f>
        <v>0</v>
      </c>
      <c r="AG69">
        <f>IF(COUNT($E$2:$E69)&lt;15,"",IF(SUM($AC$56:$AC$69)=0,0,100*SUM($AE$56:$AE$69)/SUM($AC$56:$AC$69)))</f>
        <v>0</v>
      </c>
      <c r="AH69">
        <f>IF(COUNT($E$2:$E69)&lt;15,"",IF(SUM($AC$56:$AC$69)=0,0,100*SUM($AF$56:$AF$69)/SUM($AC$56:$AC$69)))</f>
        <v>0</v>
      </c>
      <c r="AI69">
        <f>IF(OR(AG69="",AH69=""),"",IF((AG69+AH69)=0,0,100*ABS(AG69-AH69)/(AG69+AH69)))</f>
        <v>0</v>
      </c>
      <c r="AJ69">
        <f>IF(COUNT($AI$56:$AI$69)&lt;14,"",AVERAGE($AI$56:$AI$69))</f>
        <v>0</v>
      </c>
      <c r="AK69">
        <f>IF(COUNT($E$2:$E69)&lt;20,"",AVERAGE($E$50:$E$69))</f>
        <v>0</v>
      </c>
      <c r="AL69">
        <f>IF(COUNT($E$2:$E69)&lt;20,"",STDEVP($E$50:$E$69))</f>
        <v>0</v>
      </c>
      <c r="AM69">
        <f>IF(AK69="","",AK69+2*AL69)</f>
        <v>0</v>
      </c>
      <c r="AN69">
        <f>IF(AK69="","",AK69-2*AL69)</f>
        <v>0</v>
      </c>
      <c r="AO69">
        <f>IF(OR(AM69="",AN69="",AM69=AN69),"",($E69-AN69)/(AM69-AN69))</f>
        <v>0</v>
      </c>
      <c r="AP69">
        <f>IF(OR(AM69="",AK69="",AK69=0),"",(AM69-AN69)/AK69)</f>
        <v>0</v>
      </c>
      <c r="AQ69">
        <f>IF(COUNT($E$2:$E69)&lt;20,"",MAX($C$50:$C$69))</f>
        <v>0</v>
      </c>
      <c r="AR69">
        <f>IF(COUNT($E$2:$E69)&lt;20,"",MIN($D$50:$D$69))</f>
        <v>0</v>
      </c>
      <c r="AS69">
        <f>IF(OR(AQ69="",AR69=""),"",(AQ69+AR69)/2)</f>
        <v>0</v>
      </c>
      <c r="AT69">
        <f>IF(COUNT($G$50:$G$69)&lt;20,"",STDEV($G$50:$G$69)*SQRT(12))</f>
        <v>0</v>
      </c>
      <c r="AU69">
        <f>IF(COUNT($E$2:$E69)&lt;9,"",(MAX($C$61:$C$69)+MIN($D$61:$D$69))/2)</f>
        <v>0</v>
      </c>
      <c r="AV69">
        <f>IF(COUNT($E$2:$E69)&lt;26,"",(MAX($C$44:$C$69)+MIN($D$44:$D$69))/2)</f>
        <v>0</v>
      </c>
      <c r="AW69">
        <f>IF(OR(AU69="",AV69=""),"",(AU69+AV69)/2)</f>
        <v>0</v>
      </c>
      <c r="AX69">
        <f>IF(COUNT($E$2:$E69)&lt;52,"",(MAX($C$18:$C$69)+MIN($D$18:$D$69))/2)</f>
        <v>0</v>
      </c>
      <c r="AY69">
        <f>IF(COUNT($E$2:$E69)&lt;20,"",MAX($C$2:$C$69))</f>
        <v>0</v>
      </c>
      <c r="AZ69">
        <f>IF(COUNT($E$2:$E69)&lt;20,"",MIN($D$2:$D$69))</f>
        <v>0</v>
      </c>
      <c r="BA69">
        <f>IF(COUNT($E$2:$E69)&lt;20,"",SLOPE($E$2:$E$69,$F$2:$F$69))</f>
        <v>0</v>
      </c>
      <c r="BB69">
        <f>IF(COUNT($E$2:$E69)&lt;20,"",INTERCEPT($E$2:$E$69,$F$2:$F$69))</f>
        <v>0</v>
      </c>
      <c r="BC69">
        <f>IF(OR(BA69="",BB69=""),"",BB69+BA69*F69)</f>
        <v>0</v>
      </c>
      <c r="BD69">
        <f>IF(COUNT($E$2:$E69)&lt;20,"",STEYX($E$2:$E$69,$F$2:$F$69))</f>
        <v>0</v>
      </c>
      <c r="BE69">
        <f>IF($E69="","",IF(AND(COUNT($E$70:$E$73)&gt;=4,$C69=MAX($C$65:$C$73)),$C69,""))</f>
        <v>0</v>
      </c>
      <c r="BF69">
        <f>IF($E69="","",IF(AND(COUNT($E$70:$E$73)&gt;=4,$D69=MIN($D$65:$D$73)),$D69,""))</f>
        <v>0</v>
      </c>
      <c r="BG69">
        <f>IFERROR(SMALL(Calc_Daily!$BT$2:$BT$2001,68),"")</f>
        <v>0</v>
      </c>
    </row>
    <row r="70" spans="1:59">
      <c r="A70" s="27">
        <f>IF($BG70="","",INDEX(Calc_Daily!$A$2:$A$2001,$BG70))</f>
        <v>0</v>
      </c>
      <c r="B70">
        <f>IF($BG70="","",INDEX(Calc_Daily!$BQ$2:$BQ$2001,$BG70))</f>
        <v>0</v>
      </c>
      <c r="C70">
        <f>IF($BG70="","",INDEX(Calc_Daily!$BR$2:$BR$2001,$BG70))</f>
        <v>0</v>
      </c>
      <c r="D70">
        <f>IF($BG70="","",INDEX(Calc_Daily!$BS$2:$BS$2001,$BG70))</f>
        <v>0</v>
      </c>
      <c r="E70">
        <f>IF($BG70="","",INDEX(Calc_Daily!$E$2:$E$2001,$BG70))</f>
        <v>0</v>
      </c>
      <c r="F70">
        <f>IF($E70="","",N(F69)+1)</f>
        <v>0</v>
      </c>
      <c r="G70">
        <f>IF(OR($E70="",$E69=""),"",LN($E70/$E69))</f>
        <v>0</v>
      </c>
      <c r="H70">
        <f>IF($E70="","",IF($E69="",$E70,$E70*0.0952380952+H69*0.9047619048))</f>
        <v>0</v>
      </c>
      <c r="I70">
        <f>IF($E70="","",IF($E69="",$E70,$E70*0.0392156863+I69*0.9607843137))</f>
        <v>0</v>
      </c>
      <c r="J70">
        <f>IF($E70="","",IF($E69="",$E70,$E70*0.0198019802+J69*0.9801980198))</f>
        <v>0</v>
      </c>
      <c r="K70">
        <f>IF($E70="","",IF($E69="",$E70,$E70*0.0099502488+K69*0.9900497512))</f>
        <v>0</v>
      </c>
      <c r="L70">
        <f>IF(OR($E70="",$E69=""),"",MAX($E70-$E69,0))</f>
        <v>0</v>
      </c>
      <c r="M70">
        <f>IF(OR($E70="",$E69=""),"",MAX($E69-$E70,0))</f>
        <v>0</v>
      </c>
      <c r="N70">
        <f>IF(COUNT($E$2:$E70)&lt;15,"",IF(AVERAGE($M$57:$M$70)=0,100,100-100/(1+AVERAGE($L$57:$L$70)/AVERAGE($M$57:$M$70))))</f>
        <v>0</v>
      </c>
      <c r="O70">
        <f>IF($E70="","",IF($E69="",$E70,$E70*0.1538461538+O69*0.8461538462))</f>
        <v>0</v>
      </c>
      <c r="P70">
        <f>IF($E70="","",IF($E69="",$E70,$E70*0.0740740741+P69*0.9259259259))</f>
        <v>0</v>
      </c>
      <c r="Q70">
        <f>IF(OR(O70="",P70=""),"",O70-P70)</f>
        <v>0</v>
      </c>
      <c r="R70">
        <f>IF(Q70="","",IF(R69="",Q70,Q70*0.2000000000+R69*0.8000000000))</f>
        <v>0</v>
      </c>
      <c r="S70">
        <f>IF(OR(Q70="",R70=""),"",Q70-R70)</f>
        <v>0</v>
      </c>
      <c r="T70">
        <f>IF(COUNT($E$2:$E70)&lt;14,"",MAX($C$57:$C$70))</f>
        <v>0</v>
      </c>
      <c r="U70">
        <f>IF(COUNT($E$2:$E70)&lt;14,"",MIN($D$57:$D$70))</f>
        <v>0</v>
      </c>
      <c r="V70">
        <f>IF(OR(T70="",U70="",T70=U70),"",100*($E70-U70)/(T70-U70))</f>
        <v>0</v>
      </c>
      <c r="W70">
        <f>IF(COUNT($V$68:$V$70)&lt;3,"",AVERAGE($V$68:$V$70))</f>
        <v>0</v>
      </c>
      <c r="X70">
        <f>IF(COUNT($N$57:$N$70)&lt;14,"",MIN($N$57:$N$70))</f>
        <v>0</v>
      </c>
      <c r="Y70">
        <f>IF(COUNT($N$57:$N$70)&lt;14,"",MAX($N$57:$N$70))</f>
        <v>0</v>
      </c>
      <c r="Z70">
        <f>IF(OR(N70="",X70="",Y70="",Y70=X70),"",100*(N70-X70)/(Y70-X70))</f>
        <v>0</v>
      </c>
      <c r="AA70">
        <f>IF(COUNT($Z$68:$Z$70)&lt;3,"",AVERAGE($Z$68:$Z$70))</f>
        <v>0</v>
      </c>
      <c r="AB70">
        <f>IF(COUNT($AA$68:$AA$70)&lt;3,"",AVERAGE($AA$68:$AA$70))</f>
        <v>0</v>
      </c>
      <c r="AC70">
        <f>IF($E70="","",MAX($C70-$D70,ABS($C70-$E69),ABS($D70-$E69)))</f>
        <v>0</v>
      </c>
      <c r="AD70">
        <f>IF(COUNT($E$2:$E70)&lt;15,"",AVERAGE($AC$57:$AC$70))</f>
        <v>0</v>
      </c>
      <c r="AE70">
        <f>IF(OR($E70="",$E69=""),"",IF(AND(($C70-$C69)&gt;($D69-$D70),($C70-$C69)&gt;0),$C70-$C69,0))</f>
        <v>0</v>
      </c>
      <c r="AF70">
        <f>IF(OR($E70="",$E69=""),"",IF(AND(($D69-$D70)&gt;($C70-$C69),($D69-$D70)&gt;0),$D69-$D70,0))</f>
        <v>0</v>
      </c>
      <c r="AG70">
        <f>IF(COUNT($E$2:$E70)&lt;15,"",IF(SUM($AC$57:$AC$70)=0,0,100*SUM($AE$57:$AE$70)/SUM($AC$57:$AC$70)))</f>
        <v>0</v>
      </c>
      <c r="AH70">
        <f>IF(COUNT($E$2:$E70)&lt;15,"",IF(SUM($AC$57:$AC$70)=0,0,100*SUM($AF$57:$AF$70)/SUM($AC$57:$AC$70)))</f>
        <v>0</v>
      </c>
      <c r="AI70">
        <f>IF(OR(AG70="",AH70=""),"",IF((AG70+AH70)=0,0,100*ABS(AG70-AH70)/(AG70+AH70)))</f>
        <v>0</v>
      </c>
      <c r="AJ70">
        <f>IF(COUNT($AI$57:$AI$70)&lt;14,"",AVERAGE($AI$57:$AI$70))</f>
        <v>0</v>
      </c>
      <c r="AK70">
        <f>IF(COUNT($E$2:$E70)&lt;20,"",AVERAGE($E$51:$E$70))</f>
        <v>0</v>
      </c>
      <c r="AL70">
        <f>IF(COUNT($E$2:$E70)&lt;20,"",STDEVP($E$51:$E$70))</f>
        <v>0</v>
      </c>
      <c r="AM70">
        <f>IF(AK70="","",AK70+2*AL70)</f>
        <v>0</v>
      </c>
      <c r="AN70">
        <f>IF(AK70="","",AK70-2*AL70)</f>
        <v>0</v>
      </c>
      <c r="AO70">
        <f>IF(OR(AM70="",AN70="",AM70=AN70),"",($E70-AN70)/(AM70-AN70))</f>
        <v>0</v>
      </c>
      <c r="AP70">
        <f>IF(OR(AM70="",AK70="",AK70=0),"",(AM70-AN70)/AK70)</f>
        <v>0</v>
      </c>
      <c r="AQ70">
        <f>IF(COUNT($E$2:$E70)&lt;20,"",MAX($C$51:$C$70))</f>
        <v>0</v>
      </c>
      <c r="AR70">
        <f>IF(COUNT($E$2:$E70)&lt;20,"",MIN($D$51:$D$70))</f>
        <v>0</v>
      </c>
      <c r="AS70">
        <f>IF(OR(AQ70="",AR70=""),"",(AQ70+AR70)/2)</f>
        <v>0</v>
      </c>
      <c r="AT70">
        <f>IF(COUNT($G$51:$G$70)&lt;20,"",STDEV($G$51:$G$70)*SQRT(12))</f>
        <v>0</v>
      </c>
      <c r="AU70">
        <f>IF(COUNT($E$2:$E70)&lt;9,"",(MAX($C$62:$C$70)+MIN($D$62:$D$70))/2)</f>
        <v>0</v>
      </c>
      <c r="AV70">
        <f>IF(COUNT($E$2:$E70)&lt;26,"",(MAX($C$45:$C$70)+MIN($D$45:$D$70))/2)</f>
        <v>0</v>
      </c>
      <c r="AW70">
        <f>IF(OR(AU70="",AV70=""),"",(AU70+AV70)/2)</f>
        <v>0</v>
      </c>
      <c r="AX70">
        <f>IF(COUNT($E$2:$E70)&lt;52,"",(MAX($C$19:$C$70)+MIN($D$19:$D$70))/2)</f>
        <v>0</v>
      </c>
      <c r="AY70">
        <f>IF(COUNT($E$2:$E70)&lt;20,"",MAX($C$2:$C$70))</f>
        <v>0</v>
      </c>
      <c r="AZ70">
        <f>IF(COUNT($E$2:$E70)&lt;20,"",MIN($D$2:$D$70))</f>
        <v>0</v>
      </c>
      <c r="BA70">
        <f>IF(COUNT($E$2:$E70)&lt;20,"",SLOPE($E$2:$E$70,$F$2:$F$70))</f>
        <v>0</v>
      </c>
      <c r="BB70">
        <f>IF(COUNT($E$2:$E70)&lt;20,"",INTERCEPT($E$2:$E$70,$F$2:$F$70))</f>
        <v>0</v>
      </c>
      <c r="BC70">
        <f>IF(OR(BA70="",BB70=""),"",BB70+BA70*F70)</f>
        <v>0</v>
      </c>
      <c r="BD70">
        <f>IF(COUNT($E$2:$E70)&lt;20,"",STEYX($E$2:$E$70,$F$2:$F$70))</f>
        <v>0</v>
      </c>
      <c r="BE70">
        <f>IF($E70="","",IF(AND(COUNT($E$71:$E$74)&gt;=4,$C70=MAX($C$66:$C$74)),$C70,""))</f>
        <v>0</v>
      </c>
      <c r="BF70">
        <f>IF($E70="","",IF(AND(COUNT($E$71:$E$74)&gt;=4,$D70=MIN($D$66:$D$74)),$D70,""))</f>
        <v>0</v>
      </c>
      <c r="BG70">
        <f>IFERROR(SMALL(Calc_Daily!$BT$2:$BT$2001,69),"")</f>
        <v>0</v>
      </c>
    </row>
    <row r="71" spans="1:59">
      <c r="A71" s="27">
        <f>IF($BG71="","",INDEX(Calc_Daily!$A$2:$A$2001,$BG71))</f>
        <v>0</v>
      </c>
      <c r="B71">
        <f>IF($BG71="","",INDEX(Calc_Daily!$BQ$2:$BQ$2001,$BG71))</f>
        <v>0</v>
      </c>
      <c r="C71">
        <f>IF($BG71="","",INDEX(Calc_Daily!$BR$2:$BR$2001,$BG71))</f>
        <v>0</v>
      </c>
      <c r="D71">
        <f>IF($BG71="","",INDEX(Calc_Daily!$BS$2:$BS$2001,$BG71))</f>
        <v>0</v>
      </c>
      <c r="E71">
        <f>IF($BG71="","",INDEX(Calc_Daily!$E$2:$E$2001,$BG71))</f>
        <v>0</v>
      </c>
      <c r="F71">
        <f>IF($E71="","",N(F70)+1)</f>
        <v>0</v>
      </c>
      <c r="G71">
        <f>IF(OR($E71="",$E70=""),"",LN($E71/$E70))</f>
        <v>0</v>
      </c>
      <c r="H71">
        <f>IF($E71="","",IF($E70="",$E71,$E71*0.0952380952+H70*0.9047619048))</f>
        <v>0</v>
      </c>
      <c r="I71">
        <f>IF($E71="","",IF($E70="",$E71,$E71*0.0392156863+I70*0.9607843137))</f>
        <v>0</v>
      </c>
      <c r="J71">
        <f>IF($E71="","",IF($E70="",$E71,$E71*0.0198019802+J70*0.9801980198))</f>
        <v>0</v>
      </c>
      <c r="K71">
        <f>IF($E71="","",IF($E70="",$E71,$E71*0.0099502488+K70*0.9900497512))</f>
        <v>0</v>
      </c>
      <c r="L71">
        <f>IF(OR($E71="",$E70=""),"",MAX($E71-$E70,0))</f>
        <v>0</v>
      </c>
      <c r="M71">
        <f>IF(OR($E71="",$E70=""),"",MAX($E70-$E71,0))</f>
        <v>0</v>
      </c>
      <c r="N71">
        <f>IF(COUNT($E$2:$E71)&lt;15,"",IF(AVERAGE($M$58:$M$71)=0,100,100-100/(1+AVERAGE($L$58:$L$71)/AVERAGE($M$58:$M$71))))</f>
        <v>0</v>
      </c>
      <c r="O71">
        <f>IF($E71="","",IF($E70="",$E71,$E71*0.1538461538+O70*0.8461538462))</f>
        <v>0</v>
      </c>
      <c r="P71">
        <f>IF($E71="","",IF($E70="",$E71,$E71*0.0740740741+P70*0.9259259259))</f>
        <v>0</v>
      </c>
      <c r="Q71">
        <f>IF(OR(O71="",P71=""),"",O71-P71)</f>
        <v>0</v>
      </c>
      <c r="R71">
        <f>IF(Q71="","",IF(R70="",Q71,Q71*0.2000000000+R70*0.8000000000))</f>
        <v>0</v>
      </c>
      <c r="S71">
        <f>IF(OR(Q71="",R71=""),"",Q71-R71)</f>
        <v>0</v>
      </c>
      <c r="T71">
        <f>IF(COUNT($E$2:$E71)&lt;14,"",MAX($C$58:$C$71))</f>
        <v>0</v>
      </c>
      <c r="U71">
        <f>IF(COUNT($E$2:$E71)&lt;14,"",MIN($D$58:$D$71))</f>
        <v>0</v>
      </c>
      <c r="V71">
        <f>IF(OR(T71="",U71="",T71=U71),"",100*($E71-U71)/(T71-U71))</f>
        <v>0</v>
      </c>
      <c r="W71">
        <f>IF(COUNT($V$69:$V$71)&lt;3,"",AVERAGE($V$69:$V$71))</f>
        <v>0</v>
      </c>
      <c r="X71">
        <f>IF(COUNT($N$58:$N$71)&lt;14,"",MIN($N$58:$N$71))</f>
        <v>0</v>
      </c>
      <c r="Y71">
        <f>IF(COUNT($N$58:$N$71)&lt;14,"",MAX($N$58:$N$71))</f>
        <v>0</v>
      </c>
      <c r="Z71">
        <f>IF(OR(N71="",X71="",Y71="",Y71=X71),"",100*(N71-X71)/(Y71-X71))</f>
        <v>0</v>
      </c>
      <c r="AA71">
        <f>IF(COUNT($Z$69:$Z$71)&lt;3,"",AVERAGE($Z$69:$Z$71))</f>
        <v>0</v>
      </c>
      <c r="AB71">
        <f>IF(COUNT($AA$69:$AA$71)&lt;3,"",AVERAGE($AA$69:$AA$71))</f>
        <v>0</v>
      </c>
      <c r="AC71">
        <f>IF($E71="","",MAX($C71-$D71,ABS($C71-$E70),ABS($D71-$E70)))</f>
        <v>0</v>
      </c>
      <c r="AD71">
        <f>IF(COUNT($E$2:$E71)&lt;15,"",AVERAGE($AC$58:$AC$71))</f>
        <v>0</v>
      </c>
      <c r="AE71">
        <f>IF(OR($E71="",$E70=""),"",IF(AND(($C71-$C70)&gt;($D70-$D71),($C71-$C70)&gt;0),$C71-$C70,0))</f>
        <v>0</v>
      </c>
      <c r="AF71">
        <f>IF(OR($E71="",$E70=""),"",IF(AND(($D70-$D71)&gt;($C71-$C70),($D70-$D71)&gt;0),$D70-$D71,0))</f>
        <v>0</v>
      </c>
      <c r="AG71">
        <f>IF(COUNT($E$2:$E71)&lt;15,"",IF(SUM($AC$58:$AC$71)=0,0,100*SUM($AE$58:$AE$71)/SUM($AC$58:$AC$71)))</f>
        <v>0</v>
      </c>
      <c r="AH71">
        <f>IF(COUNT($E$2:$E71)&lt;15,"",IF(SUM($AC$58:$AC$71)=0,0,100*SUM($AF$58:$AF$71)/SUM($AC$58:$AC$71)))</f>
        <v>0</v>
      </c>
      <c r="AI71">
        <f>IF(OR(AG71="",AH71=""),"",IF((AG71+AH71)=0,0,100*ABS(AG71-AH71)/(AG71+AH71)))</f>
        <v>0</v>
      </c>
      <c r="AJ71">
        <f>IF(COUNT($AI$58:$AI$71)&lt;14,"",AVERAGE($AI$58:$AI$71))</f>
        <v>0</v>
      </c>
      <c r="AK71">
        <f>IF(COUNT($E$2:$E71)&lt;20,"",AVERAGE($E$52:$E$71))</f>
        <v>0</v>
      </c>
      <c r="AL71">
        <f>IF(COUNT($E$2:$E71)&lt;20,"",STDEVP($E$52:$E$71))</f>
        <v>0</v>
      </c>
      <c r="AM71">
        <f>IF(AK71="","",AK71+2*AL71)</f>
        <v>0</v>
      </c>
      <c r="AN71">
        <f>IF(AK71="","",AK71-2*AL71)</f>
        <v>0</v>
      </c>
      <c r="AO71">
        <f>IF(OR(AM71="",AN71="",AM71=AN71),"",($E71-AN71)/(AM71-AN71))</f>
        <v>0</v>
      </c>
      <c r="AP71">
        <f>IF(OR(AM71="",AK71="",AK71=0),"",(AM71-AN71)/AK71)</f>
        <v>0</v>
      </c>
      <c r="AQ71">
        <f>IF(COUNT($E$2:$E71)&lt;20,"",MAX($C$52:$C$71))</f>
        <v>0</v>
      </c>
      <c r="AR71">
        <f>IF(COUNT($E$2:$E71)&lt;20,"",MIN($D$52:$D$71))</f>
        <v>0</v>
      </c>
      <c r="AS71">
        <f>IF(OR(AQ71="",AR71=""),"",(AQ71+AR71)/2)</f>
        <v>0</v>
      </c>
      <c r="AT71">
        <f>IF(COUNT($G$52:$G$71)&lt;20,"",STDEV($G$52:$G$71)*SQRT(12))</f>
        <v>0</v>
      </c>
      <c r="AU71">
        <f>IF(COUNT($E$2:$E71)&lt;9,"",(MAX($C$63:$C$71)+MIN($D$63:$D$71))/2)</f>
        <v>0</v>
      </c>
      <c r="AV71">
        <f>IF(COUNT($E$2:$E71)&lt;26,"",(MAX($C$46:$C$71)+MIN($D$46:$D$71))/2)</f>
        <v>0</v>
      </c>
      <c r="AW71">
        <f>IF(OR(AU71="",AV71=""),"",(AU71+AV71)/2)</f>
        <v>0</v>
      </c>
      <c r="AX71">
        <f>IF(COUNT($E$2:$E71)&lt;52,"",(MAX($C$20:$C$71)+MIN($D$20:$D$71))/2)</f>
        <v>0</v>
      </c>
      <c r="AY71">
        <f>IF(COUNT($E$2:$E71)&lt;20,"",MAX($C$2:$C$71))</f>
        <v>0</v>
      </c>
      <c r="AZ71">
        <f>IF(COUNT($E$2:$E71)&lt;20,"",MIN($D$2:$D$71))</f>
        <v>0</v>
      </c>
      <c r="BA71">
        <f>IF(COUNT($E$2:$E71)&lt;20,"",SLOPE($E$2:$E$71,$F$2:$F$71))</f>
        <v>0</v>
      </c>
      <c r="BB71">
        <f>IF(COUNT($E$2:$E71)&lt;20,"",INTERCEPT($E$2:$E$71,$F$2:$F$71))</f>
        <v>0</v>
      </c>
      <c r="BC71">
        <f>IF(OR(BA71="",BB71=""),"",BB71+BA71*F71)</f>
        <v>0</v>
      </c>
      <c r="BD71">
        <f>IF(COUNT($E$2:$E71)&lt;20,"",STEYX($E$2:$E$71,$F$2:$F$71))</f>
        <v>0</v>
      </c>
      <c r="BE71">
        <f>IF($E71="","",IF(AND(COUNT($E$72:$E$75)&gt;=4,$C71=MAX($C$67:$C$75)),$C71,""))</f>
        <v>0</v>
      </c>
      <c r="BF71">
        <f>IF($E71="","",IF(AND(COUNT($E$72:$E$75)&gt;=4,$D71=MIN($D$67:$D$75)),$D71,""))</f>
        <v>0</v>
      </c>
      <c r="BG71">
        <f>IFERROR(SMALL(Calc_Daily!$BT$2:$BT$2001,70),"")</f>
        <v>0</v>
      </c>
    </row>
    <row r="72" spans="1:59">
      <c r="A72" s="27">
        <f>IF($BG72="","",INDEX(Calc_Daily!$A$2:$A$2001,$BG72))</f>
        <v>0</v>
      </c>
      <c r="B72">
        <f>IF($BG72="","",INDEX(Calc_Daily!$BQ$2:$BQ$2001,$BG72))</f>
        <v>0</v>
      </c>
      <c r="C72">
        <f>IF($BG72="","",INDEX(Calc_Daily!$BR$2:$BR$2001,$BG72))</f>
        <v>0</v>
      </c>
      <c r="D72">
        <f>IF($BG72="","",INDEX(Calc_Daily!$BS$2:$BS$2001,$BG72))</f>
        <v>0</v>
      </c>
      <c r="E72">
        <f>IF($BG72="","",INDEX(Calc_Daily!$E$2:$E$2001,$BG72))</f>
        <v>0</v>
      </c>
      <c r="F72">
        <f>IF($E72="","",N(F71)+1)</f>
        <v>0</v>
      </c>
      <c r="G72">
        <f>IF(OR($E72="",$E71=""),"",LN($E72/$E71))</f>
        <v>0</v>
      </c>
      <c r="H72">
        <f>IF($E72="","",IF($E71="",$E72,$E72*0.0952380952+H71*0.9047619048))</f>
        <v>0</v>
      </c>
      <c r="I72">
        <f>IF($E72="","",IF($E71="",$E72,$E72*0.0392156863+I71*0.9607843137))</f>
        <v>0</v>
      </c>
      <c r="J72">
        <f>IF($E72="","",IF($E71="",$E72,$E72*0.0198019802+J71*0.9801980198))</f>
        <v>0</v>
      </c>
      <c r="K72">
        <f>IF($E72="","",IF($E71="",$E72,$E72*0.0099502488+K71*0.9900497512))</f>
        <v>0</v>
      </c>
      <c r="L72">
        <f>IF(OR($E72="",$E71=""),"",MAX($E72-$E71,0))</f>
        <v>0</v>
      </c>
      <c r="M72">
        <f>IF(OR($E72="",$E71=""),"",MAX($E71-$E72,0))</f>
        <v>0</v>
      </c>
      <c r="N72">
        <f>IF(COUNT($E$2:$E72)&lt;15,"",IF(AVERAGE($M$59:$M$72)=0,100,100-100/(1+AVERAGE($L$59:$L$72)/AVERAGE($M$59:$M$72))))</f>
        <v>0</v>
      </c>
      <c r="O72">
        <f>IF($E72="","",IF($E71="",$E72,$E72*0.1538461538+O71*0.8461538462))</f>
        <v>0</v>
      </c>
      <c r="P72">
        <f>IF($E72="","",IF($E71="",$E72,$E72*0.0740740741+P71*0.9259259259))</f>
        <v>0</v>
      </c>
      <c r="Q72">
        <f>IF(OR(O72="",P72=""),"",O72-P72)</f>
        <v>0</v>
      </c>
      <c r="R72">
        <f>IF(Q72="","",IF(R71="",Q72,Q72*0.2000000000+R71*0.8000000000))</f>
        <v>0</v>
      </c>
      <c r="S72">
        <f>IF(OR(Q72="",R72=""),"",Q72-R72)</f>
        <v>0</v>
      </c>
      <c r="T72">
        <f>IF(COUNT($E$2:$E72)&lt;14,"",MAX($C$59:$C$72))</f>
        <v>0</v>
      </c>
      <c r="U72">
        <f>IF(COUNT($E$2:$E72)&lt;14,"",MIN($D$59:$D$72))</f>
        <v>0</v>
      </c>
      <c r="V72">
        <f>IF(OR(T72="",U72="",T72=U72),"",100*($E72-U72)/(T72-U72))</f>
        <v>0</v>
      </c>
      <c r="W72">
        <f>IF(COUNT($V$70:$V$72)&lt;3,"",AVERAGE($V$70:$V$72))</f>
        <v>0</v>
      </c>
      <c r="X72">
        <f>IF(COUNT($N$59:$N$72)&lt;14,"",MIN($N$59:$N$72))</f>
        <v>0</v>
      </c>
      <c r="Y72">
        <f>IF(COUNT($N$59:$N$72)&lt;14,"",MAX($N$59:$N$72))</f>
        <v>0</v>
      </c>
      <c r="Z72">
        <f>IF(OR(N72="",X72="",Y72="",Y72=X72),"",100*(N72-X72)/(Y72-X72))</f>
        <v>0</v>
      </c>
      <c r="AA72">
        <f>IF(COUNT($Z$70:$Z$72)&lt;3,"",AVERAGE($Z$70:$Z$72))</f>
        <v>0</v>
      </c>
      <c r="AB72">
        <f>IF(COUNT($AA$70:$AA$72)&lt;3,"",AVERAGE($AA$70:$AA$72))</f>
        <v>0</v>
      </c>
      <c r="AC72">
        <f>IF($E72="","",MAX($C72-$D72,ABS($C72-$E71),ABS($D72-$E71)))</f>
        <v>0</v>
      </c>
      <c r="AD72">
        <f>IF(COUNT($E$2:$E72)&lt;15,"",AVERAGE($AC$59:$AC$72))</f>
        <v>0</v>
      </c>
      <c r="AE72">
        <f>IF(OR($E72="",$E71=""),"",IF(AND(($C72-$C71)&gt;($D71-$D72),($C72-$C71)&gt;0),$C72-$C71,0))</f>
        <v>0</v>
      </c>
      <c r="AF72">
        <f>IF(OR($E72="",$E71=""),"",IF(AND(($D71-$D72)&gt;($C72-$C71),($D71-$D72)&gt;0),$D71-$D72,0))</f>
        <v>0</v>
      </c>
      <c r="AG72">
        <f>IF(COUNT($E$2:$E72)&lt;15,"",IF(SUM($AC$59:$AC$72)=0,0,100*SUM($AE$59:$AE$72)/SUM($AC$59:$AC$72)))</f>
        <v>0</v>
      </c>
      <c r="AH72">
        <f>IF(COUNT($E$2:$E72)&lt;15,"",IF(SUM($AC$59:$AC$72)=0,0,100*SUM($AF$59:$AF$72)/SUM($AC$59:$AC$72)))</f>
        <v>0</v>
      </c>
      <c r="AI72">
        <f>IF(OR(AG72="",AH72=""),"",IF((AG72+AH72)=0,0,100*ABS(AG72-AH72)/(AG72+AH72)))</f>
        <v>0</v>
      </c>
      <c r="AJ72">
        <f>IF(COUNT($AI$59:$AI$72)&lt;14,"",AVERAGE($AI$59:$AI$72))</f>
        <v>0</v>
      </c>
      <c r="AK72">
        <f>IF(COUNT($E$2:$E72)&lt;20,"",AVERAGE($E$53:$E$72))</f>
        <v>0</v>
      </c>
      <c r="AL72">
        <f>IF(COUNT($E$2:$E72)&lt;20,"",STDEVP($E$53:$E$72))</f>
        <v>0</v>
      </c>
      <c r="AM72">
        <f>IF(AK72="","",AK72+2*AL72)</f>
        <v>0</v>
      </c>
      <c r="AN72">
        <f>IF(AK72="","",AK72-2*AL72)</f>
        <v>0</v>
      </c>
      <c r="AO72">
        <f>IF(OR(AM72="",AN72="",AM72=AN72),"",($E72-AN72)/(AM72-AN72))</f>
        <v>0</v>
      </c>
      <c r="AP72">
        <f>IF(OR(AM72="",AK72="",AK72=0),"",(AM72-AN72)/AK72)</f>
        <v>0</v>
      </c>
      <c r="AQ72">
        <f>IF(COUNT($E$2:$E72)&lt;20,"",MAX($C$53:$C$72))</f>
        <v>0</v>
      </c>
      <c r="AR72">
        <f>IF(COUNT($E$2:$E72)&lt;20,"",MIN($D$53:$D$72))</f>
        <v>0</v>
      </c>
      <c r="AS72">
        <f>IF(OR(AQ72="",AR72=""),"",(AQ72+AR72)/2)</f>
        <v>0</v>
      </c>
      <c r="AT72">
        <f>IF(COUNT($G$53:$G$72)&lt;20,"",STDEV($G$53:$G$72)*SQRT(12))</f>
        <v>0</v>
      </c>
      <c r="AU72">
        <f>IF(COUNT($E$2:$E72)&lt;9,"",(MAX($C$64:$C$72)+MIN($D$64:$D$72))/2)</f>
        <v>0</v>
      </c>
      <c r="AV72">
        <f>IF(COUNT($E$2:$E72)&lt;26,"",(MAX($C$47:$C$72)+MIN($D$47:$D$72))/2)</f>
        <v>0</v>
      </c>
      <c r="AW72">
        <f>IF(OR(AU72="",AV72=""),"",(AU72+AV72)/2)</f>
        <v>0</v>
      </c>
      <c r="AX72">
        <f>IF(COUNT($E$2:$E72)&lt;52,"",(MAX($C$21:$C$72)+MIN($D$21:$D$72))/2)</f>
        <v>0</v>
      </c>
      <c r="AY72">
        <f>IF(COUNT($E$2:$E72)&lt;20,"",MAX($C$2:$C$72))</f>
        <v>0</v>
      </c>
      <c r="AZ72">
        <f>IF(COUNT($E$2:$E72)&lt;20,"",MIN($D$2:$D$72))</f>
        <v>0</v>
      </c>
      <c r="BA72">
        <f>IF(COUNT($E$2:$E72)&lt;20,"",SLOPE($E$2:$E$72,$F$2:$F$72))</f>
        <v>0</v>
      </c>
      <c r="BB72">
        <f>IF(COUNT($E$2:$E72)&lt;20,"",INTERCEPT($E$2:$E$72,$F$2:$F$72))</f>
        <v>0</v>
      </c>
      <c r="BC72">
        <f>IF(OR(BA72="",BB72=""),"",BB72+BA72*F72)</f>
        <v>0</v>
      </c>
      <c r="BD72">
        <f>IF(COUNT($E$2:$E72)&lt;20,"",STEYX($E$2:$E$72,$F$2:$F$72))</f>
        <v>0</v>
      </c>
      <c r="BE72">
        <f>IF($E72="","",IF(AND(COUNT($E$73:$E$76)&gt;=4,$C72=MAX($C$68:$C$76)),$C72,""))</f>
        <v>0</v>
      </c>
      <c r="BF72">
        <f>IF($E72="","",IF(AND(COUNT($E$73:$E$76)&gt;=4,$D72=MIN($D$68:$D$76)),$D72,""))</f>
        <v>0</v>
      </c>
      <c r="BG72">
        <f>IFERROR(SMALL(Calc_Daily!$BT$2:$BT$2001,71),"")</f>
        <v>0</v>
      </c>
    </row>
    <row r="73" spans="1:59">
      <c r="A73" s="27">
        <f>IF($BG73="","",INDEX(Calc_Daily!$A$2:$A$2001,$BG73))</f>
        <v>0</v>
      </c>
      <c r="B73">
        <f>IF($BG73="","",INDEX(Calc_Daily!$BQ$2:$BQ$2001,$BG73))</f>
        <v>0</v>
      </c>
      <c r="C73">
        <f>IF($BG73="","",INDEX(Calc_Daily!$BR$2:$BR$2001,$BG73))</f>
        <v>0</v>
      </c>
      <c r="D73">
        <f>IF($BG73="","",INDEX(Calc_Daily!$BS$2:$BS$2001,$BG73))</f>
        <v>0</v>
      </c>
      <c r="E73">
        <f>IF($BG73="","",INDEX(Calc_Daily!$E$2:$E$2001,$BG73))</f>
        <v>0</v>
      </c>
      <c r="F73">
        <f>IF($E73="","",N(F72)+1)</f>
        <v>0</v>
      </c>
      <c r="G73">
        <f>IF(OR($E73="",$E72=""),"",LN($E73/$E72))</f>
        <v>0</v>
      </c>
      <c r="H73">
        <f>IF($E73="","",IF($E72="",$E73,$E73*0.0952380952+H72*0.9047619048))</f>
        <v>0</v>
      </c>
      <c r="I73">
        <f>IF($E73="","",IF($E72="",$E73,$E73*0.0392156863+I72*0.9607843137))</f>
        <v>0</v>
      </c>
      <c r="J73">
        <f>IF($E73="","",IF($E72="",$E73,$E73*0.0198019802+J72*0.9801980198))</f>
        <v>0</v>
      </c>
      <c r="K73">
        <f>IF($E73="","",IF($E72="",$E73,$E73*0.0099502488+K72*0.9900497512))</f>
        <v>0</v>
      </c>
      <c r="L73">
        <f>IF(OR($E73="",$E72=""),"",MAX($E73-$E72,0))</f>
        <v>0</v>
      </c>
      <c r="M73">
        <f>IF(OR($E73="",$E72=""),"",MAX($E72-$E73,0))</f>
        <v>0</v>
      </c>
      <c r="N73">
        <f>IF(COUNT($E$2:$E73)&lt;15,"",IF(AVERAGE($M$60:$M$73)=0,100,100-100/(1+AVERAGE($L$60:$L$73)/AVERAGE($M$60:$M$73))))</f>
        <v>0</v>
      </c>
      <c r="O73">
        <f>IF($E73="","",IF($E72="",$E73,$E73*0.1538461538+O72*0.8461538462))</f>
        <v>0</v>
      </c>
      <c r="P73">
        <f>IF($E73="","",IF($E72="",$E73,$E73*0.0740740741+P72*0.9259259259))</f>
        <v>0</v>
      </c>
      <c r="Q73">
        <f>IF(OR(O73="",P73=""),"",O73-P73)</f>
        <v>0</v>
      </c>
      <c r="R73">
        <f>IF(Q73="","",IF(R72="",Q73,Q73*0.2000000000+R72*0.8000000000))</f>
        <v>0</v>
      </c>
      <c r="S73">
        <f>IF(OR(Q73="",R73=""),"",Q73-R73)</f>
        <v>0</v>
      </c>
      <c r="T73">
        <f>IF(COUNT($E$2:$E73)&lt;14,"",MAX($C$60:$C$73))</f>
        <v>0</v>
      </c>
      <c r="U73">
        <f>IF(COUNT($E$2:$E73)&lt;14,"",MIN($D$60:$D$73))</f>
        <v>0</v>
      </c>
      <c r="V73">
        <f>IF(OR(T73="",U73="",T73=U73),"",100*($E73-U73)/(T73-U73))</f>
        <v>0</v>
      </c>
      <c r="W73">
        <f>IF(COUNT($V$71:$V$73)&lt;3,"",AVERAGE($V$71:$V$73))</f>
        <v>0</v>
      </c>
      <c r="X73">
        <f>IF(COUNT($N$60:$N$73)&lt;14,"",MIN($N$60:$N$73))</f>
        <v>0</v>
      </c>
      <c r="Y73">
        <f>IF(COUNT($N$60:$N$73)&lt;14,"",MAX($N$60:$N$73))</f>
        <v>0</v>
      </c>
      <c r="Z73">
        <f>IF(OR(N73="",X73="",Y73="",Y73=X73),"",100*(N73-X73)/(Y73-X73))</f>
        <v>0</v>
      </c>
      <c r="AA73">
        <f>IF(COUNT($Z$71:$Z$73)&lt;3,"",AVERAGE($Z$71:$Z$73))</f>
        <v>0</v>
      </c>
      <c r="AB73">
        <f>IF(COUNT($AA$71:$AA$73)&lt;3,"",AVERAGE($AA$71:$AA$73))</f>
        <v>0</v>
      </c>
      <c r="AC73">
        <f>IF($E73="","",MAX($C73-$D73,ABS($C73-$E72),ABS($D73-$E72)))</f>
        <v>0</v>
      </c>
      <c r="AD73">
        <f>IF(COUNT($E$2:$E73)&lt;15,"",AVERAGE($AC$60:$AC$73))</f>
        <v>0</v>
      </c>
      <c r="AE73">
        <f>IF(OR($E73="",$E72=""),"",IF(AND(($C73-$C72)&gt;($D72-$D73),($C73-$C72)&gt;0),$C73-$C72,0))</f>
        <v>0</v>
      </c>
      <c r="AF73">
        <f>IF(OR($E73="",$E72=""),"",IF(AND(($D72-$D73)&gt;($C73-$C72),($D72-$D73)&gt;0),$D72-$D73,0))</f>
        <v>0</v>
      </c>
      <c r="AG73">
        <f>IF(COUNT($E$2:$E73)&lt;15,"",IF(SUM($AC$60:$AC$73)=0,0,100*SUM($AE$60:$AE$73)/SUM($AC$60:$AC$73)))</f>
        <v>0</v>
      </c>
      <c r="AH73">
        <f>IF(COUNT($E$2:$E73)&lt;15,"",IF(SUM($AC$60:$AC$73)=0,0,100*SUM($AF$60:$AF$73)/SUM($AC$60:$AC$73)))</f>
        <v>0</v>
      </c>
      <c r="AI73">
        <f>IF(OR(AG73="",AH73=""),"",IF((AG73+AH73)=0,0,100*ABS(AG73-AH73)/(AG73+AH73)))</f>
        <v>0</v>
      </c>
      <c r="AJ73">
        <f>IF(COUNT($AI$60:$AI$73)&lt;14,"",AVERAGE($AI$60:$AI$73))</f>
        <v>0</v>
      </c>
      <c r="AK73">
        <f>IF(COUNT($E$2:$E73)&lt;20,"",AVERAGE($E$54:$E$73))</f>
        <v>0</v>
      </c>
      <c r="AL73">
        <f>IF(COUNT($E$2:$E73)&lt;20,"",STDEVP($E$54:$E$73))</f>
        <v>0</v>
      </c>
      <c r="AM73">
        <f>IF(AK73="","",AK73+2*AL73)</f>
        <v>0</v>
      </c>
      <c r="AN73">
        <f>IF(AK73="","",AK73-2*AL73)</f>
        <v>0</v>
      </c>
      <c r="AO73">
        <f>IF(OR(AM73="",AN73="",AM73=AN73),"",($E73-AN73)/(AM73-AN73))</f>
        <v>0</v>
      </c>
      <c r="AP73">
        <f>IF(OR(AM73="",AK73="",AK73=0),"",(AM73-AN73)/AK73)</f>
        <v>0</v>
      </c>
      <c r="AQ73">
        <f>IF(COUNT($E$2:$E73)&lt;20,"",MAX($C$54:$C$73))</f>
        <v>0</v>
      </c>
      <c r="AR73">
        <f>IF(COUNT($E$2:$E73)&lt;20,"",MIN($D$54:$D$73))</f>
        <v>0</v>
      </c>
      <c r="AS73">
        <f>IF(OR(AQ73="",AR73=""),"",(AQ73+AR73)/2)</f>
        <v>0</v>
      </c>
      <c r="AT73">
        <f>IF(COUNT($G$54:$G$73)&lt;20,"",STDEV($G$54:$G$73)*SQRT(12))</f>
        <v>0</v>
      </c>
      <c r="AU73">
        <f>IF(COUNT($E$2:$E73)&lt;9,"",(MAX($C$65:$C$73)+MIN($D$65:$D$73))/2)</f>
        <v>0</v>
      </c>
      <c r="AV73">
        <f>IF(COUNT($E$2:$E73)&lt;26,"",(MAX($C$48:$C$73)+MIN($D$48:$D$73))/2)</f>
        <v>0</v>
      </c>
      <c r="AW73">
        <f>IF(OR(AU73="",AV73=""),"",(AU73+AV73)/2)</f>
        <v>0</v>
      </c>
      <c r="AX73">
        <f>IF(COUNT($E$2:$E73)&lt;52,"",(MAX($C$22:$C$73)+MIN($D$22:$D$73))/2)</f>
        <v>0</v>
      </c>
      <c r="AY73">
        <f>IF(COUNT($E$2:$E73)&lt;20,"",MAX($C$2:$C$73))</f>
        <v>0</v>
      </c>
      <c r="AZ73">
        <f>IF(COUNT($E$2:$E73)&lt;20,"",MIN($D$2:$D$73))</f>
        <v>0</v>
      </c>
      <c r="BA73">
        <f>IF(COUNT($E$2:$E73)&lt;20,"",SLOPE($E$2:$E$73,$F$2:$F$73))</f>
        <v>0</v>
      </c>
      <c r="BB73">
        <f>IF(COUNT($E$2:$E73)&lt;20,"",INTERCEPT($E$2:$E$73,$F$2:$F$73))</f>
        <v>0</v>
      </c>
      <c r="BC73">
        <f>IF(OR(BA73="",BB73=""),"",BB73+BA73*F73)</f>
        <v>0</v>
      </c>
      <c r="BD73">
        <f>IF(COUNT($E$2:$E73)&lt;20,"",STEYX($E$2:$E$73,$F$2:$F$73))</f>
        <v>0</v>
      </c>
      <c r="BE73">
        <f>IF($E73="","",IF(AND(COUNT($E$74:$E$77)&gt;=4,$C73=MAX($C$69:$C$77)),$C73,""))</f>
        <v>0</v>
      </c>
      <c r="BF73">
        <f>IF($E73="","",IF(AND(COUNT($E$74:$E$77)&gt;=4,$D73=MIN($D$69:$D$77)),$D73,""))</f>
        <v>0</v>
      </c>
      <c r="BG73">
        <f>IFERROR(SMALL(Calc_Daily!$BT$2:$BT$2001,72),"")</f>
        <v>0</v>
      </c>
    </row>
    <row r="74" spans="1:59">
      <c r="A74" s="27">
        <f>IF($BG74="","",INDEX(Calc_Daily!$A$2:$A$2001,$BG74))</f>
        <v>0</v>
      </c>
      <c r="B74">
        <f>IF($BG74="","",INDEX(Calc_Daily!$BQ$2:$BQ$2001,$BG74))</f>
        <v>0</v>
      </c>
      <c r="C74">
        <f>IF($BG74="","",INDEX(Calc_Daily!$BR$2:$BR$2001,$BG74))</f>
        <v>0</v>
      </c>
      <c r="D74">
        <f>IF($BG74="","",INDEX(Calc_Daily!$BS$2:$BS$2001,$BG74))</f>
        <v>0</v>
      </c>
      <c r="E74">
        <f>IF($BG74="","",INDEX(Calc_Daily!$E$2:$E$2001,$BG74))</f>
        <v>0</v>
      </c>
      <c r="F74">
        <f>IF($E74="","",N(F73)+1)</f>
        <v>0</v>
      </c>
      <c r="G74">
        <f>IF(OR($E74="",$E73=""),"",LN($E74/$E73))</f>
        <v>0</v>
      </c>
      <c r="H74">
        <f>IF($E74="","",IF($E73="",$E74,$E74*0.0952380952+H73*0.9047619048))</f>
        <v>0</v>
      </c>
      <c r="I74">
        <f>IF($E74="","",IF($E73="",$E74,$E74*0.0392156863+I73*0.9607843137))</f>
        <v>0</v>
      </c>
      <c r="J74">
        <f>IF($E74="","",IF($E73="",$E74,$E74*0.0198019802+J73*0.9801980198))</f>
        <v>0</v>
      </c>
      <c r="K74">
        <f>IF($E74="","",IF($E73="",$E74,$E74*0.0099502488+K73*0.9900497512))</f>
        <v>0</v>
      </c>
      <c r="L74">
        <f>IF(OR($E74="",$E73=""),"",MAX($E74-$E73,0))</f>
        <v>0</v>
      </c>
      <c r="M74">
        <f>IF(OR($E74="",$E73=""),"",MAX($E73-$E74,0))</f>
        <v>0</v>
      </c>
      <c r="N74">
        <f>IF(COUNT($E$2:$E74)&lt;15,"",IF(AVERAGE($M$61:$M$74)=0,100,100-100/(1+AVERAGE($L$61:$L$74)/AVERAGE($M$61:$M$74))))</f>
        <v>0</v>
      </c>
      <c r="O74">
        <f>IF($E74="","",IF($E73="",$E74,$E74*0.1538461538+O73*0.8461538462))</f>
        <v>0</v>
      </c>
      <c r="P74">
        <f>IF($E74="","",IF($E73="",$E74,$E74*0.0740740741+P73*0.9259259259))</f>
        <v>0</v>
      </c>
      <c r="Q74">
        <f>IF(OR(O74="",P74=""),"",O74-P74)</f>
        <v>0</v>
      </c>
      <c r="R74">
        <f>IF(Q74="","",IF(R73="",Q74,Q74*0.2000000000+R73*0.8000000000))</f>
        <v>0</v>
      </c>
      <c r="S74">
        <f>IF(OR(Q74="",R74=""),"",Q74-R74)</f>
        <v>0</v>
      </c>
      <c r="T74">
        <f>IF(COUNT($E$2:$E74)&lt;14,"",MAX($C$61:$C$74))</f>
        <v>0</v>
      </c>
      <c r="U74">
        <f>IF(COUNT($E$2:$E74)&lt;14,"",MIN($D$61:$D$74))</f>
        <v>0</v>
      </c>
      <c r="V74">
        <f>IF(OR(T74="",U74="",T74=U74),"",100*($E74-U74)/(T74-U74))</f>
        <v>0</v>
      </c>
      <c r="W74">
        <f>IF(COUNT($V$72:$V$74)&lt;3,"",AVERAGE($V$72:$V$74))</f>
        <v>0</v>
      </c>
      <c r="X74">
        <f>IF(COUNT($N$61:$N$74)&lt;14,"",MIN($N$61:$N$74))</f>
        <v>0</v>
      </c>
      <c r="Y74">
        <f>IF(COUNT($N$61:$N$74)&lt;14,"",MAX($N$61:$N$74))</f>
        <v>0</v>
      </c>
      <c r="Z74">
        <f>IF(OR(N74="",X74="",Y74="",Y74=X74),"",100*(N74-X74)/(Y74-X74))</f>
        <v>0</v>
      </c>
      <c r="AA74">
        <f>IF(COUNT($Z$72:$Z$74)&lt;3,"",AVERAGE($Z$72:$Z$74))</f>
        <v>0</v>
      </c>
      <c r="AB74">
        <f>IF(COUNT($AA$72:$AA$74)&lt;3,"",AVERAGE($AA$72:$AA$74))</f>
        <v>0</v>
      </c>
      <c r="AC74">
        <f>IF($E74="","",MAX($C74-$D74,ABS($C74-$E73),ABS($D74-$E73)))</f>
        <v>0</v>
      </c>
      <c r="AD74">
        <f>IF(COUNT($E$2:$E74)&lt;15,"",AVERAGE($AC$61:$AC$74))</f>
        <v>0</v>
      </c>
      <c r="AE74">
        <f>IF(OR($E74="",$E73=""),"",IF(AND(($C74-$C73)&gt;($D73-$D74),($C74-$C73)&gt;0),$C74-$C73,0))</f>
        <v>0</v>
      </c>
      <c r="AF74">
        <f>IF(OR($E74="",$E73=""),"",IF(AND(($D73-$D74)&gt;($C74-$C73),($D73-$D74)&gt;0),$D73-$D74,0))</f>
        <v>0</v>
      </c>
      <c r="AG74">
        <f>IF(COUNT($E$2:$E74)&lt;15,"",IF(SUM($AC$61:$AC$74)=0,0,100*SUM($AE$61:$AE$74)/SUM($AC$61:$AC$74)))</f>
        <v>0</v>
      </c>
      <c r="AH74">
        <f>IF(COUNT($E$2:$E74)&lt;15,"",IF(SUM($AC$61:$AC$74)=0,0,100*SUM($AF$61:$AF$74)/SUM($AC$61:$AC$74)))</f>
        <v>0</v>
      </c>
      <c r="AI74">
        <f>IF(OR(AG74="",AH74=""),"",IF((AG74+AH74)=0,0,100*ABS(AG74-AH74)/(AG74+AH74)))</f>
        <v>0</v>
      </c>
      <c r="AJ74">
        <f>IF(COUNT($AI$61:$AI$74)&lt;14,"",AVERAGE($AI$61:$AI$74))</f>
        <v>0</v>
      </c>
      <c r="AK74">
        <f>IF(COUNT($E$2:$E74)&lt;20,"",AVERAGE($E$55:$E$74))</f>
        <v>0</v>
      </c>
      <c r="AL74">
        <f>IF(COUNT($E$2:$E74)&lt;20,"",STDEVP($E$55:$E$74))</f>
        <v>0</v>
      </c>
      <c r="AM74">
        <f>IF(AK74="","",AK74+2*AL74)</f>
        <v>0</v>
      </c>
      <c r="AN74">
        <f>IF(AK74="","",AK74-2*AL74)</f>
        <v>0</v>
      </c>
      <c r="AO74">
        <f>IF(OR(AM74="",AN74="",AM74=AN74),"",($E74-AN74)/(AM74-AN74))</f>
        <v>0</v>
      </c>
      <c r="AP74">
        <f>IF(OR(AM74="",AK74="",AK74=0),"",(AM74-AN74)/AK74)</f>
        <v>0</v>
      </c>
      <c r="AQ74">
        <f>IF(COUNT($E$2:$E74)&lt;20,"",MAX($C$55:$C$74))</f>
        <v>0</v>
      </c>
      <c r="AR74">
        <f>IF(COUNT($E$2:$E74)&lt;20,"",MIN($D$55:$D$74))</f>
        <v>0</v>
      </c>
      <c r="AS74">
        <f>IF(OR(AQ74="",AR74=""),"",(AQ74+AR74)/2)</f>
        <v>0</v>
      </c>
      <c r="AT74">
        <f>IF(COUNT($G$55:$G$74)&lt;20,"",STDEV($G$55:$G$74)*SQRT(12))</f>
        <v>0</v>
      </c>
      <c r="AU74">
        <f>IF(COUNT($E$2:$E74)&lt;9,"",(MAX($C$66:$C$74)+MIN($D$66:$D$74))/2)</f>
        <v>0</v>
      </c>
      <c r="AV74">
        <f>IF(COUNT($E$2:$E74)&lt;26,"",(MAX($C$49:$C$74)+MIN($D$49:$D$74))/2)</f>
        <v>0</v>
      </c>
      <c r="AW74">
        <f>IF(OR(AU74="",AV74=""),"",(AU74+AV74)/2)</f>
        <v>0</v>
      </c>
      <c r="AX74">
        <f>IF(COUNT($E$2:$E74)&lt;52,"",(MAX($C$23:$C$74)+MIN($D$23:$D$74))/2)</f>
        <v>0</v>
      </c>
      <c r="AY74">
        <f>IF(COUNT($E$2:$E74)&lt;20,"",MAX($C$2:$C$74))</f>
        <v>0</v>
      </c>
      <c r="AZ74">
        <f>IF(COUNT($E$2:$E74)&lt;20,"",MIN($D$2:$D$74))</f>
        <v>0</v>
      </c>
      <c r="BA74">
        <f>IF(COUNT($E$2:$E74)&lt;20,"",SLOPE($E$2:$E$74,$F$2:$F$74))</f>
        <v>0</v>
      </c>
      <c r="BB74">
        <f>IF(COUNT($E$2:$E74)&lt;20,"",INTERCEPT($E$2:$E$74,$F$2:$F$74))</f>
        <v>0</v>
      </c>
      <c r="BC74">
        <f>IF(OR(BA74="",BB74=""),"",BB74+BA74*F74)</f>
        <v>0</v>
      </c>
      <c r="BD74">
        <f>IF(COUNT($E$2:$E74)&lt;20,"",STEYX($E$2:$E$74,$F$2:$F$74))</f>
        <v>0</v>
      </c>
      <c r="BE74">
        <f>IF($E74="","",IF(AND(COUNT($E$75:$E$78)&gt;=4,$C74=MAX($C$70:$C$78)),$C74,""))</f>
        <v>0</v>
      </c>
      <c r="BF74">
        <f>IF($E74="","",IF(AND(COUNT($E$75:$E$78)&gt;=4,$D74=MIN($D$70:$D$78)),$D74,""))</f>
        <v>0</v>
      </c>
      <c r="BG74">
        <f>IFERROR(SMALL(Calc_Daily!$BT$2:$BT$2001,73),"")</f>
        <v>0</v>
      </c>
    </row>
    <row r="75" spans="1:59">
      <c r="A75" s="27">
        <f>IF($BG75="","",INDEX(Calc_Daily!$A$2:$A$2001,$BG75))</f>
        <v>0</v>
      </c>
      <c r="B75">
        <f>IF($BG75="","",INDEX(Calc_Daily!$BQ$2:$BQ$2001,$BG75))</f>
        <v>0</v>
      </c>
      <c r="C75">
        <f>IF($BG75="","",INDEX(Calc_Daily!$BR$2:$BR$2001,$BG75))</f>
        <v>0</v>
      </c>
      <c r="D75">
        <f>IF($BG75="","",INDEX(Calc_Daily!$BS$2:$BS$2001,$BG75))</f>
        <v>0</v>
      </c>
      <c r="E75">
        <f>IF($BG75="","",INDEX(Calc_Daily!$E$2:$E$2001,$BG75))</f>
        <v>0</v>
      </c>
      <c r="F75">
        <f>IF($E75="","",N(F74)+1)</f>
        <v>0</v>
      </c>
      <c r="G75">
        <f>IF(OR($E75="",$E74=""),"",LN($E75/$E74))</f>
        <v>0</v>
      </c>
      <c r="H75">
        <f>IF($E75="","",IF($E74="",$E75,$E75*0.0952380952+H74*0.9047619048))</f>
        <v>0</v>
      </c>
      <c r="I75">
        <f>IF($E75="","",IF($E74="",$E75,$E75*0.0392156863+I74*0.9607843137))</f>
        <v>0</v>
      </c>
      <c r="J75">
        <f>IF($E75="","",IF($E74="",$E75,$E75*0.0198019802+J74*0.9801980198))</f>
        <v>0</v>
      </c>
      <c r="K75">
        <f>IF($E75="","",IF($E74="",$E75,$E75*0.0099502488+K74*0.9900497512))</f>
        <v>0</v>
      </c>
      <c r="L75">
        <f>IF(OR($E75="",$E74=""),"",MAX($E75-$E74,0))</f>
        <v>0</v>
      </c>
      <c r="M75">
        <f>IF(OR($E75="",$E74=""),"",MAX($E74-$E75,0))</f>
        <v>0</v>
      </c>
      <c r="N75">
        <f>IF(COUNT($E$2:$E75)&lt;15,"",IF(AVERAGE($M$62:$M$75)=0,100,100-100/(1+AVERAGE($L$62:$L$75)/AVERAGE($M$62:$M$75))))</f>
        <v>0</v>
      </c>
      <c r="O75">
        <f>IF($E75="","",IF($E74="",$E75,$E75*0.1538461538+O74*0.8461538462))</f>
        <v>0</v>
      </c>
      <c r="P75">
        <f>IF($E75="","",IF($E74="",$E75,$E75*0.0740740741+P74*0.9259259259))</f>
        <v>0</v>
      </c>
      <c r="Q75">
        <f>IF(OR(O75="",P75=""),"",O75-P75)</f>
        <v>0</v>
      </c>
      <c r="R75">
        <f>IF(Q75="","",IF(R74="",Q75,Q75*0.2000000000+R74*0.8000000000))</f>
        <v>0</v>
      </c>
      <c r="S75">
        <f>IF(OR(Q75="",R75=""),"",Q75-R75)</f>
        <v>0</v>
      </c>
      <c r="T75">
        <f>IF(COUNT($E$2:$E75)&lt;14,"",MAX($C$62:$C$75))</f>
        <v>0</v>
      </c>
      <c r="U75">
        <f>IF(COUNT($E$2:$E75)&lt;14,"",MIN($D$62:$D$75))</f>
        <v>0</v>
      </c>
      <c r="V75">
        <f>IF(OR(T75="",U75="",T75=U75),"",100*($E75-U75)/(T75-U75))</f>
        <v>0</v>
      </c>
      <c r="W75">
        <f>IF(COUNT($V$73:$V$75)&lt;3,"",AVERAGE($V$73:$V$75))</f>
        <v>0</v>
      </c>
      <c r="X75">
        <f>IF(COUNT($N$62:$N$75)&lt;14,"",MIN($N$62:$N$75))</f>
        <v>0</v>
      </c>
      <c r="Y75">
        <f>IF(COUNT($N$62:$N$75)&lt;14,"",MAX($N$62:$N$75))</f>
        <v>0</v>
      </c>
      <c r="Z75">
        <f>IF(OR(N75="",X75="",Y75="",Y75=X75),"",100*(N75-X75)/(Y75-X75))</f>
        <v>0</v>
      </c>
      <c r="AA75">
        <f>IF(COUNT($Z$73:$Z$75)&lt;3,"",AVERAGE($Z$73:$Z$75))</f>
        <v>0</v>
      </c>
      <c r="AB75">
        <f>IF(COUNT($AA$73:$AA$75)&lt;3,"",AVERAGE($AA$73:$AA$75))</f>
        <v>0</v>
      </c>
      <c r="AC75">
        <f>IF($E75="","",MAX($C75-$D75,ABS($C75-$E74),ABS($D75-$E74)))</f>
        <v>0</v>
      </c>
      <c r="AD75">
        <f>IF(COUNT($E$2:$E75)&lt;15,"",AVERAGE($AC$62:$AC$75))</f>
        <v>0</v>
      </c>
      <c r="AE75">
        <f>IF(OR($E75="",$E74=""),"",IF(AND(($C75-$C74)&gt;($D74-$D75),($C75-$C74)&gt;0),$C75-$C74,0))</f>
        <v>0</v>
      </c>
      <c r="AF75">
        <f>IF(OR($E75="",$E74=""),"",IF(AND(($D74-$D75)&gt;($C75-$C74),($D74-$D75)&gt;0),$D74-$D75,0))</f>
        <v>0</v>
      </c>
      <c r="AG75">
        <f>IF(COUNT($E$2:$E75)&lt;15,"",IF(SUM($AC$62:$AC$75)=0,0,100*SUM($AE$62:$AE$75)/SUM($AC$62:$AC$75)))</f>
        <v>0</v>
      </c>
      <c r="AH75">
        <f>IF(COUNT($E$2:$E75)&lt;15,"",IF(SUM($AC$62:$AC$75)=0,0,100*SUM($AF$62:$AF$75)/SUM($AC$62:$AC$75)))</f>
        <v>0</v>
      </c>
      <c r="AI75">
        <f>IF(OR(AG75="",AH75=""),"",IF((AG75+AH75)=0,0,100*ABS(AG75-AH75)/(AG75+AH75)))</f>
        <v>0</v>
      </c>
      <c r="AJ75">
        <f>IF(COUNT($AI$62:$AI$75)&lt;14,"",AVERAGE($AI$62:$AI$75))</f>
        <v>0</v>
      </c>
      <c r="AK75">
        <f>IF(COUNT($E$2:$E75)&lt;20,"",AVERAGE($E$56:$E$75))</f>
        <v>0</v>
      </c>
      <c r="AL75">
        <f>IF(COUNT($E$2:$E75)&lt;20,"",STDEVP($E$56:$E$75))</f>
        <v>0</v>
      </c>
      <c r="AM75">
        <f>IF(AK75="","",AK75+2*AL75)</f>
        <v>0</v>
      </c>
      <c r="AN75">
        <f>IF(AK75="","",AK75-2*AL75)</f>
        <v>0</v>
      </c>
      <c r="AO75">
        <f>IF(OR(AM75="",AN75="",AM75=AN75),"",($E75-AN75)/(AM75-AN75))</f>
        <v>0</v>
      </c>
      <c r="AP75">
        <f>IF(OR(AM75="",AK75="",AK75=0),"",(AM75-AN75)/AK75)</f>
        <v>0</v>
      </c>
      <c r="AQ75">
        <f>IF(COUNT($E$2:$E75)&lt;20,"",MAX($C$56:$C$75))</f>
        <v>0</v>
      </c>
      <c r="AR75">
        <f>IF(COUNT($E$2:$E75)&lt;20,"",MIN($D$56:$D$75))</f>
        <v>0</v>
      </c>
      <c r="AS75">
        <f>IF(OR(AQ75="",AR75=""),"",(AQ75+AR75)/2)</f>
        <v>0</v>
      </c>
      <c r="AT75">
        <f>IF(COUNT($G$56:$G$75)&lt;20,"",STDEV($G$56:$G$75)*SQRT(12))</f>
        <v>0</v>
      </c>
      <c r="AU75">
        <f>IF(COUNT($E$2:$E75)&lt;9,"",(MAX($C$67:$C$75)+MIN($D$67:$D$75))/2)</f>
        <v>0</v>
      </c>
      <c r="AV75">
        <f>IF(COUNT($E$2:$E75)&lt;26,"",(MAX($C$50:$C$75)+MIN($D$50:$D$75))/2)</f>
        <v>0</v>
      </c>
      <c r="AW75">
        <f>IF(OR(AU75="",AV75=""),"",(AU75+AV75)/2)</f>
        <v>0</v>
      </c>
      <c r="AX75">
        <f>IF(COUNT($E$2:$E75)&lt;52,"",(MAX($C$24:$C$75)+MIN($D$24:$D$75))/2)</f>
        <v>0</v>
      </c>
      <c r="AY75">
        <f>IF(COUNT($E$2:$E75)&lt;20,"",MAX($C$2:$C$75))</f>
        <v>0</v>
      </c>
      <c r="AZ75">
        <f>IF(COUNT($E$2:$E75)&lt;20,"",MIN($D$2:$D$75))</f>
        <v>0</v>
      </c>
      <c r="BA75">
        <f>IF(COUNT($E$2:$E75)&lt;20,"",SLOPE($E$2:$E$75,$F$2:$F$75))</f>
        <v>0</v>
      </c>
      <c r="BB75">
        <f>IF(COUNT($E$2:$E75)&lt;20,"",INTERCEPT($E$2:$E$75,$F$2:$F$75))</f>
        <v>0</v>
      </c>
      <c r="BC75">
        <f>IF(OR(BA75="",BB75=""),"",BB75+BA75*F75)</f>
        <v>0</v>
      </c>
      <c r="BD75">
        <f>IF(COUNT($E$2:$E75)&lt;20,"",STEYX($E$2:$E$75,$F$2:$F$75))</f>
        <v>0</v>
      </c>
      <c r="BE75">
        <f>IF($E75="","",IF(AND(COUNT($E$76:$E$79)&gt;=4,$C75=MAX($C$71:$C$79)),$C75,""))</f>
        <v>0</v>
      </c>
      <c r="BF75">
        <f>IF($E75="","",IF(AND(COUNT($E$76:$E$79)&gt;=4,$D75=MIN($D$71:$D$79)),$D75,""))</f>
        <v>0</v>
      </c>
      <c r="BG75">
        <f>IFERROR(SMALL(Calc_Daily!$BT$2:$BT$2001,74),"")</f>
        <v>0</v>
      </c>
    </row>
    <row r="76" spans="1:59">
      <c r="A76" s="27">
        <f>IF($BG76="","",INDEX(Calc_Daily!$A$2:$A$2001,$BG76))</f>
        <v>0</v>
      </c>
      <c r="B76">
        <f>IF($BG76="","",INDEX(Calc_Daily!$BQ$2:$BQ$2001,$BG76))</f>
        <v>0</v>
      </c>
      <c r="C76">
        <f>IF($BG76="","",INDEX(Calc_Daily!$BR$2:$BR$2001,$BG76))</f>
        <v>0</v>
      </c>
      <c r="D76">
        <f>IF($BG76="","",INDEX(Calc_Daily!$BS$2:$BS$2001,$BG76))</f>
        <v>0</v>
      </c>
      <c r="E76">
        <f>IF($BG76="","",INDEX(Calc_Daily!$E$2:$E$2001,$BG76))</f>
        <v>0</v>
      </c>
      <c r="F76">
        <f>IF($E76="","",N(F75)+1)</f>
        <v>0</v>
      </c>
      <c r="G76">
        <f>IF(OR($E76="",$E75=""),"",LN($E76/$E75))</f>
        <v>0</v>
      </c>
      <c r="H76">
        <f>IF($E76="","",IF($E75="",$E76,$E76*0.0952380952+H75*0.9047619048))</f>
        <v>0</v>
      </c>
      <c r="I76">
        <f>IF($E76="","",IF($E75="",$E76,$E76*0.0392156863+I75*0.9607843137))</f>
        <v>0</v>
      </c>
      <c r="J76">
        <f>IF($E76="","",IF($E75="",$E76,$E76*0.0198019802+J75*0.9801980198))</f>
        <v>0</v>
      </c>
      <c r="K76">
        <f>IF($E76="","",IF($E75="",$E76,$E76*0.0099502488+K75*0.9900497512))</f>
        <v>0</v>
      </c>
      <c r="L76">
        <f>IF(OR($E76="",$E75=""),"",MAX($E76-$E75,0))</f>
        <v>0</v>
      </c>
      <c r="M76">
        <f>IF(OR($E76="",$E75=""),"",MAX($E75-$E76,0))</f>
        <v>0</v>
      </c>
      <c r="N76">
        <f>IF(COUNT($E$2:$E76)&lt;15,"",IF(AVERAGE($M$63:$M$76)=0,100,100-100/(1+AVERAGE($L$63:$L$76)/AVERAGE($M$63:$M$76))))</f>
        <v>0</v>
      </c>
      <c r="O76">
        <f>IF($E76="","",IF($E75="",$E76,$E76*0.1538461538+O75*0.8461538462))</f>
        <v>0</v>
      </c>
      <c r="P76">
        <f>IF($E76="","",IF($E75="",$E76,$E76*0.0740740741+P75*0.9259259259))</f>
        <v>0</v>
      </c>
      <c r="Q76">
        <f>IF(OR(O76="",P76=""),"",O76-P76)</f>
        <v>0</v>
      </c>
      <c r="R76">
        <f>IF(Q76="","",IF(R75="",Q76,Q76*0.2000000000+R75*0.8000000000))</f>
        <v>0</v>
      </c>
      <c r="S76">
        <f>IF(OR(Q76="",R76=""),"",Q76-R76)</f>
        <v>0</v>
      </c>
      <c r="T76">
        <f>IF(COUNT($E$2:$E76)&lt;14,"",MAX($C$63:$C$76))</f>
        <v>0</v>
      </c>
      <c r="U76">
        <f>IF(COUNT($E$2:$E76)&lt;14,"",MIN($D$63:$D$76))</f>
        <v>0</v>
      </c>
      <c r="V76">
        <f>IF(OR(T76="",U76="",T76=U76),"",100*($E76-U76)/(T76-U76))</f>
        <v>0</v>
      </c>
      <c r="W76">
        <f>IF(COUNT($V$74:$V$76)&lt;3,"",AVERAGE($V$74:$V$76))</f>
        <v>0</v>
      </c>
      <c r="X76">
        <f>IF(COUNT($N$63:$N$76)&lt;14,"",MIN($N$63:$N$76))</f>
        <v>0</v>
      </c>
      <c r="Y76">
        <f>IF(COUNT($N$63:$N$76)&lt;14,"",MAX($N$63:$N$76))</f>
        <v>0</v>
      </c>
      <c r="Z76">
        <f>IF(OR(N76="",X76="",Y76="",Y76=X76),"",100*(N76-X76)/(Y76-X76))</f>
        <v>0</v>
      </c>
      <c r="AA76">
        <f>IF(COUNT($Z$74:$Z$76)&lt;3,"",AVERAGE($Z$74:$Z$76))</f>
        <v>0</v>
      </c>
      <c r="AB76">
        <f>IF(COUNT($AA$74:$AA$76)&lt;3,"",AVERAGE($AA$74:$AA$76))</f>
        <v>0</v>
      </c>
      <c r="AC76">
        <f>IF($E76="","",MAX($C76-$D76,ABS($C76-$E75),ABS($D76-$E75)))</f>
        <v>0</v>
      </c>
      <c r="AD76">
        <f>IF(COUNT($E$2:$E76)&lt;15,"",AVERAGE($AC$63:$AC$76))</f>
        <v>0</v>
      </c>
      <c r="AE76">
        <f>IF(OR($E76="",$E75=""),"",IF(AND(($C76-$C75)&gt;($D75-$D76),($C76-$C75)&gt;0),$C76-$C75,0))</f>
        <v>0</v>
      </c>
      <c r="AF76">
        <f>IF(OR($E76="",$E75=""),"",IF(AND(($D75-$D76)&gt;($C76-$C75),($D75-$D76)&gt;0),$D75-$D76,0))</f>
        <v>0</v>
      </c>
      <c r="AG76">
        <f>IF(COUNT($E$2:$E76)&lt;15,"",IF(SUM($AC$63:$AC$76)=0,0,100*SUM($AE$63:$AE$76)/SUM($AC$63:$AC$76)))</f>
        <v>0</v>
      </c>
      <c r="AH76">
        <f>IF(COUNT($E$2:$E76)&lt;15,"",IF(SUM($AC$63:$AC$76)=0,0,100*SUM($AF$63:$AF$76)/SUM($AC$63:$AC$76)))</f>
        <v>0</v>
      </c>
      <c r="AI76">
        <f>IF(OR(AG76="",AH76=""),"",IF((AG76+AH76)=0,0,100*ABS(AG76-AH76)/(AG76+AH76)))</f>
        <v>0</v>
      </c>
      <c r="AJ76">
        <f>IF(COUNT($AI$63:$AI$76)&lt;14,"",AVERAGE($AI$63:$AI$76))</f>
        <v>0</v>
      </c>
      <c r="AK76">
        <f>IF(COUNT($E$2:$E76)&lt;20,"",AVERAGE($E$57:$E$76))</f>
        <v>0</v>
      </c>
      <c r="AL76">
        <f>IF(COUNT($E$2:$E76)&lt;20,"",STDEVP($E$57:$E$76))</f>
        <v>0</v>
      </c>
      <c r="AM76">
        <f>IF(AK76="","",AK76+2*AL76)</f>
        <v>0</v>
      </c>
      <c r="AN76">
        <f>IF(AK76="","",AK76-2*AL76)</f>
        <v>0</v>
      </c>
      <c r="AO76">
        <f>IF(OR(AM76="",AN76="",AM76=AN76),"",($E76-AN76)/(AM76-AN76))</f>
        <v>0</v>
      </c>
      <c r="AP76">
        <f>IF(OR(AM76="",AK76="",AK76=0),"",(AM76-AN76)/AK76)</f>
        <v>0</v>
      </c>
      <c r="AQ76">
        <f>IF(COUNT($E$2:$E76)&lt;20,"",MAX($C$57:$C$76))</f>
        <v>0</v>
      </c>
      <c r="AR76">
        <f>IF(COUNT($E$2:$E76)&lt;20,"",MIN($D$57:$D$76))</f>
        <v>0</v>
      </c>
      <c r="AS76">
        <f>IF(OR(AQ76="",AR76=""),"",(AQ76+AR76)/2)</f>
        <v>0</v>
      </c>
      <c r="AT76">
        <f>IF(COUNT($G$57:$G$76)&lt;20,"",STDEV($G$57:$G$76)*SQRT(12))</f>
        <v>0</v>
      </c>
      <c r="AU76">
        <f>IF(COUNT($E$2:$E76)&lt;9,"",(MAX($C$68:$C$76)+MIN($D$68:$D$76))/2)</f>
        <v>0</v>
      </c>
      <c r="AV76">
        <f>IF(COUNT($E$2:$E76)&lt;26,"",(MAX($C$51:$C$76)+MIN($D$51:$D$76))/2)</f>
        <v>0</v>
      </c>
      <c r="AW76">
        <f>IF(OR(AU76="",AV76=""),"",(AU76+AV76)/2)</f>
        <v>0</v>
      </c>
      <c r="AX76">
        <f>IF(COUNT($E$2:$E76)&lt;52,"",(MAX($C$25:$C$76)+MIN($D$25:$D$76))/2)</f>
        <v>0</v>
      </c>
      <c r="AY76">
        <f>IF(COUNT($E$2:$E76)&lt;20,"",MAX($C$2:$C$76))</f>
        <v>0</v>
      </c>
      <c r="AZ76">
        <f>IF(COUNT($E$2:$E76)&lt;20,"",MIN($D$2:$D$76))</f>
        <v>0</v>
      </c>
      <c r="BA76">
        <f>IF(COUNT($E$2:$E76)&lt;20,"",SLOPE($E$2:$E$76,$F$2:$F$76))</f>
        <v>0</v>
      </c>
      <c r="BB76">
        <f>IF(COUNT($E$2:$E76)&lt;20,"",INTERCEPT($E$2:$E$76,$F$2:$F$76))</f>
        <v>0</v>
      </c>
      <c r="BC76">
        <f>IF(OR(BA76="",BB76=""),"",BB76+BA76*F76)</f>
        <v>0</v>
      </c>
      <c r="BD76">
        <f>IF(COUNT($E$2:$E76)&lt;20,"",STEYX($E$2:$E$76,$F$2:$F$76))</f>
        <v>0</v>
      </c>
      <c r="BE76">
        <f>IF($E76="","",IF(AND(COUNT($E$77:$E$80)&gt;=4,$C76=MAX($C$72:$C$80)),$C76,""))</f>
        <v>0</v>
      </c>
      <c r="BF76">
        <f>IF($E76="","",IF(AND(COUNT($E$77:$E$80)&gt;=4,$D76=MIN($D$72:$D$80)),$D76,""))</f>
        <v>0</v>
      </c>
      <c r="BG76">
        <f>IFERROR(SMALL(Calc_Daily!$BT$2:$BT$2001,75),"")</f>
        <v>0</v>
      </c>
    </row>
    <row r="77" spans="1:59">
      <c r="A77" s="27">
        <f>IF($BG77="","",INDEX(Calc_Daily!$A$2:$A$2001,$BG77))</f>
        <v>0</v>
      </c>
      <c r="B77">
        <f>IF($BG77="","",INDEX(Calc_Daily!$BQ$2:$BQ$2001,$BG77))</f>
        <v>0</v>
      </c>
      <c r="C77">
        <f>IF($BG77="","",INDEX(Calc_Daily!$BR$2:$BR$2001,$BG77))</f>
        <v>0</v>
      </c>
      <c r="D77">
        <f>IF($BG77="","",INDEX(Calc_Daily!$BS$2:$BS$2001,$BG77))</f>
        <v>0</v>
      </c>
      <c r="E77">
        <f>IF($BG77="","",INDEX(Calc_Daily!$E$2:$E$2001,$BG77))</f>
        <v>0</v>
      </c>
      <c r="F77">
        <f>IF($E77="","",N(F76)+1)</f>
        <v>0</v>
      </c>
      <c r="G77">
        <f>IF(OR($E77="",$E76=""),"",LN($E77/$E76))</f>
        <v>0</v>
      </c>
      <c r="H77">
        <f>IF($E77="","",IF($E76="",$E77,$E77*0.0952380952+H76*0.9047619048))</f>
        <v>0</v>
      </c>
      <c r="I77">
        <f>IF($E77="","",IF($E76="",$E77,$E77*0.0392156863+I76*0.9607843137))</f>
        <v>0</v>
      </c>
      <c r="J77">
        <f>IF($E77="","",IF($E76="",$E77,$E77*0.0198019802+J76*0.9801980198))</f>
        <v>0</v>
      </c>
      <c r="K77">
        <f>IF($E77="","",IF($E76="",$E77,$E77*0.0099502488+K76*0.9900497512))</f>
        <v>0</v>
      </c>
      <c r="L77">
        <f>IF(OR($E77="",$E76=""),"",MAX($E77-$E76,0))</f>
        <v>0</v>
      </c>
      <c r="M77">
        <f>IF(OR($E77="",$E76=""),"",MAX($E76-$E77,0))</f>
        <v>0</v>
      </c>
      <c r="N77">
        <f>IF(COUNT($E$2:$E77)&lt;15,"",IF(AVERAGE($M$64:$M$77)=0,100,100-100/(1+AVERAGE($L$64:$L$77)/AVERAGE($M$64:$M$77))))</f>
        <v>0</v>
      </c>
      <c r="O77">
        <f>IF($E77="","",IF($E76="",$E77,$E77*0.1538461538+O76*0.8461538462))</f>
        <v>0</v>
      </c>
      <c r="P77">
        <f>IF($E77="","",IF($E76="",$E77,$E77*0.0740740741+P76*0.9259259259))</f>
        <v>0</v>
      </c>
      <c r="Q77">
        <f>IF(OR(O77="",P77=""),"",O77-P77)</f>
        <v>0</v>
      </c>
      <c r="R77">
        <f>IF(Q77="","",IF(R76="",Q77,Q77*0.2000000000+R76*0.8000000000))</f>
        <v>0</v>
      </c>
      <c r="S77">
        <f>IF(OR(Q77="",R77=""),"",Q77-R77)</f>
        <v>0</v>
      </c>
      <c r="T77">
        <f>IF(COUNT($E$2:$E77)&lt;14,"",MAX($C$64:$C$77))</f>
        <v>0</v>
      </c>
      <c r="U77">
        <f>IF(COUNT($E$2:$E77)&lt;14,"",MIN($D$64:$D$77))</f>
        <v>0</v>
      </c>
      <c r="V77">
        <f>IF(OR(T77="",U77="",T77=U77),"",100*($E77-U77)/(T77-U77))</f>
        <v>0</v>
      </c>
      <c r="W77">
        <f>IF(COUNT($V$75:$V$77)&lt;3,"",AVERAGE($V$75:$V$77))</f>
        <v>0</v>
      </c>
      <c r="X77">
        <f>IF(COUNT($N$64:$N$77)&lt;14,"",MIN($N$64:$N$77))</f>
        <v>0</v>
      </c>
      <c r="Y77">
        <f>IF(COUNT($N$64:$N$77)&lt;14,"",MAX($N$64:$N$77))</f>
        <v>0</v>
      </c>
      <c r="Z77">
        <f>IF(OR(N77="",X77="",Y77="",Y77=X77),"",100*(N77-X77)/(Y77-X77))</f>
        <v>0</v>
      </c>
      <c r="AA77">
        <f>IF(COUNT($Z$75:$Z$77)&lt;3,"",AVERAGE($Z$75:$Z$77))</f>
        <v>0</v>
      </c>
      <c r="AB77">
        <f>IF(COUNT($AA$75:$AA$77)&lt;3,"",AVERAGE($AA$75:$AA$77))</f>
        <v>0</v>
      </c>
      <c r="AC77">
        <f>IF($E77="","",MAX($C77-$D77,ABS($C77-$E76),ABS($D77-$E76)))</f>
        <v>0</v>
      </c>
      <c r="AD77">
        <f>IF(COUNT($E$2:$E77)&lt;15,"",AVERAGE($AC$64:$AC$77))</f>
        <v>0</v>
      </c>
      <c r="AE77">
        <f>IF(OR($E77="",$E76=""),"",IF(AND(($C77-$C76)&gt;($D76-$D77),($C77-$C76)&gt;0),$C77-$C76,0))</f>
        <v>0</v>
      </c>
      <c r="AF77">
        <f>IF(OR($E77="",$E76=""),"",IF(AND(($D76-$D77)&gt;($C77-$C76),($D76-$D77)&gt;0),$D76-$D77,0))</f>
        <v>0</v>
      </c>
      <c r="AG77">
        <f>IF(COUNT($E$2:$E77)&lt;15,"",IF(SUM($AC$64:$AC$77)=0,0,100*SUM($AE$64:$AE$77)/SUM($AC$64:$AC$77)))</f>
        <v>0</v>
      </c>
      <c r="AH77">
        <f>IF(COUNT($E$2:$E77)&lt;15,"",IF(SUM($AC$64:$AC$77)=0,0,100*SUM($AF$64:$AF$77)/SUM($AC$64:$AC$77)))</f>
        <v>0</v>
      </c>
      <c r="AI77">
        <f>IF(OR(AG77="",AH77=""),"",IF((AG77+AH77)=0,0,100*ABS(AG77-AH77)/(AG77+AH77)))</f>
        <v>0</v>
      </c>
      <c r="AJ77">
        <f>IF(COUNT($AI$64:$AI$77)&lt;14,"",AVERAGE($AI$64:$AI$77))</f>
        <v>0</v>
      </c>
      <c r="AK77">
        <f>IF(COUNT($E$2:$E77)&lt;20,"",AVERAGE($E$58:$E$77))</f>
        <v>0</v>
      </c>
      <c r="AL77">
        <f>IF(COUNT($E$2:$E77)&lt;20,"",STDEVP($E$58:$E$77))</f>
        <v>0</v>
      </c>
      <c r="AM77">
        <f>IF(AK77="","",AK77+2*AL77)</f>
        <v>0</v>
      </c>
      <c r="AN77">
        <f>IF(AK77="","",AK77-2*AL77)</f>
        <v>0</v>
      </c>
      <c r="AO77">
        <f>IF(OR(AM77="",AN77="",AM77=AN77),"",($E77-AN77)/(AM77-AN77))</f>
        <v>0</v>
      </c>
      <c r="AP77">
        <f>IF(OR(AM77="",AK77="",AK77=0),"",(AM77-AN77)/AK77)</f>
        <v>0</v>
      </c>
      <c r="AQ77">
        <f>IF(COUNT($E$2:$E77)&lt;20,"",MAX($C$58:$C$77))</f>
        <v>0</v>
      </c>
      <c r="AR77">
        <f>IF(COUNT($E$2:$E77)&lt;20,"",MIN($D$58:$D$77))</f>
        <v>0</v>
      </c>
      <c r="AS77">
        <f>IF(OR(AQ77="",AR77=""),"",(AQ77+AR77)/2)</f>
        <v>0</v>
      </c>
      <c r="AT77">
        <f>IF(COUNT($G$58:$G$77)&lt;20,"",STDEV($G$58:$G$77)*SQRT(12))</f>
        <v>0</v>
      </c>
      <c r="AU77">
        <f>IF(COUNT($E$2:$E77)&lt;9,"",(MAX($C$69:$C$77)+MIN($D$69:$D$77))/2)</f>
        <v>0</v>
      </c>
      <c r="AV77">
        <f>IF(COUNT($E$2:$E77)&lt;26,"",(MAX($C$52:$C$77)+MIN($D$52:$D$77))/2)</f>
        <v>0</v>
      </c>
      <c r="AW77">
        <f>IF(OR(AU77="",AV77=""),"",(AU77+AV77)/2)</f>
        <v>0</v>
      </c>
      <c r="AX77">
        <f>IF(COUNT($E$2:$E77)&lt;52,"",(MAX($C$26:$C$77)+MIN($D$26:$D$77))/2)</f>
        <v>0</v>
      </c>
      <c r="AY77">
        <f>IF(COUNT($E$2:$E77)&lt;20,"",MAX($C$2:$C$77))</f>
        <v>0</v>
      </c>
      <c r="AZ77">
        <f>IF(COUNT($E$2:$E77)&lt;20,"",MIN($D$2:$D$77))</f>
        <v>0</v>
      </c>
      <c r="BA77">
        <f>IF(COUNT($E$2:$E77)&lt;20,"",SLOPE($E$2:$E$77,$F$2:$F$77))</f>
        <v>0</v>
      </c>
      <c r="BB77">
        <f>IF(COUNT($E$2:$E77)&lt;20,"",INTERCEPT($E$2:$E$77,$F$2:$F$77))</f>
        <v>0</v>
      </c>
      <c r="BC77">
        <f>IF(OR(BA77="",BB77=""),"",BB77+BA77*F77)</f>
        <v>0</v>
      </c>
      <c r="BD77">
        <f>IF(COUNT($E$2:$E77)&lt;20,"",STEYX($E$2:$E$77,$F$2:$F$77))</f>
        <v>0</v>
      </c>
      <c r="BE77">
        <f>IF($E77="","",IF(AND(COUNT($E$78:$E$81)&gt;=4,$C77=MAX($C$73:$C$81)),$C77,""))</f>
        <v>0</v>
      </c>
      <c r="BF77">
        <f>IF($E77="","",IF(AND(COUNT($E$78:$E$81)&gt;=4,$D77=MIN($D$73:$D$81)),$D77,""))</f>
        <v>0</v>
      </c>
      <c r="BG77">
        <f>IFERROR(SMALL(Calc_Daily!$BT$2:$BT$2001,76),"")</f>
        <v>0</v>
      </c>
    </row>
    <row r="78" spans="1:59">
      <c r="A78" s="27">
        <f>IF($BG78="","",INDEX(Calc_Daily!$A$2:$A$2001,$BG78))</f>
        <v>0</v>
      </c>
      <c r="B78">
        <f>IF($BG78="","",INDEX(Calc_Daily!$BQ$2:$BQ$2001,$BG78))</f>
        <v>0</v>
      </c>
      <c r="C78">
        <f>IF($BG78="","",INDEX(Calc_Daily!$BR$2:$BR$2001,$BG78))</f>
        <v>0</v>
      </c>
      <c r="D78">
        <f>IF($BG78="","",INDEX(Calc_Daily!$BS$2:$BS$2001,$BG78))</f>
        <v>0</v>
      </c>
      <c r="E78">
        <f>IF($BG78="","",INDEX(Calc_Daily!$E$2:$E$2001,$BG78))</f>
        <v>0</v>
      </c>
      <c r="F78">
        <f>IF($E78="","",N(F77)+1)</f>
        <v>0</v>
      </c>
      <c r="G78">
        <f>IF(OR($E78="",$E77=""),"",LN($E78/$E77))</f>
        <v>0</v>
      </c>
      <c r="H78">
        <f>IF($E78="","",IF($E77="",$E78,$E78*0.0952380952+H77*0.9047619048))</f>
        <v>0</v>
      </c>
      <c r="I78">
        <f>IF($E78="","",IF($E77="",$E78,$E78*0.0392156863+I77*0.9607843137))</f>
        <v>0</v>
      </c>
      <c r="J78">
        <f>IF($E78="","",IF($E77="",$E78,$E78*0.0198019802+J77*0.9801980198))</f>
        <v>0</v>
      </c>
      <c r="K78">
        <f>IF($E78="","",IF($E77="",$E78,$E78*0.0099502488+K77*0.9900497512))</f>
        <v>0</v>
      </c>
      <c r="L78">
        <f>IF(OR($E78="",$E77=""),"",MAX($E78-$E77,0))</f>
        <v>0</v>
      </c>
      <c r="M78">
        <f>IF(OR($E78="",$E77=""),"",MAX($E77-$E78,0))</f>
        <v>0</v>
      </c>
      <c r="N78">
        <f>IF(COUNT($E$2:$E78)&lt;15,"",IF(AVERAGE($M$65:$M$78)=0,100,100-100/(1+AVERAGE($L$65:$L$78)/AVERAGE($M$65:$M$78))))</f>
        <v>0</v>
      </c>
      <c r="O78">
        <f>IF($E78="","",IF($E77="",$E78,$E78*0.1538461538+O77*0.8461538462))</f>
        <v>0</v>
      </c>
      <c r="P78">
        <f>IF($E78="","",IF($E77="",$E78,$E78*0.0740740741+P77*0.9259259259))</f>
        <v>0</v>
      </c>
      <c r="Q78">
        <f>IF(OR(O78="",P78=""),"",O78-P78)</f>
        <v>0</v>
      </c>
      <c r="R78">
        <f>IF(Q78="","",IF(R77="",Q78,Q78*0.2000000000+R77*0.8000000000))</f>
        <v>0</v>
      </c>
      <c r="S78">
        <f>IF(OR(Q78="",R78=""),"",Q78-R78)</f>
        <v>0</v>
      </c>
      <c r="T78">
        <f>IF(COUNT($E$2:$E78)&lt;14,"",MAX($C$65:$C$78))</f>
        <v>0</v>
      </c>
      <c r="U78">
        <f>IF(COUNT($E$2:$E78)&lt;14,"",MIN($D$65:$D$78))</f>
        <v>0</v>
      </c>
      <c r="V78">
        <f>IF(OR(T78="",U78="",T78=U78),"",100*($E78-U78)/(T78-U78))</f>
        <v>0</v>
      </c>
      <c r="W78">
        <f>IF(COUNT($V$76:$V$78)&lt;3,"",AVERAGE($V$76:$V$78))</f>
        <v>0</v>
      </c>
      <c r="X78">
        <f>IF(COUNT($N$65:$N$78)&lt;14,"",MIN($N$65:$N$78))</f>
        <v>0</v>
      </c>
      <c r="Y78">
        <f>IF(COUNT($N$65:$N$78)&lt;14,"",MAX($N$65:$N$78))</f>
        <v>0</v>
      </c>
      <c r="Z78">
        <f>IF(OR(N78="",X78="",Y78="",Y78=X78),"",100*(N78-X78)/(Y78-X78))</f>
        <v>0</v>
      </c>
      <c r="AA78">
        <f>IF(COUNT($Z$76:$Z$78)&lt;3,"",AVERAGE($Z$76:$Z$78))</f>
        <v>0</v>
      </c>
      <c r="AB78">
        <f>IF(COUNT($AA$76:$AA$78)&lt;3,"",AVERAGE($AA$76:$AA$78))</f>
        <v>0</v>
      </c>
      <c r="AC78">
        <f>IF($E78="","",MAX($C78-$D78,ABS($C78-$E77),ABS($D78-$E77)))</f>
        <v>0</v>
      </c>
      <c r="AD78">
        <f>IF(COUNT($E$2:$E78)&lt;15,"",AVERAGE($AC$65:$AC$78))</f>
        <v>0</v>
      </c>
      <c r="AE78">
        <f>IF(OR($E78="",$E77=""),"",IF(AND(($C78-$C77)&gt;($D77-$D78),($C78-$C77)&gt;0),$C78-$C77,0))</f>
        <v>0</v>
      </c>
      <c r="AF78">
        <f>IF(OR($E78="",$E77=""),"",IF(AND(($D77-$D78)&gt;($C78-$C77),($D77-$D78)&gt;0),$D77-$D78,0))</f>
        <v>0</v>
      </c>
      <c r="AG78">
        <f>IF(COUNT($E$2:$E78)&lt;15,"",IF(SUM($AC$65:$AC$78)=0,0,100*SUM($AE$65:$AE$78)/SUM($AC$65:$AC$78)))</f>
        <v>0</v>
      </c>
      <c r="AH78">
        <f>IF(COUNT($E$2:$E78)&lt;15,"",IF(SUM($AC$65:$AC$78)=0,0,100*SUM($AF$65:$AF$78)/SUM($AC$65:$AC$78)))</f>
        <v>0</v>
      </c>
      <c r="AI78">
        <f>IF(OR(AG78="",AH78=""),"",IF((AG78+AH78)=0,0,100*ABS(AG78-AH78)/(AG78+AH78)))</f>
        <v>0</v>
      </c>
      <c r="AJ78">
        <f>IF(COUNT($AI$65:$AI$78)&lt;14,"",AVERAGE($AI$65:$AI$78))</f>
        <v>0</v>
      </c>
      <c r="AK78">
        <f>IF(COUNT($E$2:$E78)&lt;20,"",AVERAGE($E$59:$E$78))</f>
        <v>0</v>
      </c>
      <c r="AL78">
        <f>IF(COUNT($E$2:$E78)&lt;20,"",STDEVP($E$59:$E$78))</f>
        <v>0</v>
      </c>
      <c r="AM78">
        <f>IF(AK78="","",AK78+2*AL78)</f>
        <v>0</v>
      </c>
      <c r="AN78">
        <f>IF(AK78="","",AK78-2*AL78)</f>
        <v>0</v>
      </c>
      <c r="AO78">
        <f>IF(OR(AM78="",AN78="",AM78=AN78),"",($E78-AN78)/(AM78-AN78))</f>
        <v>0</v>
      </c>
      <c r="AP78">
        <f>IF(OR(AM78="",AK78="",AK78=0),"",(AM78-AN78)/AK78)</f>
        <v>0</v>
      </c>
      <c r="AQ78">
        <f>IF(COUNT($E$2:$E78)&lt;20,"",MAX($C$59:$C$78))</f>
        <v>0</v>
      </c>
      <c r="AR78">
        <f>IF(COUNT($E$2:$E78)&lt;20,"",MIN($D$59:$D$78))</f>
        <v>0</v>
      </c>
      <c r="AS78">
        <f>IF(OR(AQ78="",AR78=""),"",(AQ78+AR78)/2)</f>
        <v>0</v>
      </c>
      <c r="AT78">
        <f>IF(COUNT($G$59:$G$78)&lt;20,"",STDEV($G$59:$G$78)*SQRT(12))</f>
        <v>0</v>
      </c>
      <c r="AU78">
        <f>IF(COUNT($E$2:$E78)&lt;9,"",(MAX($C$70:$C$78)+MIN($D$70:$D$78))/2)</f>
        <v>0</v>
      </c>
      <c r="AV78">
        <f>IF(COUNT($E$2:$E78)&lt;26,"",(MAX($C$53:$C$78)+MIN($D$53:$D$78))/2)</f>
        <v>0</v>
      </c>
      <c r="AW78">
        <f>IF(OR(AU78="",AV78=""),"",(AU78+AV78)/2)</f>
        <v>0</v>
      </c>
      <c r="AX78">
        <f>IF(COUNT($E$2:$E78)&lt;52,"",(MAX($C$27:$C$78)+MIN($D$27:$D$78))/2)</f>
        <v>0</v>
      </c>
      <c r="AY78">
        <f>IF(COUNT($E$2:$E78)&lt;20,"",MAX($C$2:$C$78))</f>
        <v>0</v>
      </c>
      <c r="AZ78">
        <f>IF(COUNT($E$2:$E78)&lt;20,"",MIN($D$2:$D$78))</f>
        <v>0</v>
      </c>
      <c r="BA78">
        <f>IF(COUNT($E$2:$E78)&lt;20,"",SLOPE($E$2:$E$78,$F$2:$F$78))</f>
        <v>0</v>
      </c>
      <c r="BB78">
        <f>IF(COUNT($E$2:$E78)&lt;20,"",INTERCEPT($E$2:$E$78,$F$2:$F$78))</f>
        <v>0</v>
      </c>
      <c r="BC78">
        <f>IF(OR(BA78="",BB78=""),"",BB78+BA78*F78)</f>
        <v>0</v>
      </c>
      <c r="BD78">
        <f>IF(COUNT($E$2:$E78)&lt;20,"",STEYX($E$2:$E$78,$F$2:$F$78))</f>
        <v>0</v>
      </c>
      <c r="BE78">
        <f>IF($E78="","",IF(AND(COUNT($E$79:$E$82)&gt;=4,$C78=MAX($C$74:$C$82)),$C78,""))</f>
        <v>0</v>
      </c>
      <c r="BF78">
        <f>IF($E78="","",IF(AND(COUNT($E$79:$E$82)&gt;=4,$D78=MIN($D$74:$D$82)),$D78,""))</f>
        <v>0</v>
      </c>
      <c r="BG78">
        <f>IFERROR(SMALL(Calc_Daily!$BT$2:$BT$2001,77),"")</f>
        <v>0</v>
      </c>
    </row>
    <row r="79" spans="1:59">
      <c r="A79" s="27">
        <f>IF($BG79="","",INDEX(Calc_Daily!$A$2:$A$2001,$BG79))</f>
        <v>0</v>
      </c>
      <c r="B79">
        <f>IF($BG79="","",INDEX(Calc_Daily!$BQ$2:$BQ$2001,$BG79))</f>
        <v>0</v>
      </c>
      <c r="C79">
        <f>IF($BG79="","",INDEX(Calc_Daily!$BR$2:$BR$2001,$BG79))</f>
        <v>0</v>
      </c>
      <c r="D79">
        <f>IF($BG79="","",INDEX(Calc_Daily!$BS$2:$BS$2001,$BG79))</f>
        <v>0</v>
      </c>
      <c r="E79">
        <f>IF($BG79="","",INDEX(Calc_Daily!$E$2:$E$2001,$BG79))</f>
        <v>0</v>
      </c>
      <c r="F79">
        <f>IF($E79="","",N(F78)+1)</f>
        <v>0</v>
      </c>
      <c r="G79">
        <f>IF(OR($E79="",$E78=""),"",LN($E79/$E78))</f>
        <v>0</v>
      </c>
      <c r="H79">
        <f>IF($E79="","",IF($E78="",$E79,$E79*0.0952380952+H78*0.9047619048))</f>
        <v>0</v>
      </c>
      <c r="I79">
        <f>IF($E79="","",IF($E78="",$E79,$E79*0.0392156863+I78*0.9607843137))</f>
        <v>0</v>
      </c>
      <c r="J79">
        <f>IF($E79="","",IF($E78="",$E79,$E79*0.0198019802+J78*0.9801980198))</f>
        <v>0</v>
      </c>
      <c r="K79">
        <f>IF($E79="","",IF($E78="",$E79,$E79*0.0099502488+K78*0.9900497512))</f>
        <v>0</v>
      </c>
      <c r="L79">
        <f>IF(OR($E79="",$E78=""),"",MAX($E79-$E78,0))</f>
        <v>0</v>
      </c>
      <c r="M79">
        <f>IF(OR($E79="",$E78=""),"",MAX($E78-$E79,0))</f>
        <v>0</v>
      </c>
      <c r="N79">
        <f>IF(COUNT($E$2:$E79)&lt;15,"",IF(AVERAGE($M$66:$M$79)=0,100,100-100/(1+AVERAGE($L$66:$L$79)/AVERAGE($M$66:$M$79))))</f>
        <v>0</v>
      </c>
      <c r="O79">
        <f>IF($E79="","",IF($E78="",$E79,$E79*0.1538461538+O78*0.8461538462))</f>
        <v>0</v>
      </c>
      <c r="P79">
        <f>IF($E79="","",IF($E78="",$E79,$E79*0.0740740741+P78*0.9259259259))</f>
        <v>0</v>
      </c>
      <c r="Q79">
        <f>IF(OR(O79="",P79=""),"",O79-P79)</f>
        <v>0</v>
      </c>
      <c r="R79">
        <f>IF(Q79="","",IF(R78="",Q79,Q79*0.2000000000+R78*0.8000000000))</f>
        <v>0</v>
      </c>
      <c r="S79">
        <f>IF(OR(Q79="",R79=""),"",Q79-R79)</f>
        <v>0</v>
      </c>
      <c r="T79">
        <f>IF(COUNT($E$2:$E79)&lt;14,"",MAX($C$66:$C$79))</f>
        <v>0</v>
      </c>
      <c r="U79">
        <f>IF(COUNT($E$2:$E79)&lt;14,"",MIN($D$66:$D$79))</f>
        <v>0</v>
      </c>
      <c r="V79">
        <f>IF(OR(T79="",U79="",T79=U79),"",100*($E79-U79)/(T79-U79))</f>
        <v>0</v>
      </c>
      <c r="W79">
        <f>IF(COUNT($V$77:$V$79)&lt;3,"",AVERAGE($V$77:$V$79))</f>
        <v>0</v>
      </c>
      <c r="X79">
        <f>IF(COUNT($N$66:$N$79)&lt;14,"",MIN($N$66:$N$79))</f>
        <v>0</v>
      </c>
      <c r="Y79">
        <f>IF(COUNT($N$66:$N$79)&lt;14,"",MAX($N$66:$N$79))</f>
        <v>0</v>
      </c>
      <c r="Z79">
        <f>IF(OR(N79="",X79="",Y79="",Y79=X79),"",100*(N79-X79)/(Y79-X79))</f>
        <v>0</v>
      </c>
      <c r="AA79">
        <f>IF(COUNT($Z$77:$Z$79)&lt;3,"",AVERAGE($Z$77:$Z$79))</f>
        <v>0</v>
      </c>
      <c r="AB79">
        <f>IF(COUNT($AA$77:$AA$79)&lt;3,"",AVERAGE($AA$77:$AA$79))</f>
        <v>0</v>
      </c>
      <c r="AC79">
        <f>IF($E79="","",MAX($C79-$D79,ABS($C79-$E78),ABS($D79-$E78)))</f>
        <v>0</v>
      </c>
      <c r="AD79">
        <f>IF(COUNT($E$2:$E79)&lt;15,"",AVERAGE($AC$66:$AC$79))</f>
        <v>0</v>
      </c>
      <c r="AE79">
        <f>IF(OR($E79="",$E78=""),"",IF(AND(($C79-$C78)&gt;($D78-$D79),($C79-$C78)&gt;0),$C79-$C78,0))</f>
        <v>0</v>
      </c>
      <c r="AF79">
        <f>IF(OR($E79="",$E78=""),"",IF(AND(($D78-$D79)&gt;($C79-$C78),($D78-$D79)&gt;0),$D78-$D79,0))</f>
        <v>0</v>
      </c>
      <c r="AG79">
        <f>IF(COUNT($E$2:$E79)&lt;15,"",IF(SUM($AC$66:$AC$79)=0,0,100*SUM($AE$66:$AE$79)/SUM($AC$66:$AC$79)))</f>
        <v>0</v>
      </c>
      <c r="AH79">
        <f>IF(COUNT($E$2:$E79)&lt;15,"",IF(SUM($AC$66:$AC$79)=0,0,100*SUM($AF$66:$AF$79)/SUM($AC$66:$AC$79)))</f>
        <v>0</v>
      </c>
      <c r="AI79">
        <f>IF(OR(AG79="",AH79=""),"",IF((AG79+AH79)=0,0,100*ABS(AG79-AH79)/(AG79+AH79)))</f>
        <v>0</v>
      </c>
      <c r="AJ79">
        <f>IF(COUNT($AI$66:$AI$79)&lt;14,"",AVERAGE($AI$66:$AI$79))</f>
        <v>0</v>
      </c>
      <c r="AK79">
        <f>IF(COUNT($E$2:$E79)&lt;20,"",AVERAGE($E$60:$E$79))</f>
        <v>0</v>
      </c>
      <c r="AL79">
        <f>IF(COUNT($E$2:$E79)&lt;20,"",STDEVP($E$60:$E$79))</f>
        <v>0</v>
      </c>
      <c r="AM79">
        <f>IF(AK79="","",AK79+2*AL79)</f>
        <v>0</v>
      </c>
      <c r="AN79">
        <f>IF(AK79="","",AK79-2*AL79)</f>
        <v>0</v>
      </c>
      <c r="AO79">
        <f>IF(OR(AM79="",AN79="",AM79=AN79),"",($E79-AN79)/(AM79-AN79))</f>
        <v>0</v>
      </c>
      <c r="AP79">
        <f>IF(OR(AM79="",AK79="",AK79=0),"",(AM79-AN79)/AK79)</f>
        <v>0</v>
      </c>
      <c r="AQ79">
        <f>IF(COUNT($E$2:$E79)&lt;20,"",MAX($C$60:$C$79))</f>
        <v>0</v>
      </c>
      <c r="AR79">
        <f>IF(COUNT($E$2:$E79)&lt;20,"",MIN($D$60:$D$79))</f>
        <v>0</v>
      </c>
      <c r="AS79">
        <f>IF(OR(AQ79="",AR79=""),"",(AQ79+AR79)/2)</f>
        <v>0</v>
      </c>
      <c r="AT79">
        <f>IF(COUNT($G$60:$G$79)&lt;20,"",STDEV($G$60:$G$79)*SQRT(12))</f>
        <v>0</v>
      </c>
      <c r="AU79">
        <f>IF(COUNT($E$2:$E79)&lt;9,"",(MAX($C$71:$C$79)+MIN($D$71:$D$79))/2)</f>
        <v>0</v>
      </c>
      <c r="AV79">
        <f>IF(COUNT($E$2:$E79)&lt;26,"",(MAX($C$54:$C$79)+MIN($D$54:$D$79))/2)</f>
        <v>0</v>
      </c>
      <c r="AW79">
        <f>IF(OR(AU79="",AV79=""),"",(AU79+AV79)/2)</f>
        <v>0</v>
      </c>
      <c r="AX79">
        <f>IF(COUNT($E$2:$E79)&lt;52,"",(MAX($C$28:$C$79)+MIN($D$28:$D$79))/2)</f>
        <v>0</v>
      </c>
      <c r="AY79">
        <f>IF(COUNT($E$2:$E79)&lt;20,"",MAX($C$2:$C$79))</f>
        <v>0</v>
      </c>
      <c r="AZ79">
        <f>IF(COUNT($E$2:$E79)&lt;20,"",MIN($D$2:$D$79))</f>
        <v>0</v>
      </c>
      <c r="BA79">
        <f>IF(COUNT($E$2:$E79)&lt;20,"",SLOPE($E$2:$E$79,$F$2:$F$79))</f>
        <v>0</v>
      </c>
      <c r="BB79">
        <f>IF(COUNT($E$2:$E79)&lt;20,"",INTERCEPT($E$2:$E$79,$F$2:$F$79))</f>
        <v>0</v>
      </c>
      <c r="BC79">
        <f>IF(OR(BA79="",BB79=""),"",BB79+BA79*F79)</f>
        <v>0</v>
      </c>
      <c r="BD79">
        <f>IF(COUNT($E$2:$E79)&lt;20,"",STEYX($E$2:$E$79,$F$2:$F$79))</f>
        <v>0</v>
      </c>
      <c r="BE79">
        <f>IF($E79="","",IF(AND(COUNT($E$80:$E$83)&gt;=4,$C79=MAX($C$75:$C$83)),$C79,""))</f>
        <v>0</v>
      </c>
      <c r="BF79">
        <f>IF($E79="","",IF(AND(COUNT($E$80:$E$83)&gt;=4,$D79=MIN($D$75:$D$83)),$D79,""))</f>
        <v>0</v>
      </c>
      <c r="BG79">
        <f>IFERROR(SMALL(Calc_Daily!$BT$2:$BT$2001,78),"")</f>
        <v>0</v>
      </c>
    </row>
    <row r="80" spans="1:59">
      <c r="A80" s="27">
        <f>IF($BG80="","",INDEX(Calc_Daily!$A$2:$A$2001,$BG80))</f>
        <v>0</v>
      </c>
      <c r="B80">
        <f>IF($BG80="","",INDEX(Calc_Daily!$BQ$2:$BQ$2001,$BG80))</f>
        <v>0</v>
      </c>
      <c r="C80">
        <f>IF($BG80="","",INDEX(Calc_Daily!$BR$2:$BR$2001,$BG80))</f>
        <v>0</v>
      </c>
      <c r="D80">
        <f>IF($BG80="","",INDEX(Calc_Daily!$BS$2:$BS$2001,$BG80))</f>
        <v>0</v>
      </c>
      <c r="E80">
        <f>IF($BG80="","",INDEX(Calc_Daily!$E$2:$E$2001,$BG80))</f>
        <v>0</v>
      </c>
      <c r="F80">
        <f>IF($E80="","",N(F79)+1)</f>
        <v>0</v>
      </c>
      <c r="G80">
        <f>IF(OR($E80="",$E79=""),"",LN($E80/$E79))</f>
        <v>0</v>
      </c>
      <c r="H80">
        <f>IF($E80="","",IF($E79="",$E80,$E80*0.0952380952+H79*0.9047619048))</f>
        <v>0</v>
      </c>
      <c r="I80">
        <f>IF($E80="","",IF($E79="",$E80,$E80*0.0392156863+I79*0.9607843137))</f>
        <v>0</v>
      </c>
      <c r="J80">
        <f>IF($E80="","",IF($E79="",$E80,$E80*0.0198019802+J79*0.9801980198))</f>
        <v>0</v>
      </c>
      <c r="K80">
        <f>IF($E80="","",IF($E79="",$E80,$E80*0.0099502488+K79*0.9900497512))</f>
        <v>0</v>
      </c>
      <c r="L80">
        <f>IF(OR($E80="",$E79=""),"",MAX($E80-$E79,0))</f>
        <v>0</v>
      </c>
      <c r="M80">
        <f>IF(OR($E80="",$E79=""),"",MAX($E79-$E80,0))</f>
        <v>0</v>
      </c>
      <c r="N80">
        <f>IF(COUNT($E$2:$E80)&lt;15,"",IF(AVERAGE($M$67:$M$80)=0,100,100-100/(1+AVERAGE($L$67:$L$80)/AVERAGE($M$67:$M$80))))</f>
        <v>0</v>
      </c>
      <c r="O80">
        <f>IF($E80="","",IF($E79="",$E80,$E80*0.1538461538+O79*0.8461538462))</f>
        <v>0</v>
      </c>
      <c r="P80">
        <f>IF($E80="","",IF($E79="",$E80,$E80*0.0740740741+P79*0.9259259259))</f>
        <v>0</v>
      </c>
      <c r="Q80">
        <f>IF(OR(O80="",P80=""),"",O80-P80)</f>
        <v>0</v>
      </c>
      <c r="R80">
        <f>IF(Q80="","",IF(R79="",Q80,Q80*0.2000000000+R79*0.8000000000))</f>
        <v>0</v>
      </c>
      <c r="S80">
        <f>IF(OR(Q80="",R80=""),"",Q80-R80)</f>
        <v>0</v>
      </c>
      <c r="T80">
        <f>IF(COUNT($E$2:$E80)&lt;14,"",MAX($C$67:$C$80))</f>
        <v>0</v>
      </c>
      <c r="U80">
        <f>IF(COUNT($E$2:$E80)&lt;14,"",MIN($D$67:$D$80))</f>
        <v>0</v>
      </c>
      <c r="V80">
        <f>IF(OR(T80="",U80="",T80=U80),"",100*($E80-U80)/(T80-U80))</f>
        <v>0</v>
      </c>
      <c r="W80">
        <f>IF(COUNT($V$78:$V$80)&lt;3,"",AVERAGE($V$78:$V$80))</f>
        <v>0</v>
      </c>
      <c r="X80">
        <f>IF(COUNT($N$67:$N$80)&lt;14,"",MIN($N$67:$N$80))</f>
        <v>0</v>
      </c>
      <c r="Y80">
        <f>IF(COUNT($N$67:$N$80)&lt;14,"",MAX($N$67:$N$80))</f>
        <v>0</v>
      </c>
      <c r="Z80">
        <f>IF(OR(N80="",X80="",Y80="",Y80=X80),"",100*(N80-X80)/(Y80-X80))</f>
        <v>0</v>
      </c>
      <c r="AA80">
        <f>IF(COUNT($Z$78:$Z$80)&lt;3,"",AVERAGE($Z$78:$Z$80))</f>
        <v>0</v>
      </c>
      <c r="AB80">
        <f>IF(COUNT($AA$78:$AA$80)&lt;3,"",AVERAGE($AA$78:$AA$80))</f>
        <v>0</v>
      </c>
      <c r="AC80">
        <f>IF($E80="","",MAX($C80-$D80,ABS($C80-$E79),ABS($D80-$E79)))</f>
        <v>0</v>
      </c>
      <c r="AD80">
        <f>IF(COUNT($E$2:$E80)&lt;15,"",AVERAGE($AC$67:$AC$80))</f>
        <v>0</v>
      </c>
      <c r="AE80">
        <f>IF(OR($E80="",$E79=""),"",IF(AND(($C80-$C79)&gt;($D79-$D80),($C80-$C79)&gt;0),$C80-$C79,0))</f>
        <v>0</v>
      </c>
      <c r="AF80">
        <f>IF(OR($E80="",$E79=""),"",IF(AND(($D79-$D80)&gt;($C80-$C79),($D79-$D80)&gt;0),$D79-$D80,0))</f>
        <v>0</v>
      </c>
      <c r="AG80">
        <f>IF(COUNT($E$2:$E80)&lt;15,"",IF(SUM($AC$67:$AC$80)=0,0,100*SUM($AE$67:$AE$80)/SUM($AC$67:$AC$80)))</f>
        <v>0</v>
      </c>
      <c r="AH80">
        <f>IF(COUNT($E$2:$E80)&lt;15,"",IF(SUM($AC$67:$AC$80)=0,0,100*SUM($AF$67:$AF$80)/SUM($AC$67:$AC$80)))</f>
        <v>0</v>
      </c>
      <c r="AI80">
        <f>IF(OR(AG80="",AH80=""),"",IF((AG80+AH80)=0,0,100*ABS(AG80-AH80)/(AG80+AH80)))</f>
        <v>0</v>
      </c>
      <c r="AJ80">
        <f>IF(COUNT($AI$67:$AI$80)&lt;14,"",AVERAGE($AI$67:$AI$80))</f>
        <v>0</v>
      </c>
      <c r="AK80">
        <f>IF(COUNT($E$2:$E80)&lt;20,"",AVERAGE($E$61:$E$80))</f>
        <v>0</v>
      </c>
      <c r="AL80">
        <f>IF(COUNT($E$2:$E80)&lt;20,"",STDEVP($E$61:$E$80))</f>
        <v>0</v>
      </c>
      <c r="AM80">
        <f>IF(AK80="","",AK80+2*AL80)</f>
        <v>0</v>
      </c>
      <c r="AN80">
        <f>IF(AK80="","",AK80-2*AL80)</f>
        <v>0</v>
      </c>
      <c r="AO80">
        <f>IF(OR(AM80="",AN80="",AM80=AN80),"",($E80-AN80)/(AM80-AN80))</f>
        <v>0</v>
      </c>
      <c r="AP80">
        <f>IF(OR(AM80="",AK80="",AK80=0),"",(AM80-AN80)/AK80)</f>
        <v>0</v>
      </c>
      <c r="AQ80">
        <f>IF(COUNT($E$2:$E80)&lt;20,"",MAX($C$61:$C$80))</f>
        <v>0</v>
      </c>
      <c r="AR80">
        <f>IF(COUNT($E$2:$E80)&lt;20,"",MIN($D$61:$D$80))</f>
        <v>0</v>
      </c>
      <c r="AS80">
        <f>IF(OR(AQ80="",AR80=""),"",(AQ80+AR80)/2)</f>
        <v>0</v>
      </c>
      <c r="AT80">
        <f>IF(COUNT($G$61:$G$80)&lt;20,"",STDEV($G$61:$G$80)*SQRT(12))</f>
        <v>0</v>
      </c>
      <c r="AU80">
        <f>IF(COUNT($E$2:$E80)&lt;9,"",(MAX($C$72:$C$80)+MIN($D$72:$D$80))/2)</f>
        <v>0</v>
      </c>
      <c r="AV80">
        <f>IF(COUNT($E$2:$E80)&lt;26,"",(MAX($C$55:$C$80)+MIN($D$55:$D$80))/2)</f>
        <v>0</v>
      </c>
      <c r="AW80">
        <f>IF(OR(AU80="",AV80=""),"",(AU80+AV80)/2)</f>
        <v>0</v>
      </c>
      <c r="AX80">
        <f>IF(COUNT($E$2:$E80)&lt;52,"",(MAX($C$29:$C$80)+MIN($D$29:$D$80))/2)</f>
        <v>0</v>
      </c>
      <c r="AY80">
        <f>IF(COUNT($E$2:$E80)&lt;20,"",MAX($C$2:$C$80))</f>
        <v>0</v>
      </c>
      <c r="AZ80">
        <f>IF(COUNT($E$2:$E80)&lt;20,"",MIN($D$2:$D$80))</f>
        <v>0</v>
      </c>
      <c r="BA80">
        <f>IF(COUNT($E$2:$E80)&lt;20,"",SLOPE($E$2:$E$80,$F$2:$F$80))</f>
        <v>0</v>
      </c>
      <c r="BB80">
        <f>IF(COUNT($E$2:$E80)&lt;20,"",INTERCEPT($E$2:$E$80,$F$2:$F$80))</f>
        <v>0</v>
      </c>
      <c r="BC80">
        <f>IF(OR(BA80="",BB80=""),"",BB80+BA80*F80)</f>
        <v>0</v>
      </c>
      <c r="BD80">
        <f>IF(COUNT($E$2:$E80)&lt;20,"",STEYX($E$2:$E$80,$F$2:$F$80))</f>
        <v>0</v>
      </c>
      <c r="BE80">
        <f>IF($E80="","",IF(AND(COUNT($E$81:$E$84)&gt;=4,$C80=MAX($C$76:$C$84)),$C80,""))</f>
        <v>0</v>
      </c>
      <c r="BF80">
        <f>IF($E80="","",IF(AND(COUNT($E$81:$E$84)&gt;=4,$D80=MIN($D$76:$D$84)),$D80,""))</f>
        <v>0</v>
      </c>
      <c r="BG80">
        <f>IFERROR(SMALL(Calc_Daily!$BT$2:$BT$2001,79),"")</f>
        <v>0</v>
      </c>
    </row>
    <row r="81" spans="1:59">
      <c r="A81" s="27">
        <f>IF($BG81="","",INDEX(Calc_Daily!$A$2:$A$2001,$BG81))</f>
        <v>0</v>
      </c>
      <c r="B81">
        <f>IF($BG81="","",INDEX(Calc_Daily!$BQ$2:$BQ$2001,$BG81))</f>
        <v>0</v>
      </c>
      <c r="C81">
        <f>IF($BG81="","",INDEX(Calc_Daily!$BR$2:$BR$2001,$BG81))</f>
        <v>0</v>
      </c>
      <c r="D81">
        <f>IF($BG81="","",INDEX(Calc_Daily!$BS$2:$BS$2001,$BG81))</f>
        <v>0</v>
      </c>
      <c r="E81">
        <f>IF($BG81="","",INDEX(Calc_Daily!$E$2:$E$2001,$BG81))</f>
        <v>0</v>
      </c>
      <c r="F81">
        <f>IF($E81="","",N(F80)+1)</f>
        <v>0</v>
      </c>
      <c r="G81">
        <f>IF(OR($E81="",$E80=""),"",LN($E81/$E80))</f>
        <v>0</v>
      </c>
      <c r="H81">
        <f>IF($E81="","",IF($E80="",$E81,$E81*0.0952380952+H80*0.9047619048))</f>
        <v>0</v>
      </c>
      <c r="I81">
        <f>IF($E81="","",IF($E80="",$E81,$E81*0.0392156863+I80*0.9607843137))</f>
        <v>0</v>
      </c>
      <c r="J81">
        <f>IF($E81="","",IF($E80="",$E81,$E81*0.0198019802+J80*0.9801980198))</f>
        <v>0</v>
      </c>
      <c r="K81">
        <f>IF($E81="","",IF($E80="",$E81,$E81*0.0099502488+K80*0.9900497512))</f>
        <v>0</v>
      </c>
      <c r="L81">
        <f>IF(OR($E81="",$E80=""),"",MAX($E81-$E80,0))</f>
        <v>0</v>
      </c>
      <c r="M81">
        <f>IF(OR($E81="",$E80=""),"",MAX($E80-$E81,0))</f>
        <v>0</v>
      </c>
      <c r="N81">
        <f>IF(COUNT($E$2:$E81)&lt;15,"",IF(AVERAGE($M$68:$M$81)=0,100,100-100/(1+AVERAGE($L$68:$L$81)/AVERAGE($M$68:$M$81))))</f>
        <v>0</v>
      </c>
      <c r="O81">
        <f>IF($E81="","",IF($E80="",$E81,$E81*0.1538461538+O80*0.8461538462))</f>
        <v>0</v>
      </c>
      <c r="P81">
        <f>IF($E81="","",IF($E80="",$E81,$E81*0.0740740741+P80*0.9259259259))</f>
        <v>0</v>
      </c>
      <c r="Q81">
        <f>IF(OR(O81="",P81=""),"",O81-P81)</f>
        <v>0</v>
      </c>
      <c r="R81">
        <f>IF(Q81="","",IF(R80="",Q81,Q81*0.2000000000+R80*0.8000000000))</f>
        <v>0</v>
      </c>
      <c r="S81">
        <f>IF(OR(Q81="",R81=""),"",Q81-R81)</f>
        <v>0</v>
      </c>
      <c r="T81">
        <f>IF(COUNT($E$2:$E81)&lt;14,"",MAX($C$68:$C$81))</f>
        <v>0</v>
      </c>
      <c r="U81">
        <f>IF(COUNT($E$2:$E81)&lt;14,"",MIN($D$68:$D$81))</f>
        <v>0</v>
      </c>
      <c r="V81">
        <f>IF(OR(T81="",U81="",T81=U81),"",100*($E81-U81)/(T81-U81))</f>
        <v>0</v>
      </c>
      <c r="W81">
        <f>IF(COUNT($V$79:$V$81)&lt;3,"",AVERAGE($V$79:$V$81))</f>
        <v>0</v>
      </c>
      <c r="X81">
        <f>IF(COUNT($N$68:$N$81)&lt;14,"",MIN($N$68:$N$81))</f>
        <v>0</v>
      </c>
      <c r="Y81">
        <f>IF(COUNT($N$68:$N$81)&lt;14,"",MAX($N$68:$N$81))</f>
        <v>0</v>
      </c>
      <c r="Z81">
        <f>IF(OR(N81="",X81="",Y81="",Y81=X81),"",100*(N81-X81)/(Y81-X81))</f>
        <v>0</v>
      </c>
      <c r="AA81">
        <f>IF(COUNT($Z$79:$Z$81)&lt;3,"",AVERAGE($Z$79:$Z$81))</f>
        <v>0</v>
      </c>
      <c r="AB81">
        <f>IF(COUNT($AA$79:$AA$81)&lt;3,"",AVERAGE($AA$79:$AA$81))</f>
        <v>0</v>
      </c>
      <c r="AC81">
        <f>IF($E81="","",MAX($C81-$D81,ABS($C81-$E80),ABS($D81-$E80)))</f>
        <v>0</v>
      </c>
      <c r="AD81">
        <f>IF(COUNT($E$2:$E81)&lt;15,"",AVERAGE($AC$68:$AC$81))</f>
        <v>0</v>
      </c>
      <c r="AE81">
        <f>IF(OR($E81="",$E80=""),"",IF(AND(($C81-$C80)&gt;($D80-$D81),($C81-$C80)&gt;0),$C81-$C80,0))</f>
        <v>0</v>
      </c>
      <c r="AF81">
        <f>IF(OR($E81="",$E80=""),"",IF(AND(($D80-$D81)&gt;($C81-$C80),($D80-$D81)&gt;0),$D80-$D81,0))</f>
        <v>0</v>
      </c>
      <c r="AG81">
        <f>IF(COUNT($E$2:$E81)&lt;15,"",IF(SUM($AC$68:$AC$81)=0,0,100*SUM($AE$68:$AE$81)/SUM($AC$68:$AC$81)))</f>
        <v>0</v>
      </c>
      <c r="AH81">
        <f>IF(COUNT($E$2:$E81)&lt;15,"",IF(SUM($AC$68:$AC$81)=0,0,100*SUM($AF$68:$AF$81)/SUM($AC$68:$AC$81)))</f>
        <v>0</v>
      </c>
      <c r="AI81">
        <f>IF(OR(AG81="",AH81=""),"",IF((AG81+AH81)=0,0,100*ABS(AG81-AH81)/(AG81+AH81)))</f>
        <v>0</v>
      </c>
      <c r="AJ81">
        <f>IF(COUNT($AI$68:$AI$81)&lt;14,"",AVERAGE($AI$68:$AI$81))</f>
        <v>0</v>
      </c>
      <c r="AK81">
        <f>IF(COUNT($E$2:$E81)&lt;20,"",AVERAGE($E$62:$E$81))</f>
        <v>0</v>
      </c>
      <c r="AL81">
        <f>IF(COUNT($E$2:$E81)&lt;20,"",STDEVP($E$62:$E$81))</f>
        <v>0</v>
      </c>
      <c r="AM81">
        <f>IF(AK81="","",AK81+2*AL81)</f>
        <v>0</v>
      </c>
      <c r="AN81">
        <f>IF(AK81="","",AK81-2*AL81)</f>
        <v>0</v>
      </c>
      <c r="AO81">
        <f>IF(OR(AM81="",AN81="",AM81=AN81),"",($E81-AN81)/(AM81-AN81))</f>
        <v>0</v>
      </c>
      <c r="AP81">
        <f>IF(OR(AM81="",AK81="",AK81=0),"",(AM81-AN81)/AK81)</f>
        <v>0</v>
      </c>
      <c r="AQ81">
        <f>IF(COUNT($E$2:$E81)&lt;20,"",MAX($C$62:$C$81))</f>
        <v>0</v>
      </c>
      <c r="AR81">
        <f>IF(COUNT($E$2:$E81)&lt;20,"",MIN($D$62:$D$81))</f>
        <v>0</v>
      </c>
      <c r="AS81">
        <f>IF(OR(AQ81="",AR81=""),"",(AQ81+AR81)/2)</f>
        <v>0</v>
      </c>
      <c r="AT81">
        <f>IF(COUNT($G$62:$G$81)&lt;20,"",STDEV($G$62:$G$81)*SQRT(12))</f>
        <v>0</v>
      </c>
      <c r="AU81">
        <f>IF(COUNT($E$2:$E81)&lt;9,"",(MAX($C$73:$C$81)+MIN($D$73:$D$81))/2)</f>
        <v>0</v>
      </c>
      <c r="AV81">
        <f>IF(COUNT($E$2:$E81)&lt;26,"",(MAX($C$56:$C$81)+MIN($D$56:$D$81))/2)</f>
        <v>0</v>
      </c>
      <c r="AW81">
        <f>IF(OR(AU81="",AV81=""),"",(AU81+AV81)/2)</f>
        <v>0</v>
      </c>
      <c r="AX81">
        <f>IF(COUNT($E$2:$E81)&lt;52,"",(MAX($C$30:$C$81)+MIN($D$30:$D$81))/2)</f>
        <v>0</v>
      </c>
      <c r="AY81">
        <f>IF(COUNT($E$2:$E81)&lt;20,"",MAX($C$2:$C$81))</f>
        <v>0</v>
      </c>
      <c r="AZ81">
        <f>IF(COUNT($E$2:$E81)&lt;20,"",MIN($D$2:$D$81))</f>
        <v>0</v>
      </c>
      <c r="BA81">
        <f>IF(COUNT($E$2:$E81)&lt;20,"",SLOPE($E$2:$E$81,$F$2:$F$81))</f>
        <v>0</v>
      </c>
      <c r="BB81">
        <f>IF(COUNT($E$2:$E81)&lt;20,"",INTERCEPT($E$2:$E$81,$F$2:$F$81))</f>
        <v>0</v>
      </c>
      <c r="BC81">
        <f>IF(OR(BA81="",BB81=""),"",BB81+BA81*F81)</f>
        <v>0</v>
      </c>
      <c r="BD81">
        <f>IF(COUNT($E$2:$E81)&lt;20,"",STEYX($E$2:$E$81,$F$2:$F$81))</f>
        <v>0</v>
      </c>
      <c r="BE81">
        <f>IF($E81="","",IF(AND(COUNT($E$82:$E$85)&gt;=4,$C81=MAX($C$77:$C$85)),$C81,""))</f>
        <v>0</v>
      </c>
      <c r="BF81">
        <f>IF($E81="","",IF(AND(COUNT($E$82:$E$85)&gt;=4,$D81=MIN($D$77:$D$85)),$D81,""))</f>
        <v>0</v>
      </c>
      <c r="BG81">
        <f>IFERROR(SMALL(Calc_Daily!$BT$2:$BT$2001,80),"")</f>
        <v>0</v>
      </c>
    </row>
    <row r="82" spans="1:59">
      <c r="A82" s="27">
        <f>IF($BG82="","",INDEX(Calc_Daily!$A$2:$A$2001,$BG82))</f>
        <v>0</v>
      </c>
      <c r="B82">
        <f>IF($BG82="","",INDEX(Calc_Daily!$BQ$2:$BQ$2001,$BG82))</f>
        <v>0</v>
      </c>
      <c r="C82">
        <f>IF($BG82="","",INDEX(Calc_Daily!$BR$2:$BR$2001,$BG82))</f>
        <v>0</v>
      </c>
      <c r="D82">
        <f>IF($BG82="","",INDEX(Calc_Daily!$BS$2:$BS$2001,$BG82))</f>
        <v>0</v>
      </c>
      <c r="E82">
        <f>IF($BG82="","",INDEX(Calc_Daily!$E$2:$E$2001,$BG82))</f>
        <v>0</v>
      </c>
      <c r="F82">
        <f>IF($E82="","",N(F81)+1)</f>
        <v>0</v>
      </c>
      <c r="G82">
        <f>IF(OR($E82="",$E81=""),"",LN($E82/$E81))</f>
        <v>0</v>
      </c>
      <c r="H82">
        <f>IF($E82="","",IF($E81="",$E82,$E82*0.0952380952+H81*0.9047619048))</f>
        <v>0</v>
      </c>
      <c r="I82">
        <f>IF($E82="","",IF($E81="",$E82,$E82*0.0392156863+I81*0.9607843137))</f>
        <v>0</v>
      </c>
      <c r="J82">
        <f>IF($E82="","",IF($E81="",$E82,$E82*0.0198019802+J81*0.9801980198))</f>
        <v>0</v>
      </c>
      <c r="K82">
        <f>IF($E82="","",IF($E81="",$E82,$E82*0.0099502488+K81*0.9900497512))</f>
        <v>0</v>
      </c>
      <c r="L82">
        <f>IF(OR($E82="",$E81=""),"",MAX($E82-$E81,0))</f>
        <v>0</v>
      </c>
      <c r="M82">
        <f>IF(OR($E82="",$E81=""),"",MAX($E81-$E82,0))</f>
        <v>0</v>
      </c>
      <c r="N82">
        <f>IF(COUNT($E$2:$E82)&lt;15,"",IF(AVERAGE($M$69:$M$82)=0,100,100-100/(1+AVERAGE($L$69:$L$82)/AVERAGE($M$69:$M$82))))</f>
        <v>0</v>
      </c>
      <c r="O82">
        <f>IF($E82="","",IF($E81="",$E82,$E82*0.1538461538+O81*0.8461538462))</f>
        <v>0</v>
      </c>
      <c r="P82">
        <f>IF($E82="","",IF($E81="",$E82,$E82*0.0740740741+P81*0.9259259259))</f>
        <v>0</v>
      </c>
      <c r="Q82">
        <f>IF(OR(O82="",P82=""),"",O82-P82)</f>
        <v>0</v>
      </c>
      <c r="R82">
        <f>IF(Q82="","",IF(R81="",Q82,Q82*0.2000000000+R81*0.8000000000))</f>
        <v>0</v>
      </c>
      <c r="S82">
        <f>IF(OR(Q82="",R82=""),"",Q82-R82)</f>
        <v>0</v>
      </c>
      <c r="T82">
        <f>IF(COUNT($E$2:$E82)&lt;14,"",MAX($C$69:$C$82))</f>
        <v>0</v>
      </c>
      <c r="U82">
        <f>IF(COUNT($E$2:$E82)&lt;14,"",MIN($D$69:$D$82))</f>
        <v>0</v>
      </c>
      <c r="V82">
        <f>IF(OR(T82="",U82="",T82=U82),"",100*($E82-U82)/(T82-U82))</f>
        <v>0</v>
      </c>
      <c r="W82">
        <f>IF(COUNT($V$80:$V$82)&lt;3,"",AVERAGE($V$80:$V$82))</f>
        <v>0</v>
      </c>
      <c r="X82">
        <f>IF(COUNT($N$69:$N$82)&lt;14,"",MIN($N$69:$N$82))</f>
        <v>0</v>
      </c>
      <c r="Y82">
        <f>IF(COUNT($N$69:$N$82)&lt;14,"",MAX($N$69:$N$82))</f>
        <v>0</v>
      </c>
      <c r="Z82">
        <f>IF(OR(N82="",X82="",Y82="",Y82=X82),"",100*(N82-X82)/(Y82-X82))</f>
        <v>0</v>
      </c>
      <c r="AA82">
        <f>IF(COUNT($Z$80:$Z$82)&lt;3,"",AVERAGE($Z$80:$Z$82))</f>
        <v>0</v>
      </c>
      <c r="AB82">
        <f>IF(COUNT($AA$80:$AA$82)&lt;3,"",AVERAGE($AA$80:$AA$82))</f>
        <v>0</v>
      </c>
      <c r="AC82">
        <f>IF($E82="","",MAX($C82-$D82,ABS($C82-$E81),ABS($D82-$E81)))</f>
        <v>0</v>
      </c>
      <c r="AD82">
        <f>IF(COUNT($E$2:$E82)&lt;15,"",AVERAGE($AC$69:$AC$82))</f>
        <v>0</v>
      </c>
      <c r="AE82">
        <f>IF(OR($E82="",$E81=""),"",IF(AND(($C82-$C81)&gt;($D81-$D82),($C82-$C81)&gt;0),$C82-$C81,0))</f>
        <v>0</v>
      </c>
      <c r="AF82">
        <f>IF(OR($E82="",$E81=""),"",IF(AND(($D81-$D82)&gt;($C82-$C81),($D81-$D82)&gt;0),$D81-$D82,0))</f>
        <v>0</v>
      </c>
      <c r="AG82">
        <f>IF(COUNT($E$2:$E82)&lt;15,"",IF(SUM($AC$69:$AC$82)=0,0,100*SUM($AE$69:$AE$82)/SUM($AC$69:$AC$82)))</f>
        <v>0</v>
      </c>
      <c r="AH82">
        <f>IF(COUNT($E$2:$E82)&lt;15,"",IF(SUM($AC$69:$AC$82)=0,0,100*SUM($AF$69:$AF$82)/SUM($AC$69:$AC$82)))</f>
        <v>0</v>
      </c>
      <c r="AI82">
        <f>IF(OR(AG82="",AH82=""),"",IF((AG82+AH82)=0,0,100*ABS(AG82-AH82)/(AG82+AH82)))</f>
        <v>0</v>
      </c>
      <c r="AJ82">
        <f>IF(COUNT($AI$69:$AI$82)&lt;14,"",AVERAGE($AI$69:$AI$82))</f>
        <v>0</v>
      </c>
      <c r="AK82">
        <f>IF(COUNT($E$2:$E82)&lt;20,"",AVERAGE($E$63:$E$82))</f>
        <v>0</v>
      </c>
      <c r="AL82">
        <f>IF(COUNT($E$2:$E82)&lt;20,"",STDEVP($E$63:$E$82))</f>
        <v>0</v>
      </c>
      <c r="AM82">
        <f>IF(AK82="","",AK82+2*AL82)</f>
        <v>0</v>
      </c>
      <c r="AN82">
        <f>IF(AK82="","",AK82-2*AL82)</f>
        <v>0</v>
      </c>
      <c r="AO82">
        <f>IF(OR(AM82="",AN82="",AM82=AN82),"",($E82-AN82)/(AM82-AN82))</f>
        <v>0</v>
      </c>
      <c r="AP82">
        <f>IF(OR(AM82="",AK82="",AK82=0),"",(AM82-AN82)/AK82)</f>
        <v>0</v>
      </c>
      <c r="AQ82">
        <f>IF(COUNT($E$2:$E82)&lt;20,"",MAX($C$63:$C$82))</f>
        <v>0</v>
      </c>
      <c r="AR82">
        <f>IF(COUNT($E$2:$E82)&lt;20,"",MIN($D$63:$D$82))</f>
        <v>0</v>
      </c>
      <c r="AS82">
        <f>IF(OR(AQ82="",AR82=""),"",(AQ82+AR82)/2)</f>
        <v>0</v>
      </c>
      <c r="AT82">
        <f>IF(COUNT($G$63:$G$82)&lt;20,"",STDEV($G$63:$G$82)*SQRT(12))</f>
        <v>0</v>
      </c>
      <c r="AU82">
        <f>IF(COUNT($E$2:$E82)&lt;9,"",(MAX($C$74:$C$82)+MIN($D$74:$D$82))/2)</f>
        <v>0</v>
      </c>
      <c r="AV82">
        <f>IF(COUNT($E$2:$E82)&lt;26,"",(MAX($C$57:$C$82)+MIN($D$57:$D$82))/2)</f>
        <v>0</v>
      </c>
      <c r="AW82">
        <f>IF(OR(AU82="",AV82=""),"",(AU82+AV82)/2)</f>
        <v>0</v>
      </c>
      <c r="AX82">
        <f>IF(COUNT($E$2:$E82)&lt;52,"",(MAX($C$31:$C$82)+MIN($D$31:$D$82))/2)</f>
        <v>0</v>
      </c>
      <c r="AY82">
        <f>IF(COUNT($E$2:$E82)&lt;20,"",MAX($C$2:$C$82))</f>
        <v>0</v>
      </c>
      <c r="AZ82">
        <f>IF(COUNT($E$2:$E82)&lt;20,"",MIN($D$2:$D$82))</f>
        <v>0</v>
      </c>
      <c r="BA82">
        <f>IF(COUNT($E$2:$E82)&lt;20,"",SLOPE($E$2:$E$82,$F$2:$F$82))</f>
        <v>0</v>
      </c>
      <c r="BB82">
        <f>IF(COUNT($E$2:$E82)&lt;20,"",INTERCEPT($E$2:$E$82,$F$2:$F$82))</f>
        <v>0</v>
      </c>
      <c r="BC82">
        <f>IF(OR(BA82="",BB82=""),"",BB82+BA82*F82)</f>
        <v>0</v>
      </c>
      <c r="BD82">
        <f>IF(COUNT($E$2:$E82)&lt;20,"",STEYX($E$2:$E$82,$F$2:$F$82))</f>
        <v>0</v>
      </c>
      <c r="BE82">
        <f>IF($E82="","",IF(AND(COUNT($E$83:$E$86)&gt;=4,$C82=MAX($C$78:$C$86)),$C82,""))</f>
        <v>0</v>
      </c>
      <c r="BF82">
        <f>IF($E82="","",IF(AND(COUNT($E$83:$E$86)&gt;=4,$D82=MIN($D$78:$D$86)),$D82,""))</f>
        <v>0</v>
      </c>
      <c r="BG82">
        <f>IFERROR(SMALL(Calc_Daily!$BT$2:$BT$2001,81),"")</f>
        <v>0</v>
      </c>
    </row>
    <row r="83" spans="1:59">
      <c r="A83" s="27">
        <f>IF($BG83="","",INDEX(Calc_Daily!$A$2:$A$2001,$BG83))</f>
        <v>0</v>
      </c>
      <c r="B83">
        <f>IF($BG83="","",INDEX(Calc_Daily!$BQ$2:$BQ$2001,$BG83))</f>
        <v>0</v>
      </c>
      <c r="C83">
        <f>IF($BG83="","",INDEX(Calc_Daily!$BR$2:$BR$2001,$BG83))</f>
        <v>0</v>
      </c>
      <c r="D83">
        <f>IF($BG83="","",INDEX(Calc_Daily!$BS$2:$BS$2001,$BG83))</f>
        <v>0</v>
      </c>
      <c r="E83">
        <f>IF($BG83="","",INDEX(Calc_Daily!$E$2:$E$2001,$BG83))</f>
        <v>0</v>
      </c>
      <c r="F83">
        <f>IF($E83="","",N(F82)+1)</f>
        <v>0</v>
      </c>
      <c r="G83">
        <f>IF(OR($E83="",$E82=""),"",LN($E83/$E82))</f>
        <v>0</v>
      </c>
      <c r="H83">
        <f>IF($E83="","",IF($E82="",$E83,$E83*0.0952380952+H82*0.9047619048))</f>
        <v>0</v>
      </c>
      <c r="I83">
        <f>IF($E83="","",IF($E82="",$E83,$E83*0.0392156863+I82*0.9607843137))</f>
        <v>0</v>
      </c>
      <c r="J83">
        <f>IF($E83="","",IF($E82="",$E83,$E83*0.0198019802+J82*0.9801980198))</f>
        <v>0</v>
      </c>
      <c r="K83">
        <f>IF($E83="","",IF($E82="",$E83,$E83*0.0099502488+K82*0.9900497512))</f>
        <v>0</v>
      </c>
      <c r="L83">
        <f>IF(OR($E83="",$E82=""),"",MAX($E83-$E82,0))</f>
        <v>0</v>
      </c>
      <c r="M83">
        <f>IF(OR($E83="",$E82=""),"",MAX($E82-$E83,0))</f>
        <v>0</v>
      </c>
      <c r="N83">
        <f>IF(COUNT($E$2:$E83)&lt;15,"",IF(AVERAGE($M$70:$M$83)=0,100,100-100/(1+AVERAGE($L$70:$L$83)/AVERAGE($M$70:$M$83))))</f>
        <v>0</v>
      </c>
      <c r="O83">
        <f>IF($E83="","",IF($E82="",$E83,$E83*0.1538461538+O82*0.8461538462))</f>
        <v>0</v>
      </c>
      <c r="P83">
        <f>IF($E83="","",IF($E82="",$E83,$E83*0.0740740741+P82*0.9259259259))</f>
        <v>0</v>
      </c>
      <c r="Q83">
        <f>IF(OR(O83="",P83=""),"",O83-P83)</f>
        <v>0</v>
      </c>
      <c r="R83">
        <f>IF(Q83="","",IF(R82="",Q83,Q83*0.2000000000+R82*0.8000000000))</f>
        <v>0</v>
      </c>
      <c r="S83">
        <f>IF(OR(Q83="",R83=""),"",Q83-R83)</f>
        <v>0</v>
      </c>
      <c r="T83">
        <f>IF(COUNT($E$2:$E83)&lt;14,"",MAX($C$70:$C$83))</f>
        <v>0</v>
      </c>
      <c r="U83">
        <f>IF(COUNT($E$2:$E83)&lt;14,"",MIN($D$70:$D$83))</f>
        <v>0</v>
      </c>
      <c r="V83">
        <f>IF(OR(T83="",U83="",T83=U83),"",100*($E83-U83)/(T83-U83))</f>
        <v>0</v>
      </c>
      <c r="W83">
        <f>IF(COUNT($V$81:$V$83)&lt;3,"",AVERAGE($V$81:$V$83))</f>
        <v>0</v>
      </c>
      <c r="X83">
        <f>IF(COUNT($N$70:$N$83)&lt;14,"",MIN($N$70:$N$83))</f>
        <v>0</v>
      </c>
      <c r="Y83">
        <f>IF(COUNT($N$70:$N$83)&lt;14,"",MAX($N$70:$N$83))</f>
        <v>0</v>
      </c>
      <c r="Z83">
        <f>IF(OR(N83="",X83="",Y83="",Y83=X83),"",100*(N83-X83)/(Y83-X83))</f>
        <v>0</v>
      </c>
      <c r="AA83">
        <f>IF(COUNT($Z$81:$Z$83)&lt;3,"",AVERAGE($Z$81:$Z$83))</f>
        <v>0</v>
      </c>
      <c r="AB83">
        <f>IF(COUNT($AA$81:$AA$83)&lt;3,"",AVERAGE($AA$81:$AA$83))</f>
        <v>0</v>
      </c>
      <c r="AC83">
        <f>IF($E83="","",MAX($C83-$D83,ABS($C83-$E82),ABS($D83-$E82)))</f>
        <v>0</v>
      </c>
      <c r="AD83">
        <f>IF(COUNT($E$2:$E83)&lt;15,"",AVERAGE($AC$70:$AC$83))</f>
        <v>0</v>
      </c>
      <c r="AE83">
        <f>IF(OR($E83="",$E82=""),"",IF(AND(($C83-$C82)&gt;($D82-$D83),($C83-$C82)&gt;0),$C83-$C82,0))</f>
        <v>0</v>
      </c>
      <c r="AF83">
        <f>IF(OR($E83="",$E82=""),"",IF(AND(($D82-$D83)&gt;($C83-$C82),($D82-$D83)&gt;0),$D82-$D83,0))</f>
        <v>0</v>
      </c>
      <c r="AG83">
        <f>IF(COUNT($E$2:$E83)&lt;15,"",IF(SUM($AC$70:$AC$83)=0,0,100*SUM($AE$70:$AE$83)/SUM($AC$70:$AC$83)))</f>
        <v>0</v>
      </c>
      <c r="AH83">
        <f>IF(COUNT($E$2:$E83)&lt;15,"",IF(SUM($AC$70:$AC$83)=0,0,100*SUM($AF$70:$AF$83)/SUM($AC$70:$AC$83)))</f>
        <v>0</v>
      </c>
      <c r="AI83">
        <f>IF(OR(AG83="",AH83=""),"",IF((AG83+AH83)=0,0,100*ABS(AG83-AH83)/(AG83+AH83)))</f>
        <v>0</v>
      </c>
      <c r="AJ83">
        <f>IF(COUNT($AI$70:$AI$83)&lt;14,"",AVERAGE($AI$70:$AI$83))</f>
        <v>0</v>
      </c>
      <c r="AK83">
        <f>IF(COUNT($E$2:$E83)&lt;20,"",AVERAGE($E$64:$E$83))</f>
        <v>0</v>
      </c>
      <c r="AL83">
        <f>IF(COUNT($E$2:$E83)&lt;20,"",STDEVP($E$64:$E$83))</f>
        <v>0</v>
      </c>
      <c r="AM83">
        <f>IF(AK83="","",AK83+2*AL83)</f>
        <v>0</v>
      </c>
      <c r="AN83">
        <f>IF(AK83="","",AK83-2*AL83)</f>
        <v>0</v>
      </c>
      <c r="AO83">
        <f>IF(OR(AM83="",AN83="",AM83=AN83),"",($E83-AN83)/(AM83-AN83))</f>
        <v>0</v>
      </c>
      <c r="AP83">
        <f>IF(OR(AM83="",AK83="",AK83=0),"",(AM83-AN83)/AK83)</f>
        <v>0</v>
      </c>
      <c r="AQ83">
        <f>IF(COUNT($E$2:$E83)&lt;20,"",MAX($C$64:$C$83))</f>
        <v>0</v>
      </c>
      <c r="AR83">
        <f>IF(COUNT($E$2:$E83)&lt;20,"",MIN($D$64:$D$83))</f>
        <v>0</v>
      </c>
      <c r="AS83">
        <f>IF(OR(AQ83="",AR83=""),"",(AQ83+AR83)/2)</f>
        <v>0</v>
      </c>
      <c r="AT83">
        <f>IF(COUNT($G$64:$G$83)&lt;20,"",STDEV($G$64:$G$83)*SQRT(12))</f>
        <v>0</v>
      </c>
      <c r="AU83">
        <f>IF(COUNT($E$2:$E83)&lt;9,"",(MAX($C$75:$C$83)+MIN($D$75:$D$83))/2)</f>
        <v>0</v>
      </c>
      <c r="AV83">
        <f>IF(COUNT($E$2:$E83)&lt;26,"",(MAX($C$58:$C$83)+MIN($D$58:$D$83))/2)</f>
        <v>0</v>
      </c>
      <c r="AW83">
        <f>IF(OR(AU83="",AV83=""),"",(AU83+AV83)/2)</f>
        <v>0</v>
      </c>
      <c r="AX83">
        <f>IF(COUNT($E$2:$E83)&lt;52,"",(MAX($C$32:$C$83)+MIN($D$32:$D$83))/2)</f>
        <v>0</v>
      </c>
      <c r="AY83">
        <f>IF(COUNT($E$2:$E83)&lt;20,"",MAX($C$2:$C$83))</f>
        <v>0</v>
      </c>
      <c r="AZ83">
        <f>IF(COUNT($E$2:$E83)&lt;20,"",MIN($D$2:$D$83))</f>
        <v>0</v>
      </c>
      <c r="BA83">
        <f>IF(COUNT($E$2:$E83)&lt;20,"",SLOPE($E$2:$E$83,$F$2:$F$83))</f>
        <v>0</v>
      </c>
      <c r="BB83">
        <f>IF(COUNT($E$2:$E83)&lt;20,"",INTERCEPT($E$2:$E$83,$F$2:$F$83))</f>
        <v>0</v>
      </c>
      <c r="BC83">
        <f>IF(OR(BA83="",BB83=""),"",BB83+BA83*F83)</f>
        <v>0</v>
      </c>
      <c r="BD83">
        <f>IF(COUNT($E$2:$E83)&lt;20,"",STEYX($E$2:$E$83,$F$2:$F$83))</f>
        <v>0</v>
      </c>
      <c r="BE83">
        <f>IF($E83="","",IF(AND(COUNT($E$84:$E$87)&gt;=4,$C83=MAX($C$79:$C$87)),$C83,""))</f>
        <v>0</v>
      </c>
      <c r="BF83">
        <f>IF($E83="","",IF(AND(COUNT($E$84:$E$87)&gt;=4,$D83=MIN($D$79:$D$87)),$D83,""))</f>
        <v>0</v>
      </c>
      <c r="BG83">
        <f>IFERROR(SMALL(Calc_Daily!$BT$2:$BT$2001,82),"")</f>
        <v>0</v>
      </c>
    </row>
    <row r="84" spans="1:59">
      <c r="A84" s="27">
        <f>IF($BG84="","",INDEX(Calc_Daily!$A$2:$A$2001,$BG84))</f>
        <v>0</v>
      </c>
      <c r="B84">
        <f>IF($BG84="","",INDEX(Calc_Daily!$BQ$2:$BQ$2001,$BG84))</f>
        <v>0</v>
      </c>
      <c r="C84">
        <f>IF($BG84="","",INDEX(Calc_Daily!$BR$2:$BR$2001,$BG84))</f>
        <v>0</v>
      </c>
      <c r="D84">
        <f>IF($BG84="","",INDEX(Calc_Daily!$BS$2:$BS$2001,$BG84))</f>
        <v>0</v>
      </c>
      <c r="E84">
        <f>IF($BG84="","",INDEX(Calc_Daily!$E$2:$E$2001,$BG84))</f>
        <v>0</v>
      </c>
      <c r="F84">
        <f>IF($E84="","",N(F83)+1)</f>
        <v>0</v>
      </c>
      <c r="G84">
        <f>IF(OR($E84="",$E83=""),"",LN($E84/$E83))</f>
        <v>0</v>
      </c>
      <c r="H84">
        <f>IF($E84="","",IF($E83="",$E84,$E84*0.0952380952+H83*0.9047619048))</f>
        <v>0</v>
      </c>
      <c r="I84">
        <f>IF($E84="","",IF($E83="",$E84,$E84*0.0392156863+I83*0.9607843137))</f>
        <v>0</v>
      </c>
      <c r="J84">
        <f>IF($E84="","",IF($E83="",$E84,$E84*0.0198019802+J83*0.9801980198))</f>
        <v>0</v>
      </c>
      <c r="K84">
        <f>IF($E84="","",IF($E83="",$E84,$E84*0.0099502488+K83*0.9900497512))</f>
        <v>0</v>
      </c>
      <c r="L84">
        <f>IF(OR($E84="",$E83=""),"",MAX($E84-$E83,0))</f>
        <v>0</v>
      </c>
      <c r="M84">
        <f>IF(OR($E84="",$E83=""),"",MAX($E83-$E84,0))</f>
        <v>0</v>
      </c>
      <c r="N84">
        <f>IF(COUNT($E$2:$E84)&lt;15,"",IF(AVERAGE($M$71:$M$84)=0,100,100-100/(1+AVERAGE($L$71:$L$84)/AVERAGE($M$71:$M$84))))</f>
        <v>0</v>
      </c>
      <c r="O84">
        <f>IF($E84="","",IF($E83="",$E84,$E84*0.1538461538+O83*0.8461538462))</f>
        <v>0</v>
      </c>
      <c r="P84">
        <f>IF($E84="","",IF($E83="",$E84,$E84*0.0740740741+P83*0.9259259259))</f>
        <v>0</v>
      </c>
      <c r="Q84">
        <f>IF(OR(O84="",P84=""),"",O84-P84)</f>
        <v>0</v>
      </c>
      <c r="R84">
        <f>IF(Q84="","",IF(R83="",Q84,Q84*0.2000000000+R83*0.8000000000))</f>
        <v>0</v>
      </c>
      <c r="S84">
        <f>IF(OR(Q84="",R84=""),"",Q84-R84)</f>
        <v>0</v>
      </c>
      <c r="T84">
        <f>IF(COUNT($E$2:$E84)&lt;14,"",MAX($C$71:$C$84))</f>
        <v>0</v>
      </c>
      <c r="U84">
        <f>IF(COUNT($E$2:$E84)&lt;14,"",MIN($D$71:$D$84))</f>
        <v>0</v>
      </c>
      <c r="V84">
        <f>IF(OR(T84="",U84="",T84=U84),"",100*($E84-U84)/(T84-U84))</f>
        <v>0</v>
      </c>
      <c r="W84">
        <f>IF(COUNT($V$82:$V$84)&lt;3,"",AVERAGE($V$82:$V$84))</f>
        <v>0</v>
      </c>
      <c r="X84">
        <f>IF(COUNT($N$71:$N$84)&lt;14,"",MIN($N$71:$N$84))</f>
        <v>0</v>
      </c>
      <c r="Y84">
        <f>IF(COUNT($N$71:$N$84)&lt;14,"",MAX($N$71:$N$84))</f>
        <v>0</v>
      </c>
      <c r="Z84">
        <f>IF(OR(N84="",X84="",Y84="",Y84=X84),"",100*(N84-X84)/(Y84-X84))</f>
        <v>0</v>
      </c>
      <c r="AA84">
        <f>IF(COUNT($Z$82:$Z$84)&lt;3,"",AVERAGE($Z$82:$Z$84))</f>
        <v>0</v>
      </c>
      <c r="AB84">
        <f>IF(COUNT($AA$82:$AA$84)&lt;3,"",AVERAGE($AA$82:$AA$84))</f>
        <v>0</v>
      </c>
      <c r="AC84">
        <f>IF($E84="","",MAX($C84-$D84,ABS($C84-$E83),ABS($D84-$E83)))</f>
        <v>0</v>
      </c>
      <c r="AD84">
        <f>IF(COUNT($E$2:$E84)&lt;15,"",AVERAGE($AC$71:$AC$84))</f>
        <v>0</v>
      </c>
      <c r="AE84">
        <f>IF(OR($E84="",$E83=""),"",IF(AND(($C84-$C83)&gt;($D83-$D84),($C84-$C83)&gt;0),$C84-$C83,0))</f>
        <v>0</v>
      </c>
      <c r="AF84">
        <f>IF(OR($E84="",$E83=""),"",IF(AND(($D83-$D84)&gt;($C84-$C83),($D83-$D84)&gt;0),$D83-$D84,0))</f>
        <v>0</v>
      </c>
      <c r="AG84">
        <f>IF(COUNT($E$2:$E84)&lt;15,"",IF(SUM($AC$71:$AC$84)=0,0,100*SUM($AE$71:$AE$84)/SUM($AC$71:$AC$84)))</f>
        <v>0</v>
      </c>
      <c r="AH84">
        <f>IF(COUNT($E$2:$E84)&lt;15,"",IF(SUM($AC$71:$AC$84)=0,0,100*SUM($AF$71:$AF$84)/SUM($AC$71:$AC$84)))</f>
        <v>0</v>
      </c>
      <c r="AI84">
        <f>IF(OR(AG84="",AH84=""),"",IF((AG84+AH84)=0,0,100*ABS(AG84-AH84)/(AG84+AH84)))</f>
        <v>0</v>
      </c>
      <c r="AJ84">
        <f>IF(COUNT($AI$71:$AI$84)&lt;14,"",AVERAGE($AI$71:$AI$84))</f>
        <v>0</v>
      </c>
      <c r="AK84">
        <f>IF(COUNT($E$2:$E84)&lt;20,"",AVERAGE($E$65:$E$84))</f>
        <v>0</v>
      </c>
      <c r="AL84">
        <f>IF(COUNT($E$2:$E84)&lt;20,"",STDEVP($E$65:$E$84))</f>
        <v>0</v>
      </c>
      <c r="AM84">
        <f>IF(AK84="","",AK84+2*AL84)</f>
        <v>0</v>
      </c>
      <c r="AN84">
        <f>IF(AK84="","",AK84-2*AL84)</f>
        <v>0</v>
      </c>
      <c r="AO84">
        <f>IF(OR(AM84="",AN84="",AM84=AN84),"",($E84-AN84)/(AM84-AN84))</f>
        <v>0</v>
      </c>
      <c r="AP84">
        <f>IF(OR(AM84="",AK84="",AK84=0),"",(AM84-AN84)/AK84)</f>
        <v>0</v>
      </c>
      <c r="AQ84">
        <f>IF(COUNT($E$2:$E84)&lt;20,"",MAX($C$65:$C$84))</f>
        <v>0</v>
      </c>
      <c r="AR84">
        <f>IF(COUNT($E$2:$E84)&lt;20,"",MIN($D$65:$D$84))</f>
        <v>0</v>
      </c>
      <c r="AS84">
        <f>IF(OR(AQ84="",AR84=""),"",(AQ84+AR84)/2)</f>
        <v>0</v>
      </c>
      <c r="AT84">
        <f>IF(COUNT($G$65:$G$84)&lt;20,"",STDEV($G$65:$G$84)*SQRT(12))</f>
        <v>0</v>
      </c>
      <c r="AU84">
        <f>IF(COUNT($E$2:$E84)&lt;9,"",(MAX($C$76:$C$84)+MIN($D$76:$D$84))/2)</f>
        <v>0</v>
      </c>
      <c r="AV84">
        <f>IF(COUNT($E$2:$E84)&lt;26,"",(MAX($C$59:$C$84)+MIN($D$59:$D$84))/2)</f>
        <v>0</v>
      </c>
      <c r="AW84">
        <f>IF(OR(AU84="",AV84=""),"",(AU84+AV84)/2)</f>
        <v>0</v>
      </c>
      <c r="AX84">
        <f>IF(COUNT($E$2:$E84)&lt;52,"",(MAX($C$33:$C$84)+MIN($D$33:$D$84))/2)</f>
        <v>0</v>
      </c>
      <c r="AY84">
        <f>IF(COUNT($E$2:$E84)&lt;20,"",MAX($C$2:$C$84))</f>
        <v>0</v>
      </c>
      <c r="AZ84">
        <f>IF(COUNT($E$2:$E84)&lt;20,"",MIN($D$2:$D$84))</f>
        <v>0</v>
      </c>
      <c r="BA84">
        <f>IF(COUNT($E$2:$E84)&lt;20,"",SLOPE($E$2:$E$84,$F$2:$F$84))</f>
        <v>0</v>
      </c>
      <c r="BB84">
        <f>IF(COUNT($E$2:$E84)&lt;20,"",INTERCEPT($E$2:$E$84,$F$2:$F$84))</f>
        <v>0</v>
      </c>
      <c r="BC84">
        <f>IF(OR(BA84="",BB84=""),"",BB84+BA84*F84)</f>
        <v>0</v>
      </c>
      <c r="BD84">
        <f>IF(COUNT($E$2:$E84)&lt;20,"",STEYX($E$2:$E$84,$F$2:$F$84))</f>
        <v>0</v>
      </c>
      <c r="BE84">
        <f>IF($E84="","",IF(AND(COUNT($E$85:$E$88)&gt;=4,$C84=MAX($C$80:$C$88)),$C84,""))</f>
        <v>0</v>
      </c>
      <c r="BF84">
        <f>IF($E84="","",IF(AND(COUNT($E$85:$E$88)&gt;=4,$D84=MIN($D$80:$D$88)),$D84,""))</f>
        <v>0</v>
      </c>
      <c r="BG84">
        <f>IFERROR(SMALL(Calc_Daily!$BT$2:$BT$2001,83),"")</f>
        <v>0</v>
      </c>
    </row>
    <row r="85" spans="1:59">
      <c r="A85" s="27">
        <f>IF($BG85="","",INDEX(Calc_Daily!$A$2:$A$2001,$BG85))</f>
        <v>0</v>
      </c>
      <c r="B85">
        <f>IF($BG85="","",INDEX(Calc_Daily!$BQ$2:$BQ$2001,$BG85))</f>
        <v>0</v>
      </c>
      <c r="C85">
        <f>IF($BG85="","",INDEX(Calc_Daily!$BR$2:$BR$2001,$BG85))</f>
        <v>0</v>
      </c>
      <c r="D85">
        <f>IF($BG85="","",INDEX(Calc_Daily!$BS$2:$BS$2001,$BG85))</f>
        <v>0</v>
      </c>
      <c r="E85">
        <f>IF($BG85="","",INDEX(Calc_Daily!$E$2:$E$2001,$BG85))</f>
        <v>0</v>
      </c>
      <c r="F85">
        <f>IF($E85="","",N(F84)+1)</f>
        <v>0</v>
      </c>
      <c r="G85">
        <f>IF(OR($E85="",$E84=""),"",LN($E85/$E84))</f>
        <v>0</v>
      </c>
      <c r="H85">
        <f>IF($E85="","",IF($E84="",$E85,$E85*0.0952380952+H84*0.9047619048))</f>
        <v>0</v>
      </c>
      <c r="I85">
        <f>IF($E85="","",IF($E84="",$E85,$E85*0.0392156863+I84*0.9607843137))</f>
        <v>0</v>
      </c>
      <c r="J85">
        <f>IF($E85="","",IF($E84="",$E85,$E85*0.0198019802+J84*0.9801980198))</f>
        <v>0</v>
      </c>
      <c r="K85">
        <f>IF($E85="","",IF($E84="",$E85,$E85*0.0099502488+K84*0.9900497512))</f>
        <v>0</v>
      </c>
      <c r="L85">
        <f>IF(OR($E85="",$E84=""),"",MAX($E85-$E84,0))</f>
        <v>0</v>
      </c>
      <c r="M85">
        <f>IF(OR($E85="",$E84=""),"",MAX($E84-$E85,0))</f>
        <v>0</v>
      </c>
      <c r="N85">
        <f>IF(COUNT($E$2:$E85)&lt;15,"",IF(AVERAGE($M$72:$M$85)=0,100,100-100/(1+AVERAGE($L$72:$L$85)/AVERAGE($M$72:$M$85))))</f>
        <v>0</v>
      </c>
      <c r="O85">
        <f>IF($E85="","",IF($E84="",$E85,$E85*0.1538461538+O84*0.8461538462))</f>
        <v>0</v>
      </c>
      <c r="P85">
        <f>IF($E85="","",IF($E84="",$E85,$E85*0.0740740741+P84*0.9259259259))</f>
        <v>0</v>
      </c>
      <c r="Q85">
        <f>IF(OR(O85="",P85=""),"",O85-P85)</f>
        <v>0</v>
      </c>
      <c r="R85">
        <f>IF(Q85="","",IF(R84="",Q85,Q85*0.2000000000+R84*0.8000000000))</f>
        <v>0</v>
      </c>
      <c r="S85">
        <f>IF(OR(Q85="",R85=""),"",Q85-R85)</f>
        <v>0</v>
      </c>
      <c r="T85">
        <f>IF(COUNT($E$2:$E85)&lt;14,"",MAX($C$72:$C$85))</f>
        <v>0</v>
      </c>
      <c r="U85">
        <f>IF(COUNT($E$2:$E85)&lt;14,"",MIN($D$72:$D$85))</f>
        <v>0</v>
      </c>
      <c r="V85">
        <f>IF(OR(T85="",U85="",T85=U85),"",100*($E85-U85)/(T85-U85))</f>
        <v>0</v>
      </c>
      <c r="W85">
        <f>IF(COUNT($V$83:$V$85)&lt;3,"",AVERAGE($V$83:$V$85))</f>
        <v>0</v>
      </c>
      <c r="X85">
        <f>IF(COUNT($N$72:$N$85)&lt;14,"",MIN($N$72:$N$85))</f>
        <v>0</v>
      </c>
      <c r="Y85">
        <f>IF(COUNT($N$72:$N$85)&lt;14,"",MAX($N$72:$N$85))</f>
        <v>0</v>
      </c>
      <c r="Z85">
        <f>IF(OR(N85="",X85="",Y85="",Y85=X85),"",100*(N85-X85)/(Y85-X85))</f>
        <v>0</v>
      </c>
      <c r="AA85">
        <f>IF(COUNT($Z$83:$Z$85)&lt;3,"",AVERAGE($Z$83:$Z$85))</f>
        <v>0</v>
      </c>
      <c r="AB85">
        <f>IF(COUNT($AA$83:$AA$85)&lt;3,"",AVERAGE($AA$83:$AA$85))</f>
        <v>0</v>
      </c>
      <c r="AC85">
        <f>IF($E85="","",MAX($C85-$D85,ABS($C85-$E84),ABS($D85-$E84)))</f>
        <v>0</v>
      </c>
      <c r="AD85">
        <f>IF(COUNT($E$2:$E85)&lt;15,"",AVERAGE($AC$72:$AC$85))</f>
        <v>0</v>
      </c>
      <c r="AE85">
        <f>IF(OR($E85="",$E84=""),"",IF(AND(($C85-$C84)&gt;($D84-$D85),($C85-$C84)&gt;0),$C85-$C84,0))</f>
        <v>0</v>
      </c>
      <c r="AF85">
        <f>IF(OR($E85="",$E84=""),"",IF(AND(($D84-$D85)&gt;($C85-$C84),($D84-$D85)&gt;0),$D84-$D85,0))</f>
        <v>0</v>
      </c>
      <c r="AG85">
        <f>IF(COUNT($E$2:$E85)&lt;15,"",IF(SUM($AC$72:$AC$85)=0,0,100*SUM($AE$72:$AE$85)/SUM($AC$72:$AC$85)))</f>
        <v>0</v>
      </c>
      <c r="AH85">
        <f>IF(COUNT($E$2:$E85)&lt;15,"",IF(SUM($AC$72:$AC$85)=0,0,100*SUM($AF$72:$AF$85)/SUM($AC$72:$AC$85)))</f>
        <v>0</v>
      </c>
      <c r="AI85">
        <f>IF(OR(AG85="",AH85=""),"",IF((AG85+AH85)=0,0,100*ABS(AG85-AH85)/(AG85+AH85)))</f>
        <v>0</v>
      </c>
      <c r="AJ85">
        <f>IF(COUNT($AI$72:$AI$85)&lt;14,"",AVERAGE($AI$72:$AI$85))</f>
        <v>0</v>
      </c>
      <c r="AK85">
        <f>IF(COUNT($E$2:$E85)&lt;20,"",AVERAGE($E$66:$E$85))</f>
        <v>0</v>
      </c>
      <c r="AL85">
        <f>IF(COUNT($E$2:$E85)&lt;20,"",STDEVP($E$66:$E$85))</f>
        <v>0</v>
      </c>
      <c r="AM85">
        <f>IF(AK85="","",AK85+2*AL85)</f>
        <v>0</v>
      </c>
      <c r="AN85">
        <f>IF(AK85="","",AK85-2*AL85)</f>
        <v>0</v>
      </c>
      <c r="AO85">
        <f>IF(OR(AM85="",AN85="",AM85=AN85),"",($E85-AN85)/(AM85-AN85))</f>
        <v>0</v>
      </c>
      <c r="AP85">
        <f>IF(OR(AM85="",AK85="",AK85=0),"",(AM85-AN85)/AK85)</f>
        <v>0</v>
      </c>
      <c r="AQ85">
        <f>IF(COUNT($E$2:$E85)&lt;20,"",MAX($C$66:$C$85))</f>
        <v>0</v>
      </c>
      <c r="AR85">
        <f>IF(COUNT($E$2:$E85)&lt;20,"",MIN($D$66:$D$85))</f>
        <v>0</v>
      </c>
      <c r="AS85">
        <f>IF(OR(AQ85="",AR85=""),"",(AQ85+AR85)/2)</f>
        <v>0</v>
      </c>
      <c r="AT85">
        <f>IF(COUNT($G$66:$G$85)&lt;20,"",STDEV($G$66:$G$85)*SQRT(12))</f>
        <v>0</v>
      </c>
      <c r="AU85">
        <f>IF(COUNT($E$2:$E85)&lt;9,"",(MAX($C$77:$C$85)+MIN($D$77:$D$85))/2)</f>
        <v>0</v>
      </c>
      <c r="AV85">
        <f>IF(COUNT($E$2:$E85)&lt;26,"",(MAX($C$60:$C$85)+MIN($D$60:$D$85))/2)</f>
        <v>0</v>
      </c>
      <c r="AW85">
        <f>IF(OR(AU85="",AV85=""),"",(AU85+AV85)/2)</f>
        <v>0</v>
      </c>
      <c r="AX85">
        <f>IF(COUNT($E$2:$E85)&lt;52,"",(MAX($C$34:$C$85)+MIN($D$34:$D$85))/2)</f>
        <v>0</v>
      </c>
      <c r="AY85">
        <f>IF(COUNT($E$2:$E85)&lt;20,"",MAX($C$2:$C$85))</f>
        <v>0</v>
      </c>
      <c r="AZ85">
        <f>IF(COUNT($E$2:$E85)&lt;20,"",MIN($D$2:$D$85))</f>
        <v>0</v>
      </c>
      <c r="BA85">
        <f>IF(COUNT($E$2:$E85)&lt;20,"",SLOPE($E$2:$E$85,$F$2:$F$85))</f>
        <v>0</v>
      </c>
      <c r="BB85">
        <f>IF(COUNT($E$2:$E85)&lt;20,"",INTERCEPT($E$2:$E$85,$F$2:$F$85))</f>
        <v>0</v>
      </c>
      <c r="BC85">
        <f>IF(OR(BA85="",BB85=""),"",BB85+BA85*F85)</f>
        <v>0</v>
      </c>
      <c r="BD85">
        <f>IF(COUNT($E$2:$E85)&lt;20,"",STEYX($E$2:$E$85,$F$2:$F$85))</f>
        <v>0</v>
      </c>
      <c r="BE85">
        <f>IF($E85="","",IF(AND(COUNT($E$86:$E$89)&gt;=4,$C85=MAX($C$81:$C$89)),$C85,""))</f>
        <v>0</v>
      </c>
      <c r="BF85">
        <f>IF($E85="","",IF(AND(COUNT($E$86:$E$89)&gt;=4,$D85=MIN($D$81:$D$89)),$D85,""))</f>
        <v>0</v>
      </c>
      <c r="BG85">
        <f>IFERROR(SMALL(Calc_Daily!$BT$2:$BT$2001,84),"")</f>
        <v>0</v>
      </c>
    </row>
    <row r="86" spans="1:59">
      <c r="A86" s="27">
        <f>IF($BG86="","",INDEX(Calc_Daily!$A$2:$A$2001,$BG86))</f>
        <v>0</v>
      </c>
      <c r="B86">
        <f>IF($BG86="","",INDEX(Calc_Daily!$BQ$2:$BQ$2001,$BG86))</f>
        <v>0</v>
      </c>
      <c r="C86">
        <f>IF($BG86="","",INDEX(Calc_Daily!$BR$2:$BR$2001,$BG86))</f>
        <v>0</v>
      </c>
      <c r="D86">
        <f>IF($BG86="","",INDEX(Calc_Daily!$BS$2:$BS$2001,$BG86))</f>
        <v>0</v>
      </c>
      <c r="E86">
        <f>IF($BG86="","",INDEX(Calc_Daily!$E$2:$E$2001,$BG86))</f>
        <v>0</v>
      </c>
      <c r="F86">
        <f>IF($E86="","",N(F85)+1)</f>
        <v>0</v>
      </c>
      <c r="G86">
        <f>IF(OR($E86="",$E85=""),"",LN($E86/$E85))</f>
        <v>0</v>
      </c>
      <c r="H86">
        <f>IF($E86="","",IF($E85="",$E86,$E86*0.0952380952+H85*0.9047619048))</f>
        <v>0</v>
      </c>
      <c r="I86">
        <f>IF($E86="","",IF($E85="",$E86,$E86*0.0392156863+I85*0.9607843137))</f>
        <v>0</v>
      </c>
      <c r="J86">
        <f>IF($E86="","",IF($E85="",$E86,$E86*0.0198019802+J85*0.9801980198))</f>
        <v>0</v>
      </c>
      <c r="K86">
        <f>IF($E86="","",IF($E85="",$E86,$E86*0.0099502488+K85*0.9900497512))</f>
        <v>0</v>
      </c>
      <c r="L86">
        <f>IF(OR($E86="",$E85=""),"",MAX($E86-$E85,0))</f>
        <v>0</v>
      </c>
      <c r="M86">
        <f>IF(OR($E86="",$E85=""),"",MAX($E85-$E86,0))</f>
        <v>0</v>
      </c>
      <c r="N86">
        <f>IF(COUNT($E$2:$E86)&lt;15,"",IF(AVERAGE($M$73:$M$86)=0,100,100-100/(1+AVERAGE($L$73:$L$86)/AVERAGE($M$73:$M$86))))</f>
        <v>0</v>
      </c>
      <c r="O86">
        <f>IF($E86="","",IF($E85="",$E86,$E86*0.1538461538+O85*0.8461538462))</f>
        <v>0</v>
      </c>
      <c r="P86">
        <f>IF($E86="","",IF($E85="",$E86,$E86*0.0740740741+P85*0.9259259259))</f>
        <v>0</v>
      </c>
      <c r="Q86">
        <f>IF(OR(O86="",P86=""),"",O86-P86)</f>
        <v>0</v>
      </c>
      <c r="R86">
        <f>IF(Q86="","",IF(R85="",Q86,Q86*0.2000000000+R85*0.8000000000))</f>
        <v>0</v>
      </c>
      <c r="S86">
        <f>IF(OR(Q86="",R86=""),"",Q86-R86)</f>
        <v>0</v>
      </c>
      <c r="T86">
        <f>IF(COUNT($E$2:$E86)&lt;14,"",MAX($C$73:$C$86))</f>
        <v>0</v>
      </c>
      <c r="U86">
        <f>IF(COUNT($E$2:$E86)&lt;14,"",MIN($D$73:$D$86))</f>
        <v>0</v>
      </c>
      <c r="V86">
        <f>IF(OR(T86="",U86="",T86=U86),"",100*($E86-U86)/(T86-U86))</f>
        <v>0</v>
      </c>
      <c r="W86">
        <f>IF(COUNT($V$84:$V$86)&lt;3,"",AVERAGE($V$84:$V$86))</f>
        <v>0</v>
      </c>
      <c r="X86">
        <f>IF(COUNT($N$73:$N$86)&lt;14,"",MIN($N$73:$N$86))</f>
        <v>0</v>
      </c>
      <c r="Y86">
        <f>IF(COUNT($N$73:$N$86)&lt;14,"",MAX($N$73:$N$86))</f>
        <v>0</v>
      </c>
      <c r="Z86">
        <f>IF(OR(N86="",X86="",Y86="",Y86=X86),"",100*(N86-X86)/(Y86-X86))</f>
        <v>0</v>
      </c>
      <c r="AA86">
        <f>IF(COUNT($Z$84:$Z$86)&lt;3,"",AVERAGE($Z$84:$Z$86))</f>
        <v>0</v>
      </c>
      <c r="AB86">
        <f>IF(COUNT($AA$84:$AA$86)&lt;3,"",AVERAGE($AA$84:$AA$86))</f>
        <v>0</v>
      </c>
      <c r="AC86">
        <f>IF($E86="","",MAX($C86-$D86,ABS($C86-$E85),ABS($D86-$E85)))</f>
        <v>0</v>
      </c>
      <c r="AD86">
        <f>IF(COUNT($E$2:$E86)&lt;15,"",AVERAGE($AC$73:$AC$86))</f>
        <v>0</v>
      </c>
      <c r="AE86">
        <f>IF(OR($E86="",$E85=""),"",IF(AND(($C86-$C85)&gt;($D85-$D86),($C86-$C85)&gt;0),$C86-$C85,0))</f>
        <v>0</v>
      </c>
      <c r="AF86">
        <f>IF(OR($E86="",$E85=""),"",IF(AND(($D85-$D86)&gt;($C86-$C85),($D85-$D86)&gt;0),$D85-$D86,0))</f>
        <v>0</v>
      </c>
      <c r="AG86">
        <f>IF(COUNT($E$2:$E86)&lt;15,"",IF(SUM($AC$73:$AC$86)=0,0,100*SUM($AE$73:$AE$86)/SUM($AC$73:$AC$86)))</f>
        <v>0</v>
      </c>
      <c r="AH86">
        <f>IF(COUNT($E$2:$E86)&lt;15,"",IF(SUM($AC$73:$AC$86)=0,0,100*SUM($AF$73:$AF$86)/SUM($AC$73:$AC$86)))</f>
        <v>0</v>
      </c>
      <c r="AI86">
        <f>IF(OR(AG86="",AH86=""),"",IF((AG86+AH86)=0,0,100*ABS(AG86-AH86)/(AG86+AH86)))</f>
        <v>0</v>
      </c>
      <c r="AJ86">
        <f>IF(COUNT($AI$73:$AI$86)&lt;14,"",AVERAGE($AI$73:$AI$86))</f>
        <v>0</v>
      </c>
      <c r="AK86">
        <f>IF(COUNT($E$2:$E86)&lt;20,"",AVERAGE($E$67:$E$86))</f>
        <v>0</v>
      </c>
      <c r="AL86">
        <f>IF(COUNT($E$2:$E86)&lt;20,"",STDEVP($E$67:$E$86))</f>
        <v>0</v>
      </c>
      <c r="AM86">
        <f>IF(AK86="","",AK86+2*AL86)</f>
        <v>0</v>
      </c>
      <c r="AN86">
        <f>IF(AK86="","",AK86-2*AL86)</f>
        <v>0</v>
      </c>
      <c r="AO86">
        <f>IF(OR(AM86="",AN86="",AM86=AN86),"",($E86-AN86)/(AM86-AN86))</f>
        <v>0</v>
      </c>
      <c r="AP86">
        <f>IF(OR(AM86="",AK86="",AK86=0),"",(AM86-AN86)/AK86)</f>
        <v>0</v>
      </c>
      <c r="AQ86">
        <f>IF(COUNT($E$2:$E86)&lt;20,"",MAX($C$67:$C$86))</f>
        <v>0</v>
      </c>
      <c r="AR86">
        <f>IF(COUNT($E$2:$E86)&lt;20,"",MIN($D$67:$D$86))</f>
        <v>0</v>
      </c>
      <c r="AS86">
        <f>IF(OR(AQ86="",AR86=""),"",(AQ86+AR86)/2)</f>
        <v>0</v>
      </c>
      <c r="AT86">
        <f>IF(COUNT($G$67:$G$86)&lt;20,"",STDEV($G$67:$G$86)*SQRT(12))</f>
        <v>0</v>
      </c>
      <c r="AU86">
        <f>IF(COUNT($E$2:$E86)&lt;9,"",(MAX($C$78:$C$86)+MIN($D$78:$D$86))/2)</f>
        <v>0</v>
      </c>
      <c r="AV86">
        <f>IF(COUNT($E$2:$E86)&lt;26,"",(MAX($C$61:$C$86)+MIN($D$61:$D$86))/2)</f>
        <v>0</v>
      </c>
      <c r="AW86">
        <f>IF(OR(AU86="",AV86=""),"",(AU86+AV86)/2)</f>
        <v>0</v>
      </c>
      <c r="AX86">
        <f>IF(COUNT($E$2:$E86)&lt;52,"",(MAX($C$35:$C$86)+MIN($D$35:$D$86))/2)</f>
        <v>0</v>
      </c>
      <c r="AY86">
        <f>IF(COUNT($E$2:$E86)&lt;20,"",MAX($C$2:$C$86))</f>
        <v>0</v>
      </c>
      <c r="AZ86">
        <f>IF(COUNT($E$2:$E86)&lt;20,"",MIN($D$2:$D$86))</f>
        <v>0</v>
      </c>
      <c r="BA86">
        <f>IF(COUNT($E$2:$E86)&lt;20,"",SLOPE($E$2:$E$86,$F$2:$F$86))</f>
        <v>0</v>
      </c>
      <c r="BB86">
        <f>IF(COUNT($E$2:$E86)&lt;20,"",INTERCEPT($E$2:$E$86,$F$2:$F$86))</f>
        <v>0</v>
      </c>
      <c r="BC86">
        <f>IF(OR(BA86="",BB86=""),"",BB86+BA86*F86)</f>
        <v>0</v>
      </c>
      <c r="BD86">
        <f>IF(COUNT($E$2:$E86)&lt;20,"",STEYX($E$2:$E$86,$F$2:$F$86))</f>
        <v>0</v>
      </c>
      <c r="BE86">
        <f>IF($E86="","",IF(AND(COUNT($E$87:$E$90)&gt;=4,$C86=MAX($C$82:$C$90)),$C86,""))</f>
        <v>0</v>
      </c>
      <c r="BF86">
        <f>IF($E86="","",IF(AND(COUNT($E$87:$E$90)&gt;=4,$D86=MIN($D$82:$D$90)),$D86,""))</f>
        <v>0</v>
      </c>
      <c r="BG86">
        <f>IFERROR(SMALL(Calc_Daily!$BT$2:$BT$2001,85),"")</f>
        <v>0</v>
      </c>
    </row>
    <row r="87" spans="1:59">
      <c r="A87" s="27">
        <f>IF($BG87="","",INDEX(Calc_Daily!$A$2:$A$2001,$BG87))</f>
        <v>0</v>
      </c>
      <c r="B87">
        <f>IF($BG87="","",INDEX(Calc_Daily!$BQ$2:$BQ$2001,$BG87))</f>
        <v>0</v>
      </c>
      <c r="C87">
        <f>IF($BG87="","",INDEX(Calc_Daily!$BR$2:$BR$2001,$BG87))</f>
        <v>0</v>
      </c>
      <c r="D87">
        <f>IF($BG87="","",INDEX(Calc_Daily!$BS$2:$BS$2001,$BG87))</f>
        <v>0</v>
      </c>
      <c r="E87">
        <f>IF($BG87="","",INDEX(Calc_Daily!$E$2:$E$2001,$BG87))</f>
        <v>0</v>
      </c>
      <c r="F87">
        <f>IF($E87="","",N(F86)+1)</f>
        <v>0</v>
      </c>
      <c r="G87">
        <f>IF(OR($E87="",$E86=""),"",LN($E87/$E86))</f>
        <v>0</v>
      </c>
      <c r="H87">
        <f>IF($E87="","",IF($E86="",$E87,$E87*0.0952380952+H86*0.9047619048))</f>
        <v>0</v>
      </c>
      <c r="I87">
        <f>IF($E87="","",IF($E86="",$E87,$E87*0.0392156863+I86*0.9607843137))</f>
        <v>0</v>
      </c>
      <c r="J87">
        <f>IF($E87="","",IF($E86="",$E87,$E87*0.0198019802+J86*0.9801980198))</f>
        <v>0</v>
      </c>
      <c r="K87">
        <f>IF($E87="","",IF($E86="",$E87,$E87*0.0099502488+K86*0.9900497512))</f>
        <v>0</v>
      </c>
      <c r="L87">
        <f>IF(OR($E87="",$E86=""),"",MAX($E87-$E86,0))</f>
        <v>0</v>
      </c>
      <c r="M87">
        <f>IF(OR($E87="",$E86=""),"",MAX($E86-$E87,0))</f>
        <v>0</v>
      </c>
      <c r="N87">
        <f>IF(COUNT($E$2:$E87)&lt;15,"",IF(AVERAGE($M$74:$M$87)=0,100,100-100/(1+AVERAGE($L$74:$L$87)/AVERAGE($M$74:$M$87))))</f>
        <v>0</v>
      </c>
      <c r="O87">
        <f>IF($E87="","",IF($E86="",$E87,$E87*0.1538461538+O86*0.8461538462))</f>
        <v>0</v>
      </c>
      <c r="P87">
        <f>IF($E87="","",IF($E86="",$E87,$E87*0.0740740741+P86*0.9259259259))</f>
        <v>0</v>
      </c>
      <c r="Q87">
        <f>IF(OR(O87="",P87=""),"",O87-P87)</f>
        <v>0</v>
      </c>
      <c r="R87">
        <f>IF(Q87="","",IF(R86="",Q87,Q87*0.2000000000+R86*0.8000000000))</f>
        <v>0</v>
      </c>
      <c r="S87">
        <f>IF(OR(Q87="",R87=""),"",Q87-R87)</f>
        <v>0</v>
      </c>
      <c r="T87">
        <f>IF(COUNT($E$2:$E87)&lt;14,"",MAX($C$74:$C$87))</f>
        <v>0</v>
      </c>
      <c r="U87">
        <f>IF(COUNT($E$2:$E87)&lt;14,"",MIN($D$74:$D$87))</f>
        <v>0</v>
      </c>
      <c r="V87">
        <f>IF(OR(T87="",U87="",T87=U87),"",100*($E87-U87)/(T87-U87))</f>
        <v>0</v>
      </c>
      <c r="W87">
        <f>IF(COUNT($V$85:$V$87)&lt;3,"",AVERAGE($V$85:$V$87))</f>
        <v>0</v>
      </c>
      <c r="X87">
        <f>IF(COUNT($N$74:$N$87)&lt;14,"",MIN($N$74:$N$87))</f>
        <v>0</v>
      </c>
      <c r="Y87">
        <f>IF(COUNT($N$74:$N$87)&lt;14,"",MAX($N$74:$N$87))</f>
        <v>0</v>
      </c>
      <c r="Z87">
        <f>IF(OR(N87="",X87="",Y87="",Y87=X87),"",100*(N87-X87)/(Y87-X87))</f>
        <v>0</v>
      </c>
      <c r="AA87">
        <f>IF(COUNT($Z$85:$Z$87)&lt;3,"",AVERAGE($Z$85:$Z$87))</f>
        <v>0</v>
      </c>
      <c r="AB87">
        <f>IF(COUNT($AA$85:$AA$87)&lt;3,"",AVERAGE($AA$85:$AA$87))</f>
        <v>0</v>
      </c>
      <c r="AC87">
        <f>IF($E87="","",MAX($C87-$D87,ABS($C87-$E86),ABS($D87-$E86)))</f>
        <v>0</v>
      </c>
      <c r="AD87">
        <f>IF(COUNT($E$2:$E87)&lt;15,"",AVERAGE($AC$74:$AC$87))</f>
        <v>0</v>
      </c>
      <c r="AE87">
        <f>IF(OR($E87="",$E86=""),"",IF(AND(($C87-$C86)&gt;($D86-$D87),($C87-$C86)&gt;0),$C87-$C86,0))</f>
        <v>0</v>
      </c>
      <c r="AF87">
        <f>IF(OR($E87="",$E86=""),"",IF(AND(($D86-$D87)&gt;($C87-$C86),($D86-$D87)&gt;0),$D86-$D87,0))</f>
        <v>0</v>
      </c>
      <c r="AG87">
        <f>IF(COUNT($E$2:$E87)&lt;15,"",IF(SUM($AC$74:$AC$87)=0,0,100*SUM($AE$74:$AE$87)/SUM($AC$74:$AC$87)))</f>
        <v>0</v>
      </c>
      <c r="AH87">
        <f>IF(COUNT($E$2:$E87)&lt;15,"",IF(SUM($AC$74:$AC$87)=0,0,100*SUM($AF$74:$AF$87)/SUM($AC$74:$AC$87)))</f>
        <v>0</v>
      </c>
      <c r="AI87">
        <f>IF(OR(AG87="",AH87=""),"",IF((AG87+AH87)=0,0,100*ABS(AG87-AH87)/(AG87+AH87)))</f>
        <v>0</v>
      </c>
      <c r="AJ87">
        <f>IF(COUNT($AI$74:$AI$87)&lt;14,"",AVERAGE($AI$74:$AI$87))</f>
        <v>0</v>
      </c>
      <c r="AK87">
        <f>IF(COUNT($E$2:$E87)&lt;20,"",AVERAGE($E$68:$E$87))</f>
        <v>0</v>
      </c>
      <c r="AL87">
        <f>IF(COUNT($E$2:$E87)&lt;20,"",STDEVP($E$68:$E$87))</f>
        <v>0</v>
      </c>
      <c r="AM87">
        <f>IF(AK87="","",AK87+2*AL87)</f>
        <v>0</v>
      </c>
      <c r="AN87">
        <f>IF(AK87="","",AK87-2*AL87)</f>
        <v>0</v>
      </c>
      <c r="AO87">
        <f>IF(OR(AM87="",AN87="",AM87=AN87),"",($E87-AN87)/(AM87-AN87))</f>
        <v>0</v>
      </c>
      <c r="AP87">
        <f>IF(OR(AM87="",AK87="",AK87=0),"",(AM87-AN87)/AK87)</f>
        <v>0</v>
      </c>
      <c r="AQ87">
        <f>IF(COUNT($E$2:$E87)&lt;20,"",MAX($C$68:$C$87))</f>
        <v>0</v>
      </c>
      <c r="AR87">
        <f>IF(COUNT($E$2:$E87)&lt;20,"",MIN($D$68:$D$87))</f>
        <v>0</v>
      </c>
      <c r="AS87">
        <f>IF(OR(AQ87="",AR87=""),"",(AQ87+AR87)/2)</f>
        <v>0</v>
      </c>
      <c r="AT87">
        <f>IF(COUNT($G$68:$G$87)&lt;20,"",STDEV($G$68:$G$87)*SQRT(12))</f>
        <v>0</v>
      </c>
      <c r="AU87">
        <f>IF(COUNT($E$2:$E87)&lt;9,"",(MAX($C$79:$C$87)+MIN($D$79:$D$87))/2)</f>
        <v>0</v>
      </c>
      <c r="AV87">
        <f>IF(COUNT($E$2:$E87)&lt;26,"",(MAX($C$62:$C$87)+MIN($D$62:$D$87))/2)</f>
        <v>0</v>
      </c>
      <c r="AW87">
        <f>IF(OR(AU87="",AV87=""),"",(AU87+AV87)/2)</f>
        <v>0</v>
      </c>
      <c r="AX87">
        <f>IF(COUNT($E$2:$E87)&lt;52,"",(MAX($C$36:$C$87)+MIN($D$36:$D$87))/2)</f>
        <v>0</v>
      </c>
      <c r="AY87">
        <f>IF(COUNT($E$2:$E87)&lt;20,"",MAX($C$2:$C$87))</f>
        <v>0</v>
      </c>
      <c r="AZ87">
        <f>IF(COUNT($E$2:$E87)&lt;20,"",MIN($D$2:$D$87))</f>
        <v>0</v>
      </c>
      <c r="BA87">
        <f>IF(COUNT($E$2:$E87)&lt;20,"",SLOPE($E$2:$E$87,$F$2:$F$87))</f>
        <v>0</v>
      </c>
      <c r="BB87">
        <f>IF(COUNT($E$2:$E87)&lt;20,"",INTERCEPT($E$2:$E$87,$F$2:$F$87))</f>
        <v>0</v>
      </c>
      <c r="BC87">
        <f>IF(OR(BA87="",BB87=""),"",BB87+BA87*F87)</f>
        <v>0</v>
      </c>
      <c r="BD87">
        <f>IF(COUNT($E$2:$E87)&lt;20,"",STEYX($E$2:$E$87,$F$2:$F$87))</f>
        <v>0</v>
      </c>
      <c r="BE87">
        <f>IF($E87="","",IF(AND(COUNT($E$88:$E$91)&gt;=4,$C87=MAX($C$83:$C$91)),$C87,""))</f>
        <v>0</v>
      </c>
      <c r="BF87">
        <f>IF($E87="","",IF(AND(COUNT($E$88:$E$91)&gt;=4,$D87=MIN($D$83:$D$91)),$D87,""))</f>
        <v>0</v>
      </c>
      <c r="BG87">
        <f>IFERROR(SMALL(Calc_Daily!$BT$2:$BT$2001,86),"")</f>
        <v>0</v>
      </c>
    </row>
    <row r="88" spans="1:59">
      <c r="A88" s="27">
        <f>IF($BG88="","",INDEX(Calc_Daily!$A$2:$A$2001,$BG88))</f>
        <v>0</v>
      </c>
      <c r="B88">
        <f>IF($BG88="","",INDEX(Calc_Daily!$BQ$2:$BQ$2001,$BG88))</f>
        <v>0</v>
      </c>
      <c r="C88">
        <f>IF($BG88="","",INDEX(Calc_Daily!$BR$2:$BR$2001,$BG88))</f>
        <v>0</v>
      </c>
      <c r="D88">
        <f>IF($BG88="","",INDEX(Calc_Daily!$BS$2:$BS$2001,$BG88))</f>
        <v>0</v>
      </c>
      <c r="E88">
        <f>IF($BG88="","",INDEX(Calc_Daily!$E$2:$E$2001,$BG88))</f>
        <v>0</v>
      </c>
      <c r="F88">
        <f>IF($E88="","",N(F87)+1)</f>
        <v>0</v>
      </c>
      <c r="G88">
        <f>IF(OR($E88="",$E87=""),"",LN($E88/$E87))</f>
        <v>0</v>
      </c>
      <c r="H88">
        <f>IF($E88="","",IF($E87="",$E88,$E88*0.0952380952+H87*0.9047619048))</f>
        <v>0</v>
      </c>
      <c r="I88">
        <f>IF($E88="","",IF($E87="",$E88,$E88*0.0392156863+I87*0.9607843137))</f>
        <v>0</v>
      </c>
      <c r="J88">
        <f>IF($E88="","",IF($E87="",$E88,$E88*0.0198019802+J87*0.9801980198))</f>
        <v>0</v>
      </c>
      <c r="K88">
        <f>IF($E88="","",IF($E87="",$E88,$E88*0.0099502488+K87*0.9900497512))</f>
        <v>0</v>
      </c>
      <c r="L88">
        <f>IF(OR($E88="",$E87=""),"",MAX($E88-$E87,0))</f>
        <v>0</v>
      </c>
      <c r="M88">
        <f>IF(OR($E88="",$E87=""),"",MAX($E87-$E88,0))</f>
        <v>0</v>
      </c>
      <c r="N88">
        <f>IF(COUNT($E$2:$E88)&lt;15,"",IF(AVERAGE($M$75:$M$88)=0,100,100-100/(1+AVERAGE($L$75:$L$88)/AVERAGE($M$75:$M$88))))</f>
        <v>0</v>
      </c>
      <c r="O88">
        <f>IF($E88="","",IF($E87="",$E88,$E88*0.1538461538+O87*0.8461538462))</f>
        <v>0</v>
      </c>
      <c r="P88">
        <f>IF($E88="","",IF($E87="",$E88,$E88*0.0740740741+P87*0.9259259259))</f>
        <v>0</v>
      </c>
      <c r="Q88">
        <f>IF(OR(O88="",P88=""),"",O88-P88)</f>
        <v>0</v>
      </c>
      <c r="R88">
        <f>IF(Q88="","",IF(R87="",Q88,Q88*0.2000000000+R87*0.8000000000))</f>
        <v>0</v>
      </c>
      <c r="S88">
        <f>IF(OR(Q88="",R88=""),"",Q88-R88)</f>
        <v>0</v>
      </c>
      <c r="T88">
        <f>IF(COUNT($E$2:$E88)&lt;14,"",MAX($C$75:$C$88))</f>
        <v>0</v>
      </c>
      <c r="U88">
        <f>IF(COUNT($E$2:$E88)&lt;14,"",MIN($D$75:$D$88))</f>
        <v>0</v>
      </c>
      <c r="V88">
        <f>IF(OR(T88="",U88="",T88=U88),"",100*($E88-U88)/(T88-U88))</f>
        <v>0</v>
      </c>
      <c r="W88">
        <f>IF(COUNT($V$86:$V$88)&lt;3,"",AVERAGE($V$86:$V$88))</f>
        <v>0</v>
      </c>
      <c r="X88">
        <f>IF(COUNT($N$75:$N$88)&lt;14,"",MIN($N$75:$N$88))</f>
        <v>0</v>
      </c>
      <c r="Y88">
        <f>IF(COUNT($N$75:$N$88)&lt;14,"",MAX($N$75:$N$88))</f>
        <v>0</v>
      </c>
      <c r="Z88">
        <f>IF(OR(N88="",X88="",Y88="",Y88=X88),"",100*(N88-X88)/(Y88-X88))</f>
        <v>0</v>
      </c>
      <c r="AA88">
        <f>IF(COUNT($Z$86:$Z$88)&lt;3,"",AVERAGE($Z$86:$Z$88))</f>
        <v>0</v>
      </c>
      <c r="AB88">
        <f>IF(COUNT($AA$86:$AA$88)&lt;3,"",AVERAGE($AA$86:$AA$88))</f>
        <v>0</v>
      </c>
      <c r="AC88">
        <f>IF($E88="","",MAX($C88-$D88,ABS($C88-$E87),ABS($D88-$E87)))</f>
        <v>0</v>
      </c>
      <c r="AD88">
        <f>IF(COUNT($E$2:$E88)&lt;15,"",AVERAGE($AC$75:$AC$88))</f>
        <v>0</v>
      </c>
      <c r="AE88">
        <f>IF(OR($E88="",$E87=""),"",IF(AND(($C88-$C87)&gt;($D87-$D88),($C88-$C87)&gt;0),$C88-$C87,0))</f>
        <v>0</v>
      </c>
      <c r="AF88">
        <f>IF(OR($E88="",$E87=""),"",IF(AND(($D87-$D88)&gt;($C88-$C87),($D87-$D88)&gt;0),$D87-$D88,0))</f>
        <v>0</v>
      </c>
      <c r="AG88">
        <f>IF(COUNT($E$2:$E88)&lt;15,"",IF(SUM($AC$75:$AC$88)=0,0,100*SUM($AE$75:$AE$88)/SUM($AC$75:$AC$88)))</f>
        <v>0</v>
      </c>
      <c r="AH88">
        <f>IF(COUNT($E$2:$E88)&lt;15,"",IF(SUM($AC$75:$AC$88)=0,0,100*SUM($AF$75:$AF$88)/SUM($AC$75:$AC$88)))</f>
        <v>0</v>
      </c>
      <c r="AI88">
        <f>IF(OR(AG88="",AH88=""),"",IF((AG88+AH88)=0,0,100*ABS(AG88-AH88)/(AG88+AH88)))</f>
        <v>0</v>
      </c>
      <c r="AJ88">
        <f>IF(COUNT($AI$75:$AI$88)&lt;14,"",AVERAGE($AI$75:$AI$88))</f>
        <v>0</v>
      </c>
      <c r="AK88">
        <f>IF(COUNT($E$2:$E88)&lt;20,"",AVERAGE($E$69:$E$88))</f>
        <v>0</v>
      </c>
      <c r="AL88">
        <f>IF(COUNT($E$2:$E88)&lt;20,"",STDEVP($E$69:$E$88))</f>
        <v>0</v>
      </c>
      <c r="AM88">
        <f>IF(AK88="","",AK88+2*AL88)</f>
        <v>0</v>
      </c>
      <c r="AN88">
        <f>IF(AK88="","",AK88-2*AL88)</f>
        <v>0</v>
      </c>
      <c r="AO88">
        <f>IF(OR(AM88="",AN88="",AM88=AN88),"",($E88-AN88)/(AM88-AN88))</f>
        <v>0</v>
      </c>
      <c r="AP88">
        <f>IF(OR(AM88="",AK88="",AK88=0),"",(AM88-AN88)/AK88)</f>
        <v>0</v>
      </c>
      <c r="AQ88">
        <f>IF(COUNT($E$2:$E88)&lt;20,"",MAX($C$69:$C$88))</f>
        <v>0</v>
      </c>
      <c r="AR88">
        <f>IF(COUNT($E$2:$E88)&lt;20,"",MIN($D$69:$D$88))</f>
        <v>0</v>
      </c>
      <c r="AS88">
        <f>IF(OR(AQ88="",AR88=""),"",(AQ88+AR88)/2)</f>
        <v>0</v>
      </c>
      <c r="AT88">
        <f>IF(COUNT($G$69:$G$88)&lt;20,"",STDEV($G$69:$G$88)*SQRT(12))</f>
        <v>0</v>
      </c>
      <c r="AU88">
        <f>IF(COUNT($E$2:$E88)&lt;9,"",(MAX($C$80:$C$88)+MIN($D$80:$D$88))/2)</f>
        <v>0</v>
      </c>
      <c r="AV88">
        <f>IF(COUNT($E$2:$E88)&lt;26,"",(MAX($C$63:$C$88)+MIN($D$63:$D$88))/2)</f>
        <v>0</v>
      </c>
      <c r="AW88">
        <f>IF(OR(AU88="",AV88=""),"",(AU88+AV88)/2)</f>
        <v>0</v>
      </c>
      <c r="AX88">
        <f>IF(COUNT($E$2:$E88)&lt;52,"",(MAX($C$37:$C$88)+MIN($D$37:$D$88))/2)</f>
        <v>0</v>
      </c>
      <c r="AY88">
        <f>IF(COUNT($E$2:$E88)&lt;20,"",MAX($C$2:$C$88))</f>
        <v>0</v>
      </c>
      <c r="AZ88">
        <f>IF(COUNT($E$2:$E88)&lt;20,"",MIN($D$2:$D$88))</f>
        <v>0</v>
      </c>
      <c r="BA88">
        <f>IF(COUNT($E$2:$E88)&lt;20,"",SLOPE($E$2:$E$88,$F$2:$F$88))</f>
        <v>0</v>
      </c>
      <c r="BB88">
        <f>IF(COUNT($E$2:$E88)&lt;20,"",INTERCEPT($E$2:$E$88,$F$2:$F$88))</f>
        <v>0</v>
      </c>
      <c r="BC88">
        <f>IF(OR(BA88="",BB88=""),"",BB88+BA88*F88)</f>
        <v>0</v>
      </c>
      <c r="BD88">
        <f>IF(COUNT($E$2:$E88)&lt;20,"",STEYX($E$2:$E$88,$F$2:$F$88))</f>
        <v>0</v>
      </c>
      <c r="BE88">
        <f>IF($E88="","",IF(AND(COUNT($E$89:$E$92)&gt;=4,$C88=MAX($C$84:$C$92)),$C88,""))</f>
        <v>0</v>
      </c>
      <c r="BF88">
        <f>IF($E88="","",IF(AND(COUNT($E$89:$E$92)&gt;=4,$D88=MIN($D$84:$D$92)),$D88,""))</f>
        <v>0</v>
      </c>
      <c r="BG88">
        <f>IFERROR(SMALL(Calc_Daily!$BT$2:$BT$2001,87),"")</f>
        <v>0</v>
      </c>
    </row>
    <row r="89" spans="1:59">
      <c r="A89" s="27">
        <f>IF($BG89="","",INDEX(Calc_Daily!$A$2:$A$2001,$BG89))</f>
        <v>0</v>
      </c>
      <c r="B89">
        <f>IF($BG89="","",INDEX(Calc_Daily!$BQ$2:$BQ$2001,$BG89))</f>
        <v>0</v>
      </c>
      <c r="C89">
        <f>IF($BG89="","",INDEX(Calc_Daily!$BR$2:$BR$2001,$BG89))</f>
        <v>0</v>
      </c>
      <c r="D89">
        <f>IF($BG89="","",INDEX(Calc_Daily!$BS$2:$BS$2001,$BG89))</f>
        <v>0</v>
      </c>
      <c r="E89">
        <f>IF($BG89="","",INDEX(Calc_Daily!$E$2:$E$2001,$BG89))</f>
        <v>0</v>
      </c>
      <c r="F89">
        <f>IF($E89="","",N(F88)+1)</f>
        <v>0</v>
      </c>
      <c r="G89">
        <f>IF(OR($E89="",$E88=""),"",LN($E89/$E88))</f>
        <v>0</v>
      </c>
      <c r="H89">
        <f>IF($E89="","",IF($E88="",$E89,$E89*0.0952380952+H88*0.9047619048))</f>
        <v>0</v>
      </c>
      <c r="I89">
        <f>IF($E89="","",IF($E88="",$E89,$E89*0.0392156863+I88*0.9607843137))</f>
        <v>0</v>
      </c>
      <c r="J89">
        <f>IF($E89="","",IF($E88="",$E89,$E89*0.0198019802+J88*0.9801980198))</f>
        <v>0</v>
      </c>
      <c r="K89">
        <f>IF($E89="","",IF($E88="",$E89,$E89*0.0099502488+K88*0.9900497512))</f>
        <v>0</v>
      </c>
      <c r="L89">
        <f>IF(OR($E89="",$E88=""),"",MAX($E89-$E88,0))</f>
        <v>0</v>
      </c>
      <c r="M89">
        <f>IF(OR($E89="",$E88=""),"",MAX($E88-$E89,0))</f>
        <v>0</v>
      </c>
      <c r="N89">
        <f>IF(COUNT($E$2:$E89)&lt;15,"",IF(AVERAGE($M$76:$M$89)=0,100,100-100/(1+AVERAGE($L$76:$L$89)/AVERAGE($M$76:$M$89))))</f>
        <v>0</v>
      </c>
      <c r="O89">
        <f>IF($E89="","",IF($E88="",$E89,$E89*0.1538461538+O88*0.8461538462))</f>
        <v>0</v>
      </c>
      <c r="P89">
        <f>IF($E89="","",IF($E88="",$E89,$E89*0.0740740741+P88*0.9259259259))</f>
        <v>0</v>
      </c>
      <c r="Q89">
        <f>IF(OR(O89="",P89=""),"",O89-P89)</f>
        <v>0</v>
      </c>
      <c r="R89">
        <f>IF(Q89="","",IF(R88="",Q89,Q89*0.2000000000+R88*0.8000000000))</f>
        <v>0</v>
      </c>
      <c r="S89">
        <f>IF(OR(Q89="",R89=""),"",Q89-R89)</f>
        <v>0</v>
      </c>
      <c r="T89">
        <f>IF(COUNT($E$2:$E89)&lt;14,"",MAX($C$76:$C$89))</f>
        <v>0</v>
      </c>
      <c r="U89">
        <f>IF(COUNT($E$2:$E89)&lt;14,"",MIN($D$76:$D$89))</f>
        <v>0</v>
      </c>
      <c r="V89">
        <f>IF(OR(T89="",U89="",T89=U89),"",100*($E89-U89)/(T89-U89))</f>
        <v>0</v>
      </c>
      <c r="W89">
        <f>IF(COUNT($V$87:$V$89)&lt;3,"",AVERAGE($V$87:$V$89))</f>
        <v>0</v>
      </c>
      <c r="X89">
        <f>IF(COUNT($N$76:$N$89)&lt;14,"",MIN($N$76:$N$89))</f>
        <v>0</v>
      </c>
      <c r="Y89">
        <f>IF(COUNT($N$76:$N$89)&lt;14,"",MAX($N$76:$N$89))</f>
        <v>0</v>
      </c>
      <c r="Z89">
        <f>IF(OR(N89="",X89="",Y89="",Y89=X89),"",100*(N89-X89)/(Y89-X89))</f>
        <v>0</v>
      </c>
      <c r="AA89">
        <f>IF(COUNT($Z$87:$Z$89)&lt;3,"",AVERAGE($Z$87:$Z$89))</f>
        <v>0</v>
      </c>
      <c r="AB89">
        <f>IF(COUNT($AA$87:$AA$89)&lt;3,"",AVERAGE($AA$87:$AA$89))</f>
        <v>0</v>
      </c>
      <c r="AC89">
        <f>IF($E89="","",MAX($C89-$D89,ABS($C89-$E88),ABS($D89-$E88)))</f>
        <v>0</v>
      </c>
      <c r="AD89">
        <f>IF(COUNT($E$2:$E89)&lt;15,"",AVERAGE($AC$76:$AC$89))</f>
        <v>0</v>
      </c>
      <c r="AE89">
        <f>IF(OR($E89="",$E88=""),"",IF(AND(($C89-$C88)&gt;($D88-$D89),($C89-$C88)&gt;0),$C89-$C88,0))</f>
        <v>0</v>
      </c>
      <c r="AF89">
        <f>IF(OR($E89="",$E88=""),"",IF(AND(($D88-$D89)&gt;($C89-$C88),($D88-$D89)&gt;0),$D88-$D89,0))</f>
        <v>0</v>
      </c>
      <c r="AG89">
        <f>IF(COUNT($E$2:$E89)&lt;15,"",IF(SUM($AC$76:$AC$89)=0,0,100*SUM($AE$76:$AE$89)/SUM($AC$76:$AC$89)))</f>
        <v>0</v>
      </c>
      <c r="AH89">
        <f>IF(COUNT($E$2:$E89)&lt;15,"",IF(SUM($AC$76:$AC$89)=0,0,100*SUM($AF$76:$AF$89)/SUM($AC$76:$AC$89)))</f>
        <v>0</v>
      </c>
      <c r="AI89">
        <f>IF(OR(AG89="",AH89=""),"",IF((AG89+AH89)=0,0,100*ABS(AG89-AH89)/(AG89+AH89)))</f>
        <v>0</v>
      </c>
      <c r="AJ89">
        <f>IF(COUNT($AI$76:$AI$89)&lt;14,"",AVERAGE($AI$76:$AI$89))</f>
        <v>0</v>
      </c>
      <c r="AK89">
        <f>IF(COUNT($E$2:$E89)&lt;20,"",AVERAGE($E$70:$E$89))</f>
        <v>0</v>
      </c>
      <c r="AL89">
        <f>IF(COUNT($E$2:$E89)&lt;20,"",STDEVP($E$70:$E$89))</f>
        <v>0</v>
      </c>
      <c r="AM89">
        <f>IF(AK89="","",AK89+2*AL89)</f>
        <v>0</v>
      </c>
      <c r="AN89">
        <f>IF(AK89="","",AK89-2*AL89)</f>
        <v>0</v>
      </c>
      <c r="AO89">
        <f>IF(OR(AM89="",AN89="",AM89=AN89),"",($E89-AN89)/(AM89-AN89))</f>
        <v>0</v>
      </c>
      <c r="AP89">
        <f>IF(OR(AM89="",AK89="",AK89=0),"",(AM89-AN89)/AK89)</f>
        <v>0</v>
      </c>
      <c r="AQ89">
        <f>IF(COUNT($E$2:$E89)&lt;20,"",MAX($C$70:$C$89))</f>
        <v>0</v>
      </c>
      <c r="AR89">
        <f>IF(COUNT($E$2:$E89)&lt;20,"",MIN($D$70:$D$89))</f>
        <v>0</v>
      </c>
      <c r="AS89">
        <f>IF(OR(AQ89="",AR89=""),"",(AQ89+AR89)/2)</f>
        <v>0</v>
      </c>
      <c r="AT89">
        <f>IF(COUNT($G$70:$G$89)&lt;20,"",STDEV($G$70:$G$89)*SQRT(12))</f>
        <v>0</v>
      </c>
      <c r="AU89">
        <f>IF(COUNT($E$2:$E89)&lt;9,"",(MAX($C$81:$C$89)+MIN($D$81:$D$89))/2)</f>
        <v>0</v>
      </c>
      <c r="AV89">
        <f>IF(COUNT($E$2:$E89)&lt;26,"",(MAX($C$64:$C$89)+MIN($D$64:$D$89))/2)</f>
        <v>0</v>
      </c>
      <c r="AW89">
        <f>IF(OR(AU89="",AV89=""),"",(AU89+AV89)/2)</f>
        <v>0</v>
      </c>
      <c r="AX89">
        <f>IF(COUNT($E$2:$E89)&lt;52,"",(MAX($C$38:$C$89)+MIN($D$38:$D$89))/2)</f>
        <v>0</v>
      </c>
      <c r="AY89">
        <f>IF(COUNT($E$2:$E89)&lt;20,"",MAX($C$2:$C$89))</f>
        <v>0</v>
      </c>
      <c r="AZ89">
        <f>IF(COUNT($E$2:$E89)&lt;20,"",MIN($D$2:$D$89))</f>
        <v>0</v>
      </c>
      <c r="BA89">
        <f>IF(COUNT($E$2:$E89)&lt;20,"",SLOPE($E$2:$E$89,$F$2:$F$89))</f>
        <v>0</v>
      </c>
      <c r="BB89">
        <f>IF(COUNT($E$2:$E89)&lt;20,"",INTERCEPT($E$2:$E$89,$F$2:$F$89))</f>
        <v>0</v>
      </c>
      <c r="BC89">
        <f>IF(OR(BA89="",BB89=""),"",BB89+BA89*F89)</f>
        <v>0</v>
      </c>
      <c r="BD89">
        <f>IF(COUNT($E$2:$E89)&lt;20,"",STEYX($E$2:$E$89,$F$2:$F$89))</f>
        <v>0</v>
      </c>
      <c r="BE89">
        <f>IF($E89="","",IF(AND(COUNT($E$90:$E$93)&gt;=4,$C89=MAX($C$85:$C$93)),$C89,""))</f>
        <v>0</v>
      </c>
      <c r="BF89">
        <f>IF($E89="","",IF(AND(COUNT($E$90:$E$93)&gt;=4,$D89=MIN($D$85:$D$93)),$D89,""))</f>
        <v>0</v>
      </c>
      <c r="BG89">
        <f>IFERROR(SMALL(Calc_Daily!$BT$2:$BT$2001,88),"")</f>
        <v>0</v>
      </c>
    </row>
    <row r="90" spans="1:59">
      <c r="A90" s="27">
        <f>IF($BG90="","",INDEX(Calc_Daily!$A$2:$A$2001,$BG90))</f>
        <v>0</v>
      </c>
      <c r="B90">
        <f>IF($BG90="","",INDEX(Calc_Daily!$BQ$2:$BQ$2001,$BG90))</f>
        <v>0</v>
      </c>
      <c r="C90">
        <f>IF($BG90="","",INDEX(Calc_Daily!$BR$2:$BR$2001,$BG90))</f>
        <v>0</v>
      </c>
      <c r="D90">
        <f>IF($BG90="","",INDEX(Calc_Daily!$BS$2:$BS$2001,$BG90))</f>
        <v>0</v>
      </c>
      <c r="E90">
        <f>IF($BG90="","",INDEX(Calc_Daily!$E$2:$E$2001,$BG90))</f>
        <v>0</v>
      </c>
      <c r="F90">
        <f>IF($E90="","",N(F89)+1)</f>
        <v>0</v>
      </c>
      <c r="G90">
        <f>IF(OR($E90="",$E89=""),"",LN($E90/$E89))</f>
        <v>0</v>
      </c>
      <c r="H90">
        <f>IF($E90="","",IF($E89="",$E90,$E90*0.0952380952+H89*0.9047619048))</f>
        <v>0</v>
      </c>
      <c r="I90">
        <f>IF($E90="","",IF($E89="",$E90,$E90*0.0392156863+I89*0.9607843137))</f>
        <v>0</v>
      </c>
      <c r="J90">
        <f>IF($E90="","",IF($E89="",$E90,$E90*0.0198019802+J89*0.9801980198))</f>
        <v>0</v>
      </c>
      <c r="K90">
        <f>IF($E90="","",IF($E89="",$E90,$E90*0.0099502488+K89*0.9900497512))</f>
        <v>0</v>
      </c>
      <c r="L90">
        <f>IF(OR($E90="",$E89=""),"",MAX($E90-$E89,0))</f>
        <v>0</v>
      </c>
      <c r="M90">
        <f>IF(OR($E90="",$E89=""),"",MAX($E89-$E90,0))</f>
        <v>0</v>
      </c>
      <c r="N90">
        <f>IF(COUNT($E$2:$E90)&lt;15,"",IF(AVERAGE($M$77:$M$90)=0,100,100-100/(1+AVERAGE($L$77:$L$90)/AVERAGE($M$77:$M$90))))</f>
        <v>0</v>
      </c>
      <c r="O90">
        <f>IF($E90="","",IF($E89="",$E90,$E90*0.1538461538+O89*0.8461538462))</f>
        <v>0</v>
      </c>
      <c r="P90">
        <f>IF($E90="","",IF($E89="",$E90,$E90*0.0740740741+P89*0.9259259259))</f>
        <v>0</v>
      </c>
      <c r="Q90">
        <f>IF(OR(O90="",P90=""),"",O90-P90)</f>
        <v>0</v>
      </c>
      <c r="R90">
        <f>IF(Q90="","",IF(R89="",Q90,Q90*0.2000000000+R89*0.8000000000))</f>
        <v>0</v>
      </c>
      <c r="S90">
        <f>IF(OR(Q90="",R90=""),"",Q90-R90)</f>
        <v>0</v>
      </c>
      <c r="T90">
        <f>IF(COUNT($E$2:$E90)&lt;14,"",MAX($C$77:$C$90))</f>
        <v>0</v>
      </c>
      <c r="U90">
        <f>IF(COUNT($E$2:$E90)&lt;14,"",MIN($D$77:$D$90))</f>
        <v>0</v>
      </c>
      <c r="V90">
        <f>IF(OR(T90="",U90="",T90=U90),"",100*($E90-U90)/(T90-U90))</f>
        <v>0</v>
      </c>
      <c r="W90">
        <f>IF(COUNT($V$88:$V$90)&lt;3,"",AVERAGE($V$88:$V$90))</f>
        <v>0</v>
      </c>
      <c r="X90">
        <f>IF(COUNT($N$77:$N$90)&lt;14,"",MIN($N$77:$N$90))</f>
        <v>0</v>
      </c>
      <c r="Y90">
        <f>IF(COUNT($N$77:$N$90)&lt;14,"",MAX($N$77:$N$90))</f>
        <v>0</v>
      </c>
      <c r="Z90">
        <f>IF(OR(N90="",X90="",Y90="",Y90=X90),"",100*(N90-X90)/(Y90-X90))</f>
        <v>0</v>
      </c>
      <c r="AA90">
        <f>IF(COUNT($Z$88:$Z$90)&lt;3,"",AVERAGE($Z$88:$Z$90))</f>
        <v>0</v>
      </c>
      <c r="AB90">
        <f>IF(COUNT($AA$88:$AA$90)&lt;3,"",AVERAGE($AA$88:$AA$90))</f>
        <v>0</v>
      </c>
      <c r="AC90">
        <f>IF($E90="","",MAX($C90-$D90,ABS($C90-$E89),ABS($D90-$E89)))</f>
        <v>0</v>
      </c>
      <c r="AD90">
        <f>IF(COUNT($E$2:$E90)&lt;15,"",AVERAGE($AC$77:$AC$90))</f>
        <v>0</v>
      </c>
      <c r="AE90">
        <f>IF(OR($E90="",$E89=""),"",IF(AND(($C90-$C89)&gt;($D89-$D90),($C90-$C89)&gt;0),$C90-$C89,0))</f>
        <v>0</v>
      </c>
      <c r="AF90">
        <f>IF(OR($E90="",$E89=""),"",IF(AND(($D89-$D90)&gt;($C90-$C89),($D89-$D90)&gt;0),$D89-$D90,0))</f>
        <v>0</v>
      </c>
      <c r="AG90">
        <f>IF(COUNT($E$2:$E90)&lt;15,"",IF(SUM($AC$77:$AC$90)=0,0,100*SUM($AE$77:$AE$90)/SUM($AC$77:$AC$90)))</f>
        <v>0</v>
      </c>
      <c r="AH90">
        <f>IF(COUNT($E$2:$E90)&lt;15,"",IF(SUM($AC$77:$AC$90)=0,0,100*SUM($AF$77:$AF$90)/SUM($AC$77:$AC$90)))</f>
        <v>0</v>
      </c>
      <c r="AI90">
        <f>IF(OR(AG90="",AH90=""),"",IF((AG90+AH90)=0,0,100*ABS(AG90-AH90)/(AG90+AH90)))</f>
        <v>0</v>
      </c>
      <c r="AJ90">
        <f>IF(COUNT($AI$77:$AI$90)&lt;14,"",AVERAGE($AI$77:$AI$90))</f>
        <v>0</v>
      </c>
      <c r="AK90">
        <f>IF(COUNT($E$2:$E90)&lt;20,"",AVERAGE($E$71:$E$90))</f>
        <v>0</v>
      </c>
      <c r="AL90">
        <f>IF(COUNT($E$2:$E90)&lt;20,"",STDEVP($E$71:$E$90))</f>
        <v>0</v>
      </c>
      <c r="AM90">
        <f>IF(AK90="","",AK90+2*AL90)</f>
        <v>0</v>
      </c>
      <c r="AN90">
        <f>IF(AK90="","",AK90-2*AL90)</f>
        <v>0</v>
      </c>
      <c r="AO90">
        <f>IF(OR(AM90="",AN90="",AM90=AN90),"",($E90-AN90)/(AM90-AN90))</f>
        <v>0</v>
      </c>
      <c r="AP90">
        <f>IF(OR(AM90="",AK90="",AK90=0),"",(AM90-AN90)/AK90)</f>
        <v>0</v>
      </c>
      <c r="AQ90">
        <f>IF(COUNT($E$2:$E90)&lt;20,"",MAX($C$71:$C$90))</f>
        <v>0</v>
      </c>
      <c r="AR90">
        <f>IF(COUNT($E$2:$E90)&lt;20,"",MIN($D$71:$D$90))</f>
        <v>0</v>
      </c>
      <c r="AS90">
        <f>IF(OR(AQ90="",AR90=""),"",(AQ90+AR90)/2)</f>
        <v>0</v>
      </c>
      <c r="AT90">
        <f>IF(COUNT($G$71:$G$90)&lt;20,"",STDEV($G$71:$G$90)*SQRT(12))</f>
        <v>0</v>
      </c>
      <c r="AU90">
        <f>IF(COUNT($E$2:$E90)&lt;9,"",(MAX($C$82:$C$90)+MIN($D$82:$D$90))/2)</f>
        <v>0</v>
      </c>
      <c r="AV90">
        <f>IF(COUNT($E$2:$E90)&lt;26,"",(MAX($C$65:$C$90)+MIN($D$65:$D$90))/2)</f>
        <v>0</v>
      </c>
      <c r="AW90">
        <f>IF(OR(AU90="",AV90=""),"",(AU90+AV90)/2)</f>
        <v>0</v>
      </c>
      <c r="AX90">
        <f>IF(COUNT($E$2:$E90)&lt;52,"",(MAX($C$39:$C$90)+MIN($D$39:$D$90))/2)</f>
        <v>0</v>
      </c>
      <c r="AY90">
        <f>IF(COUNT($E$2:$E90)&lt;20,"",MAX($C$2:$C$90))</f>
        <v>0</v>
      </c>
      <c r="AZ90">
        <f>IF(COUNT($E$2:$E90)&lt;20,"",MIN($D$2:$D$90))</f>
        <v>0</v>
      </c>
      <c r="BA90">
        <f>IF(COUNT($E$2:$E90)&lt;20,"",SLOPE($E$2:$E$90,$F$2:$F$90))</f>
        <v>0</v>
      </c>
      <c r="BB90">
        <f>IF(COUNT($E$2:$E90)&lt;20,"",INTERCEPT($E$2:$E$90,$F$2:$F$90))</f>
        <v>0</v>
      </c>
      <c r="BC90">
        <f>IF(OR(BA90="",BB90=""),"",BB90+BA90*F90)</f>
        <v>0</v>
      </c>
      <c r="BD90">
        <f>IF(COUNT($E$2:$E90)&lt;20,"",STEYX($E$2:$E$90,$F$2:$F$90))</f>
        <v>0</v>
      </c>
      <c r="BE90">
        <f>IF($E90="","",IF(AND(COUNT($E$91:$E$94)&gt;=4,$C90=MAX($C$86:$C$94)),$C90,""))</f>
        <v>0</v>
      </c>
      <c r="BF90">
        <f>IF($E90="","",IF(AND(COUNT($E$91:$E$94)&gt;=4,$D90=MIN($D$86:$D$94)),$D90,""))</f>
        <v>0</v>
      </c>
      <c r="BG90">
        <f>IFERROR(SMALL(Calc_Daily!$BT$2:$BT$2001,89),"")</f>
        <v>0</v>
      </c>
    </row>
    <row r="91" spans="1:59">
      <c r="A91" s="27">
        <f>IF($BG91="","",INDEX(Calc_Daily!$A$2:$A$2001,$BG91))</f>
        <v>0</v>
      </c>
      <c r="B91">
        <f>IF($BG91="","",INDEX(Calc_Daily!$BQ$2:$BQ$2001,$BG91))</f>
        <v>0</v>
      </c>
      <c r="C91">
        <f>IF($BG91="","",INDEX(Calc_Daily!$BR$2:$BR$2001,$BG91))</f>
        <v>0</v>
      </c>
      <c r="D91">
        <f>IF($BG91="","",INDEX(Calc_Daily!$BS$2:$BS$2001,$BG91))</f>
        <v>0</v>
      </c>
      <c r="E91">
        <f>IF($BG91="","",INDEX(Calc_Daily!$E$2:$E$2001,$BG91))</f>
        <v>0</v>
      </c>
      <c r="F91">
        <f>IF($E91="","",N(F90)+1)</f>
        <v>0</v>
      </c>
      <c r="G91">
        <f>IF(OR($E91="",$E90=""),"",LN($E91/$E90))</f>
        <v>0</v>
      </c>
      <c r="H91">
        <f>IF($E91="","",IF($E90="",$E91,$E91*0.0952380952+H90*0.9047619048))</f>
        <v>0</v>
      </c>
      <c r="I91">
        <f>IF($E91="","",IF($E90="",$E91,$E91*0.0392156863+I90*0.9607843137))</f>
        <v>0</v>
      </c>
      <c r="J91">
        <f>IF($E91="","",IF($E90="",$E91,$E91*0.0198019802+J90*0.9801980198))</f>
        <v>0</v>
      </c>
      <c r="K91">
        <f>IF($E91="","",IF($E90="",$E91,$E91*0.0099502488+K90*0.9900497512))</f>
        <v>0</v>
      </c>
      <c r="L91">
        <f>IF(OR($E91="",$E90=""),"",MAX($E91-$E90,0))</f>
        <v>0</v>
      </c>
      <c r="M91">
        <f>IF(OR($E91="",$E90=""),"",MAX($E90-$E91,0))</f>
        <v>0</v>
      </c>
      <c r="N91">
        <f>IF(COUNT($E$2:$E91)&lt;15,"",IF(AVERAGE($M$78:$M$91)=0,100,100-100/(1+AVERAGE($L$78:$L$91)/AVERAGE($M$78:$M$91))))</f>
        <v>0</v>
      </c>
      <c r="O91">
        <f>IF($E91="","",IF($E90="",$E91,$E91*0.1538461538+O90*0.8461538462))</f>
        <v>0</v>
      </c>
      <c r="P91">
        <f>IF($E91="","",IF($E90="",$E91,$E91*0.0740740741+P90*0.9259259259))</f>
        <v>0</v>
      </c>
      <c r="Q91">
        <f>IF(OR(O91="",P91=""),"",O91-P91)</f>
        <v>0</v>
      </c>
      <c r="R91">
        <f>IF(Q91="","",IF(R90="",Q91,Q91*0.2000000000+R90*0.8000000000))</f>
        <v>0</v>
      </c>
      <c r="S91">
        <f>IF(OR(Q91="",R91=""),"",Q91-R91)</f>
        <v>0</v>
      </c>
      <c r="T91">
        <f>IF(COUNT($E$2:$E91)&lt;14,"",MAX($C$78:$C$91))</f>
        <v>0</v>
      </c>
      <c r="U91">
        <f>IF(COUNT($E$2:$E91)&lt;14,"",MIN($D$78:$D$91))</f>
        <v>0</v>
      </c>
      <c r="V91">
        <f>IF(OR(T91="",U91="",T91=U91),"",100*($E91-U91)/(T91-U91))</f>
        <v>0</v>
      </c>
      <c r="W91">
        <f>IF(COUNT($V$89:$V$91)&lt;3,"",AVERAGE($V$89:$V$91))</f>
        <v>0</v>
      </c>
      <c r="X91">
        <f>IF(COUNT($N$78:$N$91)&lt;14,"",MIN($N$78:$N$91))</f>
        <v>0</v>
      </c>
      <c r="Y91">
        <f>IF(COUNT($N$78:$N$91)&lt;14,"",MAX($N$78:$N$91))</f>
        <v>0</v>
      </c>
      <c r="Z91">
        <f>IF(OR(N91="",X91="",Y91="",Y91=X91),"",100*(N91-X91)/(Y91-X91))</f>
        <v>0</v>
      </c>
      <c r="AA91">
        <f>IF(COUNT($Z$89:$Z$91)&lt;3,"",AVERAGE($Z$89:$Z$91))</f>
        <v>0</v>
      </c>
      <c r="AB91">
        <f>IF(COUNT($AA$89:$AA$91)&lt;3,"",AVERAGE($AA$89:$AA$91))</f>
        <v>0</v>
      </c>
      <c r="AC91">
        <f>IF($E91="","",MAX($C91-$D91,ABS($C91-$E90),ABS($D91-$E90)))</f>
        <v>0</v>
      </c>
      <c r="AD91">
        <f>IF(COUNT($E$2:$E91)&lt;15,"",AVERAGE($AC$78:$AC$91))</f>
        <v>0</v>
      </c>
      <c r="AE91">
        <f>IF(OR($E91="",$E90=""),"",IF(AND(($C91-$C90)&gt;($D90-$D91),($C91-$C90)&gt;0),$C91-$C90,0))</f>
        <v>0</v>
      </c>
      <c r="AF91">
        <f>IF(OR($E91="",$E90=""),"",IF(AND(($D90-$D91)&gt;($C91-$C90),($D90-$D91)&gt;0),$D90-$D91,0))</f>
        <v>0</v>
      </c>
      <c r="AG91">
        <f>IF(COUNT($E$2:$E91)&lt;15,"",IF(SUM($AC$78:$AC$91)=0,0,100*SUM($AE$78:$AE$91)/SUM($AC$78:$AC$91)))</f>
        <v>0</v>
      </c>
      <c r="AH91">
        <f>IF(COUNT($E$2:$E91)&lt;15,"",IF(SUM($AC$78:$AC$91)=0,0,100*SUM($AF$78:$AF$91)/SUM($AC$78:$AC$91)))</f>
        <v>0</v>
      </c>
      <c r="AI91">
        <f>IF(OR(AG91="",AH91=""),"",IF((AG91+AH91)=0,0,100*ABS(AG91-AH91)/(AG91+AH91)))</f>
        <v>0</v>
      </c>
      <c r="AJ91">
        <f>IF(COUNT($AI$78:$AI$91)&lt;14,"",AVERAGE($AI$78:$AI$91))</f>
        <v>0</v>
      </c>
      <c r="AK91">
        <f>IF(COUNT($E$2:$E91)&lt;20,"",AVERAGE($E$72:$E$91))</f>
        <v>0</v>
      </c>
      <c r="AL91">
        <f>IF(COUNT($E$2:$E91)&lt;20,"",STDEVP($E$72:$E$91))</f>
        <v>0</v>
      </c>
      <c r="AM91">
        <f>IF(AK91="","",AK91+2*AL91)</f>
        <v>0</v>
      </c>
      <c r="AN91">
        <f>IF(AK91="","",AK91-2*AL91)</f>
        <v>0</v>
      </c>
      <c r="AO91">
        <f>IF(OR(AM91="",AN91="",AM91=AN91),"",($E91-AN91)/(AM91-AN91))</f>
        <v>0</v>
      </c>
      <c r="AP91">
        <f>IF(OR(AM91="",AK91="",AK91=0),"",(AM91-AN91)/AK91)</f>
        <v>0</v>
      </c>
      <c r="AQ91">
        <f>IF(COUNT($E$2:$E91)&lt;20,"",MAX($C$72:$C$91))</f>
        <v>0</v>
      </c>
      <c r="AR91">
        <f>IF(COUNT($E$2:$E91)&lt;20,"",MIN($D$72:$D$91))</f>
        <v>0</v>
      </c>
      <c r="AS91">
        <f>IF(OR(AQ91="",AR91=""),"",(AQ91+AR91)/2)</f>
        <v>0</v>
      </c>
      <c r="AT91">
        <f>IF(COUNT($G$72:$G$91)&lt;20,"",STDEV($G$72:$G$91)*SQRT(12))</f>
        <v>0</v>
      </c>
      <c r="AU91">
        <f>IF(COUNT($E$2:$E91)&lt;9,"",(MAX($C$83:$C$91)+MIN($D$83:$D$91))/2)</f>
        <v>0</v>
      </c>
      <c r="AV91">
        <f>IF(COUNT($E$2:$E91)&lt;26,"",(MAX($C$66:$C$91)+MIN($D$66:$D$91))/2)</f>
        <v>0</v>
      </c>
      <c r="AW91">
        <f>IF(OR(AU91="",AV91=""),"",(AU91+AV91)/2)</f>
        <v>0</v>
      </c>
      <c r="AX91">
        <f>IF(COUNT($E$2:$E91)&lt;52,"",(MAX($C$40:$C$91)+MIN($D$40:$D$91))/2)</f>
        <v>0</v>
      </c>
      <c r="AY91">
        <f>IF(COUNT($E$2:$E91)&lt;20,"",MAX($C$2:$C$91))</f>
        <v>0</v>
      </c>
      <c r="AZ91">
        <f>IF(COUNT($E$2:$E91)&lt;20,"",MIN($D$2:$D$91))</f>
        <v>0</v>
      </c>
      <c r="BA91">
        <f>IF(COUNT($E$2:$E91)&lt;20,"",SLOPE($E$2:$E$91,$F$2:$F$91))</f>
        <v>0</v>
      </c>
      <c r="BB91">
        <f>IF(COUNT($E$2:$E91)&lt;20,"",INTERCEPT($E$2:$E$91,$F$2:$F$91))</f>
        <v>0</v>
      </c>
      <c r="BC91">
        <f>IF(OR(BA91="",BB91=""),"",BB91+BA91*F91)</f>
        <v>0</v>
      </c>
      <c r="BD91">
        <f>IF(COUNT($E$2:$E91)&lt;20,"",STEYX($E$2:$E$91,$F$2:$F$91))</f>
        <v>0</v>
      </c>
      <c r="BE91">
        <f>IF($E91="","",IF(AND(COUNT($E$92:$E$95)&gt;=4,$C91=MAX($C$87:$C$95)),$C91,""))</f>
        <v>0</v>
      </c>
      <c r="BF91">
        <f>IF($E91="","",IF(AND(COUNT($E$92:$E$95)&gt;=4,$D91=MIN($D$87:$D$95)),$D91,""))</f>
        <v>0</v>
      </c>
      <c r="BG91">
        <f>IFERROR(SMALL(Calc_Daily!$BT$2:$BT$2001,90),"")</f>
        <v>0</v>
      </c>
    </row>
    <row r="92" spans="1:59">
      <c r="A92" s="27">
        <f>IF($BG92="","",INDEX(Calc_Daily!$A$2:$A$2001,$BG92))</f>
        <v>0</v>
      </c>
      <c r="B92">
        <f>IF($BG92="","",INDEX(Calc_Daily!$BQ$2:$BQ$2001,$BG92))</f>
        <v>0</v>
      </c>
      <c r="C92">
        <f>IF($BG92="","",INDEX(Calc_Daily!$BR$2:$BR$2001,$BG92))</f>
        <v>0</v>
      </c>
      <c r="D92">
        <f>IF($BG92="","",INDEX(Calc_Daily!$BS$2:$BS$2001,$BG92))</f>
        <v>0</v>
      </c>
      <c r="E92">
        <f>IF($BG92="","",INDEX(Calc_Daily!$E$2:$E$2001,$BG92))</f>
        <v>0</v>
      </c>
      <c r="F92">
        <f>IF($E92="","",N(F91)+1)</f>
        <v>0</v>
      </c>
      <c r="G92">
        <f>IF(OR($E92="",$E91=""),"",LN($E92/$E91))</f>
        <v>0</v>
      </c>
      <c r="H92">
        <f>IF($E92="","",IF($E91="",$E92,$E92*0.0952380952+H91*0.9047619048))</f>
        <v>0</v>
      </c>
      <c r="I92">
        <f>IF($E92="","",IF($E91="",$E92,$E92*0.0392156863+I91*0.9607843137))</f>
        <v>0</v>
      </c>
      <c r="J92">
        <f>IF($E92="","",IF($E91="",$E92,$E92*0.0198019802+J91*0.9801980198))</f>
        <v>0</v>
      </c>
      <c r="K92">
        <f>IF($E92="","",IF($E91="",$E92,$E92*0.0099502488+K91*0.9900497512))</f>
        <v>0</v>
      </c>
      <c r="L92">
        <f>IF(OR($E92="",$E91=""),"",MAX($E92-$E91,0))</f>
        <v>0</v>
      </c>
      <c r="M92">
        <f>IF(OR($E92="",$E91=""),"",MAX($E91-$E92,0))</f>
        <v>0</v>
      </c>
      <c r="N92">
        <f>IF(COUNT($E$2:$E92)&lt;15,"",IF(AVERAGE($M$79:$M$92)=0,100,100-100/(1+AVERAGE($L$79:$L$92)/AVERAGE($M$79:$M$92))))</f>
        <v>0</v>
      </c>
      <c r="O92">
        <f>IF($E92="","",IF($E91="",$E92,$E92*0.1538461538+O91*0.8461538462))</f>
        <v>0</v>
      </c>
      <c r="P92">
        <f>IF($E92="","",IF($E91="",$E92,$E92*0.0740740741+P91*0.9259259259))</f>
        <v>0</v>
      </c>
      <c r="Q92">
        <f>IF(OR(O92="",P92=""),"",O92-P92)</f>
        <v>0</v>
      </c>
      <c r="R92">
        <f>IF(Q92="","",IF(R91="",Q92,Q92*0.2000000000+R91*0.8000000000))</f>
        <v>0</v>
      </c>
      <c r="S92">
        <f>IF(OR(Q92="",R92=""),"",Q92-R92)</f>
        <v>0</v>
      </c>
      <c r="T92">
        <f>IF(COUNT($E$2:$E92)&lt;14,"",MAX($C$79:$C$92))</f>
        <v>0</v>
      </c>
      <c r="U92">
        <f>IF(COUNT($E$2:$E92)&lt;14,"",MIN($D$79:$D$92))</f>
        <v>0</v>
      </c>
      <c r="V92">
        <f>IF(OR(T92="",U92="",T92=U92),"",100*($E92-U92)/(T92-U92))</f>
        <v>0</v>
      </c>
      <c r="W92">
        <f>IF(COUNT($V$90:$V$92)&lt;3,"",AVERAGE($V$90:$V$92))</f>
        <v>0</v>
      </c>
      <c r="X92">
        <f>IF(COUNT($N$79:$N$92)&lt;14,"",MIN($N$79:$N$92))</f>
        <v>0</v>
      </c>
      <c r="Y92">
        <f>IF(COUNT($N$79:$N$92)&lt;14,"",MAX($N$79:$N$92))</f>
        <v>0</v>
      </c>
      <c r="Z92">
        <f>IF(OR(N92="",X92="",Y92="",Y92=X92),"",100*(N92-X92)/(Y92-X92))</f>
        <v>0</v>
      </c>
      <c r="AA92">
        <f>IF(COUNT($Z$90:$Z$92)&lt;3,"",AVERAGE($Z$90:$Z$92))</f>
        <v>0</v>
      </c>
      <c r="AB92">
        <f>IF(COUNT($AA$90:$AA$92)&lt;3,"",AVERAGE($AA$90:$AA$92))</f>
        <v>0</v>
      </c>
      <c r="AC92">
        <f>IF($E92="","",MAX($C92-$D92,ABS($C92-$E91),ABS($D92-$E91)))</f>
        <v>0</v>
      </c>
      <c r="AD92">
        <f>IF(COUNT($E$2:$E92)&lt;15,"",AVERAGE($AC$79:$AC$92))</f>
        <v>0</v>
      </c>
      <c r="AE92">
        <f>IF(OR($E92="",$E91=""),"",IF(AND(($C92-$C91)&gt;($D91-$D92),($C92-$C91)&gt;0),$C92-$C91,0))</f>
        <v>0</v>
      </c>
      <c r="AF92">
        <f>IF(OR($E92="",$E91=""),"",IF(AND(($D91-$D92)&gt;($C92-$C91),($D91-$D92)&gt;0),$D91-$D92,0))</f>
        <v>0</v>
      </c>
      <c r="AG92">
        <f>IF(COUNT($E$2:$E92)&lt;15,"",IF(SUM($AC$79:$AC$92)=0,0,100*SUM($AE$79:$AE$92)/SUM($AC$79:$AC$92)))</f>
        <v>0</v>
      </c>
      <c r="AH92">
        <f>IF(COUNT($E$2:$E92)&lt;15,"",IF(SUM($AC$79:$AC$92)=0,0,100*SUM($AF$79:$AF$92)/SUM($AC$79:$AC$92)))</f>
        <v>0</v>
      </c>
      <c r="AI92">
        <f>IF(OR(AG92="",AH92=""),"",IF((AG92+AH92)=0,0,100*ABS(AG92-AH92)/(AG92+AH92)))</f>
        <v>0</v>
      </c>
      <c r="AJ92">
        <f>IF(COUNT($AI$79:$AI$92)&lt;14,"",AVERAGE($AI$79:$AI$92))</f>
        <v>0</v>
      </c>
      <c r="AK92">
        <f>IF(COUNT($E$2:$E92)&lt;20,"",AVERAGE($E$73:$E$92))</f>
        <v>0</v>
      </c>
      <c r="AL92">
        <f>IF(COUNT($E$2:$E92)&lt;20,"",STDEVP($E$73:$E$92))</f>
        <v>0</v>
      </c>
      <c r="AM92">
        <f>IF(AK92="","",AK92+2*AL92)</f>
        <v>0</v>
      </c>
      <c r="AN92">
        <f>IF(AK92="","",AK92-2*AL92)</f>
        <v>0</v>
      </c>
      <c r="AO92">
        <f>IF(OR(AM92="",AN92="",AM92=AN92),"",($E92-AN92)/(AM92-AN92))</f>
        <v>0</v>
      </c>
      <c r="AP92">
        <f>IF(OR(AM92="",AK92="",AK92=0),"",(AM92-AN92)/AK92)</f>
        <v>0</v>
      </c>
      <c r="AQ92">
        <f>IF(COUNT($E$2:$E92)&lt;20,"",MAX($C$73:$C$92))</f>
        <v>0</v>
      </c>
      <c r="AR92">
        <f>IF(COUNT($E$2:$E92)&lt;20,"",MIN($D$73:$D$92))</f>
        <v>0</v>
      </c>
      <c r="AS92">
        <f>IF(OR(AQ92="",AR92=""),"",(AQ92+AR92)/2)</f>
        <v>0</v>
      </c>
      <c r="AT92">
        <f>IF(COUNT($G$73:$G$92)&lt;20,"",STDEV($G$73:$G$92)*SQRT(12))</f>
        <v>0</v>
      </c>
      <c r="AU92">
        <f>IF(COUNT($E$2:$E92)&lt;9,"",(MAX($C$84:$C$92)+MIN($D$84:$D$92))/2)</f>
        <v>0</v>
      </c>
      <c r="AV92">
        <f>IF(COUNT($E$2:$E92)&lt;26,"",(MAX($C$67:$C$92)+MIN($D$67:$D$92))/2)</f>
        <v>0</v>
      </c>
      <c r="AW92">
        <f>IF(OR(AU92="",AV92=""),"",(AU92+AV92)/2)</f>
        <v>0</v>
      </c>
      <c r="AX92">
        <f>IF(COUNT($E$2:$E92)&lt;52,"",(MAX($C$41:$C$92)+MIN($D$41:$D$92))/2)</f>
        <v>0</v>
      </c>
      <c r="AY92">
        <f>IF(COUNT($E$2:$E92)&lt;20,"",MAX($C$2:$C$92))</f>
        <v>0</v>
      </c>
      <c r="AZ92">
        <f>IF(COUNT($E$2:$E92)&lt;20,"",MIN($D$2:$D$92))</f>
        <v>0</v>
      </c>
      <c r="BA92">
        <f>IF(COUNT($E$2:$E92)&lt;20,"",SLOPE($E$2:$E$92,$F$2:$F$92))</f>
        <v>0</v>
      </c>
      <c r="BB92">
        <f>IF(COUNT($E$2:$E92)&lt;20,"",INTERCEPT($E$2:$E$92,$F$2:$F$92))</f>
        <v>0</v>
      </c>
      <c r="BC92">
        <f>IF(OR(BA92="",BB92=""),"",BB92+BA92*F92)</f>
        <v>0</v>
      </c>
      <c r="BD92">
        <f>IF(COUNT($E$2:$E92)&lt;20,"",STEYX($E$2:$E$92,$F$2:$F$92))</f>
        <v>0</v>
      </c>
      <c r="BE92">
        <f>IF($E92="","",IF(AND(COUNT($E$93:$E$96)&gt;=4,$C92=MAX($C$88:$C$96)),$C92,""))</f>
        <v>0</v>
      </c>
      <c r="BF92">
        <f>IF($E92="","",IF(AND(COUNT($E$93:$E$96)&gt;=4,$D92=MIN($D$88:$D$96)),$D92,""))</f>
        <v>0</v>
      </c>
      <c r="BG92">
        <f>IFERROR(SMALL(Calc_Daily!$BT$2:$BT$2001,91),"")</f>
        <v>0</v>
      </c>
    </row>
    <row r="93" spans="1:59">
      <c r="A93" s="27">
        <f>IF($BG93="","",INDEX(Calc_Daily!$A$2:$A$2001,$BG93))</f>
        <v>0</v>
      </c>
      <c r="B93">
        <f>IF($BG93="","",INDEX(Calc_Daily!$BQ$2:$BQ$2001,$BG93))</f>
        <v>0</v>
      </c>
      <c r="C93">
        <f>IF($BG93="","",INDEX(Calc_Daily!$BR$2:$BR$2001,$BG93))</f>
        <v>0</v>
      </c>
      <c r="D93">
        <f>IF($BG93="","",INDEX(Calc_Daily!$BS$2:$BS$2001,$BG93))</f>
        <v>0</v>
      </c>
      <c r="E93">
        <f>IF($BG93="","",INDEX(Calc_Daily!$E$2:$E$2001,$BG93))</f>
        <v>0</v>
      </c>
      <c r="F93">
        <f>IF($E93="","",N(F92)+1)</f>
        <v>0</v>
      </c>
      <c r="G93">
        <f>IF(OR($E93="",$E92=""),"",LN($E93/$E92))</f>
        <v>0</v>
      </c>
      <c r="H93">
        <f>IF($E93="","",IF($E92="",$E93,$E93*0.0952380952+H92*0.9047619048))</f>
        <v>0</v>
      </c>
      <c r="I93">
        <f>IF($E93="","",IF($E92="",$E93,$E93*0.0392156863+I92*0.9607843137))</f>
        <v>0</v>
      </c>
      <c r="J93">
        <f>IF($E93="","",IF($E92="",$E93,$E93*0.0198019802+J92*0.9801980198))</f>
        <v>0</v>
      </c>
      <c r="K93">
        <f>IF($E93="","",IF($E92="",$E93,$E93*0.0099502488+K92*0.9900497512))</f>
        <v>0</v>
      </c>
      <c r="L93">
        <f>IF(OR($E93="",$E92=""),"",MAX($E93-$E92,0))</f>
        <v>0</v>
      </c>
      <c r="M93">
        <f>IF(OR($E93="",$E92=""),"",MAX($E92-$E93,0))</f>
        <v>0</v>
      </c>
      <c r="N93">
        <f>IF(COUNT($E$2:$E93)&lt;15,"",IF(AVERAGE($M$80:$M$93)=0,100,100-100/(1+AVERAGE($L$80:$L$93)/AVERAGE($M$80:$M$93))))</f>
        <v>0</v>
      </c>
      <c r="O93">
        <f>IF($E93="","",IF($E92="",$E93,$E93*0.1538461538+O92*0.8461538462))</f>
        <v>0</v>
      </c>
      <c r="P93">
        <f>IF($E93="","",IF($E92="",$E93,$E93*0.0740740741+P92*0.9259259259))</f>
        <v>0</v>
      </c>
      <c r="Q93">
        <f>IF(OR(O93="",P93=""),"",O93-P93)</f>
        <v>0</v>
      </c>
      <c r="R93">
        <f>IF(Q93="","",IF(R92="",Q93,Q93*0.2000000000+R92*0.8000000000))</f>
        <v>0</v>
      </c>
      <c r="S93">
        <f>IF(OR(Q93="",R93=""),"",Q93-R93)</f>
        <v>0</v>
      </c>
      <c r="T93">
        <f>IF(COUNT($E$2:$E93)&lt;14,"",MAX($C$80:$C$93))</f>
        <v>0</v>
      </c>
      <c r="U93">
        <f>IF(COUNT($E$2:$E93)&lt;14,"",MIN($D$80:$D$93))</f>
        <v>0</v>
      </c>
      <c r="V93">
        <f>IF(OR(T93="",U93="",T93=U93),"",100*($E93-U93)/(T93-U93))</f>
        <v>0</v>
      </c>
      <c r="W93">
        <f>IF(COUNT($V$91:$V$93)&lt;3,"",AVERAGE($V$91:$V$93))</f>
        <v>0</v>
      </c>
      <c r="X93">
        <f>IF(COUNT($N$80:$N$93)&lt;14,"",MIN($N$80:$N$93))</f>
        <v>0</v>
      </c>
      <c r="Y93">
        <f>IF(COUNT($N$80:$N$93)&lt;14,"",MAX($N$80:$N$93))</f>
        <v>0</v>
      </c>
      <c r="Z93">
        <f>IF(OR(N93="",X93="",Y93="",Y93=X93),"",100*(N93-X93)/(Y93-X93))</f>
        <v>0</v>
      </c>
      <c r="AA93">
        <f>IF(COUNT($Z$91:$Z$93)&lt;3,"",AVERAGE($Z$91:$Z$93))</f>
        <v>0</v>
      </c>
      <c r="AB93">
        <f>IF(COUNT($AA$91:$AA$93)&lt;3,"",AVERAGE($AA$91:$AA$93))</f>
        <v>0</v>
      </c>
      <c r="AC93">
        <f>IF($E93="","",MAX($C93-$D93,ABS($C93-$E92),ABS($D93-$E92)))</f>
        <v>0</v>
      </c>
      <c r="AD93">
        <f>IF(COUNT($E$2:$E93)&lt;15,"",AVERAGE($AC$80:$AC$93))</f>
        <v>0</v>
      </c>
      <c r="AE93">
        <f>IF(OR($E93="",$E92=""),"",IF(AND(($C93-$C92)&gt;($D92-$D93),($C93-$C92)&gt;0),$C93-$C92,0))</f>
        <v>0</v>
      </c>
      <c r="AF93">
        <f>IF(OR($E93="",$E92=""),"",IF(AND(($D92-$D93)&gt;($C93-$C92),($D92-$D93)&gt;0),$D92-$D93,0))</f>
        <v>0</v>
      </c>
      <c r="AG93">
        <f>IF(COUNT($E$2:$E93)&lt;15,"",IF(SUM($AC$80:$AC$93)=0,0,100*SUM($AE$80:$AE$93)/SUM($AC$80:$AC$93)))</f>
        <v>0</v>
      </c>
      <c r="AH93">
        <f>IF(COUNT($E$2:$E93)&lt;15,"",IF(SUM($AC$80:$AC$93)=0,0,100*SUM($AF$80:$AF$93)/SUM($AC$80:$AC$93)))</f>
        <v>0</v>
      </c>
      <c r="AI93">
        <f>IF(OR(AG93="",AH93=""),"",IF((AG93+AH93)=0,0,100*ABS(AG93-AH93)/(AG93+AH93)))</f>
        <v>0</v>
      </c>
      <c r="AJ93">
        <f>IF(COUNT($AI$80:$AI$93)&lt;14,"",AVERAGE($AI$80:$AI$93))</f>
        <v>0</v>
      </c>
      <c r="AK93">
        <f>IF(COUNT($E$2:$E93)&lt;20,"",AVERAGE($E$74:$E$93))</f>
        <v>0</v>
      </c>
      <c r="AL93">
        <f>IF(COUNT($E$2:$E93)&lt;20,"",STDEVP($E$74:$E$93))</f>
        <v>0</v>
      </c>
      <c r="AM93">
        <f>IF(AK93="","",AK93+2*AL93)</f>
        <v>0</v>
      </c>
      <c r="AN93">
        <f>IF(AK93="","",AK93-2*AL93)</f>
        <v>0</v>
      </c>
      <c r="AO93">
        <f>IF(OR(AM93="",AN93="",AM93=AN93),"",($E93-AN93)/(AM93-AN93))</f>
        <v>0</v>
      </c>
      <c r="AP93">
        <f>IF(OR(AM93="",AK93="",AK93=0),"",(AM93-AN93)/AK93)</f>
        <v>0</v>
      </c>
      <c r="AQ93">
        <f>IF(COUNT($E$2:$E93)&lt;20,"",MAX($C$74:$C$93))</f>
        <v>0</v>
      </c>
      <c r="AR93">
        <f>IF(COUNT($E$2:$E93)&lt;20,"",MIN($D$74:$D$93))</f>
        <v>0</v>
      </c>
      <c r="AS93">
        <f>IF(OR(AQ93="",AR93=""),"",(AQ93+AR93)/2)</f>
        <v>0</v>
      </c>
      <c r="AT93">
        <f>IF(COUNT($G$74:$G$93)&lt;20,"",STDEV($G$74:$G$93)*SQRT(12))</f>
        <v>0</v>
      </c>
      <c r="AU93">
        <f>IF(COUNT($E$2:$E93)&lt;9,"",(MAX($C$85:$C$93)+MIN($D$85:$D$93))/2)</f>
        <v>0</v>
      </c>
      <c r="AV93">
        <f>IF(COUNT($E$2:$E93)&lt;26,"",(MAX($C$68:$C$93)+MIN($D$68:$D$93))/2)</f>
        <v>0</v>
      </c>
      <c r="AW93">
        <f>IF(OR(AU93="",AV93=""),"",(AU93+AV93)/2)</f>
        <v>0</v>
      </c>
      <c r="AX93">
        <f>IF(COUNT($E$2:$E93)&lt;52,"",(MAX($C$42:$C$93)+MIN($D$42:$D$93))/2)</f>
        <v>0</v>
      </c>
      <c r="AY93">
        <f>IF(COUNT($E$2:$E93)&lt;20,"",MAX($C$2:$C$93))</f>
        <v>0</v>
      </c>
      <c r="AZ93">
        <f>IF(COUNT($E$2:$E93)&lt;20,"",MIN($D$2:$D$93))</f>
        <v>0</v>
      </c>
      <c r="BA93">
        <f>IF(COUNT($E$2:$E93)&lt;20,"",SLOPE($E$2:$E$93,$F$2:$F$93))</f>
        <v>0</v>
      </c>
      <c r="BB93">
        <f>IF(COUNT($E$2:$E93)&lt;20,"",INTERCEPT($E$2:$E$93,$F$2:$F$93))</f>
        <v>0</v>
      </c>
      <c r="BC93">
        <f>IF(OR(BA93="",BB93=""),"",BB93+BA93*F93)</f>
        <v>0</v>
      </c>
      <c r="BD93">
        <f>IF(COUNT($E$2:$E93)&lt;20,"",STEYX($E$2:$E$93,$F$2:$F$93))</f>
        <v>0</v>
      </c>
      <c r="BE93">
        <f>IF($E93="","",IF(AND(COUNT($E$94:$E$97)&gt;=4,$C93=MAX($C$89:$C$97)),$C93,""))</f>
        <v>0</v>
      </c>
      <c r="BF93">
        <f>IF($E93="","",IF(AND(COUNT($E$94:$E$97)&gt;=4,$D93=MIN($D$89:$D$97)),$D93,""))</f>
        <v>0</v>
      </c>
      <c r="BG93">
        <f>IFERROR(SMALL(Calc_Daily!$BT$2:$BT$2001,92),"")</f>
        <v>0</v>
      </c>
    </row>
    <row r="94" spans="1:59">
      <c r="A94" s="27">
        <f>IF($BG94="","",INDEX(Calc_Daily!$A$2:$A$2001,$BG94))</f>
        <v>0</v>
      </c>
      <c r="B94">
        <f>IF($BG94="","",INDEX(Calc_Daily!$BQ$2:$BQ$2001,$BG94))</f>
        <v>0</v>
      </c>
      <c r="C94">
        <f>IF($BG94="","",INDEX(Calc_Daily!$BR$2:$BR$2001,$BG94))</f>
        <v>0</v>
      </c>
      <c r="D94">
        <f>IF($BG94="","",INDEX(Calc_Daily!$BS$2:$BS$2001,$BG94))</f>
        <v>0</v>
      </c>
      <c r="E94">
        <f>IF($BG94="","",INDEX(Calc_Daily!$E$2:$E$2001,$BG94))</f>
        <v>0</v>
      </c>
      <c r="F94">
        <f>IF($E94="","",N(F93)+1)</f>
        <v>0</v>
      </c>
      <c r="G94">
        <f>IF(OR($E94="",$E93=""),"",LN($E94/$E93))</f>
        <v>0</v>
      </c>
      <c r="H94">
        <f>IF($E94="","",IF($E93="",$E94,$E94*0.0952380952+H93*0.9047619048))</f>
        <v>0</v>
      </c>
      <c r="I94">
        <f>IF($E94="","",IF($E93="",$E94,$E94*0.0392156863+I93*0.9607843137))</f>
        <v>0</v>
      </c>
      <c r="J94">
        <f>IF($E94="","",IF($E93="",$E94,$E94*0.0198019802+J93*0.9801980198))</f>
        <v>0</v>
      </c>
      <c r="K94">
        <f>IF($E94="","",IF($E93="",$E94,$E94*0.0099502488+K93*0.9900497512))</f>
        <v>0</v>
      </c>
      <c r="L94">
        <f>IF(OR($E94="",$E93=""),"",MAX($E94-$E93,0))</f>
        <v>0</v>
      </c>
      <c r="M94">
        <f>IF(OR($E94="",$E93=""),"",MAX($E93-$E94,0))</f>
        <v>0</v>
      </c>
      <c r="N94">
        <f>IF(COUNT($E$2:$E94)&lt;15,"",IF(AVERAGE($M$81:$M$94)=0,100,100-100/(1+AVERAGE($L$81:$L$94)/AVERAGE($M$81:$M$94))))</f>
        <v>0</v>
      </c>
      <c r="O94">
        <f>IF($E94="","",IF($E93="",$E94,$E94*0.1538461538+O93*0.8461538462))</f>
        <v>0</v>
      </c>
      <c r="P94">
        <f>IF($E94="","",IF($E93="",$E94,$E94*0.0740740741+P93*0.9259259259))</f>
        <v>0</v>
      </c>
      <c r="Q94">
        <f>IF(OR(O94="",P94=""),"",O94-P94)</f>
        <v>0</v>
      </c>
      <c r="R94">
        <f>IF(Q94="","",IF(R93="",Q94,Q94*0.2000000000+R93*0.8000000000))</f>
        <v>0</v>
      </c>
      <c r="S94">
        <f>IF(OR(Q94="",R94=""),"",Q94-R94)</f>
        <v>0</v>
      </c>
      <c r="T94">
        <f>IF(COUNT($E$2:$E94)&lt;14,"",MAX($C$81:$C$94))</f>
        <v>0</v>
      </c>
      <c r="U94">
        <f>IF(COUNT($E$2:$E94)&lt;14,"",MIN($D$81:$D$94))</f>
        <v>0</v>
      </c>
      <c r="V94">
        <f>IF(OR(T94="",U94="",T94=U94),"",100*($E94-U94)/(T94-U94))</f>
        <v>0</v>
      </c>
      <c r="W94">
        <f>IF(COUNT($V$92:$V$94)&lt;3,"",AVERAGE($V$92:$V$94))</f>
        <v>0</v>
      </c>
      <c r="X94">
        <f>IF(COUNT($N$81:$N$94)&lt;14,"",MIN($N$81:$N$94))</f>
        <v>0</v>
      </c>
      <c r="Y94">
        <f>IF(COUNT($N$81:$N$94)&lt;14,"",MAX($N$81:$N$94))</f>
        <v>0</v>
      </c>
      <c r="Z94">
        <f>IF(OR(N94="",X94="",Y94="",Y94=X94),"",100*(N94-X94)/(Y94-X94))</f>
        <v>0</v>
      </c>
      <c r="AA94">
        <f>IF(COUNT($Z$92:$Z$94)&lt;3,"",AVERAGE($Z$92:$Z$94))</f>
        <v>0</v>
      </c>
      <c r="AB94">
        <f>IF(COUNT($AA$92:$AA$94)&lt;3,"",AVERAGE($AA$92:$AA$94))</f>
        <v>0</v>
      </c>
      <c r="AC94">
        <f>IF($E94="","",MAX($C94-$D94,ABS($C94-$E93),ABS($D94-$E93)))</f>
        <v>0</v>
      </c>
      <c r="AD94">
        <f>IF(COUNT($E$2:$E94)&lt;15,"",AVERAGE($AC$81:$AC$94))</f>
        <v>0</v>
      </c>
      <c r="AE94">
        <f>IF(OR($E94="",$E93=""),"",IF(AND(($C94-$C93)&gt;($D93-$D94),($C94-$C93)&gt;0),$C94-$C93,0))</f>
        <v>0</v>
      </c>
      <c r="AF94">
        <f>IF(OR($E94="",$E93=""),"",IF(AND(($D93-$D94)&gt;($C94-$C93),($D93-$D94)&gt;0),$D93-$D94,0))</f>
        <v>0</v>
      </c>
      <c r="AG94">
        <f>IF(COUNT($E$2:$E94)&lt;15,"",IF(SUM($AC$81:$AC$94)=0,0,100*SUM($AE$81:$AE$94)/SUM($AC$81:$AC$94)))</f>
        <v>0</v>
      </c>
      <c r="AH94">
        <f>IF(COUNT($E$2:$E94)&lt;15,"",IF(SUM($AC$81:$AC$94)=0,0,100*SUM($AF$81:$AF$94)/SUM($AC$81:$AC$94)))</f>
        <v>0</v>
      </c>
      <c r="AI94">
        <f>IF(OR(AG94="",AH94=""),"",IF((AG94+AH94)=0,0,100*ABS(AG94-AH94)/(AG94+AH94)))</f>
        <v>0</v>
      </c>
      <c r="AJ94">
        <f>IF(COUNT($AI$81:$AI$94)&lt;14,"",AVERAGE($AI$81:$AI$94))</f>
        <v>0</v>
      </c>
      <c r="AK94">
        <f>IF(COUNT($E$2:$E94)&lt;20,"",AVERAGE($E$75:$E$94))</f>
        <v>0</v>
      </c>
      <c r="AL94">
        <f>IF(COUNT($E$2:$E94)&lt;20,"",STDEVP($E$75:$E$94))</f>
        <v>0</v>
      </c>
      <c r="AM94">
        <f>IF(AK94="","",AK94+2*AL94)</f>
        <v>0</v>
      </c>
      <c r="AN94">
        <f>IF(AK94="","",AK94-2*AL94)</f>
        <v>0</v>
      </c>
      <c r="AO94">
        <f>IF(OR(AM94="",AN94="",AM94=AN94),"",($E94-AN94)/(AM94-AN94))</f>
        <v>0</v>
      </c>
      <c r="AP94">
        <f>IF(OR(AM94="",AK94="",AK94=0),"",(AM94-AN94)/AK94)</f>
        <v>0</v>
      </c>
      <c r="AQ94">
        <f>IF(COUNT($E$2:$E94)&lt;20,"",MAX($C$75:$C$94))</f>
        <v>0</v>
      </c>
      <c r="AR94">
        <f>IF(COUNT($E$2:$E94)&lt;20,"",MIN($D$75:$D$94))</f>
        <v>0</v>
      </c>
      <c r="AS94">
        <f>IF(OR(AQ94="",AR94=""),"",(AQ94+AR94)/2)</f>
        <v>0</v>
      </c>
      <c r="AT94">
        <f>IF(COUNT($G$75:$G$94)&lt;20,"",STDEV($G$75:$G$94)*SQRT(12))</f>
        <v>0</v>
      </c>
      <c r="AU94">
        <f>IF(COUNT($E$2:$E94)&lt;9,"",(MAX($C$86:$C$94)+MIN($D$86:$D$94))/2)</f>
        <v>0</v>
      </c>
      <c r="AV94">
        <f>IF(COUNT($E$2:$E94)&lt;26,"",(MAX($C$69:$C$94)+MIN($D$69:$D$94))/2)</f>
        <v>0</v>
      </c>
      <c r="AW94">
        <f>IF(OR(AU94="",AV94=""),"",(AU94+AV94)/2)</f>
        <v>0</v>
      </c>
      <c r="AX94">
        <f>IF(COUNT($E$2:$E94)&lt;52,"",(MAX($C$43:$C$94)+MIN($D$43:$D$94))/2)</f>
        <v>0</v>
      </c>
      <c r="AY94">
        <f>IF(COUNT($E$2:$E94)&lt;20,"",MAX($C$2:$C$94))</f>
        <v>0</v>
      </c>
      <c r="AZ94">
        <f>IF(COUNT($E$2:$E94)&lt;20,"",MIN($D$2:$D$94))</f>
        <v>0</v>
      </c>
      <c r="BA94">
        <f>IF(COUNT($E$2:$E94)&lt;20,"",SLOPE($E$2:$E$94,$F$2:$F$94))</f>
        <v>0</v>
      </c>
      <c r="BB94">
        <f>IF(COUNT($E$2:$E94)&lt;20,"",INTERCEPT($E$2:$E$94,$F$2:$F$94))</f>
        <v>0</v>
      </c>
      <c r="BC94">
        <f>IF(OR(BA94="",BB94=""),"",BB94+BA94*F94)</f>
        <v>0</v>
      </c>
      <c r="BD94">
        <f>IF(COUNT($E$2:$E94)&lt;20,"",STEYX($E$2:$E$94,$F$2:$F$94))</f>
        <v>0</v>
      </c>
      <c r="BE94">
        <f>IF($E94="","",IF(AND(COUNT($E$95:$E$98)&gt;=4,$C94=MAX($C$90:$C$98)),$C94,""))</f>
        <v>0</v>
      </c>
      <c r="BF94">
        <f>IF($E94="","",IF(AND(COUNT($E$95:$E$98)&gt;=4,$D94=MIN($D$90:$D$98)),$D94,""))</f>
        <v>0</v>
      </c>
      <c r="BG94">
        <f>IFERROR(SMALL(Calc_Daily!$BT$2:$BT$2001,93),"")</f>
        <v>0</v>
      </c>
    </row>
    <row r="95" spans="1:59">
      <c r="A95" s="27">
        <f>IF($BG95="","",INDEX(Calc_Daily!$A$2:$A$2001,$BG95))</f>
        <v>0</v>
      </c>
      <c r="B95">
        <f>IF($BG95="","",INDEX(Calc_Daily!$BQ$2:$BQ$2001,$BG95))</f>
        <v>0</v>
      </c>
      <c r="C95">
        <f>IF($BG95="","",INDEX(Calc_Daily!$BR$2:$BR$2001,$BG95))</f>
        <v>0</v>
      </c>
      <c r="D95">
        <f>IF($BG95="","",INDEX(Calc_Daily!$BS$2:$BS$2001,$BG95))</f>
        <v>0</v>
      </c>
      <c r="E95">
        <f>IF($BG95="","",INDEX(Calc_Daily!$E$2:$E$2001,$BG95))</f>
        <v>0</v>
      </c>
      <c r="F95">
        <f>IF($E95="","",N(F94)+1)</f>
        <v>0</v>
      </c>
      <c r="G95">
        <f>IF(OR($E95="",$E94=""),"",LN($E95/$E94))</f>
        <v>0</v>
      </c>
      <c r="H95">
        <f>IF($E95="","",IF($E94="",$E95,$E95*0.0952380952+H94*0.9047619048))</f>
        <v>0</v>
      </c>
      <c r="I95">
        <f>IF($E95="","",IF($E94="",$E95,$E95*0.0392156863+I94*0.9607843137))</f>
        <v>0</v>
      </c>
      <c r="J95">
        <f>IF($E95="","",IF($E94="",$E95,$E95*0.0198019802+J94*0.9801980198))</f>
        <v>0</v>
      </c>
      <c r="K95">
        <f>IF($E95="","",IF($E94="",$E95,$E95*0.0099502488+K94*0.9900497512))</f>
        <v>0</v>
      </c>
      <c r="L95">
        <f>IF(OR($E95="",$E94=""),"",MAX($E95-$E94,0))</f>
        <v>0</v>
      </c>
      <c r="M95">
        <f>IF(OR($E95="",$E94=""),"",MAX($E94-$E95,0))</f>
        <v>0</v>
      </c>
      <c r="N95">
        <f>IF(COUNT($E$2:$E95)&lt;15,"",IF(AVERAGE($M$82:$M$95)=0,100,100-100/(1+AVERAGE($L$82:$L$95)/AVERAGE($M$82:$M$95))))</f>
        <v>0</v>
      </c>
      <c r="O95">
        <f>IF($E95="","",IF($E94="",$E95,$E95*0.1538461538+O94*0.8461538462))</f>
        <v>0</v>
      </c>
      <c r="P95">
        <f>IF($E95="","",IF($E94="",$E95,$E95*0.0740740741+P94*0.9259259259))</f>
        <v>0</v>
      </c>
      <c r="Q95">
        <f>IF(OR(O95="",P95=""),"",O95-P95)</f>
        <v>0</v>
      </c>
      <c r="R95">
        <f>IF(Q95="","",IF(R94="",Q95,Q95*0.2000000000+R94*0.8000000000))</f>
        <v>0</v>
      </c>
      <c r="S95">
        <f>IF(OR(Q95="",R95=""),"",Q95-R95)</f>
        <v>0</v>
      </c>
      <c r="T95">
        <f>IF(COUNT($E$2:$E95)&lt;14,"",MAX($C$82:$C$95))</f>
        <v>0</v>
      </c>
      <c r="U95">
        <f>IF(COUNT($E$2:$E95)&lt;14,"",MIN($D$82:$D$95))</f>
        <v>0</v>
      </c>
      <c r="V95">
        <f>IF(OR(T95="",U95="",T95=U95),"",100*($E95-U95)/(T95-U95))</f>
        <v>0</v>
      </c>
      <c r="W95">
        <f>IF(COUNT($V$93:$V$95)&lt;3,"",AVERAGE($V$93:$V$95))</f>
        <v>0</v>
      </c>
      <c r="X95">
        <f>IF(COUNT($N$82:$N$95)&lt;14,"",MIN($N$82:$N$95))</f>
        <v>0</v>
      </c>
      <c r="Y95">
        <f>IF(COUNT($N$82:$N$95)&lt;14,"",MAX($N$82:$N$95))</f>
        <v>0</v>
      </c>
      <c r="Z95">
        <f>IF(OR(N95="",X95="",Y95="",Y95=X95),"",100*(N95-X95)/(Y95-X95))</f>
        <v>0</v>
      </c>
      <c r="AA95">
        <f>IF(COUNT($Z$93:$Z$95)&lt;3,"",AVERAGE($Z$93:$Z$95))</f>
        <v>0</v>
      </c>
      <c r="AB95">
        <f>IF(COUNT($AA$93:$AA$95)&lt;3,"",AVERAGE($AA$93:$AA$95))</f>
        <v>0</v>
      </c>
      <c r="AC95">
        <f>IF($E95="","",MAX($C95-$D95,ABS($C95-$E94),ABS($D95-$E94)))</f>
        <v>0</v>
      </c>
      <c r="AD95">
        <f>IF(COUNT($E$2:$E95)&lt;15,"",AVERAGE($AC$82:$AC$95))</f>
        <v>0</v>
      </c>
      <c r="AE95">
        <f>IF(OR($E95="",$E94=""),"",IF(AND(($C95-$C94)&gt;($D94-$D95),($C95-$C94)&gt;0),$C95-$C94,0))</f>
        <v>0</v>
      </c>
      <c r="AF95">
        <f>IF(OR($E95="",$E94=""),"",IF(AND(($D94-$D95)&gt;($C95-$C94),($D94-$D95)&gt;0),$D94-$D95,0))</f>
        <v>0</v>
      </c>
      <c r="AG95">
        <f>IF(COUNT($E$2:$E95)&lt;15,"",IF(SUM($AC$82:$AC$95)=0,0,100*SUM($AE$82:$AE$95)/SUM($AC$82:$AC$95)))</f>
        <v>0</v>
      </c>
      <c r="AH95">
        <f>IF(COUNT($E$2:$E95)&lt;15,"",IF(SUM($AC$82:$AC$95)=0,0,100*SUM($AF$82:$AF$95)/SUM($AC$82:$AC$95)))</f>
        <v>0</v>
      </c>
      <c r="AI95">
        <f>IF(OR(AG95="",AH95=""),"",IF((AG95+AH95)=0,0,100*ABS(AG95-AH95)/(AG95+AH95)))</f>
        <v>0</v>
      </c>
      <c r="AJ95">
        <f>IF(COUNT($AI$82:$AI$95)&lt;14,"",AVERAGE($AI$82:$AI$95))</f>
        <v>0</v>
      </c>
      <c r="AK95">
        <f>IF(COUNT($E$2:$E95)&lt;20,"",AVERAGE($E$76:$E$95))</f>
        <v>0</v>
      </c>
      <c r="AL95">
        <f>IF(COUNT($E$2:$E95)&lt;20,"",STDEVP($E$76:$E$95))</f>
        <v>0</v>
      </c>
      <c r="AM95">
        <f>IF(AK95="","",AK95+2*AL95)</f>
        <v>0</v>
      </c>
      <c r="AN95">
        <f>IF(AK95="","",AK95-2*AL95)</f>
        <v>0</v>
      </c>
      <c r="AO95">
        <f>IF(OR(AM95="",AN95="",AM95=AN95),"",($E95-AN95)/(AM95-AN95))</f>
        <v>0</v>
      </c>
      <c r="AP95">
        <f>IF(OR(AM95="",AK95="",AK95=0),"",(AM95-AN95)/AK95)</f>
        <v>0</v>
      </c>
      <c r="AQ95">
        <f>IF(COUNT($E$2:$E95)&lt;20,"",MAX($C$76:$C$95))</f>
        <v>0</v>
      </c>
      <c r="AR95">
        <f>IF(COUNT($E$2:$E95)&lt;20,"",MIN($D$76:$D$95))</f>
        <v>0</v>
      </c>
      <c r="AS95">
        <f>IF(OR(AQ95="",AR95=""),"",(AQ95+AR95)/2)</f>
        <v>0</v>
      </c>
      <c r="AT95">
        <f>IF(COUNT($G$76:$G$95)&lt;20,"",STDEV($G$76:$G$95)*SQRT(12))</f>
        <v>0</v>
      </c>
      <c r="AU95">
        <f>IF(COUNT($E$2:$E95)&lt;9,"",(MAX($C$87:$C$95)+MIN($D$87:$D$95))/2)</f>
        <v>0</v>
      </c>
      <c r="AV95">
        <f>IF(COUNT($E$2:$E95)&lt;26,"",(MAX($C$70:$C$95)+MIN($D$70:$D$95))/2)</f>
        <v>0</v>
      </c>
      <c r="AW95">
        <f>IF(OR(AU95="",AV95=""),"",(AU95+AV95)/2)</f>
        <v>0</v>
      </c>
      <c r="AX95">
        <f>IF(COUNT($E$2:$E95)&lt;52,"",(MAX($C$44:$C$95)+MIN($D$44:$D$95))/2)</f>
        <v>0</v>
      </c>
      <c r="AY95">
        <f>IF(COUNT($E$2:$E95)&lt;20,"",MAX($C$2:$C$95))</f>
        <v>0</v>
      </c>
      <c r="AZ95">
        <f>IF(COUNT($E$2:$E95)&lt;20,"",MIN($D$2:$D$95))</f>
        <v>0</v>
      </c>
      <c r="BA95">
        <f>IF(COUNT($E$2:$E95)&lt;20,"",SLOPE($E$2:$E$95,$F$2:$F$95))</f>
        <v>0</v>
      </c>
      <c r="BB95">
        <f>IF(COUNT($E$2:$E95)&lt;20,"",INTERCEPT($E$2:$E$95,$F$2:$F$95))</f>
        <v>0</v>
      </c>
      <c r="BC95">
        <f>IF(OR(BA95="",BB95=""),"",BB95+BA95*F95)</f>
        <v>0</v>
      </c>
      <c r="BD95">
        <f>IF(COUNT($E$2:$E95)&lt;20,"",STEYX($E$2:$E$95,$F$2:$F$95))</f>
        <v>0</v>
      </c>
      <c r="BE95">
        <f>IF($E95="","",IF(AND(COUNT($E$96:$E$99)&gt;=4,$C95=MAX($C$91:$C$99)),$C95,""))</f>
        <v>0</v>
      </c>
      <c r="BF95">
        <f>IF($E95="","",IF(AND(COUNT($E$96:$E$99)&gt;=4,$D95=MIN($D$91:$D$99)),$D95,""))</f>
        <v>0</v>
      </c>
      <c r="BG95">
        <f>IFERROR(SMALL(Calc_Daily!$BT$2:$BT$2001,94),"")</f>
        <v>0</v>
      </c>
    </row>
    <row r="96" spans="1:59">
      <c r="A96" s="27">
        <f>IF($BG96="","",INDEX(Calc_Daily!$A$2:$A$2001,$BG96))</f>
        <v>0</v>
      </c>
      <c r="B96">
        <f>IF($BG96="","",INDEX(Calc_Daily!$BQ$2:$BQ$2001,$BG96))</f>
        <v>0</v>
      </c>
      <c r="C96">
        <f>IF($BG96="","",INDEX(Calc_Daily!$BR$2:$BR$2001,$BG96))</f>
        <v>0</v>
      </c>
      <c r="D96">
        <f>IF($BG96="","",INDEX(Calc_Daily!$BS$2:$BS$2001,$BG96))</f>
        <v>0</v>
      </c>
      <c r="E96">
        <f>IF($BG96="","",INDEX(Calc_Daily!$E$2:$E$2001,$BG96))</f>
        <v>0</v>
      </c>
      <c r="F96">
        <f>IF($E96="","",N(F95)+1)</f>
        <v>0</v>
      </c>
      <c r="G96">
        <f>IF(OR($E96="",$E95=""),"",LN($E96/$E95))</f>
        <v>0</v>
      </c>
      <c r="H96">
        <f>IF($E96="","",IF($E95="",$E96,$E96*0.0952380952+H95*0.9047619048))</f>
        <v>0</v>
      </c>
      <c r="I96">
        <f>IF($E96="","",IF($E95="",$E96,$E96*0.0392156863+I95*0.9607843137))</f>
        <v>0</v>
      </c>
      <c r="J96">
        <f>IF($E96="","",IF($E95="",$E96,$E96*0.0198019802+J95*0.9801980198))</f>
        <v>0</v>
      </c>
      <c r="K96">
        <f>IF($E96="","",IF($E95="",$E96,$E96*0.0099502488+K95*0.9900497512))</f>
        <v>0</v>
      </c>
      <c r="L96">
        <f>IF(OR($E96="",$E95=""),"",MAX($E96-$E95,0))</f>
        <v>0</v>
      </c>
      <c r="M96">
        <f>IF(OR($E96="",$E95=""),"",MAX($E95-$E96,0))</f>
        <v>0</v>
      </c>
      <c r="N96">
        <f>IF(COUNT($E$2:$E96)&lt;15,"",IF(AVERAGE($M$83:$M$96)=0,100,100-100/(1+AVERAGE($L$83:$L$96)/AVERAGE($M$83:$M$96))))</f>
        <v>0</v>
      </c>
      <c r="O96">
        <f>IF($E96="","",IF($E95="",$E96,$E96*0.1538461538+O95*0.8461538462))</f>
        <v>0</v>
      </c>
      <c r="P96">
        <f>IF($E96="","",IF($E95="",$E96,$E96*0.0740740741+P95*0.9259259259))</f>
        <v>0</v>
      </c>
      <c r="Q96">
        <f>IF(OR(O96="",P96=""),"",O96-P96)</f>
        <v>0</v>
      </c>
      <c r="R96">
        <f>IF(Q96="","",IF(R95="",Q96,Q96*0.2000000000+R95*0.8000000000))</f>
        <v>0</v>
      </c>
      <c r="S96">
        <f>IF(OR(Q96="",R96=""),"",Q96-R96)</f>
        <v>0</v>
      </c>
      <c r="T96">
        <f>IF(COUNT($E$2:$E96)&lt;14,"",MAX($C$83:$C$96))</f>
        <v>0</v>
      </c>
      <c r="U96">
        <f>IF(COUNT($E$2:$E96)&lt;14,"",MIN($D$83:$D$96))</f>
        <v>0</v>
      </c>
      <c r="V96">
        <f>IF(OR(T96="",U96="",T96=U96),"",100*($E96-U96)/(T96-U96))</f>
        <v>0</v>
      </c>
      <c r="W96">
        <f>IF(COUNT($V$94:$V$96)&lt;3,"",AVERAGE($V$94:$V$96))</f>
        <v>0</v>
      </c>
      <c r="X96">
        <f>IF(COUNT($N$83:$N$96)&lt;14,"",MIN($N$83:$N$96))</f>
        <v>0</v>
      </c>
      <c r="Y96">
        <f>IF(COUNT($N$83:$N$96)&lt;14,"",MAX($N$83:$N$96))</f>
        <v>0</v>
      </c>
      <c r="Z96">
        <f>IF(OR(N96="",X96="",Y96="",Y96=X96),"",100*(N96-X96)/(Y96-X96))</f>
        <v>0</v>
      </c>
      <c r="AA96">
        <f>IF(COUNT($Z$94:$Z$96)&lt;3,"",AVERAGE($Z$94:$Z$96))</f>
        <v>0</v>
      </c>
      <c r="AB96">
        <f>IF(COUNT($AA$94:$AA$96)&lt;3,"",AVERAGE($AA$94:$AA$96))</f>
        <v>0</v>
      </c>
      <c r="AC96">
        <f>IF($E96="","",MAX($C96-$D96,ABS($C96-$E95),ABS($D96-$E95)))</f>
        <v>0</v>
      </c>
      <c r="AD96">
        <f>IF(COUNT($E$2:$E96)&lt;15,"",AVERAGE($AC$83:$AC$96))</f>
        <v>0</v>
      </c>
      <c r="AE96">
        <f>IF(OR($E96="",$E95=""),"",IF(AND(($C96-$C95)&gt;($D95-$D96),($C96-$C95)&gt;0),$C96-$C95,0))</f>
        <v>0</v>
      </c>
      <c r="AF96">
        <f>IF(OR($E96="",$E95=""),"",IF(AND(($D95-$D96)&gt;($C96-$C95),($D95-$D96)&gt;0),$D95-$D96,0))</f>
        <v>0</v>
      </c>
      <c r="AG96">
        <f>IF(COUNT($E$2:$E96)&lt;15,"",IF(SUM($AC$83:$AC$96)=0,0,100*SUM($AE$83:$AE$96)/SUM($AC$83:$AC$96)))</f>
        <v>0</v>
      </c>
      <c r="AH96">
        <f>IF(COUNT($E$2:$E96)&lt;15,"",IF(SUM($AC$83:$AC$96)=0,0,100*SUM($AF$83:$AF$96)/SUM($AC$83:$AC$96)))</f>
        <v>0</v>
      </c>
      <c r="AI96">
        <f>IF(OR(AG96="",AH96=""),"",IF((AG96+AH96)=0,0,100*ABS(AG96-AH96)/(AG96+AH96)))</f>
        <v>0</v>
      </c>
      <c r="AJ96">
        <f>IF(COUNT($AI$83:$AI$96)&lt;14,"",AVERAGE($AI$83:$AI$96))</f>
        <v>0</v>
      </c>
      <c r="AK96">
        <f>IF(COUNT($E$2:$E96)&lt;20,"",AVERAGE($E$77:$E$96))</f>
        <v>0</v>
      </c>
      <c r="AL96">
        <f>IF(COUNT($E$2:$E96)&lt;20,"",STDEVP($E$77:$E$96))</f>
        <v>0</v>
      </c>
      <c r="AM96">
        <f>IF(AK96="","",AK96+2*AL96)</f>
        <v>0</v>
      </c>
      <c r="AN96">
        <f>IF(AK96="","",AK96-2*AL96)</f>
        <v>0</v>
      </c>
      <c r="AO96">
        <f>IF(OR(AM96="",AN96="",AM96=AN96),"",($E96-AN96)/(AM96-AN96))</f>
        <v>0</v>
      </c>
      <c r="AP96">
        <f>IF(OR(AM96="",AK96="",AK96=0),"",(AM96-AN96)/AK96)</f>
        <v>0</v>
      </c>
      <c r="AQ96">
        <f>IF(COUNT($E$2:$E96)&lt;20,"",MAX($C$77:$C$96))</f>
        <v>0</v>
      </c>
      <c r="AR96">
        <f>IF(COUNT($E$2:$E96)&lt;20,"",MIN($D$77:$D$96))</f>
        <v>0</v>
      </c>
      <c r="AS96">
        <f>IF(OR(AQ96="",AR96=""),"",(AQ96+AR96)/2)</f>
        <v>0</v>
      </c>
      <c r="AT96">
        <f>IF(COUNT($G$77:$G$96)&lt;20,"",STDEV($G$77:$G$96)*SQRT(12))</f>
        <v>0</v>
      </c>
      <c r="AU96">
        <f>IF(COUNT($E$2:$E96)&lt;9,"",(MAX($C$88:$C$96)+MIN($D$88:$D$96))/2)</f>
        <v>0</v>
      </c>
      <c r="AV96">
        <f>IF(COUNT($E$2:$E96)&lt;26,"",(MAX($C$71:$C$96)+MIN($D$71:$D$96))/2)</f>
        <v>0</v>
      </c>
      <c r="AW96">
        <f>IF(OR(AU96="",AV96=""),"",(AU96+AV96)/2)</f>
        <v>0</v>
      </c>
      <c r="AX96">
        <f>IF(COUNT($E$2:$E96)&lt;52,"",(MAX($C$45:$C$96)+MIN($D$45:$D$96))/2)</f>
        <v>0</v>
      </c>
      <c r="AY96">
        <f>IF(COUNT($E$2:$E96)&lt;20,"",MAX($C$2:$C$96))</f>
        <v>0</v>
      </c>
      <c r="AZ96">
        <f>IF(COUNT($E$2:$E96)&lt;20,"",MIN($D$2:$D$96))</f>
        <v>0</v>
      </c>
      <c r="BA96">
        <f>IF(COUNT($E$2:$E96)&lt;20,"",SLOPE($E$2:$E$96,$F$2:$F$96))</f>
        <v>0</v>
      </c>
      <c r="BB96">
        <f>IF(COUNT($E$2:$E96)&lt;20,"",INTERCEPT($E$2:$E$96,$F$2:$F$96))</f>
        <v>0</v>
      </c>
      <c r="BC96">
        <f>IF(OR(BA96="",BB96=""),"",BB96+BA96*F96)</f>
        <v>0</v>
      </c>
      <c r="BD96">
        <f>IF(COUNT($E$2:$E96)&lt;20,"",STEYX($E$2:$E$96,$F$2:$F$96))</f>
        <v>0</v>
      </c>
      <c r="BE96">
        <f>IF($E96="","",IF(AND(COUNT($E$97:$E$100)&gt;=4,$C96=MAX($C$92:$C$100)),$C96,""))</f>
        <v>0</v>
      </c>
      <c r="BF96">
        <f>IF($E96="","",IF(AND(COUNT($E$97:$E$100)&gt;=4,$D96=MIN($D$92:$D$100)),$D96,""))</f>
        <v>0</v>
      </c>
      <c r="BG96">
        <f>IFERROR(SMALL(Calc_Daily!$BT$2:$BT$2001,95),"")</f>
        <v>0</v>
      </c>
    </row>
    <row r="97" spans="1:59">
      <c r="A97" s="27">
        <f>IF($BG97="","",INDEX(Calc_Daily!$A$2:$A$2001,$BG97))</f>
        <v>0</v>
      </c>
      <c r="B97">
        <f>IF($BG97="","",INDEX(Calc_Daily!$BQ$2:$BQ$2001,$BG97))</f>
        <v>0</v>
      </c>
      <c r="C97">
        <f>IF($BG97="","",INDEX(Calc_Daily!$BR$2:$BR$2001,$BG97))</f>
        <v>0</v>
      </c>
      <c r="D97">
        <f>IF($BG97="","",INDEX(Calc_Daily!$BS$2:$BS$2001,$BG97))</f>
        <v>0</v>
      </c>
      <c r="E97">
        <f>IF($BG97="","",INDEX(Calc_Daily!$E$2:$E$2001,$BG97))</f>
        <v>0</v>
      </c>
      <c r="F97">
        <f>IF($E97="","",N(F96)+1)</f>
        <v>0</v>
      </c>
      <c r="G97">
        <f>IF(OR($E97="",$E96=""),"",LN($E97/$E96))</f>
        <v>0</v>
      </c>
      <c r="H97">
        <f>IF($E97="","",IF($E96="",$E97,$E97*0.0952380952+H96*0.9047619048))</f>
        <v>0</v>
      </c>
      <c r="I97">
        <f>IF($E97="","",IF($E96="",$E97,$E97*0.0392156863+I96*0.9607843137))</f>
        <v>0</v>
      </c>
      <c r="J97">
        <f>IF($E97="","",IF($E96="",$E97,$E97*0.0198019802+J96*0.9801980198))</f>
        <v>0</v>
      </c>
      <c r="K97">
        <f>IF($E97="","",IF($E96="",$E97,$E97*0.0099502488+K96*0.9900497512))</f>
        <v>0</v>
      </c>
      <c r="L97">
        <f>IF(OR($E97="",$E96=""),"",MAX($E97-$E96,0))</f>
        <v>0</v>
      </c>
      <c r="M97">
        <f>IF(OR($E97="",$E96=""),"",MAX($E96-$E97,0))</f>
        <v>0</v>
      </c>
      <c r="N97">
        <f>IF(COUNT($E$2:$E97)&lt;15,"",IF(AVERAGE($M$84:$M$97)=0,100,100-100/(1+AVERAGE($L$84:$L$97)/AVERAGE($M$84:$M$97))))</f>
        <v>0</v>
      </c>
      <c r="O97">
        <f>IF($E97="","",IF($E96="",$E97,$E97*0.1538461538+O96*0.8461538462))</f>
        <v>0</v>
      </c>
      <c r="P97">
        <f>IF($E97="","",IF($E96="",$E97,$E97*0.0740740741+P96*0.9259259259))</f>
        <v>0</v>
      </c>
      <c r="Q97">
        <f>IF(OR(O97="",P97=""),"",O97-P97)</f>
        <v>0</v>
      </c>
      <c r="R97">
        <f>IF(Q97="","",IF(R96="",Q97,Q97*0.2000000000+R96*0.8000000000))</f>
        <v>0</v>
      </c>
      <c r="S97">
        <f>IF(OR(Q97="",R97=""),"",Q97-R97)</f>
        <v>0</v>
      </c>
      <c r="T97">
        <f>IF(COUNT($E$2:$E97)&lt;14,"",MAX($C$84:$C$97))</f>
        <v>0</v>
      </c>
      <c r="U97">
        <f>IF(COUNT($E$2:$E97)&lt;14,"",MIN($D$84:$D$97))</f>
        <v>0</v>
      </c>
      <c r="V97">
        <f>IF(OR(T97="",U97="",T97=U97),"",100*($E97-U97)/(T97-U97))</f>
        <v>0</v>
      </c>
      <c r="W97">
        <f>IF(COUNT($V$95:$V$97)&lt;3,"",AVERAGE($V$95:$V$97))</f>
        <v>0</v>
      </c>
      <c r="X97">
        <f>IF(COUNT($N$84:$N$97)&lt;14,"",MIN($N$84:$N$97))</f>
        <v>0</v>
      </c>
      <c r="Y97">
        <f>IF(COUNT($N$84:$N$97)&lt;14,"",MAX($N$84:$N$97))</f>
        <v>0</v>
      </c>
      <c r="Z97">
        <f>IF(OR(N97="",X97="",Y97="",Y97=X97),"",100*(N97-X97)/(Y97-X97))</f>
        <v>0</v>
      </c>
      <c r="AA97">
        <f>IF(COUNT($Z$95:$Z$97)&lt;3,"",AVERAGE($Z$95:$Z$97))</f>
        <v>0</v>
      </c>
      <c r="AB97">
        <f>IF(COUNT($AA$95:$AA$97)&lt;3,"",AVERAGE($AA$95:$AA$97))</f>
        <v>0</v>
      </c>
      <c r="AC97">
        <f>IF($E97="","",MAX($C97-$D97,ABS($C97-$E96),ABS($D97-$E96)))</f>
        <v>0</v>
      </c>
      <c r="AD97">
        <f>IF(COUNT($E$2:$E97)&lt;15,"",AVERAGE($AC$84:$AC$97))</f>
        <v>0</v>
      </c>
      <c r="AE97">
        <f>IF(OR($E97="",$E96=""),"",IF(AND(($C97-$C96)&gt;($D96-$D97),($C97-$C96)&gt;0),$C97-$C96,0))</f>
        <v>0</v>
      </c>
      <c r="AF97">
        <f>IF(OR($E97="",$E96=""),"",IF(AND(($D96-$D97)&gt;($C97-$C96),($D96-$D97)&gt;0),$D96-$D97,0))</f>
        <v>0</v>
      </c>
      <c r="AG97">
        <f>IF(COUNT($E$2:$E97)&lt;15,"",IF(SUM($AC$84:$AC$97)=0,0,100*SUM($AE$84:$AE$97)/SUM($AC$84:$AC$97)))</f>
        <v>0</v>
      </c>
      <c r="AH97">
        <f>IF(COUNT($E$2:$E97)&lt;15,"",IF(SUM($AC$84:$AC$97)=0,0,100*SUM($AF$84:$AF$97)/SUM($AC$84:$AC$97)))</f>
        <v>0</v>
      </c>
      <c r="AI97">
        <f>IF(OR(AG97="",AH97=""),"",IF((AG97+AH97)=0,0,100*ABS(AG97-AH97)/(AG97+AH97)))</f>
        <v>0</v>
      </c>
      <c r="AJ97">
        <f>IF(COUNT($AI$84:$AI$97)&lt;14,"",AVERAGE($AI$84:$AI$97))</f>
        <v>0</v>
      </c>
      <c r="AK97">
        <f>IF(COUNT($E$2:$E97)&lt;20,"",AVERAGE($E$78:$E$97))</f>
        <v>0</v>
      </c>
      <c r="AL97">
        <f>IF(COUNT($E$2:$E97)&lt;20,"",STDEVP($E$78:$E$97))</f>
        <v>0</v>
      </c>
      <c r="AM97">
        <f>IF(AK97="","",AK97+2*AL97)</f>
        <v>0</v>
      </c>
      <c r="AN97">
        <f>IF(AK97="","",AK97-2*AL97)</f>
        <v>0</v>
      </c>
      <c r="AO97">
        <f>IF(OR(AM97="",AN97="",AM97=AN97),"",($E97-AN97)/(AM97-AN97))</f>
        <v>0</v>
      </c>
      <c r="AP97">
        <f>IF(OR(AM97="",AK97="",AK97=0),"",(AM97-AN97)/AK97)</f>
        <v>0</v>
      </c>
      <c r="AQ97">
        <f>IF(COUNT($E$2:$E97)&lt;20,"",MAX($C$78:$C$97))</f>
        <v>0</v>
      </c>
      <c r="AR97">
        <f>IF(COUNT($E$2:$E97)&lt;20,"",MIN($D$78:$D$97))</f>
        <v>0</v>
      </c>
      <c r="AS97">
        <f>IF(OR(AQ97="",AR97=""),"",(AQ97+AR97)/2)</f>
        <v>0</v>
      </c>
      <c r="AT97">
        <f>IF(COUNT($G$78:$G$97)&lt;20,"",STDEV($G$78:$G$97)*SQRT(12))</f>
        <v>0</v>
      </c>
      <c r="AU97">
        <f>IF(COUNT($E$2:$E97)&lt;9,"",(MAX($C$89:$C$97)+MIN($D$89:$D$97))/2)</f>
        <v>0</v>
      </c>
      <c r="AV97">
        <f>IF(COUNT($E$2:$E97)&lt;26,"",(MAX($C$72:$C$97)+MIN($D$72:$D$97))/2)</f>
        <v>0</v>
      </c>
      <c r="AW97">
        <f>IF(OR(AU97="",AV97=""),"",(AU97+AV97)/2)</f>
        <v>0</v>
      </c>
      <c r="AX97">
        <f>IF(COUNT($E$2:$E97)&lt;52,"",(MAX($C$46:$C$97)+MIN($D$46:$D$97))/2)</f>
        <v>0</v>
      </c>
      <c r="AY97">
        <f>IF(COUNT($E$2:$E97)&lt;20,"",MAX($C$2:$C$97))</f>
        <v>0</v>
      </c>
      <c r="AZ97">
        <f>IF(COUNT($E$2:$E97)&lt;20,"",MIN($D$2:$D$97))</f>
        <v>0</v>
      </c>
      <c r="BA97">
        <f>IF(COUNT($E$2:$E97)&lt;20,"",SLOPE($E$2:$E$97,$F$2:$F$97))</f>
        <v>0</v>
      </c>
      <c r="BB97">
        <f>IF(COUNT($E$2:$E97)&lt;20,"",INTERCEPT($E$2:$E$97,$F$2:$F$97))</f>
        <v>0</v>
      </c>
      <c r="BC97">
        <f>IF(OR(BA97="",BB97=""),"",BB97+BA97*F97)</f>
        <v>0</v>
      </c>
      <c r="BD97">
        <f>IF(COUNT($E$2:$E97)&lt;20,"",STEYX($E$2:$E$97,$F$2:$F$97))</f>
        <v>0</v>
      </c>
      <c r="BE97">
        <f>IF($E97="","",IF(AND(COUNT($E$98:$E$101)&gt;=4,$C97=MAX($C$93:$C$101)),$C97,""))</f>
        <v>0</v>
      </c>
      <c r="BF97">
        <f>IF($E97="","",IF(AND(COUNT($E$98:$E$101)&gt;=4,$D97=MIN($D$93:$D$101)),$D97,""))</f>
        <v>0</v>
      </c>
      <c r="BG97">
        <f>IFERROR(SMALL(Calc_Daily!$BT$2:$BT$2001,96),"")</f>
        <v>0</v>
      </c>
    </row>
    <row r="98" spans="1:59">
      <c r="A98" s="27">
        <f>IF($BG98="","",INDEX(Calc_Daily!$A$2:$A$2001,$BG98))</f>
        <v>0</v>
      </c>
      <c r="B98">
        <f>IF($BG98="","",INDEX(Calc_Daily!$BQ$2:$BQ$2001,$BG98))</f>
        <v>0</v>
      </c>
      <c r="C98">
        <f>IF($BG98="","",INDEX(Calc_Daily!$BR$2:$BR$2001,$BG98))</f>
        <v>0</v>
      </c>
      <c r="D98">
        <f>IF($BG98="","",INDEX(Calc_Daily!$BS$2:$BS$2001,$BG98))</f>
        <v>0</v>
      </c>
      <c r="E98">
        <f>IF($BG98="","",INDEX(Calc_Daily!$E$2:$E$2001,$BG98))</f>
        <v>0</v>
      </c>
      <c r="F98">
        <f>IF($E98="","",N(F97)+1)</f>
        <v>0</v>
      </c>
      <c r="G98">
        <f>IF(OR($E98="",$E97=""),"",LN($E98/$E97))</f>
        <v>0</v>
      </c>
      <c r="H98">
        <f>IF($E98="","",IF($E97="",$E98,$E98*0.0952380952+H97*0.9047619048))</f>
        <v>0</v>
      </c>
      <c r="I98">
        <f>IF($E98="","",IF($E97="",$E98,$E98*0.0392156863+I97*0.9607843137))</f>
        <v>0</v>
      </c>
      <c r="J98">
        <f>IF($E98="","",IF($E97="",$E98,$E98*0.0198019802+J97*0.9801980198))</f>
        <v>0</v>
      </c>
      <c r="K98">
        <f>IF($E98="","",IF($E97="",$E98,$E98*0.0099502488+K97*0.9900497512))</f>
        <v>0</v>
      </c>
      <c r="L98">
        <f>IF(OR($E98="",$E97=""),"",MAX($E98-$E97,0))</f>
        <v>0</v>
      </c>
      <c r="M98">
        <f>IF(OR($E98="",$E97=""),"",MAX($E97-$E98,0))</f>
        <v>0</v>
      </c>
      <c r="N98">
        <f>IF(COUNT($E$2:$E98)&lt;15,"",IF(AVERAGE($M$85:$M$98)=0,100,100-100/(1+AVERAGE($L$85:$L$98)/AVERAGE($M$85:$M$98))))</f>
        <v>0</v>
      </c>
      <c r="O98">
        <f>IF($E98="","",IF($E97="",$E98,$E98*0.1538461538+O97*0.8461538462))</f>
        <v>0</v>
      </c>
      <c r="P98">
        <f>IF($E98="","",IF($E97="",$E98,$E98*0.0740740741+P97*0.9259259259))</f>
        <v>0</v>
      </c>
      <c r="Q98">
        <f>IF(OR(O98="",P98=""),"",O98-P98)</f>
        <v>0</v>
      </c>
      <c r="R98">
        <f>IF(Q98="","",IF(R97="",Q98,Q98*0.2000000000+R97*0.8000000000))</f>
        <v>0</v>
      </c>
      <c r="S98">
        <f>IF(OR(Q98="",R98=""),"",Q98-R98)</f>
        <v>0</v>
      </c>
      <c r="T98">
        <f>IF(COUNT($E$2:$E98)&lt;14,"",MAX($C$85:$C$98))</f>
        <v>0</v>
      </c>
      <c r="U98">
        <f>IF(COUNT($E$2:$E98)&lt;14,"",MIN($D$85:$D$98))</f>
        <v>0</v>
      </c>
      <c r="V98">
        <f>IF(OR(T98="",U98="",T98=U98),"",100*($E98-U98)/(T98-U98))</f>
        <v>0</v>
      </c>
      <c r="W98">
        <f>IF(COUNT($V$96:$V$98)&lt;3,"",AVERAGE($V$96:$V$98))</f>
        <v>0</v>
      </c>
      <c r="X98">
        <f>IF(COUNT($N$85:$N$98)&lt;14,"",MIN($N$85:$N$98))</f>
        <v>0</v>
      </c>
      <c r="Y98">
        <f>IF(COUNT($N$85:$N$98)&lt;14,"",MAX($N$85:$N$98))</f>
        <v>0</v>
      </c>
      <c r="Z98">
        <f>IF(OR(N98="",X98="",Y98="",Y98=X98),"",100*(N98-X98)/(Y98-X98))</f>
        <v>0</v>
      </c>
      <c r="AA98">
        <f>IF(COUNT($Z$96:$Z$98)&lt;3,"",AVERAGE($Z$96:$Z$98))</f>
        <v>0</v>
      </c>
      <c r="AB98">
        <f>IF(COUNT($AA$96:$AA$98)&lt;3,"",AVERAGE($AA$96:$AA$98))</f>
        <v>0</v>
      </c>
      <c r="AC98">
        <f>IF($E98="","",MAX($C98-$D98,ABS($C98-$E97),ABS($D98-$E97)))</f>
        <v>0</v>
      </c>
      <c r="AD98">
        <f>IF(COUNT($E$2:$E98)&lt;15,"",AVERAGE($AC$85:$AC$98))</f>
        <v>0</v>
      </c>
      <c r="AE98">
        <f>IF(OR($E98="",$E97=""),"",IF(AND(($C98-$C97)&gt;($D97-$D98),($C98-$C97)&gt;0),$C98-$C97,0))</f>
        <v>0</v>
      </c>
      <c r="AF98">
        <f>IF(OR($E98="",$E97=""),"",IF(AND(($D97-$D98)&gt;($C98-$C97),($D97-$D98)&gt;0),$D97-$D98,0))</f>
        <v>0</v>
      </c>
      <c r="AG98">
        <f>IF(COUNT($E$2:$E98)&lt;15,"",IF(SUM($AC$85:$AC$98)=0,0,100*SUM($AE$85:$AE$98)/SUM($AC$85:$AC$98)))</f>
        <v>0</v>
      </c>
      <c r="AH98">
        <f>IF(COUNT($E$2:$E98)&lt;15,"",IF(SUM($AC$85:$AC$98)=0,0,100*SUM($AF$85:$AF$98)/SUM($AC$85:$AC$98)))</f>
        <v>0</v>
      </c>
      <c r="AI98">
        <f>IF(OR(AG98="",AH98=""),"",IF((AG98+AH98)=0,0,100*ABS(AG98-AH98)/(AG98+AH98)))</f>
        <v>0</v>
      </c>
      <c r="AJ98">
        <f>IF(COUNT($AI$85:$AI$98)&lt;14,"",AVERAGE($AI$85:$AI$98))</f>
        <v>0</v>
      </c>
      <c r="AK98">
        <f>IF(COUNT($E$2:$E98)&lt;20,"",AVERAGE($E$79:$E$98))</f>
        <v>0</v>
      </c>
      <c r="AL98">
        <f>IF(COUNT($E$2:$E98)&lt;20,"",STDEVP($E$79:$E$98))</f>
        <v>0</v>
      </c>
      <c r="AM98">
        <f>IF(AK98="","",AK98+2*AL98)</f>
        <v>0</v>
      </c>
      <c r="AN98">
        <f>IF(AK98="","",AK98-2*AL98)</f>
        <v>0</v>
      </c>
      <c r="AO98">
        <f>IF(OR(AM98="",AN98="",AM98=AN98),"",($E98-AN98)/(AM98-AN98))</f>
        <v>0</v>
      </c>
      <c r="AP98">
        <f>IF(OR(AM98="",AK98="",AK98=0),"",(AM98-AN98)/AK98)</f>
        <v>0</v>
      </c>
      <c r="AQ98">
        <f>IF(COUNT($E$2:$E98)&lt;20,"",MAX($C$79:$C$98))</f>
        <v>0</v>
      </c>
      <c r="AR98">
        <f>IF(COUNT($E$2:$E98)&lt;20,"",MIN($D$79:$D$98))</f>
        <v>0</v>
      </c>
      <c r="AS98">
        <f>IF(OR(AQ98="",AR98=""),"",(AQ98+AR98)/2)</f>
        <v>0</v>
      </c>
      <c r="AT98">
        <f>IF(COUNT($G$79:$G$98)&lt;20,"",STDEV($G$79:$G$98)*SQRT(12))</f>
        <v>0</v>
      </c>
      <c r="AU98">
        <f>IF(COUNT($E$2:$E98)&lt;9,"",(MAX($C$90:$C$98)+MIN($D$90:$D$98))/2)</f>
        <v>0</v>
      </c>
      <c r="AV98">
        <f>IF(COUNT($E$2:$E98)&lt;26,"",(MAX($C$73:$C$98)+MIN($D$73:$D$98))/2)</f>
        <v>0</v>
      </c>
      <c r="AW98">
        <f>IF(OR(AU98="",AV98=""),"",(AU98+AV98)/2)</f>
        <v>0</v>
      </c>
      <c r="AX98">
        <f>IF(COUNT($E$2:$E98)&lt;52,"",(MAX($C$47:$C$98)+MIN($D$47:$D$98))/2)</f>
        <v>0</v>
      </c>
      <c r="AY98">
        <f>IF(COUNT($E$2:$E98)&lt;20,"",MAX($C$2:$C$98))</f>
        <v>0</v>
      </c>
      <c r="AZ98">
        <f>IF(COUNT($E$2:$E98)&lt;20,"",MIN($D$2:$D$98))</f>
        <v>0</v>
      </c>
      <c r="BA98">
        <f>IF(COUNT($E$2:$E98)&lt;20,"",SLOPE($E$2:$E$98,$F$2:$F$98))</f>
        <v>0</v>
      </c>
      <c r="BB98">
        <f>IF(COUNT($E$2:$E98)&lt;20,"",INTERCEPT($E$2:$E$98,$F$2:$F$98))</f>
        <v>0</v>
      </c>
      <c r="BC98">
        <f>IF(OR(BA98="",BB98=""),"",BB98+BA98*F98)</f>
        <v>0</v>
      </c>
      <c r="BD98">
        <f>IF(COUNT($E$2:$E98)&lt;20,"",STEYX($E$2:$E$98,$F$2:$F$98))</f>
        <v>0</v>
      </c>
      <c r="BE98">
        <f>IF($E98="","",IF(AND(COUNT($E$99:$E$102)&gt;=4,$C98=MAX($C$94:$C$102)),$C98,""))</f>
        <v>0</v>
      </c>
      <c r="BF98">
        <f>IF($E98="","",IF(AND(COUNT($E$99:$E$102)&gt;=4,$D98=MIN($D$94:$D$102)),$D98,""))</f>
        <v>0</v>
      </c>
      <c r="BG98">
        <f>IFERROR(SMALL(Calc_Daily!$BT$2:$BT$2001,97),"")</f>
        <v>0</v>
      </c>
    </row>
    <row r="99" spans="1:59">
      <c r="A99" s="27">
        <f>IF($BG99="","",INDEX(Calc_Daily!$A$2:$A$2001,$BG99))</f>
        <v>0</v>
      </c>
      <c r="B99">
        <f>IF($BG99="","",INDEX(Calc_Daily!$BQ$2:$BQ$2001,$BG99))</f>
        <v>0</v>
      </c>
      <c r="C99">
        <f>IF($BG99="","",INDEX(Calc_Daily!$BR$2:$BR$2001,$BG99))</f>
        <v>0</v>
      </c>
      <c r="D99">
        <f>IF($BG99="","",INDEX(Calc_Daily!$BS$2:$BS$2001,$BG99))</f>
        <v>0</v>
      </c>
      <c r="E99">
        <f>IF($BG99="","",INDEX(Calc_Daily!$E$2:$E$2001,$BG99))</f>
        <v>0</v>
      </c>
      <c r="F99">
        <f>IF($E99="","",N(F98)+1)</f>
        <v>0</v>
      </c>
      <c r="G99">
        <f>IF(OR($E99="",$E98=""),"",LN($E99/$E98))</f>
        <v>0</v>
      </c>
      <c r="H99">
        <f>IF($E99="","",IF($E98="",$E99,$E99*0.0952380952+H98*0.9047619048))</f>
        <v>0</v>
      </c>
      <c r="I99">
        <f>IF($E99="","",IF($E98="",$E99,$E99*0.0392156863+I98*0.9607843137))</f>
        <v>0</v>
      </c>
      <c r="J99">
        <f>IF($E99="","",IF($E98="",$E99,$E99*0.0198019802+J98*0.9801980198))</f>
        <v>0</v>
      </c>
      <c r="K99">
        <f>IF($E99="","",IF($E98="",$E99,$E99*0.0099502488+K98*0.9900497512))</f>
        <v>0</v>
      </c>
      <c r="L99">
        <f>IF(OR($E99="",$E98=""),"",MAX($E99-$E98,0))</f>
        <v>0</v>
      </c>
      <c r="M99">
        <f>IF(OR($E99="",$E98=""),"",MAX($E98-$E99,0))</f>
        <v>0</v>
      </c>
      <c r="N99">
        <f>IF(COUNT($E$2:$E99)&lt;15,"",IF(AVERAGE($M$86:$M$99)=0,100,100-100/(1+AVERAGE($L$86:$L$99)/AVERAGE($M$86:$M$99))))</f>
        <v>0</v>
      </c>
      <c r="O99">
        <f>IF($E99="","",IF($E98="",$E99,$E99*0.1538461538+O98*0.8461538462))</f>
        <v>0</v>
      </c>
      <c r="P99">
        <f>IF($E99="","",IF($E98="",$E99,$E99*0.0740740741+P98*0.9259259259))</f>
        <v>0</v>
      </c>
      <c r="Q99">
        <f>IF(OR(O99="",P99=""),"",O99-P99)</f>
        <v>0</v>
      </c>
      <c r="R99">
        <f>IF(Q99="","",IF(R98="",Q99,Q99*0.2000000000+R98*0.8000000000))</f>
        <v>0</v>
      </c>
      <c r="S99">
        <f>IF(OR(Q99="",R99=""),"",Q99-R99)</f>
        <v>0</v>
      </c>
      <c r="T99">
        <f>IF(COUNT($E$2:$E99)&lt;14,"",MAX($C$86:$C$99))</f>
        <v>0</v>
      </c>
      <c r="U99">
        <f>IF(COUNT($E$2:$E99)&lt;14,"",MIN($D$86:$D$99))</f>
        <v>0</v>
      </c>
      <c r="V99">
        <f>IF(OR(T99="",U99="",T99=U99),"",100*($E99-U99)/(T99-U99))</f>
        <v>0</v>
      </c>
      <c r="W99">
        <f>IF(COUNT($V$97:$V$99)&lt;3,"",AVERAGE($V$97:$V$99))</f>
        <v>0</v>
      </c>
      <c r="X99">
        <f>IF(COUNT($N$86:$N$99)&lt;14,"",MIN($N$86:$N$99))</f>
        <v>0</v>
      </c>
      <c r="Y99">
        <f>IF(COUNT($N$86:$N$99)&lt;14,"",MAX($N$86:$N$99))</f>
        <v>0</v>
      </c>
      <c r="Z99">
        <f>IF(OR(N99="",X99="",Y99="",Y99=X99),"",100*(N99-X99)/(Y99-X99))</f>
        <v>0</v>
      </c>
      <c r="AA99">
        <f>IF(COUNT($Z$97:$Z$99)&lt;3,"",AVERAGE($Z$97:$Z$99))</f>
        <v>0</v>
      </c>
      <c r="AB99">
        <f>IF(COUNT($AA$97:$AA$99)&lt;3,"",AVERAGE($AA$97:$AA$99))</f>
        <v>0</v>
      </c>
      <c r="AC99">
        <f>IF($E99="","",MAX($C99-$D99,ABS($C99-$E98),ABS($D99-$E98)))</f>
        <v>0</v>
      </c>
      <c r="AD99">
        <f>IF(COUNT($E$2:$E99)&lt;15,"",AVERAGE($AC$86:$AC$99))</f>
        <v>0</v>
      </c>
      <c r="AE99">
        <f>IF(OR($E99="",$E98=""),"",IF(AND(($C99-$C98)&gt;($D98-$D99),($C99-$C98)&gt;0),$C99-$C98,0))</f>
        <v>0</v>
      </c>
      <c r="AF99">
        <f>IF(OR($E99="",$E98=""),"",IF(AND(($D98-$D99)&gt;($C99-$C98),($D98-$D99)&gt;0),$D98-$D99,0))</f>
        <v>0</v>
      </c>
      <c r="AG99">
        <f>IF(COUNT($E$2:$E99)&lt;15,"",IF(SUM($AC$86:$AC$99)=0,0,100*SUM($AE$86:$AE$99)/SUM($AC$86:$AC$99)))</f>
        <v>0</v>
      </c>
      <c r="AH99">
        <f>IF(COUNT($E$2:$E99)&lt;15,"",IF(SUM($AC$86:$AC$99)=0,0,100*SUM($AF$86:$AF$99)/SUM($AC$86:$AC$99)))</f>
        <v>0</v>
      </c>
      <c r="AI99">
        <f>IF(OR(AG99="",AH99=""),"",IF((AG99+AH99)=0,0,100*ABS(AG99-AH99)/(AG99+AH99)))</f>
        <v>0</v>
      </c>
      <c r="AJ99">
        <f>IF(COUNT($AI$86:$AI$99)&lt;14,"",AVERAGE($AI$86:$AI$99))</f>
        <v>0</v>
      </c>
      <c r="AK99">
        <f>IF(COUNT($E$2:$E99)&lt;20,"",AVERAGE($E$80:$E$99))</f>
        <v>0</v>
      </c>
      <c r="AL99">
        <f>IF(COUNT($E$2:$E99)&lt;20,"",STDEVP($E$80:$E$99))</f>
        <v>0</v>
      </c>
      <c r="AM99">
        <f>IF(AK99="","",AK99+2*AL99)</f>
        <v>0</v>
      </c>
      <c r="AN99">
        <f>IF(AK99="","",AK99-2*AL99)</f>
        <v>0</v>
      </c>
      <c r="AO99">
        <f>IF(OR(AM99="",AN99="",AM99=AN99),"",($E99-AN99)/(AM99-AN99))</f>
        <v>0</v>
      </c>
      <c r="AP99">
        <f>IF(OR(AM99="",AK99="",AK99=0),"",(AM99-AN99)/AK99)</f>
        <v>0</v>
      </c>
      <c r="AQ99">
        <f>IF(COUNT($E$2:$E99)&lt;20,"",MAX($C$80:$C$99))</f>
        <v>0</v>
      </c>
      <c r="AR99">
        <f>IF(COUNT($E$2:$E99)&lt;20,"",MIN($D$80:$D$99))</f>
        <v>0</v>
      </c>
      <c r="AS99">
        <f>IF(OR(AQ99="",AR99=""),"",(AQ99+AR99)/2)</f>
        <v>0</v>
      </c>
      <c r="AT99">
        <f>IF(COUNT($G$80:$G$99)&lt;20,"",STDEV($G$80:$G$99)*SQRT(12))</f>
        <v>0</v>
      </c>
      <c r="AU99">
        <f>IF(COUNT($E$2:$E99)&lt;9,"",(MAX($C$91:$C$99)+MIN($D$91:$D$99))/2)</f>
        <v>0</v>
      </c>
      <c r="AV99">
        <f>IF(COUNT($E$2:$E99)&lt;26,"",(MAX($C$74:$C$99)+MIN($D$74:$D$99))/2)</f>
        <v>0</v>
      </c>
      <c r="AW99">
        <f>IF(OR(AU99="",AV99=""),"",(AU99+AV99)/2)</f>
        <v>0</v>
      </c>
      <c r="AX99">
        <f>IF(COUNT($E$2:$E99)&lt;52,"",(MAX($C$48:$C$99)+MIN($D$48:$D$99))/2)</f>
        <v>0</v>
      </c>
      <c r="AY99">
        <f>IF(COUNT($E$2:$E99)&lt;20,"",MAX($C$2:$C$99))</f>
        <v>0</v>
      </c>
      <c r="AZ99">
        <f>IF(COUNT($E$2:$E99)&lt;20,"",MIN($D$2:$D$99))</f>
        <v>0</v>
      </c>
      <c r="BA99">
        <f>IF(COUNT($E$2:$E99)&lt;20,"",SLOPE($E$2:$E$99,$F$2:$F$99))</f>
        <v>0</v>
      </c>
      <c r="BB99">
        <f>IF(COUNT($E$2:$E99)&lt;20,"",INTERCEPT($E$2:$E$99,$F$2:$F$99))</f>
        <v>0</v>
      </c>
      <c r="BC99">
        <f>IF(OR(BA99="",BB99=""),"",BB99+BA99*F99)</f>
        <v>0</v>
      </c>
      <c r="BD99">
        <f>IF(COUNT($E$2:$E99)&lt;20,"",STEYX($E$2:$E$99,$F$2:$F$99))</f>
        <v>0</v>
      </c>
      <c r="BE99">
        <f>IF($E99="","",IF(AND(COUNT($E$100:$E$103)&gt;=4,$C99=MAX($C$95:$C$103)),$C99,""))</f>
        <v>0</v>
      </c>
      <c r="BF99">
        <f>IF($E99="","",IF(AND(COUNT($E$100:$E$103)&gt;=4,$D99=MIN($D$95:$D$103)),$D99,""))</f>
        <v>0</v>
      </c>
      <c r="BG99">
        <f>IFERROR(SMALL(Calc_Daily!$BT$2:$BT$2001,98),"")</f>
        <v>0</v>
      </c>
    </row>
    <row r="100" spans="1:59">
      <c r="A100" s="27">
        <f>IF($BG100="","",INDEX(Calc_Daily!$A$2:$A$2001,$BG100))</f>
        <v>0</v>
      </c>
      <c r="B100">
        <f>IF($BG100="","",INDEX(Calc_Daily!$BQ$2:$BQ$2001,$BG100))</f>
        <v>0</v>
      </c>
      <c r="C100">
        <f>IF($BG100="","",INDEX(Calc_Daily!$BR$2:$BR$2001,$BG100))</f>
        <v>0</v>
      </c>
      <c r="D100">
        <f>IF($BG100="","",INDEX(Calc_Daily!$BS$2:$BS$2001,$BG100))</f>
        <v>0</v>
      </c>
      <c r="E100">
        <f>IF($BG100="","",INDEX(Calc_Daily!$E$2:$E$2001,$BG100))</f>
        <v>0</v>
      </c>
      <c r="F100">
        <f>IF($E100="","",N(F99)+1)</f>
        <v>0</v>
      </c>
      <c r="G100">
        <f>IF(OR($E100="",$E99=""),"",LN($E100/$E99))</f>
        <v>0</v>
      </c>
      <c r="H100">
        <f>IF($E100="","",IF($E99="",$E100,$E100*0.0952380952+H99*0.9047619048))</f>
        <v>0</v>
      </c>
      <c r="I100">
        <f>IF($E100="","",IF($E99="",$E100,$E100*0.0392156863+I99*0.9607843137))</f>
        <v>0</v>
      </c>
      <c r="J100">
        <f>IF($E100="","",IF($E99="",$E100,$E100*0.0198019802+J99*0.9801980198))</f>
        <v>0</v>
      </c>
      <c r="K100">
        <f>IF($E100="","",IF($E99="",$E100,$E100*0.0099502488+K99*0.9900497512))</f>
        <v>0</v>
      </c>
      <c r="L100">
        <f>IF(OR($E100="",$E99=""),"",MAX($E100-$E99,0))</f>
        <v>0</v>
      </c>
      <c r="M100">
        <f>IF(OR($E100="",$E99=""),"",MAX($E99-$E100,0))</f>
        <v>0</v>
      </c>
      <c r="N100">
        <f>IF(COUNT($E$2:$E100)&lt;15,"",IF(AVERAGE($M$87:$M$100)=0,100,100-100/(1+AVERAGE($L$87:$L$100)/AVERAGE($M$87:$M$100))))</f>
        <v>0</v>
      </c>
      <c r="O100">
        <f>IF($E100="","",IF($E99="",$E100,$E100*0.1538461538+O99*0.8461538462))</f>
        <v>0</v>
      </c>
      <c r="P100">
        <f>IF($E100="","",IF($E99="",$E100,$E100*0.0740740741+P99*0.9259259259))</f>
        <v>0</v>
      </c>
      <c r="Q100">
        <f>IF(OR(O100="",P100=""),"",O100-P100)</f>
        <v>0</v>
      </c>
      <c r="R100">
        <f>IF(Q100="","",IF(R99="",Q100,Q100*0.2000000000+R99*0.8000000000))</f>
        <v>0</v>
      </c>
      <c r="S100">
        <f>IF(OR(Q100="",R100=""),"",Q100-R100)</f>
        <v>0</v>
      </c>
      <c r="T100">
        <f>IF(COUNT($E$2:$E100)&lt;14,"",MAX($C$87:$C$100))</f>
        <v>0</v>
      </c>
      <c r="U100">
        <f>IF(COUNT($E$2:$E100)&lt;14,"",MIN($D$87:$D$100))</f>
        <v>0</v>
      </c>
      <c r="V100">
        <f>IF(OR(T100="",U100="",T100=U100),"",100*($E100-U100)/(T100-U100))</f>
        <v>0</v>
      </c>
      <c r="W100">
        <f>IF(COUNT($V$98:$V$100)&lt;3,"",AVERAGE($V$98:$V$100))</f>
        <v>0</v>
      </c>
      <c r="X100">
        <f>IF(COUNT($N$87:$N$100)&lt;14,"",MIN($N$87:$N$100))</f>
        <v>0</v>
      </c>
      <c r="Y100">
        <f>IF(COUNT($N$87:$N$100)&lt;14,"",MAX($N$87:$N$100))</f>
        <v>0</v>
      </c>
      <c r="Z100">
        <f>IF(OR(N100="",X100="",Y100="",Y100=X100),"",100*(N100-X100)/(Y100-X100))</f>
        <v>0</v>
      </c>
      <c r="AA100">
        <f>IF(COUNT($Z$98:$Z$100)&lt;3,"",AVERAGE($Z$98:$Z$100))</f>
        <v>0</v>
      </c>
      <c r="AB100">
        <f>IF(COUNT($AA$98:$AA$100)&lt;3,"",AVERAGE($AA$98:$AA$100))</f>
        <v>0</v>
      </c>
      <c r="AC100">
        <f>IF($E100="","",MAX($C100-$D100,ABS($C100-$E99),ABS($D100-$E99)))</f>
        <v>0</v>
      </c>
      <c r="AD100">
        <f>IF(COUNT($E$2:$E100)&lt;15,"",AVERAGE($AC$87:$AC$100))</f>
        <v>0</v>
      </c>
      <c r="AE100">
        <f>IF(OR($E100="",$E99=""),"",IF(AND(($C100-$C99)&gt;($D99-$D100),($C100-$C99)&gt;0),$C100-$C99,0))</f>
        <v>0</v>
      </c>
      <c r="AF100">
        <f>IF(OR($E100="",$E99=""),"",IF(AND(($D99-$D100)&gt;($C100-$C99),($D99-$D100)&gt;0),$D99-$D100,0))</f>
        <v>0</v>
      </c>
      <c r="AG100">
        <f>IF(COUNT($E$2:$E100)&lt;15,"",IF(SUM($AC$87:$AC$100)=0,0,100*SUM($AE$87:$AE$100)/SUM($AC$87:$AC$100)))</f>
        <v>0</v>
      </c>
      <c r="AH100">
        <f>IF(COUNT($E$2:$E100)&lt;15,"",IF(SUM($AC$87:$AC$100)=0,0,100*SUM($AF$87:$AF$100)/SUM($AC$87:$AC$100)))</f>
        <v>0</v>
      </c>
      <c r="AI100">
        <f>IF(OR(AG100="",AH100=""),"",IF((AG100+AH100)=0,0,100*ABS(AG100-AH100)/(AG100+AH100)))</f>
        <v>0</v>
      </c>
      <c r="AJ100">
        <f>IF(COUNT($AI$87:$AI$100)&lt;14,"",AVERAGE($AI$87:$AI$100))</f>
        <v>0</v>
      </c>
      <c r="AK100">
        <f>IF(COUNT($E$2:$E100)&lt;20,"",AVERAGE($E$81:$E$100))</f>
        <v>0</v>
      </c>
      <c r="AL100">
        <f>IF(COUNT($E$2:$E100)&lt;20,"",STDEVP($E$81:$E$100))</f>
        <v>0</v>
      </c>
      <c r="AM100">
        <f>IF(AK100="","",AK100+2*AL100)</f>
        <v>0</v>
      </c>
      <c r="AN100">
        <f>IF(AK100="","",AK100-2*AL100)</f>
        <v>0</v>
      </c>
      <c r="AO100">
        <f>IF(OR(AM100="",AN100="",AM100=AN100),"",($E100-AN100)/(AM100-AN100))</f>
        <v>0</v>
      </c>
      <c r="AP100">
        <f>IF(OR(AM100="",AK100="",AK100=0),"",(AM100-AN100)/AK100)</f>
        <v>0</v>
      </c>
      <c r="AQ100">
        <f>IF(COUNT($E$2:$E100)&lt;20,"",MAX($C$81:$C$100))</f>
        <v>0</v>
      </c>
      <c r="AR100">
        <f>IF(COUNT($E$2:$E100)&lt;20,"",MIN($D$81:$D$100))</f>
        <v>0</v>
      </c>
      <c r="AS100">
        <f>IF(OR(AQ100="",AR100=""),"",(AQ100+AR100)/2)</f>
        <v>0</v>
      </c>
      <c r="AT100">
        <f>IF(COUNT($G$81:$G$100)&lt;20,"",STDEV($G$81:$G$100)*SQRT(12))</f>
        <v>0</v>
      </c>
      <c r="AU100">
        <f>IF(COUNT($E$2:$E100)&lt;9,"",(MAX($C$92:$C$100)+MIN($D$92:$D$100))/2)</f>
        <v>0</v>
      </c>
      <c r="AV100">
        <f>IF(COUNT($E$2:$E100)&lt;26,"",(MAX($C$75:$C$100)+MIN($D$75:$D$100))/2)</f>
        <v>0</v>
      </c>
      <c r="AW100">
        <f>IF(OR(AU100="",AV100=""),"",(AU100+AV100)/2)</f>
        <v>0</v>
      </c>
      <c r="AX100">
        <f>IF(COUNT($E$2:$E100)&lt;52,"",(MAX($C$49:$C$100)+MIN($D$49:$D$100))/2)</f>
        <v>0</v>
      </c>
      <c r="AY100">
        <f>IF(COUNT($E$2:$E100)&lt;20,"",MAX($C$2:$C$100))</f>
        <v>0</v>
      </c>
      <c r="AZ100">
        <f>IF(COUNT($E$2:$E100)&lt;20,"",MIN($D$2:$D$100))</f>
        <v>0</v>
      </c>
      <c r="BA100">
        <f>IF(COUNT($E$2:$E100)&lt;20,"",SLOPE($E$2:$E$100,$F$2:$F$100))</f>
        <v>0</v>
      </c>
      <c r="BB100">
        <f>IF(COUNT($E$2:$E100)&lt;20,"",INTERCEPT($E$2:$E$100,$F$2:$F$100))</f>
        <v>0</v>
      </c>
      <c r="BC100">
        <f>IF(OR(BA100="",BB100=""),"",BB100+BA100*F100)</f>
        <v>0</v>
      </c>
      <c r="BD100">
        <f>IF(COUNT($E$2:$E100)&lt;20,"",STEYX($E$2:$E$100,$F$2:$F$100))</f>
        <v>0</v>
      </c>
      <c r="BE100">
        <f>IF($E100="","",IF(AND(COUNT($E$101:$E$104)&gt;=4,$C100=MAX($C$96:$C$104)),$C100,""))</f>
        <v>0</v>
      </c>
      <c r="BF100">
        <f>IF($E100="","",IF(AND(COUNT($E$101:$E$104)&gt;=4,$D100=MIN($D$96:$D$104)),$D100,""))</f>
        <v>0</v>
      </c>
      <c r="BG100">
        <f>IFERROR(SMALL(Calc_Daily!$BT$2:$BT$2001,99),"")</f>
        <v>0</v>
      </c>
    </row>
    <row r="101" spans="1:59">
      <c r="A101" s="27">
        <f>IF($BG101="","",INDEX(Calc_Daily!$A$2:$A$2001,$BG101))</f>
        <v>0</v>
      </c>
      <c r="B101">
        <f>IF($BG101="","",INDEX(Calc_Daily!$BQ$2:$BQ$2001,$BG101))</f>
        <v>0</v>
      </c>
      <c r="C101">
        <f>IF($BG101="","",INDEX(Calc_Daily!$BR$2:$BR$2001,$BG101))</f>
        <v>0</v>
      </c>
      <c r="D101">
        <f>IF($BG101="","",INDEX(Calc_Daily!$BS$2:$BS$2001,$BG101))</f>
        <v>0</v>
      </c>
      <c r="E101">
        <f>IF($BG101="","",INDEX(Calc_Daily!$E$2:$E$2001,$BG101))</f>
        <v>0</v>
      </c>
      <c r="F101">
        <f>IF($E101="","",N(F100)+1)</f>
        <v>0</v>
      </c>
      <c r="G101">
        <f>IF(OR($E101="",$E100=""),"",LN($E101/$E100))</f>
        <v>0</v>
      </c>
      <c r="H101">
        <f>IF($E101="","",IF($E100="",$E101,$E101*0.0952380952+H100*0.9047619048))</f>
        <v>0</v>
      </c>
      <c r="I101">
        <f>IF($E101="","",IF($E100="",$E101,$E101*0.0392156863+I100*0.9607843137))</f>
        <v>0</v>
      </c>
      <c r="J101">
        <f>IF($E101="","",IF($E100="",$E101,$E101*0.0198019802+J100*0.9801980198))</f>
        <v>0</v>
      </c>
      <c r="K101">
        <f>IF($E101="","",IF($E100="",$E101,$E101*0.0099502488+K100*0.9900497512))</f>
        <v>0</v>
      </c>
      <c r="L101">
        <f>IF(OR($E101="",$E100=""),"",MAX($E101-$E100,0))</f>
        <v>0</v>
      </c>
      <c r="M101">
        <f>IF(OR($E101="",$E100=""),"",MAX($E100-$E101,0))</f>
        <v>0</v>
      </c>
      <c r="N101">
        <f>IF(COUNT($E$2:$E101)&lt;15,"",IF(AVERAGE($M$88:$M$101)=0,100,100-100/(1+AVERAGE($L$88:$L$101)/AVERAGE($M$88:$M$101))))</f>
        <v>0</v>
      </c>
      <c r="O101">
        <f>IF($E101="","",IF($E100="",$E101,$E101*0.1538461538+O100*0.8461538462))</f>
        <v>0</v>
      </c>
      <c r="P101">
        <f>IF($E101="","",IF($E100="",$E101,$E101*0.0740740741+P100*0.9259259259))</f>
        <v>0</v>
      </c>
      <c r="Q101">
        <f>IF(OR(O101="",P101=""),"",O101-P101)</f>
        <v>0</v>
      </c>
      <c r="R101">
        <f>IF(Q101="","",IF(R100="",Q101,Q101*0.2000000000+R100*0.8000000000))</f>
        <v>0</v>
      </c>
      <c r="S101">
        <f>IF(OR(Q101="",R101=""),"",Q101-R101)</f>
        <v>0</v>
      </c>
      <c r="T101">
        <f>IF(COUNT($E$2:$E101)&lt;14,"",MAX($C$88:$C$101))</f>
        <v>0</v>
      </c>
      <c r="U101">
        <f>IF(COUNT($E$2:$E101)&lt;14,"",MIN($D$88:$D$101))</f>
        <v>0</v>
      </c>
      <c r="V101">
        <f>IF(OR(T101="",U101="",T101=U101),"",100*($E101-U101)/(T101-U101))</f>
        <v>0</v>
      </c>
      <c r="W101">
        <f>IF(COUNT($V$99:$V$101)&lt;3,"",AVERAGE($V$99:$V$101))</f>
        <v>0</v>
      </c>
      <c r="X101">
        <f>IF(COUNT($N$88:$N$101)&lt;14,"",MIN($N$88:$N$101))</f>
        <v>0</v>
      </c>
      <c r="Y101">
        <f>IF(COUNT($N$88:$N$101)&lt;14,"",MAX($N$88:$N$101))</f>
        <v>0</v>
      </c>
      <c r="Z101">
        <f>IF(OR(N101="",X101="",Y101="",Y101=X101),"",100*(N101-X101)/(Y101-X101))</f>
        <v>0</v>
      </c>
      <c r="AA101">
        <f>IF(COUNT($Z$99:$Z$101)&lt;3,"",AVERAGE($Z$99:$Z$101))</f>
        <v>0</v>
      </c>
      <c r="AB101">
        <f>IF(COUNT($AA$99:$AA$101)&lt;3,"",AVERAGE($AA$99:$AA$101))</f>
        <v>0</v>
      </c>
      <c r="AC101">
        <f>IF($E101="","",MAX($C101-$D101,ABS($C101-$E100),ABS($D101-$E100)))</f>
        <v>0</v>
      </c>
      <c r="AD101">
        <f>IF(COUNT($E$2:$E101)&lt;15,"",AVERAGE($AC$88:$AC$101))</f>
        <v>0</v>
      </c>
      <c r="AE101">
        <f>IF(OR($E101="",$E100=""),"",IF(AND(($C101-$C100)&gt;($D100-$D101),($C101-$C100)&gt;0),$C101-$C100,0))</f>
        <v>0</v>
      </c>
      <c r="AF101">
        <f>IF(OR($E101="",$E100=""),"",IF(AND(($D100-$D101)&gt;($C101-$C100),($D100-$D101)&gt;0),$D100-$D101,0))</f>
        <v>0</v>
      </c>
      <c r="AG101">
        <f>IF(COUNT($E$2:$E101)&lt;15,"",IF(SUM($AC$88:$AC$101)=0,0,100*SUM($AE$88:$AE$101)/SUM($AC$88:$AC$101)))</f>
        <v>0</v>
      </c>
      <c r="AH101">
        <f>IF(COUNT($E$2:$E101)&lt;15,"",IF(SUM($AC$88:$AC$101)=0,0,100*SUM($AF$88:$AF$101)/SUM($AC$88:$AC$101)))</f>
        <v>0</v>
      </c>
      <c r="AI101">
        <f>IF(OR(AG101="",AH101=""),"",IF((AG101+AH101)=0,0,100*ABS(AG101-AH101)/(AG101+AH101)))</f>
        <v>0</v>
      </c>
      <c r="AJ101">
        <f>IF(COUNT($AI$88:$AI$101)&lt;14,"",AVERAGE($AI$88:$AI$101))</f>
        <v>0</v>
      </c>
      <c r="AK101">
        <f>IF(COUNT($E$2:$E101)&lt;20,"",AVERAGE($E$82:$E$101))</f>
        <v>0</v>
      </c>
      <c r="AL101">
        <f>IF(COUNT($E$2:$E101)&lt;20,"",STDEVP($E$82:$E$101))</f>
        <v>0</v>
      </c>
      <c r="AM101">
        <f>IF(AK101="","",AK101+2*AL101)</f>
        <v>0</v>
      </c>
      <c r="AN101">
        <f>IF(AK101="","",AK101-2*AL101)</f>
        <v>0</v>
      </c>
      <c r="AO101">
        <f>IF(OR(AM101="",AN101="",AM101=AN101),"",($E101-AN101)/(AM101-AN101))</f>
        <v>0</v>
      </c>
      <c r="AP101">
        <f>IF(OR(AM101="",AK101="",AK101=0),"",(AM101-AN101)/AK101)</f>
        <v>0</v>
      </c>
      <c r="AQ101">
        <f>IF(COUNT($E$2:$E101)&lt;20,"",MAX($C$82:$C$101))</f>
        <v>0</v>
      </c>
      <c r="AR101">
        <f>IF(COUNT($E$2:$E101)&lt;20,"",MIN($D$82:$D$101))</f>
        <v>0</v>
      </c>
      <c r="AS101">
        <f>IF(OR(AQ101="",AR101=""),"",(AQ101+AR101)/2)</f>
        <v>0</v>
      </c>
      <c r="AT101">
        <f>IF(COUNT($G$82:$G$101)&lt;20,"",STDEV($G$82:$G$101)*SQRT(12))</f>
        <v>0</v>
      </c>
      <c r="AU101">
        <f>IF(COUNT($E$2:$E101)&lt;9,"",(MAX($C$93:$C$101)+MIN($D$93:$D$101))/2)</f>
        <v>0</v>
      </c>
      <c r="AV101">
        <f>IF(COUNT($E$2:$E101)&lt;26,"",(MAX($C$76:$C$101)+MIN($D$76:$D$101))/2)</f>
        <v>0</v>
      </c>
      <c r="AW101">
        <f>IF(OR(AU101="",AV101=""),"",(AU101+AV101)/2)</f>
        <v>0</v>
      </c>
      <c r="AX101">
        <f>IF(COUNT($E$2:$E101)&lt;52,"",(MAX($C$50:$C$101)+MIN($D$50:$D$101))/2)</f>
        <v>0</v>
      </c>
      <c r="AY101">
        <f>IF(COUNT($E$2:$E101)&lt;20,"",MAX($C$2:$C$101))</f>
        <v>0</v>
      </c>
      <c r="AZ101">
        <f>IF(COUNT($E$2:$E101)&lt;20,"",MIN($D$2:$D$101))</f>
        <v>0</v>
      </c>
      <c r="BA101">
        <f>IF(COUNT($E$2:$E101)&lt;20,"",SLOPE($E$2:$E$101,$F$2:$F$101))</f>
        <v>0</v>
      </c>
      <c r="BB101">
        <f>IF(COUNT($E$2:$E101)&lt;20,"",INTERCEPT($E$2:$E$101,$F$2:$F$101))</f>
        <v>0</v>
      </c>
      <c r="BC101">
        <f>IF(OR(BA101="",BB101=""),"",BB101+BA101*F101)</f>
        <v>0</v>
      </c>
      <c r="BD101">
        <f>IF(COUNT($E$2:$E101)&lt;20,"",STEYX($E$2:$E$101,$F$2:$F$101))</f>
        <v>0</v>
      </c>
      <c r="BE101">
        <f>IF($E101="","",IF(AND(COUNT($E$102:$E$105)&gt;=4,$C101=MAX($C$97:$C$105)),$C101,""))</f>
        <v>0</v>
      </c>
      <c r="BF101">
        <f>IF($E101="","",IF(AND(COUNT($E$102:$E$105)&gt;=4,$D101=MIN($D$97:$D$105)),$D101,""))</f>
        <v>0</v>
      </c>
      <c r="BG101">
        <f>IFERROR(SMALL(Calc_Daily!$BT$2:$BT$2001,100),"")</f>
        <v>0</v>
      </c>
    </row>
    <row r="102" spans="1:59">
      <c r="A102" s="27">
        <f>IF($BG102="","",INDEX(Calc_Daily!$A$2:$A$2001,$BG102))</f>
        <v>0</v>
      </c>
      <c r="B102">
        <f>IF($BG102="","",INDEX(Calc_Daily!$BQ$2:$BQ$2001,$BG102))</f>
        <v>0</v>
      </c>
      <c r="C102">
        <f>IF($BG102="","",INDEX(Calc_Daily!$BR$2:$BR$2001,$BG102))</f>
        <v>0</v>
      </c>
      <c r="D102">
        <f>IF($BG102="","",INDEX(Calc_Daily!$BS$2:$BS$2001,$BG102))</f>
        <v>0</v>
      </c>
      <c r="E102">
        <f>IF($BG102="","",INDEX(Calc_Daily!$E$2:$E$2001,$BG102))</f>
        <v>0</v>
      </c>
      <c r="F102">
        <f>IF($E102="","",N(F101)+1)</f>
        <v>0</v>
      </c>
      <c r="G102">
        <f>IF(OR($E102="",$E101=""),"",LN($E102/$E101))</f>
        <v>0</v>
      </c>
      <c r="H102">
        <f>IF($E102="","",IF($E101="",$E102,$E102*0.0952380952+H101*0.9047619048))</f>
        <v>0</v>
      </c>
      <c r="I102">
        <f>IF($E102="","",IF($E101="",$E102,$E102*0.0392156863+I101*0.9607843137))</f>
        <v>0</v>
      </c>
      <c r="J102">
        <f>IF($E102="","",IF($E101="",$E102,$E102*0.0198019802+J101*0.9801980198))</f>
        <v>0</v>
      </c>
      <c r="K102">
        <f>IF($E102="","",IF($E101="",$E102,$E102*0.0099502488+K101*0.9900497512))</f>
        <v>0</v>
      </c>
      <c r="L102">
        <f>IF(OR($E102="",$E101=""),"",MAX($E102-$E101,0))</f>
        <v>0</v>
      </c>
      <c r="M102">
        <f>IF(OR($E102="",$E101=""),"",MAX($E101-$E102,0))</f>
        <v>0</v>
      </c>
      <c r="N102">
        <f>IF(COUNT($E$2:$E102)&lt;15,"",IF(AVERAGE($M$89:$M$102)=0,100,100-100/(1+AVERAGE($L$89:$L$102)/AVERAGE($M$89:$M$102))))</f>
        <v>0</v>
      </c>
      <c r="O102">
        <f>IF($E102="","",IF($E101="",$E102,$E102*0.1538461538+O101*0.8461538462))</f>
        <v>0</v>
      </c>
      <c r="P102">
        <f>IF($E102="","",IF($E101="",$E102,$E102*0.0740740741+P101*0.9259259259))</f>
        <v>0</v>
      </c>
      <c r="Q102">
        <f>IF(OR(O102="",P102=""),"",O102-P102)</f>
        <v>0</v>
      </c>
      <c r="R102">
        <f>IF(Q102="","",IF(R101="",Q102,Q102*0.2000000000+R101*0.8000000000))</f>
        <v>0</v>
      </c>
      <c r="S102">
        <f>IF(OR(Q102="",R102=""),"",Q102-R102)</f>
        <v>0</v>
      </c>
      <c r="T102">
        <f>IF(COUNT($E$2:$E102)&lt;14,"",MAX($C$89:$C$102))</f>
        <v>0</v>
      </c>
      <c r="U102">
        <f>IF(COUNT($E$2:$E102)&lt;14,"",MIN($D$89:$D$102))</f>
        <v>0</v>
      </c>
      <c r="V102">
        <f>IF(OR(T102="",U102="",T102=U102),"",100*($E102-U102)/(T102-U102))</f>
        <v>0</v>
      </c>
      <c r="W102">
        <f>IF(COUNT($V$100:$V$102)&lt;3,"",AVERAGE($V$100:$V$102))</f>
        <v>0</v>
      </c>
      <c r="X102">
        <f>IF(COUNT($N$89:$N$102)&lt;14,"",MIN($N$89:$N$102))</f>
        <v>0</v>
      </c>
      <c r="Y102">
        <f>IF(COUNT($N$89:$N$102)&lt;14,"",MAX($N$89:$N$102))</f>
        <v>0</v>
      </c>
      <c r="Z102">
        <f>IF(OR(N102="",X102="",Y102="",Y102=X102),"",100*(N102-X102)/(Y102-X102))</f>
        <v>0</v>
      </c>
      <c r="AA102">
        <f>IF(COUNT($Z$100:$Z$102)&lt;3,"",AVERAGE($Z$100:$Z$102))</f>
        <v>0</v>
      </c>
      <c r="AB102">
        <f>IF(COUNT($AA$100:$AA$102)&lt;3,"",AVERAGE($AA$100:$AA$102))</f>
        <v>0</v>
      </c>
      <c r="AC102">
        <f>IF($E102="","",MAX($C102-$D102,ABS($C102-$E101),ABS($D102-$E101)))</f>
        <v>0</v>
      </c>
      <c r="AD102">
        <f>IF(COUNT($E$2:$E102)&lt;15,"",AVERAGE($AC$89:$AC$102))</f>
        <v>0</v>
      </c>
      <c r="AE102">
        <f>IF(OR($E102="",$E101=""),"",IF(AND(($C102-$C101)&gt;($D101-$D102),($C102-$C101)&gt;0),$C102-$C101,0))</f>
        <v>0</v>
      </c>
      <c r="AF102">
        <f>IF(OR($E102="",$E101=""),"",IF(AND(($D101-$D102)&gt;($C102-$C101),($D101-$D102)&gt;0),$D101-$D102,0))</f>
        <v>0</v>
      </c>
      <c r="AG102">
        <f>IF(COUNT($E$2:$E102)&lt;15,"",IF(SUM($AC$89:$AC$102)=0,0,100*SUM($AE$89:$AE$102)/SUM($AC$89:$AC$102)))</f>
        <v>0</v>
      </c>
      <c r="AH102">
        <f>IF(COUNT($E$2:$E102)&lt;15,"",IF(SUM($AC$89:$AC$102)=0,0,100*SUM($AF$89:$AF$102)/SUM($AC$89:$AC$102)))</f>
        <v>0</v>
      </c>
      <c r="AI102">
        <f>IF(OR(AG102="",AH102=""),"",IF((AG102+AH102)=0,0,100*ABS(AG102-AH102)/(AG102+AH102)))</f>
        <v>0</v>
      </c>
      <c r="AJ102">
        <f>IF(COUNT($AI$89:$AI$102)&lt;14,"",AVERAGE($AI$89:$AI$102))</f>
        <v>0</v>
      </c>
      <c r="AK102">
        <f>IF(COUNT($E$2:$E102)&lt;20,"",AVERAGE($E$83:$E$102))</f>
        <v>0</v>
      </c>
      <c r="AL102">
        <f>IF(COUNT($E$2:$E102)&lt;20,"",STDEVP($E$83:$E$102))</f>
        <v>0</v>
      </c>
      <c r="AM102">
        <f>IF(AK102="","",AK102+2*AL102)</f>
        <v>0</v>
      </c>
      <c r="AN102">
        <f>IF(AK102="","",AK102-2*AL102)</f>
        <v>0</v>
      </c>
      <c r="AO102">
        <f>IF(OR(AM102="",AN102="",AM102=AN102),"",($E102-AN102)/(AM102-AN102))</f>
        <v>0</v>
      </c>
      <c r="AP102">
        <f>IF(OR(AM102="",AK102="",AK102=0),"",(AM102-AN102)/AK102)</f>
        <v>0</v>
      </c>
      <c r="AQ102">
        <f>IF(COUNT($E$2:$E102)&lt;20,"",MAX($C$83:$C$102))</f>
        <v>0</v>
      </c>
      <c r="AR102">
        <f>IF(COUNT($E$2:$E102)&lt;20,"",MIN($D$83:$D$102))</f>
        <v>0</v>
      </c>
      <c r="AS102">
        <f>IF(OR(AQ102="",AR102=""),"",(AQ102+AR102)/2)</f>
        <v>0</v>
      </c>
      <c r="AT102">
        <f>IF(COUNT($G$83:$G$102)&lt;20,"",STDEV($G$83:$G$102)*SQRT(12))</f>
        <v>0</v>
      </c>
      <c r="AU102">
        <f>IF(COUNT($E$2:$E102)&lt;9,"",(MAX($C$94:$C$102)+MIN($D$94:$D$102))/2)</f>
        <v>0</v>
      </c>
      <c r="AV102">
        <f>IF(COUNT($E$2:$E102)&lt;26,"",(MAX($C$77:$C$102)+MIN($D$77:$D$102))/2)</f>
        <v>0</v>
      </c>
      <c r="AW102">
        <f>IF(OR(AU102="",AV102=""),"",(AU102+AV102)/2)</f>
        <v>0</v>
      </c>
      <c r="AX102">
        <f>IF(COUNT($E$2:$E102)&lt;52,"",(MAX($C$51:$C$102)+MIN($D$51:$D$102))/2)</f>
        <v>0</v>
      </c>
      <c r="AY102">
        <f>IF(COUNT($E$2:$E102)&lt;20,"",MAX($C$3:$C$102))</f>
        <v>0</v>
      </c>
      <c r="AZ102">
        <f>IF(COUNT($E$2:$E102)&lt;20,"",MIN($D$3:$D$102))</f>
        <v>0</v>
      </c>
      <c r="BA102">
        <f>IF(COUNT($E$2:$E102)&lt;20,"",SLOPE($E$3:$E$102,$F$3:$F$102))</f>
        <v>0</v>
      </c>
      <c r="BB102">
        <f>IF(COUNT($E$2:$E102)&lt;20,"",INTERCEPT($E$3:$E$102,$F$3:$F$102))</f>
        <v>0</v>
      </c>
      <c r="BC102">
        <f>IF(OR(BA102="",BB102=""),"",BB102+BA102*F102)</f>
        <v>0</v>
      </c>
      <c r="BD102">
        <f>IF(COUNT($E$2:$E102)&lt;20,"",STEYX($E$3:$E$102,$F$3:$F$102))</f>
        <v>0</v>
      </c>
      <c r="BE102">
        <f>IF($E102="","",IF(AND(COUNT($E$103:$E$106)&gt;=4,$C102=MAX($C$98:$C$106)),$C102,""))</f>
        <v>0</v>
      </c>
      <c r="BF102">
        <f>IF($E102="","",IF(AND(COUNT($E$103:$E$106)&gt;=4,$D102=MIN($D$98:$D$106)),$D102,""))</f>
        <v>0</v>
      </c>
      <c r="BG102">
        <f>IFERROR(SMALL(Calc_Daily!$BT$2:$BT$2001,101),"")</f>
        <v>0</v>
      </c>
    </row>
    <row r="103" spans="1:59">
      <c r="A103" s="27">
        <f>IF($BG103="","",INDEX(Calc_Daily!$A$2:$A$2001,$BG103))</f>
        <v>0</v>
      </c>
      <c r="B103">
        <f>IF($BG103="","",INDEX(Calc_Daily!$BQ$2:$BQ$2001,$BG103))</f>
        <v>0</v>
      </c>
      <c r="C103">
        <f>IF($BG103="","",INDEX(Calc_Daily!$BR$2:$BR$2001,$BG103))</f>
        <v>0</v>
      </c>
      <c r="D103">
        <f>IF($BG103="","",INDEX(Calc_Daily!$BS$2:$BS$2001,$BG103))</f>
        <v>0</v>
      </c>
      <c r="E103">
        <f>IF($BG103="","",INDEX(Calc_Daily!$E$2:$E$2001,$BG103))</f>
        <v>0</v>
      </c>
      <c r="F103">
        <f>IF($E103="","",N(F102)+1)</f>
        <v>0</v>
      </c>
      <c r="G103">
        <f>IF(OR($E103="",$E102=""),"",LN($E103/$E102))</f>
        <v>0</v>
      </c>
      <c r="H103">
        <f>IF($E103="","",IF($E102="",$E103,$E103*0.0952380952+H102*0.9047619048))</f>
        <v>0</v>
      </c>
      <c r="I103">
        <f>IF($E103="","",IF($E102="",$E103,$E103*0.0392156863+I102*0.9607843137))</f>
        <v>0</v>
      </c>
      <c r="J103">
        <f>IF($E103="","",IF($E102="",$E103,$E103*0.0198019802+J102*0.9801980198))</f>
        <v>0</v>
      </c>
      <c r="K103">
        <f>IF($E103="","",IF($E102="",$E103,$E103*0.0099502488+K102*0.9900497512))</f>
        <v>0</v>
      </c>
      <c r="L103">
        <f>IF(OR($E103="",$E102=""),"",MAX($E103-$E102,0))</f>
        <v>0</v>
      </c>
      <c r="M103">
        <f>IF(OR($E103="",$E102=""),"",MAX($E102-$E103,0))</f>
        <v>0</v>
      </c>
      <c r="N103">
        <f>IF(COUNT($E$2:$E103)&lt;15,"",IF(AVERAGE($M$90:$M$103)=0,100,100-100/(1+AVERAGE($L$90:$L$103)/AVERAGE($M$90:$M$103))))</f>
        <v>0</v>
      </c>
      <c r="O103">
        <f>IF($E103="","",IF($E102="",$E103,$E103*0.1538461538+O102*0.8461538462))</f>
        <v>0</v>
      </c>
      <c r="P103">
        <f>IF($E103="","",IF($E102="",$E103,$E103*0.0740740741+P102*0.9259259259))</f>
        <v>0</v>
      </c>
      <c r="Q103">
        <f>IF(OR(O103="",P103=""),"",O103-P103)</f>
        <v>0</v>
      </c>
      <c r="R103">
        <f>IF(Q103="","",IF(R102="",Q103,Q103*0.2000000000+R102*0.8000000000))</f>
        <v>0</v>
      </c>
      <c r="S103">
        <f>IF(OR(Q103="",R103=""),"",Q103-R103)</f>
        <v>0</v>
      </c>
      <c r="T103">
        <f>IF(COUNT($E$2:$E103)&lt;14,"",MAX($C$90:$C$103))</f>
        <v>0</v>
      </c>
      <c r="U103">
        <f>IF(COUNT($E$2:$E103)&lt;14,"",MIN($D$90:$D$103))</f>
        <v>0</v>
      </c>
      <c r="V103">
        <f>IF(OR(T103="",U103="",T103=U103),"",100*($E103-U103)/(T103-U103))</f>
        <v>0</v>
      </c>
      <c r="W103">
        <f>IF(COUNT($V$101:$V$103)&lt;3,"",AVERAGE($V$101:$V$103))</f>
        <v>0</v>
      </c>
      <c r="X103">
        <f>IF(COUNT($N$90:$N$103)&lt;14,"",MIN($N$90:$N$103))</f>
        <v>0</v>
      </c>
      <c r="Y103">
        <f>IF(COUNT($N$90:$N$103)&lt;14,"",MAX($N$90:$N$103))</f>
        <v>0</v>
      </c>
      <c r="Z103">
        <f>IF(OR(N103="",X103="",Y103="",Y103=X103),"",100*(N103-X103)/(Y103-X103))</f>
        <v>0</v>
      </c>
      <c r="AA103">
        <f>IF(COUNT($Z$101:$Z$103)&lt;3,"",AVERAGE($Z$101:$Z$103))</f>
        <v>0</v>
      </c>
      <c r="AB103">
        <f>IF(COUNT($AA$101:$AA$103)&lt;3,"",AVERAGE($AA$101:$AA$103))</f>
        <v>0</v>
      </c>
      <c r="AC103">
        <f>IF($E103="","",MAX($C103-$D103,ABS($C103-$E102),ABS($D103-$E102)))</f>
        <v>0</v>
      </c>
      <c r="AD103">
        <f>IF(COUNT($E$2:$E103)&lt;15,"",AVERAGE($AC$90:$AC$103))</f>
        <v>0</v>
      </c>
      <c r="AE103">
        <f>IF(OR($E103="",$E102=""),"",IF(AND(($C103-$C102)&gt;($D102-$D103),($C103-$C102)&gt;0),$C103-$C102,0))</f>
        <v>0</v>
      </c>
      <c r="AF103">
        <f>IF(OR($E103="",$E102=""),"",IF(AND(($D102-$D103)&gt;($C103-$C102),($D102-$D103)&gt;0),$D102-$D103,0))</f>
        <v>0</v>
      </c>
      <c r="AG103">
        <f>IF(COUNT($E$2:$E103)&lt;15,"",IF(SUM($AC$90:$AC$103)=0,0,100*SUM($AE$90:$AE$103)/SUM($AC$90:$AC$103)))</f>
        <v>0</v>
      </c>
      <c r="AH103">
        <f>IF(COUNT($E$2:$E103)&lt;15,"",IF(SUM($AC$90:$AC$103)=0,0,100*SUM($AF$90:$AF$103)/SUM($AC$90:$AC$103)))</f>
        <v>0</v>
      </c>
      <c r="AI103">
        <f>IF(OR(AG103="",AH103=""),"",IF((AG103+AH103)=0,0,100*ABS(AG103-AH103)/(AG103+AH103)))</f>
        <v>0</v>
      </c>
      <c r="AJ103">
        <f>IF(COUNT($AI$90:$AI$103)&lt;14,"",AVERAGE($AI$90:$AI$103))</f>
        <v>0</v>
      </c>
      <c r="AK103">
        <f>IF(COUNT($E$2:$E103)&lt;20,"",AVERAGE($E$84:$E$103))</f>
        <v>0</v>
      </c>
      <c r="AL103">
        <f>IF(COUNT($E$2:$E103)&lt;20,"",STDEVP($E$84:$E$103))</f>
        <v>0</v>
      </c>
      <c r="AM103">
        <f>IF(AK103="","",AK103+2*AL103)</f>
        <v>0</v>
      </c>
      <c r="AN103">
        <f>IF(AK103="","",AK103-2*AL103)</f>
        <v>0</v>
      </c>
      <c r="AO103">
        <f>IF(OR(AM103="",AN103="",AM103=AN103),"",($E103-AN103)/(AM103-AN103))</f>
        <v>0</v>
      </c>
      <c r="AP103">
        <f>IF(OR(AM103="",AK103="",AK103=0),"",(AM103-AN103)/AK103)</f>
        <v>0</v>
      </c>
      <c r="AQ103">
        <f>IF(COUNT($E$2:$E103)&lt;20,"",MAX($C$84:$C$103))</f>
        <v>0</v>
      </c>
      <c r="AR103">
        <f>IF(COUNT($E$2:$E103)&lt;20,"",MIN($D$84:$D$103))</f>
        <v>0</v>
      </c>
      <c r="AS103">
        <f>IF(OR(AQ103="",AR103=""),"",(AQ103+AR103)/2)</f>
        <v>0</v>
      </c>
      <c r="AT103">
        <f>IF(COUNT($G$84:$G$103)&lt;20,"",STDEV($G$84:$G$103)*SQRT(12))</f>
        <v>0</v>
      </c>
      <c r="AU103">
        <f>IF(COUNT($E$2:$E103)&lt;9,"",(MAX($C$95:$C$103)+MIN($D$95:$D$103))/2)</f>
        <v>0</v>
      </c>
      <c r="AV103">
        <f>IF(COUNT($E$2:$E103)&lt;26,"",(MAX($C$78:$C$103)+MIN($D$78:$D$103))/2)</f>
        <v>0</v>
      </c>
      <c r="AW103">
        <f>IF(OR(AU103="",AV103=""),"",(AU103+AV103)/2)</f>
        <v>0</v>
      </c>
      <c r="AX103">
        <f>IF(COUNT($E$2:$E103)&lt;52,"",(MAX($C$52:$C$103)+MIN($D$52:$D$103))/2)</f>
        <v>0</v>
      </c>
      <c r="AY103">
        <f>IF(COUNT($E$2:$E103)&lt;20,"",MAX($C$4:$C$103))</f>
        <v>0</v>
      </c>
      <c r="AZ103">
        <f>IF(COUNT($E$2:$E103)&lt;20,"",MIN($D$4:$D$103))</f>
        <v>0</v>
      </c>
      <c r="BA103">
        <f>IF(COUNT($E$2:$E103)&lt;20,"",SLOPE($E$4:$E$103,$F$4:$F$103))</f>
        <v>0</v>
      </c>
      <c r="BB103">
        <f>IF(COUNT($E$2:$E103)&lt;20,"",INTERCEPT($E$4:$E$103,$F$4:$F$103))</f>
        <v>0</v>
      </c>
      <c r="BC103">
        <f>IF(OR(BA103="",BB103=""),"",BB103+BA103*F103)</f>
        <v>0</v>
      </c>
      <c r="BD103">
        <f>IF(COUNT($E$2:$E103)&lt;20,"",STEYX($E$4:$E$103,$F$4:$F$103))</f>
        <v>0</v>
      </c>
      <c r="BE103">
        <f>IF($E103="","",IF(AND(COUNT($E$104:$E$107)&gt;=4,$C103=MAX($C$99:$C$107)),$C103,""))</f>
        <v>0</v>
      </c>
      <c r="BF103">
        <f>IF($E103="","",IF(AND(COUNT($E$104:$E$107)&gt;=4,$D103=MIN($D$99:$D$107)),$D103,""))</f>
        <v>0</v>
      </c>
      <c r="BG103">
        <f>IFERROR(SMALL(Calc_Daily!$BT$2:$BT$2001,102),"")</f>
        <v>0</v>
      </c>
    </row>
    <row r="104" spans="1:59">
      <c r="A104" s="27">
        <f>IF($BG104="","",INDEX(Calc_Daily!$A$2:$A$2001,$BG104))</f>
        <v>0</v>
      </c>
      <c r="B104">
        <f>IF($BG104="","",INDEX(Calc_Daily!$BQ$2:$BQ$2001,$BG104))</f>
        <v>0</v>
      </c>
      <c r="C104">
        <f>IF($BG104="","",INDEX(Calc_Daily!$BR$2:$BR$2001,$BG104))</f>
        <v>0</v>
      </c>
      <c r="D104">
        <f>IF($BG104="","",INDEX(Calc_Daily!$BS$2:$BS$2001,$BG104))</f>
        <v>0</v>
      </c>
      <c r="E104">
        <f>IF($BG104="","",INDEX(Calc_Daily!$E$2:$E$2001,$BG104))</f>
        <v>0</v>
      </c>
      <c r="F104">
        <f>IF($E104="","",N(F103)+1)</f>
        <v>0</v>
      </c>
      <c r="G104">
        <f>IF(OR($E104="",$E103=""),"",LN($E104/$E103))</f>
        <v>0</v>
      </c>
      <c r="H104">
        <f>IF($E104="","",IF($E103="",$E104,$E104*0.0952380952+H103*0.9047619048))</f>
        <v>0</v>
      </c>
      <c r="I104">
        <f>IF($E104="","",IF($E103="",$E104,$E104*0.0392156863+I103*0.9607843137))</f>
        <v>0</v>
      </c>
      <c r="J104">
        <f>IF($E104="","",IF($E103="",$E104,$E104*0.0198019802+J103*0.9801980198))</f>
        <v>0</v>
      </c>
      <c r="K104">
        <f>IF($E104="","",IF($E103="",$E104,$E104*0.0099502488+K103*0.9900497512))</f>
        <v>0</v>
      </c>
      <c r="L104">
        <f>IF(OR($E104="",$E103=""),"",MAX($E104-$E103,0))</f>
        <v>0</v>
      </c>
      <c r="M104">
        <f>IF(OR($E104="",$E103=""),"",MAX($E103-$E104,0))</f>
        <v>0</v>
      </c>
      <c r="N104">
        <f>IF(COUNT($E$2:$E104)&lt;15,"",IF(AVERAGE($M$91:$M$104)=0,100,100-100/(1+AVERAGE($L$91:$L$104)/AVERAGE($M$91:$M$104))))</f>
        <v>0</v>
      </c>
      <c r="O104">
        <f>IF($E104="","",IF($E103="",$E104,$E104*0.1538461538+O103*0.8461538462))</f>
        <v>0</v>
      </c>
      <c r="P104">
        <f>IF($E104="","",IF($E103="",$E104,$E104*0.0740740741+P103*0.9259259259))</f>
        <v>0</v>
      </c>
      <c r="Q104">
        <f>IF(OR(O104="",P104=""),"",O104-P104)</f>
        <v>0</v>
      </c>
      <c r="R104">
        <f>IF(Q104="","",IF(R103="",Q104,Q104*0.2000000000+R103*0.8000000000))</f>
        <v>0</v>
      </c>
      <c r="S104">
        <f>IF(OR(Q104="",R104=""),"",Q104-R104)</f>
        <v>0</v>
      </c>
      <c r="T104">
        <f>IF(COUNT($E$2:$E104)&lt;14,"",MAX($C$91:$C$104))</f>
        <v>0</v>
      </c>
      <c r="U104">
        <f>IF(COUNT($E$2:$E104)&lt;14,"",MIN($D$91:$D$104))</f>
        <v>0</v>
      </c>
      <c r="V104">
        <f>IF(OR(T104="",U104="",T104=U104),"",100*($E104-U104)/(T104-U104))</f>
        <v>0</v>
      </c>
      <c r="W104">
        <f>IF(COUNT($V$102:$V$104)&lt;3,"",AVERAGE($V$102:$V$104))</f>
        <v>0</v>
      </c>
      <c r="X104">
        <f>IF(COUNT($N$91:$N$104)&lt;14,"",MIN($N$91:$N$104))</f>
        <v>0</v>
      </c>
      <c r="Y104">
        <f>IF(COUNT($N$91:$N$104)&lt;14,"",MAX($N$91:$N$104))</f>
        <v>0</v>
      </c>
      <c r="Z104">
        <f>IF(OR(N104="",X104="",Y104="",Y104=X104),"",100*(N104-X104)/(Y104-X104))</f>
        <v>0</v>
      </c>
      <c r="AA104">
        <f>IF(COUNT($Z$102:$Z$104)&lt;3,"",AVERAGE($Z$102:$Z$104))</f>
        <v>0</v>
      </c>
      <c r="AB104">
        <f>IF(COUNT($AA$102:$AA$104)&lt;3,"",AVERAGE($AA$102:$AA$104))</f>
        <v>0</v>
      </c>
      <c r="AC104">
        <f>IF($E104="","",MAX($C104-$D104,ABS($C104-$E103),ABS($D104-$E103)))</f>
        <v>0</v>
      </c>
      <c r="AD104">
        <f>IF(COUNT($E$2:$E104)&lt;15,"",AVERAGE($AC$91:$AC$104))</f>
        <v>0</v>
      </c>
      <c r="AE104">
        <f>IF(OR($E104="",$E103=""),"",IF(AND(($C104-$C103)&gt;($D103-$D104),($C104-$C103)&gt;0),$C104-$C103,0))</f>
        <v>0</v>
      </c>
      <c r="AF104">
        <f>IF(OR($E104="",$E103=""),"",IF(AND(($D103-$D104)&gt;($C104-$C103),($D103-$D104)&gt;0),$D103-$D104,0))</f>
        <v>0</v>
      </c>
      <c r="AG104">
        <f>IF(COUNT($E$2:$E104)&lt;15,"",IF(SUM($AC$91:$AC$104)=0,0,100*SUM($AE$91:$AE$104)/SUM($AC$91:$AC$104)))</f>
        <v>0</v>
      </c>
      <c r="AH104">
        <f>IF(COUNT($E$2:$E104)&lt;15,"",IF(SUM($AC$91:$AC$104)=0,0,100*SUM($AF$91:$AF$104)/SUM($AC$91:$AC$104)))</f>
        <v>0</v>
      </c>
      <c r="AI104">
        <f>IF(OR(AG104="",AH104=""),"",IF((AG104+AH104)=0,0,100*ABS(AG104-AH104)/(AG104+AH104)))</f>
        <v>0</v>
      </c>
      <c r="AJ104">
        <f>IF(COUNT($AI$91:$AI$104)&lt;14,"",AVERAGE($AI$91:$AI$104))</f>
        <v>0</v>
      </c>
      <c r="AK104">
        <f>IF(COUNT($E$2:$E104)&lt;20,"",AVERAGE($E$85:$E$104))</f>
        <v>0</v>
      </c>
      <c r="AL104">
        <f>IF(COUNT($E$2:$E104)&lt;20,"",STDEVP($E$85:$E$104))</f>
        <v>0</v>
      </c>
      <c r="AM104">
        <f>IF(AK104="","",AK104+2*AL104)</f>
        <v>0</v>
      </c>
      <c r="AN104">
        <f>IF(AK104="","",AK104-2*AL104)</f>
        <v>0</v>
      </c>
      <c r="AO104">
        <f>IF(OR(AM104="",AN104="",AM104=AN104),"",($E104-AN104)/(AM104-AN104))</f>
        <v>0</v>
      </c>
      <c r="AP104">
        <f>IF(OR(AM104="",AK104="",AK104=0),"",(AM104-AN104)/AK104)</f>
        <v>0</v>
      </c>
      <c r="AQ104">
        <f>IF(COUNT($E$2:$E104)&lt;20,"",MAX($C$85:$C$104))</f>
        <v>0</v>
      </c>
      <c r="AR104">
        <f>IF(COUNT($E$2:$E104)&lt;20,"",MIN($D$85:$D$104))</f>
        <v>0</v>
      </c>
      <c r="AS104">
        <f>IF(OR(AQ104="",AR104=""),"",(AQ104+AR104)/2)</f>
        <v>0</v>
      </c>
      <c r="AT104">
        <f>IF(COUNT($G$85:$G$104)&lt;20,"",STDEV($G$85:$G$104)*SQRT(12))</f>
        <v>0</v>
      </c>
      <c r="AU104">
        <f>IF(COUNT($E$2:$E104)&lt;9,"",(MAX($C$96:$C$104)+MIN($D$96:$D$104))/2)</f>
        <v>0</v>
      </c>
      <c r="AV104">
        <f>IF(COUNT($E$2:$E104)&lt;26,"",(MAX($C$79:$C$104)+MIN($D$79:$D$104))/2)</f>
        <v>0</v>
      </c>
      <c r="AW104">
        <f>IF(OR(AU104="",AV104=""),"",(AU104+AV104)/2)</f>
        <v>0</v>
      </c>
      <c r="AX104">
        <f>IF(COUNT($E$2:$E104)&lt;52,"",(MAX($C$53:$C$104)+MIN($D$53:$D$104))/2)</f>
        <v>0</v>
      </c>
      <c r="AY104">
        <f>IF(COUNT($E$2:$E104)&lt;20,"",MAX($C$5:$C$104))</f>
        <v>0</v>
      </c>
      <c r="AZ104">
        <f>IF(COUNT($E$2:$E104)&lt;20,"",MIN($D$5:$D$104))</f>
        <v>0</v>
      </c>
      <c r="BA104">
        <f>IF(COUNT($E$2:$E104)&lt;20,"",SLOPE($E$5:$E$104,$F$5:$F$104))</f>
        <v>0</v>
      </c>
      <c r="BB104">
        <f>IF(COUNT($E$2:$E104)&lt;20,"",INTERCEPT($E$5:$E$104,$F$5:$F$104))</f>
        <v>0</v>
      </c>
      <c r="BC104">
        <f>IF(OR(BA104="",BB104=""),"",BB104+BA104*F104)</f>
        <v>0</v>
      </c>
      <c r="BD104">
        <f>IF(COUNT($E$2:$E104)&lt;20,"",STEYX($E$5:$E$104,$F$5:$F$104))</f>
        <v>0</v>
      </c>
      <c r="BE104">
        <f>IF($E104="","",IF(AND(COUNT($E$105:$E$108)&gt;=4,$C104=MAX($C$100:$C$108)),$C104,""))</f>
        <v>0</v>
      </c>
      <c r="BF104">
        <f>IF($E104="","",IF(AND(COUNT($E$105:$E$108)&gt;=4,$D104=MIN($D$100:$D$108)),$D104,""))</f>
        <v>0</v>
      </c>
      <c r="BG104">
        <f>IFERROR(SMALL(Calc_Daily!$BT$2:$BT$2001,103),"")</f>
        <v>0</v>
      </c>
    </row>
    <row r="105" spans="1:59">
      <c r="A105" s="27">
        <f>IF($BG105="","",INDEX(Calc_Daily!$A$2:$A$2001,$BG105))</f>
        <v>0</v>
      </c>
      <c r="B105">
        <f>IF($BG105="","",INDEX(Calc_Daily!$BQ$2:$BQ$2001,$BG105))</f>
        <v>0</v>
      </c>
      <c r="C105">
        <f>IF($BG105="","",INDEX(Calc_Daily!$BR$2:$BR$2001,$BG105))</f>
        <v>0</v>
      </c>
      <c r="D105">
        <f>IF($BG105="","",INDEX(Calc_Daily!$BS$2:$BS$2001,$BG105))</f>
        <v>0</v>
      </c>
      <c r="E105">
        <f>IF($BG105="","",INDEX(Calc_Daily!$E$2:$E$2001,$BG105))</f>
        <v>0</v>
      </c>
      <c r="F105">
        <f>IF($E105="","",N(F104)+1)</f>
        <v>0</v>
      </c>
      <c r="G105">
        <f>IF(OR($E105="",$E104=""),"",LN($E105/$E104))</f>
        <v>0</v>
      </c>
      <c r="H105">
        <f>IF($E105="","",IF($E104="",$E105,$E105*0.0952380952+H104*0.9047619048))</f>
        <v>0</v>
      </c>
      <c r="I105">
        <f>IF($E105="","",IF($E104="",$E105,$E105*0.0392156863+I104*0.9607843137))</f>
        <v>0</v>
      </c>
      <c r="J105">
        <f>IF($E105="","",IF($E104="",$E105,$E105*0.0198019802+J104*0.9801980198))</f>
        <v>0</v>
      </c>
      <c r="K105">
        <f>IF($E105="","",IF($E104="",$E105,$E105*0.0099502488+K104*0.9900497512))</f>
        <v>0</v>
      </c>
      <c r="L105">
        <f>IF(OR($E105="",$E104=""),"",MAX($E105-$E104,0))</f>
        <v>0</v>
      </c>
      <c r="M105">
        <f>IF(OR($E105="",$E104=""),"",MAX($E104-$E105,0))</f>
        <v>0</v>
      </c>
      <c r="N105">
        <f>IF(COUNT($E$2:$E105)&lt;15,"",IF(AVERAGE($M$92:$M$105)=0,100,100-100/(1+AVERAGE($L$92:$L$105)/AVERAGE($M$92:$M$105))))</f>
        <v>0</v>
      </c>
      <c r="O105">
        <f>IF($E105="","",IF($E104="",$E105,$E105*0.1538461538+O104*0.8461538462))</f>
        <v>0</v>
      </c>
      <c r="P105">
        <f>IF($E105="","",IF($E104="",$E105,$E105*0.0740740741+P104*0.9259259259))</f>
        <v>0</v>
      </c>
      <c r="Q105">
        <f>IF(OR(O105="",P105=""),"",O105-P105)</f>
        <v>0</v>
      </c>
      <c r="R105">
        <f>IF(Q105="","",IF(R104="",Q105,Q105*0.2000000000+R104*0.8000000000))</f>
        <v>0</v>
      </c>
      <c r="S105">
        <f>IF(OR(Q105="",R105=""),"",Q105-R105)</f>
        <v>0</v>
      </c>
      <c r="T105">
        <f>IF(COUNT($E$2:$E105)&lt;14,"",MAX($C$92:$C$105))</f>
        <v>0</v>
      </c>
      <c r="U105">
        <f>IF(COUNT($E$2:$E105)&lt;14,"",MIN($D$92:$D$105))</f>
        <v>0</v>
      </c>
      <c r="V105">
        <f>IF(OR(T105="",U105="",T105=U105),"",100*($E105-U105)/(T105-U105))</f>
        <v>0</v>
      </c>
      <c r="W105">
        <f>IF(COUNT($V$103:$V$105)&lt;3,"",AVERAGE($V$103:$V$105))</f>
        <v>0</v>
      </c>
      <c r="X105">
        <f>IF(COUNT($N$92:$N$105)&lt;14,"",MIN($N$92:$N$105))</f>
        <v>0</v>
      </c>
      <c r="Y105">
        <f>IF(COUNT($N$92:$N$105)&lt;14,"",MAX($N$92:$N$105))</f>
        <v>0</v>
      </c>
      <c r="Z105">
        <f>IF(OR(N105="",X105="",Y105="",Y105=X105),"",100*(N105-X105)/(Y105-X105))</f>
        <v>0</v>
      </c>
      <c r="AA105">
        <f>IF(COUNT($Z$103:$Z$105)&lt;3,"",AVERAGE($Z$103:$Z$105))</f>
        <v>0</v>
      </c>
      <c r="AB105">
        <f>IF(COUNT($AA$103:$AA$105)&lt;3,"",AVERAGE($AA$103:$AA$105))</f>
        <v>0</v>
      </c>
      <c r="AC105">
        <f>IF($E105="","",MAX($C105-$D105,ABS($C105-$E104),ABS($D105-$E104)))</f>
        <v>0</v>
      </c>
      <c r="AD105">
        <f>IF(COUNT($E$2:$E105)&lt;15,"",AVERAGE($AC$92:$AC$105))</f>
        <v>0</v>
      </c>
      <c r="AE105">
        <f>IF(OR($E105="",$E104=""),"",IF(AND(($C105-$C104)&gt;($D104-$D105),($C105-$C104)&gt;0),$C105-$C104,0))</f>
        <v>0</v>
      </c>
      <c r="AF105">
        <f>IF(OR($E105="",$E104=""),"",IF(AND(($D104-$D105)&gt;($C105-$C104),($D104-$D105)&gt;0),$D104-$D105,0))</f>
        <v>0</v>
      </c>
      <c r="AG105">
        <f>IF(COUNT($E$2:$E105)&lt;15,"",IF(SUM($AC$92:$AC$105)=0,0,100*SUM($AE$92:$AE$105)/SUM($AC$92:$AC$105)))</f>
        <v>0</v>
      </c>
      <c r="AH105">
        <f>IF(COUNT($E$2:$E105)&lt;15,"",IF(SUM($AC$92:$AC$105)=0,0,100*SUM($AF$92:$AF$105)/SUM($AC$92:$AC$105)))</f>
        <v>0</v>
      </c>
      <c r="AI105">
        <f>IF(OR(AG105="",AH105=""),"",IF((AG105+AH105)=0,0,100*ABS(AG105-AH105)/(AG105+AH105)))</f>
        <v>0</v>
      </c>
      <c r="AJ105">
        <f>IF(COUNT($AI$92:$AI$105)&lt;14,"",AVERAGE($AI$92:$AI$105))</f>
        <v>0</v>
      </c>
      <c r="AK105">
        <f>IF(COUNT($E$2:$E105)&lt;20,"",AVERAGE($E$86:$E$105))</f>
        <v>0</v>
      </c>
      <c r="AL105">
        <f>IF(COUNT($E$2:$E105)&lt;20,"",STDEVP($E$86:$E$105))</f>
        <v>0</v>
      </c>
      <c r="AM105">
        <f>IF(AK105="","",AK105+2*AL105)</f>
        <v>0</v>
      </c>
      <c r="AN105">
        <f>IF(AK105="","",AK105-2*AL105)</f>
        <v>0</v>
      </c>
      <c r="AO105">
        <f>IF(OR(AM105="",AN105="",AM105=AN105),"",($E105-AN105)/(AM105-AN105))</f>
        <v>0</v>
      </c>
      <c r="AP105">
        <f>IF(OR(AM105="",AK105="",AK105=0),"",(AM105-AN105)/AK105)</f>
        <v>0</v>
      </c>
      <c r="AQ105">
        <f>IF(COUNT($E$2:$E105)&lt;20,"",MAX($C$86:$C$105))</f>
        <v>0</v>
      </c>
      <c r="AR105">
        <f>IF(COUNT($E$2:$E105)&lt;20,"",MIN($D$86:$D$105))</f>
        <v>0</v>
      </c>
      <c r="AS105">
        <f>IF(OR(AQ105="",AR105=""),"",(AQ105+AR105)/2)</f>
        <v>0</v>
      </c>
      <c r="AT105">
        <f>IF(COUNT($G$86:$G$105)&lt;20,"",STDEV($G$86:$G$105)*SQRT(12))</f>
        <v>0</v>
      </c>
      <c r="AU105">
        <f>IF(COUNT($E$2:$E105)&lt;9,"",(MAX($C$97:$C$105)+MIN($D$97:$D$105))/2)</f>
        <v>0</v>
      </c>
      <c r="AV105">
        <f>IF(COUNT($E$2:$E105)&lt;26,"",(MAX($C$80:$C$105)+MIN($D$80:$D$105))/2)</f>
        <v>0</v>
      </c>
      <c r="AW105">
        <f>IF(OR(AU105="",AV105=""),"",(AU105+AV105)/2)</f>
        <v>0</v>
      </c>
      <c r="AX105">
        <f>IF(COUNT($E$2:$E105)&lt;52,"",(MAX($C$54:$C$105)+MIN($D$54:$D$105))/2)</f>
        <v>0</v>
      </c>
      <c r="AY105">
        <f>IF(COUNT($E$2:$E105)&lt;20,"",MAX($C$6:$C$105))</f>
        <v>0</v>
      </c>
      <c r="AZ105">
        <f>IF(COUNT($E$2:$E105)&lt;20,"",MIN($D$6:$D$105))</f>
        <v>0</v>
      </c>
      <c r="BA105">
        <f>IF(COUNT($E$2:$E105)&lt;20,"",SLOPE($E$6:$E$105,$F$6:$F$105))</f>
        <v>0</v>
      </c>
      <c r="BB105">
        <f>IF(COUNT($E$2:$E105)&lt;20,"",INTERCEPT($E$6:$E$105,$F$6:$F$105))</f>
        <v>0</v>
      </c>
      <c r="BC105">
        <f>IF(OR(BA105="",BB105=""),"",BB105+BA105*F105)</f>
        <v>0</v>
      </c>
      <c r="BD105">
        <f>IF(COUNT($E$2:$E105)&lt;20,"",STEYX($E$6:$E$105,$F$6:$F$105))</f>
        <v>0</v>
      </c>
      <c r="BE105">
        <f>IF($E105="","",IF(AND(COUNT($E$106:$E$109)&gt;=4,$C105=MAX($C$101:$C$109)),$C105,""))</f>
        <v>0</v>
      </c>
      <c r="BF105">
        <f>IF($E105="","",IF(AND(COUNT($E$106:$E$109)&gt;=4,$D105=MIN($D$101:$D$109)),$D105,""))</f>
        <v>0</v>
      </c>
      <c r="BG105">
        <f>IFERROR(SMALL(Calc_Daily!$BT$2:$BT$2001,104),"")</f>
        <v>0</v>
      </c>
    </row>
    <row r="106" spans="1:59">
      <c r="A106" s="27">
        <f>IF($BG106="","",INDEX(Calc_Daily!$A$2:$A$2001,$BG106))</f>
        <v>0</v>
      </c>
      <c r="B106">
        <f>IF($BG106="","",INDEX(Calc_Daily!$BQ$2:$BQ$2001,$BG106))</f>
        <v>0</v>
      </c>
      <c r="C106">
        <f>IF($BG106="","",INDEX(Calc_Daily!$BR$2:$BR$2001,$BG106))</f>
        <v>0</v>
      </c>
      <c r="D106">
        <f>IF($BG106="","",INDEX(Calc_Daily!$BS$2:$BS$2001,$BG106))</f>
        <v>0</v>
      </c>
      <c r="E106">
        <f>IF($BG106="","",INDEX(Calc_Daily!$E$2:$E$2001,$BG106))</f>
        <v>0</v>
      </c>
      <c r="F106">
        <f>IF($E106="","",N(F105)+1)</f>
        <v>0</v>
      </c>
      <c r="G106">
        <f>IF(OR($E106="",$E105=""),"",LN($E106/$E105))</f>
        <v>0</v>
      </c>
      <c r="H106">
        <f>IF($E106="","",IF($E105="",$E106,$E106*0.0952380952+H105*0.9047619048))</f>
        <v>0</v>
      </c>
      <c r="I106">
        <f>IF($E106="","",IF($E105="",$E106,$E106*0.0392156863+I105*0.9607843137))</f>
        <v>0</v>
      </c>
      <c r="J106">
        <f>IF($E106="","",IF($E105="",$E106,$E106*0.0198019802+J105*0.9801980198))</f>
        <v>0</v>
      </c>
      <c r="K106">
        <f>IF($E106="","",IF($E105="",$E106,$E106*0.0099502488+K105*0.9900497512))</f>
        <v>0</v>
      </c>
      <c r="L106">
        <f>IF(OR($E106="",$E105=""),"",MAX($E106-$E105,0))</f>
        <v>0</v>
      </c>
      <c r="M106">
        <f>IF(OR($E106="",$E105=""),"",MAX($E105-$E106,0))</f>
        <v>0</v>
      </c>
      <c r="N106">
        <f>IF(COUNT($E$2:$E106)&lt;15,"",IF(AVERAGE($M$93:$M$106)=0,100,100-100/(1+AVERAGE($L$93:$L$106)/AVERAGE($M$93:$M$106))))</f>
        <v>0</v>
      </c>
      <c r="O106">
        <f>IF($E106="","",IF($E105="",$E106,$E106*0.1538461538+O105*0.8461538462))</f>
        <v>0</v>
      </c>
      <c r="P106">
        <f>IF($E106="","",IF($E105="",$E106,$E106*0.0740740741+P105*0.9259259259))</f>
        <v>0</v>
      </c>
      <c r="Q106">
        <f>IF(OR(O106="",P106=""),"",O106-P106)</f>
        <v>0</v>
      </c>
      <c r="R106">
        <f>IF(Q106="","",IF(R105="",Q106,Q106*0.2000000000+R105*0.8000000000))</f>
        <v>0</v>
      </c>
      <c r="S106">
        <f>IF(OR(Q106="",R106=""),"",Q106-R106)</f>
        <v>0</v>
      </c>
      <c r="T106">
        <f>IF(COUNT($E$2:$E106)&lt;14,"",MAX($C$93:$C$106))</f>
        <v>0</v>
      </c>
      <c r="U106">
        <f>IF(COUNT($E$2:$E106)&lt;14,"",MIN($D$93:$D$106))</f>
        <v>0</v>
      </c>
      <c r="V106">
        <f>IF(OR(T106="",U106="",T106=U106),"",100*($E106-U106)/(T106-U106))</f>
        <v>0</v>
      </c>
      <c r="W106">
        <f>IF(COUNT($V$104:$V$106)&lt;3,"",AVERAGE($V$104:$V$106))</f>
        <v>0</v>
      </c>
      <c r="X106">
        <f>IF(COUNT($N$93:$N$106)&lt;14,"",MIN($N$93:$N$106))</f>
        <v>0</v>
      </c>
      <c r="Y106">
        <f>IF(COUNT($N$93:$N$106)&lt;14,"",MAX($N$93:$N$106))</f>
        <v>0</v>
      </c>
      <c r="Z106">
        <f>IF(OR(N106="",X106="",Y106="",Y106=X106),"",100*(N106-X106)/(Y106-X106))</f>
        <v>0</v>
      </c>
      <c r="AA106">
        <f>IF(COUNT($Z$104:$Z$106)&lt;3,"",AVERAGE($Z$104:$Z$106))</f>
        <v>0</v>
      </c>
      <c r="AB106">
        <f>IF(COUNT($AA$104:$AA$106)&lt;3,"",AVERAGE($AA$104:$AA$106))</f>
        <v>0</v>
      </c>
      <c r="AC106">
        <f>IF($E106="","",MAX($C106-$D106,ABS($C106-$E105),ABS($D106-$E105)))</f>
        <v>0</v>
      </c>
      <c r="AD106">
        <f>IF(COUNT($E$2:$E106)&lt;15,"",AVERAGE($AC$93:$AC$106))</f>
        <v>0</v>
      </c>
      <c r="AE106">
        <f>IF(OR($E106="",$E105=""),"",IF(AND(($C106-$C105)&gt;($D105-$D106),($C106-$C105)&gt;0),$C106-$C105,0))</f>
        <v>0</v>
      </c>
      <c r="AF106">
        <f>IF(OR($E106="",$E105=""),"",IF(AND(($D105-$D106)&gt;($C106-$C105),($D105-$D106)&gt;0),$D105-$D106,0))</f>
        <v>0</v>
      </c>
      <c r="AG106">
        <f>IF(COUNT($E$2:$E106)&lt;15,"",IF(SUM($AC$93:$AC$106)=0,0,100*SUM($AE$93:$AE$106)/SUM($AC$93:$AC$106)))</f>
        <v>0</v>
      </c>
      <c r="AH106">
        <f>IF(COUNT($E$2:$E106)&lt;15,"",IF(SUM($AC$93:$AC$106)=0,0,100*SUM($AF$93:$AF$106)/SUM($AC$93:$AC$106)))</f>
        <v>0</v>
      </c>
      <c r="AI106">
        <f>IF(OR(AG106="",AH106=""),"",IF((AG106+AH106)=0,0,100*ABS(AG106-AH106)/(AG106+AH106)))</f>
        <v>0</v>
      </c>
      <c r="AJ106">
        <f>IF(COUNT($AI$93:$AI$106)&lt;14,"",AVERAGE($AI$93:$AI$106))</f>
        <v>0</v>
      </c>
      <c r="AK106">
        <f>IF(COUNT($E$2:$E106)&lt;20,"",AVERAGE($E$87:$E$106))</f>
        <v>0</v>
      </c>
      <c r="AL106">
        <f>IF(COUNT($E$2:$E106)&lt;20,"",STDEVP($E$87:$E$106))</f>
        <v>0</v>
      </c>
      <c r="AM106">
        <f>IF(AK106="","",AK106+2*AL106)</f>
        <v>0</v>
      </c>
      <c r="AN106">
        <f>IF(AK106="","",AK106-2*AL106)</f>
        <v>0</v>
      </c>
      <c r="AO106">
        <f>IF(OR(AM106="",AN106="",AM106=AN106),"",($E106-AN106)/(AM106-AN106))</f>
        <v>0</v>
      </c>
      <c r="AP106">
        <f>IF(OR(AM106="",AK106="",AK106=0),"",(AM106-AN106)/AK106)</f>
        <v>0</v>
      </c>
      <c r="AQ106">
        <f>IF(COUNT($E$2:$E106)&lt;20,"",MAX($C$87:$C$106))</f>
        <v>0</v>
      </c>
      <c r="AR106">
        <f>IF(COUNT($E$2:$E106)&lt;20,"",MIN($D$87:$D$106))</f>
        <v>0</v>
      </c>
      <c r="AS106">
        <f>IF(OR(AQ106="",AR106=""),"",(AQ106+AR106)/2)</f>
        <v>0</v>
      </c>
      <c r="AT106">
        <f>IF(COUNT($G$87:$G$106)&lt;20,"",STDEV($G$87:$G$106)*SQRT(12))</f>
        <v>0</v>
      </c>
      <c r="AU106">
        <f>IF(COUNT($E$2:$E106)&lt;9,"",(MAX($C$98:$C$106)+MIN($D$98:$D$106))/2)</f>
        <v>0</v>
      </c>
      <c r="AV106">
        <f>IF(COUNT($E$2:$E106)&lt;26,"",(MAX($C$81:$C$106)+MIN($D$81:$D$106))/2)</f>
        <v>0</v>
      </c>
      <c r="AW106">
        <f>IF(OR(AU106="",AV106=""),"",(AU106+AV106)/2)</f>
        <v>0</v>
      </c>
      <c r="AX106">
        <f>IF(COUNT($E$2:$E106)&lt;52,"",(MAX($C$55:$C$106)+MIN($D$55:$D$106))/2)</f>
        <v>0</v>
      </c>
      <c r="AY106">
        <f>IF(COUNT($E$2:$E106)&lt;20,"",MAX($C$7:$C$106))</f>
        <v>0</v>
      </c>
      <c r="AZ106">
        <f>IF(COUNT($E$2:$E106)&lt;20,"",MIN($D$7:$D$106))</f>
        <v>0</v>
      </c>
      <c r="BA106">
        <f>IF(COUNT($E$2:$E106)&lt;20,"",SLOPE($E$7:$E$106,$F$7:$F$106))</f>
        <v>0</v>
      </c>
      <c r="BB106">
        <f>IF(COUNT($E$2:$E106)&lt;20,"",INTERCEPT($E$7:$E$106,$F$7:$F$106))</f>
        <v>0</v>
      </c>
      <c r="BC106">
        <f>IF(OR(BA106="",BB106=""),"",BB106+BA106*F106)</f>
        <v>0</v>
      </c>
      <c r="BD106">
        <f>IF(COUNT($E$2:$E106)&lt;20,"",STEYX($E$7:$E$106,$F$7:$F$106))</f>
        <v>0</v>
      </c>
      <c r="BE106">
        <f>IF($E106="","",IF(AND(COUNT($E$107:$E$110)&gt;=4,$C106=MAX($C$102:$C$110)),$C106,""))</f>
        <v>0</v>
      </c>
      <c r="BF106">
        <f>IF($E106="","",IF(AND(COUNT($E$107:$E$110)&gt;=4,$D106=MIN($D$102:$D$110)),$D106,""))</f>
        <v>0</v>
      </c>
      <c r="BG106">
        <f>IFERROR(SMALL(Calc_Daily!$BT$2:$BT$2001,105),"")</f>
        <v>0</v>
      </c>
    </row>
    <row r="107" spans="1:59">
      <c r="A107" s="27">
        <f>IF($BG107="","",INDEX(Calc_Daily!$A$2:$A$2001,$BG107))</f>
        <v>0</v>
      </c>
      <c r="B107">
        <f>IF($BG107="","",INDEX(Calc_Daily!$BQ$2:$BQ$2001,$BG107))</f>
        <v>0</v>
      </c>
      <c r="C107">
        <f>IF($BG107="","",INDEX(Calc_Daily!$BR$2:$BR$2001,$BG107))</f>
        <v>0</v>
      </c>
      <c r="D107">
        <f>IF($BG107="","",INDEX(Calc_Daily!$BS$2:$BS$2001,$BG107))</f>
        <v>0</v>
      </c>
      <c r="E107">
        <f>IF($BG107="","",INDEX(Calc_Daily!$E$2:$E$2001,$BG107))</f>
        <v>0</v>
      </c>
      <c r="F107">
        <f>IF($E107="","",N(F106)+1)</f>
        <v>0</v>
      </c>
      <c r="G107">
        <f>IF(OR($E107="",$E106=""),"",LN($E107/$E106))</f>
        <v>0</v>
      </c>
      <c r="H107">
        <f>IF($E107="","",IF($E106="",$E107,$E107*0.0952380952+H106*0.9047619048))</f>
        <v>0</v>
      </c>
      <c r="I107">
        <f>IF($E107="","",IF($E106="",$E107,$E107*0.0392156863+I106*0.9607843137))</f>
        <v>0</v>
      </c>
      <c r="J107">
        <f>IF($E107="","",IF($E106="",$E107,$E107*0.0198019802+J106*0.9801980198))</f>
        <v>0</v>
      </c>
      <c r="K107">
        <f>IF($E107="","",IF($E106="",$E107,$E107*0.0099502488+K106*0.9900497512))</f>
        <v>0</v>
      </c>
      <c r="L107">
        <f>IF(OR($E107="",$E106=""),"",MAX($E107-$E106,0))</f>
        <v>0</v>
      </c>
      <c r="M107">
        <f>IF(OR($E107="",$E106=""),"",MAX($E106-$E107,0))</f>
        <v>0</v>
      </c>
      <c r="N107">
        <f>IF(COUNT($E$2:$E107)&lt;15,"",IF(AVERAGE($M$94:$M$107)=0,100,100-100/(1+AVERAGE($L$94:$L$107)/AVERAGE($M$94:$M$107))))</f>
        <v>0</v>
      </c>
      <c r="O107">
        <f>IF($E107="","",IF($E106="",$E107,$E107*0.1538461538+O106*0.8461538462))</f>
        <v>0</v>
      </c>
      <c r="P107">
        <f>IF($E107="","",IF($E106="",$E107,$E107*0.0740740741+P106*0.9259259259))</f>
        <v>0</v>
      </c>
      <c r="Q107">
        <f>IF(OR(O107="",P107=""),"",O107-P107)</f>
        <v>0</v>
      </c>
      <c r="R107">
        <f>IF(Q107="","",IF(R106="",Q107,Q107*0.2000000000+R106*0.8000000000))</f>
        <v>0</v>
      </c>
      <c r="S107">
        <f>IF(OR(Q107="",R107=""),"",Q107-R107)</f>
        <v>0</v>
      </c>
      <c r="T107">
        <f>IF(COUNT($E$2:$E107)&lt;14,"",MAX($C$94:$C$107))</f>
        <v>0</v>
      </c>
      <c r="U107">
        <f>IF(COUNT($E$2:$E107)&lt;14,"",MIN($D$94:$D$107))</f>
        <v>0</v>
      </c>
      <c r="V107">
        <f>IF(OR(T107="",U107="",T107=U107),"",100*($E107-U107)/(T107-U107))</f>
        <v>0</v>
      </c>
      <c r="W107">
        <f>IF(COUNT($V$105:$V$107)&lt;3,"",AVERAGE($V$105:$V$107))</f>
        <v>0</v>
      </c>
      <c r="X107">
        <f>IF(COUNT($N$94:$N$107)&lt;14,"",MIN($N$94:$N$107))</f>
        <v>0</v>
      </c>
      <c r="Y107">
        <f>IF(COUNT($N$94:$N$107)&lt;14,"",MAX($N$94:$N$107))</f>
        <v>0</v>
      </c>
      <c r="Z107">
        <f>IF(OR(N107="",X107="",Y107="",Y107=X107),"",100*(N107-X107)/(Y107-X107))</f>
        <v>0</v>
      </c>
      <c r="AA107">
        <f>IF(COUNT($Z$105:$Z$107)&lt;3,"",AVERAGE($Z$105:$Z$107))</f>
        <v>0</v>
      </c>
      <c r="AB107">
        <f>IF(COUNT($AA$105:$AA$107)&lt;3,"",AVERAGE($AA$105:$AA$107))</f>
        <v>0</v>
      </c>
      <c r="AC107">
        <f>IF($E107="","",MAX($C107-$D107,ABS($C107-$E106),ABS($D107-$E106)))</f>
        <v>0</v>
      </c>
      <c r="AD107">
        <f>IF(COUNT($E$2:$E107)&lt;15,"",AVERAGE($AC$94:$AC$107))</f>
        <v>0</v>
      </c>
      <c r="AE107">
        <f>IF(OR($E107="",$E106=""),"",IF(AND(($C107-$C106)&gt;($D106-$D107),($C107-$C106)&gt;0),$C107-$C106,0))</f>
        <v>0</v>
      </c>
      <c r="AF107">
        <f>IF(OR($E107="",$E106=""),"",IF(AND(($D106-$D107)&gt;($C107-$C106),($D106-$D107)&gt;0),$D106-$D107,0))</f>
        <v>0</v>
      </c>
      <c r="AG107">
        <f>IF(COUNT($E$2:$E107)&lt;15,"",IF(SUM($AC$94:$AC$107)=0,0,100*SUM($AE$94:$AE$107)/SUM($AC$94:$AC$107)))</f>
        <v>0</v>
      </c>
      <c r="AH107">
        <f>IF(COUNT($E$2:$E107)&lt;15,"",IF(SUM($AC$94:$AC$107)=0,0,100*SUM($AF$94:$AF$107)/SUM($AC$94:$AC$107)))</f>
        <v>0</v>
      </c>
      <c r="AI107">
        <f>IF(OR(AG107="",AH107=""),"",IF((AG107+AH107)=0,0,100*ABS(AG107-AH107)/(AG107+AH107)))</f>
        <v>0</v>
      </c>
      <c r="AJ107">
        <f>IF(COUNT($AI$94:$AI$107)&lt;14,"",AVERAGE($AI$94:$AI$107))</f>
        <v>0</v>
      </c>
      <c r="AK107">
        <f>IF(COUNT($E$2:$E107)&lt;20,"",AVERAGE($E$88:$E$107))</f>
        <v>0</v>
      </c>
      <c r="AL107">
        <f>IF(COUNT($E$2:$E107)&lt;20,"",STDEVP($E$88:$E$107))</f>
        <v>0</v>
      </c>
      <c r="AM107">
        <f>IF(AK107="","",AK107+2*AL107)</f>
        <v>0</v>
      </c>
      <c r="AN107">
        <f>IF(AK107="","",AK107-2*AL107)</f>
        <v>0</v>
      </c>
      <c r="AO107">
        <f>IF(OR(AM107="",AN107="",AM107=AN107),"",($E107-AN107)/(AM107-AN107))</f>
        <v>0</v>
      </c>
      <c r="AP107">
        <f>IF(OR(AM107="",AK107="",AK107=0),"",(AM107-AN107)/AK107)</f>
        <v>0</v>
      </c>
      <c r="AQ107">
        <f>IF(COUNT($E$2:$E107)&lt;20,"",MAX($C$88:$C$107))</f>
        <v>0</v>
      </c>
      <c r="AR107">
        <f>IF(COUNT($E$2:$E107)&lt;20,"",MIN($D$88:$D$107))</f>
        <v>0</v>
      </c>
      <c r="AS107">
        <f>IF(OR(AQ107="",AR107=""),"",(AQ107+AR107)/2)</f>
        <v>0</v>
      </c>
      <c r="AT107">
        <f>IF(COUNT($G$88:$G$107)&lt;20,"",STDEV($G$88:$G$107)*SQRT(12))</f>
        <v>0</v>
      </c>
      <c r="AU107">
        <f>IF(COUNT($E$2:$E107)&lt;9,"",(MAX($C$99:$C$107)+MIN($D$99:$D$107))/2)</f>
        <v>0</v>
      </c>
      <c r="AV107">
        <f>IF(COUNT($E$2:$E107)&lt;26,"",(MAX($C$82:$C$107)+MIN($D$82:$D$107))/2)</f>
        <v>0</v>
      </c>
      <c r="AW107">
        <f>IF(OR(AU107="",AV107=""),"",(AU107+AV107)/2)</f>
        <v>0</v>
      </c>
      <c r="AX107">
        <f>IF(COUNT($E$2:$E107)&lt;52,"",(MAX($C$56:$C$107)+MIN($D$56:$D$107))/2)</f>
        <v>0</v>
      </c>
      <c r="AY107">
        <f>IF(COUNT($E$2:$E107)&lt;20,"",MAX($C$8:$C$107))</f>
        <v>0</v>
      </c>
      <c r="AZ107">
        <f>IF(COUNT($E$2:$E107)&lt;20,"",MIN($D$8:$D$107))</f>
        <v>0</v>
      </c>
      <c r="BA107">
        <f>IF(COUNT($E$2:$E107)&lt;20,"",SLOPE($E$8:$E$107,$F$8:$F$107))</f>
        <v>0</v>
      </c>
      <c r="BB107">
        <f>IF(COUNT($E$2:$E107)&lt;20,"",INTERCEPT($E$8:$E$107,$F$8:$F$107))</f>
        <v>0</v>
      </c>
      <c r="BC107">
        <f>IF(OR(BA107="",BB107=""),"",BB107+BA107*F107)</f>
        <v>0</v>
      </c>
      <c r="BD107">
        <f>IF(COUNT($E$2:$E107)&lt;20,"",STEYX($E$8:$E$107,$F$8:$F$107))</f>
        <v>0</v>
      </c>
      <c r="BE107">
        <f>IF($E107="","",IF(AND(COUNT($E$108:$E$111)&gt;=4,$C107=MAX($C$103:$C$111)),$C107,""))</f>
        <v>0</v>
      </c>
      <c r="BF107">
        <f>IF($E107="","",IF(AND(COUNT($E$108:$E$111)&gt;=4,$D107=MIN($D$103:$D$111)),$D107,""))</f>
        <v>0</v>
      </c>
      <c r="BG107">
        <f>IFERROR(SMALL(Calc_Daily!$BT$2:$BT$2001,106),"")</f>
        <v>0</v>
      </c>
    </row>
    <row r="108" spans="1:59">
      <c r="A108" s="27">
        <f>IF($BG108="","",INDEX(Calc_Daily!$A$2:$A$2001,$BG108))</f>
        <v>0</v>
      </c>
      <c r="B108">
        <f>IF($BG108="","",INDEX(Calc_Daily!$BQ$2:$BQ$2001,$BG108))</f>
        <v>0</v>
      </c>
      <c r="C108">
        <f>IF($BG108="","",INDEX(Calc_Daily!$BR$2:$BR$2001,$BG108))</f>
        <v>0</v>
      </c>
      <c r="D108">
        <f>IF($BG108="","",INDEX(Calc_Daily!$BS$2:$BS$2001,$BG108))</f>
        <v>0</v>
      </c>
      <c r="E108">
        <f>IF($BG108="","",INDEX(Calc_Daily!$E$2:$E$2001,$BG108))</f>
        <v>0</v>
      </c>
      <c r="F108">
        <f>IF($E108="","",N(F107)+1)</f>
        <v>0</v>
      </c>
      <c r="G108">
        <f>IF(OR($E108="",$E107=""),"",LN($E108/$E107))</f>
        <v>0</v>
      </c>
      <c r="H108">
        <f>IF($E108="","",IF($E107="",$E108,$E108*0.0952380952+H107*0.9047619048))</f>
        <v>0</v>
      </c>
      <c r="I108">
        <f>IF($E108="","",IF($E107="",$E108,$E108*0.0392156863+I107*0.9607843137))</f>
        <v>0</v>
      </c>
      <c r="J108">
        <f>IF($E108="","",IF($E107="",$E108,$E108*0.0198019802+J107*0.9801980198))</f>
        <v>0</v>
      </c>
      <c r="K108">
        <f>IF($E108="","",IF($E107="",$E108,$E108*0.0099502488+K107*0.9900497512))</f>
        <v>0</v>
      </c>
      <c r="L108">
        <f>IF(OR($E108="",$E107=""),"",MAX($E108-$E107,0))</f>
        <v>0</v>
      </c>
      <c r="M108">
        <f>IF(OR($E108="",$E107=""),"",MAX($E107-$E108,0))</f>
        <v>0</v>
      </c>
      <c r="N108">
        <f>IF(COUNT($E$2:$E108)&lt;15,"",IF(AVERAGE($M$95:$M$108)=0,100,100-100/(1+AVERAGE($L$95:$L$108)/AVERAGE($M$95:$M$108))))</f>
        <v>0</v>
      </c>
      <c r="O108">
        <f>IF($E108="","",IF($E107="",$E108,$E108*0.1538461538+O107*0.8461538462))</f>
        <v>0</v>
      </c>
      <c r="P108">
        <f>IF($E108="","",IF($E107="",$E108,$E108*0.0740740741+P107*0.9259259259))</f>
        <v>0</v>
      </c>
      <c r="Q108">
        <f>IF(OR(O108="",P108=""),"",O108-P108)</f>
        <v>0</v>
      </c>
      <c r="R108">
        <f>IF(Q108="","",IF(R107="",Q108,Q108*0.2000000000+R107*0.8000000000))</f>
        <v>0</v>
      </c>
      <c r="S108">
        <f>IF(OR(Q108="",R108=""),"",Q108-R108)</f>
        <v>0</v>
      </c>
      <c r="T108">
        <f>IF(COUNT($E$2:$E108)&lt;14,"",MAX($C$95:$C$108))</f>
        <v>0</v>
      </c>
      <c r="U108">
        <f>IF(COUNT($E$2:$E108)&lt;14,"",MIN($D$95:$D$108))</f>
        <v>0</v>
      </c>
      <c r="V108">
        <f>IF(OR(T108="",U108="",T108=U108),"",100*($E108-U108)/(T108-U108))</f>
        <v>0</v>
      </c>
      <c r="W108">
        <f>IF(COUNT($V$106:$V$108)&lt;3,"",AVERAGE($V$106:$V$108))</f>
        <v>0</v>
      </c>
      <c r="X108">
        <f>IF(COUNT($N$95:$N$108)&lt;14,"",MIN($N$95:$N$108))</f>
        <v>0</v>
      </c>
      <c r="Y108">
        <f>IF(COUNT($N$95:$N$108)&lt;14,"",MAX($N$95:$N$108))</f>
        <v>0</v>
      </c>
      <c r="Z108">
        <f>IF(OR(N108="",X108="",Y108="",Y108=X108),"",100*(N108-X108)/(Y108-X108))</f>
        <v>0</v>
      </c>
      <c r="AA108">
        <f>IF(COUNT($Z$106:$Z$108)&lt;3,"",AVERAGE($Z$106:$Z$108))</f>
        <v>0</v>
      </c>
      <c r="AB108">
        <f>IF(COUNT($AA$106:$AA$108)&lt;3,"",AVERAGE($AA$106:$AA$108))</f>
        <v>0</v>
      </c>
      <c r="AC108">
        <f>IF($E108="","",MAX($C108-$D108,ABS($C108-$E107),ABS($D108-$E107)))</f>
        <v>0</v>
      </c>
      <c r="AD108">
        <f>IF(COUNT($E$2:$E108)&lt;15,"",AVERAGE($AC$95:$AC$108))</f>
        <v>0</v>
      </c>
      <c r="AE108">
        <f>IF(OR($E108="",$E107=""),"",IF(AND(($C108-$C107)&gt;($D107-$D108),($C108-$C107)&gt;0),$C108-$C107,0))</f>
        <v>0</v>
      </c>
      <c r="AF108">
        <f>IF(OR($E108="",$E107=""),"",IF(AND(($D107-$D108)&gt;($C108-$C107),($D107-$D108)&gt;0),$D107-$D108,0))</f>
        <v>0</v>
      </c>
      <c r="AG108">
        <f>IF(COUNT($E$2:$E108)&lt;15,"",IF(SUM($AC$95:$AC$108)=0,0,100*SUM($AE$95:$AE$108)/SUM($AC$95:$AC$108)))</f>
        <v>0</v>
      </c>
      <c r="AH108">
        <f>IF(COUNT($E$2:$E108)&lt;15,"",IF(SUM($AC$95:$AC$108)=0,0,100*SUM($AF$95:$AF$108)/SUM($AC$95:$AC$108)))</f>
        <v>0</v>
      </c>
      <c r="AI108">
        <f>IF(OR(AG108="",AH108=""),"",IF((AG108+AH108)=0,0,100*ABS(AG108-AH108)/(AG108+AH108)))</f>
        <v>0</v>
      </c>
      <c r="AJ108">
        <f>IF(COUNT($AI$95:$AI$108)&lt;14,"",AVERAGE($AI$95:$AI$108))</f>
        <v>0</v>
      </c>
      <c r="AK108">
        <f>IF(COUNT($E$2:$E108)&lt;20,"",AVERAGE($E$89:$E$108))</f>
        <v>0</v>
      </c>
      <c r="AL108">
        <f>IF(COUNT($E$2:$E108)&lt;20,"",STDEVP($E$89:$E$108))</f>
        <v>0</v>
      </c>
      <c r="AM108">
        <f>IF(AK108="","",AK108+2*AL108)</f>
        <v>0</v>
      </c>
      <c r="AN108">
        <f>IF(AK108="","",AK108-2*AL108)</f>
        <v>0</v>
      </c>
      <c r="AO108">
        <f>IF(OR(AM108="",AN108="",AM108=AN108),"",($E108-AN108)/(AM108-AN108))</f>
        <v>0</v>
      </c>
      <c r="AP108">
        <f>IF(OR(AM108="",AK108="",AK108=0),"",(AM108-AN108)/AK108)</f>
        <v>0</v>
      </c>
      <c r="AQ108">
        <f>IF(COUNT($E$2:$E108)&lt;20,"",MAX($C$89:$C$108))</f>
        <v>0</v>
      </c>
      <c r="AR108">
        <f>IF(COUNT($E$2:$E108)&lt;20,"",MIN($D$89:$D$108))</f>
        <v>0</v>
      </c>
      <c r="AS108">
        <f>IF(OR(AQ108="",AR108=""),"",(AQ108+AR108)/2)</f>
        <v>0</v>
      </c>
      <c r="AT108">
        <f>IF(COUNT($G$89:$G$108)&lt;20,"",STDEV($G$89:$G$108)*SQRT(12))</f>
        <v>0</v>
      </c>
      <c r="AU108">
        <f>IF(COUNT($E$2:$E108)&lt;9,"",(MAX($C$100:$C$108)+MIN($D$100:$D$108))/2)</f>
        <v>0</v>
      </c>
      <c r="AV108">
        <f>IF(COUNT($E$2:$E108)&lt;26,"",(MAX($C$83:$C$108)+MIN($D$83:$D$108))/2)</f>
        <v>0</v>
      </c>
      <c r="AW108">
        <f>IF(OR(AU108="",AV108=""),"",(AU108+AV108)/2)</f>
        <v>0</v>
      </c>
      <c r="AX108">
        <f>IF(COUNT($E$2:$E108)&lt;52,"",(MAX($C$57:$C$108)+MIN($D$57:$D$108))/2)</f>
        <v>0</v>
      </c>
      <c r="AY108">
        <f>IF(COUNT($E$2:$E108)&lt;20,"",MAX($C$9:$C$108))</f>
        <v>0</v>
      </c>
      <c r="AZ108">
        <f>IF(COUNT($E$2:$E108)&lt;20,"",MIN($D$9:$D$108))</f>
        <v>0</v>
      </c>
      <c r="BA108">
        <f>IF(COUNT($E$2:$E108)&lt;20,"",SLOPE($E$9:$E$108,$F$9:$F$108))</f>
        <v>0</v>
      </c>
      <c r="BB108">
        <f>IF(COUNT($E$2:$E108)&lt;20,"",INTERCEPT($E$9:$E$108,$F$9:$F$108))</f>
        <v>0</v>
      </c>
      <c r="BC108">
        <f>IF(OR(BA108="",BB108=""),"",BB108+BA108*F108)</f>
        <v>0</v>
      </c>
      <c r="BD108">
        <f>IF(COUNT($E$2:$E108)&lt;20,"",STEYX($E$9:$E$108,$F$9:$F$108))</f>
        <v>0</v>
      </c>
      <c r="BE108">
        <f>IF($E108="","",IF(AND(COUNT($E$109:$E$112)&gt;=4,$C108=MAX($C$104:$C$112)),$C108,""))</f>
        <v>0</v>
      </c>
      <c r="BF108">
        <f>IF($E108="","",IF(AND(COUNT($E$109:$E$112)&gt;=4,$D108=MIN($D$104:$D$112)),$D108,""))</f>
        <v>0</v>
      </c>
      <c r="BG108">
        <f>IFERROR(SMALL(Calc_Daily!$BT$2:$BT$2001,107),"")</f>
        <v>0</v>
      </c>
    </row>
    <row r="109" spans="1:59">
      <c r="A109" s="27">
        <f>IF($BG109="","",INDEX(Calc_Daily!$A$2:$A$2001,$BG109))</f>
        <v>0</v>
      </c>
      <c r="B109">
        <f>IF($BG109="","",INDEX(Calc_Daily!$BQ$2:$BQ$2001,$BG109))</f>
        <v>0</v>
      </c>
      <c r="C109">
        <f>IF($BG109="","",INDEX(Calc_Daily!$BR$2:$BR$2001,$BG109))</f>
        <v>0</v>
      </c>
      <c r="D109">
        <f>IF($BG109="","",INDEX(Calc_Daily!$BS$2:$BS$2001,$BG109))</f>
        <v>0</v>
      </c>
      <c r="E109">
        <f>IF($BG109="","",INDEX(Calc_Daily!$E$2:$E$2001,$BG109))</f>
        <v>0</v>
      </c>
      <c r="F109">
        <f>IF($E109="","",N(F108)+1)</f>
        <v>0</v>
      </c>
      <c r="G109">
        <f>IF(OR($E109="",$E108=""),"",LN($E109/$E108))</f>
        <v>0</v>
      </c>
      <c r="H109">
        <f>IF($E109="","",IF($E108="",$E109,$E109*0.0952380952+H108*0.9047619048))</f>
        <v>0</v>
      </c>
      <c r="I109">
        <f>IF($E109="","",IF($E108="",$E109,$E109*0.0392156863+I108*0.9607843137))</f>
        <v>0</v>
      </c>
      <c r="J109">
        <f>IF($E109="","",IF($E108="",$E109,$E109*0.0198019802+J108*0.9801980198))</f>
        <v>0</v>
      </c>
      <c r="K109">
        <f>IF($E109="","",IF($E108="",$E109,$E109*0.0099502488+K108*0.9900497512))</f>
        <v>0</v>
      </c>
      <c r="L109">
        <f>IF(OR($E109="",$E108=""),"",MAX($E109-$E108,0))</f>
        <v>0</v>
      </c>
      <c r="M109">
        <f>IF(OR($E109="",$E108=""),"",MAX($E108-$E109,0))</f>
        <v>0</v>
      </c>
      <c r="N109">
        <f>IF(COUNT($E$2:$E109)&lt;15,"",IF(AVERAGE($M$96:$M$109)=0,100,100-100/(1+AVERAGE($L$96:$L$109)/AVERAGE($M$96:$M$109))))</f>
        <v>0</v>
      </c>
      <c r="O109">
        <f>IF($E109="","",IF($E108="",$E109,$E109*0.1538461538+O108*0.8461538462))</f>
        <v>0</v>
      </c>
      <c r="P109">
        <f>IF($E109="","",IF($E108="",$E109,$E109*0.0740740741+P108*0.9259259259))</f>
        <v>0</v>
      </c>
      <c r="Q109">
        <f>IF(OR(O109="",P109=""),"",O109-P109)</f>
        <v>0</v>
      </c>
      <c r="R109">
        <f>IF(Q109="","",IF(R108="",Q109,Q109*0.2000000000+R108*0.8000000000))</f>
        <v>0</v>
      </c>
      <c r="S109">
        <f>IF(OR(Q109="",R109=""),"",Q109-R109)</f>
        <v>0</v>
      </c>
      <c r="T109">
        <f>IF(COUNT($E$2:$E109)&lt;14,"",MAX($C$96:$C$109))</f>
        <v>0</v>
      </c>
      <c r="U109">
        <f>IF(COUNT($E$2:$E109)&lt;14,"",MIN($D$96:$D$109))</f>
        <v>0</v>
      </c>
      <c r="V109">
        <f>IF(OR(T109="",U109="",T109=U109),"",100*($E109-U109)/(T109-U109))</f>
        <v>0</v>
      </c>
      <c r="W109">
        <f>IF(COUNT($V$107:$V$109)&lt;3,"",AVERAGE($V$107:$V$109))</f>
        <v>0</v>
      </c>
      <c r="X109">
        <f>IF(COUNT($N$96:$N$109)&lt;14,"",MIN($N$96:$N$109))</f>
        <v>0</v>
      </c>
      <c r="Y109">
        <f>IF(COUNT($N$96:$N$109)&lt;14,"",MAX($N$96:$N$109))</f>
        <v>0</v>
      </c>
      <c r="Z109">
        <f>IF(OR(N109="",X109="",Y109="",Y109=X109),"",100*(N109-X109)/(Y109-X109))</f>
        <v>0</v>
      </c>
      <c r="AA109">
        <f>IF(COUNT($Z$107:$Z$109)&lt;3,"",AVERAGE($Z$107:$Z$109))</f>
        <v>0</v>
      </c>
      <c r="AB109">
        <f>IF(COUNT($AA$107:$AA$109)&lt;3,"",AVERAGE($AA$107:$AA$109))</f>
        <v>0</v>
      </c>
      <c r="AC109">
        <f>IF($E109="","",MAX($C109-$D109,ABS($C109-$E108),ABS($D109-$E108)))</f>
        <v>0</v>
      </c>
      <c r="AD109">
        <f>IF(COUNT($E$2:$E109)&lt;15,"",AVERAGE($AC$96:$AC$109))</f>
        <v>0</v>
      </c>
      <c r="AE109">
        <f>IF(OR($E109="",$E108=""),"",IF(AND(($C109-$C108)&gt;($D108-$D109),($C109-$C108)&gt;0),$C109-$C108,0))</f>
        <v>0</v>
      </c>
      <c r="AF109">
        <f>IF(OR($E109="",$E108=""),"",IF(AND(($D108-$D109)&gt;($C109-$C108),($D108-$D109)&gt;0),$D108-$D109,0))</f>
        <v>0</v>
      </c>
      <c r="AG109">
        <f>IF(COUNT($E$2:$E109)&lt;15,"",IF(SUM($AC$96:$AC$109)=0,0,100*SUM($AE$96:$AE$109)/SUM($AC$96:$AC$109)))</f>
        <v>0</v>
      </c>
      <c r="AH109">
        <f>IF(COUNT($E$2:$E109)&lt;15,"",IF(SUM($AC$96:$AC$109)=0,0,100*SUM($AF$96:$AF$109)/SUM($AC$96:$AC$109)))</f>
        <v>0</v>
      </c>
      <c r="AI109">
        <f>IF(OR(AG109="",AH109=""),"",IF((AG109+AH109)=0,0,100*ABS(AG109-AH109)/(AG109+AH109)))</f>
        <v>0</v>
      </c>
      <c r="AJ109">
        <f>IF(COUNT($AI$96:$AI$109)&lt;14,"",AVERAGE($AI$96:$AI$109))</f>
        <v>0</v>
      </c>
      <c r="AK109">
        <f>IF(COUNT($E$2:$E109)&lt;20,"",AVERAGE($E$90:$E$109))</f>
        <v>0</v>
      </c>
      <c r="AL109">
        <f>IF(COUNT($E$2:$E109)&lt;20,"",STDEVP($E$90:$E$109))</f>
        <v>0</v>
      </c>
      <c r="AM109">
        <f>IF(AK109="","",AK109+2*AL109)</f>
        <v>0</v>
      </c>
      <c r="AN109">
        <f>IF(AK109="","",AK109-2*AL109)</f>
        <v>0</v>
      </c>
      <c r="AO109">
        <f>IF(OR(AM109="",AN109="",AM109=AN109),"",($E109-AN109)/(AM109-AN109))</f>
        <v>0</v>
      </c>
      <c r="AP109">
        <f>IF(OR(AM109="",AK109="",AK109=0),"",(AM109-AN109)/AK109)</f>
        <v>0</v>
      </c>
      <c r="AQ109">
        <f>IF(COUNT($E$2:$E109)&lt;20,"",MAX($C$90:$C$109))</f>
        <v>0</v>
      </c>
      <c r="AR109">
        <f>IF(COUNT($E$2:$E109)&lt;20,"",MIN($D$90:$D$109))</f>
        <v>0</v>
      </c>
      <c r="AS109">
        <f>IF(OR(AQ109="",AR109=""),"",(AQ109+AR109)/2)</f>
        <v>0</v>
      </c>
      <c r="AT109">
        <f>IF(COUNT($G$90:$G$109)&lt;20,"",STDEV($G$90:$G$109)*SQRT(12))</f>
        <v>0</v>
      </c>
      <c r="AU109">
        <f>IF(COUNT($E$2:$E109)&lt;9,"",(MAX($C$101:$C$109)+MIN($D$101:$D$109))/2)</f>
        <v>0</v>
      </c>
      <c r="AV109">
        <f>IF(COUNT($E$2:$E109)&lt;26,"",(MAX($C$84:$C$109)+MIN($D$84:$D$109))/2)</f>
        <v>0</v>
      </c>
      <c r="AW109">
        <f>IF(OR(AU109="",AV109=""),"",(AU109+AV109)/2)</f>
        <v>0</v>
      </c>
      <c r="AX109">
        <f>IF(COUNT($E$2:$E109)&lt;52,"",(MAX($C$58:$C$109)+MIN($D$58:$D$109))/2)</f>
        <v>0</v>
      </c>
      <c r="AY109">
        <f>IF(COUNT($E$2:$E109)&lt;20,"",MAX($C$10:$C$109))</f>
        <v>0</v>
      </c>
      <c r="AZ109">
        <f>IF(COUNT($E$2:$E109)&lt;20,"",MIN($D$10:$D$109))</f>
        <v>0</v>
      </c>
      <c r="BA109">
        <f>IF(COUNT($E$2:$E109)&lt;20,"",SLOPE($E$10:$E$109,$F$10:$F$109))</f>
        <v>0</v>
      </c>
      <c r="BB109">
        <f>IF(COUNT($E$2:$E109)&lt;20,"",INTERCEPT($E$10:$E$109,$F$10:$F$109))</f>
        <v>0</v>
      </c>
      <c r="BC109">
        <f>IF(OR(BA109="",BB109=""),"",BB109+BA109*F109)</f>
        <v>0</v>
      </c>
      <c r="BD109">
        <f>IF(COUNT($E$2:$E109)&lt;20,"",STEYX($E$10:$E$109,$F$10:$F$109))</f>
        <v>0</v>
      </c>
      <c r="BE109">
        <f>IF($E109="","",IF(AND(COUNT($E$110:$E$113)&gt;=4,$C109=MAX($C$105:$C$113)),$C109,""))</f>
        <v>0</v>
      </c>
      <c r="BF109">
        <f>IF($E109="","",IF(AND(COUNT($E$110:$E$113)&gt;=4,$D109=MIN($D$105:$D$113)),$D109,""))</f>
        <v>0</v>
      </c>
      <c r="BG109">
        <f>IFERROR(SMALL(Calc_Daily!$BT$2:$BT$2001,108),"")</f>
        <v>0</v>
      </c>
    </row>
    <row r="110" spans="1:59">
      <c r="A110" s="27">
        <f>IF($BG110="","",INDEX(Calc_Daily!$A$2:$A$2001,$BG110))</f>
        <v>0</v>
      </c>
      <c r="B110">
        <f>IF($BG110="","",INDEX(Calc_Daily!$BQ$2:$BQ$2001,$BG110))</f>
        <v>0</v>
      </c>
      <c r="C110">
        <f>IF($BG110="","",INDEX(Calc_Daily!$BR$2:$BR$2001,$BG110))</f>
        <v>0</v>
      </c>
      <c r="D110">
        <f>IF($BG110="","",INDEX(Calc_Daily!$BS$2:$BS$2001,$BG110))</f>
        <v>0</v>
      </c>
      <c r="E110">
        <f>IF($BG110="","",INDEX(Calc_Daily!$E$2:$E$2001,$BG110))</f>
        <v>0</v>
      </c>
      <c r="F110">
        <f>IF($E110="","",N(F109)+1)</f>
        <v>0</v>
      </c>
      <c r="G110">
        <f>IF(OR($E110="",$E109=""),"",LN($E110/$E109))</f>
        <v>0</v>
      </c>
      <c r="H110">
        <f>IF($E110="","",IF($E109="",$E110,$E110*0.0952380952+H109*0.9047619048))</f>
        <v>0</v>
      </c>
      <c r="I110">
        <f>IF($E110="","",IF($E109="",$E110,$E110*0.0392156863+I109*0.9607843137))</f>
        <v>0</v>
      </c>
      <c r="J110">
        <f>IF($E110="","",IF($E109="",$E110,$E110*0.0198019802+J109*0.9801980198))</f>
        <v>0</v>
      </c>
      <c r="K110">
        <f>IF($E110="","",IF($E109="",$E110,$E110*0.0099502488+K109*0.9900497512))</f>
        <v>0</v>
      </c>
      <c r="L110">
        <f>IF(OR($E110="",$E109=""),"",MAX($E110-$E109,0))</f>
        <v>0</v>
      </c>
      <c r="M110">
        <f>IF(OR($E110="",$E109=""),"",MAX($E109-$E110,0))</f>
        <v>0</v>
      </c>
      <c r="N110">
        <f>IF(COUNT($E$2:$E110)&lt;15,"",IF(AVERAGE($M$97:$M$110)=0,100,100-100/(1+AVERAGE($L$97:$L$110)/AVERAGE($M$97:$M$110))))</f>
        <v>0</v>
      </c>
      <c r="O110">
        <f>IF($E110="","",IF($E109="",$E110,$E110*0.1538461538+O109*0.8461538462))</f>
        <v>0</v>
      </c>
      <c r="P110">
        <f>IF($E110="","",IF($E109="",$E110,$E110*0.0740740741+P109*0.9259259259))</f>
        <v>0</v>
      </c>
      <c r="Q110">
        <f>IF(OR(O110="",P110=""),"",O110-P110)</f>
        <v>0</v>
      </c>
      <c r="R110">
        <f>IF(Q110="","",IF(R109="",Q110,Q110*0.2000000000+R109*0.8000000000))</f>
        <v>0</v>
      </c>
      <c r="S110">
        <f>IF(OR(Q110="",R110=""),"",Q110-R110)</f>
        <v>0</v>
      </c>
      <c r="T110">
        <f>IF(COUNT($E$2:$E110)&lt;14,"",MAX($C$97:$C$110))</f>
        <v>0</v>
      </c>
      <c r="U110">
        <f>IF(COUNT($E$2:$E110)&lt;14,"",MIN($D$97:$D$110))</f>
        <v>0</v>
      </c>
      <c r="V110">
        <f>IF(OR(T110="",U110="",T110=U110),"",100*($E110-U110)/(T110-U110))</f>
        <v>0</v>
      </c>
      <c r="W110">
        <f>IF(COUNT($V$108:$V$110)&lt;3,"",AVERAGE($V$108:$V$110))</f>
        <v>0</v>
      </c>
      <c r="X110">
        <f>IF(COUNT($N$97:$N$110)&lt;14,"",MIN($N$97:$N$110))</f>
        <v>0</v>
      </c>
      <c r="Y110">
        <f>IF(COUNT($N$97:$N$110)&lt;14,"",MAX($N$97:$N$110))</f>
        <v>0</v>
      </c>
      <c r="Z110">
        <f>IF(OR(N110="",X110="",Y110="",Y110=X110),"",100*(N110-X110)/(Y110-X110))</f>
        <v>0</v>
      </c>
      <c r="AA110">
        <f>IF(COUNT($Z$108:$Z$110)&lt;3,"",AVERAGE($Z$108:$Z$110))</f>
        <v>0</v>
      </c>
      <c r="AB110">
        <f>IF(COUNT($AA$108:$AA$110)&lt;3,"",AVERAGE($AA$108:$AA$110))</f>
        <v>0</v>
      </c>
      <c r="AC110">
        <f>IF($E110="","",MAX($C110-$D110,ABS($C110-$E109),ABS($D110-$E109)))</f>
        <v>0</v>
      </c>
      <c r="AD110">
        <f>IF(COUNT($E$2:$E110)&lt;15,"",AVERAGE($AC$97:$AC$110))</f>
        <v>0</v>
      </c>
      <c r="AE110">
        <f>IF(OR($E110="",$E109=""),"",IF(AND(($C110-$C109)&gt;($D109-$D110),($C110-$C109)&gt;0),$C110-$C109,0))</f>
        <v>0</v>
      </c>
      <c r="AF110">
        <f>IF(OR($E110="",$E109=""),"",IF(AND(($D109-$D110)&gt;($C110-$C109),($D109-$D110)&gt;0),$D109-$D110,0))</f>
        <v>0</v>
      </c>
      <c r="AG110">
        <f>IF(COUNT($E$2:$E110)&lt;15,"",IF(SUM($AC$97:$AC$110)=0,0,100*SUM($AE$97:$AE$110)/SUM($AC$97:$AC$110)))</f>
        <v>0</v>
      </c>
      <c r="AH110">
        <f>IF(COUNT($E$2:$E110)&lt;15,"",IF(SUM($AC$97:$AC$110)=0,0,100*SUM($AF$97:$AF$110)/SUM($AC$97:$AC$110)))</f>
        <v>0</v>
      </c>
      <c r="AI110">
        <f>IF(OR(AG110="",AH110=""),"",IF((AG110+AH110)=0,0,100*ABS(AG110-AH110)/(AG110+AH110)))</f>
        <v>0</v>
      </c>
      <c r="AJ110">
        <f>IF(COUNT($AI$97:$AI$110)&lt;14,"",AVERAGE($AI$97:$AI$110))</f>
        <v>0</v>
      </c>
      <c r="AK110">
        <f>IF(COUNT($E$2:$E110)&lt;20,"",AVERAGE($E$91:$E$110))</f>
        <v>0</v>
      </c>
      <c r="AL110">
        <f>IF(COUNT($E$2:$E110)&lt;20,"",STDEVP($E$91:$E$110))</f>
        <v>0</v>
      </c>
      <c r="AM110">
        <f>IF(AK110="","",AK110+2*AL110)</f>
        <v>0</v>
      </c>
      <c r="AN110">
        <f>IF(AK110="","",AK110-2*AL110)</f>
        <v>0</v>
      </c>
      <c r="AO110">
        <f>IF(OR(AM110="",AN110="",AM110=AN110),"",($E110-AN110)/(AM110-AN110))</f>
        <v>0</v>
      </c>
      <c r="AP110">
        <f>IF(OR(AM110="",AK110="",AK110=0),"",(AM110-AN110)/AK110)</f>
        <v>0</v>
      </c>
      <c r="AQ110">
        <f>IF(COUNT($E$2:$E110)&lt;20,"",MAX($C$91:$C$110))</f>
        <v>0</v>
      </c>
      <c r="AR110">
        <f>IF(COUNT($E$2:$E110)&lt;20,"",MIN($D$91:$D$110))</f>
        <v>0</v>
      </c>
      <c r="AS110">
        <f>IF(OR(AQ110="",AR110=""),"",(AQ110+AR110)/2)</f>
        <v>0</v>
      </c>
      <c r="AT110">
        <f>IF(COUNT($G$91:$G$110)&lt;20,"",STDEV($G$91:$G$110)*SQRT(12))</f>
        <v>0</v>
      </c>
      <c r="AU110">
        <f>IF(COUNT($E$2:$E110)&lt;9,"",(MAX($C$102:$C$110)+MIN($D$102:$D$110))/2)</f>
        <v>0</v>
      </c>
      <c r="AV110">
        <f>IF(COUNT($E$2:$E110)&lt;26,"",(MAX($C$85:$C$110)+MIN($D$85:$D$110))/2)</f>
        <v>0</v>
      </c>
      <c r="AW110">
        <f>IF(OR(AU110="",AV110=""),"",(AU110+AV110)/2)</f>
        <v>0</v>
      </c>
      <c r="AX110">
        <f>IF(COUNT($E$2:$E110)&lt;52,"",(MAX($C$59:$C$110)+MIN($D$59:$D$110))/2)</f>
        <v>0</v>
      </c>
      <c r="AY110">
        <f>IF(COUNT($E$2:$E110)&lt;20,"",MAX($C$11:$C$110))</f>
        <v>0</v>
      </c>
      <c r="AZ110">
        <f>IF(COUNT($E$2:$E110)&lt;20,"",MIN($D$11:$D$110))</f>
        <v>0</v>
      </c>
      <c r="BA110">
        <f>IF(COUNT($E$2:$E110)&lt;20,"",SLOPE($E$11:$E$110,$F$11:$F$110))</f>
        <v>0</v>
      </c>
      <c r="BB110">
        <f>IF(COUNT($E$2:$E110)&lt;20,"",INTERCEPT($E$11:$E$110,$F$11:$F$110))</f>
        <v>0</v>
      </c>
      <c r="BC110">
        <f>IF(OR(BA110="",BB110=""),"",BB110+BA110*F110)</f>
        <v>0</v>
      </c>
      <c r="BD110">
        <f>IF(COUNT($E$2:$E110)&lt;20,"",STEYX($E$11:$E$110,$F$11:$F$110))</f>
        <v>0</v>
      </c>
      <c r="BE110">
        <f>IF($E110="","",IF(AND(COUNT($E$111:$E$114)&gt;=4,$C110=MAX($C$106:$C$114)),$C110,""))</f>
        <v>0</v>
      </c>
      <c r="BF110">
        <f>IF($E110="","",IF(AND(COUNT($E$111:$E$114)&gt;=4,$D110=MIN($D$106:$D$114)),$D110,""))</f>
        <v>0</v>
      </c>
      <c r="BG110">
        <f>IFERROR(SMALL(Calc_Daily!$BT$2:$BT$2001,109),"")</f>
        <v>0</v>
      </c>
    </row>
    <row r="111" spans="1:59">
      <c r="A111" s="27">
        <f>IF($BG111="","",INDEX(Calc_Daily!$A$2:$A$2001,$BG111))</f>
        <v>0</v>
      </c>
      <c r="B111">
        <f>IF($BG111="","",INDEX(Calc_Daily!$BQ$2:$BQ$2001,$BG111))</f>
        <v>0</v>
      </c>
      <c r="C111">
        <f>IF($BG111="","",INDEX(Calc_Daily!$BR$2:$BR$2001,$BG111))</f>
        <v>0</v>
      </c>
      <c r="D111">
        <f>IF($BG111="","",INDEX(Calc_Daily!$BS$2:$BS$2001,$BG111))</f>
        <v>0</v>
      </c>
      <c r="E111">
        <f>IF($BG111="","",INDEX(Calc_Daily!$E$2:$E$2001,$BG111))</f>
        <v>0</v>
      </c>
      <c r="F111">
        <f>IF($E111="","",N(F110)+1)</f>
        <v>0</v>
      </c>
      <c r="G111">
        <f>IF(OR($E111="",$E110=""),"",LN($E111/$E110))</f>
        <v>0</v>
      </c>
      <c r="H111">
        <f>IF($E111="","",IF($E110="",$E111,$E111*0.0952380952+H110*0.9047619048))</f>
        <v>0</v>
      </c>
      <c r="I111">
        <f>IF($E111="","",IF($E110="",$E111,$E111*0.0392156863+I110*0.9607843137))</f>
        <v>0</v>
      </c>
      <c r="J111">
        <f>IF($E111="","",IF($E110="",$E111,$E111*0.0198019802+J110*0.9801980198))</f>
        <v>0</v>
      </c>
      <c r="K111">
        <f>IF($E111="","",IF($E110="",$E111,$E111*0.0099502488+K110*0.9900497512))</f>
        <v>0</v>
      </c>
      <c r="L111">
        <f>IF(OR($E111="",$E110=""),"",MAX($E111-$E110,0))</f>
        <v>0</v>
      </c>
      <c r="M111">
        <f>IF(OR($E111="",$E110=""),"",MAX($E110-$E111,0))</f>
        <v>0</v>
      </c>
      <c r="N111">
        <f>IF(COUNT($E$2:$E111)&lt;15,"",IF(AVERAGE($M$98:$M$111)=0,100,100-100/(1+AVERAGE($L$98:$L$111)/AVERAGE($M$98:$M$111))))</f>
        <v>0</v>
      </c>
      <c r="O111">
        <f>IF($E111="","",IF($E110="",$E111,$E111*0.1538461538+O110*0.8461538462))</f>
        <v>0</v>
      </c>
      <c r="P111">
        <f>IF($E111="","",IF($E110="",$E111,$E111*0.0740740741+P110*0.9259259259))</f>
        <v>0</v>
      </c>
      <c r="Q111">
        <f>IF(OR(O111="",P111=""),"",O111-P111)</f>
        <v>0</v>
      </c>
      <c r="R111">
        <f>IF(Q111="","",IF(R110="",Q111,Q111*0.2000000000+R110*0.8000000000))</f>
        <v>0</v>
      </c>
      <c r="S111">
        <f>IF(OR(Q111="",R111=""),"",Q111-R111)</f>
        <v>0</v>
      </c>
      <c r="T111">
        <f>IF(COUNT($E$2:$E111)&lt;14,"",MAX($C$98:$C$111))</f>
        <v>0</v>
      </c>
      <c r="U111">
        <f>IF(COUNT($E$2:$E111)&lt;14,"",MIN($D$98:$D$111))</f>
        <v>0</v>
      </c>
      <c r="V111">
        <f>IF(OR(T111="",U111="",T111=U111),"",100*($E111-U111)/(T111-U111))</f>
        <v>0</v>
      </c>
      <c r="W111">
        <f>IF(COUNT($V$109:$V$111)&lt;3,"",AVERAGE($V$109:$V$111))</f>
        <v>0</v>
      </c>
      <c r="X111">
        <f>IF(COUNT($N$98:$N$111)&lt;14,"",MIN($N$98:$N$111))</f>
        <v>0</v>
      </c>
      <c r="Y111">
        <f>IF(COUNT($N$98:$N$111)&lt;14,"",MAX($N$98:$N$111))</f>
        <v>0</v>
      </c>
      <c r="Z111">
        <f>IF(OR(N111="",X111="",Y111="",Y111=X111),"",100*(N111-X111)/(Y111-X111))</f>
        <v>0</v>
      </c>
      <c r="AA111">
        <f>IF(COUNT($Z$109:$Z$111)&lt;3,"",AVERAGE($Z$109:$Z$111))</f>
        <v>0</v>
      </c>
      <c r="AB111">
        <f>IF(COUNT($AA$109:$AA$111)&lt;3,"",AVERAGE($AA$109:$AA$111))</f>
        <v>0</v>
      </c>
      <c r="AC111">
        <f>IF($E111="","",MAX($C111-$D111,ABS($C111-$E110),ABS($D111-$E110)))</f>
        <v>0</v>
      </c>
      <c r="AD111">
        <f>IF(COUNT($E$2:$E111)&lt;15,"",AVERAGE($AC$98:$AC$111))</f>
        <v>0</v>
      </c>
      <c r="AE111">
        <f>IF(OR($E111="",$E110=""),"",IF(AND(($C111-$C110)&gt;($D110-$D111),($C111-$C110)&gt;0),$C111-$C110,0))</f>
        <v>0</v>
      </c>
      <c r="AF111">
        <f>IF(OR($E111="",$E110=""),"",IF(AND(($D110-$D111)&gt;($C111-$C110),($D110-$D111)&gt;0),$D110-$D111,0))</f>
        <v>0</v>
      </c>
      <c r="AG111">
        <f>IF(COUNT($E$2:$E111)&lt;15,"",IF(SUM($AC$98:$AC$111)=0,0,100*SUM($AE$98:$AE$111)/SUM($AC$98:$AC$111)))</f>
        <v>0</v>
      </c>
      <c r="AH111">
        <f>IF(COUNT($E$2:$E111)&lt;15,"",IF(SUM($AC$98:$AC$111)=0,0,100*SUM($AF$98:$AF$111)/SUM($AC$98:$AC$111)))</f>
        <v>0</v>
      </c>
      <c r="AI111">
        <f>IF(OR(AG111="",AH111=""),"",IF((AG111+AH111)=0,0,100*ABS(AG111-AH111)/(AG111+AH111)))</f>
        <v>0</v>
      </c>
      <c r="AJ111">
        <f>IF(COUNT($AI$98:$AI$111)&lt;14,"",AVERAGE($AI$98:$AI$111))</f>
        <v>0</v>
      </c>
      <c r="AK111">
        <f>IF(COUNT($E$2:$E111)&lt;20,"",AVERAGE($E$92:$E$111))</f>
        <v>0</v>
      </c>
      <c r="AL111">
        <f>IF(COUNT($E$2:$E111)&lt;20,"",STDEVP($E$92:$E$111))</f>
        <v>0</v>
      </c>
      <c r="AM111">
        <f>IF(AK111="","",AK111+2*AL111)</f>
        <v>0</v>
      </c>
      <c r="AN111">
        <f>IF(AK111="","",AK111-2*AL111)</f>
        <v>0</v>
      </c>
      <c r="AO111">
        <f>IF(OR(AM111="",AN111="",AM111=AN111),"",($E111-AN111)/(AM111-AN111))</f>
        <v>0</v>
      </c>
      <c r="AP111">
        <f>IF(OR(AM111="",AK111="",AK111=0),"",(AM111-AN111)/AK111)</f>
        <v>0</v>
      </c>
      <c r="AQ111">
        <f>IF(COUNT($E$2:$E111)&lt;20,"",MAX($C$92:$C$111))</f>
        <v>0</v>
      </c>
      <c r="AR111">
        <f>IF(COUNT($E$2:$E111)&lt;20,"",MIN($D$92:$D$111))</f>
        <v>0</v>
      </c>
      <c r="AS111">
        <f>IF(OR(AQ111="",AR111=""),"",(AQ111+AR111)/2)</f>
        <v>0</v>
      </c>
      <c r="AT111">
        <f>IF(COUNT($G$92:$G$111)&lt;20,"",STDEV($G$92:$G$111)*SQRT(12))</f>
        <v>0</v>
      </c>
      <c r="AU111">
        <f>IF(COUNT($E$2:$E111)&lt;9,"",(MAX($C$103:$C$111)+MIN($D$103:$D$111))/2)</f>
        <v>0</v>
      </c>
      <c r="AV111">
        <f>IF(COUNT($E$2:$E111)&lt;26,"",(MAX($C$86:$C$111)+MIN($D$86:$D$111))/2)</f>
        <v>0</v>
      </c>
      <c r="AW111">
        <f>IF(OR(AU111="",AV111=""),"",(AU111+AV111)/2)</f>
        <v>0</v>
      </c>
      <c r="AX111">
        <f>IF(COUNT($E$2:$E111)&lt;52,"",(MAX($C$60:$C$111)+MIN($D$60:$D$111))/2)</f>
        <v>0</v>
      </c>
      <c r="AY111">
        <f>IF(COUNT($E$2:$E111)&lt;20,"",MAX($C$12:$C$111))</f>
        <v>0</v>
      </c>
      <c r="AZ111">
        <f>IF(COUNT($E$2:$E111)&lt;20,"",MIN($D$12:$D$111))</f>
        <v>0</v>
      </c>
      <c r="BA111">
        <f>IF(COUNT($E$2:$E111)&lt;20,"",SLOPE($E$12:$E$111,$F$12:$F$111))</f>
        <v>0</v>
      </c>
      <c r="BB111">
        <f>IF(COUNT($E$2:$E111)&lt;20,"",INTERCEPT($E$12:$E$111,$F$12:$F$111))</f>
        <v>0</v>
      </c>
      <c r="BC111">
        <f>IF(OR(BA111="",BB111=""),"",BB111+BA111*F111)</f>
        <v>0</v>
      </c>
      <c r="BD111">
        <f>IF(COUNT($E$2:$E111)&lt;20,"",STEYX($E$12:$E$111,$F$12:$F$111))</f>
        <v>0</v>
      </c>
      <c r="BE111">
        <f>IF($E111="","",IF(AND(COUNT($E$112:$E$115)&gt;=4,$C111=MAX($C$107:$C$115)),$C111,""))</f>
        <v>0</v>
      </c>
      <c r="BF111">
        <f>IF($E111="","",IF(AND(COUNT($E$112:$E$115)&gt;=4,$D111=MIN($D$107:$D$115)),$D111,""))</f>
        <v>0</v>
      </c>
      <c r="BG111">
        <f>IFERROR(SMALL(Calc_Daily!$BT$2:$BT$2001,110),"")</f>
        <v>0</v>
      </c>
    </row>
    <row r="112" spans="1:59">
      <c r="A112" s="27">
        <f>IF($BG112="","",INDEX(Calc_Daily!$A$2:$A$2001,$BG112))</f>
        <v>0</v>
      </c>
      <c r="B112">
        <f>IF($BG112="","",INDEX(Calc_Daily!$BQ$2:$BQ$2001,$BG112))</f>
        <v>0</v>
      </c>
      <c r="C112">
        <f>IF($BG112="","",INDEX(Calc_Daily!$BR$2:$BR$2001,$BG112))</f>
        <v>0</v>
      </c>
      <c r="D112">
        <f>IF($BG112="","",INDEX(Calc_Daily!$BS$2:$BS$2001,$BG112))</f>
        <v>0</v>
      </c>
      <c r="E112">
        <f>IF($BG112="","",INDEX(Calc_Daily!$E$2:$E$2001,$BG112))</f>
        <v>0</v>
      </c>
      <c r="F112">
        <f>IF($E112="","",N(F111)+1)</f>
        <v>0</v>
      </c>
      <c r="G112">
        <f>IF(OR($E112="",$E111=""),"",LN($E112/$E111))</f>
        <v>0</v>
      </c>
      <c r="H112">
        <f>IF($E112="","",IF($E111="",$E112,$E112*0.0952380952+H111*0.9047619048))</f>
        <v>0</v>
      </c>
      <c r="I112">
        <f>IF($E112="","",IF($E111="",$E112,$E112*0.0392156863+I111*0.9607843137))</f>
        <v>0</v>
      </c>
      <c r="J112">
        <f>IF($E112="","",IF($E111="",$E112,$E112*0.0198019802+J111*0.9801980198))</f>
        <v>0</v>
      </c>
      <c r="K112">
        <f>IF($E112="","",IF($E111="",$E112,$E112*0.0099502488+K111*0.9900497512))</f>
        <v>0</v>
      </c>
      <c r="L112">
        <f>IF(OR($E112="",$E111=""),"",MAX($E112-$E111,0))</f>
        <v>0</v>
      </c>
      <c r="M112">
        <f>IF(OR($E112="",$E111=""),"",MAX($E111-$E112,0))</f>
        <v>0</v>
      </c>
      <c r="N112">
        <f>IF(COUNT($E$2:$E112)&lt;15,"",IF(AVERAGE($M$99:$M$112)=0,100,100-100/(1+AVERAGE($L$99:$L$112)/AVERAGE($M$99:$M$112))))</f>
        <v>0</v>
      </c>
      <c r="O112">
        <f>IF($E112="","",IF($E111="",$E112,$E112*0.1538461538+O111*0.8461538462))</f>
        <v>0</v>
      </c>
      <c r="P112">
        <f>IF($E112="","",IF($E111="",$E112,$E112*0.0740740741+P111*0.9259259259))</f>
        <v>0</v>
      </c>
      <c r="Q112">
        <f>IF(OR(O112="",P112=""),"",O112-P112)</f>
        <v>0</v>
      </c>
      <c r="R112">
        <f>IF(Q112="","",IF(R111="",Q112,Q112*0.2000000000+R111*0.8000000000))</f>
        <v>0</v>
      </c>
      <c r="S112">
        <f>IF(OR(Q112="",R112=""),"",Q112-R112)</f>
        <v>0</v>
      </c>
      <c r="T112">
        <f>IF(COUNT($E$2:$E112)&lt;14,"",MAX($C$99:$C$112))</f>
        <v>0</v>
      </c>
      <c r="U112">
        <f>IF(COUNT($E$2:$E112)&lt;14,"",MIN($D$99:$D$112))</f>
        <v>0</v>
      </c>
      <c r="V112">
        <f>IF(OR(T112="",U112="",T112=U112),"",100*($E112-U112)/(T112-U112))</f>
        <v>0</v>
      </c>
      <c r="W112">
        <f>IF(COUNT($V$110:$V$112)&lt;3,"",AVERAGE($V$110:$V$112))</f>
        <v>0</v>
      </c>
      <c r="X112">
        <f>IF(COUNT($N$99:$N$112)&lt;14,"",MIN($N$99:$N$112))</f>
        <v>0</v>
      </c>
      <c r="Y112">
        <f>IF(COUNT($N$99:$N$112)&lt;14,"",MAX($N$99:$N$112))</f>
        <v>0</v>
      </c>
      <c r="Z112">
        <f>IF(OR(N112="",X112="",Y112="",Y112=X112),"",100*(N112-X112)/(Y112-X112))</f>
        <v>0</v>
      </c>
      <c r="AA112">
        <f>IF(COUNT($Z$110:$Z$112)&lt;3,"",AVERAGE($Z$110:$Z$112))</f>
        <v>0</v>
      </c>
      <c r="AB112">
        <f>IF(COUNT($AA$110:$AA$112)&lt;3,"",AVERAGE($AA$110:$AA$112))</f>
        <v>0</v>
      </c>
      <c r="AC112">
        <f>IF($E112="","",MAX($C112-$D112,ABS($C112-$E111),ABS($D112-$E111)))</f>
        <v>0</v>
      </c>
      <c r="AD112">
        <f>IF(COUNT($E$2:$E112)&lt;15,"",AVERAGE($AC$99:$AC$112))</f>
        <v>0</v>
      </c>
      <c r="AE112">
        <f>IF(OR($E112="",$E111=""),"",IF(AND(($C112-$C111)&gt;($D111-$D112),($C112-$C111)&gt;0),$C112-$C111,0))</f>
        <v>0</v>
      </c>
      <c r="AF112">
        <f>IF(OR($E112="",$E111=""),"",IF(AND(($D111-$D112)&gt;($C112-$C111),($D111-$D112)&gt;0),$D111-$D112,0))</f>
        <v>0</v>
      </c>
      <c r="AG112">
        <f>IF(COUNT($E$2:$E112)&lt;15,"",IF(SUM($AC$99:$AC$112)=0,0,100*SUM($AE$99:$AE$112)/SUM($AC$99:$AC$112)))</f>
        <v>0</v>
      </c>
      <c r="AH112">
        <f>IF(COUNT($E$2:$E112)&lt;15,"",IF(SUM($AC$99:$AC$112)=0,0,100*SUM($AF$99:$AF$112)/SUM($AC$99:$AC$112)))</f>
        <v>0</v>
      </c>
      <c r="AI112">
        <f>IF(OR(AG112="",AH112=""),"",IF((AG112+AH112)=0,0,100*ABS(AG112-AH112)/(AG112+AH112)))</f>
        <v>0</v>
      </c>
      <c r="AJ112">
        <f>IF(COUNT($AI$99:$AI$112)&lt;14,"",AVERAGE($AI$99:$AI$112))</f>
        <v>0</v>
      </c>
      <c r="AK112">
        <f>IF(COUNT($E$2:$E112)&lt;20,"",AVERAGE($E$93:$E$112))</f>
        <v>0</v>
      </c>
      <c r="AL112">
        <f>IF(COUNT($E$2:$E112)&lt;20,"",STDEVP($E$93:$E$112))</f>
        <v>0</v>
      </c>
      <c r="AM112">
        <f>IF(AK112="","",AK112+2*AL112)</f>
        <v>0</v>
      </c>
      <c r="AN112">
        <f>IF(AK112="","",AK112-2*AL112)</f>
        <v>0</v>
      </c>
      <c r="AO112">
        <f>IF(OR(AM112="",AN112="",AM112=AN112),"",($E112-AN112)/(AM112-AN112))</f>
        <v>0</v>
      </c>
      <c r="AP112">
        <f>IF(OR(AM112="",AK112="",AK112=0),"",(AM112-AN112)/AK112)</f>
        <v>0</v>
      </c>
      <c r="AQ112">
        <f>IF(COUNT($E$2:$E112)&lt;20,"",MAX($C$93:$C$112))</f>
        <v>0</v>
      </c>
      <c r="AR112">
        <f>IF(COUNT($E$2:$E112)&lt;20,"",MIN($D$93:$D$112))</f>
        <v>0</v>
      </c>
      <c r="AS112">
        <f>IF(OR(AQ112="",AR112=""),"",(AQ112+AR112)/2)</f>
        <v>0</v>
      </c>
      <c r="AT112">
        <f>IF(COUNT($G$93:$G$112)&lt;20,"",STDEV($G$93:$G$112)*SQRT(12))</f>
        <v>0</v>
      </c>
      <c r="AU112">
        <f>IF(COUNT($E$2:$E112)&lt;9,"",(MAX($C$104:$C$112)+MIN($D$104:$D$112))/2)</f>
        <v>0</v>
      </c>
      <c r="AV112">
        <f>IF(COUNT($E$2:$E112)&lt;26,"",(MAX($C$87:$C$112)+MIN($D$87:$D$112))/2)</f>
        <v>0</v>
      </c>
      <c r="AW112">
        <f>IF(OR(AU112="",AV112=""),"",(AU112+AV112)/2)</f>
        <v>0</v>
      </c>
      <c r="AX112">
        <f>IF(COUNT($E$2:$E112)&lt;52,"",(MAX($C$61:$C$112)+MIN($D$61:$D$112))/2)</f>
        <v>0</v>
      </c>
      <c r="AY112">
        <f>IF(COUNT($E$2:$E112)&lt;20,"",MAX($C$13:$C$112))</f>
        <v>0</v>
      </c>
      <c r="AZ112">
        <f>IF(COUNT($E$2:$E112)&lt;20,"",MIN($D$13:$D$112))</f>
        <v>0</v>
      </c>
      <c r="BA112">
        <f>IF(COUNT($E$2:$E112)&lt;20,"",SLOPE($E$13:$E$112,$F$13:$F$112))</f>
        <v>0</v>
      </c>
      <c r="BB112">
        <f>IF(COUNT($E$2:$E112)&lt;20,"",INTERCEPT($E$13:$E$112,$F$13:$F$112))</f>
        <v>0</v>
      </c>
      <c r="BC112">
        <f>IF(OR(BA112="",BB112=""),"",BB112+BA112*F112)</f>
        <v>0</v>
      </c>
      <c r="BD112">
        <f>IF(COUNT($E$2:$E112)&lt;20,"",STEYX($E$13:$E$112,$F$13:$F$112))</f>
        <v>0</v>
      </c>
      <c r="BE112">
        <f>IF($E112="","",IF(AND(COUNT($E$113:$E$116)&gt;=4,$C112=MAX($C$108:$C$116)),$C112,""))</f>
        <v>0</v>
      </c>
      <c r="BF112">
        <f>IF($E112="","",IF(AND(COUNT($E$113:$E$116)&gt;=4,$D112=MIN($D$108:$D$116)),$D112,""))</f>
        <v>0</v>
      </c>
      <c r="BG112">
        <f>IFERROR(SMALL(Calc_Daily!$BT$2:$BT$2001,111),"")</f>
        <v>0</v>
      </c>
    </row>
    <row r="113" spans="1:59">
      <c r="A113" s="27">
        <f>IF($BG113="","",INDEX(Calc_Daily!$A$2:$A$2001,$BG113))</f>
        <v>0</v>
      </c>
      <c r="B113">
        <f>IF($BG113="","",INDEX(Calc_Daily!$BQ$2:$BQ$2001,$BG113))</f>
        <v>0</v>
      </c>
      <c r="C113">
        <f>IF($BG113="","",INDEX(Calc_Daily!$BR$2:$BR$2001,$BG113))</f>
        <v>0</v>
      </c>
      <c r="D113">
        <f>IF($BG113="","",INDEX(Calc_Daily!$BS$2:$BS$2001,$BG113))</f>
        <v>0</v>
      </c>
      <c r="E113">
        <f>IF($BG113="","",INDEX(Calc_Daily!$E$2:$E$2001,$BG113))</f>
        <v>0</v>
      </c>
      <c r="F113">
        <f>IF($E113="","",N(F112)+1)</f>
        <v>0</v>
      </c>
      <c r="G113">
        <f>IF(OR($E113="",$E112=""),"",LN($E113/$E112))</f>
        <v>0</v>
      </c>
      <c r="H113">
        <f>IF($E113="","",IF($E112="",$E113,$E113*0.0952380952+H112*0.9047619048))</f>
        <v>0</v>
      </c>
      <c r="I113">
        <f>IF($E113="","",IF($E112="",$E113,$E113*0.0392156863+I112*0.9607843137))</f>
        <v>0</v>
      </c>
      <c r="J113">
        <f>IF($E113="","",IF($E112="",$E113,$E113*0.0198019802+J112*0.9801980198))</f>
        <v>0</v>
      </c>
      <c r="K113">
        <f>IF($E113="","",IF($E112="",$E113,$E113*0.0099502488+K112*0.9900497512))</f>
        <v>0</v>
      </c>
      <c r="L113">
        <f>IF(OR($E113="",$E112=""),"",MAX($E113-$E112,0))</f>
        <v>0</v>
      </c>
      <c r="M113">
        <f>IF(OR($E113="",$E112=""),"",MAX($E112-$E113,0))</f>
        <v>0</v>
      </c>
      <c r="N113">
        <f>IF(COUNT($E$2:$E113)&lt;15,"",IF(AVERAGE($M$100:$M$113)=0,100,100-100/(1+AVERAGE($L$100:$L$113)/AVERAGE($M$100:$M$113))))</f>
        <v>0</v>
      </c>
      <c r="O113">
        <f>IF($E113="","",IF($E112="",$E113,$E113*0.1538461538+O112*0.8461538462))</f>
        <v>0</v>
      </c>
      <c r="P113">
        <f>IF($E113="","",IF($E112="",$E113,$E113*0.0740740741+P112*0.9259259259))</f>
        <v>0</v>
      </c>
      <c r="Q113">
        <f>IF(OR(O113="",P113=""),"",O113-P113)</f>
        <v>0</v>
      </c>
      <c r="R113">
        <f>IF(Q113="","",IF(R112="",Q113,Q113*0.2000000000+R112*0.8000000000))</f>
        <v>0</v>
      </c>
      <c r="S113">
        <f>IF(OR(Q113="",R113=""),"",Q113-R113)</f>
        <v>0</v>
      </c>
      <c r="T113">
        <f>IF(COUNT($E$2:$E113)&lt;14,"",MAX($C$100:$C$113))</f>
        <v>0</v>
      </c>
      <c r="U113">
        <f>IF(COUNT($E$2:$E113)&lt;14,"",MIN($D$100:$D$113))</f>
        <v>0</v>
      </c>
      <c r="V113">
        <f>IF(OR(T113="",U113="",T113=U113),"",100*($E113-U113)/(T113-U113))</f>
        <v>0</v>
      </c>
      <c r="W113">
        <f>IF(COUNT($V$111:$V$113)&lt;3,"",AVERAGE($V$111:$V$113))</f>
        <v>0</v>
      </c>
      <c r="X113">
        <f>IF(COUNT($N$100:$N$113)&lt;14,"",MIN($N$100:$N$113))</f>
        <v>0</v>
      </c>
      <c r="Y113">
        <f>IF(COUNT($N$100:$N$113)&lt;14,"",MAX($N$100:$N$113))</f>
        <v>0</v>
      </c>
      <c r="Z113">
        <f>IF(OR(N113="",X113="",Y113="",Y113=X113),"",100*(N113-X113)/(Y113-X113))</f>
        <v>0</v>
      </c>
      <c r="AA113">
        <f>IF(COUNT($Z$111:$Z$113)&lt;3,"",AVERAGE($Z$111:$Z$113))</f>
        <v>0</v>
      </c>
      <c r="AB113">
        <f>IF(COUNT($AA$111:$AA$113)&lt;3,"",AVERAGE($AA$111:$AA$113))</f>
        <v>0</v>
      </c>
      <c r="AC113">
        <f>IF($E113="","",MAX($C113-$D113,ABS($C113-$E112),ABS($D113-$E112)))</f>
        <v>0</v>
      </c>
      <c r="AD113">
        <f>IF(COUNT($E$2:$E113)&lt;15,"",AVERAGE($AC$100:$AC$113))</f>
        <v>0</v>
      </c>
      <c r="AE113">
        <f>IF(OR($E113="",$E112=""),"",IF(AND(($C113-$C112)&gt;($D112-$D113),($C113-$C112)&gt;0),$C113-$C112,0))</f>
        <v>0</v>
      </c>
      <c r="AF113">
        <f>IF(OR($E113="",$E112=""),"",IF(AND(($D112-$D113)&gt;($C113-$C112),($D112-$D113)&gt;0),$D112-$D113,0))</f>
        <v>0</v>
      </c>
      <c r="AG113">
        <f>IF(COUNT($E$2:$E113)&lt;15,"",IF(SUM($AC$100:$AC$113)=0,0,100*SUM($AE$100:$AE$113)/SUM($AC$100:$AC$113)))</f>
        <v>0</v>
      </c>
      <c r="AH113">
        <f>IF(COUNT($E$2:$E113)&lt;15,"",IF(SUM($AC$100:$AC$113)=0,0,100*SUM($AF$100:$AF$113)/SUM($AC$100:$AC$113)))</f>
        <v>0</v>
      </c>
      <c r="AI113">
        <f>IF(OR(AG113="",AH113=""),"",IF((AG113+AH113)=0,0,100*ABS(AG113-AH113)/(AG113+AH113)))</f>
        <v>0</v>
      </c>
      <c r="AJ113">
        <f>IF(COUNT($AI$100:$AI$113)&lt;14,"",AVERAGE($AI$100:$AI$113))</f>
        <v>0</v>
      </c>
      <c r="AK113">
        <f>IF(COUNT($E$2:$E113)&lt;20,"",AVERAGE($E$94:$E$113))</f>
        <v>0</v>
      </c>
      <c r="AL113">
        <f>IF(COUNT($E$2:$E113)&lt;20,"",STDEVP($E$94:$E$113))</f>
        <v>0</v>
      </c>
      <c r="AM113">
        <f>IF(AK113="","",AK113+2*AL113)</f>
        <v>0</v>
      </c>
      <c r="AN113">
        <f>IF(AK113="","",AK113-2*AL113)</f>
        <v>0</v>
      </c>
      <c r="AO113">
        <f>IF(OR(AM113="",AN113="",AM113=AN113),"",($E113-AN113)/(AM113-AN113))</f>
        <v>0</v>
      </c>
      <c r="AP113">
        <f>IF(OR(AM113="",AK113="",AK113=0),"",(AM113-AN113)/AK113)</f>
        <v>0</v>
      </c>
      <c r="AQ113">
        <f>IF(COUNT($E$2:$E113)&lt;20,"",MAX($C$94:$C$113))</f>
        <v>0</v>
      </c>
      <c r="AR113">
        <f>IF(COUNT($E$2:$E113)&lt;20,"",MIN($D$94:$D$113))</f>
        <v>0</v>
      </c>
      <c r="AS113">
        <f>IF(OR(AQ113="",AR113=""),"",(AQ113+AR113)/2)</f>
        <v>0</v>
      </c>
      <c r="AT113">
        <f>IF(COUNT($G$94:$G$113)&lt;20,"",STDEV($G$94:$G$113)*SQRT(12))</f>
        <v>0</v>
      </c>
      <c r="AU113">
        <f>IF(COUNT($E$2:$E113)&lt;9,"",(MAX($C$105:$C$113)+MIN($D$105:$D$113))/2)</f>
        <v>0</v>
      </c>
      <c r="AV113">
        <f>IF(COUNT($E$2:$E113)&lt;26,"",(MAX($C$88:$C$113)+MIN($D$88:$D$113))/2)</f>
        <v>0</v>
      </c>
      <c r="AW113">
        <f>IF(OR(AU113="",AV113=""),"",(AU113+AV113)/2)</f>
        <v>0</v>
      </c>
      <c r="AX113">
        <f>IF(COUNT($E$2:$E113)&lt;52,"",(MAX($C$62:$C$113)+MIN($D$62:$D$113))/2)</f>
        <v>0</v>
      </c>
      <c r="AY113">
        <f>IF(COUNT($E$2:$E113)&lt;20,"",MAX($C$14:$C$113))</f>
        <v>0</v>
      </c>
      <c r="AZ113">
        <f>IF(COUNT($E$2:$E113)&lt;20,"",MIN($D$14:$D$113))</f>
        <v>0</v>
      </c>
      <c r="BA113">
        <f>IF(COUNT($E$2:$E113)&lt;20,"",SLOPE($E$14:$E$113,$F$14:$F$113))</f>
        <v>0</v>
      </c>
      <c r="BB113">
        <f>IF(COUNT($E$2:$E113)&lt;20,"",INTERCEPT($E$14:$E$113,$F$14:$F$113))</f>
        <v>0</v>
      </c>
      <c r="BC113">
        <f>IF(OR(BA113="",BB113=""),"",BB113+BA113*F113)</f>
        <v>0</v>
      </c>
      <c r="BD113">
        <f>IF(COUNT($E$2:$E113)&lt;20,"",STEYX($E$14:$E$113,$F$14:$F$113))</f>
        <v>0</v>
      </c>
      <c r="BE113">
        <f>IF($E113="","",IF(AND(COUNT($E$114:$E$117)&gt;=4,$C113=MAX($C$109:$C$117)),$C113,""))</f>
        <v>0</v>
      </c>
      <c r="BF113">
        <f>IF($E113="","",IF(AND(COUNT($E$114:$E$117)&gt;=4,$D113=MIN($D$109:$D$117)),$D113,""))</f>
        <v>0</v>
      </c>
      <c r="BG113">
        <f>IFERROR(SMALL(Calc_Daily!$BT$2:$BT$2001,112),"")</f>
        <v>0</v>
      </c>
    </row>
    <row r="114" spans="1:59">
      <c r="A114" s="27">
        <f>IF($BG114="","",INDEX(Calc_Daily!$A$2:$A$2001,$BG114))</f>
        <v>0</v>
      </c>
      <c r="B114">
        <f>IF($BG114="","",INDEX(Calc_Daily!$BQ$2:$BQ$2001,$BG114))</f>
        <v>0</v>
      </c>
      <c r="C114">
        <f>IF($BG114="","",INDEX(Calc_Daily!$BR$2:$BR$2001,$BG114))</f>
        <v>0</v>
      </c>
      <c r="D114">
        <f>IF($BG114="","",INDEX(Calc_Daily!$BS$2:$BS$2001,$BG114))</f>
        <v>0</v>
      </c>
      <c r="E114">
        <f>IF($BG114="","",INDEX(Calc_Daily!$E$2:$E$2001,$BG114))</f>
        <v>0</v>
      </c>
      <c r="F114">
        <f>IF($E114="","",N(F113)+1)</f>
        <v>0</v>
      </c>
      <c r="G114">
        <f>IF(OR($E114="",$E113=""),"",LN($E114/$E113))</f>
        <v>0</v>
      </c>
      <c r="H114">
        <f>IF($E114="","",IF($E113="",$E114,$E114*0.0952380952+H113*0.9047619048))</f>
        <v>0</v>
      </c>
      <c r="I114">
        <f>IF($E114="","",IF($E113="",$E114,$E114*0.0392156863+I113*0.9607843137))</f>
        <v>0</v>
      </c>
      <c r="J114">
        <f>IF($E114="","",IF($E113="",$E114,$E114*0.0198019802+J113*0.9801980198))</f>
        <v>0</v>
      </c>
      <c r="K114">
        <f>IF($E114="","",IF($E113="",$E114,$E114*0.0099502488+K113*0.9900497512))</f>
        <v>0</v>
      </c>
      <c r="L114">
        <f>IF(OR($E114="",$E113=""),"",MAX($E114-$E113,0))</f>
        <v>0</v>
      </c>
      <c r="M114">
        <f>IF(OR($E114="",$E113=""),"",MAX($E113-$E114,0))</f>
        <v>0</v>
      </c>
      <c r="N114">
        <f>IF(COUNT($E$2:$E114)&lt;15,"",IF(AVERAGE($M$101:$M$114)=0,100,100-100/(1+AVERAGE($L$101:$L$114)/AVERAGE($M$101:$M$114))))</f>
        <v>0</v>
      </c>
      <c r="O114">
        <f>IF($E114="","",IF($E113="",$E114,$E114*0.1538461538+O113*0.8461538462))</f>
        <v>0</v>
      </c>
      <c r="P114">
        <f>IF($E114="","",IF($E113="",$E114,$E114*0.0740740741+P113*0.9259259259))</f>
        <v>0</v>
      </c>
      <c r="Q114">
        <f>IF(OR(O114="",P114=""),"",O114-P114)</f>
        <v>0</v>
      </c>
      <c r="R114">
        <f>IF(Q114="","",IF(R113="",Q114,Q114*0.2000000000+R113*0.8000000000))</f>
        <v>0</v>
      </c>
      <c r="S114">
        <f>IF(OR(Q114="",R114=""),"",Q114-R114)</f>
        <v>0</v>
      </c>
      <c r="T114">
        <f>IF(COUNT($E$2:$E114)&lt;14,"",MAX($C$101:$C$114))</f>
        <v>0</v>
      </c>
      <c r="U114">
        <f>IF(COUNT($E$2:$E114)&lt;14,"",MIN($D$101:$D$114))</f>
        <v>0</v>
      </c>
      <c r="V114">
        <f>IF(OR(T114="",U114="",T114=U114),"",100*($E114-U114)/(T114-U114))</f>
        <v>0</v>
      </c>
      <c r="W114">
        <f>IF(COUNT($V$112:$V$114)&lt;3,"",AVERAGE($V$112:$V$114))</f>
        <v>0</v>
      </c>
      <c r="X114">
        <f>IF(COUNT($N$101:$N$114)&lt;14,"",MIN($N$101:$N$114))</f>
        <v>0</v>
      </c>
      <c r="Y114">
        <f>IF(COUNT($N$101:$N$114)&lt;14,"",MAX($N$101:$N$114))</f>
        <v>0</v>
      </c>
      <c r="Z114">
        <f>IF(OR(N114="",X114="",Y114="",Y114=X114),"",100*(N114-X114)/(Y114-X114))</f>
        <v>0</v>
      </c>
      <c r="AA114">
        <f>IF(COUNT($Z$112:$Z$114)&lt;3,"",AVERAGE($Z$112:$Z$114))</f>
        <v>0</v>
      </c>
      <c r="AB114">
        <f>IF(COUNT($AA$112:$AA$114)&lt;3,"",AVERAGE($AA$112:$AA$114))</f>
        <v>0</v>
      </c>
      <c r="AC114">
        <f>IF($E114="","",MAX($C114-$D114,ABS($C114-$E113),ABS($D114-$E113)))</f>
        <v>0</v>
      </c>
      <c r="AD114">
        <f>IF(COUNT($E$2:$E114)&lt;15,"",AVERAGE($AC$101:$AC$114))</f>
        <v>0</v>
      </c>
      <c r="AE114">
        <f>IF(OR($E114="",$E113=""),"",IF(AND(($C114-$C113)&gt;($D113-$D114),($C114-$C113)&gt;0),$C114-$C113,0))</f>
        <v>0</v>
      </c>
      <c r="AF114">
        <f>IF(OR($E114="",$E113=""),"",IF(AND(($D113-$D114)&gt;($C114-$C113),($D113-$D114)&gt;0),$D113-$D114,0))</f>
        <v>0</v>
      </c>
      <c r="AG114">
        <f>IF(COUNT($E$2:$E114)&lt;15,"",IF(SUM($AC$101:$AC$114)=0,0,100*SUM($AE$101:$AE$114)/SUM($AC$101:$AC$114)))</f>
        <v>0</v>
      </c>
      <c r="AH114">
        <f>IF(COUNT($E$2:$E114)&lt;15,"",IF(SUM($AC$101:$AC$114)=0,0,100*SUM($AF$101:$AF$114)/SUM($AC$101:$AC$114)))</f>
        <v>0</v>
      </c>
      <c r="AI114">
        <f>IF(OR(AG114="",AH114=""),"",IF((AG114+AH114)=0,0,100*ABS(AG114-AH114)/(AG114+AH114)))</f>
        <v>0</v>
      </c>
      <c r="AJ114">
        <f>IF(COUNT($AI$101:$AI$114)&lt;14,"",AVERAGE($AI$101:$AI$114))</f>
        <v>0</v>
      </c>
      <c r="AK114">
        <f>IF(COUNT($E$2:$E114)&lt;20,"",AVERAGE($E$95:$E$114))</f>
        <v>0</v>
      </c>
      <c r="AL114">
        <f>IF(COUNT($E$2:$E114)&lt;20,"",STDEVP($E$95:$E$114))</f>
        <v>0</v>
      </c>
      <c r="AM114">
        <f>IF(AK114="","",AK114+2*AL114)</f>
        <v>0</v>
      </c>
      <c r="AN114">
        <f>IF(AK114="","",AK114-2*AL114)</f>
        <v>0</v>
      </c>
      <c r="AO114">
        <f>IF(OR(AM114="",AN114="",AM114=AN114),"",($E114-AN114)/(AM114-AN114))</f>
        <v>0</v>
      </c>
      <c r="AP114">
        <f>IF(OR(AM114="",AK114="",AK114=0),"",(AM114-AN114)/AK114)</f>
        <v>0</v>
      </c>
      <c r="AQ114">
        <f>IF(COUNT($E$2:$E114)&lt;20,"",MAX($C$95:$C$114))</f>
        <v>0</v>
      </c>
      <c r="AR114">
        <f>IF(COUNT($E$2:$E114)&lt;20,"",MIN($D$95:$D$114))</f>
        <v>0</v>
      </c>
      <c r="AS114">
        <f>IF(OR(AQ114="",AR114=""),"",(AQ114+AR114)/2)</f>
        <v>0</v>
      </c>
      <c r="AT114">
        <f>IF(COUNT($G$95:$G$114)&lt;20,"",STDEV($G$95:$G$114)*SQRT(12))</f>
        <v>0</v>
      </c>
      <c r="AU114">
        <f>IF(COUNT($E$2:$E114)&lt;9,"",(MAX($C$106:$C$114)+MIN($D$106:$D$114))/2)</f>
        <v>0</v>
      </c>
      <c r="AV114">
        <f>IF(COUNT($E$2:$E114)&lt;26,"",(MAX($C$89:$C$114)+MIN($D$89:$D$114))/2)</f>
        <v>0</v>
      </c>
      <c r="AW114">
        <f>IF(OR(AU114="",AV114=""),"",(AU114+AV114)/2)</f>
        <v>0</v>
      </c>
      <c r="AX114">
        <f>IF(COUNT($E$2:$E114)&lt;52,"",(MAX($C$63:$C$114)+MIN($D$63:$D$114))/2)</f>
        <v>0</v>
      </c>
      <c r="AY114">
        <f>IF(COUNT($E$2:$E114)&lt;20,"",MAX($C$15:$C$114))</f>
        <v>0</v>
      </c>
      <c r="AZ114">
        <f>IF(COUNT($E$2:$E114)&lt;20,"",MIN($D$15:$D$114))</f>
        <v>0</v>
      </c>
      <c r="BA114">
        <f>IF(COUNT($E$2:$E114)&lt;20,"",SLOPE($E$15:$E$114,$F$15:$F$114))</f>
        <v>0</v>
      </c>
      <c r="BB114">
        <f>IF(COUNT($E$2:$E114)&lt;20,"",INTERCEPT($E$15:$E$114,$F$15:$F$114))</f>
        <v>0</v>
      </c>
      <c r="BC114">
        <f>IF(OR(BA114="",BB114=""),"",BB114+BA114*F114)</f>
        <v>0</v>
      </c>
      <c r="BD114">
        <f>IF(COUNT($E$2:$E114)&lt;20,"",STEYX($E$15:$E$114,$F$15:$F$114))</f>
        <v>0</v>
      </c>
      <c r="BE114">
        <f>IF($E114="","",IF(AND(COUNT($E$115:$E$118)&gt;=4,$C114=MAX($C$110:$C$118)),$C114,""))</f>
        <v>0</v>
      </c>
      <c r="BF114">
        <f>IF($E114="","",IF(AND(COUNT($E$115:$E$118)&gt;=4,$D114=MIN($D$110:$D$118)),$D114,""))</f>
        <v>0</v>
      </c>
      <c r="BG114">
        <f>IFERROR(SMALL(Calc_Daily!$BT$2:$BT$2001,113),"")</f>
        <v>0</v>
      </c>
    </row>
    <row r="115" spans="1:59">
      <c r="A115" s="27">
        <f>IF($BG115="","",INDEX(Calc_Daily!$A$2:$A$2001,$BG115))</f>
        <v>0</v>
      </c>
      <c r="B115">
        <f>IF($BG115="","",INDEX(Calc_Daily!$BQ$2:$BQ$2001,$BG115))</f>
        <v>0</v>
      </c>
      <c r="C115">
        <f>IF($BG115="","",INDEX(Calc_Daily!$BR$2:$BR$2001,$BG115))</f>
        <v>0</v>
      </c>
      <c r="D115">
        <f>IF($BG115="","",INDEX(Calc_Daily!$BS$2:$BS$2001,$BG115))</f>
        <v>0</v>
      </c>
      <c r="E115">
        <f>IF($BG115="","",INDEX(Calc_Daily!$E$2:$E$2001,$BG115))</f>
        <v>0</v>
      </c>
      <c r="F115">
        <f>IF($E115="","",N(F114)+1)</f>
        <v>0</v>
      </c>
      <c r="G115">
        <f>IF(OR($E115="",$E114=""),"",LN($E115/$E114))</f>
        <v>0</v>
      </c>
      <c r="H115">
        <f>IF($E115="","",IF($E114="",$E115,$E115*0.0952380952+H114*0.9047619048))</f>
        <v>0</v>
      </c>
      <c r="I115">
        <f>IF($E115="","",IF($E114="",$E115,$E115*0.0392156863+I114*0.9607843137))</f>
        <v>0</v>
      </c>
      <c r="J115">
        <f>IF($E115="","",IF($E114="",$E115,$E115*0.0198019802+J114*0.9801980198))</f>
        <v>0</v>
      </c>
      <c r="K115">
        <f>IF($E115="","",IF($E114="",$E115,$E115*0.0099502488+K114*0.9900497512))</f>
        <v>0</v>
      </c>
      <c r="L115">
        <f>IF(OR($E115="",$E114=""),"",MAX($E115-$E114,0))</f>
        <v>0</v>
      </c>
      <c r="M115">
        <f>IF(OR($E115="",$E114=""),"",MAX($E114-$E115,0))</f>
        <v>0</v>
      </c>
      <c r="N115">
        <f>IF(COUNT($E$2:$E115)&lt;15,"",IF(AVERAGE($M$102:$M$115)=0,100,100-100/(1+AVERAGE($L$102:$L$115)/AVERAGE($M$102:$M$115))))</f>
        <v>0</v>
      </c>
      <c r="O115">
        <f>IF($E115="","",IF($E114="",$E115,$E115*0.1538461538+O114*0.8461538462))</f>
        <v>0</v>
      </c>
      <c r="P115">
        <f>IF($E115="","",IF($E114="",$E115,$E115*0.0740740741+P114*0.9259259259))</f>
        <v>0</v>
      </c>
      <c r="Q115">
        <f>IF(OR(O115="",P115=""),"",O115-P115)</f>
        <v>0</v>
      </c>
      <c r="R115">
        <f>IF(Q115="","",IF(R114="",Q115,Q115*0.2000000000+R114*0.8000000000))</f>
        <v>0</v>
      </c>
      <c r="S115">
        <f>IF(OR(Q115="",R115=""),"",Q115-R115)</f>
        <v>0</v>
      </c>
      <c r="T115">
        <f>IF(COUNT($E$2:$E115)&lt;14,"",MAX($C$102:$C$115))</f>
        <v>0</v>
      </c>
      <c r="U115">
        <f>IF(COUNT($E$2:$E115)&lt;14,"",MIN($D$102:$D$115))</f>
        <v>0</v>
      </c>
      <c r="V115">
        <f>IF(OR(T115="",U115="",T115=U115),"",100*($E115-U115)/(T115-U115))</f>
        <v>0</v>
      </c>
      <c r="W115">
        <f>IF(COUNT($V$113:$V$115)&lt;3,"",AVERAGE($V$113:$V$115))</f>
        <v>0</v>
      </c>
      <c r="X115">
        <f>IF(COUNT($N$102:$N$115)&lt;14,"",MIN($N$102:$N$115))</f>
        <v>0</v>
      </c>
      <c r="Y115">
        <f>IF(COUNT($N$102:$N$115)&lt;14,"",MAX($N$102:$N$115))</f>
        <v>0</v>
      </c>
      <c r="Z115">
        <f>IF(OR(N115="",X115="",Y115="",Y115=X115),"",100*(N115-X115)/(Y115-X115))</f>
        <v>0</v>
      </c>
      <c r="AA115">
        <f>IF(COUNT($Z$113:$Z$115)&lt;3,"",AVERAGE($Z$113:$Z$115))</f>
        <v>0</v>
      </c>
      <c r="AB115">
        <f>IF(COUNT($AA$113:$AA$115)&lt;3,"",AVERAGE($AA$113:$AA$115))</f>
        <v>0</v>
      </c>
      <c r="AC115">
        <f>IF($E115="","",MAX($C115-$D115,ABS($C115-$E114),ABS($D115-$E114)))</f>
        <v>0</v>
      </c>
      <c r="AD115">
        <f>IF(COUNT($E$2:$E115)&lt;15,"",AVERAGE($AC$102:$AC$115))</f>
        <v>0</v>
      </c>
      <c r="AE115">
        <f>IF(OR($E115="",$E114=""),"",IF(AND(($C115-$C114)&gt;($D114-$D115),($C115-$C114)&gt;0),$C115-$C114,0))</f>
        <v>0</v>
      </c>
      <c r="AF115">
        <f>IF(OR($E115="",$E114=""),"",IF(AND(($D114-$D115)&gt;($C115-$C114),($D114-$D115)&gt;0),$D114-$D115,0))</f>
        <v>0</v>
      </c>
      <c r="AG115">
        <f>IF(COUNT($E$2:$E115)&lt;15,"",IF(SUM($AC$102:$AC$115)=0,0,100*SUM($AE$102:$AE$115)/SUM($AC$102:$AC$115)))</f>
        <v>0</v>
      </c>
      <c r="AH115">
        <f>IF(COUNT($E$2:$E115)&lt;15,"",IF(SUM($AC$102:$AC$115)=0,0,100*SUM($AF$102:$AF$115)/SUM($AC$102:$AC$115)))</f>
        <v>0</v>
      </c>
      <c r="AI115">
        <f>IF(OR(AG115="",AH115=""),"",IF((AG115+AH115)=0,0,100*ABS(AG115-AH115)/(AG115+AH115)))</f>
        <v>0</v>
      </c>
      <c r="AJ115">
        <f>IF(COUNT($AI$102:$AI$115)&lt;14,"",AVERAGE($AI$102:$AI$115))</f>
        <v>0</v>
      </c>
      <c r="AK115">
        <f>IF(COUNT($E$2:$E115)&lt;20,"",AVERAGE($E$96:$E$115))</f>
        <v>0</v>
      </c>
      <c r="AL115">
        <f>IF(COUNT($E$2:$E115)&lt;20,"",STDEVP($E$96:$E$115))</f>
        <v>0</v>
      </c>
      <c r="AM115">
        <f>IF(AK115="","",AK115+2*AL115)</f>
        <v>0</v>
      </c>
      <c r="AN115">
        <f>IF(AK115="","",AK115-2*AL115)</f>
        <v>0</v>
      </c>
      <c r="AO115">
        <f>IF(OR(AM115="",AN115="",AM115=AN115),"",($E115-AN115)/(AM115-AN115))</f>
        <v>0</v>
      </c>
      <c r="AP115">
        <f>IF(OR(AM115="",AK115="",AK115=0),"",(AM115-AN115)/AK115)</f>
        <v>0</v>
      </c>
      <c r="AQ115">
        <f>IF(COUNT($E$2:$E115)&lt;20,"",MAX($C$96:$C$115))</f>
        <v>0</v>
      </c>
      <c r="AR115">
        <f>IF(COUNT($E$2:$E115)&lt;20,"",MIN($D$96:$D$115))</f>
        <v>0</v>
      </c>
      <c r="AS115">
        <f>IF(OR(AQ115="",AR115=""),"",(AQ115+AR115)/2)</f>
        <v>0</v>
      </c>
      <c r="AT115">
        <f>IF(COUNT($G$96:$G$115)&lt;20,"",STDEV($G$96:$G$115)*SQRT(12))</f>
        <v>0</v>
      </c>
      <c r="AU115">
        <f>IF(COUNT($E$2:$E115)&lt;9,"",(MAX($C$107:$C$115)+MIN($D$107:$D$115))/2)</f>
        <v>0</v>
      </c>
      <c r="AV115">
        <f>IF(COUNT($E$2:$E115)&lt;26,"",(MAX($C$90:$C$115)+MIN($D$90:$D$115))/2)</f>
        <v>0</v>
      </c>
      <c r="AW115">
        <f>IF(OR(AU115="",AV115=""),"",(AU115+AV115)/2)</f>
        <v>0</v>
      </c>
      <c r="AX115">
        <f>IF(COUNT($E$2:$E115)&lt;52,"",(MAX($C$64:$C$115)+MIN($D$64:$D$115))/2)</f>
        <v>0</v>
      </c>
      <c r="AY115">
        <f>IF(COUNT($E$2:$E115)&lt;20,"",MAX($C$16:$C$115))</f>
        <v>0</v>
      </c>
      <c r="AZ115">
        <f>IF(COUNT($E$2:$E115)&lt;20,"",MIN($D$16:$D$115))</f>
        <v>0</v>
      </c>
      <c r="BA115">
        <f>IF(COUNT($E$2:$E115)&lt;20,"",SLOPE($E$16:$E$115,$F$16:$F$115))</f>
        <v>0</v>
      </c>
      <c r="BB115">
        <f>IF(COUNT($E$2:$E115)&lt;20,"",INTERCEPT($E$16:$E$115,$F$16:$F$115))</f>
        <v>0</v>
      </c>
      <c r="BC115">
        <f>IF(OR(BA115="",BB115=""),"",BB115+BA115*F115)</f>
        <v>0</v>
      </c>
      <c r="BD115">
        <f>IF(COUNT($E$2:$E115)&lt;20,"",STEYX($E$16:$E$115,$F$16:$F$115))</f>
        <v>0</v>
      </c>
      <c r="BE115">
        <f>IF($E115="","",IF(AND(COUNT($E$116:$E$119)&gt;=4,$C115=MAX($C$111:$C$119)),$C115,""))</f>
        <v>0</v>
      </c>
      <c r="BF115">
        <f>IF($E115="","",IF(AND(COUNT($E$116:$E$119)&gt;=4,$D115=MIN($D$111:$D$119)),$D115,""))</f>
        <v>0</v>
      </c>
      <c r="BG115">
        <f>IFERROR(SMALL(Calc_Daily!$BT$2:$BT$2001,114),"")</f>
        <v>0</v>
      </c>
    </row>
    <row r="116" spans="1:59">
      <c r="A116" s="27">
        <f>IF($BG116="","",INDEX(Calc_Daily!$A$2:$A$2001,$BG116))</f>
        <v>0</v>
      </c>
      <c r="B116">
        <f>IF($BG116="","",INDEX(Calc_Daily!$BQ$2:$BQ$2001,$BG116))</f>
        <v>0</v>
      </c>
      <c r="C116">
        <f>IF($BG116="","",INDEX(Calc_Daily!$BR$2:$BR$2001,$BG116))</f>
        <v>0</v>
      </c>
      <c r="D116">
        <f>IF($BG116="","",INDEX(Calc_Daily!$BS$2:$BS$2001,$BG116))</f>
        <v>0</v>
      </c>
      <c r="E116">
        <f>IF($BG116="","",INDEX(Calc_Daily!$E$2:$E$2001,$BG116))</f>
        <v>0</v>
      </c>
      <c r="F116">
        <f>IF($E116="","",N(F115)+1)</f>
        <v>0</v>
      </c>
      <c r="G116">
        <f>IF(OR($E116="",$E115=""),"",LN($E116/$E115))</f>
        <v>0</v>
      </c>
      <c r="H116">
        <f>IF($E116="","",IF($E115="",$E116,$E116*0.0952380952+H115*0.9047619048))</f>
        <v>0</v>
      </c>
      <c r="I116">
        <f>IF($E116="","",IF($E115="",$E116,$E116*0.0392156863+I115*0.9607843137))</f>
        <v>0</v>
      </c>
      <c r="J116">
        <f>IF($E116="","",IF($E115="",$E116,$E116*0.0198019802+J115*0.9801980198))</f>
        <v>0</v>
      </c>
      <c r="K116">
        <f>IF($E116="","",IF($E115="",$E116,$E116*0.0099502488+K115*0.9900497512))</f>
        <v>0</v>
      </c>
      <c r="L116">
        <f>IF(OR($E116="",$E115=""),"",MAX($E116-$E115,0))</f>
        <v>0</v>
      </c>
      <c r="M116">
        <f>IF(OR($E116="",$E115=""),"",MAX($E115-$E116,0))</f>
        <v>0</v>
      </c>
      <c r="N116">
        <f>IF(COUNT($E$2:$E116)&lt;15,"",IF(AVERAGE($M$103:$M$116)=0,100,100-100/(1+AVERAGE($L$103:$L$116)/AVERAGE($M$103:$M$116))))</f>
        <v>0</v>
      </c>
      <c r="O116">
        <f>IF($E116="","",IF($E115="",$E116,$E116*0.1538461538+O115*0.8461538462))</f>
        <v>0</v>
      </c>
      <c r="P116">
        <f>IF($E116="","",IF($E115="",$E116,$E116*0.0740740741+P115*0.9259259259))</f>
        <v>0</v>
      </c>
      <c r="Q116">
        <f>IF(OR(O116="",P116=""),"",O116-P116)</f>
        <v>0</v>
      </c>
      <c r="R116">
        <f>IF(Q116="","",IF(R115="",Q116,Q116*0.2000000000+R115*0.8000000000))</f>
        <v>0</v>
      </c>
      <c r="S116">
        <f>IF(OR(Q116="",R116=""),"",Q116-R116)</f>
        <v>0</v>
      </c>
      <c r="T116">
        <f>IF(COUNT($E$2:$E116)&lt;14,"",MAX($C$103:$C$116))</f>
        <v>0</v>
      </c>
      <c r="U116">
        <f>IF(COUNT($E$2:$E116)&lt;14,"",MIN($D$103:$D$116))</f>
        <v>0</v>
      </c>
      <c r="V116">
        <f>IF(OR(T116="",U116="",T116=U116),"",100*($E116-U116)/(T116-U116))</f>
        <v>0</v>
      </c>
      <c r="W116">
        <f>IF(COUNT($V$114:$V$116)&lt;3,"",AVERAGE($V$114:$V$116))</f>
        <v>0</v>
      </c>
      <c r="X116">
        <f>IF(COUNT($N$103:$N$116)&lt;14,"",MIN($N$103:$N$116))</f>
        <v>0</v>
      </c>
      <c r="Y116">
        <f>IF(COUNT($N$103:$N$116)&lt;14,"",MAX($N$103:$N$116))</f>
        <v>0</v>
      </c>
      <c r="Z116">
        <f>IF(OR(N116="",X116="",Y116="",Y116=X116),"",100*(N116-X116)/(Y116-X116))</f>
        <v>0</v>
      </c>
      <c r="AA116">
        <f>IF(COUNT($Z$114:$Z$116)&lt;3,"",AVERAGE($Z$114:$Z$116))</f>
        <v>0</v>
      </c>
      <c r="AB116">
        <f>IF(COUNT($AA$114:$AA$116)&lt;3,"",AVERAGE($AA$114:$AA$116))</f>
        <v>0</v>
      </c>
      <c r="AC116">
        <f>IF($E116="","",MAX($C116-$D116,ABS($C116-$E115),ABS($D116-$E115)))</f>
        <v>0</v>
      </c>
      <c r="AD116">
        <f>IF(COUNT($E$2:$E116)&lt;15,"",AVERAGE($AC$103:$AC$116))</f>
        <v>0</v>
      </c>
      <c r="AE116">
        <f>IF(OR($E116="",$E115=""),"",IF(AND(($C116-$C115)&gt;($D115-$D116),($C116-$C115)&gt;0),$C116-$C115,0))</f>
        <v>0</v>
      </c>
      <c r="AF116">
        <f>IF(OR($E116="",$E115=""),"",IF(AND(($D115-$D116)&gt;($C116-$C115),($D115-$D116)&gt;0),$D115-$D116,0))</f>
        <v>0</v>
      </c>
      <c r="AG116">
        <f>IF(COUNT($E$2:$E116)&lt;15,"",IF(SUM($AC$103:$AC$116)=0,0,100*SUM($AE$103:$AE$116)/SUM($AC$103:$AC$116)))</f>
        <v>0</v>
      </c>
      <c r="AH116">
        <f>IF(COUNT($E$2:$E116)&lt;15,"",IF(SUM($AC$103:$AC$116)=0,0,100*SUM($AF$103:$AF$116)/SUM($AC$103:$AC$116)))</f>
        <v>0</v>
      </c>
      <c r="AI116">
        <f>IF(OR(AG116="",AH116=""),"",IF((AG116+AH116)=0,0,100*ABS(AG116-AH116)/(AG116+AH116)))</f>
        <v>0</v>
      </c>
      <c r="AJ116">
        <f>IF(COUNT($AI$103:$AI$116)&lt;14,"",AVERAGE($AI$103:$AI$116))</f>
        <v>0</v>
      </c>
      <c r="AK116">
        <f>IF(COUNT($E$2:$E116)&lt;20,"",AVERAGE($E$97:$E$116))</f>
        <v>0</v>
      </c>
      <c r="AL116">
        <f>IF(COUNT($E$2:$E116)&lt;20,"",STDEVP($E$97:$E$116))</f>
        <v>0</v>
      </c>
      <c r="AM116">
        <f>IF(AK116="","",AK116+2*AL116)</f>
        <v>0</v>
      </c>
      <c r="AN116">
        <f>IF(AK116="","",AK116-2*AL116)</f>
        <v>0</v>
      </c>
      <c r="AO116">
        <f>IF(OR(AM116="",AN116="",AM116=AN116),"",($E116-AN116)/(AM116-AN116))</f>
        <v>0</v>
      </c>
      <c r="AP116">
        <f>IF(OR(AM116="",AK116="",AK116=0),"",(AM116-AN116)/AK116)</f>
        <v>0</v>
      </c>
      <c r="AQ116">
        <f>IF(COUNT($E$2:$E116)&lt;20,"",MAX($C$97:$C$116))</f>
        <v>0</v>
      </c>
      <c r="AR116">
        <f>IF(COUNT($E$2:$E116)&lt;20,"",MIN($D$97:$D$116))</f>
        <v>0</v>
      </c>
      <c r="AS116">
        <f>IF(OR(AQ116="",AR116=""),"",(AQ116+AR116)/2)</f>
        <v>0</v>
      </c>
      <c r="AT116">
        <f>IF(COUNT($G$97:$G$116)&lt;20,"",STDEV($G$97:$G$116)*SQRT(12))</f>
        <v>0</v>
      </c>
      <c r="AU116">
        <f>IF(COUNT($E$2:$E116)&lt;9,"",(MAX($C$108:$C$116)+MIN($D$108:$D$116))/2)</f>
        <v>0</v>
      </c>
      <c r="AV116">
        <f>IF(COUNT($E$2:$E116)&lt;26,"",(MAX($C$91:$C$116)+MIN($D$91:$D$116))/2)</f>
        <v>0</v>
      </c>
      <c r="AW116">
        <f>IF(OR(AU116="",AV116=""),"",(AU116+AV116)/2)</f>
        <v>0</v>
      </c>
      <c r="AX116">
        <f>IF(COUNT($E$2:$E116)&lt;52,"",(MAX($C$65:$C$116)+MIN($D$65:$D$116))/2)</f>
        <v>0</v>
      </c>
      <c r="AY116">
        <f>IF(COUNT($E$2:$E116)&lt;20,"",MAX($C$17:$C$116))</f>
        <v>0</v>
      </c>
      <c r="AZ116">
        <f>IF(COUNT($E$2:$E116)&lt;20,"",MIN($D$17:$D$116))</f>
        <v>0</v>
      </c>
      <c r="BA116">
        <f>IF(COUNT($E$2:$E116)&lt;20,"",SLOPE($E$17:$E$116,$F$17:$F$116))</f>
        <v>0</v>
      </c>
      <c r="BB116">
        <f>IF(COUNT($E$2:$E116)&lt;20,"",INTERCEPT($E$17:$E$116,$F$17:$F$116))</f>
        <v>0</v>
      </c>
      <c r="BC116">
        <f>IF(OR(BA116="",BB116=""),"",BB116+BA116*F116)</f>
        <v>0</v>
      </c>
      <c r="BD116">
        <f>IF(COUNT($E$2:$E116)&lt;20,"",STEYX($E$17:$E$116,$F$17:$F$116))</f>
        <v>0</v>
      </c>
      <c r="BE116">
        <f>IF($E116="","",IF(AND(COUNT($E$117:$E$120)&gt;=4,$C116=MAX($C$112:$C$120)),$C116,""))</f>
        <v>0</v>
      </c>
      <c r="BF116">
        <f>IF($E116="","",IF(AND(COUNT($E$117:$E$120)&gt;=4,$D116=MIN($D$112:$D$120)),$D116,""))</f>
        <v>0</v>
      </c>
      <c r="BG116">
        <f>IFERROR(SMALL(Calc_Daily!$BT$2:$BT$2001,115),"")</f>
        <v>0</v>
      </c>
    </row>
    <row r="117" spans="1:59">
      <c r="A117" s="27">
        <f>IF($BG117="","",INDEX(Calc_Daily!$A$2:$A$2001,$BG117))</f>
        <v>0</v>
      </c>
      <c r="B117">
        <f>IF($BG117="","",INDEX(Calc_Daily!$BQ$2:$BQ$2001,$BG117))</f>
        <v>0</v>
      </c>
      <c r="C117">
        <f>IF($BG117="","",INDEX(Calc_Daily!$BR$2:$BR$2001,$BG117))</f>
        <v>0</v>
      </c>
      <c r="D117">
        <f>IF($BG117="","",INDEX(Calc_Daily!$BS$2:$BS$2001,$BG117))</f>
        <v>0</v>
      </c>
      <c r="E117">
        <f>IF($BG117="","",INDEX(Calc_Daily!$E$2:$E$2001,$BG117))</f>
        <v>0</v>
      </c>
      <c r="F117">
        <f>IF($E117="","",N(F116)+1)</f>
        <v>0</v>
      </c>
      <c r="G117">
        <f>IF(OR($E117="",$E116=""),"",LN($E117/$E116))</f>
        <v>0</v>
      </c>
      <c r="H117">
        <f>IF($E117="","",IF($E116="",$E117,$E117*0.0952380952+H116*0.9047619048))</f>
        <v>0</v>
      </c>
      <c r="I117">
        <f>IF($E117="","",IF($E116="",$E117,$E117*0.0392156863+I116*0.9607843137))</f>
        <v>0</v>
      </c>
      <c r="J117">
        <f>IF($E117="","",IF($E116="",$E117,$E117*0.0198019802+J116*0.9801980198))</f>
        <v>0</v>
      </c>
      <c r="K117">
        <f>IF($E117="","",IF($E116="",$E117,$E117*0.0099502488+K116*0.9900497512))</f>
        <v>0</v>
      </c>
      <c r="L117">
        <f>IF(OR($E117="",$E116=""),"",MAX($E117-$E116,0))</f>
        <v>0</v>
      </c>
      <c r="M117">
        <f>IF(OR($E117="",$E116=""),"",MAX($E116-$E117,0))</f>
        <v>0</v>
      </c>
      <c r="N117">
        <f>IF(COUNT($E$2:$E117)&lt;15,"",IF(AVERAGE($M$104:$M$117)=0,100,100-100/(1+AVERAGE($L$104:$L$117)/AVERAGE($M$104:$M$117))))</f>
        <v>0</v>
      </c>
      <c r="O117">
        <f>IF($E117="","",IF($E116="",$E117,$E117*0.1538461538+O116*0.8461538462))</f>
        <v>0</v>
      </c>
      <c r="P117">
        <f>IF($E117="","",IF($E116="",$E117,$E117*0.0740740741+P116*0.9259259259))</f>
        <v>0</v>
      </c>
      <c r="Q117">
        <f>IF(OR(O117="",P117=""),"",O117-P117)</f>
        <v>0</v>
      </c>
      <c r="R117">
        <f>IF(Q117="","",IF(R116="",Q117,Q117*0.2000000000+R116*0.8000000000))</f>
        <v>0</v>
      </c>
      <c r="S117">
        <f>IF(OR(Q117="",R117=""),"",Q117-R117)</f>
        <v>0</v>
      </c>
      <c r="T117">
        <f>IF(COUNT($E$2:$E117)&lt;14,"",MAX($C$104:$C$117))</f>
        <v>0</v>
      </c>
      <c r="U117">
        <f>IF(COUNT($E$2:$E117)&lt;14,"",MIN($D$104:$D$117))</f>
        <v>0</v>
      </c>
      <c r="V117">
        <f>IF(OR(T117="",U117="",T117=U117),"",100*($E117-U117)/(T117-U117))</f>
        <v>0</v>
      </c>
      <c r="W117">
        <f>IF(COUNT($V$115:$V$117)&lt;3,"",AVERAGE($V$115:$V$117))</f>
        <v>0</v>
      </c>
      <c r="X117">
        <f>IF(COUNT($N$104:$N$117)&lt;14,"",MIN($N$104:$N$117))</f>
        <v>0</v>
      </c>
      <c r="Y117">
        <f>IF(COUNT($N$104:$N$117)&lt;14,"",MAX($N$104:$N$117))</f>
        <v>0</v>
      </c>
      <c r="Z117">
        <f>IF(OR(N117="",X117="",Y117="",Y117=X117),"",100*(N117-X117)/(Y117-X117))</f>
        <v>0</v>
      </c>
      <c r="AA117">
        <f>IF(COUNT($Z$115:$Z$117)&lt;3,"",AVERAGE($Z$115:$Z$117))</f>
        <v>0</v>
      </c>
      <c r="AB117">
        <f>IF(COUNT($AA$115:$AA$117)&lt;3,"",AVERAGE($AA$115:$AA$117))</f>
        <v>0</v>
      </c>
      <c r="AC117">
        <f>IF($E117="","",MAX($C117-$D117,ABS($C117-$E116),ABS($D117-$E116)))</f>
        <v>0</v>
      </c>
      <c r="AD117">
        <f>IF(COUNT($E$2:$E117)&lt;15,"",AVERAGE($AC$104:$AC$117))</f>
        <v>0</v>
      </c>
      <c r="AE117">
        <f>IF(OR($E117="",$E116=""),"",IF(AND(($C117-$C116)&gt;($D116-$D117),($C117-$C116)&gt;0),$C117-$C116,0))</f>
        <v>0</v>
      </c>
      <c r="AF117">
        <f>IF(OR($E117="",$E116=""),"",IF(AND(($D116-$D117)&gt;($C117-$C116),($D116-$D117)&gt;0),$D116-$D117,0))</f>
        <v>0</v>
      </c>
      <c r="AG117">
        <f>IF(COUNT($E$2:$E117)&lt;15,"",IF(SUM($AC$104:$AC$117)=0,0,100*SUM($AE$104:$AE$117)/SUM($AC$104:$AC$117)))</f>
        <v>0</v>
      </c>
      <c r="AH117">
        <f>IF(COUNT($E$2:$E117)&lt;15,"",IF(SUM($AC$104:$AC$117)=0,0,100*SUM($AF$104:$AF$117)/SUM($AC$104:$AC$117)))</f>
        <v>0</v>
      </c>
      <c r="AI117">
        <f>IF(OR(AG117="",AH117=""),"",IF((AG117+AH117)=0,0,100*ABS(AG117-AH117)/(AG117+AH117)))</f>
        <v>0</v>
      </c>
      <c r="AJ117">
        <f>IF(COUNT($AI$104:$AI$117)&lt;14,"",AVERAGE($AI$104:$AI$117))</f>
        <v>0</v>
      </c>
      <c r="AK117">
        <f>IF(COUNT($E$2:$E117)&lt;20,"",AVERAGE($E$98:$E$117))</f>
        <v>0</v>
      </c>
      <c r="AL117">
        <f>IF(COUNT($E$2:$E117)&lt;20,"",STDEVP($E$98:$E$117))</f>
        <v>0</v>
      </c>
      <c r="AM117">
        <f>IF(AK117="","",AK117+2*AL117)</f>
        <v>0</v>
      </c>
      <c r="AN117">
        <f>IF(AK117="","",AK117-2*AL117)</f>
        <v>0</v>
      </c>
      <c r="AO117">
        <f>IF(OR(AM117="",AN117="",AM117=AN117),"",($E117-AN117)/(AM117-AN117))</f>
        <v>0</v>
      </c>
      <c r="AP117">
        <f>IF(OR(AM117="",AK117="",AK117=0),"",(AM117-AN117)/AK117)</f>
        <v>0</v>
      </c>
      <c r="AQ117">
        <f>IF(COUNT($E$2:$E117)&lt;20,"",MAX($C$98:$C$117))</f>
        <v>0</v>
      </c>
      <c r="AR117">
        <f>IF(COUNT($E$2:$E117)&lt;20,"",MIN($D$98:$D$117))</f>
        <v>0</v>
      </c>
      <c r="AS117">
        <f>IF(OR(AQ117="",AR117=""),"",(AQ117+AR117)/2)</f>
        <v>0</v>
      </c>
      <c r="AT117">
        <f>IF(COUNT($G$98:$G$117)&lt;20,"",STDEV($G$98:$G$117)*SQRT(12))</f>
        <v>0</v>
      </c>
      <c r="AU117">
        <f>IF(COUNT($E$2:$E117)&lt;9,"",(MAX($C$109:$C$117)+MIN($D$109:$D$117))/2)</f>
        <v>0</v>
      </c>
      <c r="AV117">
        <f>IF(COUNT($E$2:$E117)&lt;26,"",(MAX($C$92:$C$117)+MIN($D$92:$D$117))/2)</f>
        <v>0</v>
      </c>
      <c r="AW117">
        <f>IF(OR(AU117="",AV117=""),"",(AU117+AV117)/2)</f>
        <v>0</v>
      </c>
      <c r="AX117">
        <f>IF(COUNT($E$2:$E117)&lt;52,"",(MAX($C$66:$C$117)+MIN($D$66:$D$117))/2)</f>
        <v>0</v>
      </c>
      <c r="AY117">
        <f>IF(COUNT($E$2:$E117)&lt;20,"",MAX($C$18:$C$117))</f>
        <v>0</v>
      </c>
      <c r="AZ117">
        <f>IF(COUNT($E$2:$E117)&lt;20,"",MIN($D$18:$D$117))</f>
        <v>0</v>
      </c>
      <c r="BA117">
        <f>IF(COUNT($E$2:$E117)&lt;20,"",SLOPE($E$18:$E$117,$F$18:$F$117))</f>
        <v>0</v>
      </c>
      <c r="BB117">
        <f>IF(COUNT($E$2:$E117)&lt;20,"",INTERCEPT($E$18:$E$117,$F$18:$F$117))</f>
        <v>0</v>
      </c>
      <c r="BC117">
        <f>IF(OR(BA117="",BB117=""),"",BB117+BA117*F117)</f>
        <v>0</v>
      </c>
      <c r="BD117">
        <f>IF(COUNT($E$2:$E117)&lt;20,"",STEYX($E$18:$E$117,$F$18:$F$117))</f>
        <v>0</v>
      </c>
      <c r="BE117">
        <f>IF($E117="","",IF(AND(COUNT($E$118:$E$121)&gt;=4,$C117=MAX($C$113:$C$121)),$C117,""))</f>
        <v>0</v>
      </c>
      <c r="BF117">
        <f>IF($E117="","",IF(AND(COUNT($E$118:$E$121)&gt;=4,$D117=MIN($D$113:$D$121)),$D117,""))</f>
        <v>0</v>
      </c>
      <c r="BG117">
        <f>IFERROR(SMALL(Calc_Daily!$BT$2:$BT$2001,116),"")</f>
        <v>0</v>
      </c>
    </row>
    <row r="118" spans="1:59">
      <c r="A118" s="27">
        <f>IF($BG118="","",INDEX(Calc_Daily!$A$2:$A$2001,$BG118))</f>
        <v>0</v>
      </c>
      <c r="B118">
        <f>IF($BG118="","",INDEX(Calc_Daily!$BQ$2:$BQ$2001,$BG118))</f>
        <v>0</v>
      </c>
      <c r="C118">
        <f>IF($BG118="","",INDEX(Calc_Daily!$BR$2:$BR$2001,$BG118))</f>
        <v>0</v>
      </c>
      <c r="D118">
        <f>IF($BG118="","",INDEX(Calc_Daily!$BS$2:$BS$2001,$BG118))</f>
        <v>0</v>
      </c>
      <c r="E118">
        <f>IF($BG118="","",INDEX(Calc_Daily!$E$2:$E$2001,$BG118))</f>
        <v>0</v>
      </c>
      <c r="F118">
        <f>IF($E118="","",N(F117)+1)</f>
        <v>0</v>
      </c>
      <c r="G118">
        <f>IF(OR($E118="",$E117=""),"",LN($E118/$E117))</f>
        <v>0</v>
      </c>
      <c r="H118">
        <f>IF($E118="","",IF($E117="",$E118,$E118*0.0952380952+H117*0.9047619048))</f>
        <v>0</v>
      </c>
      <c r="I118">
        <f>IF($E118="","",IF($E117="",$E118,$E118*0.0392156863+I117*0.9607843137))</f>
        <v>0</v>
      </c>
      <c r="J118">
        <f>IF($E118="","",IF($E117="",$E118,$E118*0.0198019802+J117*0.9801980198))</f>
        <v>0</v>
      </c>
      <c r="K118">
        <f>IF($E118="","",IF($E117="",$E118,$E118*0.0099502488+K117*0.9900497512))</f>
        <v>0</v>
      </c>
      <c r="L118">
        <f>IF(OR($E118="",$E117=""),"",MAX($E118-$E117,0))</f>
        <v>0</v>
      </c>
      <c r="M118">
        <f>IF(OR($E118="",$E117=""),"",MAX($E117-$E118,0))</f>
        <v>0</v>
      </c>
      <c r="N118">
        <f>IF(COUNT($E$2:$E118)&lt;15,"",IF(AVERAGE($M$105:$M$118)=0,100,100-100/(1+AVERAGE($L$105:$L$118)/AVERAGE($M$105:$M$118))))</f>
        <v>0</v>
      </c>
      <c r="O118">
        <f>IF($E118="","",IF($E117="",$E118,$E118*0.1538461538+O117*0.8461538462))</f>
        <v>0</v>
      </c>
      <c r="P118">
        <f>IF($E118="","",IF($E117="",$E118,$E118*0.0740740741+P117*0.9259259259))</f>
        <v>0</v>
      </c>
      <c r="Q118">
        <f>IF(OR(O118="",P118=""),"",O118-P118)</f>
        <v>0</v>
      </c>
      <c r="R118">
        <f>IF(Q118="","",IF(R117="",Q118,Q118*0.2000000000+R117*0.8000000000))</f>
        <v>0</v>
      </c>
      <c r="S118">
        <f>IF(OR(Q118="",R118=""),"",Q118-R118)</f>
        <v>0</v>
      </c>
      <c r="T118">
        <f>IF(COUNT($E$2:$E118)&lt;14,"",MAX($C$105:$C$118))</f>
        <v>0</v>
      </c>
      <c r="U118">
        <f>IF(COUNT($E$2:$E118)&lt;14,"",MIN($D$105:$D$118))</f>
        <v>0</v>
      </c>
      <c r="V118">
        <f>IF(OR(T118="",U118="",T118=U118),"",100*($E118-U118)/(T118-U118))</f>
        <v>0</v>
      </c>
      <c r="W118">
        <f>IF(COUNT($V$116:$V$118)&lt;3,"",AVERAGE($V$116:$V$118))</f>
        <v>0</v>
      </c>
      <c r="X118">
        <f>IF(COUNT($N$105:$N$118)&lt;14,"",MIN($N$105:$N$118))</f>
        <v>0</v>
      </c>
      <c r="Y118">
        <f>IF(COUNT($N$105:$N$118)&lt;14,"",MAX($N$105:$N$118))</f>
        <v>0</v>
      </c>
      <c r="Z118">
        <f>IF(OR(N118="",X118="",Y118="",Y118=X118),"",100*(N118-X118)/(Y118-X118))</f>
        <v>0</v>
      </c>
      <c r="AA118">
        <f>IF(COUNT($Z$116:$Z$118)&lt;3,"",AVERAGE($Z$116:$Z$118))</f>
        <v>0</v>
      </c>
      <c r="AB118">
        <f>IF(COUNT($AA$116:$AA$118)&lt;3,"",AVERAGE($AA$116:$AA$118))</f>
        <v>0</v>
      </c>
      <c r="AC118">
        <f>IF($E118="","",MAX($C118-$D118,ABS($C118-$E117),ABS($D118-$E117)))</f>
        <v>0</v>
      </c>
      <c r="AD118">
        <f>IF(COUNT($E$2:$E118)&lt;15,"",AVERAGE($AC$105:$AC$118))</f>
        <v>0</v>
      </c>
      <c r="AE118">
        <f>IF(OR($E118="",$E117=""),"",IF(AND(($C118-$C117)&gt;($D117-$D118),($C118-$C117)&gt;0),$C118-$C117,0))</f>
        <v>0</v>
      </c>
      <c r="AF118">
        <f>IF(OR($E118="",$E117=""),"",IF(AND(($D117-$D118)&gt;($C118-$C117),($D117-$D118)&gt;0),$D117-$D118,0))</f>
        <v>0</v>
      </c>
      <c r="AG118">
        <f>IF(COUNT($E$2:$E118)&lt;15,"",IF(SUM($AC$105:$AC$118)=0,0,100*SUM($AE$105:$AE$118)/SUM($AC$105:$AC$118)))</f>
        <v>0</v>
      </c>
      <c r="AH118">
        <f>IF(COUNT($E$2:$E118)&lt;15,"",IF(SUM($AC$105:$AC$118)=0,0,100*SUM($AF$105:$AF$118)/SUM($AC$105:$AC$118)))</f>
        <v>0</v>
      </c>
      <c r="AI118">
        <f>IF(OR(AG118="",AH118=""),"",IF((AG118+AH118)=0,0,100*ABS(AG118-AH118)/(AG118+AH118)))</f>
        <v>0</v>
      </c>
      <c r="AJ118">
        <f>IF(COUNT($AI$105:$AI$118)&lt;14,"",AVERAGE($AI$105:$AI$118))</f>
        <v>0</v>
      </c>
      <c r="AK118">
        <f>IF(COUNT($E$2:$E118)&lt;20,"",AVERAGE($E$99:$E$118))</f>
        <v>0</v>
      </c>
      <c r="AL118">
        <f>IF(COUNT($E$2:$E118)&lt;20,"",STDEVP($E$99:$E$118))</f>
        <v>0</v>
      </c>
      <c r="AM118">
        <f>IF(AK118="","",AK118+2*AL118)</f>
        <v>0</v>
      </c>
      <c r="AN118">
        <f>IF(AK118="","",AK118-2*AL118)</f>
        <v>0</v>
      </c>
      <c r="AO118">
        <f>IF(OR(AM118="",AN118="",AM118=AN118),"",($E118-AN118)/(AM118-AN118))</f>
        <v>0</v>
      </c>
      <c r="AP118">
        <f>IF(OR(AM118="",AK118="",AK118=0),"",(AM118-AN118)/AK118)</f>
        <v>0</v>
      </c>
      <c r="AQ118">
        <f>IF(COUNT($E$2:$E118)&lt;20,"",MAX($C$99:$C$118))</f>
        <v>0</v>
      </c>
      <c r="AR118">
        <f>IF(COUNT($E$2:$E118)&lt;20,"",MIN($D$99:$D$118))</f>
        <v>0</v>
      </c>
      <c r="AS118">
        <f>IF(OR(AQ118="",AR118=""),"",(AQ118+AR118)/2)</f>
        <v>0</v>
      </c>
      <c r="AT118">
        <f>IF(COUNT($G$99:$G$118)&lt;20,"",STDEV($G$99:$G$118)*SQRT(12))</f>
        <v>0</v>
      </c>
      <c r="AU118">
        <f>IF(COUNT($E$2:$E118)&lt;9,"",(MAX($C$110:$C$118)+MIN($D$110:$D$118))/2)</f>
        <v>0</v>
      </c>
      <c r="AV118">
        <f>IF(COUNT($E$2:$E118)&lt;26,"",(MAX($C$93:$C$118)+MIN($D$93:$D$118))/2)</f>
        <v>0</v>
      </c>
      <c r="AW118">
        <f>IF(OR(AU118="",AV118=""),"",(AU118+AV118)/2)</f>
        <v>0</v>
      </c>
      <c r="AX118">
        <f>IF(COUNT($E$2:$E118)&lt;52,"",(MAX($C$67:$C$118)+MIN($D$67:$D$118))/2)</f>
        <v>0</v>
      </c>
      <c r="AY118">
        <f>IF(COUNT($E$2:$E118)&lt;20,"",MAX($C$19:$C$118))</f>
        <v>0</v>
      </c>
      <c r="AZ118">
        <f>IF(COUNT($E$2:$E118)&lt;20,"",MIN($D$19:$D$118))</f>
        <v>0</v>
      </c>
      <c r="BA118">
        <f>IF(COUNT($E$2:$E118)&lt;20,"",SLOPE($E$19:$E$118,$F$19:$F$118))</f>
        <v>0</v>
      </c>
      <c r="BB118">
        <f>IF(COUNT($E$2:$E118)&lt;20,"",INTERCEPT($E$19:$E$118,$F$19:$F$118))</f>
        <v>0</v>
      </c>
      <c r="BC118">
        <f>IF(OR(BA118="",BB118=""),"",BB118+BA118*F118)</f>
        <v>0</v>
      </c>
      <c r="BD118">
        <f>IF(COUNT($E$2:$E118)&lt;20,"",STEYX($E$19:$E$118,$F$19:$F$118))</f>
        <v>0</v>
      </c>
      <c r="BE118">
        <f>IF($E118="","",IF(AND(COUNT($E$119:$E$122)&gt;=4,$C118=MAX($C$114:$C$122)),$C118,""))</f>
        <v>0</v>
      </c>
      <c r="BF118">
        <f>IF($E118="","",IF(AND(COUNT($E$119:$E$122)&gt;=4,$D118=MIN($D$114:$D$122)),$D118,""))</f>
        <v>0</v>
      </c>
      <c r="BG118">
        <f>IFERROR(SMALL(Calc_Daily!$BT$2:$BT$2001,117),"")</f>
        <v>0</v>
      </c>
    </row>
    <row r="119" spans="1:59">
      <c r="A119" s="27">
        <f>IF($BG119="","",INDEX(Calc_Daily!$A$2:$A$2001,$BG119))</f>
        <v>0</v>
      </c>
      <c r="B119">
        <f>IF($BG119="","",INDEX(Calc_Daily!$BQ$2:$BQ$2001,$BG119))</f>
        <v>0</v>
      </c>
      <c r="C119">
        <f>IF($BG119="","",INDEX(Calc_Daily!$BR$2:$BR$2001,$BG119))</f>
        <v>0</v>
      </c>
      <c r="D119">
        <f>IF($BG119="","",INDEX(Calc_Daily!$BS$2:$BS$2001,$BG119))</f>
        <v>0</v>
      </c>
      <c r="E119">
        <f>IF($BG119="","",INDEX(Calc_Daily!$E$2:$E$2001,$BG119))</f>
        <v>0</v>
      </c>
      <c r="F119">
        <f>IF($E119="","",N(F118)+1)</f>
        <v>0</v>
      </c>
      <c r="G119">
        <f>IF(OR($E119="",$E118=""),"",LN($E119/$E118))</f>
        <v>0</v>
      </c>
      <c r="H119">
        <f>IF($E119="","",IF($E118="",$E119,$E119*0.0952380952+H118*0.9047619048))</f>
        <v>0</v>
      </c>
      <c r="I119">
        <f>IF($E119="","",IF($E118="",$E119,$E119*0.0392156863+I118*0.9607843137))</f>
        <v>0</v>
      </c>
      <c r="J119">
        <f>IF($E119="","",IF($E118="",$E119,$E119*0.0198019802+J118*0.9801980198))</f>
        <v>0</v>
      </c>
      <c r="K119">
        <f>IF($E119="","",IF($E118="",$E119,$E119*0.0099502488+K118*0.9900497512))</f>
        <v>0</v>
      </c>
      <c r="L119">
        <f>IF(OR($E119="",$E118=""),"",MAX($E119-$E118,0))</f>
        <v>0</v>
      </c>
      <c r="M119">
        <f>IF(OR($E119="",$E118=""),"",MAX($E118-$E119,0))</f>
        <v>0</v>
      </c>
      <c r="N119">
        <f>IF(COUNT($E$2:$E119)&lt;15,"",IF(AVERAGE($M$106:$M$119)=0,100,100-100/(1+AVERAGE($L$106:$L$119)/AVERAGE($M$106:$M$119))))</f>
        <v>0</v>
      </c>
      <c r="O119">
        <f>IF($E119="","",IF($E118="",$E119,$E119*0.1538461538+O118*0.8461538462))</f>
        <v>0</v>
      </c>
      <c r="P119">
        <f>IF($E119="","",IF($E118="",$E119,$E119*0.0740740741+P118*0.9259259259))</f>
        <v>0</v>
      </c>
      <c r="Q119">
        <f>IF(OR(O119="",P119=""),"",O119-P119)</f>
        <v>0</v>
      </c>
      <c r="R119">
        <f>IF(Q119="","",IF(R118="",Q119,Q119*0.2000000000+R118*0.8000000000))</f>
        <v>0</v>
      </c>
      <c r="S119">
        <f>IF(OR(Q119="",R119=""),"",Q119-R119)</f>
        <v>0</v>
      </c>
      <c r="T119">
        <f>IF(COUNT($E$2:$E119)&lt;14,"",MAX($C$106:$C$119))</f>
        <v>0</v>
      </c>
      <c r="U119">
        <f>IF(COUNT($E$2:$E119)&lt;14,"",MIN($D$106:$D$119))</f>
        <v>0</v>
      </c>
      <c r="V119">
        <f>IF(OR(T119="",U119="",T119=U119),"",100*($E119-U119)/(T119-U119))</f>
        <v>0</v>
      </c>
      <c r="W119">
        <f>IF(COUNT($V$117:$V$119)&lt;3,"",AVERAGE($V$117:$V$119))</f>
        <v>0</v>
      </c>
      <c r="X119">
        <f>IF(COUNT($N$106:$N$119)&lt;14,"",MIN($N$106:$N$119))</f>
        <v>0</v>
      </c>
      <c r="Y119">
        <f>IF(COUNT($N$106:$N$119)&lt;14,"",MAX($N$106:$N$119))</f>
        <v>0</v>
      </c>
      <c r="Z119">
        <f>IF(OR(N119="",X119="",Y119="",Y119=X119),"",100*(N119-X119)/(Y119-X119))</f>
        <v>0</v>
      </c>
      <c r="AA119">
        <f>IF(COUNT($Z$117:$Z$119)&lt;3,"",AVERAGE($Z$117:$Z$119))</f>
        <v>0</v>
      </c>
      <c r="AB119">
        <f>IF(COUNT($AA$117:$AA$119)&lt;3,"",AVERAGE($AA$117:$AA$119))</f>
        <v>0</v>
      </c>
      <c r="AC119">
        <f>IF($E119="","",MAX($C119-$D119,ABS($C119-$E118),ABS($D119-$E118)))</f>
        <v>0</v>
      </c>
      <c r="AD119">
        <f>IF(COUNT($E$2:$E119)&lt;15,"",AVERAGE($AC$106:$AC$119))</f>
        <v>0</v>
      </c>
      <c r="AE119">
        <f>IF(OR($E119="",$E118=""),"",IF(AND(($C119-$C118)&gt;($D118-$D119),($C119-$C118)&gt;0),$C119-$C118,0))</f>
        <v>0</v>
      </c>
      <c r="AF119">
        <f>IF(OR($E119="",$E118=""),"",IF(AND(($D118-$D119)&gt;($C119-$C118),($D118-$D119)&gt;0),$D118-$D119,0))</f>
        <v>0</v>
      </c>
      <c r="AG119">
        <f>IF(COUNT($E$2:$E119)&lt;15,"",IF(SUM($AC$106:$AC$119)=0,0,100*SUM($AE$106:$AE$119)/SUM($AC$106:$AC$119)))</f>
        <v>0</v>
      </c>
      <c r="AH119">
        <f>IF(COUNT($E$2:$E119)&lt;15,"",IF(SUM($AC$106:$AC$119)=0,0,100*SUM($AF$106:$AF$119)/SUM($AC$106:$AC$119)))</f>
        <v>0</v>
      </c>
      <c r="AI119">
        <f>IF(OR(AG119="",AH119=""),"",IF((AG119+AH119)=0,0,100*ABS(AG119-AH119)/(AG119+AH119)))</f>
        <v>0</v>
      </c>
      <c r="AJ119">
        <f>IF(COUNT($AI$106:$AI$119)&lt;14,"",AVERAGE($AI$106:$AI$119))</f>
        <v>0</v>
      </c>
      <c r="AK119">
        <f>IF(COUNT($E$2:$E119)&lt;20,"",AVERAGE($E$100:$E$119))</f>
        <v>0</v>
      </c>
      <c r="AL119">
        <f>IF(COUNT($E$2:$E119)&lt;20,"",STDEVP($E$100:$E$119))</f>
        <v>0</v>
      </c>
      <c r="AM119">
        <f>IF(AK119="","",AK119+2*AL119)</f>
        <v>0</v>
      </c>
      <c r="AN119">
        <f>IF(AK119="","",AK119-2*AL119)</f>
        <v>0</v>
      </c>
      <c r="AO119">
        <f>IF(OR(AM119="",AN119="",AM119=AN119),"",($E119-AN119)/(AM119-AN119))</f>
        <v>0</v>
      </c>
      <c r="AP119">
        <f>IF(OR(AM119="",AK119="",AK119=0),"",(AM119-AN119)/AK119)</f>
        <v>0</v>
      </c>
      <c r="AQ119">
        <f>IF(COUNT($E$2:$E119)&lt;20,"",MAX($C$100:$C$119))</f>
        <v>0</v>
      </c>
      <c r="AR119">
        <f>IF(COUNT($E$2:$E119)&lt;20,"",MIN($D$100:$D$119))</f>
        <v>0</v>
      </c>
      <c r="AS119">
        <f>IF(OR(AQ119="",AR119=""),"",(AQ119+AR119)/2)</f>
        <v>0</v>
      </c>
      <c r="AT119">
        <f>IF(COUNT($G$100:$G$119)&lt;20,"",STDEV($G$100:$G$119)*SQRT(12))</f>
        <v>0</v>
      </c>
      <c r="AU119">
        <f>IF(COUNT($E$2:$E119)&lt;9,"",(MAX($C$111:$C$119)+MIN($D$111:$D$119))/2)</f>
        <v>0</v>
      </c>
      <c r="AV119">
        <f>IF(COUNT($E$2:$E119)&lt;26,"",(MAX($C$94:$C$119)+MIN($D$94:$D$119))/2)</f>
        <v>0</v>
      </c>
      <c r="AW119">
        <f>IF(OR(AU119="",AV119=""),"",(AU119+AV119)/2)</f>
        <v>0</v>
      </c>
      <c r="AX119">
        <f>IF(COUNT($E$2:$E119)&lt;52,"",(MAX($C$68:$C$119)+MIN($D$68:$D$119))/2)</f>
        <v>0</v>
      </c>
      <c r="AY119">
        <f>IF(COUNT($E$2:$E119)&lt;20,"",MAX($C$20:$C$119))</f>
        <v>0</v>
      </c>
      <c r="AZ119">
        <f>IF(COUNT($E$2:$E119)&lt;20,"",MIN($D$20:$D$119))</f>
        <v>0</v>
      </c>
      <c r="BA119">
        <f>IF(COUNT($E$2:$E119)&lt;20,"",SLOPE($E$20:$E$119,$F$20:$F$119))</f>
        <v>0</v>
      </c>
      <c r="BB119">
        <f>IF(COUNT($E$2:$E119)&lt;20,"",INTERCEPT($E$20:$E$119,$F$20:$F$119))</f>
        <v>0</v>
      </c>
      <c r="BC119">
        <f>IF(OR(BA119="",BB119=""),"",BB119+BA119*F119)</f>
        <v>0</v>
      </c>
      <c r="BD119">
        <f>IF(COUNT($E$2:$E119)&lt;20,"",STEYX($E$20:$E$119,$F$20:$F$119))</f>
        <v>0</v>
      </c>
      <c r="BE119">
        <f>IF($E119="","",IF(AND(COUNT($E$120:$E$123)&gt;=4,$C119=MAX($C$115:$C$123)),$C119,""))</f>
        <v>0</v>
      </c>
      <c r="BF119">
        <f>IF($E119="","",IF(AND(COUNT($E$120:$E$123)&gt;=4,$D119=MIN($D$115:$D$123)),$D119,""))</f>
        <v>0</v>
      </c>
      <c r="BG119">
        <f>IFERROR(SMALL(Calc_Daily!$BT$2:$BT$2001,118),"")</f>
        <v>0</v>
      </c>
    </row>
    <row r="120" spans="1:59">
      <c r="A120" s="27">
        <f>IF($BG120="","",INDEX(Calc_Daily!$A$2:$A$2001,$BG120))</f>
        <v>0</v>
      </c>
      <c r="B120">
        <f>IF($BG120="","",INDEX(Calc_Daily!$BQ$2:$BQ$2001,$BG120))</f>
        <v>0</v>
      </c>
      <c r="C120">
        <f>IF($BG120="","",INDEX(Calc_Daily!$BR$2:$BR$2001,$BG120))</f>
        <v>0</v>
      </c>
      <c r="D120">
        <f>IF($BG120="","",INDEX(Calc_Daily!$BS$2:$BS$2001,$BG120))</f>
        <v>0</v>
      </c>
      <c r="E120">
        <f>IF($BG120="","",INDEX(Calc_Daily!$E$2:$E$2001,$BG120))</f>
        <v>0</v>
      </c>
      <c r="F120">
        <f>IF($E120="","",N(F119)+1)</f>
        <v>0</v>
      </c>
      <c r="G120">
        <f>IF(OR($E120="",$E119=""),"",LN($E120/$E119))</f>
        <v>0</v>
      </c>
      <c r="H120">
        <f>IF($E120="","",IF($E119="",$E120,$E120*0.0952380952+H119*0.9047619048))</f>
        <v>0</v>
      </c>
      <c r="I120">
        <f>IF($E120="","",IF($E119="",$E120,$E120*0.0392156863+I119*0.9607843137))</f>
        <v>0</v>
      </c>
      <c r="J120">
        <f>IF($E120="","",IF($E119="",$E120,$E120*0.0198019802+J119*0.9801980198))</f>
        <v>0</v>
      </c>
      <c r="K120">
        <f>IF($E120="","",IF($E119="",$E120,$E120*0.0099502488+K119*0.9900497512))</f>
        <v>0</v>
      </c>
      <c r="L120">
        <f>IF(OR($E120="",$E119=""),"",MAX($E120-$E119,0))</f>
        <v>0</v>
      </c>
      <c r="M120">
        <f>IF(OR($E120="",$E119=""),"",MAX($E119-$E120,0))</f>
        <v>0</v>
      </c>
      <c r="N120">
        <f>IF(COUNT($E$2:$E120)&lt;15,"",IF(AVERAGE($M$107:$M$120)=0,100,100-100/(1+AVERAGE($L$107:$L$120)/AVERAGE($M$107:$M$120))))</f>
        <v>0</v>
      </c>
      <c r="O120">
        <f>IF($E120="","",IF($E119="",$E120,$E120*0.1538461538+O119*0.8461538462))</f>
        <v>0</v>
      </c>
      <c r="P120">
        <f>IF($E120="","",IF($E119="",$E120,$E120*0.0740740741+P119*0.9259259259))</f>
        <v>0</v>
      </c>
      <c r="Q120">
        <f>IF(OR(O120="",P120=""),"",O120-P120)</f>
        <v>0</v>
      </c>
      <c r="R120">
        <f>IF(Q120="","",IF(R119="",Q120,Q120*0.2000000000+R119*0.8000000000))</f>
        <v>0</v>
      </c>
      <c r="S120">
        <f>IF(OR(Q120="",R120=""),"",Q120-R120)</f>
        <v>0</v>
      </c>
      <c r="T120">
        <f>IF(COUNT($E$2:$E120)&lt;14,"",MAX($C$107:$C$120))</f>
        <v>0</v>
      </c>
      <c r="U120">
        <f>IF(COUNT($E$2:$E120)&lt;14,"",MIN($D$107:$D$120))</f>
        <v>0</v>
      </c>
      <c r="V120">
        <f>IF(OR(T120="",U120="",T120=U120),"",100*($E120-U120)/(T120-U120))</f>
        <v>0</v>
      </c>
      <c r="W120">
        <f>IF(COUNT($V$118:$V$120)&lt;3,"",AVERAGE($V$118:$V$120))</f>
        <v>0</v>
      </c>
      <c r="X120">
        <f>IF(COUNT($N$107:$N$120)&lt;14,"",MIN($N$107:$N$120))</f>
        <v>0</v>
      </c>
      <c r="Y120">
        <f>IF(COUNT($N$107:$N$120)&lt;14,"",MAX($N$107:$N$120))</f>
        <v>0</v>
      </c>
      <c r="Z120">
        <f>IF(OR(N120="",X120="",Y120="",Y120=X120),"",100*(N120-X120)/(Y120-X120))</f>
        <v>0</v>
      </c>
      <c r="AA120">
        <f>IF(COUNT($Z$118:$Z$120)&lt;3,"",AVERAGE($Z$118:$Z$120))</f>
        <v>0</v>
      </c>
      <c r="AB120">
        <f>IF(COUNT($AA$118:$AA$120)&lt;3,"",AVERAGE($AA$118:$AA$120))</f>
        <v>0</v>
      </c>
      <c r="AC120">
        <f>IF($E120="","",MAX($C120-$D120,ABS($C120-$E119),ABS($D120-$E119)))</f>
        <v>0</v>
      </c>
      <c r="AD120">
        <f>IF(COUNT($E$2:$E120)&lt;15,"",AVERAGE($AC$107:$AC$120))</f>
        <v>0</v>
      </c>
      <c r="AE120">
        <f>IF(OR($E120="",$E119=""),"",IF(AND(($C120-$C119)&gt;($D119-$D120),($C120-$C119)&gt;0),$C120-$C119,0))</f>
        <v>0</v>
      </c>
      <c r="AF120">
        <f>IF(OR($E120="",$E119=""),"",IF(AND(($D119-$D120)&gt;($C120-$C119),($D119-$D120)&gt;0),$D119-$D120,0))</f>
        <v>0</v>
      </c>
      <c r="AG120">
        <f>IF(COUNT($E$2:$E120)&lt;15,"",IF(SUM($AC$107:$AC$120)=0,0,100*SUM($AE$107:$AE$120)/SUM($AC$107:$AC$120)))</f>
        <v>0</v>
      </c>
      <c r="AH120">
        <f>IF(COUNT($E$2:$E120)&lt;15,"",IF(SUM($AC$107:$AC$120)=0,0,100*SUM($AF$107:$AF$120)/SUM($AC$107:$AC$120)))</f>
        <v>0</v>
      </c>
      <c r="AI120">
        <f>IF(OR(AG120="",AH120=""),"",IF((AG120+AH120)=0,0,100*ABS(AG120-AH120)/(AG120+AH120)))</f>
        <v>0</v>
      </c>
      <c r="AJ120">
        <f>IF(COUNT($AI$107:$AI$120)&lt;14,"",AVERAGE($AI$107:$AI$120))</f>
        <v>0</v>
      </c>
      <c r="AK120">
        <f>IF(COUNT($E$2:$E120)&lt;20,"",AVERAGE($E$101:$E$120))</f>
        <v>0</v>
      </c>
      <c r="AL120">
        <f>IF(COUNT($E$2:$E120)&lt;20,"",STDEVP($E$101:$E$120))</f>
        <v>0</v>
      </c>
      <c r="AM120">
        <f>IF(AK120="","",AK120+2*AL120)</f>
        <v>0</v>
      </c>
      <c r="AN120">
        <f>IF(AK120="","",AK120-2*AL120)</f>
        <v>0</v>
      </c>
      <c r="AO120">
        <f>IF(OR(AM120="",AN120="",AM120=AN120),"",($E120-AN120)/(AM120-AN120))</f>
        <v>0</v>
      </c>
      <c r="AP120">
        <f>IF(OR(AM120="",AK120="",AK120=0),"",(AM120-AN120)/AK120)</f>
        <v>0</v>
      </c>
      <c r="AQ120">
        <f>IF(COUNT($E$2:$E120)&lt;20,"",MAX($C$101:$C$120))</f>
        <v>0</v>
      </c>
      <c r="AR120">
        <f>IF(COUNT($E$2:$E120)&lt;20,"",MIN($D$101:$D$120))</f>
        <v>0</v>
      </c>
      <c r="AS120">
        <f>IF(OR(AQ120="",AR120=""),"",(AQ120+AR120)/2)</f>
        <v>0</v>
      </c>
      <c r="AT120">
        <f>IF(COUNT($G$101:$G$120)&lt;20,"",STDEV($G$101:$G$120)*SQRT(12))</f>
        <v>0</v>
      </c>
      <c r="AU120">
        <f>IF(COUNT($E$2:$E120)&lt;9,"",(MAX($C$112:$C$120)+MIN($D$112:$D$120))/2)</f>
        <v>0</v>
      </c>
      <c r="AV120">
        <f>IF(COUNT($E$2:$E120)&lt;26,"",(MAX($C$95:$C$120)+MIN($D$95:$D$120))/2)</f>
        <v>0</v>
      </c>
      <c r="AW120">
        <f>IF(OR(AU120="",AV120=""),"",(AU120+AV120)/2)</f>
        <v>0</v>
      </c>
      <c r="AX120">
        <f>IF(COUNT($E$2:$E120)&lt;52,"",(MAX($C$69:$C$120)+MIN($D$69:$D$120))/2)</f>
        <v>0</v>
      </c>
      <c r="AY120">
        <f>IF(COUNT($E$2:$E120)&lt;20,"",MAX($C$21:$C$120))</f>
        <v>0</v>
      </c>
      <c r="AZ120">
        <f>IF(COUNT($E$2:$E120)&lt;20,"",MIN($D$21:$D$120))</f>
        <v>0</v>
      </c>
      <c r="BA120">
        <f>IF(COUNT($E$2:$E120)&lt;20,"",SLOPE($E$21:$E$120,$F$21:$F$120))</f>
        <v>0</v>
      </c>
      <c r="BB120">
        <f>IF(COUNT($E$2:$E120)&lt;20,"",INTERCEPT($E$21:$E$120,$F$21:$F$120))</f>
        <v>0</v>
      </c>
      <c r="BC120">
        <f>IF(OR(BA120="",BB120=""),"",BB120+BA120*F120)</f>
        <v>0</v>
      </c>
      <c r="BD120">
        <f>IF(COUNT($E$2:$E120)&lt;20,"",STEYX($E$21:$E$120,$F$21:$F$120))</f>
        <v>0</v>
      </c>
      <c r="BE120">
        <f>IF($E120="","",IF(AND(COUNT($E$121:$E$124)&gt;=4,$C120=MAX($C$116:$C$124)),$C120,""))</f>
        <v>0</v>
      </c>
      <c r="BF120">
        <f>IF($E120="","",IF(AND(COUNT($E$121:$E$124)&gt;=4,$D120=MIN($D$116:$D$124)),$D120,""))</f>
        <v>0</v>
      </c>
      <c r="BG120">
        <f>IFERROR(SMALL(Calc_Daily!$BT$2:$BT$2001,119),"")</f>
        <v>0</v>
      </c>
    </row>
    <row r="121" spans="1:59">
      <c r="A121" s="27">
        <f>IF($BG121="","",INDEX(Calc_Daily!$A$2:$A$2001,$BG121))</f>
        <v>0</v>
      </c>
      <c r="B121">
        <f>IF($BG121="","",INDEX(Calc_Daily!$BQ$2:$BQ$2001,$BG121))</f>
        <v>0</v>
      </c>
      <c r="C121">
        <f>IF($BG121="","",INDEX(Calc_Daily!$BR$2:$BR$2001,$BG121))</f>
        <v>0</v>
      </c>
      <c r="D121">
        <f>IF($BG121="","",INDEX(Calc_Daily!$BS$2:$BS$2001,$BG121))</f>
        <v>0</v>
      </c>
      <c r="E121">
        <f>IF($BG121="","",INDEX(Calc_Daily!$E$2:$E$2001,$BG121))</f>
        <v>0</v>
      </c>
      <c r="F121">
        <f>IF($E121="","",N(F120)+1)</f>
        <v>0</v>
      </c>
      <c r="G121">
        <f>IF(OR($E121="",$E120=""),"",LN($E121/$E120))</f>
        <v>0</v>
      </c>
      <c r="H121">
        <f>IF($E121="","",IF($E120="",$E121,$E121*0.0952380952+H120*0.9047619048))</f>
        <v>0</v>
      </c>
      <c r="I121">
        <f>IF($E121="","",IF($E120="",$E121,$E121*0.0392156863+I120*0.9607843137))</f>
        <v>0</v>
      </c>
      <c r="J121">
        <f>IF($E121="","",IF($E120="",$E121,$E121*0.0198019802+J120*0.9801980198))</f>
        <v>0</v>
      </c>
      <c r="K121">
        <f>IF($E121="","",IF($E120="",$E121,$E121*0.0099502488+K120*0.9900497512))</f>
        <v>0</v>
      </c>
      <c r="L121">
        <f>IF(OR($E121="",$E120=""),"",MAX($E121-$E120,0))</f>
        <v>0</v>
      </c>
      <c r="M121">
        <f>IF(OR($E121="",$E120=""),"",MAX($E120-$E121,0))</f>
        <v>0</v>
      </c>
      <c r="N121">
        <f>IF(COUNT($E$2:$E121)&lt;15,"",IF(AVERAGE($M$108:$M$121)=0,100,100-100/(1+AVERAGE($L$108:$L$121)/AVERAGE($M$108:$M$121))))</f>
        <v>0</v>
      </c>
      <c r="O121">
        <f>IF($E121="","",IF($E120="",$E121,$E121*0.1538461538+O120*0.8461538462))</f>
        <v>0</v>
      </c>
      <c r="P121">
        <f>IF($E121="","",IF($E120="",$E121,$E121*0.0740740741+P120*0.9259259259))</f>
        <v>0</v>
      </c>
      <c r="Q121">
        <f>IF(OR(O121="",P121=""),"",O121-P121)</f>
        <v>0</v>
      </c>
      <c r="R121">
        <f>IF(Q121="","",IF(R120="",Q121,Q121*0.2000000000+R120*0.8000000000))</f>
        <v>0</v>
      </c>
      <c r="S121">
        <f>IF(OR(Q121="",R121=""),"",Q121-R121)</f>
        <v>0</v>
      </c>
      <c r="T121">
        <f>IF(COUNT($E$2:$E121)&lt;14,"",MAX($C$108:$C$121))</f>
        <v>0</v>
      </c>
      <c r="U121">
        <f>IF(COUNT($E$2:$E121)&lt;14,"",MIN($D$108:$D$121))</f>
        <v>0</v>
      </c>
      <c r="V121">
        <f>IF(OR(T121="",U121="",T121=U121),"",100*($E121-U121)/(T121-U121))</f>
        <v>0</v>
      </c>
      <c r="W121">
        <f>IF(COUNT($V$119:$V$121)&lt;3,"",AVERAGE($V$119:$V$121))</f>
        <v>0</v>
      </c>
      <c r="X121">
        <f>IF(COUNT($N$108:$N$121)&lt;14,"",MIN($N$108:$N$121))</f>
        <v>0</v>
      </c>
      <c r="Y121">
        <f>IF(COUNT($N$108:$N$121)&lt;14,"",MAX($N$108:$N$121))</f>
        <v>0</v>
      </c>
      <c r="Z121">
        <f>IF(OR(N121="",X121="",Y121="",Y121=X121),"",100*(N121-X121)/(Y121-X121))</f>
        <v>0</v>
      </c>
      <c r="AA121">
        <f>IF(COUNT($Z$119:$Z$121)&lt;3,"",AVERAGE($Z$119:$Z$121))</f>
        <v>0</v>
      </c>
      <c r="AB121">
        <f>IF(COUNT($AA$119:$AA$121)&lt;3,"",AVERAGE($AA$119:$AA$121))</f>
        <v>0</v>
      </c>
      <c r="AC121">
        <f>IF($E121="","",MAX($C121-$D121,ABS($C121-$E120),ABS($D121-$E120)))</f>
        <v>0</v>
      </c>
      <c r="AD121">
        <f>IF(COUNT($E$2:$E121)&lt;15,"",AVERAGE($AC$108:$AC$121))</f>
        <v>0</v>
      </c>
      <c r="AE121">
        <f>IF(OR($E121="",$E120=""),"",IF(AND(($C121-$C120)&gt;($D120-$D121),($C121-$C120)&gt;0),$C121-$C120,0))</f>
        <v>0</v>
      </c>
      <c r="AF121">
        <f>IF(OR($E121="",$E120=""),"",IF(AND(($D120-$D121)&gt;($C121-$C120),($D120-$D121)&gt;0),$D120-$D121,0))</f>
        <v>0</v>
      </c>
      <c r="AG121">
        <f>IF(COUNT($E$2:$E121)&lt;15,"",IF(SUM($AC$108:$AC$121)=0,0,100*SUM($AE$108:$AE$121)/SUM($AC$108:$AC$121)))</f>
        <v>0</v>
      </c>
      <c r="AH121">
        <f>IF(COUNT($E$2:$E121)&lt;15,"",IF(SUM($AC$108:$AC$121)=0,0,100*SUM($AF$108:$AF$121)/SUM($AC$108:$AC$121)))</f>
        <v>0</v>
      </c>
      <c r="AI121">
        <f>IF(OR(AG121="",AH121=""),"",IF((AG121+AH121)=0,0,100*ABS(AG121-AH121)/(AG121+AH121)))</f>
        <v>0</v>
      </c>
      <c r="AJ121">
        <f>IF(COUNT($AI$108:$AI$121)&lt;14,"",AVERAGE($AI$108:$AI$121))</f>
        <v>0</v>
      </c>
      <c r="AK121">
        <f>IF(COUNT($E$2:$E121)&lt;20,"",AVERAGE($E$102:$E$121))</f>
        <v>0</v>
      </c>
      <c r="AL121">
        <f>IF(COUNT($E$2:$E121)&lt;20,"",STDEVP($E$102:$E$121))</f>
        <v>0</v>
      </c>
      <c r="AM121">
        <f>IF(AK121="","",AK121+2*AL121)</f>
        <v>0</v>
      </c>
      <c r="AN121">
        <f>IF(AK121="","",AK121-2*AL121)</f>
        <v>0</v>
      </c>
      <c r="AO121">
        <f>IF(OR(AM121="",AN121="",AM121=AN121),"",($E121-AN121)/(AM121-AN121))</f>
        <v>0</v>
      </c>
      <c r="AP121">
        <f>IF(OR(AM121="",AK121="",AK121=0),"",(AM121-AN121)/AK121)</f>
        <v>0</v>
      </c>
      <c r="AQ121">
        <f>IF(COUNT($E$2:$E121)&lt;20,"",MAX($C$102:$C$121))</f>
        <v>0</v>
      </c>
      <c r="AR121">
        <f>IF(COUNT($E$2:$E121)&lt;20,"",MIN($D$102:$D$121))</f>
        <v>0</v>
      </c>
      <c r="AS121">
        <f>IF(OR(AQ121="",AR121=""),"",(AQ121+AR121)/2)</f>
        <v>0</v>
      </c>
      <c r="AT121">
        <f>IF(COUNT($G$102:$G$121)&lt;20,"",STDEV($G$102:$G$121)*SQRT(12))</f>
        <v>0</v>
      </c>
      <c r="AU121">
        <f>IF(COUNT($E$2:$E121)&lt;9,"",(MAX($C$113:$C$121)+MIN($D$113:$D$121))/2)</f>
        <v>0</v>
      </c>
      <c r="AV121">
        <f>IF(COUNT($E$2:$E121)&lt;26,"",(MAX($C$96:$C$121)+MIN($D$96:$D$121))/2)</f>
        <v>0</v>
      </c>
      <c r="AW121">
        <f>IF(OR(AU121="",AV121=""),"",(AU121+AV121)/2)</f>
        <v>0</v>
      </c>
      <c r="AX121">
        <f>IF(COUNT($E$2:$E121)&lt;52,"",(MAX($C$70:$C$121)+MIN($D$70:$D$121))/2)</f>
        <v>0</v>
      </c>
      <c r="AY121">
        <f>IF(COUNT($E$2:$E121)&lt;20,"",MAX($C$22:$C$121))</f>
        <v>0</v>
      </c>
      <c r="AZ121">
        <f>IF(COUNT($E$2:$E121)&lt;20,"",MIN($D$22:$D$121))</f>
        <v>0</v>
      </c>
      <c r="BA121">
        <f>IF(COUNT($E$2:$E121)&lt;20,"",SLOPE($E$22:$E$121,$F$22:$F$121))</f>
        <v>0</v>
      </c>
      <c r="BB121">
        <f>IF(COUNT($E$2:$E121)&lt;20,"",INTERCEPT($E$22:$E$121,$F$22:$F$121))</f>
        <v>0</v>
      </c>
      <c r="BC121">
        <f>IF(OR(BA121="",BB121=""),"",BB121+BA121*F121)</f>
        <v>0</v>
      </c>
      <c r="BD121">
        <f>IF(COUNT($E$2:$E121)&lt;20,"",STEYX($E$22:$E$121,$F$22:$F$121))</f>
        <v>0</v>
      </c>
      <c r="BE121">
        <f>IF($E121="","",IF(AND(COUNT($E$122:$E$125)&gt;=4,$C121=MAX($C$117:$C$125)),$C121,""))</f>
        <v>0</v>
      </c>
      <c r="BF121">
        <f>IF($E121="","",IF(AND(COUNT($E$122:$E$125)&gt;=4,$D121=MIN($D$117:$D$125)),$D121,""))</f>
        <v>0</v>
      </c>
      <c r="BG121">
        <f>IFERROR(SMALL(Calc_Daily!$BT$2:$BT$2001,120),"")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Dashboard</vt:lpstr>
      <vt:lpstr>Trend</vt:lpstr>
      <vt:lpstr>Momentum</vt:lpstr>
      <vt:lpstr>Volatility</vt:lpstr>
      <vt:lpstr>Support &amp; Resistance</vt:lpstr>
      <vt:lpstr>Matrix</vt:lpstr>
      <vt:lpstr>Outlook</vt:lpstr>
      <vt:lpstr>Data</vt:lpstr>
      <vt:lpstr>Read Me</vt:lpstr>
      <vt:lpstr>ChartData</vt:lpstr>
      <vt:lpstr>Metrics</vt:lpstr>
      <vt:lpstr>Calc_Daily</vt:lpstr>
      <vt:lpstr>Calc_Weekly</vt:lpstr>
      <vt:lpstr>Calc_Monthly</vt:lpstr>
      <vt:lpstr>AsOfDate</vt:lpstr>
      <vt:lpstr>CurrentPrice</vt:lpstr>
      <vt:lpstr>MomentumStatus</vt:lpstr>
      <vt:lpstr>RetDay</vt:lpstr>
      <vt:lpstr>RetMonth</vt:lpstr>
      <vt:lpstr>RetWeek</vt:lpstr>
      <vt:lpstr>RetYTD</vt:lpstr>
      <vt:lpstr>TrendStatus</vt:lpstr>
      <vt:lpstr>VolatilityStatus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2026-06-16T06:56:12Z</dcterms:created>
  <dcterms:modified xsi:type="dcterms:W3CDTF">2026-06-16T06:56:12Z</dcterms:modified>
</cp:coreProperties>
</file>